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drawings/drawing2.xml" ContentType="application/vnd.openxmlformats-officedocument.drawing+xml"/>
  <Override PartName="/xl/comments25.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https://d.docs.live.net/04a24c5d45e8632a/桌面/"/>
    </mc:Choice>
  </mc:AlternateContent>
  <xr:revisionPtr revIDLastSave="0" documentId="8_{0A04616B-EB7C-428F-8087-A4E97E868AC5}" xr6:coauthVersionLast="47" xr6:coauthVersionMax="47" xr10:uidLastSave="{00000000-0000-0000-0000-000000000000}"/>
  <bookViews>
    <workbookView xWindow="-120" yWindow="-120" windowWidth="38640" windowHeight="21120" tabRatio="970" firstSheet="1" activeTab="3" xr2:uid="{706B2DA5-3846-4ABB-A683-CC42009CF7D4}"/>
  </bookViews>
  <sheets>
    <sheet name="Account" sheetId="200" state="hidden" r:id="rId1"/>
    <sheet name="汇总" sheetId="243" r:id="rId2"/>
    <sheet name="cashflow汇总实际" sheetId="248" state="hidden" r:id="rId3"/>
    <sheet name="cashflow汇总预算2026" sheetId="240" r:id="rId4"/>
    <sheet name="cashflow汇总预算 2027" sheetId="251" state="hidden" r:id="rId5"/>
    <sheet name="情形1" sheetId="177" r:id="rId6"/>
    <sheet name="情形2" sheetId="250" r:id="rId7"/>
    <sheet name="Pipeline" sheetId="249" r:id="rId8"/>
    <sheet name="基金资金安排" sheetId="246" r:id="rId9"/>
    <sheet name="香港" sheetId="242" r:id="rId10"/>
    <sheet name="202601-202603（Forecast）" sheetId="241" r:id="rId11"/>
    <sheet name="Flash Report" sheetId="198" r:id="rId12"/>
    <sheet name="Budget-合并" sheetId="206" r:id="rId13"/>
    <sheet name="Budget-ACPL" sheetId="204" r:id="rId14"/>
    <sheet name="Budget-ACPLHK" sheetId="218" r:id="rId15"/>
    <sheet name="Budget-ACPSZL" sheetId="219" r:id="rId16"/>
    <sheet name="Budget-ACPLSZ" sheetId="220" r:id="rId17"/>
    <sheet name="Budget-ACPLGZ" sheetId="221" r:id="rId18"/>
    <sheet name="Budget-Yixing" sheetId="222" r:id="rId19"/>
    <sheet name="Actual-ACPL" sheetId="223" state="hidden" r:id="rId20"/>
    <sheet name="Actual-ACPLHK" sheetId="225" state="hidden" r:id="rId21"/>
    <sheet name="Actual-ACPSZL" sheetId="226" state="hidden" r:id="rId22"/>
    <sheet name="Actual-ACPLSZ" sheetId="227" state="hidden" r:id="rId23"/>
    <sheet name="Actual-ACPLGZ" sheetId="228" state="hidden" r:id="rId24"/>
    <sheet name="Actual-ACPLYixing" sheetId="229" state="hidden" r:id="rId25"/>
    <sheet name="CF-ACPL（合并）" sheetId="230" r:id="rId26"/>
    <sheet name="CF-ACPL" sheetId="234" r:id="rId27"/>
    <sheet name="CF-ACPLHK" sheetId="235" r:id="rId28"/>
    <sheet name="CF-ACPLSZ" sheetId="231" r:id="rId29"/>
    <sheet name="CF-ACPSZL" sheetId="232" r:id="rId30"/>
    <sheet name="CF-ACPLGZ" sheetId="233" r:id="rId31"/>
    <sheet name="CF-ACPLYixing" sheetId="236" r:id="rId32"/>
    <sheet name="SPACE" sheetId="123" r:id="rId33"/>
    <sheet name="T&amp;E" sheetId="193" r:id="rId34"/>
    <sheet name="Prof. Fee" sheetId="174" r:id="rId35"/>
    <sheet name="Budget Sensitivity" sheetId="190" state="hidden" r:id="rId36"/>
    <sheet name="咨询管理费计算" sheetId="196" state="hidden" r:id="rId37"/>
    <sheet name="FY25 S.3" sheetId="159" state="hidden" r:id="rId38"/>
    <sheet name="Other Exp" sheetId="172" r:id="rId39"/>
    <sheet name="Medical Exp Calc." sheetId="171" r:id="rId40"/>
    <sheet name="Personnel-CN" sheetId="217" r:id="rId41"/>
    <sheet name="FX Lookup" sheetId="54" r:id="rId42"/>
    <sheet name="2025年现金余额" sheetId="238" r:id="rId43"/>
    <sheet name="Entity List" sheetId="83" state="hidden" r:id="rId44"/>
  </sheets>
  <externalReferences>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s>
  <definedNames>
    <definedName name="\Z" localSheetId="19">#REF!</definedName>
    <definedName name="\Z" localSheetId="23">#REF!</definedName>
    <definedName name="\Z" localSheetId="20">#REF!</definedName>
    <definedName name="\Z" localSheetId="22">#REF!</definedName>
    <definedName name="\Z" localSheetId="24">#REF!</definedName>
    <definedName name="\Z" localSheetId="21">#REF!</definedName>
    <definedName name="\Z" localSheetId="13">#REF!</definedName>
    <definedName name="\Z" localSheetId="17">#REF!</definedName>
    <definedName name="\Z" localSheetId="14">#REF!</definedName>
    <definedName name="\Z" localSheetId="16">#REF!</definedName>
    <definedName name="\Z" localSheetId="15">#REF!</definedName>
    <definedName name="\Z" localSheetId="18">#REF!</definedName>
    <definedName name="\Z" localSheetId="12">#REF!</definedName>
    <definedName name="\Z" localSheetId="26">#REF!</definedName>
    <definedName name="\Z" localSheetId="25">#REF!</definedName>
    <definedName name="\Z" localSheetId="30">#REF!</definedName>
    <definedName name="\Z" localSheetId="27">#REF!</definedName>
    <definedName name="\Z" localSheetId="28">#REF!</definedName>
    <definedName name="\Z" localSheetId="31">#REF!</definedName>
    <definedName name="\Z" localSheetId="29">#REF!</definedName>
    <definedName name="\Z" localSheetId="11">#REF!</definedName>
    <definedName name="\Z" localSheetId="37">#REF!</definedName>
    <definedName name="\Z" localSheetId="39">#REF!</definedName>
    <definedName name="\Z" localSheetId="38">#REF!</definedName>
    <definedName name="\Z" localSheetId="40">#REF!</definedName>
    <definedName name="\Z" localSheetId="34">#REF!</definedName>
    <definedName name="\Z" localSheetId="33">#REF!</definedName>
    <definedName name="\Z">#REF!</definedName>
    <definedName name="________MTH06">[1]Paramter!$A$16:$A$27</definedName>
    <definedName name="_______MTH06">[1]Paramter!$A$16:$A$27</definedName>
    <definedName name="______MTH06">[1]Paramter!$A$16:$A$27</definedName>
    <definedName name="_____MTH06" localSheetId="19">[2]Paramter!$A$16:$A$27</definedName>
    <definedName name="_____MTH06" localSheetId="23">[2]Paramter!$A$16:$A$27</definedName>
    <definedName name="_____MTH06" localSheetId="20">[2]Paramter!$A$16:$A$27</definedName>
    <definedName name="_____MTH06" localSheetId="22">[2]Paramter!$A$16:$A$27</definedName>
    <definedName name="_____MTH06" localSheetId="24">[2]Paramter!$A$16:$A$27</definedName>
    <definedName name="_____MTH06" localSheetId="21">[2]Paramter!$A$16:$A$27</definedName>
    <definedName name="_____MTH06" localSheetId="13">[2]Paramter!$A$16:$A$27</definedName>
    <definedName name="_____MTH06" localSheetId="17">[2]Paramter!$A$16:$A$27</definedName>
    <definedName name="_____MTH06" localSheetId="14">[2]Paramter!$A$16:$A$27</definedName>
    <definedName name="_____MTH06" localSheetId="16">[2]Paramter!$A$16:$A$27</definedName>
    <definedName name="_____MTH06" localSheetId="15">[2]Paramter!$A$16:$A$27</definedName>
    <definedName name="_____MTH06" localSheetId="18">[2]Paramter!$A$16:$A$27</definedName>
    <definedName name="_____MTH06" localSheetId="12">[2]Paramter!$A$16:$A$27</definedName>
    <definedName name="_____MTH06" localSheetId="26">[2]Paramter!$A$16:$A$27</definedName>
    <definedName name="_____MTH06" localSheetId="25">[2]Paramter!$A$16:$A$27</definedName>
    <definedName name="_____MTH06" localSheetId="30">[2]Paramter!$A$16:$A$27</definedName>
    <definedName name="_____MTH06" localSheetId="27">[2]Paramter!$A$16:$A$27</definedName>
    <definedName name="_____MTH06" localSheetId="28">[2]Paramter!$A$16:$A$27</definedName>
    <definedName name="_____MTH06" localSheetId="31">[2]Paramter!$A$16:$A$27</definedName>
    <definedName name="_____MTH06" localSheetId="29">[2]Paramter!$A$16:$A$27</definedName>
    <definedName name="_____MTH06" localSheetId="11">[2]Paramter!$A$16:$A$27</definedName>
    <definedName name="_____MTH06" localSheetId="40">[3]Paramter!$A$16:$A$27</definedName>
    <definedName name="_____MTH06">[3]Paramter!$A$16:$A$27</definedName>
    <definedName name="____MTH06" localSheetId="19">[2]Paramter!$A$16:$A$27</definedName>
    <definedName name="____MTH06" localSheetId="23">[2]Paramter!$A$16:$A$27</definedName>
    <definedName name="____MTH06" localSheetId="20">[2]Paramter!$A$16:$A$27</definedName>
    <definedName name="____MTH06" localSheetId="22">[2]Paramter!$A$16:$A$27</definedName>
    <definedName name="____MTH06" localSheetId="24">[2]Paramter!$A$16:$A$27</definedName>
    <definedName name="____MTH06" localSheetId="21">[2]Paramter!$A$16:$A$27</definedName>
    <definedName name="____MTH06" localSheetId="13">[2]Paramter!$A$16:$A$27</definedName>
    <definedName name="____MTH06" localSheetId="17">[2]Paramter!$A$16:$A$27</definedName>
    <definedName name="____MTH06" localSheetId="14">[2]Paramter!$A$16:$A$27</definedName>
    <definedName name="____MTH06" localSheetId="16">[2]Paramter!$A$16:$A$27</definedName>
    <definedName name="____MTH06" localSheetId="15">[2]Paramter!$A$16:$A$27</definedName>
    <definedName name="____MTH06" localSheetId="18">[2]Paramter!$A$16:$A$27</definedName>
    <definedName name="____MTH06" localSheetId="12">[2]Paramter!$A$16:$A$27</definedName>
    <definedName name="____MTH06" localSheetId="26">[2]Paramter!$A$16:$A$27</definedName>
    <definedName name="____MTH06" localSheetId="25">[2]Paramter!$A$16:$A$27</definedName>
    <definedName name="____MTH06" localSheetId="30">[2]Paramter!$A$16:$A$27</definedName>
    <definedName name="____MTH06" localSheetId="27">[2]Paramter!$A$16:$A$27</definedName>
    <definedName name="____MTH06" localSheetId="28">[2]Paramter!$A$16:$A$27</definedName>
    <definedName name="____MTH06" localSheetId="31">[2]Paramter!$A$16:$A$27</definedName>
    <definedName name="____MTH06" localSheetId="29">[2]Paramter!$A$16:$A$27</definedName>
    <definedName name="____MTH06" localSheetId="11">[2]Paramter!$A$16:$A$27</definedName>
    <definedName name="____MTH06" localSheetId="40">[3]Paramter!$A$16:$A$27</definedName>
    <definedName name="____MTH06">[3]Paramter!$A$16:$A$27</definedName>
    <definedName name="___MTH06" localSheetId="19">[2]Paramter!$A$16:$A$27</definedName>
    <definedName name="___MTH06" localSheetId="23">[2]Paramter!$A$16:$A$27</definedName>
    <definedName name="___MTH06" localSheetId="20">[2]Paramter!$A$16:$A$27</definedName>
    <definedName name="___MTH06" localSheetId="22">[2]Paramter!$A$16:$A$27</definedName>
    <definedName name="___MTH06" localSheetId="24">[2]Paramter!$A$16:$A$27</definedName>
    <definedName name="___MTH06" localSheetId="21">[2]Paramter!$A$16:$A$27</definedName>
    <definedName name="___MTH06" localSheetId="13">[2]Paramter!$A$16:$A$27</definedName>
    <definedName name="___MTH06" localSheetId="17">[2]Paramter!$A$16:$A$27</definedName>
    <definedName name="___MTH06" localSheetId="14">[2]Paramter!$A$16:$A$27</definedName>
    <definedName name="___MTH06" localSheetId="16">[2]Paramter!$A$16:$A$27</definedName>
    <definedName name="___MTH06" localSheetId="15">[2]Paramter!$A$16:$A$27</definedName>
    <definedName name="___MTH06" localSheetId="18">[2]Paramter!$A$16:$A$27</definedName>
    <definedName name="___MTH06" localSheetId="12">[2]Paramter!$A$16:$A$27</definedName>
    <definedName name="___MTH06" localSheetId="26">[2]Paramter!$A$16:$A$27</definedName>
    <definedName name="___MTH06" localSheetId="25">[2]Paramter!$A$16:$A$27</definedName>
    <definedName name="___MTH06" localSheetId="30">[2]Paramter!$A$16:$A$27</definedName>
    <definedName name="___MTH06" localSheetId="27">[2]Paramter!$A$16:$A$27</definedName>
    <definedName name="___MTH06" localSheetId="28">[2]Paramter!$A$16:$A$27</definedName>
    <definedName name="___MTH06" localSheetId="31">[2]Paramter!$A$16:$A$27</definedName>
    <definedName name="___MTH06" localSheetId="29">[2]Paramter!$A$16:$A$27</definedName>
    <definedName name="___MTH06" localSheetId="11">[2]Paramter!$A$16:$A$27</definedName>
    <definedName name="___MTH06" localSheetId="40">[3]Paramter!$A$16:$A$27</definedName>
    <definedName name="___MTH06">[3]Paramter!$A$16:$A$27</definedName>
    <definedName name="__1__123Graph_ACHART_1" hidden="1">#N/A</definedName>
    <definedName name="__2__123Graph_ACHART_10" hidden="1">#N/A</definedName>
    <definedName name="__3__123Graph_ACHART_11" hidden="1">#N/A</definedName>
    <definedName name="__4__123Graph_ACHART_12" hidden="1">#N/A</definedName>
    <definedName name="__5__123Graph_ACHART_13" hidden="1">#N/A</definedName>
    <definedName name="__6__123Graph_ACHART_14" hidden="1">#N/A</definedName>
    <definedName name="__7__123Graph_ACHART_15" hidden="1">#N/A</definedName>
    <definedName name="__8__123Graph_ACHART_16" hidden="1">#N/A</definedName>
    <definedName name="__9__123Graph_ACHART_17" hidden="1">#N/A</definedName>
    <definedName name="__CYQ1" localSheetId="19">#REF!</definedName>
    <definedName name="__CYQ1" localSheetId="23">#REF!</definedName>
    <definedName name="__CYQ1" localSheetId="20">#REF!</definedName>
    <definedName name="__CYQ1" localSheetId="22">#REF!</definedName>
    <definedName name="__CYQ1" localSheetId="24">#REF!</definedName>
    <definedName name="__CYQ1" localSheetId="21">#REF!</definedName>
    <definedName name="__CYQ1" localSheetId="13">#REF!</definedName>
    <definedName name="__CYQ1" localSheetId="17">#REF!</definedName>
    <definedName name="__CYQ1" localSheetId="14">#REF!</definedName>
    <definedName name="__CYQ1" localSheetId="16">#REF!</definedName>
    <definedName name="__CYQ1" localSheetId="15">#REF!</definedName>
    <definedName name="__CYQ1" localSheetId="18">#REF!</definedName>
    <definedName name="__CYQ1" localSheetId="12">#REF!</definedName>
    <definedName name="__CYQ1" localSheetId="26">#REF!</definedName>
    <definedName name="__CYQ1" localSheetId="25">#REF!</definedName>
    <definedName name="__CYQ1" localSheetId="30">#REF!</definedName>
    <definedName name="__CYQ1" localSheetId="27">#REF!</definedName>
    <definedName name="__CYQ1" localSheetId="28">#REF!</definedName>
    <definedName name="__CYQ1" localSheetId="31">#REF!</definedName>
    <definedName name="__CYQ1" localSheetId="29">#REF!</definedName>
    <definedName name="__CYQ1" localSheetId="11">#REF!</definedName>
    <definedName name="__CYQ1" localSheetId="37">#REF!</definedName>
    <definedName name="__CYQ1" localSheetId="39">#REF!</definedName>
    <definedName name="__CYQ1" localSheetId="40">#REF!</definedName>
    <definedName name="__CYQ1">#REF!</definedName>
    <definedName name="__CYQ2" localSheetId="19">#REF!</definedName>
    <definedName name="__CYQ2" localSheetId="23">#REF!</definedName>
    <definedName name="__CYQ2" localSheetId="20">#REF!</definedName>
    <definedName name="__CYQ2" localSheetId="22">#REF!</definedName>
    <definedName name="__CYQ2" localSheetId="24">#REF!</definedName>
    <definedName name="__CYQ2" localSheetId="21">#REF!</definedName>
    <definedName name="__CYQ2" localSheetId="13">#REF!</definedName>
    <definedName name="__CYQ2" localSheetId="17">#REF!</definedName>
    <definedName name="__CYQ2" localSheetId="14">#REF!</definedName>
    <definedName name="__CYQ2" localSheetId="16">#REF!</definedName>
    <definedName name="__CYQ2" localSheetId="15">#REF!</definedName>
    <definedName name="__CYQ2" localSheetId="18">#REF!</definedName>
    <definedName name="__CYQ2" localSheetId="12">#REF!</definedName>
    <definedName name="__CYQ2" localSheetId="26">#REF!</definedName>
    <definedName name="__CYQ2" localSheetId="25">#REF!</definedName>
    <definedName name="__CYQ2" localSheetId="30">#REF!</definedName>
    <definedName name="__CYQ2" localSheetId="27">#REF!</definedName>
    <definedName name="__CYQ2" localSheetId="28">#REF!</definedName>
    <definedName name="__CYQ2" localSheetId="31">#REF!</definedName>
    <definedName name="__CYQ2" localSheetId="29">#REF!</definedName>
    <definedName name="__CYQ2" localSheetId="11">#REF!</definedName>
    <definedName name="__CYQ2" localSheetId="39">#REF!</definedName>
    <definedName name="__CYQ2" localSheetId="40">#REF!</definedName>
    <definedName name="__CYQ2">#REF!</definedName>
    <definedName name="__CYQ3" localSheetId="19">#REF!</definedName>
    <definedName name="__CYQ3" localSheetId="23">#REF!</definedName>
    <definedName name="__CYQ3" localSheetId="20">#REF!</definedName>
    <definedName name="__CYQ3" localSheetId="22">#REF!</definedName>
    <definedName name="__CYQ3" localSheetId="24">#REF!</definedName>
    <definedName name="__CYQ3" localSheetId="21">#REF!</definedName>
    <definedName name="__CYQ3" localSheetId="13">#REF!</definedName>
    <definedName name="__CYQ3" localSheetId="17">#REF!</definedName>
    <definedName name="__CYQ3" localSheetId="14">#REF!</definedName>
    <definedName name="__CYQ3" localSheetId="16">#REF!</definedName>
    <definedName name="__CYQ3" localSheetId="15">#REF!</definedName>
    <definedName name="__CYQ3" localSheetId="18">#REF!</definedName>
    <definedName name="__CYQ3" localSheetId="12">#REF!</definedName>
    <definedName name="__CYQ3" localSheetId="26">#REF!</definedName>
    <definedName name="__CYQ3" localSheetId="25">#REF!</definedName>
    <definedName name="__CYQ3" localSheetId="30">#REF!</definedName>
    <definedName name="__CYQ3" localSheetId="27">#REF!</definedName>
    <definedName name="__CYQ3" localSheetId="28">#REF!</definedName>
    <definedName name="__CYQ3" localSheetId="31">#REF!</definedName>
    <definedName name="__CYQ3" localSheetId="29">#REF!</definedName>
    <definedName name="__CYQ3" localSheetId="11">#REF!</definedName>
    <definedName name="__CYQ3" localSheetId="40">#REF!</definedName>
    <definedName name="__CYQ3">#REF!</definedName>
    <definedName name="__CYQ4" localSheetId="19">#REF!</definedName>
    <definedName name="__CYQ4" localSheetId="23">#REF!</definedName>
    <definedName name="__CYQ4" localSheetId="20">#REF!</definedName>
    <definedName name="__CYQ4" localSheetId="22">#REF!</definedName>
    <definedName name="__CYQ4" localSheetId="24">#REF!</definedName>
    <definedName name="__CYQ4" localSheetId="21">#REF!</definedName>
    <definedName name="__CYQ4" localSheetId="13">#REF!</definedName>
    <definedName name="__CYQ4" localSheetId="17">#REF!</definedName>
    <definedName name="__CYQ4" localSheetId="14">#REF!</definedName>
    <definedName name="__CYQ4" localSheetId="16">#REF!</definedName>
    <definedName name="__CYQ4" localSheetId="15">#REF!</definedName>
    <definedName name="__CYQ4" localSheetId="18">#REF!</definedName>
    <definedName name="__CYQ4" localSheetId="12">#REF!</definedName>
    <definedName name="__CYQ4" localSheetId="26">#REF!</definedName>
    <definedName name="__CYQ4" localSheetId="25">#REF!</definedName>
    <definedName name="__CYQ4" localSheetId="30">#REF!</definedName>
    <definedName name="__CYQ4" localSheetId="27">#REF!</definedName>
    <definedName name="__CYQ4" localSheetId="28">#REF!</definedName>
    <definedName name="__CYQ4" localSheetId="31">#REF!</definedName>
    <definedName name="__CYQ4" localSheetId="29">#REF!</definedName>
    <definedName name="__CYQ4" localSheetId="11">#REF!</definedName>
    <definedName name="__CYQ4" localSheetId="40">#REF!</definedName>
    <definedName name="__CYQ4">#REF!</definedName>
    <definedName name="__FDS_HYPERLINK_TOGGLE_STATE__" hidden="1">"ON"</definedName>
    <definedName name="__MTH06">[1]Paramter!$A$16:$A$27</definedName>
    <definedName name="__NYQ1" localSheetId="19">#REF!</definedName>
    <definedName name="__NYQ1" localSheetId="23">#REF!</definedName>
    <definedName name="__NYQ1" localSheetId="20">#REF!</definedName>
    <definedName name="__NYQ1" localSheetId="22">#REF!</definedName>
    <definedName name="__NYQ1" localSheetId="24">#REF!</definedName>
    <definedName name="__NYQ1" localSheetId="21">#REF!</definedName>
    <definedName name="__NYQ1" localSheetId="13">#REF!</definedName>
    <definedName name="__NYQ1" localSheetId="17">#REF!</definedName>
    <definedName name="__NYQ1" localSheetId="14">#REF!</definedName>
    <definedName name="__NYQ1" localSheetId="16">#REF!</definedName>
    <definedName name="__NYQ1" localSheetId="15">#REF!</definedName>
    <definedName name="__NYQ1" localSheetId="18">#REF!</definedName>
    <definedName name="__NYQ1" localSheetId="12">#REF!</definedName>
    <definedName name="__NYQ1" localSheetId="26">#REF!</definedName>
    <definedName name="__NYQ1" localSheetId="25">#REF!</definedName>
    <definedName name="__NYQ1" localSheetId="30">#REF!</definedName>
    <definedName name="__NYQ1" localSheetId="27">#REF!</definedName>
    <definedName name="__NYQ1" localSheetId="28">#REF!</definedName>
    <definedName name="__NYQ1" localSheetId="31">#REF!</definedName>
    <definedName name="__NYQ1" localSheetId="29">#REF!</definedName>
    <definedName name="__NYQ1" localSheetId="11">#REF!</definedName>
    <definedName name="__NYQ1" localSheetId="40">#REF!</definedName>
    <definedName name="__NYQ1">#REF!</definedName>
    <definedName name="__NYQ2" localSheetId="19">#REF!</definedName>
    <definedName name="__NYQ2" localSheetId="23">#REF!</definedName>
    <definedName name="__NYQ2" localSheetId="20">#REF!</definedName>
    <definedName name="__NYQ2" localSheetId="22">#REF!</definedName>
    <definedName name="__NYQ2" localSheetId="24">#REF!</definedName>
    <definedName name="__NYQ2" localSheetId="21">#REF!</definedName>
    <definedName name="__NYQ2" localSheetId="13">#REF!</definedName>
    <definedName name="__NYQ2" localSheetId="17">#REF!</definedName>
    <definedName name="__NYQ2" localSheetId="14">#REF!</definedName>
    <definedName name="__NYQ2" localSheetId="16">#REF!</definedName>
    <definedName name="__NYQ2" localSheetId="15">#REF!</definedName>
    <definedName name="__NYQ2" localSheetId="18">#REF!</definedName>
    <definedName name="__NYQ2" localSheetId="12">#REF!</definedName>
    <definedName name="__NYQ2" localSheetId="26">#REF!</definedName>
    <definedName name="__NYQ2" localSheetId="25">#REF!</definedName>
    <definedName name="__NYQ2" localSheetId="30">#REF!</definedName>
    <definedName name="__NYQ2" localSheetId="27">#REF!</definedName>
    <definedName name="__NYQ2" localSheetId="28">#REF!</definedName>
    <definedName name="__NYQ2" localSheetId="31">#REF!</definedName>
    <definedName name="__NYQ2" localSheetId="29">#REF!</definedName>
    <definedName name="__NYQ2" localSheetId="11">#REF!</definedName>
    <definedName name="__NYQ2" localSheetId="40">#REF!</definedName>
    <definedName name="__NYQ2">#REF!</definedName>
    <definedName name="__NYQ3" localSheetId="19">#REF!</definedName>
    <definedName name="__NYQ3" localSheetId="23">#REF!</definedName>
    <definedName name="__NYQ3" localSheetId="20">#REF!</definedName>
    <definedName name="__NYQ3" localSheetId="22">#REF!</definedName>
    <definedName name="__NYQ3" localSheetId="24">#REF!</definedName>
    <definedName name="__NYQ3" localSheetId="21">#REF!</definedName>
    <definedName name="__NYQ3" localSheetId="13">#REF!</definedName>
    <definedName name="__NYQ3" localSheetId="17">#REF!</definedName>
    <definedName name="__NYQ3" localSheetId="14">#REF!</definedName>
    <definedName name="__NYQ3" localSheetId="16">#REF!</definedName>
    <definedName name="__NYQ3" localSheetId="15">#REF!</definedName>
    <definedName name="__NYQ3" localSheetId="18">#REF!</definedName>
    <definedName name="__NYQ3" localSheetId="12">#REF!</definedName>
    <definedName name="__NYQ3" localSheetId="26">#REF!</definedName>
    <definedName name="__NYQ3" localSheetId="25">#REF!</definedName>
    <definedName name="__NYQ3" localSheetId="30">#REF!</definedName>
    <definedName name="__NYQ3" localSheetId="27">#REF!</definedName>
    <definedName name="__NYQ3" localSheetId="28">#REF!</definedName>
    <definedName name="__NYQ3" localSheetId="31">#REF!</definedName>
    <definedName name="__NYQ3" localSheetId="29">#REF!</definedName>
    <definedName name="__NYQ3" localSheetId="11">#REF!</definedName>
    <definedName name="__NYQ3" localSheetId="40">#REF!</definedName>
    <definedName name="__NYQ3">#REF!</definedName>
    <definedName name="__NYQ4" localSheetId="19">#REF!</definedName>
    <definedName name="__NYQ4" localSheetId="23">#REF!</definedName>
    <definedName name="__NYQ4" localSheetId="20">#REF!</definedName>
    <definedName name="__NYQ4" localSheetId="22">#REF!</definedName>
    <definedName name="__NYQ4" localSheetId="24">#REF!</definedName>
    <definedName name="__NYQ4" localSheetId="21">#REF!</definedName>
    <definedName name="__NYQ4" localSheetId="13">#REF!</definedName>
    <definedName name="__NYQ4" localSheetId="17">#REF!</definedName>
    <definedName name="__NYQ4" localSheetId="14">#REF!</definedName>
    <definedName name="__NYQ4" localSheetId="16">#REF!</definedName>
    <definedName name="__NYQ4" localSheetId="15">#REF!</definedName>
    <definedName name="__NYQ4" localSheetId="18">#REF!</definedName>
    <definedName name="__NYQ4" localSheetId="12">#REF!</definedName>
    <definedName name="__NYQ4" localSheetId="26">#REF!</definedName>
    <definedName name="__NYQ4" localSheetId="25">#REF!</definedName>
    <definedName name="__NYQ4" localSheetId="30">#REF!</definedName>
    <definedName name="__NYQ4" localSheetId="27">#REF!</definedName>
    <definedName name="__NYQ4" localSheetId="28">#REF!</definedName>
    <definedName name="__NYQ4" localSheetId="31">#REF!</definedName>
    <definedName name="__NYQ4" localSheetId="29">#REF!</definedName>
    <definedName name="__NYQ4" localSheetId="11">#REF!</definedName>
    <definedName name="__NYQ4" localSheetId="40">#REF!</definedName>
    <definedName name="__NYQ4">#REF!</definedName>
    <definedName name="__sal2" localSheetId="26" hidden="1">{"SALARIOS",#N/A,FALSE,"Hoja3";"SUELDOS EMPLEADOS",#N/A,FALSE,"Hoja4";"SUELDOS EJECUTIVOS",#N/A,FALSE,"Hoja5"}</definedName>
    <definedName name="__sal2" localSheetId="25" hidden="1">{"SALARIOS",#N/A,FALSE,"Hoja3";"SUELDOS EMPLEADOS",#N/A,FALSE,"Hoja4";"SUELDOS EJECUTIVOS",#N/A,FALSE,"Hoja5"}</definedName>
    <definedName name="__sal2" localSheetId="30" hidden="1">{"SALARIOS",#N/A,FALSE,"Hoja3";"SUELDOS EMPLEADOS",#N/A,FALSE,"Hoja4";"SUELDOS EJECUTIVOS",#N/A,FALSE,"Hoja5"}</definedName>
    <definedName name="__sal2" localSheetId="27" hidden="1">{"SALARIOS",#N/A,FALSE,"Hoja3";"SUELDOS EMPLEADOS",#N/A,FALSE,"Hoja4";"SUELDOS EJECUTIVOS",#N/A,FALSE,"Hoja5"}</definedName>
    <definedName name="__sal2" localSheetId="28" hidden="1">{"SALARIOS",#N/A,FALSE,"Hoja3";"SUELDOS EMPLEADOS",#N/A,FALSE,"Hoja4";"SUELDOS EJECUTIVOS",#N/A,FALSE,"Hoja5"}</definedName>
    <definedName name="__sal2" localSheetId="31" hidden="1">{"SALARIOS",#N/A,FALSE,"Hoja3";"SUELDOS EMPLEADOS",#N/A,FALSE,"Hoja4";"SUELDOS EJECUTIVOS",#N/A,FALSE,"Hoja5"}</definedName>
    <definedName name="__sal2" localSheetId="29" hidden="1">{"SALARIOS",#N/A,FALSE,"Hoja3";"SUELDOS EMPLEADOS",#N/A,FALSE,"Hoja4";"SUELDOS EJECUTIVOS",#N/A,FALSE,"Hoja5"}</definedName>
    <definedName name="__sal2" hidden="1">{"SALARIOS",#N/A,FALSE,"Hoja3";"SUELDOS EMPLEADOS",#N/A,FALSE,"Hoja4";"SUELDOS EJECUTIVOS",#N/A,FALSE,"Hoja5"}</definedName>
    <definedName name="_1__123Graph_ACHART_1" hidden="1">#N/A</definedName>
    <definedName name="_10__123Graph_ACHART_18" hidden="1">#N/A</definedName>
    <definedName name="_100cf11_" localSheetId="26"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_100cf11_" localSheetId="25"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_100cf11_" localSheetId="30"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_100cf11_" localSheetId="27"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_100cf11_" localSheetId="28"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_100cf11_" localSheetId="31"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_100cf11_" localSheetId="29"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_100cf11_"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_11__123Graph_ACHART_18" localSheetId="26" hidden="1">#REF!</definedName>
    <definedName name="_11__123Graph_ACHART_18" localSheetId="25" hidden="1">#REF!</definedName>
    <definedName name="_11__123Graph_ACHART_18" localSheetId="30" hidden="1">#REF!</definedName>
    <definedName name="_11__123Graph_ACHART_18" localSheetId="27" hidden="1">#REF!</definedName>
    <definedName name="_11__123Graph_ACHART_18" localSheetId="28" hidden="1">#REF!</definedName>
    <definedName name="_11__123Graph_ACHART_18" localSheetId="31" hidden="1">#REF!</definedName>
    <definedName name="_11__123Graph_ACHART_18" localSheetId="29" hidden="1">#REF!</definedName>
    <definedName name="_11__123Graph_ACHART_18" localSheetId="40" hidden="1">#REF!</definedName>
    <definedName name="_11__123Graph_ACHART_18" hidden="1">#REF!</definedName>
    <definedName name="_11__123Graph_ACHART_2" hidden="1">#N/A</definedName>
    <definedName name="_12__123Graph_ACHART_2" hidden="1">#N/A</definedName>
    <definedName name="_12__123Graph_ACHART_22" hidden="1">#N/A</definedName>
    <definedName name="_13__123Graph_ACHART_23" hidden="1">#N/A</definedName>
    <definedName name="_14__123Graph_ACHART_22" localSheetId="26" hidden="1">#REF!</definedName>
    <definedName name="_14__123Graph_ACHART_22" localSheetId="25" hidden="1">#REF!</definedName>
    <definedName name="_14__123Graph_ACHART_22" localSheetId="30" hidden="1">#REF!</definedName>
    <definedName name="_14__123Graph_ACHART_22" localSheetId="27" hidden="1">#REF!</definedName>
    <definedName name="_14__123Graph_ACHART_22" localSheetId="28" hidden="1">#REF!</definedName>
    <definedName name="_14__123Graph_ACHART_22" localSheetId="31" hidden="1">#REF!</definedName>
    <definedName name="_14__123Graph_ACHART_22" localSheetId="29" hidden="1">#REF!</definedName>
    <definedName name="_14__123Graph_ACHART_22" localSheetId="40" hidden="1">#REF!</definedName>
    <definedName name="_14__123Graph_ACHART_22" hidden="1">#REF!</definedName>
    <definedName name="_14__123Graph_ACHART_24" hidden="1">#N/A</definedName>
    <definedName name="_15__123Graph_ACHART_23" hidden="1">#N/A</definedName>
    <definedName name="_15__123Graph_ACHART_25" hidden="1">#N/A</definedName>
    <definedName name="_16__123Graph_ACHART_26" hidden="1">#N/A</definedName>
    <definedName name="_17__123Graph_ACHART_24" localSheetId="26" hidden="1">#REF!</definedName>
    <definedName name="_17__123Graph_ACHART_24" localSheetId="25" hidden="1">#REF!</definedName>
    <definedName name="_17__123Graph_ACHART_24" localSheetId="30" hidden="1">#REF!</definedName>
    <definedName name="_17__123Graph_ACHART_24" localSheetId="27" hidden="1">#REF!</definedName>
    <definedName name="_17__123Graph_ACHART_24" localSheetId="28" hidden="1">#REF!</definedName>
    <definedName name="_17__123Graph_ACHART_24" localSheetId="31" hidden="1">#REF!</definedName>
    <definedName name="_17__123Graph_ACHART_24" localSheetId="29" hidden="1">#REF!</definedName>
    <definedName name="_17__123Graph_ACHART_24" localSheetId="40" hidden="1">#REF!</definedName>
    <definedName name="_17__123Graph_ACHART_24" hidden="1">#REF!</definedName>
    <definedName name="_17__123Graph_ACHART_27" hidden="1">#N/A</definedName>
    <definedName name="_18__123Graph_ACHART_28" hidden="1">#N/A</definedName>
    <definedName name="_19__123Graph_ACHART_25" localSheetId="26" hidden="1">#REF!</definedName>
    <definedName name="_19__123Graph_ACHART_25" localSheetId="25" hidden="1">#REF!</definedName>
    <definedName name="_19__123Graph_ACHART_25" localSheetId="30" hidden="1">#REF!</definedName>
    <definedName name="_19__123Graph_ACHART_25" localSheetId="27" hidden="1">#REF!</definedName>
    <definedName name="_19__123Graph_ACHART_25" localSheetId="28" hidden="1">#REF!</definedName>
    <definedName name="_19__123Graph_ACHART_25" localSheetId="31" hidden="1">#REF!</definedName>
    <definedName name="_19__123Graph_ACHART_25" localSheetId="29" hidden="1">#REF!</definedName>
    <definedName name="_19__123Graph_ACHART_25" localSheetId="40" hidden="1">#REF!</definedName>
    <definedName name="_19__123Graph_ACHART_25" hidden="1">#REF!</definedName>
    <definedName name="_19__123Graph_ACHART_29" hidden="1">#N/A</definedName>
    <definedName name="_2__123Graph_ACHART_10" hidden="1">#N/A</definedName>
    <definedName name="_20__123Graph_ACHART_26" hidden="1">#N/A</definedName>
    <definedName name="_20__123Graph_ACHART_3" hidden="1">#N/A</definedName>
    <definedName name="_21__123Graph_ACHART_30" hidden="1">#N/A</definedName>
    <definedName name="_22__123Graph_ACHART_27" localSheetId="26" hidden="1">#REF!</definedName>
    <definedName name="_22__123Graph_ACHART_27" localSheetId="25" hidden="1">#REF!</definedName>
    <definedName name="_22__123Graph_ACHART_27" localSheetId="30" hidden="1">#REF!</definedName>
    <definedName name="_22__123Graph_ACHART_27" localSheetId="27" hidden="1">#REF!</definedName>
    <definedName name="_22__123Graph_ACHART_27" localSheetId="28" hidden="1">#REF!</definedName>
    <definedName name="_22__123Graph_ACHART_27" localSheetId="31" hidden="1">#REF!</definedName>
    <definedName name="_22__123Graph_ACHART_27" localSheetId="29" hidden="1">#REF!</definedName>
    <definedName name="_22__123Graph_ACHART_27" localSheetId="40" hidden="1">#REF!</definedName>
    <definedName name="_22__123Graph_ACHART_27" hidden="1">#REF!</definedName>
    <definedName name="_22__123Graph_ACHART_4" hidden="1">#N/A</definedName>
    <definedName name="_23__123Graph_ACHART_28" hidden="1">#N/A</definedName>
    <definedName name="_23__123Graph_ACHART_5" hidden="1">#N/A</definedName>
    <definedName name="_24__123Graph_ACHART_29" hidden="1">#N/A</definedName>
    <definedName name="_24__123Graph_ACHART_6" hidden="1">#N/A</definedName>
    <definedName name="_25__123Graph_ACHART_3" hidden="1">#N/A</definedName>
    <definedName name="_25__123Graph_ACHART_7" hidden="1">#N/A</definedName>
    <definedName name="_26__123Graph_ACHART_8" hidden="1">#N/A</definedName>
    <definedName name="_27__123Graph_ACHART_30" localSheetId="26" hidden="1">#REF!</definedName>
    <definedName name="_27__123Graph_ACHART_30" localSheetId="25" hidden="1">#REF!</definedName>
    <definedName name="_27__123Graph_ACHART_30" localSheetId="30" hidden="1">#REF!</definedName>
    <definedName name="_27__123Graph_ACHART_30" localSheetId="27" hidden="1">#REF!</definedName>
    <definedName name="_27__123Graph_ACHART_30" localSheetId="28" hidden="1">#REF!</definedName>
    <definedName name="_27__123Graph_ACHART_30" localSheetId="31" hidden="1">#REF!</definedName>
    <definedName name="_27__123Graph_ACHART_30" localSheetId="29" hidden="1">#REF!</definedName>
    <definedName name="_27__123Graph_ACHART_30" localSheetId="40" hidden="1">#REF!</definedName>
    <definedName name="_27__123Graph_ACHART_30" hidden="1">#REF!</definedName>
    <definedName name="_27__123Graph_ACHART_9" hidden="1">#N/A</definedName>
    <definedName name="_28__123Graph_ACHART_4" hidden="1">#N/A</definedName>
    <definedName name="_28__123Graph_BCHART_1" hidden="1">#N/A</definedName>
    <definedName name="_29__123Graph_ACHART_5" hidden="1">#N/A</definedName>
    <definedName name="_29__123Graph_BCHART_10" hidden="1">#N/A</definedName>
    <definedName name="_3__123Graph_ACHART_11" hidden="1">#N/A</definedName>
    <definedName name="_30__123Graph_ACHART_6" hidden="1">#N/A</definedName>
    <definedName name="_30__123Graph_BCHART_11" hidden="1">#N/A</definedName>
    <definedName name="_31__123Graph_ACHART_7" hidden="1">#N/A</definedName>
    <definedName name="_31__123Graph_BCHART_12" hidden="1">#N/A</definedName>
    <definedName name="_32__123Graph_ACHART_8" hidden="1">#N/A</definedName>
    <definedName name="_32__123Graph_BCHART_13" hidden="1">#N/A</definedName>
    <definedName name="_33__123Graph_ACHART_9" hidden="1">#N/A</definedName>
    <definedName name="_33__123Graph_BCHART_14" hidden="1">#N/A</definedName>
    <definedName name="_34__123Graph_BCHART_1" hidden="1">#N/A</definedName>
    <definedName name="_34__123Graph_BCHART_15" hidden="1">#N/A</definedName>
    <definedName name="_35__123Graph_BCHART_10" hidden="1">#N/A</definedName>
    <definedName name="_35__123Graph_BCHART_16" hidden="1">#N/A</definedName>
    <definedName name="_36__123Graph_BCHART_11" hidden="1">#N/A</definedName>
    <definedName name="_36__123Graph_BCHART_17" hidden="1">#N/A</definedName>
    <definedName name="_37__123Graph_BCHART_12" hidden="1">#N/A</definedName>
    <definedName name="_37__123Graph_BCHART_18" hidden="1">#N/A</definedName>
    <definedName name="_38__123Graph_BCHART_13" hidden="1">#N/A</definedName>
    <definedName name="_38__123Graph_BCHART_2" hidden="1">#N/A</definedName>
    <definedName name="_39__123Graph_BCHART_14" hidden="1">#N/A</definedName>
    <definedName name="_39__123Graph_BCHART_22" hidden="1">#N/A</definedName>
    <definedName name="_3rd" localSheetId="19">#REF!</definedName>
    <definedName name="_3rd" localSheetId="23">#REF!</definedName>
    <definedName name="_3rd" localSheetId="20">#REF!</definedName>
    <definedName name="_3rd" localSheetId="22">#REF!</definedName>
    <definedName name="_3rd" localSheetId="24">#REF!</definedName>
    <definedName name="_3rd" localSheetId="21">#REF!</definedName>
    <definedName name="_3rd" localSheetId="13">#REF!</definedName>
    <definedName name="_3rd" localSheetId="17">#REF!</definedName>
    <definedName name="_3rd" localSheetId="14">#REF!</definedName>
    <definedName name="_3rd" localSheetId="16">#REF!</definedName>
    <definedName name="_3rd" localSheetId="15">#REF!</definedName>
    <definedName name="_3rd" localSheetId="18">#REF!</definedName>
    <definedName name="_3rd" localSheetId="12">#REF!</definedName>
    <definedName name="_3rd" localSheetId="26">#REF!</definedName>
    <definedName name="_3rd" localSheetId="25">#REF!</definedName>
    <definedName name="_3rd" localSheetId="30">#REF!</definedName>
    <definedName name="_3rd" localSheetId="27">#REF!</definedName>
    <definedName name="_3rd" localSheetId="28">#REF!</definedName>
    <definedName name="_3rd" localSheetId="31">#REF!</definedName>
    <definedName name="_3rd" localSheetId="29">#REF!</definedName>
    <definedName name="_3rd" localSheetId="11">#REF!</definedName>
    <definedName name="_3rd" localSheetId="38">#REF!</definedName>
    <definedName name="_3rd" localSheetId="40">#REF!</definedName>
    <definedName name="_3rd" localSheetId="34">#REF!</definedName>
    <definedName name="_3rd" localSheetId="33">#REF!</definedName>
    <definedName name="_3rd">#REF!</definedName>
    <definedName name="_4__123Graph_ACHART_12" hidden="1">#N/A</definedName>
    <definedName name="_40__123Graph_BCHART_15" hidden="1">#N/A</definedName>
    <definedName name="_40__123Graph_BCHART_23" hidden="1">#N/A</definedName>
    <definedName name="_41__123Graph_BCHART_16" hidden="1">#N/A</definedName>
    <definedName name="_41__123Graph_BCHART_24" hidden="1">#N/A</definedName>
    <definedName name="_42__123Graph_BCHART_17" hidden="1">#N/A</definedName>
    <definedName name="_42__123Graph_BCHART_25" hidden="1">#N/A</definedName>
    <definedName name="_43__123Graph_BCHART_26" hidden="1">#N/A</definedName>
    <definedName name="_44__123Graph_BCHART_18" localSheetId="26" hidden="1">#REF!</definedName>
    <definedName name="_44__123Graph_BCHART_18" localSheetId="25" hidden="1">#REF!</definedName>
    <definedName name="_44__123Graph_BCHART_18" localSheetId="30" hidden="1">#REF!</definedName>
    <definedName name="_44__123Graph_BCHART_18" localSheetId="27" hidden="1">#REF!</definedName>
    <definedName name="_44__123Graph_BCHART_18" localSheetId="28" hidden="1">#REF!</definedName>
    <definedName name="_44__123Graph_BCHART_18" localSheetId="31" hidden="1">#REF!</definedName>
    <definedName name="_44__123Graph_BCHART_18" localSheetId="29" hidden="1">#REF!</definedName>
    <definedName name="_44__123Graph_BCHART_18" localSheetId="40" hidden="1">#REF!</definedName>
    <definedName name="_44__123Graph_BCHART_18" hidden="1">#REF!</definedName>
    <definedName name="_44__123Graph_BCHART_27" hidden="1">#N/A</definedName>
    <definedName name="_45__123Graph_BCHART_2" hidden="1">#N/A</definedName>
    <definedName name="_45__123Graph_BCHART_28" hidden="1">#N/A</definedName>
    <definedName name="_46__123Graph_BCHART_29" hidden="1">#N/A</definedName>
    <definedName name="_47__123Graph_BCHART_22" localSheetId="26" hidden="1">#REF!</definedName>
    <definedName name="_47__123Graph_BCHART_22" localSheetId="25" hidden="1">#REF!</definedName>
    <definedName name="_47__123Graph_BCHART_22" localSheetId="30" hidden="1">#REF!</definedName>
    <definedName name="_47__123Graph_BCHART_22" localSheetId="27" hidden="1">#REF!</definedName>
    <definedName name="_47__123Graph_BCHART_22" localSheetId="28" hidden="1">#REF!</definedName>
    <definedName name="_47__123Graph_BCHART_22" localSheetId="31" hidden="1">#REF!</definedName>
    <definedName name="_47__123Graph_BCHART_22" localSheetId="29" hidden="1">#REF!</definedName>
    <definedName name="_47__123Graph_BCHART_22" localSheetId="40" hidden="1">#REF!</definedName>
    <definedName name="_47__123Graph_BCHART_22" hidden="1">#REF!</definedName>
    <definedName name="_47__123Graph_BCHART_3" hidden="1">#N/A</definedName>
    <definedName name="_48__123Graph_BCHART_23" hidden="1">#N/A</definedName>
    <definedName name="_48__123Graph_BCHART_30" hidden="1">#N/A</definedName>
    <definedName name="_49__123Graph_BCHART_4" hidden="1">#N/A</definedName>
    <definedName name="_5__123Graph_ACHART_13" hidden="1">#N/A</definedName>
    <definedName name="_50__123Graph_BCHART_24" localSheetId="26" hidden="1">#REF!</definedName>
    <definedName name="_50__123Graph_BCHART_24" localSheetId="25" hidden="1">#REF!</definedName>
    <definedName name="_50__123Graph_BCHART_24" localSheetId="30" hidden="1">#REF!</definedName>
    <definedName name="_50__123Graph_BCHART_24" localSheetId="27" hidden="1">#REF!</definedName>
    <definedName name="_50__123Graph_BCHART_24" localSheetId="28" hidden="1">#REF!</definedName>
    <definedName name="_50__123Graph_BCHART_24" localSheetId="31" hidden="1">#REF!</definedName>
    <definedName name="_50__123Graph_BCHART_24" localSheetId="29" hidden="1">#REF!</definedName>
    <definedName name="_50__123Graph_BCHART_24" localSheetId="40" hidden="1">#REF!</definedName>
    <definedName name="_50__123Graph_BCHART_24" hidden="1">#REF!</definedName>
    <definedName name="_50__123Graph_BCHART_5" hidden="1">#N/A</definedName>
    <definedName name="_51__123Graph_BCHART_6" hidden="1">#N/A</definedName>
    <definedName name="_52__123Graph_BCHART_25" localSheetId="26" hidden="1">#REF!</definedName>
    <definedName name="_52__123Graph_BCHART_25" localSheetId="25" hidden="1">#REF!</definedName>
    <definedName name="_52__123Graph_BCHART_25" localSheetId="30" hidden="1">#REF!</definedName>
    <definedName name="_52__123Graph_BCHART_25" localSheetId="27" hidden="1">#REF!</definedName>
    <definedName name="_52__123Graph_BCHART_25" localSheetId="28" hidden="1">#REF!</definedName>
    <definedName name="_52__123Graph_BCHART_25" localSheetId="31" hidden="1">#REF!</definedName>
    <definedName name="_52__123Graph_BCHART_25" localSheetId="29" hidden="1">#REF!</definedName>
    <definedName name="_52__123Graph_BCHART_25" localSheetId="40" hidden="1">#REF!</definedName>
    <definedName name="_52__123Graph_BCHART_25" hidden="1">#REF!</definedName>
    <definedName name="_52__123Graph_BCHART_7" hidden="1">#N/A</definedName>
    <definedName name="_53__123Graph_BCHART_26" hidden="1">#N/A</definedName>
    <definedName name="_53__123Graph_BCHART_8" hidden="1">#N/A</definedName>
    <definedName name="_54__123Graph_BCHART_9" hidden="1">#N/A</definedName>
    <definedName name="_55__123Graph_BCHART_27" localSheetId="26" hidden="1">#REF!</definedName>
    <definedName name="_55__123Graph_BCHART_27" localSheetId="25" hidden="1">#REF!</definedName>
    <definedName name="_55__123Graph_BCHART_27" localSheetId="30" hidden="1">#REF!</definedName>
    <definedName name="_55__123Graph_BCHART_27" localSheetId="27" hidden="1">#REF!</definedName>
    <definedName name="_55__123Graph_BCHART_27" localSheetId="28" hidden="1">#REF!</definedName>
    <definedName name="_55__123Graph_BCHART_27" localSheetId="31" hidden="1">#REF!</definedName>
    <definedName name="_55__123Graph_BCHART_27" localSheetId="29" hidden="1">#REF!</definedName>
    <definedName name="_55__123Graph_BCHART_27" localSheetId="40" hidden="1">#REF!</definedName>
    <definedName name="_55__123Graph_BCHART_27" hidden="1">#REF!</definedName>
    <definedName name="_55__123Graph_CCHART_25" hidden="1">#N/A</definedName>
    <definedName name="_56__123Graph_BCHART_28" hidden="1">#N/A</definedName>
    <definedName name="_56__123Graph_CCHART_26" hidden="1">#N/A</definedName>
    <definedName name="_57__123Graph_BCHART_29" hidden="1">#N/A</definedName>
    <definedName name="_57__123Graph_CCHART_27" hidden="1">#N/A</definedName>
    <definedName name="_58__123Graph_BCHART_3" hidden="1">#N/A</definedName>
    <definedName name="_58__123Graph_CCHART_28" hidden="1">#N/A</definedName>
    <definedName name="_59__123Graph_CCHART_29" hidden="1">#N/A</definedName>
    <definedName name="_6__123Graph_ACHART_14" hidden="1">#N/A</definedName>
    <definedName name="_60__123Graph_BCHART_30" localSheetId="26" hidden="1">#REF!</definedName>
    <definedName name="_60__123Graph_BCHART_30" localSheetId="25" hidden="1">#REF!</definedName>
    <definedName name="_60__123Graph_BCHART_30" localSheetId="30" hidden="1">#REF!</definedName>
    <definedName name="_60__123Graph_BCHART_30" localSheetId="27" hidden="1">#REF!</definedName>
    <definedName name="_60__123Graph_BCHART_30" localSheetId="28" hidden="1">#REF!</definedName>
    <definedName name="_60__123Graph_BCHART_30" localSheetId="31" hidden="1">#REF!</definedName>
    <definedName name="_60__123Graph_BCHART_30" localSheetId="29" hidden="1">#REF!</definedName>
    <definedName name="_60__123Graph_BCHART_30" localSheetId="40" hidden="1">#REF!</definedName>
    <definedName name="_60__123Graph_BCHART_30" hidden="1">#REF!</definedName>
    <definedName name="_60__123Graph_CCHART_30" hidden="1">#N/A</definedName>
    <definedName name="_61__123Graph_BCHART_4" hidden="1">#N/A</definedName>
    <definedName name="_61__123Graph_DCHART_25" hidden="1">#N/A</definedName>
    <definedName name="_62__123Graph_BCHART_5" hidden="1">#N/A</definedName>
    <definedName name="_62__123Graph_DCHART_26" hidden="1">#N/A</definedName>
    <definedName name="_63__123Graph_BCHART_6" hidden="1">#N/A</definedName>
    <definedName name="_63__123Graph_DCHART_27" hidden="1">#N/A</definedName>
    <definedName name="_64__123Graph_BCHART_7" hidden="1">#N/A</definedName>
    <definedName name="_64__123Graph_DCHART_28" hidden="1">#N/A</definedName>
    <definedName name="_65__123Graph_BCHART_8" hidden="1">#N/A</definedName>
    <definedName name="_65__123Graph_DCHART_29" hidden="1">#N/A</definedName>
    <definedName name="_66__123Graph_BCHART_9" hidden="1">#N/A</definedName>
    <definedName name="_66__123Graph_DCHART_30" hidden="1">#N/A</definedName>
    <definedName name="_67__123Graph_XCHART_10" hidden="1">#N/A</definedName>
    <definedName name="_68__123Graph_CCHART_25" localSheetId="26" hidden="1">#REF!</definedName>
    <definedName name="_68__123Graph_CCHART_25" localSheetId="25" hidden="1">#REF!</definedName>
    <definedName name="_68__123Graph_CCHART_25" localSheetId="30" hidden="1">#REF!</definedName>
    <definedName name="_68__123Graph_CCHART_25" localSheetId="27" hidden="1">#REF!</definedName>
    <definedName name="_68__123Graph_CCHART_25" localSheetId="28" hidden="1">#REF!</definedName>
    <definedName name="_68__123Graph_CCHART_25" localSheetId="31" hidden="1">#REF!</definedName>
    <definedName name="_68__123Graph_CCHART_25" localSheetId="29" hidden="1">#REF!</definedName>
    <definedName name="_68__123Graph_CCHART_25" localSheetId="40" hidden="1">#REF!</definedName>
    <definedName name="_68__123Graph_CCHART_25" hidden="1">#REF!</definedName>
    <definedName name="_68__123Graph_XCHART_11" hidden="1">#N/A</definedName>
    <definedName name="_69__123Graph_CCHART_26" hidden="1">#N/A</definedName>
    <definedName name="_69__123Graph_XCHART_12" hidden="1">#N/A</definedName>
    <definedName name="_7__123Graph_ACHART_15" hidden="1">#N/A</definedName>
    <definedName name="_70__123Graph_XCHART_13" hidden="1">#N/A</definedName>
    <definedName name="_71__123Graph_CCHART_27" localSheetId="26" hidden="1">#REF!</definedName>
    <definedName name="_71__123Graph_CCHART_27" localSheetId="25" hidden="1">#REF!</definedName>
    <definedName name="_71__123Graph_CCHART_27" localSheetId="30" hidden="1">#REF!</definedName>
    <definedName name="_71__123Graph_CCHART_27" localSheetId="27" hidden="1">#REF!</definedName>
    <definedName name="_71__123Graph_CCHART_27" localSheetId="28" hidden="1">#REF!</definedName>
    <definedName name="_71__123Graph_CCHART_27" localSheetId="31" hidden="1">#REF!</definedName>
    <definedName name="_71__123Graph_CCHART_27" localSheetId="29" hidden="1">#REF!</definedName>
    <definedName name="_71__123Graph_CCHART_27" localSheetId="40" hidden="1">#REF!</definedName>
    <definedName name="_71__123Graph_CCHART_27" hidden="1">#REF!</definedName>
    <definedName name="_71__123Graph_XCHART_14" hidden="1">#N/A</definedName>
    <definedName name="_72__123Graph_CCHART_28" hidden="1">#N/A</definedName>
    <definedName name="_72__123Graph_XCHART_15" hidden="1">#N/A</definedName>
    <definedName name="_73__123Graph_CCHART_29" hidden="1">#N/A</definedName>
    <definedName name="_73__123Graph_XCHART_16" hidden="1">#N/A</definedName>
    <definedName name="_74__123Graph_XCHART_2" hidden="1">#N/A</definedName>
    <definedName name="_75__123Graph_CCHART_30" localSheetId="26" hidden="1">#REF!</definedName>
    <definedName name="_75__123Graph_CCHART_30" localSheetId="25" hidden="1">#REF!</definedName>
    <definedName name="_75__123Graph_CCHART_30" localSheetId="30" hidden="1">#REF!</definedName>
    <definedName name="_75__123Graph_CCHART_30" localSheetId="27" hidden="1">#REF!</definedName>
    <definedName name="_75__123Graph_CCHART_30" localSheetId="28" hidden="1">#REF!</definedName>
    <definedName name="_75__123Graph_CCHART_30" localSheetId="31" hidden="1">#REF!</definedName>
    <definedName name="_75__123Graph_CCHART_30" localSheetId="29" hidden="1">#REF!</definedName>
    <definedName name="_75__123Graph_CCHART_30" localSheetId="40" hidden="1">#REF!</definedName>
    <definedName name="_75__123Graph_CCHART_30" hidden="1">#REF!</definedName>
    <definedName name="_75__123Graph_XCHART_3" hidden="1">#N/A</definedName>
    <definedName name="_76__123Graph_XCHART_4" hidden="1">#N/A</definedName>
    <definedName name="_77__123Graph_DCHART_25" localSheetId="26" hidden="1">#REF!</definedName>
    <definedName name="_77__123Graph_DCHART_25" localSheetId="25" hidden="1">#REF!</definedName>
    <definedName name="_77__123Graph_DCHART_25" localSheetId="30" hidden="1">#REF!</definedName>
    <definedName name="_77__123Graph_DCHART_25" localSheetId="27" hidden="1">#REF!</definedName>
    <definedName name="_77__123Graph_DCHART_25" localSheetId="28" hidden="1">#REF!</definedName>
    <definedName name="_77__123Graph_DCHART_25" localSheetId="31" hidden="1">#REF!</definedName>
    <definedName name="_77__123Graph_DCHART_25" localSheetId="29" hidden="1">#REF!</definedName>
    <definedName name="_77__123Graph_DCHART_25" localSheetId="40" hidden="1">#REF!</definedName>
    <definedName name="_77__123Graph_DCHART_25" hidden="1">#REF!</definedName>
    <definedName name="_77__123Graph_XCHART_5" hidden="1">#N/A</definedName>
    <definedName name="_78__123Graph_DCHART_26" hidden="1">#N/A</definedName>
    <definedName name="_78__123Graph_XCHART_6" hidden="1">#N/A</definedName>
    <definedName name="_79__123Graph_XCHART_7" hidden="1">#N/A</definedName>
    <definedName name="_8__123Graph_ACHART_16" hidden="1">#N/A</definedName>
    <definedName name="_80__123Graph_DCHART_27" localSheetId="26" hidden="1">#REF!</definedName>
    <definedName name="_80__123Graph_DCHART_27" localSheetId="25" hidden="1">#REF!</definedName>
    <definedName name="_80__123Graph_DCHART_27" localSheetId="30" hidden="1">#REF!</definedName>
    <definedName name="_80__123Graph_DCHART_27" localSheetId="27" hidden="1">#REF!</definedName>
    <definedName name="_80__123Graph_DCHART_27" localSheetId="28" hidden="1">#REF!</definedName>
    <definedName name="_80__123Graph_DCHART_27" localSheetId="31" hidden="1">#REF!</definedName>
    <definedName name="_80__123Graph_DCHART_27" localSheetId="29" hidden="1">#REF!</definedName>
    <definedName name="_80__123Graph_DCHART_27" localSheetId="40" hidden="1">#REF!</definedName>
    <definedName name="_80__123Graph_DCHART_27" hidden="1">#REF!</definedName>
    <definedName name="_80__123Graph_XCHART_8" hidden="1">#N/A</definedName>
    <definedName name="_81__123Graph_DCHART_28" hidden="1">#N/A</definedName>
    <definedName name="_81__123Graph_XCHART_9" hidden="1">#N/A</definedName>
    <definedName name="_82__123Graph_DCHART_29" hidden="1">#N/A</definedName>
    <definedName name="_84__123Graph_DCHART_30" localSheetId="26" hidden="1">#REF!</definedName>
    <definedName name="_84__123Graph_DCHART_30" localSheetId="25" hidden="1">#REF!</definedName>
    <definedName name="_84__123Graph_DCHART_30" localSheetId="30" hidden="1">#REF!</definedName>
    <definedName name="_84__123Graph_DCHART_30" localSheetId="27" hidden="1">#REF!</definedName>
    <definedName name="_84__123Graph_DCHART_30" localSheetId="28" hidden="1">#REF!</definedName>
    <definedName name="_84__123Graph_DCHART_30" localSheetId="31" hidden="1">#REF!</definedName>
    <definedName name="_84__123Graph_DCHART_30" localSheetId="29" hidden="1">#REF!</definedName>
    <definedName name="_84__123Graph_DCHART_30" localSheetId="40" hidden="1">#REF!</definedName>
    <definedName name="_84__123Graph_DCHART_30" hidden="1">#REF!</definedName>
    <definedName name="_85__123Graph_XCHART_10" hidden="1">#N/A</definedName>
    <definedName name="_86__123Graph_XCHART_11" hidden="1">#N/A</definedName>
    <definedName name="_87__123Graph_XCHART_12" hidden="1">#N/A</definedName>
    <definedName name="_88__123Graph_XCHART_13" hidden="1">#N/A</definedName>
    <definedName name="_89__123Graph_XCHART_14" hidden="1">#N/A</definedName>
    <definedName name="_9__123Graph_ACHART_17" hidden="1">#N/A</definedName>
    <definedName name="_90__123Graph_XCHART_15" hidden="1">#N/A</definedName>
    <definedName name="_91__123Graph_XCHART_16" hidden="1">#N/A</definedName>
    <definedName name="_92__123Graph_XCHART_2" hidden="1">#N/A</definedName>
    <definedName name="_93__123Graph_XCHART_3" hidden="1">#N/A</definedName>
    <definedName name="_94__123Graph_XCHART_4" hidden="1">#N/A</definedName>
    <definedName name="_95__123Graph_XCHART_5" hidden="1">#N/A</definedName>
    <definedName name="_96__123Graph_XCHART_6" hidden="1">#N/A</definedName>
    <definedName name="_97__123Graph_XCHART_7" hidden="1">#N/A</definedName>
    <definedName name="_98__123Graph_XCHART_8" hidden="1">#N/A</definedName>
    <definedName name="_99__123Graph_XCHART_9" hidden="1">#N/A</definedName>
    <definedName name="_con2">[4]fw!$E$17</definedName>
    <definedName name="_CYQ1" localSheetId="19">#REF!</definedName>
    <definedName name="_CYQ1" localSheetId="23">#REF!</definedName>
    <definedName name="_CYQ1" localSheetId="20">#REF!</definedName>
    <definedName name="_CYQ1" localSheetId="22">#REF!</definedName>
    <definedName name="_CYQ1" localSheetId="24">#REF!</definedName>
    <definedName name="_CYQ1" localSheetId="21">#REF!</definedName>
    <definedName name="_CYQ1" localSheetId="13">#REF!</definedName>
    <definedName name="_CYQ1" localSheetId="17">#REF!</definedName>
    <definedName name="_CYQ1" localSheetId="14">#REF!</definedName>
    <definedName name="_CYQ1" localSheetId="16">#REF!</definedName>
    <definedName name="_CYQ1" localSheetId="15">#REF!</definedName>
    <definedName name="_CYQ1" localSheetId="18">#REF!</definedName>
    <definedName name="_CYQ1" localSheetId="12">#REF!</definedName>
    <definedName name="_CYQ1" localSheetId="26">#REF!</definedName>
    <definedName name="_CYQ1" localSheetId="25">#REF!</definedName>
    <definedName name="_CYQ1" localSheetId="30">#REF!</definedName>
    <definedName name="_CYQ1" localSheetId="27">#REF!</definedName>
    <definedName name="_CYQ1" localSheetId="28">#REF!</definedName>
    <definedName name="_CYQ1" localSheetId="31">#REF!</definedName>
    <definedName name="_CYQ1" localSheetId="29">#REF!</definedName>
    <definedName name="_CYQ1" localSheetId="11">#REF!</definedName>
    <definedName name="_CYQ1" localSheetId="40">#REF!</definedName>
    <definedName name="_CYQ1">#REF!</definedName>
    <definedName name="_CYQ2" localSheetId="19">#REF!</definedName>
    <definedName name="_CYQ2" localSheetId="23">#REF!</definedName>
    <definedName name="_CYQ2" localSheetId="20">#REF!</definedName>
    <definedName name="_CYQ2" localSheetId="22">#REF!</definedName>
    <definedName name="_CYQ2" localSheetId="24">#REF!</definedName>
    <definedName name="_CYQ2" localSheetId="21">#REF!</definedName>
    <definedName name="_CYQ2" localSheetId="13">#REF!</definedName>
    <definedName name="_CYQ2" localSheetId="17">#REF!</definedName>
    <definedName name="_CYQ2" localSheetId="14">#REF!</definedName>
    <definedName name="_CYQ2" localSheetId="16">#REF!</definedName>
    <definedName name="_CYQ2" localSheetId="15">#REF!</definedName>
    <definedName name="_CYQ2" localSheetId="18">#REF!</definedName>
    <definedName name="_CYQ2" localSheetId="12">#REF!</definedName>
    <definedName name="_CYQ2" localSheetId="26">#REF!</definedName>
    <definedName name="_CYQ2" localSheetId="25">#REF!</definedName>
    <definedName name="_CYQ2" localSheetId="30">#REF!</definedName>
    <definedName name="_CYQ2" localSheetId="27">#REF!</definedName>
    <definedName name="_CYQ2" localSheetId="28">#REF!</definedName>
    <definedName name="_CYQ2" localSheetId="31">#REF!</definedName>
    <definedName name="_CYQ2" localSheetId="29">#REF!</definedName>
    <definedName name="_CYQ2" localSheetId="11">#REF!</definedName>
    <definedName name="_CYQ2" localSheetId="40">#REF!</definedName>
    <definedName name="_CYQ2">#REF!</definedName>
    <definedName name="_CYQ3" localSheetId="19">#REF!</definedName>
    <definedName name="_CYQ3" localSheetId="23">#REF!</definedName>
    <definedName name="_CYQ3" localSheetId="20">#REF!</definedName>
    <definedName name="_CYQ3" localSheetId="22">#REF!</definedName>
    <definedName name="_CYQ3" localSheetId="24">#REF!</definedName>
    <definedName name="_CYQ3" localSheetId="21">#REF!</definedName>
    <definedName name="_CYQ3" localSheetId="13">#REF!</definedName>
    <definedName name="_CYQ3" localSheetId="17">#REF!</definedName>
    <definedName name="_CYQ3" localSheetId="14">#REF!</definedName>
    <definedName name="_CYQ3" localSheetId="16">#REF!</definedName>
    <definedName name="_CYQ3" localSheetId="15">#REF!</definedName>
    <definedName name="_CYQ3" localSheetId="18">#REF!</definedName>
    <definedName name="_CYQ3" localSheetId="12">#REF!</definedName>
    <definedName name="_CYQ3" localSheetId="26">#REF!</definedName>
    <definedName name="_CYQ3" localSheetId="25">#REF!</definedName>
    <definedName name="_CYQ3" localSheetId="30">#REF!</definedName>
    <definedName name="_CYQ3" localSheetId="27">#REF!</definedName>
    <definedName name="_CYQ3" localSheetId="28">#REF!</definedName>
    <definedName name="_CYQ3" localSheetId="31">#REF!</definedName>
    <definedName name="_CYQ3" localSheetId="29">#REF!</definedName>
    <definedName name="_CYQ3" localSheetId="11">#REF!</definedName>
    <definedName name="_CYQ3" localSheetId="40">#REF!</definedName>
    <definedName name="_CYQ3">#REF!</definedName>
    <definedName name="_CYQ4" localSheetId="19">#REF!</definedName>
    <definedName name="_CYQ4" localSheetId="23">#REF!</definedName>
    <definedName name="_CYQ4" localSheetId="20">#REF!</definedName>
    <definedName name="_CYQ4" localSheetId="22">#REF!</definedName>
    <definedName name="_CYQ4" localSheetId="24">#REF!</definedName>
    <definedName name="_CYQ4" localSheetId="21">#REF!</definedName>
    <definedName name="_CYQ4" localSheetId="13">#REF!</definedName>
    <definedName name="_CYQ4" localSheetId="17">#REF!</definedName>
    <definedName name="_CYQ4" localSheetId="14">#REF!</definedName>
    <definedName name="_CYQ4" localSheetId="16">#REF!</definedName>
    <definedName name="_CYQ4" localSheetId="15">#REF!</definedName>
    <definedName name="_CYQ4" localSheetId="18">#REF!</definedName>
    <definedName name="_CYQ4" localSheetId="12">#REF!</definedName>
    <definedName name="_CYQ4" localSheetId="26">#REF!</definedName>
    <definedName name="_CYQ4" localSheetId="25">#REF!</definedName>
    <definedName name="_CYQ4" localSheetId="30">#REF!</definedName>
    <definedName name="_CYQ4" localSheetId="27">#REF!</definedName>
    <definedName name="_CYQ4" localSheetId="28">#REF!</definedName>
    <definedName name="_CYQ4" localSheetId="31">#REF!</definedName>
    <definedName name="_CYQ4" localSheetId="29">#REF!</definedName>
    <definedName name="_CYQ4" localSheetId="11">#REF!</definedName>
    <definedName name="_CYQ4" localSheetId="40">#REF!</definedName>
    <definedName name="_CYQ4">#REF!</definedName>
    <definedName name="_fco2" localSheetId="26">#REF!</definedName>
    <definedName name="_fco2" localSheetId="25">#REF!</definedName>
    <definedName name="_fco2" localSheetId="30">#REF!</definedName>
    <definedName name="_fco2" localSheetId="27">#REF!</definedName>
    <definedName name="_fco2" localSheetId="28">#REF!</definedName>
    <definedName name="_fco2" localSheetId="31">#REF!</definedName>
    <definedName name="_fco2" localSheetId="29">#REF!</definedName>
    <definedName name="_fco2" localSheetId="40">#REF!</definedName>
    <definedName name="_fco2">#REF!</definedName>
    <definedName name="_Fill" localSheetId="26" hidden="1">#REF!</definedName>
    <definedName name="_Fill" localSheetId="25" hidden="1">#REF!</definedName>
    <definedName name="_Fill" localSheetId="30" hidden="1">#REF!</definedName>
    <definedName name="_Fill" localSheetId="27" hidden="1">#REF!</definedName>
    <definedName name="_Fill" localSheetId="28" hidden="1">#REF!</definedName>
    <definedName name="_Fill" localSheetId="31" hidden="1">#REF!</definedName>
    <definedName name="_Fill" localSheetId="29" hidden="1">#REF!</definedName>
    <definedName name="_Fill" localSheetId="40" hidden="1">#REF!</definedName>
    <definedName name="_Fill" hidden="1">#REF!</definedName>
    <definedName name="_xlnm._FilterDatabase" localSheetId="19" hidden="1">'Actual-ACPL'!$A$6:$AK$11</definedName>
    <definedName name="_xlnm._FilterDatabase" localSheetId="23" hidden="1">'Actual-ACPLGZ'!$A$6:$AK$11</definedName>
    <definedName name="_xlnm._FilterDatabase" localSheetId="20" hidden="1">'Actual-ACPLHK'!$A$6:$AK$11</definedName>
    <definedName name="_xlnm._FilterDatabase" localSheetId="22" hidden="1">'Actual-ACPLSZ'!$A$6:$AK$11</definedName>
    <definedName name="_xlnm._FilterDatabase" localSheetId="24" hidden="1">'Actual-ACPLYixing'!$A$6:$AK$11</definedName>
    <definedName name="_xlnm._FilterDatabase" localSheetId="21" hidden="1">'Actual-ACPSZL'!$A$6:$AK$11</definedName>
    <definedName name="_xlnm._FilterDatabase" localSheetId="13" hidden="1">'Budget-ACPL'!$A$6:$X$219</definedName>
    <definedName name="_xlnm._FilterDatabase" localSheetId="17" hidden="1">'Budget-ACPLGZ'!$A$6:$W$219</definedName>
    <definedName name="_xlnm._FilterDatabase" localSheetId="14" hidden="1">'Budget-ACPLHK'!$A$6:$X$219</definedName>
    <definedName name="_xlnm._FilterDatabase" localSheetId="16" hidden="1">'Budget-ACPLSZ'!$A$6:$X$219</definedName>
    <definedName name="_xlnm._FilterDatabase" localSheetId="15" hidden="1">'Budget-ACPSZL'!$A$6:$W$219</definedName>
    <definedName name="_xlnm._FilterDatabase" localSheetId="18" hidden="1">'Budget-Yixing'!$A$6:$W$219</definedName>
    <definedName name="_xlnm._FilterDatabase" localSheetId="12" hidden="1">'Budget-合并'!$A$6:$W$212</definedName>
    <definedName name="_xlnm._FilterDatabase" localSheetId="2" hidden="1">cashflow汇总实际!$A$37:$R$149</definedName>
    <definedName name="_xlnm._FilterDatabase" localSheetId="3" hidden="1">cashflow汇总预算2026!$A$37:$R$146</definedName>
    <definedName name="_xlnm._FilterDatabase" localSheetId="26" hidden="1">'CF-ACPL'!$A$4:$AG$60</definedName>
    <definedName name="_xlnm._FilterDatabase" localSheetId="25" hidden="1">'CF-ACPL（合并）'!$A$4:$AG$60</definedName>
    <definedName name="_xlnm._FilterDatabase" localSheetId="30" hidden="1">'CF-ACPLGZ'!$A$4:$AF$63</definedName>
    <definedName name="_xlnm._FilterDatabase" localSheetId="27" hidden="1">'CF-ACPLHK'!$A$4:$AG$58</definedName>
    <definedName name="_xlnm._FilterDatabase" localSheetId="28" hidden="1">'CF-ACPLSZ'!$A$4:$AF$63</definedName>
    <definedName name="_xlnm._FilterDatabase" localSheetId="31" hidden="1">'CF-ACPLYixing'!$A$4:$AF$63</definedName>
    <definedName name="_xlnm._FilterDatabase" localSheetId="29" hidden="1">'CF-ACPSZL'!$A$4:$AF$63</definedName>
    <definedName name="_xlnm._FilterDatabase" localSheetId="38" hidden="1">'Other Exp'!$A$3:$AA$194</definedName>
    <definedName name="_xlnm._FilterDatabase" localSheetId="40" hidden="1">'Personnel-CN'!$B$15:$AZ$296</definedName>
    <definedName name="_xlnm._FilterDatabase" localSheetId="7" hidden="1">Pipeline!$G$5:$G$14</definedName>
    <definedName name="_xlnm._FilterDatabase" localSheetId="34" hidden="1">'Prof. Fee'!$A$3:$WWL$150</definedName>
    <definedName name="_xlnm._FilterDatabase" localSheetId="32" hidden="1">SPACE!$A$3:$AA$107</definedName>
    <definedName name="_xlnm._FilterDatabase" localSheetId="33" hidden="1">'T&amp;E'!$A$16:$BC$45</definedName>
    <definedName name="_xlnm._FilterDatabase" localSheetId="5" hidden="1">情形1!$B$3:$S$38</definedName>
    <definedName name="_xlnm._FilterDatabase" localSheetId="6" hidden="1">情形2!$B$3:$S$38</definedName>
    <definedName name="_ftn1" localSheetId="19">#REF!</definedName>
    <definedName name="_ftn1" localSheetId="23">#REF!</definedName>
    <definedName name="_ftn1" localSheetId="20">#REF!</definedName>
    <definedName name="_ftn1" localSheetId="22">#REF!</definedName>
    <definedName name="_ftn1" localSheetId="24">#REF!</definedName>
    <definedName name="_ftn1" localSheetId="21">#REF!</definedName>
    <definedName name="_ftn1" localSheetId="13">#REF!</definedName>
    <definedName name="_ftn1" localSheetId="17">#REF!</definedName>
    <definedName name="_ftn1" localSheetId="14">#REF!</definedName>
    <definedName name="_ftn1" localSheetId="16">#REF!</definedName>
    <definedName name="_ftn1" localSheetId="15">#REF!</definedName>
    <definedName name="_ftn1" localSheetId="18">#REF!</definedName>
    <definedName name="_ftn1" localSheetId="12">#REF!</definedName>
    <definedName name="_ftn1" localSheetId="26">#REF!</definedName>
    <definedName name="_ftn1" localSheetId="25">#REF!</definedName>
    <definedName name="_ftn1" localSheetId="30">#REF!</definedName>
    <definedName name="_ftn1" localSheetId="27">#REF!</definedName>
    <definedName name="_ftn1" localSheetId="28">#REF!</definedName>
    <definedName name="_ftn1" localSheetId="31">#REF!</definedName>
    <definedName name="_ftn1" localSheetId="29">#REF!</definedName>
    <definedName name="_ftn1" localSheetId="11">#REF!</definedName>
    <definedName name="_ftn1" localSheetId="40">#REF!</definedName>
    <definedName name="_ftn1">#REF!</definedName>
    <definedName name="_ftnref1" localSheetId="19">#REF!</definedName>
    <definedName name="_ftnref1" localSheetId="23">#REF!</definedName>
    <definedName name="_ftnref1" localSheetId="20">#REF!</definedName>
    <definedName name="_ftnref1" localSheetId="22">#REF!</definedName>
    <definedName name="_ftnref1" localSheetId="24">#REF!</definedName>
    <definedName name="_ftnref1" localSheetId="21">#REF!</definedName>
    <definedName name="_ftnref1" localSheetId="13">#REF!</definedName>
    <definedName name="_ftnref1" localSheetId="17">#REF!</definedName>
    <definedName name="_ftnref1" localSheetId="14">#REF!</definedName>
    <definedName name="_ftnref1" localSheetId="16">#REF!</definedName>
    <definedName name="_ftnref1" localSheetId="15">#REF!</definedName>
    <definedName name="_ftnref1" localSheetId="18">#REF!</definedName>
    <definedName name="_ftnref1" localSheetId="12">#REF!</definedName>
    <definedName name="_ftnref1" localSheetId="26">#REF!</definedName>
    <definedName name="_ftnref1" localSheetId="25">#REF!</definedName>
    <definedName name="_ftnref1" localSheetId="30">#REF!</definedName>
    <definedName name="_ftnref1" localSheetId="27">#REF!</definedName>
    <definedName name="_ftnref1" localSheetId="28">#REF!</definedName>
    <definedName name="_ftnref1" localSheetId="31">#REF!</definedName>
    <definedName name="_ftnref1" localSheetId="29">#REF!</definedName>
    <definedName name="_ftnref1" localSheetId="11">#REF!</definedName>
    <definedName name="_ftnref1" localSheetId="40">#REF!</definedName>
    <definedName name="_ftnref1">#REF!</definedName>
    <definedName name="_Key1" localSheetId="19" hidden="1">#N/A</definedName>
    <definedName name="_Key1" localSheetId="23" hidden="1">#N/A</definedName>
    <definedName name="_Key1" localSheetId="20" hidden="1">#N/A</definedName>
    <definedName name="_Key1" localSheetId="22" hidden="1">#N/A</definedName>
    <definedName name="_Key1" localSheetId="24" hidden="1">#N/A</definedName>
    <definedName name="_Key1" localSheetId="21" hidden="1">#N/A</definedName>
    <definedName name="_Key1" localSheetId="13" hidden="1">#N/A</definedName>
    <definedName name="_Key1" localSheetId="17" hidden="1">#N/A</definedName>
    <definedName name="_Key1" localSheetId="14" hidden="1">#N/A</definedName>
    <definedName name="_Key1" localSheetId="16" hidden="1">#N/A</definedName>
    <definedName name="_Key1" localSheetId="15" hidden="1">#N/A</definedName>
    <definedName name="_Key1" localSheetId="18" hidden="1">#N/A</definedName>
    <definedName name="_Key1" localSheetId="12" hidden="1">#N/A</definedName>
    <definedName name="_Key1" localSheetId="26" hidden="1">#N/A</definedName>
    <definedName name="_Key1" localSheetId="25" hidden="1">#N/A</definedName>
    <definedName name="_Key1" localSheetId="30" hidden="1">#N/A</definedName>
    <definedName name="_Key1" localSheetId="27" hidden="1">#N/A</definedName>
    <definedName name="_Key1" localSheetId="28" hidden="1">#N/A</definedName>
    <definedName name="_Key1" localSheetId="31" hidden="1">#N/A</definedName>
    <definedName name="_Key1" localSheetId="29" hidden="1">#N/A</definedName>
    <definedName name="_Key1" localSheetId="11" hidden="1">#N/A</definedName>
    <definedName name="_Key1" localSheetId="37" hidden="1">#REF!</definedName>
    <definedName name="_Key1" localSheetId="39" hidden="1">#REF!</definedName>
    <definedName name="_Key1" localSheetId="38" hidden="1">#REF!</definedName>
    <definedName name="_Key1" localSheetId="40" hidden="1">#REF!</definedName>
    <definedName name="_Key1" localSheetId="34" hidden="1">#REF!</definedName>
    <definedName name="_Key1" localSheetId="33" hidden="1">#REF!</definedName>
    <definedName name="_Key1" hidden="1">#REF!</definedName>
    <definedName name="_Key2" localSheetId="19" hidden="1">#REF!</definedName>
    <definedName name="_Key2" localSheetId="23" hidden="1">#REF!</definedName>
    <definedName name="_Key2" localSheetId="20" hidden="1">#REF!</definedName>
    <definedName name="_Key2" localSheetId="22" hidden="1">#REF!</definedName>
    <definedName name="_Key2" localSheetId="24" hidden="1">#REF!</definedName>
    <definedName name="_Key2" localSheetId="21" hidden="1">#REF!</definedName>
    <definedName name="_Key2" localSheetId="13" hidden="1">#REF!</definedName>
    <definedName name="_Key2" localSheetId="17" hidden="1">#REF!</definedName>
    <definedName name="_Key2" localSheetId="14" hidden="1">#REF!</definedName>
    <definedName name="_Key2" localSheetId="16" hidden="1">#REF!</definedName>
    <definedName name="_Key2" localSheetId="15" hidden="1">#REF!</definedName>
    <definedName name="_Key2" localSheetId="18" hidden="1">#REF!</definedName>
    <definedName name="_Key2" localSheetId="12" hidden="1">#REF!</definedName>
    <definedName name="_Key2" localSheetId="26" hidden="1">#REF!</definedName>
    <definedName name="_Key2" localSheetId="25" hidden="1">#REF!</definedName>
    <definedName name="_Key2" localSheetId="30" hidden="1">#REF!</definedName>
    <definedName name="_Key2" localSheetId="27" hidden="1">#REF!</definedName>
    <definedName name="_Key2" localSheetId="28" hidden="1">#REF!</definedName>
    <definedName name="_Key2" localSheetId="31" hidden="1">#REF!</definedName>
    <definedName name="_Key2" localSheetId="29" hidden="1">#REF!</definedName>
    <definedName name="_Key2" localSheetId="11" hidden="1">#REF!</definedName>
    <definedName name="_Key2" localSheetId="38" hidden="1">#REF!</definedName>
    <definedName name="_Key2" localSheetId="40" hidden="1">#REF!</definedName>
    <definedName name="_Key2" localSheetId="34" hidden="1">#REF!</definedName>
    <definedName name="_Key2" localSheetId="33" hidden="1">#REF!</definedName>
    <definedName name="_Key2" hidden="1">#REF!</definedName>
    <definedName name="_MTH06" localSheetId="19">[5]Paramter!$A$16:$A$27</definedName>
    <definedName name="_MTH06" localSheetId="23">[5]Paramter!$A$16:$A$27</definedName>
    <definedName name="_MTH06" localSheetId="20">[5]Paramter!$A$16:$A$27</definedName>
    <definedName name="_MTH06" localSheetId="22">[5]Paramter!$A$16:$A$27</definedName>
    <definedName name="_MTH06" localSheetId="24">[5]Paramter!$A$16:$A$27</definedName>
    <definedName name="_MTH06" localSheetId="21">[5]Paramter!$A$16:$A$27</definedName>
    <definedName name="_MTH06" localSheetId="13">[5]Paramter!$A$16:$A$27</definedName>
    <definedName name="_MTH06" localSheetId="17">[5]Paramter!$A$16:$A$27</definedName>
    <definedName name="_MTH06" localSheetId="14">[5]Paramter!$A$16:$A$27</definedName>
    <definedName name="_MTH06" localSheetId="16">[5]Paramter!$A$16:$A$27</definedName>
    <definedName name="_MTH06" localSheetId="15">[5]Paramter!$A$16:$A$27</definedName>
    <definedName name="_MTH06" localSheetId="18">[5]Paramter!$A$16:$A$27</definedName>
    <definedName name="_MTH06" localSheetId="12">[5]Paramter!$A$16:$A$27</definedName>
    <definedName name="_MTH06" localSheetId="26">[5]Paramter!$A$16:$A$27</definedName>
    <definedName name="_MTH06" localSheetId="25">[5]Paramter!$A$16:$A$27</definedName>
    <definedName name="_MTH06" localSheetId="30">[5]Paramter!$A$16:$A$27</definedName>
    <definedName name="_MTH06" localSheetId="27">[5]Paramter!$A$16:$A$27</definedName>
    <definedName name="_MTH06" localSheetId="28">[5]Paramter!$A$16:$A$27</definedName>
    <definedName name="_MTH06" localSheetId="31">[5]Paramter!$A$16:$A$27</definedName>
    <definedName name="_MTH06" localSheetId="29">[5]Paramter!$A$16:$A$27</definedName>
    <definedName name="_MTH06" localSheetId="11">[5]Paramter!$A$16:$A$27</definedName>
    <definedName name="_MTH06" localSheetId="40">[6]Paramter!$A$16:$A$27</definedName>
    <definedName name="_MTH06">[6]Paramter!$A$16:$A$27</definedName>
    <definedName name="_NYQ1" localSheetId="19">#REF!</definedName>
    <definedName name="_NYQ1" localSheetId="23">#REF!</definedName>
    <definedName name="_NYQ1" localSheetId="20">#REF!</definedName>
    <definedName name="_NYQ1" localSheetId="22">#REF!</definedName>
    <definedName name="_NYQ1" localSheetId="24">#REF!</definedName>
    <definedName name="_NYQ1" localSheetId="21">#REF!</definedName>
    <definedName name="_NYQ1" localSheetId="13">#REF!</definedName>
    <definedName name="_NYQ1" localSheetId="17">#REF!</definedName>
    <definedName name="_NYQ1" localSheetId="14">#REF!</definedName>
    <definedName name="_NYQ1" localSheetId="16">#REF!</definedName>
    <definedName name="_NYQ1" localSheetId="15">#REF!</definedName>
    <definedName name="_NYQ1" localSheetId="18">#REF!</definedName>
    <definedName name="_NYQ1" localSheetId="12">#REF!</definedName>
    <definedName name="_NYQ1" localSheetId="26">#REF!</definedName>
    <definedName name="_NYQ1" localSheetId="25">#REF!</definedName>
    <definedName name="_NYQ1" localSheetId="30">#REF!</definedName>
    <definedName name="_NYQ1" localSheetId="27">#REF!</definedName>
    <definedName name="_NYQ1" localSheetId="28">#REF!</definedName>
    <definedName name="_NYQ1" localSheetId="31">#REF!</definedName>
    <definedName name="_NYQ1" localSheetId="29">#REF!</definedName>
    <definedName name="_NYQ1" localSheetId="11">#REF!</definedName>
    <definedName name="_NYQ1" localSheetId="40">#REF!</definedName>
    <definedName name="_NYQ1">#REF!</definedName>
    <definedName name="_NYQ2" localSheetId="19">#REF!</definedName>
    <definedName name="_NYQ2" localSheetId="23">#REF!</definedName>
    <definedName name="_NYQ2" localSheetId="20">#REF!</definedName>
    <definedName name="_NYQ2" localSheetId="22">#REF!</definedName>
    <definedName name="_NYQ2" localSheetId="24">#REF!</definedName>
    <definedName name="_NYQ2" localSheetId="21">#REF!</definedName>
    <definedName name="_NYQ2" localSheetId="13">#REF!</definedName>
    <definedName name="_NYQ2" localSheetId="17">#REF!</definedName>
    <definedName name="_NYQ2" localSheetId="14">#REF!</definedName>
    <definedName name="_NYQ2" localSheetId="16">#REF!</definedName>
    <definedName name="_NYQ2" localSheetId="15">#REF!</definedName>
    <definedName name="_NYQ2" localSheetId="18">#REF!</definedName>
    <definedName name="_NYQ2" localSheetId="12">#REF!</definedName>
    <definedName name="_NYQ2" localSheetId="26">#REF!</definedName>
    <definedName name="_NYQ2" localSheetId="25">#REF!</definedName>
    <definedName name="_NYQ2" localSheetId="30">#REF!</definedName>
    <definedName name="_NYQ2" localSheetId="27">#REF!</definedName>
    <definedName name="_NYQ2" localSheetId="28">#REF!</definedName>
    <definedName name="_NYQ2" localSheetId="31">#REF!</definedName>
    <definedName name="_NYQ2" localSheetId="29">#REF!</definedName>
    <definedName name="_NYQ2" localSheetId="11">#REF!</definedName>
    <definedName name="_NYQ2" localSheetId="40">#REF!</definedName>
    <definedName name="_NYQ2">#REF!</definedName>
    <definedName name="_NYQ3" localSheetId="19">#REF!</definedName>
    <definedName name="_NYQ3" localSheetId="23">#REF!</definedName>
    <definedName name="_NYQ3" localSheetId="20">#REF!</definedName>
    <definedName name="_NYQ3" localSheetId="22">#REF!</definedName>
    <definedName name="_NYQ3" localSheetId="24">#REF!</definedName>
    <definedName name="_NYQ3" localSheetId="21">#REF!</definedName>
    <definedName name="_NYQ3" localSheetId="13">#REF!</definedName>
    <definedName name="_NYQ3" localSheetId="17">#REF!</definedName>
    <definedName name="_NYQ3" localSheetId="14">#REF!</definedName>
    <definedName name="_NYQ3" localSheetId="16">#REF!</definedName>
    <definedName name="_NYQ3" localSheetId="15">#REF!</definedName>
    <definedName name="_NYQ3" localSheetId="18">#REF!</definedName>
    <definedName name="_NYQ3" localSheetId="12">#REF!</definedName>
    <definedName name="_NYQ3" localSheetId="26">#REF!</definedName>
    <definedName name="_NYQ3" localSheetId="25">#REF!</definedName>
    <definedName name="_NYQ3" localSheetId="30">#REF!</definedName>
    <definedName name="_NYQ3" localSheetId="27">#REF!</definedName>
    <definedName name="_NYQ3" localSheetId="28">#REF!</definedName>
    <definedName name="_NYQ3" localSheetId="31">#REF!</definedName>
    <definedName name="_NYQ3" localSheetId="29">#REF!</definedName>
    <definedName name="_NYQ3" localSheetId="11">#REF!</definedName>
    <definedName name="_NYQ3" localSheetId="40">#REF!</definedName>
    <definedName name="_NYQ3">#REF!</definedName>
    <definedName name="_NYQ4" localSheetId="19">#REF!</definedName>
    <definedName name="_NYQ4" localSheetId="23">#REF!</definedName>
    <definedName name="_NYQ4" localSheetId="20">#REF!</definedName>
    <definedName name="_NYQ4" localSheetId="22">#REF!</definedName>
    <definedName name="_NYQ4" localSheetId="24">#REF!</definedName>
    <definedName name="_NYQ4" localSheetId="21">#REF!</definedName>
    <definedName name="_NYQ4" localSheetId="13">#REF!</definedName>
    <definedName name="_NYQ4" localSheetId="17">#REF!</definedName>
    <definedName name="_NYQ4" localSheetId="14">#REF!</definedName>
    <definedName name="_NYQ4" localSheetId="16">#REF!</definedName>
    <definedName name="_NYQ4" localSheetId="15">#REF!</definedName>
    <definedName name="_NYQ4" localSheetId="18">#REF!</definedName>
    <definedName name="_NYQ4" localSheetId="12">#REF!</definedName>
    <definedName name="_NYQ4" localSheetId="26">#REF!</definedName>
    <definedName name="_NYQ4" localSheetId="25">#REF!</definedName>
    <definedName name="_NYQ4" localSheetId="30">#REF!</definedName>
    <definedName name="_NYQ4" localSheetId="27">#REF!</definedName>
    <definedName name="_NYQ4" localSheetId="28">#REF!</definedName>
    <definedName name="_NYQ4" localSheetId="31">#REF!</definedName>
    <definedName name="_NYQ4" localSheetId="29">#REF!</definedName>
    <definedName name="_NYQ4" localSheetId="11">#REF!</definedName>
    <definedName name="_NYQ4" localSheetId="40">#REF!</definedName>
    <definedName name="_NYQ4">#REF!</definedName>
    <definedName name="_Order1" hidden="1">255</definedName>
    <definedName name="_Order2" hidden="1">255</definedName>
    <definedName name="_P1" localSheetId="26">#REF!</definedName>
    <definedName name="_P1" localSheetId="25">#REF!</definedName>
    <definedName name="_P1" localSheetId="30">#REF!</definedName>
    <definedName name="_P1" localSheetId="27">#REF!</definedName>
    <definedName name="_P1" localSheetId="28">#REF!</definedName>
    <definedName name="_P1" localSheetId="31">#REF!</definedName>
    <definedName name="_P1" localSheetId="29">#REF!</definedName>
    <definedName name="_P1" localSheetId="40">#REF!</definedName>
    <definedName name="_P1">#REF!</definedName>
    <definedName name="_P2">[7]enth!$B$26</definedName>
    <definedName name="_sal2" localSheetId="26" hidden="1">{"SALARIOS",#N/A,FALSE,"Hoja3";"SUELDOS EMPLEADOS",#N/A,FALSE,"Hoja4";"SUELDOS EJECUTIVOS",#N/A,FALSE,"Hoja5"}</definedName>
    <definedName name="_sal2" localSheetId="25" hidden="1">{"SALARIOS",#N/A,FALSE,"Hoja3";"SUELDOS EMPLEADOS",#N/A,FALSE,"Hoja4";"SUELDOS EJECUTIVOS",#N/A,FALSE,"Hoja5"}</definedName>
    <definedName name="_sal2" localSheetId="30" hidden="1">{"SALARIOS",#N/A,FALSE,"Hoja3";"SUELDOS EMPLEADOS",#N/A,FALSE,"Hoja4";"SUELDOS EJECUTIVOS",#N/A,FALSE,"Hoja5"}</definedName>
    <definedName name="_sal2" localSheetId="27" hidden="1">{"SALARIOS",#N/A,FALSE,"Hoja3";"SUELDOS EMPLEADOS",#N/A,FALSE,"Hoja4";"SUELDOS EJECUTIVOS",#N/A,FALSE,"Hoja5"}</definedName>
    <definedName name="_sal2" localSheetId="28" hidden="1">{"SALARIOS",#N/A,FALSE,"Hoja3";"SUELDOS EMPLEADOS",#N/A,FALSE,"Hoja4";"SUELDOS EJECUTIVOS",#N/A,FALSE,"Hoja5"}</definedName>
    <definedName name="_sal2" localSheetId="31" hidden="1">{"SALARIOS",#N/A,FALSE,"Hoja3";"SUELDOS EMPLEADOS",#N/A,FALSE,"Hoja4";"SUELDOS EJECUTIVOS",#N/A,FALSE,"Hoja5"}</definedName>
    <definedName name="_sal2" localSheetId="29" hidden="1">{"SALARIOS",#N/A,FALSE,"Hoja3";"SUELDOS EMPLEADOS",#N/A,FALSE,"Hoja4";"SUELDOS EJECUTIVOS",#N/A,FALSE,"Hoja5"}</definedName>
    <definedName name="_sal2" hidden="1">{"SALARIOS",#N/A,FALSE,"Hoja3";"SUELDOS EMPLEADOS",#N/A,FALSE,"Hoja4";"SUELDOS EJECUTIVOS",#N/A,FALSE,"Hoja5"}</definedName>
    <definedName name="_Sort" localSheetId="19" hidden="1">#N/A</definedName>
    <definedName name="_Sort" localSheetId="23" hidden="1">#N/A</definedName>
    <definedName name="_Sort" localSheetId="20" hidden="1">#N/A</definedName>
    <definedName name="_Sort" localSheetId="22" hidden="1">#N/A</definedName>
    <definedName name="_Sort" localSheetId="24" hidden="1">#N/A</definedName>
    <definedName name="_Sort" localSheetId="21" hidden="1">#N/A</definedName>
    <definedName name="_Sort" localSheetId="13" hidden="1">#N/A</definedName>
    <definedName name="_Sort" localSheetId="17" hidden="1">#N/A</definedName>
    <definedName name="_Sort" localSheetId="14" hidden="1">#N/A</definedName>
    <definedName name="_Sort" localSheetId="16" hidden="1">#N/A</definedName>
    <definedName name="_Sort" localSheetId="15" hidden="1">#N/A</definedName>
    <definedName name="_Sort" localSheetId="18" hidden="1">#N/A</definedName>
    <definedName name="_Sort" localSheetId="12" hidden="1">#N/A</definedName>
    <definedName name="_Sort" localSheetId="26" hidden="1">#N/A</definedName>
    <definedName name="_Sort" localSheetId="25" hidden="1">#N/A</definedName>
    <definedName name="_Sort" localSheetId="30" hidden="1">#N/A</definedName>
    <definedName name="_Sort" localSheetId="27" hidden="1">#N/A</definedName>
    <definedName name="_Sort" localSheetId="28" hidden="1">#N/A</definedName>
    <definedName name="_Sort" localSheetId="31" hidden="1">#N/A</definedName>
    <definedName name="_Sort" localSheetId="29" hidden="1">#N/A</definedName>
    <definedName name="_Sort" localSheetId="11" hidden="1">#N/A</definedName>
    <definedName name="_Sort" localSheetId="39" hidden="1">#REF!</definedName>
    <definedName name="_Sort" localSheetId="38" hidden="1">#REF!</definedName>
    <definedName name="_Sort" localSheetId="40" hidden="1">#REF!</definedName>
    <definedName name="_Sort" localSheetId="34" hidden="1">#REF!</definedName>
    <definedName name="_Sort" localSheetId="33" hidden="1">#REF!</definedName>
    <definedName name="_Sort" hidden="1">#REF!</definedName>
    <definedName name="a">'[8]cost center '!#REF!</definedName>
    <definedName name="AA" localSheetId="19">#REF!</definedName>
    <definedName name="AA" localSheetId="23">#REF!</definedName>
    <definedName name="AA" localSheetId="20">#REF!</definedName>
    <definedName name="AA" localSheetId="22">#REF!</definedName>
    <definedName name="AA" localSheetId="24">#REF!</definedName>
    <definedName name="AA" localSheetId="21">#REF!</definedName>
    <definedName name="AA" localSheetId="13">#REF!</definedName>
    <definedName name="AA" localSheetId="17">#REF!</definedName>
    <definedName name="AA" localSheetId="14">#REF!</definedName>
    <definedName name="AA" localSheetId="16">#REF!</definedName>
    <definedName name="AA" localSheetId="15">#REF!</definedName>
    <definedName name="AA" localSheetId="18">#REF!</definedName>
    <definedName name="AA" localSheetId="12">#REF!</definedName>
    <definedName name="AA" localSheetId="26">#REF!</definedName>
    <definedName name="AA" localSheetId="25">#REF!</definedName>
    <definedName name="AA" localSheetId="30">#REF!</definedName>
    <definedName name="AA" localSheetId="27">#REF!</definedName>
    <definedName name="AA" localSheetId="28">#REF!</definedName>
    <definedName name="AA" localSheetId="31">#REF!</definedName>
    <definedName name="AA" localSheetId="29">#REF!</definedName>
    <definedName name="AA" localSheetId="11">#REF!</definedName>
    <definedName name="AA" localSheetId="39">#REF!</definedName>
    <definedName name="AA" localSheetId="38">#REF!</definedName>
    <definedName name="AA" localSheetId="40">#REF!</definedName>
    <definedName name="AA" localSheetId="34">#REF!</definedName>
    <definedName name="AA" localSheetId="33">#REF!</definedName>
    <definedName name="AA">#REF!</definedName>
    <definedName name="AAA" localSheetId="26">#REF!</definedName>
    <definedName name="AAA" localSheetId="25">#REF!</definedName>
    <definedName name="AAA" localSheetId="30">#REF!</definedName>
    <definedName name="AAA" localSheetId="27">#REF!</definedName>
    <definedName name="AAA" localSheetId="28">#REF!</definedName>
    <definedName name="AAA" localSheetId="31">#REF!</definedName>
    <definedName name="AAA" localSheetId="29">#REF!</definedName>
    <definedName name="AAA">'[9]预算表-按0.13'!$H$28:$M$36</definedName>
    <definedName name="ac.fct.bu">[10]Paramter!$C$3:$C$5</definedName>
    <definedName name="ACFCTBU" localSheetId="19">[11]Paramter!$B$4:$B$6</definedName>
    <definedName name="ACFCTBU" localSheetId="23">[11]Paramter!$B$4:$B$6</definedName>
    <definedName name="ACFCTBU" localSheetId="20">[11]Paramter!$B$4:$B$6</definedName>
    <definedName name="ACFCTBU" localSheetId="22">[11]Paramter!$B$4:$B$6</definedName>
    <definedName name="ACFCTBU" localSheetId="24">[11]Paramter!$B$4:$B$6</definedName>
    <definedName name="ACFCTBU" localSheetId="21">[11]Paramter!$B$4:$B$6</definedName>
    <definedName name="ACFCTBU" localSheetId="13">[11]Paramter!$B$4:$B$6</definedName>
    <definedName name="ACFCTBU" localSheetId="17">[11]Paramter!$B$4:$B$6</definedName>
    <definedName name="ACFCTBU" localSheetId="14">[11]Paramter!$B$4:$B$6</definedName>
    <definedName name="ACFCTBU" localSheetId="16">[11]Paramter!$B$4:$B$6</definedName>
    <definedName name="ACFCTBU" localSheetId="15">[11]Paramter!$B$4:$B$6</definedName>
    <definedName name="ACFCTBU" localSheetId="18">[11]Paramter!$B$4:$B$6</definedName>
    <definedName name="ACFCTBU" localSheetId="12">[11]Paramter!$B$4:$B$6</definedName>
    <definedName name="ACFCTBU" localSheetId="26">[11]Paramter!$B$4:$B$6</definedName>
    <definedName name="ACFCTBU" localSheetId="25">[11]Paramter!$B$4:$B$6</definedName>
    <definedName name="ACFCTBU" localSheetId="30">[11]Paramter!$B$4:$B$6</definedName>
    <definedName name="ACFCTBU" localSheetId="27">[11]Paramter!$B$4:$B$6</definedName>
    <definedName name="ACFCTBU" localSheetId="28">[11]Paramter!$B$4:$B$6</definedName>
    <definedName name="ACFCTBU" localSheetId="31">[11]Paramter!$B$4:$B$6</definedName>
    <definedName name="ACFCTBU" localSheetId="29">[11]Paramter!$B$4:$B$6</definedName>
    <definedName name="ACFCTBU" localSheetId="11">[11]Paramter!$B$4:$B$6</definedName>
    <definedName name="ACFCTBU" localSheetId="40">[12]Paramter!$B$4:$B$6</definedName>
    <definedName name="ACFCTBU">[12]Paramter!$B$4:$B$6</definedName>
    <definedName name="ACT_HC" localSheetId="19">#REF!</definedName>
    <definedName name="ACT_HC" localSheetId="23">#REF!</definedName>
    <definedName name="ACT_HC" localSheetId="20">#REF!</definedName>
    <definedName name="ACT_HC" localSheetId="22">#REF!</definedName>
    <definedName name="ACT_HC" localSheetId="24">#REF!</definedName>
    <definedName name="ACT_HC" localSheetId="21">#REF!</definedName>
    <definedName name="ACT_HC" localSheetId="13">#REF!</definedName>
    <definedName name="ACT_HC" localSheetId="17">#REF!</definedName>
    <definedName name="ACT_HC" localSheetId="14">#REF!</definedName>
    <definedName name="ACT_HC" localSheetId="16">#REF!</definedName>
    <definedName name="ACT_HC" localSheetId="15">#REF!</definedName>
    <definedName name="ACT_HC" localSheetId="18">#REF!</definedName>
    <definedName name="ACT_HC" localSheetId="12">#REF!</definedName>
    <definedName name="ACT_HC" localSheetId="26">#REF!</definedName>
    <definedName name="ACT_HC" localSheetId="25">#REF!</definedName>
    <definedName name="ACT_HC" localSheetId="30">#REF!</definedName>
    <definedName name="ACT_HC" localSheetId="27">#REF!</definedName>
    <definedName name="ACT_HC" localSheetId="28">#REF!</definedName>
    <definedName name="ACT_HC" localSheetId="31">#REF!</definedName>
    <definedName name="ACT_HC" localSheetId="29">#REF!</definedName>
    <definedName name="ACT_HC" localSheetId="11">#REF!</definedName>
    <definedName name="ACT_HC" localSheetId="39">#REF!</definedName>
    <definedName name="ACT_HC" localSheetId="38">#REF!</definedName>
    <definedName name="ACT_HC" localSheetId="40">#REF!</definedName>
    <definedName name="ACT_HC" localSheetId="34">#REF!</definedName>
    <definedName name="ACT_HC" localSheetId="33">#REF!</definedName>
    <definedName name="ACT_HC">#REF!</definedName>
    <definedName name="actual" localSheetId="19">'[13]YTD (Source)'!$I$71</definedName>
    <definedName name="actual" localSheetId="23">'[13]YTD (Source)'!$I$71</definedName>
    <definedName name="actual" localSheetId="20">'[13]YTD (Source)'!$I$71</definedName>
    <definedName name="actual" localSheetId="22">'[13]YTD (Source)'!$I$71</definedName>
    <definedName name="actual" localSheetId="24">'[13]YTD (Source)'!$I$71</definedName>
    <definedName name="actual" localSheetId="21">'[13]YTD (Source)'!$I$71</definedName>
    <definedName name="actual" localSheetId="13">'[13]YTD (Source)'!$I$71</definedName>
    <definedName name="actual" localSheetId="17">'[13]YTD (Source)'!$I$71</definedName>
    <definedName name="actual" localSheetId="14">'[13]YTD (Source)'!$I$71</definedName>
    <definedName name="actual" localSheetId="16">'[13]YTD (Source)'!$I$71</definedName>
    <definedName name="actual" localSheetId="15">'[13]YTD (Source)'!$I$71</definedName>
    <definedName name="actual" localSheetId="18">'[13]YTD (Source)'!$I$71</definedName>
    <definedName name="actual" localSheetId="12">'[13]YTD (Source)'!$I$71</definedName>
    <definedName name="actual" localSheetId="26">'[13]YTD (Source)'!$I$71</definedName>
    <definedName name="actual" localSheetId="25">'[13]YTD (Source)'!$I$71</definedName>
    <definedName name="actual" localSheetId="30">'[13]YTD (Source)'!$I$71</definedName>
    <definedName name="actual" localSheetId="27">'[13]YTD (Source)'!$I$71</definedName>
    <definedName name="actual" localSheetId="28">'[13]YTD (Source)'!$I$71</definedName>
    <definedName name="actual" localSheetId="31">'[13]YTD (Source)'!$I$71</definedName>
    <definedName name="actual" localSheetId="29">'[13]YTD (Source)'!$I$71</definedName>
    <definedName name="actual" localSheetId="11">'[13]YTD (Source)'!$I$71</definedName>
    <definedName name="actual" localSheetId="40">'[14]YTD (Source)'!$I$71</definedName>
    <definedName name="actual">'[14]YTD (Source)'!$I$71</definedName>
    <definedName name="aesreport2" localSheetId="26"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 localSheetId="25"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 localSheetId="30"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 localSheetId="27"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 localSheetId="28"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 localSheetId="31"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 localSheetId="29"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llowChange">[15]Settings!$I$52</definedName>
    <definedName name="AlphabetizeGPC">[15]Settings!$I$32</definedName>
    <definedName name="AnalystBase">[15]Settings!$M$42</definedName>
    <definedName name="Annual_leave_days" localSheetId="19">#REF!</definedName>
    <definedName name="Annual_leave_days" localSheetId="23">#REF!</definedName>
    <definedName name="Annual_leave_days" localSheetId="20">#REF!</definedName>
    <definedName name="Annual_leave_days" localSheetId="22">#REF!</definedName>
    <definedName name="Annual_leave_days" localSheetId="24">#REF!</definedName>
    <definedName name="Annual_leave_days" localSheetId="21">#REF!</definedName>
    <definedName name="Annual_leave_days" localSheetId="13">#REF!</definedName>
    <definedName name="Annual_leave_days" localSheetId="17">#REF!</definedName>
    <definedName name="Annual_leave_days" localSheetId="14">#REF!</definedName>
    <definedName name="Annual_leave_days" localSheetId="16">#REF!</definedName>
    <definedName name="Annual_leave_days" localSheetId="15">#REF!</definedName>
    <definedName name="Annual_leave_days" localSheetId="18">#REF!</definedName>
    <definedName name="Annual_leave_days" localSheetId="12">#REF!</definedName>
    <definedName name="Annual_leave_days" localSheetId="26">#REF!</definedName>
    <definedName name="Annual_leave_days" localSheetId="25">#REF!</definedName>
    <definedName name="Annual_leave_days" localSheetId="30">#REF!</definedName>
    <definedName name="Annual_leave_days" localSheetId="27">#REF!</definedName>
    <definedName name="Annual_leave_days" localSheetId="28">#REF!</definedName>
    <definedName name="Annual_leave_days" localSheetId="31">#REF!</definedName>
    <definedName name="Annual_leave_days" localSheetId="29">#REF!</definedName>
    <definedName name="Annual_leave_days" localSheetId="11">#REF!</definedName>
    <definedName name="Annual_leave_days" localSheetId="37">#REF!</definedName>
    <definedName name="Annual_leave_days" localSheetId="39">#REF!</definedName>
    <definedName name="Annual_leave_days" localSheetId="38">'Other Exp'!#REF!</definedName>
    <definedName name="Annual_leave_days" localSheetId="40">#REF!</definedName>
    <definedName name="Annual_leave_days" localSheetId="34">'Prof. Fee'!#REF!</definedName>
    <definedName name="Annual_leave_days" localSheetId="33">'T&amp;E'!#REF!</definedName>
    <definedName name="Annual_leave_days">#REF!</definedName>
    <definedName name="annual_report2" localSheetId="26" hidden="1">{"ARPandL",#N/A,FALSE,"Report Annual";"ARCashflow",#N/A,FALSE,"Report Annual";"ARBalanceSheet",#N/A,FALSE,"Report Annual";"ARRatios",#N/A,FALSE,"Report Annual"}</definedName>
    <definedName name="annual_report2" localSheetId="25" hidden="1">{"ARPandL",#N/A,FALSE,"Report Annual";"ARCashflow",#N/A,FALSE,"Report Annual";"ARBalanceSheet",#N/A,FALSE,"Report Annual";"ARRatios",#N/A,FALSE,"Report Annual"}</definedName>
    <definedName name="annual_report2" localSheetId="30" hidden="1">{"ARPandL",#N/A,FALSE,"Report Annual";"ARCashflow",#N/A,FALSE,"Report Annual";"ARBalanceSheet",#N/A,FALSE,"Report Annual";"ARRatios",#N/A,FALSE,"Report Annual"}</definedName>
    <definedName name="annual_report2" localSheetId="27" hidden="1">{"ARPandL",#N/A,FALSE,"Report Annual";"ARCashflow",#N/A,FALSE,"Report Annual";"ARBalanceSheet",#N/A,FALSE,"Report Annual";"ARRatios",#N/A,FALSE,"Report Annual"}</definedName>
    <definedName name="annual_report2" localSheetId="28" hidden="1">{"ARPandL",#N/A,FALSE,"Report Annual";"ARCashflow",#N/A,FALSE,"Report Annual";"ARBalanceSheet",#N/A,FALSE,"Report Annual";"ARRatios",#N/A,FALSE,"Report Annual"}</definedName>
    <definedName name="annual_report2" localSheetId="31" hidden="1">{"ARPandL",#N/A,FALSE,"Report Annual";"ARCashflow",#N/A,FALSE,"Report Annual";"ARBalanceSheet",#N/A,FALSE,"Report Annual";"ARRatios",#N/A,FALSE,"Report Annual"}</definedName>
    <definedName name="annual_report2" localSheetId="29" hidden="1">{"ARPandL",#N/A,FALSE,"Report Annual";"ARCashflow",#N/A,FALSE,"Report Annual";"ARBalanceSheet",#N/A,FALSE,"Report Annual";"ARRatios",#N/A,FALSE,"Report Annual"}</definedName>
    <definedName name="annual_report2" hidden="1">{"ARPandL",#N/A,FALSE,"Report Annual";"ARCashflow",#N/A,FALSE,"Report Annual";"ARBalanceSheet",#N/A,FALSE,"Report Annual";"ARRatios",#N/A,FALSE,"Report Annual"}</definedName>
    <definedName name="AS2DocOpenMode" hidden="1">"AS2DocumentEdit"</definedName>
    <definedName name="Asset_Code" localSheetId="19">#REF!</definedName>
    <definedName name="Asset_Code" localSheetId="23">#REF!</definedName>
    <definedName name="Asset_Code" localSheetId="20">#REF!</definedName>
    <definedName name="Asset_Code" localSheetId="22">#REF!</definedName>
    <definedName name="Asset_Code" localSheetId="24">#REF!</definedName>
    <definedName name="Asset_Code" localSheetId="21">#REF!</definedName>
    <definedName name="Asset_Code" localSheetId="13">#REF!</definedName>
    <definedName name="Asset_Code" localSheetId="17">#REF!</definedName>
    <definedName name="Asset_Code" localSheetId="14">#REF!</definedName>
    <definedName name="Asset_Code" localSheetId="16">#REF!</definedName>
    <definedName name="Asset_Code" localSheetId="15">#REF!</definedName>
    <definedName name="Asset_Code" localSheetId="18">#REF!</definedName>
    <definedName name="Asset_Code" localSheetId="12">#REF!</definedName>
    <definedName name="Asset_Code" localSheetId="26">#REF!</definedName>
    <definedName name="Asset_Code" localSheetId="25">#REF!</definedName>
    <definedName name="Asset_Code" localSheetId="30">#REF!</definedName>
    <definedName name="Asset_Code" localSheetId="27">#REF!</definedName>
    <definedName name="Asset_Code" localSheetId="28">#REF!</definedName>
    <definedName name="Asset_Code" localSheetId="31">#REF!</definedName>
    <definedName name="Asset_Code" localSheetId="29">#REF!</definedName>
    <definedName name="Asset_Code" localSheetId="11">#REF!</definedName>
    <definedName name="Asset_Code" localSheetId="37">#REF!</definedName>
    <definedName name="Asset_Code" localSheetId="39">#REF!</definedName>
    <definedName name="Asset_Code" localSheetId="38">'Other Exp'!#REF!</definedName>
    <definedName name="Asset_Code" localSheetId="40">#REF!</definedName>
    <definedName name="Asset_Code" localSheetId="34">'Prof. Fee'!#REF!</definedName>
    <definedName name="Asset_Code" localSheetId="33">'T&amp;E'!#REF!</definedName>
    <definedName name="Asset_Code">#REF!</definedName>
    <definedName name="AssetTypes" localSheetId="19">#REF!</definedName>
    <definedName name="AssetTypes" localSheetId="23">#REF!</definedName>
    <definedName name="AssetTypes" localSheetId="20">#REF!</definedName>
    <definedName name="AssetTypes" localSheetId="22">#REF!</definedName>
    <definedName name="AssetTypes" localSheetId="24">#REF!</definedName>
    <definedName name="AssetTypes" localSheetId="21">#REF!</definedName>
    <definedName name="AssetTypes" localSheetId="13">#REF!</definedName>
    <definedName name="AssetTypes" localSheetId="17">#REF!</definedName>
    <definedName name="AssetTypes" localSheetId="14">#REF!</definedName>
    <definedName name="AssetTypes" localSheetId="16">#REF!</definedName>
    <definedName name="AssetTypes" localSheetId="15">#REF!</definedName>
    <definedName name="AssetTypes" localSheetId="18">#REF!</definedName>
    <definedName name="AssetTypes" localSheetId="12">#REF!</definedName>
    <definedName name="AssetTypes" localSheetId="26">#REF!</definedName>
    <definedName name="AssetTypes" localSheetId="25">#REF!</definedName>
    <definedName name="AssetTypes" localSheetId="30">#REF!</definedName>
    <definedName name="AssetTypes" localSheetId="27">#REF!</definedName>
    <definedName name="AssetTypes" localSheetId="28">#REF!</definedName>
    <definedName name="AssetTypes" localSheetId="31">#REF!</definedName>
    <definedName name="AssetTypes" localSheetId="29">#REF!</definedName>
    <definedName name="AssetTypes" localSheetId="11">#REF!</definedName>
    <definedName name="AssetTypes" localSheetId="37">#REF!</definedName>
    <definedName name="AssetTypes" localSheetId="39">#REF!</definedName>
    <definedName name="AssetTypes" localSheetId="38">'Other Exp'!#REF!</definedName>
    <definedName name="AssetTypes" localSheetId="40">#REF!</definedName>
    <definedName name="AssetTypes" localSheetId="34">'Prof. Fee'!#REF!</definedName>
    <definedName name="AssetTypes" localSheetId="33">'T&amp;E'!#REF!</definedName>
    <definedName name="AssetTypes">#REF!</definedName>
    <definedName name="Available_days" localSheetId="19">#REF!</definedName>
    <definedName name="Available_days" localSheetId="23">#REF!</definedName>
    <definedName name="Available_days" localSheetId="20">#REF!</definedName>
    <definedName name="Available_days" localSheetId="22">#REF!</definedName>
    <definedName name="Available_days" localSheetId="24">#REF!</definedName>
    <definedName name="Available_days" localSheetId="21">#REF!</definedName>
    <definedName name="Available_days" localSheetId="13">#REF!</definedName>
    <definedName name="Available_days" localSheetId="17">#REF!</definedName>
    <definedName name="Available_days" localSheetId="14">#REF!</definedName>
    <definedName name="Available_days" localSheetId="16">#REF!</definedName>
    <definedName name="Available_days" localSheetId="15">#REF!</definedName>
    <definedName name="Available_days" localSheetId="18">#REF!</definedName>
    <definedName name="Available_days" localSheetId="12">#REF!</definedName>
    <definedName name="Available_days" localSheetId="26">#REF!</definedName>
    <definedName name="Available_days" localSheetId="25">#REF!</definedName>
    <definedName name="Available_days" localSheetId="30">#REF!</definedName>
    <definedName name="Available_days" localSheetId="27">#REF!</definedName>
    <definedName name="Available_days" localSheetId="28">#REF!</definedName>
    <definedName name="Available_days" localSheetId="31">#REF!</definedName>
    <definedName name="Available_days" localSheetId="29">#REF!</definedName>
    <definedName name="Available_days" localSheetId="11">#REF!</definedName>
    <definedName name="Available_days" localSheetId="37">#REF!</definedName>
    <definedName name="Available_days" localSheetId="39">#REF!</definedName>
    <definedName name="Available_days" localSheetId="38">'Other Exp'!#REF!</definedName>
    <definedName name="Available_days" localSheetId="40">#REF!</definedName>
    <definedName name="Available_days" localSheetId="34">'Prof. Fee'!#REF!</definedName>
    <definedName name="Available_days" localSheetId="33">'T&amp;E'!#REF!</definedName>
    <definedName name="Available_days">#REF!</definedName>
    <definedName name="B1Freq">'[15]WACC and TIC Inputs'!$I$127</definedName>
    <definedName name="B1Yrs">'[15]WACC and TIC Inputs'!$H$127</definedName>
    <definedName name="B2Freq">'[15]WACC and TIC Inputs'!$N$127</definedName>
    <definedName name="B2Yrs">'[15]WACC and TIC Inputs'!$M$127</definedName>
    <definedName name="B3Freq">'[15]WACC and TIC Inputs'!$S$127</definedName>
    <definedName name="B3Yrs">'[15]WACC and TIC Inputs'!$R$127</definedName>
    <definedName name="B4Freq">'[15]WACC and TIC Inputs'!$X$127</definedName>
    <definedName name="B4Yrs">'[15]WACC and TIC Inputs'!$W$127</definedName>
    <definedName name="Base_CPI" localSheetId="19">'[16]假设 Inputs'!$M$633</definedName>
    <definedName name="Base_CPI" localSheetId="23">'[16]假设 Inputs'!$M$633</definedName>
    <definedName name="Base_CPI" localSheetId="20">'[16]假设 Inputs'!$M$633</definedName>
    <definedName name="Base_CPI" localSheetId="22">'[16]假设 Inputs'!$M$633</definedName>
    <definedName name="Base_CPI" localSheetId="24">'[16]假设 Inputs'!$M$633</definedName>
    <definedName name="Base_CPI" localSheetId="21">'[16]假设 Inputs'!$M$633</definedName>
    <definedName name="Base_CPI" localSheetId="13">'[16]假设 Inputs'!$M$633</definedName>
    <definedName name="Base_CPI" localSheetId="17">'[16]假设 Inputs'!$M$633</definedName>
    <definedName name="Base_CPI" localSheetId="14">'[16]假设 Inputs'!$M$633</definedName>
    <definedName name="Base_CPI" localSheetId="16">'[16]假设 Inputs'!$M$633</definedName>
    <definedName name="Base_CPI" localSheetId="15">'[16]假设 Inputs'!$M$633</definedName>
    <definedName name="Base_CPI" localSheetId="18">'[16]假设 Inputs'!$M$633</definedName>
    <definedName name="Base_CPI" localSheetId="12">'[16]假设 Inputs'!$M$633</definedName>
    <definedName name="Base_CPI" localSheetId="26">'[16]假设 Inputs'!$M$633</definedName>
    <definedName name="Base_CPI" localSheetId="25">'[16]假设 Inputs'!$M$633</definedName>
    <definedName name="Base_CPI" localSheetId="30">'[16]假设 Inputs'!$M$633</definedName>
    <definedName name="Base_CPI" localSheetId="27">'[16]假设 Inputs'!$M$633</definedName>
    <definedName name="Base_CPI" localSheetId="28">'[16]假设 Inputs'!$M$633</definedName>
    <definedName name="Base_CPI" localSheetId="31">'[16]假设 Inputs'!$M$633</definedName>
    <definedName name="Base_CPI" localSheetId="29">'[16]假设 Inputs'!$M$633</definedName>
    <definedName name="Base_CPI" localSheetId="11">'[16]假设 Inputs'!$M$633</definedName>
    <definedName name="Base_CPI" localSheetId="36">'[16]假设 Inputs'!$M$633</definedName>
    <definedName name="Base_CPI">'[17]假设 Inputs'!$M$633</definedName>
    <definedName name="BaseCase">0</definedName>
    <definedName name="BayesianAdjustSet">'[15]WACC and TIC Inputs'!$J$86</definedName>
    <definedName name="Beta12345">'[15]WACC and TIC Inputs'!$J$89</definedName>
    <definedName name="Book_Value_Bar_1">[18]Key_Inputs!$M$25</definedName>
    <definedName name="Book_Value_Bar_2">[18]Key_Inputs!$N$25</definedName>
    <definedName name="BU.R">[19]封面!$G$38</definedName>
    <definedName name="budget_cf" localSheetId="26" hidden="1">{#N/A,#N/A,FALSE,"Resid CPRIV";#N/A,#N/A,FALSE,"Comer_CPRIVKsum";#N/A,#N/A,FALSE,"General (2)";#N/A,#N/A,FALSE,"Oficial";#N/A,#N/A,FALSE,"Resumen";#N/A,#N/A,FALSE,"Escenarios"}</definedName>
    <definedName name="budget_cf" localSheetId="25" hidden="1">{#N/A,#N/A,FALSE,"Resid CPRIV";#N/A,#N/A,FALSE,"Comer_CPRIVKsum";#N/A,#N/A,FALSE,"General (2)";#N/A,#N/A,FALSE,"Oficial";#N/A,#N/A,FALSE,"Resumen";#N/A,#N/A,FALSE,"Escenarios"}</definedName>
    <definedName name="budget_cf" localSheetId="30" hidden="1">{#N/A,#N/A,FALSE,"Resid CPRIV";#N/A,#N/A,FALSE,"Comer_CPRIVKsum";#N/A,#N/A,FALSE,"General (2)";#N/A,#N/A,FALSE,"Oficial";#N/A,#N/A,FALSE,"Resumen";#N/A,#N/A,FALSE,"Escenarios"}</definedName>
    <definedName name="budget_cf" localSheetId="27" hidden="1">{#N/A,#N/A,FALSE,"Resid CPRIV";#N/A,#N/A,FALSE,"Comer_CPRIVKsum";#N/A,#N/A,FALSE,"General (2)";#N/A,#N/A,FALSE,"Oficial";#N/A,#N/A,FALSE,"Resumen";#N/A,#N/A,FALSE,"Escenarios"}</definedName>
    <definedName name="budget_cf" localSheetId="28" hidden="1">{#N/A,#N/A,FALSE,"Resid CPRIV";#N/A,#N/A,FALSE,"Comer_CPRIVKsum";#N/A,#N/A,FALSE,"General (2)";#N/A,#N/A,FALSE,"Oficial";#N/A,#N/A,FALSE,"Resumen";#N/A,#N/A,FALSE,"Escenarios"}</definedName>
    <definedName name="budget_cf" localSheetId="31" hidden="1">{#N/A,#N/A,FALSE,"Resid CPRIV";#N/A,#N/A,FALSE,"Comer_CPRIVKsum";#N/A,#N/A,FALSE,"General (2)";#N/A,#N/A,FALSE,"Oficial";#N/A,#N/A,FALSE,"Resumen";#N/A,#N/A,FALSE,"Escenarios"}</definedName>
    <definedName name="budget_cf" localSheetId="29" hidden="1">{#N/A,#N/A,FALSE,"Resid CPRIV";#N/A,#N/A,FALSE,"Comer_CPRIVKsum";#N/A,#N/A,FALSE,"General (2)";#N/A,#N/A,FALSE,"Oficial";#N/A,#N/A,FALSE,"Resumen";#N/A,#N/A,FALSE,"Escenarios"}</definedName>
    <definedName name="budget_cf" hidden="1">{#N/A,#N/A,FALSE,"Resid CPRIV";#N/A,#N/A,FALSE,"Comer_CPRIVKsum";#N/A,#N/A,FALSE,"General (2)";#N/A,#N/A,FALSE,"Oficial";#N/A,#N/A,FALSE,"Resumen";#N/A,#N/A,FALSE,"Escenarios"}</definedName>
    <definedName name="CA1share" comment="Entity share enjoyed by HYNE group">75.5%</definedName>
    <definedName name="CA2share" comment="Entity share enjoyed by HYNE group">100%</definedName>
    <definedName name="calculations2" localSheetId="26"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 localSheetId="25"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 localSheetId="30"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 localSheetId="27"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 localSheetId="28"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 localSheetId="31"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 localSheetId="29"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pIQIndexType">'[15]DATA GPC'!$AU$5:$AU$8</definedName>
    <definedName name="CBoxSet">'[15]EBIT Reconciliation'!$AD$6</definedName>
    <definedName name="CBWorkbookPriority" hidden="1">-1818492550</definedName>
    <definedName name="CC" localSheetId="19">#REF!</definedName>
    <definedName name="CC" localSheetId="23">#REF!</definedName>
    <definedName name="CC" localSheetId="20">#REF!</definedName>
    <definedName name="CC" localSheetId="22">#REF!</definedName>
    <definedName name="CC" localSheetId="24">#REF!</definedName>
    <definedName name="CC" localSheetId="21">#REF!</definedName>
    <definedName name="CC" localSheetId="13">#REF!</definedName>
    <definedName name="CC" localSheetId="17">#REF!</definedName>
    <definedName name="CC" localSheetId="14">#REF!</definedName>
    <definedName name="CC" localSheetId="16">#REF!</definedName>
    <definedName name="CC" localSheetId="15">#REF!</definedName>
    <definedName name="CC" localSheetId="18">#REF!</definedName>
    <definedName name="CC" localSheetId="12">#REF!</definedName>
    <definedName name="CC" localSheetId="26">#REF!</definedName>
    <definedName name="CC" localSheetId="25">#REF!</definedName>
    <definedName name="CC" localSheetId="30">#REF!</definedName>
    <definedName name="CC" localSheetId="27">#REF!</definedName>
    <definedName name="CC" localSheetId="28">#REF!</definedName>
    <definedName name="CC" localSheetId="31">#REF!</definedName>
    <definedName name="CC" localSheetId="29">#REF!</definedName>
    <definedName name="CC" localSheetId="11">#REF!</definedName>
    <definedName name="CC" localSheetId="37">#REF!</definedName>
    <definedName name="CC" localSheetId="39">#REF!</definedName>
    <definedName name="CC" localSheetId="38">'Other Exp'!#REF!</definedName>
    <definedName name="CC" localSheetId="40">#REF!</definedName>
    <definedName name="CC" localSheetId="34">'Prof. Fee'!#REF!</definedName>
    <definedName name="CC" localSheetId="33">'T&amp;E'!#REF!</definedName>
    <definedName name="CC">#REF!</definedName>
    <definedName name="ccr_CO" localSheetId="19">'[20]cost center '!$A$3:$A$79</definedName>
    <definedName name="ccr_CO" localSheetId="23">'[20]cost center '!$A$3:$A$79</definedName>
    <definedName name="ccr_CO" localSheetId="20">'[20]cost center '!$A$3:$A$79</definedName>
    <definedName name="ccr_CO" localSheetId="22">'[20]cost center '!$A$3:$A$79</definedName>
    <definedName name="ccr_CO" localSheetId="24">'[20]cost center '!$A$3:$A$79</definedName>
    <definedName name="ccr_CO" localSheetId="21">'[20]cost center '!$A$3:$A$79</definedName>
    <definedName name="ccr_CO" localSheetId="13">'[20]cost center '!$A$3:$A$79</definedName>
    <definedName name="ccr_CO" localSheetId="17">'[20]cost center '!$A$3:$A$79</definedName>
    <definedName name="ccr_CO" localSheetId="14">'[20]cost center '!$A$3:$A$79</definedName>
    <definedName name="ccr_CO" localSheetId="16">'[20]cost center '!$A$3:$A$79</definedName>
    <definedName name="ccr_CO" localSheetId="15">'[20]cost center '!$A$3:$A$79</definedName>
    <definedName name="ccr_CO" localSheetId="18">'[20]cost center '!$A$3:$A$79</definedName>
    <definedName name="ccr_CO" localSheetId="12">'[20]cost center '!$A$3:$A$79</definedName>
    <definedName name="ccr_CO" localSheetId="26">'[20]cost center '!$A$3:$A$79</definedName>
    <definedName name="ccr_CO" localSheetId="25">'[20]cost center '!$A$3:$A$79</definedName>
    <definedName name="ccr_CO" localSheetId="30">'[20]cost center '!$A$3:$A$79</definedName>
    <definedName name="ccr_CO" localSheetId="27">'[20]cost center '!$A$3:$A$79</definedName>
    <definedName name="ccr_CO" localSheetId="28">'[20]cost center '!$A$3:$A$79</definedName>
    <definedName name="ccr_CO" localSheetId="31">'[20]cost center '!$A$3:$A$79</definedName>
    <definedName name="ccr_CO" localSheetId="29">'[20]cost center '!$A$3:$A$79</definedName>
    <definedName name="ccr_CO" localSheetId="11">'[20]cost center '!$A$3:$A$79</definedName>
    <definedName name="ccr_CO" localSheetId="40">'[21]cost center '!$A$3:$A$79</definedName>
    <definedName name="ccr_CO">'[21]cost center '!$A$3:$A$79</definedName>
    <definedName name="cdfw">[4]fw!#REF!</definedName>
    <definedName name="ChartingArea" localSheetId="19">#REF!,#REF!</definedName>
    <definedName name="ChartingArea" localSheetId="23">#REF!,#REF!</definedName>
    <definedName name="ChartingArea" localSheetId="20">#REF!,#REF!</definedName>
    <definedName name="ChartingArea" localSheetId="22">#REF!,#REF!</definedName>
    <definedName name="ChartingArea" localSheetId="24">#REF!,#REF!</definedName>
    <definedName name="ChartingArea" localSheetId="21">#REF!,#REF!</definedName>
    <definedName name="ChartingArea" localSheetId="13">#REF!,#REF!</definedName>
    <definedName name="ChartingArea" localSheetId="17">#REF!,#REF!</definedName>
    <definedName name="ChartingArea" localSheetId="14">#REF!,#REF!</definedName>
    <definedName name="ChartingArea" localSheetId="16">#REF!,#REF!</definedName>
    <definedName name="ChartingArea" localSheetId="15">#REF!,#REF!</definedName>
    <definedName name="ChartingArea" localSheetId="18">#REF!,#REF!</definedName>
    <definedName name="ChartingArea" localSheetId="12">#REF!,#REF!</definedName>
    <definedName name="ChartingArea" localSheetId="26">#REF!,#REF!</definedName>
    <definedName name="ChartingArea" localSheetId="25">#REF!,#REF!</definedName>
    <definedName name="ChartingArea" localSheetId="30">#REF!,#REF!</definedName>
    <definedName name="ChartingArea" localSheetId="27">#REF!,#REF!</definedName>
    <definedName name="ChartingArea" localSheetId="28">#REF!,#REF!</definedName>
    <definedName name="ChartingArea" localSheetId="31">#REF!,#REF!</definedName>
    <definedName name="ChartingArea" localSheetId="29">#REF!,#REF!</definedName>
    <definedName name="ChartingArea" localSheetId="11">#REF!,#REF!</definedName>
    <definedName name="ChartingArea" localSheetId="40">#REF!,#REF!</definedName>
    <definedName name="ChartingArea">#REF!,#REF!</definedName>
    <definedName name="CheckReview">[15]Settings!$M$50</definedName>
    <definedName name="chem" localSheetId="26">#REF!</definedName>
    <definedName name="chem" localSheetId="25">#REF!</definedName>
    <definedName name="chem" localSheetId="30">#REF!</definedName>
    <definedName name="chem" localSheetId="27">#REF!</definedName>
    <definedName name="chem" localSheetId="28">#REF!</definedName>
    <definedName name="chem" localSheetId="31">#REF!</definedName>
    <definedName name="chem" localSheetId="29">#REF!</definedName>
    <definedName name="chem" localSheetId="40">#REF!</definedName>
    <definedName name="chem">#REF!</definedName>
    <definedName name="Chemical_Cost_Assumption_P1B" localSheetId="19">'[22]Phase 1B'!#REF!</definedName>
    <definedName name="Chemical_Cost_Assumption_P1B" localSheetId="23">'[22]Phase 1B'!#REF!</definedName>
    <definedName name="Chemical_Cost_Assumption_P1B" localSheetId="20">'[22]Phase 1B'!#REF!</definedName>
    <definedName name="Chemical_Cost_Assumption_P1B" localSheetId="22">'[22]Phase 1B'!#REF!</definedName>
    <definedName name="Chemical_Cost_Assumption_P1B" localSheetId="24">'[22]Phase 1B'!#REF!</definedName>
    <definedName name="Chemical_Cost_Assumption_P1B" localSheetId="21">'[22]Phase 1B'!#REF!</definedName>
    <definedName name="Chemical_Cost_Assumption_P1B" localSheetId="13">'[22]Phase 1B'!#REF!</definedName>
    <definedName name="Chemical_Cost_Assumption_P1B" localSheetId="17">'[22]Phase 1B'!#REF!</definedName>
    <definedName name="Chemical_Cost_Assumption_P1B" localSheetId="14">'[22]Phase 1B'!#REF!</definedName>
    <definedName name="Chemical_Cost_Assumption_P1B" localSheetId="16">'[22]Phase 1B'!#REF!</definedName>
    <definedName name="Chemical_Cost_Assumption_P1B" localSheetId="15">'[22]Phase 1B'!#REF!</definedName>
    <definedName name="Chemical_Cost_Assumption_P1B" localSheetId="18">'[22]Phase 1B'!#REF!</definedName>
    <definedName name="Chemical_Cost_Assumption_P1B" localSheetId="12">'[22]Phase 1B'!#REF!</definedName>
    <definedName name="Chemical_Cost_Assumption_P1B" localSheetId="26">'[22]Phase 1B'!#REF!</definedName>
    <definedName name="Chemical_Cost_Assumption_P1B" localSheetId="25">'[22]Phase 1B'!#REF!</definedName>
    <definedName name="Chemical_Cost_Assumption_P1B" localSheetId="30">'[22]Phase 1B'!#REF!</definedName>
    <definedName name="Chemical_Cost_Assumption_P1B" localSheetId="27">'[22]Phase 1B'!#REF!</definedName>
    <definedName name="Chemical_Cost_Assumption_P1B" localSheetId="28">'[22]Phase 1B'!#REF!</definedName>
    <definedName name="Chemical_Cost_Assumption_P1B" localSheetId="31">'[22]Phase 1B'!#REF!</definedName>
    <definedName name="Chemical_Cost_Assumption_P1B" localSheetId="29">'[22]Phase 1B'!#REF!</definedName>
    <definedName name="Chemical_Cost_Assumption_P1B" localSheetId="11">'[22]Phase 1B'!#REF!</definedName>
    <definedName name="Chemical_Cost_Assumption_P1B" localSheetId="40">'[23]Phase 1B'!#REF!</definedName>
    <definedName name="Chemical_Cost_Assumption_P1B">'[23]Phase 1B'!#REF!</definedName>
    <definedName name="chemical_H" localSheetId="19">[24]Assumption!$E$3</definedName>
    <definedName name="chemical_H" localSheetId="23">[24]Assumption!$E$3</definedName>
    <definedName name="chemical_H" localSheetId="20">[24]Assumption!$E$3</definedName>
    <definedName name="chemical_H" localSheetId="22">[24]Assumption!$E$3</definedName>
    <definedName name="chemical_H" localSheetId="24">[24]Assumption!$E$3</definedName>
    <definedName name="chemical_H" localSheetId="21">[24]Assumption!$E$3</definedName>
    <definedName name="chemical_H" localSheetId="13">[24]Assumption!$E$3</definedName>
    <definedName name="chemical_H" localSheetId="17">[24]Assumption!$E$3</definedName>
    <definedName name="chemical_H" localSheetId="14">[24]Assumption!$E$3</definedName>
    <definedName name="chemical_H" localSheetId="16">[24]Assumption!$E$3</definedName>
    <definedName name="chemical_H" localSheetId="15">[24]Assumption!$E$3</definedName>
    <definedName name="chemical_H" localSheetId="18">[24]Assumption!$E$3</definedName>
    <definedName name="chemical_H" localSheetId="12">[24]Assumption!$E$3</definedName>
    <definedName name="chemical_H" localSheetId="26">[24]Assumption!$E$3</definedName>
    <definedName name="chemical_H" localSheetId="25">[24]Assumption!$E$3</definedName>
    <definedName name="chemical_H" localSheetId="30">[24]Assumption!$E$3</definedName>
    <definedName name="chemical_H" localSheetId="27">[24]Assumption!$E$3</definedName>
    <definedName name="chemical_H" localSheetId="28">[24]Assumption!$E$3</definedName>
    <definedName name="chemical_H" localSheetId="31">[24]Assumption!$E$3</definedName>
    <definedName name="chemical_H" localSheetId="29">[24]Assumption!$E$3</definedName>
    <definedName name="chemical_H" localSheetId="11">[24]Assumption!$E$3</definedName>
    <definedName name="chemical_H" localSheetId="40">[25]Assumption!$E$3</definedName>
    <definedName name="chemical_H">[25]Assumption!$E$3</definedName>
    <definedName name="chemical_L" localSheetId="19">[24]Assumption!$I$3</definedName>
    <definedName name="chemical_L" localSheetId="23">[24]Assumption!$I$3</definedName>
    <definedName name="chemical_L" localSheetId="20">[24]Assumption!$I$3</definedName>
    <definedName name="chemical_L" localSheetId="22">[24]Assumption!$I$3</definedName>
    <definedName name="chemical_L" localSheetId="24">[24]Assumption!$I$3</definedName>
    <definedName name="chemical_L" localSheetId="21">[24]Assumption!$I$3</definedName>
    <definedName name="chemical_L" localSheetId="13">[24]Assumption!$I$3</definedName>
    <definedName name="chemical_L" localSheetId="17">[24]Assumption!$I$3</definedName>
    <definedName name="chemical_L" localSheetId="14">[24]Assumption!$I$3</definedName>
    <definedName name="chemical_L" localSheetId="16">[24]Assumption!$I$3</definedName>
    <definedName name="chemical_L" localSheetId="15">[24]Assumption!$I$3</definedName>
    <definedName name="chemical_L" localSheetId="18">[24]Assumption!$I$3</definedName>
    <definedName name="chemical_L" localSheetId="12">[24]Assumption!$I$3</definedName>
    <definedName name="chemical_L" localSheetId="26">[24]Assumption!$I$3</definedName>
    <definedName name="chemical_L" localSheetId="25">[24]Assumption!$I$3</definedName>
    <definedName name="chemical_L" localSheetId="30">[24]Assumption!$I$3</definedName>
    <definedName name="chemical_L" localSheetId="27">[24]Assumption!$I$3</definedName>
    <definedName name="chemical_L" localSheetId="28">[24]Assumption!$I$3</definedName>
    <definedName name="chemical_L" localSheetId="31">[24]Assumption!$I$3</definedName>
    <definedName name="chemical_L" localSheetId="29">[24]Assumption!$I$3</definedName>
    <definedName name="chemical_L" localSheetId="11">[24]Assumption!$I$3</definedName>
    <definedName name="chemical_L" localSheetId="40">[25]Assumption!$I$3</definedName>
    <definedName name="chemical_L">[25]Assumption!$I$3</definedName>
    <definedName name="Chemical_S" localSheetId="19">[24]Assumption!$M$3</definedName>
    <definedName name="Chemical_S" localSheetId="23">[24]Assumption!$M$3</definedName>
    <definedName name="Chemical_S" localSheetId="20">[24]Assumption!$M$3</definedName>
    <definedName name="Chemical_S" localSheetId="22">[24]Assumption!$M$3</definedName>
    <definedName name="Chemical_S" localSheetId="24">[24]Assumption!$M$3</definedName>
    <definedName name="Chemical_S" localSheetId="21">[24]Assumption!$M$3</definedName>
    <definedName name="Chemical_S" localSheetId="13">[24]Assumption!$M$3</definedName>
    <definedName name="Chemical_S" localSheetId="17">[24]Assumption!$M$3</definedName>
    <definedName name="Chemical_S" localSheetId="14">[24]Assumption!$M$3</definedName>
    <definedName name="Chemical_S" localSheetId="16">[24]Assumption!$M$3</definedName>
    <definedName name="Chemical_S" localSheetId="15">[24]Assumption!$M$3</definedName>
    <definedName name="Chemical_S" localSheetId="18">[24]Assumption!$M$3</definedName>
    <definedName name="Chemical_S" localSheetId="12">[24]Assumption!$M$3</definedName>
    <definedName name="Chemical_S" localSheetId="26">[24]Assumption!$M$3</definedName>
    <definedName name="Chemical_S" localSheetId="25">[24]Assumption!$M$3</definedName>
    <definedName name="Chemical_S" localSheetId="30">[24]Assumption!$M$3</definedName>
    <definedName name="Chemical_S" localSheetId="27">[24]Assumption!$M$3</definedName>
    <definedName name="Chemical_S" localSheetId="28">[24]Assumption!$M$3</definedName>
    <definedName name="Chemical_S" localSheetId="31">[24]Assumption!$M$3</definedName>
    <definedName name="Chemical_S" localSheetId="29">[24]Assumption!$M$3</definedName>
    <definedName name="Chemical_S" localSheetId="11">[24]Assumption!$M$3</definedName>
    <definedName name="Chemical_S" localSheetId="40">[25]Assumption!$M$3</definedName>
    <definedName name="Chemical_S">[25]Assumption!$M$3</definedName>
    <definedName name="cicact" localSheetId="26">#REF!</definedName>
    <definedName name="cicact" localSheetId="25">#REF!</definedName>
    <definedName name="cicact" localSheetId="30">#REF!</definedName>
    <definedName name="cicact" localSheetId="27">#REF!</definedName>
    <definedName name="cicact" localSheetId="28">#REF!</definedName>
    <definedName name="cicact" localSheetId="31">#REF!</definedName>
    <definedName name="cicact" localSheetId="29">#REF!</definedName>
    <definedName name="cicact" localSheetId="40">#REF!</definedName>
    <definedName name="cicact">#REF!</definedName>
    <definedName name="ciccw" localSheetId="26">#REF!</definedName>
    <definedName name="ciccw" localSheetId="25">#REF!</definedName>
    <definedName name="ciccw" localSheetId="30">#REF!</definedName>
    <definedName name="ciccw" localSheetId="27">#REF!</definedName>
    <definedName name="ciccw" localSheetId="28">#REF!</definedName>
    <definedName name="ciccw" localSheetId="31">#REF!</definedName>
    <definedName name="ciccw" localSheetId="29">#REF!</definedName>
    <definedName name="ciccw" localSheetId="40">#REF!</definedName>
    <definedName name="ciccw">#REF!</definedName>
    <definedName name="cicdw" localSheetId="26">#REF!</definedName>
    <definedName name="cicdw" localSheetId="25">#REF!</definedName>
    <definedName name="cicdw" localSheetId="30">#REF!</definedName>
    <definedName name="cicdw" localSheetId="27">#REF!</definedName>
    <definedName name="cicdw" localSheetId="28">#REF!</definedName>
    <definedName name="cicdw" localSheetId="31">#REF!</definedName>
    <definedName name="cicdw" localSheetId="29">#REF!</definedName>
    <definedName name="cicdw" localSheetId="40">#REF!</definedName>
    <definedName name="cicdw">#REF!</definedName>
    <definedName name="cicfw" localSheetId="26">#REF!</definedName>
    <definedName name="cicfw" localSheetId="25">#REF!</definedName>
    <definedName name="cicfw" localSheetId="30">#REF!</definedName>
    <definedName name="cicfw" localSheetId="27">#REF!</definedName>
    <definedName name="cicfw" localSheetId="28">#REF!</definedName>
    <definedName name="cicfw" localSheetId="31">#REF!</definedName>
    <definedName name="cicfw" localSheetId="29">#REF!</definedName>
    <definedName name="cicfw" localSheetId="40">#REF!</definedName>
    <definedName name="cicfw">#REF!</definedName>
    <definedName name="cichpsteam" localSheetId="26">#REF!</definedName>
    <definedName name="cichpsteam" localSheetId="25">#REF!</definedName>
    <definedName name="cichpsteam" localSheetId="30">#REF!</definedName>
    <definedName name="cichpsteam" localSheetId="27">#REF!</definedName>
    <definedName name="cichpsteam" localSheetId="28">#REF!</definedName>
    <definedName name="cichpsteam" localSheetId="31">#REF!</definedName>
    <definedName name="cichpsteam" localSheetId="29">#REF!</definedName>
    <definedName name="cichpsteam" localSheetId="40">#REF!</definedName>
    <definedName name="cichpsteam">#REF!</definedName>
    <definedName name="cichpstm" localSheetId="26">#REF!</definedName>
    <definedName name="cichpstm" localSheetId="25">#REF!</definedName>
    <definedName name="cichpstm" localSheetId="30">#REF!</definedName>
    <definedName name="cichpstm" localSheetId="27">#REF!</definedName>
    <definedName name="cichpstm" localSheetId="28">#REF!</definedName>
    <definedName name="cichpstm" localSheetId="31">#REF!</definedName>
    <definedName name="cichpstm" localSheetId="29">#REF!</definedName>
    <definedName name="cichpstm" localSheetId="40">#REF!</definedName>
    <definedName name="cichpstm">#REF!</definedName>
    <definedName name="cicia" localSheetId="26">#REF!</definedName>
    <definedName name="cicia" localSheetId="25">#REF!</definedName>
    <definedName name="cicia" localSheetId="30">#REF!</definedName>
    <definedName name="cicia" localSheetId="27">#REF!</definedName>
    <definedName name="cicia" localSheetId="28">#REF!</definedName>
    <definedName name="cicia" localSheetId="31">#REF!</definedName>
    <definedName name="cicia" localSheetId="29">#REF!</definedName>
    <definedName name="cicia" localSheetId="40">#REF!</definedName>
    <definedName name="cicia">#REF!</definedName>
    <definedName name="cicmpsteam" localSheetId="26">#REF!</definedName>
    <definedName name="cicmpsteam" localSheetId="25">#REF!</definedName>
    <definedName name="cicmpsteam" localSheetId="30">#REF!</definedName>
    <definedName name="cicmpsteam" localSheetId="27">#REF!</definedName>
    <definedName name="cicmpsteam" localSheetId="28">#REF!</definedName>
    <definedName name="cicmpsteam" localSheetId="31">#REF!</definedName>
    <definedName name="cicmpsteam" localSheetId="29">#REF!</definedName>
    <definedName name="cicmpsteam" localSheetId="40">#REF!</definedName>
    <definedName name="cicmpsteam">#REF!</definedName>
    <definedName name="cicph" localSheetId="26">#REF!</definedName>
    <definedName name="cicph" localSheetId="25">#REF!</definedName>
    <definedName name="cicph" localSheetId="30">#REF!</definedName>
    <definedName name="cicph" localSheetId="27">#REF!</definedName>
    <definedName name="cicph" localSheetId="28">#REF!</definedName>
    <definedName name="cicph" localSheetId="31">#REF!</definedName>
    <definedName name="cicph" localSheetId="29">#REF!</definedName>
    <definedName name="cicph" localSheetId="40">#REF!</definedName>
    <definedName name="cicph">#REF!</definedName>
    <definedName name="cicsw" localSheetId="26">#REF!</definedName>
    <definedName name="cicsw" localSheetId="25">#REF!</definedName>
    <definedName name="cicsw" localSheetId="30">#REF!</definedName>
    <definedName name="cicsw" localSheetId="27">#REF!</definedName>
    <definedName name="cicsw" localSheetId="28">#REF!</definedName>
    <definedName name="cicsw" localSheetId="31">#REF!</definedName>
    <definedName name="cicsw" localSheetId="29">#REF!</definedName>
    <definedName name="cicsw" localSheetId="40">#REF!</definedName>
    <definedName name="cicsw">#REF!</definedName>
    <definedName name="cicwaste" localSheetId="26">#REF!</definedName>
    <definedName name="cicwaste" localSheetId="25">#REF!</definedName>
    <definedName name="cicwaste" localSheetId="30">#REF!</definedName>
    <definedName name="cicwaste" localSheetId="27">#REF!</definedName>
    <definedName name="cicwaste" localSheetId="28">#REF!</definedName>
    <definedName name="cicwaste" localSheetId="31">#REF!</definedName>
    <definedName name="cicwaste" localSheetId="29">#REF!</definedName>
    <definedName name="cicwaste" localSheetId="40">#REF!</definedName>
    <definedName name="cicwaste">#REF!</definedName>
    <definedName name="CIQWBGuid" hidden="1">"5af0d8e2-4a75-4584-9479-4d091f716ce2"</definedName>
    <definedName name="CIQWBInfo" hidden="1">"{ ""CIQVersion"":""9.51.3510.3078"" }"</definedName>
    <definedName name="clcw" localSheetId="26">#REF!</definedName>
    <definedName name="clcw" localSheetId="25">#REF!</definedName>
    <definedName name="clcw" localSheetId="30">#REF!</definedName>
    <definedName name="clcw" localSheetId="27">#REF!</definedName>
    <definedName name="clcw" localSheetId="28">#REF!</definedName>
    <definedName name="clcw" localSheetId="31">#REF!</definedName>
    <definedName name="clcw" localSheetId="29">#REF!</definedName>
    <definedName name="clcw" localSheetId="40">#REF!</definedName>
    <definedName name="clcw">#REF!</definedName>
    <definedName name="ClientName">[15]START!$G$12</definedName>
    <definedName name="Close.R" localSheetId="19">[26]封面!$G$35</definedName>
    <definedName name="Close.R" localSheetId="23">[26]封面!$G$35</definedName>
    <definedName name="Close.R" localSheetId="20">[26]封面!$G$35</definedName>
    <definedName name="Close.R" localSheetId="22">[26]封面!$G$35</definedName>
    <definedName name="Close.R" localSheetId="24">[26]封面!$G$35</definedName>
    <definedName name="Close.R" localSheetId="21">[26]封面!$G$35</definedName>
    <definedName name="Close.R" localSheetId="13">[26]封面!$G$35</definedName>
    <definedName name="Close.R" localSheetId="17">[26]封面!$G$35</definedName>
    <definedName name="Close.R" localSheetId="14">[26]封面!$G$35</definedName>
    <definedName name="Close.R" localSheetId="16">[26]封面!$G$35</definedName>
    <definedName name="Close.R" localSheetId="15">[26]封面!$G$35</definedName>
    <definedName name="Close.R" localSheetId="18">[26]封面!$G$35</definedName>
    <definedName name="Close.R" localSheetId="12">[26]封面!$G$35</definedName>
    <definedName name="Close.R" localSheetId="26">[26]封面!$G$35</definedName>
    <definedName name="Close.R" localSheetId="25">[26]封面!$G$35</definedName>
    <definedName name="Close.R" localSheetId="30">[26]封面!$G$35</definedName>
    <definedName name="Close.R" localSheetId="27">[26]封面!$G$35</definedName>
    <definedName name="Close.R" localSheetId="28">[26]封面!$G$35</definedName>
    <definedName name="Close.R" localSheetId="31">[26]封面!$G$35</definedName>
    <definedName name="Close.R" localSheetId="29">[26]封面!$G$35</definedName>
    <definedName name="Close.R" localSheetId="11">[26]封面!$G$35</definedName>
    <definedName name="Close.R" localSheetId="40">[27]封面!$G$35</definedName>
    <definedName name="Close.R">[27]封面!$G$35</definedName>
    <definedName name="Coal_tariff" localSheetId="19">'[28]假设 Inputs'!#REF!</definedName>
    <definedName name="Coal_tariff" localSheetId="23">'[28]假设 Inputs'!#REF!</definedName>
    <definedName name="Coal_tariff" localSheetId="20">'[28]假设 Inputs'!#REF!</definedName>
    <definedName name="Coal_tariff" localSheetId="22">'[28]假设 Inputs'!#REF!</definedName>
    <definedName name="Coal_tariff" localSheetId="24">'[28]假设 Inputs'!#REF!</definedName>
    <definedName name="Coal_tariff" localSheetId="21">'[28]假设 Inputs'!#REF!</definedName>
    <definedName name="Coal_tariff" localSheetId="13">'[28]假设 Inputs'!#REF!</definedName>
    <definedName name="Coal_tariff" localSheetId="17">'[28]假设 Inputs'!#REF!</definedName>
    <definedName name="Coal_tariff" localSheetId="14">'[28]假设 Inputs'!#REF!</definedName>
    <definedName name="Coal_tariff" localSheetId="16">'[28]假设 Inputs'!#REF!</definedName>
    <definedName name="Coal_tariff" localSheetId="15">'[28]假设 Inputs'!#REF!</definedName>
    <definedName name="Coal_tariff" localSheetId="18">'[28]假设 Inputs'!#REF!</definedName>
    <definedName name="Coal_tariff" localSheetId="12">'[28]假设 Inputs'!#REF!</definedName>
    <definedName name="Coal_tariff" localSheetId="11">'[28]假设 Inputs'!#REF!</definedName>
    <definedName name="Coal_tariff" localSheetId="40">'[29]假设 Inputs'!#REF!</definedName>
    <definedName name="Coal_tariff">'[29]假设 Inputs'!#REF!</definedName>
    <definedName name="COD" localSheetId="19">'[16]假设 Inputs'!$M$16</definedName>
    <definedName name="COD" localSheetId="23">'[16]假设 Inputs'!$M$16</definedName>
    <definedName name="COD" localSheetId="20">'[16]假设 Inputs'!$M$16</definedName>
    <definedName name="COD" localSheetId="22">'[16]假设 Inputs'!$M$16</definedName>
    <definedName name="COD" localSheetId="24">'[16]假设 Inputs'!$M$16</definedName>
    <definedName name="COD" localSheetId="21">'[16]假设 Inputs'!$M$16</definedName>
    <definedName name="COD" localSheetId="13">'[16]假设 Inputs'!$M$16</definedName>
    <definedName name="COD" localSheetId="17">'[16]假设 Inputs'!$M$16</definedName>
    <definedName name="COD" localSheetId="14">'[16]假设 Inputs'!$M$16</definedName>
    <definedName name="COD" localSheetId="16">'[16]假设 Inputs'!$M$16</definedName>
    <definedName name="COD" localSheetId="15">'[16]假设 Inputs'!$M$16</definedName>
    <definedName name="COD" localSheetId="18">'[16]假设 Inputs'!$M$16</definedName>
    <definedName name="COD" localSheetId="12">'[16]假设 Inputs'!$M$16</definedName>
    <definedName name="COD" localSheetId="26">'[16]假设 Inputs'!$M$16</definedName>
    <definedName name="COD" localSheetId="25">'[16]假设 Inputs'!$M$16</definedName>
    <definedName name="COD" localSheetId="30">'[16]假设 Inputs'!$M$16</definedName>
    <definedName name="COD" localSheetId="27">'[16]假设 Inputs'!$M$16</definedName>
    <definedName name="COD" localSheetId="28">'[16]假设 Inputs'!$M$16</definedName>
    <definedName name="COD" localSheetId="31">'[16]假设 Inputs'!$M$16</definedName>
    <definedName name="COD" localSheetId="29">'[16]假设 Inputs'!$M$16</definedName>
    <definedName name="COD" localSheetId="11">'[16]假设 Inputs'!$M$16</definedName>
    <definedName name="COD" localSheetId="36">'[16]假设 Inputs'!$M$16</definedName>
    <definedName name="COD">'[17]假设 Inputs'!$M$16</definedName>
    <definedName name="cognosname">[30]coding!$A$1:$IV$65536</definedName>
    <definedName name="Com.Name">[31]封面!$A$21</definedName>
    <definedName name="Competitive_Period">[15]DCF!$M$37</definedName>
    <definedName name="Compslist">'[15]DATA GPC'!$G$20:$G$44</definedName>
    <definedName name="con" localSheetId="19">#REF!</definedName>
    <definedName name="con" localSheetId="23">#REF!</definedName>
    <definedName name="con" localSheetId="20">#REF!</definedName>
    <definedName name="con" localSheetId="22">#REF!</definedName>
    <definedName name="con" localSheetId="24">#REF!</definedName>
    <definedName name="con" localSheetId="21">#REF!</definedName>
    <definedName name="con" localSheetId="13">#REF!</definedName>
    <definedName name="con" localSheetId="17">#REF!</definedName>
    <definedName name="con" localSheetId="14">#REF!</definedName>
    <definedName name="con" localSheetId="16">#REF!</definedName>
    <definedName name="con" localSheetId="15">#REF!</definedName>
    <definedName name="con" localSheetId="18">#REF!</definedName>
    <definedName name="con" localSheetId="12">#REF!</definedName>
    <definedName name="Con" localSheetId="26">#REF!</definedName>
    <definedName name="Con" localSheetId="25">#REF!</definedName>
    <definedName name="Con" localSheetId="30">#REF!</definedName>
    <definedName name="Con" localSheetId="27">#REF!</definedName>
    <definedName name="Con" localSheetId="28">#REF!</definedName>
    <definedName name="Con" localSheetId="31">#REF!</definedName>
    <definedName name="Con" localSheetId="29">#REF!</definedName>
    <definedName name="con" localSheetId="11">#REF!</definedName>
    <definedName name="Con" localSheetId="37">#REF!</definedName>
    <definedName name="Con" localSheetId="38">#REF!</definedName>
    <definedName name="Con" localSheetId="40">#REF!</definedName>
    <definedName name="Con" localSheetId="34">#REF!</definedName>
    <definedName name="Con" localSheetId="33">#REF!</definedName>
    <definedName name="Con">#REF!</definedName>
    <definedName name="CoNameHeading">[15]START!$C$1</definedName>
    <definedName name="ConstantGrowthNormalizedDFNCF">[15]DCF!$G$36</definedName>
    <definedName name="Constr_end" localSheetId="19">'[16]假设 Inputs'!$M$15</definedName>
    <definedName name="Constr_end" localSheetId="23">'[16]假设 Inputs'!$M$15</definedName>
    <definedName name="Constr_end" localSheetId="20">'[16]假设 Inputs'!$M$15</definedName>
    <definedName name="Constr_end" localSheetId="22">'[16]假设 Inputs'!$M$15</definedName>
    <definedName name="Constr_end" localSheetId="24">'[16]假设 Inputs'!$M$15</definedName>
    <definedName name="Constr_end" localSheetId="21">'[16]假设 Inputs'!$M$15</definedName>
    <definedName name="Constr_end" localSheetId="13">'[16]假设 Inputs'!$M$15</definedName>
    <definedName name="Constr_end" localSheetId="17">'[16]假设 Inputs'!$M$15</definedName>
    <definedName name="Constr_end" localSheetId="14">'[16]假设 Inputs'!$M$15</definedName>
    <definedName name="Constr_end" localSheetId="16">'[16]假设 Inputs'!$M$15</definedName>
    <definedName name="Constr_end" localSheetId="15">'[16]假设 Inputs'!$M$15</definedName>
    <definedName name="Constr_end" localSheetId="18">'[16]假设 Inputs'!$M$15</definedName>
    <definedName name="Constr_end" localSheetId="12">'[16]假设 Inputs'!$M$15</definedName>
    <definedName name="Constr_end" localSheetId="26">'[16]假设 Inputs'!$M$15</definedName>
    <definedName name="Constr_end" localSheetId="25">'[16]假设 Inputs'!$M$15</definedName>
    <definedName name="Constr_end" localSheetId="30">'[16]假设 Inputs'!$M$15</definedName>
    <definedName name="Constr_end" localSheetId="27">'[16]假设 Inputs'!$M$15</definedName>
    <definedName name="Constr_end" localSheetId="28">'[16]假设 Inputs'!$M$15</definedName>
    <definedName name="Constr_end" localSheetId="31">'[16]假设 Inputs'!$M$15</definedName>
    <definedName name="Constr_end" localSheetId="29">'[16]假设 Inputs'!$M$15</definedName>
    <definedName name="Constr_end" localSheetId="11">'[16]假设 Inputs'!$M$15</definedName>
    <definedName name="Constr_end" localSheetId="36">'[16]假设 Inputs'!$M$15</definedName>
    <definedName name="Constr_end">'[17]假设 Inputs'!$M$15</definedName>
    <definedName name="CountryCurrencyCode">'[15]DATA GPC'!$AX$5:$AX$113</definedName>
    <definedName name="CountryCurrencyName">'[15]DATA GPC'!$AZ$5:$AZ$113</definedName>
    <definedName name="CountryCurrencyNameUnique">'[15]DATA GPC'!$BA$5:$BA$113</definedName>
    <definedName name="CountryCurrencySymbol">'[15]DATA GPC'!$AY$5:$AY$113</definedName>
    <definedName name="CountryCurrencySymbolUnique">'[15]DATA GPC'!$BB$5:$BB$113</definedName>
    <definedName name="CountryIndex">'[15]DATA GPC'!$AV$5:$AV$113</definedName>
    <definedName name="CountryIndexCode">'[15]DATA GPC'!$AW$5:$AW$113</definedName>
    <definedName name="CountryMarket">'[15]DATA GPC'!$AU$5:$AU$113</definedName>
    <definedName name="CountryName">'[15]DATA GPC'!$AS$5:$AS$113</definedName>
    <definedName name="CPI" localSheetId="19">'[16]假设 Inputs'!$M$634</definedName>
    <definedName name="CPI" localSheetId="23">'[16]假设 Inputs'!$M$634</definedName>
    <definedName name="CPI" localSheetId="20">'[16]假设 Inputs'!$M$634</definedName>
    <definedName name="CPI" localSheetId="22">'[16]假设 Inputs'!$M$634</definedName>
    <definedName name="CPI" localSheetId="24">'[16]假设 Inputs'!$M$634</definedName>
    <definedName name="CPI" localSheetId="21">'[16]假设 Inputs'!$M$634</definedName>
    <definedName name="CPI" localSheetId="13">'[16]假设 Inputs'!$M$634</definedName>
    <definedName name="CPI" localSheetId="17">'[16]假设 Inputs'!$M$634</definedName>
    <definedName name="CPI" localSheetId="14">'[16]假设 Inputs'!$M$634</definedName>
    <definedName name="CPI" localSheetId="16">'[16]假设 Inputs'!$M$634</definedName>
    <definedName name="CPI" localSheetId="15">'[16]假设 Inputs'!$M$634</definedName>
    <definedName name="CPI" localSheetId="18">'[16]假设 Inputs'!$M$634</definedName>
    <definedName name="CPI" localSheetId="12">'[16]假设 Inputs'!$M$634</definedName>
    <definedName name="CPI" localSheetId="26">'[16]假设 Inputs'!$M$634</definedName>
    <definedName name="CPI" localSheetId="25">'[16]假设 Inputs'!$M$634</definedName>
    <definedName name="CPI" localSheetId="30">'[16]假设 Inputs'!$M$634</definedName>
    <definedName name="CPI" localSheetId="27">'[16]假设 Inputs'!$M$634</definedName>
    <definedName name="CPI" localSheetId="28">'[16]假设 Inputs'!$M$634</definedName>
    <definedName name="CPI" localSheetId="31">'[16]假设 Inputs'!$M$634</definedName>
    <definedName name="CPI" localSheetId="29">'[16]假设 Inputs'!$M$634</definedName>
    <definedName name="CPI" localSheetId="11">'[16]假设 Inputs'!$M$634</definedName>
    <definedName name="CPI" localSheetId="36">'[16]假设 Inputs'!$M$634</definedName>
    <definedName name="CPI">'[17]假设 Inputs'!$M$634</definedName>
    <definedName name="CPI_base_date" localSheetId="19">'[16]假设 Inputs'!$M$632</definedName>
    <definedName name="CPI_base_date" localSheetId="23">'[16]假设 Inputs'!$M$632</definedName>
    <definedName name="CPI_base_date" localSheetId="20">'[16]假设 Inputs'!$M$632</definedName>
    <definedName name="CPI_base_date" localSheetId="22">'[16]假设 Inputs'!$M$632</definedName>
    <definedName name="CPI_base_date" localSheetId="24">'[16]假设 Inputs'!$M$632</definedName>
    <definedName name="CPI_base_date" localSheetId="21">'[16]假设 Inputs'!$M$632</definedName>
    <definedName name="CPI_base_date" localSheetId="13">'[16]假设 Inputs'!$M$632</definedName>
    <definedName name="CPI_base_date" localSheetId="17">'[16]假设 Inputs'!$M$632</definedName>
    <definedName name="CPI_base_date" localSheetId="14">'[16]假设 Inputs'!$M$632</definedName>
    <definedName name="CPI_base_date" localSheetId="16">'[16]假设 Inputs'!$M$632</definedName>
    <definedName name="CPI_base_date" localSheetId="15">'[16]假设 Inputs'!$M$632</definedName>
    <definedName name="CPI_base_date" localSheetId="18">'[16]假设 Inputs'!$M$632</definedName>
    <definedName name="CPI_base_date" localSheetId="12">'[16]假设 Inputs'!$M$632</definedName>
    <definedName name="CPI_base_date" localSheetId="26">'[16]假设 Inputs'!$M$632</definedName>
    <definedName name="CPI_base_date" localSheetId="25">'[16]假设 Inputs'!$M$632</definedName>
    <definedName name="CPI_base_date" localSheetId="30">'[16]假设 Inputs'!$M$632</definedName>
    <definedName name="CPI_base_date" localSheetId="27">'[16]假设 Inputs'!$M$632</definedName>
    <definedName name="CPI_base_date" localSheetId="28">'[16]假设 Inputs'!$M$632</definedName>
    <definedName name="CPI_base_date" localSheetId="31">'[16]假设 Inputs'!$M$632</definedName>
    <definedName name="CPI_base_date" localSheetId="29">'[16]假设 Inputs'!$M$632</definedName>
    <definedName name="CPI_base_date" localSheetId="11">'[16]假设 Inputs'!$M$632</definedName>
    <definedName name="CPI_base_date" localSheetId="36">'[16]假设 Inputs'!$M$632</definedName>
    <definedName name="CPI_base_date">'[17]假设 Inputs'!$M$632</definedName>
    <definedName name="CPI基准日">[32]Assum!$Q$159</definedName>
    <definedName name="_xlnm.Criteria" localSheetId="26">#REF!</definedName>
    <definedName name="_xlnm.Criteria" localSheetId="25">#REF!</definedName>
    <definedName name="_xlnm.Criteria" localSheetId="30">#REF!</definedName>
    <definedName name="_xlnm.Criteria" localSheetId="27">#REF!</definedName>
    <definedName name="_xlnm.Criteria" localSheetId="28">#REF!</definedName>
    <definedName name="_xlnm.Criteria" localSheetId="31">#REF!</definedName>
    <definedName name="_xlnm.Criteria" localSheetId="29">#REF!</definedName>
    <definedName name="_xlnm.Criteria" localSheetId="40">#REF!</definedName>
    <definedName name="_xlnm.Criteria">#REF!</definedName>
    <definedName name="CRR">[33]Cover!$G$36</definedName>
    <definedName name="Cur.Mth">[31]封面!$F$29</definedName>
    <definedName name="Cur.R" localSheetId="19">[34]封面!$G$34</definedName>
    <definedName name="Cur.R" localSheetId="23">[34]封面!$G$34</definedName>
    <definedName name="Cur.R" localSheetId="20">[34]封面!$G$34</definedName>
    <definedName name="Cur.R" localSheetId="22">[34]封面!$G$34</definedName>
    <definedName name="Cur.R" localSheetId="24">[34]封面!$G$34</definedName>
    <definedName name="Cur.R" localSheetId="21">[34]封面!$G$34</definedName>
    <definedName name="Cur.R" localSheetId="13">[34]封面!$G$34</definedName>
    <definedName name="Cur.R" localSheetId="17">[34]封面!$G$34</definedName>
    <definedName name="Cur.R" localSheetId="14">[34]封面!$G$34</definedName>
    <definedName name="Cur.R" localSheetId="16">[34]封面!$G$34</definedName>
    <definedName name="Cur.R" localSheetId="15">[34]封面!$G$34</definedName>
    <definedName name="Cur.R" localSheetId="18">[34]封面!$G$34</definedName>
    <definedName name="Cur.R" localSheetId="12">[34]封面!$G$34</definedName>
    <definedName name="Cur.R" localSheetId="26">[34]封面!$G$34</definedName>
    <definedName name="Cur.R" localSheetId="25">[34]封面!$G$34</definedName>
    <definedName name="Cur.R" localSheetId="30">[34]封面!$G$34</definedName>
    <definedName name="Cur.R" localSheetId="27">[34]封面!$G$34</definedName>
    <definedName name="Cur.R" localSheetId="28">[34]封面!$G$34</definedName>
    <definedName name="Cur.R" localSheetId="31">[34]封面!$G$34</definedName>
    <definedName name="Cur.R" localSheetId="29">[34]封面!$G$34</definedName>
    <definedName name="Cur.R" localSheetId="11">[34]封面!$G$34</definedName>
    <definedName name="Cur.R" localSheetId="40">[35]封面!$G$34</definedName>
    <definedName name="Cur.R">[35]封面!$G$34</definedName>
    <definedName name="curr.r">[19]封面!$G$35</definedName>
    <definedName name="curr_salary" localSheetId="26">#REF!</definedName>
    <definedName name="curr_salary" localSheetId="25">#REF!</definedName>
    <definedName name="curr_salary" localSheetId="30">#REF!</definedName>
    <definedName name="curr_salary" localSheetId="27">#REF!</definedName>
    <definedName name="curr_salary" localSheetId="28">#REF!</definedName>
    <definedName name="curr_salary" localSheetId="31">#REF!</definedName>
    <definedName name="curr_salary" localSheetId="29">#REF!</definedName>
    <definedName name="curr_salary" localSheetId="37">#REF!</definedName>
    <definedName name="curr_salary" localSheetId="40">#REF!</definedName>
    <definedName name="curr_salary" localSheetId="32">#REF!</definedName>
    <definedName name="curr_salary" localSheetId="5">#REF!</definedName>
    <definedName name="curr_salary" localSheetId="6">#REF!</definedName>
    <definedName name="curr_salary">#REF!</definedName>
    <definedName name="current_salary" localSheetId="26">#REF!</definedName>
    <definedName name="current_salary" localSheetId="25">#REF!</definedName>
    <definedName name="current_salary" localSheetId="30">#REF!</definedName>
    <definedName name="current_salary" localSheetId="27">#REF!</definedName>
    <definedName name="current_salary" localSheetId="28">#REF!</definedName>
    <definedName name="current_salary" localSheetId="31">#REF!</definedName>
    <definedName name="current_salary" localSheetId="29">#REF!</definedName>
    <definedName name="current_salary" localSheetId="37">#REF!</definedName>
    <definedName name="current_salary" localSheetId="40">#REF!</definedName>
    <definedName name="current_salary" localSheetId="32">#REF!</definedName>
    <definedName name="current_salary" localSheetId="5">#REF!</definedName>
    <definedName name="current_salary" localSheetId="6">#REF!</definedName>
    <definedName name="current_salary">#REF!</definedName>
    <definedName name="data" localSheetId="19">#REF!</definedName>
    <definedName name="data" localSheetId="23">#REF!</definedName>
    <definedName name="data" localSheetId="20">#REF!</definedName>
    <definedName name="data" localSheetId="22">#REF!</definedName>
    <definedName name="data" localSheetId="24">#REF!</definedName>
    <definedName name="data" localSheetId="21">#REF!</definedName>
    <definedName name="data" localSheetId="13">#REF!</definedName>
    <definedName name="data" localSheetId="17">#REF!</definedName>
    <definedName name="data" localSheetId="14">#REF!</definedName>
    <definedName name="data" localSheetId="16">#REF!</definedName>
    <definedName name="data" localSheetId="15">#REF!</definedName>
    <definedName name="data" localSheetId="18">#REF!</definedName>
    <definedName name="data" localSheetId="12">#REF!</definedName>
    <definedName name="data" localSheetId="26">#REF!</definedName>
    <definedName name="data" localSheetId="25">#REF!</definedName>
    <definedName name="data" localSheetId="30">#REF!</definedName>
    <definedName name="data" localSheetId="27">#REF!</definedName>
    <definedName name="data" localSheetId="28">#REF!</definedName>
    <definedName name="data" localSheetId="31">#REF!</definedName>
    <definedName name="data" localSheetId="29">#REF!</definedName>
    <definedName name="data" localSheetId="11">#REF!</definedName>
    <definedName name="data" localSheetId="40">#REF!</definedName>
    <definedName name="data">#REF!</definedName>
    <definedName name="DataMode">'[15]DATA GPC'!$M$11</definedName>
    <definedName name="DataView_Period">[15]Ranking!$K$6</definedName>
    <definedName name="DataViewDDList">[15]Ranking!$U$12:$U$22</definedName>
    <definedName name="DataViewFactor">[15]Ranking!$J$129:$P$129</definedName>
    <definedName name="date" localSheetId="19">OFFSET('[36]revenue chart'!$D$3,0,0,COUNT('[36]revenue chart'!B$1:B$65536)+1,1)</definedName>
    <definedName name="date" localSheetId="23">OFFSET('[36]revenue chart'!$D$3,0,0,COUNT('[36]revenue chart'!B$1:B$65536)+1,1)</definedName>
    <definedName name="date" localSheetId="20">OFFSET('[36]revenue chart'!$D$3,0,0,COUNT('[36]revenue chart'!B$1:B$65536)+1,1)</definedName>
    <definedName name="date" localSheetId="22">OFFSET('[36]revenue chart'!$D$3,0,0,COUNT('[36]revenue chart'!B$1:B$65536)+1,1)</definedName>
    <definedName name="date" localSheetId="24">OFFSET('[36]revenue chart'!$D$3,0,0,COUNT('[36]revenue chart'!B$1:B$65536)+1,1)</definedName>
    <definedName name="date" localSheetId="21">OFFSET('[36]revenue chart'!$D$3,0,0,COUNT('[36]revenue chart'!B$1:B$65536)+1,1)</definedName>
    <definedName name="date" localSheetId="13">OFFSET('[36]revenue chart'!$D$3,0,0,COUNT('[36]revenue chart'!B$1:B$65536)+1,1)</definedName>
    <definedName name="date" localSheetId="17">OFFSET('[36]revenue chart'!$D$3,0,0,COUNT('[36]revenue chart'!B$1:B$65536)+1,1)</definedName>
    <definedName name="date" localSheetId="14">OFFSET('[36]revenue chart'!$D$3,0,0,COUNT('[36]revenue chart'!B$1:B$65536)+1,1)</definedName>
    <definedName name="date" localSheetId="16">OFFSET('[36]revenue chart'!$D$3,0,0,COUNT('[36]revenue chart'!B$1:B$65536)+1,1)</definedName>
    <definedName name="date" localSheetId="15">OFFSET('[36]revenue chart'!$D$3,0,0,COUNT('[36]revenue chart'!B$1:B$65536)+1,1)</definedName>
    <definedName name="date" localSheetId="18">OFFSET('[36]revenue chart'!$D$3,0,0,COUNT('[36]revenue chart'!B$1:B$65536)+1,1)</definedName>
    <definedName name="date" localSheetId="12">OFFSET('[36]revenue chart'!$D$3,0,0,COUNT('[36]revenue chart'!B$1:B$65536)+1,1)</definedName>
    <definedName name="date" localSheetId="26">OFFSET('[36]revenue chart'!$D$3,0,0,COUNT('[36]revenue chart'!B$1:B$65536)+1,1)</definedName>
    <definedName name="date" localSheetId="25">OFFSET('[36]revenue chart'!$D$3,0,0,COUNT('[36]revenue chart'!B$1:B$65536)+1,1)</definedName>
    <definedName name="date" localSheetId="30">OFFSET('[36]revenue chart'!$D$3,0,0,COUNT('[36]revenue chart'!B$1:B$65536)+1,1)</definedName>
    <definedName name="date" localSheetId="27">OFFSET('[36]revenue chart'!$D$3,0,0,COUNT('[36]revenue chart'!B$1:B$65536)+1,1)</definedName>
    <definedName name="date" localSheetId="28">OFFSET('[36]revenue chart'!$D$3,0,0,COUNT('[36]revenue chart'!B$1:B$65536)+1,1)</definedName>
    <definedName name="date" localSheetId="31">OFFSET('[36]revenue chart'!$D$3,0,0,COUNT('[36]revenue chart'!B$1:B$65536)+1,1)</definedName>
    <definedName name="date" localSheetId="29">OFFSET('[36]revenue chart'!$D$3,0,0,COUNT('[36]revenue chart'!B$1:B$65536)+1,1)</definedName>
    <definedName name="date" localSheetId="11">OFFSET('[36]revenue chart'!$D$3,0,0,COUNT('[36]revenue chart'!B$1:B$65536)+1,1)</definedName>
    <definedName name="date" localSheetId="40">OFFSET('[37]revenue chart'!$D$3,0,0,COUNT('[37]revenue chart'!B$1:B$65536)+1,1)</definedName>
    <definedName name="date">OFFSET('[37]revenue chart'!$D$3,0,0,COUNT('[37]revenue chart'!B$1:B$65536)+1,1)</definedName>
    <definedName name="dd.DepreciationMethods">'[15]Depreciation and Tax Benefit'!$C$127:$C$131</definedName>
    <definedName name="dd_Cases" localSheetId="19">OFFSET([38]GenAssm!$X$37,1,0,[38]GenAssm!$X$35,-1)</definedName>
    <definedName name="dd_Cases" localSheetId="23">OFFSET([38]GenAssm!$X$37,1,0,[38]GenAssm!$X$35,-1)</definedName>
    <definedName name="dd_Cases" localSheetId="20">OFFSET([38]GenAssm!$X$37,1,0,[38]GenAssm!$X$35,-1)</definedName>
    <definedName name="dd_Cases" localSheetId="22">OFFSET([38]GenAssm!$X$37,1,0,[38]GenAssm!$X$35,-1)</definedName>
    <definedName name="dd_Cases" localSheetId="24">OFFSET([38]GenAssm!$X$37,1,0,[38]GenAssm!$X$35,-1)</definedName>
    <definedName name="dd_Cases" localSheetId="21">OFFSET([38]GenAssm!$X$37,1,0,[38]GenAssm!$X$35,-1)</definedName>
    <definedName name="dd_Cases" localSheetId="13">OFFSET([38]GenAssm!$X$37,1,0,[38]GenAssm!$X$35,-1)</definedName>
    <definedName name="dd_Cases" localSheetId="17">OFFSET([38]GenAssm!$X$37,1,0,[38]GenAssm!$X$35,-1)</definedName>
    <definedName name="dd_Cases" localSheetId="14">OFFSET([38]GenAssm!$X$37,1,0,[38]GenAssm!$X$35,-1)</definedName>
    <definedName name="dd_Cases" localSheetId="16">OFFSET([38]GenAssm!$X$37,1,0,[38]GenAssm!$X$35,-1)</definedName>
    <definedName name="dd_Cases" localSheetId="15">OFFSET([38]GenAssm!$X$37,1,0,[38]GenAssm!$X$35,-1)</definedName>
    <definedName name="dd_Cases" localSheetId="18">OFFSET([38]GenAssm!$X$37,1,0,[38]GenAssm!$X$35,-1)</definedName>
    <definedName name="dd_Cases" localSheetId="12">OFFSET([38]GenAssm!$X$37,1,0,[38]GenAssm!$X$35,-1)</definedName>
    <definedName name="dd_Cases" localSheetId="11">OFFSET([38]GenAssm!$X$37,1,0,[38]GenAssm!$X$35,-1)</definedName>
    <definedName name="dd_Cases" localSheetId="40">OFFSET([39]GenAssm!$X$37,1,0,[39]GenAssm!$X$35,-1)</definedName>
    <definedName name="dd_Cases">OFFSET([39]GenAssm!$X$37,1,0,[39]GenAssm!$X$35,-1)</definedName>
    <definedName name="DD_Payment">[32]Assum!$F$80:$F$99</definedName>
    <definedName name="DebtBetaList">[15]Settings!$P$18:$P$19</definedName>
    <definedName name="DebtList">[15]Settings!$P$14:$P$16</definedName>
    <definedName name="DebtSetNo">[15]START!$E$94</definedName>
    <definedName name="DebtSetting">'[15]WACC and TIC Inputs'!$J$43</definedName>
    <definedName name="DebtSettingBeta">'[15]WACC and TIC Inputs'!$H$86</definedName>
    <definedName name="DebtSettingLabel">'[15]WACC and TIC Inputs'!$H$48</definedName>
    <definedName name="Delevering" hidden="1">#N/A</definedName>
    <definedName name="depreciation" localSheetId="26">#REF!</definedName>
    <definedName name="depreciation" localSheetId="25">#REF!</definedName>
    <definedName name="depreciation" localSheetId="30">#REF!</definedName>
    <definedName name="depreciation" localSheetId="27">#REF!</definedName>
    <definedName name="depreciation" localSheetId="28">#REF!</definedName>
    <definedName name="depreciation" localSheetId="31">#REF!</definedName>
    <definedName name="depreciation" localSheetId="29">#REF!</definedName>
    <definedName name="depreciation" localSheetId="40">#REF!</definedName>
    <definedName name="depreciation">#REF!</definedName>
    <definedName name="Dept">'[40]Rate lookup'!$A$38:$A$67</definedName>
    <definedName name="DETime">'[15]WACC and TIC Inputs'!$F$306:$F$311</definedName>
    <definedName name="discharging" localSheetId="19">[24]Assumption!$E$21</definedName>
    <definedName name="discharging" localSheetId="23">[24]Assumption!$E$21</definedName>
    <definedName name="discharging" localSheetId="20">[24]Assumption!$E$21</definedName>
    <definedName name="discharging" localSheetId="22">[24]Assumption!$E$21</definedName>
    <definedName name="discharging" localSheetId="24">[24]Assumption!$E$21</definedName>
    <definedName name="discharging" localSheetId="21">[24]Assumption!$E$21</definedName>
    <definedName name="discharging" localSheetId="13">[24]Assumption!$E$21</definedName>
    <definedName name="discharging" localSheetId="17">[24]Assumption!$E$21</definedName>
    <definedName name="discharging" localSheetId="14">[24]Assumption!$E$21</definedName>
    <definedName name="discharging" localSheetId="16">[24]Assumption!$E$21</definedName>
    <definedName name="discharging" localSheetId="15">[24]Assumption!$E$21</definedName>
    <definedName name="discharging" localSheetId="18">[24]Assumption!$E$21</definedName>
    <definedName name="discharging" localSheetId="12">[24]Assumption!$E$21</definedName>
    <definedName name="discharging" localSheetId="26">[24]Assumption!$E$21</definedName>
    <definedName name="discharging" localSheetId="25">[24]Assumption!$E$21</definedName>
    <definedName name="discharging" localSheetId="30">[24]Assumption!$E$21</definedName>
    <definedName name="discharging" localSheetId="27">[24]Assumption!$E$21</definedName>
    <definedName name="discharging" localSheetId="28">[24]Assumption!$E$21</definedName>
    <definedName name="discharging" localSheetId="31">[24]Assumption!$E$21</definedName>
    <definedName name="discharging" localSheetId="29">[24]Assumption!$E$21</definedName>
    <definedName name="discharging" localSheetId="11">[24]Assumption!$E$21</definedName>
    <definedName name="discharging" localSheetId="40">[25]Assumption!$E$21</definedName>
    <definedName name="discharging">[25]Assumption!$E$21</definedName>
    <definedName name="DMESetting">'[15]WACC and TIC Inputs'!$G$43</definedName>
    <definedName name="Domain_Properties" localSheetId="19">#REF!</definedName>
    <definedName name="Domain_Properties" localSheetId="23">#REF!</definedName>
    <definedName name="Domain_Properties" localSheetId="20">#REF!</definedName>
    <definedName name="Domain_Properties" localSheetId="22">#REF!</definedName>
    <definedName name="Domain_Properties" localSheetId="24">#REF!</definedName>
    <definedName name="Domain_Properties" localSheetId="21">#REF!</definedName>
    <definedName name="Domain_Properties" localSheetId="13">#REF!</definedName>
    <definedName name="Domain_Properties" localSheetId="17">#REF!</definedName>
    <definedName name="Domain_Properties" localSheetId="14">#REF!</definedName>
    <definedName name="Domain_Properties" localSheetId="16">#REF!</definedName>
    <definedName name="Domain_Properties" localSheetId="15">#REF!</definedName>
    <definedName name="Domain_Properties" localSheetId="18">#REF!</definedName>
    <definedName name="Domain_Properties" localSheetId="12">#REF!</definedName>
    <definedName name="Domain_Properties" localSheetId="26">#REF!</definedName>
    <definedName name="Domain_Properties" localSheetId="25">#REF!</definedName>
    <definedName name="Domain_Properties" localSheetId="30">#REF!</definedName>
    <definedName name="Domain_Properties" localSheetId="27">#REF!</definedName>
    <definedName name="Domain_Properties" localSheetId="28">#REF!</definedName>
    <definedName name="Domain_Properties" localSheetId="31">#REF!</definedName>
    <definedName name="Domain_Properties" localSheetId="29">#REF!</definedName>
    <definedName name="Domain_Properties" localSheetId="11">#REF!</definedName>
    <definedName name="Domain_Properties" localSheetId="37">#REF!</definedName>
    <definedName name="Domain_Properties" localSheetId="39">#REF!</definedName>
    <definedName name="Domain_Properties" localSheetId="38">'Other Exp'!#REF!</definedName>
    <definedName name="Domain_Properties" localSheetId="40">#REF!</definedName>
    <definedName name="Domain_Properties" localSheetId="34">'Prof. Fee'!#REF!</definedName>
    <definedName name="Domain_Properties" localSheetId="33">'T&amp;E'!#REF!</definedName>
    <definedName name="Domain_Properties">#REF!</definedName>
    <definedName name="DraftFooter">[15]Settings!$I$15</definedName>
    <definedName name="EBITDA_Bridge" localSheetId="19">#REF!</definedName>
    <definedName name="EBITDA_Bridge" localSheetId="23">#REF!</definedName>
    <definedName name="EBITDA_Bridge" localSheetId="20">#REF!</definedName>
    <definedName name="EBITDA_Bridge" localSheetId="22">#REF!</definedName>
    <definedName name="EBITDA_Bridge" localSheetId="24">#REF!</definedName>
    <definedName name="EBITDA_Bridge" localSheetId="21">#REF!</definedName>
    <definedName name="EBITDA_Bridge" localSheetId="13">#REF!</definedName>
    <definedName name="EBITDA_Bridge" localSheetId="17">#REF!</definedName>
    <definedName name="EBITDA_Bridge" localSheetId="14">#REF!</definedName>
    <definedName name="EBITDA_Bridge" localSheetId="16">#REF!</definedName>
    <definedName name="EBITDA_Bridge" localSheetId="15">#REF!</definedName>
    <definedName name="EBITDA_Bridge" localSheetId="18">#REF!</definedName>
    <definedName name="EBITDA_Bridge" localSheetId="12">#REF!</definedName>
    <definedName name="EBITDA_Bridge" localSheetId="26">#REF!</definedName>
    <definedName name="EBITDA_Bridge" localSheetId="25">#REF!</definedName>
    <definedName name="EBITDA_Bridge" localSheetId="30">#REF!</definedName>
    <definedName name="EBITDA_Bridge" localSheetId="27">#REF!</definedName>
    <definedName name="EBITDA_Bridge" localSheetId="28">#REF!</definedName>
    <definedName name="EBITDA_Bridge" localSheetId="31">#REF!</definedName>
    <definedName name="EBITDA_Bridge" localSheetId="29">#REF!</definedName>
    <definedName name="EBITDA_Bridge" localSheetId="11">#REF!</definedName>
    <definedName name="EBITDA_Bridge" localSheetId="40">#REF!</definedName>
    <definedName name="EBITDA_Bridge">#REF!</definedName>
    <definedName name="EDS_NetID" localSheetId="26">#REF!</definedName>
    <definedName name="EDS_NetID" localSheetId="25">#REF!</definedName>
    <definedName name="EDS_NetID" localSheetId="30">#REF!</definedName>
    <definedName name="EDS_NetID" localSheetId="27">#REF!</definedName>
    <definedName name="EDS_NetID" localSheetId="28">#REF!</definedName>
    <definedName name="EDS_NetID" localSheetId="31">#REF!</definedName>
    <definedName name="EDS_NetID" localSheetId="29">#REF!</definedName>
    <definedName name="EDS_NetID" localSheetId="37">#REF!</definedName>
    <definedName name="EDS_NetID" localSheetId="40">#REF!</definedName>
    <definedName name="EDS_NetID" localSheetId="32">#REF!</definedName>
    <definedName name="EDS_NetID" localSheetId="5">#REF!</definedName>
    <definedName name="EDS_NetID" localSheetId="6">#REF!</definedName>
    <definedName name="EDS_NetID">#REF!</definedName>
    <definedName name="eff" localSheetId="26">#REF!</definedName>
    <definedName name="eff" localSheetId="25">#REF!</definedName>
    <definedName name="eff" localSheetId="30">#REF!</definedName>
    <definedName name="eff" localSheetId="27">#REF!</definedName>
    <definedName name="eff" localSheetId="28">#REF!</definedName>
    <definedName name="eff" localSheetId="31">#REF!</definedName>
    <definedName name="eff" localSheetId="29">#REF!</definedName>
    <definedName name="eff" localSheetId="40">#REF!</definedName>
    <definedName name="eff">#REF!</definedName>
    <definedName name="efffactor" localSheetId="26">#REF!</definedName>
    <definedName name="efffactor" localSheetId="25">#REF!</definedName>
    <definedName name="efffactor" localSheetId="30">#REF!</definedName>
    <definedName name="efffactor" localSheetId="27">#REF!</definedName>
    <definedName name="efffactor" localSheetId="28">#REF!</definedName>
    <definedName name="efffactor" localSheetId="31">#REF!</definedName>
    <definedName name="efffactor" localSheetId="29">#REF!</definedName>
    <definedName name="efffactor" localSheetId="40">#REF!</definedName>
    <definedName name="efffactor">#REF!</definedName>
    <definedName name="elec_H" localSheetId="19">[24]Assumption!$E$16</definedName>
    <definedName name="elec_H" localSheetId="23">[24]Assumption!$E$16</definedName>
    <definedName name="elec_H" localSheetId="20">[24]Assumption!$E$16</definedName>
    <definedName name="elec_H" localSheetId="22">[24]Assumption!$E$16</definedName>
    <definedName name="elec_H" localSheetId="24">[24]Assumption!$E$16</definedName>
    <definedName name="elec_H" localSheetId="21">[24]Assumption!$E$16</definedName>
    <definedName name="elec_H" localSheetId="13">[24]Assumption!$E$16</definedName>
    <definedName name="elec_H" localSheetId="17">[24]Assumption!$E$16</definedName>
    <definedName name="elec_H" localSheetId="14">[24]Assumption!$E$16</definedName>
    <definedName name="elec_H" localSheetId="16">[24]Assumption!$E$16</definedName>
    <definedName name="elec_H" localSheetId="15">[24]Assumption!$E$16</definedName>
    <definedName name="elec_H" localSheetId="18">[24]Assumption!$E$16</definedName>
    <definedName name="elec_H" localSheetId="12">[24]Assumption!$E$16</definedName>
    <definedName name="elec_H" localSheetId="26">[24]Assumption!$E$16</definedName>
    <definedName name="elec_H" localSheetId="25">[24]Assumption!$E$16</definedName>
    <definedName name="elec_H" localSheetId="30">[24]Assumption!$E$16</definedName>
    <definedName name="elec_H" localSheetId="27">[24]Assumption!$E$16</definedName>
    <definedName name="elec_H" localSheetId="28">[24]Assumption!$E$16</definedName>
    <definedName name="elec_H" localSheetId="31">[24]Assumption!$E$16</definedName>
    <definedName name="elec_H" localSheetId="29">[24]Assumption!$E$16</definedName>
    <definedName name="elec_H" localSheetId="11">[24]Assumption!$E$16</definedName>
    <definedName name="elec_H" localSheetId="40">[25]Assumption!$E$16</definedName>
    <definedName name="elec_H">[25]Assumption!$E$16</definedName>
    <definedName name="elec_L" localSheetId="19">[24]Assumption!$I$16</definedName>
    <definedName name="elec_L" localSheetId="23">[24]Assumption!$I$16</definedName>
    <definedName name="elec_L" localSheetId="20">[24]Assumption!$I$16</definedName>
    <definedName name="elec_L" localSheetId="22">[24]Assumption!$I$16</definedName>
    <definedName name="elec_L" localSheetId="24">[24]Assumption!$I$16</definedName>
    <definedName name="elec_L" localSheetId="21">[24]Assumption!$I$16</definedName>
    <definedName name="elec_L" localSheetId="13">[24]Assumption!$I$16</definedName>
    <definedName name="elec_L" localSheetId="17">[24]Assumption!$I$16</definedName>
    <definedName name="elec_L" localSheetId="14">[24]Assumption!$I$16</definedName>
    <definedName name="elec_L" localSheetId="16">[24]Assumption!$I$16</definedName>
    <definedName name="elec_L" localSheetId="15">[24]Assumption!$I$16</definedName>
    <definedName name="elec_L" localSheetId="18">[24]Assumption!$I$16</definedName>
    <definedName name="elec_L" localSheetId="12">[24]Assumption!$I$16</definedName>
    <definedName name="elec_L" localSheetId="26">[24]Assumption!$I$16</definedName>
    <definedName name="elec_L" localSheetId="25">[24]Assumption!$I$16</definedName>
    <definedName name="elec_L" localSheetId="30">[24]Assumption!$I$16</definedName>
    <definedName name="elec_L" localSheetId="27">[24]Assumption!$I$16</definedName>
    <definedName name="elec_L" localSheetId="28">[24]Assumption!$I$16</definedName>
    <definedName name="elec_L" localSheetId="31">[24]Assumption!$I$16</definedName>
    <definedName name="elec_L" localSheetId="29">[24]Assumption!$I$16</definedName>
    <definedName name="elec_L" localSheetId="11">[24]Assumption!$I$16</definedName>
    <definedName name="elec_L" localSheetId="40">[25]Assumption!$I$16</definedName>
    <definedName name="elec_L">[25]Assumption!$I$16</definedName>
    <definedName name="Elec_s" localSheetId="19">[24]Assumption!$M$16</definedName>
    <definedName name="Elec_s" localSheetId="23">[24]Assumption!$M$16</definedName>
    <definedName name="Elec_s" localSheetId="20">[24]Assumption!$M$16</definedName>
    <definedName name="Elec_s" localSheetId="22">[24]Assumption!$M$16</definedName>
    <definedName name="Elec_s" localSheetId="24">[24]Assumption!$M$16</definedName>
    <definedName name="Elec_s" localSheetId="21">[24]Assumption!$M$16</definedName>
    <definedName name="Elec_s" localSheetId="13">[24]Assumption!$M$16</definedName>
    <definedName name="Elec_s" localSheetId="17">[24]Assumption!$M$16</definedName>
    <definedName name="Elec_s" localSheetId="14">[24]Assumption!$M$16</definedName>
    <definedName name="Elec_s" localSheetId="16">[24]Assumption!$M$16</definedName>
    <definedName name="Elec_s" localSheetId="15">[24]Assumption!$M$16</definedName>
    <definedName name="Elec_s" localSheetId="18">[24]Assumption!$M$16</definedName>
    <definedName name="Elec_s" localSheetId="12">[24]Assumption!$M$16</definedName>
    <definedName name="Elec_s" localSheetId="26">[24]Assumption!$M$16</definedName>
    <definedName name="Elec_s" localSheetId="25">[24]Assumption!$M$16</definedName>
    <definedName name="Elec_s" localSheetId="30">[24]Assumption!$M$16</definedName>
    <definedName name="Elec_s" localSheetId="27">[24]Assumption!$M$16</definedName>
    <definedName name="Elec_s" localSheetId="28">[24]Assumption!$M$16</definedName>
    <definedName name="Elec_s" localSheetId="31">[24]Assumption!$M$16</definedName>
    <definedName name="Elec_s" localSheetId="29">[24]Assumption!$M$16</definedName>
    <definedName name="Elec_s" localSheetId="11">[24]Assumption!$M$16</definedName>
    <definedName name="Elec_s" localSheetId="40">[25]Assumption!$M$16</definedName>
    <definedName name="Elec_s">[25]Assumption!$M$16</definedName>
    <definedName name="ELM_1" localSheetId="19">#REF!</definedName>
    <definedName name="ELM_1" localSheetId="23">#REF!</definedName>
    <definedName name="ELM_1" localSheetId="20">#REF!</definedName>
    <definedName name="ELM_1" localSheetId="22">#REF!</definedName>
    <definedName name="ELM_1" localSheetId="24">#REF!</definedName>
    <definedName name="ELM_1" localSheetId="21">#REF!</definedName>
    <definedName name="ELM_1" localSheetId="13">#REF!</definedName>
    <definedName name="ELM_1" localSheetId="17">#REF!</definedName>
    <definedName name="ELM_1" localSheetId="14">#REF!</definedName>
    <definedName name="ELM_1" localSheetId="16">#REF!</definedName>
    <definedName name="ELM_1" localSheetId="15">#REF!</definedName>
    <definedName name="ELM_1" localSheetId="18">#REF!</definedName>
    <definedName name="ELM_1" localSheetId="12">#REF!</definedName>
    <definedName name="ELM_1" localSheetId="26">#REF!</definedName>
    <definedName name="ELM_1" localSheetId="25">#REF!</definedName>
    <definedName name="ELM_1" localSheetId="30">#REF!</definedName>
    <definedName name="ELM_1" localSheetId="27">#REF!</definedName>
    <definedName name="ELM_1" localSheetId="28">#REF!</definedName>
    <definedName name="ELM_1" localSheetId="31">#REF!</definedName>
    <definedName name="ELM_1" localSheetId="29">#REF!</definedName>
    <definedName name="ELM_1" localSheetId="11">#REF!</definedName>
    <definedName name="ELM_1" localSheetId="38">#REF!</definedName>
    <definedName name="ELM_1" localSheetId="40">#REF!</definedName>
    <definedName name="ELM_1" localSheetId="34">#REF!</definedName>
    <definedName name="ELM_1" localSheetId="33">#REF!</definedName>
    <definedName name="ELM_1">#REF!</definedName>
    <definedName name="ELM_2" localSheetId="19">#REF!</definedName>
    <definedName name="ELM_2" localSheetId="23">#REF!</definedName>
    <definedName name="ELM_2" localSheetId="20">#REF!</definedName>
    <definedName name="ELM_2" localSheetId="22">#REF!</definedName>
    <definedName name="ELM_2" localSheetId="24">#REF!</definedName>
    <definedName name="ELM_2" localSheetId="21">#REF!</definedName>
    <definedName name="ELM_2" localSheetId="13">#REF!</definedName>
    <definedName name="ELM_2" localSheetId="17">#REF!</definedName>
    <definedName name="ELM_2" localSheetId="14">#REF!</definedName>
    <definedName name="ELM_2" localSheetId="16">#REF!</definedName>
    <definedName name="ELM_2" localSheetId="15">#REF!</definedName>
    <definedName name="ELM_2" localSheetId="18">#REF!</definedName>
    <definedName name="ELM_2" localSheetId="12">#REF!</definedName>
    <definedName name="ELM_2" localSheetId="26">#REF!</definedName>
    <definedName name="ELM_2" localSheetId="25">#REF!</definedName>
    <definedName name="ELM_2" localSheetId="30">#REF!</definedName>
    <definedName name="ELM_2" localSheetId="27">#REF!</definedName>
    <definedName name="ELM_2" localSheetId="28">#REF!</definedName>
    <definedName name="ELM_2" localSheetId="31">#REF!</definedName>
    <definedName name="ELM_2" localSheetId="29">#REF!</definedName>
    <definedName name="ELM_2" localSheetId="11">#REF!</definedName>
    <definedName name="ELM_2" localSheetId="38">#REF!</definedName>
    <definedName name="ELM_2" localSheetId="40">#REF!</definedName>
    <definedName name="ELM_2" localSheetId="34">#REF!</definedName>
    <definedName name="ELM_2" localSheetId="33">#REF!</definedName>
    <definedName name="ELM_2">#REF!</definedName>
    <definedName name="ELM_3" localSheetId="19">#REF!</definedName>
    <definedName name="ELM_3" localSheetId="23">#REF!</definedName>
    <definedName name="ELM_3" localSheetId="20">#REF!</definedName>
    <definedName name="ELM_3" localSheetId="22">#REF!</definedName>
    <definedName name="ELM_3" localSheetId="24">#REF!</definedName>
    <definedName name="ELM_3" localSheetId="21">#REF!</definedName>
    <definedName name="ELM_3" localSheetId="13">#REF!</definedName>
    <definedName name="ELM_3" localSheetId="17">#REF!</definedName>
    <definedName name="ELM_3" localSheetId="14">#REF!</definedName>
    <definedName name="ELM_3" localSheetId="16">#REF!</definedName>
    <definedName name="ELM_3" localSheetId="15">#REF!</definedName>
    <definedName name="ELM_3" localSheetId="18">#REF!</definedName>
    <definedName name="ELM_3" localSheetId="12">#REF!</definedName>
    <definedName name="ELM_3" localSheetId="26">#REF!</definedName>
    <definedName name="ELM_3" localSheetId="25">#REF!</definedName>
    <definedName name="ELM_3" localSheetId="30">#REF!</definedName>
    <definedName name="ELM_3" localSheetId="27">#REF!</definedName>
    <definedName name="ELM_3" localSheetId="28">#REF!</definedName>
    <definedName name="ELM_3" localSheetId="31">#REF!</definedName>
    <definedName name="ELM_3" localSheetId="29">#REF!</definedName>
    <definedName name="ELM_3" localSheetId="11">#REF!</definedName>
    <definedName name="ELM_3" localSheetId="38">#REF!</definedName>
    <definedName name="ELM_3" localSheetId="40">#REF!</definedName>
    <definedName name="ELM_3" localSheetId="34">#REF!</definedName>
    <definedName name="ELM_3" localSheetId="33">#REF!</definedName>
    <definedName name="ELM_3">#REF!</definedName>
    <definedName name="Employee_ID" localSheetId="26">#REF!</definedName>
    <definedName name="Employee_ID" localSheetId="25">#REF!</definedName>
    <definedName name="Employee_ID" localSheetId="30">#REF!</definedName>
    <definedName name="Employee_ID" localSheetId="27">#REF!</definedName>
    <definedName name="Employee_ID" localSheetId="28">#REF!</definedName>
    <definedName name="Employee_ID" localSheetId="31">#REF!</definedName>
    <definedName name="Employee_ID" localSheetId="29">#REF!</definedName>
    <definedName name="Employee_ID" localSheetId="37">#REF!</definedName>
    <definedName name="Employee_ID" localSheetId="40">#REF!</definedName>
    <definedName name="Employee_ID" localSheetId="32">#REF!</definedName>
    <definedName name="Employee_ID" localSheetId="5">#REF!</definedName>
    <definedName name="Employee_ID" localSheetId="6">#REF!</definedName>
    <definedName name="Employee_ID">#REF!</definedName>
    <definedName name="epa" localSheetId="26">#REF!</definedName>
    <definedName name="epa" localSheetId="25">#REF!</definedName>
    <definedName name="epa" localSheetId="30">#REF!</definedName>
    <definedName name="epa" localSheetId="27">#REF!</definedName>
    <definedName name="epa" localSheetId="28">#REF!</definedName>
    <definedName name="epa" localSheetId="31">#REF!</definedName>
    <definedName name="epa" localSheetId="29">#REF!</definedName>
    <definedName name="epa" localSheetId="40">#REF!</definedName>
    <definedName name="epa">#REF!</definedName>
    <definedName name="epc" localSheetId="26">#REF!</definedName>
    <definedName name="epc" localSheetId="25">#REF!</definedName>
    <definedName name="epc" localSheetId="30">#REF!</definedName>
    <definedName name="epc" localSheetId="27">#REF!</definedName>
    <definedName name="epc" localSheetId="28">#REF!</definedName>
    <definedName name="epc" localSheetId="31">#REF!</definedName>
    <definedName name="epc" localSheetId="29">#REF!</definedName>
    <definedName name="epc" localSheetId="40">#REF!</definedName>
    <definedName name="epc">#REF!</definedName>
    <definedName name="epct" localSheetId="26">#REF!</definedName>
    <definedName name="epct" localSheetId="25">#REF!</definedName>
    <definedName name="epct" localSheetId="30">#REF!</definedName>
    <definedName name="epct" localSheetId="27">#REF!</definedName>
    <definedName name="epct" localSheetId="28">#REF!</definedName>
    <definedName name="epct" localSheetId="31">#REF!</definedName>
    <definedName name="epct" localSheetId="29">#REF!</definedName>
    <definedName name="epct" localSheetId="40">#REF!</definedName>
    <definedName name="epct">#REF!</definedName>
    <definedName name="EPMWorkbookOptions_1">"dgEAAB|LCAAAAAAABADsvQdgHEmWJSYvbcp7f0r1StfgdKEIgGATJNiQQBDswYjN5pLsHWlHIymrKoHKZVZlXWYWQMztnbz33nvvvffee||997o7nU4n99//P1xmZAFs9s5K2smeIYCqyB8/fnwfPyIe/x7vFmV6mddNUS0/|2h3vPNRmi|n1axYXnz20bo939799KPf4|g3Th5/t6rfTqrq7Zerlpo2Kb23bB69a4rPPpq37erR3btXV1fjq3v"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"jqr64u7ezs3v39/7i|evpPF9k28WyabPlNP/IvjW7|a2PqNc0ffwqP6/zZv7l8stVvjw6z8omf3w3/JDbnZR5Vj/N2uzL5evsMjctux9zWzOWl3XV5tM2n5nW/S/C9lez9K58dNb8ZFYX2aTMv8jrCweh9zmRzoJV2h39PwEAAP//jmH/WXYBAAA="</definedName>
    <definedName name="EPshare" comment="Entity share enjoyed by HYNE group">100%</definedName>
    <definedName name="Equity_Payment">[32]Assum!$P$80:$P$99</definedName>
    <definedName name="Equity_Timing">[32]Assum!$E$80:$E$99</definedName>
    <definedName name="ERR">[15]Settings!$I$135</definedName>
    <definedName name="EV__LASTREFTIME__" hidden="1">40239.6658796296</definedName>
    <definedName name="EV_EBIT_Multiple">'[18]1_ShortName_Calculation_Meta'!$G$93:$G$117</definedName>
    <definedName name="EV_EBIT_Multiple_2">'[18]1_ShortName_Calculation_Meta'!$J$93:$J$117</definedName>
    <definedName name="EV_EBIT_Selected">'[18]1_ShortName_Calculation_Meta'!$I$92</definedName>
    <definedName name="EV_EBIT_Selected_Bar">'[18]1_ShortName_Calculation_Meta'!$I$93:$I$117</definedName>
    <definedName name="EV_EBIT_Selected_Bar_2">'[18]1_ShortName_Calculation_Meta'!$L$93:$L$117</definedName>
    <definedName name="EV_EBITDA_Multiple">'[18]1_ShortName_Calculation_Meta'!$G$58:$G$82</definedName>
    <definedName name="EV_EBITDA_Multiple_2">'[18]1_ShortName_Calculation_Meta'!$J$58:$J$82</definedName>
    <definedName name="EV_EBITDA_Selected">'[18]1_ShortName_Calculation_Meta'!$I$57</definedName>
    <definedName name="EV_EBITDA_Selected_Bar">'[18]1_ShortName_Calculation_Meta'!$I$58:$I$82</definedName>
    <definedName name="EV_EBITDA_Selected_Bar_2">'[18]1_ShortName_Calculation_Meta'!$L$58:$L$82</definedName>
    <definedName name="EV_Sales_Multiple">'[18]1_ShortName_Calculation_Meta'!$G$23:$G$47</definedName>
    <definedName name="EV_Sales_Multiple_2">'[18]1_ShortName_Calculation_Meta'!$J$23:$J$47</definedName>
    <definedName name="EV_Sales_Selected">'[18]1_ShortName_Calculation_Meta'!$I$22</definedName>
    <definedName name="EV_Sales_Selected_Bar">'[18]1_ShortName_Calculation_Meta'!$I$23:$I$47</definedName>
    <definedName name="EV_Sales_Selected_Bar_2">'[18]1_ShortName_Calculation_Meta'!$L$23:$L$47</definedName>
    <definedName name="EVorTIC">[15]Settings!$M$43</definedName>
    <definedName name="EVorTICFull">[15]Settings!$M$44</definedName>
    <definedName name="EVorTIClowercase">[15]Settings!$M$45</definedName>
    <definedName name="ex">'[41]IT Budget'!$D$2</definedName>
    <definedName name="exch">[42]Borrow!$B$19</definedName>
    <definedName name="Fading_Growth_Rate">[15]DCF!$M$38</definedName>
    <definedName name="Fail">[15]Settings!$M$48</definedName>
    <definedName name="fbtu">[43]enth!#REF!</definedName>
    <definedName name="fcost">[44]ut!#REF!</definedName>
    <definedName name="FCT.R" localSheetId="19">[45]封面!$G$36</definedName>
    <definedName name="FCT.R" localSheetId="23">[45]封面!$G$36</definedName>
    <definedName name="FCT.R" localSheetId="20">[45]封面!$G$36</definedName>
    <definedName name="FCT.R" localSheetId="22">[45]封面!$G$36</definedName>
    <definedName name="FCT.R" localSheetId="24">[45]封面!$G$36</definedName>
    <definedName name="FCT.R" localSheetId="21">[45]封面!$G$36</definedName>
    <definedName name="FCT.R" localSheetId="13">[45]封面!$G$36</definedName>
    <definedName name="FCT.R" localSheetId="17">[45]封面!$G$36</definedName>
    <definedName name="FCT.R" localSheetId="14">[45]封面!$G$36</definedName>
    <definedName name="FCT.R" localSheetId="16">[45]封面!$G$36</definedName>
    <definedName name="FCT.R" localSheetId="15">[45]封面!$G$36</definedName>
    <definedName name="FCT.R" localSheetId="18">[45]封面!$G$36</definedName>
    <definedName name="FCT.R" localSheetId="12">[45]封面!$G$36</definedName>
    <definedName name="FCT.R" localSheetId="26">[45]封面!$G$36</definedName>
    <definedName name="FCT.R" localSheetId="25">[45]封面!$G$36</definedName>
    <definedName name="FCT.R" localSheetId="30">[45]封面!$G$36</definedName>
    <definedName name="FCT.R" localSheetId="27">[45]封面!$G$36</definedName>
    <definedName name="FCT.R" localSheetId="28">[45]封面!$G$36</definedName>
    <definedName name="FCT.R" localSheetId="31">[45]封面!$G$36</definedName>
    <definedName name="FCT.R" localSheetId="29">[45]封面!$G$36</definedName>
    <definedName name="FCT.R" localSheetId="11">[45]封面!$G$36</definedName>
    <definedName name="FCT.R" localSheetId="40">[46]封面!$G$36</definedName>
    <definedName name="FCT.R">[46]封面!$G$36</definedName>
    <definedName name="fethy" localSheetId="26">#REF!</definedName>
    <definedName name="fethy" localSheetId="25">#REF!</definedName>
    <definedName name="fethy" localSheetId="30">#REF!</definedName>
    <definedName name="fethy" localSheetId="27">#REF!</definedName>
    <definedName name="fethy" localSheetId="28">#REF!</definedName>
    <definedName name="fethy" localSheetId="31">#REF!</definedName>
    <definedName name="fethy" localSheetId="29">#REF!</definedName>
    <definedName name="fethy" localSheetId="40">#REF!</definedName>
    <definedName name="fethy">#REF!</definedName>
    <definedName name="fho" localSheetId="26">#REF!</definedName>
    <definedName name="fho" localSheetId="25">#REF!</definedName>
    <definedName name="fho" localSheetId="30">#REF!</definedName>
    <definedName name="fho" localSheetId="27">#REF!</definedName>
    <definedName name="fho" localSheetId="28">#REF!</definedName>
    <definedName name="fho" localSheetId="31">#REF!</definedName>
    <definedName name="fho" localSheetId="29">#REF!</definedName>
    <definedName name="fho" localSheetId="40">#REF!</definedName>
    <definedName name="fho">#REF!</definedName>
    <definedName name="finance2" localSheetId="26" hidden="1">{"Finance 1",#N/A,FALSE,"FINANCE.XLS";"Finance 2",#N/A,FALSE,"FINANCE.XLS";"Finance 3",#N/A,FALSE,"FINANCE.XLS";"Finance 4",#N/A,FALSE,"FINANCE.XLS";"Finance 5",#N/A,FALSE,"FINANCE.XLS";"Finance 6",#N/A,FALSE,"FINANCE.XLS";"Finance 7",#N/A,FALSE,"FINANCE.XLS";"Finance 8",#N/A,FALSE,"FINANCE.XLS"}</definedName>
    <definedName name="finance2" localSheetId="25" hidden="1">{"Finance 1",#N/A,FALSE,"FINANCE.XLS";"Finance 2",#N/A,FALSE,"FINANCE.XLS";"Finance 3",#N/A,FALSE,"FINANCE.XLS";"Finance 4",#N/A,FALSE,"FINANCE.XLS";"Finance 5",#N/A,FALSE,"FINANCE.XLS";"Finance 6",#N/A,FALSE,"FINANCE.XLS";"Finance 7",#N/A,FALSE,"FINANCE.XLS";"Finance 8",#N/A,FALSE,"FINANCE.XLS"}</definedName>
    <definedName name="finance2" localSheetId="30" hidden="1">{"Finance 1",#N/A,FALSE,"FINANCE.XLS";"Finance 2",#N/A,FALSE,"FINANCE.XLS";"Finance 3",#N/A,FALSE,"FINANCE.XLS";"Finance 4",#N/A,FALSE,"FINANCE.XLS";"Finance 5",#N/A,FALSE,"FINANCE.XLS";"Finance 6",#N/A,FALSE,"FINANCE.XLS";"Finance 7",#N/A,FALSE,"FINANCE.XLS";"Finance 8",#N/A,FALSE,"FINANCE.XLS"}</definedName>
    <definedName name="finance2" localSheetId="27" hidden="1">{"Finance 1",#N/A,FALSE,"FINANCE.XLS";"Finance 2",#N/A,FALSE,"FINANCE.XLS";"Finance 3",#N/A,FALSE,"FINANCE.XLS";"Finance 4",#N/A,FALSE,"FINANCE.XLS";"Finance 5",#N/A,FALSE,"FINANCE.XLS";"Finance 6",#N/A,FALSE,"FINANCE.XLS";"Finance 7",#N/A,FALSE,"FINANCE.XLS";"Finance 8",#N/A,FALSE,"FINANCE.XLS"}</definedName>
    <definedName name="finance2" localSheetId="28" hidden="1">{"Finance 1",#N/A,FALSE,"FINANCE.XLS";"Finance 2",#N/A,FALSE,"FINANCE.XLS";"Finance 3",#N/A,FALSE,"FINANCE.XLS";"Finance 4",#N/A,FALSE,"FINANCE.XLS";"Finance 5",#N/A,FALSE,"FINANCE.XLS";"Finance 6",#N/A,FALSE,"FINANCE.XLS";"Finance 7",#N/A,FALSE,"FINANCE.XLS";"Finance 8",#N/A,FALSE,"FINANCE.XLS"}</definedName>
    <definedName name="finance2" localSheetId="31" hidden="1">{"Finance 1",#N/A,FALSE,"FINANCE.XLS";"Finance 2",#N/A,FALSE,"FINANCE.XLS";"Finance 3",#N/A,FALSE,"FINANCE.XLS";"Finance 4",#N/A,FALSE,"FINANCE.XLS";"Finance 5",#N/A,FALSE,"FINANCE.XLS";"Finance 6",#N/A,FALSE,"FINANCE.XLS";"Finance 7",#N/A,FALSE,"FINANCE.XLS";"Finance 8",#N/A,FALSE,"FINANCE.XLS"}</definedName>
    <definedName name="finance2" localSheetId="29" hidden="1">{"Finance 1",#N/A,FALSE,"FINANCE.XLS";"Finance 2",#N/A,FALSE,"FINANCE.XLS";"Finance 3",#N/A,FALSE,"FINANCE.XLS";"Finance 4",#N/A,FALSE,"FINANCE.XLS";"Finance 5",#N/A,FALSE,"FINANCE.XLS";"Finance 6",#N/A,FALSE,"FINANCE.XLS";"Finance 7",#N/A,FALSE,"FINANCE.XLS";"Finance 8",#N/A,FALSE,"FINANCE.XLS"}</definedName>
    <definedName name="finance2" hidden="1">{"Finance 1",#N/A,FALSE,"FINANCE.XLS";"Finance 2",#N/A,FALSE,"FINANCE.XLS";"Finance 3",#N/A,FALSE,"FINANCE.XLS";"Finance 4",#N/A,FALSE,"FINANCE.XLS";"Finance 5",#N/A,FALSE,"FINANCE.XLS";"Finance 6",#N/A,FALSE,"FINANCE.XLS";"Finance 7",#N/A,FALSE,"FINANCE.XLS";"Finance 8",#N/A,FALSE,"FINANCE.XLS"}</definedName>
    <definedName name="First_Close" localSheetId="26">#REF!</definedName>
    <definedName name="First_Close" localSheetId="25">#REF!</definedName>
    <definedName name="First_Close" localSheetId="30">#REF!</definedName>
    <definedName name="First_Close" localSheetId="27">#REF!</definedName>
    <definedName name="First_Close" localSheetId="28">#REF!</definedName>
    <definedName name="First_Close" localSheetId="31">#REF!</definedName>
    <definedName name="First_Close" localSheetId="29">#REF!</definedName>
    <definedName name="First_Close" localSheetId="37">#REF!</definedName>
    <definedName name="First_Close" localSheetId="40">#REF!</definedName>
    <definedName name="First_Close" localSheetId="32">#REF!</definedName>
    <definedName name="First_Close" localSheetId="5">#REF!</definedName>
    <definedName name="First_Close" localSheetId="6">#REF!</definedName>
    <definedName name="First_Close">#REF!</definedName>
    <definedName name="FiT" localSheetId="19">'[28]假设 Inputs'!#REF!</definedName>
    <definedName name="FiT" localSheetId="23">'[28]假设 Inputs'!#REF!</definedName>
    <definedName name="FiT" localSheetId="20">'[28]假设 Inputs'!#REF!</definedName>
    <definedName name="FiT" localSheetId="22">'[28]假设 Inputs'!#REF!</definedName>
    <definedName name="FiT" localSheetId="24">'[28]假设 Inputs'!#REF!</definedName>
    <definedName name="FiT" localSheetId="21">'[28]假设 Inputs'!#REF!</definedName>
    <definedName name="FiT" localSheetId="13">'[28]假设 Inputs'!#REF!</definedName>
    <definedName name="FiT" localSheetId="17">'[28]假设 Inputs'!#REF!</definedName>
    <definedName name="FiT" localSheetId="14">'[28]假设 Inputs'!#REF!</definedName>
    <definedName name="FiT" localSheetId="16">'[28]假设 Inputs'!#REF!</definedName>
    <definedName name="FiT" localSheetId="15">'[28]假设 Inputs'!#REF!</definedName>
    <definedName name="FiT" localSheetId="18">'[28]假设 Inputs'!#REF!</definedName>
    <definedName name="FiT" localSheetId="12">'[28]假设 Inputs'!#REF!</definedName>
    <definedName name="FiT" localSheetId="11">'[28]假设 Inputs'!#REF!</definedName>
    <definedName name="FiT" localSheetId="40">'[29]假设 Inputs'!#REF!</definedName>
    <definedName name="FiT">'[29]假设 Inputs'!#REF!</definedName>
    <definedName name="flo" localSheetId="26">#REF!</definedName>
    <definedName name="flo" localSheetId="25">#REF!</definedName>
    <definedName name="flo" localSheetId="30">#REF!</definedName>
    <definedName name="flo" localSheetId="27">#REF!</definedName>
    <definedName name="flo" localSheetId="28">#REF!</definedName>
    <definedName name="flo" localSheetId="31">#REF!</definedName>
    <definedName name="flo" localSheetId="29">#REF!</definedName>
    <definedName name="flo" localSheetId="40">#REF!</definedName>
    <definedName name="flo">#REF!</definedName>
    <definedName name="flujo2" localSheetId="26" hidden="1">{"FLUJO DE CAJA",#N/A,FALSE,"Hoja1";"ANEXOS FLUJO",#N/A,FALSE,"Hoja1"}</definedName>
    <definedName name="flujo2" localSheetId="25" hidden="1">{"FLUJO DE CAJA",#N/A,FALSE,"Hoja1";"ANEXOS FLUJO",#N/A,FALSE,"Hoja1"}</definedName>
    <definedName name="flujo2" localSheetId="30" hidden="1">{"FLUJO DE CAJA",#N/A,FALSE,"Hoja1";"ANEXOS FLUJO",#N/A,FALSE,"Hoja1"}</definedName>
    <definedName name="flujo2" localSheetId="27" hidden="1">{"FLUJO DE CAJA",#N/A,FALSE,"Hoja1";"ANEXOS FLUJO",#N/A,FALSE,"Hoja1"}</definedName>
    <definedName name="flujo2" localSheetId="28" hidden="1">{"FLUJO DE CAJA",#N/A,FALSE,"Hoja1";"ANEXOS FLUJO",#N/A,FALSE,"Hoja1"}</definedName>
    <definedName name="flujo2" localSheetId="31" hidden="1">{"FLUJO DE CAJA",#N/A,FALSE,"Hoja1";"ANEXOS FLUJO",#N/A,FALSE,"Hoja1"}</definedName>
    <definedName name="flujo2" localSheetId="29" hidden="1">{"FLUJO DE CAJA",#N/A,FALSE,"Hoja1";"ANEXOS FLUJO",#N/A,FALSE,"Hoja1"}</definedName>
    <definedName name="flujo2" hidden="1">{"FLUJO DE CAJA",#N/A,FALSE,"Hoja1";"ANEXOS FLUJO",#N/A,FALSE,"Hoja1"}</definedName>
    <definedName name="FM_CA1" localSheetId="19">#REF!</definedName>
    <definedName name="FM_CA1" localSheetId="23">#REF!</definedName>
    <definedName name="FM_CA1" localSheetId="20">#REF!</definedName>
    <definedName name="FM_CA1" localSheetId="22">#REF!</definedName>
    <definedName name="FM_CA1" localSheetId="24">#REF!</definedName>
    <definedName name="FM_CA1" localSheetId="21">#REF!</definedName>
    <definedName name="FM_CA1" localSheetId="13">#REF!</definedName>
    <definedName name="FM_CA1" localSheetId="17">#REF!</definedName>
    <definedName name="FM_CA1" localSheetId="14">#REF!</definedName>
    <definedName name="FM_CA1" localSheetId="16">#REF!</definedName>
    <definedName name="FM_CA1" localSheetId="15">#REF!</definedName>
    <definedName name="FM_CA1" localSheetId="18">#REF!</definedName>
    <definedName name="FM_CA1" localSheetId="12">#REF!</definedName>
    <definedName name="FM_CA1" localSheetId="26">#REF!</definedName>
    <definedName name="FM_CA1" localSheetId="25">#REF!</definedName>
    <definedName name="FM_CA1" localSheetId="30">#REF!</definedName>
    <definedName name="FM_CA1" localSheetId="27">#REF!</definedName>
    <definedName name="FM_CA1" localSheetId="28">#REF!</definedName>
    <definedName name="FM_CA1" localSheetId="31">#REF!</definedName>
    <definedName name="FM_CA1" localSheetId="29">#REF!</definedName>
    <definedName name="FM_CA1" localSheetId="11">#REF!</definedName>
    <definedName name="FM_CA1" localSheetId="40">#REF!</definedName>
    <definedName name="FM_CA1">#REF!</definedName>
    <definedName name="FootnoteDRAFT">[15]START!$D$79</definedName>
    <definedName name="FORECAST" localSheetId="26">#REF!</definedName>
    <definedName name="FORECAST" localSheetId="25">#REF!</definedName>
    <definedName name="FORECAST" localSheetId="30">#REF!</definedName>
    <definedName name="FORECAST" localSheetId="27">#REF!</definedName>
    <definedName name="FORECAST" localSheetId="28">#REF!</definedName>
    <definedName name="FORECAST" localSheetId="31">#REF!</definedName>
    <definedName name="FORECAST" localSheetId="29">#REF!</definedName>
    <definedName name="FORECAST" localSheetId="40">#REF!</definedName>
    <definedName name="FORECAST">#REF!</definedName>
    <definedName name="ForecastPeriods" localSheetId="19">#REF!</definedName>
    <definedName name="ForecastPeriods" localSheetId="23">#REF!</definedName>
    <definedName name="ForecastPeriods" localSheetId="20">#REF!</definedName>
    <definedName name="ForecastPeriods" localSheetId="22">#REF!</definedName>
    <definedName name="ForecastPeriods" localSheetId="24">#REF!</definedName>
    <definedName name="ForecastPeriods" localSheetId="21">#REF!</definedName>
    <definedName name="ForecastPeriods" localSheetId="13">#REF!</definedName>
    <definedName name="ForecastPeriods" localSheetId="17">#REF!</definedName>
    <definedName name="ForecastPeriods" localSheetId="14">#REF!</definedName>
    <definedName name="ForecastPeriods" localSheetId="16">#REF!</definedName>
    <definedName name="ForecastPeriods" localSheetId="15">#REF!</definedName>
    <definedName name="ForecastPeriods" localSheetId="18">#REF!</definedName>
    <definedName name="ForecastPeriods" localSheetId="12">#REF!</definedName>
    <definedName name="ForecastPeriods" localSheetId="26">#REF!</definedName>
    <definedName name="ForecastPeriods" localSheetId="25">#REF!</definedName>
    <definedName name="ForecastPeriods" localSheetId="30">#REF!</definedName>
    <definedName name="ForecastPeriods" localSheetId="27">#REF!</definedName>
    <definedName name="ForecastPeriods" localSheetId="28">#REF!</definedName>
    <definedName name="ForecastPeriods" localSheetId="31">#REF!</definedName>
    <definedName name="ForecastPeriods" localSheetId="29">#REF!</definedName>
    <definedName name="ForecastPeriods" localSheetId="11">#REF!</definedName>
    <definedName name="ForecastPeriods" localSheetId="38">#REF!</definedName>
    <definedName name="ForecastPeriods" localSheetId="40">#REF!</definedName>
    <definedName name="ForecastPeriods" localSheetId="34">#REF!</definedName>
    <definedName name="ForecastPeriods" localSheetId="33">#REF!</definedName>
    <definedName name="ForecastPeriods">#REF!</definedName>
    <definedName name="Formula_Range">'[18]1_ShortName_Calculation_Meta'!$G$50:$G$53,'[18]1_ShortName_Calculation_Meta'!$J$50:$J$53,'[18]1_ShortName_Calculation_Meta'!$G$85:$G$88,'[18]1_ShortName_Calculation_Meta'!$J$85:$J$88,'[18]1_ShortName_Calculation_Meta'!$G$120:$G$123,'[18]1_ShortName_Calculation_Meta'!$J$120:$J$123,'[18]1_ShortName_Calculation_Meta'!$G$155:$G$158,'[18]1_ShortName_Calculation_Meta'!$J$155:$J$158,'[18]1_ShortName_Calculation_Meta'!$G$190:$G$193,'[18]1_ShortName_Calculation_Meta'!$J$190:$J$193,'[18]1_ShortName_Calculation_Meta'!$G$225:$G$228,'[18]1_ShortName_Calculation_Meta'!$J$225:$J$228</definedName>
    <definedName name="fprice">[43]enth!#REF!</definedName>
    <definedName name="FQtr">'[15]INC STAT Hist Input'!$K$9</definedName>
    <definedName name="fuel" localSheetId="26">#REF!</definedName>
    <definedName name="fuel" localSheetId="25">#REF!</definedName>
    <definedName name="fuel" localSheetId="30">#REF!</definedName>
    <definedName name="fuel" localSheetId="27">#REF!</definedName>
    <definedName name="fuel" localSheetId="28">#REF!</definedName>
    <definedName name="fuel" localSheetId="31">#REF!</definedName>
    <definedName name="fuel" localSheetId="29">#REF!</definedName>
    <definedName name="fuel" localSheetId="40">#REF!</definedName>
    <definedName name="fuel">#REF!</definedName>
    <definedName name="fuel1" localSheetId="26">#REF!</definedName>
    <definedName name="fuel1" localSheetId="25">#REF!</definedName>
    <definedName name="fuel1" localSheetId="30">#REF!</definedName>
    <definedName name="fuel1" localSheetId="27">#REF!</definedName>
    <definedName name="fuel1" localSheetId="28">#REF!</definedName>
    <definedName name="fuel1" localSheetId="31">#REF!</definedName>
    <definedName name="fuel1" localSheetId="29">#REF!</definedName>
    <definedName name="fuel1" localSheetId="40">#REF!</definedName>
    <definedName name="fuel1">#REF!</definedName>
    <definedName name="fuelprice" localSheetId="26">#REF!</definedName>
    <definedName name="fuelprice" localSheetId="25">#REF!</definedName>
    <definedName name="fuelprice" localSheetId="30">#REF!</definedName>
    <definedName name="fuelprice" localSheetId="27">#REF!</definedName>
    <definedName name="fuelprice" localSheetId="28">#REF!</definedName>
    <definedName name="fuelprice" localSheetId="31">#REF!</definedName>
    <definedName name="fuelprice" localSheetId="29">#REF!</definedName>
    <definedName name="fuelprice" localSheetId="40">#REF!</definedName>
    <definedName name="fuelprice">#REF!</definedName>
    <definedName name="Fund_Size" localSheetId="19">#REF!</definedName>
    <definedName name="Fund_Size" localSheetId="23">#REF!</definedName>
    <definedName name="Fund_Size" localSheetId="20">#REF!</definedName>
    <definedName name="Fund_Size" localSheetId="22">#REF!</definedName>
    <definedName name="Fund_Size" localSheetId="24">#REF!</definedName>
    <definedName name="Fund_Size" localSheetId="21">#REF!</definedName>
    <definedName name="Fund_Size" localSheetId="13">#REF!</definedName>
    <definedName name="Fund_Size" localSheetId="17">#REF!</definedName>
    <definedName name="Fund_Size" localSheetId="14">#REF!</definedName>
    <definedName name="Fund_Size" localSheetId="16">#REF!</definedName>
    <definedName name="Fund_Size" localSheetId="15">#REF!</definedName>
    <definedName name="Fund_Size" localSheetId="18">#REF!</definedName>
    <definedName name="Fund_Size" localSheetId="12">#REF!</definedName>
    <definedName name="Fund_Size" localSheetId="26">#REF!</definedName>
    <definedName name="Fund_Size" localSheetId="25">#REF!</definedName>
    <definedName name="Fund_Size" localSheetId="30">#REF!</definedName>
    <definedName name="Fund_Size" localSheetId="27">#REF!</definedName>
    <definedName name="Fund_Size" localSheetId="28">#REF!</definedName>
    <definedName name="Fund_Size" localSheetId="31">#REF!</definedName>
    <definedName name="Fund_Size" localSheetId="29">#REF!</definedName>
    <definedName name="Fund_Size" localSheetId="11">#REF!</definedName>
    <definedName name="Fund_Size" localSheetId="40">#REF!</definedName>
    <definedName name="Fund_Size">#REF!</definedName>
    <definedName name="FundSize" localSheetId="19">#REF!</definedName>
    <definedName name="FundSize" localSheetId="23">#REF!</definedName>
    <definedName name="FundSize" localSheetId="20">#REF!</definedName>
    <definedName name="FundSize" localSheetId="22">#REF!</definedName>
    <definedName name="FundSize" localSheetId="24">#REF!</definedName>
    <definedName name="FundSize" localSheetId="21">#REF!</definedName>
    <definedName name="FundSize" localSheetId="13">#REF!</definedName>
    <definedName name="FundSize" localSheetId="17">#REF!</definedName>
    <definedName name="FundSize" localSheetId="14">#REF!</definedName>
    <definedName name="FundSize" localSheetId="16">#REF!</definedName>
    <definedName name="FundSize" localSheetId="15">#REF!</definedName>
    <definedName name="FundSize" localSheetId="18">#REF!</definedName>
    <definedName name="FundSize" localSheetId="12">#REF!</definedName>
    <definedName name="FundSize" localSheetId="26">#REF!</definedName>
    <definedName name="FundSize" localSheetId="25">#REF!</definedName>
    <definedName name="FundSize" localSheetId="30">#REF!</definedName>
    <definedName name="FundSize" localSheetId="27">#REF!</definedName>
    <definedName name="FundSize" localSheetId="28">#REF!</definedName>
    <definedName name="FundSize" localSheetId="31">#REF!</definedName>
    <definedName name="FundSize" localSheetId="29">#REF!</definedName>
    <definedName name="FundSize" localSheetId="11">#REF!</definedName>
    <definedName name="FundSize" localSheetId="40">#REF!</definedName>
    <definedName name="FundSize">#REF!</definedName>
    <definedName name="FX_Rate" localSheetId="9">'[47]INSTRUCTIONS (填表指引)'!$U$14:$U$20</definedName>
    <definedName name="FX_Rate">'[48]INSTRUCTIONS (填表指引)'!$U$14:$U$20</definedName>
    <definedName name="FXMode">'[15]DATA GPC'!$M$13</definedName>
    <definedName name="FY1share" comment="Entity share enjoyed by HYNE group">50%</definedName>
    <definedName name="FY2share" comment="Entity share enjoyed by HYNE group">50%</definedName>
    <definedName name="FYEAfterValuation">[15]START!$G$31</definedName>
    <definedName name="FYear">'[15]INC STAT Hist Input'!$J$9</definedName>
    <definedName name="ganacias2" localSheetId="26" hidden="1">{"GAN.Y PERD.RESUMIDO",#N/A,FALSE,"Hoja1";"GAN.Y PERD.DETALLADO",#N/A,FALSE,"Hoja1"}</definedName>
    <definedName name="ganacias2" localSheetId="25" hidden="1">{"GAN.Y PERD.RESUMIDO",#N/A,FALSE,"Hoja1";"GAN.Y PERD.DETALLADO",#N/A,FALSE,"Hoja1"}</definedName>
    <definedName name="ganacias2" localSheetId="30" hidden="1">{"GAN.Y PERD.RESUMIDO",#N/A,FALSE,"Hoja1";"GAN.Y PERD.DETALLADO",#N/A,FALSE,"Hoja1"}</definedName>
    <definedName name="ganacias2" localSheetId="27" hidden="1">{"GAN.Y PERD.RESUMIDO",#N/A,FALSE,"Hoja1";"GAN.Y PERD.DETALLADO",#N/A,FALSE,"Hoja1"}</definedName>
    <definedName name="ganacias2" localSheetId="28" hidden="1">{"GAN.Y PERD.RESUMIDO",#N/A,FALSE,"Hoja1";"GAN.Y PERD.DETALLADO",#N/A,FALSE,"Hoja1"}</definedName>
    <definedName name="ganacias2" localSheetId="31" hidden="1">{"GAN.Y PERD.RESUMIDO",#N/A,FALSE,"Hoja1";"GAN.Y PERD.DETALLADO",#N/A,FALSE,"Hoja1"}</definedName>
    <definedName name="ganacias2" localSheetId="29" hidden="1">{"GAN.Y PERD.RESUMIDO",#N/A,FALSE,"Hoja1";"GAN.Y PERD.DETALLADO",#N/A,FALSE,"Hoja1"}</definedName>
    <definedName name="ganacias2" hidden="1">{"GAN.Y PERD.RESUMIDO",#N/A,FALSE,"Hoja1";"GAN.Y PERD.DETALLADO",#N/A,FALSE,"Hoja1"}</definedName>
    <definedName name="GCIdentifierTop">'[15]DATA GPC'!$G$19</definedName>
    <definedName name="GCNamesBase">'[15]DATA GPC'!#REF!</definedName>
    <definedName name="GearingOrLeverage">[15]Settings!$M$46</definedName>
    <definedName name="GEO" localSheetId="19">#REF!</definedName>
    <definedName name="GEO" localSheetId="23">#REF!</definedName>
    <definedName name="GEO" localSheetId="20">#REF!</definedName>
    <definedName name="GEO" localSheetId="22">#REF!</definedName>
    <definedName name="GEO" localSheetId="24">#REF!</definedName>
    <definedName name="GEO" localSheetId="21">#REF!</definedName>
    <definedName name="GEO" localSheetId="13">#REF!</definedName>
    <definedName name="GEO" localSheetId="17">#REF!</definedName>
    <definedName name="GEO" localSheetId="14">#REF!</definedName>
    <definedName name="GEO" localSheetId="16">#REF!</definedName>
    <definedName name="GEO" localSheetId="15">#REF!</definedName>
    <definedName name="GEO" localSheetId="18">#REF!</definedName>
    <definedName name="GEO" localSheetId="12">#REF!</definedName>
    <definedName name="GEO" localSheetId="26">#REF!</definedName>
    <definedName name="GEO" localSheetId="25">#REF!</definedName>
    <definedName name="GEO" localSheetId="30">#REF!</definedName>
    <definedName name="GEO" localSheetId="27">#REF!</definedName>
    <definedName name="GEO" localSheetId="28">#REF!</definedName>
    <definedName name="GEO" localSheetId="31">#REF!</definedName>
    <definedName name="GEO" localSheetId="29">#REF!</definedName>
    <definedName name="GEO" localSheetId="11">#REF!</definedName>
    <definedName name="GEO" localSheetId="37">#REF!</definedName>
    <definedName name="GEO" localSheetId="39">#REF!</definedName>
    <definedName name="GEO" localSheetId="38">'Other Exp'!#REF!</definedName>
    <definedName name="GEO" localSheetId="40">#REF!</definedName>
    <definedName name="GEO" localSheetId="34">'Prof. Fee'!#REF!</definedName>
    <definedName name="GEO" localSheetId="33">'T&amp;E'!#REF!</definedName>
    <definedName name="GEO">#REF!</definedName>
    <definedName name="GMshare" comment="Entity share enjoyed by HYNE group">100%</definedName>
    <definedName name="GOSD_QLD" localSheetId="19">#REF!</definedName>
    <definedName name="GOSD_QLD" localSheetId="23">#REF!</definedName>
    <definedName name="GOSD_QLD" localSheetId="20">#REF!</definedName>
    <definedName name="GOSD_QLD" localSheetId="22">#REF!</definedName>
    <definedName name="GOSD_QLD" localSheetId="24">#REF!</definedName>
    <definedName name="GOSD_QLD" localSheetId="21">#REF!</definedName>
    <definedName name="GOSD_QLD" localSheetId="13">#REF!</definedName>
    <definedName name="GOSD_QLD" localSheetId="17">#REF!</definedName>
    <definedName name="GOSD_QLD" localSheetId="14">#REF!</definedName>
    <definedName name="GOSD_QLD" localSheetId="16">#REF!</definedName>
    <definedName name="GOSD_QLD" localSheetId="15">#REF!</definedName>
    <definedName name="GOSD_QLD" localSheetId="18">#REF!</definedName>
    <definedName name="GOSD_QLD" localSheetId="12">#REF!</definedName>
    <definedName name="GOSD_QLD" localSheetId="26">#REF!</definedName>
    <definedName name="GOSD_QLD" localSheetId="25">#REF!</definedName>
    <definedName name="GOSD_QLD" localSheetId="30">#REF!</definedName>
    <definedName name="GOSD_QLD" localSheetId="27">#REF!</definedName>
    <definedName name="GOSD_QLD" localSheetId="28">#REF!</definedName>
    <definedName name="GOSD_QLD" localSheetId="31">#REF!</definedName>
    <definedName name="GOSD_QLD" localSheetId="29">#REF!</definedName>
    <definedName name="GOSD_QLD" localSheetId="11">#REF!</definedName>
    <definedName name="GOSD_QLD" localSheetId="37">#REF!</definedName>
    <definedName name="GOSD_QLD" localSheetId="38">#REF!</definedName>
    <definedName name="GOSD_QLD" localSheetId="40">#REF!</definedName>
    <definedName name="GOSD_QLD" localSheetId="34">#REF!</definedName>
    <definedName name="GOSD_QLD" localSheetId="33">#REF!</definedName>
    <definedName name="GOSD_QLD">#REF!</definedName>
    <definedName name="GP_Commit" localSheetId="19">#REF!</definedName>
    <definedName name="GP_Commit" localSheetId="23">#REF!</definedName>
    <definedName name="GP_Commit" localSheetId="20">#REF!</definedName>
    <definedName name="GP_Commit" localSheetId="22">#REF!</definedName>
    <definedName name="GP_Commit" localSheetId="24">#REF!</definedName>
    <definedName name="GP_Commit" localSheetId="21">#REF!</definedName>
    <definedName name="GP_Commit" localSheetId="13">#REF!</definedName>
    <definedName name="GP_Commit" localSheetId="17">#REF!</definedName>
    <definedName name="GP_Commit" localSheetId="14">#REF!</definedName>
    <definedName name="GP_Commit" localSheetId="16">#REF!</definedName>
    <definedName name="GP_Commit" localSheetId="15">#REF!</definedName>
    <definedName name="GP_Commit" localSheetId="18">#REF!</definedName>
    <definedName name="GP_Commit" localSheetId="12">#REF!</definedName>
    <definedName name="GP_Commit" localSheetId="26">#REF!</definedName>
    <definedName name="GP_Commit" localSheetId="25">#REF!</definedName>
    <definedName name="GP_Commit" localSheetId="30">#REF!</definedName>
    <definedName name="GP_Commit" localSheetId="27">#REF!</definedName>
    <definedName name="GP_Commit" localSheetId="28">#REF!</definedName>
    <definedName name="GP_Commit" localSheetId="31">#REF!</definedName>
    <definedName name="GP_Commit" localSheetId="29">#REF!</definedName>
    <definedName name="GP_Commit" localSheetId="11">#REF!</definedName>
    <definedName name="GP_Commit" localSheetId="40">#REF!</definedName>
    <definedName name="GP_Commit">#REF!</definedName>
    <definedName name="Growth_Rate">[15]DCF!$G$39</definedName>
    <definedName name="Header1" localSheetId="19" hidden="1">IF(COUNTA(#REF!)=0,0,INDEX(#REF!,MATCH(ROW(#REF!),#REF!,TRUE)))+1</definedName>
    <definedName name="Header1" localSheetId="23" hidden="1">IF(COUNTA(#REF!)=0,0,INDEX(#REF!,MATCH(ROW(#REF!),#REF!,TRUE)))+1</definedName>
    <definedName name="Header1" localSheetId="20" hidden="1">IF(COUNTA(#REF!)=0,0,INDEX(#REF!,MATCH(ROW(#REF!),#REF!,TRUE)))+1</definedName>
    <definedName name="Header1" localSheetId="22" hidden="1">IF(COUNTA(#REF!)=0,0,INDEX(#REF!,MATCH(ROW(#REF!),#REF!,TRUE)))+1</definedName>
    <definedName name="Header1" localSheetId="24" hidden="1">IF(COUNTA(#REF!)=0,0,INDEX(#REF!,MATCH(ROW(#REF!),#REF!,TRUE)))+1</definedName>
    <definedName name="Header1" localSheetId="21" hidden="1">IF(COUNTA(#REF!)=0,0,INDEX(#REF!,MATCH(ROW(#REF!),#REF!,TRUE)))+1</definedName>
    <definedName name="Header1" localSheetId="13" hidden="1">IF(COUNTA(#REF!)=0,0,INDEX(#REF!,MATCH(ROW(#REF!),#REF!,TRUE)))+1</definedName>
    <definedName name="Header1" localSheetId="17" hidden="1">IF(COUNTA(#REF!)=0,0,INDEX(#REF!,MATCH(ROW(#REF!),#REF!,TRUE)))+1</definedName>
    <definedName name="Header1" localSheetId="14" hidden="1">IF(COUNTA(#REF!)=0,0,INDEX(#REF!,MATCH(ROW(#REF!),#REF!,TRUE)))+1</definedName>
    <definedName name="Header1" localSheetId="16" hidden="1">IF(COUNTA(#REF!)=0,0,INDEX(#REF!,MATCH(ROW(#REF!),#REF!,TRUE)))+1</definedName>
    <definedName name="Header1" localSheetId="15" hidden="1">IF(COUNTA(#REF!)=0,0,INDEX(#REF!,MATCH(ROW(#REF!),#REF!,TRUE)))+1</definedName>
    <definedName name="Header1" localSheetId="18" hidden="1">IF(COUNTA(#REF!)=0,0,INDEX(#REF!,MATCH(ROW(#REF!),#REF!,TRUE)))+1</definedName>
    <definedName name="Header1" localSheetId="12" hidden="1">IF(COUNTA(#REF!)=0,0,INDEX(#REF!,MATCH(ROW(#REF!),#REF!,TRUE)))+1</definedName>
    <definedName name="Header1" localSheetId="26" hidden="1">IF(COUNTA(#REF!)=0,0,INDEX(#REF!,MATCH(ROW(#REF!),#REF!,TRUE)))+1</definedName>
    <definedName name="Header1" localSheetId="25" hidden="1">IF(COUNTA(#REF!)=0,0,INDEX(#REF!,MATCH(ROW(#REF!),#REF!,TRUE)))+1</definedName>
    <definedName name="Header1" localSheetId="30" hidden="1">IF(COUNTA(#REF!)=0,0,INDEX(#REF!,MATCH(ROW(#REF!),#REF!,TRUE)))+1</definedName>
    <definedName name="Header1" localSheetId="27" hidden="1">IF(COUNTA(#REF!)=0,0,INDEX(#REF!,MATCH(ROW(#REF!),#REF!,TRUE)))+1</definedName>
    <definedName name="Header1" localSheetId="28" hidden="1">IF(COUNTA(#REF!)=0,0,INDEX(#REF!,MATCH(ROW(#REF!),#REF!,TRUE)))+1</definedName>
    <definedName name="Header1" localSheetId="31" hidden="1">IF(COUNTA(#REF!)=0,0,INDEX(#REF!,MATCH(ROW(#REF!),#REF!,TRUE)))+1</definedName>
    <definedName name="Header1" localSheetId="29" hidden="1">IF(COUNTA(#REF!)=0,0,INDEX(#REF!,MATCH(ROW(#REF!),#REF!,TRUE)))+1</definedName>
    <definedName name="Header1" localSheetId="11" hidden="1">IF(COUNTA(#REF!)=0,0,INDEX(#REF!,MATCH(ROW(#REF!),#REF!,TRUE)))+1</definedName>
    <definedName name="Header1" localSheetId="40" hidden="1">IF(COUNTA(#REF!)=0,0,INDEX(#REF!,MATCH(ROW(#REF!),#REF!,TRUE)))+1</definedName>
    <definedName name="Header1" localSheetId="36" hidden="1">IF(COUNTA(#REF!)=0,0,INDEX(#REF!,MATCH(ROW(#REF!),#REF!,TRUE)))+1</definedName>
    <definedName name="Header1" hidden="1">IF(COUNTA(#REF!)=0,0,INDEX(#REF!,MATCH(ROW(#REF!),#REF!,TRUE)))+1</definedName>
    <definedName name="Header2" localSheetId="19" hidden="1">#REF!-1&amp;"."&amp;MAX(1,COUNTA(INDEX(#REF!,MATCH(#REF!-1,#REF!,FALSE)):#REF!))</definedName>
    <definedName name="Header2" localSheetId="23" hidden="1">#REF!-1&amp;"."&amp;MAX(1,COUNTA(INDEX(#REF!,MATCH(#REF!-1,#REF!,FALSE)):#REF!))</definedName>
    <definedName name="Header2" localSheetId="20" hidden="1">#REF!-1&amp;"."&amp;MAX(1,COUNTA(INDEX(#REF!,MATCH(#REF!-1,#REF!,FALSE)):#REF!))</definedName>
    <definedName name="Header2" localSheetId="22" hidden="1">#REF!-1&amp;"."&amp;MAX(1,COUNTA(INDEX(#REF!,MATCH(#REF!-1,#REF!,FALSE)):#REF!))</definedName>
    <definedName name="Header2" localSheetId="24" hidden="1">#REF!-1&amp;"."&amp;MAX(1,COUNTA(INDEX(#REF!,MATCH(#REF!-1,#REF!,FALSE)):#REF!))</definedName>
    <definedName name="Header2" localSheetId="21" hidden="1">#REF!-1&amp;"."&amp;MAX(1,COUNTA(INDEX(#REF!,MATCH(#REF!-1,#REF!,FALSE)):#REF!))</definedName>
    <definedName name="Header2" localSheetId="13" hidden="1">#REF!-1&amp;"."&amp;MAX(1,COUNTA(INDEX(#REF!,MATCH(#REF!-1,#REF!,FALSE)):#REF!))</definedName>
    <definedName name="Header2" localSheetId="17" hidden="1">#REF!-1&amp;"."&amp;MAX(1,COUNTA(INDEX(#REF!,MATCH(#REF!-1,#REF!,FALSE)):#REF!))</definedName>
    <definedName name="Header2" localSheetId="14" hidden="1">#REF!-1&amp;"."&amp;MAX(1,COUNTA(INDEX(#REF!,MATCH(#REF!-1,#REF!,FALSE)):#REF!))</definedName>
    <definedName name="Header2" localSheetId="16" hidden="1">#REF!-1&amp;"."&amp;MAX(1,COUNTA(INDEX(#REF!,MATCH(#REF!-1,#REF!,FALSE)):#REF!))</definedName>
    <definedName name="Header2" localSheetId="15" hidden="1">#REF!-1&amp;"."&amp;MAX(1,COUNTA(INDEX(#REF!,MATCH(#REF!-1,#REF!,FALSE)):#REF!))</definedName>
    <definedName name="Header2" localSheetId="18" hidden="1">#REF!-1&amp;"."&amp;MAX(1,COUNTA(INDEX(#REF!,MATCH(#REF!-1,#REF!,FALSE)):#REF!))</definedName>
    <definedName name="Header2" localSheetId="12" hidden="1">#REF!-1&amp;"."&amp;MAX(1,COUNTA(INDEX(#REF!,MATCH(#REF!-1,#REF!,FALSE)):#REF!))</definedName>
    <definedName name="Header2" localSheetId="26" hidden="1">#REF!-1&amp;"."&amp;MAX(1,COUNTA(INDEX(#REF!,MATCH(#REF!-1,#REF!,FALSE)):#REF!))</definedName>
    <definedName name="Header2" localSheetId="25" hidden="1">#REF!-1&amp;"."&amp;MAX(1,COUNTA(INDEX(#REF!,MATCH(#REF!-1,#REF!,FALSE)):#REF!))</definedName>
    <definedName name="Header2" localSheetId="30" hidden="1">#REF!-1&amp;"."&amp;MAX(1,COUNTA(INDEX(#REF!,MATCH(#REF!-1,#REF!,FALSE)):#REF!))</definedName>
    <definedName name="Header2" localSheetId="27" hidden="1">#REF!-1&amp;"."&amp;MAX(1,COUNTA(INDEX(#REF!,MATCH(#REF!-1,#REF!,FALSE)):#REF!))</definedName>
    <definedName name="Header2" localSheetId="28" hidden="1">#REF!-1&amp;"."&amp;MAX(1,COUNTA(INDEX(#REF!,MATCH(#REF!-1,#REF!,FALSE)):#REF!))</definedName>
    <definedName name="Header2" localSheetId="31" hidden="1">#REF!-1&amp;"."&amp;MAX(1,COUNTA(INDEX(#REF!,MATCH(#REF!-1,#REF!,FALSE)):#REF!))</definedName>
    <definedName name="Header2" localSheetId="29" hidden="1">#REF!-1&amp;"."&amp;MAX(1,COUNTA(INDEX(#REF!,MATCH(#REF!-1,#REF!,FALSE)):#REF!))</definedName>
    <definedName name="Header2" localSheetId="11" hidden="1">#REF!-1&amp;"."&amp;MAX(1,COUNTA(INDEX(#REF!,MATCH(#REF!-1,#REF!,FALSE)):#REF!))</definedName>
    <definedName name="Header2" localSheetId="40" hidden="1">#REF!-1&amp;"."&amp;MAX(1,COUNTA(INDEX(#REF!,MATCH(#REF!-1,#REF!,FALSE)):#REF!))</definedName>
    <definedName name="Header2" localSheetId="36" hidden="1">#REF!-1&amp;"."&amp;MAX(1,COUNTA(INDEX(#REF!,MATCH(#REF!-1,#REF!,FALSE)):#REF!))</definedName>
    <definedName name="Header2" hidden="1">#REF!-1&amp;"."&amp;MAX(1,COUNTA(INDEX(#REF!,MATCH(#REF!-1,#REF!,FALSE)):#REF!))</definedName>
    <definedName name="hh" localSheetId="26" hidden="1">{"Valuation",#N/A,TRUE,"Valuation Summary";"Financial Statements",#N/A,TRUE,"Results";"Results",#N/A,TRUE,"Results";"Ratios",#N/A,TRUE,"Results";"P2 Summary",#N/A,TRUE,"Results";"Historical data",#N/A,TRUE,"Historical Data";"P1 Inputs",#N/A,TRUE,"Forecast Drivers";"P2 Inputs",#N/A,TRUE,"Forecast Drivers"}</definedName>
    <definedName name="hh" localSheetId="25" hidden="1">{"Valuation",#N/A,TRUE,"Valuation Summary";"Financial Statements",#N/A,TRUE,"Results";"Results",#N/A,TRUE,"Results";"Ratios",#N/A,TRUE,"Results";"P2 Summary",#N/A,TRUE,"Results";"Historical data",#N/A,TRUE,"Historical Data";"P1 Inputs",#N/A,TRUE,"Forecast Drivers";"P2 Inputs",#N/A,TRUE,"Forecast Drivers"}</definedName>
    <definedName name="hh" localSheetId="30" hidden="1">{"Valuation",#N/A,TRUE,"Valuation Summary";"Financial Statements",#N/A,TRUE,"Results";"Results",#N/A,TRUE,"Results";"Ratios",#N/A,TRUE,"Results";"P2 Summary",#N/A,TRUE,"Results";"Historical data",#N/A,TRUE,"Historical Data";"P1 Inputs",#N/A,TRUE,"Forecast Drivers";"P2 Inputs",#N/A,TRUE,"Forecast Drivers"}</definedName>
    <definedName name="hh" localSheetId="27" hidden="1">{"Valuation",#N/A,TRUE,"Valuation Summary";"Financial Statements",#N/A,TRUE,"Results";"Results",#N/A,TRUE,"Results";"Ratios",#N/A,TRUE,"Results";"P2 Summary",#N/A,TRUE,"Results";"Historical data",#N/A,TRUE,"Historical Data";"P1 Inputs",#N/A,TRUE,"Forecast Drivers";"P2 Inputs",#N/A,TRUE,"Forecast Drivers"}</definedName>
    <definedName name="hh" localSheetId="28" hidden="1">{"Valuation",#N/A,TRUE,"Valuation Summary";"Financial Statements",#N/A,TRUE,"Results";"Results",#N/A,TRUE,"Results";"Ratios",#N/A,TRUE,"Results";"P2 Summary",#N/A,TRUE,"Results";"Historical data",#N/A,TRUE,"Historical Data";"P1 Inputs",#N/A,TRUE,"Forecast Drivers";"P2 Inputs",#N/A,TRUE,"Forecast Drivers"}</definedName>
    <definedName name="hh" localSheetId="31" hidden="1">{"Valuation",#N/A,TRUE,"Valuation Summary";"Financial Statements",#N/A,TRUE,"Results";"Results",#N/A,TRUE,"Results";"Ratios",#N/A,TRUE,"Results";"P2 Summary",#N/A,TRUE,"Results";"Historical data",#N/A,TRUE,"Historical Data";"P1 Inputs",#N/A,TRUE,"Forecast Drivers";"P2 Inputs",#N/A,TRUE,"Forecast Drivers"}</definedName>
    <definedName name="hh" localSheetId="29" hidden="1">{"Valuation",#N/A,TRUE,"Valuation Summary";"Financial Statements",#N/A,TRUE,"Results";"Results",#N/A,TRUE,"Results";"Ratios",#N/A,TRUE,"Results";"P2 Summary",#N/A,TRUE,"Results";"Historical data",#N/A,TRUE,"Historical Data";"P1 Inputs",#N/A,TRUE,"Forecast Drivers";"P2 Inputs",#N/A,TRUE,"Forecast Drivers"}</definedName>
    <definedName name="hh" hidden="1">{"Valuation",#N/A,TRUE,"Valuation Summary";"Financial Statements",#N/A,TRUE,"Results";"Results",#N/A,TRUE,"Results";"Ratios",#N/A,TRUE,"Results";"P2 Summary",#N/A,TRUE,"Results";"Historical data",#N/A,TRUE,"Historical Data";"P1 Inputs",#N/A,TRUE,"Forecast Drivers";"P2 Inputs",#N/A,TRUE,"Forecast Drivers"}</definedName>
    <definedName name="HKYshare" comment="Entity share enjoyed by HYNE group">100%</definedName>
    <definedName name="HLOOKUPROW">'[15]WACC and TIC Inputs'!$AI$164</definedName>
    <definedName name="Holding_Period" localSheetId="19">#REF!</definedName>
    <definedName name="Holding_Period" localSheetId="23">#REF!</definedName>
    <definedName name="Holding_Period" localSheetId="20">#REF!</definedName>
    <definedName name="Holding_Period" localSheetId="22">#REF!</definedName>
    <definedName name="Holding_Period" localSheetId="24">#REF!</definedName>
    <definedName name="Holding_Period" localSheetId="21">#REF!</definedName>
    <definedName name="Holding_Period" localSheetId="13">#REF!</definedName>
    <definedName name="Holding_Period" localSheetId="17">#REF!</definedName>
    <definedName name="Holding_Period" localSheetId="14">#REF!</definedName>
    <definedName name="Holding_Period" localSheetId="16">#REF!</definedName>
    <definedName name="Holding_Period" localSheetId="15">#REF!</definedName>
    <definedName name="Holding_Period" localSheetId="18">#REF!</definedName>
    <definedName name="Holding_Period" localSheetId="12">#REF!</definedName>
    <definedName name="Holding_Period" localSheetId="26">#REF!</definedName>
    <definedName name="Holding_Period" localSheetId="25">#REF!</definedName>
    <definedName name="Holding_Period" localSheetId="30">#REF!</definedName>
    <definedName name="Holding_Period" localSheetId="27">#REF!</definedName>
    <definedName name="Holding_Period" localSheetId="28">#REF!</definedName>
    <definedName name="Holding_Period" localSheetId="31">#REF!</definedName>
    <definedName name="Holding_Period" localSheetId="29">#REF!</definedName>
    <definedName name="Holding_Period" localSheetId="11">#REF!</definedName>
    <definedName name="Holding_Period" localSheetId="40">#REF!</definedName>
    <definedName name="Holding_Period">#REF!</definedName>
    <definedName name="Hours">[44]ut!$F$12</definedName>
    <definedName name="HTML_CodePage" hidden="1">936</definedName>
    <definedName name="HTML_Control" localSheetId="26" hidden="1">{"'Z3-1'!$B$9:$I$29"}</definedName>
    <definedName name="HTML_Control" localSheetId="25" hidden="1">{"'Z3-1'!$B$9:$I$29"}</definedName>
    <definedName name="HTML_Control" localSheetId="30" hidden="1">{"'Z3-1'!$B$9:$I$29"}</definedName>
    <definedName name="HTML_Control" localSheetId="27" hidden="1">{"'Z3-1'!$B$9:$I$29"}</definedName>
    <definedName name="HTML_Control" localSheetId="28" hidden="1">{"'Z3-1'!$B$9:$I$29"}</definedName>
    <definedName name="HTML_Control" localSheetId="31" hidden="1">{"'Z3-1'!$B$9:$I$29"}</definedName>
    <definedName name="HTML_Control" localSheetId="29" hidden="1">{"'Z3-1'!$B$9:$I$29"}</definedName>
    <definedName name="HTML_Control" localSheetId="36" hidden="1">{"'Z3-1'!$B$9:$I$29"}</definedName>
    <definedName name="HTML_Control" hidden="1">{"'Z3-1'!$B$9:$I$29"}</definedName>
    <definedName name="HTML_Description" hidden="1">""</definedName>
    <definedName name="HTML_Email" hidden="1">""</definedName>
    <definedName name="HTML_Header" hidden="1">"Z3-1"</definedName>
    <definedName name="HTML_LastUpdate" hidden="1">"99-3-19"</definedName>
    <definedName name="HTML_LineAfter" hidden="1">FALSE</definedName>
    <definedName name="HTML_LineBefore" hidden="1">TRUE</definedName>
    <definedName name="HTML_Name" hidden="1">"周永新"</definedName>
    <definedName name="HTML_OBDlg2" hidden="1">TRUE</definedName>
    <definedName name="HTML_OBDlg4" hidden="1">TRUE</definedName>
    <definedName name="HTML_OS" hidden="1">0</definedName>
    <definedName name="HTML_PathFile" hidden="1">"E:\123\2\MyHTML.htm"</definedName>
    <definedName name="HTML_Title" hidden="1">"工作底稿95"</definedName>
    <definedName name="I_LPR" localSheetId="19">'[16]假设 Inputs'!$M$642</definedName>
    <definedName name="I_LPR" localSheetId="23">'[16]假设 Inputs'!$M$642</definedName>
    <definedName name="I_LPR" localSheetId="20">'[16]假设 Inputs'!$M$642</definedName>
    <definedName name="I_LPR" localSheetId="22">'[16]假设 Inputs'!$M$642</definedName>
    <definedName name="I_LPR" localSheetId="24">'[16]假设 Inputs'!$M$642</definedName>
    <definedName name="I_LPR" localSheetId="21">'[16]假设 Inputs'!$M$642</definedName>
    <definedName name="I_LPR" localSheetId="13">'[16]假设 Inputs'!$M$642</definedName>
    <definedName name="I_LPR" localSheetId="17">'[16]假设 Inputs'!$M$642</definedName>
    <definedName name="I_LPR" localSheetId="14">'[16]假设 Inputs'!$M$642</definedName>
    <definedName name="I_LPR" localSheetId="16">'[16]假设 Inputs'!$M$642</definedName>
    <definedName name="I_LPR" localSheetId="15">'[16]假设 Inputs'!$M$642</definedName>
    <definedName name="I_LPR" localSheetId="18">'[16]假设 Inputs'!$M$642</definedName>
    <definedName name="I_LPR" localSheetId="12">'[16]假设 Inputs'!$M$642</definedName>
    <definedName name="I_LPR" localSheetId="26">'[16]假设 Inputs'!$M$642</definedName>
    <definedName name="I_LPR" localSheetId="25">'[16]假设 Inputs'!$M$642</definedName>
    <definedName name="I_LPR" localSheetId="30">'[16]假设 Inputs'!$M$642</definedName>
    <definedName name="I_LPR" localSheetId="27">'[16]假设 Inputs'!$M$642</definedName>
    <definedName name="I_LPR" localSheetId="28">'[16]假设 Inputs'!$M$642</definedName>
    <definedName name="I_LPR" localSheetId="31">'[16]假设 Inputs'!$M$642</definedName>
    <definedName name="I_LPR" localSheetId="29">'[16]假设 Inputs'!$M$642</definedName>
    <definedName name="I_LPR" localSheetId="11">'[16]假设 Inputs'!$M$642</definedName>
    <definedName name="I_LPR" localSheetId="36">'[16]假设 Inputs'!$M$642</definedName>
    <definedName name="I_LPR">'[17]假设 Inputs'!$M$642</definedName>
    <definedName name="IA" localSheetId="19">#REF!</definedName>
    <definedName name="IA" localSheetId="23">#REF!</definedName>
    <definedName name="IA" localSheetId="20">#REF!</definedName>
    <definedName name="IA" localSheetId="22">#REF!</definedName>
    <definedName name="IA" localSheetId="24">#REF!</definedName>
    <definedName name="IA" localSheetId="21">#REF!</definedName>
    <definedName name="IA" localSheetId="13">#REF!</definedName>
    <definedName name="IA" localSheetId="17">#REF!</definedName>
    <definedName name="IA" localSheetId="14">#REF!</definedName>
    <definedName name="IA" localSheetId="16">#REF!</definedName>
    <definedName name="IA" localSheetId="15">#REF!</definedName>
    <definedName name="IA" localSheetId="18">#REF!</definedName>
    <definedName name="IA" localSheetId="12">#REF!</definedName>
    <definedName name="IA" localSheetId="26">#REF!</definedName>
    <definedName name="IA" localSheetId="25">#REF!</definedName>
    <definedName name="IA" localSheetId="30">#REF!</definedName>
    <definedName name="IA" localSheetId="27">#REF!</definedName>
    <definedName name="IA" localSheetId="28">#REF!</definedName>
    <definedName name="IA" localSheetId="31">#REF!</definedName>
    <definedName name="IA" localSheetId="29">#REF!</definedName>
    <definedName name="IA" localSheetId="11">#REF!</definedName>
    <definedName name="IA" localSheetId="38">#REF!</definedName>
    <definedName name="IA" localSheetId="40">#REF!</definedName>
    <definedName name="IA" localSheetId="34">#REF!</definedName>
    <definedName name="IA" localSheetId="33">#REF!</definedName>
    <definedName name="IA">#REF!</definedName>
    <definedName name="index" localSheetId="19">#REF!</definedName>
    <definedName name="index" localSheetId="23">#REF!</definedName>
    <definedName name="index" localSheetId="20">#REF!</definedName>
    <definedName name="index" localSheetId="22">#REF!</definedName>
    <definedName name="index" localSheetId="24">#REF!</definedName>
    <definedName name="index" localSheetId="21">#REF!</definedName>
    <definedName name="index" localSheetId="13">#REF!</definedName>
    <definedName name="index" localSheetId="17">#REF!</definedName>
    <definedName name="index" localSheetId="14">#REF!</definedName>
    <definedName name="index" localSheetId="16">#REF!</definedName>
    <definedName name="index" localSheetId="15">#REF!</definedName>
    <definedName name="index" localSheetId="18">#REF!</definedName>
    <definedName name="index" localSheetId="12">#REF!</definedName>
    <definedName name="index" localSheetId="26">#REF!</definedName>
    <definedName name="index" localSheetId="25">#REF!</definedName>
    <definedName name="index" localSheetId="30">#REF!</definedName>
    <definedName name="index" localSheetId="27">#REF!</definedName>
    <definedName name="index" localSheetId="28">#REF!</definedName>
    <definedName name="index" localSheetId="31">#REF!</definedName>
    <definedName name="index" localSheetId="29">#REF!</definedName>
    <definedName name="index" localSheetId="11">#REF!</definedName>
    <definedName name="index" localSheetId="40">#REF!</definedName>
    <definedName name="index">#REF!</definedName>
    <definedName name="IndexList">'[15]DATA GPC'!$AV$5:$AV$113</definedName>
    <definedName name="IndexMode">'[15]DATA GPC'!$K$19</definedName>
    <definedName name="inflation">[49]人员配置及工资成本!$P$40</definedName>
    <definedName name="INM.YTD" localSheetId="19">#REF!</definedName>
    <definedName name="INM.YTD" localSheetId="23">#REF!</definedName>
    <definedName name="INM.YTD" localSheetId="20">#REF!</definedName>
    <definedName name="INM.YTD" localSheetId="22">#REF!</definedName>
    <definedName name="INM.YTD" localSheetId="24">#REF!</definedName>
    <definedName name="INM.YTD" localSheetId="21">#REF!</definedName>
    <definedName name="INM.YTD" localSheetId="13">#REF!</definedName>
    <definedName name="INM.YTD" localSheetId="17">#REF!</definedName>
    <definedName name="INM.YTD" localSheetId="14">#REF!</definedName>
    <definedName name="INM.YTD" localSheetId="16">#REF!</definedName>
    <definedName name="INM.YTD" localSheetId="15">#REF!</definedName>
    <definedName name="INM.YTD" localSheetId="18">#REF!</definedName>
    <definedName name="INM.YTD" localSheetId="12">#REF!</definedName>
    <definedName name="INM.YTD" localSheetId="26">#REF!</definedName>
    <definedName name="INM.YTD" localSheetId="25">#REF!</definedName>
    <definedName name="INM.YTD" localSheetId="30">#REF!</definedName>
    <definedName name="INM.YTD" localSheetId="27">#REF!</definedName>
    <definedName name="INM.YTD" localSheetId="28">#REF!</definedName>
    <definedName name="INM.YTD" localSheetId="31">#REF!</definedName>
    <definedName name="INM.YTD" localSheetId="29">#REF!</definedName>
    <definedName name="INM.YTD" localSheetId="11">#REF!</definedName>
    <definedName name="INM.YTD" localSheetId="40">#REF!</definedName>
    <definedName name="INM.YTD">#REF!</definedName>
    <definedName name="inputs" localSheetId="26" hidden="1">{"Inputs 1","Base",FALSE,"INPUTS";"Inputs 2","Base",FALSE,"INPUTS";"Inputs 3","Base",FALSE,"INPUTS";"Inputs 4","Base",FALSE,"INPUTS";"Inputs 5","Base",FALSE,"INPUTS"}</definedName>
    <definedName name="inputs" localSheetId="25" hidden="1">{"Inputs 1","Base",FALSE,"INPUTS";"Inputs 2","Base",FALSE,"INPUTS";"Inputs 3","Base",FALSE,"INPUTS";"Inputs 4","Base",FALSE,"INPUTS";"Inputs 5","Base",FALSE,"INPUTS"}</definedName>
    <definedName name="inputs" localSheetId="30" hidden="1">{"Inputs 1","Base",FALSE,"INPUTS";"Inputs 2","Base",FALSE,"INPUTS";"Inputs 3","Base",FALSE,"INPUTS";"Inputs 4","Base",FALSE,"INPUTS";"Inputs 5","Base",FALSE,"INPUTS"}</definedName>
    <definedName name="inputs" localSheetId="27" hidden="1">{"Inputs 1","Base",FALSE,"INPUTS";"Inputs 2","Base",FALSE,"INPUTS";"Inputs 3","Base",FALSE,"INPUTS";"Inputs 4","Base",FALSE,"INPUTS";"Inputs 5","Base",FALSE,"INPUTS"}</definedName>
    <definedName name="inputs" localSheetId="28" hidden="1">{"Inputs 1","Base",FALSE,"INPUTS";"Inputs 2","Base",FALSE,"INPUTS";"Inputs 3","Base",FALSE,"INPUTS";"Inputs 4","Base",FALSE,"INPUTS";"Inputs 5","Base",FALSE,"INPUTS"}</definedName>
    <definedName name="inputs" localSheetId="31" hidden="1">{"Inputs 1","Base",FALSE,"INPUTS";"Inputs 2","Base",FALSE,"INPUTS";"Inputs 3","Base",FALSE,"INPUTS";"Inputs 4","Base",FALSE,"INPUTS";"Inputs 5","Base",FALSE,"INPUTS"}</definedName>
    <definedName name="inputs" localSheetId="29" hidden="1">{"Inputs 1","Base",FALSE,"INPUTS";"Inputs 2","Base",FALSE,"INPUTS";"Inputs 3","Base",FALSE,"INPUTS";"Inputs 4","Base",FALSE,"INPUTS";"Inputs 5","Base",FALSE,"INPUTS"}</definedName>
    <definedName name="inputs" hidden="1">{"Inputs 1","Base",FALSE,"INPUTS";"Inputs 2","Base",FALSE,"INPUTS";"Inputs 3","Base",FALSE,"INPUTS";"Inputs 4","Base",FALSE,"INPUTS";"Inputs 5","Base",FALSE,"INPUTS"}</definedName>
    <definedName name="Inputtype_list">'[15]PFI Inputs'!$C$340:$C$341</definedName>
    <definedName name="Insurance" localSheetId="19">'[48]假设 Inputs'!$M$439</definedName>
    <definedName name="Insurance" localSheetId="23">'[48]假设 Inputs'!$M$439</definedName>
    <definedName name="Insurance" localSheetId="20">'[48]假设 Inputs'!$M$439</definedName>
    <definedName name="Insurance" localSheetId="22">'[48]假设 Inputs'!$M$439</definedName>
    <definedName name="Insurance" localSheetId="24">'[48]假设 Inputs'!$M$439</definedName>
    <definedName name="Insurance" localSheetId="21">'[48]假设 Inputs'!$M$439</definedName>
    <definedName name="Insurance" localSheetId="13">'[48]假设 Inputs'!$M$439</definedName>
    <definedName name="Insurance" localSheetId="17">'[48]假设 Inputs'!$M$439</definedName>
    <definedName name="Insurance" localSheetId="14">'[48]假设 Inputs'!$M$439</definedName>
    <definedName name="Insurance" localSheetId="16">'[48]假设 Inputs'!$M$439</definedName>
    <definedName name="Insurance" localSheetId="15">'[48]假设 Inputs'!$M$439</definedName>
    <definedName name="Insurance" localSheetId="18">'[48]假设 Inputs'!$M$439</definedName>
    <definedName name="Insurance" localSheetId="12">'[48]假设 Inputs'!$M$439</definedName>
    <definedName name="Insurance" localSheetId="26">'[48]假设 Inputs'!$M$439</definedName>
    <definedName name="Insurance" localSheetId="25">'[48]假设 Inputs'!$M$439</definedName>
    <definedName name="Insurance" localSheetId="30">'[48]假设 Inputs'!$M$439</definedName>
    <definedName name="Insurance" localSheetId="27">'[48]假设 Inputs'!$M$439</definedName>
    <definedName name="Insurance" localSheetId="28">'[48]假设 Inputs'!$M$439</definedName>
    <definedName name="Insurance" localSheetId="31">'[48]假设 Inputs'!$M$439</definedName>
    <definedName name="Insurance" localSheetId="29">'[48]假设 Inputs'!$M$439</definedName>
    <definedName name="Insurance" localSheetId="11">'[48]假设 Inputs'!$M$439</definedName>
    <definedName name="Insurance" localSheetId="36">'[48]假设 Inputs'!$M$439</definedName>
    <definedName name="Insurance">'[17]假设 Inputs'!$M$439</definedName>
    <definedName name="int_ext_sel">1</definedName>
    <definedName name="Investment_Period" localSheetId="19">#REF!</definedName>
    <definedName name="Investment_Period" localSheetId="23">#REF!</definedName>
    <definedName name="Investment_Period" localSheetId="20">#REF!</definedName>
    <definedName name="Investment_Period" localSheetId="22">#REF!</definedName>
    <definedName name="Investment_Period" localSheetId="24">#REF!</definedName>
    <definedName name="Investment_Period" localSheetId="21">#REF!</definedName>
    <definedName name="Investment_Period" localSheetId="13">#REF!</definedName>
    <definedName name="Investment_Period" localSheetId="17">#REF!</definedName>
    <definedName name="Investment_Period" localSheetId="14">#REF!</definedName>
    <definedName name="Investment_Period" localSheetId="16">#REF!</definedName>
    <definedName name="Investment_Period" localSheetId="15">#REF!</definedName>
    <definedName name="Investment_Period" localSheetId="18">#REF!</definedName>
    <definedName name="Investment_Period" localSheetId="12">#REF!</definedName>
    <definedName name="Investment_Period" localSheetId="26">#REF!</definedName>
    <definedName name="Investment_Period" localSheetId="25">#REF!</definedName>
    <definedName name="Investment_Period" localSheetId="30">#REF!</definedName>
    <definedName name="Investment_Period" localSheetId="27">#REF!</definedName>
    <definedName name="Investment_Period" localSheetId="28">#REF!</definedName>
    <definedName name="Investment_Period" localSheetId="31">#REF!</definedName>
    <definedName name="Investment_Period" localSheetId="29">#REF!</definedName>
    <definedName name="Investment_Period" localSheetId="11">#REF!</definedName>
    <definedName name="Investment_Period" localSheetId="39">#REF!</definedName>
    <definedName name="Investment_Period" localSheetId="40">#REF!</definedName>
    <definedName name="Investment_Period">#REF!</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19" hidden="1">40442.4999074074</definedName>
    <definedName name="IQ_NAMES_REVISION_DATE_" localSheetId="23" hidden="1">40442.4999074074</definedName>
    <definedName name="IQ_NAMES_REVISION_DATE_" localSheetId="20" hidden="1">40442.4999074074</definedName>
    <definedName name="IQ_NAMES_REVISION_DATE_" localSheetId="22" hidden="1">40442.4999074074</definedName>
    <definedName name="IQ_NAMES_REVISION_DATE_" localSheetId="24" hidden="1">40442.4999074074</definedName>
    <definedName name="IQ_NAMES_REVISION_DATE_" localSheetId="21" hidden="1">40442.4999074074</definedName>
    <definedName name="IQ_NAMES_REVISION_DATE_" localSheetId="13" hidden="1">40442.4999074074</definedName>
    <definedName name="IQ_NAMES_REVISION_DATE_" localSheetId="17" hidden="1">40442.4999074074</definedName>
    <definedName name="IQ_NAMES_REVISION_DATE_" localSheetId="14" hidden="1">40442.4999074074</definedName>
    <definedName name="IQ_NAMES_REVISION_DATE_" localSheetId="16" hidden="1">40442.4999074074</definedName>
    <definedName name="IQ_NAMES_REVISION_DATE_" localSheetId="15" hidden="1">40442.4999074074</definedName>
    <definedName name="IQ_NAMES_REVISION_DATE_" localSheetId="18" hidden="1">40442.4999074074</definedName>
    <definedName name="IQ_NAMES_REVISION_DATE_" localSheetId="12" hidden="1">40442.4999074074</definedName>
    <definedName name="IQ_NAMES_REVISION_DATE_" localSheetId="26" hidden="1">40442.4999074074</definedName>
    <definedName name="IQ_NAMES_REVISION_DATE_" localSheetId="25" hidden="1">40442.4999074074</definedName>
    <definedName name="IQ_NAMES_REVISION_DATE_" localSheetId="30" hidden="1">40442.4999074074</definedName>
    <definedName name="IQ_NAMES_REVISION_DATE_" localSheetId="27" hidden="1">40442.4999074074</definedName>
    <definedName name="IQ_NAMES_REVISION_DATE_" localSheetId="28" hidden="1">40442.4999074074</definedName>
    <definedName name="IQ_NAMES_REVISION_DATE_" localSheetId="31" hidden="1">40442.4999074074</definedName>
    <definedName name="IQ_NAMES_REVISION_DATE_" localSheetId="29" hidden="1">40442.4999074074</definedName>
    <definedName name="IQ_NAMES_REVISION_DATE_" localSheetId="11" hidden="1">40442.4999074074</definedName>
    <definedName name="IQ_NAMES_REVISION_DATE_" localSheetId="36" hidden="1">"01/31/2021 07:25:55"</definedName>
    <definedName name="IQ_NAMES_REVISION_DATE_" hidden="1">"03/30/2021 02:43:28"</definedName>
    <definedName name="IQ_NTM">6000</definedName>
    <definedName name="IQ_OPENED55" hidden="1">1</definedName>
    <definedName name="IQ_QTD" hidden="1">750000</definedName>
    <definedName name="IQ_TODAY" hidden="1">0</definedName>
    <definedName name="IQ_WEEK">50000</definedName>
    <definedName name="IQ_YTD">3000</definedName>
    <definedName name="IQ_YTDMONTH" hidden="1">130000</definedName>
    <definedName name="IQB_BOOKMARK_COUNT" hidden="1">1</definedName>
    <definedName name="IQRBA4" hidden="1">"$BA$5:$BA$9"</definedName>
    <definedName name="IQRBB4" hidden="1">"$BB$5:$BB$9"</definedName>
    <definedName name="IQRDATAGPCAJ5" localSheetId="19" hidden="1">#REF!</definedName>
    <definedName name="IQRDATAGPCAJ5" localSheetId="23" hidden="1">#REF!</definedName>
    <definedName name="IQRDATAGPCAJ5" localSheetId="20" hidden="1">#REF!</definedName>
    <definedName name="IQRDATAGPCAJ5" localSheetId="22" hidden="1">#REF!</definedName>
    <definedName name="IQRDATAGPCAJ5" localSheetId="24" hidden="1">#REF!</definedName>
    <definedName name="IQRDATAGPCAJ5" localSheetId="21" hidden="1">#REF!</definedName>
    <definedName name="IQRDATAGPCAJ5" localSheetId="13" hidden="1">#REF!</definedName>
    <definedName name="IQRDATAGPCAJ5" localSheetId="17" hidden="1">#REF!</definedName>
    <definedName name="IQRDATAGPCAJ5" localSheetId="14" hidden="1">#REF!</definedName>
    <definedName name="IQRDATAGPCAJ5" localSheetId="16" hidden="1">#REF!</definedName>
    <definedName name="IQRDATAGPCAJ5" localSheetId="15" hidden="1">#REF!</definedName>
    <definedName name="IQRDATAGPCAJ5" localSheetId="18" hidden="1">#REF!</definedName>
    <definedName name="IQRDATAGPCAJ5" localSheetId="12" hidden="1">#REF!</definedName>
    <definedName name="IQRDATAGPCAJ5" localSheetId="26" hidden="1">#REF!</definedName>
    <definedName name="IQRDATAGPCAJ5" localSheetId="25" hidden="1">#REF!</definedName>
    <definedName name="IQRDATAGPCAJ5" localSheetId="30" hidden="1">#REF!</definedName>
    <definedName name="IQRDATAGPCAJ5" localSheetId="27" hidden="1">#REF!</definedName>
    <definedName name="IQRDATAGPCAJ5" localSheetId="28" hidden="1">#REF!</definedName>
    <definedName name="IQRDATAGPCAJ5" localSheetId="31" hidden="1">#REF!</definedName>
    <definedName name="IQRDATAGPCAJ5" localSheetId="29" hidden="1">#REF!</definedName>
    <definedName name="IQRDATAGPCAJ5" localSheetId="11" hidden="1">#REF!</definedName>
    <definedName name="IQRDATAGPCAJ5" localSheetId="40" hidden="1">#REF!</definedName>
    <definedName name="IQRDATAGPCAJ5" localSheetId="36" hidden="1">#REF!</definedName>
    <definedName name="IQRDATAGPCAJ5" hidden="1">#REF!</definedName>
    <definedName name="IQRDATAGPCAK5" localSheetId="19" hidden="1">#REF!</definedName>
    <definedName name="IQRDATAGPCAK5" localSheetId="23" hidden="1">#REF!</definedName>
    <definedName name="IQRDATAGPCAK5" localSheetId="20" hidden="1">#REF!</definedName>
    <definedName name="IQRDATAGPCAK5" localSheetId="22" hidden="1">#REF!</definedName>
    <definedName name="IQRDATAGPCAK5" localSheetId="24" hidden="1">#REF!</definedName>
    <definedName name="IQRDATAGPCAK5" localSheetId="21" hidden="1">#REF!</definedName>
    <definedName name="IQRDATAGPCAK5" localSheetId="13" hidden="1">#REF!</definedName>
    <definedName name="IQRDATAGPCAK5" localSheetId="17" hidden="1">#REF!</definedName>
    <definedName name="IQRDATAGPCAK5" localSheetId="14" hidden="1">#REF!</definedName>
    <definedName name="IQRDATAGPCAK5" localSheetId="16" hidden="1">#REF!</definedName>
    <definedName name="IQRDATAGPCAK5" localSheetId="15" hidden="1">#REF!</definedName>
    <definedName name="IQRDATAGPCAK5" localSheetId="18" hidden="1">#REF!</definedName>
    <definedName name="IQRDATAGPCAK5" localSheetId="12" hidden="1">#REF!</definedName>
    <definedName name="IQRDATAGPCAK5" localSheetId="26" hidden="1">#REF!</definedName>
    <definedName name="IQRDATAGPCAK5" localSheetId="25" hidden="1">#REF!</definedName>
    <definedName name="IQRDATAGPCAK5" localSheetId="30" hidden="1">#REF!</definedName>
    <definedName name="IQRDATAGPCAK5" localSheetId="27" hidden="1">#REF!</definedName>
    <definedName name="IQRDATAGPCAK5" localSheetId="28" hidden="1">#REF!</definedName>
    <definedName name="IQRDATAGPCAK5" localSheetId="31" hidden="1">#REF!</definedName>
    <definedName name="IQRDATAGPCAK5" localSheetId="29" hidden="1">#REF!</definedName>
    <definedName name="IQRDATAGPCAK5" localSheetId="11" hidden="1">#REF!</definedName>
    <definedName name="IQRDATAGPCAK5" localSheetId="40" hidden="1">#REF!</definedName>
    <definedName name="IQRDATAGPCAK5" localSheetId="36" hidden="1">#REF!</definedName>
    <definedName name="IQRDATAGPCAK5" hidden="1">#REF!</definedName>
    <definedName name="IQRDATAGPCT160" localSheetId="19" hidden="1">#REF!</definedName>
    <definedName name="IQRDATAGPCT160" localSheetId="23" hidden="1">#REF!</definedName>
    <definedName name="IQRDATAGPCT160" localSheetId="20" hidden="1">#REF!</definedName>
    <definedName name="IQRDATAGPCT160" localSheetId="22" hidden="1">#REF!</definedName>
    <definedName name="IQRDATAGPCT160" localSheetId="24" hidden="1">#REF!</definedName>
    <definedName name="IQRDATAGPCT160" localSheetId="21" hidden="1">#REF!</definedName>
    <definedName name="IQRDATAGPCT160" localSheetId="13" hidden="1">#REF!</definedName>
    <definedName name="IQRDATAGPCT160" localSheetId="17" hidden="1">#REF!</definedName>
    <definedName name="IQRDATAGPCT160" localSheetId="14" hidden="1">#REF!</definedName>
    <definedName name="IQRDATAGPCT160" localSheetId="16" hidden="1">#REF!</definedName>
    <definedName name="IQRDATAGPCT160" localSheetId="15" hidden="1">#REF!</definedName>
    <definedName name="IQRDATAGPCT160" localSheetId="18" hidden="1">#REF!</definedName>
    <definedName name="IQRDATAGPCT160" localSheetId="12" hidden="1">#REF!</definedName>
    <definedName name="IQRDATAGPCT160" localSheetId="26" hidden="1">#REF!</definedName>
    <definedName name="IQRDATAGPCT160" localSheetId="25" hidden="1">#REF!</definedName>
    <definedName name="IQRDATAGPCT160" localSheetId="30" hidden="1">#REF!</definedName>
    <definedName name="IQRDATAGPCT160" localSheetId="27" hidden="1">#REF!</definedName>
    <definedName name="IQRDATAGPCT160" localSheetId="28" hidden="1">#REF!</definedName>
    <definedName name="IQRDATAGPCT160" localSheetId="31" hidden="1">#REF!</definedName>
    <definedName name="IQRDATAGPCT160" localSheetId="29" hidden="1">#REF!</definedName>
    <definedName name="IQRDATAGPCT160" localSheetId="11" hidden="1">#REF!</definedName>
    <definedName name="IQRDATAGPCT160" localSheetId="40" hidden="1">#REF!</definedName>
    <definedName name="IQRDATAGPCT160" localSheetId="36" hidden="1">#REF!</definedName>
    <definedName name="IQRDATAGPCT160" hidden="1">#REF!</definedName>
    <definedName name="IQRDATAGPCT163" localSheetId="19" hidden="1">#REF!</definedName>
    <definedName name="IQRDATAGPCT163" localSheetId="23" hidden="1">#REF!</definedName>
    <definedName name="IQRDATAGPCT163" localSheetId="20" hidden="1">#REF!</definedName>
    <definedName name="IQRDATAGPCT163" localSheetId="22" hidden="1">#REF!</definedName>
    <definedName name="IQRDATAGPCT163" localSheetId="24" hidden="1">#REF!</definedName>
    <definedName name="IQRDATAGPCT163" localSheetId="21" hidden="1">#REF!</definedName>
    <definedName name="IQRDATAGPCT163" localSheetId="13" hidden="1">#REF!</definedName>
    <definedName name="IQRDATAGPCT163" localSheetId="17" hidden="1">#REF!</definedName>
    <definedName name="IQRDATAGPCT163" localSheetId="14" hidden="1">#REF!</definedName>
    <definedName name="IQRDATAGPCT163" localSheetId="16" hidden="1">#REF!</definedName>
    <definedName name="IQRDATAGPCT163" localSheetId="15" hidden="1">#REF!</definedName>
    <definedName name="IQRDATAGPCT163" localSheetId="18" hidden="1">#REF!</definedName>
    <definedName name="IQRDATAGPCT163" localSheetId="12" hidden="1">#REF!</definedName>
    <definedName name="IQRDATAGPCT163" localSheetId="26" hidden="1">#REF!</definedName>
    <definedName name="IQRDATAGPCT163" localSheetId="25" hidden="1">#REF!</definedName>
    <definedName name="IQRDATAGPCT163" localSheetId="30" hidden="1">#REF!</definedName>
    <definedName name="IQRDATAGPCT163" localSheetId="27" hidden="1">#REF!</definedName>
    <definedName name="IQRDATAGPCT163" localSheetId="28" hidden="1">#REF!</definedName>
    <definedName name="IQRDATAGPCT163" localSheetId="31" hidden="1">#REF!</definedName>
    <definedName name="IQRDATAGPCT163" localSheetId="29" hidden="1">#REF!</definedName>
    <definedName name="IQRDATAGPCT163" localSheetId="11" hidden="1">#REF!</definedName>
    <definedName name="IQRDATAGPCT163" localSheetId="40" hidden="1">#REF!</definedName>
    <definedName name="IQRDATAGPCT163" localSheetId="36" hidden="1">#REF!</definedName>
    <definedName name="IQRDATAGPCT163" hidden="1">#REF!</definedName>
    <definedName name="IQRDATAGPCT164" localSheetId="19" hidden="1">#REF!</definedName>
    <definedName name="IQRDATAGPCT164" localSheetId="23" hidden="1">#REF!</definedName>
    <definedName name="IQRDATAGPCT164" localSheetId="20" hidden="1">#REF!</definedName>
    <definedName name="IQRDATAGPCT164" localSheetId="22" hidden="1">#REF!</definedName>
    <definedName name="IQRDATAGPCT164" localSheetId="24" hidden="1">#REF!</definedName>
    <definedName name="IQRDATAGPCT164" localSheetId="21" hidden="1">#REF!</definedName>
    <definedName name="IQRDATAGPCT164" localSheetId="13" hidden="1">#REF!</definedName>
    <definedName name="IQRDATAGPCT164" localSheetId="17" hidden="1">#REF!</definedName>
    <definedName name="IQRDATAGPCT164" localSheetId="14" hidden="1">#REF!</definedName>
    <definedName name="IQRDATAGPCT164" localSheetId="16" hidden="1">#REF!</definedName>
    <definedName name="IQRDATAGPCT164" localSheetId="15" hidden="1">#REF!</definedName>
    <definedName name="IQRDATAGPCT164" localSheetId="18" hidden="1">#REF!</definedName>
    <definedName name="IQRDATAGPCT164" localSheetId="12" hidden="1">#REF!</definedName>
    <definedName name="IQRDATAGPCT164" localSheetId="26" hidden="1">#REF!</definedName>
    <definedName name="IQRDATAGPCT164" localSheetId="25" hidden="1">#REF!</definedName>
    <definedName name="IQRDATAGPCT164" localSheetId="30" hidden="1">#REF!</definedName>
    <definedName name="IQRDATAGPCT164" localSheetId="27" hidden="1">#REF!</definedName>
    <definedName name="IQRDATAGPCT164" localSheetId="28" hidden="1">#REF!</definedName>
    <definedName name="IQRDATAGPCT164" localSheetId="31" hidden="1">#REF!</definedName>
    <definedName name="IQRDATAGPCT164" localSheetId="29" hidden="1">#REF!</definedName>
    <definedName name="IQRDATAGPCT164" localSheetId="11" hidden="1">#REF!</definedName>
    <definedName name="IQRDATAGPCT164" localSheetId="40" hidden="1">#REF!</definedName>
    <definedName name="IQRDATAGPCT164" localSheetId="36" hidden="1">#REF!</definedName>
    <definedName name="IQRDATAGPCT164" hidden="1">#REF!</definedName>
    <definedName name="IQRDATAGPCT165" localSheetId="19" hidden="1">#REF!</definedName>
    <definedName name="IQRDATAGPCT165" localSheetId="23" hidden="1">#REF!</definedName>
    <definedName name="IQRDATAGPCT165" localSheetId="20" hidden="1">#REF!</definedName>
    <definedName name="IQRDATAGPCT165" localSheetId="22" hidden="1">#REF!</definedName>
    <definedName name="IQRDATAGPCT165" localSheetId="24" hidden="1">#REF!</definedName>
    <definedName name="IQRDATAGPCT165" localSheetId="21" hidden="1">#REF!</definedName>
    <definedName name="IQRDATAGPCT165" localSheetId="13" hidden="1">#REF!</definedName>
    <definedName name="IQRDATAGPCT165" localSheetId="17" hidden="1">#REF!</definedName>
    <definedName name="IQRDATAGPCT165" localSheetId="14" hidden="1">#REF!</definedName>
    <definedName name="IQRDATAGPCT165" localSheetId="16" hidden="1">#REF!</definedName>
    <definedName name="IQRDATAGPCT165" localSheetId="15" hidden="1">#REF!</definedName>
    <definedName name="IQRDATAGPCT165" localSheetId="18" hidden="1">#REF!</definedName>
    <definedName name="IQRDATAGPCT165" localSheetId="12" hidden="1">#REF!</definedName>
    <definedName name="IQRDATAGPCT165" localSheetId="26" hidden="1">#REF!</definedName>
    <definedName name="IQRDATAGPCT165" localSheetId="25" hidden="1">#REF!</definedName>
    <definedName name="IQRDATAGPCT165" localSheetId="30" hidden="1">#REF!</definedName>
    <definedName name="IQRDATAGPCT165" localSheetId="27" hidden="1">#REF!</definedName>
    <definedName name="IQRDATAGPCT165" localSheetId="28" hidden="1">#REF!</definedName>
    <definedName name="IQRDATAGPCT165" localSheetId="31" hidden="1">#REF!</definedName>
    <definedName name="IQRDATAGPCT165" localSheetId="29" hidden="1">#REF!</definedName>
    <definedName name="IQRDATAGPCT165" localSheetId="11" hidden="1">#REF!</definedName>
    <definedName name="IQRDATAGPCT165" localSheetId="40" hidden="1">#REF!</definedName>
    <definedName name="IQRDATAGPCT165" localSheetId="36" hidden="1">#REF!</definedName>
    <definedName name="IQRDATAGPCT165" hidden="1">#REF!</definedName>
    <definedName name="IQRDATAGPCT166" localSheetId="19" hidden="1">#REF!</definedName>
    <definedName name="IQRDATAGPCT166" localSheetId="23" hidden="1">#REF!</definedName>
    <definedName name="IQRDATAGPCT166" localSheetId="20" hidden="1">#REF!</definedName>
    <definedName name="IQRDATAGPCT166" localSheetId="22" hidden="1">#REF!</definedName>
    <definedName name="IQRDATAGPCT166" localSheetId="24" hidden="1">#REF!</definedName>
    <definedName name="IQRDATAGPCT166" localSheetId="21" hidden="1">#REF!</definedName>
    <definedName name="IQRDATAGPCT166" localSheetId="13" hidden="1">#REF!</definedName>
    <definedName name="IQRDATAGPCT166" localSheetId="17" hidden="1">#REF!</definedName>
    <definedName name="IQRDATAGPCT166" localSheetId="14" hidden="1">#REF!</definedName>
    <definedName name="IQRDATAGPCT166" localSheetId="16" hidden="1">#REF!</definedName>
    <definedName name="IQRDATAGPCT166" localSheetId="15" hidden="1">#REF!</definedName>
    <definedName name="IQRDATAGPCT166" localSheetId="18" hidden="1">#REF!</definedName>
    <definedName name="IQRDATAGPCT166" localSheetId="12" hidden="1">#REF!</definedName>
    <definedName name="IQRDATAGPCT166" localSheetId="26" hidden="1">#REF!</definedName>
    <definedName name="IQRDATAGPCT166" localSheetId="25" hidden="1">#REF!</definedName>
    <definedName name="IQRDATAGPCT166" localSheetId="30" hidden="1">#REF!</definedName>
    <definedName name="IQRDATAGPCT166" localSheetId="27" hidden="1">#REF!</definedName>
    <definedName name="IQRDATAGPCT166" localSheetId="28" hidden="1">#REF!</definedName>
    <definedName name="IQRDATAGPCT166" localSheetId="31" hidden="1">#REF!</definedName>
    <definedName name="IQRDATAGPCT166" localSheetId="29" hidden="1">#REF!</definedName>
    <definedName name="IQRDATAGPCT166" localSheetId="11" hidden="1">#REF!</definedName>
    <definedName name="IQRDATAGPCT166" localSheetId="40" hidden="1">#REF!</definedName>
    <definedName name="IQRDATAGPCT166" localSheetId="36" hidden="1">#REF!</definedName>
    <definedName name="IQRDATAGPCT166" hidden="1">#REF!</definedName>
    <definedName name="IQRDATAGPCT167" localSheetId="19" hidden="1">#REF!</definedName>
    <definedName name="IQRDATAGPCT167" localSheetId="23" hidden="1">#REF!</definedName>
    <definedName name="IQRDATAGPCT167" localSheetId="20" hidden="1">#REF!</definedName>
    <definedName name="IQRDATAGPCT167" localSheetId="22" hidden="1">#REF!</definedName>
    <definedName name="IQRDATAGPCT167" localSheetId="24" hidden="1">#REF!</definedName>
    <definedName name="IQRDATAGPCT167" localSheetId="21" hidden="1">#REF!</definedName>
    <definedName name="IQRDATAGPCT167" localSheetId="13" hidden="1">#REF!</definedName>
    <definedName name="IQRDATAGPCT167" localSheetId="17" hidden="1">#REF!</definedName>
    <definedName name="IQRDATAGPCT167" localSheetId="14" hidden="1">#REF!</definedName>
    <definedName name="IQRDATAGPCT167" localSheetId="16" hidden="1">#REF!</definedName>
    <definedName name="IQRDATAGPCT167" localSheetId="15" hidden="1">#REF!</definedName>
    <definedName name="IQRDATAGPCT167" localSheetId="18" hidden="1">#REF!</definedName>
    <definedName name="IQRDATAGPCT167" localSheetId="12" hidden="1">#REF!</definedName>
    <definedName name="IQRDATAGPCT167" localSheetId="26" hidden="1">#REF!</definedName>
    <definedName name="IQRDATAGPCT167" localSheetId="25" hidden="1">#REF!</definedName>
    <definedName name="IQRDATAGPCT167" localSheetId="30" hidden="1">#REF!</definedName>
    <definedName name="IQRDATAGPCT167" localSheetId="27" hidden="1">#REF!</definedName>
    <definedName name="IQRDATAGPCT167" localSheetId="28" hidden="1">#REF!</definedName>
    <definedName name="IQRDATAGPCT167" localSheetId="31" hidden="1">#REF!</definedName>
    <definedName name="IQRDATAGPCT167" localSheetId="29" hidden="1">#REF!</definedName>
    <definedName name="IQRDATAGPCT167" localSheetId="11" hidden="1">#REF!</definedName>
    <definedName name="IQRDATAGPCT167" localSheetId="40" hidden="1">#REF!</definedName>
    <definedName name="IQRDATAGPCT167" localSheetId="36" hidden="1">#REF!</definedName>
    <definedName name="IQRDATAGPCT167" hidden="1">#REF!</definedName>
    <definedName name="IQRSTARTBA4" localSheetId="19" hidden="1">#REF!</definedName>
    <definedName name="IQRSTARTBA4" localSheetId="23" hidden="1">#REF!</definedName>
    <definedName name="IQRSTARTBA4" localSheetId="20" hidden="1">#REF!</definedName>
    <definedName name="IQRSTARTBA4" localSheetId="22" hidden="1">#REF!</definedName>
    <definedName name="IQRSTARTBA4" localSheetId="24" hidden="1">#REF!</definedName>
    <definedName name="IQRSTARTBA4" localSheetId="21" hidden="1">#REF!</definedName>
    <definedName name="IQRSTARTBA4" localSheetId="13" hidden="1">#REF!</definedName>
    <definedName name="IQRSTARTBA4" localSheetId="17" hidden="1">#REF!</definedName>
    <definedName name="IQRSTARTBA4" localSheetId="14" hidden="1">#REF!</definedName>
    <definedName name="IQRSTARTBA4" localSheetId="16" hidden="1">#REF!</definedName>
    <definedName name="IQRSTARTBA4" localSheetId="15" hidden="1">#REF!</definedName>
    <definedName name="IQRSTARTBA4" localSheetId="18" hidden="1">#REF!</definedName>
    <definedName name="IQRSTARTBA4" localSheetId="12" hidden="1">#REF!</definedName>
    <definedName name="IQRSTARTBA4" localSheetId="26" hidden="1">#REF!</definedName>
    <definedName name="IQRSTARTBA4" localSheetId="25" hidden="1">#REF!</definedName>
    <definedName name="IQRSTARTBA4" localSheetId="30" hidden="1">#REF!</definedName>
    <definedName name="IQRSTARTBA4" localSheetId="27" hidden="1">#REF!</definedName>
    <definedName name="IQRSTARTBA4" localSheetId="28" hidden="1">#REF!</definedName>
    <definedName name="IQRSTARTBA4" localSheetId="31" hidden="1">#REF!</definedName>
    <definedName name="IQRSTARTBA4" localSheetId="29" hidden="1">#REF!</definedName>
    <definedName name="IQRSTARTBA4" localSheetId="11" hidden="1">#REF!</definedName>
    <definedName name="IQRSTARTBA4" localSheetId="40" hidden="1">#REF!</definedName>
    <definedName name="IQRSTARTBA4" localSheetId="36" hidden="1">#REF!</definedName>
    <definedName name="IQRSTARTBA4" hidden="1">#REF!</definedName>
    <definedName name="IQRSTARTBB4" localSheetId="19" hidden="1">#REF!</definedName>
    <definedName name="IQRSTARTBB4" localSheetId="23" hidden="1">#REF!</definedName>
    <definedName name="IQRSTARTBB4" localSheetId="20" hidden="1">#REF!</definedName>
    <definedName name="IQRSTARTBB4" localSheetId="22" hidden="1">#REF!</definedName>
    <definedName name="IQRSTARTBB4" localSheetId="24" hidden="1">#REF!</definedName>
    <definedName name="IQRSTARTBB4" localSheetId="21" hidden="1">#REF!</definedName>
    <definedName name="IQRSTARTBB4" localSheetId="13" hidden="1">#REF!</definedName>
    <definedName name="IQRSTARTBB4" localSheetId="17" hidden="1">#REF!</definedName>
    <definedName name="IQRSTARTBB4" localSheetId="14" hidden="1">#REF!</definedName>
    <definedName name="IQRSTARTBB4" localSheetId="16" hidden="1">#REF!</definedName>
    <definedName name="IQRSTARTBB4" localSheetId="15" hidden="1">#REF!</definedName>
    <definedName name="IQRSTARTBB4" localSheetId="18" hidden="1">#REF!</definedName>
    <definedName name="IQRSTARTBB4" localSheetId="12" hidden="1">#REF!</definedName>
    <definedName name="IQRSTARTBB4" localSheetId="26" hidden="1">#REF!</definedName>
    <definedName name="IQRSTARTBB4" localSheetId="25" hidden="1">#REF!</definedName>
    <definedName name="IQRSTARTBB4" localSheetId="30" hidden="1">#REF!</definedName>
    <definedName name="IQRSTARTBB4" localSheetId="27" hidden="1">#REF!</definedName>
    <definedName name="IQRSTARTBB4" localSheetId="28" hidden="1">#REF!</definedName>
    <definedName name="IQRSTARTBB4" localSheetId="31" hidden="1">#REF!</definedName>
    <definedName name="IQRSTARTBB4" localSheetId="29" hidden="1">#REF!</definedName>
    <definedName name="IQRSTARTBB4" localSheetId="11" hidden="1">#REF!</definedName>
    <definedName name="IQRSTARTBB4" localSheetId="40" hidden="1">#REF!</definedName>
    <definedName name="IQRSTARTBB4" localSheetId="36" hidden="1">#REF!</definedName>
    <definedName name="IQRSTARTBB4" hidden="1">#REF!</definedName>
    <definedName name="IQRWACCandTICInputsE23" localSheetId="19" hidden="1">#REF!</definedName>
    <definedName name="IQRWACCandTICInputsE23" localSheetId="23" hidden="1">#REF!</definedName>
    <definedName name="IQRWACCandTICInputsE23" localSheetId="20" hidden="1">#REF!</definedName>
    <definedName name="IQRWACCandTICInputsE23" localSheetId="22" hidden="1">#REF!</definedName>
    <definedName name="IQRWACCandTICInputsE23" localSheetId="24" hidden="1">#REF!</definedName>
    <definedName name="IQRWACCandTICInputsE23" localSheetId="21" hidden="1">#REF!</definedName>
    <definedName name="IQRWACCandTICInputsE23" localSheetId="13" hidden="1">#REF!</definedName>
    <definedName name="IQRWACCandTICInputsE23" localSheetId="17" hidden="1">#REF!</definedName>
    <definedName name="IQRWACCandTICInputsE23" localSheetId="14" hidden="1">#REF!</definedName>
    <definedName name="IQRWACCandTICInputsE23" localSheetId="16" hidden="1">#REF!</definedName>
    <definedName name="IQRWACCandTICInputsE23" localSheetId="15" hidden="1">#REF!</definedName>
    <definedName name="IQRWACCandTICInputsE23" localSheetId="18" hidden="1">#REF!</definedName>
    <definedName name="IQRWACCandTICInputsE23" localSheetId="12" hidden="1">#REF!</definedName>
    <definedName name="IQRWACCandTICInputsE23" localSheetId="26" hidden="1">#REF!</definedName>
    <definedName name="IQRWACCandTICInputsE23" localSheetId="25" hidden="1">#REF!</definedName>
    <definedName name="IQRWACCandTICInputsE23" localSheetId="30" hidden="1">#REF!</definedName>
    <definedName name="IQRWACCandTICInputsE23" localSheetId="27" hidden="1">#REF!</definedName>
    <definedName name="IQRWACCandTICInputsE23" localSheetId="28" hidden="1">#REF!</definedName>
    <definedName name="IQRWACCandTICInputsE23" localSheetId="31" hidden="1">#REF!</definedName>
    <definedName name="IQRWACCandTICInputsE23" localSheetId="29" hidden="1">#REF!</definedName>
    <definedName name="IQRWACCandTICInputsE23" localSheetId="11" hidden="1">#REF!</definedName>
    <definedName name="IQRWACCandTICInputsE23" localSheetId="40" hidden="1">#REF!</definedName>
    <definedName name="IQRWACCandTICInputsE23" localSheetId="36" hidden="1">#REF!</definedName>
    <definedName name="IQRWACCandTICInputsE23" hidden="1">#REF!</definedName>
    <definedName name="IS" localSheetId="19">#REF!</definedName>
    <definedName name="IS" localSheetId="23">#REF!</definedName>
    <definedName name="IS" localSheetId="20">#REF!</definedName>
    <definedName name="IS" localSheetId="22">#REF!</definedName>
    <definedName name="IS" localSheetId="24">#REF!</definedName>
    <definedName name="IS" localSheetId="21">#REF!</definedName>
    <definedName name="IS" localSheetId="13">#REF!</definedName>
    <definedName name="IS" localSheetId="17">#REF!</definedName>
    <definedName name="IS" localSheetId="14">#REF!</definedName>
    <definedName name="IS" localSheetId="16">#REF!</definedName>
    <definedName name="IS" localSheetId="15">#REF!</definedName>
    <definedName name="IS" localSheetId="18">#REF!</definedName>
    <definedName name="IS" localSheetId="12">#REF!</definedName>
    <definedName name="IS" localSheetId="26">#REF!</definedName>
    <definedName name="IS" localSheetId="25">#REF!</definedName>
    <definedName name="IS" localSheetId="30">#REF!</definedName>
    <definedName name="IS" localSheetId="27">#REF!</definedName>
    <definedName name="IS" localSheetId="28">#REF!</definedName>
    <definedName name="IS" localSheetId="31">#REF!</definedName>
    <definedName name="IS" localSheetId="29">#REF!</definedName>
    <definedName name="IS" localSheetId="11">#REF!</definedName>
    <definedName name="IS" localSheetId="39">#REF!</definedName>
    <definedName name="IS" localSheetId="38">#REF!</definedName>
    <definedName name="IS" localSheetId="40">#REF!</definedName>
    <definedName name="IS" localSheetId="34">#REF!</definedName>
    <definedName name="IS" localSheetId="33">#REF!</definedName>
    <definedName name="IS">#REF!</definedName>
    <definedName name="ISS" localSheetId="19">#REF!</definedName>
    <definedName name="ISS" localSheetId="23">#REF!</definedName>
    <definedName name="ISS" localSheetId="20">#REF!</definedName>
    <definedName name="ISS" localSheetId="22">#REF!</definedName>
    <definedName name="ISS" localSheetId="24">#REF!</definedName>
    <definedName name="ISS" localSheetId="21">#REF!</definedName>
    <definedName name="ISS" localSheetId="13">#REF!</definedName>
    <definedName name="ISS" localSheetId="17">#REF!</definedName>
    <definedName name="ISS" localSheetId="14">#REF!</definedName>
    <definedName name="ISS" localSheetId="16">#REF!</definedName>
    <definedName name="ISS" localSheetId="15">#REF!</definedName>
    <definedName name="ISS" localSheetId="18">#REF!</definedName>
    <definedName name="ISS" localSheetId="12">#REF!</definedName>
    <definedName name="ISS" localSheetId="26">#REF!</definedName>
    <definedName name="ISS" localSheetId="25">#REF!</definedName>
    <definedName name="ISS" localSheetId="30">#REF!</definedName>
    <definedName name="ISS" localSheetId="27">#REF!</definedName>
    <definedName name="ISS" localSheetId="28">#REF!</definedName>
    <definedName name="ISS" localSheetId="31">#REF!</definedName>
    <definedName name="ISS" localSheetId="29">#REF!</definedName>
    <definedName name="ISS" localSheetId="11">#REF!</definedName>
    <definedName name="ISS" localSheetId="38">#REF!</definedName>
    <definedName name="ISS" localSheetId="40">#REF!</definedName>
    <definedName name="ISS" localSheetId="34">#REF!</definedName>
    <definedName name="ISS" localSheetId="33">#REF!</definedName>
    <definedName name="ISS">#REF!</definedName>
    <definedName name="JGN1share" comment="Entity share enjoyed by HYNE group">100%</definedName>
    <definedName name="JGN2share" comment="Entity share enjoyed by HYNE group">100%</definedName>
    <definedName name="Job" localSheetId="19">data</definedName>
    <definedName name="Job" localSheetId="23">data</definedName>
    <definedName name="Job" localSheetId="20">data</definedName>
    <definedName name="Job" localSheetId="22">data</definedName>
    <definedName name="Job" localSheetId="24">data</definedName>
    <definedName name="Job" localSheetId="21">data</definedName>
    <definedName name="Job" localSheetId="13">data</definedName>
    <definedName name="Job" localSheetId="17">data</definedName>
    <definedName name="Job" localSheetId="14">data</definedName>
    <definedName name="Job" localSheetId="16">data</definedName>
    <definedName name="Job" localSheetId="15">data</definedName>
    <definedName name="Job" localSheetId="18">data</definedName>
    <definedName name="Job" localSheetId="12">data</definedName>
    <definedName name="Job" localSheetId="26">'CF-ACPL'!data</definedName>
    <definedName name="Job" localSheetId="25">'CF-ACPL（合并）'!data</definedName>
    <definedName name="Job" localSheetId="30">'CF-ACPLGZ'!data</definedName>
    <definedName name="Job" localSheetId="27">'CF-ACPLHK'!data</definedName>
    <definedName name="Job" localSheetId="28">'CF-ACPLSZ'!data</definedName>
    <definedName name="Job" localSheetId="31">'CF-ACPLYixing'!data</definedName>
    <definedName name="Job" localSheetId="29">'CF-ACPSZL'!data</definedName>
    <definedName name="Job" localSheetId="37">data</definedName>
    <definedName name="Job" localSheetId="39">data</definedName>
    <definedName name="Job" localSheetId="38">[50]!data</definedName>
    <definedName name="Job" localSheetId="40">'Personnel-CN'!data</definedName>
    <definedName name="Job" localSheetId="34">[50]!data</definedName>
    <definedName name="Job" localSheetId="33">[50]!data</definedName>
    <definedName name="Job">data</definedName>
    <definedName name="k">1000</definedName>
    <definedName name="kjtobtu" localSheetId="26">#REF!</definedName>
    <definedName name="kjtobtu" localSheetId="25">#REF!</definedName>
    <definedName name="kjtobtu" localSheetId="30">#REF!</definedName>
    <definedName name="kjtobtu" localSheetId="27">#REF!</definedName>
    <definedName name="kjtobtu" localSheetId="28">#REF!</definedName>
    <definedName name="kjtobtu" localSheetId="31">#REF!</definedName>
    <definedName name="kjtobtu" localSheetId="29">#REF!</definedName>
    <definedName name="kjtobtu" localSheetId="40">#REF!</definedName>
    <definedName name="kjtobtu">#REF!</definedName>
    <definedName name="kk">1000000</definedName>
    <definedName name="l" hidden="1">#N/A</definedName>
    <definedName name="land1" localSheetId="26">#REF!</definedName>
    <definedName name="land1" localSheetId="25">#REF!</definedName>
    <definedName name="land1" localSheetId="30">#REF!</definedName>
    <definedName name="land1" localSheetId="27">#REF!</definedName>
    <definedName name="land1" localSheetId="28">#REF!</definedName>
    <definedName name="land1" localSheetId="31">#REF!</definedName>
    <definedName name="land1" localSheetId="29">#REF!</definedName>
    <definedName name="land1" localSheetId="40">#REF!</definedName>
    <definedName name="land1">#REF!</definedName>
    <definedName name="land2" localSheetId="26">#REF!</definedName>
    <definedName name="land2" localSheetId="25">#REF!</definedName>
    <definedName name="land2" localSheetId="30">#REF!</definedName>
    <definedName name="land2" localSheetId="27">#REF!</definedName>
    <definedName name="land2" localSheetId="28">#REF!</definedName>
    <definedName name="land2" localSheetId="31">#REF!</definedName>
    <definedName name="land2" localSheetId="29">#REF!</definedName>
    <definedName name="land2" localSheetId="40">#REF!</definedName>
    <definedName name="land2">#REF!</definedName>
    <definedName name="last_bonus_amt" localSheetId="26">#REF!</definedName>
    <definedName name="last_bonus_amt" localSheetId="25">#REF!</definedName>
    <definedName name="last_bonus_amt" localSheetId="30">#REF!</definedName>
    <definedName name="last_bonus_amt" localSheetId="27">#REF!</definedName>
    <definedName name="last_bonus_amt" localSheetId="28">#REF!</definedName>
    <definedName name="last_bonus_amt" localSheetId="31">#REF!</definedName>
    <definedName name="last_bonus_amt" localSheetId="29">#REF!</definedName>
    <definedName name="last_bonus_amt" localSheetId="37">#REF!</definedName>
    <definedName name="last_bonus_amt" localSheetId="39">#REF!</definedName>
    <definedName name="last_bonus_amt" localSheetId="40">#REF!</definedName>
    <definedName name="last_bonus_amt" localSheetId="32">#REF!</definedName>
    <definedName name="last_bonus_amt" localSheetId="5">#REF!</definedName>
    <definedName name="last_bonus_amt" localSheetId="6">#REF!</definedName>
    <definedName name="last_bonus_amt">#REF!</definedName>
    <definedName name="last_increase_date" localSheetId="26">#REF!</definedName>
    <definedName name="last_increase_date" localSheetId="25">#REF!</definedName>
    <definedName name="last_increase_date" localSheetId="30">#REF!</definedName>
    <definedName name="last_increase_date" localSheetId="27">#REF!</definedName>
    <definedName name="last_increase_date" localSheetId="28">#REF!</definedName>
    <definedName name="last_increase_date" localSheetId="31">#REF!</definedName>
    <definedName name="last_increase_date" localSheetId="29">#REF!</definedName>
    <definedName name="last_increase_date" localSheetId="37">#REF!</definedName>
    <definedName name="last_increase_date" localSheetId="39">#REF!</definedName>
    <definedName name="last_increase_date" localSheetId="40">#REF!</definedName>
    <definedName name="last_increase_date" localSheetId="32">#REF!</definedName>
    <definedName name="last_increase_date" localSheetId="5">#REF!</definedName>
    <definedName name="last_increase_date" localSheetId="6">#REF!</definedName>
    <definedName name="last_increase_date">#REF!</definedName>
    <definedName name="lastbonusamt" localSheetId="26">#REF!</definedName>
    <definedName name="lastbonusamt" localSheetId="25">#REF!</definedName>
    <definedName name="lastbonusamt" localSheetId="30">#REF!</definedName>
    <definedName name="lastbonusamt" localSheetId="27">#REF!</definedName>
    <definedName name="lastbonusamt" localSheetId="28">#REF!</definedName>
    <definedName name="lastbonusamt" localSheetId="31">#REF!</definedName>
    <definedName name="lastbonusamt" localSheetId="29">#REF!</definedName>
    <definedName name="lastbonusamt" localSheetId="37">#REF!</definedName>
    <definedName name="lastbonusamt" localSheetId="39">#REF!</definedName>
    <definedName name="lastbonusamt" localSheetId="40">#REF!</definedName>
    <definedName name="lastbonusamt" localSheetId="32">#REF!</definedName>
    <definedName name="lastbonusamt" localSheetId="5">#REF!</definedName>
    <definedName name="lastbonusamt" localSheetId="6">#REF!</definedName>
    <definedName name="lastbonusamt">#REF!</definedName>
    <definedName name="lastyearrate">0.21045</definedName>
    <definedName name="LatestPremiaYear">[15]Reference!$J$341</definedName>
    <definedName name="LFQLTM">[15]START!$G$33</definedName>
    <definedName name="LFY">[15]START!$G$30</definedName>
    <definedName name="List_NoOfPFIYrs">[15]Settings!$M$51:$M$60</definedName>
    <definedName name="listbox" localSheetId="26">#REF!</definedName>
    <definedName name="listbox" localSheetId="25">#REF!</definedName>
    <definedName name="listbox" localSheetId="30">#REF!</definedName>
    <definedName name="listbox" localSheetId="27">#REF!</definedName>
    <definedName name="listbox" localSheetId="28">#REF!</definedName>
    <definedName name="listbox" localSheetId="31">#REF!</definedName>
    <definedName name="listbox" localSheetId="29">#REF!</definedName>
    <definedName name="listbox" localSheetId="37">#REF!</definedName>
    <definedName name="listbox" localSheetId="40">#REF!</definedName>
    <definedName name="listbox" localSheetId="32">#REF!</definedName>
    <definedName name="listbox" localSheetId="5">#REF!</definedName>
    <definedName name="listbox" localSheetId="6">#REF!</definedName>
    <definedName name="listbox">#REF!</definedName>
    <definedName name="LMshare" comment="Entity share enjoyed by HYNE group">100%</definedName>
    <definedName name="LOB" localSheetId="19">#REF!</definedName>
    <definedName name="LOB" localSheetId="23">#REF!</definedName>
    <definedName name="LOB" localSheetId="20">#REF!</definedName>
    <definedName name="LOB" localSheetId="22">#REF!</definedName>
    <definedName name="LOB" localSheetId="24">#REF!</definedName>
    <definedName name="LOB" localSheetId="21">#REF!</definedName>
    <definedName name="LOB" localSheetId="13">#REF!</definedName>
    <definedName name="LOB" localSheetId="17">#REF!</definedName>
    <definedName name="LOB" localSheetId="14">#REF!</definedName>
    <definedName name="LOB" localSheetId="16">#REF!</definedName>
    <definedName name="LOB" localSheetId="15">#REF!</definedName>
    <definedName name="LOB" localSheetId="18">#REF!</definedName>
    <definedName name="LOB" localSheetId="12">#REF!</definedName>
    <definedName name="LOB" localSheetId="26">#REF!</definedName>
    <definedName name="LOB" localSheetId="25">#REF!</definedName>
    <definedName name="LOB" localSheetId="30">#REF!</definedName>
    <definedName name="LOB" localSheetId="27">#REF!</definedName>
    <definedName name="LOB" localSheetId="28">#REF!</definedName>
    <definedName name="LOB" localSheetId="31">#REF!</definedName>
    <definedName name="LOB" localSheetId="29">#REF!</definedName>
    <definedName name="LOB" localSheetId="11">#REF!</definedName>
    <definedName name="LOB" localSheetId="37">#REF!</definedName>
    <definedName name="LOB" localSheetId="39">#REF!</definedName>
    <definedName name="LOB" localSheetId="38">'Other Exp'!#REF!</definedName>
    <definedName name="LOB" localSheetId="40">#REF!</definedName>
    <definedName name="LOB" localSheetId="34">'Prof. Fee'!#REF!</definedName>
    <definedName name="LOB" localSheetId="33">'T&amp;E'!#REF!</definedName>
    <definedName name="LOB">#REF!</definedName>
    <definedName name="Local_Currency" localSheetId="19">#REF!</definedName>
    <definedName name="Local_Currency" localSheetId="23">#REF!</definedName>
    <definedName name="Local_Currency" localSheetId="20">#REF!</definedName>
    <definedName name="Local_Currency" localSheetId="22">#REF!</definedName>
    <definedName name="Local_Currency" localSheetId="24">#REF!</definedName>
    <definedName name="Local_Currency" localSheetId="21">#REF!</definedName>
    <definedName name="Local_Currency" localSheetId="13">#REF!</definedName>
    <definedName name="Local_Currency" localSheetId="17">#REF!</definedName>
    <definedName name="Local_Currency" localSheetId="14">#REF!</definedName>
    <definedName name="Local_Currency" localSheetId="16">#REF!</definedName>
    <definedName name="Local_Currency" localSheetId="15">#REF!</definedName>
    <definedName name="Local_Currency" localSheetId="18">#REF!</definedName>
    <definedName name="Local_Currency" localSheetId="12">#REF!</definedName>
    <definedName name="Local_Currency" localSheetId="26">#REF!</definedName>
    <definedName name="Local_Currency" localSheetId="25">#REF!</definedName>
    <definedName name="Local_Currency" localSheetId="30">#REF!</definedName>
    <definedName name="Local_Currency" localSheetId="27">#REF!</definedName>
    <definedName name="Local_Currency" localSheetId="28">#REF!</definedName>
    <definedName name="Local_Currency" localSheetId="31">#REF!</definedName>
    <definedName name="Local_Currency" localSheetId="29">#REF!</definedName>
    <definedName name="Local_Currency" localSheetId="11">#REF!</definedName>
    <definedName name="Local_Currency" localSheetId="37">#REF!</definedName>
    <definedName name="Local_Currency" localSheetId="38">#REF!</definedName>
    <definedName name="Local_Currency" localSheetId="40">#REF!</definedName>
    <definedName name="Local_Currency" localSheetId="34">#REF!</definedName>
    <definedName name="Local_Currency" localSheetId="33">#REF!</definedName>
    <definedName name="Local_Currency">#REF!</definedName>
    <definedName name="Location1_HC" localSheetId="19">#REF!</definedName>
    <definedName name="Location1_HC" localSheetId="23">#REF!</definedName>
    <definedName name="Location1_HC" localSheetId="20">#REF!</definedName>
    <definedName name="Location1_HC" localSheetId="22">#REF!</definedName>
    <definedName name="Location1_HC" localSheetId="24">#REF!</definedName>
    <definedName name="Location1_HC" localSheetId="21">#REF!</definedName>
    <definedName name="Location1_HC" localSheetId="13">#REF!</definedName>
    <definedName name="Location1_HC" localSheetId="17">#REF!</definedName>
    <definedName name="Location1_HC" localSheetId="14">#REF!</definedName>
    <definedName name="Location1_HC" localSheetId="16">#REF!</definedName>
    <definedName name="Location1_HC" localSheetId="15">#REF!</definedName>
    <definedName name="Location1_HC" localSheetId="18">#REF!</definedName>
    <definedName name="Location1_HC" localSheetId="12">#REF!</definedName>
    <definedName name="Location1_HC" localSheetId="26">#REF!</definedName>
    <definedName name="Location1_HC" localSheetId="25">#REF!</definedName>
    <definedName name="Location1_HC" localSheetId="30">#REF!</definedName>
    <definedName name="Location1_HC" localSheetId="27">#REF!</definedName>
    <definedName name="Location1_HC" localSheetId="28">#REF!</definedName>
    <definedName name="Location1_HC" localSheetId="31">#REF!</definedName>
    <definedName name="Location1_HC" localSheetId="29">#REF!</definedName>
    <definedName name="Location1_HC" localSheetId="11">#REF!</definedName>
    <definedName name="Location1_HC" localSheetId="40">#REF!</definedName>
    <definedName name="Location1_HC">#REF!</definedName>
    <definedName name="Location1_Salary" localSheetId="19">#REF!</definedName>
    <definedName name="Location1_Salary" localSheetId="23">#REF!</definedName>
    <definedName name="Location1_Salary" localSheetId="20">#REF!</definedName>
    <definedName name="Location1_Salary" localSheetId="22">#REF!</definedName>
    <definedName name="Location1_Salary" localSheetId="24">#REF!</definedName>
    <definedName name="Location1_Salary" localSheetId="21">#REF!</definedName>
    <definedName name="Location1_Salary" localSheetId="13">#REF!</definedName>
    <definedName name="Location1_Salary" localSheetId="17">#REF!</definedName>
    <definedName name="Location1_Salary" localSheetId="14">#REF!</definedName>
    <definedName name="Location1_Salary" localSheetId="16">#REF!</definedName>
    <definedName name="Location1_Salary" localSheetId="15">#REF!</definedName>
    <definedName name="Location1_Salary" localSheetId="18">#REF!</definedName>
    <definedName name="Location1_Salary" localSheetId="12">#REF!</definedName>
    <definedName name="Location1_Salary" localSheetId="26">#REF!</definedName>
    <definedName name="Location1_Salary" localSheetId="25">#REF!</definedName>
    <definedName name="Location1_Salary" localSheetId="30">#REF!</definedName>
    <definedName name="Location1_Salary" localSheetId="27">#REF!</definedName>
    <definedName name="Location1_Salary" localSheetId="28">#REF!</definedName>
    <definedName name="Location1_Salary" localSheetId="31">#REF!</definedName>
    <definedName name="Location1_Salary" localSheetId="29">#REF!</definedName>
    <definedName name="Location1_Salary" localSheetId="11">#REF!</definedName>
    <definedName name="Location1_Salary" localSheetId="40">#REF!</definedName>
    <definedName name="Location1_Salary">#REF!</definedName>
    <definedName name="Location2_Client" localSheetId="19">#REF!,#REF!</definedName>
    <definedName name="Location2_Client" localSheetId="23">#REF!,#REF!</definedName>
    <definedName name="Location2_Client" localSheetId="20">#REF!,#REF!</definedName>
    <definedName name="Location2_Client" localSheetId="22">#REF!,#REF!</definedName>
    <definedName name="Location2_Client" localSheetId="24">#REF!,#REF!</definedName>
    <definedName name="Location2_Client" localSheetId="21">#REF!,#REF!</definedName>
    <definedName name="Location2_Client" localSheetId="13">#REF!,#REF!</definedName>
    <definedName name="Location2_Client" localSheetId="17">#REF!,#REF!</definedName>
    <definedName name="Location2_Client" localSheetId="14">#REF!,#REF!</definedName>
    <definedName name="Location2_Client" localSheetId="16">#REF!,#REF!</definedName>
    <definedName name="Location2_Client" localSheetId="15">#REF!,#REF!</definedName>
    <definedName name="Location2_Client" localSheetId="18">#REF!,#REF!</definedName>
    <definedName name="Location2_Client" localSheetId="12">#REF!,#REF!</definedName>
    <definedName name="Location2_Client" localSheetId="26">#REF!,#REF!</definedName>
    <definedName name="Location2_Client" localSheetId="25">#REF!,#REF!</definedName>
    <definedName name="Location2_Client" localSheetId="30">#REF!,#REF!</definedName>
    <definedName name="Location2_Client" localSheetId="27">#REF!,#REF!</definedName>
    <definedName name="Location2_Client" localSheetId="28">#REF!,#REF!</definedName>
    <definedName name="Location2_Client" localSheetId="31">#REF!,#REF!</definedName>
    <definedName name="Location2_Client" localSheetId="29">#REF!,#REF!</definedName>
    <definedName name="Location2_Client" localSheetId="11">#REF!,#REF!</definedName>
    <definedName name="Location2_Client" localSheetId="40">#REF!,#REF!</definedName>
    <definedName name="Location2_Client">#REF!,#REF!</definedName>
    <definedName name="Location2_HC" localSheetId="19">#REF!</definedName>
    <definedName name="Location2_HC" localSheetId="23">#REF!</definedName>
    <definedName name="Location2_HC" localSheetId="20">#REF!</definedName>
    <definedName name="Location2_HC" localSheetId="22">#REF!</definedName>
    <definedName name="Location2_HC" localSheetId="24">#REF!</definedName>
    <definedName name="Location2_HC" localSheetId="21">#REF!</definedName>
    <definedName name="Location2_HC" localSheetId="13">#REF!</definedName>
    <definedName name="Location2_HC" localSheetId="17">#REF!</definedName>
    <definedName name="Location2_HC" localSheetId="14">#REF!</definedName>
    <definedName name="Location2_HC" localSheetId="16">#REF!</definedName>
    <definedName name="Location2_HC" localSheetId="15">#REF!</definedName>
    <definedName name="Location2_HC" localSheetId="18">#REF!</definedName>
    <definedName name="Location2_HC" localSheetId="12">#REF!</definedName>
    <definedName name="Location2_HC" localSheetId="26">#REF!</definedName>
    <definedName name="Location2_HC" localSheetId="25">#REF!</definedName>
    <definedName name="Location2_HC" localSheetId="30">#REF!</definedName>
    <definedName name="Location2_HC" localSheetId="27">#REF!</definedName>
    <definedName name="Location2_HC" localSheetId="28">#REF!</definedName>
    <definedName name="Location2_HC" localSheetId="31">#REF!</definedName>
    <definedName name="Location2_HC" localSheetId="29">#REF!</definedName>
    <definedName name="Location2_HC" localSheetId="11">#REF!</definedName>
    <definedName name="Location2_HC" localSheetId="40">#REF!</definedName>
    <definedName name="Location2_HC">#REF!</definedName>
    <definedName name="Location2_Salary" localSheetId="19">#REF!</definedName>
    <definedName name="Location2_Salary" localSheetId="23">#REF!</definedName>
    <definedName name="Location2_Salary" localSheetId="20">#REF!</definedName>
    <definedName name="Location2_Salary" localSheetId="22">#REF!</definedName>
    <definedName name="Location2_Salary" localSheetId="24">#REF!</definedName>
    <definedName name="Location2_Salary" localSheetId="21">#REF!</definedName>
    <definedName name="Location2_Salary" localSheetId="13">#REF!</definedName>
    <definedName name="Location2_Salary" localSheetId="17">#REF!</definedName>
    <definedName name="Location2_Salary" localSheetId="14">#REF!</definedName>
    <definedName name="Location2_Salary" localSheetId="16">#REF!</definedName>
    <definedName name="Location2_Salary" localSheetId="15">#REF!</definedName>
    <definedName name="Location2_Salary" localSheetId="18">#REF!</definedName>
    <definedName name="Location2_Salary" localSheetId="12">#REF!</definedName>
    <definedName name="Location2_Salary" localSheetId="26">#REF!</definedName>
    <definedName name="Location2_Salary" localSheetId="25">#REF!</definedName>
    <definedName name="Location2_Salary" localSheetId="30">#REF!</definedName>
    <definedName name="Location2_Salary" localSheetId="27">#REF!</definedName>
    <definedName name="Location2_Salary" localSheetId="28">#REF!</definedName>
    <definedName name="Location2_Salary" localSheetId="31">#REF!</definedName>
    <definedName name="Location2_Salary" localSheetId="29">#REF!</definedName>
    <definedName name="Location2_Salary" localSheetId="11">#REF!</definedName>
    <definedName name="Location2_Salary" localSheetId="40">#REF!</definedName>
    <definedName name="Location2_Salary">#REF!</definedName>
    <definedName name="Location3_HC" localSheetId="19">#REF!</definedName>
    <definedName name="Location3_HC" localSheetId="23">#REF!</definedName>
    <definedName name="Location3_HC" localSheetId="20">#REF!</definedName>
    <definedName name="Location3_HC" localSheetId="22">#REF!</definedName>
    <definedName name="Location3_HC" localSheetId="24">#REF!</definedName>
    <definedName name="Location3_HC" localSheetId="21">#REF!</definedName>
    <definedName name="Location3_HC" localSheetId="13">#REF!</definedName>
    <definedName name="Location3_HC" localSheetId="17">#REF!</definedName>
    <definedName name="Location3_HC" localSheetId="14">#REF!</definedName>
    <definedName name="Location3_HC" localSheetId="16">#REF!</definedName>
    <definedName name="Location3_HC" localSheetId="15">#REF!</definedName>
    <definedName name="Location3_HC" localSheetId="18">#REF!</definedName>
    <definedName name="Location3_HC" localSheetId="12">#REF!</definedName>
    <definedName name="Location3_HC" localSheetId="26">#REF!</definedName>
    <definedName name="Location3_HC" localSheetId="25">#REF!</definedName>
    <definedName name="Location3_HC" localSheetId="30">#REF!</definedName>
    <definedName name="Location3_HC" localSheetId="27">#REF!</definedName>
    <definedName name="Location3_HC" localSheetId="28">#REF!</definedName>
    <definedName name="Location3_HC" localSheetId="31">#REF!</definedName>
    <definedName name="Location3_HC" localSheetId="29">#REF!</definedName>
    <definedName name="Location3_HC" localSheetId="11">#REF!</definedName>
    <definedName name="Location3_HC" localSheetId="40">#REF!</definedName>
    <definedName name="Location3_HC">#REF!</definedName>
    <definedName name="Location3_Salary" localSheetId="19">#REF!</definedName>
    <definedName name="Location3_Salary" localSheetId="23">#REF!</definedName>
    <definedName name="Location3_Salary" localSheetId="20">#REF!</definedName>
    <definedName name="Location3_Salary" localSheetId="22">#REF!</definedName>
    <definedName name="Location3_Salary" localSheetId="24">#REF!</definedName>
    <definedName name="Location3_Salary" localSheetId="21">#REF!</definedName>
    <definedName name="Location3_Salary" localSheetId="13">#REF!</definedName>
    <definedName name="Location3_Salary" localSheetId="17">#REF!</definedName>
    <definedName name="Location3_Salary" localSheetId="14">#REF!</definedName>
    <definedName name="Location3_Salary" localSheetId="16">#REF!</definedName>
    <definedName name="Location3_Salary" localSheetId="15">#REF!</definedName>
    <definedName name="Location3_Salary" localSheetId="18">#REF!</definedName>
    <definedName name="Location3_Salary" localSheetId="12">#REF!</definedName>
    <definedName name="Location3_Salary" localSheetId="26">#REF!</definedName>
    <definedName name="Location3_Salary" localSheetId="25">#REF!</definedName>
    <definedName name="Location3_Salary" localSheetId="30">#REF!</definedName>
    <definedName name="Location3_Salary" localSheetId="27">#REF!</definedName>
    <definedName name="Location3_Salary" localSheetId="28">#REF!</definedName>
    <definedName name="Location3_Salary" localSheetId="31">#REF!</definedName>
    <definedName name="Location3_Salary" localSheetId="29">#REF!</definedName>
    <definedName name="Location3_Salary" localSheetId="11">#REF!</definedName>
    <definedName name="Location3_Salary" localSheetId="40">#REF!</definedName>
    <definedName name="Location3_Salary">#REF!</definedName>
    <definedName name="Location4_HC" localSheetId="19">#REF!</definedName>
    <definedName name="Location4_HC" localSheetId="23">#REF!</definedName>
    <definedName name="Location4_HC" localSheetId="20">#REF!</definedName>
    <definedName name="Location4_HC" localSheetId="22">#REF!</definedName>
    <definedName name="Location4_HC" localSheetId="24">#REF!</definedName>
    <definedName name="Location4_HC" localSheetId="21">#REF!</definedName>
    <definedName name="Location4_HC" localSheetId="13">#REF!</definedName>
    <definedName name="Location4_HC" localSheetId="17">#REF!</definedName>
    <definedName name="Location4_HC" localSheetId="14">#REF!</definedName>
    <definedName name="Location4_HC" localSheetId="16">#REF!</definedName>
    <definedName name="Location4_HC" localSheetId="15">#REF!</definedName>
    <definedName name="Location4_HC" localSheetId="18">#REF!</definedName>
    <definedName name="Location4_HC" localSheetId="12">#REF!</definedName>
    <definedName name="Location4_HC" localSheetId="26">#REF!</definedName>
    <definedName name="Location4_HC" localSheetId="25">#REF!</definedName>
    <definedName name="Location4_HC" localSheetId="30">#REF!</definedName>
    <definedName name="Location4_HC" localSheetId="27">#REF!</definedName>
    <definedName name="Location4_HC" localSheetId="28">#REF!</definedName>
    <definedName name="Location4_HC" localSheetId="31">#REF!</definedName>
    <definedName name="Location4_HC" localSheetId="29">#REF!</definedName>
    <definedName name="Location4_HC" localSheetId="11">#REF!</definedName>
    <definedName name="Location4_HC" localSheetId="40">#REF!</definedName>
    <definedName name="Location4_HC">#REF!</definedName>
    <definedName name="Location4_Salary" localSheetId="19">#REF!</definedName>
    <definedName name="Location4_Salary" localSheetId="23">#REF!</definedName>
    <definedName name="Location4_Salary" localSheetId="20">#REF!</definedName>
    <definedName name="Location4_Salary" localSheetId="22">#REF!</definedName>
    <definedName name="Location4_Salary" localSheetId="24">#REF!</definedName>
    <definedName name="Location4_Salary" localSheetId="21">#REF!</definedName>
    <definedName name="Location4_Salary" localSheetId="13">#REF!</definedName>
    <definedName name="Location4_Salary" localSheetId="17">#REF!</definedName>
    <definedName name="Location4_Salary" localSheetId="14">#REF!</definedName>
    <definedName name="Location4_Salary" localSheetId="16">#REF!</definedName>
    <definedName name="Location4_Salary" localSheetId="15">#REF!</definedName>
    <definedName name="Location4_Salary" localSheetId="18">#REF!</definedName>
    <definedName name="Location4_Salary" localSheetId="12">#REF!</definedName>
    <definedName name="Location4_Salary" localSheetId="26">#REF!</definedName>
    <definedName name="Location4_Salary" localSheetId="25">#REF!</definedName>
    <definedName name="Location4_Salary" localSheetId="30">#REF!</definedName>
    <definedName name="Location4_Salary" localSheetId="27">#REF!</definedName>
    <definedName name="Location4_Salary" localSheetId="28">#REF!</definedName>
    <definedName name="Location4_Salary" localSheetId="31">#REF!</definedName>
    <definedName name="Location4_Salary" localSheetId="29">#REF!</definedName>
    <definedName name="Location4_Salary" localSheetId="11">#REF!</definedName>
    <definedName name="Location4_Salary" localSheetId="40">#REF!</definedName>
    <definedName name="Location4_Salary">#REF!</definedName>
    <definedName name="Location5_HC" localSheetId="19">#REF!</definedName>
    <definedName name="Location5_HC" localSheetId="23">#REF!</definedName>
    <definedName name="Location5_HC" localSheetId="20">#REF!</definedName>
    <definedName name="Location5_HC" localSheetId="22">#REF!</definedName>
    <definedName name="Location5_HC" localSheetId="24">#REF!</definedName>
    <definedName name="Location5_HC" localSheetId="21">#REF!</definedName>
    <definedName name="Location5_HC" localSheetId="13">#REF!</definedName>
    <definedName name="Location5_HC" localSheetId="17">#REF!</definedName>
    <definedName name="Location5_HC" localSheetId="14">#REF!</definedName>
    <definedName name="Location5_HC" localSheetId="16">#REF!</definedName>
    <definedName name="Location5_HC" localSheetId="15">#REF!</definedName>
    <definedName name="Location5_HC" localSheetId="18">#REF!</definedName>
    <definedName name="Location5_HC" localSheetId="12">#REF!</definedName>
    <definedName name="Location5_HC" localSheetId="26">#REF!</definedName>
    <definedName name="Location5_HC" localSheetId="25">#REF!</definedName>
    <definedName name="Location5_HC" localSheetId="30">#REF!</definedName>
    <definedName name="Location5_HC" localSheetId="27">#REF!</definedName>
    <definedName name="Location5_HC" localSheetId="28">#REF!</definedName>
    <definedName name="Location5_HC" localSheetId="31">#REF!</definedName>
    <definedName name="Location5_HC" localSheetId="29">#REF!</definedName>
    <definedName name="Location5_HC" localSheetId="11">#REF!</definedName>
    <definedName name="Location5_HC" localSheetId="40">#REF!</definedName>
    <definedName name="Location5_HC">#REF!</definedName>
    <definedName name="Location5_Salary" localSheetId="19">#REF!</definedName>
    <definedName name="Location5_Salary" localSheetId="23">#REF!</definedName>
    <definedName name="Location5_Salary" localSheetId="20">#REF!</definedName>
    <definedName name="Location5_Salary" localSheetId="22">#REF!</definedName>
    <definedName name="Location5_Salary" localSheetId="24">#REF!</definedName>
    <definedName name="Location5_Salary" localSheetId="21">#REF!</definedName>
    <definedName name="Location5_Salary" localSheetId="13">#REF!</definedName>
    <definedName name="Location5_Salary" localSheetId="17">#REF!</definedName>
    <definedName name="Location5_Salary" localSheetId="14">#REF!</definedName>
    <definedName name="Location5_Salary" localSheetId="16">#REF!</definedName>
    <definedName name="Location5_Salary" localSheetId="15">#REF!</definedName>
    <definedName name="Location5_Salary" localSheetId="18">#REF!</definedName>
    <definedName name="Location5_Salary" localSheetId="12">#REF!</definedName>
    <definedName name="Location5_Salary" localSheetId="26">#REF!</definedName>
    <definedName name="Location5_Salary" localSheetId="25">#REF!</definedName>
    <definedName name="Location5_Salary" localSheetId="30">#REF!</definedName>
    <definedName name="Location5_Salary" localSheetId="27">#REF!</definedName>
    <definedName name="Location5_Salary" localSheetId="28">#REF!</definedName>
    <definedName name="Location5_Salary" localSheetId="31">#REF!</definedName>
    <definedName name="Location5_Salary" localSheetId="29">#REF!</definedName>
    <definedName name="Location5_Salary" localSheetId="11">#REF!</definedName>
    <definedName name="Location5_Salary" localSheetId="40">#REF!</definedName>
    <definedName name="Location5_Salary">#REF!</definedName>
    <definedName name="Location6_HC" localSheetId="19">#REF!</definedName>
    <definedName name="Location6_HC" localSheetId="23">#REF!</definedName>
    <definedName name="Location6_HC" localSheetId="20">#REF!</definedName>
    <definedName name="Location6_HC" localSheetId="22">#REF!</definedName>
    <definedName name="Location6_HC" localSheetId="24">#REF!</definedName>
    <definedName name="Location6_HC" localSheetId="21">#REF!</definedName>
    <definedName name="Location6_HC" localSheetId="13">#REF!</definedName>
    <definedName name="Location6_HC" localSheetId="17">#REF!</definedName>
    <definedName name="Location6_HC" localSheetId="14">#REF!</definedName>
    <definedName name="Location6_HC" localSheetId="16">#REF!</definedName>
    <definedName name="Location6_HC" localSheetId="15">#REF!</definedName>
    <definedName name="Location6_HC" localSheetId="18">#REF!</definedName>
    <definedName name="Location6_HC" localSheetId="12">#REF!</definedName>
    <definedName name="Location6_HC" localSheetId="26">#REF!</definedName>
    <definedName name="Location6_HC" localSheetId="25">#REF!</definedName>
    <definedName name="Location6_HC" localSheetId="30">#REF!</definedName>
    <definedName name="Location6_HC" localSheetId="27">#REF!</definedName>
    <definedName name="Location6_HC" localSheetId="28">#REF!</definedName>
    <definedName name="Location6_HC" localSheetId="31">#REF!</definedName>
    <definedName name="Location6_HC" localSheetId="29">#REF!</definedName>
    <definedName name="Location6_HC" localSheetId="11">#REF!</definedName>
    <definedName name="Location6_HC" localSheetId="40">#REF!</definedName>
    <definedName name="Location6_HC">#REF!</definedName>
    <definedName name="Location6_Salary" localSheetId="19">#REF!</definedName>
    <definedName name="Location6_Salary" localSheetId="23">#REF!</definedName>
    <definedName name="Location6_Salary" localSheetId="20">#REF!</definedName>
    <definedName name="Location6_Salary" localSheetId="22">#REF!</definedName>
    <definedName name="Location6_Salary" localSheetId="24">#REF!</definedName>
    <definedName name="Location6_Salary" localSheetId="21">#REF!</definedName>
    <definedName name="Location6_Salary" localSheetId="13">#REF!</definedName>
    <definedName name="Location6_Salary" localSheetId="17">#REF!</definedName>
    <definedName name="Location6_Salary" localSheetId="14">#REF!</definedName>
    <definedName name="Location6_Salary" localSheetId="16">#REF!</definedName>
    <definedName name="Location6_Salary" localSheetId="15">#REF!</definedName>
    <definedName name="Location6_Salary" localSheetId="18">#REF!</definedName>
    <definedName name="Location6_Salary" localSheetId="12">#REF!</definedName>
    <definedName name="Location6_Salary" localSheetId="26">#REF!</definedName>
    <definedName name="Location6_Salary" localSheetId="25">#REF!</definedName>
    <definedName name="Location6_Salary" localSheetId="30">#REF!</definedName>
    <definedName name="Location6_Salary" localSheetId="27">#REF!</definedName>
    <definedName name="Location6_Salary" localSheetId="28">#REF!</definedName>
    <definedName name="Location6_Salary" localSheetId="31">#REF!</definedName>
    <definedName name="Location6_Salary" localSheetId="29">#REF!</definedName>
    <definedName name="Location6_Salary" localSheetId="11">#REF!</definedName>
    <definedName name="Location6_Salary" localSheetId="40">#REF!</definedName>
    <definedName name="Location6_Salary">#REF!</definedName>
    <definedName name="Location7_HC" localSheetId="19">#REF!</definedName>
    <definedName name="Location7_HC" localSheetId="23">#REF!</definedName>
    <definedName name="Location7_HC" localSheetId="20">#REF!</definedName>
    <definedName name="Location7_HC" localSheetId="22">#REF!</definedName>
    <definedName name="Location7_HC" localSheetId="24">#REF!</definedName>
    <definedName name="Location7_HC" localSheetId="21">#REF!</definedName>
    <definedName name="Location7_HC" localSheetId="13">#REF!</definedName>
    <definedName name="Location7_HC" localSheetId="17">#REF!</definedName>
    <definedName name="Location7_HC" localSheetId="14">#REF!</definedName>
    <definedName name="Location7_HC" localSheetId="16">#REF!</definedName>
    <definedName name="Location7_HC" localSheetId="15">#REF!</definedName>
    <definedName name="Location7_HC" localSheetId="18">#REF!</definedName>
    <definedName name="Location7_HC" localSheetId="12">#REF!</definedName>
    <definedName name="Location7_HC" localSheetId="26">#REF!</definedName>
    <definedName name="Location7_HC" localSheetId="25">#REF!</definedName>
    <definedName name="Location7_HC" localSheetId="30">#REF!</definedName>
    <definedName name="Location7_HC" localSheetId="27">#REF!</definedName>
    <definedName name="Location7_HC" localSheetId="28">#REF!</definedName>
    <definedName name="Location7_HC" localSheetId="31">#REF!</definedName>
    <definedName name="Location7_HC" localSheetId="29">#REF!</definedName>
    <definedName name="Location7_HC" localSheetId="11">#REF!</definedName>
    <definedName name="Location7_HC" localSheetId="40">#REF!</definedName>
    <definedName name="Location7_HC">#REF!</definedName>
    <definedName name="Location7_Salary" localSheetId="19">#REF!</definedName>
    <definedName name="Location7_Salary" localSheetId="23">#REF!</definedName>
    <definedName name="Location7_Salary" localSheetId="20">#REF!</definedName>
    <definedName name="Location7_Salary" localSheetId="22">#REF!</definedName>
    <definedName name="Location7_Salary" localSheetId="24">#REF!</definedName>
    <definedName name="Location7_Salary" localSheetId="21">#REF!</definedName>
    <definedName name="Location7_Salary" localSheetId="13">#REF!</definedName>
    <definedName name="Location7_Salary" localSheetId="17">#REF!</definedName>
    <definedName name="Location7_Salary" localSheetId="14">#REF!</definedName>
    <definedName name="Location7_Salary" localSheetId="16">#REF!</definedName>
    <definedName name="Location7_Salary" localSheetId="15">#REF!</definedName>
    <definedName name="Location7_Salary" localSheetId="18">#REF!</definedName>
    <definedName name="Location7_Salary" localSheetId="12">#REF!</definedName>
    <definedName name="Location7_Salary" localSheetId="26">#REF!</definedName>
    <definedName name="Location7_Salary" localSheetId="25">#REF!</definedName>
    <definedName name="Location7_Salary" localSheetId="30">#REF!</definedName>
    <definedName name="Location7_Salary" localSheetId="27">#REF!</definedName>
    <definedName name="Location7_Salary" localSheetId="28">#REF!</definedName>
    <definedName name="Location7_Salary" localSheetId="31">#REF!</definedName>
    <definedName name="Location7_Salary" localSheetId="29">#REF!</definedName>
    <definedName name="Location7_Salary" localSheetId="11">#REF!</definedName>
    <definedName name="Location7_Salary" localSheetId="40">#REF!</definedName>
    <definedName name="Location7_Salary">#REF!</definedName>
    <definedName name="Location8_HC" localSheetId="19">#REF!</definedName>
    <definedName name="Location8_HC" localSheetId="23">#REF!</definedName>
    <definedName name="Location8_HC" localSheetId="20">#REF!</definedName>
    <definedName name="Location8_HC" localSheetId="22">#REF!</definedName>
    <definedName name="Location8_HC" localSheetId="24">#REF!</definedName>
    <definedName name="Location8_HC" localSheetId="21">#REF!</definedName>
    <definedName name="Location8_HC" localSheetId="13">#REF!</definedName>
    <definedName name="Location8_HC" localSheetId="17">#REF!</definedName>
    <definedName name="Location8_HC" localSheetId="14">#REF!</definedName>
    <definedName name="Location8_HC" localSheetId="16">#REF!</definedName>
    <definedName name="Location8_HC" localSheetId="15">#REF!</definedName>
    <definedName name="Location8_HC" localSheetId="18">#REF!</definedName>
    <definedName name="Location8_HC" localSheetId="12">#REF!</definedName>
    <definedName name="Location8_HC" localSheetId="26">#REF!</definedName>
    <definedName name="Location8_HC" localSheetId="25">#REF!</definedName>
    <definedName name="Location8_HC" localSheetId="30">#REF!</definedName>
    <definedName name="Location8_HC" localSheetId="27">#REF!</definedName>
    <definedName name="Location8_HC" localSheetId="28">#REF!</definedName>
    <definedName name="Location8_HC" localSheetId="31">#REF!</definedName>
    <definedName name="Location8_HC" localSheetId="29">#REF!</definedName>
    <definedName name="Location8_HC" localSheetId="11">#REF!</definedName>
    <definedName name="Location8_HC" localSheetId="40">#REF!</definedName>
    <definedName name="Location8_HC">#REF!</definedName>
    <definedName name="Location8_Salary" localSheetId="19">#REF!</definedName>
    <definedName name="Location8_Salary" localSheetId="23">#REF!</definedName>
    <definedName name="Location8_Salary" localSheetId="20">#REF!</definedName>
    <definedName name="Location8_Salary" localSheetId="22">#REF!</definedName>
    <definedName name="Location8_Salary" localSheetId="24">#REF!</definedName>
    <definedName name="Location8_Salary" localSheetId="21">#REF!</definedName>
    <definedName name="Location8_Salary" localSheetId="13">#REF!</definedName>
    <definedName name="Location8_Salary" localSheetId="17">#REF!</definedName>
    <definedName name="Location8_Salary" localSheetId="14">#REF!</definedName>
    <definedName name="Location8_Salary" localSheetId="16">#REF!</definedName>
    <definedName name="Location8_Salary" localSheetId="15">#REF!</definedName>
    <definedName name="Location8_Salary" localSheetId="18">#REF!</definedName>
    <definedName name="Location8_Salary" localSheetId="12">#REF!</definedName>
    <definedName name="Location8_Salary" localSheetId="26">#REF!</definedName>
    <definedName name="Location8_Salary" localSheetId="25">#REF!</definedName>
    <definedName name="Location8_Salary" localSheetId="30">#REF!</definedName>
    <definedName name="Location8_Salary" localSheetId="27">#REF!</definedName>
    <definedName name="Location8_Salary" localSheetId="28">#REF!</definedName>
    <definedName name="Location8_Salary" localSheetId="31">#REF!</definedName>
    <definedName name="Location8_Salary" localSheetId="29">#REF!</definedName>
    <definedName name="Location8_Salary" localSheetId="11">#REF!</definedName>
    <definedName name="Location8_Salary" localSheetId="40">#REF!</definedName>
    <definedName name="Location8_Salary">#REF!</definedName>
    <definedName name="Locations_1" localSheetId="19">#REF!</definedName>
    <definedName name="Locations_1" localSheetId="23">#REF!</definedName>
    <definedName name="Locations_1" localSheetId="20">#REF!</definedName>
    <definedName name="Locations_1" localSheetId="22">#REF!</definedName>
    <definedName name="Locations_1" localSheetId="24">#REF!</definedName>
    <definedName name="Locations_1" localSheetId="21">#REF!</definedName>
    <definedName name="Locations_1" localSheetId="13">#REF!</definedName>
    <definedName name="Locations_1" localSheetId="17">#REF!</definedName>
    <definedName name="Locations_1" localSheetId="14">#REF!</definedName>
    <definedName name="Locations_1" localSheetId="16">#REF!</definedName>
    <definedName name="Locations_1" localSheetId="15">#REF!</definedName>
    <definedName name="Locations_1" localSheetId="18">#REF!</definedName>
    <definedName name="Locations_1" localSheetId="12">#REF!</definedName>
    <definedName name="Locations_1" localSheetId="26">#REF!</definedName>
    <definedName name="Locations_1" localSheetId="25">#REF!</definedName>
    <definedName name="Locations_1" localSheetId="30">#REF!</definedName>
    <definedName name="Locations_1" localSheetId="27">#REF!</definedName>
    <definedName name="Locations_1" localSheetId="28">#REF!</definedName>
    <definedName name="Locations_1" localSheetId="31">#REF!</definedName>
    <definedName name="Locations_1" localSheetId="29">#REF!</definedName>
    <definedName name="Locations_1" localSheetId="11">#REF!</definedName>
    <definedName name="Locations_1" localSheetId="38">#REF!</definedName>
    <definedName name="Locations_1" localSheetId="40">#REF!</definedName>
    <definedName name="Locations_1" localSheetId="34">#REF!</definedName>
    <definedName name="Locations_1" localSheetId="33">#REF!</definedName>
    <definedName name="Locations_1">#REF!</definedName>
    <definedName name="LookupCell">'[15]DATA GPC'!$AJ$2</definedName>
    <definedName name="LY.R" localSheetId="19">[26]封面!$G$38</definedName>
    <definedName name="LY.R" localSheetId="23">[26]封面!$G$38</definedName>
    <definedName name="LY.R" localSheetId="20">[26]封面!$G$38</definedName>
    <definedName name="LY.R" localSheetId="22">[26]封面!$G$38</definedName>
    <definedName name="LY.R" localSheetId="24">[26]封面!$G$38</definedName>
    <definedName name="LY.R" localSheetId="21">[26]封面!$G$38</definedName>
    <definedName name="LY.R" localSheetId="13">[26]封面!$G$38</definedName>
    <definedName name="LY.R" localSheetId="17">[26]封面!$G$38</definedName>
    <definedName name="LY.R" localSheetId="14">[26]封面!$G$38</definedName>
    <definedName name="LY.R" localSheetId="16">[26]封面!$G$38</definedName>
    <definedName name="LY.R" localSheetId="15">[26]封面!$G$38</definedName>
    <definedName name="LY.R" localSheetId="18">[26]封面!$G$38</definedName>
    <definedName name="LY.R" localSheetId="12">[26]封面!$G$38</definedName>
    <definedName name="LY.R" localSheetId="26">[26]封面!$G$38</definedName>
    <definedName name="LY.R" localSheetId="25">[26]封面!$G$38</definedName>
    <definedName name="LY.R" localSheetId="30">[26]封面!$G$38</definedName>
    <definedName name="LY.R" localSheetId="27">[26]封面!$G$38</definedName>
    <definedName name="LY.R" localSheetId="28">[26]封面!$G$38</definedName>
    <definedName name="LY.R" localSheetId="31">[26]封面!$G$38</definedName>
    <definedName name="LY.R" localSheetId="29">[26]封面!$G$38</definedName>
    <definedName name="LY.R" localSheetId="11">[26]封面!$G$38</definedName>
    <definedName name="LY.R" localSheetId="40">[27]封面!$G$38</definedName>
    <definedName name="LY.R">[27]封面!$G$38</definedName>
    <definedName name="m" hidden="1">#N/A</definedName>
    <definedName name="Management_Days" localSheetId="19">#REF!</definedName>
    <definedName name="Management_Days" localSheetId="23">#REF!</definedName>
    <definedName name="Management_Days" localSheetId="20">#REF!</definedName>
    <definedName name="Management_Days" localSheetId="22">#REF!</definedName>
    <definedName name="Management_Days" localSheetId="24">#REF!</definedName>
    <definedName name="Management_Days" localSheetId="21">#REF!</definedName>
    <definedName name="Management_Days" localSheetId="13">#REF!</definedName>
    <definedName name="Management_Days" localSheetId="17">#REF!</definedName>
    <definedName name="Management_Days" localSheetId="14">#REF!</definedName>
    <definedName name="Management_Days" localSheetId="16">#REF!</definedName>
    <definedName name="Management_Days" localSheetId="15">#REF!</definedName>
    <definedName name="Management_Days" localSheetId="18">#REF!</definedName>
    <definedName name="Management_Days" localSheetId="12">#REF!</definedName>
    <definedName name="Management_Days" localSheetId="26">#REF!</definedName>
    <definedName name="Management_Days" localSheetId="25">#REF!</definedName>
    <definedName name="Management_Days" localSheetId="30">#REF!</definedName>
    <definedName name="Management_Days" localSheetId="27">#REF!</definedName>
    <definedName name="Management_Days" localSheetId="28">#REF!</definedName>
    <definedName name="Management_Days" localSheetId="31">#REF!</definedName>
    <definedName name="Management_Days" localSheetId="29">#REF!</definedName>
    <definedName name="Management_Days" localSheetId="11">#REF!</definedName>
    <definedName name="Management_Days" localSheetId="37">#REF!</definedName>
    <definedName name="Management_Days" localSheetId="39">#REF!</definedName>
    <definedName name="Management_Days" localSheetId="38">'Other Exp'!#REF!</definedName>
    <definedName name="Management_Days" localSheetId="40">#REF!</definedName>
    <definedName name="Management_Days" localSheetId="34">'Prof. Fee'!#REF!</definedName>
    <definedName name="Management_Days" localSheetId="33">'T&amp;E'!#REF!</definedName>
    <definedName name="Management_Days">#REF!</definedName>
    <definedName name="MasterCheck">'[15]Error Check'!$E$8</definedName>
    <definedName name="MasterFile">[15]Settings!$I$38</definedName>
    <definedName name="MasterState">[15]Settings!$I$37</definedName>
    <definedName name="Mgmt_EV_Base" localSheetId="19">[51]EV!$J$76</definedName>
    <definedName name="Mgmt_EV_Base" localSheetId="23">[51]EV!$J$76</definedName>
    <definedName name="Mgmt_EV_Base" localSheetId="20">[51]EV!$J$76</definedName>
    <definedName name="Mgmt_EV_Base" localSheetId="22">[51]EV!$J$76</definedName>
    <definedName name="Mgmt_EV_Base" localSheetId="24">[51]EV!$J$76</definedName>
    <definedName name="Mgmt_EV_Base" localSheetId="21">[51]EV!$J$76</definedName>
    <definedName name="Mgmt_EV_Base" localSheetId="13">[51]EV!$J$76</definedName>
    <definedName name="Mgmt_EV_Base" localSheetId="17">[51]EV!$J$76</definedName>
    <definedName name="Mgmt_EV_Base" localSheetId="14">[51]EV!$J$76</definedName>
    <definedName name="Mgmt_EV_Base" localSheetId="16">[51]EV!$J$76</definedName>
    <definedName name="Mgmt_EV_Base" localSheetId="15">[51]EV!$J$76</definedName>
    <definedName name="Mgmt_EV_Base" localSheetId="18">[51]EV!$J$76</definedName>
    <definedName name="Mgmt_EV_Base" localSheetId="12">[51]EV!$J$76</definedName>
    <definedName name="Mgmt_EV_Base" localSheetId="11">[51]EV!$J$76</definedName>
    <definedName name="Mgmt_EV_Base" localSheetId="40">[52]EV!$J$76</definedName>
    <definedName name="Mgmt_EV_Base">[52]EV!$J$76</definedName>
    <definedName name="Mgmt_EV_Synergized" localSheetId="19">[51]EV!$J$45</definedName>
    <definedName name="Mgmt_EV_Synergized" localSheetId="23">[51]EV!$J$45</definedName>
    <definedName name="Mgmt_EV_Synergized" localSheetId="20">[51]EV!$J$45</definedName>
    <definedName name="Mgmt_EV_Synergized" localSheetId="22">[51]EV!$J$45</definedName>
    <definedName name="Mgmt_EV_Synergized" localSheetId="24">[51]EV!$J$45</definedName>
    <definedName name="Mgmt_EV_Synergized" localSheetId="21">[51]EV!$J$45</definedName>
    <definedName name="Mgmt_EV_Synergized" localSheetId="13">[51]EV!$J$45</definedName>
    <definedName name="Mgmt_EV_Synergized" localSheetId="17">[51]EV!$J$45</definedName>
    <definedName name="Mgmt_EV_Synergized" localSheetId="14">[51]EV!$J$45</definedName>
    <definedName name="Mgmt_EV_Synergized" localSheetId="16">[51]EV!$J$45</definedName>
    <definedName name="Mgmt_EV_Synergized" localSheetId="15">[51]EV!$J$45</definedName>
    <definedName name="Mgmt_EV_Synergized" localSheetId="18">[51]EV!$J$45</definedName>
    <definedName name="Mgmt_EV_Synergized" localSheetId="12">[51]EV!$J$45</definedName>
    <definedName name="Mgmt_EV_Synergized" localSheetId="11">[51]EV!$J$45</definedName>
    <definedName name="Mgmt_EV_Synergized" localSheetId="40">[52]EV!$J$45</definedName>
    <definedName name="Mgmt_EV_Synergized">[52]EV!$J$45</definedName>
    <definedName name="misc" localSheetId="26">#REF!</definedName>
    <definedName name="misc" localSheetId="25">#REF!</definedName>
    <definedName name="misc" localSheetId="30">#REF!</definedName>
    <definedName name="misc" localSheetId="27">#REF!</definedName>
    <definedName name="misc" localSheetId="28">#REF!</definedName>
    <definedName name="misc" localSheetId="31">#REF!</definedName>
    <definedName name="misc" localSheetId="29">#REF!</definedName>
    <definedName name="misc" localSheetId="40">#REF!</definedName>
    <definedName name="misc">#REF!</definedName>
    <definedName name="Mon_list" localSheetId="19">[53]Paramter!$A$3:$A$26</definedName>
    <definedName name="Mon_list" localSheetId="23">[53]Paramter!$A$3:$A$26</definedName>
    <definedName name="Mon_list" localSheetId="20">[53]Paramter!$A$3:$A$26</definedName>
    <definedName name="Mon_list" localSheetId="22">[53]Paramter!$A$3:$A$26</definedName>
    <definedName name="Mon_list" localSheetId="24">[53]Paramter!$A$3:$A$26</definedName>
    <definedName name="Mon_list" localSheetId="21">[53]Paramter!$A$3:$A$26</definedName>
    <definedName name="Mon_list" localSheetId="13">[53]Paramter!$A$3:$A$26</definedName>
    <definedName name="Mon_list" localSheetId="17">[53]Paramter!$A$3:$A$26</definedName>
    <definedName name="Mon_list" localSheetId="14">[53]Paramter!$A$3:$A$26</definedName>
    <definedName name="Mon_list" localSheetId="16">[53]Paramter!$A$3:$A$26</definedName>
    <definedName name="Mon_list" localSheetId="15">[53]Paramter!$A$3:$A$26</definedName>
    <definedName name="Mon_list" localSheetId="18">[53]Paramter!$A$3:$A$26</definedName>
    <definedName name="Mon_list" localSheetId="12">[53]Paramter!$A$3:$A$26</definedName>
    <definedName name="Mon_list" localSheetId="26">[53]Paramter!$A$3:$A$26</definedName>
    <definedName name="Mon_list" localSheetId="25">[53]Paramter!$A$3:$A$26</definedName>
    <definedName name="Mon_list" localSheetId="30">[53]Paramter!$A$3:$A$26</definedName>
    <definedName name="Mon_list" localSheetId="27">[53]Paramter!$A$3:$A$26</definedName>
    <definedName name="Mon_list" localSheetId="28">[53]Paramter!$A$3:$A$26</definedName>
    <definedName name="Mon_list" localSheetId="31">[53]Paramter!$A$3:$A$26</definedName>
    <definedName name="Mon_list" localSheetId="29">[53]Paramter!$A$3:$A$26</definedName>
    <definedName name="Mon_list" localSheetId="11">[53]Paramter!$A$3:$A$26</definedName>
    <definedName name="Mon_list" localSheetId="40">[54]Paramter!$A$3:$A$26</definedName>
    <definedName name="Mon_list">[54]Paramter!$A$3:$A$26</definedName>
    <definedName name="Monlist" localSheetId="19">[55]Paramter!$A$3:$A$14</definedName>
    <definedName name="Monlist" localSheetId="23">[55]Paramter!$A$3:$A$14</definedName>
    <definedName name="Monlist" localSheetId="20">[55]Paramter!$A$3:$A$14</definedName>
    <definedName name="Monlist" localSheetId="22">[55]Paramter!$A$3:$A$14</definedName>
    <definedName name="Monlist" localSheetId="24">[55]Paramter!$A$3:$A$14</definedName>
    <definedName name="Monlist" localSheetId="21">[55]Paramter!$A$3:$A$14</definedName>
    <definedName name="Monlist" localSheetId="13">[55]Paramter!$A$3:$A$14</definedName>
    <definedName name="Monlist" localSheetId="17">[55]Paramter!$A$3:$A$14</definedName>
    <definedName name="Monlist" localSheetId="14">[55]Paramter!$A$3:$A$14</definedName>
    <definedName name="Monlist" localSheetId="16">[55]Paramter!$A$3:$A$14</definedName>
    <definedName name="Monlist" localSheetId="15">[55]Paramter!$A$3:$A$14</definedName>
    <definedName name="Monlist" localSheetId="18">[55]Paramter!$A$3:$A$14</definedName>
    <definedName name="Monlist" localSheetId="12">[55]Paramter!$A$3:$A$14</definedName>
    <definedName name="Monlist" localSheetId="26">[55]Paramter!$A$3:$A$14</definedName>
    <definedName name="Monlist" localSheetId="25">[55]Paramter!$A$3:$A$14</definedName>
    <definedName name="Monlist" localSheetId="30">[55]Paramter!$A$3:$A$14</definedName>
    <definedName name="Monlist" localSheetId="27">[55]Paramter!$A$3:$A$14</definedName>
    <definedName name="Monlist" localSheetId="28">[55]Paramter!$A$3:$A$14</definedName>
    <definedName name="Monlist" localSheetId="31">[55]Paramter!$A$3:$A$14</definedName>
    <definedName name="Monlist" localSheetId="29">[55]Paramter!$A$3:$A$14</definedName>
    <definedName name="Monlist" localSheetId="11">[55]Paramter!$A$3:$A$14</definedName>
    <definedName name="Monlist" localSheetId="40">[56]Paramter!$A$3:$A$14</definedName>
    <definedName name="Monlist">[56]Paramter!$A$3:$A$14</definedName>
    <definedName name="month">[32]Assum!$Q$600</definedName>
    <definedName name="monthlist" localSheetId="19">[57]Paramter!$A$3:$A$14</definedName>
    <definedName name="monthlist" localSheetId="23">[57]Paramter!$A$3:$A$14</definedName>
    <definedName name="monthlist" localSheetId="20">[57]Paramter!$A$3:$A$14</definedName>
    <definedName name="monthlist" localSheetId="22">[57]Paramter!$A$3:$A$14</definedName>
    <definedName name="monthlist" localSheetId="24">[57]Paramter!$A$3:$A$14</definedName>
    <definedName name="monthlist" localSheetId="21">[57]Paramter!$A$3:$A$14</definedName>
    <definedName name="monthlist" localSheetId="13">[57]Paramter!$A$3:$A$14</definedName>
    <definedName name="monthlist" localSheetId="17">[57]Paramter!$A$3:$A$14</definedName>
    <definedName name="monthlist" localSheetId="14">[57]Paramter!$A$3:$A$14</definedName>
    <definedName name="monthlist" localSheetId="16">[57]Paramter!$A$3:$A$14</definedName>
    <definedName name="monthlist" localSheetId="15">[57]Paramter!$A$3:$A$14</definedName>
    <definedName name="monthlist" localSheetId="18">[57]Paramter!$A$3:$A$14</definedName>
    <definedName name="monthlist" localSheetId="12">[57]Paramter!$A$3:$A$14</definedName>
    <definedName name="monthlist" localSheetId="26">[57]Paramter!$A$3:$A$14</definedName>
    <definedName name="monthlist" localSheetId="25">[57]Paramter!$A$3:$A$14</definedName>
    <definedName name="monthlist" localSheetId="30">[57]Paramter!$A$3:$A$14</definedName>
    <definedName name="monthlist" localSheetId="27">[57]Paramter!$A$3:$A$14</definedName>
    <definedName name="monthlist" localSheetId="28">[57]Paramter!$A$3:$A$14</definedName>
    <definedName name="monthlist" localSheetId="31">[57]Paramter!$A$3:$A$14</definedName>
    <definedName name="monthlist" localSheetId="29">[57]Paramter!$A$3:$A$14</definedName>
    <definedName name="monthlist" localSheetId="11">[57]Paramter!$A$3:$A$14</definedName>
    <definedName name="monthlist" localSheetId="40">#REF!</definedName>
    <definedName name="monthlist">#REF!</definedName>
    <definedName name="MonthPQ" localSheetId="19">'[48]假设 Inputs'!$M$688</definedName>
    <definedName name="MonthPQ" localSheetId="23">'[48]假设 Inputs'!$M$688</definedName>
    <definedName name="MonthPQ" localSheetId="20">'[48]假设 Inputs'!$M$688</definedName>
    <definedName name="MonthPQ" localSheetId="22">'[48]假设 Inputs'!$M$688</definedName>
    <definedName name="MonthPQ" localSheetId="24">'[48]假设 Inputs'!$M$688</definedName>
    <definedName name="MonthPQ" localSheetId="21">'[48]假设 Inputs'!$M$688</definedName>
    <definedName name="MonthPQ" localSheetId="13">'[48]假设 Inputs'!$M$688</definedName>
    <definedName name="MonthPQ" localSheetId="17">'[48]假设 Inputs'!$M$688</definedName>
    <definedName name="MonthPQ" localSheetId="14">'[48]假设 Inputs'!$M$688</definedName>
    <definedName name="MonthPQ" localSheetId="16">'[48]假设 Inputs'!$M$688</definedName>
    <definedName name="MonthPQ" localSheetId="15">'[48]假设 Inputs'!$M$688</definedName>
    <definedName name="MonthPQ" localSheetId="18">'[48]假设 Inputs'!$M$688</definedName>
    <definedName name="MonthPQ" localSheetId="12">'[48]假设 Inputs'!$M$688</definedName>
    <definedName name="MonthPQ" localSheetId="26">'[48]假设 Inputs'!$M$688</definedName>
    <definedName name="MonthPQ" localSheetId="25">'[48]假设 Inputs'!$M$688</definedName>
    <definedName name="MonthPQ" localSheetId="30">'[48]假设 Inputs'!$M$688</definedName>
    <definedName name="MonthPQ" localSheetId="27">'[48]假设 Inputs'!$M$688</definedName>
    <definedName name="MonthPQ" localSheetId="28">'[48]假设 Inputs'!$M$688</definedName>
    <definedName name="MonthPQ" localSheetId="31">'[48]假设 Inputs'!$M$688</definedName>
    <definedName name="MonthPQ" localSheetId="29">'[48]假设 Inputs'!$M$688</definedName>
    <definedName name="MonthPQ" localSheetId="11">'[48]假设 Inputs'!$M$688</definedName>
    <definedName name="MonthPQ" localSheetId="36">'[48]假设 Inputs'!$M$688</definedName>
    <definedName name="MonthPQ">'[17]假设 Inputs'!$M$688</definedName>
    <definedName name="MonthsInStub">[15]START!$G$35</definedName>
    <definedName name="MyCountry">[15]Settings!$I$61</definedName>
    <definedName name="MyIndexIDs">[15]Reference!$E$176:$E$315</definedName>
    <definedName name="MyIndexRow">[15]Reference!$G$173</definedName>
    <definedName name="myRange1" localSheetId="19">#REF!</definedName>
    <definedName name="myRange1" localSheetId="23">#REF!</definedName>
    <definedName name="myRange1" localSheetId="20">#REF!</definedName>
    <definedName name="myRange1" localSheetId="22">#REF!</definedName>
    <definedName name="myRange1" localSheetId="24">#REF!</definedName>
    <definedName name="myRange1" localSheetId="21">#REF!</definedName>
    <definedName name="myRange1" localSheetId="13">#REF!</definedName>
    <definedName name="myRange1" localSheetId="17">#REF!</definedName>
    <definedName name="myRange1" localSheetId="14">#REF!</definedName>
    <definedName name="myRange1" localSheetId="16">#REF!</definedName>
    <definedName name="myRange1" localSheetId="15">#REF!</definedName>
    <definedName name="myRange1" localSheetId="18">#REF!</definedName>
    <definedName name="myRange1" localSheetId="12">#REF!</definedName>
    <definedName name="myRange1" localSheetId="26">#REF!</definedName>
    <definedName name="myRange1" localSheetId="25">#REF!</definedName>
    <definedName name="myRange1" localSheetId="30">#REF!</definedName>
    <definedName name="myRange1" localSheetId="27">#REF!</definedName>
    <definedName name="myRange1" localSheetId="28">#REF!</definedName>
    <definedName name="myRange1" localSheetId="31">#REF!</definedName>
    <definedName name="myRange1" localSheetId="29">#REF!</definedName>
    <definedName name="myRange1" localSheetId="11">#REF!</definedName>
    <definedName name="myRange1" localSheetId="40">#REF!</definedName>
    <definedName name="myRange1">#REF!</definedName>
    <definedName name="MyRateGroupNames">[15]Reference!$L$176:$L$315</definedName>
    <definedName name="MySubArea">[15]Settings!$I$60</definedName>
    <definedName name="Name" localSheetId="19">#REF!</definedName>
    <definedName name="Name" localSheetId="23">#REF!</definedName>
    <definedName name="Name" localSheetId="20">#REF!</definedName>
    <definedName name="Name" localSheetId="22">#REF!</definedName>
    <definedName name="Name" localSheetId="24">#REF!</definedName>
    <definedName name="Name" localSheetId="21">#REF!</definedName>
    <definedName name="Name" localSheetId="13">#REF!</definedName>
    <definedName name="Name" localSheetId="17">#REF!</definedName>
    <definedName name="Name" localSheetId="14">#REF!</definedName>
    <definedName name="Name" localSheetId="16">#REF!</definedName>
    <definedName name="Name" localSheetId="15">#REF!</definedName>
    <definedName name="Name" localSheetId="18">#REF!</definedName>
    <definedName name="Name" localSheetId="12">#REF!</definedName>
    <definedName name="Name" localSheetId="26">#REF!</definedName>
    <definedName name="Name" localSheetId="25">#REF!</definedName>
    <definedName name="Name" localSheetId="30">#REF!</definedName>
    <definedName name="Name" localSheetId="27">#REF!</definedName>
    <definedName name="Name" localSheetId="28">#REF!</definedName>
    <definedName name="Name" localSheetId="31">#REF!</definedName>
    <definedName name="Name" localSheetId="29">#REF!</definedName>
    <definedName name="Name" localSheetId="11">#REF!</definedName>
    <definedName name="Name" localSheetId="37">#REF!</definedName>
    <definedName name="Name" localSheetId="40">#REF!</definedName>
    <definedName name="Name" localSheetId="32">#REF!</definedName>
    <definedName name="Name" localSheetId="5">#REF!</definedName>
    <definedName name="Name" localSheetId="6">#REF!</definedName>
    <definedName name="Name">#REF!</definedName>
    <definedName name="NameVersion">[15]Settings!$B$2</definedName>
    <definedName name="Negative">-1</definedName>
    <definedName name="new_salary" localSheetId="26">#REF!</definedName>
    <definedName name="new_salary" localSheetId="25">#REF!</definedName>
    <definedName name="new_salary" localSheetId="30">#REF!</definedName>
    <definedName name="new_salary" localSheetId="27">#REF!</definedName>
    <definedName name="new_salary" localSheetId="28">#REF!</definedName>
    <definedName name="new_salary" localSheetId="31">#REF!</definedName>
    <definedName name="new_salary" localSheetId="29">#REF!</definedName>
    <definedName name="new_salary" localSheetId="37">#REF!</definedName>
    <definedName name="new_salary" localSheetId="40">#REF!</definedName>
    <definedName name="new_salary" localSheetId="32">#REF!</definedName>
    <definedName name="new_salary" localSheetId="5">#REF!</definedName>
    <definedName name="new_salary" localSheetId="6">#REF!</definedName>
    <definedName name="new_salary">#REF!</definedName>
    <definedName name="New_Zealand" localSheetId="19">#REF!</definedName>
    <definedName name="New_Zealand" localSheetId="23">#REF!</definedName>
    <definedName name="New_Zealand" localSheetId="20">#REF!</definedName>
    <definedName name="New_Zealand" localSheetId="22">#REF!</definedName>
    <definedName name="New_Zealand" localSheetId="24">#REF!</definedName>
    <definedName name="New_Zealand" localSheetId="21">#REF!</definedName>
    <definedName name="New_Zealand" localSheetId="13">#REF!</definedName>
    <definedName name="New_Zealand" localSheetId="17">#REF!</definedName>
    <definedName name="New_Zealand" localSheetId="14">#REF!</definedName>
    <definedName name="New_Zealand" localSheetId="16">#REF!</definedName>
    <definedName name="New_Zealand" localSheetId="15">#REF!</definedName>
    <definedName name="New_Zealand" localSheetId="18">#REF!</definedName>
    <definedName name="New_Zealand" localSheetId="12">#REF!</definedName>
    <definedName name="New_Zealand" localSheetId="26">#REF!</definedName>
    <definedName name="New_Zealand" localSheetId="25">#REF!</definedName>
    <definedName name="New_Zealand" localSheetId="30">#REF!</definedName>
    <definedName name="New_Zealand" localSheetId="27">#REF!</definedName>
    <definedName name="New_Zealand" localSheetId="28">#REF!</definedName>
    <definedName name="New_Zealand" localSheetId="31">#REF!</definedName>
    <definedName name="New_Zealand" localSheetId="29">#REF!</definedName>
    <definedName name="New_Zealand" localSheetId="11">#REF!</definedName>
    <definedName name="New_Zealand" localSheetId="38">#REF!</definedName>
    <definedName name="New_Zealand" localSheetId="40">#REF!</definedName>
    <definedName name="New_Zealand" localSheetId="34">#REF!</definedName>
    <definedName name="New_Zealand" localSheetId="33">#REF!</definedName>
    <definedName name="New_Zealand">#REF!</definedName>
    <definedName name="No._bench__d" localSheetId="19">#REF!</definedName>
    <definedName name="No._bench__d" localSheetId="23">#REF!</definedName>
    <definedName name="No._bench__d" localSheetId="20">#REF!</definedName>
    <definedName name="No._bench__d" localSheetId="22">#REF!</definedName>
    <definedName name="No._bench__d" localSheetId="24">#REF!</definedName>
    <definedName name="No._bench__d" localSheetId="21">#REF!</definedName>
    <definedName name="No._bench__d" localSheetId="13">#REF!</definedName>
    <definedName name="No._bench__d" localSheetId="17">#REF!</definedName>
    <definedName name="No._bench__d" localSheetId="14">#REF!</definedName>
    <definedName name="No._bench__d" localSheetId="16">#REF!</definedName>
    <definedName name="No._bench__d" localSheetId="15">#REF!</definedName>
    <definedName name="No._bench__d" localSheetId="18">#REF!</definedName>
    <definedName name="No._bench__d" localSheetId="12">#REF!</definedName>
    <definedName name="No._bench__d" localSheetId="26">#REF!</definedName>
    <definedName name="No._bench__d" localSheetId="25">#REF!</definedName>
    <definedName name="No._bench__d" localSheetId="30">#REF!</definedName>
    <definedName name="No._bench__d" localSheetId="27">#REF!</definedName>
    <definedName name="No._bench__d" localSheetId="28">#REF!</definedName>
    <definedName name="No._bench__d" localSheetId="31">#REF!</definedName>
    <definedName name="No._bench__d" localSheetId="29">#REF!</definedName>
    <definedName name="No._bench__d" localSheetId="11">#REF!</definedName>
    <definedName name="No._bench__d" localSheetId="37">#REF!</definedName>
    <definedName name="No._bench__d" localSheetId="39">#REF!</definedName>
    <definedName name="No._bench__d" localSheetId="38">'Other Exp'!#REF!</definedName>
    <definedName name="No._bench__d" localSheetId="40">#REF!</definedName>
    <definedName name="No._bench__d" localSheetId="34">'Prof. Fee'!#REF!</definedName>
    <definedName name="No._bench__d" localSheetId="33">'T&amp;E'!#REF!</definedName>
    <definedName name="No._bench__d">#REF!</definedName>
    <definedName name="No._other_absence__d" localSheetId="19">#REF!</definedName>
    <definedName name="No._other_absence__d" localSheetId="23">#REF!</definedName>
    <definedName name="No._other_absence__d" localSheetId="20">#REF!</definedName>
    <definedName name="No._other_absence__d" localSheetId="22">#REF!</definedName>
    <definedName name="No._other_absence__d" localSheetId="24">#REF!</definedName>
    <definedName name="No._other_absence__d" localSheetId="21">#REF!</definedName>
    <definedName name="No._other_absence__d" localSheetId="13">#REF!</definedName>
    <definedName name="No._other_absence__d" localSheetId="17">#REF!</definedName>
    <definedName name="No._other_absence__d" localSheetId="14">#REF!</definedName>
    <definedName name="No._other_absence__d" localSheetId="16">#REF!</definedName>
    <definedName name="No._other_absence__d" localSheetId="15">#REF!</definedName>
    <definedName name="No._other_absence__d" localSheetId="18">#REF!</definedName>
    <definedName name="No._other_absence__d" localSheetId="12">#REF!</definedName>
    <definedName name="No._other_absence__d" localSheetId="26">#REF!</definedName>
    <definedName name="No._other_absence__d" localSheetId="25">#REF!</definedName>
    <definedName name="No._other_absence__d" localSheetId="30">#REF!</definedName>
    <definedName name="No._other_absence__d" localSheetId="27">#REF!</definedName>
    <definedName name="No._other_absence__d" localSheetId="28">#REF!</definedName>
    <definedName name="No._other_absence__d" localSheetId="31">#REF!</definedName>
    <definedName name="No._other_absence__d" localSheetId="29">#REF!</definedName>
    <definedName name="No._other_absence__d" localSheetId="11">#REF!</definedName>
    <definedName name="No._other_absence__d" localSheetId="37">#REF!</definedName>
    <definedName name="No._other_absence__d" localSheetId="39">#REF!</definedName>
    <definedName name="No._other_absence__d" localSheetId="38">'Other Exp'!#REF!</definedName>
    <definedName name="No._other_absence__d" localSheetId="40">#REF!</definedName>
    <definedName name="No._other_absence__d" localSheetId="34">'Prof. Fee'!#REF!</definedName>
    <definedName name="No._other_absence__d" localSheetId="33">'T&amp;E'!#REF!</definedName>
    <definedName name="No._other_absence__d">#REF!</definedName>
    <definedName name="No._overtime__d" localSheetId="19">#REF!</definedName>
    <definedName name="No._overtime__d" localSheetId="23">#REF!</definedName>
    <definedName name="No._overtime__d" localSheetId="20">#REF!</definedName>
    <definedName name="No._overtime__d" localSheetId="22">#REF!</definedName>
    <definedName name="No._overtime__d" localSheetId="24">#REF!</definedName>
    <definedName name="No._overtime__d" localSheetId="21">#REF!</definedName>
    <definedName name="No._overtime__d" localSheetId="13">#REF!</definedName>
    <definedName name="No._overtime__d" localSheetId="17">#REF!</definedName>
    <definedName name="No._overtime__d" localSheetId="14">#REF!</definedName>
    <definedName name="No._overtime__d" localSheetId="16">#REF!</definedName>
    <definedName name="No._overtime__d" localSheetId="15">#REF!</definedName>
    <definedName name="No._overtime__d" localSheetId="18">#REF!</definedName>
    <definedName name="No._overtime__d" localSheetId="12">#REF!</definedName>
    <definedName name="No._overtime__d" localSheetId="26">#REF!</definedName>
    <definedName name="No._overtime__d" localSheetId="25">#REF!</definedName>
    <definedName name="No._overtime__d" localSheetId="30">#REF!</definedName>
    <definedName name="No._overtime__d" localSheetId="27">#REF!</definedName>
    <definedName name="No._overtime__d" localSheetId="28">#REF!</definedName>
    <definedName name="No._overtime__d" localSheetId="31">#REF!</definedName>
    <definedName name="No._overtime__d" localSheetId="29">#REF!</definedName>
    <definedName name="No._overtime__d" localSheetId="11">#REF!</definedName>
    <definedName name="No._overtime__d" localSheetId="37">#REF!</definedName>
    <definedName name="No._overtime__d" localSheetId="39">#REF!</definedName>
    <definedName name="No._overtime__d" localSheetId="38">'Other Exp'!#REF!</definedName>
    <definedName name="No._overtime__d" localSheetId="40">#REF!</definedName>
    <definedName name="No._overtime__d" localSheetId="34">'Prof. Fee'!#REF!</definedName>
    <definedName name="No._overtime__d" localSheetId="33">'T&amp;E'!#REF!</definedName>
    <definedName name="No._overtime__d">#REF!</definedName>
    <definedName name="NOLBenefitFadingGrowth">'[15]NOL Tax Benefit'!$G$79</definedName>
    <definedName name="NOLBenefitGordonGrowth">'[15]NOL Tax Benefit'!$G$37</definedName>
    <definedName name="NoOfPFIYrs">[15]START!$G$28</definedName>
    <definedName name="NSW_HC" localSheetId="19">#REF!</definedName>
    <definedName name="NSW_HC" localSheetId="23">#REF!</definedName>
    <definedName name="NSW_HC" localSheetId="20">#REF!</definedName>
    <definedName name="NSW_HC" localSheetId="22">#REF!</definedName>
    <definedName name="NSW_HC" localSheetId="24">#REF!</definedName>
    <definedName name="NSW_HC" localSheetId="21">#REF!</definedName>
    <definedName name="NSW_HC" localSheetId="13">#REF!</definedName>
    <definedName name="NSW_HC" localSheetId="17">#REF!</definedName>
    <definedName name="NSW_HC" localSheetId="14">#REF!</definedName>
    <definedName name="NSW_HC" localSheetId="16">#REF!</definedName>
    <definedName name="NSW_HC" localSheetId="15">#REF!</definedName>
    <definedName name="NSW_HC" localSheetId="18">#REF!</definedName>
    <definedName name="NSW_HC" localSheetId="12">#REF!</definedName>
    <definedName name="NSW_HC" localSheetId="26">#REF!</definedName>
    <definedName name="NSW_HC" localSheetId="25">#REF!</definedName>
    <definedName name="NSW_HC" localSheetId="30">#REF!</definedName>
    <definedName name="NSW_HC" localSheetId="27">#REF!</definedName>
    <definedName name="NSW_HC" localSheetId="28">#REF!</definedName>
    <definedName name="NSW_HC" localSheetId="31">#REF!</definedName>
    <definedName name="NSW_HC" localSheetId="29">#REF!</definedName>
    <definedName name="NSW_HC" localSheetId="11">#REF!</definedName>
    <definedName name="NSW_HC" localSheetId="37">#REF!</definedName>
    <definedName name="NSW_HC" localSheetId="38">#REF!</definedName>
    <definedName name="NSW_HC" localSheetId="40">#REF!</definedName>
    <definedName name="NSW_HC" localSheetId="34">#REF!</definedName>
    <definedName name="NSW_HC" localSheetId="33">#REF!</definedName>
    <definedName name="NSW_HC">#REF!</definedName>
    <definedName name="NSW_HC_1" localSheetId="19">#REF!</definedName>
    <definedName name="NSW_HC_1" localSheetId="23">#REF!</definedName>
    <definedName name="NSW_HC_1" localSheetId="20">#REF!</definedName>
    <definedName name="NSW_HC_1" localSheetId="22">#REF!</definedName>
    <definedName name="NSW_HC_1" localSheetId="24">#REF!</definedName>
    <definedName name="NSW_HC_1" localSheetId="21">#REF!</definedName>
    <definedName name="NSW_HC_1" localSheetId="13">#REF!</definedName>
    <definedName name="NSW_HC_1" localSheetId="17">#REF!</definedName>
    <definedName name="NSW_HC_1" localSheetId="14">#REF!</definedName>
    <definedName name="NSW_HC_1" localSheetId="16">#REF!</definedName>
    <definedName name="NSW_HC_1" localSheetId="15">#REF!</definedName>
    <definedName name="NSW_HC_1" localSheetId="18">#REF!</definedName>
    <definedName name="NSW_HC_1" localSheetId="12">#REF!</definedName>
    <definedName name="NSW_HC_1" localSheetId="26">#REF!</definedName>
    <definedName name="NSW_HC_1" localSheetId="25">#REF!</definedName>
    <definedName name="NSW_HC_1" localSheetId="30">#REF!</definedName>
    <definedName name="NSW_HC_1" localSheetId="27">#REF!</definedName>
    <definedName name="NSW_HC_1" localSheetId="28">#REF!</definedName>
    <definedName name="NSW_HC_1" localSheetId="31">#REF!</definedName>
    <definedName name="NSW_HC_1" localSheetId="29">#REF!</definedName>
    <definedName name="NSW_HC_1" localSheetId="11">#REF!</definedName>
    <definedName name="NSW_HC_1" localSheetId="40">#REF!</definedName>
    <definedName name="NSW_HC_1">#REF!</definedName>
    <definedName name="NSW_N_HC" localSheetId="19">#REF!</definedName>
    <definedName name="NSW_N_HC" localSheetId="23">#REF!</definedName>
    <definedName name="NSW_N_HC" localSheetId="20">#REF!</definedName>
    <definedName name="NSW_N_HC" localSheetId="22">#REF!</definedName>
    <definedName name="NSW_N_HC" localSheetId="24">#REF!</definedName>
    <definedName name="NSW_N_HC" localSheetId="21">#REF!</definedName>
    <definedName name="NSW_N_HC" localSheetId="13">#REF!</definedName>
    <definedName name="NSW_N_HC" localSheetId="17">#REF!</definedName>
    <definedName name="NSW_N_HC" localSheetId="14">#REF!</definedName>
    <definedName name="NSW_N_HC" localSheetId="16">#REF!</definedName>
    <definedName name="NSW_N_HC" localSheetId="15">#REF!</definedName>
    <definedName name="NSW_N_HC" localSheetId="18">#REF!</definedName>
    <definedName name="NSW_N_HC" localSheetId="12">#REF!</definedName>
    <definedName name="NSW_N_HC" localSheetId="26">#REF!</definedName>
    <definedName name="NSW_N_HC" localSheetId="25">#REF!</definedName>
    <definedName name="NSW_N_HC" localSheetId="30">#REF!</definedName>
    <definedName name="NSW_N_HC" localSheetId="27">#REF!</definedName>
    <definedName name="NSW_N_HC" localSheetId="28">#REF!</definedName>
    <definedName name="NSW_N_HC" localSheetId="31">#REF!</definedName>
    <definedName name="NSW_N_HC" localSheetId="29">#REF!</definedName>
    <definedName name="NSW_N_HC" localSheetId="11">#REF!</definedName>
    <definedName name="NSW_N_HC" localSheetId="38">#REF!</definedName>
    <definedName name="NSW_N_HC" localSheetId="40">#REF!</definedName>
    <definedName name="NSW_N_HC" localSheetId="34">#REF!</definedName>
    <definedName name="NSW_N_HC" localSheetId="33">#REF!</definedName>
    <definedName name="NSW_N_HC">#REF!</definedName>
    <definedName name="NZ_HC" localSheetId="19">#REF!</definedName>
    <definedName name="NZ_HC" localSheetId="23">#REF!</definedName>
    <definedName name="NZ_HC" localSheetId="20">#REF!</definedName>
    <definedName name="NZ_HC" localSheetId="22">#REF!</definedName>
    <definedName name="NZ_HC" localSheetId="24">#REF!</definedName>
    <definedName name="NZ_HC" localSheetId="21">#REF!</definedName>
    <definedName name="NZ_HC" localSheetId="13">#REF!</definedName>
    <definedName name="NZ_HC" localSheetId="17">#REF!</definedName>
    <definedName name="NZ_HC" localSheetId="14">#REF!</definedName>
    <definedName name="NZ_HC" localSheetId="16">#REF!</definedName>
    <definedName name="NZ_HC" localSheetId="15">#REF!</definedName>
    <definedName name="NZ_HC" localSheetId="18">#REF!</definedName>
    <definedName name="NZ_HC" localSheetId="12">#REF!</definedName>
    <definedName name="NZ_HC" localSheetId="26">#REF!</definedName>
    <definedName name="NZ_HC" localSheetId="25">#REF!</definedName>
    <definedName name="NZ_HC" localSheetId="30">#REF!</definedName>
    <definedName name="NZ_HC" localSheetId="27">#REF!</definedName>
    <definedName name="NZ_HC" localSheetId="28">#REF!</definedName>
    <definedName name="NZ_HC" localSheetId="31">#REF!</definedName>
    <definedName name="NZ_HC" localSheetId="29">#REF!</definedName>
    <definedName name="NZ_HC" localSheetId="11">#REF!</definedName>
    <definedName name="NZ_HC" localSheetId="38">#REF!</definedName>
    <definedName name="NZ_HC" localSheetId="40">#REF!</definedName>
    <definedName name="NZ_HC" localSheetId="34">#REF!</definedName>
    <definedName name="NZ_HC" localSheetId="33">#REF!</definedName>
    <definedName name="NZ_HC">#REF!</definedName>
    <definedName name="occupation_rate" localSheetId="19">'[58]Key assumption'!$B$5</definedName>
    <definedName name="occupation_rate" localSheetId="23">'[58]Key assumption'!$B$5</definedName>
    <definedName name="occupation_rate" localSheetId="20">'[58]Key assumption'!$B$5</definedName>
    <definedName name="occupation_rate" localSheetId="22">'[58]Key assumption'!$B$5</definedName>
    <definedName name="occupation_rate" localSheetId="24">'[58]Key assumption'!$B$5</definedName>
    <definedName name="occupation_rate" localSheetId="21">'[58]Key assumption'!$B$5</definedName>
    <definedName name="occupation_rate" localSheetId="13">'[58]Key assumption'!$B$5</definedName>
    <definedName name="occupation_rate" localSheetId="17">'[58]Key assumption'!$B$5</definedName>
    <definedName name="occupation_rate" localSheetId="14">'[58]Key assumption'!$B$5</definedName>
    <definedName name="occupation_rate" localSheetId="16">'[58]Key assumption'!$B$5</definedName>
    <definedName name="occupation_rate" localSheetId="15">'[58]Key assumption'!$B$5</definedName>
    <definedName name="occupation_rate" localSheetId="18">'[58]Key assumption'!$B$5</definedName>
    <definedName name="occupation_rate" localSheetId="12">'[58]Key assumption'!$B$5</definedName>
    <definedName name="occupation_rate" localSheetId="26">'[58]Key assumption'!$B$5</definedName>
    <definedName name="occupation_rate" localSheetId="25">'[58]Key assumption'!$B$5</definedName>
    <definedName name="occupation_rate" localSheetId="30">'[58]Key assumption'!$B$5</definedName>
    <definedName name="occupation_rate" localSheetId="27">'[58]Key assumption'!$B$5</definedName>
    <definedName name="occupation_rate" localSheetId="28">'[58]Key assumption'!$B$5</definedName>
    <definedName name="occupation_rate" localSheetId="31">'[58]Key assumption'!$B$5</definedName>
    <definedName name="occupation_rate" localSheetId="29">'[58]Key assumption'!$B$5</definedName>
    <definedName name="occupation_rate" localSheetId="11">'[58]Key assumption'!$B$5</definedName>
    <definedName name="occupation_rate" localSheetId="40">'[59]Key assumption'!$B$5</definedName>
    <definedName name="occupation_rate">'[59]Key assumption'!$B$5</definedName>
    <definedName name="OK">[15]Settings!$I$134</definedName>
    <definedName name="Opr_end" localSheetId="19">'[16]假设 Inputs'!$M$18</definedName>
    <definedName name="Opr_end" localSheetId="23">'[16]假设 Inputs'!$M$18</definedName>
    <definedName name="Opr_end" localSheetId="20">'[16]假设 Inputs'!$M$18</definedName>
    <definedName name="Opr_end" localSheetId="22">'[16]假设 Inputs'!$M$18</definedName>
    <definedName name="Opr_end" localSheetId="24">'[16]假设 Inputs'!$M$18</definedName>
    <definedName name="Opr_end" localSheetId="21">'[16]假设 Inputs'!$M$18</definedName>
    <definedName name="Opr_end" localSheetId="13">'[16]假设 Inputs'!$M$18</definedName>
    <definedName name="Opr_end" localSheetId="17">'[16]假设 Inputs'!$M$18</definedName>
    <definedName name="Opr_end" localSheetId="14">'[16]假设 Inputs'!$M$18</definedName>
    <definedName name="Opr_end" localSheetId="16">'[16]假设 Inputs'!$M$18</definedName>
    <definedName name="Opr_end" localSheetId="15">'[16]假设 Inputs'!$M$18</definedName>
    <definedName name="Opr_end" localSheetId="18">'[16]假设 Inputs'!$M$18</definedName>
    <definedName name="Opr_end" localSheetId="12">'[16]假设 Inputs'!$M$18</definedName>
    <definedName name="Opr_end" localSheetId="26">'[16]假设 Inputs'!$M$18</definedName>
    <definedName name="Opr_end" localSheetId="25">'[16]假设 Inputs'!$M$18</definedName>
    <definedName name="Opr_end" localSheetId="30">'[16]假设 Inputs'!$M$18</definedName>
    <definedName name="Opr_end" localSheetId="27">'[16]假设 Inputs'!$M$18</definedName>
    <definedName name="Opr_end" localSheetId="28">'[16]假设 Inputs'!$M$18</definedName>
    <definedName name="Opr_end" localSheetId="31">'[16]假设 Inputs'!$M$18</definedName>
    <definedName name="Opr_end" localSheetId="29">'[16]假设 Inputs'!$M$18</definedName>
    <definedName name="Opr_end" localSheetId="11">'[16]假设 Inputs'!$M$18</definedName>
    <definedName name="Opr_end" localSheetId="36">'[16]假设 Inputs'!$M$18</definedName>
    <definedName name="Opr_end">'[17]假设 Inputs'!$M$18</definedName>
    <definedName name="OutputCurrency">'[15]DATA GPC'!$G$15</definedName>
    <definedName name="OutputCurrencyLabel">[15]START!$G$16</definedName>
    <definedName name="p" hidden="1">#N/A</definedName>
    <definedName name="P1A__Civil_structure___Tankage_09" localSheetId="19">'[60]Key Assumption1'!$C$11</definedName>
    <definedName name="P1A__Civil_structure___Tankage_09" localSheetId="23">'[60]Key Assumption1'!$C$11</definedName>
    <definedName name="P1A__Civil_structure___Tankage_09" localSheetId="20">'[60]Key Assumption1'!$C$11</definedName>
    <definedName name="P1A__Civil_structure___Tankage_09" localSheetId="22">'[60]Key Assumption1'!$C$11</definedName>
    <definedName name="P1A__Civil_structure___Tankage_09" localSheetId="24">'[60]Key Assumption1'!$C$11</definedName>
    <definedName name="P1A__Civil_structure___Tankage_09" localSheetId="21">'[60]Key Assumption1'!$C$11</definedName>
    <definedName name="P1A__Civil_structure___Tankage_09" localSheetId="13">'[60]Key Assumption1'!$C$11</definedName>
    <definedName name="P1A__Civil_structure___Tankage_09" localSheetId="17">'[60]Key Assumption1'!$C$11</definedName>
    <definedName name="P1A__Civil_structure___Tankage_09" localSheetId="14">'[60]Key Assumption1'!$C$11</definedName>
    <definedName name="P1A__Civil_structure___Tankage_09" localSheetId="16">'[60]Key Assumption1'!$C$11</definedName>
    <definedName name="P1A__Civil_structure___Tankage_09" localSheetId="15">'[60]Key Assumption1'!$C$11</definedName>
    <definedName name="P1A__Civil_structure___Tankage_09" localSheetId="18">'[60]Key Assumption1'!$C$11</definedName>
    <definedName name="P1A__Civil_structure___Tankage_09" localSheetId="12">'[60]Key Assumption1'!$C$11</definedName>
    <definedName name="P1A__Civil_structure___Tankage_09" localSheetId="26">'[60]Key Assumption1'!$C$11</definedName>
    <definedName name="P1A__Civil_structure___Tankage_09" localSheetId="25">'[60]Key Assumption1'!$C$11</definedName>
    <definedName name="P1A__Civil_structure___Tankage_09" localSheetId="30">'[60]Key Assumption1'!$C$11</definedName>
    <definedName name="P1A__Civil_structure___Tankage_09" localSheetId="27">'[60]Key Assumption1'!$C$11</definedName>
    <definedName name="P1A__Civil_structure___Tankage_09" localSheetId="28">'[60]Key Assumption1'!$C$11</definedName>
    <definedName name="P1A__Civil_structure___Tankage_09" localSheetId="31">'[60]Key Assumption1'!$C$11</definedName>
    <definedName name="P1A__Civil_structure___Tankage_09" localSheetId="29">'[60]Key Assumption1'!$C$11</definedName>
    <definedName name="P1A__Civil_structure___Tankage_09" localSheetId="11">'[60]Key Assumption1'!$C$11</definedName>
    <definedName name="P1A__Civil_structure___Tankage_09" localSheetId="40">'[61]Key Assumption1'!$C$11</definedName>
    <definedName name="P1A__Civil_structure___Tankage_09">'[61]Key Assumption1'!$C$11</definedName>
    <definedName name="P1A__Mechanical_Equipment_09" localSheetId="19">'[60]Key Assumption1'!$C$9</definedName>
    <definedName name="P1A__Mechanical_Equipment_09" localSheetId="23">'[60]Key Assumption1'!$C$9</definedName>
    <definedName name="P1A__Mechanical_Equipment_09" localSheetId="20">'[60]Key Assumption1'!$C$9</definedName>
    <definedName name="P1A__Mechanical_Equipment_09" localSheetId="22">'[60]Key Assumption1'!$C$9</definedName>
    <definedName name="P1A__Mechanical_Equipment_09" localSheetId="24">'[60]Key Assumption1'!$C$9</definedName>
    <definedName name="P1A__Mechanical_Equipment_09" localSheetId="21">'[60]Key Assumption1'!$C$9</definedName>
    <definedName name="P1A__Mechanical_Equipment_09" localSheetId="13">'[60]Key Assumption1'!$C$9</definedName>
    <definedName name="P1A__Mechanical_Equipment_09" localSheetId="17">'[60]Key Assumption1'!$C$9</definedName>
    <definedName name="P1A__Mechanical_Equipment_09" localSheetId="14">'[60]Key Assumption1'!$C$9</definedName>
    <definedName name="P1A__Mechanical_Equipment_09" localSheetId="16">'[60]Key Assumption1'!$C$9</definedName>
    <definedName name="P1A__Mechanical_Equipment_09" localSheetId="15">'[60]Key Assumption1'!$C$9</definedName>
    <definedName name="P1A__Mechanical_Equipment_09" localSheetId="18">'[60]Key Assumption1'!$C$9</definedName>
    <definedName name="P1A__Mechanical_Equipment_09" localSheetId="12">'[60]Key Assumption1'!$C$9</definedName>
    <definedName name="P1A__Mechanical_Equipment_09" localSheetId="26">'[60]Key Assumption1'!$C$9</definedName>
    <definedName name="P1A__Mechanical_Equipment_09" localSheetId="25">'[60]Key Assumption1'!$C$9</definedName>
    <definedName name="P1A__Mechanical_Equipment_09" localSheetId="30">'[60]Key Assumption1'!$C$9</definedName>
    <definedName name="P1A__Mechanical_Equipment_09" localSheetId="27">'[60]Key Assumption1'!$C$9</definedName>
    <definedName name="P1A__Mechanical_Equipment_09" localSheetId="28">'[60]Key Assumption1'!$C$9</definedName>
    <definedName name="P1A__Mechanical_Equipment_09" localSheetId="31">'[60]Key Assumption1'!$C$9</definedName>
    <definedName name="P1A__Mechanical_Equipment_09" localSheetId="29">'[60]Key Assumption1'!$C$9</definedName>
    <definedName name="P1A__Mechanical_Equipment_09" localSheetId="11">'[60]Key Assumption1'!$C$9</definedName>
    <definedName name="P1A__Mechanical_Equipment_09" localSheetId="40">'[61]Key Assumption1'!$C$9</definedName>
    <definedName name="P1A__Mechanical_Equipment_09">'[61]Key Assumption1'!$C$9</definedName>
    <definedName name="P1A__Office_Building_09" localSheetId="19">'[60]Key Assumption1'!$C$7</definedName>
    <definedName name="P1A__Office_Building_09" localSheetId="23">'[60]Key Assumption1'!$C$7</definedName>
    <definedName name="P1A__Office_Building_09" localSheetId="20">'[60]Key Assumption1'!$C$7</definedName>
    <definedName name="P1A__Office_Building_09" localSheetId="22">'[60]Key Assumption1'!$C$7</definedName>
    <definedName name="P1A__Office_Building_09" localSheetId="24">'[60]Key Assumption1'!$C$7</definedName>
    <definedName name="P1A__Office_Building_09" localSheetId="21">'[60]Key Assumption1'!$C$7</definedName>
    <definedName name="P1A__Office_Building_09" localSheetId="13">'[60]Key Assumption1'!$C$7</definedName>
    <definedName name="P1A__Office_Building_09" localSheetId="17">'[60]Key Assumption1'!$C$7</definedName>
    <definedName name="P1A__Office_Building_09" localSheetId="14">'[60]Key Assumption1'!$C$7</definedName>
    <definedName name="P1A__Office_Building_09" localSheetId="16">'[60]Key Assumption1'!$C$7</definedName>
    <definedName name="P1A__Office_Building_09" localSheetId="15">'[60]Key Assumption1'!$C$7</definedName>
    <definedName name="P1A__Office_Building_09" localSheetId="18">'[60]Key Assumption1'!$C$7</definedName>
    <definedName name="P1A__Office_Building_09" localSheetId="12">'[60]Key Assumption1'!$C$7</definedName>
    <definedName name="P1A__Office_Building_09" localSheetId="26">'[60]Key Assumption1'!$C$7</definedName>
    <definedName name="P1A__Office_Building_09" localSheetId="25">'[60]Key Assumption1'!$C$7</definedName>
    <definedName name="P1A__Office_Building_09" localSheetId="30">'[60]Key Assumption1'!$C$7</definedName>
    <definedName name="P1A__Office_Building_09" localSheetId="27">'[60]Key Assumption1'!$C$7</definedName>
    <definedName name="P1A__Office_Building_09" localSheetId="28">'[60]Key Assumption1'!$C$7</definedName>
    <definedName name="P1A__Office_Building_09" localSheetId="31">'[60]Key Assumption1'!$C$7</definedName>
    <definedName name="P1A__Office_Building_09" localSheetId="29">'[60]Key Assumption1'!$C$7</definedName>
    <definedName name="P1A__Office_Building_09" localSheetId="11">'[60]Key Assumption1'!$C$7</definedName>
    <definedName name="P1A__Office_Building_09" localSheetId="40">'[61]Key Assumption1'!$C$7</definedName>
    <definedName name="P1A__Office_Building_09">'[61]Key Assumption1'!$C$7</definedName>
    <definedName name="P1A_Furniture__Fitting___Office_equipment_09" localSheetId="19">'[60]Key Assumption1'!$C$5</definedName>
    <definedName name="P1A_Furniture__Fitting___Office_equipment_09" localSheetId="23">'[60]Key Assumption1'!$C$5</definedName>
    <definedName name="P1A_Furniture__Fitting___Office_equipment_09" localSheetId="20">'[60]Key Assumption1'!$C$5</definedName>
    <definedName name="P1A_Furniture__Fitting___Office_equipment_09" localSheetId="22">'[60]Key Assumption1'!$C$5</definedName>
    <definedName name="P1A_Furniture__Fitting___Office_equipment_09" localSheetId="24">'[60]Key Assumption1'!$C$5</definedName>
    <definedName name="P1A_Furniture__Fitting___Office_equipment_09" localSheetId="21">'[60]Key Assumption1'!$C$5</definedName>
    <definedName name="P1A_Furniture__Fitting___Office_equipment_09" localSheetId="13">'[60]Key Assumption1'!$C$5</definedName>
    <definedName name="P1A_Furniture__Fitting___Office_equipment_09" localSheetId="17">'[60]Key Assumption1'!$C$5</definedName>
    <definedName name="P1A_Furniture__Fitting___Office_equipment_09" localSheetId="14">'[60]Key Assumption1'!$C$5</definedName>
    <definedName name="P1A_Furniture__Fitting___Office_equipment_09" localSheetId="16">'[60]Key Assumption1'!$C$5</definedName>
    <definedName name="P1A_Furniture__Fitting___Office_equipment_09" localSheetId="15">'[60]Key Assumption1'!$C$5</definedName>
    <definedName name="P1A_Furniture__Fitting___Office_equipment_09" localSheetId="18">'[60]Key Assumption1'!$C$5</definedName>
    <definedName name="P1A_Furniture__Fitting___Office_equipment_09" localSheetId="12">'[60]Key Assumption1'!$C$5</definedName>
    <definedName name="P1A_Furniture__Fitting___Office_equipment_09" localSheetId="26">'[60]Key Assumption1'!$C$5</definedName>
    <definedName name="P1A_Furniture__Fitting___Office_equipment_09" localSheetId="25">'[60]Key Assumption1'!$C$5</definedName>
    <definedName name="P1A_Furniture__Fitting___Office_equipment_09" localSheetId="30">'[60]Key Assumption1'!$C$5</definedName>
    <definedName name="P1A_Furniture__Fitting___Office_equipment_09" localSheetId="27">'[60]Key Assumption1'!$C$5</definedName>
    <definedName name="P1A_Furniture__Fitting___Office_equipment_09" localSheetId="28">'[60]Key Assumption1'!$C$5</definedName>
    <definedName name="P1A_Furniture__Fitting___Office_equipment_09" localSheetId="31">'[60]Key Assumption1'!$C$5</definedName>
    <definedName name="P1A_Furniture__Fitting___Office_equipment_09" localSheetId="29">'[60]Key Assumption1'!$C$5</definedName>
    <definedName name="P1A_Furniture__Fitting___Office_equipment_09" localSheetId="11">'[60]Key Assumption1'!$C$5</definedName>
    <definedName name="P1A_Furniture__Fitting___Office_equipment_09" localSheetId="40">'[61]Key Assumption1'!$C$5</definedName>
    <definedName name="P1A_Furniture__Fitting___Office_equipment_09">'[61]Key Assumption1'!$C$5</definedName>
    <definedName name="P1A_Vehicles_09" localSheetId="19">'[60]Key Assumption1'!$C$6</definedName>
    <definedName name="P1A_Vehicles_09" localSheetId="23">'[60]Key Assumption1'!$C$6</definedName>
    <definedName name="P1A_Vehicles_09" localSheetId="20">'[60]Key Assumption1'!$C$6</definedName>
    <definedName name="P1A_Vehicles_09" localSheetId="22">'[60]Key Assumption1'!$C$6</definedName>
    <definedName name="P1A_Vehicles_09" localSheetId="24">'[60]Key Assumption1'!$C$6</definedName>
    <definedName name="P1A_Vehicles_09" localSheetId="21">'[60]Key Assumption1'!$C$6</definedName>
    <definedName name="P1A_Vehicles_09" localSheetId="13">'[60]Key Assumption1'!$C$6</definedName>
    <definedName name="P1A_Vehicles_09" localSheetId="17">'[60]Key Assumption1'!$C$6</definedName>
    <definedName name="P1A_Vehicles_09" localSheetId="14">'[60]Key Assumption1'!$C$6</definedName>
    <definedName name="P1A_Vehicles_09" localSheetId="16">'[60]Key Assumption1'!$C$6</definedName>
    <definedName name="P1A_Vehicles_09" localSheetId="15">'[60]Key Assumption1'!$C$6</definedName>
    <definedName name="P1A_Vehicles_09" localSheetId="18">'[60]Key Assumption1'!$C$6</definedName>
    <definedName name="P1A_Vehicles_09" localSheetId="12">'[60]Key Assumption1'!$C$6</definedName>
    <definedName name="P1A_Vehicles_09" localSheetId="26">'[60]Key Assumption1'!$C$6</definedName>
    <definedName name="P1A_Vehicles_09" localSheetId="25">'[60]Key Assumption1'!$C$6</definedName>
    <definedName name="P1A_Vehicles_09" localSheetId="30">'[60]Key Assumption1'!$C$6</definedName>
    <definedName name="P1A_Vehicles_09" localSheetId="27">'[60]Key Assumption1'!$C$6</definedName>
    <definedName name="P1A_Vehicles_09" localSheetId="28">'[60]Key Assumption1'!$C$6</definedName>
    <definedName name="P1A_Vehicles_09" localSheetId="31">'[60]Key Assumption1'!$C$6</definedName>
    <definedName name="P1A_Vehicles_09" localSheetId="29">'[60]Key Assumption1'!$C$6</definedName>
    <definedName name="P1A_Vehicles_09" localSheetId="11">'[60]Key Assumption1'!$C$6</definedName>
    <definedName name="P1A_Vehicles_09" localSheetId="40">'[61]Key Assumption1'!$C$6</definedName>
    <definedName name="P1A_Vehicles_09">'[61]Key Assumption1'!$C$6</definedName>
    <definedName name="P1B_操作工_基本工资" localSheetId="19">'[62]Assumption(Manpower)'!#REF!</definedName>
    <definedName name="P1B_操作工_基本工资" localSheetId="23">'[62]Assumption(Manpower)'!#REF!</definedName>
    <definedName name="P1B_操作工_基本工资" localSheetId="20">'[62]Assumption(Manpower)'!#REF!</definedName>
    <definedName name="P1B_操作工_基本工资" localSheetId="22">'[62]Assumption(Manpower)'!#REF!</definedName>
    <definedName name="P1B_操作工_基本工资" localSheetId="24">'[62]Assumption(Manpower)'!#REF!</definedName>
    <definedName name="P1B_操作工_基本工资" localSheetId="21">'[62]Assumption(Manpower)'!#REF!</definedName>
    <definedName name="P1B_操作工_基本工资" localSheetId="13">'[62]Assumption(Manpower)'!#REF!</definedName>
    <definedName name="P1B_操作工_基本工资" localSheetId="17">'[62]Assumption(Manpower)'!#REF!</definedName>
    <definedName name="P1B_操作工_基本工资" localSheetId="14">'[62]Assumption(Manpower)'!#REF!</definedName>
    <definedName name="P1B_操作工_基本工资" localSheetId="16">'[62]Assumption(Manpower)'!#REF!</definedName>
    <definedName name="P1B_操作工_基本工资" localSheetId="15">'[62]Assumption(Manpower)'!#REF!</definedName>
    <definedName name="P1B_操作工_基本工资" localSheetId="18">'[62]Assumption(Manpower)'!#REF!</definedName>
    <definedName name="P1B_操作工_基本工资" localSheetId="12">'[62]Assumption(Manpower)'!#REF!</definedName>
    <definedName name="P1B_操作工_基本工资" localSheetId="26">'[62]Assumption(Manpower)'!#REF!</definedName>
    <definedName name="P1B_操作工_基本工资" localSheetId="25">'[62]Assumption(Manpower)'!#REF!</definedName>
    <definedName name="P1B_操作工_基本工资" localSheetId="30">'[62]Assumption(Manpower)'!#REF!</definedName>
    <definedName name="P1B_操作工_基本工资" localSheetId="27">'[62]Assumption(Manpower)'!#REF!</definedName>
    <definedName name="P1B_操作工_基本工资" localSheetId="28">'[62]Assumption(Manpower)'!#REF!</definedName>
    <definedName name="P1B_操作工_基本工资" localSheetId="31">'[62]Assumption(Manpower)'!#REF!</definedName>
    <definedName name="P1B_操作工_基本工资" localSheetId="29">'[62]Assumption(Manpower)'!#REF!</definedName>
    <definedName name="P1B_操作工_基本工资" localSheetId="11">'[62]Assumption(Manpower)'!#REF!</definedName>
    <definedName name="P1B_操作工_基本工资" localSheetId="40">'[63]Assumption(Manpower)'!#REF!</definedName>
    <definedName name="P1B_操作工_基本工资">'[63]Assumption(Manpower)'!#REF!</definedName>
    <definedName name="PaperSize">[15]Settings!$N$10</definedName>
    <definedName name="PARAMETER" localSheetId="26">#REF!</definedName>
    <definedName name="PARAMETER" localSheetId="25">#REF!</definedName>
    <definedName name="PARAMETER" localSheetId="30">#REF!</definedName>
    <definedName name="PARAMETER" localSheetId="27">#REF!</definedName>
    <definedName name="PARAMETER" localSheetId="28">#REF!</definedName>
    <definedName name="PARAMETER" localSheetId="31">#REF!</definedName>
    <definedName name="PARAMETER" localSheetId="29">#REF!</definedName>
    <definedName name="PARAMETER" localSheetId="40">#REF!</definedName>
    <definedName name="PARAMETER">#REF!</definedName>
    <definedName name="Pass">[15]Settings!$M$49</definedName>
    <definedName name="Payout_Ratio" localSheetId="19">#REF!</definedName>
    <definedName name="Payout_Ratio" localSheetId="23">#REF!</definedName>
    <definedName name="Payout_Ratio" localSheetId="20">#REF!</definedName>
    <definedName name="Payout_Ratio" localSheetId="22">#REF!</definedName>
    <definedName name="Payout_Ratio" localSheetId="24">#REF!</definedName>
    <definedName name="Payout_Ratio" localSheetId="21">#REF!</definedName>
    <definedName name="Payout_Ratio" localSheetId="13">#REF!</definedName>
    <definedName name="Payout_Ratio" localSheetId="17">#REF!</definedName>
    <definedName name="Payout_Ratio" localSheetId="14">#REF!</definedName>
    <definedName name="Payout_Ratio" localSheetId="16">#REF!</definedName>
    <definedName name="Payout_Ratio" localSheetId="15">#REF!</definedName>
    <definedName name="Payout_Ratio" localSheetId="18">#REF!</definedName>
    <definedName name="Payout_Ratio" localSheetId="12">#REF!</definedName>
    <definedName name="Payout_Ratio" localSheetId="26">#REF!</definedName>
    <definedName name="Payout_Ratio" localSheetId="25">#REF!</definedName>
    <definedName name="Payout_Ratio" localSheetId="30">#REF!</definedName>
    <definedName name="Payout_Ratio" localSheetId="27">#REF!</definedName>
    <definedName name="Payout_Ratio" localSheetId="28">#REF!</definedName>
    <definedName name="Payout_Ratio" localSheetId="31">#REF!</definedName>
    <definedName name="Payout_Ratio" localSheetId="29">#REF!</definedName>
    <definedName name="Payout_Ratio" localSheetId="11">#REF!</definedName>
    <definedName name="Payout_Ratio" localSheetId="40">#REF!</definedName>
    <definedName name="Payout_Ratio">#REF!</definedName>
    <definedName name="PB_Multiple">'[18]1_ShortName_Calculation_Meta'!$G$163:$G$187</definedName>
    <definedName name="PB_Multiple_2">'[18]1_ShortName_Calculation_Meta'!$J$163:$J$187</definedName>
    <definedName name="PB_Selected">'[18]1_ShortName_Calculation_Meta'!$I$162</definedName>
    <definedName name="PB_Selected_Bar">'[18]1_ShortName_Calculation_Meta'!$I$163:$I$187</definedName>
    <definedName name="PB_Selected_Bar_2">'[18]1_ShortName_Calculation_Meta'!$L$163:$L$187</definedName>
    <definedName name="PE_Average_1">'[18]1_ShortName_Calculation_Meta'!$J$347</definedName>
    <definedName name="PE_Average_2">'[18]1_ShortName_Calculation_Meta'!$J$360</definedName>
    <definedName name="PE_High_1">'[18]1_ShortName_Calculation_Meta'!$J$348</definedName>
    <definedName name="PE_High_2">'[18]1_ShortName_Calculation_Meta'!$J$361</definedName>
    <definedName name="PE_Low_1">'[18]1_ShortName_Calculation_Meta'!$J$349</definedName>
    <definedName name="PE_Low_2">'[18]1_ShortName_Calculation_Meta'!$J$362</definedName>
    <definedName name="PE_Multiple">'[18]1_ShortName_Calculation_Meta'!$G$128:$G$152</definedName>
    <definedName name="PE_Multiple_2">'[18]1_ShortName_Calculation_Meta'!$J$128:$J$152</definedName>
    <definedName name="PE_Selected">'[18]1_ShortName_Calculation_Meta'!$I$127</definedName>
    <definedName name="PE_Selected_Bar">'[18]1_ShortName_Calculation_Meta'!$I$128:$I$152</definedName>
    <definedName name="PE_Selected_Bar_2">'[18]1_ShortName_Calculation_Meta'!$L$128:$L$152</definedName>
    <definedName name="Pension_Switch">'[18]1.2_CoCo_Financials_Meta'!$C$7</definedName>
    <definedName name="Pension10">'[15]DATA GPC'!$I$222</definedName>
    <definedName name="PensionList">[15]Settings!$P$21:$P$22</definedName>
    <definedName name="PensionSetting">'[15]WACC and TIC Inputs'!$J$44</definedName>
    <definedName name="People_Care_Manager" localSheetId="26">#REF!</definedName>
    <definedName name="People_Care_Manager" localSheetId="25">#REF!</definedName>
    <definedName name="People_Care_Manager" localSheetId="30">#REF!</definedName>
    <definedName name="People_Care_Manager" localSheetId="27">#REF!</definedName>
    <definedName name="People_Care_Manager" localSheetId="28">#REF!</definedName>
    <definedName name="People_Care_Manager" localSheetId="31">#REF!</definedName>
    <definedName name="People_Care_Manager" localSheetId="29">#REF!</definedName>
    <definedName name="People_Care_Manager" localSheetId="37">#REF!</definedName>
    <definedName name="People_Care_Manager" localSheetId="40">#REF!</definedName>
    <definedName name="People_Care_Manager" localSheetId="32">#REF!</definedName>
    <definedName name="People_Care_Manager" localSheetId="5">#REF!</definedName>
    <definedName name="People_Care_Manager" localSheetId="6">#REF!</definedName>
    <definedName name="People_Care_Manager">#REF!</definedName>
    <definedName name="PeriodList">'[15]Segment Information'!$V$9:$V$14</definedName>
    <definedName name="PeriodsPA" localSheetId="19">'[48]假设 Inputs'!$M$689</definedName>
    <definedName name="PeriodsPA" localSheetId="23">'[48]假设 Inputs'!$M$689</definedName>
    <definedName name="PeriodsPA" localSheetId="20">'[48]假设 Inputs'!$M$689</definedName>
    <definedName name="PeriodsPA" localSheetId="22">'[48]假设 Inputs'!$M$689</definedName>
    <definedName name="PeriodsPA" localSheetId="24">'[48]假设 Inputs'!$M$689</definedName>
    <definedName name="PeriodsPA" localSheetId="21">'[48]假设 Inputs'!$M$689</definedName>
    <definedName name="PeriodsPA" localSheetId="13">'[48]假设 Inputs'!$M$689</definedName>
    <definedName name="PeriodsPA" localSheetId="17">'[48]假设 Inputs'!$M$689</definedName>
    <definedName name="PeriodsPA" localSheetId="14">'[48]假设 Inputs'!$M$689</definedName>
    <definedName name="PeriodsPA" localSheetId="16">'[48]假设 Inputs'!$M$689</definedName>
    <definedName name="PeriodsPA" localSheetId="15">'[48]假设 Inputs'!$M$689</definedName>
    <definedName name="PeriodsPA" localSheetId="18">'[48]假设 Inputs'!$M$689</definedName>
    <definedName name="PeriodsPA" localSheetId="12">'[48]假设 Inputs'!$M$689</definedName>
    <definedName name="PeriodsPA" localSheetId="26">'[48]假设 Inputs'!$M$689</definedName>
    <definedName name="PeriodsPA" localSheetId="25">'[48]假设 Inputs'!$M$689</definedName>
    <definedName name="PeriodsPA" localSheetId="30">'[48]假设 Inputs'!$M$689</definedName>
    <definedName name="PeriodsPA" localSheetId="27">'[48]假设 Inputs'!$M$689</definedName>
    <definedName name="PeriodsPA" localSheetId="28">'[48]假设 Inputs'!$M$689</definedName>
    <definedName name="PeriodsPA" localSheetId="31">'[48]假设 Inputs'!$M$689</definedName>
    <definedName name="PeriodsPA" localSheetId="29">'[48]假设 Inputs'!$M$689</definedName>
    <definedName name="PeriodsPA" localSheetId="11">'[48]假设 Inputs'!$M$689</definedName>
    <definedName name="PeriodsPA" localSheetId="36">'[48]假设 Inputs'!$M$689</definedName>
    <definedName name="PeriodsPA">'[17]假设 Inputs'!$M$689</definedName>
    <definedName name="PFIAnchor">'[15]PFI Inputs'!$F$23</definedName>
    <definedName name="PFICSYear1">'[15]PFI Inc Stat Common Size'!$G$9</definedName>
    <definedName name="PFIFull">'[15]PFI Inputs'!$C$347</definedName>
    <definedName name="PFIInputsDD">'[15]PFI Inputs'!$C$22</definedName>
    <definedName name="PFIYear1">'[15]PFI Inc Stat'!$G$9</definedName>
    <definedName name="phact" localSheetId="26">#REF!</definedName>
    <definedName name="phact" localSheetId="25">#REF!</definedName>
    <definedName name="phact" localSheetId="30">#REF!</definedName>
    <definedName name="phact" localSheetId="27">#REF!</definedName>
    <definedName name="phact" localSheetId="28">#REF!</definedName>
    <definedName name="phact" localSheetId="31">#REF!</definedName>
    <definedName name="phact" localSheetId="29">#REF!</definedName>
    <definedName name="phact" localSheetId="40">#REF!</definedName>
    <definedName name="phact">#REF!</definedName>
    <definedName name="phcap" localSheetId="26">#REF!</definedName>
    <definedName name="phcap" localSheetId="25">#REF!</definedName>
    <definedName name="phcap" localSheetId="30">#REF!</definedName>
    <definedName name="phcap" localSheetId="27">#REF!</definedName>
    <definedName name="phcap" localSheetId="28">#REF!</definedName>
    <definedName name="phcap" localSheetId="31">#REF!</definedName>
    <definedName name="phcap" localSheetId="29">#REF!</definedName>
    <definedName name="phcap" localSheetId="40">#REF!</definedName>
    <definedName name="phcap">#REF!</definedName>
    <definedName name="phenol" localSheetId="26">#REF!</definedName>
    <definedName name="phenol" localSheetId="25">#REF!</definedName>
    <definedName name="phenol" localSheetId="30">#REF!</definedName>
    <definedName name="phenol" localSheetId="27">#REF!</definedName>
    <definedName name="phenol" localSheetId="28">#REF!</definedName>
    <definedName name="phenol" localSheetId="31">#REF!</definedName>
    <definedName name="phenol" localSheetId="29">#REF!</definedName>
    <definedName name="phenol" localSheetId="40">#REF!</definedName>
    <definedName name="phenol">#REF!</definedName>
    <definedName name="phrs">[43]enth!$B$26</definedName>
    <definedName name="piact" localSheetId="26">#REF!</definedName>
    <definedName name="piact" localSheetId="25">#REF!</definedName>
    <definedName name="piact" localSheetId="30">#REF!</definedName>
    <definedName name="piact" localSheetId="27">#REF!</definedName>
    <definedName name="piact" localSheetId="28">#REF!</definedName>
    <definedName name="piact" localSheetId="31">#REF!</definedName>
    <definedName name="piact" localSheetId="29">#REF!</definedName>
    <definedName name="piact" localSheetId="40">#REF!</definedName>
    <definedName name="piact">#REF!</definedName>
    <definedName name="picw" localSheetId="26">#REF!</definedName>
    <definedName name="picw" localSheetId="25">#REF!</definedName>
    <definedName name="picw" localSheetId="30">#REF!</definedName>
    <definedName name="picw" localSheetId="27">#REF!</definedName>
    <definedName name="picw" localSheetId="28">#REF!</definedName>
    <definedName name="picw" localSheetId="31">#REF!</definedName>
    <definedName name="picw" localSheetId="29">#REF!</definedName>
    <definedName name="picw" localSheetId="40">#REF!</definedName>
    <definedName name="picw">#REF!</definedName>
    <definedName name="pidw" localSheetId="26">#REF!</definedName>
    <definedName name="pidw" localSheetId="25">#REF!</definedName>
    <definedName name="pidw" localSheetId="30">#REF!</definedName>
    <definedName name="pidw" localSheetId="27">#REF!</definedName>
    <definedName name="pidw" localSheetId="28">#REF!</definedName>
    <definedName name="pidw" localSheetId="31">#REF!</definedName>
    <definedName name="pidw" localSheetId="29">#REF!</definedName>
    <definedName name="pidw" localSheetId="40">#REF!</definedName>
    <definedName name="pidw">#REF!</definedName>
    <definedName name="pifw" localSheetId="26">#REF!</definedName>
    <definedName name="pifw" localSheetId="25">#REF!</definedName>
    <definedName name="pifw" localSheetId="30">#REF!</definedName>
    <definedName name="pifw" localSheetId="27">#REF!</definedName>
    <definedName name="pifw" localSheetId="28">#REF!</definedName>
    <definedName name="pifw" localSheetId="31">#REF!</definedName>
    <definedName name="pifw" localSheetId="29">#REF!</definedName>
    <definedName name="pifw" localSheetId="40">#REF!</definedName>
    <definedName name="pifw">#REF!</definedName>
    <definedName name="pihpsteam" localSheetId="26">#REF!</definedName>
    <definedName name="pihpsteam" localSheetId="25">#REF!</definedName>
    <definedName name="pihpsteam" localSheetId="30">#REF!</definedName>
    <definedName name="pihpsteam" localSheetId="27">#REF!</definedName>
    <definedName name="pihpsteam" localSheetId="28">#REF!</definedName>
    <definedName name="pihpsteam" localSheetId="31">#REF!</definedName>
    <definedName name="pihpsteam" localSheetId="29">#REF!</definedName>
    <definedName name="pihpsteam" localSheetId="40">#REF!</definedName>
    <definedName name="pihpsteam">#REF!</definedName>
    <definedName name="pihpstm" localSheetId="26">#REF!</definedName>
    <definedName name="pihpstm" localSheetId="25">#REF!</definedName>
    <definedName name="pihpstm" localSheetId="30">#REF!</definedName>
    <definedName name="pihpstm" localSheetId="27">#REF!</definedName>
    <definedName name="pihpstm" localSheetId="28">#REF!</definedName>
    <definedName name="pihpstm" localSheetId="31">#REF!</definedName>
    <definedName name="pihpstm" localSheetId="29">#REF!</definedName>
    <definedName name="pihpstm" localSheetId="40">#REF!</definedName>
    <definedName name="pihpstm">#REF!</definedName>
    <definedName name="piia" localSheetId="26">#REF!</definedName>
    <definedName name="piia" localSheetId="25">#REF!</definedName>
    <definedName name="piia" localSheetId="30">#REF!</definedName>
    <definedName name="piia" localSheetId="27">#REF!</definedName>
    <definedName name="piia" localSheetId="28">#REF!</definedName>
    <definedName name="piia" localSheetId="31">#REF!</definedName>
    <definedName name="piia" localSheetId="29">#REF!</definedName>
    <definedName name="piia" localSheetId="40">#REF!</definedName>
    <definedName name="piia">#REF!</definedName>
    <definedName name="pimpsteam" localSheetId="26">#REF!</definedName>
    <definedName name="pimpsteam" localSheetId="25">#REF!</definedName>
    <definedName name="pimpsteam" localSheetId="30">#REF!</definedName>
    <definedName name="pimpsteam" localSheetId="27">#REF!</definedName>
    <definedName name="pimpsteam" localSheetId="28">#REF!</definedName>
    <definedName name="pimpsteam" localSheetId="31">#REF!</definedName>
    <definedName name="pimpsteam" localSheetId="29">#REF!</definedName>
    <definedName name="pimpsteam" localSheetId="40">#REF!</definedName>
    <definedName name="pimpsteam">#REF!</definedName>
    <definedName name="piph" localSheetId="26">#REF!</definedName>
    <definedName name="piph" localSheetId="25">#REF!</definedName>
    <definedName name="piph" localSheetId="30">#REF!</definedName>
    <definedName name="piph" localSheetId="27">#REF!</definedName>
    <definedName name="piph" localSheetId="28">#REF!</definedName>
    <definedName name="piph" localSheetId="31">#REF!</definedName>
    <definedName name="piph" localSheetId="29">#REF!</definedName>
    <definedName name="piph" localSheetId="40">#REF!</definedName>
    <definedName name="piph">#REF!</definedName>
    <definedName name="piphe" localSheetId="26">#REF!</definedName>
    <definedName name="piphe" localSheetId="25">#REF!</definedName>
    <definedName name="piphe" localSheetId="30">#REF!</definedName>
    <definedName name="piphe" localSheetId="27">#REF!</definedName>
    <definedName name="piphe" localSheetId="28">#REF!</definedName>
    <definedName name="piphe" localSheetId="31">#REF!</definedName>
    <definedName name="piphe" localSheetId="29">#REF!</definedName>
    <definedName name="piphe" localSheetId="40">#REF!</definedName>
    <definedName name="piphe">#REF!</definedName>
    <definedName name="pipw" localSheetId="26">#REF!</definedName>
    <definedName name="pipw" localSheetId="25">#REF!</definedName>
    <definedName name="pipw" localSheetId="30">#REF!</definedName>
    <definedName name="pipw" localSheetId="27">#REF!</definedName>
    <definedName name="pipw" localSheetId="28">#REF!</definedName>
    <definedName name="pipw" localSheetId="31">#REF!</definedName>
    <definedName name="pipw" localSheetId="29">#REF!</definedName>
    <definedName name="pipw" localSheetId="40">#REF!</definedName>
    <definedName name="pipw">#REF!</definedName>
    <definedName name="pisw" localSheetId="26">#REF!</definedName>
    <definedName name="pisw" localSheetId="25">#REF!</definedName>
    <definedName name="pisw" localSheetId="30">#REF!</definedName>
    <definedName name="pisw" localSheetId="27">#REF!</definedName>
    <definedName name="pisw" localSheetId="28">#REF!</definedName>
    <definedName name="pisw" localSheetId="31">#REF!</definedName>
    <definedName name="pisw" localSheetId="29">#REF!</definedName>
    <definedName name="pisw" localSheetId="40">#REF!</definedName>
    <definedName name="pisw">#REF!</definedName>
    <definedName name="piwaste" localSheetId="26">#REF!</definedName>
    <definedName name="piwaste" localSheetId="25">#REF!</definedName>
    <definedName name="piwaste" localSheetId="30">#REF!</definedName>
    <definedName name="piwaste" localSheetId="27">#REF!</definedName>
    <definedName name="piwaste" localSheetId="28">#REF!</definedName>
    <definedName name="piwaste" localSheetId="31">#REF!</definedName>
    <definedName name="piwaste" localSheetId="29">#REF!</definedName>
    <definedName name="piwaste" localSheetId="40">#REF!</definedName>
    <definedName name="piwaste">#REF!</definedName>
    <definedName name="PM" localSheetId="19">#REF!</definedName>
    <definedName name="PM" localSheetId="23">#REF!</definedName>
    <definedName name="PM" localSheetId="20">#REF!</definedName>
    <definedName name="PM" localSheetId="22">#REF!</definedName>
    <definedName name="PM" localSheetId="24">#REF!</definedName>
    <definedName name="PM" localSheetId="21">#REF!</definedName>
    <definedName name="PM" localSheetId="13">#REF!</definedName>
    <definedName name="PM" localSheetId="17">#REF!</definedName>
    <definedName name="PM" localSheetId="14">#REF!</definedName>
    <definedName name="PM" localSheetId="16">#REF!</definedName>
    <definedName name="PM" localSheetId="15">#REF!</definedName>
    <definedName name="PM" localSheetId="18">#REF!</definedName>
    <definedName name="PM" localSheetId="12">#REF!</definedName>
    <definedName name="PM" localSheetId="26">#REF!</definedName>
    <definedName name="PM" localSheetId="25">#REF!</definedName>
    <definedName name="PM" localSheetId="30">#REF!</definedName>
    <definedName name="PM" localSheetId="27">#REF!</definedName>
    <definedName name="PM" localSheetId="28">#REF!</definedName>
    <definedName name="PM" localSheetId="31">#REF!</definedName>
    <definedName name="PM" localSheetId="29">#REF!</definedName>
    <definedName name="PM" localSheetId="11">#REF!</definedName>
    <definedName name="PM" localSheetId="38">#REF!</definedName>
    <definedName name="PM" localSheetId="40">#REF!</definedName>
    <definedName name="PM" localSheetId="34">#REF!</definedName>
    <definedName name="PM" localSheetId="33">#REF!</definedName>
    <definedName name="PM">#REF!</definedName>
    <definedName name="PmtLag" localSheetId="19">'[48]假设 Inputs'!$M$683</definedName>
    <definedName name="PmtLag" localSheetId="23">'[48]假设 Inputs'!$M$683</definedName>
    <definedName name="PmtLag" localSheetId="20">'[48]假设 Inputs'!$M$683</definedName>
    <definedName name="PmtLag" localSheetId="22">'[48]假设 Inputs'!$M$683</definedName>
    <definedName name="PmtLag" localSheetId="24">'[48]假设 Inputs'!$M$683</definedName>
    <definedName name="PmtLag" localSheetId="21">'[48]假设 Inputs'!$M$683</definedName>
    <definedName name="PmtLag" localSheetId="13">'[48]假设 Inputs'!$M$683</definedName>
    <definedName name="PmtLag" localSheetId="17">'[48]假设 Inputs'!$M$683</definedName>
    <definedName name="PmtLag" localSheetId="14">'[48]假设 Inputs'!$M$683</definedName>
    <definedName name="PmtLag" localSheetId="16">'[48]假设 Inputs'!$M$683</definedName>
    <definedName name="PmtLag" localSheetId="15">'[48]假设 Inputs'!$M$683</definedName>
    <definedName name="PmtLag" localSheetId="18">'[48]假设 Inputs'!$M$683</definedName>
    <definedName name="PmtLag" localSheetId="12">'[48]假设 Inputs'!$M$683</definedName>
    <definedName name="PmtLag" localSheetId="26">'[48]假设 Inputs'!$M$683</definedName>
    <definedName name="PmtLag" localSheetId="25">'[48]假设 Inputs'!$M$683</definedName>
    <definedName name="PmtLag" localSheetId="30">'[48]假设 Inputs'!$M$683</definedName>
    <definedName name="PmtLag" localSheetId="27">'[48]假设 Inputs'!$M$683</definedName>
    <definedName name="PmtLag" localSheetId="28">'[48]假设 Inputs'!$M$683</definedName>
    <definedName name="PmtLag" localSheetId="31">'[48]假设 Inputs'!$M$683</definedName>
    <definedName name="PmtLag" localSheetId="29">'[48]假设 Inputs'!$M$683</definedName>
    <definedName name="PmtLag" localSheetId="11">'[48]假设 Inputs'!$M$683</definedName>
    <definedName name="PmtLag" localSheetId="36">'[48]假设 Inputs'!$M$683</definedName>
    <definedName name="PmtLag">'[17]假设 Inputs'!$M$683</definedName>
    <definedName name="power" localSheetId="26">#REF!</definedName>
    <definedName name="power" localSheetId="25">#REF!</definedName>
    <definedName name="power" localSheetId="30">#REF!</definedName>
    <definedName name="power" localSheetId="27">#REF!</definedName>
    <definedName name="power" localSheetId="28">#REF!</definedName>
    <definedName name="power" localSheetId="31">#REF!</definedName>
    <definedName name="power" localSheetId="29">#REF!</definedName>
    <definedName name="power" localSheetId="40">#REF!</definedName>
    <definedName name="power">#REF!</definedName>
    <definedName name="Power_Cost_Assumption_Mothly_P1B" localSheetId="19">'[22]Phase 1B'!#REF!</definedName>
    <definedName name="Power_Cost_Assumption_Mothly_P1B" localSheetId="23">'[22]Phase 1B'!#REF!</definedName>
    <definedName name="Power_Cost_Assumption_Mothly_P1B" localSheetId="20">'[22]Phase 1B'!#REF!</definedName>
    <definedName name="Power_Cost_Assumption_Mothly_P1B" localSheetId="22">'[22]Phase 1B'!#REF!</definedName>
    <definedName name="Power_Cost_Assumption_Mothly_P1B" localSheetId="24">'[22]Phase 1B'!#REF!</definedName>
    <definedName name="Power_Cost_Assumption_Mothly_P1B" localSheetId="21">'[22]Phase 1B'!#REF!</definedName>
    <definedName name="Power_Cost_Assumption_Mothly_P1B" localSheetId="13">'[22]Phase 1B'!#REF!</definedName>
    <definedName name="Power_Cost_Assumption_Mothly_P1B" localSheetId="17">'[22]Phase 1B'!#REF!</definedName>
    <definedName name="Power_Cost_Assumption_Mothly_P1B" localSheetId="14">'[22]Phase 1B'!#REF!</definedName>
    <definedName name="Power_Cost_Assumption_Mothly_P1B" localSheetId="16">'[22]Phase 1B'!#REF!</definedName>
    <definedName name="Power_Cost_Assumption_Mothly_P1B" localSheetId="15">'[22]Phase 1B'!#REF!</definedName>
    <definedName name="Power_Cost_Assumption_Mothly_P1B" localSheetId="18">'[22]Phase 1B'!#REF!</definedName>
    <definedName name="Power_Cost_Assumption_Mothly_P1B" localSheetId="12">'[22]Phase 1B'!#REF!</definedName>
    <definedName name="Power_Cost_Assumption_Mothly_P1B" localSheetId="26">'[22]Phase 1B'!#REF!</definedName>
    <definedName name="Power_Cost_Assumption_Mothly_P1B" localSheetId="25">'[22]Phase 1B'!#REF!</definedName>
    <definedName name="Power_Cost_Assumption_Mothly_P1B" localSheetId="30">'[22]Phase 1B'!#REF!</definedName>
    <definedName name="Power_Cost_Assumption_Mothly_P1B" localSheetId="27">'[22]Phase 1B'!#REF!</definedName>
    <definedName name="Power_Cost_Assumption_Mothly_P1B" localSheetId="28">'[22]Phase 1B'!#REF!</definedName>
    <definedName name="Power_Cost_Assumption_Mothly_P1B" localSheetId="31">'[22]Phase 1B'!#REF!</definedName>
    <definedName name="Power_Cost_Assumption_Mothly_P1B" localSheetId="29">'[22]Phase 1B'!#REF!</definedName>
    <definedName name="Power_Cost_Assumption_Mothly_P1B" localSheetId="11">'[22]Phase 1B'!#REF!</definedName>
    <definedName name="Power_Cost_Assumption_Mothly_P1B" localSheetId="40">'[23]Phase 1B'!#REF!</definedName>
    <definedName name="Power_Cost_Assumption_Mothly_P1B">'[23]Phase 1B'!#REF!</definedName>
    <definedName name="Pre_Treatment__Civil_structure___Tankage_09" localSheetId="19">'[60]Key Assumption1'!$C$21</definedName>
    <definedName name="Pre_Treatment__Civil_structure___Tankage_09" localSheetId="23">'[60]Key Assumption1'!$C$21</definedName>
    <definedName name="Pre_Treatment__Civil_structure___Tankage_09" localSheetId="20">'[60]Key Assumption1'!$C$21</definedName>
    <definedName name="Pre_Treatment__Civil_structure___Tankage_09" localSheetId="22">'[60]Key Assumption1'!$C$21</definedName>
    <definedName name="Pre_Treatment__Civil_structure___Tankage_09" localSheetId="24">'[60]Key Assumption1'!$C$21</definedName>
    <definedName name="Pre_Treatment__Civil_structure___Tankage_09" localSheetId="21">'[60]Key Assumption1'!$C$21</definedName>
    <definedName name="Pre_Treatment__Civil_structure___Tankage_09" localSheetId="13">'[60]Key Assumption1'!$C$21</definedName>
    <definedName name="Pre_Treatment__Civil_structure___Tankage_09" localSheetId="17">'[60]Key Assumption1'!$C$21</definedName>
    <definedName name="Pre_Treatment__Civil_structure___Tankage_09" localSheetId="14">'[60]Key Assumption1'!$C$21</definedName>
    <definedName name="Pre_Treatment__Civil_structure___Tankage_09" localSheetId="16">'[60]Key Assumption1'!$C$21</definedName>
    <definedName name="Pre_Treatment__Civil_structure___Tankage_09" localSheetId="15">'[60]Key Assumption1'!$C$21</definedName>
    <definedName name="Pre_Treatment__Civil_structure___Tankage_09" localSheetId="18">'[60]Key Assumption1'!$C$21</definedName>
    <definedName name="Pre_Treatment__Civil_structure___Tankage_09" localSheetId="12">'[60]Key Assumption1'!$C$21</definedName>
    <definedName name="Pre_Treatment__Civil_structure___Tankage_09" localSheetId="26">'[60]Key Assumption1'!$C$21</definedName>
    <definedName name="Pre_Treatment__Civil_structure___Tankage_09" localSheetId="25">'[60]Key Assumption1'!$C$21</definedName>
    <definedName name="Pre_Treatment__Civil_structure___Tankage_09" localSheetId="30">'[60]Key Assumption1'!$C$21</definedName>
    <definedName name="Pre_Treatment__Civil_structure___Tankage_09" localSheetId="27">'[60]Key Assumption1'!$C$21</definedName>
    <definedName name="Pre_Treatment__Civil_structure___Tankage_09" localSheetId="28">'[60]Key Assumption1'!$C$21</definedName>
    <definedName name="Pre_Treatment__Civil_structure___Tankage_09" localSheetId="31">'[60]Key Assumption1'!$C$21</definedName>
    <definedName name="Pre_Treatment__Civil_structure___Tankage_09" localSheetId="29">'[60]Key Assumption1'!$C$21</definedName>
    <definedName name="Pre_Treatment__Civil_structure___Tankage_09" localSheetId="11">'[60]Key Assumption1'!$C$21</definedName>
    <definedName name="Pre_Treatment__Civil_structure___Tankage_09" localSheetId="40">'[61]Key Assumption1'!$C$21</definedName>
    <definedName name="Pre_Treatment__Civil_structure___Tankage_09">'[61]Key Assumption1'!$C$21</definedName>
    <definedName name="Pre_Treatment__Mechanical_Equipment_09" localSheetId="19">'[60]Key Assumption1'!$C$19</definedName>
    <definedName name="Pre_Treatment__Mechanical_Equipment_09" localSheetId="23">'[60]Key Assumption1'!$C$19</definedName>
    <definedName name="Pre_Treatment__Mechanical_Equipment_09" localSheetId="20">'[60]Key Assumption1'!$C$19</definedName>
    <definedName name="Pre_Treatment__Mechanical_Equipment_09" localSheetId="22">'[60]Key Assumption1'!$C$19</definedName>
    <definedName name="Pre_Treatment__Mechanical_Equipment_09" localSheetId="24">'[60]Key Assumption1'!$C$19</definedName>
    <definedName name="Pre_Treatment__Mechanical_Equipment_09" localSheetId="21">'[60]Key Assumption1'!$C$19</definedName>
    <definedName name="Pre_Treatment__Mechanical_Equipment_09" localSheetId="13">'[60]Key Assumption1'!$C$19</definedName>
    <definedName name="Pre_Treatment__Mechanical_Equipment_09" localSheetId="17">'[60]Key Assumption1'!$C$19</definedName>
    <definedName name="Pre_Treatment__Mechanical_Equipment_09" localSheetId="14">'[60]Key Assumption1'!$C$19</definedName>
    <definedName name="Pre_Treatment__Mechanical_Equipment_09" localSheetId="16">'[60]Key Assumption1'!$C$19</definedName>
    <definedName name="Pre_Treatment__Mechanical_Equipment_09" localSheetId="15">'[60]Key Assumption1'!$C$19</definedName>
    <definedName name="Pre_Treatment__Mechanical_Equipment_09" localSheetId="18">'[60]Key Assumption1'!$C$19</definedName>
    <definedName name="Pre_Treatment__Mechanical_Equipment_09" localSheetId="12">'[60]Key Assumption1'!$C$19</definedName>
    <definedName name="Pre_Treatment__Mechanical_Equipment_09" localSheetId="26">'[60]Key Assumption1'!$C$19</definedName>
    <definedName name="Pre_Treatment__Mechanical_Equipment_09" localSheetId="25">'[60]Key Assumption1'!$C$19</definedName>
    <definedName name="Pre_Treatment__Mechanical_Equipment_09" localSheetId="30">'[60]Key Assumption1'!$C$19</definedName>
    <definedName name="Pre_Treatment__Mechanical_Equipment_09" localSheetId="27">'[60]Key Assumption1'!$C$19</definedName>
    <definedName name="Pre_Treatment__Mechanical_Equipment_09" localSheetId="28">'[60]Key Assumption1'!$C$19</definedName>
    <definedName name="Pre_Treatment__Mechanical_Equipment_09" localSheetId="31">'[60]Key Assumption1'!$C$19</definedName>
    <definedName name="Pre_Treatment__Mechanical_Equipment_09" localSheetId="29">'[60]Key Assumption1'!$C$19</definedName>
    <definedName name="Pre_Treatment__Mechanical_Equipment_09" localSheetId="11">'[60]Key Assumption1'!$C$19</definedName>
    <definedName name="Pre_Treatment__Mechanical_Equipment_09" localSheetId="40">'[61]Key Assumption1'!$C$19</definedName>
    <definedName name="Pre_Treatment__Mechanical_Equipment_09">'[61]Key Assumption1'!$C$19</definedName>
    <definedName name="Premium_Payment">[32]Assum!$H$80:$H$99</definedName>
    <definedName name="_xlnm.Print_Area" localSheetId="26">'CF-ACPL'!$A$1:$A$58</definedName>
    <definedName name="_xlnm.Print_Area" localSheetId="25">'CF-ACPL（合并）'!$A$1:$A$58</definedName>
    <definedName name="_xlnm.Print_Area" localSheetId="30">'CF-ACPLGZ'!$A$1:$A$58</definedName>
    <definedName name="_xlnm.Print_Area" localSheetId="27">'CF-ACPLHK'!$A$1:$A$58</definedName>
    <definedName name="_xlnm.Print_Area" localSheetId="28">'CF-ACPLSZ'!$A$1:$A$58</definedName>
    <definedName name="_xlnm.Print_Area" localSheetId="31">'CF-ACPLYixing'!$A$1:$A$58</definedName>
    <definedName name="_xlnm.Print_Area" localSheetId="29">'CF-ACPSZL'!$A$1:$A$58</definedName>
    <definedName name="_xlnm.Print_Area" localSheetId="37">'FY25 S.3'!$A$1:$AG$151</definedName>
    <definedName name="_xlnm.Print_Area" localSheetId="32">SPACE!$A$1:$Z$93</definedName>
    <definedName name="_xlnm.Print_Area">#N/A</definedName>
    <definedName name="_xlnm.Print_Titles" localSheetId="19">#N/A</definedName>
    <definedName name="_xlnm.Print_Titles" localSheetId="23">#N/A</definedName>
    <definedName name="_xlnm.Print_Titles" localSheetId="20">#N/A</definedName>
    <definedName name="_xlnm.Print_Titles" localSheetId="22">#N/A</definedName>
    <definedName name="_xlnm.Print_Titles" localSheetId="24">#N/A</definedName>
    <definedName name="_xlnm.Print_Titles" localSheetId="21">#N/A</definedName>
    <definedName name="_xlnm.Print_Titles" localSheetId="13">#N/A</definedName>
    <definedName name="_xlnm.Print_Titles" localSheetId="17">#N/A</definedName>
    <definedName name="_xlnm.Print_Titles" localSheetId="14">#N/A</definedName>
    <definedName name="_xlnm.Print_Titles" localSheetId="16">#N/A</definedName>
    <definedName name="_xlnm.Print_Titles" localSheetId="15">#N/A</definedName>
    <definedName name="_xlnm.Print_Titles" localSheetId="18">#N/A</definedName>
    <definedName name="_xlnm.Print_Titles" localSheetId="12">#N/A</definedName>
    <definedName name="_xlnm.Print_Titles" localSheetId="26">[64]VAS!#REF!</definedName>
    <definedName name="_xlnm.Print_Titles" localSheetId="25">[64]VAS!#REF!</definedName>
    <definedName name="_xlnm.Print_Titles" localSheetId="30">[64]VAS!#REF!</definedName>
    <definedName name="_xlnm.Print_Titles" localSheetId="27">[64]VAS!#REF!</definedName>
    <definedName name="_xlnm.Print_Titles" localSheetId="28">[64]VAS!#REF!</definedName>
    <definedName name="_xlnm.Print_Titles" localSheetId="31">[64]VAS!#REF!</definedName>
    <definedName name="_xlnm.Print_Titles" localSheetId="29">[64]VAS!#REF!</definedName>
    <definedName name="_xlnm.Print_Titles" localSheetId="11">#N/A</definedName>
    <definedName name="_xlnm.Print_Titles" localSheetId="37">'FY25 S.3'!$7:$11</definedName>
    <definedName name="_xlnm.Print_Titles" localSheetId="40">[65]VAS!#REF!</definedName>
    <definedName name="_xlnm.Print_Titles" localSheetId="32">SPACE!$3:$4</definedName>
    <definedName name="_xlnm.Print_Titles">[65]VAS!#REF!</definedName>
    <definedName name="print99" localSheetId="26" hidden="1">{#N/A,#N/A,FALSE,"Resid CPRIV";#N/A,#N/A,FALSE,"Comer_CPRIVKsum";#N/A,#N/A,FALSE,"General (2)";#N/A,#N/A,FALSE,"Oficial";#N/A,#N/A,FALSE,"Resumen";#N/A,#N/A,FALSE,"Escenarios"}</definedName>
    <definedName name="print99" localSheetId="25" hidden="1">{#N/A,#N/A,FALSE,"Resid CPRIV";#N/A,#N/A,FALSE,"Comer_CPRIVKsum";#N/A,#N/A,FALSE,"General (2)";#N/A,#N/A,FALSE,"Oficial";#N/A,#N/A,FALSE,"Resumen";#N/A,#N/A,FALSE,"Escenarios"}</definedName>
    <definedName name="print99" localSheetId="30" hidden="1">{#N/A,#N/A,FALSE,"Resid CPRIV";#N/A,#N/A,FALSE,"Comer_CPRIVKsum";#N/A,#N/A,FALSE,"General (2)";#N/A,#N/A,FALSE,"Oficial";#N/A,#N/A,FALSE,"Resumen";#N/A,#N/A,FALSE,"Escenarios"}</definedName>
    <definedName name="print99" localSheetId="27" hidden="1">{#N/A,#N/A,FALSE,"Resid CPRIV";#N/A,#N/A,FALSE,"Comer_CPRIVKsum";#N/A,#N/A,FALSE,"General (2)";#N/A,#N/A,FALSE,"Oficial";#N/A,#N/A,FALSE,"Resumen";#N/A,#N/A,FALSE,"Escenarios"}</definedName>
    <definedName name="print99" localSheetId="28" hidden="1">{#N/A,#N/A,FALSE,"Resid CPRIV";#N/A,#N/A,FALSE,"Comer_CPRIVKsum";#N/A,#N/A,FALSE,"General (2)";#N/A,#N/A,FALSE,"Oficial";#N/A,#N/A,FALSE,"Resumen";#N/A,#N/A,FALSE,"Escenarios"}</definedName>
    <definedName name="print99" localSheetId="31" hidden="1">{#N/A,#N/A,FALSE,"Resid CPRIV";#N/A,#N/A,FALSE,"Comer_CPRIVKsum";#N/A,#N/A,FALSE,"General (2)";#N/A,#N/A,FALSE,"Oficial";#N/A,#N/A,FALSE,"Resumen";#N/A,#N/A,FALSE,"Escenarios"}</definedName>
    <definedName name="print99" localSheetId="29" hidden="1">{#N/A,#N/A,FALSE,"Resid CPRIV";#N/A,#N/A,FALSE,"Comer_CPRIVKsum";#N/A,#N/A,FALSE,"General (2)";#N/A,#N/A,FALSE,"Oficial";#N/A,#N/A,FALSE,"Resumen";#N/A,#N/A,FALSE,"Escenarios"}</definedName>
    <definedName name="print99" hidden="1">{#N/A,#N/A,FALSE,"Resid CPRIV";#N/A,#N/A,FALSE,"Comer_CPRIVKsum";#N/A,#N/A,FALSE,"General (2)";#N/A,#N/A,FALSE,"Oficial";#N/A,#N/A,FALSE,"Resumen";#N/A,#N/A,FALSE,"Escenarios"}</definedName>
    <definedName name="PrintDRAFTYN">[15]START!$G$42</definedName>
    <definedName name="PS_Multiple">'[18]1_ShortName_Calculation_Meta'!$G$198:$G$222</definedName>
    <definedName name="PS_Multiple_2">'[18]1_ShortName_Calculation_Meta'!$J$198:$J$222</definedName>
    <definedName name="PS_Selected">'[18]1_ShortName_Calculation_Meta'!$I$197</definedName>
    <definedName name="PS_Selected_Bar">'[18]1_ShortName_Calculation_Meta'!$I$198:$I$222</definedName>
    <definedName name="PS_Selected_Bar_2">'[18]1_ShortName_Calculation_Meta'!$L$198:$L$222</definedName>
    <definedName name="Public">'[15]INC STAT Hist Input'!$AC$1</definedName>
    <definedName name="Public_hollidays" localSheetId="19">#REF!</definedName>
    <definedName name="Public_hollidays" localSheetId="23">#REF!</definedName>
    <definedName name="Public_hollidays" localSheetId="20">#REF!</definedName>
    <definedName name="Public_hollidays" localSheetId="22">#REF!</definedName>
    <definedName name="Public_hollidays" localSheetId="24">#REF!</definedName>
    <definedName name="Public_hollidays" localSheetId="21">#REF!</definedName>
    <definedName name="Public_hollidays" localSheetId="13">#REF!</definedName>
    <definedName name="Public_hollidays" localSheetId="17">#REF!</definedName>
    <definedName name="Public_hollidays" localSheetId="14">#REF!</definedName>
    <definedName name="Public_hollidays" localSheetId="16">#REF!</definedName>
    <definedName name="Public_hollidays" localSheetId="15">#REF!</definedName>
    <definedName name="Public_hollidays" localSheetId="18">#REF!</definedName>
    <definedName name="Public_hollidays" localSheetId="12">#REF!</definedName>
    <definedName name="Public_hollidays" localSheetId="26">#REF!</definedName>
    <definedName name="Public_hollidays" localSheetId="25">#REF!</definedName>
    <definedName name="Public_hollidays" localSheetId="30">#REF!</definedName>
    <definedName name="Public_hollidays" localSheetId="27">#REF!</definedName>
    <definedName name="Public_hollidays" localSheetId="28">#REF!</definedName>
    <definedName name="Public_hollidays" localSheetId="31">#REF!</definedName>
    <definedName name="Public_hollidays" localSheetId="29">#REF!</definedName>
    <definedName name="Public_hollidays" localSheetId="11">#REF!</definedName>
    <definedName name="Public_hollidays" localSheetId="37">#REF!</definedName>
    <definedName name="Public_hollidays" localSheetId="39">#REF!</definedName>
    <definedName name="Public_hollidays" localSheetId="38">'Other Exp'!#REF!</definedName>
    <definedName name="Public_hollidays" localSheetId="40">#REF!</definedName>
    <definedName name="Public_hollidays" localSheetId="34">'Prof. Fee'!#REF!</definedName>
    <definedName name="Public_hollidays" localSheetId="33">'T&amp;E'!#REF!</definedName>
    <definedName name="Public_hollidays">#REF!</definedName>
    <definedName name="purch_type" localSheetId="19">#REF!</definedName>
    <definedName name="purch_type" localSheetId="23">#REF!</definedName>
    <definedName name="purch_type" localSheetId="20">#REF!</definedName>
    <definedName name="purch_type" localSheetId="22">#REF!</definedName>
    <definedName name="purch_type" localSheetId="24">#REF!</definedName>
    <definedName name="purch_type" localSheetId="21">#REF!</definedName>
    <definedName name="purch_type" localSheetId="13">#REF!</definedName>
    <definedName name="purch_type" localSheetId="17">#REF!</definedName>
    <definedName name="purch_type" localSheetId="14">#REF!</definedName>
    <definedName name="purch_type" localSheetId="16">#REF!</definedName>
    <definedName name="purch_type" localSheetId="15">#REF!</definedName>
    <definedName name="purch_type" localSheetId="18">#REF!</definedName>
    <definedName name="purch_type" localSheetId="12">#REF!</definedName>
    <definedName name="purch_type" localSheetId="26">#REF!</definedName>
    <definedName name="purch_type" localSheetId="25">#REF!</definedName>
    <definedName name="purch_type" localSheetId="30">#REF!</definedName>
    <definedName name="purch_type" localSheetId="27">#REF!</definedName>
    <definedName name="purch_type" localSheetId="28">#REF!</definedName>
    <definedName name="purch_type" localSheetId="31">#REF!</definedName>
    <definedName name="purch_type" localSheetId="29">#REF!</definedName>
    <definedName name="purch_type" localSheetId="11">#REF!</definedName>
    <definedName name="purch_type" localSheetId="37">#REF!</definedName>
    <definedName name="purch_type" localSheetId="39">#REF!</definedName>
    <definedName name="purch_type" localSheetId="38">'Other Exp'!#REF!</definedName>
    <definedName name="purch_type" localSheetId="40">#REF!</definedName>
    <definedName name="purch_type" localSheetId="34">'Prof. Fee'!#REF!</definedName>
    <definedName name="purch_type" localSheetId="33">'T&amp;E'!#REF!</definedName>
    <definedName name="purch_type">#REF!</definedName>
    <definedName name="q" hidden="1">#N/A</definedName>
    <definedName name="QLD_HC" localSheetId="19">#REF!</definedName>
    <definedName name="QLD_HC" localSheetId="23">#REF!</definedName>
    <definedName name="QLD_HC" localSheetId="20">#REF!</definedName>
    <definedName name="QLD_HC" localSheetId="22">#REF!</definedName>
    <definedName name="QLD_HC" localSheetId="24">#REF!</definedName>
    <definedName name="QLD_HC" localSheetId="21">#REF!</definedName>
    <definedName name="QLD_HC" localSheetId="13">#REF!</definedName>
    <definedName name="QLD_HC" localSheetId="17">#REF!</definedName>
    <definedName name="QLD_HC" localSheetId="14">#REF!</definedName>
    <definedName name="QLD_HC" localSheetId="16">#REF!</definedName>
    <definedName name="QLD_HC" localSheetId="15">#REF!</definedName>
    <definedName name="QLD_HC" localSheetId="18">#REF!</definedName>
    <definedName name="QLD_HC" localSheetId="12">#REF!</definedName>
    <definedName name="QLD_HC" localSheetId="26">#REF!</definedName>
    <definedName name="QLD_HC" localSheetId="25">#REF!</definedName>
    <definedName name="QLD_HC" localSheetId="30">#REF!</definedName>
    <definedName name="QLD_HC" localSheetId="27">#REF!</definedName>
    <definedName name="QLD_HC" localSheetId="28">#REF!</definedName>
    <definedName name="QLD_HC" localSheetId="31">#REF!</definedName>
    <definedName name="QLD_HC" localSheetId="29">#REF!</definedName>
    <definedName name="QLD_HC" localSheetId="11">#REF!</definedName>
    <definedName name="QLD_HC" localSheetId="37">#REF!</definedName>
    <definedName name="QLD_HC" localSheetId="38">#REF!</definedName>
    <definedName name="QLD_HC" localSheetId="40">#REF!</definedName>
    <definedName name="QLD_HC" localSheetId="34">#REF!</definedName>
    <definedName name="QLD_HC" localSheetId="33">#REF!</definedName>
    <definedName name="QLD_HC">#REF!</definedName>
    <definedName name="qqq">'[66]cost center '!#REF!</definedName>
    <definedName name="QRev_Ranges_for_distribution" localSheetId="19">#REF!</definedName>
    <definedName name="QRev_Ranges_for_distribution" localSheetId="23">#REF!</definedName>
    <definedName name="QRev_Ranges_for_distribution" localSheetId="20">#REF!</definedName>
    <definedName name="QRev_Ranges_for_distribution" localSheetId="22">#REF!</definedName>
    <definedName name="QRev_Ranges_for_distribution" localSheetId="24">#REF!</definedName>
    <definedName name="QRev_Ranges_for_distribution" localSheetId="21">#REF!</definedName>
    <definedName name="QRev_Ranges_for_distribution" localSheetId="13">#REF!</definedName>
    <definedName name="QRev_Ranges_for_distribution" localSheetId="17">#REF!</definedName>
    <definedName name="QRev_Ranges_for_distribution" localSheetId="14">#REF!</definedName>
    <definedName name="QRev_Ranges_for_distribution" localSheetId="16">#REF!</definedName>
    <definedName name="QRev_Ranges_for_distribution" localSheetId="15">#REF!</definedName>
    <definedName name="QRev_Ranges_for_distribution" localSheetId="18">#REF!</definedName>
    <definedName name="QRev_Ranges_for_distribution" localSheetId="12">#REF!</definedName>
    <definedName name="QRev_Ranges_for_distribution" localSheetId="26">#REF!</definedName>
    <definedName name="QRev_Ranges_for_distribution" localSheetId="25">#REF!</definedName>
    <definedName name="QRev_Ranges_for_distribution" localSheetId="30">#REF!</definedName>
    <definedName name="QRev_Ranges_for_distribution" localSheetId="27">#REF!</definedName>
    <definedName name="QRev_Ranges_for_distribution" localSheetId="28">#REF!</definedName>
    <definedName name="QRev_Ranges_for_distribution" localSheetId="31">#REF!</definedName>
    <definedName name="QRev_Ranges_for_distribution" localSheetId="29">#REF!</definedName>
    <definedName name="QRev_Ranges_for_distribution" localSheetId="11">#REF!</definedName>
    <definedName name="QRev_Ranges_for_distribution" localSheetId="38">#REF!</definedName>
    <definedName name="QRev_Ranges_for_distribution" localSheetId="40">#REF!</definedName>
    <definedName name="QRev_Ranges_for_distribution" localSheetId="34">#REF!</definedName>
    <definedName name="QRev_Ranges_for_distribution" localSheetId="33">#REF!</definedName>
    <definedName name="QRev_Ranges_for_distribution">#REF!</definedName>
    <definedName name="qtystm" localSheetId="26">#REF!</definedName>
    <definedName name="qtystm" localSheetId="25">#REF!</definedName>
    <definedName name="qtystm" localSheetId="30">#REF!</definedName>
    <definedName name="qtystm" localSheetId="27">#REF!</definedName>
    <definedName name="qtystm" localSheetId="28">#REF!</definedName>
    <definedName name="qtystm" localSheetId="31">#REF!</definedName>
    <definedName name="qtystm" localSheetId="29">#REF!</definedName>
    <definedName name="qtystm" localSheetId="40">#REF!</definedName>
    <definedName name="qtystm">#REF!</definedName>
    <definedName name="RankingList">'[15]DATA GPC'!$AO$2:$AO$53</definedName>
    <definedName name="RankingListSet">'[15]DATA GPC'!$AO$1</definedName>
    <definedName name="RankPremier" localSheetId="19">#REF!</definedName>
    <definedName name="RankPremier" localSheetId="23">#REF!</definedName>
    <definedName name="RankPremier" localSheetId="20">#REF!</definedName>
    <definedName name="RankPremier" localSheetId="22">#REF!</definedName>
    <definedName name="RankPremier" localSheetId="24">#REF!</definedName>
    <definedName name="RankPremier" localSheetId="21">#REF!</definedName>
    <definedName name="RankPremier" localSheetId="13">#REF!</definedName>
    <definedName name="RankPremier" localSheetId="17">#REF!</definedName>
    <definedName name="RankPremier" localSheetId="14">#REF!</definedName>
    <definedName name="RankPremier" localSheetId="16">#REF!</definedName>
    <definedName name="RankPremier" localSheetId="15">#REF!</definedName>
    <definedName name="RankPremier" localSheetId="18">#REF!</definedName>
    <definedName name="RankPremier" localSheetId="12">#REF!</definedName>
    <definedName name="RankPremier" localSheetId="26">#REF!</definedName>
    <definedName name="RankPremier" localSheetId="25">#REF!</definedName>
    <definedName name="RankPremier" localSheetId="30">#REF!</definedName>
    <definedName name="RankPremier" localSheetId="27">#REF!</definedName>
    <definedName name="RankPremier" localSheetId="28">#REF!</definedName>
    <definedName name="RankPremier" localSheetId="31">#REF!</definedName>
    <definedName name="RankPremier" localSheetId="29">#REF!</definedName>
    <definedName name="RankPremier" localSheetId="11">#REF!</definedName>
    <definedName name="RankPremier" localSheetId="38">#REF!</definedName>
    <definedName name="RankPremier" localSheetId="40">#REF!</definedName>
    <definedName name="RankPremier" localSheetId="34">#REF!</definedName>
    <definedName name="RankPremier" localSheetId="33">#REF!</definedName>
    <definedName name="RankPremier">#REF!</definedName>
    <definedName name="rate" localSheetId="19">1</definedName>
    <definedName name="rate" localSheetId="23">1</definedName>
    <definedName name="rate" localSheetId="20">1</definedName>
    <definedName name="rate" localSheetId="22">1</definedName>
    <definedName name="rate" localSheetId="24">1</definedName>
    <definedName name="rate" localSheetId="21">1</definedName>
    <definedName name="rate" localSheetId="13">1</definedName>
    <definedName name="rate" localSheetId="17">1</definedName>
    <definedName name="rate" localSheetId="14">1</definedName>
    <definedName name="rate" localSheetId="16">1</definedName>
    <definedName name="rate" localSheetId="15">1</definedName>
    <definedName name="rate" localSheetId="18">1</definedName>
    <definedName name="rate" localSheetId="12">1</definedName>
    <definedName name="rate" localSheetId="26">1</definedName>
    <definedName name="rate" localSheetId="25">1</definedName>
    <definedName name="rate" localSheetId="30">1</definedName>
    <definedName name="rate" localSheetId="27">1</definedName>
    <definedName name="rate" localSheetId="28">1</definedName>
    <definedName name="rate" localSheetId="31">1</definedName>
    <definedName name="rate" localSheetId="29">1</definedName>
    <definedName name="rate" localSheetId="11">1</definedName>
    <definedName name="Rate" localSheetId="37">data</definedName>
    <definedName name="Rate" localSheetId="39">data</definedName>
    <definedName name="Rate" localSheetId="38">[50]!data</definedName>
    <definedName name="Rate" localSheetId="40">'Personnel-CN'!data</definedName>
    <definedName name="Rate" localSheetId="34">[50]!data</definedName>
    <definedName name="Rate" localSheetId="33">[50]!data</definedName>
    <definedName name="rate" localSheetId="36">1</definedName>
    <definedName name="Rate">data</definedName>
    <definedName name="Raw_Industrial_Water">[44]ut!#REF!</definedName>
    <definedName name="ReceiveLag" localSheetId="19">'[48]假设 Inputs'!$M$685</definedName>
    <definedName name="ReceiveLag" localSheetId="23">'[48]假设 Inputs'!$M$685</definedName>
    <definedName name="ReceiveLag" localSheetId="20">'[48]假设 Inputs'!$M$685</definedName>
    <definedName name="ReceiveLag" localSheetId="22">'[48]假设 Inputs'!$M$685</definedName>
    <definedName name="ReceiveLag" localSheetId="24">'[48]假设 Inputs'!$M$685</definedName>
    <definedName name="ReceiveLag" localSheetId="21">'[48]假设 Inputs'!$M$685</definedName>
    <definedName name="ReceiveLag" localSheetId="13">'[48]假设 Inputs'!$M$685</definedName>
    <definedName name="ReceiveLag" localSheetId="17">'[48]假设 Inputs'!$M$685</definedName>
    <definedName name="ReceiveLag" localSheetId="14">'[48]假设 Inputs'!$M$685</definedName>
    <definedName name="ReceiveLag" localSheetId="16">'[48]假设 Inputs'!$M$685</definedName>
    <definedName name="ReceiveLag" localSheetId="15">'[48]假设 Inputs'!$M$685</definedName>
    <definedName name="ReceiveLag" localSheetId="18">'[48]假设 Inputs'!$M$685</definedName>
    <definedName name="ReceiveLag" localSheetId="12">'[48]假设 Inputs'!$M$685</definedName>
    <definedName name="ReceiveLag" localSheetId="26">'[48]假设 Inputs'!$M$685</definedName>
    <definedName name="ReceiveLag" localSheetId="25">'[48]假设 Inputs'!$M$685</definedName>
    <definedName name="ReceiveLag" localSheetId="30">'[48]假设 Inputs'!$M$685</definedName>
    <definedName name="ReceiveLag" localSheetId="27">'[48]假设 Inputs'!$M$685</definedName>
    <definedName name="ReceiveLag" localSheetId="28">'[48]假设 Inputs'!$M$685</definedName>
    <definedName name="ReceiveLag" localSheetId="31">'[48]假设 Inputs'!$M$685</definedName>
    <definedName name="ReceiveLag" localSheetId="29">'[48]假设 Inputs'!$M$685</definedName>
    <definedName name="ReceiveLag" localSheetId="11">'[48]假设 Inputs'!$M$685</definedName>
    <definedName name="ReceiveLag" localSheetId="36">'[48]假设 Inputs'!$M$685</definedName>
    <definedName name="ReceiveLag">'[17]假设 Inputs'!$M$685</definedName>
    <definedName name="Recoded_ICMS_file_with_EDS_matrix_coding" localSheetId="19">#REF!</definedName>
    <definedName name="Recoded_ICMS_file_with_EDS_matrix_coding" localSheetId="23">#REF!</definedName>
    <definedName name="Recoded_ICMS_file_with_EDS_matrix_coding" localSheetId="20">#REF!</definedName>
    <definedName name="Recoded_ICMS_file_with_EDS_matrix_coding" localSheetId="22">#REF!</definedName>
    <definedName name="Recoded_ICMS_file_with_EDS_matrix_coding" localSheetId="24">#REF!</definedName>
    <definedName name="Recoded_ICMS_file_with_EDS_matrix_coding" localSheetId="21">#REF!</definedName>
    <definedName name="Recoded_ICMS_file_with_EDS_matrix_coding" localSheetId="13">#REF!</definedName>
    <definedName name="Recoded_ICMS_file_with_EDS_matrix_coding" localSheetId="17">#REF!</definedName>
    <definedName name="Recoded_ICMS_file_with_EDS_matrix_coding" localSheetId="14">#REF!</definedName>
    <definedName name="Recoded_ICMS_file_with_EDS_matrix_coding" localSheetId="16">#REF!</definedName>
    <definedName name="Recoded_ICMS_file_with_EDS_matrix_coding" localSheetId="15">#REF!</definedName>
    <definedName name="Recoded_ICMS_file_with_EDS_matrix_coding" localSheetId="18">#REF!</definedName>
    <definedName name="Recoded_ICMS_file_with_EDS_matrix_coding" localSheetId="12">#REF!</definedName>
    <definedName name="Recoded_ICMS_file_with_EDS_matrix_coding" localSheetId="26">#REF!</definedName>
    <definedName name="Recoded_ICMS_file_with_EDS_matrix_coding" localSheetId="25">#REF!</definedName>
    <definedName name="Recoded_ICMS_file_with_EDS_matrix_coding" localSheetId="30">#REF!</definedName>
    <definedName name="Recoded_ICMS_file_with_EDS_matrix_coding" localSheetId="27">#REF!</definedName>
    <definedName name="Recoded_ICMS_file_with_EDS_matrix_coding" localSheetId="28">#REF!</definedName>
    <definedName name="Recoded_ICMS_file_with_EDS_matrix_coding" localSheetId="31">#REF!</definedName>
    <definedName name="Recoded_ICMS_file_with_EDS_matrix_coding" localSheetId="29">#REF!</definedName>
    <definedName name="Recoded_ICMS_file_with_EDS_matrix_coding" localSheetId="11">#REF!</definedName>
    <definedName name="Recoded_ICMS_file_with_EDS_matrix_coding" localSheetId="37">#REF!</definedName>
    <definedName name="Recoded_ICMS_file_with_EDS_matrix_coding" localSheetId="39">#REF!</definedName>
    <definedName name="Recoded_ICMS_file_with_EDS_matrix_coding" localSheetId="38">#REF!</definedName>
    <definedName name="Recoded_ICMS_file_with_EDS_matrix_coding" localSheetId="40">#REF!</definedName>
    <definedName name="Recoded_ICMS_file_with_EDS_matrix_coding" localSheetId="34">#REF!</definedName>
    <definedName name="Recoded_ICMS_file_with_EDS_matrix_coding" localSheetId="33">#REF!</definedName>
    <definedName name="Recoded_ICMS_file_with_EDS_matrix_coding">#REF!</definedName>
    <definedName name="Recoded_SN_file_with_EDS_matrix_coding" localSheetId="19">#REF!</definedName>
    <definedName name="Recoded_SN_file_with_EDS_matrix_coding" localSheetId="23">#REF!</definedName>
    <definedName name="Recoded_SN_file_with_EDS_matrix_coding" localSheetId="20">#REF!</definedName>
    <definedName name="Recoded_SN_file_with_EDS_matrix_coding" localSheetId="22">#REF!</definedName>
    <definedName name="Recoded_SN_file_with_EDS_matrix_coding" localSheetId="24">#REF!</definedName>
    <definedName name="Recoded_SN_file_with_EDS_matrix_coding" localSheetId="21">#REF!</definedName>
    <definedName name="Recoded_SN_file_with_EDS_matrix_coding" localSheetId="13">#REF!</definedName>
    <definedName name="Recoded_SN_file_with_EDS_matrix_coding" localSheetId="17">#REF!</definedName>
    <definedName name="Recoded_SN_file_with_EDS_matrix_coding" localSheetId="14">#REF!</definedName>
    <definedName name="Recoded_SN_file_with_EDS_matrix_coding" localSheetId="16">#REF!</definedName>
    <definedName name="Recoded_SN_file_with_EDS_matrix_coding" localSheetId="15">#REF!</definedName>
    <definedName name="Recoded_SN_file_with_EDS_matrix_coding" localSheetId="18">#REF!</definedName>
    <definedName name="Recoded_SN_file_with_EDS_matrix_coding" localSheetId="12">#REF!</definedName>
    <definedName name="Recoded_SN_file_with_EDS_matrix_coding" localSheetId="26">#REF!</definedName>
    <definedName name="Recoded_SN_file_with_EDS_matrix_coding" localSheetId="25">#REF!</definedName>
    <definedName name="Recoded_SN_file_with_EDS_matrix_coding" localSheetId="30">#REF!</definedName>
    <definedName name="Recoded_SN_file_with_EDS_matrix_coding" localSheetId="27">#REF!</definedName>
    <definedName name="Recoded_SN_file_with_EDS_matrix_coding" localSheetId="28">#REF!</definedName>
    <definedName name="Recoded_SN_file_with_EDS_matrix_coding" localSheetId="31">#REF!</definedName>
    <definedName name="Recoded_SN_file_with_EDS_matrix_coding" localSheetId="29">#REF!</definedName>
    <definedName name="Recoded_SN_file_with_EDS_matrix_coding" localSheetId="11">#REF!</definedName>
    <definedName name="Recoded_SN_file_with_EDS_matrix_coding" localSheetId="39">#REF!</definedName>
    <definedName name="Recoded_SN_file_with_EDS_matrix_coding" localSheetId="38">#REF!</definedName>
    <definedName name="Recoded_SN_file_with_EDS_matrix_coding" localSheetId="40">#REF!</definedName>
    <definedName name="Recoded_SN_file_with_EDS_matrix_coding" localSheetId="34">#REF!</definedName>
    <definedName name="Recoded_SN_file_with_EDS_matrix_coding" localSheetId="33">#REF!</definedName>
    <definedName name="Recoded_SN_file_with_EDS_matrix_coding">#REF!</definedName>
    <definedName name="_xlnm.Recorder" localSheetId="26" hidden="1">#REF!</definedName>
    <definedName name="_xlnm.Recorder" localSheetId="25" hidden="1">#REF!</definedName>
    <definedName name="_xlnm.Recorder" localSheetId="30" hidden="1">#REF!</definedName>
    <definedName name="_xlnm.Recorder" localSheetId="27" hidden="1">#REF!</definedName>
    <definedName name="_xlnm.Recorder" localSheetId="28" hidden="1">#REF!</definedName>
    <definedName name="_xlnm.Recorder" localSheetId="31" hidden="1">#REF!</definedName>
    <definedName name="_xlnm.Recorder" localSheetId="29" hidden="1">#REF!</definedName>
    <definedName name="_xlnm.Recorder" localSheetId="40" hidden="1">#REF!</definedName>
    <definedName name="_xlnm.Recorder" hidden="1">#REF!</definedName>
    <definedName name="RedAlertY">'[15]Error Check'!$M$16</definedName>
    <definedName name="RegionFormat">[15]Settings!$M$40</definedName>
    <definedName name="RegionFormatList">[15]Settings!$M$37:$M$39</definedName>
    <definedName name="ReleverTaxRate">'[15]WACC and TIC Inputs'!$L$86</definedName>
    <definedName name="Report_Version_4">"A1"</definedName>
    <definedName name="report99" localSheetId="26" hidden="1">{"Rep 1",#N/A,FALSE,"Reports";"Rep 2",#N/A,FALSE,"Reports";"Rep 3",#N/A,FALSE,"Reports";"Rep 4",#N/A,FALSE,"Reports"}</definedName>
    <definedName name="report99" localSheetId="25" hidden="1">{"Rep 1",#N/A,FALSE,"Reports";"Rep 2",#N/A,FALSE,"Reports";"Rep 3",#N/A,FALSE,"Reports";"Rep 4",#N/A,FALSE,"Reports"}</definedName>
    <definedName name="report99" localSheetId="30" hidden="1">{"Rep 1",#N/A,FALSE,"Reports";"Rep 2",#N/A,FALSE,"Reports";"Rep 3",#N/A,FALSE,"Reports";"Rep 4",#N/A,FALSE,"Reports"}</definedName>
    <definedName name="report99" localSheetId="27" hidden="1">{"Rep 1",#N/A,FALSE,"Reports";"Rep 2",#N/A,FALSE,"Reports";"Rep 3",#N/A,FALSE,"Reports";"Rep 4",#N/A,FALSE,"Reports"}</definedName>
    <definedName name="report99" localSheetId="28" hidden="1">{"Rep 1",#N/A,FALSE,"Reports";"Rep 2",#N/A,FALSE,"Reports";"Rep 3",#N/A,FALSE,"Reports";"Rep 4",#N/A,FALSE,"Reports"}</definedName>
    <definedName name="report99" localSheetId="31" hidden="1">{"Rep 1",#N/A,FALSE,"Reports";"Rep 2",#N/A,FALSE,"Reports";"Rep 3",#N/A,FALSE,"Reports";"Rep 4",#N/A,FALSE,"Reports"}</definedName>
    <definedName name="report99" localSheetId="29" hidden="1">{"Rep 1",#N/A,FALSE,"Reports";"Rep 2",#N/A,FALSE,"Reports";"Rep 3",#N/A,FALSE,"Reports";"Rep 4",#N/A,FALSE,"Reports"}</definedName>
    <definedName name="report99" hidden="1">{"Rep 1",#N/A,FALSE,"Reports";"Rep 2",#N/A,FALSE,"Reports";"Rep 3",#N/A,FALSE,"Reports";"Rep 4",#N/A,FALSE,"Reports"}</definedName>
    <definedName name="ReportType">'[15]DATA GPC'!$M$12</definedName>
    <definedName name="Revised_Job_Matches_all" localSheetId="19">#REF!</definedName>
    <definedName name="Revised_Job_Matches_all" localSheetId="23">#REF!</definedName>
    <definedName name="Revised_Job_Matches_all" localSheetId="20">#REF!</definedName>
    <definedName name="Revised_Job_Matches_all" localSheetId="22">#REF!</definedName>
    <definedName name="Revised_Job_Matches_all" localSheetId="24">#REF!</definedName>
    <definedName name="Revised_Job_Matches_all" localSheetId="21">#REF!</definedName>
    <definedName name="Revised_Job_Matches_all" localSheetId="13">#REF!</definedName>
    <definedName name="Revised_Job_Matches_all" localSheetId="17">#REF!</definedName>
    <definedName name="Revised_Job_Matches_all" localSheetId="14">#REF!</definedName>
    <definedName name="Revised_Job_Matches_all" localSheetId="16">#REF!</definedName>
    <definedName name="Revised_Job_Matches_all" localSheetId="15">#REF!</definedName>
    <definedName name="Revised_Job_Matches_all" localSheetId="18">#REF!</definedName>
    <definedName name="Revised_Job_Matches_all" localSheetId="12">#REF!</definedName>
    <definedName name="Revised_Job_Matches_all" localSheetId="26">#REF!</definedName>
    <definedName name="Revised_Job_Matches_all" localSheetId="25">#REF!</definedName>
    <definedName name="Revised_Job_Matches_all" localSheetId="30">#REF!</definedName>
    <definedName name="Revised_Job_Matches_all" localSheetId="27">#REF!</definedName>
    <definedName name="Revised_Job_Matches_all" localSheetId="28">#REF!</definedName>
    <definedName name="Revised_Job_Matches_all" localSheetId="31">#REF!</definedName>
    <definedName name="Revised_Job_Matches_all" localSheetId="29">#REF!</definedName>
    <definedName name="Revised_Job_Matches_all" localSheetId="11">#REF!</definedName>
    <definedName name="Revised_Job_Matches_all" localSheetId="39">#REF!</definedName>
    <definedName name="Revised_Job_Matches_all" localSheetId="38">#REF!</definedName>
    <definedName name="Revised_Job_Matches_all" localSheetId="40">#REF!</definedName>
    <definedName name="Revised_Job_Matches_all" localSheetId="34">#REF!</definedName>
    <definedName name="Revised_Job_Matches_all" localSheetId="33">#REF!</definedName>
    <definedName name="Revised_Job_Matches_all">#REF!</definedName>
    <definedName name="RFRate" localSheetId="19">#REF!</definedName>
    <definedName name="RFRate" localSheetId="23">#REF!</definedName>
    <definedName name="RFRate" localSheetId="20">#REF!</definedName>
    <definedName name="RFRate" localSheetId="22">#REF!</definedName>
    <definedName name="RFRate" localSheetId="24">#REF!</definedName>
    <definedName name="RFRate" localSheetId="21">#REF!</definedName>
    <definedName name="RFRate" localSheetId="13">#REF!</definedName>
    <definedName name="RFRate" localSheetId="17">#REF!</definedName>
    <definedName name="RFRate" localSheetId="14">#REF!</definedName>
    <definedName name="RFRate" localSheetId="16">#REF!</definedName>
    <definedName name="RFRate" localSheetId="15">#REF!</definedName>
    <definedName name="RFRate" localSheetId="18">#REF!</definedName>
    <definedName name="RFRate" localSheetId="12">#REF!</definedName>
    <definedName name="RFRate" localSheetId="26">#REF!</definedName>
    <definedName name="RFRate" localSheetId="25">#REF!</definedName>
    <definedName name="RFRate" localSheetId="30">#REF!</definedName>
    <definedName name="RFRate" localSheetId="27">#REF!</definedName>
    <definedName name="RFRate" localSheetId="28">#REF!</definedName>
    <definedName name="RFRate" localSheetId="31">#REF!</definedName>
    <definedName name="RFRate" localSheetId="29">#REF!</definedName>
    <definedName name="RFRate" localSheetId="11">#REF!</definedName>
    <definedName name="RFRate" localSheetId="40">#REF!</definedName>
    <definedName name="RFRate">#REF!</definedName>
    <definedName name="riw">[44]ut!#REF!</definedName>
    <definedName name="ROT" localSheetId="19">#REF!</definedName>
    <definedName name="ROT" localSheetId="23">#REF!</definedName>
    <definedName name="ROT" localSheetId="20">#REF!</definedName>
    <definedName name="ROT" localSheetId="22">#REF!</definedName>
    <definedName name="ROT" localSheetId="24">#REF!</definedName>
    <definedName name="ROT" localSheetId="21">#REF!</definedName>
    <definedName name="ROT" localSheetId="13">#REF!</definedName>
    <definedName name="ROT" localSheetId="17">#REF!</definedName>
    <definedName name="ROT" localSheetId="14">#REF!</definedName>
    <definedName name="ROT" localSheetId="16">#REF!</definedName>
    <definedName name="ROT" localSheetId="15">#REF!</definedName>
    <definedName name="ROT" localSheetId="18">#REF!</definedName>
    <definedName name="ROT" localSheetId="12">#REF!</definedName>
    <definedName name="ROT" localSheetId="26">#REF!</definedName>
    <definedName name="ROT" localSheetId="25">#REF!</definedName>
    <definedName name="ROT" localSheetId="30">#REF!</definedName>
    <definedName name="ROT" localSheetId="27">#REF!</definedName>
    <definedName name="ROT" localSheetId="28">#REF!</definedName>
    <definedName name="ROT" localSheetId="31">#REF!</definedName>
    <definedName name="ROT" localSheetId="29">#REF!</definedName>
    <definedName name="ROT" localSheetId="11">#REF!</definedName>
    <definedName name="ROT" localSheetId="37">#REF!</definedName>
    <definedName name="ROT" localSheetId="39">#REF!</definedName>
    <definedName name="ROT" localSheetId="38">'Other Exp'!#REF!</definedName>
    <definedName name="ROT" localSheetId="40">#REF!</definedName>
    <definedName name="ROT" localSheetId="34">'Prof. Fee'!#REF!</definedName>
    <definedName name="ROT" localSheetId="33">'T&amp;E'!#REF!</definedName>
    <definedName name="ROT">#REF!</definedName>
    <definedName name="RoundingDigit">[15]DCF!$G$67</definedName>
    <definedName name="RunDescription">[15]START!$G$13</definedName>
    <definedName name="SA_HC" localSheetId="19">#REF!</definedName>
    <definedName name="SA_HC" localSheetId="23">#REF!</definedName>
    <definedName name="SA_HC" localSheetId="20">#REF!</definedName>
    <definedName name="SA_HC" localSheetId="22">#REF!</definedName>
    <definedName name="SA_HC" localSheetId="24">#REF!</definedName>
    <definedName name="SA_HC" localSheetId="21">#REF!</definedName>
    <definedName name="SA_HC" localSheetId="13">#REF!</definedName>
    <definedName name="SA_HC" localSheetId="17">#REF!</definedName>
    <definedName name="SA_HC" localSheetId="14">#REF!</definedName>
    <definedName name="SA_HC" localSheetId="16">#REF!</definedName>
    <definedName name="SA_HC" localSheetId="15">#REF!</definedName>
    <definedName name="SA_HC" localSheetId="18">#REF!</definedName>
    <definedName name="SA_HC" localSheetId="12">#REF!</definedName>
    <definedName name="SA_HC" localSheetId="26">#REF!</definedName>
    <definedName name="SA_HC" localSheetId="25">#REF!</definedName>
    <definedName name="SA_HC" localSheetId="30">#REF!</definedName>
    <definedName name="SA_HC" localSheetId="27">#REF!</definedName>
    <definedName name="SA_HC" localSheetId="28">#REF!</definedName>
    <definedName name="SA_HC" localSheetId="31">#REF!</definedName>
    <definedName name="SA_HC" localSheetId="29">#REF!</definedName>
    <definedName name="SA_HC" localSheetId="11">#REF!</definedName>
    <definedName name="SA_HC" localSheetId="37">#REF!</definedName>
    <definedName name="SA_HC" localSheetId="38">#REF!</definedName>
    <definedName name="SA_HC" localSheetId="40">#REF!</definedName>
    <definedName name="SA_HC" localSheetId="34">#REF!</definedName>
    <definedName name="SA_HC" localSheetId="33">#REF!</definedName>
    <definedName name="SA_HC">#REF!</definedName>
    <definedName name="SalCB" localSheetId="19">'[67]PL-G'!#REF!</definedName>
    <definedName name="SalCB" localSheetId="23">'[67]PL-G'!#REF!</definedName>
    <definedName name="SalCB" localSheetId="20">'[67]PL-G'!#REF!</definedName>
    <definedName name="SalCB" localSheetId="22">'[67]PL-G'!#REF!</definedName>
    <definedName name="SalCB" localSheetId="24">'[67]PL-G'!#REF!</definedName>
    <definedName name="SalCB" localSheetId="21">'[67]PL-G'!#REF!</definedName>
    <definedName name="SalCB" localSheetId="13">'[67]PL-G'!#REF!</definedName>
    <definedName name="SalCB" localSheetId="17">'[67]PL-G'!#REF!</definedName>
    <definedName name="SalCB" localSheetId="14">'[67]PL-G'!#REF!</definedName>
    <definedName name="SalCB" localSheetId="16">'[67]PL-G'!#REF!</definedName>
    <definedName name="SalCB" localSheetId="15">'[67]PL-G'!#REF!</definedName>
    <definedName name="SalCB" localSheetId="18">'[67]PL-G'!#REF!</definedName>
    <definedName name="SalCB" localSheetId="12">'[67]PL-G'!#REF!</definedName>
    <definedName name="SalCB" localSheetId="26">'[68]PL-G'!#REF!</definedName>
    <definedName name="SalCB" localSheetId="25">'[68]PL-G'!#REF!</definedName>
    <definedName name="SalCB" localSheetId="30">'[68]PL-G'!#REF!</definedName>
    <definedName name="SalCB" localSheetId="27">'[68]PL-G'!#REF!</definedName>
    <definedName name="SalCB" localSheetId="28">'[68]PL-G'!#REF!</definedName>
    <definedName name="SalCB" localSheetId="31">'[68]PL-G'!#REF!</definedName>
    <definedName name="SalCB" localSheetId="29">'[68]PL-G'!#REF!</definedName>
    <definedName name="SalCB" localSheetId="11">'[67]PL-G'!#REF!</definedName>
    <definedName name="SalCB" localSheetId="40">'[69]PL-G'!#REF!</definedName>
    <definedName name="SalCB">'[69]PL-G'!#REF!</definedName>
    <definedName name="SAPBEXdnldView">"4HAAR8QG0MUBRU1CZ65J2COYO"</definedName>
    <definedName name="SAPBEXhrIndnt" hidden="1">1</definedName>
    <definedName name="SAPBEXrevision" hidden="1">1</definedName>
    <definedName name="SAPBEXsysID" hidden="1">"PW2"</definedName>
    <definedName name="SAPBEXwbID" hidden="1">"3HJALEKQZFYG3CQRQMANJYOCJ"</definedName>
    <definedName name="Scale">'[15]DATA GPC'!$X$1</definedName>
    <definedName name="ScaleInput">[15]START!$G$38</definedName>
    <definedName name="Scenario">[32]Assum!$Q$7</definedName>
    <definedName name="Scenarios2" localSheetId="19">[70]Log!$B$499:$B$504</definedName>
    <definedName name="Scenarios2" localSheetId="23">[70]Log!$B$499:$B$504</definedName>
    <definedName name="Scenarios2" localSheetId="20">[70]Log!$B$499:$B$504</definedName>
    <definedName name="Scenarios2" localSheetId="22">[70]Log!$B$499:$B$504</definedName>
    <definedName name="Scenarios2" localSheetId="24">[70]Log!$B$499:$B$504</definedName>
    <definedName name="Scenarios2" localSheetId="21">[70]Log!$B$499:$B$504</definedName>
    <definedName name="Scenarios2" localSheetId="13">[70]Log!$B$499:$B$504</definedName>
    <definedName name="Scenarios2" localSheetId="17">[70]Log!$B$499:$B$504</definedName>
    <definedName name="Scenarios2" localSheetId="14">[70]Log!$B$499:$B$504</definedName>
    <definedName name="Scenarios2" localSheetId="16">[70]Log!$B$499:$B$504</definedName>
    <definedName name="Scenarios2" localSheetId="15">[70]Log!$B$499:$B$504</definedName>
    <definedName name="Scenarios2" localSheetId="18">[70]Log!$B$499:$B$504</definedName>
    <definedName name="Scenarios2" localSheetId="12">[70]Log!$B$499:$B$504</definedName>
    <definedName name="Scenarios2" localSheetId="26">[70]Log!$B$499:$B$504</definedName>
    <definedName name="Scenarios2" localSheetId="25">[70]Log!$B$499:$B$504</definedName>
    <definedName name="Scenarios2" localSheetId="30">[70]Log!$B$499:$B$504</definedName>
    <definedName name="Scenarios2" localSheetId="27">[70]Log!$B$499:$B$504</definedName>
    <definedName name="Scenarios2" localSheetId="28">[70]Log!$B$499:$B$504</definedName>
    <definedName name="Scenarios2" localSheetId="31">[70]Log!$B$499:$B$504</definedName>
    <definedName name="Scenarios2" localSheetId="29">[70]Log!$B$499:$B$504</definedName>
    <definedName name="Scenarios2" localSheetId="11">[70]Log!$B$499:$B$504</definedName>
    <definedName name="Scenarios2" localSheetId="40">[71]Log!$B$499:$B$504</definedName>
    <definedName name="Scenarios2">[71]Log!$B$499:$B$504</definedName>
    <definedName name="SCshare" comment="Share for HYNE enjoyed by Sembcorp">98%</definedName>
    <definedName name="Selected_Case" localSheetId="19">[70]Log!$G$496</definedName>
    <definedName name="Selected_Case" localSheetId="23">[70]Log!$G$496</definedName>
    <definedName name="Selected_Case" localSheetId="20">[70]Log!$G$496</definedName>
    <definedName name="Selected_Case" localSheetId="22">[70]Log!$G$496</definedName>
    <definedName name="Selected_Case" localSheetId="24">[70]Log!$G$496</definedName>
    <definedName name="Selected_Case" localSheetId="21">[70]Log!$G$496</definedName>
    <definedName name="Selected_Case" localSheetId="13">[70]Log!$G$496</definedName>
    <definedName name="Selected_Case" localSheetId="17">[70]Log!$G$496</definedName>
    <definedName name="Selected_Case" localSheetId="14">[70]Log!$G$496</definedName>
    <definedName name="Selected_Case" localSheetId="16">[70]Log!$G$496</definedName>
    <definedName name="Selected_Case" localSheetId="15">[70]Log!$G$496</definedName>
    <definedName name="Selected_Case" localSheetId="18">[70]Log!$G$496</definedName>
    <definedName name="Selected_Case" localSheetId="12">[70]Log!$G$496</definedName>
    <definedName name="Selected_Case" localSheetId="26">[70]Log!$G$496</definedName>
    <definedName name="Selected_Case" localSheetId="25">[70]Log!$G$496</definedName>
    <definedName name="Selected_Case" localSheetId="30">[70]Log!$G$496</definedName>
    <definedName name="Selected_Case" localSheetId="27">[70]Log!$G$496</definedName>
    <definedName name="Selected_Case" localSheetId="28">[70]Log!$G$496</definedName>
    <definedName name="Selected_Case" localSheetId="31">[70]Log!$G$496</definedName>
    <definedName name="Selected_Case" localSheetId="29">[70]Log!$G$496</definedName>
    <definedName name="Selected_Case" localSheetId="11">[70]Log!$G$496</definedName>
    <definedName name="Selected_Case" localSheetId="40">[71]Log!$G$496</definedName>
    <definedName name="Selected_Case">[71]Log!$G$496</definedName>
    <definedName name="Selected_Name" localSheetId="19">'[67]PL-G'!#REF!</definedName>
    <definedName name="Selected_Name" localSheetId="23">'[67]PL-G'!#REF!</definedName>
    <definedName name="Selected_Name" localSheetId="20">'[67]PL-G'!#REF!</definedName>
    <definedName name="Selected_Name" localSheetId="22">'[67]PL-G'!#REF!</definedName>
    <definedName name="Selected_Name" localSheetId="24">'[67]PL-G'!#REF!</definedName>
    <definedName name="Selected_Name" localSheetId="21">'[67]PL-G'!#REF!</definedName>
    <definedName name="Selected_Name" localSheetId="13">'[67]PL-G'!#REF!</definedName>
    <definedName name="Selected_Name" localSheetId="17">'[67]PL-G'!#REF!</definedName>
    <definedName name="Selected_Name" localSheetId="14">'[67]PL-G'!#REF!</definedName>
    <definedName name="Selected_Name" localSheetId="16">'[67]PL-G'!#REF!</definedName>
    <definedName name="Selected_Name" localSheetId="15">'[67]PL-G'!#REF!</definedName>
    <definedName name="Selected_Name" localSheetId="18">'[67]PL-G'!#REF!</definedName>
    <definedName name="Selected_Name" localSheetId="12">'[67]PL-G'!#REF!</definedName>
    <definedName name="Selected_Name" localSheetId="26">'[68]PL-G'!#REF!</definedName>
    <definedName name="Selected_Name" localSheetId="25">'[68]PL-G'!#REF!</definedName>
    <definedName name="Selected_Name" localSheetId="30">'[68]PL-G'!#REF!</definedName>
    <definedName name="Selected_Name" localSheetId="27">'[68]PL-G'!#REF!</definedName>
    <definedName name="Selected_Name" localSheetId="28">'[68]PL-G'!#REF!</definedName>
    <definedName name="Selected_Name" localSheetId="31">'[68]PL-G'!#REF!</definedName>
    <definedName name="Selected_Name" localSheetId="29">'[68]PL-G'!#REF!</definedName>
    <definedName name="Selected_Name" localSheetId="11">'[67]PL-G'!#REF!</definedName>
    <definedName name="Selected_Name" localSheetId="40">'[69]PL-G'!#REF!</definedName>
    <definedName name="Selected_Name">'[69]PL-G'!#REF!</definedName>
    <definedName name="SelectedListNo">'[15]DATA GPC'!$AJ$16</definedName>
    <definedName name="SettingTabNamesList">[15]Settings!$S$37:$S$99</definedName>
    <definedName name="SF_Cons">[72]Assum!#REF!</definedName>
    <definedName name="Sick_leave_days" localSheetId="19">#REF!</definedName>
    <definedName name="Sick_leave_days" localSheetId="23">#REF!</definedName>
    <definedName name="Sick_leave_days" localSheetId="20">#REF!</definedName>
    <definedName name="Sick_leave_days" localSheetId="22">#REF!</definedName>
    <definedName name="Sick_leave_days" localSheetId="24">#REF!</definedName>
    <definedName name="Sick_leave_days" localSheetId="21">#REF!</definedName>
    <definedName name="Sick_leave_days" localSheetId="13">#REF!</definedName>
    <definedName name="Sick_leave_days" localSheetId="17">#REF!</definedName>
    <definedName name="Sick_leave_days" localSheetId="14">#REF!</definedName>
    <definedName name="Sick_leave_days" localSheetId="16">#REF!</definedName>
    <definedName name="Sick_leave_days" localSheetId="15">#REF!</definedName>
    <definedName name="Sick_leave_days" localSheetId="18">#REF!</definedName>
    <definedName name="Sick_leave_days" localSheetId="12">#REF!</definedName>
    <definedName name="Sick_leave_days" localSheetId="26">#REF!</definedName>
    <definedName name="Sick_leave_days" localSheetId="25">#REF!</definedName>
    <definedName name="Sick_leave_days" localSheetId="30">#REF!</definedName>
    <definedName name="Sick_leave_days" localSheetId="27">#REF!</definedName>
    <definedName name="Sick_leave_days" localSheetId="28">#REF!</definedName>
    <definedName name="Sick_leave_days" localSheetId="31">#REF!</definedName>
    <definedName name="Sick_leave_days" localSheetId="29">#REF!</definedName>
    <definedName name="Sick_leave_days" localSheetId="11">#REF!</definedName>
    <definedName name="Sick_leave_days" localSheetId="37">#REF!</definedName>
    <definedName name="Sick_leave_days" localSheetId="39">#REF!</definedName>
    <definedName name="Sick_leave_days" localSheetId="38">'Other Exp'!#REF!</definedName>
    <definedName name="Sick_leave_days" localSheetId="40">#REF!</definedName>
    <definedName name="Sick_leave_days" localSheetId="34">'Prof. Fee'!#REF!</definedName>
    <definedName name="Sick_leave_days" localSheetId="33">'T&amp;E'!#REF!</definedName>
    <definedName name="Sick_leave_days">#REF!</definedName>
    <definedName name="Site" localSheetId="26">#REF!</definedName>
    <definedName name="Site" localSheetId="25">#REF!</definedName>
    <definedName name="Site" localSheetId="30">#REF!</definedName>
    <definedName name="Site" localSheetId="27">#REF!</definedName>
    <definedName name="Site" localSheetId="28">#REF!</definedName>
    <definedName name="Site" localSheetId="31">#REF!</definedName>
    <definedName name="Site" localSheetId="29">#REF!</definedName>
    <definedName name="Site" localSheetId="37">#REF!</definedName>
    <definedName name="Site" localSheetId="39">#REF!</definedName>
    <definedName name="Site" localSheetId="40">#REF!</definedName>
    <definedName name="Site" localSheetId="32">#REF!</definedName>
    <definedName name="Site" localSheetId="5">#REF!</definedName>
    <definedName name="Site" localSheetId="6">#REF!</definedName>
    <definedName name="Site">#REF!</definedName>
    <definedName name="SL_Payment">[32]Assum!$Q$80:$Q$99</definedName>
    <definedName name="sludge" localSheetId="26">#REF!</definedName>
    <definedName name="sludge" localSheetId="25">#REF!</definedName>
    <definedName name="sludge" localSheetId="30">#REF!</definedName>
    <definedName name="sludge" localSheetId="27">#REF!</definedName>
    <definedName name="sludge" localSheetId="28">#REF!</definedName>
    <definedName name="sludge" localSheetId="31">#REF!</definedName>
    <definedName name="sludge" localSheetId="29">#REF!</definedName>
    <definedName name="sludge" localSheetId="40">#REF!</definedName>
    <definedName name="sludge">#REF!</definedName>
    <definedName name="Sludge_Assumption_P1B" localSheetId="19">'[22]Phase 1B'!#REF!</definedName>
    <definedName name="Sludge_Assumption_P1B" localSheetId="23">'[22]Phase 1B'!#REF!</definedName>
    <definedName name="Sludge_Assumption_P1B" localSheetId="20">'[22]Phase 1B'!#REF!</definedName>
    <definedName name="Sludge_Assumption_P1B" localSheetId="22">'[22]Phase 1B'!#REF!</definedName>
    <definedName name="Sludge_Assumption_P1B" localSheetId="24">'[22]Phase 1B'!#REF!</definedName>
    <definedName name="Sludge_Assumption_P1B" localSheetId="21">'[22]Phase 1B'!#REF!</definedName>
    <definedName name="Sludge_Assumption_P1B" localSheetId="13">'[22]Phase 1B'!#REF!</definedName>
    <definedName name="Sludge_Assumption_P1B" localSheetId="17">'[22]Phase 1B'!#REF!</definedName>
    <definedName name="Sludge_Assumption_P1B" localSheetId="14">'[22]Phase 1B'!#REF!</definedName>
    <definedName name="Sludge_Assumption_P1B" localSheetId="16">'[22]Phase 1B'!#REF!</definedName>
    <definedName name="Sludge_Assumption_P1B" localSheetId="15">'[22]Phase 1B'!#REF!</definedName>
    <definedName name="Sludge_Assumption_P1B" localSheetId="18">'[22]Phase 1B'!#REF!</definedName>
    <definedName name="Sludge_Assumption_P1B" localSheetId="12">'[22]Phase 1B'!#REF!</definedName>
    <definedName name="Sludge_Assumption_P1B" localSheetId="26">'[22]Phase 1B'!#REF!</definedName>
    <definedName name="Sludge_Assumption_P1B" localSheetId="25">'[22]Phase 1B'!#REF!</definedName>
    <definedName name="Sludge_Assumption_P1B" localSheetId="30">'[22]Phase 1B'!#REF!</definedName>
    <definedName name="Sludge_Assumption_P1B" localSheetId="27">'[22]Phase 1B'!#REF!</definedName>
    <definedName name="Sludge_Assumption_P1B" localSheetId="28">'[22]Phase 1B'!#REF!</definedName>
    <definedName name="Sludge_Assumption_P1B" localSheetId="31">'[22]Phase 1B'!#REF!</definedName>
    <definedName name="Sludge_Assumption_P1B" localSheetId="29">'[22]Phase 1B'!#REF!</definedName>
    <definedName name="Sludge_Assumption_P1B" localSheetId="11">'[22]Phase 1B'!#REF!</definedName>
    <definedName name="Sludge_Assumption_P1B" localSheetId="40">'[23]Phase 1B'!#REF!</definedName>
    <definedName name="Sludge_Assumption_P1B">'[23]Phase 1B'!#REF!</definedName>
    <definedName name="sludge_H" localSheetId="19">[24]Assumption!$E$20</definedName>
    <definedName name="sludge_H" localSheetId="23">[24]Assumption!$E$20</definedName>
    <definedName name="sludge_H" localSheetId="20">[24]Assumption!$E$20</definedName>
    <definedName name="sludge_H" localSheetId="22">[24]Assumption!$E$20</definedName>
    <definedName name="sludge_H" localSheetId="24">[24]Assumption!$E$20</definedName>
    <definedName name="sludge_H" localSheetId="21">[24]Assumption!$E$20</definedName>
    <definedName name="sludge_H" localSheetId="13">[24]Assumption!$E$20</definedName>
    <definedName name="sludge_H" localSheetId="17">[24]Assumption!$E$20</definedName>
    <definedName name="sludge_H" localSheetId="14">[24]Assumption!$E$20</definedName>
    <definedName name="sludge_H" localSheetId="16">[24]Assumption!$E$20</definedName>
    <definedName name="sludge_H" localSheetId="15">[24]Assumption!$E$20</definedName>
    <definedName name="sludge_H" localSheetId="18">[24]Assumption!$E$20</definedName>
    <definedName name="sludge_H" localSheetId="12">[24]Assumption!$E$20</definedName>
    <definedName name="sludge_H" localSheetId="26">[24]Assumption!$E$20</definedName>
    <definedName name="sludge_H" localSheetId="25">[24]Assumption!$E$20</definedName>
    <definedName name="sludge_H" localSheetId="30">[24]Assumption!$E$20</definedName>
    <definedName name="sludge_H" localSheetId="27">[24]Assumption!$E$20</definedName>
    <definedName name="sludge_H" localSheetId="28">[24]Assumption!$E$20</definedName>
    <definedName name="sludge_H" localSheetId="31">[24]Assumption!$E$20</definedName>
    <definedName name="sludge_H" localSheetId="29">[24]Assumption!$E$20</definedName>
    <definedName name="sludge_H" localSheetId="11">[24]Assumption!$E$20</definedName>
    <definedName name="sludge_H" localSheetId="40">[25]Assumption!$E$20</definedName>
    <definedName name="sludge_H">[25]Assumption!$E$20</definedName>
    <definedName name="Sludge_L" localSheetId="19">[24]Assumption!$I$20</definedName>
    <definedName name="Sludge_L" localSheetId="23">[24]Assumption!$I$20</definedName>
    <definedName name="Sludge_L" localSheetId="20">[24]Assumption!$I$20</definedName>
    <definedName name="Sludge_L" localSheetId="22">[24]Assumption!$I$20</definedName>
    <definedName name="Sludge_L" localSheetId="24">[24]Assumption!$I$20</definedName>
    <definedName name="Sludge_L" localSheetId="21">[24]Assumption!$I$20</definedName>
    <definedName name="Sludge_L" localSheetId="13">[24]Assumption!$I$20</definedName>
    <definedName name="Sludge_L" localSheetId="17">[24]Assumption!$I$20</definedName>
    <definedName name="Sludge_L" localSheetId="14">[24]Assumption!$I$20</definedName>
    <definedName name="Sludge_L" localSheetId="16">[24]Assumption!$I$20</definedName>
    <definedName name="Sludge_L" localSheetId="15">[24]Assumption!$I$20</definedName>
    <definedName name="Sludge_L" localSheetId="18">[24]Assumption!$I$20</definedName>
    <definedName name="Sludge_L" localSheetId="12">[24]Assumption!$I$20</definedName>
    <definedName name="Sludge_L" localSheetId="26">[24]Assumption!$I$20</definedName>
    <definedName name="Sludge_L" localSheetId="25">[24]Assumption!$I$20</definedName>
    <definedName name="Sludge_L" localSheetId="30">[24]Assumption!$I$20</definedName>
    <definedName name="Sludge_L" localSheetId="27">[24]Assumption!$I$20</definedName>
    <definedName name="Sludge_L" localSheetId="28">[24]Assumption!$I$20</definedName>
    <definedName name="Sludge_L" localSheetId="31">[24]Assumption!$I$20</definedName>
    <definedName name="Sludge_L" localSheetId="29">[24]Assumption!$I$20</definedName>
    <definedName name="Sludge_L" localSheetId="11">[24]Assumption!$I$20</definedName>
    <definedName name="Sludge_L" localSheetId="40">[25]Assumption!$I$20</definedName>
    <definedName name="Sludge_L">[25]Assumption!$I$20</definedName>
    <definedName name="Sludge_S" localSheetId="19">[24]Assumption!$M$20</definedName>
    <definedName name="Sludge_S" localSheetId="23">[24]Assumption!$M$20</definedName>
    <definedName name="Sludge_S" localSheetId="20">[24]Assumption!$M$20</definedName>
    <definedName name="Sludge_S" localSheetId="22">[24]Assumption!$M$20</definedName>
    <definedName name="Sludge_S" localSheetId="24">[24]Assumption!$M$20</definedName>
    <definedName name="Sludge_S" localSheetId="21">[24]Assumption!$M$20</definedName>
    <definedName name="Sludge_S" localSheetId="13">[24]Assumption!$M$20</definedName>
    <definedName name="Sludge_S" localSheetId="17">[24]Assumption!$M$20</definedName>
    <definedName name="Sludge_S" localSheetId="14">[24]Assumption!$M$20</definedName>
    <definedName name="Sludge_S" localSheetId="16">[24]Assumption!$M$20</definedName>
    <definedName name="Sludge_S" localSheetId="15">[24]Assumption!$M$20</definedName>
    <definedName name="Sludge_S" localSheetId="18">[24]Assumption!$M$20</definedName>
    <definedName name="Sludge_S" localSheetId="12">[24]Assumption!$M$20</definedName>
    <definedName name="Sludge_S" localSheetId="26">[24]Assumption!$M$20</definedName>
    <definedName name="Sludge_S" localSheetId="25">[24]Assumption!$M$20</definedName>
    <definedName name="Sludge_S" localSheetId="30">[24]Assumption!$M$20</definedName>
    <definedName name="Sludge_S" localSheetId="27">[24]Assumption!$M$20</definedName>
    <definedName name="Sludge_S" localSheetId="28">[24]Assumption!$M$20</definedName>
    <definedName name="Sludge_S" localSheetId="31">[24]Assumption!$M$20</definedName>
    <definedName name="Sludge_S" localSheetId="29">[24]Assumption!$M$20</definedName>
    <definedName name="Sludge_S" localSheetId="11">[24]Assumption!$M$20</definedName>
    <definedName name="Sludge_S" localSheetId="40">[25]Assumption!$M$20</definedName>
    <definedName name="Sludge_S">[25]Assumption!$M$20</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0.8</definedName>
    <definedName name="SShare">[31]Overview!$C$3</definedName>
    <definedName name="Status" localSheetId="19">[73]Para!$C$5:$C$7</definedName>
    <definedName name="Status" localSheetId="23">[73]Para!$C$5:$C$7</definedName>
    <definedName name="Status" localSheetId="20">[73]Para!$C$5:$C$7</definedName>
    <definedName name="Status" localSheetId="22">[73]Para!$C$5:$C$7</definedName>
    <definedName name="Status" localSheetId="24">[73]Para!$C$5:$C$7</definedName>
    <definedName name="Status" localSheetId="21">[73]Para!$C$5:$C$7</definedName>
    <definedName name="Status" localSheetId="13">[73]Para!$C$5:$C$7</definedName>
    <definedName name="Status" localSheetId="17">[73]Para!$C$5:$C$7</definedName>
    <definedName name="Status" localSheetId="14">[73]Para!$C$5:$C$7</definedName>
    <definedName name="Status" localSheetId="16">[73]Para!$C$5:$C$7</definedName>
    <definedName name="Status" localSheetId="15">[73]Para!$C$5:$C$7</definedName>
    <definedName name="Status" localSheetId="18">[73]Para!$C$5:$C$7</definedName>
    <definedName name="Status" localSheetId="12">[73]Para!$C$5:$C$7</definedName>
    <definedName name="Status" localSheetId="26">[73]Para!$C$5:$C$7</definedName>
    <definedName name="Status" localSheetId="25">[73]Para!$C$5:$C$7</definedName>
    <definedName name="Status" localSheetId="30">[73]Para!$C$5:$C$7</definedName>
    <definedName name="Status" localSheetId="27">[73]Para!$C$5:$C$7</definedName>
    <definedName name="Status" localSheetId="28">[73]Para!$C$5:$C$7</definedName>
    <definedName name="Status" localSheetId="31">[73]Para!$C$5:$C$7</definedName>
    <definedName name="Status" localSheetId="29">[73]Para!$C$5:$C$7</definedName>
    <definedName name="Status" localSheetId="11">[73]Para!$C$5:$C$7</definedName>
    <definedName name="Status" localSheetId="40">[74]Para!$C$5:$C$7</definedName>
    <definedName name="Status">[74]Para!$C$5:$C$7</definedName>
    <definedName name="Strategies" localSheetId="19">#REF!</definedName>
    <definedName name="Strategies" localSheetId="23">#REF!</definedName>
    <definedName name="Strategies" localSheetId="20">#REF!</definedName>
    <definedName name="Strategies" localSheetId="22">#REF!</definedName>
    <definedName name="Strategies" localSheetId="24">#REF!</definedName>
    <definedName name="Strategies" localSheetId="21">#REF!</definedName>
    <definedName name="Strategies" localSheetId="13">#REF!</definedName>
    <definedName name="Strategies" localSheetId="17">#REF!</definedName>
    <definedName name="Strategies" localSheetId="14">#REF!</definedName>
    <definedName name="Strategies" localSheetId="16">#REF!</definedName>
    <definedName name="Strategies" localSheetId="15">#REF!</definedName>
    <definedName name="Strategies" localSheetId="18">#REF!</definedName>
    <definedName name="Strategies" localSheetId="12">#REF!</definedName>
    <definedName name="Strategies" localSheetId="26">#REF!</definedName>
    <definedName name="Strategies" localSheetId="25">#REF!</definedName>
    <definedName name="Strategies" localSheetId="30">#REF!</definedName>
    <definedName name="Strategies" localSheetId="27">#REF!</definedName>
    <definedName name="Strategies" localSheetId="28">#REF!</definedName>
    <definedName name="Strategies" localSheetId="31">#REF!</definedName>
    <definedName name="Strategies" localSheetId="29">#REF!</definedName>
    <definedName name="Strategies" localSheetId="11">#REF!</definedName>
    <definedName name="Strategies" localSheetId="37">#REF!</definedName>
    <definedName name="Strategies" localSheetId="39">#REF!</definedName>
    <definedName name="Strategies" localSheetId="38">'Other Exp'!#REF!</definedName>
    <definedName name="Strategies" localSheetId="40">#REF!</definedName>
    <definedName name="Strategies" localSheetId="34">'Prof. Fee'!#REF!</definedName>
    <definedName name="Strategies" localSheetId="33">'T&amp;E'!#REF!</definedName>
    <definedName name="Strategies">#REF!</definedName>
    <definedName name="StubMonths">'[15]INC STAT Hist Input'!$AK$4</definedName>
    <definedName name="StubWt">[15]START!$G$72</definedName>
    <definedName name="StubY">[15]START!$G$34</definedName>
    <definedName name="SubjCoID">[15]START!$G$23</definedName>
    <definedName name="SubjCoProxy">'[15]DATA GPC'!$G$13</definedName>
    <definedName name="SubjCurrencyHeading">[15]START!$G$16</definedName>
    <definedName name="SubjMktValue">'[15]WACC and TIC Inputs'!$H$212</definedName>
    <definedName name="SubjOutputCurrency">[15]START!$G$37</definedName>
    <definedName name="SubjOutputCurrencyCode">[15]START!$H$37</definedName>
    <definedName name="SubsidyPeriod" localSheetId="19">'[28]假设 Inputs'!#REF!</definedName>
    <definedName name="SubsidyPeriod" localSheetId="23">'[28]假设 Inputs'!#REF!</definedName>
    <definedName name="SubsidyPeriod" localSheetId="20">'[28]假设 Inputs'!#REF!</definedName>
    <definedName name="SubsidyPeriod" localSheetId="22">'[28]假设 Inputs'!#REF!</definedName>
    <definedName name="SubsidyPeriod" localSheetId="24">'[28]假设 Inputs'!#REF!</definedName>
    <definedName name="SubsidyPeriod" localSheetId="21">'[28]假设 Inputs'!#REF!</definedName>
    <definedName name="SubsidyPeriod" localSheetId="13">'[28]假设 Inputs'!#REF!</definedName>
    <definedName name="SubsidyPeriod" localSheetId="17">'[28]假设 Inputs'!#REF!</definedName>
    <definedName name="SubsidyPeriod" localSheetId="14">'[28]假设 Inputs'!#REF!</definedName>
    <definedName name="SubsidyPeriod" localSheetId="16">'[28]假设 Inputs'!#REF!</definedName>
    <definedName name="SubsidyPeriod" localSheetId="15">'[28]假设 Inputs'!#REF!</definedName>
    <definedName name="SubsidyPeriod" localSheetId="18">'[28]假设 Inputs'!#REF!</definedName>
    <definedName name="SubsidyPeriod" localSheetId="12">'[28]假设 Inputs'!#REF!</definedName>
    <definedName name="SubsidyPeriod" localSheetId="11">'[28]假设 Inputs'!#REF!</definedName>
    <definedName name="SubsidyPeriod" localSheetId="40">'[29]假设 Inputs'!#REF!</definedName>
    <definedName name="SubsidyPeriod">'[29]假设 Inputs'!#REF!</definedName>
    <definedName name="supplier_invoice_detail_sep_feb" localSheetId="19">#REF!</definedName>
    <definedName name="supplier_invoice_detail_sep_feb" localSheetId="23">#REF!</definedName>
    <definedName name="supplier_invoice_detail_sep_feb" localSheetId="20">#REF!</definedName>
    <definedName name="supplier_invoice_detail_sep_feb" localSheetId="22">#REF!</definedName>
    <definedName name="supplier_invoice_detail_sep_feb" localSheetId="24">#REF!</definedName>
    <definedName name="supplier_invoice_detail_sep_feb" localSheetId="21">#REF!</definedName>
    <definedName name="supplier_invoice_detail_sep_feb" localSheetId="13">#REF!</definedName>
    <definedName name="supplier_invoice_detail_sep_feb" localSheetId="17">#REF!</definedName>
    <definedName name="supplier_invoice_detail_sep_feb" localSheetId="14">#REF!</definedName>
    <definedName name="supplier_invoice_detail_sep_feb" localSheetId="16">#REF!</definedName>
    <definedName name="supplier_invoice_detail_sep_feb" localSheetId="15">#REF!</definedName>
    <definedName name="supplier_invoice_detail_sep_feb" localSheetId="18">#REF!</definedName>
    <definedName name="supplier_invoice_detail_sep_feb" localSheetId="12">#REF!</definedName>
    <definedName name="supplier_invoice_detail_sep_feb" localSheetId="26">#REF!</definedName>
    <definedName name="supplier_invoice_detail_sep_feb" localSheetId="25">#REF!</definedName>
    <definedName name="supplier_invoice_detail_sep_feb" localSheetId="30">#REF!</definedName>
    <definedName name="supplier_invoice_detail_sep_feb" localSheetId="27">#REF!</definedName>
    <definedName name="supplier_invoice_detail_sep_feb" localSheetId="28">#REF!</definedName>
    <definedName name="supplier_invoice_detail_sep_feb" localSheetId="31">#REF!</definedName>
    <definedName name="supplier_invoice_detail_sep_feb" localSheetId="29">#REF!</definedName>
    <definedName name="supplier_invoice_detail_sep_feb" localSheetId="11">#REF!</definedName>
    <definedName name="supplier_invoice_detail_sep_feb" localSheetId="37">#REF!</definedName>
    <definedName name="supplier_invoice_detail_sep_feb" localSheetId="38">#REF!</definedName>
    <definedName name="supplier_invoice_detail_sep_feb" localSheetId="40">#REF!</definedName>
    <definedName name="supplier_invoice_detail_sep_feb" localSheetId="34">#REF!</definedName>
    <definedName name="supplier_invoice_detail_sep_feb" localSheetId="33">#REF!</definedName>
    <definedName name="supplier_invoice_detail_sep_feb">#REF!</definedName>
    <definedName name="t" hidden="1">#N/A</definedName>
    <definedName name="TabAmort">'[15]Tax Amortization Benefit'!$G$13</definedName>
    <definedName name="TABDiff">'[15]Tax Amortization Benefit'!$G$28</definedName>
    <definedName name="TABSetting">[15]START!$H$52</definedName>
    <definedName name="TABValue">'[15]Tax Amortization Benefit'!$G$27</definedName>
    <definedName name="Target_Productivity" localSheetId="19">#REF!</definedName>
    <definedName name="Target_Productivity" localSheetId="23">#REF!</definedName>
    <definedName name="Target_Productivity" localSheetId="20">#REF!</definedName>
    <definedName name="Target_Productivity" localSheetId="22">#REF!</definedName>
    <definedName name="Target_Productivity" localSheetId="24">#REF!</definedName>
    <definedName name="Target_Productivity" localSheetId="21">#REF!</definedName>
    <definedName name="Target_Productivity" localSheetId="13">#REF!</definedName>
    <definedName name="Target_Productivity" localSheetId="17">#REF!</definedName>
    <definedName name="Target_Productivity" localSheetId="14">#REF!</definedName>
    <definedName name="Target_Productivity" localSheetId="16">#REF!</definedName>
    <definedName name="Target_Productivity" localSheetId="15">#REF!</definedName>
    <definedName name="Target_Productivity" localSheetId="18">#REF!</definedName>
    <definedName name="Target_Productivity" localSheetId="12">#REF!</definedName>
    <definedName name="Target_Productivity" localSheetId="26">#REF!</definedName>
    <definedName name="Target_Productivity" localSheetId="25">#REF!</definedName>
    <definedName name="Target_Productivity" localSheetId="30">#REF!</definedName>
    <definedName name="Target_Productivity" localSheetId="27">#REF!</definedName>
    <definedName name="Target_Productivity" localSheetId="28">#REF!</definedName>
    <definedName name="Target_Productivity" localSheetId="31">#REF!</definedName>
    <definedName name="Target_Productivity" localSheetId="29">#REF!</definedName>
    <definedName name="Target_Productivity" localSheetId="11">#REF!</definedName>
    <definedName name="Target_Productivity" localSheetId="38">#REF!</definedName>
    <definedName name="Target_Productivity" localSheetId="40">#REF!</definedName>
    <definedName name="Target_Productivity" localSheetId="34">#REF!</definedName>
    <definedName name="Target_Productivity" localSheetId="33">#REF!</definedName>
    <definedName name="Target_Productivity">#REF!</definedName>
    <definedName name="Target_Productivity_Table" localSheetId="19">#REF!</definedName>
    <definedName name="Target_Productivity_Table" localSheetId="23">#REF!</definedName>
    <definedName name="Target_Productivity_Table" localSheetId="20">#REF!</definedName>
    <definedName name="Target_Productivity_Table" localSheetId="22">#REF!</definedName>
    <definedName name="Target_Productivity_Table" localSheetId="24">#REF!</definedName>
    <definedName name="Target_Productivity_Table" localSheetId="21">#REF!</definedName>
    <definedName name="Target_Productivity_Table" localSheetId="13">#REF!</definedName>
    <definedName name="Target_Productivity_Table" localSheetId="17">#REF!</definedName>
    <definedName name="Target_Productivity_Table" localSheetId="14">#REF!</definedName>
    <definedName name="Target_Productivity_Table" localSheetId="16">#REF!</definedName>
    <definedName name="Target_Productivity_Table" localSheetId="15">#REF!</definedName>
    <definedName name="Target_Productivity_Table" localSheetId="18">#REF!</definedName>
    <definedName name="Target_Productivity_Table" localSheetId="12">#REF!</definedName>
    <definedName name="Target_Productivity_Table" localSheetId="26">#REF!</definedName>
    <definedName name="Target_Productivity_Table" localSheetId="25">#REF!</definedName>
    <definedName name="Target_Productivity_Table" localSheetId="30">#REF!</definedName>
    <definedName name="Target_Productivity_Table" localSheetId="27">#REF!</definedName>
    <definedName name="Target_Productivity_Table" localSheetId="28">#REF!</definedName>
    <definedName name="Target_Productivity_Table" localSheetId="31">#REF!</definedName>
    <definedName name="Target_Productivity_Table" localSheetId="29">#REF!</definedName>
    <definedName name="Target_Productivity_Table" localSheetId="11">#REF!</definedName>
    <definedName name="Target_Productivity_Table" localSheetId="38">#REF!</definedName>
    <definedName name="Target_Productivity_Table" localSheetId="40">#REF!</definedName>
    <definedName name="Target_Productivity_Table" localSheetId="34">#REF!</definedName>
    <definedName name="Target_Productivity_Table" localSheetId="33">#REF!</definedName>
    <definedName name="Target_Productivity_Table">#REF!</definedName>
    <definedName name="Tax_Rate" localSheetId="19">#REF!</definedName>
    <definedName name="Tax_Rate" localSheetId="23">#REF!</definedName>
    <definedName name="Tax_Rate" localSheetId="20">#REF!</definedName>
    <definedName name="Tax_Rate" localSheetId="22">#REF!</definedName>
    <definedName name="Tax_Rate" localSheetId="24">#REF!</definedName>
    <definedName name="Tax_Rate" localSheetId="21">#REF!</definedName>
    <definedName name="Tax_Rate" localSheetId="13">#REF!</definedName>
    <definedName name="Tax_Rate" localSheetId="17">#REF!</definedName>
    <definedName name="Tax_Rate" localSheetId="14">#REF!</definedName>
    <definedName name="Tax_Rate" localSheetId="16">#REF!</definedName>
    <definedName name="Tax_Rate" localSheetId="15">#REF!</definedName>
    <definedName name="Tax_Rate" localSheetId="18">#REF!</definedName>
    <definedName name="Tax_Rate" localSheetId="12">#REF!</definedName>
    <definedName name="Tax_Rate" localSheetId="26">#REF!</definedName>
    <definedName name="Tax_Rate" localSheetId="25">#REF!</definedName>
    <definedName name="Tax_Rate" localSheetId="30">#REF!</definedName>
    <definedName name="Tax_Rate" localSheetId="27">#REF!</definedName>
    <definedName name="Tax_Rate" localSheetId="28">#REF!</definedName>
    <definedName name="Tax_Rate" localSheetId="31">#REF!</definedName>
    <definedName name="Tax_Rate" localSheetId="29">#REF!</definedName>
    <definedName name="Tax_Rate" localSheetId="11">#REF!</definedName>
    <definedName name="Tax_Rate" localSheetId="40">#REF!</definedName>
    <definedName name="Tax_Rate">#REF!</definedName>
    <definedName name="ten">10</definedName>
    <definedName name="test" localSheetId="26"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test" localSheetId="25"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test" localSheetId="30"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test" localSheetId="27"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test" localSheetId="28"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test" localSheetId="31"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test" localSheetId="29"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test"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TextRefCopyRangeCount" hidden="1">5</definedName>
    <definedName name="TickersValued">'[15]DATA GPC'!$Z$20:$Z$44</definedName>
    <definedName name="TimeEnd">[15]Settings!$N$15</definedName>
    <definedName name="TimeStart">[15]Settings!$N$14</definedName>
    <definedName name="Toggle" localSheetId="19">#REF!</definedName>
    <definedName name="Toggle" localSheetId="23">#REF!</definedName>
    <definedName name="Toggle" localSheetId="20">#REF!</definedName>
    <definedName name="Toggle" localSheetId="22">#REF!</definedName>
    <definedName name="Toggle" localSheetId="24">#REF!</definedName>
    <definedName name="Toggle" localSheetId="21">#REF!</definedName>
    <definedName name="Toggle" localSheetId="13">#REF!</definedName>
    <definedName name="Toggle" localSheetId="17">#REF!</definedName>
    <definedName name="Toggle" localSheetId="14">#REF!</definedName>
    <definedName name="Toggle" localSheetId="16">#REF!</definedName>
    <definedName name="Toggle" localSheetId="15">#REF!</definedName>
    <definedName name="Toggle" localSheetId="18">#REF!</definedName>
    <definedName name="Toggle" localSheetId="12">#REF!</definedName>
    <definedName name="Toggle" localSheetId="26">#REF!</definedName>
    <definedName name="Toggle" localSheetId="25">#REF!</definedName>
    <definedName name="Toggle" localSheetId="30">#REF!</definedName>
    <definedName name="Toggle" localSheetId="27">#REF!</definedName>
    <definedName name="Toggle" localSheetId="28">#REF!</definedName>
    <definedName name="Toggle" localSheetId="31">#REF!</definedName>
    <definedName name="Toggle" localSheetId="29">#REF!</definedName>
    <definedName name="Toggle" localSheetId="11">#REF!</definedName>
    <definedName name="Toggle" localSheetId="40">#REF!</definedName>
    <definedName name="Toggle">#REF!</definedName>
    <definedName name="Tolerance">'[15]Error Check'!$M$13</definedName>
    <definedName name="TOTITEM_" localSheetId="19">#REF!</definedName>
    <definedName name="TOTITEM_" localSheetId="23">#REF!</definedName>
    <definedName name="TOTITEM_" localSheetId="20">#REF!</definedName>
    <definedName name="TOTITEM_" localSheetId="22">#REF!</definedName>
    <definedName name="TOTITEM_" localSheetId="24">#REF!</definedName>
    <definedName name="TOTITEM_" localSheetId="21">#REF!</definedName>
    <definedName name="TOTITEM_" localSheetId="13">#REF!</definedName>
    <definedName name="TOTITEM_" localSheetId="17">#REF!</definedName>
    <definedName name="TOTITEM_" localSheetId="14">#REF!</definedName>
    <definedName name="TOTITEM_" localSheetId="16">#REF!</definedName>
    <definedName name="TOTITEM_" localSheetId="15">#REF!</definedName>
    <definedName name="TOTITEM_" localSheetId="18">#REF!</definedName>
    <definedName name="TOTITEM_" localSheetId="12">#REF!</definedName>
    <definedName name="TOTITEM_" localSheetId="26">#REF!</definedName>
    <definedName name="TOTITEM_" localSheetId="25">#REF!</definedName>
    <definedName name="TOTITEM_" localSheetId="30">#REF!</definedName>
    <definedName name="TOTITEM_" localSheetId="27">#REF!</definedName>
    <definedName name="TOTITEM_" localSheetId="28">#REF!</definedName>
    <definedName name="TOTITEM_" localSheetId="31">#REF!</definedName>
    <definedName name="TOTITEM_" localSheetId="29">#REF!</definedName>
    <definedName name="TOTITEM_" localSheetId="11">#REF!</definedName>
    <definedName name="TOTITEM_" localSheetId="38">#REF!</definedName>
    <definedName name="TOTITEM_" localSheetId="40">#REF!</definedName>
    <definedName name="TOTITEM_" localSheetId="34">#REF!</definedName>
    <definedName name="TOTITEM_" localSheetId="33">#REF!</definedName>
    <definedName name="TOTITEM_">#REF!</definedName>
    <definedName name="TOTOBJ_" localSheetId="19">#REF!</definedName>
    <definedName name="TOTOBJ_" localSheetId="23">#REF!</definedName>
    <definedName name="TOTOBJ_" localSheetId="20">#REF!</definedName>
    <definedName name="TOTOBJ_" localSheetId="22">#REF!</definedName>
    <definedName name="TOTOBJ_" localSheetId="24">#REF!</definedName>
    <definedName name="TOTOBJ_" localSheetId="21">#REF!</definedName>
    <definedName name="TOTOBJ_" localSheetId="13">#REF!</definedName>
    <definedName name="TOTOBJ_" localSheetId="17">#REF!</definedName>
    <definedName name="TOTOBJ_" localSheetId="14">#REF!</definedName>
    <definedName name="TOTOBJ_" localSheetId="16">#REF!</definedName>
    <definedName name="TOTOBJ_" localSheetId="15">#REF!</definedName>
    <definedName name="TOTOBJ_" localSheetId="18">#REF!</definedName>
    <definedName name="TOTOBJ_" localSheetId="12">#REF!</definedName>
    <definedName name="TOTOBJ_" localSheetId="26">#REF!</definedName>
    <definedName name="TOTOBJ_" localSheetId="25">#REF!</definedName>
    <definedName name="TOTOBJ_" localSheetId="30">#REF!</definedName>
    <definedName name="TOTOBJ_" localSheetId="27">#REF!</definedName>
    <definedName name="TOTOBJ_" localSheetId="28">#REF!</definedName>
    <definedName name="TOTOBJ_" localSheetId="31">#REF!</definedName>
    <definedName name="TOTOBJ_" localSheetId="29">#REF!</definedName>
    <definedName name="TOTOBJ_" localSheetId="11">#REF!</definedName>
    <definedName name="TOTOBJ_" localSheetId="38">#REF!</definedName>
    <definedName name="TOTOBJ_" localSheetId="40">#REF!</definedName>
    <definedName name="TOTOBJ_" localSheetId="34">#REF!</definedName>
    <definedName name="TOTOBJ_" localSheetId="33">#REF!</definedName>
    <definedName name="TOTOBJ_">#REF!</definedName>
    <definedName name="Training_days" localSheetId="19">#REF!</definedName>
    <definedName name="Training_days" localSheetId="23">#REF!</definedName>
    <definedName name="Training_days" localSheetId="20">#REF!</definedName>
    <definedName name="Training_days" localSheetId="22">#REF!</definedName>
    <definedName name="Training_days" localSheetId="24">#REF!</definedName>
    <definedName name="Training_days" localSheetId="21">#REF!</definedName>
    <definedName name="Training_days" localSheetId="13">#REF!</definedName>
    <definedName name="Training_days" localSheetId="17">#REF!</definedName>
    <definedName name="Training_days" localSheetId="14">#REF!</definedName>
    <definedName name="Training_days" localSheetId="16">#REF!</definedName>
    <definedName name="Training_days" localSheetId="15">#REF!</definedName>
    <definedName name="Training_days" localSheetId="18">#REF!</definedName>
    <definedName name="Training_days" localSheetId="12">#REF!</definedName>
    <definedName name="Training_days" localSheetId="26">#REF!</definedName>
    <definedName name="Training_days" localSheetId="25">#REF!</definedName>
    <definedName name="Training_days" localSheetId="30">#REF!</definedName>
    <definedName name="Training_days" localSheetId="27">#REF!</definedName>
    <definedName name="Training_days" localSheetId="28">#REF!</definedName>
    <definedName name="Training_days" localSheetId="31">#REF!</definedName>
    <definedName name="Training_days" localSheetId="29">#REF!</definedName>
    <definedName name="Training_days" localSheetId="11">#REF!</definedName>
    <definedName name="Training_days" localSheetId="37">#REF!</definedName>
    <definedName name="Training_days" localSheetId="39">#REF!</definedName>
    <definedName name="Training_days" localSheetId="38">'Other Exp'!#REF!</definedName>
    <definedName name="Training_days" localSheetId="40">#REF!</definedName>
    <definedName name="Training_days" localSheetId="34">'Prof. Fee'!#REF!</definedName>
    <definedName name="Training_days" localSheetId="33">'T&amp;E'!#REF!</definedName>
    <definedName name="Training_days">#REF!</definedName>
    <definedName name="Triff_w_o_VAT" localSheetId="19">'[75]Key assumption'!$B$2</definedName>
    <definedName name="Triff_w_o_VAT" localSheetId="23">'[75]Key assumption'!$B$2</definedName>
    <definedName name="Triff_w_o_VAT" localSheetId="20">'[75]Key assumption'!$B$2</definedName>
    <definedName name="Triff_w_o_VAT" localSheetId="22">'[75]Key assumption'!$B$2</definedName>
    <definedName name="Triff_w_o_VAT" localSheetId="24">'[75]Key assumption'!$B$2</definedName>
    <definedName name="Triff_w_o_VAT" localSheetId="21">'[75]Key assumption'!$B$2</definedName>
    <definedName name="Triff_w_o_VAT" localSheetId="13">'[75]Key assumption'!$B$2</definedName>
    <definedName name="Triff_w_o_VAT" localSheetId="17">'[75]Key assumption'!$B$2</definedName>
    <definedName name="Triff_w_o_VAT" localSheetId="14">'[75]Key assumption'!$B$2</definedName>
    <definedName name="Triff_w_o_VAT" localSheetId="16">'[75]Key assumption'!$B$2</definedName>
    <definedName name="Triff_w_o_VAT" localSheetId="15">'[75]Key assumption'!$B$2</definedName>
    <definedName name="Triff_w_o_VAT" localSheetId="18">'[75]Key assumption'!$B$2</definedName>
    <definedName name="Triff_w_o_VAT" localSheetId="12">'[75]Key assumption'!$B$2</definedName>
    <definedName name="Triff_w_o_VAT" localSheetId="26">'[75]Key assumption'!$B$2</definedName>
    <definedName name="Triff_w_o_VAT" localSheetId="25">'[75]Key assumption'!$B$2</definedName>
    <definedName name="Triff_w_o_VAT" localSheetId="30">'[75]Key assumption'!$B$2</definedName>
    <definedName name="Triff_w_o_VAT" localSheetId="27">'[75]Key assumption'!$B$2</definedName>
    <definedName name="Triff_w_o_VAT" localSheetId="28">'[75]Key assumption'!$B$2</definedName>
    <definedName name="Triff_w_o_VAT" localSheetId="31">'[75]Key assumption'!$B$2</definedName>
    <definedName name="Triff_w_o_VAT" localSheetId="29">'[75]Key assumption'!$B$2</definedName>
    <definedName name="Triff_w_o_VAT" localSheetId="11">'[75]Key assumption'!$B$2</definedName>
    <definedName name="Triff_w_o_VAT" localSheetId="40">'[76]Key assumption'!$B$2</definedName>
    <definedName name="Triff_w_o_VAT">'[76]Key assumption'!$B$2</definedName>
    <definedName name="Type" localSheetId="19">[73]Para!$B$5:$B$9</definedName>
    <definedName name="Type" localSheetId="23">[73]Para!$B$5:$B$9</definedName>
    <definedName name="Type" localSheetId="20">[73]Para!$B$5:$B$9</definedName>
    <definedName name="Type" localSheetId="22">[73]Para!$B$5:$B$9</definedName>
    <definedName name="Type" localSheetId="24">[73]Para!$B$5:$B$9</definedName>
    <definedName name="Type" localSheetId="21">[73]Para!$B$5:$B$9</definedName>
    <definedName name="Type" localSheetId="13">[73]Para!$B$5:$B$9</definedName>
    <definedName name="Type" localSheetId="17">[73]Para!$B$5:$B$9</definedName>
    <definedName name="Type" localSheetId="14">[73]Para!$B$5:$B$9</definedName>
    <definedName name="Type" localSheetId="16">[73]Para!$B$5:$B$9</definedName>
    <definedName name="Type" localSheetId="15">[73]Para!$B$5:$B$9</definedName>
    <definedName name="Type" localSheetId="18">[73]Para!$B$5:$B$9</definedName>
    <definedName name="Type" localSheetId="12">[73]Para!$B$5:$B$9</definedName>
    <definedName name="Type" localSheetId="26">[73]Para!$B$5:$B$9</definedName>
    <definedName name="Type" localSheetId="25">[73]Para!$B$5:$B$9</definedName>
    <definedName name="Type" localSheetId="30">[73]Para!$B$5:$B$9</definedName>
    <definedName name="Type" localSheetId="27">[73]Para!$B$5:$B$9</definedName>
    <definedName name="Type" localSheetId="28">[73]Para!$B$5:$B$9</definedName>
    <definedName name="Type" localSheetId="31">[73]Para!$B$5:$B$9</definedName>
    <definedName name="Type" localSheetId="29">[73]Para!$B$5:$B$9</definedName>
    <definedName name="Type" localSheetId="11">[73]Para!$B$5:$B$9</definedName>
    <definedName name="Type" localSheetId="40">[74]Para!$B$5:$B$9</definedName>
    <definedName name="Type">[74]Para!$B$5:$B$9</definedName>
    <definedName name="u" hidden="1">#N/A</definedName>
    <definedName name="UFPrn20041025174004" localSheetId="19">#REF!</definedName>
    <definedName name="UFPrn20041025174004" localSheetId="23">#REF!</definedName>
    <definedName name="UFPrn20041025174004" localSheetId="20">#REF!</definedName>
    <definedName name="UFPrn20041025174004" localSheetId="22">#REF!</definedName>
    <definedName name="UFPrn20041025174004" localSheetId="24">#REF!</definedName>
    <definedName name="UFPrn20041025174004" localSheetId="21">#REF!</definedName>
    <definedName name="UFPrn20041025174004" localSheetId="13">#REF!</definedName>
    <definedName name="UFPrn20041025174004" localSheetId="17">#REF!</definedName>
    <definedName name="UFPrn20041025174004" localSheetId="14">#REF!</definedName>
    <definedName name="UFPrn20041025174004" localSheetId="16">#REF!</definedName>
    <definedName name="UFPrn20041025174004" localSheetId="15">#REF!</definedName>
    <definedName name="UFPrn20041025174004" localSheetId="18">#REF!</definedName>
    <definedName name="UFPrn20041025174004" localSheetId="12">#REF!</definedName>
    <definedName name="UFPrn20041025174004" localSheetId="26">#REF!</definedName>
    <definedName name="UFPrn20041025174004" localSheetId="25">#REF!</definedName>
    <definedName name="UFPrn20041025174004" localSheetId="30">#REF!</definedName>
    <definedName name="UFPrn20041025174004" localSheetId="27">#REF!</definedName>
    <definedName name="UFPrn20041025174004" localSheetId="28">#REF!</definedName>
    <definedName name="UFPrn20041025174004" localSheetId="31">#REF!</definedName>
    <definedName name="UFPrn20041025174004" localSheetId="29">#REF!</definedName>
    <definedName name="UFPrn20041025174004" localSheetId="11">#REF!</definedName>
    <definedName name="UFPrn20041025174004" localSheetId="40">#REF!</definedName>
    <definedName name="UFPrn20041025174004">#REF!</definedName>
    <definedName name="UFPrn20041025174205" localSheetId="19">#REF!</definedName>
    <definedName name="UFPrn20041025174205" localSheetId="23">#REF!</definedName>
    <definedName name="UFPrn20041025174205" localSheetId="20">#REF!</definedName>
    <definedName name="UFPrn20041025174205" localSheetId="22">#REF!</definedName>
    <definedName name="UFPrn20041025174205" localSheetId="24">#REF!</definedName>
    <definedName name="UFPrn20041025174205" localSheetId="21">#REF!</definedName>
    <definedName name="UFPrn20041025174205" localSheetId="13">#REF!</definedName>
    <definedName name="UFPrn20041025174205" localSheetId="17">#REF!</definedName>
    <definedName name="UFPrn20041025174205" localSheetId="14">#REF!</definedName>
    <definedName name="UFPrn20041025174205" localSheetId="16">#REF!</definedName>
    <definedName name="UFPrn20041025174205" localSheetId="15">#REF!</definedName>
    <definedName name="UFPrn20041025174205" localSheetId="18">#REF!</definedName>
    <definedName name="UFPrn20041025174205" localSheetId="12">#REF!</definedName>
    <definedName name="UFPrn20041025174205" localSheetId="26">#REF!</definedName>
    <definedName name="UFPrn20041025174205" localSheetId="25">#REF!</definedName>
    <definedName name="UFPrn20041025174205" localSheetId="30">#REF!</definedName>
    <definedName name="UFPrn20041025174205" localSheetId="27">#REF!</definedName>
    <definedName name="UFPrn20041025174205" localSheetId="28">#REF!</definedName>
    <definedName name="UFPrn20041025174205" localSheetId="31">#REF!</definedName>
    <definedName name="UFPrn20041025174205" localSheetId="29">#REF!</definedName>
    <definedName name="UFPrn20041025174205" localSheetId="11">#REF!</definedName>
    <definedName name="UFPrn20041025174205" localSheetId="40">#REF!</definedName>
    <definedName name="UFPrn20041025174205">#REF!</definedName>
    <definedName name="UFPrn20091025104357" localSheetId="19">#REF!</definedName>
    <definedName name="UFPrn20091025104357" localSheetId="23">#REF!</definedName>
    <definedName name="UFPrn20091025104357" localSheetId="20">#REF!</definedName>
    <definedName name="UFPrn20091025104357" localSheetId="22">#REF!</definedName>
    <definedName name="UFPrn20091025104357" localSheetId="24">#REF!</definedName>
    <definedName name="UFPrn20091025104357" localSheetId="21">#REF!</definedName>
    <definedName name="UFPrn20091025104357" localSheetId="13">#REF!</definedName>
    <definedName name="UFPrn20091025104357" localSheetId="17">#REF!</definedName>
    <definedName name="UFPrn20091025104357" localSheetId="14">#REF!</definedName>
    <definedName name="UFPrn20091025104357" localSheetId="16">#REF!</definedName>
    <definedName name="UFPrn20091025104357" localSheetId="15">#REF!</definedName>
    <definedName name="UFPrn20091025104357" localSheetId="18">#REF!</definedName>
    <definedName name="UFPrn20091025104357" localSheetId="12">#REF!</definedName>
    <definedName name="UFPrn20091025104357" localSheetId="26">#REF!</definedName>
    <definedName name="UFPrn20091025104357" localSheetId="25">#REF!</definedName>
    <definedName name="UFPrn20091025104357" localSheetId="30">#REF!</definedName>
    <definedName name="UFPrn20091025104357" localSheetId="27">#REF!</definedName>
    <definedName name="UFPrn20091025104357" localSheetId="28">#REF!</definedName>
    <definedName name="UFPrn20091025104357" localSheetId="31">#REF!</definedName>
    <definedName name="UFPrn20091025104357" localSheetId="29">#REF!</definedName>
    <definedName name="UFPrn20091025104357" localSheetId="11">#REF!</definedName>
    <definedName name="UFPrn20091025104357" localSheetId="40">#REF!</definedName>
    <definedName name="UFPrn20091025104357">#REF!</definedName>
    <definedName name="UFPrn20091025165606" localSheetId="19">#REF!</definedName>
    <definedName name="UFPrn20091025165606" localSheetId="23">#REF!</definedName>
    <definedName name="UFPrn20091025165606" localSheetId="20">#REF!</definedName>
    <definedName name="UFPrn20091025165606" localSheetId="22">#REF!</definedName>
    <definedName name="UFPrn20091025165606" localSheetId="24">#REF!</definedName>
    <definedName name="UFPrn20091025165606" localSheetId="21">#REF!</definedName>
    <definedName name="UFPrn20091025165606" localSheetId="13">#REF!</definedName>
    <definedName name="UFPrn20091025165606" localSheetId="17">#REF!</definedName>
    <definedName name="UFPrn20091025165606" localSheetId="14">#REF!</definedName>
    <definedName name="UFPrn20091025165606" localSheetId="16">#REF!</definedName>
    <definedName name="UFPrn20091025165606" localSheetId="15">#REF!</definedName>
    <definedName name="UFPrn20091025165606" localSheetId="18">#REF!</definedName>
    <definedName name="UFPrn20091025165606" localSheetId="12">#REF!</definedName>
    <definedName name="UFPrn20091025165606" localSheetId="26">#REF!</definedName>
    <definedName name="UFPrn20091025165606" localSheetId="25">#REF!</definedName>
    <definedName name="UFPrn20091025165606" localSheetId="30">#REF!</definedName>
    <definedName name="UFPrn20091025165606" localSheetId="27">#REF!</definedName>
    <definedName name="UFPrn20091025165606" localSheetId="28">#REF!</definedName>
    <definedName name="UFPrn20091025165606" localSheetId="31">#REF!</definedName>
    <definedName name="UFPrn20091025165606" localSheetId="29">#REF!</definedName>
    <definedName name="UFPrn20091025165606" localSheetId="11">#REF!</definedName>
    <definedName name="UFPrn20091025165606" localSheetId="40">#REF!</definedName>
    <definedName name="UFPrn20091025165606">#REF!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1000</definedName>
    <definedName name="Unit_Discharging_Fee_Assumption_P1B" localSheetId="19">'[22]Phase 1B'!#REF!</definedName>
    <definedName name="Unit_Discharging_Fee_Assumption_P1B" localSheetId="23">'[22]Phase 1B'!#REF!</definedName>
    <definedName name="Unit_Discharging_Fee_Assumption_P1B" localSheetId="20">'[22]Phase 1B'!#REF!</definedName>
    <definedName name="Unit_Discharging_Fee_Assumption_P1B" localSheetId="22">'[22]Phase 1B'!#REF!</definedName>
    <definedName name="Unit_Discharging_Fee_Assumption_P1B" localSheetId="24">'[22]Phase 1B'!#REF!</definedName>
    <definedName name="Unit_Discharging_Fee_Assumption_P1B" localSheetId="21">'[22]Phase 1B'!#REF!</definedName>
    <definedName name="Unit_Discharging_Fee_Assumption_P1B" localSheetId="13">'[22]Phase 1B'!#REF!</definedName>
    <definedName name="Unit_Discharging_Fee_Assumption_P1B" localSheetId="17">'[22]Phase 1B'!#REF!</definedName>
    <definedName name="Unit_Discharging_Fee_Assumption_P1B" localSheetId="14">'[22]Phase 1B'!#REF!</definedName>
    <definedName name="Unit_Discharging_Fee_Assumption_P1B" localSheetId="16">'[22]Phase 1B'!#REF!</definedName>
    <definedName name="Unit_Discharging_Fee_Assumption_P1B" localSheetId="15">'[22]Phase 1B'!#REF!</definedName>
    <definedName name="Unit_Discharging_Fee_Assumption_P1B" localSheetId="18">'[22]Phase 1B'!#REF!</definedName>
    <definedName name="Unit_Discharging_Fee_Assumption_P1B" localSheetId="12">'[22]Phase 1B'!#REF!</definedName>
    <definedName name="Unit_Discharging_Fee_Assumption_P1B" localSheetId="26">'[22]Phase 1B'!#REF!</definedName>
    <definedName name="Unit_Discharging_Fee_Assumption_P1B" localSheetId="25">'[22]Phase 1B'!#REF!</definedName>
    <definedName name="Unit_Discharging_Fee_Assumption_P1B" localSheetId="30">'[22]Phase 1B'!#REF!</definedName>
    <definedName name="Unit_Discharging_Fee_Assumption_P1B" localSheetId="27">'[22]Phase 1B'!#REF!</definedName>
    <definedName name="Unit_Discharging_Fee_Assumption_P1B" localSheetId="28">'[22]Phase 1B'!#REF!</definedName>
    <definedName name="Unit_Discharging_Fee_Assumption_P1B" localSheetId="31">'[22]Phase 1B'!#REF!</definedName>
    <definedName name="Unit_Discharging_Fee_Assumption_P1B" localSheetId="29">'[22]Phase 1B'!#REF!</definedName>
    <definedName name="Unit_Discharging_Fee_Assumption_P1B" localSheetId="11">'[22]Phase 1B'!#REF!</definedName>
    <definedName name="Unit_Discharging_Fee_Assumption_P1B" localSheetId="40">'[23]Phase 1B'!#REF!</definedName>
    <definedName name="Unit_Discharging_Fee_Assumption_P1B">'[23]Phase 1B'!#REF!</definedName>
    <definedName name="unit_price" localSheetId="19">#REF!</definedName>
    <definedName name="unit_price" localSheetId="23">#REF!</definedName>
    <definedName name="unit_price" localSheetId="20">#REF!</definedName>
    <definedName name="unit_price" localSheetId="22">#REF!</definedName>
    <definedName name="unit_price" localSheetId="24">#REF!</definedName>
    <definedName name="unit_price" localSheetId="21">#REF!</definedName>
    <definedName name="unit_price" localSheetId="13">#REF!</definedName>
    <definedName name="unit_price" localSheetId="17">#REF!</definedName>
    <definedName name="unit_price" localSheetId="14">#REF!</definedName>
    <definedName name="unit_price" localSheetId="16">#REF!</definedName>
    <definedName name="unit_price" localSheetId="15">#REF!</definedName>
    <definedName name="unit_price" localSheetId="18">#REF!</definedName>
    <definedName name="unit_price" localSheetId="12">#REF!</definedName>
    <definedName name="unit_price" localSheetId="26">#REF!</definedName>
    <definedName name="unit_price" localSheetId="25">#REF!</definedName>
    <definedName name="unit_price" localSheetId="30">#REF!</definedName>
    <definedName name="unit_price" localSheetId="27">#REF!</definedName>
    <definedName name="unit_price" localSheetId="28">#REF!</definedName>
    <definedName name="unit_price" localSheetId="31">#REF!</definedName>
    <definedName name="unit_price" localSheetId="29">#REF!</definedName>
    <definedName name="unit_price" localSheetId="11">#REF!</definedName>
    <definedName name="unit_price" localSheetId="40">#REF!</definedName>
    <definedName name="unit_price">#REF!</definedName>
    <definedName name="Unit_Price_industrial_water" localSheetId="19">'[77]Key Assumption1'!$C$61</definedName>
    <definedName name="Unit_Price_industrial_water" localSheetId="23">'[77]Key Assumption1'!$C$61</definedName>
    <definedName name="Unit_Price_industrial_water" localSheetId="20">'[77]Key Assumption1'!$C$61</definedName>
    <definedName name="Unit_Price_industrial_water" localSheetId="22">'[77]Key Assumption1'!$C$61</definedName>
    <definedName name="Unit_Price_industrial_water" localSheetId="24">'[77]Key Assumption1'!$C$61</definedName>
    <definedName name="Unit_Price_industrial_water" localSheetId="21">'[77]Key Assumption1'!$C$61</definedName>
    <definedName name="Unit_Price_industrial_water" localSheetId="13">'[77]Key Assumption1'!$C$61</definedName>
    <definedName name="Unit_Price_industrial_water" localSheetId="17">'[77]Key Assumption1'!$C$61</definedName>
    <definedName name="Unit_Price_industrial_water" localSheetId="14">'[77]Key Assumption1'!$C$61</definedName>
    <definedName name="Unit_Price_industrial_water" localSheetId="16">'[77]Key Assumption1'!$C$61</definedName>
    <definedName name="Unit_Price_industrial_water" localSheetId="15">'[77]Key Assumption1'!$C$61</definedName>
    <definedName name="Unit_Price_industrial_water" localSheetId="18">'[77]Key Assumption1'!$C$61</definedName>
    <definedName name="Unit_Price_industrial_water" localSheetId="12">'[77]Key Assumption1'!$C$61</definedName>
    <definedName name="Unit_Price_industrial_water" localSheetId="26">'[77]Key Assumption1'!$C$61</definedName>
    <definedName name="Unit_Price_industrial_water" localSheetId="25">'[77]Key Assumption1'!$C$61</definedName>
    <definedName name="Unit_Price_industrial_water" localSheetId="30">'[77]Key Assumption1'!$C$61</definedName>
    <definedName name="Unit_Price_industrial_water" localSheetId="27">'[77]Key Assumption1'!$C$61</definedName>
    <definedName name="Unit_Price_industrial_water" localSheetId="28">'[77]Key Assumption1'!$C$61</definedName>
    <definedName name="Unit_Price_industrial_water" localSheetId="31">'[77]Key Assumption1'!$C$61</definedName>
    <definedName name="Unit_Price_industrial_water" localSheetId="29">'[77]Key Assumption1'!$C$61</definedName>
    <definedName name="Unit_Price_industrial_water" localSheetId="11">'[77]Key Assumption1'!$C$61</definedName>
    <definedName name="Unit_Price_industrial_water" localSheetId="40">'[78]Key Assumption1'!$C$61</definedName>
    <definedName name="Unit_Price_industrial_water">'[78]Key Assumption1'!$C$61</definedName>
    <definedName name="Unit_Price_Power" localSheetId="19">'[79]Key Assumption1'!$B$67</definedName>
    <definedName name="Unit_Price_Power" localSheetId="23">'[79]Key Assumption1'!$B$67</definedName>
    <definedName name="Unit_Price_Power" localSheetId="20">'[79]Key Assumption1'!$B$67</definedName>
    <definedName name="Unit_Price_Power" localSheetId="22">'[79]Key Assumption1'!$B$67</definedName>
    <definedName name="Unit_Price_Power" localSheetId="24">'[79]Key Assumption1'!$B$67</definedName>
    <definedName name="Unit_Price_Power" localSheetId="21">'[79]Key Assumption1'!$B$67</definedName>
    <definedName name="Unit_Price_Power" localSheetId="13">'[79]Key Assumption1'!$B$67</definedName>
    <definedName name="Unit_Price_Power" localSheetId="17">'[79]Key Assumption1'!$B$67</definedName>
    <definedName name="Unit_Price_Power" localSheetId="14">'[79]Key Assumption1'!$B$67</definedName>
    <definedName name="Unit_Price_Power" localSheetId="16">'[79]Key Assumption1'!$B$67</definedName>
    <definedName name="Unit_Price_Power" localSheetId="15">'[79]Key Assumption1'!$B$67</definedName>
    <definedName name="Unit_Price_Power" localSheetId="18">'[79]Key Assumption1'!$B$67</definedName>
    <definedName name="Unit_Price_Power" localSheetId="12">'[79]Key Assumption1'!$B$67</definedName>
    <definedName name="Unit_Price_Power" localSheetId="26">'[79]Key Assumption1'!$B$67</definedName>
    <definedName name="Unit_Price_Power" localSheetId="25">'[79]Key Assumption1'!$B$67</definedName>
    <definedName name="Unit_Price_Power" localSheetId="30">'[79]Key Assumption1'!$B$67</definedName>
    <definedName name="Unit_Price_Power" localSheetId="27">'[79]Key Assumption1'!$B$67</definedName>
    <definedName name="Unit_Price_Power" localSheetId="28">'[79]Key Assumption1'!$B$67</definedName>
    <definedName name="Unit_Price_Power" localSheetId="31">'[79]Key Assumption1'!$B$67</definedName>
    <definedName name="Unit_Price_Power" localSheetId="29">'[79]Key Assumption1'!$B$67</definedName>
    <definedName name="Unit_Price_Power" localSheetId="11">'[79]Key Assumption1'!$B$67</definedName>
    <definedName name="Unit_Price_Power" localSheetId="40">'[80]Key Assumption1'!$B$67</definedName>
    <definedName name="Unit_Price_Power">'[80]Key Assumption1'!$B$67</definedName>
    <definedName name="Unit_Price_Power__Phase1a_2" localSheetId="19">'[79]Key Assumption1'!$B$68</definedName>
    <definedName name="Unit_Price_Power__Phase1a_2" localSheetId="23">'[79]Key Assumption1'!$B$68</definedName>
    <definedName name="Unit_Price_Power__Phase1a_2" localSheetId="20">'[79]Key Assumption1'!$B$68</definedName>
    <definedName name="Unit_Price_Power__Phase1a_2" localSheetId="22">'[79]Key Assumption1'!$B$68</definedName>
    <definedName name="Unit_Price_Power__Phase1a_2" localSheetId="24">'[79]Key Assumption1'!$B$68</definedName>
    <definedName name="Unit_Price_Power__Phase1a_2" localSheetId="21">'[79]Key Assumption1'!$B$68</definedName>
    <definedName name="Unit_Price_Power__Phase1a_2" localSheetId="13">'[79]Key Assumption1'!$B$68</definedName>
    <definedName name="Unit_Price_Power__Phase1a_2" localSheetId="17">'[79]Key Assumption1'!$B$68</definedName>
    <definedName name="Unit_Price_Power__Phase1a_2" localSheetId="14">'[79]Key Assumption1'!$B$68</definedName>
    <definedName name="Unit_Price_Power__Phase1a_2" localSheetId="16">'[79]Key Assumption1'!$B$68</definedName>
    <definedName name="Unit_Price_Power__Phase1a_2" localSheetId="15">'[79]Key Assumption1'!$B$68</definedName>
    <definedName name="Unit_Price_Power__Phase1a_2" localSheetId="18">'[79]Key Assumption1'!$B$68</definedName>
    <definedName name="Unit_Price_Power__Phase1a_2" localSheetId="12">'[79]Key Assumption1'!$B$68</definedName>
    <definedName name="Unit_Price_Power__Phase1a_2" localSheetId="26">'[79]Key Assumption1'!$B$68</definedName>
    <definedName name="Unit_Price_Power__Phase1a_2" localSheetId="25">'[79]Key Assumption1'!$B$68</definedName>
    <definedName name="Unit_Price_Power__Phase1a_2" localSheetId="30">'[79]Key Assumption1'!$B$68</definedName>
    <definedName name="Unit_Price_Power__Phase1a_2" localSheetId="27">'[79]Key Assumption1'!$B$68</definedName>
    <definedName name="Unit_Price_Power__Phase1a_2" localSheetId="28">'[79]Key Assumption1'!$B$68</definedName>
    <definedName name="Unit_Price_Power__Phase1a_2" localSheetId="31">'[79]Key Assumption1'!$B$68</definedName>
    <definedName name="Unit_Price_Power__Phase1a_2" localSheetId="29">'[79]Key Assumption1'!$B$68</definedName>
    <definedName name="Unit_Price_Power__Phase1a_2" localSheetId="11">'[79]Key Assumption1'!$B$68</definedName>
    <definedName name="Unit_Price_Power__Phase1a_2" localSheetId="40">'[80]Key Assumption1'!$B$68</definedName>
    <definedName name="Unit_Price_Power__Phase1a_2">'[80]Key Assumption1'!$B$68</definedName>
    <definedName name="Unit_Price_Sludge_Treatment_P2" localSheetId="19">'[77]Key Assumption1'!$C$68</definedName>
    <definedName name="Unit_Price_Sludge_Treatment_P2" localSheetId="23">'[77]Key Assumption1'!$C$68</definedName>
    <definedName name="Unit_Price_Sludge_Treatment_P2" localSheetId="20">'[77]Key Assumption1'!$C$68</definedName>
    <definedName name="Unit_Price_Sludge_Treatment_P2" localSheetId="22">'[77]Key Assumption1'!$C$68</definedName>
    <definedName name="Unit_Price_Sludge_Treatment_P2" localSheetId="24">'[77]Key Assumption1'!$C$68</definedName>
    <definedName name="Unit_Price_Sludge_Treatment_P2" localSheetId="21">'[77]Key Assumption1'!$C$68</definedName>
    <definedName name="Unit_Price_Sludge_Treatment_P2" localSheetId="13">'[77]Key Assumption1'!$C$68</definedName>
    <definedName name="Unit_Price_Sludge_Treatment_P2" localSheetId="17">'[77]Key Assumption1'!$C$68</definedName>
    <definedName name="Unit_Price_Sludge_Treatment_P2" localSheetId="14">'[77]Key Assumption1'!$C$68</definedName>
    <definedName name="Unit_Price_Sludge_Treatment_P2" localSheetId="16">'[77]Key Assumption1'!$C$68</definedName>
    <definedName name="Unit_Price_Sludge_Treatment_P2" localSheetId="15">'[77]Key Assumption1'!$C$68</definedName>
    <definedName name="Unit_Price_Sludge_Treatment_P2" localSheetId="18">'[77]Key Assumption1'!$C$68</definedName>
    <definedName name="Unit_Price_Sludge_Treatment_P2" localSheetId="12">'[77]Key Assumption1'!$C$68</definedName>
    <definedName name="Unit_Price_Sludge_Treatment_P2" localSheetId="26">'[77]Key Assumption1'!$C$68</definedName>
    <definedName name="Unit_Price_Sludge_Treatment_P2" localSheetId="25">'[77]Key Assumption1'!$C$68</definedName>
    <definedName name="Unit_Price_Sludge_Treatment_P2" localSheetId="30">'[77]Key Assumption1'!$C$68</definedName>
    <definedName name="Unit_Price_Sludge_Treatment_P2" localSheetId="27">'[77]Key Assumption1'!$C$68</definedName>
    <definedName name="Unit_Price_Sludge_Treatment_P2" localSheetId="28">'[77]Key Assumption1'!$C$68</definedName>
    <definedName name="Unit_Price_Sludge_Treatment_P2" localSheetId="31">'[77]Key Assumption1'!$C$68</definedName>
    <definedName name="Unit_Price_Sludge_Treatment_P2" localSheetId="29">'[77]Key Assumption1'!$C$68</definedName>
    <definedName name="Unit_Price_Sludge_Treatment_P2" localSheetId="11">'[77]Key Assumption1'!$C$68</definedName>
    <definedName name="Unit_Price_Sludge_Treatment_P2" localSheetId="40">'[78]Key Assumption1'!$C$68</definedName>
    <definedName name="Unit_Price_Sludge_Treatment_P2">'[78]Key Assumption1'!$C$68</definedName>
    <definedName name="UnLeverTaxRate">'[15]WACC and TIC Inputs'!$K$86</definedName>
    <definedName name="us" localSheetId="26">#REF!</definedName>
    <definedName name="us" localSheetId="25">#REF!</definedName>
    <definedName name="us" localSheetId="30">#REF!</definedName>
    <definedName name="us" localSheetId="27">#REF!</definedName>
    <definedName name="us" localSheetId="28">#REF!</definedName>
    <definedName name="us" localSheetId="31">#REF!</definedName>
    <definedName name="us" localSheetId="29">#REF!</definedName>
    <definedName name="us" localSheetId="40">#REF!</definedName>
    <definedName name="us">#REF!</definedName>
    <definedName name="US_Curr" localSheetId="19">#REF!</definedName>
    <definedName name="US_Curr" localSheetId="23">#REF!</definedName>
    <definedName name="US_Curr" localSheetId="20">#REF!</definedName>
    <definedName name="US_Curr" localSheetId="22">#REF!</definedName>
    <definedName name="US_Curr" localSheetId="24">#REF!</definedName>
    <definedName name="US_Curr" localSheetId="21">#REF!</definedName>
    <definedName name="US_Curr" localSheetId="13">#REF!</definedName>
    <definedName name="US_Curr" localSheetId="17">#REF!</definedName>
    <definedName name="US_Curr" localSheetId="14">#REF!</definedName>
    <definedName name="US_Curr" localSheetId="16">#REF!</definedName>
    <definedName name="US_Curr" localSheetId="15">#REF!</definedName>
    <definedName name="US_Curr" localSheetId="18">#REF!</definedName>
    <definedName name="US_Curr" localSheetId="12">#REF!</definedName>
    <definedName name="US_Curr" localSheetId="26">#REF!</definedName>
    <definedName name="US_Curr" localSheetId="25">#REF!</definedName>
    <definedName name="US_Curr" localSheetId="30">#REF!</definedName>
    <definedName name="US_Curr" localSheetId="27">#REF!</definedName>
    <definedName name="US_Curr" localSheetId="28">#REF!</definedName>
    <definedName name="US_Curr" localSheetId="31">#REF!</definedName>
    <definedName name="US_Curr" localSheetId="29">#REF!</definedName>
    <definedName name="US_Curr" localSheetId="11">#REF!</definedName>
    <definedName name="US_Curr" localSheetId="37">#REF!</definedName>
    <definedName name="US_Curr" localSheetId="38">#REF!</definedName>
    <definedName name="US_Curr" localSheetId="40">#REF!</definedName>
    <definedName name="US_Curr" localSheetId="34">#REF!</definedName>
    <definedName name="US_Curr" localSheetId="33">#REF!</definedName>
    <definedName name="US_Curr">#REF!</definedName>
    <definedName name="Val1Hist2">[15]TIC!$V$48</definedName>
    <definedName name="ValDateHeading">[15]START!$C$4</definedName>
    <definedName name="Valuation_date">[15]START!$I$15</definedName>
    <definedName name="Valuation_Date_1">[18]Key_Inputs!$O$25</definedName>
    <definedName name="Valuation_Date_2">[18]Key_Inputs!$P$25</definedName>
    <definedName name="Valuation_Date_GC">'[15]DATA GPC'!$G$16</definedName>
    <definedName name="VAT_I" localSheetId="19">'[48]假设 Inputs'!$M$674</definedName>
    <definedName name="VAT_I" localSheetId="23">'[48]假设 Inputs'!$M$674</definedName>
    <definedName name="VAT_I" localSheetId="20">'[48]假设 Inputs'!$M$674</definedName>
    <definedName name="VAT_I" localSheetId="22">'[48]假设 Inputs'!$M$674</definedName>
    <definedName name="VAT_I" localSheetId="24">'[48]假设 Inputs'!$M$674</definedName>
    <definedName name="VAT_I" localSheetId="21">'[48]假设 Inputs'!$M$674</definedName>
    <definedName name="VAT_I" localSheetId="13">'[48]假设 Inputs'!$M$674</definedName>
    <definedName name="VAT_I" localSheetId="17">'[48]假设 Inputs'!$M$674</definedName>
    <definedName name="VAT_I" localSheetId="14">'[48]假设 Inputs'!$M$674</definedName>
    <definedName name="VAT_I" localSheetId="16">'[48]假设 Inputs'!$M$674</definedName>
    <definedName name="VAT_I" localSheetId="15">'[48]假设 Inputs'!$M$674</definedName>
    <definedName name="VAT_I" localSheetId="18">'[48]假设 Inputs'!$M$674</definedName>
    <definedName name="VAT_I" localSheetId="12">'[48]假设 Inputs'!$M$674</definedName>
    <definedName name="VAT_I" localSheetId="26">'[48]假设 Inputs'!$M$674</definedName>
    <definedName name="VAT_I" localSheetId="25">'[48]假设 Inputs'!$M$674</definedName>
    <definedName name="VAT_I" localSheetId="30">'[48]假设 Inputs'!$M$674</definedName>
    <definedName name="VAT_I" localSheetId="27">'[48]假设 Inputs'!$M$674</definedName>
    <definedName name="VAT_I" localSheetId="28">'[48]假设 Inputs'!$M$674</definedName>
    <definedName name="VAT_I" localSheetId="31">'[48]假设 Inputs'!$M$674</definedName>
    <definedName name="VAT_I" localSheetId="29">'[48]假设 Inputs'!$M$674</definedName>
    <definedName name="VAT_I" localSheetId="11">'[48]假设 Inputs'!$M$674</definedName>
    <definedName name="VAT_I" localSheetId="36">'[48]假设 Inputs'!$M$674</definedName>
    <definedName name="VAT_I">'[17]假设 Inputs'!$M$674</definedName>
    <definedName name="VAT_III" localSheetId="19">'[48]假设 Inputs'!$M$676</definedName>
    <definedName name="VAT_III" localSheetId="23">'[48]假设 Inputs'!$M$676</definedName>
    <definedName name="VAT_III" localSheetId="20">'[48]假设 Inputs'!$M$676</definedName>
    <definedName name="VAT_III" localSheetId="22">'[48]假设 Inputs'!$M$676</definedName>
    <definedName name="VAT_III" localSheetId="24">'[48]假设 Inputs'!$M$676</definedName>
    <definedName name="VAT_III" localSheetId="21">'[48]假设 Inputs'!$M$676</definedName>
    <definedName name="VAT_III" localSheetId="13">'[48]假设 Inputs'!$M$676</definedName>
    <definedName name="VAT_III" localSheetId="17">'[48]假设 Inputs'!$M$676</definedName>
    <definedName name="VAT_III" localSheetId="14">'[48]假设 Inputs'!$M$676</definedName>
    <definedName name="VAT_III" localSheetId="16">'[48]假设 Inputs'!$M$676</definedName>
    <definedName name="VAT_III" localSheetId="15">'[48]假设 Inputs'!$M$676</definedName>
    <definedName name="VAT_III" localSheetId="18">'[48]假设 Inputs'!$M$676</definedName>
    <definedName name="VAT_III" localSheetId="12">'[48]假设 Inputs'!$M$676</definedName>
    <definedName name="VAT_III" localSheetId="26">'[48]假设 Inputs'!$M$676</definedName>
    <definedName name="VAT_III" localSheetId="25">'[48]假设 Inputs'!$M$676</definedName>
    <definedName name="VAT_III" localSheetId="30">'[48]假设 Inputs'!$M$676</definedName>
    <definedName name="VAT_III" localSheetId="27">'[48]假设 Inputs'!$M$676</definedName>
    <definedName name="VAT_III" localSheetId="28">'[48]假设 Inputs'!$M$676</definedName>
    <definedName name="VAT_III" localSheetId="31">'[48]假设 Inputs'!$M$676</definedName>
    <definedName name="VAT_III" localSheetId="29">'[48]假设 Inputs'!$M$676</definedName>
    <definedName name="VAT_III" localSheetId="11">'[48]假设 Inputs'!$M$676</definedName>
    <definedName name="VAT_III" localSheetId="36">'[48]假设 Inputs'!$M$676</definedName>
    <definedName name="VAT_III">'[17]假设 Inputs'!$M$676</definedName>
    <definedName name="VAT_IV">'[81]假设 Inputs'!$J$496</definedName>
    <definedName name="vba_rngCapEx" localSheetId="19" hidden="1">#REF!</definedName>
    <definedName name="vba_rngCapEx" localSheetId="23" hidden="1">#REF!</definedName>
    <definedName name="vba_rngCapEx" localSheetId="20" hidden="1">#REF!</definedName>
    <definedName name="vba_rngCapEx" localSheetId="22" hidden="1">#REF!</definedName>
    <definedName name="vba_rngCapEx" localSheetId="24" hidden="1">#REF!</definedName>
    <definedName name="vba_rngCapEx" localSheetId="21" hidden="1">#REF!</definedName>
    <definedName name="vba_rngCapEx" localSheetId="13" hidden="1">#REF!</definedName>
    <definedName name="vba_rngCapEx" localSheetId="17" hidden="1">#REF!</definedName>
    <definedName name="vba_rngCapEx" localSheetId="14" hidden="1">#REF!</definedName>
    <definedName name="vba_rngCapEx" localSheetId="16" hidden="1">#REF!</definedName>
    <definedName name="vba_rngCapEx" localSheetId="15" hidden="1">#REF!</definedName>
    <definedName name="vba_rngCapEx" localSheetId="18" hidden="1">#REF!</definedName>
    <definedName name="vba_rngCapEx" localSheetId="12" hidden="1">#REF!</definedName>
    <definedName name="vba_rngCapEx" localSheetId="26" hidden="1">#REF!</definedName>
    <definedName name="vba_rngCapEx" localSheetId="25" hidden="1">#REF!</definedName>
    <definedName name="vba_rngCapEx" localSheetId="30" hidden="1">#REF!</definedName>
    <definedName name="vba_rngCapEx" localSheetId="27" hidden="1">#REF!</definedName>
    <definedName name="vba_rngCapEx" localSheetId="28" hidden="1">#REF!</definedName>
    <definedName name="vba_rngCapEx" localSheetId="31" hidden="1">#REF!</definedName>
    <definedName name="vba_rngCapEx" localSheetId="29" hidden="1">#REF!</definedName>
    <definedName name="vba_rngCapEx" localSheetId="11" hidden="1">#REF!</definedName>
    <definedName name="vba_rngCapEx" localSheetId="40" hidden="1">#REF!</definedName>
    <definedName name="vba_rngCapEx" localSheetId="36" hidden="1">#REF!</definedName>
    <definedName name="vba_rngCapEx" hidden="1">#REF!</definedName>
    <definedName name="vba_rngFinancing" localSheetId="19" hidden="1">#REF!</definedName>
    <definedName name="vba_rngFinancing" localSheetId="23" hidden="1">#REF!</definedName>
    <definedName name="vba_rngFinancing" localSheetId="20" hidden="1">#REF!</definedName>
    <definedName name="vba_rngFinancing" localSheetId="22" hidden="1">#REF!</definedName>
    <definedName name="vba_rngFinancing" localSheetId="24" hidden="1">#REF!</definedName>
    <definedName name="vba_rngFinancing" localSheetId="21" hidden="1">#REF!</definedName>
    <definedName name="vba_rngFinancing" localSheetId="13" hidden="1">#REF!</definedName>
    <definedName name="vba_rngFinancing" localSheetId="17" hidden="1">#REF!</definedName>
    <definedName name="vba_rngFinancing" localSheetId="14" hidden="1">#REF!</definedName>
    <definedName name="vba_rngFinancing" localSheetId="16" hidden="1">#REF!</definedName>
    <definedName name="vba_rngFinancing" localSheetId="15" hidden="1">#REF!</definedName>
    <definedName name="vba_rngFinancing" localSheetId="18" hidden="1">#REF!</definedName>
    <definedName name="vba_rngFinancing" localSheetId="12" hidden="1">#REF!</definedName>
    <definedName name="vba_rngFinancing" localSheetId="26" hidden="1">#REF!</definedName>
    <definedName name="vba_rngFinancing" localSheetId="25" hidden="1">#REF!</definedName>
    <definedName name="vba_rngFinancing" localSheetId="30" hidden="1">#REF!</definedName>
    <definedName name="vba_rngFinancing" localSheetId="27" hidden="1">#REF!</definedName>
    <definedName name="vba_rngFinancing" localSheetId="28" hidden="1">#REF!</definedName>
    <definedName name="vba_rngFinancing" localSheetId="31" hidden="1">#REF!</definedName>
    <definedName name="vba_rngFinancing" localSheetId="29" hidden="1">#REF!</definedName>
    <definedName name="vba_rngFinancing" localSheetId="11" hidden="1">#REF!</definedName>
    <definedName name="vba_rngFinancing" localSheetId="40" hidden="1">#REF!</definedName>
    <definedName name="vba_rngFinancing" localSheetId="36" hidden="1">#REF!</definedName>
    <definedName name="vba_rngFinancing" hidden="1">#REF!</definedName>
    <definedName name="vba_rngOps" localSheetId="19" hidden="1">#REF!</definedName>
    <definedName name="vba_rngOps" localSheetId="23" hidden="1">#REF!</definedName>
    <definedName name="vba_rngOps" localSheetId="20" hidden="1">#REF!</definedName>
    <definedName name="vba_rngOps" localSheetId="22" hidden="1">#REF!</definedName>
    <definedName name="vba_rngOps" localSheetId="24" hidden="1">#REF!</definedName>
    <definedName name="vba_rngOps" localSheetId="21" hidden="1">#REF!</definedName>
    <definedName name="vba_rngOps" localSheetId="13" hidden="1">#REF!</definedName>
    <definedName name="vba_rngOps" localSheetId="17" hidden="1">#REF!</definedName>
    <definedName name="vba_rngOps" localSheetId="14" hidden="1">#REF!</definedName>
    <definedName name="vba_rngOps" localSheetId="16" hidden="1">#REF!</definedName>
    <definedName name="vba_rngOps" localSheetId="15" hidden="1">#REF!</definedName>
    <definedName name="vba_rngOps" localSheetId="18" hidden="1">#REF!</definedName>
    <definedName name="vba_rngOps" localSheetId="12" hidden="1">#REF!</definedName>
    <definedName name="vba_rngOps" localSheetId="26" hidden="1">#REF!</definedName>
    <definedName name="vba_rngOps" localSheetId="25" hidden="1">#REF!</definedName>
    <definedName name="vba_rngOps" localSheetId="30" hidden="1">#REF!</definedName>
    <definedName name="vba_rngOps" localSheetId="27" hidden="1">#REF!</definedName>
    <definedName name="vba_rngOps" localSheetId="28" hidden="1">#REF!</definedName>
    <definedName name="vba_rngOps" localSheetId="31" hidden="1">#REF!</definedName>
    <definedName name="vba_rngOps" localSheetId="29" hidden="1">#REF!</definedName>
    <definedName name="vba_rngOps" localSheetId="11" hidden="1">#REF!</definedName>
    <definedName name="vba_rngOps" localSheetId="40" hidden="1">#REF!</definedName>
    <definedName name="vba_rngOps" localSheetId="36" hidden="1">#REF!</definedName>
    <definedName name="vba_rngOps" hidden="1">#REF!</definedName>
    <definedName name="vba_rngShare" localSheetId="19" hidden="1">#REF!</definedName>
    <definedName name="vba_rngShare" localSheetId="23" hidden="1">#REF!</definedName>
    <definedName name="vba_rngShare" localSheetId="20" hidden="1">#REF!</definedName>
    <definedName name="vba_rngShare" localSheetId="22" hidden="1">#REF!</definedName>
    <definedName name="vba_rngShare" localSheetId="24" hidden="1">#REF!</definedName>
    <definedName name="vba_rngShare" localSheetId="21" hidden="1">#REF!</definedName>
    <definedName name="vba_rngShare" localSheetId="13" hidden="1">#REF!</definedName>
    <definedName name="vba_rngShare" localSheetId="17" hidden="1">#REF!</definedName>
    <definedName name="vba_rngShare" localSheetId="14" hidden="1">#REF!</definedName>
    <definedName name="vba_rngShare" localSheetId="16" hidden="1">#REF!</definedName>
    <definedName name="vba_rngShare" localSheetId="15" hidden="1">#REF!</definedName>
    <definedName name="vba_rngShare" localSheetId="18" hidden="1">#REF!</definedName>
    <definedName name="vba_rngShare" localSheetId="12" hidden="1">#REF!</definedName>
    <definedName name="vba_rngShare" localSheetId="26" hidden="1">#REF!</definedName>
    <definedName name="vba_rngShare" localSheetId="25" hidden="1">#REF!</definedName>
    <definedName name="vba_rngShare" localSheetId="30" hidden="1">#REF!</definedName>
    <definedName name="vba_rngShare" localSheetId="27" hidden="1">#REF!</definedName>
    <definedName name="vba_rngShare" localSheetId="28" hidden="1">#REF!</definedName>
    <definedName name="vba_rngShare" localSheetId="31" hidden="1">#REF!</definedName>
    <definedName name="vba_rngShare" localSheetId="29" hidden="1">#REF!</definedName>
    <definedName name="vba_rngShare" localSheetId="11" hidden="1">#REF!</definedName>
    <definedName name="vba_rngShare" localSheetId="40" hidden="1">#REF!</definedName>
    <definedName name="vba_rngShare" localSheetId="36" hidden="1">#REF!</definedName>
    <definedName name="vba_rngShare" hidden="1">#REF!</definedName>
    <definedName name="vba_rngTax" localSheetId="19" hidden="1">#REF!</definedName>
    <definedName name="vba_rngTax" localSheetId="23" hidden="1">#REF!</definedName>
    <definedName name="vba_rngTax" localSheetId="20" hidden="1">#REF!</definedName>
    <definedName name="vba_rngTax" localSheetId="22" hidden="1">#REF!</definedName>
    <definedName name="vba_rngTax" localSheetId="24" hidden="1">#REF!</definedName>
    <definedName name="vba_rngTax" localSheetId="21" hidden="1">#REF!</definedName>
    <definedName name="vba_rngTax" localSheetId="13" hidden="1">#REF!</definedName>
    <definedName name="vba_rngTax" localSheetId="17" hidden="1">#REF!</definedName>
    <definedName name="vba_rngTax" localSheetId="14" hidden="1">#REF!</definedName>
    <definedName name="vba_rngTax" localSheetId="16" hidden="1">#REF!</definedName>
    <definedName name="vba_rngTax" localSheetId="15" hidden="1">#REF!</definedName>
    <definedName name="vba_rngTax" localSheetId="18" hidden="1">#REF!</definedName>
    <definedName name="vba_rngTax" localSheetId="12" hidden="1">#REF!</definedName>
    <definedName name="vba_rngTax" localSheetId="26" hidden="1">#REF!</definedName>
    <definedName name="vba_rngTax" localSheetId="25" hidden="1">#REF!</definedName>
    <definedName name="vba_rngTax" localSheetId="30" hidden="1">#REF!</definedName>
    <definedName name="vba_rngTax" localSheetId="27" hidden="1">#REF!</definedName>
    <definedName name="vba_rngTax" localSheetId="28" hidden="1">#REF!</definedName>
    <definedName name="vba_rngTax" localSheetId="31" hidden="1">#REF!</definedName>
    <definedName name="vba_rngTax" localSheetId="29" hidden="1">#REF!</definedName>
    <definedName name="vba_rngTax" localSheetId="11" hidden="1">#REF!</definedName>
    <definedName name="vba_rngTax" localSheetId="40" hidden="1">#REF!</definedName>
    <definedName name="vba_rngTax" localSheetId="36" hidden="1">#REF!</definedName>
    <definedName name="vba_rngTax" hidden="1">#REF!</definedName>
    <definedName name="VBDate" localSheetId="19">'[48]假设 Inputs'!$M$20</definedName>
    <definedName name="VBDate" localSheetId="23">'[48]假设 Inputs'!$M$20</definedName>
    <definedName name="VBDate" localSheetId="20">'[48]假设 Inputs'!$M$20</definedName>
    <definedName name="VBDate" localSheetId="22">'[48]假设 Inputs'!$M$20</definedName>
    <definedName name="VBDate" localSheetId="24">'[48]假设 Inputs'!$M$20</definedName>
    <definedName name="VBDate" localSheetId="21">'[48]假设 Inputs'!$M$20</definedName>
    <definedName name="VBDate" localSheetId="13">'[48]假设 Inputs'!$M$20</definedName>
    <definedName name="VBDate" localSheetId="17">'[48]假设 Inputs'!$M$20</definedName>
    <definedName name="VBDate" localSheetId="14">'[48]假设 Inputs'!$M$20</definedName>
    <definedName name="VBDate" localSheetId="16">'[48]假设 Inputs'!$M$20</definedName>
    <definedName name="VBDate" localSheetId="15">'[48]假设 Inputs'!$M$20</definedName>
    <definedName name="VBDate" localSheetId="18">'[48]假设 Inputs'!$M$20</definedName>
    <definedName name="VBDate" localSheetId="12">'[48]假设 Inputs'!$M$20</definedName>
    <definedName name="VBDate" localSheetId="26">'[48]假设 Inputs'!$M$20</definedName>
    <definedName name="VBDate" localSheetId="25">'[48]假设 Inputs'!$M$20</definedName>
    <definedName name="VBDate" localSheetId="30">'[48]假设 Inputs'!$M$20</definedName>
    <definedName name="VBDate" localSheetId="27">'[48]假设 Inputs'!$M$20</definedName>
    <definedName name="VBDate" localSheetId="28">'[48]假设 Inputs'!$M$20</definedName>
    <definedName name="VBDate" localSheetId="31">'[48]假设 Inputs'!$M$20</definedName>
    <definedName name="VBDate" localSheetId="29">'[48]假设 Inputs'!$M$20</definedName>
    <definedName name="VBDate" localSheetId="11">'[48]假设 Inputs'!$M$20</definedName>
    <definedName name="VBDate" localSheetId="36">'[48]假设 Inputs'!$M$20</definedName>
    <definedName name="VBDate">'[17]假设 Inputs'!$M$20</definedName>
    <definedName name="VIC_HC" localSheetId="19">#REF!</definedName>
    <definedName name="VIC_HC" localSheetId="23">#REF!</definedName>
    <definedName name="VIC_HC" localSheetId="20">#REF!</definedName>
    <definedName name="VIC_HC" localSheetId="22">#REF!</definedName>
    <definedName name="VIC_HC" localSheetId="24">#REF!</definedName>
    <definedName name="VIC_HC" localSheetId="21">#REF!</definedName>
    <definedName name="VIC_HC" localSheetId="13">#REF!</definedName>
    <definedName name="VIC_HC" localSheetId="17">#REF!</definedName>
    <definedName name="VIC_HC" localSheetId="14">#REF!</definedName>
    <definedName name="VIC_HC" localSheetId="16">#REF!</definedName>
    <definedName name="VIC_HC" localSheetId="15">#REF!</definedName>
    <definedName name="VIC_HC" localSheetId="18">#REF!</definedName>
    <definedName name="VIC_HC" localSheetId="12">#REF!</definedName>
    <definedName name="VIC_HC" localSheetId="26">#REF!</definedName>
    <definedName name="VIC_HC" localSheetId="25">#REF!</definedName>
    <definedName name="VIC_HC" localSheetId="30">#REF!</definedName>
    <definedName name="VIC_HC" localSheetId="27">#REF!</definedName>
    <definedName name="VIC_HC" localSheetId="28">#REF!</definedName>
    <definedName name="VIC_HC" localSheetId="31">#REF!</definedName>
    <definedName name="VIC_HC" localSheetId="29">#REF!</definedName>
    <definedName name="VIC_HC" localSheetId="11">#REF!</definedName>
    <definedName name="VIC_HC" localSheetId="38">#REF!</definedName>
    <definedName name="VIC_HC" localSheetId="40">#REF!</definedName>
    <definedName name="VIC_HC" localSheetId="34">#REF!</definedName>
    <definedName name="VIC_HC" localSheetId="33">#REF!</definedName>
    <definedName name="VIC_HC">#REF!</definedName>
    <definedName name="VIC_S_HC" localSheetId="19">#REF!</definedName>
    <definedName name="VIC_S_HC" localSheetId="23">#REF!</definedName>
    <definedName name="VIC_S_HC" localSheetId="20">#REF!</definedName>
    <definedName name="VIC_S_HC" localSheetId="22">#REF!</definedName>
    <definedName name="VIC_S_HC" localSheetId="24">#REF!</definedName>
    <definedName name="VIC_S_HC" localSheetId="21">#REF!</definedName>
    <definedName name="VIC_S_HC" localSheetId="13">#REF!</definedName>
    <definedName name="VIC_S_HC" localSheetId="17">#REF!</definedName>
    <definedName name="VIC_S_HC" localSheetId="14">#REF!</definedName>
    <definedName name="VIC_S_HC" localSheetId="16">#REF!</definedName>
    <definedName name="VIC_S_HC" localSheetId="15">#REF!</definedName>
    <definedName name="VIC_S_HC" localSheetId="18">#REF!</definedName>
    <definedName name="VIC_S_HC" localSheetId="12">#REF!</definedName>
    <definedName name="VIC_S_HC" localSheetId="26">#REF!</definedName>
    <definedName name="VIC_S_HC" localSheetId="25">#REF!</definedName>
    <definedName name="VIC_S_HC" localSheetId="30">#REF!</definedName>
    <definedName name="VIC_S_HC" localSheetId="27">#REF!</definedName>
    <definedName name="VIC_S_HC" localSheetId="28">#REF!</definedName>
    <definedName name="VIC_S_HC" localSheetId="31">#REF!</definedName>
    <definedName name="VIC_S_HC" localSheetId="29">#REF!</definedName>
    <definedName name="VIC_S_HC" localSheetId="11">#REF!</definedName>
    <definedName name="VIC_S_HC" localSheetId="38">#REF!</definedName>
    <definedName name="VIC_S_HC" localSheetId="40">#REF!</definedName>
    <definedName name="VIC_S_HC" localSheetId="34">#REF!</definedName>
    <definedName name="VIC_S_HC" localSheetId="33">#REF!</definedName>
    <definedName name="VIC_S_HC">#REF!</definedName>
    <definedName name="volum" localSheetId="19">#REF!</definedName>
    <definedName name="volum" localSheetId="23">#REF!</definedName>
    <definedName name="volum" localSheetId="20">#REF!</definedName>
    <definedName name="volum" localSheetId="22">#REF!</definedName>
    <definedName name="volum" localSheetId="24">#REF!</definedName>
    <definedName name="volum" localSheetId="21">#REF!</definedName>
    <definedName name="volum" localSheetId="13">#REF!</definedName>
    <definedName name="volum" localSheetId="17">#REF!</definedName>
    <definedName name="volum" localSheetId="14">#REF!</definedName>
    <definedName name="volum" localSheetId="16">#REF!</definedName>
    <definedName name="volum" localSheetId="15">#REF!</definedName>
    <definedName name="volum" localSheetId="18">#REF!</definedName>
    <definedName name="volum" localSheetId="12">#REF!</definedName>
    <definedName name="volum" localSheetId="26">#REF!</definedName>
    <definedName name="volum" localSheetId="25">#REF!</definedName>
    <definedName name="volum" localSheetId="30">#REF!</definedName>
    <definedName name="volum" localSheetId="27">#REF!</definedName>
    <definedName name="volum" localSheetId="28">#REF!</definedName>
    <definedName name="volum" localSheetId="31">#REF!</definedName>
    <definedName name="volum" localSheetId="29">#REF!</definedName>
    <definedName name="volum" localSheetId="11">#REF!</definedName>
    <definedName name="volum" localSheetId="40">#REF!</definedName>
    <definedName name="volum">#REF!</definedName>
    <definedName name="w" localSheetId="26" hidden="1">{"Rep 1",#N/A,FALSE,"Reports";"Rep 2",#N/A,FALSE,"Reports";"Rep 3",#N/A,FALSE,"Reports";"Rep 4",#N/A,FALSE,"Reports"}</definedName>
    <definedName name="w" localSheetId="25" hidden="1">{"Rep 1",#N/A,FALSE,"Reports";"Rep 2",#N/A,FALSE,"Reports";"Rep 3",#N/A,FALSE,"Reports";"Rep 4",#N/A,FALSE,"Reports"}</definedName>
    <definedName name="w" localSheetId="30" hidden="1">{"Rep 1",#N/A,FALSE,"Reports";"Rep 2",#N/A,FALSE,"Reports";"Rep 3",#N/A,FALSE,"Reports";"Rep 4",#N/A,FALSE,"Reports"}</definedName>
    <definedName name="w" localSheetId="27" hidden="1">{"Rep 1",#N/A,FALSE,"Reports";"Rep 2",#N/A,FALSE,"Reports";"Rep 3",#N/A,FALSE,"Reports";"Rep 4",#N/A,FALSE,"Reports"}</definedName>
    <definedName name="w" localSheetId="28" hidden="1">{"Rep 1",#N/A,FALSE,"Reports";"Rep 2",#N/A,FALSE,"Reports";"Rep 3",#N/A,FALSE,"Reports";"Rep 4",#N/A,FALSE,"Reports"}</definedName>
    <definedName name="w" localSheetId="31" hidden="1">{"Rep 1",#N/A,FALSE,"Reports";"Rep 2",#N/A,FALSE,"Reports";"Rep 3",#N/A,FALSE,"Reports";"Rep 4",#N/A,FALSE,"Reports"}</definedName>
    <definedName name="w" localSheetId="29" hidden="1">{"Rep 1",#N/A,FALSE,"Reports";"Rep 2",#N/A,FALSE,"Reports";"Rep 3",#N/A,FALSE,"Reports";"Rep 4",#N/A,FALSE,"Reports"}</definedName>
    <definedName name="w" hidden="1">{"Rep 1",#N/A,FALSE,"Reports";"Rep 2",#N/A,FALSE,"Reports";"Rep 3",#N/A,FALSE,"Reports";"Rep 4",#N/A,FALSE,"Reports"}</definedName>
    <definedName name="WACC" localSheetId="19">#REF!</definedName>
    <definedName name="WACC" localSheetId="23">#REF!</definedName>
    <definedName name="WACC" localSheetId="20">#REF!</definedName>
    <definedName name="WACC" localSheetId="22">#REF!</definedName>
    <definedName name="WACC" localSheetId="24">#REF!</definedName>
    <definedName name="WACC" localSheetId="21">#REF!</definedName>
    <definedName name="WACC" localSheetId="13">#REF!</definedName>
    <definedName name="WACC" localSheetId="17">#REF!</definedName>
    <definedName name="WACC" localSheetId="14">#REF!</definedName>
    <definedName name="WACC" localSheetId="16">#REF!</definedName>
    <definedName name="WACC" localSheetId="15">#REF!</definedName>
    <definedName name="WACC" localSheetId="18">#REF!</definedName>
    <definedName name="WACC" localSheetId="12">#REF!</definedName>
    <definedName name="WACC" localSheetId="26">#REF!</definedName>
    <definedName name="WACC" localSheetId="25">#REF!</definedName>
    <definedName name="WACC" localSheetId="30">#REF!</definedName>
    <definedName name="WACC" localSheetId="27">#REF!</definedName>
    <definedName name="WACC" localSheetId="28">#REF!</definedName>
    <definedName name="WACC" localSheetId="31">#REF!</definedName>
    <definedName name="WACC" localSheetId="29">#REF!</definedName>
    <definedName name="WACC" localSheetId="11">#REF!</definedName>
    <definedName name="WACC" localSheetId="40">#REF!</definedName>
    <definedName name="WACC">#REF!</definedName>
    <definedName name="WACCinDCF">[15]DCF!$D$31</definedName>
    <definedName name="wan">10000</definedName>
    <definedName name="water" localSheetId="26">#REF!</definedName>
    <definedName name="water" localSheetId="25">#REF!</definedName>
    <definedName name="water" localSheetId="30">#REF!</definedName>
    <definedName name="water" localSheetId="27">#REF!</definedName>
    <definedName name="water" localSheetId="28">#REF!</definedName>
    <definedName name="water" localSheetId="31">#REF!</definedName>
    <definedName name="water" localSheetId="29">#REF!</definedName>
    <definedName name="water" localSheetId="40">#REF!</definedName>
    <definedName name="water">#REF!</definedName>
    <definedName name="Water_Cost_Assumption_Variable_P1B" localSheetId="19">'[22]Phase 1B'!#REF!</definedName>
    <definedName name="Water_Cost_Assumption_Variable_P1B" localSheetId="23">'[22]Phase 1B'!#REF!</definedName>
    <definedName name="Water_Cost_Assumption_Variable_P1B" localSheetId="20">'[22]Phase 1B'!#REF!</definedName>
    <definedName name="Water_Cost_Assumption_Variable_P1B" localSheetId="22">'[22]Phase 1B'!#REF!</definedName>
    <definedName name="Water_Cost_Assumption_Variable_P1B" localSheetId="24">'[22]Phase 1B'!#REF!</definedName>
    <definedName name="Water_Cost_Assumption_Variable_P1B" localSheetId="21">'[22]Phase 1B'!#REF!</definedName>
    <definedName name="Water_Cost_Assumption_Variable_P1B" localSheetId="13">'[22]Phase 1B'!#REF!</definedName>
    <definedName name="Water_Cost_Assumption_Variable_P1B" localSheetId="17">'[22]Phase 1B'!#REF!</definedName>
    <definedName name="Water_Cost_Assumption_Variable_P1B" localSheetId="14">'[22]Phase 1B'!#REF!</definedName>
    <definedName name="Water_Cost_Assumption_Variable_P1B" localSheetId="16">'[22]Phase 1B'!#REF!</definedName>
    <definedName name="Water_Cost_Assumption_Variable_P1B" localSheetId="15">'[22]Phase 1B'!#REF!</definedName>
    <definedName name="Water_Cost_Assumption_Variable_P1B" localSheetId="18">'[22]Phase 1B'!#REF!</definedName>
    <definedName name="Water_Cost_Assumption_Variable_P1B" localSheetId="12">'[22]Phase 1B'!#REF!</definedName>
    <definedName name="Water_Cost_Assumption_Variable_P1B" localSheetId="26">'[22]Phase 1B'!#REF!</definedName>
    <definedName name="Water_Cost_Assumption_Variable_P1B" localSheetId="25">'[22]Phase 1B'!#REF!</definedName>
    <definedName name="Water_Cost_Assumption_Variable_P1B" localSheetId="30">'[22]Phase 1B'!#REF!</definedName>
    <definedName name="Water_Cost_Assumption_Variable_P1B" localSheetId="27">'[22]Phase 1B'!#REF!</definedName>
    <definedName name="Water_Cost_Assumption_Variable_P1B" localSheetId="28">'[22]Phase 1B'!#REF!</definedName>
    <definedName name="Water_Cost_Assumption_Variable_P1B" localSheetId="31">'[22]Phase 1B'!#REF!</definedName>
    <definedName name="Water_Cost_Assumption_Variable_P1B" localSheetId="29">'[22]Phase 1B'!#REF!</definedName>
    <definedName name="Water_Cost_Assumption_Variable_P1B" localSheetId="11">'[22]Phase 1B'!#REF!</definedName>
    <definedName name="Water_Cost_Assumption_Variable_P1B" localSheetId="40">'[23]Phase 1B'!#REF!</definedName>
    <definedName name="Water_Cost_Assumption_Variable_P1B">'[23]Phase 1B'!#REF!</definedName>
    <definedName name="water_H" localSheetId="19">[24]Assumption!$E$18</definedName>
    <definedName name="water_H" localSheetId="23">[24]Assumption!$E$18</definedName>
    <definedName name="water_H" localSheetId="20">[24]Assumption!$E$18</definedName>
    <definedName name="water_H" localSheetId="22">[24]Assumption!$E$18</definedName>
    <definedName name="water_H" localSheetId="24">[24]Assumption!$E$18</definedName>
    <definedName name="water_H" localSheetId="21">[24]Assumption!$E$18</definedName>
    <definedName name="water_H" localSheetId="13">[24]Assumption!$E$18</definedName>
    <definedName name="water_H" localSheetId="17">[24]Assumption!$E$18</definedName>
    <definedName name="water_H" localSheetId="14">[24]Assumption!$E$18</definedName>
    <definedName name="water_H" localSheetId="16">[24]Assumption!$E$18</definedName>
    <definedName name="water_H" localSheetId="15">[24]Assumption!$E$18</definedName>
    <definedName name="water_H" localSheetId="18">[24]Assumption!$E$18</definedName>
    <definedName name="water_H" localSheetId="12">[24]Assumption!$E$18</definedName>
    <definedName name="water_H" localSheetId="26">[24]Assumption!$E$18</definedName>
    <definedName name="water_H" localSheetId="25">[24]Assumption!$E$18</definedName>
    <definedName name="water_H" localSheetId="30">[24]Assumption!$E$18</definedName>
    <definedName name="water_H" localSheetId="27">[24]Assumption!$E$18</definedName>
    <definedName name="water_H" localSheetId="28">[24]Assumption!$E$18</definedName>
    <definedName name="water_H" localSheetId="31">[24]Assumption!$E$18</definedName>
    <definedName name="water_H" localSheetId="29">[24]Assumption!$E$18</definedName>
    <definedName name="water_H" localSheetId="11">[24]Assumption!$E$18</definedName>
    <definedName name="water_H" localSheetId="40">[25]Assumption!$E$18</definedName>
    <definedName name="water_H">[25]Assumption!$E$18</definedName>
    <definedName name="Water_L" localSheetId="19">[24]Assumption!$I$18</definedName>
    <definedName name="Water_L" localSheetId="23">[24]Assumption!$I$18</definedName>
    <definedName name="Water_L" localSheetId="20">[24]Assumption!$I$18</definedName>
    <definedName name="Water_L" localSheetId="22">[24]Assumption!$I$18</definedName>
    <definedName name="Water_L" localSheetId="24">[24]Assumption!$I$18</definedName>
    <definedName name="Water_L" localSheetId="21">[24]Assumption!$I$18</definedName>
    <definedName name="Water_L" localSheetId="13">[24]Assumption!$I$18</definedName>
    <definedName name="Water_L" localSheetId="17">[24]Assumption!$I$18</definedName>
    <definedName name="Water_L" localSheetId="14">[24]Assumption!$I$18</definedName>
    <definedName name="Water_L" localSheetId="16">[24]Assumption!$I$18</definedName>
    <definedName name="Water_L" localSheetId="15">[24]Assumption!$I$18</definedName>
    <definedName name="Water_L" localSheetId="18">[24]Assumption!$I$18</definedName>
    <definedName name="Water_L" localSheetId="12">[24]Assumption!$I$18</definedName>
    <definedName name="Water_L" localSheetId="26">[24]Assumption!$I$18</definedName>
    <definedName name="Water_L" localSheetId="25">[24]Assumption!$I$18</definedName>
    <definedName name="Water_L" localSheetId="30">[24]Assumption!$I$18</definedName>
    <definedName name="Water_L" localSheetId="27">[24]Assumption!$I$18</definedName>
    <definedName name="Water_L" localSheetId="28">[24]Assumption!$I$18</definedName>
    <definedName name="Water_L" localSheetId="31">[24]Assumption!$I$18</definedName>
    <definedName name="Water_L" localSheetId="29">[24]Assumption!$I$18</definedName>
    <definedName name="Water_L" localSheetId="11">[24]Assumption!$I$18</definedName>
    <definedName name="Water_L" localSheetId="40">[25]Assumption!$I$18</definedName>
    <definedName name="Water_L">[25]Assumption!$I$18</definedName>
    <definedName name="Water_S" localSheetId="19">[24]Assumption!$M$18</definedName>
    <definedName name="Water_S" localSheetId="23">[24]Assumption!$M$18</definedName>
    <definedName name="Water_S" localSheetId="20">[24]Assumption!$M$18</definedName>
    <definedName name="Water_S" localSheetId="22">[24]Assumption!$M$18</definedName>
    <definedName name="Water_S" localSheetId="24">[24]Assumption!$M$18</definedName>
    <definedName name="Water_S" localSheetId="21">[24]Assumption!$M$18</definedName>
    <definedName name="Water_S" localSheetId="13">[24]Assumption!$M$18</definedName>
    <definedName name="Water_S" localSheetId="17">[24]Assumption!$M$18</definedName>
    <definedName name="Water_S" localSheetId="14">[24]Assumption!$M$18</definedName>
    <definedName name="Water_S" localSheetId="16">[24]Assumption!$M$18</definedName>
    <definedName name="Water_S" localSheetId="15">[24]Assumption!$M$18</definedName>
    <definedName name="Water_S" localSheetId="18">[24]Assumption!$M$18</definedName>
    <definedName name="Water_S" localSheetId="12">[24]Assumption!$M$18</definedName>
    <definedName name="Water_S" localSheetId="26">[24]Assumption!$M$18</definedName>
    <definedName name="Water_S" localSheetId="25">[24]Assumption!$M$18</definedName>
    <definedName name="Water_S" localSheetId="30">[24]Assumption!$M$18</definedName>
    <definedName name="Water_S" localSheetId="27">[24]Assumption!$M$18</definedName>
    <definedName name="Water_S" localSheetId="28">[24]Assumption!$M$18</definedName>
    <definedName name="Water_S" localSheetId="31">[24]Assumption!$M$18</definedName>
    <definedName name="Water_S" localSheetId="29">[24]Assumption!$M$18</definedName>
    <definedName name="Water_S" localSheetId="11">[24]Assumption!$M$18</definedName>
    <definedName name="Water_S" localSheetId="40">[25]Assumption!$M$18</definedName>
    <definedName name="Water_S">[25]Assumption!$M$18</definedName>
    <definedName name="WHT_Rate" localSheetId="19">#REF!</definedName>
    <definedName name="WHT_Rate" localSheetId="23">#REF!</definedName>
    <definedName name="WHT_Rate" localSheetId="20">#REF!</definedName>
    <definedName name="WHT_Rate" localSheetId="22">#REF!</definedName>
    <definedName name="WHT_Rate" localSheetId="24">#REF!</definedName>
    <definedName name="WHT_Rate" localSheetId="21">#REF!</definedName>
    <definedName name="WHT_Rate" localSheetId="13">#REF!</definedName>
    <definedName name="WHT_Rate" localSheetId="17">#REF!</definedName>
    <definedName name="WHT_Rate" localSheetId="14">#REF!</definedName>
    <definedName name="WHT_Rate" localSheetId="16">#REF!</definedName>
    <definedName name="WHT_Rate" localSheetId="15">#REF!</definedName>
    <definedName name="WHT_Rate" localSheetId="18">#REF!</definedName>
    <definedName name="WHT_Rate" localSheetId="12">#REF!</definedName>
    <definedName name="WHT_Rate" localSheetId="26">#REF!</definedName>
    <definedName name="WHT_Rate" localSheetId="25">#REF!</definedName>
    <definedName name="WHT_Rate" localSheetId="30">#REF!</definedName>
    <definedName name="WHT_Rate" localSheetId="27">#REF!</definedName>
    <definedName name="WHT_Rate" localSheetId="28">#REF!</definedName>
    <definedName name="WHT_Rate" localSheetId="31">#REF!</definedName>
    <definedName name="WHT_Rate" localSheetId="29">#REF!</definedName>
    <definedName name="WHT_Rate" localSheetId="11">#REF!</definedName>
    <definedName name="WHT_Rate" localSheetId="40">#REF!</definedName>
    <definedName name="WHT_Rate">#REF!</definedName>
    <definedName name="WorkOwners" localSheetId="19">#REF!</definedName>
    <definedName name="WorkOwners" localSheetId="23">#REF!</definedName>
    <definedName name="WorkOwners" localSheetId="20">#REF!</definedName>
    <definedName name="WorkOwners" localSheetId="22">#REF!</definedName>
    <definedName name="WorkOwners" localSheetId="24">#REF!</definedName>
    <definedName name="WorkOwners" localSheetId="21">#REF!</definedName>
    <definedName name="WorkOwners" localSheetId="13">#REF!</definedName>
    <definedName name="WorkOwners" localSheetId="17">#REF!</definedName>
    <definedName name="WorkOwners" localSheetId="14">#REF!</definedName>
    <definedName name="WorkOwners" localSheetId="16">#REF!</definedName>
    <definedName name="WorkOwners" localSheetId="15">#REF!</definedName>
    <definedName name="WorkOwners" localSheetId="18">#REF!</definedName>
    <definedName name="WorkOwners" localSheetId="12">#REF!</definedName>
    <definedName name="WorkOwners" localSheetId="26">#REF!</definedName>
    <definedName name="WorkOwners" localSheetId="25">#REF!</definedName>
    <definedName name="WorkOwners" localSheetId="30">#REF!</definedName>
    <definedName name="WorkOwners" localSheetId="27">#REF!</definedName>
    <definedName name="WorkOwners" localSheetId="28">#REF!</definedName>
    <definedName name="WorkOwners" localSheetId="31">#REF!</definedName>
    <definedName name="WorkOwners" localSheetId="29">#REF!</definedName>
    <definedName name="WorkOwners" localSheetId="11">#REF!</definedName>
    <definedName name="WorkOwners" localSheetId="38">#REF!</definedName>
    <definedName name="WorkOwners" localSheetId="40">#REF!</definedName>
    <definedName name="WorkOwners" localSheetId="34">#REF!</definedName>
    <definedName name="WorkOwners" localSheetId="33">#REF!</definedName>
    <definedName name="WorkOwners">#REF!</definedName>
    <definedName name="wrn.AESreport." localSheetId="26"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 localSheetId="25"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 localSheetId="30"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 localSheetId="27"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 localSheetId="28"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 localSheetId="31"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 localSheetId="29"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ging._.and._.Trend._.Analysis." localSheetId="26" hidden="1">{#N/A,#N/A,FALSE,"Aging Summary";#N/A,#N/A,FALSE,"Ratio Analysis";#N/A,#N/A,FALSE,"Test 120 Day Accts";#N/A,#N/A,FALSE,"Tickmarks"}</definedName>
    <definedName name="wrn.Aging._.and._.Trend._.Analysis." localSheetId="25" hidden="1">{#N/A,#N/A,FALSE,"Aging Summary";#N/A,#N/A,FALSE,"Ratio Analysis";#N/A,#N/A,FALSE,"Test 120 Day Accts";#N/A,#N/A,FALSE,"Tickmarks"}</definedName>
    <definedName name="wrn.Aging._.and._.Trend._.Analysis." localSheetId="30" hidden="1">{#N/A,#N/A,FALSE,"Aging Summary";#N/A,#N/A,FALSE,"Ratio Analysis";#N/A,#N/A,FALSE,"Test 120 Day Accts";#N/A,#N/A,FALSE,"Tickmarks"}</definedName>
    <definedName name="wrn.Aging._.and._.Trend._.Analysis." localSheetId="27" hidden="1">{#N/A,#N/A,FALSE,"Aging Summary";#N/A,#N/A,FALSE,"Ratio Analysis";#N/A,#N/A,FALSE,"Test 120 Day Accts";#N/A,#N/A,FALSE,"Tickmarks"}</definedName>
    <definedName name="wrn.Aging._.and._.Trend._.Analysis." localSheetId="28" hidden="1">{#N/A,#N/A,FALSE,"Aging Summary";#N/A,#N/A,FALSE,"Ratio Analysis";#N/A,#N/A,FALSE,"Test 120 Day Accts";#N/A,#N/A,FALSE,"Tickmarks"}</definedName>
    <definedName name="wrn.Aging._.and._.Trend._.Analysis." localSheetId="31" hidden="1">{#N/A,#N/A,FALSE,"Aging Summary";#N/A,#N/A,FALSE,"Ratio Analysis";#N/A,#N/A,FALSE,"Test 120 Day Accts";#N/A,#N/A,FALSE,"Tickmarks"}</definedName>
    <definedName name="wrn.Aging._.and._.Trend._.Analysis." localSheetId="29"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nnual._.FS._.in._.Euro." localSheetId="26"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 localSheetId="25"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 localSheetId="30"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 localSheetId="27"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 localSheetId="28"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 localSheetId="31"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 localSheetId="29"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Report." localSheetId="26" hidden="1">{"ARPandL",#N/A,FALSE,"Report Annual";"ARCashflow",#N/A,FALSE,"Report Annual";"ARBalanceSheet",#N/A,FALSE,"Report Annual";"ARRatios",#N/A,FALSE,"Report Annual"}</definedName>
    <definedName name="wrn.Annual._.Report." localSheetId="25" hidden="1">{"ARPandL",#N/A,FALSE,"Report Annual";"ARCashflow",#N/A,FALSE,"Report Annual";"ARBalanceSheet",#N/A,FALSE,"Report Annual";"ARRatios",#N/A,FALSE,"Report Annual"}</definedName>
    <definedName name="wrn.Annual._.Report." localSheetId="30" hidden="1">{"ARPandL",#N/A,FALSE,"Report Annual";"ARCashflow",#N/A,FALSE,"Report Annual";"ARBalanceSheet",#N/A,FALSE,"Report Annual";"ARRatios",#N/A,FALSE,"Report Annual"}</definedName>
    <definedName name="wrn.Annual._.Report." localSheetId="27" hidden="1">{"ARPandL",#N/A,FALSE,"Report Annual";"ARCashflow",#N/A,FALSE,"Report Annual";"ARBalanceSheet",#N/A,FALSE,"Report Annual";"ARRatios",#N/A,FALSE,"Report Annual"}</definedName>
    <definedName name="wrn.Annual._.Report." localSheetId="28" hidden="1">{"ARPandL",#N/A,FALSE,"Report Annual";"ARCashflow",#N/A,FALSE,"Report Annual";"ARBalanceSheet",#N/A,FALSE,"Report Annual";"ARRatios",#N/A,FALSE,"Report Annual"}</definedName>
    <definedName name="wrn.Annual._.Report." localSheetId="31" hidden="1">{"ARPandL",#N/A,FALSE,"Report Annual";"ARCashflow",#N/A,FALSE,"Report Annual";"ARBalanceSheet",#N/A,FALSE,"Report Annual";"ARRatios",#N/A,FALSE,"Report Annual"}</definedName>
    <definedName name="wrn.Annual._.Report." localSheetId="29" hidden="1">{"ARPandL",#N/A,FALSE,"Report Annual";"ARCashflow",#N/A,FALSE,"Report Annual";"ARBalanceSheet",#N/A,FALSE,"Report Annual";"ARRatios",#N/A,FALSE,"Report Annual"}</definedName>
    <definedName name="wrn.Annual._.Report." hidden="1">{"ARPandL",#N/A,FALSE,"Report Annual";"ARCashflow",#N/A,FALSE,"Report Annual";"ARBalanceSheet",#N/A,FALSE,"Report Annual";"ARRatios",#N/A,FALSE,"Report Annual"}</definedName>
    <definedName name="wrn.Calculations." localSheetId="26"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 localSheetId="25"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 localSheetId="30"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 localSheetId="27"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 localSheetId="28"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 localSheetId="31"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 localSheetId="29"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Finance." localSheetId="26" hidden="1">{"Finance 1",#N/A,FALSE,"FINANCE.XLS";"Finance 2",#N/A,FALSE,"FINANCE.XLS";"Finance 3",#N/A,FALSE,"FINANCE.XLS";"Finance 4",#N/A,FALSE,"FINANCE.XLS";"Finance 5",#N/A,FALSE,"FINANCE.XLS";"Finance 6",#N/A,FALSE,"FINANCE.XLS";"Finance 7",#N/A,FALSE,"FINANCE.XLS";"Finance 8",#N/A,FALSE,"FINANCE.XLS"}</definedName>
    <definedName name="wrn.Finance." localSheetId="25" hidden="1">{"Finance 1",#N/A,FALSE,"FINANCE.XLS";"Finance 2",#N/A,FALSE,"FINANCE.XLS";"Finance 3",#N/A,FALSE,"FINANCE.XLS";"Finance 4",#N/A,FALSE,"FINANCE.XLS";"Finance 5",#N/A,FALSE,"FINANCE.XLS";"Finance 6",#N/A,FALSE,"FINANCE.XLS";"Finance 7",#N/A,FALSE,"FINANCE.XLS";"Finance 8",#N/A,FALSE,"FINANCE.XLS"}</definedName>
    <definedName name="wrn.Finance." localSheetId="30" hidden="1">{"Finance 1",#N/A,FALSE,"FINANCE.XLS";"Finance 2",#N/A,FALSE,"FINANCE.XLS";"Finance 3",#N/A,FALSE,"FINANCE.XLS";"Finance 4",#N/A,FALSE,"FINANCE.XLS";"Finance 5",#N/A,FALSE,"FINANCE.XLS";"Finance 6",#N/A,FALSE,"FINANCE.XLS";"Finance 7",#N/A,FALSE,"FINANCE.XLS";"Finance 8",#N/A,FALSE,"FINANCE.XLS"}</definedName>
    <definedName name="wrn.Finance." localSheetId="27" hidden="1">{"Finance 1",#N/A,FALSE,"FINANCE.XLS";"Finance 2",#N/A,FALSE,"FINANCE.XLS";"Finance 3",#N/A,FALSE,"FINANCE.XLS";"Finance 4",#N/A,FALSE,"FINANCE.XLS";"Finance 5",#N/A,FALSE,"FINANCE.XLS";"Finance 6",#N/A,FALSE,"FINANCE.XLS";"Finance 7",#N/A,FALSE,"FINANCE.XLS";"Finance 8",#N/A,FALSE,"FINANCE.XLS"}</definedName>
    <definedName name="wrn.Finance." localSheetId="28" hidden="1">{"Finance 1",#N/A,FALSE,"FINANCE.XLS";"Finance 2",#N/A,FALSE,"FINANCE.XLS";"Finance 3",#N/A,FALSE,"FINANCE.XLS";"Finance 4",#N/A,FALSE,"FINANCE.XLS";"Finance 5",#N/A,FALSE,"FINANCE.XLS";"Finance 6",#N/A,FALSE,"FINANCE.XLS";"Finance 7",#N/A,FALSE,"FINANCE.XLS";"Finance 8",#N/A,FALSE,"FINANCE.XLS"}</definedName>
    <definedName name="wrn.Finance." localSheetId="31" hidden="1">{"Finance 1",#N/A,FALSE,"FINANCE.XLS";"Finance 2",#N/A,FALSE,"FINANCE.XLS";"Finance 3",#N/A,FALSE,"FINANCE.XLS";"Finance 4",#N/A,FALSE,"FINANCE.XLS";"Finance 5",#N/A,FALSE,"FINANCE.XLS";"Finance 6",#N/A,FALSE,"FINANCE.XLS";"Finance 7",#N/A,FALSE,"FINANCE.XLS";"Finance 8",#N/A,FALSE,"FINANCE.XLS"}</definedName>
    <definedName name="wrn.Finance." localSheetId="29" hidden="1">{"Finance 1",#N/A,FALSE,"FINANCE.XLS";"Finance 2",#N/A,FALSE,"FINANCE.XLS";"Finance 3",#N/A,FALSE,"FINANCE.XLS";"Finance 4",#N/A,FALSE,"FINANCE.XLS";"Finance 5",#N/A,FALSE,"FINANCE.XLS";"Finance 6",#N/A,FALSE,"FINANCE.XLS";"Finance 7",#N/A,FALSE,"FINANCE.XLS";"Finance 8",#N/A,FALSE,"FINANCE.XLS"}</definedName>
    <definedName name="wrn.Finance." hidden="1">{"Finance 1",#N/A,FALSE,"FINANCE.XLS";"Finance 2",#N/A,FALSE,"FINANCE.XLS";"Finance 3",#N/A,FALSE,"FINANCE.XLS";"Finance 4",#N/A,FALSE,"FINANCE.XLS";"Finance 5",#N/A,FALSE,"FINANCE.XLS";"Finance 6",#N/A,FALSE,"FINANCE.XLS";"Finance 7",#N/A,FALSE,"FINANCE.XLS";"Finance 8",#N/A,FALSE,"FINANCE.XLS"}</definedName>
    <definedName name="wrn.FLUJO._.CAJA." localSheetId="26" hidden="1">{"FLUJO DE CAJA",#N/A,FALSE,"Hoja1";"ANEXOS FLUJO",#N/A,FALSE,"Hoja1"}</definedName>
    <definedName name="wrn.FLUJO._.CAJA." localSheetId="25" hidden="1">{"FLUJO DE CAJA",#N/A,FALSE,"Hoja1";"ANEXOS FLUJO",#N/A,FALSE,"Hoja1"}</definedName>
    <definedName name="wrn.FLUJO._.CAJA." localSheetId="30" hidden="1">{"FLUJO DE CAJA",#N/A,FALSE,"Hoja1";"ANEXOS FLUJO",#N/A,FALSE,"Hoja1"}</definedName>
    <definedName name="wrn.FLUJO._.CAJA." localSheetId="27" hidden="1">{"FLUJO DE CAJA",#N/A,FALSE,"Hoja1";"ANEXOS FLUJO",#N/A,FALSE,"Hoja1"}</definedName>
    <definedName name="wrn.FLUJO._.CAJA." localSheetId="28" hidden="1">{"FLUJO DE CAJA",#N/A,FALSE,"Hoja1";"ANEXOS FLUJO",#N/A,FALSE,"Hoja1"}</definedName>
    <definedName name="wrn.FLUJO._.CAJA." localSheetId="31" hidden="1">{"FLUJO DE CAJA",#N/A,FALSE,"Hoja1";"ANEXOS FLUJO",#N/A,FALSE,"Hoja1"}</definedName>
    <definedName name="wrn.FLUJO._.CAJA." localSheetId="29" hidden="1">{"FLUJO DE CAJA",#N/A,FALSE,"Hoja1";"ANEXOS FLUJO",#N/A,FALSE,"Hoja1"}</definedName>
    <definedName name="wrn.FLUJO._.CAJA." hidden="1">{"FLUJO DE CAJA",#N/A,FALSE,"Hoja1";"ANEXOS FLUJO",#N/A,FALSE,"Hoja1"}</definedName>
    <definedName name="wrn.GANANCIAS._.Y._.PERDIDAS." localSheetId="26" hidden="1">{"GAN.Y PERD.RESUMIDO",#N/A,FALSE,"Hoja1";"GAN.Y PERD.DETALLADO",#N/A,FALSE,"Hoja1"}</definedName>
    <definedName name="wrn.GANANCIAS._.Y._.PERDIDAS." localSheetId="25" hidden="1">{"GAN.Y PERD.RESUMIDO",#N/A,FALSE,"Hoja1";"GAN.Y PERD.DETALLADO",#N/A,FALSE,"Hoja1"}</definedName>
    <definedName name="wrn.GANANCIAS._.Y._.PERDIDAS." localSheetId="30" hidden="1">{"GAN.Y PERD.RESUMIDO",#N/A,FALSE,"Hoja1";"GAN.Y PERD.DETALLADO",#N/A,FALSE,"Hoja1"}</definedName>
    <definedName name="wrn.GANANCIAS._.Y._.PERDIDAS." localSheetId="27" hidden="1">{"GAN.Y PERD.RESUMIDO",#N/A,FALSE,"Hoja1";"GAN.Y PERD.DETALLADO",#N/A,FALSE,"Hoja1"}</definedName>
    <definedName name="wrn.GANANCIAS._.Y._.PERDIDAS." localSheetId="28" hidden="1">{"GAN.Y PERD.RESUMIDO",#N/A,FALSE,"Hoja1";"GAN.Y PERD.DETALLADO",#N/A,FALSE,"Hoja1"}</definedName>
    <definedName name="wrn.GANANCIAS._.Y._.PERDIDAS." localSheetId="31" hidden="1">{"GAN.Y PERD.RESUMIDO",#N/A,FALSE,"Hoja1";"GAN.Y PERD.DETALLADO",#N/A,FALSE,"Hoja1"}</definedName>
    <definedName name="wrn.GANANCIAS._.Y._.PERDIDAS." localSheetId="29" hidden="1">{"GAN.Y PERD.RESUMIDO",#N/A,FALSE,"Hoja1";"GAN.Y PERD.DETALLADO",#N/A,FALSE,"Hoja1"}</definedName>
    <definedName name="wrn.GANANCIAS._.Y._.PERDIDAS." hidden="1">{"GAN.Y PERD.RESUMIDO",#N/A,FALSE,"Hoja1";"GAN.Y PERD.DETALLADO",#N/A,FALSE,"Hoja1"}</definedName>
    <definedName name="wrn.Inputs." localSheetId="26" hidden="1">{"Inputs 1","Base",FALSE,"INPUTS";"Inputs 2","Base",FALSE,"INPUTS";"Inputs 3","Base",FALSE,"INPUTS";"Inputs 4","Base",FALSE,"INPUTS";"Inputs 5","Base",FALSE,"INPUTS"}</definedName>
    <definedName name="wrn.Inputs." localSheetId="25" hidden="1">{"Inputs 1","Base",FALSE,"INPUTS";"Inputs 2","Base",FALSE,"INPUTS";"Inputs 3","Base",FALSE,"INPUTS";"Inputs 4","Base",FALSE,"INPUTS";"Inputs 5","Base",FALSE,"INPUTS"}</definedName>
    <definedName name="wrn.Inputs." localSheetId="30" hidden="1">{"Inputs 1","Base",FALSE,"INPUTS";"Inputs 2","Base",FALSE,"INPUTS";"Inputs 3","Base",FALSE,"INPUTS";"Inputs 4","Base",FALSE,"INPUTS";"Inputs 5","Base",FALSE,"INPUTS"}</definedName>
    <definedName name="wrn.Inputs." localSheetId="27" hidden="1">{"Inputs 1","Base",FALSE,"INPUTS";"Inputs 2","Base",FALSE,"INPUTS";"Inputs 3","Base",FALSE,"INPUTS";"Inputs 4","Base",FALSE,"INPUTS";"Inputs 5","Base",FALSE,"INPUTS"}</definedName>
    <definedName name="wrn.Inputs." localSheetId="28" hidden="1">{"Inputs 1","Base",FALSE,"INPUTS";"Inputs 2","Base",FALSE,"INPUTS";"Inputs 3","Base",FALSE,"INPUTS";"Inputs 4","Base",FALSE,"INPUTS";"Inputs 5","Base",FALSE,"INPUTS"}</definedName>
    <definedName name="wrn.Inputs." localSheetId="31" hidden="1">{"Inputs 1","Base",FALSE,"INPUTS";"Inputs 2","Base",FALSE,"INPUTS";"Inputs 3","Base",FALSE,"INPUTS";"Inputs 4","Base",FALSE,"INPUTS";"Inputs 5","Base",FALSE,"INPUTS"}</definedName>
    <definedName name="wrn.Inputs." localSheetId="29" hidden="1">{"Inputs 1","Base",FALSE,"INPUTS";"Inputs 2","Base",FALSE,"INPUTS";"Inputs 3","Base",FALSE,"INPUTS";"Inputs 4","Base",FALSE,"INPUTS";"Inputs 5","Base",FALSE,"INPUTS"}</definedName>
    <definedName name="wrn.Inputs." hidden="1">{"Inputs 1","Base",FALSE,"INPUTS";"Inputs 2","Base",FALSE,"INPUTS";"Inputs 3","Base",FALSE,"INPUTS";"Inputs 4","Base",FALSE,"INPUTS";"Inputs 5","Base",FALSE,"INPUTS"}</definedName>
    <definedName name="wrn.Pricing._.Case." localSheetId="26" hidden="1">{#N/A,#N/A,TRUE,"RESULTS";#N/A,#N/A,TRUE,"REV REQUIRE";#N/A,#N/A,TRUE,"RATEBASE";#N/A,#N/A,TRUE,"LEVELIZED"}</definedName>
    <definedName name="wrn.Pricing._.Case." localSheetId="25" hidden="1">{#N/A,#N/A,TRUE,"RESULTS";#N/A,#N/A,TRUE,"REV REQUIRE";#N/A,#N/A,TRUE,"RATEBASE";#N/A,#N/A,TRUE,"LEVELIZED"}</definedName>
    <definedName name="wrn.Pricing._.Case." localSheetId="30" hidden="1">{#N/A,#N/A,TRUE,"RESULTS";#N/A,#N/A,TRUE,"REV REQUIRE";#N/A,#N/A,TRUE,"RATEBASE";#N/A,#N/A,TRUE,"LEVELIZED"}</definedName>
    <definedName name="wrn.Pricing._.Case." localSheetId="27" hidden="1">{#N/A,#N/A,TRUE,"RESULTS";#N/A,#N/A,TRUE,"REV REQUIRE";#N/A,#N/A,TRUE,"RATEBASE";#N/A,#N/A,TRUE,"LEVELIZED"}</definedName>
    <definedName name="wrn.Pricing._.Case." localSheetId="28" hidden="1">{#N/A,#N/A,TRUE,"RESULTS";#N/A,#N/A,TRUE,"REV REQUIRE";#N/A,#N/A,TRUE,"RATEBASE";#N/A,#N/A,TRUE,"LEVELIZED"}</definedName>
    <definedName name="wrn.Pricing._.Case." localSheetId="31" hidden="1">{#N/A,#N/A,TRUE,"RESULTS";#N/A,#N/A,TRUE,"REV REQUIRE";#N/A,#N/A,TRUE,"RATEBASE";#N/A,#N/A,TRUE,"LEVELIZED"}</definedName>
    <definedName name="wrn.Pricing._.Case." localSheetId="29" hidden="1">{#N/A,#N/A,TRUE,"RESULTS";#N/A,#N/A,TRUE,"REV REQUIRE";#N/A,#N/A,TRUE,"RATEBASE";#N/A,#N/A,TRUE,"LEVELIZED"}</definedName>
    <definedName name="wrn.Pricing._.Case." hidden="1">{#N/A,#N/A,TRUE,"RESULTS";#N/A,#N/A,TRUE,"REV REQUIRE";#N/A,#N/A,TRUE,"RATEBASE";#N/A,#N/A,TRUE,"LEVELIZED"}</definedName>
    <definedName name="wrn.pricing2._.case." localSheetId="26" hidden="1">{#N/A,#N/A,TRUE,"RESULTS";#N/A,#N/A,TRUE,"REV REQUIRE";#N/A,#N/A,TRUE,"RATEBASE";#N/A,#N/A,TRUE,"LEVELIZED"}</definedName>
    <definedName name="wrn.pricing2._.case." localSheetId="25" hidden="1">{#N/A,#N/A,TRUE,"RESULTS";#N/A,#N/A,TRUE,"REV REQUIRE";#N/A,#N/A,TRUE,"RATEBASE";#N/A,#N/A,TRUE,"LEVELIZED"}</definedName>
    <definedName name="wrn.pricing2._.case." localSheetId="30" hidden="1">{#N/A,#N/A,TRUE,"RESULTS";#N/A,#N/A,TRUE,"REV REQUIRE";#N/A,#N/A,TRUE,"RATEBASE";#N/A,#N/A,TRUE,"LEVELIZED"}</definedName>
    <definedName name="wrn.pricing2._.case." localSheetId="27" hidden="1">{#N/A,#N/A,TRUE,"RESULTS";#N/A,#N/A,TRUE,"REV REQUIRE";#N/A,#N/A,TRUE,"RATEBASE";#N/A,#N/A,TRUE,"LEVELIZED"}</definedName>
    <definedName name="wrn.pricing2._.case." localSheetId="28" hidden="1">{#N/A,#N/A,TRUE,"RESULTS";#N/A,#N/A,TRUE,"REV REQUIRE";#N/A,#N/A,TRUE,"RATEBASE";#N/A,#N/A,TRUE,"LEVELIZED"}</definedName>
    <definedName name="wrn.pricing2._.case." localSheetId="31" hidden="1">{#N/A,#N/A,TRUE,"RESULTS";#N/A,#N/A,TRUE,"REV REQUIRE";#N/A,#N/A,TRUE,"RATEBASE";#N/A,#N/A,TRUE,"LEVELIZED"}</definedName>
    <definedName name="wrn.pricing2._.case." localSheetId="29" hidden="1">{#N/A,#N/A,TRUE,"RESULTS";#N/A,#N/A,TRUE,"REV REQUIRE";#N/A,#N/A,TRUE,"RATEBASE";#N/A,#N/A,TRUE,"LEVELIZED"}</definedName>
    <definedName name="wrn.pricing2._.case." hidden="1">{#N/A,#N/A,TRUE,"RESULTS";#N/A,#N/A,TRUE,"REV REQUIRE";#N/A,#N/A,TRUE,"RATEBASE";#N/A,#N/A,TRUE,"LEVELIZED"}</definedName>
    <definedName name="wrn.print." localSheetId="26" hidden="1">{#N/A,#N/A,FALSE,"Resid CPRIV";#N/A,#N/A,FALSE,"Comer_CPRIVKsum";#N/A,#N/A,FALSE,"General (2)";#N/A,#N/A,FALSE,"Oficial";#N/A,#N/A,FALSE,"Resumen";#N/A,#N/A,FALSE,"Escenarios"}</definedName>
    <definedName name="wrn.print." localSheetId="25" hidden="1">{#N/A,#N/A,FALSE,"Resid CPRIV";#N/A,#N/A,FALSE,"Comer_CPRIVKsum";#N/A,#N/A,FALSE,"General (2)";#N/A,#N/A,FALSE,"Oficial";#N/A,#N/A,FALSE,"Resumen";#N/A,#N/A,FALSE,"Escenarios"}</definedName>
    <definedName name="wrn.print." localSheetId="30" hidden="1">{#N/A,#N/A,FALSE,"Resid CPRIV";#N/A,#N/A,FALSE,"Comer_CPRIVKsum";#N/A,#N/A,FALSE,"General (2)";#N/A,#N/A,FALSE,"Oficial";#N/A,#N/A,FALSE,"Resumen";#N/A,#N/A,FALSE,"Escenarios"}</definedName>
    <definedName name="wrn.print." localSheetId="27" hidden="1">{#N/A,#N/A,FALSE,"Resid CPRIV";#N/A,#N/A,FALSE,"Comer_CPRIVKsum";#N/A,#N/A,FALSE,"General (2)";#N/A,#N/A,FALSE,"Oficial";#N/A,#N/A,FALSE,"Resumen";#N/A,#N/A,FALSE,"Escenarios"}</definedName>
    <definedName name="wrn.print." localSheetId="28" hidden="1">{#N/A,#N/A,FALSE,"Resid CPRIV";#N/A,#N/A,FALSE,"Comer_CPRIVKsum";#N/A,#N/A,FALSE,"General (2)";#N/A,#N/A,FALSE,"Oficial";#N/A,#N/A,FALSE,"Resumen";#N/A,#N/A,FALSE,"Escenarios"}</definedName>
    <definedName name="wrn.print." localSheetId="31" hidden="1">{#N/A,#N/A,FALSE,"Resid CPRIV";#N/A,#N/A,FALSE,"Comer_CPRIVKsum";#N/A,#N/A,FALSE,"General (2)";#N/A,#N/A,FALSE,"Oficial";#N/A,#N/A,FALSE,"Resumen";#N/A,#N/A,FALSE,"Escenarios"}</definedName>
    <definedName name="wrn.print." localSheetId="29" hidden="1">{#N/A,#N/A,FALSE,"Resid CPRIV";#N/A,#N/A,FALSE,"Comer_CPRIVKsum";#N/A,#N/A,FALSE,"General (2)";#N/A,#N/A,FALSE,"Oficial";#N/A,#N/A,FALSE,"Resumen";#N/A,#N/A,FALSE,"Escenarios"}</definedName>
    <definedName name="wrn.print." hidden="1">{#N/A,#N/A,FALSE,"Resid CPRIV";#N/A,#N/A,FALSE,"Comer_CPRIVKsum";#N/A,#N/A,FALSE,"General (2)";#N/A,#N/A,FALSE,"Oficial";#N/A,#N/A,FALSE,"Resumen";#N/A,#N/A,FALSE,"Escenarios"}</definedName>
    <definedName name="wrn.Print._.All._.A4." localSheetId="26"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5"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30"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7"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8"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31"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9" hidden="1">{"Valuation",#N/A,TRUE,"Valuation Summary";"Financial Statements",#N/A,TRUE,"Results";"Results",#N/A,TRUE,"Results";"Ratios",#N/A,TRUE,"Results";"P2 Summary",#N/A,TRUE,"Results";"Historical data",#N/A,TRUE,"Historical Data";"P1 Inputs",#N/A,TRUE,"Forecast Drivers";"P2 Inputs",#N/A,TRUE,"Forecast Drivers"}</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26"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5"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30"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7"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8"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3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9"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Results._.A4." localSheetId="26" hidden="1">{"Valuation",#N/A,TRUE,"Valuation Summary";"Financial Statements",#N/A,TRUE,"Results";"Results",#N/A,TRUE,"Results";"Ratios",#N/A,TRUE,"Results";"P2 Summary",#N/A,TRUE,"Results"}</definedName>
    <definedName name="wrn.Print._.Results._.A4." localSheetId="25" hidden="1">{"Valuation",#N/A,TRUE,"Valuation Summary";"Financial Statements",#N/A,TRUE,"Results";"Results",#N/A,TRUE,"Results";"Ratios",#N/A,TRUE,"Results";"P2 Summary",#N/A,TRUE,"Results"}</definedName>
    <definedName name="wrn.Print._.Results._.A4." localSheetId="30" hidden="1">{"Valuation",#N/A,TRUE,"Valuation Summary";"Financial Statements",#N/A,TRUE,"Results";"Results",#N/A,TRUE,"Results";"Ratios",#N/A,TRUE,"Results";"P2 Summary",#N/A,TRUE,"Results"}</definedName>
    <definedName name="wrn.Print._.Results._.A4." localSheetId="27" hidden="1">{"Valuation",#N/A,TRUE,"Valuation Summary";"Financial Statements",#N/A,TRUE,"Results";"Results",#N/A,TRUE,"Results";"Ratios",#N/A,TRUE,"Results";"P2 Summary",#N/A,TRUE,"Results"}</definedName>
    <definedName name="wrn.Print._.Results._.A4." localSheetId="28" hidden="1">{"Valuation",#N/A,TRUE,"Valuation Summary";"Financial Statements",#N/A,TRUE,"Results";"Results",#N/A,TRUE,"Results";"Ratios",#N/A,TRUE,"Results";"P2 Summary",#N/A,TRUE,"Results"}</definedName>
    <definedName name="wrn.Print._.Results._.A4." localSheetId="31" hidden="1">{"Valuation",#N/A,TRUE,"Valuation Summary";"Financial Statements",#N/A,TRUE,"Results";"Results",#N/A,TRUE,"Results";"Ratios",#N/A,TRUE,"Results";"P2 Summary",#N/A,TRUE,"Results"}</definedName>
    <definedName name="wrn.Print._.Results._.A4." localSheetId="29" hidden="1">{"Valuation",#N/A,TRUE,"Valuation Summary";"Financial Statements",#N/A,TRUE,"Results";"Results",#N/A,TRUE,"Results";"Ratios",#N/A,TRUE,"Results";"P2 Summary",#N/A,TRUE,"Results"}</definedName>
    <definedName name="wrn.Print._.Results._.A4." hidden="1">{"Valuation",#N/A,TRUE,"Valuation Summary";"Financial Statements",#N/A,TRUE,"Results";"Results",#N/A,TRUE,"Results";"Ratios",#N/A,TRUE,"Results";"P2 Summary",#N/A,TRUE,"Results"}</definedName>
    <definedName name="wrn.Print._.Results._.Letter." localSheetId="26" hidden="1">{"Valuation - Letter",#N/A,TRUE,"Valuation Summary";"Financial Statements - Letter",#N/A,TRUE,"Results";"Results - Letter",#N/A,TRUE,"Results";"Ratios - Letter",#N/A,TRUE,"Results";"P2 Summary - Letter",#N/A,TRUE,"Results"}</definedName>
    <definedName name="wrn.Print._.Results._.Letter." localSheetId="25" hidden="1">{"Valuation - Letter",#N/A,TRUE,"Valuation Summary";"Financial Statements - Letter",#N/A,TRUE,"Results";"Results - Letter",#N/A,TRUE,"Results";"Ratios - Letter",#N/A,TRUE,"Results";"P2 Summary - Letter",#N/A,TRUE,"Results"}</definedName>
    <definedName name="wrn.Print._.Results._.Letter." localSheetId="30" hidden="1">{"Valuation - Letter",#N/A,TRUE,"Valuation Summary";"Financial Statements - Letter",#N/A,TRUE,"Results";"Results - Letter",#N/A,TRUE,"Results";"Ratios - Letter",#N/A,TRUE,"Results";"P2 Summary - Letter",#N/A,TRUE,"Results"}</definedName>
    <definedName name="wrn.Print._.Results._.Letter." localSheetId="27" hidden="1">{"Valuation - Letter",#N/A,TRUE,"Valuation Summary";"Financial Statements - Letter",#N/A,TRUE,"Results";"Results - Letter",#N/A,TRUE,"Results";"Ratios - Letter",#N/A,TRUE,"Results";"P2 Summary - Letter",#N/A,TRUE,"Results"}</definedName>
    <definedName name="wrn.Print._.Results._.Letter." localSheetId="28" hidden="1">{"Valuation - Letter",#N/A,TRUE,"Valuation Summary";"Financial Statements - Letter",#N/A,TRUE,"Results";"Results - Letter",#N/A,TRUE,"Results";"Ratios - Letter",#N/A,TRUE,"Results";"P2 Summary - Letter",#N/A,TRUE,"Results"}</definedName>
    <definedName name="wrn.Print._.Results._.Letter." localSheetId="31" hidden="1">{"Valuation - Letter",#N/A,TRUE,"Valuation Summary";"Financial Statements - Letter",#N/A,TRUE,"Results";"Results - Letter",#N/A,TRUE,"Results";"Ratios - Letter",#N/A,TRUE,"Results";"P2 Summary - Letter",#N/A,TRUE,"Results"}</definedName>
    <definedName name="wrn.Print._.Results._.Letter." localSheetId="29" hidden="1">{"Valuation - Letter",#N/A,TRUE,"Valuation Summary";"Financial Statements - Letter",#N/A,TRUE,"Results";"Results - Letter",#N/A,TRUE,"Results";"Ratios - Letter",#N/A,TRUE,"Results";"P2 Summary - Letter",#N/A,TRUE,"Results"}</definedName>
    <definedName name="wrn.Print._.Results._.Letter." hidden="1">{"Valuation - Letter",#N/A,TRUE,"Valuation Summary";"Financial Statements - Letter",#N/A,TRUE,"Results";"Results - Letter",#N/A,TRUE,"Results";"Ratios - Letter",#N/A,TRUE,"Results";"P2 Summary - Letter",#N/A,TRUE,"Results"}</definedName>
    <definedName name="wrn.Report." localSheetId="26" hidden="1">{"Rep 1",#N/A,FALSE,"Reports";"Rep 2",#N/A,FALSE,"Reports";"Rep 3",#N/A,FALSE,"Reports";"Rep 4",#N/A,FALSE,"Reports"}</definedName>
    <definedName name="wrn.Report." localSheetId="25" hidden="1">{"Rep 1",#N/A,FALSE,"Reports";"Rep 2",#N/A,FALSE,"Reports";"Rep 3",#N/A,FALSE,"Reports";"Rep 4",#N/A,FALSE,"Reports"}</definedName>
    <definedName name="wrn.Report." localSheetId="30" hidden="1">{"Rep 1",#N/A,FALSE,"Reports";"Rep 2",#N/A,FALSE,"Reports";"Rep 3",#N/A,FALSE,"Reports";"Rep 4",#N/A,FALSE,"Reports"}</definedName>
    <definedName name="wrn.Report." localSheetId="27" hidden="1">{"Rep 1",#N/A,FALSE,"Reports";"Rep 2",#N/A,FALSE,"Reports";"Rep 3",#N/A,FALSE,"Reports";"Rep 4",#N/A,FALSE,"Reports"}</definedName>
    <definedName name="wrn.Report." localSheetId="28" hidden="1">{"Rep 1",#N/A,FALSE,"Reports";"Rep 2",#N/A,FALSE,"Reports";"Rep 3",#N/A,FALSE,"Reports";"Rep 4",#N/A,FALSE,"Reports"}</definedName>
    <definedName name="wrn.Report." localSheetId="31" hidden="1">{"Rep 1",#N/A,FALSE,"Reports";"Rep 2",#N/A,FALSE,"Reports";"Rep 3",#N/A,FALSE,"Reports";"Rep 4",#N/A,FALSE,"Reports"}</definedName>
    <definedName name="wrn.Report." localSheetId="29" hidden="1">{"Rep 1",#N/A,FALSE,"Reports";"Rep 2",#N/A,FALSE,"Reports";"Rep 3",#N/A,FALSE,"Reports";"Rep 4",#N/A,FALSE,"Reports"}</definedName>
    <definedName name="wrn.Report." hidden="1">{"Rep 1",#N/A,FALSE,"Reports";"Rep 2",#N/A,FALSE,"Reports";"Rep 3",#N/A,FALSE,"Reports";"Rep 4",#N/A,FALSE,"Reports"}</definedName>
    <definedName name="wrn.SALARIOS._.PRESUPUESTO." localSheetId="26" hidden="1">{"SALARIOS",#N/A,FALSE,"Hoja3";"SUELDOS EMPLEADOS",#N/A,FALSE,"Hoja4";"SUELDOS EJECUTIVOS",#N/A,FALSE,"Hoja5"}</definedName>
    <definedName name="wrn.SALARIOS._.PRESUPUESTO." localSheetId="25" hidden="1">{"SALARIOS",#N/A,FALSE,"Hoja3";"SUELDOS EMPLEADOS",#N/A,FALSE,"Hoja4";"SUELDOS EJECUTIVOS",#N/A,FALSE,"Hoja5"}</definedName>
    <definedName name="wrn.SALARIOS._.PRESUPUESTO." localSheetId="30" hidden="1">{"SALARIOS",#N/A,FALSE,"Hoja3";"SUELDOS EMPLEADOS",#N/A,FALSE,"Hoja4";"SUELDOS EJECUTIVOS",#N/A,FALSE,"Hoja5"}</definedName>
    <definedName name="wrn.SALARIOS._.PRESUPUESTO." localSheetId="27" hidden="1">{"SALARIOS",#N/A,FALSE,"Hoja3";"SUELDOS EMPLEADOS",#N/A,FALSE,"Hoja4";"SUELDOS EJECUTIVOS",#N/A,FALSE,"Hoja5"}</definedName>
    <definedName name="wrn.SALARIOS._.PRESUPUESTO." localSheetId="28" hidden="1">{"SALARIOS",#N/A,FALSE,"Hoja3";"SUELDOS EMPLEADOS",#N/A,FALSE,"Hoja4";"SUELDOS EJECUTIVOS",#N/A,FALSE,"Hoja5"}</definedName>
    <definedName name="wrn.SALARIOS._.PRESUPUESTO." localSheetId="31" hidden="1">{"SALARIOS",#N/A,FALSE,"Hoja3";"SUELDOS EMPLEADOS",#N/A,FALSE,"Hoja4";"SUELDOS EJECUTIVOS",#N/A,FALSE,"Hoja5"}</definedName>
    <definedName name="wrn.SALARIOS._.PRESUPUESTO." localSheetId="29" hidden="1">{"SALARIOS",#N/A,FALSE,"Hoja3";"SUELDOS EMPLEADOS",#N/A,FALSE,"Hoja4";"SUELDOS EJECUTIVOS",#N/A,FALSE,"Hoja5"}</definedName>
    <definedName name="wrn.SALARIOS._.PRESUPUESTO." hidden="1">{"SALARIOS",#N/A,FALSE,"Hoja3";"SUELDOS EMPLEADOS",#N/A,FALSE,"Hoja4";"SUELDOS EJECUTIVOS",#N/A,FALSE,"Hoja5"}</definedName>
    <definedName name="x" localSheetId="26" hidden="1">#REF!</definedName>
    <definedName name="x" localSheetId="25" hidden="1">#REF!</definedName>
    <definedName name="x" localSheetId="30" hidden="1">#REF!</definedName>
    <definedName name="x" localSheetId="27" hidden="1">#REF!</definedName>
    <definedName name="x" localSheetId="28" hidden="1">#REF!</definedName>
    <definedName name="x" localSheetId="31" hidden="1">#REF!</definedName>
    <definedName name="x" localSheetId="29" hidden="1">#REF!</definedName>
    <definedName name="x" localSheetId="40" hidden="1">#REF!</definedName>
    <definedName name="x" hidden="1">#REF!</definedName>
    <definedName name="XRefColumnsCount" hidden="1">4</definedName>
    <definedName name="XRefCopy2Row" localSheetId="26" hidden="1">#REF!</definedName>
    <definedName name="XRefCopy2Row" localSheetId="25" hidden="1">#REF!</definedName>
    <definedName name="XRefCopy2Row" localSheetId="30" hidden="1">#REF!</definedName>
    <definedName name="XRefCopy2Row" localSheetId="27" hidden="1">#REF!</definedName>
    <definedName name="XRefCopy2Row" localSheetId="28" hidden="1">#REF!</definedName>
    <definedName name="XRefCopy2Row" localSheetId="31" hidden="1">#REF!</definedName>
    <definedName name="XRefCopy2Row" localSheetId="29" hidden="1">#REF!</definedName>
    <definedName name="XRefCopy2Row" localSheetId="40" hidden="1">#REF!</definedName>
    <definedName name="XRefCopy2Row" hidden="1">#REF!</definedName>
    <definedName name="XRefCopy3Row" localSheetId="26" hidden="1">#REF!</definedName>
    <definedName name="XRefCopy3Row" localSheetId="25" hidden="1">#REF!</definedName>
    <definedName name="XRefCopy3Row" localSheetId="30" hidden="1">#REF!</definedName>
    <definedName name="XRefCopy3Row" localSheetId="27" hidden="1">#REF!</definedName>
    <definedName name="XRefCopy3Row" localSheetId="28" hidden="1">#REF!</definedName>
    <definedName name="XRefCopy3Row" localSheetId="31" hidden="1">#REF!</definedName>
    <definedName name="XRefCopy3Row" localSheetId="29" hidden="1">#REF!</definedName>
    <definedName name="XRefCopy3Row" localSheetId="40" hidden="1">#REF!</definedName>
    <definedName name="XRefCopy3Row" hidden="1">#REF!</definedName>
    <definedName name="XRefCopy5" hidden="1">#N/A</definedName>
    <definedName name="XRefCopyRangeCount" hidden="1">5</definedName>
    <definedName name="XRefPasteRangeCount" hidden="1">1</definedName>
    <definedName name="xx" localSheetId="26" hidden="1">{#N/A,#N/A,FALSE,"Aging Summary";#N/A,#N/A,FALSE,"Ratio Analysis";#N/A,#N/A,FALSE,"Test 120 Day Accts";#N/A,#N/A,FALSE,"Tickmarks"}</definedName>
    <definedName name="xx" localSheetId="25" hidden="1">{#N/A,#N/A,FALSE,"Aging Summary";#N/A,#N/A,FALSE,"Ratio Analysis";#N/A,#N/A,FALSE,"Test 120 Day Accts";#N/A,#N/A,FALSE,"Tickmarks"}</definedName>
    <definedName name="xx" localSheetId="30" hidden="1">{#N/A,#N/A,FALSE,"Aging Summary";#N/A,#N/A,FALSE,"Ratio Analysis";#N/A,#N/A,FALSE,"Test 120 Day Accts";#N/A,#N/A,FALSE,"Tickmarks"}</definedName>
    <definedName name="xx" localSheetId="27" hidden="1">{#N/A,#N/A,FALSE,"Aging Summary";#N/A,#N/A,FALSE,"Ratio Analysis";#N/A,#N/A,FALSE,"Test 120 Day Accts";#N/A,#N/A,FALSE,"Tickmarks"}</definedName>
    <definedName name="xx" localSheetId="28" hidden="1">{#N/A,#N/A,FALSE,"Aging Summary";#N/A,#N/A,FALSE,"Ratio Analysis";#N/A,#N/A,FALSE,"Test 120 Day Accts";#N/A,#N/A,FALSE,"Tickmarks"}</definedName>
    <definedName name="xx" localSheetId="31" hidden="1">{#N/A,#N/A,FALSE,"Aging Summary";#N/A,#N/A,FALSE,"Ratio Analysis";#N/A,#N/A,FALSE,"Test 120 Day Accts";#N/A,#N/A,FALSE,"Tickmarks"}</definedName>
    <definedName name="xx" localSheetId="29" hidden="1">{#N/A,#N/A,FALSE,"Aging Summary";#N/A,#N/A,FALSE,"Ratio Analysis";#N/A,#N/A,FALSE,"Test 120 Day Accts";#N/A,#N/A,FALSE,"Tickmarks"}</definedName>
    <definedName name="xx" hidden="1">{#N/A,#N/A,FALSE,"Aging Summary";#N/A,#N/A,FALSE,"Ratio Analysis";#N/A,#N/A,FALSE,"Test 120 Day Accts";#N/A,#N/A,FALSE,"Tickmarks"}</definedName>
    <definedName name="xxxx" localSheetId="26"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xxxx" localSheetId="25"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xxxx" localSheetId="30"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xxxx" localSheetId="27"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xxxx" localSheetId="28"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xxxx" localSheetId="31"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xxxx" localSheetId="29"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xxxx"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y" hidden="1">#N/A</definedName>
    <definedName name="YearFracBasis">[15]START!$E$81</definedName>
    <definedName name="YearFracBasisList">[15]START!$E$82:$E$83</definedName>
    <definedName name="YearFracSetting">[15]START!$G$66</definedName>
    <definedName name="YrsInDCF">'[15]PFI Inputs'!$C$350</definedName>
    <definedName name="YSelectcolumn">'[15]WACC and TIC Inputs'!$E$24:$E$38</definedName>
    <definedName name="z" hidden="1">#N/A</definedName>
    <definedName name="Z_1C03E4A5_0E99_11D5_896C_00008646D7BA_.wvu.Rows" hidden="1">#N/A</definedName>
    <definedName name="zhang" localSheetId="26" hidden="1">{"'Z3-1'!$B$9:$I$29"}</definedName>
    <definedName name="zhang" localSheetId="25" hidden="1">{"'Z3-1'!$B$9:$I$29"}</definedName>
    <definedName name="zhang" localSheetId="30" hidden="1">{"'Z3-1'!$B$9:$I$29"}</definedName>
    <definedName name="zhang" localSheetId="27" hidden="1">{"'Z3-1'!$B$9:$I$29"}</definedName>
    <definedName name="zhang" localSheetId="28" hidden="1">{"'Z3-1'!$B$9:$I$29"}</definedName>
    <definedName name="zhang" localSheetId="31" hidden="1">{"'Z3-1'!$B$9:$I$29"}</definedName>
    <definedName name="zhang" localSheetId="29" hidden="1">{"'Z3-1'!$B$9:$I$29"}</definedName>
    <definedName name="zhang" localSheetId="36" hidden="1">{"'Z3-1'!$B$9:$I$29"}</definedName>
    <definedName name="zhang" hidden="1">{"'Z3-1'!$B$9:$I$29"}</definedName>
    <definedName name="一期净最大发电容量">[72]Assum!$M$236</definedName>
    <definedName name="一期协议小时数">[72]Assum!#REF!</definedName>
    <definedName name="一期协议电价">[72]Assum!$M$409</definedName>
    <definedName name="一期国家补贴开始支付日">[72]Assum!$M$427</definedName>
    <definedName name="一期国家补贴电价支付间隔">[72]Assum!$M$426</definedName>
    <definedName name="一期有效发电小时数">[72]Assum!$M$241</definedName>
    <definedName name="一期营运结束日">[72]Assum!$M$32</definedName>
    <definedName name="一期营运起始日">[72]Assum!$M$30</definedName>
    <definedName name="一期装机容量">[72]Assum!$M$234</definedName>
    <definedName name="三期基金股东贷款占比">[32]Assum!$H$76</definedName>
    <definedName name="二期净最大发电容量">[72]Assum!#REF!</definedName>
    <definedName name="二期协议小时数">[72]Assum!#REF!</definedName>
    <definedName name="二期协议电价">[72]Assum!#REF!</definedName>
    <definedName name="二期国家补贴开始支付日">[72]Assum!#REF!</definedName>
    <definedName name="二期国家补贴电价支付间隔">[72]Assum!#REF!</definedName>
    <definedName name="二期有效发电小时数">[72]Assum!#REF!</definedName>
    <definedName name="二期营运结束日">[72]Assum!#REF!</definedName>
    <definedName name="二期营运起始日">[72]Assum!#REF!</definedName>
    <definedName name="仪表及控制系统instrument___auto_control_sys_New2" localSheetId="19">[82]Assumption!$C$39</definedName>
    <definedName name="仪表及控制系统instrument___auto_control_sys_New2" localSheetId="23">[82]Assumption!$C$39</definedName>
    <definedName name="仪表及控制系统instrument___auto_control_sys_New2" localSheetId="20">[82]Assumption!$C$39</definedName>
    <definedName name="仪表及控制系统instrument___auto_control_sys_New2" localSheetId="22">[82]Assumption!$C$39</definedName>
    <definedName name="仪表及控制系统instrument___auto_control_sys_New2" localSheetId="24">[82]Assumption!$C$39</definedName>
    <definedName name="仪表及控制系统instrument___auto_control_sys_New2" localSheetId="21">[82]Assumption!$C$39</definedName>
    <definedName name="仪表及控制系统instrument___auto_control_sys_New2" localSheetId="13">[82]Assumption!$C$39</definedName>
    <definedName name="仪表及控制系统instrument___auto_control_sys_New2" localSheetId="17">[82]Assumption!$C$39</definedName>
    <definedName name="仪表及控制系统instrument___auto_control_sys_New2" localSheetId="14">[82]Assumption!$C$39</definedName>
    <definedName name="仪表及控制系统instrument___auto_control_sys_New2" localSheetId="16">[82]Assumption!$C$39</definedName>
    <definedName name="仪表及控制系统instrument___auto_control_sys_New2" localSheetId="15">[82]Assumption!$C$39</definedName>
    <definedName name="仪表及控制系统instrument___auto_control_sys_New2" localSheetId="18">[82]Assumption!$C$39</definedName>
    <definedName name="仪表及控制系统instrument___auto_control_sys_New2" localSheetId="12">[82]Assumption!$C$39</definedName>
    <definedName name="仪表及控制系统instrument___auto_control_sys_New2" localSheetId="26">[82]Assumption!$C$39</definedName>
    <definedName name="仪表及控制系统instrument___auto_control_sys_New2" localSheetId="25">[82]Assumption!$C$39</definedName>
    <definedName name="仪表及控制系统instrument___auto_control_sys_New2" localSheetId="30">[82]Assumption!$C$39</definedName>
    <definedName name="仪表及控制系统instrument___auto_control_sys_New2" localSheetId="27">[82]Assumption!$C$39</definedName>
    <definedName name="仪表及控制系统instrument___auto_control_sys_New2" localSheetId="28">[82]Assumption!$C$39</definedName>
    <definedName name="仪表及控制系统instrument___auto_control_sys_New2" localSheetId="31">[82]Assumption!$C$39</definedName>
    <definedName name="仪表及控制系统instrument___auto_control_sys_New2" localSheetId="29">[82]Assumption!$C$39</definedName>
    <definedName name="仪表及控制系统instrument___auto_control_sys_New2" localSheetId="11">[82]Assumption!$C$39</definedName>
    <definedName name="仪表及控制系统instrument___auto_control_sys_New2" localSheetId="40">[83]Assumption!$C$39</definedName>
    <definedName name="仪表及控制系统instrument___auto_control_sys_New2">[83]Assumption!$C$39</definedName>
    <definedName name="保险费用">[32]Assum!$Q$438</definedName>
    <definedName name="办公设备" localSheetId="19">#REF!</definedName>
    <definedName name="办公设备" localSheetId="23">#REF!</definedName>
    <definedName name="办公设备" localSheetId="20">#REF!</definedName>
    <definedName name="办公设备" localSheetId="22">#REF!</definedName>
    <definedName name="办公设备" localSheetId="24">#REF!</definedName>
    <definedName name="办公设备" localSheetId="21">#REF!</definedName>
    <definedName name="办公设备" localSheetId="13">#REF!</definedName>
    <definedName name="办公设备" localSheetId="17">#REF!</definedName>
    <definedName name="办公设备" localSheetId="14">#REF!</definedName>
    <definedName name="办公设备" localSheetId="16">#REF!</definedName>
    <definedName name="办公设备" localSheetId="15">#REF!</definedName>
    <definedName name="办公设备" localSheetId="18">#REF!</definedName>
    <definedName name="办公设备" localSheetId="12">#REF!</definedName>
    <definedName name="办公设备" localSheetId="26">#REF!</definedName>
    <definedName name="办公设备" localSheetId="25">#REF!</definedName>
    <definedName name="办公设备" localSheetId="30">#REF!</definedName>
    <definedName name="办公设备" localSheetId="27">#REF!</definedName>
    <definedName name="办公设备" localSheetId="28">#REF!</definedName>
    <definedName name="办公设备" localSheetId="31">#REF!</definedName>
    <definedName name="办公设备" localSheetId="29">#REF!</definedName>
    <definedName name="办公设备" localSheetId="11">#REF!</definedName>
    <definedName name="办公设备" localSheetId="40">#REF!</definedName>
    <definedName name="办公设备">#REF!</definedName>
    <definedName name="办公设备及家具合计furniture_fitting___office_equipment_New2" localSheetId="19">[82]Assumption!$C$35</definedName>
    <definedName name="办公设备及家具合计furniture_fitting___office_equipment_New2" localSheetId="23">[82]Assumption!$C$35</definedName>
    <definedName name="办公设备及家具合计furniture_fitting___office_equipment_New2" localSheetId="20">[82]Assumption!$C$35</definedName>
    <definedName name="办公设备及家具合计furniture_fitting___office_equipment_New2" localSheetId="22">[82]Assumption!$C$35</definedName>
    <definedName name="办公设备及家具合计furniture_fitting___office_equipment_New2" localSheetId="24">[82]Assumption!$C$35</definedName>
    <definedName name="办公设备及家具合计furniture_fitting___office_equipment_New2" localSheetId="21">[82]Assumption!$C$35</definedName>
    <definedName name="办公设备及家具合计furniture_fitting___office_equipment_New2" localSheetId="13">[82]Assumption!$C$35</definedName>
    <definedName name="办公设备及家具合计furniture_fitting___office_equipment_New2" localSheetId="17">[82]Assumption!$C$35</definedName>
    <definedName name="办公设备及家具合计furniture_fitting___office_equipment_New2" localSheetId="14">[82]Assumption!$C$35</definedName>
    <definedName name="办公设备及家具合计furniture_fitting___office_equipment_New2" localSheetId="16">[82]Assumption!$C$35</definedName>
    <definedName name="办公设备及家具合计furniture_fitting___office_equipment_New2" localSheetId="15">[82]Assumption!$C$35</definedName>
    <definedName name="办公设备及家具合计furniture_fitting___office_equipment_New2" localSheetId="18">[82]Assumption!$C$35</definedName>
    <definedName name="办公设备及家具合计furniture_fitting___office_equipment_New2" localSheetId="12">[82]Assumption!$C$35</definedName>
    <definedName name="办公设备及家具合计furniture_fitting___office_equipment_New2" localSheetId="26">[82]Assumption!$C$35</definedName>
    <definedName name="办公设备及家具合计furniture_fitting___office_equipment_New2" localSheetId="25">[82]Assumption!$C$35</definedName>
    <definedName name="办公设备及家具合计furniture_fitting___office_equipment_New2" localSheetId="30">[82]Assumption!$C$35</definedName>
    <definedName name="办公设备及家具合计furniture_fitting___office_equipment_New2" localSheetId="27">[82]Assumption!$C$35</definedName>
    <definedName name="办公设备及家具合计furniture_fitting___office_equipment_New2" localSheetId="28">[82]Assumption!$C$35</definedName>
    <definedName name="办公设备及家具合计furniture_fitting___office_equipment_New2" localSheetId="31">[82]Assumption!$C$35</definedName>
    <definedName name="办公设备及家具合计furniture_fitting___office_equipment_New2" localSheetId="29">[82]Assumption!$C$35</definedName>
    <definedName name="办公设备及家具合计furniture_fitting___office_equipment_New2" localSheetId="11">[82]Assumption!$C$35</definedName>
    <definedName name="办公设备及家具合计furniture_fitting___office_equipment_New2" localSheetId="40">[83]Assumption!$C$35</definedName>
    <definedName name="办公设备及家具合计furniture_fitting___office_equipment_New2">[83]Assumption!$C$35</definedName>
    <definedName name="协议小时数">[32]Assum!$Q$316</definedName>
    <definedName name="协议电价">[32]Assum!$Q$315</definedName>
    <definedName name="合伙人" localSheetId="19">#REF!</definedName>
    <definedName name="合伙人" localSheetId="23">#REF!</definedName>
    <definedName name="合伙人" localSheetId="20">#REF!</definedName>
    <definedName name="合伙人" localSheetId="22">#REF!</definedName>
    <definedName name="合伙人" localSheetId="24">#REF!</definedName>
    <definedName name="合伙人" localSheetId="21">#REF!</definedName>
    <definedName name="合伙人" localSheetId="13">#REF!</definedName>
    <definedName name="合伙人" localSheetId="17">#REF!</definedName>
    <definedName name="合伙人" localSheetId="14">#REF!</definedName>
    <definedName name="合伙人" localSheetId="16">#REF!</definedName>
    <definedName name="合伙人" localSheetId="15">#REF!</definedName>
    <definedName name="合伙人" localSheetId="18">#REF!</definedName>
    <definedName name="合伙人" localSheetId="12">#REF!</definedName>
    <definedName name="合伙人" localSheetId="26">#REF!</definedName>
    <definedName name="合伙人" localSheetId="25">#REF!</definedName>
    <definedName name="合伙人" localSheetId="30">#REF!</definedName>
    <definedName name="合伙人" localSheetId="27">#REF!</definedName>
    <definedName name="合伙人" localSheetId="28">#REF!</definedName>
    <definedName name="合伙人" localSheetId="31">#REF!</definedName>
    <definedName name="合伙人" localSheetId="29">#REF!</definedName>
    <definedName name="合伙人" localSheetId="11">#REF!</definedName>
    <definedName name="合伙人" localSheetId="40">#REF!</definedName>
    <definedName name="合伙人">#REF!</definedName>
    <definedName name="土地费用" localSheetId="19">#REF!</definedName>
    <definedName name="土地费用" localSheetId="23">#REF!</definedName>
    <definedName name="土地费用" localSheetId="20">#REF!</definedName>
    <definedName name="土地费用" localSheetId="22">#REF!</definedName>
    <definedName name="土地费用" localSheetId="24">#REF!</definedName>
    <definedName name="土地费用" localSheetId="21">#REF!</definedName>
    <definedName name="土地费用" localSheetId="13">#REF!</definedName>
    <definedName name="土地费用" localSheetId="17">#REF!</definedName>
    <definedName name="土地费用" localSheetId="14">#REF!</definedName>
    <definedName name="土地费用" localSheetId="16">#REF!</definedName>
    <definedName name="土地费用" localSheetId="15">#REF!</definedName>
    <definedName name="土地费用" localSheetId="18">#REF!</definedName>
    <definedName name="土地费用" localSheetId="12">#REF!</definedName>
    <definedName name="土地费用" localSheetId="26">#REF!</definedName>
    <definedName name="土地费用" localSheetId="25">#REF!</definedName>
    <definedName name="土地费用" localSheetId="30">#REF!</definedName>
    <definedName name="土地费用" localSheetId="27">#REF!</definedName>
    <definedName name="土地费用" localSheetId="28">#REF!</definedName>
    <definedName name="土地费用" localSheetId="31">#REF!</definedName>
    <definedName name="土地费用" localSheetId="29">#REF!</definedName>
    <definedName name="土地费用" localSheetId="11">#REF!</definedName>
    <definedName name="土地费用" localSheetId="40">#REF!</definedName>
    <definedName name="土地费用">#REF!</definedName>
    <definedName name="土建投资" localSheetId="19">#REF!</definedName>
    <definedName name="土建投资" localSheetId="23">#REF!</definedName>
    <definedName name="土建投资" localSheetId="20">#REF!</definedName>
    <definedName name="土建投资" localSheetId="22">#REF!</definedName>
    <definedName name="土建投资" localSheetId="24">#REF!</definedName>
    <definedName name="土建投资" localSheetId="21">#REF!</definedName>
    <definedName name="土建投资" localSheetId="13">#REF!</definedName>
    <definedName name="土建投资" localSheetId="17">#REF!</definedName>
    <definedName name="土建投资" localSheetId="14">#REF!</definedName>
    <definedName name="土建投资" localSheetId="16">#REF!</definedName>
    <definedName name="土建投资" localSheetId="15">#REF!</definedName>
    <definedName name="土建投资" localSheetId="18">#REF!</definedName>
    <definedName name="土建投资" localSheetId="12">#REF!</definedName>
    <definedName name="土建投资" localSheetId="26">#REF!</definedName>
    <definedName name="土建投资" localSheetId="25">#REF!</definedName>
    <definedName name="土建投资" localSheetId="30">#REF!</definedName>
    <definedName name="土建投资" localSheetId="27">#REF!</definedName>
    <definedName name="土建投资" localSheetId="28">#REF!</definedName>
    <definedName name="土建投资" localSheetId="31">#REF!</definedName>
    <definedName name="土建投资" localSheetId="29">#REF!</definedName>
    <definedName name="土建投资" localSheetId="11">#REF!</definedName>
    <definedName name="土建投资" localSheetId="40">#REF!</definedName>
    <definedName name="土建投资">#REF!</definedName>
    <definedName name="城市附加费" localSheetId="19">'[75]Key assumption'!$E$18</definedName>
    <definedName name="城市附加费" localSheetId="23">'[75]Key assumption'!$E$18</definedName>
    <definedName name="城市附加费" localSheetId="20">'[75]Key assumption'!$E$18</definedName>
    <definedName name="城市附加费" localSheetId="22">'[75]Key assumption'!$E$18</definedName>
    <definedName name="城市附加费" localSheetId="24">'[75]Key assumption'!$E$18</definedName>
    <definedName name="城市附加费" localSheetId="21">'[75]Key assumption'!$E$18</definedName>
    <definedName name="城市附加费" localSheetId="13">'[75]Key assumption'!$E$18</definedName>
    <definedName name="城市附加费" localSheetId="17">'[75]Key assumption'!$E$18</definedName>
    <definedName name="城市附加费" localSheetId="14">'[75]Key assumption'!$E$18</definedName>
    <definedName name="城市附加费" localSheetId="16">'[75]Key assumption'!$E$18</definedName>
    <definedName name="城市附加费" localSheetId="15">'[75]Key assumption'!$E$18</definedName>
    <definedName name="城市附加费" localSheetId="18">'[75]Key assumption'!$E$18</definedName>
    <definedName name="城市附加费" localSheetId="12">'[75]Key assumption'!$E$18</definedName>
    <definedName name="城市附加费" localSheetId="26">'[75]Key assumption'!$E$18</definedName>
    <definedName name="城市附加费" localSheetId="25">'[75]Key assumption'!$E$18</definedName>
    <definedName name="城市附加费" localSheetId="30">'[75]Key assumption'!$E$18</definedName>
    <definedName name="城市附加费" localSheetId="27">'[75]Key assumption'!$E$18</definedName>
    <definedName name="城市附加费" localSheetId="28">'[75]Key assumption'!$E$18</definedName>
    <definedName name="城市附加费" localSheetId="31">'[75]Key assumption'!$E$18</definedName>
    <definedName name="城市附加费" localSheetId="29">'[75]Key assumption'!$E$18</definedName>
    <definedName name="城市附加费" localSheetId="11">'[75]Key assumption'!$E$18</definedName>
    <definedName name="城市附加费" localSheetId="40">'[76]Key assumption'!$E$18</definedName>
    <definedName name="城市附加费">'[76]Key assumption'!$E$18</definedName>
    <definedName name="城市附加费1" localSheetId="19">'[58]Key assumption'!$E$18</definedName>
    <definedName name="城市附加费1" localSheetId="23">'[58]Key assumption'!$E$18</definedName>
    <definedName name="城市附加费1" localSheetId="20">'[58]Key assumption'!$E$18</definedName>
    <definedName name="城市附加费1" localSheetId="22">'[58]Key assumption'!$E$18</definedName>
    <definedName name="城市附加费1" localSheetId="24">'[58]Key assumption'!$E$18</definedName>
    <definedName name="城市附加费1" localSheetId="21">'[58]Key assumption'!$E$18</definedName>
    <definedName name="城市附加费1" localSheetId="13">'[58]Key assumption'!$E$18</definedName>
    <definedName name="城市附加费1" localSheetId="17">'[58]Key assumption'!$E$18</definedName>
    <definedName name="城市附加费1" localSheetId="14">'[58]Key assumption'!$E$18</definedName>
    <definedName name="城市附加费1" localSheetId="16">'[58]Key assumption'!$E$18</definedName>
    <definedName name="城市附加费1" localSheetId="15">'[58]Key assumption'!$E$18</definedName>
    <definedName name="城市附加费1" localSheetId="18">'[58]Key assumption'!$E$18</definedName>
    <definedName name="城市附加费1" localSheetId="12">'[58]Key assumption'!$E$18</definedName>
    <definedName name="城市附加费1" localSheetId="26">'[58]Key assumption'!$E$18</definedName>
    <definedName name="城市附加费1" localSheetId="25">'[58]Key assumption'!$E$18</definedName>
    <definedName name="城市附加费1" localSheetId="30">'[58]Key assumption'!$E$18</definedName>
    <definedName name="城市附加费1" localSheetId="27">'[58]Key assumption'!$E$18</definedName>
    <definedName name="城市附加费1" localSheetId="28">'[58]Key assumption'!$E$18</definedName>
    <definedName name="城市附加费1" localSheetId="31">'[58]Key assumption'!$E$18</definedName>
    <definedName name="城市附加费1" localSheetId="29">'[58]Key assumption'!$E$18</definedName>
    <definedName name="城市附加费1" localSheetId="11">'[58]Key assumption'!$E$18</definedName>
    <definedName name="城市附加费1" localSheetId="40">'[59]Key assumption'!$E$18</definedName>
    <definedName name="城市附加费1">'[59]Key assumption'!$E$18</definedName>
    <definedName name="增值税率">[32]Assum!$Q$581</definedName>
    <definedName name="增值税退还有效期">[72]Assum!$M$851</definedName>
    <definedName name="增值税退还比例">[72]Assum!$M$850</definedName>
    <definedName name="大修期间上网电量下降比例">[72]Assum!$M$397</definedName>
    <definedName name="大修起始日一" localSheetId="19">'[48]假设 Inputs'!$M$445</definedName>
    <definedName name="大修起始日一" localSheetId="23">'[48]假设 Inputs'!$M$445</definedName>
    <definedName name="大修起始日一" localSheetId="20">'[48]假设 Inputs'!$M$445</definedName>
    <definedName name="大修起始日一" localSheetId="22">'[48]假设 Inputs'!$M$445</definedName>
    <definedName name="大修起始日一" localSheetId="24">'[48]假设 Inputs'!$M$445</definedName>
    <definedName name="大修起始日一" localSheetId="21">'[48]假设 Inputs'!$M$445</definedName>
    <definedName name="大修起始日一" localSheetId="13">'[48]假设 Inputs'!$M$445</definedName>
    <definedName name="大修起始日一" localSheetId="17">'[48]假设 Inputs'!$M$445</definedName>
    <definedName name="大修起始日一" localSheetId="14">'[48]假设 Inputs'!$M$445</definedName>
    <definedName name="大修起始日一" localSheetId="16">'[48]假设 Inputs'!$M$445</definedName>
    <definedName name="大修起始日一" localSheetId="15">'[48]假设 Inputs'!$M$445</definedName>
    <definedName name="大修起始日一" localSheetId="18">'[48]假设 Inputs'!$M$445</definedName>
    <definedName name="大修起始日一" localSheetId="12">'[48]假设 Inputs'!$M$445</definedName>
    <definedName name="大修起始日一" localSheetId="26">'[48]假设 Inputs'!$M$445</definedName>
    <definedName name="大修起始日一" localSheetId="25">'[48]假设 Inputs'!$M$445</definedName>
    <definedName name="大修起始日一" localSheetId="30">'[48]假设 Inputs'!$M$445</definedName>
    <definedName name="大修起始日一" localSheetId="27">'[48]假设 Inputs'!$M$445</definedName>
    <definedName name="大修起始日一" localSheetId="28">'[48]假设 Inputs'!$M$445</definedName>
    <definedName name="大修起始日一" localSheetId="31">'[48]假设 Inputs'!$M$445</definedName>
    <definedName name="大修起始日一" localSheetId="29">'[48]假设 Inputs'!$M$445</definedName>
    <definedName name="大修起始日一" localSheetId="11">'[48]假设 Inputs'!$M$445</definedName>
    <definedName name="大修起始日一" localSheetId="36">'[48]假设 Inputs'!$M$445</definedName>
    <definedName name="大修起始日一">'[17]假设 Inputs'!$M$445</definedName>
    <definedName name="岗位津贴1" localSheetId="19">'[62]Assumption(Manpower)'!#REF!</definedName>
    <definedName name="岗位津贴1" localSheetId="23">'[62]Assumption(Manpower)'!#REF!</definedName>
    <definedName name="岗位津贴1" localSheetId="20">'[62]Assumption(Manpower)'!#REF!</definedName>
    <definedName name="岗位津贴1" localSheetId="22">'[62]Assumption(Manpower)'!#REF!</definedName>
    <definedName name="岗位津贴1" localSheetId="24">'[62]Assumption(Manpower)'!#REF!</definedName>
    <definedName name="岗位津贴1" localSheetId="21">'[62]Assumption(Manpower)'!#REF!</definedName>
    <definedName name="岗位津贴1" localSheetId="13">'[62]Assumption(Manpower)'!#REF!</definedName>
    <definedName name="岗位津贴1" localSheetId="17">'[62]Assumption(Manpower)'!#REF!</definedName>
    <definedName name="岗位津贴1" localSheetId="14">'[62]Assumption(Manpower)'!#REF!</definedName>
    <definedName name="岗位津贴1" localSheetId="16">'[62]Assumption(Manpower)'!#REF!</definedName>
    <definedName name="岗位津贴1" localSheetId="15">'[62]Assumption(Manpower)'!#REF!</definedName>
    <definedName name="岗位津贴1" localSheetId="18">'[62]Assumption(Manpower)'!#REF!</definedName>
    <definedName name="岗位津贴1" localSheetId="12">'[62]Assumption(Manpower)'!#REF!</definedName>
    <definedName name="岗位津贴1" localSheetId="26">'[62]Assumption(Manpower)'!#REF!</definedName>
    <definedName name="岗位津贴1" localSheetId="25">'[62]Assumption(Manpower)'!#REF!</definedName>
    <definedName name="岗位津贴1" localSheetId="30">'[62]Assumption(Manpower)'!#REF!</definedName>
    <definedName name="岗位津贴1" localSheetId="27">'[62]Assumption(Manpower)'!#REF!</definedName>
    <definedName name="岗位津贴1" localSheetId="28">'[62]Assumption(Manpower)'!#REF!</definedName>
    <definedName name="岗位津贴1" localSheetId="31">'[62]Assumption(Manpower)'!#REF!</definedName>
    <definedName name="岗位津贴1" localSheetId="29">'[62]Assumption(Manpower)'!#REF!</definedName>
    <definedName name="岗位津贴1" localSheetId="11">'[62]Assumption(Manpower)'!#REF!</definedName>
    <definedName name="岗位津贴1" localSheetId="40">'[63]Assumption(Manpower)'!#REF!</definedName>
    <definedName name="岗位津贴1">'[63]Assumption(Manpower)'!#REF!</definedName>
    <definedName name="岗位津贴2" localSheetId="19">'[62]Assumption(Manpower)'!#REF!</definedName>
    <definedName name="岗位津贴2" localSheetId="23">'[62]Assumption(Manpower)'!#REF!</definedName>
    <definedName name="岗位津贴2" localSheetId="20">'[62]Assumption(Manpower)'!#REF!</definedName>
    <definedName name="岗位津贴2" localSheetId="22">'[62]Assumption(Manpower)'!#REF!</definedName>
    <definedName name="岗位津贴2" localSheetId="24">'[62]Assumption(Manpower)'!#REF!</definedName>
    <definedName name="岗位津贴2" localSheetId="21">'[62]Assumption(Manpower)'!#REF!</definedName>
    <definedName name="岗位津贴2" localSheetId="13">'[62]Assumption(Manpower)'!#REF!</definedName>
    <definedName name="岗位津贴2" localSheetId="17">'[62]Assumption(Manpower)'!#REF!</definedName>
    <definedName name="岗位津贴2" localSheetId="14">'[62]Assumption(Manpower)'!#REF!</definedName>
    <definedName name="岗位津贴2" localSheetId="16">'[62]Assumption(Manpower)'!#REF!</definedName>
    <definedName name="岗位津贴2" localSheetId="15">'[62]Assumption(Manpower)'!#REF!</definedName>
    <definedName name="岗位津贴2" localSheetId="18">'[62]Assumption(Manpower)'!#REF!</definedName>
    <definedName name="岗位津贴2" localSheetId="12">'[62]Assumption(Manpower)'!#REF!</definedName>
    <definedName name="岗位津贴2" localSheetId="26">'[62]Assumption(Manpower)'!#REF!</definedName>
    <definedName name="岗位津贴2" localSheetId="25">'[62]Assumption(Manpower)'!#REF!</definedName>
    <definedName name="岗位津贴2" localSheetId="30">'[62]Assumption(Manpower)'!#REF!</definedName>
    <definedName name="岗位津贴2" localSheetId="27">'[62]Assumption(Manpower)'!#REF!</definedName>
    <definedName name="岗位津贴2" localSheetId="28">'[62]Assumption(Manpower)'!#REF!</definedName>
    <definedName name="岗位津贴2" localSheetId="31">'[62]Assumption(Manpower)'!#REF!</definedName>
    <definedName name="岗位津贴2" localSheetId="29">'[62]Assumption(Manpower)'!#REF!</definedName>
    <definedName name="岗位津贴2" localSheetId="11">'[62]Assumption(Manpower)'!#REF!</definedName>
    <definedName name="岗位津贴2" localSheetId="40">'[63]Assumption(Manpower)'!#REF!</definedName>
    <definedName name="岗位津贴2">'[63]Assumption(Manpower)'!#REF!</definedName>
    <definedName name="岗位津贴3" localSheetId="19">'[62]Assumption(Manpower)'!#REF!</definedName>
    <definedName name="岗位津贴3" localSheetId="23">'[62]Assumption(Manpower)'!#REF!</definedName>
    <definedName name="岗位津贴3" localSheetId="20">'[62]Assumption(Manpower)'!#REF!</definedName>
    <definedName name="岗位津贴3" localSheetId="22">'[62]Assumption(Manpower)'!#REF!</definedName>
    <definedName name="岗位津贴3" localSheetId="24">'[62]Assumption(Manpower)'!#REF!</definedName>
    <definedName name="岗位津贴3" localSheetId="21">'[62]Assumption(Manpower)'!#REF!</definedName>
    <definedName name="岗位津贴3" localSheetId="13">'[62]Assumption(Manpower)'!#REF!</definedName>
    <definedName name="岗位津贴3" localSheetId="17">'[62]Assumption(Manpower)'!#REF!</definedName>
    <definedName name="岗位津贴3" localSheetId="14">'[62]Assumption(Manpower)'!#REF!</definedName>
    <definedName name="岗位津贴3" localSheetId="16">'[62]Assumption(Manpower)'!#REF!</definedName>
    <definedName name="岗位津贴3" localSheetId="15">'[62]Assumption(Manpower)'!#REF!</definedName>
    <definedName name="岗位津贴3" localSheetId="18">'[62]Assumption(Manpower)'!#REF!</definedName>
    <definedName name="岗位津贴3" localSheetId="12">'[62]Assumption(Manpower)'!#REF!</definedName>
    <definedName name="岗位津贴3" localSheetId="26">'[62]Assumption(Manpower)'!#REF!</definedName>
    <definedName name="岗位津贴3" localSheetId="25">'[62]Assumption(Manpower)'!#REF!</definedName>
    <definedName name="岗位津贴3" localSheetId="30">'[62]Assumption(Manpower)'!#REF!</definedName>
    <definedName name="岗位津贴3" localSheetId="27">'[62]Assumption(Manpower)'!#REF!</definedName>
    <definedName name="岗位津贴3" localSheetId="28">'[62]Assumption(Manpower)'!#REF!</definedName>
    <definedName name="岗位津贴3" localSheetId="31">'[62]Assumption(Manpower)'!#REF!</definedName>
    <definedName name="岗位津贴3" localSheetId="29">'[62]Assumption(Manpower)'!#REF!</definedName>
    <definedName name="岗位津贴3" localSheetId="11">'[62]Assumption(Manpower)'!#REF!</definedName>
    <definedName name="岗位津贴3" localSheetId="40">'[63]Assumption(Manpower)'!#REF!</definedName>
    <definedName name="岗位津贴3">'[63]Assumption(Manpower)'!#REF!</definedName>
    <definedName name="工业企业结构调整">[72]Assum!$M$435</definedName>
    <definedName name="工业企业结构调整政策开始日期">[72]Assum!$M$436</definedName>
    <definedName name="工业企业结构调整政策结束日期">[72]Assum!$M$438</definedName>
    <definedName name="工资上涨幅度" localSheetId="19">[84]人工费用!#REF!</definedName>
    <definedName name="工资上涨幅度" localSheetId="23">[84]人工费用!#REF!</definedName>
    <definedName name="工资上涨幅度" localSheetId="20">[84]人工费用!#REF!</definedName>
    <definedName name="工资上涨幅度" localSheetId="22">[84]人工费用!#REF!</definedName>
    <definedName name="工资上涨幅度" localSheetId="24">[84]人工费用!#REF!</definedName>
    <definedName name="工资上涨幅度" localSheetId="21">[84]人工费用!#REF!</definedName>
    <definedName name="工资上涨幅度" localSheetId="13">[84]人工费用!#REF!</definedName>
    <definedName name="工资上涨幅度" localSheetId="17">[84]人工费用!#REF!</definedName>
    <definedName name="工资上涨幅度" localSheetId="14">[84]人工费用!#REF!</definedName>
    <definedName name="工资上涨幅度" localSheetId="16">[84]人工费用!#REF!</definedName>
    <definedName name="工资上涨幅度" localSheetId="15">[84]人工费用!#REF!</definedName>
    <definedName name="工资上涨幅度" localSheetId="18">[84]人工费用!#REF!</definedName>
    <definedName name="工资上涨幅度" localSheetId="12">[84]人工费用!#REF!</definedName>
    <definedName name="工资上涨幅度" localSheetId="26">[84]人工费用!#REF!</definedName>
    <definedName name="工资上涨幅度" localSheetId="25">[84]人工费用!#REF!</definedName>
    <definedName name="工资上涨幅度" localSheetId="30">[84]人工费用!#REF!</definedName>
    <definedName name="工资上涨幅度" localSheetId="27">[84]人工费用!#REF!</definedName>
    <definedName name="工资上涨幅度" localSheetId="28">[84]人工费用!#REF!</definedName>
    <definedName name="工资上涨幅度" localSheetId="31">[84]人工费用!#REF!</definedName>
    <definedName name="工资上涨幅度" localSheetId="29">[84]人工费用!#REF!</definedName>
    <definedName name="工资上涨幅度" localSheetId="11">[84]人工费用!#REF!</definedName>
    <definedName name="工资上涨幅度" localSheetId="40">[85]人工费用!#REF!</definedName>
    <definedName name="工资上涨幅度">[85]人工费用!#REF!</definedName>
    <definedName name="年度分割主">[32]Assum!$Q$601</definedName>
    <definedName name="年度分割次">[32]Assum!$Q$598</definedName>
    <definedName name="应付账款支付延迟">[72]Assum!$M$861</definedName>
    <definedName name="建设期银行贷款利率">[32]Assum!$Q$164</definedName>
    <definedName name="建设结束日">[32]Assum!$Q$32</definedName>
    <definedName name="建设贷款信贷上限">[72]Assum!#REF!</definedName>
    <definedName name="建设起始日">[32]Assum!$Q$30</definedName>
    <definedName name="报表">#REF!</definedName>
    <definedName name="操作工_water_人数" localSheetId="19">'[62]Assumption(Manpower)'!#REF!</definedName>
    <definedName name="操作工_water_人数" localSheetId="23">'[62]Assumption(Manpower)'!#REF!</definedName>
    <definedName name="操作工_water_人数" localSheetId="20">'[62]Assumption(Manpower)'!#REF!</definedName>
    <definedName name="操作工_water_人数" localSheetId="22">'[62]Assumption(Manpower)'!#REF!</definedName>
    <definedName name="操作工_water_人数" localSheetId="24">'[62]Assumption(Manpower)'!#REF!</definedName>
    <definedName name="操作工_water_人数" localSheetId="21">'[62]Assumption(Manpower)'!#REF!</definedName>
    <definedName name="操作工_water_人数" localSheetId="13">'[62]Assumption(Manpower)'!#REF!</definedName>
    <definedName name="操作工_water_人数" localSheetId="17">'[62]Assumption(Manpower)'!#REF!</definedName>
    <definedName name="操作工_water_人数" localSheetId="14">'[62]Assumption(Manpower)'!#REF!</definedName>
    <definedName name="操作工_water_人数" localSheetId="16">'[62]Assumption(Manpower)'!#REF!</definedName>
    <definedName name="操作工_water_人数" localSheetId="15">'[62]Assumption(Manpower)'!#REF!</definedName>
    <definedName name="操作工_water_人数" localSheetId="18">'[62]Assumption(Manpower)'!#REF!</definedName>
    <definedName name="操作工_water_人数" localSheetId="12">'[62]Assumption(Manpower)'!#REF!</definedName>
    <definedName name="操作工_water_人数" localSheetId="26">'[62]Assumption(Manpower)'!#REF!</definedName>
    <definedName name="操作工_water_人数" localSheetId="25">'[62]Assumption(Manpower)'!#REF!</definedName>
    <definedName name="操作工_water_人数" localSheetId="30">'[62]Assumption(Manpower)'!#REF!</definedName>
    <definedName name="操作工_water_人数" localSheetId="27">'[62]Assumption(Manpower)'!#REF!</definedName>
    <definedName name="操作工_water_人数" localSheetId="28">'[62]Assumption(Manpower)'!#REF!</definedName>
    <definedName name="操作工_water_人数" localSheetId="31">'[62]Assumption(Manpower)'!#REF!</definedName>
    <definedName name="操作工_water_人数" localSheetId="29">'[62]Assumption(Manpower)'!#REF!</definedName>
    <definedName name="操作工_water_人数" localSheetId="11">'[62]Assumption(Manpower)'!#REF!</definedName>
    <definedName name="操作工_water_人数" localSheetId="40">'[63]Assumption(Manpower)'!#REF!</definedName>
    <definedName name="操作工_water_人数">'[63]Assumption(Manpower)'!#REF!</definedName>
    <definedName name="操作工_water_基本薪资" localSheetId="19">'[62]Assumption(Manpower)'!#REF!</definedName>
    <definedName name="操作工_water_基本薪资" localSheetId="23">'[62]Assumption(Manpower)'!#REF!</definedName>
    <definedName name="操作工_water_基本薪资" localSheetId="20">'[62]Assumption(Manpower)'!#REF!</definedName>
    <definedName name="操作工_water_基本薪资" localSheetId="22">'[62]Assumption(Manpower)'!#REF!</definedName>
    <definedName name="操作工_water_基本薪资" localSheetId="24">'[62]Assumption(Manpower)'!#REF!</definedName>
    <definedName name="操作工_water_基本薪资" localSheetId="21">'[62]Assumption(Manpower)'!#REF!</definedName>
    <definedName name="操作工_water_基本薪资" localSheetId="13">'[62]Assumption(Manpower)'!#REF!</definedName>
    <definedName name="操作工_water_基本薪资" localSheetId="17">'[62]Assumption(Manpower)'!#REF!</definedName>
    <definedName name="操作工_water_基本薪资" localSheetId="14">'[62]Assumption(Manpower)'!#REF!</definedName>
    <definedName name="操作工_water_基本薪资" localSheetId="16">'[62]Assumption(Manpower)'!#REF!</definedName>
    <definedName name="操作工_water_基本薪资" localSheetId="15">'[62]Assumption(Manpower)'!#REF!</definedName>
    <definedName name="操作工_water_基本薪资" localSheetId="18">'[62]Assumption(Manpower)'!#REF!</definedName>
    <definedName name="操作工_water_基本薪资" localSheetId="12">'[62]Assumption(Manpower)'!#REF!</definedName>
    <definedName name="操作工_water_基本薪资" localSheetId="26">'[62]Assumption(Manpower)'!#REF!</definedName>
    <definedName name="操作工_water_基本薪资" localSheetId="25">'[62]Assumption(Manpower)'!#REF!</definedName>
    <definedName name="操作工_water_基本薪资" localSheetId="30">'[62]Assumption(Manpower)'!#REF!</definedName>
    <definedName name="操作工_water_基本薪资" localSheetId="27">'[62]Assumption(Manpower)'!#REF!</definedName>
    <definedName name="操作工_water_基本薪资" localSheetId="28">'[62]Assumption(Manpower)'!#REF!</definedName>
    <definedName name="操作工_water_基本薪资" localSheetId="31">'[62]Assumption(Manpower)'!#REF!</definedName>
    <definedName name="操作工_water_基本薪资" localSheetId="29">'[62]Assumption(Manpower)'!#REF!</definedName>
    <definedName name="操作工_water_基本薪资" localSheetId="11">'[62]Assumption(Manpower)'!#REF!</definedName>
    <definedName name="操作工_water_基本薪资" localSheetId="40">'[63]Assumption(Manpower)'!#REF!</definedName>
    <definedName name="操作工_water_基本薪资">'[63]Assumption(Manpower)'!#REF!</definedName>
    <definedName name="操作工人数_Phase1B" localSheetId="19">'[62]Assumption(Manpower)'!#REF!</definedName>
    <definedName name="操作工人数_Phase1B" localSheetId="23">'[62]Assumption(Manpower)'!#REF!</definedName>
    <definedName name="操作工人数_Phase1B" localSheetId="20">'[62]Assumption(Manpower)'!#REF!</definedName>
    <definedName name="操作工人数_Phase1B" localSheetId="22">'[62]Assumption(Manpower)'!#REF!</definedName>
    <definedName name="操作工人数_Phase1B" localSheetId="24">'[62]Assumption(Manpower)'!#REF!</definedName>
    <definedName name="操作工人数_Phase1B" localSheetId="21">'[62]Assumption(Manpower)'!#REF!</definedName>
    <definedName name="操作工人数_Phase1B" localSheetId="13">'[62]Assumption(Manpower)'!#REF!</definedName>
    <definedName name="操作工人数_Phase1B" localSheetId="17">'[62]Assumption(Manpower)'!#REF!</definedName>
    <definedName name="操作工人数_Phase1B" localSheetId="14">'[62]Assumption(Manpower)'!#REF!</definedName>
    <definedName name="操作工人数_Phase1B" localSheetId="16">'[62]Assumption(Manpower)'!#REF!</definedName>
    <definedName name="操作工人数_Phase1B" localSheetId="15">'[62]Assumption(Manpower)'!#REF!</definedName>
    <definedName name="操作工人数_Phase1B" localSheetId="18">'[62]Assumption(Manpower)'!#REF!</definedName>
    <definedName name="操作工人数_Phase1B" localSheetId="12">'[62]Assumption(Manpower)'!#REF!</definedName>
    <definedName name="操作工人数_Phase1B" localSheetId="26">'[62]Assumption(Manpower)'!#REF!</definedName>
    <definedName name="操作工人数_Phase1B" localSheetId="25">'[62]Assumption(Manpower)'!#REF!</definedName>
    <definedName name="操作工人数_Phase1B" localSheetId="30">'[62]Assumption(Manpower)'!#REF!</definedName>
    <definedName name="操作工人数_Phase1B" localSheetId="27">'[62]Assumption(Manpower)'!#REF!</definedName>
    <definedName name="操作工人数_Phase1B" localSheetId="28">'[62]Assumption(Manpower)'!#REF!</definedName>
    <definedName name="操作工人数_Phase1B" localSheetId="31">'[62]Assumption(Manpower)'!#REF!</definedName>
    <definedName name="操作工人数_Phase1B" localSheetId="29">'[62]Assumption(Manpower)'!#REF!</definedName>
    <definedName name="操作工人数_Phase1B" localSheetId="11">'[62]Assumption(Manpower)'!#REF!</definedName>
    <definedName name="操作工人数_Phase1B" localSheetId="40">'[63]Assumption(Manpower)'!#REF!</definedName>
    <definedName name="操作工人数_Phase1B">'[63]Assumption(Manpower)'!#REF!</definedName>
    <definedName name="支付延迟">[32]Assum!$T$592</definedName>
    <definedName name="收取延迟">[32]Assum!$T$593</definedName>
    <definedName name="收购比例">[32]Assum!$Q$68</definedName>
    <definedName name="新" localSheetId="26" hidden="1">{"'Z3-1'!$B$9:$I$29"}</definedName>
    <definedName name="新" localSheetId="25" hidden="1">{"'Z3-1'!$B$9:$I$29"}</definedName>
    <definedName name="新" localSheetId="30" hidden="1">{"'Z3-1'!$B$9:$I$29"}</definedName>
    <definedName name="新" localSheetId="27" hidden="1">{"'Z3-1'!$B$9:$I$29"}</definedName>
    <definedName name="新" localSheetId="28" hidden="1">{"'Z3-1'!$B$9:$I$29"}</definedName>
    <definedName name="新" localSheetId="31" hidden="1">{"'Z3-1'!$B$9:$I$29"}</definedName>
    <definedName name="新" localSheetId="29" hidden="1">{"'Z3-1'!$B$9:$I$29"}</definedName>
    <definedName name="新" localSheetId="36" hidden="1">{"'Z3-1'!$B$9:$I$29"}</definedName>
    <definedName name="新" hidden="1">{"'Z3-1'!$B$9:$I$29"}</definedName>
    <definedName name="月份周期主">[32]Assum!$Q$600</definedName>
    <definedName name="月份周期次">[32]Assum!$Q$597</definedName>
    <definedName name="月固定费用" localSheetId="19">#REF!</definedName>
    <definedName name="月固定费用" localSheetId="23">#REF!</definedName>
    <definedName name="月固定费用" localSheetId="20">#REF!</definedName>
    <definedName name="月固定费用" localSheetId="22">#REF!</definedName>
    <definedName name="月固定费用" localSheetId="24">#REF!</definedName>
    <definedName name="月固定费用" localSheetId="21">#REF!</definedName>
    <definedName name="月固定费用" localSheetId="13">#REF!</definedName>
    <definedName name="月固定费用" localSheetId="17">#REF!</definedName>
    <definedName name="月固定费用" localSheetId="14">#REF!</definedName>
    <definedName name="月固定费用" localSheetId="16">#REF!</definedName>
    <definedName name="月固定费用" localSheetId="15">#REF!</definedName>
    <definedName name="月固定费用" localSheetId="18">#REF!</definedName>
    <definedName name="月固定费用" localSheetId="12">#REF!</definedName>
    <definedName name="月固定费用" localSheetId="26">#REF!</definedName>
    <definedName name="月固定费用" localSheetId="25">#REF!</definedName>
    <definedName name="月固定费用" localSheetId="30">#REF!</definedName>
    <definedName name="月固定费用" localSheetId="27">#REF!</definedName>
    <definedName name="月固定费用" localSheetId="28">#REF!</definedName>
    <definedName name="月固定费用" localSheetId="31">#REF!</definedName>
    <definedName name="月固定费用" localSheetId="29">#REF!</definedName>
    <definedName name="月固定费用" localSheetId="11">#REF!</definedName>
    <definedName name="月固定费用" localSheetId="40">#REF!</definedName>
    <definedName name="月固定费用">#REF!</definedName>
    <definedName name="机动车辆合计motor_vehicle_New2" localSheetId="19">[82]Assumption!$C$36</definedName>
    <definedName name="机动车辆合计motor_vehicle_New2" localSheetId="23">[82]Assumption!$C$36</definedName>
    <definedName name="机动车辆合计motor_vehicle_New2" localSheetId="20">[82]Assumption!$C$36</definedName>
    <definedName name="机动车辆合计motor_vehicle_New2" localSheetId="22">[82]Assumption!$C$36</definedName>
    <definedName name="机动车辆合计motor_vehicle_New2" localSheetId="24">[82]Assumption!$C$36</definedName>
    <definedName name="机动车辆合计motor_vehicle_New2" localSheetId="21">[82]Assumption!$C$36</definedName>
    <definedName name="机动车辆合计motor_vehicle_New2" localSheetId="13">[82]Assumption!$C$36</definedName>
    <definedName name="机动车辆合计motor_vehicle_New2" localSheetId="17">[82]Assumption!$C$36</definedName>
    <definedName name="机动车辆合计motor_vehicle_New2" localSheetId="14">[82]Assumption!$C$36</definedName>
    <definedName name="机动车辆合计motor_vehicle_New2" localSheetId="16">[82]Assumption!$C$36</definedName>
    <definedName name="机动车辆合计motor_vehicle_New2" localSheetId="15">[82]Assumption!$C$36</definedName>
    <definedName name="机动车辆合计motor_vehicle_New2" localSheetId="18">[82]Assumption!$C$36</definedName>
    <definedName name="机动车辆合计motor_vehicle_New2" localSheetId="12">[82]Assumption!$C$36</definedName>
    <definedName name="机动车辆合计motor_vehicle_New2" localSheetId="26">[82]Assumption!$C$36</definedName>
    <definedName name="机动车辆合计motor_vehicle_New2" localSheetId="25">[82]Assumption!$C$36</definedName>
    <definedName name="机动车辆合计motor_vehicle_New2" localSheetId="30">[82]Assumption!$C$36</definedName>
    <definedName name="机动车辆合计motor_vehicle_New2" localSheetId="27">[82]Assumption!$C$36</definedName>
    <definedName name="机动车辆合计motor_vehicle_New2" localSheetId="28">[82]Assumption!$C$36</definedName>
    <definedName name="机动车辆合计motor_vehicle_New2" localSheetId="31">[82]Assumption!$C$36</definedName>
    <definedName name="机动车辆合计motor_vehicle_New2" localSheetId="29">[82]Assumption!$C$36</definedName>
    <definedName name="机动车辆合计motor_vehicle_New2" localSheetId="11">[82]Assumption!$C$36</definedName>
    <definedName name="机动车辆合计motor_vehicle_New2" localSheetId="40">[83]Assumption!$C$36</definedName>
    <definedName name="机动车辆合计motor_vehicle_New2">[83]Assumption!$C$36</definedName>
    <definedName name="机械设备mechanical_equipment_New2" localSheetId="19">[82]Assumption!$C$40</definedName>
    <definedName name="机械设备mechanical_equipment_New2" localSheetId="23">[82]Assumption!$C$40</definedName>
    <definedName name="机械设备mechanical_equipment_New2" localSheetId="20">[82]Assumption!$C$40</definedName>
    <definedName name="机械设备mechanical_equipment_New2" localSheetId="22">[82]Assumption!$C$40</definedName>
    <definedName name="机械设备mechanical_equipment_New2" localSheetId="24">[82]Assumption!$C$40</definedName>
    <definedName name="机械设备mechanical_equipment_New2" localSheetId="21">[82]Assumption!$C$40</definedName>
    <definedName name="机械设备mechanical_equipment_New2" localSheetId="13">[82]Assumption!$C$40</definedName>
    <definedName name="机械设备mechanical_equipment_New2" localSheetId="17">[82]Assumption!$C$40</definedName>
    <definedName name="机械设备mechanical_equipment_New2" localSheetId="14">[82]Assumption!$C$40</definedName>
    <definedName name="机械设备mechanical_equipment_New2" localSheetId="16">[82]Assumption!$C$40</definedName>
    <definedName name="机械设备mechanical_equipment_New2" localSheetId="15">[82]Assumption!$C$40</definedName>
    <definedName name="机械设备mechanical_equipment_New2" localSheetId="18">[82]Assumption!$C$40</definedName>
    <definedName name="机械设备mechanical_equipment_New2" localSheetId="12">[82]Assumption!$C$40</definedName>
    <definedName name="机械设备mechanical_equipment_New2" localSheetId="26">[82]Assumption!$C$40</definedName>
    <definedName name="机械设备mechanical_equipment_New2" localSheetId="25">[82]Assumption!$C$40</definedName>
    <definedName name="机械设备mechanical_equipment_New2" localSheetId="30">[82]Assumption!$C$40</definedName>
    <definedName name="机械设备mechanical_equipment_New2" localSheetId="27">[82]Assumption!$C$40</definedName>
    <definedName name="机械设备mechanical_equipment_New2" localSheetId="28">[82]Assumption!$C$40</definedName>
    <definedName name="机械设备mechanical_equipment_New2" localSheetId="31">[82]Assumption!$C$40</definedName>
    <definedName name="机械设备mechanical_equipment_New2" localSheetId="29">[82]Assumption!$C$40</definedName>
    <definedName name="机械设备mechanical_equipment_New2" localSheetId="11">[82]Assumption!$C$40</definedName>
    <definedName name="机械设备mechanical_equipment_New2" localSheetId="40">[83]Assumption!$C$40</definedName>
    <definedName name="机械设备mechanical_equipment_New2">[83]Assumption!$C$40</definedName>
    <definedName name="残值率" localSheetId="19">#REF!</definedName>
    <definedName name="残值率" localSheetId="23">#REF!</definedName>
    <definedName name="残值率" localSheetId="20">#REF!</definedName>
    <definedName name="残值率" localSheetId="22">#REF!</definedName>
    <definedName name="残值率" localSheetId="24">#REF!</definedName>
    <definedName name="残值率" localSheetId="21">#REF!</definedName>
    <definedName name="残值率" localSheetId="13">#REF!</definedName>
    <definedName name="残值率" localSheetId="17">#REF!</definedName>
    <definedName name="残值率" localSheetId="14">#REF!</definedName>
    <definedName name="残值率" localSheetId="16">#REF!</definedName>
    <definedName name="残值率" localSheetId="15">#REF!</definedName>
    <definedName name="残值率" localSheetId="18">#REF!</definedName>
    <definedName name="残值率" localSheetId="12">#REF!</definedName>
    <definedName name="残值率" localSheetId="26">#REF!</definedName>
    <definedName name="残值率" localSheetId="25">#REF!</definedName>
    <definedName name="残值率" localSheetId="30">#REF!</definedName>
    <definedName name="残值率" localSheetId="27">#REF!</definedName>
    <definedName name="残值率" localSheetId="28">#REF!</definedName>
    <definedName name="残值率" localSheetId="31">#REF!</definedName>
    <definedName name="残值率" localSheetId="29">#REF!</definedName>
    <definedName name="残值率" localSheetId="11">#REF!</definedName>
    <definedName name="残值率" localSheetId="40">#REF!</definedName>
    <definedName name="残值率">#REF!</definedName>
    <definedName name="每月每人误餐" localSheetId="19">'[62]Assumption(Manpower)'!#REF!</definedName>
    <definedName name="每月每人误餐" localSheetId="23">'[62]Assumption(Manpower)'!#REF!</definedName>
    <definedName name="每月每人误餐" localSheetId="20">'[62]Assumption(Manpower)'!#REF!</definedName>
    <definedName name="每月每人误餐" localSheetId="22">'[62]Assumption(Manpower)'!#REF!</definedName>
    <definedName name="每月每人误餐" localSheetId="24">'[62]Assumption(Manpower)'!#REF!</definedName>
    <definedName name="每月每人误餐" localSheetId="21">'[62]Assumption(Manpower)'!#REF!</definedName>
    <definedName name="每月每人误餐" localSheetId="13">'[62]Assumption(Manpower)'!#REF!</definedName>
    <definedName name="每月每人误餐" localSheetId="17">'[62]Assumption(Manpower)'!#REF!</definedName>
    <definedName name="每月每人误餐" localSheetId="14">'[62]Assumption(Manpower)'!#REF!</definedName>
    <definedName name="每月每人误餐" localSheetId="16">'[62]Assumption(Manpower)'!#REF!</definedName>
    <definedName name="每月每人误餐" localSheetId="15">'[62]Assumption(Manpower)'!#REF!</definedName>
    <definedName name="每月每人误餐" localSheetId="18">'[62]Assumption(Manpower)'!#REF!</definedName>
    <definedName name="每月每人误餐" localSheetId="12">'[62]Assumption(Manpower)'!#REF!</definedName>
    <definedName name="每月每人误餐" localSheetId="26">'[62]Assumption(Manpower)'!#REF!</definedName>
    <definedName name="每月每人误餐" localSheetId="25">'[62]Assumption(Manpower)'!#REF!</definedName>
    <definedName name="每月每人误餐" localSheetId="30">'[62]Assumption(Manpower)'!#REF!</definedName>
    <definedName name="每月每人误餐" localSheetId="27">'[62]Assumption(Manpower)'!#REF!</definedName>
    <definedName name="每月每人误餐" localSheetId="28">'[62]Assumption(Manpower)'!#REF!</definedName>
    <definedName name="每月每人误餐" localSheetId="31">'[62]Assumption(Manpower)'!#REF!</definedName>
    <definedName name="每月每人误餐" localSheetId="29">'[62]Assumption(Manpower)'!#REF!</definedName>
    <definedName name="每月每人误餐" localSheetId="11">'[62]Assumption(Manpower)'!#REF!</definedName>
    <definedName name="每月每人误餐" localSheetId="40">'[63]Assumption(Manpower)'!#REF!</definedName>
    <definedName name="每月每人误餐">'[63]Assumption(Manpower)'!#REF!</definedName>
    <definedName name="水利工程费" localSheetId="19">'[75]Key assumption'!$E$20</definedName>
    <definedName name="水利工程费" localSheetId="23">'[75]Key assumption'!$E$20</definedName>
    <definedName name="水利工程费" localSheetId="20">'[75]Key assumption'!$E$20</definedName>
    <definedName name="水利工程费" localSheetId="22">'[75]Key assumption'!$E$20</definedName>
    <definedName name="水利工程费" localSheetId="24">'[75]Key assumption'!$E$20</definedName>
    <definedName name="水利工程费" localSheetId="21">'[75]Key assumption'!$E$20</definedName>
    <definedName name="水利工程费" localSheetId="13">'[75]Key assumption'!$E$20</definedName>
    <definedName name="水利工程费" localSheetId="17">'[75]Key assumption'!$E$20</definedName>
    <definedName name="水利工程费" localSheetId="14">'[75]Key assumption'!$E$20</definedName>
    <definedName name="水利工程费" localSheetId="16">'[75]Key assumption'!$E$20</definedName>
    <definedName name="水利工程费" localSheetId="15">'[75]Key assumption'!$E$20</definedName>
    <definedName name="水利工程费" localSheetId="18">'[75]Key assumption'!$E$20</definedName>
    <definedName name="水利工程费" localSheetId="12">'[75]Key assumption'!$E$20</definedName>
    <definedName name="水利工程费" localSheetId="26">'[75]Key assumption'!$E$20</definedName>
    <definedName name="水利工程费" localSheetId="25">'[75]Key assumption'!$E$20</definedName>
    <definedName name="水利工程费" localSheetId="30">'[75]Key assumption'!$E$20</definedName>
    <definedName name="水利工程费" localSheetId="27">'[75]Key assumption'!$E$20</definedName>
    <definedName name="水利工程费" localSheetId="28">'[75]Key assumption'!$E$20</definedName>
    <definedName name="水利工程费" localSheetId="31">'[75]Key assumption'!$E$20</definedName>
    <definedName name="水利工程费" localSheetId="29">'[75]Key assumption'!$E$20</definedName>
    <definedName name="水利工程费" localSheetId="11">'[75]Key assumption'!$E$20</definedName>
    <definedName name="水利工程费" localSheetId="40">'[76]Key assumption'!$E$20</definedName>
    <definedName name="水利工程费">'[76]Key assumption'!$E$20</definedName>
    <definedName name="水资源费" localSheetId="19">'[75]Key assumption'!$E$17</definedName>
    <definedName name="水资源费" localSheetId="23">'[75]Key assumption'!$E$17</definedName>
    <definedName name="水资源费" localSheetId="20">'[75]Key assumption'!$E$17</definedName>
    <definedName name="水资源费" localSheetId="22">'[75]Key assumption'!$E$17</definedName>
    <definedName name="水资源费" localSheetId="24">'[75]Key assumption'!$E$17</definedName>
    <definedName name="水资源费" localSheetId="21">'[75]Key assumption'!$E$17</definedName>
    <definedName name="水资源费" localSheetId="13">'[75]Key assumption'!$E$17</definedName>
    <definedName name="水资源费" localSheetId="17">'[75]Key assumption'!$E$17</definedName>
    <definedName name="水资源费" localSheetId="14">'[75]Key assumption'!$E$17</definedName>
    <definedName name="水资源费" localSheetId="16">'[75]Key assumption'!$E$17</definedName>
    <definedName name="水资源费" localSheetId="15">'[75]Key assumption'!$E$17</definedName>
    <definedName name="水资源费" localSheetId="18">'[75]Key assumption'!$E$17</definedName>
    <definedName name="水资源费" localSheetId="12">'[75]Key assumption'!$E$17</definedName>
    <definedName name="水资源费" localSheetId="26">'[75]Key assumption'!$E$17</definedName>
    <definedName name="水资源费" localSheetId="25">'[75]Key assumption'!$E$17</definedName>
    <definedName name="水资源费" localSheetId="30">'[75]Key assumption'!$E$17</definedName>
    <definedName name="水资源费" localSheetId="27">'[75]Key assumption'!$E$17</definedName>
    <definedName name="水资源费" localSheetId="28">'[75]Key assumption'!$E$17</definedName>
    <definedName name="水资源费" localSheetId="31">'[75]Key assumption'!$E$17</definedName>
    <definedName name="水资源费" localSheetId="29">'[75]Key assumption'!$E$17</definedName>
    <definedName name="水资源费" localSheetId="11">'[75]Key assumption'!$E$17</definedName>
    <definedName name="水资源费" localSheetId="40">'[76]Key assumption'!$E$17</definedName>
    <definedName name="水资源费">'[76]Key assumption'!$E$17</definedName>
    <definedName name="洗衣补贴" localSheetId="19">'[62]Assumption(Manpower)'!#REF!</definedName>
    <definedName name="洗衣补贴" localSheetId="23">'[62]Assumption(Manpower)'!#REF!</definedName>
    <definedName name="洗衣补贴" localSheetId="20">'[62]Assumption(Manpower)'!#REF!</definedName>
    <definedName name="洗衣补贴" localSheetId="22">'[62]Assumption(Manpower)'!#REF!</definedName>
    <definedName name="洗衣补贴" localSheetId="24">'[62]Assumption(Manpower)'!#REF!</definedName>
    <definedName name="洗衣补贴" localSheetId="21">'[62]Assumption(Manpower)'!#REF!</definedName>
    <definedName name="洗衣补贴" localSheetId="13">'[62]Assumption(Manpower)'!#REF!</definedName>
    <definedName name="洗衣补贴" localSheetId="17">'[62]Assumption(Manpower)'!#REF!</definedName>
    <definedName name="洗衣补贴" localSheetId="14">'[62]Assumption(Manpower)'!#REF!</definedName>
    <definedName name="洗衣补贴" localSheetId="16">'[62]Assumption(Manpower)'!#REF!</definedName>
    <definedName name="洗衣补贴" localSheetId="15">'[62]Assumption(Manpower)'!#REF!</definedName>
    <definedName name="洗衣补贴" localSheetId="18">'[62]Assumption(Manpower)'!#REF!</definedName>
    <definedName name="洗衣补贴" localSheetId="12">'[62]Assumption(Manpower)'!#REF!</definedName>
    <definedName name="洗衣补贴" localSheetId="26">'[62]Assumption(Manpower)'!#REF!</definedName>
    <definedName name="洗衣补贴" localSheetId="25">'[62]Assumption(Manpower)'!#REF!</definedName>
    <definedName name="洗衣补贴" localSheetId="30">'[62]Assumption(Manpower)'!#REF!</definedName>
    <definedName name="洗衣补贴" localSheetId="27">'[62]Assumption(Manpower)'!#REF!</definedName>
    <definedName name="洗衣补贴" localSheetId="28">'[62]Assumption(Manpower)'!#REF!</definedName>
    <definedName name="洗衣补贴" localSheetId="31">'[62]Assumption(Manpower)'!#REF!</definedName>
    <definedName name="洗衣补贴" localSheetId="29">'[62]Assumption(Manpower)'!#REF!</definedName>
    <definedName name="洗衣补贴" localSheetId="11">'[62]Assumption(Manpower)'!#REF!</definedName>
    <definedName name="洗衣补贴" localSheetId="40">'[63]Assumption(Manpower)'!#REF!</definedName>
    <definedName name="洗衣补贴">'[63]Assumption(Manpower)'!#REF!</definedName>
    <definedName name="火电电价">[32]Assum!$Q$318</definedName>
    <definedName name="电力" localSheetId="19">'[75]Key assumption'!$E$13</definedName>
    <definedName name="电力" localSheetId="23">'[75]Key assumption'!$E$13</definedName>
    <definedName name="电力" localSheetId="20">'[75]Key assumption'!$E$13</definedName>
    <definedName name="电力" localSheetId="22">'[75]Key assumption'!$E$13</definedName>
    <definedName name="电力" localSheetId="24">'[75]Key assumption'!$E$13</definedName>
    <definedName name="电力" localSheetId="21">'[75]Key assumption'!$E$13</definedName>
    <definedName name="电力" localSheetId="13">'[75]Key assumption'!$E$13</definedName>
    <definedName name="电力" localSheetId="17">'[75]Key assumption'!$E$13</definedName>
    <definedName name="电力" localSheetId="14">'[75]Key assumption'!$E$13</definedName>
    <definedName name="电力" localSheetId="16">'[75]Key assumption'!$E$13</definedName>
    <definedName name="电力" localSheetId="15">'[75]Key assumption'!$E$13</definedName>
    <definedName name="电力" localSheetId="18">'[75]Key assumption'!$E$13</definedName>
    <definedName name="电力" localSheetId="12">'[75]Key assumption'!$E$13</definedName>
    <definedName name="电力" localSheetId="26">'[75]Key assumption'!$E$13</definedName>
    <definedName name="电力" localSheetId="25">'[75]Key assumption'!$E$13</definedName>
    <definedName name="电力" localSheetId="30">'[75]Key assumption'!$E$13</definedName>
    <definedName name="电力" localSheetId="27">'[75]Key assumption'!$E$13</definedName>
    <definedName name="电力" localSheetId="28">'[75]Key assumption'!$E$13</definedName>
    <definedName name="电力" localSheetId="31">'[75]Key assumption'!$E$13</definedName>
    <definedName name="电力" localSheetId="29">'[75]Key assumption'!$E$13</definedName>
    <definedName name="电力" localSheetId="11">'[75]Key assumption'!$E$13</definedName>
    <definedName name="电力" localSheetId="40">'[76]Key assumption'!$E$13</definedName>
    <definedName name="电力">'[76]Key assumption'!$E$13</definedName>
    <definedName name="电力1" localSheetId="19">'[58]Key assumption'!$E$13</definedName>
    <definedName name="电力1" localSheetId="23">'[58]Key assumption'!$E$13</definedName>
    <definedName name="电力1" localSheetId="20">'[58]Key assumption'!$E$13</definedName>
    <definedName name="电力1" localSheetId="22">'[58]Key assumption'!$E$13</definedName>
    <definedName name="电力1" localSheetId="24">'[58]Key assumption'!$E$13</definedName>
    <definedName name="电力1" localSheetId="21">'[58]Key assumption'!$E$13</definedName>
    <definedName name="电力1" localSheetId="13">'[58]Key assumption'!$E$13</definedName>
    <definedName name="电力1" localSheetId="17">'[58]Key assumption'!$E$13</definedName>
    <definedName name="电力1" localSheetId="14">'[58]Key assumption'!$E$13</definedName>
    <definedName name="电力1" localSheetId="16">'[58]Key assumption'!$E$13</definedName>
    <definedName name="电力1" localSheetId="15">'[58]Key assumption'!$E$13</definedName>
    <definedName name="电力1" localSheetId="18">'[58]Key assumption'!$E$13</definedName>
    <definedName name="电力1" localSheetId="12">'[58]Key assumption'!$E$13</definedName>
    <definedName name="电力1" localSheetId="26">'[58]Key assumption'!$E$13</definedName>
    <definedName name="电力1" localSheetId="25">'[58]Key assumption'!$E$13</definedName>
    <definedName name="电力1" localSheetId="30">'[58]Key assumption'!$E$13</definedName>
    <definedName name="电力1" localSheetId="27">'[58]Key assumption'!$E$13</definedName>
    <definedName name="电力1" localSheetId="28">'[58]Key assumption'!$E$13</definedName>
    <definedName name="电力1" localSheetId="31">'[58]Key assumption'!$E$13</definedName>
    <definedName name="电力1" localSheetId="29">'[58]Key assumption'!$E$13</definedName>
    <definedName name="电力1" localSheetId="11">'[58]Key assumption'!$E$13</definedName>
    <definedName name="电力1" localSheetId="40">'[59]Key assumption'!$E$13</definedName>
    <definedName name="电力1">'[59]Key assumption'!$E$13</definedName>
    <definedName name="电子设备" localSheetId="19">#REF!</definedName>
    <definedName name="电子设备" localSheetId="23">#REF!</definedName>
    <definedName name="电子设备" localSheetId="20">#REF!</definedName>
    <definedName name="电子设备" localSheetId="22">#REF!</definedName>
    <definedName name="电子设备" localSheetId="24">#REF!</definedName>
    <definedName name="电子设备" localSheetId="21">#REF!</definedName>
    <definedName name="电子设备" localSheetId="13">#REF!</definedName>
    <definedName name="电子设备" localSheetId="17">#REF!</definedName>
    <definedName name="电子设备" localSheetId="14">#REF!</definedName>
    <definedName name="电子设备" localSheetId="16">#REF!</definedName>
    <definedName name="电子设备" localSheetId="15">#REF!</definedName>
    <definedName name="电子设备" localSheetId="18">#REF!</definedName>
    <definedName name="电子设备" localSheetId="12">#REF!</definedName>
    <definedName name="电子设备" localSheetId="26">#REF!</definedName>
    <definedName name="电子设备" localSheetId="25">#REF!</definedName>
    <definedName name="电子设备" localSheetId="30">#REF!</definedName>
    <definedName name="电子设备" localSheetId="27">#REF!</definedName>
    <definedName name="电子设备" localSheetId="28">#REF!</definedName>
    <definedName name="电子设备" localSheetId="31">#REF!</definedName>
    <definedName name="电子设备" localSheetId="29">#REF!</definedName>
    <definedName name="电子设备" localSheetId="11">#REF!</definedName>
    <definedName name="电子设备" localSheetId="40">#REF!</definedName>
    <definedName name="电子设备">#REF!</definedName>
    <definedName name="电子设备electrical_equipment_New2" localSheetId="19">[86]Assumption!$C$41</definedName>
    <definedName name="电子设备electrical_equipment_New2" localSheetId="23">[86]Assumption!$C$41</definedName>
    <definedName name="电子设备electrical_equipment_New2" localSheetId="20">[86]Assumption!$C$41</definedName>
    <definedName name="电子设备electrical_equipment_New2" localSheetId="22">[86]Assumption!$C$41</definedName>
    <definedName name="电子设备electrical_equipment_New2" localSheetId="24">[86]Assumption!$C$41</definedName>
    <definedName name="电子设备electrical_equipment_New2" localSheetId="21">[86]Assumption!$C$41</definedName>
    <definedName name="电子设备electrical_equipment_New2" localSheetId="13">[86]Assumption!$C$41</definedName>
    <definedName name="电子设备electrical_equipment_New2" localSheetId="17">[86]Assumption!$C$41</definedName>
    <definedName name="电子设备electrical_equipment_New2" localSheetId="14">[86]Assumption!$C$41</definedName>
    <definedName name="电子设备electrical_equipment_New2" localSheetId="16">[86]Assumption!$C$41</definedName>
    <definedName name="电子设备electrical_equipment_New2" localSheetId="15">[86]Assumption!$C$41</definedName>
    <definedName name="电子设备electrical_equipment_New2" localSheetId="18">[86]Assumption!$C$41</definedName>
    <definedName name="电子设备electrical_equipment_New2" localSheetId="12">[86]Assumption!$C$41</definedName>
    <definedName name="电子设备electrical_equipment_New2" localSheetId="26">[86]Assumption!$C$41</definedName>
    <definedName name="电子设备electrical_equipment_New2" localSheetId="25">[86]Assumption!$C$41</definedName>
    <definedName name="电子设备electrical_equipment_New2" localSheetId="30">[86]Assumption!$C$41</definedName>
    <definedName name="电子设备electrical_equipment_New2" localSheetId="27">[86]Assumption!$C$41</definedName>
    <definedName name="电子设备electrical_equipment_New2" localSheetId="28">[86]Assumption!$C$41</definedName>
    <definedName name="电子设备electrical_equipment_New2" localSheetId="31">[86]Assumption!$C$41</definedName>
    <definedName name="电子设备electrical_equipment_New2" localSheetId="29">[86]Assumption!$C$41</definedName>
    <definedName name="电子设备electrical_equipment_New2" localSheetId="11">[86]Assumption!$C$41</definedName>
    <definedName name="电子设备electrical_equipment_New2" localSheetId="40">[87]Assumption!$C$41</definedName>
    <definedName name="电子设备electrical_equipment_New2">[87]Assumption!$C$41</definedName>
    <definedName name="电脑设备小计computer_New2" localSheetId="19">[82]Assumption!$C$34</definedName>
    <definedName name="电脑设备小计computer_New2" localSheetId="23">[82]Assumption!$C$34</definedName>
    <definedName name="电脑设备小计computer_New2" localSheetId="20">[82]Assumption!$C$34</definedName>
    <definedName name="电脑设备小计computer_New2" localSheetId="22">[82]Assumption!$C$34</definedName>
    <definedName name="电脑设备小计computer_New2" localSheetId="24">[82]Assumption!$C$34</definedName>
    <definedName name="电脑设备小计computer_New2" localSheetId="21">[82]Assumption!$C$34</definedName>
    <definedName name="电脑设备小计computer_New2" localSheetId="13">[82]Assumption!$C$34</definedName>
    <definedName name="电脑设备小计computer_New2" localSheetId="17">[82]Assumption!$C$34</definedName>
    <definedName name="电脑设备小计computer_New2" localSheetId="14">[82]Assumption!$C$34</definedName>
    <definedName name="电脑设备小计computer_New2" localSheetId="16">[82]Assumption!$C$34</definedName>
    <definedName name="电脑设备小计computer_New2" localSheetId="15">[82]Assumption!$C$34</definedName>
    <definedName name="电脑设备小计computer_New2" localSheetId="18">[82]Assumption!$C$34</definedName>
    <definedName name="电脑设备小计computer_New2" localSheetId="12">[82]Assumption!$C$34</definedName>
    <definedName name="电脑设备小计computer_New2" localSheetId="26">[82]Assumption!$C$34</definedName>
    <definedName name="电脑设备小计computer_New2" localSheetId="25">[82]Assumption!$C$34</definedName>
    <definedName name="电脑设备小计computer_New2" localSheetId="30">[82]Assumption!$C$34</definedName>
    <definedName name="电脑设备小计computer_New2" localSheetId="27">[82]Assumption!$C$34</definedName>
    <definedName name="电脑设备小计computer_New2" localSheetId="28">[82]Assumption!$C$34</definedName>
    <definedName name="电脑设备小计computer_New2" localSheetId="31">[82]Assumption!$C$34</definedName>
    <definedName name="电脑设备小计computer_New2" localSheetId="29">[82]Assumption!$C$34</definedName>
    <definedName name="电脑设备小计computer_New2" localSheetId="11">[82]Assumption!$C$34</definedName>
    <definedName name="电脑设备小计computer_New2" localSheetId="40">[83]Assumption!$C$34</definedName>
    <definedName name="电脑设备小计computer_New2">[83]Assumption!$C$34</definedName>
    <definedName name="省专项" localSheetId="19">'[75]Key assumption'!$E$19</definedName>
    <definedName name="省专项" localSheetId="23">'[75]Key assumption'!$E$19</definedName>
    <definedName name="省专项" localSheetId="20">'[75]Key assumption'!$E$19</definedName>
    <definedName name="省专项" localSheetId="22">'[75]Key assumption'!$E$19</definedName>
    <definedName name="省专项" localSheetId="24">'[75]Key assumption'!$E$19</definedName>
    <definedName name="省专项" localSheetId="21">'[75]Key assumption'!$E$19</definedName>
    <definedName name="省专项" localSheetId="13">'[75]Key assumption'!$E$19</definedName>
    <definedName name="省专项" localSheetId="17">'[75]Key assumption'!$E$19</definedName>
    <definedName name="省专项" localSheetId="14">'[75]Key assumption'!$E$19</definedName>
    <definedName name="省专项" localSheetId="16">'[75]Key assumption'!$E$19</definedName>
    <definedName name="省专项" localSheetId="15">'[75]Key assumption'!$E$19</definedName>
    <definedName name="省专项" localSheetId="18">'[75]Key assumption'!$E$19</definedName>
    <definedName name="省专项" localSheetId="12">'[75]Key assumption'!$E$19</definedName>
    <definedName name="省专项" localSheetId="26">'[75]Key assumption'!$E$19</definedName>
    <definedName name="省专项" localSheetId="25">'[75]Key assumption'!$E$19</definedName>
    <definedName name="省专项" localSheetId="30">'[75]Key assumption'!$E$19</definedName>
    <definedName name="省专项" localSheetId="27">'[75]Key assumption'!$E$19</definedName>
    <definedName name="省专项" localSheetId="28">'[75]Key assumption'!$E$19</definedName>
    <definedName name="省专项" localSheetId="31">'[75]Key assumption'!$E$19</definedName>
    <definedName name="省专项" localSheetId="29">'[75]Key assumption'!$E$19</definedName>
    <definedName name="省专项" localSheetId="11">'[75]Key assumption'!$E$19</definedName>
    <definedName name="省专项" localSheetId="40">'[76]Key assumption'!$E$19</definedName>
    <definedName name="省专项">'[76]Key assumption'!$E$19</definedName>
    <definedName name="科目余额表" localSheetId="19">#REF!</definedName>
    <definedName name="科目余额表" localSheetId="23">#REF!</definedName>
    <definedName name="科目余额表" localSheetId="20">#REF!</definedName>
    <definedName name="科目余额表" localSheetId="22">#REF!</definedName>
    <definedName name="科目余额表" localSheetId="24">#REF!</definedName>
    <definedName name="科目余额表" localSheetId="21">#REF!</definedName>
    <definedName name="科目余额表" localSheetId="13">#REF!</definedName>
    <definedName name="科目余额表" localSheetId="17">#REF!</definedName>
    <definedName name="科目余额表" localSheetId="14">#REF!</definedName>
    <definedName name="科目余额表" localSheetId="16">#REF!</definedName>
    <definedName name="科目余额表" localSheetId="15">#REF!</definedName>
    <definedName name="科目余额表" localSheetId="18">#REF!</definedName>
    <definedName name="科目余额表" localSheetId="12">#REF!</definedName>
    <definedName name="科目余额表" localSheetId="26">#REF!</definedName>
    <definedName name="科目余额表" localSheetId="25">#REF!</definedName>
    <definedName name="科目余额表" localSheetId="30">#REF!</definedName>
    <definedName name="科目余额表" localSheetId="27">#REF!</definedName>
    <definedName name="科目余额表" localSheetId="28">#REF!</definedName>
    <definedName name="科目余额表" localSheetId="31">#REF!</definedName>
    <definedName name="科目余额表" localSheetId="29">#REF!</definedName>
    <definedName name="科目余额表" localSheetId="11">#REF!</definedName>
    <definedName name="科目余额表" localSheetId="40">#REF!</definedName>
    <definedName name="科目余额表">#REF!</definedName>
    <definedName name="管理工资" localSheetId="19">'[75]water orgnization'!$E$24</definedName>
    <definedName name="管理工资" localSheetId="23">'[75]water orgnization'!$E$24</definedName>
    <definedName name="管理工资" localSheetId="20">'[75]water orgnization'!$E$24</definedName>
    <definedName name="管理工资" localSheetId="22">'[75]water orgnization'!$E$24</definedName>
    <definedName name="管理工资" localSheetId="24">'[75]water orgnization'!$E$24</definedName>
    <definedName name="管理工资" localSheetId="21">'[75]water orgnization'!$E$24</definedName>
    <definedName name="管理工资" localSheetId="13">'[75]water orgnization'!$E$24</definedName>
    <definedName name="管理工资" localSheetId="17">'[75]water orgnization'!$E$24</definedName>
    <definedName name="管理工资" localSheetId="14">'[75]water orgnization'!$E$24</definedName>
    <definedName name="管理工资" localSheetId="16">'[75]water orgnization'!$E$24</definedName>
    <definedName name="管理工资" localSheetId="15">'[75]water orgnization'!$E$24</definedName>
    <definedName name="管理工资" localSheetId="18">'[75]water orgnization'!$E$24</definedName>
    <definedName name="管理工资" localSheetId="12">'[75]water orgnization'!$E$24</definedName>
    <definedName name="管理工资" localSheetId="26">'[75]water orgnization'!$E$24</definedName>
    <definedName name="管理工资" localSheetId="25">'[75]water orgnization'!$E$24</definedName>
    <definedName name="管理工资" localSheetId="30">'[75]water orgnization'!$E$24</definedName>
    <definedName name="管理工资" localSheetId="27">'[75]water orgnization'!$E$24</definedName>
    <definedName name="管理工资" localSheetId="28">'[75]water orgnization'!$E$24</definedName>
    <definedName name="管理工资" localSheetId="31">'[75]water orgnization'!$E$24</definedName>
    <definedName name="管理工资" localSheetId="29">'[75]water orgnization'!$E$24</definedName>
    <definedName name="管理工资" localSheetId="11">'[75]water orgnization'!$E$24</definedName>
    <definedName name="管理工资" localSheetId="40">'[76]water orgnization'!$E$24</definedName>
    <definedName name="管理工资">'[76]water orgnization'!$E$24</definedName>
    <definedName name="管线pipeline_New2" localSheetId="19">[86]Assumption!$C$42</definedName>
    <definedName name="管线pipeline_New2" localSheetId="23">[86]Assumption!$C$42</definedName>
    <definedName name="管线pipeline_New2" localSheetId="20">[86]Assumption!$C$42</definedName>
    <definedName name="管线pipeline_New2" localSheetId="22">[86]Assumption!$C$42</definedName>
    <definedName name="管线pipeline_New2" localSheetId="24">[86]Assumption!$C$42</definedName>
    <definedName name="管线pipeline_New2" localSheetId="21">[86]Assumption!$C$42</definedName>
    <definedName name="管线pipeline_New2" localSheetId="13">[86]Assumption!$C$42</definedName>
    <definedName name="管线pipeline_New2" localSheetId="17">[86]Assumption!$C$42</definedName>
    <definedName name="管线pipeline_New2" localSheetId="14">[86]Assumption!$C$42</definedName>
    <definedName name="管线pipeline_New2" localSheetId="16">[86]Assumption!$C$42</definedName>
    <definedName name="管线pipeline_New2" localSheetId="15">[86]Assumption!$C$42</definedName>
    <definedName name="管线pipeline_New2" localSheetId="18">[86]Assumption!$C$42</definedName>
    <definedName name="管线pipeline_New2" localSheetId="12">[86]Assumption!$C$42</definedName>
    <definedName name="管线pipeline_New2" localSheetId="26">[86]Assumption!$C$42</definedName>
    <definedName name="管线pipeline_New2" localSheetId="25">[86]Assumption!$C$42</definedName>
    <definedName name="管线pipeline_New2" localSheetId="30">[86]Assumption!$C$42</definedName>
    <definedName name="管线pipeline_New2" localSheetId="27">[86]Assumption!$C$42</definedName>
    <definedName name="管线pipeline_New2" localSheetId="28">[86]Assumption!$C$42</definedName>
    <definedName name="管线pipeline_New2" localSheetId="31">[86]Assumption!$C$42</definedName>
    <definedName name="管线pipeline_New2" localSheetId="29">[86]Assumption!$C$42</definedName>
    <definedName name="管线pipeline_New2" localSheetId="11">[86]Assumption!$C$42</definedName>
    <definedName name="管线pipeline_New2" localSheetId="40">[87]Assumption!$C$42</definedName>
    <definedName name="管线pipeline_New2">[87]Assumption!$C$42</definedName>
    <definedName name="管输费" localSheetId="19">'[75]Key assumption'!$E$21</definedName>
    <definedName name="管输费" localSheetId="23">'[75]Key assumption'!$E$21</definedName>
    <definedName name="管输费" localSheetId="20">'[75]Key assumption'!$E$21</definedName>
    <definedName name="管输费" localSheetId="22">'[75]Key assumption'!$E$21</definedName>
    <definedName name="管输费" localSheetId="24">'[75]Key assumption'!$E$21</definedName>
    <definedName name="管输费" localSheetId="21">'[75]Key assumption'!$E$21</definedName>
    <definedName name="管输费" localSheetId="13">'[75]Key assumption'!$E$21</definedName>
    <definedName name="管输费" localSheetId="17">'[75]Key assumption'!$E$21</definedName>
    <definedName name="管输费" localSheetId="14">'[75]Key assumption'!$E$21</definedName>
    <definedName name="管输费" localSheetId="16">'[75]Key assumption'!$E$21</definedName>
    <definedName name="管输费" localSheetId="15">'[75]Key assumption'!$E$21</definedName>
    <definedName name="管输费" localSheetId="18">'[75]Key assumption'!$E$21</definedName>
    <definedName name="管输费" localSheetId="12">'[75]Key assumption'!$E$21</definedName>
    <definedName name="管输费" localSheetId="26">'[75]Key assumption'!$E$21</definedName>
    <definedName name="管输费" localSheetId="25">'[75]Key assumption'!$E$21</definedName>
    <definedName name="管输费" localSheetId="30">'[75]Key assumption'!$E$21</definedName>
    <definedName name="管输费" localSheetId="27">'[75]Key assumption'!$E$21</definedName>
    <definedName name="管输费" localSheetId="28">'[75]Key assumption'!$E$21</definedName>
    <definedName name="管输费" localSheetId="31">'[75]Key assumption'!$E$21</definedName>
    <definedName name="管输费" localSheetId="29">'[75]Key assumption'!$E$21</definedName>
    <definedName name="管输费" localSheetId="11">'[75]Key assumption'!$E$21</definedName>
    <definedName name="管输费" localSheetId="40">'[76]Key assumption'!$E$21</definedName>
    <definedName name="管输费">'[76]Key assumption'!$E$21</definedName>
    <definedName name="管输费1" localSheetId="19">'[58]Key assumption'!$E$21</definedName>
    <definedName name="管输费1" localSheetId="23">'[58]Key assumption'!$E$21</definedName>
    <definedName name="管输费1" localSheetId="20">'[58]Key assumption'!$E$21</definedName>
    <definedName name="管输费1" localSheetId="22">'[58]Key assumption'!$E$21</definedName>
    <definedName name="管输费1" localSheetId="24">'[58]Key assumption'!$E$21</definedName>
    <definedName name="管输费1" localSheetId="21">'[58]Key assumption'!$E$21</definedName>
    <definedName name="管输费1" localSheetId="13">'[58]Key assumption'!$E$21</definedName>
    <definedName name="管输费1" localSheetId="17">'[58]Key assumption'!$E$21</definedName>
    <definedName name="管输费1" localSheetId="14">'[58]Key assumption'!$E$21</definedName>
    <definedName name="管输费1" localSheetId="16">'[58]Key assumption'!$E$21</definedName>
    <definedName name="管输费1" localSheetId="15">'[58]Key assumption'!$E$21</definedName>
    <definedName name="管输费1" localSheetId="18">'[58]Key assumption'!$E$21</definedName>
    <definedName name="管输费1" localSheetId="12">'[58]Key assumption'!$E$21</definedName>
    <definedName name="管输费1" localSheetId="26">'[58]Key assumption'!$E$21</definedName>
    <definedName name="管输费1" localSheetId="25">'[58]Key assumption'!$E$21</definedName>
    <definedName name="管输费1" localSheetId="30">'[58]Key assumption'!$E$21</definedName>
    <definedName name="管输费1" localSheetId="27">'[58]Key assumption'!$E$21</definedName>
    <definedName name="管输费1" localSheetId="28">'[58]Key assumption'!$E$21</definedName>
    <definedName name="管输费1" localSheetId="31">'[58]Key assumption'!$E$21</definedName>
    <definedName name="管输费1" localSheetId="29">'[58]Key assumption'!$E$21</definedName>
    <definedName name="管输费1" localSheetId="11">'[58]Key assumption'!$E$21</definedName>
    <definedName name="管输费1" localSheetId="40">'[59]Key assumption'!$E$21</definedName>
    <definedName name="管输费1">'[59]Key assumption'!$E$21</definedName>
    <definedName name="经营期银行贷款利率">[32]Assum!$Q$464</definedName>
    <definedName name="聚合氯化铝" localSheetId="19">'[75]Key assumption'!$E$10</definedName>
    <definedName name="聚合氯化铝" localSheetId="23">'[75]Key assumption'!$E$10</definedName>
    <definedName name="聚合氯化铝" localSheetId="20">'[75]Key assumption'!$E$10</definedName>
    <definedName name="聚合氯化铝" localSheetId="22">'[75]Key assumption'!$E$10</definedName>
    <definedName name="聚合氯化铝" localSheetId="24">'[75]Key assumption'!$E$10</definedName>
    <definedName name="聚合氯化铝" localSheetId="21">'[75]Key assumption'!$E$10</definedName>
    <definedName name="聚合氯化铝" localSheetId="13">'[75]Key assumption'!$E$10</definedName>
    <definedName name="聚合氯化铝" localSheetId="17">'[75]Key assumption'!$E$10</definedName>
    <definedName name="聚合氯化铝" localSheetId="14">'[75]Key assumption'!$E$10</definedName>
    <definedName name="聚合氯化铝" localSheetId="16">'[75]Key assumption'!$E$10</definedName>
    <definedName name="聚合氯化铝" localSheetId="15">'[75]Key assumption'!$E$10</definedName>
    <definedName name="聚合氯化铝" localSheetId="18">'[75]Key assumption'!$E$10</definedName>
    <definedName name="聚合氯化铝" localSheetId="12">'[75]Key assumption'!$E$10</definedName>
    <definedName name="聚合氯化铝" localSheetId="26">'[75]Key assumption'!$E$10</definedName>
    <definedName name="聚合氯化铝" localSheetId="25">'[75]Key assumption'!$E$10</definedName>
    <definedName name="聚合氯化铝" localSheetId="30">'[75]Key assumption'!$E$10</definedName>
    <definedName name="聚合氯化铝" localSheetId="27">'[75]Key assumption'!$E$10</definedName>
    <definedName name="聚合氯化铝" localSheetId="28">'[75]Key assumption'!$E$10</definedName>
    <definedName name="聚合氯化铝" localSheetId="31">'[75]Key assumption'!$E$10</definedName>
    <definedName name="聚合氯化铝" localSheetId="29">'[75]Key assumption'!$E$10</definedName>
    <definedName name="聚合氯化铝" localSheetId="11">'[75]Key assumption'!$E$10</definedName>
    <definedName name="聚合氯化铝" localSheetId="40">'[76]Key assumption'!$E$10</definedName>
    <definedName name="聚合氯化铝">'[76]Key assumption'!$E$10</definedName>
    <definedName name="股东贷款利率">[32]Assum!$Q$530</definedName>
    <definedName name="脱泥工_基本工资_人_月" localSheetId="19">'[62]Assumption(Manpower)'!#REF!</definedName>
    <definedName name="脱泥工_基本工资_人_月" localSheetId="23">'[62]Assumption(Manpower)'!#REF!</definedName>
    <definedName name="脱泥工_基本工资_人_月" localSheetId="20">'[62]Assumption(Manpower)'!#REF!</definedName>
    <definedName name="脱泥工_基本工资_人_月" localSheetId="22">'[62]Assumption(Manpower)'!#REF!</definedName>
    <definedName name="脱泥工_基本工资_人_月" localSheetId="24">'[62]Assumption(Manpower)'!#REF!</definedName>
    <definedName name="脱泥工_基本工资_人_月" localSheetId="21">'[62]Assumption(Manpower)'!#REF!</definedName>
    <definedName name="脱泥工_基本工资_人_月" localSheetId="13">'[62]Assumption(Manpower)'!#REF!</definedName>
    <definedName name="脱泥工_基本工资_人_月" localSheetId="17">'[62]Assumption(Manpower)'!#REF!</definedName>
    <definedName name="脱泥工_基本工资_人_月" localSheetId="14">'[62]Assumption(Manpower)'!#REF!</definedName>
    <definedName name="脱泥工_基本工资_人_月" localSheetId="16">'[62]Assumption(Manpower)'!#REF!</definedName>
    <definedName name="脱泥工_基本工资_人_月" localSheetId="15">'[62]Assumption(Manpower)'!#REF!</definedName>
    <definedName name="脱泥工_基本工资_人_月" localSheetId="18">'[62]Assumption(Manpower)'!#REF!</definedName>
    <definedName name="脱泥工_基本工资_人_月" localSheetId="12">'[62]Assumption(Manpower)'!#REF!</definedName>
    <definedName name="脱泥工_基本工资_人_月" localSheetId="26">'[62]Assumption(Manpower)'!#REF!</definedName>
    <definedName name="脱泥工_基本工资_人_月" localSheetId="25">'[62]Assumption(Manpower)'!#REF!</definedName>
    <definedName name="脱泥工_基本工资_人_月" localSheetId="30">'[62]Assumption(Manpower)'!#REF!</definedName>
    <definedName name="脱泥工_基本工资_人_月" localSheetId="27">'[62]Assumption(Manpower)'!#REF!</definedName>
    <definedName name="脱泥工_基本工资_人_月" localSheetId="28">'[62]Assumption(Manpower)'!#REF!</definedName>
    <definedName name="脱泥工_基本工资_人_月" localSheetId="31">'[62]Assumption(Manpower)'!#REF!</definedName>
    <definedName name="脱泥工_基本工资_人_月" localSheetId="29">'[62]Assumption(Manpower)'!#REF!</definedName>
    <definedName name="脱泥工_基本工资_人_月" localSheetId="11">'[62]Assumption(Manpower)'!#REF!</definedName>
    <definedName name="脱泥工_基本工资_人_月" localSheetId="40">'[63]Assumption(Manpower)'!#REF!</definedName>
    <definedName name="脱泥工_基本工资_人_月">'[63]Assumption(Manpower)'!#REF!</definedName>
    <definedName name="脱泥工人数" localSheetId="19">'[62]Assumption(Manpower)'!#REF!</definedName>
    <definedName name="脱泥工人数" localSheetId="23">'[62]Assumption(Manpower)'!#REF!</definedName>
    <definedName name="脱泥工人数" localSheetId="20">'[62]Assumption(Manpower)'!#REF!</definedName>
    <definedName name="脱泥工人数" localSheetId="22">'[62]Assumption(Manpower)'!#REF!</definedName>
    <definedName name="脱泥工人数" localSheetId="24">'[62]Assumption(Manpower)'!#REF!</definedName>
    <definedName name="脱泥工人数" localSheetId="21">'[62]Assumption(Manpower)'!#REF!</definedName>
    <definedName name="脱泥工人数" localSheetId="13">'[62]Assumption(Manpower)'!#REF!</definedName>
    <definedName name="脱泥工人数" localSheetId="17">'[62]Assumption(Manpower)'!#REF!</definedName>
    <definedName name="脱泥工人数" localSheetId="14">'[62]Assumption(Manpower)'!#REF!</definedName>
    <definedName name="脱泥工人数" localSheetId="16">'[62]Assumption(Manpower)'!#REF!</definedName>
    <definedName name="脱泥工人数" localSheetId="15">'[62]Assumption(Manpower)'!#REF!</definedName>
    <definedName name="脱泥工人数" localSheetId="18">'[62]Assumption(Manpower)'!#REF!</definedName>
    <definedName name="脱泥工人数" localSheetId="12">'[62]Assumption(Manpower)'!#REF!</definedName>
    <definedName name="脱泥工人数" localSheetId="26">'[62]Assumption(Manpower)'!#REF!</definedName>
    <definedName name="脱泥工人数" localSheetId="25">'[62]Assumption(Manpower)'!#REF!</definedName>
    <definedName name="脱泥工人数" localSheetId="30">'[62]Assumption(Manpower)'!#REF!</definedName>
    <definedName name="脱泥工人数" localSheetId="27">'[62]Assumption(Manpower)'!#REF!</definedName>
    <definedName name="脱泥工人数" localSheetId="28">'[62]Assumption(Manpower)'!#REF!</definedName>
    <definedName name="脱泥工人数" localSheetId="31">'[62]Assumption(Manpower)'!#REF!</definedName>
    <definedName name="脱泥工人数" localSheetId="29">'[62]Assumption(Manpower)'!#REF!</definedName>
    <definedName name="脱泥工人数" localSheetId="11">'[62]Assumption(Manpower)'!#REF!</definedName>
    <definedName name="脱泥工人数" localSheetId="40">'[63]Assumption(Manpower)'!#REF!</definedName>
    <definedName name="脱泥工人数">'[63]Assumption(Manpower)'!#REF!</definedName>
    <definedName name="营运结束日">[32]Assum!$Q$36</definedName>
    <definedName name="营运起始日">[32]Assum!$Q$34</definedName>
    <definedName name="补贴收取延迟">[72]Assum!$P$863</definedName>
    <definedName name="设备投资" localSheetId="19">#REF!</definedName>
    <definedName name="设备投资" localSheetId="23">#REF!</definedName>
    <definedName name="设备投资" localSheetId="20">#REF!</definedName>
    <definedName name="设备投资" localSheetId="22">#REF!</definedName>
    <definedName name="设备投资" localSheetId="24">#REF!</definedName>
    <definedName name="设备投资" localSheetId="21">#REF!</definedName>
    <definedName name="设备投资" localSheetId="13">#REF!</definedName>
    <definedName name="设备投资" localSheetId="17">#REF!</definedName>
    <definedName name="设备投资" localSheetId="14">#REF!</definedName>
    <definedName name="设备投资" localSheetId="16">#REF!</definedName>
    <definedName name="设备投资" localSheetId="15">#REF!</definedName>
    <definedName name="设备投资" localSheetId="18">#REF!</definedName>
    <definedName name="设备投资" localSheetId="12">#REF!</definedName>
    <definedName name="设备投资" localSheetId="26">#REF!</definedName>
    <definedName name="设备投资" localSheetId="25">#REF!</definedName>
    <definedName name="设备投资" localSheetId="30">#REF!</definedName>
    <definedName name="设备投资" localSheetId="27">#REF!</definedName>
    <definedName name="设备投资" localSheetId="28">#REF!</definedName>
    <definedName name="设备投资" localSheetId="31">#REF!</definedName>
    <definedName name="设备投资" localSheetId="29">#REF!</definedName>
    <definedName name="设备投资" localSheetId="11">#REF!</definedName>
    <definedName name="设备投资" localSheetId="40">#REF!</definedName>
    <definedName name="设备投资">#REF!</definedName>
    <definedName name="误餐补贴" localSheetId="19">'[62]Assumption(Manpower)'!#REF!</definedName>
    <definedName name="误餐补贴" localSheetId="23">'[62]Assumption(Manpower)'!#REF!</definedName>
    <definedName name="误餐补贴" localSheetId="20">'[62]Assumption(Manpower)'!#REF!</definedName>
    <definedName name="误餐补贴" localSheetId="22">'[62]Assumption(Manpower)'!#REF!</definedName>
    <definedName name="误餐补贴" localSheetId="24">'[62]Assumption(Manpower)'!#REF!</definedName>
    <definedName name="误餐补贴" localSheetId="21">'[62]Assumption(Manpower)'!#REF!</definedName>
    <definedName name="误餐补贴" localSheetId="13">'[62]Assumption(Manpower)'!#REF!</definedName>
    <definedName name="误餐补贴" localSheetId="17">'[62]Assumption(Manpower)'!#REF!</definedName>
    <definedName name="误餐补贴" localSheetId="14">'[62]Assumption(Manpower)'!#REF!</definedName>
    <definedName name="误餐补贴" localSheetId="16">'[62]Assumption(Manpower)'!#REF!</definedName>
    <definedName name="误餐补贴" localSheetId="15">'[62]Assumption(Manpower)'!#REF!</definedName>
    <definedName name="误餐补贴" localSheetId="18">'[62]Assumption(Manpower)'!#REF!</definedName>
    <definedName name="误餐补贴" localSheetId="12">'[62]Assumption(Manpower)'!#REF!</definedName>
    <definedName name="误餐补贴" localSheetId="26">'[62]Assumption(Manpower)'!#REF!</definedName>
    <definedName name="误餐补贴" localSheetId="25">'[62]Assumption(Manpower)'!#REF!</definedName>
    <definedName name="误餐补贴" localSheetId="30">'[62]Assumption(Manpower)'!#REF!</definedName>
    <definedName name="误餐补贴" localSheetId="27">'[62]Assumption(Manpower)'!#REF!</definedName>
    <definedName name="误餐补贴" localSheetId="28">'[62]Assumption(Manpower)'!#REF!</definedName>
    <definedName name="误餐补贴" localSheetId="31">'[62]Assumption(Manpower)'!#REF!</definedName>
    <definedName name="误餐补贴" localSheetId="29">'[62]Assumption(Manpower)'!#REF!</definedName>
    <definedName name="误餐补贴" localSheetId="11">'[62]Assumption(Manpower)'!#REF!</definedName>
    <definedName name="误餐补贴" localSheetId="40">'[63]Assumption(Manpower)'!#REF!</definedName>
    <definedName name="误餐补贴">'[63]Assumption(Manpower)'!#REF!</definedName>
    <definedName name="负债表日期">[72]Assum!$M$43</definedName>
    <definedName name="财务关账日">[72]Assum!$M$35</definedName>
    <definedName name="贷款利息" localSheetId="19">[88]GPRO!$B$7</definedName>
    <definedName name="贷款利息" localSheetId="23">[88]GPRO!$B$7</definedName>
    <definedName name="贷款利息" localSheetId="20">[88]GPRO!$B$7</definedName>
    <definedName name="贷款利息" localSheetId="22">[88]GPRO!$B$7</definedName>
    <definedName name="贷款利息" localSheetId="24">[88]GPRO!$B$7</definedName>
    <definedName name="贷款利息" localSheetId="21">[88]GPRO!$B$7</definedName>
    <definedName name="贷款利息" localSheetId="13">[88]GPRO!$B$7</definedName>
    <definedName name="贷款利息" localSheetId="17">[88]GPRO!$B$7</definedName>
    <definedName name="贷款利息" localSheetId="14">[88]GPRO!$B$7</definedName>
    <definedName name="贷款利息" localSheetId="16">[88]GPRO!$B$7</definedName>
    <definedName name="贷款利息" localSheetId="15">[88]GPRO!$B$7</definedName>
    <definedName name="贷款利息" localSheetId="18">[88]GPRO!$B$7</definedName>
    <definedName name="贷款利息" localSheetId="12">[88]GPRO!$B$7</definedName>
    <definedName name="贷款利息" localSheetId="26">[88]GPRO!$B$7</definedName>
    <definedName name="贷款利息" localSheetId="25">[88]GPRO!$B$7</definedName>
    <definedName name="贷款利息" localSheetId="30">[88]GPRO!$B$7</definedName>
    <definedName name="贷款利息" localSheetId="27">[88]GPRO!$B$7</definedName>
    <definedName name="贷款利息" localSheetId="28">[88]GPRO!$B$7</definedName>
    <definedName name="贷款利息" localSheetId="31">[88]GPRO!$B$7</definedName>
    <definedName name="贷款利息" localSheetId="29">[88]GPRO!$B$7</definedName>
    <definedName name="贷款利息" localSheetId="11">[88]GPRO!$B$7</definedName>
    <definedName name="贷款利息" localSheetId="40">[89]GPRO!$B$7</definedName>
    <definedName name="贷款利息">[89]GPRO!$B$7</definedName>
    <definedName name="贷款基准利率">[72]Assum!$M$583</definedName>
    <definedName name="资金占用成本">[32]Assum!$Q$163</definedName>
    <definedName name="运行用房屋建筑物" localSheetId="19">#REF!</definedName>
    <definedName name="运行用房屋建筑物" localSheetId="23">#REF!</definedName>
    <definedName name="运行用房屋建筑物" localSheetId="20">#REF!</definedName>
    <definedName name="运行用房屋建筑物" localSheetId="22">#REF!</definedName>
    <definedName name="运行用房屋建筑物" localSheetId="24">#REF!</definedName>
    <definedName name="运行用房屋建筑物" localSheetId="21">#REF!</definedName>
    <definedName name="运行用房屋建筑物" localSheetId="13">#REF!</definedName>
    <definedName name="运行用房屋建筑物" localSheetId="17">#REF!</definedName>
    <definedName name="运行用房屋建筑物" localSheetId="14">#REF!</definedName>
    <definedName name="运行用房屋建筑物" localSheetId="16">#REF!</definedName>
    <definedName name="运行用房屋建筑物" localSheetId="15">#REF!</definedName>
    <definedName name="运行用房屋建筑物" localSheetId="18">#REF!</definedName>
    <definedName name="运行用房屋建筑物" localSheetId="12">#REF!</definedName>
    <definedName name="运行用房屋建筑物" localSheetId="26">#REF!</definedName>
    <definedName name="运行用房屋建筑物" localSheetId="25">#REF!</definedName>
    <definedName name="运行用房屋建筑物" localSheetId="30">#REF!</definedName>
    <definedName name="运行用房屋建筑物" localSheetId="27">#REF!</definedName>
    <definedName name="运行用房屋建筑物" localSheetId="28">#REF!</definedName>
    <definedName name="运行用房屋建筑物" localSheetId="31">#REF!</definedName>
    <definedName name="运行用房屋建筑物" localSheetId="29">#REF!</definedName>
    <definedName name="运行用房屋建筑物" localSheetId="11">#REF!</definedName>
    <definedName name="运行用房屋建筑物" localSheetId="40">#REF!</definedName>
    <definedName name="运行用房屋建筑物">#REF!</definedName>
    <definedName name="运行用房屋建筑物civil_structure___tankage_New2." localSheetId="19">[82]Assumption!$C$37</definedName>
    <definedName name="运行用房屋建筑物civil_structure___tankage_New2." localSheetId="23">[82]Assumption!$C$37</definedName>
    <definedName name="运行用房屋建筑物civil_structure___tankage_New2." localSheetId="20">[82]Assumption!$C$37</definedName>
    <definedName name="运行用房屋建筑物civil_structure___tankage_New2." localSheetId="22">[82]Assumption!$C$37</definedName>
    <definedName name="运行用房屋建筑物civil_structure___tankage_New2." localSheetId="24">[82]Assumption!$C$37</definedName>
    <definedName name="运行用房屋建筑物civil_structure___tankage_New2." localSheetId="21">[82]Assumption!$C$37</definedName>
    <definedName name="运行用房屋建筑物civil_structure___tankage_New2." localSheetId="13">[82]Assumption!$C$37</definedName>
    <definedName name="运行用房屋建筑物civil_structure___tankage_New2." localSheetId="17">[82]Assumption!$C$37</definedName>
    <definedName name="运行用房屋建筑物civil_structure___tankage_New2." localSheetId="14">[82]Assumption!$C$37</definedName>
    <definedName name="运行用房屋建筑物civil_structure___tankage_New2." localSheetId="16">[82]Assumption!$C$37</definedName>
    <definedName name="运行用房屋建筑物civil_structure___tankage_New2." localSheetId="15">[82]Assumption!$C$37</definedName>
    <definedName name="运行用房屋建筑物civil_structure___tankage_New2." localSheetId="18">[82]Assumption!$C$37</definedName>
    <definedName name="运行用房屋建筑物civil_structure___tankage_New2." localSheetId="12">[82]Assumption!$C$37</definedName>
    <definedName name="运行用房屋建筑物civil_structure___tankage_New2." localSheetId="26">[82]Assumption!$C$37</definedName>
    <definedName name="运行用房屋建筑物civil_structure___tankage_New2." localSheetId="25">[82]Assumption!$C$37</definedName>
    <definedName name="运行用房屋建筑物civil_structure___tankage_New2." localSheetId="30">[82]Assumption!$C$37</definedName>
    <definedName name="运行用房屋建筑物civil_structure___tankage_New2." localSheetId="27">[82]Assumption!$C$37</definedName>
    <definedName name="运行用房屋建筑物civil_structure___tankage_New2." localSheetId="28">[82]Assumption!$C$37</definedName>
    <definedName name="运行用房屋建筑物civil_structure___tankage_New2." localSheetId="31">[82]Assumption!$C$37</definedName>
    <definedName name="运行用房屋建筑物civil_structure___tankage_New2." localSheetId="29">[82]Assumption!$C$37</definedName>
    <definedName name="运行用房屋建筑物civil_structure___tankage_New2." localSheetId="11">[82]Assumption!$C$37</definedName>
    <definedName name="运行用房屋建筑物civil_structure___tankage_New2." localSheetId="40">[83]Assumption!$C$37</definedName>
    <definedName name="运行用房屋建筑物civil_structure___tankage_New2.">[83]Assumption!$C$37</definedName>
    <definedName name="运行用机器设备" localSheetId="19">#REF!</definedName>
    <definedName name="运行用机器设备" localSheetId="23">#REF!</definedName>
    <definedName name="运行用机器设备" localSheetId="20">#REF!</definedName>
    <definedName name="运行用机器设备" localSheetId="22">#REF!</definedName>
    <definedName name="运行用机器设备" localSheetId="24">#REF!</definedName>
    <definedName name="运行用机器设备" localSheetId="21">#REF!</definedName>
    <definedName name="运行用机器设备" localSheetId="13">#REF!</definedName>
    <definedName name="运行用机器设备" localSheetId="17">#REF!</definedName>
    <definedName name="运行用机器设备" localSheetId="14">#REF!</definedName>
    <definedName name="运行用机器设备" localSheetId="16">#REF!</definedName>
    <definedName name="运行用机器设备" localSheetId="15">#REF!</definedName>
    <definedName name="运行用机器设备" localSheetId="18">#REF!</definedName>
    <definedName name="运行用机器设备" localSheetId="12">#REF!</definedName>
    <definedName name="运行用机器设备" localSheetId="26">#REF!</definedName>
    <definedName name="运行用机器设备" localSheetId="25">#REF!</definedName>
    <definedName name="运行用机器设备" localSheetId="30">#REF!</definedName>
    <definedName name="运行用机器设备" localSheetId="27">#REF!</definedName>
    <definedName name="运行用机器设备" localSheetId="28">#REF!</definedName>
    <definedName name="运行用机器设备" localSheetId="31">#REF!</definedName>
    <definedName name="运行用机器设备" localSheetId="29">#REF!</definedName>
    <definedName name="运行用机器设备" localSheetId="11">#REF!</definedName>
    <definedName name="运行用机器设备" localSheetId="40">#REF!</definedName>
    <definedName name="运行用机器设备">#REF!</definedName>
    <definedName name="运输设备" localSheetId="19">#REF!</definedName>
    <definedName name="运输设备" localSheetId="23">#REF!</definedName>
    <definedName name="运输设备" localSheetId="20">#REF!</definedName>
    <definedName name="运输设备" localSheetId="22">#REF!</definedName>
    <definedName name="运输设备" localSheetId="24">#REF!</definedName>
    <definedName name="运输设备" localSheetId="21">#REF!</definedName>
    <definedName name="运输设备" localSheetId="13">#REF!</definedName>
    <definedName name="运输设备" localSheetId="17">#REF!</definedName>
    <definedName name="运输设备" localSheetId="14">#REF!</definedName>
    <definedName name="运输设备" localSheetId="16">#REF!</definedName>
    <definedName name="运输设备" localSheetId="15">#REF!</definedName>
    <definedName name="运输设备" localSheetId="18">#REF!</definedName>
    <definedName name="运输设备" localSheetId="12">#REF!</definedName>
    <definedName name="运输设备" localSheetId="26">#REF!</definedName>
    <definedName name="运输设备" localSheetId="25">#REF!</definedName>
    <definedName name="运输设备" localSheetId="30">#REF!</definedName>
    <definedName name="运输设备" localSheetId="27">#REF!</definedName>
    <definedName name="运输设备" localSheetId="28">#REF!</definedName>
    <definedName name="运输设备" localSheetId="31">#REF!</definedName>
    <definedName name="运输设备" localSheetId="29">#REF!</definedName>
    <definedName name="运输设备" localSheetId="11">#REF!</definedName>
    <definedName name="运输设备" localSheetId="40">#REF!</definedName>
    <definedName name="运输设备">#REF!</definedName>
    <definedName name="通胀率">[32]Assum!$Q$10</definedName>
    <definedName name="非运行用房屋建筑物" localSheetId="19">#REF!</definedName>
    <definedName name="非运行用房屋建筑物" localSheetId="23">#REF!</definedName>
    <definedName name="非运行用房屋建筑物" localSheetId="20">#REF!</definedName>
    <definedName name="非运行用房屋建筑物" localSheetId="22">#REF!</definedName>
    <definedName name="非运行用房屋建筑物" localSheetId="24">#REF!</definedName>
    <definedName name="非运行用房屋建筑物" localSheetId="21">#REF!</definedName>
    <definedName name="非运行用房屋建筑物" localSheetId="13">#REF!</definedName>
    <definedName name="非运行用房屋建筑物" localSheetId="17">#REF!</definedName>
    <definedName name="非运行用房屋建筑物" localSheetId="14">#REF!</definedName>
    <definedName name="非运行用房屋建筑物" localSheetId="16">#REF!</definedName>
    <definedName name="非运行用房屋建筑物" localSheetId="15">#REF!</definedName>
    <definedName name="非运行用房屋建筑物" localSheetId="18">#REF!</definedName>
    <definedName name="非运行用房屋建筑物" localSheetId="12">#REF!</definedName>
    <definedName name="非运行用房屋建筑物" localSheetId="26">#REF!</definedName>
    <definedName name="非运行用房屋建筑物" localSheetId="25">#REF!</definedName>
    <definedName name="非运行用房屋建筑物" localSheetId="30">#REF!</definedName>
    <definedName name="非运行用房屋建筑物" localSheetId="27">#REF!</definedName>
    <definedName name="非运行用房屋建筑物" localSheetId="28">#REF!</definedName>
    <definedName name="非运行用房屋建筑物" localSheetId="31">#REF!</definedName>
    <definedName name="非运行用房屋建筑物" localSheetId="29">#REF!</definedName>
    <definedName name="非运行用房屋建筑物" localSheetId="11">#REF!</definedName>
    <definedName name="非运行用房屋建筑物" localSheetId="40">#REF!</definedName>
    <definedName name="非运行用房屋建筑物">#REF!</definedName>
    <definedName name="项目款支付计划" localSheetId="19">'[58]Key assumption'!$B$2</definedName>
    <definedName name="项目款支付计划" localSheetId="23">'[58]Key assumption'!$B$2</definedName>
    <definedName name="项目款支付计划" localSheetId="20">'[58]Key assumption'!$B$2</definedName>
    <definedName name="项目款支付计划" localSheetId="22">'[58]Key assumption'!$B$2</definedName>
    <definedName name="项目款支付计划" localSheetId="24">'[58]Key assumption'!$B$2</definedName>
    <definedName name="项目款支付计划" localSheetId="21">'[58]Key assumption'!$B$2</definedName>
    <definedName name="项目款支付计划" localSheetId="13">'[58]Key assumption'!$B$2</definedName>
    <definedName name="项目款支付计划" localSheetId="17">'[58]Key assumption'!$B$2</definedName>
    <definedName name="项目款支付计划" localSheetId="14">'[58]Key assumption'!$B$2</definedName>
    <definedName name="项目款支付计划" localSheetId="16">'[58]Key assumption'!$B$2</definedName>
    <definedName name="项目款支付计划" localSheetId="15">'[58]Key assumption'!$B$2</definedName>
    <definedName name="项目款支付计划" localSheetId="18">'[58]Key assumption'!$B$2</definedName>
    <definedName name="项目款支付计划" localSheetId="12">'[58]Key assumption'!$B$2</definedName>
    <definedName name="项目款支付计划" localSheetId="26">'[58]Key assumption'!$B$2</definedName>
    <definedName name="项目款支付计划" localSheetId="25">'[58]Key assumption'!$B$2</definedName>
    <definedName name="项目款支付计划" localSheetId="30">'[58]Key assumption'!$B$2</definedName>
    <definedName name="项目款支付计划" localSheetId="27">'[58]Key assumption'!$B$2</definedName>
    <definedName name="项目款支付计划" localSheetId="28">'[58]Key assumption'!$B$2</definedName>
    <definedName name="项目款支付计划" localSheetId="31">'[58]Key assumption'!$B$2</definedName>
    <definedName name="项目款支付计划" localSheetId="29">'[58]Key assumption'!$B$2</definedName>
    <definedName name="项目款支付计划" localSheetId="11">'[58]Key assumption'!$B$2</definedName>
    <definedName name="项目款支付计划" localSheetId="40">'[59]Key assumption'!$B$2</definedName>
    <definedName name="项目款支付计划">'[59]Key assumption'!$B$2</definedName>
    <definedName name="额外加班餐费_管理" localSheetId="19">'[62]Assumption(Manpower)'!#REF!</definedName>
    <definedName name="额外加班餐费_管理" localSheetId="23">'[62]Assumption(Manpower)'!#REF!</definedName>
    <definedName name="额外加班餐费_管理" localSheetId="20">'[62]Assumption(Manpower)'!#REF!</definedName>
    <definedName name="额外加班餐费_管理" localSheetId="22">'[62]Assumption(Manpower)'!#REF!</definedName>
    <definedName name="额外加班餐费_管理" localSheetId="24">'[62]Assumption(Manpower)'!#REF!</definedName>
    <definedName name="额外加班餐费_管理" localSheetId="21">'[62]Assumption(Manpower)'!#REF!</definedName>
    <definedName name="额外加班餐费_管理" localSheetId="13">'[62]Assumption(Manpower)'!#REF!</definedName>
    <definedName name="额外加班餐费_管理" localSheetId="17">'[62]Assumption(Manpower)'!#REF!</definedName>
    <definedName name="额外加班餐费_管理" localSheetId="14">'[62]Assumption(Manpower)'!#REF!</definedName>
    <definedName name="额外加班餐费_管理" localSheetId="16">'[62]Assumption(Manpower)'!#REF!</definedName>
    <definedName name="额外加班餐费_管理" localSheetId="15">'[62]Assumption(Manpower)'!#REF!</definedName>
    <definedName name="额外加班餐费_管理" localSheetId="18">'[62]Assumption(Manpower)'!#REF!</definedName>
    <definedName name="额外加班餐费_管理" localSheetId="12">'[62]Assumption(Manpower)'!#REF!</definedName>
    <definedName name="额外加班餐费_管理" localSheetId="26">'[62]Assumption(Manpower)'!#REF!</definedName>
    <definedName name="额外加班餐费_管理" localSheetId="25">'[62]Assumption(Manpower)'!#REF!</definedName>
    <definedName name="额外加班餐费_管理" localSheetId="30">'[62]Assumption(Manpower)'!#REF!</definedName>
    <definedName name="额外加班餐费_管理" localSheetId="27">'[62]Assumption(Manpower)'!#REF!</definedName>
    <definedName name="额外加班餐费_管理" localSheetId="28">'[62]Assumption(Manpower)'!#REF!</definedName>
    <definedName name="额外加班餐费_管理" localSheetId="31">'[62]Assumption(Manpower)'!#REF!</definedName>
    <definedName name="额外加班餐费_管理" localSheetId="29">'[62]Assumption(Manpower)'!#REF!</definedName>
    <definedName name="额外加班餐费_管理" localSheetId="11">'[62]Assumption(Manpower)'!#REF!</definedName>
    <definedName name="额外加班餐费_管理" localSheetId="40">'[63]Assumption(Manpower)'!#REF!</definedName>
    <definedName name="额外加班餐费_管理">'[63]Assumption(Manpower)'!#REF!</definedName>
    <definedName name="额外加班餐费_运行" localSheetId="19">'[62]Assumption(Manpower)'!#REF!</definedName>
    <definedName name="额外加班餐费_运行" localSheetId="23">'[62]Assumption(Manpower)'!#REF!</definedName>
    <definedName name="额外加班餐费_运行" localSheetId="20">'[62]Assumption(Manpower)'!#REF!</definedName>
    <definedName name="额外加班餐费_运行" localSheetId="22">'[62]Assumption(Manpower)'!#REF!</definedName>
    <definedName name="额外加班餐费_运行" localSheetId="24">'[62]Assumption(Manpower)'!#REF!</definedName>
    <definedName name="额外加班餐费_运行" localSheetId="21">'[62]Assumption(Manpower)'!#REF!</definedName>
    <definedName name="额外加班餐费_运行" localSheetId="13">'[62]Assumption(Manpower)'!#REF!</definedName>
    <definedName name="额外加班餐费_运行" localSheetId="17">'[62]Assumption(Manpower)'!#REF!</definedName>
    <definedName name="额外加班餐费_运行" localSheetId="14">'[62]Assumption(Manpower)'!#REF!</definedName>
    <definedName name="额外加班餐费_运行" localSheetId="16">'[62]Assumption(Manpower)'!#REF!</definedName>
    <definedName name="额外加班餐费_运行" localSheetId="15">'[62]Assumption(Manpower)'!#REF!</definedName>
    <definedName name="额外加班餐费_运行" localSheetId="18">'[62]Assumption(Manpower)'!#REF!</definedName>
    <definedName name="额外加班餐费_运行" localSheetId="12">'[62]Assumption(Manpower)'!#REF!</definedName>
    <definedName name="额外加班餐费_运行" localSheetId="26">'[62]Assumption(Manpower)'!#REF!</definedName>
    <definedName name="额外加班餐费_运行" localSheetId="25">'[62]Assumption(Manpower)'!#REF!</definedName>
    <definedName name="额外加班餐费_运行" localSheetId="30">'[62]Assumption(Manpower)'!#REF!</definedName>
    <definedName name="额外加班餐费_运行" localSheetId="27">'[62]Assumption(Manpower)'!#REF!</definedName>
    <definedName name="额外加班餐费_运行" localSheetId="28">'[62]Assumption(Manpower)'!#REF!</definedName>
    <definedName name="额外加班餐费_运行" localSheetId="31">'[62]Assumption(Manpower)'!#REF!</definedName>
    <definedName name="额外加班餐费_运行" localSheetId="29">'[62]Assumption(Manpower)'!#REF!</definedName>
    <definedName name="额外加班餐费_运行" localSheetId="11">'[62]Assumption(Manpower)'!#REF!</definedName>
    <definedName name="额外加班餐费_运行" localSheetId="40">'[63]Assumption(Manpower)'!#REF!</definedName>
    <definedName name="额外加班餐费_运行">'[63]Assumption(Manpower)'!#REF!</definedName>
  </definedNames>
  <calcPr calcId="181029" calcMode="autoNoTable"/>
</workbook>
</file>

<file path=xl/calcChain.xml><?xml version="1.0" encoding="utf-8"?>
<calcChain xmlns="http://schemas.openxmlformats.org/spreadsheetml/2006/main">
  <c r="W132" i="243" l="1"/>
  <c r="V132" i="243"/>
  <c r="U132" i="243"/>
  <c r="W114" i="243"/>
  <c r="W113" i="243"/>
  <c r="V114" i="243"/>
  <c r="V113" i="243"/>
  <c r="U114" i="243"/>
  <c r="U113" i="243"/>
  <c r="U134" i="243" s="1"/>
  <c r="W134" i="243" l="1"/>
  <c r="W135" i="243" s="1"/>
  <c r="W140" i="243" s="1"/>
  <c r="W142" i="243" s="1"/>
  <c r="V134" i="243"/>
  <c r="V135" i="243" s="1"/>
  <c r="V140" i="243" s="1"/>
  <c r="V142" i="243" s="1"/>
  <c r="U115" i="243"/>
  <c r="W115" i="243"/>
  <c r="V115" i="243"/>
  <c r="U135" i="243"/>
  <c r="U140" i="243" s="1"/>
  <c r="U142" i="243" s="1"/>
  <c r="F69" i="243" l="1"/>
  <c r="M153" i="243" l="1"/>
  <c r="D153" i="243"/>
  <c r="G68" i="177"/>
  <c r="M76" i="243"/>
  <c r="M75" i="243"/>
  <c r="D76" i="243"/>
  <c r="D75" i="243"/>
  <c r="D74" i="243"/>
  <c r="N139" i="243"/>
  <c r="O139" i="243"/>
  <c r="D77" i="243" l="1"/>
  <c r="D62" i="243"/>
  <c r="L137" i="243"/>
  <c r="M137" i="243"/>
  <c r="N137" i="243"/>
  <c r="O137" i="243"/>
  <c r="L138" i="243"/>
  <c r="M138" i="243"/>
  <c r="N138" i="243"/>
  <c r="O138" i="243"/>
  <c r="L139" i="243"/>
  <c r="M139" i="243"/>
  <c r="M154" i="243" l="1"/>
  <c r="AH80" i="250"/>
  <c r="AG80" i="250"/>
  <c r="AF80" i="250"/>
  <c r="M41" i="243" l="1"/>
  <c r="M44" i="243" l="1"/>
  <c r="M74" i="243"/>
  <c r="M77" i="243" s="1"/>
  <c r="F113" i="240"/>
  <c r="G114" i="240"/>
  <c r="G78" i="240"/>
  <c r="C299" i="242" l="1"/>
  <c r="O71" i="240"/>
  <c r="O57" i="240"/>
  <c r="G57" i="240"/>
  <c r="C11" i="171"/>
  <c r="C10" i="171"/>
  <c r="C14" i="171"/>
  <c r="O75" i="248"/>
  <c r="I90" i="248" l="1"/>
  <c r="K91" i="240"/>
  <c r="K92" i="248"/>
  <c r="AQ7" i="250"/>
  <c r="AN7" i="250"/>
  <c r="AK7" i="250"/>
  <c r="AH7" i="250"/>
  <c r="BR78" i="250"/>
  <c r="BO78" i="250"/>
  <c r="BN78" i="250"/>
  <c r="BL78" i="250"/>
  <c r="BK78" i="250"/>
  <c r="BU77" i="250"/>
  <c r="BU78" i="250" s="1"/>
  <c r="BT77" i="250"/>
  <c r="BT78" i="250" s="1"/>
  <c r="BR77" i="250"/>
  <c r="BQ77" i="250"/>
  <c r="BQ78" i="250" s="1"/>
  <c r="BO77" i="250"/>
  <c r="BN77" i="250"/>
  <c r="BL77" i="250"/>
  <c r="BK77" i="250"/>
  <c r="BU76" i="250"/>
  <c r="BT76" i="250"/>
  <c r="BR76" i="250"/>
  <c r="BQ76" i="250"/>
  <c r="BO76" i="250"/>
  <c r="BN76" i="250"/>
  <c r="BL76" i="250"/>
  <c r="BK76" i="250"/>
  <c r="BU48" i="250"/>
  <c r="BU61" i="250" s="1"/>
  <c r="BT48" i="250"/>
  <c r="BT61" i="250" s="1"/>
  <c r="BS48" i="250"/>
  <c r="BS61" i="250" s="1"/>
  <c r="BR48" i="250"/>
  <c r="BR61" i="250" s="1"/>
  <c r="BQ48" i="250"/>
  <c r="BQ61" i="250" s="1"/>
  <c r="BP48" i="250"/>
  <c r="BP61" i="250" s="1"/>
  <c r="BO48" i="250"/>
  <c r="BO61" i="250" s="1"/>
  <c r="BN48" i="250"/>
  <c r="BN61" i="250" s="1"/>
  <c r="BM48" i="250"/>
  <c r="BM61" i="250" s="1"/>
  <c r="BL48" i="250"/>
  <c r="BL61" i="250" s="1"/>
  <c r="BK48" i="250"/>
  <c r="BK61" i="250" s="1"/>
  <c r="BJ48" i="250"/>
  <c r="BJ61" i="250" s="1"/>
  <c r="BU42" i="250"/>
  <c r="BT42" i="250"/>
  <c r="BS42" i="250"/>
  <c r="BR42" i="250"/>
  <c r="BQ42" i="250"/>
  <c r="BO42" i="250"/>
  <c r="BN42" i="250"/>
  <c r="BM42" i="250"/>
  <c r="BL42" i="250"/>
  <c r="BK42" i="250"/>
  <c r="BJ42" i="250"/>
  <c r="BU41" i="250"/>
  <c r="BT41" i="250"/>
  <c r="BS41" i="250"/>
  <c r="BR41" i="250"/>
  <c r="BQ41" i="250"/>
  <c r="BO41" i="250"/>
  <c r="BN41" i="250"/>
  <c r="BM41" i="250"/>
  <c r="BL41" i="250"/>
  <c r="BK41" i="250"/>
  <c r="BJ41" i="250"/>
  <c r="BO7" i="250"/>
  <c r="BL7" i="250"/>
  <c r="BU6" i="250"/>
  <c r="BT6" i="250"/>
  <c r="BS6" i="250"/>
  <c r="BR6" i="250"/>
  <c r="BQ6" i="250"/>
  <c r="BP6" i="250"/>
  <c r="BO6" i="250"/>
  <c r="BN6" i="250"/>
  <c r="BM6" i="250"/>
  <c r="BL6" i="250"/>
  <c r="BK6" i="250"/>
  <c r="BJ6" i="250"/>
  <c r="BF78" i="250"/>
  <c r="BE78" i="250"/>
  <c r="BC78" i="250"/>
  <c r="BB78" i="250"/>
  <c r="AZ78" i="250"/>
  <c r="AY78" i="250"/>
  <c r="BI77" i="250"/>
  <c r="BI78" i="250" s="1"/>
  <c r="BH77" i="250"/>
  <c r="BH78" i="250" s="1"/>
  <c r="BF77" i="250"/>
  <c r="BE77" i="250"/>
  <c r="BC77" i="250"/>
  <c r="BB77" i="250"/>
  <c r="AZ77" i="250"/>
  <c r="AY77" i="250"/>
  <c r="BI76" i="250"/>
  <c r="BH76" i="250"/>
  <c r="BF76" i="250"/>
  <c r="BE76" i="250"/>
  <c r="BC76" i="250"/>
  <c r="BB76" i="250"/>
  <c r="AZ76" i="250"/>
  <c r="AY76" i="250"/>
  <c r="BI48" i="250"/>
  <c r="BI61" i="250" s="1"/>
  <c r="BH48" i="250"/>
  <c r="BH61" i="250" s="1"/>
  <c r="BG48" i="250"/>
  <c r="BG61" i="250" s="1"/>
  <c r="BF48" i="250"/>
  <c r="BF61" i="250" s="1"/>
  <c r="BE48" i="250"/>
  <c r="BE61" i="250" s="1"/>
  <c r="BD48" i="250"/>
  <c r="BD61" i="250" s="1"/>
  <c r="BC48" i="250"/>
  <c r="BC61" i="250" s="1"/>
  <c r="BB48" i="250"/>
  <c r="BB61" i="250" s="1"/>
  <c r="BA48" i="250"/>
  <c r="BA61" i="250" s="1"/>
  <c r="AZ48" i="250"/>
  <c r="AZ61" i="250" s="1"/>
  <c r="AY48" i="250"/>
  <c r="AY61" i="250" s="1"/>
  <c r="AX48" i="250"/>
  <c r="AX61" i="250" s="1"/>
  <c r="BI42" i="250"/>
  <c r="BH42" i="250"/>
  <c r="BG42" i="250"/>
  <c r="BF42" i="250"/>
  <c r="BE42" i="250"/>
  <c r="BC42" i="250"/>
  <c r="BB42" i="250"/>
  <c r="BA42" i="250"/>
  <c r="AZ42" i="250"/>
  <c r="AY42" i="250"/>
  <c r="AX42" i="250"/>
  <c r="BI41" i="250"/>
  <c r="BH41" i="250"/>
  <c r="BG41" i="250"/>
  <c r="BF41" i="250"/>
  <c r="BE41" i="250"/>
  <c r="BC41" i="250"/>
  <c r="BB41" i="250"/>
  <c r="BA41" i="250"/>
  <c r="AZ41" i="250"/>
  <c r="AY41" i="250"/>
  <c r="AX41" i="250"/>
  <c r="BC7" i="250"/>
  <c r="AZ7" i="250"/>
  <c r="BI6" i="250"/>
  <c r="BH6" i="250"/>
  <c r="BG6" i="250"/>
  <c r="BF6" i="250"/>
  <c r="BE6" i="250"/>
  <c r="BD6" i="250"/>
  <c r="BC6" i="250"/>
  <c r="BB6" i="250"/>
  <c r="BA6" i="250"/>
  <c r="AZ6" i="250"/>
  <c r="AY6" i="250"/>
  <c r="AX6" i="250"/>
  <c r="AQ78" i="250"/>
  <c r="AP78" i="250"/>
  <c r="AM78" i="250"/>
  <c r="AW77" i="250"/>
  <c r="AW78" i="250" s="1"/>
  <c r="AV77" i="250"/>
  <c r="AV78" i="250" s="1"/>
  <c r="AT77" i="250"/>
  <c r="AT78" i="250" s="1"/>
  <c r="AS77" i="250"/>
  <c r="AS78" i="250" s="1"/>
  <c r="AQ77" i="250"/>
  <c r="AP77" i="250"/>
  <c r="AN77" i="250"/>
  <c r="AN78" i="250" s="1"/>
  <c r="AM77" i="250"/>
  <c r="AW76" i="250"/>
  <c r="AV76" i="250"/>
  <c r="AT76" i="250"/>
  <c r="AS76" i="250"/>
  <c r="AQ76" i="250"/>
  <c r="AP76" i="250"/>
  <c r="AN76" i="250"/>
  <c r="AM76" i="250"/>
  <c r="AW48" i="250"/>
  <c r="AW61" i="250" s="1"/>
  <c r="AV48" i="250"/>
  <c r="AV61" i="250" s="1"/>
  <c r="AU48" i="250"/>
  <c r="AU61" i="250" s="1"/>
  <c r="AT48" i="250"/>
  <c r="AT61" i="250" s="1"/>
  <c r="AS48" i="250"/>
  <c r="AS61" i="250" s="1"/>
  <c r="AR48" i="250"/>
  <c r="AR61" i="250" s="1"/>
  <c r="AQ48" i="250"/>
  <c r="AQ61" i="250" s="1"/>
  <c r="AP48" i="250"/>
  <c r="AP61" i="250" s="1"/>
  <c r="AO48" i="250"/>
  <c r="AO61" i="250" s="1"/>
  <c r="AN48" i="250"/>
  <c r="AN61" i="250" s="1"/>
  <c r="AM48" i="250"/>
  <c r="AM61" i="250" s="1"/>
  <c r="AL48" i="250"/>
  <c r="AL61" i="250" s="1"/>
  <c r="AW42" i="250"/>
  <c r="AV42" i="250"/>
  <c r="AU42" i="250"/>
  <c r="AT42" i="250"/>
  <c r="AS42" i="250"/>
  <c r="AQ42" i="250"/>
  <c r="AP42" i="250"/>
  <c r="AO42" i="250"/>
  <c r="AN42" i="250"/>
  <c r="AM42" i="250"/>
  <c r="AL42" i="250"/>
  <c r="AW41" i="250"/>
  <c r="AV41" i="250"/>
  <c r="AU41" i="250"/>
  <c r="AT41" i="250"/>
  <c r="AS41" i="250"/>
  <c r="AQ41" i="250"/>
  <c r="AP41" i="250"/>
  <c r="AO41" i="250"/>
  <c r="AN41" i="250"/>
  <c r="AM41" i="250"/>
  <c r="AL41" i="250"/>
  <c r="AW6" i="250"/>
  <c r="AV6" i="250"/>
  <c r="AU6" i="250"/>
  <c r="AT6" i="250"/>
  <c r="AS6" i="250"/>
  <c r="AR6" i="250"/>
  <c r="AQ6" i="250"/>
  <c r="AP6" i="250"/>
  <c r="AO6" i="250"/>
  <c r="AN6" i="250"/>
  <c r="AM6" i="250"/>
  <c r="AL6" i="250"/>
  <c r="AE81" i="177"/>
  <c r="BO77" i="177"/>
  <c r="BO78" i="177" s="1"/>
  <c r="BN77" i="177"/>
  <c r="BN78" i="177" s="1"/>
  <c r="BO76" i="177"/>
  <c r="BN76" i="177"/>
  <c r="BL77" i="177"/>
  <c r="BL78" i="177" s="1"/>
  <c r="BK77" i="177"/>
  <c r="BK78" i="177" s="1"/>
  <c r="BL76" i="177"/>
  <c r="BK76" i="177"/>
  <c r="BI77" i="177"/>
  <c r="BI78" i="177" s="1"/>
  <c r="BH77" i="177"/>
  <c r="BH78" i="177" s="1"/>
  <c r="BI76" i="177"/>
  <c r="BH76" i="177"/>
  <c r="BF77" i="177"/>
  <c r="BF78" i="177" s="1"/>
  <c r="BE77" i="177"/>
  <c r="BE78" i="177" s="1"/>
  <c r="BF76" i="177"/>
  <c r="BE76" i="177"/>
  <c r="BC77" i="177"/>
  <c r="BC78" i="177" s="1"/>
  <c r="BB77" i="177"/>
  <c r="BB78" i="177" s="1"/>
  <c r="BC76" i="177"/>
  <c r="BB76" i="177"/>
  <c r="AZ77" i="177"/>
  <c r="AZ78" i="177" s="1"/>
  <c r="AY77" i="177"/>
  <c r="AY78" i="177" s="1"/>
  <c r="AZ76" i="177"/>
  <c r="AY76" i="177"/>
  <c r="AW77" i="177"/>
  <c r="AW78" i="177" s="1"/>
  <c r="AV77" i="177"/>
  <c r="AV78" i="177" s="1"/>
  <c r="AW76" i="177"/>
  <c r="AV76" i="177"/>
  <c r="AT77" i="177"/>
  <c r="AT78" i="177" s="1"/>
  <c r="AS77" i="177"/>
  <c r="AS78" i="177" s="1"/>
  <c r="AT76" i="177"/>
  <c r="AS76" i="177"/>
  <c r="AP78" i="177"/>
  <c r="AQ77" i="177"/>
  <c r="AQ78" i="177" s="1"/>
  <c r="AP77" i="177"/>
  <c r="AQ76" i="177"/>
  <c r="AP76" i="177"/>
  <c r="AN77" i="177"/>
  <c r="AN78" i="177" s="1"/>
  <c r="AM77" i="177"/>
  <c r="AM78" i="177" s="1"/>
  <c r="AN76" i="177"/>
  <c r="AM76" i="177"/>
  <c r="AL41" i="177"/>
  <c r="AM41" i="177"/>
  <c r="AN41" i="177"/>
  <c r="AO41" i="177"/>
  <c r="AP41" i="177"/>
  <c r="AQ41" i="177"/>
  <c r="AR41" i="177"/>
  <c r="AS41" i="177"/>
  <c r="AT41" i="177"/>
  <c r="AU41" i="177"/>
  <c r="AV41" i="177"/>
  <c r="AW41" i="177"/>
  <c r="AX41" i="177"/>
  <c r="AY41" i="177"/>
  <c r="AZ41" i="177"/>
  <c r="BA41" i="177"/>
  <c r="BB41" i="177"/>
  <c r="BC41" i="177"/>
  <c r="BD41" i="177"/>
  <c r="BE41" i="177"/>
  <c r="BF41" i="177"/>
  <c r="BG41" i="177"/>
  <c r="BH41" i="177"/>
  <c r="BI41" i="177"/>
  <c r="BJ41" i="177"/>
  <c r="BK41" i="177"/>
  <c r="BL41" i="177"/>
  <c r="BM41" i="177"/>
  <c r="BN41" i="177"/>
  <c r="BO41" i="177"/>
  <c r="AL42" i="177"/>
  <c r="AM42" i="177"/>
  <c r="AN42" i="177"/>
  <c r="AO42" i="177"/>
  <c r="AP42" i="177"/>
  <c r="AQ42" i="177"/>
  <c r="AR42" i="177"/>
  <c r="AS42" i="177"/>
  <c r="AT42" i="177"/>
  <c r="AU42" i="177"/>
  <c r="AV42" i="177"/>
  <c r="AW42" i="177"/>
  <c r="AX42" i="177"/>
  <c r="AY42" i="177"/>
  <c r="AZ42" i="177"/>
  <c r="BA42" i="177"/>
  <c r="BB42" i="177"/>
  <c r="BC42" i="177"/>
  <c r="BD42" i="177"/>
  <c r="BE42" i="177"/>
  <c r="BF42" i="177"/>
  <c r="BG42" i="177"/>
  <c r="BH42" i="177"/>
  <c r="BI42" i="177"/>
  <c r="BJ42" i="177"/>
  <c r="BK42" i="177"/>
  <c r="BL42" i="177"/>
  <c r="BM42" i="177"/>
  <c r="BN42" i="177"/>
  <c r="BO42" i="177"/>
  <c r="AL48" i="177"/>
  <c r="AM48" i="177"/>
  <c r="AM61" i="177" s="1"/>
  <c r="AN48" i="177"/>
  <c r="AO48" i="177"/>
  <c r="AO61" i="177" s="1"/>
  <c r="AP48" i="177"/>
  <c r="AQ48" i="177"/>
  <c r="AR48" i="177"/>
  <c r="AR61" i="177" s="1"/>
  <c r="AS48" i="177"/>
  <c r="AT48" i="177"/>
  <c r="AU48" i="177"/>
  <c r="AU61" i="177" s="1"/>
  <c r="AV48" i="177"/>
  <c r="AW48" i="177"/>
  <c r="AX48" i="177"/>
  <c r="AY48" i="177"/>
  <c r="AZ48" i="177"/>
  <c r="BA48" i="177"/>
  <c r="BA61" i="177" s="1"/>
  <c r="BB48" i="177"/>
  <c r="BC48" i="177"/>
  <c r="BC61" i="177" s="1"/>
  <c r="BD48" i="177"/>
  <c r="BE48" i="177"/>
  <c r="BF48" i="177"/>
  <c r="BG48" i="177"/>
  <c r="BG61" i="177" s="1"/>
  <c r="BH48" i="177"/>
  <c r="BI48" i="177"/>
  <c r="BJ48" i="177"/>
  <c r="BJ61" i="177" s="1"/>
  <c r="BK48" i="177"/>
  <c r="BL48" i="177"/>
  <c r="BM48" i="177"/>
  <c r="BN48" i="177"/>
  <c r="BN61" i="177" s="1"/>
  <c r="BO48" i="177"/>
  <c r="BO61" i="177" s="1"/>
  <c r="AL61" i="177"/>
  <c r="AN61" i="177"/>
  <c r="AP61" i="177"/>
  <c r="AQ61" i="177"/>
  <c r="AS61" i="177"/>
  <c r="AT61" i="177"/>
  <c r="AV61" i="177"/>
  <c r="AW61" i="177"/>
  <c r="AX61" i="177"/>
  <c r="AY61" i="177"/>
  <c r="AZ61" i="177"/>
  <c r="BB61" i="177"/>
  <c r="BD61" i="177"/>
  <c r="BE61" i="177"/>
  <c r="BF61" i="177"/>
  <c r="BH61" i="177"/>
  <c r="BI61" i="177"/>
  <c r="BK61" i="177"/>
  <c r="BL61" i="177"/>
  <c r="BM61" i="177"/>
  <c r="AQ7" i="177"/>
  <c r="AN7" i="177"/>
  <c r="AK7" i="177"/>
  <c r="AH7" i="177"/>
  <c r="BU6" i="177"/>
  <c r="BT6" i="177"/>
  <c r="BS6" i="177"/>
  <c r="BR6" i="177"/>
  <c r="BQ6" i="177"/>
  <c r="BP6" i="177"/>
  <c r="BO6" i="177"/>
  <c r="BN6" i="177"/>
  <c r="BM6" i="177"/>
  <c r="BL6" i="177"/>
  <c r="BK6" i="177"/>
  <c r="BJ6" i="177"/>
  <c r="BI6" i="177"/>
  <c r="BH6" i="177"/>
  <c r="BG6" i="177"/>
  <c r="BF6" i="177"/>
  <c r="BE6" i="177"/>
  <c r="BD6" i="177"/>
  <c r="BC6" i="177"/>
  <c r="BB6" i="177"/>
  <c r="BA6" i="177"/>
  <c r="AZ6" i="177"/>
  <c r="AY6" i="177"/>
  <c r="AX6" i="177"/>
  <c r="AW6" i="177"/>
  <c r="AV6" i="177"/>
  <c r="AU6" i="177"/>
  <c r="AT6" i="177"/>
  <c r="AS6" i="177"/>
  <c r="AR6" i="177"/>
  <c r="AQ6" i="177"/>
  <c r="AP6" i="177"/>
  <c r="AO6" i="177"/>
  <c r="AN6" i="177"/>
  <c r="AM6" i="177"/>
  <c r="AL6" i="177"/>
  <c r="F128" i="248"/>
  <c r="L130" i="243"/>
  <c r="I14" i="243" l="1"/>
  <c r="F61" i="240"/>
  <c r="F45" i="250"/>
  <c r="AJ25" i="217"/>
  <c r="AU214" i="217" l="1"/>
  <c r="AT214" i="217"/>
  <c r="AS214" i="217"/>
  <c r="AR214" i="217"/>
  <c r="AQ214" i="217"/>
  <c r="AP214" i="217"/>
  <c r="AO214" i="217"/>
  <c r="AN214" i="217"/>
  <c r="AM214" i="217"/>
  <c r="AL214" i="217"/>
  <c r="AK214" i="217"/>
  <c r="AJ214" i="217"/>
  <c r="AV214" i="217" s="1"/>
  <c r="AH214" i="217"/>
  <c r="AG214" i="217"/>
  <c r="AF214" i="217"/>
  <c r="AE214" i="217"/>
  <c r="AD214" i="217"/>
  <c r="AC214" i="217"/>
  <c r="AB214" i="217"/>
  <c r="AA214" i="217"/>
  <c r="Z214" i="217"/>
  <c r="AI214" i="217" s="1"/>
  <c r="Y214" i="217"/>
  <c r="X214" i="217"/>
  <c r="W214" i="217"/>
  <c r="AU213" i="217"/>
  <c r="AT213" i="217"/>
  <c r="AS213" i="217"/>
  <c r="AR213" i="217"/>
  <c r="AQ213" i="217"/>
  <c r="AP213" i="217"/>
  <c r="AO213" i="217"/>
  <c r="AN213" i="217"/>
  <c r="AM213" i="217"/>
  <c r="AL213" i="217"/>
  <c r="AK213" i="217"/>
  <c r="AJ213" i="217"/>
  <c r="AV213" i="217" s="1"/>
  <c r="AI213" i="217"/>
  <c r="AH213" i="217"/>
  <c r="AG213" i="217"/>
  <c r="AF213" i="217"/>
  <c r="AE213" i="217"/>
  <c r="AD213" i="217"/>
  <c r="AC213" i="217"/>
  <c r="AB213" i="217"/>
  <c r="AA213" i="217"/>
  <c r="Z213" i="217"/>
  <c r="Y213" i="217"/>
  <c r="X213" i="217"/>
  <c r="W213" i="217"/>
  <c r="AU210" i="217"/>
  <c r="AT210" i="217"/>
  <c r="AS210" i="217"/>
  <c r="AR210" i="217"/>
  <c r="AQ210" i="217"/>
  <c r="AP210" i="217"/>
  <c r="AO210" i="217"/>
  <c r="AN210" i="217"/>
  <c r="AM210" i="217"/>
  <c r="AL210" i="217"/>
  <c r="AK210" i="217"/>
  <c r="AJ210" i="217"/>
  <c r="AV210" i="217" s="1"/>
  <c r="AI210" i="217"/>
  <c r="AH210" i="217"/>
  <c r="AG210" i="217"/>
  <c r="AF210" i="217"/>
  <c r="AE210" i="217"/>
  <c r="AD210" i="217"/>
  <c r="AC210" i="217"/>
  <c r="AB210" i="217"/>
  <c r="AA210" i="217"/>
  <c r="Z210" i="217"/>
  <c r="Y210" i="217"/>
  <c r="X210" i="217"/>
  <c r="W210" i="217"/>
  <c r="J43" i="251"/>
  <c r="K118" i="251"/>
  <c r="K111" i="251"/>
  <c r="K104" i="251"/>
  <c r="K97" i="251"/>
  <c r="K90" i="251"/>
  <c r="K83" i="251"/>
  <c r="K76" i="251"/>
  <c r="K69" i="251"/>
  <c r="K62" i="251"/>
  <c r="K55" i="251"/>
  <c r="K48" i="251"/>
  <c r="K114" i="240"/>
  <c r="AD51" i="230" l="1"/>
  <c r="AC51" i="230"/>
  <c r="AB51" i="230"/>
  <c r="AA51" i="230"/>
  <c r="Z51" i="230"/>
  <c r="Y51" i="230"/>
  <c r="X51" i="230"/>
  <c r="W51" i="230"/>
  <c r="V51" i="230"/>
  <c r="U51" i="230"/>
  <c r="T51" i="230"/>
  <c r="S51" i="230"/>
  <c r="AD50" i="230"/>
  <c r="AC50" i="230"/>
  <c r="AB50" i="230"/>
  <c r="AA50" i="230"/>
  <c r="Z50" i="230"/>
  <c r="Y50" i="230"/>
  <c r="X50" i="230"/>
  <c r="W50" i="230"/>
  <c r="V50" i="230"/>
  <c r="U50" i="230"/>
  <c r="T50" i="230"/>
  <c r="S50" i="230"/>
  <c r="AD49" i="230"/>
  <c r="AC49" i="230"/>
  <c r="AB49" i="230"/>
  <c r="AA49" i="230"/>
  <c r="Z49" i="230"/>
  <c r="Y49" i="230"/>
  <c r="X49" i="230"/>
  <c r="W49" i="230"/>
  <c r="V49" i="230"/>
  <c r="U49" i="230"/>
  <c r="T49" i="230"/>
  <c r="S49" i="230"/>
  <c r="AD47" i="230"/>
  <c r="AC47" i="230"/>
  <c r="AB47" i="230"/>
  <c r="AA47" i="230"/>
  <c r="Z47" i="230"/>
  <c r="Y47" i="230"/>
  <c r="X47" i="230"/>
  <c r="W47" i="230"/>
  <c r="V47" i="230"/>
  <c r="U47" i="230"/>
  <c r="T47" i="230"/>
  <c r="S47" i="230"/>
  <c r="AD46" i="230"/>
  <c r="AC46" i="230"/>
  <c r="AB46" i="230"/>
  <c r="AA46" i="230"/>
  <c r="Z46" i="230"/>
  <c r="Y46" i="230"/>
  <c r="X46" i="230"/>
  <c r="W46" i="230"/>
  <c r="V46" i="230"/>
  <c r="U46" i="230"/>
  <c r="T46" i="230"/>
  <c r="S46" i="230"/>
  <c r="AD45" i="230"/>
  <c r="AC45" i="230"/>
  <c r="AB45" i="230"/>
  <c r="AA45" i="230"/>
  <c r="Z45" i="230"/>
  <c r="Y45" i="230"/>
  <c r="X45" i="230"/>
  <c r="W45" i="230"/>
  <c r="V45" i="230"/>
  <c r="U45" i="230"/>
  <c r="T45" i="230"/>
  <c r="S45" i="230"/>
  <c r="AD41" i="230"/>
  <c r="AC41" i="230"/>
  <c r="AB41" i="230"/>
  <c r="AA41" i="230"/>
  <c r="Z41" i="230"/>
  <c r="Y41" i="230"/>
  <c r="X41" i="230"/>
  <c r="W41" i="230"/>
  <c r="V41" i="230"/>
  <c r="U41" i="230"/>
  <c r="T41" i="230"/>
  <c r="S41" i="230"/>
  <c r="AD40" i="230"/>
  <c r="AC40" i="230"/>
  <c r="AB40" i="230"/>
  <c r="AA40" i="230"/>
  <c r="Z40" i="230"/>
  <c r="Y40" i="230"/>
  <c r="X40" i="230"/>
  <c r="W40" i="230"/>
  <c r="V40" i="230"/>
  <c r="U40" i="230"/>
  <c r="T40" i="230"/>
  <c r="S40" i="230"/>
  <c r="AD39" i="230"/>
  <c r="AC39" i="230"/>
  <c r="AB39" i="230"/>
  <c r="AA39" i="230"/>
  <c r="Z39" i="230"/>
  <c r="Y39" i="230"/>
  <c r="X39" i="230"/>
  <c r="W39" i="230"/>
  <c r="V39" i="230"/>
  <c r="U39" i="230"/>
  <c r="T39" i="230"/>
  <c r="S39" i="230"/>
  <c r="AD36" i="230"/>
  <c r="AC36" i="230"/>
  <c r="AB36" i="230"/>
  <c r="AA36" i="230"/>
  <c r="Z36" i="230"/>
  <c r="Y36" i="230"/>
  <c r="X36" i="230"/>
  <c r="W36" i="230"/>
  <c r="V36" i="230"/>
  <c r="U36" i="230"/>
  <c r="T36" i="230"/>
  <c r="S36" i="230"/>
  <c r="AD35" i="230"/>
  <c r="AC35" i="230"/>
  <c r="AB35" i="230"/>
  <c r="AA35" i="230"/>
  <c r="Z35" i="230"/>
  <c r="Y35" i="230"/>
  <c r="X35" i="230"/>
  <c r="W35" i="230"/>
  <c r="V35" i="230"/>
  <c r="U35" i="230"/>
  <c r="T35" i="230"/>
  <c r="S35" i="230"/>
  <c r="AD34" i="230"/>
  <c r="AC34" i="230"/>
  <c r="AB34" i="230"/>
  <c r="AA34" i="230"/>
  <c r="Z34" i="230"/>
  <c r="Y34" i="230"/>
  <c r="X34" i="230"/>
  <c r="W34" i="230"/>
  <c r="V34" i="230"/>
  <c r="U34" i="230"/>
  <c r="T34" i="230"/>
  <c r="S34" i="230"/>
  <c r="AD33" i="230"/>
  <c r="AC33" i="230"/>
  <c r="AB33" i="230"/>
  <c r="AA33" i="230"/>
  <c r="Z33" i="230"/>
  <c r="Y33" i="230"/>
  <c r="X33" i="230"/>
  <c r="W33" i="230"/>
  <c r="V33" i="230"/>
  <c r="U33" i="230"/>
  <c r="T33" i="230"/>
  <c r="S33" i="230"/>
  <c r="AD32" i="230"/>
  <c r="AC32" i="230"/>
  <c r="AB32" i="230"/>
  <c r="AA32" i="230"/>
  <c r="Z32" i="230"/>
  <c r="Y32" i="230"/>
  <c r="X32" i="230"/>
  <c r="W32" i="230"/>
  <c r="V32" i="230"/>
  <c r="U32" i="230"/>
  <c r="T32" i="230"/>
  <c r="S32" i="230"/>
  <c r="Y6" i="221"/>
  <c r="Z6" i="221"/>
  <c r="AA6" i="221"/>
  <c r="AB6" i="221"/>
  <c r="AC6" i="221"/>
  <c r="AD6" i="221"/>
  <c r="AE6" i="221"/>
  <c r="AF6" i="221"/>
  <c r="AG6" i="221"/>
  <c r="AH6" i="221"/>
  <c r="AI6" i="221"/>
  <c r="AJ6" i="221"/>
  <c r="AK6" i="221"/>
  <c r="Y6" i="220"/>
  <c r="Z6" i="220"/>
  <c r="AA6" i="220"/>
  <c r="AB6" i="220"/>
  <c r="AC6" i="220"/>
  <c r="AD6" i="220"/>
  <c r="AE6" i="220"/>
  <c r="AF6" i="220"/>
  <c r="AG6" i="220"/>
  <c r="AH6" i="220"/>
  <c r="AI6" i="220"/>
  <c r="AJ6" i="220"/>
  <c r="AK6" i="220"/>
  <c r="Y6" i="219"/>
  <c r="Z6" i="219"/>
  <c r="AA6" i="219"/>
  <c r="AB6" i="219"/>
  <c r="AC6" i="219"/>
  <c r="AD6" i="219"/>
  <c r="AE6" i="219"/>
  <c r="AF6" i="219"/>
  <c r="AG6" i="219"/>
  <c r="AH6" i="219"/>
  <c r="AI6" i="219"/>
  <c r="AJ6" i="219"/>
  <c r="AK6" i="219"/>
  <c r="Y6" i="218"/>
  <c r="Z6" i="218"/>
  <c r="AA6" i="218"/>
  <c r="AB6" i="218"/>
  <c r="AC6" i="218"/>
  <c r="AD6" i="218"/>
  <c r="AE6" i="218"/>
  <c r="AF6" i="218"/>
  <c r="AG6" i="218"/>
  <c r="AH6" i="218"/>
  <c r="AI6" i="218"/>
  <c r="AJ6" i="218"/>
  <c r="AK6" i="218"/>
  <c r="Y6" i="204"/>
  <c r="Z6" i="204"/>
  <c r="AA6" i="204"/>
  <c r="AB6" i="204"/>
  <c r="AC6" i="204"/>
  <c r="AD6" i="204"/>
  <c r="AE6" i="204"/>
  <c r="AF6" i="204"/>
  <c r="AG6" i="204"/>
  <c r="AH6" i="204"/>
  <c r="AI6" i="204"/>
  <c r="AJ6" i="204"/>
  <c r="AK6" i="204"/>
  <c r="V48" i="230" l="1"/>
  <c r="V44" i="230"/>
  <c r="Y48" i="230"/>
  <c r="AB44" i="230"/>
  <c r="Y31" i="230"/>
  <c r="Z48" i="230"/>
  <c r="W44" i="230"/>
  <c r="AA48" i="230"/>
  <c r="AC48" i="230"/>
  <c r="X44" i="230"/>
  <c r="AC44" i="230"/>
  <c r="AA31" i="230"/>
  <c r="AD48" i="230"/>
  <c r="U31" i="230"/>
  <c r="AD31" i="230"/>
  <c r="AA44" i="230"/>
  <c r="T31" i="230"/>
  <c r="Z31" i="230"/>
  <c r="AB31" i="230"/>
  <c r="AD44" i="230"/>
  <c r="S48" i="230"/>
  <c r="W48" i="230"/>
  <c r="Y44" i="230"/>
  <c r="AB48" i="230"/>
  <c r="U44" i="230"/>
  <c r="X31" i="230"/>
  <c r="T44" i="230"/>
  <c r="AC31" i="230"/>
  <c r="Z44" i="230"/>
  <c r="U48" i="230"/>
  <c r="W31" i="230"/>
  <c r="S44" i="230"/>
  <c r="X48" i="230"/>
  <c r="S31" i="230"/>
  <c r="T48" i="230"/>
  <c r="V31" i="230"/>
  <c r="J120" i="251"/>
  <c r="I120" i="251"/>
  <c r="H120" i="251"/>
  <c r="E120" i="251"/>
  <c r="K120" i="251" s="1"/>
  <c r="V119" i="251"/>
  <c r="U119" i="251"/>
  <c r="S119" i="251"/>
  <c r="H119" i="251"/>
  <c r="T119" i="251" s="1"/>
  <c r="W115" i="251"/>
  <c r="J113" i="251"/>
  <c r="I113" i="251"/>
  <c r="H113" i="251"/>
  <c r="E113" i="251"/>
  <c r="K113" i="251" s="1"/>
  <c r="V112" i="251"/>
  <c r="U112" i="251"/>
  <c r="S112" i="251"/>
  <c r="H112" i="251"/>
  <c r="T112" i="251" s="1"/>
  <c r="W108" i="251"/>
  <c r="J106" i="251"/>
  <c r="I106" i="251"/>
  <c r="H106" i="251"/>
  <c r="E106" i="251"/>
  <c r="K106" i="251" s="1"/>
  <c r="V105" i="251"/>
  <c r="U105" i="251"/>
  <c r="S105" i="251"/>
  <c r="H105" i="251"/>
  <c r="T105" i="251" s="1"/>
  <c r="W101" i="251"/>
  <c r="J99" i="251"/>
  <c r="I99" i="251"/>
  <c r="H99" i="251"/>
  <c r="E99" i="251"/>
  <c r="K99" i="251" s="1"/>
  <c r="V98" i="251"/>
  <c r="U98" i="251"/>
  <c r="S98" i="251"/>
  <c r="H98" i="251"/>
  <c r="T98" i="251" s="1"/>
  <c r="W94" i="251"/>
  <c r="J92" i="251"/>
  <c r="I92" i="251"/>
  <c r="H92" i="251"/>
  <c r="E92" i="251"/>
  <c r="K92" i="251" s="1"/>
  <c r="V91" i="251"/>
  <c r="U91" i="251"/>
  <c r="S91" i="251"/>
  <c r="H91" i="251"/>
  <c r="T91" i="251" s="1"/>
  <c r="W87" i="251"/>
  <c r="J85" i="251"/>
  <c r="I85" i="251"/>
  <c r="H85" i="251"/>
  <c r="E85" i="251"/>
  <c r="K85" i="251" s="1"/>
  <c r="V84" i="251"/>
  <c r="U84" i="251"/>
  <c r="S84" i="251"/>
  <c r="H84" i="251"/>
  <c r="T84" i="251" s="1"/>
  <c r="W80" i="251"/>
  <c r="J78" i="251"/>
  <c r="I78" i="251"/>
  <c r="H78" i="251"/>
  <c r="E78" i="251"/>
  <c r="K78" i="251" s="1"/>
  <c r="V77" i="251"/>
  <c r="U77" i="251"/>
  <c r="S77" i="251"/>
  <c r="H77" i="251"/>
  <c r="T77" i="251" s="1"/>
  <c r="W73" i="251"/>
  <c r="J71" i="251"/>
  <c r="I71" i="251"/>
  <c r="H71" i="251"/>
  <c r="E71" i="251"/>
  <c r="K71" i="251" s="1"/>
  <c r="V70" i="251"/>
  <c r="U70" i="251"/>
  <c r="T70" i="251"/>
  <c r="S70" i="251"/>
  <c r="H70" i="251"/>
  <c r="W66" i="251"/>
  <c r="J64" i="251"/>
  <c r="I64" i="251"/>
  <c r="H64" i="251"/>
  <c r="E64" i="251"/>
  <c r="K64" i="251" s="1"/>
  <c r="V63" i="251"/>
  <c r="U63" i="251"/>
  <c r="T63" i="251"/>
  <c r="S63" i="251"/>
  <c r="H63" i="251"/>
  <c r="W59" i="251"/>
  <c r="V56" i="251"/>
  <c r="U56" i="251"/>
  <c r="S56" i="251"/>
  <c r="H56" i="251"/>
  <c r="T56" i="251" s="1"/>
  <c r="W52" i="251"/>
  <c r="V49" i="251"/>
  <c r="U49" i="251"/>
  <c r="S49" i="251"/>
  <c r="H49" i="251"/>
  <c r="T49" i="251" s="1"/>
  <c r="W45" i="251"/>
  <c r="V42" i="251"/>
  <c r="U42" i="251"/>
  <c r="S42" i="251"/>
  <c r="H42" i="251"/>
  <c r="T42" i="251" s="1"/>
  <c r="K41" i="251"/>
  <c r="W38" i="251"/>
  <c r="J36" i="251"/>
  <c r="G35" i="251"/>
  <c r="F35" i="251"/>
  <c r="E35" i="251"/>
  <c r="F34" i="251"/>
  <c r="E34" i="251" s="1"/>
  <c r="K34" i="251" s="1"/>
  <c r="R33" i="251"/>
  <c r="R32" i="251"/>
  <c r="K32" i="251"/>
  <c r="R31" i="251"/>
  <c r="I31" i="251"/>
  <c r="I33" i="251" s="1"/>
  <c r="E33" i="251" s="1"/>
  <c r="K33" i="251" s="1"/>
  <c r="G31" i="251"/>
  <c r="R30" i="251"/>
  <c r="R34" i="251" s="1"/>
  <c r="F30" i="251"/>
  <c r="K29" i="251"/>
  <c r="I28" i="251"/>
  <c r="H28" i="251"/>
  <c r="G28" i="251"/>
  <c r="G27" i="251"/>
  <c r="E27" i="251"/>
  <c r="F24" i="251"/>
  <c r="E24" i="251"/>
  <c r="K24" i="251" s="1"/>
  <c r="I23" i="251"/>
  <c r="G23" i="251"/>
  <c r="E23" i="251"/>
  <c r="E25" i="251" s="1"/>
  <c r="I22" i="251"/>
  <c r="I25" i="251" s="1"/>
  <c r="H22" i="251"/>
  <c r="H25" i="251" s="1"/>
  <c r="G22" i="251"/>
  <c r="G25" i="251" s="1"/>
  <c r="F22" i="251"/>
  <c r="E22" i="251"/>
  <c r="H20" i="251"/>
  <c r="G20" i="251"/>
  <c r="I17" i="251"/>
  <c r="H16" i="251"/>
  <c r="H17" i="251" s="1"/>
  <c r="G16" i="251"/>
  <c r="G17" i="251" s="1"/>
  <c r="F16" i="251"/>
  <c r="E16" i="251"/>
  <c r="F15" i="251"/>
  <c r="F17" i="251" s="1"/>
  <c r="E15" i="251"/>
  <c r="K15" i="251" s="1"/>
  <c r="K14" i="251"/>
  <c r="I12" i="251"/>
  <c r="I11" i="251"/>
  <c r="H11" i="251"/>
  <c r="H12" i="251" s="1"/>
  <c r="G11" i="251"/>
  <c r="F11" i="251"/>
  <c r="E11" i="251"/>
  <c r="K11" i="251" s="1"/>
  <c r="G10" i="251"/>
  <c r="G12" i="251" s="1"/>
  <c r="E10" i="251"/>
  <c r="E9" i="251"/>
  <c r="K9" i="251" s="1"/>
  <c r="F8" i="251"/>
  <c r="F12" i="251" s="1"/>
  <c r="E8" i="251"/>
  <c r="I6" i="251"/>
  <c r="H6" i="251"/>
  <c r="G6" i="251"/>
  <c r="K5" i="251"/>
  <c r="F4" i="251"/>
  <c r="E4" i="251"/>
  <c r="K4" i="251" s="1"/>
  <c r="F3" i="251"/>
  <c r="E3" i="251"/>
  <c r="S12" i="236"/>
  <c r="S29" i="236" s="1"/>
  <c r="S56" i="236" s="1"/>
  <c r="T12" i="236"/>
  <c r="U12" i="236"/>
  <c r="U29" i="236" s="1"/>
  <c r="U56" i="236" s="1"/>
  <c r="V12" i="236"/>
  <c r="V29" i="236" s="1"/>
  <c r="V56" i="236" s="1"/>
  <c r="W12" i="236"/>
  <c r="W29" i="236" s="1"/>
  <c r="W56" i="236" s="1"/>
  <c r="X12" i="236"/>
  <c r="Y12" i="236"/>
  <c r="Y29" i="236" s="1"/>
  <c r="Y56" i="236" s="1"/>
  <c r="Z12" i="236"/>
  <c r="Z29" i="236" s="1"/>
  <c r="Z56" i="236" s="1"/>
  <c r="AA12" i="236"/>
  <c r="AA29" i="236" s="1"/>
  <c r="AB12" i="236"/>
  <c r="AC12" i="236"/>
  <c r="AD12" i="236"/>
  <c r="AE13" i="236"/>
  <c r="AE15" i="236"/>
  <c r="AE16" i="236"/>
  <c r="AE17" i="236"/>
  <c r="S18" i="236"/>
  <c r="T18" i="236"/>
  <c r="T29" i="236" s="1"/>
  <c r="T56" i="236" s="1"/>
  <c r="U18" i="236"/>
  <c r="V18" i="236"/>
  <c r="W18" i="236"/>
  <c r="X18" i="236"/>
  <c r="X29" i="236" s="1"/>
  <c r="Y18" i="236"/>
  <c r="Z18" i="236"/>
  <c r="AA18" i="236"/>
  <c r="AB18" i="236"/>
  <c r="AB29" i="236" s="1"/>
  <c r="AC18" i="236"/>
  <c r="AC29" i="236" s="1"/>
  <c r="AD18" i="236"/>
  <c r="AE19" i="236"/>
  <c r="AE18" i="236" s="1"/>
  <c r="AE20" i="236"/>
  <c r="AE21" i="236"/>
  <c r="AE22" i="236"/>
  <c r="AE23" i="236"/>
  <c r="AE24" i="236"/>
  <c r="AE25" i="236"/>
  <c r="AE27" i="236"/>
  <c r="AD29" i="236"/>
  <c r="AD56" i="236" s="1"/>
  <c r="S31" i="236"/>
  <c r="T31" i="236"/>
  <c r="U31" i="236"/>
  <c r="V31" i="236"/>
  <c r="V42" i="236" s="1"/>
  <c r="W31" i="236"/>
  <c r="W42" i="236" s="1"/>
  <c r="X31" i="236"/>
  <c r="Y31" i="236"/>
  <c r="Z31" i="236"/>
  <c r="Z42" i="236" s="1"/>
  <c r="AA31" i="236"/>
  <c r="AA42" i="236" s="1"/>
  <c r="AB31" i="236"/>
  <c r="AB42" i="236" s="1"/>
  <c r="AC31" i="236"/>
  <c r="AD31" i="236"/>
  <c r="AE32" i="236"/>
  <c r="AE31" i="236" s="1"/>
  <c r="AE33" i="236"/>
  <c r="AE34" i="236"/>
  <c r="AE35" i="236"/>
  <c r="AE36" i="236"/>
  <c r="S37" i="236"/>
  <c r="S42" i="236" s="1"/>
  <c r="T37" i="236"/>
  <c r="U37" i="236"/>
  <c r="V37" i="236"/>
  <c r="W37" i="236"/>
  <c r="X37" i="236"/>
  <c r="X42" i="236" s="1"/>
  <c r="Y37" i="236"/>
  <c r="Z37" i="236"/>
  <c r="AA37" i="236"/>
  <c r="AB37" i="236"/>
  <c r="AC37" i="236"/>
  <c r="AD37" i="236"/>
  <c r="AE38" i="236"/>
  <c r="AE37" i="236" s="1"/>
  <c r="AE39" i="236"/>
  <c r="AE40" i="236"/>
  <c r="AE41" i="236"/>
  <c r="T42" i="236"/>
  <c r="U42" i="236"/>
  <c r="Y42" i="236"/>
  <c r="AC42" i="236"/>
  <c r="AD42" i="236"/>
  <c r="S44" i="236"/>
  <c r="T44" i="236"/>
  <c r="U44" i="236"/>
  <c r="V44" i="236"/>
  <c r="W44" i="236"/>
  <c r="X44" i="236"/>
  <c r="X52" i="236" s="1"/>
  <c r="Y44" i="236"/>
  <c r="Y52" i="236" s="1"/>
  <c r="Z44" i="236"/>
  <c r="Z52" i="236" s="1"/>
  <c r="AA44" i="236"/>
  <c r="AB44" i="236"/>
  <c r="AC44" i="236"/>
  <c r="AC52" i="236" s="1"/>
  <c r="AD44" i="236"/>
  <c r="AE44" i="236"/>
  <c r="AE45" i="236"/>
  <c r="AE46" i="236"/>
  <c r="AE47" i="236"/>
  <c r="S48" i="236"/>
  <c r="S52" i="236" s="1"/>
  <c r="T48" i="236"/>
  <c r="T52" i="236" s="1"/>
  <c r="U48" i="236"/>
  <c r="V48" i="236"/>
  <c r="W48" i="236"/>
  <c r="W52" i="236" s="1"/>
  <c r="X48" i="236"/>
  <c r="Y48" i="236"/>
  <c r="Z48" i="236"/>
  <c r="AA48" i="236"/>
  <c r="AB48" i="236"/>
  <c r="AB52" i="236" s="1"/>
  <c r="AC48" i="236"/>
  <c r="AD48" i="236"/>
  <c r="AE49" i="236"/>
  <c r="AE48" i="236" s="1"/>
  <c r="AE52" i="236" s="1"/>
  <c r="AE50" i="236"/>
  <c r="AE51" i="236"/>
  <c r="U52" i="236"/>
  <c r="V52" i="236"/>
  <c r="AA52" i="236"/>
  <c r="AD52" i="236"/>
  <c r="BF194" i="172"/>
  <c r="BE194" i="172"/>
  <c r="BD194" i="172"/>
  <c r="BC194" i="172"/>
  <c r="BB194" i="172"/>
  <c r="BA194" i="172"/>
  <c r="AZ194" i="172"/>
  <c r="AY194" i="172"/>
  <c r="AX194" i="172"/>
  <c r="AW194" i="172"/>
  <c r="AV194" i="172"/>
  <c r="AU194" i="172"/>
  <c r="BF193" i="172"/>
  <c r="BE193" i="172"/>
  <c r="BD193" i="172"/>
  <c r="BC193" i="172"/>
  <c r="BB193" i="172"/>
  <c r="BA193" i="172"/>
  <c r="AZ193" i="172"/>
  <c r="AY193" i="172"/>
  <c r="AX193" i="172"/>
  <c r="AW193" i="172"/>
  <c r="AV193" i="172"/>
  <c r="AU193" i="172"/>
  <c r="BF192" i="172"/>
  <c r="BE192" i="172"/>
  <c r="BD192" i="172"/>
  <c r="BC192" i="172"/>
  <c r="BB192" i="172"/>
  <c r="BA192" i="172"/>
  <c r="AZ192" i="172"/>
  <c r="AY192" i="172"/>
  <c r="AX192" i="172"/>
  <c r="AW192" i="172"/>
  <c r="AV192" i="172"/>
  <c r="AU192" i="172"/>
  <c r="BF191" i="172"/>
  <c r="BE191" i="172"/>
  <c r="BD191" i="172"/>
  <c r="BC191" i="172"/>
  <c r="BB191" i="172"/>
  <c r="BA191" i="172"/>
  <c r="AZ191" i="172"/>
  <c r="AY191" i="172"/>
  <c r="AX191" i="172"/>
  <c r="AW191" i="172"/>
  <c r="AV191" i="172"/>
  <c r="AU191" i="172"/>
  <c r="BF190" i="172"/>
  <c r="BE190" i="172"/>
  <c r="BD190" i="172"/>
  <c r="BC190" i="172"/>
  <c r="BB190" i="172"/>
  <c r="BA190" i="172"/>
  <c r="AZ190" i="172"/>
  <c r="AY190" i="172"/>
  <c r="AX190" i="172"/>
  <c r="AW190" i="172"/>
  <c r="AV190" i="172"/>
  <c r="AU190" i="172"/>
  <c r="BF189" i="172"/>
  <c r="BE189" i="172"/>
  <c r="BD189" i="172"/>
  <c r="BC189" i="172"/>
  <c r="BB189" i="172"/>
  <c r="BA189" i="172"/>
  <c r="AZ189" i="172"/>
  <c r="AY189" i="172"/>
  <c r="AX189" i="172"/>
  <c r="AW189" i="172"/>
  <c r="AV189" i="172"/>
  <c r="AU189" i="172"/>
  <c r="BF188" i="172"/>
  <c r="BE188" i="172"/>
  <c r="BD188" i="172"/>
  <c r="BC188" i="172"/>
  <c r="BB188" i="172"/>
  <c r="BA188" i="172"/>
  <c r="AZ188" i="172"/>
  <c r="AY188" i="172"/>
  <c r="AX188" i="172"/>
  <c r="AW188" i="172"/>
  <c r="AV188" i="172"/>
  <c r="AU188" i="172"/>
  <c r="BF187" i="172"/>
  <c r="BE187" i="172"/>
  <c r="BD187" i="172"/>
  <c r="BC187" i="172"/>
  <c r="BB187" i="172"/>
  <c r="BA187" i="172"/>
  <c r="AZ187" i="172"/>
  <c r="AY187" i="172"/>
  <c r="AX187" i="172"/>
  <c r="AW187" i="172"/>
  <c r="AV187" i="172"/>
  <c r="AU187" i="172"/>
  <c r="BF186" i="172"/>
  <c r="BE186" i="172"/>
  <c r="BD186" i="172"/>
  <c r="BC186" i="172"/>
  <c r="BB186" i="172"/>
  <c r="BA186" i="172"/>
  <c r="AZ186" i="172"/>
  <c r="AY186" i="172"/>
  <c r="AX186" i="172"/>
  <c r="AW186" i="172"/>
  <c r="AV186" i="172"/>
  <c r="AU186" i="172"/>
  <c r="BF185" i="172"/>
  <c r="BE185" i="172"/>
  <c r="BD185" i="172"/>
  <c r="BC185" i="172"/>
  <c r="BB185" i="172"/>
  <c r="BA185" i="172"/>
  <c r="AZ185" i="172"/>
  <c r="AY185" i="172"/>
  <c r="AX185" i="172"/>
  <c r="AW185" i="172"/>
  <c r="AV185" i="172"/>
  <c r="AU185" i="172"/>
  <c r="BF184" i="172"/>
  <c r="BE184" i="172"/>
  <c r="BD184" i="172"/>
  <c r="BC184" i="172"/>
  <c r="BB184" i="172"/>
  <c r="BA184" i="172"/>
  <c r="AZ184" i="172"/>
  <c r="AY184" i="172"/>
  <c r="AX184" i="172"/>
  <c r="AW184" i="172"/>
  <c r="AV184" i="172"/>
  <c r="AU184" i="172"/>
  <c r="BF183" i="172"/>
  <c r="BE183" i="172"/>
  <c r="BD183" i="172"/>
  <c r="BC183" i="172"/>
  <c r="BB183" i="172"/>
  <c r="BA183" i="172"/>
  <c r="AZ183" i="172"/>
  <c r="AY183" i="172"/>
  <c r="AX183" i="172"/>
  <c r="AW183" i="172"/>
  <c r="AV183" i="172"/>
  <c r="AU183" i="172"/>
  <c r="BF182" i="172"/>
  <c r="BE182" i="172"/>
  <c r="BD182" i="172"/>
  <c r="BC182" i="172"/>
  <c r="BB182" i="172"/>
  <c r="BA182" i="172"/>
  <c r="AZ182" i="172"/>
  <c r="AY182" i="172"/>
  <c r="AX182" i="172"/>
  <c r="AW182" i="172"/>
  <c r="AV182" i="172"/>
  <c r="AU182" i="172"/>
  <c r="BF181" i="172"/>
  <c r="BE181" i="172"/>
  <c r="BD181" i="172"/>
  <c r="BC181" i="172"/>
  <c r="BB181" i="172"/>
  <c r="BA181" i="172"/>
  <c r="AZ181" i="172"/>
  <c r="AY181" i="172"/>
  <c r="AX181" i="172"/>
  <c r="AW181" i="172"/>
  <c r="AV181" i="172"/>
  <c r="AU181" i="172"/>
  <c r="BF180" i="172"/>
  <c r="BE180" i="172"/>
  <c r="BD180" i="172"/>
  <c r="BC180" i="172"/>
  <c r="BB180" i="172"/>
  <c r="BA180" i="172"/>
  <c r="AZ180" i="172"/>
  <c r="AY180" i="172"/>
  <c r="AX180" i="172"/>
  <c r="AW180" i="172"/>
  <c r="AV180" i="172"/>
  <c r="AU180" i="172"/>
  <c r="BF179" i="172"/>
  <c r="BE179" i="172"/>
  <c r="BD179" i="172"/>
  <c r="BC179" i="172"/>
  <c r="BB179" i="172"/>
  <c r="BA179" i="172"/>
  <c r="AZ179" i="172"/>
  <c r="AY179" i="172"/>
  <c r="AX179" i="172"/>
  <c r="AW179" i="172"/>
  <c r="AV179" i="172"/>
  <c r="AU179" i="172"/>
  <c r="BF178" i="172"/>
  <c r="BE178" i="172"/>
  <c r="BD178" i="172"/>
  <c r="BC178" i="172"/>
  <c r="BB178" i="172"/>
  <c r="BA178" i="172"/>
  <c r="AZ178" i="172"/>
  <c r="AY178" i="172"/>
  <c r="AX178" i="172"/>
  <c r="AW178" i="172"/>
  <c r="AV178" i="172"/>
  <c r="AU178" i="172"/>
  <c r="BF177" i="172"/>
  <c r="BE177" i="172"/>
  <c r="BD177" i="172"/>
  <c r="BC177" i="172"/>
  <c r="BB177" i="172"/>
  <c r="BA177" i="172"/>
  <c r="AZ177" i="172"/>
  <c r="AY177" i="172"/>
  <c r="AX177" i="172"/>
  <c r="AW177" i="172"/>
  <c r="AV177" i="172"/>
  <c r="AU177" i="172"/>
  <c r="BF176" i="172"/>
  <c r="BE176" i="172"/>
  <c r="BD176" i="172"/>
  <c r="BC176" i="172"/>
  <c r="BB176" i="172"/>
  <c r="BA176" i="172"/>
  <c r="AZ176" i="172"/>
  <c r="AY176" i="172"/>
  <c r="AX176" i="172"/>
  <c r="AW176" i="172"/>
  <c r="AV176" i="172"/>
  <c r="AU176" i="172"/>
  <c r="BF175" i="172"/>
  <c r="BE175" i="172"/>
  <c r="BD175" i="172"/>
  <c r="BC175" i="172"/>
  <c r="BB175" i="172"/>
  <c r="BA175" i="172"/>
  <c r="AZ175" i="172"/>
  <c r="AY175" i="172"/>
  <c r="AX175" i="172"/>
  <c r="AW175" i="172"/>
  <c r="AV175" i="172"/>
  <c r="AU175" i="172"/>
  <c r="BF169" i="172"/>
  <c r="BE169" i="172"/>
  <c r="BD169" i="172"/>
  <c r="BC169" i="172"/>
  <c r="BB169" i="172"/>
  <c r="BA169" i="172"/>
  <c r="AZ169" i="172"/>
  <c r="AY169" i="172"/>
  <c r="AX169" i="172"/>
  <c r="AW169" i="172"/>
  <c r="AV169" i="172"/>
  <c r="AU169" i="172"/>
  <c r="BF168" i="172"/>
  <c r="BE168" i="172"/>
  <c r="BD168" i="172"/>
  <c r="BC168" i="172"/>
  <c r="BB168" i="172"/>
  <c r="BA168" i="172"/>
  <c r="AZ168" i="172"/>
  <c r="AY168" i="172"/>
  <c r="AX168" i="172"/>
  <c r="AW168" i="172"/>
  <c r="AV168" i="172"/>
  <c r="AU168" i="172"/>
  <c r="BF167" i="172"/>
  <c r="BE167" i="172"/>
  <c r="BD167" i="172"/>
  <c r="BC167" i="172"/>
  <c r="BB167" i="172"/>
  <c r="BA167" i="172"/>
  <c r="AZ167" i="172"/>
  <c r="AY167" i="172"/>
  <c r="AX167" i="172"/>
  <c r="AW167" i="172"/>
  <c r="AV167" i="172"/>
  <c r="AU167" i="172"/>
  <c r="BF166" i="172"/>
  <c r="BE166" i="172"/>
  <c r="BD166" i="172"/>
  <c r="BC166" i="172"/>
  <c r="BB166" i="172"/>
  <c r="BA166" i="172"/>
  <c r="AZ166" i="172"/>
  <c r="AY166" i="172"/>
  <c r="AX166" i="172"/>
  <c r="AW166" i="172"/>
  <c r="AV166" i="172"/>
  <c r="AU166" i="172"/>
  <c r="BF165" i="172"/>
  <c r="BE165" i="172"/>
  <c r="BD165" i="172"/>
  <c r="BC165" i="172"/>
  <c r="BB165" i="172"/>
  <c r="BA165" i="172"/>
  <c r="AZ165" i="172"/>
  <c r="AY165" i="172"/>
  <c r="AX165" i="172"/>
  <c r="AW165" i="172"/>
  <c r="AV165" i="172"/>
  <c r="AU165" i="172"/>
  <c r="BF164" i="172"/>
  <c r="BE164" i="172"/>
  <c r="BD164" i="172"/>
  <c r="BC164" i="172"/>
  <c r="BB164" i="172"/>
  <c r="BA164" i="172"/>
  <c r="AZ164" i="172"/>
  <c r="AY164" i="172"/>
  <c r="AX164" i="172"/>
  <c r="AW164" i="172"/>
  <c r="AV164" i="172"/>
  <c r="AU164" i="172"/>
  <c r="BF163" i="172"/>
  <c r="BE163" i="172"/>
  <c r="BD163" i="172"/>
  <c r="BC163" i="172"/>
  <c r="BB163" i="172"/>
  <c r="BA163" i="172"/>
  <c r="AZ163" i="172"/>
  <c r="AY163" i="172"/>
  <c r="AX163" i="172"/>
  <c r="AW163" i="172"/>
  <c r="AV163" i="172"/>
  <c r="AU163" i="172"/>
  <c r="BF162" i="172"/>
  <c r="BE162" i="172"/>
  <c r="BD162" i="172"/>
  <c r="BC162" i="172"/>
  <c r="BB162" i="172"/>
  <c r="BA162" i="172"/>
  <c r="AZ162" i="172"/>
  <c r="AY162" i="172"/>
  <c r="AX162" i="172"/>
  <c r="AW162" i="172"/>
  <c r="AV162" i="172"/>
  <c r="AU162" i="172"/>
  <c r="BF161" i="172"/>
  <c r="BE161" i="172"/>
  <c r="BD161" i="172"/>
  <c r="BC161" i="172"/>
  <c r="BB161" i="172"/>
  <c r="BA161" i="172"/>
  <c r="AZ161" i="172"/>
  <c r="AY161" i="172"/>
  <c r="AX161" i="172"/>
  <c r="AW161" i="172"/>
  <c r="AV161" i="172"/>
  <c r="AU161" i="172"/>
  <c r="BF160" i="172"/>
  <c r="BE160" i="172"/>
  <c r="BD160" i="172"/>
  <c r="BC160" i="172"/>
  <c r="BB160" i="172"/>
  <c r="BA160" i="172"/>
  <c r="AZ160" i="172"/>
  <c r="AY160" i="172"/>
  <c r="AX160" i="172"/>
  <c r="AW160" i="172"/>
  <c r="AV160" i="172"/>
  <c r="AU160" i="172"/>
  <c r="BF159" i="172"/>
  <c r="BE159" i="172"/>
  <c r="BD159" i="172"/>
  <c r="BC159" i="172"/>
  <c r="BB159" i="172"/>
  <c r="BA159" i="172"/>
  <c r="AZ159" i="172"/>
  <c r="AY159" i="172"/>
  <c r="AX159" i="172"/>
  <c r="AW159" i="172"/>
  <c r="AV159" i="172"/>
  <c r="AU159" i="172"/>
  <c r="BF158" i="172"/>
  <c r="BE158" i="172"/>
  <c r="BD158" i="172"/>
  <c r="BC158" i="172"/>
  <c r="BB158" i="172"/>
  <c r="BA158" i="172"/>
  <c r="AZ158" i="172"/>
  <c r="AY158" i="172"/>
  <c r="AX158" i="172"/>
  <c r="AW158" i="172"/>
  <c r="AV158" i="172"/>
  <c r="AU158" i="172"/>
  <c r="BF157" i="172"/>
  <c r="BE157" i="172"/>
  <c r="BD157" i="172"/>
  <c r="BC157" i="172"/>
  <c r="BB157" i="172"/>
  <c r="BA157" i="172"/>
  <c r="AZ157" i="172"/>
  <c r="AY157" i="172"/>
  <c r="AX157" i="172"/>
  <c r="AW157" i="172"/>
  <c r="AV157" i="172"/>
  <c r="AU157" i="172"/>
  <c r="BF156" i="172"/>
  <c r="BE156" i="172"/>
  <c r="BD156" i="172"/>
  <c r="BC156" i="172"/>
  <c r="BB156" i="172"/>
  <c r="BA156" i="172"/>
  <c r="AZ156" i="172"/>
  <c r="AY156" i="172"/>
  <c r="AX156" i="172"/>
  <c r="AW156" i="172"/>
  <c r="AV156" i="172"/>
  <c r="AU156" i="172"/>
  <c r="BF155" i="172"/>
  <c r="BE155" i="172"/>
  <c r="BD155" i="172"/>
  <c r="BC155" i="172"/>
  <c r="BB155" i="172"/>
  <c r="BA155" i="172"/>
  <c r="AZ155" i="172"/>
  <c r="AY155" i="172"/>
  <c r="AX155" i="172"/>
  <c r="AW155" i="172"/>
  <c r="AV155" i="172"/>
  <c r="AU155" i="172"/>
  <c r="BF154" i="172"/>
  <c r="BE154" i="172"/>
  <c r="BD154" i="172"/>
  <c r="BC154" i="172"/>
  <c r="BB154" i="172"/>
  <c r="BA154" i="172"/>
  <c r="AZ154" i="172"/>
  <c r="AY154" i="172"/>
  <c r="AX154" i="172"/>
  <c r="AW154" i="172"/>
  <c r="AV154" i="172"/>
  <c r="AU154" i="172"/>
  <c r="BF153" i="172"/>
  <c r="BE153" i="172"/>
  <c r="BD153" i="172"/>
  <c r="BC153" i="172"/>
  <c r="BB153" i="172"/>
  <c r="BA153" i="172"/>
  <c r="AZ153" i="172"/>
  <c r="AY153" i="172"/>
  <c r="AX153" i="172"/>
  <c r="AW153" i="172"/>
  <c r="AV153" i="172"/>
  <c r="AU153" i="172"/>
  <c r="BF152" i="172"/>
  <c r="BE152" i="172"/>
  <c r="BD152" i="172"/>
  <c r="BC152" i="172"/>
  <c r="BB152" i="172"/>
  <c r="BA152" i="172"/>
  <c r="AZ152" i="172"/>
  <c r="AY152" i="172"/>
  <c r="AX152" i="172"/>
  <c r="AW152" i="172"/>
  <c r="AV152" i="172"/>
  <c r="AU152" i="172"/>
  <c r="AU171" i="172" s="1"/>
  <c r="BF151" i="172"/>
  <c r="BE151" i="172"/>
  <c r="BD151" i="172"/>
  <c r="BC151" i="172"/>
  <c r="BB151" i="172"/>
  <c r="BA151" i="172"/>
  <c r="AZ151" i="172"/>
  <c r="AY151" i="172"/>
  <c r="AX151" i="172"/>
  <c r="AW151" i="172"/>
  <c r="AV151" i="172"/>
  <c r="AU151" i="172"/>
  <c r="BF150" i="172"/>
  <c r="BE150" i="172"/>
  <c r="BD150" i="172"/>
  <c r="BC150" i="172"/>
  <c r="BB150" i="172"/>
  <c r="BA150" i="172"/>
  <c r="AZ150" i="172"/>
  <c r="AY150" i="172"/>
  <c r="AX150" i="172"/>
  <c r="AW150" i="172"/>
  <c r="AV150" i="172"/>
  <c r="AU150" i="172"/>
  <c r="BF145" i="172"/>
  <c r="BE145" i="172"/>
  <c r="BD145" i="172"/>
  <c r="BC145" i="172"/>
  <c r="BB145" i="172"/>
  <c r="BA145" i="172"/>
  <c r="AZ145" i="172"/>
  <c r="AY145" i="172"/>
  <c r="AX145" i="172"/>
  <c r="AW145" i="172"/>
  <c r="AV145" i="172"/>
  <c r="AU145" i="172"/>
  <c r="BF144" i="172"/>
  <c r="BE144" i="172"/>
  <c r="BD144" i="172"/>
  <c r="BC144" i="172"/>
  <c r="BB144" i="172"/>
  <c r="BA144" i="172"/>
  <c r="AZ144" i="172"/>
  <c r="AY144" i="172"/>
  <c r="AX144" i="172"/>
  <c r="AW144" i="172"/>
  <c r="AV144" i="172"/>
  <c r="AU144" i="172"/>
  <c r="BF143" i="172"/>
  <c r="BE143" i="172"/>
  <c r="BD143" i="172"/>
  <c r="BC143" i="172"/>
  <c r="BB143" i="172"/>
  <c r="BA143" i="172"/>
  <c r="AZ143" i="172"/>
  <c r="AY143" i="172"/>
  <c r="AX143" i="172"/>
  <c r="AW143" i="172"/>
  <c r="AV143" i="172"/>
  <c r="AU143" i="172"/>
  <c r="BF142" i="172"/>
  <c r="BE142" i="172"/>
  <c r="BD142" i="172"/>
  <c r="BC142" i="172"/>
  <c r="BB142" i="172"/>
  <c r="BA142" i="172"/>
  <c r="AZ142" i="172"/>
  <c r="AY142" i="172"/>
  <c r="AX142" i="172"/>
  <c r="AW142" i="172"/>
  <c r="AV142" i="172"/>
  <c r="AU142" i="172"/>
  <c r="BF141" i="172"/>
  <c r="BE141" i="172"/>
  <c r="BD141" i="172"/>
  <c r="BC141" i="172"/>
  <c r="BB141" i="172"/>
  <c r="BA141" i="172"/>
  <c r="AZ141" i="172"/>
  <c r="AY141" i="172"/>
  <c r="AX141" i="172"/>
  <c r="AW141" i="172"/>
  <c r="AV141" i="172"/>
  <c r="AU141" i="172"/>
  <c r="BF140" i="172"/>
  <c r="BE140" i="172"/>
  <c r="BD140" i="172"/>
  <c r="BC140" i="172"/>
  <c r="BB140" i="172"/>
  <c r="BA140" i="172"/>
  <c r="AZ140" i="172"/>
  <c r="AY140" i="172"/>
  <c r="AX140" i="172"/>
  <c r="AW140" i="172"/>
  <c r="AV140" i="172"/>
  <c r="AU140" i="172"/>
  <c r="BF139" i="172"/>
  <c r="BE139" i="172"/>
  <c r="BD139" i="172"/>
  <c r="BC139" i="172"/>
  <c r="BB139" i="172"/>
  <c r="BA139" i="172"/>
  <c r="AZ139" i="172"/>
  <c r="AY139" i="172"/>
  <c r="AX139" i="172"/>
  <c r="AW139" i="172"/>
  <c r="AV139" i="172"/>
  <c r="AU139" i="172"/>
  <c r="BF138" i="172"/>
  <c r="BE138" i="172"/>
  <c r="BD138" i="172"/>
  <c r="BC138" i="172"/>
  <c r="BB138" i="172"/>
  <c r="BA138" i="172"/>
  <c r="AZ138" i="172"/>
  <c r="AY138" i="172"/>
  <c r="AX138" i="172"/>
  <c r="AW138" i="172"/>
  <c r="AV138" i="172"/>
  <c r="AU138" i="172"/>
  <c r="BF137" i="172"/>
  <c r="BE137" i="172"/>
  <c r="BD137" i="172"/>
  <c r="BC137" i="172"/>
  <c r="BB137" i="172"/>
  <c r="BA137" i="172"/>
  <c r="AZ137" i="172"/>
  <c r="AY137" i="172"/>
  <c r="AX137" i="172"/>
  <c r="AW137" i="172"/>
  <c r="AV137" i="172"/>
  <c r="AU137" i="172"/>
  <c r="BF136" i="172"/>
  <c r="BE136" i="172"/>
  <c r="BD136" i="172"/>
  <c r="BC136" i="172"/>
  <c r="BB136" i="172"/>
  <c r="BA136" i="172"/>
  <c r="AZ136" i="172"/>
  <c r="AY136" i="172"/>
  <c r="AX136" i="172"/>
  <c r="AW136" i="172"/>
  <c r="AV136" i="172"/>
  <c r="AU136" i="172"/>
  <c r="BF135" i="172"/>
  <c r="BE135" i="172"/>
  <c r="BD135" i="172"/>
  <c r="BC135" i="172"/>
  <c r="BB135" i="172"/>
  <c r="BA135" i="172"/>
  <c r="AZ135" i="172"/>
  <c r="AY135" i="172"/>
  <c r="AX135" i="172"/>
  <c r="AW135" i="172"/>
  <c r="AV135" i="172"/>
  <c r="AU135" i="172"/>
  <c r="BF134" i="172"/>
  <c r="BE134" i="172"/>
  <c r="BD134" i="172"/>
  <c r="BC134" i="172"/>
  <c r="BB134" i="172"/>
  <c r="BA134" i="172"/>
  <c r="AZ134" i="172"/>
  <c r="AY134" i="172"/>
  <c r="AX134" i="172"/>
  <c r="AW134" i="172"/>
  <c r="AV134" i="172"/>
  <c r="AU134" i="172"/>
  <c r="BF133" i="172"/>
  <c r="BE133" i="172"/>
  <c r="BD133" i="172"/>
  <c r="BC133" i="172"/>
  <c r="BB133" i="172"/>
  <c r="BA133" i="172"/>
  <c r="AZ133" i="172"/>
  <c r="AY133" i="172"/>
  <c r="AX133" i="172"/>
  <c r="AW133" i="172"/>
  <c r="AV133" i="172"/>
  <c r="AU133" i="172"/>
  <c r="BF132" i="172"/>
  <c r="BE132" i="172"/>
  <c r="BD132" i="172"/>
  <c r="BC132" i="172"/>
  <c r="BB132" i="172"/>
  <c r="BA132" i="172"/>
  <c r="AZ132" i="172"/>
  <c r="AY132" i="172"/>
  <c r="AX132" i="172"/>
  <c r="AW132" i="172"/>
  <c r="AV132" i="172"/>
  <c r="AU132" i="172"/>
  <c r="BF131" i="172"/>
  <c r="BE131" i="172"/>
  <c r="BD131" i="172"/>
  <c r="BC131" i="172"/>
  <c r="BB131" i="172"/>
  <c r="BA131" i="172"/>
  <c r="AZ131" i="172"/>
  <c r="AY131" i="172"/>
  <c r="AX131" i="172"/>
  <c r="AW131" i="172"/>
  <c r="AV131" i="172"/>
  <c r="AU131" i="172"/>
  <c r="BF130" i="172"/>
  <c r="BE130" i="172"/>
  <c r="BD130" i="172"/>
  <c r="BC130" i="172"/>
  <c r="BB130" i="172"/>
  <c r="BA130" i="172"/>
  <c r="AZ130" i="172"/>
  <c r="AY130" i="172"/>
  <c r="AX130" i="172"/>
  <c r="AW130" i="172"/>
  <c r="AV130" i="172"/>
  <c r="AU130" i="172"/>
  <c r="BF129" i="172"/>
  <c r="BE129" i="172"/>
  <c r="BD129" i="172"/>
  <c r="BC129" i="172"/>
  <c r="BB129" i="172"/>
  <c r="BA129" i="172"/>
  <c r="AZ129" i="172"/>
  <c r="AY129" i="172"/>
  <c r="AX129" i="172"/>
  <c r="AW129" i="172"/>
  <c r="AV129" i="172"/>
  <c r="AU129" i="172"/>
  <c r="BF128" i="172"/>
  <c r="BE128" i="172"/>
  <c r="BD128" i="172"/>
  <c r="BC128" i="172"/>
  <c r="BB128" i="172"/>
  <c r="BA128" i="172"/>
  <c r="AZ128" i="172"/>
  <c r="AY128" i="172"/>
  <c r="AX128" i="172"/>
  <c r="AW128" i="172"/>
  <c r="AV128" i="172"/>
  <c r="AU128" i="172"/>
  <c r="BF127" i="172"/>
  <c r="BE127" i="172"/>
  <c r="BD127" i="172"/>
  <c r="BC127" i="172"/>
  <c r="BB127" i="172"/>
  <c r="BA127" i="172"/>
  <c r="AZ127" i="172"/>
  <c r="AY127" i="172"/>
  <c r="AX127" i="172"/>
  <c r="AW127" i="172"/>
  <c r="AV127" i="172"/>
  <c r="AU127" i="172"/>
  <c r="BF126" i="172"/>
  <c r="BE126" i="172"/>
  <c r="BD126" i="172"/>
  <c r="BC126" i="172"/>
  <c r="BB126" i="172"/>
  <c r="BA126" i="172"/>
  <c r="AZ126" i="172"/>
  <c r="AY126" i="172"/>
  <c r="AX126" i="172"/>
  <c r="AW126" i="172"/>
  <c r="AV126" i="172"/>
  <c r="AU126" i="172"/>
  <c r="BF121" i="172"/>
  <c r="BE121" i="172"/>
  <c r="BD121" i="172"/>
  <c r="BC121" i="172"/>
  <c r="BB121" i="172"/>
  <c r="BA121" i="172"/>
  <c r="AZ121" i="172"/>
  <c r="AY121" i="172"/>
  <c r="AX121" i="172"/>
  <c r="AW121" i="172"/>
  <c r="AV121" i="172"/>
  <c r="AU121" i="172"/>
  <c r="BF120" i="172"/>
  <c r="BE120" i="172"/>
  <c r="BD120" i="172"/>
  <c r="BC120" i="172"/>
  <c r="BB120" i="172"/>
  <c r="BA120" i="172"/>
  <c r="AZ120" i="172"/>
  <c r="AY120" i="172"/>
  <c r="AX120" i="172"/>
  <c r="AW120" i="172"/>
  <c r="AV120" i="172"/>
  <c r="AU120" i="172"/>
  <c r="BF119" i="172"/>
  <c r="BE119" i="172"/>
  <c r="BD119" i="172"/>
  <c r="BC119" i="172"/>
  <c r="BB119" i="172"/>
  <c r="BA119" i="172"/>
  <c r="AZ119" i="172"/>
  <c r="AY119" i="172"/>
  <c r="AX119" i="172"/>
  <c r="AW119" i="172"/>
  <c r="AV119" i="172"/>
  <c r="AU119" i="172"/>
  <c r="BF118" i="172"/>
  <c r="BE118" i="172"/>
  <c r="BD118" i="172"/>
  <c r="BC118" i="172"/>
  <c r="BB118" i="172"/>
  <c r="BA118" i="172"/>
  <c r="AZ118" i="172"/>
  <c r="AY118" i="172"/>
  <c r="AX118" i="172"/>
  <c r="AW118" i="172"/>
  <c r="AV118" i="172"/>
  <c r="AU118" i="172"/>
  <c r="BF117" i="172"/>
  <c r="BE117" i="172"/>
  <c r="BD117" i="172"/>
  <c r="BC117" i="172"/>
  <c r="BB117" i="172"/>
  <c r="BA117" i="172"/>
  <c r="AZ117" i="172"/>
  <c r="AY117" i="172"/>
  <c r="AX117" i="172"/>
  <c r="AW117" i="172"/>
  <c r="AV117" i="172"/>
  <c r="AU117" i="172"/>
  <c r="BF116" i="172"/>
  <c r="BE116" i="172"/>
  <c r="BD116" i="172"/>
  <c r="BC116" i="172"/>
  <c r="BB116" i="172"/>
  <c r="BA116" i="172"/>
  <c r="AZ116" i="172"/>
  <c r="AY116" i="172"/>
  <c r="AX116" i="172"/>
  <c r="AW116" i="172"/>
  <c r="AV116" i="172"/>
  <c r="AU116" i="172"/>
  <c r="BF115" i="172"/>
  <c r="BE115" i="172"/>
  <c r="BD115" i="172"/>
  <c r="BC115" i="172"/>
  <c r="BB115" i="172"/>
  <c r="BA115" i="172"/>
  <c r="AZ115" i="172"/>
  <c r="AY115" i="172"/>
  <c r="AX115" i="172"/>
  <c r="AW115" i="172"/>
  <c r="AV115" i="172"/>
  <c r="AU115" i="172"/>
  <c r="BF114" i="172"/>
  <c r="BE114" i="172"/>
  <c r="BD114" i="172"/>
  <c r="BC114" i="172"/>
  <c r="BB114" i="172"/>
  <c r="BA114" i="172"/>
  <c r="AZ114" i="172"/>
  <c r="AY114" i="172"/>
  <c r="AX114" i="172"/>
  <c r="AW114" i="172"/>
  <c r="AV114" i="172"/>
  <c r="AU114" i="172"/>
  <c r="BF113" i="172"/>
  <c r="BE113" i="172"/>
  <c r="BD113" i="172"/>
  <c r="BC113" i="172"/>
  <c r="BB113" i="172"/>
  <c r="BA113" i="172"/>
  <c r="AZ113" i="172"/>
  <c r="AY113" i="172"/>
  <c r="AX113" i="172"/>
  <c r="AW113" i="172"/>
  <c r="AV113" i="172"/>
  <c r="AU113" i="172"/>
  <c r="BF112" i="172"/>
  <c r="BE112" i="172"/>
  <c r="BD112" i="172"/>
  <c r="BC112" i="172"/>
  <c r="BB112" i="172"/>
  <c r="BA112" i="172"/>
  <c r="AZ112" i="172"/>
  <c r="AY112" i="172"/>
  <c r="AX112" i="172"/>
  <c r="AW112" i="172"/>
  <c r="AV112" i="172"/>
  <c r="AU112" i="172"/>
  <c r="BF111" i="172"/>
  <c r="BE111" i="172"/>
  <c r="BD111" i="172"/>
  <c r="BC111" i="172"/>
  <c r="BB111" i="172"/>
  <c r="BA111" i="172"/>
  <c r="AZ111" i="172"/>
  <c r="AY111" i="172"/>
  <c r="AX111" i="172"/>
  <c r="AW111" i="172"/>
  <c r="AV111" i="172"/>
  <c r="AU111" i="172"/>
  <c r="BF110" i="172"/>
  <c r="BE110" i="172"/>
  <c r="BD110" i="172"/>
  <c r="BC110" i="172"/>
  <c r="BB110" i="172"/>
  <c r="BA110" i="172"/>
  <c r="AZ110" i="172"/>
  <c r="AY110" i="172"/>
  <c r="AX110" i="172"/>
  <c r="AW110" i="172"/>
  <c r="AV110" i="172"/>
  <c r="AU110" i="172"/>
  <c r="BF109" i="172"/>
  <c r="BE109" i="172"/>
  <c r="BD109" i="172"/>
  <c r="BC109" i="172"/>
  <c r="BB109" i="172"/>
  <c r="BA109" i="172"/>
  <c r="AZ109" i="172"/>
  <c r="AY109" i="172"/>
  <c r="AX109" i="172"/>
  <c r="AW109" i="172"/>
  <c r="AV109" i="172"/>
  <c r="AU109" i="172"/>
  <c r="BF108" i="172"/>
  <c r="BE108" i="172"/>
  <c r="BD108" i="172"/>
  <c r="BC108" i="172"/>
  <c r="BB108" i="172"/>
  <c r="BA108" i="172"/>
  <c r="AZ108" i="172"/>
  <c r="AY108" i="172"/>
  <c r="AX108" i="172"/>
  <c r="AW108" i="172"/>
  <c r="AV108" i="172"/>
  <c r="AU108" i="172"/>
  <c r="BF107" i="172"/>
  <c r="BE107" i="172"/>
  <c r="BD107" i="172"/>
  <c r="BC107" i="172"/>
  <c r="BB107" i="172"/>
  <c r="BA107" i="172"/>
  <c r="AZ107" i="172"/>
  <c r="AY107" i="172"/>
  <c r="AX107" i="172"/>
  <c r="AW107" i="172"/>
  <c r="AV107" i="172"/>
  <c r="AU107" i="172"/>
  <c r="BF106" i="172"/>
  <c r="BE106" i="172"/>
  <c r="BD106" i="172"/>
  <c r="BC106" i="172"/>
  <c r="BB106" i="172"/>
  <c r="BA106" i="172"/>
  <c r="AZ106" i="172"/>
  <c r="AY106" i="172"/>
  <c r="AX106" i="172"/>
  <c r="AW106" i="172"/>
  <c r="AV106" i="172"/>
  <c r="AU106" i="172"/>
  <c r="BF105" i="172"/>
  <c r="BE105" i="172"/>
  <c r="BD105" i="172"/>
  <c r="BC105" i="172"/>
  <c r="BB105" i="172"/>
  <c r="BA105" i="172"/>
  <c r="AZ105" i="172"/>
  <c r="AY105" i="172"/>
  <c r="AX105" i="172"/>
  <c r="AW105" i="172"/>
  <c r="AV105" i="172"/>
  <c r="AU105" i="172"/>
  <c r="BF104" i="172"/>
  <c r="BE104" i="172"/>
  <c r="BD104" i="172"/>
  <c r="BC104" i="172"/>
  <c r="BB104" i="172"/>
  <c r="BA104" i="172"/>
  <c r="AZ104" i="172"/>
  <c r="AY104" i="172"/>
  <c r="AX104" i="172"/>
  <c r="AW104" i="172"/>
  <c r="AV104" i="172"/>
  <c r="AU104" i="172"/>
  <c r="BF103" i="172"/>
  <c r="BE103" i="172"/>
  <c r="BD103" i="172"/>
  <c r="BC103" i="172"/>
  <c r="BB103" i="172"/>
  <c r="BA103" i="172"/>
  <c r="AZ103" i="172"/>
  <c r="AY103" i="172"/>
  <c r="AX103" i="172"/>
  <c r="AW103" i="172"/>
  <c r="AV103" i="172"/>
  <c r="AU103" i="172"/>
  <c r="BF102" i="172"/>
  <c r="BE102" i="172"/>
  <c r="BD102" i="172"/>
  <c r="BC102" i="172"/>
  <c r="BB102" i="172"/>
  <c r="BA102" i="172"/>
  <c r="AZ102" i="172"/>
  <c r="AY102" i="172"/>
  <c r="AX102" i="172"/>
  <c r="AW102" i="172"/>
  <c r="AV102" i="172"/>
  <c r="AU102" i="172"/>
  <c r="BF97" i="172"/>
  <c r="BE97" i="172"/>
  <c r="BD97" i="172"/>
  <c r="BC97" i="172"/>
  <c r="BB97" i="172"/>
  <c r="BA97" i="172"/>
  <c r="AZ97" i="172"/>
  <c r="AY97" i="172"/>
  <c r="AX97" i="172"/>
  <c r="AW97" i="172"/>
  <c r="AV97" i="172"/>
  <c r="AU97" i="172"/>
  <c r="BF96" i="172"/>
  <c r="BE96" i="172"/>
  <c r="BD96" i="172"/>
  <c r="BC96" i="172"/>
  <c r="BB96" i="172"/>
  <c r="BA96" i="172"/>
  <c r="AZ96" i="172"/>
  <c r="AY96" i="172"/>
  <c r="AX96" i="172"/>
  <c r="AW96" i="172"/>
  <c r="AV96" i="172"/>
  <c r="AU96" i="172"/>
  <c r="BF95" i="172"/>
  <c r="BE95" i="172"/>
  <c r="BD95" i="172"/>
  <c r="BC95" i="172"/>
  <c r="BB95" i="172"/>
  <c r="BA95" i="172"/>
  <c r="AZ95" i="172"/>
  <c r="AY95" i="172"/>
  <c r="AX95" i="172"/>
  <c r="AW95" i="172"/>
  <c r="AV95" i="172"/>
  <c r="AU95" i="172"/>
  <c r="BF94" i="172"/>
  <c r="BE94" i="172"/>
  <c r="BD94" i="172"/>
  <c r="BC94" i="172"/>
  <c r="BB94" i="172"/>
  <c r="BA94" i="172"/>
  <c r="AZ94" i="172"/>
  <c r="AY94" i="172"/>
  <c r="AX94" i="172"/>
  <c r="AW94" i="172"/>
  <c r="AV94" i="172"/>
  <c r="AU94" i="172"/>
  <c r="BF93" i="172"/>
  <c r="BE93" i="172"/>
  <c r="BD93" i="172"/>
  <c r="BC93" i="172"/>
  <c r="BB93" i="172"/>
  <c r="BA93" i="172"/>
  <c r="AZ93" i="172"/>
  <c r="AY93" i="172"/>
  <c r="AX93" i="172"/>
  <c r="AW93" i="172"/>
  <c r="AV93" i="172"/>
  <c r="AU93" i="172"/>
  <c r="BF92" i="172"/>
  <c r="BE92" i="172"/>
  <c r="BD92" i="172"/>
  <c r="BC92" i="172"/>
  <c r="BB92" i="172"/>
  <c r="BA92" i="172"/>
  <c r="AZ92" i="172"/>
  <c r="AY92" i="172"/>
  <c r="AX92" i="172"/>
  <c r="AW92" i="172"/>
  <c r="AV92" i="172"/>
  <c r="AU92" i="172"/>
  <c r="BF91" i="172"/>
  <c r="BE91" i="172"/>
  <c r="BD91" i="172"/>
  <c r="BC91" i="172"/>
  <c r="BB91" i="172"/>
  <c r="BA91" i="172"/>
  <c r="AZ91" i="172"/>
  <c r="AY91" i="172"/>
  <c r="AX91" i="172"/>
  <c r="AW91" i="172"/>
  <c r="AV91" i="172"/>
  <c r="AU91" i="172"/>
  <c r="BF89" i="172"/>
  <c r="BE89" i="172"/>
  <c r="BD89" i="172"/>
  <c r="BC89" i="172"/>
  <c r="BB89" i="172"/>
  <c r="BA89" i="172"/>
  <c r="AZ89" i="172"/>
  <c r="AY89" i="172"/>
  <c r="AX89" i="172"/>
  <c r="AW89" i="172"/>
  <c r="AV89" i="172"/>
  <c r="AU89" i="172"/>
  <c r="BF88" i="172"/>
  <c r="BE88" i="172"/>
  <c r="BD88" i="172"/>
  <c r="BC88" i="172"/>
  <c r="BB88" i="172"/>
  <c r="BA88" i="172"/>
  <c r="AZ88" i="172"/>
  <c r="AY88" i="172"/>
  <c r="AX88" i="172"/>
  <c r="AW88" i="172"/>
  <c r="AV88" i="172"/>
  <c r="AU88" i="172"/>
  <c r="BF87" i="172"/>
  <c r="BE87" i="172"/>
  <c r="BD87" i="172"/>
  <c r="BC87" i="172"/>
  <c r="BB87" i="172"/>
  <c r="BA87" i="172"/>
  <c r="AZ87" i="172"/>
  <c r="AY87" i="172"/>
  <c r="AX87" i="172"/>
  <c r="AW87" i="172"/>
  <c r="AV87" i="172"/>
  <c r="AU87" i="172"/>
  <c r="BF86" i="172"/>
  <c r="BE86" i="172"/>
  <c r="BD86" i="172"/>
  <c r="BC86" i="172"/>
  <c r="BB86" i="172"/>
  <c r="BA86" i="172"/>
  <c r="AZ86" i="172"/>
  <c r="AY86" i="172"/>
  <c r="AX86" i="172"/>
  <c r="AW86" i="172"/>
  <c r="AV86" i="172"/>
  <c r="AU86" i="172"/>
  <c r="BF85" i="172"/>
  <c r="BE85" i="172"/>
  <c r="BD85" i="172"/>
  <c r="BC85" i="172"/>
  <c r="BB85" i="172"/>
  <c r="BA85" i="172"/>
  <c r="AZ85" i="172"/>
  <c r="AY85" i="172"/>
  <c r="AX85" i="172"/>
  <c r="AW85" i="172"/>
  <c r="AV85" i="172"/>
  <c r="AU85" i="172"/>
  <c r="BF84" i="172"/>
  <c r="BE84" i="172"/>
  <c r="BD84" i="172"/>
  <c r="BC84" i="172"/>
  <c r="BB84" i="172"/>
  <c r="BA84" i="172"/>
  <c r="AZ84" i="172"/>
  <c r="AY84" i="172"/>
  <c r="AX84" i="172"/>
  <c r="AW84" i="172"/>
  <c r="AV84" i="172"/>
  <c r="AU84" i="172"/>
  <c r="BF83" i="172"/>
  <c r="BE83" i="172"/>
  <c r="BD83" i="172"/>
  <c r="BC83" i="172"/>
  <c r="BB83" i="172"/>
  <c r="BA83" i="172"/>
  <c r="AZ83" i="172"/>
  <c r="AY83" i="172"/>
  <c r="AX83" i="172"/>
  <c r="AW83" i="172"/>
  <c r="AV83" i="172"/>
  <c r="AU83" i="172"/>
  <c r="BF82" i="172"/>
  <c r="BE82" i="172"/>
  <c r="BD82" i="172"/>
  <c r="BC82" i="172"/>
  <c r="BB82" i="172"/>
  <c r="BA82" i="172"/>
  <c r="AZ82" i="172"/>
  <c r="AY82" i="172"/>
  <c r="AX82" i="172"/>
  <c r="AW82" i="172"/>
  <c r="AV82" i="172"/>
  <c r="AU82" i="172"/>
  <c r="BF81" i="172"/>
  <c r="BE81" i="172"/>
  <c r="BD81" i="172"/>
  <c r="BC81" i="172"/>
  <c r="BB81" i="172"/>
  <c r="BA81" i="172"/>
  <c r="AZ81" i="172"/>
  <c r="AY81" i="172"/>
  <c r="AX81" i="172"/>
  <c r="AW81" i="172"/>
  <c r="AV81" i="172"/>
  <c r="AU81" i="172"/>
  <c r="BF80" i="172"/>
  <c r="BE80" i="172"/>
  <c r="BD80" i="172"/>
  <c r="BC80" i="172"/>
  <c r="BB80" i="172"/>
  <c r="BA80" i="172"/>
  <c r="AZ80" i="172"/>
  <c r="AY80" i="172"/>
  <c r="AX80" i="172"/>
  <c r="AW80" i="172"/>
  <c r="AV80" i="172"/>
  <c r="AU80" i="172"/>
  <c r="BF79" i="172"/>
  <c r="BE79" i="172"/>
  <c r="BD79" i="172"/>
  <c r="BC79" i="172"/>
  <c r="BB79" i="172"/>
  <c r="BA79" i="172"/>
  <c r="AZ79" i="172"/>
  <c r="AY79" i="172"/>
  <c r="AX79" i="172"/>
  <c r="AW79" i="172"/>
  <c r="AV79" i="172"/>
  <c r="AU79" i="172"/>
  <c r="BF78" i="172"/>
  <c r="BE78" i="172"/>
  <c r="BD78" i="172"/>
  <c r="BC78" i="172"/>
  <c r="BB78" i="172"/>
  <c r="BA78" i="172"/>
  <c r="AZ78" i="172"/>
  <c r="AY78" i="172"/>
  <c r="AX78" i="172"/>
  <c r="AW78" i="172"/>
  <c r="AV78" i="172"/>
  <c r="AU78" i="172"/>
  <c r="BF73" i="172"/>
  <c r="BE73" i="172"/>
  <c r="BD73" i="172"/>
  <c r="BC73" i="172"/>
  <c r="BB73" i="172"/>
  <c r="BA73" i="172"/>
  <c r="AZ73" i="172"/>
  <c r="AY73" i="172"/>
  <c r="AX73" i="172"/>
  <c r="AW73" i="172"/>
  <c r="AV73" i="172"/>
  <c r="AU73" i="172"/>
  <c r="BF72" i="172"/>
  <c r="BE72" i="172"/>
  <c r="BD72" i="172"/>
  <c r="BC72" i="172"/>
  <c r="BB72" i="172"/>
  <c r="BA72" i="172"/>
  <c r="AZ72" i="172"/>
  <c r="AY72" i="172"/>
  <c r="AX72" i="172"/>
  <c r="AW72" i="172"/>
  <c r="AV72" i="172"/>
  <c r="AU72" i="172"/>
  <c r="BF71" i="172"/>
  <c r="BE71" i="172"/>
  <c r="BD71" i="172"/>
  <c r="BC71" i="172"/>
  <c r="BB71" i="172"/>
  <c r="BA71" i="172"/>
  <c r="AZ71" i="172"/>
  <c r="AY71" i="172"/>
  <c r="AX71" i="172"/>
  <c r="AW71" i="172"/>
  <c r="AV71" i="172"/>
  <c r="AU71" i="172"/>
  <c r="BF70" i="172"/>
  <c r="BE70" i="172"/>
  <c r="BD70" i="172"/>
  <c r="BC70" i="172"/>
  <c r="BB70" i="172"/>
  <c r="BA70" i="172"/>
  <c r="AZ70" i="172"/>
  <c r="AY70" i="172"/>
  <c r="AX70" i="172"/>
  <c r="AW70" i="172"/>
  <c r="AV70" i="172"/>
  <c r="AU70" i="172"/>
  <c r="BF69" i="172"/>
  <c r="BE69" i="172"/>
  <c r="BD69" i="172"/>
  <c r="BC69" i="172"/>
  <c r="BB69" i="172"/>
  <c r="BA69" i="172"/>
  <c r="AZ69" i="172"/>
  <c r="AY69" i="172"/>
  <c r="AX69" i="172"/>
  <c r="AW69" i="172"/>
  <c r="AV69" i="172"/>
  <c r="AU69" i="172"/>
  <c r="BF68" i="172"/>
  <c r="BE68" i="172"/>
  <c r="BD68" i="172"/>
  <c r="BC68" i="172"/>
  <c r="BB68" i="172"/>
  <c r="BA68" i="172"/>
  <c r="AZ68" i="172"/>
  <c r="AY68" i="172"/>
  <c r="AX68" i="172"/>
  <c r="AW68" i="172"/>
  <c r="AV68" i="172"/>
  <c r="AU68" i="172"/>
  <c r="BF67" i="172"/>
  <c r="BE67" i="172"/>
  <c r="BD67" i="172"/>
  <c r="BC67" i="172"/>
  <c r="BB67" i="172"/>
  <c r="BA67" i="172"/>
  <c r="AZ67" i="172"/>
  <c r="AY67" i="172"/>
  <c r="AX67" i="172"/>
  <c r="AW67" i="172"/>
  <c r="AV67" i="172"/>
  <c r="AU67" i="172"/>
  <c r="BF66" i="172"/>
  <c r="BE66" i="172"/>
  <c r="BD66" i="172"/>
  <c r="BC66" i="172"/>
  <c r="BB66" i="172"/>
  <c r="BA66" i="172"/>
  <c r="AZ66" i="172"/>
  <c r="AY66" i="172"/>
  <c r="AX66" i="172"/>
  <c r="AW66" i="172"/>
  <c r="AV66" i="172"/>
  <c r="AU66" i="172"/>
  <c r="BF65" i="172"/>
  <c r="BE65" i="172"/>
  <c r="BD65" i="172"/>
  <c r="BC65" i="172"/>
  <c r="BB65" i="172"/>
  <c r="BA65" i="172"/>
  <c r="AZ65" i="172"/>
  <c r="AY65" i="172"/>
  <c r="AX65" i="172"/>
  <c r="AW65" i="172"/>
  <c r="AV65" i="172"/>
  <c r="AU65" i="172"/>
  <c r="BF64" i="172"/>
  <c r="BE64" i="172"/>
  <c r="BD64" i="172"/>
  <c r="BC64" i="172"/>
  <c r="BB64" i="172"/>
  <c r="BA64" i="172"/>
  <c r="AZ64" i="172"/>
  <c r="AY64" i="172"/>
  <c r="AX64" i="172"/>
  <c r="AW64" i="172"/>
  <c r="AV64" i="172"/>
  <c r="AU64" i="172"/>
  <c r="BF63" i="172"/>
  <c r="BE63" i="172"/>
  <c r="BD63" i="172"/>
  <c r="BC63" i="172"/>
  <c r="BB63" i="172"/>
  <c r="BA63" i="172"/>
  <c r="AZ63" i="172"/>
  <c r="AY63" i="172"/>
  <c r="AX63" i="172"/>
  <c r="AW63" i="172"/>
  <c r="AV63" i="172"/>
  <c r="AU63" i="172"/>
  <c r="BF62" i="172"/>
  <c r="BE62" i="172"/>
  <c r="BD62" i="172"/>
  <c r="BC62" i="172"/>
  <c r="BB62" i="172"/>
  <c r="BA62" i="172"/>
  <c r="AZ62" i="172"/>
  <c r="AY62" i="172"/>
  <c r="AX62" i="172"/>
  <c r="AW62" i="172"/>
  <c r="AV62" i="172"/>
  <c r="AU62" i="172"/>
  <c r="BF61" i="172"/>
  <c r="BE61" i="172"/>
  <c r="BD61" i="172"/>
  <c r="BC61" i="172"/>
  <c r="BB61" i="172"/>
  <c r="BA61" i="172"/>
  <c r="AZ61" i="172"/>
  <c r="AY61" i="172"/>
  <c r="AX61" i="172"/>
  <c r="AW61" i="172"/>
  <c r="AV61" i="172"/>
  <c r="AU61" i="172"/>
  <c r="BF60" i="172"/>
  <c r="BE60" i="172"/>
  <c r="BD60" i="172"/>
  <c r="BC60" i="172"/>
  <c r="BB60" i="172"/>
  <c r="BA60" i="172"/>
  <c r="AZ60" i="172"/>
  <c r="AY60" i="172"/>
  <c r="AX60" i="172"/>
  <c r="AW60" i="172"/>
  <c r="AV60" i="172"/>
  <c r="AU60" i="172"/>
  <c r="BF59" i="172"/>
  <c r="BE59" i="172"/>
  <c r="BD59" i="172"/>
  <c r="BC59" i="172"/>
  <c r="BB59" i="172"/>
  <c r="BA59" i="172"/>
  <c r="AZ59" i="172"/>
  <c r="AY59" i="172"/>
  <c r="AX59" i="172"/>
  <c r="AW59" i="172"/>
  <c r="AV59" i="172"/>
  <c r="AU59" i="172"/>
  <c r="BF58" i="172"/>
  <c r="BE58" i="172"/>
  <c r="BD58" i="172"/>
  <c r="BC58" i="172"/>
  <c r="BB58" i="172"/>
  <c r="BA58" i="172"/>
  <c r="AZ58" i="172"/>
  <c r="AY58" i="172"/>
  <c r="AX58" i="172"/>
  <c r="AW58" i="172"/>
  <c r="AV58" i="172"/>
  <c r="AU58" i="172"/>
  <c r="BF57" i="172"/>
  <c r="BE57" i="172"/>
  <c r="BD57" i="172"/>
  <c r="BC57" i="172"/>
  <c r="BB57" i="172"/>
  <c r="BA57" i="172"/>
  <c r="AZ57" i="172"/>
  <c r="AY57" i="172"/>
  <c r="AX57" i="172"/>
  <c r="AW57" i="172"/>
  <c r="AV57" i="172"/>
  <c r="AU57" i="172"/>
  <c r="BF56" i="172"/>
  <c r="BE56" i="172"/>
  <c r="BD56" i="172"/>
  <c r="BC56" i="172"/>
  <c r="BB56" i="172"/>
  <c r="BA56" i="172"/>
  <c r="AZ56" i="172"/>
  <c r="AY56" i="172"/>
  <c r="AX56" i="172"/>
  <c r="AW56" i="172"/>
  <c r="AV56" i="172"/>
  <c r="AU56" i="172"/>
  <c r="BF55" i="172"/>
  <c r="BE55" i="172"/>
  <c r="BD55" i="172"/>
  <c r="BC55" i="172"/>
  <c r="BB55" i="172"/>
  <c r="BA55" i="172"/>
  <c r="AZ55" i="172"/>
  <c r="AY55" i="172"/>
  <c r="AX55" i="172"/>
  <c r="AW55" i="172"/>
  <c r="AV55" i="172"/>
  <c r="AU55" i="172"/>
  <c r="BF54" i="172"/>
  <c r="BE54" i="172"/>
  <c r="BD54" i="172"/>
  <c r="BC54" i="172"/>
  <c r="BB54" i="172"/>
  <c r="BA54" i="172"/>
  <c r="AZ54" i="172"/>
  <c r="AY54" i="172"/>
  <c r="AX54" i="172"/>
  <c r="AW54" i="172"/>
  <c r="AV54" i="172"/>
  <c r="AU54" i="172"/>
  <c r="BF49" i="172"/>
  <c r="BE49" i="172"/>
  <c r="BD49" i="172"/>
  <c r="BC49" i="172"/>
  <c r="BB49" i="172"/>
  <c r="BA49" i="172"/>
  <c r="AZ49" i="172"/>
  <c r="AY49" i="172"/>
  <c r="AX49" i="172"/>
  <c r="AW49" i="172"/>
  <c r="AV49" i="172"/>
  <c r="AU49" i="172"/>
  <c r="BF48" i="172"/>
  <c r="BE48" i="172"/>
  <c r="BD48" i="172"/>
  <c r="BC48" i="172"/>
  <c r="BB48" i="172"/>
  <c r="BA48" i="172"/>
  <c r="AZ48" i="172"/>
  <c r="AY48" i="172"/>
  <c r="AX48" i="172"/>
  <c r="AW48" i="172"/>
  <c r="AV48" i="172"/>
  <c r="AU48" i="172"/>
  <c r="BF47" i="172"/>
  <c r="BE47" i="172"/>
  <c r="BD47" i="172"/>
  <c r="BC47" i="172"/>
  <c r="BB47" i="172"/>
  <c r="BA47" i="172"/>
  <c r="AZ47" i="172"/>
  <c r="AY47" i="172"/>
  <c r="AX47" i="172"/>
  <c r="AW47" i="172"/>
  <c r="AV47" i="172"/>
  <c r="AU47" i="172"/>
  <c r="BF46" i="172"/>
  <c r="BE46" i="172"/>
  <c r="BD46" i="172"/>
  <c r="BC46" i="172"/>
  <c r="BB46" i="172"/>
  <c r="BA46" i="172"/>
  <c r="AZ46" i="172"/>
  <c r="AY46" i="172"/>
  <c r="AX46" i="172"/>
  <c r="AW46" i="172"/>
  <c r="AV46" i="172"/>
  <c r="AU46" i="172"/>
  <c r="BF45" i="172"/>
  <c r="BE45" i="172"/>
  <c r="BD45" i="172"/>
  <c r="BC45" i="172"/>
  <c r="BB45" i="172"/>
  <c r="BA45" i="172"/>
  <c r="AZ45" i="172"/>
  <c r="AY45" i="172"/>
  <c r="AX45" i="172"/>
  <c r="AW45" i="172"/>
  <c r="AV45" i="172"/>
  <c r="AU45" i="172"/>
  <c r="BF44" i="172"/>
  <c r="BE44" i="172"/>
  <c r="BD44" i="172"/>
  <c r="BC44" i="172"/>
  <c r="BB44" i="172"/>
  <c r="BA44" i="172"/>
  <c r="AZ44" i="172"/>
  <c r="AY44" i="172"/>
  <c r="AX44" i="172"/>
  <c r="AW44" i="172"/>
  <c r="AV44" i="172"/>
  <c r="AU44" i="172"/>
  <c r="BF43" i="172"/>
  <c r="BE43" i="172"/>
  <c r="BD43" i="172"/>
  <c r="BC43" i="172"/>
  <c r="BB43" i="172"/>
  <c r="BA43" i="172"/>
  <c r="AZ43" i="172"/>
  <c r="AY43" i="172"/>
  <c r="AX43" i="172"/>
  <c r="AW43" i="172"/>
  <c r="AV43" i="172"/>
  <c r="AU43" i="172"/>
  <c r="BF42" i="172"/>
  <c r="BE42" i="172"/>
  <c r="BD42" i="172"/>
  <c r="BC42" i="172"/>
  <c r="BB42" i="172"/>
  <c r="BA42" i="172"/>
  <c r="AZ42" i="172"/>
  <c r="AY42" i="172"/>
  <c r="AX42" i="172"/>
  <c r="AW42" i="172"/>
  <c r="AV42" i="172"/>
  <c r="AU42" i="172"/>
  <c r="BF41" i="172"/>
  <c r="BE41" i="172"/>
  <c r="BD41" i="172"/>
  <c r="BC41" i="172"/>
  <c r="BB41" i="172"/>
  <c r="BA41" i="172"/>
  <c r="AZ41" i="172"/>
  <c r="AY41" i="172"/>
  <c r="AX41" i="172"/>
  <c r="AW41" i="172"/>
  <c r="AV41" i="172"/>
  <c r="AU41" i="172"/>
  <c r="BF40" i="172"/>
  <c r="BE40" i="172"/>
  <c r="BD40" i="172"/>
  <c r="BC40" i="172"/>
  <c r="BB40" i="172"/>
  <c r="BA40" i="172"/>
  <c r="AZ40" i="172"/>
  <c r="AY40" i="172"/>
  <c r="AX40" i="172"/>
  <c r="AW40" i="172"/>
  <c r="AV40" i="172"/>
  <c r="AU40" i="172"/>
  <c r="BF39" i="172"/>
  <c r="BE39" i="172"/>
  <c r="BD39" i="172"/>
  <c r="BC39" i="172"/>
  <c r="BB39" i="172"/>
  <c r="BA39" i="172"/>
  <c r="AZ39" i="172"/>
  <c r="AY39" i="172"/>
  <c r="AX39" i="172"/>
  <c r="AW39" i="172"/>
  <c r="AV39" i="172"/>
  <c r="AU39" i="172"/>
  <c r="BF38" i="172"/>
  <c r="BE38" i="172"/>
  <c r="BD38" i="172"/>
  <c r="BC38" i="172"/>
  <c r="BB38" i="172"/>
  <c r="BA38" i="172"/>
  <c r="AZ38" i="172"/>
  <c r="AY38" i="172"/>
  <c r="AX38" i="172"/>
  <c r="AW38" i="172"/>
  <c r="AV38" i="172"/>
  <c r="AU38" i="172"/>
  <c r="BF37" i="172"/>
  <c r="BE37" i="172"/>
  <c r="BD37" i="172"/>
  <c r="BC37" i="172"/>
  <c r="BB37" i="172"/>
  <c r="BA37" i="172"/>
  <c r="AZ37" i="172"/>
  <c r="AY37" i="172"/>
  <c r="AX37" i="172"/>
  <c r="AW37" i="172"/>
  <c r="AV37" i="172"/>
  <c r="AU37" i="172"/>
  <c r="BF36" i="172"/>
  <c r="BE36" i="172"/>
  <c r="BD36" i="172"/>
  <c r="BC36" i="172"/>
  <c r="BB36" i="172"/>
  <c r="BA36" i="172"/>
  <c r="AZ36" i="172"/>
  <c r="AY36" i="172"/>
  <c r="AX36" i="172"/>
  <c r="AW36" i="172"/>
  <c r="AV36" i="172"/>
  <c r="AU36" i="172"/>
  <c r="BF35" i="172"/>
  <c r="BE35" i="172"/>
  <c r="BD35" i="172"/>
  <c r="BC35" i="172"/>
  <c r="BB35" i="172"/>
  <c r="BA35" i="172"/>
  <c r="AZ35" i="172"/>
  <c r="AY35" i="172"/>
  <c r="AX35" i="172"/>
  <c r="AW35" i="172"/>
  <c r="AV35" i="172"/>
  <c r="AU35" i="172"/>
  <c r="BF34" i="172"/>
  <c r="BE34" i="172"/>
  <c r="BD34" i="172"/>
  <c r="BC34" i="172"/>
  <c r="BB34" i="172"/>
  <c r="BA34" i="172"/>
  <c r="AZ34" i="172"/>
  <c r="AY34" i="172"/>
  <c r="AX34" i="172"/>
  <c r="AW34" i="172"/>
  <c r="AV34" i="172"/>
  <c r="AU34" i="172"/>
  <c r="BF33" i="172"/>
  <c r="BE33" i="172"/>
  <c r="BD33" i="172"/>
  <c r="BC33" i="172"/>
  <c r="BB33" i="172"/>
  <c r="BA33" i="172"/>
  <c r="AZ33" i="172"/>
  <c r="AY33" i="172"/>
  <c r="AX33" i="172"/>
  <c r="AW33" i="172"/>
  <c r="AV33" i="172"/>
  <c r="AU33" i="172"/>
  <c r="BF32" i="172"/>
  <c r="BE32" i="172"/>
  <c r="BD32" i="172"/>
  <c r="BC32" i="172"/>
  <c r="BB32" i="172"/>
  <c r="BA32" i="172"/>
  <c r="AZ32" i="172"/>
  <c r="AY32" i="172"/>
  <c r="AX32" i="172"/>
  <c r="AW32" i="172"/>
  <c r="AV32" i="172"/>
  <c r="AU32" i="172"/>
  <c r="BF31" i="172"/>
  <c r="BE31" i="172"/>
  <c r="BD31" i="172"/>
  <c r="BC31" i="172"/>
  <c r="BB31" i="172"/>
  <c r="BA31" i="172"/>
  <c r="AZ31" i="172"/>
  <c r="AY31" i="172"/>
  <c r="AX31" i="172"/>
  <c r="AW31" i="172"/>
  <c r="AV31" i="172"/>
  <c r="AU31" i="172"/>
  <c r="BF30" i="172"/>
  <c r="BE30" i="172"/>
  <c r="BD30" i="172"/>
  <c r="BC30" i="172"/>
  <c r="BB30" i="172"/>
  <c r="BA30" i="172"/>
  <c r="AZ30" i="172"/>
  <c r="AY30" i="172"/>
  <c r="AX30" i="172"/>
  <c r="AW30" i="172"/>
  <c r="AV30" i="172"/>
  <c r="AU30" i="172"/>
  <c r="AU6" i="172"/>
  <c r="AV6" i="172"/>
  <c r="AW6" i="172"/>
  <c r="AX6" i="172"/>
  <c r="AY6" i="172"/>
  <c r="AZ6" i="172"/>
  <c r="BA6" i="172"/>
  <c r="BB6" i="172"/>
  <c r="BC6" i="172"/>
  <c r="BD6" i="172"/>
  <c r="BE6" i="172"/>
  <c r="BF6" i="172"/>
  <c r="AU7" i="172"/>
  <c r="AV7" i="172"/>
  <c r="AW7" i="172"/>
  <c r="AX7" i="172"/>
  <c r="AY7" i="172"/>
  <c r="AZ7" i="172"/>
  <c r="BA7" i="172"/>
  <c r="BB7" i="172"/>
  <c r="BC7" i="172"/>
  <c r="BD7" i="172"/>
  <c r="BE7" i="172"/>
  <c r="BF7" i="172"/>
  <c r="AU8" i="172"/>
  <c r="AV8" i="172"/>
  <c r="AW8" i="172"/>
  <c r="AX8" i="172"/>
  <c r="AY8" i="172"/>
  <c r="AZ8" i="172"/>
  <c r="BA8" i="172"/>
  <c r="BB8" i="172"/>
  <c r="BC8" i="172"/>
  <c r="BD8" i="172"/>
  <c r="BE8" i="172"/>
  <c r="BF8" i="172"/>
  <c r="AU9" i="172"/>
  <c r="AV9" i="172"/>
  <c r="AW9" i="172"/>
  <c r="AX9" i="172"/>
  <c r="AY9" i="172"/>
  <c r="AZ9" i="172"/>
  <c r="BA9" i="172"/>
  <c r="BB9" i="172"/>
  <c r="BC9" i="172"/>
  <c r="BD9" i="172"/>
  <c r="BE9" i="172"/>
  <c r="BF9" i="172"/>
  <c r="AU10" i="172"/>
  <c r="AV10" i="172"/>
  <c r="AW10" i="172"/>
  <c r="AX10" i="172"/>
  <c r="AY10" i="172"/>
  <c r="AZ10" i="172"/>
  <c r="BA10" i="172"/>
  <c r="BB10" i="172"/>
  <c r="BC10" i="172"/>
  <c r="BD10" i="172"/>
  <c r="BE10" i="172"/>
  <c r="BF10" i="172"/>
  <c r="AU11" i="172"/>
  <c r="AV11" i="172"/>
  <c r="AW11" i="172"/>
  <c r="AX11" i="172"/>
  <c r="AY11" i="172"/>
  <c r="AZ11" i="172"/>
  <c r="BA11" i="172"/>
  <c r="BB11" i="172"/>
  <c r="BC11" i="172"/>
  <c r="BD11" i="172"/>
  <c r="BE11" i="172"/>
  <c r="BF11" i="172"/>
  <c r="AU12" i="172"/>
  <c r="AV12" i="172"/>
  <c r="AW12" i="172"/>
  <c r="AX12" i="172"/>
  <c r="AY12" i="172"/>
  <c r="AZ12" i="172"/>
  <c r="BA12" i="172"/>
  <c r="BB12" i="172"/>
  <c r="BC12" i="172"/>
  <c r="BD12" i="172"/>
  <c r="BE12" i="172"/>
  <c r="BF12" i="172"/>
  <c r="AU13" i="172"/>
  <c r="AV13" i="172"/>
  <c r="AW13" i="172"/>
  <c r="AX13" i="172"/>
  <c r="AY13" i="172"/>
  <c r="AZ13" i="172"/>
  <c r="BA13" i="172"/>
  <c r="BB13" i="172"/>
  <c r="BC13" i="172"/>
  <c r="BD13" i="172"/>
  <c r="BE13" i="172"/>
  <c r="BF13" i="172"/>
  <c r="AU14" i="172"/>
  <c r="AV14" i="172"/>
  <c r="AW14" i="172"/>
  <c r="AX14" i="172"/>
  <c r="AY14" i="172"/>
  <c r="AZ14" i="172"/>
  <c r="BA14" i="172"/>
  <c r="BB14" i="172"/>
  <c r="BC14" i="172"/>
  <c r="BD14" i="172"/>
  <c r="BE14" i="172"/>
  <c r="BF14" i="172"/>
  <c r="AU15" i="172"/>
  <c r="AV15" i="172"/>
  <c r="AW15" i="172"/>
  <c r="AX15" i="172"/>
  <c r="AY15" i="172"/>
  <c r="AZ15" i="172"/>
  <c r="BA15" i="172"/>
  <c r="BB15" i="172"/>
  <c r="BC15" i="172"/>
  <c r="BD15" i="172"/>
  <c r="BE15" i="172"/>
  <c r="BF15" i="172"/>
  <c r="AU16" i="172"/>
  <c r="AV16" i="172"/>
  <c r="AW16" i="172"/>
  <c r="AX16" i="172"/>
  <c r="AY16" i="172"/>
  <c r="AZ16" i="172"/>
  <c r="BA16" i="172"/>
  <c r="BB16" i="172"/>
  <c r="BC16" i="172"/>
  <c r="BD16" i="172"/>
  <c r="BE16" i="172"/>
  <c r="BF16" i="172"/>
  <c r="AU17" i="172"/>
  <c r="AV17" i="172"/>
  <c r="AW17" i="172"/>
  <c r="AX17" i="172"/>
  <c r="AY17" i="172"/>
  <c r="AZ17" i="172"/>
  <c r="BA17" i="172"/>
  <c r="BB17" i="172"/>
  <c r="BC17" i="172"/>
  <c r="BD17" i="172"/>
  <c r="BE17" i="172"/>
  <c r="BF17" i="172"/>
  <c r="AU18" i="172"/>
  <c r="AV18" i="172"/>
  <c r="AW18" i="172"/>
  <c r="AX18" i="172"/>
  <c r="AY18" i="172"/>
  <c r="AZ18" i="172"/>
  <c r="BA18" i="172"/>
  <c r="BB18" i="172"/>
  <c r="BC18" i="172"/>
  <c r="BD18" i="172"/>
  <c r="BE18" i="172"/>
  <c r="BF18" i="172"/>
  <c r="AU19" i="172"/>
  <c r="AV19" i="172"/>
  <c r="AW19" i="172"/>
  <c r="AX19" i="172"/>
  <c r="AY19" i="172"/>
  <c r="AZ19" i="172"/>
  <c r="BA19" i="172"/>
  <c r="BB19" i="172"/>
  <c r="BC19" i="172"/>
  <c r="BD19" i="172"/>
  <c r="BE19" i="172"/>
  <c r="BF19" i="172"/>
  <c r="AU20" i="172"/>
  <c r="AV20" i="172"/>
  <c r="AW20" i="172"/>
  <c r="AX20" i="172"/>
  <c r="AY20" i="172"/>
  <c r="AZ20" i="172"/>
  <c r="BA20" i="172"/>
  <c r="BB20" i="172"/>
  <c r="BC20" i="172"/>
  <c r="BD20" i="172"/>
  <c r="BE20" i="172"/>
  <c r="BF20" i="172"/>
  <c r="AU21" i="172"/>
  <c r="AV21" i="172"/>
  <c r="AW21" i="172"/>
  <c r="AX21" i="172"/>
  <c r="AY21" i="172"/>
  <c r="AZ21" i="172"/>
  <c r="BA21" i="172"/>
  <c r="BB21" i="172"/>
  <c r="BC21" i="172"/>
  <c r="BD21" i="172"/>
  <c r="BE21" i="172"/>
  <c r="BF21" i="172"/>
  <c r="AU22" i="172"/>
  <c r="AV22" i="172"/>
  <c r="AW22" i="172"/>
  <c r="AX22" i="172"/>
  <c r="AY22" i="172"/>
  <c r="AZ22" i="172"/>
  <c r="BA22" i="172"/>
  <c r="BB22" i="172"/>
  <c r="BC22" i="172"/>
  <c r="BD22" i="172"/>
  <c r="BE22" i="172"/>
  <c r="BF22" i="172"/>
  <c r="AU23" i="172"/>
  <c r="AV23" i="172"/>
  <c r="AW23" i="172"/>
  <c r="AX23" i="172"/>
  <c r="AY23" i="172"/>
  <c r="AZ23" i="172"/>
  <c r="BA23" i="172"/>
  <c r="BB23" i="172"/>
  <c r="BC23" i="172"/>
  <c r="BD23" i="172"/>
  <c r="BE23" i="172"/>
  <c r="BF23" i="172"/>
  <c r="AU24" i="172"/>
  <c r="AV24" i="172"/>
  <c r="AW24" i="172"/>
  <c r="AX24" i="172"/>
  <c r="AY24" i="172"/>
  <c r="AZ24" i="172"/>
  <c r="BA24" i="172"/>
  <c r="BB24" i="172"/>
  <c r="BC24" i="172"/>
  <c r="BD24" i="172"/>
  <c r="BE24" i="172"/>
  <c r="BF24" i="172"/>
  <c r="AU25" i="172"/>
  <c r="AV25" i="172"/>
  <c r="AW25" i="172"/>
  <c r="AX25" i="172"/>
  <c r="AY25" i="172"/>
  <c r="AZ25" i="172"/>
  <c r="BA25" i="172"/>
  <c r="BB25" i="172"/>
  <c r="BC25" i="172"/>
  <c r="BD25" i="172"/>
  <c r="BE25" i="172"/>
  <c r="BF25" i="172"/>
  <c r="AU174" i="172"/>
  <c r="AV174" i="172"/>
  <c r="AW174" i="172"/>
  <c r="AX174" i="172"/>
  <c r="AY174" i="172"/>
  <c r="AZ174" i="172"/>
  <c r="BA174" i="172"/>
  <c r="BB174" i="172"/>
  <c r="BC174" i="172"/>
  <c r="BD174" i="172"/>
  <c r="BE174" i="172"/>
  <c r="BF174" i="172"/>
  <c r="BG174" i="172"/>
  <c r="AU149" i="172"/>
  <c r="AV149" i="172"/>
  <c r="AW149" i="172"/>
  <c r="AX149" i="172"/>
  <c r="AY149" i="172"/>
  <c r="AZ149" i="172"/>
  <c r="BA149" i="172"/>
  <c r="BB149" i="172"/>
  <c r="BC149" i="172"/>
  <c r="BD149" i="172"/>
  <c r="BE149" i="172"/>
  <c r="BF149" i="172"/>
  <c r="BG149" i="172"/>
  <c r="AU125" i="172"/>
  <c r="AV125" i="172"/>
  <c r="AW125" i="172"/>
  <c r="AX125" i="172"/>
  <c r="AY125" i="172"/>
  <c r="AZ125" i="172"/>
  <c r="BA125" i="172"/>
  <c r="BB125" i="172"/>
  <c r="BC125" i="172"/>
  <c r="BD125" i="172"/>
  <c r="BE125" i="172"/>
  <c r="BF125" i="172"/>
  <c r="BG125" i="172"/>
  <c r="AU101" i="172"/>
  <c r="AV101" i="172"/>
  <c r="AW101" i="172"/>
  <c r="AX101" i="172"/>
  <c r="AY101" i="172"/>
  <c r="AZ101" i="172"/>
  <c r="BA101" i="172"/>
  <c r="BB101" i="172"/>
  <c r="BC101" i="172"/>
  <c r="BD101" i="172"/>
  <c r="BE101" i="172"/>
  <c r="BF101" i="172"/>
  <c r="BG101" i="172"/>
  <c r="AU77" i="172"/>
  <c r="AV77" i="172"/>
  <c r="AW77" i="172"/>
  <c r="AX77" i="172"/>
  <c r="AY77" i="172"/>
  <c r="AZ77" i="172"/>
  <c r="BA77" i="172"/>
  <c r="BB77" i="172"/>
  <c r="BC77" i="172"/>
  <c r="BD77" i="172"/>
  <c r="BE77" i="172"/>
  <c r="BF77" i="172"/>
  <c r="BG77" i="172"/>
  <c r="AU53" i="172"/>
  <c r="AV53" i="172"/>
  <c r="AW53" i="172"/>
  <c r="AX53" i="172"/>
  <c r="AY53" i="172"/>
  <c r="AZ53" i="172"/>
  <c r="BA53" i="172"/>
  <c r="BB53" i="172"/>
  <c r="BC53" i="172"/>
  <c r="BD53" i="172"/>
  <c r="BE53" i="172"/>
  <c r="BF53" i="172"/>
  <c r="BG53" i="172"/>
  <c r="AU29" i="172"/>
  <c r="AV29" i="172"/>
  <c r="AW29" i="172"/>
  <c r="AX29" i="172"/>
  <c r="AY29" i="172"/>
  <c r="AZ29" i="172"/>
  <c r="BA29" i="172"/>
  <c r="BB29" i="172"/>
  <c r="BC29" i="172"/>
  <c r="BD29" i="172"/>
  <c r="BE29" i="172"/>
  <c r="BF29" i="172"/>
  <c r="BG29" i="172"/>
  <c r="AU3" i="172"/>
  <c r="AV3" i="172"/>
  <c r="AW3" i="172"/>
  <c r="AX3" i="172"/>
  <c r="AY3" i="172"/>
  <c r="AZ3" i="172"/>
  <c r="BA3" i="172"/>
  <c r="BB3" i="172"/>
  <c r="BC3" i="172"/>
  <c r="BD3" i="172"/>
  <c r="BE3" i="172"/>
  <c r="BF3" i="172"/>
  <c r="BG3" i="172"/>
  <c r="BE148" i="174"/>
  <c r="BD148" i="174"/>
  <c r="BC148" i="174"/>
  <c r="BB148" i="174"/>
  <c r="BA148" i="174"/>
  <c r="AZ148" i="174"/>
  <c r="AY148" i="174"/>
  <c r="AX148" i="174"/>
  <c r="AW148" i="174"/>
  <c r="AV148" i="174"/>
  <c r="AU148" i="174"/>
  <c r="AT148" i="174"/>
  <c r="BF148" i="174" s="1"/>
  <c r="BE147" i="174"/>
  <c r="BD147" i="174"/>
  <c r="BC147" i="174"/>
  <c r="BB147" i="174"/>
  <c r="BA147" i="174"/>
  <c r="AZ147" i="174"/>
  <c r="AY147" i="174"/>
  <c r="AX147" i="174"/>
  <c r="AW147" i="174"/>
  <c r="AV147" i="174"/>
  <c r="AU147" i="174"/>
  <c r="AT147" i="174"/>
  <c r="BF147" i="174" s="1"/>
  <c r="BF146" i="174"/>
  <c r="BE146" i="174"/>
  <c r="BD146" i="174"/>
  <c r="BC146" i="174"/>
  <c r="BB146" i="174"/>
  <c r="BA146" i="174"/>
  <c r="AZ146" i="174"/>
  <c r="AY146" i="174"/>
  <c r="AX146" i="174"/>
  <c r="AW146" i="174"/>
  <c r="AV146" i="174"/>
  <c r="AU146" i="174"/>
  <c r="AT146" i="174"/>
  <c r="BE145" i="174"/>
  <c r="BF145" i="174" s="1"/>
  <c r="BD145" i="174"/>
  <c r="BC145" i="174"/>
  <c r="BB145" i="174"/>
  <c r="BA145" i="174"/>
  <c r="AZ145" i="174"/>
  <c r="AY145" i="174"/>
  <c r="AX145" i="174"/>
  <c r="AW145" i="174"/>
  <c r="AV145" i="174"/>
  <c r="AU145" i="174"/>
  <c r="AT145" i="174"/>
  <c r="BE144" i="174"/>
  <c r="BD144" i="174"/>
  <c r="BF144" i="174" s="1"/>
  <c r="BC144" i="174"/>
  <c r="BB144" i="174"/>
  <c r="BA144" i="174"/>
  <c r="AZ144" i="174"/>
  <c r="AY144" i="174"/>
  <c r="AX144" i="174"/>
  <c r="AW144" i="174"/>
  <c r="AV144" i="174"/>
  <c r="AU144" i="174"/>
  <c r="AT144" i="174"/>
  <c r="BE143" i="174"/>
  <c r="BD143" i="174"/>
  <c r="BC143" i="174"/>
  <c r="BB143" i="174"/>
  <c r="BA143" i="174"/>
  <c r="AZ143" i="174"/>
  <c r="AY143" i="174"/>
  <c r="AX143" i="174"/>
  <c r="AW143" i="174"/>
  <c r="AV143" i="174"/>
  <c r="AU143" i="174"/>
  <c r="AT143" i="174"/>
  <c r="BF143" i="174" s="1"/>
  <c r="BE142" i="174"/>
  <c r="BD142" i="174"/>
  <c r="BC142" i="174"/>
  <c r="BB142" i="174"/>
  <c r="BA142" i="174"/>
  <c r="AZ142" i="174"/>
  <c r="AY142" i="174"/>
  <c r="BF142" i="174" s="1"/>
  <c r="AX142" i="174"/>
  <c r="AW142" i="174"/>
  <c r="AV142" i="174"/>
  <c r="AU142" i="174"/>
  <c r="AT142" i="174"/>
  <c r="BE141" i="174"/>
  <c r="BD141" i="174"/>
  <c r="BC141" i="174"/>
  <c r="BB141" i="174"/>
  <c r="BA141" i="174"/>
  <c r="AZ141" i="174"/>
  <c r="AY141" i="174"/>
  <c r="AX141" i="174"/>
  <c r="BF141" i="174" s="1"/>
  <c r="AW141" i="174"/>
  <c r="AV141" i="174"/>
  <c r="AU141" i="174"/>
  <c r="AT141" i="174"/>
  <c r="BE140" i="174"/>
  <c r="BD140" i="174"/>
  <c r="BC140" i="174"/>
  <c r="BB140" i="174"/>
  <c r="BA140" i="174"/>
  <c r="AZ140" i="174"/>
  <c r="AY140" i="174"/>
  <c r="AX140" i="174"/>
  <c r="AW140" i="174"/>
  <c r="AV140" i="174"/>
  <c r="AU140" i="174"/>
  <c r="AT140" i="174"/>
  <c r="BF140" i="174" s="1"/>
  <c r="BE139" i="174"/>
  <c r="BD139" i="174"/>
  <c r="BC139" i="174"/>
  <c r="BB139" i="174"/>
  <c r="BA139" i="174"/>
  <c r="AZ139" i="174"/>
  <c r="AY139" i="174"/>
  <c r="AX139" i="174"/>
  <c r="AW139" i="174"/>
  <c r="AV139" i="174"/>
  <c r="BF139" i="174" s="1"/>
  <c r="AU139" i="174"/>
  <c r="AT139" i="174"/>
  <c r="BE138" i="174"/>
  <c r="BD138" i="174"/>
  <c r="BC138" i="174"/>
  <c r="BB138" i="174"/>
  <c r="BA138" i="174"/>
  <c r="AZ138" i="174"/>
  <c r="AY138" i="174"/>
  <c r="AX138" i="174"/>
  <c r="AW138" i="174"/>
  <c r="AV138" i="174"/>
  <c r="AU138" i="174"/>
  <c r="AT138" i="174"/>
  <c r="BF138" i="174" s="1"/>
  <c r="BE137" i="174"/>
  <c r="BD137" i="174"/>
  <c r="BC137" i="174"/>
  <c r="BB137" i="174"/>
  <c r="BA137" i="174"/>
  <c r="AZ137" i="174"/>
  <c r="AY137" i="174"/>
  <c r="AX137" i="174"/>
  <c r="AW137" i="174"/>
  <c r="AV137" i="174"/>
  <c r="AU137" i="174"/>
  <c r="AT137" i="174"/>
  <c r="BF137" i="174" s="1"/>
  <c r="BE136" i="174"/>
  <c r="BD136" i="174"/>
  <c r="BC136" i="174"/>
  <c r="BB136" i="174"/>
  <c r="BA136" i="174"/>
  <c r="AZ136" i="174"/>
  <c r="AY136" i="174"/>
  <c r="AX136" i="174"/>
  <c r="AW136" i="174"/>
  <c r="AV136" i="174"/>
  <c r="BF136" i="174" s="1"/>
  <c r="AU136" i="174"/>
  <c r="AT136" i="174"/>
  <c r="BE135" i="174"/>
  <c r="BD135" i="174"/>
  <c r="BC135" i="174"/>
  <c r="BB135" i="174"/>
  <c r="BA135" i="174"/>
  <c r="AZ135" i="174"/>
  <c r="AY135" i="174"/>
  <c r="AX135" i="174"/>
  <c r="AW135" i="174"/>
  <c r="AV135" i="174"/>
  <c r="AU135" i="174"/>
  <c r="BF135" i="174" s="1"/>
  <c r="AT135" i="174"/>
  <c r="BE134" i="174"/>
  <c r="BD134" i="174"/>
  <c r="BC134" i="174"/>
  <c r="BB134" i="174"/>
  <c r="BA134" i="174"/>
  <c r="AZ134" i="174"/>
  <c r="AY134" i="174"/>
  <c r="AX134" i="174"/>
  <c r="AW134" i="174"/>
  <c r="AV134" i="174"/>
  <c r="AU134" i="174"/>
  <c r="AT134" i="174"/>
  <c r="BF134" i="174" s="1"/>
  <c r="BE133" i="174"/>
  <c r="BD133" i="174"/>
  <c r="BC133" i="174"/>
  <c r="BB133" i="174"/>
  <c r="BA133" i="174"/>
  <c r="AZ133" i="174"/>
  <c r="AY133" i="174"/>
  <c r="AX133" i="174"/>
  <c r="AW133" i="174"/>
  <c r="AV133" i="174"/>
  <c r="AU133" i="174"/>
  <c r="AT133" i="174"/>
  <c r="BF133" i="174" s="1"/>
  <c r="BF132" i="174"/>
  <c r="BE132" i="174"/>
  <c r="BD132" i="174"/>
  <c r="BC132" i="174"/>
  <c r="BB132" i="174"/>
  <c r="BA132" i="174"/>
  <c r="AZ132" i="174"/>
  <c r="AY132" i="174"/>
  <c r="AX132" i="174"/>
  <c r="AW132" i="174"/>
  <c r="AV132" i="174"/>
  <c r="AU132" i="174"/>
  <c r="AT132" i="174"/>
  <c r="BF131" i="174"/>
  <c r="BE131" i="174"/>
  <c r="BD131" i="174"/>
  <c r="BC131" i="174"/>
  <c r="BB131" i="174"/>
  <c r="BA131" i="174"/>
  <c r="AZ131" i="174"/>
  <c r="AY131" i="174"/>
  <c r="AX131" i="174"/>
  <c r="AW131" i="174"/>
  <c r="AV131" i="174"/>
  <c r="AU131" i="174"/>
  <c r="AT131" i="174"/>
  <c r="BF110" i="174"/>
  <c r="BE110" i="174"/>
  <c r="BD110" i="174"/>
  <c r="BC110" i="174"/>
  <c r="BB110" i="174"/>
  <c r="BA110" i="174"/>
  <c r="AZ110" i="174"/>
  <c r="AY110" i="174"/>
  <c r="AX110" i="174"/>
  <c r="AW110" i="174"/>
  <c r="AV110" i="174"/>
  <c r="AU110" i="174"/>
  <c r="AT110" i="174"/>
  <c r="BF89" i="174"/>
  <c r="BE89" i="174"/>
  <c r="BD89" i="174"/>
  <c r="BC89" i="174"/>
  <c r="BB89" i="174"/>
  <c r="BA89" i="174"/>
  <c r="AZ89" i="174"/>
  <c r="AY89" i="174"/>
  <c r="AX89" i="174"/>
  <c r="AW89" i="174"/>
  <c r="AV89" i="174"/>
  <c r="AU89" i="174"/>
  <c r="AT89" i="174"/>
  <c r="BF68" i="174"/>
  <c r="BE68" i="174"/>
  <c r="BD68" i="174"/>
  <c r="BC68" i="174"/>
  <c r="BB68" i="174"/>
  <c r="BA68" i="174"/>
  <c r="AZ68" i="174"/>
  <c r="AY68" i="174"/>
  <c r="AX68" i="174"/>
  <c r="AW68" i="174"/>
  <c r="AV68" i="174"/>
  <c r="AU68" i="174"/>
  <c r="AT68" i="174"/>
  <c r="BF47" i="174"/>
  <c r="BE47" i="174"/>
  <c r="BD47" i="174"/>
  <c r="BC47" i="174"/>
  <c r="BB47" i="174"/>
  <c r="BA47" i="174"/>
  <c r="AZ47" i="174"/>
  <c r="AY47" i="174"/>
  <c r="AX47" i="174"/>
  <c r="AW47" i="174"/>
  <c r="AV47" i="174"/>
  <c r="AU47" i="174"/>
  <c r="AT47" i="174"/>
  <c r="AT26" i="174"/>
  <c r="AU26" i="174"/>
  <c r="AV26" i="174"/>
  <c r="AW26" i="174"/>
  <c r="AX26" i="174"/>
  <c r="AY26" i="174"/>
  <c r="AZ26" i="174"/>
  <c r="BA26" i="174"/>
  <c r="BB26" i="174"/>
  <c r="BC26" i="174"/>
  <c r="BD26" i="174"/>
  <c r="BE26" i="174"/>
  <c r="BF26" i="174"/>
  <c r="BE127" i="174"/>
  <c r="BD127" i="174"/>
  <c r="BC127" i="174"/>
  <c r="BB127" i="174"/>
  <c r="BA127" i="174"/>
  <c r="AZ127" i="174"/>
  <c r="AY127" i="174"/>
  <c r="AX127" i="174"/>
  <c r="AW127" i="174"/>
  <c r="AV127" i="174"/>
  <c r="AU127" i="174"/>
  <c r="AT127" i="174"/>
  <c r="BE126" i="174"/>
  <c r="BD126" i="174"/>
  <c r="BC126" i="174"/>
  <c r="BB126" i="174"/>
  <c r="BA126" i="174"/>
  <c r="AZ126" i="174"/>
  <c r="AY126" i="174"/>
  <c r="AX126" i="174"/>
  <c r="AW126" i="174"/>
  <c r="AV126" i="174"/>
  <c r="AU126" i="174"/>
  <c r="AT126" i="174"/>
  <c r="BE125" i="174"/>
  <c r="BD125" i="174"/>
  <c r="BC125" i="174"/>
  <c r="BB125" i="174"/>
  <c r="BA125" i="174"/>
  <c r="AZ125" i="174"/>
  <c r="AY125" i="174"/>
  <c r="AX125" i="174"/>
  <c r="AW125" i="174"/>
  <c r="AV125" i="174"/>
  <c r="AU125" i="174"/>
  <c r="AT125" i="174"/>
  <c r="BE124" i="174"/>
  <c r="BD124" i="174"/>
  <c r="BC124" i="174"/>
  <c r="BB124" i="174"/>
  <c r="BA124" i="174"/>
  <c r="AZ124" i="174"/>
  <c r="AY124" i="174"/>
  <c r="AX124" i="174"/>
  <c r="AW124" i="174"/>
  <c r="AV124" i="174"/>
  <c r="AU124" i="174"/>
  <c r="AT124" i="174"/>
  <c r="BF124" i="174" s="1"/>
  <c r="BE123" i="174"/>
  <c r="BD123" i="174"/>
  <c r="BC123" i="174"/>
  <c r="BB123" i="174"/>
  <c r="BA123" i="174"/>
  <c r="AZ123" i="174"/>
  <c r="AY123" i="174"/>
  <c r="AX123" i="174"/>
  <c r="AW123" i="174"/>
  <c r="AV123" i="174"/>
  <c r="AU123" i="174"/>
  <c r="AT123" i="174"/>
  <c r="BE122" i="174"/>
  <c r="BD122" i="174"/>
  <c r="BC122" i="174"/>
  <c r="BB122" i="174"/>
  <c r="BA122" i="174"/>
  <c r="AZ122" i="174"/>
  <c r="AY122" i="174"/>
  <c r="AX122" i="174"/>
  <c r="AW122" i="174"/>
  <c r="AV122" i="174"/>
  <c r="AU122" i="174"/>
  <c r="AT122" i="174"/>
  <c r="BE121" i="174"/>
  <c r="BD121" i="174"/>
  <c r="BC121" i="174"/>
  <c r="BB121" i="174"/>
  <c r="BA121" i="174"/>
  <c r="AZ121" i="174"/>
  <c r="AY121" i="174"/>
  <c r="AX121" i="174"/>
  <c r="AW121" i="174"/>
  <c r="AV121" i="174"/>
  <c r="AU121" i="174"/>
  <c r="AT121" i="174"/>
  <c r="BE120" i="174"/>
  <c r="BD120" i="174"/>
  <c r="BC120" i="174"/>
  <c r="BB120" i="174"/>
  <c r="BA120" i="174"/>
  <c r="AZ120" i="174"/>
  <c r="AY120" i="174"/>
  <c r="AX120" i="174"/>
  <c r="AW120" i="174"/>
  <c r="AV120" i="174"/>
  <c r="AU120" i="174"/>
  <c r="AT120" i="174"/>
  <c r="BE119" i="174"/>
  <c r="BD119" i="174"/>
  <c r="BC119" i="174"/>
  <c r="BB119" i="174"/>
  <c r="BA119" i="174"/>
  <c r="AZ119" i="174"/>
  <c r="AY119" i="174"/>
  <c r="AX119" i="174"/>
  <c r="AW119" i="174"/>
  <c r="AV119" i="174"/>
  <c r="AU119" i="174"/>
  <c r="AT119" i="174"/>
  <c r="BE118" i="174"/>
  <c r="BD118" i="174"/>
  <c r="BC118" i="174"/>
  <c r="BB118" i="174"/>
  <c r="BA118" i="174"/>
  <c r="AZ118" i="174"/>
  <c r="AY118" i="174"/>
  <c r="AX118" i="174"/>
  <c r="AW118" i="174"/>
  <c r="AV118" i="174"/>
  <c r="AU118" i="174"/>
  <c r="AT118" i="174"/>
  <c r="BE117" i="174"/>
  <c r="BD117" i="174"/>
  <c r="BC117" i="174"/>
  <c r="BB117" i="174"/>
  <c r="BA117" i="174"/>
  <c r="AZ117" i="174"/>
  <c r="AY117" i="174"/>
  <c r="AX117" i="174"/>
  <c r="AW117" i="174"/>
  <c r="AV117" i="174"/>
  <c r="AU117" i="174"/>
  <c r="AT117" i="174"/>
  <c r="BE116" i="174"/>
  <c r="BD116" i="174"/>
  <c r="BC116" i="174"/>
  <c r="BB116" i="174"/>
  <c r="BA116" i="174"/>
  <c r="AZ116" i="174"/>
  <c r="AY116" i="174"/>
  <c r="AX116" i="174"/>
  <c r="AW116" i="174"/>
  <c r="AV116" i="174"/>
  <c r="AU116" i="174"/>
  <c r="AT116" i="174"/>
  <c r="BF116" i="174" s="1"/>
  <c r="BE115" i="174"/>
  <c r="BD115" i="174"/>
  <c r="BC115" i="174"/>
  <c r="BB115" i="174"/>
  <c r="BA115" i="174"/>
  <c r="AZ115" i="174"/>
  <c r="AY115" i="174"/>
  <c r="AX115" i="174"/>
  <c r="AW115" i="174"/>
  <c r="AV115" i="174"/>
  <c r="AU115" i="174"/>
  <c r="AT115" i="174"/>
  <c r="BE114" i="174"/>
  <c r="BD114" i="174"/>
  <c r="BC114" i="174"/>
  <c r="BB114" i="174"/>
  <c r="BA114" i="174"/>
  <c r="AZ114" i="174"/>
  <c r="AY114" i="174"/>
  <c r="AX114" i="174"/>
  <c r="AW114" i="174"/>
  <c r="AV114" i="174"/>
  <c r="AU114" i="174"/>
  <c r="AT114" i="174"/>
  <c r="BE113" i="174"/>
  <c r="BD113" i="174"/>
  <c r="BC113" i="174"/>
  <c r="BB113" i="174"/>
  <c r="BA113" i="174"/>
  <c r="AZ113" i="174"/>
  <c r="AY113" i="174"/>
  <c r="AX113" i="174"/>
  <c r="AW113" i="174"/>
  <c r="AV113" i="174"/>
  <c r="AU113" i="174"/>
  <c r="AT113" i="174"/>
  <c r="BE112" i="174"/>
  <c r="BD112" i="174"/>
  <c r="BC112" i="174"/>
  <c r="BB112" i="174"/>
  <c r="BA112" i="174"/>
  <c r="AZ112" i="174"/>
  <c r="AY112" i="174"/>
  <c r="AX112" i="174"/>
  <c r="AW112" i="174"/>
  <c r="AV112" i="174"/>
  <c r="AU112" i="174"/>
  <c r="AT112" i="174"/>
  <c r="BE111" i="174"/>
  <c r="BD111" i="174"/>
  <c r="BC111" i="174"/>
  <c r="BB111" i="174"/>
  <c r="BA111" i="174"/>
  <c r="AZ111" i="174"/>
  <c r="AY111" i="174"/>
  <c r="AX111" i="174"/>
  <c r="AW111" i="174"/>
  <c r="AV111" i="174"/>
  <c r="AU111" i="174"/>
  <c r="AT111" i="174"/>
  <c r="BE106" i="174"/>
  <c r="BD106" i="174"/>
  <c r="BC106" i="174"/>
  <c r="BB106" i="174"/>
  <c r="BA106" i="174"/>
  <c r="AZ106" i="174"/>
  <c r="AY106" i="174"/>
  <c r="AX106" i="174"/>
  <c r="AW106" i="174"/>
  <c r="AV106" i="174"/>
  <c r="AU106" i="174"/>
  <c r="AT106" i="174"/>
  <c r="BE105" i="174"/>
  <c r="BD105" i="174"/>
  <c r="BC105" i="174"/>
  <c r="BB105" i="174"/>
  <c r="BA105" i="174"/>
  <c r="AZ105" i="174"/>
  <c r="AY105" i="174"/>
  <c r="AX105" i="174"/>
  <c r="AW105" i="174"/>
  <c r="AV105" i="174"/>
  <c r="AU105" i="174"/>
  <c r="AT105" i="174"/>
  <c r="BE104" i="174"/>
  <c r="BD104" i="174"/>
  <c r="BC104" i="174"/>
  <c r="BB104" i="174"/>
  <c r="BA104" i="174"/>
  <c r="AZ104" i="174"/>
  <c r="AY104" i="174"/>
  <c r="AX104" i="174"/>
  <c r="AW104" i="174"/>
  <c r="AV104" i="174"/>
  <c r="AU104" i="174"/>
  <c r="AT104" i="174"/>
  <c r="BE103" i="174"/>
  <c r="BD103" i="174"/>
  <c r="BC103" i="174"/>
  <c r="BB103" i="174"/>
  <c r="BA103" i="174"/>
  <c r="AZ103" i="174"/>
  <c r="AY103" i="174"/>
  <c r="AX103" i="174"/>
  <c r="AW103" i="174"/>
  <c r="AV103" i="174"/>
  <c r="AU103" i="174"/>
  <c r="AT103" i="174"/>
  <c r="BE102" i="174"/>
  <c r="BD102" i="174"/>
  <c r="BC102" i="174"/>
  <c r="BB102" i="174"/>
  <c r="BA102" i="174"/>
  <c r="AZ102" i="174"/>
  <c r="AY102" i="174"/>
  <c r="AX102" i="174"/>
  <c r="AW102" i="174"/>
  <c r="AV102" i="174"/>
  <c r="AU102" i="174"/>
  <c r="AT102" i="174"/>
  <c r="BE101" i="174"/>
  <c r="BD101" i="174"/>
  <c r="BC101" i="174"/>
  <c r="BB101" i="174"/>
  <c r="BA101" i="174"/>
  <c r="AZ101" i="174"/>
  <c r="AY101" i="174"/>
  <c r="AX101" i="174"/>
  <c r="AW101" i="174"/>
  <c r="AV101" i="174"/>
  <c r="AU101" i="174"/>
  <c r="AT101" i="174"/>
  <c r="BE100" i="174"/>
  <c r="BD100" i="174"/>
  <c r="BC100" i="174"/>
  <c r="BB100" i="174"/>
  <c r="BA100" i="174"/>
  <c r="AZ100" i="174"/>
  <c r="AY100" i="174"/>
  <c r="AX100" i="174"/>
  <c r="AW100" i="174"/>
  <c r="AV100" i="174"/>
  <c r="AU100" i="174"/>
  <c r="AT100" i="174"/>
  <c r="BE99" i="174"/>
  <c r="BD99" i="174"/>
  <c r="BC99" i="174"/>
  <c r="BB99" i="174"/>
  <c r="BA99" i="174"/>
  <c r="AZ99" i="174"/>
  <c r="AY99" i="174"/>
  <c r="AX99" i="174"/>
  <c r="AW99" i="174"/>
  <c r="AV99" i="174"/>
  <c r="AU99" i="174"/>
  <c r="AT99" i="174"/>
  <c r="BE98" i="174"/>
  <c r="BD98" i="174"/>
  <c r="BC98" i="174"/>
  <c r="BB98" i="174"/>
  <c r="BA98" i="174"/>
  <c r="AZ98" i="174"/>
  <c r="AY98" i="174"/>
  <c r="AX98" i="174"/>
  <c r="AW98" i="174"/>
  <c r="AV98" i="174"/>
  <c r="AU98" i="174"/>
  <c r="AT98" i="174"/>
  <c r="BE97" i="174"/>
  <c r="BD97" i="174"/>
  <c r="BC97" i="174"/>
  <c r="BB97" i="174"/>
  <c r="BA97" i="174"/>
  <c r="AZ97" i="174"/>
  <c r="AY97" i="174"/>
  <c r="AX97" i="174"/>
  <c r="AW97" i="174"/>
  <c r="AV97" i="174"/>
  <c r="AU97" i="174"/>
  <c r="AT97" i="174"/>
  <c r="BE96" i="174"/>
  <c r="BD96" i="174"/>
  <c r="BC96" i="174"/>
  <c r="BB96" i="174"/>
  <c r="BA96" i="174"/>
  <c r="AZ96" i="174"/>
  <c r="AY96" i="174"/>
  <c r="AX96" i="174"/>
  <c r="AW96" i="174"/>
  <c r="AV96" i="174"/>
  <c r="AU96" i="174"/>
  <c r="AT96" i="174"/>
  <c r="BE95" i="174"/>
  <c r="BD95" i="174"/>
  <c r="BC95" i="174"/>
  <c r="BB95" i="174"/>
  <c r="BA95" i="174"/>
  <c r="AZ95" i="174"/>
  <c r="AY95" i="174"/>
  <c r="AX95" i="174"/>
  <c r="AW95" i="174"/>
  <c r="AV95" i="174"/>
  <c r="AU95" i="174"/>
  <c r="AT95" i="174"/>
  <c r="BE94" i="174"/>
  <c r="BD94" i="174"/>
  <c r="BC94" i="174"/>
  <c r="BB94" i="174"/>
  <c r="BA94" i="174"/>
  <c r="AZ94" i="174"/>
  <c r="AY94" i="174"/>
  <c r="AX94" i="174"/>
  <c r="AW94" i="174"/>
  <c r="AV94" i="174"/>
  <c r="AU94" i="174"/>
  <c r="AT94" i="174"/>
  <c r="BE93" i="174"/>
  <c r="BD93" i="174"/>
  <c r="BC93" i="174"/>
  <c r="BB93" i="174"/>
  <c r="BA93" i="174"/>
  <c r="AZ93" i="174"/>
  <c r="AY93" i="174"/>
  <c r="AX93" i="174"/>
  <c r="AW93" i="174"/>
  <c r="AV93" i="174"/>
  <c r="AU93" i="174"/>
  <c r="AT93" i="174"/>
  <c r="BF93" i="174" s="1"/>
  <c r="BE92" i="174"/>
  <c r="BD92" i="174"/>
  <c r="BC92" i="174"/>
  <c r="BB92" i="174"/>
  <c r="BA92" i="174"/>
  <c r="AZ92" i="174"/>
  <c r="AY92" i="174"/>
  <c r="AX92" i="174"/>
  <c r="AW92" i="174"/>
  <c r="AV92" i="174"/>
  <c r="AU92" i="174"/>
  <c r="AT92" i="174"/>
  <c r="BE91" i="174"/>
  <c r="BD91" i="174"/>
  <c r="BC91" i="174"/>
  <c r="BB91" i="174"/>
  <c r="BA91" i="174"/>
  <c r="AZ91" i="174"/>
  <c r="AY91" i="174"/>
  <c r="AX91" i="174"/>
  <c r="AW91" i="174"/>
  <c r="AV91" i="174"/>
  <c r="AU91" i="174"/>
  <c r="AT91" i="174"/>
  <c r="BE90" i="174"/>
  <c r="BD90" i="174"/>
  <c r="BC90" i="174"/>
  <c r="BB90" i="174"/>
  <c r="BA90" i="174"/>
  <c r="AZ90" i="174"/>
  <c r="AY90" i="174"/>
  <c r="AX90" i="174"/>
  <c r="AW90" i="174"/>
  <c r="AV90" i="174"/>
  <c r="AU90" i="174"/>
  <c r="AT90" i="174"/>
  <c r="BE85" i="174"/>
  <c r="BD85" i="174"/>
  <c r="BC85" i="174"/>
  <c r="BB85" i="174"/>
  <c r="BA85" i="174"/>
  <c r="AZ85" i="174"/>
  <c r="AY85" i="174"/>
  <c r="AX85" i="174"/>
  <c r="AW85" i="174"/>
  <c r="AV85" i="174"/>
  <c r="AU85" i="174"/>
  <c r="AT85" i="174"/>
  <c r="BE84" i="174"/>
  <c r="BD84" i="174"/>
  <c r="BC84" i="174"/>
  <c r="BB84" i="174"/>
  <c r="BA84" i="174"/>
  <c r="AZ84" i="174"/>
  <c r="AY84" i="174"/>
  <c r="AX84" i="174"/>
  <c r="AW84" i="174"/>
  <c r="AV84" i="174"/>
  <c r="AU84" i="174"/>
  <c r="AT84" i="174"/>
  <c r="BE83" i="174"/>
  <c r="BD83" i="174"/>
  <c r="BC83" i="174"/>
  <c r="BB83" i="174"/>
  <c r="BA83" i="174"/>
  <c r="AZ83" i="174"/>
  <c r="AY83" i="174"/>
  <c r="AX83" i="174"/>
  <c r="AW83" i="174"/>
  <c r="AV83" i="174"/>
  <c r="AU83" i="174"/>
  <c r="AT83" i="174"/>
  <c r="BE82" i="174"/>
  <c r="BD82" i="174"/>
  <c r="BC82" i="174"/>
  <c r="BB82" i="174"/>
  <c r="BA82" i="174"/>
  <c r="AZ82" i="174"/>
  <c r="AY82" i="174"/>
  <c r="AX82" i="174"/>
  <c r="AW82" i="174"/>
  <c r="AV82" i="174"/>
  <c r="AU82" i="174"/>
  <c r="AT82" i="174"/>
  <c r="BE81" i="174"/>
  <c r="BD81" i="174"/>
  <c r="BC81" i="174"/>
  <c r="BB81" i="174"/>
  <c r="BA81" i="174"/>
  <c r="AZ81" i="174"/>
  <c r="AY81" i="174"/>
  <c r="AX81" i="174"/>
  <c r="AW81" i="174"/>
  <c r="AV81" i="174"/>
  <c r="AU81" i="174"/>
  <c r="AT81" i="174"/>
  <c r="BE80" i="174"/>
  <c r="BD80" i="174"/>
  <c r="BC80" i="174"/>
  <c r="BB80" i="174"/>
  <c r="BA80" i="174"/>
  <c r="AZ80" i="174"/>
  <c r="AY80" i="174"/>
  <c r="AX80" i="174"/>
  <c r="AW80" i="174"/>
  <c r="AV80" i="174"/>
  <c r="AU80" i="174"/>
  <c r="AT80" i="174"/>
  <c r="BE79" i="174"/>
  <c r="BD79" i="174"/>
  <c r="BC79" i="174"/>
  <c r="BB79" i="174"/>
  <c r="BA79" i="174"/>
  <c r="AZ79" i="174"/>
  <c r="AY79" i="174"/>
  <c r="AX79" i="174"/>
  <c r="AW79" i="174"/>
  <c r="AV79" i="174"/>
  <c r="AU79" i="174"/>
  <c r="AT79" i="174"/>
  <c r="BE78" i="174"/>
  <c r="BD78" i="174"/>
  <c r="BC78" i="174"/>
  <c r="BB78" i="174"/>
  <c r="BA78" i="174"/>
  <c r="AZ78" i="174"/>
  <c r="AY78" i="174"/>
  <c r="AX78" i="174"/>
  <c r="AW78" i="174"/>
  <c r="AV78" i="174"/>
  <c r="AU78" i="174"/>
  <c r="AT78" i="174"/>
  <c r="BE77" i="174"/>
  <c r="BD77" i="174"/>
  <c r="BC77" i="174"/>
  <c r="BB77" i="174"/>
  <c r="BA77" i="174"/>
  <c r="AZ77" i="174"/>
  <c r="AY77" i="174"/>
  <c r="AX77" i="174"/>
  <c r="AW77" i="174"/>
  <c r="AV77" i="174"/>
  <c r="AU77" i="174"/>
  <c r="AT77" i="174"/>
  <c r="BE76" i="174"/>
  <c r="BD76" i="174"/>
  <c r="BC76" i="174"/>
  <c r="BB76" i="174"/>
  <c r="BA76" i="174"/>
  <c r="AZ76" i="174"/>
  <c r="AY76" i="174"/>
  <c r="AX76" i="174"/>
  <c r="AW76" i="174"/>
  <c r="AV76" i="174"/>
  <c r="AU76" i="174"/>
  <c r="AT76" i="174"/>
  <c r="BF76" i="174" s="1"/>
  <c r="BE75" i="174"/>
  <c r="BD75" i="174"/>
  <c r="BC75" i="174"/>
  <c r="BB75" i="174"/>
  <c r="BA75" i="174"/>
  <c r="AZ75" i="174"/>
  <c r="AY75" i="174"/>
  <c r="AX75" i="174"/>
  <c r="AW75" i="174"/>
  <c r="AV75" i="174"/>
  <c r="AU75" i="174"/>
  <c r="AT75" i="174"/>
  <c r="BE74" i="174"/>
  <c r="BD74" i="174"/>
  <c r="BC74" i="174"/>
  <c r="BB74" i="174"/>
  <c r="BA74" i="174"/>
  <c r="AZ74" i="174"/>
  <c r="AY74" i="174"/>
  <c r="AX74" i="174"/>
  <c r="AW74" i="174"/>
  <c r="AV74" i="174"/>
  <c r="AU74" i="174"/>
  <c r="AT74" i="174"/>
  <c r="BE73" i="174"/>
  <c r="BD73" i="174"/>
  <c r="BC73" i="174"/>
  <c r="BB73" i="174"/>
  <c r="BA73" i="174"/>
  <c r="AZ73" i="174"/>
  <c r="AY73" i="174"/>
  <c r="AX73" i="174"/>
  <c r="AW73" i="174"/>
  <c r="AV73" i="174"/>
  <c r="AU73" i="174"/>
  <c r="AT73" i="174"/>
  <c r="BE72" i="174"/>
  <c r="BD72" i="174"/>
  <c r="BC72" i="174"/>
  <c r="BB72" i="174"/>
  <c r="BA72" i="174"/>
  <c r="AZ72" i="174"/>
  <c r="AY72" i="174"/>
  <c r="AX72" i="174"/>
  <c r="AW72" i="174"/>
  <c r="AV72" i="174"/>
  <c r="AU72" i="174"/>
  <c r="AT72" i="174"/>
  <c r="BE71" i="174"/>
  <c r="BD71" i="174"/>
  <c r="BC71" i="174"/>
  <c r="BB71" i="174"/>
  <c r="BA71" i="174"/>
  <c r="AZ71" i="174"/>
  <c r="AY71" i="174"/>
  <c r="AX71" i="174"/>
  <c r="AW71" i="174"/>
  <c r="AV71" i="174"/>
  <c r="AU71" i="174"/>
  <c r="AT71" i="174"/>
  <c r="BE70" i="174"/>
  <c r="BD70" i="174"/>
  <c r="BC70" i="174"/>
  <c r="BB70" i="174"/>
  <c r="BA70" i="174"/>
  <c r="AZ70" i="174"/>
  <c r="AY70" i="174"/>
  <c r="AX70" i="174"/>
  <c r="AW70" i="174"/>
  <c r="AV70" i="174"/>
  <c r="AU70" i="174"/>
  <c r="AT70" i="174"/>
  <c r="BE69" i="174"/>
  <c r="BD69" i="174"/>
  <c r="BC69" i="174"/>
  <c r="BB69" i="174"/>
  <c r="BA69" i="174"/>
  <c r="AZ69" i="174"/>
  <c r="AY69" i="174"/>
  <c r="AX69" i="174"/>
  <c r="AW69" i="174"/>
  <c r="AV69" i="174"/>
  <c r="AU69" i="174"/>
  <c r="AT69" i="174"/>
  <c r="BE64" i="174"/>
  <c r="BD64" i="174"/>
  <c r="BC64" i="174"/>
  <c r="BB64" i="174"/>
  <c r="BA64" i="174"/>
  <c r="AZ64" i="174"/>
  <c r="AY64" i="174"/>
  <c r="AX64" i="174"/>
  <c r="AW64" i="174"/>
  <c r="AV64" i="174"/>
  <c r="AU64" i="174"/>
  <c r="AT64" i="174"/>
  <c r="BE63" i="174"/>
  <c r="BD63" i="174"/>
  <c r="BC63" i="174"/>
  <c r="BB63" i="174"/>
  <c r="BA63" i="174"/>
  <c r="AZ63" i="174"/>
  <c r="AY63" i="174"/>
  <c r="AX63" i="174"/>
  <c r="AW63" i="174"/>
  <c r="AV63" i="174"/>
  <c r="AU63" i="174"/>
  <c r="AT63" i="174"/>
  <c r="BE62" i="174"/>
  <c r="BD62" i="174"/>
  <c r="BC62" i="174"/>
  <c r="BB62" i="174"/>
  <c r="BA62" i="174"/>
  <c r="AZ62" i="174"/>
  <c r="AY62" i="174"/>
  <c r="AX62" i="174"/>
  <c r="AW62" i="174"/>
  <c r="AV62" i="174"/>
  <c r="AU62" i="174"/>
  <c r="AT62" i="174"/>
  <c r="BE61" i="174"/>
  <c r="BD61" i="174"/>
  <c r="BC61" i="174"/>
  <c r="BB61" i="174"/>
  <c r="BA61" i="174"/>
  <c r="AZ61" i="174"/>
  <c r="AY61" i="174"/>
  <c r="AX61" i="174"/>
  <c r="AW61" i="174"/>
  <c r="AV61" i="174"/>
  <c r="AU61" i="174"/>
  <c r="AT61" i="174"/>
  <c r="BF61" i="174" s="1"/>
  <c r="BE60" i="174"/>
  <c r="BD60" i="174"/>
  <c r="BC60" i="174"/>
  <c r="BB60" i="174"/>
  <c r="BA60" i="174"/>
  <c r="AZ60" i="174"/>
  <c r="AY60" i="174"/>
  <c r="AX60" i="174"/>
  <c r="AW60" i="174"/>
  <c r="AV60" i="174"/>
  <c r="BF60" i="174" s="1"/>
  <c r="AU60" i="174"/>
  <c r="AT60" i="174"/>
  <c r="BE59" i="174"/>
  <c r="BD59" i="174"/>
  <c r="BC59" i="174"/>
  <c r="BB59" i="174"/>
  <c r="BA59" i="174"/>
  <c r="AZ59" i="174"/>
  <c r="AY59" i="174"/>
  <c r="AX59" i="174"/>
  <c r="AW59" i="174"/>
  <c r="AV59" i="174"/>
  <c r="AU59" i="174"/>
  <c r="AT59" i="174"/>
  <c r="BF59" i="174" s="1"/>
  <c r="BE58" i="174"/>
  <c r="BD58" i="174"/>
  <c r="BC58" i="174"/>
  <c r="BB58" i="174"/>
  <c r="BA58" i="174"/>
  <c r="AZ58" i="174"/>
  <c r="AY58" i="174"/>
  <c r="AX58" i="174"/>
  <c r="AW58" i="174"/>
  <c r="AV58" i="174"/>
  <c r="AU58" i="174"/>
  <c r="AT58" i="174"/>
  <c r="BE57" i="174"/>
  <c r="BD57" i="174"/>
  <c r="BC57" i="174"/>
  <c r="BB57" i="174"/>
  <c r="BA57" i="174"/>
  <c r="AZ57" i="174"/>
  <c r="AY57" i="174"/>
  <c r="AX57" i="174"/>
  <c r="AW57" i="174"/>
  <c r="AV57" i="174"/>
  <c r="AU57" i="174"/>
  <c r="AT57" i="174"/>
  <c r="BE56" i="174"/>
  <c r="BD56" i="174"/>
  <c r="BC56" i="174"/>
  <c r="BB56" i="174"/>
  <c r="BA56" i="174"/>
  <c r="AZ56" i="174"/>
  <c r="AY56" i="174"/>
  <c r="AX56" i="174"/>
  <c r="AW56" i="174"/>
  <c r="AV56" i="174"/>
  <c r="AU56" i="174"/>
  <c r="AT56" i="174"/>
  <c r="BE55" i="174"/>
  <c r="BD55" i="174"/>
  <c r="BC55" i="174"/>
  <c r="BB55" i="174"/>
  <c r="BA55" i="174"/>
  <c r="AZ55" i="174"/>
  <c r="AY55" i="174"/>
  <c r="AX55" i="174"/>
  <c r="AW55" i="174"/>
  <c r="AV55" i="174"/>
  <c r="AU55" i="174"/>
  <c r="AT55" i="174"/>
  <c r="BE54" i="174"/>
  <c r="BD54" i="174"/>
  <c r="BC54" i="174"/>
  <c r="BB54" i="174"/>
  <c r="BA54" i="174"/>
  <c r="AZ54" i="174"/>
  <c r="AY54" i="174"/>
  <c r="AX54" i="174"/>
  <c r="AW54" i="174"/>
  <c r="AV54" i="174"/>
  <c r="AU54" i="174"/>
  <c r="AT54" i="174"/>
  <c r="BE53" i="174"/>
  <c r="BD53" i="174"/>
  <c r="BC53" i="174"/>
  <c r="BB53" i="174"/>
  <c r="BA53" i="174"/>
  <c r="AZ53" i="174"/>
  <c r="AY53" i="174"/>
  <c r="AX53" i="174"/>
  <c r="BF53" i="174" s="1"/>
  <c r="AW53" i="174"/>
  <c r="AV53" i="174"/>
  <c r="AU53" i="174"/>
  <c r="AT53" i="174"/>
  <c r="BE52" i="174"/>
  <c r="BD52" i="174"/>
  <c r="BC52" i="174"/>
  <c r="BB52" i="174"/>
  <c r="BA52" i="174"/>
  <c r="AZ52" i="174"/>
  <c r="AY52" i="174"/>
  <c r="AX52" i="174"/>
  <c r="AW52" i="174"/>
  <c r="AV52" i="174"/>
  <c r="AU52" i="174"/>
  <c r="AT52" i="174"/>
  <c r="BE51" i="174"/>
  <c r="BD51" i="174"/>
  <c r="BC51" i="174"/>
  <c r="BB51" i="174"/>
  <c r="BA51" i="174"/>
  <c r="AZ51" i="174"/>
  <c r="AY51" i="174"/>
  <c r="AX51" i="174"/>
  <c r="AW51" i="174"/>
  <c r="AV51" i="174"/>
  <c r="AU51" i="174"/>
  <c r="AT51" i="174"/>
  <c r="BE50" i="174"/>
  <c r="BD50" i="174"/>
  <c r="BC50" i="174"/>
  <c r="BB50" i="174"/>
  <c r="BA50" i="174"/>
  <c r="AZ50" i="174"/>
  <c r="AY50" i="174"/>
  <c r="AX50" i="174"/>
  <c r="AW50" i="174"/>
  <c r="AV50" i="174"/>
  <c r="AU50" i="174"/>
  <c r="AT50" i="174"/>
  <c r="BE49" i="174"/>
  <c r="BD49" i="174"/>
  <c r="BC49" i="174"/>
  <c r="BB49" i="174"/>
  <c r="BA49" i="174"/>
  <c r="AZ49" i="174"/>
  <c r="AY49" i="174"/>
  <c r="AX49" i="174"/>
  <c r="AW49" i="174"/>
  <c r="AW66" i="174" s="1"/>
  <c r="AV49" i="174"/>
  <c r="AU49" i="174"/>
  <c r="AT49" i="174"/>
  <c r="BE48" i="174"/>
  <c r="BD48" i="174"/>
  <c r="BC48" i="174"/>
  <c r="BB48" i="174"/>
  <c r="BA48" i="174"/>
  <c r="AZ48" i="174"/>
  <c r="AY48" i="174"/>
  <c r="AX48" i="174"/>
  <c r="AW48" i="174"/>
  <c r="AV48" i="174"/>
  <c r="AU48" i="174"/>
  <c r="AT48" i="174"/>
  <c r="BE43" i="174"/>
  <c r="BD43" i="174"/>
  <c r="BC43" i="174"/>
  <c r="BB43" i="174"/>
  <c r="BA43" i="174"/>
  <c r="AZ43" i="174"/>
  <c r="AY43" i="174"/>
  <c r="AX43" i="174"/>
  <c r="AW43" i="174"/>
  <c r="AV43" i="174"/>
  <c r="AU43" i="174"/>
  <c r="AT43" i="174"/>
  <c r="BE42" i="174"/>
  <c r="BD42" i="174"/>
  <c r="BC42" i="174"/>
  <c r="BB42" i="174"/>
  <c r="BA42" i="174"/>
  <c r="AZ42" i="174"/>
  <c r="AY42" i="174"/>
  <c r="AX42" i="174"/>
  <c r="AW42" i="174"/>
  <c r="AV42" i="174"/>
  <c r="AU42" i="174"/>
  <c r="AT42" i="174"/>
  <c r="BF42" i="174" s="1"/>
  <c r="BE41" i="174"/>
  <c r="BD41" i="174"/>
  <c r="BC41" i="174"/>
  <c r="BB41" i="174"/>
  <c r="BA41" i="174"/>
  <c r="AZ41" i="174"/>
  <c r="AY41" i="174"/>
  <c r="AX41" i="174"/>
  <c r="AW41" i="174"/>
  <c r="AV41" i="174"/>
  <c r="AU41" i="174"/>
  <c r="AT41" i="174"/>
  <c r="BE40" i="174"/>
  <c r="BD40" i="174"/>
  <c r="BC40" i="174"/>
  <c r="BB40" i="174"/>
  <c r="BA40" i="174"/>
  <c r="AZ40" i="174"/>
  <c r="AY40" i="174"/>
  <c r="AX40" i="174"/>
  <c r="AW40" i="174"/>
  <c r="AV40" i="174"/>
  <c r="AU40" i="174"/>
  <c r="AT40" i="174"/>
  <c r="BE39" i="174"/>
  <c r="BD39" i="174"/>
  <c r="BC39" i="174"/>
  <c r="BB39" i="174"/>
  <c r="BA39" i="174"/>
  <c r="AZ39" i="174"/>
  <c r="AY39" i="174"/>
  <c r="AX39" i="174"/>
  <c r="AW39" i="174"/>
  <c r="AV39" i="174"/>
  <c r="AU39" i="174"/>
  <c r="AT39" i="174"/>
  <c r="BE38" i="174"/>
  <c r="BD38" i="174"/>
  <c r="BC38" i="174"/>
  <c r="BB38" i="174"/>
  <c r="BA38" i="174"/>
  <c r="AZ38" i="174"/>
  <c r="AY38" i="174"/>
  <c r="AX38" i="174"/>
  <c r="AW38" i="174"/>
  <c r="AV38" i="174"/>
  <c r="AU38" i="174"/>
  <c r="AT38" i="174"/>
  <c r="BE37" i="174"/>
  <c r="BD37" i="174"/>
  <c r="BC37" i="174"/>
  <c r="BB37" i="174"/>
  <c r="BA37" i="174"/>
  <c r="AZ37" i="174"/>
  <c r="AY37" i="174"/>
  <c r="AX37" i="174"/>
  <c r="AW37" i="174"/>
  <c r="AV37" i="174"/>
  <c r="AU37" i="174"/>
  <c r="AT37" i="174"/>
  <c r="BE36" i="174"/>
  <c r="BD36" i="174"/>
  <c r="BC36" i="174"/>
  <c r="BB36" i="174"/>
  <c r="BA36" i="174"/>
  <c r="AZ36" i="174"/>
  <c r="AY36" i="174"/>
  <c r="AX36" i="174"/>
  <c r="AW36" i="174"/>
  <c r="AV36" i="174"/>
  <c r="AU36" i="174"/>
  <c r="AT36" i="174"/>
  <c r="BE35" i="174"/>
  <c r="BD35" i="174"/>
  <c r="BC35" i="174"/>
  <c r="BB35" i="174"/>
  <c r="BA35" i="174"/>
  <c r="AZ35" i="174"/>
  <c r="AY35" i="174"/>
  <c r="AX35" i="174"/>
  <c r="AW35" i="174"/>
  <c r="AV35" i="174"/>
  <c r="AU35" i="174"/>
  <c r="AT35" i="174"/>
  <c r="BF35" i="174" s="1"/>
  <c r="BE34" i="174"/>
  <c r="BD34" i="174"/>
  <c r="BC34" i="174"/>
  <c r="BB34" i="174"/>
  <c r="BA34" i="174"/>
  <c r="AZ34" i="174"/>
  <c r="AY34" i="174"/>
  <c r="AX34" i="174"/>
  <c r="AW34" i="174"/>
  <c r="AV34" i="174"/>
  <c r="AU34" i="174"/>
  <c r="AT34" i="174"/>
  <c r="BF34" i="174" s="1"/>
  <c r="BE33" i="174"/>
  <c r="BD33" i="174"/>
  <c r="BC33" i="174"/>
  <c r="BB33" i="174"/>
  <c r="BA33" i="174"/>
  <c r="BF33" i="174" s="1"/>
  <c r="AZ33" i="174"/>
  <c r="AY33" i="174"/>
  <c r="AX33" i="174"/>
  <c r="AW33" i="174"/>
  <c r="AV33" i="174"/>
  <c r="AU33" i="174"/>
  <c r="AT33" i="174"/>
  <c r="BE32" i="174"/>
  <c r="BD32" i="174"/>
  <c r="BC32" i="174"/>
  <c r="BB32" i="174"/>
  <c r="BA32" i="174"/>
  <c r="AZ32" i="174"/>
  <c r="AY32" i="174"/>
  <c r="BF32" i="174" s="1"/>
  <c r="AX32" i="174"/>
  <c r="AW32" i="174"/>
  <c r="AV32" i="174"/>
  <c r="AU32" i="174"/>
  <c r="AT32" i="174"/>
  <c r="BE31" i="174"/>
  <c r="BD31" i="174"/>
  <c r="BC31" i="174"/>
  <c r="BB31" i="174"/>
  <c r="BA31" i="174"/>
  <c r="AZ31" i="174"/>
  <c r="AY31" i="174"/>
  <c r="AX31" i="174"/>
  <c r="AW31" i="174"/>
  <c r="AV31" i="174"/>
  <c r="AU31" i="174"/>
  <c r="AT31" i="174"/>
  <c r="BE30" i="174"/>
  <c r="BD30" i="174"/>
  <c r="BC30" i="174"/>
  <c r="BB30" i="174"/>
  <c r="BA30" i="174"/>
  <c r="AZ30" i="174"/>
  <c r="AY30" i="174"/>
  <c r="AX30" i="174"/>
  <c r="AW30" i="174"/>
  <c r="AV30" i="174"/>
  <c r="AU30" i="174"/>
  <c r="AT30" i="174"/>
  <c r="BE29" i="174"/>
  <c r="BD29" i="174"/>
  <c r="BC29" i="174"/>
  <c r="BB29" i="174"/>
  <c r="BA29" i="174"/>
  <c r="AZ29" i="174"/>
  <c r="AY29" i="174"/>
  <c r="AX29" i="174"/>
  <c r="AW29" i="174"/>
  <c r="AV29" i="174"/>
  <c r="AV45" i="174" s="1"/>
  <c r="AU29" i="174"/>
  <c r="AT29" i="174"/>
  <c r="BE28" i="174"/>
  <c r="BD28" i="174"/>
  <c r="BC28" i="174"/>
  <c r="BB28" i="174"/>
  <c r="BA28" i="174"/>
  <c r="AZ28" i="174"/>
  <c r="AY28" i="174"/>
  <c r="AX28" i="174"/>
  <c r="AW28" i="174"/>
  <c r="AV28" i="174"/>
  <c r="AU28" i="174"/>
  <c r="AT28" i="174"/>
  <c r="BE27" i="174"/>
  <c r="BD27" i="174"/>
  <c r="BC27" i="174"/>
  <c r="BB27" i="174"/>
  <c r="BA27" i="174"/>
  <c r="AZ27" i="174"/>
  <c r="AY27" i="174"/>
  <c r="AX27" i="174"/>
  <c r="AW27" i="174"/>
  <c r="AV27" i="174"/>
  <c r="AU27" i="174"/>
  <c r="AT27" i="174"/>
  <c r="AT6" i="174"/>
  <c r="AU6" i="174"/>
  <c r="AV6" i="174"/>
  <c r="AW6" i="174"/>
  <c r="AX6" i="174"/>
  <c r="AY6" i="174"/>
  <c r="AZ6" i="174"/>
  <c r="BA6" i="174"/>
  <c r="BB6" i="174"/>
  <c r="BC6" i="174"/>
  <c r="BD6" i="174"/>
  <c r="BE6" i="174"/>
  <c r="AT7" i="174"/>
  <c r="AU7" i="174"/>
  <c r="AV7" i="174"/>
  <c r="AW7" i="174"/>
  <c r="AX7" i="174"/>
  <c r="AY7" i="174"/>
  <c r="AZ7" i="174"/>
  <c r="BA7" i="174"/>
  <c r="BB7" i="174"/>
  <c r="BC7" i="174"/>
  <c r="BD7" i="174"/>
  <c r="BE7" i="174"/>
  <c r="AT8" i="174"/>
  <c r="BF8" i="174" s="1"/>
  <c r="AU8" i="174"/>
  <c r="AV8" i="174"/>
  <c r="AW8" i="174"/>
  <c r="AW24" i="174" s="1"/>
  <c r="AX8" i="174"/>
  <c r="AY8" i="174"/>
  <c r="AZ8" i="174"/>
  <c r="BA8" i="174"/>
  <c r="BB8" i="174"/>
  <c r="BC8" i="174"/>
  <c r="BD8" i="174"/>
  <c r="BE8" i="174"/>
  <c r="AT9" i="174"/>
  <c r="AU9" i="174"/>
  <c r="AV9" i="174"/>
  <c r="AW9" i="174"/>
  <c r="AX9" i="174"/>
  <c r="AY9" i="174"/>
  <c r="AZ9" i="174"/>
  <c r="BA9" i="174"/>
  <c r="BB9" i="174"/>
  <c r="BC9" i="174"/>
  <c r="BD9" i="174"/>
  <c r="BE9" i="174"/>
  <c r="AT10" i="174"/>
  <c r="AU10" i="174"/>
  <c r="AV10" i="174"/>
  <c r="AW10" i="174"/>
  <c r="AX10" i="174"/>
  <c r="AY10" i="174"/>
  <c r="AZ10" i="174"/>
  <c r="BA10" i="174"/>
  <c r="BB10" i="174"/>
  <c r="BC10" i="174"/>
  <c r="BD10" i="174"/>
  <c r="BE10" i="174"/>
  <c r="AT11" i="174"/>
  <c r="AU11" i="174"/>
  <c r="AV11" i="174"/>
  <c r="AW11" i="174"/>
  <c r="AX11" i="174"/>
  <c r="AY11" i="174"/>
  <c r="AZ11" i="174"/>
  <c r="BA11" i="174"/>
  <c r="BB11" i="174"/>
  <c r="BC11" i="174"/>
  <c r="BD11" i="174"/>
  <c r="BE11" i="174"/>
  <c r="AT12" i="174"/>
  <c r="AU12" i="174"/>
  <c r="AV12" i="174"/>
  <c r="AW12" i="174"/>
  <c r="AX12" i="174"/>
  <c r="AY12" i="174"/>
  <c r="AZ12" i="174"/>
  <c r="BA12" i="174"/>
  <c r="BB12" i="174"/>
  <c r="BC12" i="174"/>
  <c r="BD12" i="174"/>
  <c r="BE12" i="174"/>
  <c r="AT13" i="174"/>
  <c r="AU13" i="174"/>
  <c r="AV13" i="174"/>
  <c r="AW13" i="174"/>
  <c r="AX13" i="174"/>
  <c r="AY13" i="174"/>
  <c r="AZ13" i="174"/>
  <c r="BA13" i="174"/>
  <c r="BB13" i="174"/>
  <c r="BC13" i="174"/>
  <c r="BD13" i="174"/>
  <c r="BE13" i="174"/>
  <c r="AT14" i="174"/>
  <c r="BF14" i="174" s="1"/>
  <c r="AU14" i="174"/>
  <c r="AV14" i="174"/>
  <c r="AW14" i="174"/>
  <c r="AX14" i="174"/>
  <c r="AY14" i="174"/>
  <c r="AZ14" i="174"/>
  <c r="BA14" i="174"/>
  <c r="BB14" i="174"/>
  <c r="BC14" i="174"/>
  <c r="BD14" i="174"/>
  <c r="BE14" i="174"/>
  <c r="AT15" i="174"/>
  <c r="AU15" i="174"/>
  <c r="AV15" i="174"/>
  <c r="AW15" i="174"/>
  <c r="AX15" i="174"/>
  <c r="AY15" i="174"/>
  <c r="AZ15" i="174"/>
  <c r="BA15" i="174"/>
  <c r="BB15" i="174"/>
  <c r="BC15" i="174"/>
  <c r="BD15" i="174"/>
  <c r="BE15" i="174"/>
  <c r="AT16" i="174"/>
  <c r="AU16" i="174"/>
  <c r="AV16" i="174"/>
  <c r="AW16" i="174"/>
  <c r="AX16" i="174"/>
  <c r="AY16" i="174"/>
  <c r="AZ16" i="174"/>
  <c r="BA16" i="174"/>
  <c r="BB16" i="174"/>
  <c r="BC16" i="174"/>
  <c r="BD16" i="174"/>
  <c r="BE16" i="174"/>
  <c r="AT17" i="174"/>
  <c r="AU17" i="174"/>
  <c r="AV17" i="174"/>
  <c r="AW17" i="174"/>
  <c r="AX17" i="174"/>
  <c r="AY17" i="174"/>
  <c r="AZ17" i="174"/>
  <c r="BA17" i="174"/>
  <c r="BB17" i="174"/>
  <c r="BC17" i="174"/>
  <c r="BD17" i="174"/>
  <c r="BE17" i="174"/>
  <c r="AT18" i="174"/>
  <c r="AU18" i="174"/>
  <c r="AV18" i="174"/>
  <c r="AW18" i="174"/>
  <c r="AX18" i="174"/>
  <c r="AY18" i="174"/>
  <c r="AZ18" i="174"/>
  <c r="BA18" i="174"/>
  <c r="BB18" i="174"/>
  <c r="BC18" i="174"/>
  <c r="BD18" i="174"/>
  <c r="BE18" i="174"/>
  <c r="AT19" i="174"/>
  <c r="AU19" i="174"/>
  <c r="AV19" i="174"/>
  <c r="AW19" i="174"/>
  <c r="AX19" i="174"/>
  <c r="AY19" i="174"/>
  <c r="AZ19" i="174"/>
  <c r="BA19" i="174"/>
  <c r="BB19" i="174"/>
  <c r="BC19" i="174"/>
  <c r="BD19" i="174"/>
  <c r="BE19" i="174"/>
  <c r="AT20" i="174"/>
  <c r="AU20" i="174"/>
  <c r="AV20" i="174"/>
  <c r="AW20" i="174"/>
  <c r="AX20" i="174"/>
  <c r="AY20" i="174"/>
  <c r="AZ20" i="174"/>
  <c r="BA20" i="174"/>
  <c r="BB20" i="174"/>
  <c r="BC20" i="174"/>
  <c r="BD20" i="174"/>
  <c r="BE20" i="174"/>
  <c r="AT21" i="174"/>
  <c r="AU21" i="174"/>
  <c r="AV21" i="174"/>
  <c r="AW21" i="174"/>
  <c r="AX21" i="174"/>
  <c r="AY21" i="174"/>
  <c r="AZ21" i="174"/>
  <c r="BA21" i="174"/>
  <c r="BB21" i="174"/>
  <c r="BC21" i="174"/>
  <c r="BD21" i="174"/>
  <c r="BE21" i="174"/>
  <c r="AT22" i="174"/>
  <c r="BF22" i="174" s="1"/>
  <c r="AU22" i="174"/>
  <c r="AV22" i="174"/>
  <c r="AW22" i="174"/>
  <c r="AX22" i="174"/>
  <c r="AY22" i="174"/>
  <c r="AZ22" i="174"/>
  <c r="BA22" i="174"/>
  <c r="BB22" i="174"/>
  <c r="BC22" i="174"/>
  <c r="BD22" i="174"/>
  <c r="BE22" i="174"/>
  <c r="AC7" i="123"/>
  <c r="AD7" i="123"/>
  <c r="AE7" i="123"/>
  <c r="AF7" i="123"/>
  <c r="AG7" i="123"/>
  <c r="AH7" i="123"/>
  <c r="AI7" i="123"/>
  <c r="AJ7" i="123"/>
  <c r="AK7" i="123"/>
  <c r="AL7" i="123"/>
  <c r="AM7" i="123"/>
  <c r="AC8" i="123"/>
  <c r="AD8" i="123"/>
  <c r="AE8" i="123"/>
  <c r="AF8" i="123"/>
  <c r="AG8" i="123"/>
  <c r="AH8" i="123"/>
  <c r="AI8" i="123"/>
  <c r="AJ8" i="123"/>
  <c r="AK8" i="123"/>
  <c r="AL8" i="123"/>
  <c r="AM8" i="123"/>
  <c r="AC9" i="123"/>
  <c r="AD9" i="123"/>
  <c r="AE9" i="123"/>
  <c r="AF9" i="123"/>
  <c r="AG9" i="123"/>
  <c r="AH9" i="123"/>
  <c r="AI9" i="123"/>
  <c r="AJ9" i="123"/>
  <c r="AK9" i="123"/>
  <c r="AL9" i="123"/>
  <c r="AM9" i="123"/>
  <c r="AC10" i="123"/>
  <c r="AD10" i="123"/>
  <c r="AE10" i="123"/>
  <c r="AF10" i="123"/>
  <c r="AG10" i="123"/>
  <c r="AH10" i="123"/>
  <c r="AI10" i="123"/>
  <c r="AJ10" i="123"/>
  <c r="AK10" i="123"/>
  <c r="AL10" i="123"/>
  <c r="AM10" i="123"/>
  <c r="AC11" i="123"/>
  <c r="AD11" i="123"/>
  <c r="AE11" i="123"/>
  <c r="AF11" i="123"/>
  <c r="AG11" i="123"/>
  <c r="AH11" i="123"/>
  <c r="AI11" i="123"/>
  <c r="AJ11" i="123"/>
  <c r="AK11" i="123"/>
  <c r="AL11" i="123"/>
  <c r="AM11" i="123"/>
  <c r="AC12" i="123"/>
  <c r="AD12" i="123"/>
  <c r="AE12" i="123"/>
  <c r="AF12" i="123"/>
  <c r="AG12" i="123"/>
  <c r="AH12" i="123"/>
  <c r="AI12" i="123"/>
  <c r="AJ12" i="123"/>
  <c r="AK12" i="123"/>
  <c r="AL12" i="123"/>
  <c r="AM12" i="123"/>
  <c r="AC13" i="123"/>
  <c r="AD13" i="123"/>
  <c r="AE13" i="123"/>
  <c r="AF13" i="123"/>
  <c r="AG13" i="123"/>
  <c r="AH13" i="123"/>
  <c r="AI13" i="123"/>
  <c r="AJ13" i="123"/>
  <c r="AK13" i="123"/>
  <c r="AL13" i="123"/>
  <c r="AM13" i="123"/>
  <c r="AC14" i="123"/>
  <c r="AD14" i="123"/>
  <c r="AE14" i="123"/>
  <c r="AF14" i="123"/>
  <c r="AG14" i="123"/>
  <c r="AH14" i="123"/>
  <c r="AI14" i="123"/>
  <c r="AJ14" i="123"/>
  <c r="AK14" i="123"/>
  <c r="AL14" i="123"/>
  <c r="AM14" i="123"/>
  <c r="AC15" i="123"/>
  <c r="AD15" i="123"/>
  <c r="AE15" i="123"/>
  <c r="AF15" i="123"/>
  <c r="AG15" i="123"/>
  <c r="AH15" i="123"/>
  <c r="AI15" i="123"/>
  <c r="AJ15" i="123"/>
  <c r="AK15" i="123"/>
  <c r="AL15" i="123"/>
  <c r="AM15" i="123"/>
  <c r="AC16" i="123"/>
  <c r="AD16" i="123"/>
  <c r="AE16" i="123"/>
  <c r="AF16" i="123"/>
  <c r="AG16" i="123"/>
  <c r="AH16" i="123"/>
  <c r="AI16" i="123"/>
  <c r="AJ16" i="123"/>
  <c r="AK16" i="123"/>
  <c r="AL16" i="123"/>
  <c r="AM16" i="123"/>
  <c r="AC17" i="123"/>
  <c r="AD17" i="123"/>
  <c r="AE17" i="123"/>
  <c r="AF17" i="123"/>
  <c r="AG17" i="123"/>
  <c r="AH17" i="123"/>
  <c r="AI17" i="123"/>
  <c r="AJ17" i="123"/>
  <c r="AK17" i="123"/>
  <c r="AL17" i="123"/>
  <c r="AM17" i="123"/>
  <c r="AC18" i="123"/>
  <c r="AD18" i="123"/>
  <c r="AE18" i="123"/>
  <c r="AF18" i="123"/>
  <c r="AG18" i="123"/>
  <c r="AH18" i="123"/>
  <c r="AI18" i="123"/>
  <c r="AJ18" i="123"/>
  <c r="AK18" i="123"/>
  <c r="AL18" i="123"/>
  <c r="AM18" i="123"/>
  <c r="AC19" i="123"/>
  <c r="AN19" i="123" s="1"/>
  <c r="AD19" i="123"/>
  <c r="AE19" i="123"/>
  <c r="AF19" i="123"/>
  <c r="AG19" i="123"/>
  <c r="AH19" i="123"/>
  <c r="AI19" i="123"/>
  <c r="AJ19" i="123"/>
  <c r="AK19" i="123"/>
  <c r="AL19" i="123"/>
  <c r="AM19" i="123"/>
  <c r="AC20" i="123"/>
  <c r="AD20" i="123"/>
  <c r="AE20" i="123"/>
  <c r="AF20" i="123"/>
  <c r="AG20" i="123"/>
  <c r="AH20" i="123"/>
  <c r="AI20" i="123"/>
  <c r="AJ20" i="123"/>
  <c r="AK20" i="123"/>
  <c r="AL20" i="123"/>
  <c r="AM20" i="123"/>
  <c r="AC21" i="123"/>
  <c r="AD21" i="123"/>
  <c r="AE21" i="123"/>
  <c r="AF21" i="123"/>
  <c r="AG21" i="123"/>
  <c r="AH21" i="123"/>
  <c r="AI21" i="123"/>
  <c r="AJ21" i="123"/>
  <c r="AK21" i="123"/>
  <c r="AL21" i="123"/>
  <c r="AM21" i="123"/>
  <c r="AC22" i="123"/>
  <c r="AD22" i="123"/>
  <c r="AE22" i="123"/>
  <c r="AF22" i="123"/>
  <c r="AG22" i="123"/>
  <c r="AH22" i="123"/>
  <c r="AI22" i="123"/>
  <c r="AJ22" i="123"/>
  <c r="AK22" i="123"/>
  <c r="AL22" i="123"/>
  <c r="AM22" i="123"/>
  <c r="AC23" i="123"/>
  <c r="AD23" i="123"/>
  <c r="AE23" i="123"/>
  <c r="AF23" i="123"/>
  <c r="AG23" i="123"/>
  <c r="AH23" i="123"/>
  <c r="AI23" i="123"/>
  <c r="AJ23" i="123"/>
  <c r="AK23" i="123"/>
  <c r="AL23" i="123"/>
  <c r="AM23" i="123"/>
  <c r="AC24" i="123"/>
  <c r="AD24" i="123"/>
  <c r="AE24" i="123"/>
  <c r="AF24" i="123"/>
  <c r="AG24" i="123"/>
  <c r="AH24" i="123"/>
  <c r="AI24" i="123"/>
  <c r="AJ24" i="123"/>
  <c r="AK24" i="123"/>
  <c r="AL24" i="123"/>
  <c r="AM24" i="123"/>
  <c r="AC25" i="123"/>
  <c r="AD25" i="123"/>
  <c r="AE25" i="123"/>
  <c r="AF25" i="123"/>
  <c r="AG25" i="123"/>
  <c r="AH25" i="123"/>
  <c r="AI25" i="123"/>
  <c r="AJ25" i="123"/>
  <c r="AK25" i="123"/>
  <c r="AL25" i="123"/>
  <c r="AM25" i="123"/>
  <c r="AC26" i="123"/>
  <c r="AD26" i="123"/>
  <c r="AE26" i="123"/>
  <c r="AF26" i="123"/>
  <c r="AG26" i="123"/>
  <c r="AH26" i="123"/>
  <c r="AI26" i="123"/>
  <c r="AJ26" i="123"/>
  <c r="AK26" i="123"/>
  <c r="AL26" i="123"/>
  <c r="AM26" i="123"/>
  <c r="AC27" i="123"/>
  <c r="AD27" i="123"/>
  <c r="AE27" i="123"/>
  <c r="AF27" i="123"/>
  <c r="AG27" i="123"/>
  <c r="AH27" i="123"/>
  <c r="AI27" i="123"/>
  <c r="AJ27" i="123"/>
  <c r="AK27" i="123"/>
  <c r="AL27" i="123"/>
  <c r="AM27" i="123"/>
  <c r="AC28" i="123"/>
  <c r="AD28" i="123"/>
  <c r="AE28" i="123"/>
  <c r="AF28" i="123"/>
  <c r="AG28" i="123"/>
  <c r="AH28" i="123"/>
  <c r="AI28" i="123"/>
  <c r="AJ28" i="123"/>
  <c r="AK28" i="123"/>
  <c r="AL28" i="123"/>
  <c r="AM28" i="123"/>
  <c r="AC29" i="123"/>
  <c r="AD29" i="123"/>
  <c r="AE29" i="123"/>
  <c r="AF29" i="123"/>
  <c r="AG29" i="123"/>
  <c r="AH29" i="123"/>
  <c r="AI29" i="123"/>
  <c r="AJ29" i="123"/>
  <c r="AK29" i="123"/>
  <c r="AL29" i="123"/>
  <c r="AM29" i="123"/>
  <c r="AC30" i="123"/>
  <c r="AD30" i="123"/>
  <c r="AE30" i="123"/>
  <c r="AF30" i="123"/>
  <c r="AG30" i="123"/>
  <c r="AH30" i="123"/>
  <c r="AI30" i="123"/>
  <c r="AJ30" i="123"/>
  <c r="AK30" i="123"/>
  <c r="AL30" i="123"/>
  <c r="AM30" i="123"/>
  <c r="AC31" i="123"/>
  <c r="AD31" i="123"/>
  <c r="AE31" i="123"/>
  <c r="AF31" i="123"/>
  <c r="AG31" i="123"/>
  <c r="AH31" i="123"/>
  <c r="AI31" i="123"/>
  <c r="AJ31" i="123"/>
  <c r="AK31" i="123"/>
  <c r="AL31" i="123"/>
  <c r="AM31" i="123"/>
  <c r="AC32" i="123"/>
  <c r="AD32" i="123"/>
  <c r="AE32" i="123"/>
  <c r="AF32" i="123"/>
  <c r="AG32" i="123"/>
  <c r="AH32" i="123"/>
  <c r="AI32" i="123"/>
  <c r="AJ32" i="123"/>
  <c r="AK32" i="123"/>
  <c r="AL32" i="123"/>
  <c r="AM32" i="123"/>
  <c r="AC33" i="123"/>
  <c r="AD33" i="123"/>
  <c r="AE33" i="123"/>
  <c r="AF33" i="123"/>
  <c r="AG33" i="123"/>
  <c r="AH33" i="123"/>
  <c r="AI33" i="123"/>
  <c r="AJ33" i="123"/>
  <c r="AK33" i="123"/>
  <c r="AL33" i="123"/>
  <c r="AM33" i="123"/>
  <c r="AC34" i="123"/>
  <c r="AD34" i="123"/>
  <c r="AN34" i="123" s="1"/>
  <c r="AE34" i="123"/>
  <c r="AF34" i="123"/>
  <c r="AG34" i="123"/>
  <c r="AH34" i="123"/>
  <c r="AI34" i="123"/>
  <c r="AJ34" i="123"/>
  <c r="AK34" i="123"/>
  <c r="AL34" i="123"/>
  <c r="AM34" i="123"/>
  <c r="AC35" i="123"/>
  <c r="AD35" i="123"/>
  <c r="AE35" i="123"/>
  <c r="AF35" i="123"/>
  <c r="AG35" i="123"/>
  <c r="AH35" i="123"/>
  <c r="AI35" i="123"/>
  <c r="AJ35" i="123"/>
  <c r="AK35" i="123"/>
  <c r="AL35" i="123"/>
  <c r="AM35" i="123"/>
  <c r="AC36" i="123"/>
  <c r="AN36" i="123" s="1"/>
  <c r="AD36" i="123"/>
  <c r="AE36" i="123"/>
  <c r="AF36" i="123"/>
  <c r="AG36" i="123"/>
  <c r="AH36" i="123"/>
  <c r="AI36" i="123"/>
  <c r="AJ36" i="123"/>
  <c r="AK36" i="123"/>
  <c r="AL36" i="123"/>
  <c r="AM36" i="123"/>
  <c r="AC37" i="123"/>
  <c r="AD37" i="123"/>
  <c r="AE37" i="123"/>
  <c r="AF37" i="123"/>
  <c r="AG37" i="123"/>
  <c r="AH37" i="123"/>
  <c r="AI37" i="123"/>
  <c r="AJ37" i="123"/>
  <c r="AK37" i="123"/>
  <c r="AL37" i="123"/>
  <c r="AM37" i="123"/>
  <c r="AC38" i="123"/>
  <c r="AD38" i="123"/>
  <c r="AE38" i="123"/>
  <c r="AF38" i="123"/>
  <c r="AG38" i="123"/>
  <c r="AH38" i="123"/>
  <c r="AI38" i="123"/>
  <c r="AJ38" i="123"/>
  <c r="AK38" i="123"/>
  <c r="AL38" i="123"/>
  <c r="AM38" i="123"/>
  <c r="AC39" i="123"/>
  <c r="AD39" i="123"/>
  <c r="AN39" i="123" s="1"/>
  <c r="AE39" i="123"/>
  <c r="AF39" i="123"/>
  <c r="AG39" i="123"/>
  <c r="AH39" i="123"/>
  <c r="AI39" i="123"/>
  <c r="AJ39" i="123"/>
  <c r="AK39" i="123"/>
  <c r="AL39" i="123"/>
  <c r="AM39" i="123"/>
  <c r="AC40" i="123"/>
  <c r="AD40" i="123"/>
  <c r="AE40" i="123"/>
  <c r="AF40" i="123"/>
  <c r="AG40" i="123"/>
  <c r="AH40" i="123"/>
  <c r="AI40" i="123"/>
  <c r="AJ40" i="123"/>
  <c r="AK40" i="123"/>
  <c r="AL40" i="123"/>
  <c r="AM40" i="123"/>
  <c r="AC41" i="123"/>
  <c r="AD41" i="123"/>
  <c r="AE41" i="123"/>
  <c r="AF41" i="123"/>
  <c r="AG41" i="123"/>
  <c r="AH41" i="123"/>
  <c r="AI41" i="123"/>
  <c r="AJ41" i="123"/>
  <c r="AK41" i="123"/>
  <c r="AL41" i="123"/>
  <c r="AM41" i="123"/>
  <c r="AC42" i="123"/>
  <c r="AD42" i="123"/>
  <c r="AE42" i="123"/>
  <c r="AF42" i="123"/>
  <c r="AG42" i="123"/>
  <c r="AH42" i="123"/>
  <c r="AI42" i="123"/>
  <c r="AJ42" i="123"/>
  <c r="AK42" i="123"/>
  <c r="AL42" i="123"/>
  <c r="AM42" i="123"/>
  <c r="AC43" i="123"/>
  <c r="AD43" i="123"/>
  <c r="AE43" i="123"/>
  <c r="AF43" i="123"/>
  <c r="AG43" i="123"/>
  <c r="AH43" i="123"/>
  <c r="AI43" i="123"/>
  <c r="AJ43" i="123"/>
  <c r="AK43" i="123"/>
  <c r="AL43" i="123"/>
  <c r="AM43" i="123"/>
  <c r="AC44" i="123"/>
  <c r="AD44" i="123"/>
  <c r="AE44" i="123"/>
  <c r="AF44" i="123"/>
  <c r="AG44" i="123"/>
  <c r="AH44" i="123"/>
  <c r="AI44" i="123"/>
  <c r="AJ44" i="123"/>
  <c r="AK44" i="123"/>
  <c r="AL44" i="123"/>
  <c r="AM44" i="123"/>
  <c r="AC45" i="123"/>
  <c r="AD45" i="123"/>
  <c r="AE45" i="123"/>
  <c r="AF45" i="123"/>
  <c r="AG45" i="123"/>
  <c r="AH45" i="123"/>
  <c r="AI45" i="123"/>
  <c r="AJ45" i="123"/>
  <c r="AK45" i="123"/>
  <c r="AL45" i="123"/>
  <c r="AM45" i="123"/>
  <c r="AC46" i="123"/>
  <c r="AD46" i="123"/>
  <c r="AE46" i="123"/>
  <c r="AF46" i="123"/>
  <c r="AG46" i="123"/>
  <c r="AH46" i="123"/>
  <c r="AI46" i="123"/>
  <c r="AJ46" i="123"/>
  <c r="AK46" i="123"/>
  <c r="AL46" i="123"/>
  <c r="AM46" i="123"/>
  <c r="AC47" i="123"/>
  <c r="AD47" i="123"/>
  <c r="AE47" i="123"/>
  <c r="AF47" i="123"/>
  <c r="AG47" i="123"/>
  <c r="AH47" i="123"/>
  <c r="AI47" i="123"/>
  <c r="AJ47" i="123"/>
  <c r="AK47" i="123"/>
  <c r="AL47" i="123"/>
  <c r="AM47" i="123"/>
  <c r="AC48" i="123"/>
  <c r="AD48" i="123"/>
  <c r="AE48" i="123"/>
  <c r="AF48" i="123"/>
  <c r="AG48" i="123"/>
  <c r="AH48" i="123"/>
  <c r="AI48" i="123"/>
  <c r="AJ48" i="123"/>
  <c r="AK48" i="123"/>
  <c r="AL48" i="123"/>
  <c r="AM48" i="123"/>
  <c r="AC49" i="123"/>
  <c r="AD49" i="123"/>
  <c r="AE49" i="123"/>
  <c r="AF49" i="123"/>
  <c r="AG49" i="123"/>
  <c r="AH49" i="123"/>
  <c r="AI49" i="123"/>
  <c r="AJ49" i="123"/>
  <c r="AK49" i="123"/>
  <c r="AL49" i="123"/>
  <c r="AM49" i="123"/>
  <c r="AC50" i="123"/>
  <c r="AD50" i="123"/>
  <c r="AE50" i="123"/>
  <c r="AF50" i="123"/>
  <c r="AG50" i="123"/>
  <c r="AH50" i="123"/>
  <c r="AI50" i="123"/>
  <c r="AJ50" i="123"/>
  <c r="AK50" i="123"/>
  <c r="AL50" i="123"/>
  <c r="AM50" i="123"/>
  <c r="AC51" i="123"/>
  <c r="AD51" i="123"/>
  <c r="AE51" i="123"/>
  <c r="AF51" i="123"/>
  <c r="AG51" i="123"/>
  <c r="AH51" i="123"/>
  <c r="AI51" i="123"/>
  <c r="AJ51" i="123"/>
  <c r="AK51" i="123"/>
  <c r="AL51" i="123"/>
  <c r="AM51" i="123"/>
  <c r="AC52" i="123"/>
  <c r="AD52" i="123"/>
  <c r="AE52" i="123"/>
  <c r="AF52" i="123"/>
  <c r="AG52" i="123"/>
  <c r="AH52" i="123"/>
  <c r="AI52" i="123"/>
  <c r="AJ52" i="123"/>
  <c r="AK52" i="123"/>
  <c r="AL52" i="123"/>
  <c r="AM52" i="123"/>
  <c r="AC53" i="123"/>
  <c r="AD53" i="123"/>
  <c r="AN53" i="123" s="1"/>
  <c r="AE53" i="123"/>
  <c r="AF53" i="123"/>
  <c r="AG53" i="123"/>
  <c r="AH53" i="123"/>
  <c r="AI53" i="123"/>
  <c r="AJ53" i="123"/>
  <c r="AK53" i="123"/>
  <c r="AL53" i="123"/>
  <c r="AM53" i="123"/>
  <c r="AC54" i="123"/>
  <c r="AD54" i="123"/>
  <c r="AE54" i="123"/>
  <c r="AF54" i="123"/>
  <c r="AG54" i="123"/>
  <c r="AH54" i="123"/>
  <c r="AI54" i="123"/>
  <c r="AJ54" i="123"/>
  <c r="AK54" i="123"/>
  <c r="AL54" i="123"/>
  <c r="AM54" i="123"/>
  <c r="AC55" i="123"/>
  <c r="AD55" i="123"/>
  <c r="AE55" i="123"/>
  <c r="AF55" i="123"/>
  <c r="AG55" i="123"/>
  <c r="AH55" i="123"/>
  <c r="AI55" i="123"/>
  <c r="AJ55" i="123"/>
  <c r="AK55" i="123"/>
  <c r="AL55" i="123"/>
  <c r="AM55" i="123"/>
  <c r="AC56" i="123"/>
  <c r="AD56" i="123"/>
  <c r="AE56" i="123"/>
  <c r="AF56" i="123"/>
  <c r="AG56" i="123"/>
  <c r="AH56" i="123"/>
  <c r="AI56" i="123"/>
  <c r="AJ56" i="123"/>
  <c r="AK56" i="123"/>
  <c r="AL56" i="123"/>
  <c r="AM56" i="123"/>
  <c r="AC57" i="123"/>
  <c r="AD57" i="123"/>
  <c r="AE57" i="123"/>
  <c r="AF57" i="123"/>
  <c r="AG57" i="123"/>
  <c r="AH57" i="123"/>
  <c r="AI57" i="123"/>
  <c r="AJ57" i="123"/>
  <c r="AK57" i="123"/>
  <c r="AL57" i="123"/>
  <c r="AM57" i="123"/>
  <c r="AC58" i="123"/>
  <c r="AD58" i="123"/>
  <c r="AE58" i="123"/>
  <c r="AF58" i="123"/>
  <c r="AG58" i="123"/>
  <c r="AH58" i="123"/>
  <c r="AI58" i="123"/>
  <c r="AJ58" i="123"/>
  <c r="AK58" i="123"/>
  <c r="AL58" i="123"/>
  <c r="AM58" i="123"/>
  <c r="AC59" i="123"/>
  <c r="AD59" i="123"/>
  <c r="AE59" i="123"/>
  <c r="AF59" i="123"/>
  <c r="AG59" i="123"/>
  <c r="AH59" i="123"/>
  <c r="AI59" i="123"/>
  <c r="AJ59" i="123"/>
  <c r="AK59" i="123"/>
  <c r="AL59" i="123"/>
  <c r="AM59" i="123"/>
  <c r="AC60" i="123"/>
  <c r="AD60" i="123"/>
  <c r="AE60" i="123"/>
  <c r="AF60" i="123"/>
  <c r="AG60" i="123"/>
  <c r="AH60" i="123"/>
  <c r="AI60" i="123"/>
  <c r="AJ60" i="123"/>
  <c r="AK60" i="123"/>
  <c r="AL60" i="123"/>
  <c r="AM60" i="123"/>
  <c r="AC61" i="123"/>
  <c r="AD61" i="123"/>
  <c r="AE61" i="123"/>
  <c r="AF61" i="123"/>
  <c r="AG61" i="123"/>
  <c r="AH61" i="123"/>
  <c r="AI61" i="123"/>
  <c r="AJ61" i="123"/>
  <c r="AK61" i="123"/>
  <c r="AL61" i="123"/>
  <c r="AM61" i="123"/>
  <c r="AC62" i="123"/>
  <c r="AD62" i="123"/>
  <c r="AE62" i="123"/>
  <c r="AF62" i="123"/>
  <c r="AG62" i="123"/>
  <c r="AH62" i="123"/>
  <c r="AI62" i="123"/>
  <c r="AJ62" i="123"/>
  <c r="AK62" i="123"/>
  <c r="AL62" i="123"/>
  <c r="AM62" i="123"/>
  <c r="AC63" i="123"/>
  <c r="AD63" i="123"/>
  <c r="AE63" i="123"/>
  <c r="AF63" i="123"/>
  <c r="AG63" i="123"/>
  <c r="AH63" i="123"/>
  <c r="AI63" i="123"/>
  <c r="AJ63" i="123"/>
  <c r="AK63" i="123"/>
  <c r="AL63" i="123"/>
  <c r="AM63" i="123"/>
  <c r="AC64" i="123"/>
  <c r="AD64" i="123"/>
  <c r="AE64" i="123"/>
  <c r="AF64" i="123"/>
  <c r="AG64" i="123"/>
  <c r="AH64" i="123"/>
  <c r="AI64" i="123"/>
  <c r="AJ64" i="123"/>
  <c r="AK64" i="123"/>
  <c r="AL64" i="123"/>
  <c r="AM64" i="123"/>
  <c r="AC65" i="123"/>
  <c r="AD65" i="123"/>
  <c r="AE65" i="123"/>
  <c r="AF65" i="123"/>
  <c r="AG65" i="123"/>
  <c r="AH65" i="123"/>
  <c r="AI65" i="123"/>
  <c r="AJ65" i="123"/>
  <c r="AK65" i="123"/>
  <c r="AL65" i="123"/>
  <c r="AM65" i="123"/>
  <c r="AC66" i="123"/>
  <c r="AD66" i="123"/>
  <c r="AE66" i="123"/>
  <c r="AF66" i="123"/>
  <c r="AG66" i="123"/>
  <c r="AH66" i="123"/>
  <c r="AI66" i="123"/>
  <c r="AJ66" i="123"/>
  <c r="AK66" i="123"/>
  <c r="AL66" i="123"/>
  <c r="AM66" i="123"/>
  <c r="AC67" i="123"/>
  <c r="AD67" i="123"/>
  <c r="AE67" i="123"/>
  <c r="AF67" i="123"/>
  <c r="AG67" i="123"/>
  <c r="AH67" i="123"/>
  <c r="AI67" i="123"/>
  <c r="AJ67" i="123"/>
  <c r="AK67" i="123"/>
  <c r="AL67" i="123"/>
  <c r="AM67" i="123"/>
  <c r="AC68" i="123"/>
  <c r="AD68" i="123"/>
  <c r="AE68" i="123"/>
  <c r="AF68" i="123"/>
  <c r="AG68" i="123"/>
  <c r="AH68" i="123"/>
  <c r="AI68" i="123"/>
  <c r="AJ68" i="123"/>
  <c r="AK68" i="123"/>
  <c r="AL68" i="123"/>
  <c r="AM68" i="123"/>
  <c r="AC69" i="123"/>
  <c r="AD69" i="123"/>
  <c r="AE69" i="123"/>
  <c r="AF69" i="123"/>
  <c r="AG69" i="123"/>
  <c r="AH69" i="123"/>
  <c r="AI69" i="123"/>
  <c r="AJ69" i="123"/>
  <c r="AK69" i="123"/>
  <c r="AL69" i="123"/>
  <c r="AM69" i="123"/>
  <c r="AC70" i="123"/>
  <c r="AD70" i="123"/>
  <c r="AE70" i="123"/>
  <c r="AF70" i="123"/>
  <c r="AG70" i="123"/>
  <c r="AH70" i="123"/>
  <c r="AI70" i="123"/>
  <c r="AJ70" i="123"/>
  <c r="AK70" i="123"/>
  <c r="AL70" i="123"/>
  <c r="AM70" i="123"/>
  <c r="AC71" i="123"/>
  <c r="AD71" i="123"/>
  <c r="AE71" i="123"/>
  <c r="AF71" i="123"/>
  <c r="AG71" i="123"/>
  <c r="AH71" i="123"/>
  <c r="AI71" i="123"/>
  <c r="AJ71" i="123"/>
  <c r="AK71" i="123"/>
  <c r="AL71" i="123"/>
  <c r="AM71" i="123"/>
  <c r="AC72" i="123"/>
  <c r="AD72" i="123"/>
  <c r="AE72" i="123"/>
  <c r="AF72" i="123"/>
  <c r="AG72" i="123"/>
  <c r="AH72" i="123"/>
  <c r="AI72" i="123"/>
  <c r="AJ72" i="123"/>
  <c r="AK72" i="123"/>
  <c r="AL72" i="123"/>
  <c r="AM72" i="123"/>
  <c r="AC73" i="123"/>
  <c r="AD73" i="123"/>
  <c r="AN73" i="123" s="1"/>
  <c r="AE73" i="123"/>
  <c r="AF73" i="123"/>
  <c r="AG73" i="123"/>
  <c r="AH73" i="123"/>
  <c r="AI73" i="123"/>
  <c r="AJ73" i="123"/>
  <c r="AK73" i="123"/>
  <c r="AL73" i="123"/>
  <c r="AM73" i="123"/>
  <c r="AC74" i="123"/>
  <c r="AD74" i="123"/>
  <c r="AE74" i="123"/>
  <c r="AF74" i="123"/>
  <c r="AG74" i="123"/>
  <c r="AH74" i="123"/>
  <c r="AI74" i="123"/>
  <c r="AJ74" i="123"/>
  <c r="AK74" i="123"/>
  <c r="AL74" i="123"/>
  <c r="AM74" i="123"/>
  <c r="AC75" i="123"/>
  <c r="AD75" i="123"/>
  <c r="AE75" i="123"/>
  <c r="AF75" i="123"/>
  <c r="AG75" i="123"/>
  <c r="AH75" i="123"/>
  <c r="AI75" i="123"/>
  <c r="AJ75" i="123"/>
  <c r="AK75" i="123"/>
  <c r="AL75" i="123"/>
  <c r="AM75" i="123"/>
  <c r="AC76" i="123"/>
  <c r="AD76" i="123"/>
  <c r="AE76" i="123"/>
  <c r="AF76" i="123"/>
  <c r="AG76" i="123"/>
  <c r="AH76" i="123"/>
  <c r="AI76" i="123"/>
  <c r="AJ76" i="123"/>
  <c r="AK76" i="123"/>
  <c r="AL76" i="123"/>
  <c r="AM76" i="123"/>
  <c r="AC77" i="123"/>
  <c r="AD77" i="123"/>
  <c r="AE77" i="123"/>
  <c r="AF77" i="123"/>
  <c r="AG77" i="123"/>
  <c r="AH77" i="123"/>
  <c r="AI77" i="123"/>
  <c r="AJ77" i="123"/>
  <c r="AK77" i="123"/>
  <c r="AL77" i="123"/>
  <c r="AM77" i="123"/>
  <c r="AC78" i="123"/>
  <c r="AD78" i="123"/>
  <c r="AE78" i="123"/>
  <c r="AF78" i="123"/>
  <c r="AG78" i="123"/>
  <c r="AH78" i="123"/>
  <c r="AI78" i="123"/>
  <c r="AJ78" i="123"/>
  <c r="AK78" i="123"/>
  <c r="AL78" i="123"/>
  <c r="AM78" i="123"/>
  <c r="AC79" i="123"/>
  <c r="AD79" i="123"/>
  <c r="AE79" i="123"/>
  <c r="AF79" i="123"/>
  <c r="AG79" i="123"/>
  <c r="AH79" i="123"/>
  <c r="AI79" i="123"/>
  <c r="AJ79" i="123"/>
  <c r="AK79" i="123"/>
  <c r="AL79" i="123"/>
  <c r="AM79" i="123"/>
  <c r="AC80" i="123"/>
  <c r="AD80" i="123"/>
  <c r="AE80" i="123"/>
  <c r="AF80" i="123"/>
  <c r="AG80" i="123"/>
  <c r="AH80" i="123"/>
  <c r="AI80" i="123"/>
  <c r="AJ80" i="123"/>
  <c r="AK80" i="123"/>
  <c r="AL80" i="123"/>
  <c r="AM80" i="123"/>
  <c r="AC81" i="123"/>
  <c r="AD81" i="123"/>
  <c r="AE81" i="123"/>
  <c r="AF81" i="123"/>
  <c r="AN81" i="123" s="1"/>
  <c r="AG81" i="123"/>
  <c r="AH81" i="123"/>
  <c r="AI81" i="123"/>
  <c r="AJ81" i="123"/>
  <c r="AK81" i="123"/>
  <c r="AL81" i="123"/>
  <c r="AM81" i="123"/>
  <c r="AC82" i="123"/>
  <c r="AD82" i="123"/>
  <c r="AE82" i="123"/>
  <c r="AF82" i="123"/>
  <c r="AG82" i="123"/>
  <c r="AH82" i="123"/>
  <c r="AI82" i="123"/>
  <c r="AJ82" i="123"/>
  <c r="AK82" i="123"/>
  <c r="AL82" i="123"/>
  <c r="AM82" i="123"/>
  <c r="AC83" i="123"/>
  <c r="AD83" i="123"/>
  <c r="AE83" i="123"/>
  <c r="AF83" i="123"/>
  <c r="AG83" i="123"/>
  <c r="AH83" i="123"/>
  <c r="AI83" i="123"/>
  <c r="AJ83" i="123"/>
  <c r="AK83" i="123"/>
  <c r="AL83" i="123"/>
  <c r="AM83" i="123"/>
  <c r="AC84" i="123"/>
  <c r="AD84" i="123"/>
  <c r="AE84" i="123"/>
  <c r="AF84" i="123"/>
  <c r="AG84" i="123"/>
  <c r="AH84" i="123"/>
  <c r="AI84" i="123"/>
  <c r="AJ84" i="123"/>
  <c r="AK84" i="123"/>
  <c r="AL84" i="123"/>
  <c r="AM84" i="123"/>
  <c r="AC85" i="123"/>
  <c r="AD85" i="123"/>
  <c r="AE85" i="123"/>
  <c r="AF85" i="123"/>
  <c r="AG85" i="123"/>
  <c r="AH85" i="123"/>
  <c r="AI85" i="123"/>
  <c r="AJ85" i="123"/>
  <c r="AK85" i="123"/>
  <c r="AL85" i="123"/>
  <c r="AM85" i="123"/>
  <c r="AC86" i="123"/>
  <c r="AD86" i="123"/>
  <c r="AE86" i="123"/>
  <c r="AF86" i="123"/>
  <c r="AG86" i="123"/>
  <c r="AH86" i="123"/>
  <c r="AI86" i="123"/>
  <c r="AJ86" i="123"/>
  <c r="AK86" i="123"/>
  <c r="AL86" i="123"/>
  <c r="AM86" i="123"/>
  <c r="AC87" i="123"/>
  <c r="AN87" i="123" s="1"/>
  <c r="AD87" i="123"/>
  <c r="AE87" i="123"/>
  <c r="AF87" i="123"/>
  <c r="AG87" i="123"/>
  <c r="AH87" i="123"/>
  <c r="AI87" i="123"/>
  <c r="AJ87" i="123"/>
  <c r="AK87" i="123"/>
  <c r="AL87" i="123"/>
  <c r="AM87" i="123"/>
  <c r="AC88" i="123"/>
  <c r="AD88" i="123"/>
  <c r="AE88" i="123"/>
  <c r="AF88" i="123"/>
  <c r="AG88" i="123"/>
  <c r="AH88" i="123"/>
  <c r="AI88" i="123"/>
  <c r="AJ88" i="123"/>
  <c r="AK88" i="123"/>
  <c r="AL88" i="123"/>
  <c r="AM88" i="123"/>
  <c r="AC89" i="123"/>
  <c r="AD89" i="123"/>
  <c r="AE89" i="123"/>
  <c r="AF89" i="123"/>
  <c r="AG89" i="123"/>
  <c r="AH89" i="123"/>
  <c r="AI89" i="123"/>
  <c r="AJ89" i="123"/>
  <c r="AK89" i="123"/>
  <c r="AL89" i="123"/>
  <c r="AM89" i="123"/>
  <c r="AC90" i="123"/>
  <c r="AD90" i="123"/>
  <c r="AE90" i="123"/>
  <c r="AF90" i="123"/>
  <c r="AG90" i="123"/>
  <c r="AH90" i="123"/>
  <c r="AI90" i="123"/>
  <c r="AJ90" i="123"/>
  <c r="AK90" i="123"/>
  <c r="AL90" i="123"/>
  <c r="AM90" i="123"/>
  <c r="AC91" i="123"/>
  <c r="AD91" i="123"/>
  <c r="AE91" i="123"/>
  <c r="AF91" i="123"/>
  <c r="AG91" i="123"/>
  <c r="AH91" i="123"/>
  <c r="AI91" i="123"/>
  <c r="AJ91" i="123"/>
  <c r="AK91" i="123"/>
  <c r="AL91" i="123"/>
  <c r="AM91" i="123"/>
  <c r="AC92" i="123"/>
  <c r="AD92" i="123"/>
  <c r="AE92" i="123"/>
  <c r="AF92" i="123"/>
  <c r="AG92" i="123"/>
  <c r="AH92" i="123"/>
  <c r="AI92" i="123"/>
  <c r="AJ92" i="123"/>
  <c r="AK92" i="123"/>
  <c r="AL92" i="123"/>
  <c r="AM92" i="123"/>
  <c r="AC93" i="123"/>
  <c r="AD93" i="123"/>
  <c r="AE93" i="123"/>
  <c r="AF93" i="123"/>
  <c r="AG93" i="123"/>
  <c r="AH93" i="123"/>
  <c r="AI93" i="123"/>
  <c r="AJ93" i="123"/>
  <c r="AK93" i="123"/>
  <c r="AL93" i="123"/>
  <c r="AM93" i="123"/>
  <c r="AC94" i="123"/>
  <c r="AD94" i="123"/>
  <c r="AE94" i="123"/>
  <c r="AF94" i="123"/>
  <c r="AG94" i="123"/>
  <c r="AH94" i="123"/>
  <c r="AI94" i="123"/>
  <c r="AJ94" i="123"/>
  <c r="AK94" i="123"/>
  <c r="AL94" i="123"/>
  <c r="AM94" i="123"/>
  <c r="AC95" i="123"/>
  <c r="AD95" i="123"/>
  <c r="AE95" i="123"/>
  <c r="AF95" i="123"/>
  <c r="AG95" i="123"/>
  <c r="AH95" i="123"/>
  <c r="AI95" i="123"/>
  <c r="AJ95" i="123"/>
  <c r="AK95" i="123"/>
  <c r="AL95" i="123"/>
  <c r="AM95" i="123"/>
  <c r="AC96" i="123"/>
  <c r="AD96" i="123"/>
  <c r="AE96" i="123"/>
  <c r="AF96" i="123"/>
  <c r="AG96" i="123"/>
  <c r="AH96" i="123"/>
  <c r="AI96" i="123"/>
  <c r="AJ96" i="123"/>
  <c r="AK96" i="123"/>
  <c r="AL96" i="123"/>
  <c r="AM96" i="123"/>
  <c r="AC97" i="123"/>
  <c r="AD97" i="123"/>
  <c r="AE97" i="123"/>
  <c r="AF97" i="123"/>
  <c r="AG97" i="123"/>
  <c r="AH97" i="123"/>
  <c r="AI97" i="123"/>
  <c r="AJ97" i="123"/>
  <c r="AK97" i="123"/>
  <c r="AL97" i="123"/>
  <c r="AM97" i="123"/>
  <c r="AC98" i="123"/>
  <c r="AD98" i="123"/>
  <c r="AE98" i="123"/>
  <c r="AF98" i="123"/>
  <c r="AG98" i="123"/>
  <c r="AH98" i="123"/>
  <c r="AI98" i="123"/>
  <c r="AJ98" i="123"/>
  <c r="AK98" i="123"/>
  <c r="AL98" i="123"/>
  <c r="AM98" i="123"/>
  <c r="AC99" i="123"/>
  <c r="AD99" i="123"/>
  <c r="AE99" i="123"/>
  <c r="AF99" i="123"/>
  <c r="AG99" i="123"/>
  <c r="AH99" i="123"/>
  <c r="AI99" i="123"/>
  <c r="AJ99" i="123"/>
  <c r="AK99" i="123"/>
  <c r="AL99" i="123"/>
  <c r="AM99" i="123"/>
  <c r="AC100" i="123"/>
  <c r="AD100" i="123"/>
  <c r="AE100" i="123"/>
  <c r="AF100" i="123"/>
  <c r="AG100" i="123"/>
  <c r="AH100" i="123"/>
  <c r="AI100" i="123"/>
  <c r="AJ100" i="123"/>
  <c r="AK100" i="123"/>
  <c r="AL100" i="123"/>
  <c r="AM100" i="123"/>
  <c r="AC101" i="123"/>
  <c r="AD101" i="123"/>
  <c r="AE101" i="123"/>
  <c r="AF101" i="123"/>
  <c r="AG101" i="123"/>
  <c r="AH101" i="123"/>
  <c r="AI101" i="123"/>
  <c r="AJ101" i="123"/>
  <c r="AK101" i="123"/>
  <c r="AL101" i="123"/>
  <c r="AM101" i="123"/>
  <c r="AC102" i="123"/>
  <c r="AD102" i="123"/>
  <c r="AE102" i="123"/>
  <c r="AF102" i="123"/>
  <c r="AG102" i="123"/>
  <c r="AH102" i="123"/>
  <c r="AI102" i="123"/>
  <c r="AJ102" i="123"/>
  <c r="AK102" i="123"/>
  <c r="AL102" i="123"/>
  <c r="AM102" i="123"/>
  <c r="AC103" i="123"/>
  <c r="AD103" i="123"/>
  <c r="AE103" i="123"/>
  <c r="AF103" i="123"/>
  <c r="AG103" i="123"/>
  <c r="AH103" i="123"/>
  <c r="AI103" i="123"/>
  <c r="AJ103" i="123"/>
  <c r="AK103" i="123"/>
  <c r="AL103" i="123"/>
  <c r="AM103" i="123"/>
  <c r="AC104" i="123"/>
  <c r="AD104" i="123"/>
  <c r="AE104" i="123"/>
  <c r="AF104" i="123"/>
  <c r="AG104" i="123"/>
  <c r="AH104" i="123"/>
  <c r="AI104" i="123"/>
  <c r="AJ104" i="123"/>
  <c r="AK104" i="123"/>
  <c r="AL104" i="123"/>
  <c r="AM104" i="123"/>
  <c r="AC105" i="123"/>
  <c r="AD105" i="123"/>
  <c r="AE105" i="123"/>
  <c r="AF105" i="123"/>
  <c r="AG105" i="123"/>
  <c r="AH105" i="123"/>
  <c r="AI105" i="123"/>
  <c r="AJ105" i="123"/>
  <c r="AK105" i="123"/>
  <c r="AL105" i="123"/>
  <c r="AM105" i="123"/>
  <c r="AC106" i="123"/>
  <c r="AD106" i="123"/>
  <c r="AE106" i="123"/>
  <c r="AF106" i="123"/>
  <c r="AG106" i="123"/>
  <c r="AH106" i="123"/>
  <c r="AI106" i="123"/>
  <c r="AJ106" i="123"/>
  <c r="AK106" i="123"/>
  <c r="AL106" i="123"/>
  <c r="AM106" i="123"/>
  <c r="AB8" i="123"/>
  <c r="AB9" i="123"/>
  <c r="AB10" i="123"/>
  <c r="AB11" i="123"/>
  <c r="AB12" i="123"/>
  <c r="AB13" i="123"/>
  <c r="AB14" i="123"/>
  <c r="AB15" i="123"/>
  <c r="AB16" i="123"/>
  <c r="AB17" i="123"/>
  <c r="AB18" i="123"/>
  <c r="AB19" i="123"/>
  <c r="AB20" i="123"/>
  <c r="AB21" i="123"/>
  <c r="AB22" i="123"/>
  <c r="AB23" i="123"/>
  <c r="AB24" i="123"/>
  <c r="AB25" i="123"/>
  <c r="AB26" i="123"/>
  <c r="AB27" i="123"/>
  <c r="AB28" i="123"/>
  <c r="AB29" i="123"/>
  <c r="AB30" i="123"/>
  <c r="AB31" i="123"/>
  <c r="AB32" i="123"/>
  <c r="AB33" i="123"/>
  <c r="AB34" i="123"/>
  <c r="AB35" i="123"/>
  <c r="AB36" i="123"/>
  <c r="AB37" i="123"/>
  <c r="AB38" i="123"/>
  <c r="AB39" i="123"/>
  <c r="AB40" i="123"/>
  <c r="AB41" i="123"/>
  <c r="AB42" i="123"/>
  <c r="AB43" i="123"/>
  <c r="AB44" i="123"/>
  <c r="AB45" i="123"/>
  <c r="AB46" i="123"/>
  <c r="AB47" i="123"/>
  <c r="AB48" i="123"/>
  <c r="AB49" i="123"/>
  <c r="AB50" i="123"/>
  <c r="AB51" i="123"/>
  <c r="AB52" i="123"/>
  <c r="AB53" i="123"/>
  <c r="AB54" i="123"/>
  <c r="AB55" i="123"/>
  <c r="AB56" i="123"/>
  <c r="AB57" i="123"/>
  <c r="AB58" i="123"/>
  <c r="AB59" i="123"/>
  <c r="AB60" i="123"/>
  <c r="AB61" i="123"/>
  <c r="AB62" i="123"/>
  <c r="AB63" i="123"/>
  <c r="AB64" i="123"/>
  <c r="AB65" i="123"/>
  <c r="AB66" i="123"/>
  <c r="AB67" i="123"/>
  <c r="AB68" i="123"/>
  <c r="AB69" i="123"/>
  <c r="AB70" i="123"/>
  <c r="AB71" i="123"/>
  <c r="AB72" i="123"/>
  <c r="AB73" i="123"/>
  <c r="AB74" i="123"/>
  <c r="AB75" i="123"/>
  <c r="AB76" i="123"/>
  <c r="AB77" i="123"/>
  <c r="AB78" i="123"/>
  <c r="AB79" i="123"/>
  <c r="AB80" i="123"/>
  <c r="AB81" i="123"/>
  <c r="AB82" i="123"/>
  <c r="AB83" i="123"/>
  <c r="AB84" i="123"/>
  <c r="AB85" i="123"/>
  <c r="AB86" i="123"/>
  <c r="AB87" i="123"/>
  <c r="AB88" i="123"/>
  <c r="AB89" i="123"/>
  <c r="AB90" i="123"/>
  <c r="AB91" i="123"/>
  <c r="AB92" i="123"/>
  <c r="AB93" i="123"/>
  <c r="AB94" i="123"/>
  <c r="AB95" i="123"/>
  <c r="AB96" i="123"/>
  <c r="AB97" i="123"/>
  <c r="AB98" i="123"/>
  <c r="AB99" i="123"/>
  <c r="AB100" i="123"/>
  <c r="AB101" i="123"/>
  <c r="AB102" i="123"/>
  <c r="AB103" i="123"/>
  <c r="AB104" i="123"/>
  <c r="AB105" i="123"/>
  <c r="AB106" i="123"/>
  <c r="AB7" i="123"/>
  <c r="AN66" i="123"/>
  <c r="E36" i="250"/>
  <c r="E37" i="250"/>
  <c r="E21" i="250"/>
  <c r="AE7" i="177"/>
  <c r="AB7" i="177"/>
  <c r="Y7" i="177"/>
  <c r="V7" i="177"/>
  <c r="AE7" i="250"/>
  <c r="AB7" i="250"/>
  <c r="Y7" i="250"/>
  <c r="V7" i="250"/>
  <c r="F12" i="250"/>
  <c r="F12" i="177"/>
  <c r="N64" i="243"/>
  <c r="E64" i="243"/>
  <c r="M7" i="250"/>
  <c r="J7" i="250"/>
  <c r="S7" i="250"/>
  <c r="P7" i="250"/>
  <c r="AJ78" i="250"/>
  <c r="AH78" i="250"/>
  <c r="AE78" i="250"/>
  <c r="AB78" i="250"/>
  <c r="AA78" i="250"/>
  <c r="V78" i="250"/>
  <c r="U78" i="250"/>
  <c r="K78" i="250"/>
  <c r="AK77" i="250"/>
  <c r="AK78" i="250" s="1"/>
  <c r="AJ77" i="250"/>
  <c r="AH77" i="250"/>
  <c r="AG77" i="250"/>
  <c r="AG78" i="250" s="1"/>
  <c r="AE77" i="250"/>
  <c r="AD77" i="250"/>
  <c r="AD78" i="250" s="1"/>
  <c r="AB77" i="250"/>
  <c r="AA77" i="250"/>
  <c r="Y77" i="250"/>
  <c r="Y78" i="250" s="1"/>
  <c r="X77" i="250"/>
  <c r="X78" i="250" s="1"/>
  <c r="V77" i="250"/>
  <c r="U77" i="250"/>
  <c r="S77" i="250"/>
  <c r="S78" i="250" s="1"/>
  <c r="R77" i="250"/>
  <c r="R78" i="250" s="1"/>
  <c r="P77" i="250"/>
  <c r="P78" i="250" s="1"/>
  <c r="O77" i="250"/>
  <c r="O78" i="250" s="1"/>
  <c r="M77" i="250"/>
  <c r="M78" i="250" s="1"/>
  <c r="AK76" i="250"/>
  <c r="AJ76" i="250"/>
  <c r="AH76" i="250"/>
  <c r="AG76" i="250"/>
  <c r="AE76" i="250"/>
  <c r="AD76" i="250"/>
  <c r="AB76" i="250"/>
  <c r="AA76" i="250"/>
  <c r="Y76" i="250"/>
  <c r="X76" i="250"/>
  <c r="V76" i="250"/>
  <c r="U76" i="250"/>
  <c r="S76" i="250"/>
  <c r="R76" i="250"/>
  <c r="P76" i="250"/>
  <c r="O76" i="250"/>
  <c r="M76" i="250"/>
  <c r="K76" i="250"/>
  <c r="G72" i="250"/>
  <c r="F66" i="250"/>
  <c r="G65" i="250"/>
  <c r="F65" i="250"/>
  <c r="F64" i="250"/>
  <c r="G63" i="250"/>
  <c r="G62" i="250"/>
  <c r="G61" i="250"/>
  <c r="G60" i="250"/>
  <c r="G54" i="250"/>
  <c r="G67" i="250" s="1"/>
  <c r="G53" i="250"/>
  <c r="G66" i="250" s="1"/>
  <c r="F53" i="250"/>
  <c r="G52" i="250"/>
  <c r="F52" i="250"/>
  <c r="F51" i="250"/>
  <c r="AK48" i="250"/>
  <c r="AK61" i="250" s="1"/>
  <c r="AJ48" i="250"/>
  <c r="AJ61" i="250" s="1"/>
  <c r="AI48" i="250"/>
  <c r="AI61" i="250" s="1"/>
  <c r="AH48" i="250"/>
  <c r="AH61" i="250" s="1"/>
  <c r="AG48" i="250"/>
  <c r="AG61" i="250" s="1"/>
  <c r="AF48" i="250"/>
  <c r="AF61" i="250" s="1"/>
  <c r="AE48" i="250"/>
  <c r="AE61" i="250" s="1"/>
  <c r="AD48" i="250"/>
  <c r="AD61" i="250" s="1"/>
  <c r="AC48" i="250"/>
  <c r="AC61" i="250" s="1"/>
  <c r="AB48" i="250"/>
  <c r="AB61" i="250" s="1"/>
  <c r="AA48" i="250"/>
  <c r="AA61" i="250" s="1"/>
  <c r="Z48" i="250"/>
  <c r="Z61" i="250" s="1"/>
  <c r="Y48" i="250"/>
  <c r="Y61" i="250" s="1"/>
  <c r="X48" i="250"/>
  <c r="X61" i="250" s="1"/>
  <c r="W48" i="250"/>
  <c r="W61" i="250" s="1"/>
  <c r="V48" i="250"/>
  <c r="V61" i="250" s="1"/>
  <c r="U48" i="250"/>
  <c r="U61" i="250" s="1"/>
  <c r="T48" i="250"/>
  <c r="T61" i="250" s="1"/>
  <c r="S48" i="250"/>
  <c r="S61" i="250" s="1"/>
  <c r="R48" i="250"/>
  <c r="R61" i="250" s="1"/>
  <c r="Q48" i="250"/>
  <c r="Q61" i="250" s="1"/>
  <c r="P48" i="250"/>
  <c r="P61" i="250" s="1"/>
  <c r="O48" i="250"/>
  <c r="O61" i="250" s="1"/>
  <c r="N48" i="250"/>
  <c r="N61" i="250" s="1"/>
  <c r="M48" i="250"/>
  <c r="M61" i="250" s="1"/>
  <c r="L48" i="250"/>
  <c r="L61" i="250" s="1"/>
  <c r="K48" i="250"/>
  <c r="K61" i="250" s="1"/>
  <c r="J48" i="250"/>
  <c r="J61" i="250" s="1"/>
  <c r="I48" i="250"/>
  <c r="I61" i="250" s="1"/>
  <c r="H48" i="250"/>
  <c r="H61" i="250" s="1"/>
  <c r="G45" i="250"/>
  <c r="G58" i="250" s="1"/>
  <c r="AK42" i="250"/>
  <c r="AJ42" i="250"/>
  <c r="AI42" i="250"/>
  <c r="AH42" i="250"/>
  <c r="AG42" i="250"/>
  <c r="AE42" i="250"/>
  <c r="AD42" i="250"/>
  <c r="AC42" i="250"/>
  <c r="AB42" i="250"/>
  <c r="AA42" i="250"/>
  <c r="Z42" i="250"/>
  <c r="Y42" i="250"/>
  <c r="X42" i="250"/>
  <c r="W42" i="250"/>
  <c r="V42" i="250"/>
  <c r="U42" i="250"/>
  <c r="S42" i="250"/>
  <c r="R42" i="250"/>
  <c r="Q42" i="250"/>
  <c r="P42" i="250"/>
  <c r="O42" i="250"/>
  <c r="N42" i="250"/>
  <c r="M42" i="250"/>
  <c r="L42" i="250"/>
  <c r="K42" i="250"/>
  <c r="J42" i="250"/>
  <c r="I42" i="250"/>
  <c r="H42" i="250"/>
  <c r="AK41" i="250"/>
  <c r="AJ41" i="250"/>
  <c r="AI41" i="250"/>
  <c r="AH41" i="250"/>
  <c r="AG41" i="250"/>
  <c r="AE41" i="250"/>
  <c r="AD41" i="250"/>
  <c r="AC41" i="250"/>
  <c r="AB41" i="250"/>
  <c r="AA41" i="250"/>
  <c r="Z41" i="250"/>
  <c r="Y41" i="250"/>
  <c r="X41" i="250"/>
  <c r="W41" i="250"/>
  <c r="V41" i="250"/>
  <c r="U41" i="250"/>
  <c r="S41" i="250"/>
  <c r="R41" i="250"/>
  <c r="Q41" i="250"/>
  <c r="P41" i="250"/>
  <c r="O41" i="250"/>
  <c r="N41" i="250"/>
  <c r="M41" i="250"/>
  <c r="L41" i="250"/>
  <c r="K41" i="250"/>
  <c r="J41" i="250"/>
  <c r="I41" i="250"/>
  <c r="H41" i="250"/>
  <c r="F37" i="250"/>
  <c r="F36" i="250"/>
  <c r="F35" i="250"/>
  <c r="G35" i="250" s="1"/>
  <c r="G33" i="250"/>
  <c r="H33" i="250" s="1"/>
  <c r="I33" i="250" s="1"/>
  <c r="J33" i="250" s="1"/>
  <c r="K33" i="250" s="1"/>
  <c r="J32" i="250"/>
  <c r="F32" i="250"/>
  <c r="G31" i="250"/>
  <c r="H31" i="250" s="1"/>
  <c r="I31" i="250" s="1"/>
  <c r="J30" i="250"/>
  <c r="F30" i="250"/>
  <c r="G29" i="250"/>
  <c r="H29" i="250" s="1"/>
  <c r="I29" i="250" s="1"/>
  <c r="J29" i="250" s="1"/>
  <c r="K29" i="250" s="1"/>
  <c r="K28" i="250"/>
  <c r="J28" i="250"/>
  <c r="F28" i="250"/>
  <c r="G27" i="250"/>
  <c r="H27" i="250" s="1"/>
  <c r="I27" i="250" s="1"/>
  <c r="J27" i="250" s="1"/>
  <c r="J26" i="250"/>
  <c r="F26" i="250"/>
  <c r="G19" i="250"/>
  <c r="H19" i="250" s="1"/>
  <c r="I19" i="250" s="1"/>
  <c r="J19" i="250" s="1"/>
  <c r="K19" i="250" s="1"/>
  <c r="L19" i="250" s="1"/>
  <c r="M19" i="250" s="1"/>
  <c r="N19" i="250" s="1"/>
  <c r="O19" i="250" s="1"/>
  <c r="P19" i="250" s="1"/>
  <c r="Q19" i="250" s="1"/>
  <c r="R19" i="250" s="1"/>
  <c r="S19" i="250" s="1"/>
  <c r="T19" i="250" s="1"/>
  <c r="U19" i="250" s="1"/>
  <c r="V19" i="250" s="1"/>
  <c r="W19" i="250" s="1"/>
  <c r="X19" i="250" s="1"/>
  <c r="Y19" i="250" s="1"/>
  <c r="Z19" i="250" s="1"/>
  <c r="AA19" i="250" s="1"/>
  <c r="AB19" i="250" s="1"/>
  <c r="AC19" i="250" s="1"/>
  <c r="AD19" i="250" s="1"/>
  <c r="AE19" i="250" s="1"/>
  <c r="AF19" i="250" s="1"/>
  <c r="AG19" i="250" s="1"/>
  <c r="AH19" i="250" s="1"/>
  <c r="AI19" i="250" s="1"/>
  <c r="AJ19" i="250" s="1"/>
  <c r="AK19" i="250" s="1"/>
  <c r="AL19" i="250" s="1"/>
  <c r="AM19" i="250" s="1"/>
  <c r="AN19" i="250" s="1"/>
  <c r="AO19" i="250" s="1"/>
  <c r="AP19" i="250" s="1"/>
  <c r="AQ19" i="250" s="1"/>
  <c r="AR19" i="250" s="1"/>
  <c r="AS19" i="250" s="1"/>
  <c r="AT19" i="250" s="1"/>
  <c r="AU19" i="250" s="1"/>
  <c r="AV19" i="250" s="1"/>
  <c r="AW19" i="250" s="1"/>
  <c r="AX19" i="250" s="1"/>
  <c r="AY19" i="250" s="1"/>
  <c r="AZ19" i="250" s="1"/>
  <c r="BA19" i="250" s="1"/>
  <c r="BB19" i="250" s="1"/>
  <c r="BC19" i="250" s="1"/>
  <c r="BD19" i="250" s="1"/>
  <c r="BE19" i="250" s="1"/>
  <c r="BF19" i="250" s="1"/>
  <c r="BG19" i="250" s="1"/>
  <c r="BH19" i="250" s="1"/>
  <c r="BI19" i="250" s="1"/>
  <c r="BJ19" i="250" s="1"/>
  <c r="BK19" i="250" s="1"/>
  <c r="BL19" i="250" s="1"/>
  <c r="BM19" i="250" s="1"/>
  <c r="BN19" i="250" s="1"/>
  <c r="BO19" i="250" s="1"/>
  <c r="BP19" i="250" s="1"/>
  <c r="BQ19" i="250" s="1"/>
  <c r="BR19" i="250" s="1"/>
  <c r="BS19" i="250" s="1"/>
  <c r="BT19" i="250" s="1"/>
  <c r="BU19" i="250" s="1"/>
  <c r="H16" i="250"/>
  <c r="G16" i="250"/>
  <c r="G17" i="250" s="1"/>
  <c r="G14" i="250"/>
  <c r="H14" i="250" s="1"/>
  <c r="G11" i="250"/>
  <c r="H10" i="250" a="1"/>
  <c r="H10" i="250" s="1"/>
  <c r="H11" i="250" s="1"/>
  <c r="G8" i="250"/>
  <c r="AK6" i="250"/>
  <c r="AJ6" i="250"/>
  <c r="AI6" i="250"/>
  <c r="AH6" i="250"/>
  <c r="AG6" i="250"/>
  <c r="AF6" i="250"/>
  <c r="AE6" i="250"/>
  <c r="AD6" i="250"/>
  <c r="AC6" i="250"/>
  <c r="AB6" i="250"/>
  <c r="AA6" i="250"/>
  <c r="Z6" i="250"/>
  <c r="Y6" i="250"/>
  <c r="X6" i="250"/>
  <c r="W6" i="250"/>
  <c r="V6" i="250"/>
  <c r="U6" i="250"/>
  <c r="T6" i="250"/>
  <c r="S6" i="250"/>
  <c r="R6" i="250"/>
  <c r="Q6" i="250"/>
  <c r="P6" i="250"/>
  <c r="O6" i="250"/>
  <c r="N6" i="250"/>
  <c r="M6" i="250"/>
  <c r="L6" i="250"/>
  <c r="K6" i="250"/>
  <c r="J6" i="250"/>
  <c r="I6" i="250"/>
  <c r="H6" i="250"/>
  <c r="AE12" i="236" l="1"/>
  <c r="AE29" i="236" s="1"/>
  <c r="AE56" i="236" s="1"/>
  <c r="H12" i="250"/>
  <c r="BP12" i="250"/>
  <c r="BP13" i="250" s="1"/>
  <c r="BP16" i="250" s="1"/>
  <c r="AY12" i="250"/>
  <c r="AY13" i="250" s="1"/>
  <c r="AY16" i="250" s="1"/>
  <c r="AP12" i="250"/>
  <c r="AP13" i="250" s="1"/>
  <c r="AP16" i="250" s="1"/>
  <c r="BO12" i="250"/>
  <c r="BO13" i="250" s="1"/>
  <c r="BO16" i="250" s="1"/>
  <c r="AX12" i="250"/>
  <c r="AX13" i="250" s="1"/>
  <c r="AX16" i="250" s="1"/>
  <c r="AO12" i="250"/>
  <c r="AO13" i="250" s="1"/>
  <c r="AO16" i="250" s="1"/>
  <c r="BN12" i="250"/>
  <c r="BN13" i="250" s="1"/>
  <c r="BN16" i="250" s="1"/>
  <c r="AN12" i="250"/>
  <c r="AN13" i="250" s="1"/>
  <c r="AN16" i="250" s="1"/>
  <c r="BM12" i="250"/>
  <c r="BM13" i="250" s="1"/>
  <c r="BM16" i="250" s="1"/>
  <c r="AM12" i="250"/>
  <c r="AM13" i="250" s="1"/>
  <c r="AM16" i="250" s="1"/>
  <c r="BL12" i="250"/>
  <c r="BL13" i="250" s="1"/>
  <c r="BL16" i="250" s="1"/>
  <c r="BI12" i="250"/>
  <c r="BI13" i="250" s="1"/>
  <c r="BI16" i="250" s="1"/>
  <c r="AL12" i="250"/>
  <c r="AL13" i="250" s="1"/>
  <c r="BK12" i="250"/>
  <c r="BK13" i="250" s="1"/>
  <c r="BK16" i="250" s="1"/>
  <c r="BH12" i="250"/>
  <c r="BH13" i="250" s="1"/>
  <c r="BH16" i="250" s="1"/>
  <c r="BE12" i="250"/>
  <c r="BE13" i="250" s="1"/>
  <c r="BE16" i="250" s="1"/>
  <c r="AV12" i="250"/>
  <c r="AV13" i="250" s="1"/>
  <c r="AV16" i="250" s="1"/>
  <c r="BU12" i="250"/>
  <c r="BU13" i="250" s="1"/>
  <c r="BU16" i="250" s="1"/>
  <c r="BD12" i="250"/>
  <c r="BD13" i="250" s="1"/>
  <c r="BD16" i="250" s="1"/>
  <c r="AU12" i="250"/>
  <c r="AU13" i="250" s="1"/>
  <c r="AU16" i="250" s="1"/>
  <c r="BT12" i="250"/>
  <c r="BT13" i="250" s="1"/>
  <c r="BT16" i="250" s="1"/>
  <c r="BC12" i="250"/>
  <c r="BC13" i="250" s="1"/>
  <c r="BC16" i="250" s="1"/>
  <c r="AT12" i="250"/>
  <c r="AT13" i="250" s="1"/>
  <c r="AT16" i="250" s="1"/>
  <c r="BS12" i="250"/>
  <c r="BS13" i="250" s="1"/>
  <c r="BS16" i="250" s="1"/>
  <c r="BB12" i="250"/>
  <c r="BB13" i="250" s="1"/>
  <c r="BB16" i="250" s="1"/>
  <c r="AS12" i="250"/>
  <c r="AS13" i="250" s="1"/>
  <c r="AS16" i="250" s="1"/>
  <c r="BR12" i="250"/>
  <c r="BR13" i="250" s="1"/>
  <c r="BR16" i="250" s="1"/>
  <c r="BA12" i="250"/>
  <c r="BA13" i="250" s="1"/>
  <c r="BA16" i="250" s="1"/>
  <c r="AR12" i="250"/>
  <c r="AR13" i="250" s="1"/>
  <c r="AR16" i="250" s="1"/>
  <c r="BQ12" i="250"/>
  <c r="BQ13" i="250" s="1"/>
  <c r="BQ16" i="250" s="1"/>
  <c r="AZ12" i="250"/>
  <c r="AZ13" i="250" s="1"/>
  <c r="AZ16" i="250" s="1"/>
  <c r="AQ12" i="250"/>
  <c r="AQ13" i="250" s="1"/>
  <c r="AQ16" i="250" s="1"/>
  <c r="BJ12" i="250"/>
  <c r="BJ13" i="250" s="1"/>
  <c r="BJ16" i="250" s="1"/>
  <c r="BG12" i="250"/>
  <c r="BG13" i="250" s="1"/>
  <c r="BG16" i="250" s="1"/>
  <c r="BF12" i="250"/>
  <c r="BF13" i="250" s="1"/>
  <c r="BF16" i="250" s="1"/>
  <c r="AW12" i="250"/>
  <c r="AW13" i="250" s="1"/>
  <c r="AW16" i="250" s="1"/>
  <c r="S12" i="177"/>
  <c r="AV12" i="177"/>
  <c r="AV13" i="177" s="1"/>
  <c r="AV16" i="177" s="1"/>
  <c r="BJ12" i="177"/>
  <c r="BJ13" i="177" s="1"/>
  <c r="BJ16" i="177" s="1"/>
  <c r="AT12" i="177"/>
  <c r="AT13" i="177" s="1"/>
  <c r="AT16" i="177" s="1"/>
  <c r="AW12" i="177"/>
  <c r="AW13" i="177" s="1"/>
  <c r="AW16" i="177" s="1"/>
  <c r="BK12" i="177"/>
  <c r="BK13" i="177" s="1"/>
  <c r="BK16" i="177" s="1"/>
  <c r="AX12" i="177"/>
  <c r="AX13" i="177" s="1"/>
  <c r="AX16" i="177" s="1"/>
  <c r="BL12" i="177"/>
  <c r="BL13" i="177" s="1"/>
  <c r="BL16" i="177" s="1"/>
  <c r="AY12" i="177"/>
  <c r="AY13" i="177" s="1"/>
  <c r="AY16" i="177" s="1"/>
  <c r="BM12" i="177"/>
  <c r="BM13" i="177" s="1"/>
  <c r="BM16" i="177" s="1"/>
  <c r="AL12" i="177"/>
  <c r="AL13" i="177" s="1"/>
  <c r="AL16" i="177" s="1"/>
  <c r="AZ12" i="177"/>
  <c r="AZ13" i="177" s="1"/>
  <c r="AZ16" i="177" s="1"/>
  <c r="BN12" i="177"/>
  <c r="BN13" i="177" s="1"/>
  <c r="BN16" i="177" s="1"/>
  <c r="AM12" i="177"/>
  <c r="AM13" i="177" s="1"/>
  <c r="AM16" i="177" s="1"/>
  <c r="BA12" i="177"/>
  <c r="BA13" i="177" s="1"/>
  <c r="BA16" i="177" s="1"/>
  <c r="BO12" i="177"/>
  <c r="BO13" i="177" s="1"/>
  <c r="BO16" i="177" s="1"/>
  <c r="AN12" i="177"/>
  <c r="AN13" i="177" s="1"/>
  <c r="AN16" i="177" s="1"/>
  <c r="BB12" i="177"/>
  <c r="BB13" i="177" s="1"/>
  <c r="BB16" i="177" s="1"/>
  <c r="AO12" i="177"/>
  <c r="AO13" i="177" s="1"/>
  <c r="AO16" i="177" s="1"/>
  <c r="BC12" i="177"/>
  <c r="BC13" i="177" s="1"/>
  <c r="BC16" i="177" s="1"/>
  <c r="AP12" i="177"/>
  <c r="AP13" i="177" s="1"/>
  <c r="AP16" i="177" s="1"/>
  <c r="BD12" i="177"/>
  <c r="BD13" i="177" s="1"/>
  <c r="BD16" i="177" s="1"/>
  <c r="AS12" i="177"/>
  <c r="AS13" i="177" s="1"/>
  <c r="AS16" i="177" s="1"/>
  <c r="BG12" i="177"/>
  <c r="BG13" i="177" s="1"/>
  <c r="BG16" i="177" s="1"/>
  <c r="BH12" i="177"/>
  <c r="BH13" i="177" s="1"/>
  <c r="BH16" i="177" s="1"/>
  <c r="AQ12" i="177"/>
  <c r="AQ13" i="177" s="1"/>
  <c r="AQ16" i="177" s="1"/>
  <c r="BE12" i="177"/>
  <c r="BE13" i="177" s="1"/>
  <c r="BE16" i="177" s="1"/>
  <c r="AR12" i="177"/>
  <c r="AR13" i="177" s="1"/>
  <c r="AR16" i="177" s="1"/>
  <c r="BF12" i="177"/>
  <c r="BF13" i="177" s="1"/>
  <c r="BF16" i="177" s="1"/>
  <c r="BI12" i="177"/>
  <c r="BI13" i="177" s="1"/>
  <c r="BI16" i="177" s="1"/>
  <c r="AU12" i="177"/>
  <c r="AU13" i="177" s="1"/>
  <c r="AU16" i="177" s="1"/>
  <c r="V52" i="230"/>
  <c r="Y52" i="230"/>
  <c r="T52" i="230"/>
  <c r="AB52" i="230"/>
  <c r="AA52" i="230"/>
  <c r="Z52" i="230"/>
  <c r="X52" i="230"/>
  <c r="W52" i="230"/>
  <c r="AC52" i="230"/>
  <c r="U52" i="230"/>
  <c r="AD52" i="230"/>
  <c r="S52" i="230"/>
  <c r="E17" i="251"/>
  <c r="K22" i="251"/>
  <c r="G36" i="251"/>
  <c r="K31" i="251"/>
  <c r="E12" i="251"/>
  <c r="K8" i="251"/>
  <c r="K35" i="251"/>
  <c r="R26" i="251" s="1"/>
  <c r="R35" i="251" s="1"/>
  <c r="K17" i="251"/>
  <c r="E6" i="251"/>
  <c r="K3" i="251"/>
  <c r="K6" i="251" s="1"/>
  <c r="F20" i="251"/>
  <c r="K16" i="251"/>
  <c r="F23" i="251"/>
  <c r="F25" i="251" s="1"/>
  <c r="F36" i="251"/>
  <c r="K28" i="251"/>
  <c r="H36" i="251"/>
  <c r="I36" i="251"/>
  <c r="K30" i="251"/>
  <c r="E36" i="251"/>
  <c r="F6" i="251"/>
  <c r="K10" i="251"/>
  <c r="K27" i="251"/>
  <c r="AB56" i="236"/>
  <c r="AA56" i="236"/>
  <c r="AE42" i="236"/>
  <c r="X56" i="236"/>
  <c r="AC56" i="236"/>
  <c r="BC171" i="172"/>
  <c r="BG119" i="172"/>
  <c r="BG63" i="172"/>
  <c r="BG42" i="172"/>
  <c r="BG64" i="172"/>
  <c r="BG153" i="172"/>
  <c r="BG65" i="172"/>
  <c r="BC75" i="172"/>
  <c r="BG136" i="172"/>
  <c r="BG7" i="172"/>
  <c r="BG30" i="172"/>
  <c r="BG133" i="172"/>
  <c r="BG187" i="172"/>
  <c r="BG115" i="172"/>
  <c r="BG91" i="172"/>
  <c r="BG43" i="172"/>
  <c r="BB51" i="172"/>
  <c r="BG92" i="172"/>
  <c r="BG12" i="172"/>
  <c r="BB27" i="172"/>
  <c r="BG185" i="172"/>
  <c r="BB123" i="172"/>
  <c r="BG182" i="172"/>
  <c r="BB75" i="172"/>
  <c r="BG78" i="172"/>
  <c r="AW51" i="172"/>
  <c r="BG164" i="172"/>
  <c r="BF171" i="172"/>
  <c r="BG178" i="172"/>
  <c r="BG184" i="172"/>
  <c r="BG95" i="172"/>
  <c r="BG18" i="172"/>
  <c r="BG104" i="172"/>
  <c r="BG180" i="172"/>
  <c r="BD27" i="172"/>
  <c r="BG14" i="172"/>
  <c r="BG9" i="172"/>
  <c r="BG11" i="172"/>
  <c r="BG45" i="172"/>
  <c r="BG105" i="172"/>
  <c r="BG181" i="172"/>
  <c r="BG71" i="172"/>
  <c r="BB171" i="172"/>
  <c r="BG86" i="172"/>
  <c r="BG96" i="172"/>
  <c r="AY196" i="172"/>
  <c r="BG132" i="172"/>
  <c r="BG150" i="172"/>
  <c r="BG151" i="172"/>
  <c r="BA196" i="172"/>
  <c r="BG34" i="172"/>
  <c r="BG84" i="172"/>
  <c r="BG167" i="172"/>
  <c r="BG49" i="172"/>
  <c r="BG48" i="172"/>
  <c r="BG154" i="172"/>
  <c r="BG116" i="172"/>
  <c r="AU147" i="172"/>
  <c r="AW27" i="172"/>
  <c r="AY51" i="172"/>
  <c r="BG44" i="172"/>
  <c r="AW147" i="172"/>
  <c r="AU196" i="172"/>
  <c r="AY27" i="172"/>
  <c r="BG32" i="172"/>
  <c r="AY147" i="172"/>
  <c r="BG166" i="172"/>
  <c r="AW75" i="172"/>
  <c r="AW196" i="172"/>
  <c r="AY75" i="172"/>
  <c r="BG41" i="172"/>
  <c r="BG47" i="172"/>
  <c r="AX27" i="172"/>
  <c r="AX51" i="172"/>
  <c r="BG59" i="172"/>
  <c r="BG62" i="172"/>
  <c r="BG83" i="172"/>
  <c r="BG145" i="172"/>
  <c r="BG160" i="172"/>
  <c r="BG161" i="172"/>
  <c r="BG135" i="172"/>
  <c r="BG143" i="172"/>
  <c r="BG82" i="172"/>
  <c r="BG130" i="172"/>
  <c r="BG113" i="172"/>
  <c r="BG13" i="172"/>
  <c r="BG117" i="172"/>
  <c r="BG61" i="172"/>
  <c r="BG193" i="172"/>
  <c r="BG186" i="172"/>
  <c r="BG33" i="172"/>
  <c r="AV27" i="172"/>
  <c r="AV147" i="172"/>
  <c r="BG118" i="172"/>
  <c r="BG114" i="172"/>
  <c r="BG15" i="172"/>
  <c r="BG165" i="172"/>
  <c r="BG66" i="172"/>
  <c r="AV51" i="172"/>
  <c r="BG17" i="172"/>
  <c r="BG25" i="172"/>
  <c r="AU123" i="172"/>
  <c r="AZ51" i="172"/>
  <c r="AZ75" i="172"/>
  <c r="AX123" i="172"/>
  <c r="BG134" i="172"/>
  <c r="BG163" i="172"/>
  <c r="AZ196" i="172"/>
  <c r="BG112" i="172"/>
  <c r="BG35" i="172"/>
  <c r="BG81" i="172"/>
  <c r="BG144" i="172"/>
  <c r="AZ171" i="172"/>
  <c r="BG162" i="172"/>
  <c r="AX147" i="172"/>
  <c r="AX75" i="172"/>
  <c r="BG131" i="172"/>
  <c r="BG16" i="172"/>
  <c r="AZ27" i="172"/>
  <c r="BG93" i="172"/>
  <c r="BG94" i="172"/>
  <c r="BG46" i="172"/>
  <c r="AU75" i="172"/>
  <c r="BG179" i="172"/>
  <c r="BG194" i="172"/>
  <c r="BG97" i="172"/>
  <c r="AW123" i="172"/>
  <c r="AY123" i="172"/>
  <c r="AY171" i="172"/>
  <c r="BG106" i="172"/>
  <c r="BA51" i="172"/>
  <c r="AU27" i="172"/>
  <c r="AU51" i="172"/>
  <c r="AW171" i="172"/>
  <c r="BC123" i="172"/>
  <c r="BF80" i="174"/>
  <c r="AY45" i="174"/>
  <c r="BF52" i="174"/>
  <c r="BF57" i="174"/>
  <c r="BF78" i="174"/>
  <c r="BB108" i="174"/>
  <c r="BF99" i="174"/>
  <c r="BE150" i="174"/>
  <c r="AU150" i="174"/>
  <c r="AZ45" i="174"/>
  <c r="BF31" i="174"/>
  <c r="BF56" i="174"/>
  <c r="BF70" i="174"/>
  <c r="BF72" i="174"/>
  <c r="AW108" i="174"/>
  <c r="BA108" i="174"/>
  <c r="BA129" i="174"/>
  <c r="BE129" i="174"/>
  <c r="BA45" i="174"/>
  <c r="AW87" i="174"/>
  <c r="BF75" i="174"/>
  <c r="BF77" i="174"/>
  <c r="BF84" i="174"/>
  <c r="AX108" i="174"/>
  <c r="AZ108" i="174"/>
  <c r="BB129" i="174"/>
  <c r="BD129" i="174"/>
  <c r="BF39" i="174"/>
  <c r="AX24" i="174"/>
  <c r="AV87" i="174"/>
  <c r="AY24" i="174"/>
  <c r="BA24" i="174"/>
  <c r="BC45" i="174"/>
  <c r="BD66" i="174"/>
  <c r="AU87" i="174"/>
  <c r="BF73" i="174"/>
  <c r="BF83" i="174"/>
  <c r="AV129" i="174"/>
  <c r="BA150" i="174"/>
  <c r="AZ24" i="174"/>
  <c r="BD45" i="174"/>
  <c r="BE66" i="174"/>
  <c r="BB87" i="174"/>
  <c r="BF92" i="174"/>
  <c r="BF94" i="174"/>
  <c r="BF102" i="174"/>
  <c r="AW129" i="174"/>
  <c r="BB150" i="174"/>
  <c r="AX45" i="174"/>
  <c r="BF58" i="174"/>
  <c r="AV150" i="174"/>
  <c r="BF69" i="174"/>
  <c r="BE45" i="174"/>
  <c r="BF91" i="174"/>
  <c r="AX129" i="174"/>
  <c r="AW150" i="174"/>
  <c r="BC150" i="174"/>
  <c r="BF29" i="174"/>
  <c r="AY66" i="174"/>
  <c r="BD87" i="174"/>
  <c r="AU108" i="174"/>
  <c r="BF101" i="174"/>
  <c r="BF106" i="174"/>
  <c r="AY129" i="174"/>
  <c r="BF119" i="174"/>
  <c r="BF126" i="174"/>
  <c r="AX150" i="174"/>
  <c r="BD150" i="174"/>
  <c r="BF7" i="174"/>
  <c r="BF9" i="174"/>
  <c r="BF16" i="174"/>
  <c r="BF49" i="174"/>
  <c r="AZ66" i="174"/>
  <c r="AY87" i="174"/>
  <c r="BE87" i="174"/>
  <c r="BD108" i="174"/>
  <c r="AV108" i="174"/>
  <c r="BF111" i="174"/>
  <c r="AZ129" i="174"/>
  <c r="BF118" i="174"/>
  <c r="AY150" i="174"/>
  <c r="BB24" i="174"/>
  <c r="BB45" i="174"/>
  <c r="BC66" i="174"/>
  <c r="AY108" i="174"/>
  <c r="BF95" i="174"/>
  <c r="BC87" i="174"/>
  <c r="AU24" i="174"/>
  <c r="BF36" i="174"/>
  <c r="AU66" i="174"/>
  <c r="BA66" i="174"/>
  <c r="AZ87" i="174"/>
  <c r="BE108" i="174"/>
  <c r="BF100" i="174"/>
  <c r="AU129" i="174"/>
  <c r="BF125" i="174"/>
  <c r="BC24" i="174"/>
  <c r="BF74" i="174"/>
  <c r="BC129" i="174"/>
  <c r="AZ150" i="174"/>
  <c r="BF10" i="174"/>
  <c r="BF17" i="174"/>
  <c r="AX66" i="174"/>
  <c r="BF82" i="174"/>
  <c r="BF112" i="174"/>
  <c r="BF38" i="174"/>
  <c r="BE24" i="174"/>
  <c r="AV24" i="174"/>
  <c r="BF15" i="174"/>
  <c r="AU45" i="174"/>
  <c r="AW45" i="174"/>
  <c r="BF43" i="174"/>
  <c r="AV66" i="174"/>
  <c r="BB66" i="174"/>
  <c r="BA87" i="174"/>
  <c r="BF117" i="174"/>
  <c r="BF11" i="174"/>
  <c r="BF104" i="174"/>
  <c r="BF113" i="174"/>
  <c r="BF18" i="174"/>
  <c r="BF30" i="174"/>
  <c r="AT108" i="174"/>
  <c r="BF127" i="174"/>
  <c r="BF79" i="174"/>
  <c r="BF71" i="174"/>
  <c r="BF85" i="174"/>
  <c r="BF97" i="174"/>
  <c r="AT150" i="174"/>
  <c r="AT66" i="174"/>
  <c r="BF96" i="174"/>
  <c r="BF13" i="174"/>
  <c r="BF115" i="174"/>
  <c r="BF12" i="174"/>
  <c r="BF103" i="174"/>
  <c r="BF50" i="174"/>
  <c r="BF90" i="174"/>
  <c r="BF28" i="174"/>
  <c r="BF37" i="174"/>
  <c r="BF64" i="174"/>
  <c r="BF105" i="174"/>
  <c r="BF120" i="174"/>
  <c r="BF6" i="174"/>
  <c r="BF21" i="174"/>
  <c r="AT45" i="174"/>
  <c r="BF63" i="174"/>
  <c r="BF123" i="174"/>
  <c r="BF20" i="174"/>
  <c r="BF41" i="174"/>
  <c r="BF55" i="174"/>
  <c r="BF62" i="174"/>
  <c r="BF122" i="174"/>
  <c r="BF19" i="174"/>
  <c r="BF40" i="174"/>
  <c r="BF54" i="174"/>
  <c r="BF81" i="174"/>
  <c r="BF121" i="174"/>
  <c r="BF51" i="174"/>
  <c r="BD24" i="174"/>
  <c r="BF48" i="174"/>
  <c r="BC108" i="174"/>
  <c r="AT24" i="174"/>
  <c r="BF114" i="174"/>
  <c r="BF27" i="174"/>
  <c r="AT129" i="174"/>
  <c r="AX87" i="174"/>
  <c r="AT87" i="174"/>
  <c r="AN104" i="123"/>
  <c r="AN33" i="123"/>
  <c r="AN57" i="123"/>
  <c r="AN98" i="123"/>
  <c r="AN69" i="123"/>
  <c r="AN83" i="123"/>
  <c r="AN89" i="123"/>
  <c r="AN93" i="123"/>
  <c r="AN94" i="123"/>
  <c r="AN100" i="123"/>
  <c r="AN11" i="123"/>
  <c r="AN35" i="123"/>
  <c r="AN50" i="123"/>
  <c r="AN10" i="123"/>
  <c r="AN49" i="123"/>
  <c r="AN55" i="123"/>
  <c r="AN62" i="123"/>
  <c r="AN71" i="123"/>
  <c r="AN97" i="123"/>
  <c r="AN8" i="123"/>
  <c r="AN40" i="123"/>
  <c r="AN22" i="123"/>
  <c r="AN37" i="123"/>
  <c r="AN52" i="123"/>
  <c r="AN54" i="123"/>
  <c r="AN68" i="123"/>
  <c r="AN70" i="123"/>
  <c r="AN105" i="123"/>
  <c r="AN41" i="123"/>
  <c r="AN48" i="123"/>
  <c r="AN64" i="123"/>
  <c r="AN80" i="123"/>
  <c r="AN99" i="123"/>
  <c r="AN38" i="123"/>
  <c r="AN85" i="123"/>
  <c r="AN96" i="123"/>
  <c r="AN7" i="123"/>
  <c r="AN14" i="123"/>
  <c r="AN46" i="123"/>
  <c r="AN51" i="123"/>
  <c r="AN61" i="123"/>
  <c r="AN67" i="123"/>
  <c r="AN82" i="123"/>
  <c r="AN84" i="123"/>
  <c r="AN76" i="123"/>
  <c r="AN18" i="123"/>
  <c r="AN20" i="123"/>
  <c r="AN59" i="123"/>
  <c r="AN75" i="123"/>
  <c r="AN91" i="123"/>
  <c r="AN60" i="123"/>
  <c r="AN13" i="123"/>
  <c r="AN45" i="123"/>
  <c r="AN12" i="123"/>
  <c r="AN17" i="123"/>
  <c r="AN25" i="123"/>
  <c r="AN21" i="123"/>
  <c r="AN28" i="123"/>
  <c r="AN65" i="123"/>
  <c r="AN32" i="123"/>
  <c r="AN26" i="123"/>
  <c r="AN42" i="123"/>
  <c r="AN56" i="123"/>
  <c r="AN106" i="123"/>
  <c r="AN23" i="123"/>
  <c r="AN47" i="123"/>
  <c r="AN77" i="123"/>
  <c r="AN72" i="123"/>
  <c r="AN27" i="123"/>
  <c r="AN24" i="123"/>
  <c r="AN88" i="123"/>
  <c r="AN86" i="123"/>
  <c r="AN79" i="123"/>
  <c r="AN16" i="123"/>
  <c r="AN31" i="123"/>
  <c r="AN44" i="123"/>
  <c r="AN102" i="123"/>
  <c r="AN9" i="123"/>
  <c r="AN63" i="123"/>
  <c r="AN78" i="123"/>
  <c r="AN15" i="123"/>
  <c r="AN30" i="123"/>
  <c r="AN29" i="123"/>
  <c r="AN103" i="123"/>
  <c r="AN43" i="123"/>
  <c r="AN58" i="123"/>
  <c r="AN74" i="123"/>
  <c r="AN90" i="123"/>
  <c r="AN95" i="123"/>
  <c r="AN101" i="123"/>
  <c r="S12" i="250"/>
  <c r="S13" i="250" s="1"/>
  <c r="S16" i="250" s="1"/>
  <c r="S21" i="250" s="1"/>
  <c r="S72" i="250" s="1"/>
  <c r="Q12" i="177"/>
  <c r="O12" i="177"/>
  <c r="H17" i="250"/>
  <c r="H20" i="250" s="1"/>
  <c r="H71" i="250" s="1"/>
  <c r="N12" i="177"/>
  <c r="P12" i="177"/>
  <c r="Y12" i="250"/>
  <c r="Y13" i="250" s="1"/>
  <c r="Y16" i="250" s="1"/>
  <c r="Y20" i="250" s="1"/>
  <c r="Y71" i="250" s="1"/>
  <c r="U12" i="250"/>
  <c r="U13" i="250" s="1"/>
  <c r="U16" i="250" s="1"/>
  <c r="U21" i="250" s="1"/>
  <c r="U72" i="250" s="1"/>
  <c r="T12" i="250"/>
  <c r="T13" i="250" s="1"/>
  <c r="T16" i="250" s="1"/>
  <c r="R12" i="250"/>
  <c r="R13" i="250" s="1"/>
  <c r="R16" i="250" s="1"/>
  <c r="R21" i="250" s="1"/>
  <c r="R72" i="250" s="1"/>
  <c r="O12" i="250"/>
  <c r="O13" i="250" s="1"/>
  <c r="O16" i="250" s="1"/>
  <c r="O20" i="250" s="1"/>
  <c r="O71" i="250" s="1"/>
  <c r="N12" i="250"/>
  <c r="N13" i="250" s="1"/>
  <c r="N16" i="250" s="1"/>
  <c r="N20" i="250" s="1"/>
  <c r="N71" i="250" s="1"/>
  <c r="AD12" i="177"/>
  <c r="K12" i="250"/>
  <c r="K13" i="250" s="1"/>
  <c r="AC12" i="177"/>
  <c r="AI12" i="250"/>
  <c r="AI13" i="250" s="1"/>
  <c r="AI16" i="250" s="1"/>
  <c r="AI20" i="250" s="1"/>
  <c r="AI71" i="250" s="1"/>
  <c r="AF12" i="177"/>
  <c r="AE12" i="177"/>
  <c r="AH12" i="250"/>
  <c r="AH13" i="250" s="1"/>
  <c r="AH16" i="250" s="1"/>
  <c r="AH20" i="250" s="1"/>
  <c r="AH71" i="250" s="1"/>
  <c r="Z12" i="177"/>
  <c r="AG12" i="250"/>
  <c r="AG13" i="250" s="1"/>
  <c r="AG16" i="250" s="1"/>
  <c r="AG20" i="250" s="1"/>
  <c r="AG71" i="250" s="1"/>
  <c r="Y12" i="177"/>
  <c r="AF12" i="250"/>
  <c r="AF13" i="250" s="1"/>
  <c r="AF16" i="250" s="1"/>
  <c r="AJ12" i="177"/>
  <c r="L12" i="177"/>
  <c r="K12" i="177"/>
  <c r="H12" i="177"/>
  <c r="V12" i="177"/>
  <c r="AC12" i="250"/>
  <c r="AC13" i="250" s="1"/>
  <c r="AC16" i="250" s="1"/>
  <c r="AC20" i="250" s="1"/>
  <c r="AC71" i="250" s="1"/>
  <c r="AB12" i="177"/>
  <c r="R12" i="177"/>
  <c r="AB12" i="250"/>
  <c r="AB13" i="250" s="1"/>
  <c r="AB16" i="250" s="1"/>
  <c r="AB21" i="250" s="1"/>
  <c r="AB72" i="250" s="1"/>
  <c r="AE12" i="250"/>
  <c r="AE13" i="250" s="1"/>
  <c r="AE16" i="250" s="1"/>
  <c r="AE21" i="250" s="1"/>
  <c r="AE72" i="250" s="1"/>
  <c r="Q12" i="250"/>
  <c r="Q13" i="250" s="1"/>
  <c r="Q16" i="250" s="1"/>
  <c r="Q21" i="250" s="1"/>
  <c r="Q72" i="250" s="1"/>
  <c r="AA12" i="177"/>
  <c r="M12" i="177"/>
  <c r="AD12" i="250"/>
  <c r="AD13" i="250" s="1"/>
  <c r="AD16" i="250" s="1"/>
  <c r="AD21" i="250" s="1"/>
  <c r="AD72" i="250" s="1"/>
  <c r="P12" i="250"/>
  <c r="P13" i="250" s="1"/>
  <c r="P16" i="250" s="1"/>
  <c r="P21" i="250" s="1"/>
  <c r="P72" i="250" s="1"/>
  <c r="X12" i="177"/>
  <c r="J12" i="177"/>
  <c r="AA12" i="250"/>
  <c r="AA13" i="250" s="1"/>
  <c r="AA16" i="250" s="1"/>
  <c r="AA20" i="250" s="1"/>
  <c r="AA71" i="250" s="1"/>
  <c r="M12" i="250"/>
  <c r="M13" i="250" s="1"/>
  <c r="M16" i="250" s="1"/>
  <c r="M20" i="250" s="1"/>
  <c r="M71" i="250" s="1"/>
  <c r="AK12" i="177"/>
  <c r="W12" i="177"/>
  <c r="I12" i="177"/>
  <c r="Z12" i="250"/>
  <c r="Z13" i="250" s="1"/>
  <c r="Z16" i="250" s="1"/>
  <c r="Z21" i="250" s="1"/>
  <c r="Z72" i="250" s="1"/>
  <c r="L12" i="250"/>
  <c r="L13" i="250" s="1"/>
  <c r="L16" i="250" s="1"/>
  <c r="L20" i="250" s="1"/>
  <c r="L71" i="250" s="1"/>
  <c r="AI12" i="177"/>
  <c r="U12" i="177"/>
  <c r="J12" i="250"/>
  <c r="J13" i="250" s="1"/>
  <c r="J16" i="250" s="1"/>
  <c r="AH12" i="177"/>
  <c r="T12" i="177"/>
  <c r="AK12" i="250"/>
  <c r="AK13" i="250" s="1"/>
  <c r="AK16" i="250" s="1"/>
  <c r="AK21" i="250" s="1"/>
  <c r="AK72" i="250" s="1"/>
  <c r="W12" i="250"/>
  <c r="W13" i="250" s="1"/>
  <c r="W16" i="250" s="1"/>
  <c r="W21" i="250" s="1"/>
  <c r="W72" i="250" s="1"/>
  <c r="I12" i="250"/>
  <c r="I13" i="250" s="1"/>
  <c r="I16" i="250" s="1"/>
  <c r="I21" i="250" s="1"/>
  <c r="I72" i="250" s="1"/>
  <c r="X12" i="250"/>
  <c r="X13" i="250" s="1"/>
  <c r="X16" i="250" s="1"/>
  <c r="X21" i="250" s="1"/>
  <c r="X72" i="250" s="1"/>
  <c r="AG12" i="177"/>
  <c r="AJ12" i="250"/>
  <c r="AJ13" i="250" s="1"/>
  <c r="AJ16" i="250" s="1"/>
  <c r="AJ21" i="250" s="1"/>
  <c r="AJ72" i="250" s="1"/>
  <c r="V12" i="250"/>
  <c r="H45" i="250"/>
  <c r="I45" i="250"/>
  <c r="H49" i="250"/>
  <c r="H62" i="250" s="1"/>
  <c r="H47" i="250"/>
  <c r="H54" i="250"/>
  <c r="H67" i="250" s="1"/>
  <c r="I47" i="250"/>
  <c r="H50" i="250"/>
  <c r="H63" i="250" s="1"/>
  <c r="I10" i="250" a="1"/>
  <c r="I10" i="250" s="1"/>
  <c r="J45" i="250"/>
  <c r="G40" i="250"/>
  <c r="J31" i="250"/>
  <c r="H51" i="250"/>
  <c r="H64" i="250" s="1"/>
  <c r="G51" i="250"/>
  <c r="G37" i="250"/>
  <c r="G42" i="250" s="1"/>
  <c r="G36" i="250"/>
  <c r="G41" i="250" s="1"/>
  <c r="H8" i="250"/>
  <c r="G20" i="250"/>
  <c r="H52" i="250"/>
  <c r="H65" i="250" s="1"/>
  <c r="I52" i="250"/>
  <c r="I65" i="250" s="1"/>
  <c r="H53" i="250"/>
  <c r="H66" i="250" s="1"/>
  <c r="BJ20" i="250" l="1"/>
  <c r="BJ71" i="250" s="1"/>
  <c r="BJ21" i="250"/>
  <c r="BJ72" i="250" s="1"/>
  <c r="AX20" i="250"/>
  <c r="AX71" i="250" s="1"/>
  <c r="AX21" i="250"/>
  <c r="AX72" i="250" s="1"/>
  <c r="AQ20" i="250"/>
  <c r="AQ71" i="250" s="1"/>
  <c r="AQ21" i="250"/>
  <c r="AQ72" i="250" s="1"/>
  <c r="BU21" i="250"/>
  <c r="BU72" i="250" s="1"/>
  <c r="BU20" i="250"/>
  <c r="BU71" i="250" s="1"/>
  <c r="BO21" i="250"/>
  <c r="BO72" i="250" s="1"/>
  <c r="BO20" i="250"/>
  <c r="BO71" i="250" s="1"/>
  <c r="AZ21" i="250"/>
  <c r="AZ72" i="250" s="1"/>
  <c r="AZ20" i="250"/>
  <c r="AV21" i="250"/>
  <c r="AV72" i="250" s="1"/>
  <c r="AV20" i="250"/>
  <c r="AV71" i="250" s="1"/>
  <c r="AP20" i="250"/>
  <c r="AP71" i="250" s="1"/>
  <c r="AP21" i="250"/>
  <c r="AP72" i="250" s="1"/>
  <c r="BQ21" i="250"/>
  <c r="BQ72" i="250" s="1"/>
  <c r="BQ20" i="250"/>
  <c r="BQ71" i="250" s="1"/>
  <c r="BE20" i="250"/>
  <c r="BE71" i="250" s="1"/>
  <c r="BE21" i="250"/>
  <c r="BE72" i="250" s="1"/>
  <c r="AY20" i="250"/>
  <c r="AY71" i="250" s="1"/>
  <c r="AY21" i="250"/>
  <c r="AY72" i="250" s="1"/>
  <c r="BH20" i="250"/>
  <c r="BH71" i="250" s="1"/>
  <c r="BH21" i="250"/>
  <c r="BH72" i="250" s="1"/>
  <c r="BA21" i="250"/>
  <c r="BA72" i="250" s="1"/>
  <c r="BA20" i="250"/>
  <c r="BA71" i="250" s="1"/>
  <c r="BK20" i="250"/>
  <c r="BK71" i="250" s="1"/>
  <c r="BK21" i="250"/>
  <c r="BK72" i="250" s="1"/>
  <c r="BI20" i="250"/>
  <c r="BI71" i="250" s="1"/>
  <c r="BI21" i="250"/>
  <c r="BI72" i="250" s="1"/>
  <c r="BB20" i="250"/>
  <c r="BB71" i="250" s="1"/>
  <c r="BB21" i="250"/>
  <c r="BB72" i="250" s="1"/>
  <c r="BL20" i="250"/>
  <c r="BL71" i="250" s="1"/>
  <c r="BL21" i="250"/>
  <c r="BL72" i="250" s="1"/>
  <c r="BS21" i="250"/>
  <c r="BS72" i="250" s="1"/>
  <c r="BS20" i="250"/>
  <c r="BS71" i="250" s="1"/>
  <c r="AT20" i="250"/>
  <c r="AT71" i="250" s="1"/>
  <c r="AT21" i="250"/>
  <c r="AT72" i="250" s="1"/>
  <c r="BM20" i="250"/>
  <c r="BM71" i="250" s="1"/>
  <c r="BM21" i="250"/>
  <c r="BM72" i="250" s="1"/>
  <c r="AW20" i="250"/>
  <c r="AW71" i="250" s="1"/>
  <c r="AW21" i="250"/>
  <c r="AW72" i="250" s="1"/>
  <c r="BC20" i="250"/>
  <c r="BC71" i="250" s="1"/>
  <c r="BC21" i="250"/>
  <c r="BC72" i="250" s="1"/>
  <c r="AN21" i="250"/>
  <c r="AN72" i="250" s="1"/>
  <c r="AN20" i="250"/>
  <c r="AN71" i="250" s="1"/>
  <c r="BF20" i="250"/>
  <c r="BF71" i="250" s="1"/>
  <c r="BF21" i="250"/>
  <c r="BF72" i="250" s="1"/>
  <c r="BT21" i="250"/>
  <c r="BT72" i="250" s="1"/>
  <c r="BT20" i="250"/>
  <c r="BT71" i="250" s="1"/>
  <c r="BN20" i="250"/>
  <c r="BN71" i="250" s="1"/>
  <c r="BN21" i="250"/>
  <c r="BN72" i="250" s="1"/>
  <c r="BR21" i="250"/>
  <c r="BR72" i="250" s="1"/>
  <c r="BR20" i="250"/>
  <c r="BR71" i="250" s="1"/>
  <c r="AL16" i="250"/>
  <c r="AS20" i="250"/>
  <c r="AS71" i="250" s="1"/>
  <c r="AS21" i="250"/>
  <c r="AS72" i="250" s="1"/>
  <c r="AM20" i="250"/>
  <c r="AM71" i="250" s="1"/>
  <c r="AM21" i="250"/>
  <c r="AM72" i="250" s="1"/>
  <c r="BG20" i="250"/>
  <c r="BG71" i="250" s="1"/>
  <c r="BG21" i="250"/>
  <c r="BG72" i="250" s="1"/>
  <c r="AU21" i="250"/>
  <c r="AU72" i="250" s="1"/>
  <c r="AU20" i="250"/>
  <c r="AU71" i="250" s="1"/>
  <c r="AO20" i="250"/>
  <c r="AO71" i="250" s="1"/>
  <c r="AO21" i="250"/>
  <c r="AO72" i="250" s="1"/>
  <c r="AM20" i="177"/>
  <c r="AM71" i="177" s="1"/>
  <c r="AZ20" i="177"/>
  <c r="AZ71" i="177" s="1"/>
  <c r="BH20" i="177"/>
  <c r="BH71" i="177" s="1"/>
  <c r="AL20" i="177"/>
  <c r="AL71" i="177" s="1"/>
  <c r="BG20" i="177"/>
  <c r="BG71" i="177" s="1"/>
  <c r="BM20" i="177"/>
  <c r="BM71" i="177" s="1"/>
  <c r="AY20" i="177"/>
  <c r="AY71" i="177" s="1"/>
  <c r="AO20" i="177"/>
  <c r="AO71" i="177" s="1"/>
  <c r="AW20" i="177"/>
  <c r="AW71" i="177" s="1"/>
  <c r="BD20" i="177"/>
  <c r="BD71" i="177" s="1"/>
  <c r="BB20" i="177"/>
  <c r="BB71" i="177" s="1"/>
  <c r="AT20" i="177"/>
  <c r="AT71" i="177" s="1"/>
  <c r="AP20" i="177"/>
  <c r="AP71" i="177" s="1"/>
  <c r="AU20" i="177"/>
  <c r="AU71" i="177" s="1"/>
  <c r="AN20" i="177"/>
  <c r="AN71" i="177" s="1"/>
  <c r="BJ20" i="177"/>
  <c r="BJ71" i="177" s="1"/>
  <c r="BN20" i="177"/>
  <c r="BN71" i="177" s="1"/>
  <c r="AX20" i="177"/>
  <c r="AX71" i="177" s="1"/>
  <c r="BK20" i="177"/>
  <c r="BK71" i="177" s="1"/>
  <c r="BI20" i="177"/>
  <c r="BI71" i="177" s="1"/>
  <c r="BO20" i="177"/>
  <c r="AV20" i="177"/>
  <c r="AV71" i="177" s="1"/>
  <c r="AR20" i="177"/>
  <c r="AR71" i="177" s="1"/>
  <c r="BE20" i="177"/>
  <c r="BE71" i="177" s="1"/>
  <c r="AQ20" i="177"/>
  <c r="AQ71" i="177" s="1"/>
  <c r="AS20" i="177"/>
  <c r="AS71" i="177" s="1"/>
  <c r="BL20" i="177"/>
  <c r="BL71" i="177" s="1"/>
  <c r="BC20" i="177"/>
  <c r="BC71" i="177" s="1"/>
  <c r="BF20" i="177"/>
  <c r="BF71" i="177" s="1"/>
  <c r="BA20" i="177"/>
  <c r="BA71" i="177" s="1"/>
  <c r="AH21" i="250"/>
  <c r="AH72" i="250" s="1"/>
  <c r="AH73" i="250" s="1"/>
  <c r="AI21" i="250"/>
  <c r="AI72" i="250" s="1"/>
  <c r="AI73" i="250" s="1"/>
  <c r="K36" i="251"/>
  <c r="K23" i="251"/>
  <c r="K25" i="251" s="1"/>
  <c r="F18" i="251"/>
  <c r="E18" i="251" s="1"/>
  <c r="K18" i="251" s="1"/>
  <c r="K20" i="251"/>
  <c r="K12" i="251"/>
  <c r="BG31" i="172"/>
  <c r="BG127" i="172"/>
  <c r="BG10" i="172"/>
  <c r="BA147" i="172"/>
  <c r="BG152" i="172"/>
  <c r="BG70" i="172"/>
  <c r="BG140" i="172"/>
  <c r="BG38" i="172"/>
  <c r="BB147" i="172"/>
  <c r="BG139" i="172"/>
  <c r="BG183" i="172"/>
  <c r="BG120" i="172"/>
  <c r="BG141" i="172"/>
  <c r="BE147" i="172"/>
  <c r="BG22" i="172"/>
  <c r="BG72" i="172"/>
  <c r="BG128" i="172"/>
  <c r="BG177" i="172"/>
  <c r="AX171" i="172"/>
  <c r="BG23" i="172"/>
  <c r="AV196" i="172"/>
  <c r="BG168" i="172"/>
  <c r="BA171" i="172"/>
  <c r="BG171" i="172" s="1"/>
  <c r="BG40" i="172"/>
  <c r="BG176" i="172"/>
  <c r="BG126" i="172"/>
  <c r="BG87" i="172"/>
  <c r="BG169" i="172"/>
  <c r="BG21" i="172"/>
  <c r="BC196" i="172"/>
  <c r="BD147" i="172"/>
  <c r="BG79" i="172"/>
  <c r="BG137" i="172"/>
  <c r="BG102" i="172"/>
  <c r="BF27" i="172"/>
  <c r="BG190" i="172"/>
  <c r="BE196" i="172"/>
  <c r="BG56" i="172"/>
  <c r="BF123" i="172"/>
  <c r="BG107" i="172"/>
  <c r="BC147" i="172"/>
  <c r="BG108" i="172"/>
  <c r="BG103" i="172"/>
  <c r="BG89" i="172"/>
  <c r="BG68" i="172"/>
  <c r="BG156" i="172"/>
  <c r="BD196" i="172"/>
  <c r="BG196" i="172" s="1"/>
  <c r="BG55" i="172"/>
  <c r="BG24" i="172"/>
  <c r="AV171" i="172"/>
  <c r="BA27" i="172"/>
  <c r="BG67" i="172"/>
  <c r="BE51" i="172"/>
  <c r="BG80" i="172"/>
  <c r="BG109" i="172"/>
  <c r="BG159" i="172"/>
  <c r="BF51" i="172"/>
  <c r="BG121" i="172"/>
  <c r="AX196" i="172"/>
  <c r="AZ147" i="172"/>
  <c r="BG36" i="172"/>
  <c r="BG8" i="172"/>
  <c r="BG39" i="172"/>
  <c r="BD123" i="172"/>
  <c r="BG155" i="172"/>
  <c r="BB196" i="172"/>
  <c r="BE27" i="172"/>
  <c r="BG6" i="172"/>
  <c r="BG19" i="172"/>
  <c r="BD171" i="172"/>
  <c r="BD75" i="172"/>
  <c r="AV75" i="172"/>
  <c r="BG142" i="172"/>
  <c r="BC27" i="172"/>
  <c r="BA123" i="172"/>
  <c r="BE123" i="172"/>
  <c r="BG175" i="172"/>
  <c r="BG58" i="172"/>
  <c r="BF75" i="172"/>
  <c r="BG188" i="172"/>
  <c r="BG129" i="172"/>
  <c r="BG110" i="172"/>
  <c r="BE75" i="172"/>
  <c r="BG37" i="172"/>
  <c r="BF147" i="172"/>
  <c r="BC51" i="172"/>
  <c r="BG57" i="172"/>
  <c r="BG189" i="172"/>
  <c r="BG69" i="172"/>
  <c r="AZ123" i="172"/>
  <c r="AV123" i="172"/>
  <c r="BG123" i="172" s="1"/>
  <c r="BG157" i="172"/>
  <c r="BG138" i="172"/>
  <c r="BG192" i="172"/>
  <c r="BF196" i="172"/>
  <c r="BG60" i="172"/>
  <c r="BG73" i="172"/>
  <c r="BA75" i="172"/>
  <c r="BG54" i="172"/>
  <c r="BE171" i="172"/>
  <c r="BG88" i="172"/>
  <c r="BG158" i="172"/>
  <c r="BD51" i="172"/>
  <c r="BG51" i="172" s="1"/>
  <c r="BG111" i="172"/>
  <c r="BG191" i="172"/>
  <c r="BG20" i="172"/>
  <c r="BG85" i="172"/>
  <c r="BF24" i="174"/>
  <c r="BF45" i="174"/>
  <c r="BF87" i="174"/>
  <c r="BF108" i="174"/>
  <c r="BF129" i="174"/>
  <c r="BF150" i="174"/>
  <c r="BF66" i="174"/>
  <c r="AN92" i="123"/>
  <c r="H21" i="250"/>
  <c r="H72" i="250" s="1"/>
  <c r="AG21" i="250"/>
  <c r="AG72" i="250" s="1"/>
  <c r="AG73" i="250" s="1"/>
  <c r="AB20" i="250"/>
  <c r="AB71" i="250" s="1"/>
  <c r="AB73" i="250" s="1"/>
  <c r="U20" i="250"/>
  <c r="U71" i="250" s="1"/>
  <c r="U73" i="250" s="1"/>
  <c r="R20" i="250"/>
  <c r="R71" i="250" s="1"/>
  <c r="R73" i="250" s="1"/>
  <c r="Q20" i="250"/>
  <c r="Q71" i="250" s="1"/>
  <c r="Q73" i="250" s="1"/>
  <c r="N21" i="250"/>
  <c r="N72" i="250" s="1"/>
  <c r="N73" i="250" s="1"/>
  <c r="AA21" i="250"/>
  <c r="AA72" i="250" s="1"/>
  <c r="AA73" i="250" s="1"/>
  <c r="O21" i="250"/>
  <c r="O72" i="250" s="1"/>
  <c r="O73" i="250" s="1"/>
  <c r="M21" i="250"/>
  <c r="M72" i="250" s="1"/>
  <c r="M73" i="250" s="1"/>
  <c r="I17" i="250"/>
  <c r="J17" i="250" s="1"/>
  <c r="AC21" i="250"/>
  <c r="AC72" i="250" s="1"/>
  <c r="AC73" i="250" s="1"/>
  <c r="AE20" i="250"/>
  <c r="AE71" i="250" s="1"/>
  <c r="AE73" i="250" s="1"/>
  <c r="L21" i="250"/>
  <c r="L72" i="250" s="1"/>
  <c r="L73" i="250" s="1"/>
  <c r="Y21" i="250"/>
  <c r="Y72" i="250" s="1"/>
  <c r="Y73" i="250" s="1"/>
  <c r="AD20" i="250"/>
  <c r="AD71" i="250" s="1"/>
  <c r="AD73" i="250" s="1"/>
  <c r="AK20" i="250"/>
  <c r="AK71" i="250" s="1"/>
  <c r="AK73" i="250" s="1"/>
  <c r="Z20" i="250"/>
  <c r="Z71" i="250" s="1"/>
  <c r="Z73" i="250" s="1"/>
  <c r="W20" i="250"/>
  <c r="W71" i="250" s="1"/>
  <c r="W73" i="250" s="1"/>
  <c r="I20" i="250"/>
  <c r="I71" i="250" s="1"/>
  <c r="AJ20" i="250"/>
  <c r="AJ71" i="250" s="1"/>
  <c r="AJ73" i="250" s="1"/>
  <c r="X20" i="250"/>
  <c r="X71" i="250" s="1"/>
  <c r="X73" i="250" s="1"/>
  <c r="I14" i="250"/>
  <c r="J14" i="250" s="1"/>
  <c r="K14" i="250" s="1"/>
  <c r="P20" i="250"/>
  <c r="P71" i="250" s="1"/>
  <c r="P73" i="250" s="1"/>
  <c r="S20" i="250"/>
  <c r="S71" i="250" s="1"/>
  <c r="S73" i="250" s="1"/>
  <c r="H35" i="250"/>
  <c r="I8" i="250"/>
  <c r="G43" i="250"/>
  <c r="J58" i="250"/>
  <c r="G38" i="250"/>
  <c r="I50" i="250"/>
  <c r="I63" i="250" s="1"/>
  <c r="I11" i="250"/>
  <c r="I51" i="250" s="1"/>
  <c r="I64" i="250" s="1"/>
  <c r="J10" i="250" a="1"/>
  <c r="J10" i="250" s="1"/>
  <c r="I54" i="250"/>
  <c r="I67" i="250" s="1"/>
  <c r="I49" i="250"/>
  <c r="I62" i="250" s="1"/>
  <c r="H58" i="250"/>
  <c r="J20" i="250"/>
  <c r="J71" i="250" s="1"/>
  <c r="J21" i="250"/>
  <c r="J72" i="250" s="1"/>
  <c r="I60" i="250"/>
  <c r="G64" i="250"/>
  <c r="G68" i="250" s="1"/>
  <c r="G55" i="250"/>
  <c r="G56" i="250" s="1"/>
  <c r="H55" i="250"/>
  <c r="H56" i="250" s="1"/>
  <c r="H60" i="250"/>
  <c r="H68" i="250" s="1"/>
  <c r="G71" i="250"/>
  <c r="G22" i="250"/>
  <c r="G23" i="250" s="1"/>
  <c r="I58" i="250"/>
  <c r="I53" i="250"/>
  <c r="I66" i="250" s="1"/>
  <c r="BF22" i="250" l="1"/>
  <c r="BM73" i="250"/>
  <c r="AT22" i="250"/>
  <c r="AT73" i="250"/>
  <c r="BO73" i="250"/>
  <c r="AM22" i="250"/>
  <c r="AX22" i="250"/>
  <c r="BR22" i="250"/>
  <c r="BB22" i="250"/>
  <c r="AY22" i="250"/>
  <c r="BR73" i="250"/>
  <c r="AW22" i="250"/>
  <c r="AY73" i="250"/>
  <c r="AU22" i="250"/>
  <c r="BU22" i="250"/>
  <c r="AU73" i="250"/>
  <c r="BN73" i="250"/>
  <c r="BI22" i="250"/>
  <c r="BU73" i="250"/>
  <c r="BA22" i="250"/>
  <c r="BS22" i="250"/>
  <c r="BA73" i="250"/>
  <c r="AV22" i="250"/>
  <c r="AS22" i="250"/>
  <c r="AN73" i="250"/>
  <c r="BS73" i="250"/>
  <c r="AV73" i="250"/>
  <c r="BJ22" i="250"/>
  <c r="BH22" i="250"/>
  <c r="BC22" i="250"/>
  <c r="AQ22" i="250"/>
  <c r="BL73" i="250"/>
  <c r="AO73" i="250"/>
  <c r="BT22" i="250"/>
  <c r="BT73" i="250"/>
  <c r="BQ73" i="250"/>
  <c r="BK73" i="250"/>
  <c r="AP22" i="250"/>
  <c r="BE73" i="250"/>
  <c r="BG22" i="250"/>
  <c r="BN22" i="250"/>
  <c r="BC73" i="250"/>
  <c r="BL22" i="250"/>
  <c r="BQ22" i="250"/>
  <c r="BG73" i="250"/>
  <c r="AW73" i="250"/>
  <c r="AP73" i="250"/>
  <c r="BH73" i="250"/>
  <c r="AM73" i="250"/>
  <c r="AZ22" i="250"/>
  <c r="AZ71" i="250"/>
  <c r="AZ73" i="250" s="1"/>
  <c r="AO22" i="250"/>
  <c r="AS73" i="250"/>
  <c r="BF73" i="250"/>
  <c r="BK22" i="250"/>
  <c r="AQ73" i="250"/>
  <c r="BB73" i="250"/>
  <c r="BM22" i="250"/>
  <c r="AX73" i="250"/>
  <c r="BI73" i="250"/>
  <c r="AL21" i="250"/>
  <c r="AL72" i="250" s="1"/>
  <c r="AL20" i="250"/>
  <c r="AL71" i="250" s="1"/>
  <c r="AN22" i="250"/>
  <c r="BE22" i="250"/>
  <c r="BO22" i="250"/>
  <c r="BJ73" i="250"/>
  <c r="AH22" i="250"/>
  <c r="BO71" i="177"/>
  <c r="G69" i="250"/>
  <c r="AI22" i="250"/>
  <c r="L22" i="250"/>
  <c r="H22" i="250"/>
  <c r="H23" i="250" s="1"/>
  <c r="AG22" i="250"/>
  <c r="BG75" i="172"/>
  <c r="BG27" i="172"/>
  <c r="BG147" i="172"/>
  <c r="AB22" i="250"/>
  <c r="AA22" i="250"/>
  <c r="U22" i="250"/>
  <c r="R22" i="250"/>
  <c r="H69" i="250"/>
  <c r="AC22" i="250"/>
  <c r="N22" i="250"/>
  <c r="X22" i="250"/>
  <c r="Q22" i="250"/>
  <c r="Y22" i="250"/>
  <c r="AK22" i="250"/>
  <c r="AE22" i="250"/>
  <c r="O22" i="250"/>
  <c r="Z22" i="250"/>
  <c r="I22" i="250"/>
  <c r="M22" i="250"/>
  <c r="AJ22" i="250"/>
  <c r="W22" i="250"/>
  <c r="AD22" i="250"/>
  <c r="P22" i="250"/>
  <c r="S22" i="250"/>
  <c r="J22" i="250"/>
  <c r="J49" i="250"/>
  <c r="J62" i="250" s="1"/>
  <c r="J54" i="250"/>
  <c r="J67" i="250" s="1"/>
  <c r="J50" i="250"/>
  <c r="J63" i="250" s="1"/>
  <c r="K10" i="250" a="1"/>
  <c r="K10" i="250" s="1"/>
  <c r="J53" i="250"/>
  <c r="J66" i="250" s="1"/>
  <c r="J11" i="250"/>
  <c r="J51" i="250" s="1"/>
  <c r="J64" i="250" s="1"/>
  <c r="J52" i="250"/>
  <c r="J65" i="250" s="1"/>
  <c r="J8" i="250"/>
  <c r="I35" i="250"/>
  <c r="I68" i="250"/>
  <c r="I69" i="250" s="1"/>
  <c r="I55" i="250"/>
  <c r="I56" i="250" s="1"/>
  <c r="L14" i="250"/>
  <c r="M14" i="250" s="1"/>
  <c r="N14" i="250" s="1"/>
  <c r="O14" i="250" s="1"/>
  <c r="P14" i="250" s="1"/>
  <c r="Q14" i="250" s="1"/>
  <c r="R14" i="250" s="1"/>
  <c r="S14" i="250" s="1"/>
  <c r="T14" i="250" s="1"/>
  <c r="U14" i="250" s="1"/>
  <c r="K16" i="250"/>
  <c r="K17" i="250" s="1"/>
  <c r="L17" i="250" s="1"/>
  <c r="M17" i="250" s="1"/>
  <c r="N17" i="250" s="1"/>
  <c r="O17" i="250" s="1"/>
  <c r="P17" i="250" s="1"/>
  <c r="Q17" i="250" s="1"/>
  <c r="R17" i="250" s="1"/>
  <c r="S17" i="250" s="1"/>
  <c r="T17" i="250" s="1"/>
  <c r="G24" i="250"/>
  <c r="H40" i="250"/>
  <c r="H43" i="250" s="1"/>
  <c r="H38" i="250"/>
  <c r="J47" i="250"/>
  <c r="AL73" i="250" l="1"/>
  <c r="AL22" i="250"/>
  <c r="H24" i="250"/>
  <c r="I23" i="250"/>
  <c r="J55" i="250"/>
  <c r="J56" i="250" s="1"/>
  <c r="J60" i="250"/>
  <c r="J68" i="250" s="1"/>
  <c r="K54" i="250"/>
  <c r="K67" i="250" s="1"/>
  <c r="K53" i="250"/>
  <c r="K66" i="250" s="1"/>
  <c r="L10" i="250" a="1"/>
  <c r="L10" i="250" s="1"/>
  <c r="K11" i="250"/>
  <c r="K51" i="250" s="1"/>
  <c r="K64" i="250" s="1"/>
  <c r="K52" i="250"/>
  <c r="K65" i="250" s="1"/>
  <c r="K50" i="250"/>
  <c r="K63" i="250" s="1"/>
  <c r="K49" i="250"/>
  <c r="K62" i="250" s="1"/>
  <c r="I40" i="250"/>
  <c r="I43" i="250" s="1"/>
  <c r="I38" i="250"/>
  <c r="J35" i="250"/>
  <c r="K8" i="250"/>
  <c r="T21" i="250"/>
  <c r="T72" i="250" s="1"/>
  <c r="U17" i="250"/>
  <c r="T20" i="250"/>
  <c r="K21" i="250"/>
  <c r="K72" i="250" s="1"/>
  <c r="K20" i="250"/>
  <c r="K71" i="250" s="1"/>
  <c r="K47" i="250"/>
  <c r="J69" i="250" l="1"/>
  <c r="K73" i="250"/>
  <c r="M83" i="243" s="1"/>
  <c r="M101" i="243" s="1"/>
  <c r="M113" i="243" s="1"/>
  <c r="K22" i="250"/>
  <c r="K55" i="250"/>
  <c r="K60" i="250"/>
  <c r="K68" i="250" s="1"/>
  <c r="L50" i="250"/>
  <c r="L63" i="250" s="1"/>
  <c r="L54" i="250"/>
  <c r="L67" i="250" s="1"/>
  <c r="L11" i="250"/>
  <c r="L51" i="250" s="1"/>
  <c r="L64" i="250" s="1"/>
  <c r="L53" i="250"/>
  <c r="L66" i="250" s="1"/>
  <c r="L49" i="250"/>
  <c r="L62" i="250" s="1"/>
  <c r="M10" i="250" a="1"/>
  <c r="M10" i="250" s="1"/>
  <c r="L52" i="250"/>
  <c r="L65" i="250" s="1"/>
  <c r="T71" i="250"/>
  <c r="T73" i="250" s="1"/>
  <c r="T22" i="250"/>
  <c r="L47" i="250"/>
  <c r="L8" i="250"/>
  <c r="K45" i="250"/>
  <c r="K35" i="250"/>
  <c r="I24" i="250"/>
  <c r="J23" i="250"/>
  <c r="J40" i="250"/>
  <c r="J43" i="250" s="1"/>
  <c r="J38" i="250"/>
  <c r="M141" i="243" l="1"/>
  <c r="L55" i="250"/>
  <c r="L60" i="250"/>
  <c r="L68" i="250" s="1"/>
  <c r="M54" i="250"/>
  <c r="M67" i="250" s="1"/>
  <c r="M50" i="250"/>
  <c r="M63" i="250" s="1"/>
  <c r="M49" i="250"/>
  <c r="M62" i="250" s="1"/>
  <c r="M11" i="250"/>
  <c r="M53" i="250"/>
  <c r="M66" i="250" s="1"/>
  <c r="N10" i="250" a="1"/>
  <c r="N10" i="250" s="1"/>
  <c r="M52" i="250"/>
  <c r="M65" i="250" s="1"/>
  <c r="J24" i="250"/>
  <c r="K23" i="250"/>
  <c r="M47" i="250"/>
  <c r="K40" i="250"/>
  <c r="K43" i="250" s="1"/>
  <c r="K38" i="250"/>
  <c r="K56" i="250"/>
  <c r="K58" i="250"/>
  <c r="L35" i="250"/>
  <c r="L45" i="250"/>
  <c r="M8" i="250"/>
  <c r="K69" i="250" l="1"/>
  <c r="N54" i="250"/>
  <c r="N67" i="250" s="1"/>
  <c r="N49" i="250"/>
  <c r="N62" i="250" s="1"/>
  <c r="N52" i="250"/>
  <c r="N65" i="250" s="1"/>
  <c r="N50" i="250"/>
  <c r="N63" i="250" s="1"/>
  <c r="O10" i="250" a="1"/>
  <c r="O10" i="250" s="1"/>
  <c r="N53" i="250"/>
  <c r="N66" i="250" s="1"/>
  <c r="M60" i="250"/>
  <c r="M68" i="250" s="1"/>
  <c r="K30" i="250"/>
  <c r="K26" i="250"/>
  <c r="L23" i="250"/>
  <c r="K24" i="250"/>
  <c r="M45" i="250"/>
  <c r="N8" i="250"/>
  <c r="M35" i="250"/>
  <c r="N11" i="250"/>
  <c r="M51" i="250"/>
  <c r="M64" i="250" s="1"/>
  <c r="L56" i="250"/>
  <c r="L58" i="250"/>
  <c r="L69" i="250" s="1"/>
  <c r="L38" i="250"/>
  <c r="L40" i="250"/>
  <c r="L43" i="250" s="1"/>
  <c r="N47" i="250"/>
  <c r="M55" i="250" l="1"/>
  <c r="M56" i="250" s="1"/>
  <c r="K31" i="250"/>
  <c r="L30" i="250" s="1"/>
  <c r="K27" i="250"/>
  <c r="L26" i="250" s="1"/>
  <c r="L27" i="250" s="1"/>
  <c r="M58" i="250"/>
  <c r="M23" i="250"/>
  <c r="L24" i="250"/>
  <c r="L28" i="250"/>
  <c r="L32" i="250"/>
  <c r="L33" i="250" s="1"/>
  <c r="O54" i="250"/>
  <c r="O67" i="250" s="1"/>
  <c r="O50" i="250"/>
  <c r="O63" i="250" s="1"/>
  <c r="O53" i="250"/>
  <c r="O66" i="250" s="1"/>
  <c r="O52" i="250"/>
  <c r="O65" i="250" s="1"/>
  <c r="O49" i="250"/>
  <c r="O62" i="250" s="1"/>
  <c r="P10" i="250" a="1"/>
  <c r="P10" i="250" s="1"/>
  <c r="O11" i="250"/>
  <c r="N51" i="250"/>
  <c r="N64" i="250" s="1"/>
  <c r="O47" i="250"/>
  <c r="N60" i="250"/>
  <c r="M40" i="250"/>
  <c r="M43" i="250" s="1"/>
  <c r="M38" i="250"/>
  <c r="N45" i="250"/>
  <c r="N35" i="250"/>
  <c r="O8" i="250"/>
  <c r="L31" i="250" l="1"/>
  <c r="M30" i="250" s="1"/>
  <c r="M31" i="250" s="1"/>
  <c r="M69" i="250"/>
  <c r="L75" i="250" s="1"/>
  <c r="L76" i="250" s="1"/>
  <c r="L29" i="250"/>
  <c r="M28" i="250" s="1"/>
  <c r="N55" i="250"/>
  <c r="N56" i="250" s="1"/>
  <c r="N68" i="250"/>
  <c r="O35" i="250"/>
  <c r="O45" i="250"/>
  <c r="P8" i="250"/>
  <c r="N58" i="250"/>
  <c r="O60" i="250"/>
  <c r="P11" i="250"/>
  <c r="P51" i="250" s="1"/>
  <c r="P64" i="250" s="1"/>
  <c r="O51" i="250"/>
  <c r="O64" i="250" s="1"/>
  <c r="P50" i="250"/>
  <c r="P63" i="250" s="1"/>
  <c r="P53" i="250"/>
  <c r="P66" i="250" s="1"/>
  <c r="P54" i="250"/>
  <c r="P67" i="250" s="1"/>
  <c r="P52" i="250"/>
  <c r="P65" i="250" s="1"/>
  <c r="P49" i="250"/>
  <c r="P62" i="250" s="1"/>
  <c r="Q10" i="250" a="1"/>
  <c r="Q10" i="250" s="1"/>
  <c r="Q47" i="250" s="1"/>
  <c r="N38" i="250"/>
  <c r="N40" i="250"/>
  <c r="N43" i="250" s="1"/>
  <c r="M26" i="250"/>
  <c r="M27" i="250" s="1"/>
  <c r="M24" i="250"/>
  <c r="M32" i="250"/>
  <c r="M33" i="250" s="1"/>
  <c r="N23" i="250"/>
  <c r="P47" i="250"/>
  <c r="N69" i="250" l="1"/>
  <c r="M29" i="250"/>
  <c r="N28" i="250" s="1"/>
  <c r="L77" i="250"/>
  <c r="O55" i="250"/>
  <c r="O56" i="250" s="1"/>
  <c r="O68" i="250"/>
  <c r="Q49" i="250"/>
  <c r="Q62" i="250" s="1"/>
  <c r="Q54" i="250"/>
  <c r="Q67" i="250" s="1"/>
  <c r="Q11" i="250"/>
  <c r="Q53" i="250"/>
  <c r="Q66" i="250" s="1"/>
  <c r="Q50" i="250"/>
  <c r="Q63" i="250" s="1"/>
  <c r="R10" i="250" a="1"/>
  <c r="R10" i="250" s="1"/>
  <c r="Q52" i="250"/>
  <c r="Q65" i="250" s="1"/>
  <c r="Q60" i="250"/>
  <c r="P35" i="250"/>
  <c r="P45" i="250"/>
  <c r="Q8" i="250"/>
  <c r="O40" i="250"/>
  <c r="O43" i="250" s="1"/>
  <c r="O38" i="250"/>
  <c r="O58" i="250"/>
  <c r="P55" i="250"/>
  <c r="P60" i="250"/>
  <c r="P68" i="250" s="1"/>
  <c r="O23" i="250"/>
  <c r="N26" i="250"/>
  <c r="N32" i="250"/>
  <c r="N33" i="250" s="1"/>
  <c r="N24" i="250"/>
  <c r="N30" i="250"/>
  <c r="N27" i="250" l="1"/>
  <c r="O26" i="250" s="1"/>
  <c r="O27" i="250" s="1"/>
  <c r="N29" i="250"/>
  <c r="O28" i="250" s="1"/>
  <c r="O29" i="250" s="1"/>
  <c r="N31" i="250"/>
  <c r="O30" i="250" s="1"/>
  <c r="L78" i="250"/>
  <c r="O69" i="250"/>
  <c r="R49" i="250"/>
  <c r="R62" i="250" s="1"/>
  <c r="R50" i="250"/>
  <c r="R63" i="250" s="1"/>
  <c r="S10" i="250" a="1"/>
  <c r="S10" i="250" s="1"/>
  <c r="M45" i="243" s="1"/>
  <c r="R54" i="250"/>
  <c r="R67" i="250" s="1"/>
  <c r="R53" i="250"/>
  <c r="R66" i="250" s="1"/>
  <c r="R52" i="250"/>
  <c r="R65" i="250" s="1"/>
  <c r="O24" i="250"/>
  <c r="P23" i="250"/>
  <c r="O32" i="250"/>
  <c r="O33" i="250" s="1"/>
  <c r="R11" i="250"/>
  <c r="Q51" i="250"/>
  <c r="Q64" i="250" s="1"/>
  <c r="Q68" i="250" s="1"/>
  <c r="P58" i="250"/>
  <c r="P56" i="250"/>
  <c r="R47" i="250"/>
  <c r="Q45" i="250"/>
  <c r="R8" i="250"/>
  <c r="Q35" i="250"/>
  <c r="P38" i="250"/>
  <c r="P40" i="250"/>
  <c r="P43" i="250" s="1"/>
  <c r="P69" i="250" l="1"/>
  <c r="N75" i="250" s="1"/>
  <c r="N77" i="250" s="1"/>
  <c r="O31" i="250"/>
  <c r="P30" i="250" s="1"/>
  <c r="V13" i="250"/>
  <c r="Q58" i="250"/>
  <c r="Q69" i="250" s="1"/>
  <c r="S54" i="250"/>
  <c r="S67" i="250" s="1"/>
  <c r="S50" i="250"/>
  <c r="S63" i="250" s="1"/>
  <c r="S53" i="250"/>
  <c r="S66" i="250" s="1"/>
  <c r="S52" i="250"/>
  <c r="S65" i="250" s="1"/>
  <c r="T10" i="250" a="1"/>
  <c r="T10" i="250" s="1"/>
  <c r="T47" i="250" s="1"/>
  <c r="S49" i="250"/>
  <c r="S62" i="250" s="1"/>
  <c r="R45" i="250"/>
  <c r="R35" i="250"/>
  <c r="S8" i="250"/>
  <c r="S9" i="250" s="1"/>
  <c r="M43" i="243" s="1"/>
  <c r="Q38" i="250"/>
  <c r="Q40" i="250"/>
  <c r="Q43" i="250" s="1"/>
  <c r="R60" i="250"/>
  <c r="S11" i="250"/>
  <c r="M46" i="243" s="1"/>
  <c r="R51" i="250"/>
  <c r="R64" i="250" s="1"/>
  <c r="Q55" i="250"/>
  <c r="Q56" i="250" s="1"/>
  <c r="S47" i="250"/>
  <c r="Q23" i="250"/>
  <c r="P26" i="250"/>
  <c r="P28" i="250"/>
  <c r="P29" i="250" s="1"/>
  <c r="P24" i="250"/>
  <c r="P32" i="250"/>
  <c r="P33" i="250" s="1"/>
  <c r="T37" i="250" l="1" a="1"/>
  <c r="T37" i="250" s="1"/>
  <c r="T42" i="250" s="1"/>
  <c r="T36" i="250" a="1"/>
  <c r="T36" i="250" s="1"/>
  <c r="T41" i="250" s="1"/>
  <c r="P27" i="250"/>
  <c r="Q26" i="250" s="1"/>
  <c r="Q27" i="250" s="1"/>
  <c r="P31" i="250"/>
  <c r="Q30" i="250" s="1"/>
  <c r="Q31" i="250" s="1"/>
  <c r="N78" i="250"/>
  <c r="V16" i="250"/>
  <c r="V14" i="250"/>
  <c r="W14" i="250" s="1"/>
  <c r="X14" i="250" s="1"/>
  <c r="Y14" i="250" s="1"/>
  <c r="Z14" i="250" s="1"/>
  <c r="AA14" i="250" s="1"/>
  <c r="AB14" i="250" s="1"/>
  <c r="AC14" i="250" s="1"/>
  <c r="AD14" i="250" s="1"/>
  <c r="AE14" i="250" s="1"/>
  <c r="AF14" i="250" s="1"/>
  <c r="AG14" i="250" s="1"/>
  <c r="AH14" i="250" s="1"/>
  <c r="AI14" i="250" s="1"/>
  <c r="AJ14" i="250" s="1"/>
  <c r="AK14" i="250" s="1"/>
  <c r="AL14" i="250" s="1"/>
  <c r="AM14" i="250" s="1"/>
  <c r="AN14" i="250" s="1"/>
  <c r="AO14" i="250" s="1"/>
  <c r="AP14" i="250" s="1"/>
  <c r="AQ14" i="250" s="1"/>
  <c r="AR14" i="250" s="1"/>
  <c r="AS14" i="250" s="1"/>
  <c r="AT14" i="250" s="1"/>
  <c r="AU14" i="250" s="1"/>
  <c r="AV14" i="250" s="1"/>
  <c r="AW14" i="250" s="1"/>
  <c r="AX14" i="250" s="1"/>
  <c r="AY14" i="250" s="1"/>
  <c r="AZ14" i="250" s="1"/>
  <c r="BA14" i="250" s="1"/>
  <c r="BB14" i="250" s="1"/>
  <c r="BC14" i="250" s="1"/>
  <c r="BD14" i="250" s="1"/>
  <c r="BE14" i="250" s="1"/>
  <c r="BF14" i="250" s="1"/>
  <c r="BG14" i="250" s="1"/>
  <c r="BH14" i="250" s="1"/>
  <c r="BI14" i="250" s="1"/>
  <c r="BJ14" i="250" s="1"/>
  <c r="BK14" i="250" s="1"/>
  <c r="BL14" i="250" s="1"/>
  <c r="BM14" i="250" s="1"/>
  <c r="BN14" i="250" s="1"/>
  <c r="BO14" i="250" s="1"/>
  <c r="BP14" i="250" s="1"/>
  <c r="BQ14" i="250" s="1"/>
  <c r="BR14" i="250" s="1"/>
  <c r="BS14" i="250" s="1"/>
  <c r="BT14" i="250" s="1"/>
  <c r="BU14" i="250" s="1"/>
  <c r="N76" i="250"/>
  <c r="R55" i="250"/>
  <c r="R56" i="250" s="1"/>
  <c r="R68" i="250"/>
  <c r="S60" i="250"/>
  <c r="T11" i="250"/>
  <c r="S51" i="250"/>
  <c r="S64" i="250" s="1"/>
  <c r="T50" i="250"/>
  <c r="T63" i="250" s="1"/>
  <c r="T54" i="250"/>
  <c r="T67" i="250" s="1"/>
  <c r="T53" i="250"/>
  <c r="T66" i="250" s="1"/>
  <c r="T49" i="250"/>
  <c r="T62" i="250" s="1"/>
  <c r="U10" i="250" a="1"/>
  <c r="U10" i="250" s="1"/>
  <c r="U47" i="250" s="1"/>
  <c r="T52" i="250"/>
  <c r="T65" i="250" s="1"/>
  <c r="R58" i="250"/>
  <c r="T60" i="250"/>
  <c r="Q24" i="250"/>
  <c r="R23" i="250"/>
  <c r="Q32" i="250"/>
  <c r="Q33" i="250" s="1"/>
  <c r="Q28" i="250"/>
  <c r="Q29" i="250" s="1"/>
  <c r="S35" i="250"/>
  <c r="T8" i="250"/>
  <c r="S45" i="250"/>
  <c r="R40" i="250"/>
  <c r="R43" i="250" s="1"/>
  <c r="R38" i="250"/>
  <c r="R69" i="250" l="1"/>
  <c r="V20" i="250"/>
  <c r="V71" i="250" s="1"/>
  <c r="V21" i="250"/>
  <c r="V72" i="250" s="1"/>
  <c r="V17" i="250"/>
  <c r="W17" i="250" s="1"/>
  <c r="X17" i="250" s="1"/>
  <c r="Y17" i="250" s="1"/>
  <c r="Z17" i="250" s="1"/>
  <c r="AA17" i="250" s="1"/>
  <c r="AB17" i="250" s="1"/>
  <c r="AC17" i="250" s="1"/>
  <c r="AD17" i="250" s="1"/>
  <c r="AE17" i="250" s="1"/>
  <c r="AF17" i="250" s="1"/>
  <c r="S68" i="250"/>
  <c r="M87" i="243" s="1"/>
  <c r="U60" i="250"/>
  <c r="S38" i="250"/>
  <c r="S40" i="250"/>
  <c r="S43" i="250" s="1"/>
  <c r="M85" i="243" s="1"/>
  <c r="M102" i="243" s="1"/>
  <c r="M114" i="243" s="1"/>
  <c r="M134" i="243" s="1"/>
  <c r="S23" i="250"/>
  <c r="M33" i="243" s="1"/>
  <c r="N74" i="243" s="1"/>
  <c r="R26" i="250"/>
  <c r="R27" i="250" s="1"/>
  <c r="R28" i="250"/>
  <c r="R32" i="250"/>
  <c r="R33" i="250" s="1"/>
  <c r="R24" i="250"/>
  <c r="R30" i="250"/>
  <c r="R31" i="250" s="1"/>
  <c r="U11" i="250"/>
  <c r="T51" i="250"/>
  <c r="T64" i="250" s="1"/>
  <c r="T68" i="250" s="1"/>
  <c r="S58" i="250"/>
  <c r="M86" i="243" s="1"/>
  <c r="M103" i="243" s="1"/>
  <c r="T45" i="250"/>
  <c r="U8" i="250"/>
  <c r="T35" i="250"/>
  <c r="U53" i="250"/>
  <c r="U66" i="250" s="1"/>
  <c r="U49" i="250"/>
  <c r="U62" i="250" s="1"/>
  <c r="U52" i="250"/>
  <c r="U65" i="250" s="1"/>
  <c r="V10" i="250" a="1"/>
  <c r="V10" i="250" s="1"/>
  <c r="V47" i="250" s="1"/>
  <c r="U54" i="250"/>
  <c r="U67" i="250" s="1"/>
  <c r="U50" i="250"/>
  <c r="U63" i="250" s="1"/>
  <c r="S55" i="250"/>
  <c r="S56" i="250" s="1"/>
  <c r="R29" i="250" l="1"/>
  <c r="S28" i="250" s="1"/>
  <c r="V73" i="250"/>
  <c r="AF21" i="250"/>
  <c r="AF72" i="250" s="1"/>
  <c r="AF20" i="250"/>
  <c r="AG17" i="250"/>
  <c r="AH17" i="250" s="1"/>
  <c r="AI17" i="250" s="1"/>
  <c r="AJ17" i="250" s="1"/>
  <c r="AK17" i="250" s="1"/>
  <c r="AL17" i="250" s="1"/>
  <c r="AM17" i="250" s="1"/>
  <c r="AN17" i="250" s="1"/>
  <c r="AO17" i="250" s="1"/>
  <c r="AP17" i="250" s="1"/>
  <c r="AQ17" i="250" s="1"/>
  <c r="AR17" i="250" s="1"/>
  <c r="V22" i="250"/>
  <c r="S69" i="250"/>
  <c r="Q75" i="250" s="1"/>
  <c r="Q76" i="250" s="1"/>
  <c r="T55" i="250"/>
  <c r="V60" i="250"/>
  <c r="U35" i="250"/>
  <c r="U45" i="250"/>
  <c r="V8" i="250"/>
  <c r="T58" i="250"/>
  <c r="V49" i="250"/>
  <c r="V62" i="250" s="1"/>
  <c r="V54" i="250"/>
  <c r="V67" i="250" s="1"/>
  <c r="V50" i="250"/>
  <c r="V63" i="250" s="1"/>
  <c r="W10" i="250" a="1"/>
  <c r="W10" i="250" s="1"/>
  <c r="V53" i="250"/>
  <c r="V66" i="250" s="1"/>
  <c r="V52" i="250"/>
  <c r="V65" i="250" s="1"/>
  <c r="T40" i="250"/>
  <c r="T43" i="250" s="1"/>
  <c r="T38" i="250"/>
  <c r="T23" i="250"/>
  <c r="S30" i="250"/>
  <c r="S24" i="250"/>
  <c r="S26" i="250"/>
  <c r="S32" i="250"/>
  <c r="S33" i="250" s="1"/>
  <c r="M34" i="243" s="1"/>
  <c r="V11" i="250"/>
  <c r="U51" i="250"/>
  <c r="U64" i="250" s="1"/>
  <c r="U68" i="250" s="1"/>
  <c r="AS17" i="250" l="1"/>
  <c r="AT17" i="250" s="1"/>
  <c r="AU17" i="250" s="1"/>
  <c r="AV17" i="250" s="1"/>
  <c r="AW17" i="250" s="1"/>
  <c r="AX17" i="250" s="1"/>
  <c r="AY17" i="250" s="1"/>
  <c r="AZ17" i="250" s="1"/>
  <c r="BA17" i="250" s="1"/>
  <c r="BB17" i="250" s="1"/>
  <c r="BC17" i="250" s="1"/>
  <c r="BD17" i="250" s="1"/>
  <c r="AR20" i="250"/>
  <c r="AR21" i="250"/>
  <c r="AR72" i="250" s="1"/>
  <c r="N83" i="243"/>
  <c r="N101" i="243" s="1"/>
  <c r="N113" i="243" s="1"/>
  <c r="S29" i="250"/>
  <c r="T28" i="250" s="1"/>
  <c r="M129" i="243"/>
  <c r="T56" i="250"/>
  <c r="S27" i="250"/>
  <c r="M127" i="243"/>
  <c r="S31" i="250"/>
  <c r="T30" i="250" s="1"/>
  <c r="M128" i="243"/>
  <c r="T69" i="250"/>
  <c r="Q77" i="250"/>
  <c r="AF71" i="250"/>
  <c r="AF73" i="250" s="1"/>
  <c r="O83" i="243" s="1"/>
  <c r="O101" i="243" s="1"/>
  <c r="O113" i="243" s="1"/>
  <c r="AF22" i="250"/>
  <c r="U55" i="250"/>
  <c r="U56" i="250" s="1"/>
  <c r="U23" i="250"/>
  <c r="T32" i="250"/>
  <c r="T33" i="250" s="1"/>
  <c r="T24" i="250"/>
  <c r="V35" i="250"/>
  <c r="W8" i="250"/>
  <c r="V45" i="250"/>
  <c r="U38" i="250"/>
  <c r="U40" i="250"/>
  <c r="U43" i="250" s="1"/>
  <c r="W11" i="250"/>
  <c r="V51" i="250"/>
  <c r="V64" i="250" s="1"/>
  <c r="V68" i="250" s="1"/>
  <c r="W49" i="250"/>
  <c r="W62" i="250" s="1"/>
  <c r="W50" i="250"/>
  <c r="W63" i="250" s="1"/>
  <c r="W53" i="250"/>
  <c r="W66" i="250" s="1"/>
  <c r="W54" i="250"/>
  <c r="W67" i="250" s="1"/>
  <c r="X10" i="250" a="1"/>
  <c r="X10" i="250" s="1"/>
  <c r="X47" i="250" s="1"/>
  <c r="W52" i="250"/>
  <c r="W65" i="250" s="1"/>
  <c r="U58" i="250"/>
  <c r="U69" i="250" s="1"/>
  <c r="W47" i="250"/>
  <c r="O141" i="243" l="1"/>
  <c r="N141" i="243"/>
  <c r="AR71" i="250"/>
  <c r="AR73" i="250" s="1"/>
  <c r="AR22" i="250"/>
  <c r="BE17" i="250"/>
  <c r="BF17" i="250" s="1"/>
  <c r="BG17" i="250" s="1"/>
  <c r="BH17" i="250" s="1"/>
  <c r="BI17" i="250" s="1"/>
  <c r="BJ17" i="250" s="1"/>
  <c r="BK17" i="250" s="1"/>
  <c r="BL17" i="250" s="1"/>
  <c r="BM17" i="250" s="1"/>
  <c r="BN17" i="250" s="1"/>
  <c r="BO17" i="250" s="1"/>
  <c r="BP17" i="250" s="1"/>
  <c r="BD20" i="250"/>
  <c r="BD21" i="250"/>
  <c r="BD72" i="250" s="1"/>
  <c r="M130" i="243"/>
  <c r="M35" i="243"/>
  <c r="T31" i="250"/>
  <c r="U30" i="250" s="1"/>
  <c r="U31" i="250" s="1"/>
  <c r="Q78" i="250"/>
  <c r="M88" i="243"/>
  <c r="T26" i="250"/>
  <c r="T29" i="250"/>
  <c r="U28" i="250" s="1"/>
  <c r="U29" i="250" s="1"/>
  <c r="V55" i="250"/>
  <c r="X60" i="250"/>
  <c r="V40" i="250"/>
  <c r="V43" i="250" s="1"/>
  <c r="V38" i="250"/>
  <c r="V58" i="250"/>
  <c r="W35" i="250"/>
  <c r="X8" i="250"/>
  <c r="W45" i="250"/>
  <c r="V23" i="250"/>
  <c r="U32" i="250"/>
  <c r="U33" i="250" s="1"/>
  <c r="U24" i="250"/>
  <c r="W60" i="250"/>
  <c r="X49" i="250"/>
  <c r="X62" i="250" s="1"/>
  <c r="X54" i="250"/>
  <c r="X67" i="250" s="1"/>
  <c r="X52" i="250"/>
  <c r="X65" i="250" s="1"/>
  <c r="X50" i="250"/>
  <c r="X63" i="250" s="1"/>
  <c r="Y10" i="250" a="1"/>
  <c r="Y10" i="250" s="1"/>
  <c r="X53" i="250"/>
  <c r="X66" i="250" s="1"/>
  <c r="X11" i="250"/>
  <c r="W51" i="250"/>
  <c r="W64" i="250" s="1"/>
  <c r="M84" i="243" l="1"/>
  <c r="M89" i="243" s="1"/>
  <c r="M90" i="243" s="1"/>
  <c r="M36" i="243"/>
  <c r="O74" i="243"/>
  <c r="P74" i="243" s="1"/>
  <c r="BD71" i="250"/>
  <c r="BD73" i="250" s="1"/>
  <c r="BD22" i="250"/>
  <c r="BQ17" i="250"/>
  <c r="BR17" i="250" s="1"/>
  <c r="BS17" i="250" s="1"/>
  <c r="BT17" i="250" s="1"/>
  <c r="BU17" i="250" s="1"/>
  <c r="BP21" i="250"/>
  <c r="BP72" i="250" s="1"/>
  <c r="BP20" i="250"/>
  <c r="T27" i="250"/>
  <c r="U26" i="250" s="1"/>
  <c r="U27" i="250" s="1"/>
  <c r="V26" i="250" s="1"/>
  <c r="V27" i="250" s="1"/>
  <c r="V69" i="250"/>
  <c r="T75" i="250" s="1"/>
  <c r="V56" i="250"/>
  <c r="W55" i="250"/>
  <c r="W56" i="250" s="1"/>
  <c r="W68" i="250"/>
  <c r="X45" i="250"/>
  <c r="X35" i="250"/>
  <c r="Y8" i="250"/>
  <c r="W58" i="250"/>
  <c r="Y54" i="250"/>
  <c r="Y67" i="250" s="1"/>
  <c r="Y49" i="250"/>
  <c r="Y62" i="250" s="1"/>
  <c r="Y53" i="250"/>
  <c r="Y66" i="250" s="1"/>
  <c r="Z10" i="250" a="1"/>
  <c r="Z10" i="250" s="1"/>
  <c r="Z47" i="250" s="1"/>
  <c r="Y50" i="250"/>
  <c r="Y63" i="250" s="1"/>
  <c r="Y52" i="250"/>
  <c r="Y65" i="250" s="1"/>
  <c r="Y47" i="250"/>
  <c r="Y11" i="250"/>
  <c r="X51" i="250"/>
  <c r="X64" i="250" s="1"/>
  <c r="X68" i="250" s="1"/>
  <c r="W40" i="250"/>
  <c r="W43" i="250" s="1"/>
  <c r="W38" i="250"/>
  <c r="V28" i="250"/>
  <c r="V32" i="250"/>
  <c r="V33" i="250" s="1"/>
  <c r="V24" i="250"/>
  <c r="V30" i="250"/>
  <c r="V31" i="250" s="1"/>
  <c r="W23" i="250"/>
  <c r="BP71" i="250" l="1"/>
  <c r="BP73" i="250" s="1"/>
  <c r="BP22" i="250"/>
  <c r="V29" i="250"/>
  <c r="W28" i="250" s="1"/>
  <c r="W29" i="250" s="1"/>
  <c r="W69" i="250"/>
  <c r="X55" i="250"/>
  <c r="X56" i="250" s="1"/>
  <c r="Z60" i="250"/>
  <c r="T76" i="250"/>
  <c r="T77" i="250"/>
  <c r="Z50" i="250"/>
  <c r="Z63" i="250" s="1"/>
  <c r="Z54" i="250"/>
  <c r="Z67" i="250" s="1"/>
  <c r="Z49" i="250"/>
  <c r="Z62" i="250" s="1"/>
  <c r="AA10" i="250" a="1"/>
  <c r="AA10" i="250" s="1"/>
  <c r="AA47" i="250" s="1"/>
  <c r="Z52" i="250"/>
  <c r="Z65" i="250" s="1"/>
  <c r="Z53" i="250"/>
  <c r="Z66" i="250" s="1"/>
  <c r="Z8" i="250"/>
  <c r="Y45" i="250"/>
  <c r="Y35" i="250"/>
  <c r="Y60" i="250"/>
  <c r="X38" i="250"/>
  <c r="X40" i="250"/>
  <c r="X43" i="250" s="1"/>
  <c r="Z11" i="250"/>
  <c r="Y51" i="250"/>
  <c r="Y64" i="250" s="1"/>
  <c r="W24" i="250"/>
  <c r="W30" i="250"/>
  <c r="W32" i="250"/>
  <c r="W33" i="250" s="1"/>
  <c r="X23" i="250"/>
  <c r="W26" i="250"/>
  <c r="X58" i="250"/>
  <c r="X69" i="250" s="1"/>
  <c r="W27" i="250" l="1"/>
  <c r="X26" i="250" s="1"/>
  <c r="X27" i="250" s="1"/>
  <c r="W31" i="250"/>
  <c r="X30" i="250" s="1"/>
  <c r="X31" i="250" s="1"/>
  <c r="T78" i="250"/>
  <c r="AA60" i="250"/>
  <c r="AA11" i="250"/>
  <c r="Z51" i="250"/>
  <c r="Z64" i="250" s="1"/>
  <c r="Z68" i="250" s="1"/>
  <c r="Y55" i="250"/>
  <c r="Y56" i="250" s="1"/>
  <c r="Y68" i="250"/>
  <c r="Y58" i="250"/>
  <c r="X24" i="250"/>
  <c r="Y23" i="250"/>
  <c r="X32" i="250"/>
  <c r="X33" i="250" s="1"/>
  <c r="X28" i="250"/>
  <c r="X29" i="250" s="1"/>
  <c r="Z45" i="250"/>
  <c r="Z35" i="250"/>
  <c r="AA8" i="250"/>
  <c r="AA49" i="250"/>
  <c r="AA62" i="250" s="1"/>
  <c r="AA54" i="250"/>
  <c r="AA67" i="250" s="1"/>
  <c r="AA52" i="250"/>
  <c r="AA65" i="250" s="1"/>
  <c r="AA53" i="250"/>
  <c r="AA66" i="250" s="1"/>
  <c r="AB10" i="250" a="1"/>
  <c r="AB10" i="250" s="1"/>
  <c r="AB47" i="250" s="1"/>
  <c r="AA50" i="250"/>
  <c r="AA63" i="250" s="1"/>
  <c r="Y38" i="250"/>
  <c r="Y40" i="250"/>
  <c r="Y43" i="250" s="1"/>
  <c r="Y69" i="250" l="1"/>
  <c r="W75" i="250" s="1"/>
  <c r="W76" i="250" s="1"/>
  <c r="AB60" i="250"/>
  <c r="AA35" i="250"/>
  <c r="AB8" i="250"/>
  <c r="AA45" i="250"/>
  <c r="AB11" i="250"/>
  <c r="AA51" i="250"/>
  <c r="AA64" i="250" s="1"/>
  <c r="AA68" i="250" s="1"/>
  <c r="Z55" i="250"/>
  <c r="Z56" i="250" s="1"/>
  <c r="Z58" i="250"/>
  <c r="Z38" i="250"/>
  <c r="Z40" i="250"/>
  <c r="Z43" i="250" s="1"/>
  <c r="AB54" i="250"/>
  <c r="AB67" i="250" s="1"/>
  <c r="AB49" i="250"/>
  <c r="AB62" i="250" s="1"/>
  <c r="AB50" i="250"/>
  <c r="AB63" i="250" s="1"/>
  <c r="AB52" i="250"/>
  <c r="AB65" i="250" s="1"/>
  <c r="AC10" i="250" a="1"/>
  <c r="AC10" i="250" s="1"/>
  <c r="AB53" i="250"/>
  <c r="AB66" i="250" s="1"/>
  <c r="Y24" i="250"/>
  <c r="Y28" i="250"/>
  <c r="Y26" i="250"/>
  <c r="Y27" i="250" s="1"/>
  <c r="Z23" i="250"/>
  <c r="Y30" i="250"/>
  <c r="Y31" i="250" s="1"/>
  <c r="Y32" i="250"/>
  <c r="Y33" i="250" s="1"/>
  <c r="Z69" i="250" l="1"/>
  <c r="Y29" i="250"/>
  <c r="Z28" i="250" s="1"/>
  <c r="W77" i="250"/>
  <c r="AC54" i="250"/>
  <c r="AC67" i="250" s="1"/>
  <c r="AC49" i="250"/>
  <c r="AC62" i="250" s="1"/>
  <c r="AC53" i="250"/>
  <c r="AC66" i="250" s="1"/>
  <c r="AD10" i="250" a="1"/>
  <c r="AD10" i="250" s="1"/>
  <c r="AC50" i="250"/>
  <c r="AC63" i="250" s="1"/>
  <c r="AC52" i="250"/>
  <c r="AC65" i="250" s="1"/>
  <c r="AC11" i="250"/>
  <c r="AB51" i="250"/>
  <c r="AB64" i="250" s="1"/>
  <c r="AB68" i="250" s="1"/>
  <c r="AC47" i="250"/>
  <c r="AA58" i="250"/>
  <c r="AB45" i="250"/>
  <c r="AC8" i="250"/>
  <c r="AB35" i="250"/>
  <c r="AA40" i="250"/>
  <c r="AA43" i="250" s="1"/>
  <c r="AA38" i="250"/>
  <c r="Z24" i="250"/>
  <c r="AA23" i="250"/>
  <c r="Z26" i="250"/>
  <c r="Z30" i="250"/>
  <c r="Z32" i="250"/>
  <c r="Z33" i="250" s="1"/>
  <c r="AA55" i="250"/>
  <c r="AA56" i="250" l="1"/>
  <c r="AA69" i="250"/>
  <c r="Z31" i="250"/>
  <c r="AA30" i="250" s="1"/>
  <c r="Z27" i="250"/>
  <c r="AA26" i="250" s="1"/>
  <c r="Z29" i="250"/>
  <c r="AA28" i="250" s="1"/>
  <c r="W78" i="250"/>
  <c r="AB55" i="250"/>
  <c r="AB56" i="250" s="1"/>
  <c r="AA32" i="250"/>
  <c r="AA33" i="250" s="1"/>
  <c r="AA24" i="250"/>
  <c r="AB23" i="250"/>
  <c r="AB58" i="250"/>
  <c r="AB69" i="250" s="1"/>
  <c r="AC60" i="250"/>
  <c r="AD11" i="250"/>
  <c r="AC51" i="250"/>
  <c r="AC64" i="250" s="1"/>
  <c r="AD50" i="250"/>
  <c r="AD63" i="250" s="1"/>
  <c r="AE10" i="250" a="1"/>
  <c r="AE10" i="250" s="1"/>
  <c r="AD54" i="250"/>
  <c r="AD67" i="250" s="1"/>
  <c r="AD49" i="250"/>
  <c r="AD62" i="250" s="1"/>
  <c r="AD53" i="250"/>
  <c r="AD66" i="250" s="1"/>
  <c r="AD52" i="250"/>
  <c r="AD65" i="250" s="1"/>
  <c r="AD47" i="250"/>
  <c r="AB40" i="250"/>
  <c r="AB43" i="250" s="1"/>
  <c r="AB38" i="250"/>
  <c r="AC35" i="250"/>
  <c r="AC45" i="250"/>
  <c r="AD8" i="250"/>
  <c r="AA31" i="250" l="1"/>
  <c r="AB30" i="250" s="1"/>
  <c r="AA27" i="250"/>
  <c r="AB26" i="250" s="1"/>
  <c r="AB27" i="250" s="1"/>
  <c r="AA29" i="250"/>
  <c r="AB28" i="250" s="1"/>
  <c r="AB29" i="250" s="1"/>
  <c r="M53" i="243"/>
  <c r="AC55" i="250"/>
  <c r="AC68" i="250"/>
  <c r="Z75" i="250"/>
  <c r="Z76" i="250" s="1"/>
  <c r="AC58" i="250"/>
  <c r="AC38" i="250"/>
  <c r="AC40" i="250"/>
  <c r="AC43" i="250" s="1"/>
  <c r="AD60" i="250"/>
  <c r="AB24" i="250"/>
  <c r="AC23" i="250"/>
  <c r="AB32" i="250"/>
  <c r="AB33" i="250" s="1"/>
  <c r="AE54" i="250"/>
  <c r="AE67" i="250" s="1"/>
  <c r="AE50" i="250"/>
  <c r="AE63" i="250" s="1"/>
  <c r="AF10" i="250" a="1"/>
  <c r="AF10" i="250" s="1"/>
  <c r="AE49" i="250"/>
  <c r="AE62" i="250" s="1"/>
  <c r="AE53" i="250"/>
  <c r="AE66" i="250" s="1"/>
  <c r="AE52" i="250"/>
  <c r="AE65" i="250" s="1"/>
  <c r="AE47" i="250"/>
  <c r="AD35" i="250"/>
  <c r="AD45" i="250"/>
  <c r="AE8" i="250"/>
  <c r="AE9" i="250" s="1"/>
  <c r="AE11" i="250"/>
  <c r="AD51" i="250"/>
  <c r="AD64" i="250" s="1"/>
  <c r="M51" i="243" l="1"/>
  <c r="AF36" i="250" a="1"/>
  <c r="AF36" i="250" s="1"/>
  <c r="AF41" i="250" s="1"/>
  <c r="AF37" i="250" a="1"/>
  <c r="AF37" i="250" s="1"/>
  <c r="AF42" i="250" s="1"/>
  <c r="AB31" i="250"/>
  <c r="AC30" i="250" s="1"/>
  <c r="AC31" i="250" s="1"/>
  <c r="AC56" i="250"/>
  <c r="M54" i="243"/>
  <c r="AC69" i="250"/>
  <c r="AD68" i="250"/>
  <c r="AD55" i="250"/>
  <c r="AD56" i="250" s="1"/>
  <c r="Z77" i="250"/>
  <c r="AD58" i="250"/>
  <c r="AD38" i="250"/>
  <c r="AD40" i="250"/>
  <c r="AD43" i="250" s="1"/>
  <c r="AE60" i="250"/>
  <c r="AF49" i="250"/>
  <c r="AF62" i="250" s="1"/>
  <c r="AF54" i="250"/>
  <c r="AF67" i="250" s="1"/>
  <c r="AF50" i="250"/>
  <c r="AF63" i="250" s="1"/>
  <c r="AG10" i="250" a="1"/>
  <c r="AG10" i="250" s="1"/>
  <c r="AF53" i="250"/>
  <c r="AF66" i="250" s="1"/>
  <c r="AF52" i="250"/>
  <c r="AF65" i="250" s="1"/>
  <c r="AF47" i="250"/>
  <c r="AF11" i="250"/>
  <c r="AE51" i="250"/>
  <c r="AE64" i="250" s="1"/>
  <c r="AE35" i="250"/>
  <c r="AE45" i="250"/>
  <c r="AF8" i="250"/>
  <c r="AC26" i="250"/>
  <c r="AC27" i="250" s="1"/>
  <c r="AC28" i="250"/>
  <c r="AC29" i="250" s="1"/>
  <c r="AD23" i="250"/>
  <c r="AC32" i="250"/>
  <c r="AC33" i="250" s="1"/>
  <c r="AC24" i="250"/>
  <c r="Z78" i="250" l="1"/>
  <c r="AD69" i="250"/>
  <c r="AE55" i="250"/>
  <c r="AG54" i="250"/>
  <c r="AG67" i="250" s="1"/>
  <c r="AG50" i="250"/>
  <c r="AG63" i="250" s="1"/>
  <c r="AG49" i="250"/>
  <c r="AG62" i="250" s="1"/>
  <c r="AH10" i="250" a="1"/>
  <c r="AH10" i="250" s="1"/>
  <c r="AG53" i="250"/>
  <c r="AG66" i="250" s="1"/>
  <c r="AG52" i="250"/>
  <c r="AG65" i="250" s="1"/>
  <c r="AF35" i="250"/>
  <c r="AF45" i="250"/>
  <c r="AG8" i="250"/>
  <c r="AG47" i="250"/>
  <c r="AE58" i="250"/>
  <c r="N86" i="243" s="1"/>
  <c r="AE38" i="250"/>
  <c r="AE40" i="250"/>
  <c r="AE43" i="250" s="1"/>
  <c r="N85" i="243" s="1"/>
  <c r="AE68" i="250"/>
  <c r="AG11" i="250"/>
  <c r="AF51" i="250"/>
  <c r="AF64" i="250" s="1"/>
  <c r="AF60" i="250"/>
  <c r="AD26" i="250"/>
  <c r="AD27" i="250" s="1"/>
  <c r="AD24" i="250"/>
  <c r="AE23" i="250"/>
  <c r="N33" i="243" s="1"/>
  <c r="N75" i="243" s="1"/>
  <c r="AD30" i="250"/>
  <c r="AD31" i="250" s="1"/>
  <c r="AD28" i="250"/>
  <c r="AD32" i="250"/>
  <c r="AD33" i="250" s="1"/>
  <c r="P85" i="243" l="1"/>
  <c r="N102" i="243"/>
  <c r="N114" i="243" s="1"/>
  <c r="N134" i="243" s="1"/>
  <c r="P86" i="243"/>
  <c r="N103" i="243"/>
  <c r="AD29" i="250"/>
  <c r="AE28" i="250" s="1"/>
  <c r="AE56" i="250"/>
  <c r="N87" i="243"/>
  <c r="P87" i="243" s="1"/>
  <c r="AF55" i="250"/>
  <c r="AF68" i="250"/>
  <c r="AF40" i="250"/>
  <c r="AF43" i="250" s="1"/>
  <c r="AF38" i="250"/>
  <c r="AH11" i="250"/>
  <c r="AG51" i="250"/>
  <c r="AG64" i="250" s="1"/>
  <c r="AE69" i="250"/>
  <c r="AC75" i="250" s="1"/>
  <c r="AE24" i="250"/>
  <c r="AE26" i="250"/>
  <c r="AE32" i="250"/>
  <c r="AE33" i="250" s="1"/>
  <c r="N34" i="243" s="1"/>
  <c r="AF23" i="250"/>
  <c r="AE30" i="250"/>
  <c r="AG35" i="250"/>
  <c r="AG45" i="250"/>
  <c r="AH8" i="250"/>
  <c r="AF58" i="250"/>
  <c r="AH50" i="250"/>
  <c r="AH63" i="250" s="1"/>
  <c r="AH54" i="250"/>
  <c r="AH67" i="250" s="1"/>
  <c r="AH53" i="250"/>
  <c r="AH66" i="250" s="1"/>
  <c r="AH49" i="250"/>
  <c r="AH62" i="250" s="1"/>
  <c r="AI10" i="250" a="1"/>
  <c r="AI10" i="250" s="1"/>
  <c r="AH52" i="250"/>
  <c r="AH65" i="250" s="1"/>
  <c r="AH47" i="250"/>
  <c r="AG60" i="250"/>
  <c r="AF56" i="250" l="1"/>
  <c r="AE27" i="250"/>
  <c r="AF26" i="250" s="1"/>
  <c r="N127" i="243"/>
  <c r="AE29" i="250"/>
  <c r="AF28" i="250" s="1"/>
  <c r="N129" i="243"/>
  <c r="AE31" i="250"/>
  <c r="AF30" i="250" s="1"/>
  <c r="N128" i="243"/>
  <c r="AF69" i="250"/>
  <c r="AC76" i="250"/>
  <c r="AC77" i="250"/>
  <c r="AI49" i="250"/>
  <c r="AI62" i="250" s="1"/>
  <c r="AJ10" i="250" a="1"/>
  <c r="AJ10" i="250" s="1"/>
  <c r="AJ47" i="250" s="1"/>
  <c r="AI53" i="250"/>
  <c r="AI66" i="250" s="1"/>
  <c r="AI50" i="250"/>
  <c r="AI63" i="250" s="1"/>
  <c r="AI54" i="250"/>
  <c r="AI67" i="250" s="1"/>
  <c r="AI52" i="250"/>
  <c r="AI65" i="250" s="1"/>
  <c r="AG58" i="250"/>
  <c r="AI47" i="250"/>
  <c r="AH45" i="250"/>
  <c r="AH35" i="250"/>
  <c r="AI8" i="250"/>
  <c r="AG55" i="250"/>
  <c r="AG56" i="250" s="1"/>
  <c r="AG68" i="250"/>
  <c r="AI11" i="250"/>
  <c r="AH51" i="250"/>
  <c r="AH64" i="250" s="1"/>
  <c r="AG38" i="250"/>
  <c r="AG40" i="250"/>
  <c r="AG43" i="250" s="1"/>
  <c r="AH60" i="250"/>
  <c r="AF24" i="250"/>
  <c r="AG23" i="250"/>
  <c r="AF32" i="250"/>
  <c r="AF33" i="250" s="1"/>
  <c r="AF31" i="250" l="1"/>
  <c r="AG30" i="250" s="1"/>
  <c r="AG31" i="250" s="1"/>
  <c r="AF29" i="250"/>
  <c r="AG28" i="250" s="1"/>
  <c r="N130" i="243"/>
  <c r="AF27" i="250"/>
  <c r="AG26" i="250" s="1"/>
  <c r="AG27" i="250" s="1"/>
  <c r="N35" i="243"/>
  <c r="AC78" i="250"/>
  <c r="N88" i="243"/>
  <c r="P88" i="243" s="1"/>
  <c r="AG69" i="250"/>
  <c r="AH55" i="250"/>
  <c r="AH56" i="250" s="1"/>
  <c r="AH68" i="250"/>
  <c r="AJ11" i="250"/>
  <c r="AI51" i="250"/>
  <c r="AI64" i="250" s="1"/>
  <c r="AJ49" i="250"/>
  <c r="AJ62" i="250" s="1"/>
  <c r="AJ54" i="250"/>
  <c r="AJ67" i="250" s="1"/>
  <c r="AJ50" i="250"/>
  <c r="AJ63" i="250" s="1"/>
  <c r="AK10" i="250" a="1"/>
  <c r="AK10" i="250" s="1"/>
  <c r="AJ53" i="250"/>
  <c r="AJ66" i="250" s="1"/>
  <c r="AJ52" i="250"/>
  <c r="AJ65" i="250" s="1"/>
  <c r="AJ60" i="250"/>
  <c r="AI45" i="250"/>
  <c r="AJ8" i="250"/>
  <c r="AI35" i="250"/>
  <c r="AG32" i="250"/>
  <c r="AG33" i="250" s="1"/>
  <c r="AG24" i="250"/>
  <c r="AH23" i="250"/>
  <c r="AI60" i="250"/>
  <c r="AH40" i="250"/>
  <c r="AH43" i="250" s="1"/>
  <c r="AH38" i="250"/>
  <c r="AH58" i="250"/>
  <c r="N84" i="243" l="1"/>
  <c r="N89" i="243" s="1"/>
  <c r="N90" i="243" s="1"/>
  <c r="N36" i="243"/>
  <c r="O75" i="243"/>
  <c r="P75" i="243" s="1"/>
  <c r="AG29" i="250"/>
  <c r="AH28" i="250" s="1"/>
  <c r="AH29" i="250" s="1"/>
  <c r="AL10" i="250" a="1"/>
  <c r="AL10" i="250" s="1"/>
  <c r="AL47" i="250" s="1"/>
  <c r="AI55" i="250"/>
  <c r="AH69" i="250"/>
  <c r="AF75" i="250" s="1"/>
  <c r="AF77" i="250" s="1"/>
  <c r="AI68" i="250"/>
  <c r="AK49" i="250"/>
  <c r="AK62" i="250" s="1"/>
  <c r="AK50" i="250"/>
  <c r="AK63" i="250" s="1"/>
  <c r="AK52" i="250"/>
  <c r="AK65" i="250" s="1"/>
  <c r="AK53" i="250"/>
  <c r="AK66" i="250" s="1"/>
  <c r="AK54" i="250"/>
  <c r="AK67" i="250" s="1"/>
  <c r="AI23" i="250"/>
  <c r="AH30" i="250"/>
  <c r="AH31" i="250" s="1"/>
  <c r="AH24" i="250"/>
  <c r="AH26" i="250"/>
  <c r="AH27" i="250" s="1"/>
  <c r="AH32" i="250"/>
  <c r="AH33" i="250" s="1"/>
  <c r="AI58" i="250"/>
  <c r="AK47" i="250"/>
  <c r="AI38" i="250"/>
  <c r="AI40" i="250"/>
  <c r="AI43" i="250" s="1"/>
  <c r="AK11" i="250"/>
  <c r="AJ51" i="250"/>
  <c r="AJ45" i="250"/>
  <c r="AJ35" i="250"/>
  <c r="AK8" i="250"/>
  <c r="AL8" i="250" s="1"/>
  <c r="AI56" i="250" l="1"/>
  <c r="AK51" i="250"/>
  <c r="AK64" i="250" s="1"/>
  <c r="AL11" i="250"/>
  <c r="AL45" i="250"/>
  <c r="AL58" i="250" s="1"/>
  <c r="AM8" i="250"/>
  <c r="AL35" i="250"/>
  <c r="AL60" i="250"/>
  <c r="AL52" i="250"/>
  <c r="AL65" i="250" s="1"/>
  <c r="AL54" i="250"/>
  <c r="AL67" i="250" s="1"/>
  <c r="AL49" i="250"/>
  <c r="AL62" i="250" s="1"/>
  <c r="AL53" i="250"/>
  <c r="AL66" i="250" s="1"/>
  <c r="AM10" i="250" a="1"/>
  <c r="AM10" i="250" s="1"/>
  <c r="AM47" i="250" s="1"/>
  <c r="AL50" i="250"/>
  <c r="AL63" i="250" s="1"/>
  <c r="AF78" i="250"/>
  <c r="AI69" i="250"/>
  <c r="AF76" i="250"/>
  <c r="AJ40" i="250"/>
  <c r="AJ43" i="250" s="1"/>
  <c r="AJ38" i="250"/>
  <c r="AJ64" i="250"/>
  <c r="AJ68" i="250" s="1"/>
  <c r="AJ55" i="250"/>
  <c r="AJ56" i="250" s="1"/>
  <c r="AK45" i="250"/>
  <c r="AK35" i="250"/>
  <c r="AJ58" i="250"/>
  <c r="AJ23" i="250"/>
  <c r="AI26" i="250"/>
  <c r="AI27" i="250" s="1"/>
  <c r="AI28" i="250"/>
  <c r="AI29" i="250" s="1"/>
  <c r="AI32" i="250"/>
  <c r="AI33" i="250" s="1"/>
  <c r="AI24" i="250"/>
  <c r="AI30" i="250"/>
  <c r="AK60" i="250"/>
  <c r="AK68" i="250" l="1"/>
  <c r="AI31" i="250"/>
  <c r="AJ30" i="250" s="1"/>
  <c r="AJ31" i="250" s="1"/>
  <c r="AK55" i="250"/>
  <c r="AK56" i="250" s="1"/>
  <c r="AM54" i="250"/>
  <c r="AM67" i="250" s="1"/>
  <c r="AM49" i="250"/>
  <c r="AM62" i="250" s="1"/>
  <c r="AM53" i="250"/>
  <c r="AM66" i="250" s="1"/>
  <c r="AM50" i="250"/>
  <c r="AM63" i="250" s="1"/>
  <c r="AM52" i="250"/>
  <c r="AM65" i="250" s="1"/>
  <c r="AN10" i="250" a="1"/>
  <c r="AN10" i="250" s="1"/>
  <c r="AN47" i="250" s="1"/>
  <c r="AM60" i="250"/>
  <c r="AL40" i="250"/>
  <c r="AL43" i="250" s="1"/>
  <c r="AL38" i="250"/>
  <c r="AM35" i="250"/>
  <c r="AM45" i="250"/>
  <c r="AM58" i="250" s="1"/>
  <c r="AN8" i="250"/>
  <c r="AM11" i="250"/>
  <c r="AL51" i="250"/>
  <c r="AL64" i="250" s="1"/>
  <c r="AL68" i="250" s="1"/>
  <c r="AL69" i="250" s="1"/>
  <c r="AJ69" i="250"/>
  <c r="AK40" i="250"/>
  <c r="AK43" i="250" s="1"/>
  <c r="AK38" i="250"/>
  <c r="AK23" i="250"/>
  <c r="AL23" i="250" s="1"/>
  <c r="AJ26" i="250"/>
  <c r="AJ27" i="250" s="1"/>
  <c r="AJ32" i="250"/>
  <c r="AJ33" i="250" s="1"/>
  <c r="AJ28" i="250"/>
  <c r="AJ29" i="250" s="1"/>
  <c r="AJ24" i="250"/>
  <c r="AK58" i="250"/>
  <c r="AL55" i="250" l="1"/>
  <c r="AL56" i="250" s="1"/>
  <c r="AL24" i="250"/>
  <c r="AM23" i="250"/>
  <c r="AN49" i="250"/>
  <c r="AN62" i="250" s="1"/>
  <c r="AN52" i="250"/>
  <c r="AN65" i="250" s="1"/>
  <c r="AO10" i="250" a="1"/>
  <c r="AO10" i="250" s="1"/>
  <c r="AO47" i="250" s="1"/>
  <c r="AN54" i="250"/>
  <c r="AN67" i="250" s="1"/>
  <c r="AN53" i="250"/>
  <c r="AN66" i="250" s="1"/>
  <c r="AN50" i="250"/>
  <c r="AN63" i="250" s="1"/>
  <c r="AN60" i="250"/>
  <c r="AM38" i="250"/>
  <c r="AM40" i="250"/>
  <c r="AM43" i="250" s="1"/>
  <c r="AN11" i="250"/>
  <c r="AM51" i="250"/>
  <c r="AN45" i="250"/>
  <c r="AN58" i="250" s="1"/>
  <c r="AN35" i="250"/>
  <c r="AO8" i="250"/>
  <c r="AK69" i="250"/>
  <c r="AI75" i="250" s="1"/>
  <c r="AK28" i="250"/>
  <c r="AK30" i="250"/>
  <c r="AK32" i="250"/>
  <c r="AK33" i="250" s="1"/>
  <c r="AL32" i="250" s="1"/>
  <c r="AL33" i="250" s="1"/>
  <c r="AK24" i="250"/>
  <c r="AK26" i="250"/>
  <c r="AO50" i="250" l="1"/>
  <c r="AO63" i="250" s="1"/>
  <c r="AO49" i="250"/>
  <c r="AO62" i="250" s="1"/>
  <c r="AO54" i="250"/>
  <c r="AO67" i="250" s="1"/>
  <c r="AP10" i="250" a="1"/>
  <c r="AP10" i="250" s="1"/>
  <c r="AP47" i="250" s="1"/>
  <c r="AO53" i="250"/>
  <c r="AO66" i="250" s="1"/>
  <c r="AO52" i="250"/>
  <c r="AO65" i="250" s="1"/>
  <c r="AO60" i="250"/>
  <c r="AO45" i="250"/>
  <c r="AO58" i="250" s="1"/>
  <c r="AP8" i="250"/>
  <c r="AO35" i="250"/>
  <c r="AN40" i="250"/>
  <c r="AN43" i="250" s="1"/>
  <c r="AN38" i="250"/>
  <c r="AM64" i="250"/>
  <c r="AM68" i="250" s="1"/>
  <c r="AM69" i="250" s="1"/>
  <c r="AM55" i="250"/>
  <c r="AM56" i="250" s="1"/>
  <c r="AN51" i="250"/>
  <c r="AN64" i="250" s="1"/>
  <c r="AN68" i="250" s="1"/>
  <c r="AN69" i="250" s="1"/>
  <c r="AO11" i="250"/>
  <c r="AM24" i="250"/>
  <c r="AN23" i="250"/>
  <c r="AM32" i="250"/>
  <c r="AM33" i="250" s="1"/>
  <c r="AK31" i="250"/>
  <c r="AL30" i="250" s="1"/>
  <c r="AL31" i="250" s="1"/>
  <c r="AM30" i="250" s="1"/>
  <c r="AM31" i="250" s="1"/>
  <c r="AK27" i="250"/>
  <c r="AL26" i="250" s="1"/>
  <c r="AL27" i="250" s="1"/>
  <c r="AM26" i="250" s="1"/>
  <c r="AM27" i="250" s="1"/>
  <c r="AK29" i="250"/>
  <c r="AL28" i="250" s="1"/>
  <c r="AL29" i="250" s="1"/>
  <c r="AM28" i="250" s="1"/>
  <c r="AM29" i="250" s="1"/>
  <c r="AI76" i="250"/>
  <c r="AI77" i="250"/>
  <c r="AN55" i="250" l="1"/>
  <c r="AN56" i="250" s="1"/>
  <c r="AL75" i="250"/>
  <c r="AL76" i="250" s="1"/>
  <c r="AO40" i="250"/>
  <c r="AO43" i="250" s="1"/>
  <c r="AO38" i="250"/>
  <c r="AP45" i="250"/>
  <c r="AP58" i="250" s="1"/>
  <c r="AQ8" i="250"/>
  <c r="AQ9" i="250" s="1"/>
  <c r="AP35" i="250"/>
  <c r="AO23" i="250"/>
  <c r="AN24" i="250"/>
  <c r="AN28" i="250"/>
  <c r="AN29" i="250" s="1"/>
  <c r="AN32" i="250"/>
  <c r="AN33" i="250" s="1"/>
  <c r="AN30" i="250"/>
  <c r="AN31" i="250" s="1"/>
  <c r="AN26" i="250"/>
  <c r="AN27" i="250" s="1"/>
  <c r="AP60" i="250"/>
  <c r="AO51" i="250"/>
  <c r="AP11" i="250"/>
  <c r="AP50" i="250"/>
  <c r="AP63" i="250" s="1"/>
  <c r="AP53" i="250"/>
  <c r="AP66" i="250" s="1"/>
  <c r="AP49" i="250"/>
  <c r="AP62" i="250" s="1"/>
  <c r="AP52" i="250"/>
  <c r="AP65" i="250" s="1"/>
  <c r="AP54" i="250"/>
  <c r="AP67" i="250" s="1"/>
  <c r="AQ10" i="250" a="1"/>
  <c r="AQ10" i="250" s="1"/>
  <c r="M61" i="243" s="1"/>
  <c r="AI78" i="250"/>
  <c r="H10" i="177" a="1"/>
  <c r="H10" i="177" s="1"/>
  <c r="I10" i="177" s="1" a="1"/>
  <c r="I10" i="177" s="1"/>
  <c r="C33" i="249"/>
  <c r="C32" i="249"/>
  <c r="C24" i="249"/>
  <c r="C23" i="249"/>
  <c r="I17" i="249"/>
  <c r="I16" i="249"/>
  <c r="C36" i="249" s="1"/>
  <c r="I15" i="249"/>
  <c r="I14" i="249"/>
  <c r="I13" i="249"/>
  <c r="I12" i="249"/>
  <c r="I11" i="249"/>
  <c r="I10" i="249"/>
  <c r="I9" i="249"/>
  <c r="I8" i="249"/>
  <c r="K7" i="249"/>
  <c r="E7" i="249"/>
  <c r="I7" i="249" s="1"/>
  <c r="I6" i="249"/>
  <c r="I5" i="249"/>
  <c r="C34" i="249" s="1"/>
  <c r="AL77" i="250" l="1"/>
  <c r="AQ54" i="250"/>
  <c r="AQ67" i="250" s="1"/>
  <c r="AQ53" i="250"/>
  <c r="AQ66" i="250" s="1"/>
  <c r="AR10" i="250" a="1"/>
  <c r="AR10" i="250" s="1"/>
  <c r="AR47" i="250" s="1"/>
  <c r="AQ52" i="250"/>
  <c r="AQ65" i="250" s="1"/>
  <c r="AQ50" i="250"/>
  <c r="AQ63" i="250" s="1"/>
  <c r="AQ49" i="250"/>
  <c r="AQ62" i="250" s="1"/>
  <c r="AP23" i="250"/>
  <c r="AO24" i="250"/>
  <c r="AO28" i="250"/>
  <c r="AO29" i="250" s="1"/>
  <c r="AO32" i="250"/>
  <c r="AO33" i="250" s="1"/>
  <c r="AO30" i="250"/>
  <c r="AO31" i="250" s="1"/>
  <c r="AO26" i="250"/>
  <c r="AO27" i="250" s="1"/>
  <c r="AP38" i="250"/>
  <c r="AP40" i="250"/>
  <c r="AP43" i="250" s="1"/>
  <c r="AQ47" i="250"/>
  <c r="AR8" i="250"/>
  <c r="AQ35" i="250"/>
  <c r="AQ45" i="250"/>
  <c r="AQ58" i="250" s="1"/>
  <c r="O86" i="243" s="1"/>
  <c r="O103" i="243" s="1"/>
  <c r="M59" i="243"/>
  <c r="AR36" i="250" a="1"/>
  <c r="AR36" i="250" s="1"/>
  <c r="AR41" i="250" s="1"/>
  <c r="AR37" i="250" a="1"/>
  <c r="AR37" i="250" s="1"/>
  <c r="AR42" i="250" s="1"/>
  <c r="AQ11" i="250"/>
  <c r="M62" i="243" s="1"/>
  <c r="AP51" i="250"/>
  <c r="AO64" i="250"/>
  <c r="AO68" i="250" s="1"/>
  <c r="AO69" i="250" s="1"/>
  <c r="AO55" i="250"/>
  <c r="AO56" i="250" s="1"/>
  <c r="C35" i="249"/>
  <c r="C26" i="249"/>
  <c r="C37" i="249"/>
  <c r="C25" i="249"/>
  <c r="C28" i="249" s="1"/>
  <c r="C27" i="249"/>
  <c r="AL78" i="250" l="1"/>
  <c r="AP64" i="250"/>
  <c r="AP68" i="250" s="1"/>
  <c r="AP69" i="250" s="1"/>
  <c r="AP55" i="250"/>
  <c r="AP56" i="250" s="1"/>
  <c r="AQ51" i="250"/>
  <c r="AQ64" i="250" s="1"/>
  <c r="AR11" i="250"/>
  <c r="AQ23" i="250"/>
  <c r="O33" i="243" s="1"/>
  <c r="N76" i="243" s="1"/>
  <c r="AP24" i="250"/>
  <c r="AP32" i="250"/>
  <c r="AP33" i="250" s="1"/>
  <c r="AP26" i="250"/>
  <c r="AP27" i="250" s="1"/>
  <c r="AP28" i="250"/>
  <c r="AP29" i="250" s="1"/>
  <c r="AP30" i="250"/>
  <c r="AP31" i="250" s="1"/>
  <c r="AR60" i="250"/>
  <c r="AQ40" i="250"/>
  <c r="AQ43" i="250" s="1"/>
  <c r="O85" i="243" s="1"/>
  <c r="O102" i="243" s="1"/>
  <c r="O114" i="243" s="1"/>
  <c r="O134" i="243" s="1"/>
  <c r="AQ38" i="250"/>
  <c r="AR35" i="250"/>
  <c r="AR45" i="250"/>
  <c r="AR58" i="250" s="1"/>
  <c r="AS8" i="250"/>
  <c r="AR54" i="250"/>
  <c r="AR67" i="250" s="1"/>
  <c r="AR52" i="250"/>
  <c r="AR65" i="250" s="1"/>
  <c r="AR53" i="250"/>
  <c r="AR66" i="250" s="1"/>
  <c r="AR49" i="250"/>
  <c r="AR62" i="250" s="1"/>
  <c r="AS10" i="250" a="1"/>
  <c r="AS10" i="250" s="1"/>
  <c r="AS47" i="250" s="1"/>
  <c r="AR50" i="250"/>
  <c r="AR63" i="250" s="1"/>
  <c r="AQ60" i="250"/>
  <c r="M52" i="243"/>
  <c r="M31" i="243"/>
  <c r="M29" i="243"/>
  <c r="M5" i="243"/>
  <c r="N5" i="243" s="1"/>
  <c r="M60" i="243" l="1"/>
  <c r="AR40" i="250"/>
  <c r="AR43" i="250" s="1"/>
  <c r="AR38" i="250"/>
  <c r="AQ68" i="250"/>
  <c r="AQ69" i="250" s="1"/>
  <c r="AO75" i="250" s="1"/>
  <c r="AS60" i="250"/>
  <c r="AT10" i="250" a="1"/>
  <c r="AT10" i="250" s="1"/>
  <c r="AT47" i="250" s="1"/>
  <c r="AS54" i="250"/>
  <c r="AS67" i="250" s="1"/>
  <c r="AS52" i="250"/>
  <c r="AS65" i="250" s="1"/>
  <c r="AS49" i="250"/>
  <c r="AS62" i="250" s="1"/>
  <c r="AS50" i="250"/>
  <c r="AS63" i="250" s="1"/>
  <c r="AS53" i="250"/>
  <c r="AS66" i="250" s="1"/>
  <c r="AQ24" i="250"/>
  <c r="AR23" i="250"/>
  <c r="AQ26" i="250"/>
  <c r="AQ28" i="250"/>
  <c r="AQ30" i="250"/>
  <c r="AQ32" i="250"/>
  <c r="AQ33" i="250" s="1"/>
  <c r="O34" i="243" s="1"/>
  <c r="AS45" i="250"/>
  <c r="AS58" i="250" s="1"/>
  <c r="AT8" i="250"/>
  <c r="AS35" i="250"/>
  <c r="AS11" i="250"/>
  <c r="AR51" i="250"/>
  <c r="AQ55" i="250"/>
  <c r="M97" i="248"/>
  <c r="J76" i="240"/>
  <c r="AQ56" i="250" l="1"/>
  <c r="O87" i="243"/>
  <c r="AQ31" i="250"/>
  <c r="AR30" i="250" s="1"/>
  <c r="AR31" i="250" s="1"/>
  <c r="O128" i="243"/>
  <c r="AQ29" i="250"/>
  <c r="AR28" i="250" s="1"/>
  <c r="AR29" i="250" s="1"/>
  <c r="O129" i="243"/>
  <c r="AQ27" i="250"/>
  <c r="O127" i="243"/>
  <c r="AR64" i="250"/>
  <c r="AR68" i="250" s="1"/>
  <c r="AR69" i="250" s="1"/>
  <c r="AR55" i="250"/>
  <c r="AR56" i="250" s="1"/>
  <c r="AS51" i="250"/>
  <c r="AS64" i="250" s="1"/>
  <c r="AS68" i="250" s="1"/>
  <c r="AS69" i="250" s="1"/>
  <c r="AT11" i="250"/>
  <c r="AS38" i="250"/>
  <c r="AS40" i="250"/>
  <c r="AS43" i="250" s="1"/>
  <c r="AT35" i="250"/>
  <c r="AT45" i="250"/>
  <c r="AT58" i="250" s="1"/>
  <c r="AU8" i="250"/>
  <c r="AT60" i="250"/>
  <c r="AT50" i="250"/>
  <c r="AT63" i="250" s="1"/>
  <c r="AU10" i="250" a="1"/>
  <c r="AU10" i="250" s="1"/>
  <c r="AT53" i="250"/>
  <c r="AT66" i="250" s="1"/>
  <c r="AT54" i="250"/>
  <c r="AT67" i="250" s="1"/>
  <c r="AT52" i="250"/>
  <c r="AT65" i="250" s="1"/>
  <c r="AT49" i="250"/>
  <c r="AT62" i="250" s="1"/>
  <c r="AS23" i="250"/>
  <c r="AR24" i="250"/>
  <c r="AR32" i="250"/>
  <c r="AR33" i="250" s="1"/>
  <c r="AO76" i="250"/>
  <c r="AO77" i="250"/>
  <c r="K61" i="240"/>
  <c r="K64" i="240"/>
  <c r="O130" i="243" l="1"/>
  <c r="O35" i="243"/>
  <c r="AO78" i="250"/>
  <c r="AF81" i="250" s="1"/>
  <c r="AI80" i="250" s="1"/>
  <c r="AJ80" i="250" s="1"/>
  <c r="O88" i="243"/>
  <c r="AR26" i="250"/>
  <c r="AR27" i="250" s="1"/>
  <c r="AS26" i="250" s="1"/>
  <c r="AS27" i="250" s="1"/>
  <c r="AS55" i="250"/>
  <c r="AS56" i="250" s="1"/>
  <c r="AU49" i="250"/>
  <c r="AU62" i="250" s="1"/>
  <c r="AU50" i="250"/>
  <c r="AU63" i="250" s="1"/>
  <c r="AV10" i="250" a="1"/>
  <c r="AV10" i="250" s="1"/>
  <c r="AV47" i="250" s="1"/>
  <c r="AU54" i="250"/>
  <c r="AU67" i="250" s="1"/>
  <c r="AU53" i="250"/>
  <c r="AU66" i="250" s="1"/>
  <c r="AU52" i="250"/>
  <c r="AU65" i="250" s="1"/>
  <c r="AT23" i="250"/>
  <c r="AS24" i="250"/>
  <c r="AS28" i="250"/>
  <c r="AS29" i="250" s="1"/>
  <c r="AS32" i="250"/>
  <c r="AS33" i="250" s="1"/>
  <c r="AS30" i="250"/>
  <c r="AS31" i="250" s="1"/>
  <c r="AU35" i="250"/>
  <c r="AV8" i="250"/>
  <c r="AU45" i="250"/>
  <c r="AU58" i="250" s="1"/>
  <c r="AT40" i="250"/>
  <c r="AT43" i="250" s="1"/>
  <c r="AT38" i="250"/>
  <c r="AU11" i="250"/>
  <c r="AT51" i="250"/>
  <c r="AT64" i="250" s="1"/>
  <c r="AT68" i="250" s="1"/>
  <c r="AT69" i="250" s="1"/>
  <c r="AU47" i="250"/>
  <c r="F59" i="240"/>
  <c r="K59" i="240" s="1"/>
  <c r="H62" i="240"/>
  <c r="K62" i="240" s="1"/>
  <c r="G63" i="240"/>
  <c r="K63" i="240" s="1"/>
  <c r="K28" i="177"/>
  <c r="J30" i="177"/>
  <c r="J28" i="177"/>
  <c r="J26" i="177"/>
  <c r="AB74" i="174"/>
  <c r="AB95" i="174"/>
  <c r="AB93" i="174"/>
  <c r="AB77" i="174"/>
  <c r="AG77" i="174"/>
  <c r="AK34" i="174"/>
  <c r="AB33" i="174"/>
  <c r="AB32" i="174"/>
  <c r="AB31" i="174"/>
  <c r="AB29" i="174"/>
  <c r="AB30" i="174"/>
  <c r="AB27" i="174"/>
  <c r="AB11" i="174"/>
  <c r="AB8" i="174"/>
  <c r="AB9" i="174"/>
  <c r="AB6" i="174"/>
  <c r="O84" i="243" l="1"/>
  <c r="O89" i="243" s="1"/>
  <c r="O90" i="243" s="1"/>
  <c r="O36" i="243"/>
  <c r="O76" i="243"/>
  <c r="P76" i="243" s="1"/>
  <c r="AR75" i="250"/>
  <c r="AR76" i="250" s="1"/>
  <c r="AU51" i="250"/>
  <c r="AU64" i="250" s="1"/>
  <c r="AV11" i="250"/>
  <c r="AT55" i="250"/>
  <c r="AT56" i="250" s="1"/>
  <c r="AT24" i="250"/>
  <c r="AU23" i="250"/>
  <c r="AT28" i="250"/>
  <c r="AT29" i="250" s="1"/>
  <c r="AT26" i="250"/>
  <c r="AT27" i="250" s="1"/>
  <c r="AT32" i="250"/>
  <c r="AT33" i="250" s="1"/>
  <c r="AT30" i="250"/>
  <c r="AT31" i="250" s="1"/>
  <c r="AU60" i="250"/>
  <c r="AV60" i="250"/>
  <c r="AW8" i="250"/>
  <c r="AV45" i="250"/>
  <c r="AV58" i="250" s="1"/>
  <c r="AV35" i="250"/>
  <c r="AU40" i="250"/>
  <c r="AU43" i="250" s="1"/>
  <c r="AU38" i="250"/>
  <c r="AV50" i="250"/>
  <c r="AV63" i="250" s="1"/>
  <c r="AV54" i="250"/>
  <c r="AV67" i="250" s="1"/>
  <c r="AV52" i="250"/>
  <c r="AV65" i="250" s="1"/>
  <c r="AV49" i="250"/>
  <c r="AV62" i="250" s="1"/>
  <c r="AW10" i="250" a="1"/>
  <c r="AW10" i="250" s="1"/>
  <c r="AW47" i="250" s="1"/>
  <c r="AV53" i="250"/>
  <c r="AV66" i="250" s="1"/>
  <c r="AB72" i="174"/>
  <c r="X33" i="123"/>
  <c r="U33" i="123"/>
  <c r="R33" i="123"/>
  <c r="O33" i="123"/>
  <c r="O82" i="248"/>
  <c r="G81" i="248"/>
  <c r="N81" i="248"/>
  <c r="H14" i="246"/>
  <c r="H13" i="246"/>
  <c r="H11" i="246"/>
  <c r="E55" i="248"/>
  <c r="F68" i="248"/>
  <c r="F66" i="248"/>
  <c r="D332" i="242"/>
  <c r="D319" i="242"/>
  <c r="F70" i="248"/>
  <c r="E70" i="248"/>
  <c r="E61" i="248"/>
  <c r="C332" i="242"/>
  <c r="C318" i="242"/>
  <c r="AU55" i="250" l="1"/>
  <c r="AU56" i="250" s="1"/>
  <c r="AU68" i="250"/>
  <c r="AU69" i="250" s="1"/>
  <c r="AR77" i="250"/>
  <c r="AR78" i="250" s="1"/>
  <c r="AW60" i="250"/>
  <c r="AX10" i="250" a="1"/>
  <c r="AX10" i="250" s="1"/>
  <c r="AX47" i="250" s="1"/>
  <c r="AW50" i="250"/>
  <c r="AW63" i="250" s="1"/>
  <c r="AW52" i="250"/>
  <c r="AW65" i="250" s="1"/>
  <c r="AW54" i="250"/>
  <c r="AW67" i="250" s="1"/>
  <c r="AW53" i="250"/>
  <c r="AW66" i="250" s="1"/>
  <c r="AW49" i="250"/>
  <c r="AW62" i="250" s="1"/>
  <c r="AV38" i="250"/>
  <c r="AV40" i="250"/>
  <c r="AV43" i="250" s="1"/>
  <c r="AX8" i="250"/>
  <c r="AW45" i="250"/>
  <c r="AW58" i="250" s="1"/>
  <c r="AW35" i="250"/>
  <c r="AV23" i="250"/>
  <c r="AU24" i="250"/>
  <c r="AU30" i="250"/>
  <c r="AU31" i="250" s="1"/>
  <c r="AU26" i="250"/>
  <c r="AU27" i="250" s="1"/>
  <c r="AU28" i="250"/>
  <c r="AU29" i="250" s="1"/>
  <c r="AU32" i="250"/>
  <c r="AU33" i="250" s="1"/>
  <c r="AW11" i="250"/>
  <c r="AV51" i="250"/>
  <c r="AV64" i="250" s="1"/>
  <c r="AV68" i="250" s="1"/>
  <c r="AV69" i="250" s="1"/>
  <c r="J88" i="248"/>
  <c r="AV55" i="250" l="1"/>
  <c r="AV56" i="250" s="1"/>
  <c r="AX35" i="250"/>
  <c r="AX45" i="250"/>
  <c r="AY8" i="250"/>
  <c r="AW38" i="250"/>
  <c r="AW40" i="250"/>
  <c r="AW43" i="250" s="1"/>
  <c r="AW51" i="250"/>
  <c r="AW64" i="250" s="1"/>
  <c r="AW68" i="250" s="1"/>
  <c r="AW69" i="250" s="1"/>
  <c r="AX11" i="250"/>
  <c r="AX60" i="250"/>
  <c r="AX50" i="250"/>
  <c r="AX63" i="250" s="1"/>
  <c r="AX49" i="250"/>
  <c r="AX62" i="250" s="1"/>
  <c r="AX53" i="250"/>
  <c r="AX66" i="250" s="1"/>
  <c r="AX52" i="250"/>
  <c r="AX65" i="250" s="1"/>
  <c r="AX54" i="250"/>
  <c r="AX67" i="250" s="1"/>
  <c r="AY10" i="250" a="1"/>
  <c r="AY10" i="250" s="1"/>
  <c r="AY47" i="250" s="1"/>
  <c r="AW23" i="250"/>
  <c r="AV24" i="250"/>
  <c r="AV30" i="250"/>
  <c r="AV31" i="250" s="1"/>
  <c r="AV26" i="250"/>
  <c r="AV27" i="250" s="1"/>
  <c r="AV28" i="250"/>
  <c r="AV29" i="250" s="1"/>
  <c r="AV32" i="250"/>
  <c r="AV33" i="250" s="1"/>
  <c r="F62" i="248"/>
  <c r="F63" i="248"/>
  <c r="F60" i="248"/>
  <c r="H84" i="248"/>
  <c r="G84" i="248"/>
  <c r="N35" i="217"/>
  <c r="Y20" i="217"/>
  <c r="M33" i="217"/>
  <c r="Y30" i="217"/>
  <c r="Y29" i="217"/>
  <c r="Y24" i="217"/>
  <c r="Y23" i="217"/>
  <c r="V66" i="248"/>
  <c r="T66" i="248"/>
  <c r="AU75" i="250" l="1"/>
  <c r="AU76" i="250" s="1"/>
  <c r="AW55" i="250"/>
  <c r="AW56" i="250" s="1"/>
  <c r="AX51" i="250"/>
  <c r="AX64" i="250" s="1"/>
  <c r="AX68" i="250" s="1"/>
  <c r="AY11" i="250"/>
  <c r="AW24" i="250"/>
  <c r="AW26" i="250"/>
  <c r="AW27" i="250" s="1"/>
  <c r="AW30" i="250"/>
  <c r="AW31" i="250" s="1"/>
  <c r="AW28" i="250"/>
  <c r="AW29" i="250" s="1"/>
  <c r="AW32" i="250"/>
  <c r="AW33" i="250" s="1"/>
  <c r="AX23" i="250"/>
  <c r="AY60" i="250"/>
  <c r="AY35" i="250"/>
  <c r="AZ8" i="250"/>
  <c r="AY45" i="250"/>
  <c r="AY52" i="250"/>
  <c r="AY65" i="250" s="1"/>
  <c r="AY53" i="250"/>
  <c r="AY66" i="250" s="1"/>
  <c r="AY49" i="250"/>
  <c r="AY62" i="250" s="1"/>
  <c r="AY54" i="250"/>
  <c r="AY67" i="250" s="1"/>
  <c r="AY50" i="250"/>
  <c r="AY63" i="250" s="1"/>
  <c r="AZ10" i="250" a="1"/>
  <c r="AZ10" i="250" s="1"/>
  <c r="AZ47" i="250" s="1"/>
  <c r="AX58" i="250"/>
  <c r="AX38" i="250"/>
  <c r="AX40" i="250"/>
  <c r="AX43" i="250" s="1"/>
  <c r="F69" i="248"/>
  <c r="G54" i="248"/>
  <c r="V58" i="248"/>
  <c r="T58" i="248"/>
  <c r="R58" i="248"/>
  <c r="Q58" i="248"/>
  <c r="K53" i="248"/>
  <c r="AU77" i="250" l="1"/>
  <c r="AU78" i="250" s="1"/>
  <c r="AX55" i="250"/>
  <c r="AX56" i="250" s="1"/>
  <c r="AZ60" i="250"/>
  <c r="AX69" i="250"/>
  <c r="AX24" i="250"/>
  <c r="AX26" i="250"/>
  <c r="AX27" i="250" s="1"/>
  <c r="AX32" i="250"/>
  <c r="AX33" i="250" s="1"/>
  <c r="AX28" i="250"/>
  <c r="AX29" i="250" s="1"/>
  <c r="AX30" i="250"/>
  <c r="AX31" i="250" s="1"/>
  <c r="AY23" i="250"/>
  <c r="BA10" i="250" a="1"/>
  <c r="BA10" i="250" s="1"/>
  <c r="AZ49" i="250"/>
  <c r="AZ62" i="250" s="1"/>
  <c r="AZ52" i="250"/>
  <c r="AZ65" i="250" s="1"/>
  <c r="AZ54" i="250"/>
  <c r="AZ67" i="250" s="1"/>
  <c r="AZ50" i="250"/>
  <c r="AZ63" i="250" s="1"/>
  <c r="AZ53" i="250"/>
  <c r="AZ66" i="250" s="1"/>
  <c r="AY51" i="250"/>
  <c r="AZ11" i="250"/>
  <c r="AY58" i="250"/>
  <c r="AZ45" i="250"/>
  <c r="AZ58" i="250" s="1"/>
  <c r="AZ35" i="250"/>
  <c r="BA8" i="250"/>
  <c r="AY40" i="250"/>
  <c r="AY43" i="250" s="1"/>
  <c r="AY38" i="250"/>
  <c r="K54" i="248"/>
  <c r="BA52" i="250" l="1"/>
  <c r="BA65" i="250" s="1"/>
  <c r="BA50" i="250"/>
  <c r="BA63" i="250" s="1"/>
  <c r="BB10" i="250" a="1"/>
  <c r="BB10" i="250" s="1"/>
  <c r="BB47" i="250" s="1"/>
  <c r="BA54" i="250"/>
  <c r="BA67" i="250" s="1"/>
  <c r="BA49" i="250"/>
  <c r="BA62" i="250" s="1"/>
  <c r="BA53" i="250"/>
  <c r="BA66" i="250" s="1"/>
  <c r="BA45" i="250"/>
  <c r="BA35" i="250"/>
  <c r="BB8" i="250"/>
  <c r="BA47" i="250"/>
  <c r="AZ40" i="250"/>
  <c r="AZ43" i="250" s="1"/>
  <c r="AZ38" i="250"/>
  <c r="AZ23" i="250"/>
  <c r="AY24" i="250"/>
  <c r="AY26" i="250"/>
  <c r="AY27" i="250" s="1"/>
  <c r="AY28" i="250"/>
  <c r="AY29" i="250" s="1"/>
  <c r="AY32" i="250"/>
  <c r="AY33" i="250" s="1"/>
  <c r="AY30" i="250"/>
  <c r="AY31" i="250" s="1"/>
  <c r="BA11" i="250"/>
  <c r="AZ51" i="250"/>
  <c r="AZ64" i="250" s="1"/>
  <c r="AZ68" i="250" s="1"/>
  <c r="AZ69" i="250" s="1"/>
  <c r="AY64" i="250"/>
  <c r="AY68" i="250" s="1"/>
  <c r="AY69" i="250" s="1"/>
  <c r="AY55" i="250"/>
  <c r="AY56" i="250" s="1"/>
  <c r="V147" i="248"/>
  <c r="U147" i="248"/>
  <c r="S147" i="248"/>
  <c r="H147" i="248"/>
  <c r="T147" i="248" s="1"/>
  <c r="K146" i="248"/>
  <c r="W143" i="248"/>
  <c r="V140" i="248"/>
  <c r="U140" i="248"/>
  <c r="T140" i="248"/>
  <c r="S140" i="248"/>
  <c r="K139" i="248"/>
  <c r="W136" i="248"/>
  <c r="V133" i="248"/>
  <c r="U133" i="248"/>
  <c r="G133" i="248"/>
  <c r="K132" i="248"/>
  <c r="W129" i="248"/>
  <c r="K128" i="248"/>
  <c r="V125" i="248"/>
  <c r="U125" i="248"/>
  <c r="S125" i="248"/>
  <c r="H125" i="248"/>
  <c r="T125" i="248" s="1"/>
  <c r="K124" i="248"/>
  <c r="W121" i="248"/>
  <c r="V118" i="248"/>
  <c r="U118" i="248"/>
  <c r="T118" i="248"/>
  <c r="S118" i="248"/>
  <c r="K117" i="248"/>
  <c r="W114" i="248"/>
  <c r="V111" i="248"/>
  <c r="U111" i="248"/>
  <c r="T111" i="248"/>
  <c r="S111" i="248"/>
  <c r="K110" i="248"/>
  <c r="W107" i="248"/>
  <c r="V104" i="248"/>
  <c r="U104" i="248"/>
  <c r="T104" i="248"/>
  <c r="S104" i="248"/>
  <c r="K103" i="248"/>
  <c r="W100" i="248"/>
  <c r="V97" i="248"/>
  <c r="U97" i="248"/>
  <c r="T97" i="248"/>
  <c r="S97" i="248"/>
  <c r="K96" i="248"/>
  <c r="W93" i="248"/>
  <c r="V83" i="248"/>
  <c r="U83" i="248"/>
  <c r="T83" i="248"/>
  <c r="S83" i="248"/>
  <c r="K82" i="248"/>
  <c r="W79" i="248"/>
  <c r="V90" i="248"/>
  <c r="T90" i="248"/>
  <c r="R90" i="248"/>
  <c r="Q90" i="248"/>
  <c r="M90" i="248"/>
  <c r="K88" i="248"/>
  <c r="K86" i="248"/>
  <c r="V75" i="248"/>
  <c r="T75" i="248"/>
  <c r="K74" i="248"/>
  <c r="W71" i="248"/>
  <c r="K67" i="248"/>
  <c r="G63" i="248"/>
  <c r="K63" i="248" s="1"/>
  <c r="W62" i="248"/>
  <c r="H61" i="248"/>
  <c r="K61" i="248" s="1"/>
  <c r="V60" i="248"/>
  <c r="U60" i="248"/>
  <c r="T60" i="248"/>
  <c r="S60" i="248"/>
  <c r="V54" i="248"/>
  <c r="T54" i="248"/>
  <c r="R54" i="248"/>
  <c r="Q54" i="248"/>
  <c r="J57" i="248"/>
  <c r="J87" i="248" s="1"/>
  <c r="K56" i="248"/>
  <c r="O52" i="248"/>
  <c r="N52" i="248"/>
  <c r="M52" i="248"/>
  <c r="K51" i="248"/>
  <c r="V50" i="248"/>
  <c r="U50" i="248"/>
  <c r="T50" i="248"/>
  <c r="S50" i="248"/>
  <c r="Q50" i="248"/>
  <c r="F50" i="248"/>
  <c r="R50" i="248" s="1"/>
  <c r="E49" i="248"/>
  <c r="K49" i="248" s="1"/>
  <c r="K48" i="248"/>
  <c r="I47" i="248"/>
  <c r="H47" i="248"/>
  <c r="G47" i="248"/>
  <c r="F45" i="248"/>
  <c r="K45" i="248" s="1"/>
  <c r="V44" i="248"/>
  <c r="U44" i="248"/>
  <c r="T44" i="248"/>
  <c r="S44" i="248"/>
  <c r="E44" i="248"/>
  <c r="F44" i="248" s="1"/>
  <c r="V42" i="248"/>
  <c r="U42" i="248"/>
  <c r="R42" i="248"/>
  <c r="Q42" i="248"/>
  <c r="H42" i="248"/>
  <c r="T42" i="248" s="1"/>
  <c r="J41" i="248"/>
  <c r="K41" i="248" s="1"/>
  <c r="K40" i="248"/>
  <c r="V39" i="248"/>
  <c r="T39" i="248"/>
  <c r="S39" i="248"/>
  <c r="R39" i="248"/>
  <c r="Q39" i="248"/>
  <c r="I39" i="248"/>
  <c r="K39" i="248" s="1"/>
  <c r="K38" i="248"/>
  <c r="J36" i="248"/>
  <c r="J37" i="248" s="1"/>
  <c r="G35" i="248"/>
  <c r="F35" i="248"/>
  <c r="E35" i="248"/>
  <c r="F34" i="248"/>
  <c r="E34" i="248" s="1"/>
  <c r="K34" i="248" s="1"/>
  <c r="R33" i="248"/>
  <c r="R32" i="248"/>
  <c r="K32" i="248"/>
  <c r="R31" i="248"/>
  <c r="I31" i="248"/>
  <c r="G31" i="248"/>
  <c r="R30" i="248"/>
  <c r="F30" i="248"/>
  <c r="K30" i="248" s="1"/>
  <c r="K29" i="248"/>
  <c r="I28" i="248"/>
  <c r="H28" i="248"/>
  <c r="H36" i="248" s="1"/>
  <c r="H37" i="248" s="1"/>
  <c r="G28" i="248"/>
  <c r="G27" i="248"/>
  <c r="E27" i="248"/>
  <c r="I23" i="248"/>
  <c r="G23" i="248"/>
  <c r="E23" i="248"/>
  <c r="I22" i="248"/>
  <c r="H22" i="248"/>
  <c r="H25" i="248" s="1"/>
  <c r="G22" i="248"/>
  <c r="F22" i="248"/>
  <c r="E22" i="248"/>
  <c r="H20" i="248"/>
  <c r="G20" i="248"/>
  <c r="I17" i="248"/>
  <c r="H16" i="248"/>
  <c r="H17" i="248" s="1"/>
  <c r="G16" i="248"/>
  <c r="G17" i="248" s="1"/>
  <c r="F15" i="248"/>
  <c r="E15" i="248" s="1"/>
  <c r="K14" i="248"/>
  <c r="I11" i="248"/>
  <c r="I12" i="248" s="1"/>
  <c r="H11" i="248"/>
  <c r="H12" i="248" s="1"/>
  <c r="G11" i="248"/>
  <c r="G10" i="248"/>
  <c r="E10" i="248"/>
  <c r="E9" i="248"/>
  <c r="K9" i="248" s="1"/>
  <c r="F8" i="248"/>
  <c r="E8" i="248"/>
  <c r="I6" i="248"/>
  <c r="H6" i="248"/>
  <c r="G6" i="248"/>
  <c r="K5" i="248"/>
  <c r="F4" i="248"/>
  <c r="E4" i="248" s="1"/>
  <c r="F3" i="248"/>
  <c r="E3" i="248"/>
  <c r="AZ55" i="250" l="1"/>
  <c r="AZ56" i="250" s="1"/>
  <c r="AX75" i="250"/>
  <c r="AX76" i="250" s="1"/>
  <c r="BB60" i="250"/>
  <c r="BA60" i="250"/>
  <c r="BC8" i="250"/>
  <c r="BB35" i="250"/>
  <c r="BB45" i="250"/>
  <c r="BB11" i="250"/>
  <c r="BA51" i="250"/>
  <c r="BA64" i="250" s="1"/>
  <c r="BA38" i="250"/>
  <c r="BA40" i="250"/>
  <c r="BA43" i="250" s="1"/>
  <c r="BA58" i="250"/>
  <c r="BB53" i="250"/>
  <c r="BB66" i="250" s="1"/>
  <c r="BB49" i="250"/>
  <c r="BB62" i="250" s="1"/>
  <c r="BC10" i="250" a="1"/>
  <c r="BC10" i="250" s="1"/>
  <c r="BB54" i="250"/>
  <c r="BB67" i="250" s="1"/>
  <c r="BB52" i="250"/>
  <c r="BB65" i="250" s="1"/>
  <c r="BB50" i="250"/>
  <c r="BB63" i="250" s="1"/>
  <c r="BA23" i="250"/>
  <c r="AZ24" i="250"/>
  <c r="AZ30" i="250"/>
  <c r="AZ31" i="250" s="1"/>
  <c r="AZ26" i="250"/>
  <c r="AZ27" i="250" s="1"/>
  <c r="AZ28" i="250"/>
  <c r="AZ29" i="250" s="1"/>
  <c r="AZ32" i="250"/>
  <c r="AZ33" i="250" s="1"/>
  <c r="I57" i="248"/>
  <c r="K31" i="248"/>
  <c r="I25" i="248"/>
  <c r="H46" i="248"/>
  <c r="H52" i="248" s="1"/>
  <c r="G12" i="248"/>
  <c r="G42" i="248"/>
  <c r="S42" i="248" s="1"/>
  <c r="K28" i="248"/>
  <c r="K3" i="248"/>
  <c r="E6" i="248"/>
  <c r="J89" i="248"/>
  <c r="I89" i="248" s="1"/>
  <c r="J46" i="248"/>
  <c r="J52" i="248" s="1"/>
  <c r="K27" i="248"/>
  <c r="K10" i="248"/>
  <c r="K22" i="248"/>
  <c r="K35" i="248"/>
  <c r="R26" i="248" s="1"/>
  <c r="K8" i="248"/>
  <c r="F36" i="248"/>
  <c r="G57" i="248"/>
  <c r="G58" i="248" s="1"/>
  <c r="F6" i="248"/>
  <c r="R34" i="248"/>
  <c r="Q44" i="248"/>
  <c r="G36" i="248"/>
  <c r="G37" i="248" s="1"/>
  <c r="F46" i="248"/>
  <c r="R44" i="248"/>
  <c r="K44" i="248"/>
  <c r="F23" i="248"/>
  <c r="I43" i="248"/>
  <c r="E43" i="248" s="1"/>
  <c r="U39" i="248"/>
  <c r="K4" i="248"/>
  <c r="G25" i="248"/>
  <c r="S133" i="248"/>
  <c r="H133" i="248"/>
  <c r="T133" i="248" s="1"/>
  <c r="K50" i="248"/>
  <c r="K15" i="248"/>
  <c r="I33" i="248"/>
  <c r="E33" i="248" s="1"/>
  <c r="E56" i="240"/>
  <c r="K56" i="240" s="1"/>
  <c r="F50" i="240"/>
  <c r="R50" i="240" s="1"/>
  <c r="K53" i="240"/>
  <c r="M121" i="243" s="1"/>
  <c r="J54" i="240"/>
  <c r="J75" i="240" s="1"/>
  <c r="Q55" i="240"/>
  <c r="R55" i="240"/>
  <c r="T55" i="240"/>
  <c r="V55" i="240"/>
  <c r="S57" i="240"/>
  <c r="T57" i="240"/>
  <c r="U57" i="240"/>
  <c r="V57" i="240"/>
  <c r="F33" i="236" s="1"/>
  <c r="H58" i="240"/>
  <c r="K58" i="240" s="1"/>
  <c r="W59" i="240"/>
  <c r="F40" i="230" s="1"/>
  <c r="G60" i="240"/>
  <c r="K60" i="240" s="1"/>
  <c r="M61" i="240"/>
  <c r="M71" i="240" s="1"/>
  <c r="Q61" i="240"/>
  <c r="R61" i="240"/>
  <c r="S61" i="240"/>
  <c r="T61" i="240"/>
  <c r="U61" i="240"/>
  <c r="V61" i="240"/>
  <c r="X20" i="217"/>
  <c r="W20" i="217"/>
  <c r="X30" i="217"/>
  <c r="W30" i="217"/>
  <c r="X29" i="217"/>
  <c r="W29" i="217"/>
  <c r="X23" i="217"/>
  <c r="W23" i="217"/>
  <c r="X24" i="217"/>
  <c r="C11" i="238"/>
  <c r="D6" i="238"/>
  <c r="E10" i="234" s="1"/>
  <c r="D5" i="238"/>
  <c r="E10" i="235" s="1"/>
  <c r="B10" i="235" s="1"/>
  <c r="C10" i="235" s="1"/>
  <c r="X337" i="217"/>
  <c r="W337" i="217"/>
  <c r="I337" i="217"/>
  <c r="F337" i="217"/>
  <c r="D337" i="217"/>
  <c r="X336" i="217"/>
  <c r="W336" i="217"/>
  <c r="I336" i="217"/>
  <c r="F336" i="217"/>
  <c r="D336" i="217"/>
  <c r="I324" i="217"/>
  <c r="H324" i="217"/>
  <c r="F324" i="217"/>
  <c r="E324" i="217"/>
  <c r="D324" i="217"/>
  <c r="C324" i="217"/>
  <c r="B324" i="217"/>
  <c r="I323" i="217"/>
  <c r="H323" i="217"/>
  <c r="F323" i="217"/>
  <c r="E323" i="217"/>
  <c r="D323" i="217"/>
  <c r="C323" i="217"/>
  <c r="B323" i="217"/>
  <c r="I322" i="217"/>
  <c r="H322" i="217"/>
  <c r="F322" i="217"/>
  <c r="E322" i="217"/>
  <c r="D322" i="217"/>
  <c r="C322" i="217"/>
  <c r="B322" i="217"/>
  <c r="H321" i="217"/>
  <c r="E321" i="217"/>
  <c r="H318" i="217"/>
  <c r="E316" i="217"/>
  <c r="D316" i="217"/>
  <c r="C316" i="217"/>
  <c r="B316" i="217"/>
  <c r="C313" i="217"/>
  <c r="C312" i="217"/>
  <c r="C311" i="217"/>
  <c r="C310" i="217"/>
  <c r="AU296" i="217"/>
  <c r="AT296" i="217"/>
  <c r="AS296" i="217"/>
  <c r="AR296" i="217"/>
  <c r="AQ296" i="217"/>
  <c r="AP296" i="217"/>
  <c r="AO296" i="217"/>
  <c r="AN296" i="217"/>
  <c r="AM296" i="217"/>
  <c r="AL296" i="217"/>
  <c r="AK296" i="217"/>
  <c r="AJ296" i="217"/>
  <c r="AI296" i="217"/>
  <c r="AH296" i="217"/>
  <c r="AG296" i="217"/>
  <c r="AF296" i="217"/>
  <c r="AE296" i="217"/>
  <c r="AD296" i="217"/>
  <c r="AC296" i="217"/>
  <c r="AB296" i="217"/>
  <c r="AA296" i="217"/>
  <c r="Z296" i="217"/>
  <c r="Y296" i="217"/>
  <c r="X296" i="217"/>
  <c r="W296" i="217"/>
  <c r="AI288" i="217"/>
  <c r="AH288" i="217"/>
  <c r="AG288" i="217"/>
  <c r="AF288" i="217"/>
  <c r="AE288" i="217"/>
  <c r="AD288" i="217"/>
  <c r="AC288" i="217"/>
  <c r="AB288" i="217"/>
  <c r="AA288" i="217"/>
  <c r="Z288" i="217"/>
  <c r="Y288" i="217"/>
  <c r="X288" i="217"/>
  <c r="W288" i="217"/>
  <c r="I288" i="217"/>
  <c r="H288" i="217"/>
  <c r="F288" i="217"/>
  <c r="E288" i="217"/>
  <c r="D288" i="217"/>
  <c r="C288" i="217"/>
  <c r="B288" i="217"/>
  <c r="AI287" i="217"/>
  <c r="AH287" i="217"/>
  <c r="AG287" i="217"/>
  <c r="AF287" i="217"/>
  <c r="AE287" i="217"/>
  <c r="AD287" i="217"/>
  <c r="AC287" i="217"/>
  <c r="AB287" i="217"/>
  <c r="AA287" i="217"/>
  <c r="Z287" i="217"/>
  <c r="Y287" i="217"/>
  <c r="X287" i="217"/>
  <c r="W287" i="217"/>
  <c r="I287" i="217"/>
  <c r="H287" i="217"/>
  <c r="F287" i="217"/>
  <c r="E287" i="217"/>
  <c r="D287" i="217"/>
  <c r="C287" i="217"/>
  <c r="B287" i="217"/>
  <c r="AI286" i="217"/>
  <c r="AH286" i="217"/>
  <c r="AG286" i="217"/>
  <c r="AF286" i="217"/>
  <c r="AE286" i="217"/>
  <c r="AD286" i="217"/>
  <c r="AC286" i="217"/>
  <c r="AB286" i="217"/>
  <c r="AA286" i="217"/>
  <c r="Z286" i="217"/>
  <c r="Y286" i="217"/>
  <c r="X286" i="217"/>
  <c r="W286" i="217"/>
  <c r="I286" i="217"/>
  <c r="H286" i="217"/>
  <c r="F286" i="217"/>
  <c r="E286" i="217"/>
  <c r="D286" i="217"/>
  <c r="C286" i="217"/>
  <c r="B286" i="217"/>
  <c r="B285" i="217"/>
  <c r="H284" i="217"/>
  <c r="E284" i="217"/>
  <c r="D284" i="217"/>
  <c r="C284" i="217"/>
  <c r="B284" i="217"/>
  <c r="H283" i="217"/>
  <c r="D282" i="217"/>
  <c r="B282" i="217"/>
  <c r="H281" i="217"/>
  <c r="E281" i="217"/>
  <c r="D281" i="217"/>
  <c r="C281" i="217"/>
  <c r="B281" i="217"/>
  <c r="AV277" i="217"/>
  <c r="AU277" i="217"/>
  <c r="AT277" i="217"/>
  <c r="AS277" i="217"/>
  <c r="AR277" i="217"/>
  <c r="AQ277" i="217"/>
  <c r="AP277" i="217"/>
  <c r="AO277" i="217"/>
  <c r="AN277" i="217"/>
  <c r="AM277" i="217"/>
  <c r="AL277" i="217"/>
  <c r="AK277" i="217"/>
  <c r="AJ277" i="217"/>
  <c r="C277" i="217"/>
  <c r="C276" i="217"/>
  <c r="C275" i="217"/>
  <c r="AV274" i="217"/>
  <c r="AU274" i="217"/>
  <c r="AT274" i="217"/>
  <c r="AS274" i="217"/>
  <c r="AR274" i="217"/>
  <c r="AQ274" i="217"/>
  <c r="AP274" i="217"/>
  <c r="AO274" i="217"/>
  <c r="AN274" i="217"/>
  <c r="AM274" i="217"/>
  <c r="AL274" i="217"/>
  <c r="AK274" i="217"/>
  <c r="AJ274" i="217"/>
  <c r="C274" i="217"/>
  <c r="AV262" i="217"/>
  <c r="AU262" i="217"/>
  <c r="AT262" i="217"/>
  <c r="AS262" i="217"/>
  <c r="AR262" i="217"/>
  <c r="AQ262" i="217"/>
  <c r="AP262" i="217"/>
  <c r="AO262" i="217"/>
  <c r="AN262" i="217"/>
  <c r="AM262" i="217"/>
  <c r="AL262" i="217"/>
  <c r="AK262" i="217"/>
  <c r="AJ262" i="217"/>
  <c r="AI262" i="217"/>
  <c r="AH262" i="217"/>
  <c r="AG262" i="217"/>
  <c r="AF262" i="217"/>
  <c r="AE262" i="217"/>
  <c r="AD262" i="217"/>
  <c r="AC262" i="217"/>
  <c r="AB262" i="217"/>
  <c r="AA262" i="217"/>
  <c r="Z262" i="217"/>
  <c r="Y262" i="217"/>
  <c r="X262" i="217"/>
  <c r="W262" i="217"/>
  <c r="AU260" i="217"/>
  <c r="AT260" i="217"/>
  <c r="AS260" i="217"/>
  <c r="AR260" i="217"/>
  <c r="AQ260" i="217"/>
  <c r="AP260" i="217"/>
  <c r="AO260" i="217"/>
  <c r="AN260" i="217"/>
  <c r="AM260" i="217"/>
  <c r="AL260" i="217"/>
  <c r="AK260" i="217"/>
  <c r="AJ260" i="217"/>
  <c r="AI260" i="217"/>
  <c r="AH260" i="217"/>
  <c r="AG260" i="217"/>
  <c r="AF260" i="217"/>
  <c r="AE260" i="217"/>
  <c r="AD260" i="217"/>
  <c r="AC260" i="217"/>
  <c r="AB260" i="217"/>
  <c r="AA260" i="217"/>
  <c r="Z260" i="217"/>
  <c r="Y260" i="217"/>
  <c r="X260" i="217"/>
  <c r="W260" i="217"/>
  <c r="B256" i="217"/>
  <c r="B255" i="217"/>
  <c r="I252" i="217"/>
  <c r="H252" i="217"/>
  <c r="F252" i="217"/>
  <c r="E252" i="217"/>
  <c r="D252" i="217"/>
  <c r="C252" i="217"/>
  <c r="B252" i="217"/>
  <c r="I251" i="217"/>
  <c r="H251" i="217"/>
  <c r="F251" i="217"/>
  <c r="E251" i="217"/>
  <c r="D251" i="217"/>
  <c r="C251" i="217"/>
  <c r="B251" i="217"/>
  <c r="I250" i="217"/>
  <c r="H250" i="217"/>
  <c r="F250" i="217"/>
  <c r="E250" i="217"/>
  <c r="D250" i="217"/>
  <c r="C250" i="217"/>
  <c r="B250" i="217"/>
  <c r="I249" i="217"/>
  <c r="H249" i="217"/>
  <c r="E249" i="217"/>
  <c r="D249" i="217"/>
  <c r="C249" i="217"/>
  <c r="B249" i="217"/>
  <c r="I248" i="217"/>
  <c r="H248" i="217"/>
  <c r="E248" i="217"/>
  <c r="D248" i="217"/>
  <c r="C248" i="217"/>
  <c r="B248" i="217"/>
  <c r="I247" i="217"/>
  <c r="H247" i="217"/>
  <c r="E247" i="217"/>
  <c r="D247" i="217"/>
  <c r="C247" i="217"/>
  <c r="B247" i="217"/>
  <c r="I246" i="217"/>
  <c r="H246" i="217"/>
  <c r="E246" i="217"/>
  <c r="D246" i="217"/>
  <c r="C246" i="217"/>
  <c r="B246" i="217"/>
  <c r="I245" i="217"/>
  <c r="H245" i="217"/>
  <c r="E245" i="217"/>
  <c r="D245" i="217"/>
  <c r="C245" i="217"/>
  <c r="B245" i="217"/>
  <c r="I244" i="217"/>
  <c r="H244" i="217"/>
  <c r="E244" i="217"/>
  <c r="D244" i="217"/>
  <c r="C244" i="217"/>
  <c r="B244" i="217"/>
  <c r="I243" i="217"/>
  <c r="H243" i="217"/>
  <c r="E243" i="217"/>
  <c r="D243" i="217"/>
  <c r="C243" i="217"/>
  <c r="B243" i="217"/>
  <c r="I242" i="217"/>
  <c r="H242" i="217"/>
  <c r="E242" i="217"/>
  <c r="D242" i="217"/>
  <c r="C242" i="217"/>
  <c r="B242" i="217"/>
  <c r="AV241" i="217"/>
  <c r="AI241" i="217"/>
  <c r="I241" i="217"/>
  <c r="H241" i="217"/>
  <c r="F241" i="217"/>
  <c r="E241" i="217"/>
  <c r="D241" i="217"/>
  <c r="C241" i="217"/>
  <c r="B241" i="217"/>
  <c r="I240" i="217"/>
  <c r="H240" i="217"/>
  <c r="F240" i="217"/>
  <c r="E240" i="217"/>
  <c r="D240" i="217"/>
  <c r="C240" i="217"/>
  <c r="B240" i="217"/>
  <c r="H239" i="217"/>
  <c r="F239" i="217"/>
  <c r="E239" i="217"/>
  <c r="D239" i="217"/>
  <c r="C239" i="217"/>
  <c r="B239" i="217"/>
  <c r="AV238" i="217"/>
  <c r="AI238" i="217"/>
  <c r="H238" i="217"/>
  <c r="F238" i="217"/>
  <c r="E238" i="217"/>
  <c r="D238" i="217"/>
  <c r="C238" i="217"/>
  <c r="B238" i="217"/>
  <c r="I237" i="217"/>
  <c r="H237" i="217"/>
  <c r="F237" i="217"/>
  <c r="E237" i="217"/>
  <c r="D237" i="217"/>
  <c r="C237" i="217"/>
  <c r="B237" i="217"/>
  <c r="I236" i="217"/>
  <c r="H236" i="217"/>
  <c r="F236" i="217"/>
  <c r="E236" i="217"/>
  <c r="D236" i="217"/>
  <c r="C236" i="217"/>
  <c r="B236" i="217"/>
  <c r="AO235" i="217"/>
  <c r="AN235" i="217"/>
  <c r="AM235" i="217"/>
  <c r="AL235" i="217"/>
  <c r="AK235" i="217"/>
  <c r="AJ235" i="217"/>
  <c r="AI235" i="217"/>
  <c r="AH235" i="217"/>
  <c r="AG235" i="217"/>
  <c r="AF235" i="217"/>
  <c r="AE235" i="217"/>
  <c r="AD235" i="217"/>
  <c r="AC235" i="217"/>
  <c r="AB235" i="217"/>
  <c r="AA235" i="217"/>
  <c r="Z235" i="217"/>
  <c r="Y235" i="217"/>
  <c r="X235" i="217"/>
  <c r="W235" i="217"/>
  <c r="I235" i="217"/>
  <c r="H235" i="217"/>
  <c r="F235" i="217"/>
  <c r="E235" i="217"/>
  <c r="D235" i="217"/>
  <c r="C235" i="217"/>
  <c r="B235" i="217"/>
  <c r="I234" i="217"/>
  <c r="H234" i="217"/>
  <c r="F234" i="217"/>
  <c r="E234" i="217"/>
  <c r="D234" i="217"/>
  <c r="C234" i="217"/>
  <c r="B234" i="217"/>
  <c r="H233" i="217"/>
  <c r="F233" i="217"/>
  <c r="E233" i="217"/>
  <c r="D233" i="217"/>
  <c r="C233" i="217"/>
  <c r="B233" i="217"/>
  <c r="H232" i="217"/>
  <c r="F232" i="217"/>
  <c r="X232" i="217" s="1"/>
  <c r="E232" i="217"/>
  <c r="D232" i="217"/>
  <c r="C232" i="217"/>
  <c r="B232" i="217"/>
  <c r="H231" i="217"/>
  <c r="F231" i="217"/>
  <c r="E231" i="217"/>
  <c r="D231" i="217"/>
  <c r="C231" i="217"/>
  <c r="B231" i="217"/>
  <c r="I230" i="217"/>
  <c r="H230" i="217"/>
  <c r="F230" i="217"/>
  <c r="E230" i="217"/>
  <c r="D230" i="217"/>
  <c r="C230" i="217"/>
  <c r="B230" i="217"/>
  <c r="H229" i="217"/>
  <c r="F229" i="217"/>
  <c r="AB229" i="217" s="1"/>
  <c r="E229" i="217"/>
  <c r="D229" i="217"/>
  <c r="C229" i="217"/>
  <c r="B229" i="217"/>
  <c r="I228" i="217"/>
  <c r="H228" i="217"/>
  <c r="F228" i="217"/>
  <c r="E228" i="217"/>
  <c r="D228" i="217"/>
  <c r="C228" i="217"/>
  <c r="B228" i="217"/>
  <c r="I227" i="217"/>
  <c r="H227" i="217"/>
  <c r="F227" i="217"/>
  <c r="E227" i="217"/>
  <c r="D227" i="217"/>
  <c r="C227" i="217"/>
  <c r="B227" i="217"/>
  <c r="AV226" i="217"/>
  <c r="AI226" i="217"/>
  <c r="I226" i="217"/>
  <c r="H226" i="217"/>
  <c r="F226" i="217"/>
  <c r="E226" i="217"/>
  <c r="D226" i="217"/>
  <c r="C226" i="217"/>
  <c r="B226" i="217"/>
  <c r="AU224" i="217"/>
  <c r="AT224" i="217"/>
  <c r="AS224" i="217"/>
  <c r="AR224" i="217"/>
  <c r="AQ224" i="217"/>
  <c r="AP224" i="217"/>
  <c r="AO224" i="217"/>
  <c r="AN224" i="217"/>
  <c r="AM224" i="217"/>
  <c r="AL224" i="217"/>
  <c r="AK224" i="217"/>
  <c r="AJ224" i="217"/>
  <c r="AI224" i="217"/>
  <c r="AH224" i="217"/>
  <c r="AG224" i="217"/>
  <c r="AF224" i="217"/>
  <c r="AE224" i="217"/>
  <c r="AD224" i="217"/>
  <c r="AC224" i="217"/>
  <c r="AB224" i="217"/>
  <c r="AA224" i="217"/>
  <c r="Z224" i="217"/>
  <c r="Y224" i="217"/>
  <c r="X224" i="217"/>
  <c r="W224" i="217"/>
  <c r="AU220" i="217"/>
  <c r="AT220" i="217"/>
  <c r="AS220" i="217"/>
  <c r="AR220" i="217"/>
  <c r="AQ220" i="217"/>
  <c r="AP220" i="217"/>
  <c r="AO220" i="217"/>
  <c r="AN220" i="217"/>
  <c r="AM220" i="217"/>
  <c r="AL220" i="217"/>
  <c r="AK220" i="217"/>
  <c r="AI217" i="217"/>
  <c r="I217" i="217"/>
  <c r="H217" i="217"/>
  <c r="F217" i="217"/>
  <c r="E217" i="217"/>
  <c r="D217" i="217"/>
  <c r="C217" i="217"/>
  <c r="B217" i="217"/>
  <c r="AI216" i="217"/>
  <c r="I216" i="217"/>
  <c r="H216" i="217"/>
  <c r="F216" i="217"/>
  <c r="E216" i="217"/>
  <c r="D216" i="217"/>
  <c r="C216" i="217"/>
  <c r="B216" i="217"/>
  <c r="AI215" i="217"/>
  <c r="I215" i="217"/>
  <c r="H215" i="217"/>
  <c r="F215" i="217"/>
  <c r="E215" i="217"/>
  <c r="D215" i="217"/>
  <c r="C215" i="217"/>
  <c r="B215" i="217"/>
  <c r="I214" i="217"/>
  <c r="H214" i="217"/>
  <c r="E214" i="217"/>
  <c r="D214" i="217"/>
  <c r="C214" i="217"/>
  <c r="B214" i="217"/>
  <c r="I213" i="217"/>
  <c r="H213" i="217"/>
  <c r="E213" i="217"/>
  <c r="D213" i="217"/>
  <c r="C213" i="217"/>
  <c r="B213" i="217"/>
  <c r="AV212" i="217"/>
  <c r="AU212" i="217"/>
  <c r="AT212" i="217"/>
  <c r="AS212" i="217"/>
  <c r="AR212" i="217"/>
  <c r="AQ212" i="217"/>
  <c r="AP212" i="217"/>
  <c r="AO212" i="217"/>
  <c r="AN212" i="217"/>
  <c r="AM212" i="217"/>
  <c r="AL212" i="217"/>
  <c r="AK212" i="217"/>
  <c r="AJ212" i="217"/>
  <c r="AI212" i="217"/>
  <c r="AH212" i="217"/>
  <c r="AG212" i="217"/>
  <c r="AF212" i="217"/>
  <c r="AE212" i="217"/>
  <c r="AD212" i="217"/>
  <c r="AC212" i="217"/>
  <c r="AB212" i="217"/>
  <c r="AA212" i="217"/>
  <c r="Z212" i="217"/>
  <c r="Y212" i="217"/>
  <c r="X212" i="217"/>
  <c r="W212" i="217"/>
  <c r="I212" i="217"/>
  <c r="H212" i="217"/>
  <c r="E212" i="217"/>
  <c r="D212" i="217"/>
  <c r="C212" i="217"/>
  <c r="B212" i="217"/>
  <c r="AV211" i="217"/>
  <c r="AU211" i="217"/>
  <c r="AT211" i="217"/>
  <c r="AS211" i="217"/>
  <c r="AR211" i="217"/>
  <c r="AQ211" i="217"/>
  <c r="AP211" i="217"/>
  <c r="AO211" i="217"/>
  <c r="AN211" i="217"/>
  <c r="AM211" i="217"/>
  <c r="AL211" i="217"/>
  <c r="AK211" i="217"/>
  <c r="AJ211" i="217"/>
  <c r="AI211" i="217"/>
  <c r="AH211" i="217"/>
  <c r="AG211" i="217"/>
  <c r="AF211" i="217"/>
  <c r="AE211" i="217"/>
  <c r="AD211" i="217"/>
  <c r="AC211" i="217"/>
  <c r="AB211" i="217"/>
  <c r="AA211" i="217"/>
  <c r="Z211" i="217"/>
  <c r="Y211" i="217"/>
  <c r="X211" i="217"/>
  <c r="W211" i="217"/>
  <c r="I211" i="217"/>
  <c r="H211" i="217"/>
  <c r="E211" i="217"/>
  <c r="D211" i="217"/>
  <c r="C211" i="217"/>
  <c r="B211" i="217"/>
  <c r="I210" i="217"/>
  <c r="H210" i="217"/>
  <c r="E210" i="217"/>
  <c r="D210" i="217"/>
  <c r="C210" i="217"/>
  <c r="B210" i="217"/>
  <c r="AV209" i="217"/>
  <c r="AU209" i="217"/>
  <c r="AT209" i="217"/>
  <c r="AS209" i="217"/>
  <c r="AR209" i="217"/>
  <c r="AQ209" i="217"/>
  <c r="AP209" i="217"/>
  <c r="AO209" i="217"/>
  <c r="AN209" i="217"/>
  <c r="AM209" i="217"/>
  <c r="AL209" i="217"/>
  <c r="AK209" i="217"/>
  <c r="AJ209" i="217"/>
  <c r="AI209" i="217"/>
  <c r="AH209" i="217"/>
  <c r="AG209" i="217"/>
  <c r="AF209" i="217"/>
  <c r="AE209" i="217"/>
  <c r="AD209" i="217"/>
  <c r="AC209" i="217"/>
  <c r="AB209" i="217"/>
  <c r="AA209" i="217"/>
  <c r="Z209" i="217"/>
  <c r="Y209" i="217"/>
  <c r="X209" i="217"/>
  <c r="W209" i="217"/>
  <c r="I209" i="217"/>
  <c r="H209" i="217"/>
  <c r="E209" i="217"/>
  <c r="D209" i="217"/>
  <c r="C209" i="217"/>
  <c r="B209" i="217"/>
  <c r="AV208" i="217"/>
  <c r="AU208" i="217"/>
  <c r="AT208" i="217"/>
  <c r="AS208" i="217"/>
  <c r="AR208" i="217"/>
  <c r="AQ208" i="217"/>
  <c r="AP208" i="217"/>
  <c r="AO208" i="217"/>
  <c r="AN208" i="217"/>
  <c r="AM208" i="217"/>
  <c r="AL208" i="217"/>
  <c r="AK208" i="217"/>
  <c r="AJ208" i="217"/>
  <c r="AI208" i="217"/>
  <c r="AH208" i="217"/>
  <c r="AG208" i="217"/>
  <c r="AF208" i="217"/>
  <c r="AE208" i="217"/>
  <c r="AD208" i="217"/>
  <c r="AC208" i="217"/>
  <c r="AB208" i="217"/>
  <c r="AA208" i="217"/>
  <c r="Z208" i="217"/>
  <c r="Y208" i="217"/>
  <c r="X208" i="217"/>
  <c r="W208" i="217"/>
  <c r="I208" i="217"/>
  <c r="H208" i="217"/>
  <c r="E208" i="217"/>
  <c r="D208" i="217"/>
  <c r="C208" i="217"/>
  <c r="B208" i="217"/>
  <c r="AV207" i="217"/>
  <c r="AU207" i="217"/>
  <c r="AT207" i="217"/>
  <c r="AS207" i="217"/>
  <c r="AR207" i="217"/>
  <c r="AQ207" i="217"/>
  <c r="AP207" i="217"/>
  <c r="AO207" i="217"/>
  <c r="AN207" i="217"/>
  <c r="AM207" i="217"/>
  <c r="AL207" i="217"/>
  <c r="AK207" i="217"/>
  <c r="AJ207" i="217"/>
  <c r="AI207" i="217"/>
  <c r="AH207" i="217"/>
  <c r="AG207" i="217"/>
  <c r="AF207" i="217"/>
  <c r="AE207" i="217"/>
  <c r="AD207" i="217"/>
  <c r="AC207" i="217"/>
  <c r="AB207" i="217"/>
  <c r="AA207" i="217"/>
  <c r="Z207" i="217"/>
  <c r="Y207" i="217"/>
  <c r="X207" i="217"/>
  <c r="W207" i="217"/>
  <c r="I207" i="217"/>
  <c r="H207" i="217"/>
  <c r="E207" i="217"/>
  <c r="D207" i="217"/>
  <c r="C207" i="217"/>
  <c r="B207" i="217"/>
  <c r="AV206" i="217"/>
  <c r="I206" i="217"/>
  <c r="H206" i="217"/>
  <c r="F206" i="217"/>
  <c r="E206" i="217"/>
  <c r="D206" i="217"/>
  <c r="C206" i="217"/>
  <c r="B206" i="217"/>
  <c r="AV205" i="217"/>
  <c r="I205" i="217"/>
  <c r="H205" i="217"/>
  <c r="F205" i="217"/>
  <c r="E205" i="217"/>
  <c r="D205" i="217"/>
  <c r="C205" i="217"/>
  <c r="B205" i="217"/>
  <c r="AV204" i="217"/>
  <c r="H204" i="217"/>
  <c r="F204" i="217"/>
  <c r="E204" i="217"/>
  <c r="D204" i="217"/>
  <c r="C204" i="217"/>
  <c r="B204" i="217"/>
  <c r="AV203" i="217"/>
  <c r="H203" i="217"/>
  <c r="F203" i="217"/>
  <c r="E203" i="217"/>
  <c r="D203" i="217"/>
  <c r="C203" i="217"/>
  <c r="B203" i="217"/>
  <c r="AV202" i="217"/>
  <c r="AU202" i="217"/>
  <c r="AT202" i="217"/>
  <c r="AS202" i="217"/>
  <c r="AR202" i="217"/>
  <c r="AQ202" i="217"/>
  <c r="AP202" i="217"/>
  <c r="AO202" i="217"/>
  <c r="AN202" i="217"/>
  <c r="AM202" i="217"/>
  <c r="AL202" i="217"/>
  <c r="AK202" i="217"/>
  <c r="AJ202" i="217"/>
  <c r="AI202" i="217"/>
  <c r="AH202" i="217"/>
  <c r="AG202" i="217"/>
  <c r="AF202" i="217"/>
  <c r="AE202" i="217"/>
  <c r="AD202" i="217"/>
  <c r="AC202" i="217"/>
  <c r="AB202" i="217"/>
  <c r="AA202" i="217"/>
  <c r="Z202" i="217"/>
  <c r="Y202" i="217"/>
  <c r="X202" i="217"/>
  <c r="W202" i="217"/>
  <c r="I202" i="217"/>
  <c r="H202" i="217"/>
  <c r="F202" i="217"/>
  <c r="E202" i="217"/>
  <c r="D202" i="217"/>
  <c r="C202" i="217"/>
  <c r="B202" i="217"/>
  <c r="AV201" i="217"/>
  <c r="AU201" i="217"/>
  <c r="AT201" i="217"/>
  <c r="AS201" i="217"/>
  <c r="AR201" i="217"/>
  <c r="AQ201" i="217"/>
  <c r="AP201" i="217"/>
  <c r="AO201" i="217"/>
  <c r="AN201" i="217"/>
  <c r="AM201" i="217"/>
  <c r="AL201" i="217"/>
  <c r="AK201" i="217"/>
  <c r="AJ201" i="217"/>
  <c r="AI201" i="217"/>
  <c r="AH201" i="217"/>
  <c r="AG201" i="217"/>
  <c r="AF201" i="217"/>
  <c r="AE201" i="217"/>
  <c r="AD201" i="217"/>
  <c r="AC201" i="217"/>
  <c r="AB201" i="217"/>
  <c r="AA201" i="217"/>
  <c r="Z201" i="217"/>
  <c r="Y201" i="217"/>
  <c r="X201" i="217"/>
  <c r="W201" i="217"/>
  <c r="I201" i="217"/>
  <c r="H201" i="217"/>
  <c r="F201" i="217"/>
  <c r="E201" i="217"/>
  <c r="D201" i="217"/>
  <c r="C201" i="217"/>
  <c r="B201" i="217"/>
  <c r="AV200" i="217"/>
  <c r="AU200" i="217"/>
  <c r="AT200" i="217"/>
  <c r="AS200" i="217"/>
  <c r="AR200" i="217"/>
  <c r="AQ200" i="217"/>
  <c r="AP200" i="217"/>
  <c r="AO200" i="217"/>
  <c r="AN200" i="217"/>
  <c r="AM200" i="217"/>
  <c r="AL200" i="217"/>
  <c r="AK200" i="217"/>
  <c r="AJ200" i="217"/>
  <c r="AI200" i="217"/>
  <c r="AH200" i="217"/>
  <c r="AG200" i="217"/>
  <c r="AF200" i="217"/>
  <c r="AE200" i="217"/>
  <c r="AD200" i="217"/>
  <c r="AC200" i="217"/>
  <c r="AB200" i="217"/>
  <c r="AA200" i="217"/>
  <c r="Z200" i="217"/>
  <c r="Y200" i="217"/>
  <c r="X200" i="217"/>
  <c r="W200" i="217"/>
  <c r="I200" i="217"/>
  <c r="H200" i="217"/>
  <c r="F200" i="217"/>
  <c r="E200" i="217"/>
  <c r="D200" i="217"/>
  <c r="C200" i="217"/>
  <c r="B200" i="217"/>
  <c r="AV199" i="217"/>
  <c r="I199" i="217"/>
  <c r="H199" i="217"/>
  <c r="F199" i="217"/>
  <c r="E199" i="217"/>
  <c r="D199" i="217"/>
  <c r="C199" i="217"/>
  <c r="B199" i="217"/>
  <c r="AV198" i="217"/>
  <c r="AU198" i="217"/>
  <c r="AT198" i="217"/>
  <c r="AS198" i="217"/>
  <c r="AR198" i="217"/>
  <c r="AQ198" i="217"/>
  <c r="AP198" i="217"/>
  <c r="AO198" i="217"/>
  <c r="AN198" i="217"/>
  <c r="AM198" i="217"/>
  <c r="AL198" i="217"/>
  <c r="AK198" i="217"/>
  <c r="AJ198" i="217"/>
  <c r="AI198" i="217"/>
  <c r="AH198" i="217"/>
  <c r="AG198" i="217"/>
  <c r="AF198" i="217"/>
  <c r="AE198" i="217"/>
  <c r="AD198" i="217"/>
  <c r="AC198" i="217"/>
  <c r="AB198" i="217"/>
  <c r="AA198" i="217"/>
  <c r="Z198" i="217"/>
  <c r="Y198" i="217"/>
  <c r="X198" i="217"/>
  <c r="W198" i="217"/>
  <c r="H198" i="217"/>
  <c r="F198" i="217"/>
  <c r="E198" i="217"/>
  <c r="D198" i="217"/>
  <c r="C198" i="217"/>
  <c r="B198" i="217"/>
  <c r="AV197" i="217"/>
  <c r="H197" i="217"/>
  <c r="F197" i="217"/>
  <c r="E197" i="217"/>
  <c r="D197" i="217"/>
  <c r="C197" i="217"/>
  <c r="B197" i="217"/>
  <c r="AV196" i="217"/>
  <c r="H196" i="217"/>
  <c r="F196" i="217"/>
  <c r="E196" i="217"/>
  <c r="D196" i="217"/>
  <c r="C196" i="217"/>
  <c r="B196" i="217"/>
  <c r="AV195" i="217"/>
  <c r="I195" i="217"/>
  <c r="H195" i="217"/>
  <c r="F195" i="217"/>
  <c r="E195" i="217"/>
  <c r="D195" i="217"/>
  <c r="C195" i="217"/>
  <c r="B195" i="217"/>
  <c r="AV194" i="217"/>
  <c r="AU194" i="217"/>
  <c r="AT194" i="217"/>
  <c r="AS194" i="217"/>
  <c r="AR194" i="217"/>
  <c r="AQ194" i="217"/>
  <c r="AP194" i="217"/>
  <c r="AO194" i="217"/>
  <c r="AN194" i="217"/>
  <c r="AM194" i="217"/>
  <c r="AL194" i="217"/>
  <c r="AK194" i="217"/>
  <c r="AJ194" i="217"/>
  <c r="AI194" i="217"/>
  <c r="AH194" i="217"/>
  <c r="AG194" i="217"/>
  <c r="AF194" i="217"/>
  <c r="AE194" i="217"/>
  <c r="AD194" i="217"/>
  <c r="AC194" i="217"/>
  <c r="AB194" i="217"/>
  <c r="AA194" i="217"/>
  <c r="Z194" i="217"/>
  <c r="Y194" i="217"/>
  <c r="X194" i="217"/>
  <c r="W194" i="217"/>
  <c r="H194" i="217"/>
  <c r="F194" i="217"/>
  <c r="E194" i="217"/>
  <c r="D194" i="217"/>
  <c r="C194" i="217"/>
  <c r="B194" i="217"/>
  <c r="AV193" i="217"/>
  <c r="I193" i="217"/>
  <c r="H193" i="217"/>
  <c r="F193" i="217"/>
  <c r="E193" i="217"/>
  <c r="D193" i="217"/>
  <c r="C193" i="217"/>
  <c r="B193" i="217"/>
  <c r="I192" i="217"/>
  <c r="H192" i="217"/>
  <c r="F192" i="217"/>
  <c r="E192" i="217"/>
  <c r="D192" i="217"/>
  <c r="C192" i="217"/>
  <c r="B192" i="217"/>
  <c r="AV191" i="217"/>
  <c r="AI191" i="217"/>
  <c r="I191" i="217"/>
  <c r="H191" i="217"/>
  <c r="F191" i="217"/>
  <c r="E191" i="217"/>
  <c r="D191" i="217"/>
  <c r="C191" i="217"/>
  <c r="B191" i="217"/>
  <c r="AU189" i="217"/>
  <c r="AT189" i="217"/>
  <c r="AS189" i="217"/>
  <c r="AR189" i="217"/>
  <c r="AQ189" i="217"/>
  <c r="AP189" i="217"/>
  <c r="AO189" i="217"/>
  <c r="AN189" i="217"/>
  <c r="AM189" i="217"/>
  <c r="AL189" i="217"/>
  <c r="AK189" i="217"/>
  <c r="AJ189" i="217"/>
  <c r="AI189" i="217"/>
  <c r="AH189" i="217"/>
  <c r="AG189" i="217"/>
  <c r="AF189" i="217"/>
  <c r="AE189" i="217"/>
  <c r="AD189" i="217"/>
  <c r="AC189" i="217"/>
  <c r="AB189" i="217"/>
  <c r="AA189" i="217"/>
  <c r="Z189" i="217"/>
  <c r="Y189" i="217"/>
  <c r="X189" i="217"/>
  <c r="W189" i="217"/>
  <c r="B185" i="217"/>
  <c r="B184" i="217"/>
  <c r="I182" i="217"/>
  <c r="H182" i="217"/>
  <c r="F182" i="217"/>
  <c r="E182" i="217"/>
  <c r="D182" i="217"/>
  <c r="C182" i="217"/>
  <c r="B182" i="217"/>
  <c r="I181" i="217"/>
  <c r="H181" i="217"/>
  <c r="F181" i="217"/>
  <c r="E181" i="217"/>
  <c r="D181" i="217"/>
  <c r="C181" i="217"/>
  <c r="B181" i="217"/>
  <c r="I180" i="217"/>
  <c r="H180" i="217"/>
  <c r="F180" i="217"/>
  <c r="E180" i="217"/>
  <c r="D180" i="217"/>
  <c r="C180" i="217"/>
  <c r="B180" i="217"/>
  <c r="I179" i="217"/>
  <c r="H179" i="217"/>
  <c r="E179" i="217"/>
  <c r="D179" i="217"/>
  <c r="C179" i="217"/>
  <c r="B179" i="217"/>
  <c r="I178" i="217"/>
  <c r="H178" i="217"/>
  <c r="E178" i="217"/>
  <c r="D178" i="217"/>
  <c r="C178" i="217"/>
  <c r="B178" i="217"/>
  <c r="I177" i="217"/>
  <c r="H177" i="217"/>
  <c r="E177" i="217"/>
  <c r="D177" i="217"/>
  <c r="C177" i="217"/>
  <c r="B177" i="217"/>
  <c r="I176" i="217"/>
  <c r="H176" i="217"/>
  <c r="E176" i="217"/>
  <c r="D176" i="217"/>
  <c r="C176" i="217"/>
  <c r="B176" i="217"/>
  <c r="I175" i="217"/>
  <c r="H175" i="217"/>
  <c r="E175" i="217"/>
  <c r="D175" i="217"/>
  <c r="C175" i="217"/>
  <c r="B175" i="217"/>
  <c r="I174" i="217"/>
  <c r="H174" i="217"/>
  <c r="E174" i="217"/>
  <c r="D174" i="217"/>
  <c r="C174" i="217"/>
  <c r="B174" i="217"/>
  <c r="I173" i="217"/>
  <c r="H173" i="217"/>
  <c r="E173" i="217"/>
  <c r="D173" i="217"/>
  <c r="C173" i="217"/>
  <c r="B173" i="217"/>
  <c r="I172" i="217"/>
  <c r="H172" i="217"/>
  <c r="E172" i="217"/>
  <c r="D172" i="217"/>
  <c r="C172" i="217"/>
  <c r="B172" i="217"/>
  <c r="AV171" i="217"/>
  <c r="AI171" i="217"/>
  <c r="I171" i="217"/>
  <c r="H171" i="217"/>
  <c r="F171" i="217"/>
  <c r="E171" i="217"/>
  <c r="D171" i="217"/>
  <c r="C171" i="217"/>
  <c r="B171" i="217"/>
  <c r="I170" i="217"/>
  <c r="H170" i="217"/>
  <c r="F170" i="217"/>
  <c r="E170" i="217"/>
  <c r="D170" i="217"/>
  <c r="C170" i="217"/>
  <c r="B170" i="217"/>
  <c r="H169" i="217"/>
  <c r="F169" i="217"/>
  <c r="E169" i="217"/>
  <c r="D169" i="217"/>
  <c r="C169" i="217"/>
  <c r="B169" i="217"/>
  <c r="AV168" i="217"/>
  <c r="AI168" i="217"/>
  <c r="H168" i="217"/>
  <c r="F168" i="217"/>
  <c r="E168" i="217"/>
  <c r="D168" i="217"/>
  <c r="C168" i="217"/>
  <c r="B168" i="217"/>
  <c r="I167" i="217"/>
  <c r="H167" i="217"/>
  <c r="F167" i="217"/>
  <c r="E167" i="217"/>
  <c r="D167" i="217"/>
  <c r="C167" i="217"/>
  <c r="B167" i="217"/>
  <c r="I166" i="217"/>
  <c r="H166" i="217"/>
  <c r="F166" i="217"/>
  <c r="E166" i="217"/>
  <c r="D166" i="217"/>
  <c r="C166" i="217"/>
  <c r="B166" i="217"/>
  <c r="AO165" i="217"/>
  <c r="AN165" i="217"/>
  <c r="AM165" i="217"/>
  <c r="AL165" i="217"/>
  <c r="AK165" i="217"/>
  <c r="AJ165" i="217"/>
  <c r="AI165" i="217"/>
  <c r="AH165" i="217"/>
  <c r="AG165" i="217"/>
  <c r="AF165" i="217"/>
  <c r="AE165" i="217"/>
  <c r="AD165" i="217"/>
  <c r="AC165" i="217"/>
  <c r="AB165" i="217"/>
  <c r="AA165" i="217"/>
  <c r="Z165" i="217"/>
  <c r="Y165" i="217"/>
  <c r="X165" i="217"/>
  <c r="W165" i="217"/>
  <c r="I165" i="217"/>
  <c r="H165" i="217"/>
  <c r="F165" i="217"/>
  <c r="E165" i="217"/>
  <c r="D165" i="217"/>
  <c r="C165" i="217"/>
  <c r="B165" i="217"/>
  <c r="AI164" i="217"/>
  <c r="AH164" i="217"/>
  <c r="AG164" i="217"/>
  <c r="AF164" i="217"/>
  <c r="AE164" i="217"/>
  <c r="AD164" i="217"/>
  <c r="AC164" i="217"/>
  <c r="AB164" i="217"/>
  <c r="AA164" i="217"/>
  <c r="Z164" i="217"/>
  <c r="Y164" i="217"/>
  <c r="X164" i="217"/>
  <c r="W164" i="217"/>
  <c r="I164" i="217"/>
  <c r="H164" i="217"/>
  <c r="F164" i="217"/>
  <c r="E164" i="217"/>
  <c r="D164" i="217"/>
  <c r="C164" i="217"/>
  <c r="B164" i="217"/>
  <c r="AI163" i="217"/>
  <c r="AH163" i="217"/>
  <c r="AG163" i="217"/>
  <c r="AF163" i="217"/>
  <c r="AE163" i="217"/>
  <c r="AD163" i="217"/>
  <c r="AC163" i="217"/>
  <c r="AB163" i="217"/>
  <c r="AA163" i="217"/>
  <c r="Z163" i="217"/>
  <c r="Y163" i="217"/>
  <c r="X163" i="217"/>
  <c r="W163" i="217"/>
  <c r="H163" i="217"/>
  <c r="F163" i="217"/>
  <c r="E163" i="217"/>
  <c r="D163" i="217"/>
  <c r="C163" i="217"/>
  <c r="B163" i="217"/>
  <c r="H162" i="217"/>
  <c r="F162" i="217"/>
  <c r="E162" i="217"/>
  <c r="D162" i="217"/>
  <c r="C162" i="217"/>
  <c r="B162" i="217"/>
  <c r="H161" i="217"/>
  <c r="F161" i="217"/>
  <c r="E161" i="217"/>
  <c r="D161" i="217"/>
  <c r="C161" i="217"/>
  <c r="B161" i="217"/>
  <c r="I160" i="217"/>
  <c r="H160" i="217"/>
  <c r="F160" i="217"/>
  <c r="E160" i="217"/>
  <c r="D160" i="217"/>
  <c r="C160" i="217"/>
  <c r="B160" i="217"/>
  <c r="H159" i="217"/>
  <c r="F159" i="217"/>
  <c r="E159" i="217"/>
  <c r="D159" i="217"/>
  <c r="C159" i="217"/>
  <c r="B159" i="217"/>
  <c r="I158" i="217"/>
  <c r="H158" i="217"/>
  <c r="F158" i="217"/>
  <c r="E158" i="217"/>
  <c r="D158" i="217"/>
  <c r="C158" i="217"/>
  <c r="B158" i="217"/>
  <c r="AV157" i="217"/>
  <c r="AI157" i="217"/>
  <c r="W157" i="217"/>
  <c r="I157" i="217"/>
  <c r="H157" i="217"/>
  <c r="F157" i="217"/>
  <c r="E157" i="217"/>
  <c r="D157" i="217"/>
  <c r="C157" i="217"/>
  <c r="B157" i="217"/>
  <c r="AV156" i="217"/>
  <c r="AI156" i="217"/>
  <c r="I156" i="217"/>
  <c r="H156" i="217"/>
  <c r="F156" i="217"/>
  <c r="E156" i="217"/>
  <c r="D156" i="217"/>
  <c r="C156" i="217"/>
  <c r="B156" i="217"/>
  <c r="AU154" i="217"/>
  <c r="AT154" i="217"/>
  <c r="AS154" i="217"/>
  <c r="AR154" i="217"/>
  <c r="AQ154" i="217"/>
  <c r="AP154" i="217"/>
  <c r="AO154" i="217"/>
  <c r="AN154" i="217"/>
  <c r="AM154" i="217"/>
  <c r="AL154" i="217"/>
  <c r="AK154" i="217"/>
  <c r="AJ154" i="217"/>
  <c r="AI154" i="217"/>
  <c r="AH154" i="217"/>
  <c r="AG154" i="217"/>
  <c r="AF154" i="217"/>
  <c r="AE154" i="217"/>
  <c r="AD154" i="217"/>
  <c r="AC154" i="217"/>
  <c r="AB154" i="217"/>
  <c r="AA154" i="217"/>
  <c r="Z154" i="217"/>
  <c r="Y154" i="217"/>
  <c r="X154" i="217"/>
  <c r="W154" i="217"/>
  <c r="B150" i="217"/>
  <c r="B149" i="217"/>
  <c r="I147" i="217"/>
  <c r="H147" i="217"/>
  <c r="F147" i="217"/>
  <c r="E147" i="217"/>
  <c r="D147" i="217"/>
  <c r="C147" i="217"/>
  <c r="B147" i="217"/>
  <c r="I146" i="217"/>
  <c r="H146" i="217"/>
  <c r="F146" i="217"/>
  <c r="E146" i="217"/>
  <c r="D146" i="217"/>
  <c r="C146" i="217"/>
  <c r="B146" i="217"/>
  <c r="I145" i="217"/>
  <c r="H145" i="217"/>
  <c r="F145" i="217"/>
  <c r="E145" i="217"/>
  <c r="D145" i="217"/>
  <c r="C145" i="217"/>
  <c r="B145" i="217"/>
  <c r="I144" i="217"/>
  <c r="H144" i="217"/>
  <c r="E144" i="217"/>
  <c r="D144" i="217"/>
  <c r="C144" i="217"/>
  <c r="B144" i="217"/>
  <c r="I143" i="217"/>
  <c r="H143" i="217"/>
  <c r="E143" i="217"/>
  <c r="D143" i="217"/>
  <c r="C143" i="217"/>
  <c r="B143" i="217"/>
  <c r="I142" i="217"/>
  <c r="H142" i="217"/>
  <c r="E142" i="217"/>
  <c r="D142" i="217"/>
  <c r="C142" i="217"/>
  <c r="B142" i="217"/>
  <c r="I141" i="217"/>
  <c r="H141" i="217"/>
  <c r="E141" i="217"/>
  <c r="D141" i="217"/>
  <c r="C141" i="217"/>
  <c r="B141" i="217"/>
  <c r="I140" i="217"/>
  <c r="H140" i="217"/>
  <c r="E140" i="217"/>
  <c r="D140" i="217"/>
  <c r="C140" i="217"/>
  <c r="B140" i="217"/>
  <c r="I139" i="217"/>
  <c r="H139" i="217"/>
  <c r="E139" i="217"/>
  <c r="D139" i="217"/>
  <c r="C139" i="217"/>
  <c r="B139" i="217"/>
  <c r="I138" i="217"/>
  <c r="H138" i="217"/>
  <c r="E138" i="217"/>
  <c r="D138" i="217"/>
  <c r="C138" i="217"/>
  <c r="B138" i="217"/>
  <c r="I137" i="217"/>
  <c r="H137" i="217"/>
  <c r="E137" i="217"/>
  <c r="D137" i="217"/>
  <c r="C137" i="217"/>
  <c r="B137" i="217"/>
  <c r="AV136" i="217"/>
  <c r="I136" i="217"/>
  <c r="H136" i="217"/>
  <c r="F136" i="217"/>
  <c r="E136" i="217"/>
  <c r="D136" i="217"/>
  <c r="C136" i="217"/>
  <c r="B136" i="217"/>
  <c r="I135" i="217"/>
  <c r="H135" i="217"/>
  <c r="F135" i="217"/>
  <c r="E135" i="217"/>
  <c r="D135" i="217"/>
  <c r="C135" i="217"/>
  <c r="B135" i="217"/>
  <c r="H134" i="217"/>
  <c r="F134" i="217"/>
  <c r="E134" i="217"/>
  <c r="D134" i="217"/>
  <c r="C134" i="217"/>
  <c r="B134" i="217"/>
  <c r="AV133" i="217"/>
  <c r="H133" i="217"/>
  <c r="F133" i="217"/>
  <c r="E133" i="217"/>
  <c r="D133" i="217"/>
  <c r="C133" i="217"/>
  <c r="B133" i="217"/>
  <c r="I132" i="217"/>
  <c r="H132" i="217"/>
  <c r="F132" i="217"/>
  <c r="E132" i="217"/>
  <c r="D132" i="217"/>
  <c r="C132" i="217"/>
  <c r="B132" i="217"/>
  <c r="I131" i="217"/>
  <c r="H131" i="217"/>
  <c r="F131" i="217"/>
  <c r="E131" i="217"/>
  <c r="D131" i="217"/>
  <c r="C131" i="217"/>
  <c r="B131" i="217"/>
  <c r="AO130" i="217"/>
  <c r="AN130" i="217"/>
  <c r="AM130" i="217"/>
  <c r="AL130" i="217"/>
  <c r="AK130" i="217"/>
  <c r="AJ130" i="217"/>
  <c r="AI130" i="217"/>
  <c r="AH130" i="217"/>
  <c r="AG130" i="217"/>
  <c r="AF130" i="217"/>
  <c r="AE130" i="217"/>
  <c r="AD130" i="217"/>
  <c r="AC130" i="217"/>
  <c r="AB130" i="217"/>
  <c r="AA130" i="217"/>
  <c r="Z130" i="217"/>
  <c r="Y130" i="217"/>
  <c r="X130" i="217"/>
  <c r="W130" i="217"/>
  <c r="I130" i="217"/>
  <c r="H130" i="217"/>
  <c r="F130" i="217"/>
  <c r="E130" i="217"/>
  <c r="D130" i="217"/>
  <c r="C130" i="217"/>
  <c r="B130" i="217"/>
  <c r="I129" i="217"/>
  <c r="H129" i="217"/>
  <c r="F129" i="217"/>
  <c r="E129" i="217"/>
  <c r="D129" i="217"/>
  <c r="C129" i="217"/>
  <c r="B129" i="217"/>
  <c r="H128" i="217"/>
  <c r="F128" i="217"/>
  <c r="E128" i="217"/>
  <c r="D128" i="217"/>
  <c r="C128" i="217"/>
  <c r="B128" i="217"/>
  <c r="X127" i="217"/>
  <c r="H127" i="217"/>
  <c r="F127" i="217"/>
  <c r="E127" i="217"/>
  <c r="D127" i="217"/>
  <c r="C127" i="217"/>
  <c r="B127" i="217"/>
  <c r="H126" i="217"/>
  <c r="F126" i="217"/>
  <c r="E126" i="217"/>
  <c r="D126" i="217"/>
  <c r="C126" i="217"/>
  <c r="B126" i="217"/>
  <c r="I125" i="217"/>
  <c r="H125" i="217"/>
  <c r="F125" i="217"/>
  <c r="E125" i="217"/>
  <c r="D125" i="217"/>
  <c r="C125" i="217"/>
  <c r="B125" i="217"/>
  <c r="AB124" i="217"/>
  <c r="H124" i="217"/>
  <c r="F124" i="217"/>
  <c r="E124" i="217"/>
  <c r="D124" i="217"/>
  <c r="C124" i="217"/>
  <c r="B124" i="217"/>
  <c r="I123" i="217"/>
  <c r="H123" i="217"/>
  <c r="F123" i="217"/>
  <c r="E123" i="217"/>
  <c r="D123" i="217"/>
  <c r="C123" i="217"/>
  <c r="B123" i="217"/>
  <c r="I122" i="217"/>
  <c r="H122" i="217"/>
  <c r="F122" i="217"/>
  <c r="E122" i="217"/>
  <c r="D122" i="217"/>
  <c r="C122" i="217"/>
  <c r="B122" i="217"/>
  <c r="AV121" i="217"/>
  <c r="AI121" i="217"/>
  <c r="I121" i="217"/>
  <c r="H121" i="217"/>
  <c r="F121" i="217"/>
  <c r="E121" i="217"/>
  <c r="D121" i="217"/>
  <c r="C121" i="217"/>
  <c r="B121" i="217"/>
  <c r="AU119" i="217"/>
  <c r="AT119" i="217"/>
  <c r="AS119" i="217"/>
  <c r="AR119" i="217"/>
  <c r="AQ119" i="217"/>
  <c r="AP119" i="217"/>
  <c r="AO119" i="217"/>
  <c r="AN119" i="217"/>
  <c r="AM119" i="217"/>
  <c r="AL119" i="217"/>
  <c r="AK119" i="217"/>
  <c r="AJ119" i="217"/>
  <c r="AI119" i="217"/>
  <c r="AH119" i="217"/>
  <c r="AG119" i="217"/>
  <c r="AF119" i="217"/>
  <c r="AE119" i="217"/>
  <c r="AD119" i="217"/>
  <c r="AC119" i="217"/>
  <c r="AB119" i="217"/>
  <c r="AA119" i="217"/>
  <c r="Z119" i="217"/>
  <c r="Y119" i="217"/>
  <c r="X119" i="217"/>
  <c r="W119" i="217"/>
  <c r="B115" i="217"/>
  <c r="B114" i="217"/>
  <c r="F112" i="217"/>
  <c r="E112" i="217"/>
  <c r="D112" i="217"/>
  <c r="C112" i="217"/>
  <c r="B112" i="217"/>
  <c r="F111" i="217"/>
  <c r="E111" i="217"/>
  <c r="D111" i="217"/>
  <c r="C111" i="217"/>
  <c r="B111" i="217"/>
  <c r="F110" i="217"/>
  <c r="E110" i="217"/>
  <c r="D110" i="217"/>
  <c r="C110" i="217"/>
  <c r="B110" i="217"/>
  <c r="E109" i="217"/>
  <c r="D109" i="217"/>
  <c r="C109" i="217"/>
  <c r="B109" i="217"/>
  <c r="I108" i="217"/>
  <c r="H108" i="217"/>
  <c r="E108" i="217"/>
  <c r="D108" i="217"/>
  <c r="C108" i="217"/>
  <c r="B108" i="217"/>
  <c r="I107" i="217"/>
  <c r="H107" i="217"/>
  <c r="E107" i="217"/>
  <c r="D107" i="217"/>
  <c r="C107" i="217"/>
  <c r="B107" i="217"/>
  <c r="I106" i="217"/>
  <c r="H106" i="217"/>
  <c r="E106" i="217"/>
  <c r="D106" i="217"/>
  <c r="C106" i="217"/>
  <c r="B106" i="217"/>
  <c r="I105" i="217"/>
  <c r="H105" i="217"/>
  <c r="E105" i="217"/>
  <c r="D105" i="217"/>
  <c r="C105" i="217"/>
  <c r="B105" i="217"/>
  <c r="I104" i="217"/>
  <c r="H104" i="217"/>
  <c r="E104" i="217"/>
  <c r="D104" i="217"/>
  <c r="C104" i="217"/>
  <c r="B104" i="217"/>
  <c r="I103" i="217"/>
  <c r="H103" i="217"/>
  <c r="E103" i="217"/>
  <c r="D103" i="217"/>
  <c r="C103" i="217"/>
  <c r="B103" i="217"/>
  <c r="I102" i="217"/>
  <c r="H102" i="217"/>
  <c r="E102" i="217"/>
  <c r="D102" i="217"/>
  <c r="C102" i="217"/>
  <c r="B102" i="217"/>
  <c r="AV101" i="217"/>
  <c r="AI101" i="217"/>
  <c r="I101" i="217"/>
  <c r="H101" i="217"/>
  <c r="F101" i="217"/>
  <c r="E101" i="217"/>
  <c r="D101" i="217"/>
  <c r="C101" i="217"/>
  <c r="B101" i="217"/>
  <c r="I100" i="217"/>
  <c r="H100" i="217"/>
  <c r="F100" i="217"/>
  <c r="E100" i="217"/>
  <c r="D100" i="217"/>
  <c r="C100" i="217"/>
  <c r="B100" i="217"/>
  <c r="H99" i="217"/>
  <c r="F99" i="217"/>
  <c r="E99" i="217"/>
  <c r="D99" i="217"/>
  <c r="C99" i="217"/>
  <c r="B99" i="217"/>
  <c r="AV98" i="217"/>
  <c r="AI98" i="217"/>
  <c r="H98" i="217"/>
  <c r="F98" i="217"/>
  <c r="E98" i="217"/>
  <c r="D98" i="217"/>
  <c r="C98" i="217"/>
  <c r="B98" i="217"/>
  <c r="I97" i="217"/>
  <c r="H97" i="217"/>
  <c r="F97" i="217"/>
  <c r="E97" i="217"/>
  <c r="D97" i="217"/>
  <c r="C97" i="217"/>
  <c r="B97" i="217"/>
  <c r="I96" i="217"/>
  <c r="H96" i="217"/>
  <c r="F96" i="217"/>
  <c r="E96" i="217"/>
  <c r="D96" i="217"/>
  <c r="C96" i="217"/>
  <c r="B96" i="217"/>
  <c r="AO95" i="217"/>
  <c r="AN95" i="217"/>
  <c r="AM95" i="217"/>
  <c r="AL95" i="217"/>
  <c r="AK95" i="217"/>
  <c r="AJ95" i="217"/>
  <c r="AI95" i="217"/>
  <c r="AH95" i="217"/>
  <c r="AG95" i="217"/>
  <c r="AF95" i="217"/>
  <c r="AE95" i="217"/>
  <c r="AD95" i="217"/>
  <c r="AC95" i="217"/>
  <c r="AB95" i="217"/>
  <c r="AA95" i="217"/>
  <c r="Z95" i="217"/>
  <c r="Y95" i="217"/>
  <c r="X95" i="217"/>
  <c r="W95" i="217"/>
  <c r="I95" i="217"/>
  <c r="H95" i="217"/>
  <c r="F95" i="217"/>
  <c r="E95" i="217"/>
  <c r="D95" i="217"/>
  <c r="C95" i="217"/>
  <c r="B95" i="217"/>
  <c r="I94" i="217"/>
  <c r="H94" i="217"/>
  <c r="F94" i="217"/>
  <c r="E94" i="217"/>
  <c r="D94" i="217"/>
  <c r="C94" i="217"/>
  <c r="B94" i="217"/>
  <c r="H93" i="217"/>
  <c r="F93" i="217"/>
  <c r="E93" i="217"/>
  <c r="D93" i="217"/>
  <c r="C93" i="217"/>
  <c r="B93" i="217"/>
  <c r="H92" i="217"/>
  <c r="F92" i="217"/>
  <c r="E92" i="217"/>
  <c r="D92" i="217"/>
  <c r="C92" i="217"/>
  <c r="B92" i="217"/>
  <c r="H91" i="217"/>
  <c r="F91" i="217"/>
  <c r="E91" i="217"/>
  <c r="D91" i="217"/>
  <c r="C91" i="217"/>
  <c r="B91" i="217"/>
  <c r="I90" i="217"/>
  <c r="H90" i="217"/>
  <c r="F90" i="217"/>
  <c r="E90" i="217"/>
  <c r="D90" i="217"/>
  <c r="C90" i="217"/>
  <c r="B90" i="217"/>
  <c r="H89" i="217"/>
  <c r="F89" i="217"/>
  <c r="E89" i="217"/>
  <c r="D89" i="217"/>
  <c r="C89" i="217"/>
  <c r="B89" i="217"/>
  <c r="I88" i="217"/>
  <c r="H88" i="217"/>
  <c r="F88" i="217"/>
  <c r="E88" i="217"/>
  <c r="D88" i="217"/>
  <c r="C88" i="217"/>
  <c r="B88" i="217"/>
  <c r="I87" i="217"/>
  <c r="H87" i="217"/>
  <c r="F87" i="217"/>
  <c r="E87" i="217"/>
  <c r="D87" i="217"/>
  <c r="C87" i="217"/>
  <c r="B87" i="217"/>
  <c r="AV86" i="217"/>
  <c r="AI86" i="217"/>
  <c r="I86" i="217"/>
  <c r="H86" i="217"/>
  <c r="F86" i="217"/>
  <c r="E86" i="217"/>
  <c r="D86" i="217"/>
  <c r="C86" i="217"/>
  <c r="B86" i="217"/>
  <c r="AU84" i="217"/>
  <c r="AT84" i="217"/>
  <c r="AS84" i="217"/>
  <c r="AR84" i="217"/>
  <c r="AQ84" i="217"/>
  <c r="AP84" i="217"/>
  <c r="AO84" i="217"/>
  <c r="AN84" i="217"/>
  <c r="AM84" i="217"/>
  <c r="AL84" i="217"/>
  <c r="AK84" i="217"/>
  <c r="AJ84" i="217"/>
  <c r="AI84" i="217"/>
  <c r="AH84" i="217"/>
  <c r="AG84" i="217"/>
  <c r="AF84" i="217"/>
  <c r="AE84" i="217"/>
  <c r="AD84" i="217"/>
  <c r="AC84" i="217"/>
  <c r="AB84" i="217"/>
  <c r="AA84" i="217"/>
  <c r="Z84" i="217"/>
  <c r="Y84" i="217"/>
  <c r="X84" i="217"/>
  <c r="W84" i="217"/>
  <c r="B80" i="217"/>
  <c r="B79" i="217"/>
  <c r="I77" i="217"/>
  <c r="H77" i="217"/>
  <c r="F77" i="217"/>
  <c r="E77" i="217"/>
  <c r="D77" i="217"/>
  <c r="C77" i="217"/>
  <c r="B77" i="217"/>
  <c r="I76" i="217"/>
  <c r="H76" i="217"/>
  <c r="F76" i="217"/>
  <c r="E76" i="217"/>
  <c r="D76" i="217"/>
  <c r="C76" i="217"/>
  <c r="B76" i="217"/>
  <c r="I75" i="217"/>
  <c r="H75" i="217"/>
  <c r="F75" i="217"/>
  <c r="E75" i="217"/>
  <c r="D75" i="217"/>
  <c r="C75" i="217"/>
  <c r="B75" i="217"/>
  <c r="I74" i="217"/>
  <c r="H74" i="217"/>
  <c r="H285" i="217" s="1"/>
  <c r="E74" i="217"/>
  <c r="E285" i="217" s="1"/>
  <c r="D74" i="217"/>
  <c r="D321" i="217" s="1"/>
  <c r="C74" i="217"/>
  <c r="C321" i="217" s="1"/>
  <c r="B74" i="217"/>
  <c r="B321" i="217" s="1"/>
  <c r="I73" i="217"/>
  <c r="H73" i="217"/>
  <c r="H320" i="217" s="1"/>
  <c r="E73" i="217"/>
  <c r="E320" i="217" s="1"/>
  <c r="D73" i="217"/>
  <c r="D320" i="217" s="1"/>
  <c r="C73" i="217"/>
  <c r="C320" i="217" s="1"/>
  <c r="B73" i="217"/>
  <c r="B320" i="217" s="1"/>
  <c r="I72" i="217"/>
  <c r="H72" i="217"/>
  <c r="H319" i="217" s="1"/>
  <c r="E72" i="217"/>
  <c r="E283" i="217" s="1"/>
  <c r="D72" i="217"/>
  <c r="D283" i="217" s="1"/>
  <c r="C72" i="217"/>
  <c r="C319" i="217" s="1"/>
  <c r="B72" i="217"/>
  <c r="B283" i="217" s="1"/>
  <c r="I71" i="217"/>
  <c r="H71" i="217"/>
  <c r="H282" i="217" s="1"/>
  <c r="E71" i="217"/>
  <c r="E318" i="217" s="1"/>
  <c r="D71" i="217"/>
  <c r="D318" i="217" s="1"/>
  <c r="C71" i="217"/>
  <c r="C318" i="217" s="1"/>
  <c r="B71" i="217"/>
  <c r="B318" i="217" s="1"/>
  <c r="I70" i="217"/>
  <c r="H70" i="217"/>
  <c r="H317" i="217" s="1"/>
  <c r="E70" i="217"/>
  <c r="E317" i="217" s="1"/>
  <c r="D70" i="217"/>
  <c r="D317" i="217" s="1"/>
  <c r="C70" i="217"/>
  <c r="C317" i="217" s="1"/>
  <c r="B70" i="217"/>
  <c r="B317" i="217" s="1"/>
  <c r="I69" i="217"/>
  <c r="H69" i="217"/>
  <c r="H280" i="217" s="1"/>
  <c r="E69" i="217"/>
  <c r="E280" i="217" s="1"/>
  <c r="D69" i="217"/>
  <c r="D280" i="217" s="1"/>
  <c r="C69" i="217"/>
  <c r="C280" i="217" s="1"/>
  <c r="B69" i="217"/>
  <c r="B280" i="217" s="1"/>
  <c r="I68" i="217"/>
  <c r="H68" i="217"/>
  <c r="E68" i="217"/>
  <c r="D68" i="217"/>
  <c r="C68" i="217"/>
  <c r="B68" i="217"/>
  <c r="I67" i="217"/>
  <c r="H67" i="217"/>
  <c r="E67" i="217"/>
  <c r="D67" i="217"/>
  <c r="C67" i="217"/>
  <c r="B67" i="217"/>
  <c r="AV66" i="217"/>
  <c r="AI66" i="217"/>
  <c r="I66" i="217"/>
  <c r="H66" i="217"/>
  <c r="F66" i="217"/>
  <c r="E66" i="217"/>
  <c r="D66" i="217"/>
  <c r="B66" i="217"/>
  <c r="I65" i="217"/>
  <c r="H65" i="217"/>
  <c r="F65" i="217"/>
  <c r="E65" i="217"/>
  <c r="D65" i="217"/>
  <c r="B65" i="217"/>
  <c r="H64" i="217"/>
  <c r="F64" i="217"/>
  <c r="E64" i="217"/>
  <c r="D64" i="217"/>
  <c r="B64" i="217"/>
  <c r="AV63" i="217"/>
  <c r="AI63" i="217"/>
  <c r="H63" i="217"/>
  <c r="F63" i="217"/>
  <c r="E63" i="217"/>
  <c r="D63" i="217"/>
  <c r="B63" i="217"/>
  <c r="I62" i="217"/>
  <c r="H62" i="217"/>
  <c r="F62" i="217"/>
  <c r="E62" i="217"/>
  <c r="D62" i="217"/>
  <c r="C62" i="217"/>
  <c r="B62" i="217"/>
  <c r="I61" i="217"/>
  <c r="H61" i="217"/>
  <c r="F61" i="217"/>
  <c r="E61" i="217"/>
  <c r="D61" i="217"/>
  <c r="C61" i="217"/>
  <c r="B61" i="217"/>
  <c r="I60" i="217"/>
  <c r="H60" i="217"/>
  <c r="F60" i="217"/>
  <c r="E60" i="217"/>
  <c r="D60" i="217"/>
  <c r="C60" i="217"/>
  <c r="B60" i="217"/>
  <c r="I59" i="217"/>
  <c r="H59" i="217"/>
  <c r="F59" i="217"/>
  <c r="E59" i="217"/>
  <c r="D59" i="217"/>
  <c r="C59" i="217"/>
  <c r="B59" i="217"/>
  <c r="H58" i="217"/>
  <c r="F58" i="217"/>
  <c r="E58" i="217"/>
  <c r="D58" i="217"/>
  <c r="C58" i="217"/>
  <c r="B58" i="217"/>
  <c r="H57" i="217"/>
  <c r="F57" i="217"/>
  <c r="E57" i="217"/>
  <c r="D57" i="217"/>
  <c r="C57" i="217"/>
  <c r="B57" i="217"/>
  <c r="H56" i="217"/>
  <c r="F56" i="217"/>
  <c r="E56" i="217"/>
  <c r="D56" i="217"/>
  <c r="C56" i="217"/>
  <c r="B56" i="217"/>
  <c r="I55" i="217"/>
  <c r="H55" i="217"/>
  <c r="F55" i="217"/>
  <c r="E55" i="217"/>
  <c r="D55" i="217"/>
  <c r="C55" i="217"/>
  <c r="B55" i="217"/>
  <c r="H54" i="217"/>
  <c r="F54" i="217"/>
  <c r="E54" i="217"/>
  <c r="D54" i="217"/>
  <c r="C54" i="217"/>
  <c r="B54" i="217"/>
  <c r="I53" i="217"/>
  <c r="H53" i="217"/>
  <c r="F53" i="217"/>
  <c r="E53" i="217"/>
  <c r="D53" i="217"/>
  <c r="C53" i="217"/>
  <c r="B53" i="217"/>
  <c r="I52" i="217"/>
  <c r="H52" i="217"/>
  <c r="F52" i="217"/>
  <c r="E52" i="217"/>
  <c r="D52" i="217"/>
  <c r="C52" i="217"/>
  <c r="B52" i="217"/>
  <c r="AV51" i="217"/>
  <c r="AI51" i="217"/>
  <c r="I51" i="217"/>
  <c r="H51" i="217"/>
  <c r="F51" i="217"/>
  <c r="E51" i="217"/>
  <c r="D51" i="217"/>
  <c r="C51" i="217"/>
  <c r="B51" i="217"/>
  <c r="AU49" i="217"/>
  <c r="AT49" i="217"/>
  <c r="AS49" i="217"/>
  <c r="AR49" i="217"/>
  <c r="AQ49" i="217"/>
  <c r="AP49" i="217"/>
  <c r="AO49" i="217"/>
  <c r="AN49" i="217"/>
  <c r="AM49" i="217"/>
  <c r="AL49" i="217"/>
  <c r="AK49" i="217"/>
  <c r="AJ49" i="217"/>
  <c r="AI49" i="217"/>
  <c r="AH49" i="217"/>
  <c r="AG49" i="217"/>
  <c r="AF49" i="217"/>
  <c r="AE49" i="217"/>
  <c r="AD49" i="217"/>
  <c r="AC49" i="217"/>
  <c r="AB49" i="217"/>
  <c r="AA49" i="217"/>
  <c r="Z49" i="217"/>
  <c r="Y49" i="217"/>
  <c r="X49" i="217"/>
  <c r="W49" i="217"/>
  <c r="V40" i="217"/>
  <c r="U40" i="217"/>
  <c r="T40" i="217"/>
  <c r="S40" i="217"/>
  <c r="R40" i="217"/>
  <c r="Q40" i="217"/>
  <c r="P40" i="217"/>
  <c r="O40" i="217"/>
  <c r="N40" i="217"/>
  <c r="M40" i="217"/>
  <c r="L40" i="217"/>
  <c r="K40" i="217"/>
  <c r="F40" i="217"/>
  <c r="V39" i="217"/>
  <c r="U39" i="217"/>
  <c r="T39" i="217"/>
  <c r="S39" i="217"/>
  <c r="R39" i="217"/>
  <c r="Q39" i="217"/>
  <c r="P39" i="217"/>
  <c r="O39" i="217"/>
  <c r="N39" i="217"/>
  <c r="M39" i="217"/>
  <c r="L39" i="217"/>
  <c r="K39" i="217"/>
  <c r="F39" i="217"/>
  <c r="V38" i="217"/>
  <c r="U38" i="217"/>
  <c r="T38" i="217"/>
  <c r="S38" i="217"/>
  <c r="R38" i="217"/>
  <c r="Q38" i="217"/>
  <c r="P38" i="217"/>
  <c r="O38" i="217"/>
  <c r="N38" i="217"/>
  <c r="M38" i="217"/>
  <c r="L38" i="217"/>
  <c r="K38" i="217"/>
  <c r="F38" i="217"/>
  <c r="V37" i="217"/>
  <c r="U37" i="217"/>
  <c r="T37" i="217"/>
  <c r="S37" i="217"/>
  <c r="R37" i="217"/>
  <c r="Q37" i="217"/>
  <c r="P37" i="217"/>
  <c r="O37" i="217"/>
  <c r="N37" i="217"/>
  <c r="M37" i="217"/>
  <c r="L37" i="217"/>
  <c r="K37" i="217"/>
  <c r="F37" i="217"/>
  <c r="V36" i="217"/>
  <c r="U36" i="217"/>
  <c r="T36" i="217"/>
  <c r="S36" i="217"/>
  <c r="R36" i="217"/>
  <c r="Q36" i="217"/>
  <c r="P36" i="217"/>
  <c r="O36" i="217"/>
  <c r="N36" i="217"/>
  <c r="M36" i="217"/>
  <c r="L36" i="217"/>
  <c r="K36" i="217"/>
  <c r="F36" i="217"/>
  <c r="V35" i="217"/>
  <c r="U35" i="217"/>
  <c r="T35" i="217"/>
  <c r="S35" i="217"/>
  <c r="R35" i="217"/>
  <c r="Q35" i="217"/>
  <c r="P35" i="217"/>
  <c r="O35" i="217"/>
  <c r="M35" i="217"/>
  <c r="L35" i="217"/>
  <c r="K35" i="217"/>
  <c r="F35" i="217"/>
  <c r="V34" i="217"/>
  <c r="U34" i="217"/>
  <c r="T34" i="217"/>
  <c r="S34" i="217"/>
  <c r="R34" i="217"/>
  <c r="Q34" i="217"/>
  <c r="P34" i="217"/>
  <c r="O34" i="217"/>
  <c r="N34" i="217"/>
  <c r="M34" i="217"/>
  <c r="L34" i="217"/>
  <c r="K34" i="217"/>
  <c r="F34" i="217"/>
  <c r="V33" i="217"/>
  <c r="U33" i="217"/>
  <c r="T33" i="217"/>
  <c r="S33" i="217"/>
  <c r="R33" i="217"/>
  <c r="Q33" i="217"/>
  <c r="P33" i="217"/>
  <c r="O33" i="217"/>
  <c r="N33" i="217"/>
  <c r="L33" i="217"/>
  <c r="K33" i="217"/>
  <c r="F33" i="217"/>
  <c r="Y33" i="217" s="1"/>
  <c r="V32" i="217"/>
  <c r="U32" i="217"/>
  <c r="T32" i="217"/>
  <c r="S32" i="217"/>
  <c r="R32" i="217"/>
  <c r="Q32" i="217"/>
  <c r="P32" i="217"/>
  <c r="O32" i="217"/>
  <c r="N32" i="217"/>
  <c r="M32" i="217"/>
  <c r="L32" i="217"/>
  <c r="K32" i="217"/>
  <c r="AH31" i="217"/>
  <c r="AG31" i="217"/>
  <c r="AF31" i="217"/>
  <c r="AE31" i="217"/>
  <c r="AD31" i="217"/>
  <c r="AC31" i="217"/>
  <c r="AB31" i="217"/>
  <c r="AA31" i="217"/>
  <c r="Z31" i="217"/>
  <c r="Y31" i="217"/>
  <c r="X31" i="217"/>
  <c r="W31" i="217"/>
  <c r="F30" i="217"/>
  <c r="AH28" i="217"/>
  <c r="AG28" i="217"/>
  <c r="AF28" i="217"/>
  <c r="AE28" i="217"/>
  <c r="AD28" i="217"/>
  <c r="AC28" i="217"/>
  <c r="AB28" i="217"/>
  <c r="AA28" i="217"/>
  <c r="Z28" i="217"/>
  <c r="Y28" i="217"/>
  <c r="X28" i="217"/>
  <c r="W28" i="217"/>
  <c r="AH27" i="217"/>
  <c r="AG27" i="217"/>
  <c r="AF27" i="217"/>
  <c r="AE27" i="217"/>
  <c r="AD27" i="217"/>
  <c r="AC27" i="217"/>
  <c r="AB27" i="217"/>
  <c r="AA27" i="217"/>
  <c r="Z27" i="217"/>
  <c r="Y27" i="217"/>
  <c r="X27" i="217"/>
  <c r="W27" i="217"/>
  <c r="AH26" i="217"/>
  <c r="AG26" i="217"/>
  <c r="AG60" i="217" s="1"/>
  <c r="AF26" i="217"/>
  <c r="AF60" i="217" s="1"/>
  <c r="AE26" i="217"/>
  <c r="AE60" i="217" s="1"/>
  <c r="AD26" i="217"/>
  <c r="AD60" i="217" s="1"/>
  <c r="AC26" i="217"/>
  <c r="AC60" i="217" s="1"/>
  <c r="AC271" i="217" s="1"/>
  <c r="AB26" i="217"/>
  <c r="AB60" i="217" s="1"/>
  <c r="AA26" i="217"/>
  <c r="AA60" i="217" s="1"/>
  <c r="Z26" i="217"/>
  <c r="Z60" i="217" s="1"/>
  <c r="Y26" i="217"/>
  <c r="Y60" i="217" s="1"/>
  <c r="X26" i="217"/>
  <c r="X60" i="217" s="1"/>
  <c r="W26" i="217"/>
  <c r="W24" i="217"/>
  <c r="AF19" i="217"/>
  <c r="AE19" i="217"/>
  <c r="AD19" i="217"/>
  <c r="AC19" i="217"/>
  <c r="AB19" i="217"/>
  <c r="AA19" i="217"/>
  <c r="Z19" i="217"/>
  <c r="Y19" i="217"/>
  <c r="X19" i="217"/>
  <c r="W19" i="217"/>
  <c r="Y18" i="217"/>
  <c r="X18" i="217"/>
  <c r="V18" i="217"/>
  <c r="AH18" i="217" s="1"/>
  <c r="U18" i="217"/>
  <c r="AG18" i="217" s="1"/>
  <c r="T18" i="217"/>
  <c r="AF18" i="217" s="1"/>
  <c r="S18" i="217"/>
  <c r="AE18" i="217" s="1"/>
  <c r="R18" i="217"/>
  <c r="AD18" i="217" s="1"/>
  <c r="Q18" i="217"/>
  <c r="AC18" i="217" s="1"/>
  <c r="P18" i="217"/>
  <c r="AB18" i="217" s="1"/>
  <c r="O18" i="217"/>
  <c r="AA18" i="217" s="1"/>
  <c r="N18" i="217"/>
  <c r="Z18" i="217" s="1"/>
  <c r="K18" i="217"/>
  <c r="W18" i="217" s="1"/>
  <c r="AH17" i="217"/>
  <c r="AG17" i="217"/>
  <c r="AF17" i="217"/>
  <c r="AE17" i="217"/>
  <c r="AD17" i="217"/>
  <c r="AC17" i="217"/>
  <c r="AB17" i="217"/>
  <c r="AA17" i="217"/>
  <c r="Z17" i="217"/>
  <c r="Y17" i="217"/>
  <c r="X17" i="217"/>
  <c r="W17" i="217"/>
  <c r="AH15" i="217"/>
  <c r="AG15" i="217"/>
  <c r="AF15" i="217"/>
  <c r="AE15" i="217"/>
  <c r="AD15" i="217"/>
  <c r="AC15" i="217"/>
  <c r="AB15" i="217"/>
  <c r="AA15" i="217"/>
  <c r="Z15" i="217"/>
  <c r="Y15" i="217"/>
  <c r="X15" i="217"/>
  <c r="W15" i="217"/>
  <c r="AM9" i="217"/>
  <c r="AM8" i="217"/>
  <c r="AI6" i="217"/>
  <c r="AG6" i="217"/>
  <c r="AF6" i="217"/>
  <c r="AC6" i="217"/>
  <c r="AB6" i="217"/>
  <c r="B14" i="171"/>
  <c r="V37" i="218"/>
  <c r="N37" i="204"/>
  <c r="C8" i="171"/>
  <c r="C7" i="171"/>
  <c r="C6" i="171"/>
  <c r="C5" i="171"/>
  <c r="AC196" i="172"/>
  <c r="AR194" i="172"/>
  <c r="AQ194" i="172"/>
  <c r="AP194" i="172"/>
  <c r="AL194" i="172"/>
  <c r="AK194" i="172"/>
  <c r="AH194" i="172"/>
  <c r="AG194" i="172"/>
  <c r="AF194" i="172"/>
  <c r="AN194" i="172" s="1"/>
  <c r="Z194" i="172"/>
  <c r="Y194" i="172"/>
  <c r="X194" i="172"/>
  <c r="T194" i="172"/>
  <c r="S194" i="172"/>
  <c r="P194" i="172"/>
  <c r="O194" i="172"/>
  <c r="N194" i="172"/>
  <c r="V194" i="172" s="1"/>
  <c r="D194" i="172"/>
  <c r="AF193" i="172"/>
  <c r="N193" i="172"/>
  <c r="D193" i="172"/>
  <c r="AP192" i="172"/>
  <c r="AK192" i="172"/>
  <c r="AI192" i="172"/>
  <c r="AF192" i="172"/>
  <c r="X192" i="172"/>
  <c r="W192" i="172"/>
  <c r="T192" i="172"/>
  <c r="S192" i="172"/>
  <c r="Q192" i="172"/>
  <c r="P192" i="172"/>
  <c r="O192" i="172"/>
  <c r="N192" i="172"/>
  <c r="D192" i="172"/>
  <c r="AR191" i="172"/>
  <c r="AQ191" i="172"/>
  <c r="AN191" i="172"/>
  <c r="AM191" i="172"/>
  <c r="AL191" i="172"/>
  <c r="AK191" i="172"/>
  <c r="AJ191" i="172"/>
  <c r="AI191" i="172"/>
  <c r="AH191" i="172"/>
  <c r="AF191" i="172"/>
  <c r="AP191" i="172" s="1"/>
  <c r="Z191" i="172"/>
  <c r="Y191" i="172"/>
  <c r="V191" i="172"/>
  <c r="U191" i="172"/>
  <c r="T191" i="172"/>
  <c r="S191" i="172"/>
  <c r="R191" i="172"/>
  <c r="Q191" i="172"/>
  <c r="P191" i="172"/>
  <c r="N191" i="172"/>
  <c r="X191" i="172" s="1"/>
  <c r="D191" i="172"/>
  <c r="AF190" i="172"/>
  <c r="T190" i="172"/>
  <c r="S190" i="172"/>
  <c r="R190" i="172"/>
  <c r="N190" i="172"/>
  <c r="F190" i="172"/>
  <c r="D190" i="172"/>
  <c r="AR189" i="172"/>
  <c r="AQ189" i="172"/>
  <c r="AP189" i="172"/>
  <c r="AO189" i="172"/>
  <c r="AN189" i="172"/>
  <c r="AM189" i="172"/>
  <c r="AL189" i="172"/>
  <c r="AJ189" i="172"/>
  <c r="AH189" i="172"/>
  <c r="AG189" i="172"/>
  <c r="AF189" i="172"/>
  <c r="AI189" i="172" s="1"/>
  <c r="Z189" i="172"/>
  <c r="Y189" i="172"/>
  <c r="X189" i="172"/>
  <c r="W189" i="172"/>
  <c r="V189" i="172"/>
  <c r="U189" i="172"/>
  <c r="T189" i="172"/>
  <c r="R189" i="172"/>
  <c r="P189" i="172"/>
  <c r="O189" i="172"/>
  <c r="N189" i="172"/>
  <c r="Q189" i="172" s="1"/>
  <c r="D189" i="172"/>
  <c r="AQ188" i="172"/>
  <c r="AP188" i="172"/>
  <c r="AO188" i="172"/>
  <c r="AN188" i="172"/>
  <c r="AJ188" i="172"/>
  <c r="AF188" i="172"/>
  <c r="V188" i="172"/>
  <c r="R188" i="172"/>
  <c r="Q188" i="172"/>
  <c r="N188" i="172"/>
  <c r="D188" i="172"/>
  <c r="AR187" i="172"/>
  <c r="AQ187" i="172"/>
  <c r="AP187" i="172"/>
  <c r="AL187" i="172"/>
  <c r="AK187" i="172"/>
  <c r="AH187" i="172"/>
  <c r="AG187" i="172"/>
  <c r="AF187" i="172"/>
  <c r="AN187" i="172" s="1"/>
  <c r="Z187" i="172"/>
  <c r="Y187" i="172"/>
  <c r="X187" i="172"/>
  <c r="T187" i="172"/>
  <c r="S187" i="172"/>
  <c r="P187" i="172"/>
  <c r="O187" i="172"/>
  <c r="N187" i="172"/>
  <c r="V187" i="172" s="1"/>
  <c r="D187" i="172"/>
  <c r="AR186" i="172"/>
  <c r="AP186" i="172"/>
  <c r="AO186" i="172"/>
  <c r="AN186" i="172"/>
  <c r="AM186" i="172"/>
  <c r="AL186" i="172"/>
  <c r="AK186" i="172"/>
  <c r="AJ186" i="172"/>
  <c r="AI186" i="172"/>
  <c r="AH186" i="172"/>
  <c r="AG186" i="172"/>
  <c r="AF186" i="172"/>
  <c r="AQ186" i="172" s="1"/>
  <c r="Z186" i="172"/>
  <c r="X186" i="172"/>
  <c r="W186" i="172"/>
  <c r="V186" i="172"/>
  <c r="U186" i="172"/>
  <c r="T186" i="172"/>
  <c r="S186" i="172"/>
  <c r="R186" i="172"/>
  <c r="Q186" i="172"/>
  <c r="P186" i="172"/>
  <c r="O186" i="172"/>
  <c r="N186" i="172"/>
  <c r="Y186" i="172" s="1"/>
  <c r="D186" i="172"/>
  <c r="AL185" i="172"/>
  <c r="AG185" i="172"/>
  <c r="AF185" i="172"/>
  <c r="X185" i="172"/>
  <c r="W185" i="172"/>
  <c r="Q185" i="172"/>
  <c r="P185" i="172"/>
  <c r="N185" i="172"/>
  <c r="D185" i="172"/>
  <c r="AR184" i="172"/>
  <c r="AQ184" i="172"/>
  <c r="AN184" i="172"/>
  <c r="AM184" i="172"/>
  <c r="AL184" i="172"/>
  <c r="AK184" i="172"/>
  <c r="AJ184" i="172"/>
  <c r="AI184" i="172"/>
  <c r="AH184" i="172"/>
  <c r="AF184" i="172"/>
  <c r="AP184" i="172" s="1"/>
  <c r="Z184" i="172"/>
  <c r="Y184" i="172"/>
  <c r="V184" i="172"/>
  <c r="U184" i="172"/>
  <c r="T184" i="172"/>
  <c r="S184" i="172"/>
  <c r="R184" i="172"/>
  <c r="Q184" i="172"/>
  <c r="P184" i="172"/>
  <c r="N184" i="172"/>
  <c r="X184" i="172" s="1"/>
  <c r="D184" i="172"/>
  <c r="AK183" i="172"/>
  <c r="AJ183" i="172"/>
  <c r="AF183" i="172"/>
  <c r="X183" i="172"/>
  <c r="W183" i="172"/>
  <c r="U183" i="172"/>
  <c r="T183" i="172"/>
  <c r="S183" i="172"/>
  <c r="N183" i="172"/>
  <c r="D183" i="172"/>
  <c r="AR182" i="172"/>
  <c r="AQ182" i="172"/>
  <c r="AP182" i="172"/>
  <c r="AO182" i="172"/>
  <c r="AN182" i="172"/>
  <c r="AM182" i="172"/>
  <c r="AL182" i="172"/>
  <c r="AJ182" i="172"/>
  <c r="AH182" i="172"/>
  <c r="AG182" i="172"/>
  <c r="AF182" i="172"/>
  <c r="AI182" i="172" s="1"/>
  <c r="Z182" i="172"/>
  <c r="Y182" i="172"/>
  <c r="X182" i="172"/>
  <c r="W182" i="172"/>
  <c r="V182" i="172"/>
  <c r="U182" i="172"/>
  <c r="T182" i="172"/>
  <c r="R182" i="172"/>
  <c r="P182" i="172"/>
  <c r="O182" i="172"/>
  <c r="N182" i="172"/>
  <c r="Q182" i="172" s="1"/>
  <c r="D182" i="172"/>
  <c r="A182" i="172"/>
  <c r="A183" i="172" s="1"/>
  <c r="A184" i="172" s="1"/>
  <c r="A185" i="172" s="1"/>
  <c r="A186" i="172" s="1"/>
  <c r="A187" i="172" s="1"/>
  <c r="A188" i="172" s="1"/>
  <c r="A189" i="172" s="1"/>
  <c r="A190" i="172" s="1"/>
  <c r="A191" i="172" s="1"/>
  <c r="A192" i="172" s="1"/>
  <c r="A193" i="172" s="1"/>
  <c r="A194" i="172" s="1"/>
  <c r="AR181" i="172"/>
  <c r="AP181" i="172"/>
  <c r="AO181" i="172"/>
  <c r="AN181" i="172"/>
  <c r="AM181" i="172"/>
  <c r="AL181" i="172"/>
  <c r="AK181" i="172"/>
  <c r="AJ181" i="172"/>
  <c r="AI181" i="172"/>
  <c r="AH181" i="172"/>
  <c r="AG181" i="172"/>
  <c r="AF181" i="172"/>
  <c r="AQ181" i="172" s="1"/>
  <c r="AA181" i="172"/>
  <c r="Z181" i="172"/>
  <c r="X181" i="172"/>
  <c r="W181" i="172"/>
  <c r="V181" i="172"/>
  <c r="U181" i="172"/>
  <c r="T181" i="172"/>
  <c r="S181" i="172"/>
  <c r="R181" i="172"/>
  <c r="Q181" i="172"/>
  <c r="P181" i="172"/>
  <c r="O181" i="172"/>
  <c r="N181" i="172"/>
  <c r="Y181" i="172" s="1"/>
  <c r="D181" i="172"/>
  <c r="AR180" i="172"/>
  <c r="AQ180" i="172"/>
  <c r="AP180" i="172"/>
  <c r="AL180" i="172"/>
  <c r="AK180" i="172"/>
  <c r="AH180" i="172"/>
  <c r="AG180" i="172"/>
  <c r="AF180" i="172"/>
  <c r="AN180" i="172" s="1"/>
  <c r="Z180" i="172"/>
  <c r="Y180" i="172"/>
  <c r="X180" i="172"/>
  <c r="T180" i="172"/>
  <c r="S180" i="172"/>
  <c r="P180" i="172"/>
  <c r="O180" i="172"/>
  <c r="N180" i="172"/>
  <c r="V180" i="172" s="1"/>
  <c r="D180" i="172"/>
  <c r="A180" i="172"/>
  <c r="A181" i="172" s="1"/>
  <c r="AR179" i="172"/>
  <c r="AQ179" i="172"/>
  <c r="AN179" i="172"/>
  <c r="AM179" i="172"/>
  <c r="AL179" i="172"/>
  <c r="AK179" i="172"/>
  <c r="AJ179" i="172"/>
  <c r="AI179" i="172"/>
  <c r="AH179" i="172"/>
  <c r="AG179" i="172"/>
  <c r="AF179" i="172"/>
  <c r="Z179" i="172"/>
  <c r="Y179" i="172"/>
  <c r="V179" i="172"/>
  <c r="U179" i="172"/>
  <c r="T179" i="172"/>
  <c r="S179" i="172"/>
  <c r="R179" i="172"/>
  <c r="Q179" i="172"/>
  <c r="P179" i="172"/>
  <c r="O179" i="172"/>
  <c r="N179" i="172"/>
  <c r="D179" i="172"/>
  <c r="AK178" i="172"/>
  <c r="AH178" i="172"/>
  <c r="AF178" i="172"/>
  <c r="W178" i="172"/>
  <c r="R178" i="172"/>
  <c r="P178" i="172"/>
  <c r="O178" i="172"/>
  <c r="N178" i="172"/>
  <c r="D178" i="172"/>
  <c r="AQ177" i="172"/>
  <c r="AP177" i="172"/>
  <c r="AO177" i="172"/>
  <c r="AM177" i="172"/>
  <c r="AL177" i="172"/>
  <c r="AK177" i="172"/>
  <c r="AJ177" i="172"/>
  <c r="AI177" i="172"/>
  <c r="AH177" i="172"/>
  <c r="AG177" i="172"/>
  <c r="AF177" i="172"/>
  <c r="AR177" i="172" s="1"/>
  <c r="Y177" i="172"/>
  <c r="X177" i="172"/>
  <c r="W177" i="172"/>
  <c r="U177" i="172"/>
  <c r="T177" i="172"/>
  <c r="S177" i="172"/>
  <c r="R177" i="172"/>
  <c r="Q177" i="172"/>
  <c r="P177" i="172"/>
  <c r="O177" i="172"/>
  <c r="N177" i="172"/>
  <c r="Z177" i="172" s="1"/>
  <c r="D177" i="172"/>
  <c r="A177" i="172"/>
  <c r="A178" i="172" s="1"/>
  <c r="A179" i="172" s="1"/>
  <c r="AR176" i="172"/>
  <c r="AQ176" i="172"/>
  <c r="AP176" i="172"/>
  <c r="AO176" i="172"/>
  <c r="AN176" i="172"/>
  <c r="AM176" i="172"/>
  <c r="AL176" i="172"/>
  <c r="AK176" i="172"/>
  <c r="AJ176" i="172"/>
  <c r="AI176" i="172"/>
  <c r="AH176" i="172"/>
  <c r="AG176" i="172"/>
  <c r="AF176" i="172"/>
  <c r="Z176" i="172"/>
  <c r="Y176" i="172"/>
  <c r="X176" i="172"/>
  <c r="W176" i="172"/>
  <c r="V176" i="172"/>
  <c r="U176" i="172"/>
  <c r="T176" i="172"/>
  <c r="S176" i="172"/>
  <c r="R176" i="172"/>
  <c r="Q176" i="172"/>
  <c r="AA176" i="172" s="1"/>
  <c r="P176" i="172"/>
  <c r="O176" i="172"/>
  <c r="N176" i="172"/>
  <c r="D176" i="172"/>
  <c r="A176" i="172"/>
  <c r="AQ175" i="172"/>
  <c r="AP175" i="172"/>
  <c r="AO175" i="172"/>
  <c r="AN175" i="172"/>
  <c r="AM175" i="172"/>
  <c r="AL175" i="172"/>
  <c r="AK175" i="172"/>
  <c r="AG175" i="172"/>
  <c r="AF175" i="172"/>
  <c r="X175" i="172"/>
  <c r="N175" i="172"/>
  <c r="D175" i="172"/>
  <c r="AC171" i="172"/>
  <c r="AR169" i="172"/>
  <c r="AQ169" i="172"/>
  <c r="AP169" i="172"/>
  <c r="AO169" i="172"/>
  <c r="AN169" i="172"/>
  <c r="AM169" i="172"/>
  <c r="AL169" i="172"/>
  <c r="AJ169" i="172"/>
  <c r="AH169" i="172"/>
  <c r="AG169" i="172"/>
  <c r="AF169" i="172"/>
  <c r="AI169" i="172" s="1"/>
  <c r="Z169" i="172"/>
  <c r="Y169" i="172"/>
  <c r="X169" i="172"/>
  <c r="W169" i="172"/>
  <c r="V169" i="172"/>
  <c r="U169" i="172"/>
  <c r="T169" i="172"/>
  <c r="R169" i="172"/>
  <c r="P169" i="172"/>
  <c r="O169" i="172"/>
  <c r="N169" i="172"/>
  <c r="Q169" i="172" s="1"/>
  <c r="F169" i="172"/>
  <c r="D169" i="172"/>
  <c r="AP168" i="172"/>
  <c r="AK168" i="172"/>
  <c r="AJ168" i="172"/>
  <c r="AG168" i="172"/>
  <c r="AF168" i="172"/>
  <c r="Z168" i="172"/>
  <c r="Y168" i="172"/>
  <c r="X168" i="172"/>
  <c r="N168" i="172"/>
  <c r="W168" i="172" s="1"/>
  <c r="F168" i="172"/>
  <c r="D168" i="172"/>
  <c r="AR167" i="172"/>
  <c r="AN167" i="172"/>
  <c r="AM167" i="172"/>
  <c r="AJ167" i="172"/>
  <c r="AI167" i="172"/>
  <c r="AH167" i="172"/>
  <c r="AG167" i="172"/>
  <c r="AF167" i="172"/>
  <c r="U167" i="172"/>
  <c r="P167" i="172"/>
  <c r="O167" i="172"/>
  <c r="N167" i="172"/>
  <c r="F167" i="172"/>
  <c r="D167" i="172"/>
  <c r="AQ166" i="172"/>
  <c r="AP166" i="172"/>
  <c r="AO166" i="172"/>
  <c r="AN166" i="172"/>
  <c r="AM166" i="172"/>
  <c r="AL166" i="172"/>
  <c r="AK166" i="172"/>
  <c r="AJ166" i="172"/>
  <c r="AI166" i="172"/>
  <c r="AH166" i="172"/>
  <c r="AG166" i="172"/>
  <c r="AF166" i="172"/>
  <c r="AR166" i="172" s="1"/>
  <c r="Y166" i="172"/>
  <c r="X166" i="172"/>
  <c r="W166" i="172"/>
  <c r="U166" i="172"/>
  <c r="T166" i="172"/>
  <c r="S166" i="172"/>
  <c r="R166" i="172"/>
  <c r="Q166" i="172"/>
  <c r="P166" i="172"/>
  <c r="O166" i="172"/>
  <c r="N166" i="172"/>
  <c r="Z166" i="172" s="1"/>
  <c r="F166" i="172"/>
  <c r="D166" i="172"/>
  <c r="AP165" i="172"/>
  <c r="AO165" i="172"/>
  <c r="AN165" i="172"/>
  <c r="AK165" i="172"/>
  <c r="AJ165" i="172"/>
  <c r="AF165" i="172"/>
  <c r="U165" i="172"/>
  <c r="T165" i="172"/>
  <c r="N165" i="172"/>
  <c r="F165" i="172"/>
  <c r="D165" i="172"/>
  <c r="AR164" i="172"/>
  <c r="AQ164" i="172"/>
  <c r="AP164" i="172"/>
  <c r="AO164" i="172"/>
  <c r="AN164" i="172"/>
  <c r="AM164" i="172"/>
  <c r="AK164" i="172"/>
  <c r="AI164" i="172"/>
  <c r="AH164" i="172"/>
  <c r="AG164" i="172"/>
  <c r="AF164" i="172"/>
  <c r="AJ164" i="172" s="1"/>
  <c r="Z164" i="172"/>
  <c r="Y164" i="172"/>
  <c r="X164" i="172"/>
  <c r="W164" i="172"/>
  <c r="V164" i="172"/>
  <c r="U164" i="172"/>
  <c r="S164" i="172"/>
  <c r="Q164" i="172"/>
  <c r="P164" i="172"/>
  <c r="O164" i="172"/>
  <c r="N164" i="172"/>
  <c r="R164" i="172" s="1"/>
  <c r="F164" i="172"/>
  <c r="D164" i="172"/>
  <c r="AF163" i="172"/>
  <c r="Z163" i="172"/>
  <c r="N163" i="172"/>
  <c r="F163" i="172"/>
  <c r="D163" i="172"/>
  <c r="AO162" i="172"/>
  <c r="AN162" i="172"/>
  <c r="AJ162" i="172"/>
  <c r="AI162" i="172"/>
  <c r="AG162" i="172"/>
  <c r="AF162" i="172"/>
  <c r="N162" i="172"/>
  <c r="F162" i="172"/>
  <c r="D162" i="172"/>
  <c r="AR161" i="172"/>
  <c r="AQ161" i="172"/>
  <c r="AP161" i="172"/>
  <c r="AO161" i="172"/>
  <c r="AN161" i="172"/>
  <c r="AM161" i="172"/>
  <c r="AL161" i="172"/>
  <c r="AK161" i="172"/>
  <c r="AJ161" i="172"/>
  <c r="AI161" i="172"/>
  <c r="AH161" i="172"/>
  <c r="AG161" i="172"/>
  <c r="AF161" i="172"/>
  <c r="Z161" i="172"/>
  <c r="Y161" i="172"/>
  <c r="X161" i="172"/>
  <c r="W161" i="172"/>
  <c r="V161" i="172"/>
  <c r="U161" i="172"/>
  <c r="T161" i="172"/>
  <c r="S161" i="172"/>
  <c r="R161" i="172"/>
  <c r="Q161" i="172"/>
  <c r="P161" i="172"/>
  <c r="O161" i="172"/>
  <c r="N161" i="172"/>
  <c r="F161" i="172"/>
  <c r="D161" i="172"/>
  <c r="AQ160" i="172"/>
  <c r="AP160" i="172"/>
  <c r="AO160" i="172"/>
  <c r="AN160" i="172"/>
  <c r="AM160" i="172"/>
  <c r="AL160" i="172"/>
  <c r="AK160" i="172"/>
  <c r="AG160" i="172"/>
  <c r="AF160" i="172"/>
  <c r="Y160" i="172"/>
  <c r="X160" i="172"/>
  <c r="W160" i="172"/>
  <c r="T160" i="172"/>
  <c r="S160" i="172"/>
  <c r="O160" i="172"/>
  <c r="N160" i="172"/>
  <c r="F160" i="172"/>
  <c r="D160" i="172"/>
  <c r="A160" i="172"/>
  <c r="A161" i="172" s="1"/>
  <c r="A162" i="172" s="1"/>
  <c r="A163" i="172" s="1"/>
  <c r="A164" i="172" s="1"/>
  <c r="A165" i="172" s="1"/>
  <c r="A166" i="172" s="1"/>
  <c r="A167" i="172" s="1"/>
  <c r="A168" i="172" s="1"/>
  <c r="A169" i="172" s="1"/>
  <c r="AO159" i="172"/>
  <c r="AN159" i="172"/>
  <c r="AF159" i="172"/>
  <c r="Z159" i="172"/>
  <c r="Y159" i="172"/>
  <c r="X159" i="172"/>
  <c r="W159" i="172"/>
  <c r="V159" i="172"/>
  <c r="R159" i="172"/>
  <c r="Q159" i="172"/>
  <c r="N159" i="172"/>
  <c r="F159" i="172"/>
  <c r="D159" i="172"/>
  <c r="AQ158" i="172"/>
  <c r="AG158" i="172"/>
  <c r="AF158" i="172"/>
  <c r="U158" i="172"/>
  <c r="Q158" i="172"/>
  <c r="P158" i="172"/>
  <c r="N158" i="172"/>
  <c r="F158" i="172"/>
  <c r="D158" i="172"/>
  <c r="AP157" i="172"/>
  <c r="AO157" i="172"/>
  <c r="AF157" i="172"/>
  <c r="X157" i="172"/>
  <c r="S157" i="172"/>
  <c r="R157" i="172"/>
  <c r="P157" i="172"/>
  <c r="N157" i="172"/>
  <c r="F157" i="172"/>
  <c r="D157" i="172"/>
  <c r="AR156" i="172"/>
  <c r="AQ156" i="172"/>
  <c r="AP156" i="172"/>
  <c r="AO156" i="172"/>
  <c r="AN156" i="172"/>
  <c r="AM156" i="172"/>
  <c r="AL156" i="172"/>
  <c r="AK156" i="172"/>
  <c r="AJ156" i="172"/>
  <c r="AI156" i="172"/>
  <c r="AH156" i="172"/>
  <c r="AG156" i="172"/>
  <c r="AF156" i="172"/>
  <c r="Z156" i="172"/>
  <c r="Y156" i="172"/>
  <c r="X156" i="172"/>
  <c r="W156" i="172"/>
  <c r="V156" i="172"/>
  <c r="U156" i="172"/>
  <c r="T156" i="172"/>
  <c r="S156" i="172"/>
  <c r="R156" i="172"/>
  <c r="Q156" i="172"/>
  <c r="P156" i="172"/>
  <c r="O156" i="172"/>
  <c r="N156" i="172"/>
  <c r="F156" i="172"/>
  <c r="D156" i="172"/>
  <c r="AR155" i="172"/>
  <c r="AQ155" i="172"/>
  <c r="AP155" i="172"/>
  <c r="AO155" i="172"/>
  <c r="AN155" i="172"/>
  <c r="AM155" i="172"/>
  <c r="AL155" i="172"/>
  <c r="AJ155" i="172"/>
  <c r="AH155" i="172"/>
  <c r="AG155" i="172"/>
  <c r="AF155" i="172"/>
  <c r="AI155" i="172" s="1"/>
  <c r="Z155" i="172"/>
  <c r="Y155" i="172"/>
  <c r="X155" i="172"/>
  <c r="W155" i="172"/>
  <c r="V155" i="172"/>
  <c r="U155" i="172"/>
  <c r="T155" i="172"/>
  <c r="R155" i="172"/>
  <c r="P155" i="172"/>
  <c r="O155" i="172"/>
  <c r="N155" i="172"/>
  <c r="Q155" i="172" s="1"/>
  <c r="D155" i="172"/>
  <c r="A155" i="172"/>
  <c r="A156" i="172" s="1"/>
  <c r="A157" i="172" s="1"/>
  <c r="A158" i="172" s="1"/>
  <c r="A159" i="172" s="1"/>
  <c r="AR154" i="172"/>
  <c r="AQ154" i="172"/>
  <c r="AN154" i="172"/>
  <c r="AM154" i="172"/>
  <c r="AL154" i="172"/>
  <c r="AK154" i="172"/>
  <c r="AJ154" i="172"/>
  <c r="AI154" i="172"/>
  <c r="AH154" i="172"/>
  <c r="AG154" i="172"/>
  <c r="AF154" i="172"/>
  <c r="Z154" i="172"/>
  <c r="Y154" i="172"/>
  <c r="V154" i="172"/>
  <c r="U154" i="172"/>
  <c r="T154" i="172"/>
  <c r="S154" i="172"/>
  <c r="R154" i="172"/>
  <c r="Q154" i="172"/>
  <c r="P154" i="172"/>
  <c r="O154" i="172"/>
  <c r="N154" i="172"/>
  <c r="F154" i="172"/>
  <c r="D154" i="172"/>
  <c r="AO153" i="172"/>
  <c r="AL153" i="172"/>
  <c r="AH153" i="172"/>
  <c r="AG153" i="172"/>
  <c r="AF153" i="172"/>
  <c r="Z153" i="172"/>
  <c r="U153" i="172"/>
  <c r="T153" i="172"/>
  <c r="O153" i="172"/>
  <c r="N153" i="172"/>
  <c r="F153" i="172"/>
  <c r="D153" i="172"/>
  <c r="A153" i="172"/>
  <c r="A154" i="172" s="1"/>
  <c r="AR152" i="172"/>
  <c r="AP152" i="172"/>
  <c r="AO152" i="172"/>
  <c r="AL152" i="172"/>
  <c r="AJ152" i="172"/>
  <c r="AI152" i="172"/>
  <c r="AH152" i="172"/>
  <c r="AG152" i="172"/>
  <c r="AF152" i="172"/>
  <c r="S152" i="172"/>
  <c r="R152" i="172"/>
  <c r="Q152" i="172"/>
  <c r="P152" i="172"/>
  <c r="O152" i="172"/>
  <c r="N152" i="172"/>
  <c r="F152" i="172"/>
  <c r="D152" i="172"/>
  <c r="AR151" i="172"/>
  <c r="AQ151" i="172"/>
  <c r="AP151" i="172"/>
  <c r="AO151" i="172"/>
  <c r="AN151" i="172"/>
  <c r="AM151" i="172"/>
  <c r="AL151" i="172"/>
  <c r="AK151" i="172"/>
  <c r="AJ151" i="172"/>
  <c r="AI151" i="172"/>
  <c r="AH151" i="172"/>
  <c r="AG151" i="172"/>
  <c r="AS151" i="172" s="1"/>
  <c r="AF151" i="172"/>
  <c r="Z151" i="172"/>
  <c r="Y151" i="172"/>
  <c r="X151" i="172"/>
  <c r="W151" i="172"/>
  <c r="V151" i="172"/>
  <c r="U151" i="172"/>
  <c r="T151" i="172"/>
  <c r="S151" i="172"/>
  <c r="R151" i="172"/>
  <c r="Q151" i="172"/>
  <c r="P151" i="172"/>
  <c r="O151" i="172"/>
  <c r="AA151" i="172" s="1"/>
  <c r="N151" i="172"/>
  <c r="F151" i="172"/>
  <c r="D151" i="172"/>
  <c r="A151" i="172"/>
  <c r="A152" i="172" s="1"/>
  <c r="AR150" i="172"/>
  <c r="AQ150" i="172"/>
  <c r="AP150" i="172"/>
  <c r="AO150" i="172"/>
  <c r="AN150" i="172"/>
  <c r="AM150" i="172"/>
  <c r="AL150" i="172"/>
  <c r="AJ150" i="172"/>
  <c r="AH150" i="172"/>
  <c r="AG150" i="172"/>
  <c r="AF150" i="172"/>
  <c r="AI150" i="172" s="1"/>
  <c r="Z150" i="172"/>
  <c r="Y150" i="172"/>
  <c r="X150" i="172"/>
  <c r="W150" i="172"/>
  <c r="V150" i="172"/>
  <c r="U150" i="172"/>
  <c r="T150" i="172"/>
  <c r="R150" i="172"/>
  <c r="P150" i="172"/>
  <c r="O150" i="172"/>
  <c r="N150" i="172"/>
  <c r="Q150" i="172" s="1"/>
  <c r="F150" i="172"/>
  <c r="D150" i="172"/>
  <c r="AC147" i="172"/>
  <c r="AR145" i="172"/>
  <c r="AQ145" i="172"/>
  <c r="AP145" i="172"/>
  <c r="AO145" i="172"/>
  <c r="AN145" i="172"/>
  <c r="AM145" i="172"/>
  <c r="AK145" i="172"/>
  <c r="AI145" i="172"/>
  <c r="AH145" i="172"/>
  <c r="AG145" i="172"/>
  <c r="AF145" i="172"/>
  <c r="AJ145" i="172" s="1"/>
  <c r="Z145" i="172"/>
  <c r="Y145" i="172"/>
  <c r="X145" i="172"/>
  <c r="W145" i="172"/>
  <c r="V145" i="172"/>
  <c r="U145" i="172"/>
  <c r="S145" i="172"/>
  <c r="Q145" i="172"/>
  <c r="P145" i="172"/>
  <c r="N145" i="172"/>
  <c r="R145" i="172" s="1"/>
  <c r="F145" i="172"/>
  <c r="D145" i="172"/>
  <c r="AR144" i="172"/>
  <c r="AQ144" i="172"/>
  <c r="AP144" i="172"/>
  <c r="AL144" i="172"/>
  <c r="AK144" i="172"/>
  <c r="AH144" i="172"/>
  <c r="AF144" i="172"/>
  <c r="Z144" i="172"/>
  <c r="Y144" i="172"/>
  <c r="X144" i="172"/>
  <c r="V144" i="172"/>
  <c r="S144" i="172"/>
  <c r="P144" i="172"/>
  <c r="O144" i="172"/>
  <c r="N144" i="172"/>
  <c r="F144" i="172"/>
  <c r="D144" i="172"/>
  <c r="AO143" i="172"/>
  <c r="AN143" i="172"/>
  <c r="AK143" i="172"/>
  <c r="AF143" i="172"/>
  <c r="AJ143" i="172" s="1"/>
  <c r="W143" i="172"/>
  <c r="S143" i="172"/>
  <c r="R143" i="172"/>
  <c r="P143" i="172"/>
  <c r="O143" i="172"/>
  <c r="N143" i="172"/>
  <c r="F143" i="172"/>
  <c r="D143" i="172"/>
  <c r="AI142" i="172"/>
  <c r="AF142" i="172"/>
  <c r="Z142" i="172"/>
  <c r="Y142" i="172"/>
  <c r="V142" i="172"/>
  <c r="U142" i="172"/>
  <c r="S142" i="172"/>
  <c r="R142" i="172"/>
  <c r="Q142" i="172"/>
  <c r="N142" i="172"/>
  <c r="F142" i="172"/>
  <c r="D142" i="172"/>
  <c r="AQ141" i="172"/>
  <c r="AP141" i="172"/>
  <c r="AO141" i="172"/>
  <c r="AN141" i="172"/>
  <c r="AM141" i="172"/>
  <c r="AL141" i="172"/>
  <c r="AK141" i="172"/>
  <c r="AI141" i="172"/>
  <c r="AG141" i="172"/>
  <c r="AF141" i="172"/>
  <c r="X141" i="172"/>
  <c r="W141" i="172"/>
  <c r="V141" i="172"/>
  <c r="U141" i="172"/>
  <c r="T141" i="172"/>
  <c r="S141" i="172"/>
  <c r="Q141" i="172"/>
  <c r="O141" i="172"/>
  <c r="N141" i="172"/>
  <c r="F141" i="172"/>
  <c r="D141" i="172"/>
  <c r="AR140" i="172"/>
  <c r="AP140" i="172"/>
  <c r="AF140" i="172"/>
  <c r="AO140" i="172" s="1"/>
  <c r="Y140" i="172"/>
  <c r="W140" i="172"/>
  <c r="V140" i="172"/>
  <c r="S140" i="172"/>
  <c r="R140" i="172"/>
  <c r="Q140" i="172"/>
  <c r="N140" i="172"/>
  <c r="F140" i="172"/>
  <c r="D140" i="172"/>
  <c r="AL139" i="172"/>
  <c r="AH139" i="172"/>
  <c r="AF139" i="172"/>
  <c r="Z139" i="172"/>
  <c r="Y139" i="172"/>
  <c r="W139" i="172"/>
  <c r="S139" i="172"/>
  <c r="R139" i="172"/>
  <c r="Q139" i="172"/>
  <c r="O139" i="172"/>
  <c r="N139" i="172"/>
  <c r="X139" i="172" s="1"/>
  <c r="F139" i="172"/>
  <c r="D139" i="172"/>
  <c r="A139" i="172"/>
  <c r="A140" i="172" s="1"/>
  <c r="A141" i="172" s="1"/>
  <c r="A142" i="172" s="1"/>
  <c r="A143" i="172" s="1"/>
  <c r="A144" i="172" s="1"/>
  <c r="A145" i="172" s="1"/>
  <c r="AR138" i="172"/>
  <c r="AQ138" i="172"/>
  <c r="AM138" i="172"/>
  <c r="AL138" i="172"/>
  <c r="AK138" i="172"/>
  <c r="AI138" i="172"/>
  <c r="AH138" i="172"/>
  <c r="AG138" i="172"/>
  <c r="AF138" i="172"/>
  <c r="AP138" i="172" s="1"/>
  <c r="Y138" i="172"/>
  <c r="N138" i="172"/>
  <c r="F138" i="172"/>
  <c r="D138" i="172"/>
  <c r="AR137" i="172"/>
  <c r="AP137" i="172"/>
  <c r="AO137" i="172"/>
  <c r="AN137" i="172"/>
  <c r="AM137" i="172"/>
  <c r="AL137" i="172"/>
  <c r="AK137" i="172"/>
  <c r="AJ137" i="172"/>
  <c r="AI137" i="172"/>
  <c r="AH137" i="172"/>
  <c r="AG137" i="172"/>
  <c r="AF137" i="172"/>
  <c r="AQ137" i="172" s="1"/>
  <c r="Z137" i="172"/>
  <c r="X137" i="172"/>
  <c r="W137" i="172"/>
  <c r="V137" i="172"/>
  <c r="U137" i="172"/>
  <c r="T137" i="172"/>
  <c r="S137" i="172"/>
  <c r="R137" i="172"/>
  <c r="Q137" i="172"/>
  <c r="P137" i="172"/>
  <c r="O137" i="172"/>
  <c r="N137" i="172"/>
  <c r="Y137" i="172" s="1"/>
  <c r="F137" i="172"/>
  <c r="D137" i="172"/>
  <c r="AK136" i="172"/>
  <c r="AJ136" i="172"/>
  <c r="AF136" i="172"/>
  <c r="Q136" i="172"/>
  <c r="N136" i="172"/>
  <c r="F136" i="172"/>
  <c r="D136" i="172"/>
  <c r="AQ135" i="172"/>
  <c r="AP135" i="172"/>
  <c r="AO135" i="172"/>
  <c r="AM135" i="172"/>
  <c r="AL135" i="172"/>
  <c r="AI135" i="172"/>
  <c r="AH135" i="172"/>
  <c r="AG135" i="172"/>
  <c r="AF135" i="172"/>
  <c r="X135" i="172"/>
  <c r="W135" i="172"/>
  <c r="T135" i="172"/>
  <c r="R135" i="172"/>
  <c r="Q135" i="172"/>
  <c r="P135" i="172"/>
  <c r="O135" i="172"/>
  <c r="N135" i="172"/>
  <c r="V135" i="172" s="1"/>
  <c r="F135" i="172"/>
  <c r="D135" i="172"/>
  <c r="AR134" i="172"/>
  <c r="AP134" i="172"/>
  <c r="AM134" i="172"/>
  <c r="AL134" i="172"/>
  <c r="AJ134" i="172"/>
  <c r="AI134" i="172"/>
  <c r="AH134" i="172"/>
  <c r="AG134" i="172"/>
  <c r="AF134" i="172"/>
  <c r="T134" i="172"/>
  <c r="R134" i="172"/>
  <c r="N134" i="172"/>
  <c r="F134" i="172"/>
  <c r="D134" i="172"/>
  <c r="AR133" i="172"/>
  <c r="AP133" i="172"/>
  <c r="AN133" i="172"/>
  <c r="AM133" i="172"/>
  <c r="AL133" i="172"/>
  <c r="AK133" i="172"/>
  <c r="AJ133" i="172"/>
  <c r="AI133" i="172"/>
  <c r="AH133" i="172"/>
  <c r="AG133" i="172"/>
  <c r="AF133" i="172"/>
  <c r="AQ133" i="172" s="1"/>
  <c r="Z133" i="172"/>
  <c r="W133" i="172"/>
  <c r="R133" i="172"/>
  <c r="Q133" i="172"/>
  <c r="O133" i="172"/>
  <c r="N133" i="172"/>
  <c r="F133" i="172"/>
  <c r="D133" i="172"/>
  <c r="AS132" i="172"/>
  <c r="AR132" i="172"/>
  <c r="AQ132" i="172"/>
  <c r="AP132" i="172"/>
  <c r="AO132" i="172"/>
  <c r="AN132" i="172"/>
  <c r="AM132" i="172"/>
  <c r="AL132" i="172"/>
  <c r="AK132" i="172"/>
  <c r="AJ132" i="172"/>
  <c r="AI132" i="172"/>
  <c r="AH132" i="172"/>
  <c r="AG132" i="172"/>
  <c r="AF132" i="172"/>
  <c r="AA132" i="172"/>
  <c r="Z132" i="172"/>
  <c r="Y132" i="172"/>
  <c r="X132" i="172"/>
  <c r="W132" i="172"/>
  <c r="V132" i="172"/>
  <c r="U132" i="172"/>
  <c r="T132" i="172"/>
  <c r="S132" i="172"/>
  <c r="R132" i="172"/>
  <c r="Q132" i="172"/>
  <c r="P132" i="172"/>
  <c r="O132" i="172"/>
  <c r="N132" i="172"/>
  <c r="F132" i="172"/>
  <c r="D132" i="172"/>
  <c r="AF131" i="172"/>
  <c r="N131" i="172"/>
  <c r="Y131" i="172" s="1"/>
  <c r="D131" i="172"/>
  <c r="AR130" i="172"/>
  <c r="AQ130" i="172"/>
  <c r="AO130" i="172"/>
  <c r="AN130" i="172"/>
  <c r="AM130" i="172"/>
  <c r="AL130" i="172"/>
  <c r="AK130" i="172"/>
  <c r="AJ130" i="172"/>
  <c r="AI130" i="172"/>
  <c r="AH130" i="172"/>
  <c r="AG130" i="172"/>
  <c r="AF130" i="172"/>
  <c r="AP130" i="172" s="1"/>
  <c r="Z130" i="172"/>
  <c r="Y130" i="172"/>
  <c r="X130" i="172"/>
  <c r="V130" i="172"/>
  <c r="U130" i="172"/>
  <c r="T130" i="172"/>
  <c r="S130" i="172"/>
  <c r="R130" i="172"/>
  <c r="Q130" i="172"/>
  <c r="P130" i="172"/>
  <c r="O130" i="172"/>
  <c r="N130" i="172"/>
  <c r="W130" i="172" s="1"/>
  <c r="F130" i="172"/>
  <c r="D130" i="172"/>
  <c r="AO129" i="172"/>
  <c r="AF129" i="172"/>
  <c r="Z129" i="172"/>
  <c r="Y129" i="172"/>
  <c r="X129" i="172"/>
  <c r="W129" i="172"/>
  <c r="U129" i="172"/>
  <c r="T129" i="172"/>
  <c r="S129" i="172"/>
  <c r="Q129" i="172"/>
  <c r="P129" i="172"/>
  <c r="O129" i="172"/>
  <c r="N129" i="172"/>
  <c r="V129" i="172" s="1"/>
  <c r="F129" i="172"/>
  <c r="D129" i="172"/>
  <c r="A129" i="172"/>
  <c r="A130" i="172" s="1"/>
  <c r="A131" i="172" s="1"/>
  <c r="A132" i="172" s="1"/>
  <c r="A133" i="172" s="1"/>
  <c r="A134" i="172" s="1"/>
  <c r="A135" i="172" s="1"/>
  <c r="A136" i="172" s="1"/>
  <c r="A137" i="172" s="1"/>
  <c r="A138" i="172" s="1"/>
  <c r="AR128" i="172"/>
  <c r="AP128" i="172"/>
  <c r="AO128" i="172"/>
  <c r="AK128" i="172"/>
  <c r="AJ128" i="172"/>
  <c r="AI128" i="172"/>
  <c r="AG128" i="172"/>
  <c r="AF128" i="172"/>
  <c r="N128" i="172"/>
  <c r="F128" i="172"/>
  <c r="D128" i="172"/>
  <c r="AR127" i="172"/>
  <c r="AQ127" i="172"/>
  <c r="AP127" i="172"/>
  <c r="AO127" i="172"/>
  <c r="AN127" i="172"/>
  <c r="AM127" i="172"/>
  <c r="AL127" i="172"/>
  <c r="AK127" i="172"/>
  <c r="AJ127" i="172"/>
  <c r="AI127" i="172"/>
  <c r="AH127" i="172"/>
  <c r="AS127" i="172" s="1"/>
  <c r="AG127" i="172"/>
  <c r="AF127" i="172"/>
  <c r="Z127" i="172"/>
  <c r="Y127" i="172"/>
  <c r="X127" i="172"/>
  <c r="W127" i="172"/>
  <c r="V127" i="172"/>
  <c r="U127" i="172"/>
  <c r="T127" i="172"/>
  <c r="S127" i="172"/>
  <c r="R127" i="172"/>
  <c r="Q127" i="172"/>
  <c r="P127" i="172"/>
  <c r="O127" i="172"/>
  <c r="N127" i="172"/>
  <c r="F127" i="172"/>
  <c r="D127" i="172"/>
  <c r="A127" i="172"/>
  <c r="A128" i="172" s="1"/>
  <c r="AO126" i="172"/>
  <c r="AM126" i="172"/>
  <c r="AJ126" i="172"/>
  <c r="AF126" i="172"/>
  <c r="AG126" i="172" s="1"/>
  <c r="Z126" i="172"/>
  <c r="T126" i="172"/>
  <c r="R126" i="172"/>
  <c r="O126" i="172"/>
  <c r="N126" i="172"/>
  <c r="F126" i="172"/>
  <c r="D126" i="172"/>
  <c r="AC123" i="172"/>
  <c r="AR121" i="172"/>
  <c r="AQ121" i="172"/>
  <c r="AP121" i="172"/>
  <c r="AL121" i="172"/>
  <c r="AK121" i="172"/>
  <c r="AI121" i="172"/>
  <c r="AF121" i="172"/>
  <c r="Z121" i="172"/>
  <c r="N121" i="172"/>
  <c r="Y121" i="172" s="1"/>
  <c r="F121" i="172"/>
  <c r="D121" i="172"/>
  <c r="AR120" i="172"/>
  <c r="AQ120" i="172"/>
  <c r="AP120" i="172"/>
  <c r="AL120" i="172"/>
  <c r="AJ120" i="172"/>
  <c r="AH120" i="172"/>
  <c r="AG120" i="172"/>
  <c r="AF120" i="172"/>
  <c r="Z120" i="172"/>
  <c r="Y120" i="172"/>
  <c r="X120" i="172"/>
  <c r="W120" i="172"/>
  <c r="V120" i="172"/>
  <c r="U120" i="172"/>
  <c r="T120" i="172"/>
  <c r="N120" i="172"/>
  <c r="P120" i="172" s="1"/>
  <c r="K120" i="172"/>
  <c r="F120" i="172"/>
  <c r="D120" i="172"/>
  <c r="AO119" i="172"/>
  <c r="AN119" i="172"/>
  <c r="AK119" i="172"/>
  <c r="AF119" i="172"/>
  <c r="AH119" i="172" s="1"/>
  <c r="Z119" i="172"/>
  <c r="V119" i="172"/>
  <c r="U119" i="172"/>
  <c r="R119" i="172"/>
  <c r="Q119" i="172"/>
  <c r="P119" i="172"/>
  <c r="O119" i="172"/>
  <c r="N119" i="172"/>
  <c r="F119" i="172"/>
  <c r="D119" i="172"/>
  <c r="AS118" i="172"/>
  <c r="AR118" i="172"/>
  <c r="AQ118" i="172"/>
  <c r="AP118" i="172"/>
  <c r="AO118" i="172"/>
  <c r="AN118" i="172"/>
  <c r="AM118" i="172"/>
  <c r="AL118" i="172"/>
  <c r="AK118" i="172"/>
  <c r="AJ118" i="172"/>
  <c r="AI118" i="172"/>
  <c r="AH118" i="172"/>
  <c r="AG118" i="172"/>
  <c r="AF118" i="172"/>
  <c r="AA118" i="172"/>
  <c r="Z118" i="172"/>
  <c r="Y118" i="172"/>
  <c r="X118" i="172"/>
  <c r="W118" i="172"/>
  <c r="V118" i="172"/>
  <c r="U118" i="172"/>
  <c r="T118" i="172"/>
  <c r="S118" i="172"/>
  <c r="R118" i="172"/>
  <c r="Q118" i="172"/>
  <c r="P118" i="172"/>
  <c r="O118" i="172"/>
  <c r="N118" i="172"/>
  <c r="F118" i="172"/>
  <c r="D118" i="172"/>
  <c r="AR117" i="172"/>
  <c r="AQ117" i="172"/>
  <c r="AO117" i="172"/>
  <c r="AN117" i="172"/>
  <c r="AM117" i="172"/>
  <c r="AL117" i="172"/>
  <c r="AK117" i="172"/>
  <c r="AJ117" i="172"/>
  <c r="AH117" i="172"/>
  <c r="AG117" i="172"/>
  <c r="AF117" i="172"/>
  <c r="AI117" i="172" s="1"/>
  <c r="Y117" i="172"/>
  <c r="V117" i="172"/>
  <c r="N117" i="172"/>
  <c r="U117" i="172" s="1"/>
  <c r="F117" i="172"/>
  <c r="D117" i="172"/>
  <c r="AR116" i="172"/>
  <c r="AQ116" i="172"/>
  <c r="AP116" i="172"/>
  <c r="AO116" i="172"/>
  <c r="AN116" i="172"/>
  <c r="AM116" i="172"/>
  <c r="AK116" i="172"/>
  <c r="AJ116" i="172"/>
  <c r="AI116" i="172"/>
  <c r="AH116" i="172"/>
  <c r="AG116" i="172"/>
  <c r="AF116" i="172"/>
  <c r="AL116" i="172" s="1"/>
  <c r="Z116" i="172"/>
  <c r="Y116" i="172"/>
  <c r="W116" i="172"/>
  <c r="V116" i="172"/>
  <c r="U116" i="172"/>
  <c r="S116" i="172"/>
  <c r="R116" i="172"/>
  <c r="Q116" i="172"/>
  <c r="P116" i="172"/>
  <c r="O116" i="172"/>
  <c r="N116" i="172"/>
  <c r="T116" i="172" s="1"/>
  <c r="F116" i="172"/>
  <c r="D116" i="172"/>
  <c r="AQ115" i="172"/>
  <c r="AM115" i="172"/>
  <c r="AL115" i="172"/>
  <c r="AJ115" i="172"/>
  <c r="AI115" i="172"/>
  <c r="AF115" i="172"/>
  <c r="Z115" i="172"/>
  <c r="Y115" i="172"/>
  <c r="X115" i="172"/>
  <c r="V115" i="172"/>
  <c r="U115" i="172"/>
  <c r="T115" i="172"/>
  <c r="S115" i="172"/>
  <c r="R115" i="172"/>
  <c r="Q115" i="172"/>
  <c r="P115" i="172"/>
  <c r="O115" i="172"/>
  <c r="N115" i="172"/>
  <c r="W115" i="172" s="1"/>
  <c r="F115" i="172"/>
  <c r="D115" i="172"/>
  <c r="AF114" i="172"/>
  <c r="X114" i="172"/>
  <c r="W114" i="172"/>
  <c r="T114" i="172"/>
  <c r="S114" i="172"/>
  <c r="R114" i="172"/>
  <c r="N114" i="172"/>
  <c r="F114" i="172"/>
  <c r="D114" i="172"/>
  <c r="AR113" i="172"/>
  <c r="AQ113" i="172"/>
  <c r="AP113" i="172"/>
  <c r="AO113" i="172"/>
  <c r="AN113" i="172"/>
  <c r="AM113" i="172"/>
  <c r="AL113" i="172"/>
  <c r="AK113" i="172"/>
  <c r="AJ113" i="172"/>
  <c r="AI113" i="172"/>
  <c r="AH113" i="172"/>
  <c r="AG113" i="172"/>
  <c r="AF113" i="172"/>
  <c r="Z113" i="172"/>
  <c r="Y113" i="172"/>
  <c r="X113" i="172"/>
  <c r="W113" i="172"/>
  <c r="V113" i="172"/>
  <c r="U113" i="172"/>
  <c r="T113" i="172"/>
  <c r="S113" i="172"/>
  <c r="R113" i="172"/>
  <c r="Q113" i="172"/>
  <c r="P113" i="172"/>
  <c r="O113" i="172"/>
  <c r="N113" i="172"/>
  <c r="F113" i="172"/>
  <c r="D113" i="172"/>
  <c r="AF112" i="172"/>
  <c r="N112" i="172"/>
  <c r="Y112" i="172" s="1"/>
  <c r="F112" i="172"/>
  <c r="D112" i="172"/>
  <c r="AP111" i="172"/>
  <c r="AL111" i="172"/>
  <c r="AK111" i="172"/>
  <c r="AJ111" i="172"/>
  <c r="AF111" i="172"/>
  <c r="X111" i="172"/>
  <c r="W111" i="172"/>
  <c r="N111" i="172"/>
  <c r="O111" i="172" s="1"/>
  <c r="F111" i="172"/>
  <c r="D111" i="172"/>
  <c r="AR110" i="172"/>
  <c r="AQ110" i="172"/>
  <c r="AM110" i="172"/>
  <c r="AJ110" i="172"/>
  <c r="AH110" i="172"/>
  <c r="AG110" i="172"/>
  <c r="AF110" i="172"/>
  <c r="Z110" i="172"/>
  <c r="V110" i="172"/>
  <c r="U110" i="172"/>
  <c r="T110" i="172"/>
  <c r="R110" i="172"/>
  <c r="Q110" i="172"/>
  <c r="P110" i="172"/>
  <c r="O110" i="172"/>
  <c r="N110" i="172"/>
  <c r="F110" i="172"/>
  <c r="D110" i="172"/>
  <c r="AQ109" i="172"/>
  <c r="AP109" i="172"/>
  <c r="AM109" i="172"/>
  <c r="AL109" i="172"/>
  <c r="AK109" i="172"/>
  <c r="AJ109" i="172"/>
  <c r="AI109" i="172"/>
  <c r="AH109" i="172"/>
  <c r="AG109" i="172"/>
  <c r="AF109" i="172"/>
  <c r="N109" i="172"/>
  <c r="F109" i="172"/>
  <c r="D109" i="172"/>
  <c r="AS108" i="172"/>
  <c r="AR108" i="172"/>
  <c r="AP108" i="172"/>
  <c r="AO108" i="172"/>
  <c r="AN108" i="172"/>
  <c r="AM108" i="172"/>
  <c r="AL108" i="172"/>
  <c r="AK108" i="172"/>
  <c r="AJ108" i="172"/>
  <c r="AI108" i="172"/>
  <c r="AH108" i="172"/>
  <c r="AG108" i="172"/>
  <c r="AF108" i="172"/>
  <c r="AQ108" i="172" s="1"/>
  <c r="Z108" i="172"/>
  <c r="X108" i="172"/>
  <c r="W108" i="172"/>
  <c r="V108" i="172"/>
  <c r="U108" i="172"/>
  <c r="T108" i="172"/>
  <c r="S108" i="172"/>
  <c r="R108" i="172"/>
  <c r="Q108" i="172"/>
  <c r="P108" i="172"/>
  <c r="O108" i="172"/>
  <c r="N108" i="172"/>
  <c r="Y108" i="172" s="1"/>
  <c r="F108" i="172"/>
  <c r="D108" i="172"/>
  <c r="AR107" i="172"/>
  <c r="AQ107" i="172"/>
  <c r="AP107" i="172"/>
  <c r="AO107" i="172"/>
  <c r="AN107" i="172"/>
  <c r="AM107" i="172"/>
  <c r="AL107" i="172"/>
  <c r="AK107" i="172"/>
  <c r="AI107" i="172"/>
  <c r="AH107" i="172"/>
  <c r="AG107" i="172"/>
  <c r="AS107" i="172" s="1"/>
  <c r="AF107" i="172"/>
  <c r="AJ107" i="172" s="1"/>
  <c r="Z107" i="172"/>
  <c r="Y107" i="172"/>
  <c r="X107" i="172"/>
  <c r="W107" i="172"/>
  <c r="V107" i="172"/>
  <c r="U107" i="172"/>
  <c r="T107" i="172"/>
  <c r="S107" i="172"/>
  <c r="Q107" i="172"/>
  <c r="P107" i="172"/>
  <c r="O107" i="172"/>
  <c r="N107" i="172"/>
  <c r="R107" i="172" s="1"/>
  <c r="D107" i="172"/>
  <c r="AS106" i="172"/>
  <c r="AR106" i="172"/>
  <c r="AQ106" i="172"/>
  <c r="AG106" i="172"/>
  <c r="AF106" i="172"/>
  <c r="AC106" i="172"/>
  <c r="Z106" i="172"/>
  <c r="Y106" i="172"/>
  <c r="X106" i="172"/>
  <c r="V106" i="172"/>
  <c r="U106" i="172"/>
  <c r="T106" i="172"/>
  <c r="S106" i="172"/>
  <c r="R106" i="172"/>
  <c r="Q106" i="172"/>
  <c r="P106" i="172"/>
  <c r="O106" i="172"/>
  <c r="N106" i="172"/>
  <c r="W106" i="172" s="1"/>
  <c r="K106" i="172"/>
  <c r="F106" i="172"/>
  <c r="D106" i="172"/>
  <c r="AQ105" i="172"/>
  <c r="AP105" i="172"/>
  <c r="AO105" i="172"/>
  <c r="AM105" i="172"/>
  <c r="AL105" i="172"/>
  <c r="AK105" i="172"/>
  <c r="AJ105" i="172"/>
  <c r="AG105" i="172"/>
  <c r="AF105" i="172"/>
  <c r="AN105" i="172" s="1"/>
  <c r="Y105" i="172"/>
  <c r="X105" i="172"/>
  <c r="V105" i="172"/>
  <c r="T105" i="172"/>
  <c r="R105" i="172"/>
  <c r="O105" i="172"/>
  <c r="N105" i="172"/>
  <c r="F105" i="172"/>
  <c r="D105" i="172"/>
  <c r="AQ104" i="172"/>
  <c r="AO104" i="172"/>
  <c r="AN104" i="172"/>
  <c r="AM104" i="172"/>
  <c r="AF104" i="172"/>
  <c r="AR104" i="172" s="1"/>
  <c r="Z104" i="172"/>
  <c r="X104" i="172"/>
  <c r="W104" i="172"/>
  <c r="V104" i="172"/>
  <c r="U104" i="172"/>
  <c r="R104" i="172"/>
  <c r="Q104" i="172"/>
  <c r="P104" i="172"/>
  <c r="N104" i="172"/>
  <c r="F104" i="172"/>
  <c r="D104" i="172"/>
  <c r="A104" i="172"/>
  <c r="A105" i="172" s="1"/>
  <c r="A106" i="172" s="1"/>
  <c r="A107" i="172" s="1"/>
  <c r="A108" i="172" s="1"/>
  <c r="A109" i="172" s="1"/>
  <c r="A110" i="172" s="1"/>
  <c r="A111" i="172" s="1"/>
  <c r="A112" i="172" s="1"/>
  <c r="A113" i="172" s="1"/>
  <c r="A114" i="172" s="1"/>
  <c r="A115" i="172" s="1"/>
  <c r="A116" i="172" s="1"/>
  <c r="A117" i="172" s="1"/>
  <c r="A118" i="172" s="1"/>
  <c r="A119" i="172" s="1"/>
  <c r="A120" i="172" s="1"/>
  <c r="A121" i="172" s="1"/>
  <c r="AR103" i="172"/>
  <c r="AQ103" i="172"/>
  <c r="AP103" i="172"/>
  <c r="AO103" i="172"/>
  <c r="AN103" i="172"/>
  <c r="AM103" i="172"/>
  <c r="AF103" i="172"/>
  <c r="Y103" i="172"/>
  <c r="X103" i="172"/>
  <c r="W103" i="172"/>
  <c r="V103" i="172"/>
  <c r="U103" i="172"/>
  <c r="T103" i="172"/>
  <c r="S103" i="172"/>
  <c r="R103" i="172"/>
  <c r="Q103" i="172"/>
  <c r="P103" i="172"/>
  <c r="O103" i="172"/>
  <c r="AA103" i="172" s="1"/>
  <c r="N103" i="172"/>
  <c r="Z103" i="172" s="1"/>
  <c r="F103" i="172"/>
  <c r="D103" i="172"/>
  <c r="A103" i="172"/>
  <c r="AP102" i="172"/>
  <c r="AF102" i="172"/>
  <c r="AO102" i="172" s="1"/>
  <c r="N102" i="172"/>
  <c r="F102" i="172"/>
  <c r="D102" i="172"/>
  <c r="K99" i="172"/>
  <c r="AR97" i="172"/>
  <c r="AQ97" i="172"/>
  <c r="AP97" i="172"/>
  <c r="AO97" i="172"/>
  <c r="AN97" i="172"/>
  <c r="AM97" i="172"/>
  <c r="AL97" i="172"/>
  <c r="AK97" i="172"/>
  <c r="AJ97" i="172"/>
  <c r="AI97" i="172"/>
  <c r="AH97" i="172"/>
  <c r="AG97" i="172"/>
  <c r="AF97" i="172"/>
  <c r="Z97" i="172"/>
  <c r="Y97" i="172"/>
  <c r="X97" i="172"/>
  <c r="W97" i="172"/>
  <c r="V97" i="172"/>
  <c r="U97" i="172"/>
  <c r="T97" i="172"/>
  <c r="S97" i="172"/>
  <c r="R97" i="172"/>
  <c r="Q97" i="172"/>
  <c r="AA97" i="172" s="1"/>
  <c r="P97" i="172"/>
  <c r="O97" i="172"/>
  <c r="N97" i="172"/>
  <c r="F97" i="172"/>
  <c r="D97" i="172"/>
  <c r="AF96" i="172"/>
  <c r="AK96" i="172" s="1"/>
  <c r="AC96" i="172"/>
  <c r="Z96" i="172"/>
  <c r="W96" i="172"/>
  <c r="V96" i="172"/>
  <c r="S96" i="172"/>
  <c r="Q96" i="172"/>
  <c r="P96" i="172"/>
  <c r="N96" i="172"/>
  <c r="K96" i="172"/>
  <c r="F96" i="172"/>
  <c r="D96" i="172"/>
  <c r="AR95" i="172"/>
  <c r="AQ95" i="172"/>
  <c r="AP95" i="172"/>
  <c r="AO95" i="172"/>
  <c r="AN95" i="172"/>
  <c r="AM95" i="172"/>
  <c r="AL95" i="172"/>
  <c r="AK95" i="172"/>
  <c r="AJ95" i="172"/>
  <c r="AI95" i="172"/>
  <c r="AH95" i="172"/>
  <c r="AG95" i="172"/>
  <c r="AF95" i="172"/>
  <c r="AC95" i="172"/>
  <c r="Z95" i="172"/>
  <c r="Y95" i="172"/>
  <c r="X95" i="172"/>
  <c r="W95" i="172"/>
  <c r="V95" i="172"/>
  <c r="U95" i="172"/>
  <c r="T95" i="172"/>
  <c r="S95" i="172"/>
  <c r="R95" i="172"/>
  <c r="Q95" i="172"/>
  <c r="P95" i="172"/>
  <c r="O95" i="172"/>
  <c r="N95" i="172"/>
  <c r="K95" i="172"/>
  <c r="F95" i="172"/>
  <c r="D95" i="172"/>
  <c r="AQ94" i="172"/>
  <c r="AP94" i="172"/>
  <c r="AF94" i="172"/>
  <c r="N94" i="172"/>
  <c r="F94" i="172"/>
  <c r="D94" i="172"/>
  <c r="AR93" i="172"/>
  <c r="AP93" i="172"/>
  <c r="AO93" i="172"/>
  <c r="AN93" i="172"/>
  <c r="AM93" i="172"/>
  <c r="AL93" i="172"/>
  <c r="AJ93" i="172"/>
  <c r="AI93" i="172"/>
  <c r="AG93" i="172"/>
  <c r="AF93" i="172"/>
  <c r="AH93" i="172" s="1"/>
  <c r="N93" i="172"/>
  <c r="F93" i="172"/>
  <c r="D93" i="172"/>
  <c r="AN92" i="172"/>
  <c r="AF92" i="172"/>
  <c r="Z92" i="172"/>
  <c r="X92" i="172"/>
  <c r="W92" i="172"/>
  <c r="V92" i="172"/>
  <c r="U92" i="172"/>
  <c r="T92" i="172"/>
  <c r="Q92" i="172"/>
  <c r="P92" i="172"/>
  <c r="O92" i="172"/>
  <c r="N92" i="172"/>
  <c r="S92" i="172" s="1"/>
  <c r="F92" i="172"/>
  <c r="D92" i="172"/>
  <c r="AM91" i="172"/>
  <c r="AJ91" i="172"/>
  <c r="AF91" i="172"/>
  <c r="AG91" i="172" s="1"/>
  <c r="AC91" i="172"/>
  <c r="X91" i="172"/>
  <c r="V91" i="172"/>
  <c r="Q91" i="172"/>
  <c r="N91" i="172"/>
  <c r="F91" i="172"/>
  <c r="D91" i="172"/>
  <c r="AF90" i="172"/>
  <c r="AC90" i="172"/>
  <c r="Z90" i="172"/>
  <c r="Y90" i="172"/>
  <c r="X90" i="172"/>
  <c r="W90" i="172"/>
  <c r="V90" i="172"/>
  <c r="U90" i="172"/>
  <c r="T90" i="172"/>
  <c r="S90" i="172"/>
  <c r="R90" i="172"/>
  <c r="Q90" i="172"/>
  <c r="P90" i="172"/>
  <c r="O90" i="172"/>
  <c r="N90" i="172"/>
  <c r="F90" i="172"/>
  <c r="D90" i="172"/>
  <c r="AR89" i="172"/>
  <c r="AQ89" i="172"/>
  <c r="AP89" i="172"/>
  <c r="AO89" i="172"/>
  <c r="AN89" i="172"/>
  <c r="AM89" i="172"/>
  <c r="AL89" i="172"/>
  <c r="AK89" i="172"/>
  <c r="AJ89" i="172"/>
  <c r="AI89" i="172"/>
  <c r="AH89" i="172"/>
  <c r="AG89" i="172"/>
  <c r="AF89" i="172"/>
  <c r="Z89" i="172"/>
  <c r="Y89" i="172"/>
  <c r="X89" i="172"/>
  <c r="W89" i="172"/>
  <c r="V89" i="172"/>
  <c r="U89" i="172"/>
  <c r="T89" i="172"/>
  <c r="S89" i="172"/>
  <c r="R89" i="172"/>
  <c r="AA89" i="172" s="1"/>
  <c r="Q89" i="172"/>
  <c r="P89" i="172"/>
  <c r="O89" i="172"/>
  <c r="N89" i="172"/>
  <c r="F89" i="172"/>
  <c r="D89" i="172"/>
  <c r="AR88" i="172"/>
  <c r="AQ88" i="172"/>
  <c r="AN88" i="172"/>
  <c r="AM88" i="172"/>
  <c r="AK88" i="172"/>
  <c r="AJ88" i="172"/>
  <c r="AF88" i="172"/>
  <c r="AP88" i="172" s="1"/>
  <c r="AC88" i="172"/>
  <c r="Z88" i="172"/>
  <c r="V88" i="172"/>
  <c r="T88" i="172"/>
  <c r="R88" i="172"/>
  <c r="Q88" i="172"/>
  <c r="O88" i="172"/>
  <c r="N88" i="172"/>
  <c r="K88" i="172"/>
  <c r="F88" i="172"/>
  <c r="D88" i="172"/>
  <c r="AF87" i="172"/>
  <c r="AN87" i="172" s="1"/>
  <c r="Z87" i="172"/>
  <c r="W87" i="172"/>
  <c r="V87" i="172"/>
  <c r="U87" i="172"/>
  <c r="T87" i="172"/>
  <c r="S87" i="172"/>
  <c r="Q87" i="172"/>
  <c r="P87" i="172"/>
  <c r="O87" i="172"/>
  <c r="N87" i="172"/>
  <c r="Y87" i="172" s="1"/>
  <c r="F87" i="172"/>
  <c r="D87" i="172"/>
  <c r="AR86" i="172"/>
  <c r="AQ86" i="172"/>
  <c r="AP86" i="172"/>
  <c r="AO86" i="172"/>
  <c r="AN86" i="172"/>
  <c r="AM86" i="172"/>
  <c r="AL86" i="172"/>
  <c r="AK86" i="172"/>
  <c r="AJ86" i="172"/>
  <c r="AI86" i="172"/>
  <c r="AH86" i="172"/>
  <c r="AG86" i="172"/>
  <c r="AS86" i="172" s="1"/>
  <c r="AF86" i="172"/>
  <c r="Z86" i="172"/>
  <c r="Y86" i="172"/>
  <c r="X86" i="172"/>
  <c r="W86" i="172"/>
  <c r="V86" i="172"/>
  <c r="U86" i="172"/>
  <c r="T86" i="172"/>
  <c r="S86" i="172"/>
  <c r="R86" i="172"/>
  <c r="Q86" i="172"/>
  <c r="P86" i="172"/>
  <c r="O86" i="172"/>
  <c r="AA86" i="172" s="1"/>
  <c r="N86" i="172"/>
  <c r="F86" i="172"/>
  <c r="D86" i="172"/>
  <c r="AR85" i="172"/>
  <c r="AQ85" i="172"/>
  <c r="AP85" i="172"/>
  <c r="AN85" i="172"/>
  <c r="AM85" i="172"/>
  <c r="AL85" i="172"/>
  <c r="AK85" i="172"/>
  <c r="AJ85" i="172"/>
  <c r="AH85" i="172"/>
  <c r="AG85" i="172"/>
  <c r="AF85" i="172"/>
  <c r="AI85" i="172" s="1"/>
  <c r="S85" i="172"/>
  <c r="P85" i="172"/>
  <c r="N85" i="172"/>
  <c r="F85" i="172"/>
  <c r="D85" i="172"/>
  <c r="AR84" i="172"/>
  <c r="AP84" i="172"/>
  <c r="AO84" i="172"/>
  <c r="AN84" i="172"/>
  <c r="AM84" i="172"/>
  <c r="AL84" i="172"/>
  <c r="AK84" i="172"/>
  <c r="AJ84" i="172"/>
  <c r="AI84" i="172"/>
  <c r="AH84" i="172"/>
  <c r="AG84" i="172"/>
  <c r="AS84" i="172" s="1"/>
  <c r="AF84" i="172"/>
  <c r="AQ84" i="172" s="1"/>
  <c r="Z84" i="172"/>
  <c r="X84" i="172"/>
  <c r="W84" i="172"/>
  <c r="V84" i="172"/>
  <c r="U84" i="172"/>
  <c r="T84" i="172"/>
  <c r="S84" i="172"/>
  <c r="R84" i="172"/>
  <c r="Q84" i="172"/>
  <c r="P84" i="172"/>
  <c r="O84" i="172"/>
  <c r="N84" i="172"/>
  <c r="Y84" i="172" s="1"/>
  <c r="F84" i="172"/>
  <c r="D84" i="172"/>
  <c r="AF83" i="172"/>
  <c r="Z83" i="172"/>
  <c r="W83" i="172"/>
  <c r="U83" i="172"/>
  <c r="T83" i="172"/>
  <c r="Q83" i="172"/>
  <c r="P83" i="172"/>
  <c r="O83" i="172"/>
  <c r="N83" i="172"/>
  <c r="D83" i="172"/>
  <c r="AR82" i="172"/>
  <c r="AQ82" i="172"/>
  <c r="AP82" i="172"/>
  <c r="AO82" i="172"/>
  <c r="AN82" i="172"/>
  <c r="AM82" i="172"/>
  <c r="AL82" i="172"/>
  <c r="AK82" i="172"/>
  <c r="AJ82" i="172"/>
  <c r="AI82" i="172"/>
  <c r="AH82" i="172"/>
  <c r="AG82" i="172"/>
  <c r="AF82" i="172"/>
  <c r="Q82" i="172"/>
  <c r="N82" i="172"/>
  <c r="F82" i="172"/>
  <c r="D82" i="172"/>
  <c r="B82" i="172"/>
  <c r="B83" i="172" s="1"/>
  <c r="B84" i="172" s="1"/>
  <c r="A82" i="172"/>
  <c r="A83" i="172" s="1"/>
  <c r="A84" i="172" s="1"/>
  <c r="A85" i="172" s="1"/>
  <c r="A86" i="172" s="1"/>
  <c r="A87" i="172" s="1"/>
  <c r="A88" i="172" s="1"/>
  <c r="A89" i="172" s="1"/>
  <c r="A90" i="172" s="1"/>
  <c r="A91" i="172" s="1"/>
  <c r="A92" i="172" s="1"/>
  <c r="A93" i="172" s="1"/>
  <c r="A94" i="172" s="1"/>
  <c r="A95" i="172" s="1"/>
  <c r="A96" i="172" s="1"/>
  <c r="A97" i="172" s="1"/>
  <c r="AF81" i="172"/>
  <c r="AC81" i="172"/>
  <c r="X81" i="172"/>
  <c r="V81" i="172"/>
  <c r="N81" i="172"/>
  <c r="O81" i="172" s="1"/>
  <c r="K81" i="172"/>
  <c r="F81" i="172"/>
  <c r="D81" i="172"/>
  <c r="B81" i="172"/>
  <c r="AR80" i="172"/>
  <c r="AQ80" i="172"/>
  <c r="AP80" i="172"/>
  <c r="AN80" i="172"/>
  <c r="AM80" i="172"/>
  <c r="AJ80" i="172"/>
  <c r="AI80" i="172"/>
  <c r="AG80" i="172"/>
  <c r="AF80" i="172"/>
  <c r="Y80" i="172"/>
  <c r="X80" i="172"/>
  <c r="V80" i="172"/>
  <c r="U80" i="172"/>
  <c r="T80" i="172"/>
  <c r="R80" i="172"/>
  <c r="Q80" i="172"/>
  <c r="P80" i="172"/>
  <c r="N80" i="172"/>
  <c r="F80" i="172"/>
  <c r="D80" i="172"/>
  <c r="A80" i="172"/>
  <c r="A81" i="172" s="1"/>
  <c r="AR79" i="172"/>
  <c r="AQ79" i="172"/>
  <c r="AP79" i="172"/>
  <c r="AO79" i="172"/>
  <c r="AN79" i="172"/>
  <c r="AM79" i="172"/>
  <c r="AL79" i="172"/>
  <c r="AK79" i="172"/>
  <c r="AJ79" i="172"/>
  <c r="AI79" i="172"/>
  <c r="AH79" i="172"/>
  <c r="AG79" i="172"/>
  <c r="AF79" i="172"/>
  <c r="Z79" i="172"/>
  <c r="Y79" i="172"/>
  <c r="X79" i="172"/>
  <c r="W79" i="172"/>
  <c r="V79" i="172"/>
  <c r="U79" i="172"/>
  <c r="T79" i="172"/>
  <c r="S79" i="172"/>
  <c r="R79" i="172"/>
  <c r="Q79" i="172"/>
  <c r="P79" i="172"/>
  <c r="O79" i="172"/>
  <c r="N79" i="172"/>
  <c r="F79" i="172"/>
  <c r="D79" i="172"/>
  <c r="B79" i="172"/>
  <c r="B80" i="172" s="1"/>
  <c r="A79" i="172"/>
  <c r="AR78" i="172"/>
  <c r="AO78" i="172"/>
  <c r="AN78" i="172"/>
  <c r="AL78" i="172"/>
  <c r="AK78" i="172"/>
  <c r="AF78" i="172"/>
  <c r="AP78" i="172" s="1"/>
  <c r="AC78" i="172"/>
  <c r="S78" i="172"/>
  <c r="Q78" i="172"/>
  <c r="O78" i="172"/>
  <c r="N78" i="172"/>
  <c r="F78" i="172"/>
  <c r="D78" i="172"/>
  <c r="AC75" i="172"/>
  <c r="AR73" i="172"/>
  <c r="AQ73" i="172"/>
  <c r="AP73" i="172"/>
  <c r="AN73" i="172"/>
  <c r="AM73" i="172"/>
  <c r="AL73" i="172"/>
  <c r="AJ73" i="172"/>
  <c r="AI73" i="172"/>
  <c r="AH73" i="172"/>
  <c r="AG73" i="172"/>
  <c r="AF73" i="172"/>
  <c r="AK73" i="172" s="1"/>
  <c r="Z73" i="172"/>
  <c r="Y73" i="172"/>
  <c r="X73" i="172"/>
  <c r="W73" i="172"/>
  <c r="U73" i="172"/>
  <c r="T73" i="172"/>
  <c r="R73" i="172"/>
  <c r="P73" i="172"/>
  <c r="O73" i="172"/>
  <c r="N73" i="172"/>
  <c r="F73" i="172"/>
  <c r="D73" i="172"/>
  <c r="AR72" i="172"/>
  <c r="AP72" i="172"/>
  <c r="AN72" i="172"/>
  <c r="AM72" i="172"/>
  <c r="AK72" i="172"/>
  <c r="AJ72" i="172"/>
  <c r="AI72" i="172"/>
  <c r="AG72" i="172"/>
  <c r="AF72" i="172"/>
  <c r="P72" i="172"/>
  <c r="N72" i="172"/>
  <c r="F72" i="172"/>
  <c r="D72" i="172"/>
  <c r="AP71" i="172"/>
  <c r="AO71" i="172"/>
  <c r="AK71" i="172"/>
  <c r="AI71" i="172"/>
  <c r="AG71" i="172"/>
  <c r="AF71" i="172"/>
  <c r="S71" i="172"/>
  <c r="N71" i="172"/>
  <c r="F71" i="172"/>
  <c r="D71" i="172"/>
  <c r="AS70" i="172"/>
  <c r="AR70" i="172"/>
  <c r="AQ70" i="172"/>
  <c r="AP70" i="172"/>
  <c r="AO70" i="172"/>
  <c r="AN70" i="172"/>
  <c r="AM70" i="172"/>
  <c r="AL70" i="172"/>
  <c r="AK70" i="172"/>
  <c r="AJ70" i="172"/>
  <c r="AH70" i="172"/>
  <c r="AG70" i="172"/>
  <c r="AF70" i="172"/>
  <c r="AI70" i="172" s="1"/>
  <c r="Z70" i="172"/>
  <c r="Y70" i="172"/>
  <c r="W70" i="172"/>
  <c r="R70" i="172"/>
  <c r="P70" i="172"/>
  <c r="N70" i="172"/>
  <c r="V70" i="172" s="1"/>
  <c r="F70" i="172"/>
  <c r="D70" i="172"/>
  <c r="AR69" i="172"/>
  <c r="AQ69" i="172"/>
  <c r="AP69" i="172"/>
  <c r="AJ69" i="172"/>
  <c r="AI69" i="172"/>
  <c r="AF69" i="172"/>
  <c r="AN69" i="172" s="1"/>
  <c r="Y69" i="172"/>
  <c r="W69" i="172"/>
  <c r="V69" i="172"/>
  <c r="T69" i="172"/>
  <c r="S69" i="172"/>
  <c r="N69" i="172"/>
  <c r="F69" i="172"/>
  <c r="D69" i="172"/>
  <c r="AR68" i="172"/>
  <c r="AP68" i="172"/>
  <c r="AO68" i="172"/>
  <c r="AN68" i="172"/>
  <c r="AM68" i="172"/>
  <c r="AL68" i="172"/>
  <c r="AI68" i="172"/>
  <c r="AH68" i="172"/>
  <c r="AG68" i="172"/>
  <c r="AF68" i="172"/>
  <c r="N68" i="172"/>
  <c r="Z68" i="172" s="1"/>
  <c r="F68" i="172"/>
  <c r="D68" i="172"/>
  <c r="AF67" i="172"/>
  <c r="Z67" i="172"/>
  <c r="Y67" i="172"/>
  <c r="X67" i="172"/>
  <c r="V67" i="172"/>
  <c r="U67" i="172"/>
  <c r="T67" i="172"/>
  <c r="R67" i="172"/>
  <c r="N67" i="172"/>
  <c r="W67" i="172" s="1"/>
  <c r="F67" i="172"/>
  <c r="D67" i="172"/>
  <c r="AR66" i="172"/>
  <c r="AQ66" i="172"/>
  <c r="AP66" i="172"/>
  <c r="AO66" i="172"/>
  <c r="AN66" i="172"/>
  <c r="AM66" i="172"/>
  <c r="AL66" i="172"/>
  <c r="AI66" i="172"/>
  <c r="AH66" i="172"/>
  <c r="AG66" i="172"/>
  <c r="AF66" i="172"/>
  <c r="AK66" i="172" s="1"/>
  <c r="T66" i="172"/>
  <c r="O66" i="172"/>
  <c r="N66" i="172"/>
  <c r="F66" i="172"/>
  <c r="D66" i="172"/>
  <c r="AR65" i="172"/>
  <c r="AP65" i="172"/>
  <c r="AO65" i="172"/>
  <c r="AN65" i="172"/>
  <c r="AM65" i="172"/>
  <c r="AL65" i="172"/>
  <c r="AK65" i="172"/>
  <c r="AJ65" i="172"/>
  <c r="AI65" i="172"/>
  <c r="AH65" i="172"/>
  <c r="AG65" i="172"/>
  <c r="AF65" i="172"/>
  <c r="AQ65" i="172" s="1"/>
  <c r="Z65" i="172"/>
  <c r="X65" i="172"/>
  <c r="W65" i="172"/>
  <c r="V65" i="172"/>
  <c r="U65" i="172"/>
  <c r="T65" i="172"/>
  <c r="S65" i="172"/>
  <c r="R65" i="172"/>
  <c r="Q65" i="172"/>
  <c r="P65" i="172"/>
  <c r="O65" i="172"/>
  <c r="N65" i="172"/>
  <c r="Y65" i="172" s="1"/>
  <c r="F65" i="172"/>
  <c r="D65" i="172"/>
  <c r="AF64" i="172"/>
  <c r="Z64" i="172"/>
  <c r="Y64" i="172"/>
  <c r="U64" i="172"/>
  <c r="T64" i="172"/>
  <c r="Q64" i="172"/>
  <c r="P64" i="172"/>
  <c r="N64" i="172"/>
  <c r="F64" i="172"/>
  <c r="D64" i="172"/>
  <c r="AQ63" i="172"/>
  <c r="AM63" i="172"/>
  <c r="AH63" i="172"/>
  <c r="AG63" i="172"/>
  <c r="AF63" i="172"/>
  <c r="N63" i="172"/>
  <c r="F63" i="172"/>
  <c r="D63" i="172"/>
  <c r="AR62" i="172"/>
  <c r="AS62" i="172" s="1"/>
  <c r="AQ62" i="172"/>
  <c r="AP62" i="172"/>
  <c r="AO62" i="172"/>
  <c r="AN62" i="172"/>
  <c r="AL62" i="172"/>
  <c r="AK62" i="172"/>
  <c r="AJ62" i="172"/>
  <c r="AI62" i="172"/>
  <c r="AH62" i="172"/>
  <c r="AG62" i="172"/>
  <c r="AF62" i="172"/>
  <c r="AM62" i="172" s="1"/>
  <c r="Z62" i="172"/>
  <c r="Y62" i="172"/>
  <c r="W62" i="172"/>
  <c r="V62" i="172"/>
  <c r="T62" i="172"/>
  <c r="R62" i="172"/>
  <c r="Q62" i="172"/>
  <c r="P62" i="172"/>
  <c r="O62" i="172"/>
  <c r="N62" i="172"/>
  <c r="U62" i="172" s="1"/>
  <c r="F62" i="172"/>
  <c r="D62" i="172"/>
  <c r="AP61" i="172"/>
  <c r="AO61" i="172"/>
  <c r="AM61" i="172"/>
  <c r="AL61" i="172"/>
  <c r="AK61" i="172"/>
  <c r="AJ61" i="172"/>
  <c r="AF61" i="172"/>
  <c r="N61" i="172"/>
  <c r="S61" i="172" s="1"/>
  <c r="F61" i="172"/>
  <c r="D61" i="172"/>
  <c r="AR60" i="172"/>
  <c r="AQ60" i="172"/>
  <c r="AP60" i="172"/>
  <c r="AO60" i="172"/>
  <c r="AN60" i="172"/>
  <c r="AM60" i="172"/>
  <c r="AL60" i="172"/>
  <c r="AK60" i="172"/>
  <c r="AJ60" i="172"/>
  <c r="AI60" i="172"/>
  <c r="AS60" i="172" s="1"/>
  <c r="AH60" i="172"/>
  <c r="AG60" i="172"/>
  <c r="AF60" i="172"/>
  <c r="Z60" i="172"/>
  <c r="Y60" i="172"/>
  <c r="X60" i="172"/>
  <c r="W60" i="172"/>
  <c r="V60" i="172"/>
  <c r="U60" i="172"/>
  <c r="T60" i="172"/>
  <c r="S60" i="172"/>
  <c r="R60" i="172"/>
  <c r="Q60" i="172"/>
  <c r="AA60" i="172" s="1"/>
  <c r="P60" i="172"/>
  <c r="O60" i="172"/>
  <c r="N60" i="172"/>
  <c r="F60" i="172"/>
  <c r="D60" i="172"/>
  <c r="B60" i="172"/>
  <c r="B61" i="172" s="1"/>
  <c r="B62" i="172" s="1"/>
  <c r="B63" i="172" s="1"/>
  <c r="B64" i="172" s="1"/>
  <c r="B65" i="172" s="1"/>
  <c r="B66" i="172" s="1"/>
  <c r="B67" i="172" s="1"/>
  <c r="B68" i="172" s="1"/>
  <c r="B69" i="172" s="1"/>
  <c r="B70" i="172" s="1"/>
  <c r="B71" i="172" s="1"/>
  <c r="B72" i="172" s="1"/>
  <c r="B73" i="172" s="1"/>
  <c r="AJ59" i="172"/>
  <c r="AG59" i="172"/>
  <c r="AF59" i="172"/>
  <c r="Z59" i="172"/>
  <c r="V59" i="172"/>
  <c r="U59" i="172"/>
  <c r="R59" i="172"/>
  <c r="Q59" i="172"/>
  <c r="O59" i="172"/>
  <c r="N59" i="172"/>
  <c r="D59" i="172"/>
  <c r="AR58" i="172"/>
  <c r="AQ58" i="172"/>
  <c r="AP58" i="172"/>
  <c r="AN58" i="172"/>
  <c r="AM58" i="172"/>
  <c r="AL58" i="172"/>
  <c r="AJ58" i="172"/>
  <c r="AI58" i="172"/>
  <c r="AH58" i="172"/>
  <c r="AG58" i="172"/>
  <c r="AF58" i="172"/>
  <c r="AO58" i="172" s="1"/>
  <c r="Z58" i="172"/>
  <c r="Y58" i="172"/>
  <c r="X58" i="172"/>
  <c r="V58" i="172"/>
  <c r="U58" i="172"/>
  <c r="T58" i="172"/>
  <c r="R58" i="172"/>
  <c r="Q58" i="172"/>
  <c r="P58" i="172"/>
  <c r="O58" i="172"/>
  <c r="N58" i="172"/>
  <c r="W58" i="172" s="1"/>
  <c r="F58" i="172"/>
  <c r="D58" i="172"/>
  <c r="AK57" i="172"/>
  <c r="AG57" i="172"/>
  <c r="AF57" i="172"/>
  <c r="Y57" i="172"/>
  <c r="X57" i="172"/>
  <c r="V57" i="172"/>
  <c r="U57" i="172"/>
  <c r="T57" i="172"/>
  <c r="S57" i="172"/>
  <c r="O57" i="172"/>
  <c r="N57" i="172"/>
  <c r="F57" i="172"/>
  <c r="D57" i="172"/>
  <c r="AR56" i="172"/>
  <c r="AQ56" i="172"/>
  <c r="AP56" i="172"/>
  <c r="AO56" i="172"/>
  <c r="AK56" i="172"/>
  <c r="AJ56" i="172"/>
  <c r="AG56" i="172"/>
  <c r="AF56" i="172"/>
  <c r="X56" i="172"/>
  <c r="S56" i="172"/>
  <c r="N56" i="172"/>
  <c r="O56" i="172" s="1"/>
  <c r="F56" i="172"/>
  <c r="D56" i="172"/>
  <c r="B56" i="172"/>
  <c r="B57" i="172" s="1"/>
  <c r="B58" i="172" s="1"/>
  <c r="B59" i="172" s="1"/>
  <c r="A56" i="172"/>
  <c r="A57" i="172" s="1"/>
  <c r="A58" i="172" s="1"/>
  <c r="A59" i="172" s="1"/>
  <c r="A60" i="172" s="1"/>
  <c r="A61" i="172" s="1"/>
  <c r="A62" i="172" s="1"/>
  <c r="A63" i="172" s="1"/>
  <c r="A64" i="172" s="1"/>
  <c r="A65" i="172" s="1"/>
  <c r="A66" i="172" s="1"/>
  <c r="A67" i="172" s="1"/>
  <c r="A68" i="172" s="1"/>
  <c r="A69" i="172" s="1"/>
  <c r="A70" i="172" s="1"/>
  <c r="A71" i="172" s="1"/>
  <c r="A72" i="172" s="1"/>
  <c r="A73" i="172" s="1"/>
  <c r="AR55" i="172"/>
  <c r="AQ55" i="172"/>
  <c r="AP55" i="172"/>
  <c r="AN55" i="172"/>
  <c r="AM55" i="172"/>
  <c r="AL55" i="172"/>
  <c r="AK55" i="172"/>
  <c r="AJ55" i="172"/>
  <c r="AI55" i="172"/>
  <c r="AH55" i="172"/>
  <c r="AG55" i="172"/>
  <c r="AS55" i="172" s="1"/>
  <c r="AF55" i="172"/>
  <c r="AO55" i="172" s="1"/>
  <c r="Z55" i="172"/>
  <c r="Y55" i="172"/>
  <c r="X55" i="172"/>
  <c r="V55" i="172"/>
  <c r="U55" i="172"/>
  <c r="T55" i="172"/>
  <c r="S55" i="172"/>
  <c r="R55" i="172"/>
  <c r="Q55" i="172"/>
  <c r="P55" i="172"/>
  <c r="O55" i="172"/>
  <c r="N55" i="172"/>
  <c r="W55" i="172" s="1"/>
  <c r="F55" i="172"/>
  <c r="D55" i="172"/>
  <c r="B55" i="172"/>
  <c r="A55" i="172"/>
  <c r="AR54" i="172"/>
  <c r="AP54" i="172"/>
  <c r="AO54" i="172"/>
  <c r="AN54" i="172"/>
  <c r="AL54" i="172"/>
  <c r="AK54" i="172"/>
  <c r="AJ54" i="172"/>
  <c r="AI54" i="172"/>
  <c r="AF54" i="172"/>
  <c r="AG54" i="172" s="1"/>
  <c r="Z54" i="172"/>
  <c r="W54" i="172"/>
  <c r="V54" i="172"/>
  <c r="T54" i="172"/>
  <c r="S54" i="172"/>
  <c r="R54" i="172"/>
  <c r="Q54" i="172"/>
  <c r="N54" i="172"/>
  <c r="O54" i="172" s="1"/>
  <c r="F54" i="172"/>
  <c r="D54" i="172"/>
  <c r="AC51" i="172"/>
  <c r="AR49" i="172"/>
  <c r="AP49" i="172"/>
  <c r="AO49" i="172"/>
  <c r="AN49" i="172"/>
  <c r="AM49" i="172"/>
  <c r="AI49" i="172"/>
  <c r="AH49" i="172"/>
  <c r="AF49" i="172"/>
  <c r="AK49" i="172" s="1"/>
  <c r="Z49" i="172"/>
  <c r="Y49" i="172"/>
  <c r="X49" i="172"/>
  <c r="W49" i="172"/>
  <c r="V49" i="172"/>
  <c r="U49" i="172"/>
  <c r="T49" i="172"/>
  <c r="S49" i="172"/>
  <c r="Q49" i="172"/>
  <c r="P49" i="172"/>
  <c r="O49" i="172"/>
  <c r="N49" i="172"/>
  <c r="R49" i="172" s="1"/>
  <c r="F49" i="172"/>
  <c r="F194" i="172" s="1"/>
  <c r="D49" i="172"/>
  <c r="AR48" i="172"/>
  <c r="AQ48" i="172"/>
  <c r="AP48" i="172"/>
  <c r="AO48" i="172"/>
  <c r="AK48" i="172"/>
  <c r="AJ48" i="172"/>
  <c r="AF48" i="172"/>
  <c r="AH48" i="172" s="1"/>
  <c r="X48" i="172"/>
  <c r="V48" i="172"/>
  <c r="R48" i="172"/>
  <c r="Q48" i="172"/>
  <c r="O48" i="172"/>
  <c r="N48" i="172"/>
  <c r="F48" i="172"/>
  <c r="F193" i="172" s="1"/>
  <c r="D48" i="172"/>
  <c r="AF47" i="172"/>
  <c r="Z47" i="172"/>
  <c r="Y47" i="172"/>
  <c r="X47" i="172"/>
  <c r="W47" i="172"/>
  <c r="U47" i="172"/>
  <c r="T47" i="172"/>
  <c r="S47" i="172"/>
  <c r="Q47" i="172"/>
  <c r="P47" i="172"/>
  <c r="O47" i="172"/>
  <c r="N47" i="172"/>
  <c r="V47" i="172" s="1"/>
  <c r="F47" i="172"/>
  <c r="F192" i="172" s="1"/>
  <c r="D47" i="172"/>
  <c r="AP46" i="172"/>
  <c r="AO46" i="172"/>
  <c r="AN46" i="172"/>
  <c r="AL46" i="172"/>
  <c r="AK46" i="172"/>
  <c r="AJ46" i="172"/>
  <c r="AG46" i="172"/>
  <c r="AF46" i="172"/>
  <c r="Z46" i="172"/>
  <c r="W46" i="172"/>
  <c r="V46" i="172"/>
  <c r="U46" i="172"/>
  <c r="S46" i="172"/>
  <c r="R46" i="172"/>
  <c r="Q46" i="172"/>
  <c r="O46" i="172"/>
  <c r="N46" i="172"/>
  <c r="F46" i="172"/>
  <c r="F191" i="172" s="1"/>
  <c r="D46" i="172"/>
  <c r="AR45" i="172"/>
  <c r="AQ45" i="172"/>
  <c r="AP45" i="172"/>
  <c r="AN45" i="172"/>
  <c r="AM45" i="172"/>
  <c r="AL45" i="172"/>
  <c r="AJ45" i="172"/>
  <c r="AI45" i="172"/>
  <c r="AH45" i="172"/>
  <c r="AG45" i="172"/>
  <c r="AF45" i="172"/>
  <c r="AO45" i="172" s="1"/>
  <c r="N45" i="172"/>
  <c r="F45" i="172"/>
  <c r="D45" i="172"/>
  <c r="AF44" i="172"/>
  <c r="Z44" i="172"/>
  <c r="Y44" i="172"/>
  <c r="X44" i="172"/>
  <c r="W44" i="172"/>
  <c r="V44" i="172"/>
  <c r="U44" i="172"/>
  <c r="T44" i="172"/>
  <c r="S44" i="172"/>
  <c r="R44" i="172"/>
  <c r="Q44" i="172"/>
  <c r="P44" i="172"/>
  <c r="O44" i="172"/>
  <c r="N44" i="172"/>
  <c r="F44" i="172"/>
  <c r="F189" i="172" s="1"/>
  <c r="D44" i="172"/>
  <c r="AF43" i="172"/>
  <c r="AH43" i="172" s="1"/>
  <c r="Y43" i="172"/>
  <c r="X43" i="172"/>
  <c r="W43" i="172"/>
  <c r="U43" i="172"/>
  <c r="T43" i="172"/>
  <c r="S43" i="172"/>
  <c r="R43" i="172"/>
  <c r="N43" i="172"/>
  <c r="O43" i="172" s="1"/>
  <c r="F43" i="172"/>
  <c r="F188" i="172" s="1"/>
  <c r="D43" i="172"/>
  <c r="AR42" i="172"/>
  <c r="AP42" i="172"/>
  <c r="AO42" i="172"/>
  <c r="AN42" i="172"/>
  <c r="AM42" i="172"/>
  <c r="AJ42" i="172"/>
  <c r="AI42" i="172"/>
  <c r="AH42" i="172"/>
  <c r="AF42" i="172"/>
  <c r="AC42" i="172"/>
  <c r="Z42" i="172"/>
  <c r="Y42" i="172"/>
  <c r="X42" i="172"/>
  <c r="W42" i="172"/>
  <c r="V42" i="172"/>
  <c r="U42" i="172"/>
  <c r="T42" i="172"/>
  <c r="S42" i="172"/>
  <c r="R42" i="172"/>
  <c r="Q42" i="172"/>
  <c r="P42" i="172"/>
  <c r="O42" i="172"/>
  <c r="N42" i="172"/>
  <c r="K42" i="172"/>
  <c r="F42" i="172"/>
  <c r="F187" i="172" s="1"/>
  <c r="D42" i="172"/>
  <c r="AR41" i="172"/>
  <c r="AP41" i="172"/>
  <c r="AO41" i="172"/>
  <c r="AN41" i="172"/>
  <c r="AM41" i="172"/>
  <c r="AL41" i="172"/>
  <c r="AK41" i="172"/>
  <c r="AJ41" i="172"/>
  <c r="AI41" i="172"/>
  <c r="AH41" i="172"/>
  <c r="AG41" i="172"/>
  <c r="AF41" i="172"/>
  <c r="AQ41" i="172" s="1"/>
  <c r="AC41" i="172"/>
  <c r="Z41" i="172"/>
  <c r="X41" i="172"/>
  <c r="W41" i="172"/>
  <c r="V41" i="172"/>
  <c r="U41" i="172"/>
  <c r="T41" i="172"/>
  <c r="S41" i="172"/>
  <c r="R41" i="172"/>
  <c r="Q41" i="172"/>
  <c r="P41" i="172"/>
  <c r="O41" i="172"/>
  <c r="N41" i="172"/>
  <c r="Y41" i="172" s="1"/>
  <c r="K41" i="172"/>
  <c r="F41" i="172"/>
  <c r="F186" i="172" s="1"/>
  <c r="D41" i="172"/>
  <c r="AR40" i="172"/>
  <c r="AQ40" i="172"/>
  <c r="AP40" i="172"/>
  <c r="AN40" i="172"/>
  <c r="AM40" i="172"/>
  <c r="AL40" i="172"/>
  <c r="AJ40" i="172"/>
  <c r="AI40" i="172"/>
  <c r="AH40" i="172"/>
  <c r="AG40" i="172"/>
  <c r="AF40" i="172"/>
  <c r="AO40" i="172" s="1"/>
  <c r="X40" i="172"/>
  <c r="W40" i="172"/>
  <c r="U40" i="172"/>
  <c r="T40" i="172"/>
  <c r="S40" i="172"/>
  <c r="Q40" i="172"/>
  <c r="P40" i="172"/>
  <c r="O40" i="172"/>
  <c r="N40" i="172"/>
  <c r="F40" i="172"/>
  <c r="F185" i="172" s="1"/>
  <c r="D40" i="172"/>
  <c r="AP39" i="172"/>
  <c r="AO39" i="172"/>
  <c r="AK39" i="172"/>
  <c r="AJ39" i="172"/>
  <c r="AI39" i="172"/>
  <c r="AF39" i="172"/>
  <c r="AN39" i="172" s="1"/>
  <c r="Z39" i="172"/>
  <c r="Y39" i="172"/>
  <c r="W39" i="172"/>
  <c r="V39" i="172"/>
  <c r="U39" i="172"/>
  <c r="S39" i="172"/>
  <c r="R39" i="172"/>
  <c r="Q39" i="172"/>
  <c r="P39" i="172"/>
  <c r="O39" i="172"/>
  <c r="N39" i="172"/>
  <c r="X39" i="172" s="1"/>
  <c r="F39" i="172"/>
  <c r="F184" i="172" s="1"/>
  <c r="D39" i="172"/>
  <c r="AK38" i="172"/>
  <c r="AH38" i="172"/>
  <c r="AF38" i="172"/>
  <c r="AC38" i="172"/>
  <c r="Z38" i="172"/>
  <c r="Y38" i="172"/>
  <c r="N38" i="172"/>
  <c r="X38" i="172" s="1"/>
  <c r="K38" i="172"/>
  <c r="F38" i="172"/>
  <c r="F183" i="172" s="1"/>
  <c r="D38" i="172"/>
  <c r="AF37" i="172"/>
  <c r="Y37" i="172"/>
  <c r="X37" i="172"/>
  <c r="W37" i="172"/>
  <c r="V37" i="172"/>
  <c r="S37" i="172"/>
  <c r="R37" i="172"/>
  <c r="Q37" i="172"/>
  <c r="O37" i="172"/>
  <c r="N37" i="172"/>
  <c r="F37" i="172"/>
  <c r="F182" i="172" s="1"/>
  <c r="D37" i="172"/>
  <c r="AR36" i="172"/>
  <c r="AQ36" i="172"/>
  <c r="AN36" i="172"/>
  <c r="AM36" i="172"/>
  <c r="AL36" i="172"/>
  <c r="AJ36" i="172"/>
  <c r="AI36" i="172"/>
  <c r="AH36" i="172"/>
  <c r="AF36" i="172"/>
  <c r="Z36" i="172"/>
  <c r="Y36" i="172"/>
  <c r="X36" i="172"/>
  <c r="W36" i="172"/>
  <c r="V36" i="172"/>
  <c r="U36" i="172"/>
  <c r="T36" i="172"/>
  <c r="S36" i="172"/>
  <c r="R36" i="172"/>
  <c r="Q36" i="172"/>
  <c r="P36" i="172"/>
  <c r="O36" i="172"/>
  <c r="N36" i="172"/>
  <c r="F36" i="172"/>
  <c r="F181" i="172" s="1"/>
  <c r="D36" i="172"/>
  <c r="AN35" i="172"/>
  <c r="AL35" i="172"/>
  <c r="AJ35" i="172"/>
  <c r="AH35" i="172"/>
  <c r="AG35" i="172"/>
  <c r="AF35" i="172"/>
  <c r="N35" i="172"/>
  <c r="D35" i="172"/>
  <c r="AQ34" i="172"/>
  <c r="AP34" i="172"/>
  <c r="AO34" i="172"/>
  <c r="AN34" i="172"/>
  <c r="AM34" i="172"/>
  <c r="AL34" i="172"/>
  <c r="AK34" i="172"/>
  <c r="AJ34" i="172"/>
  <c r="AI34" i="172"/>
  <c r="AH34" i="172"/>
  <c r="AG34" i="172"/>
  <c r="AF34" i="172"/>
  <c r="AR34" i="172" s="1"/>
  <c r="Y34" i="172"/>
  <c r="X34" i="172"/>
  <c r="W34" i="172"/>
  <c r="V34" i="172"/>
  <c r="U34" i="172"/>
  <c r="T34" i="172"/>
  <c r="S34" i="172"/>
  <c r="R34" i="172"/>
  <c r="Q34" i="172"/>
  <c r="P34" i="172"/>
  <c r="O34" i="172"/>
  <c r="N34" i="172"/>
  <c r="Z34" i="172" s="1"/>
  <c r="F34" i="172"/>
  <c r="F179" i="172" s="1"/>
  <c r="D34" i="172"/>
  <c r="AR33" i="172"/>
  <c r="AQ33" i="172"/>
  <c r="AP33" i="172"/>
  <c r="AO33" i="172"/>
  <c r="AN33" i="172"/>
  <c r="AM33" i="172"/>
  <c r="AL33" i="172"/>
  <c r="AK33" i="172"/>
  <c r="AJ33" i="172"/>
  <c r="AI33" i="172"/>
  <c r="AH33" i="172"/>
  <c r="AG33" i="172"/>
  <c r="AF33" i="172"/>
  <c r="Z33" i="172"/>
  <c r="Y33" i="172"/>
  <c r="X33" i="172"/>
  <c r="V33" i="172"/>
  <c r="U33" i="172"/>
  <c r="T33" i="172"/>
  <c r="R33" i="172"/>
  <c r="Q33" i="172"/>
  <c r="P33" i="172"/>
  <c r="O33" i="172"/>
  <c r="N33" i="172"/>
  <c r="W33" i="172" s="1"/>
  <c r="F33" i="172"/>
  <c r="F178" i="172" s="1"/>
  <c r="D33" i="172"/>
  <c r="A33" i="172"/>
  <c r="A34" i="172" s="1"/>
  <c r="A35" i="172" s="1"/>
  <c r="A36" i="172" s="1"/>
  <c r="A37" i="172" s="1"/>
  <c r="A38" i="172" s="1"/>
  <c r="A39" i="172" s="1"/>
  <c r="A40" i="172" s="1"/>
  <c r="A41" i="172" s="1"/>
  <c r="A42" i="172" s="1"/>
  <c r="A43" i="172" s="1"/>
  <c r="A44" i="172" s="1"/>
  <c r="A45" i="172" s="1"/>
  <c r="A46" i="172" s="1"/>
  <c r="A47" i="172" s="1"/>
  <c r="A48" i="172" s="1"/>
  <c r="A49" i="172" s="1"/>
  <c r="AQ32" i="172"/>
  <c r="AP32" i="172"/>
  <c r="AO32" i="172"/>
  <c r="AM32" i="172"/>
  <c r="AL32" i="172"/>
  <c r="AK32" i="172"/>
  <c r="AJ32" i="172"/>
  <c r="AG32" i="172"/>
  <c r="AF32" i="172"/>
  <c r="AC32" i="172"/>
  <c r="U32" i="172"/>
  <c r="T32" i="172"/>
  <c r="N32" i="172"/>
  <c r="K32" i="172"/>
  <c r="F32" i="172"/>
  <c r="F177" i="172" s="1"/>
  <c r="D32" i="172"/>
  <c r="A32" i="172"/>
  <c r="AR31" i="172"/>
  <c r="AQ31" i="172"/>
  <c r="AP31" i="172"/>
  <c r="AO31" i="172"/>
  <c r="AN31" i="172"/>
  <c r="AM31" i="172"/>
  <c r="AL31" i="172"/>
  <c r="AK31" i="172"/>
  <c r="AJ31" i="172"/>
  <c r="AI31" i="172"/>
  <c r="AH31" i="172"/>
  <c r="AG31" i="172"/>
  <c r="AF31" i="172"/>
  <c r="AC31" i="172"/>
  <c r="Z31" i="172"/>
  <c r="Y31" i="172"/>
  <c r="X31" i="172"/>
  <c r="W31" i="172"/>
  <c r="V31" i="172"/>
  <c r="U31" i="172"/>
  <c r="T31" i="172"/>
  <c r="S31" i="172"/>
  <c r="R31" i="172"/>
  <c r="Q31" i="172"/>
  <c r="P31" i="172"/>
  <c r="O31" i="172"/>
  <c r="N31" i="172"/>
  <c r="K31" i="172"/>
  <c r="F31" i="172"/>
  <c r="F176" i="172" s="1"/>
  <c r="D31" i="172"/>
  <c r="B31" i="172"/>
  <c r="A31" i="172"/>
  <c r="AR30" i="172"/>
  <c r="AO30" i="172"/>
  <c r="AN30" i="172"/>
  <c r="AM30" i="172"/>
  <c r="AK30" i="172"/>
  <c r="AJ30" i="172"/>
  <c r="AI30" i="172"/>
  <c r="AG30" i="172"/>
  <c r="AF30" i="172"/>
  <c r="Z30" i="172"/>
  <c r="X30" i="172"/>
  <c r="T30" i="172"/>
  <c r="R30" i="172"/>
  <c r="Q30" i="172"/>
  <c r="P30" i="172"/>
  <c r="N30" i="172"/>
  <c r="V30" i="172" s="1"/>
  <c r="F30" i="172"/>
  <c r="F175" i="172" s="1"/>
  <c r="D30" i="172"/>
  <c r="AC27" i="172"/>
  <c r="AR25" i="172"/>
  <c r="AP25" i="172"/>
  <c r="AN25" i="172"/>
  <c r="AM25" i="172"/>
  <c r="AL25" i="172"/>
  <c r="AJ25" i="172"/>
  <c r="AI25" i="172"/>
  <c r="AH25" i="172"/>
  <c r="AG25" i="172"/>
  <c r="AF25" i="172"/>
  <c r="S25" i="172"/>
  <c r="Q25" i="172"/>
  <c r="P25" i="172"/>
  <c r="N25" i="172"/>
  <c r="D25" i="172"/>
  <c r="AR24" i="172"/>
  <c r="AG24" i="172"/>
  <c r="AF24" i="172"/>
  <c r="Y24" i="172"/>
  <c r="X24" i="172"/>
  <c r="W24" i="172"/>
  <c r="U24" i="172"/>
  <c r="T24" i="172"/>
  <c r="S24" i="172"/>
  <c r="R24" i="172"/>
  <c r="Q24" i="172"/>
  <c r="O24" i="172"/>
  <c r="N24" i="172"/>
  <c r="D24" i="172"/>
  <c r="AQ23" i="172"/>
  <c r="AP23" i="172"/>
  <c r="AF23" i="172"/>
  <c r="AL23" i="172" s="1"/>
  <c r="X23" i="172"/>
  <c r="W23" i="172"/>
  <c r="V23" i="172"/>
  <c r="U23" i="172"/>
  <c r="T23" i="172"/>
  <c r="S23" i="172"/>
  <c r="R23" i="172"/>
  <c r="Q23" i="172"/>
  <c r="N23" i="172"/>
  <c r="Z23" i="172" s="1"/>
  <c r="D23" i="172"/>
  <c r="AR22" i="172"/>
  <c r="AP22" i="172"/>
  <c r="AO22" i="172"/>
  <c r="AN22" i="172"/>
  <c r="AM22" i="172"/>
  <c r="AL22" i="172"/>
  <c r="AK22" i="172"/>
  <c r="AJ22" i="172"/>
  <c r="AI22" i="172"/>
  <c r="AF22" i="172"/>
  <c r="AG22" i="172" s="1"/>
  <c r="AC22" i="172"/>
  <c r="Z22" i="172"/>
  <c r="X22" i="172"/>
  <c r="W22" i="172"/>
  <c r="V22" i="172"/>
  <c r="U22" i="172"/>
  <c r="T22" i="172"/>
  <c r="S22" i="172"/>
  <c r="R22" i="172"/>
  <c r="Q22" i="172"/>
  <c r="N22" i="172"/>
  <c r="O22" i="172" s="1"/>
  <c r="K22" i="172"/>
  <c r="D22" i="172"/>
  <c r="AR21" i="172"/>
  <c r="AQ21" i="172"/>
  <c r="AP21" i="172"/>
  <c r="AO21" i="172"/>
  <c r="AN21" i="172"/>
  <c r="AM21" i="172"/>
  <c r="AL21" i="172"/>
  <c r="AK21" i="172"/>
  <c r="AJ21" i="172"/>
  <c r="AI21" i="172"/>
  <c r="AH21" i="172"/>
  <c r="AF21" i="172"/>
  <c r="AG21" i="172" s="1"/>
  <c r="Z21" i="172"/>
  <c r="Y21" i="172"/>
  <c r="X21" i="172"/>
  <c r="W21" i="172"/>
  <c r="V21" i="172"/>
  <c r="U21" i="172"/>
  <c r="T21" i="172"/>
  <c r="S21" i="172"/>
  <c r="R21" i="172"/>
  <c r="Q21" i="172"/>
  <c r="P21" i="172"/>
  <c r="O21" i="172"/>
  <c r="N21" i="172"/>
  <c r="D21" i="172"/>
  <c r="AQ20" i="172"/>
  <c r="AP20" i="172"/>
  <c r="AO20" i="172"/>
  <c r="AN20" i="172"/>
  <c r="AM20" i="172"/>
  <c r="AL20" i="172"/>
  <c r="AK20" i="172"/>
  <c r="AJ20" i="172"/>
  <c r="AF20" i="172"/>
  <c r="AG20" i="172" s="1"/>
  <c r="Z20" i="172"/>
  <c r="Y20" i="172"/>
  <c r="X20" i="172"/>
  <c r="W20" i="172"/>
  <c r="V20" i="172"/>
  <c r="U20" i="172"/>
  <c r="T20" i="172"/>
  <c r="S20" i="172"/>
  <c r="R20" i="172"/>
  <c r="Q20" i="172"/>
  <c r="P20" i="172"/>
  <c r="O20" i="172"/>
  <c r="N20" i="172"/>
  <c r="D20" i="172"/>
  <c r="AR19" i="172"/>
  <c r="AP19" i="172"/>
  <c r="AO19" i="172"/>
  <c r="AN19" i="172"/>
  <c r="AM19" i="172"/>
  <c r="AL19" i="172"/>
  <c r="AK19" i="172"/>
  <c r="AJ19" i="172"/>
  <c r="AI19" i="172"/>
  <c r="AF19" i="172"/>
  <c r="AG19" i="172" s="1"/>
  <c r="Y19" i="172"/>
  <c r="W19" i="172"/>
  <c r="V19" i="172"/>
  <c r="U19" i="172"/>
  <c r="T19" i="172"/>
  <c r="S19" i="172"/>
  <c r="R19" i="172"/>
  <c r="Q19" i="172"/>
  <c r="P19" i="172"/>
  <c r="O19" i="172"/>
  <c r="N19" i="172"/>
  <c r="Z19" i="172" s="1"/>
  <c r="D19" i="172"/>
  <c r="AR18" i="172"/>
  <c r="AP18" i="172"/>
  <c r="AO18" i="172"/>
  <c r="AN18" i="172"/>
  <c r="AM18" i="172"/>
  <c r="AL18" i="172"/>
  <c r="AK18" i="172"/>
  <c r="AJ18" i="172"/>
  <c r="AI18" i="172"/>
  <c r="AF18" i="172"/>
  <c r="AG18" i="172" s="1"/>
  <c r="AC18" i="172"/>
  <c r="Z18" i="172"/>
  <c r="Y18" i="172"/>
  <c r="X18" i="172"/>
  <c r="W18" i="172"/>
  <c r="V18" i="172"/>
  <c r="U18" i="172"/>
  <c r="T18" i="172"/>
  <c r="S18" i="172"/>
  <c r="R18" i="172"/>
  <c r="Q18" i="172"/>
  <c r="P18" i="172"/>
  <c r="O18" i="172"/>
  <c r="N18" i="172"/>
  <c r="K18" i="172"/>
  <c r="D18" i="172"/>
  <c r="AP17" i="172"/>
  <c r="AF17" i="172"/>
  <c r="AL17" i="172" s="1"/>
  <c r="Y17" i="172"/>
  <c r="X17" i="172"/>
  <c r="W17" i="172"/>
  <c r="V17" i="172"/>
  <c r="U17" i="172"/>
  <c r="T17" i="172"/>
  <c r="S17" i="172"/>
  <c r="R17" i="172"/>
  <c r="Q17" i="172"/>
  <c r="P17" i="172"/>
  <c r="O17" i="172"/>
  <c r="N17" i="172"/>
  <c r="Z17" i="172" s="1"/>
  <c r="D17" i="172"/>
  <c r="AR16" i="172"/>
  <c r="AQ16" i="172"/>
  <c r="AF16" i="172"/>
  <c r="AP16" i="172" s="1"/>
  <c r="Y16" i="172"/>
  <c r="X16" i="172"/>
  <c r="W16" i="172"/>
  <c r="V16" i="172"/>
  <c r="U16" i="172"/>
  <c r="T16" i="172"/>
  <c r="S16" i="172"/>
  <c r="R16" i="172"/>
  <c r="Q16" i="172"/>
  <c r="P16" i="172"/>
  <c r="O16" i="172"/>
  <c r="N16" i="172"/>
  <c r="Z16" i="172" s="1"/>
  <c r="D16" i="172"/>
  <c r="AR15" i="172"/>
  <c r="AQ15" i="172"/>
  <c r="AN15" i="172"/>
  <c r="AM15" i="172"/>
  <c r="AL15" i="172"/>
  <c r="AK15" i="172"/>
  <c r="AF15" i="172"/>
  <c r="Y15" i="172"/>
  <c r="X15" i="172"/>
  <c r="W15" i="172"/>
  <c r="V15" i="172"/>
  <c r="U15" i="172"/>
  <c r="T15" i="172"/>
  <c r="S15" i="172"/>
  <c r="R15" i="172"/>
  <c r="Q15" i="172"/>
  <c r="P15" i="172"/>
  <c r="O15" i="172"/>
  <c r="N15" i="172"/>
  <c r="Z15" i="172" s="1"/>
  <c r="D15" i="172"/>
  <c r="AR14" i="172"/>
  <c r="AQ14" i="172"/>
  <c r="AP14" i="172"/>
  <c r="AO14" i="172"/>
  <c r="AM14" i="172"/>
  <c r="AL14" i="172"/>
  <c r="AK14" i="172"/>
  <c r="AF14" i="172"/>
  <c r="Y14" i="172"/>
  <c r="X14" i="172"/>
  <c r="W14" i="172"/>
  <c r="V14" i="172"/>
  <c r="U14" i="172"/>
  <c r="T14" i="172"/>
  <c r="S14" i="172"/>
  <c r="R14" i="172"/>
  <c r="Q14" i="172"/>
  <c r="P14" i="172"/>
  <c r="O14" i="172"/>
  <c r="N14" i="172"/>
  <c r="Z14" i="172" s="1"/>
  <c r="D14" i="172"/>
  <c r="AF13" i="172"/>
  <c r="Y13" i="172"/>
  <c r="X13" i="172"/>
  <c r="W13" i="172"/>
  <c r="V13" i="172"/>
  <c r="U13" i="172"/>
  <c r="T13" i="172"/>
  <c r="S13" i="172"/>
  <c r="R13" i="172"/>
  <c r="Q13" i="172"/>
  <c r="P13" i="172"/>
  <c r="O13" i="172"/>
  <c r="N13" i="172"/>
  <c r="Z13" i="172" s="1"/>
  <c r="D13" i="172"/>
  <c r="AR12" i="172"/>
  <c r="AF12" i="172"/>
  <c r="Y12" i="172"/>
  <c r="X12" i="172"/>
  <c r="W12" i="172"/>
  <c r="V12" i="172"/>
  <c r="U12" i="172"/>
  <c r="T12" i="172"/>
  <c r="S12" i="172"/>
  <c r="R12" i="172"/>
  <c r="Q12" i="172"/>
  <c r="P12" i="172"/>
  <c r="O12" i="172"/>
  <c r="N12" i="172"/>
  <c r="Z12" i="172" s="1"/>
  <c r="D12" i="172"/>
  <c r="AR11" i="172"/>
  <c r="AQ11" i="172"/>
  <c r="AP11" i="172"/>
  <c r="AO11" i="172"/>
  <c r="AN11" i="172"/>
  <c r="AM11" i="172"/>
  <c r="AL11" i="172"/>
  <c r="AK11" i="172"/>
  <c r="AF11" i="172"/>
  <c r="AC11" i="172"/>
  <c r="Y11" i="172"/>
  <c r="N11" i="172"/>
  <c r="U11" i="172" s="1"/>
  <c r="K11" i="172"/>
  <c r="D11" i="172"/>
  <c r="AP10" i="172"/>
  <c r="AO10" i="172"/>
  <c r="AH10" i="172"/>
  <c r="AF10" i="172"/>
  <c r="Z10" i="172"/>
  <c r="Y10" i="172"/>
  <c r="X10" i="172"/>
  <c r="W10" i="172"/>
  <c r="V10" i="172"/>
  <c r="U10" i="172"/>
  <c r="T10" i="172"/>
  <c r="S10" i="172"/>
  <c r="R10" i="172"/>
  <c r="Q10" i="172"/>
  <c r="P10" i="172"/>
  <c r="O10" i="172"/>
  <c r="N10" i="172"/>
  <c r="D10" i="172"/>
  <c r="AR9" i="172"/>
  <c r="AQ9" i="172"/>
  <c r="AF9" i="172"/>
  <c r="AC9" i="172"/>
  <c r="X9" i="172"/>
  <c r="N9" i="172"/>
  <c r="W9" i="172" s="1"/>
  <c r="K9" i="172"/>
  <c r="D9" i="172"/>
  <c r="AQ8" i="172"/>
  <c r="AP8" i="172"/>
  <c r="AF8" i="172"/>
  <c r="AC8" i="172"/>
  <c r="Z8" i="172"/>
  <c r="N8" i="172"/>
  <c r="Y8" i="172" s="1"/>
  <c r="K8" i="172"/>
  <c r="D8" i="172"/>
  <c r="AR7" i="172"/>
  <c r="AQ7" i="172"/>
  <c r="AO7" i="172"/>
  <c r="AN7" i="172"/>
  <c r="AM7" i="172"/>
  <c r="AL7" i="172"/>
  <c r="AK7" i="172"/>
  <c r="AJ7" i="172"/>
  <c r="AI7" i="172"/>
  <c r="AH7" i="172"/>
  <c r="AG7" i="172"/>
  <c r="AF7" i="172"/>
  <c r="AP7" i="172" s="1"/>
  <c r="AC7" i="172"/>
  <c r="Z7" i="172"/>
  <c r="Y7" i="172"/>
  <c r="W7" i="172"/>
  <c r="V7" i="172"/>
  <c r="U7" i="172"/>
  <c r="T7" i="172"/>
  <c r="S7" i="172"/>
  <c r="R7" i="172"/>
  <c r="Q7" i="172"/>
  <c r="P7" i="172"/>
  <c r="O7" i="172"/>
  <c r="N7" i="172"/>
  <c r="X7" i="172" s="1"/>
  <c r="K7" i="172"/>
  <c r="D7" i="172"/>
  <c r="A7" i="172"/>
  <c r="A8" i="172" s="1"/>
  <c r="A9" i="172" s="1"/>
  <c r="A10" i="172" s="1"/>
  <c r="A11" i="172" s="1"/>
  <c r="A12" i="172" s="1"/>
  <c r="A13" i="172" s="1"/>
  <c r="A14" i="172" s="1"/>
  <c r="A15" i="172" s="1"/>
  <c r="A16" i="172" s="1"/>
  <c r="A17" i="172" s="1"/>
  <c r="A18" i="172" s="1"/>
  <c r="A19" i="172" s="1"/>
  <c r="A20" i="172" s="1"/>
  <c r="A21" i="172" s="1"/>
  <c r="A22" i="172" s="1"/>
  <c r="A23" i="172" s="1"/>
  <c r="A24" i="172" s="1"/>
  <c r="A25" i="172" s="1"/>
  <c r="AN6" i="172"/>
  <c r="AL6" i="172"/>
  <c r="AK6" i="172"/>
  <c r="AJ6" i="172"/>
  <c r="AI6" i="172"/>
  <c r="AH6" i="172"/>
  <c r="AG6" i="172"/>
  <c r="AF6" i="172"/>
  <c r="S6" i="172"/>
  <c r="P6" i="172"/>
  <c r="O6" i="172"/>
  <c r="N6" i="172"/>
  <c r="D6" i="172"/>
  <c r="AF163" i="159"/>
  <c r="AE163" i="159"/>
  <c r="AD163" i="159"/>
  <c r="AC163" i="159"/>
  <c r="AB163" i="159"/>
  <c r="AA163" i="159"/>
  <c r="Z163" i="159"/>
  <c r="Y163" i="159"/>
  <c r="X163" i="159"/>
  <c r="W163" i="159"/>
  <c r="V163" i="159"/>
  <c r="U163" i="159"/>
  <c r="T163" i="159"/>
  <c r="S163" i="159"/>
  <c r="R163" i="159"/>
  <c r="Q163" i="159"/>
  <c r="P163" i="159"/>
  <c r="O163" i="159"/>
  <c r="N162" i="159"/>
  <c r="M162" i="159"/>
  <c r="L162" i="159"/>
  <c r="K162" i="159"/>
  <c r="J162" i="159"/>
  <c r="I162" i="159"/>
  <c r="O160" i="159"/>
  <c r="N160" i="159"/>
  <c r="M160" i="159"/>
  <c r="L160" i="159"/>
  <c r="K160" i="159"/>
  <c r="J160" i="159"/>
  <c r="I160" i="159"/>
  <c r="AG159" i="159"/>
  <c r="AF158" i="159"/>
  <c r="AF160" i="159" s="1"/>
  <c r="AE158" i="159"/>
  <c r="AE160" i="159" s="1"/>
  <c r="AD158" i="159"/>
  <c r="AD160" i="159" s="1"/>
  <c r="AC158" i="159"/>
  <c r="AC160" i="159" s="1"/>
  <c r="AB158" i="159"/>
  <c r="AB160" i="159" s="1"/>
  <c r="AA158" i="159"/>
  <c r="AA160" i="159" s="1"/>
  <c r="Z158" i="159"/>
  <c r="Z160" i="159" s="1"/>
  <c r="Y158" i="159"/>
  <c r="Y160" i="159" s="1"/>
  <c r="X158" i="159"/>
  <c r="X160" i="159" s="1"/>
  <c r="W158" i="159"/>
  <c r="W160" i="159" s="1"/>
  <c r="V158" i="159"/>
  <c r="V160" i="159" s="1"/>
  <c r="U158" i="159"/>
  <c r="U160" i="159" s="1"/>
  <c r="T158" i="159"/>
  <c r="T160" i="159" s="1"/>
  <c r="S158" i="159"/>
  <c r="S160" i="159" s="1"/>
  <c r="R158" i="159"/>
  <c r="R160" i="159" s="1"/>
  <c r="Q158" i="159"/>
  <c r="Q160" i="159" s="1"/>
  <c r="P158" i="159"/>
  <c r="P160" i="159" s="1"/>
  <c r="AG160" i="159" s="1"/>
  <c r="AG157" i="159"/>
  <c r="S156" i="159"/>
  <c r="X150" i="159"/>
  <c r="W150" i="159"/>
  <c r="V150" i="159"/>
  <c r="U150" i="159"/>
  <c r="AF144" i="159"/>
  <c r="AE144" i="159"/>
  <c r="AD144" i="159"/>
  <c r="AC144" i="159"/>
  <c r="AB144" i="159"/>
  <c r="AA144" i="159"/>
  <c r="Z144" i="159"/>
  <c r="Y144" i="159"/>
  <c r="X144" i="159"/>
  <c r="W144" i="159"/>
  <c r="V144" i="159"/>
  <c r="U144" i="159"/>
  <c r="H173" i="190" s="1"/>
  <c r="T144" i="159"/>
  <c r="S144" i="159"/>
  <c r="R144" i="159"/>
  <c r="Q144" i="159"/>
  <c r="P144" i="159"/>
  <c r="O144" i="159"/>
  <c r="N144" i="159"/>
  <c r="M144" i="159"/>
  <c r="L144" i="159"/>
  <c r="K144" i="159"/>
  <c r="J144" i="159"/>
  <c r="I144" i="159"/>
  <c r="AG142" i="159"/>
  <c r="AG140" i="159"/>
  <c r="AF140" i="159"/>
  <c r="AE140" i="159"/>
  <c r="AD140" i="159"/>
  <c r="AC140" i="159"/>
  <c r="AB140" i="159"/>
  <c r="AA140" i="159"/>
  <c r="Z140" i="159"/>
  <c r="Y140" i="159"/>
  <c r="X140" i="159"/>
  <c r="W140" i="159"/>
  <c r="V140" i="159"/>
  <c r="U140" i="159"/>
  <c r="T140" i="159"/>
  <c r="S140" i="159"/>
  <c r="R140" i="159"/>
  <c r="Q140" i="159"/>
  <c r="P140" i="159"/>
  <c r="O140" i="159"/>
  <c r="N140" i="159"/>
  <c r="M140" i="159"/>
  <c r="L140" i="159"/>
  <c r="K140" i="159"/>
  <c r="J140" i="159"/>
  <c r="I140" i="159"/>
  <c r="AG139" i="159"/>
  <c r="AG138" i="159"/>
  <c r="AG137" i="159"/>
  <c r="AG136" i="159"/>
  <c r="AG135" i="159"/>
  <c r="N132" i="159"/>
  <c r="M132" i="159"/>
  <c r="L132" i="159"/>
  <c r="K132" i="159"/>
  <c r="J132" i="159"/>
  <c r="I132" i="159"/>
  <c r="AG130" i="159"/>
  <c r="O130" i="159"/>
  <c r="N130" i="159"/>
  <c r="M130" i="159"/>
  <c r="L130" i="159"/>
  <c r="K130" i="159"/>
  <c r="J130" i="159"/>
  <c r="N128" i="159"/>
  <c r="M128" i="159"/>
  <c r="L128" i="159"/>
  <c r="K128" i="159"/>
  <c r="J128" i="159"/>
  <c r="I128" i="159"/>
  <c r="N126" i="159"/>
  <c r="M126" i="159"/>
  <c r="L126" i="159"/>
  <c r="K126" i="159"/>
  <c r="J126" i="159"/>
  <c r="I126" i="159"/>
  <c r="N124" i="159"/>
  <c r="M124" i="159"/>
  <c r="L124" i="159"/>
  <c r="K124" i="159"/>
  <c r="J124" i="159"/>
  <c r="I124" i="159"/>
  <c r="N118" i="159"/>
  <c r="M118" i="159"/>
  <c r="L118" i="159"/>
  <c r="K118" i="159"/>
  <c r="J118" i="159"/>
  <c r="I118" i="159"/>
  <c r="N98" i="159"/>
  <c r="M98" i="159"/>
  <c r="L98" i="159"/>
  <c r="K98" i="159"/>
  <c r="J98" i="159"/>
  <c r="I98" i="159"/>
  <c r="AG97" i="159"/>
  <c r="N80" i="159"/>
  <c r="M80" i="159"/>
  <c r="L80" i="159"/>
  <c r="K80" i="159"/>
  <c r="J80" i="159"/>
  <c r="I80" i="159"/>
  <c r="AF79" i="159"/>
  <c r="AE79" i="159"/>
  <c r="AD79" i="159"/>
  <c r="AC79" i="159"/>
  <c r="AB79" i="159"/>
  <c r="AA79" i="159"/>
  <c r="Z79" i="159"/>
  <c r="Y79" i="159"/>
  <c r="X79" i="159"/>
  <c r="W79" i="159"/>
  <c r="V79" i="159"/>
  <c r="U79" i="159"/>
  <c r="H80" i="190" s="1"/>
  <c r="T79" i="159"/>
  <c r="S79" i="159"/>
  <c r="R79" i="159"/>
  <c r="Q79" i="159"/>
  <c r="P79" i="159"/>
  <c r="O79" i="159"/>
  <c r="AF78" i="159"/>
  <c r="AE78" i="159"/>
  <c r="AD78" i="159"/>
  <c r="AC78" i="159"/>
  <c r="AB78" i="159"/>
  <c r="AA78" i="159"/>
  <c r="Z78" i="159"/>
  <c r="Y78" i="159"/>
  <c r="X78" i="159"/>
  <c r="W78" i="159"/>
  <c r="V78" i="159"/>
  <c r="U78" i="159"/>
  <c r="H79" i="190" s="1"/>
  <c r="T78" i="159"/>
  <c r="S78" i="159"/>
  <c r="R78" i="159"/>
  <c r="Q78" i="159"/>
  <c r="P78" i="159"/>
  <c r="O78" i="159"/>
  <c r="AF77" i="159"/>
  <c r="AE77" i="159"/>
  <c r="AD77" i="159"/>
  <c r="AC77" i="159"/>
  <c r="AB77" i="159"/>
  <c r="AA77" i="159"/>
  <c r="Z77" i="159"/>
  <c r="Y77" i="159"/>
  <c r="X77" i="159"/>
  <c r="W77" i="159"/>
  <c r="V77" i="159"/>
  <c r="U77" i="159"/>
  <c r="H78" i="190" s="1"/>
  <c r="T77" i="159"/>
  <c r="S77" i="159"/>
  <c r="R77" i="159"/>
  <c r="Q77" i="159"/>
  <c r="P77" i="159"/>
  <c r="O77" i="159"/>
  <c r="AF76" i="159"/>
  <c r="AE76" i="159"/>
  <c r="AD76" i="159"/>
  <c r="AC76" i="159"/>
  <c r="AB76" i="159"/>
  <c r="AA76" i="159"/>
  <c r="Z76" i="159"/>
  <c r="Y76" i="159"/>
  <c r="X76" i="159"/>
  <c r="W76" i="159"/>
  <c r="V76" i="159"/>
  <c r="U76" i="159"/>
  <c r="H77" i="190" s="1"/>
  <c r="T76" i="159"/>
  <c r="S76" i="159"/>
  <c r="R76" i="159"/>
  <c r="Q76" i="159"/>
  <c r="P76" i="159"/>
  <c r="O76" i="159"/>
  <c r="AF75" i="159"/>
  <c r="AE75" i="159"/>
  <c r="AD75" i="159"/>
  <c r="AC75" i="159"/>
  <c r="AB75" i="159"/>
  <c r="AA75" i="159"/>
  <c r="Z75" i="159"/>
  <c r="Y75" i="159"/>
  <c r="X75" i="159"/>
  <c r="W75" i="159"/>
  <c r="V75" i="159"/>
  <c r="U75" i="159"/>
  <c r="H76" i="190" s="1"/>
  <c r="T75" i="159"/>
  <c r="S75" i="159"/>
  <c r="R75" i="159"/>
  <c r="Q75" i="159"/>
  <c r="P75" i="159"/>
  <c r="O75" i="159"/>
  <c r="AF74" i="159"/>
  <c r="AE74" i="159"/>
  <c r="AD74" i="159"/>
  <c r="AC74" i="159"/>
  <c r="AB74" i="159"/>
  <c r="AA74" i="159"/>
  <c r="Z74" i="159"/>
  <c r="Y74" i="159"/>
  <c r="X74" i="159"/>
  <c r="W74" i="159"/>
  <c r="V74" i="159"/>
  <c r="U74" i="159"/>
  <c r="H75" i="190" s="1"/>
  <c r="T74" i="159"/>
  <c r="S74" i="159"/>
  <c r="R74" i="159"/>
  <c r="Q74" i="159"/>
  <c r="P74" i="159"/>
  <c r="O74" i="159"/>
  <c r="AF73" i="159"/>
  <c r="AE73" i="159"/>
  <c r="AD73" i="159"/>
  <c r="AC73" i="159"/>
  <c r="AB73" i="159"/>
  <c r="AA73" i="159"/>
  <c r="Z73" i="159"/>
  <c r="Y73" i="159"/>
  <c r="X73" i="159"/>
  <c r="W73" i="159"/>
  <c r="V73" i="159"/>
  <c r="U73" i="159"/>
  <c r="H74" i="190" s="1"/>
  <c r="T73" i="159"/>
  <c r="S73" i="159"/>
  <c r="R73" i="159"/>
  <c r="Q73" i="159"/>
  <c r="P73" i="159"/>
  <c r="O73" i="159"/>
  <c r="AF72" i="159"/>
  <c r="AE72" i="159"/>
  <c r="AD72" i="159"/>
  <c r="AC72" i="159"/>
  <c r="AB72" i="159"/>
  <c r="AA72" i="159"/>
  <c r="Z72" i="159"/>
  <c r="Y72" i="159"/>
  <c r="X72" i="159"/>
  <c r="W72" i="159"/>
  <c r="V72" i="159"/>
  <c r="U72" i="159"/>
  <c r="T72" i="159"/>
  <c r="S72" i="159"/>
  <c r="R72" i="159"/>
  <c r="Q72" i="159"/>
  <c r="P72" i="159"/>
  <c r="O72" i="159"/>
  <c r="S69" i="159"/>
  <c r="N69" i="159"/>
  <c r="M69" i="159"/>
  <c r="L69" i="159"/>
  <c r="K69" i="159"/>
  <c r="J69" i="159"/>
  <c r="I69" i="159"/>
  <c r="AF68" i="159"/>
  <c r="AE68" i="159"/>
  <c r="AD68" i="159"/>
  <c r="AC68" i="159"/>
  <c r="AB68" i="159"/>
  <c r="AA68" i="159"/>
  <c r="Z68" i="159"/>
  <c r="Y68" i="159"/>
  <c r="X68" i="159"/>
  <c r="W68" i="159"/>
  <c r="V68" i="159"/>
  <c r="U68" i="159"/>
  <c r="H69" i="190" s="1"/>
  <c r="T68" i="159"/>
  <c r="S68" i="159"/>
  <c r="R68" i="159"/>
  <c r="Q68" i="159"/>
  <c r="P68" i="159"/>
  <c r="O68" i="159"/>
  <c r="AG68" i="159" s="1"/>
  <c r="AF67" i="159"/>
  <c r="AE67" i="159"/>
  <c r="AD67" i="159"/>
  <c r="AC67" i="159"/>
  <c r="AB67" i="159"/>
  <c r="AA67" i="159"/>
  <c r="Z67" i="159"/>
  <c r="Y67" i="159"/>
  <c r="X67" i="159"/>
  <c r="W67" i="159"/>
  <c r="V67" i="159"/>
  <c r="U67" i="159"/>
  <c r="H68" i="190" s="1"/>
  <c r="T67" i="159"/>
  <c r="S67" i="159"/>
  <c r="R67" i="159"/>
  <c r="Q67" i="159"/>
  <c r="P67" i="159"/>
  <c r="O67" i="159"/>
  <c r="AG67" i="159" s="1"/>
  <c r="AF66" i="159"/>
  <c r="AE66" i="159"/>
  <c r="AD66" i="159"/>
  <c r="AC66" i="159"/>
  <c r="AB66" i="159"/>
  <c r="AA66" i="159"/>
  <c r="Z66" i="159"/>
  <c r="Y66" i="159"/>
  <c r="X66" i="159"/>
  <c r="W66" i="159"/>
  <c r="V66" i="159"/>
  <c r="U66" i="159"/>
  <c r="H67" i="190" s="1"/>
  <c r="T66" i="159"/>
  <c r="S66" i="159"/>
  <c r="R66" i="159"/>
  <c r="Q66" i="159"/>
  <c r="P66" i="159"/>
  <c r="O66" i="159"/>
  <c r="AG66" i="159" s="1"/>
  <c r="AF65" i="159"/>
  <c r="AE65" i="159"/>
  <c r="AD65" i="159"/>
  <c r="AC65" i="159"/>
  <c r="AB65" i="159"/>
  <c r="AA65" i="159"/>
  <c r="Z65" i="159"/>
  <c r="Y65" i="159"/>
  <c r="X65" i="159"/>
  <c r="W65" i="159"/>
  <c r="V65" i="159"/>
  <c r="U65" i="159"/>
  <c r="H66" i="190" s="1"/>
  <c r="T65" i="159"/>
  <c r="S65" i="159"/>
  <c r="R65" i="159"/>
  <c r="Q65" i="159"/>
  <c r="P65" i="159"/>
  <c r="O65" i="159"/>
  <c r="AG65" i="159" s="1"/>
  <c r="T64" i="159"/>
  <c r="S64" i="159"/>
  <c r="R64" i="159"/>
  <c r="Q64" i="159"/>
  <c r="P64" i="159"/>
  <c r="O64" i="159"/>
  <c r="AG64" i="159" s="1"/>
  <c r="AF63" i="159"/>
  <c r="AE63" i="159"/>
  <c r="AD63" i="159"/>
  <c r="AC63" i="159"/>
  <c r="AB63" i="159"/>
  <c r="AA63" i="159"/>
  <c r="Z63" i="159"/>
  <c r="Y63" i="159"/>
  <c r="X63" i="159"/>
  <c r="W63" i="159"/>
  <c r="V63" i="159"/>
  <c r="U63" i="159"/>
  <c r="H64" i="190" s="1"/>
  <c r="T63" i="159"/>
  <c r="S63" i="159"/>
  <c r="R63" i="159"/>
  <c r="Q63" i="159"/>
  <c r="P63" i="159"/>
  <c r="O63" i="159"/>
  <c r="AG63" i="159" s="1"/>
  <c r="T62" i="159"/>
  <c r="S62" i="159"/>
  <c r="R62" i="159"/>
  <c r="Q62" i="159"/>
  <c r="P62" i="159"/>
  <c r="O62" i="159"/>
  <c r="AG62" i="159" s="1"/>
  <c r="T61" i="159"/>
  <c r="S61" i="159"/>
  <c r="R61" i="159"/>
  <c r="Q61" i="159"/>
  <c r="P61" i="159"/>
  <c r="O61" i="159"/>
  <c r="AG61" i="159" s="1"/>
  <c r="T60" i="159"/>
  <c r="S60" i="159"/>
  <c r="R60" i="159"/>
  <c r="Q60" i="159"/>
  <c r="P60" i="159"/>
  <c r="O60" i="159"/>
  <c r="AG60" i="159" s="1"/>
  <c r="T59" i="159"/>
  <c r="S59" i="159"/>
  <c r="R59" i="159"/>
  <c r="Q59" i="159"/>
  <c r="P59" i="159"/>
  <c r="O59" i="159"/>
  <c r="AG59" i="159" s="1"/>
  <c r="AG58" i="159"/>
  <c r="T58" i="159"/>
  <c r="S58" i="159"/>
  <c r="R58" i="159"/>
  <c r="Q58" i="159"/>
  <c r="P58" i="159"/>
  <c r="O58" i="159"/>
  <c r="T57" i="159"/>
  <c r="S57" i="159"/>
  <c r="R57" i="159"/>
  <c r="Q57" i="159"/>
  <c r="P57" i="159"/>
  <c r="O57" i="159"/>
  <c r="AG57" i="159" s="1"/>
  <c r="T56" i="159"/>
  <c r="S56" i="159"/>
  <c r="R56" i="159"/>
  <c r="Q56" i="159"/>
  <c r="P56" i="159"/>
  <c r="O56" i="159"/>
  <c r="AG56" i="159" s="1"/>
  <c r="AF55" i="159"/>
  <c r="AE55" i="159"/>
  <c r="AD55" i="159"/>
  <c r="AC55" i="159"/>
  <c r="AB55" i="159"/>
  <c r="AA55" i="159"/>
  <c r="Z55" i="159"/>
  <c r="Y55" i="159"/>
  <c r="X55" i="159"/>
  <c r="W55" i="159"/>
  <c r="V55" i="159"/>
  <c r="U55" i="159"/>
  <c r="H56" i="190" s="1"/>
  <c r="T55" i="159"/>
  <c r="S55" i="159"/>
  <c r="R55" i="159"/>
  <c r="Q55" i="159"/>
  <c r="P55" i="159"/>
  <c r="O55" i="159"/>
  <c r="U54" i="159"/>
  <c r="H55" i="190" s="1"/>
  <c r="T54" i="159"/>
  <c r="S54" i="159"/>
  <c r="R54" i="159"/>
  <c r="Q54" i="159"/>
  <c r="P54" i="159"/>
  <c r="O54" i="159"/>
  <c r="AG54" i="159" s="1"/>
  <c r="AF53" i="159"/>
  <c r="AE53" i="159"/>
  <c r="AD53" i="159"/>
  <c r="AC53" i="159"/>
  <c r="AB53" i="159"/>
  <c r="AA53" i="159"/>
  <c r="Z53" i="159"/>
  <c r="Y53" i="159"/>
  <c r="X53" i="159"/>
  <c r="W53" i="159"/>
  <c r="V53" i="159"/>
  <c r="U53" i="159"/>
  <c r="H54" i="190" s="1"/>
  <c r="T53" i="159"/>
  <c r="S53" i="159"/>
  <c r="R53" i="159"/>
  <c r="Q53" i="159"/>
  <c r="P53" i="159"/>
  <c r="O53" i="159"/>
  <c r="AG53" i="159" s="1"/>
  <c r="AG52" i="159"/>
  <c r="T52" i="159"/>
  <c r="S52" i="159"/>
  <c r="R52" i="159"/>
  <c r="Q52" i="159"/>
  <c r="P52" i="159"/>
  <c r="O52" i="159"/>
  <c r="T51" i="159"/>
  <c r="T69" i="159" s="1"/>
  <c r="S51" i="159"/>
  <c r="R51" i="159"/>
  <c r="R69" i="159" s="1"/>
  <c r="Q51" i="159"/>
  <c r="Q69" i="159" s="1"/>
  <c r="P51" i="159"/>
  <c r="P69" i="159" s="1"/>
  <c r="O51" i="159"/>
  <c r="AG51" i="159" s="1"/>
  <c r="AG69" i="159" s="1"/>
  <c r="AG48" i="159"/>
  <c r="AF48" i="159"/>
  <c r="AE48" i="159"/>
  <c r="AD48" i="159"/>
  <c r="AC48" i="159"/>
  <c r="AB48" i="159"/>
  <c r="AA48" i="159"/>
  <c r="Z48" i="159"/>
  <c r="Y48" i="159"/>
  <c r="X48" i="159"/>
  <c r="W48" i="159"/>
  <c r="V48" i="159"/>
  <c r="U48" i="159"/>
  <c r="T48" i="159"/>
  <c r="S48" i="159"/>
  <c r="R48" i="159"/>
  <c r="Q48" i="159"/>
  <c r="P48" i="159"/>
  <c r="O48" i="159"/>
  <c r="N48" i="159"/>
  <c r="M48" i="159"/>
  <c r="L48" i="159"/>
  <c r="K48" i="159"/>
  <c r="J48" i="159"/>
  <c r="I48" i="159"/>
  <c r="AG46" i="159"/>
  <c r="AF46" i="159"/>
  <c r="AE46" i="159"/>
  <c r="AD46" i="159"/>
  <c r="AC46" i="159"/>
  <c r="AB46" i="159"/>
  <c r="AA46" i="159"/>
  <c r="Z46" i="159"/>
  <c r="Y46" i="159"/>
  <c r="X46" i="159"/>
  <c r="W46" i="159"/>
  <c r="V46" i="159"/>
  <c r="U46" i="159"/>
  <c r="T46" i="159"/>
  <c r="S46" i="159"/>
  <c r="R46" i="159"/>
  <c r="Q46" i="159"/>
  <c r="P46" i="159"/>
  <c r="O46" i="159"/>
  <c r="N46" i="159"/>
  <c r="M46" i="159"/>
  <c r="L46" i="159"/>
  <c r="K46" i="159"/>
  <c r="J46" i="159"/>
  <c r="I46" i="159"/>
  <c r="AG45" i="159"/>
  <c r="AG44" i="159"/>
  <c r="W44" i="159"/>
  <c r="AG43" i="159"/>
  <c r="AG41" i="159"/>
  <c r="AF41" i="159"/>
  <c r="AE41" i="159"/>
  <c r="AD41" i="159"/>
  <c r="AC41" i="159"/>
  <c r="AB41" i="159"/>
  <c r="AA41" i="159"/>
  <c r="Z41" i="159"/>
  <c r="Y41" i="159"/>
  <c r="X41" i="159"/>
  <c r="W41" i="159"/>
  <c r="V41" i="159"/>
  <c r="U41" i="159"/>
  <c r="T41" i="159"/>
  <c r="S41" i="159"/>
  <c r="R41" i="159"/>
  <c r="Q41" i="159"/>
  <c r="P41" i="159"/>
  <c r="O41" i="159"/>
  <c r="N41" i="159"/>
  <c r="M41" i="159"/>
  <c r="L41" i="159"/>
  <c r="K41" i="159"/>
  <c r="J41" i="159"/>
  <c r="I41" i="159"/>
  <c r="AG40" i="159"/>
  <c r="AG39" i="159"/>
  <c r="AG37" i="159"/>
  <c r="AF37" i="159"/>
  <c r="AE37" i="159"/>
  <c r="AD37" i="159"/>
  <c r="AC37" i="159"/>
  <c r="AB37" i="159"/>
  <c r="AA37" i="159"/>
  <c r="Z37" i="159"/>
  <c r="Y37" i="159"/>
  <c r="X37" i="159"/>
  <c r="W37" i="159"/>
  <c r="V37" i="159"/>
  <c r="U37" i="159"/>
  <c r="T37" i="159"/>
  <c r="S37" i="159"/>
  <c r="R37" i="159"/>
  <c r="Q37" i="159"/>
  <c r="P37" i="159"/>
  <c r="O37" i="159"/>
  <c r="N37" i="159"/>
  <c r="M37" i="159"/>
  <c r="L37" i="159"/>
  <c r="K37" i="159"/>
  <c r="J37" i="159"/>
  <c r="I37" i="159"/>
  <c r="AG36" i="159"/>
  <c r="X36" i="159"/>
  <c r="AG35" i="159"/>
  <c r="AG34" i="159"/>
  <c r="AF34" i="159"/>
  <c r="AE34" i="159"/>
  <c r="AD34" i="159"/>
  <c r="AC34" i="159"/>
  <c r="AB34" i="159"/>
  <c r="AA34" i="159"/>
  <c r="Z34" i="159"/>
  <c r="Y34" i="159"/>
  <c r="X34" i="159"/>
  <c r="W34" i="159"/>
  <c r="V34" i="159"/>
  <c r="U34" i="159"/>
  <c r="T34" i="159"/>
  <c r="S34" i="159"/>
  <c r="R34" i="159"/>
  <c r="Q34" i="159"/>
  <c r="P34" i="159"/>
  <c r="O34" i="159"/>
  <c r="AG33" i="159"/>
  <c r="AF33" i="159"/>
  <c r="AE33" i="159"/>
  <c r="AD33" i="159"/>
  <c r="AC33" i="159"/>
  <c r="AB33" i="159"/>
  <c r="AA33" i="159"/>
  <c r="Z33" i="159"/>
  <c r="Y33" i="159"/>
  <c r="X33" i="159"/>
  <c r="W33" i="159"/>
  <c r="V33" i="159"/>
  <c r="U33" i="159"/>
  <c r="T33" i="159"/>
  <c r="S33" i="159"/>
  <c r="R33" i="159"/>
  <c r="Q33" i="159"/>
  <c r="P33" i="159"/>
  <c r="O33" i="159"/>
  <c r="AG32" i="159"/>
  <c r="AF32" i="159"/>
  <c r="AE32" i="159"/>
  <c r="AD32" i="159"/>
  <c r="AC32" i="159"/>
  <c r="AB32" i="159"/>
  <c r="AA32" i="159"/>
  <c r="Z32" i="159"/>
  <c r="Y32" i="159"/>
  <c r="X32" i="159"/>
  <c r="W32" i="159"/>
  <c r="V32" i="159"/>
  <c r="U32" i="159"/>
  <c r="T32" i="159"/>
  <c r="S32" i="159"/>
  <c r="R32" i="159"/>
  <c r="Q32" i="159"/>
  <c r="P32" i="159"/>
  <c r="O32" i="159"/>
  <c r="N26" i="159"/>
  <c r="M26" i="159"/>
  <c r="L26" i="159"/>
  <c r="K26" i="159"/>
  <c r="J26" i="159"/>
  <c r="I26" i="159"/>
  <c r="AG24" i="159"/>
  <c r="P23" i="159"/>
  <c r="O23" i="159"/>
  <c r="N21" i="159"/>
  <c r="M21" i="159"/>
  <c r="L21" i="159"/>
  <c r="K21" i="159"/>
  <c r="J21" i="159"/>
  <c r="I21" i="159"/>
  <c r="S18" i="159"/>
  <c r="R18" i="159"/>
  <c r="Q18" i="159"/>
  <c r="P18" i="159"/>
  <c r="AG18" i="159" s="1"/>
  <c r="S15" i="159"/>
  <c r="S26" i="159" s="1"/>
  <c r="R15" i="159"/>
  <c r="R16" i="159" s="1"/>
  <c r="Q15" i="159"/>
  <c r="Q21" i="159" s="1"/>
  <c r="P15" i="159"/>
  <c r="P26" i="159" s="1"/>
  <c r="O15" i="159"/>
  <c r="O16" i="159" s="1"/>
  <c r="U17" i="159" s="1"/>
  <c r="AG17" i="159" s="1"/>
  <c r="AG14" i="159"/>
  <c r="AF8" i="159"/>
  <c r="AE8" i="159"/>
  <c r="AD8" i="159"/>
  <c r="AC8" i="159"/>
  <c r="AB8" i="159"/>
  <c r="AA8" i="159"/>
  <c r="Z8" i="159"/>
  <c r="Y8" i="159"/>
  <c r="X8" i="159"/>
  <c r="W8" i="159"/>
  <c r="V8" i="159"/>
  <c r="T8" i="159"/>
  <c r="S8" i="159"/>
  <c r="R8" i="159"/>
  <c r="Q8" i="159"/>
  <c r="P8" i="159"/>
  <c r="O8" i="159"/>
  <c r="N8" i="159"/>
  <c r="M8" i="159"/>
  <c r="L8" i="159"/>
  <c r="K8" i="159"/>
  <c r="J8" i="159"/>
  <c r="AF7" i="159"/>
  <c r="AE7" i="159"/>
  <c r="AD7" i="159"/>
  <c r="AC7" i="159"/>
  <c r="AB7" i="159"/>
  <c r="AA7" i="159"/>
  <c r="Z7" i="159"/>
  <c r="Y7" i="159"/>
  <c r="X7" i="159"/>
  <c r="W7" i="159"/>
  <c r="V7" i="159"/>
  <c r="T7" i="159"/>
  <c r="S7" i="159"/>
  <c r="R7" i="159"/>
  <c r="Q7" i="159"/>
  <c r="P7" i="159"/>
  <c r="O7" i="159"/>
  <c r="N7" i="159"/>
  <c r="M7" i="159"/>
  <c r="L7" i="159"/>
  <c r="K7" i="159"/>
  <c r="J7" i="159"/>
  <c r="R67" i="196"/>
  <c r="R64" i="196"/>
  <c r="R63" i="196"/>
  <c r="R62" i="196"/>
  <c r="R56" i="196"/>
  <c r="Q56" i="196"/>
  <c r="N56" i="196"/>
  <c r="R55" i="196"/>
  <c r="Q55" i="196"/>
  <c r="N55" i="196"/>
  <c r="R54" i="196"/>
  <c r="N54" i="196"/>
  <c r="R53" i="196"/>
  <c r="N53" i="196"/>
  <c r="R52" i="196"/>
  <c r="R51" i="196"/>
  <c r="R50" i="196"/>
  <c r="M50" i="196"/>
  <c r="R49" i="196"/>
  <c r="R48" i="196"/>
  <c r="L48" i="196"/>
  <c r="R47" i="196"/>
  <c r="L47" i="196"/>
  <c r="R46" i="196"/>
  <c r="R45" i="196"/>
  <c r="R44" i="196"/>
  <c r="R43" i="196"/>
  <c r="L43" i="196"/>
  <c r="R42" i="196"/>
  <c r="Q42" i="196"/>
  <c r="P42" i="196"/>
  <c r="O42" i="196"/>
  <c r="N42" i="196"/>
  <c r="M42" i="196"/>
  <c r="L42" i="196"/>
  <c r="K42" i="196"/>
  <c r="J42" i="196"/>
  <c r="I42" i="196"/>
  <c r="H42" i="196"/>
  <c r="G42" i="196"/>
  <c r="F42" i="196"/>
  <c r="E42" i="196"/>
  <c r="R41" i="196"/>
  <c r="R40" i="196"/>
  <c r="R39" i="196"/>
  <c r="R38" i="196"/>
  <c r="R37" i="196"/>
  <c r="R36" i="196"/>
  <c r="R35" i="196"/>
  <c r="R34" i="196"/>
  <c r="R33" i="196"/>
  <c r="R32" i="196"/>
  <c r="R31" i="196"/>
  <c r="Q31" i="196"/>
  <c r="N31" i="196"/>
  <c r="L31" i="196"/>
  <c r="R30" i="196"/>
  <c r="R29" i="196"/>
  <c r="Q29" i="196"/>
  <c r="P29" i="196"/>
  <c r="O29" i="196"/>
  <c r="N29" i="196"/>
  <c r="M29" i="196"/>
  <c r="L29" i="196"/>
  <c r="K29" i="196"/>
  <c r="J29" i="196"/>
  <c r="I29" i="196"/>
  <c r="H29" i="196"/>
  <c r="G29" i="196"/>
  <c r="F29" i="196"/>
  <c r="E29" i="196"/>
  <c r="R25" i="196"/>
  <c r="Q25" i="196"/>
  <c r="P25" i="196"/>
  <c r="O25" i="196"/>
  <c r="N25" i="196"/>
  <c r="M25" i="196"/>
  <c r="L25" i="196"/>
  <c r="K25" i="196"/>
  <c r="J25" i="196"/>
  <c r="I25" i="196"/>
  <c r="H25" i="196"/>
  <c r="G25" i="196"/>
  <c r="F25" i="196"/>
  <c r="R24" i="196"/>
  <c r="J24" i="196"/>
  <c r="I24" i="196"/>
  <c r="H24" i="196"/>
  <c r="G24" i="196"/>
  <c r="F24" i="196"/>
  <c r="R23" i="196"/>
  <c r="J23" i="196"/>
  <c r="I23" i="196"/>
  <c r="H23" i="196"/>
  <c r="G23" i="196"/>
  <c r="F23" i="196"/>
  <c r="R22" i="196"/>
  <c r="J22" i="196"/>
  <c r="I22" i="196"/>
  <c r="H22" i="196"/>
  <c r="G22" i="196"/>
  <c r="F22" i="196"/>
  <c r="R21" i="196"/>
  <c r="Q21" i="196"/>
  <c r="P21" i="196"/>
  <c r="O21" i="196"/>
  <c r="N21" i="196"/>
  <c r="M21" i="196"/>
  <c r="L21" i="196"/>
  <c r="K21" i="196"/>
  <c r="J21" i="196"/>
  <c r="I21" i="196"/>
  <c r="H21" i="196"/>
  <c r="G21" i="196"/>
  <c r="F21" i="196"/>
  <c r="R20" i="196"/>
  <c r="Q20" i="196"/>
  <c r="P20" i="196"/>
  <c r="O20" i="196"/>
  <c r="N20" i="196"/>
  <c r="M20" i="196"/>
  <c r="L20" i="196"/>
  <c r="K20" i="196"/>
  <c r="J20" i="196"/>
  <c r="I20" i="196"/>
  <c r="H20" i="196"/>
  <c r="G20" i="196"/>
  <c r="F20" i="196"/>
  <c r="R19" i="196"/>
  <c r="Q19" i="196"/>
  <c r="P19" i="196"/>
  <c r="O19" i="196"/>
  <c r="N19" i="196"/>
  <c r="M19" i="196"/>
  <c r="L19" i="196"/>
  <c r="K19" i="196"/>
  <c r="J19" i="196"/>
  <c r="I19" i="196"/>
  <c r="H19" i="196"/>
  <c r="G19" i="196"/>
  <c r="F19" i="196"/>
  <c r="R18" i="196"/>
  <c r="Q18" i="196"/>
  <c r="P18" i="196"/>
  <c r="O18" i="196"/>
  <c r="N18" i="196"/>
  <c r="M18" i="196"/>
  <c r="L18" i="196"/>
  <c r="K18" i="196"/>
  <c r="J18" i="196"/>
  <c r="I18" i="196"/>
  <c r="H18" i="196"/>
  <c r="G18" i="196"/>
  <c r="F18" i="196"/>
  <c r="R17" i="196"/>
  <c r="Q17" i="196"/>
  <c r="P17" i="196"/>
  <c r="O17" i="196"/>
  <c r="N17" i="196"/>
  <c r="M17" i="196"/>
  <c r="L17" i="196"/>
  <c r="K17" i="196"/>
  <c r="J17" i="196"/>
  <c r="I17" i="196"/>
  <c r="H17" i="196"/>
  <c r="G17" i="196"/>
  <c r="F17" i="196"/>
  <c r="R16" i="196"/>
  <c r="Q16" i="196"/>
  <c r="P16" i="196"/>
  <c r="O16" i="196"/>
  <c r="N16" i="196"/>
  <c r="M16" i="196"/>
  <c r="L16" i="196"/>
  <c r="K16" i="196"/>
  <c r="J16" i="196"/>
  <c r="I16" i="196"/>
  <c r="H16" i="196"/>
  <c r="G16" i="196"/>
  <c r="F16" i="196"/>
  <c r="R15" i="196"/>
  <c r="Q15" i="196"/>
  <c r="P15" i="196"/>
  <c r="O15" i="196"/>
  <c r="N15" i="196"/>
  <c r="M15" i="196"/>
  <c r="L15" i="196"/>
  <c r="K15" i="196"/>
  <c r="J15" i="196"/>
  <c r="I15" i="196"/>
  <c r="H15" i="196"/>
  <c r="G15" i="196"/>
  <c r="F15" i="196"/>
  <c r="R14" i="196"/>
  <c r="Q14" i="196"/>
  <c r="P14" i="196"/>
  <c r="O14" i="196"/>
  <c r="N14" i="196"/>
  <c r="M14" i="196"/>
  <c r="L14" i="196"/>
  <c r="K14" i="196"/>
  <c r="J14" i="196"/>
  <c r="I14" i="196"/>
  <c r="H14" i="196"/>
  <c r="G14" i="196"/>
  <c r="F14" i="196"/>
  <c r="R13" i="196"/>
  <c r="Q13" i="196"/>
  <c r="P13" i="196"/>
  <c r="O13" i="196"/>
  <c r="N13" i="196"/>
  <c r="M13" i="196"/>
  <c r="L13" i="196"/>
  <c r="K13" i="196"/>
  <c r="J13" i="196"/>
  <c r="I13" i="196"/>
  <c r="H13" i="196"/>
  <c r="G13" i="196"/>
  <c r="F13" i="196"/>
  <c r="E13" i="196"/>
  <c r="R10" i="196"/>
  <c r="Q10" i="196"/>
  <c r="P10" i="196"/>
  <c r="O10" i="196"/>
  <c r="N10" i="196"/>
  <c r="M10" i="196"/>
  <c r="L10" i="196"/>
  <c r="K10" i="196"/>
  <c r="J10" i="196"/>
  <c r="I10" i="196"/>
  <c r="H10" i="196"/>
  <c r="G10" i="196"/>
  <c r="F10" i="196"/>
  <c r="E10" i="196"/>
  <c r="R9" i="196"/>
  <c r="R8" i="196"/>
  <c r="R7" i="196"/>
  <c r="Q7" i="196"/>
  <c r="P7" i="196"/>
  <c r="O7" i="196"/>
  <c r="N7" i="196"/>
  <c r="M7" i="196"/>
  <c r="L7" i="196"/>
  <c r="K7" i="196"/>
  <c r="J7" i="196"/>
  <c r="I7" i="196"/>
  <c r="H7" i="196"/>
  <c r="G7" i="196"/>
  <c r="F7" i="196"/>
  <c r="E7" i="196"/>
  <c r="D7" i="196"/>
  <c r="R6" i="196"/>
  <c r="Q6" i="196"/>
  <c r="P6" i="196"/>
  <c r="O6" i="196"/>
  <c r="N6" i="196"/>
  <c r="M6" i="196"/>
  <c r="L6" i="196"/>
  <c r="K6" i="196"/>
  <c r="J6" i="196"/>
  <c r="I6" i="196"/>
  <c r="H6" i="196"/>
  <c r="G6" i="196"/>
  <c r="F6" i="196"/>
  <c r="E6" i="196"/>
  <c r="R5" i="196"/>
  <c r="Q5" i="196"/>
  <c r="P5" i="196"/>
  <c r="O5" i="196"/>
  <c r="N5" i="196"/>
  <c r="M5" i="196"/>
  <c r="L5" i="196"/>
  <c r="K5" i="196"/>
  <c r="J5" i="196"/>
  <c r="I5" i="196"/>
  <c r="H5" i="196"/>
  <c r="G5" i="196"/>
  <c r="F5" i="196"/>
  <c r="E5" i="196"/>
  <c r="R4" i="196"/>
  <c r="Q4" i="196"/>
  <c r="P4" i="196"/>
  <c r="O4" i="196"/>
  <c r="N4" i="196"/>
  <c r="M4" i="196"/>
  <c r="L4" i="196"/>
  <c r="K4" i="196"/>
  <c r="J4" i="196"/>
  <c r="I4" i="196"/>
  <c r="H4" i="196"/>
  <c r="G4" i="196"/>
  <c r="F4" i="196"/>
  <c r="E4" i="196"/>
  <c r="S3" i="196"/>
  <c r="R3" i="196"/>
  <c r="Q3" i="196"/>
  <c r="P3" i="196"/>
  <c r="O3" i="196"/>
  <c r="N3" i="196"/>
  <c r="M3" i="196"/>
  <c r="L3" i="196"/>
  <c r="K3" i="196"/>
  <c r="J3" i="196"/>
  <c r="I3" i="196"/>
  <c r="H3" i="196"/>
  <c r="G3" i="196"/>
  <c r="F3" i="196"/>
  <c r="E3" i="196"/>
  <c r="J178" i="190"/>
  <c r="F178" i="190"/>
  <c r="D178" i="190"/>
  <c r="J177" i="190"/>
  <c r="H177" i="190"/>
  <c r="F177" i="190"/>
  <c r="D177" i="190"/>
  <c r="J176" i="190"/>
  <c r="F176" i="190"/>
  <c r="D176" i="190"/>
  <c r="J175" i="190"/>
  <c r="H175" i="190"/>
  <c r="F175" i="190"/>
  <c r="D175" i="190"/>
  <c r="J174" i="190"/>
  <c r="F174" i="190"/>
  <c r="D174" i="190"/>
  <c r="J173" i="190"/>
  <c r="F173" i="190"/>
  <c r="D173" i="190"/>
  <c r="J172" i="190"/>
  <c r="H172" i="190"/>
  <c r="F172" i="190"/>
  <c r="D172" i="190"/>
  <c r="J171" i="190"/>
  <c r="H171" i="190"/>
  <c r="F171" i="190"/>
  <c r="D171" i="190"/>
  <c r="J170" i="190"/>
  <c r="H170" i="190"/>
  <c r="F170" i="190"/>
  <c r="D170" i="190"/>
  <c r="J169" i="190"/>
  <c r="H169" i="190"/>
  <c r="F169" i="190"/>
  <c r="D169" i="190"/>
  <c r="J168" i="190"/>
  <c r="H168" i="190"/>
  <c r="F168" i="190"/>
  <c r="D168" i="190"/>
  <c r="J167" i="190"/>
  <c r="H167" i="190"/>
  <c r="F167" i="190"/>
  <c r="D167" i="190"/>
  <c r="J166" i="190"/>
  <c r="H166" i="190"/>
  <c r="F166" i="190"/>
  <c r="D166" i="190"/>
  <c r="J165" i="190"/>
  <c r="H165" i="190"/>
  <c r="F165" i="190"/>
  <c r="D165" i="190"/>
  <c r="J164" i="190"/>
  <c r="H164" i="190"/>
  <c r="F164" i="190"/>
  <c r="D164" i="190"/>
  <c r="J163" i="190"/>
  <c r="H163" i="190"/>
  <c r="F163" i="190"/>
  <c r="D163" i="190"/>
  <c r="J162" i="190"/>
  <c r="H162" i="190"/>
  <c r="F162" i="190"/>
  <c r="D162" i="190"/>
  <c r="J161" i="190"/>
  <c r="H161" i="190"/>
  <c r="F161" i="190"/>
  <c r="D161" i="190"/>
  <c r="J160" i="190"/>
  <c r="H160" i="190"/>
  <c r="F160" i="190"/>
  <c r="D160" i="190"/>
  <c r="J159" i="190"/>
  <c r="H159" i="190"/>
  <c r="F159" i="190"/>
  <c r="D159" i="190"/>
  <c r="J158" i="190"/>
  <c r="H158" i="190"/>
  <c r="F158" i="190"/>
  <c r="D158" i="190"/>
  <c r="J157" i="190"/>
  <c r="H157" i="190"/>
  <c r="F157" i="190"/>
  <c r="D157" i="190"/>
  <c r="J156" i="190"/>
  <c r="H156" i="190"/>
  <c r="F156" i="190"/>
  <c r="D156" i="190"/>
  <c r="J155" i="190"/>
  <c r="H155" i="190"/>
  <c r="F155" i="190"/>
  <c r="D155" i="190"/>
  <c r="J154" i="190"/>
  <c r="H154" i="190"/>
  <c r="F154" i="190"/>
  <c r="D154" i="190"/>
  <c r="J153" i="190"/>
  <c r="H153" i="190"/>
  <c r="F153" i="190"/>
  <c r="D153" i="190"/>
  <c r="J152" i="190"/>
  <c r="H152" i="190"/>
  <c r="F152" i="190"/>
  <c r="D152" i="190"/>
  <c r="J151" i="190"/>
  <c r="H151" i="190"/>
  <c r="F151" i="190"/>
  <c r="D151" i="190"/>
  <c r="J150" i="190"/>
  <c r="H150" i="190"/>
  <c r="F150" i="190"/>
  <c r="D150" i="190"/>
  <c r="J149" i="190"/>
  <c r="H149" i="190"/>
  <c r="F149" i="190"/>
  <c r="D149" i="190"/>
  <c r="J148" i="190"/>
  <c r="H148" i="190"/>
  <c r="F148" i="190"/>
  <c r="D148" i="190"/>
  <c r="J147" i="190"/>
  <c r="H147" i="190"/>
  <c r="F147" i="190"/>
  <c r="D147" i="190"/>
  <c r="J145" i="190"/>
  <c r="H145" i="190"/>
  <c r="F145" i="190"/>
  <c r="D145" i="190"/>
  <c r="J144" i="190"/>
  <c r="H144" i="190"/>
  <c r="F144" i="190"/>
  <c r="D144" i="190"/>
  <c r="J143" i="190"/>
  <c r="H143" i="190"/>
  <c r="F143" i="190"/>
  <c r="D143" i="190"/>
  <c r="J142" i="190"/>
  <c r="H142" i="190"/>
  <c r="F142" i="190"/>
  <c r="D142" i="190"/>
  <c r="J141" i="190"/>
  <c r="H141" i="190"/>
  <c r="F141" i="190"/>
  <c r="D141" i="190"/>
  <c r="J140" i="190"/>
  <c r="H140" i="190"/>
  <c r="F140" i="190"/>
  <c r="D140" i="190"/>
  <c r="J139" i="190"/>
  <c r="H139" i="190"/>
  <c r="F139" i="190"/>
  <c r="D139" i="190"/>
  <c r="J138" i="190"/>
  <c r="H138" i="190"/>
  <c r="F138" i="190"/>
  <c r="D138" i="190"/>
  <c r="J137" i="190"/>
  <c r="H137" i="190"/>
  <c r="F137" i="190"/>
  <c r="D137" i="190"/>
  <c r="J136" i="190"/>
  <c r="H136" i="190"/>
  <c r="F136" i="190"/>
  <c r="D136" i="190"/>
  <c r="J134" i="190"/>
  <c r="H134" i="190"/>
  <c r="F134" i="190"/>
  <c r="D134" i="190"/>
  <c r="J133" i="190"/>
  <c r="F133" i="190"/>
  <c r="D133" i="190"/>
  <c r="J132" i="190"/>
  <c r="H132" i="190"/>
  <c r="F132" i="190"/>
  <c r="D132" i="190"/>
  <c r="J131" i="190"/>
  <c r="F131" i="190"/>
  <c r="D131" i="190"/>
  <c r="J130" i="190"/>
  <c r="H130" i="190"/>
  <c r="F130" i="190"/>
  <c r="D130" i="190"/>
  <c r="J129" i="190"/>
  <c r="F129" i="190"/>
  <c r="D129" i="190"/>
  <c r="J128" i="190"/>
  <c r="H128" i="190"/>
  <c r="F128" i="190"/>
  <c r="D128" i="190"/>
  <c r="J127" i="190"/>
  <c r="F127" i="190"/>
  <c r="D127" i="190"/>
  <c r="J126" i="190"/>
  <c r="H126" i="190"/>
  <c r="F126" i="190"/>
  <c r="D126" i="190"/>
  <c r="J125" i="190"/>
  <c r="F125" i="190"/>
  <c r="D125" i="190"/>
  <c r="J124" i="190"/>
  <c r="F124" i="190"/>
  <c r="D124" i="190"/>
  <c r="J123" i="190"/>
  <c r="F123" i="190"/>
  <c r="D123" i="190"/>
  <c r="J122" i="190"/>
  <c r="F122" i="190"/>
  <c r="D122" i="190"/>
  <c r="J119" i="190"/>
  <c r="F119" i="190"/>
  <c r="D119" i="190"/>
  <c r="J118" i="190"/>
  <c r="F118" i="190"/>
  <c r="D118" i="190"/>
  <c r="J117" i="190"/>
  <c r="F117" i="190"/>
  <c r="D117" i="190"/>
  <c r="J116" i="190"/>
  <c r="F116" i="190"/>
  <c r="D116" i="190"/>
  <c r="J115" i="190"/>
  <c r="F115" i="190"/>
  <c r="D115" i="190"/>
  <c r="J114" i="190"/>
  <c r="F114" i="190"/>
  <c r="D114" i="190"/>
  <c r="J113" i="190"/>
  <c r="F113" i="190"/>
  <c r="D113" i="190"/>
  <c r="J112" i="190"/>
  <c r="F112" i="190"/>
  <c r="D112" i="190"/>
  <c r="J111" i="190"/>
  <c r="F111" i="190"/>
  <c r="D111" i="190"/>
  <c r="J110" i="190"/>
  <c r="F110" i="190"/>
  <c r="D110" i="190"/>
  <c r="J109" i="190"/>
  <c r="F109" i="190"/>
  <c r="D109" i="190"/>
  <c r="J108" i="190"/>
  <c r="F108" i="190"/>
  <c r="D108" i="190"/>
  <c r="J107" i="190"/>
  <c r="F107" i="190"/>
  <c r="D107" i="190"/>
  <c r="J106" i="190"/>
  <c r="F106" i="190"/>
  <c r="D106" i="190"/>
  <c r="J105" i="190"/>
  <c r="F105" i="190"/>
  <c r="D105" i="190"/>
  <c r="J104" i="190"/>
  <c r="F104" i="190"/>
  <c r="D104" i="190"/>
  <c r="J103" i="190"/>
  <c r="F103" i="190"/>
  <c r="D103" i="190"/>
  <c r="J102" i="190"/>
  <c r="F102" i="190"/>
  <c r="D102" i="190"/>
  <c r="J100" i="190"/>
  <c r="H100" i="190"/>
  <c r="F100" i="190"/>
  <c r="D100" i="190"/>
  <c r="J99" i="190"/>
  <c r="F99" i="190"/>
  <c r="D99" i="190"/>
  <c r="J98" i="190"/>
  <c r="F98" i="190"/>
  <c r="D98" i="190"/>
  <c r="J97" i="190"/>
  <c r="F97" i="190"/>
  <c r="D97" i="190"/>
  <c r="J96" i="190"/>
  <c r="F96" i="190"/>
  <c r="D96" i="190"/>
  <c r="J95" i="190"/>
  <c r="F95" i="190"/>
  <c r="D95" i="190"/>
  <c r="J94" i="190"/>
  <c r="F94" i="190"/>
  <c r="D94" i="190"/>
  <c r="J93" i="190"/>
  <c r="F93" i="190"/>
  <c r="D93" i="190"/>
  <c r="J92" i="190"/>
  <c r="F92" i="190"/>
  <c r="D92" i="190"/>
  <c r="J91" i="190"/>
  <c r="F91" i="190"/>
  <c r="D91" i="190"/>
  <c r="J90" i="190"/>
  <c r="F90" i="190"/>
  <c r="D90" i="190"/>
  <c r="J89" i="190"/>
  <c r="F89" i="190"/>
  <c r="D89" i="190"/>
  <c r="J88" i="190"/>
  <c r="F88" i="190"/>
  <c r="D88" i="190"/>
  <c r="J87" i="190"/>
  <c r="F87" i="190"/>
  <c r="D87" i="190"/>
  <c r="J86" i="190"/>
  <c r="F86" i="190"/>
  <c r="D86" i="190"/>
  <c r="J85" i="190"/>
  <c r="F85" i="190"/>
  <c r="D85" i="190"/>
  <c r="J84" i="190"/>
  <c r="F84" i="190"/>
  <c r="D84" i="190"/>
  <c r="J82" i="190"/>
  <c r="H82" i="190"/>
  <c r="F82" i="190"/>
  <c r="D82" i="190"/>
  <c r="J81" i="190"/>
  <c r="F81" i="190"/>
  <c r="D81" i="190"/>
  <c r="J80" i="190"/>
  <c r="F80" i="190"/>
  <c r="D80" i="190"/>
  <c r="J79" i="190"/>
  <c r="F79" i="190"/>
  <c r="D79" i="190"/>
  <c r="J78" i="190"/>
  <c r="F78" i="190"/>
  <c r="D78" i="190"/>
  <c r="J77" i="190"/>
  <c r="F77" i="190"/>
  <c r="D77" i="190"/>
  <c r="J76" i="190"/>
  <c r="F76" i="190"/>
  <c r="D76" i="190"/>
  <c r="J75" i="190"/>
  <c r="F75" i="190"/>
  <c r="D75" i="190"/>
  <c r="J74" i="190"/>
  <c r="F74" i="190"/>
  <c r="D74" i="190"/>
  <c r="J73" i="190"/>
  <c r="F73" i="190"/>
  <c r="D73" i="190"/>
  <c r="J71" i="190"/>
  <c r="H71" i="190"/>
  <c r="F71" i="190"/>
  <c r="D71" i="190"/>
  <c r="J70" i="190"/>
  <c r="F70" i="190"/>
  <c r="D70" i="190"/>
  <c r="J69" i="190"/>
  <c r="F69" i="190"/>
  <c r="D69" i="190"/>
  <c r="J68" i="190"/>
  <c r="F68" i="190"/>
  <c r="D68" i="190"/>
  <c r="J67" i="190"/>
  <c r="F67" i="190"/>
  <c r="D67" i="190"/>
  <c r="J66" i="190"/>
  <c r="F66" i="190"/>
  <c r="D66" i="190"/>
  <c r="J65" i="190"/>
  <c r="F65" i="190"/>
  <c r="D65" i="190"/>
  <c r="J64" i="190"/>
  <c r="F64" i="190"/>
  <c r="D64" i="190"/>
  <c r="J63" i="190"/>
  <c r="F63" i="190"/>
  <c r="D63" i="190"/>
  <c r="J62" i="190"/>
  <c r="F62" i="190"/>
  <c r="D62" i="190"/>
  <c r="J61" i="190"/>
  <c r="F61" i="190"/>
  <c r="D61" i="190"/>
  <c r="J60" i="190"/>
  <c r="F60" i="190"/>
  <c r="D60" i="190"/>
  <c r="J59" i="190"/>
  <c r="F59" i="190"/>
  <c r="D59" i="190"/>
  <c r="J58" i="190"/>
  <c r="F58" i="190"/>
  <c r="D58" i="190"/>
  <c r="J57" i="190"/>
  <c r="F57" i="190"/>
  <c r="D57" i="190"/>
  <c r="J56" i="190"/>
  <c r="F56" i="190"/>
  <c r="D56" i="190"/>
  <c r="J55" i="190"/>
  <c r="F55" i="190"/>
  <c r="D55" i="190"/>
  <c r="J54" i="190"/>
  <c r="F54" i="190"/>
  <c r="D54" i="190"/>
  <c r="J53" i="190"/>
  <c r="F53" i="190"/>
  <c r="D53" i="190"/>
  <c r="J52" i="190"/>
  <c r="F52" i="190"/>
  <c r="D52" i="190"/>
  <c r="J50" i="190"/>
  <c r="H50" i="190"/>
  <c r="F50" i="190"/>
  <c r="D50" i="190"/>
  <c r="J49" i="190"/>
  <c r="F49" i="190"/>
  <c r="D49" i="190"/>
  <c r="J48" i="190"/>
  <c r="H48" i="190"/>
  <c r="F48" i="190"/>
  <c r="D48" i="190"/>
  <c r="J47" i="190"/>
  <c r="H47" i="190"/>
  <c r="F47" i="190"/>
  <c r="D47" i="190"/>
  <c r="J46" i="190"/>
  <c r="H46" i="190"/>
  <c r="F46" i="190"/>
  <c r="D46" i="190"/>
  <c r="J45" i="190"/>
  <c r="H45" i="190"/>
  <c r="F45" i="190"/>
  <c r="D45" i="190"/>
  <c r="J44" i="190"/>
  <c r="H44" i="190"/>
  <c r="F44" i="190"/>
  <c r="D44" i="190"/>
  <c r="J43" i="190"/>
  <c r="H43" i="190"/>
  <c r="F43" i="190"/>
  <c r="D43" i="190"/>
  <c r="J42" i="190"/>
  <c r="H42" i="190"/>
  <c r="F42" i="190"/>
  <c r="D42" i="190"/>
  <c r="J41" i="190"/>
  <c r="H41" i="190"/>
  <c r="F41" i="190"/>
  <c r="D41" i="190"/>
  <c r="J40" i="190"/>
  <c r="H40" i="190"/>
  <c r="F40" i="190"/>
  <c r="D40" i="190"/>
  <c r="J39" i="190"/>
  <c r="H39" i="190"/>
  <c r="F39" i="190"/>
  <c r="D39" i="190"/>
  <c r="J38" i="190"/>
  <c r="H38" i="190"/>
  <c r="F38" i="190"/>
  <c r="D38" i="190"/>
  <c r="J37" i="190"/>
  <c r="H37" i="190"/>
  <c r="F37" i="190"/>
  <c r="D37" i="190"/>
  <c r="J36" i="190"/>
  <c r="H36" i="190"/>
  <c r="F36" i="190"/>
  <c r="D36" i="190"/>
  <c r="J35" i="190"/>
  <c r="H35" i="190"/>
  <c r="F35" i="190"/>
  <c r="D35" i="190"/>
  <c r="J34" i="190"/>
  <c r="H34" i="190"/>
  <c r="F34" i="190"/>
  <c r="D34" i="190"/>
  <c r="J32" i="190"/>
  <c r="H32" i="190"/>
  <c r="F32" i="190"/>
  <c r="D32" i="190"/>
  <c r="J31" i="190"/>
  <c r="H31" i="190"/>
  <c r="F31" i="190"/>
  <c r="D31" i="190"/>
  <c r="J30" i="190"/>
  <c r="H30" i="190"/>
  <c r="F30" i="190"/>
  <c r="D30" i="190"/>
  <c r="J29" i="190"/>
  <c r="H29" i="190"/>
  <c r="F29" i="190"/>
  <c r="D29" i="190"/>
  <c r="J28" i="190"/>
  <c r="F28" i="190"/>
  <c r="D28" i="190"/>
  <c r="J27" i="190"/>
  <c r="H27" i="190"/>
  <c r="F27" i="190"/>
  <c r="D27" i="190"/>
  <c r="J26" i="190"/>
  <c r="H26" i="190"/>
  <c r="F26" i="190"/>
  <c r="D26" i="190"/>
  <c r="J25" i="190"/>
  <c r="F25" i="190"/>
  <c r="D25" i="190"/>
  <c r="J24" i="190"/>
  <c r="H24" i="190"/>
  <c r="F24" i="190"/>
  <c r="D24" i="190"/>
  <c r="J23" i="190"/>
  <c r="F23" i="190"/>
  <c r="D23" i="190"/>
  <c r="J22" i="190"/>
  <c r="H22" i="190"/>
  <c r="F22" i="190"/>
  <c r="D22" i="190"/>
  <c r="J21" i="190"/>
  <c r="H21" i="190"/>
  <c r="F21" i="190"/>
  <c r="D21" i="190"/>
  <c r="J20" i="190"/>
  <c r="H20" i="190"/>
  <c r="F20" i="190"/>
  <c r="D20" i="190"/>
  <c r="J19" i="190"/>
  <c r="H19" i="190"/>
  <c r="F19" i="190"/>
  <c r="D19" i="190"/>
  <c r="AB150" i="174"/>
  <c r="C150" i="174"/>
  <c r="B150" i="174"/>
  <c r="AP148" i="174"/>
  <c r="AN148" i="174"/>
  <c r="AE148" i="174"/>
  <c r="AM148" i="174" s="1"/>
  <c r="X148" i="174"/>
  <c r="U148" i="174"/>
  <c r="S148" i="174"/>
  <c r="R148" i="174"/>
  <c r="M148" i="174"/>
  <c r="T148" i="174" s="1"/>
  <c r="AQ147" i="174"/>
  <c r="AP147" i="174"/>
  <c r="AO147" i="174"/>
  <c r="AN147" i="174"/>
  <c r="AM147" i="174"/>
  <c r="AL147" i="174"/>
  <c r="AK147" i="174"/>
  <c r="AJ147" i="174"/>
  <c r="AI147" i="174"/>
  <c r="AH147" i="174"/>
  <c r="AG147" i="174"/>
  <c r="AF147" i="174"/>
  <c r="AE147" i="174"/>
  <c r="Y147" i="174"/>
  <c r="X147" i="174"/>
  <c r="W147" i="174"/>
  <c r="V147" i="174"/>
  <c r="U147" i="174"/>
  <c r="T147" i="174"/>
  <c r="S147" i="174"/>
  <c r="R147" i="174"/>
  <c r="Q147" i="174"/>
  <c r="P147" i="174"/>
  <c r="O147" i="174"/>
  <c r="M147" i="174"/>
  <c r="N147" i="174" s="1"/>
  <c r="AQ146" i="174"/>
  <c r="AP146" i="174"/>
  <c r="AO146" i="174"/>
  <c r="AN146" i="174"/>
  <c r="AM146" i="174"/>
  <c r="AL146" i="174"/>
  <c r="AK146" i="174"/>
  <c r="AJ146" i="174"/>
  <c r="AI146" i="174"/>
  <c r="AH146" i="174"/>
  <c r="AG146" i="174"/>
  <c r="AE146" i="174"/>
  <c r="AF146" i="174" s="1"/>
  <c r="Y146" i="174"/>
  <c r="X146" i="174"/>
  <c r="W146" i="174"/>
  <c r="V146" i="174"/>
  <c r="U146" i="174"/>
  <c r="T146" i="174"/>
  <c r="S146" i="174"/>
  <c r="R146" i="174"/>
  <c r="Q146" i="174"/>
  <c r="P146" i="174"/>
  <c r="O146" i="174"/>
  <c r="M146" i="174"/>
  <c r="N146" i="174" s="1"/>
  <c r="AQ145" i="174"/>
  <c r="AL145" i="174"/>
  <c r="AK145" i="174"/>
  <c r="AE145" i="174"/>
  <c r="AP145" i="174" s="1"/>
  <c r="T145" i="174"/>
  <c r="M145" i="174"/>
  <c r="S145" i="174" s="1"/>
  <c r="AE144" i="174"/>
  <c r="AJ144" i="174" s="1"/>
  <c r="M144" i="174"/>
  <c r="AQ143" i="174"/>
  <c r="AP143" i="174"/>
  <c r="AO143" i="174"/>
  <c r="AN143" i="174"/>
  <c r="AM143" i="174"/>
  <c r="AL143" i="174"/>
  <c r="AJ143" i="174"/>
  <c r="AI143" i="174"/>
  <c r="AH143" i="174"/>
  <c r="AG143" i="174"/>
  <c r="AF143" i="174"/>
  <c r="AE143" i="174"/>
  <c r="AK143" i="174" s="1"/>
  <c r="Y143" i="174"/>
  <c r="X143" i="174"/>
  <c r="W143" i="174"/>
  <c r="V143" i="174"/>
  <c r="U143" i="174"/>
  <c r="T143" i="174"/>
  <c r="R143" i="174"/>
  <c r="Q143" i="174"/>
  <c r="P143" i="174"/>
  <c r="O143" i="174"/>
  <c r="N143" i="174"/>
  <c r="M143" i="174"/>
  <c r="S143" i="174" s="1"/>
  <c r="AQ142" i="174"/>
  <c r="AP142" i="174"/>
  <c r="AO142" i="174"/>
  <c r="AN142" i="174"/>
  <c r="AM142" i="174"/>
  <c r="AL142" i="174"/>
  <c r="AK142" i="174"/>
  <c r="AJ142" i="174"/>
  <c r="AI142" i="174"/>
  <c r="AH142" i="174"/>
  <c r="AG142" i="174"/>
  <c r="AF142" i="174"/>
  <c r="AE142" i="174"/>
  <c r="Y142" i="174"/>
  <c r="X142" i="174"/>
  <c r="W142" i="174"/>
  <c r="V142" i="174"/>
  <c r="U142" i="174"/>
  <c r="T142" i="174"/>
  <c r="S142" i="174"/>
  <c r="R142" i="174"/>
  <c r="Q142" i="174"/>
  <c r="P142" i="174"/>
  <c r="O142" i="174"/>
  <c r="N142" i="174"/>
  <c r="M142" i="174"/>
  <c r="E142" i="174"/>
  <c r="AQ141" i="174"/>
  <c r="AP141" i="174"/>
  <c r="AO141" i="174"/>
  <c r="AN141" i="174"/>
  <c r="AM141" i="174"/>
  <c r="AL141" i="174"/>
  <c r="AK141" i="174"/>
  <c r="AJ141" i="174"/>
  <c r="AH141" i="174"/>
  <c r="AG141" i="174"/>
  <c r="AF141" i="174"/>
  <c r="AE141" i="174"/>
  <c r="AI141" i="174" s="1"/>
  <c r="Y141" i="174"/>
  <c r="X141" i="174"/>
  <c r="W141" i="174"/>
  <c r="V141" i="174"/>
  <c r="U141" i="174"/>
  <c r="T141" i="174"/>
  <c r="S141" i="174"/>
  <c r="R141" i="174"/>
  <c r="P141" i="174"/>
  <c r="O141" i="174"/>
  <c r="N141" i="174"/>
  <c r="M141" i="174"/>
  <c r="Q141" i="174" s="1"/>
  <c r="AQ140" i="174"/>
  <c r="AP140" i="174"/>
  <c r="AO140" i="174"/>
  <c r="AN140" i="174"/>
  <c r="AM140" i="174"/>
  <c r="AL140" i="174"/>
  <c r="AJ140" i="174"/>
  <c r="AI140" i="174"/>
  <c r="AH140" i="174"/>
  <c r="AG140" i="174"/>
  <c r="AF140" i="174"/>
  <c r="AE140" i="174"/>
  <c r="AK140" i="174" s="1"/>
  <c r="Y140" i="174"/>
  <c r="X140" i="174"/>
  <c r="W140" i="174"/>
  <c r="V140" i="174"/>
  <c r="U140" i="174"/>
  <c r="T140" i="174"/>
  <c r="R140" i="174"/>
  <c r="Q140" i="174"/>
  <c r="P140" i="174"/>
  <c r="O140" i="174"/>
  <c r="N140" i="174"/>
  <c r="M140" i="174"/>
  <c r="S140" i="174" s="1"/>
  <c r="AM139" i="174"/>
  <c r="AE139" i="174"/>
  <c r="AL139" i="174" s="1"/>
  <c r="Y139" i="174"/>
  <c r="X139" i="174"/>
  <c r="W139" i="174"/>
  <c r="V139" i="174"/>
  <c r="U139" i="174"/>
  <c r="S139" i="174"/>
  <c r="R139" i="174"/>
  <c r="Q139" i="174"/>
  <c r="P139" i="174"/>
  <c r="O139" i="174"/>
  <c r="N139" i="174"/>
  <c r="M139" i="174"/>
  <c r="T139" i="174" s="1"/>
  <c r="AP138" i="174"/>
  <c r="AM138" i="174"/>
  <c r="AH138" i="174"/>
  <c r="AF138" i="174"/>
  <c r="AE138" i="174"/>
  <c r="AK138" i="174" s="1"/>
  <c r="T138" i="174"/>
  <c r="R138" i="174"/>
  <c r="P138" i="174"/>
  <c r="M138" i="174"/>
  <c r="S138" i="174" s="1"/>
  <c r="AQ137" i="174"/>
  <c r="AP137" i="174"/>
  <c r="AO137" i="174"/>
  <c r="AN137" i="174"/>
  <c r="AM137" i="174"/>
  <c r="AL137" i="174"/>
  <c r="AJ137" i="174"/>
  <c r="AI137" i="174"/>
  <c r="AH137" i="174"/>
  <c r="AG137" i="174"/>
  <c r="AF137" i="174"/>
  <c r="AE137" i="174"/>
  <c r="AK137" i="174" s="1"/>
  <c r="Y137" i="174"/>
  <c r="X137" i="174"/>
  <c r="W137" i="174"/>
  <c r="V137" i="174"/>
  <c r="U137" i="174"/>
  <c r="T137" i="174"/>
  <c r="R137" i="174"/>
  <c r="Q137" i="174"/>
  <c r="P137" i="174"/>
  <c r="O137" i="174"/>
  <c r="N137" i="174"/>
  <c r="M137" i="174"/>
  <c r="S137" i="174" s="1"/>
  <c r="AQ136" i="174"/>
  <c r="AP136" i="174"/>
  <c r="AO136" i="174"/>
  <c r="AN136" i="174"/>
  <c r="AM136" i="174"/>
  <c r="AL136" i="174"/>
  <c r="AK136" i="174"/>
  <c r="AJ136" i="174"/>
  <c r="AI136" i="174"/>
  <c r="AH136" i="174"/>
  <c r="AG136" i="174"/>
  <c r="AE136" i="174"/>
  <c r="AF136" i="174" s="1"/>
  <c r="Y136" i="174"/>
  <c r="X136" i="174"/>
  <c r="W136" i="174"/>
  <c r="V136" i="174"/>
  <c r="U136" i="174"/>
  <c r="T136" i="174"/>
  <c r="S136" i="174"/>
  <c r="R136" i="174"/>
  <c r="Q136" i="174"/>
  <c r="P136" i="174"/>
  <c r="O136" i="174"/>
  <c r="N136" i="174"/>
  <c r="M136" i="174"/>
  <c r="AQ135" i="174"/>
  <c r="AN135" i="174"/>
  <c r="AI135" i="174"/>
  <c r="AH135" i="174"/>
  <c r="AE135" i="174"/>
  <c r="AP135" i="174" s="1"/>
  <c r="Y135" i="174"/>
  <c r="X135" i="174"/>
  <c r="V135" i="174"/>
  <c r="S135" i="174"/>
  <c r="R135" i="174"/>
  <c r="Q135" i="174"/>
  <c r="M135" i="174"/>
  <c r="T135" i="174" s="1"/>
  <c r="AQ134" i="174"/>
  <c r="AP134" i="174"/>
  <c r="AO134" i="174"/>
  <c r="AN134" i="174"/>
  <c r="AM134" i="174"/>
  <c r="AL134" i="174"/>
  <c r="AK134" i="174"/>
  <c r="AJ134" i="174"/>
  <c r="AI134" i="174"/>
  <c r="AH134" i="174"/>
  <c r="AG134" i="174"/>
  <c r="AE134" i="174"/>
  <c r="AF134" i="174" s="1"/>
  <c r="Y134" i="174"/>
  <c r="X134" i="174"/>
  <c r="W134" i="174"/>
  <c r="V134" i="174"/>
  <c r="U134" i="174"/>
  <c r="T134" i="174"/>
  <c r="S134" i="174"/>
  <c r="R134" i="174"/>
  <c r="Q134" i="174"/>
  <c r="P134" i="174"/>
  <c r="O134" i="174"/>
  <c r="M134" i="174"/>
  <c r="N134" i="174" s="1"/>
  <c r="AQ133" i="174"/>
  <c r="AP133" i="174"/>
  <c r="AO133" i="174"/>
  <c r="AN133" i="174"/>
  <c r="AM133" i="174"/>
  <c r="AL133" i="174"/>
  <c r="AK133" i="174"/>
  <c r="AJ133" i="174"/>
  <c r="AI133" i="174"/>
  <c r="AH133" i="174"/>
  <c r="AG133" i="174"/>
  <c r="AF133" i="174"/>
  <c r="AE133" i="174"/>
  <c r="Y133" i="174"/>
  <c r="X133" i="174"/>
  <c r="W133" i="174"/>
  <c r="V133" i="174"/>
  <c r="U133" i="174"/>
  <c r="T133" i="174"/>
  <c r="S133" i="174"/>
  <c r="R133" i="174"/>
  <c r="Q133" i="174"/>
  <c r="P133" i="174"/>
  <c r="O133" i="174"/>
  <c r="N133" i="174"/>
  <c r="M133" i="174"/>
  <c r="A133" i="174"/>
  <c r="A134" i="174" s="1"/>
  <c r="A135" i="174" s="1"/>
  <c r="A136" i="174" s="1"/>
  <c r="A137" i="174" s="1"/>
  <c r="A138" i="174" s="1"/>
  <c r="A139" i="174" s="1"/>
  <c r="A140" i="174" s="1"/>
  <c r="A141" i="174" s="1"/>
  <c r="A142" i="174" s="1"/>
  <c r="A143" i="174" s="1"/>
  <c r="A144" i="174" s="1"/>
  <c r="A145" i="174" s="1"/>
  <c r="A146" i="174" s="1"/>
  <c r="A147" i="174" s="1"/>
  <c r="A148" i="174" s="1"/>
  <c r="AQ132" i="174"/>
  <c r="AO132" i="174"/>
  <c r="AM132" i="174"/>
  <c r="AK132" i="174"/>
  <c r="AH132" i="174"/>
  <c r="AG132" i="174"/>
  <c r="AF132" i="174"/>
  <c r="AE132" i="174"/>
  <c r="AL132" i="174" s="1"/>
  <c r="Y132" i="174"/>
  <c r="X132" i="174"/>
  <c r="W132" i="174"/>
  <c r="U132" i="174"/>
  <c r="R132" i="174"/>
  <c r="O132" i="174"/>
  <c r="N132" i="174"/>
  <c r="M132" i="174"/>
  <c r="T132" i="174" s="1"/>
  <c r="E131" i="174"/>
  <c r="AB129" i="174"/>
  <c r="C129" i="174"/>
  <c r="B129" i="174"/>
  <c r="AQ127" i="174"/>
  <c r="AE127" i="174"/>
  <c r="Y127" i="174"/>
  <c r="S127" i="174"/>
  <c r="M127" i="174"/>
  <c r="Q127" i="174" s="1"/>
  <c r="AQ126" i="174"/>
  <c r="AP126" i="174"/>
  <c r="AO126" i="174"/>
  <c r="AN126" i="174"/>
  <c r="AM126" i="174"/>
  <c r="AL126" i="174"/>
  <c r="AK126" i="174"/>
  <c r="AJ126" i="174"/>
  <c r="AI126" i="174"/>
  <c r="AH126" i="174"/>
  <c r="AG126" i="174"/>
  <c r="AF126" i="174"/>
  <c r="AE126" i="174"/>
  <c r="Y126" i="174"/>
  <c r="X126" i="174"/>
  <c r="W126" i="174"/>
  <c r="V126" i="174"/>
  <c r="U126" i="174"/>
  <c r="T126" i="174"/>
  <c r="S126" i="174"/>
  <c r="R126" i="174"/>
  <c r="Q126" i="174"/>
  <c r="P126" i="174"/>
  <c r="O126" i="174"/>
  <c r="M126" i="174"/>
  <c r="N126" i="174" s="1"/>
  <c r="Z126" i="174" s="1"/>
  <c r="AO125" i="174"/>
  <c r="AM125" i="174"/>
  <c r="AK125" i="174"/>
  <c r="AJ125" i="174"/>
  <c r="AI125" i="174"/>
  <c r="AH125" i="174"/>
  <c r="AG125" i="174"/>
  <c r="AE125" i="174"/>
  <c r="AN125" i="174" s="1"/>
  <c r="Y125" i="174"/>
  <c r="X125" i="174"/>
  <c r="W125" i="174"/>
  <c r="V125" i="174"/>
  <c r="U125" i="174"/>
  <c r="T125" i="174"/>
  <c r="S125" i="174"/>
  <c r="R125" i="174"/>
  <c r="Q125" i="174"/>
  <c r="P125" i="174"/>
  <c r="O125" i="174"/>
  <c r="M125" i="174"/>
  <c r="N125" i="174" s="1"/>
  <c r="AO124" i="174"/>
  <c r="AE124" i="174"/>
  <c r="AM124" i="174" s="1"/>
  <c r="Y124" i="174"/>
  <c r="U124" i="174"/>
  <c r="T124" i="174"/>
  <c r="R124" i="174"/>
  <c r="O124" i="174"/>
  <c r="M124" i="174"/>
  <c r="N124" i="174" s="1"/>
  <c r="AE123" i="174"/>
  <c r="M123" i="174"/>
  <c r="Y123" i="174" s="1"/>
  <c r="AQ122" i="174"/>
  <c r="AP122" i="174"/>
  <c r="AO122" i="174"/>
  <c r="AN122" i="174"/>
  <c r="AM122" i="174"/>
  <c r="AL122" i="174"/>
  <c r="AK122" i="174"/>
  <c r="AJ122" i="174"/>
  <c r="AI122" i="174"/>
  <c r="AH122" i="174"/>
  <c r="AG122" i="174"/>
  <c r="AF122" i="174"/>
  <c r="AE122" i="174"/>
  <c r="Y122" i="174"/>
  <c r="X122" i="174"/>
  <c r="W122" i="174"/>
  <c r="V122" i="174"/>
  <c r="U122" i="174"/>
  <c r="T122" i="174"/>
  <c r="R122" i="174"/>
  <c r="Q122" i="174"/>
  <c r="P122" i="174"/>
  <c r="O122" i="174"/>
  <c r="N122" i="174"/>
  <c r="M122" i="174"/>
  <c r="S122" i="174" s="1"/>
  <c r="AQ121" i="174"/>
  <c r="AP121" i="174"/>
  <c r="AO121" i="174"/>
  <c r="AN121" i="174"/>
  <c r="AM121" i="174"/>
  <c r="AL121" i="174"/>
  <c r="AJ121" i="174"/>
  <c r="AI121" i="174"/>
  <c r="AH121" i="174"/>
  <c r="AG121" i="174"/>
  <c r="AF121" i="174"/>
  <c r="AE121" i="174"/>
  <c r="AK121" i="174" s="1"/>
  <c r="Y121" i="174"/>
  <c r="X121" i="174"/>
  <c r="W121" i="174"/>
  <c r="V121" i="174"/>
  <c r="U121" i="174"/>
  <c r="T121" i="174"/>
  <c r="R121" i="174"/>
  <c r="Q121" i="174"/>
  <c r="P121" i="174"/>
  <c r="O121" i="174"/>
  <c r="N121" i="174"/>
  <c r="M121" i="174"/>
  <c r="S121" i="174" s="1"/>
  <c r="AQ120" i="174"/>
  <c r="AP120" i="174"/>
  <c r="AO120" i="174"/>
  <c r="AN120" i="174"/>
  <c r="AM120" i="174"/>
  <c r="AL120" i="174"/>
  <c r="AK120" i="174"/>
  <c r="AJ120" i="174"/>
  <c r="AH120" i="174"/>
  <c r="AG120" i="174"/>
  <c r="AF120" i="174"/>
  <c r="AE120" i="174"/>
  <c r="AI120" i="174" s="1"/>
  <c r="Y120" i="174"/>
  <c r="X120" i="174"/>
  <c r="W120" i="174"/>
  <c r="V120" i="174"/>
  <c r="U120" i="174"/>
  <c r="T120" i="174"/>
  <c r="S120" i="174"/>
  <c r="R120" i="174"/>
  <c r="P120" i="174"/>
  <c r="O120" i="174"/>
  <c r="N120" i="174"/>
  <c r="M120" i="174"/>
  <c r="Q120" i="174" s="1"/>
  <c r="A120" i="174"/>
  <c r="A121" i="174" s="1"/>
  <c r="A122" i="174" s="1"/>
  <c r="A123" i="174" s="1"/>
  <c r="A124" i="174" s="1"/>
  <c r="A125" i="174" s="1"/>
  <c r="A126" i="174" s="1"/>
  <c r="A127" i="174" s="1"/>
  <c r="AQ119" i="174"/>
  <c r="AP119" i="174"/>
  <c r="AO119" i="174"/>
  <c r="AN119" i="174"/>
  <c r="AM119" i="174"/>
  <c r="AL119" i="174"/>
  <c r="AK119" i="174"/>
  <c r="AJ119" i="174"/>
  <c r="AI119" i="174"/>
  <c r="AH119" i="174"/>
  <c r="AG119" i="174"/>
  <c r="AF119" i="174"/>
  <c r="AE119" i="174"/>
  <c r="Y119" i="174"/>
  <c r="X119" i="174"/>
  <c r="W119" i="174"/>
  <c r="V119" i="174"/>
  <c r="U119" i="174"/>
  <c r="T119" i="174"/>
  <c r="S119" i="174"/>
  <c r="R119" i="174"/>
  <c r="Q119" i="174"/>
  <c r="P119" i="174"/>
  <c r="O119" i="174"/>
  <c r="N119" i="174"/>
  <c r="M119" i="174"/>
  <c r="AP118" i="174"/>
  <c r="AM118" i="174"/>
  <c r="AI118" i="174"/>
  <c r="AH118" i="174"/>
  <c r="AE118" i="174"/>
  <c r="AL118" i="174" s="1"/>
  <c r="X118" i="174"/>
  <c r="U118" i="174"/>
  <c r="Q118" i="174"/>
  <c r="N118" i="174"/>
  <c r="M118" i="174"/>
  <c r="P118" i="174" s="1"/>
  <c r="AQ117" i="174"/>
  <c r="AP117" i="174"/>
  <c r="AO117" i="174"/>
  <c r="AM117" i="174"/>
  <c r="AL117" i="174"/>
  <c r="AK117" i="174"/>
  <c r="AJ117" i="174"/>
  <c r="AI117" i="174"/>
  <c r="AH117" i="174"/>
  <c r="AG117" i="174"/>
  <c r="AE117" i="174"/>
  <c r="AN117" i="174" s="1"/>
  <c r="M117" i="174"/>
  <c r="AQ116" i="174"/>
  <c r="AP116" i="174"/>
  <c r="AO116" i="174"/>
  <c r="AN116" i="174"/>
  <c r="AM116" i="174"/>
  <c r="AL116" i="174"/>
  <c r="AK116" i="174"/>
  <c r="AJ116" i="174"/>
  <c r="AI116" i="174"/>
  <c r="AH116" i="174"/>
  <c r="AG116" i="174"/>
  <c r="AF116" i="174"/>
  <c r="AE116" i="174"/>
  <c r="Y116" i="174"/>
  <c r="X116" i="174"/>
  <c r="W116" i="174"/>
  <c r="V116" i="174"/>
  <c r="U116" i="174"/>
  <c r="T116" i="174"/>
  <c r="S116" i="174"/>
  <c r="R116" i="174"/>
  <c r="Q116" i="174"/>
  <c r="P116" i="174"/>
  <c r="O116" i="174"/>
  <c r="N116" i="174"/>
  <c r="M116" i="174"/>
  <c r="AP115" i="174"/>
  <c r="AO115" i="174"/>
  <c r="AN115" i="174"/>
  <c r="AM115" i="174"/>
  <c r="AL115" i="174"/>
  <c r="AK115" i="174"/>
  <c r="AJ115" i="174"/>
  <c r="AI115" i="174"/>
  <c r="AH115" i="174"/>
  <c r="AG115" i="174"/>
  <c r="AF115" i="174"/>
  <c r="AE115" i="174"/>
  <c r="AQ115" i="174" s="1"/>
  <c r="X115" i="174"/>
  <c r="W115" i="174"/>
  <c r="V115" i="174"/>
  <c r="U115" i="174"/>
  <c r="T115" i="174"/>
  <c r="S115" i="174"/>
  <c r="R115" i="174"/>
  <c r="Q115" i="174"/>
  <c r="P115" i="174"/>
  <c r="O115" i="174"/>
  <c r="N115" i="174"/>
  <c r="M115" i="174"/>
  <c r="Y115" i="174" s="1"/>
  <c r="AQ114" i="174"/>
  <c r="AN114" i="174"/>
  <c r="AK114" i="174"/>
  <c r="AJ114" i="174"/>
  <c r="AE114" i="174"/>
  <c r="AF114" i="174" s="1"/>
  <c r="Y114" i="174"/>
  <c r="X114" i="174"/>
  <c r="W114" i="174"/>
  <c r="V114" i="174"/>
  <c r="S114" i="174"/>
  <c r="P114" i="174"/>
  <c r="O114" i="174"/>
  <c r="M114" i="174"/>
  <c r="N114" i="174" s="1"/>
  <c r="AQ113" i="174"/>
  <c r="AP113" i="174"/>
  <c r="AO113" i="174"/>
  <c r="AN113" i="174"/>
  <c r="AM113" i="174"/>
  <c r="AL113" i="174"/>
  <c r="AJ113" i="174"/>
  <c r="AI113" i="174"/>
  <c r="AH113" i="174"/>
  <c r="AG113" i="174"/>
  <c r="AF113" i="174"/>
  <c r="AE113" i="174"/>
  <c r="AK113" i="174" s="1"/>
  <c r="Y113" i="174"/>
  <c r="X113" i="174"/>
  <c r="W113" i="174"/>
  <c r="V113" i="174"/>
  <c r="U113" i="174"/>
  <c r="T113" i="174"/>
  <c r="S113" i="174"/>
  <c r="R113" i="174"/>
  <c r="Q113" i="174"/>
  <c r="P113" i="174"/>
  <c r="O113" i="174"/>
  <c r="N113" i="174"/>
  <c r="M113" i="174"/>
  <c r="AQ112" i="174"/>
  <c r="AP112" i="174"/>
  <c r="AO112" i="174"/>
  <c r="AN112" i="174"/>
  <c r="AM112" i="174"/>
  <c r="AL112" i="174"/>
  <c r="AK112" i="174"/>
  <c r="AJ112" i="174"/>
  <c r="AI112" i="174"/>
  <c r="AG112" i="174"/>
  <c r="AF112" i="174"/>
  <c r="AE112" i="174"/>
  <c r="AH112" i="174" s="1"/>
  <c r="Y112" i="174"/>
  <c r="X112" i="174"/>
  <c r="W112" i="174"/>
  <c r="V112" i="174"/>
  <c r="U112" i="174"/>
  <c r="T112" i="174"/>
  <c r="S112" i="174"/>
  <c r="R112" i="174"/>
  <c r="Q112" i="174"/>
  <c r="O112" i="174"/>
  <c r="N112" i="174"/>
  <c r="M112" i="174"/>
  <c r="P112" i="174" s="1"/>
  <c r="A112" i="174"/>
  <c r="A113" i="174" s="1"/>
  <c r="A114" i="174" s="1"/>
  <c r="A115" i="174" s="1"/>
  <c r="A116" i="174" s="1"/>
  <c r="A117" i="174" s="1"/>
  <c r="A118" i="174" s="1"/>
  <c r="A119" i="174" s="1"/>
  <c r="AF111" i="174"/>
  <c r="AE111" i="174"/>
  <c r="Y111" i="174"/>
  <c r="W111" i="174"/>
  <c r="M111" i="174"/>
  <c r="U111" i="174" s="1"/>
  <c r="E110" i="174"/>
  <c r="AB108" i="174"/>
  <c r="C108" i="174"/>
  <c r="B108" i="174"/>
  <c r="AL106" i="174"/>
  <c r="AE106" i="174"/>
  <c r="AQ106" i="174" s="1"/>
  <c r="X106" i="174"/>
  <c r="M106" i="174"/>
  <c r="Y106" i="174" s="1"/>
  <c r="E106" i="174"/>
  <c r="AQ105" i="174"/>
  <c r="AP105" i="174"/>
  <c r="AO105" i="174"/>
  <c r="AN105" i="174"/>
  <c r="AM105" i="174"/>
  <c r="AL105" i="174"/>
  <c r="AJ105" i="174"/>
  <c r="AI105" i="174"/>
  <c r="AH105" i="174"/>
  <c r="AG105" i="174"/>
  <c r="AE105" i="174"/>
  <c r="AF105" i="174" s="1"/>
  <c r="Y105" i="174"/>
  <c r="X105" i="174"/>
  <c r="W105" i="174"/>
  <c r="V105" i="174"/>
  <c r="U105" i="174"/>
  <c r="T105" i="174"/>
  <c r="S105" i="174"/>
  <c r="R105" i="174"/>
  <c r="Q105" i="174"/>
  <c r="P105" i="174"/>
  <c r="O105" i="174"/>
  <c r="N105" i="174"/>
  <c r="M105" i="174"/>
  <c r="E105" i="174"/>
  <c r="AL104" i="174"/>
  <c r="AK104" i="174"/>
  <c r="AJ104" i="174"/>
  <c r="AE104" i="174"/>
  <c r="Y104" i="174"/>
  <c r="X104" i="174"/>
  <c r="W104" i="174"/>
  <c r="V104" i="174"/>
  <c r="U104" i="174"/>
  <c r="T104" i="174"/>
  <c r="S104" i="174"/>
  <c r="R104" i="174"/>
  <c r="Q104" i="174"/>
  <c r="P104" i="174"/>
  <c r="O104" i="174"/>
  <c r="M104" i="174"/>
  <c r="N104" i="174" s="1"/>
  <c r="E104" i="174"/>
  <c r="AE103" i="174"/>
  <c r="X103" i="174"/>
  <c r="Q103" i="174"/>
  <c r="M103" i="174"/>
  <c r="Y103" i="174" s="1"/>
  <c r="E103" i="174"/>
  <c r="AP102" i="174"/>
  <c r="AI102" i="174"/>
  <c r="AE102" i="174"/>
  <c r="AO102" i="174" s="1"/>
  <c r="Y102" i="174"/>
  <c r="X102" i="174"/>
  <c r="W102" i="174"/>
  <c r="V102" i="174"/>
  <c r="U102" i="174"/>
  <c r="T102" i="174"/>
  <c r="S102" i="174"/>
  <c r="R102" i="174"/>
  <c r="Q102" i="174"/>
  <c r="P102" i="174"/>
  <c r="O102" i="174"/>
  <c r="N102" i="174"/>
  <c r="M102" i="174"/>
  <c r="E102" i="174"/>
  <c r="AQ101" i="174"/>
  <c r="AP101" i="174"/>
  <c r="AO101" i="174"/>
  <c r="AN101" i="174"/>
  <c r="AM101" i="174"/>
  <c r="AL101" i="174"/>
  <c r="AJ101" i="174"/>
  <c r="AI101" i="174"/>
  <c r="AH101" i="174"/>
  <c r="AG101" i="174"/>
  <c r="AF101" i="174"/>
  <c r="AE101" i="174"/>
  <c r="AK101" i="174" s="1"/>
  <c r="Y101" i="174"/>
  <c r="X101" i="174"/>
  <c r="W101" i="174"/>
  <c r="V101" i="174"/>
  <c r="U101" i="174"/>
  <c r="T101" i="174"/>
  <c r="S101" i="174"/>
  <c r="R101" i="174"/>
  <c r="Q101" i="174"/>
  <c r="P101" i="174"/>
  <c r="O101" i="174"/>
  <c r="N101" i="174"/>
  <c r="M101" i="174"/>
  <c r="E101" i="174"/>
  <c r="AQ100" i="174"/>
  <c r="AP100" i="174"/>
  <c r="AO100" i="174"/>
  <c r="AN100" i="174"/>
  <c r="AM100" i="174"/>
  <c r="AL100" i="174"/>
  <c r="AK100" i="174"/>
  <c r="AJ100" i="174"/>
  <c r="AI100" i="174"/>
  <c r="AH100" i="174"/>
  <c r="AG100" i="174"/>
  <c r="AF100" i="174"/>
  <c r="AE100" i="174"/>
  <c r="Y100" i="174"/>
  <c r="X100" i="174"/>
  <c r="W100" i="174"/>
  <c r="V100" i="174"/>
  <c r="U100" i="174"/>
  <c r="T100" i="174"/>
  <c r="R100" i="174"/>
  <c r="Q100" i="174"/>
  <c r="P100" i="174"/>
  <c r="O100" i="174"/>
  <c r="N100" i="174"/>
  <c r="M100" i="174"/>
  <c r="S100" i="174" s="1"/>
  <c r="E100" i="174"/>
  <c r="AQ99" i="174"/>
  <c r="AP99" i="174"/>
  <c r="AO99" i="174"/>
  <c r="AN99" i="174"/>
  <c r="AM99" i="174"/>
  <c r="AL99" i="174"/>
  <c r="AK99" i="174"/>
  <c r="AJ99" i="174"/>
  <c r="AH99" i="174"/>
  <c r="AG99" i="174"/>
  <c r="AF99" i="174"/>
  <c r="AE99" i="174"/>
  <c r="AI99" i="174" s="1"/>
  <c r="Y99" i="174"/>
  <c r="X99" i="174"/>
  <c r="W99" i="174"/>
  <c r="V99" i="174"/>
  <c r="U99" i="174"/>
  <c r="T99" i="174"/>
  <c r="S99" i="174"/>
  <c r="R99" i="174"/>
  <c r="P99" i="174"/>
  <c r="O99" i="174"/>
  <c r="N99" i="174"/>
  <c r="M99" i="174"/>
  <c r="Q99" i="174" s="1"/>
  <c r="E99" i="174"/>
  <c r="AE98" i="174"/>
  <c r="W98" i="174"/>
  <c r="U98" i="174"/>
  <c r="T98" i="174"/>
  <c r="O98" i="174"/>
  <c r="M98" i="174"/>
  <c r="V98" i="174" s="1"/>
  <c r="AN97" i="174"/>
  <c r="AG97" i="174"/>
  <c r="AE97" i="174"/>
  <c r="AM97" i="174" s="1"/>
  <c r="Y97" i="174"/>
  <c r="V97" i="174"/>
  <c r="M97" i="174"/>
  <c r="U97" i="174" s="1"/>
  <c r="E97" i="174"/>
  <c r="AE96" i="174"/>
  <c r="AO96" i="174" s="1"/>
  <c r="M96" i="174"/>
  <c r="X96" i="174" s="1"/>
  <c r="E96" i="174"/>
  <c r="AQ95" i="174"/>
  <c r="AP95" i="174"/>
  <c r="AO95" i="174"/>
  <c r="AN95" i="174"/>
  <c r="AM95" i="174"/>
  <c r="AL95" i="174"/>
  <c r="AK95" i="174"/>
  <c r="AJ95" i="174"/>
  <c r="AI95" i="174"/>
  <c r="AH95" i="174"/>
  <c r="AG95" i="174"/>
  <c r="AF95" i="174"/>
  <c r="AE95" i="174"/>
  <c r="Y95" i="174"/>
  <c r="X95" i="174"/>
  <c r="W95" i="174"/>
  <c r="V95" i="174"/>
  <c r="U95" i="174"/>
  <c r="T95" i="174"/>
  <c r="S95" i="174"/>
  <c r="R95" i="174"/>
  <c r="Q95" i="174"/>
  <c r="P95" i="174"/>
  <c r="O95" i="174"/>
  <c r="N95" i="174"/>
  <c r="M95" i="174"/>
  <c r="J95" i="174"/>
  <c r="E95" i="174"/>
  <c r="AE94" i="174"/>
  <c r="Y94" i="174"/>
  <c r="X94" i="174"/>
  <c r="W94" i="174"/>
  <c r="V94" i="174"/>
  <c r="U94" i="174"/>
  <c r="S94" i="174"/>
  <c r="R94" i="174"/>
  <c r="Q94" i="174"/>
  <c r="P94" i="174"/>
  <c r="O94" i="174"/>
  <c r="N94" i="174"/>
  <c r="M94" i="174"/>
  <c r="T94" i="174" s="1"/>
  <c r="E94" i="174"/>
  <c r="AH93" i="174"/>
  <c r="AG93" i="174"/>
  <c r="AE93" i="174"/>
  <c r="AO93" i="174" s="1"/>
  <c r="X93" i="174"/>
  <c r="W93" i="174"/>
  <c r="V93" i="174"/>
  <c r="T93" i="174"/>
  <c r="P93" i="174"/>
  <c r="M93" i="174"/>
  <c r="J93" i="174"/>
  <c r="E93" i="174"/>
  <c r="AQ92" i="174"/>
  <c r="AP92" i="174"/>
  <c r="AO92" i="174"/>
  <c r="AN92" i="174"/>
  <c r="AM92" i="174"/>
  <c r="AL92" i="174"/>
  <c r="AK92" i="174"/>
  <c r="AJ92" i="174"/>
  <c r="AI92" i="174"/>
  <c r="AH92" i="174"/>
  <c r="AG92" i="174"/>
  <c r="AF92" i="174"/>
  <c r="AE92" i="174"/>
  <c r="Y92" i="174"/>
  <c r="X92" i="174"/>
  <c r="W92" i="174"/>
  <c r="V92" i="174"/>
  <c r="U92" i="174"/>
  <c r="T92" i="174"/>
  <c r="S92" i="174"/>
  <c r="R92" i="174"/>
  <c r="Q92" i="174"/>
  <c r="P92" i="174"/>
  <c r="O92" i="174"/>
  <c r="N92" i="174"/>
  <c r="M92" i="174"/>
  <c r="E92" i="174"/>
  <c r="AQ91" i="174"/>
  <c r="AP91" i="174"/>
  <c r="AO91" i="174"/>
  <c r="AN91" i="174"/>
  <c r="AM91" i="174"/>
  <c r="AL91" i="174"/>
  <c r="AK91" i="174"/>
  <c r="AJ91" i="174"/>
  <c r="AI91" i="174"/>
  <c r="AG91" i="174"/>
  <c r="AF91" i="174"/>
  <c r="AE91" i="174"/>
  <c r="AH91" i="174" s="1"/>
  <c r="AR91" i="174" s="1"/>
  <c r="Y91" i="174"/>
  <c r="X91" i="174"/>
  <c r="W91" i="174"/>
  <c r="V91" i="174"/>
  <c r="U91" i="174"/>
  <c r="T91" i="174"/>
  <c r="S91" i="174"/>
  <c r="Z91" i="174" s="1"/>
  <c r="R91" i="174"/>
  <c r="Q91" i="174"/>
  <c r="O91" i="174"/>
  <c r="N91" i="174"/>
  <c r="M91" i="174"/>
  <c r="P91" i="174" s="1"/>
  <c r="E91" i="174"/>
  <c r="AJ90" i="174"/>
  <c r="AE90" i="174"/>
  <c r="AI90" i="174" s="1"/>
  <c r="Y90" i="174"/>
  <c r="S90" i="174"/>
  <c r="R90" i="174"/>
  <c r="M90" i="174"/>
  <c r="X90" i="174" s="1"/>
  <c r="E90" i="174"/>
  <c r="E89" i="174"/>
  <c r="J87" i="174"/>
  <c r="C87" i="174"/>
  <c r="B87" i="174"/>
  <c r="AL85" i="174"/>
  <c r="AE85" i="174"/>
  <c r="AG85" i="174" s="1"/>
  <c r="Y85" i="174"/>
  <c r="X85" i="174"/>
  <c r="W85" i="174"/>
  <c r="R85" i="174"/>
  <c r="Q85" i="174"/>
  <c r="P85" i="174"/>
  <c r="O85" i="174"/>
  <c r="N85" i="174"/>
  <c r="M85" i="174"/>
  <c r="E85" i="174"/>
  <c r="AQ84" i="174"/>
  <c r="AP84" i="174"/>
  <c r="AO84" i="174"/>
  <c r="AM84" i="174"/>
  <c r="AL84" i="174"/>
  <c r="AK84" i="174"/>
  <c r="AJ84" i="174"/>
  <c r="AI84" i="174"/>
  <c r="AH84" i="174"/>
  <c r="AG84" i="174"/>
  <c r="AF84" i="174"/>
  <c r="AE84" i="174"/>
  <c r="AN84" i="174" s="1"/>
  <c r="Y84" i="174"/>
  <c r="X84" i="174"/>
  <c r="W84" i="174"/>
  <c r="U84" i="174"/>
  <c r="T84" i="174"/>
  <c r="S84" i="174"/>
  <c r="R84" i="174"/>
  <c r="Q84" i="174"/>
  <c r="O84" i="174"/>
  <c r="M84" i="174"/>
  <c r="E84" i="174"/>
  <c r="AQ83" i="174"/>
  <c r="AP83" i="174"/>
  <c r="AJ83" i="174"/>
  <c r="AE83" i="174"/>
  <c r="AI83" i="174" s="1"/>
  <c r="Y83" i="174"/>
  <c r="X83" i="174"/>
  <c r="W83" i="174"/>
  <c r="V83" i="174"/>
  <c r="U83" i="174"/>
  <c r="S83" i="174"/>
  <c r="R83" i="174"/>
  <c r="P83" i="174"/>
  <c r="O83" i="174"/>
  <c r="N83" i="174"/>
  <c r="M83" i="174"/>
  <c r="J83" i="174"/>
  <c r="E83" i="174"/>
  <c r="AJ82" i="174"/>
  <c r="AE82" i="174"/>
  <c r="AQ82" i="174" s="1"/>
  <c r="M82" i="174"/>
  <c r="E82" i="174"/>
  <c r="AQ81" i="174"/>
  <c r="AJ81" i="174"/>
  <c r="AH81" i="174"/>
  <c r="AE81" i="174"/>
  <c r="AI81" i="174" s="1"/>
  <c r="W81" i="174"/>
  <c r="Q81" i="174"/>
  <c r="M81" i="174"/>
  <c r="V81" i="174" s="1"/>
  <c r="E81" i="174"/>
  <c r="AQ80" i="174"/>
  <c r="AP80" i="174"/>
  <c r="AO80" i="174"/>
  <c r="AN80" i="174"/>
  <c r="AM80" i="174"/>
  <c r="AL80" i="174"/>
  <c r="AJ80" i="174"/>
  <c r="AI80" i="174"/>
  <c r="AH80" i="174"/>
  <c r="AG80" i="174"/>
  <c r="AF80" i="174"/>
  <c r="AE80" i="174"/>
  <c r="AK80" i="174" s="1"/>
  <c r="Y80" i="174"/>
  <c r="X80" i="174"/>
  <c r="W80" i="174"/>
  <c r="V80" i="174"/>
  <c r="U80" i="174"/>
  <c r="T80" i="174"/>
  <c r="S80" i="174"/>
  <c r="R80" i="174"/>
  <c r="Q80" i="174"/>
  <c r="P80" i="174"/>
  <c r="O80" i="174"/>
  <c r="N80" i="174"/>
  <c r="M80" i="174"/>
  <c r="E80" i="174"/>
  <c r="AQ79" i="174"/>
  <c r="AP79" i="174"/>
  <c r="AO79" i="174"/>
  <c r="AN79" i="174"/>
  <c r="AM79" i="174"/>
  <c r="AL79" i="174"/>
  <c r="AK79" i="174"/>
  <c r="AJ79" i="174"/>
  <c r="AI79" i="174"/>
  <c r="AH79" i="174"/>
  <c r="AG79" i="174"/>
  <c r="AF79" i="174"/>
  <c r="AE79" i="174"/>
  <c r="Y79" i="174"/>
  <c r="X79" i="174"/>
  <c r="W79" i="174"/>
  <c r="V79" i="174"/>
  <c r="U79" i="174"/>
  <c r="T79" i="174"/>
  <c r="S79" i="174"/>
  <c r="R79" i="174"/>
  <c r="Q79" i="174"/>
  <c r="P79" i="174"/>
  <c r="O79" i="174"/>
  <c r="N79" i="174"/>
  <c r="M79" i="174"/>
  <c r="E79" i="174"/>
  <c r="AQ78" i="174"/>
  <c r="AP78" i="174"/>
  <c r="AO78" i="174"/>
  <c r="AN78" i="174"/>
  <c r="AM78" i="174"/>
  <c r="AL78" i="174"/>
  <c r="AK78" i="174"/>
  <c r="AJ78" i="174"/>
  <c r="AI78" i="174"/>
  <c r="AH78" i="174"/>
  <c r="AG78" i="174"/>
  <c r="AF78" i="174"/>
  <c r="AE78" i="174"/>
  <c r="Y78" i="174"/>
  <c r="X78" i="174"/>
  <c r="W78" i="174"/>
  <c r="V78" i="174"/>
  <c r="U78" i="174"/>
  <c r="T78" i="174"/>
  <c r="S78" i="174"/>
  <c r="R78" i="174"/>
  <c r="Q78" i="174"/>
  <c r="P78" i="174"/>
  <c r="O78" i="174"/>
  <c r="N78" i="174"/>
  <c r="M78" i="174"/>
  <c r="E78" i="174"/>
  <c r="AQ77" i="174"/>
  <c r="AP77" i="174"/>
  <c r="AO77" i="174"/>
  <c r="AN77" i="174"/>
  <c r="AM77" i="174"/>
  <c r="AL77" i="174"/>
  <c r="AJ77" i="174"/>
  <c r="AI77" i="174"/>
  <c r="AH77" i="174"/>
  <c r="AF77" i="174"/>
  <c r="AE77" i="174"/>
  <c r="AK77" i="174" s="1"/>
  <c r="Y77" i="174"/>
  <c r="X77" i="174"/>
  <c r="W77" i="174"/>
  <c r="V77" i="174"/>
  <c r="U77" i="174"/>
  <c r="T77" i="174"/>
  <c r="R77" i="174"/>
  <c r="Q77" i="174"/>
  <c r="P77" i="174"/>
  <c r="O77" i="174"/>
  <c r="N77" i="174"/>
  <c r="M77" i="174"/>
  <c r="S77" i="174" s="1"/>
  <c r="J77" i="174"/>
  <c r="E77" i="174"/>
  <c r="AE76" i="174"/>
  <c r="AL76" i="174" s="1"/>
  <c r="T76" i="174"/>
  <c r="M76" i="174"/>
  <c r="Y76" i="174" s="1"/>
  <c r="E76" i="174"/>
  <c r="AP75" i="174"/>
  <c r="AE75" i="174"/>
  <c r="AO75" i="174" s="1"/>
  <c r="P75" i="174"/>
  <c r="N75" i="174"/>
  <c r="M75" i="174"/>
  <c r="W75" i="174" s="1"/>
  <c r="E75" i="174"/>
  <c r="AQ74" i="174"/>
  <c r="AP74" i="174"/>
  <c r="AO74" i="174"/>
  <c r="AN74" i="174"/>
  <c r="AM74" i="174"/>
  <c r="AL74" i="174"/>
  <c r="AJ74" i="174"/>
  <c r="AI74" i="174"/>
  <c r="AH74" i="174"/>
  <c r="AG74" i="174"/>
  <c r="AF74" i="174"/>
  <c r="AE74" i="174"/>
  <c r="AK74" i="174" s="1"/>
  <c r="Y74" i="174"/>
  <c r="X74" i="174"/>
  <c r="W74" i="174"/>
  <c r="V74" i="174"/>
  <c r="U74" i="174"/>
  <c r="T74" i="174"/>
  <c r="R74" i="174"/>
  <c r="Q74" i="174"/>
  <c r="P74" i="174"/>
  <c r="O74" i="174"/>
  <c r="N74" i="174"/>
  <c r="M74" i="174"/>
  <c r="S74" i="174" s="1"/>
  <c r="J74" i="174"/>
  <c r="E74" i="174"/>
  <c r="AQ73" i="174"/>
  <c r="AP73" i="174"/>
  <c r="AO73" i="174"/>
  <c r="AN73" i="174"/>
  <c r="AL73" i="174"/>
  <c r="AK73" i="174"/>
  <c r="AJ73" i="174"/>
  <c r="AI73" i="174"/>
  <c r="AH73" i="174"/>
  <c r="AG73" i="174"/>
  <c r="AF73" i="174"/>
  <c r="AE73" i="174"/>
  <c r="AM73" i="174" s="1"/>
  <c r="AB73" i="174"/>
  <c r="Y73" i="174"/>
  <c r="X73" i="174"/>
  <c r="W73" i="174"/>
  <c r="V73" i="174"/>
  <c r="T73" i="174"/>
  <c r="S73" i="174"/>
  <c r="R73" i="174"/>
  <c r="Q73" i="174"/>
  <c r="P73" i="174"/>
  <c r="O73" i="174"/>
  <c r="N73" i="174"/>
  <c r="M73" i="174"/>
  <c r="U73" i="174" s="1"/>
  <c r="J73" i="174"/>
  <c r="E73" i="174"/>
  <c r="AE72" i="174"/>
  <c r="Z72" i="174"/>
  <c r="M72" i="174"/>
  <c r="J72" i="174"/>
  <c r="E72" i="174"/>
  <c r="AQ71" i="174"/>
  <c r="AP71" i="174"/>
  <c r="AO71" i="174"/>
  <c r="AN71" i="174"/>
  <c r="AM71" i="174"/>
  <c r="AL71" i="174"/>
  <c r="AK71" i="174"/>
  <c r="AJ71" i="174"/>
  <c r="AI71" i="174"/>
  <c r="AH71" i="174"/>
  <c r="AG71" i="174"/>
  <c r="AF71" i="174"/>
  <c r="AE71" i="174"/>
  <c r="AB71" i="174"/>
  <c r="Y71" i="174"/>
  <c r="X71" i="174"/>
  <c r="W71" i="174"/>
  <c r="V71" i="174"/>
  <c r="U71" i="174"/>
  <c r="T71" i="174"/>
  <c r="S71" i="174"/>
  <c r="R71" i="174"/>
  <c r="Q71" i="174"/>
  <c r="P71" i="174"/>
  <c r="O71" i="174"/>
  <c r="N71" i="174"/>
  <c r="M71" i="174"/>
  <c r="E71" i="174"/>
  <c r="AQ70" i="174"/>
  <c r="AP70" i="174"/>
  <c r="AO70" i="174"/>
  <c r="AN70" i="174"/>
  <c r="AM70" i="174"/>
  <c r="AL70" i="174"/>
  <c r="AK70" i="174"/>
  <c r="AJ70" i="174"/>
  <c r="AI70" i="174"/>
  <c r="AG70" i="174"/>
  <c r="AF70" i="174"/>
  <c r="AE70" i="174"/>
  <c r="AH70" i="174" s="1"/>
  <c r="Y70" i="174"/>
  <c r="X70" i="174"/>
  <c r="W70" i="174"/>
  <c r="V70" i="174"/>
  <c r="U70" i="174"/>
  <c r="T70" i="174"/>
  <c r="S70" i="174"/>
  <c r="R70" i="174"/>
  <c r="Q70" i="174"/>
  <c r="O70" i="174"/>
  <c r="N70" i="174"/>
  <c r="M70" i="174"/>
  <c r="P70" i="174" s="1"/>
  <c r="E70" i="174"/>
  <c r="B70" i="174"/>
  <c r="B71" i="174" s="1"/>
  <c r="B72" i="174" s="1"/>
  <c r="B73" i="174" s="1"/>
  <c r="B74" i="174" s="1"/>
  <c r="B75" i="174" s="1"/>
  <c r="A70" i="174"/>
  <c r="A71" i="174" s="1"/>
  <c r="A72" i="174" s="1"/>
  <c r="A73" i="174" s="1"/>
  <c r="A74" i="174" s="1"/>
  <c r="A75" i="174" s="1"/>
  <c r="A76" i="174" s="1"/>
  <c r="A77" i="174" s="1"/>
  <c r="A78" i="174" s="1"/>
  <c r="A79" i="174" s="1"/>
  <c r="A80" i="174" s="1"/>
  <c r="A81" i="174" s="1"/>
  <c r="A82" i="174" s="1"/>
  <c r="A83" i="174" s="1"/>
  <c r="A84" i="174" s="1"/>
  <c r="A85" i="174" s="1"/>
  <c r="AH69" i="174"/>
  <c r="AG69" i="174"/>
  <c r="AE69" i="174"/>
  <c r="AB69" i="174" s="1"/>
  <c r="AM69" i="174" s="1"/>
  <c r="T69" i="174"/>
  <c r="S69" i="174"/>
  <c r="R69" i="174"/>
  <c r="Q69" i="174"/>
  <c r="P69" i="174"/>
  <c r="O69" i="174"/>
  <c r="N69" i="174"/>
  <c r="M69" i="174"/>
  <c r="J69" i="174" s="1"/>
  <c r="E69" i="174"/>
  <c r="E68" i="174"/>
  <c r="AB66" i="174"/>
  <c r="C66" i="174"/>
  <c r="AQ64" i="174"/>
  <c r="AP64" i="174"/>
  <c r="AO64" i="174"/>
  <c r="AN64" i="174"/>
  <c r="AM64" i="174"/>
  <c r="AL64" i="174"/>
  <c r="AK64" i="174"/>
  <c r="AJ64" i="174"/>
  <c r="AI64" i="174"/>
  <c r="AH64" i="174"/>
  <c r="AG64" i="174"/>
  <c r="AF64" i="174"/>
  <c r="AE64" i="174"/>
  <c r="T64" i="174"/>
  <c r="M64" i="174"/>
  <c r="Y64" i="174" s="1"/>
  <c r="E64" i="174"/>
  <c r="E148" i="174" s="1"/>
  <c r="AQ63" i="174"/>
  <c r="AP63" i="174"/>
  <c r="AO63" i="174"/>
  <c r="AN63" i="174"/>
  <c r="AM63" i="174"/>
  <c r="AL63" i="174"/>
  <c r="AK63" i="174"/>
  <c r="AJ63" i="174"/>
  <c r="AI63" i="174"/>
  <c r="AH63" i="174"/>
  <c r="AG63" i="174"/>
  <c r="AF63" i="174"/>
  <c r="AE63" i="174"/>
  <c r="V63" i="174"/>
  <c r="S63" i="174"/>
  <c r="R63" i="174"/>
  <c r="P63" i="174"/>
  <c r="O63" i="174"/>
  <c r="M63" i="174"/>
  <c r="Y63" i="174" s="1"/>
  <c r="E63" i="174"/>
  <c r="E147" i="174" s="1"/>
  <c r="AQ62" i="174"/>
  <c r="AP62" i="174"/>
  <c r="AO62" i="174"/>
  <c r="AN62" i="174"/>
  <c r="AM62" i="174"/>
  <c r="AL62" i="174"/>
  <c r="AK62" i="174"/>
  <c r="AJ62" i="174"/>
  <c r="AI62" i="174"/>
  <c r="AH62" i="174"/>
  <c r="AG62" i="174"/>
  <c r="AF62" i="174"/>
  <c r="AE62" i="174"/>
  <c r="M62" i="174"/>
  <c r="Y62" i="174" s="1"/>
  <c r="E62" i="174"/>
  <c r="E146" i="174" s="1"/>
  <c r="AQ61" i="174"/>
  <c r="AP61" i="174"/>
  <c r="AO61" i="174"/>
  <c r="AN61" i="174"/>
  <c r="AM61" i="174"/>
  <c r="AL61" i="174"/>
  <c r="AK61" i="174"/>
  <c r="AJ61" i="174"/>
  <c r="AI61" i="174"/>
  <c r="AH61" i="174"/>
  <c r="AG61" i="174"/>
  <c r="AF61" i="174"/>
  <c r="AE61" i="174"/>
  <c r="O61" i="174"/>
  <c r="M61" i="174"/>
  <c r="X61" i="174" s="1"/>
  <c r="E61" i="174"/>
  <c r="E145" i="174" s="1"/>
  <c r="AQ60" i="174"/>
  <c r="AP60" i="174"/>
  <c r="AO60" i="174"/>
  <c r="AN60" i="174"/>
  <c r="AM60" i="174"/>
  <c r="AL60" i="174"/>
  <c r="AK60" i="174"/>
  <c r="AJ60" i="174"/>
  <c r="AI60" i="174"/>
  <c r="AH60" i="174"/>
  <c r="AG60" i="174"/>
  <c r="AF60" i="174"/>
  <c r="AE60" i="174"/>
  <c r="Q60" i="174"/>
  <c r="P60" i="174"/>
  <c r="M60" i="174"/>
  <c r="R60" i="174" s="1"/>
  <c r="E60" i="174"/>
  <c r="E144" i="174" s="1"/>
  <c r="AQ59" i="174"/>
  <c r="AP59" i="174"/>
  <c r="AO59" i="174"/>
  <c r="AN59" i="174"/>
  <c r="AM59" i="174"/>
  <c r="AL59" i="174"/>
  <c r="AK59" i="174"/>
  <c r="AJ59" i="174"/>
  <c r="AI59" i="174"/>
  <c r="AH59" i="174"/>
  <c r="AG59" i="174"/>
  <c r="AF59" i="174"/>
  <c r="AE59" i="174"/>
  <c r="Y59" i="174"/>
  <c r="X59" i="174"/>
  <c r="W59" i="174"/>
  <c r="V59" i="174"/>
  <c r="U59" i="174"/>
  <c r="T59" i="174"/>
  <c r="S59" i="174"/>
  <c r="R59" i="174"/>
  <c r="Q59" i="174"/>
  <c r="P59" i="174"/>
  <c r="O59" i="174"/>
  <c r="N59" i="174"/>
  <c r="M59" i="174"/>
  <c r="E59" i="174"/>
  <c r="E143" i="174" s="1"/>
  <c r="AQ58" i="174"/>
  <c r="AP58" i="174"/>
  <c r="AO58" i="174"/>
  <c r="AN58" i="174"/>
  <c r="AM58" i="174"/>
  <c r="AL58" i="174"/>
  <c r="AK58" i="174"/>
  <c r="AJ58" i="174"/>
  <c r="AI58" i="174"/>
  <c r="AH58" i="174"/>
  <c r="AG58" i="174"/>
  <c r="AF58" i="174"/>
  <c r="AE58" i="174"/>
  <c r="Y58" i="174"/>
  <c r="X58" i="174"/>
  <c r="W58" i="174"/>
  <c r="V58" i="174"/>
  <c r="U58" i="174"/>
  <c r="T58" i="174"/>
  <c r="R58" i="174"/>
  <c r="Q58" i="174"/>
  <c r="P58" i="174"/>
  <c r="O58" i="174"/>
  <c r="N58" i="174"/>
  <c r="M58" i="174"/>
  <c r="S58" i="174" s="1"/>
  <c r="E58" i="174"/>
  <c r="AQ57" i="174"/>
  <c r="AP57" i="174"/>
  <c r="AO57" i="174"/>
  <c r="AN57" i="174"/>
  <c r="AM57" i="174"/>
  <c r="AL57" i="174"/>
  <c r="AK57" i="174"/>
  <c r="AJ57" i="174"/>
  <c r="AI57" i="174"/>
  <c r="AH57" i="174"/>
  <c r="AG57" i="174"/>
  <c r="AF57" i="174"/>
  <c r="AE57" i="174"/>
  <c r="Y57" i="174"/>
  <c r="X57" i="174"/>
  <c r="W57" i="174"/>
  <c r="V57" i="174"/>
  <c r="U57" i="174"/>
  <c r="T57" i="174"/>
  <c r="S57" i="174"/>
  <c r="R57" i="174"/>
  <c r="P57" i="174"/>
  <c r="O57" i="174"/>
  <c r="N57" i="174"/>
  <c r="M57" i="174"/>
  <c r="Q57" i="174" s="1"/>
  <c r="E57" i="174"/>
  <c r="E141" i="174" s="1"/>
  <c r="AQ56" i="174"/>
  <c r="AP56" i="174"/>
  <c r="AO56" i="174"/>
  <c r="AN56" i="174"/>
  <c r="AM56" i="174"/>
  <c r="AL56" i="174"/>
  <c r="AK56" i="174"/>
  <c r="AJ56" i="174"/>
  <c r="AI56" i="174"/>
  <c r="AH56" i="174"/>
  <c r="AG56" i="174"/>
  <c r="AF56" i="174"/>
  <c r="AE56" i="174"/>
  <c r="Y56" i="174"/>
  <c r="U56" i="174"/>
  <c r="P56" i="174"/>
  <c r="M56" i="174"/>
  <c r="O56" i="174" s="1"/>
  <c r="E56" i="174"/>
  <c r="E140" i="174" s="1"/>
  <c r="AQ55" i="174"/>
  <c r="AP55" i="174"/>
  <c r="AO55" i="174"/>
  <c r="AN55" i="174"/>
  <c r="AM55" i="174"/>
  <c r="AL55" i="174"/>
  <c r="AK55" i="174"/>
  <c r="AJ55" i="174"/>
  <c r="AI55" i="174"/>
  <c r="AH55" i="174"/>
  <c r="AG55" i="174"/>
  <c r="AF55" i="174"/>
  <c r="AE55" i="174"/>
  <c r="S55" i="174"/>
  <c r="Q55" i="174"/>
  <c r="M55" i="174"/>
  <c r="V55" i="174" s="1"/>
  <c r="E55" i="174"/>
  <c r="E139" i="174" s="1"/>
  <c r="A55" i="174"/>
  <c r="A56" i="174" s="1"/>
  <c r="A57" i="174" s="1"/>
  <c r="A58" i="174" s="1"/>
  <c r="A59" i="174" s="1"/>
  <c r="A60" i="174" s="1"/>
  <c r="A61" i="174" s="1"/>
  <c r="A62" i="174" s="1"/>
  <c r="A63" i="174" s="1"/>
  <c r="A64" i="174" s="1"/>
  <c r="AQ54" i="174"/>
  <c r="AP54" i="174"/>
  <c r="AO54" i="174"/>
  <c r="AN54" i="174"/>
  <c r="AM54" i="174"/>
  <c r="AL54" i="174"/>
  <c r="AK54" i="174"/>
  <c r="AJ54" i="174"/>
  <c r="AI54" i="174"/>
  <c r="AH54" i="174"/>
  <c r="AG54" i="174"/>
  <c r="AF54" i="174"/>
  <c r="AE54" i="174"/>
  <c r="M54" i="174"/>
  <c r="E54" i="174"/>
  <c r="E138" i="174" s="1"/>
  <c r="AQ53" i="174"/>
  <c r="AP53" i="174"/>
  <c r="AO53" i="174"/>
  <c r="AN53" i="174"/>
  <c r="AM53" i="174"/>
  <c r="AL53" i="174"/>
  <c r="AJ53" i="174"/>
  <c r="AI53" i="174"/>
  <c r="AH53" i="174"/>
  <c r="AG53" i="174"/>
  <c r="AF53" i="174"/>
  <c r="AE53" i="174"/>
  <c r="AK53" i="174" s="1"/>
  <c r="AB53" i="174"/>
  <c r="Y53" i="174"/>
  <c r="X53" i="174"/>
  <c r="W53" i="174"/>
  <c r="V53" i="174"/>
  <c r="U53" i="174"/>
  <c r="T53" i="174"/>
  <c r="R53" i="174"/>
  <c r="Q53" i="174"/>
  <c r="P53" i="174"/>
  <c r="O53" i="174"/>
  <c r="N53" i="174"/>
  <c r="M53" i="174"/>
  <c r="S53" i="174" s="1"/>
  <c r="J53" i="174"/>
  <c r="E53" i="174"/>
  <c r="E137" i="174" s="1"/>
  <c r="AP52" i="174"/>
  <c r="AO52" i="174"/>
  <c r="AN52" i="174"/>
  <c r="AM52" i="174"/>
  <c r="AL52" i="174"/>
  <c r="AK52" i="174"/>
  <c r="AJ52" i="174"/>
  <c r="AI52" i="174"/>
  <c r="AH52" i="174"/>
  <c r="AG52" i="174"/>
  <c r="AF52" i="174"/>
  <c r="AE52" i="174"/>
  <c r="AQ52" i="174" s="1"/>
  <c r="Y52" i="174"/>
  <c r="X52" i="174"/>
  <c r="W52" i="174"/>
  <c r="V52" i="174"/>
  <c r="U52" i="174"/>
  <c r="S52" i="174"/>
  <c r="R52" i="174"/>
  <c r="P52" i="174"/>
  <c r="O52" i="174"/>
  <c r="N52" i="174"/>
  <c r="M52" i="174"/>
  <c r="J52" i="174"/>
  <c r="E52" i="174"/>
  <c r="E136" i="174" s="1"/>
  <c r="AE51" i="174"/>
  <c r="AN51" i="174" s="1"/>
  <c r="U51" i="174"/>
  <c r="Q51" i="174"/>
  <c r="P51" i="174"/>
  <c r="M51" i="174"/>
  <c r="T51" i="174" s="1"/>
  <c r="E51" i="174"/>
  <c r="E135" i="174" s="1"/>
  <c r="AQ50" i="174"/>
  <c r="AP50" i="174"/>
  <c r="AO50" i="174"/>
  <c r="AN50" i="174"/>
  <c r="AM50" i="174"/>
  <c r="AL50" i="174"/>
  <c r="AJ50" i="174"/>
  <c r="AI50" i="174"/>
  <c r="AH50" i="174"/>
  <c r="AG50" i="174"/>
  <c r="AF50" i="174"/>
  <c r="AE50" i="174"/>
  <c r="AK50" i="174" s="1"/>
  <c r="AB50" i="174"/>
  <c r="Y50" i="174"/>
  <c r="X50" i="174"/>
  <c r="W50" i="174"/>
  <c r="V50" i="174"/>
  <c r="U50" i="174"/>
  <c r="T50" i="174"/>
  <c r="R50" i="174"/>
  <c r="Q50" i="174"/>
  <c r="P50" i="174"/>
  <c r="O50" i="174"/>
  <c r="N50" i="174"/>
  <c r="M50" i="174"/>
  <c r="S50" i="174" s="1"/>
  <c r="E50" i="174"/>
  <c r="E134" i="174" s="1"/>
  <c r="AQ49" i="174"/>
  <c r="AP49" i="174"/>
  <c r="AO49" i="174"/>
  <c r="AN49" i="174"/>
  <c r="AM49" i="174"/>
  <c r="AL49" i="174"/>
  <c r="AK49" i="174"/>
  <c r="AJ49" i="174"/>
  <c r="AI49" i="174"/>
  <c r="AG49" i="174"/>
  <c r="AF49" i="174"/>
  <c r="AE49" i="174"/>
  <c r="AH49" i="174" s="1"/>
  <c r="Y49" i="174"/>
  <c r="X49" i="174"/>
  <c r="W49" i="174"/>
  <c r="V49" i="174"/>
  <c r="U49" i="174"/>
  <c r="T49" i="174"/>
  <c r="S49" i="174"/>
  <c r="R49" i="174"/>
  <c r="Q49" i="174"/>
  <c r="P49" i="174"/>
  <c r="O49" i="174"/>
  <c r="N49" i="174"/>
  <c r="M49" i="174"/>
  <c r="E49" i="174"/>
  <c r="E133" i="174" s="1"/>
  <c r="B49" i="174"/>
  <c r="B50" i="174" s="1"/>
  <c r="B51" i="174" s="1"/>
  <c r="B52" i="174" s="1"/>
  <c r="B53" i="174" s="1"/>
  <c r="B54" i="174" s="1"/>
  <c r="B55" i="174" s="1"/>
  <c r="B56" i="174" s="1"/>
  <c r="B57" i="174" s="1"/>
  <c r="B58" i="174" s="1"/>
  <c r="B59" i="174" s="1"/>
  <c r="B60" i="174" s="1"/>
  <c r="B61" i="174" s="1"/>
  <c r="A49" i="174"/>
  <c r="A50" i="174" s="1"/>
  <c r="A51" i="174" s="1"/>
  <c r="A52" i="174" s="1"/>
  <c r="A53" i="174" s="1"/>
  <c r="A54" i="174" s="1"/>
  <c r="AP48" i="174"/>
  <c r="AL48" i="174"/>
  <c r="AE48" i="174"/>
  <c r="AO48" i="174" s="1"/>
  <c r="Y48" i="174"/>
  <c r="X48" i="174"/>
  <c r="W48" i="174"/>
  <c r="V48" i="174"/>
  <c r="U48" i="174"/>
  <c r="T48" i="174"/>
  <c r="M48" i="174"/>
  <c r="J48" i="174"/>
  <c r="E48" i="174"/>
  <c r="E132" i="174" s="1"/>
  <c r="E47" i="174"/>
  <c r="AB45" i="174"/>
  <c r="C45" i="174"/>
  <c r="B45" i="174"/>
  <c r="AO43" i="174"/>
  <c r="AK43" i="174"/>
  <c r="AJ43" i="174"/>
  <c r="AI43" i="174"/>
  <c r="AH43" i="174"/>
  <c r="AG43" i="174"/>
  <c r="AE43" i="174"/>
  <c r="AB43" i="174"/>
  <c r="Y43" i="174"/>
  <c r="V43" i="174"/>
  <c r="S43" i="174"/>
  <c r="R43" i="174"/>
  <c r="O43" i="174"/>
  <c r="N43" i="174"/>
  <c r="M43" i="174"/>
  <c r="X43" i="174" s="1"/>
  <c r="AL42" i="174"/>
  <c r="AK42" i="174"/>
  <c r="AJ42" i="174"/>
  <c r="AI42" i="174"/>
  <c r="AG42" i="174"/>
  <c r="AE42" i="174"/>
  <c r="AH42" i="174" s="1"/>
  <c r="Y42" i="174"/>
  <c r="X42" i="174"/>
  <c r="W42" i="174"/>
  <c r="V42" i="174"/>
  <c r="U42" i="174"/>
  <c r="T42" i="174"/>
  <c r="S42" i="174"/>
  <c r="R42" i="174"/>
  <c r="Q42" i="174"/>
  <c r="O42" i="174"/>
  <c r="N42" i="174"/>
  <c r="M42" i="174"/>
  <c r="P42" i="174" s="1"/>
  <c r="AO41" i="174"/>
  <c r="AE41" i="174"/>
  <c r="X41" i="174"/>
  <c r="W41" i="174"/>
  <c r="S41" i="174"/>
  <c r="Q41" i="174"/>
  <c r="M41" i="174"/>
  <c r="Y41" i="174" s="1"/>
  <c r="AO40" i="174"/>
  <c r="AL40" i="174"/>
  <c r="AG40" i="174"/>
  <c r="AF40" i="174"/>
  <c r="AE40" i="174"/>
  <c r="AN40" i="174" s="1"/>
  <c r="M40" i="174"/>
  <c r="Y40" i="174" s="1"/>
  <c r="AP39" i="174"/>
  <c r="AM39" i="174"/>
  <c r="AI39" i="174"/>
  <c r="AE39" i="174"/>
  <c r="AK39" i="174" s="1"/>
  <c r="M39" i="174"/>
  <c r="X39" i="174" s="1"/>
  <c r="AI38" i="174"/>
  <c r="AE38" i="174"/>
  <c r="AQ38" i="174" s="1"/>
  <c r="AB38" i="174"/>
  <c r="Y38" i="174"/>
  <c r="X38" i="174"/>
  <c r="W38" i="174"/>
  <c r="V38" i="174"/>
  <c r="U38" i="174"/>
  <c r="T38" i="174"/>
  <c r="R38" i="174"/>
  <c r="Q38" i="174"/>
  <c r="P38" i="174"/>
  <c r="O38" i="174"/>
  <c r="N38" i="174"/>
  <c r="M38" i="174"/>
  <c r="S38" i="174" s="1"/>
  <c r="J38" i="174"/>
  <c r="AE37" i="174"/>
  <c r="AB37" i="174"/>
  <c r="Y37" i="174"/>
  <c r="X37" i="174"/>
  <c r="W37" i="174"/>
  <c r="V37" i="174"/>
  <c r="U37" i="174"/>
  <c r="T37" i="174"/>
  <c r="R37" i="174"/>
  <c r="Q37" i="174"/>
  <c r="P37" i="174"/>
  <c r="O37" i="174"/>
  <c r="N37" i="174"/>
  <c r="M37" i="174"/>
  <c r="S37" i="174" s="1"/>
  <c r="J37" i="174"/>
  <c r="AP36" i="174"/>
  <c r="AE36" i="174"/>
  <c r="AB36" i="174"/>
  <c r="Y36" i="174"/>
  <c r="X36" i="174"/>
  <c r="W36" i="174"/>
  <c r="V36" i="174"/>
  <c r="U36" i="174"/>
  <c r="T36" i="174"/>
  <c r="S36" i="174"/>
  <c r="R36" i="174"/>
  <c r="P36" i="174"/>
  <c r="O36" i="174"/>
  <c r="N36" i="174"/>
  <c r="M36" i="174"/>
  <c r="Q36" i="174" s="1"/>
  <c r="J36" i="174"/>
  <c r="AQ35" i="174"/>
  <c r="AP35" i="174"/>
  <c r="AI35" i="174"/>
  <c r="AH35" i="174"/>
  <c r="AE35" i="174"/>
  <c r="AJ35" i="174" s="1"/>
  <c r="Y35" i="174"/>
  <c r="X35" i="174"/>
  <c r="P35" i="174"/>
  <c r="N35" i="174"/>
  <c r="M35" i="174"/>
  <c r="AE34" i="174"/>
  <c r="Y34" i="174"/>
  <c r="X34" i="174"/>
  <c r="W34" i="174"/>
  <c r="V34" i="174"/>
  <c r="U34" i="174"/>
  <c r="T34" i="174"/>
  <c r="S34" i="174"/>
  <c r="R34" i="174"/>
  <c r="Q34" i="174"/>
  <c r="P34" i="174"/>
  <c r="O34" i="174"/>
  <c r="N34" i="174"/>
  <c r="M34" i="174"/>
  <c r="J34" i="174"/>
  <c r="AL33" i="174"/>
  <c r="AE33" i="174"/>
  <c r="AO33" i="174" s="1"/>
  <c r="R33" i="174"/>
  <c r="N33" i="174"/>
  <c r="M33" i="174"/>
  <c r="P33" i="174" s="1"/>
  <c r="J33" i="174"/>
  <c r="AQ32" i="174"/>
  <c r="AP32" i="174"/>
  <c r="AO32" i="174"/>
  <c r="AN32" i="174"/>
  <c r="AM32" i="174"/>
  <c r="AL32" i="174"/>
  <c r="AK32" i="174"/>
  <c r="AI32" i="174"/>
  <c r="AH32" i="174"/>
  <c r="AG32" i="174"/>
  <c r="AF32" i="174"/>
  <c r="AE32" i="174"/>
  <c r="AJ32" i="174" s="1"/>
  <c r="Y32" i="174"/>
  <c r="X32" i="174"/>
  <c r="W32" i="174"/>
  <c r="V32" i="174"/>
  <c r="U32" i="174"/>
  <c r="T32" i="174"/>
  <c r="S32" i="174"/>
  <c r="R32" i="174"/>
  <c r="Q32" i="174"/>
  <c r="P32" i="174"/>
  <c r="O32" i="174"/>
  <c r="N32" i="174"/>
  <c r="M32" i="174"/>
  <c r="J32" i="174"/>
  <c r="AQ31" i="174"/>
  <c r="AP31" i="174"/>
  <c r="AO31" i="174"/>
  <c r="AN31" i="174"/>
  <c r="AM31" i="174"/>
  <c r="AL31" i="174"/>
  <c r="AK31" i="174"/>
  <c r="AJ31" i="174"/>
  <c r="AI31" i="174"/>
  <c r="AH31" i="174"/>
  <c r="AG31" i="174"/>
  <c r="AE31" i="174"/>
  <c r="AF31" i="174" s="1"/>
  <c r="X31" i="174"/>
  <c r="W31" i="174"/>
  <c r="V31" i="174"/>
  <c r="U31" i="174"/>
  <c r="T31" i="174"/>
  <c r="S31" i="174"/>
  <c r="R31" i="174"/>
  <c r="Q31" i="174"/>
  <c r="P31" i="174"/>
  <c r="O31" i="174"/>
  <c r="N31" i="174"/>
  <c r="M31" i="174"/>
  <c r="Y31" i="174" s="1"/>
  <c r="J31" i="174"/>
  <c r="AJ30" i="174"/>
  <c r="AE30" i="174"/>
  <c r="AP30" i="174" s="1"/>
  <c r="M30" i="174"/>
  <c r="X30" i="174" s="1"/>
  <c r="J30" i="174"/>
  <c r="AQ29" i="174"/>
  <c r="AP29" i="174"/>
  <c r="AO29" i="174"/>
  <c r="AN29" i="174"/>
  <c r="AM29" i="174"/>
  <c r="AL29" i="174"/>
  <c r="AK29" i="174"/>
  <c r="AJ29" i="174"/>
  <c r="AI29" i="174"/>
  <c r="AH29" i="174"/>
  <c r="AG29" i="174"/>
  <c r="AF29" i="174"/>
  <c r="AE29" i="174"/>
  <c r="Y29" i="174"/>
  <c r="X29" i="174"/>
  <c r="W29" i="174"/>
  <c r="V29" i="174"/>
  <c r="U29" i="174"/>
  <c r="T29" i="174"/>
  <c r="R29" i="174"/>
  <c r="Q29" i="174"/>
  <c r="P29" i="174"/>
  <c r="O29" i="174"/>
  <c r="N29" i="174"/>
  <c r="M29" i="174"/>
  <c r="S29" i="174" s="1"/>
  <c r="J29" i="174"/>
  <c r="AQ28" i="174"/>
  <c r="AP28" i="174"/>
  <c r="AO28" i="174"/>
  <c r="AN28" i="174"/>
  <c r="AM28" i="174"/>
  <c r="AL28" i="174"/>
  <c r="AK28" i="174"/>
  <c r="AJ28" i="174"/>
  <c r="AI28" i="174"/>
  <c r="AG28" i="174"/>
  <c r="AF28" i="174"/>
  <c r="AE28" i="174"/>
  <c r="AH28" i="174" s="1"/>
  <c r="Y28" i="174"/>
  <c r="X28" i="174"/>
  <c r="W28" i="174"/>
  <c r="V28" i="174"/>
  <c r="U28" i="174"/>
  <c r="T28" i="174"/>
  <c r="S28" i="174"/>
  <c r="R28" i="174"/>
  <c r="Q28" i="174"/>
  <c r="O28" i="174"/>
  <c r="N28" i="174"/>
  <c r="M28" i="174"/>
  <c r="P28" i="174" s="1"/>
  <c r="J28" i="174"/>
  <c r="B28" i="174"/>
  <c r="B29" i="174" s="1"/>
  <c r="B30" i="174" s="1"/>
  <c r="B31" i="174" s="1"/>
  <c r="B32" i="174" s="1"/>
  <c r="B33" i="174" s="1"/>
  <c r="B34" i="174" s="1"/>
  <c r="A28" i="174"/>
  <c r="A29" i="174" s="1"/>
  <c r="A30" i="174" s="1"/>
  <c r="AM27" i="174"/>
  <c r="AI27" i="174"/>
  <c r="AE27" i="174"/>
  <c r="AO27" i="174" s="1"/>
  <c r="P27" i="174"/>
  <c r="O27" i="174"/>
  <c r="M27" i="174"/>
  <c r="J27" i="174"/>
  <c r="F27" i="174"/>
  <c r="E27" i="174"/>
  <c r="E26" i="174"/>
  <c r="AB24" i="174"/>
  <c r="C24" i="174"/>
  <c r="B24" i="174"/>
  <c r="AP22" i="174"/>
  <c r="AL22" i="174"/>
  <c r="AH22" i="174"/>
  <c r="AG22" i="174"/>
  <c r="AE22" i="174"/>
  <c r="AQ22" i="174" s="1"/>
  <c r="W22" i="174"/>
  <c r="P22" i="174"/>
  <c r="M22" i="174"/>
  <c r="Q22" i="174" s="1"/>
  <c r="AQ21" i="174"/>
  <c r="AK21" i="174"/>
  <c r="AI21" i="174"/>
  <c r="AH21" i="174"/>
  <c r="AG21" i="174"/>
  <c r="AF21" i="174"/>
  <c r="AE21" i="174"/>
  <c r="AJ21" i="174" s="1"/>
  <c r="AB21" i="174"/>
  <c r="Y21" i="174"/>
  <c r="X21" i="174"/>
  <c r="W21" i="174"/>
  <c r="V21" i="174"/>
  <c r="U21" i="174"/>
  <c r="S21" i="174"/>
  <c r="R21" i="174"/>
  <c r="Q21" i="174"/>
  <c r="P21" i="174"/>
  <c r="O21" i="174"/>
  <c r="N21" i="174"/>
  <c r="M21" i="174"/>
  <c r="T21" i="174" s="1"/>
  <c r="AQ20" i="174"/>
  <c r="AK20" i="174"/>
  <c r="AJ20" i="174"/>
  <c r="AH20" i="174"/>
  <c r="AG20" i="174"/>
  <c r="AE20" i="174"/>
  <c r="AP20" i="174" s="1"/>
  <c r="X20" i="174"/>
  <c r="W20" i="174"/>
  <c r="Q20" i="174"/>
  <c r="P20" i="174"/>
  <c r="M20" i="174"/>
  <c r="T20" i="174" s="1"/>
  <c r="AQ19" i="174"/>
  <c r="AP19" i="174"/>
  <c r="AJ19" i="174"/>
  <c r="AG19" i="174"/>
  <c r="AF19" i="174"/>
  <c r="AE19" i="174"/>
  <c r="AM19" i="174" s="1"/>
  <c r="X19" i="174"/>
  <c r="V19" i="174"/>
  <c r="M19" i="174"/>
  <c r="Q19" i="174" s="1"/>
  <c r="AQ18" i="174"/>
  <c r="AP18" i="174"/>
  <c r="AO18" i="174"/>
  <c r="AH18" i="174"/>
  <c r="AF18" i="174"/>
  <c r="AE18" i="174"/>
  <c r="W18" i="174"/>
  <c r="U18" i="174"/>
  <c r="T18" i="174"/>
  <c r="P18" i="174"/>
  <c r="O18" i="174"/>
  <c r="M18" i="174"/>
  <c r="Y18" i="174" s="1"/>
  <c r="AQ17" i="174"/>
  <c r="AN17" i="174"/>
  <c r="AM17" i="174"/>
  <c r="AG17" i="174"/>
  <c r="AF17" i="174"/>
  <c r="AE17" i="174"/>
  <c r="AB17" i="174"/>
  <c r="Y17" i="174"/>
  <c r="W17" i="174"/>
  <c r="U17" i="174"/>
  <c r="T17" i="174"/>
  <c r="O17" i="174"/>
  <c r="M17" i="174"/>
  <c r="V17" i="174" s="1"/>
  <c r="AE16" i="174"/>
  <c r="AO16" i="174" s="1"/>
  <c r="AB16" i="174"/>
  <c r="Y16" i="174"/>
  <c r="X16" i="174"/>
  <c r="W16" i="174"/>
  <c r="V16" i="174"/>
  <c r="U16" i="174"/>
  <c r="T16" i="174"/>
  <c r="S16" i="174"/>
  <c r="R16" i="174"/>
  <c r="Q16" i="174"/>
  <c r="O16" i="174"/>
  <c r="N16" i="174"/>
  <c r="M16" i="174"/>
  <c r="P16" i="174" s="1"/>
  <c r="J16" i="174"/>
  <c r="AE15" i="174"/>
  <c r="AJ15" i="174" s="1"/>
  <c r="AB15" i="174"/>
  <c r="Y15" i="174"/>
  <c r="X15" i="174"/>
  <c r="W15" i="174"/>
  <c r="V15" i="174"/>
  <c r="U15" i="174"/>
  <c r="T15" i="174"/>
  <c r="S15" i="174"/>
  <c r="R15" i="174"/>
  <c r="P15" i="174"/>
  <c r="O15" i="174"/>
  <c r="N15" i="174"/>
  <c r="M15" i="174"/>
  <c r="Q15" i="174" s="1"/>
  <c r="J15" i="174"/>
  <c r="AE14" i="174"/>
  <c r="AQ14" i="174" s="1"/>
  <c r="Y14" i="174"/>
  <c r="X14" i="174"/>
  <c r="W14" i="174"/>
  <c r="S14" i="174"/>
  <c r="R14" i="174"/>
  <c r="P14" i="174"/>
  <c r="O14" i="174"/>
  <c r="N14" i="174"/>
  <c r="M14" i="174"/>
  <c r="Q14" i="174" s="1"/>
  <c r="AQ13" i="174"/>
  <c r="AI13" i="174"/>
  <c r="AE13" i="174"/>
  <c r="AJ13" i="174" s="1"/>
  <c r="Y13" i="174"/>
  <c r="V13" i="174"/>
  <c r="O13" i="174"/>
  <c r="N13" i="174"/>
  <c r="M13" i="174"/>
  <c r="Q13" i="174" s="1"/>
  <c r="AE12" i="174"/>
  <c r="AF12" i="174" s="1"/>
  <c r="Y12" i="174"/>
  <c r="M12" i="174"/>
  <c r="W12" i="174" s="1"/>
  <c r="AQ11" i="174"/>
  <c r="AP11" i="174"/>
  <c r="AO11" i="174"/>
  <c r="AN11" i="174"/>
  <c r="AM11" i="174"/>
  <c r="AL11" i="174"/>
  <c r="AK11" i="174"/>
  <c r="AI11" i="174"/>
  <c r="AH11" i="174"/>
  <c r="AG11" i="174"/>
  <c r="AF11" i="174"/>
  <c r="AE11" i="174"/>
  <c r="AJ11" i="174" s="1"/>
  <c r="Y11" i="174"/>
  <c r="X11" i="174"/>
  <c r="W11" i="174"/>
  <c r="V11" i="174"/>
  <c r="U11" i="174"/>
  <c r="T11" i="174"/>
  <c r="R11" i="174"/>
  <c r="Q11" i="174"/>
  <c r="P11" i="174"/>
  <c r="O11" i="174"/>
  <c r="N11" i="174"/>
  <c r="M11" i="174"/>
  <c r="S11" i="174" s="1"/>
  <c r="AQ10" i="174"/>
  <c r="AP10" i="174"/>
  <c r="AO10" i="174"/>
  <c r="AN10" i="174"/>
  <c r="AM10" i="174"/>
  <c r="AL10" i="174"/>
  <c r="AK10" i="174"/>
  <c r="AJ10" i="174"/>
  <c r="AI10" i="174"/>
  <c r="AH10" i="174"/>
  <c r="AG10" i="174"/>
  <c r="AE10" i="174"/>
  <c r="AF10" i="174" s="1"/>
  <c r="AB10" i="174"/>
  <c r="X10" i="174"/>
  <c r="W10" i="174"/>
  <c r="V10" i="174"/>
  <c r="U10" i="174"/>
  <c r="T10" i="174"/>
  <c r="S10" i="174"/>
  <c r="R10" i="174"/>
  <c r="Q10" i="174"/>
  <c r="P10" i="174"/>
  <c r="O10" i="174"/>
  <c r="N10" i="174"/>
  <c r="M10" i="174"/>
  <c r="Y10" i="174" s="1"/>
  <c r="J10" i="174"/>
  <c r="AL9" i="174"/>
  <c r="AK9" i="174"/>
  <c r="AJ9" i="174"/>
  <c r="AE9" i="174"/>
  <c r="Q9" i="174"/>
  <c r="M9" i="174"/>
  <c r="U9" i="174" s="1"/>
  <c r="J9" i="174"/>
  <c r="AQ8" i="174"/>
  <c r="AP8" i="174"/>
  <c r="AO8" i="174"/>
  <c r="AN8" i="174"/>
  <c r="AM8" i="174"/>
  <c r="AL8" i="174"/>
  <c r="AJ8" i="174"/>
  <c r="AI8" i="174"/>
  <c r="AH8" i="174"/>
  <c r="AG8" i="174"/>
  <c r="AF8" i="174"/>
  <c r="AE8" i="174"/>
  <c r="AK8" i="174" s="1"/>
  <c r="Y8" i="174"/>
  <c r="X8" i="174"/>
  <c r="W8" i="174"/>
  <c r="V8" i="174"/>
  <c r="U8" i="174"/>
  <c r="T8" i="174"/>
  <c r="S8" i="174"/>
  <c r="R8" i="174"/>
  <c r="Q8" i="174"/>
  <c r="P8" i="174"/>
  <c r="O8" i="174"/>
  <c r="N8" i="174"/>
  <c r="M8" i="174"/>
  <c r="J8" i="174"/>
  <c r="AQ7" i="174"/>
  <c r="AP7" i="174"/>
  <c r="AO7" i="174"/>
  <c r="AN7" i="174"/>
  <c r="AM7" i="174"/>
  <c r="AL7" i="174"/>
  <c r="AK7" i="174"/>
  <c r="AI7" i="174"/>
  <c r="AH7" i="174"/>
  <c r="AG7" i="174"/>
  <c r="AF7" i="174"/>
  <c r="AE7" i="174"/>
  <c r="AJ7" i="174" s="1"/>
  <c r="Y7" i="174"/>
  <c r="X7" i="174"/>
  <c r="W7" i="174"/>
  <c r="V7" i="174"/>
  <c r="U7" i="174"/>
  <c r="T7" i="174"/>
  <c r="S7" i="174"/>
  <c r="R7" i="174"/>
  <c r="Q7" i="174"/>
  <c r="P7" i="174"/>
  <c r="O7" i="174"/>
  <c r="N7" i="174"/>
  <c r="M7" i="174"/>
  <c r="J7" i="174"/>
  <c r="A7" i="174"/>
  <c r="E28" i="174" s="1"/>
  <c r="E112" i="174" s="1"/>
  <c r="AE6" i="174"/>
  <c r="AI6" i="174" s="1"/>
  <c r="X6" i="174"/>
  <c r="S6" i="174"/>
  <c r="M6" i="174"/>
  <c r="V6" i="174" s="1"/>
  <c r="J6" i="174"/>
  <c r="J135" i="193"/>
  <c r="E134" i="193"/>
  <c r="B134" i="193"/>
  <c r="B135" i="193" s="1"/>
  <c r="B136" i="193" s="1"/>
  <c r="A125" i="193"/>
  <c r="A126" i="193" s="1"/>
  <c r="A127" i="193" s="1"/>
  <c r="A128" i="193" s="1"/>
  <c r="A129" i="193" s="1"/>
  <c r="A130" i="193" s="1"/>
  <c r="A131" i="193" s="1"/>
  <c r="A132" i="193" s="1"/>
  <c r="A133" i="193" s="1"/>
  <c r="D123" i="193"/>
  <c r="D121" i="193"/>
  <c r="D120" i="193"/>
  <c r="E119" i="193"/>
  <c r="D119" i="193"/>
  <c r="B119" i="193"/>
  <c r="B120" i="193" s="1"/>
  <c r="B121" i="193" s="1"/>
  <c r="D118" i="193"/>
  <c r="D117" i="193"/>
  <c r="D116" i="193"/>
  <c r="D115" i="193"/>
  <c r="D114" i="193"/>
  <c r="D113" i="193"/>
  <c r="D112" i="193"/>
  <c r="D111" i="193"/>
  <c r="D110" i="193"/>
  <c r="A110" i="193"/>
  <c r="A111" i="193" s="1"/>
  <c r="A112" i="193" s="1"/>
  <c r="A113" i="193" s="1"/>
  <c r="A114" i="193" s="1"/>
  <c r="A115" i="193" s="1"/>
  <c r="A116" i="193" s="1"/>
  <c r="A117" i="193" s="1"/>
  <c r="A118" i="193" s="1"/>
  <c r="D109" i="193"/>
  <c r="D108" i="193"/>
  <c r="E104" i="193"/>
  <c r="B104" i="193"/>
  <c r="B105" i="193" s="1"/>
  <c r="B106" i="193" s="1"/>
  <c r="D103" i="193"/>
  <c r="D102" i="193"/>
  <c r="D101" i="193"/>
  <c r="D100" i="193"/>
  <c r="D99" i="193"/>
  <c r="D98" i="193"/>
  <c r="D97" i="193"/>
  <c r="D96" i="193"/>
  <c r="D95" i="193"/>
  <c r="B95" i="193"/>
  <c r="B96" i="193" s="1"/>
  <c r="B97" i="193" s="1"/>
  <c r="A95" i="193"/>
  <c r="A96" i="193" s="1"/>
  <c r="A97" i="193" s="1"/>
  <c r="A98" i="193" s="1"/>
  <c r="A99" i="193" s="1"/>
  <c r="A100" i="193" s="1"/>
  <c r="A101" i="193" s="1"/>
  <c r="A102" i="193" s="1"/>
  <c r="A103" i="193" s="1"/>
  <c r="D94" i="193"/>
  <c r="D93" i="193"/>
  <c r="E89" i="193"/>
  <c r="D88" i="193"/>
  <c r="D87" i="193"/>
  <c r="D86" i="193"/>
  <c r="D85" i="193"/>
  <c r="D84" i="193"/>
  <c r="J83" i="193"/>
  <c r="D83" i="193"/>
  <c r="J82" i="193"/>
  <c r="D82" i="193"/>
  <c r="D81" i="193"/>
  <c r="D80" i="193"/>
  <c r="B80" i="193"/>
  <c r="B81" i="193" s="1"/>
  <c r="A80" i="193"/>
  <c r="A81" i="193" s="1"/>
  <c r="A82" i="193" s="1"/>
  <c r="A83" i="193" s="1"/>
  <c r="A84" i="193" s="1"/>
  <c r="A85" i="193" s="1"/>
  <c r="A86" i="193" s="1"/>
  <c r="A87" i="193" s="1"/>
  <c r="A88" i="193" s="1"/>
  <c r="D79" i="193"/>
  <c r="D78" i="193"/>
  <c r="E74" i="193"/>
  <c r="D73" i="193"/>
  <c r="D72" i="193"/>
  <c r="D71" i="193"/>
  <c r="D70" i="193"/>
  <c r="D69" i="193"/>
  <c r="D68" i="193"/>
  <c r="D67" i="193"/>
  <c r="D66" i="193"/>
  <c r="D65" i="193"/>
  <c r="B65" i="193"/>
  <c r="B66" i="193" s="1"/>
  <c r="A65" i="193"/>
  <c r="A66" i="193" s="1"/>
  <c r="A67" i="193" s="1"/>
  <c r="A68" i="193" s="1"/>
  <c r="A69" i="193" s="1"/>
  <c r="A70" i="193" s="1"/>
  <c r="A71" i="193" s="1"/>
  <c r="A72" i="193" s="1"/>
  <c r="A73" i="193" s="1"/>
  <c r="D64" i="193"/>
  <c r="D63" i="193"/>
  <c r="E59" i="193"/>
  <c r="A50" i="193"/>
  <c r="A51" i="193" s="1"/>
  <c r="A52" i="193" s="1"/>
  <c r="A53" i="193" s="1"/>
  <c r="A54" i="193" s="1"/>
  <c r="A55" i="193" s="1"/>
  <c r="A56" i="193" s="1"/>
  <c r="A57" i="193" s="1"/>
  <c r="A58" i="193" s="1"/>
  <c r="L49" i="193"/>
  <c r="K49" i="193"/>
  <c r="R45" i="193"/>
  <c r="N42" i="193"/>
  <c r="M42" i="193"/>
  <c r="K42" i="193"/>
  <c r="J42" i="193"/>
  <c r="H42" i="193"/>
  <c r="G42" i="193"/>
  <c r="N41" i="193"/>
  <c r="M41" i="193"/>
  <c r="K41" i="193"/>
  <c r="J41" i="193"/>
  <c r="H41" i="193"/>
  <c r="G41" i="193"/>
  <c r="N40" i="193"/>
  <c r="M40" i="193"/>
  <c r="K40" i="193"/>
  <c r="J40" i="193"/>
  <c r="H40" i="193"/>
  <c r="G40" i="193"/>
  <c r="N39" i="193"/>
  <c r="M39" i="193"/>
  <c r="K39" i="193"/>
  <c r="J39" i="193"/>
  <c r="H39" i="193"/>
  <c r="G39" i="193"/>
  <c r="N38" i="193"/>
  <c r="M38" i="193"/>
  <c r="K38" i="193"/>
  <c r="J38" i="193"/>
  <c r="H38" i="193"/>
  <c r="G38" i="193"/>
  <c r="N37" i="193"/>
  <c r="M37" i="193"/>
  <c r="K37" i="193"/>
  <c r="J37" i="193"/>
  <c r="H37" i="193"/>
  <c r="G37" i="193"/>
  <c r="N36" i="193"/>
  <c r="M36" i="193"/>
  <c r="K36" i="193"/>
  <c r="J36" i="193"/>
  <c r="H36" i="193"/>
  <c r="G36" i="193"/>
  <c r="N35" i="193"/>
  <c r="M35" i="193"/>
  <c r="K35" i="193"/>
  <c r="J35" i="193"/>
  <c r="H35" i="193"/>
  <c r="G35" i="193"/>
  <c r="N34" i="193"/>
  <c r="M34" i="193"/>
  <c r="K34" i="193"/>
  <c r="J34" i="193"/>
  <c r="H34" i="193"/>
  <c r="G34" i="193"/>
  <c r="N33" i="193"/>
  <c r="M33" i="193"/>
  <c r="K33" i="193"/>
  <c r="J33" i="193"/>
  <c r="H33" i="193"/>
  <c r="G33" i="193"/>
  <c r="N32" i="193"/>
  <c r="M32" i="193"/>
  <c r="K32" i="193"/>
  <c r="J32" i="193"/>
  <c r="H32" i="193"/>
  <c r="G32" i="193"/>
  <c r="N31" i="193"/>
  <c r="M31" i="193"/>
  <c r="K31" i="193"/>
  <c r="J31" i="193"/>
  <c r="H31" i="193"/>
  <c r="G31" i="193"/>
  <c r="N30" i="193"/>
  <c r="M30" i="193"/>
  <c r="K30" i="193"/>
  <c r="J30" i="193"/>
  <c r="H30" i="193"/>
  <c r="G30" i="193"/>
  <c r="T29" i="193"/>
  <c r="N29" i="193"/>
  <c r="M29" i="193"/>
  <c r="K29" i="193"/>
  <c r="J29" i="193"/>
  <c r="H29" i="193"/>
  <c r="G29" i="193"/>
  <c r="N28" i="193"/>
  <c r="M28" i="193"/>
  <c r="K28" i="193"/>
  <c r="J28" i="193"/>
  <c r="H28" i="193"/>
  <c r="G28" i="193"/>
  <c r="N27" i="193"/>
  <c r="M27" i="193"/>
  <c r="K27" i="193"/>
  <c r="J27" i="193"/>
  <c r="H27" i="193"/>
  <c r="G27" i="193"/>
  <c r="N26" i="193"/>
  <c r="M26" i="193"/>
  <c r="K26" i="193"/>
  <c r="J26" i="193"/>
  <c r="H26" i="193"/>
  <c r="G26" i="193"/>
  <c r="N25" i="193"/>
  <c r="M25" i="193"/>
  <c r="K25" i="193"/>
  <c r="J25" i="193"/>
  <c r="H25" i="193"/>
  <c r="G25" i="193"/>
  <c r="T24" i="193"/>
  <c r="N24" i="193"/>
  <c r="M24" i="193"/>
  <c r="K24" i="193"/>
  <c r="J24" i="193"/>
  <c r="H24" i="193"/>
  <c r="G24" i="193"/>
  <c r="N23" i="193"/>
  <c r="M23" i="193"/>
  <c r="K23" i="193"/>
  <c r="J23" i="193"/>
  <c r="H23" i="193"/>
  <c r="G23" i="193"/>
  <c r="N22" i="193"/>
  <c r="M22" i="193"/>
  <c r="K22" i="193"/>
  <c r="J22" i="193"/>
  <c r="H22" i="193"/>
  <c r="G22" i="193"/>
  <c r="N21" i="193"/>
  <c r="M21" i="193"/>
  <c r="K21" i="193"/>
  <c r="J21" i="193"/>
  <c r="H21" i="193"/>
  <c r="G21" i="193"/>
  <c r="T20" i="193"/>
  <c r="N20" i="193"/>
  <c r="M20" i="193"/>
  <c r="K20" i="193"/>
  <c r="J20" i="193"/>
  <c r="H20" i="193"/>
  <c r="G20" i="193"/>
  <c r="N19" i="193"/>
  <c r="M19" i="193"/>
  <c r="K19" i="193"/>
  <c r="J19" i="193"/>
  <c r="H19" i="193"/>
  <c r="G19" i="193"/>
  <c r="N18" i="193"/>
  <c r="M18" i="193"/>
  <c r="K18" i="193"/>
  <c r="J18" i="193"/>
  <c r="H18" i="193"/>
  <c r="G18" i="193"/>
  <c r="N17" i="193"/>
  <c r="M17" i="193"/>
  <c r="K17" i="193"/>
  <c r="J17" i="193"/>
  <c r="H17" i="193"/>
  <c r="G17" i="193"/>
  <c r="V15" i="193"/>
  <c r="R15" i="193"/>
  <c r="N15" i="193"/>
  <c r="J15" i="193"/>
  <c r="J13" i="193"/>
  <c r="P7" i="193"/>
  <c r="P6" i="193"/>
  <c r="P5" i="193"/>
  <c r="P4" i="193"/>
  <c r="P3" i="193"/>
  <c r="L1" i="193"/>
  <c r="J1" i="193"/>
  <c r="H1" i="193"/>
  <c r="N106" i="123"/>
  <c r="S106" i="123" s="1"/>
  <c r="N105" i="123"/>
  <c r="U105" i="123" s="1"/>
  <c r="F105" i="123"/>
  <c r="N104" i="123"/>
  <c r="X104" i="123" s="1"/>
  <c r="U103" i="123"/>
  <c r="S103" i="123"/>
  <c r="N103" i="123"/>
  <c r="Z103" i="123" s="1"/>
  <c r="F103" i="123"/>
  <c r="N102" i="123"/>
  <c r="O102" i="123" s="1"/>
  <c r="F102" i="123"/>
  <c r="Y101" i="123"/>
  <c r="V101" i="123"/>
  <c r="T101" i="123"/>
  <c r="Q101" i="123"/>
  <c r="N101" i="123"/>
  <c r="R101" i="123" s="1"/>
  <c r="F101" i="123"/>
  <c r="W100" i="123"/>
  <c r="T100" i="123"/>
  <c r="Q100" i="123"/>
  <c r="N100" i="123"/>
  <c r="Y100" i="123" s="1"/>
  <c r="N99" i="123"/>
  <c r="W99" i="123" s="1"/>
  <c r="X98" i="123"/>
  <c r="N98" i="123"/>
  <c r="Y98" i="123" s="1"/>
  <c r="N97" i="123"/>
  <c r="Y97" i="123" s="1"/>
  <c r="H97" i="123"/>
  <c r="Y96" i="123"/>
  <c r="N96" i="123"/>
  <c r="X96" i="123" s="1"/>
  <c r="Z95" i="123"/>
  <c r="X95" i="123"/>
  <c r="U95" i="123"/>
  <c r="S95" i="123"/>
  <c r="R95" i="123"/>
  <c r="P95" i="123"/>
  <c r="N95" i="123"/>
  <c r="Q95" i="123" s="1"/>
  <c r="F95" i="123"/>
  <c r="V94" i="123"/>
  <c r="U94" i="123"/>
  <c r="S94" i="123"/>
  <c r="Q94" i="123"/>
  <c r="P94" i="123"/>
  <c r="N94" i="123"/>
  <c r="T94" i="123" s="1"/>
  <c r="F94" i="123"/>
  <c r="X93" i="123"/>
  <c r="T93" i="123"/>
  <c r="R93" i="123"/>
  <c r="Q93" i="123"/>
  <c r="P93" i="123"/>
  <c r="N93" i="123"/>
  <c r="W93" i="123" s="1"/>
  <c r="F93" i="123"/>
  <c r="P92" i="123"/>
  <c r="N92" i="123"/>
  <c r="K92" i="123"/>
  <c r="F92" i="123"/>
  <c r="Y91" i="123"/>
  <c r="W91" i="123"/>
  <c r="N91" i="123"/>
  <c r="Z91" i="123" s="1"/>
  <c r="F91" i="123"/>
  <c r="T90" i="123"/>
  <c r="S90" i="123"/>
  <c r="N90" i="123"/>
  <c r="Q90" i="123" s="1"/>
  <c r="K90" i="123"/>
  <c r="N89" i="123"/>
  <c r="V89" i="123" s="1"/>
  <c r="K89" i="123"/>
  <c r="F89" i="123"/>
  <c r="F90" i="123" s="1"/>
  <c r="N88" i="123"/>
  <c r="I88" i="123"/>
  <c r="F88" i="123"/>
  <c r="AA87" i="123"/>
  <c r="Z86" i="123"/>
  <c r="X86" i="123"/>
  <c r="V86" i="123"/>
  <c r="T86" i="123"/>
  <c r="R86" i="123"/>
  <c r="Q86" i="123"/>
  <c r="O86" i="123"/>
  <c r="N86" i="123"/>
  <c r="P86" i="123" s="1"/>
  <c r="I86" i="123"/>
  <c r="H86" i="123"/>
  <c r="F86" i="123"/>
  <c r="N85" i="123"/>
  <c r="W85" i="123" s="1"/>
  <c r="I85" i="123"/>
  <c r="H85" i="123"/>
  <c r="F85" i="123"/>
  <c r="U84" i="123"/>
  <c r="N84" i="123"/>
  <c r="T84" i="123" s="1"/>
  <c r="I84" i="123"/>
  <c r="H84" i="123"/>
  <c r="N83" i="123"/>
  <c r="U83" i="123" s="1"/>
  <c r="I83" i="123"/>
  <c r="H83" i="123"/>
  <c r="F83" i="123"/>
  <c r="N82" i="123"/>
  <c r="I82" i="123"/>
  <c r="H82" i="123"/>
  <c r="W81" i="123"/>
  <c r="V81" i="123"/>
  <c r="U81" i="123"/>
  <c r="N81" i="123"/>
  <c r="I81" i="123"/>
  <c r="H81" i="123"/>
  <c r="Z80" i="123"/>
  <c r="Y80" i="123"/>
  <c r="X80" i="123"/>
  <c r="U80" i="123"/>
  <c r="R80" i="123"/>
  <c r="N80" i="123"/>
  <c r="W80" i="123" s="1"/>
  <c r="I80" i="123"/>
  <c r="H80" i="123"/>
  <c r="Y79" i="123"/>
  <c r="W79" i="123"/>
  <c r="U79" i="123"/>
  <c r="T79" i="123"/>
  <c r="R79" i="123"/>
  <c r="Q79" i="123"/>
  <c r="P79" i="123"/>
  <c r="N79" i="123"/>
  <c r="I79" i="123"/>
  <c r="H79" i="123"/>
  <c r="Y78" i="123"/>
  <c r="T78" i="123"/>
  <c r="S78" i="123"/>
  <c r="R78" i="123"/>
  <c r="Q78" i="123"/>
  <c r="P78" i="123"/>
  <c r="O78" i="123"/>
  <c r="N78" i="123"/>
  <c r="V78" i="123" s="1"/>
  <c r="I78" i="123"/>
  <c r="H78" i="123"/>
  <c r="Y77" i="123"/>
  <c r="V77" i="123"/>
  <c r="T77" i="123"/>
  <c r="S77" i="123"/>
  <c r="R77" i="123"/>
  <c r="Q77" i="123"/>
  <c r="P77" i="123"/>
  <c r="O77" i="123"/>
  <c r="N77" i="123"/>
  <c r="W77" i="123" s="1"/>
  <c r="I77" i="123"/>
  <c r="H77" i="123"/>
  <c r="X76" i="123"/>
  <c r="V76" i="123"/>
  <c r="T76" i="123"/>
  <c r="S76" i="123"/>
  <c r="R76" i="123"/>
  <c r="Q76" i="123"/>
  <c r="O76" i="123"/>
  <c r="N76" i="123"/>
  <c r="Y76" i="123" s="1"/>
  <c r="I76" i="123"/>
  <c r="H76" i="123"/>
  <c r="W75" i="123"/>
  <c r="U75" i="123"/>
  <c r="S75" i="123"/>
  <c r="Q75" i="123"/>
  <c r="P75" i="123"/>
  <c r="N75" i="123"/>
  <c r="R75" i="123" s="1"/>
  <c r="I75" i="123"/>
  <c r="H75" i="123"/>
  <c r="F75" i="123"/>
  <c r="N74" i="123"/>
  <c r="W74" i="123" s="1"/>
  <c r="I74" i="123"/>
  <c r="H74" i="123"/>
  <c r="N73" i="123"/>
  <c r="V73" i="123" s="1"/>
  <c r="I73" i="123"/>
  <c r="H73" i="123"/>
  <c r="Y72" i="123"/>
  <c r="AE56" i="159" s="1"/>
  <c r="X72" i="123"/>
  <c r="AD56" i="159" s="1"/>
  <c r="W72" i="123"/>
  <c r="AC56" i="159" s="1"/>
  <c r="V72" i="123"/>
  <c r="AB56" i="159" s="1"/>
  <c r="U72" i="123"/>
  <c r="AA56" i="159" s="1"/>
  <c r="T72" i="123"/>
  <c r="Z56" i="159" s="1"/>
  <c r="S72" i="123"/>
  <c r="Y56" i="159" s="1"/>
  <c r="R72" i="123"/>
  <c r="X56" i="159" s="1"/>
  <c r="Q72" i="123"/>
  <c r="W56" i="159" s="1"/>
  <c r="P72" i="123"/>
  <c r="V56" i="159" s="1"/>
  <c r="O72" i="123"/>
  <c r="N72" i="123"/>
  <c r="Z72" i="123" s="1"/>
  <c r="K72" i="123"/>
  <c r="I72" i="123"/>
  <c r="H72" i="123"/>
  <c r="F72" i="123"/>
  <c r="Y71" i="123"/>
  <c r="AE52" i="159" s="1"/>
  <c r="W71" i="123"/>
  <c r="AC52" i="159" s="1"/>
  <c r="S71" i="123"/>
  <c r="Y52" i="159" s="1"/>
  <c r="R71" i="123"/>
  <c r="X52" i="159" s="1"/>
  <c r="P71" i="123"/>
  <c r="V52" i="159" s="1"/>
  <c r="N71" i="123"/>
  <c r="V71" i="123" s="1"/>
  <c r="AB52" i="159" s="1"/>
  <c r="K71" i="123"/>
  <c r="I71" i="123"/>
  <c r="H71" i="123"/>
  <c r="F71" i="123"/>
  <c r="V70" i="123"/>
  <c r="S70" i="123"/>
  <c r="N70" i="123"/>
  <c r="Y70" i="123" s="1"/>
  <c r="K70" i="123"/>
  <c r="I70" i="123"/>
  <c r="H70" i="123"/>
  <c r="N69" i="123"/>
  <c r="Z69" i="123" s="1"/>
  <c r="I69" i="123"/>
  <c r="H69" i="123"/>
  <c r="Y68" i="123"/>
  <c r="V68" i="123"/>
  <c r="T68" i="123"/>
  <c r="S68" i="123"/>
  <c r="R68" i="123"/>
  <c r="Q68" i="123"/>
  <c r="N68" i="123"/>
  <c r="W68" i="123" s="1"/>
  <c r="K68" i="123"/>
  <c r="I68" i="123"/>
  <c r="H68" i="123"/>
  <c r="F68" i="123"/>
  <c r="F69" i="123" s="1"/>
  <c r="F70" i="123" s="1"/>
  <c r="F73" i="123" s="1"/>
  <c r="F74" i="123" s="1"/>
  <c r="Y67" i="123"/>
  <c r="V67" i="123"/>
  <c r="U67" i="123"/>
  <c r="T67" i="123"/>
  <c r="N67" i="123"/>
  <c r="R67" i="123" s="1"/>
  <c r="K67" i="123"/>
  <c r="I67" i="123"/>
  <c r="H67" i="123"/>
  <c r="F67" i="123"/>
  <c r="AA66" i="123"/>
  <c r="N65" i="123"/>
  <c r="S65" i="123" s="1"/>
  <c r="I65" i="123"/>
  <c r="H65" i="123"/>
  <c r="S64" i="123"/>
  <c r="R64" i="123"/>
  <c r="N64" i="123"/>
  <c r="U64" i="123" s="1"/>
  <c r="I64" i="123"/>
  <c r="H64" i="123"/>
  <c r="N63" i="123"/>
  <c r="V63" i="123" s="1"/>
  <c r="I63" i="123"/>
  <c r="H63" i="123"/>
  <c r="U62" i="123"/>
  <c r="N62" i="123"/>
  <c r="T62" i="123" s="1"/>
  <c r="I62" i="123"/>
  <c r="H62" i="123"/>
  <c r="F62" i="123"/>
  <c r="N61" i="123"/>
  <c r="I61" i="123"/>
  <c r="H61" i="123"/>
  <c r="F61" i="123"/>
  <c r="N60" i="123"/>
  <c r="I60" i="123"/>
  <c r="H60" i="123"/>
  <c r="F60" i="123"/>
  <c r="N59" i="123"/>
  <c r="T59" i="123" s="1"/>
  <c r="I59" i="123"/>
  <c r="H59" i="123"/>
  <c r="Y58" i="123"/>
  <c r="X58" i="123"/>
  <c r="V58" i="123"/>
  <c r="T58" i="123"/>
  <c r="S58" i="123"/>
  <c r="Q58" i="123"/>
  <c r="O58" i="123"/>
  <c r="N58" i="123"/>
  <c r="R58" i="123" s="1"/>
  <c r="I58" i="123"/>
  <c r="H58" i="123"/>
  <c r="Z57" i="123"/>
  <c r="Y57" i="123"/>
  <c r="X57" i="123"/>
  <c r="U57" i="123"/>
  <c r="T57" i="123"/>
  <c r="S57" i="123"/>
  <c r="Q57" i="123"/>
  <c r="O57" i="123"/>
  <c r="N57" i="123"/>
  <c r="W57" i="123" s="1"/>
  <c r="I57" i="123"/>
  <c r="H57" i="123"/>
  <c r="Z56" i="123"/>
  <c r="X56" i="123"/>
  <c r="W56" i="123"/>
  <c r="R56" i="123"/>
  <c r="Q56" i="123"/>
  <c r="N56" i="123"/>
  <c r="V56" i="123" s="1"/>
  <c r="I56" i="123"/>
  <c r="H56" i="123"/>
  <c r="Y55" i="123"/>
  <c r="W55" i="123"/>
  <c r="S55" i="123"/>
  <c r="Q55" i="123"/>
  <c r="P55" i="123"/>
  <c r="N55" i="123"/>
  <c r="R55" i="123" s="1"/>
  <c r="I55" i="123"/>
  <c r="H55" i="123"/>
  <c r="F55" i="123"/>
  <c r="N54" i="123"/>
  <c r="X54" i="123" s="1"/>
  <c r="I54" i="123"/>
  <c r="H54" i="123"/>
  <c r="F54" i="123"/>
  <c r="Z53" i="123"/>
  <c r="T53" i="123"/>
  <c r="R53" i="123"/>
  <c r="N53" i="123"/>
  <c r="Y53" i="123" s="1"/>
  <c r="I53" i="123"/>
  <c r="H53" i="123"/>
  <c r="F53" i="123"/>
  <c r="N52" i="123"/>
  <c r="V52" i="123" s="1"/>
  <c r="I52" i="123"/>
  <c r="H52" i="123"/>
  <c r="F52" i="123"/>
  <c r="V51" i="123"/>
  <c r="U51" i="123"/>
  <c r="N51" i="123"/>
  <c r="Z51" i="123" s="1"/>
  <c r="I51" i="123"/>
  <c r="H51" i="123"/>
  <c r="F51" i="123"/>
  <c r="Z50" i="123"/>
  <c r="Y50" i="123"/>
  <c r="X50" i="123"/>
  <c r="W50" i="123"/>
  <c r="V50" i="123"/>
  <c r="U50" i="123"/>
  <c r="T50" i="123"/>
  <c r="R50" i="123"/>
  <c r="Q50" i="123"/>
  <c r="P50" i="123"/>
  <c r="O50" i="123"/>
  <c r="N50" i="123"/>
  <c r="S50" i="123" s="1"/>
  <c r="I50" i="123"/>
  <c r="H50" i="123"/>
  <c r="F50" i="123"/>
  <c r="Z49" i="123"/>
  <c r="Y49" i="123"/>
  <c r="W49" i="123"/>
  <c r="U49" i="123"/>
  <c r="T49" i="123"/>
  <c r="S49" i="123"/>
  <c r="R49" i="123"/>
  <c r="Q49" i="123"/>
  <c r="P49" i="123"/>
  <c r="O49" i="123"/>
  <c r="N49" i="123"/>
  <c r="V49" i="123" s="1"/>
  <c r="I49" i="123"/>
  <c r="H49" i="123"/>
  <c r="F49" i="123"/>
  <c r="N48" i="123"/>
  <c r="Y48" i="123" s="1"/>
  <c r="I48" i="123"/>
  <c r="H48" i="123"/>
  <c r="F48" i="123"/>
  <c r="Z47" i="123"/>
  <c r="Y47" i="123"/>
  <c r="X47" i="123"/>
  <c r="W47" i="123"/>
  <c r="V47" i="123"/>
  <c r="U47" i="123"/>
  <c r="T47" i="123"/>
  <c r="S47" i="123"/>
  <c r="R47" i="123"/>
  <c r="Q47" i="123"/>
  <c r="P47" i="123"/>
  <c r="O47" i="123"/>
  <c r="N46" i="123"/>
  <c r="T46" i="123" s="1"/>
  <c r="H46" i="123"/>
  <c r="Z45" i="123"/>
  <c r="Y45" i="123"/>
  <c r="X45" i="123"/>
  <c r="V45" i="123"/>
  <c r="T45" i="123"/>
  <c r="R45" i="123"/>
  <c r="Q45" i="123"/>
  <c r="P45" i="123"/>
  <c r="O45" i="123"/>
  <c r="N45" i="123"/>
  <c r="W45" i="123" s="1"/>
  <c r="I45" i="123"/>
  <c r="I106" i="123" s="1"/>
  <c r="H45" i="123"/>
  <c r="H106" i="123" s="1"/>
  <c r="F45" i="123"/>
  <c r="N44" i="123"/>
  <c r="Q44" i="123" s="1"/>
  <c r="I44" i="123"/>
  <c r="I105" i="123" s="1"/>
  <c r="H44" i="123"/>
  <c r="H105" i="123" s="1"/>
  <c r="Z43" i="123"/>
  <c r="Y43" i="123"/>
  <c r="X43" i="123"/>
  <c r="T43" i="123"/>
  <c r="R43" i="123"/>
  <c r="Q43" i="123"/>
  <c r="O43" i="123"/>
  <c r="N43" i="123"/>
  <c r="S43" i="123" s="1"/>
  <c r="I43" i="123"/>
  <c r="I104" i="123" s="1"/>
  <c r="H43" i="123"/>
  <c r="H104" i="123" s="1"/>
  <c r="Z42" i="123"/>
  <c r="Y42" i="123"/>
  <c r="T42" i="123"/>
  <c r="S42" i="123"/>
  <c r="R42" i="123"/>
  <c r="N42" i="123"/>
  <c r="U42" i="123" s="1"/>
  <c r="I42" i="123"/>
  <c r="I103" i="123" s="1"/>
  <c r="H42" i="123"/>
  <c r="H103" i="123" s="1"/>
  <c r="F42" i="123"/>
  <c r="N41" i="123"/>
  <c r="U41" i="123" s="1"/>
  <c r="I41" i="123"/>
  <c r="I102" i="123" s="1"/>
  <c r="H41" i="123"/>
  <c r="H102" i="123" s="1"/>
  <c r="F41" i="123"/>
  <c r="W40" i="123"/>
  <c r="V40" i="123"/>
  <c r="P40" i="123"/>
  <c r="N40" i="123"/>
  <c r="K40" i="123"/>
  <c r="I40" i="123"/>
  <c r="I101" i="123" s="1"/>
  <c r="H40" i="123"/>
  <c r="H101" i="123" s="1"/>
  <c r="F40" i="123"/>
  <c r="N39" i="123"/>
  <c r="Q39" i="123" s="1"/>
  <c r="I39" i="123"/>
  <c r="I100" i="123" s="1"/>
  <c r="H39" i="123"/>
  <c r="H100" i="123" s="1"/>
  <c r="T38" i="123"/>
  <c r="R38" i="123"/>
  <c r="N38" i="123"/>
  <c r="S38" i="123" s="1"/>
  <c r="I38" i="123"/>
  <c r="I99" i="123" s="1"/>
  <c r="H38" i="123"/>
  <c r="H99" i="123" s="1"/>
  <c r="N37" i="123"/>
  <c r="V37" i="123" s="1"/>
  <c r="I37" i="123"/>
  <c r="I98" i="123" s="1"/>
  <c r="H37" i="123"/>
  <c r="H98" i="123" s="1"/>
  <c r="U36" i="123"/>
  <c r="T36" i="123"/>
  <c r="N36" i="123"/>
  <c r="V36" i="123" s="1"/>
  <c r="I36" i="123"/>
  <c r="I97" i="123" s="1"/>
  <c r="H36" i="123"/>
  <c r="F36" i="123"/>
  <c r="N35" i="123"/>
  <c r="Z35" i="123" s="1"/>
  <c r="I35" i="123"/>
  <c r="I96" i="123" s="1"/>
  <c r="H35" i="123"/>
  <c r="H96" i="123" s="1"/>
  <c r="F35" i="123"/>
  <c r="Z34" i="123"/>
  <c r="Y34" i="123"/>
  <c r="U34" i="123"/>
  <c r="T34" i="123"/>
  <c r="S34" i="123"/>
  <c r="N34" i="123"/>
  <c r="O34" i="123" s="1"/>
  <c r="K34" i="123"/>
  <c r="I34" i="123"/>
  <c r="I95" i="123" s="1"/>
  <c r="H34" i="123"/>
  <c r="H95" i="123" s="1"/>
  <c r="F34" i="123"/>
  <c r="AA33" i="123"/>
  <c r="N33" i="123"/>
  <c r="K33" i="123"/>
  <c r="I33" i="123"/>
  <c r="I94" i="123" s="1"/>
  <c r="H33" i="123"/>
  <c r="H94" i="123" s="1"/>
  <c r="F33" i="123"/>
  <c r="U32" i="123"/>
  <c r="T32" i="123"/>
  <c r="S32" i="123"/>
  <c r="N32" i="123"/>
  <c r="K32" i="123"/>
  <c r="I32" i="123"/>
  <c r="I93" i="123" s="1"/>
  <c r="H32" i="123"/>
  <c r="H93" i="123" s="1"/>
  <c r="F32" i="123"/>
  <c r="Y31" i="123"/>
  <c r="X31" i="123"/>
  <c r="AD51" i="159" s="1"/>
  <c r="W31" i="123"/>
  <c r="V31" i="123"/>
  <c r="AB51" i="159" s="1"/>
  <c r="U31" i="123"/>
  <c r="AA51" i="159" s="1"/>
  <c r="T31" i="123"/>
  <c r="Z51" i="159" s="1"/>
  <c r="S31" i="123"/>
  <c r="Y51" i="159" s="1"/>
  <c r="R31" i="123"/>
  <c r="Q31" i="123"/>
  <c r="P31" i="123"/>
  <c r="V51" i="159" s="1"/>
  <c r="O31" i="123"/>
  <c r="U51" i="159" s="1"/>
  <c r="N31" i="123"/>
  <c r="I31" i="123"/>
  <c r="I92" i="123" s="1"/>
  <c r="H31" i="123"/>
  <c r="H92" i="123" s="1"/>
  <c r="F31" i="123"/>
  <c r="N30" i="123"/>
  <c r="R30" i="123" s="1"/>
  <c r="I30" i="123"/>
  <c r="I91" i="123" s="1"/>
  <c r="H30" i="123"/>
  <c r="H91" i="123" s="1"/>
  <c r="F30" i="123"/>
  <c r="N29" i="123"/>
  <c r="I29" i="123"/>
  <c r="I90" i="123" s="1"/>
  <c r="H29" i="123"/>
  <c r="H90" i="123" s="1"/>
  <c r="F29" i="123"/>
  <c r="Z28" i="123"/>
  <c r="Y28" i="123"/>
  <c r="W28" i="123"/>
  <c r="U28" i="123"/>
  <c r="T28" i="123"/>
  <c r="S28" i="123"/>
  <c r="R28" i="123"/>
  <c r="Q28" i="123"/>
  <c r="P28" i="123"/>
  <c r="O28" i="123"/>
  <c r="N28" i="123"/>
  <c r="X28" i="123" s="1"/>
  <c r="I28" i="123"/>
  <c r="I89" i="123" s="1"/>
  <c r="H28" i="123"/>
  <c r="H89" i="123" s="1"/>
  <c r="F28" i="123"/>
  <c r="Z27" i="123"/>
  <c r="Y27" i="123"/>
  <c r="S27" i="123"/>
  <c r="N27" i="123"/>
  <c r="X27" i="123" s="1"/>
  <c r="I27" i="123"/>
  <c r="H27" i="123"/>
  <c r="H88" i="123" s="1"/>
  <c r="F27" i="123"/>
  <c r="Z26" i="123"/>
  <c r="Y26" i="123"/>
  <c r="X26" i="123"/>
  <c r="W26" i="123"/>
  <c r="V26" i="123"/>
  <c r="U26" i="123"/>
  <c r="T26" i="123"/>
  <c r="S26" i="123"/>
  <c r="R26" i="123"/>
  <c r="Q26" i="123"/>
  <c r="P26" i="123"/>
  <c r="O26" i="123"/>
  <c r="N25" i="123"/>
  <c r="O25" i="123" s="1"/>
  <c r="Z24" i="123"/>
  <c r="T24" i="123"/>
  <c r="N24" i="123"/>
  <c r="O24" i="123" s="1"/>
  <c r="F24" i="123"/>
  <c r="Z23" i="123"/>
  <c r="W23" i="123"/>
  <c r="V23" i="123"/>
  <c r="U23" i="123"/>
  <c r="N23" i="123"/>
  <c r="P23" i="123" s="1"/>
  <c r="N22" i="123"/>
  <c r="X22" i="123" s="1"/>
  <c r="F22" i="123"/>
  <c r="S21" i="123"/>
  <c r="R21" i="123"/>
  <c r="N21" i="123"/>
  <c r="Y21" i="123" s="1"/>
  <c r="F21" i="123"/>
  <c r="N20" i="123"/>
  <c r="U20" i="123" s="1"/>
  <c r="F20" i="123"/>
  <c r="V19" i="123"/>
  <c r="N19" i="123"/>
  <c r="N18" i="123"/>
  <c r="V17" i="123"/>
  <c r="U17" i="123"/>
  <c r="T17" i="123"/>
  <c r="N17" i="123"/>
  <c r="N16" i="123"/>
  <c r="F16" i="123"/>
  <c r="Z15" i="123"/>
  <c r="Y15" i="123"/>
  <c r="W15" i="123"/>
  <c r="U15" i="123"/>
  <c r="T15" i="123"/>
  <c r="S15" i="123"/>
  <c r="R15" i="123"/>
  <c r="Q15" i="123"/>
  <c r="P15" i="123"/>
  <c r="O15" i="123"/>
  <c r="N15" i="123"/>
  <c r="X15" i="123" s="1"/>
  <c r="F15" i="123"/>
  <c r="N14" i="123"/>
  <c r="O14" i="123" s="1"/>
  <c r="F14" i="123"/>
  <c r="Z13" i="123"/>
  <c r="Y13" i="123"/>
  <c r="X13" i="123"/>
  <c r="W13" i="123"/>
  <c r="S13" i="123"/>
  <c r="R13" i="123"/>
  <c r="Q13" i="123"/>
  <c r="O13" i="123"/>
  <c r="N13" i="123"/>
  <c r="P13" i="123" s="1"/>
  <c r="F13" i="123"/>
  <c r="Z12" i="123"/>
  <c r="Y12" i="123"/>
  <c r="X12" i="123"/>
  <c r="T12" i="123"/>
  <c r="S12" i="123"/>
  <c r="R12" i="123"/>
  <c r="N12" i="123"/>
  <c r="Q12" i="123" s="1"/>
  <c r="F12" i="123"/>
  <c r="N11" i="123"/>
  <c r="R11" i="123" s="1"/>
  <c r="F11" i="123"/>
  <c r="N10" i="123"/>
  <c r="N9" i="123"/>
  <c r="Q9" i="123" s="1"/>
  <c r="F9" i="123"/>
  <c r="N8" i="123"/>
  <c r="O8" i="123" s="1"/>
  <c r="K8" i="123"/>
  <c r="F8" i="123"/>
  <c r="Z7" i="123"/>
  <c r="Y7" i="123"/>
  <c r="U7" i="123"/>
  <c r="S7" i="123"/>
  <c r="Q7" i="123"/>
  <c r="P7" i="123"/>
  <c r="O7" i="123"/>
  <c r="N7" i="123"/>
  <c r="W7" i="123" s="1"/>
  <c r="K7" i="123"/>
  <c r="F7" i="123"/>
  <c r="Z4" i="123"/>
  <c r="Y4" i="123"/>
  <c r="X4" i="123"/>
  <c r="W4" i="123"/>
  <c r="V4" i="123"/>
  <c r="U4" i="123"/>
  <c r="T4" i="123"/>
  <c r="S4" i="123"/>
  <c r="R4" i="123"/>
  <c r="Q4" i="123"/>
  <c r="P4" i="123"/>
  <c r="O4" i="123"/>
  <c r="A58" i="236"/>
  <c r="A56" i="236"/>
  <c r="C54" i="236"/>
  <c r="B54" i="236"/>
  <c r="A54" i="236"/>
  <c r="A52" i="236"/>
  <c r="A51" i="236"/>
  <c r="A50" i="236"/>
  <c r="A49" i="236"/>
  <c r="A48" i="236"/>
  <c r="A47" i="236"/>
  <c r="A46" i="236"/>
  <c r="A45" i="236"/>
  <c r="A44" i="236"/>
  <c r="A42" i="236"/>
  <c r="Q41" i="236"/>
  <c r="A41" i="236"/>
  <c r="Q40" i="236"/>
  <c r="A40" i="236"/>
  <c r="Q39" i="236"/>
  <c r="A39" i="236"/>
  <c r="A38" i="236"/>
  <c r="A37" i="236"/>
  <c r="A36" i="236"/>
  <c r="A35" i="236"/>
  <c r="A34" i="236"/>
  <c r="A33" i="236"/>
  <c r="A32" i="236"/>
  <c r="A31" i="236"/>
  <c r="A29" i="236"/>
  <c r="A27" i="236"/>
  <c r="A26" i="236"/>
  <c r="A25" i="236"/>
  <c r="P24" i="236"/>
  <c r="O24" i="236"/>
  <c r="N24" i="236"/>
  <c r="M24" i="236"/>
  <c r="L24" i="236"/>
  <c r="K24" i="236"/>
  <c r="J24" i="236"/>
  <c r="I24" i="236"/>
  <c r="H24" i="236"/>
  <c r="G24" i="236"/>
  <c r="F24" i="236"/>
  <c r="E24" i="236"/>
  <c r="A24" i="236"/>
  <c r="Q23" i="236"/>
  <c r="C23" i="236"/>
  <c r="B23" i="236"/>
  <c r="A23" i="236"/>
  <c r="Q22" i="236"/>
  <c r="C22" i="236"/>
  <c r="B22" i="236"/>
  <c r="A22" i="236"/>
  <c r="Q21" i="236"/>
  <c r="C21" i="236"/>
  <c r="B21" i="236"/>
  <c r="A21" i="236"/>
  <c r="Q20" i="236"/>
  <c r="C20" i="236"/>
  <c r="B20" i="236"/>
  <c r="A20" i="236"/>
  <c r="Q19" i="236"/>
  <c r="C19" i="236"/>
  <c r="B19" i="236"/>
  <c r="A19" i="236"/>
  <c r="A18" i="236"/>
  <c r="Q17" i="236"/>
  <c r="C17" i="236"/>
  <c r="B17" i="236"/>
  <c r="A17" i="236"/>
  <c r="Q16" i="236"/>
  <c r="C16" i="236"/>
  <c r="B16" i="236"/>
  <c r="A16" i="236"/>
  <c r="Q15" i="236"/>
  <c r="C15" i="236"/>
  <c r="B15" i="236"/>
  <c r="A15" i="236"/>
  <c r="C14" i="236"/>
  <c r="B14" i="236"/>
  <c r="A14" i="236"/>
  <c r="C13" i="236"/>
  <c r="B13" i="236"/>
  <c r="A13" i="236"/>
  <c r="P12" i="236"/>
  <c r="O12" i="236"/>
  <c r="N12" i="236"/>
  <c r="M12" i="236"/>
  <c r="L12" i="236"/>
  <c r="K12" i="236"/>
  <c r="J12" i="236"/>
  <c r="I12" i="236"/>
  <c r="H12" i="236"/>
  <c r="G12" i="236"/>
  <c r="F12" i="236"/>
  <c r="E12" i="236"/>
  <c r="C12" i="236" s="1"/>
  <c r="A12" i="236"/>
  <c r="E10" i="236"/>
  <c r="A10" i="236"/>
  <c r="AE4" i="236"/>
  <c r="AD4" i="236"/>
  <c r="AC4" i="236"/>
  <c r="AB4" i="236"/>
  <c r="AA4" i="236"/>
  <c r="Z4" i="236"/>
  <c r="Y4" i="236"/>
  <c r="X4" i="236"/>
  <c r="W4" i="236"/>
  <c r="V4" i="236"/>
  <c r="U4" i="236"/>
  <c r="T4" i="236"/>
  <c r="S4" i="236"/>
  <c r="R4" i="236"/>
  <c r="Q4" i="236"/>
  <c r="C4" i="236"/>
  <c r="B4" i="236"/>
  <c r="P2" i="236"/>
  <c r="C2" i="236"/>
  <c r="A58" i="233"/>
  <c r="A56" i="233"/>
  <c r="C54" i="233"/>
  <c r="B54" i="233"/>
  <c r="A54" i="233"/>
  <c r="AA52" i="233"/>
  <c r="Y52" i="233"/>
  <c r="X52" i="233"/>
  <c r="U52" i="233"/>
  <c r="A52" i="233"/>
  <c r="AE51" i="233"/>
  <c r="A51" i="233"/>
  <c r="AE50" i="233"/>
  <c r="A50" i="233"/>
  <c r="AE49" i="233"/>
  <c r="A49" i="233"/>
  <c r="AE48" i="233"/>
  <c r="AD48" i="233"/>
  <c r="AC48" i="233"/>
  <c r="AB48" i="233"/>
  <c r="AA48" i="233"/>
  <c r="Z48" i="233"/>
  <c r="Y48" i="233"/>
  <c r="X48" i="233"/>
  <c r="W48" i="233"/>
  <c r="V48" i="233"/>
  <c r="U48" i="233"/>
  <c r="T48" i="233"/>
  <c r="S48" i="233"/>
  <c r="A48" i="233"/>
  <c r="AE47" i="233"/>
  <c r="I47" i="233"/>
  <c r="A47" i="233"/>
  <c r="AE46" i="233"/>
  <c r="A46" i="233"/>
  <c r="AE45" i="233"/>
  <c r="A45" i="233"/>
  <c r="AE44" i="233"/>
  <c r="AE52" i="233" s="1"/>
  <c r="AD44" i="233"/>
  <c r="AD52" i="233" s="1"/>
  <c r="AC44" i="233"/>
  <c r="AC52" i="233" s="1"/>
  <c r="AB44" i="233"/>
  <c r="AB52" i="233" s="1"/>
  <c r="AA44" i="233"/>
  <c r="Z44" i="233"/>
  <c r="Z52" i="233" s="1"/>
  <c r="Y44" i="233"/>
  <c r="X44" i="233"/>
  <c r="W44" i="233"/>
  <c r="W52" i="233" s="1"/>
  <c r="V44" i="233"/>
  <c r="V52" i="233" s="1"/>
  <c r="U44" i="233"/>
  <c r="T44" i="233"/>
  <c r="T52" i="233" s="1"/>
  <c r="S44" i="233"/>
  <c r="S52" i="233" s="1"/>
  <c r="A44" i="233"/>
  <c r="AE42" i="233"/>
  <c r="AD42" i="233"/>
  <c r="AC42" i="233"/>
  <c r="AB42" i="233"/>
  <c r="AA42" i="233"/>
  <c r="Z42" i="233"/>
  <c r="Y42" i="233"/>
  <c r="X42" i="233"/>
  <c r="W42" i="233"/>
  <c r="V42" i="233"/>
  <c r="U42" i="233"/>
  <c r="T42" i="233"/>
  <c r="S42" i="233"/>
  <c r="A42" i="233"/>
  <c r="AE41" i="233"/>
  <c r="A41" i="233"/>
  <c r="AE40" i="233"/>
  <c r="A40" i="233"/>
  <c r="AE39" i="233"/>
  <c r="AE38" i="233"/>
  <c r="A38" i="233"/>
  <c r="AE37" i="233"/>
  <c r="AD37" i="233"/>
  <c r="AC37" i="233"/>
  <c r="AB37" i="233"/>
  <c r="AA37" i="233"/>
  <c r="Z37" i="233"/>
  <c r="Y37" i="233"/>
  <c r="X37" i="233"/>
  <c r="W37" i="233"/>
  <c r="V37" i="233"/>
  <c r="U37" i="233"/>
  <c r="T37" i="233"/>
  <c r="S37" i="233"/>
  <c r="A37" i="233"/>
  <c r="AE36" i="233"/>
  <c r="A36" i="233"/>
  <c r="AE35" i="233"/>
  <c r="A35" i="233"/>
  <c r="AE34" i="233"/>
  <c r="A34" i="233"/>
  <c r="AE33" i="233"/>
  <c r="A33" i="233"/>
  <c r="AE32" i="233"/>
  <c r="A32" i="233"/>
  <c r="AE31" i="233"/>
  <c r="AD31" i="233"/>
  <c r="AC31" i="233"/>
  <c r="AB31" i="233"/>
  <c r="AA31" i="233"/>
  <c r="Z31" i="233"/>
  <c r="Y31" i="233"/>
  <c r="X31" i="233"/>
  <c r="W31" i="233"/>
  <c r="V31" i="233"/>
  <c r="U31" i="233"/>
  <c r="T31" i="233"/>
  <c r="S31" i="233"/>
  <c r="A31" i="233"/>
  <c r="AE29" i="233"/>
  <c r="AE56" i="233" s="1"/>
  <c r="AD29" i="233"/>
  <c r="AC29" i="233"/>
  <c r="AC56" i="233" s="1"/>
  <c r="AB29" i="233"/>
  <c r="AB56" i="233" s="1"/>
  <c r="AA29" i="233"/>
  <c r="AA56" i="233" s="1"/>
  <c r="Z29" i="233"/>
  <c r="Y29" i="233"/>
  <c r="Y56" i="233" s="1"/>
  <c r="X29" i="233"/>
  <c r="X56" i="233" s="1"/>
  <c r="W29" i="233"/>
  <c r="V29" i="233"/>
  <c r="V56" i="233" s="1"/>
  <c r="U29" i="233"/>
  <c r="U56" i="233" s="1"/>
  <c r="T29" i="233"/>
  <c r="S29" i="233"/>
  <c r="S56" i="233" s="1"/>
  <c r="A29" i="233"/>
  <c r="AE27" i="233"/>
  <c r="A27" i="233"/>
  <c r="A26" i="233"/>
  <c r="AE25" i="233"/>
  <c r="A25" i="233"/>
  <c r="AE24" i="233"/>
  <c r="A24" i="233"/>
  <c r="AE23" i="233"/>
  <c r="Q23" i="233"/>
  <c r="C23" i="233"/>
  <c r="B23" i="233"/>
  <c r="A23" i="233"/>
  <c r="AE22" i="233"/>
  <c r="Q22" i="233"/>
  <c r="C22" i="233"/>
  <c r="B22" i="233"/>
  <c r="A22" i="233"/>
  <c r="AE21" i="233"/>
  <c r="Q21" i="233"/>
  <c r="C21" i="233"/>
  <c r="B21" i="233"/>
  <c r="A21" i="233"/>
  <c r="AE20" i="233"/>
  <c r="Q20" i="233"/>
  <c r="C20" i="233"/>
  <c r="B20" i="233"/>
  <c r="A20" i="233"/>
  <c r="AE19" i="233"/>
  <c r="Q19" i="233"/>
  <c r="C19" i="233"/>
  <c r="B19" i="233"/>
  <c r="A19" i="233"/>
  <c r="AE18" i="233"/>
  <c r="AD18" i="233"/>
  <c r="AC18" i="233"/>
  <c r="AB18" i="233"/>
  <c r="AA18" i="233"/>
  <c r="Z18" i="233"/>
  <c r="Y18" i="233"/>
  <c r="X18" i="233"/>
  <c r="W18" i="233"/>
  <c r="V18" i="233"/>
  <c r="U18" i="233"/>
  <c r="T18" i="233"/>
  <c r="S18" i="233"/>
  <c r="A18" i="233"/>
  <c r="AE17" i="233"/>
  <c r="Q17" i="233"/>
  <c r="C17" i="233"/>
  <c r="B17" i="233"/>
  <c r="A17" i="233"/>
  <c r="AE16" i="233"/>
  <c r="Q16" i="233"/>
  <c r="C16" i="233"/>
  <c r="B16" i="233"/>
  <c r="A16" i="233"/>
  <c r="AE15" i="233"/>
  <c r="Q15" i="233"/>
  <c r="C15" i="233"/>
  <c r="B15" i="233"/>
  <c r="A15" i="233"/>
  <c r="C14" i="233"/>
  <c r="B14" i="233"/>
  <c r="A14" i="233"/>
  <c r="AE13" i="233"/>
  <c r="Q13" i="233"/>
  <c r="C13" i="233"/>
  <c r="B13" i="233"/>
  <c r="A13" i="233"/>
  <c r="AE12" i="233"/>
  <c r="AD12" i="233"/>
  <c r="AC12" i="233"/>
  <c r="AB12" i="233"/>
  <c r="AA12" i="233"/>
  <c r="Z12" i="233"/>
  <c r="Y12" i="233"/>
  <c r="X12" i="233"/>
  <c r="W12" i="233"/>
  <c r="V12" i="233"/>
  <c r="U12" i="233"/>
  <c r="T12" i="233"/>
  <c r="S12" i="233"/>
  <c r="P12" i="233"/>
  <c r="O12" i="233"/>
  <c r="N12" i="233"/>
  <c r="M12" i="233"/>
  <c r="L12" i="233"/>
  <c r="K12" i="233"/>
  <c r="J12" i="233"/>
  <c r="I12" i="233"/>
  <c r="H12" i="233"/>
  <c r="G12" i="233"/>
  <c r="F12" i="233"/>
  <c r="E12" i="233"/>
  <c r="C12" i="233" s="1"/>
  <c r="A12" i="233"/>
  <c r="A10" i="233"/>
  <c r="AE4" i="233"/>
  <c r="AD4" i="233"/>
  <c r="AC4" i="233"/>
  <c r="AB4" i="233"/>
  <c r="AA4" i="233"/>
  <c r="Z4" i="233"/>
  <c r="Y4" i="233"/>
  <c r="X4" i="233"/>
  <c r="W4" i="233"/>
  <c r="V4" i="233"/>
  <c r="U4" i="233"/>
  <c r="T4" i="233"/>
  <c r="S4" i="233"/>
  <c r="R4" i="233"/>
  <c r="Q4" i="233"/>
  <c r="C4" i="233"/>
  <c r="B4" i="233"/>
  <c r="P2" i="233"/>
  <c r="C2" i="233"/>
  <c r="A58" i="232"/>
  <c r="A56" i="232"/>
  <c r="C54" i="232"/>
  <c r="B54" i="232"/>
  <c r="A54" i="232"/>
  <c r="AB52" i="232"/>
  <c r="AA52" i="232"/>
  <c r="X52" i="232"/>
  <c r="W52" i="232"/>
  <c r="U52" i="232"/>
  <c r="A52" i="232"/>
  <c r="AE51" i="232"/>
  <c r="L51" i="232"/>
  <c r="A51" i="232"/>
  <c r="AE50" i="232"/>
  <c r="A50" i="232"/>
  <c r="AE49" i="232"/>
  <c r="A49" i="232"/>
  <c r="AE48" i="232"/>
  <c r="AD48" i="232"/>
  <c r="AC48" i="232"/>
  <c r="AB48" i="232"/>
  <c r="AA48" i="232"/>
  <c r="Z48" i="232"/>
  <c r="Y48" i="232"/>
  <c r="X48" i="232"/>
  <c r="W48" i="232"/>
  <c r="V48" i="232"/>
  <c r="U48" i="232"/>
  <c r="T48" i="232"/>
  <c r="S48" i="232"/>
  <c r="A48" i="232"/>
  <c r="AE47" i="232"/>
  <c r="A47" i="232"/>
  <c r="AE46" i="232"/>
  <c r="A46" i="232"/>
  <c r="AE45" i="232"/>
  <c r="AE44" i="232" s="1"/>
  <c r="AE52" i="232" s="1"/>
  <c r="A45" i="232"/>
  <c r="AD44" i="232"/>
  <c r="AD52" i="232" s="1"/>
  <c r="AC44" i="232"/>
  <c r="AC52" i="232" s="1"/>
  <c r="AB44" i="232"/>
  <c r="AA44" i="232"/>
  <c r="Z44" i="232"/>
  <c r="Z52" i="232" s="1"/>
  <c r="Y44" i="232"/>
  <c r="Y52" i="232" s="1"/>
  <c r="X44" i="232"/>
  <c r="W44" i="232"/>
  <c r="V44" i="232"/>
  <c r="V52" i="232" s="1"/>
  <c r="U44" i="232"/>
  <c r="T44" i="232"/>
  <c r="T52" i="232" s="1"/>
  <c r="S44" i="232"/>
  <c r="S52" i="232" s="1"/>
  <c r="A44" i="232"/>
  <c r="AD42" i="232"/>
  <c r="AB42" i="232"/>
  <c r="X42" i="232"/>
  <c r="W42" i="232"/>
  <c r="T42" i="232"/>
  <c r="A42" i="232"/>
  <c r="AE41" i="232"/>
  <c r="A41" i="232"/>
  <c r="AE40" i="232"/>
  <c r="A40" i="232"/>
  <c r="AE39" i="232"/>
  <c r="A39" i="232"/>
  <c r="AE38" i="232"/>
  <c r="A38" i="232"/>
  <c r="AE37" i="232"/>
  <c r="AD37" i="232"/>
  <c r="AC37" i="232"/>
  <c r="AB37" i="232"/>
  <c r="AA37" i="232"/>
  <c r="Z37" i="232"/>
  <c r="Y37" i="232"/>
  <c r="X37" i="232"/>
  <c r="W37" i="232"/>
  <c r="V37" i="232"/>
  <c r="U37" i="232"/>
  <c r="T37" i="232"/>
  <c r="S37" i="232"/>
  <c r="A37" i="232"/>
  <c r="AE36" i="232"/>
  <c r="A36" i="232"/>
  <c r="AE35" i="232"/>
  <c r="A35" i="232"/>
  <c r="AE34" i="232"/>
  <c r="A34" i="232"/>
  <c r="AE33" i="232"/>
  <c r="A33" i="232"/>
  <c r="AE32" i="232"/>
  <c r="A32" i="232"/>
  <c r="AD31" i="232"/>
  <c r="AC31" i="232"/>
  <c r="AC42" i="232" s="1"/>
  <c r="AB31" i="232"/>
  <c r="AA31" i="232"/>
  <c r="AA42" i="232" s="1"/>
  <c r="Z31" i="232"/>
  <c r="Z42" i="232" s="1"/>
  <c r="Y31" i="232"/>
  <c r="Y42" i="232" s="1"/>
  <c r="X31" i="232"/>
  <c r="W31" i="232"/>
  <c r="V31" i="232"/>
  <c r="V42" i="232" s="1"/>
  <c r="U31" i="232"/>
  <c r="U42" i="232" s="1"/>
  <c r="T31" i="232"/>
  <c r="S31" i="232"/>
  <c r="S42" i="232" s="1"/>
  <c r="A31" i="232"/>
  <c r="AE29" i="232"/>
  <c r="AD29" i="232"/>
  <c r="AC29" i="232"/>
  <c r="AB29" i="232"/>
  <c r="AB56" i="232" s="1"/>
  <c r="AA29" i="232"/>
  <c r="Z29" i="232"/>
  <c r="Z56" i="232" s="1"/>
  <c r="Y29" i="232"/>
  <c r="X29" i="232"/>
  <c r="X56" i="232" s="1"/>
  <c r="W29" i="232"/>
  <c r="V29" i="232"/>
  <c r="U29" i="232"/>
  <c r="T29" i="232"/>
  <c r="S29" i="232"/>
  <c r="A29" i="232"/>
  <c r="AE27" i="232"/>
  <c r="A27" i="232"/>
  <c r="A26" i="232"/>
  <c r="AE25" i="232"/>
  <c r="A25" i="232"/>
  <c r="AE24" i="232"/>
  <c r="A24" i="232"/>
  <c r="AE23" i="232"/>
  <c r="A23" i="232"/>
  <c r="AE22" i="232"/>
  <c r="Q22" i="232"/>
  <c r="C22" i="232"/>
  <c r="B22" i="232"/>
  <c r="A22" i="232"/>
  <c r="AE21" i="232"/>
  <c r="Q21" i="232"/>
  <c r="C21" i="232"/>
  <c r="B21" i="232"/>
  <c r="A21" i="232"/>
  <c r="AE20" i="232"/>
  <c r="Q20" i="232"/>
  <c r="C20" i="232"/>
  <c r="B20" i="232"/>
  <c r="A20" i="232"/>
  <c r="AE19" i="232"/>
  <c r="Q19" i="232"/>
  <c r="C19" i="232"/>
  <c r="B19" i="232"/>
  <c r="A19" i="232"/>
  <c r="AE18" i="232"/>
  <c r="AD18" i="232"/>
  <c r="AC18" i="232"/>
  <c r="AB18" i="232"/>
  <c r="AA18" i="232"/>
  <c r="Z18" i="232"/>
  <c r="Y18" i="232"/>
  <c r="X18" i="232"/>
  <c r="W18" i="232"/>
  <c r="V18" i="232"/>
  <c r="U18" i="232"/>
  <c r="T18" i="232"/>
  <c r="S18" i="232"/>
  <c r="A18" i="232"/>
  <c r="AE17" i="232"/>
  <c r="Q17" i="232"/>
  <c r="C17" i="232"/>
  <c r="B17" i="232"/>
  <c r="A17" i="232"/>
  <c r="AE16" i="232"/>
  <c r="Q16" i="232"/>
  <c r="C16" i="232"/>
  <c r="B16" i="232"/>
  <c r="A16" i="232"/>
  <c r="AE15" i="232"/>
  <c r="Q15" i="232"/>
  <c r="G15" i="232"/>
  <c r="C15" i="232"/>
  <c r="B15" i="232"/>
  <c r="A15" i="232"/>
  <c r="C14" i="232"/>
  <c r="B14" i="232"/>
  <c r="A14" i="232"/>
  <c r="AE13" i="232"/>
  <c r="C13" i="232"/>
  <c r="B13" i="232"/>
  <c r="A13" i="232"/>
  <c r="AE12" i="232"/>
  <c r="AD12" i="232"/>
  <c r="AC12" i="232"/>
  <c r="AB12" i="232"/>
  <c r="AA12" i="232"/>
  <c r="Z12" i="232"/>
  <c r="Y12" i="232"/>
  <c r="X12" i="232"/>
  <c r="W12" i="232"/>
  <c r="V12" i="232"/>
  <c r="U12" i="232"/>
  <c r="T12" i="232"/>
  <c r="S12" i="232"/>
  <c r="Q12" i="232"/>
  <c r="P12" i="232"/>
  <c r="O12" i="232"/>
  <c r="N12" i="232"/>
  <c r="M12" i="232"/>
  <c r="L12" i="232"/>
  <c r="K12" i="232"/>
  <c r="J12" i="232"/>
  <c r="I12" i="232"/>
  <c r="H12" i="232"/>
  <c r="G12" i="232"/>
  <c r="F12" i="232"/>
  <c r="E12" i="232"/>
  <c r="C12" i="232" s="1"/>
  <c r="A12" i="232"/>
  <c r="A10" i="232"/>
  <c r="AE4" i="232"/>
  <c r="AD4" i="232"/>
  <c r="AC4" i="232"/>
  <c r="AB4" i="232"/>
  <c r="AA4" i="232"/>
  <c r="Z4" i="232"/>
  <c r="Y4" i="232"/>
  <c r="X4" i="232"/>
  <c r="W4" i="232"/>
  <c r="V4" i="232"/>
  <c r="U4" i="232"/>
  <c r="T4" i="232"/>
  <c r="S4" i="232"/>
  <c r="R4" i="232"/>
  <c r="Q4" i="232"/>
  <c r="C4" i="232"/>
  <c r="B4" i="232"/>
  <c r="P2" i="232"/>
  <c r="C2" i="232"/>
  <c r="A58" i="231"/>
  <c r="A56" i="231"/>
  <c r="C54" i="231"/>
  <c r="B54" i="231"/>
  <c r="A54" i="231"/>
  <c r="Z52" i="231"/>
  <c r="Y52" i="231"/>
  <c r="X52" i="231"/>
  <c r="T52" i="231"/>
  <c r="A52" i="231"/>
  <c r="AE51" i="231"/>
  <c r="A51" i="231"/>
  <c r="AE50" i="231"/>
  <c r="A50" i="231"/>
  <c r="AE49" i="231"/>
  <c r="A49" i="231"/>
  <c r="AE48" i="231"/>
  <c r="AD48" i="231"/>
  <c r="AC48" i="231"/>
  <c r="AB48" i="231"/>
  <c r="AA48" i="231"/>
  <c r="Z48" i="231"/>
  <c r="Y48" i="231"/>
  <c r="X48" i="231"/>
  <c r="W48" i="231"/>
  <c r="V48" i="231"/>
  <c r="U48" i="231"/>
  <c r="T48" i="231"/>
  <c r="S48" i="231"/>
  <c r="A48" i="231"/>
  <c r="AE47" i="231"/>
  <c r="A47" i="231"/>
  <c r="AE46" i="231"/>
  <c r="A46" i="231"/>
  <c r="AE45" i="231"/>
  <c r="A45" i="231"/>
  <c r="AD44" i="231"/>
  <c r="AD52" i="231" s="1"/>
  <c r="AC44" i="231"/>
  <c r="AC52" i="231" s="1"/>
  <c r="AB44" i="231"/>
  <c r="AB52" i="231" s="1"/>
  <c r="AA44" i="231"/>
  <c r="AA52" i="231" s="1"/>
  <c r="Z44" i="231"/>
  <c r="Y44" i="231"/>
  <c r="X44" i="231"/>
  <c r="W44" i="231"/>
  <c r="W52" i="231" s="1"/>
  <c r="V44" i="231"/>
  <c r="V52" i="231" s="1"/>
  <c r="U44" i="231"/>
  <c r="U52" i="231" s="1"/>
  <c r="T44" i="231"/>
  <c r="S44" i="231"/>
  <c r="S52" i="231" s="1"/>
  <c r="A44" i="231"/>
  <c r="AE42" i="231"/>
  <c r="AD42" i="231"/>
  <c r="AC42" i="231"/>
  <c r="AB42" i="231"/>
  <c r="AA42" i="231"/>
  <c r="Z42" i="231"/>
  <c r="Y42" i="231"/>
  <c r="X42" i="231"/>
  <c r="W42" i="231"/>
  <c r="V42" i="231"/>
  <c r="U42" i="231"/>
  <c r="T42" i="231"/>
  <c r="S42" i="231"/>
  <c r="A42" i="231"/>
  <c r="AE41" i="231"/>
  <c r="A41" i="231"/>
  <c r="AE40" i="231"/>
  <c r="A40" i="231"/>
  <c r="AE39" i="231"/>
  <c r="A39" i="231"/>
  <c r="AE38" i="231"/>
  <c r="A38" i="231"/>
  <c r="AE37" i="231"/>
  <c r="AD37" i="231"/>
  <c r="AC37" i="231"/>
  <c r="AB37" i="231"/>
  <c r="AA37" i="231"/>
  <c r="Z37" i="231"/>
  <c r="Y37" i="231"/>
  <c r="X37" i="231"/>
  <c r="W37" i="231"/>
  <c r="V37" i="231"/>
  <c r="U37" i="231"/>
  <c r="T37" i="231"/>
  <c r="S37" i="231"/>
  <c r="A37" i="231"/>
  <c r="AE36" i="231"/>
  <c r="A36" i="231"/>
  <c r="AE35" i="231"/>
  <c r="A35" i="231"/>
  <c r="AE34" i="231"/>
  <c r="A34" i="231"/>
  <c r="AE33" i="231"/>
  <c r="A33" i="231"/>
  <c r="AE32" i="231"/>
  <c r="A32" i="231"/>
  <c r="AE31" i="231"/>
  <c r="AD31" i="231"/>
  <c r="AC31" i="231"/>
  <c r="AB31" i="231"/>
  <c r="AA31" i="231"/>
  <c r="Z31" i="231"/>
  <c r="Y31" i="231"/>
  <c r="X31" i="231"/>
  <c r="W31" i="231"/>
  <c r="V31" i="231"/>
  <c r="U31" i="231"/>
  <c r="T31" i="231"/>
  <c r="S31" i="231"/>
  <c r="A31" i="231"/>
  <c r="AE29" i="231"/>
  <c r="AD29" i="231"/>
  <c r="AD56" i="231" s="1"/>
  <c r="AC29" i="231"/>
  <c r="AC56" i="231" s="1"/>
  <c r="AB29" i="231"/>
  <c r="AA29" i="231"/>
  <c r="Z29" i="231"/>
  <c r="Y29" i="231"/>
  <c r="Y56" i="231" s="1"/>
  <c r="X29" i="231"/>
  <c r="W29" i="231"/>
  <c r="W56" i="231" s="1"/>
  <c r="V29" i="231"/>
  <c r="U29" i="231"/>
  <c r="U56" i="231" s="1"/>
  <c r="T29" i="231"/>
  <c r="S29" i="231"/>
  <c r="S56" i="231" s="1"/>
  <c r="A29" i="231"/>
  <c r="AE27" i="231"/>
  <c r="A27" i="231"/>
  <c r="A26" i="231"/>
  <c r="AE25" i="231"/>
  <c r="A25" i="231"/>
  <c r="AE24" i="231"/>
  <c r="A24" i="231"/>
  <c r="AE23" i="231"/>
  <c r="A23" i="231"/>
  <c r="AE22" i="231"/>
  <c r="Q22" i="231"/>
  <c r="C22" i="231"/>
  <c r="B22" i="231"/>
  <c r="A22" i="231"/>
  <c r="AE21" i="231"/>
  <c r="A21" i="231"/>
  <c r="AE20" i="231"/>
  <c r="Q20" i="231"/>
  <c r="C20" i="231"/>
  <c r="B20" i="231"/>
  <c r="A20" i="231"/>
  <c r="AE19" i="231"/>
  <c r="Q19" i="231"/>
  <c r="C19" i="231"/>
  <c r="B19" i="231"/>
  <c r="A19" i="231"/>
  <c r="AE18" i="231"/>
  <c r="AD18" i="231"/>
  <c r="AC18" i="231"/>
  <c r="AB18" i="231"/>
  <c r="AA18" i="231"/>
  <c r="Z18" i="231"/>
  <c r="Y18" i="231"/>
  <c r="X18" i="231"/>
  <c r="W18" i="231"/>
  <c r="V18" i="231"/>
  <c r="U18" i="231"/>
  <c r="T18" i="231"/>
  <c r="S18" i="231"/>
  <c r="A18" i="231"/>
  <c r="AE17" i="231"/>
  <c r="Q17" i="231"/>
  <c r="C17" i="231"/>
  <c r="B17" i="231"/>
  <c r="A17" i="231"/>
  <c r="AE16" i="231"/>
  <c r="Q16" i="231"/>
  <c r="C16" i="231"/>
  <c r="B16" i="231"/>
  <c r="A16" i="231"/>
  <c r="AE15" i="231"/>
  <c r="Q15" i="231"/>
  <c r="G15" i="231"/>
  <c r="C15" i="231"/>
  <c r="B15" i="231"/>
  <c r="A15" i="231"/>
  <c r="G14" i="231"/>
  <c r="F14" i="231"/>
  <c r="E14" i="231"/>
  <c r="C14" i="231" s="1"/>
  <c r="A14" i="231"/>
  <c r="AE13" i="231"/>
  <c r="G13" i="231"/>
  <c r="F13" i="231"/>
  <c r="E13" i="231"/>
  <c r="C13" i="231" s="1"/>
  <c r="A13" i="231"/>
  <c r="AE12" i="231"/>
  <c r="AD12" i="231"/>
  <c r="AC12" i="231"/>
  <c r="AB12" i="231"/>
  <c r="AA12" i="231"/>
  <c r="Z12" i="231"/>
  <c r="Y12" i="231"/>
  <c r="X12" i="231"/>
  <c r="W12" i="231"/>
  <c r="V12" i="231"/>
  <c r="U12" i="231"/>
  <c r="T12" i="231"/>
  <c r="S12" i="231"/>
  <c r="A12" i="231"/>
  <c r="A10" i="231"/>
  <c r="AE4" i="231"/>
  <c r="AD4" i="231"/>
  <c r="AC4" i="231"/>
  <c r="AB4" i="231"/>
  <c r="AA4" i="231"/>
  <c r="Z4" i="231"/>
  <c r="Y4" i="231"/>
  <c r="X4" i="231"/>
  <c r="W4" i="231"/>
  <c r="V4" i="231"/>
  <c r="U4" i="231"/>
  <c r="T4" i="231"/>
  <c r="S4" i="231"/>
  <c r="R4" i="231"/>
  <c r="Q4" i="231"/>
  <c r="C4" i="231"/>
  <c r="B4" i="231"/>
  <c r="P2" i="231"/>
  <c r="C2" i="231"/>
  <c r="A58" i="235"/>
  <c r="A56" i="235"/>
  <c r="C54" i="235"/>
  <c r="B54" i="235"/>
  <c r="A54" i="235"/>
  <c r="A52" i="235"/>
  <c r="AE51" i="235"/>
  <c r="A51" i="235"/>
  <c r="AE50" i="235"/>
  <c r="A50" i="235"/>
  <c r="AE49" i="235"/>
  <c r="AE48" i="235" s="1"/>
  <c r="A49" i="235"/>
  <c r="AD48" i="235"/>
  <c r="AC48" i="235"/>
  <c r="AB48" i="235"/>
  <c r="AA48" i="235"/>
  <c r="Z48" i="235"/>
  <c r="Y48" i="235"/>
  <c r="X48" i="235"/>
  <c r="W48" i="235"/>
  <c r="V48" i="235"/>
  <c r="U48" i="235"/>
  <c r="T48" i="235"/>
  <c r="S48" i="235"/>
  <c r="A48" i="235"/>
  <c r="AE47" i="235"/>
  <c r="A47" i="235"/>
  <c r="AE46" i="235"/>
  <c r="A46" i="235"/>
  <c r="AE45" i="235"/>
  <c r="AE44" i="235" s="1"/>
  <c r="A45" i="235"/>
  <c r="AD44" i="235"/>
  <c r="AD52" i="235" s="1"/>
  <c r="AC44" i="235"/>
  <c r="AB44" i="235"/>
  <c r="AB52" i="235" s="1"/>
  <c r="AA44" i="235"/>
  <c r="Z44" i="235"/>
  <c r="Z52" i="235" s="1"/>
  <c r="Y44" i="235"/>
  <c r="X44" i="235"/>
  <c r="W44" i="235"/>
  <c r="W52" i="235" s="1"/>
  <c r="V44" i="235"/>
  <c r="U44" i="235"/>
  <c r="U52" i="235" s="1"/>
  <c r="T44" i="235"/>
  <c r="S44" i="235"/>
  <c r="S52" i="235" s="1"/>
  <c r="A44" i="235"/>
  <c r="A42" i="235"/>
  <c r="AE41" i="235"/>
  <c r="A41" i="235"/>
  <c r="AE40" i="235"/>
  <c r="A40" i="235"/>
  <c r="AE39" i="235"/>
  <c r="AE37" i="235" s="1"/>
  <c r="A39" i="235"/>
  <c r="AE38" i="235"/>
  <c r="A38" i="235"/>
  <c r="AD37" i="235"/>
  <c r="AC37" i="235"/>
  <c r="AB37" i="235"/>
  <c r="AA37" i="235"/>
  <c r="Z37" i="235"/>
  <c r="Y37" i="235"/>
  <c r="X37" i="235"/>
  <c r="W37" i="235"/>
  <c r="V37" i="235"/>
  <c r="U37" i="235"/>
  <c r="T37" i="235"/>
  <c r="S37" i="235"/>
  <c r="A37" i="235"/>
  <c r="AE36" i="235"/>
  <c r="A36" i="235"/>
  <c r="AE35" i="235"/>
  <c r="A35" i="235"/>
  <c r="AE34" i="235"/>
  <c r="A34" i="235"/>
  <c r="AE33" i="235"/>
  <c r="A33" i="235"/>
  <c r="AE32" i="235"/>
  <c r="AE31" i="235" s="1"/>
  <c r="A32" i="235"/>
  <c r="AD31" i="235"/>
  <c r="AD42" i="235" s="1"/>
  <c r="AC31" i="235"/>
  <c r="AC42" i="235" s="1"/>
  <c r="AB31" i="235"/>
  <c r="AB42" i="235" s="1"/>
  <c r="AA31" i="235"/>
  <c r="AA42" i="235" s="1"/>
  <c r="Z31" i="235"/>
  <c r="Y31" i="235"/>
  <c r="Y42" i="235" s="1"/>
  <c r="X31" i="235"/>
  <c r="W31" i="235"/>
  <c r="V31" i="235"/>
  <c r="U31" i="235"/>
  <c r="U42" i="235" s="1"/>
  <c r="T31" i="235"/>
  <c r="S31" i="235"/>
  <c r="S42" i="235" s="1"/>
  <c r="A31" i="235"/>
  <c r="A29" i="235"/>
  <c r="AE27" i="235"/>
  <c r="A27" i="235"/>
  <c r="A26" i="235"/>
  <c r="AE25" i="235"/>
  <c r="A25" i="235"/>
  <c r="AE24" i="235"/>
  <c r="A24" i="235"/>
  <c r="AE23" i="235"/>
  <c r="A23" i="235"/>
  <c r="AE22" i="235"/>
  <c r="AE18" i="235" s="1"/>
  <c r="Q22" i="235"/>
  <c r="C22" i="235"/>
  <c r="B22" i="235"/>
  <c r="A22" i="235"/>
  <c r="AE21" i="235"/>
  <c r="Q21" i="235"/>
  <c r="C21" i="235"/>
  <c r="B21" i="235"/>
  <c r="A21" i="235"/>
  <c r="AE20" i="235"/>
  <c r="Q20" i="235"/>
  <c r="C20" i="235"/>
  <c r="B20" i="235"/>
  <c r="A20" i="235"/>
  <c r="AE19" i="235"/>
  <c r="Q19" i="235"/>
  <c r="C19" i="235"/>
  <c r="B19" i="235"/>
  <c r="A19" i="235"/>
  <c r="AD18" i="235"/>
  <c r="AC18" i="235"/>
  <c r="AB18" i="235"/>
  <c r="AA18" i="235"/>
  <c r="Z18" i="235"/>
  <c r="Y18" i="235"/>
  <c r="X18" i="235"/>
  <c r="W18" i="235"/>
  <c r="V18" i="235"/>
  <c r="U18" i="235"/>
  <c r="T18" i="235"/>
  <c r="S18" i="235"/>
  <c r="A18" i="235"/>
  <c r="AE17" i="235"/>
  <c r="AE12" i="235" s="1"/>
  <c r="Q17" i="235"/>
  <c r="C17" i="235"/>
  <c r="B17" i="235"/>
  <c r="A17" i="235"/>
  <c r="AE16" i="235"/>
  <c r="Q16" i="235"/>
  <c r="C16" i="235"/>
  <c r="B16" i="235"/>
  <c r="A16" i="235"/>
  <c r="AE15" i="235"/>
  <c r="Q15" i="235"/>
  <c r="C15" i="235"/>
  <c r="B15" i="235"/>
  <c r="A15" i="235"/>
  <c r="Q14" i="235"/>
  <c r="C14" i="235"/>
  <c r="B14" i="235"/>
  <c r="A14" i="235"/>
  <c r="AE13" i="235"/>
  <c r="J13" i="235"/>
  <c r="J12" i="235" s="1"/>
  <c r="H13" i="235"/>
  <c r="H12" i="235" s="1"/>
  <c r="G13" i="235"/>
  <c r="G12" i="235" s="1"/>
  <c r="F13" i="235"/>
  <c r="F12" i="235" s="1"/>
  <c r="E13" i="235"/>
  <c r="A13" i="235"/>
  <c r="AD12" i="235"/>
  <c r="AD29" i="235" s="1"/>
  <c r="AC12" i="235"/>
  <c r="AB12" i="235"/>
  <c r="AA12" i="235"/>
  <c r="Z12" i="235"/>
  <c r="Y12" i="235"/>
  <c r="X12" i="235"/>
  <c r="W12" i="235"/>
  <c r="V12" i="235"/>
  <c r="V29" i="235" s="1"/>
  <c r="U12" i="235"/>
  <c r="U29" i="235" s="1"/>
  <c r="T12" i="235"/>
  <c r="T29" i="235" s="1"/>
  <c r="S12" i="235"/>
  <c r="S29" i="235" s="1"/>
  <c r="A12" i="235"/>
  <c r="A10" i="235"/>
  <c r="AE4" i="235"/>
  <c r="AD4" i="235"/>
  <c r="AC4" i="235"/>
  <c r="AB4" i="235"/>
  <c r="AA4" i="235"/>
  <c r="Z4" i="235"/>
  <c r="Y4" i="235"/>
  <c r="X4" i="235"/>
  <c r="W4" i="235"/>
  <c r="V4" i="235"/>
  <c r="U4" i="235"/>
  <c r="T4" i="235"/>
  <c r="S4" i="235"/>
  <c r="R4" i="235"/>
  <c r="Q4" i="235"/>
  <c r="C4" i="235"/>
  <c r="B4" i="235"/>
  <c r="P2" i="235"/>
  <c r="C2" i="235"/>
  <c r="A58" i="234"/>
  <c r="A56" i="234"/>
  <c r="C54" i="234"/>
  <c r="B54" i="234"/>
  <c r="A54" i="234"/>
  <c r="A52" i="234"/>
  <c r="AE51" i="234"/>
  <c r="A51" i="234"/>
  <c r="AE50" i="234"/>
  <c r="A50" i="234"/>
  <c r="AE49" i="234"/>
  <c r="AE48" i="234" s="1"/>
  <c r="A49" i="234"/>
  <c r="AD48" i="234"/>
  <c r="AC48" i="234"/>
  <c r="AB48" i="234"/>
  <c r="AA48" i="234"/>
  <c r="Z48" i="234"/>
  <c r="Y48" i="234"/>
  <c r="X48" i="234"/>
  <c r="W48" i="234"/>
  <c r="V48" i="234"/>
  <c r="U48" i="234"/>
  <c r="T48" i="234"/>
  <c r="S48" i="234"/>
  <c r="A48" i="234"/>
  <c r="AE47" i="234"/>
  <c r="A47" i="234"/>
  <c r="AE46" i="234"/>
  <c r="A46" i="234"/>
  <c r="AE45" i="234"/>
  <c r="AE44" i="234" s="1"/>
  <c r="AE52" i="234" s="1"/>
  <c r="A45" i="234"/>
  <c r="AD44" i="234"/>
  <c r="AC44" i="234"/>
  <c r="AB44" i="234"/>
  <c r="AA44" i="234"/>
  <c r="Z44" i="234"/>
  <c r="Y44" i="234"/>
  <c r="Y52" i="234" s="1"/>
  <c r="X44" i="234"/>
  <c r="X52" i="234" s="1"/>
  <c r="W44" i="234"/>
  <c r="V44" i="234"/>
  <c r="V52" i="234" s="1"/>
  <c r="U44" i="234"/>
  <c r="U52" i="234" s="1"/>
  <c r="T44" i="234"/>
  <c r="T52" i="234" s="1"/>
  <c r="S44" i="234"/>
  <c r="S52" i="234" s="1"/>
  <c r="A44" i="234"/>
  <c r="A42" i="234"/>
  <c r="AE41" i="234"/>
  <c r="A41" i="234"/>
  <c r="AE40" i="234"/>
  <c r="A40" i="234"/>
  <c r="AE39" i="234"/>
  <c r="A39" i="234"/>
  <c r="AE38" i="234"/>
  <c r="AE37" i="234" s="1"/>
  <c r="A38" i="234"/>
  <c r="AD37" i="234"/>
  <c r="AC37" i="234"/>
  <c r="AB37" i="234"/>
  <c r="AA37" i="234"/>
  <c r="Z37" i="234"/>
  <c r="Y37" i="234"/>
  <c r="X37" i="234"/>
  <c r="W37" i="234"/>
  <c r="V37" i="234"/>
  <c r="U37" i="234"/>
  <c r="T37" i="234"/>
  <c r="S37" i="234"/>
  <c r="A37" i="234"/>
  <c r="AE36" i="234"/>
  <c r="A36" i="234"/>
  <c r="AE35" i="234"/>
  <c r="A35" i="234"/>
  <c r="AE34" i="234"/>
  <c r="A34" i="234"/>
  <c r="AE33" i="234"/>
  <c r="A33" i="234"/>
  <c r="AE32" i="234"/>
  <c r="AE31" i="234" s="1"/>
  <c r="A32" i="234"/>
  <c r="AD31" i="234"/>
  <c r="AC31" i="234"/>
  <c r="AB31" i="234"/>
  <c r="AA31" i="234"/>
  <c r="AA42" i="234" s="1"/>
  <c r="Z31" i="234"/>
  <c r="Z42" i="234" s="1"/>
  <c r="Y31" i="234"/>
  <c r="Y42" i="234" s="1"/>
  <c r="X31" i="234"/>
  <c r="X42" i="234" s="1"/>
  <c r="W31" i="234"/>
  <c r="V31" i="234"/>
  <c r="U31" i="234"/>
  <c r="U42" i="234" s="1"/>
  <c r="T31" i="234"/>
  <c r="T42" i="234" s="1"/>
  <c r="S31" i="234"/>
  <c r="A31" i="234"/>
  <c r="A29" i="234"/>
  <c r="AE27" i="234"/>
  <c r="A27" i="234"/>
  <c r="A26" i="234"/>
  <c r="AE25" i="234"/>
  <c r="A25" i="234"/>
  <c r="AE24" i="234"/>
  <c r="A24" i="234"/>
  <c r="AE23" i="234"/>
  <c r="A23" i="234"/>
  <c r="AE22" i="234"/>
  <c r="Q22" i="234"/>
  <c r="C22" i="234"/>
  <c r="B22" i="234"/>
  <c r="A22" i="234"/>
  <c r="AE21" i="234"/>
  <c r="Q21" i="234"/>
  <c r="C21" i="234"/>
  <c r="B21" i="234"/>
  <c r="A21" i="234"/>
  <c r="AE20" i="234"/>
  <c r="AE18" i="234" s="1"/>
  <c r="Q20" i="234"/>
  <c r="C20" i="234"/>
  <c r="B20" i="234"/>
  <c r="A20" i="234"/>
  <c r="AE19" i="234"/>
  <c r="Q19" i="234"/>
  <c r="C19" i="234"/>
  <c r="B19" i="234"/>
  <c r="A19" i="234"/>
  <c r="AD18" i="234"/>
  <c r="AC18" i="234"/>
  <c r="AB18" i="234"/>
  <c r="AA18" i="234"/>
  <c r="Z18" i="234"/>
  <c r="Y18" i="234"/>
  <c r="X18" i="234"/>
  <c r="W18" i="234"/>
  <c r="V18" i="234"/>
  <c r="U18" i="234"/>
  <c r="T18" i="234"/>
  <c r="S18" i="234"/>
  <c r="A18" i="234"/>
  <c r="AE17" i="234"/>
  <c r="Q17" i="234"/>
  <c r="C17" i="234"/>
  <c r="B17" i="234"/>
  <c r="A17" i="234"/>
  <c r="AE16" i="234"/>
  <c r="Q16" i="234"/>
  <c r="C16" i="234"/>
  <c r="B16" i="234"/>
  <c r="A16" i="234"/>
  <c r="AE15" i="234"/>
  <c r="Q15" i="234"/>
  <c r="C15" i="234"/>
  <c r="B15" i="234"/>
  <c r="A15" i="234"/>
  <c r="C14" i="234"/>
  <c r="B14" i="234"/>
  <c r="A14" i="234"/>
  <c r="AE13" i="234"/>
  <c r="C13" i="234"/>
  <c r="B13" i="234"/>
  <c r="A13" i="234"/>
  <c r="AD12" i="234"/>
  <c r="AD29" i="234" s="1"/>
  <c r="AC12" i="234"/>
  <c r="AC29" i="234" s="1"/>
  <c r="AB12" i="234"/>
  <c r="AA12" i="234"/>
  <c r="Z12" i="234"/>
  <c r="Y12" i="234"/>
  <c r="Y29" i="234" s="1"/>
  <c r="X12" i="234"/>
  <c r="X29" i="234" s="1"/>
  <c r="W12" i="234"/>
  <c r="V12" i="234"/>
  <c r="U12" i="234"/>
  <c r="U29" i="234" s="1"/>
  <c r="T12" i="234"/>
  <c r="T29" i="234" s="1"/>
  <c r="S12" i="234"/>
  <c r="S29" i="234" s="1"/>
  <c r="P12" i="234"/>
  <c r="O12" i="234"/>
  <c r="N12" i="234"/>
  <c r="M12" i="234"/>
  <c r="L12" i="234"/>
  <c r="K12" i="234"/>
  <c r="J12" i="234"/>
  <c r="I12" i="234"/>
  <c r="H12" i="234"/>
  <c r="G12" i="234"/>
  <c r="F12" i="234"/>
  <c r="E12" i="234"/>
  <c r="C12" i="234" s="1"/>
  <c r="A12" i="234"/>
  <c r="A10" i="234"/>
  <c r="AE4" i="234"/>
  <c r="AD4" i="234"/>
  <c r="AC4" i="234"/>
  <c r="AB4" i="234"/>
  <c r="AA4" i="234"/>
  <c r="Z4" i="234"/>
  <c r="Y4" i="234"/>
  <c r="X4" i="234"/>
  <c r="W4" i="234"/>
  <c r="V4" i="234"/>
  <c r="U4" i="234"/>
  <c r="T4" i="234"/>
  <c r="S4" i="234"/>
  <c r="R4" i="234"/>
  <c r="Q4" i="234"/>
  <c r="C4" i="234"/>
  <c r="B4" i="234"/>
  <c r="P2" i="234"/>
  <c r="C2" i="234"/>
  <c r="AE51" i="230"/>
  <c r="E51" i="230"/>
  <c r="AE50" i="230"/>
  <c r="E50" i="230"/>
  <c r="C50" i="230" s="1"/>
  <c r="AE49" i="230"/>
  <c r="AE47" i="230"/>
  <c r="F47" i="230"/>
  <c r="E47" i="230"/>
  <c r="AE46" i="230"/>
  <c r="AE45" i="230"/>
  <c r="E45" i="230"/>
  <c r="AE41" i="230"/>
  <c r="E41" i="230"/>
  <c r="C41" i="230" s="1"/>
  <c r="AE40" i="230"/>
  <c r="E40" i="230"/>
  <c r="B40" i="230" s="1"/>
  <c r="AE39" i="230"/>
  <c r="AE36" i="230"/>
  <c r="F36" i="230"/>
  <c r="E36" i="230"/>
  <c r="AE35" i="230"/>
  <c r="E35" i="230"/>
  <c r="AE34" i="230"/>
  <c r="E34" i="230"/>
  <c r="AE33" i="230"/>
  <c r="E33" i="230"/>
  <c r="C33" i="230" s="1"/>
  <c r="AE32" i="230"/>
  <c r="E32" i="230"/>
  <c r="AE4" i="230"/>
  <c r="AD4" i="230"/>
  <c r="AC4" i="230"/>
  <c r="AB4" i="230"/>
  <c r="AA4" i="230"/>
  <c r="Z4" i="230"/>
  <c r="Y4" i="230"/>
  <c r="X4" i="230"/>
  <c r="W4" i="230"/>
  <c r="V4" i="230"/>
  <c r="U4" i="230"/>
  <c r="T4" i="230"/>
  <c r="S4" i="230"/>
  <c r="R4" i="230"/>
  <c r="Q4" i="230"/>
  <c r="C4" i="230"/>
  <c r="B4" i="230"/>
  <c r="C2" i="230"/>
  <c r="A219" i="229"/>
  <c r="A218" i="229"/>
  <c r="A217" i="229"/>
  <c r="A216" i="229"/>
  <c r="A215" i="229"/>
  <c r="A214" i="229"/>
  <c r="A213" i="229"/>
  <c r="A212" i="229"/>
  <c r="A211" i="229"/>
  <c r="A210" i="229"/>
  <c r="A209" i="229"/>
  <c r="C208" i="229"/>
  <c r="A208" i="229"/>
  <c r="D207" i="229"/>
  <c r="C207" i="229"/>
  <c r="B207" i="229"/>
  <c r="A207" i="229"/>
  <c r="C206" i="229"/>
  <c r="B206" i="229"/>
  <c r="A206" i="229"/>
  <c r="T205" i="229"/>
  <c r="F205" i="229"/>
  <c r="D205" i="229"/>
  <c r="A205" i="229"/>
  <c r="T204" i="229"/>
  <c r="F204" i="229"/>
  <c r="D204" i="229"/>
  <c r="A204" i="229"/>
  <c r="T203" i="229"/>
  <c r="F203" i="229"/>
  <c r="D203" i="229"/>
  <c r="A203" i="229"/>
  <c r="C202" i="229"/>
  <c r="B202" i="229"/>
  <c r="A202" i="229"/>
  <c r="D201" i="229"/>
  <c r="C201" i="229"/>
  <c r="B201" i="229"/>
  <c r="A201" i="229"/>
  <c r="C200" i="229"/>
  <c r="B200" i="229"/>
  <c r="A200" i="229"/>
  <c r="T199" i="229"/>
  <c r="S199" i="229"/>
  <c r="R199" i="229"/>
  <c r="Q199" i="229"/>
  <c r="P199" i="229"/>
  <c r="O199" i="229"/>
  <c r="N199" i="229"/>
  <c r="M199" i="229"/>
  <c r="L199" i="229"/>
  <c r="K199" i="229"/>
  <c r="J199" i="229"/>
  <c r="I199" i="229"/>
  <c r="H199" i="229"/>
  <c r="F199" i="229"/>
  <c r="D199" i="229"/>
  <c r="C199" i="229"/>
  <c r="B199" i="229"/>
  <c r="A199" i="229"/>
  <c r="T198" i="229"/>
  <c r="F198" i="229"/>
  <c r="D198" i="229"/>
  <c r="A198" i="229"/>
  <c r="T197" i="229"/>
  <c r="F197" i="229"/>
  <c r="D197" i="229"/>
  <c r="A197" i="229"/>
  <c r="T196" i="229"/>
  <c r="F196" i="229"/>
  <c r="D196" i="229"/>
  <c r="A196" i="229"/>
  <c r="T195" i="229"/>
  <c r="S195" i="229"/>
  <c r="R195" i="229"/>
  <c r="Q195" i="229"/>
  <c r="P195" i="229"/>
  <c r="O195" i="229"/>
  <c r="N195" i="229"/>
  <c r="M195" i="229"/>
  <c r="L195" i="229"/>
  <c r="K195" i="229"/>
  <c r="J195" i="229"/>
  <c r="I195" i="229"/>
  <c r="H195" i="229"/>
  <c r="F195" i="229"/>
  <c r="D195" i="229"/>
  <c r="A195" i="229"/>
  <c r="T194" i="229"/>
  <c r="F194" i="229"/>
  <c r="D194" i="229"/>
  <c r="A194" i="229"/>
  <c r="T193" i="229"/>
  <c r="F193" i="229"/>
  <c r="D193" i="229"/>
  <c r="A193" i="229"/>
  <c r="T192" i="229"/>
  <c r="F192" i="229"/>
  <c r="D192" i="229"/>
  <c r="A192" i="229"/>
  <c r="T191" i="229"/>
  <c r="F191" i="229"/>
  <c r="D191" i="229"/>
  <c r="A191" i="229"/>
  <c r="T190" i="229"/>
  <c r="F190" i="229"/>
  <c r="D190" i="229"/>
  <c r="A190" i="229"/>
  <c r="T189" i="229"/>
  <c r="F189" i="229"/>
  <c r="D189" i="229"/>
  <c r="A189" i="229"/>
  <c r="T188" i="229"/>
  <c r="F188" i="229"/>
  <c r="D188" i="229"/>
  <c r="A188" i="229"/>
  <c r="T187" i="229"/>
  <c r="S187" i="229"/>
  <c r="R187" i="229"/>
  <c r="Q187" i="229"/>
  <c r="P187" i="229"/>
  <c r="O187" i="229"/>
  <c r="N187" i="229"/>
  <c r="M187" i="229"/>
  <c r="L187" i="229"/>
  <c r="K187" i="229"/>
  <c r="J187" i="229"/>
  <c r="I187" i="229"/>
  <c r="H187" i="229"/>
  <c r="F187" i="229"/>
  <c r="D187" i="229"/>
  <c r="A187" i="229"/>
  <c r="C186" i="229"/>
  <c r="B186" i="229"/>
  <c r="A186" i="229"/>
  <c r="D185" i="229"/>
  <c r="C185" i="229"/>
  <c r="B185" i="229"/>
  <c r="A185" i="229"/>
  <c r="T184" i="229"/>
  <c r="C184" i="229"/>
  <c r="B184" i="229"/>
  <c r="A184" i="229"/>
  <c r="T183" i="229"/>
  <c r="S183" i="229"/>
  <c r="R183" i="229"/>
  <c r="Q183" i="229"/>
  <c r="P183" i="229"/>
  <c r="O183" i="229"/>
  <c r="N183" i="229"/>
  <c r="M183" i="229"/>
  <c r="L183" i="229"/>
  <c r="K183" i="229"/>
  <c r="J183" i="229"/>
  <c r="I183" i="229"/>
  <c r="H183" i="229"/>
  <c r="F183" i="229"/>
  <c r="D183" i="229"/>
  <c r="C183" i="229"/>
  <c r="B183" i="229"/>
  <c r="A183" i="229"/>
  <c r="T182" i="229"/>
  <c r="F182" i="229"/>
  <c r="D182" i="229"/>
  <c r="A182" i="229"/>
  <c r="T181" i="229"/>
  <c r="F181" i="229"/>
  <c r="D181" i="229"/>
  <c r="A181" i="229"/>
  <c r="T180" i="229"/>
  <c r="F180" i="229"/>
  <c r="D180" i="229"/>
  <c r="A180" i="229"/>
  <c r="T179" i="229"/>
  <c r="F179" i="229"/>
  <c r="D179" i="229"/>
  <c r="A179" i="229"/>
  <c r="T178" i="229"/>
  <c r="F178" i="229"/>
  <c r="D178" i="229"/>
  <c r="A178" i="229"/>
  <c r="T177" i="229"/>
  <c r="S177" i="229"/>
  <c r="R177" i="229"/>
  <c r="Q177" i="229"/>
  <c r="P177" i="229"/>
  <c r="O177" i="229"/>
  <c r="N177" i="229"/>
  <c r="M177" i="229"/>
  <c r="L177" i="229"/>
  <c r="K177" i="229"/>
  <c r="J177" i="229"/>
  <c r="I177" i="229"/>
  <c r="H177" i="229"/>
  <c r="F177" i="229"/>
  <c r="D177" i="229"/>
  <c r="A177" i="229"/>
  <c r="T176" i="229"/>
  <c r="F176" i="229"/>
  <c r="D176" i="229"/>
  <c r="A176" i="229"/>
  <c r="T175" i="229"/>
  <c r="F175" i="229"/>
  <c r="D175" i="229"/>
  <c r="A175" i="229"/>
  <c r="T174" i="229"/>
  <c r="F174" i="229"/>
  <c r="D174" i="229"/>
  <c r="A174" i="229"/>
  <c r="C173" i="229"/>
  <c r="B173" i="229"/>
  <c r="A173" i="229"/>
  <c r="S172" i="229"/>
  <c r="R172" i="229"/>
  <c r="Q172" i="229"/>
  <c r="P172" i="229"/>
  <c r="O172" i="229"/>
  <c r="N172" i="229"/>
  <c r="M172" i="229"/>
  <c r="L172" i="229"/>
  <c r="K172" i="229"/>
  <c r="J172" i="229"/>
  <c r="I172" i="229"/>
  <c r="H172" i="229"/>
  <c r="F172" i="229"/>
  <c r="D172" i="229"/>
  <c r="C172" i="229"/>
  <c r="B172" i="229"/>
  <c r="A172" i="229"/>
  <c r="T171" i="229"/>
  <c r="S171" i="229"/>
  <c r="R171" i="229"/>
  <c r="Q171" i="229"/>
  <c r="P171" i="229"/>
  <c r="O171" i="229"/>
  <c r="N171" i="229"/>
  <c r="M171" i="229"/>
  <c r="L171" i="229"/>
  <c r="K171" i="229"/>
  <c r="J171" i="229"/>
  <c r="I171" i="229"/>
  <c r="H171" i="229"/>
  <c r="F171" i="229"/>
  <c r="D171" i="229"/>
  <c r="A171" i="229"/>
  <c r="F170" i="229"/>
  <c r="D170" i="229"/>
  <c r="A170" i="229"/>
  <c r="T169" i="229"/>
  <c r="F169" i="229"/>
  <c r="D169" i="229"/>
  <c r="A169" i="229"/>
  <c r="T168" i="229"/>
  <c r="F168" i="229"/>
  <c r="D168" i="229"/>
  <c r="A168" i="229"/>
  <c r="T167" i="229"/>
  <c r="S167" i="229"/>
  <c r="R167" i="229"/>
  <c r="Q167" i="229"/>
  <c r="P167" i="229"/>
  <c r="O167" i="229"/>
  <c r="N167" i="229"/>
  <c r="M167" i="229"/>
  <c r="L167" i="229"/>
  <c r="K167" i="229"/>
  <c r="J167" i="229"/>
  <c r="I167" i="229"/>
  <c r="H167" i="229"/>
  <c r="F167" i="229"/>
  <c r="D167" i="229"/>
  <c r="A167" i="229"/>
  <c r="T166" i="229"/>
  <c r="F166" i="229"/>
  <c r="D166" i="229"/>
  <c r="A166" i="229"/>
  <c r="T165" i="229"/>
  <c r="F165" i="229"/>
  <c r="D165" i="229"/>
  <c r="A165" i="229"/>
  <c r="T164" i="229"/>
  <c r="F164" i="229"/>
  <c r="D164" i="229"/>
  <c r="A164" i="229"/>
  <c r="T163" i="229"/>
  <c r="F163" i="229"/>
  <c r="D163" i="229"/>
  <c r="A163" i="229"/>
  <c r="T162" i="229"/>
  <c r="S162" i="229"/>
  <c r="R162" i="229"/>
  <c r="Q162" i="229"/>
  <c r="P162" i="229"/>
  <c r="O162" i="229"/>
  <c r="N162" i="229"/>
  <c r="M162" i="229"/>
  <c r="L162" i="229"/>
  <c r="K162" i="229"/>
  <c r="J162" i="229"/>
  <c r="I162" i="229"/>
  <c r="H162" i="229"/>
  <c r="F162" i="229"/>
  <c r="D162" i="229"/>
  <c r="A162" i="229"/>
  <c r="T161" i="229"/>
  <c r="F161" i="229"/>
  <c r="D161" i="229"/>
  <c r="A161" i="229"/>
  <c r="T160" i="229"/>
  <c r="F160" i="229"/>
  <c r="D160" i="229"/>
  <c r="A160" i="229"/>
  <c r="T159" i="229"/>
  <c r="S159" i="229"/>
  <c r="R159" i="229"/>
  <c r="Q159" i="229"/>
  <c r="P159" i="229"/>
  <c r="O159" i="229"/>
  <c r="N159" i="229"/>
  <c r="M159" i="229"/>
  <c r="L159" i="229"/>
  <c r="K159" i="229"/>
  <c r="J159" i="229"/>
  <c r="I159" i="229"/>
  <c r="H159" i="229"/>
  <c r="F159" i="229"/>
  <c r="D159" i="229"/>
  <c r="A159" i="229"/>
  <c r="T158" i="229"/>
  <c r="F158" i="229"/>
  <c r="D158" i="229"/>
  <c r="A158" i="229"/>
  <c r="T157" i="229"/>
  <c r="F157" i="229"/>
  <c r="D157" i="229"/>
  <c r="A157" i="229"/>
  <c r="T156" i="229"/>
  <c r="F156" i="229"/>
  <c r="D156" i="229"/>
  <c r="A156" i="229"/>
  <c r="B155" i="229"/>
  <c r="A155" i="229"/>
  <c r="T154" i="229"/>
  <c r="C154" i="229"/>
  <c r="B154" i="229"/>
  <c r="A154" i="229"/>
  <c r="D153" i="229"/>
  <c r="C153" i="229"/>
  <c r="B153" i="229"/>
  <c r="A153" i="229"/>
  <c r="T152" i="229"/>
  <c r="F152" i="229"/>
  <c r="D152" i="229"/>
  <c r="A152" i="229"/>
  <c r="T151" i="229"/>
  <c r="F151" i="229"/>
  <c r="D151" i="229"/>
  <c r="A151" i="229"/>
  <c r="T150" i="229"/>
  <c r="F150" i="229"/>
  <c r="D150" i="229"/>
  <c r="A150" i="229"/>
  <c r="T149" i="229"/>
  <c r="F149" i="229"/>
  <c r="D149" i="229"/>
  <c r="A149" i="229"/>
  <c r="T148" i="229"/>
  <c r="F148" i="229"/>
  <c r="D148" i="229"/>
  <c r="A148" i="229"/>
  <c r="T147" i="229"/>
  <c r="F147" i="229"/>
  <c r="D147" i="229"/>
  <c r="A147" i="229"/>
  <c r="T146" i="229"/>
  <c r="F146" i="229"/>
  <c r="D146" i="229"/>
  <c r="A146" i="229"/>
  <c r="T145" i="229"/>
  <c r="F145" i="229"/>
  <c r="D145" i="229"/>
  <c r="A145" i="229"/>
  <c r="T144" i="229"/>
  <c r="F144" i="229"/>
  <c r="D144" i="229"/>
  <c r="A144" i="229"/>
  <c r="T143" i="229"/>
  <c r="F143" i="229"/>
  <c r="D143" i="229"/>
  <c r="A143" i="229"/>
  <c r="T142" i="229"/>
  <c r="F142" i="229"/>
  <c r="D142" i="229"/>
  <c r="A142" i="229"/>
  <c r="T141" i="229"/>
  <c r="F141" i="229"/>
  <c r="D141" i="229"/>
  <c r="A141" i="229"/>
  <c r="T140" i="229"/>
  <c r="F140" i="229"/>
  <c r="D140" i="229"/>
  <c r="A140" i="229"/>
  <c r="T139" i="229"/>
  <c r="F139" i="229"/>
  <c r="D139" i="229"/>
  <c r="A139" i="229"/>
  <c r="T138" i="229"/>
  <c r="F138" i="229"/>
  <c r="D138" i="229"/>
  <c r="A138" i="229"/>
  <c r="T137" i="229"/>
  <c r="S137" i="229"/>
  <c r="R137" i="229"/>
  <c r="Q137" i="229"/>
  <c r="P137" i="229"/>
  <c r="O137" i="229"/>
  <c r="N137" i="229"/>
  <c r="M137" i="229"/>
  <c r="L137" i="229"/>
  <c r="K137" i="229"/>
  <c r="J137" i="229"/>
  <c r="I137" i="229"/>
  <c r="H137" i="229"/>
  <c r="F137" i="229"/>
  <c r="D137" i="229"/>
  <c r="A137" i="229"/>
  <c r="T136" i="229"/>
  <c r="F136" i="229"/>
  <c r="D136" i="229"/>
  <c r="C136" i="229"/>
  <c r="A136" i="229"/>
  <c r="T135" i="229"/>
  <c r="F135" i="229"/>
  <c r="D135" i="229"/>
  <c r="A135" i="229"/>
  <c r="T134" i="229"/>
  <c r="S134" i="229"/>
  <c r="R134" i="229"/>
  <c r="Q134" i="229"/>
  <c r="P134" i="229"/>
  <c r="O134" i="229"/>
  <c r="N134" i="229"/>
  <c r="M134" i="229"/>
  <c r="L134" i="229"/>
  <c r="K134" i="229"/>
  <c r="J134" i="229"/>
  <c r="I134" i="229"/>
  <c r="H134" i="229"/>
  <c r="F134" i="229"/>
  <c r="D134" i="229"/>
  <c r="A134" i="229"/>
  <c r="T133" i="229"/>
  <c r="F133" i="229"/>
  <c r="D133" i="229"/>
  <c r="A133" i="229"/>
  <c r="T132" i="229"/>
  <c r="S132" i="229"/>
  <c r="R132" i="229"/>
  <c r="Q132" i="229"/>
  <c r="P132" i="229"/>
  <c r="O132" i="229"/>
  <c r="N132" i="229"/>
  <c r="M132" i="229"/>
  <c r="L132" i="229"/>
  <c r="K132" i="229"/>
  <c r="J132" i="229"/>
  <c r="I132" i="229"/>
  <c r="H132" i="229"/>
  <c r="F132" i="229"/>
  <c r="D132" i="229"/>
  <c r="A132" i="229"/>
  <c r="T131" i="229"/>
  <c r="F131" i="229"/>
  <c r="D131" i="229"/>
  <c r="A131" i="229"/>
  <c r="T130" i="229"/>
  <c r="F130" i="229"/>
  <c r="D130" i="229"/>
  <c r="A130" i="229"/>
  <c r="T129" i="229"/>
  <c r="F129" i="229"/>
  <c r="D129" i="229"/>
  <c r="A129" i="229"/>
  <c r="T128" i="229"/>
  <c r="F128" i="229"/>
  <c r="D128" i="229"/>
  <c r="A128" i="229"/>
  <c r="T127" i="229"/>
  <c r="S127" i="229"/>
  <c r="R127" i="229"/>
  <c r="Q127" i="229"/>
  <c r="P127" i="229"/>
  <c r="O127" i="229"/>
  <c r="N127" i="229"/>
  <c r="M127" i="229"/>
  <c r="L127" i="229"/>
  <c r="K127" i="229"/>
  <c r="J127" i="229"/>
  <c r="I127" i="229"/>
  <c r="H127" i="229"/>
  <c r="F127" i="229"/>
  <c r="D127" i="229"/>
  <c r="B127" i="229"/>
  <c r="A127" i="229"/>
  <c r="T126" i="229"/>
  <c r="F126" i="229"/>
  <c r="D126" i="229"/>
  <c r="A126" i="229"/>
  <c r="T125" i="229"/>
  <c r="F125" i="229"/>
  <c r="D125" i="229"/>
  <c r="C125" i="229"/>
  <c r="B125" i="229"/>
  <c r="T124" i="229"/>
  <c r="F124" i="229"/>
  <c r="D124" i="229"/>
  <c r="C124" i="229"/>
  <c r="B124" i="229"/>
  <c r="T123" i="229"/>
  <c r="F123" i="229"/>
  <c r="D123" i="229"/>
  <c r="C123" i="229"/>
  <c r="B123" i="229"/>
  <c r="T122" i="229"/>
  <c r="S122" i="229"/>
  <c r="R122" i="229"/>
  <c r="Q122" i="229"/>
  <c r="P122" i="229"/>
  <c r="O122" i="229"/>
  <c r="N122" i="229"/>
  <c r="M122" i="229"/>
  <c r="L122" i="229"/>
  <c r="K122" i="229"/>
  <c r="J122" i="229"/>
  <c r="I122" i="229"/>
  <c r="H122" i="229"/>
  <c r="F122" i="229"/>
  <c r="D122" i="229"/>
  <c r="A122" i="229"/>
  <c r="T121" i="229"/>
  <c r="F121" i="229"/>
  <c r="D121" i="229"/>
  <c r="C121" i="229"/>
  <c r="B121" i="229"/>
  <c r="T120" i="229"/>
  <c r="F120" i="229"/>
  <c r="D120" i="229"/>
  <c r="C120" i="229"/>
  <c r="B120" i="229"/>
  <c r="T119" i="229"/>
  <c r="F119" i="229"/>
  <c r="D119" i="229"/>
  <c r="C119" i="229"/>
  <c r="B119" i="229"/>
  <c r="T118" i="229"/>
  <c r="S118" i="229"/>
  <c r="R118" i="229"/>
  <c r="Q118" i="229"/>
  <c r="P118" i="229"/>
  <c r="O118" i="229"/>
  <c r="N118" i="229"/>
  <c r="M118" i="229"/>
  <c r="L118" i="229"/>
  <c r="K118" i="229"/>
  <c r="J118" i="229"/>
  <c r="I118" i="229"/>
  <c r="H118" i="229"/>
  <c r="F118" i="229"/>
  <c r="D118" i="229"/>
  <c r="A118" i="229"/>
  <c r="T117" i="229"/>
  <c r="F117" i="229"/>
  <c r="D117" i="229"/>
  <c r="A117" i="229"/>
  <c r="T116" i="229"/>
  <c r="F116" i="229"/>
  <c r="D116" i="229"/>
  <c r="C116" i="229"/>
  <c r="B116" i="229"/>
  <c r="T115" i="229"/>
  <c r="F115" i="229"/>
  <c r="D115" i="229"/>
  <c r="C115" i="229"/>
  <c r="B115" i="229"/>
  <c r="T114" i="229"/>
  <c r="F114" i="229"/>
  <c r="D114" i="229"/>
  <c r="C114" i="229"/>
  <c r="B114" i="229"/>
  <c r="T113" i="229"/>
  <c r="S113" i="229"/>
  <c r="R113" i="229"/>
  <c r="Q113" i="229"/>
  <c r="P113" i="229"/>
  <c r="O113" i="229"/>
  <c r="N113" i="229"/>
  <c r="M113" i="229"/>
  <c r="L113" i="229"/>
  <c r="K113" i="229"/>
  <c r="J113" i="229"/>
  <c r="I113" i="229"/>
  <c r="H113" i="229"/>
  <c r="F113" i="229"/>
  <c r="D113" i="229"/>
  <c r="A113" i="229"/>
  <c r="T112" i="229"/>
  <c r="F112" i="229"/>
  <c r="D112" i="229"/>
  <c r="C112" i="229"/>
  <c r="B112" i="229"/>
  <c r="T111" i="229"/>
  <c r="F111" i="229"/>
  <c r="D111" i="229"/>
  <c r="C111" i="229"/>
  <c r="B111" i="229"/>
  <c r="T110" i="229"/>
  <c r="F110" i="229"/>
  <c r="D110" i="229"/>
  <c r="C110" i="229"/>
  <c r="B110" i="229"/>
  <c r="T109" i="229"/>
  <c r="S109" i="229"/>
  <c r="R109" i="229"/>
  <c r="Q109" i="229"/>
  <c r="P109" i="229"/>
  <c r="O109" i="229"/>
  <c r="N109" i="229"/>
  <c r="M109" i="229"/>
  <c r="L109" i="229"/>
  <c r="K109" i="229"/>
  <c r="J109" i="229"/>
  <c r="I109" i="229"/>
  <c r="H109" i="229"/>
  <c r="F109" i="229"/>
  <c r="D109" i="229"/>
  <c r="A109" i="229"/>
  <c r="T108" i="229"/>
  <c r="F108" i="229"/>
  <c r="D108" i="229"/>
  <c r="C108" i="229"/>
  <c r="B108" i="229"/>
  <c r="T107" i="229"/>
  <c r="F107" i="229"/>
  <c r="D107" i="229"/>
  <c r="C107" i="229"/>
  <c r="B107" i="229"/>
  <c r="T106" i="229"/>
  <c r="F106" i="229"/>
  <c r="D106" i="229"/>
  <c r="C106" i="229"/>
  <c r="B106" i="229"/>
  <c r="T105" i="229"/>
  <c r="S105" i="229"/>
  <c r="R105" i="229"/>
  <c r="Q105" i="229"/>
  <c r="P105" i="229"/>
  <c r="O105" i="229"/>
  <c r="N105" i="229"/>
  <c r="M105" i="229"/>
  <c r="L105" i="229"/>
  <c r="K105" i="229"/>
  <c r="J105" i="229"/>
  <c r="I105" i="229"/>
  <c r="H105" i="229"/>
  <c r="F105" i="229"/>
  <c r="D105" i="229"/>
  <c r="A105" i="229"/>
  <c r="T104" i="229"/>
  <c r="F104" i="229"/>
  <c r="D104" i="229"/>
  <c r="C104" i="229"/>
  <c r="B104" i="229"/>
  <c r="T103" i="229"/>
  <c r="F103" i="229"/>
  <c r="D103" i="229"/>
  <c r="C103" i="229"/>
  <c r="B103" i="229"/>
  <c r="T102" i="229"/>
  <c r="F102" i="229"/>
  <c r="D102" i="229"/>
  <c r="C102" i="229"/>
  <c r="B102" i="229"/>
  <c r="T101" i="229"/>
  <c r="S101" i="229"/>
  <c r="R101" i="229"/>
  <c r="Q101" i="229"/>
  <c r="P101" i="229"/>
  <c r="O101" i="229"/>
  <c r="N101" i="229"/>
  <c r="M101" i="229"/>
  <c r="L101" i="229"/>
  <c r="K101" i="229"/>
  <c r="J101" i="229"/>
  <c r="I101" i="229"/>
  <c r="H101" i="229"/>
  <c r="F101" i="229"/>
  <c r="D101" i="229"/>
  <c r="A101" i="229"/>
  <c r="T100" i="229"/>
  <c r="F100" i="229"/>
  <c r="D100" i="229"/>
  <c r="C100" i="229"/>
  <c r="B100" i="229"/>
  <c r="T99" i="229"/>
  <c r="F99" i="229"/>
  <c r="D99" i="229"/>
  <c r="C99" i="229"/>
  <c r="B99" i="229"/>
  <c r="T98" i="229"/>
  <c r="F98" i="229"/>
  <c r="D98" i="229"/>
  <c r="C98" i="229"/>
  <c r="B98" i="229"/>
  <c r="T97" i="229"/>
  <c r="S97" i="229"/>
  <c r="R97" i="229"/>
  <c r="Q97" i="229"/>
  <c r="P97" i="229"/>
  <c r="O97" i="229"/>
  <c r="N97" i="229"/>
  <c r="M97" i="229"/>
  <c r="L97" i="229"/>
  <c r="K97" i="229"/>
  <c r="J97" i="229"/>
  <c r="I97" i="229"/>
  <c r="H97" i="229"/>
  <c r="F97" i="229"/>
  <c r="D97" i="229"/>
  <c r="A97" i="229"/>
  <c r="T96" i="229"/>
  <c r="F96" i="229"/>
  <c r="D96" i="229"/>
  <c r="C96" i="229"/>
  <c r="B96" i="229"/>
  <c r="T95" i="229"/>
  <c r="F95" i="229"/>
  <c r="D95" i="229"/>
  <c r="C95" i="229"/>
  <c r="B95" i="229"/>
  <c r="T94" i="229"/>
  <c r="F94" i="229"/>
  <c r="D94" i="229"/>
  <c r="C94" i="229"/>
  <c r="B94" i="229"/>
  <c r="T93" i="229"/>
  <c r="S93" i="229"/>
  <c r="R93" i="229"/>
  <c r="Q93" i="229"/>
  <c r="P93" i="229"/>
  <c r="O93" i="229"/>
  <c r="N93" i="229"/>
  <c r="M93" i="229"/>
  <c r="L93" i="229"/>
  <c r="K93" i="229"/>
  <c r="J93" i="229"/>
  <c r="I93" i="229"/>
  <c r="H93" i="229"/>
  <c r="F93" i="229"/>
  <c r="D93" i="229"/>
  <c r="A93" i="229"/>
  <c r="T92" i="229"/>
  <c r="S92" i="229"/>
  <c r="R92" i="229"/>
  <c r="Q92" i="229"/>
  <c r="P92" i="229"/>
  <c r="O92" i="229"/>
  <c r="N92" i="229"/>
  <c r="M92" i="229"/>
  <c r="L92" i="229"/>
  <c r="K92" i="229"/>
  <c r="J92" i="229"/>
  <c r="I92" i="229"/>
  <c r="H92" i="229"/>
  <c r="F92" i="229"/>
  <c r="D92" i="229"/>
  <c r="B92" i="229"/>
  <c r="A92" i="229"/>
  <c r="T91" i="229"/>
  <c r="F91" i="229"/>
  <c r="D91" i="229"/>
  <c r="A91" i="229"/>
  <c r="T90" i="229"/>
  <c r="F90" i="229"/>
  <c r="D90" i="229"/>
  <c r="A90" i="229"/>
  <c r="T89" i="229"/>
  <c r="F89" i="229"/>
  <c r="D89" i="229"/>
  <c r="A89" i="229"/>
  <c r="T88" i="229"/>
  <c r="F88" i="229"/>
  <c r="D88" i="229"/>
  <c r="A88" i="229"/>
  <c r="T87" i="229"/>
  <c r="F87" i="229"/>
  <c r="D87" i="229"/>
  <c r="A87" i="229"/>
  <c r="T86" i="229"/>
  <c r="F86" i="229"/>
  <c r="D86" i="229"/>
  <c r="A86" i="229"/>
  <c r="T85" i="229"/>
  <c r="F85" i="229"/>
  <c r="D85" i="229"/>
  <c r="A85" i="229"/>
  <c r="T84" i="229"/>
  <c r="F84" i="229"/>
  <c r="D84" i="229"/>
  <c r="A84" i="229"/>
  <c r="T83" i="229"/>
  <c r="F83" i="229"/>
  <c r="D83" i="229"/>
  <c r="A83" i="229"/>
  <c r="T82" i="229"/>
  <c r="F82" i="229"/>
  <c r="D82" i="229"/>
  <c r="A82" i="229"/>
  <c r="T81" i="229"/>
  <c r="F81" i="229"/>
  <c r="D81" i="229"/>
  <c r="A81" i="229"/>
  <c r="T80" i="229"/>
  <c r="S80" i="229"/>
  <c r="R80" i="229"/>
  <c r="Q80" i="229"/>
  <c r="P80" i="229"/>
  <c r="O80" i="229"/>
  <c r="N80" i="229"/>
  <c r="M80" i="229"/>
  <c r="L80" i="229"/>
  <c r="K80" i="229"/>
  <c r="J80" i="229"/>
  <c r="I80" i="229"/>
  <c r="H80" i="229"/>
  <c r="F80" i="229"/>
  <c r="D80" i="229"/>
  <c r="A80" i="229"/>
  <c r="T79" i="229"/>
  <c r="F79" i="229"/>
  <c r="D79" i="229"/>
  <c r="B79" i="229"/>
  <c r="A79" i="229"/>
  <c r="T78" i="229"/>
  <c r="F78" i="229"/>
  <c r="D78" i="229"/>
  <c r="C78" i="229"/>
  <c r="B78" i="229"/>
  <c r="A78" i="229"/>
  <c r="T77" i="229"/>
  <c r="F77" i="229"/>
  <c r="D77" i="229"/>
  <c r="C77" i="229"/>
  <c r="B77" i="229"/>
  <c r="A77" i="229"/>
  <c r="T76" i="229"/>
  <c r="F76" i="229"/>
  <c r="D76" i="229"/>
  <c r="C76" i="229"/>
  <c r="B76" i="229"/>
  <c r="A76" i="229"/>
  <c r="T75" i="229"/>
  <c r="S75" i="229"/>
  <c r="R75" i="229"/>
  <c r="Q75" i="229"/>
  <c r="P75" i="229"/>
  <c r="O75" i="229"/>
  <c r="N75" i="229"/>
  <c r="M75" i="229"/>
  <c r="L75" i="229"/>
  <c r="K75" i="229"/>
  <c r="J75" i="229"/>
  <c r="I75" i="229"/>
  <c r="H75" i="229"/>
  <c r="F75" i="229"/>
  <c r="D75" i="229"/>
  <c r="A75" i="229"/>
  <c r="T74" i="229"/>
  <c r="F74" i="229"/>
  <c r="D74" i="229"/>
  <c r="A74" i="229"/>
  <c r="T73" i="229"/>
  <c r="F73" i="229"/>
  <c r="D73" i="229"/>
  <c r="A73" i="229"/>
  <c r="T72" i="229"/>
  <c r="F72" i="229"/>
  <c r="D72" i="229"/>
  <c r="A72" i="229"/>
  <c r="T71" i="229"/>
  <c r="F71" i="229"/>
  <c r="D71" i="229"/>
  <c r="A71" i="229"/>
  <c r="T70" i="229"/>
  <c r="F70" i="229"/>
  <c r="D70" i="229"/>
  <c r="A70" i="229"/>
  <c r="T69" i="229"/>
  <c r="F69" i="229"/>
  <c r="D69" i="229"/>
  <c r="A69" i="229"/>
  <c r="T68" i="229"/>
  <c r="F68" i="229"/>
  <c r="D68" i="229"/>
  <c r="A68" i="229"/>
  <c r="T67" i="229"/>
  <c r="F67" i="229"/>
  <c r="D67" i="229"/>
  <c r="A67" i="229"/>
  <c r="T66" i="229"/>
  <c r="F66" i="229"/>
  <c r="D66" i="229"/>
  <c r="A66" i="229"/>
  <c r="T65" i="229"/>
  <c r="F65" i="229"/>
  <c r="D65" i="229"/>
  <c r="A65" i="229"/>
  <c r="T64" i="229"/>
  <c r="F64" i="229"/>
  <c r="D64" i="229"/>
  <c r="A64" i="229"/>
  <c r="T63" i="229"/>
  <c r="S63" i="229"/>
  <c r="R63" i="229"/>
  <c r="Q63" i="229"/>
  <c r="P63" i="229"/>
  <c r="O63" i="229"/>
  <c r="N63" i="229"/>
  <c r="M63" i="229"/>
  <c r="L63" i="229"/>
  <c r="K63" i="229"/>
  <c r="J63" i="229"/>
  <c r="I63" i="229"/>
  <c r="H63" i="229"/>
  <c r="F63" i="229"/>
  <c r="D63" i="229"/>
  <c r="A63" i="229"/>
  <c r="T62" i="229"/>
  <c r="S62" i="229"/>
  <c r="R62" i="229"/>
  <c r="Q62" i="229"/>
  <c r="P62" i="229"/>
  <c r="O62" i="229"/>
  <c r="N62" i="229"/>
  <c r="M62" i="229"/>
  <c r="L62" i="229"/>
  <c r="K62" i="229"/>
  <c r="J62" i="229"/>
  <c r="I62" i="229"/>
  <c r="H62" i="229"/>
  <c r="F62" i="229"/>
  <c r="D62" i="229"/>
  <c r="A62" i="229"/>
  <c r="T61" i="229"/>
  <c r="F61" i="229"/>
  <c r="D61" i="229"/>
  <c r="A61" i="229"/>
  <c r="T60" i="229"/>
  <c r="F60" i="229"/>
  <c r="D60" i="229"/>
  <c r="A60" i="229"/>
  <c r="T59" i="229"/>
  <c r="F59" i="229"/>
  <c r="D59" i="229"/>
  <c r="A59" i="229"/>
  <c r="T58" i="229"/>
  <c r="F58" i="229"/>
  <c r="D58" i="229"/>
  <c r="A58" i="229"/>
  <c r="T57" i="229"/>
  <c r="F57" i="229"/>
  <c r="D57" i="229"/>
  <c r="A57" i="229"/>
  <c r="T56" i="229"/>
  <c r="S56" i="229"/>
  <c r="R56" i="229"/>
  <c r="Q56" i="229"/>
  <c r="P56" i="229"/>
  <c r="O56" i="229"/>
  <c r="N56" i="229"/>
  <c r="M56" i="229"/>
  <c r="L56" i="229"/>
  <c r="K56" i="229"/>
  <c r="J56" i="229"/>
  <c r="I56" i="229"/>
  <c r="H56" i="229"/>
  <c r="F56" i="229"/>
  <c r="D56" i="229"/>
  <c r="A56" i="229"/>
  <c r="T55" i="229"/>
  <c r="S55" i="229"/>
  <c r="R55" i="229"/>
  <c r="Q55" i="229"/>
  <c r="P55" i="229"/>
  <c r="O55" i="229"/>
  <c r="N55" i="229"/>
  <c r="M55" i="229"/>
  <c r="L55" i="229"/>
  <c r="K55" i="229"/>
  <c r="J55" i="229"/>
  <c r="I55" i="229"/>
  <c r="H55" i="229"/>
  <c r="F55" i="229"/>
  <c r="D55" i="229"/>
  <c r="A55" i="229"/>
  <c r="T54" i="229"/>
  <c r="F54" i="229"/>
  <c r="D54" i="229"/>
  <c r="A54" i="229"/>
  <c r="T53" i="229"/>
  <c r="F53" i="229"/>
  <c r="D53" i="229"/>
  <c r="A53" i="229"/>
  <c r="T52" i="229"/>
  <c r="F52" i="229"/>
  <c r="D52" i="229"/>
  <c r="A52" i="229"/>
  <c r="T51" i="229"/>
  <c r="F51" i="229"/>
  <c r="D51" i="229"/>
  <c r="A51" i="229"/>
  <c r="T50" i="229"/>
  <c r="F50" i="229"/>
  <c r="D50" i="229"/>
  <c r="C50" i="229"/>
  <c r="B50" i="229"/>
  <c r="A50" i="229"/>
  <c r="T49" i="229"/>
  <c r="F49" i="229"/>
  <c r="D49" i="229"/>
  <c r="C49" i="229"/>
  <c r="B49" i="229"/>
  <c r="A49" i="229"/>
  <c r="T48" i="229"/>
  <c r="F48" i="229"/>
  <c r="D48" i="229"/>
  <c r="C48" i="229"/>
  <c r="B48" i="229"/>
  <c r="A48" i="229"/>
  <c r="T47" i="229"/>
  <c r="S47" i="229"/>
  <c r="R47" i="229"/>
  <c r="Q47" i="229"/>
  <c r="P47" i="229"/>
  <c r="O47" i="229"/>
  <c r="N47" i="229"/>
  <c r="M47" i="229"/>
  <c r="L47" i="229"/>
  <c r="K47" i="229"/>
  <c r="J47" i="229"/>
  <c r="I47" i="229"/>
  <c r="H47" i="229"/>
  <c r="F47" i="229"/>
  <c r="D47" i="229"/>
  <c r="A47" i="229"/>
  <c r="T46" i="229"/>
  <c r="F46" i="229"/>
  <c r="D46" i="229"/>
  <c r="A46" i="229"/>
  <c r="T45" i="229"/>
  <c r="F45" i="229"/>
  <c r="D45" i="229"/>
  <c r="A45" i="229"/>
  <c r="S44" i="229"/>
  <c r="R44" i="229"/>
  <c r="Q44" i="229"/>
  <c r="P44" i="229"/>
  <c r="P153" i="229" s="1"/>
  <c r="O44" i="229"/>
  <c r="O153" i="229" s="1"/>
  <c r="N44" i="229"/>
  <c r="N153" i="229" s="1"/>
  <c r="M44" i="229"/>
  <c r="M153" i="229" s="1"/>
  <c r="L44" i="229"/>
  <c r="L153" i="229" s="1"/>
  <c r="K44" i="229"/>
  <c r="K43" i="229" s="1"/>
  <c r="J44" i="229"/>
  <c r="J153" i="229" s="1"/>
  <c r="I44" i="229"/>
  <c r="H44" i="229"/>
  <c r="H153" i="229" s="1"/>
  <c r="F153" i="229" s="1"/>
  <c r="D44" i="229"/>
  <c r="A44" i="229"/>
  <c r="C43" i="229"/>
  <c r="B43" i="229"/>
  <c r="A43" i="229"/>
  <c r="D42" i="229"/>
  <c r="C42" i="229"/>
  <c r="B42" i="229"/>
  <c r="A42" i="229"/>
  <c r="T41" i="229"/>
  <c r="F41" i="229"/>
  <c r="D41" i="229"/>
  <c r="A41" i="229"/>
  <c r="T40" i="229"/>
  <c r="F40" i="229"/>
  <c r="D40" i="229"/>
  <c r="A40" i="229"/>
  <c r="T39" i="229"/>
  <c r="F39" i="229"/>
  <c r="D39" i="229"/>
  <c r="A39" i="229"/>
  <c r="T38" i="229"/>
  <c r="S38" i="229"/>
  <c r="R38" i="229"/>
  <c r="Q38" i="229"/>
  <c r="P38" i="229"/>
  <c r="O38" i="229"/>
  <c r="N38" i="229"/>
  <c r="M38" i="229"/>
  <c r="L38" i="229"/>
  <c r="K38" i="229"/>
  <c r="J38" i="229"/>
  <c r="I38" i="229"/>
  <c r="H38" i="229"/>
  <c r="F38" i="229"/>
  <c r="D38" i="229"/>
  <c r="A38" i="229"/>
  <c r="T37" i="229"/>
  <c r="F37" i="229"/>
  <c r="D37" i="229"/>
  <c r="A37" i="229"/>
  <c r="T36" i="229"/>
  <c r="F36" i="229"/>
  <c r="D36" i="229"/>
  <c r="A36" i="229"/>
  <c r="T35" i="229"/>
  <c r="S35" i="229"/>
  <c r="R35" i="229"/>
  <c r="Q35" i="229"/>
  <c r="P35" i="229"/>
  <c r="O35" i="229"/>
  <c r="N35" i="229"/>
  <c r="M35" i="229"/>
  <c r="L35" i="229"/>
  <c r="K35" i="229"/>
  <c r="J35" i="229"/>
  <c r="I35" i="229"/>
  <c r="H35" i="229"/>
  <c r="F35" i="229"/>
  <c r="D35" i="229"/>
  <c r="A35" i="229"/>
  <c r="T34" i="229"/>
  <c r="F34" i="229"/>
  <c r="D34" i="229"/>
  <c r="A34" i="229"/>
  <c r="T33" i="229"/>
  <c r="S33" i="229"/>
  <c r="R33" i="229"/>
  <c r="Q33" i="229"/>
  <c r="P33" i="229"/>
  <c r="O33" i="229"/>
  <c r="N33" i="229"/>
  <c r="M33" i="229"/>
  <c r="L33" i="229"/>
  <c r="K33" i="229"/>
  <c r="J33" i="229"/>
  <c r="I33" i="229"/>
  <c r="H33" i="229"/>
  <c r="F33" i="229"/>
  <c r="D33" i="229"/>
  <c r="A33" i="229"/>
  <c r="T32" i="229"/>
  <c r="F32" i="229"/>
  <c r="D32" i="229"/>
  <c r="A32" i="229"/>
  <c r="T31" i="229"/>
  <c r="F31" i="229"/>
  <c r="D31" i="229"/>
  <c r="A31" i="229"/>
  <c r="T30" i="229"/>
  <c r="F30" i="229"/>
  <c r="D30" i="229"/>
  <c r="A30" i="229"/>
  <c r="T29" i="229"/>
  <c r="F29" i="229"/>
  <c r="D29" i="229"/>
  <c r="A29" i="229"/>
  <c r="T28" i="229"/>
  <c r="F28" i="229"/>
  <c r="D28" i="229"/>
  <c r="A28" i="229"/>
  <c r="T27" i="229"/>
  <c r="F27" i="229"/>
  <c r="D27" i="229"/>
  <c r="A27" i="229"/>
  <c r="T26" i="229"/>
  <c r="F26" i="229"/>
  <c r="D26" i="229"/>
  <c r="A26" i="229"/>
  <c r="T25" i="229"/>
  <c r="F25" i="229"/>
  <c r="D25" i="229"/>
  <c r="A25" i="229"/>
  <c r="T24" i="229"/>
  <c r="F24" i="229"/>
  <c r="D24" i="229"/>
  <c r="A24" i="229"/>
  <c r="S23" i="229"/>
  <c r="S42" i="229" s="1"/>
  <c r="R23" i="229"/>
  <c r="R42" i="229" s="1"/>
  <c r="Q23" i="229"/>
  <c r="Q42" i="229" s="1"/>
  <c r="P23" i="229"/>
  <c r="P42" i="229" s="1"/>
  <c r="O23" i="229"/>
  <c r="O42" i="229" s="1"/>
  <c r="N23" i="229"/>
  <c r="N42" i="229" s="1"/>
  <c r="M23" i="229"/>
  <c r="M42" i="229" s="1"/>
  <c r="L23" i="229"/>
  <c r="L42" i="229" s="1"/>
  <c r="K23" i="229"/>
  <c r="K42" i="229" s="1"/>
  <c r="J23" i="229"/>
  <c r="J42" i="229" s="1"/>
  <c r="I23" i="229"/>
  <c r="I42" i="229" s="1"/>
  <c r="H23" i="229"/>
  <c r="F23" i="229" s="1"/>
  <c r="D23" i="229"/>
  <c r="A23" i="229"/>
  <c r="B22" i="229"/>
  <c r="A22" i="229"/>
  <c r="C21" i="229"/>
  <c r="B21" i="229"/>
  <c r="A21" i="229"/>
  <c r="C20" i="229"/>
  <c r="B20" i="229"/>
  <c r="A20" i="229"/>
  <c r="S19" i="229"/>
  <c r="R19" i="229"/>
  <c r="Q19" i="229"/>
  <c r="P19" i="229"/>
  <c r="O19" i="229"/>
  <c r="N19" i="229"/>
  <c r="M19" i="229"/>
  <c r="L19" i="229"/>
  <c r="K19" i="229"/>
  <c r="J19" i="229"/>
  <c r="I19" i="229"/>
  <c r="H19" i="229"/>
  <c r="F19" i="229"/>
  <c r="D19" i="229"/>
  <c r="C19" i="229"/>
  <c r="B19" i="229"/>
  <c r="A19" i="229"/>
  <c r="T18" i="229"/>
  <c r="F18" i="229"/>
  <c r="D18" i="229"/>
  <c r="A18" i="229"/>
  <c r="T17" i="229"/>
  <c r="F17" i="229"/>
  <c r="D17" i="229"/>
  <c r="A17" i="229"/>
  <c r="T16" i="229"/>
  <c r="F16" i="229"/>
  <c r="D16" i="229"/>
  <c r="A16" i="229"/>
  <c r="T15" i="229"/>
  <c r="F15" i="229"/>
  <c r="D15" i="229"/>
  <c r="A15" i="229"/>
  <c r="T14" i="229"/>
  <c r="F14" i="229"/>
  <c r="D14" i="229"/>
  <c r="A14" i="229"/>
  <c r="C13" i="229"/>
  <c r="B13" i="229"/>
  <c r="A13" i="229"/>
  <c r="S12" i="229"/>
  <c r="R12" i="229"/>
  <c r="Q12" i="229"/>
  <c r="P12" i="229"/>
  <c r="O12" i="229"/>
  <c r="N12" i="229"/>
  <c r="M12" i="229"/>
  <c r="L12" i="229"/>
  <c r="K12" i="229"/>
  <c r="J12" i="229"/>
  <c r="I12" i="229"/>
  <c r="H12" i="229"/>
  <c r="F12" i="229"/>
  <c r="D12" i="229"/>
  <c r="C12" i="229"/>
  <c r="B12" i="229"/>
  <c r="A12" i="229"/>
  <c r="T11" i="229"/>
  <c r="F11" i="229"/>
  <c r="D11" i="229"/>
  <c r="C11" i="229"/>
  <c r="B11" i="229"/>
  <c r="A11" i="229"/>
  <c r="T10" i="229"/>
  <c r="F10" i="229"/>
  <c r="D10" i="229"/>
  <c r="C10" i="229"/>
  <c r="B10" i="229"/>
  <c r="A10" i="229"/>
  <c r="T9" i="229"/>
  <c r="S9" i="229"/>
  <c r="R9" i="229"/>
  <c r="Q9" i="229"/>
  <c r="P9" i="229"/>
  <c r="O9" i="229"/>
  <c r="N9" i="229"/>
  <c r="M9" i="229"/>
  <c r="L9" i="229"/>
  <c r="K9" i="229"/>
  <c r="J9" i="229"/>
  <c r="I9" i="229"/>
  <c r="H9" i="229"/>
  <c r="F9" i="229"/>
  <c r="D9" i="229"/>
  <c r="B9" i="229"/>
  <c r="A9" i="229"/>
  <c r="T8" i="229"/>
  <c r="F8" i="229"/>
  <c r="D8" i="229"/>
  <c r="B8" i="229"/>
  <c r="A8" i="229"/>
  <c r="B7" i="229"/>
  <c r="A7" i="229"/>
  <c r="C7" i="229" s="1"/>
  <c r="F6" i="229"/>
  <c r="D6" i="229"/>
  <c r="A219" i="228"/>
  <c r="A218" i="228"/>
  <c r="A217" i="228"/>
  <c r="A216" i="228"/>
  <c r="A215" i="228"/>
  <c r="A214" i="228"/>
  <c r="A213" i="228"/>
  <c r="A212" i="228"/>
  <c r="A211" i="228"/>
  <c r="A210" i="228"/>
  <c r="A209" i="228"/>
  <c r="C208" i="228"/>
  <c r="A208" i="228"/>
  <c r="D207" i="228"/>
  <c r="C207" i="228"/>
  <c r="B207" i="228"/>
  <c r="A207" i="228"/>
  <c r="C206" i="228"/>
  <c r="B206" i="228"/>
  <c r="A206" i="228"/>
  <c r="T205" i="228"/>
  <c r="F205" i="228"/>
  <c r="D205" i="228"/>
  <c r="A205" i="228"/>
  <c r="T204" i="228"/>
  <c r="F204" i="228"/>
  <c r="D204" i="228"/>
  <c r="A204" i="228"/>
  <c r="T203" i="228"/>
  <c r="F203" i="228"/>
  <c r="D203" i="228"/>
  <c r="A203" i="228"/>
  <c r="C202" i="228"/>
  <c r="B202" i="228"/>
  <c r="A202" i="228"/>
  <c r="D201" i="228"/>
  <c r="C201" i="228"/>
  <c r="B201" i="228"/>
  <c r="A201" i="228"/>
  <c r="C200" i="228"/>
  <c r="B200" i="228"/>
  <c r="A200" i="228"/>
  <c r="T199" i="228"/>
  <c r="S199" i="228"/>
  <c r="R199" i="228"/>
  <c r="Q199" i="228"/>
  <c r="P199" i="228"/>
  <c r="O199" i="228"/>
  <c r="N199" i="228"/>
  <c r="M199" i="228"/>
  <c r="L199" i="228"/>
  <c r="K199" i="228"/>
  <c r="J199" i="228"/>
  <c r="I199" i="228"/>
  <c r="H199" i="228"/>
  <c r="F199" i="228"/>
  <c r="D199" i="228"/>
  <c r="C199" i="228"/>
  <c r="B199" i="228"/>
  <c r="A199" i="228"/>
  <c r="T198" i="228"/>
  <c r="F198" i="228"/>
  <c r="D198" i="228"/>
  <c r="A198" i="228"/>
  <c r="T197" i="228"/>
  <c r="F197" i="228"/>
  <c r="D197" i="228"/>
  <c r="A197" i="228"/>
  <c r="T196" i="228"/>
  <c r="F196" i="228"/>
  <c r="D196" i="228"/>
  <c r="A196" i="228"/>
  <c r="T195" i="228"/>
  <c r="S195" i="228"/>
  <c r="R195" i="228"/>
  <c r="Q195" i="228"/>
  <c r="P195" i="228"/>
  <c r="O195" i="228"/>
  <c r="N195" i="228"/>
  <c r="M195" i="228"/>
  <c r="L195" i="228"/>
  <c r="K195" i="228"/>
  <c r="J195" i="228"/>
  <c r="I195" i="228"/>
  <c r="H195" i="228"/>
  <c r="F195" i="228"/>
  <c r="D195" i="228"/>
  <c r="A195" i="228"/>
  <c r="T194" i="228"/>
  <c r="F194" i="228"/>
  <c r="D194" i="228"/>
  <c r="A194" i="228"/>
  <c r="T193" i="228"/>
  <c r="F193" i="228"/>
  <c r="D193" i="228"/>
  <c r="A193" i="228"/>
  <c r="T192" i="228"/>
  <c r="F192" i="228"/>
  <c r="D192" i="228"/>
  <c r="A192" i="228"/>
  <c r="T191" i="228"/>
  <c r="F191" i="228"/>
  <c r="D191" i="228"/>
  <c r="A191" i="228"/>
  <c r="T190" i="228"/>
  <c r="F190" i="228"/>
  <c r="D190" i="228"/>
  <c r="A190" i="228"/>
  <c r="T189" i="228"/>
  <c r="F189" i="228"/>
  <c r="D189" i="228"/>
  <c r="A189" i="228"/>
  <c r="T188" i="228"/>
  <c r="F188" i="228"/>
  <c r="D188" i="228"/>
  <c r="A188" i="228"/>
  <c r="T187" i="228"/>
  <c r="S187" i="228"/>
  <c r="R187" i="228"/>
  <c r="Q187" i="228"/>
  <c r="P187" i="228"/>
  <c r="O187" i="228"/>
  <c r="N187" i="228"/>
  <c r="M187" i="228"/>
  <c r="L187" i="228"/>
  <c r="K187" i="228"/>
  <c r="J187" i="228"/>
  <c r="I187" i="228"/>
  <c r="H187" i="228"/>
  <c r="F187" i="228"/>
  <c r="D187" i="228"/>
  <c r="A187" i="228"/>
  <c r="C186" i="228"/>
  <c r="B186" i="228"/>
  <c r="A186" i="228"/>
  <c r="D185" i="228"/>
  <c r="C185" i="228"/>
  <c r="B185" i="228"/>
  <c r="A185" i="228"/>
  <c r="T184" i="228"/>
  <c r="C184" i="228"/>
  <c r="B184" i="228"/>
  <c r="A184" i="228"/>
  <c r="T183" i="228"/>
  <c r="S183" i="228"/>
  <c r="R183" i="228"/>
  <c r="Q183" i="228"/>
  <c r="P183" i="228"/>
  <c r="O183" i="228"/>
  <c r="N183" i="228"/>
  <c r="M183" i="228"/>
  <c r="L183" i="228"/>
  <c r="K183" i="228"/>
  <c r="J183" i="228"/>
  <c r="I183" i="228"/>
  <c r="H183" i="228"/>
  <c r="F183" i="228"/>
  <c r="D183" i="228"/>
  <c r="C183" i="228"/>
  <c r="B183" i="228"/>
  <c r="A183" i="228"/>
  <c r="T182" i="228"/>
  <c r="F182" i="228"/>
  <c r="D182" i="228"/>
  <c r="A182" i="228"/>
  <c r="T181" i="228"/>
  <c r="F181" i="228"/>
  <c r="D181" i="228"/>
  <c r="A181" i="228"/>
  <c r="T180" i="228"/>
  <c r="F180" i="228"/>
  <c r="D180" i="228"/>
  <c r="A180" i="228"/>
  <c r="T179" i="228"/>
  <c r="F179" i="228"/>
  <c r="D179" i="228"/>
  <c r="A179" i="228"/>
  <c r="T178" i="228"/>
  <c r="F178" i="228"/>
  <c r="D178" i="228"/>
  <c r="A178" i="228"/>
  <c r="T177" i="228"/>
  <c r="S177" i="228"/>
  <c r="R177" i="228"/>
  <c r="Q177" i="228"/>
  <c r="P177" i="228"/>
  <c r="O177" i="228"/>
  <c r="N177" i="228"/>
  <c r="M177" i="228"/>
  <c r="L177" i="228"/>
  <c r="K177" i="228"/>
  <c r="J177" i="228"/>
  <c r="I177" i="228"/>
  <c r="H177" i="228"/>
  <c r="F177" i="228"/>
  <c r="D177" i="228"/>
  <c r="A177" i="228"/>
  <c r="T176" i="228"/>
  <c r="F176" i="228"/>
  <c r="D176" i="228"/>
  <c r="A176" i="228"/>
  <c r="T175" i="228"/>
  <c r="F175" i="228"/>
  <c r="D175" i="228"/>
  <c r="A175" i="228"/>
  <c r="T174" i="228"/>
  <c r="F174" i="228"/>
  <c r="D174" i="228"/>
  <c r="A174" i="228"/>
  <c r="C173" i="228"/>
  <c r="B173" i="228"/>
  <c r="A173" i="228"/>
  <c r="S172" i="228"/>
  <c r="R172" i="228"/>
  <c r="Q172" i="228"/>
  <c r="P172" i="228"/>
  <c r="O172" i="228"/>
  <c r="N172" i="228"/>
  <c r="M172" i="228"/>
  <c r="L172" i="228"/>
  <c r="K172" i="228"/>
  <c r="J172" i="228"/>
  <c r="I172" i="228"/>
  <c r="H172" i="228"/>
  <c r="F172" i="228"/>
  <c r="D172" i="228"/>
  <c r="C172" i="228"/>
  <c r="B172" i="228"/>
  <c r="A172" i="228"/>
  <c r="T171" i="228"/>
  <c r="S171" i="228"/>
  <c r="R171" i="228"/>
  <c r="Q171" i="228"/>
  <c r="P171" i="228"/>
  <c r="O171" i="228"/>
  <c r="N171" i="228"/>
  <c r="M171" i="228"/>
  <c r="L171" i="228"/>
  <c r="K171" i="228"/>
  <c r="J171" i="228"/>
  <c r="I171" i="228"/>
  <c r="H171" i="228"/>
  <c r="F171" i="228"/>
  <c r="D171" i="228"/>
  <c r="A171" i="228"/>
  <c r="F170" i="228"/>
  <c r="D170" i="228"/>
  <c r="A170" i="228"/>
  <c r="T169" i="228"/>
  <c r="F169" i="228"/>
  <c r="D169" i="228"/>
  <c r="A169" i="228"/>
  <c r="T168" i="228"/>
  <c r="F168" i="228"/>
  <c r="D168" i="228"/>
  <c r="A168" i="228"/>
  <c r="T167" i="228"/>
  <c r="S167" i="228"/>
  <c r="R167" i="228"/>
  <c r="Q167" i="228"/>
  <c r="P167" i="228"/>
  <c r="O167" i="228"/>
  <c r="N167" i="228"/>
  <c r="M167" i="228"/>
  <c r="L167" i="228"/>
  <c r="K167" i="228"/>
  <c r="J167" i="228"/>
  <c r="I167" i="228"/>
  <c r="H167" i="228"/>
  <c r="F167" i="228"/>
  <c r="D167" i="228"/>
  <c r="A167" i="228"/>
  <c r="T166" i="228"/>
  <c r="F166" i="228"/>
  <c r="D166" i="228"/>
  <c r="A166" i="228"/>
  <c r="T165" i="228"/>
  <c r="F165" i="228"/>
  <c r="D165" i="228"/>
  <c r="A165" i="228"/>
  <c r="T164" i="228"/>
  <c r="F164" i="228"/>
  <c r="D164" i="228"/>
  <c r="A164" i="228"/>
  <c r="T163" i="228"/>
  <c r="F163" i="228"/>
  <c r="D163" i="228"/>
  <c r="A163" i="228"/>
  <c r="T162" i="228"/>
  <c r="S162" i="228"/>
  <c r="R162" i="228"/>
  <c r="Q162" i="228"/>
  <c r="P162" i="228"/>
  <c r="O162" i="228"/>
  <c r="N162" i="228"/>
  <c r="M162" i="228"/>
  <c r="L162" i="228"/>
  <c r="K162" i="228"/>
  <c r="J162" i="228"/>
  <c r="I162" i="228"/>
  <c r="H162" i="228"/>
  <c r="F162" i="228"/>
  <c r="D162" i="228"/>
  <c r="A162" i="228"/>
  <c r="T161" i="228"/>
  <c r="F161" i="228"/>
  <c r="D161" i="228"/>
  <c r="A161" i="228"/>
  <c r="T160" i="228"/>
  <c r="F160" i="228"/>
  <c r="D160" i="228"/>
  <c r="A160" i="228"/>
  <c r="T159" i="228"/>
  <c r="S159" i="228"/>
  <c r="R159" i="228"/>
  <c r="Q159" i="228"/>
  <c r="P159" i="228"/>
  <c r="O159" i="228"/>
  <c r="N159" i="228"/>
  <c r="M159" i="228"/>
  <c r="L159" i="228"/>
  <c r="K159" i="228"/>
  <c r="J159" i="228"/>
  <c r="I159" i="228"/>
  <c r="H159" i="228"/>
  <c r="F159" i="228"/>
  <c r="D159" i="228"/>
  <c r="A159" i="228"/>
  <c r="T158" i="228"/>
  <c r="F158" i="228"/>
  <c r="D158" i="228"/>
  <c r="A158" i="228"/>
  <c r="T157" i="228"/>
  <c r="F157" i="228"/>
  <c r="D157" i="228"/>
  <c r="A157" i="228"/>
  <c r="T156" i="228"/>
  <c r="F156" i="228"/>
  <c r="D156" i="228"/>
  <c r="A156" i="228"/>
  <c r="B155" i="228"/>
  <c r="A155" i="228"/>
  <c r="T154" i="228"/>
  <c r="C154" i="228"/>
  <c r="B154" i="228"/>
  <c r="A154" i="228"/>
  <c r="D153" i="228"/>
  <c r="C153" i="228"/>
  <c r="B153" i="228"/>
  <c r="A153" i="228"/>
  <c r="T152" i="228"/>
  <c r="F152" i="228"/>
  <c r="D152" i="228"/>
  <c r="A152" i="228"/>
  <c r="T151" i="228"/>
  <c r="F151" i="228"/>
  <c r="D151" i="228"/>
  <c r="A151" i="228"/>
  <c r="T150" i="228"/>
  <c r="F150" i="228"/>
  <c r="D150" i="228"/>
  <c r="A150" i="228"/>
  <c r="T149" i="228"/>
  <c r="F149" i="228"/>
  <c r="D149" i="228"/>
  <c r="A149" i="228"/>
  <c r="T148" i="228"/>
  <c r="F148" i="228"/>
  <c r="D148" i="228"/>
  <c r="A148" i="228"/>
  <c r="T147" i="228"/>
  <c r="F147" i="228"/>
  <c r="D147" i="228"/>
  <c r="A147" i="228"/>
  <c r="T146" i="228"/>
  <c r="F146" i="228"/>
  <c r="D146" i="228"/>
  <c r="A146" i="228"/>
  <c r="T145" i="228"/>
  <c r="F145" i="228"/>
  <c r="D145" i="228"/>
  <c r="A145" i="228"/>
  <c r="T144" i="228"/>
  <c r="F144" i="228"/>
  <c r="D144" i="228"/>
  <c r="A144" i="228"/>
  <c r="T143" i="228"/>
  <c r="F143" i="228"/>
  <c r="D143" i="228"/>
  <c r="A143" i="228"/>
  <c r="T142" i="228"/>
  <c r="F142" i="228"/>
  <c r="D142" i="228"/>
  <c r="A142" i="228"/>
  <c r="T141" i="228"/>
  <c r="F141" i="228"/>
  <c r="D141" i="228"/>
  <c r="A141" i="228"/>
  <c r="T140" i="228"/>
  <c r="F140" i="228"/>
  <c r="D140" i="228"/>
  <c r="A140" i="228"/>
  <c r="T139" i="228"/>
  <c r="F139" i="228"/>
  <c r="D139" i="228"/>
  <c r="A139" i="228"/>
  <c r="T138" i="228"/>
  <c r="F138" i="228"/>
  <c r="D138" i="228"/>
  <c r="A138" i="228"/>
  <c r="T137" i="228"/>
  <c r="S137" i="228"/>
  <c r="R137" i="228"/>
  <c r="Q137" i="228"/>
  <c r="P137" i="228"/>
  <c r="O137" i="228"/>
  <c r="N137" i="228"/>
  <c r="M137" i="228"/>
  <c r="L137" i="228"/>
  <c r="K137" i="228"/>
  <c r="J137" i="228"/>
  <c r="I137" i="228"/>
  <c r="H137" i="228"/>
  <c r="F137" i="228"/>
  <c r="D137" i="228"/>
  <c r="A137" i="228"/>
  <c r="T136" i="228"/>
  <c r="F136" i="228"/>
  <c r="D136" i="228"/>
  <c r="C136" i="228"/>
  <c r="A136" i="228"/>
  <c r="T135" i="228"/>
  <c r="F135" i="228"/>
  <c r="D135" i="228"/>
  <c r="A135" i="228"/>
  <c r="T134" i="228"/>
  <c r="S134" i="228"/>
  <c r="R134" i="228"/>
  <c r="Q134" i="228"/>
  <c r="P134" i="228"/>
  <c r="O134" i="228"/>
  <c r="N134" i="228"/>
  <c r="M134" i="228"/>
  <c r="L134" i="228"/>
  <c r="K134" i="228"/>
  <c r="J134" i="228"/>
  <c r="I134" i="228"/>
  <c r="H134" i="228"/>
  <c r="F134" i="228"/>
  <c r="D134" i="228"/>
  <c r="A134" i="228"/>
  <c r="T133" i="228"/>
  <c r="F133" i="228"/>
  <c r="D133" i="228"/>
  <c r="A133" i="228"/>
  <c r="T132" i="228"/>
  <c r="S132" i="228"/>
  <c r="R132" i="228"/>
  <c r="Q132" i="228"/>
  <c r="P132" i="228"/>
  <c r="O132" i="228"/>
  <c r="N132" i="228"/>
  <c r="M132" i="228"/>
  <c r="L132" i="228"/>
  <c r="K132" i="228"/>
  <c r="J132" i="228"/>
  <c r="I132" i="228"/>
  <c r="H132" i="228"/>
  <c r="F132" i="228"/>
  <c r="D132" i="228"/>
  <c r="A132" i="228"/>
  <c r="T131" i="228"/>
  <c r="F131" i="228"/>
  <c r="D131" i="228"/>
  <c r="A131" i="228"/>
  <c r="T130" i="228"/>
  <c r="F130" i="228"/>
  <c r="D130" i="228"/>
  <c r="A130" i="228"/>
  <c r="T129" i="228"/>
  <c r="F129" i="228"/>
  <c r="D129" i="228"/>
  <c r="A129" i="228"/>
  <c r="T128" i="228"/>
  <c r="F128" i="228"/>
  <c r="D128" i="228"/>
  <c r="A128" i="228"/>
  <c r="T127" i="228"/>
  <c r="S127" i="228"/>
  <c r="R127" i="228"/>
  <c r="Q127" i="228"/>
  <c r="P127" i="228"/>
  <c r="O127" i="228"/>
  <c r="N127" i="228"/>
  <c r="M127" i="228"/>
  <c r="L127" i="228"/>
  <c r="K127" i="228"/>
  <c r="J127" i="228"/>
  <c r="I127" i="228"/>
  <c r="H127" i="228"/>
  <c r="F127" i="228"/>
  <c r="D127" i="228"/>
  <c r="B127" i="228"/>
  <c r="A127" i="228"/>
  <c r="T126" i="228"/>
  <c r="F126" i="228"/>
  <c r="D126" i="228"/>
  <c r="A126" i="228"/>
  <c r="T125" i="228"/>
  <c r="F125" i="228"/>
  <c r="D125" i="228"/>
  <c r="C125" i="228"/>
  <c r="B125" i="228"/>
  <c r="T124" i="228"/>
  <c r="F124" i="228"/>
  <c r="D124" i="228"/>
  <c r="C124" i="228"/>
  <c r="B124" i="228"/>
  <c r="T123" i="228"/>
  <c r="F123" i="228"/>
  <c r="D123" i="228"/>
  <c r="C123" i="228"/>
  <c r="B123" i="228"/>
  <c r="T122" i="228"/>
  <c r="S122" i="228"/>
  <c r="R122" i="228"/>
  <c r="Q122" i="228"/>
  <c r="P122" i="228"/>
  <c r="O122" i="228"/>
  <c r="N122" i="228"/>
  <c r="M122" i="228"/>
  <c r="L122" i="228"/>
  <c r="K122" i="228"/>
  <c r="J122" i="228"/>
  <c r="I122" i="228"/>
  <c r="H122" i="228"/>
  <c r="F122" i="228"/>
  <c r="D122" i="228"/>
  <c r="A122" i="228"/>
  <c r="T121" i="228"/>
  <c r="F121" i="228"/>
  <c r="D121" i="228"/>
  <c r="C121" i="228"/>
  <c r="B121" i="228"/>
  <c r="T120" i="228"/>
  <c r="F120" i="228"/>
  <c r="D120" i="228"/>
  <c r="C120" i="228"/>
  <c r="B120" i="228"/>
  <c r="T119" i="228"/>
  <c r="F119" i="228"/>
  <c r="D119" i="228"/>
  <c r="C119" i="228"/>
  <c r="B119" i="228"/>
  <c r="T118" i="228"/>
  <c r="S118" i="228"/>
  <c r="R118" i="228"/>
  <c r="Q118" i="228"/>
  <c r="P118" i="228"/>
  <c r="O118" i="228"/>
  <c r="N118" i="228"/>
  <c r="M118" i="228"/>
  <c r="L118" i="228"/>
  <c r="K118" i="228"/>
  <c r="J118" i="228"/>
  <c r="I118" i="228"/>
  <c r="H118" i="228"/>
  <c r="F118" i="228"/>
  <c r="D118" i="228"/>
  <c r="A118" i="228"/>
  <c r="T117" i="228"/>
  <c r="F117" i="228"/>
  <c r="D117" i="228"/>
  <c r="A117" i="228"/>
  <c r="T116" i="228"/>
  <c r="F116" i="228"/>
  <c r="D116" i="228"/>
  <c r="C116" i="228"/>
  <c r="B116" i="228"/>
  <c r="T115" i="228"/>
  <c r="F115" i="228"/>
  <c r="D115" i="228"/>
  <c r="C115" i="228"/>
  <c r="B115" i="228"/>
  <c r="T114" i="228"/>
  <c r="F114" i="228"/>
  <c r="D114" i="228"/>
  <c r="C114" i="228"/>
  <c r="B114" i="228"/>
  <c r="T113" i="228"/>
  <c r="S113" i="228"/>
  <c r="R113" i="228"/>
  <c r="Q113" i="228"/>
  <c r="P113" i="228"/>
  <c r="O113" i="228"/>
  <c r="N113" i="228"/>
  <c r="M113" i="228"/>
  <c r="L113" i="228"/>
  <c r="K113" i="228"/>
  <c r="J113" i="228"/>
  <c r="I113" i="228"/>
  <c r="H113" i="228"/>
  <c r="F113" i="228"/>
  <c r="D113" i="228"/>
  <c r="A113" i="228"/>
  <c r="T112" i="228"/>
  <c r="F112" i="228"/>
  <c r="D112" i="228"/>
  <c r="C112" i="228"/>
  <c r="B112" i="228"/>
  <c r="T111" i="228"/>
  <c r="F111" i="228"/>
  <c r="D111" i="228"/>
  <c r="C111" i="228"/>
  <c r="B111" i="228"/>
  <c r="T110" i="228"/>
  <c r="F110" i="228"/>
  <c r="D110" i="228"/>
  <c r="C110" i="228"/>
  <c r="B110" i="228"/>
  <c r="T109" i="228"/>
  <c r="S109" i="228"/>
  <c r="R109" i="228"/>
  <c r="Q109" i="228"/>
  <c r="P109" i="228"/>
  <c r="O109" i="228"/>
  <c r="N109" i="228"/>
  <c r="M109" i="228"/>
  <c r="L109" i="228"/>
  <c r="K109" i="228"/>
  <c r="J109" i="228"/>
  <c r="I109" i="228"/>
  <c r="H109" i="228"/>
  <c r="F109" i="228"/>
  <c r="D109" i="228"/>
  <c r="A109" i="228"/>
  <c r="T108" i="228"/>
  <c r="F108" i="228"/>
  <c r="D108" i="228"/>
  <c r="C108" i="228"/>
  <c r="B108" i="228"/>
  <c r="T107" i="228"/>
  <c r="F107" i="228"/>
  <c r="D107" i="228"/>
  <c r="C107" i="228"/>
  <c r="B107" i="228"/>
  <c r="T106" i="228"/>
  <c r="F106" i="228"/>
  <c r="D106" i="228"/>
  <c r="C106" i="228"/>
  <c r="B106" i="228"/>
  <c r="T105" i="228"/>
  <c r="S105" i="228"/>
  <c r="R105" i="228"/>
  <c r="Q105" i="228"/>
  <c r="P105" i="228"/>
  <c r="O105" i="228"/>
  <c r="N105" i="228"/>
  <c r="M105" i="228"/>
  <c r="L105" i="228"/>
  <c r="K105" i="228"/>
  <c r="J105" i="228"/>
  <c r="I105" i="228"/>
  <c r="H105" i="228"/>
  <c r="F105" i="228"/>
  <c r="D105" i="228"/>
  <c r="A105" i="228"/>
  <c r="T104" i="228"/>
  <c r="F104" i="228"/>
  <c r="D104" i="228"/>
  <c r="C104" i="228"/>
  <c r="B104" i="228"/>
  <c r="T103" i="228"/>
  <c r="F103" i="228"/>
  <c r="D103" i="228"/>
  <c r="C103" i="228"/>
  <c r="B103" i="228"/>
  <c r="T102" i="228"/>
  <c r="F102" i="228"/>
  <c r="D102" i="228"/>
  <c r="C102" i="228"/>
  <c r="B102" i="228"/>
  <c r="T101" i="228"/>
  <c r="S101" i="228"/>
  <c r="R101" i="228"/>
  <c r="Q101" i="228"/>
  <c r="P101" i="228"/>
  <c r="O101" i="228"/>
  <c r="N101" i="228"/>
  <c r="M101" i="228"/>
  <c r="L101" i="228"/>
  <c r="K101" i="228"/>
  <c r="J101" i="228"/>
  <c r="I101" i="228"/>
  <c r="H101" i="228"/>
  <c r="F101" i="228"/>
  <c r="D101" i="228"/>
  <c r="A101" i="228"/>
  <c r="T100" i="228"/>
  <c r="F100" i="228"/>
  <c r="D100" i="228"/>
  <c r="C100" i="228"/>
  <c r="B100" i="228"/>
  <c r="T99" i="228"/>
  <c r="F99" i="228"/>
  <c r="D99" i="228"/>
  <c r="C99" i="228"/>
  <c r="B99" i="228"/>
  <c r="T98" i="228"/>
  <c r="F98" i="228"/>
  <c r="D98" i="228"/>
  <c r="C98" i="228"/>
  <c r="B98" i="228"/>
  <c r="T97" i="228"/>
  <c r="S97" i="228"/>
  <c r="R97" i="228"/>
  <c r="Q97" i="228"/>
  <c r="P97" i="228"/>
  <c r="O97" i="228"/>
  <c r="N97" i="228"/>
  <c r="M97" i="228"/>
  <c r="L97" i="228"/>
  <c r="K97" i="228"/>
  <c r="J97" i="228"/>
  <c r="I97" i="228"/>
  <c r="H97" i="228"/>
  <c r="F97" i="228"/>
  <c r="D97" i="228"/>
  <c r="A97" i="228"/>
  <c r="T96" i="228"/>
  <c r="F96" i="228"/>
  <c r="D96" i="228"/>
  <c r="C96" i="228"/>
  <c r="B96" i="228"/>
  <c r="T95" i="228"/>
  <c r="F95" i="228"/>
  <c r="D95" i="228"/>
  <c r="C95" i="228"/>
  <c r="B95" i="228"/>
  <c r="T94" i="228"/>
  <c r="F94" i="228"/>
  <c r="D94" i="228"/>
  <c r="C94" i="228"/>
  <c r="B94" i="228"/>
  <c r="T93" i="228"/>
  <c r="S93" i="228"/>
  <c r="R93" i="228"/>
  <c r="Q93" i="228"/>
  <c r="P93" i="228"/>
  <c r="O93" i="228"/>
  <c r="N93" i="228"/>
  <c r="M93" i="228"/>
  <c r="L93" i="228"/>
  <c r="K93" i="228"/>
  <c r="J93" i="228"/>
  <c r="I93" i="228"/>
  <c r="H93" i="228"/>
  <c r="F93" i="228"/>
  <c r="D93" i="228"/>
  <c r="A93" i="228"/>
  <c r="T92" i="228"/>
  <c r="S92" i="228"/>
  <c r="R92" i="228"/>
  <c r="Q92" i="228"/>
  <c r="P92" i="228"/>
  <c r="O92" i="228"/>
  <c r="N92" i="228"/>
  <c r="M92" i="228"/>
  <c r="L92" i="228"/>
  <c r="K92" i="228"/>
  <c r="J92" i="228"/>
  <c r="I92" i="228"/>
  <c r="H92" i="228"/>
  <c r="F92" i="228"/>
  <c r="D92" i="228"/>
  <c r="B92" i="228"/>
  <c r="A92" i="228"/>
  <c r="T91" i="228"/>
  <c r="F91" i="228"/>
  <c r="D91" i="228"/>
  <c r="A91" i="228"/>
  <c r="T90" i="228"/>
  <c r="F90" i="228"/>
  <c r="D90" i="228"/>
  <c r="A90" i="228"/>
  <c r="T89" i="228"/>
  <c r="F89" i="228"/>
  <c r="D89" i="228"/>
  <c r="A89" i="228"/>
  <c r="T88" i="228"/>
  <c r="F88" i="228"/>
  <c r="D88" i="228"/>
  <c r="A88" i="228"/>
  <c r="T87" i="228"/>
  <c r="F87" i="228"/>
  <c r="D87" i="228"/>
  <c r="A87" i="228"/>
  <c r="T86" i="228"/>
  <c r="F86" i="228"/>
  <c r="D86" i="228"/>
  <c r="A86" i="228"/>
  <c r="T85" i="228"/>
  <c r="F85" i="228"/>
  <c r="D85" i="228"/>
  <c r="A85" i="228"/>
  <c r="T84" i="228"/>
  <c r="F84" i="228"/>
  <c r="D84" i="228"/>
  <c r="A84" i="228"/>
  <c r="T83" i="228"/>
  <c r="F83" i="228"/>
  <c r="D83" i="228"/>
  <c r="A83" i="228"/>
  <c r="T82" i="228"/>
  <c r="F82" i="228"/>
  <c r="D82" i="228"/>
  <c r="A82" i="228"/>
  <c r="T81" i="228"/>
  <c r="F81" i="228"/>
  <c r="D81" i="228"/>
  <c r="A81" i="228"/>
  <c r="T80" i="228"/>
  <c r="S80" i="228"/>
  <c r="R80" i="228"/>
  <c r="Q80" i="228"/>
  <c r="P80" i="228"/>
  <c r="O80" i="228"/>
  <c r="N80" i="228"/>
  <c r="M80" i="228"/>
  <c r="L80" i="228"/>
  <c r="K80" i="228"/>
  <c r="J80" i="228"/>
  <c r="I80" i="228"/>
  <c r="H80" i="228"/>
  <c r="F80" i="228"/>
  <c r="D80" i="228"/>
  <c r="A80" i="228"/>
  <c r="T79" i="228"/>
  <c r="F79" i="228"/>
  <c r="D79" i="228"/>
  <c r="B79" i="228"/>
  <c r="A79" i="228"/>
  <c r="T78" i="228"/>
  <c r="F78" i="228"/>
  <c r="D78" i="228"/>
  <c r="C78" i="228"/>
  <c r="B78" i="228"/>
  <c r="A78" i="228"/>
  <c r="T77" i="228"/>
  <c r="F77" i="228"/>
  <c r="D77" i="228"/>
  <c r="C77" i="228"/>
  <c r="B77" i="228"/>
  <c r="A77" i="228"/>
  <c r="T76" i="228"/>
  <c r="F76" i="228"/>
  <c r="D76" i="228"/>
  <c r="C76" i="228"/>
  <c r="B76" i="228"/>
  <c r="A76" i="228"/>
  <c r="T75" i="228"/>
  <c r="S75" i="228"/>
  <c r="R75" i="228"/>
  <c r="Q75" i="228"/>
  <c r="P75" i="228"/>
  <c r="O75" i="228"/>
  <c r="N75" i="228"/>
  <c r="M75" i="228"/>
  <c r="L75" i="228"/>
  <c r="K75" i="228"/>
  <c r="J75" i="228"/>
  <c r="I75" i="228"/>
  <c r="H75" i="228"/>
  <c r="F75" i="228"/>
  <c r="D75" i="228"/>
  <c r="A75" i="228"/>
  <c r="T74" i="228"/>
  <c r="F74" i="228"/>
  <c r="D74" i="228"/>
  <c r="A74" i="228"/>
  <c r="T73" i="228"/>
  <c r="F73" i="228"/>
  <c r="D73" i="228"/>
  <c r="A73" i="228"/>
  <c r="T72" i="228"/>
  <c r="F72" i="228"/>
  <c r="D72" i="228"/>
  <c r="A72" i="228"/>
  <c r="T71" i="228"/>
  <c r="F71" i="228"/>
  <c r="D71" i="228"/>
  <c r="A71" i="228"/>
  <c r="T70" i="228"/>
  <c r="F70" i="228"/>
  <c r="D70" i="228"/>
  <c r="A70" i="228"/>
  <c r="T69" i="228"/>
  <c r="F69" i="228"/>
  <c r="D69" i="228"/>
  <c r="A69" i="228"/>
  <c r="T68" i="228"/>
  <c r="F68" i="228"/>
  <c r="D68" i="228"/>
  <c r="A68" i="228"/>
  <c r="T67" i="228"/>
  <c r="F67" i="228"/>
  <c r="D67" i="228"/>
  <c r="A67" i="228"/>
  <c r="T66" i="228"/>
  <c r="F66" i="228"/>
  <c r="D66" i="228"/>
  <c r="A66" i="228"/>
  <c r="T65" i="228"/>
  <c r="F65" i="228"/>
  <c r="D65" i="228"/>
  <c r="A65" i="228"/>
  <c r="T64" i="228"/>
  <c r="F64" i="228"/>
  <c r="D64" i="228"/>
  <c r="A64" i="228"/>
  <c r="T63" i="228"/>
  <c r="S63" i="228"/>
  <c r="R63" i="228"/>
  <c r="Q63" i="228"/>
  <c r="P63" i="228"/>
  <c r="O63" i="228"/>
  <c r="N63" i="228"/>
  <c r="M63" i="228"/>
  <c r="L63" i="228"/>
  <c r="K63" i="228"/>
  <c r="J63" i="228"/>
  <c r="I63" i="228"/>
  <c r="H63" i="228"/>
  <c r="F63" i="228"/>
  <c r="D63" i="228"/>
  <c r="A63" i="228"/>
  <c r="T62" i="228"/>
  <c r="S62" i="228"/>
  <c r="R62" i="228"/>
  <c r="Q62" i="228"/>
  <c r="P62" i="228"/>
  <c r="O62" i="228"/>
  <c r="N62" i="228"/>
  <c r="M62" i="228"/>
  <c r="L62" i="228"/>
  <c r="K62" i="228"/>
  <c r="J62" i="228"/>
  <c r="I62" i="228"/>
  <c r="H62" i="228"/>
  <c r="F62" i="228"/>
  <c r="D62" i="228"/>
  <c r="A62" i="228"/>
  <c r="T61" i="228"/>
  <c r="F61" i="228"/>
  <c r="D61" i="228"/>
  <c r="A61" i="228"/>
  <c r="T60" i="228"/>
  <c r="F60" i="228"/>
  <c r="D60" i="228"/>
  <c r="A60" i="228"/>
  <c r="T59" i="228"/>
  <c r="F59" i="228"/>
  <c r="D59" i="228"/>
  <c r="A59" i="228"/>
  <c r="T58" i="228"/>
  <c r="F58" i="228"/>
  <c r="D58" i="228"/>
  <c r="A58" i="228"/>
  <c r="T57" i="228"/>
  <c r="F57" i="228"/>
  <c r="D57" i="228"/>
  <c r="A57" i="228"/>
  <c r="T56" i="228"/>
  <c r="S56" i="228"/>
  <c r="R56" i="228"/>
  <c r="Q56" i="228"/>
  <c r="P56" i="228"/>
  <c r="O56" i="228"/>
  <c r="N56" i="228"/>
  <c r="M56" i="228"/>
  <c r="L56" i="228"/>
  <c r="K56" i="228"/>
  <c r="J56" i="228"/>
  <c r="I56" i="228"/>
  <c r="H56" i="228"/>
  <c r="F56" i="228"/>
  <c r="D56" i="228"/>
  <c r="A56" i="228"/>
  <c r="T55" i="228"/>
  <c r="S55" i="228"/>
  <c r="R55" i="228"/>
  <c r="Q55" i="228"/>
  <c r="P55" i="228"/>
  <c r="O55" i="228"/>
  <c r="N55" i="228"/>
  <c r="M55" i="228"/>
  <c r="L55" i="228"/>
  <c r="K55" i="228"/>
  <c r="J55" i="228"/>
  <c r="I55" i="228"/>
  <c r="H55" i="228"/>
  <c r="F55" i="228"/>
  <c r="D55" i="228"/>
  <c r="A55" i="228"/>
  <c r="T54" i="228"/>
  <c r="F54" i="228"/>
  <c r="D54" i="228"/>
  <c r="A54" i="228"/>
  <c r="T53" i="228"/>
  <c r="F53" i="228"/>
  <c r="D53" i="228"/>
  <c r="A53" i="228"/>
  <c r="T52" i="228"/>
  <c r="F52" i="228"/>
  <c r="D52" i="228"/>
  <c r="A52" i="228"/>
  <c r="T51" i="228"/>
  <c r="F51" i="228"/>
  <c r="D51" i="228"/>
  <c r="A51" i="228"/>
  <c r="T50" i="228"/>
  <c r="F50" i="228"/>
  <c r="D50" i="228"/>
  <c r="C50" i="228"/>
  <c r="B50" i="228"/>
  <c r="A50" i="228"/>
  <c r="T49" i="228"/>
  <c r="F49" i="228"/>
  <c r="D49" i="228"/>
  <c r="C49" i="228"/>
  <c r="B49" i="228"/>
  <c r="A49" i="228"/>
  <c r="T48" i="228"/>
  <c r="F48" i="228"/>
  <c r="D48" i="228"/>
  <c r="C48" i="228"/>
  <c r="B48" i="228"/>
  <c r="A48" i="228"/>
  <c r="T47" i="228"/>
  <c r="S47" i="228"/>
  <c r="R47" i="228"/>
  <c r="Q47" i="228"/>
  <c r="P47" i="228"/>
  <c r="O47" i="228"/>
  <c r="N47" i="228"/>
  <c r="M47" i="228"/>
  <c r="L47" i="228"/>
  <c r="K47" i="228"/>
  <c r="J47" i="228"/>
  <c r="I47" i="228"/>
  <c r="H47" i="228"/>
  <c r="F47" i="228"/>
  <c r="D47" i="228"/>
  <c r="A47" i="228"/>
  <c r="T46" i="228"/>
  <c r="F46" i="228"/>
  <c r="D46" i="228"/>
  <c r="A46" i="228"/>
  <c r="T45" i="228"/>
  <c r="F45" i="228"/>
  <c r="D45" i="228"/>
  <c r="A45" i="228"/>
  <c r="S44" i="228"/>
  <c r="R44" i="228"/>
  <c r="R153" i="228" s="1"/>
  <c r="Q44" i="228"/>
  <c r="Q153" i="228" s="1"/>
  <c r="P44" i="228"/>
  <c r="P153" i="228" s="1"/>
  <c r="O44" i="228"/>
  <c r="O153" i="228" s="1"/>
  <c r="N44" i="228"/>
  <c r="M44" i="228"/>
  <c r="M153" i="228" s="1"/>
  <c r="L44" i="228"/>
  <c r="L153" i="228" s="1"/>
  <c r="K44" i="228"/>
  <c r="K153" i="228" s="1"/>
  <c r="J44" i="228"/>
  <c r="J153" i="228" s="1"/>
  <c r="I44" i="228"/>
  <c r="I153" i="228" s="1"/>
  <c r="H44" i="228"/>
  <c r="D44" i="228"/>
  <c r="A44" i="228"/>
  <c r="C43" i="228"/>
  <c r="B43" i="228"/>
  <c r="A43" i="228"/>
  <c r="D42" i="228"/>
  <c r="C42" i="228"/>
  <c r="B42" i="228"/>
  <c r="A42" i="228"/>
  <c r="T41" i="228"/>
  <c r="F41" i="228"/>
  <c r="D41" i="228"/>
  <c r="A41" i="228"/>
  <c r="T40" i="228"/>
  <c r="F40" i="228"/>
  <c r="D40" i="228"/>
  <c r="A40" i="228"/>
  <c r="T39" i="228"/>
  <c r="F39" i="228"/>
  <c r="D39" i="228"/>
  <c r="A39" i="228"/>
  <c r="T38" i="228"/>
  <c r="S38" i="228"/>
  <c r="R38" i="228"/>
  <c r="Q38" i="228"/>
  <c r="P38" i="228"/>
  <c r="O38" i="228"/>
  <c r="N38" i="228"/>
  <c r="M38" i="228"/>
  <c r="L38" i="228"/>
  <c r="K38" i="228"/>
  <c r="J38" i="228"/>
  <c r="I38" i="228"/>
  <c r="H38" i="228"/>
  <c r="F38" i="228"/>
  <c r="D38" i="228"/>
  <c r="A38" i="228"/>
  <c r="T37" i="228"/>
  <c r="F37" i="228"/>
  <c r="D37" i="228"/>
  <c r="A37" i="228"/>
  <c r="T36" i="228"/>
  <c r="F36" i="228"/>
  <c r="D36" i="228"/>
  <c r="A36" i="228"/>
  <c r="T35" i="228"/>
  <c r="S35" i="228"/>
  <c r="R35" i="228"/>
  <c r="Q35" i="228"/>
  <c r="P35" i="228"/>
  <c r="O35" i="228"/>
  <c r="N35" i="228"/>
  <c r="M35" i="228"/>
  <c r="L35" i="228"/>
  <c r="K35" i="228"/>
  <c r="J35" i="228"/>
  <c r="I35" i="228"/>
  <c r="H35" i="228"/>
  <c r="F35" i="228"/>
  <c r="D35" i="228"/>
  <c r="A35" i="228"/>
  <c r="T34" i="228"/>
  <c r="F34" i="228"/>
  <c r="D34" i="228"/>
  <c r="A34" i="228"/>
  <c r="T33" i="228"/>
  <c r="S33" i="228"/>
  <c r="R33" i="228"/>
  <c r="Q33" i="228"/>
  <c r="P33" i="228"/>
  <c r="O33" i="228"/>
  <c r="N33" i="228"/>
  <c r="M33" i="228"/>
  <c r="L33" i="228"/>
  <c r="K33" i="228"/>
  <c r="J33" i="228"/>
  <c r="I33" i="228"/>
  <c r="H33" i="228"/>
  <c r="F33" i="228"/>
  <c r="D33" i="228"/>
  <c r="A33" i="228"/>
  <c r="T32" i="228"/>
  <c r="F32" i="228"/>
  <c r="D32" i="228"/>
  <c r="A32" i="228"/>
  <c r="T31" i="228"/>
  <c r="F31" i="228"/>
  <c r="D31" i="228"/>
  <c r="A31" i="228"/>
  <c r="T30" i="228"/>
  <c r="F30" i="228"/>
  <c r="D30" i="228"/>
  <c r="A30" i="228"/>
  <c r="T29" i="228"/>
  <c r="F29" i="228"/>
  <c r="D29" i="228"/>
  <c r="A29" i="228"/>
  <c r="T28" i="228"/>
  <c r="F28" i="228"/>
  <c r="D28" i="228"/>
  <c r="A28" i="228"/>
  <c r="T27" i="228"/>
  <c r="F27" i="228"/>
  <c r="D27" i="228"/>
  <c r="A27" i="228"/>
  <c r="T26" i="228"/>
  <c r="F26" i="228"/>
  <c r="D26" i="228"/>
  <c r="A26" i="228"/>
  <c r="T25" i="228"/>
  <c r="F25" i="228"/>
  <c r="D25" i="228"/>
  <c r="A25" i="228"/>
  <c r="T24" i="228"/>
  <c r="F24" i="228"/>
  <c r="D24" i="228"/>
  <c r="A24" i="228"/>
  <c r="S23" i="228"/>
  <c r="S42" i="228" s="1"/>
  <c r="R23" i="228"/>
  <c r="Q23" i="228"/>
  <c r="Q42" i="228" s="1"/>
  <c r="P23" i="228"/>
  <c r="P42" i="228" s="1"/>
  <c r="O23" i="228"/>
  <c r="O42" i="228" s="1"/>
  <c r="N23" i="228"/>
  <c r="N42" i="228" s="1"/>
  <c r="M23" i="228"/>
  <c r="M42" i="228" s="1"/>
  <c r="L23" i="228"/>
  <c r="L42" i="228" s="1"/>
  <c r="K23" i="228"/>
  <c r="K42" i="228" s="1"/>
  <c r="J23" i="228"/>
  <c r="J42" i="228" s="1"/>
  <c r="I23" i="228"/>
  <c r="I42" i="228" s="1"/>
  <c r="H23" i="228"/>
  <c r="H42" i="228" s="1"/>
  <c r="F42" i="228" s="1"/>
  <c r="D23" i="228"/>
  <c r="A23" i="228"/>
  <c r="B22" i="228"/>
  <c r="A22" i="228"/>
  <c r="C21" i="228"/>
  <c r="B21" i="228"/>
  <c r="A21" i="228"/>
  <c r="C20" i="228"/>
  <c r="B20" i="228"/>
  <c r="A20" i="228"/>
  <c r="S19" i="228"/>
  <c r="R19" i="228"/>
  <c r="Q19" i="228"/>
  <c r="P19" i="228"/>
  <c r="O19" i="228"/>
  <c r="N19" i="228"/>
  <c r="M19" i="228"/>
  <c r="L19" i="228"/>
  <c r="K19" i="228"/>
  <c r="J19" i="228"/>
  <c r="I19" i="228"/>
  <c r="H19" i="228"/>
  <c r="F19" i="228"/>
  <c r="D19" i="228"/>
  <c r="C19" i="228"/>
  <c r="B19" i="228"/>
  <c r="A19" i="228"/>
  <c r="T18" i="228"/>
  <c r="F18" i="228"/>
  <c r="D18" i="228"/>
  <c r="A18" i="228"/>
  <c r="T17" i="228"/>
  <c r="F17" i="228"/>
  <c r="D17" i="228"/>
  <c r="A17" i="228"/>
  <c r="T16" i="228"/>
  <c r="F16" i="228"/>
  <c r="D16" i="228"/>
  <c r="A16" i="228"/>
  <c r="T15" i="228"/>
  <c r="F15" i="228"/>
  <c r="D15" i="228"/>
  <c r="A15" i="228"/>
  <c r="T14" i="228"/>
  <c r="F14" i="228"/>
  <c r="D14" i="228"/>
  <c r="A14" i="228"/>
  <c r="C13" i="228"/>
  <c r="B13" i="228"/>
  <c r="A13" i="228"/>
  <c r="S12" i="228"/>
  <c r="R12" i="228"/>
  <c r="Q12" i="228"/>
  <c r="P12" i="228"/>
  <c r="O12" i="228"/>
  <c r="N12" i="228"/>
  <c r="M12" i="228"/>
  <c r="L12" i="228"/>
  <c r="K12" i="228"/>
  <c r="J12" i="228"/>
  <c r="I12" i="228"/>
  <c r="H12" i="228"/>
  <c r="F12" i="228"/>
  <c r="D12" i="228"/>
  <c r="C12" i="228"/>
  <c r="B12" i="228"/>
  <c r="A12" i="228"/>
  <c r="T11" i="228"/>
  <c r="F11" i="228"/>
  <c r="D11" i="228"/>
  <c r="C11" i="228"/>
  <c r="B11" i="228"/>
  <c r="A11" i="228"/>
  <c r="T10" i="228"/>
  <c r="F10" i="228"/>
  <c r="D10" i="228"/>
  <c r="C10" i="228"/>
  <c r="B10" i="228"/>
  <c r="A10" i="228"/>
  <c r="T9" i="228"/>
  <c r="S9" i="228"/>
  <c r="R9" i="228"/>
  <c r="Q9" i="228"/>
  <c r="P9" i="228"/>
  <c r="O9" i="228"/>
  <c r="N9" i="228"/>
  <c r="M9" i="228"/>
  <c r="L9" i="228"/>
  <c r="K9" i="228"/>
  <c r="J9" i="228"/>
  <c r="I9" i="228"/>
  <c r="H9" i="228"/>
  <c r="F9" i="228"/>
  <c r="D9" i="228"/>
  <c r="B9" i="228"/>
  <c r="A9" i="228"/>
  <c r="T8" i="228"/>
  <c r="F8" i="228"/>
  <c r="D8" i="228"/>
  <c r="B8" i="228"/>
  <c r="A8" i="228"/>
  <c r="B7" i="228"/>
  <c r="A7" i="228"/>
  <c r="C7" i="228" s="1"/>
  <c r="F6" i="228"/>
  <c r="D6" i="228"/>
  <c r="A219" i="227"/>
  <c r="A218" i="227"/>
  <c r="A217" i="227"/>
  <c r="A216" i="227"/>
  <c r="A215" i="227"/>
  <c r="A214" i="227"/>
  <c r="A213" i="227"/>
  <c r="A212" i="227"/>
  <c r="A211" i="227"/>
  <c r="A210" i="227"/>
  <c r="A209" i="227"/>
  <c r="C208" i="227"/>
  <c r="A208" i="227"/>
  <c r="D207" i="227"/>
  <c r="C207" i="227"/>
  <c r="B207" i="227"/>
  <c r="A207" i="227"/>
  <c r="C206" i="227"/>
  <c r="B206" i="227"/>
  <c r="A206" i="227"/>
  <c r="T205" i="227"/>
  <c r="F205" i="227"/>
  <c r="D205" i="227"/>
  <c r="A205" i="227"/>
  <c r="T204" i="227"/>
  <c r="F204" i="227"/>
  <c r="D204" i="227"/>
  <c r="A204" i="227"/>
  <c r="T203" i="227"/>
  <c r="F203" i="227"/>
  <c r="D203" i="227"/>
  <c r="A203" i="227"/>
  <c r="C202" i="227"/>
  <c r="B202" i="227"/>
  <c r="A202" i="227"/>
  <c r="D201" i="227"/>
  <c r="C201" i="227"/>
  <c r="B201" i="227"/>
  <c r="A201" i="227"/>
  <c r="C200" i="227"/>
  <c r="B200" i="227"/>
  <c r="A200" i="227"/>
  <c r="T199" i="227"/>
  <c r="S199" i="227"/>
  <c r="R199" i="227"/>
  <c r="Q199" i="227"/>
  <c r="P199" i="227"/>
  <c r="O199" i="227"/>
  <c r="N199" i="227"/>
  <c r="M199" i="227"/>
  <c r="L199" i="227"/>
  <c r="K199" i="227"/>
  <c r="J199" i="227"/>
  <c r="I199" i="227"/>
  <c r="H199" i="227"/>
  <c r="F199" i="227"/>
  <c r="D199" i="227"/>
  <c r="C199" i="227"/>
  <c r="B199" i="227"/>
  <c r="A199" i="227"/>
  <c r="T198" i="227"/>
  <c r="F198" i="227"/>
  <c r="D198" i="227"/>
  <c r="A198" i="227"/>
  <c r="T197" i="227"/>
  <c r="F197" i="227"/>
  <c r="D197" i="227"/>
  <c r="A197" i="227"/>
  <c r="T196" i="227"/>
  <c r="F196" i="227"/>
  <c r="D196" i="227"/>
  <c r="A196" i="227"/>
  <c r="T195" i="227"/>
  <c r="S195" i="227"/>
  <c r="R195" i="227"/>
  <c r="Q195" i="227"/>
  <c r="P195" i="227"/>
  <c r="O195" i="227"/>
  <c r="N195" i="227"/>
  <c r="M195" i="227"/>
  <c r="L195" i="227"/>
  <c r="K195" i="227"/>
  <c r="J195" i="227"/>
  <c r="I195" i="227"/>
  <c r="H195" i="227"/>
  <c r="F195" i="227"/>
  <c r="D195" i="227"/>
  <c r="A195" i="227"/>
  <c r="T194" i="227"/>
  <c r="F194" i="227"/>
  <c r="D194" i="227"/>
  <c r="A194" i="227"/>
  <c r="T193" i="227"/>
  <c r="F193" i="227"/>
  <c r="D193" i="227"/>
  <c r="A193" i="227"/>
  <c r="T192" i="227"/>
  <c r="F192" i="227"/>
  <c r="D192" i="227"/>
  <c r="A192" i="227"/>
  <c r="T191" i="227"/>
  <c r="F191" i="227"/>
  <c r="D191" i="227"/>
  <c r="A191" i="227"/>
  <c r="T190" i="227"/>
  <c r="F190" i="227"/>
  <c r="D190" i="227"/>
  <c r="A190" i="227"/>
  <c r="T189" i="227"/>
  <c r="F189" i="227"/>
  <c r="D189" i="227"/>
  <c r="A189" i="227"/>
  <c r="T188" i="227"/>
  <c r="F188" i="227"/>
  <c r="D188" i="227"/>
  <c r="A188" i="227"/>
  <c r="T187" i="227"/>
  <c r="S187" i="227"/>
  <c r="R187" i="227"/>
  <c r="Q187" i="227"/>
  <c r="P187" i="227"/>
  <c r="O187" i="227"/>
  <c r="N187" i="227"/>
  <c r="M187" i="227"/>
  <c r="L187" i="227"/>
  <c r="K187" i="227"/>
  <c r="J187" i="227"/>
  <c r="I187" i="227"/>
  <c r="H187" i="227"/>
  <c r="F187" i="227"/>
  <c r="D187" i="227"/>
  <c r="A187" i="227"/>
  <c r="C186" i="227"/>
  <c r="B186" i="227"/>
  <c r="A186" i="227"/>
  <c r="D185" i="227"/>
  <c r="C185" i="227"/>
  <c r="B185" i="227"/>
  <c r="A185" i="227"/>
  <c r="T184" i="227"/>
  <c r="C184" i="227"/>
  <c r="B184" i="227"/>
  <c r="A184" i="227"/>
  <c r="T183" i="227"/>
  <c r="S183" i="227"/>
  <c r="R183" i="227"/>
  <c r="Q183" i="227"/>
  <c r="P183" i="227"/>
  <c r="O183" i="227"/>
  <c r="N183" i="227"/>
  <c r="M183" i="227"/>
  <c r="L183" i="227"/>
  <c r="K183" i="227"/>
  <c r="J183" i="227"/>
  <c r="I183" i="227"/>
  <c r="H183" i="227"/>
  <c r="F183" i="227"/>
  <c r="D183" i="227"/>
  <c r="C183" i="227"/>
  <c r="B183" i="227"/>
  <c r="A183" i="227"/>
  <c r="T182" i="227"/>
  <c r="F182" i="227"/>
  <c r="D182" i="227"/>
  <c r="A182" i="227"/>
  <c r="T181" i="227"/>
  <c r="F181" i="227"/>
  <c r="D181" i="227"/>
  <c r="A181" i="227"/>
  <c r="T180" i="227"/>
  <c r="F180" i="227"/>
  <c r="D180" i="227"/>
  <c r="A180" i="227"/>
  <c r="T179" i="227"/>
  <c r="F179" i="227"/>
  <c r="D179" i="227"/>
  <c r="A179" i="227"/>
  <c r="T178" i="227"/>
  <c r="F178" i="227"/>
  <c r="D178" i="227"/>
  <c r="A178" i="227"/>
  <c r="T177" i="227"/>
  <c r="S177" i="227"/>
  <c r="R177" i="227"/>
  <c r="Q177" i="227"/>
  <c r="P177" i="227"/>
  <c r="O177" i="227"/>
  <c r="N177" i="227"/>
  <c r="M177" i="227"/>
  <c r="L177" i="227"/>
  <c r="K177" i="227"/>
  <c r="J177" i="227"/>
  <c r="I177" i="227"/>
  <c r="H177" i="227"/>
  <c r="F177" i="227"/>
  <c r="D177" i="227"/>
  <c r="A177" i="227"/>
  <c r="T176" i="227"/>
  <c r="F176" i="227"/>
  <c r="D176" i="227"/>
  <c r="A176" i="227"/>
  <c r="T175" i="227"/>
  <c r="F175" i="227"/>
  <c r="D175" i="227"/>
  <c r="A175" i="227"/>
  <c r="T174" i="227"/>
  <c r="F174" i="227"/>
  <c r="D174" i="227"/>
  <c r="A174" i="227"/>
  <c r="C173" i="227"/>
  <c r="B173" i="227"/>
  <c r="A173" i="227"/>
  <c r="S172" i="227"/>
  <c r="R172" i="227"/>
  <c r="Q172" i="227"/>
  <c r="P172" i="227"/>
  <c r="O172" i="227"/>
  <c r="N172" i="227"/>
  <c r="M172" i="227"/>
  <c r="L172" i="227"/>
  <c r="K172" i="227"/>
  <c r="J172" i="227"/>
  <c r="I172" i="227"/>
  <c r="H172" i="227"/>
  <c r="F172" i="227"/>
  <c r="D172" i="227"/>
  <c r="C172" i="227"/>
  <c r="B172" i="227"/>
  <c r="A172" i="227"/>
  <c r="T171" i="227"/>
  <c r="S171" i="227"/>
  <c r="R171" i="227"/>
  <c r="Q171" i="227"/>
  <c r="P171" i="227"/>
  <c r="O171" i="227"/>
  <c r="N171" i="227"/>
  <c r="M171" i="227"/>
  <c r="L171" i="227"/>
  <c r="K171" i="227"/>
  <c r="J171" i="227"/>
  <c r="I171" i="227"/>
  <c r="H171" i="227"/>
  <c r="F171" i="227"/>
  <c r="D171" i="227"/>
  <c r="A171" i="227"/>
  <c r="F170" i="227"/>
  <c r="D170" i="227"/>
  <c r="A170" i="227"/>
  <c r="T169" i="227"/>
  <c r="F169" i="227"/>
  <c r="D169" i="227"/>
  <c r="A169" i="227"/>
  <c r="T168" i="227"/>
  <c r="F168" i="227"/>
  <c r="D168" i="227"/>
  <c r="A168" i="227"/>
  <c r="T167" i="227"/>
  <c r="S167" i="227"/>
  <c r="R167" i="227"/>
  <c r="Q167" i="227"/>
  <c r="P167" i="227"/>
  <c r="O167" i="227"/>
  <c r="N167" i="227"/>
  <c r="M167" i="227"/>
  <c r="L167" i="227"/>
  <c r="K167" i="227"/>
  <c r="J167" i="227"/>
  <c r="I167" i="227"/>
  <c r="H167" i="227"/>
  <c r="F167" i="227"/>
  <c r="D167" i="227"/>
  <c r="A167" i="227"/>
  <c r="T166" i="227"/>
  <c r="F166" i="227"/>
  <c r="D166" i="227"/>
  <c r="A166" i="227"/>
  <c r="T165" i="227"/>
  <c r="F165" i="227"/>
  <c r="D165" i="227"/>
  <c r="A165" i="227"/>
  <c r="T164" i="227"/>
  <c r="F164" i="227"/>
  <c r="D164" i="227"/>
  <c r="A164" i="227"/>
  <c r="T163" i="227"/>
  <c r="F163" i="227"/>
  <c r="D163" i="227"/>
  <c r="A163" i="227"/>
  <c r="T162" i="227"/>
  <c r="S162" i="227"/>
  <c r="R162" i="227"/>
  <c r="Q162" i="227"/>
  <c r="P162" i="227"/>
  <c r="O162" i="227"/>
  <c r="N162" i="227"/>
  <c r="M162" i="227"/>
  <c r="L162" i="227"/>
  <c r="K162" i="227"/>
  <c r="J162" i="227"/>
  <c r="I162" i="227"/>
  <c r="H162" i="227"/>
  <c r="F162" i="227"/>
  <c r="D162" i="227"/>
  <c r="A162" i="227"/>
  <c r="T161" i="227"/>
  <c r="F161" i="227"/>
  <c r="D161" i="227"/>
  <c r="A161" i="227"/>
  <c r="T160" i="227"/>
  <c r="F160" i="227"/>
  <c r="D160" i="227"/>
  <c r="A160" i="227"/>
  <c r="T159" i="227"/>
  <c r="S159" i="227"/>
  <c r="R159" i="227"/>
  <c r="Q159" i="227"/>
  <c r="P159" i="227"/>
  <c r="O159" i="227"/>
  <c r="N159" i="227"/>
  <c r="M159" i="227"/>
  <c r="L159" i="227"/>
  <c r="K159" i="227"/>
  <c r="J159" i="227"/>
  <c r="I159" i="227"/>
  <c r="H159" i="227"/>
  <c r="F159" i="227"/>
  <c r="D159" i="227"/>
  <c r="A159" i="227"/>
  <c r="T158" i="227"/>
  <c r="F158" i="227"/>
  <c r="D158" i="227"/>
  <c r="A158" i="227"/>
  <c r="T157" i="227"/>
  <c r="F157" i="227"/>
  <c r="D157" i="227"/>
  <c r="A157" i="227"/>
  <c r="T156" i="227"/>
  <c r="F156" i="227"/>
  <c r="D156" i="227"/>
  <c r="A156" i="227"/>
  <c r="B155" i="227"/>
  <c r="A155" i="227"/>
  <c r="T154" i="227"/>
  <c r="C154" i="227"/>
  <c r="B154" i="227"/>
  <c r="A154" i="227"/>
  <c r="D153" i="227"/>
  <c r="C153" i="227"/>
  <c r="B153" i="227"/>
  <c r="A153" i="227"/>
  <c r="T152" i="227"/>
  <c r="F152" i="227"/>
  <c r="D152" i="227"/>
  <c r="A152" i="227"/>
  <c r="T151" i="227"/>
  <c r="F151" i="227"/>
  <c r="D151" i="227"/>
  <c r="A151" i="227"/>
  <c r="T150" i="227"/>
  <c r="F150" i="227"/>
  <c r="D150" i="227"/>
  <c r="A150" i="227"/>
  <c r="T149" i="227"/>
  <c r="F149" i="227"/>
  <c r="D149" i="227"/>
  <c r="A149" i="227"/>
  <c r="T148" i="227"/>
  <c r="F148" i="227"/>
  <c r="D148" i="227"/>
  <c r="A148" i="227"/>
  <c r="T147" i="227"/>
  <c r="F147" i="227"/>
  <c r="D147" i="227"/>
  <c r="A147" i="227"/>
  <c r="T146" i="227"/>
  <c r="F146" i="227"/>
  <c r="D146" i="227"/>
  <c r="A146" i="227"/>
  <c r="T145" i="227"/>
  <c r="F145" i="227"/>
  <c r="D145" i="227"/>
  <c r="A145" i="227"/>
  <c r="T144" i="227"/>
  <c r="F144" i="227"/>
  <c r="D144" i="227"/>
  <c r="A144" i="227"/>
  <c r="T143" i="227"/>
  <c r="F143" i="227"/>
  <c r="D143" i="227"/>
  <c r="A143" i="227"/>
  <c r="T142" i="227"/>
  <c r="F142" i="227"/>
  <c r="D142" i="227"/>
  <c r="A142" i="227"/>
  <c r="T141" i="227"/>
  <c r="F141" i="227"/>
  <c r="D141" i="227"/>
  <c r="A141" i="227"/>
  <c r="T140" i="227"/>
  <c r="F140" i="227"/>
  <c r="D140" i="227"/>
  <c r="A140" i="227"/>
  <c r="T139" i="227"/>
  <c r="F139" i="227"/>
  <c r="D139" i="227"/>
  <c r="A139" i="227"/>
  <c r="T138" i="227"/>
  <c r="F138" i="227"/>
  <c r="D138" i="227"/>
  <c r="A138" i="227"/>
  <c r="T137" i="227"/>
  <c r="S137" i="227"/>
  <c r="R137" i="227"/>
  <c r="Q137" i="227"/>
  <c r="P137" i="227"/>
  <c r="O137" i="227"/>
  <c r="N137" i="227"/>
  <c r="M137" i="227"/>
  <c r="L137" i="227"/>
  <c r="K137" i="227"/>
  <c r="J137" i="227"/>
  <c r="I137" i="227"/>
  <c r="H137" i="227"/>
  <c r="F137" i="227"/>
  <c r="D137" i="227"/>
  <c r="A137" i="227"/>
  <c r="T136" i="227"/>
  <c r="F136" i="227"/>
  <c r="D136" i="227"/>
  <c r="C136" i="227"/>
  <c r="A136" i="227"/>
  <c r="T135" i="227"/>
  <c r="F135" i="227"/>
  <c r="D135" i="227"/>
  <c r="A135" i="227"/>
  <c r="T134" i="227"/>
  <c r="S134" i="227"/>
  <c r="R134" i="227"/>
  <c r="Q134" i="227"/>
  <c r="P134" i="227"/>
  <c r="O134" i="227"/>
  <c r="N134" i="227"/>
  <c r="M134" i="227"/>
  <c r="L134" i="227"/>
  <c r="K134" i="227"/>
  <c r="J134" i="227"/>
  <c r="I134" i="227"/>
  <c r="H134" i="227"/>
  <c r="F134" i="227"/>
  <c r="D134" i="227"/>
  <c r="A134" i="227"/>
  <c r="T133" i="227"/>
  <c r="F133" i="227"/>
  <c r="D133" i="227"/>
  <c r="A133" i="227"/>
  <c r="T132" i="227"/>
  <c r="S132" i="227"/>
  <c r="R132" i="227"/>
  <c r="Q132" i="227"/>
  <c r="P132" i="227"/>
  <c r="O132" i="227"/>
  <c r="N132" i="227"/>
  <c r="M132" i="227"/>
  <c r="L132" i="227"/>
  <c r="K132" i="227"/>
  <c r="J132" i="227"/>
  <c r="I132" i="227"/>
  <c r="H132" i="227"/>
  <c r="F132" i="227"/>
  <c r="D132" i="227"/>
  <c r="A132" i="227"/>
  <c r="T131" i="227"/>
  <c r="F131" i="227"/>
  <c r="D131" i="227"/>
  <c r="A131" i="227"/>
  <c r="T130" i="227"/>
  <c r="F130" i="227"/>
  <c r="D130" i="227"/>
  <c r="A130" i="227"/>
  <c r="T129" i="227"/>
  <c r="F129" i="227"/>
  <c r="D129" i="227"/>
  <c r="A129" i="227"/>
  <c r="T128" i="227"/>
  <c r="F128" i="227"/>
  <c r="D128" i="227"/>
  <c r="A128" i="227"/>
  <c r="T127" i="227"/>
  <c r="S127" i="227"/>
  <c r="R127" i="227"/>
  <c r="Q127" i="227"/>
  <c r="P127" i="227"/>
  <c r="O127" i="227"/>
  <c r="N127" i="227"/>
  <c r="M127" i="227"/>
  <c r="L127" i="227"/>
  <c r="K127" i="227"/>
  <c r="J127" i="227"/>
  <c r="I127" i="227"/>
  <c r="H127" i="227"/>
  <c r="F127" i="227"/>
  <c r="D127" i="227"/>
  <c r="B127" i="227"/>
  <c r="A127" i="227"/>
  <c r="T126" i="227"/>
  <c r="F126" i="227"/>
  <c r="D126" i="227"/>
  <c r="A126" i="227"/>
  <c r="T125" i="227"/>
  <c r="F125" i="227"/>
  <c r="D125" i="227"/>
  <c r="C125" i="227"/>
  <c r="B125" i="227"/>
  <c r="T124" i="227"/>
  <c r="F124" i="227"/>
  <c r="D124" i="227"/>
  <c r="C124" i="227"/>
  <c r="B124" i="227"/>
  <c r="T123" i="227"/>
  <c r="F123" i="227"/>
  <c r="D123" i="227"/>
  <c r="C123" i="227"/>
  <c r="B123" i="227"/>
  <c r="T122" i="227"/>
  <c r="S122" i="227"/>
  <c r="R122" i="227"/>
  <c r="Q122" i="227"/>
  <c r="P122" i="227"/>
  <c r="O122" i="227"/>
  <c r="N122" i="227"/>
  <c r="M122" i="227"/>
  <c r="L122" i="227"/>
  <c r="K122" i="227"/>
  <c r="J122" i="227"/>
  <c r="I122" i="227"/>
  <c r="H122" i="227"/>
  <c r="F122" i="227"/>
  <c r="D122" i="227"/>
  <c r="A122" i="227"/>
  <c r="T121" i="227"/>
  <c r="F121" i="227"/>
  <c r="D121" i="227"/>
  <c r="C121" i="227"/>
  <c r="B121" i="227"/>
  <c r="T120" i="227"/>
  <c r="F120" i="227"/>
  <c r="D120" i="227"/>
  <c r="C120" i="227"/>
  <c r="B120" i="227"/>
  <c r="T119" i="227"/>
  <c r="F119" i="227"/>
  <c r="D119" i="227"/>
  <c r="C119" i="227"/>
  <c r="B119" i="227"/>
  <c r="T118" i="227"/>
  <c r="S118" i="227"/>
  <c r="R118" i="227"/>
  <c r="Q118" i="227"/>
  <c r="P118" i="227"/>
  <c r="O118" i="227"/>
  <c r="N118" i="227"/>
  <c r="M118" i="227"/>
  <c r="L118" i="227"/>
  <c r="K118" i="227"/>
  <c r="J118" i="227"/>
  <c r="I118" i="227"/>
  <c r="H118" i="227"/>
  <c r="F118" i="227"/>
  <c r="D118" i="227"/>
  <c r="A118" i="227"/>
  <c r="T117" i="227"/>
  <c r="F117" i="227"/>
  <c r="D117" i="227"/>
  <c r="A117" i="227"/>
  <c r="T116" i="227"/>
  <c r="F116" i="227"/>
  <c r="D116" i="227"/>
  <c r="C116" i="227"/>
  <c r="B116" i="227"/>
  <c r="T115" i="227"/>
  <c r="F115" i="227"/>
  <c r="D115" i="227"/>
  <c r="C115" i="227"/>
  <c r="B115" i="227"/>
  <c r="T114" i="227"/>
  <c r="F114" i="227"/>
  <c r="D114" i="227"/>
  <c r="C114" i="227"/>
  <c r="B114" i="227"/>
  <c r="T113" i="227"/>
  <c r="S113" i="227"/>
  <c r="R113" i="227"/>
  <c r="Q113" i="227"/>
  <c r="P113" i="227"/>
  <c r="O113" i="227"/>
  <c r="N113" i="227"/>
  <c r="M113" i="227"/>
  <c r="L113" i="227"/>
  <c r="K113" i="227"/>
  <c r="J113" i="227"/>
  <c r="I113" i="227"/>
  <c r="H113" i="227"/>
  <c r="F113" i="227"/>
  <c r="D113" i="227"/>
  <c r="A113" i="227"/>
  <c r="T112" i="227"/>
  <c r="F112" i="227"/>
  <c r="D112" i="227"/>
  <c r="C112" i="227"/>
  <c r="B112" i="227"/>
  <c r="T111" i="227"/>
  <c r="F111" i="227"/>
  <c r="D111" i="227"/>
  <c r="C111" i="227"/>
  <c r="B111" i="227"/>
  <c r="T110" i="227"/>
  <c r="F110" i="227"/>
  <c r="D110" i="227"/>
  <c r="C110" i="227"/>
  <c r="B110" i="227"/>
  <c r="T109" i="227"/>
  <c r="S109" i="227"/>
  <c r="R109" i="227"/>
  <c r="Q109" i="227"/>
  <c r="P109" i="227"/>
  <c r="O109" i="227"/>
  <c r="N109" i="227"/>
  <c r="M109" i="227"/>
  <c r="L109" i="227"/>
  <c r="K109" i="227"/>
  <c r="J109" i="227"/>
  <c r="I109" i="227"/>
  <c r="H109" i="227"/>
  <c r="F109" i="227"/>
  <c r="D109" i="227"/>
  <c r="A109" i="227"/>
  <c r="T108" i="227"/>
  <c r="F108" i="227"/>
  <c r="D108" i="227"/>
  <c r="C108" i="227"/>
  <c r="B108" i="227"/>
  <c r="T107" i="227"/>
  <c r="F107" i="227"/>
  <c r="D107" i="227"/>
  <c r="C107" i="227"/>
  <c r="B107" i="227"/>
  <c r="T106" i="227"/>
  <c r="F106" i="227"/>
  <c r="D106" i="227"/>
  <c r="C106" i="227"/>
  <c r="B106" i="227"/>
  <c r="T105" i="227"/>
  <c r="S105" i="227"/>
  <c r="R105" i="227"/>
  <c r="Q105" i="227"/>
  <c r="P105" i="227"/>
  <c r="O105" i="227"/>
  <c r="N105" i="227"/>
  <c r="M105" i="227"/>
  <c r="L105" i="227"/>
  <c r="K105" i="227"/>
  <c r="J105" i="227"/>
  <c r="I105" i="227"/>
  <c r="H105" i="227"/>
  <c r="F105" i="227"/>
  <c r="D105" i="227"/>
  <c r="A105" i="227"/>
  <c r="T104" i="227"/>
  <c r="F104" i="227"/>
  <c r="D104" i="227"/>
  <c r="C104" i="227"/>
  <c r="B104" i="227"/>
  <c r="T103" i="227"/>
  <c r="F103" i="227"/>
  <c r="D103" i="227"/>
  <c r="C103" i="227"/>
  <c r="B103" i="227"/>
  <c r="T102" i="227"/>
  <c r="F102" i="227"/>
  <c r="D102" i="227"/>
  <c r="C102" i="227"/>
  <c r="B102" i="227"/>
  <c r="T101" i="227"/>
  <c r="S101" i="227"/>
  <c r="R101" i="227"/>
  <c r="Q101" i="227"/>
  <c r="P101" i="227"/>
  <c r="O101" i="227"/>
  <c r="N101" i="227"/>
  <c r="M101" i="227"/>
  <c r="L101" i="227"/>
  <c r="K101" i="227"/>
  <c r="J101" i="227"/>
  <c r="I101" i="227"/>
  <c r="H101" i="227"/>
  <c r="F101" i="227"/>
  <c r="D101" i="227"/>
  <c r="A101" i="227"/>
  <c r="T100" i="227"/>
  <c r="F100" i="227"/>
  <c r="D100" i="227"/>
  <c r="C100" i="227"/>
  <c r="B100" i="227"/>
  <c r="T99" i="227"/>
  <c r="F99" i="227"/>
  <c r="D99" i="227"/>
  <c r="C99" i="227"/>
  <c r="B99" i="227"/>
  <c r="T98" i="227"/>
  <c r="F98" i="227"/>
  <c r="D98" i="227"/>
  <c r="C98" i="227"/>
  <c r="B98" i="227"/>
  <c r="T97" i="227"/>
  <c r="S97" i="227"/>
  <c r="R97" i="227"/>
  <c r="Q97" i="227"/>
  <c r="P97" i="227"/>
  <c r="O97" i="227"/>
  <c r="N97" i="227"/>
  <c r="M97" i="227"/>
  <c r="L97" i="227"/>
  <c r="K97" i="227"/>
  <c r="J97" i="227"/>
  <c r="I97" i="227"/>
  <c r="H97" i="227"/>
  <c r="F97" i="227"/>
  <c r="D97" i="227"/>
  <c r="A97" i="227"/>
  <c r="T96" i="227"/>
  <c r="F96" i="227"/>
  <c r="D96" i="227"/>
  <c r="C96" i="227"/>
  <c r="B96" i="227"/>
  <c r="T95" i="227"/>
  <c r="F95" i="227"/>
  <c r="D95" i="227"/>
  <c r="C95" i="227"/>
  <c r="B95" i="227"/>
  <c r="T94" i="227"/>
  <c r="F94" i="227"/>
  <c r="D94" i="227"/>
  <c r="C94" i="227"/>
  <c r="B94" i="227"/>
  <c r="T93" i="227"/>
  <c r="S93" i="227"/>
  <c r="R93" i="227"/>
  <c r="Q93" i="227"/>
  <c r="P93" i="227"/>
  <c r="O93" i="227"/>
  <c r="N93" i="227"/>
  <c r="M93" i="227"/>
  <c r="L93" i="227"/>
  <c r="K93" i="227"/>
  <c r="J93" i="227"/>
  <c r="I93" i="227"/>
  <c r="H93" i="227"/>
  <c r="F93" i="227"/>
  <c r="D93" i="227"/>
  <c r="A93" i="227"/>
  <c r="T92" i="227"/>
  <c r="S92" i="227"/>
  <c r="R92" i="227"/>
  <c r="Q92" i="227"/>
  <c r="P92" i="227"/>
  <c r="O92" i="227"/>
  <c r="N92" i="227"/>
  <c r="M92" i="227"/>
  <c r="L92" i="227"/>
  <c r="K92" i="227"/>
  <c r="J92" i="227"/>
  <c r="I92" i="227"/>
  <c r="H92" i="227"/>
  <c r="F92" i="227"/>
  <c r="D92" i="227"/>
  <c r="B92" i="227"/>
  <c r="A92" i="227"/>
  <c r="T91" i="227"/>
  <c r="F91" i="227"/>
  <c r="D91" i="227"/>
  <c r="A91" i="227"/>
  <c r="T90" i="227"/>
  <c r="F90" i="227"/>
  <c r="D90" i="227"/>
  <c r="A90" i="227"/>
  <c r="T89" i="227"/>
  <c r="F89" i="227"/>
  <c r="D89" i="227"/>
  <c r="A89" i="227"/>
  <c r="T88" i="227"/>
  <c r="F88" i="227"/>
  <c r="D88" i="227"/>
  <c r="A88" i="227"/>
  <c r="T87" i="227"/>
  <c r="F87" i="227"/>
  <c r="D87" i="227"/>
  <c r="A87" i="227"/>
  <c r="T86" i="227"/>
  <c r="F86" i="227"/>
  <c r="D86" i="227"/>
  <c r="A86" i="227"/>
  <c r="T85" i="227"/>
  <c r="F85" i="227"/>
  <c r="D85" i="227"/>
  <c r="A85" i="227"/>
  <c r="T84" i="227"/>
  <c r="F84" i="227"/>
  <c r="D84" i="227"/>
  <c r="A84" i="227"/>
  <c r="T83" i="227"/>
  <c r="F83" i="227"/>
  <c r="D83" i="227"/>
  <c r="A83" i="227"/>
  <c r="T82" i="227"/>
  <c r="F82" i="227"/>
  <c r="D82" i="227"/>
  <c r="A82" i="227"/>
  <c r="T81" i="227"/>
  <c r="F81" i="227"/>
  <c r="D81" i="227"/>
  <c r="A81" i="227"/>
  <c r="T80" i="227"/>
  <c r="S80" i="227"/>
  <c r="R80" i="227"/>
  <c r="Q80" i="227"/>
  <c r="P80" i="227"/>
  <c r="O80" i="227"/>
  <c r="N80" i="227"/>
  <c r="M80" i="227"/>
  <c r="L80" i="227"/>
  <c r="K80" i="227"/>
  <c r="J80" i="227"/>
  <c r="I80" i="227"/>
  <c r="H80" i="227"/>
  <c r="F80" i="227"/>
  <c r="D80" i="227"/>
  <c r="A80" i="227"/>
  <c r="T79" i="227"/>
  <c r="F79" i="227"/>
  <c r="D79" i="227"/>
  <c r="B79" i="227"/>
  <c r="A79" i="227"/>
  <c r="T78" i="227"/>
  <c r="F78" i="227"/>
  <c r="D78" i="227"/>
  <c r="C78" i="227"/>
  <c r="B78" i="227"/>
  <c r="A78" i="227"/>
  <c r="T77" i="227"/>
  <c r="F77" i="227"/>
  <c r="D77" i="227"/>
  <c r="C77" i="227"/>
  <c r="B77" i="227"/>
  <c r="A77" i="227"/>
  <c r="T76" i="227"/>
  <c r="F76" i="227"/>
  <c r="D76" i="227"/>
  <c r="C76" i="227"/>
  <c r="B76" i="227"/>
  <c r="A76" i="227"/>
  <c r="T75" i="227"/>
  <c r="S75" i="227"/>
  <c r="R75" i="227"/>
  <c r="Q75" i="227"/>
  <c r="P75" i="227"/>
  <c r="O75" i="227"/>
  <c r="N75" i="227"/>
  <c r="M75" i="227"/>
  <c r="L75" i="227"/>
  <c r="K75" i="227"/>
  <c r="J75" i="227"/>
  <c r="I75" i="227"/>
  <c r="H75" i="227"/>
  <c r="F75" i="227"/>
  <c r="D75" i="227"/>
  <c r="A75" i="227"/>
  <c r="T74" i="227"/>
  <c r="F74" i="227"/>
  <c r="D74" i="227"/>
  <c r="A74" i="227"/>
  <c r="T73" i="227"/>
  <c r="F73" i="227"/>
  <c r="D73" i="227"/>
  <c r="A73" i="227"/>
  <c r="T72" i="227"/>
  <c r="F72" i="227"/>
  <c r="D72" i="227"/>
  <c r="A72" i="227"/>
  <c r="T71" i="227"/>
  <c r="F71" i="227"/>
  <c r="D71" i="227"/>
  <c r="A71" i="227"/>
  <c r="T70" i="227"/>
  <c r="F70" i="227"/>
  <c r="D70" i="227"/>
  <c r="A70" i="227"/>
  <c r="T69" i="227"/>
  <c r="F69" i="227"/>
  <c r="D69" i="227"/>
  <c r="A69" i="227"/>
  <c r="T68" i="227"/>
  <c r="F68" i="227"/>
  <c r="D68" i="227"/>
  <c r="A68" i="227"/>
  <c r="T67" i="227"/>
  <c r="F67" i="227"/>
  <c r="D67" i="227"/>
  <c r="A67" i="227"/>
  <c r="T66" i="227"/>
  <c r="F66" i="227"/>
  <c r="D66" i="227"/>
  <c r="A66" i="227"/>
  <c r="T65" i="227"/>
  <c r="F65" i="227"/>
  <c r="D65" i="227"/>
  <c r="A65" i="227"/>
  <c r="T64" i="227"/>
  <c r="F64" i="227"/>
  <c r="D64" i="227"/>
  <c r="A64" i="227"/>
  <c r="T63" i="227"/>
  <c r="S63" i="227"/>
  <c r="R63" i="227"/>
  <c r="Q63" i="227"/>
  <c r="P63" i="227"/>
  <c r="O63" i="227"/>
  <c r="N63" i="227"/>
  <c r="M63" i="227"/>
  <c r="L63" i="227"/>
  <c r="K63" i="227"/>
  <c r="J63" i="227"/>
  <c r="I63" i="227"/>
  <c r="H63" i="227"/>
  <c r="F63" i="227"/>
  <c r="D63" i="227"/>
  <c r="A63" i="227"/>
  <c r="T62" i="227"/>
  <c r="S62" i="227"/>
  <c r="R62" i="227"/>
  <c r="Q62" i="227"/>
  <c r="P62" i="227"/>
  <c r="O62" i="227"/>
  <c r="N62" i="227"/>
  <c r="M62" i="227"/>
  <c r="L62" i="227"/>
  <c r="K62" i="227"/>
  <c r="J62" i="227"/>
  <c r="I62" i="227"/>
  <c r="H62" i="227"/>
  <c r="F62" i="227"/>
  <c r="D62" i="227"/>
  <c r="A62" i="227"/>
  <c r="T61" i="227"/>
  <c r="F61" i="227"/>
  <c r="D61" i="227"/>
  <c r="A61" i="227"/>
  <c r="T60" i="227"/>
  <c r="F60" i="227"/>
  <c r="D60" i="227"/>
  <c r="A60" i="227"/>
  <c r="T59" i="227"/>
  <c r="F59" i="227"/>
  <c r="D59" i="227"/>
  <c r="A59" i="227"/>
  <c r="T58" i="227"/>
  <c r="F58" i="227"/>
  <c r="D58" i="227"/>
  <c r="A58" i="227"/>
  <c r="T57" i="227"/>
  <c r="F57" i="227"/>
  <c r="D57" i="227"/>
  <c r="A57" i="227"/>
  <c r="T56" i="227"/>
  <c r="S56" i="227"/>
  <c r="R56" i="227"/>
  <c r="Q56" i="227"/>
  <c r="P56" i="227"/>
  <c r="O56" i="227"/>
  <c r="N56" i="227"/>
  <c r="M56" i="227"/>
  <c r="L56" i="227"/>
  <c r="K56" i="227"/>
  <c r="J56" i="227"/>
  <c r="I56" i="227"/>
  <c r="H56" i="227"/>
  <c r="F56" i="227"/>
  <c r="D56" i="227"/>
  <c r="A56" i="227"/>
  <c r="T55" i="227"/>
  <c r="S55" i="227"/>
  <c r="R55" i="227"/>
  <c r="Q55" i="227"/>
  <c r="P55" i="227"/>
  <c r="O55" i="227"/>
  <c r="N55" i="227"/>
  <c r="M55" i="227"/>
  <c r="L55" i="227"/>
  <c r="K55" i="227"/>
  <c r="J55" i="227"/>
  <c r="I55" i="227"/>
  <c r="H55" i="227"/>
  <c r="F55" i="227"/>
  <c r="D55" i="227"/>
  <c r="A55" i="227"/>
  <c r="T54" i="227"/>
  <c r="F54" i="227"/>
  <c r="D54" i="227"/>
  <c r="A54" i="227"/>
  <c r="T53" i="227"/>
  <c r="F53" i="227"/>
  <c r="D53" i="227"/>
  <c r="A53" i="227"/>
  <c r="T52" i="227"/>
  <c r="F52" i="227"/>
  <c r="D52" i="227"/>
  <c r="A52" i="227"/>
  <c r="T51" i="227"/>
  <c r="F51" i="227"/>
  <c r="D51" i="227"/>
  <c r="A51" i="227"/>
  <c r="T50" i="227"/>
  <c r="F50" i="227"/>
  <c r="D50" i="227"/>
  <c r="C50" i="227"/>
  <c r="B50" i="227"/>
  <c r="A50" i="227"/>
  <c r="T49" i="227"/>
  <c r="F49" i="227"/>
  <c r="D49" i="227"/>
  <c r="C49" i="227"/>
  <c r="B49" i="227"/>
  <c r="A49" i="227"/>
  <c r="T48" i="227"/>
  <c r="F48" i="227"/>
  <c r="D48" i="227"/>
  <c r="C48" i="227"/>
  <c r="B48" i="227"/>
  <c r="A48" i="227"/>
  <c r="T47" i="227"/>
  <c r="S47" i="227"/>
  <c r="R47" i="227"/>
  <c r="Q47" i="227"/>
  <c r="P47" i="227"/>
  <c r="O47" i="227"/>
  <c r="N47" i="227"/>
  <c r="M47" i="227"/>
  <c r="L47" i="227"/>
  <c r="K47" i="227"/>
  <c r="J47" i="227"/>
  <c r="I47" i="227"/>
  <c r="H47" i="227"/>
  <c r="F47" i="227"/>
  <c r="D47" i="227"/>
  <c r="A47" i="227"/>
  <c r="T46" i="227"/>
  <c r="F46" i="227"/>
  <c r="D46" i="227"/>
  <c r="A46" i="227"/>
  <c r="T45" i="227"/>
  <c r="F45" i="227"/>
  <c r="D45" i="227"/>
  <c r="A45" i="227"/>
  <c r="S44" i="227"/>
  <c r="R44" i="227"/>
  <c r="R153" i="227" s="1"/>
  <c r="Q44" i="227"/>
  <c r="Q153" i="227" s="1"/>
  <c r="P44" i="227"/>
  <c r="O44" i="227"/>
  <c r="O153" i="227" s="1"/>
  <c r="N44" i="227"/>
  <c r="N153" i="227" s="1"/>
  <c r="M44" i="227"/>
  <c r="M153" i="227" s="1"/>
  <c r="L44" i="227"/>
  <c r="L153" i="227" s="1"/>
  <c r="K44" i="227"/>
  <c r="J44" i="227"/>
  <c r="J153" i="227" s="1"/>
  <c r="I44" i="227"/>
  <c r="I153" i="227" s="1"/>
  <c r="H44" i="227"/>
  <c r="D44" i="227"/>
  <c r="A44" i="227"/>
  <c r="C43" i="227"/>
  <c r="B43" i="227"/>
  <c r="A43" i="227"/>
  <c r="D42" i="227"/>
  <c r="C42" i="227"/>
  <c r="B42" i="227"/>
  <c r="A42" i="227"/>
  <c r="T41" i="227"/>
  <c r="F41" i="227"/>
  <c r="D41" i="227"/>
  <c r="A41" i="227"/>
  <c r="T40" i="227"/>
  <c r="F40" i="227"/>
  <c r="D40" i="227"/>
  <c r="A40" i="227"/>
  <c r="T39" i="227"/>
  <c r="F39" i="227"/>
  <c r="D39" i="227"/>
  <c r="A39" i="227"/>
  <c r="T38" i="227"/>
  <c r="S38" i="227"/>
  <c r="R38" i="227"/>
  <c r="Q38" i="227"/>
  <c r="P38" i="227"/>
  <c r="O38" i="227"/>
  <c r="N38" i="227"/>
  <c r="M38" i="227"/>
  <c r="L38" i="227"/>
  <c r="K38" i="227"/>
  <c r="J38" i="227"/>
  <c r="I38" i="227"/>
  <c r="H38" i="227"/>
  <c r="F38" i="227"/>
  <c r="D38" i="227"/>
  <c r="A38" i="227"/>
  <c r="T37" i="227"/>
  <c r="F37" i="227"/>
  <c r="D37" i="227"/>
  <c r="A37" i="227"/>
  <c r="T36" i="227"/>
  <c r="F36" i="227"/>
  <c r="D36" i="227"/>
  <c r="A36" i="227"/>
  <c r="T35" i="227"/>
  <c r="S35" i="227"/>
  <c r="R35" i="227"/>
  <c r="Q35" i="227"/>
  <c r="P35" i="227"/>
  <c r="O35" i="227"/>
  <c r="N35" i="227"/>
  <c r="M35" i="227"/>
  <c r="L35" i="227"/>
  <c r="K35" i="227"/>
  <c r="J35" i="227"/>
  <c r="I35" i="227"/>
  <c r="H35" i="227"/>
  <c r="F35" i="227"/>
  <c r="D35" i="227"/>
  <c r="A35" i="227"/>
  <c r="T34" i="227"/>
  <c r="F34" i="227"/>
  <c r="D34" i="227"/>
  <c r="A34" i="227"/>
  <c r="T33" i="227"/>
  <c r="S33" i="227"/>
  <c r="R33" i="227"/>
  <c r="Q33" i="227"/>
  <c r="P33" i="227"/>
  <c r="O33" i="227"/>
  <c r="N33" i="227"/>
  <c r="M33" i="227"/>
  <c r="L33" i="227"/>
  <c r="K33" i="227"/>
  <c r="J33" i="227"/>
  <c r="I33" i="227"/>
  <c r="H33" i="227"/>
  <c r="F33" i="227"/>
  <c r="D33" i="227"/>
  <c r="A33" i="227"/>
  <c r="T32" i="227"/>
  <c r="F32" i="227"/>
  <c r="D32" i="227"/>
  <c r="A32" i="227"/>
  <c r="T31" i="227"/>
  <c r="F31" i="227"/>
  <c r="D31" i="227"/>
  <c r="A31" i="227"/>
  <c r="T30" i="227"/>
  <c r="F30" i="227"/>
  <c r="D30" i="227"/>
  <c r="A30" i="227"/>
  <c r="T29" i="227"/>
  <c r="F29" i="227"/>
  <c r="D29" i="227"/>
  <c r="A29" i="227"/>
  <c r="T28" i="227"/>
  <c r="F28" i="227"/>
  <c r="D28" i="227"/>
  <c r="A28" i="227"/>
  <c r="T27" i="227"/>
  <c r="F27" i="227"/>
  <c r="D27" i="227"/>
  <c r="A27" i="227"/>
  <c r="T26" i="227"/>
  <c r="F26" i="227"/>
  <c r="D26" i="227"/>
  <c r="A26" i="227"/>
  <c r="T25" i="227"/>
  <c r="F25" i="227"/>
  <c r="D25" i="227"/>
  <c r="A25" i="227"/>
  <c r="T24" i="227"/>
  <c r="F24" i="227"/>
  <c r="D24" i="227"/>
  <c r="A24" i="227"/>
  <c r="S23" i="227"/>
  <c r="S42" i="227" s="1"/>
  <c r="R23" i="227"/>
  <c r="R42" i="227" s="1"/>
  <c r="Q23" i="227"/>
  <c r="Q42" i="227" s="1"/>
  <c r="P23" i="227"/>
  <c r="P42" i="227" s="1"/>
  <c r="O23" i="227"/>
  <c r="O42" i="227" s="1"/>
  <c r="N23" i="227"/>
  <c r="N42" i="227" s="1"/>
  <c r="M23" i="227"/>
  <c r="L23" i="227"/>
  <c r="L42" i="227" s="1"/>
  <c r="K23" i="227"/>
  <c r="K42" i="227" s="1"/>
  <c r="J23" i="227"/>
  <c r="J42" i="227" s="1"/>
  <c r="I23" i="227"/>
  <c r="I42" i="227" s="1"/>
  <c r="H23" i="227"/>
  <c r="H42" i="227" s="1"/>
  <c r="D23" i="227"/>
  <c r="A23" i="227"/>
  <c r="B22" i="227"/>
  <c r="A22" i="227"/>
  <c r="C21" i="227"/>
  <c r="B21" i="227"/>
  <c r="A21" i="227"/>
  <c r="C20" i="227"/>
  <c r="B20" i="227"/>
  <c r="A20" i="227"/>
  <c r="S19" i="227"/>
  <c r="R19" i="227"/>
  <c r="Q19" i="227"/>
  <c r="P19" i="227"/>
  <c r="O19" i="227"/>
  <c r="N19" i="227"/>
  <c r="M19" i="227"/>
  <c r="L19" i="227"/>
  <c r="K19" i="227"/>
  <c r="J19" i="227"/>
  <c r="I19" i="227"/>
  <c r="H19" i="227"/>
  <c r="F19" i="227"/>
  <c r="D19" i="227"/>
  <c r="C19" i="227"/>
  <c r="B19" i="227"/>
  <c r="A19" i="227"/>
  <c r="T18" i="227"/>
  <c r="F18" i="227"/>
  <c r="D18" i="227"/>
  <c r="A18" i="227"/>
  <c r="T17" i="227"/>
  <c r="F17" i="227"/>
  <c r="D17" i="227"/>
  <c r="A17" i="227"/>
  <c r="T16" i="227"/>
  <c r="F16" i="227"/>
  <c r="D16" i="227"/>
  <c r="A16" i="227"/>
  <c r="T15" i="227"/>
  <c r="F15" i="227"/>
  <c r="D15" i="227"/>
  <c r="A15" i="227"/>
  <c r="T14" i="227"/>
  <c r="F14" i="227"/>
  <c r="D14" i="227"/>
  <c r="A14" i="227"/>
  <c r="C13" i="227"/>
  <c r="B13" i="227"/>
  <c r="A13" i="227"/>
  <c r="S12" i="227"/>
  <c r="R12" i="227"/>
  <c r="Q12" i="227"/>
  <c r="P12" i="227"/>
  <c r="O12" i="227"/>
  <c r="N12" i="227"/>
  <c r="M12" i="227"/>
  <c r="L12" i="227"/>
  <c r="K12" i="227"/>
  <c r="J12" i="227"/>
  <c r="I12" i="227"/>
  <c r="H12" i="227"/>
  <c r="F12" i="227"/>
  <c r="D12" i="227"/>
  <c r="C12" i="227"/>
  <c r="B12" i="227"/>
  <c r="A12" i="227"/>
  <c r="T11" i="227"/>
  <c r="F11" i="227"/>
  <c r="D11" i="227"/>
  <c r="C11" i="227"/>
  <c r="B11" i="227"/>
  <c r="A11" i="227"/>
  <c r="T10" i="227"/>
  <c r="F10" i="227"/>
  <c r="D10" i="227"/>
  <c r="C10" i="227"/>
  <c r="B10" i="227"/>
  <c r="A10" i="227"/>
  <c r="T9" i="227"/>
  <c r="S9" i="227"/>
  <c r="R9" i="227"/>
  <c r="Q9" i="227"/>
  <c r="P9" i="227"/>
  <c r="O9" i="227"/>
  <c r="N9" i="227"/>
  <c r="M9" i="227"/>
  <c r="L9" i="227"/>
  <c r="K9" i="227"/>
  <c r="J9" i="227"/>
  <c r="I9" i="227"/>
  <c r="H9" i="227"/>
  <c r="F9" i="227"/>
  <c r="D9" i="227"/>
  <c r="B9" i="227"/>
  <c r="A9" i="227"/>
  <c r="T8" i="227"/>
  <c r="F8" i="227"/>
  <c r="D8" i="227"/>
  <c r="B8" i="227"/>
  <c r="A8" i="227"/>
  <c r="B7" i="227"/>
  <c r="A7" i="227"/>
  <c r="C7" i="227" s="1"/>
  <c r="F6" i="227"/>
  <c r="D6" i="227"/>
  <c r="A219" i="226"/>
  <c r="A218" i="226"/>
  <c r="A217" i="226"/>
  <c r="A216" i="226"/>
  <c r="A215" i="226"/>
  <c r="A214" i="226"/>
  <c r="A213" i="226"/>
  <c r="A212" i="226"/>
  <c r="A211" i="226"/>
  <c r="A210" i="226"/>
  <c r="A209" i="226"/>
  <c r="C208" i="226"/>
  <c r="A208" i="226"/>
  <c r="D207" i="226"/>
  <c r="C207" i="226"/>
  <c r="B207" i="226"/>
  <c r="A207" i="226"/>
  <c r="C206" i="226"/>
  <c r="B206" i="226"/>
  <c r="A206" i="226"/>
  <c r="T205" i="226"/>
  <c r="F205" i="226"/>
  <c r="D205" i="226"/>
  <c r="A205" i="226"/>
  <c r="T204" i="226"/>
  <c r="F204" i="226"/>
  <c r="D204" i="226"/>
  <c r="A204" i="226"/>
  <c r="T203" i="226"/>
  <c r="F203" i="226"/>
  <c r="D203" i="226"/>
  <c r="A203" i="226"/>
  <c r="C202" i="226"/>
  <c r="B202" i="226"/>
  <c r="A202" i="226"/>
  <c r="D201" i="226"/>
  <c r="C201" i="226"/>
  <c r="B201" i="226"/>
  <c r="A201" i="226"/>
  <c r="C200" i="226"/>
  <c r="B200" i="226"/>
  <c r="A200" i="226"/>
  <c r="T199" i="226"/>
  <c r="S199" i="226"/>
  <c r="R199" i="226"/>
  <c r="Q199" i="226"/>
  <c r="P199" i="226"/>
  <c r="O199" i="226"/>
  <c r="N199" i="226"/>
  <c r="M199" i="226"/>
  <c r="L199" i="226"/>
  <c r="K199" i="226"/>
  <c r="J199" i="226"/>
  <c r="I199" i="226"/>
  <c r="H199" i="226"/>
  <c r="F199" i="226"/>
  <c r="D199" i="226"/>
  <c r="C199" i="226"/>
  <c r="B199" i="226"/>
  <c r="A199" i="226"/>
  <c r="T198" i="226"/>
  <c r="F198" i="226"/>
  <c r="D198" i="226"/>
  <c r="A198" i="226"/>
  <c r="T197" i="226"/>
  <c r="F197" i="226"/>
  <c r="D197" i="226"/>
  <c r="A197" i="226"/>
  <c r="T196" i="226"/>
  <c r="F196" i="226"/>
  <c r="D196" i="226"/>
  <c r="A196" i="226"/>
  <c r="T195" i="226"/>
  <c r="S195" i="226"/>
  <c r="R195" i="226"/>
  <c r="Q195" i="226"/>
  <c r="P195" i="226"/>
  <c r="O195" i="226"/>
  <c r="N195" i="226"/>
  <c r="M195" i="226"/>
  <c r="L195" i="226"/>
  <c r="K195" i="226"/>
  <c r="J195" i="226"/>
  <c r="I195" i="226"/>
  <c r="H195" i="226"/>
  <c r="F195" i="226"/>
  <c r="D195" i="226"/>
  <c r="A195" i="226"/>
  <c r="T194" i="226"/>
  <c r="F194" i="226"/>
  <c r="D194" i="226"/>
  <c r="A194" i="226"/>
  <c r="T193" i="226"/>
  <c r="F193" i="226"/>
  <c r="D193" i="226"/>
  <c r="A193" i="226"/>
  <c r="T192" i="226"/>
  <c r="F192" i="226"/>
  <c r="D192" i="226"/>
  <c r="A192" i="226"/>
  <c r="T191" i="226"/>
  <c r="F191" i="226"/>
  <c r="D191" i="226"/>
  <c r="A191" i="226"/>
  <c r="T190" i="226"/>
  <c r="F190" i="226"/>
  <c r="D190" i="226"/>
  <c r="A190" i="226"/>
  <c r="T189" i="226"/>
  <c r="F189" i="226"/>
  <c r="D189" i="226"/>
  <c r="A189" i="226"/>
  <c r="T188" i="226"/>
  <c r="F188" i="226"/>
  <c r="D188" i="226"/>
  <c r="A188" i="226"/>
  <c r="T187" i="226"/>
  <c r="S187" i="226"/>
  <c r="R187" i="226"/>
  <c r="Q187" i="226"/>
  <c r="P187" i="226"/>
  <c r="O187" i="226"/>
  <c r="N187" i="226"/>
  <c r="M187" i="226"/>
  <c r="L187" i="226"/>
  <c r="K187" i="226"/>
  <c r="J187" i="226"/>
  <c r="I187" i="226"/>
  <c r="H187" i="226"/>
  <c r="F187" i="226"/>
  <c r="D187" i="226"/>
  <c r="A187" i="226"/>
  <c r="C186" i="226"/>
  <c r="B186" i="226"/>
  <c r="A186" i="226"/>
  <c r="D185" i="226"/>
  <c r="C185" i="226"/>
  <c r="B185" i="226"/>
  <c r="A185" i="226"/>
  <c r="T184" i="226"/>
  <c r="C184" i="226"/>
  <c r="B184" i="226"/>
  <c r="A184" i="226"/>
  <c r="T183" i="226"/>
  <c r="S183" i="226"/>
  <c r="R183" i="226"/>
  <c r="Q183" i="226"/>
  <c r="P183" i="226"/>
  <c r="O183" i="226"/>
  <c r="N183" i="226"/>
  <c r="M183" i="226"/>
  <c r="L183" i="226"/>
  <c r="K183" i="226"/>
  <c r="J183" i="226"/>
  <c r="I183" i="226"/>
  <c r="H183" i="226"/>
  <c r="F183" i="226"/>
  <c r="D183" i="226"/>
  <c r="C183" i="226"/>
  <c r="B183" i="226"/>
  <c r="A183" i="226"/>
  <c r="T182" i="226"/>
  <c r="F182" i="226"/>
  <c r="D182" i="226"/>
  <c r="A182" i="226"/>
  <c r="T181" i="226"/>
  <c r="F181" i="226"/>
  <c r="D181" i="226"/>
  <c r="A181" i="226"/>
  <c r="T180" i="226"/>
  <c r="F180" i="226"/>
  <c r="D180" i="226"/>
  <c r="A180" i="226"/>
  <c r="T179" i="226"/>
  <c r="F179" i="226"/>
  <c r="D179" i="226"/>
  <c r="A179" i="226"/>
  <c r="T178" i="226"/>
  <c r="F178" i="226"/>
  <c r="D178" i="226"/>
  <c r="A178" i="226"/>
  <c r="T177" i="226"/>
  <c r="S177" i="226"/>
  <c r="R177" i="226"/>
  <c r="Q177" i="226"/>
  <c r="P177" i="226"/>
  <c r="O177" i="226"/>
  <c r="N177" i="226"/>
  <c r="M177" i="226"/>
  <c r="L177" i="226"/>
  <c r="K177" i="226"/>
  <c r="J177" i="226"/>
  <c r="I177" i="226"/>
  <c r="H177" i="226"/>
  <c r="F177" i="226"/>
  <c r="D177" i="226"/>
  <c r="A177" i="226"/>
  <c r="T176" i="226"/>
  <c r="F176" i="226"/>
  <c r="D176" i="226"/>
  <c r="A176" i="226"/>
  <c r="T175" i="226"/>
  <c r="F175" i="226"/>
  <c r="D175" i="226"/>
  <c r="A175" i="226"/>
  <c r="T174" i="226"/>
  <c r="F174" i="226"/>
  <c r="D174" i="226"/>
  <c r="A174" i="226"/>
  <c r="C173" i="226"/>
  <c r="B173" i="226"/>
  <c r="A173" i="226"/>
  <c r="S172" i="226"/>
  <c r="R172" i="226"/>
  <c r="Q172" i="226"/>
  <c r="P172" i="226"/>
  <c r="O172" i="226"/>
  <c r="N172" i="226"/>
  <c r="M172" i="226"/>
  <c r="L172" i="226"/>
  <c r="K172" i="226"/>
  <c r="J172" i="226"/>
  <c r="I172" i="226"/>
  <c r="H172" i="226"/>
  <c r="F172" i="226"/>
  <c r="D172" i="226"/>
  <c r="C172" i="226"/>
  <c r="B172" i="226"/>
  <c r="A172" i="226"/>
  <c r="T171" i="226"/>
  <c r="S171" i="226"/>
  <c r="R171" i="226"/>
  <c r="Q171" i="226"/>
  <c r="P171" i="226"/>
  <c r="O171" i="226"/>
  <c r="N171" i="226"/>
  <c r="M171" i="226"/>
  <c r="L171" i="226"/>
  <c r="K171" i="226"/>
  <c r="J171" i="226"/>
  <c r="I171" i="226"/>
  <c r="H171" i="226"/>
  <c r="F171" i="226"/>
  <c r="D171" i="226"/>
  <c r="A171" i="226"/>
  <c r="F170" i="226"/>
  <c r="D170" i="226"/>
  <c r="A170" i="226"/>
  <c r="T169" i="226"/>
  <c r="F169" i="226"/>
  <c r="D169" i="226"/>
  <c r="A169" i="226"/>
  <c r="T168" i="226"/>
  <c r="F168" i="226"/>
  <c r="D168" i="226"/>
  <c r="A168" i="226"/>
  <c r="T167" i="226"/>
  <c r="S167" i="226"/>
  <c r="R167" i="226"/>
  <c r="Q167" i="226"/>
  <c r="P167" i="226"/>
  <c r="O167" i="226"/>
  <c r="N167" i="226"/>
  <c r="M167" i="226"/>
  <c r="L167" i="226"/>
  <c r="K167" i="226"/>
  <c r="J167" i="226"/>
  <c r="I167" i="226"/>
  <c r="H167" i="226"/>
  <c r="F167" i="226"/>
  <c r="D167" i="226"/>
  <c r="A167" i="226"/>
  <c r="T166" i="226"/>
  <c r="F166" i="226"/>
  <c r="D166" i="226"/>
  <c r="A166" i="226"/>
  <c r="T165" i="226"/>
  <c r="F165" i="226"/>
  <c r="D165" i="226"/>
  <c r="A165" i="226"/>
  <c r="T164" i="226"/>
  <c r="F164" i="226"/>
  <c r="D164" i="226"/>
  <c r="A164" i="226"/>
  <c r="T163" i="226"/>
  <c r="F163" i="226"/>
  <c r="D163" i="226"/>
  <c r="A163" i="226"/>
  <c r="T162" i="226"/>
  <c r="S162" i="226"/>
  <c r="R162" i="226"/>
  <c r="Q162" i="226"/>
  <c r="P162" i="226"/>
  <c r="O162" i="226"/>
  <c r="N162" i="226"/>
  <c r="M162" i="226"/>
  <c r="L162" i="226"/>
  <c r="K162" i="226"/>
  <c r="J162" i="226"/>
  <c r="I162" i="226"/>
  <c r="H162" i="226"/>
  <c r="F162" i="226"/>
  <c r="D162" i="226"/>
  <c r="A162" i="226"/>
  <c r="T161" i="226"/>
  <c r="F161" i="226"/>
  <c r="D161" i="226"/>
  <c r="A161" i="226"/>
  <c r="T160" i="226"/>
  <c r="F160" i="226"/>
  <c r="D160" i="226"/>
  <c r="A160" i="226"/>
  <c r="T159" i="226"/>
  <c r="S159" i="226"/>
  <c r="R159" i="226"/>
  <c r="Q159" i="226"/>
  <c r="P159" i="226"/>
  <c r="O159" i="226"/>
  <c r="N159" i="226"/>
  <c r="M159" i="226"/>
  <c r="L159" i="226"/>
  <c r="K159" i="226"/>
  <c r="J159" i="226"/>
  <c r="I159" i="226"/>
  <c r="H159" i="226"/>
  <c r="F159" i="226"/>
  <c r="D159" i="226"/>
  <c r="A159" i="226"/>
  <c r="T158" i="226"/>
  <c r="F158" i="226"/>
  <c r="D158" i="226"/>
  <c r="A158" i="226"/>
  <c r="T157" i="226"/>
  <c r="F157" i="226"/>
  <c r="D157" i="226"/>
  <c r="A157" i="226"/>
  <c r="T156" i="226"/>
  <c r="F156" i="226"/>
  <c r="D156" i="226"/>
  <c r="A156" i="226"/>
  <c r="B155" i="226"/>
  <c r="A155" i="226"/>
  <c r="T154" i="226"/>
  <c r="C154" i="226"/>
  <c r="B154" i="226"/>
  <c r="A154" i="226"/>
  <c r="D153" i="226"/>
  <c r="C153" i="226"/>
  <c r="B153" i="226"/>
  <c r="A153" i="226"/>
  <c r="T152" i="226"/>
  <c r="F152" i="226"/>
  <c r="D152" i="226"/>
  <c r="A152" i="226"/>
  <c r="T151" i="226"/>
  <c r="F151" i="226"/>
  <c r="D151" i="226"/>
  <c r="A151" i="226"/>
  <c r="T150" i="226"/>
  <c r="F150" i="226"/>
  <c r="D150" i="226"/>
  <c r="A150" i="226"/>
  <c r="T149" i="226"/>
  <c r="F149" i="226"/>
  <c r="D149" i="226"/>
  <c r="A149" i="226"/>
  <c r="T148" i="226"/>
  <c r="F148" i="226"/>
  <c r="D148" i="226"/>
  <c r="A148" i="226"/>
  <c r="T147" i="226"/>
  <c r="F147" i="226"/>
  <c r="D147" i="226"/>
  <c r="A147" i="226"/>
  <c r="T146" i="226"/>
  <c r="F146" i="226"/>
  <c r="D146" i="226"/>
  <c r="A146" i="226"/>
  <c r="T145" i="226"/>
  <c r="F145" i="226"/>
  <c r="D145" i="226"/>
  <c r="A145" i="226"/>
  <c r="T144" i="226"/>
  <c r="F144" i="226"/>
  <c r="D144" i="226"/>
  <c r="A144" i="226"/>
  <c r="T143" i="226"/>
  <c r="F143" i="226"/>
  <c r="D143" i="226"/>
  <c r="A143" i="226"/>
  <c r="T142" i="226"/>
  <c r="F142" i="226"/>
  <c r="D142" i="226"/>
  <c r="A142" i="226"/>
  <c r="T141" i="226"/>
  <c r="F141" i="226"/>
  <c r="D141" i="226"/>
  <c r="A141" i="226"/>
  <c r="T140" i="226"/>
  <c r="F140" i="226"/>
  <c r="D140" i="226"/>
  <c r="A140" i="226"/>
  <c r="T139" i="226"/>
  <c r="F139" i="226"/>
  <c r="D139" i="226"/>
  <c r="A139" i="226"/>
  <c r="T138" i="226"/>
  <c r="F138" i="226"/>
  <c r="D138" i="226"/>
  <c r="A138" i="226"/>
  <c r="T137" i="226"/>
  <c r="S137" i="226"/>
  <c r="R137" i="226"/>
  <c r="Q137" i="226"/>
  <c r="P137" i="226"/>
  <c r="O137" i="226"/>
  <c r="N137" i="226"/>
  <c r="M137" i="226"/>
  <c r="L137" i="226"/>
  <c r="K137" i="226"/>
  <c r="J137" i="226"/>
  <c r="I137" i="226"/>
  <c r="H137" i="226"/>
  <c r="F137" i="226"/>
  <c r="D137" i="226"/>
  <c r="A137" i="226"/>
  <c r="T136" i="226"/>
  <c r="F136" i="226"/>
  <c r="D136" i="226"/>
  <c r="C136" i="226"/>
  <c r="A136" i="226"/>
  <c r="T135" i="226"/>
  <c r="F135" i="226"/>
  <c r="D135" i="226"/>
  <c r="A135" i="226"/>
  <c r="T134" i="226"/>
  <c r="S134" i="226"/>
  <c r="R134" i="226"/>
  <c r="Q134" i="226"/>
  <c r="P134" i="226"/>
  <c r="O134" i="226"/>
  <c r="N134" i="226"/>
  <c r="M134" i="226"/>
  <c r="L134" i="226"/>
  <c r="K134" i="226"/>
  <c r="J134" i="226"/>
  <c r="I134" i="226"/>
  <c r="H134" i="226"/>
  <c r="F134" i="226"/>
  <c r="D134" i="226"/>
  <c r="A134" i="226"/>
  <c r="T133" i="226"/>
  <c r="F133" i="226"/>
  <c r="D133" i="226"/>
  <c r="A133" i="226"/>
  <c r="T132" i="226"/>
  <c r="S132" i="226"/>
  <c r="R132" i="226"/>
  <c r="Q132" i="226"/>
  <c r="P132" i="226"/>
  <c r="O132" i="226"/>
  <c r="N132" i="226"/>
  <c r="M132" i="226"/>
  <c r="L132" i="226"/>
  <c r="K132" i="226"/>
  <c r="J132" i="226"/>
  <c r="I132" i="226"/>
  <c r="H132" i="226"/>
  <c r="F132" i="226"/>
  <c r="D132" i="226"/>
  <c r="A132" i="226"/>
  <c r="T131" i="226"/>
  <c r="F131" i="226"/>
  <c r="D131" i="226"/>
  <c r="A131" i="226"/>
  <c r="T130" i="226"/>
  <c r="F130" i="226"/>
  <c r="D130" i="226"/>
  <c r="A130" i="226"/>
  <c r="T129" i="226"/>
  <c r="F129" i="226"/>
  <c r="D129" i="226"/>
  <c r="A129" i="226"/>
  <c r="T128" i="226"/>
  <c r="F128" i="226"/>
  <c r="D128" i="226"/>
  <c r="A128" i="226"/>
  <c r="T127" i="226"/>
  <c r="S127" i="226"/>
  <c r="R127" i="226"/>
  <c r="Q127" i="226"/>
  <c r="P127" i="226"/>
  <c r="O127" i="226"/>
  <c r="N127" i="226"/>
  <c r="M127" i="226"/>
  <c r="L127" i="226"/>
  <c r="K127" i="226"/>
  <c r="J127" i="226"/>
  <c r="I127" i="226"/>
  <c r="H127" i="226"/>
  <c r="F127" i="226"/>
  <c r="D127" i="226"/>
  <c r="B127" i="226"/>
  <c r="A127" i="226"/>
  <c r="T126" i="226"/>
  <c r="F126" i="226"/>
  <c r="D126" i="226"/>
  <c r="A126" i="226"/>
  <c r="T125" i="226"/>
  <c r="F125" i="226"/>
  <c r="D125" i="226"/>
  <c r="C125" i="226"/>
  <c r="B125" i="226"/>
  <c r="T124" i="226"/>
  <c r="F124" i="226"/>
  <c r="D124" i="226"/>
  <c r="C124" i="226"/>
  <c r="B124" i="226"/>
  <c r="T123" i="226"/>
  <c r="F123" i="226"/>
  <c r="D123" i="226"/>
  <c r="C123" i="226"/>
  <c r="B123" i="226"/>
  <c r="T122" i="226"/>
  <c r="S122" i="226"/>
  <c r="R122" i="226"/>
  <c r="Q122" i="226"/>
  <c r="P122" i="226"/>
  <c r="O122" i="226"/>
  <c r="N122" i="226"/>
  <c r="M122" i="226"/>
  <c r="L122" i="226"/>
  <c r="K122" i="226"/>
  <c r="J122" i="226"/>
  <c r="I122" i="226"/>
  <c r="H122" i="226"/>
  <c r="F122" i="226"/>
  <c r="D122" i="226"/>
  <c r="A122" i="226"/>
  <c r="T121" i="226"/>
  <c r="F121" i="226"/>
  <c r="D121" i="226"/>
  <c r="C121" i="226"/>
  <c r="B121" i="226"/>
  <c r="T120" i="226"/>
  <c r="F120" i="226"/>
  <c r="D120" i="226"/>
  <c r="C120" i="226"/>
  <c r="B120" i="226"/>
  <c r="T119" i="226"/>
  <c r="F119" i="226"/>
  <c r="D119" i="226"/>
  <c r="C119" i="226"/>
  <c r="B119" i="226"/>
  <c r="T118" i="226"/>
  <c r="S118" i="226"/>
  <c r="R118" i="226"/>
  <c r="Q118" i="226"/>
  <c r="P118" i="226"/>
  <c r="O118" i="226"/>
  <c r="N118" i="226"/>
  <c r="M118" i="226"/>
  <c r="L118" i="226"/>
  <c r="K118" i="226"/>
  <c r="J118" i="226"/>
  <c r="I118" i="226"/>
  <c r="H118" i="226"/>
  <c r="F118" i="226"/>
  <c r="D118" i="226"/>
  <c r="A118" i="226"/>
  <c r="T117" i="226"/>
  <c r="F117" i="226"/>
  <c r="D117" i="226"/>
  <c r="A117" i="226"/>
  <c r="T116" i="226"/>
  <c r="F116" i="226"/>
  <c r="D116" i="226"/>
  <c r="C116" i="226"/>
  <c r="B116" i="226"/>
  <c r="T115" i="226"/>
  <c r="F115" i="226"/>
  <c r="D115" i="226"/>
  <c r="C115" i="226"/>
  <c r="B115" i="226"/>
  <c r="T114" i="226"/>
  <c r="F114" i="226"/>
  <c r="D114" i="226"/>
  <c r="C114" i="226"/>
  <c r="B114" i="226"/>
  <c r="T113" i="226"/>
  <c r="S113" i="226"/>
  <c r="R113" i="226"/>
  <c r="Q113" i="226"/>
  <c r="P113" i="226"/>
  <c r="O113" i="226"/>
  <c r="N113" i="226"/>
  <c r="M113" i="226"/>
  <c r="L113" i="226"/>
  <c r="K113" i="226"/>
  <c r="J113" i="226"/>
  <c r="I113" i="226"/>
  <c r="H113" i="226"/>
  <c r="F113" i="226"/>
  <c r="D113" i="226"/>
  <c r="A113" i="226"/>
  <c r="T112" i="226"/>
  <c r="F112" i="226"/>
  <c r="D112" i="226"/>
  <c r="C112" i="226"/>
  <c r="B112" i="226"/>
  <c r="T111" i="226"/>
  <c r="F111" i="226"/>
  <c r="D111" i="226"/>
  <c r="C111" i="226"/>
  <c r="B111" i="226"/>
  <c r="T110" i="226"/>
  <c r="F110" i="226"/>
  <c r="D110" i="226"/>
  <c r="C110" i="226"/>
  <c r="B110" i="226"/>
  <c r="T109" i="226"/>
  <c r="S109" i="226"/>
  <c r="R109" i="226"/>
  <c r="Q109" i="226"/>
  <c r="P109" i="226"/>
  <c r="O109" i="226"/>
  <c r="N109" i="226"/>
  <c r="M109" i="226"/>
  <c r="L109" i="226"/>
  <c r="K109" i="226"/>
  <c r="J109" i="226"/>
  <c r="I109" i="226"/>
  <c r="H109" i="226"/>
  <c r="F109" i="226"/>
  <c r="D109" i="226"/>
  <c r="A109" i="226"/>
  <c r="T108" i="226"/>
  <c r="F108" i="226"/>
  <c r="D108" i="226"/>
  <c r="C108" i="226"/>
  <c r="B108" i="226"/>
  <c r="T107" i="226"/>
  <c r="F107" i="226"/>
  <c r="D107" i="226"/>
  <c r="C107" i="226"/>
  <c r="B107" i="226"/>
  <c r="T106" i="226"/>
  <c r="F106" i="226"/>
  <c r="D106" i="226"/>
  <c r="C106" i="226"/>
  <c r="B106" i="226"/>
  <c r="T105" i="226"/>
  <c r="S105" i="226"/>
  <c r="R105" i="226"/>
  <c r="Q105" i="226"/>
  <c r="P105" i="226"/>
  <c r="O105" i="226"/>
  <c r="N105" i="226"/>
  <c r="M105" i="226"/>
  <c r="L105" i="226"/>
  <c r="K105" i="226"/>
  <c r="J105" i="226"/>
  <c r="I105" i="226"/>
  <c r="H105" i="226"/>
  <c r="F105" i="226"/>
  <c r="D105" i="226"/>
  <c r="A105" i="226"/>
  <c r="T104" i="226"/>
  <c r="F104" i="226"/>
  <c r="D104" i="226"/>
  <c r="C104" i="226"/>
  <c r="B104" i="226"/>
  <c r="T103" i="226"/>
  <c r="F103" i="226"/>
  <c r="D103" i="226"/>
  <c r="C103" i="226"/>
  <c r="B103" i="226"/>
  <c r="T102" i="226"/>
  <c r="F102" i="226"/>
  <c r="D102" i="226"/>
  <c r="C102" i="226"/>
  <c r="B102" i="226"/>
  <c r="T101" i="226"/>
  <c r="S101" i="226"/>
  <c r="R101" i="226"/>
  <c r="Q101" i="226"/>
  <c r="P101" i="226"/>
  <c r="O101" i="226"/>
  <c r="N101" i="226"/>
  <c r="M101" i="226"/>
  <c r="L101" i="226"/>
  <c r="K101" i="226"/>
  <c r="J101" i="226"/>
  <c r="I101" i="226"/>
  <c r="H101" i="226"/>
  <c r="F101" i="226"/>
  <c r="D101" i="226"/>
  <c r="A101" i="226"/>
  <c r="T100" i="226"/>
  <c r="F100" i="226"/>
  <c r="D100" i="226"/>
  <c r="C100" i="226"/>
  <c r="B100" i="226"/>
  <c r="T99" i="226"/>
  <c r="F99" i="226"/>
  <c r="D99" i="226"/>
  <c r="C99" i="226"/>
  <c r="B99" i="226"/>
  <c r="T98" i="226"/>
  <c r="F98" i="226"/>
  <c r="D98" i="226"/>
  <c r="C98" i="226"/>
  <c r="B98" i="226"/>
  <c r="T97" i="226"/>
  <c r="S97" i="226"/>
  <c r="R97" i="226"/>
  <c r="Q97" i="226"/>
  <c r="P97" i="226"/>
  <c r="O97" i="226"/>
  <c r="N97" i="226"/>
  <c r="M97" i="226"/>
  <c r="L97" i="226"/>
  <c r="K97" i="226"/>
  <c r="J97" i="226"/>
  <c r="I97" i="226"/>
  <c r="H97" i="226"/>
  <c r="F97" i="226"/>
  <c r="D97" i="226"/>
  <c r="A97" i="226"/>
  <c r="T96" i="226"/>
  <c r="F96" i="226"/>
  <c r="D96" i="226"/>
  <c r="C96" i="226"/>
  <c r="B96" i="226"/>
  <c r="T95" i="226"/>
  <c r="F95" i="226"/>
  <c r="D95" i="226"/>
  <c r="C95" i="226"/>
  <c r="B95" i="226"/>
  <c r="T94" i="226"/>
  <c r="F94" i="226"/>
  <c r="D94" i="226"/>
  <c r="C94" i="226"/>
  <c r="B94" i="226"/>
  <c r="T93" i="226"/>
  <c r="S93" i="226"/>
  <c r="R93" i="226"/>
  <c r="Q93" i="226"/>
  <c r="P93" i="226"/>
  <c r="O93" i="226"/>
  <c r="N93" i="226"/>
  <c r="M93" i="226"/>
  <c r="L93" i="226"/>
  <c r="K93" i="226"/>
  <c r="J93" i="226"/>
  <c r="I93" i="226"/>
  <c r="H93" i="226"/>
  <c r="F93" i="226"/>
  <c r="D93" i="226"/>
  <c r="A93" i="226"/>
  <c r="T92" i="226"/>
  <c r="S92" i="226"/>
  <c r="R92" i="226"/>
  <c r="Q92" i="226"/>
  <c r="P92" i="226"/>
  <c r="O92" i="226"/>
  <c r="N92" i="226"/>
  <c r="M92" i="226"/>
  <c r="L92" i="226"/>
  <c r="K92" i="226"/>
  <c r="J92" i="226"/>
  <c r="I92" i="226"/>
  <c r="H92" i="226"/>
  <c r="F92" i="226"/>
  <c r="D92" i="226"/>
  <c r="B92" i="226"/>
  <c r="A92" i="226"/>
  <c r="T91" i="226"/>
  <c r="F91" i="226"/>
  <c r="D91" i="226"/>
  <c r="A91" i="226"/>
  <c r="T90" i="226"/>
  <c r="F90" i="226"/>
  <c r="D90" i="226"/>
  <c r="A90" i="226"/>
  <c r="T89" i="226"/>
  <c r="F89" i="226"/>
  <c r="D89" i="226"/>
  <c r="A89" i="226"/>
  <c r="T88" i="226"/>
  <c r="F88" i="226"/>
  <c r="D88" i="226"/>
  <c r="A88" i="226"/>
  <c r="T87" i="226"/>
  <c r="F87" i="226"/>
  <c r="D87" i="226"/>
  <c r="A87" i="226"/>
  <c r="T86" i="226"/>
  <c r="F86" i="226"/>
  <c r="D86" i="226"/>
  <c r="A86" i="226"/>
  <c r="T85" i="226"/>
  <c r="F85" i="226"/>
  <c r="D85" i="226"/>
  <c r="A85" i="226"/>
  <c r="T84" i="226"/>
  <c r="F84" i="226"/>
  <c r="D84" i="226"/>
  <c r="A84" i="226"/>
  <c r="T83" i="226"/>
  <c r="F83" i="226"/>
  <c r="D83" i="226"/>
  <c r="A83" i="226"/>
  <c r="T82" i="226"/>
  <c r="F82" i="226"/>
  <c r="D82" i="226"/>
  <c r="A82" i="226"/>
  <c r="T81" i="226"/>
  <c r="F81" i="226"/>
  <c r="D81" i="226"/>
  <c r="A81" i="226"/>
  <c r="T80" i="226"/>
  <c r="S80" i="226"/>
  <c r="R80" i="226"/>
  <c r="Q80" i="226"/>
  <c r="P80" i="226"/>
  <c r="O80" i="226"/>
  <c r="N80" i="226"/>
  <c r="M80" i="226"/>
  <c r="L80" i="226"/>
  <c r="K80" i="226"/>
  <c r="J80" i="226"/>
  <c r="I80" i="226"/>
  <c r="H80" i="226"/>
  <c r="F80" i="226"/>
  <c r="D80" i="226"/>
  <c r="A80" i="226"/>
  <c r="T79" i="226"/>
  <c r="F79" i="226"/>
  <c r="D79" i="226"/>
  <c r="B79" i="226"/>
  <c r="A79" i="226"/>
  <c r="T78" i="226"/>
  <c r="F78" i="226"/>
  <c r="D78" i="226"/>
  <c r="C78" i="226"/>
  <c r="B78" i="226"/>
  <c r="A78" i="226"/>
  <c r="T77" i="226"/>
  <c r="F77" i="226"/>
  <c r="D77" i="226"/>
  <c r="C77" i="226"/>
  <c r="B77" i="226"/>
  <c r="A77" i="226"/>
  <c r="T76" i="226"/>
  <c r="F76" i="226"/>
  <c r="D76" i="226"/>
  <c r="C76" i="226"/>
  <c r="B76" i="226"/>
  <c r="A76" i="226"/>
  <c r="T75" i="226"/>
  <c r="S75" i="226"/>
  <c r="R75" i="226"/>
  <c r="Q75" i="226"/>
  <c r="P75" i="226"/>
  <c r="O75" i="226"/>
  <c r="N75" i="226"/>
  <c r="M75" i="226"/>
  <c r="L75" i="226"/>
  <c r="K75" i="226"/>
  <c r="J75" i="226"/>
  <c r="I75" i="226"/>
  <c r="H75" i="226"/>
  <c r="F75" i="226"/>
  <c r="D75" i="226"/>
  <c r="A75" i="226"/>
  <c r="T74" i="226"/>
  <c r="F74" i="226"/>
  <c r="D74" i="226"/>
  <c r="A74" i="226"/>
  <c r="T73" i="226"/>
  <c r="F73" i="226"/>
  <c r="D73" i="226"/>
  <c r="A73" i="226"/>
  <c r="T72" i="226"/>
  <c r="F72" i="226"/>
  <c r="D72" i="226"/>
  <c r="A72" i="226"/>
  <c r="T71" i="226"/>
  <c r="F71" i="226"/>
  <c r="D71" i="226"/>
  <c r="A71" i="226"/>
  <c r="T70" i="226"/>
  <c r="F70" i="226"/>
  <c r="D70" i="226"/>
  <c r="A70" i="226"/>
  <c r="T69" i="226"/>
  <c r="F69" i="226"/>
  <c r="D69" i="226"/>
  <c r="A69" i="226"/>
  <c r="T68" i="226"/>
  <c r="F68" i="226"/>
  <c r="D68" i="226"/>
  <c r="A68" i="226"/>
  <c r="T67" i="226"/>
  <c r="F67" i="226"/>
  <c r="D67" i="226"/>
  <c r="A67" i="226"/>
  <c r="T66" i="226"/>
  <c r="F66" i="226"/>
  <c r="D66" i="226"/>
  <c r="A66" i="226"/>
  <c r="T65" i="226"/>
  <c r="F65" i="226"/>
  <c r="D65" i="226"/>
  <c r="A65" i="226"/>
  <c r="T64" i="226"/>
  <c r="F64" i="226"/>
  <c r="D64" i="226"/>
  <c r="A64" i="226"/>
  <c r="T63" i="226"/>
  <c r="S63" i="226"/>
  <c r="R63" i="226"/>
  <c r="Q63" i="226"/>
  <c r="P63" i="226"/>
  <c r="O63" i="226"/>
  <c r="N63" i="226"/>
  <c r="M63" i="226"/>
  <c r="L63" i="226"/>
  <c r="K63" i="226"/>
  <c r="J63" i="226"/>
  <c r="I63" i="226"/>
  <c r="H63" i="226"/>
  <c r="F63" i="226"/>
  <c r="D63" i="226"/>
  <c r="A63" i="226"/>
  <c r="T62" i="226"/>
  <c r="S62" i="226"/>
  <c r="R62" i="226"/>
  <c r="Q62" i="226"/>
  <c r="P62" i="226"/>
  <c r="O62" i="226"/>
  <c r="N62" i="226"/>
  <c r="M62" i="226"/>
  <c r="L62" i="226"/>
  <c r="K62" i="226"/>
  <c r="J62" i="226"/>
  <c r="I62" i="226"/>
  <c r="H62" i="226"/>
  <c r="F62" i="226"/>
  <c r="D62" i="226"/>
  <c r="A62" i="226"/>
  <c r="T61" i="226"/>
  <c r="F61" i="226"/>
  <c r="D61" i="226"/>
  <c r="A61" i="226"/>
  <c r="T60" i="226"/>
  <c r="F60" i="226"/>
  <c r="D60" i="226"/>
  <c r="A60" i="226"/>
  <c r="T59" i="226"/>
  <c r="F59" i="226"/>
  <c r="D59" i="226"/>
  <c r="A59" i="226"/>
  <c r="T58" i="226"/>
  <c r="F58" i="226"/>
  <c r="D58" i="226"/>
  <c r="A58" i="226"/>
  <c r="T57" i="226"/>
  <c r="F57" i="226"/>
  <c r="D57" i="226"/>
  <c r="A57" i="226"/>
  <c r="T56" i="226"/>
  <c r="S56" i="226"/>
  <c r="R56" i="226"/>
  <c r="Q56" i="226"/>
  <c r="P56" i="226"/>
  <c r="O56" i="226"/>
  <c r="N56" i="226"/>
  <c r="M56" i="226"/>
  <c r="L56" i="226"/>
  <c r="K56" i="226"/>
  <c r="J56" i="226"/>
  <c r="I56" i="226"/>
  <c r="H56" i="226"/>
  <c r="F56" i="226"/>
  <c r="D56" i="226"/>
  <c r="A56" i="226"/>
  <c r="T55" i="226"/>
  <c r="S55" i="226"/>
  <c r="R55" i="226"/>
  <c r="Q55" i="226"/>
  <c r="P55" i="226"/>
  <c r="O55" i="226"/>
  <c r="N55" i="226"/>
  <c r="M55" i="226"/>
  <c r="L55" i="226"/>
  <c r="K55" i="226"/>
  <c r="J55" i="226"/>
  <c r="I55" i="226"/>
  <c r="H55" i="226"/>
  <c r="F55" i="226"/>
  <c r="D55" i="226"/>
  <c r="A55" i="226"/>
  <c r="T54" i="226"/>
  <c r="F54" i="226"/>
  <c r="D54" i="226"/>
  <c r="A54" i="226"/>
  <c r="T53" i="226"/>
  <c r="F53" i="226"/>
  <c r="D53" i="226"/>
  <c r="A53" i="226"/>
  <c r="T52" i="226"/>
  <c r="F52" i="226"/>
  <c r="D52" i="226"/>
  <c r="A52" i="226"/>
  <c r="T51" i="226"/>
  <c r="F51" i="226"/>
  <c r="D51" i="226"/>
  <c r="A51" i="226"/>
  <c r="T50" i="226"/>
  <c r="F50" i="226"/>
  <c r="D50" i="226"/>
  <c r="C50" i="226"/>
  <c r="B50" i="226"/>
  <c r="A50" i="226"/>
  <c r="T49" i="226"/>
  <c r="F49" i="226"/>
  <c r="D49" i="226"/>
  <c r="C49" i="226"/>
  <c r="B49" i="226"/>
  <c r="A49" i="226"/>
  <c r="T48" i="226"/>
  <c r="F48" i="226"/>
  <c r="D48" i="226"/>
  <c r="C48" i="226"/>
  <c r="B48" i="226"/>
  <c r="A48" i="226"/>
  <c r="T47" i="226"/>
  <c r="S47" i="226"/>
  <c r="R47" i="226"/>
  <c r="Q47" i="226"/>
  <c r="P47" i="226"/>
  <c r="O47" i="226"/>
  <c r="N47" i="226"/>
  <c r="M47" i="226"/>
  <c r="L47" i="226"/>
  <c r="K47" i="226"/>
  <c r="J47" i="226"/>
  <c r="I47" i="226"/>
  <c r="H47" i="226"/>
  <c r="F47" i="226"/>
  <c r="D47" i="226"/>
  <c r="A47" i="226"/>
  <c r="T46" i="226"/>
  <c r="F46" i="226"/>
  <c r="D46" i="226"/>
  <c r="A46" i="226"/>
  <c r="T45" i="226"/>
  <c r="F45" i="226"/>
  <c r="D45" i="226"/>
  <c r="A45" i="226"/>
  <c r="S44" i="226"/>
  <c r="S153" i="226" s="1"/>
  <c r="R44" i="226"/>
  <c r="R153" i="226" s="1"/>
  <c r="Q44" i="226"/>
  <c r="Q153" i="226" s="1"/>
  <c r="P44" i="226"/>
  <c r="O44" i="226"/>
  <c r="N44" i="226"/>
  <c r="M44" i="226"/>
  <c r="L44" i="226"/>
  <c r="L153" i="226" s="1"/>
  <c r="K44" i="226"/>
  <c r="K153" i="226" s="1"/>
  <c r="J44" i="226"/>
  <c r="I44" i="226"/>
  <c r="H44" i="226"/>
  <c r="H43" i="226" s="1"/>
  <c r="D44" i="226"/>
  <c r="A44" i="226"/>
  <c r="C43" i="226"/>
  <c r="B43" i="226"/>
  <c r="A43" i="226"/>
  <c r="D42" i="226"/>
  <c r="C42" i="226"/>
  <c r="B42" i="226"/>
  <c r="A42" i="226"/>
  <c r="T41" i="226"/>
  <c r="F41" i="226"/>
  <c r="D41" i="226"/>
  <c r="A41" i="226"/>
  <c r="T40" i="226"/>
  <c r="F40" i="226"/>
  <c r="D40" i="226"/>
  <c r="A40" i="226"/>
  <c r="T39" i="226"/>
  <c r="F39" i="226"/>
  <c r="D39" i="226"/>
  <c r="A39" i="226"/>
  <c r="T38" i="226"/>
  <c r="S38" i="226"/>
  <c r="R38" i="226"/>
  <c r="Q38" i="226"/>
  <c r="P38" i="226"/>
  <c r="O38" i="226"/>
  <c r="N38" i="226"/>
  <c r="M38" i="226"/>
  <c r="L38" i="226"/>
  <c r="K38" i="226"/>
  <c r="J38" i="226"/>
  <c r="I38" i="226"/>
  <c r="H38" i="226"/>
  <c r="F38" i="226"/>
  <c r="D38" i="226"/>
  <c r="A38" i="226"/>
  <c r="T37" i="226"/>
  <c r="F37" i="226"/>
  <c r="D37" i="226"/>
  <c r="A37" i="226"/>
  <c r="T36" i="226"/>
  <c r="F36" i="226"/>
  <c r="D36" i="226"/>
  <c r="A36" i="226"/>
  <c r="T35" i="226"/>
  <c r="S35" i="226"/>
  <c r="R35" i="226"/>
  <c r="Q35" i="226"/>
  <c r="P35" i="226"/>
  <c r="O35" i="226"/>
  <c r="N35" i="226"/>
  <c r="M35" i="226"/>
  <c r="L35" i="226"/>
  <c r="K35" i="226"/>
  <c r="J35" i="226"/>
  <c r="I35" i="226"/>
  <c r="H35" i="226"/>
  <c r="F35" i="226"/>
  <c r="D35" i="226"/>
  <c r="A35" i="226"/>
  <c r="T34" i="226"/>
  <c r="F34" i="226"/>
  <c r="D34" i="226"/>
  <c r="A34" i="226"/>
  <c r="T33" i="226"/>
  <c r="S33" i="226"/>
  <c r="R33" i="226"/>
  <c r="Q33" i="226"/>
  <c r="P33" i="226"/>
  <c r="O33" i="226"/>
  <c r="N33" i="226"/>
  <c r="M33" i="226"/>
  <c r="L33" i="226"/>
  <c r="K33" i="226"/>
  <c r="J33" i="226"/>
  <c r="I33" i="226"/>
  <c r="H33" i="226"/>
  <c r="F33" i="226"/>
  <c r="D33" i="226"/>
  <c r="A33" i="226"/>
  <c r="T32" i="226"/>
  <c r="F32" i="226"/>
  <c r="D32" i="226"/>
  <c r="A32" i="226"/>
  <c r="T31" i="226"/>
  <c r="F31" i="226"/>
  <c r="D31" i="226"/>
  <c r="A31" i="226"/>
  <c r="T30" i="226"/>
  <c r="F30" i="226"/>
  <c r="D30" i="226"/>
  <c r="A30" i="226"/>
  <c r="T29" i="226"/>
  <c r="F29" i="226"/>
  <c r="D29" i="226"/>
  <c r="A29" i="226"/>
  <c r="T28" i="226"/>
  <c r="F28" i="226"/>
  <c r="D28" i="226"/>
  <c r="A28" i="226"/>
  <c r="T27" i="226"/>
  <c r="F27" i="226"/>
  <c r="D27" i="226"/>
  <c r="A27" i="226"/>
  <c r="T26" i="226"/>
  <c r="F26" i="226"/>
  <c r="D26" i="226"/>
  <c r="A26" i="226"/>
  <c r="T25" i="226"/>
  <c r="F25" i="226"/>
  <c r="D25" i="226"/>
  <c r="A25" i="226"/>
  <c r="T24" i="226"/>
  <c r="F24" i="226"/>
  <c r="D24" i="226"/>
  <c r="A24" i="226"/>
  <c r="S23" i="226"/>
  <c r="S42" i="226" s="1"/>
  <c r="R23" i="226"/>
  <c r="R42" i="226" s="1"/>
  <c r="Q23" i="226"/>
  <c r="Q42" i="226" s="1"/>
  <c r="P23" i="226"/>
  <c r="P42" i="226" s="1"/>
  <c r="O23" i="226"/>
  <c r="O42" i="226" s="1"/>
  <c r="N23" i="226"/>
  <c r="N42" i="226" s="1"/>
  <c r="M23" i="226"/>
  <c r="M42" i="226" s="1"/>
  <c r="L23" i="226"/>
  <c r="L42" i="226" s="1"/>
  <c r="K23" i="226"/>
  <c r="K42" i="226" s="1"/>
  <c r="J23" i="226"/>
  <c r="J42" i="226" s="1"/>
  <c r="I23" i="226"/>
  <c r="I42" i="226" s="1"/>
  <c r="H23" i="226"/>
  <c r="D23" i="226"/>
  <c r="A23" i="226"/>
  <c r="B22" i="226"/>
  <c r="A22" i="226"/>
  <c r="C21" i="226"/>
  <c r="B21" i="226"/>
  <c r="A21" i="226"/>
  <c r="C20" i="226"/>
  <c r="B20" i="226"/>
  <c r="A20" i="226"/>
  <c r="S19" i="226"/>
  <c r="R19" i="226"/>
  <c r="Q19" i="226"/>
  <c r="P19" i="226"/>
  <c r="O19" i="226"/>
  <c r="N19" i="226"/>
  <c r="M19" i="226"/>
  <c r="L19" i="226"/>
  <c r="K19" i="226"/>
  <c r="J19" i="226"/>
  <c r="I19" i="226"/>
  <c r="H19" i="226"/>
  <c r="F19" i="226"/>
  <c r="D19" i="226"/>
  <c r="C19" i="226"/>
  <c r="B19" i="226"/>
  <c r="A19" i="226"/>
  <c r="T18" i="226"/>
  <c r="F18" i="226"/>
  <c r="D18" i="226"/>
  <c r="A18" i="226"/>
  <c r="T17" i="226"/>
  <c r="F17" i="226"/>
  <c r="D17" i="226"/>
  <c r="A17" i="226"/>
  <c r="T16" i="226"/>
  <c r="F16" i="226"/>
  <c r="D16" i="226"/>
  <c r="A16" i="226"/>
  <c r="T15" i="226"/>
  <c r="F15" i="226"/>
  <c r="D15" i="226"/>
  <c r="A15" i="226"/>
  <c r="T14" i="226"/>
  <c r="F14" i="226"/>
  <c r="D14" i="226"/>
  <c r="A14" i="226"/>
  <c r="C13" i="226"/>
  <c r="B13" i="226"/>
  <c r="A13" i="226"/>
  <c r="S12" i="226"/>
  <c r="R12" i="226"/>
  <c r="Q12" i="226"/>
  <c r="P12" i="226"/>
  <c r="O12" i="226"/>
  <c r="N12" i="226"/>
  <c r="M12" i="226"/>
  <c r="L12" i="226"/>
  <c r="K12" i="226"/>
  <c r="J12" i="226"/>
  <c r="I12" i="226"/>
  <c r="H12" i="226"/>
  <c r="F12" i="226"/>
  <c r="D12" i="226"/>
  <c r="C12" i="226"/>
  <c r="B12" i="226"/>
  <c r="A12" i="226"/>
  <c r="T11" i="226"/>
  <c r="F11" i="226"/>
  <c r="D11" i="226"/>
  <c r="C11" i="226"/>
  <c r="B11" i="226"/>
  <c r="A11" i="226"/>
  <c r="T10" i="226"/>
  <c r="F10" i="226"/>
  <c r="D10" i="226"/>
  <c r="C10" i="226"/>
  <c r="B10" i="226"/>
  <c r="A10" i="226"/>
  <c r="T9" i="226"/>
  <c r="S9" i="226"/>
  <c r="R9" i="226"/>
  <c r="Q9" i="226"/>
  <c r="P9" i="226"/>
  <c r="O9" i="226"/>
  <c r="N9" i="226"/>
  <c r="M9" i="226"/>
  <c r="L9" i="226"/>
  <c r="K9" i="226"/>
  <c r="J9" i="226"/>
  <c r="I9" i="226"/>
  <c r="H9" i="226"/>
  <c r="F9" i="226"/>
  <c r="D9" i="226"/>
  <c r="B9" i="226"/>
  <c r="A9" i="226"/>
  <c r="T8" i="226"/>
  <c r="F8" i="226"/>
  <c r="D8" i="226"/>
  <c r="B8" i="226"/>
  <c r="A8" i="226"/>
  <c r="B7" i="226"/>
  <c r="A7" i="226"/>
  <c r="C7" i="226" s="1"/>
  <c r="F6" i="226"/>
  <c r="D6" i="226"/>
  <c r="A219" i="225"/>
  <c r="A218" i="225"/>
  <c r="A217" i="225"/>
  <c r="A216" i="225"/>
  <c r="A215" i="225"/>
  <c r="A214" i="225"/>
  <c r="A213" i="225"/>
  <c r="A212" i="225"/>
  <c r="A211" i="225"/>
  <c r="A210" i="225"/>
  <c r="A209" i="225"/>
  <c r="C208" i="225"/>
  <c r="A208" i="225"/>
  <c r="D207" i="225"/>
  <c r="C207" i="225"/>
  <c r="B207" i="225"/>
  <c r="A207" i="225"/>
  <c r="C206" i="225"/>
  <c r="B206" i="225"/>
  <c r="A206" i="225"/>
  <c r="T205" i="225"/>
  <c r="F205" i="225"/>
  <c r="D205" i="225"/>
  <c r="A205" i="225"/>
  <c r="T204" i="225"/>
  <c r="F204" i="225"/>
  <c r="D204" i="225"/>
  <c r="A204" i="225"/>
  <c r="T203" i="225"/>
  <c r="F203" i="225"/>
  <c r="D203" i="225"/>
  <c r="A203" i="225"/>
  <c r="C202" i="225"/>
  <c r="B202" i="225"/>
  <c r="A202" i="225"/>
  <c r="D201" i="225"/>
  <c r="C201" i="225"/>
  <c r="B201" i="225"/>
  <c r="A201" i="225"/>
  <c r="C200" i="225"/>
  <c r="B200" i="225"/>
  <c r="A200" i="225"/>
  <c r="T199" i="225"/>
  <c r="S199" i="225"/>
  <c r="R199" i="225"/>
  <c r="Q199" i="225"/>
  <c r="P199" i="225"/>
  <c r="O199" i="225"/>
  <c r="N199" i="225"/>
  <c r="M199" i="225"/>
  <c r="L199" i="225"/>
  <c r="K199" i="225"/>
  <c r="J199" i="225"/>
  <c r="I199" i="225"/>
  <c r="H199" i="225"/>
  <c r="F199" i="225"/>
  <c r="D199" i="225"/>
  <c r="C199" i="225"/>
  <c r="B199" i="225"/>
  <c r="A199" i="225"/>
  <c r="T198" i="225"/>
  <c r="F198" i="225"/>
  <c r="D198" i="225"/>
  <c r="A198" i="225"/>
  <c r="T197" i="225"/>
  <c r="F197" i="225"/>
  <c r="D197" i="225"/>
  <c r="A197" i="225"/>
  <c r="T196" i="225"/>
  <c r="F196" i="225"/>
  <c r="D196" i="225"/>
  <c r="A196" i="225"/>
  <c r="T195" i="225"/>
  <c r="S195" i="225"/>
  <c r="R195" i="225"/>
  <c r="Q195" i="225"/>
  <c r="P195" i="225"/>
  <c r="O195" i="225"/>
  <c r="N195" i="225"/>
  <c r="M195" i="225"/>
  <c r="L195" i="225"/>
  <c r="K195" i="225"/>
  <c r="J195" i="225"/>
  <c r="I195" i="225"/>
  <c r="H195" i="225"/>
  <c r="F195" i="225"/>
  <c r="D195" i="225"/>
  <c r="A195" i="225"/>
  <c r="T194" i="225"/>
  <c r="F194" i="225"/>
  <c r="D194" i="225"/>
  <c r="A194" i="225"/>
  <c r="T193" i="225"/>
  <c r="F193" i="225"/>
  <c r="D193" i="225"/>
  <c r="A193" i="225"/>
  <c r="T192" i="225"/>
  <c r="F192" i="225"/>
  <c r="D192" i="225"/>
  <c r="A192" i="225"/>
  <c r="T191" i="225"/>
  <c r="F191" i="225"/>
  <c r="D191" i="225"/>
  <c r="A191" i="225"/>
  <c r="T190" i="225"/>
  <c r="F190" i="225"/>
  <c r="D190" i="225"/>
  <c r="A190" i="225"/>
  <c r="T189" i="225"/>
  <c r="F189" i="225"/>
  <c r="D189" i="225"/>
  <c r="A189" i="225"/>
  <c r="T188" i="225"/>
  <c r="F188" i="225"/>
  <c r="D188" i="225"/>
  <c r="A188" i="225"/>
  <c r="T187" i="225"/>
  <c r="S187" i="225"/>
  <c r="R187" i="225"/>
  <c r="Q187" i="225"/>
  <c r="P187" i="225"/>
  <c r="O187" i="225"/>
  <c r="N187" i="225"/>
  <c r="M187" i="225"/>
  <c r="L187" i="225"/>
  <c r="K187" i="225"/>
  <c r="J187" i="225"/>
  <c r="I187" i="225"/>
  <c r="H187" i="225"/>
  <c r="F187" i="225"/>
  <c r="D187" i="225"/>
  <c r="A187" i="225"/>
  <c r="C186" i="225"/>
  <c r="B186" i="225"/>
  <c r="A186" i="225"/>
  <c r="D185" i="225"/>
  <c r="C185" i="225"/>
  <c r="B185" i="225"/>
  <c r="A185" i="225"/>
  <c r="T184" i="225"/>
  <c r="C184" i="225"/>
  <c r="B184" i="225"/>
  <c r="A184" i="225"/>
  <c r="T183" i="225"/>
  <c r="S183" i="225"/>
  <c r="R183" i="225"/>
  <c r="Q183" i="225"/>
  <c r="P183" i="225"/>
  <c r="O183" i="225"/>
  <c r="N183" i="225"/>
  <c r="M183" i="225"/>
  <c r="L183" i="225"/>
  <c r="K183" i="225"/>
  <c r="J183" i="225"/>
  <c r="I183" i="225"/>
  <c r="H183" i="225"/>
  <c r="F183" i="225"/>
  <c r="D183" i="225"/>
  <c r="C183" i="225"/>
  <c r="B183" i="225"/>
  <c r="A183" i="225"/>
  <c r="T182" i="225"/>
  <c r="F182" i="225"/>
  <c r="D182" i="225"/>
  <c r="A182" i="225"/>
  <c r="T181" i="225"/>
  <c r="F181" i="225"/>
  <c r="D181" i="225"/>
  <c r="A181" i="225"/>
  <c r="T180" i="225"/>
  <c r="F180" i="225"/>
  <c r="D180" i="225"/>
  <c r="A180" i="225"/>
  <c r="T179" i="225"/>
  <c r="F179" i="225"/>
  <c r="D179" i="225"/>
  <c r="A179" i="225"/>
  <c r="T178" i="225"/>
  <c r="F178" i="225"/>
  <c r="D178" i="225"/>
  <c r="A178" i="225"/>
  <c r="T177" i="225"/>
  <c r="S177" i="225"/>
  <c r="R177" i="225"/>
  <c r="Q177" i="225"/>
  <c r="P177" i="225"/>
  <c r="O177" i="225"/>
  <c r="N177" i="225"/>
  <c r="M177" i="225"/>
  <c r="L177" i="225"/>
  <c r="K177" i="225"/>
  <c r="J177" i="225"/>
  <c r="I177" i="225"/>
  <c r="H177" i="225"/>
  <c r="F177" i="225"/>
  <c r="D177" i="225"/>
  <c r="A177" i="225"/>
  <c r="T176" i="225"/>
  <c r="F176" i="225"/>
  <c r="D176" i="225"/>
  <c r="A176" i="225"/>
  <c r="T175" i="225"/>
  <c r="F175" i="225"/>
  <c r="D175" i="225"/>
  <c r="A175" i="225"/>
  <c r="T174" i="225"/>
  <c r="F174" i="225"/>
  <c r="D174" i="225"/>
  <c r="A174" i="225"/>
  <c r="C173" i="225"/>
  <c r="B173" i="225"/>
  <c r="A173" i="225"/>
  <c r="S172" i="225"/>
  <c r="R172" i="225"/>
  <c r="Q172" i="225"/>
  <c r="P172" i="225"/>
  <c r="O172" i="225"/>
  <c r="N172" i="225"/>
  <c r="M172" i="225"/>
  <c r="L172" i="225"/>
  <c r="K172" i="225"/>
  <c r="J172" i="225"/>
  <c r="I172" i="225"/>
  <c r="H172" i="225"/>
  <c r="F172" i="225"/>
  <c r="D172" i="225"/>
  <c r="C172" i="225"/>
  <c r="B172" i="225"/>
  <c r="A172" i="225"/>
  <c r="T171" i="225"/>
  <c r="S171" i="225"/>
  <c r="R171" i="225"/>
  <c r="Q171" i="225"/>
  <c r="P171" i="225"/>
  <c r="O171" i="225"/>
  <c r="N171" i="225"/>
  <c r="M171" i="225"/>
  <c r="L171" i="225"/>
  <c r="K171" i="225"/>
  <c r="J171" i="225"/>
  <c r="I171" i="225"/>
  <c r="H171" i="225"/>
  <c r="F171" i="225"/>
  <c r="D171" i="225"/>
  <c r="A171" i="225"/>
  <c r="F170" i="225"/>
  <c r="D170" i="225"/>
  <c r="A170" i="225"/>
  <c r="T169" i="225"/>
  <c r="F169" i="225"/>
  <c r="D169" i="225"/>
  <c r="A169" i="225"/>
  <c r="T168" i="225"/>
  <c r="F168" i="225"/>
  <c r="D168" i="225"/>
  <c r="A168" i="225"/>
  <c r="T167" i="225"/>
  <c r="S167" i="225"/>
  <c r="R167" i="225"/>
  <c r="Q167" i="225"/>
  <c r="P167" i="225"/>
  <c r="O167" i="225"/>
  <c r="N167" i="225"/>
  <c r="M167" i="225"/>
  <c r="L167" i="225"/>
  <c r="K167" i="225"/>
  <c r="J167" i="225"/>
  <c r="I167" i="225"/>
  <c r="H167" i="225"/>
  <c r="F167" i="225"/>
  <c r="D167" i="225"/>
  <c r="A167" i="225"/>
  <c r="T166" i="225"/>
  <c r="F166" i="225"/>
  <c r="D166" i="225"/>
  <c r="A166" i="225"/>
  <c r="T165" i="225"/>
  <c r="F165" i="225"/>
  <c r="D165" i="225"/>
  <c r="A165" i="225"/>
  <c r="T164" i="225"/>
  <c r="F164" i="225"/>
  <c r="D164" i="225"/>
  <c r="A164" i="225"/>
  <c r="T163" i="225"/>
  <c r="F163" i="225"/>
  <c r="D163" i="225"/>
  <c r="A163" i="225"/>
  <c r="T162" i="225"/>
  <c r="S162" i="225"/>
  <c r="R162" i="225"/>
  <c r="Q162" i="225"/>
  <c r="P162" i="225"/>
  <c r="O162" i="225"/>
  <c r="N162" i="225"/>
  <c r="M162" i="225"/>
  <c r="L162" i="225"/>
  <c r="K162" i="225"/>
  <c r="J162" i="225"/>
  <c r="I162" i="225"/>
  <c r="H162" i="225"/>
  <c r="F162" i="225"/>
  <c r="D162" i="225"/>
  <c r="A162" i="225"/>
  <c r="T161" i="225"/>
  <c r="F161" i="225"/>
  <c r="D161" i="225"/>
  <c r="A161" i="225"/>
  <c r="T160" i="225"/>
  <c r="F160" i="225"/>
  <c r="D160" i="225"/>
  <c r="A160" i="225"/>
  <c r="T159" i="225"/>
  <c r="S159" i="225"/>
  <c r="R159" i="225"/>
  <c r="Q159" i="225"/>
  <c r="P159" i="225"/>
  <c r="O159" i="225"/>
  <c r="N159" i="225"/>
  <c r="M159" i="225"/>
  <c r="L159" i="225"/>
  <c r="K159" i="225"/>
  <c r="J159" i="225"/>
  <c r="I159" i="225"/>
  <c r="H159" i="225"/>
  <c r="F159" i="225"/>
  <c r="D159" i="225"/>
  <c r="A159" i="225"/>
  <c r="T158" i="225"/>
  <c r="F158" i="225"/>
  <c r="D158" i="225"/>
  <c r="A158" i="225"/>
  <c r="T157" i="225"/>
  <c r="F157" i="225"/>
  <c r="D157" i="225"/>
  <c r="A157" i="225"/>
  <c r="T156" i="225"/>
  <c r="F156" i="225"/>
  <c r="D156" i="225"/>
  <c r="A156" i="225"/>
  <c r="B155" i="225"/>
  <c r="A155" i="225"/>
  <c r="T154" i="225"/>
  <c r="C154" i="225"/>
  <c r="B154" i="225"/>
  <c r="A154" i="225"/>
  <c r="D153" i="225"/>
  <c r="C153" i="225"/>
  <c r="B153" i="225"/>
  <c r="A153" i="225"/>
  <c r="T152" i="225"/>
  <c r="F152" i="225"/>
  <c r="D152" i="225"/>
  <c r="A152" i="225"/>
  <c r="T151" i="225"/>
  <c r="F151" i="225"/>
  <c r="D151" i="225"/>
  <c r="A151" i="225"/>
  <c r="T150" i="225"/>
  <c r="F150" i="225"/>
  <c r="D150" i="225"/>
  <c r="A150" i="225"/>
  <c r="T149" i="225"/>
  <c r="F149" i="225"/>
  <c r="D149" i="225"/>
  <c r="A149" i="225"/>
  <c r="T148" i="225"/>
  <c r="F148" i="225"/>
  <c r="D148" i="225"/>
  <c r="A148" i="225"/>
  <c r="T147" i="225"/>
  <c r="F147" i="225"/>
  <c r="D147" i="225"/>
  <c r="A147" i="225"/>
  <c r="T146" i="225"/>
  <c r="F146" i="225"/>
  <c r="D146" i="225"/>
  <c r="A146" i="225"/>
  <c r="T145" i="225"/>
  <c r="F145" i="225"/>
  <c r="D145" i="225"/>
  <c r="A145" i="225"/>
  <c r="T144" i="225"/>
  <c r="F144" i="225"/>
  <c r="D144" i="225"/>
  <c r="A144" i="225"/>
  <c r="T143" i="225"/>
  <c r="F143" i="225"/>
  <c r="D143" i="225"/>
  <c r="A143" i="225"/>
  <c r="T142" i="225"/>
  <c r="F142" i="225"/>
  <c r="D142" i="225"/>
  <c r="A142" i="225"/>
  <c r="T141" i="225"/>
  <c r="F141" i="225"/>
  <c r="D141" i="225"/>
  <c r="A141" i="225"/>
  <c r="T140" i="225"/>
  <c r="F140" i="225"/>
  <c r="D140" i="225"/>
  <c r="A140" i="225"/>
  <c r="T139" i="225"/>
  <c r="F139" i="225"/>
  <c r="D139" i="225"/>
  <c r="A139" i="225"/>
  <c r="T138" i="225"/>
  <c r="F138" i="225"/>
  <c r="D138" i="225"/>
  <c r="A138" i="225"/>
  <c r="T137" i="225"/>
  <c r="S137" i="225"/>
  <c r="R137" i="225"/>
  <c r="Q137" i="225"/>
  <c r="P137" i="225"/>
  <c r="O137" i="225"/>
  <c r="N137" i="225"/>
  <c r="M137" i="225"/>
  <c r="L137" i="225"/>
  <c r="K137" i="225"/>
  <c r="J137" i="225"/>
  <c r="I137" i="225"/>
  <c r="H137" i="225"/>
  <c r="F137" i="225"/>
  <c r="D137" i="225"/>
  <c r="A137" i="225"/>
  <c r="T136" i="225"/>
  <c r="F136" i="225"/>
  <c r="D136" i="225"/>
  <c r="C136" i="225"/>
  <c r="A136" i="225"/>
  <c r="T135" i="225"/>
  <c r="F135" i="225"/>
  <c r="D135" i="225"/>
  <c r="A135" i="225"/>
  <c r="T134" i="225"/>
  <c r="S134" i="225"/>
  <c r="R134" i="225"/>
  <c r="Q134" i="225"/>
  <c r="P134" i="225"/>
  <c r="O134" i="225"/>
  <c r="N134" i="225"/>
  <c r="M134" i="225"/>
  <c r="L134" i="225"/>
  <c r="K134" i="225"/>
  <c r="J134" i="225"/>
  <c r="I134" i="225"/>
  <c r="H134" i="225"/>
  <c r="F134" i="225"/>
  <c r="D134" i="225"/>
  <c r="A134" i="225"/>
  <c r="T133" i="225"/>
  <c r="F133" i="225"/>
  <c r="D133" i="225"/>
  <c r="A133" i="225"/>
  <c r="T132" i="225"/>
  <c r="S132" i="225"/>
  <c r="R132" i="225"/>
  <c r="Q132" i="225"/>
  <c r="P132" i="225"/>
  <c r="O132" i="225"/>
  <c r="N132" i="225"/>
  <c r="M132" i="225"/>
  <c r="L132" i="225"/>
  <c r="K132" i="225"/>
  <c r="J132" i="225"/>
  <c r="I132" i="225"/>
  <c r="H132" i="225"/>
  <c r="F132" i="225"/>
  <c r="D132" i="225"/>
  <c r="A132" i="225"/>
  <c r="T131" i="225"/>
  <c r="F131" i="225"/>
  <c r="D131" i="225"/>
  <c r="A131" i="225"/>
  <c r="T130" i="225"/>
  <c r="F130" i="225"/>
  <c r="D130" i="225"/>
  <c r="A130" i="225"/>
  <c r="T129" i="225"/>
  <c r="F129" i="225"/>
  <c r="D129" i="225"/>
  <c r="A129" i="225"/>
  <c r="T128" i="225"/>
  <c r="F128" i="225"/>
  <c r="D128" i="225"/>
  <c r="A128" i="225"/>
  <c r="T127" i="225"/>
  <c r="S127" i="225"/>
  <c r="R127" i="225"/>
  <c r="Q127" i="225"/>
  <c r="P127" i="225"/>
  <c r="O127" i="225"/>
  <c r="N127" i="225"/>
  <c r="M127" i="225"/>
  <c r="L127" i="225"/>
  <c r="K127" i="225"/>
  <c r="J127" i="225"/>
  <c r="I127" i="225"/>
  <c r="H127" i="225"/>
  <c r="F127" i="225"/>
  <c r="D127" i="225"/>
  <c r="B127" i="225"/>
  <c r="A127" i="225"/>
  <c r="T126" i="225"/>
  <c r="F126" i="225"/>
  <c r="D126" i="225"/>
  <c r="A126" i="225"/>
  <c r="T125" i="225"/>
  <c r="F125" i="225"/>
  <c r="D125" i="225"/>
  <c r="C125" i="225"/>
  <c r="B125" i="225"/>
  <c r="T124" i="225"/>
  <c r="F124" i="225"/>
  <c r="D124" i="225"/>
  <c r="C124" i="225"/>
  <c r="B124" i="225"/>
  <c r="T123" i="225"/>
  <c r="F123" i="225"/>
  <c r="D123" i="225"/>
  <c r="C123" i="225"/>
  <c r="B123" i="225"/>
  <c r="T122" i="225"/>
  <c r="S122" i="225"/>
  <c r="R122" i="225"/>
  <c r="Q122" i="225"/>
  <c r="P122" i="225"/>
  <c r="O122" i="225"/>
  <c r="N122" i="225"/>
  <c r="M122" i="225"/>
  <c r="L122" i="225"/>
  <c r="K122" i="225"/>
  <c r="J122" i="225"/>
  <c r="I122" i="225"/>
  <c r="H122" i="225"/>
  <c r="F122" i="225"/>
  <c r="D122" i="225"/>
  <c r="A122" i="225"/>
  <c r="T121" i="225"/>
  <c r="F121" i="225"/>
  <c r="D121" i="225"/>
  <c r="C121" i="225"/>
  <c r="B121" i="225"/>
  <c r="T120" i="225"/>
  <c r="F120" i="225"/>
  <c r="D120" i="225"/>
  <c r="C120" i="225"/>
  <c r="B120" i="225"/>
  <c r="T119" i="225"/>
  <c r="F119" i="225"/>
  <c r="D119" i="225"/>
  <c r="C119" i="225"/>
  <c r="B119" i="225"/>
  <c r="T118" i="225"/>
  <c r="S118" i="225"/>
  <c r="R118" i="225"/>
  <c r="Q118" i="225"/>
  <c r="P118" i="225"/>
  <c r="O118" i="225"/>
  <c r="N118" i="225"/>
  <c r="M118" i="225"/>
  <c r="L118" i="225"/>
  <c r="K118" i="225"/>
  <c r="J118" i="225"/>
  <c r="I118" i="225"/>
  <c r="H118" i="225"/>
  <c r="F118" i="225"/>
  <c r="D118" i="225"/>
  <c r="A118" i="225"/>
  <c r="T117" i="225"/>
  <c r="F117" i="225"/>
  <c r="D117" i="225"/>
  <c r="A117" i="225"/>
  <c r="T116" i="225"/>
  <c r="F116" i="225"/>
  <c r="D116" i="225"/>
  <c r="C116" i="225"/>
  <c r="B116" i="225"/>
  <c r="T115" i="225"/>
  <c r="F115" i="225"/>
  <c r="D115" i="225"/>
  <c r="C115" i="225"/>
  <c r="B115" i="225"/>
  <c r="T114" i="225"/>
  <c r="F114" i="225"/>
  <c r="D114" i="225"/>
  <c r="C114" i="225"/>
  <c r="B114" i="225"/>
  <c r="T113" i="225"/>
  <c r="S113" i="225"/>
  <c r="R113" i="225"/>
  <c r="Q113" i="225"/>
  <c r="P113" i="225"/>
  <c r="O113" i="225"/>
  <c r="N113" i="225"/>
  <c r="M113" i="225"/>
  <c r="L113" i="225"/>
  <c r="K113" i="225"/>
  <c r="J113" i="225"/>
  <c r="I113" i="225"/>
  <c r="H113" i="225"/>
  <c r="F113" i="225"/>
  <c r="D113" i="225"/>
  <c r="A113" i="225"/>
  <c r="T112" i="225"/>
  <c r="F112" i="225"/>
  <c r="D112" i="225"/>
  <c r="C112" i="225"/>
  <c r="B112" i="225"/>
  <c r="T111" i="225"/>
  <c r="F111" i="225"/>
  <c r="D111" i="225"/>
  <c r="C111" i="225"/>
  <c r="B111" i="225"/>
  <c r="T110" i="225"/>
  <c r="F110" i="225"/>
  <c r="D110" i="225"/>
  <c r="C110" i="225"/>
  <c r="B110" i="225"/>
  <c r="T109" i="225"/>
  <c r="S109" i="225"/>
  <c r="R109" i="225"/>
  <c r="Q109" i="225"/>
  <c r="P109" i="225"/>
  <c r="O109" i="225"/>
  <c r="N109" i="225"/>
  <c r="M109" i="225"/>
  <c r="L109" i="225"/>
  <c r="K109" i="225"/>
  <c r="J109" i="225"/>
  <c r="I109" i="225"/>
  <c r="H109" i="225"/>
  <c r="F109" i="225"/>
  <c r="D109" i="225"/>
  <c r="A109" i="225"/>
  <c r="T108" i="225"/>
  <c r="F108" i="225"/>
  <c r="D108" i="225"/>
  <c r="C108" i="225"/>
  <c r="B108" i="225"/>
  <c r="T107" i="225"/>
  <c r="F107" i="225"/>
  <c r="D107" i="225"/>
  <c r="C107" i="225"/>
  <c r="B107" i="225"/>
  <c r="T106" i="225"/>
  <c r="F106" i="225"/>
  <c r="D106" i="225"/>
  <c r="C106" i="225"/>
  <c r="B106" i="225"/>
  <c r="T105" i="225"/>
  <c r="S105" i="225"/>
  <c r="R105" i="225"/>
  <c r="Q105" i="225"/>
  <c r="P105" i="225"/>
  <c r="O105" i="225"/>
  <c r="N105" i="225"/>
  <c r="M105" i="225"/>
  <c r="L105" i="225"/>
  <c r="K105" i="225"/>
  <c r="J105" i="225"/>
  <c r="I105" i="225"/>
  <c r="H105" i="225"/>
  <c r="F105" i="225"/>
  <c r="D105" i="225"/>
  <c r="A105" i="225"/>
  <c r="T104" i="225"/>
  <c r="F104" i="225"/>
  <c r="D104" i="225"/>
  <c r="C104" i="225"/>
  <c r="B104" i="225"/>
  <c r="T103" i="225"/>
  <c r="F103" i="225"/>
  <c r="D103" i="225"/>
  <c r="C103" i="225"/>
  <c r="B103" i="225"/>
  <c r="T102" i="225"/>
  <c r="F102" i="225"/>
  <c r="D102" i="225"/>
  <c r="C102" i="225"/>
  <c r="B102" i="225"/>
  <c r="T101" i="225"/>
  <c r="S101" i="225"/>
  <c r="R101" i="225"/>
  <c r="Q101" i="225"/>
  <c r="P101" i="225"/>
  <c r="O101" i="225"/>
  <c r="N101" i="225"/>
  <c r="M101" i="225"/>
  <c r="L101" i="225"/>
  <c r="K101" i="225"/>
  <c r="J101" i="225"/>
  <c r="I101" i="225"/>
  <c r="H101" i="225"/>
  <c r="F101" i="225"/>
  <c r="D101" i="225"/>
  <c r="A101" i="225"/>
  <c r="T100" i="225"/>
  <c r="F100" i="225"/>
  <c r="D100" i="225"/>
  <c r="C100" i="225"/>
  <c r="B100" i="225"/>
  <c r="T99" i="225"/>
  <c r="F99" i="225"/>
  <c r="D99" i="225"/>
  <c r="C99" i="225"/>
  <c r="B99" i="225"/>
  <c r="T98" i="225"/>
  <c r="F98" i="225"/>
  <c r="D98" i="225"/>
  <c r="C98" i="225"/>
  <c r="B98" i="225"/>
  <c r="T97" i="225"/>
  <c r="S97" i="225"/>
  <c r="R97" i="225"/>
  <c r="Q97" i="225"/>
  <c r="P97" i="225"/>
  <c r="O97" i="225"/>
  <c r="N97" i="225"/>
  <c r="M97" i="225"/>
  <c r="L97" i="225"/>
  <c r="K97" i="225"/>
  <c r="J97" i="225"/>
  <c r="I97" i="225"/>
  <c r="H97" i="225"/>
  <c r="F97" i="225"/>
  <c r="D97" i="225"/>
  <c r="A97" i="225"/>
  <c r="T96" i="225"/>
  <c r="F96" i="225"/>
  <c r="D96" i="225"/>
  <c r="C96" i="225"/>
  <c r="B96" i="225"/>
  <c r="T95" i="225"/>
  <c r="F95" i="225"/>
  <c r="D95" i="225"/>
  <c r="C95" i="225"/>
  <c r="B95" i="225"/>
  <c r="T94" i="225"/>
  <c r="F94" i="225"/>
  <c r="D94" i="225"/>
  <c r="C94" i="225"/>
  <c r="B94" i="225"/>
  <c r="T93" i="225"/>
  <c r="S93" i="225"/>
  <c r="R93" i="225"/>
  <c r="Q93" i="225"/>
  <c r="P93" i="225"/>
  <c r="O93" i="225"/>
  <c r="N93" i="225"/>
  <c r="M93" i="225"/>
  <c r="L93" i="225"/>
  <c r="K93" i="225"/>
  <c r="J93" i="225"/>
  <c r="I93" i="225"/>
  <c r="H93" i="225"/>
  <c r="F93" i="225"/>
  <c r="D93" i="225"/>
  <c r="A93" i="225"/>
  <c r="T92" i="225"/>
  <c r="S92" i="225"/>
  <c r="R92" i="225"/>
  <c r="Q92" i="225"/>
  <c r="P92" i="225"/>
  <c r="O92" i="225"/>
  <c r="N92" i="225"/>
  <c r="M92" i="225"/>
  <c r="L92" i="225"/>
  <c r="K92" i="225"/>
  <c r="J92" i="225"/>
  <c r="I92" i="225"/>
  <c r="H92" i="225"/>
  <c r="F92" i="225"/>
  <c r="D92" i="225"/>
  <c r="B92" i="225"/>
  <c r="A92" i="225"/>
  <c r="T91" i="225"/>
  <c r="F91" i="225"/>
  <c r="D91" i="225"/>
  <c r="A91" i="225"/>
  <c r="T90" i="225"/>
  <c r="F90" i="225"/>
  <c r="D90" i="225"/>
  <c r="A90" i="225"/>
  <c r="T89" i="225"/>
  <c r="F89" i="225"/>
  <c r="D89" i="225"/>
  <c r="A89" i="225"/>
  <c r="T88" i="225"/>
  <c r="F88" i="225"/>
  <c r="D88" i="225"/>
  <c r="A88" i="225"/>
  <c r="T87" i="225"/>
  <c r="F87" i="225"/>
  <c r="D87" i="225"/>
  <c r="A87" i="225"/>
  <c r="T86" i="225"/>
  <c r="F86" i="225"/>
  <c r="D86" i="225"/>
  <c r="A86" i="225"/>
  <c r="T85" i="225"/>
  <c r="F85" i="225"/>
  <c r="D85" i="225"/>
  <c r="A85" i="225"/>
  <c r="T84" i="225"/>
  <c r="F84" i="225"/>
  <c r="D84" i="225"/>
  <c r="A84" i="225"/>
  <c r="T83" i="225"/>
  <c r="F83" i="225"/>
  <c r="D83" i="225"/>
  <c r="A83" i="225"/>
  <c r="T82" i="225"/>
  <c r="F82" i="225"/>
  <c r="D82" i="225"/>
  <c r="A82" i="225"/>
  <c r="T81" i="225"/>
  <c r="F81" i="225"/>
  <c r="D81" i="225"/>
  <c r="A81" i="225"/>
  <c r="T80" i="225"/>
  <c r="S80" i="225"/>
  <c r="R80" i="225"/>
  <c r="Q80" i="225"/>
  <c r="P80" i="225"/>
  <c r="O80" i="225"/>
  <c r="N80" i="225"/>
  <c r="M80" i="225"/>
  <c r="L80" i="225"/>
  <c r="K80" i="225"/>
  <c r="J80" i="225"/>
  <c r="I80" i="225"/>
  <c r="H80" i="225"/>
  <c r="F80" i="225"/>
  <c r="D80" i="225"/>
  <c r="A80" i="225"/>
  <c r="T79" i="225"/>
  <c r="F79" i="225"/>
  <c r="D79" i="225"/>
  <c r="B79" i="225"/>
  <c r="A79" i="225"/>
  <c r="T78" i="225"/>
  <c r="F78" i="225"/>
  <c r="D78" i="225"/>
  <c r="C78" i="225"/>
  <c r="B78" i="225"/>
  <c r="A78" i="225"/>
  <c r="T77" i="225"/>
  <c r="F77" i="225"/>
  <c r="D77" i="225"/>
  <c r="C77" i="225"/>
  <c r="B77" i="225"/>
  <c r="A77" i="225"/>
  <c r="T76" i="225"/>
  <c r="F76" i="225"/>
  <c r="D76" i="225"/>
  <c r="C76" i="225"/>
  <c r="B76" i="225"/>
  <c r="A76" i="225"/>
  <c r="T75" i="225"/>
  <c r="S75" i="225"/>
  <c r="R75" i="225"/>
  <c r="Q75" i="225"/>
  <c r="P75" i="225"/>
  <c r="O75" i="225"/>
  <c r="N75" i="225"/>
  <c r="M75" i="225"/>
  <c r="L75" i="225"/>
  <c r="K75" i="225"/>
  <c r="J75" i="225"/>
  <c r="I75" i="225"/>
  <c r="H75" i="225"/>
  <c r="F75" i="225"/>
  <c r="D75" i="225"/>
  <c r="A75" i="225"/>
  <c r="T74" i="225"/>
  <c r="F74" i="225"/>
  <c r="D74" i="225"/>
  <c r="A74" i="225"/>
  <c r="T73" i="225"/>
  <c r="F73" i="225"/>
  <c r="D73" i="225"/>
  <c r="A73" i="225"/>
  <c r="T72" i="225"/>
  <c r="F72" i="225"/>
  <c r="D72" i="225"/>
  <c r="A72" i="225"/>
  <c r="T71" i="225"/>
  <c r="F71" i="225"/>
  <c r="D71" i="225"/>
  <c r="A71" i="225"/>
  <c r="T70" i="225"/>
  <c r="F70" i="225"/>
  <c r="D70" i="225"/>
  <c r="A70" i="225"/>
  <c r="T69" i="225"/>
  <c r="F69" i="225"/>
  <c r="D69" i="225"/>
  <c r="A69" i="225"/>
  <c r="T68" i="225"/>
  <c r="F68" i="225"/>
  <c r="D68" i="225"/>
  <c r="A68" i="225"/>
  <c r="T67" i="225"/>
  <c r="F67" i="225"/>
  <c r="D67" i="225"/>
  <c r="A67" i="225"/>
  <c r="T66" i="225"/>
  <c r="F66" i="225"/>
  <c r="D66" i="225"/>
  <c r="A66" i="225"/>
  <c r="T65" i="225"/>
  <c r="F65" i="225"/>
  <c r="D65" i="225"/>
  <c r="A65" i="225"/>
  <c r="T64" i="225"/>
  <c r="F64" i="225"/>
  <c r="D64" i="225"/>
  <c r="A64" i="225"/>
  <c r="T63" i="225"/>
  <c r="S63" i="225"/>
  <c r="R63" i="225"/>
  <c r="Q63" i="225"/>
  <c r="P63" i="225"/>
  <c r="O63" i="225"/>
  <c r="N63" i="225"/>
  <c r="M63" i="225"/>
  <c r="L63" i="225"/>
  <c r="K63" i="225"/>
  <c r="J63" i="225"/>
  <c r="I63" i="225"/>
  <c r="H63" i="225"/>
  <c r="F63" i="225"/>
  <c r="D63" i="225"/>
  <c r="A63" i="225"/>
  <c r="T62" i="225"/>
  <c r="S62" i="225"/>
  <c r="R62" i="225"/>
  <c r="Q62" i="225"/>
  <c r="P62" i="225"/>
  <c r="O62" i="225"/>
  <c r="N62" i="225"/>
  <c r="M62" i="225"/>
  <c r="L62" i="225"/>
  <c r="K62" i="225"/>
  <c r="J62" i="225"/>
  <c r="I62" i="225"/>
  <c r="H62" i="225"/>
  <c r="F62" i="225"/>
  <c r="D62" i="225"/>
  <c r="A62" i="225"/>
  <c r="T61" i="225"/>
  <c r="F61" i="225"/>
  <c r="D61" i="225"/>
  <c r="A61" i="225"/>
  <c r="T60" i="225"/>
  <c r="F60" i="225"/>
  <c r="D60" i="225"/>
  <c r="A60" i="225"/>
  <c r="T59" i="225"/>
  <c r="F59" i="225"/>
  <c r="D59" i="225"/>
  <c r="A59" i="225"/>
  <c r="T58" i="225"/>
  <c r="F58" i="225"/>
  <c r="D58" i="225"/>
  <c r="A58" i="225"/>
  <c r="T57" i="225"/>
  <c r="F57" i="225"/>
  <c r="D57" i="225"/>
  <c r="A57" i="225"/>
  <c r="T56" i="225"/>
  <c r="S56" i="225"/>
  <c r="R56" i="225"/>
  <c r="Q56" i="225"/>
  <c r="P56" i="225"/>
  <c r="O56" i="225"/>
  <c r="N56" i="225"/>
  <c r="M56" i="225"/>
  <c r="L56" i="225"/>
  <c r="K56" i="225"/>
  <c r="J56" i="225"/>
  <c r="I56" i="225"/>
  <c r="H56" i="225"/>
  <c r="F56" i="225"/>
  <c r="D56" i="225"/>
  <c r="A56" i="225"/>
  <c r="T55" i="225"/>
  <c r="S55" i="225"/>
  <c r="R55" i="225"/>
  <c r="Q55" i="225"/>
  <c r="P55" i="225"/>
  <c r="O55" i="225"/>
  <c r="N55" i="225"/>
  <c r="M55" i="225"/>
  <c r="L55" i="225"/>
  <c r="K55" i="225"/>
  <c r="J55" i="225"/>
  <c r="I55" i="225"/>
  <c r="H55" i="225"/>
  <c r="F55" i="225"/>
  <c r="D55" i="225"/>
  <c r="A55" i="225"/>
  <c r="T54" i="225"/>
  <c r="F54" i="225"/>
  <c r="D54" i="225"/>
  <c r="A54" i="225"/>
  <c r="T53" i="225"/>
  <c r="F53" i="225"/>
  <c r="D53" i="225"/>
  <c r="A53" i="225"/>
  <c r="T52" i="225"/>
  <c r="F52" i="225"/>
  <c r="D52" i="225"/>
  <c r="A52" i="225"/>
  <c r="T51" i="225"/>
  <c r="F51" i="225"/>
  <c r="D51" i="225"/>
  <c r="A51" i="225"/>
  <c r="T50" i="225"/>
  <c r="F50" i="225"/>
  <c r="D50" i="225"/>
  <c r="C50" i="225"/>
  <c r="B50" i="225"/>
  <c r="A50" i="225"/>
  <c r="T49" i="225"/>
  <c r="F49" i="225"/>
  <c r="D49" i="225"/>
  <c r="C49" i="225"/>
  <c r="B49" i="225"/>
  <c r="A49" i="225"/>
  <c r="T48" i="225"/>
  <c r="F48" i="225"/>
  <c r="D48" i="225"/>
  <c r="C48" i="225"/>
  <c r="B48" i="225"/>
  <c r="A48" i="225"/>
  <c r="T47" i="225"/>
  <c r="S47" i="225"/>
  <c r="R47" i="225"/>
  <c r="Q47" i="225"/>
  <c r="P47" i="225"/>
  <c r="O47" i="225"/>
  <c r="N47" i="225"/>
  <c r="M47" i="225"/>
  <c r="L47" i="225"/>
  <c r="K47" i="225"/>
  <c r="J47" i="225"/>
  <c r="I47" i="225"/>
  <c r="H47" i="225"/>
  <c r="F47" i="225"/>
  <c r="D47" i="225"/>
  <c r="A47" i="225"/>
  <c r="T46" i="225"/>
  <c r="F46" i="225"/>
  <c r="D46" i="225"/>
  <c r="A46" i="225"/>
  <c r="T45" i="225"/>
  <c r="F45" i="225"/>
  <c r="D45" i="225"/>
  <c r="A45" i="225"/>
  <c r="S44" i="225"/>
  <c r="S153" i="225" s="1"/>
  <c r="R44" i="225"/>
  <c r="R153" i="225" s="1"/>
  <c r="Q44" i="225"/>
  <c r="Q153" i="225" s="1"/>
  <c r="P44" i="225"/>
  <c r="P153" i="225" s="1"/>
  <c r="O44" i="225"/>
  <c r="O153" i="225" s="1"/>
  <c r="N44" i="225"/>
  <c r="M44" i="225"/>
  <c r="L44" i="225"/>
  <c r="K44" i="225"/>
  <c r="J44" i="225"/>
  <c r="I44" i="225"/>
  <c r="H44" i="225"/>
  <c r="H153" i="225" s="1"/>
  <c r="F153" i="225" s="1"/>
  <c r="D44" i="225"/>
  <c r="A44" i="225"/>
  <c r="C43" i="225"/>
  <c r="B43" i="225"/>
  <c r="A43" i="225"/>
  <c r="D42" i="225"/>
  <c r="C42" i="225"/>
  <c r="B42" i="225"/>
  <c r="A42" i="225"/>
  <c r="T41" i="225"/>
  <c r="F41" i="225"/>
  <c r="D41" i="225"/>
  <c r="A41" i="225"/>
  <c r="T40" i="225"/>
  <c r="F40" i="225"/>
  <c r="D40" i="225"/>
  <c r="A40" i="225"/>
  <c r="T39" i="225"/>
  <c r="F39" i="225"/>
  <c r="D39" i="225"/>
  <c r="A39" i="225"/>
  <c r="T38" i="225"/>
  <c r="S38" i="225"/>
  <c r="R38" i="225"/>
  <c r="Q38" i="225"/>
  <c r="P38" i="225"/>
  <c r="O38" i="225"/>
  <c r="N38" i="225"/>
  <c r="M38" i="225"/>
  <c r="L38" i="225"/>
  <c r="K38" i="225"/>
  <c r="J38" i="225"/>
  <c r="I38" i="225"/>
  <c r="H38" i="225"/>
  <c r="F38" i="225"/>
  <c r="D38" i="225"/>
  <c r="A38" i="225"/>
  <c r="T37" i="225"/>
  <c r="F37" i="225"/>
  <c r="D37" i="225"/>
  <c r="A37" i="225"/>
  <c r="T36" i="225"/>
  <c r="F36" i="225"/>
  <c r="D36" i="225"/>
  <c r="A36" i="225"/>
  <c r="T35" i="225"/>
  <c r="S35" i="225"/>
  <c r="R35" i="225"/>
  <c r="Q35" i="225"/>
  <c r="P35" i="225"/>
  <c r="O35" i="225"/>
  <c r="N35" i="225"/>
  <c r="M35" i="225"/>
  <c r="L35" i="225"/>
  <c r="K35" i="225"/>
  <c r="J35" i="225"/>
  <c r="I35" i="225"/>
  <c r="H35" i="225"/>
  <c r="F35" i="225"/>
  <c r="D35" i="225"/>
  <c r="A35" i="225"/>
  <c r="T34" i="225"/>
  <c r="F34" i="225"/>
  <c r="D34" i="225"/>
  <c r="A34" i="225"/>
  <c r="T33" i="225"/>
  <c r="S33" i="225"/>
  <c r="R33" i="225"/>
  <c r="Q33" i="225"/>
  <c r="P33" i="225"/>
  <c r="O33" i="225"/>
  <c r="N33" i="225"/>
  <c r="M33" i="225"/>
  <c r="L33" i="225"/>
  <c r="K33" i="225"/>
  <c r="J33" i="225"/>
  <c r="I33" i="225"/>
  <c r="H33" i="225"/>
  <c r="F33" i="225"/>
  <c r="D33" i="225"/>
  <c r="A33" i="225"/>
  <c r="T32" i="225"/>
  <c r="F32" i="225"/>
  <c r="D32" i="225"/>
  <c r="A32" i="225"/>
  <c r="T31" i="225"/>
  <c r="F31" i="225"/>
  <c r="D31" i="225"/>
  <c r="A31" i="225"/>
  <c r="T30" i="225"/>
  <c r="F30" i="225"/>
  <c r="D30" i="225"/>
  <c r="A30" i="225"/>
  <c r="T29" i="225"/>
  <c r="F29" i="225"/>
  <c r="D29" i="225"/>
  <c r="A29" i="225"/>
  <c r="T28" i="225"/>
  <c r="F28" i="225"/>
  <c r="D28" i="225"/>
  <c r="A28" i="225"/>
  <c r="T27" i="225"/>
  <c r="F27" i="225"/>
  <c r="D27" i="225"/>
  <c r="A27" i="225"/>
  <c r="T26" i="225"/>
  <c r="F26" i="225"/>
  <c r="D26" i="225"/>
  <c r="A26" i="225"/>
  <c r="T25" i="225"/>
  <c r="F25" i="225"/>
  <c r="D25" i="225"/>
  <c r="A25" i="225"/>
  <c r="T24" i="225"/>
  <c r="F24" i="225"/>
  <c r="D24" i="225"/>
  <c r="A24" i="225"/>
  <c r="S23" i="225"/>
  <c r="S42" i="225" s="1"/>
  <c r="R23" i="225"/>
  <c r="R42" i="225" s="1"/>
  <c r="Q23" i="225"/>
  <c r="Q42" i="225" s="1"/>
  <c r="P23" i="225"/>
  <c r="P42" i="225" s="1"/>
  <c r="O23" i="225"/>
  <c r="O42" i="225" s="1"/>
  <c r="N23" i="225"/>
  <c r="N42" i="225" s="1"/>
  <c r="M23" i="225"/>
  <c r="M42" i="225" s="1"/>
  <c r="L23" i="225"/>
  <c r="L42" i="225" s="1"/>
  <c r="K23" i="225"/>
  <c r="K42" i="225" s="1"/>
  <c r="J23" i="225"/>
  <c r="J42" i="225" s="1"/>
  <c r="I23" i="225"/>
  <c r="I42" i="225" s="1"/>
  <c r="H23" i="225"/>
  <c r="D23" i="225"/>
  <c r="A23" i="225"/>
  <c r="B22" i="225"/>
  <c r="A22" i="225"/>
  <c r="C21" i="225"/>
  <c r="B21" i="225"/>
  <c r="A21" i="225"/>
  <c r="C20" i="225"/>
  <c r="B20" i="225"/>
  <c r="A20" i="225"/>
  <c r="S19" i="225"/>
  <c r="R19" i="225"/>
  <c r="Q19" i="225"/>
  <c r="P19" i="225"/>
  <c r="O19" i="225"/>
  <c r="N19" i="225"/>
  <c r="M19" i="225"/>
  <c r="L19" i="225"/>
  <c r="K19" i="225"/>
  <c r="J19" i="225"/>
  <c r="I19" i="225"/>
  <c r="H19" i="225"/>
  <c r="F19" i="225"/>
  <c r="D19" i="225"/>
  <c r="C19" i="225"/>
  <c r="B19" i="225"/>
  <c r="A19" i="225"/>
  <c r="T18" i="225"/>
  <c r="F18" i="225"/>
  <c r="D18" i="225"/>
  <c r="A18" i="225"/>
  <c r="T17" i="225"/>
  <c r="F17" i="225"/>
  <c r="D17" i="225"/>
  <c r="A17" i="225"/>
  <c r="T16" i="225"/>
  <c r="F16" i="225"/>
  <c r="D16" i="225"/>
  <c r="A16" i="225"/>
  <c r="T15" i="225"/>
  <c r="F15" i="225"/>
  <c r="D15" i="225"/>
  <c r="A15" i="225"/>
  <c r="T14" i="225"/>
  <c r="F14" i="225"/>
  <c r="D14" i="225"/>
  <c r="A14" i="225"/>
  <c r="C13" i="225"/>
  <c r="B13" i="225"/>
  <c r="A13" i="225"/>
  <c r="S12" i="225"/>
  <c r="R12" i="225"/>
  <c r="Q12" i="225"/>
  <c r="P12" i="225"/>
  <c r="O12" i="225"/>
  <c r="N12" i="225"/>
  <c r="M12" i="225"/>
  <c r="L12" i="225"/>
  <c r="K12" i="225"/>
  <c r="J12" i="225"/>
  <c r="I12" i="225"/>
  <c r="H12" i="225"/>
  <c r="F12" i="225"/>
  <c r="D12" i="225"/>
  <c r="C12" i="225"/>
  <c r="B12" i="225"/>
  <c r="A12" i="225"/>
  <c r="T11" i="225"/>
  <c r="F11" i="225"/>
  <c r="D11" i="225"/>
  <c r="C11" i="225"/>
  <c r="B11" i="225"/>
  <c r="A11" i="225"/>
  <c r="T10" i="225"/>
  <c r="F10" i="225"/>
  <c r="D10" i="225"/>
  <c r="C10" i="225"/>
  <c r="B10" i="225"/>
  <c r="A10" i="225"/>
  <c r="T9" i="225"/>
  <c r="S9" i="225"/>
  <c r="R9" i="225"/>
  <c r="Q9" i="225"/>
  <c r="P9" i="225"/>
  <c r="O9" i="225"/>
  <c r="N9" i="225"/>
  <c r="M9" i="225"/>
  <c r="L9" i="225"/>
  <c r="K9" i="225"/>
  <c r="J9" i="225"/>
  <c r="I9" i="225"/>
  <c r="H9" i="225"/>
  <c r="F9" i="225"/>
  <c r="D9" i="225"/>
  <c r="B9" i="225"/>
  <c r="A9" i="225"/>
  <c r="T8" i="225"/>
  <c r="F8" i="225"/>
  <c r="D8" i="225"/>
  <c r="B8" i="225"/>
  <c r="A8" i="225"/>
  <c r="B7" i="225"/>
  <c r="A7" i="225"/>
  <c r="C7" i="225" s="1"/>
  <c r="F6" i="225"/>
  <c r="D6" i="225"/>
  <c r="A219" i="223"/>
  <c r="A218" i="223"/>
  <c r="A217" i="223"/>
  <c r="A216" i="223"/>
  <c r="A215" i="223"/>
  <c r="A214" i="223"/>
  <c r="A213" i="223"/>
  <c r="A212" i="223"/>
  <c r="A211" i="223"/>
  <c r="A210" i="223"/>
  <c r="A209" i="223"/>
  <c r="C208" i="223"/>
  <c r="A208" i="223"/>
  <c r="D207" i="223"/>
  <c r="C207" i="223"/>
  <c r="B207" i="223"/>
  <c r="A207" i="223"/>
  <c r="C206" i="223"/>
  <c r="B206" i="223"/>
  <c r="A206" i="223"/>
  <c r="T205" i="223"/>
  <c r="F205" i="223"/>
  <c r="D205" i="223"/>
  <c r="A205" i="223"/>
  <c r="T204" i="223"/>
  <c r="F204" i="223"/>
  <c r="D204" i="223"/>
  <c r="A204" i="223"/>
  <c r="T203" i="223"/>
  <c r="F203" i="223"/>
  <c r="D203" i="223"/>
  <c r="A203" i="223"/>
  <c r="C202" i="223"/>
  <c r="B202" i="223"/>
  <c r="A202" i="223"/>
  <c r="D201" i="223"/>
  <c r="C201" i="223"/>
  <c r="B201" i="223"/>
  <c r="A201" i="223"/>
  <c r="C200" i="223"/>
  <c r="B200" i="223"/>
  <c r="A200" i="223"/>
  <c r="T199" i="223"/>
  <c r="S199" i="223"/>
  <c r="R199" i="223"/>
  <c r="Q199" i="223"/>
  <c r="P199" i="223"/>
  <c r="O199" i="223"/>
  <c r="N199" i="223"/>
  <c r="M199" i="223"/>
  <c r="L199" i="223"/>
  <c r="K199" i="223"/>
  <c r="J199" i="223"/>
  <c r="I199" i="223"/>
  <c r="H199" i="223"/>
  <c r="F199" i="223"/>
  <c r="D199" i="223"/>
  <c r="C199" i="223"/>
  <c r="B199" i="223"/>
  <c r="A199" i="223"/>
  <c r="T198" i="223"/>
  <c r="F198" i="223"/>
  <c r="D198" i="223"/>
  <c r="A198" i="223"/>
  <c r="T197" i="223"/>
  <c r="F197" i="223"/>
  <c r="D197" i="223"/>
  <c r="A197" i="223"/>
  <c r="T196" i="223"/>
  <c r="F196" i="223"/>
  <c r="D196" i="223"/>
  <c r="A196" i="223"/>
  <c r="T195" i="223"/>
  <c r="S195" i="223"/>
  <c r="R195" i="223"/>
  <c r="Q195" i="223"/>
  <c r="P195" i="223"/>
  <c r="O195" i="223"/>
  <c r="N195" i="223"/>
  <c r="M195" i="223"/>
  <c r="L195" i="223"/>
  <c r="K195" i="223"/>
  <c r="J195" i="223"/>
  <c r="I195" i="223"/>
  <c r="H195" i="223"/>
  <c r="F195" i="223"/>
  <c r="D195" i="223"/>
  <c r="A195" i="223"/>
  <c r="T194" i="223"/>
  <c r="F194" i="223"/>
  <c r="D194" i="223"/>
  <c r="A194" i="223"/>
  <c r="T193" i="223"/>
  <c r="F193" i="223"/>
  <c r="D193" i="223"/>
  <c r="A193" i="223"/>
  <c r="T192" i="223"/>
  <c r="F192" i="223"/>
  <c r="D192" i="223"/>
  <c r="A192" i="223"/>
  <c r="T191" i="223"/>
  <c r="F191" i="223"/>
  <c r="D191" i="223"/>
  <c r="A191" i="223"/>
  <c r="T190" i="223"/>
  <c r="F190" i="223"/>
  <c r="D190" i="223"/>
  <c r="A190" i="223"/>
  <c r="T189" i="223"/>
  <c r="F189" i="223"/>
  <c r="D189" i="223"/>
  <c r="A189" i="223"/>
  <c r="T188" i="223"/>
  <c r="F188" i="223"/>
  <c r="D188" i="223"/>
  <c r="A188" i="223"/>
  <c r="T187" i="223"/>
  <c r="S187" i="223"/>
  <c r="R187" i="223"/>
  <c r="Q187" i="223"/>
  <c r="P187" i="223"/>
  <c r="O187" i="223"/>
  <c r="N187" i="223"/>
  <c r="M187" i="223"/>
  <c r="L187" i="223"/>
  <c r="K187" i="223"/>
  <c r="J187" i="223"/>
  <c r="I187" i="223"/>
  <c r="H187" i="223"/>
  <c r="F187" i="223"/>
  <c r="D187" i="223"/>
  <c r="A187" i="223"/>
  <c r="C186" i="223"/>
  <c r="B186" i="223"/>
  <c r="A186" i="223"/>
  <c r="D185" i="223"/>
  <c r="C185" i="223"/>
  <c r="B185" i="223"/>
  <c r="A185" i="223"/>
  <c r="T184" i="223"/>
  <c r="C184" i="223"/>
  <c r="B184" i="223"/>
  <c r="A184" i="223"/>
  <c r="T183" i="223"/>
  <c r="S183" i="223"/>
  <c r="R183" i="223"/>
  <c r="Q183" i="223"/>
  <c r="P183" i="223"/>
  <c r="O183" i="223"/>
  <c r="N183" i="223"/>
  <c r="M183" i="223"/>
  <c r="L183" i="223"/>
  <c r="K183" i="223"/>
  <c r="J183" i="223"/>
  <c r="I183" i="223"/>
  <c r="H183" i="223"/>
  <c r="F183" i="223"/>
  <c r="D183" i="223"/>
  <c r="C183" i="223"/>
  <c r="B183" i="223"/>
  <c r="A183" i="223"/>
  <c r="T182" i="223"/>
  <c r="F182" i="223"/>
  <c r="D182" i="223"/>
  <c r="A182" i="223"/>
  <c r="T181" i="223"/>
  <c r="F181" i="223"/>
  <c r="D181" i="223"/>
  <c r="A181" i="223"/>
  <c r="T180" i="223"/>
  <c r="F180" i="223"/>
  <c r="D180" i="223"/>
  <c r="A180" i="223"/>
  <c r="T179" i="223"/>
  <c r="F179" i="223"/>
  <c r="D179" i="223"/>
  <c r="A179" i="223"/>
  <c r="T178" i="223"/>
  <c r="F178" i="223"/>
  <c r="D178" i="223"/>
  <c r="A178" i="223"/>
  <c r="T177" i="223"/>
  <c r="S177" i="223"/>
  <c r="R177" i="223"/>
  <c r="Q177" i="223"/>
  <c r="P177" i="223"/>
  <c r="O177" i="223"/>
  <c r="N177" i="223"/>
  <c r="M177" i="223"/>
  <c r="L177" i="223"/>
  <c r="K177" i="223"/>
  <c r="J177" i="223"/>
  <c r="I177" i="223"/>
  <c r="H177" i="223"/>
  <c r="F177" i="223"/>
  <c r="D177" i="223"/>
  <c r="A177" i="223"/>
  <c r="T176" i="223"/>
  <c r="F176" i="223"/>
  <c r="D176" i="223"/>
  <c r="A176" i="223"/>
  <c r="T175" i="223"/>
  <c r="F175" i="223"/>
  <c r="D175" i="223"/>
  <c r="A175" i="223"/>
  <c r="T174" i="223"/>
  <c r="F174" i="223"/>
  <c r="D174" i="223"/>
  <c r="A174" i="223"/>
  <c r="C173" i="223"/>
  <c r="B173" i="223"/>
  <c r="A173" i="223"/>
  <c r="S172" i="223"/>
  <c r="R172" i="223"/>
  <c r="Q172" i="223"/>
  <c r="P172" i="223"/>
  <c r="O172" i="223"/>
  <c r="N172" i="223"/>
  <c r="M172" i="223"/>
  <c r="L172" i="223"/>
  <c r="K172" i="223"/>
  <c r="J172" i="223"/>
  <c r="I172" i="223"/>
  <c r="H172" i="223"/>
  <c r="F172" i="223"/>
  <c r="D172" i="223"/>
  <c r="C172" i="223"/>
  <c r="B172" i="223"/>
  <c r="A172" i="223"/>
  <c r="T171" i="223"/>
  <c r="S171" i="223"/>
  <c r="R171" i="223"/>
  <c r="Q171" i="223"/>
  <c r="P171" i="223"/>
  <c r="O171" i="223"/>
  <c r="N171" i="223"/>
  <c r="M171" i="223"/>
  <c r="L171" i="223"/>
  <c r="K171" i="223"/>
  <c r="J171" i="223"/>
  <c r="I171" i="223"/>
  <c r="H171" i="223"/>
  <c r="F171" i="223"/>
  <c r="D171" i="223"/>
  <c r="A171" i="223"/>
  <c r="F170" i="223"/>
  <c r="D170" i="223"/>
  <c r="A170" i="223"/>
  <c r="T169" i="223"/>
  <c r="F169" i="223"/>
  <c r="D169" i="223"/>
  <c r="A169" i="223"/>
  <c r="T168" i="223"/>
  <c r="F168" i="223"/>
  <c r="D168" i="223"/>
  <c r="A168" i="223"/>
  <c r="T167" i="223"/>
  <c r="S167" i="223"/>
  <c r="R167" i="223"/>
  <c r="Q167" i="223"/>
  <c r="P167" i="223"/>
  <c r="O167" i="223"/>
  <c r="N167" i="223"/>
  <c r="M167" i="223"/>
  <c r="L167" i="223"/>
  <c r="K167" i="223"/>
  <c r="J167" i="223"/>
  <c r="I167" i="223"/>
  <c r="H167" i="223"/>
  <c r="F167" i="223"/>
  <c r="D167" i="223"/>
  <c r="A167" i="223"/>
  <c r="T166" i="223"/>
  <c r="F166" i="223"/>
  <c r="D166" i="223"/>
  <c r="A166" i="223"/>
  <c r="T165" i="223"/>
  <c r="F165" i="223"/>
  <c r="D165" i="223"/>
  <c r="A165" i="223"/>
  <c r="T164" i="223"/>
  <c r="F164" i="223"/>
  <c r="D164" i="223"/>
  <c r="A164" i="223"/>
  <c r="T163" i="223"/>
  <c r="F163" i="223"/>
  <c r="D163" i="223"/>
  <c r="A163" i="223"/>
  <c r="T162" i="223"/>
  <c r="S162" i="223"/>
  <c r="R162" i="223"/>
  <c r="Q162" i="223"/>
  <c r="P162" i="223"/>
  <c r="O162" i="223"/>
  <c r="N162" i="223"/>
  <c r="M162" i="223"/>
  <c r="L162" i="223"/>
  <c r="K162" i="223"/>
  <c r="J162" i="223"/>
  <c r="I162" i="223"/>
  <c r="H162" i="223"/>
  <c r="F162" i="223"/>
  <c r="D162" i="223"/>
  <c r="A162" i="223"/>
  <c r="T161" i="223"/>
  <c r="F161" i="223"/>
  <c r="D161" i="223"/>
  <c r="A161" i="223"/>
  <c r="T160" i="223"/>
  <c r="F160" i="223"/>
  <c r="D160" i="223"/>
  <c r="A160" i="223"/>
  <c r="T159" i="223"/>
  <c r="S159" i="223"/>
  <c r="R159" i="223"/>
  <c r="Q159" i="223"/>
  <c r="P159" i="223"/>
  <c r="O159" i="223"/>
  <c r="N159" i="223"/>
  <c r="M159" i="223"/>
  <c r="L159" i="223"/>
  <c r="K159" i="223"/>
  <c r="J159" i="223"/>
  <c r="I159" i="223"/>
  <c r="H159" i="223"/>
  <c r="F159" i="223"/>
  <c r="D159" i="223"/>
  <c r="A159" i="223"/>
  <c r="T158" i="223"/>
  <c r="F158" i="223"/>
  <c r="D158" i="223"/>
  <c r="A158" i="223"/>
  <c r="T157" i="223"/>
  <c r="F157" i="223"/>
  <c r="D157" i="223"/>
  <c r="A157" i="223"/>
  <c r="T156" i="223"/>
  <c r="F156" i="223"/>
  <c r="D156" i="223"/>
  <c r="A156" i="223"/>
  <c r="B155" i="223"/>
  <c r="A155" i="223"/>
  <c r="T154" i="223"/>
  <c r="C154" i="223"/>
  <c r="B154" i="223"/>
  <c r="A154" i="223"/>
  <c r="D153" i="223"/>
  <c r="C153" i="223"/>
  <c r="B153" i="223"/>
  <c r="A153" i="223"/>
  <c r="T152" i="223"/>
  <c r="F152" i="223"/>
  <c r="D152" i="223"/>
  <c r="A152" i="223"/>
  <c r="T151" i="223"/>
  <c r="F151" i="223"/>
  <c r="D151" i="223"/>
  <c r="A151" i="223"/>
  <c r="T150" i="223"/>
  <c r="F150" i="223"/>
  <c r="D150" i="223"/>
  <c r="A150" i="223"/>
  <c r="T149" i="223"/>
  <c r="F149" i="223"/>
  <c r="D149" i="223"/>
  <c r="A149" i="223"/>
  <c r="T148" i="223"/>
  <c r="F148" i="223"/>
  <c r="D148" i="223"/>
  <c r="A148" i="223"/>
  <c r="T147" i="223"/>
  <c r="F147" i="223"/>
  <c r="D147" i="223"/>
  <c r="A147" i="223"/>
  <c r="T146" i="223"/>
  <c r="F146" i="223"/>
  <c r="D146" i="223"/>
  <c r="A146" i="223"/>
  <c r="T145" i="223"/>
  <c r="F145" i="223"/>
  <c r="D145" i="223"/>
  <c r="A145" i="223"/>
  <c r="T144" i="223"/>
  <c r="F144" i="223"/>
  <c r="D144" i="223"/>
  <c r="A144" i="223"/>
  <c r="T143" i="223"/>
  <c r="F143" i="223"/>
  <c r="D143" i="223"/>
  <c r="A143" i="223"/>
  <c r="T142" i="223"/>
  <c r="F142" i="223"/>
  <c r="D142" i="223"/>
  <c r="A142" i="223"/>
  <c r="T141" i="223"/>
  <c r="F141" i="223"/>
  <c r="D141" i="223"/>
  <c r="A141" i="223"/>
  <c r="T140" i="223"/>
  <c r="F140" i="223"/>
  <c r="D140" i="223"/>
  <c r="A140" i="223"/>
  <c r="T139" i="223"/>
  <c r="F139" i="223"/>
  <c r="D139" i="223"/>
  <c r="A139" i="223"/>
  <c r="T138" i="223"/>
  <c r="F138" i="223"/>
  <c r="D138" i="223"/>
  <c r="A138" i="223"/>
  <c r="T137" i="223"/>
  <c r="S137" i="223"/>
  <c r="R137" i="223"/>
  <c r="Q137" i="223"/>
  <c r="P137" i="223"/>
  <c r="O137" i="223"/>
  <c r="N137" i="223"/>
  <c r="M137" i="223"/>
  <c r="L137" i="223"/>
  <c r="K137" i="223"/>
  <c r="J137" i="223"/>
  <c r="I137" i="223"/>
  <c r="H137" i="223"/>
  <c r="F137" i="223"/>
  <c r="D137" i="223"/>
  <c r="A137" i="223"/>
  <c r="T136" i="223"/>
  <c r="F136" i="223"/>
  <c r="D136" i="223"/>
  <c r="C136" i="223"/>
  <c r="A136" i="223"/>
  <c r="T135" i="223"/>
  <c r="F135" i="223"/>
  <c r="D135" i="223"/>
  <c r="A135" i="223"/>
  <c r="T134" i="223"/>
  <c r="S134" i="223"/>
  <c r="R134" i="223"/>
  <c r="Q134" i="223"/>
  <c r="P134" i="223"/>
  <c r="O134" i="223"/>
  <c r="N134" i="223"/>
  <c r="M134" i="223"/>
  <c r="L134" i="223"/>
  <c r="K134" i="223"/>
  <c r="J134" i="223"/>
  <c r="I134" i="223"/>
  <c r="H134" i="223"/>
  <c r="F134" i="223"/>
  <c r="D134" i="223"/>
  <c r="A134" i="223"/>
  <c r="T133" i="223"/>
  <c r="F133" i="223"/>
  <c r="D133" i="223"/>
  <c r="A133" i="223"/>
  <c r="T132" i="223"/>
  <c r="S132" i="223"/>
  <c r="R132" i="223"/>
  <c r="Q132" i="223"/>
  <c r="P132" i="223"/>
  <c r="O132" i="223"/>
  <c r="N132" i="223"/>
  <c r="M132" i="223"/>
  <c r="L132" i="223"/>
  <c r="K132" i="223"/>
  <c r="J132" i="223"/>
  <c r="I132" i="223"/>
  <c r="H132" i="223"/>
  <c r="F132" i="223"/>
  <c r="D132" i="223"/>
  <c r="A132" i="223"/>
  <c r="T131" i="223"/>
  <c r="F131" i="223"/>
  <c r="D131" i="223"/>
  <c r="A131" i="223"/>
  <c r="T130" i="223"/>
  <c r="F130" i="223"/>
  <c r="D130" i="223"/>
  <c r="A130" i="223"/>
  <c r="T129" i="223"/>
  <c r="F129" i="223"/>
  <c r="D129" i="223"/>
  <c r="A129" i="223"/>
  <c r="T128" i="223"/>
  <c r="F128" i="223"/>
  <c r="D128" i="223"/>
  <c r="A128" i="223"/>
  <c r="T127" i="223"/>
  <c r="S127" i="223"/>
  <c r="R127" i="223"/>
  <c r="Q127" i="223"/>
  <c r="P127" i="223"/>
  <c r="O127" i="223"/>
  <c r="N127" i="223"/>
  <c r="M127" i="223"/>
  <c r="L127" i="223"/>
  <c r="K127" i="223"/>
  <c r="J127" i="223"/>
  <c r="I127" i="223"/>
  <c r="H127" i="223"/>
  <c r="F127" i="223"/>
  <c r="D127" i="223"/>
  <c r="B127" i="223"/>
  <c r="A127" i="223"/>
  <c r="T126" i="223"/>
  <c r="F126" i="223"/>
  <c r="D126" i="223"/>
  <c r="A126" i="223"/>
  <c r="T125" i="223"/>
  <c r="F125" i="223"/>
  <c r="D125" i="223"/>
  <c r="C125" i="223"/>
  <c r="B125" i="223"/>
  <c r="T124" i="223"/>
  <c r="F124" i="223"/>
  <c r="D124" i="223"/>
  <c r="C124" i="223"/>
  <c r="B124" i="223"/>
  <c r="T123" i="223"/>
  <c r="F123" i="223"/>
  <c r="D123" i="223"/>
  <c r="C123" i="223"/>
  <c r="B123" i="223"/>
  <c r="T122" i="223"/>
  <c r="S122" i="223"/>
  <c r="R122" i="223"/>
  <c r="Q122" i="223"/>
  <c r="P122" i="223"/>
  <c r="O122" i="223"/>
  <c r="N122" i="223"/>
  <c r="M122" i="223"/>
  <c r="L122" i="223"/>
  <c r="K122" i="223"/>
  <c r="J122" i="223"/>
  <c r="I122" i="223"/>
  <c r="H122" i="223"/>
  <c r="F122" i="223"/>
  <c r="D122" i="223"/>
  <c r="A122" i="223"/>
  <c r="T121" i="223"/>
  <c r="F121" i="223"/>
  <c r="D121" i="223"/>
  <c r="C121" i="223"/>
  <c r="B121" i="223"/>
  <c r="T120" i="223"/>
  <c r="F120" i="223"/>
  <c r="D120" i="223"/>
  <c r="C120" i="223"/>
  <c r="B120" i="223"/>
  <c r="T119" i="223"/>
  <c r="F119" i="223"/>
  <c r="D119" i="223"/>
  <c r="C119" i="223"/>
  <c r="B119" i="223"/>
  <c r="T118" i="223"/>
  <c r="S118" i="223"/>
  <c r="R118" i="223"/>
  <c r="Q118" i="223"/>
  <c r="P118" i="223"/>
  <c r="O118" i="223"/>
  <c r="N118" i="223"/>
  <c r="M118" i="223"/>
  <c r="L118" i="223"/>
  <c r="K118" i="223"/>
  <c r="J118" i="223"/>
  <c r="I118" i="223"/>
  <c r="H118" i="223"/>
  <c r="F118" i="223"/>
  <c r="D118" i="223"/>
  <c r="A118" i="223"/>
  <c r="T117" i="223"/>
  <c r="F117" i="223"/>
  <c r="D117" i="223"/>
  <c r="A117" i="223"/>
  <c r="T116" i="223"/>
  <c r="F116" i="223"/>
  <c r="D116" i="223"/>
  <c r="C116" i="223"/>
  <c r="B116" i="223"/>
  <c r="T115" i="223"/>
  <c r="F115" i="223"/>
  <c r="D115" i="223"/>
  <c r="C115" i="223"/>
  <c r="B115" i="223"/>
  <c r="T114" i="223"/>
  <c r="F114" i="223"/>
  <c r="D114" i="223"/>
  <c r="C114" i="223"/>
  <c r="B114" i="223"/>
  <c r="T113" i="223"/>
  <c r="S113" i="223"/>
  <c r="R113" i="223"/>
  <c r="Q113" i="223"/>
  <c r="P113" i="223"/>
  <c r="O113" i="223"/>
  <c r="N113" i="223"/>
  <c r="M113" i="223"/>
  <c r="L113" i="223"/>
  <c r="K113" i="223"/>
  <c r="J113" i="223"/>
  <c r="I113" i="223"/>
  <c r="H113" i="223"/>
  <c r="F113" i="223"/>
  <c r="D113" i="223"/>
  <c r="A113" i="223"/>
  <c r="T112" i="223"/>
  <c r="F112" i="223"/>
  <c r="D112" i="223"/>
  <c r="C112" i="223"/>
  <c r="B112" i="223"/>
  <c r="T111" i="223"/>
  <c r="F111" i="223"/>
  <c r="D111" i="223"/>
  <c r="C111" i="223"/>
  <c r="B111" i="223"/>
  <c r="T110" i="223"/>
  <c r="F110" i="223"/>
  <c r="D110" i="223"/>
  <c r="C110" i="223"/>
  <c r="B110" i="223"/>
  <c r="T109" i="223"/>
  <c r="S109" i="223"/>
  <c r="R109" i="223"/>
  <c r="Q109" i="223"/>
  <c r="P109" i="223"/>
  <c r="O109" i="223"/>
  <c r="N109" i="223"/>
  <c r="M109" i="223"/>
  <c r="L109" i="223"/>
  <c r="K109" i="223"/>
  <c r="J109" i="223"/>
  <c r="I109" i="223"/>
  <c r="H109" i="223"/>
  <c r="F109" i="223"/>
  <c r="D109" i="223"/>
  <c r="A109" i="223"/>
  <c r="T108" i="223"/>
  <c r="F108" i="223"/>
  <c r="D108" i="223"/>
  <c r="C108" i="223"/>
  <c r="B108" i="223"/>
  <c r="T107" i="223"/>
  <c r="F107" i="223"/>
  <c r="D107" i="223"/>
  <c r="C107" i="223"/>
  <c r="B107" i="223"/>
  <c r="T106" i="223"/>
  <c r="F106" i="223"/>
  <c r="D106" i="223"/>
  <c r="C106" i="223"/>
  <c r="B106" i="223"/>
  <c r="T105" i="223"/>
  <c r="S105" i="223"/>
  <c r="R105" i="223"/>
  <c r="Q105" i="223"/>
  <c r="P105" i="223"/>
  <c r="O105" i="223"/>
  <c r="N105" i="223"/>
  <c r="M105" i="223"/>
  <c r="L105" i="223"/>
  <c r="K105" i="223"/>
  <c r="J105" i="223"/>
  <c r="I105" i="223"/>
  <c r="H105" i="223"/>
  <c r="F105" i="223"/>
  <c r="D105" i="223"/>
  <c r="A105" i="223"/>
  <c r="T104" i="223"/>
  <c r="F104" i="223"/>
  <c r="D104" i="223"/>
  <c r="C104" i="223"/>
  <c r="B104" i="223"/>
  <c r="T103" i="223"/>
  <c r="F103" i="223"/>
  <c r="D103" i="223"/>
  <c r="C103" i="223"/>
  <c r="B103" i="223"/>
  <c r="T102" i="223"/>
  <c r="F102" i="223"/>
  <c r="D102" i="223"/>
  <c r="C102" i="223"/>
  <c r="B102" i="223"/>
  <c r="T101" i="223"/>
  <c r="S101" i="223"/>
  <c r="R101" i="223"/>
  <c r="Q101" i="223"/>
  <c r="P101" i="223"/>
  <c r="O101" i="223"/>
  <c r="N101" i="223"/>
  <c r="M101" i="223"/>
  <c r="L101" i="223"/>
  <c r="K101" i="223"/>
  <c r="J101" i="223"/>
  <c r="I101" i="223"/>
  <c r="H101" i="223"/>
  <c r="F101" i="223"/>
  <c r="D101" i="223"/>
  <c r="A101" i="223"/>
  <c r="T100" i="223"/>
  <c r="F100" i="223"/>
  <c r="D100" i="223"/>
  <c r="C100" i="223"/>
  <c r="B100" i="223"/>
  <c r="T99" i="223"/>
  <c r="F99" i="223"/>
  <c r="D99" i="223"/>
  <c r="C99" i="223"/>
  <c r="B99" i="223"/>
  <c r="T98" i="223"/>
  <c r="F98" i="223"/>
  <c r="D98" i="223"/>
  <c r="C98" i="223"/>
  <c r="B98" i="223"/>
  <c r="T97" i="223"/>
  <c r="S97" i="223"/>
  <c r="R97" i="223"/>
  <c r="Q97" i="223"/>
  <c r="P97" i="223"/>
  <c r="O97" i="223"/>
  <c r="N97" i="223"/>
  <c r="M97" i="223"/>
  <c r="L97" i="223"/>
  <c r="K97" i="223"/>
  <c r="J97" i="223"/>
  <c r="I97" i="223"/>
  <c r="H97" i="223"/>
  <c r="F97" i="223"/>
  <c r="D97" i="223"/>
  <c r="A97" i="223"/>
  <c r="T96" i="223"/>
  <c r="F96" i="223"/>
  <c r="D96" i="223"/>
  <c r="C96" i="223"/>
  <c r="B96" i="223"/>
  <c r="T95" i="223"/>
  <c r="F95" i="223"/>
  <c r="D95" i="223"/>
  <c r="C95" i="223"/>
  <c r="B95" i="223"/>
  <c r="T94" i="223"/>
  <c r="F94" i="223"/>
  <c r="D94" i="223"/>
  <c r="C94" i="223"/>
  <c r="B94" i="223"/>
  <c r="T93" i="223"/>
  <c r="S93" i="223"/>
  <c r="R93" i="223"/>
  <c r="Q93" i="223"/>
  <c r="P93" i="223"/>
  <c r="O93" i="223"/>
  <c r="N93" i="223"/>
  <c r="M93" i="223"/>
  <c r="L93" i="223"/>
  <c r="K93" i="223"/>
  <c r="J93" i="223"/>
  <c r="I93" i="223"/>
  <c r="H93" i="223"/>
  <c r="F93" i="223"/>
  <c r="D93" i="223"/>
  <c r="A93" i="223"/>
  <c r="T92" i="223"/>
  <c r="S92" i="223"/>
  <c r="R92" i="223"/>
  <c r="Q92" i="223"/>
  <c r="P92" i="223"/>
  <c r="O92" i="223"/>
  <c r="N92" i="223"/>
  <c r="M92" i="223"/>
  <c r="L92" i="223"/>
  <c r="K92" i="223"/>
  <c r="J92" i="223"/>
  <c r="I92" i="223"/>
  <c r="H92" i="223"/>
  <c r="F92" i="223"/>
  <c r="D92" i="223"/>
  <c r="B92" i="223"/>
  <c r="A92" i="223"/>
  <c r="T91" i="223"/>
  <c r="F91" i="223"/>
  <c r="D91" i="223"/>
  <c r="A91" i="223"/>
  <c r="T90" i="223"/>
  <c r="F90" i="223"/>
  <c r="D90" i="223"/>
  <c r="A90" i="223"/>
  <c r="T89" i="223"/>
  <c r="F89" i="223"/>
  <c r="D89" i="223"/>
  <c r="A89" i="223"/>
  <c r="T88" i="223"/>
  <c r="F88" i="223"/>
  <c r="D88" i="223"/>
  <c r="A88" i="223"/>
  <c r="T87" i="223"/>
  <c r="F87" i="223"/>
  <c r="D87" i="223"/>
  <c r="A87" i="223"/>
  <c r="T86" i="223"/>
  <c r="F86" i="223"/>
  <c r="D86" i="223"/>
  <c r="A86" i="223"/>
  <c r="T85" i="223"/>
  <c r="F85" i="223"/>
  <c r="D85" i="223"/>
  <c r="A85" i="223"/>
  <c r="T84" i="223"/>
  <c r="F84" i="223"/>
  <c r="D84" i="223"/>
  <c r="A84" i="223"/>
  <c r="T83" i="223"/>
  <c r="F83" i="223"/>
  <c r="D83" i="223"/>
  <c r="A83" i="223"/>
  <c r="T82" i="223"/>
  <c r="F82" i="223"/>
  <c r="D82" i="223"/>
  <c r="A82" i="223"/>
  <c r="T81" i="223"/>
  <c r="F81" i="223"/>
  <c r="D81" i="223"/>
  <c r="A81" i="223"/>
  <c r="T80" i="223"/>
  <c r="S80" i="223"/>
  <c r="R80" i="223"/>
  <c r="Q80" i="223"/>
  <c r="P80" i="223"/>
  <c r="O80" i="223"/>
  <c r="N80" i="223"/>
  <c r="M80" i="223"/>
  <c r="L80" i="223"/>
  <c r="K80" i="223"/>
  <c r="J80" i="223"/>
  <c r="I80" i="223"/>
  <c r="H80" i="223"/>
  <c r="F80" i="223"/>
  <c r="D80" i="223"/>
  <c r="A80" i="223"/>
  <c r="T79" i="223"/>
  <c r="F79" i="223"/>
  <c r="D79" i="223"/>
  <c r="B79" i="223"/>
  <c r="A79" i="223"/>
  <c r="T78" i="223"/>
  <c r="F78" i="223"/>
  <c r="D78" i="223"/>
  <c r="C78" i="223"/>
  <c r="B78" i="223"/>
  <c r="A78" i="223"/>
  <c r="T77" i="223"/>
  <c r="F77" i="223"/>
  <c r="D77" i="223"/>
  <c r="C77" i="223"/>
  <c r="B77" i="223"/>
  <c r="A77" i="223"/>
  <c r="T76" i="223"/>
  <c r="F76" i="223"/>
  <c r="D76" i="223"/>
  <c r="C76" i="223"/>
  <c r="B76" i="223"/>
  <c r="A76" i="223"/>
  <c r="T75" i="223"/>
  <c r="S75" i="223"/>
  <c r="R75" i="223"/>
  <c r="Q75" i="223"/>
  <c r="P75" i="223"/>
  <c r="O75" i="223"/>
  <c r="N75" i="223"/>
  <c r="M75" i="223"/>
  <c r="L75" i="223"/>
  <c r="K75" i="223"/>
  <c r="J75" i="223"/>
  <c r="I75" i="223"/>
  <c r="H75" i="223"/>
  <c r="F75" i="223"/>
  <c r="D75" i="223"/>
  <c r="A75" i="223"/>
  <c r="T74" i="223"/>
  <c r="F74" i="223"/>
  <c r="D74" i="223"/>
  <c r="A74" i="223"/>
  <c r="T73" i="223"/>
  <c r="F73" i="223"/>
  <c r="D73" i="223"/>
  <c r="A73" i="223"/>
  <c r="T72" i="223"/>
  <c r="F72" i="223"/>
  <c r="D72" i="223"/>
  <c r="A72" i="223"/>
  <c r="T71" i="223"/>
  <c r="F71" i="223"/>
  <c r="D71" i="223"/>
  <c r="A71" i="223"/>
  <c r="T70" i="223"/>
  <c r="F70" i="223"/>
  <c r="D70" i="223"/>
  <c r="A70" i="223"/>
  <c r="T69" i="223"/>
  <c r="F69" i="223"/>
  <c r="D69" i="223"/>
  <c r="A69" i="223"/>
  <c r="T68" i="223"/>
  <c r="F68" i="223"/>
  <c r="D68" i="223"/>
  <c r="A68" i="223"/>
  <c r="T67" i="223"/>
  <c r="F67" i="223"/>
  <c r="D67" i="223"/>
  <c r="A67" i="223"/>
  <c r="T66" i="223"/>
  <c r="F66" i="223"/>
  <c r="D66" i="223"/>
  <c r="A66" i="223"/>
  <c r="T65" i="223"/>
  <c r="F65" i="223"/>
  <c r="D65" i="223"/>
  <c r="A65" i="223"/>
  <c r="T64" i="223"/>
  <c r="F64" i="223"/>
  <c r="D64" i="223"/>
  <c r="A64" i="223"/>
  <c r="T63" i="223"/>
  <c r="S63" i="223"/>
  <c r="R63" i="223"/>
  <c r="Q63" i="223"/>
  <c r="P63" i="223"/>
  <c r="O63" i="223"/>
  <c r="N63" i="223"/>
  <c r="M63" i="223"/>
  <c r="L63" i="223"/>
  <c r="K63" i="223"/>
  <c r="J63" i="223"/>
  <c r="I63" i="223"/>
  <c r="H63" i="223"/>
  <c r="F63" i="223"/>
  <c r="D63" i="223"/>
  <c r="A63" i="223"/>
  <c r="T62" i="223"/>
  <c r="S62" i="223"/>
  <c r="R62" i="223"/>
  <c r="Q62" i="223"/>
  <c r="P62" i="223"/>
  <c r="O62" i="223"/>
  <c r="N62" i="223"/>
  <c r="M62" i="223"/>
  <c r="L62" i="223"/>
  <c r="K62" i="223"/>
  <c r="J62" i="223"/>
  <c r="I62" i="223"/>
  <c r="H62" i="223"/>
  <c r="F62" i="223"/>
  <c r="D62" i="223"/>
  <c r="A62" i="223"/>
  <c r="T61" i="223"/>
  <c r="F61" i="223"/>
  <c r="D61" i="223"/>
  <c r="A61" i="223"/>
  <c r="T60" i="223"/>
  <c r="F60" i="223"/>
  <c r="D60" i="223"/>
  <c r="A60" i="223"/>
  <c r="T59" i="223"/>
  <c r="F59" i="223"/>
  <c r="D59" i="223"/>
  <c r="A59" i="223"/>
  <c r="T58" i="223"/>
  <c r="F58" i="223"/>
  <c r="D58" i="223"/>
  <c r="A58" i="223"/>
  <c r="T57" i="223"/>
  <c r="F57" i="223"/>
  <c r="D57" i="223"/>
  <c r="A57" i="223"/>
  <c r="T56" i="223"/>
  <c r="S56" i="223"/>
  <c r="R56" i="223"/>
  <c r="Q56" i="223"/>
  <c r="P56" i="223"/>
  <c r="O56" i="223"/>
  <c r="N56" i="223"/>
  <c r="M56" i="223"/>
  <c r="L56" i="223"/>
  <c r="K56" i="223"/>
  <c r="J56" i="223"/>
  <c r="I56" i="223"/>
  <c r="H56" i="223"/>
  <c r="F56" i="223"/>
  <c r="D56" i="223"/>
  <c r="A56" i="223"/>
  <c r="T55" i="223"/>
  <c r="S55" i="223"/>
  <c r="R55" i="223"/>
  <c r="Q55" i="223"/>
  <c r="P55" i="223"/>
  <c r="O55" i="223"/>
  <c r="N55" i="223"/>
  <c r="M55" i="223"/>
  <c r="L55" i="223"/>
  <c r="K55" i="223"/>
  <c r="J55" i="223"/>
  <c r="I55" i="223"/>
  <c r="H55" i="223"/>
  <c r="F55" i="223"/>
  <c r="D55" i="223"/>
  <c r="A55" i="223"/>
  <c r="T54" i="223"/>
  <c r="F54" i="223"/>
  <c r="D54" i="223"/>
  <c r="A54" i="223"/>
  <c r="T53" i="223"/>
  <c r="F53" i="223"/>
  <c r="D53" i="223"/>
  <c r="A53" i="223"/>
  <c r="T52" i="223"/>
  <c r="F52" i="223"/>
  <c r="D52" i="223"/>
  <c r="A52" i="223"/>
  <c r="T51" i="223"/>
  <c r="F51" i="223"/>
  <c r="D51" i="223"/>
  <c r="A51" i="223"/>
  <c r="T50" i="223"/>
  <c r="F50" i="223"/>
  <c r="D50" i="223"/>
  <c r="C50" i="223"/>
  <c r="B50" i="223"/>
  <c r="A50" i="223"/>
  <c r="T49" i="223"/>
  <c r="F49" i="223"/>
  <c r="D49" i="223"/>
  <c r="C49" i="223"/>
  <c r="B49" i="223"/>
  <c r="A49" i="223"/>
  <c r="T48" i="223"/>
  <c r="F48" i="223"/>
  <c r="D48" i="223"/>
  <c r="C48" i="223"/>
  <c r="B48" i="223"/>
  <c r="A48" i="223"/>
  <c r="T47" i="223"/>
  <c r="S47" i="223"/>
  <c r="R47" i="223"/>
  <c r="Q47" i="223"/>
  <c r="P47" i="223"/>
  <c r="O47" i="223"/>
  <c r="N47" i="223"/>
  <c r="M47" i="223"/>
  <c r="L47" i="223"/>
  <c r="K47" i="223"/>
  <c r="J47" i="223"/>
  <c r="I47" i="223"/>
  <c r="H47" i="223"/>
  <c r="F47" i="223"/>
  <c r="D47" i="223"/>
  <c r="A47" i="223"/>
  <c r="T46" i="223"/>
  <c r="F46" i="223"/>
  <c r="D46" i="223"/>
  <c r="A46" i="223"/>
  <c r="T45" i="223"/>
  <c r="F45" i="223"/>
  <c r="D45" i="223"/>
  <c r="A45" i="223"/>
  <c r="S44" i="223"/>
  <c r="S153" i="223" s="1"/>
  <c r="R44" i="223"/>
  <c r="R153" i="223" s="1"/>
  <c r="Q44" i="223"/>
  <c r="Q153" i="223" s="1"/>
  <c r="P44" i="223"/>
  <c r="P153" i="223" s="1"/>
  <c r="O44" i="223"/>
  <c r="O153" i="223" s="1"/>
  <c r="N44" i="223"/>
  <c r="N153" i="223" s="1"/>
  <c r="M44" i="223"/>
  <c r="M153" i="223" s="1"/>
  <c r="L44" i="223"/>
  <c r="L153" i="223" s="1"/>
  <c r="K44" i="223"/>
  <c r="K153" i="223" s="1"/>
  <c r="J44" i="223"/>
  <c r="J153" i="223" s="1"/>
  <c r="I44" i="223"/>
  <c r="I153" i="223" s="1"/>
  <c r="H44" i="223"/>
  <c r="H153" i="223" s="1"/>
  <c r="F153" i="223" s="1"/>
  <c r="D44" i="223"/>
  <c r="A44" i="223"/>
  <c r="C43" i="223"/>
  <c r="B43" i="223"/>
  <c r="A43" i="223"/>
  <c r="D42" i="223"/>
  <c r="C42" i="223"/>
  <c r="B42" i="223"/>
  <c r="A42" i="223"/>
  <c r="T41" i="223"/>
  <c r="F41" i="223"/>
  <c r="D41" i="223"/>
  <c r="A41" i="223"/>
  <c r="T40" i="223"/>
  <c r="F40" i="223"/>
  <c r="D40" i="223"/>
  <c r="A40" i="223"/>
  <c r="T39" i="223"/>
  <c r="F39" i="223"/>
  <c r="D39" i="223"/>
  <c r="A39" i="223"/>
  <c r="T38" i="223"/>
  <c r="S38" i="223"/>
  <c r="R38" i="223"/>
  <c r="Q38" i="223"/>
  <c r="P38" i="223"/>
  <c r="O38" i="223"/>
  <c r="N38" i="223"/>
  <c r="M38" i="223"/>
  <c r="L38" i="223"/>
  <c r="K38" i="223"/>
  <c r="J38" i="223"/>
  <c r="I38" i="223"/>
  <c r="H38" i="223"/>
  <c r="F38" i="223"/>
  <c r="D38" i="223"/>
  <c r="A38" i="223"/>
  <c r="T37" i="223"/>
  <c r="F37" i="223"/>
  <c r="D37" i="223"/>
  <c r="A37" i="223"/>
  <c r="T36" i="223"/>
  <c r="F36" i="223"/>
  <c r="D36" i="223"/>
  <c r="A36" i="223"/>
  <c r="T35" i="223"/>
  <c r="S35" i="223"/>
  <c r="R35" i="223"/>
  <c r="Q35" i="223"/>
  <c r="P35" i="223"/>
  <c r="O35" i="223"/>
  <c r="N35" i="223"/>
  <c r="M35" i="223"/>
  <c r="L35" i="223"/>
  <c r="K35" i="223"/>
  <c r="J35" i="223"/>
  <c r="I35" i="223"/>
  <c r="H35" i="223"/>
  <c r="F35" i="223"/>
  <c r="D35" i="223"/>
  <c r="A35" i="223"/>
  <c r="T34" i="223"/>
  <c r="F34" i="223"/>
  <c r="D34" i="223"/>
  <c r="A34" i="223"/>
  <c r="T33" i="223"/>
  <c r="S33" i="223"/>
  <c r="R33" i="223"/>
  <c r="Q33" i="223"/>
  <c r="P33" i="223"/>
  <c r="O33" i="223"/>
  <c r="N33" i="223"/>
  <c r="M33" i="223"/>
  <c r="L33" i="223"/>
  <c r="K33" i="223"/>
  <c r="J33" i="223"/>
  <c r="I33" i="223"/>
  <c r="H33" i="223"/>
  <c r="F33" i="223"/>
  <c r="D33" i="223"/>
  <c r="A33" i="223"/>
  <c r="T32" i="223"/>
  <c r="F32" i="223"/>
  <c r="D32" i="223"/>
  <c r="A32" i="223"/>
  <c r="T31" i="223"/>
  <c r="F31" i="223"/>
  <c r="D31" i="223"/>
  <c r="A31" i="223"/>
  <c r="T30" i="223"/>
  <c r="F30" i="223"/>
  <c r="D30" i="223"/>
  <c r="A30" i="223"/>
  <c r="T29" i="223"/>
  <c r="F29" i="223"/>
  <c r="D29" i="223"/>
  <c r="A29" i="223"/>
  <c r="T28" i="223"/>
  <c r="F28" i="223"/>
  <c r="D28" i="223"/>
  <c r="A28" i="223"/>
  <c r="T27" i="223"/>
  <c r="F27" i="223"/>
  <c r="D27" i="223"/>
  <c r="A27" i="223"/>
  <c r="T26" i="223"/>
  <c r="F26" i="223"/>
  <c r="D26" i="223"/>
  <c r="A26" i="223"/>
  <c r="T25" i="223"/>
  <c r="F25" i="223"/>
  <c r="D25" i="223"/>
  <c r="A25" i="223"/>
  <c r="T24" i="223"/>
  <c r="F24" i="223"/>
  <c r="D24" i="223"/>
  <c r="A24" i="223"/>
  <c r="S23" i="223"/>
  <c r="S42" i="223" s="1"/>
  <c r="R23" i="223"/>
  <c r="R42" i="223" s="1"/>
  <c r="Q23" i="223"/>
  <c r="Q42" i="223" s="1"/>
  <c r="P23" i="223"/>
  <c r="P42" i="223" s="1"/>
  <c r="O23" i="223"/>
  <c r="O42" i="223" s="1"/>
  <c r="N23" i="223"/>
  <c r="N42" i="223" s="1"/>
  <c r="M23" i="223"/>
  <c r="M42" i="223" s="1"/>
  <c r="L23" i="223"/>
  <c r="L42" i="223" s="1"/>
  <c r="K23" i="223"/>
  <c r="K42" i="223" s="1"/>
  <c r="J23" i="223"/>
  <c r="J42" i="223" s="1"/>
  <c r="I23" i="223"/>
  <c r="I42" i="223" s="1"/>
  <c r="H23" i="223"/>
  <c r="H42" i="223" s="1"/>
  <c r="D23" i="223"/>
  <c r="A23" i="223"/>
  <c r="B22" i="223"/>
  <c r="A22" i="223"/>
  <c r="C21" i="223"/>
  <c r="B21" i="223"/>
  <c r="A21" i="223"/>
  <c r="C20" i="223"/>
  <c r="B20" i="223"/>
  <c r="A20" i="223"/>
  <c r="S19" i="223"/>
  <c r="R19" i="223"/>
  <c r="Q19" i="223"/>
  <c r="P19" i="223"/>
  <c r="O19" i="223"/>
  <c r="N19" i="223"/>
  <c r="M19" i="223"/>
  <c r="L19" i="223"/>
  <c r="K19" i="223"/>
  <c r="J19" i="223"/>
  <c r="I19" i="223"/>
  <c r="H19" i="223"/>
  <c r="F19" i="223"/>
  <c r="D19" i="223"/>
  <c r="C19" i="223"/>
  <c r="B19" i="223"/>
  <c r="A19" i="223"/>
  <c r="T18" i="223"/>
  <c r="F18" i="223"/>
  <c r="D18" i="223"/>
  <c r="A18" i="223"/>
  <c r="T17" i="223"/>
  <c r="F17" i="223"/>
  <c r="D17" i="223"/>
  <c r="A17" i="223"/>
  <c r="T16" i="223"/>
  <c r="F16" i="223"/>
  <c r="D16" i="223"/>
  <c r="A16" i="223"/>
  <c r="T15" i="223"/>
  <c r="F15" i="223"/>
  <c r="D15" i="223"/>
  <c r="A15" i="223"/>
  <c r="T14" i="223"/>
  <c r="F14" i="223"/>
  <c r="D14" i="223"/>
  <c r="A14" i="223"/>
  <c r="C13" i="223"/>
  <c r="B13" i="223"/>
  <c r="A13" i="223"/>
  <c r="S12" i="223"/>
  <c r="R12" i="223"/>
  <c r="Q12" i="223"/>
  <c r="P12" i="223"/>
  <c r="O12" i="223"/>
  <c r="N12" i="223"/>
  <c r="M12" i="223"/>
  <c r="L12" i="223"/>
  <c r="K12" i="223"/>
  <c r="J12" i="223"/>
  <c r="I12" i="223"/>
  <c r="H12" i="223"/>
  <c r="F12" i="223"/>
  <c r="D12" i="223"/>
  <c r="C12" i="223"/>
  <c r="B12" i="223"/>
  <c r="A12" i="223"/>
  <c r="T11" i="223"/>
  <c r="F11" i="223"/>
  <c r="D11" i="223"/>
  <c r="C11" i="223"/>
  <c r="B11" i="223"/>
  <c r="A11" i="223"/>
  <c r="T10" i="223"/>
  <c r="F10" i="223"/>
  <c r="D10" i="223"/>
  <c r="C10" i="223"/>
  <c r="B10" i="223"/>
  <c r="A10" i="223"/>
  <c r="T9" i="223"/>
  <c r="S9" i="223"/>
  <c r="R9" i="223"/>
  <c r="Q9" i="223"/>
  <c r="P9" i="223"/>
  <c r="O9" i="223"/>
  <c r="N9" i="223"/>
  <c r="M9" i="223"/>
  <c r="L9" i="223"/>
  <c r="K9" i="223"/>
  <c r="J9" i="223"/>
  <c r="I9" i="223"/>
  <c r="H9" i="223"/>
  <c r="F9" i="223"/>
  <c r="D9" i="223"/>
  <c r="B9" i="223"/>
  <c r="A9" i="223"/>
  <c r="T8" i="223"/>
  <c r="F8" i="223"/>
  <c r="D8" i="223"/>
  <c r="B8" i="223"/>
  <c r="A8" i="223"/>
  <c r="B7" i="223"/>
  <c r="A7" i="223"/>
  <c r="C7" i="223" s="1"/>
  <c r="F6" i="223"/>
  <c r="D6" i="223"/>
  <c r="A219" i="222"/>
  <c r="A218" i="222"/>
  <c r="A217" i="222"/>
  <c r="A216" i="222"/>
  <c r="A215" i="222"/>
  <c r="A214" i="222"/>
  <c r="A213" i="222"/>
  <c r="A212" i="222"/>
  <c r="A211" i="222"/>
  <c r="A210" i="222"/>
  <c r="A209" i="222"/>
  <c r="C208" i="222"/>
  <c r="A208" i="222"/>
  <c r="C207" i="222"/>
  <c r="B207" i="222"/>
  <c r="A207" i="222"/>
  <c r="C206" i="222"/>
  <c r="B206" i="222"/>
  <c r="A206" i="222"/>
  <c r="W205" i="222"/>
  <c r="G205" i="222"/>
  <c r="D205" i="222"/>
  <c r="A205" i="222"/>
  <c r="AD205" i="222" s="1"/>
  <c r="W204" i="222"/>
  <c r="G204" i="222"/>
  <c r="D204" i="222"/>
  <c r="A204" i="222"/>
  <c r="AD204" i="222" s="1"/>
  <c r="W203" i="222"/>
  <c r="G203" i="222"/>
  <c r="D203" i="222"/>
  <c r="A203" i="222"/>
  <c r="AJ203" i="222" s="1"/>
  <c r="C202" i="222"/>
  <c r="B202" i="222"/>
  <c r="A202" i="222"/>
  <c r="C201" i="222"/>
  <c r="B201" i="222"/>
  <c r="A201" i="222"/>
  <c r="C200" i="222"/>
  <c r="B200" i="222"/>
  <c r="A200" i="222"/>
  <c r="W199" i="222"/>
  <c r="V199" i="222"/>
  <c r="U199" i="222"/>
  <c r="T199" i="222"/>
  <c r="S199" i="222"/>
  <c r="R199" i="222"/>
  <c r="Q199" i="222"/>
  <c r="P199" i="222"/>
  <c r="O199" i="222"/>
  <c r="N199" i="222"/>
  <c r="M199" i="222"/>
  <c r="L199" i="222"/>
  <c r="K199" i="222"/>
  <c r="G199" i="222" s="1"/>
  <c r="D199" i="222"/>
  <c r="C199" i="222"/>
  <c r="B199" i="222"/>
  <c r="A199" i="222"/>
  <c r="W198" i="222"/>
  <c r="G198" i="222"/>
  <c r="D198" i="222"/>
  <c r="A198" i="222"/>
  <c r="Z197" i="222"/>
  <c r="W197" i="222"/>
  <c r="G197" i="222"/>
  <c r="D197" i="222"/>
  <c r="A197" i="222"/>
  <c r="AE197" i="222" s="1"/>
  <c r="W196" i="222"/>
  <c r="G196" i="222"/>
  <c r="D196" i="222"/>
  <c r="A196" i="222"/>
  <c r="AG196" i="222" s="1"/>
  <c r="W195" i="222"/>
  <c r="V195" i="222"/>
  <c r="U195" i="222"/>
  <c r="T195" i="222"/>
  <c r="S195" i="222"/>
  <c r="R195" i="222"/>
  <c r="Q195" i="222"/>
  <c r="P195" i="222"/>
  <c r="O195" i="222"/>
  <c r="N195" i="222"/>
  <c r="M195" i="222"/>
  <c r="L195" i="222"/>
  <c r="K195" i="222"/>
  <c r="G195" i="222"/>
  <c r="D195" i="222"/>
  <c r="A195" i="222"/>
  <c r="AD194" i="222"/>
  <c r="AC194" i="222"/>
  <c r="AB194" i="222"/>
  <c r="Y194" i="222"/>
  <c r="E194" i="222" s="1"/>
  <c r="F194" i="222" s="1"/>
  <c r="W194" i="222"/>
  <c r="G194" i="222"/>
  <c r="D194" i="222"/>
  <c r="A194" i="222"/>
  <c r="AG194" i="222" s="1"/>
  <c r="W193" i="222"/>
  <c r="G193" i="222"/>
  <c r="D193" i="222"/>
  <c r="A193" i="222"/>
  <c r="AD192" i="222"/>
  <c r="AC192" i="222"/>
  <c r="W192" i="222"/>
  <c r="G192" i="222"/>
  <c r="D192" i="222"/>
  <c r="A192" i="222"/>
  <c r="AF192" i="222" s="1"/>
  <c r="W191" i="222"/>
  <c r="G191" i="222"/>
  <c r="D191" i="222"/>
  <c r="A191" i="222"/>
  <c r="AI191" i="222" s="1"/>
  <c r="W190" i="222"/>
  <c r="G190" i="222"/>
  <c r="D190" i="222"/>
  <c r="A190" i="222"/>
  <c r="AJ189" i="222"/>
  <c r="W189" i="222"/>
  <c r="G189" i="222"/>
  <c r="D189" i="222"/>
  <c r="A189" i="222"/>
  <c r="AD188" i="222"/>
  <c r="W188" i="222"/>
  <c r="G188" i="222"/>
  <c r="D188" i="222"/>
  <c r="A188" i="222"/>
  <c r="AG188" i="222" s="1"/>
  <c r="AF187" i="222"/>
  <c r="AE187" i="222"/>
  <c r="AC187" i="222"/>
  <c r="Y187" i="222"/>
  <c r="W187" i="222"/>
  <c r="V187" i="222"/>
  <c r="U187" i="222"/>
  <c r="T187" i="222"/>
  <c r="S187" i="222"/>
  <c r="R187" i="222"/>
  <c r="Q187" i="222"/>
  <c r="P187" i="222"/>
  <c r="O187" i="222"/>
  <c r="N187" i="222"/>
  <c r="M187" i="222"/>
  <c r="L187" i="222"/>
  <c r="K187" i="222"/>
  <c r="H187" i="222"/>
  <c r="G187" i="222"/>
  <c r="D187" i="222"/>
  <c r="A187" i="222"/>
  <c r="AJ187" i="222" s="1"/>
  <c r="C186" i="222"/>
  <c r="B186" i="222"/>
  <c r="A186" i="222"/>
  <c r="C185" i="222"/>
  <c r="B185" i="222"/>
  <c r="A185" i="222"/>
  <c r="W184" i="222"/>
  <c r="C184" i="222"/>
  <c r="B184" i="222"/>
  <c r="A184" i="222"/>
  <c r="V183" i="222"/>
  <c r="U183" i="222"/>
  <c r="T183" i="222"/>
  <c r="S183" i="222"/>
  <c r="R183" i="222"/>
  <c r="Q183" i="222"/>
  <c r="P183" i="222"/>
  <c r="O183" i="222"/>
  <c r="N183" i="222"/>
  <c r="M183" i="222"/>
  <c r="L183" i="222"/>
  <c r="K183" i="222"/>
  <c r="G183" i="222"/>
  <c r="D183" i="222"/>
  <c r="C183" i="222"/>
  <c r="B183" i="222"/>
  <c r="A183" i="222"/>
  <c r="AJ182" i="222"/>
  <c r="W182" i="222"/>
  <c r="G182" i="222"/>
  <c r="D182" i="222"/>
  <c r="A182" i="222"/>
  <c r="AA182" i="222" s="1"/>
  <c r="W181" i="222"/>
  <c r="G181" i="222"/>
  <c r="D181" i="222"/>
  <c r="A181" i="222"/>
  <c r="AH181" i="222" s="1"/>
  <c r="W180" i="222"/>
  <c r="G180" i="222"/>
  <c r="D180" i="222"/>
  <c r="A180" i="222"/>
  <c r="AF179" i="222"/>
  <c r="W179" i="222"/>
  <c r="G179" i="222"/>
  <c r="D179" i="222"/>
  <c r="A179" i="222"/>
  <c r="AG179" i="222" s="1"/>
  <c r="W178" i="222"/>
  <c r="G178" i="222"/>
  <c r="D178" i="222"/>
  <c r="A178" i="222"/>
  <c r="W177" i="222"/>
  <c r="V177" i="222"/>
  <c r="U177" i="222"/>
  <c r="T177" i="222"/>
  <c r="S177" i="222"/>
  <c r="R177" i="222"/>
  <c r="Q177" i="222"/>
  <c r="P177" i="222"/>
  <c r="O177" i="222"/>
  <c r="N177" i="222"/>
  <c r="M177" i="222"/>
  <c r="L177" i="222"/>
  <c r="K177" i="222"/>
  <c r="G177" i="222"/>
  <c r="D177" i="222"/>
  <c r="A177" i="222"/>
  <c r="W176" i="222"/>
  <c r="G176" i="222"/>
  <c r="D176" i="222"/>
  <c r="A176" i="222"/>
  <c r="AH176" i="222" s="1"/>
  <c r="AJ175" i="222"/>
  <c r="AI175" i="222"/>
  <c r="AD175" i="222"/>
  <c r="AB175" i="222"/>
  <c r="AA175" i="222"/>
  <c r="W175" i="222"/>
  <c r="G175" i="222"/>
  <c r="D175" i="222"/>
  <c r="A175" i="222"/>
  <c r="AE175" i="222" s="1"/>
  <c r="W174" i="222"/>
  <c r="G174" i="222"/>
  <c r="D174" i="222"/>
  <c r="A174" i="222"/>
  <c r="AA174" i="222" s="1"/>
  <c r="C173" i="222"/>
  <c r="B173" i="222"/>
  <c r="A173" i="222"/>
  <c r="C172" i="222"/>
  <c r="B172" i="222"/>
  <c r="A172" i="222"/>
  <c r="W171" i="222"/>
  <c r="V171" i="222"/>
  <c r="U171" i="222"/>
  <c r="T171" i="222"/>
  <c r="S171" i="222"/>
  <c r="R171" i="222"/>
  <c r="Q171" i="222"/>
  <c r="P171" i="222"/>
  <c r="O171" i="222"/>
  <c r="N171" i="222"/>
  <c r="M171" i="222"/>
  <c r="L171" i="222"/>
  <c r="K171" i="222"/>
  <c r="G171" i="222"/>
  <c r="D171" i="222"/>
  <c r="A171" i="222"/>
  <c r="W170" i="222"/>
  <c r="M170" i="222"/>
  <c r="L170" i="222"/>
  <c r="K170" i="222"/>
  <c r="G170" i="222"/>
  <c r="D170" i="222"/>
  <c r="A170" i="222"/>
  <c r="AC170" i="222" s="1"/>
  <c r="W169" i="222"/>
  <c r="G169" i="222"/>
  <c r="D169" i="222"/>
  <c r="A169" i="222"/>
  <c r="AF168" i="222"/>
  <c r="AD168" i="222"/>
  <c r="W168" i="222"/>
  <c r="G168" i="222"/>
  <c r="D168" i="222"/>
  <c r="A168" i="222"/>
  <c r="AB168" i="222" s="1"/>
  <c r="W167" i="222"/>
  <c r="V167" i="222"/>
  <c r="U167" i="222"/>
  <c r="T167" i="222"/>
  <c r="S167" i="222"/>
  <c r="R167" i="222"/>
  <c r="Q167" i="222"/>
  <c r="P167" i="222"/>
  <c r="O167" i="222"/>
  <c r="N167" i="222"/>
  <c r="M167" i="222"/>
  <c r="L167" i="222"/>
  <c r="K167" i="222"/>
  <c r="G167" i="222"/>
  <c r="D167" i="222"/>
  <c r="A167" i="222"/>
  <c r="AI166" i="222"/>
  <c r="W166" i="222"/>
  <c r="G166" i="222"/>
  <c r="D166" i="222"/>
  <c r="A166" i="222"/>
  <c r="AF166" i="222" s="1"/>
  <c r="AI165" i="222"/>
  <c r="AG165" i="222"/>
  <c r="AF165" i="222"/>
  <c r="AE165" i="222"/>
  <c r="AD165" i="222"/>
  <c r="AC165" i="222"/>
  <c r="AA165" i="222"/>
  <c r="Z165" i="222"/>
  <c r="A165" i="222"/>
  <c r="AB165" i="222" s="1"/>
  <c r="W164" i="222"/>
  <c r="G164" i="222"/>
  <c r="D164" i="222"/>
  <c r="A164" i="222"/>
  <c r="AE164" i="222" s="1"/>
  <c r="W163" i="222"/>
  <c r="G163" i="222"/>
  <c r="D163" i="222"/>
  <c r="A163" i="222"/>
  <c r="AJ163" i="222" s="1"/>
  <c r="AJ162" i="222"/>
  <c r="W162" i="222"/>
  <c r="V162" i="222"/>
  <c r="U162" i="222"/>
  <c r="T162" i="222"/>
  <c r="S162" i="222"/>
  <c r="R162" i="222"/>
  <c r="Q162" i="222"/>
  <c r="P162" i="222"/>
  <c r="O162" i="222"/>
  <c r="N162" i="222"/>
  <c r="M162" i="222"/>
  <c r="L162" i="222"/>
  <c r="K162" i="222"/>
  <c r="G162" i="222"/>
  <c r="D162" i="222"/>
  <c r="A162" i="222"/>
  <c r="AE161" i="222"/>
  <c r="AD161" i="222"/>
  <c r="AB161" i="222"/>
  <c r="AA161" i="222"/>
  <c r="Y161" i="222"/>
  <c r="W161" i="222"/>
  <c r="G161" i="222"/>
  <c r="D161" i="222"/>
  <c r="A161" i="222"/>
  <c r="AC161" i="222" s="1"/>
  <c r="W160" i="222"/>
  <c r="G160" i="222"/>
  <c r="D160" i="222"/>
  <c r="A160" i="222"/>
  <c r="AC160" i="222" s="1"/>
  <c r="W159" i="222"/>
  <c r="V159" i="222"/>
  <c r="U159" i="222"/>
  <c r="T159" i="222"/>
  <c r="S159" i="222"/>
  <c r="R159" i="222"/>
  <c r="Q159" i="222"/>
  <c r="P159" i="222"/>
  <c r="O159" i="222"/>
  <c r="N159" i="222"/>
  <c r="M159" i="222"/>
  <c r="L159" i="222"/>
  <c r="K159" i="222"/>
  <c r="G159" i="222"/>
  <c r="D159" i="222"/>
  <c r="A159" i="222"/>
  <c r="Z159" i="222" s="1"/>
  <c r="W158" i="222"/>
  <c r="G158" i="222"/>
  <c r="D158" i="222"/>
  <c r="A158" i="222"/>
  <c r="W157" i="222"/>
  <c r="G157" i="222"/>
  <c r="D157" i="222"/>
  <c r="A157" i="222"/>
  <c r="AC157" i="222" s="1"/>
  <c r="AJ156" i="222"/>
  <c r="W156" i="222"/>
  <c r="G156" i="222"/>
  <c r="D156" i="222"/>
  <c r="A156" i="222"/>
  <c r="AE156" i="222" s="1"/>
  <c r="B155" i="222"/>
  <c r="A155" i="222"/>
  <c r="W154" i="222"/>
  <c r="C154" i="222"/>
  <c r="B154" i="222"/>
  <c r="A154" i="222"/>
  <c r="C153" i="222"/>
  <c r="B153" i="222"/>
  <c r="A153" i="222"/>
  <c r="A152" i="222"/>
  <c r="AG151" i="222"/>
  <c r="W151" i="222"/>
  <c r="G151" i="222"/>
  <c r="D151" i="222"/>
  <c r="A151" i="222"/>
  <c r="AJ151" i="222" s="1"/>
  <c r="AI150" i="222"/>
  <c r="AB150" i="222"/>
  <c r="AA150" i="222"/>
  <c r="W150" i="222"/>
  <c r="G150" i="222"/>
  <c r="D150" i="222"/>
  <c r="A150" i="222"/>
  <c r="AG150" i="222" s="1"/>
  <c r="W149" i="222"/>
  <c r="G149" i="222"/>
  <c r="D149" i="222"/>
  <c r="A149" i="222"/>
  <c r="W148" i="222"/>
  <c r="G148" i="222"/>
  <c r="D148" i="222"/>
  <c r="A148" i="222"/>
  <c r="AI148" i="222" s="1"/>
  <c r="AI147" i="222"/>
  <c r="AG147" i="222"/>
  <c r="AD147" i="222"/>
  <c r="AB147" i="222"/>
  <c r="Z147" i="222"/>
  <c r="Y147" i="222"/>
  <c r="E147" i="222" s="1"/>
  <c r="F147" i="222" s="1"/>
  <c r="W147" i="222"/>
  <c r="G147" i="222"/>
  <c r="D147" i="222"/>
  <c r="A147" i="222"/>
  <c r="W146" i="222"/>
  <c r="G146" i="222"/>
  <c r="D146" i="222"/>
  <c r="A146" i="222"/>
  <c r="AH146" i="222" s="1"/>
  <c r="AI145" i="222"/>
  <c r="W145" i="222"/>
  <c r="G145" i="222"/>
  <c r="D145" i="222"/>
  <c r="A145" i="222"/>
  <c r="AI144" i="222"/>
  <c r="W144" i="222"/>
  <c r="G144" i="222"/>
  <c r="D144" i="222"/>
  <c r="A144" i="222"/>
  <c r="AJ143" i="222"/>
  <c r="W143" i="222"/>
  <c r="G143" i="222"/>
  <c r="D143" i="222"/>
  <c r="A143" i="222"/>
  <c r="AI143" i="222" s="1"/>
  <c r="AI142" i="222"/>
  <c r="Z142" i="222"/>
  <c r="A142" i="222"/>
  <c r="AC141" i="222"/>
  <c r="AA141" i="222"/>
  <c r="Z141" i="222"/>
  <c r="Y141" i="222"/>
  <c r="W141" i="222"/>
  <c r="G141" i="222"/>
  <c r="D141" i="222"/>
  <c r="A141" i="222"/>
  <c r="AE141" i="222" s="1"/>
  <c r="AH140" i="222"/>
  <c r="AG140" i="222"/>
  <c r="AB140" i="222"/>
  <c r="AA140" i="222"/>
  <c r="Z140" i="222"/>
  <c r="Y140" i="222"/>
  <c r="W140" i="222"/>
  <c r="G140" i="222"/>
  <c r="D140" i="222"/>
  <c r="A140" i="222"/>
  <c r="AD140" i="222" s="1"/>
  <c r="W139" i="222"/>
  <c r="G139" i="222"/>
  <c r="D139" i="222"/>
  <c r="A139" i="222"/>
  <c r="W138" i="222"/>
  <c r="G138" i="222"/>
  <c r="D138" i="222"/>
  <c r="A138" i="222"/>
  <c r="AA137" i="222"/>
  <c r="W137" i="222"/>
  <c r="V137" i="222"/>
  <c r="U137" i="222"/>
  <c r="T137" i="222"/>
  <c r="S137" i="222"/>
  <c r="R137" i="222"/>
  <c r="Q137" i="222"/>
  <c r="P137" i="222"/>
  <c r="O137" i="222"/>
  <c r="N137" i="222"/>
  <c r="M137" i="222"/>
  <c r="L137" i="222"/>
  <c r="K137" i="222"/>
  <c r="G137" i="222"/>
  <c r="D137" i="222"/>
  <c r="A137" i="222"/>
  <c r="AJ137" i="222" s="1"/>
  <c r="AG136" i="222"/>
  <c r="AE136" i="222"/>
  <c r="W136" i="222"/>
  <c r="G136" i="222"/>
  <c r="D136" i="222"/>
  <c r="C136" i="222"/>
  <c r="A136" i="222"/>
  <c r="W135" i="222"/>
  <c r="G135" i="222"/>
  <c r="D135" i="222"/>
  <c r="A135" i="222"/>
  <c r="AC134" i="222"/>
  <c r="AB134" i="222"/>
  <c r="AA134" i="222"/>
  <c r="W134" i="222"/>
  <c r="V134" i="222"/>
  <c r="U134" i="222"/>
  <c r="T134" i="222"/>
  <c r="S134" i="222"/>
  <c r="R134" i="222"/>
  <c r="Q134" i="222"/>
  <c r="P134" i="222"/>
  <c r="O134" i="222"/>
  <c r="N134" i="222"/>
  <c r="M134" i="222"/>
  <c r="L134" i="222"/>
  <c r="K134" i="222"/>
  <c r="G134" i="222"/>
  <c r="D134" i="222"/>
  <c r="A134" i="222"/>
  <c r="Y134" i="222" s="1"/>
  <c r="W133" i="222"/>
  <c r="G133" i="222"/>
  <c r="D133" i="222"/>
  <c r="A133" i="222"/>
  <c r="AE133" i="222" s="1"/>
  <c r="W132" i="222"/>
  <c r="V132" i="222"/>
  <c r="U132" i="222"/>
  <c r="T132" i="222"/>
  <c r="S132" i="222"/>
  <c r="R132" i="222"/>
  <c r="Q132" i="222"/>
  <c r="P132" i="222"/>
  <c r="O132" i="222"/>
  <c r="N132" i="222"/>
  <c r="M132" i="222"/>
  <c r="L132" i="222"/>
  <c r="K132" i="222"/>
  <c r="G132" i="222"/>
  <c r="D132" i="222"/>
  <c r="A132" i="222"/>
  <c r="W131" i="222"/>
  <c r="G131" i="222"/>
  <c r="D131" i="222"/>
  <c r="A131" i="222"/>
  <c r="W130" i="222"/>
  <c r="G130" i="222"/>
  <c r="D130" i="222"/>
  <c r="A130" i="222"/>
  <c r="W129" i="222"/>
  <c r="G129" i="222"/>
  <c r="D129" i="222"/>
  <c r="A129" i="222"/>
  <c r="AF129" i="222" s="1"/>
  <c r="AJ128" i="222"/>
  <c r="W128" i="222"/>
  <c r="G128" i="222"/>
  <c r="D128" i="222"/>
  <c r="A128" i="222"/>
  <c r="W127" i="222"/>
  <c r="V127" i="222"/>
  <c r="U127" i="222"/>
  <c r="T127" i="222"/>
  <c r="S127" i="222"/>
  <c r="R127" i="222"/>
  <c r="Q127" i="222"/>
  <c r="P127" i="222"/>
  <c r="O127" i="222"/>
  <c r="N127" i="222"/>
  <c r="M127" i="222"/>
  <c r="L127" i="222"/>
  <c r="K127" i="222"/>
  <c r="G127" i="222"/>
  <c r="D127" i="222"/>
  <c r="B127" i="222"/>
  <c r="A127" i="222"/>
  <c r="AJ127" i="222" s="1"/>
  <c r="W126" i="222"/>
  <c r="G126" i="222"/>
  <c r="D126" i="222"/>
  <c r="A126" i="222"/>
  <c r="AA126" i="222" s="1"/>
  <c r="W125" i="222"/>
  <c r="G125" i="222"/>
  <c r="D125" i="222"/>
  <c r="C125" i="222"/>
  <c r="B125" i="222"/>
  <c r="W124" i="222"/>
  <c r="G124" i="222"/>
  <c r="D124" i="222"/>
  <c r="C124" i="222"/>
  <c r="B124" i="222"/>
  <c r="W123" i="222"/>
  <c r="G123" i="222"/>
  <c r="D123" i="222"/>
  <c r="C123" i="222"/>
  <c r="B123" i="222"/>
  <c r="AE122" i="222"/>
  <c r="AB122" i="222"/>
  <c r="AA122" i="222"/>
  <c r="W122" i="222"/>
  <c r="V122" i="222"/>
  <c r="U122" i="222"/>
  <c r="T122" i="222"/>
  <c r="S122" i="222"/>
  <c r="R122" i="222"/>
  <c r="Q122" i="222"/>
  <c r="P122" i="222"/>
  <c r="O122" i="222"/>
  <c r="N122" i="222"/>
  <c r="M122" i="222"/>
  <c r="L122" i="222"/>
  <c r="K122" i="222"/>
  <c r="G122" i="222"/>
  <c r="D122" i="222"/>
  <c r="A122" i="222"/>
  <c r="W121" i="222"/>
  <c r="G121" i="222"/>
  <c r="D121" i="222"/>
  <c r="C121" i="222"/>
  <c r="B121" i="222"/>
  <c r="W120" i="222"/>
  <c r="G120" i="222"/>
  <c r="D120" i="222"/>
  <c r="C120" i="222"/>
  <c r="B120" i="222"/>
  <c r="W119" i="222"/>
  <c r="G119" i="222"/>
  <c r="D119" i="222"/>
  <c r="C119" i="222"/>
  <c r="B119" i="222"/>
  <c r="W118" i="222"/>
  <c r="V118" i="222"/>
  <c r="U118" i="222"/>
  <c r="T118" i="222"/>
  <c r="S118" i="222"/>
  <c r="R118" i="222"/>
  <c r="Q118" i="222"/>
  <c r="P118" i="222"/>
  <c r="O118" i="222"/>
  <c r="N118" i="222"/>
  <c r="M118" i="222"/>
  <c r="L118" i="222"/>
  <c r="K118" i="222"/>
  <c r="G118" i="222"/>
  <c r="D118" i="222"/>
  <c r="A118" i="222"/>
  <c r="AJ117" i="222"/>
  <c r="AD117" i="222"/>
  <c r="AC117" i="222"/>
  <c r="W117" i="222"/>
  <c r="G117" i="222"/>
  <c r="D117" i="222"/>
  <c r="A117" i="222"/>
  <c r="AB117" i="222" s="1"/>
  <c r="W116" i="222"/>
  <c r="G116" i="222"/>
  <c r="D116" i="222"/>
  <c r="C116" i="222"/>
  <c r="B116" i="222"/>
  <c r="W115" i="222"/>
  <c r="G115" i="222"/>
  <c r="D115" i="222"/>
  <c r="C115" i="222"/>
  <c r="B115" i="222"/>
  <c r="W114" i="222"/>
  <c r="G114" i="222"/>
  <c r="D114" i="222"/>
  <c r="C114" i="222"/>
  <c r="B114" i="222"/>
  <c r="AH113" i="222"/>
  <c r="AB113" i="222"/>
  <c r="Z113" i="222"/>
  <c r="W113" i="222"/>
  <c r="V113" i="222"/>
  <c r="U113" i="222"/>
  <c r="T113" i="222"/>
  <c r="S113" i="222"/>
  <c r="R113" i="222"/>
  <c r="Q113" i="222"/>
  <c r="P113" i="222"/>
  <c r="O113" i="222"/>
  <c r="N113" i="222"/>
  <c r="M113" i="222"/>
  <c r="L113" i="222"/>
  <c r="K113" i="222"/>
  <c r="G113" i="222"/>
  <c r="D113" i="222"/>
  <c r="A113" i="222"/>
  <c r="W112" i="222"/>
  <c r="G112" i="222"/>
  <c r="D112" i="222"/>
  <c r="C112" i="222"/>
  <c r="B112" i="222"/>
  <c r="W111" i="222"/>
  <c r="G111" i="222"/>
  <c r="D111" i="222"/>
  <c r="C111" i="222"/>
  <c r="B111" i="222"/>
  <c r="W110" i="222"/>
  <c r="G110" i="222"/>
  <c r="D110" i="222"/>
  <c r="C110" i="222"/>
  <c r="B110" i="222"/>
  <c r="W109" i="222"/>
  <c r="V109" i="222"/>
  <c r="U109" i="222"/>
  <c r="T109" i="222"/>
  <c r="S109" i="222"/>
  <c r="R109" i="222"/>
  <c r="Q109" i="222"/>
  <c r="P109" i="222"/>
  <c r="O109" i="222"/>
  <c r="N109" i="222"/>
  <c r="M109" i="222"/>
  <c r="L109" i="222"/>
  <c r="K109" i="222"/>
  <c r="G109" i="222"/>
  <c r="D109" i="222"/>
  <c r="A109" i="222"/>
  <c r="AD109" i="222" s="1"/>
  <c r="W108" i="222"/>
  <c r="G108" i="222"/>
  <c r="D108" i="222"/>
  <c r="C108" i="222"/>
  <c r="B108" i="222"/>
  <c r="W107" i="222"/>
  <c r="G107" i="222"/>
  <c r="D107" i="222"/>
  <c r="C107" i="222"/>
  <c r="B107" i="222"/>
  <c r="W106" i="222"/>
  <c r="G106" i="222"/>
  <c r="D106" i="222"/>
  <c r="C106" i="222"/>
  <c r="B106" i="222"/>
  <c r="AF105" i="222"/>
  <c r="AE105" i="222"/>
  <c r="W105" i="222"/>
  <c r="V105" i="222"/>
  <c r="U105" i="222"/>
  <c r="T105" i="222"/>
  <c r="S105" i="222"/>
  <c r="R105" i="222"/>
  <c r="Q105" i="222"/>
  <c r="P105" i="222"/>
  <c r="O105" i="222"/>
  <c r="N105" i="222"/>
  <c r="M105" i="222"/>
  <c r="L105" i="222"/>
  <c r="K105" i="222"/>
  <c r="G105" i="222"/>
  <c r="D105" i="222"/>
  <c r="A105" i="222"/>
  <c r="W104" i="222"/>
  <c r="G104" i="222"/>
  <c r="D104" i="222"/>
  <c r="C104" i="222"/>
  <c r="B104" i="222"/>
  <c r="W103" i="222"/>
  <c r="G103" i="222"/>
  <c r="D103" i="222"/>
  <c r="C103" i="222"/>
  <c r="B103" i="222"/>
  <c r="W102" i="222"/>
  <c r="G102" i="222"/>
  <c r="D102" i="222"/>
  <c r="C102" i="222"/>
  <c r="B102" i="222"/>
  <c r="AF101" i="222"/>
  <c r="AD101" i="222"/>
  <c r="W101" i="222"/>
  <c r="V101" i="222"/>
  <c r="U101" i="222"/>
  <c r="T101" i="222"/>
  <c r="S101" i="222"/>
  <c r="R101" i="222"/>
  <c r="Q101" i="222"/>
  <c r="P101" i="222"/>
  <c r="O101" i="222"/>
  <c r="N101" i="222"/>
  <c r="M101" i="222"/>
  <c r="L101" i="222"/>
  <c r="K101" i="222"/>
  <c r="G101" i="222"/>
  <c r="D101" i="222"/>
  <c r="A101" i="222"/>
  <c r="AJ101" i="222" s="1"/>
  <c r="W100" i="222"/>
  <c r="V100" i="222"/>
  <c r="U100" i="222"/>
  <c r="T100" i="222"/>
  <c r="S100" i="222"/>
  <c r="R100" i="222"/>
  <c r="Q100" i="222"/>
  <c r="P100" i="222"/>
  <c r="O100" i="222"/>
  <c r="N100" i="222"/>
  <c r="M100" i="222"/>
  <c r="L100" i="222"/>
  <c r="K100" i="222"/>
  <c r="G100" i="222"/>
  <c r="D100" i="222"/>
  <c r="C100" i="222"/>
  <c r="B100" i="222"/>
  <c r="W99" i="222"/>
  <c r="G99" i="222"/>
  <c r="D99" i="222"/>
  <c r="C99" i="222"/>
  <c r="B99" i="222"/>
  <c r="W98" i="222"/>
  <c r="G98" i="222"/>
  <c r="D98" i="222"/>
  <c r="C98" i="222"/>
  <c r="B98" i="222"/>
  <c r="AH97" i="222"/>
  <c r="AB97" i="222"/>
  <c r="W97" i="222"/>
  <c r="V97" i="222"/>
  <c r="U97" i="222"/>
  <c r="T97" i="222"/>
  <c r="S97" i="222"/>
  <c r="R97" i="222"/>
  <c r="Q97" i="222"/>
  <c r="P97" i="222"/>
  <c r="O97" i="222"/>
  <c r="N97" i="222"/>
  <c r="M97" i="222"/>
  <c r="L97" i="222"/>
  <c r="K97" i="222"/>
  <c r="G97" i="222"/>
  <c r="D97" i="222"/>
  <c r="A97" i="222"/>
  <c r="W96" i="222"/>
  <c r="G96" i="222"/>
  <c r="D96" i="222"/>
  <c r="C96" i="222"/>
  <c r="B96" i="222"/>
  <c r="W95" i="222"/>
  <c r="G95" i="222"/>
  <c r="D95" i="222"/>
  <c r="C95" i="222"/>
  <c r="B95" i="222"/>
  <c r="W94" i="222"/>
  <c r="G94" i="222"/>
  <c r="D94" i="222"/>
  <c r="C94" i="222"/>
  <c r="B94" i="222"/>
  <c r="AH93" i="222"/>
  <c r="W93" i="222"/>
  <c r="V93" i="222"/>
  <c r="U93" i="222"/>
  <c r="T93" i="222"/>
  <c r="S93" i="222"/>
  <c r="R93" i="222"/>
  <c r="Q93" i="222"/>
  <c r="P93" i="222"/>
  <c r="O93" i="222"/>
  <c r="N93" i="222"/>
  <c r="M93" i="222"/>
  <c r="L93" i="222"/>
  <c r="K93" i="222"/>
  <c r="G93" i="222"/>
  <c r="D93" i="222"/>
  <c r="A93" i="222"/>
  <c r="AJ93" i="222" s="1"/>
  <c r="W92" i="222"/>
  <c r="V92" i="222"/>
  <c r="U92" i="222"/>
  <c r="T92" i="222"/>
  <c r="S92" i="222"/>
  <c r="R92" i="222"/>
  <c r="Q92" i="222"/>
  <c r="P92" i="222"/>
  <c r="O92" i="222"/>
  <c r="N92" i="222"/>
  <c r="M92" i="222"/>
  <c r="L92" i="222"/>
  <c r="K92" i="222"/>
  <c r="G92" i="222"/>
  <c r="D92" i="222"/>
  <c r="B92" i="222"/>
  <c r="A92" i="222"/>
  <c r="A91" i="222"/>
  <c r="AG91" i="222" s="1"/>
  <c r="AH90" i="222"/>
  <c r="W90" i="222"/>
  <c r="G90" i="222"/>
  <c r="D90" i="222"/>
  <c r="A90" i="222"/>
  <c r="AJ90" i="222" s="1"/>
  <c r="A89" i="222"/>
  <c r="AH89" i="222" s="1"/>
  <c r="AI88" i="222"/>
  <c r="AB88" i="222"/>
  <c r="Z88" i="222"/>
  <c r="Y88" i="222"/>
  <c r="W88" i="222"/>
  <c r="G88" i="222"/>
  <c r="D88" i="222"/>
  <c r="A88" i="222"/>
  <c r="AD88" i="222" s="1"/>
  <c r="AF87" i="222"/>
  <c r="Y87" i="222"/>
  <c r="E87" i="222" s="1"/>
  <c r="F87" i="222" s="1"/>
  <c r="W87" i="222"/>
  <c r="G87" i="222"/>
  <c r="D87" i="222"/>
  <c r="A87" i="222"/>
  <c r="W86" i="222"/>
  <c r="G86" i="222"/>
  <c r="D86" i="222"/>
  <c r="A86" i="222"/>
  <c r="AJ85" i="222"/>
  <c r="A85" i="222"/>
  <c r="AE84" i="222"/>
  <c r="AD84" i="222"/>
  <c r="AC84" i="222"/>
  <c r="AB84" i="222"/>
  <c r="AA84" i="222"/>
  <c r="A84" i="222"/>
  <c r="AG83" i="222"/>
  <c r="AF83" i="222"/>
  <c r="AC83" i="222"/>
  <c r="Z83" i="222"/>
  <c r="A83" i="222"/>
  <c r="Y83" i="222" s="1"/>
  <c r="W82" i="222"/>
  <c r="G82" i="222"/>
  <c r="D82" i="222"/>
  <c r="A82" i="222"/>
  <c r="AH81" i="222"/>
  <c r="AF81" i="222"/>
  <c r="AE81" i="222"/>
  <c r="AB81" i="222"/>
  <c r="Z81" i="222"/>
  <c r="W81" i="222"/>
  <c r="G81" i="222"/>
  <c r="D81" i="222"/>
  <c r="A81" i="222"/>
  <c r="Z80" i="222"/>
  <c r="A80" i="222"/>
  <c r="AI79" i="222"/>
  <c r="AH79" i="222"/>
  <c r="W79" i="222"/>
  <c r="G79" i="222"/>
  <c r="D79" i="222"/>
  <c r="B79" i="222"/>
  <c r="A79" i="222"/>
  <c r="AJ79" i="222" s="1"/>
  <c r="W78" i="222"/>
  <c r="G78" i="222"/>
  <c r="D78" i="222"/>
  <c r="C78" i="222"/>
  <c r="B78" i="222"/>
  <c r="A78" i="222"/>
  <c r="AG78" i="222" s="1"/>
  <c r="W77" i="222"/>
  <c r="G77" i="222"/>
  <c r="D77" i="222"/>
  <c r="C77" i="222"/>
  <c r="B77" i="222"/>
  <c r="A77" i="222"/>
  <c r="W76" i="222"/>
  <c r="G76" i="222"/>
  <c r="D76" i="222"/>
  <c r="C76" i="222"/>
  <c r="B76" i="222"/>
  <c r="A76" i="222"/>
  <c r="W75" i="222"/>
  <c r="V75" i="222"/>
  <c r="U75" i="222"/>
  <c r="T75" i="222"/>
  <c r="S75" i="222"/>
  <c r="R75" i="222"/>
  <c r="Q75" i="222"/>
  <c r="P75" i="222"/>
  <c r="O75" i="222"/>
  <c r="N75" i="222"/>
  <c r="M75" i="222"/>
  <c r="L75" i="222"/>
  <c r="K75" i="222"/>
  <c r="G75" i="222"/>
  <c r="D75" i="222"/>
  <c r="A75" i="222"/>
  <c r="AE74" i="222"/>
  <c r="W74" i="222"/>
  <c r="G74" i="222"/>
  <c r="D74" i="222"/>
  <c r="A74" i="222"/>
  <c r="AB74" i="222" s="1"/>
  <c r="W73" i="222"/>
  <c r="G73" i="222"/>
  <c r="D73" i="222"/>
  <c r="A73" i="222"/>
  <c r="W72" i="222"/>
  <c r="G72" i="222"/>
  <c r="D72" i="222"/>
  <c r="A72" i="222"/>
  <c r="AH72" i="222" s="1"/>
  <c r="W71" i="222"/>
  <c r="G71" i="222"/>
  <c r="D71" i="222"/>
  <c r="A71" i="222"/>
  <c r="AI71" i="222" s="1"/>
  <c r="W70" i="222"/>
  <c r="G70" i="222"/>
  <c r="D70" i="222"/>
  <c r="A70" i="222"/>
  <c r="AJ70" i="222" s="1"/>
  <c r="W69" i="222"/>
  <c r="G69" i="222"/>
  <c r="D69" i="222"/>
  <c r="A69" i="222"/>
  <c r="W68" i="222"/>
  <c r="G68" i="222"/>
  <c r="D68" i="222"/>
  <c r="A68" i="222"/>
  <c r="W67" i="222"/>
  <c r="G67" i="222"/>
  <c r="D67" i="222"/>
  <c r="A67" i="222"/>
  <c r="AJ66" i="222"/>
  <c r="AG66" i="222"/>
  <c r="AD66" i="222"/>
  <c r="AC66" i="222"/>
  <c r="W66" i="222"/>
  <c r="G66" i="222"/>
  <c r="D66" i="222"/>
  <c r="A66" i="222"/>
  <c r="AB66" i="222" s="1"/>
  <c r="AG65" i="222"/>
  <c r="AA65" i="222"/>
  <c r="W65" i="222"/>
  <c r="G65" i="222"/>
  <c r="D65" i="222"/>
  <c r="A65" i="222"/>
  <c r="AE65" i="222" s="1"/>
  <c r="W64" i="222"/>
  <c r="G64" i="222"/>
  <c r="D64" i="222"/>
  <c r="A64" i="222"/>
  <c r="W63" i="222"/>
  <c r="V63" i="222"/>
  <c r="U63" i="222"/>
  <c r="T63" i="222"/>
  <c r="S63" i="222"/>
  <c r="R63" i="222"/>
  <c r="Q63" i="222"/>
  <c r="P63" i="222"/>
  <c r="O63" i="222"/>
  <c r="N63" i="222"/>
  <c r="M63" i="222"/>
  <c r="L63" i="222"/>
  <c r="K63" i="222"/>
  <c r="G63" i="222"/>
  <c r="D63" i="222"/>
  <c r="A63" i="222"/>
  <c r="AD63" i="222" s="1"/>
  <c r="W62" i="222"/>
  <c r="V62" i="222"/>
  <c r="U62" i="222"/>
  <c r="T62" i="222"/>
  <c r="S62" i="222"/>
  <c r="R62" i="222"/>
  <c r="Q62" i="222"/>
  <c r="P62" i="222"/>
  <c r="O62" i="222"/>
  <c r="N62" i="222"/>
  <c r="M62" i="222"/>
  <c r="L62" i="222"/>
  <c r="K62" i="222"/>
  <c r="G62" i="222"/>
  <c r="D62" i="222"/>
  <c r="A62" i="222"/>
  <c r="AE61" i="222"/>
  <c r="A61" i="222"/>
  <c r="AH61" i="222" s="1"/>
  <c r="A60" i="222"/>
  <c r="AI60" i="222" s="1"/>
  <c r="AE59" i="222"/>
  <c r="AB59" i="222"/>
  <c r="AA59" i="222"/>
  <c r="A59" i="222"/>
  <c r="Z59" i="222" s="1"/>
  <c r="AI58" i="222"/>
  <c r="Z58" i="222"/>
  <c r="A58" i="222"/>
  <c r="AD58" i="222" s="1"/>
  <c r="AE57" i="222"/>
  <c r="AD57" i="222"/>
  <c r="Y57" i="222"/>
  <c r="H57" i="222" s="1"/>
  <c r="A57" i="222"/>
  <c r="AJ56" i="222"/>
  <c r="A56" i="222"/>
  <c r="A55" i="222"/>
  <c r="A54" i="222"/>
  <c r="AJ53" i="222"/>
  <c r="AH53" i="222"/>
  <c r="AG53" i="222"/>
  <c r="AD53" i="222"/>
  <c r="AB53" i="222"/>
  <c r="AA53" i="222"/>
  <c r="A53" i="222"/>
  <c r="AE53" i="222" s="1"/>
  <c r="AE52" i="222"/>
  <c r="AB52" i="222"/>
  <c r="A52" i="222"/>
  <c r="AF52" i="222" s="1"/>
  <c r="AG51" i="222"/>
  <c r="A51" i="222"/>
  <c r="AJ51" i="222" s="1"/>
  <c r="AJ50" i="222"/>
  <c r="AG50" i="222"/>
  <c r="W50" i="222"/>
  <c r="G50" i="222"/>
  <c r="D50" i="222"/>
  <c r="C50" i="222"/>
  <c r="B50" i="222"/>
  <c r="A50" i="222"/>
  <c r="AH50" i="222" s="1"/>
  <c r="W49" i="222"/>
  <c r="G49" i="222"/>
  <c r="D49" i="222"/>
  <c r="C49" i="222"/>
  <c r="B49" i="222"/>
  <c r="A49" i="222"/>
  <c r="AI48" i="222"/>
  <c r="W48" i="222"/>
  <c r="G48" i="222"/>
  <c r="D48" i="222"/>
  <c r="C48" i="222"/>
  <c r="B48" i="222"/>
  <c r="A48" i="222"/>
  <c r="Z48" i="222" s="1"/>
  <c r="AC47" i="222"/>
  <c r="Z47" i="222"/>
  <c r="W47" i="222"/>
  <c r="V47" i="222"/>
  <c r="U47" i="222"/>
  <c r="T47" i="222"/>
  <c r="S47" i="222"/>
  <c r="R47" i="222"/>
  <c r="Q47" i="222"/>
  <c r="P47" i="222"/>
  <c r="O47" i="222"/>
  <c r="N47" i="222"/>
  <c r="M47" i="222"/>
  <c r="L47" i="222"/>
  <c r="K47" i="222"/>
  <c r="G47" i="222"/>
  <c r="D47" i="222"/>
  <c r="A47" i="222"/>
  <c r="AD46" i="222"/>
  <c r="AC46" i="222"/>
  <c r="AB46" i="222"/>
  <c r="AA46" i="222"/>
  <c r="Z46" i="222"/>
  <c r="Y46" i="222"/>
  <c r="H46" i="222" s="1"/>
  <c r="A46" i="222"/>
  <c r="AB45" i="222"/>
  <c r="A45" i="222"/>
  <c r="AI45" i="222" s="1"/>
  <c r="AJ44" i="222"/>
  <c r="AI44" i="222"/>
  <c r="AH44" i="222"/>
  <c r="AG44" i="222"/>
  <c r="AF44" i="222"/>
  <c r="A44" i="222"/>
  <c r="AA44" i="222" s="1"/>
  <c r="C43" i="222"/>
  <c r="B43" i="222"/>
  <c r="A43" i="222"/>
  <c r="V42" i="222"/>
  <c r="U42" i="222"/>
  <c r="T42" i="222"/>
  <c r="S42" i="222"/>
  <c r="R42" i="222"/>
  <c r="Q42" i="222"/>
  <c r="P42" i="222"/>
  <c r="O42" i="222"/>
  <c r="N42" i="222"/>
  <c r="M42" i="222"/>
  <c r="L42" i="222"/>
  <c r="C42" i="222"/>
  <c r="B42" i="222"/>
  <c r="A42" i="222"/>
  <c r="Z41" i="222"/>
  <c r="W41" i="222"/>
  <c r="G41" i="222"/>
  <c r="D41" i="222"/>
  <c r="A41" i="222"/>
  <c r="AD41" i="222" s="1"/>
  <c r="AG40" i="222"/>
  <c r="W40" i="222"/>
  <c r="G40" i="222"/>
  <c r="D40" i="222"/>
  <c r="A40" i="222"/>
  <c r="AI40" i="222" s="1"/>
  <c r="W39" i="222"/>
  <c r="G39" i="222"/>
  <c r="D39" i="222"/>
  <c r="A39" i="222"/>
  <c r="AC39" i="222" s="1"/>
  <c r="AI38" i="222"/>
  <c r="AF38" i="222"/>
  <c r="W38" i="222"/>
  <c r="V38" i="222"/>
  <c r="U38" i="222"/>
  <c r="T38" i="222"/>
  <c r="S38" i="222"/>
  <c r="R38" i="222"/>
  <c r="Q38" i="222"/>
  <c r="P38" i="222"/>
  <c r="O38" i="222"/>
  <c r="N38" i="222"/>
  <c r="M38" i="222"/>
  <c r="L38" i="222"/>
  <c r="K38" i="222"/>
  <c r="G38" i="222"/>
  <c r="D38" i="222"/>
  <c r="A38" i="222"/>
  <c r="W37" i="222"/>
  <c r="G37" i="222"/>
  <c r="D37" i="222"/>
  <c r="A37" i="222"/>
  <c r="W36" i="222"/>
  <c r="G36" i="222"/>
  <c r="D36" i="222"/>
  <c r="A36" i="222"/>
  <c r="AI35" i="222"/>
  <c r="AH35" i="222"/>
  <c r="W35" i="222"/>
  <c r="V35" i="222"/>
  <c r="U35" i="222"/>
  <c r="T35" i="222"/>
  <c r="S35" i="222"/>
  <c r="R35" i="222"/>
  <c r="Q35" i="222"/>
  <c r="P35" i="222"/>
  <c r="O35" i="222"/>
  <c r="N35" i="222"/>
  <c r="M35" i="222"/>
  <c r="L35" i="222"/>
  <c r="K35" i="222"/>
  <c r="G35" i="222"/>
  <c r="D35" i="222"/>
  <c r="A35" i="222"/>
  <c r="AD35" i="222" s="1"/>
  <c r="AI34" i="222"/>
  <c r="AE34" i="222"/>
  <c r="AD34" i="222"/>
  <c r="Z34" i="222"/>
  <c r="W34" i="222"/>
  <c r="G34" i="222"/>
  <c r="D34" i="222"/>
  <c r="A34" i="222"/>
  <c r="AG33" i="222"/>
  <c r="AE33" i="222"/>
  <c r="W33" i="222"/>
  <c r="V33" i="222"/>
  <c r="U33" i="222"/>
  <c r="T33" i="222"/>
  <c r="S33" i="222"/>
  <c r="R33" i="222"/>
  <c r="Q33" i="222"/>
  <c r="P33" i="222"/>
  <c r="O33" i="222"/>
  <c r="N33" i="222"/>
  <c r="M33" i="222"/>
  <c r="L33" i="222"/>
  <c r="K33" i="222"/>
  <c r="G33" i="222"/>
  <c r="D33" i="222"/>
  <c r="A33" i="222"/>
  <c r="W32" i="222"/>
  <c r="G32" i="222"/>
  <c r="D32" i="222"/>
  <c r="A32" i="222"/>
  <c r="AD31" i="222"/>
  <c r="Z31" i="222"/>
  <c r="W31" i="222"/>
  <c r="G31" i="222"/>
  <c r="D31" i="222"/>
  <c r="A31" i="222"/>
  <c r="AE31" i="222" s="1"/>
  <c r="AE30" i="222"/>
  <c r="W30" i="222"/>
  <c r="G30" i="222"/>
  <c r="D30" i="222"/>
  <c r="A30" i="222"/>
  <c r="W29" i="222"/>
  <c r="G29" i="222"/>
  <c r="D29" i="222"/>
  <c r="A29" i="222"/>
  <c r="AJ28" i="222"/>
  <c r="W28" i="222"/>
  <c r="G28" i="222"/>
  <c r="D28" i="222"/>
  <c r="A28" i="222"/>
  <c r="AG27" i="222"/>
  <c r="W27" i="222"/>
  <c r="G27" i="222"/>
  <c r="D27" i="222"/>
  <c r="A27" i="222"/>
  <c r="AE27" i="222" s="1"/>
  <c r="AI26" i="222"/>
  <c r="AH26" i="222"/>
  <c r="AF26" i="222"/>
  <c r="AE26" i="222"/>
  <c r="AA26" i="222"/>
  <c r="Y26" i="222"/>
  <c r="W26" i="222"/>
  <c r="G26" i="222"/>
  <c r="D26" i="222"/>
  <c r="A26" i="222"/>
  <c r="W25" i="222"/>
  <c r="G25" i="222"/>
  <c r="D25" i="222"/>
  <c r="A25" i="222"/>
  <c r="AD25" i="222" s="1"/>
  <c r="AH24" i="222"/>
  <c r="AG24" i="222"/>
  <c r="W24" i="222"/>
  <c r="G24" i="222"/>
  <c r="D24" i="222"/>
  <c r="A24" i="222"/>
  <c r="AJ24" i="222" s="1"/>
  <c r="AE23" i="222"/>
  <c r="V23" i="222"/>
  <c r="U23" i="222"/>
  <c r="T23" i="222"/>
  <c r="S23" i="222"/>
  <c r="R23" i="222"/>
  <c r="Q23" i="222"/>
  <c r="P23" i="222"/>
  <c r="O23" i="222"/>
  <c r="N23" i="222"/>
  <c r="M23" i="222"/>
  <c r="L23" i="222"/>
  <c r="K23" i="222"/>
  <c r="W23" i="222" s="1"/>
  <c r="A23" i="222"/>
  <c r="AC23" i="222" s="1"/>
  <c r="B22" i="222"/>
  <c r="A22" i="222"/>
  <c r="C21" i="222"/>
  <c r="B21" i="222"/>
  <c r="A21" i="222"/>
  <c r="C20" i="222"/>
  <c r="B20" i="222"/>
  <c r="A20" i="222"/>
  <c r="V19" i="222"/>
  <c r="U19" i="222"/>
  <c r="T19" i="222"/>
  <c r="S19" i="222"/>
  <c r="R19" i="222"/>
  <c r="Q19" i="222"/>
  <c r="P19" i="222"/>
  <c r="O19" i="222"/>
  <c r="N19" i="222"/>
  <c r="M19" i="222"/>
  <c r="L19" i="222"/>
  <c r="K19" i="222"/>
  <c r="G19" i="222"/>
  <c r="D19" i="222"/>
  <c r="C19" i="222"/>
  <c r="B19" i="222"/>
  <c r="A19" i="222"/>
  <c r="AD18" i="222"/>
  <c r="AA18" i="222"/>
  <c r="W18" i="222"/>
  <c r="G18" i="222"/>
  <c r="D18" i="222"/>
  <c r="A18" i="222"/>
  <c r="AB18" i="222" s="1"/>
  <c r="AH17" i="222"/>
  <c r="AF17" i="222"/>
  <c r="AD17" i="222"/>
  <c r="AC17" i="222"/>
  <c r="AB17" i="222"/>
  <c r="W17" i="222"/>
  <c r="G17" i="222"/>
  <c r="D17" i="222"/>
  <c r="A17" i="222"/>
  <c r="AI17" i="222" s="1"/>
  <c r="AC16" i="222"/>
  <c r="W16" i="222"/>
  <c r="G16" i="222"/>
  <c r="D16" i="222"/>
  <c r="A16" i="222"/>
  <c r="AB16" i="222" s="1"/>
  <c r="AB15" i="222"/>
  <c r="AA15" i="222"/>
  <c r="Z15" i="222"/>
  <c r="W15" i="222"/>
  <c r="G15" i="222"/>
  <c r="D15" i="222"/>
  <c r="A15" i="222"/>
  <c r="Y15" i="222" s="1"/>
  <c r="H15" i="222" s="1"/>
  <c r="W14" i="222"/>
  <c r="G14" i="222"/>
  <c r="D14" i="222"/>
  <c r="A14" i="222"/>
  <c r="C13" i="222"/>
  <c r="B13" i="222"/>
  <c r="A13" i="222"/>
  <c r="V12" i="222"/>
  <c r="U12" i="222"/>
  <c r="T12" i="222"/>
  <c r="S12" i="222"/>
  <c r="R12" i="222"/>
  <c r="Q12" i="222"/>
  <c r="P12" i="222"/>
  <c r="O12" i="222"/>
  <c r="N12" i="222"/>
  <c r="M12" i="222"/>
  <c r="L12" i="222"/>
  <c r="K12" i="222"/>
  <c r="G12" i="222"/>
  <c r="D12" i="222"/>
  <c r="C12" i="222"/>
  <c r="B12" i="222"/>
  <c r="A12" i="222"/>
  <c r="W11" i="222"/>
  <c r="G11" i="222"/>
  <c r="D11" i="222"/>
  <c r="C11" i="222"/>
  <c r="B11" i="222"/>
  <c r="A11" i="222"/>
  <c r="AB11" i="222" s="1"/>
  <c r="AF10" i="222"/>
  <c r="AE10" i="222"/>
  <c r="AD10" i="222"/>
  <c r="W10" i="222"/>
  <c r="G10" i="222"/>
  <c r="D10" i="222"/>
  <c r="C10" i="222"/>
  <c r="B10" i="222"/>
  <c r="A10" i="222"/>
  <c r="AG10" i="222" s="1"/>
  <c r="W9" i="222"/>
  <c r="V9" i="222"/>
  <c r="U9" i="222"/>
  <c r="T9" i="222"/>
  <c r="S9" i="222"/>
  <c r="R9" i="222"/>
  <c r="Q9" i="222"/>
  <c r="P9" i="222"/>
  <c r="O9" i="222"/>
  <c r="N9" i="222"/>
  <c r="M9" i="222"/>
  <c r="L9" i="222"/>
  <c r="K9" i="222"/>
  <c r="G9" i="222"/>
  <c r="D9" i="222"/>
  <c r="B9" i="222"/>
  <c r="A9" i="222"/>
  <c r="AJ8" i="222"/>
  <c r="AI8" i="222"/>
  <c r="AG8" i="222"/>
  <c r="AF8" i="222"/>
  <c r="AD8" i="222"/>
  <c r="AA8" i="222"/>
  <c r="W8" i="222"/>
  <c r="G8" i="222"/>
  <c r="D8" i="222"/>
  <c r="B8" i="222"/>
  <c r="A8" i="222"/>
  <c r="B7" i="222"/>
  <c r="A7" i="222"/>
  <c r="C7" i="222" s="1"/>
  <c r="H6" i="222"/>
  <c r="G6" i="222"/>
  <c r="E6" i="222"/>
  <c r="D6" i="222"/>
  <c r="A219" i="221"/>
  <c r="A218" i="221"/>
  <c r="A217" i="221"/>
  <c r="A216" i="221"/>
  <c r="A215" i="221"/>
  <c r="A214" i="221"/>
  <c r="A213" i="221"/>
  <c r="A212" i="221"/>
  <c r="A211" i="221"/>
  <c r="A210" i="221"/>
  <c r="A209" i="221"/>
  <c r="C208" i="221"/>
  <c r="A208" i="221"/>
  <c r="H207" i="221"/>
  <c r="E207" i="221"/>
  <c r="C207" i="221"/>
  <c r="B207" i="221"/>
  <c r="A207" i="221"/>
  <c r="C206" i="221"/>
  <c r="B206" i="221"/>
  <c r="A206" i="221"/>
  <c r="Z205" i="221"/>
  <c r="W205" i="221"/>
  <c r="H205" i="221"/>
  <c r="G205" i="221"/>
  <c r="E205" i="221"/>
  <c r="F205" i="221" s="1"/>
  <c r="D205" i="221"/>
  <c r="A205" i="221"/>
  <c r="AH205" i="221" s="1"/>
  <c r="W204" i="221"/>
  <c r="H204" i="221"/>
  <c r="G204" i="221"/>
  <c r="F204" i="221"/>
  <c r="E204" i="221"/>
  <c r="D204" i="221"/>
  <c r="A204" i="221"/>
  <c r="AJ204" i="221" s="1"/>
  <c r="AI203" i="221"/>
  <c r="AH203" i="221"/>
  <c r="AF203" i="221"/>
  <c r="AC203" i="221"/>
  <c r="W203" i="221"/>
  <c r="H203" i="221"/>
  <c r="G203" i="221"/>
  <c r="E203" i="221"/>
  <c r="F203" i="221" s="1"/>
  <c r="D203" i="221"/>
  <c r="A203" i="221"/>
  <c r="C202" i="221"/>
  <c r="B202" i="221"/>
  <c r="A202" i="221"/>
  <c r="H201" i="221"/>
  <c r="E201" i="221"/>
  <c r="C201" i="221"/>
  <c r="B201" i="221"/>
  <c r="A201" i="221"/>
  <c r="C200" i="221"/>
  <c r="B200" i="221"/>
  <c r="A200" i="221"/>
  <c r="W199" i="221"/>
  <c r="V199" i="221"/>
  <c r="U199" i="221"/>
  <c r="T199" i="221"/>
  <c r="S199" i="221"/>
  <c r="R199" i="221"/>
  <c r="Q199" i="221"/>
  <c r="P199" i="221"/>
  <c r="O199" i="221"/>
  <c r="N199" i="221"/>
  <c r="M199" i="221"/>
  <c r="L199" i="221"/>
  <c r="K199" i="221"/>
  <c r="H199" i="221"/>
  <c r="G199" i="221"/>
  <c r="E199" i="221"/>
  <c r="F199" i="221" s="1"/>
  <c r="D199" i="221"/>
  <c r="C199" i="221"/>
  <c r="B199" i="221"/>
  <c r="A199" i="221"/>
  <c r="W198" i="221"/>
  <c r="H198" i="221"/>
  <c r="G198" i="221"/>
  <c r="E198" i="221"/>
  <c r="F198" i="221" s="1"/>
  <c r="D198" i="221"/>
  <c r="A198" i="221"/>
  <c r="W197" i="221"/>
  <c r="H197" i="221"/>
  <c r="G197" i="221"/>
  <c r="E197" i="221"/>
  <c r="F197" i="221" s="1"/>
  <c r="D197" i="221"/>
  <c r="A197" i="221"/>
  <c r="AI196" i="221"/>
  <c r="AH196" i="221"/>
  <c r="AG196" i="221"/>
  <c r="AD196" i="221"/>
  <c r="Z196" i="221"/>
  <c r="W196" i="221"/>
  <c r="H196" i="221"/>
  <c r="G196" i="221"/>
  <c r="E196" i="221"/>
  <c r="F196" i="221" s="1"/>
  <c r="D196" i="221"/>
  <c r="A196" i="221"/>
  <c r="W195" i="221"/>
  <c r="V195" i="221"/>
  <c r="U195" i="221"/>
  <c r="T195" i="221"/>
  <c r="S195" i="221"/>
  <c r="R195" i="221"/>
  <c r="Q195" i="221"/>
  <c r="P195" i="221"/>
  <c r="O195" i="221"/>
  <c r="N195" i="221"/>
  <c r="M195" i="221"/>
  <c r="L195" i="221"/>
  <c r="K195" i="221"/>
  <c r="H195" i="221"/>
  <c r="G195" i="221"/>
  <c r="E195" i="221"/>
  <c r="F195" i="221" s="1"/>
  <c r="D195" i="221"/>
  <c r="A195" i="221"/>
  <c r="AD194" i="221"/>
  <c r="AB194" i="221"/>
  <c r="AA194" i="221"/>
  <c r="Z194" i="221"/>
  <c r="W194" i="221"/>
  <c r="H194" i="221"/>
  <c r="G194" i="221"/>
  <c r="E194" i="221"/>
  <c r="F194" i="221" s="1"/>
  <c r="D194" i="221"/>
  <c r="A194" i="221"/>
  <c r="Y194" i="221" s="1"/>
  <c r="W193" i="221"/>
  <c r="H193" i="221"/>
  <c r="G193" i="221"/>
  <c r="E193" i="221"/>
  <c r="F193" i="221" s="1"/>
  <c r="D193" i="221"/>
  <c r="A193" i="221"/>
  <c r="W192" i="221"/>
  <c r="H192" i="221"/>
  <c r="G192" i="221"/>
  <c r="E192" i="221"/>
  <c r="F192" i="221" s="1"/>
  <c r="D192" i="221"/>
  <c r="A192" i="221"/>
  <c r="W191" i="221"/>
  <c r="H191" i="221"/>
  <c r="G191" i="221"/>
  <c r="E191" i="221"/>
  <c r="F191" i="221" s="1"/>
  <c r="D191" i="221"/>
  <c r="A191" i="221"/>
  <c r="AG190" i="221"/>
  <c r="AF190" i="221"/>
  <c r="W190" i="221"/>
  <c r="H190" i="221"/>
  <c r="G190" i="221"/>
  <c r="E190" i="221"/>
  <c r="F190" i="221" s="1"/>
  <c r="D190" i="221"/>
  <c r="A190" i="221"/>
  <c r="W189" i="221"/>
  <c r="H189" i="221"/>
  <c r="G189" i="221"/>
  <c r="E189" i="221"/>
  <c r="F189" i="221" s="1"/>
  <c r="D189" i="221"/>
  <c r="A189" i="221"/>
  <c r="AB189" i="221" s="1"/>
  <c r="AI188" i="221"/>
  <c r="AE188" i="221"/>
  <c r="AC188" i="221"/>
  <c r="W188" i="221"/>
  <c r="H188" i="221"/>
  <c r="G188" i="221"/>
  <c r="E188" i="221"/>
  <c r="F188" i="221" s="1"/>
  <c r="D188" i="221"/>
  <c r="A188" i="221"/>
  <c r="AH188" i="221" s="1"/>
  <c r="W187" i="221"/>
  <c r="V187" i="221"/>
  <c r="U187" i="221"/>
  <c r="T187" i="221"/>
  <c r="S187" i="221"/>
  <c r="R187" i="221"/>
  <c r="Q187" i="221"/>
  <c r="P187" i="221"/>
  <c r="O187" i="221"/>
  <c r="N187" i="221"/>
  <c r="M187" i="221"/>
  <c r="L187" i="221"/>
  <c r="K187" i="221"/>
  <c r="H187" i="221"/>
  <c r="G187" i="221"/>
  <c r="E187" i="221"/>
  <c r="F187" i="221" s="1"/>
  <c r="D187" i="221"/>
  <c r="A187" i="221"/>
  <c r="AF187" i="221" s="1"/>
  <c r="C186" i="221"/>
  <c r="B186" i="221"/>
  <c r="A186" i="221"/>
  <c r="H185" i="221"/>
  <c r="E185" i="221"/>
  <c r="C185" i="221"/>
  <c r="B185" i="221"/>
  <c r="A185" i="221"/>
  <c r="W184" i="221"/>
  <c r="C184" i="221"/>
  <c r="B184" i="221"/>
  <c r="A184" i="221"/>
  <c r="V183" i="221"/>
  <c r="U183" i="221"/>
  <c r="T183" i="221"/>
  <c r="S183" i="221"/>
  <c r="R183" i="221"/>
  <c r="Q183" i="221"/>
  <c r="P183" i="221"/>
  <c r="O183" i="221"/>
  <c r="N183" i="221"/>
  <c r="M183" i="221"/>
  <c r="L183" i="221"/>
  <c r="K183" i="221"/>
  <c r="H183" i="221"/>
  <c r="G183" i="221"/>
  <c r="E183" i="221"/>
  <c r="F183" i="221" s="1"/>
  <c r="D183" i="221"/>
  <c r="C183" i="221"/>
  <c r="B183" i="221"/>
  <c r="A183" i="221"/>
  <c r="W182" i="221"/>
  <c r="H182" i="221"/>
  <c r="G182" i="221"/>
  <c r="E182" i="221"/>
  <c r="F182" i="221" s="1"/>
  <c r="D182" i="221"/>
  <c r="A182" i="221"/>
  <c r="W181" i="221"/>
  <c r="H181" i="221"/>
  <c r="G181" i="221"/>
  <c r="E181" i="221"/>
  <c r="F181" i="221" s="1"/>
  <c r="D181" i="221"/>
  <c r="A181" i="221"/>
  <c r="AE180" i="221"/>
  <c r="W180" i="221"/>
  <c r="H180" i="221"/>
  <c r="G180" i="221"/>
  <c r="E180" i="221"/>
  <c r="F180" i="221" s="1"/>
  <c r="D180" i="221"/>
  <c r="A180" i="221"/>
  <c r="W179" i="221"/>
  <c r="H179" i="221"/>
  <c r="G179" i="221"/>
  <c r="E179" i="221"/>
  <c r="F179" i="221" s="1"/>
  <c r="D179" i="221"/>
  <c r="A179" i="221"/>
  <c r="AJ178" i="221"/>
  <c r="Y178" i="221"/>
  <c r="W178" i="221"/>
  <c r="H178" i="221"/>
  <c r="G178" i="221"/>
  <c r="E178" i="221"/>
  <c r="F178" i="221" s="1"/>
  <c r="D178" i="221"/>
  <c r="A178" i="221"/>
  <c r="W177" i="221"/>
  <c r="V177" i="221"/>
  <c r="U177" i="221"/>
  <c r="T177" i="221"/>
  <c r="S177" i="221"/>
  <c r="R177" i="221"/>
  <c r="Q177" i="221"/>
  <c r="P177" i="221"/>
  <c r="O177" i="221"/>
  <c r="N177" i="221"/>
  <c r="M177" i="221"/>
  <c r="L177" i="221"/>
  <c r="K177" i="221"/>
  <c r="H177" i="221"/>
  <c r="G177" i="221"/>
  <c r="E177" i="221"/>
  <c r="F177" i="221" s="1"/>
  <c r="D177" i="221"/>
  <c r="A177" i="221"/>
  <c r="AJ176" i="221"/>
  <c r="AG176" i="221"/>
  <c r="AF176" i="221"/>
  <c r="AB176" i="221"/>
  <c r="W176" i="221"/>
  <c r="H176" i="221"/>
  <c r="G176" i="221"/>
  <c r="E176" i="221"/>
  <c r="F176" i="221" s="1"/>
  <c r="D176" i="221"/>
  <c r="A176" i="221"/>
  <c r="W175" i="221"/>
  <c r="H175" i="221"/>
  <c r="G175" i="221"/>
  <c r="E175" i="221"/>
  <c r="F175" i="221" s="1"/>
  <c r="D175" i="221"/>
  <c r="A175" i="221"/>
  <c r="AI175" i="221" s="1"/>
  <c r="AF174" i="221"/>
  <c r="W174" i="221"/>
  <c r="H174" i="221"/>
  <c r="G174" i="221"/>
  <c r="E174" i="221"/>
  <c r="F174" i="221" s="1"/>
  <c r="D174" i="221"/>
  <c r="A174" i="221"/>
  <c r="C173" i="221"/>
  <c r="B173" i="221"/>
  <c r="A173" i="221"/>
  <c r="H172" i="221"/>
  <c r="E172" i="221"/>
  <c r="C172" i="221"/>
  <c r="B172" i="221"/>
  <c r="A172" i="221"/>
  <c r="V171" i="221"/>
  <c r="U171" i="221"/>
  <c r="T171" i="221"/>
  <c r="S171" i="221"/>
  <c r="S173" i="221" s="1"/>
  <c r="R171" i="221"/>
  <c r="Q171" i="221"/>
  <c r="P171" i="221"/>
  <c r="O171" i="221"/>
  <c r="N171" i="221"/>
  <c r="M171" i="221"/>
  <c r="L171" i="221"/>
  <c r="K171" i="221"/>
  <c r="D171" i="221" s="1"/>
  <c r="H171" i="221"/>
  <c r="E171" i="221"/>
  <c r="A171" i="221"/>
  <c r="H170" i="221"/>
  <c r="I170" i="221" s="1"/>
  <c r="E170" i="221"/>
  <c r="F170" i="221" s="1"/>
  <c r="A170" i="221"/>
  <c r="W169" i="221"/>
  <c r="H169" i="221"/>
  <c r="G169" i="221"/>
  <c r="E169" i="221"/>
  <c r="F169" i="221" s="1"/>
  <c r="D169" i="221"/>
  <c r="A169" i="221"/>
  <c r="W168" i="221"/>
  <c r="H168" i="221"/>
  <c r="G168" i="221"/>
  <c r="E168" i="221"/>
  <c r="F168" i="221" s="1"/>
  <c r="D168" i="221"/>
  <c r="A168" i="221"/>
  <c r="AJ168" i="221" s="1"/>
  <c r="AG167" i="221"/>
  <c r="W167" i="221"/>
  <c r="V167" i="221"/>
  <c r="U167" i="221"/>
  <c r="T167" i="221"/>
  <c r="S167" i="221"/>
  <c r="R167" i="221"/>
  <c r="Q167" i="221"/>
  <c r="P167" i="221"/>
  <c r="O167" i="221"/>
  <c r="N167" i="221"/>
  <c r="M167" i="221"/>
  <c r="L167" i="221"/>
  <c r="K167" i="221"/>
  <c r="H167" i="221"/>
  <c r="G167" i="221"/>
  <c r="E167" i="221"/>
  <c r="F167" i="221" s="1"/>
  <c r="D167" i="221"/>
  <c r="A167" i="221"/>
  <c r="AI167" i="221" s="1"/>
  <c r="AG166" i="221"/>
  <c r="AD166" i="221"/>
  <c r="AA166" i="221"/>
  <c r="Z166" i="221"/>
  <c r="W166" i="221"/>
  <c r="H166" i="221"/>
  <c r="G166" i="221"/>
  <c r="E166" i="221"/>
  <c r="F166" i="221" s="1"/>
  <c r="D166" i="221"/>
  <c r="A166" i="221"/>
  <c r="AH166" i="221" s="1"/>
  <c r="AH165" i="221"/>
  <c r="AG165" i="221"/>
  <c r="AF165" i="221"/>
  <c r="AE165" i="221"/>
  <c r="AD165" i="221"/>
  <c r="AC165" i="221"/>
  <c r="AA165" i="221"/>
  <c r="Z165" i="221"/>
  <c r="Y165" i="221"/>
  <c r="H165" i="221"/>
  <c r="E165" i="221"/>
  <c r="A165" i="221"/>
  <c r="W164" i="221"/>
  <c r="H164" i="221"/>
  <c r="G164" i="221"/>
  <c r="E164" i="221"/>
  <c r="F164" i="221" s="1"/>
  <c r="D164" i="221"/>
  <c r="A164" i="221"/>
  <c r="AE164" i="221" s="1"/>
  <c r="AJ163" i="221"/>
  <c r="AI163" i="221"/>
  <c r="AB163" i="221"/>
  <c r="Z163" i="221"/>
  <c r="W163" i="221"/>
  <c r="H163" i="221"/>
  <c r="G163" i="221"/>
  <c r="E163" i="221"/>
  <c r="F163" i="221" s="1"/>
  <c r="D163" i="221"/>
  <c r="A163" i="221"/>
  <c r="AE162" i="221"/>
  <c r="AD162" i="221"/>
  <c r="AC162" i="221"/>
  <c r="AB162" i="221"/>
  <c r="Z162" i="221"/>
  <c r="Y162" i="221"/>
  <c r="W162" i="221"/>
  <c r="V162" i="221"/>
  <c r="U162" i="221"/>
  <c r="T162" i="221"/>
  <c r="S162" i="221"/>
  <c r="R162" i="221"/>
  <c r="Q162" i="221"/>
  <c r="P162" i="221"/>
  <c r="O162" i="221"/>
  <c r="N162" i="221"/>
  <c r="M162" i="221"/>
  <c r="L162" i="221"/>
  <c r="K162" i="221"/>
  <c r="H162" i="221"/>
  <c r="G162" i="221"/>
  <c r="E162" i="221"/>
  <c r="F162" i="221" s="1"/>
  <c r="D162" i="221"/>
  <c r="A162" i="221"/>
  <c r="AJ162" i="221" s="1"/>
  <c r="W161" i="221"/>
  <c r="H161" i="221"/>
  <c r="G161" i="221"/>
  <c r="E161" i="221"/>
  <c r="F161" i="221" s="1"/>
  <c r="D161" i="221"/>
  <c r="A161" i="221"/>
  <c r="AG160" i="221"/>
  <c r="AB160" i="221"/>
  <c r="W160" i="221"/>
  <c r="H160" i="221"/>
  <c r="G160" i="221"/>
  <c r="E160" i="221"/>
  <c r="F160" i="221" s="1"/>
  <c r="D160" i="221"/>
  <c r="A160" i="221"/>
  <c r="W159" i="221"/>
  <c r="V159" i="221"/>
  <c r="U159" i="221"/>
  <c r="T159" i="221"/>
  <c r="S159" i="221"/>
  <c r="R159" i="221"/>
  <c r="Q159" i="221"/>
  <c r="P159" i="221"/>
  <c r="O159" i="221"/>
  <c r="N159" i="221"/>
  <c r="M159" i="221"/>
  <c r="L159" i="221"/>
  <c r="K159" i="221"/>
  <c r="H159" i="221"/>
  <c r="G159" i="221"/>
  <c r="E159" i="221"/>
  <c r="F159" i="221" s="1"/>
  <c r="D159" i="221"/>
  <c r="A159" i="221"/>
  <c r="AD159" i="221" s="1"/>
  <c r="W158" i="221"/>
  <c r="H158" i="221"/>
  <c r="G158" i="221"/>
  <c r="E158" i="221"/>
  <c r="F158" i="221" s="1"/>
  <c r="D158" i="221"/>
  <c r="A158" i="221"/>
  <c r="AJ158" i="221" s="1"/>
  <c r="AA157" i="221"/>
  <c r="W157" i="221"/>
  <c r="H157" i="221"/>
  <c r="G157" i="221"/>
  <c r="E157" i="221"/>
  <c r="F157" i="221" s="1"/>
  <c r="D157" i="221"/>
  <c r="A157" i="221"/>
  <c r="AJ157" i="221" s="1"/>
  <c r="H156" i="221"/>
  <c r="E156" i="221"/>
  <c r="A156" i="221"/>
  <c r="B155" i="221"/>
  <c r="A155" i="221"/>
  <c r="W154" i="221"/>
  <c r="C154" i="221"/>
  <c r="B154" i="221"/>
  <c r="A154" i="221"/>
  <c r="H153" i="221"/>
  <c r="E153" i="221"/>
  <c r="C153" i="221"/>
  <c r="B153" i="221"/>
  <c r="A153" i="221"/>
  <c r="H152" i="221"/>
  <c r="E152" i="221"/>
  <c r="A152" i="221"/>
  <c r="W151" i="221"/>
  <c r="H151" i="221"/>
  <c r="G151" i="221"/>
  <c r="E151" i="221"/>
  <c r="F151" i="221" s="1"/>
  <c r="D151" i="221"/>
  <c r="A151" i="221"/>
  <c r="AH151" i="221" s="1"/>
  <c r="W150" i="221"/>
  <c r="H150" i="221"/>
  <c r="G150" i="221"/>
  <c r="E150" i="221"/>
  <c r="F150" i="221" s="1"/>
  <c r="D150" i="221"/>
  <c r="A150" i="221"/>
  <c r="W149" i="221"/>
  <c r="H149" i="221"/>
  <c r="G149" i="221"/>
  <c r="E149" i="221"/>
  <c r="F149" i="221" s="1"/>
  <c r="D149" i="221"/>
  <c r="A149" i="221"/>
  <c r="AI148" i="221"/>
  <c r="AH148" i="221"/>
  <c r="AG148" i="221"/>
  <c r="AC148" i="221"/>
  <c r="AB148" i="221"/>
  <c r="Z148" i="221"/>
  <c r="W148" i="221"/>
  <c r="H148" i="221"/>
  <c r="G148" i="221"/>
  <c r="E148" i="221"/>
  <c r="F148" i="221" s="1"/>
  <c r="D148" i="221"/>
  <c r="A148" i="221"/>
  <c r="AD147" i="221"/>
  <c r="W147" i="221"/>
  <c r="H147" i="221"/>
  <c r="G147" i="221"/>
  <c r="E147" i="221"/>
  <c r="F147" i="221" s="1"/>
  <c r="D147" i="221"/>
  <c r="A147" i="221"/>
  <c r="H146" i="221"/>
  <c r="E146" i="221"/>
  <c r="A146" i="221"/>
  <c r="AJ146" i="221" s="1"/>
  <c r="W145" i="221"/>
  <c r="H145" i="221"/>
  <c r="G145" i="221"/>
  <c r="E145" i="221"/>
  <c r="F145" i="221" s="1"/>
  <c r="D145" i="221"/>
  <c r="A145" i="221"/>
  <c r="W144" i="221"/>
  <c r="H144" i="221"/>
  <c r="G144" i="221"/>
  <c r="F144" i="221"/>
  <c r="E144" i="221"/>
  <c r="D144" i="221"/>
  <c r="A144" i="221"/>
  <c r="W143" i="221"/>
  <c r="H143" i="221"/>
  <c r="G143" i="221"/>
  <c r="E143" i="221"/>
  <c r="F143" i="221" s="1"/>
  <c r="D143" i="221"/>
  <c r="A143" i="221"/>
  <c r="H142" i="221"/>
  <c r="E142" i="221"/>
  <c r="A142" i="221"/>
  <c r="AB141" i="221"/>
  <c r="W141" i="221"/>
  <c r="H141" i="221"/>
  <c r="G141" i="221"/>
  <c r="E141" i="221"/>
  <c r="F141" i="221" s="1"/>
  <c r="D141" i="221"/>
  <c r="A141" i="221"/>
  <c r="W140" i="221"/>
  <c r="H140" i="221"/>
  <c r="G140" i="221"/>
  <c r="E140" i="221"/>
  <c r="F140" i="221" s="1"/>
  <c r="D140" i="221"/>
  <c r="A140" i="221"/>
  <c r="AJ140" i="221" s="1"/>
  <c r="Y139" i="221"/>
  <c r="V139" i="221"/>
  <c r="V137" i="221" s="1"/>
  <c r="V132" i="221" s="1"/>
  <c r="U139" i="221"/>
  <c r="U137" i="221" s="1"/>
  <c r="U132" i="221" s="1"/>
  <c r="T139" i="221"/>
  <c r="T137" i="221" s="1"/>
  <c r="T132" i="221" s="1"/>
  <c r="S139" i="221"/>
  <c r="S137" i="221" s="1"/>
  <c r="S132" i="221" s="1"/>
  <c r="R139" i="221"/>
  <c r="R137" i="221" s="1"/>
  <c r="R132" i="221" s="1"/>
  <c r="Q139" i="221"/>
  <c r="Q137" i="221" s="1"/>
  <c r="Q132" i="221" s="1"/>
  <c r="P139" i="221"/>
  <c r="O139" i="221"/>
  <c r="N139" i="221"/>
  <c r="M139" i="221"/>
  <c r="L139" i="221"/>
  <c r="L137" i="221" s="1"/>
  <c r="L132" i="221" s="1"/>
  <c r="K139" i="221"/>
  <c r="H139" i="221"/>
  <c r="E139" i="221"/>
  <c r="D139" i="221"/>
  <c r="A139" i="221"/>
  <c r="AD138" i="221"/>
  <c r="AC138" i="221"/>
  <c r="AB138" i="221"/>
  <c r="W138" i="221"/>
  <c r="H138" i="221"/>
  <c r="G138" i="221"/>
  <c r="E138" i="221"/>
  <c r="F138" i="221" s="1"/>
  <c r="D138" i="221"/>
  <c r="A138" i="221"/>
  <c r="AD137" i="221"/>
  <c r="AB137" i="221"/>
  <c r="AA137" i="221"/>
  <c r="Z137" i="221"/>
  <c r="P137" i="221"/>
  <c r="O137" i="221"/>
  <c r="N137" i="221"/>
  <c r="N132" i="221" s="1"/>
  <c r="M137" i="221"/>
  <c r="M132" i="221" s="1"/>
  <c r="K137" i="221"/>
  <c r="H137" i="221"/>
  <c r="E137" i="221"/>
  <c r="A137" i="221"/>
  <c r="Y137" i="221" s="1"/>
  <c r="AA136" i="221"/>
  <c r="Z136" i="221"/>
  <c r="Y136" i="221"/>
  <c r="W136" i="221"/>
  <c r="H136" i="221"/>
  <c r="G136" i="221"/>
  <c r="E136" i="221"/>
  <c r="F136" i="221" s="1"/>
  <c r="D136" i="221"/>
  <c r="C136" i="221"/>
  <c r="A136" i="221"/>
  <c r="W135" i="221"/>
  <c r="H135" i="221"/>
  <c r="G135" i="221"/>
  <c r="E135" i="221"/>
  <c r="F135" i="221" s="1"/>
  <c r="D135" i="221"/>
  <c r="A135" i="221"/>
  <c r="AJ134" i="221"/>
  <c r="W134" i="221"/>
  <c r="V134" i="221"/>
  <c r="U134" i="221"/>
  <c r="T134" i="221"/>
  <c r="S134" i="221"/>
  <c r="R134" i="221"/>
  <c r="Q134" i="221"/>
  <c r="P134" i="221"/>
  <c r="O134" i="221"/>
  <c r="N134" i="221"/>
  <c r="M134" i="221"/>
  <c r="L134" i="221"/>
  <c r="K134" i="221"/>
  <c r="H134" i="221"/>
  <c r="G134" i="221"/>
  <c r="E134" i="221"/>
  <c r="F134" i="221" s="1"/>
  <c r="D134" i="221"/>
  <c r="A134" i="221"/>
  <c r="AI134" i="221" s="1"/>
  <c r="W133" i="221"/>
  <c r="H133" i="221"/>
  <c r="G133" i="221"/>
  <c r="E133" i="221"/>
  <c r="F133" i="221" s="1"/>
  <c r="D133" i="221"/>
  <c r="A133" i="221"/>
  <c r="P132" i="221"/>
  <c r="O132" i="221"/>
  <c r="H132" i="221"/>
  <c r="E132" i="221"/>
  <c r="A132" i="221"/>
  <c r="Z132" i="221" s="1"/>
  <c r="AH131" i="221"/>
  <c r="W131" i="221"/>
  <c r="H131" i="221"/>
  <c r="G131" i="221"/>
  <c r="E131" i="221"/>
  <c r="F131" i="221" s="1"/>
  <c r="D131" i="221"/>
  <c r="A131" i="221"/>
  <c r="AE131" i="221" s="1"/>
  <c r="W130" i="221"/>
  <c r="H130" i="221"/>
  <c r="G130" i="221"/>
  <c r="E130" i="221"/>
  <c r="F130" i="221" s="1"/>
  <c r="D130" i="221"/>
  <c r="A130" i="221"/>
  <c r="AI130" i="221" s="1"/>
  <c r="Y129" i="221"/>
  <c r="W129" i="221"/>
  <c r="H129" i="221"/>
  <c r="G129" i="221"/>
  <c r="E129" i="221"/>
  <c r="F129" i="221" s="1"/>
  <c r="D129" i="221"/>
  <c r="A129" i="221"/>
  <c r="AF129" i="221" s="1"/>
  <c r="W128" i="221"/>
  <c r="H128" i="221"/>
  <c r="G128" i="221"/>
  <c r="E128" i="221"/>
  <c r="F128" i="221" s="1"/>
  <c r="D128" i="221"/>
  <c r="A128" i="221"/>
  <c r="AB127" i="221"/>
  <c r="AA127" i="221"/>
  <c r="Y127" i="221"/>
  <c r="W127" i="221"/>
  <c r="V127" i="221"/>
  <c r="U127" i="221"/>
  <c r="T127" i="221"/>
  <c r="S127" i="221"/>
  <c r="R127" i="221"/>
  <c r="Q127" i="221"/>
  <c r="P127" i="221"/>
  <c r="O127" i="221"/>
  <c r="N127" i="221"/>
  <c r="M127" i="221"/>
  <c r="L127" i="221"/>
  <c r="K127" i="221"/>
  <c r="H127" i="221"/>
  <c r="G127" i="221"/>
  <c r="E127" i="221"/>
  <c r="F127" i="221" s="1"/>
  <c r="D127" i="221"/>
  <c r="B127" i="221"/>
  <c r="A127" i="221"/>
  <c r="W126" i="221"/>
  <c r="H126" i="221"/>
  <c r="G126" i="221"/>
  <c r="E126" i="221"/>
  <c r="F126" i="221" s="1"/>
  <c r="D126" i="221"/>
  <c r="A126" i="221"/>
  <c r="W125" i="221"/>
  <c r="H125" i="221"/>
  <c r="G125" i="221"/>
  <c r="E125" i="221"/>
  <c r="F125" i="221" s="1"/>
  <c r="D125" i="221"/>
  <c r="C125" i="221"/>
  <c r="B125" i="221"/>
  <c r="W124" i="221"/>
  <c r="H124" i="221"/>
  <c r="G124" i="221"/>
  <c r="E124" i="221"/>
  <c r="F124" i="221" s="1"/>
  <c r="D124" i="221"/>
  <c r="C124" i="221"/>
  <c r="B124" i="221"/>
  <c r="W123" i="221"/>
  <c r="H123" i="221"/>
  <c r="G123" i="221"/>
  <c r="E123" i="221"/>
  <c r="F123" i="221" s="1"/>
  <c r="D123" i="221"/>
  <c r="C123" i="221"/>
  <c r="B123" i="221"/>
  <c r="AD122" i="221"/>
  <c r="AC122" i="221"/>
  <c r="AB122" i="221"/>
  <c r="AA122" i="221"/>
  <c r="Z122" i="221"/>
  <c r="Y122" i="221"/>
  <c r="W122" i="221"/>
  <c r="V122" i="221"/>
  <c r="U122" i="221"/>
  <c r="T122" i="221"/>
  <c r="S122" i="221"/>
  <c r="R122" i="221"/>
  <c r="Q122" i="221"/>
  <c r="P122" i="221"/>
  <c r="O122" i="221"/>
  <c r="N122" i="221"/>
  <c r="M122" i="221"/>
  <c r="L122" i="221"/>
  <c r="K122" i="221"/>
  <c r="H122" i="221"/>
  <c r="G122" i="221"/>
  <c r="E122" i="221"/>
  <c r="F122" i="221" s="1"/>
  <c r="D122" i="221"/>
  <c r="A122" i="221"/>
  <c r="W121" i="221"/>
  <c r="H121" i="221"/>
  <c r="G121" i="221"/>
  <c r="E121" i="221"/>
  <c r="F121" i="221" s="1"/>
  <c r="D121" i="221"/>
  <c r="C121" i="221"/>
  <c r="B121" i="221"/>
  <c r="W120" i="221"/>
  <c r="H120" i="221"/>
  <c r="G120" i="221"/>
  <c r="E120" i="221"/>
  <c r="F120" i="221" s="1"/>
  <c r="D120" i="221"/>
  <c r="C120" i="221"/>
  <c r="B120" i="221"/>
  <c r="W119" i="221"/>
  <c r="H119" i="221"/>
  <c r="G119" i="221"/>
  <c r="E119" i="221"/>
  <c r="F119" i="221" s="1"/>
  <c r="D119" i="221"/>
  <c r="C119" i="221"/>
  <c r="B119" i="221"/>
  <c r="W118" i="221"/>
  <c r="V118" i="221"/>
  <c r="U118" i="221"/>
  <c r="T118" i="221"/>
  <c r="S118" i="221"/>
  <c r="R118" i="221"/>
  <c r="Q118" i="221"/>
  <c r="P118" i="221"/>
  <c r="O118" i="221"/>
  <c r="N118" i="221"/>
  <c r="M118" i="221"/>
  <c r="L118" i="221"/>
  <c r="K118" i="221"/>
  <c r="H118" i="221"/>
  <c r="G118" i="221"/>
  <c r="E118" i="221"/>
  <c r="F118" i="221" s="1"/>
  <c r="D118" i="221"/>
  <c r="A118" i="221"/>
  <c r="AJ118" i="221" s="1"/>
  <c r="AJ117" i="221"/>
  <c r="W117" i="221"/>
  <c r="H117" i="221"/>
  <c r="G117" i="221"/>
  <c r="E117" i="221"/>
  <c r="F117" i="221" s="1"/>
  <c r="D117" i="221"/>
  <c r="A117" i="221"/>
  <c r="W116" i="221"/>
  <c r="H116" i="221"/>
  <c r="G116" i="221"/>
  <c r="E116" i="221"/>
  <c r="F116" i="221" s="1"/>
  <c r="D116" i="221"/>
  <c r="C116" i="221"/>
  <c r="B116" i="221"/>
  <c r="W115" i="221"/>
  <c r="H115" i="221"/>
  <c r="G115" i="221"/>
  <c r="E115" i="221"/>
  <c r="F115" i="221" s="1"/>
  <c r="D115" i="221"/>
  <c r="C115" i="221"/>
  <c r="B115" i="221"/>
  <c r="W114" i="221"/>
  <c r="H114" i="221"/>
  <c r="G114" i="221"/>
  <c r="E114" i="221"/>
  <c r="F114" i="221" s="1"/>
  <c r="D114" i="221"/>
  <c r="C114" i="221"/>
  <c r="B114" i="221"/>
  <c r="AJ113" i="221"/>
  <c r="AF113" i="221"/>
  <c r="W113" i="221"/>
  <c r="V113" i="221"/>
  <c r="U113" i="221"/>
  <c r="T113" i="221"/>
  <c r="S113" i="221"/>
  <c r="R113" i="221"/>
  <c r="Q113" i="221"/>
  <c r="P113" i="221"/>
  <c r="O113" i="221"/>
  <c r="N113" i="221"/>
  <c r="M113" i="221"/>
  <c r="L113" i="221"/>
  <c r="K113" i="221"/>
  <c r="H113" i="221"/>
  <c r="G113" i="221"/>
  <c r="E113" i="221"/>
  <c r="F113" i="221" s="1"/>
  <c r="D113" i="221"/>
  <c r="A113" i="221"/>
  <c r="W112" i="221"/>
  <c r="H112" i="221"/>
  <c r="G112" i="221"/>
  <c r="E112" i="221"/>
  <c r="F112" i="221" s="1"/>
  <c r="D112" i="221"/>
  <c r="C112" i="221"/>
  <c r="B112" i="221"/>
  <c r="W111" i="221"/>
  <c r="H111" i="221"/>
  <c r="G111" i="221"/>
  <c r="E111" i="221"/>
  <c r="F111" i="221" s="1"/>
  <c r="D111" i="221"/>
  <c r="C111" i="221"/>
  <c r="B111" i="221"/>
  <c r="W110" i="221"/>
  <c r="H110" i="221"/>
  <c r="G110" i="221"/>
  <c r="E110" i="221"/>
  <c r="F110" i="221" s="1"/>
  <c r="D110" i="221"/>
  <c r="C110" i="221"/>
  <c r="B110" i="221"/>
  <c r="AD109" i="221"/>
  <c r="W109" i="221"/>
  <c r="V109" i="221"/>
  <c r="U109" i="221"/>
  <c r="T109" i="221"/>
  <c r="S109" i="221"/>
  <c r="R109" i="221"/>
  <c r="Q109" i="221"/>
  <c r="P109" i="221"/>
  <c r="O109" i="221"/>
  <c r="N109" i="221"/>
  <c r="M109" i="221"/>
  <c r="L109" i="221"/>
  <c r="K109" i="221"/>
  <c r="H109" i="221"/>
  <c r="G109" i="221"/>
  <c r="E109" i="221"/>
  <c r="F109" i="221" s="1"/>
  <c r="D109" i="221"/>
  <c r="A109" i="221"/>
  <c r="W108" i="221"/>
  <c r="G108" i="221"/>
  <c r="D108" i="221"/>
  <c r="C108" i="221"/>
  <c r="B108" i="221"/>
  <c r="W107" i="221"/>
  <c r="H107" i="221"/>
  <c r="G107" i="221"/>
  <c r="E107" i="221"/>
  <c r="F107" i="221" s="1"/>
  <c r="D107" i="221"/>
  <c r="C107" i="221"/>
  <c r="B107" i="221"/>
  <c r="W106" i="221"/>
  <c r="H106" i="221"/>
  <c r="G106" i="221"/>
  <c r="E106" i="221"/>
  <c r="F106" i="221" s="1"/>
  <c r="D106" i="221"/>
  <c r="C106" i="221"/>
  <c r="B106" i="221"/>
  <c r="W105" i="221"/>
  <c r="V105" i="221"/>
  <c r="U105" i="221"/>
  <c r="T105" i="221"/>
  <c r="S105" i="221"/>
  <c r="R105" i="221"/>
  <c r="Q105" i="221"/>
  <c r="P105" i="221"/>
  <c r="O105" i="221"/>
  <c r="N105" i="221"/>
  <c r="M105" i="221"/>
  <c r="L105" i="221"/>
  <c r="K105" i="221"/>
  <c r="H105" i="221"/>
  <c r="G105" i="221"/>
  <c r="E105" i="221"/>
  <c r="F105" i="221" s="1"/>
  <c r="D105" i="221"/>
  <c r="A105" i="221"/>
  <c r="W104" i="221"/>
  <c r="H104" i="221"/>
  <c r="G104" i="221"/>
  <c r="E104" i="221"/>
  <c r="F104" i="221" s="1"/>
  <c r="D104" i="221"/>
  <c r="C104" i="221"/>
  <c r="B104" i="221"/>
  <c r="W103" i="221"/>
  <c r="H103" i="221"/>
  <c r="G103" i="221"/>
  <c r="E103" i="221"/>
  <c r="F103" i="221" s="1"/>
  <c r="D103" i="221"/>
  <c r="C103" i="221"/>
  <c r="B103" i="221"/>
  <c r="H102" i="221"/>
  <c r="E102" i="221"/>
  <c r="C102" i="221"/>
  <c r="B102" i="221"/>
  <c r="AA101" i="221"/>
  <c r="H101" i="221"/>
  <c r="E101" i="221"/>
  <c r="A101" i="221"/>
  <c r="Z101" i="221" s="1"/>
  <c r="W100" i="221"/>
  <c r="H100" i="221"/>
  <c r="G100" i="221"/>
  <c r="F100" i="221"/>
  <c r="E100" i="221"/>
  <c r="D100" i="221"/>
  <c r="C100" i="221"/>
  <c r="B100" i="221"/>
  <c r="W99" i="221"/>
  <c r="H99" i="221"/>
  <c r="G99" i="221"/>
  <c r="E99" i="221"/>
  <c r="F99" i="221" s="1"/>
  <c r="D99" i="221"/>
  <c r="C99" i="221"/>
  <c r="B99" i="221"/>
  <c r="H98" i="221"/>
  <c r="E98" i="221"/>
  <c r="C98" i="221"/>
  <c r="B98" i="221"/>
  <c r="AI97" i="221"/>
  <c r="AG97" i="221"/>
  <c r="AF97" i="221"/>
  <c r="AE97" i="221"/>
  <c r="AD97" i="221"/>
  <c r="AC97" i="221"/>
  <c r="AA97" i="221"/>
  <c r="Z97" i="221"/>
  <c r="Y97" i="221"/>
  <c r="H97" i="221"/>
  <c r="E97" i="221"/>
  <c r="A97" i="221"/>
  <c r="W96" i="221"/>
  <c r="H96" i="221"/>
  <c r="G96" i="221"/>
  <c r="E96" i="221"/>
  <c r="F96" i="221" s="1"/>
  <c r="D96" i="221"/>
  <c r="C96" i="221"/>
  <c r="B96" i="221"/>
  <c r="W95" i="221"/>
  <c r="H95" i="221"/>
  <c r="G95" i="221"/>
  <c r="E95" i="221"/>
  <c r="F95" i="221" s="1"/>
  <c r="D95" i="221"/>
  <c r="C95" i="221"/>
  <c r="B95" i="221"/>
  <c r="W94" i="221"/>
  <c r="H94" i="221"/>
  <c r="G94" i="221"/>
  <c r="E94" i="221"/>
  <c r="F94" i="221" s="1"/>
  <c r="D94" i="221"/>
  <c r="C94" i="221"/>
  <c r="B94" i="221"/>
  <c r="W93" i="221"/>
  <c r="V93" i="221"/>
  <c r="U93" i="221"/>
  <c r="T93" i="221"/>
  <c r="S93" i="221"/>
  <c r="R93" i="221"/>
  <c r="Q93" i="221"/>
  <c r="P93" i="221"/>
  <c r="O93" i="221"/>
  <c r="N93" i="221"/>
  <c r="M93" i="221"/>
  <c r="L93" i="221"/>
  <c r="K93" i="221"/>
  <c r="H93" i="221"/>
  <c r="G93" i="221"/>
  <c r="E93" i="221"/>
  <c r="F93" i="221" s="1"/>
  <c r="D93" i="221"/>
  <c r="A93" i="221"/>
  <c r="AJ93" i="221" s="1"/>
  <c r="H92" i="221"/>
  <c r="E92" i="221"/>
  <c r="B92" i="221"/>
  <c r="A92" i="221"/>
  <c r="AI92" i="221" s="1"/>
  <c r="H91" i="221"/>
  <c r="E91" i="221"/>
  <c r="A91" i="221"/>
  <c r="AF90" i="221"/>
  <c r="H90" i="221"/>
  <c r="E90" i="221"/>
  <c r="A90" i="221"/>
  <c r="W89" i="221"/>
  <c r="H89" i="221"/>
  <c r="G89" i="221"/>
  <c r="E89" i="221"/>
  <c r="F89" i="221" s="1"/>
  <c r="D89" i="221"/>
  <c r="A89" i="221"/>
  <c r="AJ88" i="221"/>
  <c r="AH88" i="221"/>
  <c r="AG88" i="221"/>
  <c r="AE88" i="221"/>
  <c r="AB88" i="221"/>
  <c r="Z88" i="221"/>
  <c r="W88" i="221"/>
  <c r="H88" i="221"/>
  <c r="G88" i="221"/>
  <c r="E88" i="221"/>
  <c r="F88" i="221" s="1"/>
  <c r="D88" i="221"/>
  <c r="A88" i="221"/>
  <c r="Y88" i="221" s="1"/>
  <c r="W87" i="221"/>
  <c r="H87" i="221"/>
  <c r="G87" i="221"/>
  <c r="E87" i="221"/>
  <c r="F87" i="221" s="1"/>
  <c r="D87" i="221"/>
  <c r="A87" i="221"/>
  <c r="AJ86" i="221"/>
  <c r="W86" i="221"/>
  <c r="H86" i="221"/>
  <c r="G86" i="221"/>
  <c r="E86" i="221"/>
  <c r="F86" i="221" s="1"/>
  <c r="D86" i="221"/>
  <c r="A86" i="221"/>
  <c r="AG86" i="221" s="1"/>
  <c r="H85" i="221"/>
  <c r="E85" i="221"/>
  <c r="A85" i="221"/>
  <c r="AI85" i="221" s="1"/>
  <c r="H84" i="221"/>
  <c r="E84" i="221"/>
  <c r="A84" i="221"/>
  <c r="AJ84" i="221" s="1"/>
  <c r="H83" i="221"/>
  <c r="E83" i="221"/>
  <c r="A83" i="221"/>
  <c r="W82" i="221"/>
  <c r="H82" i="221"/>
  <c r="G82" i="221"/>
  <c r="E82" i="221"/>
  <c r="F82" i="221" s="1"/>
  <c r="D82" i="221"/>
  <c r="A82" i="221"/>
  <c r="AJ82" i="221" s="1"/>
  <c r="H81" i="221"/>
  <c r="E81" i="221"/>
  <c r="A81" i="221"/>
  <c r="H80" i="221"/>
  <c r="E80" i="221"/>
  <c r="A80" i="221"/>
  <c r="W79" i="221"/>
  <c r="H79" i="221"/>
  <c r="G79" i="221"/>
  <c r="E79" i="221"/>
  <c r="F79" i="221" s="1"/>
  <c r="D79" i="221"/>
  <c r="B79" i="221"/>
  <c r="A79" i="221"/>
  <c r="AJ79" i="221" s="1"/>
  <c r="W78" i="221"/>
  <c r="H78" i="221"/>
  <c r="G78" i="221"/>
  <c r="E78" i="221"/>
  <c r="F78" i="221" s="1"/>
  <c r="D78" i="221"/>
  <c r="C78" i="221"/>
  <c r="B78" i="221"/>
  <c r="A78" i="221"/>
  <c r="AF78" i="221" s="1"/>
  <c r="AJ77" i="221"/>
  <c r="W77" i="221"/>
  <c r="H77" i="221"/>
  <c r="G77" i="221"/>
  <c r="F77" i="221"/>
  <c r="E77" i="221"/>
  <c r="D77" i="221"/>
  <c r="C77" i="221"/>
  <c r="B77" i="221"/>
  <c r="A77" i="221"/>
  <c r="AF77" i="221" s="1"/>
  <c r="AH76" i="221"/>
  <c r="AC76" i="221"/>
  <c r="AB76" i="221"/>
  <c r="Z76" i="221"/>
  <c r="W76" i="221"/>
  <c r="H76" i="221"/>
  <c r="G76" i="221"/>
  <c r="E76" i="221"/>
  <c r="F76" i="221" s="1"/>
  <c r="D76" i="221"/>
  <c r="C76" i="221"/>
  <c r="B76" i="221"/>
  <c r="A76" i="221"/>
  <c r="W75" i="221"/>
  <c r="V75" i="221"/>
  <c r="U75" i="221"/>
  <c r="T75" i="221"/>
  <c r="S75" i="221"/>
  <c r="R75" i="221"/>
  <c r="Q75" i="221"/>
  <c r="P75" i="221"/>
  <c r="O75" i="221"/>
  <c r="N75" i="221"/>
  <c r="M75" i="221"/>
  <c r="L75" i="221"/>
  <c r="K75" i="221"/>
  <c r="H75" i="221"/>
  <c r="G75" i="221"/>
  <c r="E75" i="221"/>
  <c r="F75" i="221" s="1"/>
  <c r="D75" i="221"/>
  <c r="A75" i="221"/>
  <c r="H74" i="221"/>
  <c r="E74" i="221"/>
  <c r="A74" i="221"/>
  <c r="AH74" i="221" s="1"/>
  <c r="H73" i="221"/>
  <c r="E73" i="221"/>
  <c r="A73" i="221"/>
  <c r="AG72" i="221"/>
  <c r="Z72" i="221"/>
  <c r="H72" i="221"/>
  <c r="E72" i="221"/>
  <c r="A72" i="221"/>
  <c r="H71" i="221"/>
  <c r="E71" i="221"/>
  <c r="A71" i="221"/>
  <c r="Q71" i="221" s="1"/>
  <c r="H70" i="221"/>
  <c r="E70" i="221"/>
  <c r="A70" i="221"/>
  <c r="N70" i="221" s="1"/>
  <c r="AJ69" i="221"/>
  <c r="AE69" i="221"/>
  <c r="AD69" i="221"/>
  <c r="AB69" i="221"/>
  <c r="H69" i="221"/>
  <c r="E69" i="221"/>
  <c r="A69" i="221"/>
  <c r="H68" i="221"/>
  <c r="E68" i="221"/>
  <c r="A68" i="221"/>
  <c r="AB68" i="221" s="1"/>
  <c r="AJ67" i="221"/>
  <c r="AE67" i="221"/>
  <c r="AD67" i="221"/>
  <c r="AC67" i="221"/>
  <c r="AB67" i="221"/>
  <c r="Z67" i="221"/>
  <c r="Y67" i="221"/>
  <c r="H67" i="221"/>
  <c r="E67" i="221"/>
  <c r="A67" i="221"/>
  <c r="AF66" i="221"/>
  <c r="W66" i="221"/>
  <c r="H66" i="221"/>
  <c r="G66" i="221"/>
  <c r="E66" i="221"/>
  <c r="F66" i="221" s="1"/>
  <c r="D66" i="221"/>
  <c r="A66" i="221"/>
  <c r="AG65" i="221"/>
  <c r="W65" i="221"/>
  <c r="H65" i="221"/>
  <c r="G65" i="221"/>
  <c r="E65" i="221"/>
  <c r="F65" i="221" s="1"/>
  <c r="D65" i="221"/>
  <c r="A65" i="221"/>
  <c r="AF65" i="221" s="1"/>
  <c r="W64" i="221"/>
  <c r="H64" i="221"/>
  <c r="G64" i="221"/>
  <c r="E64" i="221"/>
  <c r="F64" i="221" s="1"/>
  <c r="D64" i="221"/>
  <c r="A64" i="221"/>
  <c r="W63" i="221"/>
  <c r="V63" i="221"/>
  <c r="U63" i="221"/>
  <c r="T63" i="221"/>
  <c r="S63" i="221"/>
  <c r="R63" i="221"/>
  <c r="Q63" i="221"/>
  <c r="P63" i="221"/>
  <c r="O63" i="221"/>
  <c r="N63" i="221"/>
  <c r="M63" i="221"/>
  <c r="L63" i="221"/>
  <c r="K63" i="221"/>
  <c r="H63" i="221"/>
  <c r="G63" i="221"/>
  <c r="E63" i="221"/>
  <c r="F63" i="221" s="1"/>
  <c r="D63" i="221"/>
  <c r="A63" i="221"/>
  <c r="AJ63" i="221" s="1"/>
  <c r="AI62" i="221"/>
  <c r="AE62" i="221"/>
  <c r="AD62" i="221"/>
  <c r="AB62" i="221"/>
  <c r="H62" i="221"/>
  <c r="E62" i="221"/>
  <c r="A62" i="221"/>
  <c r="AC62" i="221" s="1"/>
  <c r="H61" i="221"/>
  <c r="E61" i="221"/>
  <c r="A61" i="221"/>
  <c r="H60" i="221"/>
  <c r="E60" i="221"/>
  <c r="A60" i="221"/>
  <c r="AI60" i="221" s="1"/>
  <c r="AF59" i="221"/>
  <c r="AE59" i="221"/>
  <c r="AC59" i="221"/>
  <c r="AB59" i="221"/>
  <c r="AA59" i="221"/>
  <c r="Z59" i="221"/>
  <c r="H59" i="221"/>
  <c r="E59" i="221"/>
  <c r="A59" i="221"/>
  <c r="H58" i="221"/>
  <c r="E58" i="221"/>
  <c r="A58" i="221"/>
  <c r="AF58" i="221" s="1"/>
  <c r="H57" i="221"/>
  <c r="E57" i="221"/>
  <c r="A57" i="221"/>
  <c r="AJ56" i="221"/>
  <c r="AG56" i="221"/>
  <c r="AF56" i="221"/>
  <c r="AE56" i="221"/>
  <c r="AA56" i="221"/>
  <c r="H56" i="221"/>
  <c r="E56" i="221"/>
  <c r="A56" i="221"/>
  <c r="H55" i="221"/>
  <c r="E55" i="221"/>
  <c r="A55" i="221"/>
  <c r="AH54" i="221"/>
  <c r="AF54" i="221"/>
  <c r="AD54" i="221"/>
  <c r="AC54" i="221"/>
  <c r="AA54" i="221"/>
  <c r="Z54" i="221"/>
  <c r="H54" i="221"/>
  <c r="E54" i="221"/>
  <c r="A54" i="221"/>
  <c r="Y54" i="221" s="1"/>
  <c r="H53" i="221"/>
  <c r="E53" i="221"/>
  <c r="A53" i="221"/>
  <c r="H52" i="221"/>
  <c r="E52" i="221"/>
  <c r="A52" i="221"/>
  <c r="H51" i="221"/>
  <c r="E51" i="221"/>
  <c r="A51" i="221"/>
  <c r="W50" i="221"/>
  <c r="H50" i="221"/>
  <c r="G50" i="221"/>
  <c r="F50" i="221"/>
  <c r="E50" i="221"/>
  <c r="D50" i="221"/>
  <c r="C50" i="221"/>
  <c r="B50" i="221"/>
  <c r="A50" i="221"/>
  <c r="AJ49" i="221"/>
  <c r="W49" i="221"/>
  <c r="H49" i="221"/>
  <c r="G49" i="221"/>
  <c r="E49" i="221"/>
  <c r="F49" i="221" s="1"/>
  <c r="D49" i="221"/>
  <c r="C49" i="221"/>
  <c r="B49" i="221"/>
  <c r="A49" i="221"/>
  <c r="AH48" i="221"/>
  <c r="AA48" i="221"/>
  <c r="Z48" i="221"/>
  <c r="Y48" i="221"/>
  <c r="W48" i="221"/>
  <c r="H48" i="221"/>
  <c r="G48" i="221"/>
  <c r="E48" i="221"/>
  <c r="F48" i="221" s="1"/>
  <c r="D48" i="221"/>
  <c r="C48" i="221"/>
  <c r="B48" i="221"/>
  <c r="A48" i="221"/>
  <c r="H47" i="221"/>
  <c r="E47" i="221"/>
  <c r="A47" i="221"/>
  <c r="AH46" i="221"/>
  <c r="H46" i="221"/>
  <c r="E46" i="221"/>
  <c r="A46" i="221"/>
  <c r="AE46" i="221" s="1"/>
  <c r="H45" i="221"/>
  <c r="E45" i="221"/>
  <c r="A45" i="221"/>
  <c r="AH45" i="221" s="1"/>
  <c r="H44" i="221"/>
  <c r="E44" i="221"/>
  <c r="A44" i="221"/>
  <c r="C43" i="221"/>
  <c r="B43" i="221"/>
  <c r="A43" i="221"/>
  <c r="V42" i="221"/>
  <c r="U42" i="221"/>
  <c r="T42" i="221"/>
  <c r="S42" i="221"/>
  <c r="R42" i="221"/>
  <c r="Q42" i="221"/>
  <c r="P42" i="221"/>
  <c r="O42" i="221"/>
  <c r="N42" i="221"/>
  <c r="M42" i="221"/>
  <c r="L42" i="221"/>
  <c r="H42" i="221"/>
  <c r="E42" i="221"/>
  <c r="C42" i="221"/>
  <c r="B42" i="221"/>
  <c r="A42" i="221"/>
  <c r="W41" i="221"/>
  <c r="H41" i="221"/>
  <c r="G41" i="221"/>
  <c r="E41" i="221"/>
  <c r="F41" i="221" s="1"/>
  <c r="D41" i="221"/>
  <c r="A41" i="221"/>
  <c r="AI41" i="221" s="1"/>
  <c r="AJ40" i="221"/>
  <c r="AI40" i="221"/>
  <c r="W40" i="221"/>
  <c r="H40" i="221"/>
  <c r="G40" i="221"/>
  <c r="E40" i="221"/>
  <c r="F40" i="221" s="1"/>
  <c r="D40" i="221"/>
  <c r="A40" i="221"/>
  <c r="W39" i="221"/>
  <c r="H39" i="221"/>
  <c r="G39" i="221"/>
  <c r="E39" i="221"/>
  <c r="F39" i="221" s="1"/>
  <c r="D39" i="221"/>
  <c r="A39" i="221"/>
  <c r="AI38" i="221"/>
  <c r="AG38" i="221"/>
  <c r="Z38" i="221"/>
  <c r="W38" i="221"/>
  <c r="V38" i="221"/>
  <c r="U38" i="221"/>
  <c r="T38" i="221"/>
  <c r="S38" i="221"/>
  <c r="R38" i="221"/>
  <c r="Q38" i="221"/>
  <c r="P38" i="221"/>
  <c r="O38" i="221"/>
  <c r="N38" i="221"/>
  <c r="M38" i="221"/>
  <c r="L38" i="221"/>
  <c r="K38" i="221"/>
  <c r="H38" i="221"/>
  <c r="G38" i="221"/>
  <c r="E38" i="221"/>
  <c r="F38" i="221" s="1"/>
  <c r="D38" i="221"/>
  <c r="A38" i="221"/>
  <c r="AB38" i="221" s="1"/>
  <c r="AJ37" i="221"/>
  <c r="AF37" i="221"/>
  <c r="AD37" i="221"/>
  <c r="Z37" i="221"/>
  <c r="Y37" i="221"/>
  <c r="W37" i="221"/>
  <c r="H37" i="221"/>
  <c r="G37" i="221"/>
  <c r="E37" i="221"/>
  <c r="F37" i="221" s="1"/>
  <c r="D37" i="221"/>
  <c r="A37" i="221"/>
  <c r="W36" i="221"/>
  <c r="H36" i="221"/>
  <c r="G36" i="221"/>
  <c r="E36" i="221"/>
  <c r="F36" i="221" s="1"/>
  <c r="D36" i="221"/>
  <c r="A36" i="221"/>
  <c r="AB36" i="221" s="1"/>
  <c r="W35" i="221"/>
  <c r="V35" i="221"/>
  <c r="U35" i="221"/>
  <c r="T35" i="221"/>
  <c r="S35" i="221"/>
  <c r="R35" i="221"/>
  <c r="Q35" i="221"/>
  <c r="P35" i="221"/>
  <c r="O35" i="221"/>
  <c r="N35" i="221"/>
  <c r="M35" i="221"/>
  <c r="L35" i="221"/>
  <c r="K35" i="221"/>
  <c r="H35" i="221"/>
  <c r="G35" i="221"/>
  <c r="E35" i="221"/>
  <c r="F35" i="221" s="1"/>
  <c r="D35" i="221"/>
  <c r="A35" i="221"/>
  <c r="AA34" i="221"/>
  <c r="Z34" i="221"/>
  <c r="Y34" i="221"/>
  <c r="W34" i="221"/>
  <c r="H34" i="221"/>
  <c r="G34" i="221"/>
  <c r="E34" i="221"/>
  <c r="F34" i="221" s="1"/>
  <c r="D34" i="221"/>
  <c r="A34" i="221"/>
  <c r="AC34" i="221" s="1"/>
  <c r="W33" i="221"/>
  <c r="V33" i="221"/>
  <c r="U33" i="221"/>
  <c r="T33" i="221"/>
  <c r="S33" i="221"/>
  <c r="R33" i="221"/>
  <c r="Q33" i="221"/>
  <c r="P33" i="221"/>
  <c r="O33" i="221"/>
  <c r="N33" i="221"/>
  <c r="M33" i="221"/>
  <c r="L33" i="221"/>
  <c r="K33" i="221"/>
  <c r="H33" i="221"/>
  <c r="G33" i="221"/>
  <c r="E33" i="221"/>
  <c r="F33" i="221" s="1"/>
  <c r="D33" i="221"/>
  <c r="A33" i="221"/>
  <c r="W32" i="221"/>
  <c r="H32" i="221"/>
  <c r="G32" i="221"/>
  <c r="E32" i="221"/>
  <c r="F32" i="221" s="1"/>
  <c r="D32" i="221"/>
  <c r="A32" i="221"/>
  <c r="Z31" i="221"/>
  <c r="W31" i="221"/>
  <c r="H31" i="221"/>
  <c r="G31" i="221"/>
  <c r="E31" i="221"/>
  <c r="F31" i="221" s="1"/>
  <c r="D31" i="221"/>
  <c r="A31" i="221"/>
  <c r="AJ30" i="221"/>
  <c r="AG30" i="221"/>
  <c r="AF30" i="221"/>
  <c r="AB30" i="221"/>
  <c r="AA30" i="221"/>
  <c r="Z30" i="221"/>
  <c r="Y30" i="221"/>
  <c r="W30" i="221"/>
  <c r="H30" i="221"/>
  <c r="G30" i="221"/>
  <c r="E30" i="221"/>
  <c r="F30" i="221" s="1"/>
  <c r="D30" i="221"/>
  <c r="A30" i="221"/>
  <c r="W29" i="221"/>
  <c r="H29" i="221"/>
  <c r="G29" i="221"/>
  <c r="E29" i="221"/>
  <c r="F29" i="221" s="1"/>
  <c r="D29" i="221"/>
  <c r="A29" i="221"/>
  <c r="AJ29" i="221" s="1"/>
  <c r="AF28" i="221"/>
  <c r="AD28" i="221"/>
  <c r="AB28" i="221"/>
  <c r="AA28" i="221"/>
  <c r="Z28" i="221"/>
  <c r="W28" i="221"/>
  <c r="H28" i="221"/>
  <c r="G28" i="221"/>
  <c r="E28" i="221"/>
  <c r="F28" i="221" s="1"/>
  <c r="D28" i="221"/>
  <c r="A28" i="221"/>
  <c r="AJ28" i="221" s="1"/>
  <c r="AD27" i="221"/>
  <c r="AA27" i="221"/>
  <c r="Y27" i="221"/>
  <c r="W27" i="221"/>
  <c r="H27" i="221"/>
  <c r="G27" i="221"/>
  <c r="E27" i="221"/>
  <c r="F27" i="221" s="1"/>
  <c r="D27" i="221"/>
  <c r="A27" i="221"/>
  <c r="AF27" i="221" s="1"/>
  <c r="W26" i="221"/>
  <c r="H26" i="221"/>
  <c r="G26" i="221"/>
  <c r="E26" i="221"/>
  <c r="F26" i="221" s="1"/>
  <c r="D26" i="221"/>
  <c r="A26" i="221"/>
  <c r="W25" i="221"/>
  <c r="H25" i="221"/>
  <c r="G25" i="221"/>
  <c r="E25" i="221"/>
  <c r="F25" i="221" s="1"/>
  <c r="D25" i="221"/>
  <c r="A25" i="221"/>
  <c r="AG24" i="221"/>
  <c r="W24" i="221"/>
  <c r="H24" i="221"/>
  <c r="G24" i="221"/>
  <c r="E24" i="221"/>
  <c r="F24" i="221" s="1"/>
  <c r="D24" i="221"/>
  <c r="A24" i="221"/>
  <c r="V23" i="221"/>
  <c r="U23" i="221"/>
  <c r="T23" i="221"/>
  <c r="S23" i="221"/>
  <c r="R23" i="221"/>
  <c r="Q23" i="221"/>
  <c r="P23" i="221"/>
  <c r="O23" i="221"/>
  <c r="N23" i="221"/>
  <c r="M23" i="221"/>
  <c r="L23" i="221"/>
  <c r="K23" i="221"/>
  <c r="G23" i="221" s="1"/>
  <c r="H23" i="221"/>
  <c r="E23" i="221"/>
  <c r="A23" i="221"/>
  <c r="B22" i="221"/>
  <c r="A22" i="221"/>
  <c r="C21" i="221"/>
  <c r="B21" i="221"/>
  <c r="A21" i="221"/>
  <c r="C20" i="221"/>
  <c r="B20" i="221"/>
  <c r="A20" i="221"/>
  <c r="V19" i="221"/>
  <c r="U19" i="221"/>
  <c r="T19" i="221"/>
  <c r="S19" i="221"/>
  <c r="R19" i="221"/>
  <c r="Q19" i="221"/>
  <c r="P19" i="221"/>
  <c r="O19" i="221"/>
  <c r="N19" i="221"/>
  <c r="M19" i="221"/>
  <c r="L19" i="221"/>
  <c r="K19" i="221"/>
  <c r="H19" i="221"/>
  <c r="G19" i="221"/>
  <c r="E19" i="221"/>
  <c r="F19" i="221" s="1"/>
  <c r="D19" i="221"/>
  <c r="C19" i="221"/>
  <c r="B19" i="221"/>
  <c r="A19" i="221"/>
  <c r="AI18" i="221"/>
  <c r="AH18" i="221"/>
  <c r="AG18" i="221"/>
  <c r="AE18" i="221"/>
  <c r="W18" i="221"/>
  <c r="H18" i="221"/>
  <c r="G18" i="221"/>
  <c r="E18" i="221"/>
  <c r="F18" i="221" s="1"/>
  <c r="D18" i="221"/>
  <c r="A18" i="221"/>
  <c r="AG17" i="221"/>
  <c r="AF17" i="221"/>
  <c r="AC17" i="221"/>
  <c r="Y17" i="221"/>
  <c r="W17" i="221"/>
  <c r="H17" i="221"/>
  <c r="G17" i="221"/>
  <c r="E17" i="221"/>
  <c r="F17" i="221" s="1"/>
  <c r="D17" i="221"/>
  <c r="A17" i="221"/>
  <c r="AJ17" i="221" s="1"/>
  <c r="W16" i="221"/>
  <c r="H16" i="221"/>
  <c r="G16" i="221"/>
  <c r="E16" i="221"/>
  <c r="F16" i="221" s="1"/>
  <c r="D16" i="221"/>
  <c r="A16" i="221"/>
  <c r="AJ16" i="221" s="1"/>
  <c r="AD15" i="221"/>
  <c r="AB15" i="221"/>
  <c r="W15" i="221"/>
  <c r="H15" i="221"/>
  <c r="G15" i="221"/>
  <c r="E15" i="221"/>
  <c r="F15" i="221" s="1"/>
  <c r="D15" i="221"/>
  <c r="A15" i="221"/>
  <c r="AJ14" i="221"/>
  <c r="AF14" i="221"/>
  <c r="AE14" i="221"/>
  <c r="Y14" i="221"/>
  <c r="W14" i="221"/>
  <c r="H14" i="221"/>
  <c r="G14" i="221"/>
  <c r="E14" i="221"/>
  <c r="F14" i="221" s="1"/>
  <c r="D14" i="221"/>
  <c r="A14" i="221"/>
  <c r="C13" i="221"/>
  <c r="B13" i="221"/>
  <c r="A13" i="221"/>
  <c r="V12" i="221"/>
  <c r="U12" i="221"/>
  <c r="T12" i="221"/>
  <c r="S12" i="221"/>
  <c r="R12" i="221"/>
  <c r="Q12" i="221"/>
  <c r="P12" i="221"/>
  <c r="O12" i="221"/>
  <c r="N12" i="221"/>
  <c r="M12" i="221"/>
  <c r="L12" i="221"/>
  <c r="K12" i="221"/>
  <c r="H12" i="221"/>
  <c r="G12" i="221"/>
  <c r="E12" i="221"/>
  <c r="F12" i="221" s="1"/>
  <c r="D12" i="221"/>
  <c r="C12" i="221"/>
  <c r="B12" i="221"/>
  <c r="A12" i="221"/>
  <c r="W11" i="221"/>
  <c r="H11" i="221"/>
  <c r="G11" i="221"/>
  <c r="E11" i="221"/>
  <c r="F11" i="221" s="1"/>
  <c r="D11" i="221"/>
  <c r="C11" i="221"/>
  <c r="B11" i="221"/>
  <c r="A11" i="221"/>
  <c r="AI11" i="221" s="1"/>
  <c r="W10" i="221"/>
  <c r="H10" i="221"/>
  <c r="G10" i="221"/>
  <c r="E10" i="221"/>
  <c r="F10" i="221" s="1"/>
  <c r="D10" i="221"/>
  <c r="C10" i="221"/>
  <c r="B10" i="221"/>
  <c r="A10" i="221"/>
  <c r="Y10" i="221" s="1"/>
  <c r="W9" i="221"/>
  <c r="V9" i="221"/>
  <c r="U9" i="221"/>
  <c r="T9" i="221"/>
  <c r="S9" i="221"/>
  <c r="R9" i="221"/>
  <c r="Q9" i="221"/>
  <c r="P9" i="221"/>
  <c r="O9" i="221"/>
  <c r="N9" i="221"/>
  <c r="M9" i="221"/>
  <c r="L9" i="221"/>
  <c r="K9" i="221"/>
  <c r="H9" i="221"/>
  <c r="G9" i="221"/>
  <c r="E9" i="221"/>
  <c r="F9" i="221" s="1"/>
  <c r="D9" i="221"/>
  <c r="B9" i="221"/>
  <c r="A9" i="221"/>
  <c r="W8" i="221"/>
  <c r="H8" i="221"/>
  <c r="G8" i="221"/>
  <c r="E8" i="221"/>
  <c r="F8" i="221" s="1"/>
  <c r="D8" i="221"/>
  <c r="B8" i="221"/>
  <c r="A8" i="221"/>
  <c r="AH8" i="221" s="1"/>
  <c r="B7" i="221"/>
  <c r="A7" i="221"/>
  <c r="C7" i="221" s="1"/>
  <c r="H6" i="221"/>
  <c r="G6" i="221"/>
  <c r="E6" i="221"/>
  <c r="D6" i="221"/>
  <c r="A219" i="220"/>
  <c r="A218" i="220"/>
  <c r="A217" i="220"/>
  <c r="A216" i="220"/>
  <c r="A215" i="220"/>
  <c r="A214" i="220"/>
  <c r="A213" i="220"/>
  <c r="A212" i="220"/>
  <c r="A211" i="220"/>
  <c r="A210" i="220"/>
  <c r="A209" i="220"/>
  <c r="C208" i="220"/>
  <c r="A208" i="220"/>
  <c r="C207" i="220"/>
  <c r="B207" i="220"/>
  <c r="A207" i="220"/>
  <c r="C206" i="220"/>
  <c r="B206" i="220"/>
  <c r="A206" i="220"/>
  <c r="AH205" i="220"/>
  <c r="AG205" i="220"/>
  <c r="AF205" i="220"/>
  <c r="AD205" i="220"/>
  <c r="AB205" i="220"/>
  <c r="W205" i="220"/>
  <c r="H205" i="220"/>
  <c r="G205" i="220"/>
  <c r="E205" i="220"/>
  <c r="F205" i="220" s="1"/>
  <c r="D205" i="220"/>
  <c r="A205" i="220"/>
  <c r="AJ205" i="220" s="1"/>
  <c r="W204" i="220"/>
  <c r="H204" i="220"/>
  <c r="G204" i="220"/>
  <c r="E204" i="220"/>
  <c r="F204" i="220" s="1"/>
  <c r="D204" i="220"/>
  <c r="A204" i="220"/>
  <c r="AH203" i="220"/>
  <c r="AD203" i="220"/>
  <c r="W203" i="220"/>
  <c r="H203" i="220"/>
  <c r="G203" i="220"/>
  <c r="E203" i="220"/>
  <c r="D203" i="220"/>
  <c r="A203" i="220"/>
  <c r="AJ203" i="220" s="1"/>
  <c r="C202" i="220"/>
  <c r="B202" i="220"/>
  <c r="A202" i="220"/>
  <c r="C201" i="220"/>
  <c r="B201" i="220"/>
  <c r="A201" i="220"/>
  <c r="C200" i="220"/>
  <c r="B200" i="220"/>
  <c r="A200" i="220"/>
  <c r="H199" i="220"/>
  <c r="E199" i="220"/>
  <c r="C199" i="220"/>
  <c r="B199" i="220"/>
  <c r="A199" i="220"/>
  <c r="AA198" i="220"/>
  <c r="Y198" i="220"/>
  <c r="W198" i="220"/>
  <c r="H198" i="220"/>
  <c r="G198" i="220"/>
  <c r="E198" i="220"/>
  <c r="D198" i="220"/>
  <c r="A198" i="220"/>
  <c r="W197" i="220"/>
  <c r="H197" i="220"/>
  <c r="G197" i="220"/>
  <c r="E197" i="220"/>
  <c r="F197" i="220" s="1"/>
  <c r="D197" i="220"/>
  <c r="A197" i="220"/>
  <c r="AF196" i="220"/>
  <c r="AB196" i="220"/>
  <c r="W196" i="220"/>
  <c r="H196" i="220"/>
  <c r="G196" i="220"/>
  <c r="E196" i="220"/>
  <c r="D196" i="220"/>
  <c r="A196" i="220"/>
  <c r="AE195" i="220"/>
  <c r="AC195" i="220"/>
  <c r="V195" i="220"/>
  <c r="U195" i="220"/>
  <c r="T195" i="220"/>
  <c r="S195" i="220"/>
  <c r="R195" i="220"/>
  <c r="Q195" i="220"/>
  <c r="P195" i="220"/>
  <c r="O195" i="220"/>
  <c r="N195" i="220"/>
  <c r="M195" i="220"/>
  <c r="L195" i="220"/>
  <c r="K195" i="220"/>
  <c r="W195" i="220" s="1"/>
  <c r="H195" i="220"/>
  <c r="E195" i="220"/>
  <c r="D195" i="220"/>
  <c r="A195" i="220"/>
  <c r="AJ194" i="220"/>
  <c r="AA194" i="220"/>
  <c r="Z194" i="220"/>
  <c r="Y194" i="220"/>
  <c r="W194" i="220"/>
  <c r="H194" i="220"/>
  <c r="G194" i="220"/>
  <c r="E194" i="220"/>
  <c r="D194" i="220"/>
  <c r="A194" i="220"/>
  <c r="W193" i="220"/>
  <c r="H193" i="220"/>
  <c r="G193" i="220"/>
  <c r="E193" i="220"/>
  <c r="D193" i="220"/>
  <c r="A193" i="220"/>
  <c r="W192" i="220"/>
  <c r="H192" i="220"/>
  <c r="G192" i="220"/>
  <c r="E192" i="220"/>
  <c r="D192" i="220"/>
  <c r="A192" i="220"/>
  <c r="AH192" i="220" s="1"/>
  <c r="W191" i="220"/>
  <c r="H191" i="220"/>
  <c r="G191" i="220"/>
  <c r="E191" i="220"/>
  <c r="D191" i="220"/>
  <c r="A191" i="220"/>
  <c r="AH190" i="220"/>
  <c r="Z190" i="220"/>
  <c r="Y190" i="220"/>
  <c r="W190" i="220"/>
  <c r="H190" i="220"/>
  <c r="G190" i="220"/>
  <c r="E190" i="220"/>
  <c r="D190" i="220"/>
  <c r="A190" i="220"/>
  <c r="AF189" i="220"/>
  <c r="AE189" i="220"/>
  <c r="AD189" i="220"/>
  <c r="AB189" i="220"/>
  <c r="AA189" i="220"/>
  <c r="Z189" i="220"/>
  <c r="Y189" i="220"/>
  <c r="H189" i="220"/>
  <c r="G189" i="220"/>
  <c r="E189" i="220"/>
  <c r="D189" i="220"/>
  <c r="F189" i="220" s="1"/>
  <c r="A189" i="220"/>
  <c r="AI189" i="220" s="1"/>
  <c r="W188" i="220"/>
  <c r="H188" i="220"/>
  <c r="G188" i="220"/>
  <c r="E188" i="220"/>
  <c r="D188" i="220"/>
  <c r="A188" i="220"/>
  <c r="AJ188" i="220" s="1"/>
  <c r="V187" i="220"/>
  <c r="V199" i="220" s="1"/>
  <c r="U187" i="220"/>
  <c r="U199" i="220" s="1"/>
  <c r="T187" i="220"/>
  <c r="T199" i="220" s="1"/>
  <c r="S187" i="220"/>
  <c r="S199" i="220" s="1"/>
  <c r="R187" i="220"/>
  <c r="R199" i="220" s="1"/>
  <c r="Q187" i="220"/>
  <c r="Q199" i="220" s="1"/>
  <c r="P187" i="220"/>
  <c r="P199" i="220" s="1"/>
  <c r="O187" i="220"/>
  <c r="O199" i="220" s="1"/>
  <c r="N187" i="220"/>
  <c r="N199" i="220" s="1"/>
  <c r="M187" i="220"/>
  <c r="M199" i="220" s="1"/>
  <c r="L187" i="220"/>
  <c r="L199" i="220" s="1"/>
  <c r="K187" i="220"/>
  <c r="W187" i="220" s="1"/>
  <c r="W199" i="220" s="1"/>
  <c r="H187" i="220"/>
  <c r="E187" i="220"/>
  <c r="A187" i="220"/>
  <c r="C186" i="220"/>
  <c r="B186" i="220"/>
  <c r="A186" i="220"/>
  <c r="C185" i="220"/>
  <c r="B185" i="220"/>
  <c r="A185" i="220"/>
  <c r="W184" i="220"/>
  <c r="C184" i="220"/>
  <c r="B184" i="220"/>
  <c r="A184" i="220"/>
  <c r="H183" i="220"/>
  <c r="E183" i="220"/>
  <c r="C183" i="220"/>
  <c r="B183" i="220"/>
  <c r="A183" i="220"/>
  <c r="W182" i="220"/>
  <c r="H182" i="220"/>
  <c r="G182" i="220"/>
  <c r="E182" i="220"/>
  <c r="F182" i="220" s="1"/>
  <c r="D182" i="220"/>
  <c r="A182" i="220"/>
  <c r="AJ182" i="220" s="1"/>
  <c r="AJ181" i="220"/>
  <c r="AI181" i="220"/>
  <c r="W181" i="220"/>
  <c r="H181" i="220"/>
  <c r="G181" i="220"/>
  <c r="E181" i="220"/>
  <c r="F181" i="220" s="1"/>
  <c r="D181" i="220"/>
  <c r="A181" i="220"/>
  <c r="AC181" i="220" s="1"/>
  <c r="W180" i="220"/>
  <c r="H180" i="220"/>
  <c r="G180" i="220"/>
  <c r="E180" i="220"/>
  <c r="F180" i="220" s="1"/>
  <c r="D180" i="220"/>
  <c r="A180" i="220"/>
  <c r="AJ180" i="220" s="1"/>
  <c r="AC179" i="220"/>
  <c r="AB179" i="220"/>
  <c r="W179" i="220"/>
  <c r="M179" i="220"/>
  <c r="H179" i="220"/>
  <c r="G179" i="220"/>
  <c r="E179" i="220"/>
  <c r="D179" i="220"/>
  <c r="A179" i="220"/>
  <c r="AJ179" i="220" s="1"/>
  <c r="W178" i="220"/>
  <c r="H178" i="220"/>
  <c r="G178" i="220"/>
  <c r="E178" i="220"/>
  <c r="D178" i="220"/>
  <c r="A178" i="220"/>
  <c r="AA178" i="220" s="1"/>
  <c r="Z177" i="220"/>
  <c r="V177" i="220"/>
  <c r="V183" i="220" s="1"/>
  <c r="U177" i="220"/>
  <c r="U183" i="220" s="1"/>
  <c r="T177" i="220"/>
  <c r="T183" i="220" s="1"/>
  <c r="S177" i="220"/>
  <c r="S183" i="220" s="1"/>
  <c r="R177" i="220"/>
  <c r="R183" i="220" s="1"/>
  <c r="Q177" i="220"/>
  <c r="Q183" i="220" s="1"/>
  <c r="P177" i="220"/>
  <c r="P183" i="220" s="1"/>
  <c r="O177" i="220"/>
  <c r="O183" i="220" s="1"/>
  <c r="N177" i="220"/>
  <c r="N183" i="220" s="1"/>
  <c r="M177" i="220"/>
  <c r="M183" i="220" s="1"/>
  <c r="L177" i="220"/>
  <c r="L183" i="220" s="1"/>
  <c r="K177" i="220"/>
  <c r="D177" i="220" s="1"/>
  <c r="H177" i="220"/>
  <c r="G177" i="220"/>
  <c r="E177" i="220"/>
  <c r="A177" i="220"/>
  <c r="AC176" i="220"/>
  <c r="AB176" i="220"/>
  <c r="W176" i="220"/>
  <c r="H176" i="220"/>
  <c r="G176" i="220"/>
  <c r="E176" i="220"/>
  <c r="F176" i="220" s="1"/>
  <c r="D176" i="220"/>
  <c r="A176" i="220"/>
  <c r="AG175" i="220"/>
  <c r="AF175" i="220"/>
  <c r="W175" i="220"/>
  <c r="H175" i="220"/>
  <c r="G175" i="220"/>
  <c r="E175" i="220"/>
  <c r="D175" i="220"/>
  <c r="A175" i="220"/>
  <c r="W174" i="220"/>
  <c r="H174" i="220"/>
  <c r="G174" i="220"/>
  <c r="E174" i="220"/>
  <c r="D174" i="220"/>
  <c r="A174" i="220"/>
  <c r="AH174" i="220" s="1"/>
  <c r="C173" i="220"/>
  <c r="B173" i="220"/>
  <c r="A173" i="220"/>
  <c r="H172" i="220"/>
  <c r="E172" i="220"/>
  <c r="C172" i="220"/>
  <c r="B172" i="220"/>
  <c r="A172" i="220"/>
  <c r="U171" i="220"/>
  <c r="S171" i="220"/>
  <c r="R171" i="220"/>
  <c r="Q171" i="220"/>
  <c r="H171" i="220"/>
  <c r="E171" i="220"/>
  <c r="A171" i="220"/>
  <c r="H170" i="220"/>
  <c r="I170" i="220" s="1"/>
  <c r="E170" i="220"/>
  <c r="F170" i="220" s="1"/>
  <c r="A170" i="220"/>
  <c r="AG169" i="220"/>
  <c r="Y169" i="220"/>
  <c r="W169" i="220"/>
  <c r="H169" i="220"/>
  <c r="G169" i="220"/>
  <c r="E169" i="220"/>
  <c r="D169" i="220"/>
  <c r="A169" i="220"/>
  <c r="W168" i="220"/>
  <c r="H168" i="220"/>
  <c r="G168" i="220"/>
  <c r="E168" i="220"/>
  <c r="F168" i="220" s="1"/>
  <c r="D168" i="220"/>
  <c r="A168" i="220"/>
  <c r="AJ167" i="220"/>
  <c r="V167" i="220"/>
  <c r="U167" i="220"/>
  <c r="T167" i="220"/>
  <c r="S167" i="220"/>
  <c r="R167" i="220"/>
  <c r="Q167" i="220"/>
  <c r="P167" i="220"/>
  <c r="O167" i="220"/>
  <c r="N167" i="220"/>
  <c r="M167" i="220"/>
  <c r="W167" i="220" s="1"/>
  <c r="L167" i="220"/>
  <c r="K167" i="220"/>
  <c r="D167" i="220" s="1"/>
  <c r="H167" i="220"/>
  <c r="G167" i="220"/>
  <c r="E167" i="220"/>
  <c r="A167" i="220"/>
  <c r="W166" i="220"/>
  <c r="H166" i="220"/>
  <c r="G166" i="220"/>
  <c r="E166" i="220"/>
  <c r="F166" i="220" s="1"/>
  <c r="D166" i="220"/>
  <c r="A166" i="220"/>
  <c r="AJ166" i="220" s="1"/>
  <c r="H165" i="220"/>
  <c r="E165" i="220"/>
  <c r="A165" i="220"/>
  <c r="W164" i="220"/>
  <c r="H164" i="220"/>
  <c r="G164" i="220"/>
  <c r="E164" i="220"/>
  <c r="F164" i="220" s="1"/>
  <c r="D164" i="220"/>
  <c r="A164" i="220"/>
  <c r="AI164" i="220" s="1"/>
  <c r="AB163" i="220"/>
  <c r="AA163" i="220"/>
  <c r="Z163" i="220"/>
  <c r="Y163" i="220"/>
  <c r="W163" i="220"/>
  <c r="H163" i="220"/>
  <c r="G163" i="220"/>
  <c r="E163" i="220"/>
  <c r="D163" i="220"/>
  <c r="A163" i="220"/>
  <c r="V162" i="220"/>
  <c r="V171" i="220" s="1"/>
  <c r="U162" i="220"/>
  <c r="T162" i="220"/>
  <c r="T171" i="220" s="1"/>
  <c r="S162" i="220"/>
  <c r="R162" i="220"/>
  <c r="Q162" i="220"/>
  <c r="P162" i="220"/>
  <c r="P171" i="220" s="1"/>
  <c r="O162" i="220"/>
  <c r="O171" i="220" s="1"/>
  <c r="N162" i="220"/>
  <c r="N171" i="220" s="1"/>
  <c r="M162" i="220"/>
  <c r="M171" i="220" s="1"/>
  <c r="L162" i="220"/>
  <c r="L171" i="220" s="1"/>
  <c r="K162" i="220"/>
  <c r="W162" i="220" s="1"/>
  <c r="H162" i="220"/>
  <c r="E162" i="220"/>
  <c r="A162" i="220"/>
  <c r="AB162" i="220" s="1"/>
  <c r="W161" i="220"/>
  <c r="H161" i="220"/>
  <c r="G161" i="220"/>
  <c r="E161" i="220"/>
  <c r="D161" i="220"/>
  <c r="A161" i="220"/>
  <c r="AF160" i="220"/>
  <c r="AE160" i="220"/>
  <c r="AD160" i="220"/>
  <c r="AC160" i="220"/>
  <c r="AA160" i="220"/>
  <c r="Z160" i="220"/>
  <c r="W160" i="220"/>
  <c r="H160" i="220"/>
  <c r="G160" i="220"/>
  <c r="E160" i="220"/>
  <c r="F160" i="220" s="1"/>
  <c r="D160" i="220"/>
  <c r="A160" i="220"/>
  <c r="AI160" i="220" s="1"/>
  <c r="V159" i="220"/>
  <c r="U159" i="220"/>
  <c r="T159" i="220"/>
  <c r="S159" i="220"/>
  <c r="R159" i="220"/>
  <c r="Q159" i="220"/>
  <c r="P159" i="220"/>
  <c r="O159" i="220"/>
  <c r="N159" i="220"/>
  <c r="M159" i="220"/>
  <c r="L159" i="220"/>
  <c r="K159" i="220"/>
  <c r="W159" i="220" s="1"/>
  <c r="H159" i="220"/>
  <c r="E159" i="220"/>
  <c r="F159" i="220" s="1"/>
  <c r="D159" i="220"/>
  <c r="A159" i="220"/>
  <c r="AI158" i="220"/>
  <c r="AH158" i="220"/>
  <c r="AF158" i="220"/>
  <c r="W158" i="220"/>
  <c r="H158" i="220"/>
  <c r="G158" i="220"/>
  <c r="E158" i="220"/>
  <c r="D158" i="220"/>
  <c r="A158" i="220"/>
  <c r="Y158" i="220" s="1"/>
  <c r="W157" i="220"/>
  <c r="H157" i="220"/>
  <c r="G157" i="220"/>
  <c r="E157" i="220"/>
  <c r="F157" i="220" s="1"/>
  <c r="D157" i="220"/>
  <c r="A157" i="220"/>
  <c r="AJ157" i="220" s="1"/>
  <c r="H156" i="220"/>
  <c r="E156" i="220"/>
  <c r="A156" i="220"/>
  <c r="B155" i="220"/>
  <c r="A155" i="220"/>
  <c r="W154" i="220"/>
  <c r="C154" i="220"/>
  <c r="B154" i="220"/>
  <c r="A154" i="220"/>
  <c r="C153" i="220"/>
  <c r="B153" i="220"/>
  <c r="A153" i="220"/>
  <c r="AE152" i="220"/>
  <c r="AD152" i="220"/>
  <c r="AC152" i="220"/>
  <c r="Z152" i="220"/>
  <c r="H152" i="220"/>
  <c r="E152" i="220"/>
  <c r="A152" i="220"/>
  <c r="H151" i="220"/>
  <c r="E151" i="220"/>
  <c r="A151" i="220"/>
  <c r="AB151" i="220" s="1"/>
  <c r="AH150" i="220"/>
  <c r="AD150" i="220"/>
  <c r="W150" i="220"/>
  <c r="H150" i="220"/>
  <c r="G150" i="220"/>
  <c r="E150" i="220"/>
  <c r="F150" i="220" s="1"/>
  <c r="D150" i="220"/>
  <c r="A150" i="220"/>
  <c r="AF150" i="220" s="1"/>
  <c r="W149" i="220"/>
  <c r="H149" i="220"/>
  <c r="G149" i="220"/>
  <c r="E149" i="220"/>
  <c r="D149" i="220"/>
  <c r="F149" i="220" s="1"/>
  <c r="A149" i="220"/>
  <c r="AH149" i="220" s="1"/>
  <c r="AI148" i="220"/>
  <c r="AH148" i="220"/>
  <c r="AG148" i="220"/>
  <c r="AB148" i="220"/>
  <c r="H148" i="220"/>
  <c r="E148" i="220"/>
  <c r="A148" i="220"/>
  <c r="H147" i="220"/>
  <c r="E147" i="220"/>
  <c r="A147" i="220"/>
  <c r="AH146" i="220"/>
  <c r="AF146" i="220"/>
  <c r="AE146" i="220"/>
  <c r="AB146" i="220"/>
  <c r="AA146" i="220"/>
  <c r="Z146" i="220"/>
  <c r="Y146" i="220"/>
  <c r="H146" i="220"/>
  <c r="E146" i="220"/>
  <c r="A146" i="220"/>
  <c r="AJ146" i="220" s="1"/>
  <c r="AJ145" i="220"/>
  <c r="AI145" i="220"/>
  <c r="AG145" i="220"/>
  <c r="AC145" i="220"/>
  <c r="AB145" i="220"/>
  <c r="AA145" i="220"/>
  <c r="Z145" i="220"/>
  <c r="Y145" i="220"/>
  <c r="W145" i="220"/>
  <c r="H145" i="220"/>
  <c r="G145" i="220"/>
  <c r="E145" i="220"/>
  <c r="D145" i="220"/>
  <c r="A145" i="220"/>
  <c r="AD145" i="220" s="1"/>
  <c r="W144" i="220"/>
  <c r="H144" i="220"/>
  <c r="G144" i="220"/>
  <c r="E144" i="220"/>
  <c r="D144" i="220"/>
  <c r="A144" i="220"/>
  <c r="AF144" i="220" s="1"/>
  <c r="Y143" i="220"/>
  <c r="W143" i="220"/>
  <c r="H143" i="220"/>
  <c r="G143" i="220"/>
  <c r="E143" i="220"/>
  <c r="F143" i="220" s="1"/>
  <c r="D143" i="220"/>
  <c r="A143" i="220"/>
  <c r="AC142" i="220"/>
  <c r="H142" i="220"/>
  <c r="E142" i="220"/>
  <c r="A142" i="220"/>
  <c r="AF141" i="220"/>
  <c r="AC141" i="220"/>
  <c r="AB141" i="220"/>
  <c r="W141" i="220"/>
  <c r="H141" i="220"/>
  <c r="G141" i="220"/>
  <c r="E141" i="220"/>
  <c r="D141" i="220"/>
  <c r="A141" i="220"/>
  <c r="W140" i="220"/>
  <c r="H140" i="220"/>
  <c r="G140" i="220"/>
  <c r="E140" i="220"/>
  <c r="F140" i="220" s="1"/>
  <c r="D140" i="220"/>
  <c r="A140" i="220"/>
  <c r="AC139" i="220"/>
  <c r="AB139" i="220"/>
  <c r="AA139" i="220"/>
  <c r="W139" i="220"/>
  <c r="H139" i="220"/>
  <c r="G139" i="220"/>
  <c r="E139" i="220"/>
  <c r="F139" i="220" s="1"/>
  <c r="D139" i="220"/>
  <c r="A139" i="220"/>
  <c r="W138" i="220"/>
  <c r="H138" i="220"/>
  <c r="G138" i="220"/>
  <c r="E138" i="220"/>
  <c r="F138" i="220" s="1"/>
  <c r="D138" i="220"/>
  <c r="A138" i="220"/>
  <c r="V137" i="220"/>
  <c r="U137" i="220"/>
  <c r="T137" i="220"/>
  <c r="S137" i="220"/>
  <c r="R137" i="220"/>
  <c r="Q137" i="220"/>
  <c r="P137" i="220"/>
  <c r="P132" i="220" s="1"/>
  <c r="O137" i="220"/>
  <c r="N137" i="220"/>
  <c r="M137" i="220"/>
  <c r="M132" i="220" s="1"/>
  <c r="L137" i="220"/>
  <c r="K137" i="220"/>
  <c r="D137" i="220" s="1"/>
  <c r="H137" i="220"/>
  <c r="G137" i="220"/>
  <c r="E137" i="220"/>
  <c r="A137" i="220"/>
  <c r="AH137" i="220" s="1"/>
  <c r="W136" i="220"/>
  <c r="H136" i="220"/>
  <c r="G136" i="220"/>
  <c r="E136" i="220"/>
  <c r="F136" i="220" s="1"/>
  <c r="D136" i="220"/>
  <c r="C136" i="220"/>
  <c r="A136" i="220"/>
  <c r="AI135" i="220"/>
  <c r="W135" i="220"/>
  <c r="H135" i="220"/>
  <c r="G135" i="220"/>
  <c r="E135" i="220"/>
  <c r="F135" i="220" s="1"/>
  <c r="D135" i="220"/>
  <c r="A135" i="220"/>
  <c r="V134" i="220"/>
  <c r="V132" i="220" s="1"/>
  <c r="U134" i="220"/>
  <c r="U132" i="220" s="1"/>
  <c r="T134" i="220"/>
  <c r="W134" i="220" s="1"/>
  <c r="S134" i="220"/>
  <c r="R134" i="220"/>
  <c r="Q134" i="220"/>
  <c r="P134" i="220"/>
  <c r="O134" i="220"/>
  <c r="O132" i="220" s="1"/>
  <c r="N134" i="220"/>
  <c r="N132" i="220" s="1"/>
  <c r="M134" i="220"/>
  <c r="L134" i="220"/>
  <c r="K134" i="220"/>
  <c r="H134" i="220"/>
  <c r="G134" i="220"/>
  <c r="E134" i="220"/>
  <c r="D134" i="220"/>
  <c r="A134" i="220"/>
  <c r="AG133" i="220"/>
  <c r="AF133" i="220"/>
  <c r="AC133" i="220"/>
  <c r="Z133" i="220"/>
  <c r="W133" i="220"/>
  <c r="H133" i="220"/>
  <c r="G133" i="220"/>
  <c r="E133" i="220"/>
  <c r="D133" i="220"/>
  <c r="A133" i="220"/>
  <c r="AI133" i="220" s="1"/>
  <c r="AH132" i="220"/>
  <c r="AA132" i="220"/>
  <c r="Z132" i="220"/>
  <c r="Y132" i="220"/>
  <c r="S132" i="220"/>
  <c r="R132" i="220"/>
  <c r="Q132" i="220"/>
  <c r="L132" i="220"/>
  <c r="K132" i="220"/>
  <c r="H132" i="220"/>
  <c r="E132" i="220"/>
  <c r="D132" i="220"/>
  <c r="A132" i="220"/>
  <c r="AD132" i="220" s="1"/>
  <c r="W131" i="220"/>
  <c r="H131" i="220"/>
  <c r="G131" i="220"/>
  <c r="E131" i="220"/>
  <c r="D131" i="220"/>
  <c r="A131" i="220"/>
  <c r="AI130" i="220"/>
  <c r="W130" i="220"/>
  <c r="H130" i="220"/>
  <c r="G130" i="220"/>
  <c r="E130" i="220"/>
  <c r="D130" i="220"/>
  <c r="A130" i="220"/>
  <c r="AJ130" i="220" s="1"/>
  <c r="W129" i="220"/>
  <c r="H129" i="220"/>
  <c r="G129" i="220"/>
  <c r="E129" i="220"/>
  <c r="D129" i="220"/>
  <c r="A129" i="220"/>
  <c r="V128" i="220"/>
  <c r="U128" i="220"/>
  <c r="U127" i="220" s="1"/>
  <c r="T128" i="220"/>
  <c r="T127" i="220" s="1"/>
  <c r="S128" i="220"/>
  <c r="R128" i="220"/>
  <c r="Q128" i="220"/>
  <c r="P128" i="220"/>
  <c r="P127" i="220" s="1"/>
  <c r="O128" i="220"/>
  <c r="O127" i="220" s="1"/>
  <c r="N128" i="220"/>
  <c r="N127" i="220" s="1"/>
  <c r="M128" i="220"/>
  <c r="M127" i="220" s="1"/>
  <c r="L128" i="220"/>
  <c r="K128" i="220"/>
  <c r="D128" i="220" s="1"/>
  <c r="H128" i="220"/>
  <c r="E128" i="220"/>
  <c r="A128" i="220"/>
  <c r="AG128" i="220" s="1"/>
  <c r="V127" i="220"/>
  <c r="S127" i="220"/>
  <c r="R127" i="220"/>
  <c r="Q127" i="220"/>
  <c r="L127" i="220"/>
  <c r="H127" i="220"/>
  <c r="E127" i="220"/>
  <c r="B127" i="220"/>
  <c r="A127" i="220"/>
  <c r="H126" i="220"/>
  <c r="E126" i="220"/>
  <c r="A126" i="220"/>
  <c r="W125" i="220"/>
  <c r="H125" i="220"/>
  <c r="G125" i="220"/>
  <c r="E125" i="220"/>
  <c r="D125" i="220"/>
  <c r="C125" i="220"/>
  <c r="B125" i="220"/>
  <c r="C124" i="220"/>
  <c r="B124" i="220"/>
  <c r="C123" i="220"/>
  <c r="B123" i="220"/>
  <c r="A122" i="220"/>
  <c r="W121" i="220"/>
  <c r="H121" i="220"/>
  <c r="G121" i="220"/>
  <c r="E121" i="220"/>
  <c r="D121" i="220"/>
  <c r="C121" i="220"/>
  <c r="B121" i="220"/>
  <c r="W120" i="220"/>
  <c r="G120" i="220"/>
  <c r="D120" i="220"/>
  <c r="C120" i="220"/>
  <c r="B120" i="220"/>
  <c r="W119" i="220"/>
  <c r="G119" i="220"/>
  <c r="D119" i="220"/>
  <c r="C119" i="220"/>
  <c r="B119" i="220"/>
  <c r="V118" i="220"/>
  <c r="U118" i="220"/>
  <c r="W118" i="220" s="1"/>
  <c r="T118" i="220"/>
  <c r="S118" i="220"/>
  <c r="R118" i="220"/>
  <c r="Q118" i="220"/>
  <c r="P118" i="220"/>
  <c r="O118" i="220"/>
  <c r="N118" i="220"/>
  <c r="M118" i="220"/>
  <c r="L118" i="220"/>
  <c r="K118" i="220"/>
  <c r="G118" i="220" s="1"/>
  <c r="D118" i="220"/>
  <c r="A118" i="220"/>
  <c r="AI117" i="220"/>
  <c r="AH117" i="220"/>
  <c r="AG117" i="220"/>
  <c r="AD117" i="220"/>
  <c r="AB117" i="220"/>
  <c r="AA117" i="220"/>
  <c r="Z117" i="220"/>
  <c r="W117" i="220"/>
  <c r="H117" i="220"/>
  <c r="G117" i="220"/>
  <c r="E117" i="220"/>
  <c r="D117" i="220"/>
  <c r="F117" i="220" s="1"/>
  <c r="A117" i="220"/>
  <c r="W116" i="220"/>
  <c r="H116" i="220"/>
  <c r="G116" i="220"/>
  <c r="E116" i="220"/>
  <c r="F116" i="220" s="1"/>
  <c r="D116" i="220"/>
  <c r="C116" i="220"/>
  <c r="B116" i="220"/>
  <c r="W115" i="220"/>
  <c r="G115" i="220"/>
  <c r="D115" i="220"/>
  <c r="C115" i="220"/>
  <c r="B115" i="220"/>
  <c r="W114" i="220"/>
  <c r="G114" i="220"/>
  <c r="D114" i="220"/>
  <c r="C114" i="220"/>
  <c r="B114" i="220"/>
  <c r="V113" i="220"/>
  <c r="U113" i="220"/>
  <c r="T113" i="220"/>
  <c r="S113" i="220"/>
  <c r="W113" i="220" s="1"/>
  <c r="R113" i="220"/>
  <c r="Q113" i="220"/>
  <c r="P113" i="220"/>
  <c r="O113" i="220"/>
  <c r="N113" i="220"/>
  <c r="M113" i="220"/>
  <c r="L113" i="220"/>
  <c r="K113" i="220"/>
  <c r="G113" i="220"/>
  <c r="D113" i="220"/>
  <c r="A113" i="220"/>
  <c r="W112" i="220"/>
  <c r="H112" i="220"/>
  <c r="G112" i="220"/>
  <c r="E112" i="220"/>
  <c r="D112" i="220"/>
  <c r="C112" i="220"/>
  <c r="B112" i="220"/>
  <c r="W111" i="220"/>
  <c r="H111" i="220"/>
  <c r="G111" i="220"/>
  <c r="E111" i="220"/>
  <c r="D111" i="220"/>
  <c r="C111" i="220"/>
  <c r="B111" i="220"/>
  <c r="W110" i="220"/>
  <c r="G110" i="220"/>
  <c r="D110" i="220"/>
  <c r="C110" i="220"/>
  <c r="B110" i="220"/>
  <c r="V109" i="220"/>
  <c r="U109" i="220"/>
  <c r="T109" i="220"/>
  <c r="S109" i="220"/>
  <c r="R109" i="220"/>
  <c r="Q109" i="220"/>
  <c r="P109" i="220"/>
  <c r="O109" i="220"/>
  <c r="N109" i="220"/>
  <c r="M109" i="220"/>
  <c r="L109" i="220"/>
  <c r="K109" i="220"/>
  <c r="W109" i="220" s="1"/>
  <c r="G109" i="220"/>
  <c r="A109" i="220"/>
  <c r="W108" i="220"/>
  <c r="H108" i="220"/>
  <c r="G108" i="220"/>
  <c r="E108" i="220"/>
  <c r="D108" i="220"/>
  <c r="C108" i="220"/>
  <c r="B108" i="220"/>
  <c r="AK107" i="220"/>
  <c r="AG107" i="220"/>
  <c r="H107" i="220"/>
  <c r="E107" i="220"/>
  <c r="C107" i="220"/>
  <c r="B107" i="220"/>
  <c r="H106" i="220"/>
  <c r="E106" i="220"/>
  <c r="C106" i="220"/>
  <c r="B106" i="220"/>
  <c r="Z105" i="220"/>
  <c r="Y105" i="220"/>
  <c r="H105" i="220"/>
  <c r="E105" i="220"/>
  <c r="A105" i="220"/>
  <c r="W104" i="220"/>
  <c r="H104" i="220"/>
  <c r="G104" i="220"/>
  <c r="E104" i="220"/>
  <c r="F104" i="220" s="1"/>
  <c r="D104" i="220"/>
  <c r="C104" i="220"/>
  <c r="B104" i="220"/>
  <c r="AK103" i="220"/>
  <c r="AG103" i="220"/>
  <c r="H103" i="220"/>
  <c r="E103" i="220"/>
  <c r="C103" i="220"/>
  <c r="B103" i="220"/>
  <c r="AG102" i="220"/>
  <c r="C102" i="220"/>
  <c r="B102" i="220"/>
  <c r="AA101" i="220"/>
  <c r="Z101" i="220"/>
  <c r="A101" i="220"/>
  <c r="W100" i="220"/>
  <c r="H100" i="220"/>
  <c r="G100" i="220"/>
  <c r="E100" i="220"/>
  <c r="F100" i="220" s="1"/>
  <c r="D100" i="220"/>
  <c r="C100" i="220"/>
  <c r="B100" i="220"/>
  <c r="C99" i="220"/>
  <c r="B99" i="220"/>
  <c r="C98" i="220"/>
  <c r="B98" i="220"/>
  <c r="A97" i="220"/>
  <c r="W96" i="220"/>
  <c r="H96" i="220"/>
  <c r="G96" i="220"/>
  <c r="E96" i="220"/>
  <c r="D96" i="220"/>
  <c r="C96" i="220"/>
  <c r="B96" i="220"/>
  <c r="AG95" i="220"/>
  <c r="AK95" i="220" s="1"/>
  <c r="H95" i="220"/>
  <c r="E95" i="220"/>
  <c r="C95" i="220"/>
  <c r="B95" i="220"/>
  <c r="H94" i="220"/>
  <c r="E94" i="220"/>
  <c r="C94" i="220"/>
  <c r="B94" i="220"/>
  <c r="AB93" i="220"/>
  <c r="Z93" i="220"/>
  <c r="Y93" i="220"/>
  <c r="H93" i="220"/>
  <c r="E93" i="220"/>
  <c r="A93" i="220"/>
  <c r="B92" i="220"/>
  <c r="A92" i="220"/>
  <c r="AH91" i="220"/>
  <c r="Y91" i="220"/>
  <c r="H91" i="220"/>
  <c r="E91" i="220"/>
  <c r="A91" i="220"/>
  <c r="AI91" i="220" s="1"/>
  <c r="H90" i="220"/>
  <c r="E90" i="220"/>
  <c r="A90" i="220"/>
  <c r="H89" i="220"/>
  <c r="E89" i="220"/>
  <c r="A89" i="220"/>
  <c r="H88" i="220"/>
  <c r="E88" i="220"/>
  <c r="A88" i="220"/>
  <c r="AC88" i="220" s="1"/>
  <c r="H87" i="220"/>
  <c r="E87" i="220"/>
  <c r="A87" i="220"/>
  <c r="AI87" i="220" s="1"/>
  <c r="Z86" i="220"/>
  <c r="H86" i="220"/>
  <c r="E86" i="220"/>
  <c r="A86" i="220"/>
  <c r="AI86" i="220" s="1"/>
  <c r="AJ85" i="220"/>
  <c r="AI85" i="220"/>
  <c r="AH85" i="220"/>
  <c r="AD85" i="220"/>
  <c r="AC85" i="220"/>
  <c r="H85" i="220"/>
  <c r="E85" i="220"/>
  <c r="A85" i="220"/>
  <c r="Y84" i="220"/>
  <c r="H84" i="220"/>
  <c r="E84" i="220"/>
  <c r="A84" i="220"/>
  <c r="AD84" i="220" s="1"/>
  <c r="AI83" i="220"/>
  <c r="H83" i="220"/>
  <c r="E83" i="220"/>
  <c r="A83" i="220"/>
  <c r="AH83" i="220" s="1"/>
  <c r="W82" i="220"/>
  <c r="H82" i="220"/>
  <c r="G82" i="220"/>
  <c r="E82" i="220"/>
  <c r="D82" i="220"/>
  <c r="A82" i="220"/>
  <c r="AE82" i="220" s="1"/>
  <c r="AD81" i="220"/>
  <c r="AB81" i="220"/>
  <c r="H81" i="220"/>
  <c r="E81" i="220"/>
  <c r="A81" i="220"/>
  <c r="AC81" i="220" s="1"/>
  <c r="H80" i="220"/>
  <c r="E80" i="220"/>
  <c r="A80" i="220"/>
  <c r="W79" i="220"/>
  <c r="H79" i="220"/>
  <c r="G79" i="220"/>
  <c r="E79" i="220"/>
  <c r="D79" i="220"/>
  <c r="B79" i="220"/>
  <c r="A79" i="220"/>
  <c r="W78" i="220"/>
  <c r="H78" i="220"/>
  <c r="G78" i="220"/>
  <c r="E78" i="220"/>
  <c r="D78" i="220"/>
  <c r="C78" i="220"/>
  <c r="B78" i="220"/>
  <c r="A78" i="220"/>
  <c r="AJ78" i="220" s="1"/>
  <c r="AH77" i="220"/>
  <c r="AK77" i="220" s="1"/>
  <c r="AE77" i="220"/>
  <c r="AB77" i="220"/>
  <c r="Y77" i="220"/>
  <c r="H77" i="220"/>
  <c r="E77" i="220"/>
  <c r="C77" i="220"/>
  <c r="B77" i="220"/>
  <c r="W76" i="220"/>
  <c r="H76" i="220"/>
  <c r="G76" i="220"/>
  <c r="E76" i="220"/>
  <c r="D76" i="220"/>
  <c r="C76" i="220"/>
  <c r="B76" i="220"/>
  <c r="A76" i="220"/>
  <c r="AI76" i="220" s="1"/>
  <c r="H75" i="220"/>
  <c r="E75" i="220"/>
  <c r="A75" i="220"/>
  <c r="H74" i="220"/>
  <c r="E74" i="220"/>
  <c r="A74" i="220"/>
  <c r="M73" i="220"/>
  <c r="H73" i="220"/>
  <c r="E73" i="220"/>
  <c r="A73" i="220"/>
  <c r="AF73" i="220" s="1"/>
  <c r="H72" i="220"/>
  <c r="E72" i="220"/>
  <c r="A72" i="220"/>
  <c r="H71" i="220"/>
  <c r="E71" i="220"/>
  <c r="A71" i="220"/>
  <c r="H70" i="220"/>
  <c r="E70" i="220"/>
  <c r="A70" i="220"/>
  <c r="N70" i="220" s="1"/>
  <c r="H69" i="220"/>
  <c r="E69" i="220"/>
  <c r="A69" i="220"/>
  <c r="AI68" i="220"/>
  <c r="AG68" i="220"/>
  <c r="AE68" i="220"/>
  <c r="Z68" i="220"/>
  <c r="H68" i="220"/>
  <c r="E68" i="220"/>
  <c r="A68" i="220"/>
  <c r="H67" i="220"/>
  <c r="E67" i="220"/>
  <c r="A67" i="220"/>
  <c r="AI66" i="220"/>
  <c r="W66" i="220"/>
  <c r="H66" i="220"/>
  <c r="G66" i="220"/>
  <c r="E66" i="220"/>
  <c r="F66" i="220" s="1"/>
  <c r="D66" i="220"/>
  <c r="A66" i="220"/>
  <c r="AH66" i="220" s="1"/>
  <c r="W65" i="220"/>
  <c r="H65" i="220"/>
  <c r="G65" i="220"/>
  <c r="E65" i="220"/>
  <c r="F65" i="220" s="1"/>
  <c r="D65" i="220"/>
  <c r="A65" i="220"/>
  <c r="AJ64" i="220"/>
  <c r="AG64" i="220"/>
  <c r="AF64" i="220"/>
  <c r="AD64" i="220"/>
  <c r="AC64" i="220"/>
  <c r="AB64" i="220"/>
  <c r="AA64" i="220"/>
  <c r="Z64" i="220"/>
  <c r="Y64" i="220"/>
  <c r="W64" i="220"/>
  <c r="H64" i="220"/>
  <c r="G64" i="220"/>
  <c r="E64" i="220"/>
  <c r="D64" i="220"/>
  <c r="A64" i="220"/>
  <c r="AE64" i="220" s="1"/>
  <c r="AI63" i="220"/>
  <c r="AH63" i="220"/>
  <c r="V63" i="220"/>
  <c r="U63" i="220"/>
  <c r="W63" i="220" s="1"/>
  <c r="T63" i="220"/>
  <c r="S63" i="220"/>
  <c r="R63" i="220"/>
  <c r="Q63" i="220"/>
  <c r="P63" i="220"/>
  <c r="O63" i="220"/>
  <c r="N63" i="220"/>
  <c r="M63" i="220"/>
  <c r="L63" i="220"/>
  <c r="K63" i="220"/>
  <c r="H63" i="220"/>
  <c r="G63" i="220"/>
  <c r="E63" i="220"/>
  <c r="D63" i="220"/>
  <c r="A63" i="220"/>
  <c r="H62" i="220"/>
  <c r="E62" i="220"/>
  <c r="A62" i="220"/>
  <c r="H61" i="220"/>
  <c r="E61" i="220"/>
  <c r="A61" i="220"/>
  <c r="AH61" i="220" s="1"/>
  <c r="H60" i="220"/>
  <c r="E60" i="220"/>
  <c r="A60" i="220"/>
  <c r="H59" i="220"/>
  <c r="E59" i="220"/>
  <c r="A59" i="220"/>
  <c r="AJ58" i="220"/>
  <c r="H58" i="220"/>
  <c r="E58" i="220"/>
  <c r="A58" i="220"/>
  <c r="AH58" i="220" s="1"/>
  <c r="H57" i="220"/>
  <c r="E57" i="220"/>
  <c r="A57" i="220"/>
  <c r="AJ56" i="220"/>
  <c r="H56" i="220"/>
  <c r="E56" i="220"/>
  <c r="A56" i="220"/>
  <c r="Z55" i="220"/>
  <c r="H55" i="220"/>
  <c r="E55" i="220"/>
  <c r="A55" i="220"/>
  <c r="AF55" i="220" s="1"/>
  <c r="H54" i="220"/>
  <c r="E54" i="220"/>
  <c r="A54" i="220"/>
  <c r="AE53" i="220"/>
  <c r="AA53" i="220"/>
  <c r="H53" i="220"/>
  <c r="E53" i="220"/>
  <c r="A53" i="220"/>
  <c r="H52" i="220"/>
  <c r="E52" i="220"/>
  <c r="A52" i="220"/>
  <c r="H51" i="220"/>
  <c r="E51" i="220"/>
  <c r="A51" i="220"/>
  <c r="AI51" i="220" s="1"/>
  <c r="W50" i="220"/>
  <c r="H50" i="220"/>
  <c r="G50" i="220"/>
  <c r="E50" i="220"/>
  <c r="D50" i="220"/>
  <c r="C50" i="220"/>
  <c r="B50" i="220"/>
  <c r="A50" i="220"/>
  <c r="W49" i="220"/>
  <c r="H49" i="220"/>
  <c r="G49" i="220"/>
  <c r="E49" i="220"/>
  <c r="F49" i="220" s="1"/>
  <c r="D49" i="220"/>
  <c r="C49" i="220"/>
  <c r="B49" i="220"/>
  <c r="A49" i="220"/>
  <c r="AI49" i="220" s="1"/>
  <c r="W48" i="220"/>
  <c r="H48" i="220"/>
  <c r="G48" i="220"/>
  <c r="E48" i="220"/>
  <c r="D48" i="220"/>
  <c r="C48" i="220"/>
  <c r="B48" i="220"/>
  <c r="A48" i="220"/>
  <c r="AH48" i="220" s="1"/>
  <c r="V47" i="220"/>
  <c r="U47" i="220"/>
  <c r="T47" i="220"/>
  <c r="S47" i="220"/>
  <c r="R47" i="220"/>
  <c r="Q47" i="220"/>
  <c r="P47" i="220"/>
  <c r="O47" i="220"/>
  <c r="N47" i="220"/>
  <c r="M47" i="220"/>
  <c r="L47" i="220"/>
  <c r="K47" i="220"/>
  <c r="W47" i="220" s="1"/>
  <c r="H47" i="220"/>
  <c r="E47" i="220"/>
  <c r="A47" i="220"/>
  <c r="AE46" i="220"/>
  <c r="AD46" i="220"/>
  <c r="AC46" i="220"/>
  <c r="AB46" i="220"/>
  <c r="AA46" i="220"/>
  <c r="H46" i="220"/>
  <c r="E46" i="220"/>
  <c r="A46" i="220"/>
  <c r="AJ45" i="220"/>
  <c r="Y45" i="220"/>
  <c r="H45" i="220"/>
  <c r="E45" i="220"/>
  <c r="A45" i="220"/>
  <c r="H44" i="220"/>
  <c r="E44" i="220"/>
  <c r="A44" i="220"/>
  <c r="C43" i="220"/>
  <c r="B43" i="220"/>
  <c r="A43" i="220"/>
  <c r="C42" i="220"/>
  <c r="B42" i="220"/>
  <c r="A42" i="220"/>
  <c r="W41" i="220"/>
  <c r="H41" i="220"/>
  <c r="G41" i="220"/>
  <c r="E41" i="220"/>
  <c r="D41" i="220"/>
  <c r="A41" i="220"/>
  <c r="Y40" i="220"/>
  <c r="H40" i="220"/>
  <c r="E40" i="220"/>
  <c r="A40" i="220"/>
  <c r="H39" i="220"/>
  <c r="E39" i="220"/>
  <c r="A39" i="220"/>
  <c r="H38" i="220"/>
  <c r="E38" i="220"/>
  <c r="A38" i="220"/>
  <c r="W37" i="220"/>
  <c r="H37" i="220"/>
  <c r="G37" i="220"/>
  <c r="E37" i="220"/>
  <c r="D37" i="220"/>
  <c r="A37" i="220"/>
  <c r="AH36" i="220"/>
  <c r="AE36" i="220"/>
  <c r="W36" i="220"/>
  <c r="V36" i="220"/>
  <c r="U36" i="220"/>
  <c r="T36" i="220"/>
  <c r="S36" i="220"/>
  <c r="R36" i="220"/>
  <c r="Q36" i="220"/>
  <c r="P36" i="220"/>
  <c r="O36" i="220"/>
  <c r="N36" i="220"/>
  <c r="M36" i="220"/>
  <c r="L36" i="220"/>
  <c r="K36" i="220"/>
  <c r="H36" i="220"/>
  <c r="G36" i="220"/>
  <c r="E36" i="220"/>
  <c r="F36" i="220" s="1"/>
  <c r="D36" i="220"/>
  <c r="A36" i="220"/>
  <c r="Y36" i="220" s="1"/>
  <c r="H35" i="220"/>
  <c r="E35" i="220"/>
  <c r="A35" i="220"/>
  <c r="AI34" i="220"/>
  <c r="AH34" i="220"/>
  <c r="AF34" i="220"/>
  <c r="AB34" i="220"/>
  <c r="Y34" i="220"/>
  <c r="W34" i="220"/>
  <c r="H34" i="220"/>
  <c r="G34" i="220"/>
  <c r="E34" i="220"/>
  <c r="F34" i="220" s="1"/>
  <c r="D34" i="220"/>
  <c r="A34" i="220"/>
  <c r="AA34" i="220" s="1"/>
  <c r="AG33" i="220"/>
  <c r="AE33" i="220"/>
  <c r="AB33" i="220"/>
  <c r="AA33" i="220"/>
  <c r="Z33" i="220"/>
  <c r="Y33" i="220"/>
  <c r="H33" i="220"/>
  <c r="E33" i="220"/>
  <c r="A33" i="220"/>
  <c r="AF33" i="220" s="1"/>
  <c r="W32" i="220"/>
  <c r="H32" i="220"/>
  <c r="G32" i="220"/>
  <c r="E32" i="220"/>
  <c r="D32" i="220"/>
  <c r="A32" i="220"/>
  <c r="AI31" i="220"/>
  <c r="AH31" i="220"/>
  <c r="AG31" i="220"/>
  <c r="AF31" i="220"/>
  <c r="AD31" i="220"/>
  <c r="W31" i="220"/>
  <c r="H31" i="220"/>
  <c r="G31" i="220"/>
  <c r="E31" i="220"/>
  <c r="D31" i="220"/>
  <c r="F31" i="220" s="1"/>
  <c r="A31" i="220"/>
  <c r="AC31" i="220" s="1"/>
  <c r="AJ30" i="220"/>
  <c r="AH30" i="220"/>
  <c r="AE30" i="220"/>
  <c r="AD30" i="220"/>
  <c r="AC30" i="220"/>
  <c r="W30" i="220"/>
  <c r="H30" i="220"/>
  <c r="G30" i="220"/>
  <c r="E30" i="220"/>
  <c r="D30" i="220"/>
  <c r="A30" i="220"/>
  <c r="AI30" i="220" s="1"/>
  <c r="AA29" i="220"/>
  <c r="W29" i="220"/>
  <c r="H29" i="220"/>
  <c r="G29" i="220"/>
  <c r="E29" i="220"/>
  <c r="D29" i="220"/>
  <c r="A29" i="220"/>
  <c r="AG29" i="220" s="1"/>
  <c r="W28" i="220"/>
  <c r="H28" i="220"/>
  <c r="G28" i="220"/>
  <c r="E28" i="220"/>
  <c r="D28" i="220"/>
  <c r="A28" i="220"/>
  <c r="W27" i="220"/>
  <c r="H27" i="220"/>
  <c r="G27" i="220"/>
  <c r="E27" i="220"/>
  <c r="D27" i="220"/>
  <c r="A27" i="220"/>
  <c r="AH27" i="220" s="1"/>
  <c r="H26" i="220"/>
  <c r="G26" i="220"/>
  <c r="E26" i="220"/>
  <c r="D26" i="220"/>
  <c r="F26" i="220" s="1"/>
  <c r="A26" i="220"/>
  <c r="W25" i="220"/>
  <c r="H25" i="220"/>
  <c r="G25" i="220"/>
  <c r="E25" i="220"/>
  <c r="D25" i="220"/>
  <c r="A25" i="220"/>
  <c r="AC25" i="220" s="1"/>
  <c r="Z24" i="220"/>
  <c r="H24" i="220"/>
  <c r="E24" i="220"/>
  <c r="A24" i="220"/>
  <c r="A23" i="220"/>
  <c r="B22" i="220"/>
  <c r="A22" i="220"/>
  <c r="C21" i="220"/>
  <c r="B21" i="220"/>
  <c r="A21" i="220"/>
  <c r="C20" i="220"/>
  <c r="B20" i="220"/>
  <c r="A20" i="220"/>
  <c r="H19" i="220"/>
  <c r="E19" i="220"/>
  <c r="C19" i="220"/>
  <c r="B19" i="220"/>
  <c r="A19" i="220"/>
  <c r="W18" i="220"/>
  <c r="H18" i="220"/>
  <c r="G18" i="220"/>
  <c r="E18" i="220"/>
  <c r="D18" i="220"/>
  <c r="A18" i="220"/>
  <c r="AF18" i="220" s="1"/>
  <c r="AJ17" i="220"/>
  <c r="AD17" i="220"/>
  <c r="H17" i="220"/>
  <c r="E17" i="220"/>
  <c r="A17" i="220"/>
  <c r="AB16" i="220"/>
  <c r="H16" i="220"/>
  <c r="E16" i="220"/>
  <c r="A16" i="220"/>
  <c r="AJ16" i="220" s="1"/>
  <c r="H15" i="220"/>
  <c r="E15" i="220"/>
  <c r="A15" i="220"/>
  <c r="W14" i="220"/>
  <c r="H14" i="220"/>
  <c r="G14" i="220"/>
  <c r="E14" i="220"/>
  <c r="D14" i="220"/>
  <c r="F14" i="220" s="1"/>
  <c r="A14" i="220"/>
  <c r="C13" i="220"/>
  <c r="B13" i="220"/>
  <c r="A13" i="220"/>
  <c r="H12" i="220"/>
  <c r="E12" i="220"/>
  <c r="C12" i="220"/>
  <c r="B12" i="220"/>
  <c r="A12" i="220"/>
  <c r="P11" i="220"/>
  <c r="P9" i="220" s="1"/>
  <c r="M11" i="220"/>
  <c r="M9" i="220" s="1"/>
  <c r="L11" i="220"/>
  <c r="L9" i="220" s="1"/>
  <c r="K11" i="220"/>
  <c r="K9" i="220" s="1"/>
  <c r="H11" i="220"/>
  <c r="E11" i="220"/>
  <c r="C11" i="220"/>
  <c r="B11" i="220"/>
  <c r="A11" i="220"/>
  <c r="AB11" i="220" s="1"/>
  <c r="W10" i="220"/>
  <c r="H10" i="220"/>
  <c r="G10" i="220"/>
  <c r="E10" i="220"/>
  <c r="F10" i="220" s="1"/>
  <c r="D10" i="220"/>
  <c r="C10" i="220"/>
  <c r="B10" i="220"/>
  <c r="A10" i="220"/>
  <c r="H9" i="220"/>
  <c r="E9" i="220"/>
  <c r="B9" i="220"/>
  <c r="A9" i="220"/>
  <c r="AJ9" i="220" s="1"/>
  <c r="AJ8" i="220"/>
  <c r="AI8" i="220"/>
  <c r="AG8" i="220"/>
  <c r="Z8" i="220"/>
  <c r="M8" i="220"/>
  <c r="L8" i="220"/>
  <c r="K8" i="220"/>
  <c r="H8" i="220"/>
  <c r="E8" i="220"/>
  <c r="B8" i="220"/>
  <c r="A8" i="220"/>
  <c r="B7" i="220"/>
  <c r="A7" i="220"/>
  <c r="C7" i="220" s="1"/>
  <c r="H6" i="220"/>
  <c r="G6" i="220"/>
  <c r="E6" i="220"/>
  <c r="D6" i="220"/>
  <c r="A219" i="219"/>
  <c r="A218" i="219"/>
  <c r="A217" i="219"/>
  <c r="A216" i="219"/>
  <c r="A215" i="219"/>
  <c r="A214" i="219"/>
  <c r="A213" i="219"/>
  <c r="A212" i="219"/>
  <c r="A211" i="219"/>
  <c r="A210" i="219"/>
  <c r="A209" i="219"/>
  <c r="C208" i="219"/>
  <c r="A208" i="219"/>
  <c r="C207" i="219"/>
  <c r="B207" i="219"/>
  <c r="A207" i="219"/>
  <c r="C206" i="219"/>
  <c r="B206" i="219"/>
  <c r="A206" i="219"/>
  <c r="W205" i="219"/>
  <c r="H205" i="219"/>
  <c r="G205" i="219"/>
  <c r="E205" i="219"/>
  <c r="F205" i="219" s="1"/>
  <c r="D205" i="219"/>
  <c r="A205" i="219"/>
  <c r="W204" i="219"/>
  <c r="H204" i="219"/>
  <c r="G204" i="219"/>
  <c r="E204" i="219"/>
  <c r="F204" i="219" s="1"/>
  <c r="D204" i="219"/>
  <c r="A204" i="219"/>
  <c r="AG204" i="219" s="1"/>
  <c r="AH203" i="219"/>
  <c r="AG203" i="219"/>
  <c r="AE203" i="219"/>
  <c r="W203" i="219"/>
  <c r="H203" i="219"/>
  <c r="G203" i="219"/>
  <c r="E203" i="219"/>
  <c r="F203" i="219" s="1"/>
  <c r="D203" i="219"/>
  <c r="A203" i="219"/>
  <c r="C202" i="219"/>
  <c r="B202" i="219"/>
  <c r="A202" i="219"/>
  <c r="C201" i="219"/>
  <c r="B201" i="219"/>
  <c r="A201" i="219"/>
  <c r="C200" i="219"/>
  <c r="B200" i="219"/>
  <c r="A200" i="219"/>
  <c r="W199" i="219"/>
  <c r="V199" i="219"/>
  <c r="U199" i="219"/>
  <c r="T199" i="219"/>
  <c r="S199" i="219"/>
  <c r="R199" i="219"/>
  <c r="Q199" i="219"/>
  <c r="P199" i="219"/>
  <c r="O199" i="219"/>
  <c r="N199" i="219"/>
  <c r="M199" i="219"/>
  <c r="L199" i="219"/>
  <c r="K199" i="219"/>
  <c r="H199" i="219"/>
  <c r="G199" i="219"/>
  <c r="E199" i="219"/>
  <c r="F199" i="219" s="1"/>
  <c r="D199" i="219"/>
  <c r="C199" i="219"/>
  <c r="B199" i="219"/>
  <c r="A199" i="219"/>
  <c r="W198" i="219"/>
  <c r="H198" i="219"/>
  <c r="G198" i="219"/>
  <c r="E198" i="219"/>
  <c r="F198" i="219" s="1"/>
  <c r="D198" i="219"/>
  <c r="A198" i="219"/>
  <c r="AJ197" i="219"/>
  <c r="W197" i="219"/>
  <c r="H197" i="219"/>
  <c r="G197" i="219"/>
  <c r="F197" i="219"/>
  <c r="E197" i="219"/>
  <c r="D197" i="219"/>
  <c r="A197" i="219"/>
  <c r="AI196" i="219"/>
  <c r="AC196" i="219"/>
  <c r="AB196" i="219"/>
  <c r="Z196" i="219"/>
  <c r="W196" i="219"/>
  <c r="H196" i="219"/>
  <c r="G196" i="219"/>
  <c r="E196" i="219"/>
  <c r="F196" i="219" s="1"/>
  <c r="D196" i="219"/>
  <c r="A196" i="219"/>
  <c r="AJ195" i="219"/>
  <c r="AC195" i="219"/>
  <c r="AB195" i="219"/>
  <c r="AA195" i="219"/>
  <c r="Z195" i="219"/>
  <c r="Y195" i="219"/>
  <c r="W195" i="219"/>
  <c r="V195" i="219"/>
  <c r="U195" i="219"/>
  <c r="T195" i="219"/>
  <c r="S195" i="219"/>
  <c r="R195" i="219"/>
  <c r="Q195" i="219"/>
  <c r="P195" i="219"/>
  <c r="O195" i="219"/>
  <c r="N195" i="219"/>
  <c r="M195" i="219"/>
  <c r="L195" i="219"/>
  <c r="K195" i="219"/>
  <c r="H195" i="219"/>
  <c r="G195" i="219"/>
  <c r="E195" i="219"/>
  <c r="F195" i="219" s="1"/>
  <c r="D195" i="219"/>
  <c r="A195" i="219"/>
  <c r="AH195" i="219" s="1"/>
  <c r="W194" i="219"/>
  <c r="H194" i="219"/>
  <c r="G194" i="219"/>
  <c r="E194" i="219"/>
  <c r="F194" i="219" s="1"/>
  <c r="D194" i="219"/>
  <c r="A194" i="219"/>
  <c r="AF193" i="219"/>
  <c r="AC193" i="219"/>
  <c r="AB193" i="219"/>
  <c r="Y193" i="219"/>
  <c r="W193" i="219"/>
  <c r="H193" i="219"/>
  <c r="G193" i="219"/>
  <c r="E193" i="219"/>
  <c r="F193" i="219" s="1"/>
  <c r="D193" i="219"/>
  <c r="A193" i="219"/>
  <c r="AJ193" i="219" s="1"/>
  <c r="AJ192" i="219"/>
  <c r="AI192" i="219"/>
  <c r="AH192" i="219"/>
  <c r="AE192" i="219"/>
  <c r="AB192" i="219"/>
  <c r="Y192" i="219"/>
  <c r="W192" i="219"/>
  <c r="H192" i="219"/>
  <c r="G192" i="219"/>
  <c r="E192" i="219"/>
  <c r="F192" i="219" s="1"/>
  <c r="D192" i="219"/>
  <c r="A192" i="219"/>
  <c r="W191" i="219"/>
  <c r="H191" i="219"/>
  <c r="G191" i="219"/>
  <c r="E191" i="219"/>
  <c r="F191" i="219" s="1"/>
  <c r="D191" i="219"/>
  <c r="A191" i="219"/>
  <c r="AG191" i="219" s="1"/>
  <c r="AJ190" i="219"/>
  <c r="AI190" i="219"/>
  <c r="AG190" i="219"/>
  <c r="AE190" i="219"/>
  <c r="AD190" i="219"/>
  <c r="Y190" i="219"/>
  <c r="W190" i="219"/>
  <c r="H190" i="219"/>
  <c r="G190" i="219"/>
  <c r="E190" i="219"/>
  <c r="F190" i="219" s="1"/>
  <c r="D190" i="219"/>
  <c r="A190" i="219"/>
  <c r="AA189" i="219"/>
  <c r="W189" i="219"/>
  <c r="H189" i="219"/>
  <c r="G189" i="219"/>
  <c r="E189" i="219"/>
  <c r="F189" i="219" s="1"/>
  <c r="D189" i="219"/>
  <c r="A189" i="219"/>
  <c r="AI188" i="219"/>
  <c r="W188" i="219"/>
  <c r="H188" i="219"/>
  <c r="G188" i="219"/>
  <c r="E188" i="219"/>
  <c r="F188" i="219" s="1"/>
  <c r="D188" i="219"/>
  <c r="A188" i="219"/>
  <c r="W187" i="219"/>
  <c r="V187" i="219"/>
  <c r="U187" i="219"/>
  <c r="T187" i="219"/>
  <c r="S187" i="219"/>
  <c r="R187" i="219"/>
  <c r="Q187" i="219"/>
  <c r="P187" i="219"/>
  <c r="O187" i="219"/>
  <c r="N187" i="219"/>
  <c r="M187" i="219"/>
  <c r="L187" i="219"/>
  <c r="K187" i="219"/>
  <c r="H187" i="219"/>
  <c r="G187" i="219"/>
  <c r="E187" i="219"/>
  <c r="F187" i="219" s="1"/>
  <c r="D187" i="219"/>
  <c r="A187" i="219"/>
  <c r="C186" i="219"/>
  <c r="B186" i="219"/>
  <c r="A186" i="219"/>
  <c r="C185" i="219"/>
  <c r="B185" i="219"/>
  <c r="A185" i="219"/>
  <c r="W184" i="219"/>
  <c r="C184" i="219"/>
  <c r="B184" i="219"/>
  <c r="A184" i="219"/>
  <c r="V183" i="219"/>
  <c r="U183" i="219"/>
  <c r="T183" i="219"/>
  <c r="S183" i="219"/>
  <c r="R183" i="219"/>
  <c r="Q183" i="219"/>
  <c r="P183" i="219"/>
  <c r="O183" i="219"/>
  <c r="N183" i="219"/>
  <c r="M183" i="219"/>
  <c r="L183" i="219"/>
  <c r="K183" i="219"/>
  <c r="H183" i="219"/>
  <c r="G183" i="219"/>
  <c r="E183" i="219"/>
  <c r="F183" i="219" s="1"/>
  <c r="D183" i="219"/>
  <c r="C183" i="219"/>
  <c r="B183" i="219"/>
  <c r="A183" i="219"/>
  <c r="W182" i="219"/>
  <c r="H182" i="219"/>
  <c r="G182" i="219"/>
  <c r="E182" i="219"/>
  <c r="F182" i="219" s="1"/>
  <c r="D182" i="219"/>
  <c r="A182" i="219"/>
  <c r="AI182" i="219" s="1"/>
  <c r="AJ181" i="219"/>
  <c r="AF181" i="219"/>
  <c r="W181" i="219"/>
  <c r="H181" i="219"/>
  <c r="G181" i="219"/>
  <c r="E181" i="219"/>
  <c r="F181" i="219" s="1"/>
  <c r="D181" i="219"/>
  <c r="A181" i="219"/>
  <c r="W180" i="219"/>
  <c r="H180" i="219"/>
  <c r="G180" i="219"/>
  <c r="E180" i="219"/>
  <c r="F180" i="219" s="1"/>
  <c r="D180" i="219"/>
  <c r="A180" i="219"/>
  <c r="AA179" i="219"/>
  <c r="W179" i="219"/>
  <c r="M179" i="219"/>
  <c r="H179" i="219"/>
  <c r="G179" i="219"/>
  <c r="E179" i="219"/>
  <c r="F179" i="219" s="1"/>
  <c r="D179" i="219"/>
  <c r="A179" i="219"/>
  <c r="AA178" i="219"/>
  <c r="W178" i="219"/>
  <c r="H178" i="219"/>
  <c r="G178" i="219"/>
  <c r="E178" i="219"/>
  <c r="F178" i="219" s="1"/>
  <c r="D178" i="219"/>
  <c r="A178" i="219"/>
  <c r="W177" i="219"/>
  <c r="V177" i="219"/>
  <c r="U177" i="219"/>
  <c r="T177" i="219"/>
  <c r="S177" i="219"/>
  <c r="R177" i="219"/>
  <c r="Q177" i="219"/>
  <c r="P177" i="219"/>
  <c r="O177" i="219"/>
  <c r="N177" i="219"/>
  <c r="M177" i="219"/>
  <c r="L177" i="219"/>
  <c r="K177" i="219"/>
  <c r="H177" i="219"/>
  <c r="G177" i="219"/>
  <c r="E177" i="219"/>
  <c r="F177" i="219" s="1"/>
  <c r="D177" i="219"/>
  <c r="A177" i="219"/>
  <c r="AI177" i="219" s="1"/>
  <c r="AF176" i="219"/>
  <c r="AE176" i="219"/>
  <c r="W176" i="219"/>
  <c r="H176" i="219"/>
  <c r="G176" i="219"/>
  <c r="E176" i="219"/>
  <c r="F176" i="219" s="1"/>
  <c r="D176" i="219"/>
  <c r="A176" i="219"/>
  <c r="Z175" i="219"/>
  <c r="W175" i="219"/>
  <c r="H175" i="219"/>
  <c r="G175" i="219"/>
  <c r="E175" i="219"/>
  <c r="F175" i="219" s="1"/>
  <c r="D175" i="219"/>
  <c r="A175" i="219"/>
  <c r="AH174" i="219"/>
  <c r="AF174" i="219"/>
  <c r="AE174" i="219"/>
  <c r="AD174" i="219"/>
  <c r="AC174" i="219"/>
  <c r="AB174" i="219"/>
  <c r="Y174" i="219"/>
  <c r="W174" i="219"/>
  <c r="H174" i="219"/>
  <c r="G174" i="219"/>
  <c r="E174" i="219"/>
  <c r="F174" i="219" s="1"/>
  <c r="D174" i="219"/>
  <c r="A174" i="219"/>
  <c r="C173" i="219"/>
  <c r="B173" i="219"/>
  <c r="A173" i="219"/>
  <c r="H172" i="219"/>
  <c r="E172" i="219"/>
  <c r="C172" i="219"/>
  <c r="B172" i="219"/>
  <c r="A172" i="219"/>
  <c r="AI171" i="219"/>
  <c r="AH171" i="219"/>
  <c r="AE171" i="219"/>
  <c r="AD171" i="219"/>
  <c r="V171" i="219"/>
  <c r="U171" i="219"/>
  <c r="T171" i="219"/>
  <c r="S171" i="219"/>
  <c r="R171" i="219"/>
  <c r="Q171" i="219"/>
  <c r="P171" i="219"/>
  <c r="O171" i="219"/>
  <c r="N171" i="219"/>
  <c r="M171" i="219"/>
  <c r="L171" i="219"/>
  <c r="K171" i="219"/>
  <c r="D171" i="219" s="1"/>
  <c r="H171" i="219"/>
  <c r="E171" i="219"/>
  <c r="A171" i="219"/>
  <c r="AJ171" i="219" s="1"/>
  <c r="AE170" i="219"/>
  <c r="AD170" i="219"/>
  <c r="AC170" i="219"/>
  <c r="Y170" i="219"/>
  <c r="H170" i="219"/>
  <c r="I170" i="219" s="1"/>
  <c r="E170" i="219"/>
  <c r="F170" i="219" s="1"/>
  <c r="A170" i="219"/>
  <c r="AG170" i="219" s="1"/>
  <c r="AI169" i="219"/>
  <c r="W169" i="219"/>
  <c r="H169" i="219"/>
  <c r="G169" i="219"/>
  <c r="E169" i="219"/>
  <c r="F169" i="219" s="1"/>
  <c r="D169" i="219"/>
  <c r="A169" i="219"/>
  <c r="AJ169" i="219" s="1"/>
  <c r="AJ168" i="219"/>
  <c r="AE168" i="219"/>
  <c r="W168" i="219"/>
  <c r="H168" i="219"/>
  <c r="G168" i="219"/>
  <c r="E168" i="219"/>
  <c r="F168" i="219" s="1"/>
  <c r="D168" i="219"/>
  <c r="A168" i="219"/>
  <c r="W167" i="219"/>
  <c r="V167" i="219"/>
  <c r="U167" i="219"/>
  <c r="T167" i="219"/>
  <c r="S167" i="219"/>
  <c r="R167" i="219"/>
  <c r="Q167" i="219"/>
  <c r="P167" i="219"/>
  <c r="O167" i="219"/>
  <c r="N167" i="219"/>
  <c r="M167" i="219"/>
  <c r="L167" i="219"/>
  <c r="K167" i="219"/>
  <c r="H167" i="219"/>
  <c r="G167" i="219"/>
  <c r="E167" i="219"/>
  <c r="F167" i="219" s="1"/>
  <c r="D167" i="219"/>
  <c r="A167" i="219"/>
  <c r="AH167" i="219" s="1"/>
  <c r="AE166" i="219"/>
  <c r="AB166" i="219"/>
  <c r="W166" i="219"/>
  <c r="H166" i="219"/>
  <c r="G166" i="219"/>
  <c r="E166" i="219"/>
  <c r="F166" i="219" s="1"/>
  <c r="D166" i="219"/>
  <c r="A166" i="219"/>
  <c r="H165" i="219"/>
  <c r="E165" i="219"/>
  <c r="A165" i="219"/>
  <c r="W164" i="219"/>
  <c r="H164" i="219"/>
  <c r="G164" i="219"/>
  <c r="E164" i="219"/>
  <c r="F164" i="219" s="1"/>
  <c r="D164" i="219"/>
  <c r="A164" i="219"/>
  <c r="AJ163" i="219"/>
  <c r="AE163" i="219"/>
  <c r="Y163" i="219"/>
  <c r="W163" i="219"/>
  <c r="H163" i="219"/>
  <c r="G163" i="219"/>
  <c r="E163" i="219"/>
  <c r="F163" i="219" s="1"/>
  <c r="D163" i="219"/>
  <c r="A163" i="219"/>
  <c r="AF163" i="219" s="1"/>
  <c r="AG162" i="219"/>
  <c r="AE162" i="219"/>
  <c r="AC162" i="219"/>
  <c r="AB162" i="219"/>
  <c r="AA162" i="219"/>
  <c r="W162" i="219"/>
  <c r="V162" i="219"/>
  <c r="U162" i="219"/>
  <c r="T162" i="219"/>
  <c r="S162" i="219"/>
  <c r="R162" i="219"/>
  <c r="Q162" i="219"/>
  <c r="P162" i="219"/>
  <c r="O162" i="219"/>
  <c r="N162" i="219"/>
  <c r="M162" i="219"/>
  <c r="L162" i="219"/>
  <c r="K162" i="219"/>
  <c r="H162" i="219"/>
  <c r="G162" i="219"/>
  <c r="E162" i="219"/>
  <c r="F162" i="219" s="1"/>
  <c r="D162" i="219"/>
  <c r="A162" i="219"/>
  <c r="W161" i="219"/>
  <c r="H161" i="219"/>
  <c r="G161" i="219"/>
  <c r="E161" i="219"/>
  <c r="F161" i="219" s="1"/>
  <c r="D161" i="219"/>
  <c r="A161" i="219"/>
  <c r="AJ160" i="219"/>
  <c r="W160" i="219"/>
  <c r="H160" i="219"/>
  <c r="G160" i="219"/>
  <c r="E160" i="219"/>
  <c r="F160" i="219" s="1"/>
  <c r="D160" i="219"/>
  <c r="A160" i="219"/>
  <c r="W159" i="219"/>
  <c r="V159" i="219"/>
  <c r="U159" i="219"/>
  <c r="T159" i="219"/>
  <c r="S159" i="219"/>
  <c r="R159" i="219"/>
  <c r="Q159" i="219"/>
  <c r="P159" i="219"/>
  <c r="O159" i="219"/>
  <c r="N159" i="219"/>
  <c r="M159" i="219"/>
  <c r="L159" i="219"/>
  <c r="K159" i="219"/>
  <c r="H159" i="219"/>
  <c r="G159" i="219"/>
  <c r="E159" i="219"/>
  <c r="F159" i="219" s="1"/>
  <c r="D159" i="219"/>
  <c r="A159" i="219"/>
  <c r="Y159" i="219" s="1"/>
  <c r="W158" i="219"/>
  <c r="H158" i="219"/>
  <c r="G158" i="219"/>
  <c r="E158" i="219"/>
  <c r="F158" i="219" s="1"/>
  <c r="D158" i="219"/>
  <c r="A158" i="219"/>
  <c r="W157" i="219"/>
  <c r="H157" i="219"/>
  <c r="G157" i="219"/>
  <c r="E157" i="219"/>
  <c r="F157" i="219" s="1"/>
  <c r="D157" i="219"/>
  <c r="A157" i="219"/>
  <c r="AJ157" i="219" s="1"/>
  <c r="AJ156" i="219"/>
  <c r="H156" i="219"/>
  <c r="E156" i="219"/>
  <c r="A156" i="219"/>
  <c r="AI156" i="219" s="1"/>
  <c r="B155" i="219"/>
  <c r="A155" i="219"/>
  <c r="W154" i="219"/>
  <c r="C154" i="219"/>
  <c r="B154" i="219"/>
  <c r="A154" i="219"/>
  <c r="H153" i="219"/>
  <c r="E153" i="219"/>
  <c r="C153" i="219"/>
  <c r="B153" i="219"/>
  <c r="A153" i="219"/>
  <c r="AH152" i="219"/>
  <c r="AE152" i="219"/>
  <c r="AC152" i="219"/>
  <c r="AA152" i="219"/>
  <c r="Z152" i="219"/>
  <c r="H152" i="219"/>
  <c r="E152" i="219"/>
  <c r="A152" i="219"/>
  <c r="AB152" i="219" s="1"/>
  <c r="AA151" i="219"/>
  <c r="H151" i="219"/>
  <c r="E151" i="219"/>
  <c r="A151" i="219"/>
  <c r="AI150" i="219"/>
  <c r="AF150" i="219"/>
  <c r="AC150" i="219"/>
  <c r="AB150" i="219"/>
  <c r="W150" i="219"/>
  <c r="H150" i="219"/>
  <c r="G150" i="219"/>
  <c r="E150" i="219"/>
  <c r="F150" i="219" s="1"/>
  <c r="D150" i="219"/>
  <c r="A150" i="219"/>
  <c r="AD150" i="219" s="1"/>
  <c r="W149" i="219"/>
  <c r="H149" i="219"/>
  <c r="G149" i="219"/>
  <c r="E149" i="219"/>
  <c r="F149" i="219" s="1"/>
  <c r="D149" i="219"/>
  <c r="A149" i="219"/>
  <c r="AJ149" i="219" s="1"/>
  <c r="AI148" i="219"/>
  <c r="AH148" i="219"/>
  <c r="AD148" i="219"/>
  <c r="AC148" i="219"/>
  <c r="Y148" i="219"/>
  <c r="H148" i="219"/>
  <c r="E148" i="219"/>
  <c r="A148" i="219"/>
  <c r="H147" i="219"/>
  <c r="E147" i="219"/>
  <c r="A147" i="219"/>
  <c r="AC146" i="219"/>
  <c r="Y146" i="219"/>
  <c r="H146" i="219"/>
  <c r="E146" i="219"/>
  <c r="A146" i="219"/>
  <c r="W145" i="219"/>
  <c r="H145" i="219"/>
  <c r="G145" i="219"/>
  <c r="E145" i="219"/>
  <c r="F145" i="219" s="1"/>
  <c r="D145" i="219"/>
  <c r="A145" i="219"/>
  <c r="AF145" i="219" s="1"/>
  <c r="AH144" i="219"/>
  <c r="AD144" i="219"/>
  <c r="AC144" i="219"/>
  <c r="AB144" i="219"/>
  <c r="AA144" i="219"/>
  <c r="Z144" i="219"/>
  <c r="Y144" i="219"/>
  <c r="W144" i="219"/>
  <c r="H144" i="219"/>
  <c r="G144" i="219"/>
  <c r="E144" i="219"/>
  <c r="F144" i="219" s="1"/>
  <c r="D144" i="219"/>
  <c r="A144" i="219"/>
  <c r="AG144" i="219" s="1"/>
  <c r="W143" i="219"/>
  <c r="H143" i="219"/>
  <c r="G143" i="219"/>
  <c r="F143" i="219"/>
  <c r="E143" i="219"/>
  <c r="D143" i="219"/>
  <c r="A143" i="219"/>
  <c r="H142" i="219"/>
  <c r="E142" i="219"/>
  <c r="A142" i="219"/>
  <c r="AI141" i="219"/>
  <c r="W141" i="219"/>
  <c r="H141" i="219"/>
  <c r="G141" i="219"/>
  <c r="E141" i="219"/>
  <c r="F141" i="219" s="1"/>
  <c r="D141" i="219"/>
  <c r="A141" i="219"/>
  <c r="W140" i="219"/>
  <c r="H140" i="219"/>
  <c r="G140" i="219"/>
  <c r="E140" i="219"/>
  <c r="F140" i="219" s="1"/>
  <c r="D140" i="219"/>
  <c r="A140" i="219"/>
  <c r="W139" i="219"/>
  <c r="H139" i="219"/>
  <c r="G139" i="219"/>
  <c r="F139" i="219"/>
  <c r="E139" i="219"/>
  <c r="D139" i="219"/>
  <c r="A139" i="219"/>
  <c r="AC139" i="219" s="1"/>
  <c r="AJ138" i="219"/>
  <c r="AI138" i="219"/>
  <c r="AG138" i="219"/>
  <c r="AC138" i="219"/>
  <c r="AB138" i="219"/>
  <c r="Z138" i="219"/>
  <c r="Y138" i="219"/>
  <c r="V138" i="219"/>
  <c r="U138" i="219"/>
  <c r="T138" i="219"/>
  <c r="T137" i="219" s="1"/>
  <c r="T132" i="219" s="1"/>
  <c r="S138" i="219"/>
  <c r="S137" i="219" s="1"/>
  <c r="S132" i="219" s="1"/>
  <c r="R138" i="219"/>
  <c r="Q138" i="219"/>
  <c r="P138" i="219"/>
  <c r="P137" i="219" s="1"/>
  <c r="P132" i="219" s="1"/>
  <c r="O138" i="219"/>
  <c r="O137" i="219" s="1"/>
  <c r="N138" i="219"/>
  <c r="N137" i="219" s="1"/>
  <c r="N132" i="219" s="1"/>
  <c r="M138" i="219"/>
  <c r="M137" i="219" s="1"/>
  <c r="M132" i="219" s="1"/>
  <c r="L138" i="219"/>
  <c r="L137" i="219" s="1"/>
  <c r="L132" i="219" s="1"/>
  <c r="K138" i="219"/>
  <c r="H138" i="219"/>
  <c r="E138" i="219"/>
  <c r="A138" i="219"/>
  <c r="AA138" i="219" s="1"/>
  <c r="AB137" i="219"/>
  <c r="Z137" i="219"/>
  <c r="Y137" i="219"/>
  <c r="V137" i="219"/>
  <c r="V132" i="219" s="1"/>
  <c r="U137" i="219"/>
  <c r="U132" i="219" s="1"/>
  <c r="R137" i="219"/>
  <c r="R132" i="219" s="1"/>
  <c r="Q137" i="219"/>
  <c r="Q132" i="219" s="1"/>
  <c r="H137" i="219"/>
  <c r="E137" i="219"/>
  <c r="A137" i="219"/>
  <c r="AH137" i="219" s="1"/>
  <c r="W136" i="219"/>
  <c r="H136" i="219"/>
  <c r="G136" i="219"/>
  <c r="E136" i="219"/>
  <c r="F136" i="219" s="1"/>
  <c r="D136" i="219"/>
  <c r="C136" i="219"/>
  <c r="A136" i="219"/>
  <c r="AF136" i="219" s="1"/>
  <c r="W135" i="219"/>
  <c r="H135" i="219"/>
  <c r="G135" i="219"/>
  <c r="E135" i="219"/>
  <c r="F135" i="219" s="1"/>
  <c r="D135" i="219"/>
  <c r="A135" i="219"/>
  <c r="W134" i="219"/>
  <c r="V134" i="219"/>
  <c r="U134" i="219"/>
  <c r="T134" i="219"/>
  <c r="S134" i="219"/>
  <c r="R134" i="219"/>
  <c r="Q134" i="219"/>
  <c r="P134" i="219"/>
  <c r="O134" i="219"/>
  <c r="N134" i="219"/>
  <c r="M134" i="219"/>
  <c r="L134" i="219"/>
  <c r="K134" i="219"/>
  <c r="H134" i="219"/>
  <c r="G134" i="219"/>
  <c r="E134" i="219"/>
  <c r="F134" i="219" s="1"/>
  <c r="D134" i="219"/>
  <c r="A134" i="219"/>
  <c r="AE134" i="219" s="1"/>
  <c r="AI133" i="219"/>
  <c r="AE133" i="219"/>
  <c r="W133" i="219"/>
  <c r="H133" i="219"/>
  <c r="G133" i="219"/>
  <c r="E133" i="219"/>
  <c r="F133" i="219" s="1"/>
  <c r="D133" i="219"/>
  <c r="A133" i="219"/>
  <c r="O132" i="219"/>
  <c r="H132" i="219"/>
  <c r="E132" i="219"/>
  <c r="A132" i="219"/>
  <c r="AI131" i="219"/>
  <c r="W131" i="219"/>
  <c r="H131" i="219"/>
  <c r="G131" i="219"/>
  <c r="E131" i="219"/>
  <c r="F131" i="219" s="1"/>
  <c r="D131" i="219"/>
  <c r="A131" i="219"/>
  <c r="AE130" i="219"/>
  <c r="AD130" i="219"/>
  <c r="AA130" i="219"/>
  <c r="Y130" i="219"/>
  <c r="W130" i="219"/>
  <c r="H130" i="219"/>
  <c r="G130" i="219"/>
  <c r="E130" i="219"/>
  <c r="F130" i="219" s="1"/>
  <c r="D130" i="219"/>
  <c r="A130" i="219"/>
  <c r="AD129" i="219"/>
  <c r="W129" i="219"/>
  <c r="H129" i="219"/>
  <c r="G129" i="219"/>
  <c r="E129" i="219"/>
  <c r="F129" i="219" s="1"/>
  <c r="D129" i="219"/>
  <c r="A129" i="219"/>
  <c r="W128" i="219"/>
  <c r="V128" i="219"/>
  <c r="U128" i="219"/>
  <c r="T128" i="219"/>
  <c r="S128" i="219"/>
  <c r="R128" i="219"/>
  <c r="Q128" i="219"/>
  <c r="P128" i="219"/>
  <c r="O128" i="219"/>
  <c r="N128" i="219"/>
  <c r="M128" i="219"/>
  <c r="L128" i="219"/>
  <c r="K128" i="219"/>
  <c r="H128" i="219"/>
  <c r="G128" i="219"/>
  <c r="E128" i="219"/>
  <c r="F128" i="219" s="1"/>
  <c r="D128" i="219"/>
  <c r="A128" i="219"/>
  <c r="AE127" i="219"/>
  <c r="AA127" i="219"/>
  <c r="W127" i="219"/>
  <c r="V127" i="219"/>
  <c r="U127" i="219"/>
  <c r="T127" i="219"/>
  <c r="S127" i="219"/>
  <c r="R127" i="219"/>
  <c r="Q127" i="219"/>
  <c r="P127" i="219"/>
  <c r="O127" i="219"/>
  <c r="N127" i="219"/>
  <c r="M127" i="219"/>
  <c r="L127" i="219"/>
  <c r="K127" i="219"/>
  <c r="H127" i="219"/>
  <c r="G127" i="219"/>
  <c r="E127" i="219"/>
  <c r="F127" i="219" s="1"/>
  <c r="D127" i="219"/>
  <c r="B127" i="219"/>
  <c r="A127" i="219"/>
  <c r="AD126" i="219"/>
  <c r="AC126" i="219"/>
  <c r="H126" i="219"/>
  <c r="E126" i="219"/>
  <c r="A126" i="219"/>
  <c r="AE126" i="219" s="1"/>
  <c r="W125" i="219"/>
  <c r="H125" i="219"/>
  <c r="G125" i="219"/>
  <c r="E125" i="219"/>
  <c r="F125" i="219" s="1"/>
  <c r="D125" i="219"/>
  <c r="C125" i="219"/>
  <c r="B125" i="219"/>
  <c r="C124" i="219"/>
  <c r="B124" i="219"/>
  <c r="C123" i="219"/>
  <c r="B123" i="219"/>
  <c r="H122" i="219"/>
  <c r="E122" i="219"/>
  <c r="A122" i="219"/>
  <c r="W121" i="219"/>
  <c r="H121" i="219"/>
  <c r="G121" i="219"/>
  <c r="E121" i="219"/>
  <c r="F121" i="219" s="1"/>
  <c r="D121" i="219"/>
  <c r="C121" i="219"/>
  <c r="B121" i="219"/>
  <c r="W120" i="219"/>
  <c r="G120" i="219"/>
  <c r="D120" i="219"/>
  <c r="C120" i="219"/>
  <c r="B120" i="219"/>
  <c r="W119" i="219"/>
  <c r="G119" i="219"/>
  <c r="D119" i="219"/>
  <c r="C119" i="219"/>
  <c r="B119" i="219"/>
  <c r="W118" i="219"/>
  <c r="V118" i="219"/>
  <c r="U118" i="219"/>
  <c r="T118" i="219"/>
  <c r="S118" i="219"/>
  <c r="R118" i="219"/>
  <c r="Q118" i="219"/>
  <c r="P118" i="219"/>
  <c r="O118" i="219"/>
  <c r="N118" i="219"/>
  <c r="M118" i="219"/>
  <c r="L118" i="219"/>
  <c r="K118" i="219"/>
  <c r="H118" i="219"/>
  <c r="G118" i="219"/>
  <c r="E118" i="219"/>
  <c r="F118" i="219" s="1"/>
  <c r="D118" i="219"/>
  <c r="A118" i="219"/>
  <c r="AE117" i="219"/>
  <c r="W117" i="219"/>
  <c r="H117" i="219"/>
  <c r="G117" i="219"/>
  <c r="E117" i="219"/>
  <c r="F117" i="219" s="1"/>
  <c r="D117" i="219"/>
  <c r="A117" i="219"/>
  <c r="AG117" i="219" s="1"/>
  <c r="W116" i="219"/>
  <c r="H116" i="219"/>
  <c r="G116" i="219"/>
  <c r="E116" i="219"/>
  <c r="F116" i="219" s="1"/>
  <c r="D116" i="219"/>
  <c r="C116" i="219"/>
  <c r="B116" i="219"/>
  <c r="W115" i="219"/>
  <c r="G115" i="219"/>
  <c r="D115" i="219"/>
  <c r="C115" i="219"/>
  <c r="B115" i="219"/>
  <c r="W114" i="219"/>
  <c r="G114" i="219"/>
  <c r="D114" i="219"/>
  <c r="C114" i="219"/>
  <c r="B114" i="219"/>
  <c r="AI113" i="219"/>
  <c r="AH113" i="219"/>
  <c r="AG113" i="219"/>
  <c r="W113" i="219"/>
  <c r="V113" i="219"/>
  <c r="U113" i="219"/>
  <c r="T113" i="219"/>
  <c r="S113" i="219"/>
  <c r="R113" i="219"/>
  <c r="Q113" i="219"/>
  <c r="P113" i="219"/>
  <c r="O113" i="219"/>
  <c r="N113" i="219"/>
  <c r="M113" i="219"/>
  <c r="L113" i="219"/>
  <c r="K113" i="219"/>
  <c r="H113" i="219"/>
  <c r="G113" i="219"/>
  <c r="E113" i="219"/>
  <c r="F113" i="219" s="1"/>
  <c r="D113" i="219"/>
  <c r="A113" i="219"/>
  <c r="AC113" i="219" s="1"/>
  <c r="W112" i="219"/>
  <c r="H112" i="219"/>
  <c r="G112" i="219"/>
  <c r="E112" i="219"/>
  <c r="F112" i="219" s="1"/>
  <c r="D112" i="219"/>
  <c r="C112" i="219"/>
  <c r="B112" i="219"/>
  <c r="W111" i="219"/>
  <c r="G111" i="219"/>
  <c r="D111" i="219"/>
  <c r="C111" i="219"/>
  <c r="B111" i="219"/>
  <c r="W110" i="219"/>
  <c r="G110" i="219"/>
  <c r="D110" i="219"/>
  <c r="C110" i="219"/>
  <c r="B110" i="219"/>
  <c r="AF109" i="219"/>
  <c r="AC109" i="219"/>
  <c r="AA109" i="219"/>
  <c r="Z109" i="219"/>
  <c r="Y109" i="219"/>
  <c r="W109" i="219"/>
  <c r="V109" i="219"/>
  <c r="U109" i="219"/>
  <c r="T109" i="219"/>
  <c r="S109" i="219"/>
  <c r="R109" i="219"/>
  <c r="Q109" i="219"/>
  <c r="P109" i="219"/>
  <c r="O109" i="219"/>
  <c r="N109" i="219"/>
  <c r="M109" i="219"/>
  <c r="L109" i="219"/>
  <c r="K109" i="219"/>
  <c r="H109" i="219"/>
  <c r="G109" i="219"/>
  <c r="E109" i="219"/>
  <c r="F109" i="219" s="1"/>
  <c r="D109" i="219"/>
  <c r="A109" i="219"/>
  <c r="AJ109" i="219" s="1"/>
  <c r="W108" i="219"/>
  <c r="G108" i="219"/>
  <c r="D108" i="219"/>
  <c r="C108" i="219"/>
  <c r="B108" i="219"/>
  <c r="C107" i="219"/>
  <c r="B107" i="219"/>
  <c r="C106" i="219"/>
  <c r="B106" i="219"/>
  <c r="AJ105" i="219"/>
  <c r="AI105" i="219"/>
  <c r="AE105" i="219"/>
  <c r="Z105" i="219"/>
  <c r="H105" i="219"/>
  <c r="E105" i="219"/>
  <c r="A105" i="219"/>
  <c r="AD105" i="219" s="1"/>
  <c r="W104" i="219"/>
  <c r="H104" i="219"/>
  <c r="G104" i="219"/>
  <c r="E104" i="219"/>
  <c r="F104" i="219" s="1"/>
  <c r="D104" i="219"/>
  <c r="C104" i="219"/>
  <c r="B104" i="219"/>
  <c r="H103" i="219"/>
  <c r="E103" i="219"/>
  <c r="C103" i="219"/>
  <c r="B103" i="219"/>
  <c r="H102" i="219"/>
  <c r="E102" i="219"/>
  <c r="C102" i="219"/>
  <c r="B102" i="219"/>
  <c r="H101" i="219"/>
  <c r="E101" i="219"/>
  <c r="A101" i="219"/>
  <c r="W100" i="219"/>
  <c r="H100" i="219"/>
  <c r="G100" i="219"/>
  <c r="E100" i="219"/>
  <c r="F100" i="219" s="1"/>
  <c r="D100" i="219"/>
  <c r="C100" i="219"/>
  <c r="B100" i="219"/>
  <c r="C99" i="219"/>
  <c r="B99" i="219"/>
  <c r="C98" i="219"/>
  <c r="B98" i="219"/>
  <c r="AE97" i="219"/>
  <c r="AC97" i="219"/>
  <c r="AA97" i="219"/>
  <c r="H97" i="219"/>
  <c r="E97" i="219"/>
  <c r="A97" i="219"/>
  <c r="W96" i="219"/>
  <c r="H96" i="219"/>
  <c r="G96" i="219"/>
  <c r="F96" i="219"/>
  <c r="E96" i="219"/>
  <c r="D96" i="219"/>
  <c r="C96" i="219"/>
  <c r="B96" i="219"/>
  <c r="C95" i="219"/>
  <c r="B95" i="219"/>
  <c r="C94" i="219"/>
  <c r="B94" i="219"/>
  <c r="H93" i="219"/>
  <c r="E93" i="219"/>
  <c r="A93" i="219"/>
  <c r="AJ92" i="219"/>
  <c r="AG92" i="219"/>
  <c r="AF92" i="219"/>
  <c r="AD92" i="219"/>
  <c r="AC92" i="219"/>
  <c r="AB92" i="219"/>
  <c r="AA92" i="219"/>
  <c r="Y92" i="219"/>
  <c r="H92" i="219"/>
  <c r="E92" i="219"/>
  <c r="B92" i="219"/>
  <c r="A92" i="219"/>
  <c r="AI92" i="219" s="1"/>
  <c r="AA91" i="219"/>
  <c r="H91" i="219"/>
  <c r="E91" i="219"/>
  <c r="A91" i="219"/>
  <c r="H90" i="219"/>
  <c r="E90" i="219"/>
  <c r="A90" i="219"/>
  <c r="H89" i="219"/>
  <c r="E89" i="219"/>
  <c r="A89" i="219"/>
  <c r="AI88" i="219"/>
  <c r="AF88" i="219"/>
  <c r="AE88" i="219"/>
  <c r="AB88" i="219"/>
  <c r="H88" i="219"/>
  <c r="E88" i="219"/>
  <c r="A88" i="219"/>
  <c r="AA88" i="219" s="1"/>
  <c r="H87" i="219"/>
  <c r="E87" i="219"/>
  <c r="A87" i="219"/>
  <c r="AG87" i="219" s="1"/>
  <c r="AJ86" i="219"/>
  <c r="AI86" i="219"/>
  <c r="AH86" i="219"/>
  <c r="AE86" i="219"/>
  <c r="AC86" i="219"/>
  <c r="H86" i="219"/>
  <c r="E86" i="219"/>
  <c r="A86" i="219"/>
  <c r="AD86" i="219" s="1"/>
  <c r="H85" i="219"/>
  <c r="E85" i="219"/>
  <c r="A85" i="219"/>
  <c r="H84" i="219"/>
  <c r="E84" i="219"/>
  <c r="A84" i="219"/>
  <c r="AJ84" i="219" s="1"/>
  <c r="H83" i="219"/>
  <c r="E83" i="219"/>
  <c r="A83" i="219"/>
  <c r="W82" i="219"/>
  <c r="H82" i="219"/>
  <c r="G82" i="219"/>
  <c r="E82" i="219"/>
  <c r="F82" i="219" s="1"/>
  <c r="D82" i="219"/>
  <c r="A82" i="219"/>
  <c r="H81" i="219"/>
  <c r="E81" i="219"/>
  <c r="A81" i="219"/>
  <c r="AI81" i="219" s="1"/>
  <c r="H80" i="219"/>
  <c r="E80" i="219"/>
  <c r="A80" i="219"/>
  <c r="AJ80" i="219" s="1"/>
  <c r="AF79" i="219"/>
  <c r="AE79" i="219"/>
  <c r="W79" i="219"/>
  <c r="H79" i="219"/>
  <c r="G79" i="219"/>
  <c r="E79" i="219"/>
  <c r="F79" i="219" s="1"/>
  <c r="D79" i="219"/>
  <c r="B79" i="219"/>
  <c r="A79" i="219"/>
  <c r="AD79" i="219" s="1"/>
  <c r="W78" i="219"/>
  <c r="H78" i="219"/>
  <c r="G78" i="219"/>
  <c r="E78" i="219"/>
  <c r="F78" i="219" s="1"/>
  <c r="D78" i="219"/>
  <c r="C78" i="219"/>
  <c r="B78" i="219"/>
  <c r="A78" i="219"/>
  <c r="AJ78" i="219" s="1"/>
  <c r="AK77" i="219"/>
  <c r="AJ77" i="219"/>
  <c r="AI77" i="219"/>
  <c r="AH77" i="219"/>
  <c r="AG77" i="219"/>
  <c r="AF77" i="219"/>
  <c r="AE77" i="219"/>
  <c r="AD77" i="219"/>
  <c r="AC77" i="219"/>
  <c r="AB77" i="219"/>
  <c r="AA77" i="219"/>
  <c r="Z77" i="219"/>
  <c r="Y77" i="219"/>
  <c r="H77" i="219"/>
  <c r="E77" i="219"/>
  <c r="C77" i="219"/>
  <c r="B77" i="219"/>
  <c r="W76" i="219"/>
  <c r="H76" i="219"/>
  <c r="G76" i="219"/>
  <c r="E76" i="219"/>
  <c r="F76" i="219" s="1"/>
  <c r="D76" i="219"/>
  <c r="C76" i="219"/>
  <c r="B76" i="219"/>
  <c r="A76" i="219"/>
  <c r="AE75" i="219"/>
  <c r="Z75" i="219"/>
  <c r="H75" i="219"/>
  <c r="E75" i="219"/>
  <c r="A75" i="219"/>
  <c r="AI75" i="219" s="1"/>
  <c r="AG74" i="219"/>
  <c r="N74" i="219"/>
  <c r="H74" i="219"/>
  <c r="E74" i="219"/>
  <c r="A74" i="219"/>
  <c r="H73" i="219"/>
  <c r="E73" i="219"/>
  <c r="A73" i="219"/>
  <c r="Z73" i="219" s="1"/>
  <c r="H72" i="219"/>
  <c r="E72" i="219"/>
  <c r="A72" i="219"/>
  <c r="Q72" i="219" s="1"/>
  <c r="H71" i="219"/>
  <c r="E71" i="219"/>
  <c r="A71" i="219"/>
  <c r="AI70" i="219"/>
  <c r="H70" i="219"/>
  <c r="E70" i="219"/>
  <c r="A70" i="219"/>
  <c r="AG70" i="219" s="1"/>
  <c r="H69" i="219"/>
  <c r="E69" i="219"/>
  <c r="A69" i="219"/>
  <c r="AD69" i="219" s="1"/>
  <c r="AE68" i="219"/>
  <c r="AC68" i="219"/>
  <c r="AB68" i="219"/>
  <c r="AA68" i="219"/>
  <c r="H68" i="219"/>
  <c r="E68" i="219"/>
  <c r="A68" i="219"/>
  <c r="AI68" i="219" s="1"/>
  <c r="AF67" i="219"/>
  <c r="AE67" i="219"/>
  <c r="AC67" i="219"/>
  <c r="P67" i="219"/>
  <c r="H67" i="219"/>
  <c r="E67" i="219"/>
  <c r="A67" i="219"/>
  <c r="Z67" i="219" s="1"/>
  <c r="W66" i="219"/>
  <c r="H66" i="219"/>
  <c r="G66" i="219"/>
  <c r="E66" i="219"/>
  <c r="F66" i="219" s="1"/>
  <c r="D66" i="219"/>
  <c r="A66" i="219"/>
  <c r="AI65" i="219"/>
  <c r="AG65" i="219"/>
  <c r="W65" i="219"/>
  <c r="H65" i="219"/>
  <c r="G65" i="219"/>
  <c r="E65" i="219"/>
  <c r="F65" i="219" s="1"/>
  <c r="D65" i="219"/>
  <c r="A65" i="219"/>
  <c r="AF65" i="219" s="1"/>
  <c r="AI64" i="219"/>
  <c r="AH64" i="219"/>
  <c r="AF64" i="219"/>
  <c r="AD64" i="219"/>
  <c r="AC64" i="219"/>
  <c r="AB64" i="219"/>
  <c r="AA64" i="219"/>
  <c r="Z64" i="219"/>
  <c r="W64" i="219"/>
  <c r="H64" i="219"/>
  <c r="G64" i="219"/>
  <c r="E64" i="219"/>
  <c r="F64" i="219" s="1"/>
  <c r="D64" i="219"/>
  <c r="A64" i="219"/>
  <c r="AJ64" i="219" s="1"/>
  <c r="AG63" i="219"/>
  <c r="AA63" i="219"/>
  <c r="W63" i="219"/>
  <c r="V63" i="219"/>
  <c r="U63" i="219"/>
  <c r="T63" i="219"/>
  <c r="S63" i="219"/>
  <c r="R63" i="219"/>
  <c r="Q63" i="219"/>
  <c r="P63" i="219"/>
  <c r="O63" i="219"/>
  <c r="N63" i="219"/>
  <c r="M63" i="219"/>
  <c r="L63" i="219"/>
  <c r="K63" i="219"/>
  <c r="H63" i="219"/>
  <c r="G63" i="219"/>
  <c r="E63" i="219"/>
  <c r="F63" i="219" s="1"/>
  <c r="D63" i="219"/>
  <c r="A63" i="219"/>
  <c r="Z63" i="219" s="1"/>
  <c r="AA62" i="219"/>
  <c r="Y62" i="219"/>
  <c r="H62" i="219"/>
  <c r="E62" i="219"/>
  <c r="A62" i="219"/>
  <c r="AF61" i="219"/>
  <c r="AC61" i="219"/>
  <c r="AA61" i="219"/>
  <c r="H61" i="219"/>
  <c r="E61" i="219"/>
  <c r="A61" i="219"/>
  <c r="AH60" i="219"/>
  <c r="AG60" i="219"/>
  <c r="AF60" i="219"/>
  <c r="AD60" i="219"/>
  <c r="AA60" i="219"/>
  <c r="H60" i="219"/>
  <c r="E60" i="219"/>
  <c r="A60" i="219"/>
  <c r="AE60" i="219" s="1"/>
  <c r="H59" i="219"/>
  <c r="E59" i="219"/>
  <c r="A59" i="219"/>
  <c r="Z59" i="219" s="1"/>
  <c r="Y58" i="219"/>
  <c r="H58" i="219"/>
  <c r="E58" i="219"/>
  <c r="A58" i="219"/>
  <c r="AG58" i="219" s="1"/>
  <c r="AF57" i="219"/>
  <c r="AD57" i="219"/>
  <c r="H57" i="219"/>
  <c r="E57" i="219"/>
  <c r="A57" i="219"/>
  <c r="AJ57" i="219" s="1"/>
  <c r="AC56" i="219"/>
  <c r="AB56" i="219"/>
  <c r="AA56" i="219"/>
  <c r="H56" i="219"/>
  <c r="E56" i="219"/>
  <c r="A56" i="219"/>
  <c r="AE55" i="219"/>
  <c r="AB55" i="219"/>
  <c r="Z55" i="219"/>
  <c r="H55" i="219"/>
  <c r="E55" i="219"/>
  <c r="A55" i="219"/>
  <c r="H54" i="219"/>
  <c r="E54" i="219"/>
  <c r="A54" i="219"/>
  <c r="AJ54" i="219" s="1"/>
  <c r="H53" i="219"/>
  <c r="G53" i="219"/>
  <c r="E53" i="219"/>
  <c r="D53" i="219"/>
  <c r="A53" i="219"/>
  <c r="AI52" i="219"/>
  <c r="H52" i="219"/>
  <c r="E52" i="219"/>
  <c r="A52" i="219"/>
  <c r="H51" i="219"/>
  <c r="E51" i="219"/>
  <c r="A51" i="219"/>
  <c r="AJ51" i="219" s="1"/>
  <c r="AI50" i="219"/>
  <c r="AE50" i="219"/>
  <c r="Z50" i="219"/>
  <c r="W50" i="219"/>
  <c r="H50" i="219"/>
  <c r="G50" i="219"/>
  <c r="E50" i="219"/>
  <c r="F50" i="219" s="1"/>
  <c r="D50" i="219"/>
  <c r="C50" i="219"/>
  <c r="B50" i="219"/>
  <c r="A50" i="219"/>
  <c r="AJ49" i="219"/>
  <c r="AF49" i="219"/>
  <c r="W49" i="219"/>
  <c r="H49" i="219"/>
  <c r="G49" i="219"/>
  <c r="E49" i="219"/>
  <c r="F49" i="219" s="1"/>
  <c r="D49" i="219"/>
  <c r="C49" i="219"/>
  <c r="B49" i="219"/>
  <c r="A49" i="219"/>
  <c r="AH49" i="219" s="1"/>
  <c r="Z48" i="219"/>
  <c r="Y48" i="219"/>
  <c r="W48" i="219"/>
  <c r="H48" i="219"/>
  <c r="G48" i="219"/>
  <c r="E48" i="219"/>
  <c r="F48" i="219" s="1"/>
  <c r="D48" i="219"/>
  <c r="C48" i="219"/>
  <c r="B48" i="219"/>
  <c r="A48" i="219"/>
  <c r="AE48" i="219" s="1"/>
  <c r="AG47" i="219"/>
  <c r="AD47" i="219"/>
  <c r="AC47" i="219"/>
  <c r="AB47" i="219"/>
  <c r="AA47" i="219"/>
  <c r="Z47" i="219"/>
  <c r="Y47" i="219"/>
  <c r="W47" i="219"/>
  <c r="V47" i="219"/>
  <c r="U47" i="219"/>
  <c r="T47" i="219"/>
  <c r="S47" i="219"/>
  <c r="R47" i="219"/>
  <c r="Q47" i="219"/>
  <c r="P47" i="219"/>
  <c r="O47" i="219"/>
  <c r="N47" i="219"/>
  <c r="M47" i="219"/>
  <c r="L47" i="219"/>
  <c r="K47" i="219"/>
  <c r="H47" i="219"/>
  <c r="G47" i="219"/>
  <c r="E47" i="219"/>
  <c r="F47" i="219" s="1"/>
  <c r="D47" i="219"/>
  <c r="A47" i="219"/>
  <c r="AF47" i="219" s="1"/>
  <c r="H46" i="219"/>
  <c r="E46" i="219"/>
  <c r="A46" i="219"/>
  <c r="AG46" i="219" s="1"/>
  <c r="H45" i="219"/>
  <c r="E45" i="219"/>
  <c r="A45" i="219"/>
  <c r="AJ45" i="219" s="1"/>
  <c r="H44" i="219"/>
  <c r="E44" i="219"/>
  <c r="A44" i="219"/>
  <c r="C43" i="219"/>
  <c r="B43" i="219"/>
  <c r="A43" i="219"/>
  <c r="C42" i="219"/>
  <c r="B42" i="219"/>
  <c r="A42" i="219"/>
  <c r="AI41" i="219"/>
  <c r="AG41" i="219"/>
  <c r="AE41" i="219"/>
  <c r="W41" i="219"/>
  <c r="H41" i="219"/>
  <c r="G41" i="219"/>
  <c r="E41" i="219"/>
  <c r="F41" i="219" s="1"/>
  <c r="D41" i="219"/>
  <c r="A41" i="219"/>
  <c r="AH41" i="219" s="1"/>
  <c r="AD40" i="219"/>
  <c r="Z40" i="219"/>
  <c r="H40" i="219"/>
  <c r="E40" i="219"/>
  <c r="A40" i="219"/>
  <c r="AF39" i="219"/>
  <c r="AE39" i="219"/>
  <c r="AC39" i="219"/>
  <c r="AB39" i="219"/>
  <c r="AA39" i="219"/>
  <c r="H39" i="219"/>
  <c r="E39" i="219"/>
  <c r="A39" i="219"/>
  <c r="H38" i="219"/>
  <c r="E38" i="219"/>
  <c r="A38" i="219"/>
  <c r="AD38" i="219" s="1"/>
  <c r="W37" i="219"/>
  <c r="H37" i="219"/>
  <c r="G37" i="219"/>
  <c r="E37" i="219"/>
  <c r="F37" i="219" s="1"/>
  <c r="D37" i="219"/>
  <c r="A37" i="219"/>
  <c r="W36" i="219"/>
  <c r="V36" i="219"/>
  <c r="U36" i="219"/>
  <c r="T36" i="219"/>
  <c r="S36" i="219"/>
  <c r="R36" i="219"/>
  <c r="Q36" i="219"/>
  <c r="P36" i="219"/>
  <c r="O36" i="219"/>
  <c r="N36" i="219"/>
  <c r="M36" i="219"/>
  <c r="L36" i="219"/>
  <c r="K36" i="219"/>
  <c r="H36" i="219"/>
  <c r="G36" i="219"/>
  <c r="E36" i="219"/>
  <c r="F36" i="219" s="1"/>
  <c r="D36" i="219"/>
  <c r="A36" i="219"/>
  <c r="AJ36" i="219" s="1"/>
  <c r="H35" i="219"/>
  <c r="E35" i="219"/>
  <c r="A35" i="219"/>
  <c r="AD34" i="219"/>
  <c r="W34" i="219"/>
  <c r="H34" i="219"/>
  <c r="G34" i="219"/>
  <c r="E34" i="219"/>
  <c r="F34" i="219" s="1"/>
  <c r="D34" i="219"/>
  <c r="A34" i="219"/>
  <c r="AJ34" i="219" s="1"/>
  <c r="H33" i="219"/>
  <c r="E33" i="219"/>
  <c r="A33" i="219"/>
  <c r="AI33" i="219" s="1"/>
  <c r="W32" i="219"/>
  <c r="H32" i="219"/>
  <c r="G32" i="219"/>
  <c r="E32" i="219"/>
  <c r="F32" i="219" s="1"/>
  <c r="D32" i="219"/>
  <c r="A32" i="219"/>
  <c r="AI32" i="219" s="1"/>
  <c r="AF31" i="219"/>
  <c r="AB31" i="219"/>
  <c r="W31" i="219"/>
  <c r="H31" i="219"/>
  <c r="G31" i="219"/>
  <c r="F31" i="219"/>
  <c r="E31" i="219"/>
  <c r="D31" i="219"/>
  <c r="A31" i="219"/>
  <c r="W30" i="219"/>
  <c r="H30" i="219"/>
  <c r="G30" i="219"/>
  <c r="E30" i="219"/>
  <c r="F30" i="219" s="1"/>
  <c r="D30" i="219"/>
  <c r="A30" i="219"/>
  <c r="AC30" i="219" s="1"/>
  <c r="W29" i="219"/>
  <c r="H29" i="219"/>
  <c r="G29" i="219"/>
  <c r="E29" i="219"/>
  <c r="F29" i="219" s="1"/>
  <c r="D29" i="219"/>
  <c r="A29" i="219"/>
  <c r="W28" i="219"/>
  <c r="H28" i="219"/>
  <c r="G28" i="219"/>
  <c r="E28" i="219"/>
  <c r="F28" i="219" s="1"/>
  <c r="D28" i="219"/>
  <c r="A28" i="219"/>
  <c r="AE28" i="219" s="1"/>
  <c r="W27" i="219"/>
  <c r="H27" i="219"/>
  <c r="G27" i="219"/>
  <c r="E27" i="219"/>
  <c r="F27" i="219" s="1"/>
  <c r="D27" i="219"/>
  <c r="A27" i="219"/>
  <c r="AC27" i="219" s="1"/>
  <c r="H26" i="219"/>
  <c r="G26" i="219"/>
  <c r="E26" i="219"/>
  <c r="D26" i="219"/>
  <c r="F26" i="219" s="1"/>
  <c r="A26" i="219"/>
  <c r="Y26" i="219" s="1"/>
  <c r="W25" i="219"/>
  <c r="H25" i="219"/>
  <c r="G25" i="219"/>
  <c r="E25" i="219"/>
  <c r="F25" i="219" s="1"/>
  <c r="D25" i="219"/>
  <c r="A25" i="219"/>
  <c r="H24" i="219"/>
  <c r="E24" i="219"/>
  <c r="A24" i="219"/>
  <c r="AJ24" i="219" s="1"/>
  <c r="AA23" i="219"/>
  <c r="A23" i="219"/>
  <c r="AH23" i="219" s="1"/>
  <c r="B22" i="219"/>
  <c r="A22" i="219"/>
  <c r="C21" i="219"/>
  <c r="B21" i="219"/>
  <c r="A21" i="219"/>
  <c r="C20" i="219"/>
  <c r="B20" i="219"/>
  <c r="A20" i="219"/>
  <c r="V19" i="219"/>
  <c r="U19" i="219"/>
  <c r="T19" i="219"/>
  <c r="S19" i="219"/>
  <c r="R19" i="219"/>
  <c r="Q19" i="219"/>
  <c r="P19" i="219"/>
  <c r="O19" i="219"/>
  <c r="N19" i="219"/>
  <c r="M19" i="219"/>
  <c r="L19" i="219"/>
  <c r="K19" i="219"/>
  <c r="H19" i="219"/>
  <c r="G19" i="219"/>
  <c r="E19" i="219"/>
  <c r="F19" i="219" s="1"/>
  <c r="D19" i="219"/>
  <c r="C19" i="219"/>
  <c r="B19" i="219"/>
  <c r="A19" i="219"/>
  <c r="AH18" i="219"/>
  <c r="AB18" i="219"/>
  <c r="AA18" i="219"/>
  <c r="Z18" i="219"/>
  <c r="Y18" i="219"/>
  <c r="W18" i="219"/>
  <c r="H18" i="219"/>
  <c r="G18" i="219"/>
  <c r="E18" i="219"/>
  <c r="F18" i="219" s="1"/>
  <c r="D18" i="219"/>
  <c r="A18" i="219"/>
  <c r="AI18" i="219" s="1"/>
  <c r="W17" i="219"/>
  <c r="H17" i="219"/>
  <c r="G17" i="219"/>
  <c r="E17" i="219"/>
  <c r="F17" i="219" s="1"/>
  <c r="D17" i="219"/>
  <c r="A17" i="219"/>
  <c r="W16" i="219"/>
  <c r="H16" i="219"/>
  <c r="G16" i="219"/>
  <c r="E16" i="219"/>
  <c r="F16" i="219" s="1"/>
  <c r="D16" i="219"/>
  <c r="A16" i="219"/>
  <c r="AJ16" i="219" s="1"/>
  <c r="AA15" i="219"/>
  <c r="Z15" i="219"/>
  <c r="W15" i="219"/>
  <c r="H15" i="219"/>
  <c r="G15" i="219"/>
  <c r="E15" i="219"/>
  <c r="F15" i="219" s="1"/>
  <c r="D15" i="219"/>
  <c r="A15" i="219"/>
  <c r="W14" i="219"/>
  <c r="H14" i="219"/>
  <c r="G14" i="219"/>
  <c r="E14" i="219"/>
  <c r="F14" i="219" s="1"/>
  <c r="D14" i="219"/>
  <c r="A14" i="219"/>
  <c r="Z14" i="219" s="1"/>
  <c r="C13" i="219"/>
  <c r="B13" i="219"/>
  <c r="A13" i="219"/>
  <c r="V12" i="219"/>
  <c r="U12" i="219"/>
  <c r="T12" i="219"/>
  <c r="S12" i="219"/>
  <c r="R12" i="219"/>
  <c r="Q12" i="219"/>
  <c r="P12" i="219"/>
  <c r="O12" i="219"/>
  <c r="N12" i="219"/>
  <c r="M12" i="219"/>
  <c r="L12" i="219"/>
  <c r="H12" i="219"/>
  <c r="E12" i="219"/>
  <c r="C12" i="219"/>
  <c r="B12" i="219"/>
  <c r="A12" i="219"/>
  <c r="W11" i="219"/>
  <c r="H11" i="219"/>
  <c r="G11" i="219"/>
  <c r="E11" i="219"/>
  <c r="F11" i="219" s="1"/>
  <c r="D11" i="219"/>
  <c r="C11" i="219"/>
  <c r="B11" i="219"/>
  <c r="A11" i="219"/>
  <c r="Y11" i="219" s="1"/>
  <c r="W10" i="219"/>
  <c r="H10" i="219"/>
  <c r="G10" i="219"/>
  <c r="E10" i="219"/>
  <c r="F10" i="219" s="1"/>
  <c r="D10" i="219"/>
  <c r="C10" i="219"/>
  <c r="B10" i="219"/>
  <c r="A10" i="219"/>
  <c r="AH10" i="219" s="1"/>
  <c r="W9" i="219"/>
  <c r="V9" i="219"/>
  <c r="U9" i="219"/>
  <c r="T9" i="219"/>
  <c r="S9" i="219"/>
  <c r="R9" i="219"/>
  <c r="Q9" i="219"/>
  <c r="P9" i="219"/>
  <c r="O9" i="219"/>
  <c r="N9" i="219"/>
  <c r="M9" i="219"/>
  <c r="L9" i="219"/>
  <c r="K9" i="219"/>
  <c r="H9" i="219"/>
  <c r="G9" i="219"/>
  <c r="E9" i="219"/>
  <c r="F9" i="219" s="1"/>
  <c r="D9" i="219"/>
  <c r="B9" i="219"/>
  <c r="A9" i="219"/>
  <c r="V8" i="219"/>
  <c r="U8" i="219"/>
  <c r="T8" i="219"/>
  <c r="S8" i="219"/>
  <c r="R8" i="219"/>
  <c r="Q8" i="219"/>
  <c r="P8" i="219"/>
  <c r="O8" i="219"/>
  <c r="N8" i="219"/>
  <c r="M8" i="219"/>
  <c r="L8" i="219"/>
  <c r="K8" i="219"/>
  <c r="G8" i="219" s="1"/>
  <c r="H8" i="219"/>
  <c r="E8" i="219"/>
  <c r="B8" i="219"/>
  <c r="A8" i="219"/>
  <c r="B7" i="219"/>
  <c r="A7" i="219"/>
  <c r="C7" i="219" s="1"/>
  <c r="H6" i="219"/>
  <c r="G6" i="219"/>
  <c r="E6" i="219"/>
  <c r="D6" i="219"/>
  <c r="A219" i="218"/>
  <c r="A218" i="218"/>
  <c r="A217" i="218"/>
  <c r="A216" i="218"/>
  <c r="A215" i="218"/>
  <c r="A214" i="218"/>
  <c r="A213" i="218"/>
  <c r="A212" i="218"/>
  <c r="A211" i="218"/>
  <c r="A210" i="218"/>
  <c r="A209" i="218"/>
  <c r="C208" i="218"/>
  <c r="A208" i="218"/>
  <c r="C207" i="218"/>
  <c r="B207" i="218"/>
  <c r="A207" i="218"/>
  <c r="C206" i="218"/>
  <c r="B206" i="218"/>
  <c r="A206" i="218"/>
  <c r="AJ205" i="218"/>
  <c r="AI205" i="218"/>
  <c r="AC205" i="218"/>
  <c r="Z205" i="218"/>
  <c r="W205" i="218"/>
  <c r="H205" i="218"/>
  <c r="G205" i="218"/>
  <c r="E205" i="218"/>
  <c r="F205" i="218" s="1"/>
  <c r="D205" i="218"/>
  <c r="A205" i="218"/>
  <c r="AJ204" i="218"/>
  <c r="AG204" i="218"/>
  <c r="AF204" i="218"/>
  <c r="AD204" i="218"/>
  <c r="W204" i="218"/>
  <c r="H204" i="218"/>
  <c r="G204" i="218"/>
  <c r="E204" i="218"/>
  <c r="F204" i="218" s="1"/>
  <c r="D204" i="218"/>
  <c r="A204" i="218"/>
  <c r="AJ203" i="218"/>
  <c r="AI203" i="218"/>
  <c r="AH203" i="218"/>
  <c r="AD203" i="218"/>
  <c r="Z203" i="218"/>
  <c r="Y203" i="218"/>
  <c r="W203" i="218"/>
  <c r="H203" i="218"/>
  <c r="G203" i="218"/>
  <c r="E203" i="218"/>
  <c r="F203" i="218" s="1"/>
  <c r="D203" i="218"/>
  <c r="A203" i="218"/>
  <c r="C202" i="218"/>
  <c r="B202" i="218"/>
  <c r="A202" i="218"/>
  <c r="C201" i="218"/>
  <c r="B201" i="218"/>
  <c r="A201" i="218"/>
  <c r="C200" i="218"/>
  <c r="B200" i="218"/>
  <c r="A200" i="218"/>
  <c r="W199" i="218"/>
  <c r="V199" i="218"/>
  <c r="U199" i="218"/>
  <c r="T199" i="218"/>
  <c r="S199" i="218"/>
  <c r="R199" i="218"/>
  <c r="Q199" i="218"/>
  <c r="P199" i="218"/>
  <c r="O199" i="218"/>
  <c r="N199" i="218"/>
  <c r="M199" i="218"/>
  <c r="L199" i="218"/>
  <c r="K199" i="218"/>
  <c r="D199" i="218" s="1"/>
  <c r="H199" i="218"/>
  <c r="E199" i="218"/>
  <c r="C199" i="218"/>
  <c r="B199" i="218"/>
  <c r="A199" i="218"/>
  <c r="W198" i="218"/>
  <c r="H198" i="218"/>
  <c r="G198" i="218"/>
  <c r="E198" i="218"/>
  <c r="F198" i="218" s="1"/>
  <c r="D198" i="218"/>
  <c r="A198" i="218"/>
  <c r="AF198" i="218" s="1"/>
  <c r="W197" i="218"/>
  <c r="H197" i="218"/>
  <c r="G197" i="218"/>
  <c r="E197" i="218"/>
  <c r="F197" i="218" s="1"/>
  <c r="D197" i="218"/>
  <c r="A197" i="218"/>
  <c r="AI197" i="218" s="1"/>
  <c r="AH196" i="218"/>
  <c r="AC196" i="218"/>
  <c r="Z196" i="218"/>
  <c r="Y196" i="218"/>
  <c r="W196" i="218"/>
  <c r="H196" i="218"/>
  <c r="G196" i="218"/>
  <c r="F196" i="218"/>
  <c r="E196" i="218"/>
  <c r="D196" i="218"/>
  <c r="A196" i="218"/>
  <c r="AB196" i="218" s="1"/>
  <c r="AI195" i="218"/>
  <c r="AH195" i="218"/>
  <c r="AG195" i="218"/>
  <c r="AD195" i="218"/>
  <c r="AC195" i="218"/>
  <c r="AB195" i="218"/>
  <c r="AA195" i="218"/>
  <c r="Z195" i="218"/>
  <c r="Y195" i="218"/>
  <c r="W195" i="218"/>
  <c r="V195" i="218"/>
  <c r="U195" i="218"/>
  <c r="T195" i="218"/>
  <c r="S195" i="218"/>
  <c r="R195" i="218"/>
  <c r="Q195" i="218"/>
  <c r="P195" i="218"/>
  <c r="O195" i="218"/>
  <c r="N195" i="218"/>
  <c r="M195" i="218"/>
  <c r="L195" i="218"/>
  <c r="K195" i="218"/>
  <c r="H195" i="218"/>
  <c r="G195" i="218"/>
  <c r="F195" i="218"/>
  <c r="E195" i="218"/>
  <c r="D195" i="218"/>
  <c r="A195" i="218"/>
  <c r="AG194" i="218"/>
  <c r="AF194" i="218"/>
  <c r="AE194" i="218"/>
  <c r="W194" i="218"/>
  <c r="H194" i="218"/>
  <c r="G194" i="218"/>
  <c r="E194" i="218"/>
  <c r="F194" i="218" s="1"/>
  <c r="D194" i="218"/>
  <c r="A194" i="218"/>
  <c r="AJ193" i="218"/>
  <c r="AE193" i="218"/>
  <c r="AD193" i="218"/>
  <c r="AA193" i="218"/>
  <c r="Z193" i="218"/>
  <c r="Y193" i="218"/>
  <c r="W193" i="218"/>
  <c r="H193" i="218"/>
  <c r="G193" i="218"/>
  <c r="E193" i="218"/>
  <c r="F193" i="218" s="1"/>
  <c r="D193" i="218"/>
  <c r="A193" i="218"/>
  <c r="AF193" i="218" s="1"/>
  <c r="AH192" i="218"/>
  <c r="AG192" i="218"/>
  <c r="AF192" i="218"/>
  <c r="AD192" i="218"/>
  <c r="AC192" i="218"/>
  <c r="AB192" i="218"/>
  <c r="AA192" i="218"/>
  <c r="Z192" i="218"/>
  <c r="W192" i="218"/>
  <c r="H192" i="218"/>
  <c r="G192" i="218"/>
  <c r="E192" i="218"/>
  <c r="F192" i="218" s="1"/>
  <c r="D192" i="218"/>
  <c r="A192" i="218"/>
  <c r="AG191" i="218"/>
  <c r="AB191" i="218"/>
  <c r="AA191" i="218"/>
  <c r="W191" i="218"/>
  <c r="H191" i="218"/>
  <c r="G191" i="218"/>
  <c r="E191" i="218"/>
  <c r="F191" i="218" s="1"/>
  <c r="D191" i="218"/>
  <c r="A191" i="218"/>
  <c r="W190" i="218"/>
  <c r="H190" i="218"/>
  <c r="G190" i="218"/>
  <c r="E190" i="218"/>
  <c r="F190" i="218" s="1"/>
  <c r="D190" i="218"/>
  <c r="A190" i="218"/>
  <c r="AG190" i="218" s="1"/>
  <c r="W189" i="218"/>
  <c r="H189" i="218"/>
  <c r="G189" i="218"/>
  <c r="E189" i="218"/>
  <c r="F189" i="218" s="1"/>
  <c r="D189" i="218"/>
  <c r="A189" i="218"/>
  <c r="AH189" i="218" s="1"/>
  <c r="AJ188" i="218"/>
  <c r="AI188" i="218"/>
  <c r="AG188" i="218"/>
  <c r="AB188" i="218"/>
  <c r="W188" i="218"/>
  <c r="H188" i="218"/>
  <c r="G188" i="218"/>
  <c r="E188" i="218"/>
  <c r="F188" i="218" s="1"/>
  <c r="D188" i="218"/>
  <c r="A188" i="218"/>
  <c r="W187" i="218"/>
  <c r="V187" i="218"/>
  <c r="U187" i="218"/>
  <c r="T187" i="218"/>
  <c r="S187" i="218"/>
  <c r="R187" i="218"/>
  <c r="Q187" i="218"/>
  <c r="P187" i="218"/>
  <c r="O187" i="218"/>
  <c r="N187" i="218"/>
  <c r="M187" i="218"/>
  <c r="L187" i="218"/>
  <c r="K187" i="218"/>
  <c r="H187" i="218"/>
  <c r="G187" i="218"/>
  <c r="E187" i="218"/>
  <c r="F187" i="218" s="1"/>
  <c r="D187" i="218"/>
  <c r="A187" i="218"/>
  <c r="AH187" i="218" s="1"/>
  <c r="C186" i="218"/>
  <c r="B186" i="218"/>
  <c r="A186" i="218"/>
  <c r="C185" i="218"/>
  <c r="B185" i="218"/>
  <c r="A185" i="218"/>
  <c r="W184" i="218"/>
  <c r="C184" i="218"/>
  <c r="B184" i="218"/>
  <c r="A184" i="218"/>
  <c r="V183" i="218"/>
  <c r="U183" i="218"/>
  <c r="T183" i="218"/>
  <c r="S183" i="218"/>
  <c r="R183" i="218"/>
  <c r="Q183" i="218"/>
  <c r="P183" i="218"/>
  <c r="O183" i="218"/>
  <c r="N183" i="218"/>
  <c r="M183" i="218"/>
  <c r="L183" i="218"/>
  <c r="K183" i="218"/>
  <c r="G183" i="218" s="1"/>
  <c r="H183" i="218"/>
  <c r="E183" i="218"/>
  <c r="C183" i="218"/>
  <c r="B183" i="218"/>
  <c r="A183" i="218"/>
  <c r="AJ182" i="218"/>
  <c r="AD182" i="218"/>
  <c r="Z182" i="218"/>
  <c r="Y182" i="218"/>
  <c r="W182" i="218"/>
  <c r="H182" i="218"/>
  <c r="G182" i="218"/>
  <c r="E182" i="218"/>
  <c r="F182" i="218" s="1"/>
  <c r="D182" i="218"/>
  <c r="A182" i="218"/>
  <c r="AF182" i="218" s="1"/>
  <c r="AJ181" i="218"/>
  <c r="AF181" i="218"/>
  <c r="AD181" i="218"/>
  <c r="AC181" i="218"/>
  <c r="AA181" i="218"/>
  <c r="Z181" i="218"/>
  <c r="Y181" i="218"/>
  <c r="W181" i="218"/>
  <c r="H181" i="218"/>
  <c r="G181" i="218"/>
  <c r="E181" i="218"/>
  <c r="F181" i="218" s="1"/>
  <c r="D181" i="218"/>
  <c r="A181" i="218"/>
  <c r="AE181" i="218" s="1"/>
  <c r="AJ180" i="218"/>
  <c r="AG180" i="218"/>
  <c r="Y180" i="218"/>
  <c r="W180" i="218"/>
  <c r="H180" i="218"/>
  <c r="G180" i="218"/>
  <c r="E180" i="218"/>
  <c r="F180" i="218" s="1"/>
  <c r="D180" i="218"/>
  <c r="A180" i="218"/>
  <c r="AF180" i="218" s="1"/>
  <c r="W179" i="218"/>
  <c r="H179" i="218"/>
  <c r="G179" i="218"/>
  <c r="E179" i="218"/>
  <c r="F179" i="218" s="1"/>
  <c r="D179" i="218"/>
  <c r="A179" i="218"/>
  <c r="AF179" i="218" s="1"/>
  <c r="AE178" i="218"/>
  <c r="W178" i="218"/>
  <c r="H178" i="218"/>
  <c r="G178" i="218"/>
  <c r="E178" i="218"/>
  <c r="F178" i="218" s="1"/>
  <c r="D178" i="218"/>
  <c r="A178" i="218"/>
  <c r="AF178" i="218" s="1"/>
  <c r="W177" i="218"/>
  <c r="V177" i="218"/>
  <c r="U177" i="218"/>
  <c r="T177" i="218"/>
  <c r="S177" i="218"/>
  <c r="R177" i="218"/>
  <c r="Q177" i="218"/>
  <c r="P177" i="218"/>
  <c r="O177" i="218"/>
  <c r="N177" i="218"/>
  <c r="M177" i="218"/>
  <c r="L177" i="218"/>
  <c r="K177" i="218"/>
  <c r="H177" i="218"/>
  <c r="G177" i="218"/>
  <c r="E177" i="218"/>
  <c r="F177" i="218" s="1"/>
  <c r="D177" i="218"/>
  <c r="A177" i="218"/>
  <c r="W176" i="218"/>
  <c r="H176" i="218"/>
  <c r="G176" i="218"/>
  <c r="E176" i="218"/>
  <c r="F176" i="218" s="1"/>
  <c r="D176" i="218"/>
  <c r="A176" i="218"/>
  <c r="AG176" i="218" s="1"/>
  <c r="W175" i="218"/>
  <c r="H175" i="218"/>
  <c r="G175" i="218"/>
  <c r="E175" i="218"/>
  <c r="F175" i="218" s="1"/>
  <c r="D175" i="218"/>
  <c r="A175" i="218"/>
  <c r="AI175" i="218" s="1"/>
  <c r="W174" i="218"/>
  <c r="H174" i="218"/>
  <c r="G174" i="218"/>
  <c r="E174" i="218"/>
  <c r="F174" i="218" s="1"/>
  <c r="D174" i="218"/>
  <c r="A174" i="218"/>
  <c r="C173" i="218"/>
  <c r="B173" i="218"/>
  <c r="A173" i="218"/>
  <c r="H172" i="218"/>
  <c r="E172" i="218"/>
  <c r="C172" i="218"/>
  <c r="B172" i="218"/>
  <c r="A172" i="218"/>
  <c r="W171" i="218"/>
  <c r="H171" i="218"/>
  <c r="G171" i="218"/>
  <c r="E171" i="218"/>
  <c r="F171" i="218" s="1"/>
  <c r="D171" i="218"/>
  <c r="A171" i="218"/>
  <c r="AI171" i="218" s="1"/>
  <c r="AJ170" i="218"/>
  <c r="AG170" i="218"/>
  <c r="AE170" i="218"/>
  <c r="H170" i="218"/>
  <c r="I170" i="218" s="1"/>
  <c r="E170" i="218"/>
  <c r="F170" i="218" s="1"/>
  <c r="A170" i="218"/>
  <c r="AI170" i="218" s="1"/>
  <c r="W169" i="218"/>
  <c r="H169" i="218"/>
  <c r="G169" i="218"/>
  <c r="E169" i="218"/>
  <c r="F169" i="218" s="1"/>
  <c r="D169" i="218"/>
  <c r="A169" i="218"/>
  <c r="AH169" i="218" s="1"/>
  <c r="W168" i="218"/>
  <c r="H168" i="218"/>
  <c r="G168" i="218"/>
  <c r="E168" i="218"/>
  <c r="F168" i="218" s="1"/>
  <c r="D168" i="218"/>
  <c r="A168" i="218"/>
  <c r="AI168" i="218" s="1"/>
  <c r="AJ167" i="218"/>
  <c r="AI167" i="218"/>
  <c r="AH167" i="218"/>
  <c r="AE167" i="218"/>
  <c r="AD167" i="218"/>
  <c r="AC167" i="218"/>
  <c r="AB167" i="218"/>
  <c r="Z167" i="218"/>
  <c r="W167" i="218"/>
  <c r="V167" i="218"/>
  <c r="U167" i="218"/>
  <c r="T167" i="218"/>
  <c r="S167" i="218"/>
  <c r="R167" i="218"/>
  <c r="Q167" i="218"/>
  <c r="P167" i="218"/>
  <c r="O167" i="218"/>
  <c r="N167" i="218"/>
  <c r="M167" i="218"/>
  <c r="L167" i="218"/>
  <c r="K167" i="218"/>
  <c r="H167" i="218"/>
  <c r="G167" i="218"/>
  <c r="E167" i="218"/>
  <c r="F167" i="218" s="1"/>
  <c r="D167" i="218"/>
  <c r="A167" i="218"/>
  <c r="AF167" i="218" s="1"/>
  <c r="W166" i="218"/>
  <c r="H166" i="218"/>
  <c r="G166" i="218"/>
  <c r="E166" i="218"/>
  <c r="F166" i="218" s="1"/>
  <c r="D166" i="218"/>
  <c r="A166" i="218"/>
  <c r="H165" i="218"/>
  <c r="E165" i="218"/>
  <c r="A165" i="218"/>
  <c r="AC165" i="218" s="1"/>
  <c r="Z164" i="218"/>
  <c r="W164" i="218"/>
  <c r="H164" i="218"/>
  <c r="G164" i="218"/>
  <c r="E164" i="218"/>
  <c r="F164" i="218" s="1"/>
  <c r="D164" i="218"/>
  <c r="A164" i="218"/>
  <c r="AF163" i="218"/>
  <c r="AB163" i="218"/>
  <c r="Y163" i="218"/>
  <c r="W163" i="218"/>
  <c r="H163" i="218"/>
  <c r="G163" i="218"/>
  <c r="E163" i="218"/>
  <c r="F163" i="218" s="1"/>
  <c r="D163" i="218"/>
  <c r="A163" i="218"/>
  <c r="AG162" i="218"/>
  <c r="AE162" i="218"/>
  <c r="AD162" i="218"/>
  <c r="AC162" i="218"/>
  <c r="AA162" i="218"/>
  <c r="W162" i="218"/>
  <c r="V162" i="218"/>
  <c r="U162" i="218"/>
  <c r="T162" i="218"/>
  <c r="S162" i="218"/>
  <c r="R162" i="218"/>
  <c r="Q162" i="218"/>
  <c r="P162" i="218"/>
  <c r="O162" i="218"/>
  <c r="N162" i="218"/>
  <c r="M162" i="218"/>
  <c r="L162" i="218"/>
  <c r="K162" i="218"/>
  <c r="H162" i="218"/>
  <c r="G162" i="218"/>
  <c r="E162" i="218"/>
  <c r="F162" i="218" s="1"/>
  <c r="D162" i="218"/>
  <c r="A162" i="218"/>
  <c r="AI161" i="218"/>
  <c r="S161" i="218"/>
  <c r="S159" i="218" s="1"/>
  <c r="S157" i="218" s="1"/>
  <c r="R161" i="218"/>
  <c r="R159" i="218" s="1"/>
  <c r="R157" i="218" s="1"/>
  <c r="Q161" i="218"/>
  <c r="Q159" i="218" s="1"/>
  <c r="Q157" i="218" s="1"/>
  <c r="P161" i="218"/>
  <c r="P159" i="218" s="1"/>
  <c r="P157" i="218" s="1"/>
  <c r="O161" i="218"/>
  <c r="O159" i="218" s="1"/>
  <c r="O157" i="218" s="1"/>
  <c r="N161" i="218"/>
  <c r="N159" i="218" s="1"/>
  <c r="N157" i="218" s="1"/>
  <c r="M161" i="218"/>
  <c r="M159" i="218" s="1"/>
  <c r="M157" i="218" s="1"/>
  <c r="L161" i="218"/>
  <c r="L159" i="218" s="1"/>
  <c r="L157" i="218" s="1"/>
  <c r="K161" i="218"/>
  <c r="G161" i="218" s="1"/>
  <c r="H161" i="218"/>
  <c r="E161" i="218"/>
  <c r="A161" i="218"/>
  <c r="AA161" i="218" s="1"/>
  <c r="AE160" i="218"/>
  <c r="W160" i="218"/>
  <c r="H160" i="218"/>
  <c r="G160" i="218"/>
  <c r="E160" i="218"/>
  <c r="F160" i="218" s="1"/>
  <c r="D160" i="218"/>
  <c r="A160" i="218"/>
  <c r="AJ160" i="218" s="1"/>
  <c r="AD159" i="218"/>
  <c r="AA159" i="218"/>
  <c r="Z159" i="218"/>
  <c r="V159" i="218"/>
  <c r="U159" i="218"/>
  <c r="T159" i="218"/>
  <c r="H159" i="218"/>
  <c r="E159" i="218"/>
  <c r="A159" i="218"/>
  <c r="W158" i="218"/>
  <c r="H158" i="218"/>
  <c r="G158" i="218"/>
  <c r="E158" i="218"/>
  <c r="F158" i="218" s="1"/>
  <c r="D158" i="218"/>
  <c r="A158" i="218"/>
  <c r="AC158" i="218" s="1"/>
  <c r="V157" i="218"/>
  <c r="U157" i="218"/>
  <c r="T157" i="218"/>
  <c r="H157" i="218"/>
  <c r="E157" i="218"/>
  <c r="A157" i="218"/>
  <c r="AI157" i="218" s="1"/>
  <c r="AC156" i="218"/>
  <c r="Z156" i="218"/>
  <c r="Y156" i="218"/>
  <c r="H156" i="218"/>
  <c r="E156" i="218"/>
  <c r="A156" i="218"/>
  <c r="AJ156" i="218" s="1"/>
  <c r="B155" i="218"/>
  <c r="A155" i="218"/>
  <c r="W154" i="218"/>
  <c r="C154" i="218"/>
  <c r="B154" i="218"/>
  <c r="A154" i="218"/>
  <c r="H153" i="218"/>
  <c r="E153" i="218"/>
  <c r="C153" i="218"/>
  <c r="B153" i="218"/>
  <c r="A153" i="218"/>
  <c r="H152" i="218"/>
  <c r="E152" i="218"/>
  <c r="A152" i="218"/>
  <c r="AG152" i="218" s="1"/>
  <c r="Z151" i="218"/>
  <c r="H151" i="218"/>
  <c r="E151" i="218"/>
  <c r="A151" i="218"/>
  <c r="W150" i="218"/>
  <c r="H150" i="218"/>
  <c r="G150" i="218"/>
  <c r="E150" i="218"/>
  <c r="F150" i="218" s="1"/>
  <c r="D150" i="218"/>
  <c r="A150" i="218"/>
  <c r="AF150" i="218" s="1"/>
  <c r="AA149" i="218"/>
  <c r="W149" i="218"/>
  <c r="H149" i="218"/>
  <c r="G149" i="218"/>
  <c r="E149" i="218"/>
  <c r="F149" i="218" s="1"/>
  <c r="D149" i="218"/>
  <c r="A149" i="218"/>
  <c r="H148" i="218"/>
  <c r="E148" i="218"/>
  <c r="A148" i="218"/>
  <c r="AJ147" i="218"/>
  <c r="AH147" i="218"/>
  <c r="AF147" i="218"/>
  <c r="AE147" i="218"/>
  <c r="H147" i="218"/>
  <c r="E147" i="218"/>
  <c r="A147" i="218"/>
  <c r="H146" i="218"/>
  <c r="E146" i="218"/>
  <c r="A146" i="218"/>
  <c r="AI146" i="218" s="1"/>
  <c r="AJ145" i="218"/>
  <c r="AI145" i="218"/>
  <c r="W145" i="218"/>
  <c r="H145" i="218"/>
  <c r="G145" i="218"/>
  <c r="E145" i="218"/>
  <c r="F145" i="218" s="1"/>
  <c r="D145" i="218"/>
  <c r="A145" i="218"/>
  <c r="AG145" i="218" s="1"/>
  <c r="AJ144" i="218"/>
  <c r="AI144" i="218"/>
  <c r="AH144" i="218"/>
  <c r="AD144" i="218"/>
  <c r="AA144" i="218"/>
  <c r="W144" i="218"/>
  <c r="H144" i="218"/>
  <c r="G144" i="218"/>
  <c r="E144" i="218"/>
  <c r="F144" i="218" s="1"/>
  <c r="D144" i="218"/>
  <c r="A144" i="218"/>
  <c r="AG144" i="218" s="1"/>
  <c r="W143" i="218"/>
  <c r="H143" i="218"/>
  <c r="G143" i="218"/>
  <c r="E143" i="218"/>
  <c r="F143" i="218" s="1"/>
  <c r="D143" i="218"/>
  <c r="A143" i="218"/>
  <c r="AB143" i="218" s="1"/>
  <c r="S142" i="218"/>
  <c r="W142" i="218" s="1"/>
  <c r="H142" i="218"/>
  <c r="G142" i="218"/>
  <c r="E142" i="218"/>
  <c r="D142" i="218"/>
  <c r="A142" i="218"/>
  <c r="AJ142" i="218" s="1"/>
  <c r="AJ141" i="218"/>
  <c r="W141" i="218"/>
  <c r="H141" i="218"/>
  <c r="G141" i="218"/>
  <c r="E141" i="218"/>
  <c r="F141" i="218" s="1"/>
  <c r="D141" i="218"/>
  <c r="A141" i="218"/>
  <c r="AA141" i="218" s="1"/>
  <c r="AJ140" i="218"/>
  <c r="AI140" i="218"/>
  <c r="AH140" i="218"/>
  <c r="AG140" i="218"/>
  <c r="AF140" i="218"/>
  <c r="AB140" i="218"/>
  <c r="Y140" i="218"/>
  <c r="W140" i="218"/>
  <c r="H140" i="218"/>
  <c r="G140" i="218"/>
  <c r="E140" i="218"/>
  <c r="F140" i="218" s="1"/>
  <c r="D140" i="218"/>
  <c r="A140" i="218"/>
  <c r="W139" i="218"/>
  <c r="H139" i="218"/>
  <c r="G139" i="218"/>
  <c r="E139" i="218"/>
  <c r="F139" i="218" s="1"/>
  <c r="D139" i="218"/>
  <c r="A139" i="218"/>
  <c r="AJ139" i="218" s="1"/>
  <c r="AF138" i="218"/>
  <c r="W138" i="218"/>
  <c r="H138" i="218"/>
  <c r="G138" i="218"/>
  <c r="E138" i="218"/>
  <c r="F138" i="218" s="1"/>
  <c r="D138" i="218"/>
  <c r="A138" i="218"/>
  <c r="AC138" i="218" s="1"/>
  <c r="AC137" i="218"/>
  <c r="Z137" i="218"/>
  <c r="W137" i="218"/>
  <c r="V137" i="218"/>
  <c r="U137" i="218"/>
  <c r="T137" i="218"/>
  <c r="S137" i="218"/>
  <c r="R137" i="218"/>
  <c r="Q137" i="218"/>
  <c r="P137" i="218"/>
  <c r="O137" i="218"/>
  <c r="N137" i="218"/>
  <c r="M137" i="218"/>
  <c r="L137" i="218"/>
  <c r="K137" i="218"/>
  <c r="H137" i="218"/>
  <c r="G137" i="218"/>
  <c r="E137" i="218"/>
  <c r="F137" i="218" s="1"/>
  <c r="D137" i="218"/>
  <c r="A137" i="218"/>
  <c r="AE137" i="218" s="1"/>
  <c r="V136" i="218"/>
  <c r="V134" i="218" s="1"/>
  <c r="V132" i="218" s="1"/>
  <c r="U136" i="218"/>
  <c r="U134" i="218" s="1"/>
  <c r="U132" i="218" s="1"/>
  <c r="T136" i="218"/>
  <c r="T134" i="218" s="1"/>
  <c r="T132" i="218" s="1"/>
  <c r="S136" i="218"/>
  <c r="S134" i="218" s="1"/>
  <c r="S132" i="218" s="1"/>
  <c r="R136" i="218"/>
  <c r="R134" i="218" s="1"/>
  <c r="R132" i="218" s="1"/>
  <c r="Q136" i="218"/>
  <c r="Q134" i="218" s="1"/>
  <c r="Q132" i="218" s="1"/>
  <c r="P136" i="218"/>
  <c r="P134" i="218" s="1"/>
  <c r="P132" i="218" s="1"/>
  <c r="O136" i="218"/>
  <c r="O134" i="218" s="1"/>
  <c r="O132" i="218" s="1"/>
  <c r="N136" i="218"/>
  <c r="N134" i="218" s="1"/>
  <c r="N132" i="218" s="1"/>
  <c r="M136" i="218"/>
  <c r="M134" i="218" s="1"/>
  <c r="M132" i="218" s="1"/>
  <c r="L136" i="218"/>
  <c r="L134" i="218" s="1"/>
  <c r="L132" i="218" s="1"/>
  <c r="K136" i="218"/>
  <c r="H136" i="218"/>
  <c r="E136" i="218"/>
  <c r="D136" i="218"/>
  <c r="C136" i="218"/>
  <c r="A136" i="218"/>
  <c r="W135" i="218"/>
  <c r="H135" i="218"/>
  <c r="G135" i="218"/>
  <c r="E135" i="218"/>
  <c r="F135" i="218" s="1"/>
  <c r="D135" i="218"/>
  <c r="A135" i="218"/>
  <c r="AC134" i="218"/>
  <c r="H134" i="218"/>
  <c r="E134" i="218"/>
  <c r="A134" i="218"/>
  <c r="AB134" i="218" s="1"/>
  <c r="W133" i="218"/>
  <c r="H133" i="218"/>
  <c r="G133" i="218"/>
  <c r="E133" i="218"/>
  <c r="F133" i="218" s="1"/>
  <c r="D133" i="218"/>
  <c r="A133" i="218"/>
  <c r="AI132" i="218"/>
  <c r="H132" i="218"/>
  <c r="E132" i="218"/>
  <c r="A132" i="218"/>
  <c r="AD132" i="218" s="1"/>
  <c r="AI131" i="218"/>
  <c r="W131" i="218"/>
  <c r="H131" i="218"/>
  <c r="G131" i="218"/>
  <c r="E131" i="218"/>
  <c r="F131" i="218" s="1"/>
  <c r="D131" i="218"/>
  <c r="A131" i="218"/>
  <c r="AE131" i="218" s="1"/>
  <c r="AJ130" i="218"/>
  <c r="AH130" i="218"/>
  <c r="AF130" i="218"/>
  <c r="W130" i="218"/>
  <c r="H130" i="218"/>
  <c r="G130" i="218"/>
  <c r="E130" i="218"/>
  <c r="F130" i="218" s="1"/>
  <c r="D130" i="218"/>
  <c r="A130" i="218"/>
  <c r="Z130" i="218" s="1"/>
  <c r="W129" i="218"/>
  <c r="H129" i="218"/>
  <c r="G129" i="218"/>
  <c r="E129" i="218"/>
  <c r="F129" i="218" s="1"/>
  <c r="D129" i="218"/>
  <c r="A129" i="218"/>
  <c r="W128" i="218"/>
  <c r="H128" i="218"/>
  <c r="G128" i="218"/>
  <c r="E128" i="218"/>
  <c r="F128" i="218" s="1"/>
  <c r="D128" i="218"/>
  <c r="A128" i="218"/>
  <c r="AJ127" i="218"/>
  <c r="W127" i="218"/>
  <c r="V127" i="218"/>
  <c r="U127" i="218"/>
  <c r="T127" i="218"/>
  <c r="S127" i="218"/>
  <c r="R127" i="218"/>
  <c r="Q127" i="218"/>
  <c r="P127" i="218"/>
  <c r="O127" i="218"/>
  <c r="N127" i="218"/>
  <c r="M127" i="218"/>
  <c r="L127" i="218"/>
  <c r="K127" i="218"/>
  <c r="H127" i="218"/>
  <c r="G127" i="218"/>
  <c r="E127" i="218"/>
  <c r="F127" i="218" s="1"/>
  <c r="D127" i="218"/>
  <c r="B127" i="218"/>
  <c r="A127" i="218"/>
  <c r="AI127" i="218" s="1"/>
  <c r="AI126" i="218"/>
  <c r="AE126" i="218"/>
  <c r="AD126" i="218"/>
  <c r="AC126" i="218"/>
  <c r="Z126" i="218"/>
  <c r="Y126" i="218"/>
  <c r="H126" i="218"/>
  <c r="E126" i="218"/>
  <c r="A126" i="218"/>
  <c r="AH126" i="218" s="1"/>
  <c r="W125" i="218"/>
  <c r="H125" i="218"/>
  <c r="G125" i="218"/>
  <c r="E125" i="218"/>
  <c r="F125" i="218" s="1"/>
  <c r="D125" i="218"/>
  <c r="C125" i="218"/>
  <c r="B125" i="218"/>
  <c r="AK124" i="218"/>
  <c r="AJ124" i="218"/>
  <c r="AI124" i="218"/>
  <c r="AH124" i="218"/>
  <c r="AG124" i="218"/>
  <c r="AF124" i="218"/>
  <c r="AE124" i="218"/>
  <c r="AD124" i="218"/>
  <c r="AC124" i="218"/>
  <c r="AB124" i="218"/>
  <c r="AA124" i="218"/>
  <c r="Z124" i="218"/>
  <c r="Y124" i="218"/>
  <c r="W124" i="218"/>
  <c r="H124" i="218"/>
  <c r="G124" i="218"/>
  <c r="E124" i="218"/>
  <c r="F124" i="218" s="1"/>
  <c r="D124" i="218"/>
  <c r="C124" i="218"/>
  <c r="B124" i="218"/>
  <c r="AK123" i="218"/>
  <c r="AJ123" i="218"/>
  <c r="AI123" i="218"/>
  <c r="AH123" i="218"/>
  <c r="AG123" i="218"/>
  <c r="AF123" i="218"/>
  <c r="AE123" i="218"/>
  <c r="AD123" i="218"/>
  <c r="AC123" i="218"/>
  <c r="AB123" i="218"/>
  <c r="AA123" i="218"/>
  <c r="Z123" i="218"/>
  <c r="Y123" i="218"/>
  <c r="W123" i="218"/>
  <c r="H123" i="218"/>
  <c r="G123" i="218"/>
  <c r="F123" i="218"/>
  <c r="E123" i="218"/>
  <c r="D123" i="218"/>
  <c r="C123" i="218"/>
  <c r="B123" i="218"/>
  <c r="AI122" i="218"/>
  <c r="Z122" i="218"/>
  <c r="W122" i="218"/>
  <c r="V122" i="218"/>
  <c r="U122" i="218"/>
  <c r="T122" i="218"/>
  <c r="S122" i="218"/>
  <c r="R122" i="218"/>
  <c r="Q122" i="218"/>
  <c r="P122" i="218"/>
  <c r="O122" i="218"/>
  <c r="N122" i="218"/>
  <c r="M122" i="218"/>
  <c r="L122" i="218"/>
  <c r="K122" i="218"/>
  <c r="H122" i="218"/>
  <c r="G122" i="218"/>
  <c r="E122" i="218"/>
  <c r="F122" i="218" s="1"/>
  <c r="D122" i="218"/>
  <c r="A122" i="218"/>
  <c r="W121" i="218"/>
  <c r="H121" i="218"/>
  <c r="G121" i="218"/>
  <c r="E121" i="218"/>
  <c r="F121" i="218" s="1"/>
  <c r="D121" i="218"/>
  <c r="C121" i="218"/>
  <c r="B121" i="218"/>
  <c r="W120" i="218"/>
  <c r="H120" i="218"/>
  <c r="G120" i="218"/>
  <c r="E120" i="218"/>
  <c r="F120" i="218" s="1"/>
  <c r="D120" i="218"/>
  <c r="C120" i="218"/>
  <c r="B120" i="218"/>
  <c r="W119" i="218"/>
  <c r="H119" i="218"/>
  <c r="G119" i="218"/>
  <c r="E119" i="218"/>
  <c r="F119" i="218" s="1"/>
  <c r="D119" i="218"/>
  <c r="C119" i="218"/>
  <c r="B119" i="218"/>
  <c r="W118" i="218"/>
  <c r="V118" i="218"/>
  <c r="U118" i="218"/>
  <c r="T118" i="218"/>
  <c r="S118" i="218"/>
  <c r="R118" i="218"/>
  <c r="Q118" i="218"/>
  <c r="P118" i="218"/>
  <c r="O118" i="218"/>
  <c r="N118" i="218"/>
  <c r="M118" i="218"/>
  <c r="L118" i="218"/>
  <c r="K118" i="218"/>
  <c r="H118" i="218"/>
  <c r="G118" i="218"/>
  <c r="E118" i="218"/>
  <c r="F118" i="218" s="1"/>
  <c r="D118" i="218"/>
  <c r="A118" i="218"/>
  <c r="AH118" i="218" s="1"/>
  <c r="W117" i="218"/>
  <c r="H117" i="218"/>
  <c r="G117" i="218"/>
  <c r="E117" i="218"/>
  <c r="F117" i="218" s="1"/>
  <c r="D117" i="218"/>
  <c r="A117" i="218"/>
  <c r="AI117" i="218" s="1"/>
  <c r="W116" i="218"/>
  <c r="H116" i="218"/>
  <c r="G116" i="218"/>
  <c r="E116" i="218"/>
  <c r="F116" i="218" s="1"/>
  <c r="D116" i="218"/>
  <c r="C116" i="218"/>
  <c r="B116" i="218"/>
  <c r="W115" i="218"/>
  <c r="H115" i="218"/>
  <c r="G115" i="218"/>
  <c r="E115" i="218"/>
  <c r="F115" i="218" s="1"/>
  <c r="D115" i="218"/>
  <c r="C115" i="218"/>
  <c r="B115" i="218"/>
  <c r="W114" i="218"/>
  <c r="H114" i="218"/>
  <c r="G114" i="218"/>
  <c r="E114" i="218"/>
  <c r="F114" i="218" s="1"/>
  <c r="D114" i="218"/>
  <c r="C114" i="218"/>
  <c r="B114" i="218"/>
  <c r="W113" i="218"/>
  <c r="V113" i="218"/>
  <c r="U113" i="218"/>
  <c r="T113" i="218"/>
  <c r="S113" i="218"/>
  <c r="R113" i="218"/>
  <c r="Q113" i="218"/>
  <c r="P113" i="218"/>
  <c r="O113" i="218"/>
  <c r="N113" i="218"/>
  <c r="M113" i="218"/>
  <c r="L113" i="218"/>
  <c r="K113" i="218"/>
  <c r="H113" i="218"/>
  <c r="G113" i="218"/>
  <c r="E113" i="218"/>
  <c r="F113" i="218" s="1"/>
  <c r="D113" i="218"/>
  <c r="A113" i="218"/>
  <c r="W112" i="218"/>
  <c r="H112" i="218"/>
  <c r="G112" i="218"/>
  <c r="E112" i="218"/>
  <c r="F112" i="218" s="1"/>
  <c r="D112" i="218"/>
  <c r="C112" i="218"/>
  <c r="B112" i="218"/>
  <c r="W111" i="218"/>
  <c r="H111" i="218"/>
  <c r="G111" i="218"/>
  <c r="E111" i="218"/>
  <c r="F111" i="218" s="1"/>
  <c r="D111" i="218"/>
  <c r="C111" i="218"/>
  <c r="B111" i="218"/>
  <c r="W110" i="218"/>
  <c r="H110" i="218"/>
  <c r="G110" i="218"/>
  <c r="E110" i="218"/>
  <c r="F110" i="218" s="1"/>
  <c r="D110" i="218"/>
  <c r="C110" i="218"/>
  <c r="B110" i="218"/>
  <c r="V109" i="218"/>
  <c r="U109" i="218"/>
  <c r="T109" i="218"/>
  <c r="S109" i="218"/>
  <c r="R109" i="218"/>
  <c r="Q109" i="218"/>
  <c r="P109" i="218"/>
  <c r="O109" i="218"/>
  <c r="N109" i="218"/>
  <c r="M109" i="218"/>
  <c r="L109" i="218"/>
  <c r="K109" i="218"/>
  <c r="G109" i="218" s="1"/>
  <c r="H109" i="218"/>
  <c r="E109" i="218"/>
  <c r="A109" i="218"/>
  <c r="AA109" i="218" s="1"/>
  <c r="W108" i="218"/>
  <c r="G108" i="218"/>
  <c r="D108" i="218"/>
  <c r="C108" i="218"/>
  <c r="B108" i="218"/>
  <c r="C107" i="218"/>
  <c r="B107" i="218"/>
  <c r="C106" i="218"/>
  <c r="B106" i="218"/>
  <c r="H105" i="218"/>
  <c r="E105" i="218"/>
  <c r="A105" i="218"/>
  <c r="W104" i="218"/>
  <c r="H104" i="218"/>
  <c r="G104" i="218"/>
  <c r="E104" i="218"/>
  <c r="F104" i="218" s="1"/>
  <c r="D104" i="218"/>
  <c r="C104" i="218"/>
  <c r="B104" i="218"/>
  <c r="C103" i="218"/>
  <c r="B103" i="218"/>
  <c r="C102" i="218"/>
  <c r="B102" i="218"/>
  <c r="AH101" i="218"/>
  <c r="AG101" i="218"/>
  <c r="AF101" i="218"/>
  <c r="Y101" i="218"/>
  <c r="H101" i="218"/>
  <c r="E101" i="218"/>
  <c r="A101" i="218"/>
  <c r="AI101" i="218" s="1"/>
  <c r="W100" i="218"/>
  <c r="H100" i="218"/>
  <c r="G100" i="218"/>
  <c r="E100" i="218"/>
  <c r="F100" i="218" s="1"/>
  <c r="D100" i="218"/>
  <c r="C100" i="218"/>
  <c r="B100" i="218"/>
  <c r="C99" i="218"/>
  <c r="B99" i="218"/>
  <c r="C98" i="218"/>
  <c r="B98" i="218"/>
  <c r="H97" i="218"/>
  <c r="E97" i="218"/>
  <c r="A97" i="218"/>
  <c r="AH97" i="218" s="1"/>
  <c r="W96" i="218"/>
  <c r="H96" i="218"/>
  <c r="G96" i="218"/>
  <c r="E96" i="218"/>
  <c r="F96" i="218" s="1"/>
  <c r="D96" i="218"/>
  <c r="C96" i="218"/>
  <c r="B96" i="218"/>
  <c r="C95" i="218"/>
  <c r="B95" i="218"/>
  <c r="C94" i="218"/>
  <c r="B94" i="218"/>
  <c r="AB93" i="218"/>
  <c r="Z93" i="218"/>
  <c r="H93" i="218"/>
  <c r="E93" i="218"/>
  <c r="A93" i="218"/>
  <c r="AG93" i="218" s="1"/>
  <c r="H92" i="218"/>
  <c r="E92" i="218"/>
  <c r="B92" i="218"/>
  <c r="A92" i="218"/>
  <c r="AI92" i="218" s="1"/>
  <c r="H91" i="218"/>
  <c r="E91" i="218"/>
  <c r="A91" i="218"/>
  <c r="H90" i="218"/>
  <c r="E90" i="218"/>
  <c r="A90" i="218"/>
  <c r="Z90" i="218" s="1"/>
  <c r="AA89" i="218"/>
  <c r="Z89" i="218"/>
  <c r="Y89" i="218"/>
  <c r="H89" i="218"/>
  <c r="E89" i="218"/>
  <c r="A89" i="218"/>
  <c r="AJ89" i="218" s="1"/>
  <c r="H88" i="218"/>
  <c r="E88" i="218"/>
  <c r="A88" i="218"/>
  <c r="AJ88" i="218" s="1"/>
  <c r="H87" i="218"/>
  <c r="E87" i="218"/>
  <c r="A87" i="218"/>
  <c r="AH87" i="218" s="1"/>
  <c r="AJ86" i="218"/>
  <c r="H86" i="218"/>
  <c r="E86" i="218"/>
  <c r="A86" i="218"/>
  <c r="H85" i="218"/>
  <c r="E85" i="218"/>
  <c r="A85" i="218"/>
  <c r="H84" i="218"/>
  <c r="E84" i="218"/>
  <c r="A84" i="218"/>
  <c r="AI83" i="218"/>
  <c r="AH83" i="218"/>
  <c r="AG83" i="218"/>
  <c r="H83" i="218"/>
  <c r="E83" i="218"/>
  <c r="A83" i="218"/>
  <c r="W82" i="218"/>
  <c r="H82" i="218"/>
  <c r="G82" i="218"/>
  <c r="E82" i="218"/>
  <c r="F82" i="218" s="1"/>
  <c r="D82" i="218"/>
  <c r="A82" i="218"/>
  <c r="H81" i="218"/>
  <c r="E81" i="218"/>
  <c r="A81" i="218"/>
  <c r="Z81" i="218" s="1"/>
  <c r="H80" i="218"/>
  <c r="E80" i="218"/>
  <c r="A80" i="218"/>
  <c r="W79" i="218"/>
  <c r="H79" i="218"/>
  <c r="G79" i="218"/>
  <c r="E79" i="218"/>
  <c r="F79" i="218" s="1"/>
  <c r="D79" i="218"/>
  <c r="B79" i="218"/>
  <c r="A79" i="218"/>
  <c r="AI79" i="218" s="1"/>
  <c r="AH78" i="218"/>
  <c r="AE78" i="218"/>
  <c r="W78" i="218"/>
  <c r="H78" i="218"/>
  <c r="G78" i="218"/>
  <c r="E78" i="218"/>
  <c r="F78" i="218" s="1"/>
  <c r="D78" i="218"/>
  <c r="C78" i="218"/>
  <c r="B78" i="218"/>
  <c r="A78" i="218"/>
  <c r="AB78" i="218" s="1"/>
  <c r="W77" i="218"/>
  <c r="H77" i="218"/>
  <c r="G77" i="218"/>
  <c r="E77" i="218"/>
  <c r="F77" i="218" s="1"/>
  <c r="D77" i="218"/>
  <c r="C77" i="218"/>
  <c r="B77" i="218"/>
  <c r="A77" i="218"/>
  <c r="AH77" i="218" s="1"/>
  <c r="AJ76" i="218"/>
  <c r="AH76" i="218"/>
  <c r="AC76" i="218"/>
  <c r="AA76" i="218"/>
  <c r="W76" i="218"/>
  <c r="H76" i="218"/>
  <c r="G76" i="218"/>
  <c r="E76" i="218"/>
  <c r="F76" i="218" s="1"/>
  <c r="D76" i="218"/>
  <c r="C76" i="218"/>
  <c r="B76" i="218"/>
  <c r="A76" i="218"/>
  <c r="AG76" i="218" s="1"/>
  <c r="W75" i="218"/>
  <c r="V75" i="218"/>
  <c r="U75" i="218"/>
  <c r="T75" i="218"/>
  <c r="S75" i="218"/>
  <c r="R75" i="218"/>
  <c r="Q75" i="218"/>
  <c r="P75" i="218"/>
  <c r="O75" i="218"/>
  <c r="N75" i="218"/>
  <c r="M75" i="218"/>
  <c r="L75" i="218"/>
  <c r="K75" i="218"/>
  <c r="H75" i="218"/>
  <c r="G75" i="218"/>
  <c r="E75" i="218"/>
  <c r="F75" i="218" s="1"/>
  <c r="D75" i="218"/>
  <c r="A75" i="218"/>
  <c r="U74" i="218"/>
  <c r="S74" i="218"/>
  <c r="N74" i="218"/>
  <c r="M74" i="218"/>
  <c r="H74" i="218"/>
  <c r="E74" i="218"/>
  <c r="A74" i="218"/>
  <c r="R74" i="218" s="1"/>
  <c r="H73" i="218"/>
  <c r="E73" i="218"/>
  <c r="A73" i="218"/>
  <c r="H72" i="218"/>
  <c r="E72" i="218"/>
  <c r="A72" i="218"/>
  <c r="AE72" i="218" s="1"/>
  <c r="AJ71" i="218"/>
  <c r="H71" i="218"/>
  <c r="E71" i="218"/>
  <c r="A71" i="218"/>
  <c r="AE71" i="218" s="1"/>
  <c r="H70" i="218"/>
  <c r="E70" i="218"/>
  <c r="A70" i="218"/>
  <c r="AI70" i="218" s="1"/>
  <c r="AJ69" i="218"/>
  <c r="AH69" i="218"/>
  <c r="AG69" i="218"/>
  <c r="AF69" i="218"/>
  <c r="AD69" i="218"/>
  <c r="AB69" i="218"/>
  <c r="AA69" i="218"/>
  <c r="Z69" i="218"/>
  <c r="H69" i="218"/>
  <c r="E69" i="218"/>
  <c r="A69" i="218"/>
  <c r="AC69" i="218" s="1"/>
  <c r="AA68" i="218"/>
  <c r="Z68" i="218"/>
  <c r="H68" i="218"/>
  <c r="E68" i="218"/>
  <c r="A68" i="218"/>
  <c r="AG67" i="218"/>
  <c r="AD67" i="218"/>
  <c r="AB67" i="218"/>
  <c r="H67" i="218"/>
  <c r="E67" i="218"/>
  <c r="A67" i="218"/>
  <c r="AC67" i="218" s="1"/>
  <c r="AJ66" i="218"/>
  <c r="W66" i="218"/>
  <c r="H66" i="218"/>
  <c r="G66" i="218"/>
  <c r="E66" i="218"/>
  <c r="F66" i="218" s="1"/>
  <c r="D66" i="218"/>
  <c r="A66" i="218"/>
  <c r="AI66" i="218" s="1"/>
  <c r="W65" i="218"/>
  <c r="H65" i="218"/>
  <c r="G65" i="218"/>
  <c r="E65" i="218"/>
  <c r="F65" i="218" s="1"/>
  <c r="D65" i="218"/>
  <c r="A65" i="218"/>
  <c r="AF65" i="218" s="1"/>
  <c r="W64" i="218"/>
  <c r="H64" i="218"/>
  <c r="G64" i="218"/>
  <c r="E64" i="218"/>
  <c r="F64" i="218" s="1"/>
  <c r="D64" i="218"/>
  <c r="A64" i="218"/>
  <c r="AG64" i="218" s="1"/>
  <c r="W63" i="218"/>
  <c r="V63" i="218"/>
  <c r="U63" i="218"/>
  <c r="T63" i="218"/>
  <c r="S63" i="218"/>
  <c r="R63" i="218"/>
  <c r="Q63" i="218"/>
  <c r="P63" i="218"/>
  <c r="O63" i="218"/>
  <c r="N63" i="218"/>
  <c r="M63" i="218"/>
  <c r="L63" i="218"/>
  <c r="K63" i="218"/>
  <c r="H63" i="218"/>
  <c r="G63" i="218"/>
  <c r="E63" i="218"/>
  <c r="F63" i="218" s="1"/>
  <c r="D63" i="218"/>
  <c r="A63" i="218"/>
  <c r="AH63" i="218" s="1"/>
  <c r="AH62" i="218"/>
  <c r="AG62" i="218"/>
  <c r="AD62" i="218"/>
  <c r="H62" i="218"/>
  <c r="E62" i="218"/>
  <c r="A62" i="218"/>
  <c r="H61" i="218"/>
  <c r="E61" i="218"/>
  <c r="A61" i="218"/>
  <c r="AH61" i="218" s="1"/>
  <c r="AD60" i="218"/>
  <c r="H60" i="218"/>
  <c r="E60" i="218"/>
  <c r="A60" i="218"/>
  <c r="Z60" i="218" s="1"/>
  <c r="AC59" i="218"/>
  <c r="AA59" i="218"/>
  <c r="Y59" i="218"/>
  <c r="H59" i="218"/>
  <c r="E59" i="218"/>
  <c r="A59" i="218"/>
  <c r="AJ59" i="218" s="1"/>
  <c r="H58" i="218"/>
  <c r="E58" i="218"/>
  <c r="A58" i="218"/>
  <c r="AJ58" i="218" s="1"/>
  <c r="AB57" i="218"/>
  <c r="H57" i="218"/>
  <c r="E57" i="218"/>
  <c r="A57" i="218"/>
  <c r="H56" i="218"/>
  <c r="E56" i="218"/>
  <c r="A56" i="218"/>
  <c r="AJ56" i="218" s="1"/>
  <c r="AA55" i="218"/>
  <c r="Z55" i="218"/>
  <c r="H55" i="218"/>
  <c r="E55" i="218"/>
  <c r="A55" i="218"/>
  <c r="AJ55" i="218" s="1"/>
  <c r="H54" i="218"/>
  <c r="E54" i="218"/>
  <c r="A54" i="218"/>
  <c r="AJ54" i="218" s="1"/>
  <c r="AH53" i="218"/>
  <c r="AF53" i="218"/>
  <c r="AE53" i="218"/>
  <c r="AD53" i="218"/>
  <c r="AC53" i="218"/>
  <c r="AB53" i="218"/>
  <c r="Z53" i="218"/>
  <c r="H53" i="218"/>
  <c r="E53" i="218"/>
  <c r="A53" i="218"/>
  <c r="AG53" i="218" s="1"/>
  <c r="AI52" i="218"/>
  <c r="AH52" i="218"/>
  <c r="AG52" i="218"/>
  <c r="AF52" i="218"/>
  <c r="AE52" i="218"/>
  <c r="AD52" i="218"/>
  <c r="AC52" i="218"/>
  <c r="AA52" i="218"/>
  <c r="H52" i="218"/>
  <c r="E52" i="218"/>
  <c r="A52" i="218"/>
  <c r="Y52" i="218" s="1"/>
  <c r="H51" i="218"/>
  <c r="E51" i="218"/>
  <c r="A51" i="218"/>
  <c r="AJ51" i="218" s="1"/>
  <c r="W50" i="218"/>
  <c r="H50" i="218"/>
  <c r="G50" i="218"/>
  <c r="E50" i="218"/>
  <c r="F50" i="218" s="1"/>
  <c r="D50" i="218"/>
  <c r="C50" i="218"/>
  <c r="B50" i="218"/>
  <c r="A50" i="218"/>
  <c r="AJ50" i="218" s="1"/>
  <c r="W49" i="218"/>
  <c r="H49" i="218"/>
  <c r="G49" i="218"/>
  <c r="E49" i="218"/>
  <c r="F49" i="218" s="1"/>
  <c r="D49" i="218"/>
  <c r="C49" i="218"/>
  <c r="B49" i="218"/>
  <c r="A49" i="218"/>
  <c r="AB48" i="218"/>
  <c r="W48" i="218"/>
  <c r="H48" i="218"/>
  <c r="G48" i="218"/>
  <c r="E48" i="218"/>
  <c r="F48" i="218" s="1"/>
  <c r="D48" i="218"/>
  <c r="C48" i="218"/>
  <c r="B48" i="218"/>
  <c r="A48" i="218"/>
  <c r="Z48" i="218" s="1"/>
  <c r="W47" i="218"/>
  <c r="V47" i="218"/>
  <c r="U47" i="218"/>
  <c r="T47" i="218"/>
  <c r="S47" i="218"/>
  <c r="R47" i="218"/>
  <c r="Q47" i="218"/>
  <c r="P47" i="218"/>
  <c r="O47" i="218"/>
  <c r="N47" i="218"/>
  <c r="M47" i="218"/>
  <c r="L47" i="218"/>
  <c r="K47" i="218"/>
  <c r="H47" i="218"/>
  <c r="G47" i="218"/>
  <c r="E47" i="218"/>
  <c r="F47" i="218" s="1"/>
  <c r="D47" i="218"/>
  <c r="A47" i="218"/>
  <c r="AH47" i="218" s="1"/>
  <c r="AD46" i="218"/>
  <c r="Y46" i="218"/>
  <c r="H46" i="218"/>
  <c r="E46" i="218"/>
  <c r="A46" i="218"/>
  <c r="AG46" i="218" s="1"/>
  <c r="AG45" i="218"/>
  <c r="AC45" i="218"/>
  <c r="H45" i="218"/>
  <c r="E45" i="218"/>
  <c r="A45" i="218"/>
  <c r="AJ45" i="218" s="1"/>
  <c r="AA44" i="218"/>
  <c r="Y44" i="218"/>
  <c r="H44" i="218"/>
  <c r="E44" i="218"/>
  <c r="A44" i="218"/>
  <c r="AB44" i="218" s="1"/>
  <c r="C43" i="218"/>
  <c r="B43" i="218"/>
  <c r="A43" i="218"/>
  <c r="H42" i="218"/>
  <c r="E42" i="218"/>
  <c r="C42" i="218"/>
  <c r="B42" i="218"/>
  <c r="A42" i="218"/>
  <c r="W41" i="218"/>
  <c r="H41" i="218"/>
  <c r="G41" i="218"/>
  <c r="E41" i="218"/>
  <c r="F41" i="218" s="1"/>
  <c r="D41" i="218"/>
  <c r="A41" i="218"/>
  <c r="AI40" i="218"/>
  <c r="W40" i="218"/>
  <c r="H40" i="218"/>
  <c r="G40" i="218"/>
  <c r="E40" i="218"/>
  <c r="F40" i="218" s="1"/>
  <c r="D40" i="218"/>
  <c r="A40" i="218"/>
  <c r="AJ40" i="218" s="1"/>
  <c r="W39" i="218"/>
  <c r="H39" i="218"/>
  <c r="G39" i="218"/>
  <c r="E39" i="218"/>
  <c r="F39" i="218" s="1"/>
  <c r="D39" i="218"/>
  <c r="A39" i="218"/>
  <c r="AJ39" i="218" s="1"/>
  <c r="W38" i="218"/>
  <c r="V38" i="218"/>
  <c r="U38" i="218"/>
  <c r="T38" i="218"/>
  <c r="S38" i="218"/>
  <c r="R38" i="218"/>
  <c r="Q38" i="218"/>
  <c r="P38" i="218"/>
  <c r="O38" i="218"/>
  <c r="N38" i="218"/>
  <c r="M38" i="218"/>
  <c r="L38" i="218"/>
  <c r="K38" i="218"/>
  <c r="H38" i="218"/>
  <c r="G38" i="218"/>
  <c r="E38" i="218"/>
  <c r="F38" i="218" s="1"/>
  <c r="D38" i="218"/>
  <c r="A38" i="218"/>
  <c r="AE38" i="218" s="1"/>
  <c r="AH37" i="218"/>
  <c r="Q37" i="218"/>
  <c r="H37" i="218"/>
  <c r="E37" i="218"/>
  <c r="A37" i="218"/>
  <c r="AC37" i="218" s="1"/>
  <c r="AJ36" i="218"/>
  <c r="AI36" i="218"/>
  <c r="AD36" i="218"/>
  <c r="W36" i="218"/>
  <c r="H36" i="218"/>
  <c r="G36" i="218"/>
  <c r="E36" i="218"/>
  <c r="F36" i="218" s="1"/>
  <c r="D36" i="218"/>
  <c r="A36" i="218"/>
  <c r="AH36" i="218" s="1"/>
  <c r="H35" i="218"/>
  <c r="E35" i="218"/>
  <c r="A35" i="218"/>
  <c r="AJ35" i="218" s="1"/>
  <c r="W34" i="218"/>
  <c r="H34" i="218"/>
  <c r="G34" i="218"/>
  <c r="E34" i="218"/>
  <c r="F34" i="218" s="1"/>
  <c r="D34" i="218"/>
  <c r="A34" i="218"/>
  <c r="AH34" i="218" s="1"/>
  <c r="H33" i="218"/>
  <c r="E33" i="218"/>
  <c r="A33" i="218"/>
  <c r="AJ33" i="218" s="1"/>
  <c r="AI32" i="218"/>
  <c r="AH32" i="218"/>
  <c r="AG32" i="218"/>
  <c r="AE32" i="218"/>
  <c r="AC32" i="218"/>
  <c r="AB32" i="218"/>
  <c r="W32" i="218"/>
  <c r="H32" i="218"/>
  <c r="G32" i="218"/>
  <c r="E32" i="218"/>
  <c r="F32" i="218" s="1"/>
  <c r="D32" i="218"/>
  <c r="A32" i="218"/>
  <c r="AD32" i="218" s="1"/>
  <c r="AJ31" i="218"/>
  <c r="AI31" i="218"/>
  <c r="AG31" i="218"/>
  <c r="AF31" i="218"/>
  <c r="AB31" i="218"/>
  <c r="H31" i="218"/>
  <c r="E31" i="218"/>
  <c r="A31" i="218"/>
  <c r="AE31" i="218" s="1"/>
  <c r="AF30" i="218"/>
  <c r="AB30" i="218"/>
  <c r="W30" i="218"/>
  <c r="H30" i="218"/>
  <c r="G30" i="218"/>
  <c r="E30" i="218"/>
  <c r="F30" i="218" s="1"/>
  <c r="D30" i="218"/>
  <c r="A30" i="218"/>
  <c r="AG29" i="218"/>
  <c r="W29" i="218"/>
  <c r="H29" i="218"/>
  <c r="G29" i="218"/>
  <c r="E29" i="218"/>
  <c r="F29" i="218" s="1"/>
  <c r="D29" i="218"/>
  <c r="A29" i="218"/>
  <c r="W28" i="218"/>
  <c r="H28" i="218"/>
  <c r="G28" i="218"/>
  <c r="E28" i="218"/>
  <c r="F28" i="218" s="1"/>
  <c r="D28" i="218"/>
  <c r="A28" i="218"/>
  <c r="AH28" i="218" s="1"/>
  <c r="AJ27" i="218"/>
  <c r="AH27" i="218"/>
  <c r="W27" i="218"/>
  <c r="H27" i="218"/>
  <c r="G27" i="218"/>
  <c r="E27" i="218"/>
  <c r="F27" i="218" s="1"/>
  <c r="D27" i="218"/>
  <c r="A27" i="218"/>
  <c r="AC26" i="218"/>
  <c r="H26" i="218"/>
  <c r="G26" i="218"/>
  <c r="E26" i="218"/>
  <c r="D26" i="218"/>
  <c r="A26" i="218"/>
  <c r="AJ26" i="218" s="1"/>
  <c r="W25" i="218"/>
  <c r="H25" i="218"/>
  <c r="G25" i="218"/>
  <c r="E25" i="218"/>
  <c r="F25" i="218" s="1"/>
  <c r="D25" i="218"/>
  <c r="A25" i="218"/>
  <c r="AJ25" i="218" s="1"/>
  <c r="H24" i="218"/>
  <c r="E24" i="218"/>
  <c r="A24" i="218"/>
  <c r="AG24" i="218" s="1"/>
  <c r="H23" i="218"/>
  <c r="E23" i="218"/>
  <c r="A23" i="218"/>
  <c r="AG23" i="218" s="1"/>
  <c r="B22" i="218"/>
  <c r="A22" i="218"/>
  <c r="C21" i="218"/>
  <c r="B21" i="218"/>
  <c r="A21" i="218"/>
  <c r="C20" i="218"/>
  <c r="B20" i="218"/>
  <c r="A20" i="218"/>
  <c r="V19" i="218"/>
  <c r="U19" i="218"/>
  <c r="T19" i="218"/>
  <c r="S19" i="218"/>
  <c r="R19" i="218"/>
  <c r="Q19" i="218"/>
  <c r="P19" i="218"/>
  <c r="O19" i="218"/>
  <c r="N19" i="218"/>
  <c r="M19" i="218"/>
  <c r="L19" i="218"/>
  <c r="K19" i="218"/>
  <c r="H19" i="218"/>
  <c r="G19" i="218"/>
  <c r="E19" i="218"/>
  <c r="F19" i="218" s="1"/>
  <c r="D19" i="218"/>
  <c r="C19" i="218"/>
  <c r="B19" i="218"/>
  <c r="A19" i="218"/>
  <c r="W18" i="218"/>
  <c r="H18" i="218"/>
  <c r="G18" i="218"/>
  <c r="E18" i="218"/>
  <c r="F18" i="218" s="1"/>
  <c r="D18" i="218"/>
  <c r="A18" i="218"/>
  <c r="AJ18" i="218" s="1"/>
  <c r="W17" i="218"/>
  <c r="H17" i="218"/>
  <c r="G17" i="218"/>
  <c r="E17" i="218"/>
  <c r="F17" i="218" s="1"/>
  <c r="D17" i="218"/>
  <c r="A17" i="218"/>
  <c r="AF17" i="218" s="1"/>
  <c r="W16" i="218"/>
  <c r="H16" i="218"/>
  <c r="G16" i="218"/>
  <c r="E16" i="218"/>
  <c r="F16" i="218" s="1"/>
  <c r="D16" i="218"/>
  <c r="A16" i="218"/>
  <c r="AH16" i="218" s="1"/>
  <c r="W15" i="218"/>
  <c r="H15" i="218"/>
  <c r="G15" i="218"/>
  <c r="E15" i="218"/>
  <c r="F15" i="218" s="1"/>
  <c r="D15" i="218"/>
  <c r="A15" i="218"/>
  <c r="AI15" i="218" s="1"/>
  <c r="AJ14" i="218"/>
  <c r="AH14" i="218"/>
  <c r="AG14" i="218"/>
  <c r="AF14" i="218"/>
  <c r="AD14" i="218"/>
  <c r="AC14" i="218"/>
  <c r="AA14" i="218"/>
  <c r="Z14" i="218"/>
  <c r="W14" i="218"/>
  <c r="H14" i="218"/>
  <c r="G14" i="218"/>
  <c r="E14" i="218"/>
  <c r="F14" i="218" s="1"/>
  <c r="D14" i="218"/>
  <c r="A14" i="218"/>
  <c r="AB14" i="218" s="1"/>
  <c r="C13" i="218"/>
  <c r="B13" i="218"/>
  <c r="A13" i="218"/>
  <c r="H12" i="218"/>
  <c r="E12" i="218"/>
  <c r="C12" i="218"/>
  <c r="B12" i="218"/>
  <c r="A12" i="218"/>
  <c r="P11" i="218"/>
  <c r="P9" i="218" s="1"/>
  <c r="P12" i="218" s="1"/>
  <c r="N11" i="218"/>
  <c r="N9" i="218" s="1"/>
  <c r="N12" i="218" s="1"/>
  <c r="M11" i="218"/>
  <c r="M9" i="218" s="1"/>
  <c r="M12" i="218" s="1"/>
  <c r="L11" i="218"/>
  <c r="L9" i="218" s="1"/>
  <c r="L12" i="218" s="1"/>
  <c r="K11" i="218"/>
  <c r="K9" i="218" s="1"/>
  <c r="H11" i="218"/>
  <c r="E11" i="218"/>
  <c r="C11" i="218"/>
  <c r="B11" i="218"/>
  <c r="A11" i="218"/>
  <c r="AH11" i="218" s="1"/>
  <c r="W10" i="218"/>
  <c r="H10" i="218"/>
  <c r="G10" i="218"/>
  <c r="E10" i="218"/>
  <c r="F10" i="218" s="1"/>
  <c r="D10" i="218"/>
  <c r="C10" i="218"/>
  <c r="B10" i="218"/>
  <c r="A10" i="218"/>
  <c r="AE9" i="218"/>
  <c r="H9" i="218"/>
  <c r="E9" i="218"/>
  <c r="B9" i="218"/>
  <c r="A9" i="218"/>
  <c r="W8" i="218"/>
  <c r="H8" i="218"/>
  <c r="G8" i="218"/>
  <c r="E8" i="218"/>
  <c r="F8" i="218" s="1"/>
  <c r="D8" i="218"/>
  <c r="B8" i="218"/>
  <c r="A8" i="218"/>
  <c r="B7" i="218"/>
  <c r="A7" i="218"/>
  <c r="C7" i="218" s="1"/>
  <c r="H6" i="218"/>
  <c r="G6" i="218"/>
  <c r="E6" i="218"/>
  <c r="D6" i="218"/>
  <c r="A219" i="204"/>
  <c r="A218" i="204"/>
  <c r="A217" i="204"/>
  <c r="A216" i="204"/>
  <c r="A215" i="204"/>
  <c r="A214" i="204"/>
  <c r="A213" i="204"/>
  <c r="A212" i="204"/>
  <c r="A211" i="204"/>
  <c r="A210" i="204"/>
  <c r="A209" i="204"/>
  <c r="C208" i="204"/>
  <c r="A208" i="204"/>
  <c r="C207" i="204"/>
  <c r="B207" i="204"/>
  <c r="A207" i="204"/>
  <c r="C206" i="204"/>
  <c r="B206" i="204"/>
  <c r="A206" i="204"/>
  <c r="AH205" i="204"/>
  <c r="W205" i="204"/>
  <c r="H205" i="204"/>
  <c r="G205" i="204"/>
  <c r="E205" i="204"/>
  <c r="F205" i="204" s="1"/>
  <c r="D205" i="204"/>
  <c r="A205" i="204"/>
  <c r="AF205" i="204" s="1"/>
  <c r="AF204" i="204"/>
  <c r="W204" i="204"/>
  <c r="H204" i="204"/>
  <c r="G204" i="204"/>
  <c r="E204" i="204"/>
  <c r="F204" i="204" s="1"/>
  <c r="D204" i="204"/>
  <c r="A204" i="204"/>
  <c r="W203" i="204"/>
  <c r="H203" i="204"/>
  <c r="G203" i="204"/>
  <c r="E203" i="204"/>
  <c r="F203" i="204" s="1"/>
  <c r="D203" i="204"/>
  <c r="A203" i="204"/>
  <c r="AJ203" i="204" s="1"/>
  <c r="C202" i="204"/>
  <c r="B202" i="204"/>
  <c r="A202" i="204"/>
  <c r="C201" i="204"/>
  <c r="B201" i="204"/>
  <c r="A201" i="204"/>
  <c r="C200" i="204"/>
  <c r="B200" i="204"/>
  <c r="A200" i="204"/>
  <c r="W199" i="204"/>
  <c r="V199" i="204"/>
  <c r="U199" i="204"/>
  <c r="T199" i="204"/>
  <c r="S199" i="204"/>
  <c r="R199" i="204"/>
  <c r="Q199" i="204"/>
  <c r="P199" i="204"/>
  <c r="O199" i="204"/>
  <c r="N199" i="204"/>
  <c r="M199" i="204"/>
  <c r="L199" i="204"/>
  <c r="K199" i="204"/>
  <c r="H199" i="204"/>
  <c r="E199" i="204"/>
  <c r="C199" i="204"/>
  <c r="B199" i="204"/>
  <c r="A199" i="204"/>
  <c r="AJ198" i="204"/>
  <c r="W198" i="204"/>
  <c r="H198" i="204"/>
  <c r="G198" i="204"/>
  <c r="E198" i="204"/>
  <c r="F198" i="204" s="1"/>
  <c r="D198" i="204"/>
  <c r="A198" i="204"/>
  <c r="AI198" i="204" s="1"/>
  <c r="AG197" i="204"/>
  <c r="W197" i="204"/>
  <c r="H197" i="204"/>
  <c r="G197" i="204"/>
  <c r="E197" i="204"/>
  <c r="F197" i="204" s="1"/>
  <c r="D197" i="204"/>
  <c r="A197" i="204"/>
  <c r="AC197" i="204" s="1"/>
  <c r="AH196" i="204"/>
  <c r="AG196" i="204"/>
  <c r="AF196" i="204"/>
  <c r="AD196" i="204"/>
  <c r="AB196" i="204"/>
  <c r="AA196" i="204"/>
  <c r="W196" i="204"/>
  <c r="H196" i="204"/>
  <c r="G196" i="204"/>
  <c r="E196" i="204"/>
  <c r="F196" i="204" s="1"/>
  <c r="D196" i="204"/>
  <c r="A196" i="204"/>
  <c r="AC196" i="204" s="1"/>
  <c r="AJ195" i="204"/>
  <c r="AG195" i="204"/>
  <c r="AF195" i="204"/>
  <c r="AE195" i="204"/>
  <c r="AC195" i="204"/>
  <c r="Z195" i="204"/>
  <c r="W195" i="204"/>
  <c r="V195" i="204"/>
  <c r="U195" i="204"/>
  <c r="T195" i="204"/>
  <c r="S195" i="204"/>
  <c r="R195" i="204"/>
  <c r="Q195" i="204"/>
  <c r="P195" i="204"/>
  <c r="O195" i="204"/>
  <c r="N195" i="204"/>
  <c r="M195" i="204"/>
  <c r="L195" i="204"/>
  <c r="K195" i="204"/>
  <c r="H195" i="204"/>
  <c r="G195" i="204"/>
  <c r="E195" i="204"/>
  <c r="F195" i="204" s="1"/>
  <c r="D195" i="204"/>
  <c r="A195" i="204"/>
  <c r="AD195" i="204" s="1"/>
  <c r="W194" i="204"/>
  <c r="H194" i="204"/>
  <c r="G194" i="204"/>
  <c r="E194" i="204"/>
  <c r="F194" i="204" s="1"/>
  <c r="D194" i="204"/>
  <c r="A194" i="204"/>
  <c r="AI193" i="204"/>
  <c r="AC193" i="204"/>
  <c r="W193" i="204"/>
  <c r="H193" i="204"/>
  <c r="G193" i="204"/>
  <c r="E193" i="204"/>
  <c r="F193" i="204" s="1"/>
  <c r="D193" i="204"/>
  <c r="A193" i="204"/>
  <c r="AI192" i="204"/>
  <c r="AH192" i="204"/>
  <c r="Y192" i="204"/>
  <c r="W192" i="204"/>
  <c r="H192" i="204"/>
  <c r="G192" i="204"/>
  <c r="E192" i="204"/>
  <c r="F192" i="204" s="1"/>
  <c r="D192" i="204"/>
  <c r="A192" i="204"/>
  <c r="AJ192" i="204" s="1"/>
  <c r="W191" i="204"/>
  <c r="H191" i="204"/>
  <c r="G191" i="204"/>
  <c r="E191" i="204"/>
  <c r="F191" i="204" s="1"/>
  <c r="D191" i="204"/>
  <c r="A191" i="204"/>
  <c r="Z190" i="204"/>
  <c r="Y190" i="204"/>
  <c r="W190" i="204"/>
  <c r="H190" i="204"/>
  <c r="G190" i="204"/>
  <c r="E190" i="204"/>
  <c r="F190" i="204" s="1"/>
  <c r="D190" i="204"/>
  <c r="A190" i="204"/>
  <c r="AB190" i="204" s="1"/>
  <c r="W189" i="204"/>
  <c r="H189" i="204"/>
  <c r="G189" i="204"/>
  <c r="E189" i="204"/>
  <c r="F189" i="204" s="1"/>
  <c r="D189" i="204"/>
  <c r="A189" i="204"/>
  <c r="Y188" i="204"/>
  <c r="W188" i="204"/>
  <c r="H188" i="204"/>
  <c r="G188" i="204"/>
  <c r="E188" i="204"/>
  <c r="F188" i="204" s="1"/>
  <c r="D188" i="204"/>
  <c r="A188" i="204"/>
  <c r="AG188" i="204" s="1"/>
  <c r="AG187" i="204"/>
  <c r="Z187" i="204"/>
  <c r="Y187" i="204"/>
  <c r="W187" i="204"/>
  <c r="V187" i="204"/>
  <c r="U187" i="204"/>
  <c r="T187" i="204"/>
  <c r="S187" i="204"/>
  <c r="R187" i="204"/>
  <c r="Q187" i="204"/>
  <c r="P187" i="204"/>
  <c r="O187" i="204"/>
  <c r="N187" i="204"/>
  <c r="M187" i="204"/>
  <c r="L187" i="204"/>
  <c r="K187" i="204"/>
  <c r="H187" i="204"/>
  <c r="G187" i="204"/>
  <c r="E187" i="204"/>
  <c r="F187" i="204" s="1"/>
  <c r="D187" i="204"/>
  <c r="A187" i="204"/>
  <c r="AC187" i="204" s="1"/>
  <c r="C186" i="204"/>
  <c r="B186" i="204"/>
  <c r="A186" i="204"/>
  <c r="C185" i="204"/>
  <c r="B185" i="204"/>
  <c r="A185" i="204"/>
  <c r="W184" i="204"/>
  <c r="C184" i="204"/>
  <c r="B184" i="204"/>
  <c r="A184" i="204"/>
  <c r="V183" i="204"/>
  <c r="U183" i="204"/>
  <c r="T183" i="204"/>
  <c r="S183" i="204"/>
  <c r="R183" i="204"/>
  <c r="Q183" i="204"/>
  <c r="P183" i="204"/>
  <c r="O183" i="204"/>
  <c r="N183" i="204"/>
  <c r="M183" i="204"/>
  <c r="L183" i="204"/>
  <c r="K183" i="204"/>
  <c r="D183" i="204" s="1"/>
  <c r="H183" i="204"/>
  <c r="E183" i="204"/>
  <c r="C183" i="204"/>
  <c r="B183" i="204"/>
  <c r="A183" i="204"/>
  <c r="W182" i="204"/>
  <c r="H182" i="204"/>
  <c r="G182" i="204"/>
  <c r="E182" i="204"/>
  <c r="F182" i="204" s="1"/>
  <c r="D182" i="204"/>
  <c r="A182" i="204"/>
  <c r="AJ182" i="204" s="1"/>
  <c r="AI181" i="204"/>
  <c r="AF181" i="204"/>
  <c r="AA181" i="204"/>
  <c r="Z181" i="204"/>
  <c r="Y181" i="204"/>
  <c r="W181" i="204"/>
  <c r="H181" i="204"/>
  <c r="G181" i="204"/>
  <c r="E181" i="204"/>
  <c r="F181" i="204" s="1"/>
  <c r="D181" i="204"/>
  <c r="A181" i="204"/>
  <c r="AJ181" i="204" s="1"/>
  <c r="AI180" i="204"/>
  <c r="AB180" i="204"/>
  <c r="Y180" i="204"/>
  <c r="W180" i="204"/>
  <c r="H180" i="204"/>
  <c r="G180" i="204"/>
  <c r="E180" i="204"/>
  <c r="F180" i="204" s="1"/>
  <c r="D180" i="204"/>
  <c r="A180" i="204"/>
  <c r="AJ179" i="204"/>
  <c r="AI179" i="204"/>
  <c r="AD179" i="204"/>
  <c r="AC179" i="204"/>
  <c r="AB179" i="204"/>
  <c r="AA179" i="204"/>
  <c r="Z179" i="204"/>
  <c r="Y179" i="204"/>
  <c r="W179" i="204"/>
  <c r="H179" i="204"/>
  <c r="G179" i="204"/>
  <c r="E179" i="204"/>
  <c r="F179" i="204" s="1"/>
  <c r="D179" i="204"/>
  <c r="A179" i="204"/>
  <c r="AB178" i="204"/>
  <c r="W178" i="204"/>
  <c r="H178" i="204"/>
  <c r="G178" i="204"/>
  <c r="E178" i="204"/>
  <c r="F178" i="204" s="1"/>
  <c r="D178" i="204"/>
  <c r="A178" i="204"/>
  <c r="AJ177" i="204"/>
  <c r="AG177" i="204"/>
  <c r="AF177" i="204"/>
  <c r="AB177" i="204"/>
  <c r="AA177" i="204"/>
  <c r="Y177" i="204"/>
  <c r="W177" i="204"/>
  <c r="V177" i="204"/>
  <c r="U177" i="204"/>
  <c r="T177" i="204"/>
  <c r="S177" i="204"/>
  <c r="R177" i="204"/>
  <c r="Q177" i="204"/>
  <c r="P177" i="204"/>
  <c r="O177" i="204"/>
  <c r="N177" i="204"/>
  <c r="M177" i="204"/>
  <c r="L177" i="204"/>
  <c r="K177" i="204"/>
  <c r="H177" i="204"/>
  <c r="G177" i="204"/>
  <c r="E177" i="204"/>
  <c r="F177" i="204" s="1"/>
  <c r="D177" i="204"/>
  <c r="A177" i="204"/>
  <c r="AE176" i="204"/>
  <c r="AD176" i="204"/>
  <c r="AC176" i="204"/>
  <c r="AB176" i="204"/>
  <c r="W176" i="204"/>
  <c r="H176" i="204"/>
  <c r="G176" i="204"/>
  <c r="E176" i="204"/>
  <c r="F176" i="204" s="1"/>
  <c r="D176" i="204"/>
  <c r="A176" i="204"/>
  <c r="AG176" i="204" s="1"/>
  <c r="W175" i="204"/>
  <c r="H175" i="204"/>
  <c r="G175" i="204"/>
  <c r="E175" i="204"/>
  <c r="F175" i="204" s="1"/>
  <c r="D175" i="204"/>
  <c r="A175" i="204"/>
  <c r="AI174" i="204"/>
  <c r="AD174" i="204"/>
  <c r="W174" i="204"/>
  <c r="W183" i="204" s="1"/>
  <c r="H174" i="204"/>
  <c r="G174" i="204"/>
  <c r="E174" i="204"/>
  <c r="F174" i="204" s="1"/>
  <c r="D174" i="204"/>
  <c r="A174" i="204"/>
  <c r="AF174" i="204" s="1"/>
  <c r="C173" i="204"/>
  <c r="B173" i="204"/>
  <c r="A173" i="204"/>
  <c r="H172" i="204"/>
  <c r="E172" i="204"/>
  <c r="C172" i="204"/>
  <c r="B172" i="204"/>
  <c r="A172" i="204"/>
  <c r="V171" i="204"/>
  <c r="U171" i="204"/>
  <c r="T171" i="204"/>
  <c r="S171" i="204"/>
  <c r="R171" i="204"/>
  <c r="Q171" i="204"/>
  <c r="P171" i="204"/>
  <c r="O171" i="204"/>
  <c r="N171" i="204"/>
  <c r="M171" i="204"/>
  <c r="L171" i="204"/>
  <c r="K171" i="204"/>
  <c r="K173" i="204" s="1"/>
  <c r="H171" i="204"/>
  <c r="E171" i="204"/>
  <c r="A171" i="204"/>
  <c r="AB171" i="204" s="1"/>
  <c r="AJ170" i="204"/>
  <c r="AI170" i="204"/>
  <c r="H170" i="204"/>
  <c r="I170" i="204" s="1"/>
  <c r="E170" i="204"/>
  <c r="F170" i="204" s="1"/>
  <c r="A170" i="204"/>
  <c r="W169" i="204"/>
  <c r="H169" i="204"/>
  <c r="G169" i="204"/>
  <c r="E169" i="204"/>
  <c r="F169" i="204" s="1"/>
  <c r="D169" i="204"/>
  <c r="A169" i="204"/>
  <c r="AJ169" i="204" s="1"/>
  <c r="AE168" i="204"/>
  <c r="W168" i="204"/>
  <c r="H168" i="204"/>
  <c r="G168" i="204"/>
  <c r="E168" i="204"/>
  <c r="F168" i="204" s="1"/>
  <c r="D168" i="204"/>
  <c r="A168" i="204"/>
  <c r="AI168" i="204" s="1"/>
  <c r="W167" i="204"/>
  <c r="V167" i="204"/>
  <c r="U167" i="204"/>
  <c r="T167" i="204"/>
  <c r="S167" i="204"/>
  <c r="R167" i="204"/>
  <c r="Q167" i="204"/>
  <c r="P167" i="204"/>
  <c r="O167" i="204"/>
  <c r="N167" i="204"/>
  <c r="M167" i="204"/>
  <c r="L167" i="204"/>
  <c r="K167" i="204"/>
  <c r="H167" i="204"/>
  <c r="G167" i="204"/>
  <c r="E167" i="204"/>
  <c r="F167" i="204" s="1"/>
  <c r="D167" i="204"/>
  <c r="A167" i="204"/>
  <c r="AH167" i="204" s="1"/>
  <c r="W166" i="204"/>
  <c r="H166" i="204"/>
  <c r="G166" i="204"/>
  <c r="E166" i="204"/>
  <c r="F166" i="204" s="1"/>
  <c r="D166" i="204"/>
  <c r="A166" i="204"/>
  <c r="AJ166" i="204" s="1"/>
  <c r="AJ165" i="204"/>
  <c r="AG165" i="204"/>
  <c r="AE165" i="204"/>
  <c r="AD165" i="204"/>
  <c r="AB165" i="204"/>
  <c r="AA165" i="204"/>
  <c r="H165" i="204"/>
  <c r="E165" i="204"/>
  <c r="A165" i="204"/>
  <c r="AH165" i="204" s="1"/>
  <c r="AJ164" i="204"/>
  <c r="AH164" i="204"/>
  <c r="AE164" i="204"/>
  <c r="W164" i="204"/>
  <c r="H164" i="204"/>
  <c r="G164" i="204"/>
  <c r="E164" i="204"/>
  <c r="F164" i="204" s="1"/>
  <c r="D164" i="204"/>
  <c r="B164" i="204"/>
  <c r="A164" i="204"/>
  <c r="AC164" i="204" s="1"/>
  <c r="W163" i="204"/>
  <c r="H163" i="204"/>
  <c r="G163" i="204"/>
  <c r="E163" i="204"/>
  <c r="F163" i="204" s="1"/>
  <c r="D163" i="204"/>
  <c r="A163" i="204"/>
  <c r="AJ163" i="204" s="1"/>
  <c r="W162" i="204"/>
  <c r="V162" i="204"/>
  <c r="U162" i="204"/>
  <c r="T162" i="204"/>
  <c r="S162" i="204"/>
  <c r="R162" i="204"/>
  <c r="Q162" i="204"/>
  <c r="P162" i="204"/>
  <c r="O162" i="204"/>
  <c r="N162" i="204"/>
  <c r="M162" i="204"/>
  <c r="L162" i="204"/>
  <c r="K162" i="204"/>
  <c r="H162" i="204"/>
  <c r="G162" i="204"/>
  <c r="E162" i="204"/>
  <c r="F162" i="204" s="1"/>
  <c r="D162" i="204"/>
  <c r="A162" i="204"/>
  <c r="AD162" i="204" s="1"/>
  <c r="AJ161" i="204"/>
  <c r="AH161" i="204"/>
  <c r="AF161" i="204"/>
  <c r="W161" i="204"/>
  <c r="H161" i="204"/>
  <c r="G161" i="204"/>
  <c r="E161" i="204"/>
  <c r="F161" i="204" s="1"/>
  <c r="D161" i="204"/>
  <c r="A161" i="204"/>
  <c r="Z161" i="204" s="1"/>
  <c r="W160" i="204"/>
  <c r="H160" i="204"/>
  <c r="G160" i="204"/>
  <c r="E160" i="204"/>
  <c r="F160" i="204" s="1"/>
  <c r="D160" i="204"/>
  <c r="A160" i="204"/>
  <c r="AC160" i="204" s="1"/>
  <c r="W159" i="204"/>
  <c r="V159" i="204"/>
  <c r="U159" i="204"/>
  <c r="T159" i="204"/>
  <c r="S159" i="204"/>
  <c r="R159" i="204"/>
  <c r="Q159" i="204"/>
  <c r="P159" i="204"/>
  <c r="O159" i="204"/>
  <c r="N159" i="204"/>
  <c r="M159" i="204"/>
  <c r="L159" i="204"/>
  <c r="K159" i="204"/>
  <c r="H159" i="204"/>
  <c r="G159" i="204"/>
  <c r="E159" i="204"/>
  <c r="F159" i="204" s="1"/>
  <c r="D159" i="204"/>
  <c r="A159" i="204"/>
  <c r="AG159" i="204" s="1"/>
  <c r="W158" i="204"/>
  <c r="H158" i="204"/>
  <c r="G158" i="204"/>
  <c r="E158" i="204"/>
  <c r="F158" i="204" s="1"/>
  <c r="D158" i="204"/>
  <c r="A158" i="204"/>
  <c r="AJ158" i="204" s="1"/>
  <c r="AD157" i="204"/>
  <c r="W157" i="204"/>
  <c r="H157" i="204"/>
  <c r="G157" i="204"/>
  <c r="E157" i="204"/>
  <c r="F157" i="204" s="1"/>
  <c r="D157" i="204"/>
  <c r="A157" i="204"/>
  <c r="H156" i="204"/>
  <c r="E156" i="204"/>
  <c r="A156" i="204"/>
  <c r="AH156" i="204" s="1"/>
  <c r="B155" i="204"/>
  <c r="A155" i="204"/>
  <c r="W154" i="204"/>
  <c r="C154" i="204"/>
  <c r="B154" i="204"/>
  <c r="A154" i="204"/>
  <c r="C153" i="204"/>
  <c r="B153" i="204"/>
  <c r="A153" i="204"/>
  <c r="W152" i="204"/>
  <c r="H152" i="204"/>
  <c r="G152" i="204"/>
  <c r="E152" i="204"/>
  <c r="F152" i="204" s="1"/>
  <c r="D152" i="204"/>
  <c r="A152" i="204"/>
  <c r="AE152" i="204" s="1"/>
  <c r="AI151" i="204"/>
  <c r="H151" i="204"/>
  <c r="E151" i="204"/>
  <c r="A151" i="204"/>
  <c r="AG151" i="204" s="1"/>
  <c r="AC150" i="204"/>
  <c r="W150" i="204"/>
  <c r="H150" i="204"/>
  <c r="G150" i="204"/>
  <c r="E150" i="204"/>
  <c r="F150" i="204" s="1"/>
  <c r="D150" i="204"/>
  <c r="A150" i="204"/>
  <c r="AD149" i="204"/>
  <c r="AA149" i="204"/>
  <c r="Y149" i="204"/>
  <c r="W149" i="204"/>
  <c r="H149" i="204"/>
  <c r="G149" i="204"/>
  <c r="E149" i="204"/>
  <c r="F149" i="204" s="1"/>
  <c r="D149" i="204"/>
  <c r="A149" i="204"/>
  <c r="AJ149" i="204" s="1"/>
  <c r="H148" i="204"/>
  <c r="E148" i="204"/>
  <c r="A148" i="204"/>
  <c r="AH148" i="204" s="1"/>
  <c r="AG147" i="204"/>
  <c r="H147" i="204"/>
  <c r="E147" i="204"/>
  <c r="A147" i="204"/>
  <c r="AE147" i="204" s="1"/>
  <c r="H146" i="204"/>
  <c r="E146" i="204"/>
  <c r="A146" i="204"/>
  <c r="AH146" i="204" s="1"/>
  <c r="AI145" i="204"/>
  <c r="W145" i="204"/>
  <c r="H145" i="204"/>
  <c r="G145" i="204"/>
  <c r="E145" i="204"/>
  <c r="F145" i="204" s="1"/>
  <c r="D145" i="204"/>
  <c r="A145" i="204"/>
  <c r="AJ145" i="204" s="1"/>
  <c r="W144" i="204"/>
  <c r="H144" i="204"/>
  <c r="G144" i="204"/>
  <c r="F144" i="204"/>
  <c r="E144" i="204"/>
  <c r="D144" i="204"/>
  <c r="A144" i="204"/>
  <c r="AB144" i="204" s="1"/>
  <c r="W143" i="204"/>
  <c r="H143" i="204"/>
  <c r="G143" i="204"/>
  <c r="E143" i="204"/>
  <c r="F143" i="204" s="1"/>
  <c r="D143" i="204"/>
  <c r="A143" i="204"/>
  <c r="AB143" i="204" s="1"/>
  <c r="AF142" i="204"/>
  <c r="H142" i="204"/>
  <c r="E142" i="204"/>
  <c r="A142" i="204"/>
  <c r="AH142" i="204" s="1"/>
  <c r="W141" i="204"/>
  <c r="H141" i="204"/>
  <c r="G141" i="204"/>
  <c r="E141" i="204"/>
  <c r="F141" i="204" s="1"/>
  <c r="D141" i="204"/>
  <c r="A141" i="204"/>
  <c r="Z141" i="204" s="1"/>
  <c r="W140" i="204"/>
  <c r="H140" i="204"/>
  <c r="G140" i="204"/>
  <c r="E140" i="204"/>
  <c r="F140" i="204" s="1"/>
  <c r="D140" i="204"/>
  <c r="A140" i="204"/>
  <c r="AD140" i="204" s="1"/>
  <c r="AC139" i="204"/>
  <c r="AA139" i="204"/>
  <c r="Z139" i="204"/>
  <c r="W139" i="204"/>
  <c r="H139" i="204"/>
  <c r="G139" i="204"/>
  <c r="E139" i="204"/>
  <c r="F139" i="204" s="1"/>
  <c r="D139" i="204"/>
  <c r="A139" i="204"/>
  <c r="AJ139" i="204" s="1"/>
  <c r="AG138" i="204"/>
  <c r="AD138" i="204"/>
  <c r="W138" i="204"/>
  <c r="H138" i="204"/>
  <c r="G138" i="204"/>
  <c r="E138" i="204"/>
  <c r="F138" i="204" s="1"/>
  <c r="D138" i="204"/>
  <c r="A138" i="204"/>
  <c r="AI138" i="204" s="1"/>
  <c r="W137" i="204"/>
  <c r="V137" i="204"/>
  <c r="U137" i="204"/>
  <c r="T137" i="204"/>
  <c r="S137" i="204"/>
  <c r="R137" i="204"/>
  <c r="Q137" i="204"/>
  <c r="P137" i="204"/>
  <c r="O137" i="204"/>
  <c r="N137" i="204"/>
  <c r="M137" i="204"/>
  <c r="L137" i="204"/>
  <c r="K137" i="204"/>
  <c r="H137" i="204"/>
  <c r="G137" i="204"/>
  <c r="E137" i="204"/>
  <c r="F137" i="204" s="1"/>
  <c r="D137" i="204"/>
  <c r="A137" i="204"/>
  <c r="AD137" i="204" s="1"/>
  <c r="W136" i="204"/>
  <c r="H136" i="204"/>
  <c r="G136" i="204"/>
  <c r="E136" i="204"/>
  <c r="F136" i="204" s="1"/>
  <c r="D136" i="204"/>
  <c r="C136" i="204"/>
  <c r="A136" i="204"/>
  <c r="AJ136" i="204" s="1"/>
  <c r="AI135" i="204"/>
  <c r="W135" i="204"/>
  <c r="H135" i="204"/>
  <c r="G135" i="204"/>
  <c r="E135" i="204"/>
  <c r="F135" i="204" s="1"/>
  <c r="D135" i="204"/>
  <c r="A135" i="204"/>
  <c r="AF135" i="204" s="1"/>
  <c r="AG134" i="204"/>
  <c r="W134" i="204"/>
  <c r="V134" i="204"/>
  <c r="U134" i="204"/>
  <c r="T134" i="204"/>
  <c r="S134" i="204"/>
  <c r="R134" i="204"/>
  <c r="Q134" i="204"/>
  <c r="P134" i="204"/>
  <c r="O134" i="204"/>
  <c r="N134" i="204"/>
  <c r="M134" i="204"/>
  <c r="L134" i="204"/>
  <c r="K134" i="204"/>
  <c r="H134" i="204"/>
  <c r="G134" i="204"/>
  <c r="E134" i="204"/>
  <c r="F134" i="204" s="1"/>
  <c r="D134" i="204"/>
  <c r="A134" i="204"/>
  <c r="AC134" i="204" s="1"/>
  <c r="AJ133" i="204"/>
  <c r="AG133" i="204"/>
  <c r="AC133" i="204"/>
  <c r="AB133" i="204"/>
  <c r="Z133" i="204"/>
  <c r="W133" i="204"/>
  <c r="H133" i="204"/>
  <c r="G133" i="204"/>
  <c r="F133" i="204"/>
  <c r="E133" i="204"/>
  <c r="D133" i="204"/>
  <c r="A133" i="204"/>
  <c r="AH133" i="204" s="1"/>
  <c r="AJ132" i="204"/>
  <c r="AH132" i="204"/>
  <c r="AC132" i="204"/>
  <c r="AB132" i="204"/>
  <c r="AA132" i="204"/>
  <c r="Z132" i="204"/>
  <c r="W132" i="204"/>
  <c r="V132" i="204"/>
  <c r="U132" i="204"/>
  <c r="T132" i="204"/>
  <c r="S132" i="204"/>
  <c r="R132" i="204"/>
  <c r="Q132" i="204"/>
  <c r="P132" i="204"/>
  <c r="O132" i="204"/>
  <c r="N132" i="204"/>
  <c r="M132" i="204"/>
  <c r="L132" i="204"/>
  <c r="K132" i="204"/>
  <c r="H132" i="204"/>
  <c r="G132" i="204"/>
  <c r="E132" i="204"/>
  <c r="F132" i="204" s="1"/>
  <c r="D132" i="204"/>
  <c r="A132" i="204"/>
  <c r="Y132" i="204" s="1"/>
  <c r="AJ131" i="204"/>
  <c r="AF131" i="204"/>
  <c r="W131" i="204"/>
  <c r="H131" i="204"/>
  <c r="G131" i="204"/>
  <c r="E131" i="204"/>
  <c r="F131" i="204" s="1"/>
  <c r="D131" i="204"/>
  <c r="A131" i="204"/>
  <c r="AE131" i="204" s="1"/>
  <c r="AD130" i="204"/>
  <c r="W130" i="204"/>
  <c r="H130" i="204"/>
  <c r="G130" i="204"/>
  <c r="E130" i="204"/>
  <c r="F130" i="204" s="1"/>
  <c r="D130" i="204"/>
  <c r="A130" i="204"/>
  <c r="AF130" i="204" s="1"/>
  <c r="W129" i="204"/>
  <c r="H129" i="204"/>
  <c r="G129" i="204"/>
  <c r="E129" i="204"/>
  <c r="F129" i="204" s="1"/>
  <c r="D129" i="204"/>
  <c r="A129" i="204"/>
  <c r="AI129" i="204" s="1"/>
  <c r="V128" i="204"/>
  <c r="V127" i="204" s="1"/>
  <c r="U128" i="204"/>
  <c r="U127" i="204" s="1"/>
  <c r="T128" i="204"/>
  <c r="T127" i="204" s="1"/>
  <c r="S128" i="204"/>
  <c r="S127" i="204" s="1"/>
  <c r="R128" i="204"/>
  <c r="R127" i="204" s="1"/>
  <c r="Q128" i="204"/>
  <c r="Q127" i="204" s="1"/>
  <c r="P128" i="204"/>
  <c r="P127" i="204" s="1"/>
  <c r="O128" i="204"/>
  <c r="O127" i="204" s="1"/>
  <c r="N128" i="204"/>
  <c r="N127" i="204" s="1"/>
  <c r="M128" i="204"/>
  <c r="M127" i="204" s="1"/>
  <c r="L128" i="204"/>
  <c r="L127" i="204" s="1"/>
  <c r="K128" i="204"/>
  <c r="K127" i="204" s="1"/>
  <c r="H128" i="204"/>
  <c r="E128" i="204"/>
  <c r="A128" i="204"/>
  <c r="AF127" i="204"/>
  <c r="AB127" i="204"/>
  <c r="AA127" i="204"/>
  <c r="Z127" i="204"/>
  <c r="Y127" i="204"/>
  <c r="H127" i="204"/>
  <c r="E127" i="204"/>
  <c r="B127" i="204"/>
  <c r="A127" i="204"/>
  <c r="AI127" i="204" s="1"/>
  <c r="H126" i="204"/>
  <c r="E126" i="204"/>
  <c r="A126" i="204"/>
  <c r="W125" i="204"/>
  <c r="H125" i="204"/>
  <c r="G125" i="204"/>
  <c r="E125" i="204"/>
  <c r="F125" i="204" s="1"/>
  <c r="D125" i="204"/>
  <c r="C125" i="204"/>
  <c r="B125" i="204"/>
  <c r="W124" i="204"/>
  <c r="H124" i="204"/>
  <c r="G124" i="204"/>
  <c r="E124" i="204"/>
  <c r="F124" i="204" s="1"/>
  <c r="D124" i="204"/>
  <c r="C124" i="204"/>
  <c r="B124" i="204"/>
  <c r="W123" i="204"/>
  <c r="H123" i="204"/>
  <c r="G123" i="204"/>
  <c r="E123" i="204"/>
  <c r="F123" i="204" s="1"/>
  <c r="D123" i="204"/>
  <c r="C123" i="204"/>
  <c r="B123" i="204"/>
  <c r="AJ122" i="204"/>
  <c r="AI122" i="204"/>
  <c r="AF122" i="204"/>
  <c r="AE122" i="204"/>
  <c r="AC122" i="204"/>
  <c r="W122" i="204"/>
  <c r="V122" i="204"/>
  <c r="U122" i="204"/>
  <c r="T122" i="204"/>
  <c r="S122" i="204"/>
  <c r="R122" i="204"/>
  <c r="Q122" i="204"/>
  <c r="P122" i="204"/>
  <c r="O122" i="204"/>
  <c r="N122" i="204"/>
  <c r="M122" i="204"/>
  <c r="L122" i="204"/>
  <c r="K122" i="204"/>
  <c r="H122" i="204"/>
  <c r="G122" i="204"/>
  <c r="E122" i="204"/>
  <c r="F122" i="204" s="1"/>
  <c r="D122" i="204"/>
  <c r="A122" i="204"/>
  <c r="Z122" i="204" s="1"/>
  <c r="W121" i="204"/>
  <c r="H121" i="204"/>
  <c r="G121" i="204"/>
  <c r="E121" i="204"/>
  <c r="F121" i="204" s="1"/>
  <c r="D121" i="204"/>
  <c r="C121" i="204"/>
  <c r="B121" i="204"/>
  <c r="W120" i="204"/>
  <c r="H120" i="204"/>
  <c r="G120" i="204"/>
  <c r="E120" i="204"/>
  <c r="F120" i="204" s="1"/>
  <c r="D120" i="204"/>
  <c r="C120" i="204"/>
  <c r="B120" i="204"/>
  <c r="W119" i="204"/>
  <c r="H119" i="204"/>
  <c r="G119" i="204"/>
  <c r="E119" i="204"/>
  <c r="F119" i="204" s="1"/>
  <c r="D119" i="204"/>
  <c r="C119" i="204"/>
  <c r="B119" i="204"/>
  <c r="W118" i="204"/>
  <c r="V118" i="204"/>
  <c r="U118" i="204"/>
  <c r="T118" i="204"/>
  <c r="S118" i="204"/>
  <c r="R118" i="204"/>
  <c r="Q118" i="204"/>
  <c r="P118" i="204"/>
  <c r="O118" i="204"/>
  <c r="N118" i="204"/>
  <c r="M118" i="204"/>
  <c r="L118" i="204"/>
  <c r="K118" i="204"/>
  <c r="H118" i="204"/>
  <c r="G118" i="204"/>
  <c r="E118" i="204"/>
  <c r="F118" i="204" s="1"/>
  <c r="D118" i="204"/>
  <c r="A118" i="204"/>
  <c r="AI118" i="204" s="1"/>
  <c r="AJ117" i="204"/>
  <c r="AI117" i="204"/>
  <c r="AC117" i="204"/>
  <c r="AB117" i="204"/>
  <c r="Y117" i="204"/>
  <c r="W117" i="204"/>
  <c r="H117" i="204"/>
  <c r="G117" i="204"/>
  <c r="E117" i="204"/>
  <c r="F117" i="204" s="1"/>
  <c r="D117" i="204"/>
  <c r="A117" i="204"/>
  <c r="AE117" i="204" s="1"/>
  <c r="W116" i="204"/>
  <c r="H116" i="204"/>
  <c r="G116" i="204"/>
  <c r="E116" i="204"/>
  <c r="F116" i="204" s="1"/>
  <c r="D116" i="204"/>
  <c r="C116" i="204"/>
  <c r="B116" i="204"/>
  <c r="W115" i="204"/>
  <c r="H115" i="204"/>
  <c r="G115" i="204"/>
  <c r="E115" i="204"/>
  <c r="F115" i="204" s="1"/>
  <c r="D115" i="204"/>
  <c r="C115" i="204"/>
  <c r="B115" i="204"/>
  <c r="W114" i="204"/>
  <c r="H114" i="204"/>
  <c r="G114" i="204"/>
  <c r="E114" i="204"/>
  <c r="F114" i="204" s="1"/>
  <c r="D114" i="204"/>
  <c r="C114" i="204"/>
  <c r="B114" i="204"/>
  <c r="W113" i="204"/>
  <c r="V113" i="204"/>
  <c r="U113" i="204"/>
  <c r="T113" i="204"/>
  <c r="S113" i="204"/>
  <c r="R113" i="204"/>
  <c r="Q113" i="204"/>
  <c r="P113" i="204"/>
  <c r="O113" i="204"/>
  <c r="N113" i="204"/>
  <c r="M113" i="204"/>
  <c r="L113" i="204"/>
  <c r="K113" i="204"/>
  <c r="H113" i="204"/>
  <c r="G113" i="204"/>
  <c r="E113" i="204"/>
  <c r="F113" i="204" s="1"/>
  <c r="D113" i="204"/>
  <c r="A113" i="204"/>
  <c r="W112" i="204"/>
  <c r="H112" i="204"/>
  <c r="G112" i="204"/>
  <c r="E112" i="204"/>
  <c r="F112" i="204" s="1"/>
  <c r="D112" i="204"/>
  <c r="C112" i="204"/>
  <c r="B112" i="204"/>
  <c r="W111" i="204"/>
  <c r="H111" i="204"/>
  <c r="G111" i="204"/>
  <c r="E111" i="204"/>
  <c r="F111" i="204" s="1"/>
  <c r="D111" i="204"/>
  <c r="C111" i="204"/>
  <c r="B111" i="204"/>
  <c r="W110" i="204"/>
  <c r="H110" i="204"/>
  <c r="G110" i="204"/>
  <c r="E110" i="204"/>
  <c r="F110" i="204" s="1"/>
  <c r="D110" i="204"/>
  <c r="C110" i="204"/>
  <c r="B110" i="204"/>
  <c r="AD109" i="204"/>
  <c r="W109" i="204"/>
  <c r="V109" i="204"/>
  <c r="U109" i="204"/>
  <c r="T109" i="204"/>
  <c r="S109" i="204"/>
  <c r="R109" i="204"/>
  <c r="Q109" i="204"/>
  <c r="P109" i="204"/>
  <c r="O109" i="204"/>
  <c r="N109" i="204"/>
  <c r="M109" i="204"/>
  <c r="L109" i="204"/>
  <c r="K109" i="204"/>
  <c r="H109" i="204"/>
  <c r="G109" i="204"/>
  <c r="E109" i="204"/>
  <c r="F109" i="204" s="1"/>
  <c r="D109" i="204"/>
  <c r="A109" i="204"/>
  <c r="AH109" i="204" s="1"/>
  <c r="W108" i="204"/>
  <c r="G108" i="204"/>
  <c r="D108" i="204"/>
  <c r="C108" i="204"/>
  <c r="B108" i="204"/>
  <c r="C107" i="204"/>
  <c r="B107" i="204"/>
  <c r="C106" i="204"/>
  <c r="B106" i="204"/>
  <c r="H105" i="204"/>
  <c r="E105" i="204"/>
  <c r="A105" i="204"/>
  <c r="AE105" i="204" s="1"/>
  <c r="W104" i="204"/>
  <c r="H104" i="204"/>
  <c r="G104" i="204"/>
  <c r="E104" i="204"/>
  <c r="F104" i="204" s="1"/>
  <c r="D104" i="204"/>
  <c r="C104" i="204"/>
  <c r="B104" i="204"/>
  <c r="C103" i="204"/>
  <c r="B103" i="204"/>
  <c r="C102" i="204"/>
  <c r="B102" i="204"/>
  <c r="AF101" i="204"/>
  <c r="AE101" i="204"/>
  <c r="AB101" i="204"/>
  <c r="Z101" i="204"/>
  <c r="Y101" i="204"/>
  <c r="H101" i="204"/>
  <c r="E101" i="204"/>
  <c r="A101" i="204"/>
  <c r="AH101" i="204" s="1"/>
  <c r="W100" i="204"/>
  <c r="H100" i="204"/>
  <c r="G100" i="204"/>
  <c r="E100" i="204"/>
  <c r="F100" i="204" s="1"/>
  <c r="D100" i="204"/>
  <c r="C100" i="204"/>
  <c r="B100" i="204"/>
  <c r="A100" i="204"/>
  <c r="AA100" i="204" s="1"/>
  <c r="C99" i="204"/>
  <c r="B99" i="204"/>
  <c r="C98" i="204"/>
  <c r="B98" i="204"/>
  <c r="H97" i="204"/>
  <c r="E97" i="204"/>
  <c r="A97" i="204"/>
  <c r="AA97" i="204" s="1"/>
  <c r="W96" i="204"/>
  <c r="H96" i="204"/>
  <c r="G96" i="204"/>
  <c r="E96" i="204"/>
  <c r="F96" i="204" s="1"/>
  <c r="D96" i="204"/>
  <c r="C96" i="204"/>
  <c r="B96" i="204"/>
  <c r="C95" i="204"/>
  <c r="B95" i="204"/>
  <c r="C94" i="204"/>
  <c r="B94" i="204"/>
  <c r="H93" i="204"/>
  <c r="E93" i="204"/>
  <c r="A93" i="204"/>
  <c r="AC93" i="204" s="1"/>
  <c r="AC92" i="204"/>
  <c r="AB92" i="204"/>
  <c r="AA92" i="204"/>
  <c r="H92" i="204"/>
  <c r="E92" i="204"/>
  <c r="B92" i="204"/>
  <c r="A92" i="204"/>
  <c r="AD92" i="204" s="1"/>
  <c r="H91" i="204"/>
  <c r="E91" i="204"/>
  <c r="A91" i="204"/>
  <c r="AA91" i="204" s="1"/>
  <c r="H90" i="204"/>
  <c r="E90" i="204"/>
  <c r="A90" i="204"/>
  <c r="AE89" i="204"/>
  <c r="H89" i="204"/>
  <c r="E89" i="204"/>
  <c r="C89" i="204"/>
  <c r="B89" i="204"/>
  <c r="A89" i="204"/>
  <c r="AH89" i="204" s="1"/>
  <c r="W88" i="204"/>
  <c r="H88" i="204"/>
  <c r="G88" i="204"/>
  <c r="E88" i="204"/>
  <c r="F88" i="204" s="1"/>
  <c r="D88" i="204"/>
  <c r="A88" i="204"/>
  <c r="H87" i="204"/>
  <c r="E87" i="204"/>
  <c r="A87" i="204"/>
  <c r="H86" i="204"/>
  <c r="E86" i="204"/>
  <c r="A86" i="204"/>
  <c r="AG86" i="204" s="1"/>
  <c r="AJ85" i="204"/>
  <c r="AI85" i="204"/>
  <c r="AA85" i="204"/>
  <c r="H85" i="204"/>
  <c r="E85" i="204"/>
  <c r="A85" i="204"/>
  <c r="Y85" i="204" s="1"/>
  <c r="H84" i="204"/>
  <c r="E84" i="204"/>
  <c r="A84" i="204"/>
  <c r="AE84" i="204" s="1"/>
  <c r="H83" i="204"/>
  <c r="E83" i="204"/>
  <c r="A83" i="204"/>
  <c r="AJ83" i="204" s="1"/>
  <c r="AJ82" i="204"/>
  <c r="AF82" i="204"/>
  <c r="AE82" i="204"/>
  <c r="AD82" i="204"/>
  <c r="W82" i="204"/>
  <c r="H82" i="204"/>
  <c r="G82" i="204"/>
  <c r="E82" i="204"/>
  <c r="F82" i="204" s="1"/>
  <c r="D82" i="204"/>
  <c r="A82" i="204"/>
  <c r="AH82" i="204" s="1"/>
  <c r="AH81" i="204"/>
  <c r="AE81" i="204"/>
  <c r="AD81" i="204"/>
  <c r="AC81" i="204"/>
  <c r="AA81" i="204"/>
  <c r="Y81" i="204"/>
  <c r="H81" i="204"/>
  <c r="E81" i="204"/>
  <c r="A81" i="204"/>
  <c r="AB81" i="204" s="1"/>
  <c r="AA80" i="204"/>
  <c r="Z80" i="204"/>
  <c r="H80" i="204"/>
  <c r="E80" i="204"/>
  <c r="A80" i="204"/>
  <c r="AH80" i="204" s="1"/>
  <c r="AJ79" i="204"/>
  <c r="W79" i="204"/>
  <c r="H79" i="204"/>
  <c r="G79" i="204"/>
  <c r="E79" i="204"/>
  <c r="F79" i="204" s="1"/>
  <c r="D79" i="204"/>
  <c r="B79" i="204"/>
  <c r="A79" i="204"/>
  <c r="AI78" i="204"/>
  <c r="AC78" i="204"/>
  <c r="Z78" i="204"/>
  <c r="W78" i="204"/>
  <c r="H78" i="204"/>
  <c r="G78" i="204"/>
  <c r="E78" i="204"/>
  <c r="F78" i="204" s="1"/>
  <c r="D78" i="204"/>
  <c r="C78" i="204"/>
  <c r="B78" i="204"/>
  <c r="A78" i="204"/>
  <c r="AK77" i="204"/>
  <c r="AJ77" i="204"/>
  <c r="AI77" i="204"/>
  <c r="AH77" i="204"/>
  <c r="AG77" i="204"/>
  <c r="AF77" i="204"/>
  <c r="AE77" i="204"/>
  <c r="AD77" i="204"/>
  <c r="AC77" i="204"/>
  <c r="AB77" i="204"/>
  <c r="AA77" i="204"/>
  <c r="Z77" i="204"/>
  <c r="Y77" i="204"/>
  <c r="H77" i="204"/>
  <c r="E77" i="204"/>
  <c r="C77" i="204"/>
  <c r="B77" i="204"/>
  <c r="AK76" i="204"/>
  <c r="AJ76" i="204"/>
  <c r="AI76" i="204"/>
  <c r="AH76" i="204"/>
  <c r="AG76" i="204"/>
  <c r="AF76" i="204"/>
  <c r="AE76" i="204"/>
  <c r="AD76" i="204"/>
  <c r="AC76" i="204"/>
  <c r="AB76" i="204"/>
  <c r="AA76" i="204"/>
  <c r="Z76" i="204"/>
  <c r="Y76" i="204"/>
  <c r="V76" i="204"/>
  <c r="U76" i="204"/>
  <c r="T76" i="204"/>
  <c r="S76" i="204"/>
  <c r="R76" i="204"/>
  <c r="Q76" i="204"/>
  <c r="P76" i="204"/>
  <c r="O76" i="204"/>
  <c r="N76" i="204"/>
  <c r="M76" i="204"/>
  <c r="L76" i="204"/>
  <c r="K76" i="204"/>
  <c r="D76" i="204" s="1"/>
  <c r="H76" i="204"/>
  <c r="E76" i="204"/>
  <c r="C76" i="204"/>
  <c r="B76" i="204"/>
  <c r="AJ75" i="204"/>
  <c r="H75" i="204"/>
  <c r="E75" i="204"/>
  <c r="A75" i="204"/>
  <c r="AI75" i="204" s="1"/>
  <c r="H74" i="204"/>
  <c r="E74" i="204"/>
  <c r="A74" i="204"/>
  <c r="Z74" i="204" s="1"/>
  <c r="AH73" i="204"/>
  <c r="AG73" i="204"/>
  <c r="AF73" i="204"/>
  <c r="AE73" i="204"/>
  <c r="AD73" i="204"/>
  <c r="AC73" i="204"/>
  <c r="AB73" i="204"/>
  <c r="AA73" i="204"/>
  <c r="Z73" i="204"/>
  <c r="V73" i="204"/>
  <c r="S73" i="204"/>
  <c r="Q73" i="204"/>
  <c r="P73" i="204"/>
  <c r="O73" i="204"/>
  <c r="N73" i="204"/>
  <c r="M73" i="204"/>
  <c r="L73" i="204"/>
  <c r="K73" i="204"/>
  <c r="H73" i="204"/>
  <c r="E73" i="204"/>
  <c r="C73" i="204"/>
  <c r="A73" i="204"/>
  <c r="AJ73" i="204" s="1"/>
  <c r="H72" i="204"/>
  <c r="E72" i="204"/>
  <c r="A72" i="204"/>
  <c r="AJ72" i="204" s="1"/>
  <c r="R71" i="204"/>
  <c r="Q71" i="204"/>
  <c r="H71" i="204"/>
  <c r="E71" i="204"/>
  <c r="A71" i="204"/>
  <c r="H70" i="204"/>
  <c r="E70" i="204"/>
  <c r="A70" i="204"/>
  <c r="Y70" i="204" s="1"/>
  <c r="H69" i="204"/>
  <c r="E69" i="204"/>
  <c r="B69" i="204"/>
  <c r="A69" i="204"/>
  <c r="Z69" i="204" s="1"/>
  <c r="H68" i="204"/>
  <c r="E68" i="204"/>
  <c r="A68" i="204"/>
  <c r="H67" i="204"/>
  <c r="E67" i="204"/>
  <c r="A67" i="204"/>
  <c r="AI67" i="204" s="1"/>
  <c r="W66" i="204"/>
  <c r="H66" i="204"/>
  <c r="G66" i="204"/>
  <c r="E66" i="204"/>
  <c r="F66" i="204" s="1"/>
  <c r="D66" i="204"/>
  <c r="A66" i="204"/>
  <c r="AG66" i="204" s="1"/>
  <c r="W65" i="204"/>
  <c r="H65" i="204"/>
  <c r="G65" i="204"/>
  <c r="E65" i="204"/>
  <c r="F65" i="204" s="1"/>
  <c r="D65" i="204"/>
  <c r="A65" i="204"/>
  <c r="AB65" i="204" s="1"/>
  <c r="W64" i="204"/>
  <c r="H64" i="204"/>
  <c r="G64" i="204"/>
  <c r="E64" i="204"/>
  <c r="F64" i="204" s="1"/>
  <c r="D64" i="204"/>
  <c r="A64" i="204"/>
  <c r="AI64" i="204" s="1"/>
  <c r="AI63" i="204"/>
  <c r="AG63" i="204"/>
  <c r="AC63" i="204"/>
  <c r="W63" i="204"/>
  <c r="V63" i="204"/>
  <c r="U63" i="204"/>
  <c r="T63" i="204"/>
  <c r="S63" i="204"/>
  <c r="R63" i="204"/>
  <c r="Q63" i="204"/>
  <c r="P63" i="204"/>
  <c r="O63" i="204"/>
  <c r="N63" i="204"/>
  <c r="M63" i="204"/>
  <c r="L63" i="204"/>
  <c r="K63" i="204"/>
  <c r="H63" i="204"/>
  <c r="G63" i="204"/>
  <c r="E63" i="204"/>
  <c r="F63" i="204" s="1"/>
  <c r="D63" i="204"/>
  <c r="A63" i="204"/>
  <c r="H62" i="204"/>
  <c r="E62" i="204"/>
  <c r="A62" i="204"/>
  <c r="AI62" i="204" s="1"/>
  <c r="AG61" i="204"/>
  <c r="Z61" i="204"/>
  <c r="Y61" i="204"/>
  <c r="H61" i="204"/>
  <c r="E61" i="204"/>
  <c r="A61" i="204"/>
  <c r="AH61" i="204" s="1"/>
  <c r="H60" i="204"/>
  <c r="E60" i="204"/>
  <c r="A60" i="204"/>
  <c r="AF60" i="204" s="1"/>
  <c r="H59" i="204"/>
  <c r="E59" i="204"/>
  <c r="A59" i="204"/>
  <c r="H58" i="204"/>
  <c r="E58" i="204"/>
  <c r="A58" i="204"/>
  <c r="AC58" i="204" s="1"/>
  <c r="H57" i="204"/>
  <c r="E57" i="204"/>
  <c r="A57" i="204"/>
  <c r="H56" i="204"/>
  <c r="E56" i="204"/>
  <c r="C56" i="204"/>
  <c r="A56" i="204"/>
  <c r="AI56" i="204" s="1"/>
  <c r="H55" i="204"/>
  <c r="E55" i="204"/>
  <c r="A55" i="204"/>
  <c r="AJ55" i="204" s="1"/>
  <c r="AJ54" i="204"/>
  <c r="AF54" i="204"/>
  <c r="AE54" i="204"/>
  <c r="AD54" i="204"/>
  <c r="AC54" i="204"/>
  <c r="AA54" i="204"/>
  <c r="Y54" i="204"/>
  <c r="H54" i="204"/>
  <c r="E54" i="204"/>
  <c r="A54" i="204"/>
  <c r="AG54" i="204" s="1"/>
  <c r="H53" i="204"/>
  <c r="E53" i="204"/>
  <c r="A53" i="204"/>
  <c r="AH52" i="204"/>
  <c r="H52" i="204"/>
  <c r="E52" i="204"/>
  <c r="A52" i="204"/>
  <c r="AJ52" i="204" s="1"/>
  <c r="H51" i="204"/>
  <c r="E51" i="204"/>
  <c r="A51" i="204"/>
  <c r="AJ51" i="204" s="1"/>
  <c r="W50" i="204"/>
  <c r="H50" i="204"/>
  <c r="G50" i="204"/>
  <c r="E50" i="204"/>
  <c r="F50" i="204" s="1"/>
  <c r="D50" i="204"/>
  <c r="C50" i="204"/>
  <c r="B50" i="204"/>
  <c r="A50" i="204"/>
  <c r="AD50" i="204" s="1"/>
  <c r="AG49" i="204"/>
  <c r="AE49" i="204"/>
  <c r="W49" i="204"/>
  <c r="H49" i="204"/>
  <c r="G49" i="204"/>
  <c r="E49" i="204"/>
  <c r="F49" i="204" s="1"/>
  <c r="D49" i="204"/>
  <c r="C49" i="204"/>
  <c r="B49" i="204"/>
  <c r="A49" i="204"/>
  <c r="W48" i="204"/>
  <c r="H48" i="204"/>
  <c r="G48" i="204"/>
  <c r="E48" i="204"/>
  <c r="F48" i="204" s="1"/>
  <c r="D48" i="204"/>
  <c r="C48" i="204"/>
  <c r="B48" i="204"/>
  <c r="A48" i="204"/>
  <c r="AJ47" i="204"/>
  <c r="W47" i="204"/>
  <c r="V47" i="204"/>
  <c r="U47" i="204"/>
  <c r="T47" i="204"/>
  <c r="S47" i="204"/>
  <c r="R47" i="204"/>
  <c r="Q47" i="204"/>
  <c r="P47" i="204"/>
  <c r="O47" i="204"/>
  <c r="N47" i="204"/>
  <c r="M47" i="204"/>
  <c r="L47" i="204"/>
  <c r="K47" i="204"/>
  <c r="H47" i="204"/>
  <c r="G47" i="204"/>
  <c r="E47" i="204"/>
  <c r="F47" i="204" s="1"/>
  <c r="D47" i="204"/>
  <c r="B47" i="204"/>
  <c r="A47" i="204"/>
  <c r="AI47" i="204" s="1"/>
  <c r="AJ46" i="204"/>
  <c r="AI46" i="204"/>
  <c r="AA46" i="204"/>
  <c r="H46" i="204"/>
  <c r="E46" i="204"/>
  <c r="A46" i="204"/>
  <c r="AH46" i="204" s="1"/>
  <c r="H45" i="204"/>
  <c r="E45" i="204"/>
  <c r="A45" i="204"/>
  <c r="Y45" i="204" s="1"/>
  <c r="H44" i="204"/>
  <c r="E44" i="204"/>
  <c r="A44" i="204"/>
  <c r="AH44" i="204" s="1"/>
  <c r="C43" i="204"/>
  <c r="B43" i="204"/>
  <c r="A43" i="204"/>
  <c r="H42" i="204"/>
  <c r="E42" i="204"/>
  <c r="C42" i="204"/>
  <c r="B42" i="204"/>
  <c r="A42" i="204"/>
  <c r="W41" i="204"/>
  <c r="H41" i="204"/>
  <c r="G41" i="204"/>
  <c r="E41" i="204"/>
  <c r="F41" i="204" s="1"/>
  <c r="D41" i="204"/>
  <c r="A41" i="204"/>
  <c r="AB41" i="204" s="1"/>
  <c r="W40" i="204"/>
  <c r="H40" i="204"/>
  <c r="G40" i="204"/>
  <c r="E40" i="204"/>
  <c r="F40" i="204" s="1"/>
  <c r="D40" i="204"/>
  <c r="A40" i="204"/>
  <c r="AD40" i="204" s="1"/>
  <c r="AJ39" i="204"/>
  <c r="AI39" i="204"/>
  <c r="W39" i="204"/>
  <c r="H39" i="204"/>
  <c r="G39" i="204"/>
  <c r="E39" i="204"/>
  <c r="F39" i="204" s="1"/>
  <c r="D39" i="204"/>
  <c r="A39" i="204"/>
  <c r="W38" i="204"/>
  <c r="V38" i="204"/>
  <c r="U38" i="204"/>
  <c r="T38" i="204"/>
  <c r="S38" i="204"/>
  <c r="R38" i="204"/>
  <c r="Q38" i="204"/>
  <c r="P38" i="204"/>
  <c r="O38" i="204"/>
  <c r="N38" i="204"/>
  <c r="M38" i="204"/>
  <c r="L38" i="204"/>
  <c r="K38" i="204"/>
  <c r="H38" i="204"/>
  <c r="G38" i="204"/>
  <c r="E38" i="204"/>
  <c r="F38" i="204" s="1"/>
  <c r="D38" i="204"/>
  <c r="A38" i="204"/>
  <c r="AJ38" i="204" s="1"/>
  <c r="AI37" i="204"/>
  <c r="AF37" i="204"/>
  <c r="U37" i="204"/>
  <c r="T37" i="204"/>
  <c r="S37" i="204"/>
  <c r="R37" i="204"/>
  <c r="Q37" i="204"/>
  <c r="H37" i="204"/>
  <c r="E37" i="204"/>
  <c r="A37" i="204"/>
  <c r="AC37" i="204" s="1"/>
  <c r="AF36" i="204"/>
  <c r="AD36" i="204"/>
  <c r="AC36" i="204"/>
  <c r="AB36" i="204"/>
  <c r="Y36" i="204"/>
  <c r="W36" i="204"/>
  <c r="H36" i="204"/>
  <c r="G36" i="204"/>
  <c r="E36" i="204"/>
  <c r="F36" i="204" s="1"/>
  <c r="D36" i="204"/>
  <c r="A36" i="204"/>
  <c r="AJ36" i="204" s="1"/>
  <c r="AD35" i="204"/>
  <c r="AC35" i="204"/>
  <c r="H35" i="204"/>
  <c r="E35" i="204"/>
  <c r="A35" i="204"/>
  <c r="AA35" i="204" s="1"/>
  <c r="W34" i="204"/>
  <c r="H34" i="204"/>
  <c r="G34" i="204"/>
  <c r="E34" i="204"/>
  <c r="F34" i="204" s="1"/>
  <c r="D34" i="204"/>
  <c r="A34" i="204"/>
  <c r="AG34" i="204" s="1"/>
  <c r="AH33" i="204"/>
  <c r="H33" i="204"/>
  <c r="E33" i="204"/>
  <c r="A33" i="204"/>
  <c r="AJ33" i="204" s="1"/>
  <c r="AE32" i="204"/>
  <c r="AD32" i="204"/>
  <c r="AC32" i="204"/>
  <c r="H32" i="204"/>
  <c r="G32" i="204"/>
  <c r="E32" i="204"/>
  <c r="D32" i="204"/>
  <c r="A32" i="204"/>
  <c r="H31" i="204"/>
  <c r="E31" i="204"/>
  <c r="A31" i="204"/>
  <c r="AD31" i="204" s="1"/>
  <c r="AG30" i="204"/>
  <c r="AE30" i="204"/>
  <c r="AD30" i="204"/>
  <c r="W30" i="204"/>
  <c r="H30" i="204"/>
  <c r="G30" i="204"/>
  <c r="E30" i="204"/>
  <c r="F30" i="204" s="1"/>
  <c r="D30" i="204"/>
  <c r="A30" i="204"/>
  <c r="AF30" i="204" s="1"/>
  <c r="AE29" i="204"/>
  <c r="AC29" i="204"/>
  <c r="AA29" i="204"/>
  <c r="Y29" i="204"/>
  <c r="W29" i="204"/>
  <c r="H29" i="204"/>
  <c r="G29" i="204"/>
  <c r="E29" i="204"/>
  <c r="F29" i="204" s="1"/>
  <c r="D29" i="204"/>
  <c r="A29" i="204"/>
  <c r="Z29" i="204" s="1"/>
  <c r="W28" i="204"/>
  <c r="H28" i="204"/>
  <c r="G28" i="204"/>
  <c r="E28" i="204"/>
  <c r="F28" i="204" s="1"/>
  <c r="D28" i="204"/>
  <c r="A28" i="204"/>
  <c r="AE28" i="204" s="1"/>
  <c r="W27" i="204"/>
  <c r="H27" i="204"/>
  <c r="G27" i="204"/>
  <c r="E27" i="204"/>
  <c r="F27" i="204" s="1"/>
  <c r="D27" i="204"/>
  <c r="A27" i="204"/>
  <c r="AJ27" i="204" s="1"/>
  <c r="W26" i="204"/>
  <c r="H26" i="204"/>
  <c r="G26" i="204"/>
  <c r="E26" i="204"/>
  <c r="F26" i="204" s="1"/>
  <c r="D26" i="204"/>
  <c r="A26" i="204"/>
  <c r="AE26" i="204" s="1"/>
  <c r="AI25" i="204"/>
  <c r="AH25" i="204"/>
  <c r="AE25" i="204"/>
  <c r="AC25" i="204"/>
  <c r="AB25" i="204"/>
  <c r="AA25" i="204"/>
  <c r="W25" i="204"/>
  <c r="H25" i="204"/>
  <c r="G25" i="204"/>
  <c r="E25" i="204"/>
  <c r="F25" i="204" s="1"/>
  <c r="D25" i="204"/>
  <c r="A25" i="204"/>
  <c r="AG24" i="204"/>
  <c r="AF24" i="204"/>
  <c r="AE24" i="204"/>
  <c r="AD24" i="204"/>
  <c r="AC24" i="204"/>
  <c r="AB24" i="204"/>
  <c r="H24" i="204"/>
  <c r="E24" i="204"/>
  <c r="A24" i="204"/>
  <c r="AE23" i="204"/>
  <c r="AD23" i="204"/>
  <c r="H23" i="204"/>
  <c r="E23" i="204"/>
  <c r="A23" i="204"/>
  <c r="AH23" i="204" s="1"/>
  <c r="B22" i="204"/>
  <c r="A22" i="204"/>
  <c r="C21" i="204"/>
  <c r="B21" i="204"/>
  <c r="A21" i="204"/>
  <c r="C20" i="204"/>
  <c r="B20" i="204"/>
  <c r="A20" i="204"/>
  <c r="V19" i="204"/>
  <c r="U19" i="204"/>
  <c r="T19" i="204"/>
  <c r="S19" i="204"/>
  <c r="R19" i="204"/>
  <c r="Q19" i="204"/>
  <c r="P19" i="204"/>
  <c r="O19" i="204"/>
  <c r="N19" i="204"/>
  <c r="M19" i="204"/>
  <c r="L19" i="204"/>
  <c r="K19" i="204"/>
  <c r="H19" i="204"/>
  <c r="G19" i="204"/>
  <c r="E19" i="204"/>
  <c r="F19" i="204" s="1"/>
  <c r="D19" i="204"/>
  <c r="C19" i="204"/>
  <c r="B19" i="204"/>
  <c r="A19" i="204"/>
  <c r="W18" i="204"/>
  <c r="H18" i="204"/>
  <c r="G18" i="204"/>
  <c r="E18" i="204"/>
  <c r="F18" i="204" s="1"/>
  <c r="D18" i="204"/>
  <c r="A18" i="204"/>
  <c r="W17" i="204"/>
  <c r="H17" i="204"/>
  <c r="G17" i="204"/>
  <c r="E17" i="204"/>
  <c r="F17" i="204" s="1"/>
  <c r="D17" i="204"/>
  <c r="B17" i="204"/>
  <c r="A17" i="204"/>
  <c r="W16" i="204"/>
  <c r="H16" i="204"/>
  <c r="G16" i="204"/>
  <c r="E16" i="204"/>
  <c r="F16" i="204" s="1"/>
  <c r="D16" i="204"/>
  <c r="A16" i="204"/>
  <c r="W15" i="204"/>
  <c r="H15" i="204"/>
  <c r="G15" i="204"/>
  <c r="E15" i="204"/>
  <c r="F15" i="204" s="1"/>
  <c r="D15" i="204"/>
  <c r="A15" i="204"/>
  <c r="W14" i="204"/>
  <c r="W19" i="204" s="1"/>
  <c r="H14" i="204"/>
  <c r="G14" i="204"/>
  <c r="E14" i="204"/>
  <c r="F14" i="204" s="1"/>
  <c r="D14" i="204"/>
  <c r="A14" i="204"/>
  <c r="C13" i="204"/>
  <c r="B13" i="204"/>
  <c r="A13" i="204"/>
  <c r="V12" i="204"/>
  <c r="U12" i="204"/>
  <c r="T12" i="204"/>
  <c r="S12" i="204"/>
  <c r="R12" i="204"/>
  <c r="Q12" i="204"/>
  <c r="P12" i="204"/>
  <c r="O12" i="204"/>
  <c r="N12" i="204"/>
  <c r="M12" i="204"/>
  <c r="L12" i="204"/>
  <c r="K12" i="204"/>
  <c r="H12" i="204"/>
  <c r="G12" i="204"/>
  <c r="E12" i="204"/>
  <c r="F12" i="204" s="1"/>
  <c r="D12" i="204"/>
  <c r="C12" i="204"/>
  <c r="B12" i="204"/>
  <c r="A12" i="204"/>
  <c r="W11" i="204"/>
  <c r="H11" i="204"/>
  <c r="G11" i="204"/>
  <c r="E11" i="204"/>
  <c r="F11" i="204" s="1"/>
  <c r="D11" i="204"/>
  <c r="C11" i="204"/>
  <c r="B11" i="204"/>
  <c r="A11" i="204"/>
  <c r="W10" i="204"/>
  <c r="H10" i="204"/>
  <c r="G10" i="204"/>
  <c r="E10" i="204"/>
  <c r="F10" i="204" s="1"/>
  <c r="D10" i="204"/>
  <c r="C10" i="204"/>
  <c r="B10" i="204"/>
  <c r="A10" i="204"/>
  <c r="W9" i="204"/>
  <c r="H9" i="204"/>
  <c r="G9" i="204"/>
  <c r="E9" i="204"/>
  <c r="F9" i="204" s="1"/>
  <c r="D9" i="204"/>
  <c r="B9" i="204"/>
  <c r="A9" i="204"/>
  <c r="W8" i="204"/>
  <c r="H8" i="204"/>
  <c r="G8" i="204"/>
  <c r="E8" i="204"/>
  <c r="F8" i="204" s="1"/>
  <c r="D8" i="204"/>
  <c r="B8" i="204"/>
  <c r="A8" i="204"/>
  <c r="B7" i="204"/>
  <c r="A7" i="204"/>
  <c r="C7" i="204" s="1"/>
  <c r="H6" i="204"/>
  <c r="G6" i="204"/>
  <c r="E6" i="204"/>
  <c r="D6" i="204"/>
  <c r="C205" i="206"/>
  <c r="B205" i="206"/>
  <c r="C204" i="206"/>
  <c r="C204" i="204" s="1"/>
  <c r="B204" i="206"/>
  <c r="C203" i="206"/>
  <c r="B203" i="206"/>
  <c r="B205" i="198" s="1"/>
  <c r="C198" i="206"/>
  <c r="B198" i="206"/>
  <c r="C197" i="206"/>
  <c r="C197" i="204" s="1"/>
  <c r="B197" i="206"/>
  <c r="B197" i="204" s="1"/>
  <c r="C196" i="206"/>
  <c r="B196" i="206"/>
  <c r="B198" i="198" s="1"/>
  <c r="C195" i="206"/>
  <c r="B195" i="206"/>
  <c r="B197" i="198" s="1"/>
  <c r="C194" i="206"/>
  <c r="B194" i="206"/>
  <c r="B196" i="198" s="1"/>
  <c r="C193" i="206"/>
  <c r="C193" i="218" s="1"/>
  <c r="B193" i="206"/>
  <c r="C192" i="206"/>
  <c r="C192" i="204" s="1"/>
  <c r="B192" i="206"/>
  <c r="B194" i="198" s="1"/>
  <c r="C191" i="206"/>
  <c r="C191" i="204" s="1"/>
  <c r="B191" i="206"/>
  <c r="B191" i="204" s="1"/>
  <c r="C190" i="206"/>
  <c r="B190" i="206"/>
  <c r="B192" i="198" s="1"/>
  <c r="C189" i="206"/>
  <c r="B189" i="206"/>
  <c r="B189" i="204" s="1"/>
  <c r="C188" i="206"/>
  <c r="B188" i="206"/>
  <c r="B190" i="198" s="1"/>
  <c r="C187" i="206"/>
  <c r="B187" i="206"/>
  <c r="B189" i="198" s="1"/>
  <c r="C182" i="206"/>
  <c r="C182" i="204" s="1"/>
  <c r="B182" i="206"/>
  <c r="B184" i="198" s="1"/>
  <c r="C181" i="206"/>
  <c r="C181" i="204" s="1"/>
  <c r="B181" i="206"/>
  <c r="B183" i="198" s="1"/>
  <c r="C180" i="206"/>
  <c r="C180" i="204" s="1"/>
  <c r="B180" i="206"/>
  <c r="B182" i="198" s="1"/>
  <c r="C179" i="206"/>
  <c r="B179" i="206"/>
  <c r="B179" i="204" s="1"/>
  <c r="C178" i="206"/>
  <c r="B178" i="206"/>
  <c r="C177" i="206"/>
  <c r="B177" i="206"/>
  <c r="C176" i="206"/>
  <c r="B176" i="206"/>
  <c r="C175" i="206"/>
  <c r="B175" i="206"/>
  <c r="B177" i="198" s="1"/>
  <c r="C174" i="206"/>
  <c r="B174" i="206"/>
  <c r="B176" i="198" s="1"/>
  <c r="C171" i="206"/>
  <c r="C171" i="204" s="1"/>
  <c r="B171" i="206"/>
  <c r="B171" i="204" s="1"/>
  <c r="B170" i="206"/>
  <c r="B170" i="204" s="1"/>
  <c r="C169" i="206"/>
  <c r="C169" i="204" s="1"/>
  <c r="B169" i="206"/>
  <c r="C168" i="206"/>
  <c r="B168" i="206"/>
  <c r="B170" i="198" s="1"/>
  <c r="C167" i="206"/>
  <c r="B167" i="206"/>
  <c r="C166" i="206"/>
  <c r="B166" i="206"/>
  <c r="C165" i="206"/>
  <c r="B165" i="206"/>
  <c r="C164" i="206"/>
  <c r="C164" i="204" s="1"/>
  <c r="B164" i="206"/>
  <c r="C163" i="206"/>
  <c r="C163" i="204" s="1"/>
  <c r="B163" i="206"/>
  <c r="B165" i="198" s="1"/>
  <c r="C162" i="206"/>
  <c r="B162" i="206"/>
  <c r="C161" i="206"/>
  <c r="B161" i="206"/>
  <c r="C160" i="206"/>
  <c r="B160" i="206"/>
  <c r="B162" i="198" s="1"/>
  <c r="C159" i="206"/>
  <c r="B159" i="206"/>
  <c r="B161" i="198" s="1"/>
  <c r="C158" i="206"/>
  <c r="B158" i="206"/>
  <c r="B160" i="198" s="1"/>
  <c r="C157" i="206"/>
  <c r="C157" i="204" s="1"/>
  <c r="B157" i="206"/>
  <c r="B159" i="198" s="1"/>
  <c r="C156" i="206"/>
  <c r="B156" i="206"/>
  <c r="C155" i="206"/>
  <c r="C155" i="204" s="1"/>
  <c r="C152" i="206"/>
  <c r="B152" i="206"/>
  <c r="C151" i="206"/>
  <c r="B151" i="206"/>
  <c r="C150" i="206"/>
  <c r="B150" i="206"/>
  <c r="B152" i="198" s="1"/>
  <c r="C149" i="206"/>
  <c r="C149" i="204" s="1"/>
  <c r="B149" i="206"/>
  <c r="C148" i="206"/>
  <c r="B148" i="206"/>
  <c r="B148" i="204" s="1"/>
  <c r="C147" i="206"/>
  <c r="C147" i="204" s="1"/>
  <c r="B147" i="206"/>
  <c r="B147" i="204" s="1"/>
  <c r="C146" i="206"/>
  <c r="B146" i="206"/>
  <c r="B146" i="204" s="1"/>
  <c r="C145" i="206"/>
  <c r="B145" i="206"/>
  <c r="B147" i="198" s="1"/>
  <c r="C144" i="206"/>
  <c r="B144" i="206"/>
  <c r="C143" i="206"/>
  <c r="B143" i="206"/>
  <c r="B145" i="198" s="1"/>
  <c r="C142" i="206"/>
  <c r="B142" i="206"/>
  <c r="C141" i="206"/>
  <c r="C141" i="204" s="1"/>
  <c r="B141" i="206"/>
  <c r="B141" i="204" s="1"/>
  <c r="C140" i="206"/>
  <c r="C140" i="204" s="1"/>
  <c r="B140" i="206"/>
  <c r="B142" i="198" s="1"/>
  <c r="C139" i="206"/>
  <c r="C139" i="218" s="1"/>
  <c r="B139" i="206"/>
  <c r="B139" i="204" s="1"/>
  <c r="C138" i="206"/>
  <c r="B138" i="206"/>
  <c r="B140" i="198" s="1"/>
  <c r="C137" i="206"/>
  <c r="B137" i="206"/>
  <c r="B139" i="198" s="1"/>
  <c r="B136" i="206"/>
  <c r="B138" i="198" s="1"/>
  <c r="C135" i="206"/>
  <c r="B135" i="206"/>
  <c r="B135" i="219" s="1"/>
  <c r="C134" i="206"/>
  <c r="B134" i="206"/>
  <c r="B134" i="204" s="1"/>
  <c r="C133" i="206"/>
  <c r="C133" i="204" s="1"/>
  <c r="B133" i="206"/>
  <c r="C132" i="206"/>
  <c r="C132" i="204" s="1"/>
  <c r="B132" i="206"/>
  <c r="B132" i="204" s="1"/>
  <c r="C131" i="206"/>
  <c r="B131" i="206"/>
  <c r="C130" i="206"/>
  <c r="B130" i="206"/>
  <c r="C129" i="206"/>
  <c r="B129" i="206"/>
  <c r="C128" i="206"/>
  <c r="C128" i="204" s="1"/>
  <c r="B128" i="206"/>
  <c r="C127" i="206"/>
  <c r="C126" i="206"/>
  <c r="C126" i="204" s="1"/>
  <c r="B126" i="206"/>
  <c r="B126" i="218" s="1"/>
  <c r="AK125" i="206"/>
  <c r="W125" i="206"/>
  <c r="H125" i="206"/>
  <c r="G125" i="206"/>
  <c r="E125" i="206"/>
  <c r="D125" i="206"/>
  <c r="A125" i="206"/>
  <c r="A125" i="204" s="1"/>
  <c r="AK124" i="206"/>
  <c r="W124" i="206"/>
  <c r="H124" i="206"/>
  <c r="G124" i="206"/>
  <c r="E124" i="206"/>
  <c r="D124" i="206"/>
  <c r="A124" i="206"/>
  <c r="A124" i="204" s="1"/>
  <c r="AA124" i="204" s="1"/>
  <c r="AK123" i="206"/>
  <c r="W123" i="206"/>
  <c r="H123" i="206"/>
  <c r="G123" i="206"/>
  <c r="E123" i="206"/>
  <c r="D123" i="206"/>
  <c r="A123" i="206"/>
  <c r="A123" i="204" s="1"/>
  <c r="C122" i="206"/>
  <c r="B122" i="206"/>
  <c r="B124" i="198" s="1"/>
  <c r="AK121" i="206"/>
  <c r="H121" i="206"/>
  <c r="E121" i="206"/>
  <c r="A121" i="206"/>
  <c r="AK120" i="206"/>
  <c r="H120" i="206"/>
  <c r="E120" i="206"/>
  <c r="A120" i="206"/>
  <c r="A120" i="204" s="1"/>
  <c r="AK119" i="206"/>
  <c r="H119" i="206"/>
  <c r="E119" i="206"/>
  <c r="A119" i="206"/>
  <c r="C118" i="206"/>
  <c r="B118" i="206"/>
  <c r="B118" i="204" s="1"/>
  <c r="C117" i="206"/>
  <c r="B117" i="206"/>
  <c r="B117" i="204" s="1"/>
  <c r="AK116" i="206"/>
  <c r="H116" i="206"/>
  <c r="E116" i="206"/>
  <c r="A116" i="206"/>
  <c r="A116" i="204" s="1"/>
  <c r="AD116" i="204" s="1"/>
  <c r="AK115" i="206"/>
  <c r="H115" i="206"/>
  <c r="E115" i="206"/>
  <c r="A115" i="206"/>
  <c r="AK114" i="206"/>
  <c r="H114" i="206"/>
  <c r="E114" i="206"/>
  <c r="A114" i="206"/>
  <c r="A114" i="204" s="1"/>
  <c r="Z114" i="204" s="1"/>
  <c r="C113" i="206"/>
  <c r="C113" i="204" s="1"/>
  <c r="B113" i="206"/>
  <c r="B113" i="219" s="1"/>
  <c r="AK112" i="206"/>
  <c r="H112" i="206"/>
  <c r="E112" i="206"/>
  <c r="A112" i="206"/>
  <c r="A112" i="218" s="1"/>
  <c r="AK111" i="206"/>
  <c r="H111" i="206"/>
  <c r="E111" i="206"/>
  <c r="A111" i="206"/>
  <c r="AK110" i="206"/>
  <c r="H110" i="206"/>
  <c r="E110" i="206"/>
  <c r="A110" i="206"/>
  <c r="A112" i="198" s="1"/>
  <c r="C109" i="206"/>
  <c r="B109" i="206"/>
  <c r="AK108" i="206"/>
  <c r="H108" i="206"/>
  <c r="E108" i="206"/>
  <c r="A108" i="206"/>
  <c r="A110" i="198" s="1"/>
  <c r="AK107" i="206"/>
  <c r="W107" i="206"/>
  <c r="H107" i="206"/>
  <c r="G107" i="206"/>
  <c r="E107" i="206"/>
  <c r="D107" i="206"/>
  <c r="A107" i="206"/>
  <c r="AK106" i="206"/>
  <c r="W106" i="206"/>
  <c r="H106" i="206"/>
  <c r="G106" i="206"/>
  <c r="E106" i="206"/>
  <c r="D106" i="206"/>
  <c r="A106" i="206"/>
  <c r="C105" i="206"/>
  <c r="C105" i="218" s="1"/>
  <c r="B105" i="206"/>
  <c r="B107" i="198" s="1"/>
  <c r="AK104" i="206"/>
  <c r="H104" i="206"/>
  <c r="G104" i="206"/>
  <c r="E104" i="206"/>
  <c r="D104" i="206"/>
  <c r="F104" i="206" s="1"/>
  <c r="A104" i="206"/>
  <c r="AK103" i="206"/>
  <c r="W103" i="206"/>
  <c r="H103" i="206"/>
  <c r="G103" i="206"/>
  <c r="E103" i="206"/>
  <c r="D103" i="206"/>
  <c r="A103" i="206"/>
  <c r="A105" i="198" s="1"/>
  <c r="AK102" i="206"/>
  <c r="W102" i="206"/>
  <c r="H102" i="206"/>
  <c r="G102" i="206"/>
  <c r="E102" i="206"/>
  <c r="D102" i="206"/>
  <c r="A102" i="206"/>
  <c r="A104" i="198" s="1"/>
  <c r="C101" i="206"/>
  <c r="C101" i="204" s="1"/>
  <c r="B101" i="206"/>
  <c r="AK100" i="206"/>
  <c r="H100" i="206"/>
  <c r="G100" i="206"/>
  <c r="E100" i="206"/>
  <c r="D100" i="206"/>
  <c r="A100" i="206"/>
  <c r="A100" i="218" s="1"/>
  <c r="AK99" i="206"/>
  <c r="W99" i="206"/>
  <c r="H99" i="206"/>
  <c r="G99" i="206"/>
  <c r="E99" i="206"/>
  <c r="D99" i="206"/>
  <c r="A99" i="206"/>
  <c r="A101" i="198" s="1"/>
  <c r="AK98" i="206"/>
  <c r="W98" i="206"/>
  <c r="H98" i="206"/>
  <c r="G98" i="206"/>
  <c r="E98" i="206"/>
  <c r="D98" i="206"/>
  <c r="A98" i="206"/>
  <c r="A100" i="198" s="1"/>
  <c r="C97" i="206"/>
  <c r="B97" i="206"/>
  <c r="AK96" i="206"/>
  <c r="W96" i="206"/>
  <c r="H96" i="206"/>
  <c r="G96" i="206"/>
  <c r="E96" i="206"/>
  <c r="D96" i="206"/>
  <c r="A96" i="206"/>
  <c r="A96" i="204" s="1"/>
  <c r="AK95" i="206"/>
  <c r="W95" i="206"/>
  <c r="H95" i="206"/>
  <c r="G95" i="206"/>
  <c r="E95" i="206"/>
  <c r="D95" i="206"/>
  <c r="A95" i="206"/>
  <c r="AK94" i="206"/>
  <c r="W94" i="206"/>
  <c r="H94" i="206"/>
  <c r="G94" i="206"/>
  <c r="E94" i="206"/>
  <c r="D94" i="206"/>
  <c r="A94" i="206"/>
  <c r="A96" i="198" s="1"/>
  <c r="C93" i="206"/>
  <c r="C93" i="204" s="1"/>
  <c r="B93" i="206"/>
  <c r="C92" i="206"/>
  <c r="C91" i="206"/>
  <c r="B91" i="206"/>
  <c r="B91" i="204" s="1"/>
  <c r="C90" i="206"/>
  <c r="C90" i="204" s="1"/>
  <c r="B90" i="206"/>
  <c r="C89" i="206"/>
  <c r="B89" i="206"/>
  <c r="C88" i="206"/>
  <c r="B88" i="206"/>
  <c r="B90" i="198" s="1"/>
  <c r="C87" i="206"/>
  <c r="B87" i="206"/>
  <c r="C86" i="206"/>
  <c r="C86" i="218" s="1"/>
  <c r="B86" i="206"/>
  <c r="B86" i="218" s="1"/>
  <c r="C85" i="206"/>
  <c r="C85" i="204" s="1"/>
  <c r="B85" i="206"/>
  <c r="B85" i="218" s="1"/>
  <c r="C84" i="206"/>
  <c r="B84" i="206"/>
  <c r="B84" i="218" s="1"/>
  <c r="C83" i="206"/>
  <c r="B83" i="206"/>
  <c r="C82" i="206"/>
  <c r="C82" i="204" s="1"/>
  <c r="B82" i="206"/>
  <c r="B82" i="204" s="1"/>
  <c r="C81" i="206"/>
  <c r="B81" i="206"/>
  <c r="B83" i="198" s="1"/>
  <c r="C80" i="206"/>
  <c r="B80" i="206"/>
  <c r="C79" i="206"/>
  <c r="C79" i="204" s="1"/>
  <c r="AK78" i="206"/>
  <c r="H78" i="206"/>
  <c r="E78" i="206"/>
  <c r="AK77" i="206"/>
  <c r="W77" i="206"/>
  <c r="H77" i="206"/>
  <c r="G77" i="206"/>
  <c r="E77" i="206"/>
  <c r="D77" i="206"/>
  <c r="AK76" i="206"/>
  <c r="H76" i="206"/>
  <c r="E76" i="206"/>
  <c r="C75" i="206"/>
  <c r="B75" i="206"/>
  <c r="B75" i="218" s="1"/>
  <c r="C74" i="206"/>
  <c r="C74" i="204" s="1"/>
  <c r="B74" i="206"/>
  <c r="B74" i="204" s="1"/>
  <c r="C73" i="206"/>
  <c r="B73" i="206"/>
  <c r="B73" i="204" s="1"/>
  <c r="C72" i="206"/>
  <c r="C72" i="218" s="1"/>
  <c r="B72" i="206"/>
  <c r="C71" i="206"/>
  <c r="B71" i="206"/>
  <c r="B71" i="204" s="1"/>
  <c r="C70" i="206"/>
  <c r="C70" i="204" s="1"/>
  <c r="B70" i="206"/>
  <c r="C69" i="206"/>
  <c r="B69" i="206"/>
  <c r="C68" i="206"/>
  <c r="B68" i="206"/>
  <c r="B68" i="204" s="1"/>
  <c r="C67" i="206"/>
  <c r="C67" i="204" s="1"/>
  <c r="B67" i="206"/>
  <c r="C66" i="206"/>
  <c r="C66" i="204" s="1"/>
  <c r="B66" i="206"/>
  <c r="B68" i="198" s="1"/>
  <c r="C65" i="206"/>
  <c r="C65" i="218" s="1"/>
  <c r="B65" i="206"/>
  <c r="B65" i="204" s="1"/>
  <c r="C64" i="206"/>
  <c r="B64" i="206"/>
  <c r="C63" i="206"/>
  <c r="B63" i="206"/>
  <c r="C62" i="206"/>
  <c r="B62" i="206"/>
  <c r="C61" i="206"/>
  <c r="B61" i="206"/>
  <c r="B61" i="204" s="1"/>
  <c r="C60" i="206"/>
  <c r="C60" i="204" s="1"/>
  <c r="B60" i="206"/>
  <c r="B60" i="218" s="1"/>
  <c r="C59" i="206"/>
  <c r="C59" i="218" s="1"/>
  <c r="B59" i="206"/>
  <c r="B61" i="198" s="1"/>
  <c r="C58" i="206"/>
  <c r="C58" i="204" s="1"/>
  <c r="B58" i="206"/>
  <c r="C57" i="206"/>
  <c r="B57" i="206"/>
  <c r="B57" i="204" s="1"/>
  <c r="C56" i="206"/>
  <c r="B56" i="206"/>
  <c r="C55" i="206"/>
  <c r="C55" i="204" s="1"/>
  <c r="B55" i="206"/>
  <c r="C54" i="206"/>
  <c r="B54" i="206"/>
  <c r="B54" i="204" s="1"/>
  <c r="C53" i="206"/>
  <c r="C53" i="204" s="1"/>
  <c r="B53" i="206"/>
  <c r="B53" i="218" s="1"/>
  <c r="C52" i="206"/>
  <c r="C52" i="218" s="1"/>
  <c r="B52" i="206"/>
  <c r="B52" i="204" s="1"/>
  <c r="C51" i="206"/>
  <c r="B51" i="206"/>
  <c r="B51" i="204" s="1"/>
  <c r="AK50" i="206"/>
  <c r="H50" i="206"/>
  <c r="E50" i="206"/>
  <c r="AK49" i="206"/>
  <c r="H49" i="206"/>
  <c r="E49" i="206"/>
  <c r="AK48" i="206"/>
  <c r="H48" i="206"/>
  <c r="E48" i="206"/>
  <c r="C47" i="206"/>
  <c r="B47" i="206"/>
  <c r="B47" i="218" s="1"/>
  <c r="C46" i="206"/>
  <c r="C46" i="204" s="1"/>
  <c r="B46" i="206"/>
  <c r="B46" i="218" s="1"/>
  <c r="C45" i="206"/>
  <c r="B45" i="206"/>
  <c r="B47" i="198" s="1"/>
  <c r="C44" i="206"/>
  <c r="B44" i="206"/>
  <c r="B46" i="198" s="1"/>
  <c r="C41" i="206"/>
  <c r="B41" i="206"/>
  <c r="C40" i="206"/>
  <c r="C40" i="204" s="1"/>
  <c r="B40" i="206"/>
  <c r="B42" i="198" s="1"/>
  <c r="C39" i="206"/>
  <c r="C39" i="218" s="1"/>
  <c r="B39" i="206"/>
  <c r="B41" i="198" s="1"/>
  <c r="C38" i="206"/>
  <c r="C38" i="218" s="1"/>
  <c r="B38" i="206"/>
  <c r="C37" i="206"/>
  <c r="C37" i="204" s="1"/>
  <c r="B37" i="206"/>
  <c r="B37" i="218" s="1"/>
  <c r="C36" i="206"/>
  <c r="B36" i="206"/>
  <c r="B38" i="198" s="1"/>
  <c r="C35" i="206"/>
  <c r="B35" i="206"/>
  <c r="B37" i="198" s="1"/>
  <c r="C34" i="206"/>
  <c r="C34" i="204" s="1"/>
  <c r="B34" i="206"/>
  <c r="B36" i="198" s="1"/>
  <c r="C33" i="206"/>
  <c r="B33" i="206"/>
  <c r="C32" i="206"/>
  <c r="C32" i="218" s="1"/>
  <c r="B32" i="206"/>
  <c r="B32" i="218" s="1"/>
  <c r="C31" i="206"/>
  <c r="C31" i="204" s="1"/>
  <c r="B31" i="206"/>
  <c r="B31" i="204" s="1"/>
  <c r="C30" i="206"/>
  <c r="C30" i="204" s="1"/>
  <c r="B30" i="206"/>
  <c r="B32" i="198" s="1"/>
  <c r="C29" i="206"/>
  <c r="B29" i="206"/>
  <c r="C28" i="206"/>
  <c r="B28" i="206"/>
  <c r="C27" i="206"/>
  <c r="B27" i="206"/>
  <c r="C26" i="206"/>
  <c r="C26" i="204" s="1"/>
  <c r="B26" i="206"/>
  <c r="B28" i="198" s="1"/>
  <c r="C25" i="206"/>
  <c r="C25" i="218" s="1"/>
  <c r="B25" i="206"/>
  <c r="B27" i="198" s="1"/>
  <c r="C24" i="206"/>
  <c r="C24" i="218" s="1"/>
  <c r="B24" i="206"/>
  <c r="B26" i="198" s="1"/>
  <c r="C23" i="206"/>
  <c r="B23" i="206"/>
  <c r="C22" i="206"/>
  <c r="C18" i="206"/>
  <c r="C18" i="204" s="1"/>
  <c r="B18" i="206"/>
  <c r="B18" i="204" s="1"/>
  <c r="C17" i="206"/>
  <c r="B17" i="206"/>
  <c r="C16" i="206"/>
  <c r="B16" i="206"/>
  <c r="B16" i="219" s="1"/>
  <c r="C15" i="206"/>
  <c r="B15" i="206"/>
  <c r="B17" i="198" s="1"/>
  <c r="C14" i="206"/>
  <c r="C14" i="204" s="1"/>
  <c r="B14" i="206"/>
  <c r="AK11" i="206"/>
  <c r="H11" i="206"/>
  <c r="E11" i="206"/>
  <c r="AK10" i="206"/>
  <c r="H10" i="206"/>
  <c r="E10" i="206"/>
  <c r="C9" i="206"/>
  <c r="C8" i="206"/>
  <c r="C7" i="206"/>
  <c r="H6" i="206"/>
  <c r="G6" i="206"/>
  <c r="E6" i="206"/>
  <c r="D6" i="206"/>
  <c r="A215" i="198"/>
  <c r="A214" i="198"/>
  <c r="A213" i="198"/>
  <c r="A212" i="198"/>
  <c r="A211" i="198"/>
  <c r="A210" i="198"/>
  <c r="B209" i="198"/>
  <c r="A209" i="198"/>
  <c r="B208" i="198"/>
  <c r="X208" i="198" s="1"/>
  <c r="A208" i="198"/>
  <c r="A207" i="198"/>
  <c r="A206" i="198"/>
  <c r="A205" i="198"/>
  <c r="B204" i="198"/>
  <c r="C204" i="198" s="1"/>
  <c r="A204" i="198"/>
  <c r="B203" i="198"/>
  <c r="A203" i="198"/>
  <c r="BB202" i="198"/>
  <c r="BA202" i="198"/>
  <c r="AW202" i="198"/>
  <c r="AV202" i="198"/>
  <c r="B202" i="198"/>
  <c r="AC202" i="198" s="1"/>
  <c r="A202" i="198"/>
  <c r="B201" i="198"/>
  <c r="A201" i="198"/>
  <c r="A200" i="198"/>
  <c r="A199" i="198"/>
  <c r="A198" i="198"/>
  <c r="A197" i="198"/>
  <c r="A196" i="198"/>
  <c r="A195" i="198"/>
  <c r="A194" i="198"/>
  <c r="A193" i="198"/>
  <c r="A192" i="198"/>
  <c r="A191" i="198"/>
  <c r="A190" i="198"/>
  <c r="A189" i="198"/>
  <c r="B188" i="198"/>
  <c r="A188" i="198"/>
  <c r="B187" i="198"/>
  <c r="A187" i="198"/>
  <c r="B186" i="198"/>
  <c r="BA186" i="198" s="1"/>
  <c r="A186" i="198"/>
  <c r="B185" i="198"/>
  <c r="A185" i="198"/>
  <c r="A184" i="198"/>
  <c r="A183" i="198"/>
  <c r="A182" i="198"/>
  <c r="A181" i="198"/>
  <c r="A180" i="198"/>
  <c r="A179" i="198"/>
  <c r="A178" i="198"/>
  <c r="A177" i="198"/>
  <c r="A176" i="198"/>
  <c r="B175" i="198"/>
  <c r="BG175" i="198" s="1"/>
  <c r="A175" i="198"/>
  <c r="B174" i="198"/>
  <c r="A174" i="198"/>
  <c r="A173" i="198"/>
  <c r="A172" i="198"/>
  <c r="A171" i="198"/>
  <c r="A170" i="198"/>
  <c r="A169" i="198"/>
  <c r="B168" i="198"/>
  <c r="A168" i="198"/>
  <c r="B167" i="198"/>
  <c r="A167" i="198"/>
  <c r="B166" i="198"/>
  <c r="A166" i="198"/>
  <c r="A165" i="198"/>
  <c r="A164" i="198"/>
  <c r="B163" i="198"/>
  <c r="A163" i="198"/>
  <c r="A162" i="198"/>
  <c r="A161" i="198"/>
  <c r="A160" i="198"/>
  <c r="A159" i="198"/>
  <c r="B158" i="198"/>
  <c r="A158" i="198"/>
  <c r="B157" i="198"/>
  <c r="A157" i="198"/>
  <c r="BF156" i="198"/>
  <c r="B156" i="198"/>
  <c r="AB156" i="198" s="1"/>
  <c r="A156" i="198"/>
  <c r="B155" i="198"/>
  <c r="A155" i="198"/>
  <c r="B154" i="198"/>
  <c r="A154" i="198"/>
  <c r="A153" i="198"/>
  <c r="A152" i="198"/>
  <c r="A151" i="198"/>
  <c r="A150" i="198"/>
  <c r="A149" i="198"/>
  <c r="A148" i="198"/>
  <c r="A147" i="198"/>
  <c r="A146" i="198"/>
  <c r="A145" i="198"/>
  <c r="A144" i="198"/>
  <c r="A143" i="198"/>
  <c r="A142" i="198"/>
  <c r="A141" i="198"/>
  <c r="A140" i="198"/>
  <c r="A139" i="198"/>
  <c r="A138" i="198"/>
  <c r="A137" i="198"/>
  <c r="A136" i="198"/>
  <c r="B135" i="198"/>
  <c r="A135" i="198"/>
  <c r="B134" i="198"/>
  <c r="A134" i="198"/>
  <c r="A133" i="198"/>
  <c r="B132" i="198"/>
  <c r="A132" i="198"/>
  <c r="B131" i="198"/>
  <c r="A131" i="198"/>
  <c r="A130" i="198"/>
  <c r="B129" i="198"/>
  <c r="A129" i="198"/>
  <c r="A128" i="198"/>
  <c r="B127" i="198"/>
  <c r="B126" i="198"/>
  <c r="B125" i="198"/>
  <c r="A125" i="198"/>
  <c r="A124" i="198"/>
  <c r="B123" i="198"/>
  <c r="B122" i="198"/>
  <c r="B121" i="198"/>
  <c r="A120" i="198"/>
  <c r="A119" i="198"/>
  <c r="B118" i="198"/>
  <c r="B117" i="198"/>
  <c r="B116" i="198"/>
  <c r="B115" i="198"/>
  <c r="A115" i="198"/>
  <c r="B114" i="198"/>
  <c r="A114" i="198"/>
  <c r="B113" i="198"/>
  <c r="B112" i="198"/>
  <c r="A111" i="198"/>
  <c r="B110" i="198"/>
  <c r="B109" i="198"/>
  <c r="B108" i="198"/>
  <c r="A107" i="198"/>
  <c r="B106" i="198"/>
  <c r="B105" i="198"/>
  <c r="B104" i="198"/>
  <c r="A103" i="198"/>
  <c r="B102" i="198"/>
  <c r="A102" i="198"/>
  <c r="B101" i="198"/>
  <c r="B100" i="198"/>
  <c r="A99" i="198"/>
  <c r="B98" i="198"/>
  <c r="B97" i="198"/>
  <c r="B96" i="198"/>
  <c r="A95" i="198"/>
  <c r="B94" i="198"/>
  <c r="A94" i="198"/>
  <c r="A93" i="198"/>
  <c r="A92" i="198"/>
  <c r="B91" i="198"/>
  <c r="A91" i="198"/>
  <c r="A90" i="198"/>
  <c r="A89" i="198"/>
  <c r="A88" i="198"/>
  <c r="A87" i="198"/>
  <c r="A86" i="198"/>
  <c r="A85" i="198"/>
  <c r="A84" i="198"/>
  <c r="A83" i="198"/>
  <c r="A82" i="198"/>
  <c r="B81" i="198"/>
  <c r="A81" i="198"/>
  <c r="B80" i="198"/>
  <c r="A80" i="198"/>
  <c r="B79" i="198"/>
  <c r="A79" i="198"/>
  <c r="B78" i="198"/>
  <c r="A78" i="198"/>
  <c r="A77" i="198"/>
  <c r="A76" i="198"/>
  <c r="A75" i="198"/>
  <c r="A74" i="198"/>
  <c r="A73" i="198"/>
  <c r="A72" i="198"/>
  <c r="A71" i="198"/>
  <c r="A70" i="198"/>
  <c r="A69" i="198"/>
  <c r="A68" i="198"/>
  <c r="A67" i="198"/>
  <c r="A66" i="198"/>
  <c r="A65" i="198"/>
  <c r="A64" i="198"/>
  <c r="A63" i="198"/>
  <c r="A62" i="198"/>
  <c r="A61" i="198"/>
  <c r="A60" i="198"/>
  <c r="A59" i="198"/>
  <c r="A58" i="198"/>
  <c r="A57" i="198"/>
  <c r="A56" i="198"/>
  <c r="A55" i="198"/>
  <c r="A54" i="198"/>
  <c r="A53" i="198"/>
  <c r="B52" i="198"/>
  <c r="A52" i="198"/>
  <c r="B51" i="198"/>
  <c r="A51" i="198"/>
  <c r="B50" i="198"/>
  <c r="A50" i="198"/>
  <c r="A49" i="198"/>
  <c r="B48" i="198"/>
  <c r="A48" i="198"/>
  <c r="A47" i="198"/>
  <c r="A46" i="198"/>
  <c r="B45" i="198"/>
  <c r="AL45" i="198" s="1"/>
  <c r="A45" i="198"/>
  <c r="B44" i="198"/>
  <c r="A44" i="198"/>
  <c r="A43" i="198"/>
  <c r="A42" i="198"/>
  <c r="A41" i="198"/>
  <c r="A40" i="198"/>
  <c r="A39" i="198"/>
  <c r="A38" i="198"/>
  <c r="A37" i="198"/>
  <c r="A36" i="198"/>
  <c r="A35" i="198"/>
  <c r="A34" i="198"/>
  <c r="A33" i="198"/>
  <c r="A32" i="198"/>
  <c r="A31" i="198"/>
  <c r="B30" i="198"/>
  <c r="A30" i="198"/>
  <c r="B29" i="198"/>
  <c r="A29" i="198"/>
  <c r="A28" i="198"/>
  <c r="A27" i="198"/>
  <c r="A26" i="198"/>
  <c r="A25" i="198"/>
  <c r="B24" i="198"/>
  <c r="A24" i="198"/>
  <c r="AW23" i="198"/>
  <c r="B23" i="198"/>
  <c r="AR23" i="198" s="1"/>
  <c r="A23" i="198"/>
  <c r="B22" i="198"/>
  <c r="AW22" i="198" s="1"/>
  <c r="A22" i="198"/>
  <c r="B21" i="198"/>
  <c r="A21" i="198"/>
  <c r="A20" i="198"/>
  <c r="A19" i="198"/>
  <c r="B18" i="198"/>
  <c r="A18" i="198"/>
  <c r="A17" i="198"/>
  <c r="B16" i="198"/>
  <c r="A16" i="198"/>
  <c r="B15" i="198"/>
  <c r="AC15" i="198" s="1"/>
  <c r="A15" i="198"/>
  <c r="B14" i="198"/>
  <c r="BG14" i="198" s="1"/>
  <c r="A14" i="198"/>
  <c r="B13" i="198"/>
  <c r="AC13" i="198" s="1"/>
  <c r="A13" i="198"/>
  <c r="B12" i="198"/>
  <c r="AQ12" i="198" s="1"/>
  <c r="A12" i="198"/>
  <c r="B11" i="198"/>
  <c r="BA11" i="198" s="1"/>
  <c r="A11" i="198"/>
  <c r="BF10" i="198"/>
  <c r="B10" i="198"/>
  <c r="BB10" i="198" s="1"/>
  <c r="A10" i="198"/>
  <c r="B9" i="198"/>
  <c r="C9" i="198" s="1"/>
  <c r="A9" i="198"/>
  <c r="BH8" i="198"/>
  <c r="BG8" i="198"/>
  <c r="BF8" i="198"/>
  <c r="BC8" i="198"/>
  <c r="BB8" i="198"/>
  <c r="BA8" i="198"/>
  <c r="AX8" i="198"/>
  <c r="AW8" i="198"/>
  <c r="AV8" i="198"/>
  <c r="AS8" i="198"/>
  <c r="AR8" i="198"/>
  <c r="AQ8" i="198"/>
  <c r="AN8" i="198"/>
  <c r="AM8" i="198"/>
  <c r="AL8" i="198"/>
  <c r="AI8" i="198"/>
  <c r="AH8" i="198"/>
  <c r="AG8" i="198"/>
  <c r="AD8" i="198"/>
  <c r="AC8" i="198"/>
  <c r="AB8" i="198"/>
  <c r="Y8" i="198"/>
  <c r="X8" i="198"/>
  <c r="W8" i="198"/>
  <c r="T8" i="198"/>
  <c r="S8" i="198"/>
  <c r="R8" i="198"/>
  <c r="P8" i="198"/>
  <c r="O8" i="198"/>
  <c r="N8" i="198"/>
  <c r="M8" i="198"/>
  <c r="K8" i="198"/>
  <c r="J8" i="198"/>
  <c r="I8" i="198"/>
  <c r="H8" i="198"/>
  <c r="F8" i="198"/>
  <c r="E8" i="198"/>
  <c r="D8" i="198"/>
  <c r="C8" i="198"/>
  <c r="AG2" i="198"/>
  <c r="O60" i="241"/>
  <c r="Q58" i="241"/>
  <c r="P58" i="241"/>
  <c r="O58" i="241"/>
  <c r="N58" i="241"/>
  <c r="M58" i="241"/>
  <c r="L58" i="241"/>
  <c r="K58" i="241"/>
  <c r="J58" i="241"/>
  <c r="I58" i="241"/>
  <c r="H58" i="241"/>
  <c r="G58" i="241"/>
  <c r="F58" i="241"/>
  <c r="Q57" i="241"/>
  <c r="P57" i="241"/>
  <c r="O57" i="241"/>
  <c r="N57" i="241"/>
  <c r="M57" i="241"/>
  <c r="L57" i="241"/>
  <c r="K57" i="241"/>
  <c r="J57" i="241"/>
  <c r="I57" i="241"/>
  <c r="H57" i="241"/>
  <c r="G57" i="241"/>
  <c r="F57" i="241"/>
  <c r="Q56" i="241"/>
  <c r="P56" i="241"/>
  <c r="O56" i="241"/>
  <c r="N56" i="241"/>
  <c r="M56" i="241"/>
  <c r="L56" i="241"/>
  <c r="K56" i="241"/>
  <c r="J56" i="241"/>
  <c r="I56" i="241"/>
  <c r="H56" i="241"/>
  <c r="G56" i="241"/>
  <c r="F56" i="241"/>
  <c r="Q54" i="241"/>
  <c r="P54" i="241"/>
  <c r="O54" i="241"/>
  <c r="N54" i="241"/>
  <c r="M54" i="241"/>
  <c r="L54" i="241"/>
  <c r="K54" i="241"/>
  <c r="J54" i="241"/>
  <c r="I54" i="241"/>
  <c r="H54" i="241"/>
  <c r="G54" i="241"/>
  <c r="F54" i="241"/>
  <c r="Q52" i="241"/>
  <c r="P52" i="241"/>
  <c r="O52" i="241"/>
  <c r="N52" i="241"/>
  <c r="M52" i="241"/>
  <c r="L52" i="241"/>
  <c r="K52" i="241"/>
  <c r="J52" i="241"/>
  <c r="I52" i="241"/>
  <c r="H52" i="241"/>
  <c r="G52" i="241"/>
  <c r="F52" i="241"/>
  <c r="F48" i="241"/>
  <c r="Q47" i="241"/>
  <c r="F47" i="241"/>
  <c r="J46" i="241"/>
  <c r="Q42" i="241"/>
  <c r="P42" i="241"/>
  <c r="O42" i="241"/>
  <c r="N42" i="241"/>
  <c r="M42" i="241"/>
  <c r="L42" i="241"/>
  <c r="K42" i="241"/>
  <c r="J42" i="241"/>
  <c r="I42" i="241"/>
  <c r="H42" i="241"/>
  <c r="G42" i="241"/>
  <c r="F42" i="241"/>
  <c r="K40" i="241"/>
  <c r="J40" i="241"/>
  <c r="I40" i="241"/>
  <c r="M38" i="241"/>
  <c r="P36" i="241"/>
  <c r="N35" i="241"/>
  <c r="M35" i="241"/>
  <c r="L35" i="241"/>
  <c r="J33" i="241"/>
  <c r="Q28" i="241"/>
  <c r="P28" i="241"/>
  <c r="N28" i="241"/>
  <c r="M28" i="241"/>
  <c r="K28" i="241"/>
  <c r="J28" i="241"/>
  <c r="N27" i="241"/>
  <c r="M27" i="241"/>
  <c r="K27" i="241"/>
  <c r="J27" i="241"/>
  <c r="I27" i="241"/>
  <c r="Q26" i="241"/>
  <c r="P26" i="241"/>
  <c r="O26" i="241"/>
  <c r="N26" i="241"/>
  <c r="M26" i="241"/>
  <c r="L26" i="241"/>
  <c r="K26" i="241"/>
  <c r="J26" i="241"/>
  <c r="I26" i="241"/>
  <c r="H26" i="241"/>
  <c r="G26" i="241"/>
  <c r="F26" i="241"/>
  <c r="Q23" i="241"/>
  <c r="P23" i="241"/>
  <c r="O23" i="241"/>
  <c r="N23" i="241"/>
  <c r="M23" i="241"/>
  <c r="L23" i="241"/>
  <c r="K23" i="241"/>
  <c r="J23" i="241"/>
  <c r="I23" i="241"/>
  <c r="H23" i="241"/>
  <c r="G23" i="241"/>
  <c r="F23" i="241"/>
  <c r="Q15" i="241"/>
  <c r="P15" i="241"/>
  <c r="O15" i="241"/>
  <c r="N15" i="241"/>
  <c r="M15" i="241"/>
  <c r="L15" i="241"/>
  <c r="K15" i="241"/>
  <c r="J15" i="241"/>
  <c r="I15" i="241"/>
  <c r="H15" i="241"/>
  <c r="G15" i="241"/>
  <c r="F15" i="241"/>
  <c r="Q14" i="241"/>
  <c r="P14" i="241"/>
  <c r="O14" i="241"/>
  <c r="N14" i="241"/>
  <c r="M14" i="241"/>
  <c r="L14" i="241"/>
  <c r="K14" i="241"/>
  <c r="J14" i="241"/>
  <c r="I14" i="241"/>
  <c r="H14" i="241"/>
  <c r="G14" i="241"/>
  <c r="F14" i="241"/>
  <c r="Q13" i="241"/>
  <c r="P13" i="241"/>
  <c r="H10" i="241"/>
  <c r="G10" i="241"/>
  <c r="Q8" i="241"/>
  <c r="P8" i="241"/>
  <c r="Q6" i="241"/>
  <c r="P6" i="241"/>
  <c r="N6" i="241"/>
  <c r="M6" i="241"/>
  <c r="K6" i="241"/>
  <c r="J6" i="241"/>
  <c r="H6" i="241"/>
  <c r="G6" i="241"/>
  <c r="F6" i="241"/>
  <c r="D327" i="242"/>
  <c r="C327" i="242"/>
  <c r="D318" i="242"/>
  <c r="D334" i="242" s="1"/>
  <c r="D308" i="242"/>
  <c r="C308" i="242"/>
  <c r="C304" i="242"/>
  <c r="D299" i="242"/>
  <c r="D313" i="242" s="1"/>
  <c r="C315" i="242" s="1"/>
  <c r="C313" i="242"/>
  <c r="J294" i="242"/>
  <c r="K294" i="242" s="1"/>
  <c r="J293" i="242"/>
  <c r="K293" i="242" s="1"/>
  <c r="J292" i="242"/>
  <c r="K292" i="242" s="1"/>
  <c r="J291" i="242"/>
  <c r="K291" i="242" s="1"/>
  <c r="J290" i="242"/>
  <c r="K290" i="242" s="1"/>
  <c r="J289" i="242"/>
  <c r="K289" i="242" s="1"/>
  <c r="J288" i="242"/>
  <c r="K288" i="242" s="1"/>
  <c r="J287" i="242"/>
  <c r="K287" i="242" s="1"/>
  <c r="D287" i="242"/>
  <c r="C287" i="242"/>
  <c r="J286" i="242"/>
  <c r="K286" i="242" s="1"/>
  <c r="J284" i="242"/>
  <c r="K284" i="242" s="1"/>
  <c r="J283" i="242"/>
  <c r="K283" i="242" s="1"/>
  <c r="D278" i="242"/>
  <c r="D292" i="242" s="1"/>
  <c r="C278" i="242"/>
  <c r="C292" i="242" s="1"/>
  <c r="D274" i="242"/>
  <c r="D257" i="242"/>
  <c r="D272" i="242" s="1"/>
  <c r="C257" i="242"/>
  <c r="C272" i="242" s="1"/>
  <c r="E24" i="248" s="1"/>
  <c r="C253" i="242"/>
  <c r="D247" i="242"/>
  <c r="C242" i="242"/>
  <c r="D238" i="242"/>
  <c r="C238" i="242"/>
  <c r="D215" i="242"/>
  <c r="D234" i="242" s="1"/>
  <c r="D236" i="242" s="1"/>
  <c r="C215" i="242"/>
  <c r="C234" i="242" s="1"/>
  <c r="C236" i="242" s="1"/>
  <c r="C211" i="242"/>
  <c r="C213" i="242" s="1"/>
  <c r="E205" i="242"/>
  <c r="D198" i="242"/>
  <c r="D211" i="242" s="1"/>
  <c r="D213" i="242" s="1"/>
  <c r="C192" i="242"/>
  <c r="C189" i="242"/>
  <c r="E189" i="242" s="1"/>
  <c r="C188" i="242"/>
  <c r="E188" i="242" s="1"/>
  <c r="D182" i="242"/>
  <c r="D186" i="242" s="1"/>
  <c r="C176" i="242"/>
  <c r="E176" i="242" s="1"/>
  <c r="E168" i="242"/>
  <c r="F167" i="242"/>
  <c r="E167" i="242"/>
  <c r="E164" i="242"/>
  <c r="D157" i="242"/>
  <c r="D171" i="242" s="1"/>
  <c r="D172" i="242" s="1"/>
  <c r="C157" i="242"/>
  <c r="C171" i="242" s="1"/>
  <c r="C154" i="242"/>
  <c r="D149" i="242"/>
  <c r="C141" i="242"/>
  <c r="C143" i="242" s="1"/>
  <c r="E139" i="242"/>
  <c r="D132" i="242"/>
  <c r="C132" i="242"/>
  <c r="C128" i="242"/>
  <c r="D125" i="242"/>
  <c r="C125" i="242"/>
  <c r="D124" i="242"/>
  <c r="C124" i="242"/>
  <c r="C119" i="242"/>
  <c r="C114" i="242"/>
  <c r="C106" i="242"/>
  <c r="D105" i="242"/>
  <c r="C105" i="242"/>
  <c r="D104" i="242"/>
  <c r="C104" i="242"/>
  <c r="C101" i="242"/>
  <c r="D98" i="242"/>
  <c r="C98" i="242"/>
  <c r="D97" i="242"/>
  <c r="C97" i="242"/>
  <c r="C92" i="242"/>
  <c r="D78" i="242"/>
  <c r="D89" i="242" s="1"/>
  <c r="D91" i="242" s="1"/>
  <c r="D93" i="242" s="1"/>
  <c r="C78" i="242"/>
  <c r="C89" i="242" s="1"/>
  <c r="C91" i="242" s="1"/>
  <c r="C72" i="242"/>
  <c r="D72" i="242" s="1"/>
  <c r="C71" i="242"/>
  <c r="C67" i="242"/>
  <c r="D53" i="242"/>
  <c r="D69" i="242" s="1"/>
  <c r="C53" i="242"/>
  <c r="C69" i="242" s="1"/>
  <c r="D46" i="242"/>
  <c r="C45" i="242"/>
  <c r="C46" i="242" s="1"/>
  <c r="D41" i="242"/>
  <c r="D21" i="242"/>
  <c r="D20" i="242"/>
  <c r="C20" i="242"/>
  <c r="C37" i="242" s="1"/>
  <c r="D18" i="242"/>
  <c r="C18" i="242"/>
  <c r="D7" i="242"/>
  <c r="D9" i="242" s="1"/>
  <c r="C7" i="242"/>
  <c r="C9" i="242" s="1"/>
  <c r="D5" i="242"/>
  <c r="C5" i="242"/>
  <c r="E5" i="242" s="1"/>
  <c r="AK78" i="177"/>
  <c r="AH78" i="177"/>
  <c r="AD78" i="177"/>
  <c r="Y78" i="177"/>
  <c r="U78" i="177"/>
  <c r="S78" i="177"/>
  <c r="V11" i="218" s="1"/>
  <c r="V9" i="218" s="1"/>
  <c r="V12" i="218" s="1"/>
  <c r="R78" i="177"/>
  <c r="U11" i="218" s="1"/>
  <c r="U9" i="218" s="1"/>
  <c r="U12" i="218" s="1"/>
  <c r="P78" i="177"/>
  <c r="M13" i="235" s="1"/>
  <c r="M12" i="235" s="1"/>
  <c r="M78" i="177"/>
  <c r="K78" i="177"/>
  <c r="AK77" i="177"/>
  <c r="AJ77" i="177"/>
  <c r="AJ78" i="177" s="1"/>
  <c r="AH77" i="177"/>
  <c r="AG77" i="177"/>
  <c r="AG78" i="177" s="1"/>
  <c r="AE77" i="177"/>
  <c r="AE78" i="177" s="1"/>
  <c r="AD77" i="177"/>
  <c r="AB77" i="177"/>
  <c r="AB78" i="177" s="1"/>
  <c r="AA77" i="177"/>
  <c r="AA78" i="177" s="1"/>
  <c r="Y77" i="177"/>
  <c r="X77" i="177"/>
  <c r="X78" i="177" s="1"/>
  <c r="V77" i="177"/>
  <c r="V78" i="177" s="1"/>
  <c r="U77" i="177"/>
  <c r="S77" i="177"/>
  <c r="R77" i="177"/>
  <c r="P77" i="177"/>
  <c r="O77" i="177"/>
  <c r="O78" i="177" s="1"/>
  <c r="M77" i="177"/>
  <c r="AK76" i="177"/>
  <c r="AJ76" i="177"/>
  <c r="AH76" i="177"/>
  <c r="AG76" i="177"/>
  <c r="AE76" i="177"/>
  <c r="AD76" i="177"/>
  <c r="AB76" i="177"/>
  <c r="AA76" i="177"/>
  <c r="Y76" i="177"/>
  <c r="X76" i="177"/>
  <c r="V76" i="177"/>
  <c r="U76" i="177"/>
  <c r="S76" i="177"/>
  <c r="V11" i="220" s="1"/>
  <c r="V9" i="220" s="1"/>
  <c r="R76" i="177"/>
  <c r="U11" i="220" s="1"/>
  <c r="U9" i="220" s="1"/>
  <c r="P76" i="177"/>
  <c r="S11" i="220" s="1"/>
  <c r="S9" i="220" s="1"/>
  <c r="O76" i="177"/>
  <c r="R11" i="220" s="1"/>
  <c r="R9" i="220" s="1"/>
  <c r="M76" i="177"/>
  <c r="J13" i="231" s="1"/>
  <c r="K76" i="177"/>
  <c r="N11" i="220" s="1"/>
  <c r="N9" i="220" s="1"/>
  <c r="G72" i="177"/>
  <c r="F66" i="177"/>
  <c r="F65" i="177"/>
  <c r="G63" i="177"/>
  <c r="G62" i="177"/>
  <c r="AJ61" i="177"/>
  <c r="AI61" i="177"/>
  <c r="AH61" i="177"/>
  <c r="AG61" i="177"/>
  <c r="AF61" i="177"/>
  <c r="AB61" i="177"/>
  <c r="Y61" i="177"/>
  <c r="X61" i="177"/>
  <c r="V61" i="177"/>
  <c r="U61" i="177"/>
  <c r="T61" i="177"/>
  <c r="S61" i="177"/>
  <c r="R61" i="177"/>
  <c r="N61" i="177"/>
  <c r="K61" i="177"/>
  <c r="J61" i="177"/>
  <c r="H61" i="177"/>
  <c r="G61" i="177"/>
  <c r="G60" i="177"/>
  <c r="G54" i="177"/>
  <c r="G67" i="177" s="1"/>
  <c r="G53" i="177"/>
  <c r="G66" i="177" s="1"/>
  <c r="F53" i="177"/>
  <c r="F52" i="177"/>
  <c r="G51" i="177"/>
  <c r="AK48" i="177"/>
  <c r="AK61" i="177" s="1"/>
  <c r="AJ48" i="177"/>
  <c r="AI48" i="177"/>
  <c r="AH48" i="177"/>
  <c r="AG48" i="177"/>
  <c r="AF48" i="177"/>
  <c r="AE48" i="177"/>
  <c r="AE61" i="177" s="1"/>
  <c r="AD48" i="177"/>
  <c r="AD61" i="177" s="1"/>
  <c r="AC48" i="177"/>
  <c r="AC61" i="177" s="1"/>
  <c r="AB48" i="177"/>
  <c r="AA48" i="177"/>
  <c r="AA61" i="177" s="1"/>
  <c r="Z48" i="177"/>
  <c r="Z61" i="177" s="1"/>
  <c r="Y48" i="177"/>
  <c r="X48" i="177"/>
  <c r="W48" i="177"/>
  <c r="W61" i="177" s="1"/>
  <c r="V48" i="177"/>
  <c r="U48" i="177"/>
  <c r="T48" i="177"/>
  <c r="S48" i="177"/>
  <c r="R48" i="177"/>
  <c r="Q48" i="177"/>
  <c r="Q61" i="177" s="1"/>
  <c r="P48" i="177"/>
  <c r="P61" i="177" s="1"/>
  <c r="O48" i="177"/>
  <c r="O61" i="177" s="1"/>
  <c r="N48" i="177"/>
  <c r="M48" i="177"/>
  <c r="M61" i="177" s="1"/>
  <c r="L48" i="177"/>
  <c r="L61" i="177" s="1"/>
  <c r="K48" i="177"/>
  <c r="J48" i="177"/>
  <c r="I48" i="177"/>
  <c r="I61" i="177" s="1"/>
  <c r="H48" i="177"/>
  <c r="G45" i="177"/>
  <c r="F45" i="177"/>
  <c r="I45" i="177" s="1"/>
  <c r="I58" i="177" s="1"/>
  <c r="AK42" i="177"/>
  <c r="AJ42" i="177"/>
  <c r="AI42" i="177"/>
  <c r="AH42" i="177"/>
  <c r="AG42" i="177"/>
  <c r="AE42" i="177"/>
  <c r="AD42" i="177"/>
  <c r="AC42" i="177"/>
  <c r="AB42" i="177"/>
  <c r="AA42" i="177"/>
  <c r="Z42" i="177"/>
  <c r="Y42" i="177"/>
  <c r="X42" i="177"/>
  <c r="W42" i="177"/>
  <c r="V42" i="177"/>
  <c r="U42" i="177"/>
  <c r="S42" i="177"/>
  <c r="R42" i="177"/>
  <c r="Q42" i="177"/>
  <c r="P42" i="177"/>
  <c r="O42" i="177"/>
  <c r="N42" i="177"/>
  <c r="M42" i="177"/>
  <c r="L42" i="177"/>
  <c r="K42" i="177"/>
  <c r="J42" i="177"/>
  <c r="I42" i="177"/>
  <c r="H42" i="177"/>
  <c r="AK41" i="177"/>
  <c r="AJ41" i="177"/>
  <c r="AI41" i="177"/>
  <c r="AH41" i="177"/>
  <c r="AG41" i="177"/>
  <c r="AE41" i="177"/>
  <c r="AD41" i="177"/>
  <c r="AC41" i="177"/>
  <c r="AB41" i="177"/>
  <c r="AA41" i="177"/>
  <c r="Z41" i="177"/>
  <c r="Y41" i="177"/>
  <c r="X41" i="177"/>
  <c r="W41" i="177"/>
  <c r="V41" i="177"/>
  <c r="U41" i="177"/>
  <c r="S41" i="177"/>
  <c r="R41" i="177"/>
  <c r="Q41" i="177"/>
  <c r="P41" i="177"/>
  <c r="O41" i="177"/>
  <c r="N41" i="177"/>
  <c r="M41" i="177"/>
  <c r="L41" i="177"/>
  <c r="K41" i="177"/>
  <c r="J41" i="177"/>
  <c r="I41" i="177"/>
  <c r="H41" i="177"/>
  <c r="F37" i="177"/>
  <c r="E37" i="177"/>
  <c r="F36" i="177"/>
  <c r="G36" i="177" s="1"/>
  <c r="G41" i="177" s="1"/>
  <c r="E36" i="177"/>
  <c r="F35" i="177"/>
  <c r="G35" i="177" s="1"/>
  <c r="G33" i="177"/>
  <c r="F32" i="177"/>
  <c r="G31" i="177"/>
  <c r="F30" i="177"/>
  <c r="G29" i="177"/>
  <c r="F28" i="177"/>
  <c r="G27" i="177"/>
  <c r="F26" i="177"/>
  <c r="E21" i="177"/>
  <c r="G19" i="177"/>
  <c r="H16" i="177"/>
  <c r="G16" i="177"/>
  <c r="G17" i="177" s="1"/>
  <c r="H14" i="177"/>
  <c r="G14" i="177"/>
  <c r="AK13" i="177"/>
  <c r="AK16" i="177" s="1"/>
  <c r="AJ13" i="177"/>
  <c r="AJ16" i="177" s="1"/>
  <c r="AI13" i="177"/>
  <c r="AI16" i="177" s="1"/>
  <c r="AH13" i="177"/>
  <c r="AH16" i="177" s="1"/>
  <c r="AG13" i="177"/>
  <c r="AG16" i="177" s="1"/>
  <c r="AF13" i="177"/>
  <c r="AF16" i="177" s="1"/>
  <c r="AE13" i="177"/>
  <c r="AE16" i="177" s="1"/>
  <c r="AD13" i="177"/>
  <c r="AD16" i="177" s="1"/>
  <c r="AC13" i="177"/>
  <c r="AC16" i="177" s="1"/>
  <c r="AB13" i="177"/>
  <c r="AB16" i="177" s="1"/>
  <c r="AB20" i="177" s="1"/>
  <c r="AA13" i="177"/>
  <c r="AA16" i="177" s="1"/>
  <c r="Z13" i="177"/>
  <c r="Z16" i="177" s="1"/>
  <c r="Z20" i="177" s="1"/>
  <c r="Y13" i="177"/>
  <c r="Y16" i="177" s="1"/>
  <c r="X13" i="177"/>
  <c r="X16" i="177" s="1"/>
  <c r="W13" i="177"/>
  <c r="W16" i="177" s="1"/>
  <c r="V13" i="177"/>
  <c r="V16" i="177" s="1"/>
  <c r="U13" i="177"/>
  <c r="U16" i="177" s="1"/>
  <c r="T13" i="177"/>
  <c r="T16" i="177" s="1"/>
  <c r="R13" i="177"/>
  <c r="R16" i="177" s="1"/>
  <c r="Q13" i="177"/>
  <c r="Q16" i="177" s="1"/>
  <c r="O13" i="177"/>
  <c r="O16" i="177" s="1"/>
  <c r="N13" i="177"/>
  <c r="N16" i="177" s="1"/>
  <c r="L13" i="177"/>
  <c r="L16" i="177" s="1"/>
  <c r="K13" i="177"/>
  <c r="I13" i="177"/>
  <c r="I16" i="177" s="1"/>
  <c r="G11" i="177"/>
  <c r="H8" i="177"/>
  <c r="G8" i="177"/>
  <c r="S7" i="177"/>
  <c r="S10" i="177" s="1"/>
  <c r="P7" i="177"/>
  <c r="M7" i="177"/>
  <c r="J7" i="177"/>
  <c r="J10" i="177" s="1" a="1"/>
  <c r="J10" i="177" s="1"/>
  <c r="K10" i="177" s="1" a="1"/>
  <c r="K10" i="177" s="1"/>
  <c r="L10" i="177" s="1" a="1"/>
  <c r="L10" i="177" s="1"/>
  <c r="AK6" i="177"/>
  <c r="AJ6" i="177"/>
  <c r="AI6" i="177"/>
  <c r="AH6" i="177"/>
  <c r="AG6" i="177"/>
  <c r="AF6" i="177"/>
  <c r="AE6" i="177"/>
  <c r="AD6" i="177"/>
  <c r="AC6" i="177"/>
  <c r="AB6" i="177"/>
  <c r="AA6" i="177"/>
  <c r="Z6" i="177"/>
  <c r="Y6" i="177"/>
  <c r="X6" i="177"/>
  <c r="W6" i="177"/>
  <c r="V6" i="177"/>
  <c r="U6" i="177"/>
  <c r="T6" i="177"/>
  <c r="S6" i="177"/>
  <c r="R6" i="177"/>
  <c r="Q6" i="177"/>
  <c r="P6" i="177"/>
  <c r="O6" i="177"/>
  <c r="N6" i="177"/>
  <c r="M6" i="177"/>
  <c r="L6" i="177"/>
  <c r="K6" i="177"/>
  <c r="J6" i="177"/>
  <c r="I6" i="177"/>
  <c r="H6" i="177"/>
  <c r="D69" i="246"/>
  <c r="C69" i="246" s="1"/>
  <c r="D68" i="246"/>
  <c r="C68" i="246"/>
  <c r="D67" i="246"/>
  <c r="C67" i="246" s="1"/>
  <c r="D66" i="246"/>
  <c r="C66" i="246" s="1"/>
  <c r="C70" i="246" s="1"/>
  <c r="D65" i="246"/>
  <c r="C36" i="246"/>
  <c r="S29" i="246"/>
  <c r="R29" i="246"/>
  <c r="P29" i="246"/>
  <c r="M29" i="246"/>
  <c r="L29" i="246"/>
  <c r="Y28" i="246"/>
  <c r="X28" i="246"/>
  <c r="AA28" i="246" s="1"/>
  <c r="W28" i="246"/>
  <c r="U28" i="246" s="1"/>
  <c r="T28" i="246"/>
  <c r="O28" i="246"/>
  <c r="N28" i="246"/>
  <c r="K28" i="246"/>
  <c r="Z27" i="246"/>
  <c r="Y27" i="246"/>
  <c r="X27" i="246"/>
  <c r="AA27" i="246" s="1"/>
  <c r="T27" i="246"/>
  <c r="N27" i="246"/>
  <c r="K27" i="246"/>
  <c r="H27" i="246"/>
  <c r="F27" i="246"/>
  <c r="Q27" i="246" s="1"/>
  <c r="O27" i="246" s="1"/>
  <c r="Z26" i="246"/>
  <c r="Y26" i="246"/>
  <c r="X26" i="246"/>
  <c r="AA26" i="246" s="1"/>
  <c r="T26" i="246"/>
  <c r="N26" i="246"/>
  <c r="K26" i="246"/>
  <c r="H26" i="246"/>
  <c r="F26" i="246"/>
  <c r="Q26" i="246" s="1"/>
  <c r="O26" i="246" s="1"/>
  <c r="Z25" i="246"/>
  <c r="Y25" i="246"/>
  <c r="X25" i="246"/>
  <c r="AA25" i="246" s="1"/>
  <c r="T25" i="246"/>
  <c r="N25" i="246"/>
  <c r="K25" i="246"/>
  <c r="H25" i="246"/>
  <c r="F25" i="246"/>
  <c r="Q25" i="246" s="1"/>
  <c r="O25" i="246" s="1"/>
  <c r="Z24" i="246"/>
  <c r="Y24" i="246"/>
  <c r="X24" i="246"/>
  <c r="AA24" i="246" s="1"/>
  <c r="T24" i="246"/>
  <c r="N24" i="246"/>
  <c r="K24" i="246"/>
  <c r="H24" i="246"/>
  <c r="F24" i="246"/>
  <c r="Q24" i="246" s="1"/>
  <c r="O24" i="246" s="1"/>
  <c r="Y23" i="246"/>
  <c r="Y29" i="246" s="1"/>
  <c r="X23" i="246"/>
  <c r="AA23" i="246" s="1"/>
  <c r="AA29" i="246" s="1"/>
  <c r="T23" i="246"/>
  <c r="N23" i="246"/>
  <c r="K23" i="246"/>
  <c r="H23" i="246"/>
  <c r="F23" i="246"/>
  <c r="Q23" i="246" s="1"/>
  <c r="O23" i="246" s="1"/>
  <c r="V22" i="246"/>
  <c r="N22" i="246"/>
  <c r="N29" i="246" s="1"/>
  <c r="K22" i="246"/>
  <c r="J16" i="246"/>
  <c r="D16" i="246"/>
  <c r="D14" i="246"/>
  <c r="J13" i="246"/>
  <c r="E13" i="246"/>
  <c r="M12" i="246"/>
  <c r="J12" i="246"/>
  <c r="K12" i="246" s="1"/>
  <c r="L12" i="246" s="1"/>
  <c r="E12" i="246"/>
  <c r="J11" i="246"/>
  <c r="E11" i="246"/>
  <c r="R10" i="246"/>
  <c r="D4" i="246"/>
  <c r="V144" i="240"/>
  <c r="P51" i="236" s="1"/>
  <c r="U144" i="240"/>
  <c r="P41" i="233" s="1"/>
  <c r="S144" i="240"/>
  <c r="H144" i="240"/>
  <c r="T144" i="240" s="1"/>
  <c r="K143" i="240"/>
  <c r="W140" i="240"/>
  <c r="P45" i="230" s="1"/>
  <c r="V137" i="240"/>
  <c r="O40" i="236" s="1"/>
  <c r="U137" i="240"/>
  <c r="O51" i="233" s="1"/>
  <c r="T137" i="240"/>
  <c r="O41" i="232" s="1"/>
  <c r="S137" i="240"/>
  <c r="K136" i="240"/>
  <c r="W133" i="240"/>
  <c r="O51" i="230" s="1"/>
  <c r="V130" i="240"/>
  <c r="N46" i="236" s="1"/>
  <c r="U130" i="240"/>
  <c r="N40" i="233" s="1"/>
  <c r="G130" i="240"/>
  <c r="H130" i="240" s="1"/>
  <c r="T130" i="240" s="1"/>
  <c r="N46" i="232" s="1"/>
  <c r="K129" i="240"/>
  <c r="W126" i="240"/>
  <c r="N50" i="230" s="1"/>
  <c r="F125" i="240"/>
  <c r="K125" i="240" s="1"/>
  <c r="V122" i="240"/>
  <c r="M47" i="236" s="1"/>
  <c r="U122" i="240"/>
  <c r="M40" i="233" s="1"/>
  <c r="S122" i="240"/>
  <c r="T122" i="240"/>
  <c r="M34" i="232" s="1"/>
  <c r="K121" i="240"/>
  <c r="W118" i="240"/>
  <c r="M32" i="230" s="1"/>
  <c r="V115" i="240"/>
  <c r="L46" i="236" s="1"/>
  <c r="U115" i="240"/>
  <c r="L41" i="233" s="1"/>
  <c r="T115" i="240"/>
  <c r="L35" i="232" s="1"/>
  <c r="S115" i="240"/>
  <c r="K112" i="240"/>
  <c r="W109" i="240"/>
  <c r="L47" i="230" s="1"/>
  <c r="V106" i="240"/>
  <c r="K50" i="236" s="1"/>
  <c r="U106" i="240"/>
  <c r="K36" i="233" s="1"/>
  <c r="T106" i="240"/>
  <c r="K34" i="232" s="1"/>
  <c r="S106" i="240"/>
  <c r="K105" i="240"/>
  <c r="W102" i="240"/>
  <c r="K40" i="230" s="1"/>
  <c r="V99" i="240"/>
  <c r="J50" i="236" s="1"/>
  <c r="U99" i="240"/>
  <c r="J49" i="233" s="1"/>
  <c r="T99" i="240"/>
  <c r="J41" i="232" s="1"/>
  <c r="S99" i="240"/>
  <c r="K113" i="240"/>
  <c r="K98" i="240"/>
  <c r="W95" i="240"/>
  <c r="J49" i="230" s="1"/>
  <c r="V92" i="240"/>
  <c r="I47" i="236" s="1"/>
  <c r="U92" i="240"/>
  <c r="I39" i="233" s="1"/>
  <c r="T92" i="240"/>
  <c r="I40" i="232" s="1"/>
  <c r="S92" i="240"/>
  <c r="K90" i="240"/>
  <c r="W87" i="240"/>
  <c r="I50" i="230" s="1"/>
  <c r="V84" i="240"/>
  <c r="U84" i="240"/>
  <c r="T84" i="240"/>
  <c r="S84" i="240"/>
  <c r="M84" i="240"/>
  <c r="K83" i="240"/>
  <c r="W80" i="240"/>
  <c r="H50" i="230" s="1"/>
  <c r="V78" i="240"/>
  <c r="T78" i="240"/>
  <c r="R78" i="240"/>
  <c r="Q78" i="240"/>
  <c r="M78" i="240"/>
  <c r="K76" i="240"/>
  <c r="M123" i="243" s="1"/>
  <c r="K74" i="240"/>
  <c r="M122" i="243" s="1"/>
  <c r="V71" i="240"/>
  <c r="G46" i="236" s="1"/>
  <c r="U71" i="240"/>
  <c r="G47" i="233" s="1"/>
  <c r="T71" i="240"/>
  <c r="G40" i="232" s="1"/>
  <c r="S71" i="240"/>
  <c r="K70" i="240"/>
  <c r="W67" i="240"/>
  <c r="G50" i="230" s="1"/>
  <c r="O52" i="240"/>
  <c r="N52" i="240"/>
  <c r="M52" i="240"/>
  <c r="K51" i="240"/>
  <c r="V50" i="240"/>
  <c r="U50" i="240"/>
  <c r="T50" i="240"/>
  <c r="S50" i="240"/>
  <c r="Q50" i="240"/>
  <c r="E49" i="240"/>
  <c r="K49" i="240" s="1"/>
  <c r="K48" i="240"/>
  <c r="I47" i="240"/>
  <c r="I43" i="251" s="1"/>
  <c r="H47" i="240"/>
  <c r="H43" i="251" s="1"/>
  <c r="G47" i="240"/>
  <c r="G43" i="251" s="1"/>
  <c r="F45" i="240"/>
  <c r="K45" i="240" s="1"/>
  <c r="V44" i="240"/>
  <c r="U44" i="240"/>
  <c r="T44" i="240"/>
  <c r="S44" i="240"/>
  <c r="E44" i="240"/>
  <c r="Q44" i="240" s="1"/>
  <c r="V42" i="240"/>
  <c r="U42" i="240"/>
  <c r="T42" i="240"/>
  <c r="R42" i="240"/>
  <c r="Q42" i="240"/>
  <c r="H42" i="240"/>
  <c r="G42" i="240"/>
  <c r="J41" i="240"/>
  <c r="K41" i="240" s="1"/>
  <c r="K40" i="240"/>
  <c r="M126" i="243" s="1"/>
  <c r="V39" i="240"/>
  <c r="T39" i="240"/>
  <c r="S39" i="240"/>
  <c r="R39" i="240"/>
  <c r="Q39" i="240"/>
  <c r="I39" i="240"/>
  <c r="K38" i="240"/>
  <c r="J36" i="240"/>
  <c r="J37" i="240" s="1"/>
  <c r="J46" i="240" s="1"/>
  <c r="J52" i="240" s="1"/>
  <c r="G35" i="240"/>
  <c r="F35" i="240"/>
  <c r="E35" i="240"/>
  <c r="F34" i="240"/>
  <c r="E34" i="240" s="1"/>
  <c r="K34" i="240" s="1"/>
  <c r="R33" i="240"/>
  <c r="R32" i="240"/>
  <c r="K32" i="240"/>
  <c r="R31" i="240"/>
  <c r="I31" i="240"/>
  <c r="I33" i="240" s="1"/>
  <c r="G31" i="240"/>
  <c r="R30" i="240"/>
  <c r="F30" i="240"/>
  <c r="K30" i="240" s="1"/>
  <c r="K29" i="240"/>
  <c r="I28" i="240"/>
  <c r="H28" i="240"/>
  <c r="H36" i="240" s="1"/>
  <c r="H37" i="240" s="1"/>
  <c r="G28" i="240"/>
  <c r="G27" i="240"/>
  <c r="E27" i="240"/>
  <c r="I23" i="240"/>
  <c r="G23" i="240"/>
  <c r="E23" i="240"/>
  <c r="F23" i="240" s="1"/>
  <c r="I22" i="240"/>
  <c r="I25" i="240" s="1"/>
  <c r="H22" i="240"/>
  <c r="H25" i="240" s="1"/>
  <c r="G22" i="240"/>
  <c r="F22" i="240"/>
  <c r="E22" i="240"/>
  <c r="H20" i="240"/>
  <c r="G20" i="240"/>
  <c r="I17" i="240"/>
  <c r="H16" i="240"/>
  <c r="H17" i="240" s="1"/>
  <c r="G16" i="240"/>
  <c r="G17" i="240" s="1"/>
  <c r="F15" i="240"/>
  <c r="E15" i="240"/>
  <c r="K15" i="240" s="1"/>
  <c r="K14" i="240"/>
  <c r="I11" i="240"/>
  <c r="I12" i="240" s="1"/>
  <c r="H11" i="240"/>
  <c r="H12" i="240" s="1"/>
  <c r="G11" i="240"/>
  <c r="G10" i="240"/>
  <c r="E10" i="240"/>
  <c r="K10" i="240" s="1"/>
  <c r="E9" i="240"/>
  <c r="K9" i="240" s="1"/>
  <c r="F8" i="240"/>
  <c r="E8" i="240"/>
  <c r="I6" i="240"/>
  <c r="H6" i="240"/>
  <c r="G6" i="240"/>
  <c r="K5" i="240"/>
  <c r="F4" i="240"/>
  <c r="F3" i="240"/>
  <c r="E3" i="240"/>
  <c r="K3" i="240" s="1"/>
  <c r="D44" i="243"/>
  <c r="D52" i="243" s="1"/>
  <c r="D60" i="243" s="1"/>
  <c r="AC62" i="204" l="1"/>
  <c r="AF105" i="204"/>
  <c r="AB80" i="204"/>
  <c r="AH178" i="204"/>
  <c r="AD178" i="204"/>
  <c r="AB23" i="219"/>
  <c r="AA59" i="219"/>
  <c r="AG89" i="219"/>
  <c r="AI89" i="219"/>
  <c r="AE89" i="219"/>
  <c r="AB89" i="219"/>
  <c r="AA89" i="219"/>
  <c r="Z89" i="219"/>
  <c r="AA101" i="219"/>
  <c r="AJ101" i="219"/>
  <c r="AG41" i="220"/>
  <c r="AC41" i="220"/>
  <c r="AB41" i="220"/>
  <c r="Z41" i="220"/>
  <c r="AJ193" i="204"/>
  <c r="AA193" i="204"/>
  <c r="AV22" i="198"/>
  <c r="B75" i="198"/>
  <c r="A118" i="198"/>
  <c r="B148" i="198"/>
  <c r="R156" i="198"/>
  <c r="AH188" i="198"/>
  <c r="AG204" i="198"/>
  <c r="BA208" i="198"/>
  <c r="AG23" i="204"/>
  <c r="AB26" i="204"/>
  <c r="Y160" i="204"/>
  <c r="AB39" i="218"/>
  <c r="AD44" i="218"/>
  <c r="AD194" i="218"/>
  <c r="AJ194" i="218"/>
  <c r="AI194" i="218"/>
  <c r="B84" i="198"/>
  <c r="S156" i="198"/>
  <c r="T156" i="198" s="1"/>
  <c r="BA204" i="198"/>
  <c r="BF208" i="198"/>
  <c r="AC26" i="204"/>
  <c r="B30" i="204"/>
  <c r="AG35" i="204"/>
  <c r="AH36" i="204"/>
  <c r="B46" i="204"/>
  <c r="Z50" i="204"/>
  <c r="AE55" i="204"/>
  <c r="AB58" i="204"/>
  <c r="AB61" i="204"/>
  <c r="AJ62" i="204"/>
  <c r="AJ64" i="204"/>
  <c r="AC80" i="204"/>
  <c r="AJ93" i="204"/>
  <c r="AG109" i="204"/>
  <c r="AC127" i="204"/>
  <c r="AE132" i="204"/>
  <c r="AF133" i="204"/>
  <c r="AA144" i="204"/>
  <c r="Y152" i="204"/>
  <c r="AC156" i="204"/>
  <c r="Z160" i="204"/>
  <c r="AF165" i="204"/>
  <c r="AD167" i="204"/>
  <c r="AG181" i="204"/>
  <c r="AJ196" i="204"/>
  <c r="AF198" i="204"/>
  <c r="AI24" i="218"/>
  <c r="AI26" i="218"/>
  <c r="Y38" i="218"/>
  <c r="AH44" i="218"/>
  <c r="AD48" i="218"/>
  <c r="AF55" i="218"/>
  <c r="AA61" i="218"/>
  <c r="AI67" i="218"/>
  <c r="Y87" i="218"/>
  <c r="AC89" i="218"/>
  <c r="AJ101" i="218"/>
  <c r="AJ126" i="218"/>
  <c r="Y152" i="218"/>
  <c r="AG178" i="218"/>
  <c r="Z180" i="218"/>
  <c r="Y190" i="218"/>
  <c r="AE23" i="219"/>
  <c r="AE45" i="219"/>
  <c r="AA48" i="219"/>
  <c r="AF50" i="219"/>
  <c r="AD50" i="219"/>
  <c r="AC59" i="219"/>
  <c r="AE146" i="219"/>
  <c r="AG146" i="219"/>
  <c r="AD161" i="219"/>
  <c r="AE161" i="219"/>
  <c r="AF26" i="220"/>
  <c r="AJ26" i="220"/>
  <c r="AI26" i="220"/>
  <c r="AE26" i="220"/>
  <c r="AB60" i="220"/>
  <c r="AE60" i="220"/>
  <c r="AJ60" i="220"/>
  <c r="Y60" i="220"/>
  <c r="Y109" i="218"/>
  <c r="AI166" i="218"/>
  <c r="AB166" i="218"/>
  <c r="AF35" i="204"/>
  <c r="AG93" i="204"/>
  <c r="AF100" i="204"/>
  <c r="AF109" i="204"/>
  <c r="AB89" i="218"/>
  <c r="AD26" i="204"/>
  <c r="AI35" i="204"/>
  <c r="AB50" i="204"/>
  <c r="AF55" i="204"/>
  <c r="AC61" i="204"/>
  <c r="AD80" i="204"/>
  <c r="Y89" i="204"/>
  <c r="AH198" i="204"/>
  <c r="AJ24" i="218"/>
  <c r="AC38" i="218"/>
  <c r="AF48" i="218"/>
  <c r="AG55" i="218"/>
  <c r="AJ68" i="218"/>
  <c r="AD68" i="218"/>
  <c r="AA87" i="218"/>
  <c r="AE89" i="218"/>
  <c r="Y146" i="218"/>
  <c r="Z152" i="218"/>
  <c r="AB180" i="218"/>
  <c r="Z190" i="218"/>
  <c r="AF40" i="219"/>
  <c r="AJ40" i="219"/>
  <c r="AH40" i="219"/>
  <c r="AG45" i="219"/>
  <c r="AC48" i="219"/>
  <c r="AC51" i="219"/>
  <c r="AD55" i="219"/>
  <c r="Y55" i="219"/>
  <c r="AA69" i="219"/>
  <c r="AH175" i="219"/>
  <c r="AJ175" i="219"/>
  <c r="AF175" i="219"/>
  <c r="AE175" i="219"/>
  <c r="AC175" i="219"/>
  <c r="AA175" i="219"/>
  <c r="AB179" i="219"/>
  <c r="AG179" i="219"/>
  <c r="AE179" i="219"/>
  <c r="AD179" i="219"/>
  <c r="Z179" i="219"/>
  <c r="Y181" i="219"/>
  <c r="AA181" i="219"/>
  <c r="AC181" i="219"/>
  <c r="N156" i="198"/>
  <c r="AC204" i="198"/>
  <c r="AW208" i="198"/>
  <c r="AF23" i="204"/>
  <c r="Y50" i="204"/>
  <c r="AA61" i="204"/>
  <c r="AG62" i="204"/>
  <c r="AJ9" i="218"/>
  <c r="AA9" i="218"/>
  <c r="AF24" i="218"/>
  <c r="AE55" i="218"/>
  <c r="B149" i="198"/>
  <c r="W156" i="198"/>
  <c r="BB204" i="198"/>
  <c r="BC204" i="198" s="1"/>
  <c r="BG208" i="198"/>
  <c r="BH208" i="198" s="1"/>
  <c r="Y142" i="204"/>
  <c r="Z151" i="204"/>
  <c r="AE156" i="204"/>
  <c r="AA160" i="204"/>
  <c r="AI167" i="204"/>
  <c r="AE177" i="204"/>
  <c r="AC177" i="204"/>
  <c r="AV23" i="198"/>
  <c r="B77" i="198"/>
  <c r="X156" i="198"/>
  <c r="Y156" i="198" s="1"/>
  <c r="BF204" i="198"/>
  <c r="AF26" i="204"/>
  <c r="AF38" i="204"/>
  <c r="AG55" i="204"/>
  <c r="AD61" i="204"/>
  <c r="C65" i="204"/>
  <c r="AF80" i="204"/>
  <c r="Z89" i="204"/>
  <c r="A112" i="204"/>
  <c r="AD118" i="204"/>
  <c r="Y130" i="204"/>
  <c r="AI132" i="204"/>
  <c r="Y135" i="204"/>
  <c r="AA142" i="204"/>
  <c r="AE143" i="204"/>
  <c r="AA151" i="204"/>
  <c r="AG156" i="204"/>
  <c r="AB160" i="204"/>
  <c r="Z37" i="218"/>
  <c r="AD38" i="218"/>
  <c r="AE62" i="218"/>
  <c r="AI62" i="218"/>
  <c r="O81" i="218"/>
  <c r="AI87" i="218"/>
  <c r="AF89" i="218"/>
  <c r="AB146" i="218"/>
  <c r="AB152" i="218"/>
  <c r="AE180" i="218"/>
  <c r="AB190" i="218"/>
  <c r="AD205" i="218"/>
  <c r="AH205" i="218"/>
  <c r="AI26" i="219"/>
  <c r="Y28" i="219"/>
  <c r="AH45" i="219"/>
  <c r="AG48" i="219"/>
  <c r="AG52" i="219"/>
  <c r="Y52" i="219"/>
  <c r="AB69" i="219"/>
  <c r="AI76" i="219"/>
  <c r="AF76" i="219"/>
  <c r="Z76" i="219"/>
  <c r="Y89" i="219"/>
  <c r="AD101" i="219"/>
  <c r="Z134" i="219"/>
  <c r="AH189" i="219"/>
  <c r="AB189" i="219"/>
  <c r="Z189" i="219"/>
  <c r="AC208" i="198"/>
  <c r="Z130" i="204"/>
  <c r="AC151" i="204"/>
  <c r="Y9" i="218"/>
  <c r="AD37" i="218"/>
  <c r="AA78" i="218"/>
  <c r="AJ87" i="218"/>
  <c r="AG89" i="218"/>
  <c r="AC146" i="218"/>
  <c r="Y166" i="218"/>
  <c r="AB187" i="218"/>
  <c r="AD190" i="218"/>
  <c r="AJ26" i="219"/>
  <c r="AD28" i="219"/>
  <c r="AI45" i="219"/>
  <c r="AJ48" i="219"/>
  <c r="AF89" i="219"/>
  <c r="AF101" i="219"/>
  <c r="AG129" i="220"/>
  <c r="AE129" i="220"/>
  <c r="AJ129" i="220"/>
  <c r="AH129" i="220"/>
  <c r="AD129" i="220"/>
  <c r="AC129" i="220"/>
  <c r="AB129" i="220"/>
  <c r="AA129" i="220"/>
  <c r="Z129" i="220"/>
  <c r="Y129" i="220"/>
  <c r="AB62" i="204"/>
  <c r="AA38" i="218"/>
  <c r="AB38" i="218"/>
  <c r="AE35" i="204"/>
  <c r="AC156" i="198"/>
  <c r="AD156" i="198" s="1"/>
  <c r="B172" i="198"/>
  <c r="AE61" i="204"/>
  <c r="AA89" i="204"/>
  <c r="AE118" i="204"/>
  <c r="Z135" i="204"/>
  <c r="AB142" i="204"/>
  <c r="AG143" i="204"/>
  <c r="AD147" i="204"/>
  <c r="BA10" i="198"/>
  <c r="A122" i="198"/>
  <c r="B141" i="198"/>
  <c r="AG156" i="198"/>
  <c r="Y46" i="204"/>
  <c r="AF61" i="204"/>
  <c r="AB89" i="204"/>
  <c r="AF118" i="204"/>
  <c r="AA130" i="204"/>
  <c r="AA135" i="204"/>
  <c r="Y140" i="204"/>
  <c r="AC142" i="204"/>
  <c r="AH143" i="204"/>
  <c r="AE151" i="204"/>
  <c r="Z176" i="204"/>
  <c r="Y176" i="204"/>
  <c r="Y193" i="204"/>
  <c r="Z9" i="218"/>
  <c r="Z36" i="218"/>
  <c r="AE37" i="218"/>
  <c r="AG38" i="218"/>
  <c r="AJ47" i="218"/>
  <c r="AI50" i="218"/>
  <c r="AC78" i="218"/>
  <c r="Y79" i="218"/>
  <c r="AI89" i="218"/>
  <c r="AD146" i="218"/>
  <c r="AA150" i="218"/>
  <c r="Z166" i="218"/>
  <c r="AF187" i="218"/>
  <c r="AF190" i="218"/>
  <c r="Z16" i="219"/>
  <c r="AG28" i="219"/>
  <c r="AI74" i="219"/>
  <c r="AF74" i="219"/>
  <c r="AI101" i="219"/>
  <c r="AF129" i="219"/>
  <c r="Y129" i="219"/>
  <c r="AJ133" i="219"/>
  <c r="Y133" i="219"/>
  <c r="AF133" i="219"/>
  <c r="AC133" i="219"/>
  <c r="Z133" i="219"/>
  <c r="Z146" i="219"/>
  <c r="Z169" i="219"/>
  <c r="AI10" i="218"/>
  <c r="Y10" i="218"/>
  <c r="AG208" i="198"/>
  <c r="B85" i="204"/>
  <c r="AC89" i="204"/>
  <c r="AB130" i="204"/>
  <c r="AC135" i="204"/>
  <c r="AF140" i="204"/>
  <c r="AD142" i="204"/>
  <c r="AI143" i="204"/>
  <c r="AF151" i="204"/>
  <c r="Y178" i="204"/>
  <c r="Z193" i="204"/>
  <c r="AB9" i="218"/>
  <c r="AI18" i="218"/>
  <c r="AB36" i="218"/>
  <c r="AF37" i="218"/>
  <c r="AH38" i="218"/>
  <c r="AB66" i="218"/>
  <c r="Z79" i="218"/>
  <c r="AB145" i="218"/>
  <c r="AE146" i="218"/>
  <c r="AB150" i="218"/>
  <c r="AA158" i="218"/>
  <c r="AC166" i="218"/>
  <c r="AJ187" i="218"/>
  <c r="Y194" i="218"/>
  <c r="AA11" i="219"/>
  <c r="AC16" i="219"/>
  <c r="AI28" i="219"/>
  <c r="AD31" i="219"/>
  <c r="Y31" i="219"/>
  <c r="AA31" i="219"/>
  <c r="AB169" i="219"/>
  <c r="AC105" i="204"/>
  <c r="BA156" i="198"/>
  <c r="B173" i="198"/>
  <c r="AG118" i="204"/>
  <c r="BB156" i="198"/>
  <c r="AI61" i="204"/>
  <c r="AD89" i="204"/>
  <c r="Z117" i="204"/>
  <c r="AH118" i="204"/>
  <c r="AC130" i="204"/>
  <c r="AH135" i="204"/>
  <c r="AE142" i="204"/>
  <c r="AJ143" i="204"/>
  <c r="Z165" i="204"/>
  <c r="AC165" i="204"/>
  <c r="Z177" i="204"/>
  <c r="Z178" i="204"/>
  <c r="AB193" i="204"/>
  <c r="Z196" i="204"/>
  <c r="AC9" i="218"/>
  <c r="Y31" i="218"/>
  <c r="Y32" i="218"/>
  <c r="AC36" i="218"/>
  <c r="AG37" i="218"/>
  <c r="AJ38" i="218"/>
  <c r="AJ53" i="218"/>
  <c r="AA53" i="218"/>
  <c r="AI57" i="218"/>
  <c r="Y57" i="218"/>
  <c r="AI64" i="218"/>
  <c r="AG66" i="218"/>
  <c r="L74" i="218"/>
  <c r="AF78" i="218"/>
  <c r="AC79" i="218"/>
  <c r="Y93" i="218"/>
  <c r="AA127" i="218"/>
  <c r="AC145" i="218"/>
  <c r="AF146" i="218"/>
  <c r="AE150" i="218"/>
  <c r="AH156" i="218"/>
  <c r="AC161" i="218"/>
  <c r="AE166" i="218"/>
  <c r="AJ191" i="218"/>
  <c r="AH191" i="218"/>
  <c r="Z194" i="218"/>
  <c r="AB204" i="218"/>
  <c r="AC204" i="218"/>
  <c r="Y204" i="218"/>
  <c r="AB11" i="219"/>
  <c r="AG16" i="219"/>
  <c r="AJ28" i="219"/>
  <c r="AH32" i="219"/>
  <c r="AE38" i="219"/>
  <c r="AE40" i="219"/>
  <c r="AJ52" i="219"/>
  <c r="Y141" i="219"/>
  <c r="AH141" i="219"/>
  <c r="AF141" i="219"/>
  <c r="AI146" i="219"/>
  <c r="AJ161" i="219"/>
  <c r="AG169" i="219"/>
  <c r="AB39" i="220"/>
  <c r="Z39" i="220"/>
  <c r="AI39" i="220"/>
  <c r="AH39" i="220"/>
  <c r="AF39" i="220"/>
  <c r="AD39" i="220"/>
  <c r="AI44" i="218"/>
  <c r="AG44" i="218"/>
  <c r="AI46" i="218"/>
  <c r="AH46" i="218"/>
  <c r="AB55" i="218"/>
  <c r="Y55" i="218"/>
  <c r="AD79" i="218"/>
  <c r="AH89" i="218"/>
  <c r="AD89" i="218"/>
  <c r="AD145" i="218"/>
  <c r="AG146" i="218"/>
  <c r="AE161" i="218"/>
  <c r="AF166" i="218"/>
  <c r="AA194" i="218"/>
  <c r="AI16" i="219"/>
  <c r="AJ29" i="219"/>
  <c r="AC29" i="219"/>
  <c r="AI39" i="219"/>
  <c r="AD39" i="219"/>
  <c r="Z39" i="219"/>
  <c r="AJ55" i="219"/>
  <c r="AB70" i="219"/>
  <c r="M74" i="219"/>
  <c r="AI91" i="219"/>
  <c r="AG91" i="219"/>
  <c r="AE91" i="219"/>
  <c r="AB91" i="219"/>
  <c r="Z91" i="219"/>
  <c r="Z127" i="219"/>
  <c r="AH127" i="219"/>
  <c r="AF127" i="219"/>
  <c r="AC127" i="219"/>
  <c r="AF131" i="219"/>
  <c r="AJ131" i="219"/>
  <c r="AG131" i="219"/>
  <c r="AH169" i="219"/>
  <c r="Y175" i="219"/>
  <c r="AE181" i="219"/>
  <c r="AC54" i="220"/>
  <c r="AA54" i="220"/>
  <c r="Y35" i="204"/>
  <c r="AE130" i="204"/>
  <c r="AF9" i="218"/>
  <c r="AG36" i="218"/>
  <c r="AI37" i="218"/>
  <c r="AI78" i="218"/>
  <c r="AE79" i="218"/>
  <c r="AF145" i="218"/>
  <c r="AJ146" i="218"/>
  <c r="AF161" i="218"/>
  <c r="AG166" i="218"/>
  <c r="AB194" i="218"/>
  <c r="AJ56" i="219"/>
  <c r="AI56" i="219"/>
  <c r="AG56" i="219"/>
  <c r="BG156" i="198"/>
  <c r="BH156" i="198" s="1"/>
  <c r="W208" i="198"/>
  <c r="AB23" i="204"/>
  <c r="AF44" i="204"/>
  <c r="AG89" i="204"/>
  <c r="AG142" i="204"/>
  <c r="AJ178" i="204"/>
  <c r="AF193" i="204"/>
  <c r="AD31" i="218"/>
  <c r="AC190" i="218"/>
  <c r="AA190" i="218"/>
  <c r="B49" i="198"/>
  <c r="AB208" i="198"/>
  <c r="F106" i="206"/>
  <c r="AC23" i="204"/>
  <c r="AA36" i="204"/>
  <c r="Y73" i="204"/>
  <c r="AG82" i="204"/>
  <c r="AB85" i="204"/>
  <c r="AJ89" i="204"/>
  <c r="AJ129" i="204"/>
  <c r="AJ134" i="204"/>
  <c r="AB139" i="204"/>
  <c r="Y165" i="204"/>
  <c r="AB174" i="204"/>
  <c r="AD177" i="204"/>
  <c r="AE179" i="204"/>
  <c r="AG179" i="204"/>
  <c r="AA192" i="204"/>
  <c r="AH193" i="204"/>
  <c r="AH9" i="218"/>
  <c r="AF23" i="218"/>
  <c r="F26" i="218"/>
  <c r="AG30" i="218"/>
  <c r="AC30" i="218"/>
  <c r="AJ37" i="218"/>
  <c r="Y53" i="218"/>
  <c r="Z57" i="218"/>
  <c r="Y69" i="218"/>
  <c r="AJ78" i="218"/>
  <c r="AG79" i="218"/>
  <c r="AH93" i="218"/>
  <c r="AA126" i="218"/>
  <c r="AF144" i="218"/>
  <c r="AH145" i="218"/>
  <c r="AC147" i="218"/>
  <c r="AG147" i="218"/>
  <c r="AH161" i="218"/>
  <c r="AF170" i="218"/>
  <c r="AC194" i="218"/>
  <c r="AB205" i="218"/>
  <c r="AC50" i="219"/>
  <c r="AD61" i="219"/>
  <c r="Z61" i="219"/>
  <c r="AE74" i="219"/>
  <c r="AB175" i="219"/>
  <c r="AE180" i="219"/>
  <c r="AF180" i="219"/>
  <c r="AG181" i="219"/>
  <c r="AD188" i="219"/>
  <c r="AB188" i="219"/>
  <c r="AJ188" i="219"/>
  <c r="AF188" i="219"/>
  <c r="AE188" i="219"/>
  <c r="AA188" i="219"/>
  <c r="AD176" i="219"/>
  <c r="AJ176" i="219"/>
  <c r="AI181" i="219"/>
  <c r="AG23" i="219"/>
  <c r="AF23" i="219"/>
  <c r="AH158" i="219"/>
  <c r="AI158" i="219"/>
  <c r="AJ164" i="219"/>
  <c r="AF164" i="219"/>
  <c r="AA164" i="219"/>
  <c r="AH10" i="220"/>
  <c r="AI10" i="220"/>
  <c r="AD10" i="220"/>
  <c r="AI28" i="220"/>
  <c r="AH28" i="220"/>
  <c r="AG28" i="220"/>
  <c r="Y28" i="220"/>
  <c r="AE37" i="220"/>
  <c r="AB37" i="220"/>
  <c r="AA37" i="220"/>
  <c r="AJ37" i="220"/>
  <c r="AI37" i="220"/>
  <c r="AG37" i="220"/>
  <c r="AF37" i="220"/>
  <c r="AD37" i="220"/>
  <c r="AC37" i="220"/>
  <c r="Z37" i="220"/>
  <c r="Y37" i="220"/>
  <c r="AE62" i="204"/>
  <c r="AC55" i="218"/>
  <c r="AD16" i="219"/>
  <c r="AH16" i="219"/>
  <c r="AJ69" i="219"/>
  <c r="AI69" i="219"/>
  <c r="AG69" i="219"/>
  <c r="AF69" i="219"/>
  <c r="AE69" i="219"/>
  <c r="AC69" i="219"/>
  <c r="AG134" i="219"/>
  <c r="AJ134" i="219"/>
  <c r="AI134" i="219"/>
  <c r="AF134" i="219"/>
  <c r="AB134" i="219"/>
  <c r="AA169" i="219"/>
  <c r="Y169" i="219"/>
  <c r="AD161" i="220"/>
  <c r="AE161" i="220"/>
  <c r="AC161" i="220"/>
  <c r="AA161" i="220"/>
  <c r="Y52" i="221"/>
  <c r="AI52" i="221"/>
  <c r="AH52" i="221"/>
  <c r="AB57" i="221"/>
  <c r="AG57" i="221"/>
  <c r="AC57" i="221"/>
  <c r="AF181" i="221"/>
  <c r="AE181" i="221"/>
  <c r="AG181" i="221"/>
  <c r="AI195" i="221"/>
  <c r="AF195" i="221"/>
  <c r="AE195" i="221"/>
  <c r="AB195" i="221"/>
  <c r="Z195" i="221"/>
  <c r="Y195" i="221"/>
  <c r="AI17" i="220"/>
  <c r="AF17" i="220"/>
  <c r="AC29" i="220"/>
  <c r="N73" i="220"/>
  <c r="AB84" i="220"/>
  <c r="AG86" i="220"/>
  <c r="AE150" i="220"/>
  <c r="AG26" i="221"/>
  <c r="AE26" i="221"/>
  <c r="AJ26" i="221"/>
  <c r="AG28" i="221"/>
  <c r="AD32" i="221"/>
  <c r="AC32" i="221"/>
  <c r="AB32" i="221"/>
  <c r="AG40" i="221"/>
  <c r="AF40" i="221"/>
  <c r="AA85" i="221"/>
  <c r="AD145" i="221"/>
  <c r="AI145" i="221"/>
  <c r="AG145" i="221"/>
  <c r="AJ122" i="219"/>
  <c r="AI122" i="219"/>
  <c r="AA137" i="219"/>
  <c r="AH150" i="219"/>
  <c r="AD193" i="219"/>
  <c r="AE29" i="220"/>
  <c r="F64" i="220"/>
  <c r="O73" i="220"/>
  <c r="F96" i="220"/>
  <c r="AI127" i="220"/>
  <c r="AH127" i="220"/>
  <c r="AG127" i="220"/>
  <c r="Z127" i="220"/>
  <c r="AD17" i="221"/>
  <c r="AI50" i="221"/>
  <c r="AJ50" i="221"/>
  <c r="AD65" i="221"/>
  <c r="AE85" i="221"/>
  <c r="AG89" i="221"/>
  <c r="AF89" i="221"/>
  <c r="AE89" i="221"/>
  <c r="AD89" i="221"/>
  <c r="AF143" i="221"/>
  <c r="AD143" i="221"/>
  <c r="Y11" i="220"/>
  <c r="AH29" i="220"/>
  <c r="AI52" i="220"/>
  <c r="AE52" i="220"/>
  <c r="P73" i="220"/>
  <c r="Y82" i="220"/>
  <c r="AH134" i="220"/>
  <c r="AG134" i="220"/>
  <c r="AA134" i="220"/>
  <c r="AE141" i="220"/>
  <c r="AD141" i="220"/>
  <c r="AI141" i="220"/>
  <c r="Y144" i="220"/>
  <c r="AE52" i="221"/>
  <c r="AG85" i="221"/>
  <c r="AD137" i="219"/>
  <c r="AJ150" i="219"/>
  <c r="AG193" i="219"/>
  <c r="AA11" i="220"/>
  <c r="Y17" i="220"/>
  <c r="AI29" i="220"/>
  <c r="AA49" i="220"/>
  <c r="Y58" i="220"/>
  <c r="AA68" i="220"/>
  <c r="AF68" i="220"/>
  <c r="AC68" i="220"/>
  <c r="AB68" i="220"/>
  <c r="Q73" i="220"/>
  <c r="Z82" i="220"/>
  <c r="AI143" i="220"/>
  <c r="AB143" i="220"/>
  <c r="AA144" i="220"/>
  <c r="AI28" i="221"/>
  <c r="Y28" i="221"/>
  <c r="AG52" i="221"/>
  <c r="Y82" i="221"/>
  <c r="AD140" i="221"/>
  <c r="AJ169" i="221"/>
  <c r="AF169" i="221"/>
  <c r="AA169" i="221"/>
  <c r="AH169" i="221"/>
  <c r="Y169" i="221"/>
  <c r="AA195" i="221"/>
  <c r="Y68" i="219"/>
  <c r="M72" i="219"/>
  <c r="AG122" i="219"/>
  <c r="AI193" i="219"/>
  <c r="AA197" i="219"/>
  <c r="Z197" i="219"/>
  <c r="AC11" i="220"/>
  <c r="Z17" i="220"/>
  <c r="AJ29" i="220"/>
  <c r="AB49" i="220"/>
  <c r="Z58" i="220"/>
  <c r="R73" i="220"/>
  <c r="AC144" i="220"/>
  <c r="AH17" i="221"/>
  <c r="AJ46" i="221"/>
  <c r="AE66" i="221"/>
  <c r="AA66" i="221"/>
  <c r="Z66" i="221"/>
  <c r="AI66" i="221"/>
  <c r="AG66" i="221"/>
  <c r="Y66" i="221"/>
  <c r="AH195" i="221"/>
  <c r="AA37" i="222"/>
  <c r="Y37" i="222"/>
  <c r="AF37" i="222"/>
  <c r="AB37" i="222"/>
  <c r="AH122" i="219"/>
  <c r="AG11" i="220"/>
  <c r="AA17" i="220"/>
  <c r="Y52" i="220"/>
  <c r="AA58" i="220"/>
  <c r="Y87" i="220"/>
  <c r="AI134" i="220"/>
  <c r="AD144" i="220"/>
  <c r="Y161" i="220"/>
  <c r="AD166" i="220"/>
  <c r="Z182" i="220"/>
  <c r="Z18" i="221"/>
  <c r="AB18" i="221"/>
  <c r="AA47" i="221"/>
  <c r="Z47" i="221"/>
  <c r="AJ141" i="221"/>
  <c r="AD141" i="221"/>
  <c r="AC141" i="221"/>
  <c r="Z151" i="221"/>
  <c r="AG137" i="219"/>
  <c r="AC137" i="219"/>
  <c r="AE193" i="219"/>
  <c r="AA193" i="219"/>
  <c r="Z193" i="219"/>
  <c r="AH204" i="219"/>
  <c r="AI11" i="220"/>
  <c r="AB17" i="220"/>
  <c r="Z36" i="220"/>
  <c r="AH46" i="220"/>
  <c r="AF46" i="220"/>
  <c r="AF52" i="220"/>
  <c r="Q68" i="220"/>
  <c r="AC87" i="220"/>
  <c r="AE144" i="220"/>
  <c r="Z161" i="220"/>
  <c r="AC167" i="220"/>
  <c r="AA167" i="220"/>
  <c r="AF182" i="220"/>
  <c r="Y26" i="221"/>
  <c r="AH32" i="221"/>
  <c r="Y40" i="221"/>
  <c r="AE113" i="221"/>
  <c r="AI113" i="221"/>
  <c r="AH113" i="221"/>
  <c r="AG113" i="221"/>
  <c r="AH145" i="221"/>
  <c r="AB151" i="221"/>
  <c r="AI53" i="220"/>
  <c r="AF53" i="220"/>
  <c r="AC56" i="220"/>
  <c r="AI56" i="220"/>
  <c r="AD56" i="220"/>
  <c r="AF87" i="220"/>
  <c r="AH144" i="220"/>
  <c r="AA150" i="220"/>
  <c r="AB150" i="220"/>
  <c r="Z150" i="220"/>
  <c r="AH182" i="220"/>
  <c r="AB203" i="220"/>
  <c r="Y203" i="220"/>
  <c r="Z26" i="221"/>
  <c r="AJ32" i="221"/>
  <c r="AC40" i="221"/>
  <c r="AD150" i="221"/>
  <c r="AB150" i="221"/>
  <c r="AC151" i="221"/>
  <c r="AJ29" i="222"/>
  <c r="AF29" i="222"/>
  <c r="AJ177" i="218"/>
  <c r="AH177" i="218"/>
  <c r="AD68" i="219"/>
  <c r="AA73" i="219"/>
  <c r="AB75" i="219"/>
  <c r="Y88" i="219"/>
  <c r="AG105" i="219"/>
  <c r="AF113" i="219"/>
  <c r="AI162" i="219"/>
  <c r="Z162" i="219"/>
  <c r="AD192" i="219"/>
  <c r="AA192" i="219"/>
  <c r="Z192" i="219"/>
  <c r="AE17" i="220"/>
  <c r="AG36" i="220"/>
  <c r="AD68" i="220"/>
  <c r="AG78" i="220"/>
  <c r="Z91" i="220"/>
  <c r="AF137" i="220"/>
  <c r="Z141" i="220"/>
  <c r="AI144" i="220"/>
  <c r="AF156" i="220"/>
  <c r="AE156" i="220"/>
  <c r="AI163" i="220"/>
  <c r="AH163" i="220"/>
  <c r="AF163" i="220"/>
  <c r="AE167" i="220"/>
  <c r="AF39" i="221"/>
  <c r="AI39" i="221"/>
  <c r="AH40" i="221"/>
  <c r="AJ48" i="221"/>
  <c r="AI48" i="221"/>
  <c r="AC101" i="221"/>
  <c r="AF109" i="221"/>
  <c r="AE109" i="221"/>
  <c r="AH109" i="221"/>
  <c r="AG109" i="221"/>
  <c r="AC109" i="221"/>
  <c r="AA109" i="221"/>
  <c r="AG139" i="221"/>
  <c r="Z139" i="221"/>
  <c r="AB139" i="221"/>
  <c r="AA139" i="221"/>
  <c r="AJ198" i="221"/>
  <c r="AA198" i="221"/>
  <c r="AA141" i="220"/>
  <c r="Y191" i="220"/>
  <c r="AB191" i="220"/>
  <c r="Z195" i="220"/>
  <c r="AJ195" i="220"/>
  <c r="AI195" i="220"/>
  <c r="AH195" i="220"/>
  <c r="AF8" i="221"/>
  <c r="AC65" i="221"/>
  <c r="Z65" i="221"/>
  <c r="AI170" i="221"/>
  <c r="AJ170" i="221"/>
  <c r="AE73" i="220"/>
  <c r="AJ73" i="220"/>
  <c r="AH73" i="220"/>
  <c r="AI82" i="220"/>
  <c r="AC82" i="220"/>
  <c r="AB82" i="220"/>
  <c r="AJ84" i="220"/>
  <c r="AE84" i="220"/>
  <c r="AF86" i="220"/>
  <c r="AB86" i="220"/>
  <c r="AA86" i="220"/>
  <c r="AC140" i="220"/>
  <c r="AA140" i="220"/>
  <c r="Z140" i="220"/>
  <c r="AC168" i="220"/>
  <c r="Z168" i="220"/>
  <c r="Y132" i="221"/>
  <c r="AG132" i="221"/>
  <c r="AI132" i="221"/>
  <c r="AF147" i="221"/>
  <c r="Z147" i="221"/>
  <c r="AE147" i="221"/>
  <c r="AC147" i="221"/>
  <c r="AA147" i="221"/>
  <c r="AG157" i="220"/>
  <c r="AI157" i="220"/>
  <c r="Y157" i="220"/>
  <c r="AD85" i="221"/>
  <c r="AB85" i="221"/>
  <c r="Y91" i="221"/>
  <c r="AC91" i="221"/>
  <c r="AB91" i="221"/>
  <c r="AE193" i="221"/>
  <c r="AF193" i="221"/>
  <c r="AH128" i="221"/>
  <c r="AC128" i="221"/>
  <c r="AE128" i="221"/>
  <c r="AJ128" i="221"/>
  <c r="AJ137" i="221"/>
  <c r="AA16" i="222"/>
  <c r="AC27" i="222"/>
  <c r="AE35" i="222"/>
  <c r="AI39" i="222"/>
  <c r="AB41" i="222"/>
  <c r="AE63" i="222"/>
  <c r="AC65" i="222"/>
  <c r="AA70" i="222"/>
  <c r="AD113" i="222"/>
  <c r="AC113" i="222"/>
  <c r="AJ113" i="222"/>
  <c r="AI113" i="222"/>
  <c r="AE113" i="222"/>
  <c r="AH129" i="222"/>
  <c r="AA138" i="221"/>
  <c r="Y138" i="221"/>
  <c r="Y205" i="221"/>
  <c r="AF63" i="222"/>
  <c r="Z130" i="222"/>
  <c r="AC130" i="222"/>
  <c r="AC38" i="222"/>
  <c r="AA38" i="222"/>
  <c r="AD38" i="222"/>
  <c r="AJ63" i="222"/>
  <c r="Y45" i="221"/>
  <c r="Z56" i="221"/>
  <c r="Y56" i="221"/>
  <c r="AC60" i="221"/>
  <c r="AC205" i="221"/>
  <c r="AB34" i="222"/>
  <c r="AA34" i="222"/>
  <c r="AC34" i="222"/>
  <c r="AJ35" i="222"/>
  <c r="AC85" i="222"/>
  <c r="AI85" i="222"/>
  <c r="AH85" i="222"/>
  <c r="AD85" i="222"/>
  <c r="AC37" i="221"/>
  <c r="AA37" i="221"/>
  <c r="Z45" i="221"/>
  <c r="AD63" i="221"/>
  <c r="AA68" i="221"/>
  <c r="AJ122" i="221"/>
  <c r="AI122" i="221"/>
  <c r="AH122" i="221"/>
  <c r="AG159" i="221"/>
  <c r="AG205" i="221"/>
  <c r="Z38" i="222"/>
  <c r="AJ59" i="222"/>
  <c r="AA85" i="222"/>
  <c r="AG101" i="222"/>
  <c r="AF113" i="222"/>
  <c r="AG128" i="222"/>
  <c r="AH128" i="222"/>
  <c r="F27" i="220"/>
  <c r="AH30" i="221"/>
  <c r="AD30" i="221"/>
  <c r="AC30" i="221"/>
  <c r="Y38" i="221"/>
  <c r="AB45" i="221"/>
  <c r="AI63" i="221"/>
  <c r="AI67" i="221"/>
  <c r="AG67" i="221"/>
  <c r="AI76" i="221"/>
  <c r="Y76" i="221"/>
  <c r="AH86" i="221"/>
  <c r="AE38" i="222"/>
  <c r="AD40" i="222"/>
  <c r="AH80" i="222"/>
  <c r="AC80" i="222"/>
  <c r="AE85" i="222"/>
  <c r="AJ130" i="222"/>
  <c r="AJ47" i="222"/>
  <c r="AH47" i="222"/>
  <c r="AG38" i="222"/>
  <c r="AC41" i="222"/>
  <c r="AI41" i="222"/>
  <c r="AH41" i="222"/>
  <c r="AJ41" i="222"/>
  <c r="AA57" i="222"/>
  <c r="Z57" i="222"/>
  <c r="AC57" i="222"/>
  <c r="AJ65" i="222"/>
  <c r="AH65" i="222"/>
  <c r="Y65" i="222"/>
  <c r="E65" i="222" s="1"/>
  <c r="F65" i="222" s="1"/>
  <c r="AJ76" i="222"/>
  <c r="Z76" i="222"/>
  <c r="AH86" i="222"/>
  <c r="AF86" i="222"/>
  <c r="AJ138" i="222"/>
  <c r="AI138" i="222"/>
  <c r="AG62" i="222"/>
  <c r="AJ62" i="222"/>
  <c r="AJ205" i="221"/>
  <c r="AI205" i="221"/>
  <c r="AI16" i="222"/>
  <c r="AF16" i="222"/>
  <c r="AD16" i="222"/>
  <c r="AH16" i="222"/>
  <c r="Y27" i="222"/>
  <c r="Z27" i="222"/>
  <c r="AA47" i="222"/>
  <c r="AC70" i="222"/>
  <c r="AB70" i="222"/>
  <c r="AD70" i="222"/>
  <c r="AE126" i="222"/>
  <c r="AC126" i="222"/>
  <c r="AB126" i="222"/>
  <c r="AG17" i="222"/>
  <c r="Y41" i="222"/>
  <c r="H41" i="222" s="1"/>
  <c r="I41" i="222" s="1"/>
  <c r="AG47" i="222"/>
  <c r="Z65" i="222"/>
  <c r="AF79" i="222"/>
  <c r="AE79" i="222"/>
  <c r="AG84" i="222"/>
  <c r="AF84" i="222"/>
  <c r="Z84" i="222"/>
  <c r="Y84" i="222"/>
  <c r="H84" i="222" s="1"/>
  <c r="AJ84" i="222"/>
  <c r="AE97" i="222"/>
  <c r="AC97" i="222"/>
  <c r="Z136" i="222"/>
  <c r="Y136" i="222"/>
  <c r="AJ136" i="222"/>
  <c r="AI136" i="222"/>
  <c r="AB136" i="222"/>
  <c r="AA63" i="222"/>
  <c r="AA88" i="221"/>
  <c r="AD88" i="221"/>
  <c r="AC88" i="221"/>
  <c r="AF137" i="221"/>
  <c r="AF194" i="221"/>
  <c r="AE194" i="221"/>
  <c r="AG194" i="221"/>
  <c r="Z16" i="222"/>
  <c r="AB27" i="222"/>
  <c r="Z35" i="222"/>
  <c r="AA41" i="222"/>
  <c r="AB65" i="222"/>
  <c r="Z70" i="222"/>
  <c r="Z126" i="222"/>
  <c r="AG129" i="222"/>
  <c r="AG144" i="222"/>
  <c r="AF144" i="222"/>
  <c r="AJ144" i="222"/>
  <c r="AH144" i="222"/>
  <c r="AJ149" i="222"/>
  <c r="AI149" i="222"/>
  <c r="AD78" i="222"/>
  <c r="AF88" i="222"/>
  <c r="AH117" i="222"/>
  <c r="AF140" i="222"/>
  <c r="AJ148" i="222"/>
  <c r="AF150" i="222"/>
  <c r="AH156" i="222"/>
  <c r="AG166" i="222"/>
  <c r="Z175" i="222"/>
  <c r="AC182" i="222"/>
  <c r="AB188" i="222"/>
  <c r="AC188" i="222"/>
  <c r="AE205" i="222"/>
  <c r="AF205" i="222"/>
  <c r="AI140" i="222"/>
  <c r="AC175" i="222"/>
  <c r="AE188" i="222"/>
  <c r="AF188" i="222"/>
  <c r="AH58" i="222"/>
  <c r="AG175" i="222"/>
  <c r="Y181" i="222"/>
  <c r="H181" i="222" s="1"/>
  <c r="I181" i="222" s="1"/>
  <c r="Z187" i="222"/>
  <c r="AH188" i="222"/>
  <c r="AG191" i="222"/>
  <c r="Z109" i="222"/>
  <c r="Y151" i="222"/>
  <c r="H151" i="222" s="1"/>
  <c r="I151" i="222" s="1"/>
  <c r="AG163" i="222"/>
  <c r="Z181" i="222"/>
  <c r="AF196" i="222"/>
  <c r="AG203" i="222"/>
  <c r="Z151" i="222"/>
  <c r="AI163" i="222"/>
  <c r="AC181" i="222"/>
  <c r="AA151" i="222"/>
  <c r="Y170" i="222"/>
  <c r="AD181" i="222"/>
  <c r="AB151" i="222"/>
  <c r="AA170" i="222"/>
  <c r="AC151" i="222"/>
  <c r="AB170" i="222"/>
  <c r="AB78" i="222"/>
  <c r="AC88" i="222"/>
  <c r="AE117" i="222"/>
  <c r="AC140" i="222"/>
  <c r="AD141" i="222"/>
  <c r="AC150" i="222"/>
  <c r="AI151" i="222"/>
  <c r="AH161" i="222"/>
  <c r="AE166" i="222"/>
  <c r="AB176" i="222"/>
  <c r="AE192" i="222"/>
  <c r="AE194" i="222"/>
  <c r="AB197" i="222"/>
  <c r="AI64" i="220"/>
  <c r="Z53" i="222"/>
  <c r="AC78" i="222"/>
  <c r="AF117" i="222"/>
  <c r="AE140" i="222"/>
  <c r="AF141" i="222"/>
  <c r="AG148" i="222"/>
  <c r="AD150" i="222"/>
  <c r="Y165" i="222"/>
  <c r="H165" i="222" s="1"/>
  <c r="Y175" i="222"/>
  <c r="E175" i="222" s="1"/>
  <c r="F175" i="222" s="1"/>
  <c r="AD176" i="222"/>
  <c r="Y188" i="222"/>
  <c r="AG192" i="222"/>
  <c r="AF194" i="222"/>
  <c r="AC197" i="222"/>
  <c r="L41" i="232"/>
  <c r="F32" i="230"/>
  <c r="L41" i="230"/>
  <c r="F36" i="236"/>
  <c r="D121" i="243"/>
  <c r="L51" i="236"/>
  <c r="F47" i="232"/>
  <c r="D123" i="243"/>
  <c r="H35" i="236"/>
  <c r="I36" i="230"/>
  <c r="G49" i="230"/>
  <c r="G46" i="232"/>
  <c r="P41" i="236"/>
  <c r="D120" i="243"/>
  <c r="Q43" i="226"/>
  <c r="K37" i="218"/>
  <c r="D37" i="218" s="1"/>
  <c r="F37" i="218" s="1"/>
  <c r="L37" i="218"/>
  <c r="M37" i="218"/>
  <c r="K37" i="204"/>
  <c r="D37" i="204" s="1"/>
  <c r="F37" i="204" s="1"/>
  <c r="N37" i="218"/>
  <c r="O37" i="204"/>
  <c r="O37" i="218"/>
  <c r="P37" i="204"/>
  <c r="P37" i="218"/>
  <c r="C12" i="171"/>
  <c r="D12" i="171" s="1"/>
  <c r="V37" i="204"/>
  <c r="R37" i="218"/>
  <c r="S37" i="218"/>
  <c r="T37" i="218"/>
  <c r="U37" i="218"/>
  <c r="L37" i="204"/>
  <c r="M37" i="204"/>
  <c r="G37" i="218"/>
  <c r="I37" i="218" s="1"/>
  <c r="P46" i="233"/>
  <c r="K31" i="240"/>
  <c r="F32" i="236"/>
  <c r="I40" i="233"/>
  <c r="I35" i="236"/>
  <c r="N32" i="230"/>
  <c r="L40" i="230"/>
  <c r="P35" i="236"/>
  <c r="N33" i="233"/>
  <c r="K51" i="233"/>
  <c r="I51" i="232"/>
  <c r="L32" i="232"/>
  <c r="I41" i="230"/>
  <c r="I36" i="236"/>
  <c r="AD54" i="230"/>
  <c r="X38" i="230"/>
  <c r="X37" i="230" s="1"/>
  <c r="X42" i="230" s="1"/>
  <c r="Z27" i="230"/>
  <c r="X26" i="230"/>
  <c r="V25" i="230"/>
  <c r="T24" i="230"/>
  <c r="AD22" i="230"/>
  <c r="AB21" i="230"/>
  <c r="V17" i="230"/>
  <c r="AB15" i="230"/>
  <c r="U20" i="230"/>
  <c r="AC54" i="230"/>
  <c r="W38" i="230"/>
  <c r="W37" i="230" s="1"/>
  <c r="W42" i="230" s="1"/>
  <c r="Y27" i="230"/>
  <c r="W26" i="230"/>
  <c r="U25" i="230"/>
  <c r="S24" i="230"/>
  <c r="AC22" i="230"/>
  <c r="AA21" i="230"/>
  <c r="Y20" i="230"/>
  <c r="W19" i="230"/>
  <c r="U17" i="230"/>
  <c r="S16" i="230"/>
  <c r="AC14" i="230"/>
  <c r="AA13" i="230"/>
  <c r="X13" i="230"/>
  <c r="AC16" i="230"/>
  <c r="AB54" i="230"/>
  <c r="V38" i="230"/>
  <c r="V37" i="230" s="1"/>
  <c r="V42" i="230" s="1"/>
  <c r="X27" i="230"/>
  <c r="V26" i="230"/>
  <c r="T25" i="230"/>
  <c r="AD23" i="230"/>
  <c r="AB22" i="230"/>
  <c r="Z21" i="230"/>
  <c r="X20" i="230"/>
  <c r="V19" i="230"/>
  <c r="T17" i="230"/>
  <c r="AD15" i="230"/>
  <c r="AB14" i="230"/>
  <c r="Z13" i="230"/>
  <c r="Z14" i="230"/>
  <c r="S38" i="230"/>
  <c r="W13" i="230"/>
  <c r="AA54" i="230"/>
  <c r="U38" i="230"/>
  <c r="U37" i="230" s="1"/>
  <c r="U42" i="230" s="1"/>
  <c r="W27" i="230"/>
  <c r="U26" i="230"/>
  <c r="S25" i="230"/>
  <c r="AC23" i="230"/>
  <c r="AA22" i="230"/>
  <c r="Y21" i="230"/>
  <c r="W20" i="230"/>
  <c r="U19" i="230"/>
  <c r="S17" i="230"/>
  <c r="AC15" i="230"/>
  <c r="AA14" i="230"/>
  <c r="Y13" i="230"/>
  <c r="Z54" i="230"/>
  <c r="T38" i="230"/>
  <c r="T37" i="230" s="1"/>
  <c r="T42" i="230" s="1"/>
  <c r="V27" i="230"/>
  <c r="AB23" i="230"/>
  <c r="Y54" i="230"/>
  <c r="AA15" i="230"/>
  <c r="X54" i="230"/>
  <c r="T27" i="230"/>
  <c r="AD25" i="230"/>
  <c r="AB24" i="230"/>
  <c r="Z23" i="230"/>
  <c r="X22" i="230"/>
  <c r="V21" i="230"/>
  <c r="T20" i="230"/>
  <c r="AD17" i="230"/>
  <c r="AB16" i="230"/>
  <c r="Z15" i="230"/>
  <c r="X14" i="230"/>
  <c r="V13" i="230"/>
  <c r="T22" i="230"/>
  <c r="V15" i="230"/>
  <c r="W17" i="230"/>
  <c r="T16" i="230"/>
  <c r="V20" i="230"/>
  <c r="AC24" i="230"/>
  <c r="W54" i="230"/>
  <c r="S27" i="230"/>
  <c r="AC25" i="230"/>
  <c r="AA24" i="230"/>
  <c r="Y23" i="230"/>
  <c r="W22" i="230"/>
  <c r="U21" i="230"/>
  <c r="S20" i="230"/>
  <c r="AC17" i="230"/>
  <c r="AA16" i="230"/>
  <c r="Y15" i="230"/>
  <c r="W14" i="230"/>
  <c r="U13" i="230"/>
  <c r="T13" i="230"/>
  <c r="Z17" i="230"/>
  <c r="U24" i="230"/>
  <c r="AC13" i="230"/>
  <c r="AD24" i="230"/>
  <c r="W21" i="230"/>
  <c r="V54" i="230"/>
  <c r="AD38" i="230"/>
  <c r="AD37" i="230" s="1"/>
  <c r="AD42" i="230" s="1"/>
  <c r="AD26" i="230"/>
  <c r="AB25" i="230"/>
  <c r="Z24" i="230"/>
  <c r="X23" i="230"/>
  <c r="V22" i="230"/>
  <c r="T21" i="230"/>
  <c r="AD19" i="230"/>
  <c r="AB17" i="230"/>
  <c r="Z16" i="230"/>
  <c r="X15" i="230"/>
  <c r="V14" i="230"/>
  <c r="X16" i="230"/>
  <c r="S23" i="230"/>
  <c r="S15" i="230"/>
  <c r="T26" i="230"/>
  <c r="S19" i="230"/>
  <c r="U54" i="230"/>
  <c r="AC38" i="230"/>
  <c r="AC37" i="230" s="1"/>
  <c r="AC42" i="230" s="1"/>
  <c r="AC26" i="230"/>
  <c r="AA25" i="230"/>
  <c r="Y24" i="230"/>
  <c r="W23" i="230"/>
  <c r="U22" i="230"/>
  <c r="S21" i="230"/>
  <c r="AC19" i="230"/>
  <c r="AA17" i="230"/>
  <c r="Y16" i="230"/>
  <c r="W15" i="230"/>
  <c r="U14" i="230"/>
  <c r="S13" i="230"/>
  <c r="AD20" i="230"/>
  <c r="T14" i="230"/>
  <c r="U16" i="230"/>
  <c r="AB13" i="230"/>
  <c r="AD16" i="230"/>
  <c r="U27" i="230"/>
  <c r="Y14" i="230"/>
  <c r="T54" i="230"/>
  <c r="AB38" i="230"/>
  <c r="AB37" i="230" s="1"/>
  <c r="AB42" i="230" s="1"/>
  <c r="AD27" i="230"/>
  <c r="AB26" i="230"/>
  <c r="Z25" i="230"/>
  <c r="X24" i="230"/>
  <c r="V23" i="230"/>
  <c r="AB19" i="230"/>
  <c r="AC21" i="230"/>
  <c r="Z20" i="230"/>
  <c r="Z22" i="230"/>
  <c r="Y22" i="230"/>
  <c r="S54" i="230"/>
  <c r="AA38" i="230"/>
  <c r="AA37" i="230" s="1"/>
  <c r="AA42" i="230" s="1"/>
  <c r="AC27" i="230"/>
  <c r="AA26" i="230"/>
  <c r="Y25" i="230"/>
  <c r="W24" i="230"/>
  <c r="U23" i="230"/>
  <c r="S22" i="230"/>
  <c r="AC20" i="230"/>
  <c r="AA19" i="230"/>
  <c r="Y17" i="230"/>
  <c r="W16" i="230"/>
  <c r="U15" i="230"/>
  <c r="S14" i="230"/>
  <c r="AA27" i="230"/>
  <c r="W25" i="230"/>
  <c r="Y19" i="230"/>
  <c r="AD14" i="230"/>
  <c r="T19" i="230"/>
  <c r="AA23" i="230"/>
  <c r="Z38" i="230"/>
  <c r="Z37" i="230" s="1"/>
  <c r="Z42" i="230" s="1"/>
  <c r="AB27" i="230"/>
  <c r="Z26" i="230"/>
  <c r="X25" i="230"/>
  <c r="V24" i="230"/>
  <c r="T23" i="230"/>
  <c r="AD21" i="230"/>
  <c r="AB20" i="230"/>
  <c r="Z19" i="230"/>
  <c r="X17" i="230"/>
  <c r="V16" i="230"/>
  <c r="T15" i="230"/>
  <c r="AD13" i="230"/>
  <c r="Y38" i="230"/>
  <c r="Y37" i="230" s="1"/>
  <c r="Y42" i="230" s="1"/>
  <c r="Y26" i="230"/>
  <c r="AA20" i="230"/>
  <c r="X19" i="230"/>
  <c r="X21" i="230"/>
  <c r="S26" i="230"/>
  <c r="BA55" i="250"/>
  <c r="BA56" i="250" s="1"/>
  <c r="BA68" i="250"/>
  <c r="BA69" i="250" s="1"/>
  <c r="AX77" i="250"/>
  <c r="AX78" i="250" s="1"/>
  <c r="BB23" i="250"/>
  <c r="BA24" i="250"/>
  <c r="BA30" i="250"/>
  <c r="BA31" i="250" s="1"/>
  <c r="BA26" i="250"/>
  <c r="BA27" i="250" s="1"/>
  <c r="BA28" i="250"/>
  <c r="BA29" i="250" s="1"/>
  <c r="BA32" i="250"/>
  <c r="BA33" i="250" s="1"/>
  <c r="BC11" i="250"/>
  <c r="BB51" i="250"/>
  <c r="BB64" i="250" s="1"/>
  <c r="BB68" i="250" s="1"/>
  <c r="BB58" i="250"/>
  <c r="BB38" i="250"/>
  <c r="BB40" i="250"/>
  <c r="BB43" i="250" s="1"/>
  <c r="BD37" i="250" a="1"/>
  <c r="BD37" i="250" s="1"/>
  <c r="BD42" i="250" s="1"/>
  <c r="BC45" i="250"/>
  <c r="BC58" i="250" s="1"/>
  <c r="BD8" i="250"/>
  <c r="BC35" i="250"/>
  <c r="BC9" i="250"/>
  <c r="BD36" i="250" a="1"/>
  <c r="BD36" i="250" s="1"/>
  <c r="BD41" i="250" s="1"/>
  <c r="BC54" i="250"/>
  <c r="BC67" i="250" s="1"/>
  <c r="BC50" i="250"/>
  <c r="BC63" i="250" s="1"/>
  <c r="BD10" i="250" a="1"/>
  <c r="BD10" i="250" s="1"/>
  <c r="BD47" i="250" s="1"/>
  <c r="BC52" i="250"/>
  <c r="BC65" i="250" s="1"/>
  <c r="BC49" i="250"/>
  <c r="BC62" i="250" s="1"/>
  <c r="BC53" i="250"/>
  <c r="BC66" i="250" s="1"/>
  <c r="BC47" i="250"/>
  <c r="AM21" i="177"/>
  <c r="AT21" i="177"/>
  <c r="AU21" i="177"/>
  <c r="BG21" i="177"/>
  <c r="BM21" i="177"/>
  <c r="AN21" i="177"/>
  <c r="BA21" i="177"/>
  <c r="AO21" i="177"/>
  <c r="BK21" i="177"/>
  <c r="BB21" i="177"/>
  <c r="BI21" i="177"/>
  <c r="AQ21" i="177"/>
  <c r="AV21" i="177"/>
  <c r="BL21" i="177"/>
  <c r="AW21" i="177"/>
  <c r="BD21" i="177"/>
  <c r="AY21" i="177"/>
  <c r="BN21" i="177"/>
  <c r="AL21" i="177"/>
  <c r="BC21" i="177"/>
  <c r="BE21" i="177"/>
  <c r="AZ21" i="177"/>
  <c r="BJ21" i="177"/>
  <c r="BO21" i="177"/>
  <c r="AS21" i="177"/>
  <c r="BH21" i="177"/>
  <c r="AP21" i="177"/>
  <c r="AX21" i="177"/>
  <c r="AR21" i="177"/>
  <c r="BF21" i="177"/>
  <c r="AJ120" i="204"/>
  <c r="Y120" i="204"/>
  <c r="AH120" i="204"/>
  <c r="AI120" i="204"/>
  <c r="AG120" i="204"/>
  <c r="AF120" i="204"/>
  <c r="AA96" i="204"/>
  <c r="AB96" i="204"/>
  <c r="AE96" i="204"/>
  <c r="AD96" i="204"/>
  <c r="AC96" i="204"/>
  <c r="B67" i="218"/>
  <c r="B67" i="204"/>
  <c r="B93" i="218"/>
  <c r="B95" i="198"/>
  <c r="AK89" i="204"/>
  <c r="AK196" i="204"/>
  <c r="AG135" i="218"/>
  <c r="Y135" i="218"/>
  <c r="Z135" i="218"/>
  <c r="AJ135" i="218"/>
  <c r="AI135" i="218"/>
  <c r="AH135" i="218"/>
  <c r="AD135" i="218"/>
  <c r="AC135" i="218"/>
  <c r="AA135" i="218"/>
  <c r="AK36" i="204"/>
  <c r="AI48" i="204"/>
  <c r="AB48" i="204"/>
  <c r="Z48" i="204"/>
  <c r="Y48" i="204"/>
  <c r="Y69" i="204"/>
  <c r="AH83" i="204"/>
  <c r="Y83" i="204"/>
  <c r="AD83" i="204"/>
  <c r="AG83" i="204"/>
  <c r="Z84" i="204"/>
  <c r="B158" i="204"/>
  <c r="B159" i="204"/>
  <c r="AI113" i="204"/>
  <c r="AH113" i="204"/>
  <c r="AF49" i="218"/>
  <c r="Y49" i="218"/>
  <c r="AJ105" i="218"/>
  <c r="AI105" i="218"/>
  <c r="AG105" i="218"/>
  <c r="AD105" i="218"/>
  <c r="Z105" i="218"/>
  <c r="Y105" i="218"/>
  <c r="AF105" i="218"/>
  <c r="B135" i="218"/>
  <c r="C39" i="204"/>
  <c r="Y126" i="204"/>
  <c r="AF126" i="204"/>
  <c r="AD126" i="204"/>
  <c r="AA126" i="204"/>
  <c r="AE126" i="204"/>
  <c r="AB59" i="204"/>
  <c r="AG59" i="204"/>
  <c r="Y60" i="204"/>
  <c r="B53" i="204"/>
  <c r="Z60" i="204"/>
  <c r="AD25" i="204"/>
  <c r="Y25" i="204"/>
  <c r="AJ25" i="204"/>
  <c r="AD55" i="204"/>
  <c r="Z55" i="204"/>
  <c r="AH55" i="204"/>
  <c r="AA60" i="204"/>
  <c r="AE67" i="204"/>
  <c r="AB69" i="204"/>
  <c r="AB84" i="204"/>
  <c r="AD91" i="204"/>
  <c r="Z97" i="204"/>
  <c r="AG112" i="204"/>
  <c r="Z112" i="204"/>
  <c r="Y112" i="204"/>
  <c r="B113" i="204"/>
  <c r="AD114" i="204"/>
  <c r="Z124" i="204"/>
  <c r="Z137" i="204"/>
  <c r="AA148" i="204"/>
  <c r="AD168" i="204"/>
  <c r="AB168" i="204"/>
  <c r="AC168" i="204"/>
  <c r="Z168" i="204"/>
  <c r="AJ168" i="204"/>
  <c r="Z171" i="204"/>
  <c r="AE174" i="204"/>
  <c r="AC174" i="204"/>
  <c r="AF178" i="204"/>
  <c r="B181" i="204"/>
  <c r="AG182" i="204"/>
  <c r="Z182" i="204"/>
  <c r="AA182" i="204"/>
  <c r="AI182" i="204"/>
  <c r="AD182" i="204"/>
  <c r="AB182" i="204"/>
  <c r="AA187" i="204"/>
  <c r="AE198" i="204"/>
  <c r="AC198" i="204"/>
  <c r="AA198" i="204"/>
  <c r="Z198" i="204"/>
  <c r="AD198" i="204"/>
  <c r="AB198" i="204"/>
  <c r="Y198" i="204"/>
  <c r="AK198" i="204" s="1"/>
  <c r="AC23" i="218"/>
  <c r="AG27" i="218"/>
  <c r="AA27" i="218"/>
  <c r="Y27" i="218"/>
  <c r="AD27" i="218"/>
  <c r="AC27" i="218"/>
  <c r="AB27" i="218"/>
  <c r="AC27" i="204"/>
  <c r="Y27" i="204"/>
  <c r="AG78" i="204"/>
  <c r="AD78" i="204"/>
  <c r="AB78" i="204"/>
  <c r="AA78" i="204"/>
  <c r="AJ78" i="204"/>
  <c r="AA84" i="204"/>
  <c r="Z41" i="204"/>
  <c r="AD44" i="204"/>
  <c r="AJ44" i="204"/>
  <c r="AG44" i="204"/>
  <c r="AA44" i="204"/>
  <c r="Z45" i="204"/>
  <c r="AM9" i="198"/>
  <c r="X11" i="198"/>
  <c r="I12" i="198"/>
  <c r="AG14" i="198"/>
  <c r="S23" i="198"/>
  <c r="B143" i="198"/>
  <c r="AB175" i="198"/>
  <c r="AB186" i="198"/>
  <c r="AL188" i="198"/>
  <c r="N202" i="198"/>
  <c r="AW204" i="198"/>
  <c r="M204" i="198"/>
  <c r="F99" i="206"/>
  <c r="C25" i="204"/>
  <c r="AB28" i="204"/>
  <c r="AJ30" i="204"/>
  <c r="AH30" i="204"/>
  <c r="AC34" i="204"/>
  <c r="AG36" i="204"/>
  <c r="AB45" i="204"/>
  <c r="Y59" i="204"/>
  <c r="AB60" i="204"/>
  <c r="Y63" i="204"/>
  <c r="AB63" i="204"/>
  <c r="Z63" i="204"/>
  <c r="AA63" i="204"/>
  <c r="AE63" i="204"/>
  <c r="Y66" i="204"/>
  <c r="AH67" i="204"/>
  <c r="AC69" i="204"/>
  <c r="Z83" i="204"/>
  <c r="AC84" i="204"/>
  <c r="B86" i="204"/>
  <c r="AF91" i="204"/>
  <c r="AB126" i="204"/>
  <c r="AB137" i="204"/>
  <c r="AD146" i="204"/>
  <c r="AD148" i="204"/>
  <c r="AD23" i="218"/>
  <c r="C11" i="198"/>
  <c r="BF11" i="198"/>
  <c r="X13" i="198"/>
  <c r="AB13" i="198"/>
  <c r="AD13" i="198" s="1"/>
  <c r="AG13" i="198"/>
  <c r="C14" i="198"/>
  <c r="M15" i="198"/>
  <c r="X15" i="198"/>
  <c r="I175" i="198"/>
  <c r="C186" i="198"/>
  <c r="C47" i="218"/>
  <c r="C47" i="204"/>
  <c r="AJ124" i="204"/>
  <c r="AB124" i="204"/>
  <c r="AI88" i="204"/>
  <c r="AC88" i="204"/>
  <c r="AA88" i="204"/>
  <c r="AE97" i="204"/>
  <c r="AG97" i="204"/>
  <c r="AD97" i="204"/>
  <c r="AI38" i="204"/>
  <c r="AB38" i="204"/>
  <c r="Z38" i="204"/>
  <c r="AG38" i="204"/>
  <c r="AI171" i="204"/>
  <c r="AA171" i="204"/>
  <c r="Y171" i="204"/>
  <c r="AE171" i="204"/>
  <c r="AC171" i="204"/>
  <c r="AH171" i="204"/>
  <c r="AL9" i="198"/>
  <c r="W11" i="198"/>
  <c r="H12" i="198"/>
  <c r="W13" i="198"/>
  <c r="AB14" i="198"/>
  <c r="AB15" i="198"/>
  <c r="R23" i="198"/>
  <c r="B62" i="198"/>
  <c r="X175" i="198"/>
  <c r="X186" i="198"/>
  <c r="AG188" i="198"/>
  <c r="M202" i="198"/>
  <c r="AB105" i="204"/>
  <c r="AD105" i="204"/>
  <c r="AH105" i="204"/>
  <c r="AB116" i="204"/>
  <c r="C193" i="204"/>
  <c r="AF203" i="204"/>
  <c r="AD8" i="218"/>
  <c r="AB8" i="218"/>
  <c r="AB12" i="218" s="1"/>
  <c r="AA25" i="218"/>
  <c r="AC41" i="218"/>
  <c r="Y41" i="218"/>
  <c r="AF41" i="218"/>
  <c r="AD41" i="218"/>
  <c r="AB41" i="218"/>
  <c r="AJ41" i="218"/>
  <c r="AI41" i="218"/>
  <c r="AG41" i="218"/>
  <c r="AJ85" i="218"/>
  <c r="Z85" i="218"/>
  <c r="AA85" i="218"/>
  <c r="AC85" i="218"/>
  <c r="AB85" i="218"/>
  <c r="Y85" i="218"/>
  <c r="AG85" i="218"/>
  <c r="AF85" i="218"/>
  <c r="AE85" i="218"/>
  <c r="Y129" i="218"/>
  <c r="AG129" i="218"/>
  <c r="AD129" i="218"/>
  <c r="AC129" i="218"/>
  <c r="Z129" i="218"/>
  <c r="AD175" i="204"/>
  <c r="AD183" i="204" s="1"/>
  <c r="AI175" i="204"/>
  <c r="AH9" i="198"/>
  <c r="R11" i="198"/>
  <c r="D12" i="198"/>
  <c r="R13" i="198"/>
  <c r="X14" i="198"/>
  <c r="W15" i="198"/>
  <c r="N23" i="198"/>
  <c r="B70" i="198"/>
  <c r="B88" i="198"/>
  <c r="W175" i="198"/>
  <c r="W186" i="198"/>
  <c r="AC188" i="198"/>
  <c r="H202" i="198"/>
  <c r="C33" i="219"/>
  <c r="C33" i="218"/>
  <c r="C40" i="218"/>
  <c r="C40" i="219"/>
  <c r="B55" i="218"/>
  <c r="B55" i="219"/>
  <c r="B55" i="204"/>
  <c r="B62" i="204"/>
  <c r="B62" i="218"/>
  <c r="B71" i="198"/>
  <c r="B69" i="219"/>
  <c r="B69" i="218"/>
  <c r="C80" i="218"/>
  <c r="C80" i="219"/>
  <c r="C87" i="219"/>
  <c r="C87" i="218"/>
  <c r="C101" i="219"/>
  <c r="C101" i="218"/>
  <c r="Y124" i="204"/>
  <c r="Y64" i="204"/>
  <c r="Z65" i="204"/>
  <c r="Z66" i="204"/>
  <c r="AJ67" i="204"/>
  <c r="AD69" i="204"/>
  <c r="Y141" i="204"/>
  <c r="AH144" i="204"/>
  <c r="Z144" i="204"/>
  <c r="AE148" i="204"/>
  <c r="Z150" i="204"/>
  <c r="AG150" i="204"/>
  <c r="Z131" i="204"/>
  <c r="AA134" i="204"/>
  <c r="AE137" i="204"/>
  <c r="Z140" i="204"/>
  <c r="AI147" i="204"/>
  <c r="AH147" i="204"/>
  <c r="AG148" i="204"/>
  <c r="Z162" i="204"/>
  <c r="AB163" i="204"/>
  <c r="Y164" i="204"/>
  <c r="Y166" i="204"/>
  <c r="AB169" i="204"/>
  <c r="AF171" i="204"/>
  <c r="AD192" i="204"/>
  <c r="AB192" i="204"/>
  <c r="Z192" i="204"/>
  <c r="AG192" i="204"/>
  <c r="AE192" i="204"/>
  <c r="AC192" i="204"/>
  <c r="AF194" i="204"/>
  <c r="AI194" i="204"/>
  <c r="AA10" i="218"/>
  <c r="AE18" i="218"/>
  <c r="AF18" i="218"/>
  <c r="AC18" i="218"/>
  <c r="AB18" i="218"/>
  <c r="AA18" i="218"/>
  <c r="Y18" i="218"/>
  <c r="AH18" i="218"/>
  <c r="AG18" i="218"/>
  <c r="AD18" i="218"/>
  <c r="AI25" i="218"/>
  <c r="AC39" i="218"/>
  <c r="AH141" i="204"/>
  <c r="AF141" i="204"/>
  <c r="AD141" i="204"/>
  <c r="AF79" i="204"/>
  <c r="AD79" i="204"/>
  <c r="AG79" i="204"/>
  <c r="AB91" i="204"/>
  <c r="B93" i="204"/>
  <c r="Y97" i="204"/>
  <c r="AQ9" i="198"/>
  <c r="AB11" i="198"/>
  <c r="M12" i="198"/>
  <c r="AL13" i="198"/>
  <c r="AL14" i="198"/>
  <c r="AG15" i="198"/>
  <c r="W23" i="198"/>
  <c r="B63" i="198"/>
  <c r="B119" i="198"/>
  <c r="B128" i="198"/>
  <c r="AC175" i="198"/>
  <c r="AC186" i="198"/>
  <c r="BF188" i="198"/>
  <c r="R202" i="198"/>
  <c r="AC28" i="204"/>
  <c r="C33" i="204"/>
  <c r="AD34" i="204"/>
  <c r="Y131" i="204"/>
  <c r="AK61" i="204"/>
  <c r="AB64" i="204"/>
  <c r="AA65" i="204"/>
  <c r="AB66" i="204"/>
  <c r="AF68" i="204"/>
  <c r="AH68" i="204"/>
  <c r="AD68" i="204"/>
  <c r="AB83" i="204"/>
  <c r="AG84" i="204"/>
  <c r="Z88" i="204"/>
  <c r="Z93" i="204"/>
  <c r="AC97" i="204"/>
  <c r="AC64" i="204"/>
  <c r="AC65" i="204"/>
  <c r="AC66" i="204"/>
  <c r="B75" i="204"/>
  <c r="AC83" i="204"/>
  <c r="AH84" i="204"/>
  <c r="AF86" i="204"/>
  <c r="AB88" i="204"/>
  <c r="AB134" i="204"/>
  <c r="Z136" i="204"/>
  <c r="AE138" i="204"/>
  <c r="AJ138" i="204"/>
  <c r="AH138" i="204"/>
  <c r="AA140" i="204"/>
  <c r="AA141" i="204"/>
  <c r="Y158" i="204"/>
  <c r="AK158" i="204" s="1"/>
  <c r="AA162" i="204"/>
  <c r="AD163" i="204"/>
  <c r="Z164" i="204"/>
  <c r="Z166" i="204"/>
  <c r="AG169" i="204"/>
  <c r="AG171" i="204"/>
  <c r="AE175" i="204"/>
  <c r="AE178" i="204"/>
  <c r="AI178" i="204"/>
  <c r="AC178" i="204"/>
  <c r="AA178" i="204"/>
  <c r="AG178" i="204"/>
  <c r="AF180" i="204"/>
  <c r="AJ180" i="204"/>
  <c r="AH180" i="204"/>
  <c r="Z180" i="204"/>
  <c r="B192" i="204"/>
  <c r="AE204" i="204"/>
  <c r="AJ204" i="204"/>
  <c r="AB10" i="218"/>
  <c r="AE39" i="218"/>
  <c r="Z75" i="218"/>
  <c r="AG75" i="218"/>
  <c r="AD75" i="218"/>
  <c r="AF80" i="218"/>
  <c r="AJ80" i="218"/>
  <c r="AH80" i="218"/>
  <c r="AG80" i="218"/>
  <c r="AE80" i="218"/>
  <c r="AD80" i="218"/>
  <c r="AC80" i="218"/>
  <c r="Y80" i="218"/>
  <c r="AA41" i="204"/>
  <c r="Y41" i="204"/>
  <c r="AJ41" i="204"/>
  <c r="AA45" i="204"/>
  <c r="AH45" i="204"/>
  <c r="AE45" i="204"/>
  <c r="Z145" i="204"/>
  <c r="Y145" i="204"/>
  <c r="AB145" i="204"/>
  <c r="AF145" i="204"/>
  <c r="AE146" i="204"/>
  <c r="AF146" i="204"/>
  <c r="AI146" i="204"/>
  <c r="AG146" i="204"/>
  <c r="AA83" i="204"/>
  <c r="Y88" i="204"/>
  <c r="Y134" i="204"/>
  <c r="AG126" i="204"/>
  <c r="AG113" i="204"/>
  <c r="AH127" i="204"/>
  <c r="AG127" i="204"/>
  <c r="AE127" i="204"/>
  <c r="AD127" i="204"/>
  <c r="AJ127" i="204"/>
  <c r="AB131" i="204"/>
  <c r="AB136" i="204"/>
  <c r="AB140" i="204"/>
  <c r="AB141" i="204"/>
  <c r="AA145" i="204"/>
  <c r="AB149" i="204"/>
  <c r="Z149" i="204"/>
  <c r="AI149" i="204"/>
  <c r="AC158" i="204"/>
  <c r="Y161" i="204"/>
  <c r="AC162" i="204"/>
  <c r="AG163" i="204"/>
  <c r="AA164" i="204"/>
  <c r="AB166" i="204"/>
  <c r="AI169" i="204"/>
  <c r="AJ171" i="204"/>
  <c r="AG175" i="204"/>
  <c r="AD10" i="218"/>
  <c r="Y26" i="218"/>
  <c r="AD26" i="218"/>
  <c r="AA26" i="218"/>
  <c r="AG26" i="218"/>
  <c r="AF26" i="218"/>
  <c r="AE26" i="218"/>
  <c r="AH39" i="218"/>
  <c r="AI86" i="218"/>
  <c r="AB86" i="218"/>
  <c r="Y86" i="218"/>
  <c r="AE135" i="218"/>
  <c r="AA39" i="204"/>
  <c r="Y39" i="204"/>
  <c r="AH39" i="204"/>
  <c r="D9" i="198"/>
  <c r="M11" i="198"/>
  <c r="M13" i="198"/>
  <c r="M14" i="198"/>
  <c r="N15" i="198"/>
  <c r="H23" i="198"/>
  <c r="BB23" i="198"/>
  <c r="B69" i="198"/>
  <c r="R175" i="198"/>
  <c r="R186" i="198"/>
  <c r="W188" i="198"/>
  <c r="A96" i="218"/>
  <c r="A98" i="198"/>
  <c r="F124" i="206"/>
  <c r="AF134" i="204"/>
  <c r="Z134" i="204"/>
  <c r="AH134" i="204"/>
  <c r="B135" i="204"/>
  <c r="AC41" i="204"/>
  <c r="AC45" i="204"/>
  <c r="AJ50" i="204"/>
  <c r="AC50" i="204"/>
  <c r="AA50" i="204"/>
  <c r="Y56" i="204"/>
  <c r="Z59" i="204"/>
  <c r="AC60" i="204"/>
  <c r="AJ92" i="204"/>
  <c r="AH92" i="204"/>
  <c r="AE92" i="204"/>
  <c r="AF92" i="204"/>
  <c r="Y93" i="204"/>
  <c r="AB97" i="204"/>
  <c r="Z157" i="204"/>
  <c r="AB157" i="204"/>
  <c r="Y157" i="204"/>
  <c r="AA157" i="204"/>
  <c r="AE157" i="204"/>
  <c r="Y163" i="204"/>
  <c r="AA169" i="204"/>
  <c r="AD171" i="204"/>
  <c r="AL11" i="198"/>
  <c r="AM12" i="198"/>
  <c r="BB13" i="198"/>
  <c r="BA14" i="198"/>
  <c r="BA15" i="198"/>
  <c r="H22" i="198"/>
  <c r="AB23" i="198"/>
  <c r="B64" i="198"/>
  <c r="B120" i="198"/>
  <c r="AV175" i="198"/>
  <c r="BB186" i="198"/>
  <c r="BC186" i="198" s="1"/>
  <c r="AB202" i="198"/>
  <c r="AD202" i="198" s="1"/>
  <c r="R204" i="198"/>
  <c r="C208" i="198"/>
  <c r="F123" i="206"/>
  <c r="F125" i="206"/>
  <c r="Z27" i="204"/>
  <c r="AB29" i="204"/>
  <c r="AG29" i="204"/>
  <c r="AD29" i="204"/>
  <c r="AH31" i="204"/>
  <c r="AF34" i="204"/>
  <c r="AA38" i="204"/>
  <c r="AB39" i="204"/>
  <c r="AA40" i="204"/>
  <c r="AE41" i="204"/>
  <c r="Z44" i="204"/>
  <c r="AF45" i="204"/>
  <c r="AC48" i="204"/>
  <c r="AA51" i="204"/>
  <c r="Y55" i="204"/>
  <c r="AC59" i="204"/>
  <c r="AE60" i="204"/>
  <c r="AA131" i="204"/>
  <c r="AR11" i="198"/>
  <c r="BF13" i="198"/>
  <c r="BB14" i="198"/>
  <c r="BF15" i="198"/>
  <c r="I22" i="198"/>
  <c r="AC23" i="198"/>
  <c r="B56" i="198"/>
  <c r="B137" i="198"/>
  <c r="BB175" i="198"/>
  <c r="BG186" i="198"/>
  <c r="S204" i="198"/>
  <c r="M208" i="198"/>
  <c r="C131" i="218"/>
  <c r="C131" i="204"/>
  <c r="AA27" i="204"/>
  <c r="Y32" i="204"/>
  <c r="AB32" i="204"/>
  <c r="Z32" i="204"/>
  <c r="AA32" i="204"/>
  <c r="Y33" i="204"/>
  <c r="AH34" i="204"/>
  <c r="AC38" i="204"/>
  <c r="AC39" i="204"/>
  <c r="AB40" i="204"/>
  <c r="AI41" i="204"/>
  <c r="AB44" i="204"/>
  <c r="AG45" i="204"/>
  <c r="AJ48" i="204"/>
  <c r="AI51" i="204"/>
  <c r="AA55" i="204"/>
  <c r="AD59" i="204"/>
  <c r="AB93" i="204"/>
  <c r="AH97" i="204"/>
  <c r="AC100" i="204"/>
  <c r="Y105" i="204"/>
  <c r="AJ113" i="204"/>
  <c r="AD63" i="204"/>
  <c r="AH64" i="204"/>
  <c r="AE65" i="204"/>
  <c r="AF66" i="204"/>
  <c r="AE79" i="204"/>
  <c r="AF83" i="204"/>
  <c r="Y92" i="204"/>
  <c r="AD100" i="204"/>
  <c r="Z105" i="204"/>
  <c r="AE109" i="204"/>
  <c r="AC109" i="204"/>
  <c r="AC131" i="204"/>
  <c r="AD134" i="204"/>
  <c r="AC136" i="204"/>
  <c r="AC140" i="204"/>
  <c r="AC141" i="204"/>
  <c r="AC145" i="204"/>
  <c r="AH152" i="204"/>
  <c r="AD152" i="204"/>
  <c r="Z152" i="204"/>
  <c r="AA152" i="204"/>
  <c r="AF158" i="204"/>
  <c r="AH163" i="204"/>
  <c r="AB164" i="204"/>
  <c r="AI166" i="204"/>
  <c r="Y168" i="204"/>
  <c r="Z174" i="204"/>
  <c r="AJ175" i="204"/>
  <c r="C26" i="218"/>
  <c r="Z27" i="218"/>
  <c r="AI39" i="218"/>
  <c r="AI136" i="218"/>
  <c r="AB136" i="218"/>
  <c r="Y136" i="218"/>
  <c r="AG136" i="218"/>
  <c r="AJ136" i="218"/>
  <c r="AH136" i="218"/>
  <c r="AA136" i="218"/>
  <c r="AH60" i="204"/>
  <c r="AI60" i="204"/>
  <c r="AK142" i="204"/>
  <c r="AB9" i="198"/>
  <c r="N11" i="198"/>
  <c r="AV12" i="198"/>
  <c r="R12" i="198"/>
  <c r="AH12" i="198"/>
  <c r="N13" i="198"/>
  <c r="O13" i="198" s="1"/>
  <c r="R14" i="198"/>
  <c r="R15" i="198"/>
  <c r="I23" i="198"/>
  <c r="J23" i="198" s="1"/>
  <c r="BG23" i="198"/>
  <c r="A126" i="198"/>
  <c r="B150" i="198"/>
  <c r="S175" i="198"/>
  <c r="S186" i="198"/>
  <c r="AB188" i="198"/>
  <c r="BF202" i="198"/>
  <c r="I202" i="198"/>
  <c r="W202" i="198"/>
  <c r="B109" i="219"/>
  <c r="B109" i="204"/>
  <c r="B109" i="218"/>
  <c r="B117" i="219"/>
  <c r="B117" i="218"/>
  <c r="B128" i="219"/>
  <c r="B128" i="218"/>
  <c r="C142" i="219"/>
  <c r="C142" i="218"/>
  <c r="B159" i="219"/>
  <c r="B159" i="218"/>
  <c r="B166" i="204"/>
  <c r="B166" i="218"/>
  <c r="C175" i="219"/>
  <c r="C175" i="204"/>
  <c r="C175" i="218"/>
  <c r="C182" i="219"/>
  <c r="C182" i="218"/>
  <c r="C204" i="219"/>
  <c r="C204" i="218"/>
  <c r="AF93" i="204"/>
  <c r="AH93" i="204"/>
  <c r="AE93" i="204"/>
  <c r="AD161" i="204"/>
  <c r="AI161" i="204"/>
  <c r="AG161" i="204"/>
  <c r="AA161" i="204"/>
  <c r="AF162" i="204"/>
  <c r="AH162" i="204"/>
  <c r="AE162" i="204"/>
  <c r="Y162" i="204"/>
  <c r="AB162" i="204"/>
  <c r="AH122" i="204"/>
  <c r="AD122" i="204"/>
  <c r="AB122" i="204"/>
  <c r="Y122" i="204"/>
  <c r="AC124" i="204"/>
  <c r="AC126" i="204"/>
  <c r="B128" i="204"/>
  <c r="AC11" i="198"/>
  <c r="AL12" i="198"/>
  <c r="AQ13" i="198"/>
  <c r="AQ14" i="198"/>
  <c r="AW15" i="198"/>
  <c r="X23" i="198"/>
  <c r="B55" i="198"/>
  <c r="B111" i="198"/>
  <c r="B136" i="198"/>
  <c r="AG175" i="198"/>
  <c r="BG188" i="198"/>
  <c r="S202" i="198"/>
  <c r="N204" i="198"/>
  <c r="O204" i="198" s="1"/>
  <c r="B16" i="204"/>
  <c r="AJ24" i="204"/>
  <c r="AA24" i="204"/>
  <c r="AH28" i="204"/>
  <c r="AE34" i="204"/>
  <c r="AE36" i="204"/>
  <c r="Z36" i="204"/>
  <c r="AI36" i="204"/>
  <c r="Y38" i="204"/>
  <c r="Z39" i="204"/>
  <c r="Z40" i="204"/>
  <c r="AD41" i="204"/>
  <c r="Y44" i="204"/>
  <c r="AD45" i="204"/>
  <c r="AA48" i="204"/>
  <c r="Y51" i="204"/>
  <c r="AA59" i="204"/>
  <c r="AD60" i="204"/>
  <c r="AA93" i="204"/>
  <c r="AF97" i="204"/>
  <c r="AB100" i="204"/>
  <c r="AG64" i="204"/>
  <c r="AD65" i="204"/>
  <c r="AD66" i="204"/>
  <c r="AC79" i="204"/>
  <c r="AF81" i="204"/>
  <c r="AG81" i="204"/>
  <c r="Z81" i="204"/>
  <c r="AE83" i="204"/>
  <c r="AI86" i="204"/>
  <c r="AJ88" i="204"/>
  <c r="AV11" i="198"/>
  <c r="AR12" i="198"/>
  <c r="AS12" i="198" s="1"/>
  <c r="BG13" i="198"/>
  <c r="BF14" i="198"/>
  <c r="BH14" i="198" s="1"/>
  <c r="BG15" i="198"/>
  <c r="AC22" i="198"/>
  <c r="AG23" i="198"/>
  <c r="B130" i="198"/>
  <c r="AG202" i="198"/>
  <c r="W204" i="198"/>
  <c r="N208" i="198"/>
  <c r="C51" i="218"/>
  <c r="C51" i="204"/>
  <c r="AH23" i="198"/>
  <c r="Y24" i="204"/>
  <c r="AB27" i="204"/>
  <c r="B32" i="204"/>
  <c r="Z33" i="204"/>
  <c r="AJ35" i="204"/>
  <c r="Z35" i="204"/>
  <c r="AB35" i="204"/>
  <c r="B37" i="204"/>
  <c r="AD38" i="204"/>
  <c r="AD39" i="204"/>
  <c r="AC40" i="204"/>
  <c r="AC44" i="204"/>
  <c r="AI45" i="204"/>
  <c r="AD49" i="204"/>
  <c r="AH49" i="204"/>
  <c r="AF49" i="204"/>
  <c r="AJ49" i="204"/>
  <c r="AB55" i="204"/>
  <c r="AE59" i="204"/>
  <c r="AG60" i="204"/>
  <c r="BA12" i="198"/>
  <c r="AM22" i="198"/>
  <c r="B57" i="198"/>
  <c r="B76" i="198"/>
  <c r="B191" i="198"/>
  <c r="B199" i="198"/>
  <c r="AR202" i="198"/>
  <c r="AB204" i="198"/>
  <c r="R208" i="198"/>
  <c r="B52" i="218"/>
  <c r="B54" i="198"/>
  <c r="B140" i="218"/>
  <c r="B140" i="204"/>
  <c r="Z24" i="204"/>
  <c r="Z25" i="204"/>
  <c r="AA26" i="204"/>
  <c r="AI27" i="204"/>
  <c r="C32" i="204"/>
  <c r="AA33" i="204"/>
  <c r="AE38" i="204"/>
  <c r="AG39" i="204"/>
  <c r="AE40" i="204"/>
  <c r="AE44" i="204"/>
  <c r="AC55" i="204"/>
  <c r="AG58" i="204"/>
  <c r="AA58" i="204"/>
  <c r="AD58" i="204"/>
  <c r="AF59" i="204"/>
  <c r="AJ60" i="204"/>
  <c r="AF63" i="204"/>
  <c r="AG65" i="204"/>
  <c r="AG68" i="204"/>
  <c r="AH71" i="204"/>
  <c r="T71" i="204"/>
  <c r="Y78" i="204"/>
  <c r="AH79" i="204"/>
  <c r="AI83" i="204"/>
  <c r="C87" i="204"/>
  <c r="Z92" i="204"/>
  <c r="AD93" i="204"/>
  <c r="AE100" i="204"/>
  <c r="AA105" i="204"/>
  <c r="AA122" i="204"/>
  <c r="AE134" i="204"/>
  <c r="AF136" i="204"/>
  <c r="AI142" i="204"/>
  <c r="AJ142" i="204"/>
  <c r="Z142" i="204"/>
  <c r="AD145" i="204"/>
  <c r="AB147" i="204"/>
  <c r="AG158" i="204"/>
  <c r="AB161" i="204"/>
  <c r="AG162" i="204"/>
  <c r="AI163" i="204"/>
  <c r="AA168" i="204"/>
  <c r="AA174" i="204"/>
  <c r="Y182" i="204"/>
  <c r="AG198" i="204"/>
  <c r="AB11" i="218"/>
  <c r="AG11" i="218"/>
  <c r="AF11" i="218"/>
  <c r="AE27" i="218"/>
  <c r="AD49" i="218"/>
  <c r="Z80" i="218"/>
  <c r="AH136" i="204"/>
  <c r="AG145" i="204"/>
  <c r="AI158" i="204"/>
  <c r="AC161" i="204"/>
  <c r="AI162" i="204"/>
  <c r="AD187" i="204"/>
  <c r="AB187" i="204"/>
  <c r="AH187" i="204"/>
  <c r="AE187" i="204"/>
  <c r="AJ10" i="218"/>
  <c r="AF10" i="218"/>
  <c r="AE10" i="218"/>
  <c r="AK31" i="218"/>
  <c r="AD40" i="218"/>
  <c r="AE40" i="218"/>
  <c r="AA80" i="218"/>
  <c r="AE66" i="204"/>
  <c r="AJ66" i="204"/>
  <c r="AA66" i="204"/>
  <c r="AH66" i="204"/>
  <c r="AK66" i="204" s="1"/>
  <c r="AF69" i="204"/>
  <c r="AE69" i="204"/>
  <c r="N69" i="204"/>
  <c r="AA69" i="204"/>
  <c r="AD84" i="204"/>
  <c r="Y84" i="204"/>
  <c r="AF84" i="204"/>
  <c r="Z91" i="204"/>
  <c r="AG91" i="204"/>
  <c r="AE91" i="204"/>
  <c r="AC91" i="204"/>
  <c r="AH91" i="204"/>
  <c r="AD131" i="204"/>
  <c r="AK131" i="204" s="1"/>
  <c r="AI131" i="204"/>
  <c r="AG131" i="204"/>
  <c r="AH131" i="204"/>
  <c r="AI134" i="204"/>
  <c r="AE140" i="204"/>
  <c r="AK140" i="204" s="1"/>
  <c r="AJ140" i="204"/>
  <c r="AI140" i="204"/>
  <c r="AG140" i="204"/>
  <c r="AH140" i="204"/>
  <c r="Y144" i="204"/>
  <c r="AH145" i="204"/>
  <c r="AH150" i="204"/>
  <c r="AC157" i="204"/>
  <c r="AE161" i="204"/>
  <c r="AJ162" i="204"/>
  <c r="AD164" i="204"/>
  <c r="AI164" i="204"/>
  <c r="AG164" i="204"/>
  <c r="AF164" i="204"/>
  <c r="AC8" i="218"/>
  <c r="AC12" i="218" s="1"/>
  <c r="Z18" i="218"/>
  <c r="AI27" i="218"/>
  <c r="AB80" i="218"/>
  <c r="B60" i="204"/>
  <c r="AE163" i="204"/>
  <c r="AC163" i="204"/>
  <c r="AA163" i="204"/>
  <c r="Z163" i="204"/>
  <c r="AE169" i="204"/>
  <c r="AC169" i="204"/>
  <c r="AH169" i="204"/>
  <c r="AD169" i="204"/>
  <c r="AI189" i="204"/>
  <c r="AF189" i="204"/>
  <c r="AB203" i="204"/>
  <c r="Y203" i="204"/>
  <c r="Z203" i="204"/>
  <c r="AE203" i="204"/>
  <c r="AD203" i="204"/>
  <c r="AC203" i="204"/>
  <c r="AF25" i="218"/>
  <c r="Z25" i="218"/>
  <c r="AC25" i="218"/>
  <c r="Y25" i="218"/>
  <c r="AH25" i="218"/>
  <c r="AE25" i="218"/>
  <c r="AD25" i="218"/>
  <c r="AF39" i="218"/>
  <c r="Z39" i="218"/>
  <c r="AH91" i="218"/>
  <c r="AB91" i="218"/>
  <c r="AJ91" i="218"/>
  <c r="AI91" i="218"/>
  <c r="AC128" i="218"/>
  <c r="AB128" i="218"/>
  <c r="Y128" i="218"/>
  <c r="AH128" i="218"/>
  <c r="AG128" i="218"/>
  <c r="AE128" i="218"/>
  <c r="AD128" i="218"/>
  <c r="AQ11" i="198"/>
  <c r="AH11" i="198"/>
  <c r="AG11" i="198"/>
  <c r="BB11" i="198"/>
  <c r="BC11" i="198" s="1"/>
  <c r="AV14" i="198"/>
  <c r="W14" i="198"/>
  <c r="AC14" i="198"/>
  <c r="BA175" i="198"/>
  <c r="BF175" i="198"/>
  <c r="AG186" i="198"/>
  <c r="BF186" i="198"/>
  <c r="AA116" i="204"/>
  <c r="AE116" i="204"/>
  <c r="AC116" i="204"/>
  <c r="AI66" i="204"/>
  <c r="H11" i="198"/>
  <c r="BG11" i="198"/>
  <c r="H13" i="198"/>
  <c r="H14" i="198"/>
  <c r="C15" i="198"/>
  <c r="AQ23" i="198"/>
  <c r="BF23" i="198"/>
  <c r="M23" i="198"/>
  <c r="BA23" i="198"/>
  <c r="M175" i="198"/>
  <c r="N186" i="198"/>
  <c r="S188" i="198"/>
  <c r="A121" i="204"/>
  <c r="A123" i="198"/>
  <c r="D14" i="198"/>
  <c r="AE64" i="204"/>
  <c r="Z64" i="204"/>
  <c r="AA64" i="204"/>
  <c r="AD64" i="204"/>
  <c r="AD136" i="204"/>
  <c r="AI136" i="204"/>
  <c r="AG136" i="204"/>
  <c r="AA136" i="204"/>
  <c r="Y136" i="204"/>
  <c r="AE136" i="204"/>
  <c r="Y137" i="204"/>
  <c r="AJ137" i="204"/>
  <c r="AF137" i="204"/>
  <c r="AC137" i="204"/>
  <c r="AA137" i="204"/>
  <c r="AG137" i="204"/>
  <c r="AB148" i="204"/>
  <c r="AC148" i="204"/>
  <c r="Z148" i="204"/>
  <c r="AF148" i="204"/>
  <c r="AE158" i="204"/>
  <c r="AB158" i="204"/>
  <c r="Z158" i="204"/>
  <c r="AD158" i="204"/>
  <c r="AA158" i="204"/>
  <c r="AH158" i="204"/>
  <c r="AC191" i="204"/>
  <c r="AJ191" i="204"/>
  <c r="AI191" i="204"/>
  <c r="AI23" i="218"/>
  <c r="AH23" i="218"/>
  <c r="AK57" i="218"/>
  <c r="AK78" i="218"/>
  <c r="AJ132" i="218"/>
  <c r="Y132" i="218"/>
  <c r="AF190" i="204"/>
  <c r="AE190" i="204"/>
  <c r="AA190" i="204"/>
  <c r="AE24" i="218"/>
  <c r="AD57" i="218"/>
  <c r="AC65" i="218"/>
  <c r="Y67" i="218"/>
  <c r="AI68" i="218"/>
  <c r="AF74" i="218"/>
  <c r="Z74" i="218"/>
  <c r="V74" i="218"/>
  <c r="AD93" i="218"/>
  <c r="AE127" i="218"/>
  <c r="AA130" i="218"/>
  <c r="AD130" i="218"/>
  <c r="Y130" i="218"/>
  <c r="AE130" i="218"/>
  <c r="AI137" i="218"/>
  <c r="AH137" i="218"/>
  <c r="AF137" i="218"/>
  <c r="Y138" i="218"/>
  <c r="AH142" i="218"/>
  <c r="AE144" i="218"/>
  <c r="Y144" i="218"/>
  <c r="AB144" i="218"/>
  <c r="Z144" i="218"/>
  <c r="AC144" i="218"/>
  <c r="Y147" i="218"/>
  <c r="AI149" i="218"/>
  <c r="AC149" i="218"/>
  <c r="AF149" i="218"/>
  <c r="AE152" i="218"/>
  <c r="AF157" i="218"/>
  <c r="AE171" i="218"/>
  <c r="AC24" i="219"/>
  <c r="AG27" i="219"/>
  <c r="AE29" i="219"/>
  <c r="AB29" i="219"/>
  <c r="AG29" i="219"/>
  <c r="AH29" i="219"/>
  <c r="Z38" i="219"/>
  <c r="AF51" i="219"/>
  <c r="AB195" i="204"/>
  <c r="AA195" i="204"/>
  <c r="Y195" i="204"/>
  <c r="AE57" i="218"/>
  <c r="AF66" i="218"/>
  <c r="Z66" i="218"/>
  <c r="AE93" i="218"/>
  <c r="AB101" i="218"/>
  <c r="AE101" i="218"/>
  <c r="AF127" i="218"/>
  <c r="Z138" i="218"/>
  <c r="AI142" i="218"/>
  <c r="AB147" i="218"/>
  <c r="AG161" i="218"/>
  <c r="AD161" i="218"/>
  <c r="AJ161" i="218"/>
  <c r="AB161" i="218"/>
  <c r="Z170" i="218"/>
  <c r="AF171" i="218"/>
  <c r="Y197" i="218"/>
  <c r="AI14" i="219"/>
  <c r="AE14" i="219"/>
  <c r="AH24" i="219"/>
  <c r="AH27" i="219"/>
  <c r="AA38" i="219"/>
  <c r="AG40" i="219"/>
  <c r="AA40" i="219"/>
  <c r="Y40" i="219"/>
  <c r="AB40" i="219"/>
  <c r="AI58" i="219"/>
  <c r="AE58" i="219"/>
  <c r="AD58" i="219"/>
  <c r="AC58" i="219"/>
  <c r="AA58" i="219"/>
  <c r="Z58" i="219"/>
  <c r="AF58" i="219"/>
  <c r="AH62" i="219"/>
  <c r="AE62" i="219"/>
  <c r="AJ62" i="219"/>
  <c r="AG62" i="219"/>
  <c r="AF62" i="219"/>
  <c r="AD62" i="219"/>
  <c r="AC62" i="219"/>
  <c r="AB62" i="219"/>
  <c r="Z62" i="219"/>
  <c r="AI62" i="219"/>
  <c r="AH54" i="204"/>
  <c r="AB54" i="204"/>
  <c r="Z54" i="204"/>
  <c r="AJ80" i="204"/>
  <c r="AG80" i="204"/>
  <c r="AE80" i="204"/>
  <c r="AJ135" i="204"/>
  <c r="AE181" i="204"/>
  <c r="AD181" i="204"/>
  <c r="AB181" i="204"/>
  <c r="AH181" i="204"/>
  <c r="AM208" i="198"/>
  <c r="AH31" i="218"/>
  <c r="AC31" i="218"/>
  <c r="AA31" i="218"/>
  <c r="Z31" i="218"/>
  <c r="AF76" i="218"/>
  <c r="Y76" i="218"/>
  <c r="Z76" i="218"/>
  <c r="AI76" i="218"/>
  <c r="AB138" i="218"/>
  <c r="Y151" i="218"/>
  <c r="AD151" i="218"/>
  <c r="AA151" i="218"/>
  <c r="AG158" i="218"/>
  <c r="AD158" i="218"/>
  <c r="AG163" i="218"/>
  <c r="Z163" i="218"/>
  <c r="AA163" i="218"/>
  <c r="AD170" i="218"/>
  <c r="AK170" i="218" s="1"/>
  <c r="Z197" i="218"/>
  <c r="AE16" i="219"/>
  <c r="AF16" i="219"/>
  <c r="AA16" i="219"/>
  <c r="Y16" i="219"/>
  <c r="AB16" i="219"/>
  <c r="AI24" i="219"/>
  <c r="Z28" i="219"/>
  <c r="AA28" i="219"/>
  <c r="AC28" i="219"/>
  <c r="AA34" i="219"/>
  <c r="AB38" i="219"/>
  <c r="AH52" i="219"/>
  <c r="Z52" i="219"/>
  <c r="AE52" i="219"/>
  <c r="AD52" i="219"/>
  <c r="AC52" i="219"/>
  <c r="AB52" i="219"/>
  <c r="AA52" i="219"/>
  <c r="AF52" i="219"/>
  <c r="AE143" i="218"/>
  <c r="AA143" i="218"/>
  <c r="AC143" i="218"/>
  <c r="Y143" i="218"/>
  <c r="AF143" i="218"/>
  <c r="Y187" i="218"/>
  <c r="AC187" i="218"/>
  <c r="AD187" i="218"/>
  <c r="AA187" i="218"/>
  <c r="Z187" i="218"/>
  <c r="Z199" i="218" s="1"/>
  <c r="AE187" i="218"/>
  <c r="AE197" i="218"/>
  <c r="AB34" i="219"/>
  <c r="Y41" i="219"/>
  <c r="AE142" i="218"/>
  <c r="AC142" i="218"/>
  <c r="AD142" i="218"/>
  <c r="AA142" i="218"/>
  <c r="Z142" i="218"/>
  <c r="AF142" i="218"/>
  <c r="AC172" i="218"/>
  <c r="AI165" i="218"/>
  <c r="AD165" i="218"/>
  <c r="AK192" i="218"/>
  <c r="AH197" i="218"/>
  <c r="AE25" i="219"/>
  <c r="AG25" i="219"/>
  <c r="AC25" i="219"/>
  <c r="AA25" i="219"/>
  <c r="Y25" i="219"/>
  <c r="AK62" i="219"/>
  <c r="AJ85" i="219"/>
  <c r="AG85" i="219"/>
  <c r="AF85" i="219"/>
  <c r="AH85" i="219"/>
  <c r="AE85" i="219"/>
  <c r="AD85" i="219"/>
  <c r="AC85" i="219"/>
  <c r="AB85" i="219"/>
  <c r="AA85" i="219"/>
  <c r="Z85" i="219"/>
  <c r="AJ82" i="218"/>
  <c r="AG82" i="218"/>
  <c r="AF82" i="218"/>
  <c r="AK196" i="218"/>
  <c r="AE34" i="219"/>
  <c r="AH37" i="219"/>
  <c r="AF37" i="219"/>
  <c r="AI37" i="219"/>
  <c r="AK52" i="219"/>
  <c r="AJ74" i="219"/>
  <c r="AC74" i="219"/>
  <c r="L74" i="219"/>
  <c r="AB74" i="219"/>
  <c r="K74" i="219"/>
  <c r="G74" i="219" s="1"/>
  <c r="I74" i="219" s="1"/>
  <c r="U74" i="219"/>
  <c r="Q74" i="219"/>
  <c r="AH74" i="219"/>
  <c r="O74" i="219"/>
  <c r="AA74" i="219"/>
  <c r="Z74" i="219"/>
  <c r="Y74" i="219"/>
  <c r="AK74" i="219" s="1"/>
  <c r="V74" i="219"/>
  <c r="S74" i="219"/>
  <c r="R74" i="219"/>
  <c r="P74" i="219"/>
  <c r="AD74" i="219"/>
  <c r="AE45" i="218"/>
  <c r="AB45" i="218"/>
  <c r="AH57" i="218"/>
  <c r="AJ57" i="218"/>
  <c r="AG57" i="218"/>
  <c r="AF57" i="218"/>
  <c r="Z59" i="218"/>
  <c r="AH59" i="218"/>
  <c r="AF59" i="218"/>
  <c r="AD59" i="218"/>
  <c r="AI61" i="218"/>
  <c r="AG61" i="218"/>
  <c r="AB61" i="218"/>
  <c r="AF93" i="218"/>
  <c r="AJ93" i="218"/>
  <c r="AB127" i="218"/>
  <c r="Y127" i="218"/>
  <c r="F142" i="218"/>
  <c r="AF152" i="218"/>
  <c r="AJ152" i="218"/>
  <c r="AG160" i="218"/>
  <c r="Y160" i="218"/>
  <c r="Z160" i="218"/>
  <c r="AK166" i="218"/>
  <c r="AD198" i="218"/>
  <c r="AG198" i="218"/>
  <c r="AC198" i="218"/>
  <c r="AA198" i="218"/>
  <c r="Z198" i="218"/>
  <c r="AH198" i="218"/>
  <c r="AG34" i="219"/>
  <c r="AJ59" i="219"/>
  <c r="AI59" i="219"/>
  <c r="AH59" i="219"/>
  <c r="AG59" i="219"/>
  <c r="AD59" i="219"/>
  <c r="AB59" i="219"/>
  <c r="AI63" i="219"/>
  <c r="AE63" i="219"/>
  <c r="Z71" i="219"/>
  <c r="AD71" i="219"/>
  <c r="AC71" i="219"/>
  <c r="AE71" i="219"/>
  <c r="T71" i="219"/>
  <c r="AI71" i="219"/>
  <c r="AG71" i="219"/>
  <c r="U71" i="219"/>
  <c r="P71" i="219"/>
  <c r="N71" i="219"/>
  <c r="M71" i="219"/>
  <c r="K71" i="219"/>
  <c r="D71" i="219" s="1"/>
  <c r="AJ71" i="219"/>
  <c r="AF113" i="218"/>
  <c r="AE113" i="218"/>
  <c r="AC113" i="218"/>
  <c r="AB113" i="218"/>
  <c r="AG113" i="218"/>
  <c r="AA138" i="218"/>
  <c r="AH138" i="218"/>
  <c r="AG157" i="218"/>
  <c r="AC157" i="218"/>
  <c r="AB157" i="218"/>
  <c r="AH157" i="218"/>
  <c r="Y165" i="218"/>
  <c r="AF199" i="218"/>
  <c r="AH34" i="219"/>
  <c r="AB66" i="219"/>
  <c r="AD66" i="219"/>
  <c r="AC66" i="219"/>
  <c r="AF66" i="219"/>
  <c r="AE66" i="219"/>
  <c r="Y85" i="219"/>
  <c r="AI148" i="218"/>
  <c r="AC148" i="218"/>
  <c r="AA148" i="218"/>
  <c r="AD148" i="218"/>
  <c r="Z165" i="218"/>
  <c r="AD171" i="218"/>
  <c r="AB171" i="218"/>
  <c r="AC171" i="218"/>
  <c r="AF30" i="219"/>
  <c r="AI30" i="219"/>
  <c r="AE30" i="219"/>
  <c r="AD30" i="219"/>
  <c r="AH57" i="219"/>
  <c r="AI57" i="219"/>
  <c r="AB57" i="219"/>
  <c r="AA57" i="219"/>
  <c r="Y57" i="219"/>
  <c r="AC57" i="219"/>
  <c r="Y93" i="219"/>
  <c r="AJ93" i="219"/>
  <c r="AI93" i="219"/>
  <c r="AH93" i="219"/>
  <c r="AD93" i="219"/>
  <c r="AB93" i="219"/>
  <c r="Z93" i="219"/>
  <c r="AJ197" i="218"/>
  <c r="AF197" i="218"/>
  <c r="AC197" i="218"/>
  <c r="AB197" i="218"/>
  <c r="AA197" i="218"/>
  <c r="AG197" i="218"/>
  <c r="AI35" i="219"/>
  <c r="AB35" i="219"/>
  <c r="Z35" i="219"/>
  <c r="AF35" i="219"/>
  <c r="AD51" i="219"/>
  <c r="AA51" i="219"/>
  <c r="Z51" i="219"/>
  <c r="Y51" i="219"/>
  <c r="AB51" i="219"/>
  <c r="AI53" i="219"/>
  <c r="AH53" i="219"/>
  <c r="U72" i="219"/>
  <c r="T72" i="219"/>
  <c r="AD72" i="219"/>
  <c r="Y72" i="219"/>
  <c r="AJ72" i="219"/>
  <c r="AI72" i="219"/>
  <c r="AC72" i="219"/>
  <c r="S72" i="219"/>
  <c r="R72" i="219"/>
  <c r="AD83" i="219"/>
  <c r="AA83" i="219"/>
  <c r="AJ83" i="219"/>
  <c r="AH83" i="219"/>
  <c r="AG83" i="219"/>
  <c r="AF83" i="219"/>
  <c r="AE83" i="219"/>
  <c r="AC83" i="219"/>
  <c r="AC73" i="218"/>
  <c r="Z73" i="218"/>
  <c r="V73" i="218"/>
  <c r="R73" i="218"/>
  <c r="AA73" i="218"/>
  <c r="AG131" i="218"/>
  <c r="AD131" i="218"/>
  <c r="Y131" i="218"/>
  <c r="AH131" i="218"/>
  <c r="AG141" i="218"/>
  <c r="AB141" i="218"/>
  <c r="AF141" i="218"/>
  <c r="AG143" i="218"/>
  <c r="AE165" i="218"/>
  <c r="AF8" i="219"/>
  <c r="AA8" i="219"/>
  <c r="Z8" i="219"/>
  <c r="AB25" i="219"/>
  <c r="Y34" i="219"/>
  <c r="Z34" i="219"/>
  <c r="AF128" i="219"/>
  <c r="AB128" i="219"/>
  <c r="AJ128" i="219"/>
  <c r="AH128" i="219"/>
  <c r="AG128" i="219"/>
  <c r="AD128" i="219"/>
  <c r="AC128" i="219"/>
  <c r="AA128" i="219"/>
  <c r="AF160" i="204"/>
  <c r="AD160" i="204"/>
  <c r="AA167" i="204"/>
  <c r="AF167" i="204"/>
  <c r="AK179" i="204"/>
  <c r="AI195" i="204"/>
  <c r="AI38" i="218"/>
  <c r="Z38" i="218"/>
  <c r="AI45" i="218"/>
  <c r="AA57" i="218"/>
  <c r="AB59" i="218"/>
  <c r="Z65" i="218"/>
  <c r="AH67" i="218"/>
  <c r="AF67" i="218"/>
  <c r="AE67" i="218"/>
  <c r="AC68" i="218"/>
  <c r="AB76" i="218"/>
  <c r="Z82" i="218"/>
  <c r="AA93" i="218"/>
  <c r="AA113" i="218"/>
  <c r="Z127" i="218"/>
  <c r="AE140" i="218"/>
  <c r="AC140" i="218"/>
  <c r="AA140" i="218"/>
  <c r="Z140" i="218"/>
  <c r="AD140" i="218"/>
  <c r="Y142" i="218"/>
  <c r="AH143" i="218"/>
  <c r="AD147" i="218"/>
  <c r="Z147" i="218"/>
  <c r="AA147" i="218"/>
  <c r="AB148" i="218"/>
  <c r="AA152" i="218"/>
  <c r="AH164" i="218"/>
  <c r="AF164" i="218"/>
  <c r="AC164" i="218"/>
  <c r="AG165" i="218"/>
  <c r="AI187" i="218"/>
  <c r="AE192" i="218"/>
  <c r="AJ192" i="218"/>
  <c r="AI192" i="218"/>
  <c r="Y192" i="218"/>
  <c r="AD196" i="218"/>
  <c r="AA196" i="218"/>
  <c r="AI196" i="218"/>
  <c r="AG196" i="218"/>
  <c r="AF196" i="218"/>
  <c r="AE196" i="218"/>
  <c r="AJ196" i="218"/>
  <c r="AE204" i="218"/>
  <c r="AH204" i="218"/>
  <c r="Z204" i="218"/>
  <c r="AA204" i="218"/>
  <c r="AI204" i="218"/>
  <c r="AF24" i="219"/>
  <c r="AD24" i="219"/>
  <c r="AB24" i="219"/>
  <c r="Z24" i="219"/>
  <c r="Y24" i="219"/>
  <c r="AE24" i="219"/>
  <c r="AD27" i="219"/>
  <c r="AC38" i="219"/>
  <c r="AG38" i="219"/>
  <c r="AH38" i="219"/>
  <c r="AF38" i="219"/>
  <c r="AA41" i="219"/>
  <c r="AD41" i="219"/>
  <c r="Z41" i="219"/>
  <c r="AC41" i="219"/>
  <c r="AH46" i="219"/>
  <c r="AE46" i="219"/>
  <c r="AA65" i="218"/>
  <c r="AE148" i="218"/>
  <c r="AJ165" i="218"/>
  <c r="AH170" i="218"/>
  <c r="AC170" i="218"/>
  <c r="AA170" i="218"/>
  <c r="Y170" i="218"/>
  <c r="AB170" i="218"/>
  <c r="Y8" i="219"/>
  <c r="AE27" i="219"/>
  <c r="AA35" i="219"/>
  <c r="Y83" i="219"/>
  <c r="AJ90" i="219"/>
  <c r="AI90" i="219"/>
  <c r="AH90" i="219"/>
  <c r="AD90" i="219"/>
  <c r="AF90" i="219"/>
  <c r="AE90" i="219"/>
  <c r="AB90" i="219"/>
  <c r="AI118" i="219"/>
  <c r="AJ118" i="219"/>
  <c r="AA48" i="218"/>
  <c r="Y48" i="218"/>
  <c r="AI82" i="218"/>
  <c r="AD113" i="218"/>
  <c r="AB142" i="218"/>
  <c r="AI143" i="218"/>
  <c r="AI54" i="204"/>
  <c r="AD101" i="204"/>
  <c r="AC101" i="204"/>
  <c r="AA101" i="204"/>
  <c r="AA117" i="204"/>
  <c r="AH117" i="204"/>
  <c r="AD117" i="204"/>
  <c r="AF132" i="204"/>
  <c r="AG132" i="204"/>
  <c r="AD132" i="204"/>
  <c r="AE133" i="204"/>
  <c r="AA133" i="204"/>
  <c r="Y133" i="204"/>
  <c r="AI133" i="204"/>
  <c r="AG135" i="204"/>
  <c r="AD151" i="204"/>
  <c r="AB151" i="204"/>
  <c r="AI156" i="204"/>
  <c r="AA156" i="204"/>
  <c r="AC181" i="204"/>
  <c r="AE196" i="204"/>
  <c r="Y196" i="204"/>
  <c r="AI196" i="204"/>
  <c r="AE14" i="218"/>
  <c r="Y14" i="218"/>
  <c r="AI14" i="218"/>
  <c r="AD29" i="218"/>
  <c r="AH29" i="218"/>
  <c r="AA32" i="218"/>
  <c r="Z32" i="218"/>
  <c r="AJ32" i="218"/>
  <c r="AF36" i="218"/>
  <c r="Y36" i="218"/>
  <c r="AC57" i="218"/>
  <c r="AG59" i="218"/>
  <c r="AB65" i="218"/>
  <c r="AF68" i="218"/>
  <c r="Y73" i="218"/>
  <c r="AD76" i="218"/>
  <c r="AD78" i="218"/>
  <c r="Y78" i="218"/>
  <c r="Z78" i="218"/>
  <c r="AG78" i="218"/>
  <c r="AC93" i="218"/>
  <c r="AI113" i="218"/>
  <c r="AD127" i="218"/>
  <c r="AG142" i="218"/>
  <c r="AJ143" i="218"/>
  <c r="AE145" i="218"/>
  <c r="Y145" i="218"/>
  <c r="Z145" i="218"/>
  <c r="AH146" i="218"/>
  <c r="Z146" i="218"/>
  <c r="AA146" i="218"/>
  <c r="AG148" i="218"/>
  <c r="AD152" i="218"/>
  <c r="AE156" i="218"/>
  <c r="AF156" i="218"/>
  <c r="AB156" i="218"/>
  <c r="AA156" i="218"/>
  <c r="AG156" i="218"/>
  <c r="AA157" i="218"/>
  <c r="AH160" i="218"/>
  <c r="Z161" i="218"/>
  <c r="AD166" i="218"/>
  <c r="AA166" i="218"/>
  <c r="AJ166" i="218"/>
  <c r="AH166" i="218"/>
  <c r="AC188" i="218"/>
  <c r="AA188" i="218"/>
  <c r="AD188" i="218"/>
  <c r="Y188" i="218"/>
  <c r="AE188" i="218"/>
  <c r="AI198" i="218"/>
  <c r="AF203" i="218"/>
  <c r="AK203" i="218" s="1"/>
  <c r="AE203" i="218"/>
  <c r="AC203" i="218"/>
  <c r="AB203" i="218"/>
  <c r="AA203" i="218"/>
  <c r="AG203" i="218"/>
  <c r="AE205" i="218"/>
  <c r="AG205" i="218"/>
  <c r="Y205" i="218"/>
  <c r="AJ8" i="219"/>
  <c r="AE11" i="219"/>
  <c r="AH11" i="219"/>
  <c r="AC11" i="219"/>
  <c r="AF27" i="219"/>
  <c r="AG35" i="219"/>
  <c r="AE51" i="219"/>
  <c r="AG57" i="219"/>
  <c r="O72" i="219"/>
  <c r="AB83" i="219"/>
  <c r="AH55" i="219"/>
  <c r="AC55" i="219"/>
  <c r="AA55" i="219"/>
  <c r="AJ60" i="219"/>
  <c r="Z60" i="219"/>
  <c r="Z88" i="219"/>
  <c r="AD88" i="219"/>
  <c r="AC88" i="219"/>
  <c r="AJ88" i="219"/>
  <c r="AG88" i="219"/>
  <c r="AD122" i="219"/>
  <c r="AG129" i="219"/>
  <c r="AA129" i="219"/>
  <c r="AC131" i="219"/>
  <c r="AH136" i="219"/>
  <c r="AG136" i="219"/>
  <c r="Y136" i="219"/>
  <c r="AE141" i="219"/>
  <c r="AC149" i="219"/>
  <c r="AB157" i="219"/>
  <c r="AF158" i="219"/>
  <c r="AI160" i="219"/>
  <c r="AH160" i="219"/>
  <c r="AC161" i="219"/>
  <c r="AC163" i="219"/>
  <c r="AD163" i="219"/>
  <c r="AH177" i="219"/>
  <c r="AH126" i="219"/>
  <c r="AJ126" i="219"/>
  <c r="AG126" i="219"/>
  <c r="AH149" i="219"/>
  <c r="AG157" i="219"/>
  <c r="AG158" i="219"/>
  <c r="AF168" i="219"/>
  <c r="AA168" i="219"/>
  <c r="Z168" i="219"/>
  <c r="AF197" i="219"/>
  <c r="AH197" i="219"/>
  <c r="AD197" i="219"/>
  <c r="AB197" i="219"/>
  <c r="Y197" i="219"/>
  <c r="AA14" i="220"/>
  <c r="AC14" i="220"/>
  <c r="AJ14" i="220"/>
  <c r="AJ19" i="220" s="1"/>
  <c r="AH14" i="220"/>
  <c r="AG14" i="220"/>
  <c r="AF14" i="220"/>
  <c r="Z25" i="220"/>
  <c r="AB62" i="220"/>
  <c r="AJ62" i="220"/>
  <c r="AI62" i="220"/>
  <c r="AE62" i="220"/>
  <c r="AD62" i="220"/>
  <c r="AC62" i="220"/>
  <c r="AI149" i="219"/>
  <c r="AH157" i="219"/>
  <c r="AG178" i="219"/>
  <c r="Z178" i="219"/>
  <c r="AI178" i="219"/>
  <c r="AE178" i="219"/>
  <c r="AC178" i="219"/>
  <c r="Y178" i="219"/>
  <c r="AG194" i="219"/>
  <c r="AJ194" i="219"/>
  <c r="AE194" i="219"/>
  <c r="AD194" i="219"/>
  <c r="AC194" i="219"/>
  <c r="AI194" i="219"/>
  <c r="AH194" i="219"/>
  <c r="AB194" i="219"/>
  <c r="AA194" i="219"/>
  <c r="Z194" i="219"/>
  <c r="AB59" i="220"/>
  <c r="AH59" i="220"/>
  <c r="AJ59" i="220"/>
  <c r="AE59" i="220"/>
  <c r="AC59" i="220"/>
  <c r="AA59" i="220"/>
  <c r="Z59" i="220"/>
  <c r="AG59" i="220"/>
  <c r="AF59" i="220"/>
  <c r="Y59" i="220"/>
  <c r="AI151" i="219"/>
  <c r="AG151" i="219"/>
  <c r="AD151" i="219"/>
  <c r="AI157" i="219"/>
  <c r="AG142" i="219"/>
  <c r="AC142" i="219"/>
  <c r="AA142" i="219"/>
  <c r="AH142" i="219"/>
  <c r="Z159" i="219"/>
  <c r="AI159" i="219"/>
  <c r="AB159" i="219"/>
  <c r="AA159" i="219"/>
  <c r="AC159" i="219"/>
  <c r="AB71" i="220"/>
  <c r="P71" i="220"/>
  <c r="AI132" i="219"/>
  <c r="AG132" i="219"/>
  <c r="AE158" i="219"/>
  <c r="AJ158" i="219"/>
  <c r="AB158" i="219"/>
  <c r="AA158" i="219"/>
  <c r="Y158" i="219"/>
  <c r="AD57" i="220"/>
  <c r="AH57" i="220"/>
  <c r="AB57" i="220"/>
  <c r="Y57" i="220"/>
  <c r="AI57" i="220"/>
  <c r="AG57" i="220"/>
  <c r="AF57" i="220"/>
  <c r="AC57" i="220"/>
  <c r="Z57" i="220"/>
  <c r="AE131" i="219"/>
  <c r="Y131" i="219"/>
  <c r="AH131" i="219"/>
  <c r="AD131" i="219"/>
  <c r="AB131" i="219"/>
  <c r="AJ147" i="219"/>
  <c r="AE147" i="219"/>
  <c r="AC147" i="219"/>
  <c r="AG149" i="219"/>
  <c r="AD149" i="219"/>
  <c r="AE149" i="219"/>
  <c r="AA149" i="219"/>
  <c r="Y149" i="219"/>
  <c r="AD157" i="219"/>
  <c r="AE157" i="219"/>
  <c r="AC157" i="219"/>
  <c r="Y157" i="219"/>
  <c r="AB165" i="219"/>
  <c r="AI165" i="219"/>
  <c r="AF165" i="219"/>
  <c r="AD165" i="219"/>
  <c r="AH165" i="219"/>
  <c r="AF205" i="219"/>
  <c r="AI205" i="219"/>
  <c r="AH205" i="219"/>
  <c r="AE205" i="219"/>
  <c r="AC205" i="219"/>
  <c r="AB205" i="219"/>
  <c r="AA205" i="219"/>
  <c r="Z205" i="219"/>
  <c r="AA76" i="219"/>
  <c r="AI87" i="219"/>
  <c r="AF87" i="219"/>
  <c r="AC87" i="219"/>
  <c r="AD142" i="219"/>
  <c r="AB151" i="219"/>
  <c r="Y161" i="219"/>
  <c r="AI161" i="219"/>
  <c r="AH161" i="219"/>
  <c r="AF161" i="219"/>
  <c r="Z167" i="219"/>
  <c r="AJ167" i="219"/>
  <c r="AF167" i="219"/>
  <c r="AA167" i="219"/>
  <c r="Z199" i="219"/>
  <c r="AF15" i="220"/>
  <c r="AH15" i="220"/>
  <c r="AJ15" i="220"/>
  <c r="AG15" i="220"/>
  <c r="Y15" i="220"/>
  <c r="AF135" i="219"/>
  <c r="AE135" i="219"/>
  <c r="AA135" i="219"/>
  <c r="Z135" i="219"/>
  <c r="AE142" i="219"/>
  <c r="AC151" i="219"/>
  <c r="AG187" i="219"/>
  <c r="AH187" i="219"/>
  <c r="Z187" i="219"/>
  <c r="Y187" i="219"/>
  <c r="AJ187" i="219"/>
  <c r="AF187" i="219"/>
  <c r="AE187" i="219"/>
  <c r="AD187" i="219"/>
  <c r="AC187" i="219"/>
  <c r="AK193" i="219"/>
  <c r="Y194" i="219"/>
  <c r="AK37" i="220"/>
  <c r="AC18" i="219"/>
  <c r="AF55" i="219"/>
  <c r="AI61" i="219"/>
  <c r="AB61" i="219"/>
  <c r="AE61" i="219"/>
  <c r="AH89" i="219"/>
  <c r="AD89" i="219"/>
  <c r="AC89" i="219"/>
  <c r="AJ89" i="219"/>
  <c r="AH105" i="219"/>
  <c r="AB105" i="219"/>
  <c r="AA105" i="219"/>
  <c r="AF105" i="219"/>
  <c r="AC105" i="219"/>
  <c r="Y105" i="219"/>
  <c r="AK105" i="219" s="1"/>
  <c r="AH129" i="219"/>
  <c r="AB132" i="219"/>
  <c r="AI136" i="219"/>
  <c r="AI142" i="219"/>
  <c r="Y147" i="219"/>
  <c r="AF151" i="219"/>
  <c r="AD159" i="219"/>
  <c r="AG163" i="219"/>
  <c r="Y165" i="219"/>
  <c r="AH25" i="220"/>
  <c r="AB25" i="220"/>
  <c r="AI25" i="220"/>
  <c r="AF25" i="220"/>
  <c r="AE25" i="220"/>
  <c r="AG15" i="219"/>
  <c r="AB15" i="219"/>
  <c r="AE18" i="219"/>
  <c r="AG55" i="219"/>
  <c r="AD82" i="219"/>
  <c r="AE82" i="219"/>
  <c r="AC130" i="219"/>
  <c r="AI130" i="219"/>
  <c r="AB130" i="219"/>
  <c r="Z130" i="219"/>
  <c r="AD132" i="219"/>
  <c r="AD134" i="219"/>
  <c r="AC134" i="219"/>
  <c r="AJ142" i="219"/>
  <c r="AH145" i="219"/>
  <c r="AA147" i="219"/>
  <c r="AE159" i="219"/>
  <c r="Z165" i="219"/>
  <c r="AG177" i="219"/>
  <c r="AF177" i="219"/>
  <c r="AE177" i="219"/>
  <c r="AC177" i="219"/>
  <c r="AB177" i="219"/>
  <c r="AH79" i="218"/>
  <c r="AE190" i="218"/>
  <c r="AI190" i="218"/>
  <c r="AH190" i="218"/>
  <c r="F98" i="206"/>
  <c r="C52" i="204"/>
  <c r="AJ61" i="204"/>
  <c r="R73" i="204"/>
  <c r="AI73" i="204"/>
  <c r="AF89" i="204"/>
  <c r="AF179" i="204"/>
  <c r="AG193" i="204"/>
  <c r="AJ159" i="218"/>
  <c r="AI159" i="218"/>
  <c r="AH162" i="218"/>
  <c r="AF162" i="218"/>
  <c r="Y167" i="218"/>
  <c r="AA167" i="218"/>
  <c r="AJ190" i="218"/>
  <c r="AF195" i="218"/>
  <c r="AE195" i="218"/>
  <c r="AJ195" i="218"/>
  <c r="AG18" i="219"/>
  <c r="AJ44" i="219"/>
  <c r="AG44" i="219"/>
  <c r="AB48" i="219"/>
  <c r="AI48" i="219"/>
  <c r="AD48" i="219"/>
  <c r="AH48" i="219"/>
  <c r="AI55" i="219"/>
  <c r="AG67" i="219"/>
  <c r="Y67" i="219"/>
  <c r="M67" i="219"/>
  <c r="AE87" i="219"/>
  <c r="AH132" i="219"/>
  <c r="Z141" i="219"/>
  <c r="AH146" i="219"/>
  <c r="AB146" i="219"/>
  <c r="AA146" i="219"/>
  <c r="AJ146" i="219"/>
  <c r="AF146" i="219"/>
  <c r="AD146" i="219"/>
  <c r="AH147" i="219"/>
  <c r="Z158" i="219"/>
  <c r="AF159" i="219"/>
  <c r="AD164" i="219"/>
  <c r="AC164" i="219"/>
  <c r="AI164" i="219"/>
  <c r="Y164" i="219"/>
  <c r="AA165" i="219"/>
  <c r="Y167" i="219"/>
  <c r="AE198" i="219"/>
  <c r="AF198" i="219"/>
  <c r="AC198" i="219"/>
  <c r="Z198" i="219"/>
  <c r="Y198" i="219"/>
  <c r="AE31" i="220"/>
  <c r="Y31" i="220"/>
  <c r="AK31" i="220" s="1"/>
  <c r="AJ31" i="220"/>
  <c r="Z31" i="220"/>
  <c r="AB31" i="220"/>
  <c r="AA31" i="220"/>
  <c r="AG79" i="220"/>
  <c r="AE79" i="220"/>
  <c r="AJ70" i="219"/>
  <c r="AA70" i="219"/>
  <c r="Z70" i="219"/>
  <c r="AE76" i="219"/>
  <c r="AC76" i="219"/>
  <c r="AB76" i="219"/>
  <c r="AF91" i="219"/>
  <c r="AC91" i="219"/>
  <c r="AH97" i="219"/>
  <c r="AG97" i="219"/>
  <c r="AF97" i="219"/>
  <c r="AI97" i="219"/>
  <c r="AB97" i="219"/>
  <c r="Z97" i="219"/>
  <c r="Z131" i="219"/>
  <c r="AK131" i="219" s="1"/>
  <c r="AF139" i="219"/>
  <c r="AA141" i="219"/>
  <c r="AG148" i="219"/>
  <c r="AE148" i="219"/>
  <c r="AB148" i="219"/>
  <c r="Z149" i="219"/>
  <c r="Z157" i="219"/>
  <c r="AC158" i="219"/>
  <c r="AG159" i="219"/>
  <c r="AG165" i="219"/>
  <c r="AC167" i="219"/>
  <c r="AA187" i="219"/>
  <c r="AH18" i="220"/>
  <c r="AJ18" i="220"/>
  <c r="AI18" i="220"/>
  <c r="AK73" i="204"/>
  <c r="U73" i="204"/>
  <c r="AI89" i="204"/>
  <c r="AH179" i="204"/>
  <c r="AE70" i="218"/>
  <c r="AJ23" i="219"/>
  <c r="AD23" i="219"/>
  <c r="AF56" i="219"/>
  <c r="AE56" i="219"/>
  <c r="AC84" i="219"/>
  <c r="AH84" i="219"/>
  <c r="AE84" i="219"/>
  <c r="AI84" i="219"/>
  <c r="AH87" i="219"/>
  <c r="Z122" i="219"/>
  <c r="AA131" i="219"/>
  <c r="AC141" i="219"/>
  <c r="AB149" i="219"/>
  <c r="AA157" i="219"/>
  <c r="AD158" i="219"/>
  <c r="AJ159" i="219"/>
  <c r="AB161" i="219"/>
  <c r="AG167" i="219"/>
  <c r="AF183" i="219"/>
  <c r="AJ182" i="219"/>
  <c r="Y182" i="219"/>
  <c r="AF182" i="219"/>
  <c r="AE182" i="219"/>
  <c r="AC182" i="219"/>
  <c r="AB182" i="219"/>
  <c r="AA182" i="219"/>
  <c r="Z182" i="219"/>
  <c r="AB187" i="219"/>
  <c r="AK195" i="219"/>
  <c r="AG30" i="220"/>
  <c r="Z30" i="220"/>
  <c r="Y30" i="220"/>
  <c r="AB30" i="220"/>
  <c r="AG187" i="220"/>
  <c r="AF187" i="220"/>
  <c r="AE187" i="220"/>
  <c r="AJ187" i="220"/>
  <c r="AH187" i="220"/>
  <c r="AH199" i="220" s="1"/>
  <c r="AC187" i="220"/>
  <c r="AB187" i="220"/>
  <c r="AI187" i="220"/>
  <c r="AA187" i="220"/>
  <c r="Y187" i="220"/>
  <c r="AF40" i="220"/>
  <c r="AB40" i="220"/>
  <c r="AH40" i="220"/>
  <c r="AG40" i="220"/>
  <c r="AE40" i="220"/>
  <c r="Z40" i="220"/>
  <c r="Y55" i="220"/>
  <c r="AA81" i="220"/>
  <c r="AG138" i="220"/>
  <c r="AH138" i="220"/>
  <c r="AC138" i="220"/>
  <c r="Z138" i="220"/>
  <c r="AF131" i="220"/>
  <c r="AD131" i="220"/>
  <c r="AH131" i="220"/>
  <c r="AG131" i="220"/>
  <c r="AD171" i="220"/>
  <c r="AE171" i="220"/>
  <c r="Z171" i="220"/>
  <c r="Y171" i="220"/>
  <c r="AA55" i="220"/>
  <c r="AF65" i="220"/>
  <c r="AB65" i="220"/>
  <c r="AA65" i="220"/>
  <c r="AH65" i="220"/>
  <c r="AE65" i="220"/>
  <c r="AD65" i="220"/>
  <c r="AC65" i="220"/>
  <c r="AJ89" i="220"/>
  <c r="Z89" i="220"/>
  <c r="Y89" i="220"/>
  <c r="AB55" i="220"/>
  <c r="AJ67" i="220"/>
  <c r="AI67" i="220"/>
  <c r="AG67" i="220"/>
  <c r="Z67" i="220"/>
  <c r="Y67" i="220"/>
  <c r="AH74" i="220"/>
  <c r="P74" i="220"/>
  <c r="AG74" i="220"/>
  <c r="N74" i="220"/>
  <c r="V74" i="220"/>
  <c r="Q74" i="220"/>
  <c r="AJ74" i="220"/>
  <c r="O74" i="220"/>
  <c r="AI74" i="220"/>
  <c r="M74" i="220"/>
  <c r="AE74" i="220"/>
  <c r="AB74" i="220"/>
  <c r="Z74" i="220"/>
  <c r="Y74" i="220"/>
  <c r="T74" i="220"/>
  <c r="AH78" i="220"/>
  <c r="AB78" i="220"/>
  <c r="Z78" i="220"/>
  <c r="AE136" i="220"/>
  <c r="AD136" i="220"/>
  <c r="AC136" i="220"/>
  <c r="AB136" i="220"/>
  <c r="AJ136" i="220"/>
  <c r="AF136" i="220"/>
  <c r="Z136" i="220"/>
  <c r="AH194" i="218"/>
  <c r="AF80" i="219"/>
  <c r="AI80" i="219"/>
  <c r="AE92" i="219"/>
  <c r="AE169" i="219"/>
  <c r="AD169" i="219"/>
  <c r="AF169" i="219"/>
  <c r="AC169" i="219"/>
  <c r="AI170" i="219"/>
  <c r="AJ170" i="219"/>
  <c r="Z190" i="219"/>
  <c r="AH190" i="219"/>
  <c r="AC190" i="219"/>
  <c r="AB190" i="219"/>
  <c r="AA190" i="219"/>
  <c r="AD29" i="220"/>
  <c r="AB29" i="220"/>
  <c r="Z29" i="220"/>
  <c r="Y29" i="220"/>
  <c r="AH41" i="220"/>
  <c r="AF41" i="220"/>
  <c r="AD49" i="220"/>
  <c r="AC55" i="220"/>
  <c r="AH87" i="220"/>
  <c r="AD87" i="220"/>
  <c r="AJ87" i="220"/>
  <c r="AG87" i="220"/>
  <c r="AB87" i="220"/>
  <c r="AA87" i="220"/>
  <c r="Z87" i="220"/>
  <c r="AG149" i="220"/>
  <c r="AA48" i="220"/>
  <c r="AG49" i="220"/>
  <c r="AG54" i="220"/>
  <c r="AE54" i="220"/>
  <c r="AJ54" i="220"/>
  <c r="AH54" i="220"/>
  <c r="AF54" i="220"/>
  <c r="AD54" i="220"/>
  <c r="AD55" i="220"/>
  <c r="AF89" i="220"/>
  <c r="AH69" i="219"/>
  <c r="Z69" i="219"/>
  <c r="Y69" i="219"/>
  <c r="AK69" i="219" s="1"/>
  <c r="AH75" i="219"/>
  <c r="AG75" i="219"/>
  <c r="AB133" i="219"/>
  <c r="AA133" i="219"/>
  <c r="AH196" i="219"/>
  <c r="AF196" i="219"/>
  <c r="AE196" i="219"/>
  <c r="AD196" i="219"/>
  <c r="AB48" i="220"/>
  <c r="AH49" i="220"/>
  <c r="AA67" i="220"/>
  <c r="L74" i="220"/>
  <c r="AH89" i="220"/>
  <c r="AJ159" i="220"/>
  <c r="AI159" i="220"/>
  <c r="AG159" i="220"/>
  <c r="AF159" i="220"/>
  <c r="AE159" i="220"/>
  <c r="AC159" i="220"/>
  <c r="AA159" i="220"/>
  <c r="Y159" i="220"/>
  <c r="AB26" i="220"/>
  <c r="AH26" i="220"/>
  <c r="AC26" i="220"/>
  <c r="AD26" i="220"/>
  <c r="AA26" i="220"/>
  <c r="Z26" i="220"/>
  <c r="Y26" i="220"/>
  <c r="AF67" i="220"/>
  <c r="R74" i="220"/>
  <c r="Y90" i="220"/>
  <c r="AB90" i="220"/>
  <c r="AJ90" i="220"/>
  <c r="AE90" i="220"/>
  <c r="AD90" i="220"/>
  <c r="AC90" i="220"/>
  <c r="AH90" i="220"/>
  <c r="AG90" i="220"/>
  <c r="AF90" i="220"/>
  <c r="AA90" i="220"/>
  <c r="AD189" i="219"/>
  <c r="AI189" i="219"/>
  <c r="Y189" i="219"/>
  <c r="AD33" i="220"/>
  <c r="AI33" i="220"/>
  <c r="AC33" i="220"/>
  <c r="Z49" i="220"/>
  <c r="AJ49" i="220"/>
  <c r="AF49" i="220"/>
  <c r="AC49" i="220"/>
  <c r="Y49" i="220"/>
  <c r="AJ65" i="220"/>
  <c r="AH67" i="220"/>
  <c r="S74" i="220"/>
  <c r="AG188" i="219"/>
  <c r="Y188" i="219"/>
  <c r="AF195" i="219"/>
  <c r="AI195" i="219"/>
  <c r="AG195" i="219"/>
  <c r="AE195" i="219"/>
  <c r="AD195" i="219"/>
  <c r="AH45" i="220"/>
  <c r="AI45" i="220"/>
  <c r="Z52" i="220"/>
  <c r="AB54" i="220"/>
  <c r="AC63" i="220"/>
  <c r="AD63" i="220"/>
  <c r="AB63" i="220"/>
  <c r="AF66" i="220"/>
  <c r="AE66" i="220"/>
  <c r="AA66" i="220"/>
  <c r="AC74" i="220"/>
  <c r="AE87" i="220"/>
  <c r="AI165" i="220"/>
  <c r="AF165" i="220"/>
  <c r="AD74" i="220"/>
  <c r="Z90" i="220"/>
  <c r="AH135" i="220"/>
  <c r="AE135" i="220"/>
  <c r="AC135" i="220"/>
  <c r="AB135" i="220"/>
  <c r="AF135" i="220"/>
  <c r="Y136" i="220"/>
  <c r="AH156" i="220"/>
  <c r="AC156" i="220"/>
  <c r="Z156" i="220"/>
  <c r="Y156" i="220"/>
  <c r="AJ156" i="220"/>
  <c r="AI156" i="220"/>
  <c r="AG156" i="220"/>
  <c r="AD156" i="220"/>
  <c r="AB156" i="220"/>
  <c r="AA156" i="220"/>
  <c r="AI48" i="220"/>
  <c r="AF48" i="220"/>
  <c r="AH55" i="220"/>
  <c r="AG55" i="220"/>
  <c r="AE55" i="220"/>
  <c r="AJ55" i="220"/>
  <c r="AI55" i="220"/>
  <c r="AD61" i="220"/>
  <c r="AI61" i="220"/>
  <c r="AE61" i="220"/>
  <c r="AB61" i="220"/>
  <c r="AA61" i="220"/>
  <c r="AF74" i="220"/>
  <c r="AE78" i="220"/>
  <c r="AG81" i="220"/>
  <c r="AH81" i="220"/>
  <c r="AJ81" i="220"/>
  <c r="AI81" i="220"/>
  <c r="AE81" i="220"/>
  <c r="AH177" i="220"/>
  <c r="AD177" i="220"/>
  <c r="AC177" i="220"/>
  <c r="AB177" i="220"/>
  <c r="AI177" i="220"/>
  <c r="AG177" i="220"/>
  <c r="AF177" i="220"/>
  <c r="Y177" i="220"/>
  <c r="AE177" i="220"/>
  <c r="AA177" i="220"/>
  <c r="AF78" i="220"/>
  <c r="AH88" i="220"/>
  <c r="AI88" i="220"/>
  <c r="AF88" i="220"/>
  <c r="AD88" i="220"/>
  <c r="Z88" i="220"/>
  <c r="Y88" i="220"/>
  <c r="AE149" i="220"/>
  <c r="AC149" i="220"/>
  <c r="AD149" i="220"/>
  <c r="AA149" i="220"/>
  <c r="Y149" i="220"/>
  <c r="AJ149" i="220"/>
  <c r="AI149" i="220"/>
  <c r="AF149" i="220"/>
  <c r="AB149" i="220"/>
  <c r="Z149" i="220"/>
  <c r="AJ147" i="220"/>
  <c r="AE147" i="220"/>
  <c r="AD147" i="220"/>
  <c r="AC147" i="220"/>
  <c r="AG147" i="220"/>
  <c r="AA147" i="220"/>
  <c r="AF174" i="220"/>
  <c r="AC174" i="220"/>
  <c r="Y174" i="220"/>
  <c r="AI174" i="220"/>
  <c r="Z34" i="220"/>
  <c r="AJ34" i="220"/>
  <c r="AE34" i="220"/>
  <c r="Z46" i="220"/>
  <c r="AJ46" i="220"/>
  <c r="AG46" i="220"/>
  <c r="AJ83" i="220"/>
  <c r="Y83" i="220"/>
  <c r="AB85" i="220"/>
  <c r="AE85" i="220"/>
  <c r="Z188" i="220"/>
  <c r="AI197" i="220"/>
  <c r="AC197" i="220"/>
  <c r="Z197" i="220"/>
  <c r="Y197" i="220"/>
  <c r="AG197" i="220"/>
  <c r="AB197" i="220"/>
  <c r="AA197" i="220"/>
  <c r="AF23" i="221"/>
  <c r="AJ23" i="221"/>
  <c r="AI23" i="221"/>
  <c r="Z23" i="221"/>
  <c r="Z50" i="221"/>
  <c r="AH55" i="221"/>
  <c r="AA55" i="221"/>
  <c r="Z55" i="221"/>
  <c r="Y55" i="221"/>
  <c r="AG55" i="221"/>
  <c r="AD55" i="221"/>
  <c r="AC55" i="221"/>
  <c r="AB55" i="221"/>
  <c r="AJ137" i="219"/>
  <c r="AE144" i="219"/>
  <c r="AF144" i="219"/>
  <c r="AI144" i="219"/>
  <c r="AK144" i="219" s="1"/>
  <c r="Y150" i="219"/>
  <c r="AE150" i="219"/>
  <c r="AH179" i="219"/>
  <c r="AH17" i="220"/>
  <c r="AG17" i="220"/>
  <c r="AC17" i="220"/>
  <c r="AI36" i="220"/>
  <c r="AC36" i="220"/>
  <c r="AE39" i="220"/>
  <c r="AG39" i="220"/>
  <c r="AA39" i="220"/>
  <c r="AJ53" i="220"/>
  <c r="AC53" i="220"/>
  <c r="S73" i="220"/>
  <c r="AB169" i="220"/>
  <c r="AJ169" i="220"/>
  <c r="AF169" i="220"/>
  <c r="AE169" i="220"/>
  <c r="AD169" i="220"/>
  <c r="AH178" i="220"/>
  <c r="AI178" i="220"/>
  <c r="AD178" i="220"/>
  <c r="AI182" i="220"/>
  <c r="AA188" i="220"/>
  <c r="AJ31" i="221"/>
  <c r="AG31" i="221"/>
  <c r="AC31" i="221"/>
  <c r="AB31" i="221"/>
  <c r="AG50" i="221"/>
  <c r="AC53" i="221"/>
  <c r="AD53" i="221"/>
  <c r="AE53" i="221"/>
  <c r="AJ53" i="221"/>
  <c r="AI53" i="221"/>
  <c r="AH53" i="221"/>
  <c r="AG53" i="221"/>
  <c r="AJ144" i="219"/>
  <c r="AA171" i="219"/>
  <c r="AI179" i="219"/>
  <c r="AH193" i="219"/>
  <c r="AB58" i="220"/>
  <c r="AI58" i="220"/>
  <c r="AD58" i="220"/>
  <c r="AC73" i="220"/>
  <c r="AJ158" i="220"/>
  <c r="AD158" i="220"/>
  <c r="AC158" i="220"/>
  <c r="AB158" i="220"/>
  <c r="AA158" i="220"/>
  <c r="AG158" i="220"/>
  <c r="Z158" i="220"/>
  <c r="Z181" i="220"/>
  <c r="AE188" i="220"/>
  <c r="AE39" i="221"/>
  <c r="AJ44" i="221"/>
  <c r="AH44" i="221"/>
  <c r="AE44" i="221"/>
  <c r="AD44" i="221"/>
  <c r="AC44" i="221"/>
  <c r="AB44" i="221"/>
  <c r="AA44" i="221"/>
  <c r="Z44" i="221"/>
  <c r="Y44" i="221"/>
  <c r="AH50" i="221"/>
  <c r="AJ179" i="219"/>
  <c r="Y46" i="220"/>
  <c r="Y72" i="220"/>
  <c r="AH72" i="220"/>
  <c r="AF72" i="220"/>
  <c r="K72" i="220"/>
  <c r="G72" i="220" s="1"/>
  <c r="I72" i="220" s="1"/>
  <c r="AD83" i="220"/>
  <c r="Y85" i="220"/>
  <c r="AH139" i="220"/>
  <c r="AI139" i="220"/>
  <c r="AF139" i="220"/>
  <c r="AE139" i="220"/>
  <c r="Y139" i="220"/>
  <c r="AF194" i="220"/>
  <c r="AH194" i="220"/>
  <c r="AE194" i="220"/>
  <c r="AD194" i="220"/>
  <c r="AI194" i="220"/>
  <c r="AC194" i="220"/>
  <c r="AB194" i="220"/>
  <c r="AI55" i="221"/>
  <c r="AF12" i="221"/>
  <c r="AJ45" i="221"/>
  <c r="AA45" i="221"/>
  <c r="AI45" i="221"/>
  <c r="AD50" i="221"/>
  <c r="AA50" i="221"/>
  <c r="Y50" i="221"/>
  <c r="AE50" i="221"/>
  <c r="AC50" i="221"/>
  <c r="AB50" i="221"/>
  <c r="AF50" i="221"/>
  <c r="AG51" i="221"/>
  <c r="AF51" i="221"/>
  <c r="AI51" i="221"/>
  <c r="Y51" i="221"/>
  <c r="AD73" i="220"/>
  <c r="Z73" i="220"/>
  <c r="AG73" i="220"/>
  <c r="K73" i="220"/>
  <c r="AA73" i="220"/>
  <c r="Y73" i="220"/>
  <c r="U73" i="220"/>
  <c r="AI73" i="220"/>
  <c r="Z84" i="220"/>
  <c r="AI84" i="220"/>
  <c r="AG84" i="220"/>
  <c r="AF84" i="220"/>
  <c r="AG85" i="220"/>
  <c r="AG151" i="220"/>
  <c r="AE151" i="220"/>
  <c r="Z151" i="220"/>
  <c r="Y151" i="220"/>
  <c r="AD151" i="220"/>
  <c r="AC151" i="220"/>
  <c r="AJ174" i="220"/>
  <c r="AE182" i="220"/>
  <c r="AD182" i="220"/>
  <c r="AC182" i="220"/>
  <c r="AB182" i="220"/>
  <c r="AG182" i="220"/>
  <c r="AA182" i="220"/>
  <c r="Y182" i="220"/>
  <c r="AD196" i="220"/>
  <c r="AA196" i="220"/>
  <c r="AE196" i="220"/>
  <c r="Y196" i="220"/>
  <c r="AH198" i="220"/>
  <c r="AG198" i="220"/>
  <c r="AC198" i="220"/>
  <c r="AH12" i="221"/>
  <c r="Y47" i="221"/>
  <c r="AD47" i="221"/>
  <c r="AG47" i="221"/>
  <c r="AE47" i="221"/>
  <c r="AC47" i="221"/>
  <c r="AB47" i="221"/>
  <c r="AC166" i="220"/>
  <c r="Z166" i="220"/>
  <c r="AH166" i="220"/>
  <c r="AG166" i="220"/>
  <c r="AF166" i="220"/>
  <c r="AE168" i="220"/>
  <c r="AA168" i="220"/>
  <c r="AJ168" i="220"/>
  <c r="AI168" i="220"/>
  <c r="AF168" i="220"/>
  <c r="AD168" i="220"/>
  <c r="AB168" i="220"/>
  <c r="AH9" i="221"/>
  <c r="AG9" i="221"/>
  <c r="AI9" i="221"/>
  <c r="AF9" i="221"/>
  <c r="AE9" i="221"/>
  <c r="AD9" i="221"/>
  <c r="AB9" i="221"/>
  <c r="AA9" i="221"/>
  <c r="Y9" i="221"/>
  <c r="AI29" i="221"/>
  <c r="AH29" i="221"/>
  <c r="AG29" i="221"/>
  <c r="AF29" i="221"/>
  <c r="AE29" i="221"/>
  <c r="Y188" i="220"/>
  <c r="AD188" i="220"/>
  <c r="AC188" i="220"/>
  <c r="AB188" i="220"/>
  <c r="AI188" i="220"/>
  <c r="AH188" i="220"/>
  <c r="AF188" i="220"/>
  <c r="AF25" i="221"/>
  <c r="Z25" i="221"/>
  <c r="AD25" i="221"/>
  <c r="AC25" i="221"/>
  <c r="AA25" i="221"/>
  <c r="Y61" i="221"/>
  <c r="AI61" i="221"/>
  <c r="AG61" i="221"/>
  <c r="AF61" i="221"/>
  <c r="AE61" i="221"/>
  <c r="Z61" i="221"/>
  <c r="AK137" i="221"/>
  <c r="AB181" i="220"/>
  <c r="AH181" i="220"/>
  <c r="AG181" i="220"/>
  <c r="AE181" i="220"/>
  <c r="AA181" i="220"/>
  <c r="Y181" i="220"/>
  <c r="AG36" i="221"/>
  <c r="AD36" i="221"/>
  <c r="AE36" i="221"/>
  <c r="AG39" i="221"/>
  <c r="AC39" i="221"/>
  <c r="AB39" i="221"/>
  <c r="AA39" i="221"/>
  <c r="AJ39" i="221"/>
  <c r="AJ75" i="221"/>
  <c r="AF75" i="221"/>
  <c r="AE75" i="221"/>
  <c r="AI75" i="221"/>
  <c r="AC75" i="221"/>
  <c r="AD75" i="221"/>
  <c r="AB75" i="221"/>
  <c r="AA75" i="221"/>
  <c r="AE191" i="220"/>
  <c r="AI191" i="220"/>
  <c r="AF191" i="220"/>
  <c r="AD191" i="220"/>
  <c r="AA191" i="220"/>
  <c r="AI193" i="220"/>
  <c r="AH193" i="220"/>
  <c r="AB193" i="220"/>
  <c r="AI204" i="220"/>
  <c r="AF204" i="220"/>
  <c r="AE204" i="220"/>
  <c r="Z204" i="220"/>
  <c r="AC45" i="221"/>
  <c r="AK48" i="221"/>
  <c r="AG64" i="221"/>
  <c r="AF64" i="221"/>
  <c r="AE64" i="221"/>
  <c r="AJ64" i="221"/>
  <c r="AI64" i="221"/>
  <c r="AI10" i="221"/>
  <c r="AC10" i="221"/>
  <c r="AA10" i="221"/>
  <c r="AG10" i="221"/>
  <c r="AF10" i="221"/>
  <c r="AD10" i="221"/>
  <c r="AJ10" i="221"/>
  <c r="AH10" i="221"/>
  <c r="AB10" i="221"/>
  <c r="Z10" i="221"/>
  <c r="AG45" i="221"/>
  <c r="AG63" i="221"/>
  <c r="AJ71" i="221"/>
  <c r="Z91" i="221"/>
  <c r="AA91" i="221"/>
  <c r="AJ91" i="221"/>
  <c r="AF91" i="221"/>
  <c r="AE91" i="221"/>
  <c r="AD91" i="221"/>
  <c r="Y134" i="221"/>
  <c r="AC134" i="221"/>
  <c r="AH134" i="221"/>
  <c r="AD134" i="221"/>
  <c r="AB134" i="221"/>
  <c r="AF134" i="221"/>
  <c r="AE134" i="221"/>
  <c r="AA134" i="221"/>
  <c r="Z134" i="221"/>
  <c r="AE133" i="221"/>
  <c r="AD133" i="221"/>
  <c r="AH133" i="221"/>
  <c r="AC133" i="221"/>
  <c r="AB133" i="221"/>
  <c r="Z133" i="221"/>
  <c r="Y133" i="221"/>
  <c r="AJ152" i="221"/>
  <c r="Z152" i="221"/>
  <c r="Y152" i="221"/>
  <c r="AE156" i="221"/>
  <c r="AD156" i="221"/>
  <c r="Z156" i="221"/>
  <c r="Y156" i="221"/>
  <c r="AI156" i="221"/>
  <c r="AH156" i="221"/>
  <c r="AG156" i="221"/>
  <c r="AC156" i="221"/>
  <c r="AB156" i="221"/>
  <c r="AF87" i="221"/>
  <c r="AJ87" i="221"/>
  <c r="AI87" i="221"/>
  <c r="AE161" i="221"/>
  <c r="AD161" i="221"/>
  <c r="AB161" i="221"/>
  <c r="AA161" i="221"/>
  <c r="Z161" i="221"/>
  <c r="Y161" i="221"/>
  <c r="Z177" i="221"/>
  <c r="AE177" i="221"/>
  <c r="AD177" i="221"/>
  <c r="AH177" i="221"/>
  <c r="AF177" i="221"/>
  <c r="AC177" i="221"/>
  <c r="AA177" i="221"/>
  <c r="Y177" i="221"/>
  <c r="AF63" i="221"/>
  <c r="Z63" i="221"/>
  <c r="AH63" i="221"/>
  <c r="AC63" i="221"/>
  <c r="AB63" i="221"/>
  <c r="AA63" i="221"/>
  <c r="AI73" i="221"/>
  <c r="AG73" i="221"/>
  <c r="AJ73" i="221"/>
  <c r="AH73" i="221"/>
  <c r="Z73" i="221"/>
  <c r="T73" i="221"/>
  <c r="AB126" i="221"/>
  <c r="AA126" i="221"/>
  <c r="AF126" i="221"/>
  <c r="AD126" i="221"/>
  <c r="AC126" i="221"/>
  <c r="Z126" i="221"/>
  <c r="Y126" i="221"/>
  <c r="AB144" i="221"/>
  <c r="AC144" i="221"/>
  <c r="AA144" i="221"/>
  <c r="AD144" i="221"/>
  <c r="Z144" i="221"/>
  <c r="Y144" i="221"/>
  <c r="AF199" i="221"/>
  <c r="AJ68" i="220"/>
  <c r="AD86" i="220"/>
  <c r="AH86" i="220"/>
  <c r="AC117" i="220"/>
  <c r="AE117" i="220"/>
  <c r="AJ117" i="220"/>
  <c r="AE143" i="220"/>
  <c r="F193" i="220"/>
  <c r="AI205" i="220"/>
  <c r="AD8" i="221"/>
  <c r="AD12" i="221" s="1"/>
  <c r="AE8" i="221"/>
  <c r="AE12" i="221" s="1"/>
  <c r="Y8" i="221"/>
  <c r="AI17" i="221"/>
  <c r="AH135" i="221"/>
  <c r="AJ135" i="221"/>
  <c r="AI135" i="221"/>
  <c r="AB142" i="221"/>
  <c r="AA142" i="221"/>
  <c r="AJ142" i="221"/>
  <c r="AD82" i="220"/>
  <c r="AF82" i="220"/>
  <c r="AJ141" i="220"/>
  <c r="AJ35" i="221"/>
  <c r="AH35" i="221"/>
  <c r="AE40" i="221"/>
  <c r="AD40" i="221"/>
  <c r="AB40" i="221"/>
  <c r="AA40" i="221"/>
  <c r="Z40" i="221"/>
  <c r="AI46" i="221"/>
  <c r="AG46" i="221"/>
  <c r="Y46" i="221"/>
  <c r="Z46" i="221"/>
  <c r="AE48" i="221"/>
  <c r="AG48" i="221"/>
  <c r="AB48" i="221"/>
  <c r="AF48" i="221"/>
  <c r="AD48" i="221"/>
  <c r="AC48" i="221"/>
  <c r="AG49" i="221"/>
  <c r="AH49" i="221"/>
  <c r="AF49" i="221"/>
  <c r="AE49" i="221"/>
  <c r="Z69" i="221"/>
  <c r="Y69" i="221"/>
  <c r="AF69" i="221"/>
  <c r="AI90" i="221"/>
  <c r="AG90" i="221"/>
  <c r="AC90" i="221"/>
  <c r="AB90" i="221"/>
  <c r="AA90" i="221"/>
  <c r="Z90" i="221"/>
  <c r="AH142" i="220"/>
  <c r="Y142" i="220"/>
  <c r="AB142" i="220"/>
  <c r="AA142" i="220"/>
  <c r="Z142" i="220"/>
  <c r="AJ148" i="220"/>
  <c r="AE148" i="220"/>
  <c r="AJ152" i="220"/>
  <c r="AH152" i="220"/>
  <c r="AF152" i="220"/>
  <c r="AF190" i="220"/>
  <c r="AD190" i="220"/>
  <c r="AA190" i="220"/>
  <c r="AG15" i="221"/>
  <c r="Y15" i="221"/>
  <c r="Z15" i="221"/>
  <c r="AF15" i="221"/>
  <c r="AE17" i="221"/>
  <c r="AB17" i="221"/>
  <c r="AA17" i="221"/>
  <c r="Z17" i="221"/>
  <c r="AI24" i="221"/>
  <c r="AF24" i="221"/>
  <c r="O71" i="221"/>
  <c r="P73" i="221"/>
  <c r="AA133" i="221"/>
  <c r="AE205" i="220"/>
  <c r="AC205" i="220"/>
  <c r="AA205" i="220"/>
  <c r="Z205" i="220"/>
  <c r="Y205" i="220"/>
  <c r="R71" i="221"/>
  <c r="Q73" i="221"/>
  <c r="AH84" i="221"/>
  <c r="AI84" i="221"/>
  <c r="AA86" i="221"/>
  <c r="Z86" i="221"/>
  <c r="AI86" i="221"/>
  <c r="AB86" i="221"/>
  <c r="Y86" i="221"/>
  <c r="AB101" i="221"/>
  <c r="AJ101" i="221"/>
  <c r="AD101" i="221"/>
  <c r="AF133" i="221"/>
  <c r="Y142" i="221"/>
  <c r="AI167" i="220"/>
  <c r="AB167" i="220"/>
  <c r="AH167" i="220"/>
  <c r="AG167" i="220"/>
  <c r="AF167" i="220"/>
  <c r="AB34" i="221"/>
  <c r="AG34" i="221"/>
  <c r="AI34" i="221"/>
  <c r="AF34" i="221"/>
  <c r="AE34" i="221"/>
  <c r="AD46" i="221"/>
  <c r="Y63" i="221"/>
  <c r="AK67" i="221"/>
  <c r="AA69" i="221"/>
  <c r="AA71" i="221"/>
  <c r="R73" i="221"/>
  <c r="AE90" i="221"/>
  <c r="Y117" i="221"/>
  <c r="AH117" i="221"/>
  <c r="AB117" i="221"/>
  <c r="AI117" i="221"/>
  <c r="AG117" i="221"/>
  <c r="AA117" i="221"/>
  <c r="Z117" i="221"/>
  <c r="AG133" i="221"/>
  <c r="AC137" i="221"/>
  <c r="AE137" i="221"/>
  <c r="AI137" i="221"/>
  <c r="AH137" i="221"/>
  <c r="AG137" i="221"/>
  <c r="AF141" i="221"/>
  <c r="Y141" i="221"/>
  <c r="AI141" i="221"/>
  <c r="AE141" i="221"/>
  <c r="AA141" i="221"/>
  <c r="Z141" i="221"/>
  <c r="Z142" i="221"/>
  <c r="AD182" i="221"/>
  <c r="AE182" i="221"/>
  <c r="Z182" i="221"/>
  <c r="Y182" i="221"/>
  <c r="AI182" i="221"/>
  <c r="AH182" i="221"/>
  <c r="AG182" i="221"/>
  <c r="AC182" i="221"/>
  <c r="AB182" i="221"/>
  <c r="AG62" i="221"/>
  <c r="AA62" i="221"/>
  <c r="AG71" i="221"/>
  <c r="S73" i="221"/>
  <c r="AG126" i="221"/>
  <c r="AI133" i="221"/>
  <c r="AH37" i="220"/>
  <c r="AH64" i="220"/>
  <c r="AE86" i="220"/>
  <c r="Y117" i="220"/>
  <c r="AG143" i="220"/>
  <c r="AJ143" i="220"/>
  <c r="AC148" i="220"/>
  <c r="AB152" i="220"/>
  <c r="Z167" i="220"/>
  <c r="AI175" i="220"/>
  <c r="AJ175" i="220"/>
  <c r="AB195" i="220"/>
  <c r="AH14" i="221"/>
  <c r="AD14" i="221"/>
  <c r="AB14" i="221"/>
  <c r="Z14" i="221"/>
  <c r="AF46" i="221"/>
  <c r="AF52" i="221"/>
  <c r="AH56" i="221"/>
  <c r="AI56" i="221"/>
  <c r="AD56" i="221"/>
  <c r="AC56" i="221"/>
  <c r="AB56" i="221"/>
  <c r="AE57" i="221"/>
  <c r="AB60" i="221"/>
  <c r="AA60" i="221"/>
  <c r="Z60" i="221"/>
  <c r="Y60" i="221"/>
  <c r="AE63" i="221"/>
  <c r="AC69" i="221"/>
  <c r="AI71" i="221"/>
  <c r="V73" i="221"/>
  <c r="AF82" i="221"/>
  <c r="Z82" i="221"/>
  <c r="AI82" i="221"/>
  <c r="AH82" i="221"/>
  <c r="AC82" i="221"/>
  <c r="AB82" i="221"/>
  <c r="AA82" i="221"/>
  <c r="AC84" i="221"/>
  <c r="AH90" i="221"/>
  <c r="Y101" i="221"/>
  <c r="AD127" i="221"/>
  <c r="AC127" i="221"/>
  <c r="AI127" i="221"/>
  <c r="Z127" i="221"/>
  <c r="AJ127" i="221"/>
  <c r="AJ133" i="221"/>
  <c r="AG135" i="221"/>
  <c r="AE192" i="221"/>
  <c r="AI192" i="221"/>
  <c r="AG192" i="221"/>
  <c r="AA51" i="222"/>
  <c r="AD197" i="221"/>
  <c r="AH197" i="221"/>
  <c r="AC197" i="221"/>
  <c r="AA197" i="221"/>
  <c r="Z197" i="221"/>
  <c r="AG197" i="221"/>
  <c r="AB197" i="221"/>
  <c r="Y197" i="221"/>
  <c r="Z29" i="222"/>
  <c r="AF36" i="222"/>
  <c r="AE36" i="222"/>
  <c r="AD36" i="222"/>
  <c r="AC36" i="222"/>
  <c r="AB36" i="222"/>
  <c r="AI36" i="222"/>
  <c r="Y36" i="222"/>
  <c r="AI19" i="222"/>
  <c r="AE191" i="221"/>
  <c r="AC191" i="221"/>
  <c r="AI191" i="221"/>
  <c r="AB191" i="221"/>
  <c r="AH198" i="221"/>
  <c r="AI14" i="222"/>
  <c r="AB14" i="222"/>
  <c r="AG14" i="222"/>
  <c r="AC14" i="222"/>
  <c r="Y14" i="222"/>
  <c r="AH14" i="222"/>
  <c r="AF14" i="222"/>
  <c r="AC28" i="222"/>
  <c r="AF28" i="222"/>
  <c r="Y28" i="222"/>
  <c r="AE28" i="222"/>
  <c r="AA28" i="222"/>
  <c r="Z28" i="222"/>
  <c r="AH28" i="222"/>
  <c r="AH29" i="222"/>
  <c r="AB157" i="221"/>
  <c r="AE167" i="221"/>
  <c r="AH167" i="221"/>
  <c r="AC167" i="221"/>
  <c r="AB167" i="221"/>
  <c r="Y168" i="221"/>
  <c r="AE175" i="221"/>
  <c r="AH193" i="221"/>
  <c r="AE196" i="221"/>
  <c r="AJ196" i="221"/>
  <c r="AF196" i="221"/>
  <c r="AC196" i="221"/>
  <c r="AB196" i="221"/>
  <c r="AA196" i="221"/>
  <c r="Y196" i="221"/>
  <c r="AK196" i="221" s="1"/>
  <c r="AH11" i="222"/>
  <c r="AJ11" i="222"/>
  <c r="AG11" i="222"/>
  <c r="AE11" i="222"/>
  <c r="AI11" i="222"/>
  <c r="Y72" i="221"/>
  <c r="AA72" i="221"/>
  <c r="T72" i="221"/>
  <c r="AH85" i="221"/>
  <c r="AC85" i="221"/>
  <c r="AJ85" i="221"/>
  <c r="AF85" i="221"/>
  <c r="AC136" i="221"/>
  <c r="AB136" i="221"/>
  <c r="AJ145" i="221"/>
  <c r="AE151" i="221"/>
  <c r="AA151" i="221"/>
  <c r="Y151" i="221"/>
  <c r="AE157" i="221"/>
  <c r="Z168" i="221"/>
  <c r="AC181" i="221"/>
  <c r="AB181" i="221"/>
  <c r="AA189" i="221"/>
  <c r="AI193" i="221"/>
  <c r="AI30" i="222"/>
  <c r="AF30" i="222"/>
  <c r="AA30" i="222"/>
  <c r="AD30" i="222"/>
  <c r="Z109" i="221"/>
  <c r="AB109" i="221"/>
  <c r="AI143" i="221"/>
  <c r="AH143" i="221"/>
  <c r="AC143" i="221"/>
  <c r="AG157" i="221"/>
  <c r="AD168" i="221"/>
  <c r="Z176" i="221"/>
  <c r="AI176" i="221"/>
  <c r="AE176" i="221"/>
  <c r="AC176" i="221"/>
  <c r="AC189" i="221"/>
  <c r="Y192" i="221"/>
  <c r="AI129" i="220"/>
  <c r="AH160" i="220"/>
  <c r="AE163" i="220"/>
  <c r="AJ163" i="220"/>
  <c r="AC26" i="221"/>
  <c r="AH26" i="221"/>
  <c r="AH67" i="221"/>
  <c r="AF67" i="221"/>
  <c r="AA67" i="221"/>
  <c r="AF132" i="221"/>
  <c r="AH132" i="221"/>
  <c r="AJ132" i="221"/>
  <c r="AB132" i="221"/>
  <c r="AA132" i="221"/>
  <c r="AH157" i="221"/>
  <c r="AH160" i="221"/>
  <c r="AI160" i="221"/>
  <c r="AF160" i="221"/>
  <c r="AC160" i="221"/>
  <c r="AH168" i="221"/>
  <c r="AF189" i="221"/>
  <c r="Z192" i="221"/>
  <c r="AF197" i="221"/>
  <c r="AF15" i="222"/>
  <c r="AC15" i="222"/>
  <c r="AI15" i="222"/>
  <c r="AB28" i="222"/>
  <c r="AF134" i="220"/>
  <c r="AD134" i="220"/>
  <c r="AJ160" i="220"/>
  <c r="AE176" i="220"/>
  <c r="AF176" i="220"/>
  <c r="AE32" i="221"/>
  <c r="Z32" i="221"/>
  <c r="AE37" i="221"/>
  <c r="AI37" i="221"/>
  <c r="AB54" i="221"/>
  <c r="AE54" i="221"/>
  <c r="AG54" i="221"/>
  <c r="Y68" i="221"/>
  <c r="S72" i="221"/>
  <c r="AA76" i="221"/>
  <c r="AD76" i="221"/>
  <c r="AJ76" i="221"/>
  <c r="AE76" i="221"/>
  <c r="AD77" i="221"/>
  <c r="AE77" i="221"/>
  <c r="AH77" i="221"/>
  <c r="Y85" i="221"/>
  <c r="AI89" i="221"/>
  <c r="AC89" i="221"/>
  <c r="AH140" i="221"/>
  <c r="AF140" i="221"/>
  <c r="AG163" i="221"/>
  <c r="AA163" i="221"/>
  <c r="Y167" i="221"/>
  <c r="AG189" i="221"/>
  <c r="AA192" i="221"/>
  <c r="AI197" i="221"/>
  <c r="AD203" i="221"/>
  <c r="AB203" i="221"/>
  <c r="AA203" i="221"/>
  <c r="AG28" i="222"/>
  <c r="F144" i="220"/>
  <c r="AJ59" i="221"/>
  <c r="Y59" i="221"/>
  <c r="AD59" i="221"/>
  <c r="Z68" i="221"/>
  <c r="V72" i="221"/>
  <c r="Z85" i="221"/>
  <c r="AH97" i="221"/>
  <c r="AB97" i="221"/>
  <c r="AJ97" i="221"/>
  <c r="AF167" i="221"/>
  <c r="AB169" i="221"/>
  <c r="AI169" i="221"/>
  <c r="AE169" i="221"/>
  <c r="AC169" i="221"/>
  <c r="AC190" i="221"/>
  <c r="AH190" i="221"/>
  <c r="AB190" i="221"/>
  <c r="Z190" i="221"/>
  <c r="Y191" i="221"/>
  <c r="AD192" i="221"/>
  <c r="AJ197" i="221"/>
  <c r="E15" i="222"/>
  <c r="F15" i="222" s="1"/>
  <c r="Z18" i="222"/>
  <c r="Y18" i="222"/>
  <c r="AJ18" i="222"/>
  <c r="AI18" i="222"/>
  <c r="AH18" i="222"/>
  <c r="AC18" i="222"/>
  <c r="AI28" i="222"/>
  <c r="E37" i="222"/>
  <c r="F37" i="222" s="1"/>
  <c r="H37" i="222"/>
  <c r="I37" i="222" s="1"/>
  <c r="AA39" i="222"/>
  <c r="AB39" i="222"/>
  <c r="AJ39" i="222"/>
  <c r="AD39" i="222"/>
  <c r="Z191" i="221"/>
  <c r="AJ192" i="221"/>
  <c r="AE198" i="221"/>
  <c r="AD198" i="221"/>
  <c r="AB198" i="221"/>
  <c r="Z198" i="221"/>
  <c r="Y198" i="221"/>
  <c r="AI198" i="221"/>
  <c r="AG198" i="221"/>
  <c r="AF198" i="221"/>
  <c r="AC198" i="221"/>
  <c r="AI157" i="221"/>
  <c r="AC157" i="221"/>
  <c r="AD157" i="221"/>
  <c r="Z157" i="221"/>
  <c r="Y157" i="221"/>
  <c r="AA191" i="221"/>
  <c r="AD29" i="222"/>
  <c r="AC29" i="222"/>
  <c r="Y29" i="222"/>
  <c r="E29" i="222" s="1"/>
  <c r="F29" i="222" s="1"/>
  <c r="AG29" i="222"/>
  <c r="AE29" i="222"/>
  <c r="AB29" i="222"/>
  <c r="AA29" i="222"/>
  <c r="AI29" i="222"/>
  <c r="AF168" i="221"/>
  <c r="AB168" i="221"/>
  <c r="AI168" i="221"/>
  <c r="AC168" i="221"/>
  <c r="AA168" i="221"/>
  <c r="AG175" i="221"/>
  <c r="AC175" i="221"/>
  <c r="AJ191" i="221"/>
  <c r="AC42" i="222"/>
  <c r="AE51" i="222"/>
  <c r="Z51" i="222"/>
  <c r="AF51" i="222"/>
  <c r="AD51" i="222"/>
  <c r="AC51" i="222"/>
  <c r="AB51" i="222"/>
  <c r="AH51" i="222"/>
  <c r="Y51" i="222"/>
  <c r="H51" i="222" s="1"/>
  <c r="AI46" i="222"/>
  <c r="AF46" i="222"/>
  <c r="AJ46" i="222"/>
  <c r="AH46" i="222"/>
  <c r="AG46" i="222"/>
  <c r="AG48" i="222"/>
  <c r="AI57" i="222"/>
  <c r="AB57" i="222"/>
  <c r="AJ57" i="222"/>
  <c r="AH57" i="222"/>
  <c r="AG57" i="222"/>
  <c r="AF57" i="222"/>
  <c r="AJ68" i="222"/>
  <c r="AG68" i="222"/>
  <c r="AF68" i="222"/>
  <c r="AE68" i="222"/>
  <c r="Y70" i="222"/>
  <c r="E70" i="222" s="1"/>
  <c r="F70" i="222" s="1"/>
  <c r="AI70" i="222"/>
  <c r="AH70" i="222"/>
  <c r="AG70" i="222"/>
  <c r="AE70" i="222"/>
  <c r="AD90" i="222"/>
  <c r="AF93" i="222"/>
  <c r="AE101" i="222"/>
  <c r="AC109" i="222"/>
  <c r="AI137" i="222"/>
  <c r="Y76" i="222"/>
  <c r="AD87" i="222"/>
  <c r="AI87" i="222"/>
  <c r="AE90" i="222"/>
  <c r="AG93" i="222"/>
  <c r="AH122" i="222"/>
  <c r="AF122" i="222"/>
  <c r="AI122" i="222"/>
  <c r="AG122" i="222"/>
  <c r="E134" i="222"/>
  <c r="F134" i="222" s="1"/>
  <c r="H134" i="222"/>
  <c r="I134" i="222" s="1"/>
  <c r="H136" i="222"/>
  <c r="I136" i="222" s="1"/>
  <c r="E136" i="222"/>
  <c r="F136" i="222" s="1"/>
  <c r="AH76" i="222"/>
  <c r="Z122" i="222"/>
  <c r="AG67" i="222"/>
  <c r="AE67" i="222"/>
  <c r="AA67" i="222"/>
  <c r="Z67" i="222"/>
  <c r="Y67" i="222"/>
  <c r="H67" i="222" s="1"/>
  <c r="I67" i="222" s="1"/>
  <c r="AE69" i="222"/>
  <c r="AJ69" i="222"/>
  <c r="AI69" i="222"/>
  <c r="AH69" i="222"/>
  <c r="AG69" i="222"/>
  <c r="AA82" i="222"/>
  <c r="AD82" i="222"/>
  <c r="AC82" i="222"/>
  <c r="AB82" i="222"/>
  <c r="Y82" i="222"/>
  <c r="H82" i="222" s="1"/>
  <c r="I82" i="222" s="1"/>
  <c r="AC64" i="222"/>
  <c r="AJ64" i="222"/>
  <c r="AG64" i="222"/>
  <c r="AD64" i="222"/>
  <c r="AB73" i="222"/>
  <c r="Y73" i="222"/>
  <c r="AF77" i="222"/>
  <c r="AI77" i="222"/>
  <c r="AI92" i="222"/>
  <c r="AG92" i="222"/>
  <c r="AE92" i="222"/>
  <c r="AA92" i="222"/>
  <c r="AI25" i="222"/>
  <c r="AG25" i="222"/>
  <c r="AF25" i="222"/>
  <c r="AE25" i="222"/>
  <c r="AJ33" i="222"/>
  <c r="AI33" i="222"/>
  <c r="AH33" i="222"/>
  <c r="AA80" i="222"/>
  <c r="AA87" i="222"/>
  <c r="AC122" i="222"/>
  <c r="AH135" i="222"/>
  <c r="AG135" i="222"/>
  <c r="AD76" i="222"/>
  <c r="AF76" i="222"/>
  <c r="AC76" i="222"/>
  <c r="AB76" i="222"/>
  <c r="AA76" i="222"/>
  <c r="AI90" i="222"/>
  <c r="Z90" i="222"/>
  <c r="AE148" i="221"/>
  <c r="AA148" i="221"/>
  <c r="AA23" i="222"/>
  <c r="AA42" i="222" s="1"/>
  <c r="AJ23" i="222"/>
  <c r="AF23" i="222"/>
  <c r="AG31" i="222"/>
  <c r="AF31" i="222"/>
  <c r="Z33" i="222"/>
  <c r="AA45" i="222"/>
  <c r="AE45" i="222"/>
  <c r="AH45" i="222"/>
  <c r="AG45" i="222"/>
  <c r="AF45" i="222"/>
  <c r="AD45" i="222"/>
  <c r="AE46" i="222"/>
  <c r="AA52" i="222"/>
  <c r="AD52" i="222"/>
  <c r="AJ52" i="222"/>
  <c r="AG52" i="222"/>
  <c r="AG61" i="222"/>
  <c r="AB67" i="222"/>
  <c r="Y69" i="222"/>
  <c r="Z79" i="222"/>
  <c r="AC79" i="222"/>
  <c r="AA79" i="222"/>
  <c r="Y79" i="222"/>
  <c r="E79" i="222" s="1"/>
  <c r="F79" i="222" s="1"/>
  <c r="AD80" i="222"/>
  <c r="AF82" i="222"/>
  <c r="AE86" i="222"/>
  <c r="AD86" i="222"/>
  <c r="AC86" i="222"/>
  <c r="AB86" i="222"/>
  <c r="AG87" i="222"/>
  <c r="AH92" i="222"/>
  <c r="AB139" i="222"/>
  <c r="AI139" i="222"/>
  <c r="AE139" i="222"/>
  <c r="AD139" i="222"/>
  <c r="Y65" i="221"/>
  <c r="AA65" i="221"/>
  <c r="AB165" i="221"/>
  <c r="AJ165" i="221"/>
  <c r="AH8" i="222"/>
  <c r="AB8" i="222"/>
  <c r="AC8" i="222"/>
  <c r="Z8" i="222"/>
  <c r="Y8" i="222"/>
  <c r="H8" i="222" s="1"/>
  <c r="I8" i="222" s="1"/>
  <c r="Y23" i="222"/>
  <c r="AA33" i="222"/>
  <c r="Y45" i="222"/>
  <c r="AA48" i="222"/>
  <c r="Y52" i="222"/>
  <c r="E52" i="222" s="1"/>
  <c r="Z64" i="222"/>
  <c r="AC67" i="222"/>
  <c r="Z69" i="222"/>
  <c r="Z73" i="222"/>
  <c r="AH82" i="222"/>
  <c r="AJ92" i="222"/>
  <c r="AJ109" i="222"/>
  <c r="AF109" i="222"/>
  <c r="AF133" i="222"/>
  <c r="AA133" i="222"/>
  <c r="AC133" i="222"/>
  <c r="AB133" i="222"/>
  <c r="AE137" i="222"/>
  <c r="AB137" i="222"/>
  <c r="Y137" i="222"/>
  <c r="AG137" i="222"/>
  <c r="AE205" i="221"/>
  <c r="AF205" i="221"/>
  <c r="AD205" i="221"/>
  <c r="AB205" i="221"/>
  <c r="AK205" i="221" s="1"/>
  <c r="AA205" i="221"/>
  <c r="Z23" i="222"/>
  <c r="Z42" i="222" s="1"/>
  <c r="AB25" i="222"/>
  <c r="AC33" i="222"/>
  <c r="AE37" i="222"/>
  <c r="AJ37" i="222"/>
  <c r="AI37" i="222"/>
  <c r="AH37" i="222"/>
  <c r="Z45" i="222"/>
  <c r="AC48" i="222"/>
  <c r="Z52" i="222"/>
  <c r="AF67" i="222"/>
  <c r="AA69" i="222"/>
  <c r="AC73" i="222"/>
  <c r="AI82" i="222"/>
  <c r="AI93" i="222"/>
  <c r="AE93" i="222"/>
  <c r="AC93" i="222"/>
  <c r="AI135" i="222"/>
  <c r="AD48" i="222"/>
  <c r="AG56" i="222"/>
  <c r="AE56" i="222"/>
  <c r="AC56" i="222"/>
  <c r="Y56" i="222"/>
  <c r="AH67" i="222"/>
  <c r="AB69" i="222"/>
  <c r="AE73" i="222"/>
  <c r="AG77" i="222"/>
  <c r="AJ82" i="222"/>
  <c r="AA90" i="222"/>
  <c r="AG118" i="222"/>
  <c r="AD118" i="222"/>
  <c r="AB118" i="222"/>
  <c r="AF118" i="222"/>
  <c r="AE118" i="222"/>
  <c r="AC118" i="222"/>
  <c r="Z118" i="222"/>
  <c r="Y118" i="222"/>
  <c r="AJ138" i="221"/>
  <c r="Z138" i="221"/>
  <c r="AH178" i="221"/>
  <c r="Z178" i="221"/>
  <c r="AD23" i="222"/>
  <c r="AB26" i="222"/>
  <c r="AJ26" i="222"/>
  <c r="Y31" i="222"/>
  <c r="AF33" i="222"/>
  <c r="AC45" i="222"/>
  <c r="AE48" i="222"/>
  <c r="AC52" i="222"/>
  <c r="AH56" i="222"/>
  <c r="AJ58" i="222"/>
  <c r="AG63" i="222"/>
  <c r="Z63" i="222"/>
  <c r="Y63" i="222"/>
  <c r="AI67" i="222"/>
  <c r="AC69" i="222"/>
  <c r="AJ73" i="222"/>
  <c r="AH77" i="222"/>
  <c r="AH83" i="222"/>
  <c r="AJ83" i="222"/>
  <c r="AI83" i="222"/>
  <c r="AA86" i="222"/>
  <c r="AB90" i="222"/>
  <c r="AB93" i="222"/>
  <c r="Z101" i="222"/>
  <c r="AA109" i="222"/>
  <c r="AD137" i="222"/>
  <c r="AF139" i="222"/>
  <c r="AJ145" i="222"/>
  <c r="AB145" i="222"/>
  <c r="AG145" i="222"/>
  <c r="AF145" i="222"/>
  <c r="AC145" i="222"/>
  <c r="AA145" i="222"/>
  <c r="Z145" i="222"/>
  <c r="Y145" i="222"/>
  <c r="AH145" i="222"/>
  <c r="AF48" i="222"/>
  <c r="Y59" i="222"/>
  <c r="AI59" i="222"/>
  <c r="AH59" i="222"/>
  <c r="AG59" i="222"/>
  <c r="AF59" i="222"/>
  <c r="AJ67" i="222"/>
  <c r="AD69" i="222"/>
  <c r="AD74" i="222"/>
  <c r="AJ74" i="222"/>
  <c r="AH74" i="222"/>
  <c r="AC90" i="222"/>
  <c r="AD93" i="222"/>
  <c r="AB109" i="222"/>
  <c r="AH118" i="222"/>
  <c r="Z133" i="222"/>
  <c r="AF137" i="222"/>
  <c r="AD157" i="222"/>
  <c r="AI157" i="222"/>
  <c r="AF177" i="222"/>
  <c r="AA177" i="222"/>
  <c r="Z177" i="222"/>
  <c r="Y177" i="222"/>
  <c r="AH177" i="222"/>
  <c r="AG177" i="222"/>
  <c r="AB177" i="222"/>
  <c r="AF146" i="222"/>
  <c r="AJ146" i="222"/>
  <c r="AF149" i="222"/>
  <c r="AC149" i="222"/>
  <c r="AA149" i="222"/>
  <c r="AD189" i="222"/>
  <c r="AF189" i="222"/>
  <c r="AE189" i="222"/>
  <c r="AA189" i="222"/>
  <c r="Z189" i="222"/>
  <c r="Y189" i="222"/>
  <c r="AJ167" i="222"/>
  <c r="AC167" i="222"/>
  <c r="Z167" i="222"/>
  <c r="AI167" i="222"/>
  <c r="AG167" i="222"/>
  <c r="AJ169" i="222"/>
  <c r="AI169" i="222"/>
  <c r="AC177" i="222"/>
  <c r="AD177" i="222"/>
  <c r="AC138" i="222"/>
  <c r="AH138" i="222"/>
  <c r="AD138" i="222"/>
  <c r="AD144" i="222"/>
  <c r="Z144" i="222"/>
  <c r="AE144" i="222"/>
  <c r="AE157" i="222"/>
  <c r="AB160" i="222"/>
  <c r="AA167" i="222"/>
  <c r="AI177" i="222"/>
  <c r="AE142" i="222"/>
  <c r="AC142" i="222"/>
  <c r="AG146" i="222"/>
  <c r="AH148" i="222"/>
  <c r="AE148" i="222"/>
  <c r="AF157" i="222"/>
  <c r="AD160" i="222"/>
  <c r="AD167" i="222"/>
  <c r="AJ177" i="222"/>
  <c r="AE180" i="222"/>
  <c r="AD180" i="222"/>
  <c r="AB180" i="222"/>
  <c r="Z180" i="222"/>
  <c r="AF180" i="222"/>
  <c r="AG157" i="222"/>
  <c r="AE160" i="222"/>
  <c r="AE167" i="222"/>
  <c r="AA169" i="222"/>
  <c r="AB171" i="222"/>
  <c r="Z171" i="222"/>
  <c r="Y171" i="222"/>
  <c r="AA178" i="222"/>
  <c r="AB178" i="222"/>
  <c r="Z178" i="222"/>
  <c r="Y178" i="222"/>
  <c r="AJ178" i="222"/>
  <c r="AI178" i="222"/>
  <c r="AE178" i="222"/>
  <c r="AC136" i="222"/>
  <c r="AA136" i="222"/>
  <c r="AA142" i="222"/>
  <c r="AI146" i="222"/>
  <c r="AJ157" i="222"/>
  <c r="AF160" i="222"/>
  <c r="AD162" i="222"/>
  <c r="AA162" i="222"/>
  <c r="Y162" i="222"/>
  <c r="AD166" i="222"/>
  <c r="Y166" i="222"/>
  <c r="H166" i="222" s="1"/>
  <c r="I166" i="222" s="1"/>
  <c r="AF167" i="222"/>
  <c r="AE169" i="222"/>
  <c r="Y16" i="222"/>
  <c r="AG16" i="222"/>
  <c r="AJ16" i="222"/>
  <c r="AH27" i="222"/>
  <c r="AD27" i="222"/>
  <c r="AE88" i="222"/>
  <c r="AH88" i="222"/>
  <c r="AJ97" i="222"/>
  <c r="AG97" i="222"/>
  <c r="Z127" i="222"/>
  <c r="Y138" i="222"/>
  <c r="AJ140" i="222"/>
  <c r="AB142" i="222"/>
  <c r="Y144" i="222"/>
  <c r="AH147" i="222"/>
  <c r="AC147" i="222"/>
  <c r="AA147" i="222"/>
  <c r="AJ147" i="222"/>
  <c r="Y149" i="222"/>
  <c r="Z156" i="222"/>
  <c r="AG160" i="222"/>
  <c r="AC168" i="222"/>
  <c r="AA168" i="222"/>
  <c r="Y168" i="222"/>
  <c r="AG169" i="222"/>
  <c r="AG171" i="222"/>
  <c r="AC44" i="222"/>
  <c r="AJ75" i="222"/>
  <c r="AC75" i="222"/>
  <c r="AI84" i="222"/>
  <c r="AH84" i="222"/>
  <c r="AB85" i="222"/>
  <c r="AG127" i="222"/>
  <c r="Z138" i="222"/>
  <c r="AD142" i="222"/>
  <c r="AA144" i="222"/>
  <c r="AA148" i="222"/>
  <c r="Z149" i="222"/>
  <c r="AF156" i="222"/>
  <c r="AI160" i="222"/>
  <c r="AB162" i="222"/>
  <c r="AH169" i="222"/>
  <c r="AI171" i="222"/>
  <c r="Y180" i="222"/>
  <c r="AH195" i="222"/>
  <c r="Z195" i="222"/>
  <c r="Y195" i="222"/>
  <c r="H195" i="222" s="1"/>
  <c r="I195" i="222" s="1"/>
  <c r="AI195" i="222"/>
  <c r="AF195" i="222"/>
  <c r="AC195" i="222"/>
  <c r="AB195" i="222"/>
  <c r="AA195" i="222"/>
  <c r="AI30" i="221"/>
  <c r="AI88" i="221"/>
  <c r="Y35" i="222"/>
  <c r="H35" i="222" s="1"/>
  <c r="I35" i="222" s="1"/>
  <c r="AE44" i="222"/>
  <c r="Y53" i="222"/>
  <c r="H53" i="222" s="1"/>
  <c r="AA97" i="222"/>
  <c r="AG113" i="222"/>
  <c r="AA113" i="222"/>
  <c r="Y113" i="222"/>
  <c r="H113" i="222" s="1"/>
  <c r="I113" i="222" s="1"/>
  <c r="AD126" i="222"/>
  <c r="AH126" i="222"/>
  <c r="AH127" i="222"/>
  <c r="AB138" i="222"/>
  <c r="AG142" i="222"/>
  <c r="AB144" i="222"/>
  <c r="AC148" i="222"/>
  <c r="AB149" i="222"/>
  <c r="AD151" i="222"/>
  <c r="AH151" i="222"/>
  <c r="AF151" i="222"/>
  <c r="AE151" i="222"/>
  <c r="AG156" i="222"/>
  <c r="AG172" i="222" s="1"/>
  <c r="AJ160" i="222"/>
  <c r="AI162" i="222"/>
  <c r="E165" i="222"/>
  <c r="AJ171" i="222"/>
  <c r="AF178" i="222"/>
  <c r="AE130" i="222"/>
  <c r="AA130" i="222"/>
  <c r="Y130" i="222"/>
  <c r="AE138" i="222"/>
  <c r="AH142" i="222"/>
  <c r="AC144" i="222"/>
  <c r="H147" i="222"/>
  <c r="I147" i="222" s="1"/>
  <c r="AD148" i="222"/>
  <c r="AD149" i="222"/>
  <c r="AH178" i="222"/>
  <c r="AD179" i="222"/>
  <c r="AB179" i="222"/>
  <c r="AA179" i="222"/>
  <c r="Z179" i="222"/>
  <c r="Y179" i="222"/>
  <c r="AJ179" i="222"/>
  <c r="AH179" i="222"/>
  <c r="AE179" i="222"/>
  <c r="AE204" i="222"/>
  <c r="AF204" i="222"/>
  <c r="AH204" i="222"/>
  <c r="AI204" i="222"/>
  <c r="Y197" i="222"/>
  <c r="H197" i="222" s="1"/>
  <c r="I197" i="222" s="1"/>
  <c r="AA197" i="222"/>
  <c r="AH203" i="222"/>
  <c r="AH187" i="222"/>
  <c r="Y196" i="222"/>
  <c r="E196" i="222" s="1"/>
  <c r="F196" i="222" s="1"/>
  <c r="AF197" i="222"/>
  <c r="AE150" i="222"/>
  <c r="AJ165" i="222"/>
  <c r="AF175" i="222"/>
  <c r="AI187" i="222"/>
  <c r="Z196" i="222"/>
  <c r="AG197" i="222"/>
  <c r="AA196" i="222"/>
  <c r="AH197" i="222"/>
  <c r="AC204" i="222"/>
  <c r="AH175" i="222"/>
  <c r="AD196" i="222"/>
  <c r="AI197" i="222"/>
  <c r="AJ57" i="204"/>
  <c r="AC57" i="204"/>
  <c r="AB57" i="204"/>
  <c r="AA57" i="204"/>
  <c r="Z57" i="204"/>
  <c r="Y57" i="204"/>
  <c r="AD57" i="204"/>
  <c r="AI57" i="204"/>
  <c r="AG57" i="204"/>
  <c r="AF57" i="204"/>
  <c r="AI28" i="204"/>
  <c r="AA28" i="204"/>
  <c r="Z28" i="204"/>
  <c r="Y28" i="204"/>
  <c r="AK28" i="204" s="1"/>
  <c r="AJ28" i="204"/>
  <c r="AG28" i="204"/>
  <c r="AF28" i="204"/>
  <c r="AD28" i="204"/>
  <c r="AA31" i="204"/>
  <c r="AH57" i="204"/>
  <c r="X10" i="198"/>
  <c r="AL10" i="198"/>
  <c r="AH10" i="198"/>
  <c r="AG10" i="198"/>
  <c r="W10" i="198"/>
  <c r="AC10" i="198"/>
  <c r="AB10" i="198"/>
  <c r="AQ10" i="198"/>
  <c r="AM10" i="198"/>
  <c r="M10" i="198"/>
  <c r="D10" i="198"/>
  <c r="W45" i="198"/>
  <c r="C15" i="229"/>
  <c r="C15" i="227"/>
  <c r="C15" i="228"/>
  <c r="C15" i="225"/>
  <c r="C15" i="226"/>
  <c r="C15" i="223"/>
  <c r="C15" i="222"/>
  <c r="C15" i="221"/>
  <c r="C15" i="220"/>
  <c r="C15" i="219"/>
  <c r="C15" i="218"/>
  <c r="B26" i="227"/>
  <c r="B26" i="225"/>
  <c r="B26" i="226"/>
  <c r="B26" i="223"/>
  <c r="B26" i="229"/>
  <c r="B26" i="228"/>
  <c r="B26" i="222"/>
  <c r="B26" i="221"/>
  <c r="B26" i="220"/>
  <c r="B26" i="219"/>
  <c r="B26" i="218"/>
  <c r="B26" i="204"/>
  <c r="B33" i="227"/>
  <c r="B33" i="226"/>
  <c r="B33" i="225"/>
  <c r="B33" i="228"/>
  <c r="B33" i="223"/>
  <c r="B33" i="229"/>
  <c r="B33" i="222"/>
  <c r="B33" i="221"/>
  <c r="B33" i="204"/>
  <c r="B33" i="220"/>
  <c r="B33" i="219"/>
  <c r="B33" i="218"/>
  <c r="B35" i="198"/>
  <c r="B40" i="229"/>
  <c r="B40" i="228"/>
  <c r="B40" i="227"/>
  <c r="B40" i="223"/>
  <c r="B40" i="225"/>
  <c r="B40" i="226"/>
  <c r="B40" i="222"/>
  <c r="B40" i="221"/>
  <c r="B40" i="220"/>
  <c r="B40" i="219"/>
  <c r="B40" i="218"/>
  <c r="B40" i="204"/>
  <c r="C54" i="227"/>
  <c r="C54" i="228"/>
  <c r="C54" i="226"/>
  <c r="C54" i="229"/>
  <c r="C54" i="223"/>
  <c r="C54" i="225"/>
  <c r="C54" i="222"/>
  <c r="C54" i="221"/>
  <c r="C54" i="220"/>
  <c r="C54" i="218"/>
  <c r="C54" i="219"/>
  <c r="C54" i="204"/>
  <c r="C61" i="226"/>
  <c r="C61" i="228"/>
  <c r="C61" i="223"/>
  <c r="C61" i="229"/>
  <c r="C61" i="225"/>
  <c r="C61" i="227"/>
  <c r="C61" i="222"/>
  <c r="C61" i="221"/>
  <c r="C61" i="220"/>
  <c r="C61" i="219"/>
  <c r="C61" i="218"/>
  <c r="C61" i="204"/>
  <c r="C68" i="229"/>
  <c r="C68" i="228"/>
  <c r="C68" i="227"/>
  <c r="C68" i="223"/>
  <c r="C68" i="226"/>
  <c r="C68" i="225"/>
  <c r="C68" i="222"/>
  <c r="C68" i="221"/>
  <c r="C68" i="220"/>
  <c r="C68" i="219"/>
  <c r="C68" i="218"/>
  <c r="C68" i="204"/>
  <c r="C75" i="226"/>
  <c r="C75" i="227"/>
  <c r="C75" i="225"/>
  <c r="C75" i="228"/>
  <c r="C75" i="223"/>
  <c r="C75" i="229"/>
  <c r="C75" i="222"/>
  <c r="C75" i="221"/>
  <c r="C75" i="220"/>
  <c r="C75" i="219"/>
  <c r="C75" i="218"/>
  <c r="C75" i="204"/>
  <c r="B80" i="227"/>
  <c r="B80" i="225"/>
  <c r="B80" i="228"/>
  <c r="B80" i="226"/>
  <c r="B80" i="229"/>
  <c r="B80" i="223"/>
  <c r="B80" i="222"/>
  <c r="B80" i="221"/>
  <c r="B80" i="220"/>
  <c r="B80" i="219"/>
  <c r="B80" i="204"/>
  <c r="B80" i="218"/>
  <c r="B82" i="198"/>
  <c r="B87" i="227"/>
  <c r="B87" i="228"/>
  <c r="B87" i="229"/>
  <c r="B87" i="226"/>
  <c r="B87" i="225"/>
  <c r="B87" i="223"/>
  <c r="B87" i="222"/>
  <c r="B87" i="221"/>
  <c r="B87" i="220"/>
  <c r="B87" i="219"/>
  <c r="B87" i="218"/>
  <c r="B89" i="198"/>
  <c r="B101" i="229"/>
  <c r="B101" i="227"/>
  <c r="B101" i="223"/>
  <c r="B101" i="225"/>
  <c r="B101" i="228"/>
  <c r="B101" i="226"/>
  <c r="B101" i="222"/>
  <c r="B101" i="221"/>
  <c r="B101" i="220"/>
  <c r="B101" i="219"/>
  <c r="B101" i="204"/>
  <c r="B101" i="218"/>
  <c r="C10" i="198"/>
  <c r="D23" i="198"/>
  <c r="X45" i="198"/>
  <c r="H10" i="198"/>
  <c r="AC45" i="198"/>
  <c r="AE9" i="204"/>
  <c r="AC9" i="204"/>
  <c r="AF9" i="204"/>
  <c r="Y9" i="204"/>
  <c r="AG9" i="204"/>
  <c r="AH9" i="204"/>
  <c r="AI9" i="204"/>
  <c r="AJ9" i="204"/>
  <c r="Z9" i="204"/>
  <c r="AA9" i="204"/>
  <c r="AB9" i="204"/>
  <c r="AD9" i="204"/>
  <c r="I10" i="198"/>
  <c r="J10" i="198" s="1"/>
  <c r="AG22" i="198"/>
  <c r="AB22" i="198"/>
  <c r="X22" i="198"/>
  <c r="BG22" i="198"/>
  <c r="W22" i="198"/>
  <c r="BA22" i="198"/>
  <c r="N22" i="198"/>
  <c r="BF22" i="198"/>
  <c r="S22" i="198"/>
  <c r="BB22" i="198"/>
  <c r="R22" i="198"/>
  <c r="AR22" i="198"/>
  <c r="AQ22" i="198"/>
  <c r="AL22" i="198"/>
  <c r="M22" i="198"/>
  <c r="AG45" i="198"/>
  <c r="C8" i="229"/>
  <c r="C8" i="227"/>
  <c r="C8" i="226"/>
  <c r="C8" i="225"/>
  <c r="C8" i="228"/>
  <c r="C8" i="223"/>
  <c r="C8" i="222"/>
  <c r="C8" i="221"/>
  <c r="C8" i="220"/>
  <c r="C8" i="218"/>
  <c r="C8" i="219"/>
  <c r="C8" i="204"/>
  <c r="B17" i="229"/>
  <c r="B17" i="227"/>
  <c r="B17" i="228"/>
  <c r="B17" i="226"/>
  <c r="B17" i="225"/>
  <c r="B17" i="223"/>
  <c r="B17" i="222"/>
  <c r="B17" i="221"/>
  <c r="B17" i="220"/>
  <c r="B17" i="219"/>
  <c r="B19" i="198"/>
  <c r="B17" i="218"/>
  <c r="C27" i="228"/>
  <c r="C27" i="226"/>
  <c r="C27" i="229"/>
  <c r="C27" i="227"/>
  <c r="C27" i="223"/>
  <c r="C27" i="225"/>
  <c r="C27" i="222"/>
  <c r="C27" i="221"/>
  <c r="C27" i="220"/>
  <c r="C27" i="218"/>
  <c r="C27" i="219"/>
  <c r="C27" i="204"/>
  <c r="C34" i="229"/>
  <c r="C34" i="227"/>
  <c r="C34" i="226"/>
  <c r="C34" i="228"/>
  <c r="C34" i="225"/>
  <c r="C34" i="223"/>
  <c r="C34" i="222"/>
  <c r="C34" i="221"/>
  <c r="C34" i="220"/>
  <c r="C34" i="219"/>
  <c r="C34" i="218"/>
  <c r="C41" i="228"/>
  <c r="C41" i="229"/>
  <c r="C41" i="226"/>
  <c r="C41" i="225"/>
  <c r="C41" i="227"/>
  <c r="C41" i="223"/>
  <c r="C41" i="222"/>
  <c r="C41" i="221"/>
  <c r="C41" i="220"/>
  <c r="C41" i="219"/>
  <c r="C41" i="204"/>
  <c r="C41" i="218"/>
  <c r="B56" i="226"/>
  <c r="B56" i="228"/>
  <c r="B56" i="227"/>
  <c r="B56" i="225"/>
  <c r="B56" i="223"/>
  <c r="B56" i="229"/>
  <c r="B56" i="222"/>
  <c r="B56" i="221"/>
  <c r="B56" i="220"/>
  <c r="B56" i="219"/>
  <c r="B56" i="218"/>
  <c r="B58" i="198"/>
  <c r="B56" i="204"/>
  <c r="B63" i="229"/>
  <c r="B63" i="228"/>
  <c r="B63" i="227"/>
  <c r="B63" i="223"/>
  <c r="B63" i="225"/>
  <c r="B63" i="226"/>
  <c r="B63" i="222"/>
  <c r="B63" i="221"/>
  <c r="B63" i="220"/>
  <c r="B63" i="219"/>
  <c r="B65" i="198"/>
  <c r="B63" i="204"/>
  <c r="B63" i="218"/>
  <c r="B70" i="227"/>
  <c r="B70" i="226"/>
  <c r="B70" i="229"/>
  <c r="B70" i="223"/>
  <c r="B70" i="225"/>
  <c r="B70" i="228"/>
  <c r="B70" i="222"/>
  <c r="B70" i="220"/>
  <c r="B70" i="221"/>
  <c r="B70" i="219"/>
  <c r="B72" i="198"/>
  <c r="B70" i="218"/>
  <c r="C81" i="229"/>
  <c r="C81" i="228"/>
  <c r="C81" i="226"/>
  <c r="C81" i="227"/>
  <c r="C81" i="223"/>
  <c r="C81" i="225"/>
  <c r="C81" i="222"/>
  <c r="C81" i="221"/>
  <c r="C81" i="220"/>
  <c r="C81" i="218"/>
  <c r="C81" i="219"/>
  <c r="C81" i="204"/>
  <c r="C88" i="223"/>
  <c r="C88" i="229"/>
  <c r="C88" i="228"/>
  <c r="C88" i="227"/>
  <c r="C88" i="226"/>
  <c r="C88" i="225"/>
  <c r="C88" i="222"/>
  <c r="C88" i="221"/>
  <c r="C88" i="220"/>
  <c r="C88" i="219"/>
  <c r="C88" i="204"/>
  <c r="C88" i="218"/>
  <c r="A107" i="227"/>
  <c r="A107" i="226"/>
  <c r="A107" i="228"/>
  <c r="A107" i="223"/>
  <c r="A107" i="225"/>
  <c r="A107" i="229"/>
  <c r="A107" i="222"/>
  <c r="A107" i="221"/>
  <c r="A109" i="198"/>
  <c r="C118" i="229"/>
  <c r="C118" i="227"/>
  <c r="C118" i="228"/>
  <c r="C118" i="223"/>
  <c r="C118" i="225"/>
  <c r="C118" i="226"/>
  <c r="C118" i="222"/>
  <c r="C118" i="220"/>
  <c r="C118" i="221"/>
  <c r="C118" i="218"/>
  <c r="C118" i="219"/>
  <c r="C118" i="204"/>
  <c r="C122" i="229"/>
  <c r="C122" i="225"/>
  <c r="C122" i="227"/>
  <c r="C122" i="223"/>
  <c r="C122" i="226"/>
  <c r="C122" i="228"/>
  <c r="C122" i="222"/>
  <c r="C122" i="220"/>
  <c r="C122" i="221"/>
  <c r="C122" i="219"/>
  <c r="C122" i="218"/>
  <c r="C122" i="204"/>
  <c r="C129" i="228"/>
  <c r="C129" i="229"/>
  <c r="C129" i="227"/>
  <c r="C129" i="225"/>
  <c r="C129" i="223"/>
  <c r="C129" i="226"/>
  <c r="C129" i="222"/>
  <c r="C129" i="221"/>
  <c r="C129" i="220"/>
  <c r="C129" i="219"/>
  <c r="C129" i="218"/>
  <c r="C129" i="204"/>
  <c r="B137" i="226"/>
  <c r="B137" i="228"/>
  <c r="B137" i="227"/>
  <c r="B137" i="223"/>
  <c r="B137" i="225"/>
  <c r="B137" i="229"/>
  <c r="B137" i="222"/>
  <c r="B137" i="220"/>
  <c r="B137" i="221"/>
  <c r="B137" i="219"/>
  <c r="B137" i="218"/>
  <c r="B137" i="204"/>
  <c r="B144" i="229"/>
  <c r="B144" i="225"/>
  <c r="B144" i="227"/>
  <c r="B144" i="226"/>
  <c r="B144" i="223"/>
  <c r="B144" i="228"/>
  <c r="B144" i="222"/>
  <c r="B144" i="221"/>
  <c r="B144" i="220"/>
  <c r="B144" i="219"/>
  <c r="B144" i="218"/>
  <c r="B144" i="204"/>
  <c r="B146" i="198"/>
  <c r="B151" i="229"/>
  <c r="B151" i="225"/>
  <c r="B151" i="227"/>
  <c r="B151" i="223"/>
  <c r="B151" i="222"/>
  <c r="B151" i="226"/>
  <c r="B151" i="228"/>
  <c r="B151" i="221"/>
  <c r="B151" i="220"/>
  <c r="B151" i="219"/>
  <c r="B151" i="218"/>
  <c r="B151" i="204"/>
  <c r="B153" i="198"/>
  <c r="C160" i="227"/>
  <c r="C160" i="226"/>
  <c r="C160" i="228"/>
  <c r="C160" i="229"/>
  <c r="C160" i="223"/>
  <c r="C160" i="225"/>
  <c r="C160" i="222"/>
  <c r="C160" i="221"/>
  <c r="C160" i="220"/>
  <c r="C160" i="219"/>
  <c r="C160" i="218"/>
  <c r="C160" i="204"/>
  <c r="C167" i="228"/>
  <c r="C167" i="227"/>
  <c r="C167" i="226"/>
  <c r="C167" i="229"/>
  <c r="C167" i="225"/>
  <c r="C167" i="223"/>
  <c r="C167" i="222"/>
  <c r="C167" i="221"/>
  <c r="C167" i="220"/>
  <c r="C167" i="219"/>
  <c r="C167" i="218"/>
  <c r="C167" i="204"/>
  <c r="B177" i="227"/>
  <c r="B177" i="225"/>
  <c r="B177" i="223"/>
  <c r="B177" i="228"/>
  <c r="B177" i="229"/>
  <c r="B177" i="222"/>
  <c r="B177" i="226"/>
  <c r="B177" i="221"/>
  <c r="B177" i="220"/>
  <c r="B177" i="219"/>
  <c r="B177" i="218"/>
  <c r="B177" i="204"/>
  <c r="B179" i="198"/>
  <c r="B195" i="226"/>
  <c r="B195" i="229"/>
  <c r="B195" i="227"/>
  <c r="B195" i="225"/>
  <c r="B195" i="228"/>
  <c r="B195" i="223"/>
  <c r="B195" i="222"/>
  <c r="B195" i="221"/>
  <c r="B195" i="220"/>
  <c r="B195" i="219"/>
  <c r="B195" i="218"/>
  <c r="B195" i="204"/>
  <c r="AD47" i="204"/>
  <c r="R10" i="198"/>
  <c r="C22" i="198"/>
  <c r="B103" i="198"/>
  <c r="AD123" i="204"/>
  <c r="AB123" i="204"/>
  <c r="AA123" i="204"/>
  <c r="Z123" i="204"/>
  <c r="Y123" i="204"/>
  <c r="AC123" i="204"/>
  <c r="AH123" i="204"/>
  <c r="AG123" i="204"/>
  <c r="AF123" i="204"/>
  <c r="AE123" i="204"/>
  <c r="AJ123" i="204"/>
  <c r="AI123" i="204"/>
  <c r="AB125" i="204"/>
  <c r="AC125" i="204"/>
  <c r="AA125" i="204"/>
  <c r="Z125" i="204"/>
  <c r="Y125" i="204"/>
  <c r="AD125" i="204"/>
  <c r="AH125" i="204"/>
  <c r="AG125" i="204"/>
  <c r="AF125" i="204"/>
  <c r="AE125" i="204"/>
  <c r="AJ125" i="204"/>
  <c r="AI125" i="204"/>
  <c r="Y15" i="204"/>
  <c r="AE15" i="204"/>
  <c r="Z15" i="204"/>
  <c r="AF15" i="204"/>
  <c r="AG15" i="204"/>
  <c r="AA15" i="204"/>
  <c r="AB15" i="204"/>
  <c r="AC15" i="204"/>
  <c r="AD15" i="204"/>
  <c r="AH15" i="204"/>
  <c r="AI15" i="204"/>
  <c r="AJ15" i="204"/>
  <c r="AB31" i="204"/>
  <c r="Z37" i="204"/>
  <c r="AB37" i="204"/>
  <c r="AA37" i="204"/>
  <c r="Y37" i="204"/>
  <c r="AH37" i="204"/>
  <c r="AG37" i="204"/>
  <c r="AE37" i="204"/>
  <c r="AD37" i="204"/>
  <c r="AH47" i="204"/>
  <c r="AF58" i="204"/>
  <c r="Z58" i="204"/>
  <c r="Y58" i="204"/>
  <c r="AJ58" i="204"/>
  <c r="AE58" i="204"/>
  <c r="AI58" i="204"/>
  <c r="AH58" i="204"/>
  <c r="R72" i="204"/>
  <c r="AV10" i="198"/>
  <c r="D22" i="198"/>
  <c r="E22" i="198" s="1"/>
  <c r="B53" i="198"/>
  <c r="C15" i="204"/>
  <c r="AC17" i="204"/>
  <c r="AF17" i="204"/>
  <c r="AG17" i="204"/>
  <c r="AH17" i="204"/>
  <c r="AB17" i="204"/>
  <c r="AD17" i="204"/>
  <c r="AJ17" i="204"/>
  <c r="AA17" i="204"/>
  <c r="AE17" i="204"/>
  <c r="AI17" i="204"/>
  <c r="Y17" i="204"/>
  <c r="Z17" i="204"/>
  <c r="AD90" i="204"/>
  <c r="AB90" i="204"/>
  <c r="AA90" i="204"/>
  <c r="Z90" i="204"/>
  <c r="Y90" i="204"/>
  <c r="AI90" i="204"/>
  <c r="AH90" i="204"/>
  <c r="AG90" i="204"/>
  <c r="AF90" i="204"/>
  <c r="AE90" i="204"/>
  <c r="AC90" i="204"/>
  <c r="Z56" i="204"/>
  <c r="AF56" i="204"/>
  <c r="AE56" i="204"/>
  <c r="AD56" i="204"/>
  <c r="AC56" i="204"/>
  <c r="AA56" i="204"/>
  <c r="AB56" i="204"/>
  <c r="AJ56" i="204"/>
  <c r="AH56" i="204"/>
  <c r="AG56" i="204"/>
  <c r="AH74" i="204"/>
  <c r="R74" i="204"/>
  <c r="AF74" i="204"/>
  <c r="O74" i="204"/>
  <c r="AE74" i="204"/>
  <c r="N74" i="204"/>
  <c r="AA74" i="204"/>
  <c r="AD74" i="204"/>
  <c r="M74" i="204"/>
  <c r="AC74" i="204"/>
  <c r="L74" i="204"/>
  <c r="AB74" i="204"/>
  <c r="K74" i="204"/>
  <c r="Y74" i="204"/>
  <c r="V74" i="204"/>
  <c r="U74" i="204"/>
  <c r="T74" i="204"/>
  <c r="S74" i="204"/>
  <c r="Q74" i="204"/>
  <c r="P74" i="204"/>
  <c r="C18" i="226"/>
  <c r="C18" i="227"/>
  <c r="C18" i="229"/>
  <c r="C18" i="223"/>
  <c r="C18" i="225"/>
  <c r="C18" i="228"/>
  <c r="C18" i="222"/>
  <c r="C18" i="221"/>
  <c r="C18" i="220"/>
  <c r="C18" i="219"/>
  <c r="C18" i="218"/>
  <c r="B29" i="228"/>
  <c r="B29" i="229"/>
  <c r="B29" i="227"/>
  <c r="B29" i="226"/>
  <c r="B29" i="225"/>
  <c r="B29" i="223"/>
  <c r="B29" i="222"/>
  <c r="B29" i="221"/>
  <c r="B29" i="220"/>
  <c r="B29" i="219"/>
  <c r="B29" i="204"/>
  <c r="B31" i="198"/>
  <c r="B29" i="218"/>
  <c r="B36" i="227"/>
  <c r="B36" i="226"/>
  <c r="B36" i="225"/>
  <c r="B36" i="228"/>
  <c r="B36" i="229"/>
  <c r="B36" i="223"/>
  <c r="B36" i="222"/>
  <c r="B36" i="221"/>
  <c r="B36" i="220"/>
  <c r="B36" i="219"/>
  <c r="B36" i="218"/>
  <c r="C57" i="227"/>
  <c r="C57" i="226"/>
  <c r="C57" i="229"/>
  <c r="C57" i="223"/>
  <c r="C57" i="225"/>
  <c r="C57" i="228"/>
  <c r="C57" i="222"/>
  <c r="C57" i="221"/>
  <c r="C57" i="220"/>
  <c r="C57" i="219"/>
  <c r="C57" i="204"/>
  <c r="C57" i="218"/>
  <c r="C64" i="226"/>
  <c r="C64" i="229"/>
  <c r="C64" i="227"/>
  <c r="C64" i="223"/>
  <c r="C64" i="225"/>
  <c r="C64" i="228"/>
  <c r="C64" i="222"/>
  <c r="C64" i="221"/>
  <c r="C64" i="220"/>
  <c r="C64" i="219"/>
  <c r="C64" i="218"/>
  <c r="C64" i="204"/>
  <c r="C71" i="228"/>
  <c r="C71" i="223"/>
  <c r="C71" i="225"/>
  <c r="C71" i="229"/>
  <c r="C71" i="227"/>
  <c r="C71" i="226"/>
  <c r="C71" i="222"/>
  <c r="C71" i="221"/>
  <c r="C71" i="220"/>
  <c r="C71" i="219"/>
  <c r="C71" i="218"/>
  <c r="C71" i="204"/>
  <c r="B83" i="228"/>
  <c r="B83" i="226"/>
  <c r="B83" i="227"/>
  <c r="B83" i="223"/>
  <c r="B83" i="229"/>
  <c r="B83" i="225"/>
  <c r="B83" i="222"/>
  <c r="B83" i="221"/>
  <c r="B83" i="220"/>
  <c r="B83" i="219"/>
  <c r="B83" i="218"/>
  <c r="B83" i="204"/>
  <c r="B85" i="198"/>
  <c r="B90" i="228"/>
  <c r="B90" i="227"/>
  <c r="B90" i="225"/>
  <c r="B90" i="226"/>
  <c r="B90" i="223"/>
  <c r="B90" i="229"/>
  <c r="B90" i="222"/>
  <c r="B90" i="221"/>
  <c r="B90" i="220"/>
  <c r="B90" i="219"/>
  <c r="B92" i="198"/>
  <c r="B90" i="218"/>
  <c r="B90" i="204"/>
  <c r="A95" i="228"/>
  <c r="A95" i="227"/>
  <c r="A95" i="229"/>
  <c r="A95" i="226"/>
  <c r="A95" i="223"/>
  <c r="A95" i="225"/>
  <c r="A95" i="222"/>
  <c r="A95" i="221"/>
  <c r="B97" i="227"/>
  <c r="B97" i="228"/>
  <c r="B97" i="226"/>
  <c r="B97" i="223"/>
  <c r="B97" i="229"/>
  <c r="B97" i="225"/>
  <c r="B97" i="222"/>
  <c r="B97" i="221"/>
  <c r="B97" i="220"/>
  <c r="B97" i="219"/>
  <c r="B97" i="218"/>
  <c r="B97" i="204"/>
  <c r="B99" i="198"/>
  <c r="A111" i="229"/>
  <c r="A111" i="227"/>
  <c r="A111" i="226"/>
  <c r="A111" i="223"/>
  <c r="A111" i="225"/>
  <c r="A111" i="228"/>
  <c r="A111" i="222"/>
  <c r="A111" i="221"/>
  <c r="A113" i="198"/>
  <c r="A111" i="218"/>
  <c r="A111" i="204"/>
  <c r="A115" i="229"/>
  <c r="A115" i="225"/>
  <c r="A115" i="223"/>
  <c r="A115" i="228"/>
  <c r="A115" i="227"/>
  <c r="A115" i="226"/>
  <c r="A115" i="222"/>
  <c r="A115" i="221"/>
  <c r="A115" i="218"/>
  <c r="A115" i="204"/>
  <c r="A117" i="198"/>
  <c r="B131" i="228"/>
  <c r="B131" i="225"/>
  <c r="B131" i="227"/>
  <c r="B131" i="226"/>
  <c r="B131" i="229"/>
  <c r="B131" i="223"/>
  <c r="B131" i="222"/>
  <c r="B131" i="221"/>
  <c r="B131" i="220"/>
  <c r="B131" i="219"/>
  <c r="B131" i="218"/>
  <c r="B131" i="204"/>
  <c r="B133" i="198"/>
  <c r="C138" i="228"/>
  <c r="C138" i="226"/>
  <c r="C138" i="229"/>
  <c r="C138" i="225"/>
  <c r="C138" i="227"/>
  <c r="C138" i="222"/>
  <c r="C138" i="223"/>
  <c r="C138" i="221"/>
  <c r="C138" i="220"/>
  <c r="C138" i="219"/>
  <c r="C138" i="218"/>
  <c r="C138" i="204"/>
  <c r="C145" i="228"/>
  <c r="C145" i="226"/>
  <c r="C145" i="229"/>
  <c r="C145" i="223"/>
  <c r="C145" i="225"/>
  <c r="C145" i="227"/>
  <c r="C145" i="222"/>
  <c r="C145" i="221"/>
  <c r="C145" i="220"/>
  <c r="C145" i="219"/>
  <c r="C145" i="218"/>
  <c r="C145" i="204"/>
  <c r="C152" i="228"/>
  <c r="C152" i="226"/>
  <c r="C152" i="227"/>
  <c r="C152" i="229"/>
  <c r="C152" i="225"/>
  <c r="C152" i="223"/>
  <c r="C152" i="222"/>
  <c r="C152" i="221"/>
  <c r="C152" i="220"/>
  <c r="C152" i="219"/>
  <c r="C152" i="218"/>
  <c r="C152" i="204"/>
  <c r="B162" i="229"/>
  <c r="B162" i="228"/>
  <c r="B162" i="227"/>
  <c r="B162" i="223"/>
  <c r="B162" i="226"/>
  <c r="B162" i="225"/>
  <c r="B162" i="222"/>
  <c r="B162" i="221"/>
  <c r="B162" i="220"/>
  <c r="B164" i="198"/>
  <c r="B162" i="219"/>
  <c r="B162" i="218"/>
  <c r="B162" i="204"/>
  <c r="B169" i="228"/>
  <c r="B169" i="229"/>
  <c r="B169" i="227"/>
  <c r="B169" i="226"/>
  <c r="B169" i="223"/>
  <c r="B169" i="225"/>
  <c r="B169" i="222"/>
  <c r="B169" i="221"/>
  <c r="B169" i="220"/>
  <c r="B171" i="198"/>
  <c r="B169" i="219"/>
  <c r="B169" i="218"/>
  <c r="B169" i="204"/>
  <c r="C178" i="227"/>
  <c r="C178" i="226"/>
  <c r="C178" i="225"/>
  <c r="C178" i="223"/>
  <c r="C178" i="229"/>
  <c r="C178" i="228"/>
  <c r="C178" i="222"/>
  <c r="C178" i="221"/>
  <c r="C178" i="220"/>
  <c r="C178" i="219"/>
  <c r="C178" i="218"/>
  <c r="C178" i="204"/>
  <c r="C189" i="227"/>
  <c r="C189" i="223"/>
  <c r="C189" i="226"/>
  <c r="C189" i="229"/>
  <c r="C189" i="225"/>
  <c r="C189" i="228"/>
  <c r="C189" i="222"/>
  <c r="C189" i="220"/>
  <c r="C189" i="219"/>
  <c r="C189" i="221"/>
  <c r="C189" i="218"/>
  <c r="C189" i="204"/>
  <c r="C196" i="225"/>
  <c r="C196" i="228"/>
  <c r="C196" i="223"/>
  <c r="C196" i="226"/>
  <c r="C196" i="229"/>
  <c r="C196" i="227"/>
  <c r="C196" i="222"/>
  <c r="C196" i="221"/>
  <c r="C196" i="220"/>
  <c r="C196" i="219"/>
  <c r="C196" i="218"/>
  <c r="C196" i="204"/>
  <c r="AH100" i="218"/>
  <c r="AD100" i="218"/>
  <c r="AC100" i="218"/>
  <c r="Y100" i="218"/>
  <c r="AB100" i="218"/>
  <c r="AA100" i="218"/>
  <c r="Z100" i="218"/>
  <c r="AE100" i="218"/>
  <c r="AJ100" i="218"/>
  <c r="AI100" i="218"/>
  <c r="AG100" i="218"/>
  <c r="AF100" i="218"/>
  <c r="BG10" i="198"/>
  <c r="BH10" i="198" s="1"/>
  <c r="AH22" i="198"/>
  <c r="AG10" i="204"/>
  <c r="AJ10" i="204"/>
  <c r="Y10" i="204"/>
  <c r="AK10" i="204" s="1"/>
  <c r="Z10" i="204"/>
  <c r="AA10" i="204"/>
  <c r="AF10" i="204"/>
  <c r="AH10" i="204"/>
  <c r="AI10" i="204"/>
  <c r="AB10" i="204"/>
  <c r="AC10" i="204"/>
  <c r="AD10" i="204"/>
  <c r="AE10" i="204"/>
  <c r="Z23" i="204"/>
  <c r="Z42" i="204" s="1"/>
  <c r="AA23" i="204"/>
  <c r="AA42" i="204" s="1"/>
  <c r="Y23" i="204"/>
  <c r="AJ23" i="204"/>
  <c r="AJ42" i="204" s="1"/>
  <c r="AI23" i="204"/>
  <c r="AJ90" i="204"/>
  <c r="A97" i="198"/>
  <c r="C22" i="229"/>
  <c r="C22" i="226"/>
  <c r="C22" i="225"/>
  <c r="C22" i="223"/>
  <c r="C22" i="228"/>
  <c r="C22" i="227"/>
  <c r="C22" i="222"/>
  <c r="C22" i="221"/>
  <c r="C22" i="220"/>
  <c r="C22" i="219"/>
  <c r="C22" i="218"/>
  <c r="C22" i="204"/>
  <c r="C29" i="229"/>
  <c r="C29" i="227"/>
  <c r="C29" i="226"/>
  <c r="C29" i="225"/>
  <c r="C29" i="223"/>
  <c r="C29" i="228"/>
  <c r="C29" i="222"/>
  <c r="C29" i="221"/>
  <c r="C29" i="220"/>
  <c r="C29" i="218"/>
  <c r="C29" i="219"/>
  <c r="C29" i="204"/>
  <c r="C36" i="228"/>
  <c r="C36" i="227"/>
  <c r="C36" i="223"/>
  <c r="C36" i="225"/>
  <c r="C36" i="226"/>
  <c r="C36" i="229"/>
  <c r="C36" i="222"/>
  <c r="C36" i="221"/>
  <c r="C36" i="220"/>
  <c r="C36" i="218"/>
  <c r="C36" i="219"/>
  <c r="C36" i="204"/>
  <c r="C45" i="228"/>
  <c r="C45" i="226"/>
  <c r="C45" i="225"/>
  <c r="C45" i="227"/>
  <c r="C45" i="223"/>
  <c r="C45" i="229"/>
  <c r="C45" i="222"/>
  <c r="C45" i="220"/>
  <c r="C45" i="221"/>
  <c r="C45" i="219"/>
  <c r="C45" i="204"/>
  <c r="C45" i="218"/>
  <c r="B51" i="227"/>
  <c r="B51" i="226"/>
  <c r="B51" i="229"/>
  <c r="B51" i="223"/>
  <c r="B51" i="228"/>
  <c r="B51" i="225"/>
  <c r="B51" i="222"/>
  <c r="B51" i="221"/>
  <c r="B51" i="220"/>
  <c r="B51" i="219"/>
  <c r="B51" i="218"/>
  <c r="B58" i="228"/>
  <c r="B58" i="227"/>
  <c r="B58" i="225"/>
  <c r="B58" i="226"/>
  <c r="B58" i="229"/>
  <c r="B58" i="223"/>
  <c r="B58" i="222"/>
  <c r="B58" i="221"/>
  <c r="B58" i="220"/>
  <c r="B58" i="219"/>
  <c r="B58" i="204"/>
  <c r="B58" i="218"/>
  <c r="B60" i="198"/>
  <c r="B65" i="228"/>
  <c r="B65" i="223"/>
  <c r="B65" i="227"/>
  <c r="B65" i="226"/>
  <c r="B65" i="229"/>
  <c r="B65" i="225"/>
  <c r="B65" i="222"/>
  <c r="B65" i="221"/>
  <c r="B65" i="220"/>
  <c r="B65" i="218"/>
  <c r="B65" i="219"/>
  <c r="B67" i="198"/>
  <c r="B72" i="226"/>
  <c r="B72" i="228"/>
  <c r="B72" i="227"/>
  <c r="B72" i="223"/>
  <c r="B72" i="225"/>
  <c r="B72" i="229"/>
  <c r="B72" i="222"/>
  <c r="B72" i="221"/>
  <c r="B72" i="220"/>
  <c r="B72" i="219"/>
  <c r="B72" i="218"/>
  <c r="C83" i="229"/>
  <c r="C83" i="227"/>
  <c r="C83" i="223"/>
  <c r="C83" i="228"/>
  <c r="C83" i="226"/>
  <c r="C83" i="225"/>
  <c r="C83" i="222"/>
  <c r="C83" i="221"/>
  <c r="C83" i="220"/>
  <c r="C83" i="219"/>
  <c r="C83" i="218"/>
  <c r="C83" i="204"/>
  <c r="C90" i="229"/>
  <c r="C90" i="227"/>
  <c r="C90" i="223"/>
  <c r="C90" i="225"/>
  <c r="C90" i="226"/>
  <c r="C90" i="228"/>
  <c r="C90" i="222"/>
  <c r="C90" i="221"/>
  <c r="C90" i="220"/>
  <c r="C90" i="219"/>
  <c r="C90" i="218"/>
  <c r="C97" i="228"/>
  <c r="C97" i="229"/>
  <c r="C97" i="226"/>
  <c r="C97" i="223"/>
  <c r="C97" i="225"/>
  <c r="C97" i="227"/>
  <c r="C97" i="222"/>
  <c r="C97" i="221"/>
  <c r="C97" i="220"/>
  <c r="C97" i="219"/>
  <c r="C97" i="218"/>
  <c r="C97" i="204"/>
  <c r="Y112" i="218"/>
  <c r="AD112" i="218"/>
  <c r="AC112" i="218"/>
  <c r="AJ112" i="218"/>
  <c r="AG112" i="218"/>
  <c r="AI112" i="218"/>
  <c r="AH112" i="218"/>
  <c r="AF112" i="218"/>
  <c r="AE112" i="218"/>
  <c r="AB112" i="218"/>
  <c r="AA112" i="218"/>
  <c r="Z112" i="218"/>
  <c r="AK56" i="204"/>
  <c r="AH114" i="204"/>
  <c r="AJ114" i="204"/>
  <c r="AI114" i="204"/>
  <c r="AG114" i="204"/>
  <c r="AE114" i="204"/>
  <c r="AF114" i="204"/>
  <c r="AC114" i="204"/>
  <c r="AB114" i="204"/>
  <c r="AA114" i="204"/>
  <c r="Y114" i="204"/>
  <c r="AE47" i="204"/>
  <c r="AB47" i="204"/>
  <c r="AA47" i="204"/>
  <c r="Z47" i="204"/>
  <c r="Y47" i="204"/>
  <c r="AG47" i="204"/>
  <c r="AF47" i="204"/>
  <c r="AC47" i="204"/>
  <c r="AF87" i="204"/>
  <c r="AB87" i="204"/>
  <c r="AA87" i="204"/>
  <c r="Z87" i="204"/>
  <c r="Y87" i="204"/>
  <c r="AJ87" i="204"/>
  <c r="AI87" i="204"/>
  <c r="AH87" i="204"/>
  <c r="AG87" i="204"/>
  <c r="AE87" i="204"/>
  <c r="AD87" i="204"/>
  <c r="AC87" i="204"/>
  <c r="AR45" i="198"/>
  <c r="I45" i="198"/>
  <c r="BF45" i="198"/>
  <c r="S45" i="198"/>
  <c r="BB45" i="198"/>
  <c r="R45" i="198"/>
  <c r="BA45" i="198"/>
  <c r="N45" i="198"/>
  <c r="AQ45" i="198"/>
  <c r="D45" i="198"/>
  <c r="AW45" i="198"/>
  <c r="M45" i="198"/>
  <c r="AV45" i="198"/>
  <c r="H45" i="198"/>
  <c r="BG45" i="198"/>
  <c r="AM45" i="198"/>
  <c r="AN45" i="198" s="1"/>
  <c r="AH45" i="198"/>
  <c r="AB45" i="198"/>
  <c r="AJ37" i="204"/>
  <c r="AG74" i="204"/>
  <c r="AK83" i="204"/>
  <c r="B87" i="204"/>
  <c r="AA53" i="204"/>
  <c r="Z53" i="204"/>
  <c r="Y53" i="204"/>
  <c r="AJ53" i="204"/>
  <c r="AI53" i="204"/>
  <c r="AH53" i="204"/>
  <c r="AF53" i="204"/>
  <c r="AE53" i="204"/>
  <c r="AC53" i="204"/>
  <c r="AB53" i="204"/>
  <c r="B74" i="198"/>
  <c r="AE31" i="204"/>
  <c r="Z31" i="204"/>
  <c r="Y31" i="204"/>
  <c r="AJ31" i="204"/>
  <c r="AI31" i="204"/>
  <c r="AG31" i="204"/>
  <c r="AF31" i="204"/>
  <c r="AC31" i="204"/>
  <c r="B36" i="204"/>
  <c r="V72" i="204"/>
  <c r="AG72" i="204"/>
  <c r="P72" i="204"/>
  <c r="AF72" i="204"/>
  <c r="O72" i="204"/>
  <c r="AB72" i="204"/>
  <c r="K72" i="204"/>
  <c r="D72" i="204" s="1"/>
  <c r="F72" i="204" s="1"/>
  <c r="AE72" i="204"/>
  <c r="N72" i="204"/>
  <c r="AD72" i="204"/>
  <c r="M72" i="204"/>
  <c r="AC72" i="204"/>
  <c r="L72" i="204"/>
  <c r="Q72" i="204"/>
  <c r="AI72" i="204"/>
  <c r="AH72" i="204"/>
  <c r="AA72" i="204"/>
  <c r="Z72" i="204"/>
  <c r="Y72" i="204"/>
  <c r="U72" i="204"/>
  <c r="T72" i="204"/>
  <c r="S72" i="204"/>
  <c r="AI74" i="204"/>
  <c r="AD53" i="204"/>
  <c r="AK60" i="204"/>
  <c r="AB70" i="204"/>
  <c r="AH70" i="204"/>
  <c r="AG70" i="204"/>
  <c r="AC70" i="204"/>
  <c r="AF70" i="204"/>
  <c r="AE70" i="204"/>
  <c r="AD70" i="204"/>
  <c r="AJ70" i="204"/>
  <c r="AI70" i="204"/>
  <c r="AA70" i="204"/>
  <c r="Z70" i="204"/>
  <c r="AK70" i="204" s="1"/>
  <c r="B72" i="204"/>
  <c r="AJ74" i="204"/>
  <c r="C45" i="198"/>
  <c r="AH175" i="198"/>
  <c r="AI175" i="198" s="1"/>
  <c r="AH14" i="198"/>
  <c r="AH156" i="198"/>
  <c r="AI156" i="198" s="1"/>
  <c r="AG53" i="204"/>
  <c r="AE57" i="204"/>
  <c r="B70" i="204"/>
  <c r="AD75" i="204"/>
  <c r="AC75" i="204"/>
  <c r="AC153" i="204" s="1"/>
  <c r="AB75" i="204"/>
  <c r="AB153" i="204" s="1"/>
  <c r="AA75" i="204"/>
  <c r="Z75" i="204"/>
  <c r="Y75" i="204"/>
  <c r="AH75" i="204"/>
  <c r="AG75" i="204"/>
  <c r="AG153" i="204" s="1"/>
  <c r="AF75" i="204"/>
  <c r="AE75" i="204"/>
  <c r="AE153" i="204" s="1"/>
  <c r="AF128" i="204"/>
  <c r="AI128" i="204"/>
  <c r="AC128" i="204"/>
  <c r="AH128" i="204"/>
  <c r="AG128" i="204"/>
  <c r="AE128" i="204"/>
  <c r="AD128" i="204"/>
  <c r="AB128" i="204"/>
  <c r="AJ128" i="204"/>
  <c r="AK178" i="204"/>
  <c r="AH62" i="204"/>
  <c r="AA67" i="204"/>
  <c r="AD67" i="204"/>
  <c r="AC67" i="204"/>
  <c r="Z67" i="204"/>
  <c r="AB67" i="204"/>
  <c r="Y67" i="204"/>
  <c r="U71" i="204"/>
  <c r="AJ86" i="204"/>
  <c r="AE86" i="204"/>
  <c r="AD86" i="204"/>
  <c r="AC86" i="204"/>
  <c r="AB86" i="204"/>
  <c r="AA86" i="204"/>
  <c r="Z86" i="204"/>
  <c r="AC121" i="204"/>
  <c r="AJ121" i="204"/>
  <c r="AI121" i="204"/>
  <c r="AH121" i="204"/>
  <c r="Y121" i="204"/>
  <c r="AG121" i="204"/>
  <c r="AE129" i="204"/>
  <c r="AK164" i="204"/>
  <c r="AH40" i="204"/>
  <c r="Y40" i="204"/>
  <c r="AJ40" i="204"/>
  <c r="AI40" i="204"/>
  <c r="AF40" i="204"/>
  <c r="AW9" i="198"/>
  <c r="N9" i="198"/>
  <c r="BG9" i="198"/>
  <c r="W9" i="198"/>
  <c r="BF9" i="198"/>
  <c r="S9" i="198"/>
  <c r="BB9" i="198"/>
  <c r="R9" i="198"/>
  <c r="AR9" i="198"/>
  <c r="H9" i="198"/>
  <c r="BA9" i="198"/>
  <c r="M9" i="198"/>
  <c r="AV9" i="198"/>
  <c r="I9" i="198"/>
  <c r="AI96" i="218"/>
  <c r="AC96" i="218"/>
  <c r="AB96" i="218"/>
  <c r="AJ96" i="218"/>
  <c r="AH96" i="218"/>
  <c r="AF96" i="218"/>
  <c r="AA96" i="218"/>
  <c r="AG96" i="218"/>
  <c r="AE96" i="218"/>
  <c r="AD96" i="218"/>
  <c r="Z96" i="218"/>
  <c r="Y96" i="218"/>
  <c r="C127" i="229"/>
  <c r="C127" i="225"/>
  <c r="C127" i="226"/>
  <c r="C127" i="228"/>
  <c r="C127" i="227"/>
  <c r="C127" i="223"/>
  <c r="C127" i="222"/>
  <c r="C127" i="220"/>
  <c r="C127" i="221"/>
  <c r="C127" i="219"/>
  <c r="C127" i="218"/>
  <c r="C127" i="204"/>
  <c r="C134" i="228"/>
  <c r="C134" i="226"/>
  <c r="C134" i="227"/>
  <c r="C134" i="225"/>
  <c r="C134" i="223"/>
  <c r="C134" i="229"/>
  <c r="C134" i="222"/>
  <c r="C134" i="220"/>
  <c r="C134" i="221"/>
  <c r="C134" i="219"/>
  <c r="C134" i="204"/>
  <c r="C134" i="218"/>
  <c r="B142" i="226"/>
  <c r="B142" i="227"/>
  <c r="B142" i="223"/>
  <c r="B142" i="228"/>
  <c r="B142" i="225"/>
  <c r="B142" i="229"/>
  <c r="B142" i="222"/>
  <c r="B142" i="221"/>
  <c r="B142" i="220"/>
  <c r="B142" i="218"/>
  <c r="B142" i="219"/>
  <c r="B144" i="198"/>
  <c r="B149" i="226"/>
  <c r="B149" i="223"/>
  <c r="B149" i="225"/>
  <c r="B149" i="228"/>
  <c r="B149" i="229"/>
  <c r="B149" i="222"/>
  <c r="B149" i="227"/>
  <c r="B149" i="221"/>
  <c r="B149" i="220"/>
  <c r="B149" i="219"/>
  <c r="B149" i="218"/>
  <c r="B149" i="204"/>
  <c r="B151" i="198"/>
  <c r="C158" i="228"/>
  <c r="C158" i="226"/>
  <c r="C158" i="229"/>
  <c r="C158" i="225"/>
  <c r="C158" i="223"/>
  <c r="C158" i="227"/>
  <c r="C158" i="222"/>
  <c r="C158" i="221"/>
  <c r="C158" i="220"/>
  <c r="C158" i="219"/>
  <c r="C158" i="204"/>
  <c r="C158" i="218"/>
  <c r="C165" i="227"/>
  <c r="C165" i="229"/>
  <c r="C165" i="226"/>
  <c r="C165" i="223"/>
  <c r="C165" i="225"/>
  <c r="C165" i="228"/>
  <c r="C165" i="222"/>
  <c r="C165" i="221"/>
  <c r="C165" i="220"/>
  <c r="C165" i="218"/>
  <c r="C165" i="219"/>
  <c r="C165" i="204"/>
  <c r="B182" i="226"/>
  <c r="B182" i="227"/>
  <c r="B182" i="229"/>
  <c r="B182" i="228"/>
  <c r="B182" i="225"/>
  <c r="B182" i="223"/>
  <c r="B182" i="222"/>
  <c r="B182" i="221"/>
  <c r="B182" i="220"/>
  <c r="B182" i="219"/>
  <c r="B182" i="218"/>
  <c r="B182" i="204"/>
  <c r="B193" i="228"/>
  <c r="B193" i="225"/>
  <c r="B193" i="223"/>
  <c r="B193" i="227"/>
  <c r="B193" i="226"/>
  <c r="B193" i="229"/>
  <c r="B193" i="222"/>
  <c r="B193" i="221"/>
  <c r="B193" i="220"/>
  <c r="B193" i="219"/>
  <c r="B193" i="218"/>
  <c r="B193" i="204"/>
  <c r="B195" i="198"/>
  <c r="AG40" i="204"/>
  <c r="AG46" i="204"/>
  <c r="AF46" i="204"/>
  <c r="AE46" i="204"/>
  <c r="AD46" i="204"/>
  <c r="AC46" i="204"/>
  <c r="AB46" i="204"/>
  <c r="AF51" i="204"/>
  <c r="AH51" i="204"/>
  <c r="AG51" i="204"/>
  <c r="AE51" i="204"/>
  <c r="AD51" i="204"/>
  <c r="AB51" i="204"/>
  <c r="AC51" i="204"/>
  <c r="V71" i="204"/>
  <c r="AH100" i="204"/>
  <c r="Y100" i="204"/>
  <c r="AI100" i="204"/>
  <c r="AJ100" i="204"/>
  <c r="Z100" i="204"/>
  <c r="AG100" i="204"/>
  <c r="AB113" i="204"/>
  <c r="AD113" i="204"/>
  <c r="AC113" i="204"/>
  <c r="AA113" i="204"/>
  <c r="Z113" i="204"/>
  <c r="Y113" i="204"/>
  <c r="AE113" i="204"/>
  <c r="AF129" i="204"/>
  <c r="AA68" i="204"/>
  <c r="Y71" i="204"/>
  <c r="AC82" i="204"/>
  <c r="AB82" i="204"/>
  <c r="AA82" i="204"/>
  <c r="Z82" i="204"/>
  <c r="Y82" i="204"/>
  <c r="AI82" i="204"/>
  <c r="AB109" i="204"/>
  <c r="Y109" i="204"/>
  <c r="AJ109" i="204"/>
  <c r="AI109" i="204"/>
  <c r="Z109" i="204"/>
  <c r="AJ118" i="204"/>
  <c r="AB118" i="204"/>
  <c r="Z118" i="204"/>
  <c r="Y118" i="204"/>
  <c r="AA118" i="204"/>
  <c r="AC118" i="204"/>
  <c r="AK127" i="204"/>
  <c r="Y128" i="204"/>
  <c r="AG129" i="204"/>
  <c r="AK132" i="204"/>
  <c r="B142" i="204"/>
  <c r="AK181" i="204"/>
  <c r="AB68" i="204"/>
  <c r="Z85" i="204"/>
  <c r="AK85" i="204" s="1"/>
  <c r="AH85" i="204"/>
  <c r="AG85" i="204"/>
  <c r="AF85" i="204"/>
  <c r="AE85" i="204"/>
  <c r="AD85" i="204"/>
  <c r="AC85" i="204"/>
  <c r="Z128" i="204"/>
  <c r="AH129" i="204"/>
  <c r="AK136" i="204"/>
  <c r="C109" i="227"/>
  <c r="C109" i="223"/>
  <c r="C109" i="228"/>
  <c r="C109" i="226"/>
  <c r="C109" i="225"/>
  <c r="C109" i="229"/>
  <c r="C109" i="222"/>
  <c r="C109" i="221"/>
  <c r="C109" i="220"/>
  <c r="C109" i="219"/>
  <c r="C109" i="204"/>
  <c r="C109" i="218"/>
  <c r="C113" i="229"/>
  <c r="C113" i="227"/>
  <c r="C113" i="228"/>
  <c r="C113" i="226"/>
  <c r="C113" i="223"/>
  <c r="C113" i="225"/>
  <c r="C113" i="222"/>
  <c r="C113" i="221"/>
  <c r="C113" i="220"/>
  <c r="C113" i="219"/>
  <c r="C113" i="218"/>
  <c r="C117" i="229"/>
  <c r="C117" i="225"/>
  <c r="C117" i="223"/>
  <c r="C117" i="227"/>
  <c r="C117" i="228"/>
  <c r="C117" i="226"/>
  <c r="C117" i="222"/>
  <c r="C117" i="221"/>
  <c r="C117" i="220"/>
  <c r="C117" i="219"/>
  <c r="C117" i="218"/>
  <c r="C117" i="204"/>
  <c r="C128" i="229"/>
  <c r="C128" i="227"/>
  <c r="C128" i="225"/>
  <c r="C128" i="223"/>
  <c r="C128" i="226"/>
  <c r="C128" i="228"/>
  <c r="C128" i="222"/>
  <c r="C128" i="220"/>
  <c r="C128" i="221"/>
  <c r="C128" i="219"/>
  <c r="C128" i="218"/>
  <c r="C135" i="229"/>
  <c r="C135" i="225"/>
  <c r="C135" i="223"/>
  <c r="C135" i="226"/>
  <c r="C135" i="228"/>
  <c r="C135" i="227"/>
  <c r="C135" i="222"/>
  <c r="C135" i="221"/>
  <c r="C135" i="220"/>
  <c r="C135" i="219"/>
  <c r="C135" i="218"/>
  <c r="C135" i="204"/>
  <c r="B143" i="225"/>
  <c r="B143" i="226"/>
  <c r="B143" i="227"/>
  <c r="B143" i="223"/>
  <c r="B143" i="228"/>
  <c r="B143" i="229"/>
  <c r="B143" i="222"/>
  <c r="B143" i="221"/>
  <c r="B143" i="220"/>
  <c r="B143" i="219"/>
  <c r="B143" i="218"/>
  <c r="B150" i="228"/>
  <c r="B150" i="225"/>
  <c r="B150" i="227"/>
  <c r="B150" i="229"/>
  <c r="B150" i="223"/>
  <c r="B150" i="226"/>
  <c r="B150" i="222"/>
  <c r="B150" i="221"/>
  <c r="B150" i="220"/>
  <c r="B150" i="219"/>
  <c r="B150" i="218"/>
  <c r="B150" i="204"/>
  <c r="C159" i="226"/>
  <c r="C159" i="229"/>
  <c r="C159" i="228"/>
  <c r="C159" i="227"/>
  <c r="C159" i="223"/>
  <c r="C159" i="222"/>
  <c r="C159" i="225"/>
  <c r="C159" i="221"/>
  <c r="C159" i="220"/>
  <c r="C159" i="219"/>
  <c r="C159" i="218"/>
  <c r="C159" i="204"/>
  <c r="C166" i="227"/>
  <c r="C166" i="229"/>
  <c r="C166" i="228"/>
  <c r="C166" i="226"/>
  <c r="C166" i="223"/>
  <c r="C166" i="225"/>
  <c r="C166" i="222"/>
  <c r="C166" i="221"/>
  <c r="C166" i="220"/>
  <c r="C166" i="219"/>
  <c r="C166" i="204"/>
  <c r="C166" i="218"/>
  <c r="B176" i="225"/>
  <c r="B176" i="228"/>
  <c r="B176" i="229"/>
  <c r="B176" i="223"/>
  <c r="B176" i="226"/>
  <c r="B176" i="227"/>
  <c r="B176" i="222"/>
  <c r="B176" i="221"/>
  <c r="B176" i="220"/>
  <c r="B176" i="219"/>
  <c r="B176" i="218"/>
  <c r="B178" i="198"/>
  <c r="B176" i="204"/>
  <c r="B194" i="228"/>
  <c r="B194" i="226"/>
  <c r="B194" i="223"/>
  <c r="B194" i="227"/>
  <c r="B194" i="229"/>
  <c r="B194" i="222"/>
  <c r="B194" i="225"/>
  <c r="B194" i="221"/>
  <c r="B194" i="220"/>
  <c r="B194" i="219"/>
  <c r="B194" i="204"/>
  <c r="B194" i="218"/>
  <c r="B205" i="227"/>
  <c r="B205" i="226"/>
  <c r="B205" i="228"/>
  <c r="B205" i="225"/>
  <c r="B205" i="222"/>
  <c r="B205" i="229"/>
  <c r="B205" i="223"/>
  <c r="B205" i="221"/>
  <c r="B205" i="220"/>
  <c r="B205" i="219"/>
  <c r="B205" i="218"/>
  <c r="B205" i="204"/>
  <c r="AE18" i="204"/>
  <c r="AC18" i="204"/>
  <c r="AF18" i="204"/>
  <c r="AH18" i="204"/>
  <c r="Y18" i="204"/>
  <c r="AD18" i="204"/>
  <c r="AG18" i="204"/>
  <c r="AI18" i="204"/>
  <c r="AJ18" i="204"/>
  <c r="Z18" i="204"/>
  <c r="AA18" i="204"/>
  <c r="AB18" i="204"/>
  <c r="Z26" i="204"/>
  <c r="Y26" i="204"/>
  <c r="AK26" i="204" s="1"/>
  <c r="AI26" i="204"/>
  <c r="AJ26" i="204"/>
  <c r="AG26" i="204"/>
  <c r="AB34" i="204"/>
  <c r="AA34" i="204"/>
  <c r="Z34" i="204"/>
  <c r="Y34" i="204"/>
  <c r="AI34" i="204"/>
  <c r="AF52" i="204"/>
  <c r="AA71" i="204"/>
  <c r="X9" i="198"/>
  <c r="AR188" i="198"/>
  <c r="I188" i="198"/>
  <c r="BB188" i="198"/>
  <c r="R188" i="198"/>
  <c r="BA188" i="198"/>
  <c r="N188" i="198"/>
  <c r="AW188" i="198"/>
  <c r="M188" i="198"/>
  <c r="AM188" i="198"/>
  <c r="C188" i="198"/>
  <c r="AV188" i="198"/>
  <c r="H188" i="198"/>
  <c r="AQ188" i="198"/>
  <c r="D188" i="198"/>
  <c r="B207" i="198"/>
  <c r="C16" i="227"/>
  <c r="C16" i="229"/>
  <c r="C16" i="225"/>
  <c r="C16" i="228"/>
  <c r="C16" i="226"/>
  <c r="C16" i="223"/>
  <c r="C16" i="222"/>
  <c r="C16" i="221"/>
  <c r="C16" i="220"/>
  <c r="C16" i="219"/>
  <c r="C16" i="218"/>
  <c r="C16" i="204"/>
  <c r="B27" i="226"/>
  <c r="B27" i="227"/>
  <c r="B27" i="228"/>
  <c r="B27" i="223"/>
  <c r="B27" i="229"/>
  <c r="B27" i="225"/>
  <c r="B27" i="222"/>
  <c r="B27" i="221"/>
  <c r="B27" i="220"/>
  <c r="B27" i="219"/>
  <c r="B27" i="218"/>
  <c r="B27" i="204"/>
  <c r="B34" i="228"/>
  <c r="B34" i="226"/>
  <c r="B34" i="227"/>
  <c r="B34" i="229"/>
  <c r="B34" i="225"/>
  <c r="B34" i="223"/>
  <c r="B34" i="222"/>
  <c r="B34" i="221"/>
  <c r="B34" i="220"/>
  <c r="B34" i="219"/>
  <c r="B34" i="218"/>
  <c r="B41" i="227"/>
  <c r="B41" i="229"/>
  <c r="B41" i="228"/>
  <c r="B41" i="225"/>
  <c r="B41" i="226"/>
  <c r="B41" i="223"/>
  <c r="B41" i="222"/>
  <c r="B41" i="221"/>
  <c r="B41" i="220"/>
  <c r="B41" i="219"/>
  <c r="B41" i="204"/>
  <c r="B41" i="218"/>
  <c r="C55" i="226"/>
  <c r="C55" i="227"/>
  <c r="C55" i="228"/>
  <c r="C55" i="229"/>
  <c r="C55" i="223"/>
  <c r="C55" i="225"/>
  <c r="C55" i="222"/>
  <c r="C55" i="221"/>
  <c r="C55" i="220"/>
  <c r="C55" i="219"/>
  <c r="C55" i="218"/>
  <c r="C62" i="229"/>
  <c r="C62" i="226"/>
  <c r="C62" i="228"/>
  <c r="C62" i="223"/>
  <c r="C62" i="225"/>
  <c r="C62" i="227"/>
  <c r="C62" i="222"/>
  <c r="C62" i="220"/>
  <c r="C62" i="221"/>
  <c r="C62" i="219"/>
  <c r="C62" i="218"/>
  <c r="C62" i="204"/>
  <c r="C69" i="228"/>
  <c r="C69" i="227"/>
  <c r="C69" i="229"/>
  <c r="C69" i="223"/>
  <c r="C69" i="226"/>
  <c r="C69" i="225"/>
  <c r="C69" i="222"/>
  <c r="C69" i="220"/>
  <c r="C69" i="221"/>
  <c r="C69" i="219"/>
  <c r="C69" i="204"/>
  <c r="C69" i="218"/>
  <c r="B81" i="229"/>
  <c r="B81" i="228"/>
  <c r="B81" i="227"/>
  <c r="B81" i="223"/>
  <c r="B81" i="225"/>
  <c r="B81" i="226"/>
  <c r="B81" i="222"/>
  <c r="B81" i="221"/>
  <c r="B81" i="220"/>
  <c r="B81" i="219"/>
  <c r="B81" i="218"/>
  <c r="B81" i="204"/>
  <c r="B88" i="229"/>
  <c r="B88" i="226"/>
  <c r="B88" i="223"/>
  <c r="B88" i="225"/>
  <c r="B88" i="228"/>
  <c r="B88" i="227"/>
  <c r="B88" i="222"/>
  <c r="B88" i="221"/>
  <c r="B88" i="220"/>
  <c r="B88" i="219"/>
  <c r="B88" i="218"/>
  <c r="B88" i="204"/>
  <c r="A102" i="227"/>
  <c r="A102" i="226"/>
  <c r="A102" i="225"/>
  <c r="A102" i="228"/>
  <c r="A102" i="223"/>
  <c r="A102" i="229"/>
  <c r="A102" i="222"/>
  <c r="A102" i="221"/>
  <c r="A104" i="228"/>
  <c r="A104" i="227"/>
  <c r="A104" i="223"/>
  <c r="A104" i="226"/>
  <c r="A104" i="225"/>
  <c r="A104" i="229"/>
  <c r="A104" i="222"/>
  <c r="A104" i="221"/>
  <c r="A104" i="220"/>
  <c r="A106" i="198"/>
  <c r="A104" i="218"/>
  <c r="A104" i="219"/>
  <c r="A110" i="229"/>
  <c r="A110" i="226"/>
  <c r="A110" i="225"/>
  <c r="A110" i="223"/>
  <c r="A110" i="228"/>
  <c r="A110" i="227"/>
  <c r="A110" i="222"/>
  <c r="A110" i="221"/>
  <c r="A110" i="204"/>
  <c r="A110" i="218"/>
  <c r="A114" i="226"/>
  <c r="A114" i="227"/>
  <c r="A114" i="225"/>
  <c r="A114" i="229"/>
  <c r="A114" i="223"/>
  <c r="A114" i="228"/>
  <c r="A114" i="222"/>
  <c r="A114" i="221"/>
  <c r="A116" i="198"/>
  <c r="A114" i="218"/>
  <c r="B118" i="228"/>
  <c r="B118" i="223"/>
  <c r="B118" i="226"/>
  <c r="B118" i="225"/>
  <c r="B118" i="229"/>
  <c r="B118" i="227"/>
  <c r="B118" i="222"/>
  <c r="B118" i="221"/>
  <c r="B118" i="220"/>
  <c r="B118" i="219"/>
  <c r="B118" i="218"/>
  <c r="B122" i="226"/>
  <c r="B122" i="229"/>
  <c r="B122" i="225"/>
  <c r="B122" i="223"/>
  <c r="B122" i="228"/>
  <c r="B122" i="227"/>
  <c r="B122" i="222"/>
  <c r="B122" i="221"/>
  <c r="B122" i="220"/>
  <c r="B122" i="219"/>
  <c r="B122" i="204"/>
  <c r="B122" i="218"/>
  <c r="B129" i="229"/>
  <c r="B129" i="223"/>
  <c r="B129" i="227"/>
  <c r="B129" i="225"/>
  <c r="B129" i="226"/>
  <c r="B129" i="228"/>
  <c r="B129" i="222"/>
  <c r="B129" i="221"/>
  <c r="B129" i="219"/>
  <c r="B129" i="220"/>
  <c r="B129" i="218"/>
  <c r="B136" i="228"/>
  <c r="B136" i="227"/>
  <c r="B136" i="226"/>
  <c r="B136" i="229"/>
  <c r="B136" i="225"/>
  <c r="B136" i="223"/>
  <c r="B136" i="222"/>
  <c r="B136" i="221"/>
  <c r="B136" i="220"/>
  <c r="B136" i="219"/>
  <c r="B136" i="218"/>
  <c r="C143" i="229"/>
  <c r="C143" i="225"/>
  <c r="C143" i="226"/>
  <c r="C143" i="223"/>
  <c r="C143" i="228"/>
  <c r="C143" i="227"/>
  <c r="C143" i="222"/>
  <c r="C143" i="221"/>
  <c r="C143" i="219"/>
  <c r="C143" i="220"/>
  <c r="C143" i="218"/>
  <c r="C150" i="225"/>
  <c r="C150" i="228"/>
  <c r="C150" i="229"/>
  <c r="C150" i="226"/>
  <c r="C150" i="227"/>
  <c r="C150" i="223"/>
  <c r="C150" i="222"/>
  <c r="C150" i="221"/>
  <c r="C150" i="220"/>
  <c r="C150" i="219"/>
  <c r="C150" i="218"/>
  <c r="B160" i="226"/>
  <c r="B160" i="229"/>
  <c r="B160" i="223"/>
  <c r="B160" i="228"/>
  <c r="B160" i="225"/>
  <c r="B160" i="227"/>
  <c r="B160" i="222"/>
  <c r="B160" i="221"/>
  <c r="B160" i="220"/>
  <c r="B160" i="218"/>
  <c r="B160" i="204"/>
  <c r="B160" i="219"/>
  <c r="B167" i="229"/>
  <c r="B167" i="227"/>
  <c r="B167" i="226"/>
  <c r="B167" i="225"/>
  <c r="B167" i="223"/>
  <c r="B167" i="228"/>
  <c r="B167" i="222"/>
  <c r="B167" i="221"/>
  <c r="B167" i="220"/>
  <c r="B167" i="219"/>
  <c r="B167" i="218"/>
  <c r="B169" i="198"/>
  <c r="C176" i="226"/>
  <c r="C176" i="228"/>
  <c r="C176" i="229"/>
  <c r="C176" i="227"/>
  <c r="C176" i="223"/>
  <c r="C176" i="225"/>
  <c r="C176" i="222"/>
  <c r="C176" i="221"/>
  <c r="C176" i="220"/>
  <c r="C176" i="219"/>
  <c r="C176" i="218"/>
  <c r="C176" i="204"/>
  <c r="C187" i="229"/>
  <c r="C187" i="227"/>
  <c r="C187" i="226"/>
  <c r="C187" i="223"/>
  <c r="C187" i="225"/>
  <c r="C187" i="228"/>
  <c r="C187" i="222"/>
  <c r="C187" i="221"/>
  <c r="C187" i="220"/>
  <c r="C187" i="219"/>
  <c r="C187" i="218"/>
  <c r="C187" i="204"/>
  <c r="C194" i="225"/>
  <c r="C194" i="227"/>
  <c r="C194" i="228"/>
  <c r="C194" i="223"/>
  <c r="C194" i="229"/>
  <c r="C194" i="226"/>
  <c r="C194" i="222"/>
  <c r="C194" i="221"/>
  <c r="C194" i="219"/>
  <c r="C194" i="220"/>
  <c r="C194" i="218"/>
  <c r="C205" i="227"/>
  <c r="C205" i="226"/>
  <c r="C205" i="228"/>
  <c r="C205" i="225"/>
  <c r="C205" i="222"/>
  <c r="C205" i="223"/>
  <c r="C205" i="229"/>
  <c r="C205" i="221"/>
  <c r="C205" i="220"/>
  <c r="C205" i="219"/>
  <c r="C205" i="218"/>
  <c r="C205" i="204"/>
  <c r="AH26" i="204"/>
  <c r="B34" i="204"/>
  <c r="AJ34" i="204"/>
  <c r="AG52" i="204"/>
  <c r="AC68" i="204"/>
  <c r="Z79" i="204"/>
  <c r="AB79" i="204"/>
  <c r="AA79" i="204"/>
  <c r="Y79" i="204"/>
  <c r="AK79" i="204" s="1"/>
  <c r="AI79" i="204"/>
  <c r="Y86" i="204"/>
  <c r="A104" i="204"/>
  <c r="AA128" i="204"/>
  <c r="B143" i="204"/>
  <c r="AD62" i="204"/>
  <c r="AA62" i="204"/>
  <c r="AA153" i="204" s="1"/>
  <c r="Z62" i="204"/>
  <c r="Z153" i="204" s="1"/>
  <c r="Y62" i="204"/>
  <c r="Y153" i="204" s="1"/>
  <c r="H153" i="204" s="1"/>
  <c r="Z71" i="204"/>
  <c r="AG71" i="204"/>
  <c r="P71" i="204"/>
  <c r="AF71" i="204"/>
  <c r="O71" i="204"/>
  <c r="AB71" i="204"/>
  <c r="K71" i="204"/>
  <c r="AE71" i="204"/>
  <c r="N71" i="204"/>
  <c r="AD71" i="204"/>
  <c r="M71" i="204"/>
  <c r="AC71" i="204"/>
  <c r="L71" i="204"/>
  <c r="AI71" i="204"/>
  <c r="C143" i="204"/>
  <c r="AK162" i="204"/>
  <c r="AC9" i="198"/>
  <c r="AW12" i="198"/>
  <c r="N12" i="198"/>
  <c r="AG12" i="198"/>
  <c r="AC12" i="198"/>
  <c r="AB12" i="198"/>
  <c r="BF12" i="198"/>
  <c r="S12" i="198"/>
  <c r="T12" i="198" s="1"/>
  <c r="X12" i="198"/>
  <c r="BG12" i="198"/>
  <c r="W12" i="198"/>
  <c r="BB12" i="198"/>
  <c r="C17" i="226"/>
  <c r="C17" i="227"/>
  <c r="C17" i="229"/>
  <c r="C17" i="225"/>
  <c r="C17" i="223"/>
  <c r="C17" i="228"/>
  <c r="C17" i="222"/>
  <c r="C17" i="221"/>
  <c r="C17" i="220"/>
  <c r="C17" i="218"/>
  <c r="C17" i="219"/>
  <c r="C17" i="204"/>
  <c r="B28" i="227"/>
  <c r="B28" i="229"/>
  <c r="B28" i="225"/>
  <c r="B28" i="223"/>
  <c r="B28" i="226"/>
  <c r="B28" i="228"/>
  <c r="B28" i="222"/>
  <c r="B28" i="221"/>
  <c r="B28" i="220"/>
  <c r="B28" i="219"/>
  <c r="B28" i="218"/>
  <c r="B35" i="229"/>
  <c r="B35" i="223"/>
  <c r="B35" i="226"/>
  <c r="B35" i="228"/>
  <c r="B35" i="227"/>
  <c r="B35" i="225"/>
  <c r="B35" i="222"/>
  <c r="B35" i="221"/>
  <c r="B35" i="220"/>
  <c r="B35" i="219"/>
  <c r="B35" i="204"/>
  <c r="B35" i="218"/>
  <c r="B44" i="229"/>
  <c r="B44" i="223"/>
  <c r="B44" i="228"/>
  <c r="B44" i="227"/>
  <c r="B44" i="226"/>
  <c r="B44" i="225"/>
  <c r="B44" i="221"/>
  <c r="B44" i="222"/>
  <c r="B44" i="220"/>
  <c r="B44" i="219"/>
  <c r="B44" i="218"/>
  <c r="B44" i="204"/>
  <c r="C56" i="228"/>
  <c r="C56" i="229"/>
  <c r="C56" i="225"/>
  <c r="C56" i="223"/>
  <c r="C56" i="227"/>
  <c r="C56" i="226"/>
  <c r="C56" i="222"/>
  <c r="C56" i="221"/>
  <c r="C56" i="220"/>
  <c r="C56" i="219"/>
  <c r="C56" i="218"/>
  <c r="C63" i="229"/>
  <c r="C63" i="225"/>
  <c r="C63" i="223"/>
  <c r="C63" i="227"/>
  <c r="C63" i="226"/>
  <c r="C63" i="228"/>
  <c r="C63" i="222"/>
  <c r="C63" i="221"/>
  <c r="C63" i="220"/>
  <c r="C63" i="219"/>
  <c r="C63" i="204"/>
  <c r="C63" i="218"/>
  <c r="C70" i="228"/>
  <c r="C70" i="225"/>
  <c r="C70" i="227"/>
  <c r="C70" i="226"/>
  <c r="C70" i="229"/>
  <c r="C70" i="223"/>
  <c r="C70" i="222"/>
  <c r="C70" i="221"/>
  <c r="C70" i="220"/>
  <c r="C70" i="219"/>
  <c r="C70" i="218"/>
  <c r="B82" i="229"/>
  <c r="B82" i="228"/>
  <c r="B82" i="225"/>
  <c r="B82" i="226"/>
  <c r="B82" i="227"/>
  <c r="B82" i="223"/>
  <c r="B82" i="222"/>
  <c r="B82" i="221"/>
  <c r="B82" i="220"/>
  <c r="B82" i="219"/>
  <c r="B82" i="218"/>
  <c r="B89" i="227"/>
  <c r="B89" i="225"/>
  <c r="B89" i="228"/>
  <c r="B89" i="223"/>
  <c r="B89" i="226"/>
  <c r="B89" i="229"/>
  <c r="B89" i="222"/>
  <c r="B89" i="221"/>
  <c r="B89" i="220"/>
  <c r="B89" i="218"/>
  <c r="B89" i="219"/>
  <c r="F102" i="206"/>
  <c r="A119" i="226"/>
  <c r="A119" i="229"/>
  <c r="A119" i="227"/>
  <c r="A119" i="223"/>
  <c r="A119" i="228"/>
  <c r="A119" i="225"/>
  <c r="A119" i="222"/>
  <c r="A119" i="221"/>
  <c r="A121" i="198"/>
  <c r="A119" i="204"/>
  <c r="A119" i="218"/>
  <c r="A123" i="228"/>
  <c r="A123" i="226"/>
  <c r="A123" i="229"/>
  <c r="A123" i="225"/>
  <c r="A123" i="223"/>
  <c r="A123" i="227"/>
  <c r="A123" i="222"/>
  <c r="A123" i="221"/>
  <c r="A125" i="229"/>
  <c r="A125" i="226"/>
  <c r="A125" i="225"/>
  <c r="A125" i="228"/>
  <c r="A125" i="227"/>
  <c r="A125" i="223"/>
  <c r="A125" i="222"/>
  <c r="A125" i="220"/>
  <c r="A125" i="221"/>
  <c r="A125" i="219"/>
  <c r="A127" i="198"/>
  <c r="A125" i="218"/>
  <c r="B130" i="227"/>
  <c r="B130" i="226"/>
  <c r="B130" i="225"/>
  <c r="B130" i="228"/>
  <c r="B130" i="223"/>
  <c r="B130" i="229"/>
  <c r="B130" i="222"/>
  <c r="B130" i="220"/>
  <c r="B130" i="221"/>
  <c r="B130" i="219"/>
  <c r="B130" i="204"/>
  <c r="B130" i="218"/>
  <c r="C137" i="227"/>
  <c r="C137" i="228"/>
  <c r="C137" i="226"/>
  <c r="C137" i="225"/>
  <c r="C137" i="223"/>
  <c r="C137" i="229"/>
  <c r="C137" i="222"/>
  <c r="C137" i="221"/>
  <c r="C137" i="219"/>
  <c r="C137" i="220"/>
  <c r="C137" i="218"/>
  <c r="C137" i="204"/>
  <c r="C144" i="228"/>
  <c r="C144" i="227"/>
  <c r="C144" i="226"/>
  <c r="C144" i="229"/>
  <c r="C144" i="223"/>
  <c r="C144" i="225"/>
  <c r="C144" i="222"/>
  <c r="C144" i="221"/>
  <c r="C144" i="220"/>
  <c r="C144" i="218"/>
  <c r="C144" i="219"/>
  <c r="C144" i="204"/>
  <c r="C151" i="228"/>
  <c r="C151" i="229"/>
  <c r="C151" i="225"/>
  <c r="C151" i="226"/>
  <c r="C151" i="227"/>
  <c r="C151" i="223"/>
  <c r="C151" i="222"/>
  <c r="C151" i="220"/>
  <c r="C151" i="221"/>
  <c r="C151" i="219"/>
  <c r="C151" i="218"/>
  <c r="C151" i="204"/>
  <c r="B161" i="225"/>
  <c r="B161" i="228"/>
  <c r="B161" i="229"/>
  <c r="B161" i="227"/>
  <c r="B161" i="226"/>
  <c r="B161" i="223"/>
  <c r="B161" i="222"/>
  <c r="B161" i="221"/>
  <c r="B161" i="220"/>
  <c r="B161" i="219"/>
  <c r="B161" i="218"/>
  <c r="B161" i="204"/>
  <c r="B168" i="229"/>
  <c r="B168" i="226"/>
  <c r="B168" i="223"/>
  <c r="B168" i="228"/>
  <c r="B168" i="227"/>
  <c r="B168" i="225"/>
  <c r="B168" i="222"/>
  <c r="B168" i="221"/>
  <c r="B168" i="220"/>
  <c r="B168" i="218"/>
  <c r="B168" i="219"/>
  <c r="B168" i="204"/>
  <c r="C177" i="229"/>
  <c r="C177" i="228"/>
  <c r="C177" i="223"/>
  <c r="C177" i="227"/>
  <c r="C177" i="225"/>
  <c r="C177" i="222"/>
  <c r="C177" i="226"/>
  <c r="C177" i="221"/>
  <c r="C177" i="220"/>
  <c r="C177" i="219"/>
  <c r="C177" i="218"/>
  <c r="C177" i="204"/>
  <c r="C188" i="229"/>
  <c r="C188" i="226"/>
  <c r="C188" i="227"/>
  <c r="C188" i="228"/>
  <c r="C188" i="223"/>
  <c r="C188" i="225"/>
  <c r="C188" i="222"/>
  <c r="C188" i="221"/>
  <c r="C188" i="220"/>
  <c r="C188" i="219"/>
  <c r="C188" i="218"/>
  <c r="C188" i="204"/>
  <c r="C195" i="229"/>
  <c r="C195" i="227"/>
  <c r="C195" i="225"/>
  <c r="C195" i="228"/>
  <c r="C195" i="223"/>
  <c r="C195" i="226"/>
  <c r="C195" i="222"/>
  <c r="C195" i="221"/>
  <c r="C195" i="220"/>
  <c r="C195" i="219"/>
  <c r="C195" i="218"/>
  <c r="C195" i="204"/>
  <c r="AH208" i="198"/>
  <c r="AI208" i="198" s="1"/>
  <c r="AH204" i="198"/>
  <c r="AI204" i="198" s="1"/>
  <c r="AH186" i="198"/>
  <c r="AH15" i="198"/>
  <c r="AH13" i="198"/>
  <c r="AH202" i="198"/>
  <c r="D11" i="198"/>
  <c r="E11" i="198" s="1"/>
  <c r="B28" i="204"/>
  <c r="AI52" i="204"/>
  <c r="AJ71" i="204"/>
  <c r="Z96" i="204"/>
  <c r="Z116" i="204"/>
  <c r="Y129" i="204"/>
  <c r="AC129" i="204"/>
  <c r="AB129" i="204"/>
  <c r="AA129" i="204"/>
  <c r="Z129" i="204"/>
  <c r="AD129" i="204"/>
  <c r="C150" i="204"/>
  <c r="Y159" i="204"/>
  <c r="AC159" i="204"/>
  <c r="Z159" i="204"/>
  <c r="AJ159" i="204"/>
  <c r="AI159" i="204"/>
  <c r="AF159" i="204"/>
  <c r="AE159" i="204"/>
  <c r="AD159" i="204"/>
  <c r="AB159" i="204"/>
  <c r="AA159" i="204"/>
  <c r="AC170" i="204"/>
  <c r="AB170" i="204"/>
  <c r="AA170" i="204"/>
  <c r="Z170" i="204"/>
  <c r="Y170" i="204"/>
  <c r="AH170" i="204"/>
  <c r="AG170" i="204"/>
  <c r="AF170" i="204"/>
  <c r="AE170" i="204"/>
  <c r="AD170" i="204"/>
  <c r="AF67" i="204"/>
  <c r="AE68" i="204"/>
  <c r="AG9" i="198"/>
  <c r="C12" i="198"/>
  <c r="B43" i="198"/>
  <c r="X188" i="198"/>
  <c r="B18" i="227"/>
  <c r="B18" i="223"/>
  <c r="B18" i="229"/>
  <c r="B18" i="225"/>
  <c r="B18" i="226"/>
  <c r="B18" i="228"/>
  <c r="B18" i="222"/>
  <c r="B18" i="221"/>
  <c r="B18" i="220"/>
  <c r="B18" i="219"/>
  <c r="B20" i="198"/>
  <c r="B18" i="218"/>
  <c r="C28" i="229"/>
  <c r="C28" i="226"/>
  <c r="C28" i="228"/>
  <c r="C28" i="225"/>
  <c r="C28" i="223"/>
  <c r="C28" i="227"/>
  <c r="C28" i="222"/>
  <c r="C28" i="221"/>
  <c r="C28" i="220"/>
  <c r="C28" i="219"/>
  <c r="C28" i="218"/>
  <c r="C35" i="227"/>
  <c r="C35" i="229"/>
  <c r="C35" i="228"/>
  <c r="C35" i="225"/>
  <c r="C35" i="226"/>
  <c r="C35" i="223"/>
  <c r="C35" i="222"/>
  <c r="C35" i="221"/>
  <c r="C35" i="220"/>
  <c r="C35" i="219"/>
  <c r="C35" i="204"/>
  <c r="C35" i="218"/>
  <c r="C44" i="227"/>
  <c r="C44" i="226"/>
  <c r="C44" i="225"/>
  <c r="C44" i="228"/>
  <c r="C44" i="229"/>
  <c r="C44" i="223"/>
  <c r="C44" i="222"/>
  <c r="C44" i="221"/>
  <c r="C44" i="220"/>
  <c r="C44" i="219"/>
  <c r="C44" i="204"/>
  <c r="C44" i="218"/>
  <c r="B57" i="226"/>
  <c r="B57" i="223"/>
  <c r="B57" i="228"/>
  <c r="B57" i="229"/>
  <c r="B57" i="227"/>
  <c r="B57" i="225"/>
  <c r="B57" i="222"/>
  <c r="B57" i="221"/>
  <c r="B57" i="220"/>
  <c r="B57" i="219"/>
  <c r="B59" i="198"/>
  <c r="B57" i="218"/>
  <c r="B64" i="226"/>
  <c r="B64" i="227"/>
  <c r="B64" i="223"/>
  <c r="B64" i="225"/>
  <c r="B64" i="229"/>
  <c r="B64" i="228"/>
  <c r="B64" i="222"/>
  <c r="B64" i="221"/>
  <c r="B64" i="220"/>
  <c r="B64" i="204"/>
  <c r="B64" i="219"/>
  <c r="B66" i="198"/>
  <c r="B64" i="218"/>
  <c r="B71" i="228"/>
  <c r="B71" i="225"/>
  <c r="B71" i="223"/>
  <c r="B71" i="227"/>
  <c r="B71" i="226"/>
  <c r="B71" i="229"/>
  <c r="B71" i="222"/>
  <c r="B71" i="221"/>
  <c r="B71" i="220"/>
  <c r="B71" i="218"/>
  <c r="B71" i="219"/>
  <c r="B73" i="198"/>
  <c r="F77" i="206"/>
  <c r="C82" i="229"/>
  <c r="C82" i="226"/>
  <c r="C82" i="225"/>
  <c r="C82" i="228"/>
  <c r="C82" i="227"/>
  <c r="C82" i="223"/>
  <c r="C82" i="222"/>
  <c r="C82" i="220"/>
  <c r="C82" i="221"/>
  <c r="C82" i="219"/>
  <c r="C82" i="218"/>
  <c r="C89" i="229"/>
  <c r="C89" i="227"/>
  <c r="C89" i="225"/>
  <c r="C89" i="226"/>
  <c r="C89" i="223"/>
  <c r="C89" i="228"/>
  <c r="C89" i="222"/>
  <c r="C89" i="220"/>
  <c r="C89" i="221"/>
  <c r="C89" i="219"/>
  <c r="C89" i="218"/>
  <c r="F107" i="206"/>
  <c r="C130" i="228"/>
  <c r="C130" i="226"/>
  <c r="C130" i="225"/>
  <c r="C130" i="229"/>
  <c r="C130" i="223"/>
  <c r="C130" i="227"/>
  <c r="C130" i="222"/>
  <c r="C130" i="221"/>
  <c r="C130" i="220"/>
  <c r="C130" i="219"/>
  <c r="C130" i="204"/>
  <c r="C130" i="218"/>
  <c r="B138" i="227"/>
  <c r="B138" i="229"/>
  <c r="B138" i="225"/>
  <c r="B138" i="223"/>
  <c r="B138" i="226"/>
  <c r="B138" i="228"/>
  <c r="B138" i="222"/>
  <c r="B138" i="221"/>
  <c r="B138" i="220"/>
  <c r="B138" i="218"/>
  <c r="B138" i="204"/>
  <c r="B138" i="219"/>
  <c r="B145" i="227"/>
  <c r="B145" i="228"/>
  <c r="B145" i="229"/>
  <c r="B145" i="223"/>
  <c r="B145" i="226"/>
  <c r="B145" i="225"/>
  <c r="B145" i="222"/>
  <c r="B145" i="220"/>
  <c r="B145" i="221"/>
  <c r="B145" i="219"/>
  <c r="B145" i="218"/>
  <c r="B145" i="204"/>
  <c r="B152" i="227"/>
  <c r="B152" i="226"/>
  <c r="B152" i="229"/>
  <c r="B152" i="228"/>
  <c r="B152" i="225"/>
  <c r="B152" i="223"/>
  <c r="B152" i="222"/>
  <c r="B152" i="221"/>
  <c r="B152" i="220"/>
  <c r="B152" i="219"/>
  <c r="B152" i="218"/>
  <c r="B152" i="204"/>
  <c r="C161" i="222"/>
  <c r="C161" i="229"/>
  <c r="C161" i="225"/>
  <c r="C161" i="226"/>
  <c r="C161" i="228"/>
  <c r="C161" i="227"/>
  <c r="C161" i="223"/>
  <c r="C161" i="221"/>
  <c r="C161" i="220"/>
  <c r="C161" i="219"/>
  <c r="C161" i="218"/>
  <c r="C161" i="204"/>
  <c r="C168" i="229"/>
  <c r="C168" i="227"/>
  <c r="C168" i="226"/>
  <c r="C168" i="223"/>
  <c r="C168" i="225"/>
  <c r="C168" i="222"/>
  <c r="C168" i="228"/>
  <c r="C168" i="220"/>
  <c r="C168" i="221"/>
  <c r="C168" i="219"/>
  <c r="C168" i="218"/>
  <c r="C168" i="204"/>
  <c r="B178" i="225"/>
  <c r="B178" i="226"/>
  <c r="B178" i="223"/>
  <c r="B178" i="229"/>
  <c r="B178" i="227"/>
  <c r="B178" i="228"/>
  <c r="B178" i="222"/>
  <c r="B178" i="221"/>
  <c r="B178" i="220"/>
  <c r="B178" i="219"/>
  <c r="B178" i="218"/>
  <c r="B180" i="198"/>
  <c r="B178" i="204"/>
  <c r="B189" i="229"/>
  <c r="B189" i="227"/>
  <c r="B189" i="228"/>
  <c r="B189" i="223"/>
  <c r="B189" i="226"/>
  <c r="B189" i="222"/>
  <c r="B189" i="225"/>
  <c r="B189" i="221"/>
  <c r="B189" i="220"/>
  <c r="B189" i="219"/>
  <c r="B189" i="218"/>
  <c r="B196" i="227"/>
  <c r="B196" i="225"/>
  <c r="B196" i="228"/>
  <c r="B196" i="223"/>
  <c r="B196" i="226"/>
  <c r="B196" i="229"/>
  <c r="B196" i="222"/>
  <c r="B196" i="221"/>
  <c r="B196" i="220"/>
  <c r="B196" i="219"/>
  <c r="B196" i="218"/>
  <c r="B196" i="204"/>
  <c r="C28" i="204"/>
  <c r="AI30" i="204"/>
  <c r="AC30" i="204"/>
  <c r="AB30" i="204"/>
  <c r="AA30" i="204"/>
  <c r="Z30" i="204"/>
  <c r="Y30" i="204"/>
  <c r="AI33" i="204"/>
  <c r="AG33" i="204"/>
  <c r="AG42" i="204" s="1"/>
  <c r="AF33" i="204"/>
  <c r="AF42" i="204" s="1"/>
  <c r="AD33" i="204"/>
  <c r="AD42" i="204" s="1"/>
  <c r="AB33" i="204"/>
  <c r="AK33" i="204" s="1"/>
  <c r="AE33" i="204"/>
  <c r="AE42" i="204" s="1"/>
  <c r="AC33" i="204"/>
  <c r="AC42" i="204" s="1"/>
  <c r="Z46" i="204"/>
  <c r="AK46" i="204" s="1"/>
  <c r="Z51" i="204"/>
  <c r="AK51" i="204" s="1"/>
  <c r="Y65" i="204"/>
  <c r="AJ65" i="204"/>
  <c r="AH65" i="204"/>
  <c r="AI65" i="204"/>
  <c r="AF65" i="204"/>
  <c r="AG67" i="204"/>
  <c r="AH86" i="204"/>
  <c r="AA109" i="204"/>
  <c r="AF113" i="204"/>
  <c r="B129" i="204"/>
  <c r="B136" i="204"/>
  <c r="B167" i="204"/>
  <c r="C194" i="204"/>
  <c r="AK134" i="204"/>
  <c r="AK161" i="204"/>
  <c r="AC49" i="204"/>
  <c r="AB49" i="204"/>
  <c r="AA49" i="204"/>
  <c r="Z49" i="204"/>
  <c r="Y49" i="204"/>
  <c r="AI49" i="204"/>
  <c r="AB52" i="204"/>
  <c r="AE52" i="204"/>
  <c r="AD52" i="204"/>
  <c r="AC52" i="204"/>
  <c r="AA52" i="204"/>
  <c r="Y52" i="204"/>
  <c r="Z52" i="204"/>
  <c r="AK54" i="204"/>
  <c r="AF62" i="204"/>
  <c r="AF153" i="204" s="1"/>
  <c r="Z68" i="204"/>
  <c r="Y68" i="204"/>
  <c r="AK68" i="204" s="1"/>
  <c r="AI68" i="204"/>
  <c r="AJ68" i="204"/>
  <c r="S71" i="204"/>
  <c r="AI96" i="204"/>
  <c r="AJ96" i="204"/>
  <c r="AG96" i="204"/>
  <c r="AH96" i="204"/>
  <c r="Y96" i="204"/>
  <c r="AF96" i="204"/>
  <c r="AH116" i="204"/>
  <c r="AJ116" i="204"/>
  <c r="AG116" i="204"/>
  <c r="AI116" i="204"/>
  <c r="Y116" i="204"/>
  <c r="AF116" i="204"/>
  <c r="AH159" i="204"/>
  <c r="AE120" i="204"/>
  <c r="Z126" i="204"/>
  <c r="AK126" i="204" s="1"/>
  <c r="AC138" i="204"/>
  <c r="AD143" i="204"/>
  <c r="AC146" i="204"/>
  <c r="AA147" i="204"/>
  <c r="Y148" i="204"/>
  <c r="AB150" i="204"/>
  <c r="Z156" i="204"/>
  <c r="AG166" i="204"/>
  <c r="AC166" i="204"/>
  <c r="AC172" i="204" s="1"/>
  <c r="AH166" i="204"/>
  <c r="AC167" i="204"/>
  <c r="AG180" i="204"/>
  <c r="Z189" i="204"/>
  <c r="AD191" i="204"/>
  <c r="AA194" i="204"/>
  <c r="AA199" i="204" s="1"/>
  <c r="Z197" i="204"/>
  <c r="Z205" i="204"/>
  <c r="Z11" i="218"/>
  <c r="AG15" i="218"/>
  <c r="AC16" i="218"/>
  <c r="Y17" i="218"/>
  <c r="AA29" i="218"/>
  <c r="AE33" i="218"/>
  <c r="AC34" i="218"/>
  <c r="AE35" i="218"/>
  <c r="AC47" i="218"/>
  <c r="AH50" i="218"/>
  <c r="AG50" i="218"/>
  <c r="AC50" i="218"/>
  <c r="Z50" i="218"/>
  <c r="AF50" i="218"/>
  <c r="AI51" i="218"/>
  <c r="AE54" i="218"/>
  <c r="AB63" i="218"/>
  <c r="Y64" i="218"/>
  <c r="AC70" i="218"/>
  <c r="AA71" i="218"/>
  <c r="T72" i="218"/>
  <c r="M73" i="218"/>
  <c r="Y75" i="218"/>
  <c r="AC75" i="218"/>
  <c r="AB75" i="218"/>
  <c r="AE75" i="218"/>
  <c r="AA75" i="218"/>
  <c r="AD77" i="218"/>
  <c r="AB117" i="218"/>
  <c r="AG118" i="218"/>
  <c r="AD122" i="218"/>
  <c r="AG122" i="218"/>
  <c r="AF122" i="218"/>
  <c r="AA122" i="218"/>
  <c r="AE122" i="218"/>
  <c r="AC122" i="218"/>
  <c r="AB122" i="218"/>
  <c r="Y122" i="218"/>
  <c r="Z134" i="218"/>
  <c r="AH134" i="218"/>
  <c r="Y134" i="218"/>
  <c r="AI134" i="218"/>
  <c r="AG134" i="218"/>
  <c r="Y139" i="218"/>
  <c r="AD188" i="204"/>
  <c r="AA188" i="204"/>
  <c r="AH188" i="204"/>
  <c r="AA189" i="204"/>
  <c r="AE191" i="204"/>
  <c r="AB194" i="204"/>
  <c r="AA197" i="204"/>
  <c r="AC205" i="204"/>
  <c r="AA11" i="218"/>
  <c r="AH15" i="218"/>
  <c r="AH19" i="218" s="1"/>
  <c r="AD16" i="218"/>
  <c r="Z17" i="218"/>
  <c r="Z28" i="218"/>
  <c r="AE28" i="218"/>
  <c r="AA28" i="218"/>
  <c r="AD28" i="218"/>
  <c r="AI28" i="218"/>
  <c r="AB29" i="218"/>
  <c r="AG33" i="218"/>
  <c r="AG42" i="218" s="1"/>
  <c r="AF34" i="218"/>
  <c r="AF35" i="218"/>
  <c r="AE47" i="218"/>
  <c r="AI54" i="218"/>
  <c r="AC63" i="218"/>
  <c r="Z64" i="218"/>
  <c r="AC71" i="218"/>
  <c r="U72" i="218"/>
  <c r="AF77" i="218"/>
  <c r="AE117" i="218"/>
  <c r="AF139" i="218"/>
  <c r="AF138" i="204"/>
  <c r="Y139" i="204"/>
  <c r="AF143" i="204"/>
  <c r="AC147" i="204"/>
  <c r="AD150" i="204"/>
  <c r="AB156" i="204"/>
  <c r="AE167" i="204"/>
  <c r="AC175" i="204"/>
  <c r="AC183" i="204" s="1"/>
  <c r="AH175" i="204"/>
  <c r="AF175" i="204"/>
  <c r="AF183" i="204" s="1"/>
  <c r="AI188" i="204"/>
  <c r="AB189" i="204"/>
  <c r="AF191" i="204"/>
  <c r="AD194" i="204"/>
  <c r="AB197" i="204"/>
  <c r="AI204" i="204"/>
  <c r="AG204" i="204"/>
  <c r="AC204" i="204"/>
  <c r="AH204" i="204"/>
  <c r="AD205" i="204"/>
  <c r="Y8" i="218"/>
  <c r="AE16" i="218"/>
  <c r="AA17" i="218"/>
  <c r="AJ28" i="218"/>
  <c r="AC29" i="218"/>
  <c r="Y30" i="218"/>
  <c r="AH33" i="218"/>
  <c r="AH42" i="218" s="1"/>
  <c r="AG34" i="218"/>
  <c r="AI35" i="218"/>
  <c r="AG40" i="218"/>
  <c r="AF40" i="218"/>
  <c r="Y40" i="218"/>
  <c r="AH40" i="218"/>
  <c r="AF47" i="218"/>
  <c r="AJ60" i="218"/>
  <c r="AG60" i="218"/>
  <c r="AF60" i="218"/>
  <c r="AB60" i="218"/>
  <c r="AI60" i="218"/>
  <c r="AC60" i="218"/>
  <c r="Y60" i="218"/>
  <c r="AD63" i="218"/>
  <c r="AE64" i="218"/>
  <c r="Y65" i="218"/>
  <c r="AD71" i="218"/>
  <c r="Y72" i="218"/>
  <c r="T73" i="218"/>
  <c r="AA81" i="218"/>
  <c r="AJ81" i="218"/>
  <c r="AI81" i="218"/>
  <c r="AE81" i="218"/>
  <c r="AH81" i="218"/>
  <c r="AG81" i="218"/>
  <c r="AF81" i="218"/>
  <c r="AC81" i="218"/>
  <c r="Y81" i="218"/>
  <c r="AD90" i="218"/>
  <c r="AH90" i="218"/>
  <c r="AG90" i="218"/>
  <c r="AB90" i="218"/>
  <c r="AE90" i="218"/>
  <c r="AC90" i="218"/>
  <c r="AA90" i="218"/>
  <c r="Y90" i="218"/>
  <c r="AG109" i="218"/>
  <c r="AI109" i="218"/>
  <c r="AH109" i="218"/>
  <c r="AC109" i="218"/>
  <c r="AJ109" i="218"/>
  <c r="AF109" i="218"/>
  <c r="AD109" i="218"/>
  <c r="Z109" i="218"/>
  <c r="AF117" i="218"/>
  <c r="AD133" i="218"/>
  <c r="AA133" i="218"/>
  <c r="Z133" i="218"/>
  <c r="Y133" i="218"/>
  <c r="AJ133" i="218"/>
  <c r="AI133" i="218"/>
  <c r="F136" i="218"/>
  <c r="AG139" i="218"/>
  <c r="AE150" i="204"/>
  <c r="AJ188" i="204"/>
  <c r="AC189" i="204"/>
  <c r="AG191" i="204"/>
  <c r="AE194" i="204"/>
  <c r="AD197" i="204"/>
  <c r="AE205" i="204"/>
  <c r="Z8" i="218"/>
  <c r="Z12" i="218" s="1"/>
  <c r="AE11" i="218"/>
  <c r="AI11" i="218"/>
  <c r="AD11" i="218"/>
  <c r="AC11" i="218"/>
  <c r="Y15" i="218"/>
  <c r="AF15" i="218"/>
  <c r="AF19" i="218" s="1"/>
  <c r="AB15" i="218"/>
  <c r="AA15" i="218"/>
  <c r="AJ15" i="218"/>
  <c r="AJ19" i="218" s="1"/>
  <c r="AG16" i="218"/>
  <c r="AD17" i="218"/>
  <c r="AK18" i="218"/>
  <c r="Z30" i="218"/>
  <c r="AG47" i="218"/>
  <c r="AE56" i="218"/>
  <c r="AD56" i="218"/>
  <c r="Z56" i="218"/>
  <c r="AH56" i="218"/>
  <c r="AD58" i="218"/>
  <c r="AH58" i="218"/>
  <c r="AI58" i="218"/>
  <c r="AC58" i="218"/>
  <c r="Z58" i="218"/>
  <c r="AG63" i="218"/>
  <c r="AF64" i="218"/>
  <c r="Z72" i="218"/>
  <c r="AC77" i="218"/>
  <c r="AB77" i="218"/>
  <c r="AI77" i="218"/>
  <c r="AG77" i="218"/>
  <c r="AE77" i="218"/>
  <c r="Z77" i="218"/>
  <c r="AJ77" i="218"/>
  <c r="AG117" i="218"/>
  <c r="AH139" i="218"/>
  <c r="AF150" i="204"/>
  <c r="AG167" i="204"/>
  <c r="AD189" i="204"/>
  <c r="AH191" i="204"/>
  <c r="AE197" i="204"/>
  <c r="AA8" i="218"/>
  <c r="AA12" i="218" s="1"/>
  <c r="AE17" i="218"/>
  <c r="AF29" i="218"/>
  <c r="AI29" i="218"/>
  <c r="AJ29" i="218"/>
  <c r="AE29" i="218"/>
  <c r="AF33" i="218"/>
  <c r="AF42" i="218" s="1"/>
  <c r="AB33" i="218"/>
  <c r="AI33" i="218"/>
  <c r="AD34" i="218"/>
  <c r="Z34" i="218"/>
  <c r="AI34" i="218"/>
  <c r="AE34" i="218"/>
  <c r="AJ34" i="218"/>
  <c r="AD51" i="218"/>
  <c r="AE51" i="218"/>
  <c r="Z51" i="218"/>
  <c r="Y51" i="218"/>
  <c r="U71" i="218"/>
  <c r="AG71" i="218"/>
  <c r="P71" i="218"/>
  <c r="AF71" i="218"/>
  <c r="O71" i="218"/>
  <c r="AB71" i="218"/>
  <c r="K71" i="218"/>
  <c r="D71" i="218" s="1"/>
  <c r="Y71" i="218"/>
  <c r="T71" i="218"/>
  <c r="R71" i="218"/>
  <c r="AI71" i="218"/>
  <c r="M71" i="218"/>
  <c r="AH71" i="218"/>
  <c r="AC72" i="218"/>
  <c r="Z84" i="218"/>
  <c r="AG84" i="218"/>
  <c r="AE84" i="218"/>
  <c r="AD84" i="218"/>
  <c r="AC84" i="218"/>
  <c r="AA84" i="218"/>
  <c r="AA134" i="218"/>
  <c r="AI139" i="218"/>
  <c r="AK144" i="218"/>
  <c r="AE189" i="204"/>
  <c r="AC194" i="204"/>
  <c r="AC199" i="204" s="1"/>
  <c r="AG194" i="204"/>
  <c r="AG199" i="204" s="1"/>
  <c r="AH194" i="204"/>
  <c r="AH199" i="204" s="1"/>
  <c r="AF197" i="204"/>
  <c r="AB205" i="204"/>
  <c r="AA205" i="204"/>
  <c r="AG205" i="204"/>
  <c r="AF16" i="218"/>
  <c r="Z16" i="218"/>
  <c r="AI16" i="218"/>
  <c r="AI19" i="218" s="1"/>
  <c r="AJ16" i="218"/>
  <c r="AI42" i="218"/>
  <c r="Z35" i="218"/>
  <c r="AH35" i="218"/>
  <c r="AG35" i="218"/>
  <c r="AC35" i="218"/>
  <c r="AD47" i="218"/>
  <c r="Z47" i="218"/>
  <c r="AB47" i="218"/>
  <c r="AI47" i="218"/>
  <c r="AF54" i="218"/>
  <c r="AG54" i="218"/>
  <c r="AH54" i="218"/>
  <c r="C58" i="218"/>
  <c r="AJ63" i="218"/>
  <c r="AI63" i="218"/>
  <c r="AE63" i="218"/>
  <c r="AF63" i="218"/>
  <c r="AA63" i="218"/>
  <c r="AB64" i="218"/>
  <c r="AD64" i="218"/>
  <c r="AC64" i="218"/>
  <c r="AA64" i="218"/>
  <c r="AH64" i="218"/>
  <c r="AK89" i="218"/>
  <c r="AH117" i="218"/>
  <c r="AD117" i="218"/>
  <c r="AC117" i="218"/>
  <c r="Y117" i="218"/>
  <c r="Z117" i="218"/>
  <c r="AJ117" i="218"/>
  <c r="C155" i="218"/>
  <c r="AK14" i="218"/>
  <c r="AG17" i="218"/>
  <c r="AC17" i="218"/>
  <c r="AH17" i="218"/>
  <c r="AB17" i="218"/>
  <c r="AI17" i="218"/>
  <c r="AI72" i="218"/>
  <c r="S72" i="218"/>
  <c r="AG72" i="218"/>
  <c r="P72" i="218"/>
  <c r="AF72" i="218"/>
  <c r="O72" i="218"/>
  <c r="AB72" i="218"/>
  <c r="K72" i="218"/>
  <c r="AH72" i="218"/>
  <c r="L72" i="218"/>
  <c r="AD72" i="218"/>
  <c r="AA72" i="218"/>
  <c r="V72" i="218"/>
  <c r="AJ72" i="218"/>
  <c r="Z88" i="218"/>
  <c r="Y88" i="218"/>
  <c r="AI88" i="218"/>
  <c r="AF88" i="218"/>
  <c r="AE88" i="218"/>
  <c r="AD88" i="218"/>
  <c r="AB88" i="218"/>
  <c r="AJ92" i="218"/>
  <c r="AB92" i="218"/>
  <c r="AA92" i="218"/>
  <c r="AF92" i="218"/>
  <c r="AE92" i="218"/>
  <c r="AD92" i="218"/>
  <c r="Z92" i="218"/>
  <c r="AE97" i="218"/>
  <c r="Z97" i="218"/>
  <c r="Y97" i="218"/>
  <c r="AJ97" i="218"/>
  <c r="AI97" i="218"/>
  <c r="AG97" i="218"/>
  <c r="AC97" i="218"/>
  <c r="AC118" i="218"/>
  <c r="Z118" i="218"/>
  <c r="Y118" i="218"/>
  <c r="AJ118" i="218"/>
  <c r="AA118" i="218"/>
  <c r="AI118" i="218"/>
  <c r="AC139" i="218"/>
  <c r="AB139" i="218"/>
  <c r="AD139" i="218"/>
  <c r="AA139" i="218"/>
  <c r="Z139" i="218"/>
  <c r="AE139" i="218"/>
  <c r="AD139" i="204"/>
  <c r="AE141" i="204"/>
  <c r="AK141" i="204" s="1"/>
  <c r="AC144" i="204"/>
  <c r="AK144" i="204" s="1"/>
  <c r="AJ146" i="204"/>
  <c r="AB146" i="204"/>
  <c r="AI150" i="204"/>
  <c r="AJ167" i="204"/>
  <c r="AJ176" i="204"/>
  <c r="AA176" i="204"/>
  <c r="AK176" i="204" s="1"/>
  <c r="AF176" i="204"/>
  <c r="AB199" i="204"/>
  <c r="AG189" i="204"/>
  <c r="AJ194" i="204"/>
  <c r="AH197" i="204"/>
  <c r="AI205" i="204"/>
  <c r="AJ11" i="218"/>
  <c r="AJ17" i="218"/>
  <c r="Y24" i="218"/>
  <c r="AH24" i="218"/>
  <c r="AD24" i="218"/>
  <c r="Z24" i="218"/>
  <c r="AJ46" i="218"/>
  <c r="AE46" i="218"/>
  <c r="AA46" i="218"/>
  <c r="AF46" i="218"/>
  <c r="Z46" i="218"/>
  <c r="AJ48" i="218"/>
  <c r="AG48" i="218"/>
  <c r="AC48" i="218"/>
  <c r="AK48" i="218" s="1"/>
  <c r="AH48" i="218"/>
  <c r="AE48" i="218"/>
  <c r="AA49" i="218"/>
  <c r="Y56" i="218"/>
  <c r="AA60" i="218"/>
  <c r="AJ64" i="218"/>
  <c r="AF75" i="218"/>
  <c r="AB81" i="218"/>
  <c r="AF90" i="218"/>
  <c r="AB109" i="218"/>
  <c r="AK109" i="218" s="1"/>
  <c r="AH122" i="218"/>
  <c r="AG132" i="218"/>
  <c r="AF132" i="218"/>
  <c r="AB132" i="218"/>
  <c r="AK132" i="218" s="1"/>
  <c r="AC132" i="218"/>
  <c r="AA132" i="218"/>
  <c r="Z132" i="218"/>
  <c r="AD134" i="218"/>
  <c r="B139" i="218"/>
  <c r="AD88" i="204"/>
  <c r="AK88" i="204" s="1"/>
  <c r="F183" i="204"/>
  <c r="AH189" i="204"/>
  <c r="AI197" i="204"/>
  <c r="AJ205" i="204"/>
  <c r="AJ8" i="218"/>
  <c r="AJ12" i="218" s="1"/>
  <c r="AF8" i="218"/>
  <c r="AF12" i="218" s="1"/>
  <c r="AE8" i="218"/>
  <c r="AE12" i="218" s="1"/>
  <c r="AE30" i="218"/>
  <c r="AA30" i="218"/>
  <c r="AI30" i="218"/>
  <c r="AD30" i="218"/>
  <c r="AH30" i="218"/>
  <c r="AA51" i="218"/>
  <c r="Y54" i="218"/>
  <c r="AA56" i="218"/>
  <c r="Y58" i="218"/>
  <c r="AH65" i="218"/>
  <c r="AJ65" i="218"/>
  <c r="AE65" i="218"/>
  <c r="AI65" i="218"/>
  <c r="AD65" i="218"/>
  <c r="AG65" i="218"/>
  <c r="Y70" i="218"/>
  <c r="AG70" i="218"/>
  <c r="AF70" i="218"/>
  <c r="AB70" i="218"/>
  <c r="AJ70" i="218"/>
  <c r="AH70" i="218"/>
  <c r="AD70" i="218"/>
  <c r="Z70" i="218"/>
  <c r="L71" i="218"/>
  <c r="AG73" i="218"/>
  <c r="Q73" i="218"/>
  <c r="AH73" i="218"/>
  <c r="P73" i="218"/>
  <c r="AF73" i="218"/>
  <c r="O73" i="218"/>
  <c r="AB73" i="218"/>
  <c r="AK73" i="218" s="1"/>
  <c r="K73" i="218"/>
  <c r="U73" i="218"/>
  <c r="S73" i="218"/>
  <c r="N73" i="218"/>
  <c r="AE73" i="218"/>
  <c r="AD73" i="218"/>
  <c r="AD81" i="218"/>
  <c r="Y84" i="218"/>
  <c r="AI90" i="218"/>
  <c r="AE109" i="218"/>
  <c r="AA131" i="218"/>
  <c r="AJ131" i="218"/>
  <c r="AF131" i="218"/>
  <c r="AC131" i="218"/>
  <c r="AB131" i="218"/>
  <c r="Z131" i="218"/>
  <c r="AK131" i="218" s="1"/>
  <c r="AB133" i="218"/>
  <c r="AE134" i="218"/>
  <c r="AK146" i="218"/>
  <c r="AD48" i="204"/>
  <c r="AK48" i="204" s="1"/>
  <c r="AG130" i="204"/>
  <c r="AK130" i="204" s="1"/>
  <c r="AE139" i="204"/>
  <c r="BB15" i="198"/>
  <c r="S15" i="198"/>
  <c r="AL15" i="198"/>
  <c r="B39" i="198"/>
  <c r="C156" i="198"/>
  <c r="AM156" i="198"/>
  <c r="AR186" i="198"/>
  <c r="I186" i="198"/>
  <c r="AL186" i="198"/>
  <c r="BG204" i="198"/>
  <c r="BH204" i="198" s="1"/>
  <c r="X204" i="198"/>
  <c r="AL204" i="198"/>
  <c r="BB208" i="198"/>
  <c r="BC208" i="198" s="1"/>
  <c r="S208" i="198"/>
  <c r="T208" i="198" s="1"/>
  <c r="AL208" i="198"/>
  <c r="C23" i="229"/>
  <c r="C23" i="227"/>
  <c r="C23" i="223"/>
  <c r="C23" i="228"/>
  <c r="C23" i="226"/>
  <c r="C23" i="225"/>
  <c r="C23" i="222"/>
  <c r="C23" i="221"/>
  <c r="C23" i="220"/>
  <c r="C23" i="219"/>
  <c r="C30" i="227"/>
  <c r="C30" i="229"/>
  <c r="C30" i="223"/>
  <c r="C30" i="228"/>
  <c r="C30" i="225"/>
  <c r="C30" i="226"/>
  <c r="C30" i="222"/>
  <c r="C30" i="220"/>
  <c r="C30" i="221"/>
  <c r="C30" i="219"/>
  <c r="C37" i="229"/>
  <c r="C37" i="226"/>
  <c r="C37" i="228"/>
  <c r="C37" i="227"/>
  <c r="C37" i="223"/>
  <c r="C37" i="225"/>
  <c r="C37" i="222"/>
  <c r="C37" i="221"/>
  <c r="C37" i="219"/>
  <c r="C37" i="220"/>
  <c r="C37" i="218"/>
  <c r="C46" i="227"/>
  <c r="C46" i="225"/>
  <c r="C46" i="223"/>
  <c r="C46" i="229"/>
  <c r="C46" i="228"/>
  <c r="C46" i="226"/>
  <c r="C46" i="222"/>
  <c r="C46" i="221"/>
  <c r="C46" i="220"/>
  <c r="C46" i="218"/>
  <c r="C46" i="219"/>
  <c r="B52" i="229"/>
  <c r="B52" i="227"/>
  <c r="B52" i="223"/>
  <c r="B52" i="225"/>
  <c r="B52" i="228"/>
  <c r="B52" i="226"/>
  <c r="B52" i="222"/>
  <c r="B52" i="221"/>
  <c r="B52" i="220"/>
  <c r="B52" i="219"/>
  <c r="B59" i="229"/>
  <c r="B59" i="228"/>
  <c r="B59" i="223"/>
  <c r="B59" i="226"/>
  <c r="B59" i="225"/>
  <c r="B59" i="227"/>
  <c r="B59" i="222"/>
  <c r="B59" i="221"/>
  <c r="B59" i="220"/>
  <c r="B59" i="218"/>
  <c r="B59" i="219"/>
  <c r="B66" i="228"/>
  <c r="B66" i="225"/>
  <c r="B66" i="229"/>
  <c r="B66" i="223"/>
  <c r="B66" i="227"/>
  <c r="B66" i="226"/>
  <c r="B66" i="222"/>
  <c r="B66" i="221"/>
  <c r="B66" i="220"/>
  <c r="B66" i="219"/>
  <c r="B73" i="228"/>
  <c r="B73" i="229"/>
  <c r="B73" i="223"/>
  <c r="B73" i="225"/>
  <c r="B73" i="226"/>
  <c r="B73" i="227"/>
  <c r="B73" i="222"/>
  <c r="B73" i="221"/>
  <c r="B73" i="220"/>
  <c r="B73" i="219"/>
  <c r="C84" i="227"/>
  <c r="C84" i="229"/>
  <c r="C84" i="225"/>
  <c r="C84" i="228"/>
  <c r="C84" i="226"/>
  <c r="C84" i="223"/>
  <c r="C84" i="222"/>
  <c r="C84" i="221"/>
  <c r="C84" i="220"/>
  <c r="C84" i="218"/>
  <c r="C84" i="219"/>
  <c r="C91" i="227"/>
  <c r="C91" i="228"/>
  <c r="C91" i="229"/>
  <c r="C91" i="226"/>
  <c r="C91" i="225"/>
  <c r="C91" i="223"/>
  <c r="C91" i="222"/>
  <c r="C91" i="221"/>
  <c r="C91" i="220"/>
  <c r="C91" i="219"/>
  <c r="C91" i="218"/>
  <c r="A103" i="228"/>
  <c r="A103" i="226"/>
  <c r="A103" i="225"/>
  <c r="A103" i="229"/>
  <c r="A103" i="227"/>
  <c r="A103" i="223"/>
  <c r="A103" i="222"/>
  <c r="A103" i="221"/>
  <c r="C105" i="228"/>
  <c r="C105" i="226"/>
  <c r="C105" i="225"/>
  <c r="C105" i="227"/>
  <c r="C105" i="229"/>
  <c r="C105" i="223"/>
  <c r="C105" i="222"/>
  <c r="C105" i="221"/>
  <c r="C105" i="220"/>
  <c r="C105" i="219"/>
  <c r="A120" i="229"/>
  <c r="A120" i="228"/>
  <c r="A120" i="225"/>
  <c r="A120" i="227"/>
  <c r="A120" i="226"/>
  <c r="A120" i="223"/>
  <c r="A120" i="222"/>
  <c r="A120" i="221"/>
  <c r="A120" i="218"/>
  <c r="B132" i="229"/>
  <c r="B132" i="226"/>
  <c r="B132" i="228"/>
  <c r="B132" i="227"/>
  <c r="B132" i="225"/>
  <c r="B132" i="223"/>
  <c r="B132" i="222"/>
  <c r="B132" i="221"/>
  <c r="B132" i="220"/>
  <c r="B132" i="219"/>
  <c r="B132" i="218"/>
  <c r="C139" i="226"/>
  <c r="C139" i="227"/>
  <c r="C139" i="229"/>
  <c r="C139" i="225"/>
  <c r="C139" i="228"/>
  <c r="C139" i="223"/>
  <c r="C139" i="222"/>
  <c r="C139" i="221"/>
  <c r="C139" i="220"/>
  <c r="C139" i="219"/>
  <c r="C146" i="226"/>
  <c r="C146" i="225"/>
  <c r="C146" i="228"/>
  <c r="C146" i="227"/>
  <c r="C146" i="229"/>
  <c r="C146" i="223"/>
  <c r="C146" i="222"/>
  <c r="C146" i="221"/>
  <c r="C146" i="220"/>
  <c r="C146" i="219"/>
  <c r="C146" i="204"/>
  <c r="C146" i="218"/>
  <c r="B156" i="226"/>
  <c r="B156" i="225"/>
  <c r="B156" i="228"/>
  <c r="B156" i="223"/>
  <c r="B156" i="227"/>
  <c r="B156" i="229"/>
  <c r="B156" i="222"/>
  <c r="B156" i="221"/>
  <c r="B156" i="220"/>
  <c r="B156" i="219"/>
  <c r="B156" i="218"/>
  <c r="B163" i="229"/>
  <c r="B163" i="228"/>
  <c r="B163" i="227"/>
  <c r="B163" i="226"/>
  <c r="B163" i="223"/>
  <c r="B163" i="225"/>
  <c r="B163" i="222"/>
  <c r="B163" i="221"/>
  <c r="B163" i="220"/>
  <c r="B163" i="219"/>
  <c r="B163" i="204"/>
  <c r="B163" i="218"/>
  <c r="B170" i="226"/>
  <c r="B170" i="227"/>
  <c r="B170" i="223"/>
  <c r="B170" i="225"/>
  <c r="B170" i="228"/>
  <c r="B170" i="229"/>
  <c r="B170" i="222"/>
  <c r="B170" i="221"/>
  <c r="B170" i="220"/>
  <c r="B170" i="219"/>
  <c r="B170" i="218"/>
  <c r="C179" i="228"/>
  <c r="C179" i="229"/>
  <c r="C179" i="226"/>
  <c r="C179" i="227"/>
  <c r="C179" i="223"/>
  <c r="C179" i="225"/>
  <c r="C179" i="222"/>
  <c r="C179" i="221"/>
  <c r="C179" i="220"/>
  <c r="C179" i="219"/>
  <c r="C179" i="218"/>
  <c r="C190" i="229"/>
  <c r="C190" i="225"/>
  <c r="C190" i="223"/>
  <c r="C190" i="228"/>
  <c r="C190" i="227"/>
  <c r="C190" i="226"/>
  <c r="C190" i="222"/>
  <c r="C190" i="221"/>
  <c r="C190" i="220"/>
  <c r="C190" i="219"/>
  <c r="C190" i="218"/>
  <c r="C197" i="228"/>
  <c r="C197" i="227"/>
  <c r="C197" i="226"/>
  <c r="C197" i="229"/>
  <c r="C197" i="225"/>
  <c r="C197" i="223"/>
  <c r="C197" i="222"/>
  <c r="C197" i="221"/>
  <c r="C197" i="220"/>
  <c r="C197" i="219"/>
  <c r="C197" i="218"/>
  <c r="AI11" i="204"/>
  <c r="AG11" i="204"/>
  <c r="AJ11" i="204"/>
  <c r="Y11" i="204"/>
  <c r="Z11" i="204"/>
  <c r="AA11" i="204"/>
  <c r="AB11" i="204"/>
  <c r="AC11" i="204"/>
  <c r="AH11" i="204"/>
  <c r="AD11" i="204"/>
  <c r="AE11" i="204"/>
  <c r="AF11" i="204"/>
  <c r="AA14" i="204"/>
  <c r="AB14" i="204"/>
  <c r="AB19" i="204" s="1"/>
  <c r="AD14" i="204"/>
  <c r="AE14" i="204"/>
  <c r="AJ14" i="204"/>
  <c r="Z14" i="204"/>
  <c r="AI14" i="204"/>
  <c r="AI19" i="204" s="1"/>
  <c r="Y14" i="204"/>
  <c r="AC14" i="204"/>
  <c r="AC19" i="204" s="1"/>
  <c r="AF14" i="204"/>
  <c r="AG14" i="204"/>
  <c r="AH14" i="204"/>
  <c r="C23" i="204"/>
  <c r="AH24" i="204"/>
  <c r="AK24" i="204" s="1"/>
  <c r="AD27" i="204"/>
  <c r="AK27" i="204" s="1"/>
  <c r="AF29" i="204"/>
  <c r="AK29" i="204" s="1"/>
  <c r="AF32" i="204"/>
  <c r="AK32" i="204" s="1"/>
  <c r="AH35" i="204"/>
  <c r="AK35" i="204" s="1"/>
  <c r="AH38" i="204"/>
  <c r="AH42" i="204" s="1"/>
  <c r="AI44" i="204"/>
  <c r="AE48" i="204"/>
  <c r="AF50" i="204"/>
  <c r="AH59" i="204"/>
  <c r="AK59" i="204" s="1"/>
  <c r="AH63" i="204"/>
  <c r="AK63" i="204" s="1"/>
  <c r="AG69" i="204"/>
  <c r="AK69" i="204" s="1"/>
  <c r="AI80" i="204"/>
  <c r="AE88" i="204"/>
  <c r="AJ91" i="204"/>
  <c r="AG92" i="204"/>
  <c r="AK92" i="204" s="1"/>
  <c r="AG101" i="204"/>
  <c r="AK101" i="204" s="1"/>
  <c r="AG105" i="204"/>
  <c r="AK105" i="204" s="1"/>
  <c r="AC112" i="204"/>
  <c r="Z120" i="204"/>
  <c r="AE124" i="204"/>
  <c r="B126" i="204"/>
  <c r="AI126" i="204"/>
  <c r="AH130" i="204"/>
  <c r="AB135" i="204"/>
  <c r="AK135" i="204" s="1"/>
  <c r="AF139" i="204"/>
  <c r="AG141" i="204"/>
  <c r="AE144" i="204"/>
  <c r="AI148" i="204"/>
  <c r="AJ151" i="204"/>
  <c r="AH151" i="204"/>
  <c r="AF152" i="204"/>
  <c r="B156" i="204"/>
  <c r="AF157" i="204"/>
  <c r="AK157" i="204" s="1"/>
  <c r="AE160" i="204"/>
  <c r="AK160" i="204" s="1"/>
  <c r="AA166" i="204"/>
  <c r="AA172" i="204" s="1"/>
  <c r="AH168" i="204"/>
  <c r="AF168" i="204"/>
  <c r="AK168" i="204" s="1"/>
  <c r="AG168" i="204"/>
  <c r="AH176" i="204"/>
  <c r="AA180" i="204"/>
  <c r="AK180" i="204" s="1"/>
  <c r="AC182" i="204"/>
  <c r="AK182" i="204" s="1"/>
  <c r="Z188" i="204"/>
  <c r="AK188" i="204" s="1"/>
  <c r="AJ189" i="204"/>
  <c r="Y191" i="204"/>
  <c r="AK191" i="204" s="1"/>
  <c r="AH195" i="204"/>
  <c r="AK195" i="204" s="1"/>
  <c r="AJ197" i="204"/>
  <c r="Y204" i="204"/>
  <c r="AG8" i="218"/>
  <c r="AB23" i="218"/>
  <c r="AB42" i="218" s="1"/>
  <c r="Y23" i="218"/>
  <c r="AJ23" i="218"/>
  <c r="AJ42" i="218" s="1"/>
  <c r="AE23" i="218"/>
  <c r="AE42" i="218" s="1"/>
  <c r="Z23" i="218"/>
  <c r="Z42" i="218" s="1"/>
  <c r="Y28" i="218"/>
  <c r="C30" i="218"/>
  <c r="AJ30" i="218"/>
  <c r="Y33" i="218"/>
  <c r="AA37" i="218"/>
  <c r="AB37" i="218"/>
  <c r="Y37" i="218"/>
  <c r="Z45" i="218"/>
  <c r="AH45" i="218"/>
  <c r="AD45" i="218"/>
  <c r="AF45" i="218"/>
  <c r="AA45" i="218"/>
  <c r="AI48" i="218"/>
  <c r="AE49" i="218"/>
  <c r="Y50" i="218"/>
  <c r="AB51" i="218"/>
  <c r="Z54" i="218"/>
  <c r="AB56" i="218"/>
  <c r="AA58" i="218"/>
  <c r="AE60" i="218"/>
  <c r="AB62" i="218"/>
  <c r="AB153" i="218" s="1"/>
  <c r="AA62" i="218"/>
  <c r="AA153" i="218" s="1"/>
  <c r="Z62" i="218"/>
  <c r="AJ62" i="218"/>
  <c r="AF62" i="218"/>
  <c r="AC62" i="218"/>
  <c r="AA66" i="218"/>
  <c r="AE66" i="218"/>
  <c r="AD66" i="218"/>
  <c r="Y66" i="218"/>
  <c r="AH66" i="218"/>
  <c r="AC66" i="218"/>
  <c r="AG68" i="218"/>
  <c r="AH68" i="218"/>
  <c r="AE68" i="218"/>
  <c r="AB68" i="218"/>
  <c r="N71" i="218"/>
  <c r="B73" i="218"/>
  <c r="AI73" i="218"/>
  <c r="AC74" i="218"/>
  <c r="AH75" i="218"/>
  <c r="AH153" i="218" s="1"/>
  <c r="AB84" i="218"/>
  <c r="AB87" i="218"/>
  <c r="AD87" i="218"/>
  <c r="AC87" i="218"/>
  <c r="AG87" i="218"/>
  <c r="AF87" i="218"/>
  <c r="AE87" i="218"/>
  <c r="Z87" i="218"/>
  <c r="AJ90" i="218"/>
  <c r="AJ122" i="218"/>
  <c r="AI128" i="218"/>
  <c r="AA128" i="218"/>
  <c r="Z128" i="218"/>
  <c r="AK128" i="218" s="1"/>
  <c r="AJ128" i="218"/>
  <c r="AF128" i="218"/>
  <c r="AB129" i="218"/>
  <c r="AJ129" i="218"/>
  <c r="AI129" i="218"/>
  <c r="AE129" i="218"/>
  <c r="AH129" i="218"/>
  <c r="AF129" i="218"/>
  <c r="AA129" i="218"/>
  <c r="AK129" i="218" s="1"/>
  <c r="AC133" i="218"/>
  <c r="AF134" i="218"/>
  <c r="AI91" i="204"/>
  <c r="AD144" i="204"/>
  <c r="AF147" i="204"/>
  <c r="Y147" i="204"/>
  <c r="AJ147" i="204"/>
  <c r="AM15" i="198"/>
  <c r="D156" i="198"/>
  <c r="AQ156" i="198"/>
  <c r="AW175" i="198"/>
  <c r="N175" i="198"/>
  <c r="AL175" i="198"/>
  <c r="AM186" i="198"/>
  <c r="AN186" i="198" s="1"/>
  <c r="AM204" i="198"/>
  <c r="AN204" i="198" s="1"/>
  <c r="B31" i="229"/>
  <c r="B31" i="223"/>
  <c r="B31" i="227"/>
  <c r="B31" i="226"/>
  <c r="B31" i="228"/>
  <c r="B31" i="225"/>
  <c r="B31" i="222"/>
  <c r="B31" i="221"/>
  <c r="B31" i="220"/>
  <c r="B33" i="198"/>
  <c r="B31" i="219"/>
  <c r="B38" i="226"/>
  <c r="B38" i="229"/>
  <c r="B38" i="228"/>
  <c r="B38" i="225"/>
  <c r="B38" i="223"/>
  <c r="B38" i="227"/>
  <c r="B38" i="222"/>
  <c r="B38" i="221"/>
  <c r="B38" i="220"/>
  <c r="B40" i="198"/>
  <c r="B38" i="219"/>
  <c r="B47" i="227"/>
  <c r="B47" i="226"/>
  <c r="B47" i="223"/>
  <c r="B47" i="225"/>
  <c r="B47" i="228"/>
  <c r="B47" i="229"/>
  <c r="B47" i="222"/>
  <c r="B47" i="221"/>
  <c r="B47" i="220"/>
  <c r="B47" i="219"/>
  <c r="C52" i="229"/>
  <c r="C52" i="228"/>
  <c r="C52" i="223"/>
  <c r="C52" i="226"/>
  <c r="C52" i="225"/>
  <c r="C52" i="227"/>
  <c r="C52" i="222"/>
  <c r="C52" i="221"/>
  <c r="C52" i="220"/>
  <c r="C52" i="219"/>
  <c r="C59" i="228"/>
  <c r="C59" i="227"/>
  <c r="C59" i="229"/>
  <c r="C59" i="225"/>
  <c r="C59" i="223"/>
  <c r="C59" i="226"/>
  <c r="C59" i="222"/>
  <c r="C59" i="221"/>
  <c r="C59" i="220"/>
  <c r="C59" i="219"/>
  <c r="C66" i="229"/>
  <c r="C66" i="227"/>
  <c r="C66" i="223"/>
  <c r="C66" i="228"/>
  <c r="C66" i="225"/>
  <c r="C66" i="226"/>
  <c r="C66" i="222"/>
  <c r="C66" i="220"/>
  <c r="C66" i="221"/>
  <c r="C66" i="219"/>
  <c r="C73" i="229"/>
  <c r="C73" i="227"/>
  <c r="C73" i="223"/>
  <c r="C73" i="225"/>
  <c r="C73" i="228"/>
  <c r="C73" i="226"/>
  <c r="C73" i="222"/>
  <c r="C73" i="221"/>
  <c r="C73" i="220"/>
  <c r="C73" i="219"/>
  <c r="B85" i="225"/>
  <c r="B85" i="226"/>
  <c r="B85" i="229"/>
  <c r="B85" i="228"/>
  <c r="B85" i="227"/>
  <c r="B85" i="223"/>
  <c r="B85" i="222"/>
  <c r="B85" i="221"/>
  <c r="B85" i="220"/>
  <c r="B85" i="219"/>
  <c r="C92" i="229"/>
  <c r="C92" i="226"/>
  <c r="C92" i="225"/>
  <c r="C92" i="223"/>
  <c r="C92" i="227"/>
  <c r="C92" i="228"/>
  <c r="C92" i="222"/>
  <c r="C92" i="221"/>
  <c r="C92" i="220"/>
  <c r="C92" i="218"/>
  <c r="C92" i="204"/>
  <c r="C92" i="219"/>
  <c r="A106" i="229"/>
  <c r="A106" i="227"/>
  <c r="A106" i="223"/>
  <c r="A106" i="226"/>
  <c r="A106" i="225"/>
  <c r="A106" i="228"/>
  <c r="A106" i="222"/>
  <c r="A106" i="221"/>
  <c r="C132" i="229"/>
  <c r="C132" i="223"/>
  <c r="C132" i="226"/>
  <c r="C132" i="227"/>
  <c r="C132" i="225"/>
  <c r="C132" i="228"/>
  <c r="C132" i="222"/>
  <c r="C132" i="221"/>
  <c r="C132" i="220"/>
  <c r="C132" i="219"/>
  <c r="C132" i="218"/>
  <c r="B140" i="228"/>
  <c r="B140" i="226"/>
  <c r="B140" i="223"/>
  <c r="B140" i="225"/>
  <c r="B140" i="227"/>
  <c r="B140" i="229"/>
  <c r="B140" i="222"/>
  <c r="B140" i="220"/>
  <c r="B140" i="221"/>
  <c r="B140" i="219"/>
  <c r="B147" i="226"/>
  <c r="B147" i="227"/>
  <c r="B147" i="225"/>
  <c r="B147" i="229"/>
  <c r="B147" i="223"/>
  <c r="B147" i="228"/>
  <c r="B147" i="222"/>
  <c r="B147" i="221"/>
  <c r="B147" i="220"/>
  <c r="B147" i="219"/>
  <c r="B147" i="218"/>
  <c r="C156" i="228"/>
  <c r="C156" i="225"/>
  <c r="C156" i="227"/>
  <c r="C156" i="226"/>
  <c r="C156" i="223"/>
  <c r="C156" i="229"/>
  <c r="C156" i="222"/>
  <c r="C156" i="221"/>
  <c r="C156" i="220"/>
  <c r="C156" i="219"/>
  <c r="C156" i="218"/>
  <c r="C163" i="229"/>
  <c r="C163" i="228"/>
  <c r="C163" i="227"/>
  <c r="C163" i="223"/>
  <c r="C163" i="222"/>
  <c r="C163" i="226"/>
  <c r="C163" i="225"/>
  <c r="C163" i="221"/>
  <c r="C163" i="220"/>
  <c r="C163" i="219"/>
  <c r="C163" i="218"/>
  <c r="B171" i="227"/>
  <c r="B171" i="229"/>
  <c r="B171" i="226"/>
  <c r="B171" i="223"/>
  <c r="B171" i="228"/>
  <c r="B171" i="225"/>
  <c r="B171" i="222"/>
  <c r="B171" i="221"/>
  <c r="B171" i="220"/>
  <c r="B171" i="219"/>
  <c r="B171" i="218"/>
  <c r="B180" i="227"/>
  <c r="B180" i="228"/>
  <c r="B180" i="225"/>
  <c r="B180" i="223"/>
  <c r="B180" i="226"/>
  <c r="B180" i="229"/>
  <c r="B180" i="222"/>
  <c r="B180" i="221"/>
  <c r="B180" i="220"/>
  <c r="B180" i="219"/>
  <c r="B180" i="204"/>
  <c r="B180" i="218"/>
  <c r="B191" i="227"/>
  <c r="B191" i="223"/>
  <c r="B191" i="226"/>
  <c r="B191" i="225"/>
  <c r="B191" i="228"/>
  <c r="B191" i="229"/>
  <c r="B191" i="222"/>
  <c r="B191" i="221"/>
  <c r="B191" i="220"/>
  <c r="B193" i="198"/>
  <c r="B191" i="219"/>
  <c r="B191" i="218"/>
  <c r="B198" i="228"/>
  <c r="B198" i="227"/>
  <c r="B198" i="226"/>
  <c r="B198" i="225"/>
  <c r="B198" i="229"/>
  <c r="B198" i="223"/>
  <c r="B198" i="222"/>
  <c r="B198" i="221"/>
  <c r="B198" i="220"/>
  <c r="B198" i="219"/>
  <c r="B200" i="198"/>
  <c r="B198" i="218"/>
  <c r="AI24" i="204"/>
  <c r="AH69" i="204"/>
  <c r="AK171" i="204"/>
  <c r="Y175" i="204"/>
  <c r="AI176" i="204"/>
  <c r="AI183" i="204" s="1"/>
  <c r="C179" i="204"/>
  <c r="AB188" i="204"/>
  <c r="AD190" i="204"/>
  <c r="AC190" i="204"/>
  <c r="AK190" i="204" s="1"/>
  <c r="AG190" i="204"/>
  <c r="Z191" i="204"/>
  <c r="Z204" i="204"/>
  <c r="AH8" i="218"/>
  <c r="AH12" i="218" s="1"/>
  <c r="Z15" i="218"/>
  <c r="Z19" i="218" s="1"/>
  <c r="C23" i="218"/>
  <c r="AB28" i="218"/>
  <c r="Z33" i="218"/>
  <c r="Y35" i="218"/>
  <c r="B38" i="218"/>
  <c r="Z40" i="218"/>
  <c r="AA50" i="218"/>
  <c r="AC51" i="218"/>
  <c r="AA54" i="218"/>
  <c r="AC56" i="218"/>
  <c r="AB58" i="218"/>
  <c r="AH60" i="218"/>
  <c r="B66" i="218"/>
  <c r="Q71" i="218"/>
  <c r="M72" i="218"/>
  <c r="C73" i="218"/>
  <c r="AJ73" i="218"/>
  <c r="AI75" i="218"/>
  <c r="AI153" i="218" s="1"/>
  <c r="AH82" i="218"/>
  <c r="AC82" i="218"/>
  <c r="AB82" i="218"/>
  <c r="AE82" i="218"/>
  <c r="AD82" i="218"/>
  <c r="AA82" i="218"/>
  <c r="Y82" i="218"/>
  <c r="AD83" i="218"/>
  <c r="Z83" i="218"/>
  <c r="Y83" i="218"/>
  <c r="AK83" i="218" s="1"/>
  <c r="AJ83" i="218"/>
  <c r="AF83" i="218"/>
  <c r="AE83" i="218"/>
  <c r="AC83" i="218"/>
  <c r="AA83" i="218"/>
  <c r="AF84" i="218"/>
  <c r="AA88" i="218"/>
  <c r="Y92" i="218"/>
  <c r="AA97" i="218"/>
  <c r="AB118" i="218"/>
  <c r="AE133" i="218"/>
  <c r="AJ134" i="218"/>
  <c r="AL156" i="198"/>
  <c r="B23" i="228"/>
  <c r="B23" i="229"/>
  <c r="B23" i="226"/>
  <c r="B23" i="227"/>
  <c r="B23" i="225"/>
  <c r="B23" i="223"/>
  <c r="B23" i="222"/>
  <c r="B23" i="221"/>
  <c r="B23" i="220"/>
  <c r="B23" i="219"/>
  <c r="B23" i="218"/>
  <c r="B30" i="223"/>
  <c r="B30" i="228"/>
  <c r="B30" i="225"/>
  <c r="B30" i="226"/>
  <c r="B30" i="227"/>
  <c r="B30" i="229"/>
  <c r="B30" i="222"/>
  <c r="B30" i="221"/>
  <c r="B30" i="220"/>
  <c r="B30" i="218"/>
  <c r="B30" i="219"/>
  <c r="B37" i="226"/>
  <c r="B37" i="227"/>
  <c r="B37" i="228"/>
  <c r="B37" i="223"/>
  <c r="B37" i="225"/>
  <c r="B37" i="229"/>
  <c r="B37" i="222"/>
  <c r="B37" i="220"/>
  <c r="B37" i="221"/>
  <c r="B37" i="219"/>
  <c r="B46" i="227"/>
  <c r="B46" i="226"/>
  <c r="B46" i="223"/>
  <c r="B46" i="229"/>
  <c r="B46" i="225"/>
  <c r="B46" i="228"/>
  <c r="B46" i="222"/>
  <c r="B46" i="221"/>
  <c r="B46" i="220"/>
  <c r="B46" i="219"/>
  <c r="C51" i="225"/>
  <c r="C51" i="227"/>
  <c r="C51" i="229"/>
  <c r="C51" i="226"/>
  <c r="C51" i="223"/>
  <c r="C51" i="228"/>
  <c r="C51" i="222"/>
  <c r="C51" i="221"/>
  <c r="C51" i="220"/>
  <c r="C51" i="219"/>
  <c r="C58" i="226"/>
  <c r="C58" i="225"/>
  <c r="C58" i="229"/>
  <c r="C58" i="223"/>
  <c r="C58" i="227"/>
  <c r="C58" i="228"/>
  <c r="C58" i="222"/>
  <c r="C58" i="221"/>
  <c r="C58" i="219"/>
  <c r="C58" i="220"/>
  <c r="C65" i="229"/>
  <c r="C65" i="226"/>
  <c r="C65" i="227"/>
  <c r="C65" i="228"/>
  <c r="C65" i="223"/>
  <c r="C65" i="225"/>
  <c r="C65" i="222"/>
  <c r="C65" i="221"/>
  <c r="C65" i="220"/>
  <c r="C65" i="219"/>
  <c r="C72" i="229"/>
  <c r="C72" i="227"/>
  <c r="C72" i="228"/>
  <c r="C72" i="226"/>
  <c r="C72" i="223"/>
  <c r="C72" i="225"/>
  <c r="C72" i="222"/>
  <c r="C72" i="221"/>
  <c r="C72" i="220"/>
  <c r="C72" i="219"/>
  <c r="C72" i="204"/>
  <c r="B84" i="226"/>
  <c r="B84" i="227"/>
  <c r="B84" i="223"/>
  <c r="B84" i="228"/>
  <c r="B84" i="229"/>
  <c r="B84" i="225"/>
  <c r="B84" i="222"/>
  <c r="B84" i="221"/>
  <c r="B84" i="220"/>
  <c r="B84" i="219"/>
  <c r="B91" i="226"/>
  <c r="B91" i="228"/>
  <c r="B91" i="223"/>
  <c r="B91" i="229"/>
  <c r="B91" i="227"/>
  <c r="B91" i="225"/>
  <c r="B91" i="222"/>
  <c r="B91" i="220"/>
  <c r="B91" i="221"/>
  <c r="B91" i="219"/>
  <c r="F95" i="206"/>
  <c r="A98" i="229"/>
  <c r="A98" i="226"/>
  <c r="A98" i="227"/>
  <c r="A98" i="225"/>
  <c r="A98" i="228"/>
  <c r="A98" i="223"/>
  <c r="A98" i="222"/>
  <c r="A98" i="221"/>
  <c r="A100" i="228"/>
  <c r="A100" i="226"/>
  <c r="A100" i="229"/>
  <c r="A100" i="225"/>
  <c r="A100" i="227"/>
  <c r="A100" i="223"/>
  <c r="A100" i="222"/>
  <c r="A100" i="221"/>
  <c r="A100" i="220"/>
  <c r="A100" i="219"/>
  <c r="B105" i="225"/>
  <c r="B105" i="226"/>
  <c r="B105" i="227"/>
  <c r="B105" i="229"/>
  <c r="B105" i="228"/>
  <c r="B105" i="223"/>
  <c r="B105" i="222"/>
  <c r="B105" i="221"/>
  <c r="B105" i="220"/>
  <c r="B105" i="219"/>
  <c r="B105" i="218"/>
  <c r="C131" i="226"/>
  <c r="C131" i="228"/>
  <c r="C131" i="225"/>
  <c r="C131" i="223"/>
  <c r="C131" i="227"/>
  <c r="C131" i="229"/>
  <c r="C131" i="222"/>
  <c r="C131" i="221"/>
  <c r="C131" i="220"/>
  <c r="C131" i="219"/>
  <c r="B139" i="227"/>
  <c r="B139" i="226"/>
  <c r="B139" i="229"/>
  <c r="B139" i="228"/>
  <c r="B139" i="225"/>
  <c r="B139" i="223"/>
  <c r="B139" i="222"/>
  <c r="B139" i="221"/>
  <c r="B139" i="220"/>
  <c r="B139" i="219"/>
  <c r="B146" i="228"/>
  <c r="B146" i="229"/>
  <c r="B146" i="226"/>
  <c r="B146" i="225"/>
  <c r="B146" i="223"/>
  <c r="B146" i="227"/>
  <c r="B146" i="222"/>
  <c r="B146" i="221"/>
  <c r="B146" i="220"/>
  <c r="B146" i="219"/>
  <c r="B146" i="218"/>
  <c r="C155" i="228"/>
  <c r="C155" i="226"/>
  <c r="C155" i="227"/>
  <c r="C155" i="229"/>
  <c r="C155" i="225"/>
  <c r="C155" i="223"/>
  <c r="C155" i="222"/>
  <c r="C155" i="221"/>
  <c r="C155" i="220"/>
  <c r="C155" i="219"/>
  <c r="C162" i="228"/>
  <c r="C162" i="229"/>
  <c r="C162" i="222"/>
  <c r="C162" i="226"/>
  <c r="C162" i="223"/>
  <c r="C162" i="227"/>
  <c r="C162" i="225"/>
  <c r="C162" i="221"/>
  <c r="C162" i="219"/>
  <c r="C162" i="220"/>
  <c r="C162" i="218"/>
  <c r="C169" i="229"/>
  <c r="C169" i="227"/>
  <c r="C169" i="226"/>
  <c r="C169" i="223"/>
  <c r="C169" i="228"/>
  <c r="C169" i="225"/>
  <c r="C169" i="222"/>
  <c r="C169" i="221"/>
  <c r="C169" i="220"/>
  <c r="C169" i="219"/>
  <c r="C169" i="218"/>
  <c r="B179" i="229"/>
  <c r="B179" i="228"/>
  <c r="B179" i="226"/>
  <c r="B179" i="225"/>
  <c r="B179" i="223"/>
  <c r="B179" i="227"/>
  <c r="B179" i="222"/>
  <c r="B179" i="221"/>
  <c r="B179" i="220"/>
  <c r="B181" i="198"/>
  <c r="B179" i="219"/>
  <c r="B179" i="218"/>
  <c r="B190" i="229"/>
  <c r="B190" i="227"/>
  <c r="B190" i="226"/>
  <c r="B190" i="223"/>
  <c r="B190" i="225"/>
  <c r="B190" i="228"/>
  <c r="B190" i="222"/>
  <c r="B190" i="221"/>
  <c r="B190" i="220"/>
  <c r="B190" i="219"/>
  <c r="B190" i="218"/>
  <c r="B197" i="227"/>
  <c r="B197" i="228"/>
  <c r="B197" i="223"/>
  <c r="B197" i="226"/>
  <c r="B197" i="229"/>
  <c r="B197" i="225"/>
  <c r="B197" i="222"/>
  <c r="B197" i="220"/>
  <c r="B197" i="221"/>
  <c r="B197" i="219"/>
  <c r="B197" i="218"/>
  <c r="B23" i="204"/>
  <c r="AE50" i="204"/>
  <c r="AK50" i="204" s="1"/>
  <c r="B38" i="204"/>
  <c r="AF48" i="204"/>
  <c r="AG50" i="204"/>
  <c r="C91" i="204"/>
  <c r="AD112" i="204"/>
  <c r="Y138" i="204"/>
  <c r="AK138" i="204" s="1"/>
  <c r="C139" i="204"/>
  <c r="AG139" i="204"/>
  <c r="AJ148" i="204"/>
  <c r="AG160" i="204"/>
  <c r="AF27" i="204"/>
  <c r="AH29" i="204"/>
  <c r="AH32" i="204"/>
  <c r="AI69" i="204"/>
  <c r="AI101" i="204"/>
  <c r="AI105" i="204"/>
  <c r="AE112" i="204"/>
  <c r="Y146" i="204"/>
  <c r="AH149" i="204"/>
  <c r="AH153" i="204" s="1"/>
  <c r="AC149" i="204"/>
  <c r="AK149" i="204" s="1"/>
  <c r="AE149" i="204"/>
  <c r="AH157" i="204"/>
  <c r="AH172" i="204" s="1"/>
  <c r="AD166" i="204"/>
  <c r="Y167" i="204"/>
  <c r="Z175" i="204"/>
  <c r="Z183" i="204" s="1"/>
  <c r="AC180" i="204"/>
  <c r="AE182" i="204"/>
  <c r="AE183" i="204" s="1"/>
  <c r="AC188" i="204"/>
  <c r="B190" i="204"/>
  <c r="AH190" i="204"/>
  <c r="AA191" i="204"/>
  <c r="AA204" i="204"/>
  <c r="AI8" i="218"/>
  <c r="AI12" i="218" s="1"/>
  <c r="AC15" i="218"/>
  <c r="AC19" i="218" s="1"/>
  <c r="Y16" i="218"/>
  <c r="Y19" i="218" s="1"/>
  <c r="AA24" i="218"/>
  <c r="AC28" i="218"/>
  <c r="AA33" i="218"/>
  <c r="Y34" i="218"/>
  <c r="AK34" i="218" s="1"/>
  <c r="AA35" i="218"/>
  <c r="AA40" i="218"/>
  <c r="AC44" i="218"/>
  <c r="AJ44" i="218"/>
  <c r="AF44" i="218"/>
  <c r="AE44" i="218"/>
  <c r="Z44" i="218"/>
  <c r="AB49" i="218"/>
  <c r="Z49" i="218"/>
  <c r="AK49" i="218" s="1"/>
  <c r="AG49" i="218"/>
  <c r="AC49" i="218"/>
  <c r="AH49" i="218"/>
  <c r="AB50" i="218"/>
  <c r="AF51" i="218"/>
  <c r="AB54" i="218"/>
  <c r="AF56" i="218"/>
  <c r="AE58" i="218"/>
  <c r="C66" i="218"/>
  <c r="S71" i="218"/>
  <c r="N72" i="218"/>
  <c r="AE74" i="218"/>
  <c r="O74" i="218"/>
  <c r="AH74" i="218"/>
  <c r="Q74" i="218"/>
  <c r="AG74" i="218"/>
  <c r="P74" i="218"/>
  <c r="AB74" i="218"/>
  <c r="K74" i="218"/>
  <c r="AD74" i="218"/>
  <c r="AA74" i="218"/>
  <c r="Y74" i="218"/>
  <c r="T74" i="218"/>
  <c r="AI74" i="218"/>
  <c r="AJ75" i="218"/>
  <c r="AH84" i="218"/>
  <c r="AC88" i="218"/>
  <c r="Z91" i="218"/>
  <c r="AE91" i="218"/>
  <c r="AD91" i="218"/>
  <c r="Y91" i="218"/>
  <c r="AG91" i="218"/>
  <c r="AF91" i="218"/>
  <c r="AC91" i="218"/>
  <c r="AA91" i="218"/>
  <c r="AC92" i="218"/>
  <c r="AB97" i="218"/>
  <c r="AD118" i="218"/>
  <c r="AF133" i="218"/>
  <c r="AE27" i="204"/>
  <c r="AF124" i="204"/>
  <c r="AJ126" i="204"/>
  <c r="AI130" i="204"/>
  <c r="AC152" i="204"/>
  <c r="AB152" i="204"/>
  <c r="AK152" i="204" s="1"/>
  <c r="AG152" i="204"/>
  <c r="C156" i="204"/>
  <c r="AR13" i="198"/>
  <c r="AS13" i="198" s="1"/>
  <c r="D15" i="198"/>
  <c r="AQ15" i="198"/>
  <c r="B25" i="198"/>
  <c r="B86" i="198"/>
  <c r="B93" i="198"/>
  <c r="A108" i="198"/>
  <c r="H156" i="198"/>
  <c r="AR156" i="198"/>
  <c r="C175" i="198"/>
  <c r="AM175" i="198"/>
  <c r="D186" i="198"/>
  <c r="AQ186" i="198"/>
  <c r="BG202" i="198"/>
  <c r="X202" i="198"/>
  <c r="AL202" i="198"/>
  <c r="D204" i="198"/>
  <c r="E204" i="198" s="1"/>
  <c r="AQ204" i="198"/>
  <c r="D208" i="198"/>
  <c r="AQ208" i="198"/>
  <c r="C24" i="229"/>
  <c r="C24" i="228"/>
  <c r="C24" i="227"/>
  <c r="C24" i="226"/>
  <c r="C24" i="223"/>
  <c r="C24" i="225"/>
  <c r="C24" i="222"/>
  <c r="C24" i="221"/>
  <c r="C24" i="220"/>
  <c r="C24" i="219"/>
  <c r="C31" i="229"/>
  <c r="C31" i="226"/>
  <c r="C31" i="223"/>
  <c r="C31" i="227"/>
  <c r="C31" i="228"/>
  <c r="C31" i="225"/>
  <c r="C31" i="222"/>
  <c r="C31" i="221"/>
  <c r="C31" i="220"/>
  <c r="C31" i="219"/>
  <c r="C38" i="229"/>
  <c r="C38" i="228"/>
  <c r="C38" i="225"/>
  <c r="C38" i="223"/>
  <c r="C38" i="227"/>
  <c r="C38" i="226"/>
  <c r="C38" i="222"/>
  <c r="C38" i="221"/>
  <c r="C38" i="220"/>
  <c r="C38" i="204"/>
  <c r="C38" i="219"/>
  <c r="C47" i="229"/>
  <c r="C47" i="228"/>
  <c r="C47" i="227"/>
  <c r="C47" i="226"/>
  <c r="C47" i="223"/>
  <c r="C47" i="225"/>
  <c r="C47" i="222"/>
  <c r="C47" i="221"/>
  <c r="C47" i="220"/>
  <c r="C47" i="219"/>
  <c r="B53" i="228"/>
  <c r="B53" i="229"/>
  <c r="B53" i="223"/>
  <c r="B53" i="227"/>
  <c r="B53" i="226"/>
  <c r="B53" i="225"/>
  <c r="B53" i="222"/>
  <c r="B53" i="221"/>
  <c r="B53" i="220"/>
  <c r="B53" i="219"/>
  <c r="B60" i="227"/>
  <c r="B60" i="229"/>
  <c r="B60" i="225"/>
  <c r="B60" i="223"/>
  <c r="B60" i="226"/>
  <c r="B60" i="228"/>
  <c r="B60" i="222"/>
  <c r="B60" i="220"/>
  <c r="B60" i="221"/>
  <c r="B60" i="219"/>
  <c r="B67" i="226"/>
  <c r="B67" i="228"/>
  <c r="B67" i="223"/>
  <c r="B67" i="227"/>
  <c r="B67" i="229"/>
  <c r="B67" i="225"/>
  <c r="B67" i="222"/>
  <c r="B67" i="220"/>
  <c r="B67" i="221"/>
  <c r="B67" i="219"/>
  <c r="B74" i="226"/>
  <c r="B74" i="225"/>
  <c r="B74" i="223"/>
  <c r="B74" i="229"/>
  <c r="B74" i="228"/>
  <c r="B74" i="227"/>
  <c r="B74" i="222"/>
  <c r="B74" i="221"/>
  <c r="B74" i="220"/>
  <c r="B74" i="219"/>
  <c r="B74" i="218"/>
  <c r="C85" i="229"/>
  <c r="C85" i="227"/>
  <c r="C85" i="225"/>
  <c r="C85" i="228"/>
  <c r="C85" i="226"/>
  <c r="C85" i="223"/>
  <c r="C85" i="222"/>
  <c r="C85" i="221"/>
  <c r="C85" i="220"/>
  <c r="C85" i="219"/>
  <c r="C85" i="218"/>
  <c r="B93" i="227"/>
  <c r="B93" i="228"/>
  <c r="B93" i="225"/>
  <c r="B93" i="229"/>
  <c r="B93" i="226"/>
  <c r="B93" i="223"/>
  <c r="B93" i="222"/>
  <c r="B93" i="221"/>
  <c r="B93" i="220"/>
  <c r="B93" i="219"/>
  <c r="F103" i="206"/>
  <c r="A108" i="228"/>
  <c r="A108" i="227"/>
  <c r="A108" i="229"/>
  <c r="A108" i="223"/>
  <c r="A108" i="226"/>
  <c r="A108" i="225"/>
  <c r="A108" i="222"/>
  <c r="A108" i="221"/>
  <c r="A108" i="220"/>
  <c r="A108" i="204"/>
  <c r="A108" i="218"/>
  <c r="A108" i="219"/>
  <c r="A112" i="227"/>
  <c r="A112" i="228"/>
  <c r="A112" i="223"/>
  <c r="A112" i="229"/>
  <c r="A112" i="225"/>
  <c r="A112" i="226"/>
  <c r="A112" i="222"/>
  <c r="A112" i="221"/>
  <c r="A112" i="220"/>
  <c r="A112" i="219"/>
  <c r="A116" i="229"/>
  <c r="A116" i="227"/>
  <c r="A116" i="228"/>
  <c r="A116" i="223"/>
  <c r="A116" i="225"/>
  <c r="A116" i="226"/>
  <c r="A116" i="222"/>
  <c r="A116" i="221"/>
  <c r="A116" i="220"/>
  <c r="A116" i="218"/>
  <c r="A116" i="219"/>
  <c r="B133" i="225"/>
  <c r="B133" i="223"/>
  <c r="B133" i="229"/>
  <c r="B133" i="226"/>
  <c r="B133" i="228"/>
  <c r="B133" i="227"/>
  <c r="B133" i="222"/>
  <c r="B133" i="221"/>
  <c r="B133" i="220"/>
  <c r="B133" i="219"/>
  <c r="B133" i="218"/>
  <c r="C140" i="229"/>
  <c r="C140" i="227"/>
  <c r="C140" i="228"/>
  <c r="C140" i="226"/>
  <c r="C140" i="223"/>
  <c r="C140" i="225"/>
  <c r="C140" i="222"/>
  <c r="C140" i="221"/>
  <c r="C140" i="220"/>
  <c r="C140" i="219"/>
  <c r="C140" i="218"/>
  <c r="C147" i="229"/>
  <c r="C147" i="227"/>
  <c r="C147" i="226"/>
  <c r="C147" i="225"/>
  <c r="C147" i="228"/>
  <c r="C147" i="223"/>
  <c r="C147" i="222"/>
  <c r="C147" i="221"/>
  <c r="C147" i="220"/>
  <c r="C147" i="219"/>
  <c r="C147" i="218"/>
  <c r="B164" i="228"/>
  <c r="B164" i="226"/>
  <c r="B164" i="227"/>
  <c r="B164" i="225"/>
  <c r="B164" i="229"/>
  <c r="B164" i="222"/>
  <c r="B164" i="223"/>
  <c r="B164" i="221"/>
  <c r="B164" i="220"/>
  <c r="B164" i="219"/>
  <c r="B164" i="218"/>
  <c r="C171" i="228"/>
  <c r="C171" i="226"/>
  <c r="C171" i="223"/>
  <c r="C171" i="229"/>
  <c r="C171" i="227"/>
  <c r="C171" i="225"/>
  <c r="C171" i="222"/>
  <c r="C171" i="220"/>
  <c r="C171" i="221"/>
  <c r="C171" i="219"/>
  <c r="C171" i="218"/>
  <c r="C180" i="228"/>
  <c r="C180" i="226"/>
  <c r="C180" i="229"/>
  <c r="C180" i="227"/>
  <c r="C180" i="225"/>
  <c r="C180" i="223"/>
  <c r="C180" i="222"/>
  <c r="C180" i="221"/>
  <c r="C180" i="220"/>
  <c r="C180" i="219"/>
  <c r="C180" i="218"/>
  <c r="C191" i="226"/>
  <c r="C191" i="229"/>
  <c r="C191" i="228"/>
  <c r="C191" i="225"/>
  <c r="C191" i="227"/>
  <c r="C191" i="223"/>
  <c r="C191" i="222"/>
  <c r="C191" i="221"/>
  <c r="C191" i="220"/>
  <c r="C191" i="219"/>
  <c r="C191" i="218"/>
  <c r="C198" i="226"/>
  <c r="C198" i="227"/>
  <c r="C198" i="223"/>
  <c r="C198" i="228"/>
  <c r="C198" i="225"/>
  <c r="C198" i="222"/>
  <c r="C198" i="229"/>
  <c r="C198" i="221"/>
  <c r="C198" i="220"/>
  <c r="C198" i="219"/>
  <c r="C198" i="218"/>
  <c r="AC8" i="204"/>
  <c r="AC12" i="204" s="1"/>
  <c r="AG8" i="204"/>
  <c r="AG12" i="204" s="1"/>
  <c r="AH8" i="204"/>
  <c r="AH12" i="204" s="1"/>
  <c r="AD8" i="204"/>
  <c r="AD12" i="204" s="1"/>
  <c r="AF8" i="204"/>
  <c r="AF12" i="204" s="1"/>
  <c r="AJ8" i="204"/>
  <c r="AJ12" i="204" s="1"/>
  <c r="AA8" i="204"/>
  <c r="AA12" i="204" s="1"/>
  <c r="AB8" i="204"/>
  <c r="AB12" i="204" s="1"/>
  <c r="AE8" i="204"/>
  <c r="AE12" i="204" s="1"/>
  <c r="AI8" i="204"/>
  <c r="AI12" i="204" s="1"/>
  <c r="Y8" i="204"/>
  <c r="Z8" i="204"/>
  <c r="Z12" i="204" s="1"/>
  <c r="AA16" i="204"/>
  <c r="AH16" i="204"/>
  <c r="AI16" i="204"/>
  <c r="Y16" i="204"/>
  <c r="AB16" i="204"/>
  <c r="AD16" i="204"/>
  <c r="AE16" i="204"/>
  <c r="AF16" i="204"/>
  <c r="AG16" i="204"/>
  <c r="Z16" i="204"/>
  <c r="AC16" i="204"/>
  <c r="AJ16" i="204"/>
  <c r="C24" i="204"/>
  <c r="B59" i="204"/>
  <c r="AJ59" i="204"/>
  <c r="AI92" i="204"/>
  <c r="AG124" i="204"/>
  <c r="AJ130" i="204"/>
  <c r="AD135" i="204"/>
  <c r="AI141" i="204"/>
  <c r="Z143" i="204"/>
  <c r="AG144" i="204"/>
  <c r="C13" i="198"/>
  <c r="AV13" i="198"/>
  <c r="H15" i="198"/>
  <c r="AR15" i="198"/>
  <c r="I156" i="198"/>
  <c r="AV156" i="198"/>
  <c r="D175" i="198"/>
  <c r="AQ175" i="198"/>
  <c r="H186" i="198"/>
  <c r="AV186" i="198"/>
  <c r="C202" i="198"/>
  <c r="AM202" i="198"/>
  <c r="AN202" i="198" s="1"/>
  <c r="H204" i="198"/>
  <c r="AR204" i="198"/>
  <c r="H208" i="198"/>
  <c r="AR208" i="198"/>
  <c r="C14" i="228"/>
  <c r="C14" i="227"/>
  <c r="C14" i="226"/>
  <c r="C14" i="229"/>
  <c r="C14" i="225"/>
  <c r="C14" i="223"/>
  <c r="C14" i="222"/>
  <c r="C14" i="221"/>
  <c r="C14" i="220"/>
  <c r="C14" i="218"/>
  <c r="C14" i="219"/>
  <c r="B25" i="229"/>
  <c r="B25" i="227"/>
  <c r="B25" i="225"/>
  <c r="B25" i="226"/>
  <c r="B25" i="223"/>
  <c r="B25" i="228"/>
  <c r="B25" i="222"/>
  <c r="B25" i="221"/>
  <c r="B25" i="220"/>
  <c r="B25" i="218"/>
  <c r="B25" i="219"/>
  <c r="B32" i="229"/>
  <c r="B32" i="228"/>
  <c r="B32" i="223"/>
  <c r="B32" i="227"/>
  <c r="B32" i="226"/>
  <c r="B32" i="225"/>
  <c r="B32" i="222"/>
  <c r="B32" i="221"/>
  <c r="B32" i="220"/>
  <c r="B32" i="219"/>
  <c r="B39" i="228"/>
  <c r="B39" i="226"/>
  <c r="B39" i="229"/>
  <c r="B39" i="223"/>
  <c r="B39" i="225"/>
  <c r="B39" i="227"/>
  <c r="B39" i="222"/>
  <c r="B39" i="221"/>
  <c r="B39" i="220"/>
  <c r="B39" i="219"/>
  <c r="C53" i="229"/>
  <c r="C53" i="227"/>
  <c r="C53" i="226"/>
  <c r="C53" i="228"/>
  <c r="C53" i="225"/>
  <c r="C53" i="223"/>
  <c r="C53" i="222"/>
  <c r="C53" i="221"/>
  <c r="C53" i="220"/>
  <c r="C53" i="218"/>
  <c r="C53" i="219"/>
  <c r="C60" i="228"/>
  <c r="C60" i="229"/>
  <c r="C60" i="227"/>
  <c r="C60" i="223"/>
  <c r="C60" i="226"/>
  <c r="C60" i="225"/>
  <c r="C60" i="222"/>
  <c r="C60" i="221"/>
  <c r="C60" i="220"/>
  <c r="C60" i="218"/>
  <c r="C60" i="219"/>
  <c r="C67" i="227"/>
  <c r="C67" i="228"/>
  <c r="C67" i="226"/>
  <c r="C67" i="229"/>
  <c r="C67" i="223"/>
  <c r="C67" i="225"/>
  <c r="C67" i="222"/>
  <c r="C67" i="221"/>
  <c r="C67" i="220"/>
  <c r="C67" i="219"/>
  <c r="C67" i="218"/>
  <c r="C74" i="227"/>
  <c r="C74" i="229"/>
  <c r="C74" i="223"/>
  <c r="C74" i="225"/>
  <c r="C74" i="228"/>
  <c r="C74" i="226"/>
  <c r="C74" i="222"/>
  <c r="C74" i="220"/>
  <c r="C74" i="221"/>
  <c r="C74" i="219"/>
  <c r="B86" i="229"/>
  <c r="B86" i="228"/>
  <c r="B86" i="227"/>
  <c r="B86" i="226"/>
  <c r="B86" i="223"/>
  <c r="B86" i="225"/>
  <c r="B86" i="222"/>
  <c r="B86" i="221"/>
  <c r="B86" i="220"/>
  <c r="B86" i="219"/>
  <c r="C93" i="227"/>
  <c r="C93" i="225"/>
  <c r="C93" i="229"/>
  <c r="C93" i="228"/>
  <c r="C93" i="226"/>
  <c r="C93" i="223"/>
  <c r="C93" i="222"/>
  <c r="C93" i="221"/>
  <c r="C93" i="220"/>
  <c r="C93" i="219"/>
  <c r="C93" i="218"/>
  <c r="A124" i="226"/>
  <c r="A124" i="228"/>
  <c r="A124" i="223"/>
  <c r="A124" i="227"/>
  <c r="A124" i="229"/>
  <c r="A124" i="225"/>
  <c r="A124" i="222"/>
  <c r="A124" i="221"/>
  <c r="B126" i="228"/>
  <c r="B126" i="229"/>
  <c r="B126" i="226"/>
  <c r="B126" i="223"/>
  <c r="B126" i="225"/>
  <c r="B126" i="227"/>
  <c r="B126" i="222"/>
  <c r="B126" i="221"/>
  <c r="B126" i="219"/>
  <c r="B126" i="220"/>
  <c r="C133" i="226"/>
  <c r="C133" i="229"/>
  <c r="C133" i="227"/>
  <c r="C133" i="228"/>
  <c r="C133" i="225"/>
  <c r="C133" i="223"/>
  <c r="C133" i="222"/>
  <c r="C133" i="221"/>
  <c r="C133" i="219"/>
  <c r="C133" i="220"/>
  <c r="C133" i="218"/>
  <c r="B141" i="228"/>
  <c r="B141" i="227"/>
  <c r="B141" i="226"/>
  <c r="B141" i="223"/>
  <c r="B141" i="225"/>
  <c r="B141" i="229"/>
  <c r="B141" i="222"/>
  <c r="B141" i="221"/>
  <c r="B141" i="220"/>
  <c r="B141" i="219"/>
  <c r="B141" i="218"/>
  <c r="B148" i="228"/>
  <c r="B148" i="226"/>
  <c r="B148" i="227"/>
  <c r="B148" i="223"/>
  <c r="B148" i="225"/>
  <c r="B148" i="229"/>
  <c r="B148" i="222"/>
  <c r="B148" i="221"/>
  <c r="B148" i="220"/>
  <c r="B148" i="219"/>
  <c r="B148" i="218"/>
  <c r="C157" i="228"/>
  <c r="C157" i="229"/>
  <c r="C157" i="225"/>
  <c r="C157" i="227"/>
  <c r="C157" i="226"/>
  <c r="C157" i="223"/>
  <c r="C157" i="222"/>
  <c r="C157" i="221"/>
  <c r="C157" i="220"/>
  <c r="C157" i="219"/>
  <c r="C157" i="218"/>
  <c r="C164" i="229"/>
  <c r="C164" i="227"/>
  <c r="C164" i="225"/>
  <c r="C164" i="223"/>
  <c r="C164" i="222"/>
  <c r="C164" i="228"/>
  <c r="C164" i="226"/>
  <c r="C164" i="221"/>
  <c r="C164" i="220"/>
  <c r="C164" i="219"/>
  <c r="C164" i="218"/>
  <c r="B181" i="227"/>
  <c r="B181" i="225"/>
  <c r="B181" i="223"/>
  <c r="B181" i="226"/>
  <c r="B181" i="229"/>
  <c r="B181" i="228"/>
  <c r="B181" i="222"/>
  <c r="B181" i="221"/>
  <c r="B181" i="220"/>
  <c r="B181" i="219"/>
  <c r="B181" i="218"/>
  <c r="B192" i="228"/>
  <c r="B192" i="225"/>
  <c r="B192" i="226"/>
  <c r="B192" i="229"/>
  <c r="B192" i="227"/>
  <c r="B192" i="223"/>
  <c r="B192" i="222"/>
  <c r="B192" i="221"/>
  <c r="B192" i="220"/>
  <c r="B192" i="219"/>
  <c r="B192" i="218"/>
  <c r="C59" i="204"/>
  <c r="AI97" i="204"/>
  <c r="AK97" i="204" s="1"/>
  <c r="AJ101" i="204"/>
  <c r="B105" i="204"/>
  <c r="AJ105" i="204"/>
  <c r="AF112" i="204"/>
  <c r="AF117" i="204"/>
  <c r="AK117" i="204" s="1"/>
  <c r="AC120" i="204"/>
  <c r="AG122" i="204"/>
  <c r="AK122" i="204" s="1"/>
  <c r="AH124" i="204"/>
  <c r="AD133" i="204"/>
  <c r="AK133" i="204" s="1"/>
  <c r="AE135" i="204"/>
  <c r="AH137" i="204"/>
  <c r="AA138" i="204"/>
  <c r="AI139" i="204"/>
  <c r="AJ141" i="204"/>
  <c r="AJ153" i="204" s="1"/>
  <c r="AA143" i="204"/>
  <c r="AI144" i="204"/>
  <c r="Z146" i="204"/>
  <c r="AF149" i="204"/>
  <c r="Y150" i="204"/>
  <c r="AI152" i="204"/>
  <c r="AI157" i="204"/>
  <c r="AI172" i="204" s="1"/>
  <c r="AI160" i="204"/>
  <c r="AE166" i="204"/>
  <c r="AE172" i="204" s="1"/>
  <c r="Z167" i="204"/>
  <c r="AJ174" i="204"/>
  <c r="AJ183" i="204" s="1"/>
  <c r="Y174" i="204"/>
  <c r="AG174" i="204"/>
  <c r="AG183" i="204" s="1"/>
  <c r="AA175" i="204"/>
  <c r="AA183" i="204" s="1"/>
  <c r="AH177" i="204"/>
  <c r="AK177" i="204" s="1"/>
  <c r="AD180" i="204"/>
  <c r="AF182" i="204"/>
  <c r="AE188" i="204"/>
  <c r="C190" i="204"/>
  <c r="AI190" i="204"/>
  <c r="AB191" i="204"/>
  <c r="AD193" i="204"/>
  <c r="AD199" i="204" s="1"/>
  <c r="Y194" i="204"/>
  <c r="B198" i="204"/>
  <c r="AA203" i="204"/>
  <c r="AK203" i="204" s="1"/>
  <c r="AI203" i="204"/>
  <c r="AG203" i="204"/>
  <c r="AB204" i="204"/>
  <c r="AG9" i="218"/>
  <c r="AI9" i="218"/>
  <c r="AD9" i="218"/>
  <c r="AK9" i="218" s="1"/>
  <c r="Z10" i="218"/>
  <c r="AK10" i="218" s="1"/>
  <c r="AC10" i="218"/>
  <c r="AG10" i="218"/>
  <c r="AD15" i="218"/>
  <c r="AD19" i="218" s="1"/>
  <c r="AA16" i="218"/>
  <c r="AA19" i="218" s="1"/>
  <c r="AB24" i="218"/>
  <c r="AF28" i="218"/>
  <c r="Y29" i="218"/>
  <c r="B31" i="218"/>
  <c r="AC33" i="218"/>
  <c r="AC42" i="218" s="1"/>
  <c r="AA34" i="218"/>
  <c r="AB35" i="218"/>
  <c r="AB40" i="218"/>
  <c r="AB46" i="218"/>
  <c r="Y47" i="218"/>
  <c r="AI49" i="218"/>
  <c r="AD50" i="218"/>
  <c r="AG51" i="218"/>
  <c r="AC54" i="218"/>
  <c r="AG56" i="218"/>
  <c r="AF58" i="218"/>
  <c r="AF61" i="218"/>
  <c r="AD61" i="218"/>
  <c r="AC61" i="218"/>
  <c r="Y61" i="218"/>
  <c r="AJ61" i="218"/>
  <c r="AE61" i="218"/>
  <c r="Z61" i="218"/>
  <c r="Y63" i="218"/>
  <c r="V71" i="218"/>
  <c r="Q72" i="218"/>
  <c r="C74" i="218"/>
  <c r="AJ74" i="218"/>
  <c r="Y77" i="218"/>
  <c r="AI84" i="218"/>
  <c r="AG88" i="218"/>
  <c r="B91" i="218"/>
  <c r="AG92" i="218"/>
  <c r="AG153" i="218" s="1"/>
  <c r="AD97" i="218"/>
  <c r="AE118" i="218"/>
  <c r="AE132" i="218"/>
  <c r="AG133" i="218"/>
  <c r="AD124" i="204"/>
  <c r="AK124" i="204" s="1"/>
  <c r="AH126" i="204"/>
  <c r="AJ150" i="204"/>
  <c r="AD156" i="204"/>
  <c r="AD172" i="204" s="1"/>
  <c r="AF156" i="204"/>
  <c r="AF172" i="204" s="1"/>
  <c r="AJ156" i="204"/>
  <c r="AJ172" i="204" s="1"/>
  <c r="AG32" i="204"/>
  <c r="AI59" i="204"/>
  <c r="AF88" i="204"/>
  <c r="AA120" i="204"/>
  <c r="Y143" i="204"/>
  <c r="AK143" i="204" s="1"/>
  <c r="AF144" i="204"/>
  <c r="AG157" i="204"/>
  <c r="AG172" i="204" s="1"/>
  <c r="C162" i="204"/>
  <c r="AF41" i="204"/>
  <c r="AK41" i="204" s="1"/>
  <c r="AG48" i="204"/>
  <c r="AH50" i="204"/>
  <c r="AJ63" i="204"/>
  <c r="AE78" i="204"/>
  <c r="AK78" i="204" s="1"/>
  <c r="AI81" i="204"/>
  <c r="AK81" i="204" s="1"/>
  <c r="AI84" i="204"/>
  <c r="AK84" i="204" s="1"/>
  <c r="AG88" i="204"/>
  <c r="AB120" i="204"/>
  <c r="Z138" i="204"/>
  <c r="AH139" i="204"/>
  <c r="AH160" i="204"/>
  <c r="AF25" i="204"/>
  <c r="AK25" i="204" s="1"/>
  <c r="AG27" i="204"/>
  <c r="AI29" i="204"/>
  <c r="AI32" i="204"/>
  <c r="AE39" i="204"/>
  <c r="AK39" i="204" s="1"/>
  <c r="AG41" i="204"/>
  <c r="AJ45" i="204"/>
  <c r="AK45" i="204" s="1"/>
  <c r="AH48" i="204"/>
  <c r="AI50" i="204"/>
  <c r="AJ69" i="204"/>
  <c r="AF78" i="204"/>
  <c r="AJ81" i="204"/>
  <c r="B84" i="204"/>
  <c r="AJ84" i="204"/>
  <c r="AH88" i="204"/>
  <c r="D13" i="198"/>
  <c r="BA13" i="198"/>
  <c r="I15" i="198"/>
  <c r="AV15" i="198"/>
  <c r="AL23" i="198"/>
  <c r="C23" i="198"/>
  <c r="AM23" i="198"/>
  <c r="B34" i="198"/>
  <c r="B87" i="198"/>
  <c r="M156" i="198"/>
  <c r="AW156" i="198"/>
  <c r="H175" i="198"/>
  <c r="AR175" i="198"/>
  <c r="M186" i="198"/>
  <c r="AW186" i="198"/>
  <c r="D202" i="198"/>
  <c r="AQ202" i="198"/>
  <c r="I204" i="198"/>
  <c r="AV204" i="198"/>
  <c r="I208" i="198"/>
  <c r="J208" i="198" s="1"/>
  <c r="AV208" i="198"/>
  <c r="C25" i="228"/>
  <c r="C25" i="229"/>
  <c r="C25" i="225"/>
  <c r="C25" i="227"/>
  <c r="C25" i="226"/>
  <c r="C25" i="223"/>
  <c r="C25" i="222"/>
  <c r="C25" i="220"/>
  <c r="C25" i="221"/>
  <c r="C25" i="219"/>
  <c r="C32" i="228"/>
  <c r="C32" i="225"/>
  <c r="C32" i="229"/>
  <c r="C32" i="227"/>
  <c r="C32" i="226"/>
  <c r="C32" i="223"/>
  <c r="C32" i="222"/>
  <c r="C32" i="221"/>
  <c r="C32" i="220"/>
  <c r="C32" i="219"/>
  <c r="C39" i="227"/>
  <c r="C39" i="229"/>
  <c r="C39" i="223"/>
  <c r="C39" i="225"/>
  <c r="C39" i="228"/>
  <c r="C39" i="226"/>
  <c r="C39" i="222"/>
  <c r="C39" i="221"/>
  <c r="C39" i="220"/>
  <c r="C39" i="219"/>
  <c r="B54" i="226"/>
  <c r="B54" i="227"/>
  <c r="B54" i="223"/>
  <c r="B54" i="229"/>
  <c r="B54" i="225"/>
  <c r="B54" i="228"/>
  <c r="B54" i="222"/>
  <c r="B54" i="221"/>
  <c r="B54" i="220"/>
  <c r="B54" i="219"/>
  <c r="B54" i="218"/>
  <c r="B61" i="229"/>
  <c r="B61" i="227"/>
  <c r="B61" i="226"/>
  <c r="B61" i="223"/>
  <c r="B61" i="225"/>
  <c r="B61" i="222"/>
  <c r="B61" i="228"/>
  <c r="B61" i="220"/>
  <c r="B61" i="221"/>
  <c r="B61" i="219"/>
  <c r="B68" i="225"/>
  <c r="B68" i="229"/>
  <c r="B68" i="228"/>
  <c r="B68" i="223"/>
  <c r="B68" i="227"/>
  <c r="B68" i="226"/>
  <c r="B68" i="222"/>
  <c r="B68" i="221"/>
  <c r="B68" i="220"/>
  <c r="B68" i="219"/>
  <c r="B68" i="218"/>
  <c r="B75" i="225"/>
  <c r="B75" i="228"/>
  <c r="B75" i="227"/>
  <c r="B75" i="226"/>
  <c r="B75" i="229"/>
  <c r="B75" i="223"/>
  <c r="B75" i="222"/>
  <c r="B75" i="220"/>
  <c r="B75" i="221"/>
  <c r="B75" i="219"/>
  <c r="C79" i="227"/>
  <c r="C79" i="225"/>
  <c r="C79" i="229"/>
  <c r="C79" i="223"/>
  <c r="C79" i="228"/>
  <c r="C79" i="226"/>
  <c r="C79" i="222"/>
  <c r="C79" i="221"/>
  <c r="C79" i="220"/>
  <c r="C79" i="219"/>
  <c r="C79" i="218"/>
  <c r="C86" i="228"/>
  <c r="C86" i="229"/>
  <c r="C86" i="226"/>
  <c r="C86" i="223"/>
  <c r="C86" i="227"/>
  <c r="C86" i="225"/>
  <c r="C86" i="222"/>
  <c r="C86" i="221"/>
  <c r="C86" i="220"/>
  <c r="C86" i="204"/>
  <c r="C86" i="219"/>
  <c r="A94" i="228"/>
  <c r="A94" i="226"/>
  <c r="A94" i="223"/>
  <c r="A94" i="227"/>
  <c r="A94" i="225"/>
  <c r="A94" i="229"/>
  <c r="A94" i="222"/>
  <c r="A94" i="221"/>
  <c r="A96" i="227"/>
  <c r="A96" i="225"/>
  <c r="A96" i="229"/>
  <c r="A96" i="228"/>
  <c r="A96" i="226"/>
  <c r="A96" i="223"/>
  <c r="A96" i="222"/>
  <c r="A96" i="221"/>
  <c r="A96" i="220"/>
  <c r="A96" i="219"/>
  <c r="A121" i="229"/>
  <c r="A121" i="227"/>
  <c r="A121" i="228"/>
  <c r="A121" i="223"/>
  <c r="A121" i="225"/>
  <c r="A121" i="226"/>
  <c r="A121" i="222"/>
  <c r="A121" i="221"/>
  <c r="A121" i="219"/>
  <c r="A121" i="220"/>
  <c r="A121" i="218"/>
  <c r="C126" i="226"/>
  <c r="C126" i="228"/>
  <c r="C126" i="229"/>
  <c r="C126" i="225"/>
  <c r="C126" i="223"/>
  <c r="C126" i="227"/>
  <c r="C126" i="222"/>
  <c r="C126" i="221"/>
  <c r="C126" i="220"/>
  <c r="C126" i="219"/>
  <c r="C126" i="218"/>
  <c r="B134" i="229"/>
  <c r="B134" i="228"/>
  <c r="B134" i="225"/>
  <c r="B134" i="227"/>
  <c r="B134" i="226"/>
  <c r="B134" i="222"/>
  <c r="B134" i="223"/>
  <c r="B134" i="221"/>
  <c r="B134" i="220"/>
  <c r="B134" i="219"/>
  <c r="B134" i="218"/>
  <c r="C141" i="229"/>
  <c r="C141" i="227"/>
  <c r="C141" i="223"/>
  <c r="C141" i="226"/>
  <c r="C141" i="225"/>
  <c r="C141" i="228"/>
  <c r="C141" i="222"/>
  <c r="C141" i="221"/>
  <c r="C141" i="220"/>
  <c r="C141" i="219"/>
  <c r="C141" i="218"/>
  <c r="C148" i="229"/>
  <c r="C148" i="227"/>
  <c r="C148" i="223"/>
  <c r="C148" i="228"/>
  <c r="C148" i="226"/>
  <c r="C148" i="225"/>
  <c r="C148" i="222"/>
  <c r="C148" i="221"/>
  <c r="C148" i="220"/>
  <c r="C148" i="218"/>
  <c r="C148" i="219"/>
  <c r="C148" i="204"/>
  <c r="B158" i="227"/>
  <c r="B158" i="229"/>
  <c r="B158" i="228"/>
  <c r="B158" i="225"/>
  <c r="B158" i="226"/>
  <c r="B158" i="222"/>
  <c r="B158" i="223"/>
  <c r="B158" i="221"/>
  <c r="B158" i="220"/>
  <c r="B158" i="218"/>
  <c r="B158" i="219"/>
  <c r="B165" i="226"/>
  <c r="B165" i="228"/>
  <c r="B165" i="229"/>
  <c r="B165" i="225"/>
  <c r="B165" i="223"/>
  <c r="B165" i="227"/>
  <c r="B165" i="222"/>
  <c r="B165" i="221"/>
  <c r="B165" i="220"/>
  <c r="B165" i="219"/>
  <c r="B165" i="218"/>
  <c r="C174" i="226"/>
  <c r="C174" i="223"/>
  <c r="C174" i="225"/>
  <c r="C174" i="228"/>
  <c r="C174" i="227"/>
  <c r="C174" i="229"/>
  <c r="C174" i="222"/>
  <c r="C174" i="220"/>
  <c r="C174" i="221"/>
  <c r="C174" i="219"/>
  <c r="C174" i="218"/>
  <c r="C181" i="226"/>
  <c r="C181" i="229"/>
  <c r="C181" i="228"/>
  <c r="C181" i="225"/>
  <c r="C181" i="227"/>
  <c r="C181" i="223"/>
  <c r="C181" i="222"/>
  <c r="C181" i="221"/>
  <c r="C181" i="220"/>
  <c r="C181" i="219"/>
  <c r="C181" i="218"/>
  <c r="C192" i="228"/>
  <c r="C192" i="226"/>
  <c r="C192" i="225"/>
  <c r="C192" i="227"/>
  <c r="C192" i="229"/>
  <c r="C192" i="223"/>
  <c r="C192" i="222"/>
  <c r="C192" i="221"/>
  <c r="C192" i="219"/>
  <c r="C192" i="220"/>
  <c r="C192" i="218"/>
  <c r="C203" i="228"/>
  <c r="C203" i="226"/>
  <c r="C203" i="227"/>
  <c r="C203" i="225"/>
  <c r="C203" i="223"/>
  <c r="C203" i="222"/>
  <c r="C203" i="229"/>
  <c r="C203" i="221"/>
  <c r="C203" i="220"/>
  <c r="C203" i="219"/>
  <c r="C203" i="218"/>
  <c r="B25" i="204"/>
  <c r="AG25" i="204"/>
  <c r="AH27" i="204"/>
  <c r="AJ29" i="204"/>
  <c r="F32" i="204"/>
  <c r="AJ32" i="204"/>
  <c r="B39" i="204"/>
  <c r="AF39" i="204"/>
  <c r="AH41" i="204"/>
  <c r="AI55" i="204"/>
  <c r="AK55" i="204" s="1"/>
  <c r="AF64" i="204"/>
  <c r="AK64" i="204" s="1"/>
  <c r="B66" i="204"/>
  <c r="AH78" i="204"/>
  <c r="Y80" i="204"/>
  <c r="AK80" i="204" s="1"/>
  <c r="C84" i="204"/>
  <c r="Y91" i="204"/>
  <c r="AK91" i="204" s="1"/>
  <c r="AI93" i="204"/>
  <c r="AK93" i="204" s="1"/>
  <c r="AJ97" i="204"/>
  <c r="C105" i="204"/>
  <c r="AH112" i="204"/>
  <c r="AG117" i="204"/>
  <c r="AD120" i="204"/>
  <c r="AI124" i="204"/>
  <c r="B133" i="204"/>
  <c r="AI137" i="204"/>
  <c r="AB138" i="204"/>
  <c r="AC143" i="204"/>
  <c r="AJ144" i="204"/>
  <c r="AA146" i="204"/>
  <c r="Z147" i="204"/>
  <c r="AG149" i="204"/>
  <c r="AA150" i="204"/>
  <c r="Y151" i="204"/>
  <c r="AJ152" i="204"/>
  <c r="Y156" i="204"/>
  <c r="AJ157" i="204"/>
  <c r="AJ160" i="204"/>
  <c r="AF163" i="204"/>
  <c r="AK163" i="204" s="1"/>
  <c r="B165" i="204"/>
  <c r="AF166" i="204"/>
  <c r="AB167" i="204"/>
  <c r="Z169" i="204"/>
  <c r="Y169" i="204"/>
  <c r="AF169" i="204"/>
  <c r="C174" i="204"/>
  <c r="AH174" i="204"/>
  <c r="AH183" i="204" s="1"/>
  <c r="AB175" i="204"/>
  <c r="AB183" i="204" s="1"/>
  <c r="AI177" i="204"/>
  <c r="AE180" i="204"/>
  <c r="AH182" i="204"/>
  <c r="AJ187" i="204"/>
  <c r="AJ199" i="204" s="1"/>
  <c r="AF187" i="204"/>
  <c r="AF199" i="204" s="1"/>
  <c r="AI187" i="204"/>
  <c r="AI199" i="204" s="1"/>
  <c r="AF188" i="204"/>
  <c r="Y189" i="204"/>
  <c r="AK189" i="204" s="1"/>
  <c r="AJ190" i="204"/>
  <c r="AE193" i="204"/>
  <c r="AE199" i="204" s="1"/>
  <c r="Z194" i="204"/>
  <c r="Z199" i="204" s="1"/>
  <c r="Y197" i="204"/>
  <c r="AK197" i="204" s="1"/>
  <c r="C198" i="204"/>
  <c r="C203" i="204"/>
  <c r="AH203" i="204"/>
  <c r="AD204" i="204"/>
  <c r="Y205" i="204"/>
  <c r="AK205" i="204" s="1"/>
  <c r="AH10" i="218"/>
  <c r="Y11" i="218"/>
  <c r="AK11" i="218" s="1"/>
  <c r="AE15" i="218"/>
  <c r="AE19" i="218" s="1"/>
  <c r="AB16" i="218"/>
  <c r="AA23" i="218"/>
  <c r="AA42" i="218" s="1"/>
  <c r="AC24" i="218"/>
  <c r="AG28" i="218"/>
  <c r="Z29" i="218"/>
  <c r="C31" i="218"/>
  <c r="AD33" i="218"/>
  <c r="AD42" i="218" s="1"/>
  <c r="AB34" i="218"/>
  <c r="AD35" i="218"/>
  <c r="B39" i="218"/>
  <c r="AC40" i="218"/>
  <c r="Y45" i="218"/>
  <c r="AK45" i="218" s="1"/>
  <c r="AC46" i="218"/>
  <c r="AA47" i="218"/>
  <c r="AJ49" i="218"/>
  <c r="AE50" i="218"/>
  <c r="AH51" i="218"/>
  <c r="AD54" i="218"/>
  <c r="AI56" i="218"/>
  <c r="AG58" i="218"/>
  <c r="B61" i="218"/>
  <c r="Y62" i="218"/>
  <c r="Y153" i="218" s="1"/>
  <c r="Z63" i="218"/>
  <c r="Y68" i="218"/>
  <c r="AA70" i="218"/>
  <c r="Z71" i="218"/>
  <c r="R72" i="218"/>
  <c r="L73" i="218"/>
  <c r="AA77" i="218"/>
  <c r="AB83" i="218"/>
  <c r="AJ84" i="218"/>
  <c r="AF86" i="218"/>
  <c r="AG86" i="218"/>
  <c r="AE86" i="218"/>
  <c r="AA86" i="218"/>
  <c r="AH86" i="218"/>
  <c r="AD86" i="218"/>
  <c r="AC86" i="218"/>
  <c r="Z86" i="218"/>
  <c r="AK86" i="218" s="1"/>
  <c r="AH88" i="218"/>
  <c r="AH92" i="218"/>
  <c r="AF97" i="218"/>
  <c r="AA117" i="218"/>
  <c r="AF118" i="218"/>
  <c r="AH132" i="218"/>
  <c r="AH133" i="218"/>
  <c r="AK140" i="218"/>
  <c r="AJ151" i="218"/>
  <c r="AF151" i="218"/>
  <c r="AD168" i="218"/>
  <c r="AA169" i="218"/>
  <c r="Z174" i="218"/>
  <c r="AH174" i="218"/>
  <c r="AH183" i="218" s="1"/>
  <c r="AE174" i="218"/>
  <c r="AD174" i="218"/>
  <c r="Y174" i="218"/>
  <c r="AJ174" i="218"/>
  <c r="AG175" i="218"/>
  <c r="AF176" i="218"/>
  <c r="Z179" i="218"/>
  <c r="AG189" i="218"/>
  <c r="AC17" i="219"/>
  <c r="AA17" i="219"/>
  <c r="Z17" i="219"/>
  <c r="Y17" i="219"/>
  <c r="AJ17" i="219"/>
  <c r="AI17" i="219"/>
  <c r="AH44" i="219"/>
  <c r="Y149" i="218"/>
  <c r="Z158" i="218"/>
  <c r="AF168" i="218"/>
  <c r="AB169" i="218"/>
  <c r="AA179" i="218"/>
  <c r="AG168" i="218"/>
  <c r="AC169" i="218"/>
  <c r="AH175" i="218"/>
  <c r="AB175" i="218"/>
  <c r="Z175" i="218"/>
  <c r="Y175" i="218"/>
  <c r="AJ175" i="218"/>
  <c r="AA176" i="218"/>
  <c r="AI176" i="218"/>
  <c r="AJ176" i="218"/>
  <c r="AE176" i="218"/>
  <c r="AD176" i="218"/>
  <c r="AH176" i="218"/>
  <c r="AE179" i="218"/>
  <c r="AF189" i="218"/>
  <c r="AB189" i="218"/>
  <c r="AA189" i="218"/>
  <c r="Z189" i="218"/>
  <c r="AI189" i="218"/>
  <c r="AF32" i="219"/>
  <c r="Z32" i="219"/>
  <c r="AD32" i="219"/>
  <c r="AC32" i="219"/>
  <c r="AB32" i="219"/>
  <c r="AA32" i="219"/>
  <c r="Y32" i="219"/>
  <c r="AE32" i="219"/>
  <c r="AF46" i="219"/>
  <c r="AG54" i="219"/>
  <c r="AB149" i="218"/>
  <c r="AB158" i="218"/>
  <c r="AA164" i="218"/>
  <c r="AH168" i="218"/>
  <c r="AG169" i="218"/>
  <c r="AI177" i="218"/>
  <c r="AC177" i="218"/>
  <c r="AF177" i="218"/>
  <c r="AE177" i="218"/>
  <c r="Z177" i="218"/>
  <c r="Y177" i="218"/>
  <c r="AB178" i="218"/>
  <c r="AJ178" i="218"/>
  <c r="Z178" i="218"/>
  <c r="Y178" i="218"/>
  <c r="AI178" i="218"/>
  <c r="AH178" i="218"/>
  <c r="AJ189" i="218"/>
  <c r="AG9" i="219"/>
  <c r="AA9" i="219"/>
  <c r="AA12" i="219" s="1"/>
  <c r="AH9" i="219"/>
  <c r="AF9" i="219"/>
  <c r="AF12" i="219" s="1"/>
  <c r="AE9" i="219"/>
  <c r="AC9" i="219"/>
  <c r="AB9" i="219"/>
  <c r="Z9" i="219"/>
  <c r="Z12" i="219" s="1"/>
  <c r="Z19" i="219"/>
  <c r="AK16" i="219"/>
  <c r="AD33" i="219"/>
  <c r="AB53" i="219"/>
  <c r="AJ53" i="219"/>
  <c r="AD53" i="219"/>
  <c r="AF53" i="219"/>
  <c r="AE53" i="219"/>
  <c r="AC53" i="219"/>
  <c r="AA53" i="219"/>
  <c r="Z53" i="219"/>
  <c r="Y53" i="219"/>
  <c r="AK53" i="219" s="1"/>
  <c r="AG53" i="219"/>
  <c r="AH54" i="219"/>
  <c r="AH179" i="218"/>
  <c r="AB179" i="218"/>
  <c r="AJ179" i="218"/>
  <c r="AI179" i="218"/>
  <c r="AD179" i="218"/>
  <c r="AC179" i="218"/>
  <c r="AG179" i="218"/>
  <c r="AE33" i="219"/>
  <c r="AE42" i="219" s="1"/>
  <c r="Z36" i="219"/>
  <c r="AH36" i="219"/>
  <c r="AG36" i="219"/>
  <c r="AF36" i="219"/>
  <c r="AE36" i="219"/>
  <c r="AD36" i="219"/>
  <c r="AC36" i="219"/>
  <c r="AB36" i="219"/>
  <c r="AA36" i="219"/>
  <c r="AI36" i="219"/>
  <c r="AI54" i="219"/>
  <c r="AE168" i="218"/>
  <c r="Y168" i="218"/>
  <c r="AA168" i="218"/>
  <c r="Z168" i="218"/>
  <c r="AJ168" i="218"/>
  <c r="AF169" i="218"/>
  <c r="AJ169" i="218"/>
  <c r="AE169" i="218"/>
  <c r="AD169" i="218"/>
  <c r="AI169" i="218"/>
  <c r="AF14" i="219"/>
  <c r="AC15" i="219"/>
  <c r="AA27" i="219"/>
  <c r="AI27" i="219"/>
  <c r="AB27" i="219"/>
  <c r="Z27" i="219"/>
  <c r="Y27" i="219"/>
  <c r="AJ27" i="219"/>
  <c r="AF33" i="219"/>
  <c r="AE37" i="219"/>
  <c r="AD101" i="218"/>
  <c r="AA101" i="218"/>
  <c r="Z101" i="218"/>
  <c r="AK101" i="218" s="1"/>
  <c r="AE105" i="218"/>
  <c r="AG126" i="218"/>
  <c r="AF126" i="218"/>
  <c r="AC136" i="218"/>
  <c r="AD137" i="218"/>
  <c r="Z141" i="218"/>
  <c r="AH148" i="218"/>
  <c r="AH149" i="218"/>
  <c r="AC150" i="218"/>
  <c r="AB151" i="218"/>
  <c r="Y157" i="218"/>
  <c r="Y172" i="218" s="1"/>
  <c r="AE157" i="218"/>
  <c r="AE172" i="218" s="1"/>
  <c r="AD157" i="218"/>
  <c r="Z157" i="218"/>
  <c r="AJ157" i="218"/>
  <c r="AE158" i="218"/>
  <c r="AE159" i="218"/>
  <c r="AC160" i="218"/>
  <c r="AG164" i="218"/>
  <c r="AH165" i="218"/>
  <c r="AH172" i="218" s="1"/>
  <c r="AA180" i="218"/>
  <c r="AI180" i="218"/>
  <c r="AD180" i="218"/>
  <c r="AC180" i="218"/>
  <c r="AH180" i="218"/>
  <c r="AK180" i="218" s="1"/>
  <c r="AE182" i="218"/>
  <c r="AI191" i="218"/>
  <c r="AG14" i="219"/>
  <c r="AE15" i="219"/>
  <c r="AE19" i="219" s="1"/>
  <c r="AA42" i="219"/>
  <c r="AG33" i="219"/>
  <c r="AG42" i="219" s="1"/>
  <c r="AD150" i="218"/>
  <c r="AC151" i="218"/>
  <c r="AK151" i="218" s="1"/>
  <c r="AF159" i="218"/>
  <c r="AD160" i="218"/>
  <c r="AI163" i="218"/>
  <c r="AC163" i="218"/>
  <c r="AJ163" i="218"/>
  <c r="AE163" i="218"/>
  <c r="AK163" i="218" s="1"/>
  <c r="AD163" i="218"/>
  <c r="AH163" i="218"/>
  <c r="AD199" i="218"/>
  <c r="AB10" i="219"/>
  <c r="AH14" i="219"/>
  <c r="AH19" i="219" s="1"/>
  <c r="AF15" i="219"/>
  <c r="AH30" i="219"/>
  <c r="AB30" i="219"/>
  <c r="Z30" i="219"/>
  <c r="Y30" i="219"/>
  <c r="AJ30" i="219"/>
  <c r="AG30" i="219"/>
  <c r="AA30" i="219"/>
  <c r="AG149" i="218"/>
  <c r="AE149" i="218"/>
  <c r="AD149" i="218"/>
  <c r="Z149" i="218"/>
  <c r="AJ149" i="218"/>
  <c r="AF158" i="218"/>
  <c r="Y158" i="218"/>
  <c r="AI158" i="218"/>
  <c r="AH158" i="218"/>
  <c r="AJ158" i="218"/>
  <c r="AB164" i="218"/>
  <c r="AJ164" i="218"/>
  <c r="AE164" i="218"/>
  <c r="AD164" i="218"/>
  <c r="Y164" i="218"/>
  <c r="AI164" i="218"/>
  <c r="AA174" i="218"/>
  <c r="AA183" i="218" s="1"/>
  <c r="AK194" i="218"/>
  <c r="Y9" i="219"/>
  <c r="AC10" i="219"/>
  <c r="AB17" i="219"/>
  <c r="AD42" i="219"/>
  <c r="AI49" i="219"/>
  <c r="Y49" i="219"/>
  <c r="AG49" i="219"/>
  <c r="AD49" i="219"/>
  <c r="AC49" i="219"/>
  <c r="AB49" i="219"/>
  <c r="AA49" i="219"/>
  <c r="Z49" i="219"/>
  <c r="AE49" i="219"/>
  <c r="Z26" i="218"/>
  <c r="AK26" i="218" s="1"/>
  <c r="AB26" i="218"/>
  <c r="AH26" i="218"/>
  <c r="Z41" i="218"/>
  <c r="AK41" i="218" s="1"/>
  <c r="AE41" i="218"/>
  <c r="AA41" i="218"/>
  <c r="AH41" i="218"/>
  <c r="Z52" i="218"/>
  <c r="AK52" i="218" s="1"/>
  <c r="AB52" i="218"/>
  <c r="AJ52" i="218"/>
  <c r="AJ79" i="218"/>
  <c r="AB79" i="218"/>
  <c r="AA79" i="218"/>
  <c r="AK79" i="218" s="1"/>
  <c r="AF79" i="218"/>
  <c r="AH105" i="218"/>
  <c r="AG137" i="218"/>
  <c r="AE141" i="218"/>
  <c r="AK142" i="218"/>
  <c r="AE151" i="218"/>
  <c r="Z171" i="218"/>
  <c r="AH171" i="218"/>
  <c r="AA171" i="218"/>
  <c r="Y171" i="218"/>
  <c r="AJ171" i="218"/>
  <c r="AG171" i="218"/>
  <c r="AB174" i="218"/>
  <c r="AA175" i="218"/>
  <c r="AH181" i="218"/>
  <c r="AB181" i="218"/>
  <c r="AI181" i="218"/>
  <c r="AG181" i="218"/>
  <c r="AK181" i="218" s="1"/>
  <c r="AF191" i="218"/>
  <c r="AE191" i="218"/>
  <c r="AD191" i="218"/>
  <c r="AC191" i="218"/>
  <c r="Z191" i="218"/>
  <c r="Y191" i="218"/>
  <c r="AK191" i="218" s="1"/>
  <c r="AE8" i="219"/>
  <c r="AE12" i="219" s="1"/>
  <c r="AI8" i="219"/>
  <c r="AI12" i="219" s="1"/>
  <c r="AH8" i="219"/>
  <c r="AG8" i="219"/>
  <c r="AD8" i="219"/>
  <c r="AC8" i="219"/>
  <c r="AB8" i="219"/>
  <c r="AD9" i="219"/>
  <c r="AD10" i="219"/>
  <c r="AD17" i="219"/>
  <c r="AH26" i="219"/>
  <c r="AB26" i="219"/>
  <c r="AG26" i="219"/>
  <c r="AF26" i="219"/>
  <c r="AE26" i="219"/>
  <c r="AD26" i="219"/>
  <c r="AC26" i="219"/>
  <c r="AA26" i="219"/>
  <c r="Z26" i="219"/>
  <c r="AK26" i="219" s="1"/>
  <c r="AG32" i="219"/>
  <c r="Y36" i="219"/>
  <c r="Z148" i="218"/>
  <c r="AJ148" i="218"/>
  <c r="AF148" i="218"/>
  <c r="Z150" i="218"/>
  <c r="Y150" i="218"/>
  <c r="AI150" i="218"/>
  <c r="AG150" i="218"/>
  <c r="AG151" i="218"/>
  <c r="Y159" i="218"/>
  <c r="AH159" i="218"/>
  <c r="AG159" i="218"/>
  <c r="AC159" i="218"/>
  <c r="AB159" i="218"/>
  <c r="AB162" i="218"/>
  <c r="AJ162" i="218"/>
  <c r="Z162" i="218"/>
  <c r="Y162" i="218"/>
  <c r="AI162" i="218"/>
  <c r="AF165" i="218"/>
  <c r="AF172" i="218" s="1"/>
  <c r="AB165" i="218"/>
  <c r="AB172" i="218" s="1"/>
  <c r="AA165" i="218"/>
  <c r="AA172" i="218" s="1"/>
  <c r="AC174" i="218"/>
  <c r="AC175" i="218"/>
  <c r="Y176" i="218"/>
  <c r="AA177" i="218"/>
  <c r="AA182" i="218"/>
  <c r="AK182" i="218" s="1"/>
  <c r="AI182" i="218"/>
  <c r="AH182" i="218"/>
  <c r="AG182" i="218"/>
  <c r="AC182" i="218"/>
  <c r="AB182" i="218"/>
  <c r="Y189" i="218"/>
  <c r="AK189" i="218" s="1"/>
  <c r="AI9" i="219"/>
  <c r="AE10" i="219"/>
  <c r="AJ14" i="219"/>
  <c r="AD14" i="219"/>
  <c r="AC14" i="219"/>
  <c r="AC19" i="219" s="1"/>
  <c r="AB14" i="219"/>
  <c r="AA14" i="219"/>
  <c r="AA19" i="219" s="1"/>
  <c r="Y14" i="219"/>
  <c r="AD15" i="219"/>
  <c r="Y15" i="219"/>
  <c r="AJ15" i="219"/>
  <c r="AI15" i="219"/>
  <c r="AI19" i="219" s="1"/>
  <c r="AH15" i="219"/>
  <c r="AE17" i="219"/>
  <c r="AF42" i="219"/>
  <c r="AI44" i="219"/>
  <c r="AC44" i="219"/>
  <c r="AE44" i="219"/>
  <c r="AD44" i="219"/>
  <c r="AB44" i="219"/>
  <c r="AA44" i="219"/>
  <c r="Z44" i="219"/>
  <c r="Y44" i="219"/>
  <c r="AF44" i="219"/>
  <c r="AH113" i="218"/>
  <c r="Z113" i="218"/>
  <c r="Y113" i="218"/>
  <c r="AJ113" i="218"/>
  <c r="AH150" i="218"/>
  <c r="AH151" i="218"/>
  <c r="AF160" i="218"/>
  <c r="AB160" i="218"/>
  <c r="AA160" i="218"/>
  <c r="AK160" i="218" s="1"/>
  <c r="AI160" i="218"/>
  <c r="AF174" i="218"/>
  <c r="AF183" i="218" s="1"/>
  <c r="AD175" i="218"/>
  <c r="Z176" i="218"/>
  <c r="AB177" i="218"/>
  <c r="AA178" i="218"/>
  <c r="AC189" i="218"/>
  <c r="AK195" i="218"/>
  <c r="AA199" i="218"/>
  <c r="AJ9" i="219"/>
  <c r="AJ12" i="219" s="1"/>
  <c r="AF10" i="219"/>
  <c r="AF17" i="219"/>
  <c r="AC105" i="218"/>
  <c r="AB105" i="218"/>
  <c r="AA105" i="218"/>
  <c r="AK105" i="218" s="1"/>
  <c r="Y137" i="218"/>
  <c r="AB137" i="218"/>
  <c r="AA137" i="218"/>
  <c r="AJ137" i="218"/>
  <c r="AD141" i="218"/>
  <c r="AD153" i="218" s="1"/>
  <c r="AC141" i="218"/>
  <c r="Y141" i="218"/>
  <c r="AH141" i="218"/>
  <c r="AJ150" i="218"/>
  <c r="AI151" i="218"/>
  <c r="AB168" i="218"/>
  <c r="Y169" i="218"/>
  <c r="AK169" i="218" s="1"/>
  <c r="AG174" i="218"/>
  <c r="AE175" i="218"/>
  <c r="AB176" i="218"/>
  <c r="AD177" i="218"/>
  <c r="AC178" i="218"/>
  <c r="AD189" i="218"/>
  <c r="AK8" i="219"/>
  <c r="Y12" i="219"/>
  <c r="AG17" i="219"/>
  <c r="AJ32" i="219"/>
  <c r="AG37" i="219"/>
  <c r="AA37" i="219"/>
  <c r="AC37" i="219"/>
  <c r="AB37" i="219"/>
  <c r="Z37" i="219"/>
  <c r="Y37" i="219"/>
  <c r="AJ37" i="219"/>
  <c r="AD37" i="219"/>
  <c r="AB46" i="219"/>
  <c r="AJ46" i="219"/>
  <c r="AC46" i="219"/>
  <c r="AA46" i="219"/>
  <c r="Z46" i="219"/>
  <c r="Y46" i="219"/>
  <c r="AI46" i="219"/>
  <c r="AD46" i="219"/>
  <c r="AA39" i="218"/>
  <c r="AD39" i="218"/>
  <c r="Y39" i="218"/>
  <c r="AG39" i="218"/>
  <c r="AA67" i="218"/>
  <c r="Z67" i="218"/>
  <c r="AK67" i="218" s="1"/>
  <c r="AJ67" i="218"/>
  <c r="AC101" i="218"/>
  <c r="AB126" i="218"/>
  <c r="AK126" i="218" s="1"/>
  <c r="AI130" i="218"/>
  <c r="AC130" i="218"/>
  <c r="AB130" i="218"/>
  <c r="AK130" i="218" s="1"/>
  <c r="AG130" i="218"/>
  <c r="AD136" i="218"/>
  <c r="AF136" i="218"/>
  <c r="AE136" i="218"/>
  <c r="Z136" i="218"/>
  <c r="AK136" i="218" s="1"/>
  <c r="AE138" i="218"/>
  <c r="AJ138" i="218"/>
  <c r="AI138" i="218"/>
  <c r="AD138" i="218"/>
  <c r="AK138" i="218" s="1"/>
  <c r="AG138" i="218"/>
  <c r="AI141" i="218"/>
  <c r="Y148" i="218"/>
  <c r="AC168" i="218"/>
  <c r="Z169" i="218"/>
  <c r="AI174" i="218"/>
  <c r="AI183" i="218" s="1"/>
  <c r="AF175" i="218"/>
  <c r="AC176" i="218"/>
  <c r="AG177" i="218"/>
  <c r="AD178" i="218"/>
  <c r="Y179" i="218"/>
  <c r="AK179" i="218" s="1"/>
  <c r="AE189" i="218"/>
  <c r="AK190" i="218"/>
  <c r="AK204" i="218"/>
  <c r="Y10" i="219"/>
  <c r="AG10" i="219"/>
  <c r="AA10" i="219"/>
  <c r="Z10" i="219"/>
  <c r="AJ10" i="219"/>
  <c r="AI10" i="219"/>
  <c r="AH17" i="219"/>
  <c r="AB33" i="219"/>
  <c r="AB42" i="219" s="1"/>
  <c r="AJ33" i="219"/>
  <c r="AJ42" i="219" s="1"/>
  <c r="AA33" i="219"/>
  <c r="Z33" i="219"/>
  <c r="Y33" i="219"/>
  <c r="AH33" i="219"/>
  <c r="AH42" i="219" s="1"/>
  <c r="AC33" i="219"/>
  <c r="AF54" i="219"/>
  <c r="Z54" i="219"/>
  <c r="AD54" i="219"/>
  <c r="AC54" i="219"/>
  <c r="AB54" i="219"/>
  <c r="AA54" i="219"/>
  <c r="Y54" i="219"/>
  <c r="AE54" i="219"/>
  <c r="AB78" i="219"/>
  <c r="AH78" i="219"/>
  <c r="AC78" i="219"/>
  <c r="AA78" i="219"/>
  <c r="Y78" i="219"/>
  <c r="AI78" i="219"/>
  <c r="Y90" i="219"/>
  <c r="AD117" i="219"/>
  <c r="AB126" i="219"/>
  <c r="AF143" i="219"/>
  <c r="AD143" i="219"/>
  <c r="AC143" i="219"/>
  <c r="Z143" i="219"/>
  <c r="AJ143" i="219"/>
  <c r="AI143" i="219"/>
  <c r="AH143" i="219"/>
  <c r="AG143" i="219"/>
  <c r="AJ166" i="219"/>
  <c r="AG166" i="219"/>
  <c r="AI166" i="219"/>
  <c r="AI172" i="219" s="1"/>
  <c r="AH166" i="219"/>
  <c r="AD166" i="219"/>
  <c r="AC166" i="219"/>
  <c r="Y166" i="219"/>
  <c r="V73" i="219"/>
  <c r="Y73" i="219"/>
  <c r="AG73" i="219"/>
  <c r="P73" i="219"/>
  <c r="AE73" i="219"/>
  <c r="N73" i="219"/>
  <c r="AB73" i="219"/>
  <c r="AH82" i="219"/>
  <c r="AC82" i="219"/>
  <c r="AJ82" i="219"/>
  <c r="AF82" i="219"/>
  <c r="AC140" i="219"/>
  <c r="AI140" i="219"/>
  <c r="AJ140" i="219"/>
  <c r="Y140" i="219"/>
  <c r="AE140" i="219"/>
  <c r="AD140" i="219"/>
  <c r="AB140" i="219"/>
  <c r="AA140" i="219"/>
  <c r="AC65" i="219"/>
  <c r="AH65" i="219"/>
  <c r="AA65" i="219"/>
  <c r="Y65" i="219"/>
  <c r="AJ65" i="219"/>
  <c r="AC73" i="219"/>
  <c r="AI79" i="219"/>
  <c r="AA79" i="219"/>
  <c r="AJ79" i="219"/>
  <c r="AG79" i="219"/>
  <c r="AH79" i="219"/>
  <c r="AG82" i="219"/>
  <c r="Y117" i="219"/>
  <c r="AF117" i="219"/>
  <c r="AB117" i="219"/>
  <c r="AJ117" i="219"/>
  <c r="AH117" i="219"/>
  <c r="AI117" i="219"/>
  <c r="AD73" i="219"/>
  <c r="AE80" i="219"/>
  <c r="AH80" i="219"/>
  <c r="AG80" i="219"/>
  <c r="AG153" i="219" s="1"/>
  <c r="AD80" i="219"/>
  <c r="AA81" i="219"/>
  <c r="AJ81" i="219"/>
  <c r="AE81" i="219"/>
  <c r="AD81" i="219"/>
  <c r="AB81" i="219"/>
  <c r="AI82" i="219"/>
  <c r="AH118" i="219"/>
  <c r="AB118" i="219"/>
  <c r="AG118" i="219"/>
  <c r="AF118" i="219"/>
  <c r="AD118" i="219"/>
  <c r="AG145" i="219"/>
  <c r="Y145" i="219"/>
  <c r="AJ145" i="219"/>
  <c r="AI145" i="219"/>
  <c r="AE145" i="219"/>
  <c r="Z145" i="219"/>
  <c r="AK169" i="219"/>
  <c r="AF45" i="219"/>
  <c r="Z45" i="219"/>
  <c r="AB50" i="219"/>
  <c r="AH50" i="219"/>
  <c r="AA50" i="219"/>
  <c r="AG50" i="219"/>
  <c r="AI66" i="219"/>
  <c r="AA66" i="219"/>
  <c r="AJ66" i="219"/>
  <c r="AG66" i="219"/>
  <c r="AH66" i="219"/>
  <c r="K73" i="219"/>
  <c r="D73" i="219" s="1"/>
  <c r="AF73" i="219"/>
  <c r="AE109" i="219"/>
  <c r="L73" i="219"/>
  <c r="AH73" i="219"/>
  <c r="Z84" i="219"/>
  <c r="AG84" i="219"/>
  <c r="AF84" i="219"/>
  <c r="AD84" i="219"/>
  <c r="AJ113" i="219"/>
  <c r="Z113" i="219"/>
  <c r="AE113" i="219"/>
  <c r="AD113" i="219"/>
  <c r="AB113" i="219"/>
  <c r="AJ139" i="219"/>
  <c r="Z139" i="219"/>
  <c r="Y139" i="219"/>
  <c r="AE139" i="219"/>
  <c r="AD139" i="219"/>
  <c r="AA139" i="219"/>
  <c r="AI139" i="219"/>
  <c r="AH139" i="219"/>
  <c r="AG139" i="219"/>
  <c r="AK146" i="219"/>
  <c r="AB193" i="218"/>
  <c r="AD11" i="219"/>
  <c r="AD25" i="219"/>
  <c r="Y29" i="219"/>
  <c r="AC31" i="219"/>
  <c r="AC35" i="219"/>
  <c r="AI38" i="219"/>
  <c r="AH39" i="219"/>
  <c r="AI47" i="219"/>
  <c r="AE47" i="219"/>
  <c r="AK47" i="219" s="1"/>
  <c r="AH47" i="219"/>
  <c r="AJ50" i="219"/>
  <c r="AG51" i="219"/>
  <c r="AD56" i="219"/>
  <c r="Y56" i="219"/>
  <c r="AH56" i="219"/>
  <c r="AI60" i="219"/>
  <c r="AH61" i="219"/>
  <c r="AB63" i="219"/>
  <c r="AB67" i="219"/>
  <c r="AJ67" i="219"/>
  <c r="AD67" i="219"/>
  <c r="AA67" i="219"/>
  <c r="AK67" i="219" s="1"/>
  <c r="AH67" i="219"/>
  <c r="AG68" i="219"/>
  <c r="AC70" i="219"/>
  <c r="R71" i="219"/>
  <c r="Z72" i="219"/>
  <c r="V72" i="219"/>
  <c r="AG72" i="219"/>
  <c r="P72" i="219"/>
  <c r="AE72" i="219"/>
  <c r="N72" i="219"/>
  <c r="AA72" i="219"/>
  <c r="M73" i="219"/>
  <c r="AI73" i="219"/>
  <c r="Y76" i="219"/>
  <c r="AD76" i="219"/>
  <c r="AJ76" i="219"/>
  <c r="AG76" i="219"/>
  <c r="AF86" i="219"/>
  <c r="AG86" i="219"/>
  <c r="AA86" i="219"/>
  <c r="Z86" i="219"/>
  <c r="AB87" i="219"/>
  <c r="AD87" i="219"/>
  <c r="AJ87" i="219"/>
  <c r="AC101" i="219"/>
  <c r="AB101" i="219"/>
  <c r="AH101" i="219"/>
  <c r="AG101" i="219"/>
  <c r="AE101" i="219"/>
  <c r="AH109" i="219"/>
  <c r="AD127" i="219"/>
  <c r="AI127" i="219"/>
  <c r="AG127" i="219"/>
  <c r="AB127" i="219"/>
  <c r="AJ127" i="219"/>
  <c r="Z136" i="219"/>
  <c r="AK136" i="219" s="1"/>
  <c r="AA136" i="219"/>
  <c r="AJ136" i="219"/>
  <c r="AE136" i="219"/>
  <c r="AD136" i="219"/>
  <c r="AC136" i="219"/>
  <c r="AB136" i="219"/>
  <c r="Z166" i="219"/>
  <c r="AE145" i="204"/>
  <c r="AK145" i="204" s="1"/>
  <c r="AI165" i="204"/>
  <c r="AK165" i="204" s="1"/>
  <c r="AF192" i="204"/>
  <c r="AK192" i="204" s="1"/>
  <c r="AB25" i="218"/>
  <c r="AF27" i="218"/>
  <c r="AK27" i="218" s="1"/>
  <c r="AF32" i="218"/>
  <c r="AK32" i="218" s="1"/>
  <c r="AA36" i="218"/>
  <c r="AF38" i="218"/>
  <c r="AK38" i="218" s="1"/>
  <c r="AI53" i="218"/>
  <c r="AK53" i="218" s="1"/>
  <c r="AD55" i="218"/>
  <c r="AK55" i="218" s="1"/>
  <c r="AE59" i="218"/>
  <c r="AK59" i="218" s="1"/>
  <c r="AE69" i="218"/>
  <c r="AK69" i="218" s="1"/>
  <c r="AE76" i="218"/>
  <c r="AK76" i="218" s="1"/>
  <c r="AI80" i="218"/>
  <c r="AK80" i="218" s="1"/>
  <c r="AD85" i="218"/>
  <c r="AK85" i="218" s="1"/>
  <c r="AI93" i="218"/>
  <c r="AK93" i="218" s="1"/>
  <c r="AC127" i="218"/>
  <c r="AK127" i="218" s="1"/>
  <c r="AB135" i="218"/>
  <c r="AK135" i="218" s="1"/>
  <c r="Z143" i="218"/>
  <c r="AK143" i="218" s="1"/>
  <c r="AA145" i="218"/>
  <c r="AK145" i="218" s="1"/>
  <c r="AI147" i="218"/>
  <c r="AK147" i="218" s="1"/>
  <c r="AC152" i="218"/>
  <c r="AK152" i="218" s="1"/>
  <c r="AD156" i="218"/>
  <c r="Y161" i="218"/>
  <c r="AK161" i="218" s="1"/>
  <c r="AC193" i="218"/>
  <c r="AC199" i="218" s="1"/>
  <c r="Y198" i="218"/>
  <c r="AA205" i="218"/>
  <c r="AK205" i="218" s="1"/>
  <c r="AJ18" i="219"/>
  <c r="AD18" i="219"/>
  <c r="AK18" i="219" s="1"/>
  <c r="AF18" i="219"/>
  <c r="AG24" i="219"/>
  <c r="AA24" i="219"/>
  <c r="AK24" i="219" s="1"/>
  <c r="AH28" i="219"/>
  <c r="AB28" i="219"/>
  <c r="AK28" i="219" s="1"/>
  <c r="AF28" i="219"/>
  <c r="Z29" i="219"/>
  <c r="AI34" i="219"/>
  <c r="AC34" i="219"/>
  <c r="AK34" i="219" s="1"/>
  <c r="AF34" i="219"/>
  <c r="AD35" i="219"/>
  <c r="AJ38" i="219"/>
  <c r="AJ47" i="219"/>
  <c r="AH51" i="219"/>
  <c r="AK51" i="219" s="1"/>
  <c r="Z57" i="219"/>
  <c r="AE57" i="219"/>
  <c r="AJ58" i="219"/>
  <c r="AH58" i="219"/>
  <c r="AB58" i="219"/>
  <c r="AK58" i="219" s="1"/>
  <c r="AF59" i="219"/>
  <c r="AE59" i="219"/>
  <c r="Y59" i="219"/>
  <c r="AD63" i="219"/>
  <c r="AI67" i="219"/>
  <c r="AH68" i="219"/>
  <c r="AE70" i="219"/>
  <c r="S71" i="219"/>
  <c r="AB72" i="219"/>
  <c r="O73" i="219"/>
  <c r="AJ73" i="219"/>
  <c r="AH76" i="219"/>
  <c r="Y81" i="219"/>
  <c r="Y91" i="219"/>
  <c r="AK91" i="219" s="1"/>
  <c r="AH91" i="219"/>
  <c r="AD91" i="219"/>
  <c r="AJ91" i="219"/>
  <c r="AE93" i="219"/>
  <c r="AA93" i="219"/>
  <c r="AG93" i="219"/>
  <c r="AF93" i="219"/>
  <c r="AC93" i="219"/>
  <c r="AE129" i="219"/>
  <c r="AI129" i="219"/>
  <c r="AC129" i="219"/>
  <c r="AB129" i="219"/>
  <c r="Z129" i="219"/>
  <c r="AK129" i="219" s="1"/>
  <c r="AJ129" i="219"/>
  <c r="Y143" i="219"/>
  <c r="AG160" i="219"/>
  <c r="AB160" i="219"/>
  <c r="AF160" i="219"/>
  <c r="Y160" i="219"/>
  <c r="AE160" i="219"/>
  <c r="AD160" i="219"/>
  <c r="AC160" i="219"/>
  <c r="AA160" i="219"/>
  <c r="Z160" i="219"/>
  <c r="AA166" i="219"/>
  <c r="AF11" i="219"/>
  <c r="Z11" i="219"/>
  <c r="AK11" i="219" s="1"/>
  <c r="AG11" i="219"/>
  <c r="AI23" i="219"/>
  <c r="AI42" i="219" s="1"/>
  <c r="AC23" i="219"/>
  <c r="AC42" i="219" s="1"/>
  <c r="Z25" i="219"/>
  <c r="AK25" i="219" s="1"/>
  <c r="AH25" i="219"/>
  <c r="AF25" i="219"/>
  <c r="Z31" i="219"/>
  <c r="AK31" i="219" s="1"/>
  <c r="AH31" i="219"/>
  <c r="AE31" i="219"/>
  <c r="Y39" i="219"/>
  <c r="AG39" i="219"/>
  <c r="AJ39" i="219"/>
  <c r="Y45" i="219"/>
  <c r="AI51" i="219"/>
  <c r="AB60" i="219"/>
  <c r="AC60" i="219"/>
  <c r="Y61" i="219"/>
  <c r="AK61" i="219" s="1"/>
  <c r="AG61" i="219"/>
  <c r="AJ61" i="219"/>
  <c r="Q73" i="219"/>
  <c r="AF75" i="219"/>
  <c r="AJ75" i="219"/>
  <c r="AJ153" i="219" s="1"/>
  <c r="AD75" i="219"/>
  <c r="AC75" i="219"/>
  <c r="AA75" i="219"/>
  <c r="Z78" i="219"/>
  <c r="Y80" i="219"/>
  <c r="Z81" i="219"/>
  <c r="AC90" i="219"/>
  <c r="AG90" i="219"/>
  <c r="AA90" i="219"/>
  <c r="Z90" i="219"/>
  <c r="S90" i="219"/>
  <c r="AD109" i="219"/>
  <c r="AG109" i="219"/>
  <c r="AB109" i="219"/>
  <c r="AI109" i="219"/>
  <c r="AK109" i="219" s="1"/>
  <c r="Y118" i="219"/>
  <c r="AA143" i="219"/>
  <c r="AE156" i="219"/>
  <c r="AA156" i="219"/>
  <c r="Z156" i="219"/>
  <c r="AG156" i="219"/>
  <c r="AG172" i="219" s="1"/>
  <c r="AF156" i="219"/>
  <c r="AD156" i="219"/>
  <c r="AD172" i="219" s="1"/>
  <c r="AC156" i="219"/>
  <c r="AB156" i="219"/>
  <c r="AA45" i="219"/>
  <c r="AK55" i="219"/>
  <c r="Z65" i="219"/>
  <c r="AF68" i="219"/>
  <c r="Z68" i="219"/>
  <c r="AK68" i="219" s="1"/>
  <c r="AJ68" i="219"/>
  <c r="R73" i="219"/>
  <c r="AD78" i="219"/>
  <c r="Y79" i="219"/>
  <c r="Z80" i="219"/>
  <c r="AC81" i="219"/>
  <c r="Y82" i="219"/>
  <c r="Z118" i="219"/>
  <c r="AI126" i="219"/>
  <c r="AF126" i="219"/>
  <c r="AA126" i="219"/>
  <c r="Z126" i="219"/>
  <c r="Z140" i="219"/>
  <c r="AB143" i="219"/>
  <c r="AA145" i="219"/>
  <c r="AG193" i="218"/>
  <c r="AI11" i="219"/>
  <c r="AI25" i="219"/>
  <c r="AD29" i="219"/>
  <c r="AG31" i="219"/>
  <c r="AH35" i="219"/>
  <c r="AI40" i="219"/>
  <c r="AC40" i="219"/>
  <c r="AK40" i="219" s="1"/>
  <c r="AB45" i="219"/>
  <c r="AH63" i="219"/>
  <c r="AB65" i="219"/>
  <c r="V71" i="219"/>
  <c r="K72" i="219"/>
  <c r="AF72" i="219"/>
  <c r="S73" i="219"/>
  <c r="AE78" i="219"/>
  <c r="Z79" i="219"/>
  <c r="AA80" i="219"/>
  <c r="AF81" i="219"/>
  <c r="Z82" i="219"/>
  <c r="Y84" i="219"/>
  <c r="Y87" i="219"/>
  <c r="Z117" i="219"/>
  <c r="AA118" i="219"/>
  <c r="AF140" i="219"/>
  <c r="AE143" i="219"/>
  <c r="AB145" i="219"/>
  <c r="AK158" i="219"/>
  <c r="AF166" i="219"/>
  <c r="AG25" i="218"/>
  <c r="AE36" i="218"/>
  <c r="AH55" i="218"/>
  <c r="AI59" i="218"/>
  <c r="AI69" i="218"/>
  <c r="AH85" i="218"/>
  <c r="AG127" i="218"/>
  <c r="AF135" i="218"/>
  <c r="AD143" i="218"/>
  <c r="AH152" i="218"/>
  <c r="AI156" i="218"/>
  <c r="AI172" i="218" s="1"/>
  <c r="AF188" i="218"/>
  <c r="Z188" i="218"/>
  <c r="AK188" i="218" s="1"/>
  <c r="AH188" i="218"/>
  <c r="AH193" i="218"/>
  <c r="AH199" i="218" s="1"/>
  <c r="AF205" i="218"/>
  <c r="AJ11" i="219"/>
  <c r="Y23" i="219"/>
  <c r="H23" i="219" s="1"/>
  <c r="AJ25" i="219"/>
  <c r="AI31" i="219"/>
  <c r="Y38" i="219"/>
  <c r="AB41" i="219"/>
  <c r="AK41" i="219" s="1"/>
  <c r="AJ41" i="219"/>
  <c r="AF41" i="219"/>
  <c r="AC45" i="219"/>
  <c r="Z56" i="219"/>
  <c r="AK57" i="219"/>
  <c r="AD65" i="219"/>
  <c r="Y66" i="219"/>
  <c r="AK66" i="219" s="1"/>
  <c r="L67" i="219"/>
  <c r="L72" i="219"/>
  <c r="AH72" i="219"/>
  <c r="T73" i="219"/>
  <c r="AF78" i="219"/>
  <c r="AB79" i="219"/>
  <c r="AB80" i="219"/>
  <c r="AG81" i="219"/>
  <c r="AA82" i="219"/>
  <c r="AA84" i="219"/>
  <c r="Y86" i="219"/>
  <c r="Z87" i="219"/>
  <c r="AK89" i="219"/>
  <c r="Y101" i="219"/>
  <c r="AK101" i="219" s="1"/>
  <c r="Y113" i="219"/>
  <c r="AA117" i="219"/>
  <c r="AC118" i="219"/>
  <c r="AG140" i="219"/>
  <c r="AC145" i="219"/>
  <c r="Y156" i="219"/>
  <c r="AI55" i="218"/>
  <c r="AI85" i="218"/>
  <c r="AH127" i="218"/>
  <c r="AI152" i="218"/>
  <c r="AJ172" i="218"/>
  <c r="AI193" i="218"/>
  <c r="AI199" i="218" s="1"/>
  <c r="AB198" i="218"/>
  <c r="AJ198" i="218"/>
  <c r="AJ199" i="218" s="1"/>
  <c r="AE198" i="218"/>
  <c r="AE199" i="218" s="1"/>
  <c r="Z23" i="219"/>
  <c r="AA29" i="219"/>
  <c r="AI29" i="219"/>
  <c r="AF29" i="219"/>
  <c r="AJ31" i="219"/>
  <c r="AE35" i="219"/>
  <c r="Y35" i="219"/>
  <c r="AJ35" i="219"/>
  <c r="AD45" i="219"/>
  <c r="Y50" i="219"/>
  <c r="AK50" i="219" s="1"/>
  <c r="Y60" i="219"/>
  <c r="AK60" i="219" s="1"/>
  <c r="AC63" i="219"/>
  <c r="AF63" i="219"/>
  <c r="Y63" i="219"/>
  <c r="AJ63" i="219"/>
  <c r="AE65" i="219"/>
  <c r="Z66" i="219"/>
  <c r="AD70" i="219"/>
  <c r="Y70" i="219"/>
  <c r="AH70" i="219"/>
  <c r="AF70" i="219"/>
  <c r="AB71" i="219"/>
  <c r="L71" i="219"/>
  <c r="Y71" i="219"/>
  <c r="AH71" i="219"/>
  <c r="Q71" i="219"/>
  <c r="AF71" i="219"/>
  <c r="O71" i="219"/>
  <c r="AA71" i="219"/>
  <c r="U73" i="219"/>
  <c r="Y75" i="219"/>
  <c r="AK75" i="219" s="1"/>
  <c r="AG78" i="219"/>
  <c r="AC79" i="219"/>
  <c r="AC80" i="219"/>
  <c r="AH81" i="219"/>
  <c r="AB82" i="219"/>
  <c r="AB84" i="219"/>
  <c r="AB86" i="219"/>
  <c r="AA87" i="219"/>
  <c r="Z101" i="219"/>
  <c r="AA113" i="219"/>
  <c r="AC117" i="219"/>
  <c r="AE118" i="219"/>
  <c r="AB122" i="219"/>
  <c r="AC122" i="219"/>
  <c r="Y122" i="219"/>
  <c r="AK122" i="219" s="1"/>
  <c r="AF122" i="219"/>
  <c r="AE122" i="219"/>
  <c r="AA122" i="219"/>
  <c r="Y126" i="219"/>
  <c r="Y127" i="219"/>
  <c r="AK127" i="219" s="1"/>
  <c r="Z132" i="219"/>
  <c r="AJ132" i="219"/>
  <c r="AA132" i="219"/>
  <c r="Y132" i="219"/>
  <c r="AF132" i="219"/>
  <c r="AE132" i="219"/>
  <c r="AC132" i="219"/>
  <c r="AB139" i="219"/>
  <c r="AH140" i="219"/>
  <c r="AD145" i="219"/>
  <c r="AH156" i="219"/>
  <c r="AH172" i="219" s="1"/>
  <c r="AF152" i="219"/>
  <c r="AJ152" i="219"/>
  <c r="AG152" i="219"/>
  <c r="Y180" i="219"/>
  <c r="AA191" i="219"/>
  <c r="AC204" i="219"/>
  <c r="AF204" i="219"/>
  <c r="AB204" i="219"/>
  <c r="Z204" i="219"/>
  <c r="Y204" i="219"/>
  <c r="AA23" i="220"/>
  <c r="AA42" i="220" s="1"/>
  <c r="AG23" i="220"/>
  <c r="AB23" i="220"/>
  <c r="AF23" i="220"/>
  <c r="AF42" i="220" s="1"/>
  <c r="Z23" i="220"/>
  <c r="Y23" i="220"/>
  <c r="AK23" i="220" s="1"/>
  <c r="AJ23" i="220"/>
  <c r="AI23" i="220"/>
  <c r="AH23" i="220"/>
  <c r="AE23" i="220"/>
  <c r="AC23" i="220"/>
  <c r="AE64" i="219"/>
  <c r="AJ97" i="219"/>
  <c r="AD138" i="219"/>
  <c r="AH138" i="219"/>
  <c r="AF138" i="219"/>
  <c r="AA163" i="219"/>
  <c r="Z163" i="219"/>
  <c r="AK163" i="219" s="1"/>
  <c r="AH163" i="219"/>
  <c r="AI163" i="219"/>
  <c r="AB164" i="219"/>
  <c r="AE167" i="219"/>
  <c r="AI167" i="219"/>
  <c r="AD167" i="219"/>
  <c r="Y171" i="219"/>
  <c r="AA174" i="219"/>
  <c r="AJ174" i="219"/>
  <c r="AG174" i="219"/>
  <c r="AJ178" i="219"/>
  <c r="AA180" i="219"/>
  <c r="AB191" i="219"/>
  <c r="Y199" i="219"/>
  <c r="AF9" i="220"/>
  <c r="AC9" i="220"/>
  <c r="AD9" i="220"/>
  <c r="Y9" i="220"/>
  <c r="Z9" i="220"/>
  <c r="AI9" i="220"/>
  <c r="AH9" i="220"/>
  <c r="AG9" i="220"/>
  <c r="AE9" i="220"/>
  <c r="AA9" i="220"/>
  <c r="AK17" i="220"/>
  <c r="AH135" i="219"/>
  <c r="AG135" i="219"/>
  <c r="AB135" i="219"/>
  <c r="AI135" i="219"/>
  <c r="AD147" i="219"/>
  <c r="Z147" i="219"/>
  <c r="AK147" i="219" s="1"/>
  <c r="AI147" i="219"/>
  <c r="AB168" i="219"/>
  <c r="Y168" i="219"/>
  <c r="AG168" i="219"/>
  <c r="Y176" i="219"/>
  <c r="Y183" i="219" s="1"/>
  <c r="AB180" i="219"/>
  <c r="AC191" i="219"/>
  <c r="AI203" i="219"/>
  <c r="AA203" i="219"/>
  <c r="AF203" i="219"/>
  <c r="AB203" i="219"/>
  <c r="AC203" i="219"/>
  <c r="Z203" i="219"/>
  <c r="Y203" i="219"/>
  <c r="AD23" i="220"/>
  <c r="AG167" i="218"/>
  <c r="AG172" i="218" s="1"/>
  <c r="AG187" i="218"/>
  <c r="AG199" i="218" s="1"/>
  <c r="AD197" i="218"/>
  <c r="AK197" i="218" s="1"/>
  <c r="AG64" i="219"/>
  <c r="AI83" i="219"/>
  <c r="AH88" i="219"/>
  <c r="AK88" i="219" s="1"/>
  <c r="AH92" i="219"/>
  <c r="Y128" i="219"/>
  <c r="AE128" i="219"/>
  <c r="AI128" i="219"/>
  <c r="AJ135" i="219"/>
  <c r="Z148" i="219"/>
  <c r="AK148" i="219" s="1"/>
  <c r="AF148" i="219"/>
  <c r="AJ148" i="219"/>
  <c r="Y151" i="219"/>
  <c r="AH168" i="219"/>
  <c r="Z170" i="219"/>
  <c r="F171" i="219"/>
  <c r="AB171" i="219"/>
  <c r="AI174" i="219"/>
  <c r="Z176" i="219"/>
  <c r="Z177" i="219"/>
  <c r="AC180" i="219"/>
  <c r="AC199" i="219"/>
  <c r="AE191" i="219"/>
  <c r="AH8" i="220"/>
  <c r="AH12" i="220" s="1"/>
  <c r="AD8" i="220"/>
  <c r="Y8" i="220"/>
  <c r="Y12" i="220" s="1"/>
  <c r="AC8" i="220"/>
  <c r="AC12" i="220" s="1"/>
  <c r="AF8" i="220"/>
  <c r="AE8" i="220"/>
  <c r="AE12" i="220" s="1"/>
  <c r="AB8" i="220"/>
  <c r="AA8" i="220"/>
  <c r="AA12" i="220" s="1"/>
  <c r="AE10" i="220"/>
  <c r="AB18" i="220"/>
  <c r="AG18" i="220"/>
  <c r="AA18" i="220"/>
  <c r="AD18" i="220"/>
  <c r="AE18" i="220"/>
  <c r="AC18" i="220"/>
  <c r="Z18" i="220"/>
  <c r="Y18" i="220"/>
  <c r="Y24" i="220"/>
  <c r="AF24" i="220"/>
  <c r="AA24" i="220"/>
  <c r="AH24" i="220"/>
  <c r="AC24" i="220"/>
  <c r="AE24" i="220"/>
  <c r="AB24" i="220"/>
  <c r="AJ24" i="220"/>
  <c r="AG24" i="220"/>
  <c r="AB27" i="220"/>
  <c r="Y97" i="219"/>
  <c r="Z142" i="219"/>
  <c r="Z151" i="219"/>
  <c r="Y152" i="219"/>
  <c r="Y162" i="219"/>
  <c r="AG164" i="219"/>
  <c r="AH164" i="219"/>
  <c r="Z164" i="219"/>
  <c r="AE164" i="219"/>
  <c r="AI168" i="219"/>
  <c r="AA170" i="219"/>
  <c r="AC171" i="219"/>
  <c r="AC176" i="219"/>
  <c r="AC183" i="219" s="1"/>
  <c r="AA177" i="219"/>
  <c r="AD180" i="219"/>
  <c r="AF10" i="220"/>
  <c r="AE199" i="219"/>
  <c r="AF191" i="219"/>
  <c r="Y191" i="219"/>
  <c r="AJ191" i="219"/>
  <c r="AD191" i="219"/>
  <c r="AI191" i="219"/>
  <c r="AH191" i="219"/>
  <c r="AB9" i="220"/>
  <c r="AD28" i="220"/>
  <c r="AA28" i="220"/>
  <c r="AJ28" i="220"/>
  <c r="AF28" i="220"/>
  <c r="AE28" i="220"/>
  <c r="AC28" i="220"/>
  <c r="AB28" i="220"/>
  <c r="Z28" i="220"/>
  <c r="AA35" i="220"/>
  <c r="AB35" i="220"/>
  <c r="AF35" i="220"/>
  <c r="Y35" i="220"/>
  <c r="AI35" i="220"/>
  <c r="AD35" i="220"/>
  <c r="AC35" i="220"/>
  <c r="Z35" i="220"/>
  <c r="AJ35" i="220"/>
  <c r="AH35" i="220"/>
  <c r="AG35" i="220"/>
  <c r="AE35" i="220"/>
  <c r="AJ180" i="219"/>
  <c r="AG180" i="219"/>
  <c r="AI180" i="219"/>
  <c r="Z180" i="219"/>
  <c r="AH180" i="219"/>
  <c r="AA204" i="219"/>
  <c r="Y10" i="220"/>
  <c r="AG10" i="220"/>
  <c r="AJ10" i="220"/>
  <c r="AC10" i="220"/>
  <c r="AB10" i="220"/>
  <c r="AA10" i="220"/>
  <c r="Z10" i="220"/>
  <c r="AD204" i="219"/>
  <c r="AD24" i="220"/>
  <c r="Y47" i="220"/>
  <c r="AK47" i="220" s="1"/>
  <c r="AI47" i="220"/>
  <c r="AE47" i="220"/>
  <c r="Z47" i="220"/>
  <c r="AH47" i="220"/>
  <c r="AC47" i="220"/>
  <c r="AD47" i="220"/>
  <c r="AB47" i="220"/>
  <c r="AA47" i="220"/>
  <c r="AJ47" i="220"/>
  <c r="AJ44" i="220" s="1"/>
  <c r="AG47" i="220"/>
  <c r="AF47" i="220"/>
  <c r="AI176" i="219"/>
  <c r="AB176" i="219"/>
  <c r="AB183" i="219" s="1"/>
  <c r="AA176" i="219"/>
  <c r="AG176" i="219"/>
  <c r="B16" i="229"/>
  <c r="B16" i="228"/>
  <c r="B16" i="227"/>
  <c r="B16" i="225"/>
  <c r="B16" i="226"/>
  <c r="B16" i="223"/>
  <c r="B16" i="222"/>
  <c r="B16" i="221"/>
  <c r="B16" i="220"/>
  <c r="C26" i="228"/>
  <c r="C26" i="226"/>
  <c r="C26" i="225"/>
  <c r="C26" i="229"/>
  <c r="C26" i="227"/>
  <c r="C26" i="223"/>
  <c r="C26" i="222"/>
  <c r="C26" i="221"/>
  <c r="C33" i="228"/>
  <c r="C33" i="227"/>
  <c r="C33" i="229"/>
  <c r="C33" i="225"/>
  <c r="C33" i="223"/>
  <c r="C33" i="226"/>
  <c r="C33" i="222"/>
  <c r="C33" i="220"/>
  <c r="C33" i="221"/>
  <c r="C40" i="228"/>
  <c r="C40" i="229"/>
  <c r="C40" i="225"/>
  <c r="C40" i="227"/>
  <c r="C40" i="226"/>
  <c r="C40" i="223"/>
  <c r="C40" i="222"/>
  <c r="C40" i="220"/>
  <c r="C40" i="221"/>
  <c r="B55" i="226"/>
  <c r="B55" i="225"/>
  <c r="B55" i="228"/>
  <c r="B55" i="227"/>
  <c r="B55" i="229"/>
  <c r="B55" i="223"/>
  <c r="B55" i="222"/>
  <c r="B55" i="220"/>
  <c r="B55" i="221"/>
  <c r="B62" i="229"/>
  <c r="B62" i="226"/>
  <c r="B62" i="228"/>
  <c r="B62" i="223"/>
  <c r="B62" i="225"/>
  <c r="B62" i="227"/>
  <c r="B62" i="222"/>
  <c r="B62" i="221"/>
  <c r="B62" i="220"/>
  <c r="B69" i="229"/>
  <c r="B69" i="226"/>
  <c r="B69" i="223"/>
  <c r="B69" i="225"/>
  <c r="B69" i="227"/>
  <c r="B69" i="228"/>
  <c r="B69" i="222"/>
  <c r="B69" i="221"/>
  <c r="B69" i="220"/>
  <c r="C80" i="225"/>
  <c r="C80" i="227"/>
  <c r="C80" i="226"/>
  <c r="C80" i="229"/>
  <c r="C80" i="228"/>
  <c r="C80" i="223"/>
  <c r="C80" i="222"/>
  <c r="C80" i="221"/>
  <c r="C80" i="220"/>
  <c r="C87" i="228"/>
  <c r="C87" i="229"/>
  <c r="C87" i="226"/>
  <c r="C87" i="227"/>
  <c r="C87" i="225"/>
  <c r="C87" i="223"/>
  <c r="C87" i="222"/>
  <c r="C87" i="221"/>
  <c r="C87" i="220"/>
  <c r="F94" i="206"/>
  <c r="F96" i="206"/>
  <c r="A99" i="228"/>
  <c r="A99" i="227"/>
  <c r="A99" i="223"/>
  <c r="A99" i="225"/>
  <c r="A99" i="226"/>
  <c r="A99" i="229"/>
  <c r="A99" i="222"/>
  <c r="A99" i="221"/>
  <c r="C101" i="228"/>
  <c r="C101" i="223"/>
  <c r="C101" i="226"/>
  <c r="C101" i="225"/>
  <c r="C101" i="227"/>
  <c r="C101" i="229"/>
  <c r="C101" i="222"/>
  <c r="C101" i="221"/>
  <c r="C101" i="220"/>
  <c r="B109" i="226"/>
  <c r="B109" i="227"/>
  <c r="B109" i="223"/>
  <c r="B109" i="225"/>
  <c r="B109" i="228"/>
  <c r="B109" i="229"/>
  <c r="B109" i="222"/>
  <c r="B109" i="221"/>
  <c r="B109" i="220"/>
  <c r="B113" i="228"/>
  <c r="B113" i="227"/>
  <c r="B113" i="229"/>
  <c r="B113" i="226"/>
  <c r="B113" i="225"/>
  <c r="B113" i="223"/>
  <c r="B113" i="222"/>
  <c r="B113" i="221"/>
  <c r="B113" i="220"/>
  <c r="B117" i="228"/>
  <c r="B117" i="229"/>
  <c r="B117" i="227"/>
  <c r="B117" i="226"/>
  <c r="B117" i="225"/>
  <c r="B117" i="223"/>
  <c r="B117" i="222"/>
  <c r="B117" i="221"/>
  <c r="B117" i="220"/>
  <c r="B128" i="225"/>
  <c r="B128" i="226"/>
  <c r="B128" i="223"/>
  <c r="B128" i="228"/>
  <c r="B128" i="227"/>
  <c r="B128" i="229"/>
  <c r="B128" i="222"/>
  <c r="B128" i="221"/>
  <c r="B128" i="220"/>
  <c r="B135" i="226"/>
  <c r="B135" i="229"/>
  <c r="B135" i="227"/>
  <c r="B135" i="225"/>
  <c r="B135" i="223"/>
  <c r="B135" i="228"/>
  <c r="B135" i="222"/>
  <c r="B135" i="221"/>
  <c r="B135" i="220"/>
  <c r="C142" i="227"/>
  <c r="C142" i="229"/>
  <c r="C142" i="226"/>
  <c r="C142" i="223"/>
  <c r="C142" i="228"/>
  <c r="C142" i="225"/>
  <c r="C142" i="222"/>
  <c r="C142" i="220"/>
  <c r="C142" i="221"/>
  <c r="C149" i="227"/>
  <c r="C149" i="228"/>
  <c r="C149" i="229"/>
  <c r="C149" i="226"/>
  <c r="C149" i="222"/>
  <c r="C149" i="223"/>
  <c r="C149" i="225"/>
  <c r="C149" i="220"/>
  <c r="C149" i="221"/>
  <c r="C149" i="219"/>
  <c r="B159" i="227"/>
  <c r="B159" i="223"/>
  <c r="B159" i="226"/>
  <c r="B159" i="228"/>
  <c r="B159" i="229"/>
  <c r="B159" i="225"/>
  <c r="B159" i="222"/>
  <c r="B159" i="221"/>
  <c r="B159" i="220"/>
  <c r="B166" i="225"/>
  <c r="B166" i="229"/>
  <c r="B166" i="227"/>
  <c r="B166" i="228"/>
  <c r="B166" i="226"/>
  <c r="B166" i="223"/>
  <c r="B166" i="222"/>
  <c r="B166" i="221"/>
  <c r="B166" i="220"/>
  <c r="C175" i="228"/>
  <c r="C175" i="226"/>
  <c r="C175" i="223"/>
  <c r="C175" i="229"/>
  <c r="C175" i="227"/>
  <c r="C175" i="225"/>
  <c r="C175" i="222"/>
  <c r="C175" i="221"/>
  <c r="C175" i="220"/>
  <c r="C182" i="229"/>
  <c r="C182" i="228"/>
  <c r="C182" i="223"/>
  <c r="C182" i="227"/>
  <c r="C182" i="226"/>
  <c r="C182" i="225"/>
  <c r="C182" i="222"/>
  <c r="C182" i="221"/>
  <c r="C182" i="220"/>
  <c r="C193" i="226"/>
  <c r="C193" i="227"/>
  <c r="C193" i="223"/>
  <c r="C193" i="225"/>
  <c r="C193" i="228"/>
  <c r="C193" i="229"/>
  <c r="C193" i="222"/>
  <c r="C193" i="221"/>
  <c r="C193" i="220"/>
  <c r="C204" i="225"/>
  <c r="C204" i="228"/>
  <c r="C204" i="229"/>
  <c r="C204" i="227"/>
  <c r="C204" i="226"/>
  <c r="C204" i="223"/>
  <c r="C204" i="222"/>
  <c r="C204" i="221"/>
  <c r="C204" i="220"/>
  <c r="T73" i="204"/>
  <c r="C80" i="204"/>
  <c r="B16" i="218"/>
  <c r="B113" i="218"/>
  <c r="C149" i="218"/>
  <c r="C26" i="219"/>
  <c r="AF48" i="219"/>
  <c r="AK48" i="219" s="1"/>
  <c r="B62" i="219"/>
  <c r="Y64" i="219"/>
  <c r="Z83" i="219"/>
  <c r="AK83" i="219" s="1"/>
  <c r="AI85" i="219"/>
  <c r="AK85" i="219" s="1"/>
  <c r="Z92" i="219"/>
  <c r="AD97" i="219"/>
  <c r="Z128" i="219"/>
  <c r="AG133" i="219"/>
  <c r="AD133" i="219"/>
  <c r="AK133" i="219" s="1"/>
  <c r="AH133" i="219"/>
  <c r="Y135" i="219"/>
  <c r="AE138" i="219"/>
  <c r="AK138" i="219" s="1"/>
  <c r="AJ141" i="219"/>
  <c r="AB141" i="219"/>
  <c r="AK141" i="219" s="1"/>
  <c r="AD141" i="219"/>
  <c r="AG141" i="219"/>
  <c r="AB147" i="219"/>
  <c r="AA148" i="219"/>
  <c r="Z150" i="219"/>
  <c r="AK150" i="219" s="1"/>
  <c r="AA150" i="219"/>
  <c r="AG150" i="219"/>
  <c r="AE151" i="219"/>
  <c r="AD152" i="219"/>
  <c r="Z161" i="219"/>
  <c r="AK161" i="219" s="1"/>
  <c r="AA161" i="219"/>
  <c r="AG161" i="219"/>
  <c r="AD162" i="219"/>
  <c r="AB163" i="219"/>
  <c r="AC165" i="219"/>
  <c r="AK165" i="219" s="1"/>
  <c r="AE165" i="219"/>
  <c r="AJ165" i="219"/>
  <c r="AJ172" i="219" s="1"/>
  <c r="AB167" i="219"/>
  <c r="AK167" i="219" s="1"/>
  <c r="Z174" i="219"/>
  <c r="AK174" i="219" s="1"/>
  <c r="AH176" i="219"/>
  <c r="AH183" i="219" s="1"/>
  <c r="AB178" i="219"/>
  <c r="AK178" i="219" s="1"/>
  <c r="AB181" i="219"/>
  <c r="Z181" i="219"/>
  <c r="AD181" i="219"/>
  <c r="AK181" i="219" s="1"/>
  <c r="AH181" i="219"/>
  <c r="AD203" i="219"/>
  <c r="AE204" i="219"/>
  <c r="Z16" i="220"/>
  <c r="Z19" i="220" s="1"/>
  <c r="AI16" i="220"/>
  <c r="AH16" i="220"/>
  <c r="AD16" i="220"/>
  <c r="Y16" i="220"/>
  <c r="AG16" i="220"/>
  <c r="AG19" i="220" s="1"/>
  <c r="AF16" i="220"/>
  <c r="AE16" i="220"/>
  <c r="AC16" i="220"/>
  <c r="AA16" i="220"/>
  <c r="AI24" i="220"/>
  <c r="F37" i="220"/>
  <c r="AC19" i="220"/>
  <c r="C26" i="220"/>
  <c r="Z12" i="220"/>
  <c r="AF19" i="220"/>
  <c r="AJ27" i="220"/>
  <c r="AF27" i="220"/>
  <c r="AA27" i="220"/>
  <c r="AI27" i="220"/>
  <c r="Y27" i="220"/>
  <c r="AG27" i="220"/>
  <c r="AE27" i="220"/>
  <c r="AD27" i="220"/>
  <c r="AC27" i="220"/>
  <c r="Z27" i="220"/>
  <c r="Y32" i="220"/>
  <c r="AJ32" i="220"/>
  <c r="AE32" i="220"/>
  <c r="AH32" i="220"/>
  <c r="AC32" i="220"/>
  <c r="Z32" i="220"/>
  <c r="AI32" i="220"/>
  <c r="AG32" i="220"/>
  <c r="AF32" i="220"/>
  <c r="AD32" i="220"/>
  <c r="AB32" i="220"/>
  <c r="AA32" i="220"/>
  <c r="AB38" i="220"/>
  <c r="AE38" i="220"/>
  <c r="AF38" i="220"/>
  <c r="AK38" i="220" s="1"/>
  <c r="Z38" i="220"/>
  <c r="AJ38" i="220"/>
  <c r="AA38" i="220"/>
  <c r="Y38" i="220"/>
  <c r="AI38" i="220"/>
  <c r="AH38" i="220"/>
  <c r="AG38" i="220"/>
  <c r="AG42" i="220" s="1"/>
  <c r="AD38" i="220"/>
  <c r="AC38" i="220"/>
  <c r="AF130" i="219"/>
  <c r="AK130" i="219" s="1"/>
  <c r="AJ130" i="219"/>
  <c r="AG130" i="219"/>
  <c r="AC135" i="219"/>
  <c r="AF147" i="219"/>
  <c r="AI152" i="219"/>
  <c r="B166" i="219"/>
  <c r="AC168" i="219"/>
  <c r="AB170" i="219"/>
  <c r="AH170" i="219"/>
  <c r="AF170" i="219"/>
  <c r="Z171" i="219"/>
  <c r="AG171" i="219"/>
  <c r="AF171" i="219"/>
  <c r="AD177" i="219"/>
  <c r="AJ177" i="219"/>
  <c r="Y177" i="219"/>
  <c r="AG189" i="219"/>
  <c r="AE189" i="219"/>
  <c r="AF189" i="219"/>
  <c r="AC189" i="219"/>
  <c r="AK189" i="219" s="1"/>
  <c r="AJ189" i="219"/>
  <c r="C193" i="219"/>
  <c r="AI204" i="219"/>
  <c r="AG12" i="220"/>
  <c r="AH50" i="220"/>
  <c r="AF50" i="220"/>
  <c r="AD50" i="220"/>
  <c r="Y50" i="220"/>
  <c r="AA50" i="220"/>
  <c r="AJ50" i="220"/>
  <c r="AE50" i="220"/>
  <c r="AI50" i="220"/>
  <c r="AG50" i="220"/>
  <c r="AC50" i="220"/>
  <c r="AB50" i="220"/>
  <c r="Z50" i="220"/>
  <c r="AH130" i="219"/>
  <c r="AD135" i="219"/>
  <c r="AF142" i="219"/>
  <c r="Y142" i="219"/>
  <c r="AB142" i="219"/>
  <c r="AG147" i="219"/>
  <c r="AJ151" i="219"/>
  <c r="AH151" i="219"/>
  <c r="AH162" i="219"/>
  <c r="AF162" i="219"/>
  <c r="AJ162" i="219"/>
  <c r="AD168" i="219"/>
  <c r="AE183" i="219"/>
  <c r="AF178" i="219"/>
  <c r="AD178" i="219"/>
  <c r="AH178" i="219"/>
  <c r="Z191" i="219"/>
  <c r="AJ203" i="219"/>
  <c r="AJ204" i="219"/>
  <c r="AI12" i="220"/>
  <c r="AH19" i="220"/>
  <c r="AK28" i="220"/>
  <c r="AD41" i="220"/>
  <c r="AK41" i="220" s="1"/>
  <c r="AE41" i="220"/>
  <c r="Y41" i="220"/>
  <c r="AA41" i="220"/>
  <c r="AJ41" i="220"/>
  <c r="AB51" i="220"/>
  <c r="AF51" i="220"/>
  <c r="AB198" i="219"/>
  <c r="AB199" i="219" s="1"/>
  <c r="AA198" i="219"/>
  <c r="AA199" i="219" s="1"/>
  <c r="AG198" i="219"/>
  <c r="AA15" i="220"/>
  <c r="AK15" i="220" s="1"/>
  <c r="AB45" i="220"/>
  <c r="AH51" i="220"/>
  <c r="AH44" i="220" s="1"/>
  <c r="Y53" i="220"/>
  <c r="AB53" i="220"/>
  <c r="AD53" i="220"/>
  <c r="AH53" i="220"/>
  <c r="Y56" i="220"/>
  <c r="AA134" i="219"/>
  <c r="Y134" i="219"/>
  <c r="AH134" i="219"/>
  <c r="AF137" i="219"/>
  <c r="AI137" i="219"/>
  <c r="AE137" i="219"/>
  <c r="AK137" i="219" s="1"/>
  <c r="AF157" i="219"/>
  <c r="AK157" i="219" s="1"/>
  <c r="AI175" i="219"/>
  <c r="AD175" i="219"/>
  <c r="AK175" i="219" s="1"/>
  <c r="AG175" i="219"/>
  <c r="AC179" i="219"/>
  <c r="Y179" i="219"/>
  <c r="AK179" i="219" s="1"/>
  <c r="AF179" i="219"/>
  <c r="AH182" i="219"/>
  <c r="AG182" i="219"/>
  <c r="AD182" i="219"/>
  <c r="AK182" i="219" s="1"/>
  <c r="Z188" i="219"/>
  <c r="AK188" i="219" s="1"/>
  <c r="AC188" i="219"/>
  <c r="AH188" i="219"/>
  <c r="AH198" i="219"/>
  <c r="AH199" i="219" s="1"/>
  <c r="Y14" i="220"/>
  <c r="AB15" i="220"/>
  <c r="AG25" i="220"/>
  <c r="AA25" i="220"/>
  <c r="AD25" i="220"/>
  <c r="Y25" i="220"/>
  <c r="AK25" i="220" s="1"/>
  <c r="AJ25" i="220"/>
  <c r="AD45" i="220"/>
  <c r="AG48" i="220"/>
  <c r="AC48" i="220"/>
  <c r="Z48" i="220"/>
  <c r="AK48" i="220" s="1"/>
  <c r="AE48" i="220"/>
  <c r="Y48" i="220"/>
  <c r="AJ48" i="220"/>
  <c r="Z56" i="220"/>
  <c r="AF60" i="220"/>
  <c r="R60" i="220"/>
  <c r="U60" i="220"/>
  <c r="AH60" i="220"/>
  <c r="AG60" i="220"/>
  <c r="AA60" i="220"/>
  <c r="Z60" i="220"/>
  <c r="AI60" i="220"/>
  <c r="AD60" i="220"/>
  <c r="AC60" i="220"/>
  <c r="L60" i="220"/>
  <c r="AI198" i="219"/>
  <c r="Z14" i="220"/>
  <c r="AD15" i="220"/>
  <c r="AB36" i="220"/>
  <c r="AF36" i="220"/>
  <c r="AA36" i="220"/>
  <c r="AK36" i="220" s="1"/>
  <c r="AJ36" i="220"/>
  <c r="AE45" i="220"/>
  <c r="AE44" i="220" s="1"/>
  <c r="AB52" i="220"/>
  <c r="AC52" i="220"/>
  <c r="AD52" i="220"/>
  <c r="AA52" i="220"/>
  <c r="AK52" i="220" s="1"/>
  <c r="AJ52" i="220"/>
  <c r="AG52" i="220"/>
  <c r="AA56" i="220"/>
  <c r="AD71" i="220"/>
  <c r="N71" i="220"/>
  <c r="AI71" i="220"/>
  <c r="R71" i="220"/>
  <c r="AG71" i="220"/>
  <c r="O71" i="220"/>
  <c r="T71" i="220"/>
  <c r="S71" i="220"/>
  <c r="AE71" i="220"/>
  <c r="K71" i="220"/>
  <c r="AC71" i="220"/>
  <c r="AA71" i="220"/>
  <c r="Z71" i="220"/>
  <c r="Y71" i="220"/>
  <c r="V71" i="220"/>
  <c r="U71" i="220"/>
  <c r="Q71" i="220"/>
  <c r="L71" i="220"/>
  <c r="AJ71" i="220"/>
  <c r="AH71" i="220"/>
  <c r="AF71" i="220"/>
  <c r="AF192" i="219"/>
  <c r="AC192" i="219"/>
  <c r="AK192" i="219" s="1"/>
  <c r="AG192" i="219"/>
  <c r="AJ198" i="219"/>
  <c r="AJ199" i="219" s="1"/>
  <c r="F25" i="220"/>
  <c r="AF76" i="220"/>
  <c r="AF75" i="220" s="1"/>
  <c r="AE51" i="220"/>
  <c r="AD51" i="220"/>
  <c r="AC51" i="220"/>
  <c r="AA51" i="220"/>
  <c r="AJ51" i="220"/>
  <c r="AG51" i="220"/>
  <c r="M71" i="220"/>
  <c r="AH76" i="220"/>
  <c r="AH75" i="220" s="1"/>
  <c r="AK59" i="220"/>
  <c r="AJ69" i="220"/>
  <c r="AF69" i="220"/>
  <c r="AH69" i="220"/>
  <c r="AG69" i="220"/>
  <c r="AA69" i="220"/>
  <c r="Z69" i="220"/>
  <c r="AC69" i="220"/>
  <c r="AB69" i="220"/>
  <c r="Y69" i="220"/>
  <c r="AK69" i="220" s="1"/>
  <c r="AI69" i="220"/>
  <c r="AE69" i="220"/>
  <c r="AK53" i="220"/>
  <c r="AC72" i="220"/>
  <c r="M72" i="220"/>
  <c r="AJ72" i="220"/>
  <c r="S72" i="220"/>
  <c r="R72" i="220"/>
  <c r="AA72" i="220"/>
  <c r="Z72" i="220"/>
  <c r="AK72" i="220" s="1"/>
  <c r="Q72" i="220"/>
  <c r="AI72" i="220"/>
  <c r="P72" i="220"/>
  <c r="V72" i="220"/>
  <c r="U72" i="220"/>
  <c r="T72" i="220"/>
  <c r="O72" i="220"/>
  <c r="N72" i="220"/>
  <c r="L72" i="220"/>
  <c r="AG72" i="220"/>
  <c r="AE72" i="220"/>
  <c r="AD72" i="220"/>
  <c r="AB72" i="220"/>
  <c r="AF11" i="220"/>
  <c r="AE11" i="220"/>
  <c r="Z11" i="220"/>
  <c r="AJ11" i="220"/>
  <c r="AD11" i="220"/>
  <c r="AH11" i="220"/>
  <c r="AB14" i="220"/>
  <c r="AB19" i="220" s="1"/>
  <c r="AD14" i="220"/>
  <c r="AD19" i="220" s="1"/>
  <c r="AI14" i="220"/>
  <c r="AE14" i="220"/>
  <c r="Z15" i="220"/>
  <c r="AC15" i="220"/>
  <c r="AI15" i="220"/>
  <c r="AE15" i="220"/>
  <c r="AC45" i="220"/>
  <c r="AF45" i="220"/>
  <c r="AF44" i="220" s="1"/>
  <c r="Z45" i="220"/>
  <c r="AK45" i="220" s="1"/>
  <c r="AG45" i="220"/>
  <c r="AA45" i="220"/>
  <c r="Y51" i="220"/>
  <c r="AE56" i="220"/>
  <c r="AH56" i="220"/>
  <c r="AF56" i="220"/>
  <c r="AB56" i="220"/>
  <c r="AG56" i="220"/>
  <c r="AD69" i="220"/>
  <c r="Y76" i="220"/>
  <c r="AA76" i="220"/>
  <c r="AA75" i="220" s="1"/>
  <c r="AJ76" i="220"/>
  <c r="AJ75" i="220" s="1"/>
  <c r="AE76" i="220"/>
  <c r="AE75" i="220" s="1"/>
  <c r="AD76" i="220"/>
  <c r="AG76" i="220"/>
  <c r="AG75" i="220" s="1"/>
  <c r="AC76" i="220"/>
  <c r="AC75" i="220" s="1"/>
  <c r="AB76" i="220"/>
  <c r="AB75" i="220" s="1"/>
  <c r="Z76" i="220"/>
  <c r="AD198" i="219"/>
  <c r="AD199" i="219" s="1"/>
  <c r="AJ205" i="219"/>
  <c r="AD205" i="219"/>
  <c r="Y205" i="219"/>
  <c r="AK205" i="219" s="1"/>
  <c r="AG205" i="219"/>
  <c r="AD36" i="220"/>
  <c r="AI41" i="220"/>
  <c r="AD48" i="220"/>
  <c r="Z51" i="220"/>
  <c r="AH52" i="220"/>
  <c r="Y66" i="220"/>
  <c r="AF79" i="220"/>
  <c r="AF140" i="220"/>
  <c r="Y140" i="220"/>
  <c r="AJ140" i="220"/>
  <c r="AI140" i="220"/>
  <c r="AG140" i="220"/>
  <c r="AH140" i="220"/>
  <c r="AE140" i="220"/>
  <c r="AD140" i="220"/>
  <c r="AJ40" i="220"/>
  <c r="AA40" i="220"/>
  <c r="AK40" i="220" s="1"/>
  <c r="AI40" i="220"/>
  <c r="AD40" i="220"/>
  <c r="Z66" i="220"/>
  <c r="AE89" i="220"/>
  <c r="Z131" i="220"/>
  <c r="AA131" i="220"/>
  <c r="AJ131" i="220"/>
  <c r="AB131" i="220"/>
  <c r="Y131" i="220"/>
  <c r="AK131" i="220" s="1"/>
  <c r="AI131" i="220"/>
  <c r="AD138" i="220"/>
  <c r="AJ138" i="220"/>
  <c r="AE138" i="220"/>
  <c r="AB138" i="220"/>
  <c r="Y138" i="220"/>
  <c r="AK138" i="220" s="1"/>
  <c r="AI138" i="220"/>
  <c r="AE70" i="220"/>
  <c r="AH70" i="220"/>
  <c r="AC70" i="220"/>
  <c r="AG70" i="220"/>
  <c r="AF70" i="220"/>
  <c r="Y70" i="220"/>
  <c r="Q70" i="220"/>
  <c r="AI79" i="220"/>
  <c r="AH79" i="220"/>
  <c r="AB79" i="220"/>
  <c r="AD79" i="220"/>
  <c r="AC79" i="220"/>
  <c r="AJ79" i="220"/>
  <c r="AD126" i="220"/>
  <c r="Y126" i="220"/>
  <c r="AJ126" i="220"/>
  <c r="AH126" i="220"/>
  <c r="AI126" i="220"/>
  <c r="AF126" i="220"/>
  <c r="AE126" i="220"/>
  <c r="Z126" i="220"/>
  <c r="F129" i="220"/>
  <c r="AH164" i="220"/>
  <c r="AF130" i="220"/>
  <c r="AB130" i="220"/>
  <c r="AE130" i="220"/>
  <c r="AC130" i="220"/>
  <c r="AD130" i="220"/>
  <c r="AA130" i="220"/>
  <c r="Z130" i="220"/>
  <c r="Y196" i="219"/>
  <c r="AA196" i="219"/>
  <c r="AJ196" i="219"/>
  <c r="AG196" i="219"/>
  <c r="Z54" i="220"/>
  <c r="AI54" i="220"/>
  <c r="AE63" i="220"/>
  <c r="AJ63" i="220"/>
  <c r="AG63" i="220"/>
  <c r="AF63" i="220"/>
  <c r="Z63" i="220"/>
  <c r="Y63" i="220"/>
  <c r="F78" i="220"/>
  <c r="Y127" i="220"/>
  <c r="Y170" i="220"/>
  <c r="AH170" i="220"/>
  <c r="AC170" i="220"/>
  <c r="AA170" i="220"/>
  <c r="AB170" i="220"/>
  <c r="AJ170" i="220"/>
  <c r="AI170" i="220"/>
  <c r="AG170" i="220"/>
  <c r="AF170" i="220"/>
  <c r="AE170" i="220"/>
  <c r="Z170" i="220"/>
  <c r="AG66" i="220"/>
  <c r="AD66" i="220"/>
  <c r="AJ66" i="220"/>
  <c r="AC66" i="220"/>
  <c r="AB66" i="220"/>
  <c r="Z70" i="220"/>
  <c r="AB126" i="220"/>
  <c r="AJ137" i="220"/>
  <c r="Z137" i="220"/>
  <c r="AI137" i="220"/>
  <c r="AG137" i="220"/>
  <c r="AA137" i="220"/>
  <c r="AB137" i="220"/>
  <c r="Y137" i="220"/>
  <c r="T74" i="219"/>
  <c r="AF149" i="219"/>
  <c r="AK149" i="219" s="1"/>
  <c r="AH159" i="219"/>
  <c r="AK159" i="219" s="1"/>
  <c r="AF194" i="219"/>
  <c r="AF199" i="219" s="1"/>
  <c r="AE197" i="219"/>
  <c r="AI197" i="219"/>
  <c r="AC197" i="219"/>
  <c r="AK197" i="219" s="1"/>
  <c r="AG197" i="219"/>
  <c r="AI42" i="220"/>
  <c r="AC40" i="220"/>
  <c r="Y54" i="220"/>
  <c r="AK55" i="220"/>
  <c r="Z62" i="220"/>
  <c r="AH62" i="220"/>
  <c r="AG62" i="220"/>
  <c r="AF62" i="220"/>
  <c r="AA62" i="220"/>
  <c r="Y62" i="220"/>
  <c r="AA63" i="220"/>
  <c r="AA70" i="220"/>
  <c r="AC126" i="220"/>
  <c r="AC131" i="220"/>
  <c r="AA138" i="220"/>
  <c r="AB140" i="220"/>
  <c r="AD170" i="220"/>
  <c r="AB70" i="220"/>
  <c r="AE127" i="220"/>
  <c r="AJ127" i="220"/>
  <c r="AC127" i="220"/>
  <c r="AA127" i="220"/>
  <c r="AK127" i="220" s="1"/>
  <c r="AF127" i="220"/>
  <c r="AD127" i="220"/>
  <c r="AB127" i="220"/>
  <c r="AD128" i="220"/>
  <c r="AF128" i="220"/>
  <c r="AC128" i="220"/>
  <c r="AJ128" i="220"/>
  <c r="AI128" i="220"/>
  <c r="AH128" i="220"/>
  <c r="AB128" i="220"/>
  <c r="AA128" i="220"/>
  <c r="Z128" i="220"/>
  <c r="AJ164" i="220"/>
  <c r="Z164" i="220"/>
  <c r="AD164" i="220"/>
  <c r="AB164" i="220"/>
  <c r="Y164" i="220"/>
  <c r="AG164" i="220"/>
  <c r="AF164" i="220"/>
  <c r="AE164" i="220"/>
  <c r="AC164" i="220"/>
  <c r="AA164" i="220"/>
  <c r="AD70" i="220"/>
  <c r="Y79" i="220"/>
  <c r="AK79" i="220" s="1"/>
  <c r="AB89" i="220"/>
  <c r="AI89" i="220"/>
  <c r="AI80" i="220" s="1"/>
  <c r="AG89" i="220"/>
  <c r="AD89" i="220"/>
  <c r="AC89" i="220"/>
  <c r="AA89" i="220"/>
  <c r="AK89" i="220" s="1"/>
  <c r="Y130" i="220"/>
  <c r="AE131" i="220"/>
  <c r="AC137" i="220"/>
  <c r="AF138" i="220"/>
  <c r="AI70" i="220"/>
  <c r="Z79" i="220"/>
  <c r="Y128" i="220"/>
  <c r="AG130" i="220"/>
  <c r="AD137" i="220"/>
  <c r="AC61" i="220"/>
  <c r="AJ61" i="220"/>
  <c r="AG61" i="220"/>
  <c r="AF61" i="220"/>
  <c r="Z61" i="220"/>
  <c r="AK61" i="220" s="1"/>
  <c r="Y61" i="220"/>
  <c r="AJ70" i="220"/>
  <c r="AK70" i="220" s="1"/>
  <c r="AA79" i="220"/>
  <c r="AE128" i="220"/>
  <c r="AH130" i="220"/>
  <c r="AJ134" i="220"/>
  <c r="AB134" i="220"/>
  <c r="Z134" i="220"/>
  <c r="AK134" i="220" s="1"/>
  <c r="AE134" i="220"/>
  <c r="AC134" i="220"/>
  <c r="Y134" i="220"/>
  <c r="AE137" i="220"/>
  <c r="AB157" i="220"/>
  <c r="AB172" i="220" s="1"/>
  <c r="AH157" i="220"/>
  <c r="AF157" i="220"/>
  <c r="AF172" i="220" s="1"/>
  <c r="Z157" i="220"/>
  <c r="AK157" i="220" s="1"/>
  <c r="AI162" i="220"/>
  <c r="AH162" i="220"/>
  <c r="AG162" i="220"/>
  <c r="AJ162" i="220"/>
  <c r="AE162" i="220"/>
  <c r="AF193" i="220"/>
  <c r="AD193" i="220"/>
  <c r="AA193" i="220"/>
  <c r="Z193" i="220"/>
  <c r="Y193" i="220"/>
  <c r="F198" i="220"/>
  <c r="AB11" i="221"/>
  <c r="Y11" i="221"/>
  <c r="AE11" i="221"/>
  <c r="AC11" i="221"/>
  <c r="AA11" i="221"/>
  <c r="Z11" i="221"/>
  <c r="AB33" i="221"/>
  <c r="AC33" i="221"/>
  <c r="AJ33" i="221"/>
  <c r="AJ42" i="221" s="1"/>
  <c r="AD33" i="221"/>
  <c r="AA33" i="221"/>
  <c r="Z33" i="221"/>
  <c r="Z42" i="221" s="1"/>
  <c r="AI33" i="221"/>
  <c r="AH33" i="221"/>
  <c r="AG33" i="221"/>
  <c r="AF33" i="221"/>
  <c r="AF42" i="221" s="1"/>
  <c r="AE33" i="221"/>
  <c r="AC180" i="220"/>
  <c r="AH180" i="220"/>
  <c r="AI180" i="220"/>
  <c r="AF180" i="220"/>
  <c r="AE180" i="220"/>
  <c r="AD180" i="220"/>
  <c r="AA180" i="220"/>
  <c r="AD192" i="220"/>
  <c r="AB192" i="220"/>
  <c r="AJ192" i="220"/>
  <c r="AE192" i="220"/>
  <c r="AC192" i="220"/>
  <c r="AA192" i="220"/>
  <c r="Y192" i="220"/>
  <c r="AB175" i="220"/>
  <c r="AA175" i="220"/>
  <c r="Y175" i="220"/>
  <c r="Y183" i="220" s="1"/>
  <c r="AD175" i="220"/>
  <c r="Z175" i="220"/>
  <c r="AJ176" i="220"/>
  <c r="AI176" i="220"/>
  <c r="AI183" i="220" s="1"/>
  <c r="AG176" i="220"/>
  <c r="Y176" i="220"/>
  <c r="AH176" i="220"/>
  <c r="AB178" i="220"/>
  <c r="AE178" i="220"/>
  <c r="AF178" i="220"/>
  <c r="AC178" i="220"/>
  <c r="AJ178" i="220"/>
  <c r="AI179" i="220"/>
  <c r="Y179" i="220"/>
  <c r="AK179" i="220" s="1"/>
  <c r="AH179" i="220"/>
  <c r="AG179" i="220"/>
  <c r="AF179" i="220"/>
  <c r="AD179" i="220"/>
  <c r="AI199" i="220"/>
  <c r="Y12" i="221"/>
  <c r="AI35" i="221"/>
  <c r="AF36" i="221"/>
  <c r="AC41" i="221"/>
  <c r="AA41" i="221"/>
  <c r="Z41" i="221"/>
  <c r="AB41" i="221"/>
  <c r="AF41" i="221"/>
  <c r="AE41" i="221"/>
  <c r="AD41" i="221"/>
  <c r="Y41" i="221"/>
  <c r="AC67" i="220"/>
  <c r="AE83" i="220"/>
  <c r="AE80" i="220" s="1"/>
  <c r="Z83" i="220"/>
  <c r="AK83" i="220" s="1"/>
  <c r="AE88" i="220"/>
  <c r="AJ88" i="220"/>
  <c r="AG88" i="220"/>
  <c r="AJ91" i="220"/>
  <c r="AF91" i="220"/>
  <c r="AE91" i="220"/>
  <c r="AD91" i="220"/>
  <c r="AB91" i="220"/>
  <c r="AH133" i="220"/>
  <c r="AD135" i="220"/>
  <c r="AG135" i="220"/>
  <c r="AA135" i="220"/>
  <c r="Y135" i="220"/>
  <c r="AJ135" i="220"/>
  <c r="AI147" i="220"/>
  <c r="AF151" i="220"/>
  <c r="Y162" i="220"/>
  <c r="AA165" i="220"/>
  <c r="AA171" i="220"/>
  <c r="AD195" i="220"/>
  <c r="AF195" i="220"/>
  <c r="AF199" i="220" s="1"/>
  <c r="AA195" i="220"/>
  <c r="Y195" i="220"/>
  <c r="AK195" i="220" s="1"/>
  <c r="AG204" i="220"/>
  <c r="AB8" i="221"/>
  <c r="AB12" i="221" s="1"/>
  <c r="AH24" i="221"/>
  <c r="AE25" i="221"/>
  <c r="Z49" i="221"/>
  <c r="Y49" i="221"/>
  <c r="AI49" i="221"/>
  <c r="AD49" i="221"/>
  <c r="AC49" i="221"/>
  <c r="AB49" i="221"/>
  <c r="AA49" i="221"/>
  <c r="AG199" i="219"/>
  <c r="AI187" i="219"/>
  <c r="AI199" i="219" s="1"/>
  <c r="AF190" i="219"/>
  <c r="AK190" i="219" s="1"/>
  <c r="AG26" i="220"/>
  <c r="AK26" i="220" s="1"/>
  <c r="AF29" i="220"/>
  <c r="AK29" i="220" s="1"/>
  <c r="AA30" i="220"/>
  <c r="AK30" i="220" s="1"/>
  <c r="AE49" i="220"/>
  <c r="AK49" i="220" s="1"/>
  <c r="AC58" i="220"/>
  <c r="AK58" i="220" s="1"/>
  <c r="AD59" i="220"/>
  <c r="Y65" i="220"/>
  <c r="AI65" i="220"/>
  <c r="AK65" i="220" s="1"/>
  <c r="Z65" i="220"/>
  <c r="AG65" i="220"/>
  <c r="AE67" i="220"/>
  <c r="Y78" i="220"/>
  <c r="AK78" i="220" s="1"/>
  <c r="AD78" i="220"/>
  <c r="AD75" i="220" s="1"/>
  <c r="AI78" i="220"/>
  <c r="AI75" i="220" s="1"/>
  <c r="F128" i="220"/>
  <c r="AE132" i="220"/>
  <c r="AC132" i="220"/>
  <c r="AI132" i="220"/>
  <c r="AG132" i="220"/>
  <c r="AF132" i="220"/>
  <c r="AB132" i="220"/>
  <c r="AK132" i="220" s="1"/>
  <c r="AJ132" i="220"/>
  <c r="AA136" i="220"/>
  <c r="AI136" i="220"/>
  <c r="AG136" i="220"/>
  <c r="AH136" i="220"/>
  <c r="AD139" i="220"/>
  <c r="Z139" i="220"/>
  <c r="AK139" i="220" s="1"/>
  <c r="AJ139" i="220"/>
  <c r="AG139" i="220"/>
  <c r="AD143" i="220"/>
  <c r="AA143" i="220"/>
  <c r="AC143" i="220"/>
  <c r="Z143" i="220"/>
  <c r="AH143" i="220"/>
  <c r="AK143" i="220" s="1"/>
  <c r="AF143" i="220"/>
  <c r="AJ144" i="220"/>
  <c r="AB144" i="220"/>
  <c r="Z144" i="220"/>
  <c r="AK144" i="220" s="1"/>
  <c r="AG144" i="220"/>
  <c r="Z162" i="220"/>
  <c r="AC165" i="220"/>
  <c r="AC171" i="220"/>
  <c r="AG174" i="220"/>
  <c r="AE174" i="220"/>
  <c r="AE183" i="220" s="1"/>
  <c r="AB174" i="220"/>
  <c r="Z174" i="220"/>
  <c r="AD174" i="220"/>
  <c r="AA174" i="220"/>
  <c r="AB190" i="220"/>
  <c r="AE190" i="220"/>
  <c r="AC190" i="220"/>
  <c r="AK190" i="220" s="1"/>
  <c r="AJ190" i="220"/>
  <c r="AI190" i="220"/>
  <c r="AG190" i="220"/>
  <c r="AH204" i="220"/>
  <c r="AA29" i="221"/>
  <c r="AB29" i="221"/>
  <c r="Y29" i="221"/>
  <c r="AD29" i="221"/>
  <c r="AC29" i="221"/>
  <c r="Z29" i="221"/>
  <c r="Y133" i="220"/>
  <c r="AD133" i="220"/>
  <c r="AB133" i="220"/>
  <c r="AE133" i="220"/>
  <c r="AA133" i="220"/>
  <c r="AJ133" i="220"/>
  <c r="Y148" i="220"/>
  <c r="AF148" i="220"/>
  <c r="AD148" i="220"/>
  <c r="AA148" i="220"/>
  <c r="AG152" i="220"/>
  <c r="Y152" i="220"/>
  <c r="AK152" i="220" s="1"/>
  <c r="AI152" i="220"/>
  <c r="AA162" i="220"/>
  <c r="AE165" i="220"/>
  <c r="AG16" i="221"/>
  <c r="AI42" i="221"/>
  <c r="Y33" i="221"/>
  <c r="AI36" i="221"/>
  <c r="Y36" i="221"/>
  <c r="AJ36" i="221"/>
  <c r="AH36" i="221"/>
  <c r="AA36" i="221"/>
  <c r="Z36" i="221"/>
  <c r="AK40" i="221"/>
  <c r="AH16" i="221"/>
  <c r="AB25" i="221"/>
  <c r="AI25" i="221"/>
  <c r="AJ25" i="221"/>
  <c r="AG25" i="221"/>
  <c r="AH25" i="221"/>
  <c r="Y25" i="221"/>
  <c r="Z147" i="220"/>
  <c r="AB147" i="220"/>
  <c r="AH147" i="220"/>
  <c r="AF147" i="220"/>
  <c r="Y147" i="220"/>
  <c r="AA157" i="220"/>
  <c r="AC162" i="220"/>
  <c r="AH165" i="220"/>
  <c r="AF171" i="220"/>
  <c r="AB171" i="220"/>
  <c r="AJ171" i="220"/>
  <c r="AJ172" i="220" s="1"/>
  <c r="AG171" i="220"/>
  <c r="Y180" i="220"/>
  <c r="AD204" i="220"/>
  <c r="AJ204" i="220"/>
  <c r="AC204" i="220"/>
  <c r="AB204" i="220"/>
  <c r="AA204" i="220"/>
  <c r="Y204" i="220"/>
  <c r="Y19" i="221"/>
  <c r="AI16" i="221"/>
  <c r="AJ142" i="220"/>
  <c r="AF142" i="220"/>
  <c r="AG142" i="220"/>
  <c r="AD142" i="220"/>
  <c r="AI142" i="220"/>
  <c r="AE142" i="220"/>
  <c r="AK142" i="220" s="1"/>
  <c r="AJ151" i="220"/>
  <c r="AA151" i="220"/>
  <c r="AK151" i="220" s="1"/>
  <c r="AI151" i="220"/>
  <c r="AH151" i="220"/>
  <c r="AC157" i="220"/>
  <c r="AC172" i="220" s="1"/>
  <c r="AD162" i="220"/>
  <c r="AH171" i="220"/>
  <c r="Z180" i="220"/>
  <c r="AC193" i="220"/>
  <c r="AG8" i="221"/>
  <c r="AG12" i="221" s="1"/>
  <c r="Z8" i="221"/>
  <c r="AK8" i="221" s="1"/>
  <c r="AC8" i="221"/>
  <c r="AA8" i="221"/>
  <c r="AA12" i="221" s="1"/>
  <c r="AJ8" i="221"/>
  <c r="AI8" i="221"/>
  <c r="AI12" i="221" s="1"/>
  <c r="AD11" i="221"/>
  <c r="AJ24" i="221"/>
  <c r="AA24" i="221"/>
  <c r="Z24" i="221"/>
  <c r="AC24" i="221"/>
  <c r="AE24" i="221"/>
  <c r="AD24" i="221"/>
  <c r="AB24" i="221"/>
  <c r="Y24" i="221"/>
  <c r="AK24" i="221" s="1"/>
  <c r="AF30" i="220"/>
  <c r="AJ33" i="220"/>
  <c r="AH33" i="220"/>
  <c r="AH42" i="220" s="1"/>
  <c r="AD34" i="220"/>
  <c r="AC34" i="220"/>
  <c r="AK34" i="220" s="1"/>
  <c r="AG34" i="220"/>
  <c r="Y39" i="220"/>
  <c r="AK39" i="220" s="1"/>
  <c r="AC39" i="220"/>
  <c r="AJ39" i="220"/>
  <c r="AA57" i="220"/>
  <c r="AK57" i="220" s="1"/>
  <c r="AE57" i="220"/>
  <c r="AJ57" i="220"/>
  <c r="AI59" i="220"/>
  <c r="AK82" i="220"/>
  <c r="AA83" i="220"/>
  <c r="AA88" i="220"/>
  <c r="AK88" i="220" s="1"/>
  <c r="AA91" i="220"/>
  <c r="AC146" i="220"/>
  <c r="AK146" i="220" s="1"/>
  <c r="AD146" i="220"/>
  <c r="AI146" i="220"/>
  <c r="AG146" i="220"/>
  <c r="AA152" i="220"/>
  <c r="AD157" i="220"/>
  <c r="AF162" i="220"/>
  <c r="AA166" i="220"/>
  <c r="AE166" i="220"/>
  <c r="AI166" i="220"/>
  <c r="AI172" i="220" s="1"/>
  <c r="AB166" i="220"/>
  <c r="Y166" i="220"/>
  <c r="Y172" i="220" s="1"/>
  <c r="AA169" i="220"/>
  <c r="AI169" i="220"/>
  <c r="AC169" i="220"/>
  <c r="Z169" i="220"/>
  <c r="AK169" i="220" s="1"/>
  <c r="AH169" i="220"/>
  <c r="AI171" i="220"/>
  <c r="AC175" i="220"/>
  <c r="AC183" i="220" s="1"/>
  <c r="Z176" i="220"/>
  <c r="Y178" i="220"/>
  <c r="AK178" i="220" s="1"/>
  <c r="Z179" i="220"/>
  <c r="AB180" i="220"/>
  <c r="AK191" i="220"/>
  <c r="Z192" i="220"/>
  <c r="AE193" i="220"/>
  <c r="AK193" i="220" s="1"/>
  <c r="AG195" i="220"/>
  <c r="AC196" i="220"/>
  <c r="AI203" i="220"/>
  <c r="Z203" i="220"/>
  <c r="AK203" i="220" s="1"/>
  <c r="AA203" i="220"/>
  <c r="AG203" i="220"/>
  <c r="AF203" i="220"/>
  <c r="AE203" i="220"/>
  <c r="AC203" i="220"/>
  <c r="AF11" i="221"/>
  <c r="AB19" i="221"/>
  <c r="AD67" i="220"/>
  <c r="AB67" i="220"/>
  <c r="AK67" i="220" s="1"/>
  <c r="AD80" i="220"/>
  <c r="AB83" i="220"/>
  <c r="AB88" i="220"/>
  <c r="AC91" i="220"/>
  <c r="Z135" i="220"/>
  <c r="Z148" i="220"/>
  <c r="AE157" i="220"/>
  <c r="AE172" i="220" s="1"/>
  <c r="AE175" i="220"/>
  <c r="AA176" i="220"/>
  <c r="Z178" i="220"/>
  <c r="AA179" i="220"/>
  <c r="AG180" i="220"/>
  <c r="AB199" i="220"/>
  <c r="AF192" i="220"/>
  <c r="AG193" i="220"/>
  <c r="AG11" i="221"/>
  <c r="AC35" i="221"/>
  <c r="AF35" i="221"/>
  <c r="AA35" i="221"/>
  <c r="Y35" i="221"/>
  <c r="AD35" i="221"/>
  <c r="AG35" i="221"/>
  <c r="AE35" i="221"/>
  <c r="AB35" i="221"/>
  <c r="Z35" i="221"/>
  <c r="AG41" i="221"/>
  <c r="AC199" i="220"/>
  <c r="AG192" i="220"/>
  <c r="AH11" i="221"/>
  <c r="AD16" i="221"/>
  <c r="AD19" i="221" s="1"/>
  <c r="AE16" i="221"/>
  <c r="Y16" i="221"/>
  <c r="AF16" i="221"/>
  <c r="AC16" i="221"/>
  <c r="AB16" i="221"/>
  <c r="AA16" i="221"/>
  <c r="Z16" i="221"/>
  <c r="Z19" i="221" s="1"/>
  <c r="AH41" i="221"/>
  <c r="AK50" i="221"/>
  <c r="AH172" i="220"/>
  <c r="AG165" i="220"/>
  <c r="AG172" i="220" s="1"/>
  <c r="AJ165" i="220"/>
  <c r="Y165" i="220"/>
  <c r="AD165" i="220"/>
  <c r="AB165" i="220"/>
  <c r="Z165" i="220"/>
  <c r="AK165" i="220" s="1"/>
  <c r="AH175" i="220"/>
  <c r="AH183" i="220" s="1"/>
  <c r="AD176" i="220"/>
  <c r="AG178" i="220"/>
  <c r="AE179" i="220"/>
  <c r="AI192" i="220"/>
  <c r="AJ193" i="220"/>
  <c r="AJ199" i="220" s="1"/>
  <c r="Z196" i="220"/>
  <c r="AK196" i="220" s="1"/>
  <c r="AJ196" i="220"/>
  <c r="AI196" i="220"/>
  <c r="AG196" i="220"/>
  <c r="AH196" i="220"/>
  <c r="AJ11" i="221"/>
  <c r="AC36" i="221"/>
  <c r="AJ41" i="221"/>
  <c r="Y150" i="220"/>
  <c r="AC150" i="220"/>
  <c r="AJ150" i="220"/>
  <c r="AG150" i="220"/>
  <c r="AK156" i="220"/>
  <c r="AB160" i="220"/>
  <c r="Y160" i="220"/>
  <c r="AK160" i="220" s="1"/>
  <c r="AG160" i="220"/>
  <c r="AB161" i="220"/>
  <c r="AC191" i="220"/>
  <c r="AD197" i="220"/>
  <c r="AF198" i="220"/>
  <c r="AE15" i="221"/>
  <c r="AE19" i="221" s="1"/>
  <c r="AC18" i="221"/>
  <c r="AF18" i="221"/>
  <c r="AA18" i="221"/>
  <c r="Y18" i="221"/>
  <c r="AK18" i="221" s="1"/>
  <c r="AD18" i="221"/>
  <c r="AJ18" i="221"/>
  <c r="Y23" i="221"/>
  <c r="AD39" i="221"/>
  <c r="Y39" i="221"/>
  <c r="AK39" i="221" s="1"/>
  <c r="Z39" i="221"/>
  <c r="AH39" i="221"/>
  <c r="AB58" i="221"/>
  <c r="AK63" i="221"/>
  <c r="AD68" i="221"/>
  <c r="AJ68" i="221"/>
  <c r="AG68" i="221"/>
  <c r="AF68" i="221"/>
  <c r="AE68" i="221"/>
  <c r="AC68" i="221"/>
  <c r="AK68" i="221" s="1"/>
  <c r="AI68" i="221"/>
  <c r="AH68" i="221"/>
  <c r="AB27" i="221"/>
  <c r="AK27" i="221" s="1"/>
  <c r="Z27" i="221"/>
  <c r="AG27" i="221"/>
  <c r="AA31" i="221"/>
  <c r="Y31" i="221"/>
  <c r="AF31" i="221"/>
  <c r="AD31" i="221"/>
  <c r="AH31" i="221"/>
  <c r="AC38" i="221"/>
  <c r="AE38" i="221"/>
  <c r="AD38" i="221"/>
  <c r="AA38" i="221"/>
  <c r="AK38" i="221" s="1"/>
  <c r="AF38" i="221"/>
  <c r="AJ52" i="221"/>
  <c r="AA52" i="221"/>
  <c r="Z52" i="221"/>
  <c r="AK52" i="221" s="1"/>
  <c r="AC52" i="221"/>
  <c r="AB52" i="221"/>
  <c r="AD52" i="221"/>
  <c r="AK56" i="221"/>
  <c r="AC58" i="221"/>
  <c r="T74" i="221"/>
  <c r="AE78" i="221"/>
  <c r="Y81" i="220"/>
  <c r="Z81" i="220"/>
  <c r="Z80" i="220" s="1"/>
  <c r="AF81" i="220"/>
  <c r="AF80" i="220" s="1"/>
  <c r="AG82" i="220"/>
  <c r="AG80" i="220" s="1"/>
  <c r="AJ82" i="220"/>
  <c r="AA82" i="220"/>
  <c r="AA80" i="220" s="1"/>
  <c r="AH82" i="220"/>
  <c r="AC84" i="220"/>
  <c r="AC80" i="220" s="1"/>
  <c r="AH84" i="220"/>
  <c r="AA84" i="220"/>
  <c r="AK84" i="220" s="1"/>
  <c r="Z85" i="220"/>
  <c r="AF85" i="220"/>
  <c r="AA85" i="220"/>
  <c r="AC86" i="220"/>
  <c r="Y86" i="220"/>
  <c r="AK86" i="220" s="1"/>
  <c r="AJ86" i="220"/>
  <c r="AK87" i="220"/>
  <c r="AI150" i="220"/>
  <c r="AH159" i="220"/>
  <c r="AD159" i="220"/>
  <c r="AB159" i="220"/>
  <c r="Z159" i="220"/>
  <c r="AK159" i="220" s="1"/>
  <c r="AD187" i="220"/>
  <c r="Z187" i="220"/>
  <c r="AH189" i="220"/>
  <c r="AC189" i="220"/>
  <c r="AK189" i="220" s="1"/>
  <c r="AJ189" i="220"/>
  <c r="AG189" i="220"/>
  <c r="AC9" i="221"/>
  <c r="Z9" i="221"/>
  <c r="AK9" i="221" s="1"/>
  <c r="AJ9" i="221"/>
  <c r="AC14" i="221"/>
  <c r="AA14" i="221"/>
  <c r="AI14" i="221"/>
  <c r="AG14" i="221"/>
  <c r="AA23" i="221"/>
  <c r="AH27" i="221"/>
  <c r="AG32" i="221"/>
  <c r="AF32" i="221"/>
  <c r="Y32" i="221"/>
  <c r="AK32" i="221" s="1"/>
  <c r="AA32" i="221"/>
  <c r="AI32" i="221"/>
  <c r="AD58" i="221"/>
  <c r="Y74" i="221"/>
  <c r="AK187" i="220"/>
  <c r="AF197" i="220"/>
  <c r="AJ197" i="220"/>
  <c r="AK197" i="220" s="1"/>
  <c r="AH197" i="220"/>
  <c r="AE197" i="220"/>
  <c r="Z198" i="220"/>
  <c r="AK198" i="220" s="1"/>
  <c r="AE198" i="220"/>
  <c r="AD198" i="220"/>
  <c r="AB198" i="220"/>
  <c r="AI198" i="220"/>
  <c r="AK205" i="220"/>
  <c r="AJ15" i="221"/>
  <c r="AJ19" i="221" s="1"/>
  <c r="AC15" i="221"/>
  <c r="AK15" i="221" s="1"/>
  <c r="AA15" i="221"/>
  <c r="AH15" i="221"/>
  <c r="AH19" i="221" s="1"/>
  <c r="AK17" i="221"/>
  <c r="AD23" i="221"/>
  <c r="AI27" i="221"/>
  <c r="Z51" i="221"/>
  <c r="AK51" i="221" s="1"/>
  <c r="AD51" i="221"/>
  <c r="AC51" i="221"/>
  <c r="AB51" i="221"/>
  <c r="AA51" i="221"/>
  <c r="AE51" i="221"/>
  <c r="AB53" i="221"/>
  <c r="AA57" i="221"/>
  <c r="AA74" i="221"/>
  <c r="AG79" i="221"/>
  <c r="AE79" i="221"/>
  <c r="AD79" i="221"/>
  <c r="AC79" i="221"/>
  <c r="AB79" i="221"/>
  <c r="AA79" i="221"/>
  <c r="AI79" i="221"/>
  <c r="AH79" i="221"/>
  <c r="AF79" i="221"/>
  <c r="Z79" i="221"/>
  <c r="Y79" i="221"/>
  <c r="Y81" i="221"/>
  <c r="AK81" i="221" s="1"/>
  <c r="Z81" i="221"/>
  <c r="AJ81" i="221"/>
  <c r="AD81" i="221"/>
  <c r="AC81" i="221"/>
  <c r="AB81" i="221"/>
  <c r="AA81" i="221"/>
  <c r="AI81" i="221"/>
  <c r="AH81" i="221"/>
  <c r="AG81" i="221"/>
  <c r="AF81" i="221"/>
  <c r="AE81" i="221"/>
  <c r="AJ161" i="220"/>
  <c r="AH161" i="220"/>
  <c r="AI161" i="220"/>
  <c r="AF161" i="220"/>
  <c r="AG161" i="220"/>
  <c r="AK182" i="220"/>
  <c r="AA199" i="220"/>
  <c r="AJ191" i="220"/>
  <c r="AG191" i="220"/>
  <c r="Z191" i="220"/>
  <c r="AH191" i="220"/>
  <c r="AJ198" i="220"/>
  <c r="AI15" i="221"/>
  <c r="AJ27" i="221"/>
  <c r="AF74" i="221"/>
  <c r="AH70" i="221"/>
  <c r="AE70" i="221"/>
  <c r="AD70" i="221"/>
  <c r="AC70" i="221"/>
  <c r="AB70" i="221"/>
  <c r="AI70" i="221"/>
  <c r="AG70" i="221"/>
  <c r="AF70" i="221"/>
  <c r="AA70" i="221"/>
  <c r="AJ70" i="221"/>
  <c r="AG74" i="221"/>
  <c r="AB83" i="221"/>
  <c r="AF83" i="221"/>
  <c r="AE83" i="221"/>
  <c r="AD83" i="221"/>
  <c r="AC83" i="221"/>
  <c r="AA83" i="221"/>
  <c r="AG83" i="221"/>
  <c r="Z83" i="221"/>
  <c r="Y83" i="221"/>
  <c r="AJ83" i="221"/>
  <c r="AI83" i="221"/>
  <c r="AH83" i="221"/>
  <c r="Z78" i="221"/>
  <c r="AJ78" i="221"/>
  <c r="AI78" i="221"/>
  <c r="AH78" i="221"/>
  <c r="AG78" i="221"/>
  <c r="AD78" i="221"/>
  <c r="AC78" i="221"/>
  <c r="AB78" i="221"/>
  <c r="AA78" i="221"/>
  <c r="Y78" i="221"/>
  <c r="AK85" i="221"/>
  <c r="Z58" i="221"/>
  <c r="AJ58" i="221"/>
  <c r="AH58" i="221"/>
  <c r="AG58" i="221"/>
  <c r="AE58" i="221"/>
  <c r="AI58" i="221"/>
  <c r="L70" i="221"/>
  <c r="Z74" i="221"/>
  <c r="AE74" i="221"/>
  <c r="N74" i="221"/>
  <c r="AD74" i="221"/>
  <c r="M74" i="221"/>
  <c r="AC74" i="221"/>
  <c r="L74" i="221"/>
  <c r="AB74" i="221"/>
  <c r="K74" i="221"/>
  <c r="G74" i="221" s="1"/>
  <c r="I74" i="221" s="1"/>
  <c r="Q74" i="221"/>
  <c r="P74" i="221"/>
  <c r="AJ74" i="221"/>
  <c r="O74" i="221"/>
  <c r="AI74" i="221"/>
  <c r="V74" i="221"/>
  <c r="U74" i="221"/>
  <c r="S74" i="221"/>
  <c r="R74" i="221"/>
  <c r="AI105" i="221"/>
  <c r="AD105" i="221"/>
  <c r="AC105" i="221"/>
  <c r="AB105" i="221"/>
  <c r="AA105" i="221"/>
  <c r="Z105" i="221"/>
  <c r="Y105" i="221"/>
  <c r="AJ105" i="221"/>
  <c r="AH105" i="221"/>
  <c r="AG105" i="221"/>
  <c r="AF105" i="221"/>
  <c r="AE105" i="221"/>
  <c r="AB23" i="221"/>
  <c r="AG23" i="221"/>
  <c r="AG42" i="221" s="1"/>
  <c r="AE23" i="221"/>
  <c r="AC23" i="221"/>
  <c r="AC42" i="221" s="1"/>
  <c r="AH23" i="221"/>
  <c r="AH42" i="221" s="1"/>
  <c r="AC27" i="221"/>
  <c r="AE31" i="221"/>
  <c r="AH38" i="221"/>
  <c r="AH51" i="221"/>
  <c r="Y64" i="221"/>
  <c r="AC64" i="221"/>
  <c r="AB64" i="221"/>
  <c r="AA64" i="221"/>
  <c r="Z64" i="221"/>
  <c r="AH64" i="221"/>
  <c r="AD64" i="221"/>
  <c r="AE65" i="221"/>
  <c r="AJ65" i="221"/>
  <c r="AI65" i="221"/>
  <c r="AB65" i="221"/>
  <c r="AH65" i="221"/>
  <c r="Y70" i="221"/>
  <c r="AD72" i="221"/>
  <c r="N72" i="221"/>
  <c r="AF72" i="221"/>
  <c r="O72" i="221"/>
  <c r="AE72" i="221"/>
  <c r="M72" i="221"/>
  <c r="AC72" i="221"/>
  <c r="L72" i="221"/>
  <c r="AB72" i="221"/>
  <c r="AK72" i="221" s="1"/>
  <c r="K72" i="221"/>
  <c r="D72" i="221" s="1"/>
  <c r="P72" i="221"/>
  <c r="AJ72" i="221"/>
  <c r="AI72" i="221"/>
  <c r="AH72" i="221"/>
  <c r="U72" i="221"/>
  <c r="R72" i="221"/>
  <c r="Q72" i="221"/>
  <c r="AF53" i="221"/>
  <c r="Z53" i="221"/>
  <c r="Y53" i="221"/>
  <c r="AA53" i="221"/>
  <c r="AD57" i="221"/>
  <c r="Z57" i="221"/>
  <c r="Y57" i="221"/>
  <c r="AI57" i="221"/>
  <c r="AH57" i="221"/>
  <c r="AF57" i="221"/>
  <c r="AJ57" i="221"/>
  <c r="Y58" i="221"/>
  <c r="Z70" i="221"/>
  <c r="AC80" i="221"/>
  <c r="AB80" i="221"/>
  <c r="AA80" i="221"/>
  <c r="Z80" i="221"/>
  <c r="Y80" i="221"/>
  <c r="AD80" i="221"/>
  <c r="AJ80" i="221"/>
  <c r="AI80" i="221"/>
  <c r="AH80" i="221"/>
  <c r="AG80" i="221"/>
  <c r="AF80" i="221"/>
  <c r="AE80" i="221"/>
  <c r="AE27" i="221"/>
  <c r="AI31" i="221"/>
  <c r="AJ38" i="221"/>
  <c r="AJ51" i="221"/>
  <c r="AA58" i="221"/>
  <c r="AF71" i="221"/>
  <c r="P71" i="221"/>
  <c r="AE71" i="221"/>
  <c r="N71" i="221"/>
  <c r="AD71" i="221"/>
  <c r="M71" i="221"/>
  <c r="AC71" i="221"/>
  <c r="L71" i="221"/>
  <c r="AB71" i="221"/>
  <c r="K71" i="221"/>
  <c r="D71" i="221" s="1"/>
  <c r="V71" i="221"/>
  <c r="U71" i="221"/>
  <c r="T71" i="221"/>
  <c r="S71" i="221"/>
  <c r="AH71" i="221"/>
  <c r="Z71" i="221"/>
  <c r="Y71" i="221"/>
  <c r="AI26" i="221"/>
  <c r="AB26" i="221"/>
  <c r="AF26" i="221"/>
  <c r="AJ47" i="221"/>
  <c r="AF60" i="221"/>
  <c r="AG60" i="221"/>
  <c r="AE60" i="221"/>
  <c r="AD60" i="221"/>
  <c r="AB61" i="221"/>
  <c r="AD61" i="221"/>
  <c r="AC61" i="221"/>
  <c r="AA61" i="221"/>
  <c r="Z62" i="221"/>
  <c r="Y62" i="221"/>
  <c r="AJ62" i="221"/>
  <c r="AB73" i="221"/>
  <c r="L73" i="221"/>
  <c r="AF73" i="221"/>
  <c r="O73" i="221"/>
  <c r="AE73" i="221"/>
  <c r="N73" i="221"/>
  <c r="AD73" i="221"/>
  <c r="M73" i="221"/>
  <c r="AC73" i="221"/>
  <c r="K73" i="221"/>
  <c r="AA73" i="221"/>
  <c r="AB87" i="221"/>
  <c r="AA92" i="221"/>
  <c r="AA153" i="221" s="1"/>
  <c r="AH93" i="221"/>
  <c r="AI118" i="221"/>
  <c r="AE129" i="221"/>
  <c r="AH130" i="221"/>
  <c r="AB131" i="221"/>
  <c r="Y140" i="221"/>
  <c r="AC140" i="221"/>
  <c r="AB140" i="221"/>
  <c r="AA140" i="221"/>
  <c r="Z140" i="221"/>
  <c r="AI140" i="221"/>
  <c r="AF146" i="221"/>
  <c r="AA170" i="221"/>
  <c r="AE170" i="221"/>
  <c r="AG170" i="221"/>
  <c r="AB170" i="221"/>
  <c r="AH170" i="221"/>
  <c r="AF170" i="221"/>
  <c r="AD170" i="221"/>
  <c r="AC170" i="221"/>
  <c r="Z170" i="221"/>
  <c r="Y170" i="221"/>
  <c r="AC87" i="221"/>
  <c r="AB92" i="221"/>
  <c r="AI93" i="221"/>
  <c r="AB128" i="221"/>
  <c r="AA128" i="221"/>
  <c r="Z128" i="221"/>
  <c r="Y128" i="221"/>
  <c r="AI128" i="221"/>
  <c r="AC131" i="221"/>
  <c r="AK133" i="221"/>
  <c r="AG146" i="221"/>
  <c r="Y150" i="221"/>
  <c r="Z150" i="221"/>
  <c r="AA150" i="221"/>
  <c r="AJ150" i="221"/>
  <c r="AI150" i="221"/>
  <c r="AH150" i="221"/>
  <c r="AJ159" i="221"/>
  <c r="AF159" i="221"/>
  <c r="AC159" i="221"/>
  <c r="AB159" i="221"/>
  <c r="AA159" i="221"/>
  <c r="Z159" i="221"/>
  <c r="Y159" i="221"/>
  <c r="AA180" i="221"/>
  <c r="AH180" i="221"/>
  <c r="AJ180" i="221"/>
  <c r="AD180" i="221"/>
  <c r="Y180" i="221"/>
  <c r="AC180" i="221"/>
  <c r="AB180" i="221"/>
  <c r="Z180" i="221"/>
  <c r="AG180" i="221"/>
  <c r="AJ187" i="221"/>
  <c r="AG187" i="221"/>
  <c r="Y187" i="221"/>
  <c r="AI187" i="221"/>
  <c r="AD187" i="221"/>
  <c r="AC187" i="221"/>
  <c r="AB187" i="221"/>
  <c r="AB199" i="221" s="1"/>
  <c r="AA187" i="221"/>
  <c r="Z187" i="221"/>
  <c r="AH187" i="221"/>
  <c r="AD87" i="221"/>
  <c r="AC92" i="221"/>
  <c r="AD130" i="221"/>
  <c r="AC130" i="221"/>
  <c r="AB130" i="221"/>
  <c r="AA130" i="221"/>
  <c r="Z130" i="221"/>
  <c r="AJ130" i="221"/>
  <c r="AI146" i="221"/>
  <c r="AF164" i="221"/>
  <c r="AI164" i="221"/>
  <c r="AD164" i="221"/>
  <c r="AC164" i="221"/>
  <c r="AB164" i="221"/>
  <c r="AA164" i="221"/>
  <c r="Z164" i="221"/>
  <c r="Y164" i="221"/>
  <c r="Z174" i="221"/>
  <c r="AA174" i="221"/>
  <c r="AJ174" i="221"/>
  <c r="AE174" i="221"/>
  <c r="AE183" i="221" s="1"/>
  <c r="AD174" i="221"/>
  <c r="AC174" i="221"/>
  <c r="AC183" i="221" s="1"/>
  <c r="AB174" i="221"/>
  <c r="Y174" i="221"/>
  <c r="AE87" i="221"/>
  <c r="AD129" i="221"/>
  <c r="AJ129" i="221"/>
  <c r="AI129" i="221"/>
  <c r="AH129" i="221"/>
  <c r="AG129" i="221"/>
  <c r="AD131" i="221"/>
  <c r="AJ131" i="221"/>
  <c r="AI131" i="221"/>
  <c r="AF131" i="221"/>
  <c r="AF149" i="221"/>
  <c r="AD149" i="221"/>
  <c r="AE149" i="221"/>
  <c r="AC149" i="221"/>
  <c r="AB149" i="221"/>
  <c r="AA149" i="221"/>
  <c r="Z149" i="221"/>
  <c r="Y149" i="221"/>
  <c r="AG77" i="221"/>
  <c r="AB77" i="221"/>
  <c r="AA77" i="221"/>
  <c r="Z77" i="221"/>
  <c r="Y77" i="221"/>
  <c r="AI77" i="221"/>
  <c r="AB84" i="221"/>
  <c r="AA84" i="221"/>
  <c r="Z84" i="221"/>
  <c r="Y84" i="221"/>
  <c r="AG131" i="221"/>
  <c r="AB158" i="221"/>
  <c r="Z158" i="221"/>
  <c r="Y158" i="221"/>
  <c r="AG158" i="221"/>
  <c r="AF158" i="221"/>
  <c r="AE158" i="221"/>
  <c r="AD158" i="221"/>
  <c r="AC158" i="221"/>
  <c r="AA158" i="221"/>
  <c r="AH179" i="221"/>
  <c r="Y179" i="221"/>
  <c r="AI179" i="221"/>
  <c r="AD179" i="221"/>
  <c r="AE179" i="221"/>
  <c r="AC179" i="221"/>
  <c r="AB179" i="221"/>
  <c r="AA179" i="221"/>
  <c r="Z179" i="221"/>
  <c r="AJ179" i="221"/>
  <c r="AH87" i="221"/>
  <c r="Z87" i="221"/>
  <c r="Y87" i="221"/>
  <c r="AG87" i="221"/>
  <c r="AE93" i="221"/>
  <c r="AD93" i="221"/>
  <c r="AC93" i="221"/>
  <c r="AB93" i="221"/>
  <c r="AA93" i="221"/>
  <c r="Z93" i="221"/>
  <c r="AH118" i="221"/>
  <c r="AC118" i="221"/>
  <c r="AB118" i="221"/>
  <c r="AA118" i="221"/>
  <c r="Z118" i="221"/>
  <c r="Y118" i="221"/>
  <c r="AB175" i="221"/>
  <c r="AE187" i="221"/>
  <c r="AE199" i="221" s="1"/>
  <c r="Y171" i="221"/>
  <c r="AE171" i="221"/>
  <c r="AH171" i="221"/>
  <c r="AC171" i="221"/>
  <c r="AJ171" i="221"/>
  <c r="AI171" i="221"/>
  <c r="AG171" i="221"/>
  <c r="AF171" i="221"/>
  <c r="AD171" i="221"/>
  <c r="AB171" i="221"/>
  <c r="AB172" i="221" s="1"/>
  <c r="AA171" i="221"/>
  <c r="Z171" i="221"/>
  <c r="Z172" i="221" s="1"/>
  <c r="Y172" i="221"/>
  <c r="AJ92" i="221"/>
  <c r="AH92" i="221"/>
  <c r="AG92" i="221"/>
  <c r="AF92" i="221"/>
  <c r="AE92" i="221"/>
  <c r="AD92" i="221"/>
  <c r="F139" i="221"/>
  <c r="AC150" i="221"/>
  <c r="AE159" i="221"/>
  <c r="AF166" i="221"/>
  <c r="AF180" i="221"/>
  <c r="AD188" i="221"/>
  <c r="AB188" i="221"/>
  <c r="AJ188" i="221"/>
  <c r="AF188" i="221"/>
  <c r="AA188" i="221"/>
  <c r="Z188" i="221"/>
  <c r="Y188" i="221"/>
  <c r="AG188" i="221"/>
  <c r="Z146" i="221"/>
  <c r="AH146" i="221"/>
  <c r="AD146" i="221"/>
  <c r="AC146" i="221"/>
  <c r="AB146" i="221"/>
  <c r="AA146" i="221"/>
  <c r="Y146" i="221"/>
  <c r="AI180" i="221"/>
  <c r="Y68" i="220"/>
  <c r="AK68" i="220" s="1"/>
  <c r="S68" i="220"/>
  <c r="AH68" i="220"/>
  <c r="AB73" i="220"/>
  <c r="AK73" i="220" s="1"/>
  <c r="L73" i="220"/>
  <c r="T73" i="220"/>
  <c r="V73" i="220"/>
  <c r="AF129" i="220"/>
  <c r="AK129" i="220" s="1"/>
  <c r="AF145" i="220"/>
  <c r="AE145" i="220"/>
  <c r="AK145" i="220" s="1"/>
  <c r="AH145" i="220"/>
  <c r="AK149" i="220"/>
  <c r="AD181" i="220"/>
  <c r="AK181" i="220" s="1"/>
  <c r="AA26" i="221"/>
  <c r="AH28" i="221"/>
  <c r="AC28" i="221"/>
  <c r="AE28" i="221"/>
  <c r="AF47" i="221"/>
  <c r="AF55" i="221"/>
  <c r="AE55" i="221"/>
  <c r="AK55" i="221" s="1"/>
  <c r="AJ55" i="221"/>
  <c r="AH60" i="221"/>
  <c r="AH61" i="221"/>
  <c r="AF62" i="221"/>
  <c r="AD66" i="221"/>
  <c r="AC66" i="221"/>
  <c r="AB66" i="221"/>
  <c r="AK66" i="221" s="1"/>
  <c r="AH66" i="221"/>
  <c r="U73" i="221"/>
  <c r="AG75" i="221"/>
  <c r="AD84" i="221"/>
  <c r="Y109" i="221"/>
  <c r="AJ109" i="221"/>
  <c r="AI109" i="221"/>
  <c r="AD118" i="221"/>
  <c r="AD128" i="221"/>
  <c r="Z129" i="221"/>
  <c r="Y130" i="221"/>
  <c r="AE140" i="221"/>
  <c r="AG143" i="221"/>
  <c r="AG149" i="221"/>
  <c r="AE150" i="221"/>
  <c r="AH159" i="221"/>
  <c r="AG164" i="221"/>
  <c r="AG174" i="221"/>
  <c r="AE84" i="221"/>
  <c r="AH89" i="221"/>
  <c r="AB89" i="221"/>
  <c r="AA89" i="221"/>
  <c r="Z89" i="221"/>
  <c r="Y89" i="221"/>
  <c r="AJ89" i="221"/>
  <c r="Y93" i="221"/>
  <c r="AE118" i="221"/>
  <c r="AA129" i="221"/>
  <c r="AE130" i="221"/>
  <c r="Y131" i="221"/>
  <c r="AJ136" i="221"/>
  <c r="AI136" i="221"/>
  <c r="AH136" i="221"/>
  <c r="AG136" i="221"/>
  <c r="AF136" i="221"/>
  <c r="AD136" i="221"/>
  <c r="AH149" i="221"/>
  <c r="AF150" i="221"/>
  <c r="AI159" i="221"/>
  <c r="AH164" i="221"/>
  <c r="AH174" i="221"/>
  <c r="Y141" i="220"/>
  <c r="AK141" i="220" s="1"/>
  <c r="AH141" i="220"/>
  <c r="AG141" i="220"/>
  <c r="AC163" i="220"/>
  <c r="AK163" i="220" s="1"/>
  <c r="AD163" i="220"/>
  <c r="AG163" i="220"/>
  <c r="Y167" i="220"/>
  <c r="AK167" i="220" s="1"/>
  <c r="AD167" i="220"/>
  <c r="AG168" i="220"/>
  <c r="Y168" i="220"/>
  <c r="AH168" i="220"/>
  <c r="AF181" i="220"/>
  <c r="AF183" i="220" s="1"/>
  <c r="AD26" i="221"/>
  <c r="AH34" i="221"/>
  <c r="AJ34" i="221"/>
  <c r="AD34" i="221"/>
  <c r="AB37" i="221"/>
  <c r="AH37" i="221"/>
  <c r="AG37" i="221"/>
  <c r="AI44" i="221"/>
  <c r="AG44" i="221"/>
  <c r="AF44" i="221"/>
  <c r="AF45" i="221"/>
  <c r="AE45" i="221"/>
  <c r="AD45" i="221"/>
  <c r="AK45" i="221" s="1"/>
  <c r="AB46" i="221"/>
  <c r="AC46" i="221"/>
  <c r="AA46" i="221"/>
  <c r="AK46" i="221" s="1"/>
  <c r="AH47" i="221"/>
  <c r="AJ60" i="221"/>
  <c r="AK60" i="221" s="1"/>
  <c r="AJ61" i="221"/>
  <c r="AH62" i="221"/>
  <c r="AJ66" i="221"/>
  <c r="Y73" i="221"/>
  <c r="AF84" i="221"/>
  <c r="Y92" i="221"/>
  <c r="AF93" i="221"/>
  <c r="Z113" i="221"/>
  <c r="AD113" i="221"/>
  <c r="AC113" i="221"/>
  <c r="AB113" i="221"/>
  <c r="AA113" i="221"/>
  <c r="Y113" i="221"/>
  <c r="AF118" i="221"/>
  <c r="AI126" i="221"/>
  <c r="AJ126" i="221"/>
  <c r="AH126" i="221"/>
  <c r="AE126" i="221"/>
  <c r="AF128" i="221"/>
  <c r="AB129" i="221"/>
  <c r="AF130" i="221"/>
  <c r="Z131" i="221"/>
  <c r="AE136" i="221"/>
  <c r="AG140" i="221"/>
  <c r="AI149" i="221"/>
  <c r="AG150" i="221"/>
  <c r="AE172" i="221"/>
  <c r="AH158" i="221"/>
  <c r="AD160" i="221"/>
  <c r="AE160" i="221"/>
  <c r="AA160" i="221"/>
  <c r="AJ160" i="221"/>
  <c r="Z160" i="221"/>
  <c r="Y160" i="221"/>
  <c r="AJ164" i="221"/>
  <c r="AI174" i="221"/>
  <c r="AF179" i="221"/>
  <c r="AI47" i="221"/>
  <c r="AH75" i="221"/>
  <c r="Z75" i="221"/>
  <c r="Y75" i="221"/>
  <c r="AC77" i="221"/>
  <c r="AG84" i="221"/>
  <c r="AA87" i="221"/>
  <c r="AD90" i="221"/>
  <c r="Y90" i="221"/>
  <c r="AJ90" i="221"/>
  <c r="Z92" i="221"/>
  <c r="AG93" i="221"/>
  <c r="AK97" i="221"/>
  <c r="AG118" i="221"/>
  <c r="AG128" i="221"/>
  <c r="AC129" i="221"/>
  <c r="AG130" i="221"/>
  <c r="AA131" i="221"/>
  <c r="AF135" i="221"/>
  <c r="AE135" i="221"/>
  <c r="AD135" i="221"/>
  <c r="AC135" i="221"/>
  <c r="AB135" i="221"/>
  <c r="AA135" i="221"/>
  <c r="Z135" i="221"/>
  <c r="Y135" i="221"/>
  <c r="AE143" i="221"/>
  <c r="AJ143" i="221"/>
  <c r="AB143" i="221"/>
  <c r="AA143" i="221"/>
  <c r="Z143" i="221"/>
  <c r="Y143" i="221"/>
  <c r="AE146" i="221"/>
  <c r="AJ149" i="221"/>
  <c r="AG172" i="221"/>
  <c r="AI158" i="221"/>
  <c r="AI166" i="221"/>
  <c r="AB166" i="221"/>
  <c r="AE166" i="221"/>
  <c r="AC166" i="221"/>
  <c r="AC172" i="221" s="1"/>
  <c r="Y166" i="221"/>
  <c r="AJ166" i="221"/>
  <c r="AH175" i="221"/>
  <c r="AJ175" i="221"/>
  <c r="AD175" i="221"/>
  <c r="AF175" i="221"/>
  <c r="AF183" i="221" s="1"/>
  <c r="AA175" i="221"/>
  <c r="Z175" i="221"/>
  <c r="Y175" i="221"/>
  <c r="AG179" i="221"/>
  <c r="AC19" i="222"/>
  <c r="AJ193" i="221"/>
  <c r="Y193" i="221"/>
  <c r="AB193" i="221"/>
  <c r="AG193" i="221"/>
  <c r="AC9" i="222"/>
  <c r="AC12" i="222" s="1"/>
  <c r="AA9" i="222"/>
  <c r="AB9" i="222"/>
  <c r="AB12" i="222" s="1"/>
  <c r="AF9" i="222"/>
  <c r="AF12" i="222" s="1"/>
  <c r="AH9" i="222"/>
  <c r="AH12" i="222" s="1"/>
  <c r="AG9" i="222"/>
  <c r="AG12" i="222" s="1"/>
  <c r="AE9" i="222"/>
  <c r="AD9" i="222"/>
  <c r="AD12" i="222" s="1"/>
  <c r="Z9" i="222"/>
  <c r="Z12" i="222" s="1"/>
  <c r="AH32" i="222"/>
  <c r="AC32" i="222"/>
  <c r="AD32" i="222"/>
  <c r="AF32" i="222"/>
  <c r="AI32" i="222"/>
  <c r="AA32" i="222"/>
  <c r="Y32" i="222"/>
  <c r="AH181" i="221"/>
  <c r="AA181" i="221"/>
  <c r="AD181" i="221"/>
  <c r="Y181" i="221"/>
  <c r="AI181" i="221"/>
  <c r="AJ189" i="221"/>
  <c r="AD189" i="221"/>
  <c r="AE189" i="221"/>
  <c r="Z189" i="221"/>
  <c r="AH189" i="221"/>
  <c r="AG204" i="221"/>
  <c r="AH204" i="221"/>
  <c r="AF204" i="221"/>
  <c r="Z204" i="221"/>
  <c r="AE204" i="221"/>
  <c r="AD204" i="221"/>
  <c r="AC204" i="221"/>
  <c r="AB204" i="221"/>
  <c r="AA204" i="221"/>
  <c r="E8" i="222"/>
  <c r="F8" i="222" s="1"/>
  <c r="AG147" i="221"/>
  <c r="AB147" i="221"/>
  <c r="AH147" i="221"/>
  <c r="AA152" i="221"/>
  <c r="AJ181" i="221"/>
  <c r="AI189" i="221"/>
  <c r="AC194" i="221"/>
  <c r="AH194" i="221"/>
  <c r="AI194" i="221"/>
  <c r="AJ194" i="221"/>
  <c r="AE138" i="221"/>
  <c r="AC139" i="221"/>
  <c r="AC142" i="221"/>
  <c r="AE144" i="221"/>
  <c r="Y145" i="221"/>
  <c r="AI147" i="221"/>
  <c r="AC152" i="221"/>
  <c r="AH172" i="221"/>
  <c r="AJ161" i="221"/>
  <c r="AC161" i="221"/>
  <c r="AK161" i="221" s="1"/>
  <c r="AF161" i="221"/>
  <c r="AA178" i="221"/>
  <c r="AD190" i="221"/>
  <c r="AE190" i="221"/>
  <c r="Y190" i="221"/>
  <c r="AA190" i="221"/>
  <c r="AI190" i="221"/>
  <c r="AA12" i="222"/>
  <c r="Y9" i="222"/>
  <c r="AF18" i="222"/>
  <c r="AF19" i="222" s="1"/>
  <c r="AG18" i="222"/>
  <c r="AE18" i="222"/>
  <c r="AK18" i="222" s="1"/>
  <c r="Z32" i="222"/>
  <c r="AI54" i="221"/>
  <c r="AK54" i="221" s="1"/>
  <c r="AG59" i="221"/>
  <c r="AG69" i="221"/>
  <c r="AF76" i="221"/>
  <c r="AK76" i="221" s="1"/>
  <c r="AD82" i="221"/>
  <c r="AC86" i="221"/>
  <c r="AG91" i="221"/>
  <c r="AK91" i="221" s="1"/>
  <c r="AE101" i="221"/>
  <c r="AC117" i="221"/>
  <c r="AE122" i="221"/>
  <c r="AE127" i="221"/>
  <c r="AC132" i="221"/>
  <c r="AF138" i="221"/>
  <c r="AD139" i="221"/>
  <c r="AG141" i="221"/>
  <c r="AK141" i="221" s="1"/>
  <c r="AD142" i="221"/>
  <c r="AF144" i="221"/>
  <c r="Z145" i="221"/>
  <c r="AJ147" i="221"/>
  <c r="AD148" i="221"/>
  <c r="AD151" i="221"/>
  <c r="AK151" i="221" s="1"/>
  <c r="AD152" i="221"/>
  <c r="AG161" i="221"/>
  <c r="AG162" i="221"/>
  <c r="AE163" i="221"/>
  <c r="AD167" i="221"/>
  <c r="AD172" i="221" s="1"/>
  <c r="AA167" i="221"/>
  <c r="Z167" i="221"/>
  <c r="AK167" i="221" s="1"/>
  <c r="AJ167" i="221"/>
  <c r="AC178" i="221"/>
  <c r="AJ190" i="221"/>
  <c r="AD191" i="221"/>
  <c r="AI9" i="222"/>
  <c r="AI12" i="222" s="1"/>
  <c r="AA11" i="222"/>
  <c r="AC11" i="222"/>
  <c r="AD11" i="222"/>
  <c r="AF11" i="222"/>
  <c r="Z11" i="222"/>
  <c r="Y11" i="222"/>
  <c r="AE17" i="222"/>
  <c r="Y17" i="222"/>
  <c r="AA17" i="222"/>
  <c r="AJ17" i="222"/>
  <c r="Z17" i="222"/>
  <c r="AH25" i="222"/>
  <c r="AJ25" i="222"/>
  <c r="AC25" i="222"/>
  <c r="AA25" i="222"/>
  <c r="Z25" i="222"/>
  <c r="Y25" i="222"/>
  <c r="AB32" i="222"/>
  <c r="AI46" i="220"/>
  <c r="AK46" i="220" s="1"/>
  <c r="AK64" i="220"/>
  <c r="AA74" i="220"/>
  <c r="AK74" i="220" s="1"/>
  <c r="K74" i="220"/>
  <c r="U74" i="220"/>
  <c r="AI90" i="220"/>
  <c r="AK90" i="220" s="1"/>
  <c r="AF117" i="220"/>
  <c r="AK117" i="220" s="1"/>
  <c r="AA172" i="220"/>
  <c r="AE158" i="220"/>
  <c r="AK158" i="220" s="1"/>
  <c r="AJ177" i="220"/>
  <c r="AK177" i="220" s="1"/>
  <c r="AG188" i="220"/>
  <c r="AK188" i="220" s="1"/>
  <c r="AG194" i="220"/>
  <c r="AK194" i="220" s="1"/>
  <c r="AE10" i="221"/>
  <c r="AK10" i="221" s="1"/>
  <c r="AE30" i="221"/>
  <c r="AK30" i="221" s="1"/>
  <c r="AJ54" i="221"/>
  <c r="AH59" i="221"/>
  <c r="AH69" i="221"/>
  <c r="AG76" i="221"/>
  <c r="AE82" i="221"/>
  <c r="AD86" i="221"/>
  <c r="AF88" i="221"/>
  <c r="AK88" i="221" s="1"/>
  <c r="AH91" i="221"/>
  <c r="AF101" i="221"/>
  <c r="AD117" i="221"/>
  <c r="AF122" i="221"/>
  <c r="AF127" i="221"/>
  <c r="AD132" i="221"/>
  <c r="AG134" i="221"/>
  <c r="AK134" i="221" s="1"/>
  <c r="AG138" i="221"/>
  <c r="AE139" i="221"/>
  <c r="AH141" i="221"/>
  <c r="AE142" i="221"/>
  <c r="AG144" i="221"/>
  <c r="AA145" i="221"/>
  <c r="AE152" i="221"/>
  <c r="AH161" i="221"/>
  <c r="AF163" i="221"/>
  <c r="AE168" i="221"/>
  <c r="AK168" i="221" s="1"/>
  <c r="AI177" i="221"/>
  <c r="AJ177" i="221"/>
  <c r="AB177" i="221"/>
  <c r="AG177" i="221"/>
  <c r="AD178" i="221"/>
  <c r="AJ9" i="222"/>
  <c r="AJ12" i="222" s="1"/>
  <c r="AJ30" i="222"/>
  <c r="AB30" i="222"/>
  <c r="AC30" i="222"/>
  <c r="AH30" i="222"/>
  <c r="AG30" i="222"/>
  <c r="Z30" i="222"/>
  <c r="Y30" i="222"/>
  <c r="AE32" i="222"/>
  <c r="E35" i="222"/>
  <c r="F35" i="222" s="1"/>
  <c r="AI59" i="221"/>
  <c r="AI69" i="221"/>
  <c r="AG82" i="221"/>
  <c r="AE86" i="221"/>
  <c r="AI91" i="221"/>
  <c r="AG101" i="221"/>
  <c r="AE117" i="221"/>
  <c r="AG122" i="221"/>
  <c r="AG127" i="221"/>
  <c r="AE132" i="221"/>
  <c r="AH138" i="221"/>
  <c r="AF139" i="221"/>
  <c r="AF142" i="221"/>
  <c r="AH144" i="221"/>
  <c r="AB145" i="221"/>
  <c r="AB153" i="221" s="1"/>
  <c r="Y148" i="221"/>
  <c r="AJ148" i="221"/>
  <c r="AF148" i="221"/>
  <c r="AF151" i="221"/>
  <c r="AI151" i="221"/>
  <c r="AJ151" i="221"/>
  <c r="AG151" i="221"/>
  <c r="AG152" i="221"/>
  <c r="AI161" i="221"/>
  <c r="AG168" i="221"/>
  <c r="AF178" i="221"/>
  <c r="AH191" i="221"/>
  <c r="AF191" i="221"/>
  <c r="AG191" i="221"/>
  <c r="Z193" i="221"/>
  <c r="AK198" i="221"/>
  <c r="H14" i="222"/>
  <c r="I14" i="222" s="1"/>
  <c r="H27" i="222"/>
  <c r="I27" i="222" s="1"/>
  <c r="E27" i="222"/>
  <c r="F27" i="222" s="1"/>
  <c r="AG32" i="222"/>
  <c r="AF86" i="221"/>
  <c r="AH101" i="221"/>
  <c r="AF117" i="221"/>
  <c r="AH127" i="221"/>
  <c r="AI138" i="221"/>
  <c r="AH139" i="221"/>
  <c r="AG142" i="221"/>
  <c r="AI144" i="221"/>
  <c r="AC145" i="221"/>
  <c r="AI152" i="221"/>
  <c r="AF162" i="221"/>
  <c r="AK162" i="221" s="1"/>
  <c r="AI162" i="221"/>
  <c r="AH162" i="221"/>
  <c r="AA162" i="221"/>
  <c r="Y163" i="221"/>
  <c r="AC163" i="221"/>
  <c r="AD163" i="221"/>
  <c r="AH163" i="221"/>
  <c r="AA193" i="221"/>
  <c r="AI10" i="222"/>
  <c r="AJ10" i="222"/>
  <c r="Z10" i="222"/>
  <c r="AH10" i="222"/>
  <c r="AC10" i="222"/>
  <c r="AB10" i="222"/>
  <c r="AA10" i="222"/>
  <c r="Y10" i="222"/>
  <c r="H18" i="222"/>
  <c r="I18" i="222" s="1"/>
  <c r="E18" i="222"/>
  <c r="F18" i="222" s="1"/>
  <c r="AB24" i="222"/>
  <c r="AA24" i="222"/>
  <c r="AC24" i="222"/>
  <c r="AI24" i="222"/>
  <c r="AF24" i="222"/>
  <c r="AE24" i="222"/>
  <c r="AD24" i="222"/>
  <c r="Z24" i="222"/>
  <c r="Y24" i="222"/>
  <c r="AJ32" i="222"/>
  <c r="AI101" i="221"/>
  <c r="AI139" i="221"/>
  <c r="AH142" i="221"/>
  <c r="AJ144" i="221"/>
  <c r="AE145" i="221"/>
  <c r="AB178" i="221"/>
  <c r="AG178" i="221"/>
  <c r="AE178" i="221"/>
  <c r="AI178" i="221"/>
  <c r="AC193" i="221"/>
  <c r="Y204" i="221"/>
  <c r="E14" i="222"/>
  <c r="F14" i="222" s="1"/>
  <c r="H26" i="222"/>
  <c r="I26" i="222" s="1"/>
  <c r="E26" i="222"/>
  <c r="F26" i="222" s="1"/>
  <c r="AJ139" i="221"/>
  <c r="AI142" i="221"/>
  <c r="AF145" i="221"/>
  <c r="Y147" i="221"/>
  <c r="AB152" i="221"/>
  <c r="AF152" i="221"/>
  <c r="AH152" i="221"/>
  <c r="Z181" i="221"/>
  <c r="Y189" i="221"/>
  <c r="AD193" i="221"/>
  <c r="AI204" i="221"/>
  <c r="AB19" i="222"/>
  <c r="AA40" i="222"/>
  <c r="E56" i="222"/>
  <c r="H56" i="222"/>
  <c r="E36" i="222"/>
  <c r="F36" i="222" s="1"/>
  <c r="AE40" i="222"/>
  <c r="AC49" i="222"/>
  <c r="AF49" i="222"/>
  <c r="AD49" i="222"/>
  <c r="AJ49" i="222"/>
  <c r="AG49" i="222"/>
  <c r="AE49" i="222"/>
  <c r="AB49" i="222"/>
  <c r="AA49" i="222"/>
  <c r="Z49" i="222"/>
  <c r="Y49" i="222"/>
  <c r="AH40" i="222"/>
  <c r="AF50" i="222"/>
  <c r="AB31" i="222"/>
  <c r="AJ31" i="222"/>
  <c r="AI31" i="222"/>
  <c r="AC31" i="222"/>
  <c r="AA31" i="222"/>
  <c r="AH31" i="222"/>
  <c r="AF40" i="222"/>
  <c r="Y40" i="222"/>
  <c r="Z40" i="222"/>
  <c r="AJ40" i="222"/>
  <c r="AC40" i="222"/>
  <c r="AB40" i="222"/>
  <c r="AK29" i="222"/>
  <c r="H29" i="222"/>
  <c r="I29" i="222" s="1"/>
  <c r="Z39" i="222"/>
  <c r="AF39" i="222"/>
  <c r="AG39" i="222"/>
  <c r="Y39" i="222"/>
  <c r="AH39" i="222"/>
  <c r="AE39" i="222"/>
  <c r="AA182" i="221"/>
  <c r="AJ182" i="221"/>
  <c r="AF182" i="221"/>
  <c r="AC195" i="221"/>
  <c r="AD195" i="221"/>
  <c r="AG195" i="221"/>
  <c r="AJ195" i="221"/>
  <c r="AD15" i="222"/>
  <c r="AB33" i="222"/>
  <c r="Y33" i="222"/>
  <c r="AD33" i="222"/>
  <c r="AB35" i="222"/>
  <c r="AA35" i="222"/>
  <c r="AC35" i="222"/>
  <c r="AG35" i="222"/>
  <c r="AF35" i="222"/>
  <c r="AH36" i="222"/>
  <c r="AJ36" i="222"/>
  <c r="AG36" i="222"/>
  <c r="AA36" i="222"/>
  <c r="Z36" i="222"/>
  <c r="E45" i="222"/>
  <c r="H45" i="222"/>
  <c r="AH49" i="222"/>
  <c r="Z14" i="222"/>
  <c r="Z19" i="222" s="1"/>
  <c r="AD14" i="222"/>
  <c r="AD19" i="222" s="1"/>
  <c r="AE14" i="222"/>
  <c r="AE19" i="222" s="1"/>
  <c r="AA14" i="222"/>
  <c r="AA19" i="222" s="1"/>
  <c r="AJ14" i="222"/>
  <c r="AJ19" i="222" s="1"/>
  <c r="AF27" i="222"/>
  <c r="AA27" i="222"/>
  <c r="AJ27" i="222"/>
  <c r="AI27" i="222"/>
  <c r="E31" i="222"/>
  <c r="F31" i="222" s="1"/>
  <c r="E41" i="222"/>
  <c r="F41" i="222" s="1"/>
  <c r="AI49" i="222"/>
  <c r="AD54" i="222"/>
  <c r="AH54" i="222"/>
  <c r="AB54" i="222"/>
  <c r="Z54" i="222"/>
  <c r="AG54" i="222"/>
  <c r="AC54" i="222"/>
  <c r="AA54" i="222"/>
  <c r="Y54" i="222"/>
  <c r="AJ54" i="222"/>
  <c r="AI54" i="222"/>
  <c r="AF54" i="222"/>
  <c r="AE54" i="222"/>
  <c r="AG15" i="222"/>
  <c r="AE15" i="222"/>
  <c r="AH15" i="222"/>
  <c r="AK15" i="222" s="1"/>
  <c r="AD42" i="222"/>
  <c r="AE55" i="222"/>
  <c r="Z55" i="222"/>
  <c r="AF55" i="222"/>
  <c r="AA55" i="222"/>
  <c r="AG55" i="222"/>
  <c r="AB55" i="222"/>
  <c r="AI55" i="222"/>
  <c r="AH55" i="222"/>
  <c r="AD55" i="222"/>
  <c r="AC55" i="222"/>
  <c r="Y55" i="222"/>
  <c r="AJ55" i="222"/>
  <c r="AE42" i="222"/>
  <c r="H31" i="222"/>
  <c r="I31" i="222" s="1"/>
  <c r="AI50" i="222"/>
  <c r="Y50" i="222"/>
  <c r="AC50" i="222"/>
  <c r="Z50" i="222"/>
  <c r="AE50" i="222"/>
  <c r="AD50" i="222"/>
  <c r="AB50" i="222"/>
  <c r="AA50" i="222"/>
  <c r="AA156" i="221"/>
  <c r="AF156" i="221"/>
  <c r="AJ156" i="221"/>
  <c r="AA176" i="221"/>
  <c r="AD176" i="221"/>
  <c r="Y176" i="221"/>
  <c r="AH176" i="221"/>
  <c r="AC192" i="221"/>
  <c r="AF192" i="221"/>
  <c r="AB192" i="221"/>
  <c r="AH192" i="221"/>
  <c r="AE203" i="221"/>
  <c r="Y203" i="221"/>
  <c r="Z203" i="221"/>
  <c r="AG203" i="221"/>
  <c r="AJ203" i="221"/>
  <c r="AJ15" i="222"/>
  <c r="AF42" i="222"/>
  <c r="H36" i="222"/>
  <c r="I36" i="222" s="1"/>
  <c r="Y62" i="222"/>
  <c r="AI61" i="222"/>
  <c r="AJ61" i="222"/>
  <c r="AD61" i="222"/>
  <c r="AC61" i="222"/>
  <c r="AA61" i="222"/>
  <c r="AB62" i="222"/>
  <c r="E67" i="222"/>
  <c r="F67" i="222" s="1"/>
  <c r="H69" i="222"/>
  <c r="I69" i="222" s="1"/>
  <c r="E69" i="222"/>
  <c r="F69" i="222" s="1"/>
  <c r="AA56" i="222"/>
  <c r="AD56" i="222"/>
  <c r="Z56" i="222"/>
  <c r="AK56" i="222" s="1"/>
  <c r="AF56" i="222"/>
  <c r="AB56" i="222"/>
  <c r="AA58" i="222"/>
  <c r="Y61" i="222"/>
  <c r="AD62" i="222"/>
  <c r="Y68" i="222"/>
  <c r="AC68" i="222"/>
  <c r="AI68" i="222"/>
  <c r="AH68" i="222"/>
  <c r="AD68" i="222"/>
  <c r="AB68" i="222"/>
  <c r="AA68" i="222"/>
  <c r="Z68" i="222"/>
  <c r="AH38" i="222"/>
  <c r="Y38" i="222"/>
  <c r="AJ38" i="222"/>
  <c r="AJ42" i="222" s="1"/>
  <c r="AC58" i="222"/>
  <c r="Z61" i="222"/>
  <c r="AE62" i="222"/>
  <c r="AI23" i="222"/>
  <c r="AI42" i="222" s="1"/>
  <c r="AG23" i="222"/>
  <c r="AG42" i="222" s="1"/>
  <c r="AH23" i="222"/>
  <c r="AH34" i="222"/>
  <c r="AF34" i="222"/>
  <c r="AG34" i="222"/>
  <c r="AJ34" i="222"/>
  <c r="AD44" i="222"/>
  <c r="Y44" i="222"/>
  <c r="Z44" i="222"/>
  <c r="AE47" i="222"/>
  <c r="AD47" i="222"/>
  <c r="AB47" i="222"/>
  <c r="AI47" i="222"/>
  <c r="AF47" i="222"/>
  <c r="AJ48" i="222"/>
  <c r="AB48" i="222"/>
  <c r="Y48" i="222"/>
  <c r="AH48" i="222"/>
  <c r="AB61" i="222"/>
  <c r="AA66" i="222"/>
  <c r="Z66" i="222"/>
  <c r="AH66" i="222"/>
  <c r="AF66" i="222"/>
  <c r="AE66" i="222"/>
  <c r="Y66" i="222"/>
  <c r="AI66" i="222"/>
  <c r="AF71" i="222"/>
  <c r="AH71" i="222"/>
  <c r="H73" i="222"/>
  <c r="I73" i="222" s="1"/>
  <c r="E73" i="222"/>
  <c r="F73" i="222" s="1"/>
  <c r="AF61" i="222"/>
  <c r="Y60" i="222"/>
  <c r="AA60" i="222"/>
  <c r="AJ60" i="222"/>
  <c r="AE60" i="222"/>
  <c r="AD60" i="222"/>
  <c r="AB60" i="222"/>
  <c r="AI72" i="222"/>
  <c r="Z72" i="222"/>
  <c r="AJ72" i="222"/>
  <c r="AG72" i="222"/>
  <c r="AF72" i="222"/>
  <c r="AB72" i="222"/>
  <c r="AA72" i="222"/>
  <c r="Y72" i="222"/>
  <c r="Z60" i="222"/>
  <c r="AC62" i="222"/>
  <c r="AH62" i="222"/>
  <c r="AF62" i="222"/>
  <c r="AI62" i="222"/>
  <c r="AA62" i="222"/>
  <c r="Z62" i="222"/>
  <c r="AD169" i="221"/>
  <c r="Z169" i="221"/>
  <c r="AG169" i="221"/>
  <c r="AB23" i="222"/>
  <c r="Z26" i="222"/>
  <c r="AC26" i="222"/>
  <c r="AD26" i="222"/>
  <c r="AG26" i="222"/>
  <c r="Y34" i="222"/>
  <c r="AB38" i="222"/>
  <c r="AB44" i="222"/>
  <c r="Y47" i="222"/>
  <c r="AI56" i="222"/>
  <c r="AC60" i="222"/>
  <c r="E59" i="222"/>
  <c r="H59" i="222"/>
  <c r="AF60" i="222"/>
  <c r="AC72" i="222"/>
  <c r="Z37" i="222"/>
  <c r="AC37" i="222"/>
  <c r="AD37" i="222"/>
  <c r="AG37" i="222"/>
  <c r="AF41" i="222"/>
  <c r="AG41" i="222"/>
  <c r="AE41" i="222"/>
  <c r="H52" i="222"/>
  <c r="AG60" i="222"/>
  <c r="AD72" i="222"/>
  <c r="E51" i="222"/>
  <c r="E53" i="222"/>
  <c r="AG58" i="222"/>
  <c r="AF58" i="222"/>
  <c r="Y58" i="222"/>
  <c r="AE58" i="222"/>
  <c r="AB58" i="222"/>
  <c r="AH60" i="222"/>
  <c r="AC71" i="222"/>
  <c r="AG71" i="222"/>
  <c r="AB71" i="222"/>
  <c r="Z71" i="222"/>
  <c r="AJ71" i="222"/>
  <c r="AE71" i="222"/>
  <c r="AD71" i="222"/>
  <c r="AA71" i="222"/>
  <c r="Y71" i="222"/>
  <c r="AE72" i="222"/>
  <c r="AE197" i="221"/>
  <c r="AK197" i="221" s="1"/>
  <c r="AD28" i="222"/>
  <c r="AK28" i="222" s="1"/>
  <c r="AI52" i="222"/>
  <c r="AF53" i="222"/>
  <c r="AC63" i="222"/>
  <c r="AB63" i="222"/>
  <c r="AI63" i="222"/>
  <c r="AB64" i="222"/>
  <c r="H65" i="222"/>
  <c r="I65" i="222" s="1"/>
  <c r="AA73" i="222"/>
  <c r="AH73" i="222"/>
  <c r="AF73" i="222"/>
  <c r="AD73" i="222"/>
  <c r="AI73" i="222"/>
  <c r="AE75" i="222"/>
  <c r="Y81" i="222"/>
  <c r="AG81" i="222"/>
  <c r="AD81" i="222"/>
  <c r="AC81" i="222"/>
  <c r="AA81" i="222"/>
  <c r="AJ81" i="222"/>
  <c r="H87" i="222"/>
  <c r="I87" i="222" s="1"/>
  <c r="H88" i="222"/>
  <c r="I88" i="222" s="1"/>
  <c r="E88" i="222"/>
  <c r="F88" i="222" s="1"/>
  <c r="AC89" i="222"/>
  <c r="AF75" i="222"/>
  <c r="AD89" i="222"/>
  <c r="AE64" i="222"/>
  <c r="AG75" i="222"/>
  <c r="AG80" i="222"/>
  <c r="Y80" i="222"/>
  <c r="AB80" i="222"/>
  <c r="AJ80" i="222"/>
  <c r="AJ153" i="222" s="1"/>
  <c r="AI80" i="222"/>
  <c r="AF80" i="222"/>
  <c r="AE89" i="222"/>
  <c r="AG105" i="222"/>
  <c r="AB105" i="222"/>
  <c r="AA105" i="222"/>
  <c r="Y105" i="222"/>
  <c r="AJ105" i="222"/>
  <c r="AI105" i="222"/>
  <c r="AK46" i="222"/>
  <c r="E46" i="222"/>
  <c r="AI53" i="222"/>
  <c r="AF64" i="222"/>
  <c r="AG74" i="222"/>
  <c r="AF74" i="222"/>
  <c r="Z74" i="222"/>
  <c r="Y74" i="222"/>
  <c r="AI74" i="222"/>
  <c r="AH75" i="222"/>
  <c r="AK113" i="222"/>
  <c r="E113" i="222"/>
  <c r="F113" i="222" s="1"/>
  <c r="AI75" i="222"/>
  <c r="Y78" i="222"/>
  <c r="AH64" i="222"/>
  <c r="AC77" i="222"/>
  <c r="Z78" i="222"/>
  <c r="E82" i="222"/>
  <c r="F82" i="222" s="1"/>
  <c r="Z105" i="222"/>
  <c r="AI64" i="222"/>
  <c r="AA75" i="222"/>
  <c r="AB75" i="222"/>
  <c r="AA78" i="222"/>
  <c r="E83" i="222"/>
  <c r="H83" i="222"/>
  <c r="AC105" i="222"/>
  <c r="H79" i="222"/>
  <c r="I79" i="222" s="1"/>
  <c r="AI91" i="222"/>
  <c r="AC91" i="222"/>
  <c r="AE91" i="222"/>
  <c r="AD91" i="222"/>
  <c r="AA91" i="222"/>
  <c r="AJ91" i="222"/>
  <c r="AH91" i="222"/>
  <c r="AF91" i="222"/>
  <c r="AD105" i="222"/>
  <c r="AG89" i="222"/>
  <c r="AI89" i="222"/>
  <c r="AJ89" i="222"/>
  <c r="AF89" i="222"/>
  <c r="Y75" i="222"/>
  <c r="Y77" i="222"/>
  <c r="AB77" i="222"/>
  <c r="Z77" i="222"/>
  <c r="AE77" i="222"/>
  <c r="AD77" i="222"/>
  <c r="AA77" i="222"/>
  <c r="AJ77" i="222"/>
  <c r="AF78" i="222"/>
  <c r="Y89" i="222"/>
  <c r="AH105" i="222"/>
  <c r="AJ45" i="222"/>
  <c r="AK45" i="222" s="1"/>
  <c r="AI51" i="222"/>
  <c r="AK51" i="222" s="1"/>
  <c r="AC53" i="222"/>
  <c r="AC59" i="222"/>
  <c r="AD59" i="222"/>
  <c r="Y64" i="222"/>
  <c r="AA74" i="222"/>
  <c r="Z75" i="222"/>
  <c r="AE80" i="222"/>
  <c r="Z89" i="222"/>
  <c r="Y91" i="222"/>
  <c r="AE78" i="222"/>
  <c r="AI78" i="222"/>
  <c r="AJ78" i="222"/>
  <c r="AH78" i="222"/>
  <c r="Y86" i="222"/>
  <c r="Z86" i="222"/>
  <c r="AJ86" i="222"/>
  <c r="AI86" i="222"/>
  <c r="AG86" i="222"/>
  <c r="AA89" i="222"/>
  <c r="Z91" i="222"/>
  <c r="AF157" i="221"/>
  <c r="AK157" i="221" s="1"/>
  <c r="AI165" i="221"/>
  <c r="AK165" i="221" s="1"/>
  <c r="AE8" i="222"/>
  <c r="AE16" i="222"/>
  <c r="AK16" i="222" s="1"/>
  <c r="AH52" i="222"/>
  <c r="AK52" i="222" s="1"/>
  <c r="AK57" i="222"/>
  <c r="E57" i="222"/>
  <c r="AH63" i="222"/>
  <c r="AA64" i="222"/>
  <c r="AG73" i="222"/>
  <c r="AC74" i="222"/>
  <c r="AD75" i="222"/>
  <c r="AI81" i="222"/>
  <c r="AB89" i="222"/>
  <c r="AB91" i="222"/>
  <c r="AG132" i="222"/>
  <c r="AE132" i="222"/>
  <c r="AC132" i="222"/>
  <c r="Y132" i="222"/>
  <c r="Y131" i="222"/>
  <c r="AJ131" i="222"/>
  <c r="AG131" i="222"/>
  <c r="AC131" i="222"/>
  <c r="AB131" i="222"/>
  <c r="AA131" i="222"/>
  <c r="Z131" i="222"/>
  <c r="AI128" i="222"/>
  <c r="AB128" i="222"/>
  <c r="Z128" i="222"/>
  <c r="AF128" i="222"/>
  <c r="AA128" i="222"/>
  <c r="Y128" i="222"/>
  <c r="AA129" i="222"/>
  <c r="AJ129" i="222"/>
  <c r="AB129" i="222"/>
  <c r="AI129" i="222"/>
  <c r="Z132" i="222"/>
  <c r="AA132" i="222"/>
  <c r="AB132" i="222"/>
  <c r="Z135" i="222"/>
  <c r="AA135" i="222"/>
  <c r="AD135" i="222"/>
  <c r="AJ135" i="222"/>
  <c r="AF135" i="222"/>
  <c r="AE135" i="222"/>
  <c r="AC135" i="222"/>
  <c r="AB135" i="222"/>
  <c r="AC127" i="222"/>
  <c r="AI127" i="222"/>
  <c r="AF127" i="222"/>
  <c r="AE127" i="222"/>
  <c r="AD127" i="222"/>
  <c r="AB127" i="222"/>
  <c r="AA127" i="222"/>
  <c r="AD132" i="222"/>
  <c r="AF132" i="222"/>
  <c r="AI65" i="222"/>
  <c r="AD65" i="222"/>
  <c r="AK65" i="222" s="1"/>
  <c r="AF65" i="222"/>
  <c r="AK70" i="222"/>
  <c r="H70" i="222"/>
  <c r="I70" i="222" s="1"/>
  <c r="AF70" i="222"/>
  <c r="AB79" i="222"/>
  <c r="AD79" i="222"/>
  <c r="AG79" i="222"/>
  <c r="AA83" i="222"/>
  <c r="AE83" i="222"/>
  <c r="AD83" i="222"/>
  <c r="AB83" i="222"/>
  <c r="AG85" i="222"/>
  <c r="AF85" i="222"/>
  <c r="Z85" i="222"/>
  <c r="Y85" i="222"/>
  <c r="AE87" i="222"/>
  <c r="AH87" i="222"/>
  <c r="AC87" i="222"/>
  <c r="AB87" i="222"/>
  <c r="Z87" i="222"/>
  <c r="AJ87" i="222"/>
  <c r="AG117" i="222"/>
  <c r="Y117" i="222"/>
  <c r="AA117" i="222"/>
  <c r="Z117" i="222"/>
  <c r="AI117" i="222"/>
  <c r="Y129" i="222"/>
  <c r="AD131" i="222"/>
  <c r="AH132" i="222"/>
  <c r="Y109" i="222"/>
  <c r="AI109" i="222"/>
  <c r="AH109" i="222"/>
  <c r="AG109" i="222"/>
  <c r="AE109" i="222"/>
  <c r="Z129" i="222"/>
  <c r="AE131" i="222"/>
  <c r="AI132" i="222"/>
  <c r="E138" i="222"/>
  <c r="F138" i="222" s="1"/>
  <c r="H140" i="222"/>
  <c r="I140" i="222" s="1"/>
  <c r="AK140" i="222"/>
  <c r="E140" i="222"/>
  <c r="F140" i="222" s="1"/>
  <c r="AA88" i="222"/>
  <c r="AK88" i="222" s="1"/>
  <c r="AJ88" i="222"/>
  <c r="AG88" i="222"/>
  <c r="AI101" i="222"/>
  <c r="AH101" i="222"/>
  <c r="AB101" i="222"/>
  <c r="AC101" i="222"/>
  <c r="AA101" i="222"/>
  <c r="Y101" i="222"/>
  <c r="AC128" i="222"/>
  <c r="AC129" i="222"/>
  <c r="AF131" i="222"/>
  <c r="AJ132" i="222"/>
  <c r="AH134" i="222"/>
  <c r="AG134" i="222"/>
  <c r="AJ134" i="222"/>
  <c r="Z134" i="222"/>
  <c r="AI134" i="222"/>
  <c r="AF134" i="222"/>
  <c r="AE134" i="222"/>
  <c r="AD134" i="222"/>
  <c r="AA93" i="222"/>
  <c r="Z93" i="222"/>
  <c r="Y93" i="222"/>
  <c r="AI97" i="222"/>
  <c r="AD97" i="222"/>
  <c r="AF97" i="222"/>
  <c r="Z97" i="222"/>
  <c r="Y97" i="222"/>
  <c r="AA118" i="222"/>
  <c r="AK118" i="222" s="1"/>
  <c r="AI118" i="222"/>
  <c r="AJ118" i="222"/>
  <c r="AD128" i="222"/>
  <c r="AD129" i="222"/>
  <c r="AH131" i="222"/>
  <c r="Y133" i="222"/>
  <c r="AD133" i="222"/>
  <c r="AJ133" i="222"/>
  <c r="AI133" i="222"/>
  <c r="AH133" i="222"/>
  <c r="AG133" i="222"/>
  <c r="H138" i="222"/>
  <c r="I138" i="222" s="1"/>
  <c r="AC92" i="222"/>
  <c r="AF92" i="222"/>
  <c r="Y92" i="222"/>
  <c r="AD92" i="222"/>
  <c r="AB92" i="222"/>
  <c r="Z92" i="222"/>
  <c r="Y127" i="222"/>
  <c r="AE128" i="222"/>
  <c r="AE129" i="222"/>
  <c r="AI131" i="222"/>
  <c r="Y135" i="222"/>
  <c r="E141" i="222"/>
  <c r="F141" i="222" s="1"/>
  <c r="AF172" i="222"/>
  <c r="AH158" i="222"/>
  <c r="Z158" i="222"/>
  <c r="AJ158" i="222"/>
  <c r="AI158" i="222"/>
  <c r="AG158" i="222"/>
  <c r="AE158" i="222"/>
  <c r="AF158" i="222"/>
  <c r="AC158" i="222"/>
  <c r="AB158" i="222"/>
  <c r="AA158" i="222"/>
  <c r="Y158" i="222"/>
  <c r="AK144" i="222"/>
  <c r="H144" i="222"/>
  <c r="I144" i="222" s="1"/>
  <c r="E144" i="222"/>
  <c r="F144" i="222" s="1"/>
  <c r="AB146" i="222"/>
  <c r="Z146" i="222"/>
  <c r="AE146" i="222"/>
  <c r="AD146" i="222"/>
  <c r="AC146" i="222"/>
  <c r="AA146" i="222"/>
  <c r="Y146" i="222"/>
  <c r="Y143" i="222"/>
  <c r="AK84" i="222"/>
  <c r="E84" i="222"/>
  <c r="Y122" i="222"/>
  <c r="AD122" i="222"/>
  <c r="AJ122" i="222"/>
  <c r="Y139" i="222"/>
  <c r="AE143" i="222"/>
  <c r="E151" i="222"/>
  <c r="F151" i="222" s="1"/>
  <c r="AD158" i="222"/>
  <c r="AG130" i="222"/>
  <c r="AB130" i="222"/>
  <c r="AD130" i="222"/>
  <c r="AF130" i="222"/>
  <c r="Z139" i="222"/>
  <c r="AG143" i="222"/>
  <c r="AK151" i="222"/>
  <c r="AI126" i="222"/>
  <c r="Y126" i="222"/>
  <c r="AJ126" i="222"/>
  <c r="AF126" i="222"/>
  <c r="AH130" i="222"/>
  <c r="AA139" i="222"/>
  <c r="AJ141" i="222"/>
  <c r="AB141" i="222"/>
  <c r="AI141" i="222"/>
  <c r="AG141" i="222"/>
  <c r="AH143" i="222"/>
  <c r="Z152" i="222"/>
  <c r="AF152" i="222"/>
  <c r="AD152" i="222"/>
  <c r="AC152" i="222"/>
  <c r="AB152" i="222"/>
  <c r="Y152" i="222"/>
  <c r="AG152" i="222"/>
  <c r="AE152" i="222"/>
  <c r="AA152" i="222"/>
  <c r="AI152" i="222"/>
  <c r="AH152" i="222"/>
  <c r="AJ152" i="222"/>
  <c r="AD67" i="222"/>
  <c r="AK67" i="222" s="1"/>
  <c r="AF69" i="222"/>
  <c r="AK69" i="222" s="1"/>
  <c r="AG76" i="222"/>
  <c r="AI76" i="222"/>
  <c r="AE76" i="222"/>
  <c r="AE82" i="222"/>
  <c r="Z82" i="222"/>
  <c r="AG82" i="222"/>
  <c r="Y90" i="222"/>
  <c r="AF90" i="222"/>
  <c r="AG90" i="222"/>
  <c r="AG126" i="222"/>
  <c r="AI130" i="222"/>
  <c r="AF138" i="222"/>
  <c r="AK138" i="222" s="1"/>
  <c r="AA138" i="222"/>
  <c r="AG138" i="222"/>
  <c r="AH141" i="222"/>
  <c r="AF143" i="222"/>
  <c r="AC143" i="222"/>
  <c r="AD143" i="222"/>
  <c r="AB143" i="222"/>
  <c r="AA143" i="222"/>
  <c r="Z143" i="222"/>
  <c r="AC139" i="222"/>
  <c r="AJ139" i="222"/>
  <c r="AG139" i="222"/>
  <c r="AH139" i="222"/>
  <c r="H141" i="222"/>
  <c r="I141" i="222" s="1"/>
  <c r="AB159" i="222"/>
  <c r="AH159" i="222"/>
  <c r="AF159" i="222"/>
  <c r="AE159" i="222"/>
  <c r="AD159" i="222"/>
  <c r="AA159" i="222"/>
  <c r="Y159" i="222"/>
  <c r="E161" i="222"/>
  <c r="F161" i="222" s="1"/>
  <c r="H161" i="222"/>
  <c r="I161" i="222" s="1"/>
  <c r="E188" i="222"/>
  <c r="F188" i="222" s="1"/>
  <c r="H188" i="222"/>
  <c r="I188" i="222" s="1"/>
  <c r="Z174" i="222"/>
  <c r="AE176" i="222"/>
  <c r="AF164" i="222"/>
  <c r="AJ164" i="222"/>
  <c r="AI164" i="222"/>
  <c r="AG164" i="222"/>
  <c r="Y164" i="222"/>
  <c r="AF176" i="222"/>
  <c r="Z163" i="222"/>
  <c r="AF163" i="222"/>
  <c r="AB163" i="222"/>
  <c r="AA163" i="222"/>
  <c r="Y163" i="222"/>
  <c r="AG176" i="222"/>
  <c r="AC159" i="222"/>
  <c r="AB157" i="222"/>
  <c r="AH157" i="222"/>
  <c r="Y157" i="222"/>
  <c r="Z157" i="222"/>
  <c r="AG159" i="222"/>
  <c r="E166" i="222"/>
  <c r="F166" i="222" s="1"/>
  <c r="AI159" i="222"/>
  <c r="Z164" i="222"/>
  <c r="AI156" i="222"/>
  <c r="AI172" i="222" s="1"/>
  <c r="AA156" i="222"/>
  <c r="AD156" i="222"/>
  <c r="AC156" i="222"/>
  <c r="AB156" i="222"/>
  <c r="Y156" i="222"/>
  <c r="AJ159" i="222"/>
  <c r="AH162" i="222"/>
  <c r="Z162" i="222"/>
  <c r="AG162" i="222"/>
  <c r="AF162" i="222"/>
  <c r="AE162" i="222"/>
  <c r="AC162" i="222"/>
  <c r="AA164" i="222"/>
  <c r="AC176" i="222"/>
  <c r="AI176" i="222"/>
  <c r="Y176" i="222"/>
  <c r="AJ176" i="222"/>
  <c r="AA176" i="222"/>
  <c r="Z176" i="222"/>
  <c r="H180" i="222"/>
  <c r="I180" i="222" s="1"/>
  <c r="E180" i="222"/>
  <c r="F180" i="222" s="1"/>
  <c r="AF136" i="222"/>
  <c r="AH136" i="222"/>
  <c r="AD136" i="222"/>
  <c r="AK136" i="222" s="1"/>
  <c r="AC163" i="222"/>
  <c r="AB164" i="222"/>
  <c r="Z150" i="222"/>
  <c r="Y150" i="222"/>
  <c r="AJ150" i="222"/>
  <c r="AH150" i="222"/>
  <c r="AA157" i="222"/>
  <c r="AH160" i="222"/>
  <c r="Z160" i="222"/>
  <c r="AA160" i="222"/>
  <c r="Y160" i="222"/>
  <c r="AD163" i="222"/>
  <c r="AC164" i="222"/>
  <c r="AD174" i="222"/>
  <c r="AI174" i="222"/>
  <c r="AH174" i="222"/>
  <c r="AG174" i="222"/>
  <c r="AE174" i="222"/>
  <c r="AF174" i="222"/>
  <c r="AC174" i="222"/>
  <c r="AB174" i="222"/>
  <c r="Y174" i="222"/>
  <c r="AJ174" i="222"/>
  <c r="AE163" i="222"/>
  <c r="AD164" i="222"/>
  <c r="H170" i="222"/>
  <c r="I170" i="222" s="1"/>
  <c r="E170" i="222"/>
  <c r="F170" i="222" s="1"/>
  <c r="AH163" i="222"/>
  <c r="AH164" i="222"/>
  <c r="AD171" i="222"/>
  <c r="AF171" i="222"/>
  <c r="AE171" i="222"/>
  <c r="AE172" i="222" s="1"/>
  <c r="AC171" i="222"/>
  <c r="AA171" i="222"/>
  <c r="AJ180" i="222"/>
  <c r="AI180" i="222"/>
  <c r="AA180" i="222"/>
  <c r="AH180" i="222"/>
  <c r="AC180" i="222"/>
  <c r="Z137" i="222"/>
  <c r="AC137" i="222"/>
  <c r="AH137" i="222"/>
  <c r="AF142" i="222"/>
  <c r="Y142" i="222"/>
  <c r="AJ142" i="222"/>
  <c r="Z148" i="222"/>
  <c r="Y148" i="222"/>
  <c r="AF148" i="222"/>
  <c r="H178" i="222"/>
  <c r="I178" i="222" s="1"/>
  <c r="E181" i="222"/>
  <c r="F181" i="222" s="1"/>
  <c r="E187" i="222"/>
  <c r="F187" i="222" s="1"/>
  <c r="AC193" i="222"/>
  <c r="AB193" i="222"/>
  <c r="AH193" i="222"/>
  <c r="AE193" i="222"/>
  <c r="AJ193" i="222"/>
  <c r="AF193" i="222"/>
  <c r="AA193" i="222"/>
  <c r="Y193" i="222"/>
  <c r="AJ190" i="222"/>
  <c r="AI190" i="222"/>
  <c r="AA190" i="222"/>
  <c r="AH190" i="222"/>
  <c r="AE190" i="222"/>
  <c r="AD190" i="222"/>
  <c r="AC190" i="222"/>
  <c r="AB190" i="222"/>
  <c r="Z190" i="222"/>
  <c r="AG190" i="222"/>
  <c r="AF190" i="222"/>
  <c r="Z170" i="222"/>
  <c r="Z193" i="222"/>
  <c r="AD193" i="222"/>
  <c r="AB148" i="222"/>
  <c r="AH166" i="222"/>
  <c r="Z166" i="222"/>
  <c r="AK166" i="222" s="1"/>
  <c r="AC166" i="222"/>
  <c r="AB166" i="222"/>
  <c r="AA166" i="222"/>
  <c r="AJ166" i="222"/>
  <c r="AJ172" i="222" s="1"/>
  <c r="Z169" i="222"/>
  <c r="AF169" i="222"/>
  <c r="AD169" i="222"/>
  <c r="AC169" i="222"/>
  <c r="AB169" i="222"/>
  <c r="Y169" i="222"/>
  <c r="AH171" i="222"/>
  <c r="AG180" i="222"/>
  <c r="Y190" i="222"/>
  <c r="AG193" i="222"/>
  <c r="AH168" i="222"/>
  <c r="Z168" i="222"/>
  <c r="AJ168" i="222"/>
  <c r="AI168" i="222"/>
  <c r="AG168" i="222"/>
  <c r="AE168" i="222"/>
  <c r="AD170" i="222"/>
  <c r="AJ170" i="222"/>
  <c r="AI170" i="222"/>
  <c r="AH170" i="222"/>
  <c r="AF170" i="222"/>
  <c r="AE170" i="222"/>
  <c r="AB181" i="222"/>
  <c r="AA181" i="222"/>
  <c r="AG181" i="222"/>
  <c r="AE181" i="222"/>
  <c r="AJ181" i="222"/>
  <c r="AI181" i="222"/>
  <c r="AF181" i="222"/>
  <c r="AI193" i="222"/>
  <c r="AI199" i="222" s="1"/>
  <c r="AB167" i="222"/>
  <c r="AH167" i="222"/>
  <c r="Y167" i="222"/>
  <c r="AG170" i="222"/>
  <c r="E178" i="222"/>
  <c r="F178" i="222" s="1"/>
  <c r="AC191" i="222"/>
  <c r="AB191" i="222"/>
  <c r="AH191" i="222"/>
  <c r="AE191" i="222"/>
  <c r="AA191" i="222"/>
  <c r="Z191" i="222"/>
  <c r="Y191" i="222"/>
  <c r="AJ191" i="222"/>
  <c r="AF191" i="222"/>
  <c r="AD191" i="222"/>
  <c r="AH182" i="222"/>
  <c r="AG182" i="222"/>
  <c r="Y182" i="222"/>
  <c r="Z182" i="222"/>
  <c r="AI182" i="222"/>
  <c r="AB192" i="222"/>
  <c r="H194" i="222"/>
  <c r="I194" i="222" s="1"/>
  <c r="E195" i="222"/>
  <c r="F195" i="222" s="1"/>
  <c r="AC198" i="222"/>
  <c r="AD198" i="222"/>
  <c r="AB198" i="222"/>
  <c r="AA198" i="222"/>
  <c r="Z198" i="222"/>
  <c r="Y198" i="222"/>
  <c r="AI198" i="222"/>
  <c r="E197" i="222"/>
  <c r="F197" i="222" s="1"/>
  <c r="H196" i="222"/>
  <c r="I196" i="222" s="1"/>
  <c r="U70" i="218"/>
  <c r="L68" i="218"/>
  <c r="AJ192" i="222"/>
  <c r="AI192" i="222"/>
  <c r="AA192" i="222"/>
  <c r="Z192" i="222"/>
  <c r="AH192" i="222"/>
  <c r="V70" i="218"/>
  <c r="R68" i="218"/>
  <c r="Z161" i="222"/>
  <c r="AF161" i="222"/>
  <c r="AG161" i="222"/>
  <c r="AK175" i="222"/>
  <c r="H175" i="222"/>
  <c r="I175" i="222" s="1"/>
  <c r="AB182" i="222"/>
  <c r="AE196" i="222"/>
  <c r="AE198" i="222"/>
  <c r="AF198" i="222"/>
  <c r="AF199" i="222" s="1"/>
  <c r="AD203" i="222"/>
  <c r="AC203" i="222"/>
  <c r="AI203" i="222"/>
  <c r="AF203" i="222"/>
  <c r="AE203" i="222"/>
  <c r="AB203" i="222"/>
  <c r="AA203" i="222"/>
  <c r="Z203" i="222"/>
  <c r="Y203" i="222"/>
  <c r="AE149" i="222"/>
  <c r="AI161" i="222"/>
  <c r="AD182" i="222"/>
  <c r="AB187" i="222"/>
  <c r="AA187" i="222"/>
  <c r="AG187" i="222"/>
  <c r="AD187" i="222"/>
  <c r="AJ188" i="222"/>
  <c r="AI188" i="222"/>
  <c r="AA188" i="222"/>
  <c r="Z188" i="222"/>
  <c r="AK188" i="222" s="1"/>
  <c r="AJ194" i="222"/>
  <c r="AI194" i="222"/>
  <c r="AA194" i="222"/>
  <c r="Z194" i="222"/>
  <c r="AH194" i="222"/>
  <c r="AE195" i="222"/>
  <c r="AD195" i="222"/>
  <c r="AJ195" i="222"/>
  <c r="AG195" i="222"/>
  <c r="AG198" i="222"/>
  <c r="AD145" i="222"/>
  <c r="AE147" i="222"/>
  <c r="AK147" i="222" s="1"/>
  <c r="AG149" i="222"/>
  <c r="AK149" i="222" s="1"/>
  <c r="AJ161" i="222"/>
  <c r="AE182" i="222"/>
  <c r="AC189" i="222"/>
  <c r="AB189" i="222"/>
  <c r="AH189" i="222"/>
  <c r="AG189" i="222"/>
  <c r="AC196" i="222"/>
  <c r="AJ196" i="222"/>
  <c r="AB196" i="222"/>
  <c r="AH196" i="222"/>
  <c r="AH198" i="222"/>
  <c r="AE145" i="222"/>
  <c r="AF147" i="222"/>
  <c r="AH149" i="222"/>
  <c r="AC178" i="222"/>
  <c r="AK178" i="222" s="1"/>
  <c r="AD178" i="222"/>
  <c r="AG178" i="222"/>
  <c r="AF182" i="222"/>
  <c r="AI189" i="222"/>
  <c r="Y192" i="222"/>
  <c r="AI196" i="222"/>
  <c r="AJ198" i="222"/>
  <c r="U81" i="218"/>
  <c r="Q90" i="221"/>
  <c r="N81" i="220"/>
  <c r="R67" i="220"/>
  <c r="R67" i="219"/>
  <c r="Y205" i="222"/>
  <c r="V81" i="218"/>
  <c r="K70" i="218"/>
  <c r="D70" i="218" s="1"/>
  <c r="F70" i="218" s="1"/>
  <c r="R90" i="221"/>
  <c r="Z205" i="222"/>
  <c r="O67" i="218"/>
  <c r="O70" i="218"/>
  <c r="AA205" i="222"/>
  <c r="P67" i="218"/>
  <c r="P70" i="218"/>
  <c r="AJ204" i="222"/>
  <c r="AB204" i="222"/>
  <c r="AG204" i="222"/>
  <c r="AC205" i="222"/>
  <c r="AB205" i="222"/>
  <c r="AH205" i="222"/>
  <c r="AG205" i="222"/>
  <c r="S68" i="218"/>
  <c r="N68" i="219"/>
  <c r="AI205" i="222"/>
  <c r="Q68" i="204"/>
  <c r="M70" i="221"/>
  <c r="L70" i="220"/>
  <c r="V90" i="219"/>
  <c r="M68" i="219"/>
  <c r="AJ205" i="222"/>
  <c r="N90" i="218"/>
  <c r="O70" i="221"/>
  <c r="M70" i="220"/>
  <c r="T70" i="219"/>
  <c r="P68" i="219"/>
  <c r="Y204" i="222"/>
  <c r="Q69" i="218"/>
  <c r="U70" i="221"/>
  <c r="U90" i="220"/>
  <c r="U68" i="219"/>
  <c r="Z204" i="222"/>
  <c r="AA204" i="222"/>
  <c r="AH165" i="222"/>
  <c r="AK165" i="222" s="1"/>
  <c r="AI179" i="222"/>
  <c r="AJ197" i="222"/>
  <c r="AE177" i="222"/>
  <c r="AK177" i="222" s="1"/>
  <c r="AC179" i="222"/>
  <c r="AD197" i="222"/>
  <c r="O69" i="204"/>
  <c r="O90" i="220"/>
  <c r="S70" i="220"/>
  <c r="O67" i="219"/>
  <c r="Q67" i="218"/>
  <c r="Q70" i="218"/>
  <c r="P81" i="220"/>
  <c r="S70" i="221"/>
  <c r="O70" i="220"/>
  <c r="R68" i="220"/>
  <c r="U90" i="219"/>
  <c r="U70" i="219"/>
  <c r="R68" i="219"/>
  <c r="K70" i="204"/>
  <c r="D70" i="204" s="1"/>
  <c r="F70" i="204" s="1"/>
  <c r="V90" i="221"/>
  <c r="R90" i="220"/>
  <c r="Q67" i="219"/>
  <c r="K69" i="219"/>
  <c r="G69" i="219" s="1"/>
  <c r="I69" i="219" s="1"/>
  <c r="AM323" i="217"/>
  <c r="AJ322" i="217"/>
  <c r="AK323" i="217"/>
  <c r="AO323" i="217"/>
  <c r="AP324" i="217"/>
  <c r="AU323" i="217"/>
  <c r="AS323" i="217"/>
  <c r="AK322" i="217"/>
  <c r="AL323" i="217"/>
  <c r="AU324" i="217"/>
  <c r="AS324" i="217"/>
  <c r="AR324" i="217"/>
  <c r="AN323" i="217"/>
  <c r="AO322" i="217"/>
  <c r="AM322" i="217"/>
  <c r="AR323" i="217"/>
  <c r="AT324" i="217"/>
  <c r="AU322" i="217"/>
  <c r="AQ323" i="217"/>
  <c r="AT322" i="217"/>
  <c r="AS322" i="217"/>
  <c r="AR322" i="217"/>
  <c r="AN322" i="217"/>
  <c r="AT323" i="217"/>
  <c r="AP323" i="217"/>
  <c r="AL324" i="217"/>
  <c r="AO324" i="217"/>
  <c r="AQ322" i="217"/>
  <c r="AK324" i="217"/>
  <c r="AN324" i="217"/>
  <c r="AP322" i="217"/>
  <c r="AM324" i="217"/>
  <c r="AL322" i="217"/>
  <c r="AJ324" i="217"/>
  <c r="AQ324" i="217"/>
  <c r="AJ323" i="217"/>
  <c r="N45" i="232"/>
  <c r="N34" i="232"/>
  <c r="Q10" i="234"/>
  <c r="B10" i="234"/>
  <c r="C10" i="234" s="1"/>
  <c r="P33" i="232"/>
  <c r="P36" i="232"/>
  <c r="I50" i="232"/>
  <c r="O39" i="233"/>
  <c r="F35" i="230"/>
  <c r="O45" i="232"/>
  <c r="I34" i="233"/>
  <c r="D122" i="243"/>
  <c r="G12" i="240"/>
  <c r="F41" i="230"/>
  <c r="F49" i="230"/>
  <c r="M34" i="230"/>
  <c r="G46" i="233"/>
  <c r="O34" i="232"/>
  <c r="J35" i="233"/>
  <c r="O35" i="233"/>
  <c r="N36" i="230"/>
  <c r="F33" i="230"/>
  <c r="F45" i="230"/>
  <c r="F50" i="230"/>
  <c r="I35" i="232"/>
  <c r="I47" i="232"/>
  <c r="J32" i="233"/>
  <c r="N49" i="233"/>
  <c r="K32" i="236"/>
  <c r="P46" i="236"/>
  <c r="G39" i="233"/>
  <c r="J46" i="233"/>
  <c r="M49" i="230"/>
  <c r="F6" i="240"/>
  <c r="G49" i="233"/>
  <c r="O35" i="232"/>
  <c r="O47" i="232"/>
  <c r="G36" i="233"/>
  <c r="L32" i="236"/>
  <c r="H51" i="232"/>
  <c r="J36" i="236"/>
  <c r="G41" i="233"/>
  <c r="E46" i="230"/>
  <c r="E44" i="230" s="1"/>
  <c r="J45" i="233"/>
  <c r="K35" i="240"/>
  <c r="R26" i="240" s="1"/>
  <c r="F34" i="230"/>
  <c r="F46" i="230"/>
  <c r="F51" i="230"/>
  <c r="G33" i="233"/>
  <c r="O50" i="233"/>
  <c r="L33" i="236"/>
  <c r="M40" i="230"/>
  <c r="J39" i="233"/>
  <c r="H36" i="236"/>
  <c r="G32" i="236"/>
  <c r="G34" i="230"/>
  <c r="M46" i="230"/>
  <c r="J32" i="232"/>
  <c r="O49" i="232"/>
  <c r="K33" i="233"/>
  <c r="P40" i="236"/>
  <c r="J49" i="236"/>
  <c r="I36" i="240"/>
  <c r="I37" i="240" s="1"/>
  <c r="E33" i="240"/>
  <c r="K33" i="240" s="1"/>
  <c r="K32" i="232"/>
  <c r="K51" i="232"/>
  <c r="O46" i="236"/>
  <c r="H34" i="230"/>
  <c r="H46" i="230"/>
  <c r="K47" i="232"/>
  <c r="H32" i="230"/>
  <c r="J34" i="230"/>
  <c r="L36" i="230"/>
  <c r="K46" i="230"/>
  <c r="O32" i="232"/>
  <c r="L47" i="232"/>
  <c r="G50" i="232"/>
  <c r="O51" i="232"/>
  <c r="O33" i="233"/>
  <c r="K35" i="233"/>
  <c r="M39" i="233"/>
  <c r="M41" i="233"/>
  <c r="M46" i="233"/>
  <c r="L49" i="233"/>
  <c r="G51" i="233"/>
  <c r="M32" i="236"/>
  <c r="P41" i="232"/>
  <c r="P49" i="230"/>
  <c r="P45" i="232"/>
  <c r="K41" i="233"/>
  <c r="K49" i="233"/>
  <c r="M51" i="236"/>
  <c r="E4" i="240"/>
  <c r="K4" i="240" s="1"/>
  <c r="K6" i="240" s="1"/>
  <c r="G25" i="240"/>
  <c r="I32" i="230"/>
  <c r="L34" i="230"/>
  <c r="M36" i="230"/>
  <c r="L46" i="230"/>
  <c r="G35" i="232"/>
  <c r="N47" i="232"/>
  <c r="H50" i="232"/>
  <c r="P51" i="232"/>
  <c r="P33" i="233"/>
  <c r="M35" i="233"/>
  <c r="N39" i="233"/>
  <c r="N41" i="233"/>
  <c r="O46" i="233"/>
  <c r="M49" i="233"/>
  <c r="J51" i="233"/>
  <c r="P32" i="236"/>
  <c r="O41" i="236"/>
  <c r="P47" i="236"/>
  <c r="J50" i="230"/>
  <c r="K33" i="232"/>
  <c r="H46" i="232"/>
  <c r="K50" i="232"/>
  <c r="P49" i="233"/>
  <c r="M51" i="233"/>
  <c r="P32" i="230"/>
  <c r="M41" i="230"/>
  <c r="L33" i="232"/>
  <c r="J40" i="232"/>
  <c r="I46" i="232"/>
  <c r="L50" i="232"/>
  <c r="I32" i="233"/>
  <c r="G34" i="233"/>
  <c r="G45" i="233"/>
  <c r="P51" i="233"/>
  <c r="M33" i="236"/>
  <c r="P36" i="236"/>
  <c r="I49" i="236"/>
  <c r="D126" i="243"/>
  <c r="K40" i="232"/>
  <c r="N50" i="232"/>
  <c r="H35" i="230"/>
  <c r="I47" i="230"/>
  <c r="G36" i="232"/>
  <c r="L40" i="232"/>
  <c r="G45" i="232"/>
  <c r="L46" i="232"/>
  <c r="H49" i="232"/>
  <c r="O50" i="232"/>
  <c r="M32" i="233"/>
  <c r="J34" i="233"/>
  <c r="M36" i="233"/>
  <c r="J40" i="233"/>
  <c r="K45" i="233"/>
  <c r="J47" i="233"/>
  <c r="G50" i="233"/>
  <c r="G34" i="236"/>
  <c r="O49" i="236"/>
  <c r="G49" i="232"/>
  <c r="K35" i="230"/>
  <c r="M47" i="230"/>
  <c r="M51" i="230"/>
  <c r="F34" i="232"/>
  <c r="I36" i="232"/>
  <c r="O40" i="232"/>
  <c r="H45" i="232"/>
  <c r="O46" i="232"/>
  <c r="I49" i="232"/>
  <c r="N32" i="233"/>
  <c r="K34" i="233"/>
  <c r="N36" i="233"/>
  <c r="K40" i="233"/>
  <c r="M45" i="233"/>
  <c r="K47" i="233"/>
  <c r="I50" i="233"/>
  <c r="H34" i="236"/>
  <c r="L45" i="236"/>
  <c r="P49" i="236"/>
  <c r="H47" i="232"/>
  <c r="E39" i="230"/>
  <c r="C39" i="230" s="1"/>
  <c r="E40" i="232"/>
  <c r="B40" i="232" s="1"/>
  <c r="K8" i="240"/>
  <c r="F44" i="240"/>
  <c r="K44" i="240" s="1"/>
  <c r="I33" i="230"/>
  <c r="L35" i="230"/>
  <c r="H45" i="230"/>
  <c r="N47" i="230"/>
  <c r="Q10" i="235"/>
  <c r="G34" i="232"/>
  <c r="J36" i="232"/>
  <c r="I45" i="232"/>
  <c r="K49" i="232"/>
  <c r="O32" i="233"/>
  <c r="M34" i="233"/>
  <c r="O36" i="233"/>
  <c r="O40" i="233"/>
  <c r="N45" i="233"/>
  <c r="N47" i="233"/>
  <c r="J50" i="233"/>
  <c r="M34" i="236"/>
  <c r="I39" i="236"/>
  <c r="M45" i="236"/>
  <c r="K28" i="240"/>
  <c r="H40" i="236"/>
  <c r="M35" i="230"/>
  <c r="H40" i="230"/>
  <c r="K45" i="230"/>
  <c r="I34" i="232"/>
  <c r="K36" i="232"/>
  <c r="K45" i="232"/>
  <c r="L49" i="232"/>
  <c r="G51" i="232"/>
  <c r="N34" i="233"/>
  <c r="P40" i="233"/>
  <c r="O45" i="233"/>
  <c r="O47" i="233"/>
  <c r="M50" i="233"/>
  <c r="P34" i="236"/>
  <c r="P39" i="236"/>
  <c r="M50" i="236"/>
  <c r="J32" i="230"/>
  <c r="S130" i="240"/>
  <c r="K46" i="232"/>
  <c r="E39" i="236"/>
  <c r="C39" i="236" s="1"/>
  <c r="L34" i="232"/>
  <c r="O36" i="232"/>
  <c r="K41" i="232"/>
  <c r="L45" i="232"/>
  <c r="G47" i="232"/>
  <c r="N49" i="232"/>
  <c r="P34" i="233"/>
  <c r="N50" i="233"/>
  <c r="M46" i="236"/>
  <c r="P50" i="236"/>
  <c r="AE48" i="230"/>
  <c r="AE31" i="230"/>
  <c r="AE44" i="230"/>
  <c r="F71" i="221"/>
  <c r="F171" i="221"/>
  <c r="F72" i="221"/>
  <c r="AK33" i="220"/>
  <c r="AJ12" i="220"/>
  <c r="D109" i="220"/>
  <c r="F137" i="220"/>
  <c r="D162" i="220"/>
  <c r="F162" i="220" s="1"/>
  <c r="K171" i="220"/>
  <c r="D171" i="220" s="1"/>
  <c r="F171" i="220" s="1"/>
  <c r="W177" i="220"/>
  <c r="W183" i="220" s="1"/>
  <c r="Y44" i="220"/>
  <c r="D47" i="220"/>
  <c r="F47" i="220" s="1"/>
  <c r="W137" i="220"/>
  <c r="F196" i="220"/>
  <c r="AI44" i="220"/>
  <c r="F133" i="220"/>
  <c r="K183" i="220"/>
  <c r="F188" i="220"/>
  <c r="F190" i="220"/>
  <c r="F192" i="220"/>
  <c r="F63" i="220"/>
  <c r="F48" i="220"/>
  <c r="F30" i="220"/>
  <c r="F79" i="220"/>
  <c r="F112" i="220"/>
  <c r="F158" i="220"/>
  <c r="G162" i="220"/>
  <c r="I162" i="220" s="1"/>
  <c r="F169" i="220"/>
  <c r="AB183" i="220"/>
  <c r="F194" i="220"/>
  <c r="F28" i="220"/>
  <c r="AK16" i="220"/>
  <c r="F32" i="220"/>
  <c r="G47" i="220"/>
  <c r="I47" i="220" s="1"/>
  <c r="F82" i="220"/>
  <c r="F131" i="220"/>
  <c r="F178" i="220"/>
  <c r="F167" i="220"/>
  <c r="F163" i="220"/>
  <c r="F174" i="220"/>
  <c r="F161" i="220"/>
  <c r="F203" i="220"/>
  <c r="F111" i="220"/>
  <c r="T132" i="220"/>
  <c r="W132" i="220" s="1"/>
  <c r="F134" i="220"/>
  <c r="F191" i="220"/>
  <c r="F50" i="220"/>
  <c r="F195" i="220"/>
  <c r="Y80" i="220"/>
  <c r="F121" i="220"/>
  <c r="F125" i="220"/>
  <c r="F130" i="220"/>
  <c r="F132" i="220"/>
  <c r="F145" i="220"/>
  <c r="G159" i="220"/>
  <c r="I159" i="220" s="1"/>
  <c r="F179" i="220"/>
  <c r="D187" i="220"/>
  <c r="F187" i="220" s="1"/>
  <c r="G195" i="220"/>
  <c r="I195" i="220" s="1"/>
  <c r="Y199" i="220"/>
  <c r="F29" i="220"/>
  <c r="G132" i="220"/>
  <c r="I132" i="220" s="1"/>
  <c r="K199" i="220"/>
  <c r="F41" i="220"/>
  <c r="F76" i="220"/>
  <c r="F18" i="220"/>
  <c r="F108" i="220"/>
  <c r="F141" i="220"/>
  <c r="F175" i="220"/>
  <c r="F177" i="220"/>
  <c r="G187" i="220"/>
  <c r="I187" i="220" s="1"/>
  <c r="F73" i="219"/>
  <c r="F53" i="219"/>
  <c r="F71" i="219"/>
  <c r="F71" i="218"/>
  <c r="F199" i="218"/>
  <c r="F76" i="204"/>
  <c r="F100" i="206"/>
  <c r="J109" i="193"/>
  <c r="H46" i="240"/>
  <c r="H52" i="240" s="1"/>
  <c r="D8" i="238"/>
  <c r="E10" i="232" s="1"/>
  <c r="E49" i="230"/>
  <c r="C49" i="230" s="1"/>
  <c r="D9" i="238"/>
  <c r="E10" i="233" s="1"/>
  <c r="N49" i="236"/>
  <c r="N36" i="236"/>
  <c r="N51" i="236"/>
  <c r="N50" i="236"/>
  <c r="N32" i="236"/>
  <c r="E40" i="236"/>
  <c r="B40" i="236" s="1"/>
  <c r="O45" i="230"/>
  <c r="O34" i="230"/>
  <c r="O41" i="230"/>
  <c r="O36" i="230"/>
  <c r="O46" i="230"/>
  <c r="O40" i="230"/>
  <c r="O35" i="230"/>
  <c r="O47" i="230"/>
  <c r="O49" i="230"/>
  <c r="O50" i="230"/>
  <c r="N34" i="236"/>
  <c r="O36" i="236"/>
  <c r="K22" i="240"/>
  <c r="O32" i="230"/>
  <c r="P50" i="232"/>
  <c r="O34" i="236"/>
  <c r="I40" i="236"/>
  <c r="F40" i="232"/>
  <c r="F32" i="232"/>
  <c r="F36" i="232"/>
  <c r="E33" i="232"/>
  <c r="C33" i="232" s="1"/>
  <c r="F46" i="232"/>
  <c r="L35" i="233"/>
  <c r="L51" i="233"/>
  <c r="N40" i="236"/>
  <c r="E47" i="236"/>
  <c r="C47" i="236" s="1"/>
  <c r="G50" i="236"/>
  <c r="E46" i="236"/>
  <c r="B46" i="236" s="1"/>
  <c r="E34" i="236"/>
  <c r="C34" i="236" s="1"/>
  <c r="E50" i="236"/>
  <c r="C50" i="236" s="1"/>
  <c r="H45" i="236"/>
  <c r="H32" i="236"/>
  <c r="H50" i="236"/>
  <c r="K32" i="230"/>
  <c r="K47" i="230"/>
  <c r="K41" i="230"/>
  <c r="K36" i="230"/>
  <c r="K49" i="230"/>
  <c r="M36" i="232"/>
  <c r="M51" i="232"/>
  <c r="M50" i="232"/>
  <c r="M49" i="232"/>
  <c r="M47" i="232"/>
  <c r="M46" i="232"/>
  <c r="M45" i="232"/>
  <c r="M40" i="232"/>
  <c r="M32" i="232"/>
  <c r="K34" i="230"/>
  <c r="K50" i="230"/>
  <c r="F33" i="232"/>
  <c r="F45" i="236"/>
  <c r="H47" i="236"/>
  <c r="F36" i="240"/>
  <c r="I51" i="230"/>
  <c r="I34" i="230"/>
  <c r="I46" i="230"/>
  <c r="I40" i="230"/>
  <c r="I35" i="230"/>
  <c r="I45" i="230"/>
  <c r="N36" i="232"/>
  <c r="P49" i="232"/>
  <c r="F51" i="232"/>
  <c r="E35" i="236"/>
  <c r="C35" i="236" s="1"/>
  <c r="G45" i="236"/>
  <c r="K27" i="240"/>
  <c r="U39" i="240"/>
  <c r="I43" i="240"/>
  <c r="E43" i="240" s="1"/>
  <c r="K39" i="240"/>
  <c r="O50" i="236"/>
  <c r="O51" i="236"/>
  <c r="O32" i="236"/>
  <c r="O45" i="236"/>
  <c r="O33" i="236"/>
  <c r="F45" i="232"/>
  <c r="L32" i="233"/>
  <c r="G33" i="236"/>
  <c r="N47" i="236"/>
  <c r="E51" i="232"/>
  <c r="C51" i="232" s="1"/>
  <c r="E50" i="232"/>
  <c r="E49" i="232"/>
  <c r="B49" i="232" s="1"/>
  <c r="E47" i="232"/>
  <c r="C47" i="232" s="1"/>
  <c r="E46" i="232"/>
  <c r="B46" i="232" s="1"/>
  <c r="E45" i="232"/>
  <c r="C45" i="232" s="1"/>
  <c r="E39" i="232"/>
  <c r="C39" i="232" s="1"/>
  <c r="E35" i="232"/>
  <c r="B35" i="232" s="1"/>
  <c r="E36" i="232"/>
  <c r="B36" i="232" s="1"/>
  <c r="P34" i="230"/>
  <c r="E41" i="232"/>
  <c r="C41" i="232" s="1"/>
  <c r="H39" i="236"/>
  <c r="O47" i="236"/>
  <c r="F41" i="232"/>
  <c r="P47" i="232"/>
  <c r="G36" i="240"/>
  <c r="G37" i="240" s="1"/>
  <c r="K50" i="240"/>
  <c r="I35" i="233"/>
  <c r="I49" i="233"/>
  <c r="I36" i="233"/>
  <c r="I51" i="233"/>
  <c r="I41" i="233"/>
  <c r="I45" i="233"/>
  <c r="I33" i="233"/>
  <c r="K45" i="236"/>
  <c r="K33" i="236"/>
  <c r="K41" i="236"/>
  <c r="K39" i="236"/>
  <c r="K35" i="236"/>
  <c r="K49" i="236"/>
  <c r="K36" i="236"/>
  <c r="K46" i="236"/>
  <c r="K34" i="236"/>
  <c r="K47" i="236"/>
  <c r="K40" i="236"/>
  <c r="K51" i="236"/>
  <c r="N33" i="230"/>
  <c r="N46" i="230"/>
  <c r="N34" i="230"/>
  <c r="N40" i="230"/>
  <c r="N35" i="230"/>
  <c r="N49" i="230"/>
  <c r="N51" i="230"/>
  <c r="K33" i="230"/>
  <c r="N41" i="230"/>
  <c r="I49" i="230"/>
  <c r="J51" i="230"/>
  <c r="I46" i="233"/>
  <c r="Q10" i="236"/>
  <c r="B10" i="236"/>
  <c r="C10" i="236" s="1"/>
  <c r="O35" i="236"/>
  <c r="N39" i="236"/>
  <c r="H41" i="236"/>
  <c r="E51" i="236"/>
  <c r="C51" i="236" s="1"/>
  <c r="S42" i="240"/>
  <c r="K42" i="240"/>
  <c r="L50" i="233"/>
  <c r="L39" i="233"/>
  <c r="L40" i="233"/>
  <c r="L45" i="233"/>
  <c r="L33" i="233"/>
  <c r="L34" i="233"/>
  <c r="L47" i="233"/>
  <c r="J32" i="236"/>
  <c r="J46" i="236"/>
  <c r="J47" i="236"/>
  <c r="J41" i="236"/>
  <c r="J40" i="236"/>
  <c r="J39" i="236"/>
  <c r="J35" i="236"/>
  <c r="J45" i="236"/>
  <c r="J33" i="236"/>
  <c r="J34" i="236"/>
  <c r="J51" i="236"/>
  <c r="F46" i="240"/>
  <c r="R44" i="240"/>
  <c r="R34" i="240"/>
  <c r="F35" i="232"/>
  <c r="H33" i="236"/>
  <c r="F46" i="236"/>
  <c r="F34" i="236"/>
  <c r="F49" i="236"/>
  <c r="F47" i="236"/>
  <c r="F41" i="236"/>
  <c r="F40" i="236"/>
  <c r="F39" i="236"/>
  <c r="F35" i="236"/>
  <c r="F50" i="236"/>
  <c r="F51" i="236"/>
  <c r="E45" i="236"/>
  <c r="C45" i="236" s="1"/>
  <c r="J33" i="230"/>
  <c r="F50" i="232"/>
  <c r="N35" i="236"/>
  <c r="E41" i="236"/>
  <c r="B41" i="236" s="1"/>
  <c r="N45" i="236"/>
  <c r="I33" i="236"/>
  <c r="I46" i="236"/>
  <c r="I34" i="236"/>
  <c r="I32" i="236"/>
  <c r="I45" i="236"/>
  <c r="I50" i="236"/>
  <c r="L32" i="230"/>
  <c r="L45" i="230"/>
  <c r="L33" i="230"/>
  <c r="L49" i="230"/>
  <c r="L50" i="230"/>
  <c r="O33" i="230"/>
  <c r="K51" i="230"/>
  <c r="E32" i="232"/>
  <c r="B32" i="232" s="1"/>
  <c r="M35" i="232"/>
  <c r="L36" i="233"/>
  <c r="N33" i="236"/>
  <c r="O39" i="236"/>
  <c r="I41" i="236"/>
  <c r="I51" i="236"/>
  <c r="G49" i="236"/>
  <c r="G47" i="236"/>
  <c r="G41" i="236"/>
  <c r="G40" i="236"/>
  <c r="G39" i="236"/>
  <c r="G35" i="236"/>
  <c r="G36" i="236"/>
  <c r="G51" i="236"/>
  <c r="P46" i="230"/>
  <c r="P40" i="230"/>
  <c r="P35" i="230"/>
  <c r="P47" i="230"/>
  <c r="P41" i="230"/>
  <c r="P36" i="230"/>
  <c r="P50" i="230"/>
  <c r="P51" i="230"/>
  <c r="M33" i="232"/>
  <c r="J46" i="230"/>
  <c r="J40" i="230"/>
  <c r="J35" i="230"/>
  <c r="J47" i="230"/>
  <c r="J41" i="230"/>
  <c r="J36" i="230"/>
  <c r="N40" i="232"/>
  <c r="N32" i="232"/>
  <c r="N41" i="232"/>
  <c r="N33" i="232"/>
  <c r="P40" i="232"/>
  <c r="P32" i="232"/>
  <c r="P34" i="232"/>
  <c r="P35" i="232"/>
  <c r="P33" i="230"/>
  <c r="L51" i="230"/>
  <c r="E34" i="232"/>
  <c r="C34" i="232" s="1"/>
  <c r="N35" i="232"/>
  <c r="M41" i="232"/>
  <c r="P46" i="232"/>
  <c r="F49" i="232"/>
  <c r="N51" i="232"/>
  <c r="L46" i="233"/>
  <c r="E32" i="236"/>
  <c r="C32" i="236" s="1"/>
  <c r="N41" i="236"/>
  <c r="H46" i="236"/>
  <c r="E49" i="236"/>
  <c r="B49" i="236" s="1"/>
  <c r="G36" i="230"/>
  <c r="G41" i="230"/>
  <c r="G47" i="230"/>
  <c r="P39" i="233"/>
  <c r="P50" i="233"/>
  <c r="E6" i="240"/>
  <c r="M120" i="243"/>
  <c r="J45" i="230"/>
  <c r="G35" i="230"/>
  <c r="H36" i="230"/>
  <c r="G40" i="230"/>
  <c r="H41" i="230"/>
  <c r="G46" i="230"/>
  <c r="H47" i="230"/>
  <c r="M50" i="230"/>
  <c r="O33" i="232"/>
  <c r="J45" i="232"/>
  <c r="J46" i="232"/>
  <c r="J47" i="232"/>
  <c r="J49" i="232"/>
  <c r="J50" i="232"/>
  <c r="J51" i="232"/>
  <c r="G32" i="233"/>
  <c r="J33" i="233"/>
  <c r="N35" i="233"/>
  <c r="P36" i="233"/>
  <c r="K46" i="233"/>
  <c r="M47" i="233"/>
  <c r="O49" i="233"/>
  <c r="P33" i="236"/>
  <c r="E36" i="236"/>
  <c r="C36" i="236" s="1"/>
  <c r="P45" i="236"/>
  <c r="G33" i="230"/>
  <c r="P35" i="233"/>
  <c r="H35" i="232"/>
  <c r="G32" i="230"/>
  <c r="H33" i="230"/>
  <c r="G45" i="230"/>
  <c r="K32" i="233"/>
  <c r="M33" i="233"/>
  <c r="O34" i="233"/>
  <c r="G40" i="233"/>
  <c r="J41" i="233"/>
  <c r="N46" i="233"/>
  <c r="P47" i="233"/>
  <c r="E33" i="236"/>
  <c r="C33" i="236" s="1"/>
  <c r="G51" i="230"/>
  <c r="G33" i="232"/>
  <c r="G41" i="232"/>
  <c r="P45" i="233"/>
  <c r="L36" i="236"/>
  <c r="M33" i="230"/>
  <c r="M45" i="230"/>
  <c r="H51" i="230"/>
  <c r="G32" i="232"/>
  <c r="I33" i="232"/>
  <c r="J34" i="232"/>
  <c r="K35" i="232"/>
  <c r="L36" i="232"/>
  <c r="I41" i="232"/>
  <c r="P32" i="233"/>
  <c r="G35" i="233"/>
  <c r="J36" i="233"/>
  <c r="K39" i="233"/>
  <c r="O41" i="233"/>
  <c r="K50" i="233"/>
  <c r="N51" i="233"/>
  <c r="L35" i="236"/>
  <c r="M36" i="236"/>
  <c r="L39" i="236"/>
  <c r="L40" i="236"/>
  <c r="L41" i="236"/>
  <c r="L47" i="236"/>
  <c r="M49" i="236"/>
  <c r="L50" i="236"/>
  <c r="J35" i="232"/>
  <c r="L49" i="236"/>
  <c r="I32" i="232"/>
  <c r="J33" i="232"/>
  <c r="L34" i="236"/>
  <c r="M35" i="236"/>
  <c r="M39" i="236"/>
  <c r="M40" i="236"/>
  <c r="M41" i="236"/>
  <c r="G171" i="204"/>
  <c r="I171" i="204" s="1"/>
  <c r="AI13" i="172"/>
  <c r="AH13" i="172"/>
  <c r="AG13" i="172"/>
  <c r="AJ13" i="172"/>
  <c r="AR13" i="172"/>
  <c r="AQ13" i="172"/>
  <c r="AM37" i="172"/>
  <c r="AI37" i="172"/>
  <c r="AN37" i="172"/>
  <c r="AL37" i="172"/>
  <c r="AK37" i="172"/>
  <c r="AJ37" i="172"/>
  <c r="AG37" i="172"/>
  <c r="AO37" i="172"/>
  <c r="AS37" i="172" s="1"/>
  <c r="AG44" i="172"/>
  <c r="U111" i="159" s="1"/>
  <c r="H112" i="190" s="1"/>
  <c r="AQ44" i="172"/>
  <c r="AM44" i="172"/>
  <c r="AH44" i="172"/>
  <c r="AP44" i="172"/>
  <c r="AO44" i="172"/>
  <c r="AN44" i="172"/>
  <c r="AK44" i="172"/>
  <c r="AR44" i="172"/>
  <c r="R116" i="159"/>
  <c r="AO24" i="172"/>
  <c r="AK24" i="172"/>
  <c r="AN24" i="172"/>
  <c r="AM24" i="172"/>
  <c r="AL24" i="172"/>
  <c r="AI24" i="172"/>
  <c r="AP24" i="172"/>
  <c r="AJ24" i="172"/>
  <c r="AH24" i="172"/>
  <c r="AQ24" i="172"/>
  <c r="W72" i="172"/>
  <c r="X72" i="172"/>
  <c r="R114" i="159" s="1"/>
  <c r="S72" i="172"/>
  <c r="O72" i="172"/>
  <c r="AA72" i="172" s="1"/>
  <c r="V72" i="172"/>
  <c r="U72" i="172"/>
  <c r="Q72" i="172"/>
  <c r="Z72" i="172"/>
  <c r="Y72" i="172"/>
  <c r="R72" i="172"/>
  <c r="T72" i="172"/>
  <c r="AS89" i="172"/>
  <c r="P136" i="172"/>
  <c r="X136" i="172"/>
  <c r="T136" i="172"/>
  <c r="Y136" i="172"/>
  <c r="S123" i="159" s="1"/>
  <c r="U136" i="172"/>
  <c r="S136" i="172"/>
  <c r="O136" i="172"/>
  <c r="V136" i="172"/>
  <c r="W136" i="172"/>
  <c r="R136" i="172"/>
  <c r="Z136" i="172"/>
  <c r="AM8" i="172"/>
  <c r="AL8" i="172"/>
  <c r="AK8" i="172"/>
  <c r="AI8" i="172"/>
  <c r="AN8" i="172"/>
  <c r="AR8" i="172"/>
  <c r="AR27" i="172" s="1"/>
  <c r="AO8" i="172"/>
  <c r="AJ8" i="172"/>
  <c r="AK9" i="172"/>
  <c r="AJ9" i="172"/>
  <c r="AI9" i="172"/>
  <c r="AG9" i="172"/>
  <c r="AL9" i="172"/>
  <c r="AM9" i="172"/>
  <c r="AH9" i="172"/>
  <c r="AN9" i="172"/>
  <c r="T11" i="172"/>
  <c r="AI12" i="172"/>
  <c r="AH12" i="172"/>
  <c r="AG12" i="172"/>
  <c r="AS12" i="172" s="1"/>
  <c r="AJ12" i="172"/>
  <c r="AP12" i="172"/>
  <c r="AO12" i="172"/>
  <c r="AL12" i="172"/>
  <c r="AK12" i="172"/>
  <c r="AQ12" i="172"/>
  <c r="AK17" i="172"/>
  <c r="AO47" i="172"/>
  <c r="AK47" i="172"/>
  <c r="AG47" i="172"/>
  <c r="AP47" i="172"/>
  <c r="AD122" i="159" s="1"/>
  <c r="AR47" i="172"/>
  <c r="AQ47" i="172"/>
  <c r="AN47" i="172"/>
  <c r="AL47" i="172"/>
  <c r="AM47" i="172"/>
  <c r="AI47" i="172"/>
  <c r="AJ47" i="172"/>
  <c r="AP64" i="172"/>
  <c r="AO64" i="172"/>
  <c r="AL64" i="172"/>
  <c r="AK64" i="172"/>
  <c r="AH64" i="172"/>
  <c r="AQ64" i="172"/>
  <c r="AE123" i="159" s="1"/>
  <c r="AR64" i="172"/>
  <c r="AF123" i="159" s="1"/>
  <c r="AN64" i="172"/>
  <c r="AM64" i="172"/>
  <c r="AI64" i="172"/>
  <c r="AJ64" i="172"/>
  <c r="AG64" i="172"/>
  <c r="AG8" i="172"/>
  <c r="AO9" i="172"/>
  <c r="AM12" i="172"/>
  <c r="T116" i="159"/>
  <c r="T113" i="159"/>
  <c r="Z25" i="172"/>
  <c r="V25" i="172"/>
  <c r="R25" i="172"/>
  <c r="Y25" i="172"/>
  <c r="X25" i="172"/>
  <c r="R115" i="159" s="1"/>
  <c r="W25" i="172"/>
  <c r="T25" i="172"/>
  <c r="U25" i="172"/>
  <c r="P32" i="172"/>
  <c r="Z32" i="172"/>
  <c r="V32" i="172"/>
  <c r="Q32" i="172"/>
  <c r="Y32" i="172"/>
  <c r="S104" i="159" s="1"/>
  <c r="X32" i="172"/>
  <c r="W32" i="172"/>
  <c r="S32" i="172"/>
  <c r="R32" i="172"/>
  <c r="X35" i="172"/>
  <c r="T35" i="172"/>
  <c r="P35" i="172"/>
  <c r="Y35" i="172"/>
  <c r="V35" i="172"/>
  <c r="U35" i="172"/>
  <c r="S35" i="172"/>
  <c r="Q35" i="172"/>
  <c r="W35" i="172"/>
  <c r="R35" i="172"/>
  <c r="R51" i="172" s="1"/>
  <c r="O35" i="172"/>
  <c r="Z35" i="172"/>
  <c r="AI38" i="172"/>
  <c r="AO38" i="172"/>
  <c r="AJ38" i="172"/>
  <c r="AQ38" i="172"/>
  <c r="AE102" i="159" s="1"/>
  <c r="AP38" i="172"/>
  <c r="AN38" i="172"/>
  <c r="AL38" i="172"/>
  <c r="AR38" i="172"/>
  <c r="AF102" i="159" s="1"/>
  <c r="AM38" i="172"/>
  <c r="AH47" i="172"/>
  <c r="AA54" i="172"/>
  <c r="AO75" i="172"/>
  <c r="Y152" i="172"/>
  <c r="V152" i="172"/>
  <c r="U152" i="172"/>
  <c r="AA152" i="172" s="1"/>
  <c r="T152" i="172"/>
  <c r="X152" i="172"/>
  <c r="Z152" i="172"/>
  <c r="W152" i="172"/>
  <c r="Q11" i="172"/>
  <c r="P11" i="172"/>
  <c r="O11" i="172"/>
  <c r="R11" i="172"/>
  <c r="X11" i="172"/>
  <c r="W11" i="172"/>
  <c r="S116" i="159"/>
  <c r="AG67" i="172"/>
  <c r="AL67" i="172"/>
  <c r="AJ67" i="172"/>
  <c r="AI67" i="172"/>
  <c r="AQ67" i="172"/>
  <c r="AK67" i="172"/>
  <c r="AP67" i="172"/>
  <c r="AD110" i="159" s="1"/>
  <c r="AO67" i="172"/>
  <c r="AC110" i="159" s="1"/>
  <c r="AN67" i="172"/>
  <c r="AH67" i="172"/>
  <c r="AR67" i="172"/>
  <c r="AP83" i="172"/>
  <c r="AO83" i="172"/>
  <c r="AK83" i="172"/>
  <c r="AQ83" i="172"/>
  <c r="AN83" i="172"/>
  <c r="AJ83" i="172"/>
  <c r="AR83" i="172"/>
  <c r="AM83" i="172"/>
  <c r="AI83" i="172"/>
  <c r="AL83" i="172"/>
  <c r="AH83" i="172"/>
  <c r="AQ87" i="172"/>
  <c r="AK87" i="172"/>
  <c r="AG87" i="172"/>
  <c r="AR87" i="172"/>
  <c r="AP87" i="172"/>
  <c r="AO87" i="172"/>
  <c r="AL87" i="172"/>
  <c r="AI87" i="172"/>
  <c r="AH87" i="172"/>
  <c r="AJ87" i="172"/>
  <c r="AI96" i="172"/>
  <c r="AP96" i="172"/>
  <c r="AL96" i="172"/>
  <c r="AG96" i="172"/>
  <c r="AQ96" i="172"/>
  <c r="AR96" i="172"/>
  <c r="AM96" i="172"/>
  <c r="AO96" i="172"/>
  <c r="AN96" i="172"/>
  <c r="AJ96" i="172"/>
  <c r="S11" i="172"/>
  <c r="S108" i="159"/>
  <c r="AI17" i="172"/>
  <c r="AH17" i="172"/>
  <c r="AG17" i="172"/>
  <c r="AS17" i="172" s="1"/>
  <c r="AJ17" i="172"/>
  <c r="X116" i="159" s="1"/>
  <c r="AR17" i="172"/>
  <c r="AF116" i="159" s="1"/>
  <c r="AQ17" i="172"/>
  <c r="AN17" i="172"/>
  <c r="AM17" i="172"/>
  <c r="AI43" i="172"/>
  <c r="AO43" i="172"/>
  <c r="AJ43" i="172"/>
  <c r="AM43" i="172"/>
  <c r="AL43" i="172"/>
  <c r="AK43" i="172"/>
  <c r="AG43" i="172"/>
  <c r="AN43" i="172"/>
  <c r="AN51" i="172" s="1"/>
  <c r="AQ43" i="172"/>
  <c r="AP43" i="172"/>
  <c r="AR43" i="172"/>
  <c r="Q63" i="172"/>
  <c r="Z63" i="172"/>
  <c r="Y63" i="172"/>
  <c r="V63" i="172"/>
  <c r="U63" i="172"/>
  <c r="R63" i="172"/>
  <c r="S63" i="172"/>
  <c r="P63" i="172"/>
  <c r="O63" i="172"/>
  <c r="T63" i="172"/>
  <c r="W63" i="172"/>
  <c r="X63" i="172"/>
  <c r="AM67" i="172"/>
  <c r="AG83" i="172"/>
  <c r="AM87" i="172"/>
  <c r="AH96" i="172"/>
  <c r="AJ112" i="172"/>
  <c r="AM112" i="172"/>
  <c r="AH112" i="172"/>
  <c r="AN112" i="172"/>
  <c r="AP112" i="172"/>
  <c r="AI112" i="172"/>
  <c r="AQ112" i="172"/>
  <c r="AR112" i="172"/>
  <c r="AK112" i="172"/>
  <c r="Y123" i="159" s="1"/>
  <c r="AL112" i="172"/>
  <c r="Z123" i="159" s="1"/>
  <c r="AG112" i="172"/>
  <c r="AO112" i="172"/>
  <c r="AH8" i="172"/>
  <c r="AP9" i="172"/>
  <c r="V11" i="172"/>
  <c r="AN12" i="172"/>
  <c r="AI15" i="172"/>
  <c r="AH15" i="172"/>
  <c r="AG15" i="172"/>
  <c r="AJ15" i="172"/>
  <c r="AP15" i="172"/>
  <c r="AO15" i="172"/>
  <c r="AO17" i="172"/>
  <c r="AC116" i="159" s="1"/>
  <c r="O25" i="172"/>
  <c r="O32" i="172"/>
  <c r="AQ35" i="172"/>
  <c r="AM35" i="172"/>
  <c r="AI35" i="172"/>
  <c r="AR35" i="172"/>
  <c r="AO35" i="172"/>
  <c r="AP35" i="172"/>
  <c r="AG38" i="172"/>
  <c r="AI57" i="172"/>
  <c r="W105" i="159" s="1"/>
  <c r="AH57" i="172"/>
  <c r="AR57" i="172"/>
  <c r="AO57" i="172"/>
  <c r="AJ57" i="172"/>
  <c r="AQ57" i="172"/>
  <c r="AP57" i="172"/>
  <c r="AP75" i="172" s="1"/>
  <c r="AM57" i="172"/>
  <c r="AL57" i="172"/>
  <c r="AN57" i="172"/>
  <c r="AS65" i="172"/>
  <c r="S66" i="172"/>
  <c r="Q66" i="172"/>
  <c r="P66" i="172"/>
  <c r="X66" i="172"/>
  <c r="R109" i="159" s="1"/>
  <c r="R66" i="172"/>
  <c r="AA66" i="172" s="1"/>
  <c r="Z66" i="172"/>
  <c r="Y66" i="172"/>
  <c r="W66" i="172"/>
  <c r="Q109" i="159" s="1"/>
  <c r="U66" i="172"/>
  <c r="V66" i="172"/>
  <c r="W82" i="172"/>
  <c r="S82" i="172"/>
  <c r="U82" i="172"/>
  <c r="T82" i="172"/>
  <c r="P82" i="172"/>
  <c r="O82" i="172"/>
  <c r="V82" i="172"/>
  <c r="Y82" i="172"/>
  <c r="Z82" i="172"/>
  <c r="T106" i="159" s="1"/>
  <c r="X82" i="172"/>
  <c r="R82" i="172"/>
  <c r="AA115" i="172"/>
  <c r="X138" i="172"/>
  <c r="U138" i="172"/>
  <c r="Q138" i="172"/>
  <c r="V138" i="172"/>
  <c r="Z138" i="172"/>
  <c r="T138" i="172"/>
  <c r="O138" i="172"/>
  <c r="W138" i="172"/>
  <c r="R138" i="172"/>
  <c r="P138" i="172"/>
  <c r="S138" i="172"/>
  <c r="AA186" i="172"/>
  <c r="AA65" i="172"/>
  <c r="W128" i="220"/>
  <c r="G128" i="220"/>
  <c r="I128" i="220" s="1"/>
  <c r="K127" i="220"/>
  <c r="AL13" i="172"/>
  <c r="AP37" i="172"/>
  <c r="AJ44" i="172"/>
  <c r="Y68" i="172"/>
  <c r="Q68" i="172"/>
  <c r="P68" i="172"/>
  <c r="O68" i="172"/>
  <c r="W68" i="172"/>
  <c r="Q111" i="159" s="1"/>
  <c r="R68" i="172"/>
  <c r="X68" i="172"/>
  <c r="U68" i="172"/>
  <c r="T68" i="172"/>
  <c r="S68" i="172"/>
  <c r="Z11" i="172"/>
  <c r="AK13" i="172"/>
  <c r="AH37" i="172"/>
  <c r="AI44" i="172"/>
  <c r="P61" i="172"/>
  <c r="O61" i="172"/>
  <c r="Z61" i="172"/>
  <c r="Y61" i="172"/>
  <c r="S117" i="159" s="1"/>
  <c r="V61" i="172"/>
  <c r="V75" i="172" s="1"/>
  <c r="Q61" i="172"/>
  <c r="W61" i="172"/>
  <c r="Q117" i="159" s="1"/>
  <c r="U61" i="172"/>
  <c r="T61" i="172"/>
  <c r="R61" i="172"/>
  <c r="X61" i="172"/>
  <c r="V68" i="172"/>
  <c r="W154" i="172"/>
  <c r="X154" i="172"/>
  <c r="R106" i="159" s="1"/>
  <c r="X6" i="172"/>
  <c r="W6" i="172"/>
  <c r="V6" i="172"/>
  <c r="T6" i="172"/>
  <c r="Y6" i="172"/>
  <c r="Z6" i="172"/>
  <c r="R6" i="172"/>
  <c r="Q6" i="172"/>
  <c r="AK10" i="172"/>
  <c r="AJ10" i="172"/>
  <c r="X106" i="159" s="1"/>
  <c r="AI10" i="172"/>
  <c r="AG10" i="172"/>
  <c r="AL10" i="172"/>
  <c r="AR10" i="172"/>
  <c r="AF106" i="159" s="1"/>
  <c r="AQ10" i="172"/>
  <c r="AN10" i="172"/>
  <c r="AM10" i="172"/>
  <c r="AM13" i="172"/>
  <c r="AK35" i="172"/>
  <c r="AQ37" i="172"/>
  <c r="AL44" i="172"/>
  <c r="AL51" i="172" s="1"/>
  <c r="AA106" i="172"/>
  <c r="S9" i="172"/>
  <c r="R9" i="172"/>
  <c r="R27" i="172" s="1"/>
  <c r="Q9" i="172"/>
  <c r="Q27" i="172" s="1"/>
  <c r="O9" i="172"/>
  <c r="T9" i="172"/>
  <c r="Z9" i="172"/>
  <c r="Y9" i="172"/>
  <c r="AN13" i="172"/>
  <c r="AR37" i="172"/>
  <c r="P93" i="172"/>
  <c r="R93" i="172"/>
  <c r="X93" i="172"/>
  <c r="S93" i="172"/>
  <c r="Q93" i="172"/>
  <c r="Z93" i="172"/>
  <c r="T93" i="172"/>
  <c r="Y93" i="172"/>
  <c r="V93" i="172"/>
  <c r="W93" i="172"/>
  <c r="AI131" i="172"/>
  <c r="AH131" i="172"/>
  <c r="AJ131" i="172"/>
  <c r="AP131" i="172"/>
  <c r="AO131" i="172"/>
  <c r="AL131" i="172"/>
  <c r="AQ131" i="172"/>
  <c r="AR131" i="172"/>
  <c r="AK131" i="172"/>
  <c r="R103" i="159"/>
  <c r="U8" i="172"/>
  <c r="T8" i="172"/>
  <c r="S8" i="172"/>
  <c r="Q8" i="172"/>
  <c r="V8" i="172"/>
  <c r="AA8" i="172" s="1"/>
  <c r="R8" i="172"/>
  <c r="P8" i="172"/>
  <c r="W8" i="172"/>
  <c r="P9" i="172"/>
  <c r="AA9" i="172" s="1"/>
  <c r="AO13" i="172"/>
  <c r="AI16" i="172"/>
  <c r="AH16" i="172"/>
  <c r="AG16" i="172"/>
  <c r="AJ16" i="172"/>
  <c r="AL16" i="172"/>
  <c r="AK16" i="172"/>
  <c r="AM16" i="172"/>
  <c r="AA123" i="159" s="1"/>
  <c r="AS73" i="172"/>
  <c r="O93" i="172"/>
  <c r="AQ102" i="172"/>
  <c r="AM102" i="172"/>
  <c r="AR102" i="172"/>
  <c r="AL102" i="172"/>
  <c r="AH102" i="172"/>
  <c r="AN102" i="172"/>
  <c r="AK102" i="172"/>
  <c r="AG102" i="172"/>
  <c r="Z109" i="172"/>
  <c r="V109" i="172"/>
  <c r="S109" i="172"/>
  <c r="O109" i="172"/>
  <c r="T109" i="172"/>
  <c r="Y109" i="172"/>
  <c r="X109" i="172"/>
  <c r="R109" i="172"/>
  <c r="Q109" i="172"/>
  <c r="W109" i="172"/>
  <c r="Y128" i="172"/>
  <c r="S128" i="172"/>
  <c r="O128" i="172"/>
  <c r="T128" i="172"/>
  <c r="V128" i="172"/>
  <c r="P128" i="172"/>
  <c r="W128" i="172"/>
  <c r="Z128" i="172"/>
  <c r="T104" i="159" s="1"/>
  <c r="X128" i="172"/>
  <c r="R128" i="172"/>
  <c r="AG131" i="172"/>
  <c r="O8" i="172"/>
  <c r="U9" i="172"/>
  <c r="O105" i="159" s="1"/>
  <c r="AP13" i="172"/>
  <c r="AN16" i="172"/>
  <c r="AO23" i="172"/>
  <c r="AI23" i="172"/>
  <c r="AH23" i="172"/>
  <c r="AG23" i="172"/>
  <c r="AJ23" i="172"/>
  <c r="X122" i="159" s="1"/>
  <c r="AR23" i="172"/>
  <c r="AN23" i="172"/>
  <c r="AM23" i="172"/>
  <c r="Z45" i="172"/>
  <c r="V45" i="172"/>
  <c r="P112" i="159" s="1"/>
  <c r="R45" i="172"/>
  <c r="X45" i="172"/>
  <c r="W45" i="172"/>
  <c r="U45" i="172"/>
  <c r="S45" i="172"/>
  <c r="Y45" i="172"/>
  <c r="P45" i="172"/>
  <c r="O45" i="172"/>
  <c r="Q45" i="172"/>
  <c r="Q51" i="172" s="1"/>
  <c r="AA55" i="172"/>
  <c r="U93" i="172"/>
  <c r="P94" i="172"/>
  <c r="Z94" i="172"/>
  <c r="V94" i="172"/>
  <c r="U94" i="172"/>
  <c r="T94" i="172"/>
  <c r="Q94" i="172"/>
  <c r="O94" i="172"/>
  <c r="W94" i="172"/>
  <c r="X94" i="172"/>
  <c r="S94" i="172"/>
  <c r="R94" i="172"/>
  <c r="Y94" i="172"/>
  <c r="AI102" i="172"/>
  <c r="P109" i="172"/>
  <c r="AR114" i="172"/>
  <c r="AH114" i="172"/>
  <c r="AI114" i="172"/>
  <c r="AQ114" i="172"/>
  <c r="AM114" i="172"/>
  <c r="AG114" i="172"/>
  <c r="AP114" i="172"/>
  <c r="AL114" i="172"/>
  <c r="AK114" i="172"/>
  <c r="AO114" i="172"/>
  <c r="AN114" i="172"/>
  <c r="Q128" i="172"/>
  <c r="AM131" i="172"/>
  <c r="U6" i="172"/>
  <c r="X8" i="172"/>
  <c r="R104" i="159" s="1"/>
  <c r="V9" i="172"/>
  <c r="AO16" i="172"/>
  <c r="AK23" i="172"/>
  <c r="T45" i="172"/>
  <c r="AI75" i="172"/>
  <c r="AI94" i="172"/>
  <c r="AO94" i="172"/>
  <c r="AJ94" i="172"/>
  <c r="AR94" i="172"/>
  <c r="AN94" i="172"/>
  <c r="AM94" i="172"/>
  <c r="AH94" i="172"/>
  <c r="AK94" i="172"/>
  <c r="AG94" i="172"/>
  <c r="AS94" i="172" s="1"/>
  <c r="AL94" i="172"/>
  <c r="AJ102" i="172"/>
  <c r="U109" i="172"/>
  <c r="AJ114" i="172"/>
  <c r="U128" i="172"/>
  <c r="O104" i="159" s="1"/>
  <c r="AN131" i="172"/>
  <c r="AP59" i="172"/>
  <c r="AO59" i="172"/>
  <c r="AL59" i="172"/>
  <c r="Z107" i="159" s="1"/>
  <c r="AK59" i="172"/>
  <c r="AH59" i="172"/>
  <c r="AQ59" i="172"/>
  <c r="AR59" i="172"/>
  <c r="AN59" i="172"/>
  <c r="AM59" i="172"/>
  <c r="AI59" i="172"/>
  <c r="AI81" i="172"/>
  <c r="AH81" i="172"/>
  <c r="AO81" i="172"/>
  <c r="AC105" i="159" s="1"/>
  <c r="AN81" i="172"/>
  <c r="AM81" i="172"/>
  <c r="AJ81" i="172"/>
  <c r="AG81" i="172"/>
  <c r="AP81" i="172"/>
  <c r="AQ81" i="172"/>
  <c r="AL81" i="172"/>
  <c r="AK81" i="172"/>
  <c r="AR81" i="172"/>
  <c r="AA90" i="172"/>
  <c r="AK92" i="172"/>
  <c r="AL92" i="172"/>
  <c r="AG92" i="172"/>
  <c r="AR92" i="172"/>
  <c r="AI92" i="172"/>
  <c r="AH92" i="172"/>
  <c r="AQ92" i="172"/>
  <c r="AJ92" i="172"/>
  <c r="AP92" i="172"/>
  <c r="AD111" i="159" s="1"/>
  <c r="AO92" i="172"/>
  <c r="AM92" i="172"/>
  <c r="Y102" i="172"/>
  <c r="U102" i="172"/>
  <c r="Z102" i="172"/>
  <c r="V102" i="172"/>
  <c r="Q102" i="172"/>
  <c r="W102" i="172"/>
  <c r="R102" i="172"/>
  <c r="P102" i="172"/>
  <c r="S102" i="172"/>
  <c r="X102" i="172"/>
  <c r="T102" i="172"/>
  <c r="O102" i="172"/>
  <c r="V134" i="172"/>
  <c r="Z134" i="172"/>
  <c r="U134" i="172"/>
  <c r="Y134" i="172"/>
  <c r="X134" i="172"/>
  <c r="S134" i="172"/>
  <c r="O134" i="172"/>
  <c r="W134" i="172"/>
  <c r="Q134" i="172"/>
  <c r="P134" i="172"/>
  <c r="AA137" i="172"/>
  <c r="AJ75" i="172"/>
  <c r="AJ103" i="172"/>
  <c r="AH103" i="172"/>
  <c r="AL103" i="172"/>
  <c r="AI103" i="172"/>
  <c r="W103" i="159" s="1"/>
  <c r="W30" i="172"/>
  <c r="S30" i="172"/>
  <c r="O30" i="172"/>
  <c r="Y30" i="172"/>
  <c r="R78" i="172"/>
  <c r="Y78" i="172"/>
  <c r="U78" i="172"/>
  <c r="P78" i="172"/>
  <c r="Z78" i="172"/>
  <c r="X78" i="172"/>
  <c r="T78" i="172"/>
  <c r="T99" i="172" s="1"/>
  <c r="AA95" i="172"/>
  <c r="AG103" i="172"/>
  <c r="AG147" i="172"/>
  <c r="U56" i="172"/>
  <c r="T56" i="172"/>
  <c r="T75" i="172" s="1"/>
  <c r="Q56" i="172"/>
  <c r="P56" i="172"/>
  <c r="AA56" i="172" s="1"/>
  <c r="V56" i="172"/>
  <c r="Z56" i="172"/>
  <c r="Y56" i="172"/>
  <c r="W56" i="172"/>
  <c r="Q104" i="159" s="1"/>
  <c r="R81" i="172"/>
  <c r="P81" i="172"/>
  <c r="AA81" i="172" s="1"/>
  <c r="W81" i="172"/>
  <c r="S81" i="172"/>
  <c r="Q81" i="172"/>
  <c r="Q99" i="172" s="1"/>
  <c r="Z81" i="172"/>
  <c r="T81" i="172"/>
  <c r="AN91" i="172"/>
  <c r="AL91" i="172"/>
  <c r="AH91" i="172"/>
  <c r="AQ91" i="172"/>
  <c r="AP91" i="172"/>
  <c r="AK91" i="172"/>
  <c r="AS116" i="172"/>
  <c r="X193" i="172"/>
  <c r="W193" i="172"/>
  <c r="T193" i="172"/>
  <c r="S193" i="172"/>
  <c r="P193" i="172"/>
  <c r="Y193" i="172"/>
  <c r="Z193" i="172"/>
  <c r="V193" i="172"/>
  <c r="Q193" i="172"/>
  <c r="O193" i="172"/>
  <c r="R193" i="172"/>
  <c r="U193" i="172"/>
  <c r="T108" i="159"/>
  <c r="AI14" i="172"/>
  <c r="AH14" i="172"/>
  <c r="AG14" i="172"/>
  <c r="AJ14" i="172"/>
  <c r="X102" i="159" s="1"/>
  <c r="AG39" i="172"/>
  <c r="AQ39" i="172"/>
  <c r="AM39" i="172"/>
  <c r="AA121" i="159" s="1"/>
  <c r="AH39" i="172"/>
  <c r="AR39" i="172"/>
  <c r="R56" i="172"/>
  <c r="R75" i="172" s="1"/>
  <c r="AI63" i="172"/>
  <c r="AR63" i="172"/>
  <c r="AF121" i="159" s="1"/>
  <c r="AO63" i="172"/>
  <c r="AN63" i="172"/>
  <c r="AK63" i="172"/>
  <c r="AP63" i="172"/>
  <c r="Y71" i="172"/>
  <c r="U71" i="172"/>
  <c r="Q71" i="172"/>
  <c r="V71" i="172"/>
  <c r="T71" i="172"/>
  <c r="P71" i="172"/>
  <c r="O71" i="172"/>
  <c r="W71" i="172"/>
  <c r="Z71" i="172"/>
  <c r="T122" i="159" s="1"/>
  <c r="X71" i="172"/>
  <c r="R71" i="172"/>
  <c r="U81" i="172"/>
  <c r="Q85" i="172"/>
  <c r="V85" i="172"/>
  <c r="R85" i="172"/>
  <c r="Z85" i="172"/>
  <c r="Y85" i="172"/>
  <c r="U85" i="172"/>
  <c r="T85" i="172"/>
  <c r="O85" i="172"/>
  <c r="AI91" i="172"/>
  <c r="W110" i="159" s="1"/>
  <c r="AS97" i="172"/>
  <c r="AK103" i="172"/>
  <c r="AS109" i="172"/>
  <c r="Q38" i="172"/>
  <c r="W38" i="172"/>
  <c r="R38" i="172"/>
  <c r="U38" i="172"/>
  <c r="O102" i="159" s="1"/>
  <c r="T38" i="172"/>
  <c r="S38" i="172"/>
  <c r="O38" i="172"/>
  <c r="V38" i="172"/>
  <c r="AJ63" i="172"/>
  <c r="V78" i="172"/>
  <c r="Y81" i="172"/>
  <c r="AA84" i="172"/>
  <c r="W85" i="172"/>
  <c r="AO91" i="172"/>
  <c r="AS137" i="172"/>
  <c r="AQ6" i="172"/>
  <c r="AP6" i="172"/>
  <c r="AO6" i="172"/>
  <c r="AM6" i="172"/>
  <c r="AR6" i="172"/>
  <c r="AI11" i="172"/>
  <c r="AH11" i="172"/>
  <c r="AG11" i="172"/>
  <c r="AJ11" i="172"/>
  <c r="AN14" i="172"/>
  <c r="U30" i="172"/>
  <c r="B32" i="172"/>
  <c r="P38" i="172"/>
  <c r="AL39" i="172"/>
  <c r="T48" i="172"/>
  <c r="S48" i="172"/>
  <c r="AA48" i="172" s="1"/>
  <c r="P48" i="172"/>
  <c r="Z48" i="172"/>
  <c r="U48" i="172"/>
  <c r="Y48" i="172"/>
  <c r="W48" i="172"/>
  <c r="Q114" i="159" s="1"/>
  <c r="AQ61" i="172"/>
  <c r="AH61" i="172"/>
  <c r="AG61" i="172"/>
  <c r="AR61" i="172"/>
  <c r="AN61" i="172"/>
  <c r="AI61" i="172"/>
  <c r="AL63" i="172"/>
  <c r="W78" i="172"/>
  <c r="W99" i="172" s="1"/>
  <c r="X85" i="172"/>
  <c r="AR91" i="172"/>
  <c r="AN129" i="172"/>
  <c r="AK129" i="172"/>
  <c r="AG129" i="172"/>
  <c r="AL129" i="172"/>
  <c r="AI129" i="172"/>
  <c r="AR129" i="172"/>
  <c r="AJ129" i="172"/>
  <c r="X105" i="159" s="1"/>
  <c r="AQ129" i="172"/>
  <c r="AM129" i="172"/>
  <c r="AP129" i="172"/>
  <c r="AH129" i="172"/>
  <c r="AP142" i="172"/>
  <c r="AD113" i="159" s="1"/>
  <c r="AO142" i="172"/>
  <c r="AG142" i="172"/>
  <c r="AL142" i="172"/>
  <c r="Z113" i="159" s="1"/>
  <c r="AM142" i="172"/>
  <c r="AH142" i="172"/>
  <c r="AK142" i="172"/>
  <c r="AJ142" i="172"/>
  <c r="AN142" i="172"/>
  <c r="AR142" i="172"/>
  <c r="AF113" i="159" s="1"/>
  <c r="AQ142" i="172"/>
  <c r="AS166" i="172"/>
  <c r="AA167" i="172"/>
  <c r="AH18" i="172"/>
  <c r="AH19" i="172"/>
  <c r="AI20" i="172"/>
  <c r="P22" i="172"/>
  <c r="AH22" i="172"/>
  <c r="P23" i="172"/>
  <c r="AO25" i="172"/>
  <c r="AK25" i="172"/>
  <c r="AO36" i="172"/>
  <c r="AK36" i="172"/>
  <c r="AG36" i="172"/>
  <c r="AP36" i="172"/>
  <c r="AD108" i="159" s="1"/>
  <c r="Z40" i="172"/>
  <c r="T123" i="159" s="1"/>
  <c r="T124" i="159" s="1"/>
  <c r="V40" i="172"/>
  <c r="R40" i="172"/>
  <c r="AK42" i="172"/>
  <c r="AG42" i="172"/>
  <c r="AQ42" i="172"/>
  <c r="AL42" i="172"/>
  <c r="X46" i="172"/>
  <c r="T46" i="172"/>
  <c r="AA46" i="172" s="1"/>
  <c r="P46" i="172"/>
  <c r="Y46" i="172"/>
  <c r="AA62" i="172"/>
  <c r="W64" i="172"/>
  <c r="Q123" i="159" s="1"/>
  <c r="V64" i="172"/>
  <c r="S64" i="172"/>
  <c r="R64" i="172"/>
  <c r="O64" i="172"/>
  <c r="X64" i="172"/>
  <c r="R123" i="159" s="1"/>
  <c r="U88" i="172"/>
  <c r="P88" i="172"/>
  <c r="W88" i="172"/>
  <c r="AA88" i="172" s="1"/>
  <c r="Y88" i="172"/>
  <c r="X88" i="172"/>
  <c r="S88" i="172"/>
  <c r="AS161" i="172"/>
  <c r="Y162" i="172"/>
  <c r="X162" i="172"/>
  <c r="U162" i="172"/>
  <c r="T162" i="172"/>
  <c r="Z162" i="172"/>
  <c r="Q162" i="172"/>
  <c r="P162" i="172"/>
  <c r="R162" i="172"/>
  <c r="S162" i="172"/>
  <c r="O162" i="172"/>
  <c r="V162" i="172"/>
  <c r="W162" i="172"/>
  <c r="S109" i="159"/>
  <c r="AQ18" i="172"/>
  <c r="X19" i="172"/>
  <c r="AA19" i="172" s="1"/>
  <c r="AQ19" i="172"/>
  <c r="AR20" i="172"/>
  <c r="Y22" i="172"/>
  <c r="AQ22" i="172"/>
  <c r="Y23" i="172"/>
  <c r="Z24" i="172"/>
  <c r="V24" i="172"/>
  <c r="P114" i="159" s="1"/>
  <c r="AQ25" i="172"/>
  <c r="Y40" i="172"/>
  <c r="AQ46" i="172"/>
  <c r="AE113" i="159" s="1"/>
  <c r="AM46" i="172"/>
  <c r="AI46" i="172"/>
  <c r="AR46" i="172"/>
  <c r="W91" i="172"/>
  <c r="T91" i="172"/>
  <c r="P91" i="172"/>
  <c r="Z91" i="172"/>
  <c r="Y91" i="172"/>
  <c r="U91" i="172"/>
  <c r="S91" i="172"/>
  <c r="O91" i="172"/>
  <c r="AA108" i="172"/>
  <c r="R147" i="172"/>
  <c r="AA127" i="172"/>
  <c r="P24" i="172"/>
  <c r="AP30" i="172"/>
  <c r="AD101" i="159" s="1"/>
  <c r="AL30" i="172"/>
  <c r="AH30" i="172"/>
  <c r="AQ30" i="172"/>
  <c r="AH32" i="172"/>
  <c r="AR32" i="172"/>
  <c r="AR51" i="172" s="1"/>
  <c r="AN32" i="172"/>
  <c r="AI32" i="172"/>
  <c r="AH46" i="172"/>
  <c r="AS46" i="172" s="1"/>
  <c r="Q57" i="172"/>
  <c r="P57" i="172"/>
  <c r="Z57" i="172"/>
  <c r="T105" i="159" s="1"/>
  <c r="W57" i="172"/>
  <c r="R57" i="172"/>
  <c r="AA57" i="172" s="1"/>
  <c r="U69" i="172"/>
  <c r="O69" i="172"/>
  <c r="Z69" i="172"/>
  <c r="T112" i="159" s="1"/>
  <c r="Q69" i="172"/>
  <c r="P69" i="172"/>
  <c r="X69" i="172"/>
  <c r="R112" i="159" s="1"/>
  <c r="R69" i="172"/>
  <c r="R91" i="172"/>
  <c r="AA113" i="172"/>
  <c r="AN163" i="172"/>
  <c r="AM163" i="172"/>
  <c r="AA110" i="159" s="1"/>
  <c r="AJ163" i="172"/>
  <c r="AI163" i="172"/>
  <c r="AO163" i="172"/>
  <c r="AK163" i="172"/>
  <c r="AH163" i="172"/>
  <c r="AL163" i="172"/>
  <c r="AP163" i="172"/>
  <c r="AQ163" i="172"/>
  <c r="AG163" i="172"/>
  <c r="AR163" i="172"/>
  <c r="AM48" i="172"/>
  <c r="AL48" i="172"/>
  <c r="AI48" i="172"/>
  <c r="AN48" i="172"/>
  <c r="AS95" i="172"/>
  <c r="R112" i="172"/>
  <c r="T112" i="172"/>
  <c r="O112" i="172"/>
  <c r="U112" i="172"/>
  <c r="Q112" i="172"/>
  <c r="Z112" i="172"/>
  <c r="S112" i="172"/>
  <c r="W112" i="172"/>
  <c r="V112" i="172"/>
  <c r="X112" i="172"/>
  <c r="Q117" i="172"/>
  <c r="W117" i="172"/>
  <c r="X117" i="172"/>
  <c r="S117" i="172"/>
  <c r="P117" i="172"/>
  <c r="O117" i="172"/>
  <c r="Z117" i="172"/>
  <c r="R117" i="172"/>
  <c r="AQ119" i="172"/>
  <c r="AP119" i="172"/>
  <c r="AL119" i="172"/>
  <c r="AR119" i="172"/>
  <c r="AI119" i="172"/>
  <c r="AJ119" i="172"/>
  <c r="AM119" i="172"/>
  <c r="AA122" i="159" s="1"/>
  <c r="R121" i="172"/>
  <c r="T121" i="172"/>
  <c r="O121" i="172"/>
  <c r="U121" i="172"/>
  <c r="W121" i="172"/>
  <c r="P121" i="172"/>
  <c r="X121" i="172"/>
  <c r="V121" i="172"/>
  <c r="S121" i="172"/>
  <c r="Q131" i="172"/>
  <c r="O131" i="172"/>
  <c r="Z131" i="172"/>
  <c r="P131" i="172"/>
  <c r="T131" i="172"/>
  <c r="S131" i="172"/>
  <c r="U131" i="172"/>
  <c r="V131" i="172"/>
  <c r="R131" i="172"/>
  <c r="W131" i="172"/>
  <c r="AH190" i="172"/>
  <c r="AG190" i="172"/>
  <c r="AR190" i="172"/>
  <c r="AQ190" i="172"/>
  <c r="AN190" i="172"/>
  <c r="AI190" i="172"/>
  <c r="W112" i="159" s="1"/>
  <c r="AK190" i="172"/>
  <c r="AJ190" i="172"/>
  <c r="AM190" i="172"/>
  <c r="AL190" i="172"/>
  <c r="AO190" i="172"/>
  <c r="AH20" i="172"/>
  <c r="O23" i="172"/>
  <c r="T37" i="172"/>
  <c r="P37" i="172"/>
  <c r="Z37" i="172"/>
  <c r="U37" i="172"/>
  <c r="P43" i="172"/>
  <c r="AA43" i="172" s="1"/>
  <c r="Z43" i="172"/>
  <c r="V43" i="172"/>
  <c r="P110" i="159" s="1"/>
  <c r="Q43" i="172"/>
  <c r="Y113" i="159"/>
  <c r="AG48" i="172"/>
  <c r="AM56" i="172"/>
  <c r="AL56" i="172"/>
  <c r="Z104" i="159" s="1"/>
  <c r="AI56" i="172"/>
  <c r="AH56" i="172"/>
  <c r="AS56" i="172" s="1"/>
  <c r="AN56" i="172"/>
  <c r="AN75" i="172" s="1"/>
  <c r="X59" i="172"/>
  <c r="W59" i="172"/>
  <c r="Q107" i="159" s="1"/>
  <c r="T59" i="172"/>
  <c r="S59" i="172"/>
  <c r="P59" i="172"/>
  <c r="Y59" i="172"/>
  <c r="AR71" i="172"/>
  <c r="AN71" i="172"/>
  <c r="AJ71" i="172"/>
  <c r="AQ71" i="172"/>
  <c r="AM71" i="172"/>
  <c r="AL71" i="172"/>
  <c r="AS71" i="172" s="1"/>
  <c r="AH71" i="172"/>
  <c r="U111" i="172"/>
  <c r="O121" i="159" s="1"/>
  <c r="T111" i="172"/>
  <c r="AA111" i="172" s="1"/>
  <c r="P111" i="172"/>
  <c r="V111" i="172"/>
  <c r="Y111" i="172"/>
  <c r="R111" i="172"/>
  <c r="Z111" i="172"/>
  <c r="S111" i="172"/>
  <c r="Q111" i="172"/>
  <c r="P112" i="172"/>
  <c r="T117" i="172"/>
  <c r="AG119" i="172"/>
  <c r="Q121" i="172"/>
  <c r="AI126" i="172"/>
  <c r="AP126" i="172"/>
  <c r="AL126" i="172"/>
  <c r="AQ126" i="172"/>
  <c r="AN126" i="172"/>
  <c r="AH126" i="172"/>
  <c r="AR126" i="172"/>
  <c r="AK126" i="172"/>
  <c r="X131" i="172"/>
  <c r="AP190" i="172"/>
  <c r="AL49" i="172"/>
  <c r="P54" i="172"/>
  <c r="AH54" i="172"/>
  <c r="AS54" i="172" s="1"/>
  <c r="Q67" i="172"/>
  <c r="AJ78" i="172"/>
  <c r="AI88" i="172"/>
  <c r="AI104" i="172"/>
  <c r="AM111" i="172"/>
  <c r="AN111" i="172"/>
  <c r="AI111" i="172"/>
  <c r="AO111" i="172"/>
  <c r="AG111" i="172"/>
  <c r="AQ111" i="172"/>
  <c r="AE121" i="159" s="1"/>
  <c r="AH111" i="172"/>
  <c r="AS113" i="172"/>
  <c r="AO115" i="172"/>
  <c r="AG115" i="172"/>
  <c r="U110" i="159" s="1"/>
  <c r="H111" i="190" s="1"/>
  <c r="AR115" i="172"/>
  <c r="AF110" i="159" s="1"/>
  <c r="AH115" i="172"/>
  <c r="AP115" i="172"/>
  <c r="AK115" i="172"/>
  <c r="AA130" i="172"/>
  <c r="Y133" i="172"/>
  <c r="V133" i="172"/>
  <c r="T133" i="172"/>
  <c r="S133" i="172"/>
  <c r="P133" i="172"/>
  <c r="AA133" i="172" s="1"/>
  <c r="U133" i="172"/>
  <c r="AS156" i="172"/>
  <c r="Z157" i="172"/>
  <c r="Z171" i="172" s="1"/>
  <c r="Y157" i="172"/>
  <c r="V157" i="172"/>
  <c r="V171" i="172" s="1"/>
  <c r="U157" i="172"/>
  <c r="W157" i="172"/>
  <c r="Q157" i="172"/>
  <c r="T157" i="172"/>
  <c r="O157" i="172"/>
  <c r="AO158" i="172"/>
  <c r="AN158" i="172"/>
  <c r="AK158" i="172"/>
  <c r="AJ158" i="172"/>
  <c r="AP158" i="172"/>
  <c r="AR158" i="172"/>
  <c r="AI158" i="172"/>
  <c r="W102" i="159" s="1"/>
  <c r="AL158" i="172"/>
  <c r="AH158" i="172"/>
  <c r="AM158" i="172"/>
  <c r="P165" i="172"/>
  <c r="O165" i="172"/>
  <c r="Z165" i="172"/>
  <c r="Y165" i="172"/>
  <c r="Q165" i="172"/>
  <c r="V165" i="172"/>
  <c r="R165" i="172"/>
  <c r="X165" i="172"/>
  <c r="W165" i="172"/>
  <c r="S165" i="172"/>
  <c r="AS167" i="172"/>
  <c r="S33" i="172"/>
  <c r="T39" i="172"/>
  <c r="AK40" i="172"/>
  <c r="AK45" i="172"/>
  <c r="AQ49" i="172"/>
  <c r="U54" i="172"/>
  <c r="AM54" i="172"/>
  <c r="AM75" i="172" s="1"/>
  <c r="S58" i="172"/>
  <c r="S75" i="172" s="1"/>
  <c r="AK58" i="172"/>
  <c r="AS58" i="172" s="1"/>
  <c r="S62" i="172"/>
  <c r="AS82" i="172"/>
  <c r="X83" i="172"/>
  <c r="V83" i="172"/>
  <c r="R83" i="172"/>
  <c r="R96" i="172"/>
  <c r="X96" i="172"/>
  <c r="T96" i="172"/>
  <c r="O96" i="172"/>
  <c r="Y96" i="172"/>
  <c r="AR111" i="172"/>
  <c r="AN115" i="172"/>
  <c r="X133" i="172"/>
  <c r="AO154" i="172"/>
  <c r="AP154" i="172"/>
  <c r="AD106" i="159" s="1"/>
  <c r="AR157" i="172"/>
  <c r="AR171" i="172" s="1"/>
  <c r="AQ157" i="172"/>
  <c r="AN157" i="172"/>
  <c r="AM157" i="172"/>
  <c r="AH157" i="172"/>
  <c r="AI157" i="172"/>
  <c r="AJ157" i="172"/>
  <c r="AK157" i="172"/>
  <c r="AG157" i="172"/>
  <c r="AL157" i="172"/>
  <c r="AL171" i="172" s="1"/>
  <c r="X54" i="172"/>
  <c r="AM69" i="172"/>
  <c r="AH69" i="172"/>
  <c r="AO69" i="172"/>
  <c r="AC112" i="159" s="1"/>
  <c r="Q70" i="172"/>
  <c r="X70" i="172"/>
  <c r="T70" i="172"/>
  <c r="AS117" i="172"/>
  <c r="AH136" i="172"/>
  <c r="AQ136" i="172"/>
  <c r="AM136" i="172"/>
  <c r="AR136" i="172"/>
  <c r="AP136" i="172"/>
  <c r="AD123" i="159" s="1"/>
  <c r="AL136" i="172"/>
  <c r="AG136" i="172"/>
  <c r="R171" i="172"/>
  <c r="AS154" i="172"/>
  <c r="V163" i="172"/>
  <c r="U163" i="172"/>
  <c r="R163" i="172"/>
  <c r="Q163" i="172"/>
  <c r="W163" i="172"/>
  <c r="T163" i="172"/>
  <c r="S163" i="172"/>
  <c r="P163" i="172"/>
  <c r="O163" i="172"/>
  <c r="X163" i="172"/>
  <c r="AA169" i="172"/>
  <c r="AQ178" i="172"/>
  <c r="AQ196" i="172" s="1"/>
  <c r="AP178" i="172"/>
  <c r="AP196" i="172" s="1"/>
  <c r="AM178" i="172"/>
  <c r="AL178" i="172"/>
  <c r="AI178" i="172"/>
  <c r="AR178" i="172"/>
  <c r="AO178" i="172"/>
  <c r="AJ178" i="172"/>
  <c r="AN178" i="172"/>
  <c r="AP193" i="172"/>
  <c r="AO193" i="172"/>
  <c r="AL193" i="172"/>
  <c r="AK193" i="172"/>
  <c r="AH193" i="172"/>
  <c r="AQ193" i="172"/>
  <c r="AE114" i="159" s="1"/>
  <c r="AI193" i="172"/>
  <c r="AG193" i="172"/>
  <c r="AJ193" i="172"/>
  <c r="AN193" i="172"/>
  <c r="AR193" i="172"/>
  <c r="R47" i="172"/>
  <c r="AG49" i="172"/>
  <c r="Y54" i="172"/>
  <c r="Y75" i="172" s="1"/>
  <c r="AQ54" i="172"/>
  <c r="X62" i="172"/>
  <c r="AQ68" i="172"/>
  <c r="AJ68" i="172"/>
  <c r="AS68" i="172" s="1"/>
  <c r="AG69" i="172"/>
  <c r="AG75" i="172" s="1"/>
  <c r="O70" i="172"/>
  <c r="AO80" i="172"/>
  <c r="AL80" i="172"/>
  <c r="AH80" i="172"/>
  <c r="AS80" i="172" s="1"/>
  <c r="S83" i="172"/>
  <c r="U96" i="172"/>
  <c r="P105" i="172"/>
  <c r="Z105" i="172"/>
  <c r="Q105" i="172"/>
  <c r="W105" i="172"/>
  <c r="S105" i="172"/>
  <c r="AA107" i="172"/>
  <c r="AO110" i="172"/>
  <c r="AK110" i="172"/>
  <c r="Y102" i="159" s="1"/>
  <c r="AP110" i="172"/>
  <c r="AN110" i="172"/>
  <c r="AI110" i="172"/>
  <c r="AS110" i="172" s="1"/>
  <c r="Q126" i="172"/>
  <c r="W126" i="172"/>
  <c r="S126" i="172"/>
  <c r="X126" i="172"/>
  <c r="V126" i="172"/>
  <c r="P126" i="172"/>
  <c r="AA126" i="172" s="1"/>
  <c r="Y126" i="172"/>
  <c r="AI136" i="172"/>
  <c r="AA153" i="172"/>
  <c r="Y163" i="172"/>
  <c r="S110" i="159" s="1"/>
  <c r="X167" i="172"/>
  <c r="W167" i="172"/>
  <c r="T167" i="172"/>
  <c r="S167" i="172"/>
  <c r="Y167" i="172"/>
  <c r="Z167" i="172"/>
  <c r="V167" i="172"/>
  <c r="Q167" i="172"/>
  <c r="R167" i="172"/>
  <c r="Q175" i="172"/>
  <c r="P175" i="172"/>
  <c r="Z175" i="172"/>
  <c r="R175" i="172"/>
  <c r="Y175" i="172"/>
  <c r="S175" i="172"/>
  <c r="O175" i="172"/>
  <c r="T175" i="172"/>
  <c r="T196" i="172" s="1"/>
  <c r="V175" i="172"/>
  <c r="U175" i="172"/>
  <c r="W175" i="172"/>
  <c r="AG178" i="172"/>
  <c r="AM193" i="172"/>
  <c r="AJ49" i="172"/>
  <c r="AS49" i="172" s="1"/>
  <c r="O67" i="172"/>
  <c r="S67" i="172"/>
  <c r="AK69" i="172"/>
  <c r="S70" i="172"/>
  <c r="AI78" i="172"/>
  <c r="AQ78" i="172"/>
  <c r="AM78" i="172"/>
  <c r="AH78" i="172"/>
  <c r="AS79" i="172"/>
  <c r="AL88" i="172"/>
  <c r="AH88" i="172"/>
  <c r="AO88" i="172"/>
  <c r="AK104" i="172"/>
  <c r="AG104" i="172"/>
  <c r="U104" i="159" s="1"/>
  <c r="H105" i="190" s="1"/>
  <c r="AL104" i="172"/>
  <c r="AP104" i="172"/>
  <c r="AP123" i="172" s="1"/>
  <c r="AJ104" i="172"/>
  <c r="Q120" i="172"/>
  <c r="R120" i="172"/>
  <c r="S120" i="172"/>
  <c r="AS130" i="172"/>
  <c r="AN136" i="172"/>
  <c r="AH140" i="172"/>
  <c r="AG140" i="172"/>
  <c r="AM140" i="172"/>
  <c r="AQ140" i="172"/>
  <c r="AL140" i="172"/>
  <c r="AJ140" i="172"/>
  <c r="AI140" i="172"/>
  <c r="AK140" i="172"/>
  <c r="AA180" i="172"/>
  <c r="AJ66" i="172"/>
  <c r="AS66" i="172" s="1"/>
  <c r="P67" i="172"/>
  <c r="AK68" i="172"/>
  <c r="AL69" i="172"/>
  <c r="U70" i="172"/>
  <c r="AO72" i="172"/>
  <c r="AQ72" i="172"/>
  <c r="AL72" i="172"/>
  <c r="AH72" i="172"/>
  <c r="S73" i="172"/>
  <c r="V73" i="172"/>
  <c r="Q73" i="172"/>
  <c r="AA73" i="172" s="1"/>
  <c r="AG78" i="172"/>
  <c r="AA79" i="172"/>
  <c r="W80" i="172"/>
  <c r="S80" i="172"/>
  <c r="S99" i="172" s="1"/>
  <c r="O80" i="172"/>
  <c r="Z80" i="172"/>
  <c r="AK80" i="172"/>
  <c r="Y83" i="172"/>
  <c r="AG88" i="172"/>
  <c r="AH104" i="172"/>
  <c r="U105" i="172"/>
  <c r="AL110" i="172"/>
  <c r="Z114" i="172"/>
  <c r="O114" i="172"/>
  <c r="Y114" i="172"/>
  <c r="P114" i="172"/>
  <c r="U114" i="172"/>
  <c r="Q114" i="172"/>
  <c r="V114" i="172"/>
  <c r="O120" i="172"/>
  <c r="AJ121" i="172"/>
  <c r="AM121" i="172"/>
  <c r="AH121" i="172"/>
  <c r="AN121" i="172"/>
  <c r="AO121" i="172"/>
  <c r="AG121" i="172"/>
  <c r="U126" i="172"/>
  <c r="AO136" i="172"/>
  <c r="AK139" i="172"/>
  <c r="Y110" i="159" s="1"/>
  <c r="AJ139" i="172"/>
  <c r="AP139" i="172"/>
  <c r="AO139" i="172"/>
  <c r="AQ139" i="172"/>
  <c r="AI139" i="172"/>
  <c r="AR139" i="172"/>
  <c r="AN139" i="172"/>
  <c r="AM139" i="172"/>
  <c r="AG139" i="172"/>
  <c r="AN140" i="172"/>
  <c r="AN153" i="172"/>
  <c r="AK153" i="172"/>
  <c r="AJ153" i="172"/>
  <c r="AJ171" i="172" s="1"/>
  <c r="AP153" i="172"/>
  <c r="AP171" i="172" s="1"/>
  <c r="AQ153" i="172"/>
  <c r="AI153" i="172"/>
  <c r="AR153" i="172"/>
  <c r="AM153" i="172"/>
  <c r="Y119" i="172"/>
  <c r="W119" i="172"/>
  <c r="S119" i="172"/>
  <c r="X119" i="172"/>
  <c r="AA119" i="172" s="1"/>
  <c r="AQ128" i="172"/>
  <c r="AL128" i="172"/>
  <c r="AH128" i="172"/>
  <c r="AS128" i="172" s="1"/>
  <c r="AM128" i="172"/>
  <c r="AM147" i="172" s="1"/>
  <c r="AN134" i="172"/>
  <c r="AO134" i="172"/>
  <c r="AL159" i="172"/>
  <c r="AK159" i="172"/>
  <c r="AH159" i="172"/>
  <c r="AG159" i="172"/>
  <c r="AM159" i="172"/>
  <c r="AJ159" i="172"/>
  <c r="AQ159" i="172"/>
  <c r="AP159" i="172"/>
  <c r="AI159" i="172"/>
  <c r="AR159" i="172"/>
  <c r="X87" i="172"/>
  <c r="Y92" i="172"/>
  <c r="AQ93" i="172"/>
  <c r="S104" i="172"/>
  <c r="O104" i="172"/>
  <c r="T104" i="172"/>
  <c r="AR109" i="172"/>
  <c r="AN109" i="172"/>
  <c r="W110" i="172"/>
  <c r="S110" i="172"/>
  <c r="AA110" i="172" s="1"/>
  <c r="X110" i="172"/>
  <c r="T119" i="172"/>
  <c r="AN128" i="172"/>
  <c r="AK134" i="172"/>
  <c r="AS134" i="172" s="1"/>
  <c r="X143" i="172"/>
  <c r="U143" i="172"/>
  <c r="T143" i="172"/>
  <c r="Z143" i="172"/>
  <c r="V143" i="172"/>
  <c r="Y143" i="172"/>
  <c r="Q143" i="172"/>
  <c r="AA156" i="172"/>
  <c r="W158" i="172"/>
  <c r="Q102" i="159" s="1"/>
  <c r="V158" i="172"/>
  <c r="S158" i="172"/>
  <c r="R158" i="172"/>
  <c r="X158" i="172"/>
  <c r="R102" i="159" s="1"/>
  <c r="T158" i="172"/>
  <c r="T171" i="172" s="1"/>
  <c r="Y158" i="172"/>
  <c r="O158" i="172"/>
  <c r="O171" i="172" s="1"/>
  <c r="Z158" i="172"/>
  <c r="AM120" i="172"/>
  <c r="AS120" i="172" s="1"/>
  <c r="AN120" i="172"/>
  <c r="AI120" i="172"/>
  <c r="AO120" i="172"/>
  <c r="AQ134" i="172"/>
  <c r="AK135" i="172"/>
  <c r="Y121" i="159" s="1"/>
  <c r="AR135" i="172"/>
  <c r="AN135" i="172"/>
  <c r="AO171" i="172"/>
  <c r="V153" i="172"/>
  <c r="S153" i="172"/>
  <c r="R153" i="172"/>
  <c r="X153" i="172"/>
  <c r="R105" i="159" s="1"/>
  <c r="W153" i="172"/>
  <c r="Q105" i="159" s="1"/>
  <c r="P153" i="172"/>
  <c r="P171" i="172" s="1"/>
  <c r="Q153" i="172"/>
  <c r="Q171" i="172" s="1"/>
  <c r="AA182" i="172"/>
  <c r="AH183" i="172"/>
  <c r="AG183" i="172"/>
  <c r="AR183" i="172"/>
  <c r="AQ183" i="172"/>
  <c r="AN183" i="172"/>
  <c r="AI183" i="172"/>
  <c r="AP183" i="172"/>
  <c r="AL183" i="172"/>
  <c r="AM183" i="172"/>
  <c r="AP143" i="172"/>
  <c r="AM143" i="172"/>
  <c r="AL143" i="172"/>
  <c r="AR143" i="172"/>
  <c r="AH143" i="172"/>
  <c r="V122" i="159" s="1"/>
  <c r="AQ143" i="172"/>
  <c r="AI143" i="172"/>
  <c r="AA161" i="172"/>
  <c r="AF103" i="159"/>
  <c r="AO183" i="172"/>
  <c r="AO196" i="172" s="1"/>
  <c r="AR185" i="172"/>
  <c r="AQ185" i="172"/>
  <c r="AN185" i="172"/>
  <c r="AM185" i="172"/>
  <c r="AJ185" i="172"/>
  <c r="AP185" i="172"/>
  <c r="AO185" i="172"/>
  <c r="AI185" i="172"/>
  <c r="AH185" i="172"/>
  <c r="AS185" i="172" s="1"/>
  <c r="AK185" i="172"/>
  <c r="AO73" i="172"/>
  <c r="AO85" i="172"/>
  <c r="AS85" i="172" s="1"/>
  <c r="R87" i="172"/>
  <c r="R92" i="172"/>
  <c r="AA92" i="172" s="1"/>
  <c r="AK93" i="172"/>
  <c r="Y104" i="172"/>
  <c r="AH105" i="172"/>
  <c r="AS105" i="172" s="1"/>
  <c r="AR105" i="172"/>
  <c r="AF105" i="159" s="1"/>
  <c r="AI105" i="172"/>
  <c r="AO109" i="172"/>
  <c r="AO123" i="172" s="1"/>
  <c r="Y110" i="172"/>
  <c r="AK120" i="172"/>
  <c r="S135" i="172"/>
  <c r="AA135" i="172" s="1"/>
  <c r="Y135" i="172"/>
  <c r="U135" i="172"/>
  <c r="Z135" i="172"/>
  <c r="AJ135" i="172"/>
  <c r="AS135" i="172" s="1"/>
  <c r="U139" i="172"/>
  <c r="O110" i="159" s="1"/>
  <c r="T139" i="172"/>
  <c r="P139" i="172"/>
  <c r="V139" i="172"/>
  <c r="AG143" i="172"/>
  <c r="Y153" i="172"/>
  <c r="AO138" i="172"/>
  <c r="P141" i="172"/>
  <c r="Z141" i="172"/>
  <c r="R141" i="172"/>
  <c r="AA141" i="172" s="1"/>
  <c r="Y178" i="172"/>
  <c r="S105" i="159" s="1"/>
  <c r="X178" i="172"/>
  <c r="X196" i="172" s="1"/>
  <c r="U178" i="172"/>
  <c r="T178" i="172"/>
  <c r="Q178" i="172"/>
  <c r="AA178" i="172" s="1"/>
  <c r="Z178" i="172"/>
  <c r="V178" i="172"/>
  <c r="S178" i="172"/>
  <c r="AO179" i="172"/>
  <c r="AP179" i="172"/>
  <c r="P140" i="172"/>
  <c r="O140" i="172"/>
  <c r="U140" i="172"/>
  <c r="X140" i="172"/>
  <c r="AM144" i="172"/>
  <c r="AJ144" i="172"/>
  <c r="X114" i="159" s="1"/>
  <c r="AI144" i="172"/>
  <c r="AO144" i="172"/>
  <c r="AC114" i="159" s="1"/>
  <c r="AG144" i="172"/>
  <c r="AA150" i="172"/>
  <c r="Q160" i="172"/>
  <c r="P160" i="172"/>
  <c r="Z160" i="172"/>
  <c r="R160" i="172"/>
  <c r="AA160" i="172" s="1"/>
  <c r="U160" i="172"/>
  <c r="AQ162" i="172"/>
  <c r="AP162" i="172"/>
  <c r="AM162" i="172"/>
  <c r="AL162" i="172"/>
  <c r="AR162" i="172"/>
  <c r="AH162" i="172"/>
  <c r="AM168" i="172"/>
  <c r="AL168" i="172"/>
  <c r="AI168" i="172"/>
  <c r="AH168" i="172"/>
  <c r="AN168" i="172"/>
  <c r="AR168" i="172"/>
  <c r="AF114" i="159" s="1"/>
  <c r="AQ168" i="172"/>
  <c r="P190" i="172"/>
  <c r="O190" i="172"/>
  <c r="Z190" i="172"/>
  <c r="Y190" i="172"/>
  <c r="V190" i="172"/>
  <c r="Q190" i="172"/>
  <c r="X190" i="172"/>
  <c r="W190" i="172"/>
  <c r="AR192" i="172"/>
  <c r="AQ192" i="172"/>
  <c r="AN192" i="172"/>
  <c r="AM192" i="172"/>
  <c r="AJ192" i="172"/>
  <c r="AJ196" i="172" s="1"/>
  <c r="AO192" i="172"/>
  <c r="AL192" i="172"/>
  <c r="AH192" i="172"/>
  <c r="AG192" i="172"/>
  <c r="AS192" i="172" s="1"/>
  <c r="X116" i="172"/>
  <c r="AP117" i="172"/>
  <c r="AO133" i="172"/>
  <c r="AO147" i="172" s="1"/>
  <c r="AJ138" i="172"/>
  <c r="AS138" i="172" s="1"/>
  <c r="T140" i="172"/>
  <c r="Y141" i="172"/>
  <c r="X142" i="172"/>
  <c r="W142" i="172"/>
  <c r="O142" i="172"/>
  <c r="P142" i="172"/>
  <c r="U144" i="172"/>
  <c r="R144" i="172"/>
  <c r="Q144" i="172"/>
  <c r="W144" i="172"/>
  <c r="AN144" i="172"/>
  <c r="V160" i="172"/>
  <c r="P123" i="159" s="1"/>
  <c r="AK162" i="172"/>
  <c r="AO168" i="172"/>
  <c r="T188" i="172"/>
  <c r="S188" i="172"/>
  <c r="P188" i="172"/>
  <c r="O188" i="172"/>
  <c r="Z188" i="172"/>
  <c r="U188" i="172"/>
  <c r="X188" i="172"/>
  <c r="W188" i="172"/>
  <c r="Q110" i="159" s="1"/>
  <c r="U190" i="172"/>
  <c r="U168" i="172"/>
  <c r="T168" i="172"/>
  <c r="Q168" i="172"/>
  <c r="P168" i="172"/>
  <c r="V168" i="172"/>
  <c r="R168" i="172"/>
  <c r="O168" i="172"/>
  <c r="AL90" i="172"/>
  <c r="R129" i="172"/>
  <c r="AA129" i="172" s="1"/>
  <c r="AN138" i="172"/>
  <c r="Z140" i="172"/>
  <c r="T111" i="159" s="1"/>
  <c r="T142" i="172"/>
  <c r="T144" i="172"/>
  <c r="AQ152" i="172"/>
  <c r="AN152" i="172"/>
  <c r="AM152" i="172"/>
  <c r="AM171" i="172" s="1"/>
  <c r="AK152" i="172"/>
  <c r="Y104" i="159" s="1"/>
  <c r="T159" i="172"/>
  <c r="S159" i="172"/>
  <c r="P159" i="172"/>
  <c r="O159" i="172"/>
  <c r="U159" i="172"/>
  <c r="AI160" i="172"/>
  <c r="AS160" i="172" s="1"/>
  <c r="AH160" i="172"/>
  <c r="AR160" i="172"/>
  <c r="AJ160" i="172"/>
  <c r="AH165" i="172"/>
  <c r="V112" i="159" s="1"/>
  <c r="AG165" i="172"/>
  <c r="AR165" i="172"/>
  <c r="AQ165" i="172"/>
  <c r="AI165" i="172"/>
  <c r="AM165" i="172"/>
  <c r="AL165" i="172"/>
  <c r="S168" i="172"/>
  <c r="Y188" i="172"/>
  <c r="Z185" i="172"/>
  <c r="Y185" i="172"/>
  <c r="V185" i="172"/>
  <c r="U185" i="172"/>
  <c r="O123" i="159" s="1"/>
  <c r="R185" i="172"/>
  <c r="O185" i="172"/>
  <c r="W179" i="172"/>
  <c r="Q106" i="159" s="1"/>
  <c r="X179" i="172"/>
  <c r="P183" i="172"/>
  <c r="O183" i="172"/>
  <c r="Z183" i="172"/>
  <c r="Y183" i="172"/>
  <c r="V183" i="172"/>
  <c r="Q183" i="172"/>
  <c r="S185" i="172"/>
  <c r="AL188" i="172"/>
  <c r="AK188" i="172"/>
  <c r="AK196" i="172" s="1"/>
  <c r="AH188" i="172"/>
  <c r="AS188" i="172" s="1"/>
  <c r="AG188" i="172"/>
  <c r="AR188" i="172"/>
  <c r="AM188" i="172"/>
  <c r="AH141" i="172"/>
  <c r="AS141" i="172" s="1"/>
  <c r="AR141" i="172"/>
  <c r="AF112" i="159" s="1"/>
  <c r="AJ141" i="172"/>
  <c r="AP167" i="172"/>
  <c r="AO167" i="172"/>
  <c r="AL167" i="172"/>
  <c r="AK167" i="172"/>
  <c r="AQ167" i="172"/>
  <c r="AE122" i="159" s="1"/>
  <c r="AI175" i="172"/>
  <c r="AS175" i="172" s="1"/>
  <c r="AH175" i="172"/>
  <c r="AR175" i="172"/>
  <c r="AR196" i="172" s="1"/>
  <c r="AJ175" i="172"/>
  <c r="AA177" i="172"/>
  <c r="R183" i="172"/>
  <c r="T185" i="172"/>
  <c r="AI188" i="172"/>
  <c r="Z192" i="172"/>
  <c r="Y192" i="172"/>
  <c r="V192" i="172"/>
  <c r="U192" i="172"/>
  <c r="R192" i="172"/>
  <c r="AA192" i="172" s="1"/>
  <c r="T145" i="172"/>
  <c r="AL145" i="172"/>
  <c r="S150" i="172"/>
  <c r="AK150" i="172"/>
  <c r="AS150" i="172" s="1"/>
  <c r="S155" i="172"/>
  <c r="AA155" i="172" s="1"/>
  <c r="AK155" i="172"/>
  <c r="AS155" i="172" s="1"/>
  <c r="T164" i="172"/>
  <c r="AA164" i="172" s="1"/>
  <c r="AL164" i="172"/>
  <c r="AS164" i="172" s="1"/>
  <c r="S169" i="172"/>
  <c r="AK169" i="172"/>
  <c r="AS169" i="172" s="1"/>
  <c r="W180" i="172"/>
  <c r="AO180" i="172"/>
  <c r="S182" i="172"/>
  <c r="AK182" i="172"/>
  <c r="O184" i="172"/>
  <c r="AG184" i="172"/>
  <c r="W187" i="172"/>
  <c r="AO187" i="172"/>
  <c r="S189" i="172"/>
  <c r="AA189" i="172" s="1"/>
  <c r="AK189" i="172"/>
  <c r="O191" i="172"/>
  <c r="AA191" i="172" s="1"/>
  <c r="AG191" i="172"/>
  <c r="W194" i="172"/>
  <c r="AO194" i="172"/>
  <c r="V166" i="172"/>
  <c r="P113" i="159" s="1"/>
  <c r="V177" i="172"/>
  <c r="AN177" i="172"/>
  <c r="Q180" i="172"/>
  <c r="AI180" i="172"/>
  <c r="AS180" i="172" s="1"/>
  <c r="W184" i="172"/>
  <c r="Q121" i="159" s="1"/>
  <c r="AO184" i="172"/>
  <c r="Q187" i="172"/>
  <c r="AI187" i="172"/>
  <c r="W191" i="172"/>
  <c r="Q113" i="159" s="1"/>
  <c r="AO191" i="172"/>
  <c r="AS191" i="172" s="1"/>
  <c r="Q194" i="172"/>
  <c r="AI194" i="172"/>
  <c r="O145" i="172"/>
  <c r="R180" i="172"/>
  <c r="AJ180" i="172"/>
  <c r="R187" i="172"/>
  <c r="AJ187" i="172"/>
  <c r="R194" i="172"/>
  <c r="AJ194" i="172"/>
  <c r="AS194" i="172" s="1"/>
  <c r="U180" i="172"/>
  <c r="AM180" i="172"/>
  <c r="U187" i="172"/>
  <c r="AM187" i="172"/>
  <c r="U194" i="172"/>
  <c r="AM194" i="172"/>
  <c r="Y6" i="174"/>
  <c r="W13" i="174"/>
  <c r="AL16" i="174"/>
  <c r="AO19" i="174"/>
  <c r="R22" i="174"/>
  <c r="N30" i="174"/>
  <c r="T33" i="174"/>
  <c r="O39" i="174"/>
  <c r="AN39" i="174"/>
  <c r="AQ40" i="174"/>
  <c r="AI51" i="174"/>
  <c r="Q56" i="174"/>
  <c r="R62" i="174"/>
  <c r="W63" i="174"/>
  <c r="AQ75" i="174"/>
  <c r="AB87" i="174"/>
  <c r="AN96" i="174"/>
  <c r="AO97" i="174"/>
  <c r="Z99" i="174"/>
  <c r="AQ102" i="174"/>
  <c r="S118" i="174"/>
  <c r="S129" i="174" s="1"/>
  <c r="AQ118" i="174"/>
  <c r="Q124" i="174"/>
  <c r="AQ124" i="174"/>
  <c r="V132" i="174"/>
  <c r="AP132" i="174"/>
  <c r="U138" i="174"/>
  <c r="AN139" i="174"/>
  <c r="U145" i="174"/>
  <c r="V148" i="174"/>
  <c r="AM16" i="174"/>
  <c r="S22" i="174"/>
  <c r="O30" i="174"/>
  <c r="W33" i="174"/>
  <c r="P39" i="174"/>
  <c r="AO39" i="174"/>
  <c r="AM51" i="174"/>
  <c r="S56" i="174"/>
  <c r="AR56" i="174"/>
  <c r="S62" i="174"/>
  <c r="X63" i="174"/>
  <c r="AG81" i="174"/>
  <c r="AO139" i="174"/>
  <c r="X145" i="174"/>
  <c r="AN16" i="174"/>
  <c r="P30" i="174"/>
  <c r="T39" i="174"/>
  <c r="W62" i="174"/>
  <c r="Z104" i="174"/>
  <c r="AP139" i="174"/>
  <c r="Y145" i="174"/>
  <c r="R9" i="174"/>
  <c r="AF13" i="174"/>
  <c r="X22" i="174"/>
  <c r="Q30" i="174"/>
  <c r="AF33" i="174"/>
  <c r="AF38" i="174"/>
  <c r="U39" i="174"/>
  <c r="AQ39" i="174"/>
  <c r="V56" i="174"/>
  <c r="O64" i="174"/>
  <c r="N76" i="174"/>
  <c r="AF102" i="174"/>
  <c r="AR102" i="174" s="1"/>
  <c r="N103" i="174"/>
  <c r="S106" i="174"/>
  <c r="R111" i="174"/>
  <c r="AQ139" i="174"/>
  <c r="AF148" i="174"/>
  <c r="N12" i="174"/>
  <c r="AG13" i="174"/>
  <c r="N20" i="174"/>
  <c r="Y22" i="174"/>
  <c r="R30" i="174"/>
  <c r="AG33" i="174"/>
  <c r="AF35" i="174"/>
  <c r="AG38" i="174"/>
  <c r="V39" i="174"/>
  <c r="U41" i="174"/>
  <c r="P43" i="174"/>
  <c r="N51" i="174"/>
  <c r="W56" i="174"/>
  <c r="N60" i="174"/>
  <c r="AR61" i="174"/>
  <c r="P64" i="174"/>
  <c r="Q75" i="174"/>
  <c r="O76" i="174"/>
  <c r="AN81" i="174"/>
  <c r="P90" i="174"/>
  <c r="N97" i="174"/>
  <c r="AG102" i="174"/>
  <c r="O103" i="174"/>
  <c r="T106" i="174"/>
  <c r="S111" i="174"/>
  <c r="AH114" i="174"/>
  <c r="AF118" i="174"/>
  <c r="W124" i="174"/>
  <c r="AJ138" i="174"/>
  <c r="AH145" i="174"/>
  <c r="AG148" i="174"/>
  <c r="AH13" i="174"/>
  <c r="N17" i="174"/>
  <c r="N18" i="174"/>
  <c r="O20" i="174"/>
  <c r="W30" i="174"/>
  <c r="AK33" i="174"/>
  <c r="AG35" i="174"/>
  <c r="AH38" i="174"/>
  <c r="W39" i="174"/>
  <c r="V41" i="174"/>
  <c r="Q43" i="174"/>
  <c r="O51" i="174"/>
  <c r="P55" i="174"/>
  <c r="AR55" i="174"/>
  <c r="X56" i="174"/>
  <c r="O60" i="174"/>
  <c r="N63" i="174"/>
  <c r="Z63" i="174" s="1"/>
  <c r="S64" i="174"/>
  <c r="P76" i="174"/>
  <c r="AP81" i="174"/>
  <c r="Q90" i="174"/>
  <c r="AF93" i="174"/>
  <c r="AH102" i="174"/>
  <c r="P103" i="174"/>
  <c r="U106" i="174"/>
  <c r="V111" i="174"/>
  <c r="AI114" i="174"/>
  <c r="AG118" i="174"/>
  <c r="AJ145" i="174"/>
  <c r="AK13" i="174"/>
  <c r="AJ14" i="174"/>
  <c r="AM33" i="174"/>
  <c r="AK38" i="174"/>
  <c r="AR63" i="174"/>
  <c r="W64" i="174"/>
  <c r="AF75" i="174"/>
  <c r="U76" i="174"/>
  <c r="AJ102" i="174"/>
  <c r="R103" i="174"/>
  <c r="Q123" i="174"/>
  <c r="AF124" i="174"/>
  <c r="AF139" i="174"/>
  <c r="AH144" i="174"/>
  <c r="Q6" i="174"/>
  <c r="AO13" i="174"/>
  <c r="R20" i="174"/>
  <c r="AK22" i="174"/>
  <c r="AH30" i="174"/>
  <c r="AN33" i="174"/>
  <c r="AL38" i="174"/>
  <c r="AG39" i="174"/>
  <c r="AH40" i="174"/>
  <c r="T43" i="174"/>
  <c r="AF48" i="174"/>
  <c r="R51" i="174"/>
  <c r="T55" i="174"/>
  <c r="Q63" i="174"/>
  <c r="AH75" i="174"/>
  <c r="V76" i="174"/>
  <c r="AF85" i="174"/>
  <c r="W90" i="174"/>
  <c r="AN93" i="174"/>
  <c r="AK102" i="174"/>
  <c r="S103" i="174"/>
  <c r="Q114" i="174"/>
  <c r="AL114" i="174"/>
  <c r="AJ118" i="174"/>
  <c r="S123" i="174"/>
  <c r="AI124" i="174"/>
  <c r="AP125" i="174"/>
  <c r="P132" i="174"/>
  <c r="AI132" i="174"/>
  <c r="AG139" i="174"/>
  <c r="AR139" i="174" s="1"/>
  <c r="AM145" i="174"/>
  <c r="R6" i="174"/>
  <c r="AP13" i="174"/>
  <c r="AI30" i="174"/>
  <c r="AM38" i="174"/>
  <c r="AH39" i="174"/>
  <c r="AK40" i="174"/>
  <c r="U43" i="174"/>
  <c r="AI48" i="174"/>
  <c r="S51" i="174"/>
  <c r="AI75" i="174"/>
  <c r="W76" i="174"/>
  <c r="AR92" i="174"/>
  <c r="AF97" i="174"/>
  <c r="AL102" i="174"/>
  <c r="T103" i="174"/>
  <c r="AF106" i="174"/>
  <c r="R114" i="174"/>
  <c r="AM114" i="174"/>
  <c r="AK118" i="174"/>
  <c r="AJ124" i="174"/>
  <c r="AQ125" i="174"/>
  <c r="Q132" i="174"/>
  <c r="Z132" i="174" s="1"/>
  <c r="AJ132" i="174"/>
  <c r="AH139" i="174"/>
  <c r="O148" i="174"/>
  <c r="AO38" i="174"/>
  <c r="AR62" i="174"/>
  <c r="AR64" i="174"/>
  <c r="AJ75" i="174"/>
  <c r="X76" i="174"/>
  <c r="Z92" i="174"/>
  <c r="Z100" i="174"/>
  <c r="AM102" i="174"/>
  <c r="U103" i="174"/>
  <c r="AK124" i="174"/>
  <c r="AI139" i="174"/>
  <c r="U6" i="174"/>
  <c r="P13" i="174"/>
  <c r="AH19" i="174"/>
  <c r="Y20" i="174"/>
  <c r="N22" i="174"/>
  <c r="AK30" i="174"/>
  <c r="O33" i="174"/>
  <c r="AP38" i="174"/>
  <c r="AJ39" i="174"/>
  <c r="AM40" i="174"/>
  <c r="W43" i="174"/>
  <c r="AM48" i="174"/>
  <c r="V51" i="174"/>
  <c r="N56" i="174"/>
  <c r="R61" i="174"/>
  <c r="T63" i="174"/>
  <c r="AN75" i="174"/>
  <c r="R81" i="174"/>
  <c r="AL97" i="174"/>
  <c r="AN102" i="174"/>
  <c r="V103" i="174"/>
  <c r="AR113" i="174"/>
  <c r="T114" i="174"/>
  <c r="AO114" i="174"/>
  <c r="O118" i="174"/>
  <c r="AN118" i="174"/>
  <c r="AL124" i="174"/>
  <c r="S132" i="174"/>
  <c r="AJ139" i="174"/>
  <c r="P145" i="174"/>
  <c r="AI19" i="174"/>
  <c r="O22" i="174"/>
  <c r="Z50" i="174"/>
  <c r="W51" i="174"/>
  <c r="U63" i="174"/>
  <c r="Z70" i="174"/>
  <c r="W103" i="174"/>
  <c r="Z113" i="174"/>
  <c r="U114" i="174"/>
  <c r="AP114" i="174"/>
  <c r="AF117" i="174"/>
  <c r="AO118" i="174"/>
  <c r="AR118" i="174" s="1"/>
  <c r="Z125" i="174"/>
  <c r="AN132" i="174"/>
  <c r="AK139" i="174"/>
  <c r="I18" i="193"/>
  <c r="L20" i="193"/>
  <c r="D130" i="193"/>
  <c r="D131" i="193"/>
  <c r="D127" i="193"/>
  <c r="J127" i="193" s="1"/>
  <c r="D128" i="193"/>
  <c r="J128" i="193" s="1"/>
  <c r="D129" i="193"/>
  <c r="D132" i="193"/>
  <c r="D133" i="193"/>
  <c r="D125" i="193"/>
  <c r="J125" i="193" s="1"/>
  <c r="J79" i="193"/>
  <c r="D126" i="193"/>
  <c r="J126" i="193" s="1"/>
  <c r="I30" i="193"/>
  <c r="L32" i="193"/>
  <c r="I37" i="193"/>
  <c r="L39" i="193"/>
  <c r="K125" i="193"/>
  <c r="K75" i="193"/>
  <c r="K118" i="193"/>
  <c r="I31" i="193"/>
  <c r="I38" i="193"/>
  <c r="L40" i="193"/>
  <c r="L27" i="193"/>
  <c r="K51" i="193"/>
  <c r="K52" i="193"/>
  <c r="K54" i="193"/>
  <c r="O32" i="193"/>
  <c r="I35" i="193"/>
  <c r="I42" i="193"/>
  <c r="K67" i="193"/>
  <c r="I29" i="193"/>
  <c r="K113" i="193"/>
  <c r="K136" i="193"/>
  <c r="K76" i="193"/>
  <c r="K87" i="193"/>
  <c r="K134" i="193"/>
  <c r="O36" i="193"/>
  <c r="K57" i="193"/>
  <c r="O23" i="193"/>
  <c r="K70" i="193"/>
  <c r="L19" i="193"/>
  <c r="I26" i="193"/>
  <c r="L17" i="193"/>
  <c r="K64" i="193"/>
  <c r="I24" i="193"/>
  <c r="O37" i="193"/>
  <c r="L42" i="193"/>
  <c r="K59" i="193"/>
  <c r="K69" i="193"/>
  <c r="K88" i="193"/>
  <c r="O24" i="193"/>
  <c r="O33" i="193"/>
  <c r="L38" i="193"/>
  <c r="O40" i="193"/>
  <c r="K82" i="193"/>
  <c r="O28" i="193"/>
  <c r="O22" i="193"/>
  <c r="O31" i="193"/>
  <c r="O20" i="193"/>
  <c r="K65" i="193"/>
  <c r="K50" i="193"/>
  <c r="K74" i="193"/>
  <c r="AC80" i="159"/>
  <c r="O21" i="193"/>
  <c r="L30" i="193"/>
  <c r="I22" i="193"/>
  <c r="L24" i="193"/>
  <c r="I33" i="193"/>
  <c r="L35" i="193"/>
  <c r="L37" i="193"/>
  <c r="O39" i="193"/>
  <c r="K58" i="193"/>
  <c r="K111" i="193"/>
  <c r="I40" i="193"/>
  <c r="J80" i="193"/>
  <c r="I23" i="193"/>
  <c r="I25" i="193"/>
  <c r="O29" i="193"/>
  <c r="I34" i="193"/>
  <c r="K104" i="193"/>
  <c r="K71" i="193"/>
  <c r="K103" i="193"/>
  <c r="L22" i="193"/>
  <c r="K15" i="193"/>
  <c r="I36" i="193"/>
  <c r="I32" i="193"/>
  <c r="O38" i="193"/>
  <c r="I41" i="193"/>
  <c r="L135" i="193"/>
  <c r="I21" i="193"/>
  <c r="L25" i="193"/>
  <c r="L34" i="193"/>
  <c r="K94" i="193"/>
  <c r="K117" i="193"/>
  <c r="K131" i="193"/>
  <c r="O18" i="193"/>
  <c r="O26" i="193"/>
  <c r="O30" i="193"/>
  <c r="O34" i="193"/>
  <c r="L55" i="193"/>
  <c r="K84" i="193"/>
  <c r="L90" i="193"/>
  <c r="L106" i="193"/>
  <c r="G45" i="193"/>
  <c r="I27" i="193"/>
  <c r="L41" i="193"/>
  <c r="L50" i="193"/>
  <c r="L74" i="193"/>
  <c r="L86" i="193"/>
  <c r="L109" i="193"/>
  <c r="L120" i="193"/>
  <c r="L131" i="193"/>
  <c r="I17" i="193"/>
  <c r="L23" i="193"/>
  <c r="L29" i="193"/>
  <c r="L31" i="193"/>
  <c r="L33" i="193"/>
  <c r="O41" i="193"/>
  <c r="L58" i="193"/>
  <c r="L70" i="193"/>
  <c r="L81" i="193"/>
  <c r="L101" i="193"/>
  <c r="L115" i="193"/>
  <c r="L132" i="193"/>
  <c r="AA80" i="159"/>
  <c r="L130" i="193"/>
  <c r="L91" i="193"/>
  <c r="L139" i="193"/>
  <c r="O17" i="193"/>
  <c r="O25" i="193"/>
  <c r="O27" i="193"/>
  <c r="L59" i="193"/>
  <c r="L68" i="193"/>
  <c r="L76" i="193"/>
  <c r="L75" i="193"/>
  <c r="T45" i="193"/>
  <c r="L82" i="193"/>
  <c r="L95" i="193"/>
  <c r="L103" i="193"/>
  <c r="L117" i="193"/>
  <c r="AE80" i="159"/>
  <c r="L73" i="193"/>
  <c r="L98" i="193"/>
  <c r="L80" i="193"/>
  <c r="AB80" i="159"/>
  <c r="I20" i="193"/>
  <c r="L52" i="193"/>
  <c r="L71" i="193"/>
  <c r="L88" i="193"/>
  <c r="L111" i="193"/>
  <c r="L134" i="193"/>
  <c r="L56" i="193"/>
  <c r="L84" i="193"/>
  <c r="I19" i="193"/>
  <c r="Y80" i="159"/>
  <c r="L124" i="193"/>
  <c r="I28" i="193"/>
  <c r="L69" i="193"/>
  <c r="L57" i="193"/>
  <c r="L114" i="193"/>
  <c r="L140" i="193"/>
  <c r="L21" i="193"/>
  <c r="L51" i="193"/>
  <c r="L87" i="193"/>
  <c r="L110" i="193"/>
  <c r="L26" i="193"/>
  <c r="L28" i="193"/>
  <c r="L36" i="193"/>
  <c r="L54" i="193"/>
  <c r="L64" i="193"/>
  <c r="L79" i="193"/>
  <c r="K83" i="193"/>
  <c r="L89" i="193"/>
  <c r="K105" i="193"/>
  <c r="K112" i="193"/>
  <c r="L118" i="193"/>
  <c r="K55" i="193"/>
  <c r="L72" i="193"/>
  <c r="K90" i="193"/>
  <c r="K106" i="193"/>
  <c r="L112" i="193"/>
  <c r="L129" i="193"/>
  <c r="B67" i="193"/>
  <c r="O42" i="193"/>
  <c r="O19" i="193"/>
  <c r="M45" i="193"/>
  <c r="D124" i="193"/>
  <c r="J124" i="193" s="1"/>
  <c r="J64" i="193"/>
  <c r="J45" i="193"/>
  <c r="J94" i="193"/>
  <c r="I39" i="193"/>
  <c r="B82" i="193"/>
  <c r="J81" i="193"/>
  <c r="L18" i="193"/>
  <c r="O35" i="193"/>
  <c r="X80" i="159"/>
  <c r="K56" i="193"/>
  <c r="K80" i="193"/>
  <c r="K91" i="193"/>
  <c r="K116" i="193"/>
  <c r="K119" i="193"/>
  <c r="K120" i="193"/>
  <c r="K121" i="193"/>
  <c r="Z80" i="159"/>
  <c r="K114" i="193"/>
  <c r="AD80" i="159"/>
  <c r="J49" i="193"/>
  <c r="K95" i="193"/>
  <c r="B98" i="193"/>
  <c r="K102" i="193"/>
  <c r="K130" i="193"/>
  <c r="K124" i="193"/>
  <c r="K133" i="193"/>
  <c r="K110" i="193"/>
  <c r="K99" i="193"/>
  <c r="K89" i="193"/>
  <c r="K86" i="193"/>
  <c r="K81" i="193"/>
  <c r="K73" i="193"/>
  <c r="K140" i="193"/>
  <c r="K129" i="193"/>
  <c r="K126" i="193"/>
  <c r="K135" i="193"/>
  <c r="K115" i="193"/>
  <c r="K109" i="193"/>
  <c r="K101" i="193"/>
  <c r="K98" i="193"/>
  <c r="K128" i="193"/>
  <c r="K60" i="193"/>
  <c r="K61" i="193"/>
  <c r="K85" i="193"/>
  <c r="K97" i="193"/>
  <c r="K100" i="193"/>
  <c r="K127" i="193"/>
  <c r="AF80" i="159"/>
  <c r="L138" i="193"/>
  <c r="L113" i="193"/>
  <c r="L136" i="193"/>
  <c r="L119" i="193"/>
  <c r="L116" i="193"/>
  <c r="L105" i="193"/>
  <c r="L102" i="193"/>
  <c r="L94" i="193"/>
  <c r="L83" i="193"/>
  <c r="L67" i="193"/>
  <c r="L65" i="193"/>
  <c r="L121" i="193"/>
  <c r="L96" i="193"/>
  <c r="L128" i="193"/>
  <c r="L104" i="193"/>
  <c r="L125" i="193"/>
  <c r="L60" i="193"/>
  <c r="L61" i="193"/>
  <c r="K68" i="193"/>
  <c r="K72" i="193"/>
  <c r="L85" i="193"/>
  <c r="K96" i="193"/>
  <c r="L97" i="193"/>
  <c r="L99" i="193"/>
  <c r="L100" i="193"/>
  <c r="L127" i="193"/>
  <c r="L133" i="193"/>
  <c r="K138" i="193"/>
  <c r="M49" i="193"/>
  <c r="K53" i="193"/>
  <c r="K66" i="193"/>
  <c r="L53" i="193"/>
  <c r="L66" i="193"/>
  <c r="K79" i="193"/>
  <c r="L126" i="193"/>
  <c r="K132" i="193"/>
  <c r="K139" i="193"/>
  <c r="W14" i="123"/>
  <c r="S70" i="204" s="1"/>
  <c r="R59" i="123"/>
  <c r="V97" i="123"/>
  <c r="S102" i="123"/>
  <c r="O69" i="219" s="1"/>
  <c r="X7" i="123"/>
  <c r="Y11" i="123"/>
  <c r="Y14" i="123"/>
  <c r="U70" i="204" s="1"/>
  <c r="Y22" i="123"/>
  <c r="S24" i="123"/>
  <c r="R27" i="123"/>
  <c r="Z39" i="123"/>
  <c r="Z44" i="123"/>
  <c r="Z54" i="123"/>
  <c r="U59" i="123"/>
  <c r="X74" i="123"/>
  <c r="Z75" i="123"/>
  <c r="V70" i="220" s="1"/>
  <c r="X89" i="123"/>
  <c r="Z93" i="123"/>
  <c r="Z97" i="123"/>
  <c r="X102" i="123"/>
  <c r="T69" i="219" s="1"/>
  <c r="Z11" i="123"/>
  <c r="Z14" i="123"/>
  <c r="V70" i="204" s="1"/>
  <c r="Z22" i="123"/>
  <c r="Z89" i="123"/>
  <c r="U24" i="123"/>
  <c r="T27" i="123"/>
  <c r="P81" i="218" s="1"/>
  <c r="T30" i="123"/>
  <c r="P90" i="218" s="1"/>
  <c r="W59" i="123"/>
  <c r="O67" i="123"/>
  <c r="R73" i="123"/>
  <c r="N67" i="220" s="1"/>
  <c r="O98" i="123"/>
  <c r="R39" i="123"/>
  <c r="V59" i="123"/>
  <c r="T21" i="123"/>
  <c r="P69" i="204" s="1"/>
  <c r="R23" i="123"/>
  <c r="V24" i="123"/>
  <c r="U27" i="123"/>
  <c r="Q81" i="218" s="1"/>
  <c r="U30" i="123"/>
  <c r="Q90" i="218" s="1"/>
  <c r="U38" i="123"/>
  <c r="U53" i="123"/>
  <c r="S56" i="123"/>
  <c r="V57" i="123"/>
  <c r="W58" i="123"/>
  <c r="Y59" i="123"/>
  <c r="S62" i="123"/>
  <c r="P67" i="123"/>
  <c r="O68" i="123"/>
  <c r="AA68" i="123" s="1"/>
  <c r="U69" i="123"/>
  <c r="T73" i="123"/>
  <c r="P67" i="220" s="1"/>
  <c r="Z90" i="123"/>
  <c r="O94" i="123"/>
  <c r="K67" i="219" s="1"/>
  <c r="G67" i="219" s="1"/>
  <c r="I67" i="219" s="1"/>
  <c r="R98" i="123"/>
  <c r="P103" i="123"/>
  <c r="P35" i="123"/>
  <c r="Y74" i="123"/>
  <c r="Z21" i="123"/>
  <c r="V69" i="204" s="1"/>
  <c r="S23" i="123"/>
  <c r="W24" i="123"/>
  <c r="V27" i="123"/>
  <c r="V30" i="123"/>
  <c r="R90" i="218" s="1"/>
  <c r="Z59" i="123"/>
  <c r="Q67" i="123"/>
  <c r="M81" i="220" s="1"/>
  <c r="P68" i="123"/>
  <c r="V69" i="123"/>
  <c r="U73" i="123"/>
  <c r="Q67" i="220" s="1"/>
  <c r="AA77" i="123"/>
  <c r="T98" i="123"/>
  <c r="O67" i="204"/>
  <c r="T23" i="123"/>
  <c r="X24" i="123"/>
  <c r="W27" i="123"/>
  <c r="Z30" i="123"/>
  <c r="V90" i="218" s="1"/>
  <c r="S67" i="123"/>
  <c r="O81" i="220" s="1"/>
  <c r="U98" i="123"/>
  <c r="N60" i="220"/>
  <c r="P14" i="123"/>
  <c r="L70" i="204" s="1"/>
  <c r="S25" i="123"/>
  <c r="Q35" i="123"/>
  <c r="S39" i="123"/>
  <c r="U81" i="221"/>
  <c r="T52" i="123"/>
  <c r="R22" i="123"/>
  <c r="P44" i="123"/>
  <c r="S48" i="123"/>
  <c r="O81" i="221" s="1"/>
  <c r="T65" i="123"/>
  <c r="P89" i="123"/>
  <c r="P99" i="123"/>
  <c r="S104" i="123"/>
  <c r="O60" i="220"/>
  <c r="R7" i="123"/>
  <c r="Q14" i="123"/>
  <c r="S22" i="123"/>
  <c r="X23" i="123"/>
  <c r="T25" i="123"/>
  <c r="R35" i="123"/>
  <c r="S37" i="123"/>
  <c r="T39" i="123"/>
  <c r="R44" i="123"/>
  <c r="S45" i="123"/>
  <c r="T48" i="123"/>
  <c r="P81" i="221" s="1"/>
  <c r="U52" i="123"/>
  <c r="O54" i="123"/>
  <c r="X55" i="123"/>
  <c r="T70" i="221" s="1"/>
  <c r="O59" i="123"/>
  <c r="R63" i="123"/>
  <c r="U65" i="123"/>
  <c r="X67" i="123"/>
  <c r="U68" i="123"/>
  <c r="X71" i="123"/>
  <c r="R74" i="123"/>
  <c r="T75" i="123"/>
  <c r="P70" i="220" s="1"/>
  <c r="U76" i="123"/>
  <c r="U77" i="123"/>
  <c r="W86" i="123"/>
  <c r="Q89" i="123"/>
  <c r="S93" i="123"/>
  <c r="X94" i="123"/>
  <c r="T67" i="219" s="1"/>
  <c r="O97" i="123"/>
  <c r="R99" i="123"/>
  <c r="Q22" i="123"/>
  <c r="R48" i="123"/>
  <c r="N81" i="221" s="1"/>
  <c r="R14" i="123"/>
  <c r="N70" i="204" s="1"/>
  <c r="T22" i="123"/>
  <c r="U25" i="123"/>
  <c r="V35" i="123"/>
  <c r="T37" i="123"/>
  <c r="U39" i="123"/>
  <c r="S44" i="123"/>
  <c r="Z52" i="123"/>
  <c r="P24" i="233" s="1"/>
  <c r="R54" i="123"/>
  <c r="N67" i="221" s="1"/>
  <c r="P59" i="123"/>
  <c r="S63" i="123"/>
  <c r="S74" i="123"/>
  <c r="R89" i="123"/>
  <c r="Q97" i="123"/>
  <c r="S99" i="123"/>
  <c r="S60" i="220"/>
  <c r="T7" i="123"/>
  <c r="S11" i="123"/>
  <c r="V14" i="123"/>
  <c r="V15" i="123"/>
  <c r="U22" i="123"/>
  <c r="W35" i="123"/>
  <c r="V39" i="123"/>
  <c r="W44" i="123"/>
  <c r="U45" i="123"/>
  <c r="S54" i="123"/>
  <c r="Z55" i="123"/>
  <c r="V70" i="221" s="1"/>
  <c r="P57" i="123"/>
  <c r="P58" i="123"/>
  <c r="Q59" i="123"/>
  <c r="T63" i="123"/>
  <c r="Z67" i="123"/>
  <c r="V81" i="220" s="1"/>
  <c r="X68" i="123"/>
  <c r="T70" i="123"/>
  <c r="P90" i="220" s="1"/>
  <c r="T74" i="123"/>
  <c r="V75" i="123"/>
  <c r="R70" i="220" s="1"/>
  <c r="W76" i="123"/>
  <c r="X77" i="123"/>
  <c r="S80" i="123"/>
  <c r="O85" i="123"/>
  <c r="Y86" i="123"/>
  <c r="S89" i="123"/>
  <c r="X91" i="123"/>
  <c r="T90" i="219" s="1"/>
  <c r="V93" i="123"/>
  <c r="T97" i="123"/>
  <c r="V99" i="123"/>
  <c r="Q102" i="123"/>
  <c r="M69" i="219" s="1"/>
  <c r="P105" i="123"/>
  <c r="T11" i="123"/>
  <c r="U89" i="123"/>
  <c r="S52" i="123"/>
  <c r="I24" i="233" s="1"/>
  <c r="O89" i="123"/>
  <c r="Q104" i="123"/>
  <c r="V22" i="123"/>
  <c r="X35" i="123"/>
  <c r="W39" i="123"/>
  <c r="X44" i="123"/>
  <c r="T54" i="123"/>
  <c r="P67" i="221" s="1"/>
  <c r="V74" i="123"/>
  <c r="U85" i="123"/>
  <c r="Y99" i="123"/>
  <c r="V7" i="123"/>
  <c r="U11" i="123"/>
  <c r="X14" i="123"/>
  <c r="W22" i="123"/>
  <c r="R24" i="123"/>
  <c r="Q27" i="123"/>
  <c r="Y35" i="123"/>
  <c r="X39" i="123"/>
  <c r="Y44" i="123"/>
  <c r="Y54" i="123"/>
  <c r="U67" i="221" s="1"/>
  <c r="R57" i="123"/>
  <c r="Z68" i="123"/>
  <c r="Z70" i="123"/>
  <c r="V90" i="220" s="1"/>
  <c r="Y75" i="123"/>
  <c r="U70" i="220" s="1"/>
  <c r="Z76" i="123"/>
  <c r="Z77" i="123"/>
  <c r="W89" i="123"/>
  <c r="Y93" i="123"/>
  <c r="W97" i="123"/>
  <c r="V102" i="123"/>
  <c r="R69" i="219" s="1"/>
  <c r="H17" i="177"/>
  <c r="I17" i="177" s="1"/>
  <c r="J13" i="177"/>
  <c r="J16" i="177" s="1"/>
  <c r="J20" i="177" s="1"/>
  <c r="M10" i="177" a="1"/>
  <c r="M10" i="177" s="1"/>
  <c r="N10" i="177" s="1" a="1"/>
  <c r="N10" i="177" s="1"/>
  <c r="O10" i="177" s="1" a="1"/>
  <c r="O10" i="177" s="1"/>
  <c r="P10" i="177" s="1" a="1"/>
  <c r="P10" i="177" s="1"/>
  <c r="Q10" i="177" s="1" a="1"/>
  <c r="Q10" i="177" s="1"/>
  <c r="R10" i="177" s="1" a="1"/>
  <c r="R10" i="177" s="1"/>
  <c r="S11" i="177" s="1"/>
  <c r="J45" i="177"/>
  <c r="J58" i="177" s="1"/>
  <c r="AN90" i="172"/>
  <c r="BB90" i="172" s="1"/>
  <c r="BB99" i="172" s="1"/>
  <c r="AO90" i="172"/>
  <c r="BC90" i="172" s="1"/>
  <c r="BC99" i="172" s="1"/>
  <c r="G37" i="177"/>
  <c r="G42" i="177" s="1"/>
  <c r="H45" i="177"/>
  <c r="H58" i="177" s="1"/>
  <c r="AP90" i="172"/>
  <c r="BD90" i="172" s="1"/>
  <c r="BD99" i="172" s="1"/>
  <c r="H35" i="177"/>
  <c r="H38" i="177" s="1"/>
  <c r="U18" i="159" s="1"/>
  <c r="D154" i="243"/>
  <c r="N45" i="230"/>
  <c r="AM90" i="172"/>
  <c r="BA90" i="172" s="1"/>
  <c r="BA99" i="172" s="1"/>
  <c r="AQ90" i="172"/>
  <c r="BE90" i="172" s="1"/>
  <c r="BE99" i="172" s="1"/>
  <c r="AR90" i="172"/>
  <c r="BF90" i="172" s="1"/>
  <c r="BF99" i="172" s="1"/>
  <c r="AC99" i="172"/>
  <c r="AG90" i="172"/>
  <c r="AU90" i="172" s="1"/>
  <c r="AH90" i="172"/>
  <c r="AV90" i="172" s="1"/>
  <c r="AV99" i="172" s="1"/>
  <c r="AI90" i="172"/>
  <c r="AW90" i="172" s="1"/>
  <c r="AW99" i="172" s="1"/>
  <c r="AJ90" i="172"/>
  <c r="AX90" i="172" s="1"/>
  <c r="AX99" i="172" s="1"/>
  <c r="AK90" i="172"/>
  <c r="AY90" i="172" s="1"/>
  <c r="AY99" i="172" s="1"/>
  <c r="Z71" i="177"/>
  <c r="Z21" i="177"/>
  <c r="Z22" i="177" s="1"/>
  <c r="P13" i="177"/>
  <c r="P16" i="177" s="1"/>
  <c r="P20" i="177" s="1"/>
  <c r="S13" i="177"/>
  <c r="S16" i="177" s="1"/>
  <c r="S21" i="177" s="1"/>
  <c r="S72" i="177" s="1"/>
  <c r="R26" i="159"/>
  <c r="P16" i="159"/>
  <c r="S16" i="159"/>
  <c r="F12" i="231"/>
  <c r="I49" i="177"/>
  <c r="I62" i="177" s="1"/>
  <c r="I11" i="177"/>
  <c r="I51" i="177" s="1"/>
  <c r="I64" i="177" s="1"/>
  <c r="I53" i="177"/>
  <c r="I66" i="177" s="1"/>
  <c r="I54" i="177"/>
  <c r="I67" i="177" s="1"/>
  <c r="I50" i="177"/>
  <c r="I63" i="177" s="1"/>
  <c r="AG21" i="177"/>
  <c r="AG72" i="177" s="1"/>
  <c r="AG20" i="177"/>
  <c r="N20" i="177"/>
  <c r="N21" i="177"/>
  <c r="N72" i="177" s="1"/>
  <c r="G40" i="177"/>
  <c r="AH20" i="177"/>
  <c r="AH21" i="177"/>
  <c r="AH72" i="177" s="1"/>
  <c r="U21" i="177"/>
  <c r="U72" i="177" s="1"/>
  <c r="U20" i="177"/>
  <c r="AI20" i="177"/>
  <c r="AI21" i="177"/>
  <c r="AI72" i="177" s="1"/>
  <c r="AJ20" i="177"/>
  <c r="AJ21" i="177"/>
  <c r="AJ72" i="177" s="1"/>
  <c r="I21" i="177"/>
  <c r="I72" i="177" s="1"/>
  <c r="I20" i="177"/>
  <c r="I71" i="177" s="1"/>
  <c r="W20" i="177"/>
  <c r="W21" i="177"/>
  <c r="W72" i="177" s="1"/>
  <c r="AK20" i="177"/>
  <c r="AK21" i="177"/>
  <c r="AK72" i="177" s="1"/>
  <c r="R20" i="177"/>
  <c r="R21" i="177"/>
  <c r="R72" i="177" s="1"/>
  <c r="AA20" i="177"/>
  <c r="AA21" i="177"/>
  <c r="AA72" i="177" s="1"/>
  <c r="Y21" i="177"/>
  <c r="Y72" i="177" s="1"/>
  <c r="Y20" i="177"/>
  <c r="H49" i="177"/>
  <c r="H62" i="177" s="1"/>
  <c r="H53" i="177"/>
  <c r="H66" i="177" s="1"/>
  <c r="I47" i="177"/>
  <c r="H52" i="177"/>
  <c r="H65" i="177" s="1"/>
  <c r="H11" i="177"/>
  <c r="H51" i="177" s="1"/>
  <c r="H64" i="177" s="1"/>
  <c r="H50" i="177"/>
  <c r="H63" i="177" s="1"/>
  <c r="H47" i="177"/>
  <c r="H54" i="177"/>
  <c r="H67" i="177" s="1"/>
  <c r="X21" i="177"/>
  <c r="X72" i="177" s="1"/>
  <c r="X20" i="177"/>
  <c r="R11" i="218"/>
  <c r="R9" i="218" s="1"/>
  <c r="R12" i="218" s="1"/>
  <c r="L13" i="235"/>
  <c r="L12" i="235" s="1"/>
  <c r="L20" i="177"/>
  <c r="L21" i="177"/>
  <c r="L72" i="177" s="1"/>
  <c r="V20" i="177"/>
  <c r="V21" i="177"/>
  <c r="V72" i="177" s="1"/>
  <c r="O20" i="177"/>
  <c r="O21" i="177"/>
  <c r="O72" i="177" s="1"/>
  <c r="AC21" i="177"/>
  <c r="AC72" i="177" s="1"/>
  <c r="AC20" i="177"/>
  <c r="AD20" i="177"/>
  <c r="AD21" i="177"/>
  <c r="AD72" i="177" s="1"/>
  <c r="I14" i="177"/>
  <c r="Q20" i="177"/>
  <c r="Q21" i="177"/>
  <c r="Q72" i="177" s="1"/>
  <c r="AE20" i="177"/>
  <c r="AE21" i="177"/>
  <c r="AE72" i="177" s="1"/>
  <c r="AB21" i="177"/>
  <c r="AB72" i="177" s="1"/>
  <c r="G52" i="177"/>
  <c r="G65" i="177" s="1"/>
  <c r="I52" i="177"/>
  <c r="I65" i="177" s="1"/>
  <c r="O13" i="235"/>
  <c r="O12" i="235" s="1"/>
  <c r="H13" i="231"/>
  <c r="H13" i="230" s="1"/>
  <c r="G58" i="177"/>
  <c r="G64" i="177"/>
  <c r="P13" i="235"/>
  <c r="P12" i="235" s="1"/>
  <c r="S11" i="218"/>
  <c r="S9" i="218" s="1"/>
  <c r="S12" i="218" s="1"/>
  <c r="L13" i="231"/>
  <c r="I8" i="177"/>
  <c r="M13" i="231"/>
  <c r="M13" i="230" s="1"/>
  <c r="Q16" i="159"/>
  <c r="O13" i="231"/>
  <c r="Q26" i="159"/>
  <c r="AG158" i="159"/>
  <c r="P13" i="231"/>
  <c r="B14" i="231"/>
  <c r="AG16" i="159"/>
  <c r="G12" i="231"/>
  <c r="O26" i="159"/>
  <c r="AG26" i="159" s="1"/>
  <c r="O21" i="159"/>
  <c r="AG21" i="159" s="1"/>
  <c r="R21" i="159"/>
  <c r="AG15" i="159"/>
  <c r="M13" i="177"/>
  <c r="G20" i="177"/>
  <c r="H19" i="177"/>
  <c r="AB71" i="177"/>
  <c r="P21" i="159"/>
  <c r="L12" i="220"/>
  <c r="L17" i="220" s="1"/>
  <c r="S21" i="159"/>
  <c r="M12" i="220"/>
  <c r="M15" i="220" s="1"/>
  <c r="O122" i="159"/>
  <c r="U106" i="159"/>
  <c r="H107" i="190" s="1"/>
  <c r="O106" i="159"/>
  <c r="S113" i="159"/>
  <c r="Q115" i="159"/>
  <c r="W106" i="159"/>
  <c r="W116" i="159"/>
  <c r="P106" i="159"/>
  <c r="O107" i="159"/>
  <c r="P102" i="159"/>
  <c r="R110" i="159"/>
  <c r="V106" i="159"/>
  <c r="AD114" i="159"/>
  <c r="Z116" i="159"/>
  <c r="S111" i="159"/>
  <c r="AF111" i="159"/>
  <c r="W108" i="159"/>
  <c r="P101" i="159"/>
  <c r="Q116" i="159"/>
  <c r="Y115" i="159"/>
  <c r="AA106" i="159"/>
  <c r="P103" i="159"/>
  <c r="P105" i="159"/>
  <c r="U117" i="159"/>
  <c r="H118" i="190" s="1"/>
  <c r="AP27" i="172"/>
  <c r="S115" i="159"/>
  <c r="Y114" i="159"/>
  <c r="M81" i="218"/>
  <c r="Z106" i="159"/>
  <c r="T109" i="159"/>
  <c r="AB106" i="159"/>
  <c r="AA107" i="159"/>
  <c r="AE111" i="159"/>
  <c r="AC106" i="159"/>
  <c r="AB115" i="159"/>
  <c r="S121" i="159"/>
  <c r="Q112" i="159"/>
  <c r="AA49" i="172"/>
  <c r="T115" i="159"/>
  <c r="T121" i="159"/>
  <c r="AC113" i="159"/>
  <c r="W80" i="159"/>
  <c r="X107" i="159"/>
  <c r="Y103" i="159"/>
  <c r="X103" i="159"/>
  <c r="AE115" i="159"/>
  <c r="AD104" i="159"/>
  <c r="AB105" i="159"/>
  <c r="Z121" i="159"/>
  <c r="AA22" i="172"/>
  <c r="R101" i="159"/>
  <c r="O103" i="159"/>
  <c r="O114" i="159"/>
  <c r="W122" i="159"/>
  <c r="K159" i="218"/>
  <c r="K157" i="218" s="1"/>
  <c r="O108" i="159"/>
  <c r="X113" i="159"/>
  <c r="P117" i="159"/>
  <c r="P121" i="159"/>
  <c r="P116" i="159"/>
  <c r="O109" i="159"/>
  <c r="P109" i="159"/>
  <c r="O111" i="159"/>
  <c r="AB112" i="159"/>
  <c r="S103" i="159"/>
  <c r="T81" i="218"/>
  <c r="R108" i="159"/>
  <c r="P111" i="159"/>
  <c r="AR95" i="174"/>
  <c r="AL69" i="174"/>
  <c r="AO42" i="174"/>
  <c r="AP42" i="174"/>
  <c r="AQ42" i="174"/>
  <c r="AM42" i="174"/>
  <c r="AN42" i="174"/>
  <c r="AO21" i="174"/>
  <c r="AP21" i="174"/>
  <c r="AS38" i="172"/>
  <c r="U102" i="159"/>
  <c r="H103" i="190" s="1"/>
  <c r="W115" i="159"/>
  <c r="V115" i="159"/>
  <c r="G71" i="204"/>
  <c r="I71" i="204" s="1"/>
  <c r="D71" i="204"/>
  <c r="F71" i="204" s="1"/>
  <c r="G73" i="218"/>
  <c r="I73" i="218" s="1"/>
  <c r="D73" i="218"/>
  <c r="F73" i="218" s="1"/>
  <c r="Y111" i="159"/>
  <c r="Y112" i="159"/>
  <c r="AB117" i="159"/>
  <c r="AS6" i="172"/>
  <c r="U103" i="159"/>
  <c r="H104" i="190" s="1"/>
  <c r="AE105" i="159"/>
  <c r="P108" i="159"/>
  <c r="Y122" i="159"/>
  <c r="D74" i="219"/>
  <c r="F74" i="219" s="1"/>
  <c r="V103" i="159"/>
  <c r="AD107" i="159"/>
  <c r="Q108" i="159"/>
  <c r="AD116" i="159"/>
  <c r="Z122" i="159"/>
  <c r="X110" i="159"/>
  <c r="V114" i="159"/>
  <c r="AA23" i="172"/>
  <c r="O116" i="159"/>
  <c r="AA17" i="172"/>
  <c r="X101" i="159"/>
  <c r="AE108" i="159"/>
  <c r="AE117" i="159"/>
  <c r="O113" i="159"/>
  <c r="AS41" i="172"/>
  <c r="W136" i="218"/>
  <c r="AD112" i="159"/>
  <c r="Z134" i="174"/>
  <c r="AA44" i="172"/>
  <c r="Z31" i="174"/>
  <c r="Z34" i="174"/>
  <c r="AK27" i="172"/>
  <c r="AE116" i="159"/>
  <c r="X104" i="159"/>
  <c r="Z102" i="159"/>
  <c r="AS34" i="172"/>
  <c r="AA103" i="159"/>
  <c r="AS186" i="172"/>
  <c r="N67" i="204"/>
  <c r="N81" i="218"/>
  <c r="AB103" i="159"/>
  <c r="V121" i="159"/>
  <c r="V123" i="159"/>
  <c r="P122" i="159"/>
  <c r="AC122" i="159"/>
  <c r="AC115" i="159"/>
  <c r="AB122" i="159"/>
  <c r="AC103" i="159"/>
  <c r="W121" i="159"/>
  <c r="T110" i="159"/>
  <c r="Q122" i="159"/>
  <c r="AA105" i="159"/>
  <c r="AA41" i="172"/>
  <c r="X112" i="159"/>
  <c r="V113" i="159"/>
  <c r="X121" i="159"/>
  <c r="AE104" i="159"/>
  <c r="S102" i="159"/>
  <c r="Y116" i="159"/>
  <c r="AE112" i="159"/>
  <c r="T67" i="204"/>
  <c r="T27" i="172"/>
  <c r="AF115" i="159"/>
  <c r="AS31" i="172"/>
  <c r="T102" i="159"/>
  <c r="AA47" i="172"/>
  <c r="AR137" i="174"/>
  <c r="AC111" i="159"/>
  <c r="AC123" i="159"/>
  <c r="AA116" i="159"/>
  <c r="AA117" i="159"/>
  <c r="AA102" i="159"/>
  <c r="W111" i="159"/>
  <c r="X108" i="159"/>
  <c r="AB108" i="159"/>
  <c r="AN27" i="172"/>
  <c r="AB121" i="159"/>
  <c r="G76" i="204"/>
  <c r="I76" i="204" s="1"/>
  <c r="W76" i="204"/>
  <c r="D128" i="204"/>
  <c r="F128" i="204" s="1"/>
  <c r="W128" i="204"/>
  <c r="G128" i="204"/>
  <c r="I128" i="204" s="1"/>
  <c r="AA20" i="172"/>
  <c r="AA10" i="172"/>
  <c r="AD117" i="159"/>
  <c r="AD102" i="159"/>
  <c r="Z112" i="159"/>
  <c r="AA31" i="172"/>
  <c r="AS35" i="172"/>
  <c r="AD103" i="159"/>
  <c r="AS9" i="172"/>
  <c r="S107" i="159"/>
  <c r="AE107" i="159"/>
  <c r="AC101" i="159"/>
  <c r="P107" i="159"/>
  <c r="D72" i="220"/>
  <c r="F72" i="220" s="1"/>
  <c r="AR31" i="174"/>
  <c r="AC107" i="159"/>
  <c r="AF108" i="159"/>
  <c r="V51" i="172"/>
  <c r="U115" i="159"/>
  <c r="H116" i="190" s="1"/>
  <c r="AL196" i="172"/>
  <c r="Z103" i="159"/>
  <c r="Y108" i="159"/>
  <c r="AD121" i="159"/>
  <c r="S106" i="159"/>
  <c r="W51" i="172"/>
  <c r="U27" i="172"/>
  <c r="Y27" i="172"/>
  <c r="AA12" i="172"/>
  <c r="AA13" i="172"/>
  <c r="AA15" i="172"/>
  <c r="AA16" i="172"/>
  <c r="AS189" i="172"/>
  <c r="AS176" i="172"/>
  <c r="G71" i="221"/>
  <c r="I71" i="221" s="1"/>
  <c r="Z110" i="159"/>
  <c r="AS7" i="172"/>
  <c r="AD115" i="159"/>
  <c r="AA34" i="172"/>
  <c r="AS44" i="172"/>
  <c r="AA18" i="172"/>
  <c r="AS19" i="172"/>
  <c r="AS21" i="172"/>
  <c r="AI51" i="172"/>
  <c r="AS36" i="172"/>
  <c r="AS177" i="172"/>
  <c r="W127" i="204"/>
  <c r="G127" i="204"/>
  <c r="I127" i="204" s="1"/>
  <c r="AC108" i="159"/>
  <c r="AS16" i="172"/>
  <c r="U123" i="159"/>
  <c r="H124" i="190" s="1"/>
  <c r="AK51" i="172"/>
  <c r="D127" i="204"/>
  <c r="F127" i="204" s="1"/>
  <c r="AS20" i="172"/>
  <c r="V111" i="159"/>
  <c r="AA21" i="172"/>
  <c r="AS22" i="172"/>
  <c r="S114" i="159"/>
  <c r="AJ51" i="172"/>
  <c r="AA36" i="172"/>
  <c r="K134" i="218"/>
  <c r="Z29" i="174"/>
  <c r="AR142" i="174"/>
  <c r="AB107" i="159"/>
  <c r="AA108" i="159"/>
  <c r="Y106" i="159"/>
  <c r="AS182" i="172"/>
  <c r="P104" i="159"/>
  <c r="AF107" i="159"/>
  <c r="AA101" i="159"/>
  <c r="AM196" i="172"/>
  <c r="T101" i="159"/>
  <c r="Z27" i="172"/>
  <c r="AF101" i="159"/>
  <c r="W27" i="172"/>
  <c r="Q103" i="159"/>
  <c r="S27" i="172"/>
  <c r="V117" i="159"/>
  <c r="AS45" i="172"/>
  <c r="AE103" i="159"/>
  <c r="AA111" i="159"/>
  <c r="AS25" i="172"/>
  <c r="AS33" i="172"/>
  <c r="D161" i="218"/>
  <c r="F161" i="218" s="1"/>
  <c r="W161" i="218"/>
  <c r="AA112" i="159"/>
  <c r="O27" i="172"/>
  <c r="T103" i="159"/>
  <c r="Z105" i="159"/>
  <c r="AB111" i="159"/>
  <c r="AA24" i="172"/>
  <c r="AA25" i="172"/>
  <c r="AA33" i="172"/>
  <c r="AS42" i="172"/>
  <c r="W113" i="159"/>
  <c r="AS179" i="172"/>
  <c r="AA14" i="172"/>
  <c r="P51" i="172"/>
  <c r="AS30" i="172"/>
  <c r="AB116" i="159"/>
  <c r="AA42" i="172"/>
  <c r="G136" i="218"/>
  <c r="I136" i="218" s="1"/>
  <c r="AG74" i="159"/>
  <c r="AE101" i="159"/>
  <c r="AA7" i="172"/>
  <c r="X117" i="159"/>
  <c r="AS187" i="172"/>
  <c r="AR28" i="174"/>
  <c r="Y117" i="159"/>
  <c r="V116" i="159"/>
  <c r="Z114" i="159"/>
  <c r="AS39" i="172"/>
  <c r="AS181" i="172"/>
  <c r="Z7" i="174"/>
  <c r="Z21" i="174"/>
  <c r="Z137" i="174"/>
  <c r="Z108" i="159"/>
  <c r="AA115" i="159"/>
  <c r="AA39" i="172"/>
  <c r="AS40" i="172"/>
  <c r="AB113" i="159"/>
  <c r="AR7" i="174"/>
  <c r="AR134" i="174"/>
  <c r="Q80" i="159"/>
  <c r="AG76" i="159"/>
  <c r="V101" i="159"/>
  <c r="D74" i="221"/>
  <c r="F74" i="221" s="1"/>
  <c r="AG75" i="159"/>
  <c r="Z140" i="174"/>
  <c r="AR140" i="174"/>
  <c r="V80" i="159"/>
  <c r="AP37" i="174"/>
  <c r="AH37" i="174"/>
  <c r="AG37" i="174"/>
  <c r="AF37" i="174"/>
  <c r="AN37" i="174"/>
  <c r="AQ37" i="174"/>
  <c r="AO37" i="174"/>
  <c r="AK37" i="174"/>
  <c r="AI37" i="174"/>
  <c r="AM37" i="174"/>
  <c r="AL37" i="174"/>
  <c r="AJ37" i="174"/>
  <c r="P48" i="174"/>
  <c r="R48" i="174"/>
  <c r="Q48" i="174"/>
  <c r="S48" i="174"/>
  <c r="N48" i="174"/>
  <c r="O48" i="174"/>
  <c r="AK72" i="174"/>
  <c r="AJ72" i="174"/>
  <c r="AI72" i="174"/>
  <c r="AG72" i="174"/>
  <c r="AF72" i="174"/>
  <c r="AM72" i="174"/>
  <c r="AO72" i="174"/>
  <c r="AQ72" i="174"/>
  <c r="AP72" i="174"/>
  <c r="AL72" i="174"/>
  <c r="AH72" i="174"/>
  <c r="AN72" i="174"/>
  <c r="B62" i="174"/>
  <c r="B63" i="174" s="1"/>
  <c r="B64" i="174"/>
  <c r="B66" i="174" s="1"/>
  <c r="T27" i="174"/>
  <c r="S27" i="174"/>
  <c r="R27" i="174"/>
  <c r="W27" i="174"/>
  <c r="V27" i="174"/>
  <c r="N27" i="174"/>
  <c r="Y27" i="174"/>
  <c r="X27" i="174"/>
  <c r="Q27" i="174"/>
  <c r="U27" i="174"/>
  <c r="V117" i="174"/>
  <c r="Y117" i="174"/>
  <c r="R117" i="174"/>
  <c r="O117" i="174"/>
  <c r="N117" i="174"/>
  <c r="W117" i="174"/>
  <c r="S117" i="174"/>
  <c r="X117" i="174"/>
  <c r="U117" i="174"/>
  <c r="T117" i="174"/>
  <c r="Q117" i="174"/>
  <c r="AI14" i="174"/>
  <c r="AO14" i="174"/>
  <c r="AN14" i="174"/>
  <c r="AM14" i="174"/>
  <c r="AF14" i="174"/>
  <c r="AL14" i="174"/>
  <c r="AK14" i="174"/>
  <c r="AP14" i="174"/>
  <c r="AH14" i="174"/>
  <c r="AR49" i="174"/>
  <c r="P117" i="174"/>
  <c r="AG14" i="174"/>
  <c r="Z49" i="174"/>
  <c r="S144" i="174"/>
  <c r="S150" i="174" s="1"/>
  <c r="Q144" i="174"/>
  <c r="Y144" i="174"/>
  <c r="X144" i="174"/>
  <c r="T144" i="174"/>
  <c r="T150" i="174" s="1"/>
  <c r="R144" i="174"/>
  <c r="P144" i="174"/>
  <c r="O144" i="174"/>
  <c r="N144" i="174"/>
  <c r="W144" i="174"/>
  <c r="V144" i="174"/>
  <c r="U144" i="174"/>
  <c r="Z120" i="174"/>
  <c r="AK76" i="174"/>
  <c r="AJ76" i="174"/>
  <c r="AI76" i="174"/>
  <c r="AH76" i="174"/>
  <c r="AG76" i="174"/>
  <c r="AN76" i="174"/>
  <c r="AQ76" i="174"/>
  <c r="AP76" i="174"/>
  <c r="AO76" i="174"/>
  <c r="AM76" i="174"/>
  <c r="AF76" i="174"/>
  <c r="AF15" i="174"/>
  <c r="AM15" i="174"/>
  <c r="AL15" i="174"/>
  <c r="AK15" i="174"/>
  <c r="AP15" i="174"/>
  <c r="AO15" i="174"/>
  <c r="AH15" i="174"/>
  <c r="AG15" i="174"/>
  <c r="AQ15" i="174"/>
  <c r="AN15" i="174"/>
  <c r="Z77" i="174"/>
  <c r="AI15" i="174"/>
  <c r="E111" i="174"/>
  <c r="U82" i="174"/>
  <c r="T82" i="174"/>
  <c r="S82" i="174"/>
  <c r="R82" i="174"/>
  <c r="P82" i="174"/>
  <c r="O82" i="174"/>
  <c r="O87" i="174" s="1"/>
  <c r="W82" i="174"/>
  <c r="V82" i="174"/>
  <c r="Q82" i="174"/>
  <c r="N82" i="174"/>
  <c r="Y82" i="174"/>
  <c r="X82" i="174"/>
  <c r="AK6" i="174"/>
  <c r="AH6" i="174"/>
  <c r="AG6" i="174"/>
  <c r="AF6" i="174"/>
  <c r="AO6" i="174"/>
  <c r="AN6" i="174"/>
  <c r="AM6" i="174"/>
  <c r="AQ6" i="174"/>
  <c r="AP6" i="174"/>
  <c r="AJ6" i="174"/>
  <c r="AL6" i="174"/>
  <c r="X40" i="174"/>
  <c r="Q40" i="174"/>
  <c r="P40" i="174"/>
  <c r="T40" i="174"/>
  <c r="S40" i="174"/>
  <c r="R40" i="174"/>
  <c r="W40" i="174"/>
  <c r="V40" i="174"/>
  <c r="O40" i="174"/>
  <c r="U40" i="174"/>
  <c r="N40" i="174"/>
  <c r="Z8" i="174"/>
  <c r="AH36" i="174"/>
  <c r="AG36" i="174"/>
  <c r="AL36" i="174"/>
  <c r="AK36" i="174"/>
  <c r="AJ36" i="174"/>
  <c r="AO36" i="174"/>
  <c r="AN36" i="174"/>
  <c r="AI36" i="174"/>
  <c r="AF36" i="174"/>
  <c r="AQ36" i="174"/>
  <c r="AO94" i="174"/>
  <c r="AK94" i="174"/>
  <c r="AJ94" i="174"/>
  <c r="AI94" i="174"/>
  <c r="AQ94" i="174"/>
  <c r="AP94" i="174"/>
  <c r="AN94" i="174"/>
  <c r="AM94" i="174"/>
  <c r="AL94" i="174"/>
  <c r="AH94" i="174"/>
  <c r="AG94" i="174"/>
  <c r="AF94" i="174"/>
  <c r="AR8" i="174"/>
  <c r="Z36" i="174"/>
  <c r="AM36" i="174"/>
  <c r="AR54" i="174"/>
  <c r="Z84" i="174"/>
  <c r="Z105" i="174"/>
  <c r="Z133" i="174"/>
  <c r="AR133" i="174"/>
  <c r="AQ9" i="174"/>
  <c r="AP9" i="174"/>
  <c r="AO9" i="174"/>
  <c r="AN9" i="174"/>
  <c r="AH9" i="174"/>
  <c r="AG9" i="174"/>
  <c r="AF9" i="174"/>
  <c r="AM9" i="174"/>
  <c r="U19" i="174"/>
  <c r="T19" i="174"/>
  <c r="S19" i="174"/>
  <c r="R19" i="174"/>
  <c r="P19" i="174"/>
  <c r="O19" i="174"/>
  <c r="Y19" i="174"/>
  <c r="W19" i="174"/>
  <c r="Z32" i="174"/>
  <c r="Z42" i="174"/>
  <c r="AL51" i="174"/>
  <c r="AL66" i="174" s="1"/>
  <c r="AQ51" i="174"/>
  <c r="AF51" i="174"/>
  <c r="AP51" i="174"/>
  <c r="AP66" i="174" s="1"/>
  <c r="AO51" i="174"/>
  <c r="AO66" i="174" s="1"/>
  <c r="AH51" i="174"/>
  <c r="AK51" i="174"/>
  <c r="AJ51" i="174"/>
  <c r="AQ103" i="174"/>
  <c r="AH103" i="174"/>
  <c r="AG103" i="174"/>
  <c r="AF103" i="174"/>
  <c r="AN103" i="174"/>
  <c r="AJ103" i="174"/>
  <c r="AI103" i="174"/>
  <c r="AM103" i="174"/>
  <c r="AL103" i="174"/>
  <c r="AK103" i="174"/>
  <c r="AP103" i="174"/>
  <c r="AI9" i="174"/>
  <c r="S12" i="174"/>
  <c r="T12" i="174"/>
  <c r="R12" i="174"/>
  <c r="Q12" i="174"/>
  <c r="V12" i="174"/>
  <c r="U12" i="174"/>
  <c r="O12" i="174"/>
  <c r="X12" i="174"/>
  <c r="P12" i="174"/>
  <c r="N19" i="174"/>
  <c r="AG51" i="174"/>
  <c r="AR59" i="174"/>
  <c r="AR84" i="174"/>
  <c r="AO103" i="174"/>
  <c r="Z112" i="174"/>
  <c r="Z122" i="174"/>
  <c r="AP123" i="174"/>
  <c r="AJ123" i="174"/>
  <c r="AQ123" i="174"/>
  <c r="AI123" i="174"/>
  <c r="AM123" i="174"/>
  <c r="AL123" i="174"/>
  <c r="AG123" i="174"/>
  <c r="AO123" i="174"/>
  <c r="AN123" i="174"/>
  <c r="AH123" i="174"/>
  <c r="AF123" i="174"/>
  <c r="Z11" i="174"/>
  <c r="X54" i="174"/>
  <c r="Q54" i="174"/>
  <c r="P54" i="174"/>
  <c r="T54" i="174"/>
  <c r="W54" i="174"/>
  <c r="V54" i="174"/>
  <c r="U54" i="174"/>
  <c r="Y54" i="174"/>
  <c r="S54" i="174"/>
  <c r="N54" i="174"/>
  <c r="AR73" i="174"/>
  <c r="Z80" i="174"/>
  <c r="AR101" i="174"/>
  <c r="AK123" i="174"/>
  <c r="Z146" i="174"/>
  <c r="AK12" i="174"/>
  <c r="AM12" i="174"/>
  <c r="AL12" i="174"/>
  <c r="AJ12" i="174"/>
  <c r="AI12" i="174"/>
  <c r="AH12" i="174"/>
  <c r="AP12" i="174"/>
  <c r="AO12" i="174"/>
  <c r="AN12" i="174"/>
  <c r="AG12" i="174"/>
  <c r="AI66" i="174"/>
  <c r="Z51" i="174"/>
  <c r="O54" i="174"/>
  <c r="AR99" i="174"/>
  <c r="Z101" i="174"/>
  <c r="AR121" i="174"/>
  <c r="AR147" i="174"/>
  <c r="A8" i="174"/>
  <c r="A9" i="174" s="1"/>
  <c r="A10" i="174" s="1"/>
  <c r="A11" i="174" s="1"/>
  <c r="A12" i="174" s="1"/>
  <c r="A13" i="174" s="1"/>
  <c r="A14" i="174" s="1"/>
  <c r="A15" i="174" s="1"/>
  <c r="A16" i="174" s="1"/>
  <c r="A17" i="174" s="1"/>
  <c r="A18" i="174" s="1"/>
  <c r="A19" i="174" s="1"/>
  <c r="A20" i="174" s="1"/>
  <c r="A21" i="174" s="1"/>
  <c r="A22" i="174" s="1"/>
  <c r="F28" i="174"/>
  <c r="X9" i="174"/>
  <c r="W9" i="174"/>
  <c r="V9" i="174"/>
  <c r="P9" i="174"/>
  <c r="T9" i="174"/>
  <c r="S9" i="174"/>
  <c r="N9" i="174"/>
  <c r="Y9" i="174"/>
  <c r="Z10" i="174"/>
  <c r="AQ12" i="174"/>
  <c r="AQ27" i="174"/>
  <c r="AL27" i="174"/>
  <c r="AK27" i="174"/>
  <c r="AJ27" i="174"/>
  <c r="AG27" i="174"/>
  <c r="AF27" i="174"/>
  <c r="AP27" i="174"/>
  <c r="AN27" i="174"/>
  <c r="AL41" i="174"/>
  <c r="AH41" i="174"/>
  <c r="AG41" i="174"/>
  <c r="AK41" i="174"/>
  <c r="AN41" i="174"/>
  <c r="AM41" i="174"/>
  <c r="AJ41" i="174"/>
  <c r="AQ41" i="174"/>
  <c r="AP41" i="174"/>
  <c r="AI41" i="174"/>
  <c r="Z52" i="174"/>
  <c r="Z53" i="174"/>
  <c r="R54" i="174"/>
  <c r="Z73" i="174"/>
  <c r="AR79" i="174"/>
  <c r="Z95" i="174"/>
  <c r="S96" i="174"/>
  <c r="P96" i="174"/>
  <c r="O96" i="174"/>
  <c r="N96" i="174"/>
  <c r="W96" i="174"/>
  <c r="Y96" i="174"/>
  <c r="R96" i="174"/>
  <c r="T96" i="174"/>
  <c r="Q96" i="174"/>
  <c r="V96" i="174"/>
  <c r="AR100" i="174"/>
  <c r="O9" i="174"/>
  <c r="AQ16" i="174"/>
  <c r="AK16" i="174"/>
  <c r="AJ16" i="174"/>
  <c r="AI16" i="174"/>
  <c r="AG16" i="174"/>
  <c r="AF16" i="174"/>
  <c r="AH16" i="174"/>
  <c r="AP16" i="174"/>
  <c r="AH27" i="174"/>
  <c r="AF41" i="174"/>
  <c r="Z43" i="174"/>
  <c r="V69" i="174"/>
  <c r="U69" i="174"/>
  <c r="Y69" i="174"/>
  <c r="X69" i="174"/>
  <c r="W69" i="174"/>
  <c r="W87" i="174" s="1"/>
  <c r="U96" i="174"/>
  <c r="Z141" i="174"/>
  <c r="Z15" i="174"/>
  <c r="Z28" i="174"/>
  <c r="AR60" i="174"/>
  <c r="S61" i="174"/>
  <c r="Q61" i="174"/>
  <c r="V61" i="174"/>
  <c r="U61" i="174"/>
  <c r="Y61" i="174"/>
  <c r="P61" i="174"/>
  <c r="W61" i="174"/>
  <c r="T61" i="174"/>
  <c r="Z79" i="174"/>
  <c r="AM82" i="174"/>
  <c r="AN82" i="174"/>
  <c r="AL82" i="174"/>
  <c r="AK82" i="174"/>
  <c r="AP82" i="174"/>
  <c r="AO82" i="174"/>
  <c r="AG82" i="174"/>
  <c r="AI82" i="174"/>
  <c r="AH82" i="174"/>
  <c r="AP104" i="174"/>
  <c r="AH104" i="174"/>
  <c r="AG104" i="174"/>
  <c r="AF104" i="174"/>
  <c r="AN104" i="174"/>
  <c r="AQ104" i="174"/>
  <c r="AO104" i="174"/>
  <c r="AM104" i="174"/>
  <c r="N61" i="174"/>
  <c r="AK69" i="174"/>
  <c r="AJ69" i="174"/>
  <c r="AI69" i="174"/>
  <c r="AP69" i="174"/>
  <c r="AO69" i="174"/>
  <c r="AF69" i="174"/>
  <c r="AQ69" i="174"/>
  <c r="AN69" i="174"/>
  <c r="AR77" i="174"/>
  <c r="AF82" i="174"/>
  <c r="AI104" i="174"/>
  <c r="AL111" i="174"/>
  <c r="AJ111" i="174"/>
  <c r="AI111" i="174"/>
  <c r="AH111" i="174"/>
  <c r="AQ111" i="174"/>
  <c r="AQ129" i="174" s="1"/>
  <c r="AO111" i="174"/>
  <c r="AN111" i="174"/>
  <c r="AP111" i="174"/>
  <c r="AM111" i="174"/>
  <c r="AK111" i="174"/>
  <c r="AG111" i="174"/>
  <c r="AJ127" i="174"/>
  <c r="AH127" i="174"/>
  <c r="AP127" i="174"/>
  <c r="AO127" i="174"/>
  <c r="AI127" i="174"/>
  <c r="AG127" i="174"/>
  <c r="AF127" i="174"/>
  <c r="AM127" i="174"/>
  <c r="AK127" i="174"/>
  <c r="AN127" i="174"/>
  <c r="AL127" i="174"/>
  <c r="S33" i="174"/>
  <c r="Y33" i="174"/>
  <c r="X33" i="174"/>
  <c r="Q33" i="174"/>
  <c r="V33" i="174"/>
  <c r="U33" i="174"/>
  <c r="AR52" i="174"/>
  <c r="P62" i="174"/>
  <c r="N62" i="174"/>
  <c r="U62" i="174"/>
  <c r="T62" i="174"/>
  <c r="X62" i="174"/>
  <c r="V62" i="174"/>
  <c r="Q62" i="174"/>
  <c r="O62" i="174"/>
  <c r="T75" i="174"/>
  <c r="S75" i="174"/>
  <c r="R75" i="174"/>
  <c r="R87" i="174" s="1"/>
  <c r="X75" i="174"/>
  <c r="O75" i="174"/>
  <c r="V75" i="174"/>
  <c r="U75" i="174"/>
  <c r="Z83" i="174"/>
  <c r="AR116" i="174"/>
  <c r="Z147" i="174"/>
  <c r="AR10" i="174"/>
  <c r="AO17" i="174"/>
  <c r="AK17" i="174"/>
  <c r="AJ17" i="174"/>
  <c r="AI17" i="174"/>
  <c r="AL17" i="174"/>
  <c r="AH17" i="174"/>
  <c r="AP17" i="174"/>
  <c r="AN18" i="174"/>
  <c r="AL18" i="174"/>
  <c r="AK18" i="174"/>
  <c r="AJ18" i="174"/>
  <c r="AM18" i="174"/>
  <c r="AI18" i="174"/>
  <c r="AG18" i="174"/>
  <c r="V35" i="174"/>
  <c r="R35" i="174"/>
  <c r="T35" i="174"/>
  <c r="S35" i="174"/>
  <c r="Q35" i="174"/>
  <c r="W35" i="174"/>
  <c r="U35" i="174"/>
  <c r="O35" i="174"/>
  <c r="AR53" i="174"/>
  <c r="Z58" i="174"/>
  <c r="Z59" i="174"/>
  <c r="Z71" i="174"/>
  <c r="AR71" i="174"/>
  <c r="Z74" i="174"/>
  <c r="AR74" i="174"/>
  <c r="AK96" i="174"/>
  <c r="AI96" i="174"/>
  <c r="AH96" i="174"/>
  <c r="AG96" i="174"/>
  <c r="AP96" i="174"/>
  <c r="AJ96" i="174"/>
  <c r="AM96" i="174"/>
  <c r="AL96" i="174"/>
  <c r="AF96" i="174"/>
  <c r="AQ96" i="174"/>
  <c r="AK144" i="174"/>
  <c r="AI144" i="174"/>
  <c r="AQ144" i="174"/>
  <c r="AP144" i="174"/>
  <c r="AP150" i="174" s="1"/>
  <c r="AO144" i="174"/>
  <c r="AN144" i="174"/>
  <c r="AF144" i="174"/>
  <c r="AG144" i="174"/>
  <c r="AM144" i="174"/>
  <c r="AL144" i="174"/>
  <c r="AR11" i="174"/>
  <c r="P17" i="174"/>
  <c r="AI20" i="174"/>
  <c r="AI22" i="174"/>
  <c r="AO22" i="174"/>
  <c r="AN22" i="174"/>
  <c r="AM22" i="174"/>
  <c r="AF22" i="174"/>
  <c r="AJ33" i="174"/>
  <c r="AQ33" i="174"/>
  <c r="AP33" i="174"/>
  <c r="AI33" i="174"/>
  <c r="N39" i="174"/>
  <c r="S39" i="174"/>
  <c r="Y39" i="174"/>
  <c r="R39" i="174"/>
  <c r="AM66" i="174"/>
  <c r="AR70" i="174"/>
  <c r="AL83" i="174"/>
  <c r="AN83" i="174"/>
  <c r="AM83" i="174"/>
  <c r="AK83" i="174"/>
  <c r="AH83" i="174"/>
  <c r="AG83" i="174"/>
  <c r="AF83" i="174"/>
  <c r="AK85" i="174"/>
  <c r="AO85" i="174"/>
  <c r="AN85" i="174"/>
  <c r="AM85" i="174"/>
  <c r="AI85" i="174"/>
  <c r="AH85" i="174"/>
  <c r="AP85" i="174"/>
  <c r="AQ85" i="174"/>
  <c r="AO106" i="174"/>
  <c r="AI106" i="174"/>
  <c r="AH106" i="174"/>
  <c r="AG106" i="174"/>
  <c r="AP106" i="174"/>
  <c r="AK106" i="174"/>
  <c r="AJ106" i="174"/>
  <c r="AN106" i="174"/>
  <c r="AR120" i="174"/>
  <c r="Z121" i="174"/>
  <c r="Z16" i="174"/>
  <c r="AL30" i="174"/>
  <c r="AQ30" i="174"/>
  <c r="AO30" i="174"/>
  <c r="AN30" i="174"/>
  <c r="AM30" i="174"/>
  <c r="AF30" i="174"/>
  <c r="U81" i="174"/>
  <c r="T81" i="174"/>
  <c r="S81" i="174"/>
  <c r="N81" i="174"/>
  <c r="Y81" i="174"/>
  <c r="X81" i="174"/>
  <c r="O81" i="174"/>
  <c r="Z119" i="174"/>
  <c r="R13" i="174"/>
  <c r="U13" i="174"/>
  <c r="T13" i="174"/>
  <c r="S13" i="174"/>
  <c r="V18" i="174"/>
  <c r="S18" i="174"/>
  <c r="R18" i="174"/>
  <c r="Q18" i="174"/>
  <c r="AJ22" i="174"/>
  <c r="AG30" i="174"/>
  <c r="AH33" i="174"/>
  <c r="Z38" i="174"/>
  <c r="Q39" i="174"/>
  <c r="P81" i="174"/>
  <c r="AO83" i="174"/>
  <c r="AJ85" i="174"/>
  <c r="AG90" i="174"/>
  <c r="AO90" i="174"/>
  <c r="AN90" i="174"/>
  <c r="AM90" i="174"/>
  <c r="AH90" i="174"/>
  <c r="AF90" i="174"/>
  <c r="AK90" i="174"/>
  <c r="AQ90" i="174"/>
  <c r="AP90" i="174"/>
  <c r="AL90" i="174"/>
  <c r="AM106" i="174"/>
  <c r="AR112" i="174"/>
  <c r="AR141" i="174"/>
  <c r="T6" i="174"/>
  <c r="P6" i="174"/>
  <c r="O6" i="174"/>
  <c r="N6" i="174"/>
  <c r="W6" i="174"/>
  <c r="X13" i="174"/>
  <c r="X18" i="174"/>
  <c r="A31" i="174"/>
  <c r="AH48" i="174"/>
  <c r="AH66" i="174" s="1"/>
  <c r="AK48" i="174"/>
  <c r="AJ48" i="174"/>
  <c r="AJ66" i="174" s="1"/>
  <c r="AN48" i="174"/>
  <c r="AN66" i="174" s="1"/>
  <c r="AQ48" i="174"/>
  <c r="AG48" i="174"/>
  <c r="AR50" i="174"/>
  <c r="Z94" i="174"/>
  <c r="AR105" i="174"/>
  <c r="Z116" i="174"/>
  <c r="X17" i="174"/>
  <c r="S17" i="174"/>
  <c r="R17" i="174"/>
  <c r="Q17" i="174"/>
  <c r="AL20" i="174"/>
  <c r="AO20" i="174"/>
  <c r="AN20" i="174"/>
  <c r="AM20" i="174"/>
  <c r="AF20" i="174"/>
  <c r="AR57" i="174"/>
  <c r="U30" i="174"/>
  <c r="Y30" i="174"/>
  <c r="AN35" i="174"/>
  <c r="AK35" i="174"/>
  <c r="AQ43" i="174"/>
  <c r="AP43" i="174"/>
  <c r="AF43" i="174"/>
  <c r="U55" i="174"/>
  <c r="O55" i="174"/>
  <c r="N55" i="174"/>
  <c r="R55" i="174"/>
  <c r="Z57" i="174"/>
  <c r="V60" i="174"/>
  <c r="T60" i="174"/>
  <c r="W60" i="174"/>
  <c r="U60" i="174"/>
  <c r="AR80" i="174"/>
  <c r="Y93" i="174"/>
  <c r="S93" i="174"/>
  <c r="S108" i="174" s="1"/>
  <c r="R93" i="174"/>
  <c r="Q93" i="174"/>
  <c r="O93" i="174"/>
  <c r="N93" i="174"/>
  <c r="U93" i="174"/>
  <c r="R97" i="174"/>
  <c r="Q97" i="174"/>
  <c r="P97" i="174"/>
  <c r="O97" i="174"/>
  <c r="X97" i="174"/>
  <c r="T97" i="174"/>
  <c r="S97" i="174"/>
  <c r="W97" i="174"/>
  <c r="Q98" i="174"/>
  <c r="S98" i="174"/>
  <c r="R98" i="174"/>
  <c r="P98" i="174"/>
  <c r="Y98" i="174"/>
  <c r="N98" i="174"/>
  <c r="AO135" i="174"/>
  <c r="AM135" i="174"/>
  <c r="AG135" i="174"/>
  <c r="AF135" i="174"/>
  <c r="AL135" i="174"/>
  <c r="AK135" i="174"/>
  <c r="AJ135" i="174"/>
  <c r="Z142" i="174"/>
  <c r="AL13" i="174"/>
  <c r="T14" i="174"/>
  <c r="AK19" i="174"/>
  <c r="S20" i="174"/>
  <c r="AL21" i="174"/>
  <c r="T22" i="174"/>
  <c r="S30" i="174"/>
  <c r="AL35" i="174"/>
  <c r="Z37" i="174"/>
  <c r="AP40" i="174"/>
  <c r="AJ40" i="174"/>
  <c r="AI40" i="174"/>
  <c r="AL43" i="174"/>
  <c r="W55" i="174"/>
  <c r="S60" i="174"/>
  <c r="AM75" i="174"/>
  <c r="AL75" i="174"/>
  <c r="AK75" i="174"/>
  <c r="AG75" i="174"/>
  <c r="AJ97" i="174"/>
  <c r="AK97" i="174"/>
  <c r="AI97" i="174"/>
  <c r="AH97" i="174"/>
  <c r="AQ97" i="174"/>
  <c r="AP97" i="174"/>
  <c r="X98" i="174"/>
  <c r="AR132" i="174"/>
  <c r="Z139" i="174"/>
  <c r="AM13" i="174"/>
  <c r="U14" i="174"/>
  <c r="AL19" i="174"/>
  <c r="U20" i="174"/>
  <c r="AM21" i="174"/>
  <c r="U22" i="174"/>
  <c r="T30" i="174"/>
  <c r="AM35" i="174"/>
  <c r="T41" i="174"/>
  <c r="O41" i="174"/>
  <c r="N41" i="174"/>
  <c r="R41" i="174"/>
  <c r="AM43" i="174"/>
  <c r="X55" i="174"/>
  <c r="X60" i="174"/>
  <c r="X64" i="174"/>
  <c r="V64" i="174"/>
  <c r="R64" i="174"/>
  <c r="Q64" i="174"/>
  <c r="U64" i="174"/>
  <c r="W106" i="174"/>
  <c r="P106" i="174"/>
  <c r="O106" i="174"/>
  <c r="N106" i="174"/>
  <c r="V106" i="174"/>
  <c r="Q106" i="174"/>
  <c r="X123" i="174"/>
  <c r="R123" i="174"/>
  <c r="W123" i="174"/>
  <c r="V123" i="174"/>
  <c r="U123" i="174"/>
  <c r="N123" i="174"/>
  <c r="T123" i="174"/>
  <c r="P123" i="174"/>
  <c r="R127" i="174"/>
  <c r="P127" i="174"/>
  <c r="X127" i="174"/>
  <c r="W127" i="174"/>
  <c r="V127" i="174"/>
  <c r="U127" i="174"/>
  <c r="T127" i="174"/>
  <c r="N127" i="174"/>
  <c r="Z136" i="174"/>
  <c r="AN13" i="174"/>
  <c r="V14" i="174"/>
  <c r="AN19" i="174"/>
  <c r="V20" i="174"/>
  <c r="AN21" i="174"/>
  <c r="V22" i="174"/>
  <c r="V30" i="174"/>
  <c r="AO35" i="174"/>
  <c r="AJ38" i="174"/>
  <c r="AN38" i="174"/>
  <c r="AF39" i="174"/>
  <c r="AL39" i="174"/>
  <c r="P41" i="174"/>
  <c r="AN43" i="174"/>
  <c r="Y55" i="174"/>
  <c r="Y60" i="174"/>
  <c r="N64" i="174"/>
  <c r="O90" i="174"/>
  <c r="V90" i="174"/>
  <c r="U90" i="174"/>
  <c r="T90" i="174"/>
  <c r="N90" i="174"/>
  <c r="AP93" i="174"/>
  <c r="AK93" i="174"/>
  <c r="AJ93" i="174"/>
  <c r="AI93" i="174"/>
  <c r="AM93" i="174"/>
  <c r="AL93" i="174"/>
  <c r="AQ93" i="174"/>
  <c r="R106" i="174"/>
  <c r="AR117" i="174"/>
  <c r="O123" i="174"/>
  <c r="O127" i="174"/>
  <c r="AR146" i="174"/>
  <c r="AR58" i="174"/>
  <c r="X124" i="174"/>
  <c r="V124" i="174"/>
  <c r="P124" i="174"/>
  <c r="S124" i="174"/>
  <c r="Z114" i="174"/>
  <c r="T118" i="174"/>
  <c r="Y118" i="174"/>
  <c r="Y129" i="174" s="1"/>
  <c r="R118" i="174"/>
  <c r="AR126" i="174"/>
  <c r="AI138" i="174"/>
  <c r="AG138" i="174"/>
  <c r="AO138" i="174"/>
  <c r="AN138" i="174"/>
  <c r="AL138" i="174"/>
  <c r="X51" i="174"/>
  <c r="X66" i="174" s="1"/>
  <c r="AR78" i="174"/>
  <c r="AO81" i="174"/>
  <c r="AM81" i="174"/>
  <c r="AL81" i="174"/>
  <c r="AK81" i="174"/>
  <c r="T111" i="174"/>
  <c r="Q111" i="174"/>
  <c r="P111" i="174"/>
  <c r="O111" i="174"/>
  <c r="X111" i="174"/>
  <c r="V118" i="174"/>
  <c r="AQ138" i="174"/>
  <c r="Q145" i="174"/>
  <c r="O145" i="174"/>
  <c r="W145" i="174"/>
  <c r="V145" i="174"/>
  <c r="R145" i="174"/>
  <c r="AR29" i="174"/>
  <c r="AF42" i="174"/>
  <c r="Y51" i="174"/>
  <c r="T56" i="174"/>
  <c r="R56" i="174"/>
  <c r="Z56" i="174" s="1"/>
  <c r="S76" i="174"/>
  <c r="R76" i="174"/>
  <c r="Q76" i="174"/>
  <c r="Z78" i="174"/>
  <c r="AF81" i="174"/>
  <c r="S85" i="174"/>
  <c r="Z85" i="174" s="1"/>
  <c r="V85" i="174"/>
  <c r="U85" i="174"/>
  <c r="T85" i="174"/>
  <c r="N111" i="174"/>
  <c r="W118" i="174"/>
  <c r="AR119" i="174"/>
  <c r="Q138" i="174"/>
  <c r="O138" i="174"/>
  <c r="W138" i="174"/>
  <c r="V138" i="174"/>
  <c r="Y138" i="174"/>
  <c r="X138" i="174"/>
  <c r="N138" i="174"/>
  <c r="AR143" i="174"/>
  <c r="N145" i="174"/>
  <c r="AQ148" i="174"/>
  <c r="AO148" i="174"/>
  <c r="AI148" i="174"/>
  <c r="AH148" i="174"/>
  <c r="AH150" i="174" s="1"/>
  <c r="AL148" i="174"/>
  <c r="AK148" i="174"/>
  <c r="AJ148" i="174"/>
  <c r="AR122" i="174"/>
  <c r="AR136" i="174"/>
  <c r="AP124" i="174"/>
  <c r="AN124" i="174"/>
  <c r="AH124" i="174"/>
  <c r="AR115" i="174"/>
  <c r="W135" i="174"/>
  <c r="U135" i="174"/>
  <c r="O135" i="174"/>
  <c r="N135" i="174"/>
  <c r="Z143" i="174"/>
  <c r="AI145" i="174"/>
  <c r="AG145" i="174"/>
  <c r="AO145" i="174"/>
  <c r="AN145" i="174"/>
  <c r="Y148" i="174"/>
  <c r="W148" i="174"/>
  <c r="Q148" i="174"/>
  <c r="P148" i="174"/>
  <c r="Z102" i="174"/>
  <c r="AG114" i="174"/>
  <c r="AR114" i="174" s="1"/>
  <c r="Z115" i="174"/>
  <c r="AG124" i="174"/>
  <c r="P135" i="174"/>
  <c r="AF145" i="174"/>
  <c r="N148" i="174"/>
  <c r="AF125" i="174"/>
  <c r="AL125" i="174"/>
  <c r="K81" i="204"/>
  <c r="D81" i="204" s="1"/>
  <c r="F81" i="204" s="1"/>
  <c r="T83" i="123"/>
  <c r="I24" i="235"/>
  <c r="N24" i="235"/>
  <c r="K24" i="235"/>
  <c r="J24" i="235"/>
  <c r="E24" i="235"/>
  <c r="B24" i="235" s="1"/>
  <c r="G74" i="204"/>
  <c r="I74" i="204" s="1"/>
  <c r="D74" i="204"/>
  <c r="F74" i="204" s="1"/>
  <c r="L81" i="220"/>
  <c r="D72" i="219"/>
  <c r="F72" i="219" s="1"/>
  <c r="G72" i="219"/>
  <c r="I72" i="219" s="1"/>
  <c r="D73" i="221"/>
  <c r="F73" i="221" s="1"/>
  <c r="G73" i="221"/>
  <c r="I73" i="221" s="1"/>
  <c r="U8" i="123"/>
  <c r="T8" i="123"/>
  <c r="Z61" i="159" s="1"/>
  <c r="S8" i="123"/>
  <c r="Q8" i="123"/>
  <c r="Z8" i="123"/>
  <c r="Y8" i="123"/>
  <c r="AE61" i="159" s="1"/>
  <c r="X8" i="123"/>
  <c r="W8" i="123"/>
  <c r="AC61" i="159" s="1"/>
  <c r="V8" i="123"/>
  <c r="R8" i="123"/>
  <c r="P8" i="123"/>
  <c r="X83" i="123"/>
  <c r="O83" i="123"/>
  <c r="Z83" i="123"/>
  <c r="Y83" i="123"/>
  <c r="W83" i="123"/>
  <c r="V83" i="123"/>
  <c r="S83" i="123"/>
  <c r="R83" i="123"/>
  <c r="Q83" i="123"/>
  <c r="P83" i="123"/>
  <c r="G72" i="218"/>
  <c r="I72" i="218" s="1"/>
  <c r="D72" i="218"/>
  <c r="F72" i="218" s="1"/>
  <c r="W138" i="219"/>
  <c r="G138" i="219"/>
  <c r="I138" i="219" s="1"/>
  <c r="K137" i="219"/>
  <c r="D138" i="219"/>
  <c r="F138" i="219" s="1"/>
  <c r="S81" i="218"/>
  <c r="S10" i="123"/>
  <c r="O90" i="204" s="1"/>
  <c r="R10" i="123"/>
  <c r="N90" i="204" s="1"/>
  <c r="Q10" i="123"/>
  <c r="M90" i="204" s="1"/>
  <c r="O10" i="123"/>
  <c r="Y10" i="123"/>
  <c r="U90" i="204" s="1"/>
  <c r="X10" i="123"/>
  <c r="T90" i="204" s="1"/>
  <c r="W10" i="123"/>
  <c r="S90" i="204" s="1"/>
  <c r="V10" i="123"/>
  <c r="R90" i="204" s="1"/>
  <c r="Z10" i="123"/>
  <c r="V90" i="204" s="1"/>
  <c r="U10" i="123"/>
  <c r="Q90" i="204" s="1"/>
  <c r="T10" i="123"/>
  <c r="P90" i="204" s="1"/>
  <c r="P10" i="123"/>
  <c r="L90" i="204" s="1"/>
  <c r="Z18" i="123"/>
  <c r="Y18" i="123"/>
  <c r="X18" i="123"/>
  <c r="W18" i="123"/>
  <c r="S18" i="123"/>
  <c r="R18" i="123"/>
  <c r="Q18" i="123"/>
  <c r="P18" i="123"/>
  <c r="T18" i="123"/>
  <c r="O18" i="123"/>
  <c r="V18" i="123"/>
  <c r="U18" i="123"/>
  <c r="V67" i="204"/>
  <c r="M70" i="204"/>
  <c r="Q81" i="220"/>
  <c r="AD52" i="159"/>
  <c r="T60" i="220"/>
  <c r="D71" i="220"/>
  <c r="F71" i="220" s="1"/>
  <c r="G71" i="220"/>
  <c r="I71" i="220" s="1"/>
  <c r="U81" i="220"/>
  <c r="R81" i="220"/>
  <c r="AE51" i="159"/>
  <c r="O24" i="235"/>
  <c r="U67" i="204"/>
  <c r="C24" i="236"/>
  <c r="B24" i="236"/>
  <c r="T70" i="204"/>
  <c r="G24" i="235"/>
  <c r="X51" i="159"/>
  <c r="H24" i="235"/>
  <c r="R61" i="123"/>
  <c r="N69" i="221" s="1"/>
  <c r="Z61" i="123"/>
  <c r="V69" i="221" s="1"/>
  <c r="Y61" i="123"/>
  <c r="U69" i="221" s="1"/>
  <c r="X61" i="123"/>
  <c r="T69" i="221" s="1"/>
  <c r="W61" i="123"/>
  <c r="S69" i="221" s="1"/>
  <c r="V61" i="123"/>
  <c r="R69" i="221" s="1"/>
  <c r="S61" i="123"/>
  <c r="O69" i="221" s="1"/>
  <c r="Q61" i="123"/>
  <c r="M69" i="221" s="1"/>
  <c r="P61" i="123"/>
  <c r="L69" i="221" s="1"/>
  <c r="O61" i="123"/>
  <c r="U61" i="123"/>
  <c r="Q69" i="221" s="1"/>
  <c r="T61" i="123"/>
  <c r="P69" i="221" s="1"/>
  <c r="Z88" i="123"/>
  <c r="X88" i="123"/>
  <c r="Q88" i="123"/>
  <c r="O88" i="123"/>
  <c r="Y88" i="123"/>
  <c r="AE60" i="159" s="1"/>
  <c r="U88" i="123"/>
  <c r="T88" i="123"/>
  <c r="S88" i="123"/>
  <c r="R88" i="123"/>
  <c r="V88" i="123"/>
  <c r="P88" i="123"/>
  <c r="P60" i="123"/>
  <c r="L68" i="221" s="1"/>
  <c r="U60" i="123"/>
  <c r="Q68" i="221" s="1"/>
  <c r="Z60" i="123"/>
  <c r="V68" i="221" s="1"/>
  <c r="Y60" i="123"/>
  <c r="U68" i="221" s="1"/>
  <c r="X60" i="123"/>
  <c r="T68" i="221" s="1"/>
  <c r="T60" i="123"/>
  <c r="P68" i="221" s="1"/>
  <c r="S60" i="123"/>
  <c r="O68" i="221" s="1"/>
  <c r="R60" i="123"/>
  <c r="N68" i="221" s="1"/>
  <c r="Q60" i="123"/>
  <c r="M68" i="221" s="1"/>
  <c r="W60" i="123"/>
  <c r="S68" i="221" s="1"/>
  <c r="V60" i="123"/>
  <c r="R68" i="221" s="1"/>
  <c r="O60" i="123"/>
  <c r="R70" i="204"/>
  <c r="W88" i="123"/>
  <c r="D73" i="204"/>
  <c r="F73" i="204" s="1"/>
  <c r="G73" i="204"/>
  <c r="I73" i="204" s="1"/>
  <c r="Z17" i="123"/>
  <c r="Y17" i="123"/>
  <c r="X17" i="123"/>
  <c r="W17" i="123"/>
  <c r="S17" i="123"/>
  <c r="R17" i="123"/>
  <c r="Q17" i="123"/>
  <c r="P17" i="123"/>
  <c r="F10" i="123"/>
  <c r="J24" i="234" s="1"/>
  <c r="Z20" i="123"/>
  <c r="Y20" i="123"/>
  <c r="X20" i="123"/>
  <c r="W20" i="123"/>
  <c r="V20" i="123"/>
  <c r="R20" i="123"/>
  <c r="Q20" i="123"/>
  <c r="P20" i="123"/>
  <c r="O20" i="123"/>
  <c r="T9" i="123"/>
  <c r="S9" i="123"/>
  <c r="R9" i="123"/>
  <c r="P9" i="123"/>
  <c r="Z9" i="123"/>
  <c r="Y9" i="123"/>
  <c r="X9" i="123"/>
  <c r="W9" i="123"/>
  <c r="S20" i="123"/>
  <c r="Z46" i="123"/>
  <c r="Y46" i="123"/>
  <c r="X46" i="123"/>
  <c r="W46" i="123"/>
  <c r="V46" i="123"/>
  <c r="U46" i="123"/>
  <c r="R46" i="123"/>
  <c r="Q46" i="123"/>
  <c r="P46" i="123"/>
  <c r="O46" i="123"/>
  <c r="I24" i="234"/>
  <c r="O9" i="123"/>
  <c r="M67" i="204"/>
  <c r="Z16" i="123"/>
  <c r="Y16" i="123"/>
  <c r="X16" i="123"/>
  <c r="W16" i="123"/>
  <c r="S16" i="123"/>
  <c r="R16" i="123"/>
  <c r="Q16" i="123"/>
  <c r="P16" i="123"/>
  <c r="V16" i="123"/>
  <c r="U16" i="123"/>
  <c r="T16" i="123"/>
  <c r="O16" i="123"/>
  <c r="T20" i="123"/>
  <c r="AA45" i="123"/>
  <c r="S46" i="123"/>
  <c r="R82" i="123"/>
  <c r="N69" i="220" s="1"/>
  <c r="P82" i="123"/>
  <c r="L69" i="220" s="1"/>
  <c r="Z82" i="123"/>
  <c r="V69" i="220" s="1"/>
  <c r="Y82" i="123"/>
  <c r="U69" i="220" s="1"/>
  <c r="X82" i="123"/>
  <c r="T69" i="220" s="1"/>
  <c r="W82" i="123"/>
  <c r="S69" i="220" s="1"/>
  <c r="T82" i="123"/>
  <c r="P69" i="220" s="1"/>
  <c r="S82" i="123"/>
  <c r="O69" i="220" s="1"/>
  <c r="Q82" i="123"/>
  <c r="M69" i="220" s="1"/>
  <c r="O82" i="123"/>
  <c r="V82" i="123"/>
  <c r="R69" i="220" s="1"/>
  <c r="U82" i="123"/>
  <c r="Q69" i="220" s="1"/>
  <c r="U9" i="123"/>
  <c r="O17" i="123"/>
  <c r="AA26" i="123"/>
  <c r="U29" i="123"/>
  <c r="T29" i="123"/>
  <c r="S29" i="123"/>
  <c r="R29" i="123"/>
  <c r="Q29" i="123"/>
  <c r="P29" i="123"/>
  <c r="Z29" i="123"/>
  <c r="Y29" i="123"/>
  <c r="X29" i="123"/>
  <c r="W29" i="123"/>
  <c r="V29" i="123"/>
  <c r="O29" i="123"/>
  <c r="AA47" i="123"/>
  <c r="V67" i="221"/>
  <c r="AF56" i="159"/>
  <c r="P24" i="231"/>
  <c r="AA50" i="123"/>
  <c r="G74" i="220"/>
  <c r="I74" i="220" s="1"/>
  <c r="D74" i="220"/>
  <c r="F74" i="220" s="1"/>
  <c r="W137" i="221"/>
  <c r="G137" i="221"/>
  <c r="I137" i="221" s="1"/>
  <c r="D137" i="221"/>
  <c r="F137" i="221" s="1"/>
  <c r="K132" i="221"/>
  <c r="V9" i="123"/>
  <c r="U69" i="204"/>
  <c r="W51" i="159"/>
  <c r="U56" i="159"/>
  <c r="H57" i="190" s="1"/>
  <c r="AA72" i="123"/>
  <c r="AA7" i="123"/>
  <c r="AA15" i="123"/>
  <c r="Z19" i="123"/>
  <c r="Y19" i="123"/>
  <c r="X19" i="123"/>
  <c r="W19" i="123"/>
  <c r="S19" i="123"/>
  <c r="R19" i="123"/>
  <c r="Q19" i="123"/>
  <c r="P19" i="123"/>
  <c r="K24" i="233"/>
  <c r="J24" i="233"/>
  <c r="O19" i="123"/>
  <c r="W139" i="221"/>
  <c r="G139" i="221"/>
  <c r="I139" i="221" s="1"/>
  <c r="T19" i="123"/>
  <c r="U40" i="123"/>
  <c r="Q68" i="218" s="1"/>
  <c r="T40" i="123"/>
  <c r="P68" i="218" s="1"/>
  <c r="S40" i="123"/>
  <c r="O68" i="218" s="1"/>
  <c r="R40" i="123"/>
  <c r="N68" i="218" s="1"/>
  <c r="Q40" i="123"/>
  <c r="M68" i="218" s="1"/>
  <c r="Z40" i="123"/>
  <c r="V68" i="218" s="1"/>
  <c r="Y40" i="123"/>
  <c r="U68" i="218" s="1"/>
  <c r="X40" i="123"/>
  <c r="T68" i="218" s="1"/>
  <c r="AA57" i="123"/>
  <c r="U19" i="123"/>
  <c r="Y32" i="123"/>
  <c r="U67" i="218" s="1"/>
  <c r="Z32" i="123"/>
  <c r="V67" i="218" s="1"/>
  <c r="X32" i="123"/>
  <c r="T67" i="218" s="1"/>
  <c r="W32" i="123"/>
  <c r="S67" i="218" s="1"/>
  <c r="V32" i="123"/>
  <c r="R67" i="218" s="1"/>
  <c r="R32" i="123"/>
  <c r="N67" i="218" s="1"/>
  <c r="Q32" i="123"/>
  <c r="M67" i="218" s="1"/>
  <c r="P32" i="123"/>
  <c r="L67" i="218" s="1"/>
  <c r="O32" i="123"/>
  <c r="U37" i="123"/>
  <c r="Z37" i="123"/>
  <c r="Y37" i="123"/>
  <c r="X37" i="123"/>
  <c r="W37" i="123"/>
  <c r="R37" i="123"/>
  <c r="Q37" i="123"/>
  <c r="P37" i="123"/>
  <c r="O37" i="123"/>
  <c r="O40" i="123"/>
  <c r="S85" i="123"/>
  <c r="X85" i="123"/>
  <c r="V85" i="123"/>
  <c r="Z85" i="123"/>
  <c r="Y85" i="123"/>
  <c r="T85" i="123"/>
  <c r="R85" i="123"/>
  <c r="Q85" i="123"/>
  <c r="P85" i="123"/>
  <c r="F24" i="235"/>
  <c r="AC51" i="159"/>
  <c r="Z31" i="123"/>
  <c r="W36" i="123"/>
  <c r="Z36" i="123"/>
  <c r="Y36" i="123"/>
  <c r="X36" i="123"/>
  <c r="S36" i="123"/>
  <c r="R36" i="123"/>
  <c r="Q36" i="123"/>
  <c r="P36" i="123"/>
  <c r="X41" i="123"/>
  <c r="T69" i="218" s="1"/>
  <c r="S41" i="123"/>
  <c r="O69" i="218" s="1"/>
  <c r="R41" i="123"/>
  <c r="N69" i="218" s="1"/>
  <c r="Q41" i="123"/>
  <c r="M69" i="218" s="1"/>
  <c r="P41" i="123"/>
  <c r="L69" i="218" s="1"/>
  <c r="O41" i="123"/>
  <c r="Z41" i="123"/>
  <c r="V69" i="218" s="1"/>
  <c r="Y41" i="123"/>
  <c r="U69" i="218" s="1"/>
  <c r="W41" i="123"/>
  <c r="S69" i="218" s="1"/>
  <c r="V41" i="123"/>
  <c r="R69" i="218" s="1"/>
  <c r="V84" i="123"/>
  <c r="Y84" i="123"/>
  <c r="Z84" i="123"/>
  <c r="X84" i="123"/>
  <c r="W84" i="123"/>
  <c r="S84" i="123"/>
  <c r="R84" i="123"/>
  <c r="Q84" i="123"/>
  <c r="P84" i="123"/>
  <c r="L24" i="233"/>
  <c r="O36" i="123"/>
  <c r="T41" i="123"/>
  <c r="P69" i="218" s="1"/>
  <c r="O84" i="123"/>
  <c r="Z57" i="159"/>
  <c r="W51" i="123"/>
  <c r="S90" i="221" s="1"/>
  <c r="X62" i="123"/>
  <c r="O62" i="123"/>
  <c r="T64" i="123"/>
  <c r="Y64" i="123"/>
  <c r="R65" i="123"/>
  <c r="W65" i="123"/>
  <c r="W69" i="123"/>
  <c r="S73" i="123"/>
  <c r="O67" i="220" s="1"/>
  <c r="X73" i="123"/>
  <c r="T67" i="220" s="1"/>
  <c r="O81" i="123"/>
  <c r="T81" i="123"/>
  <c r="P68" i="220" s="1"/>
  <c r="R81" i="123"/>
  <c r="N68" i="220" s="1"/>
  <c r="V11" i="123"/>
  <c r="U12" i="123"/>
  <c r="T13" i="123"/>
  <c r="P67" i="204" s="1"/>
  <c r="S14" i="123"/>
  <c r="O21" i="123"/>
  <c r="P25" i="123"/>
  <c r="W30" i="123"/>
  <c r="S90" i="218" s="1"/>
  <c r="V34" i="123"/>
  <c r="R70" i="218" s="1"/>
  <c r="S35" i="123"/>
  <c r="O38" i="123"/>
  <c r="V42" i="123"/>
  <c r="U43" i="123"/>
  <c r="T44" i="123"/>
  <c r="O48" i="123"/>
  <c r="X51" i="123"/>
  <c r="T90" i="221" s="1"/>
  <c r="W52" i="123"/>
  <c r="M24" i="233" s="1"/>
  <c r="V53" i="123"/>
  <c r="V54" i="123"/>
  <c r="T55" i="123"/>
  <c r="P70" i="221" s="1"/>
  <c r="T56" i="123"/>
  <c r="P62" i="123"/>
  <c r="O63" i="123"/>
  <c r="O64" i="123"/>
  <c r="O65" i="123"/>
  <c r="X69" i="123"/>
  <c r="W70" i="123"/>
  <c r="S90" i="220" s="1"/>
  <c r="T71" i="123"/>
  <c r="O73" i="123"/>
  <c r="P74" i="123"/>
  <c r="U74" i="123"/>
  <c r="Q80" i="123"/>
  <c r="V80" i="123"/>
  <c r="T80" i="123"/>
  <c r="P81" i="123"/>
  <c r="L68" i="220" s="1"/>
  <c r="V90" i="123"/>
  <c r="L24" i="235"/>
  <c r="W11" i="123"/>
  <c r="V12" i="123"/>
  <c r="U13" i="123"/>
  <c r="T14" i="123"/>
  <c r="P21" i="123"/>
  <c r="O22" i="123"/>
  <c r="O23" i="123"/>
  <c r="P24" i="123"/>
  <c r="Q25" i="123"/>
  <c r="O27" i="123"/>
  <c r="X30" i="123"/>
  <c r="T90" i="218" s="1"/>
  <c r="W34" i="123"/>
  <c r="S70" i="218" s="1"/>
  <c r="T35" i="123"/>
  <c r="P38" i="123"/>
  <c r="O39" i="123"/>
  <c r="W42" i="123"/>
  <c r="V43" i="123"/>
  <c r="U44" i="123"/>
  <c r="P48" i="123"/>
  <c r="X52" i="123"/>
  <c r="N24" i="233" s="1"/>
  <c r="W53" i="123"/>
  <c r="S67" i="221" s="1"/>
  <c r="W54" i="123"/>
  <c r="U55" i="123"/>
  <c r="Q70" i="221" s="1"/>
  <c r="U56" i="123"/>
  <c r="Q62" i="123"/>
  <c r="P63" i="123"/>
  <c r="P64" i="123"/>
  <c r="P65" i="123"/>
  <c r="X70" i="123"/>
  <c r="T90" i="220" s="1"/>
  <c r="U71" i="123"/>
  <c r="P73" i="123"/>
  <c r="L67" i="220" s="1"/>
  <c r="O74" i="123"/>
  <c r="S79" i="123"/>
  <c r="X79" i="123"/>
  <c r="V79" i="123"/>
  <c r="O80" i="123"/>
  <c r="Q81" i="123"/>
  <c r="M68" i="220" s="1"/>
  <c r="Y90" i="123"/>
  <c r="M24" i="235"/>
  <c r="X11" i="123"/>
  <c r="W12" i="123"/>
  <c r="V13" i="123"/>
  <c r="U14" i="123"/>
  <c r="Q21" i="123"/>
  <c r="P22" i="123"/>
  <c r="Q23" i="123"/>
  <c r="Q24" i="123"/>
  <c r="R25" i="123"/>
  <c r="P27" i="123"/>
  <c r="Y30" i="123"/>
  <c r="U90" i="218" s="1"/>
  <c r="X34" i="123"/>
  <c r="T70" i="218" s="1"/>
  <c r="U35" i="123"/>
  <c r="Q38" i="123"/>
  <c r="P39" i="123"/>
  <c r="X42" i="123"/>
  <c r="W43" i="123"/>
  <c r="V44" i="123"/>
  <c r="Q48" i="123"/>
  <c r="Y52" i="123"/>
  <c r="O24" i="233" s="1"/>
  <c r="V55" i="123"/>
  <c r="R70" i="221" s="1"/>
  <c r="R62" i="123"/>
  <c r="Q63" i="123"/>
  <c r="Q64" i="123"/>
  <c r="Q65" i="123"/>
  <c r="Q73" i="123"/>
  <c r="M67" i="220" s="1"/>
  <c r="Q74" i="123"/>
  <c r="O75" i="123"/>
  <c r="U78" i="123"/>
  <c r="Z78" i="123"/>
  <c r="X78" i="123"/>
  <c r="O79" i="123"/>
  <c r="P80" i="123"/>
  <c r="S81" i="123"/>
  <c r="O68" i="220" s="1"/>
  <c r="Y51" i="123"/>
  <c r="U90" i="221" s="1"/>
  <c r="P51" i="123"/>
  <c r="L90" i="221" s="1"/>
  <c r="T69" i="123"/>
  <c r="Y69" i="123"/>
  <c r="Q92" i="123"/>
  <c r="V54" i="159"/>
  <c r="U21" i="123"/>
  <c r="V25" i="123"/>
  <c r="V38" i="123"/>
  <c r="U48" i="123"/>
  <c r="AA60" i="159" s="1"/>
  <c r="O51" i="123"/>
  <c r="V62" i="123"/>
  <c r="U63" i="123"/>
  <c r="V64" i="123"/>
  <c r="V65" i="123"/>
  <c r="O69" i="123"/>
  <c r="X81" i="123"/>
  <c r="T68" i="220" s="1"/>
  <c r="O91" i="123"/>
  <c r="U91" i="123"/>
  <c r="Q90" i="219" s="1"/>
  <c r="T91" i="123"/>
  <c r="P90" i="219" s="1"/>
  <c r="R91" i="123"/>
  <c r="N90" i="219" s="1"/>
  <c r="O96" i="123"/>
  <c r="Z96" i="123"/>
  <c r="V70" i="219" s="1"/>
  <c r="W96" i="123"/>
  <c r="S70" i="219" s="1"/>
  <c r="U96" i="123"/>
  <c r="Q70" i="219" s="1"/>
  <c r="T96" i="123"/>
  <c r="P70" i="219" s="1"/>
  <c r="R96" i="123"/>
  <c r="N70" i="219" s="1"/>
  <c r="O11" i="123"/>
  <c r="AF64" i="159"/>
  <c r="V21" i="123"/>
  <c r="W25" i="123"/>
  <c r="O30" i="123"/>
  <c r="W38" i="123"/>
  <c r="V48" i="123"/>
  <c r="AB60" i="159" s="1"/>
  <c r="Q51" i="123"/>
  <c r="M90" i="221" s="1"/>
  <c r="O52" i="123"/>
  <c r="E24" i="233" s="1"/>
  <c r="S53" i="123"/>
  <c r="O67" i="221" s="1"/>
  <c r="X53" i="123"/>
  <c r="T67" i="221" s="1"/>
  <c r="W62" i="123"/>
  <c r="W63" i="123"/>
  <c r="W64" i="123"/>
  <c r="X65" i="123"/>
  <c r="P69" i="123"/>
  <c r="P70" i="123"/>
  <c r="L90" i="220" s="1"/>
  <c r="U70" i="123"/>
  <c r="Q90" i="220" s="1"/>
  <c r="W73" i="123"/>
  <c r="S67" i="220" s="1"/>
  <c r="Y81" i="123"/>
  <c r="U68" i="220" s="1"/>
  <c r="P91" i="123"/>
  <c r="L90" i="219" s="1"/>
  <c r="P96" i="123"/>
  <c r="L70" i="219" s="1"/>
  <c r="P11" i="123"/>
  <c r="F24" i="234" s="1"/>
  <c r="O12" i="123"/>
  <c r="W21" i="123"/>
  <c r="X25" i="123"/>
  <c r="P30" i="123"/>
  <c r="L90" i="218" s="1"/>
  <c r="P34" i="123"/>
  <c r="X38" i="123"/>
  <c r="O42" i="123"/>
  <c r="W48" i="123"/>
  <c r="R51" i="123"/>
  <c r="P52" i="123"/>
  <c r="F24" i="233" s="1"/>
  <c r="O53" i="123"/>
  <c r="P54" i="123"/>
  <c r="U54" i="123"/>
  <c r="Q67" i="221" s="1"/>
  <c r="Y62" i="123"/>
  <c r="X63" i="123"/>
  <c r="X64" i="123"/>
  <c r="Y65" i="123"/>
  <c r="Q69" i="123"/>
  <c r="O70" i="123"/>
  <c r="Y73" i="123"/>
  <c r="U67" i="220" s="1"/>
  <c r="Z81" i="123"/>
  <c r="V68" i="220" s="1"/>
  <c r="R90" i="123"/>
  <c r="P90" i="123"/>
  <c r="X90" i="123"/>
  <c r="W90" i="123"/>
  <c r="U90" i="123"/>
  <c r="Q91" i="123"/>
  <c r="M90" i="219" s="1"/>
  <c r="Q96" i="123"/>
  <c r="M70" i="219" s="1"/>
  <c r="Q11" i="123"/>
  <c r="P12" i="123"/>
  <c r="X21" i="123"/>
  <c r="Y25" i="123"/>
  <c r="Q30" i="123"/>
  <c r="M90" i="218" s="1"/>
  <c r="H52" i="190"/>
  <c r="Q34" i="123"/>
  <c r="M70" i="218" s="1"/>
  <c r="Y38" i="123"/>
  <c r="P42" i="123"/>
  <c r="X48" i="123"/>
  <c r="S51" i="123"/>
  <c r="Q52" i="123"/>
  <c r="G24" i="233" s="1"/>
  <c r="P53" i="123"/>
  <c r="Y56" i="123"/>
  <c r="P56" i="123"/>
  <c r="Z62" i="123"/>
  <c r="Y63" i="123"/>
  <c r="Z64" i="123"/>
  <c r="Z65" i="123"/>
  <c r="R69" i="123"/>
  <c r="Q70" i="123"/>
  <c r="M90" i="220" s="1"/>
  <c r="Z71" i="123"/>
  <c r="Q71" i="123"/>
  <c r="Z73" i="123"/>
  <c r="V67" i="220" s="1"/>
  <c r="S91" i="123"/>
  <c r="O90" i="219" s="1"/>
  <c r="S96" i="123"/>
  <c r="O70" i="219" s="1"/>
  <c r="U100" i="123"/>
  <c r="S100" i="123"/>
  <c r="R100" i="123"/>
  <c r="O100" i="123"/>
  <c r="Z100" i="123"/>
  <c r="X100" i="123"/>
  <c r="V100" i="123"/>
  <c r="Y23" i="123"/>
  <c r="Y24" i="123"/>
  <c r="Z25" i="123"/>
  <c r="V28" i="123"/>
  <c r="AA28" i="123" s="1"/>
  <c r="S30" i="123"/>
  <c r="O90" i="218" s="1"/>
  <c r="R34" i="123"/>
  <c r="N70" i="218" s="1"/>
  <c r="O35" i="123"/>
  <c r="Z38" i="123"/>
  <c r="Y39" i="123"/>
  <c r="Q42" i="123"/>
  <c r="P43" i="123"/>
  <c r="O44" i="123"/>
  <c r="Z48" i="123"/>
  <c r="AF60" i="159" s="1"/>
  <c r="X49" i="123"/>
  <c r="AA49" i="123" s="1"/>
  <c r="T51" i="123"/>
  <c r="R52" i="123"/>
  <c r="H24" i="233" s="1"/>
  <c r="Q53" i="123"/>
  <c r="Q54" i="123"/>
  <c r="O55" i="123"/>
  <c r="O56" i="123"/>
  <c r="U58" i="123"/>
  <c r="Z58" i="123"/>
  <c r="AA58" i="123" s="1"/>
  <c r="S59" i="123"/>
  <c r="X59" i="123"/>
  <c r="Z63" i="123"/>
  <c r="W67" i="123"/>
  <c r="S69" i="123"/>
  <c r="R70" i="123"/>
  <c r="N90" i="220" s="1"/>
  <c r="O71" i="123"/>
  <c r="Z74" i="123"/>
  <c r="X75" i="123"/>
  <c r="T70" i="220" s="1"/>
  <c r="W78" i="123"/>
  <c r="Z79" i="123"/>
  <c r="O90" i="123"/>
  <c r="V91" i="123"/>
  <c r="R90" i="219" s="1"/>
  <c r="V96" i="123"/>
  <c r="R70" i="219" s="1"/>
  <c r="P100" i="123"/>
  <c r="Z98" i="123"/>
  <c r="X99" i="123"/>
  <c r="S101" i="123"/>
  <c r="O68" i="219" s="1"/>
  <c r="P102" i="123"/>
  <c r="L69" i="219" s="1"/>
  <c r="Y104" i="123"/>
  <c r="V105" i="123"/>
  <c r="T106" i="123"/>
  <c r="Z104" i="123"/>
  <c r="W105" i="123"/>
  <c r="U106" i="123"/>
  <c r="S86" i="123"/>
  <c r="Y89" i="123"/>
  <c r="W94" i="123"/>
  <c r="S67" i="219" s="1"/>
  <c r="T95" i="123"/>
  <c r="P97" i="123"/>
  <c r="Z99" i="123"/>
  <c r="U101" i="123"/>
  <c r="Q68" i="219" s="1"/>
  <c r="R102" i="123"/>
  <c r="N69" i="219" s="1"/>
  <c r="O103" i="123"/>
  <c r="X105" i="123"/>
  <c r="V106" i="123"/>
  <c r="Y105" i="123"/>
  <c r="W106" i="123"/>
  <c r="P76" i="123"/>
  <c r="U86" i="123"/>
  <c r="Y94" i="123"/>
  <c r="U67" i="219" s="1"/>
  <c r="V95" i="123"/>
  <c r="R97" i="123"/>
  <c r="P98" i="123"/>
  <c r="W101" i="123"/>
  <c r="S68" i="219" s="1"/>
  <c r="T102" i="123"/>
  <c r="P69" i="219" s="1"/>
  <c r="Q103" i="123"/>
  <c r="O104" i="123"/>
  <c r="Z105" i="123"/>
  <c r="X106" i="123"/>
  <c r="O93" i="123"/>
  <c r="Z94" i="123"/>
  <c r="V67" i="219" s="1"/>
  <c r="W95" i="123"/>
  <c r="S97" i="123"/>
  <c r="Q98" i="123"/>
  <c r="O99" i="123"/>
  <c r="X101" i="123"/>
  <c r="T68" i="219" s="1"/>
  <c r="U102" i="123"/>
  <c r="Q69" i="219" s="1"/>
  <c r="R103" i="123"/>
  <c r="P104" i="123"/>
  <c r="Y106" i="123"/>
  <c r="Z106" i="123"/>
  <c r="Y95" i="123"/>
  <c r="AE64" i="159" s="1"/>
  <c r="U97" i="123"/>
  <c r="S98" i="123"/>
  <c r="Q99" i="123"/>
  <c r="Z101" i="123"/>
  <c r="V68" i="219" s="1"/>
  <c r="W102" i="123"/>
  <c r="S69" i="219" s="1"/>
  <c r="T103" i="123"/>
  <c r="R104" i="123"/>
  <c r="O105" i="123"/>
  <c r="Y102" i="123"/>
  <c r="U69" i="219" s="1"/>
  <c r="V103" i="123"/>
  <c r="T104" i="123"/>
  <c r="Q105" i="123"/>
  <c r="O106" i="123"/>
  <c r="O69" i="159"/>
  <c r="X97" i="123"/>
  <c r="V98" i="123"/>
  <c r="T99" i="123"/>
  <c r="O101" i="123"/>
  <c r="Z102" i="123"/>
  <c r="V69" i="219" s="1"/>
  <c r="W103" i="123"/>
  <c r="U104" i="123"/>
  <c r="R105" i="123"/>
  <c r="P106" i="123"/>
  <c r="T89" i="123"/>
  <c r="AA89" i="123" s="1"/>
  <c r="U93" i="123"/>
  <c r="R94" i="123"/>
  <c r="N67" i="219" s="1"/>
  <c r="O95" i="123"/>
  <c r="W98" i="123"/>
  <c r="U99" i="123"/>
  <c r="P101" i="123"/>
  <c r="L68" i="219" s="1"/>
  <c r="X103" i="123"/>
  <c r="V104" i="123"/>
  <c r="S105" i="123"/>
  <c r="Q106" i="123"/>
  <c r="Y103" i="123"/>
  <c r="W104" i="123"/>
  <c r="T105" i="123"/>
  <c r="R106" i="123"/>
  <c r="W71" i="204"/>
  <c r="W73" i="219"/>
  <c r="W73" i="218"/>
  <c r="W71" i="221"/>
  <c r="W73" i="204"/>
  <c r="W72" i="218"/>
  <c r="W71" i="220"/>
  <c r="W74" i="204"/>
  <c r="W73" i="220"/>
  <c r="W72" i="220"/>
  <c r="W74" i="221"/>
  <c r="Q24" i="236"/>
  <c r="W72" i="219"/>
  <c r="W73" i="221"/>
  <c r="W74" i="218"/>
  <c r="W74" i="219"/>
  <c r="W74" i="220"/>
  <c r="W71" i="218"/>
  <c r="G72" i="204"/>
  <c r="I72" i="204" s="1"/>
  <c r="W72" i="204"/>
  <c r="D74" i="218"/>
  <c r="F74" i="218" s="1"/>
  <c r="D69" i="219"/>
  <c r="F69" i="219" s="1"/>
  <c r="G71" i="219"/>
  <c r="I71" i="219" s="1"/>
  <c r="W71" i="219"/>
  <c r="D73" i="220"/>
  <c r="F73" i="220" s="1"/>
  <c r="G74" i="218"/>
  <c r="I74" i="218" s="1"/>
  <c r="G73" i="220"/>
  <c r="I73" i="220" s="1"/>
  <c r="G71" i="218"/>
  <c r="I71" i="218" s="1"/>
  <c r="G73" i="219"/>
  <c r="I73" i="219" s="1"/>
  <c r="E76" i="248"/>
  <c r="C178" i="242"/>
  <c r="C190" i="242" s="1"/>
  <c r="E190" i="242" s="1"/>
  <c r="C110" i="242"/>
  <c r="C112" i="242" s="1"/>
  <c r="C115" i="242" s="1"/>
  <c r="D11" i="242"/>
  <c r="D13" i="242" s="1"/>
  <c r="C93" i="242"/>
  <c r="C39" i="242"/>
  <c r="C42" i="242" s="1"/>
  <c r="C11" i="242"/>
  <c r="C13" i="242" s="1"/>
  <c r="C294" i="242"/>
  <c r="C295" i="242" s="1"/>
  <c r="C138" i="242"/>
  <c r="C139" i="242" s="1"/>
  <c r="F139" i="242" s="1"/>
  <c r="D37" i="242"/>
  <c r="D39" i="242" s="1"/>
  <c r="D42" i="242" s="1"/>
  <c r="D138" i="242"/>
  <c r="D139" i="242" s="1"/>
  <c r="C252" i="242"/>
  <c r="E18" i="242"/>
  <c r="D252" i="242"/>
  <c r="D110" i="242"/>
  <c r="D112" i="242" s="1"/>
  <c r="D115" i="242" s="1"/>
  <c r="C334" i="242"/>
  <c r="E68" i="248" s="1"/>
  <c r="E69" i="242"/>
  <c r="C74" i="242"/>
  <c r="F24" i="248"/>
  <c r="K24" i="248" s="1"/>
  <c r="F24" i="240"/>
  <c r="F25" i="240" s="1"/>
  <c r="D74" i="242"/>
  <c r="E191" i="242"/>
  <c r="F11" i="248"/>
  <c r="F12" i="248" s="1"/>
  <c r="F11" i="240"/>
  <c r="F12" i="240" s="1"/>
  <c r="C48" i="242"/>
  <c r="C193" i="242"/>
  <c r="C172" i="242"/>
  <c r="E192" i="242"/>
  <c r="F191" i="242"/>
  <c r="E172" i="242"/>
  <c r="D174" i="242"/>
  <c r="E11" i="248"/>
  <c r="E11" i="240"/>
  <c r="K295" i="242"/>
  <c r="E47" i="248"/>
  <c r="E47" i="240"/>
  <c r="E43" i="251" s="1"/>
  <c r="C316" i="242"/>
  <c r="F47" i="248"/>
  <c r="F52" i="248" s="1"/>
  <c r="F47" i="240"/>
  <c r="F43" i="251" s="1"/>
  <c r="F16" i="248"/>
  <c r="F16" i="240"/>
  <c r="E16" i="248"/>
  <c r="E16" i="240"/>
  <c r="K23" i="240"/>
  <c r="E24" i="240"/>
  <c r="E25" i="240" s="1"/>
  <c r="E25" i="248"/>
  <c r="N43" i="229"/>
  <c r="AR32" i="174"/>
  <c r="O185" i="228"/>
  <c r="O201" i="228" s="1"/>
  <c r="O207" i="228" s="1"/>
  <c r="W12" i="221"/>
  <c r="I185" i="227"/>
  <c r="I201" i="227" s="1"/>
  <c r="I207" i="227" s="1"/>
  <c r="J185" i="229"/>
  <c r="J201" i="229" s="1"/>
  <c r="J207" i="229" s="1"/>
  <c r="P185" i="228"/>
  <c r="P201" i="228" s="1"/>
  <c r="P207" i="228" s="1"/>
  <c r="D23" i="221"/>
  <c r="F23" i="221" s="1"/>
  <c r="Q185" i="226"/>
  <c r="Q201" i="226" s="1"/>
  <c r="Q207" i="226" s="1"/>
  <c r="B319" i="217"/>
  <c r="D319" i="217"/>
  <c r="H316" i="217"/>
  <c r="C282" i="217"/>
  <c r="C285" i="217"/>
  <c r="E282" i="217"/>
  <c r="C283" i="217"/>
  <c r="E319" i="217"/>
  <c r="D285" i="217"/>
  <c r="H34" i="232"/>
  <c r="H33" i="232"/>
  <c r="H40" i="232"/>
  <c r="H41" i="232"/>
  <c r="H32" i="232"/>
  <c r="H36" i="232"/>
  <c r="D11" i="220"/>
  <c r="F11" i="220" s="1"/>
  <c r="AW11" i="198"/>
  <c r="D9" i="220"/>
  <c r="F9" i="220" s="1"/>
  <c r="S11" i="198"/>
  <c r="K12" i="218"/>
  <c r="I13" i="198"/>
  <c r="AM11" i="198"/>
  <c r="AW13" i="198"/>
  <c r="D9" i="218"/>
  <c r="F9" i="218" s="1"/>
  <c r="D11" i="218"/>
  <c r="F11" i="218" s="1"/>
  <c r="AM13" i="198"/>
  <c r="I11" i="198"/>
  <c r="S13" i="198"/>
  <c r="G9" i="218"/>
  <c r="I9" i="218" s="1"/>
  <c r="G11" i="218"/>
  <c r="I11" i="218" s="1"/>
  <c r="B13" i="231"/>
  <c r="G9" i="220"/>
  <c r="I9" i="220" s="1"/>
  <c r="G11" i="220"/>
  <c r="I11" i="220" s="1"/>
  <c r="E12" i="231"/>
  <c r="C12" i="231" s="1"/>
  <c r="AE42" i="234"/>
  <c r="V29" i="234"/>
  <c r="V56" i="234" s="1"/>
  <c r="W29" i="234"/>
  <c r="AB42" i="234"/>
  <c r="W52" i="234"/>
  <c r="AD42" i="234"/>
  <c r="Z29" i="234"/>
  <c r="Z52" i="234"/>
  <c r="Y56" i="234"/>
  <c r="AA29" i="234"/>
  <c r="AA52" i="234"/>
  <c r="AC42" i="234"/>
  <c r="AB29" i="234"/>
  <c r="S42" i="234"/>
  <c r="AB52" i="234"/>
  <c r="AE12" i="234"/>
  <c r="AE29" i="234" s="1"/>
  <c r="AE56" i="234" s="1"/>
  <c r="AC52" i="234"/>
  <c r="AC56" i="234" s="1"/>
  <c r="AD52" i="234"/>
  <c r="AD56" i="234" s="1"/>
  <c r="V42" i="234"/>
  <c r="W42" i="234"/>
  <c r="AE52" i="235"/>
  <c r="AE29" i="235"/>
  <c r="Y52" i="235"/>
  <c r="AB29" i="235"/>
  <c r="AB56" i="235" s="1"/>
  <c r="AC29" i="235"/>
  <c r="AA52" i="235"/>
  <c r="AC52" i="235"/>
  <c r="T42" i="235"/>
  <c r="W29" i="235"/>
  <c r="W56" i="235" s="1"/>
  <c r="V42" i="235"/>
  <c r="T52" i="235"/>
  <c r="T56" i="235" s="1"/>
  <c r="AE42" i="235"/>
  <c r="X29" i="235"/>
  <c r="Y29" i="235"/>
  <c r="X42" i="235"/>
  <c r="V52" i="235"/>
  <c r="W42" i="235"/>
  <c r="Z29" i="235"/>
  <c r="Z56" i="235" s="1"/>
  <c r="AA29" i="235"/>
  <c r="Z42" i="235"/>
  <c r="X52" i="235"/>
  <c r="N43" i="227"/>
  <c r="L43" i="226"/>
  <c r="I185" i="223"/>
  <c r="I201" i="223" s="1"/>
  <c r="I207" i="223" s="1"/>
  <c r="Q12" i="234"/>
  <c r="K185" i="228"/>
  <c r="K201" i="228" s="1"/>
  <c r="K207" i="228" s="1"/>
  <c r="M185" i="228"/>
  <c r="M201" i="228" s="1"/>
  <c r="M207" i="228" s="1"/>
  <c r="P185" i="223"/>
  <c r="P201" i="223" s="1"/>
  <c r="P207" i="223" s="1"/>
  <c r="I43" i="227"/>
  <c r="K57" i="248"/>
  <c r="K6" i="248"/>
  <c r="G46" i="248"/>
  <c r="G52" i="248" s="1"/>
  <c r="K42" i="248"/>
  <c r="G89" i="248"/>
  <c r="K89" i="248" s="1"/>
  <c r="K87" i="248"/>
  <c r="R35" i="248"/>
  <c r="E46" i="248"/>
  <c r="K43" i="248"/>
  <c r="K33" i="248"/>
  <c r="K36" i="248" s="1"/>
  <c r="E36" i="248"/>
  <c r="I36" i="248"/>
  <c r="I37" i="248" s="1"/>
  <c r="K23" i="248"/>
  <c r="S54" i="248"/>
  <c r="L185" i="226"/>
  <c r="L201" i="226" s="1"/>
  <c r="L207" i="226" s="1"/>
  <c r="W12" i="204"/>
  <c r="T12" i="226"/>
  <c r="G183" i="204"/>
  <c r="I183" i="204" s="1"/>
  <c r="K43" i="228"/>
  <c r="P43" i="229"/>
  <c r="O43" i="228"/>
  <c r="J185" i="223"/>
  <c r="J201" i="223" s="1"/>
  <c r="J207" i="223" s="1"/>
  <c r="S43" i="226"/>
  <c r="S43" i="225"/>
  <c r="S185" i="226"/>
  <c r="S201" i="226" s="1"/>
  <c r="S207" i="226" s="1"/>
  <c r="F23" i="228"/>
  <c r="G23" i="222"/>
  <c r="L185" i="223"/>
  <c r="L201" i="223" s="1"/>
  <c r="L207" i="223" s="1"/>
  <c r="M43" i="227"/>
  <c r="I43" i="228"/>
  <c r="D171" i="204"/>
  <c r="F171" i="204" s="1"/>
  <c r="L43" i="229"/>
  <c r="J43" i="228"/>
  <c r="M43" i="228"/>
  <c r="M43" i="229"/>
  <c r="B12" i="233"/>
  <c r="L185" i="227"/>
  <c r="L201" i="227" s="1"/>
  <c r="L207" i="227" s="1"/>
  <c r="J185" i="228"/>
  <c r="J201" i="228" s="1"/>
  <c r="J207" i="228" s="1"/>
  <c r="O43" i="229"/>
  <c r="F23" i="223"/>
  <c r="T12" i="228"/>
  <c r="W19" i="222"/>
  <c r="G171" i="219"/>
  <c r="I171" i="219" s="1"/>
  <c r="L185" i="228"/>
  <c r="L201" i="228" s="1"/>
  <c r="L207" i="228" s="1"/>
  <c r="W12" i="222"/>
  <c r="O185" i="225"/>
  <c r="O201" i="225" s="1"/>
  <c r="O207" i="225" s="1"/>
  <c r="R43" i="226"/>
  <c r="L43" i="227"/>
  <c r="O43" i="227"/>
  <c r="O185" i="229"/>
  <c r="O201" i="229" s="1"/>
  <c r="O207" i="229" s="1"/>
  <c r="S185" i="225"/>
  <c r="S201" i="225" s="1"/>
  <c r="S207" i="225" s="1"/>
  <c r="F23" i="227"/>
  <c r="L43" i="228"/>
  <c r="J43" i="229"/>
  <c r="BC202" i="198"/>
  <c r="E185" i="218"/>
  <c r="AD56" i="235"/>
  <c r="Q185" i="223"/>
  <c r="Q201" i="223" s="1"/>
  <c r="Q207" i="223" s="1"/>
  <c r="J43" i="227"/>
  <c r="W19" i="218"/>
  <c r="H185" i="218"/>
  <c r="G199" i="218"/>
  <c r="I199" i="218" s="1"/>
  <c r="K185" i="226"/>
  <c r="K201" i="226" s="1"/>
  <c r="K207" i="226" s="1"/>
  <c r="Q43" i="227"/>
  <c r="Q185" i="228"/>
  <c r="Q201" i="228" s="1"/>
  <c r="Q207" i="228" s="1"/>
  <c r="T12" i="229"/>
  <c r="Q12" i="236"/>
  <c r="R43" i="227"/>
  <c r="L185" i="229"/>
  <c r="L201" i="229" s="1"/>
  <c r="L207" i="229" s="1"/>
  <c r="B12" i="232"/>
  <c r="T12" i="223"/>
  <c r="K185" i="223"/>
  <c r="K201" i="223" s="1"/>
  <c r="K207" i="223" s="1"/>
  <c r="T12" i="227"/>
  <c r="T172" i="228"/>
  <c r="N185" i="229"/>
  <c r="N201" i="229" s="1"/>
  <c r="N207" i="229" s="1"/>
  <c r="F44" i="229"/>
  <c r="M185" i="223"/>
  <c r="M201" i="223" s="1"/>
  <c r="M207" i="223" s="1"/>
  <c r="P185" i="225"/>
  <c r="P201" i="225" s="1"/>
  <c r="P207" i="225" s="1"/>
  <c r="H43" i="225"/>
  <c r="P43" i="228"/>
  <c r="P185" i="229"/>
  <c r="P201" i="229" s="1"/>
  <c r="P207" i="229" s="1"/>
  <c r="H43" i="229"/>
  <c r="B12" i="234"/>
  <c r="B12" i="236"/>
  <c r="D183" i="218"/>
  <c r="F183" i="218" s="1"/>
  <c r="P43" i="225"/>
  <c r="K43" i="226"/>
  <c r="T172" i="226"/>
  <c r="Q43" i="228"/>
  <c r="T56" i="234"/>
  <c r="R185" i="225"/>
  <c r="R201" i="225" s="1"/>
  <c r="R207" i="225" s="1"/>
  <c r="R43" i="225"/>
  <c r="R43" i="228"/>
  <c r="U56" i="234"/>
  <c r="W19" i="219"/>
  <c r="R185" i="227"/>
  <c r="R201" i="227" s="1"/>
  <c r="R207" i="227" s="1"/>
  <c r="T172" i="227"/>
  <c r="F44" i="223"/>
  <c r="T19" i="229"/>
  <c r="W183" i="218"/>
  <c r="G199" i="204"/>
  <c r="I199" i="204" s="1"/>
  <c r="D199" i="204"/>
  <c r="F199" i="204" s="1"/>
  <c r="W233" i="217"/>
  <c r="W128" i="217"/>
  <c r="W93" i="217"/>
  <c r="H315" i="217"/>
  <c r="H279" i="217"/>
  <c r="E315" i="217"/>
  <c r="E279" i="217"/>
  <c r="D315" i="217"/>
  <c r="D279" i="217"/>
  <c r="C315" i="217"/>
  <c r="C279" i="217"/>
  <c r="B315" i="217"/>
  <c r="B279" i="217"/>
  <c r="H314" i="217"/>
  <c r="H278" i="217"/>
  <c r="E314" i="217"/>
  <c r="E278" i="217"/>
  <c r="D314" i="217"/>
  <c r="D278" i="217"/>
  <c r="C314" i="217"/>
  <c r="C278" i="217"/>
  <c r="B314" i="217"/>
  <c r="B278" i="217"/>
  <c r="H313" i="217"/>
  <c r="H277" i="217"/>
  <c r="F313" i="217"/>
  <c r="F277" i="217"/>
  <c r="E313" i="217"/>
  <c r="E277" i="217"/>
  <c r="D313" i="217"/>
  <c r="D277" i="217"/>
  <c r="B313" i="217"/>
  <c r="B277" i="217"/>
  <c r="H312" i="217"/>
  <c r="H276" i="217"/>
  <c r="F312" i="217"/>
  <c r="F276" i="217"/>
  <c r="E312" i="217"/>
  <c r="E276" i="217"/>
  <c r="D312" i="217"/>
  <c r="D276" i="217"/>
  <c r="B312" i="217"/>
  <c r="B276" i="217"/>
  <c r="H311" i="217"/>
  <c r="H275" i="217"/>
  <c r="F311" i="217"/>
  <c r="F275" i="217"/>
  <c r="E311" i="217"/>
  <c r="E275" i="217"/>
  <c r="D311" i="217"/>
  <c r="D275" i="217"/>
  <c r="B311" i="217"/>
  <c r="B275" i="217"/>
  <c r="H310" i="217"/>
  <c r="H274" i="217"/>
  <c r="F310" i="217"/>
  <c r="F274" i="217"/>
  <c r="E310" i="217"/>
  <c r="E274" i="217"/>
  <c r="D310" i="217"/>
  <c r="D274" i="217"/>
  <c r="B310" i="217"/>
  <c r="B274" i="217"/>
  <c r="H309" i="217"/>
  <c r="H273" i="217"/>
  <c r="F309" i="217"/>
  <c r="F273" i="217"/>
  <c r="E309" i="217"/>
  <c r="E273" i="217"/>
  <c r="D309" i="217"/>
  <c r="D273" i="217"/>
  <c r="C309" i="217"/>
  <c r="C273" i="217"/>
  <c r="B309" i="217"/>
  <c r="B273" i="217"/>
  <c r="H308" i="217"/>
  <c r="H272" i="217"/>
  <c r="F308" i="217"/>
  <c r="F272" i="217"/>
  <c r="E308" i="217"/>
  <c r="E272" i="217"/>
  <c r="D308" i="217"/>
  <c r="D272" i="217"/>
  <c r="C308" i="217"/>
  <c r="C272" i="217"/>
  <c r="B308" i="217"/>
  <c r="B272" i="217"/>
  <c r="H307" i="217"/>
  <c r="H271" i="217"/>
  <c r="F307" i="217"/>
  <c r="F271" i="217"/>
  <c r="E307" i="217"/>
  <c r="E271" i="217"/>
  <c r="D307" i="217"/>
  <c r="D271" i="217"/>
  <c r="C307" i="217"/>
  <c r="C271" i="217"/>
  <c r="B307" i="217"/>
  <c r="B271" i="217"/>
  <c r="H306" i="217"/>
  <c r="H270" i="217"/>
  <c r="F306" i="217"/>
  <c r="F270" i="217"/>
  <c r="E306" i="217"/>
  <c r="E270" i="217"/>
  <c r="D306" i="217"/>
  <c r="D270" i="217"/>
  <c r="C306" i="217"/>
  <c r="C270" i="217"/>
  <c r="B306" i="217"/>
  <c r="B270" i="217"/>
  <c r="H298" i="217"/>
  <c r="AJ298" i="217" s="1"/>
  <c r="H262" i="217"/>
  <c r="F298" i="217"/>
  <c r="F262" i="217"/>
  <c r="E298" i="217"/>
  <c r="E262" i="217"/>
  <c r="D298" i="217"/>
  <c r="D262" i="217"/>
  <c r="C298" i="217"/>
  <c r="C262" i="217"/>
  <c r="B298" i="217"/>
  <c r="B262" i="217"/>
  <c r="I120" i="221"/>
  <c r="W195" i="217"/>
  <c r="H269" i="217"/>
  <c r="H305" i="217"/>
  <c r="W58" i="217"/>
  <c r="F305" i="217"/>
  <c r="F269" i="217"/>
  <c r="E269" i="217"/>
  <c r="E305" i="217"/>
  <c r="D305" i="217"/>
  <c r="D269" i="217"/>
  <c r="C305" i="217"/>
  <c r="C269" i="217"/>
  <c r="B305" i="217"/>
  <c r="B269" i="217"/>
  <c r="H304" i="217"/>
  <c r="H268" i="217"/>
  <c r="F304" i="217"/>
  <c r="F268" i="217"/>
  <c r="E304" i="217"/>
  <c r="E268" i="217"/>
  <c r="D304" i="217"/>
  <c r="D268" i="217"/>
  <c r="C304" i="217"/>
  <c r="C268" i="217"/>
  <c r="B268" i="217"/>
  <c r="B304" i="217"/>
  <c r="H303" i="217"/>
  <c r="H267" i="217"/>
  <c r="F267" i="217"/>
  <c r="F303" i="217"/>
  <c r="E267" i="217"/>
  <c r="E303" i="217"/>
  <c r="D303" i="217"/>
  <c r="D267" i="217"/>
  <c r="C303" i="217"/>
  <c r="C267" i="217"/>
  <c r="B303" i="217"/>
  <c r="B267" i="217"/>
  <c r="H266" i="217"/>
  <c r="H302" i="217"/>
  <c r="F266" i="217"/>
  <c r="F302" i="217"/>
  <c r="E302" i="217"/>
  <c r="E266" i="217"/>
  <c r="D266" i="217"/>
  <c r="D302" i="217"/>
  <c r="C266" i="217"/>
  <c r="C302" i="217"/>
  <c r="B302" i="217"/>
  <c r="B266" i="217"/>
  <c r="H301" i="217"/>
  <c r="H265" i="217"/>
  <c r="F301" i="217"/>
  <c r="F265" i="217"/>
  <c r="E301" i="217"/>
  <c r="E265" i="217"/>
  <c r="D301" i="217"/>
  <c r="D265" i="217"/>
  <c r="C301" i="217"/>
  <c r="C265" i="217"/>
  <c r="B301" i="217"/>
  <c r="B265" i="217"/>
  <c r="H300" i="217"/>
  <c r="H264" i="217"/>
  <c r="F300" i="217"/>
  <c r="F264" i="217"/>
  <c r="E264" i="217"/>
  <c r="E300" i="217"/>
  <c r="D300" i="217"/>
  <c r="D264" i="217"/>
  <c r="C300" i="217"/>
  <c r="C264" i="217"/>
  <c r="B300" i="217"/>
  <c r="B264" i="217"/>
  <c r="AB323" i="217"/>
  <c r="AA323" i="217"/>
  <c r="Z323" i="217"/>
  <c r="Y323" i="217"/>
  <c r="X323" i="217"/>
  <c r="H299" i="217"/>
  <c r="X324" i="217"/>
  <c r="W322" i="217"/>
  <c r="X322" i="217"/>
  <c r="Y322" i="217"/>
  <c r="Z322" i="217"/>
  <c r="AA322" i="217"/>
  <c r="AB322" i="217"/>
  <c r="AD322" i="217"/>
  <c r="AH324" i="217"/>
  <c r="AG324" i="217"/>
  <c r="AF324" i="217"/>
  <c r="AE324" i="217"/>
  <c r="AD324" i="217"/>
  <c r="AC324" i="217"/>
  <c r="AB324" i="217"/>
  <c r="AA324" i="217"/>
  <c r="Z324" i="217"/>
  <c r="Y324" i="217"/>
  <c r="W324" i="217"/>
  <c r="AH323" i="217"/>
  <c r="AG323" i="217"/>
  <c r="AE323" i="217"/>
  <c r="AF323" i="217"/>
  <c r="AD323" i="217"/>
  <c r="AC323" i="217"/>
  <c r="H263" i="217"/>
  <c r="AC322" i="217"/>
  <c r="AE322" i="217"/>
  <c r="AF322" i="217"/>
  <c r="AG322" i="217"/>
  <c r="AH322" i="217"/>
  <c r="W323" i="217"/>
  <c r="F299" i="217"/>
  <c r="F263" i="217"/>
  <c r="E263" i="217"/>
  <c r="E299" i="217"/>
  <c r="D263" i="217"/>
  <c r="D299" i="217"/>
  <c r="C263" i="217"/>
  <c r="C299" i="217"/>
  <c r="B263" i="217"/>
  <c r="B299" i="217"/>
  <c r="M15" i="230"/>
  <c r="W26" i="219"/>
  <c r="I104" i="220"/>
  <c r="I100" i="221"/>
  <c r="G24" i="232"/>
  <c r="F24" i="232"/>
  <c r="E24" i="232"/>
  <c r="T22" i="246"/>
  <c r="T29" i="246" s="1"/>
  <c r="V29" i="246"/>
  <c r="X22" i="246"/>
  <c r="F16" i="246"/>
  <c r="J14" i="246"/>
  <c r="E14" i="246"/>
  <c r="E17" i="246"/>
  <c r="E18" i="246"/>
  <c r="J18" i="246" s="1"/>
  <c r="E16" i="246"/>
  <c r="I17" i="221"/>
  <c r="E7" i="246"/>
  <c r="E4" i="246"/>
  <c r="E6" i="246"/>
  <c r="E5" i="246"/>
  <c r="C5" i="246" s="1"/>
  <c r="I143" i="219"/>
  <c r="H23" i="220"/>
  <c r="E23" i="220"/>
  <c r="AW10" i="198"/>
  <c r="S10" i="198"/>
  <c r="W8" i="219"/>
  <c r="W12" i="219" s="1"/>
  <c r="AR10" i="198"/>
  <c r="N10" i="198"/>
  <c r="I150" i="204"/>
  <c r="I15" i="219"/>
  <c r="I189" i="220"/>
  <c r="AF145" i="159"/>
  <c r="AF147" i="159" s="1"/>
  <c r="AE145" i="159"/>
  <c r="AE147" i="159" s="1"/>
  <c r="AD145" i="159"/>
  <c r="AD147" i="159" s="1"/>
  <c r="AC145" i="159"/>
  <c r="AC147" i="159" s="1"/>
  <c r="AB145" i="159"/>
  <c r="AB147" i="159" s="1"/>
  <c r="AA145" i="159"/>
  <c r="AA147" i="159" s="1"/>
  <c r="Z145" i="159"/>
  <c r="Z147" i="159" s="1"/>
  <c r="Y145" i="159"/>
  <c r="Y147" i="159" s="1"/>
  <c r="X145" i="159"/>
  <c r="X147" i="159" s="1"/>
  <c r="W145" i="159"/>
  <c r="W147" i="159" s="1"/>
  <c r="V145" i="159"/>
  <c r="V147" i="159" s="1"/>
  <c r="U145" i="159"/>
  <c r="T145" i="159"/>
  <c r="T147" i="159" s="1"/>
  <c r="S145" i="159"/>
  <c r="S147" i="159" s="1"/>
  <c r="R145" i="159"/>
  <c r="R147" i="159" s="1"/>
  <c r="Q145" i="159"/>
  <c r="Q147" i="159" s="1"/>
  <c r="P145" i="159"/>
  <c r="P147" i="159" s="1"/>
  <c r="O145" i="159"/>
  <c r="O147" i="159" s="1"/>
  <c r="N145" i="159"/>
  <c r="N147" i="159" s="1"/>
  <c r="N149" i="159" s="1"/>
  <c r="N4" i="159" s="1"/>
  <c r="N5" i="159" s="1"/>
  <c r="M145" i="159"/>
  <c r="M147" i="159" s="1"/>
  <c r="M149" i="159" s="1"/>
  <c r="M4" i="159" s="1"/>
  <c r="M5" i="159" s="1"/>
  <c r="L145" i="159"/>
  <c r="L147" i="159" s="1"/>
  <c r="L149" i="159" s="1"/>
  <c r="K145" i="159"/>
  <c r="K147" i="159" s="1"/>
  <c r="K149" i="159" s="1"/>
  <c r="J145" i="159"/>
  <c r="J147" i="159" s="1"/>
  <c r="J149" i="159" s="1"/>
  <c r="AG144" i="159"/>
  <c r="I145" i="159"/>
  <c r="I148" i="221"/>
  <c r="I77" i="206"/>
  <c r="I194" i="220"/>
  <c r="E22" i="230"/>
  <c r="N20" i="230"/>
  <c r="E19" i="230"/>
  <c r="J16" i="230"/>
  <c r="F16" i="230"/>
  <c r="O22" i="230"/>
  <c r="K19" i="230"/>
  <c r="O16" i="230"/>
  <c r="K22" i="230"/>
  <c r="M19" i="230"/>
  <c r="N17" i="230"/>
  <c r="I16" i="230"/>
  <c r="J13" i="230"/>
  <c r="G13" i="230"/>
  <c r="F54" i="230"/>
  <c r="N19" i="230"/>
  <c r="P16" i="230"/>
  <c r="I54" i="230"/>
  <c r="O19" i="230"/>
  <c r="M17" i="230"/>
  <c r="E15" i="230"/>
  <c r="T44" i="227"/>
  <c r="F44" i="227"/>
  <c r="B204" i="204"/>
  <c r="B206" i="198"/>
  <c r="H49" i="190"/>
  <c r="I41" i="221"/>
  <c r="I182" i="220"/>
  <c r="I149" i="219"/>
  <c r="Q31" i="218"/>
  <c r="N31" i="218"/>
  <c r="K31" i="218"/>
  <c r="M31" i="218"/>
  <c r="Q31" i="204"/>
  <c r="U24" i="204"/>
  <c r="T31" i="204"/>
  <c r="U31" i="218"/>
  <c r="O24" i="204"/>
  <c r="P24" i="204"/>
  <c r="V24" i="204"/>
  <c r="R31" i="218"/>
  <c r="S31" i="218"/>
  <c r="L24" i="204"/>
  <c r="T31" i="218"/>
  <c r="M24" i="204"/>
  <c r="V31" i="218"/>
  <c r="Q24" i="204"/>
  <c r="R24" i="204"/>
  <c r="L31" i="218"/>
  <c r="N31" i="204"/>
  <c r="P31" i="218"/>
  <c r="O31" i="218"/>
  <c r="D5" i="243"/>
  <c r="E5" i="243" s="1"/>
  <c r="Q185" i="227"/>
  <c r="Q201" i="227" s="1"/>
  <c r="Q207" i="227" s="1"/>
  <c r="U56" i="235"/>
  <c r="X56" i="234"/>
  <c r="S56" i="234"/>
  <c r="T19" i="223"/>
  <c r="H153" i="226"/>
  <c r="F153" i="226" s="1"/>
  <c r="F44" i="226"/>
  <c r="X40" i="217"/>
  <c r="AB40" i="217"/>
  <c r="AF40" i="217"/>
  <c r="F74" i="217"/>
  <c r="AD40" i="217"/>
  <c r="Y40" i="217"/>
  <c r="F214" i="217"/>
  <c r="F179" i="217"/>
  <c r="F144" i="217"/>
  <c r="W40" i="217"/>
  <c r="F249" i="217"/>
  <c r="AG40" i="217"/>
  <c r="F109" i="217"/>
  <c r="Z40" i="217"/>
  <c r="AE40" i="217"/>
  <c r="AA40" i="217"/>
  <c r="AC40" i="217"/>
  <c r="AH40" i="217"/>
  <c r="W39" i="217"/>
  <c r="F73" i="217"/>
  <c r="AB39" i="217"/>
  <c r="F143" i="217"/>
  <c r="F213" i="217"/>
  <c r="F178" i="217"/>
  <c r="F108" i="217"/>
  <c r="AH39" i="217"/>
  <c r="F248" i="217"/>
  <c r="Y39" i="217"/>
  <c r="AG39" i="217"/>
  <c r="AF39" i="217"/>
  <c r="AE39" i="217"/>
  <c r="AD39" i="217"/>
  <c r="AC39" i="217"/>
  <c r="AA39" i="217"/>
  <c r="Z39" i="217"/>
  <c r="X39" i="217"/>
  <c r="F142" i="217"/>
  <c r="AG38" i="217"/>
  <c r="AE38" i="217"/>
  <c r="AB38" i="217"/>
  <c r="AD38" i="217"/>
  <c r="Y38" i="217"/>
  <c r="AH38" i="217"/>
  <c r="F72" i="217"/>
  <c r="W38" i="217"/>
  <c r="Z38" i="217"/>
  <c r="F212" i="217"/>
  <c r="AF38" i="217"/>
  <c r="F247" i="217"/>
  <c r="X38" i="217"/>
  <c r="AA38" i="217"/>
  <c r="AA107" i="217" s="1"/>
  <c r="F107" i="217"/>
  <c r="AC38" i="217"/>
  <c r="F177" i="217"/>
  <c r="F246" i="217"/>
  <c r="AH37" i="217"/>
  <c r="AE37" i="217"/>
  <c r="AE176" i="217" s="1"/>
  <c r="AD37" i="217"/>
  <c r="AD176" i="217" s="1"/>
  <c r="AB37" i="217"/>
  <c r="AB141" i="217" s="1"/>
  <c r="Z37" i="217"/>
  <c r="Z71" i="217" s="1"/>
  <c r="W37" i="217"/>
  <c r="W106" i="217" s="1"/>
  <c r="AF37" i="217"/>
  <c r="AF246" i="217" s="1"/>
  <c r="AC37" i="217"/>
  <c r="AC71" i="217" s="1"/>
  <c r="Y37" i="217"/>
  <c r="Y176" i="217" s="1"/>
  <c r="F211" i="217"/>
  <c r="F176" i="217"/>
  <c r="AG37" i="217"/>
  <c r="AG106" i="217" s="1"/>
  <c r="AA37" i="217"/>
  <c r="AA71" i="217" s="1"/>
  <c r="X37" i="217"/>
  <c r="X141" i="217" s="1"/>
  <c r="F141" i="217"/>
  <c r="F106" i="217"/>
  <c r="F71" i="217"/>
  <c r="F140" i="217"/>
  <c r="Z36" i="217"/>
  <c r="F210" i="217"/>
  <c r="AE36" i="217"/>
  <c r="AE105" i="217" s="1"/>
  <c r="AH36" i="217"/>
  <c r="AH70" i="217" s="1"/>
  <c r="F245" i="217"/>
  <c r="F70" i="217"/>
  <c r="AF36" i="217"/>
  <c r="AF105" i="217" s="1"/>
  <c r="AC36" i="217"/>
  <c r="AC175" i="217" s="1"/>
  <c r="AA36" i="217"/>
  <c r="AA70" i="217" s="1"/>
  <c r="Y36" i="217"/>
  <c r="W36" i="217"/>
  <c r="AB36" i="217"/>
  <c r="AB175" i="217" s="1"/>
  <c r="X36" i="217"/>
  <c r="AG36" i="217"/>
  <c r="AG105" i="217" s="1"/>
  <c r="AD36" i="217"/>
  <c r="AD175" i="217" s="1"/>
  <c r="F175" i="217"/>
  <c r="F105" i="217"/>
  <c r="AH35" i="217"/>
  <c r="AB35" i="217"/>
  <c r="X35" i="217"/>
  <c r="X69" i="217" s="1"/>
  <c r="F209" i="217"/>
  <c r="F69" i="217"/>
  <c r="F174" i="217"/>
  <c r="F244" i="217"/>
  <c r="AE35" i="217"/>
  <c r="F104" i="217"/>
  <c r="W35" i="217"/>
  <c r="W174" i="217" s="1"/>
  <c r="AF35" i="217"/>
  <c r="AD35" i="217"/>
  <c r="Z35" i="217"/>
  <c r="AC35" i="217"/>
  <c r="AA35" i="217"/>
  <c r="AG35" i="217"/>
  <c r="Y35" i="217"/>
  <c r="Y104" i="217" s="1"/>
  <c r="F139" i="217"/>
  <c r="F103" i="217"/>
  <c r="F173" i="217"/>
  <c r="AC34" i="217"/>
  <c r="AC173" i="217" s="1"/>
  <c r="AG34" i="217"/>
  <c r="AG173" i="217" s="1"/>
  <c r="AB34" i="217"/>
  <c r="AB173" i="217" s="1"/>
  <c r="F208" i="217"/>
  <c r="W34" i="217"/>
  <c r="W103" i="217" s="1"/>
  <c r="Z34" i="217"/>
  <c r="Z138" i="217" s="1"/>
  <c r="AE34" i="217"/>
  <c r="AE68" i="217" s="1"/>
  <c r="F138" i="217"/>
  <c r="AH34" i="217"/>
  <c r="AH173" i="217" s="1"/>
  <c r="AA34" i="217"/>
  <c r="AA173" i="217" s="1"/>
  <c r="X34" i="217"/>
  <c r="Y34" i="217"/>
  <c r="Y68" i="217" s="1"/>
  <c r="F243" i="217"/>
  <c r="F68" i="217"/>
  <c r="AF34" i="217"/>
  <c r="AF68" i="217" s="1"/>
  <c r="AD34" i="217"/>
  <c r="AD173" i="217" s="1"/>
  <c r="AE33" i="217"/>
  <c r="AE67" i="217" s="1"/>
  <c r="F67" i="217"/>
  <c r="AG33" i="217"/>
  <c r="AG137" i="217" s="1"/>
  <c r="AA33" i="217"/>
  <c r="AA102" i="217" s="1"/>
  <c r="F102" i="217"/>
  <c r="F172" i="217"/>
  <c r="F242" i="217"/>
  <c r="AF33" i="217"/>
  <c r="AF102" i="217" s="1"/>
  <c r="F137" i="217"/>
  <c r="AC33" i="217"/>
  <c r="AC137" i="217" s="1"/>
  <c r="AH33" i="217"/>
  <c r="AH137" i="217" s="1"/>
  <c r="F207" i="217"/>
  <c r="X33" i="217"/>
  <c r="X242" i="217" s="1"/>
  <c r="AB33" i="217"/>
  <c r="AB102" i="217" s="1"/>
  <c r="AD33" i="217"/>
  <c r="AD102" i="217" s="1"/>
  <c r="Z33" i="217"/>
  <c r="Z137" i="217" s="1"/>
  <c r="W33" i="217"/>
  <c r="W172" i="217" s="1"/>
  <c r="I204" i="219"/>
  <c r="G54" i="240"/>
  <c r="G55" i="240" s="1"/>
  <c r="I54" i="240"/>
  <c r="B51" i="230"/>
  <c r="C51" i="230"/>
  <c r="I133" i="218"/>
  <c r="I119" i="221"/>
  <c r="C32" i="230"/>
  <c r="B32" i="230"/>
  <c r="H49" i="236"/>
  <c r="J77" i="240"/>
  <c r="K75" i="240"/>
  <c r="M124" i="243" s="1"/>
  <c r="I48" i="221"/>
  <c r="I28" i="220"/>
  <c r="I111" i="221"/>
  <c r="I25" i="221"/>
  <c r="I204" i="220"/>
  <c r="I135" i="221"/>
  <c r="I157" i="220"/>
  <c r="I178" i="221"/>
  <c r="I144" i="219"/>
  <c r="I158" i="221"/>
  <c r="I64" i="221"/>
  <c r="I100" i="206"/>
  <c r="I37" i="221"/>
  <c r="I27" i="218"/>
  <c r="I138" i="204"/>
  <c r="I164" i="220"/>
  <c r="I142" i="218"/>
  <c r="I196" i="219"/>
  <c r="I116" i="220"/>
  <c r="I16" i="218"/>
  <c r="I125" i="219"/>
  <c r="I116" i="218"/>
  <c r="I182" i="218"/>
  <c r="I100" i="218"/>
  <c r="I8" i="218"/>
  <c r="I27" i="220"/>
  <c r="I187" i="219"/>
  <c r="I64" i="218"/>
  <c r="I10" i="220"/>
  <c r="I191" i="204"/>
  <c r="I163" i="204"/>
  <c r="I145" i="218"/>
  <c r="I82" i="221"/>
  <c r="I109" i="221"/>
  <c r="I65" i="221"/>
  <c r="I140" i="219"/>
  <c r="I118" i="219"/>
  <c r="AF206" i="217"/>
  <c r="AC206" i="217"/>
  <c r="AH206" i="217"/>
  <c r="AA206" i="217"/>
  <c r="Y206" i="217"/>
  <c r="X206" i="217"/>
  <c r="AD206" i="217"/>
  <c r="AB206" i="217"/>
  <c r="Z206" i="217"/>
  <c r="AG206" i="217"/>
  <c r="W206" i="217"/>
  <c r="AE206" i="217"/>
  <c r="AG205" i="217"/>
  <c r="AH205" i="217"/>
  <c r="AF205" i="217"/>
  <c r="AD205" i="217"/>
  <c r="AB205" i="217"/>
  <c r="W205" i="217"/>
  <c r="AE205" i="217"/>
  <c r="AC205" i="217"/>
  <c r="Y205" i="217"/>
  <c r="AA205" i="217"/>
  <c r="Z205" i="217"/>
  <c r="X205" i="217"/>
  <c r="AF136" i="217"/>
  <c r="AF277" i="217" s="1"/>
  <c r="AC136" i="217"/>
  <c r="AA136" i="217"/>
  <c r="Z136" i="217"/>
  <c r="Z277" i="217" s="1"/>
  <c r="W136" i="217"/>
  <c r="Y136" i="217"/>
  <c r="Y277" i="217" s="1"/>
  <c r="AB136" i="217"/>
  <c r="AB277" i="217" s="1"/>
  <c r="AG136" i="217"/>
  <c r="AG277" i="217" s="1"/>
  <c r="AD136" i="217"/>
  <c r="X136" i="217"/>
  <c r="X277" i="217" s="1"/>
  <c r="AE136" i="217"/>
  <c r="AH136" i="217"/>
  <c r="I285" i="217"/>
  <c r="I321" i="217"/>
  <c r="I320" i="217"/>
  <c r="I284" i="217"/>
  <c r="I319" i="217"/>
  <c r="I283" i="217"/>
  <c r="I318" i="217"/>
  <c r="I282" i="217"/>
  <c r="I281" i="217"/>
  <c r="I317" i="217"/>
  <c r="I316" i="217"/>
  <c r="I280" i="217"/>
  <c r="I279" i="217"/>
  <c r="I315" i="217"/>
  <c r="I278" i="217"/>
  <c r="I314" i="217"/>
  <c r="I277" i="217"/>
  <c r="I313" i="217"/>
  <c r="I312" i="217"/>
  <c r="I276" i="217"/>
  <c r="I309" i="217"/>
  <c r="I273" i="217"/>
  <c r="I308" i="217"/>
  <c r="I272" i="217"/>
  <c r="I271" i="217"/>
  <c r="I307" i="217"/>
  <c r="Y67" i="217"/>
  <c r="Y172" i="217"/>
  <c r="Y102" i="217"/>
  <c r="Y137" i="217"/>
  <c r="Y242" i="217"/>
  <c r="AH135" i="217"/>
  <c r="AH65" i="217"/>
  <c r="AJ31" i="217"/>
  <c r="AH100" i="217"/>
  <c r="AH240" i="217"/>
  <c r="AH170" i="217"/>
  <c r="AG240" i="217"/>
  <c r="AG65" i="217"/>
  <c r="AG170" i="217"/>
  <c r="AG100" i="217"/>
  <c r="AG135" i="217"/>
  <c r="AF100" i="217"/>
  <c r="AF170" i="217"/>
  <c r="AF240" i="217"/>
  <c r="AF135" i="217"/>
  <c r="AF65" i="217"/>
  <c r="AE65" i="217"/>
  <c r="AE240" i="217"/>
  <c r="AE100" i="217"/>
  <c r="AE170" i="217"/>
  <c r="AE135" i="217"/>
  <c r="AD240" i="217"/>
  <c r="AD65" i="217"/>
  <c r="AD100" i="217"/>
  <c r="AD135" i="217"/>
  <c r="AD170" i="217"/>
  <c r="AC170" i="217"/>
  <c r="AC100" i="217"/>
  <c r="AC240" i="217"/>
  <c r="AC135" i="217"/>
  <c r="AC65" i="217"/>
  <c r="AB240" i="217"/>
  <c r="AB65" i="217"/>
  <c r="AB135" i="217"/>
  <c r="AB170" i="217"/>
  <c r="AB100" i="217"/>
  <c r="AA100" i="217"/>
  <c r="AA240" i="217"/>
  <c r="AA65" i="217"/>
  <c r="AA170" i="217"/>
  <c r="AA135" i="217"/>
  <c r="Z100" i="217"/>
  <c r="Z170" i="217"/>
  <c r="Z135" i="217"/>
  <c r="Z65" i="217"/>
  <c r="Z240" i="217"/>
  <c r="Y65" i="217"/>
  <c r="Y135" i="217"/>
  <c r="Y240" i="217"/>
  <c r="Y170" i="217"/>
  <c r="Y100" i="217"/>
  <c r="X170" i="217"/>
  <c r="X135" i="217"/>
  <c r="X240" i="217"/>
  <c r="X65" i="217"/>
  <c r="X100" i="217"/>
  <c r="AI31" i="217"/>
  <c r="W135" i="217"/>
  <c r="W170" i="217"/>
  <c r="W240" i="217"/>
  <c r="W100" i="217"/>
  <c r="W65" i="217"/>
  <c r="X239" i="217"/>
  <c r="X64" i="217"/>
  <c r="X99" i="217"/>
  <c r="X134" i="217"/>
  <c r="X169" i="217"/>
  <c r="W134" i="217"/>
  <c r="W169" i="217"/>
  <c r="W99" i="217"/>
  <c r="W239" i="217"/>
  <c r="W64" i="217"/>
  <c r="AH62" i="217"/>
  <c r="AH167" i="217"/>
  <c r="AH237" i="217"/>
  <c r="AH97" i="217"/>
  <c r="AJ28" i="217"/>
  <c r="AH132" i="217"/>
  <c r="AG62" i="217"/>
  <c r="AG132" i="217"/>
  <c r="AG167" i="217"/>
  <c r="AG97" i="217"/>
  <c r="AG237" i="217"/>
  <c r="AF237" i="217"/>
  <c r="AF97" i="217"/>
  <c r="AF132" i="217"/>
  <c r="AF167" i="217"/>
  <c r="AF62" i="217"/>
  <c r="AE97" i="217"/>
  <c r="AE62" i="217"/>
  <c r="AE132" i="217"/>
  <c r="AE167" i="217"/>
  <c r="AE237" i="217"/>
  <c r="AD62" i="217"/>
  <c r="AD237" i="217"/>
  <c r="AD97" i="217"/>
  <c r="AD132" i="217"/>
  <c r="AD167" i="217"/>
  <c r="AC62" i="217"/>
  <c r="AC97" i="217"/>
  <c r="AC237" i="217"/>
  <c r="AC132" i="217"/>
  <c r="AC167" i="217"/>
  <c r="AB97" i="217"/>
  <c r="AB237" i="217"/>
  <c r="AB62" i="217"/>
  <c r="AB132" i="217"/>
  <c r="AB167" i="217"/>
  <c r="AA62" i="217"/>
  <c r="AA237" i="217"/>
  <c r="AA97" i="217"/>
  <c r="AA132" i="217"/>
  <c r="AA167" i="217"/>
  <c r="Z237" i="217"/>
  <c r="Z132" i="217"/>
  <c r="Z97" i="217"/>
  <c r="Z167" i="217"/>
  <c r="Z62" i="217"/>
  <c r="Y132" i="217"/>
  <c r="Y167" i="217"/>
  <c r="Y62" i="217"/>
  <c r="Y237" i="217"/>
  <c r="Y97" i="217"/>
  <c r="X62" i="217"/>
  <c r="X97" i="217"/>
  <c r="X237" i="217"/>
  <c r="X132" i="217"/>
  <c r="X167" i="217"/>
  <c r="W62" i="217"/>
  <c r="W97" i="217"/>
  <c r="W167" i="217"/>
  <c r="W132" i="217"/>
  <c r="AI28" i="217"/>
  <c r="W237" i="217"/>
  <c r="AH236" i="217"/>
  <c r="AH61" i="217"/>
  <c r="AH96" i="217"/>
  <c r="AH131" i="217"/>
  <c r="AH166" i="217"/>
  <c r="AJ27" i="217"/>
  <c r="AG96" i="217"/>
  <c r="AG61" i="217"/>
  <c r="AG166" i="217"/>
  <c r="AG236" i="217"/>
  <c r="AG131" i="217"/>
  <c r="AF236" i="217"/>
  <c r="AF166" i="217"/>
  <c r="AF96" i="217"/>
  <c r="AF131" i="217"/>
  <c r="AF61" i="217"/>
  <c r="AE166" i="217"/>
  <c r="AE236" i="217"/>
  <c r="AE61" i="217"/>
  <c r="AE96" i="217"/>
  <c r="AE131" i="217"/>
  <c r="AD96" i="217"/>
  <c r="AD131" i="217"/>
  <c r="AD166" i="217"/>
  <c r="AD236" i="217"/>
  <c r="AD61" i="217"/>
  <c r="AC96" i="217"/>
  <c r="AC166" i="217"/>
  <c r="AC61" i="217"/>
  <c r="AC131" i="217"/>
  <c r="AC236" i="217"/>
  <c r="AB131" i="217"/>
  <c r="AB236" i="217"/>
  <c r="AB96" i="217"/>
  <c r="AB61" i="217"/>
  <c r="AB166" i="217"/>
  <c r="AA236" i="217"/>
  <c r="AA61" i="217"/>
  <c r="AA166" i="217"/>
  <c r="AA131" i="217"/>
  <c r="AA96" i="217"/>
  <c r="Z236" i="217"/>
  <c r="Z166" i="217"/>
  <c r="Z61" i="217"/>
  <c r="Z96" i="217"/>
  <c r="Z131" i="217"/>
  <c r="Y61" i="217"/>
  <c r="Y236" i="217"/>
  <c r="Y131" i="217"/>
  <c r="Y96" i="217"/>
  <c r="Y166" i="217"/>
  <c r="X96" i="217"/>
  <c r="X236" i="217"/>
  <c r="X131" i="217"/>
  <c r="X166" i="217"/>
  <c r="X61" i="217"/>
  <c r="W61" i="217"/>
  <c r="W236" i="217"/>
  <c r="W166" i="217"/>
  <c r="AI27" i="217"/>
  <c r="W96" i="217"/>
  <c r="W131" i="217"/>
  <c r="AJ26" i="217"/>
  <c r="AH60" i="217"/>
  <c r="AI26" i="217"/>
  <c r="W60" i="217"/>
  <c r="AF53" i="217"/>
  <c r="AF228" i="217"/>
  <c r="AF88" i="217"/>
  <c r="AF123" i="217"/>
  <c r="AF158" i="217"/>
  <c r="AE123" i="217"/>
  <c r="AE88" i="217"/>
  <c r="AE158" i="217"/>
  <c r="AE53" i="217"/>
  <c r="AE228" i="217"/>
  <c r="AD88" i="217"/>
  <c r="AD123" i="217"/>
  <c r="AD53" i="217"/>
  <c r="AD228" i="217"/>
  <c r="AD158" i="217"/>
  <c r="AC88" i="217"/>
  <c r="AC228" i="217"/>
  <c r="AC53" i="217"/>
  <c r="AC123" i="217"/>
  <c r="AC158" i="217"/>
  <c r="AB228" i="217"/>
  <c r="AB158" i="217"/>
  <c r="AB88" i="217"/>
  <c r="AB53" i="217"/>
  <c r="AB123" i="217"/>
  <c r="AA88" i="217"/>
  <c r="AA53" i="217"/>
  <c r="AA158" i="217"/>
  <c r="AA228" i="217"/>
  <c r="AA123" i="217"/>
  <c r="Z228" i="217"/>
  <c r="Z158" i="217"/>
  <c r="Z53" i="217"/>
  <c r="Z88" i="217"/>
  <c r="Z123" i="217"/>
  <c r="Y123" i="217"/>
  <c r="Y158" i="217"/>
  <c r="Y228" i="217"/>
  <c r="Y88" i="217"/>
  <c r="Y53" i="217"/>
  <c r="X53" i="217"/>
  <c r="X158" i="217"/>
  <c r="X228" i="217"/>
  <c r="X88" i="217"/>
  <c r="X123" i="217"/>
  <c r="W123" i="217"/>
  <c r="W158" i="217"/>
  <c r="W88" i="217"/>
  <c r="W53" i="217"/>
  <c r="W228" i="217"/>
  <c r="AJ18" i="217"/>
  <c r="AJ122" i="217" s="1"/>
  <c r="AH87" i="217"/>
  <c r="AH122" i="217"/>
  <c r="AH227" i="217"/>
  <c r="AH52" i="217"/>
  <c r="AG122" i="217"/>
  <c r="AG52" i="217"/>
  <c r="AG87" i="217"/>
  <c r="AG227" i="217"/>
  <c r="AF122" i="217"/>
  <c r="AF227" i="217"/>
  <c r="AF87" i="217"/>
  <c r="AF52" i="217"/>
  <c r="AE122" i="217"/>
  <c r="AE227" i="217"/>
  <c r="AE52" i="217"/>
  <c r="AE87" i="217"/>
  <c r="AD87" i="217"/>
  <c r="AD52" i="217"/>
  <c r="AD122" i="217"/>
  <c r="AD227" i="217"/>
  <c r="AC87" i="217"/>
  <c r="AC227" i="217"/>
  <c r="AC122" i="217"/>
  <c r="AC52" i="217"/>
  <c r="AB87" i="217"/>
  <c r="AB122" i="217"/>
  <c r="AB227" i="217"/>
  <c r="AB52" i="217"/>
  <c r="AA122" i="217"/>
  <c r="AA87" i="217"/>
  <c r="AA227" i="217"/>
  <c r="AA52" i="217"/>
  <c r="Z87" i="217"/>
  <c r="Z122" i="217"/>
  <c r="Z227" i="217"/>
  <c r="Z52" i="217"/>
  <c r="Y227" i="217"/>
  <c r="Y87" i="217"/>
  <c r="Y122" i="217"/>
  <c r="Y52" i="217"/>
  <c r="X227" i="217"/>
  <c r="X52" i="217"/>
  <c r="X87" i="217"/>
  <c r="X122" i="217"/>
  <c r="AI18" i="217"/>
  <c r="W227" i="217"/>
  <c r="W122" i="217"/>
  <c r="W52" i="217"/>
  <c r="W87" i="217"/>
  <c r="I115" i="204"/>
  <c r="AJ17" i="217"/>
  <c r="AK17" i="217" s="1"/>
  <c r="AI17" i="217"/>
  <c r="W298" i="217"/>
  <c r="AD25" i="217"/>
  <c r="AC25" i="217"/>
  <c r="AB25" i="217"/>
  <c r="AF25" i="217"/>
  <c r="AG25" i="217"/>
  <c r="AE25" i="217"/>
  <c r="W25" i="217"/>
  <c r="X25" i="217"/>
  <c r="Y25" i="217"/>
  <c r="Z25" i="217"/>
  <c r="AA25" i="217"/>
  <c r="AH25" i="217"/>
  <c r="W21" i="217"/>
  <c r="AE21" i="217"/>
  <c r="AH21" i="217"/>
  <c r="AG21" i="217"/>
  <c r="AF21" i="217"/>
  <c r="X21" i="217"/>
  <c r="AD21" i="217"/>
  <c r="AC21" i="217"/>
  <c r="AB21" i="217"/>
  <c r="AA21" i="217"/>
  <c r="Z21" i="217"/>
  <c r="Y21" i="217"/>
  <c r="AH19" i="217"/>
  <c r="AG19" i="217"/>
  <c r="Z199" i="217"/>
  <c r="X199" i="217"/>
  <c r="AE199" i="217"/>
  <c r="AG199" i="217"/>
  <c r="AC199" i="217"/>
  <c r="AA199" i="217"/>
  <c r="Y199" i="217"/>
  <c r="W199" i="217"/>
  <c r="AH199" i="217"/>
  <c r="AF199" i="217"/>
  <c r="AD199" i="217"/>
  <c r="AB199" i="217"/>
  <c r="Z195" i="217"/>
  <c r="AA195" i="217"/>
  <c r="AB195" i="217"/>
  <c r="AD195" i="217"/>
  <c r="AE195" i="217"/>
  <c r="AF195" i="217"/>
  <c r="AH195" i="217"/>
  <c r="X195" i="217"/>
  <c r="AC195" i="217"/>
  <c r="Y195" i="217"/>
  <c r="AG195" i="217"/>
  <c r="AE193" i="217"/>
  <c r="AC193" i="217"/>
  <c r="AB193" i="217"/>
  <c r="W193" i="217"/>
  <c r="AH193" i="217"/>
  <c r="AG193" i="217"/>
  <c r="AA193" i="217"/>
  <c r="Z193" i="217"/>
  <c r="Y193" i="217"/>
  <c r="AF193" i="217"/>
  <c r="AD193" i="217"/>
  <c r="X193" i="217"/>
  <c r="AG192" i="217"/>
  <c r="Y192" i="217"/>
  <c r="AA192" i="217"/>
  <c r="AH192" i="217"/>
  <c r="AD192" i="217"/>
  <c r="AB192" i="217"/>
  <c r="Z192" i="217"/>
  <c r="X192" i="217"/>
  <c r="AC192" i="217"/>
  <c r="AF192" i="217"/>
  <c r="AE192" i="217"/>
  <c r="W192" i="217"/>
  <c r="I306" i="217"/>
  <c r="I270" i="217"/>
  <c r="I302" i="217"/>
  <c r="I266" i="217"/>
  <c r="I300" i="217"/>
  <c r="I264" i="217"/>
  <c r="I299" i="217"/>
  <c r="I263" i="217"/>
  <c r="I298" i="217"/>
  <c r="I262" i="217"/>
  <c r="I38" i="204"/>
  <c r="AH22" i="217"/>
  <c r="AG22" i="217"/>
  <c r="AF22" i="217"/>
  <c r="AE22" i="217"/>
  <c r="AD22" i="217"/>
  <c r="AC22" i="217"/>
  <c r="AB22" i="217"/>
  <c r="AA22" i="217"/>
  <c r="Z22" i="217"/>
  <c r="Y22" i="217"/>
  <c r="X22" i="217"/>
  <c r="W22" i="217"/>
  <c r="I231" i="217"/>
  <c r="I126" i="217"/>
  <c r="I56" i="217"/>
  <c r="I196" i="217"/>
  <c r="I161" i="217"/>
  <c r="I91" i="217"/>
  <c r="I158" i="204"/>
  <c r="I122" i="218"/>
  <c r="V46" i="217"/>
  <c r="AH32" i="217"/>
  <c r="U46" i="217"/>
  <c r="AG32" i="217"/>
  <c r="T46" i="217"/>
  <c r="AF32" i="217"/>
  <c r="AF313" i="217" s="1"/>
  <c r="S46" i="217"/>
  <c r="AE32" i="217"/>
  <c r="R46" i="217"/>
  <c r="AD32" i="217"/>
  <c r="AD313" i="217" s="1"/>
  <c r="Q46" i="217"/>
  <c r="AC32" i="217"/>
  <c r="P46" i="217"/>
  <c r="AB32" i="217"/>
  <c r="O46" i="217"/>
  <c r="AA32" i="217"/>
  <c r="N46" i="217"/>
  <c r="Z32" i="217"/>
  <c r="M46" i="217"/>
  <c r="Y32" i="217"/>
  <c r="L46" i="217"/>
  <c r="X32" i="217"/>
  <c r="K46" i="217"/>
  <c r="W32" i="217"/>
  <c r="I96" i="206"/>
  <c r="I8" i="219"/>
  <c r="I188" i="204"/>
  <c r="I15" i="218"/>
  <c r="I181" i="204"/>
  <c r="I94" i="206"/>
  <c r="I160" i="218"/>
  <c r="I187" i="222"/>
  <c r="I127" i="219"/>
  <c r="I26" i="218"/>
  <c r="I49" i="204"/>
  <c r="I29" i="218"/>
  <c r="I177" i="219"/>
  <c r="I157" i="204"/>
  <c r="I88" i="221"/>
  <c r="I130" i="219"/>
  <c r="I176" i="221"/>
  <c r="I168" i="221"/>
  <c r="I94" i="221"/>
  <c r="I111" i="220"/>
  <c r="I49" i="218"/>
  <c r="I191" i="220"/>
  <c r="I129" i="218"/>
  <c r="I50" i="218"/>
  <c r="I134" i="220"/>
  <c r="I130" i="220"/>
  <c r="I63" i="219"/>
  <c r="I150" i="218"/>
  <c r="I10" i="218"/>
  <c r="I160" i="220"/>
  <c r="I131" i="219"/>
  <c r="I187" i="218"/>
  <c r="I41" i="218"/>
  <c r="I114" i="204"/>
  <c r="I96" i="220"/>
  <c r="I113" i="204"/>
  <c r="I64" i="204"/>
  <c r="I120" i="204"/>
  <c r="I164" i="221"/>
  <c r="I160" i="221"/>
  <c r="I150" i="221"/>
  <c r="I131" i="221"/>
  <c r="I127" i="221"/>
  <c r="I36" i="221"/>
  <c r="I190" i="220"/>
  <c r="I188" i="220"/>
  <c r="I48" i="220"/>
  <c r="I162" i="219"/>
  <c r="I133" i="219"/>
  <c r="I113" i="219"/>
  <c r="I163" i="218"/>
  <c r="I127" i="218"/>
  <c r="I123" i="218"/>
  <c r="I205" i="204"/>
  <c r="I130" i="221"/>
  <c r="I26" i="221"/>
  <c r="I168" i="220"/>
  <c r="I175" i="219"/>
  <c r="I134" i="219"/>
  <c r="I196" i="218"/>
  <c r="I191" i="218"/>
  <c r="I190" i="218"/>
  <c r="I47" i="218"/>
  <c r="I28" i="218"/>
  <c r="I204" i="204"/>
  <c r="I161" i="204"/>
  <c r="I109" i="204"/>
  <c r="I65" i="204"/>
  <c r="I30" i="204"/>
  <c r="I12" i="204"/>
  <c r="I141" i="218"/>
  <c r="I163" i="220"/>
  <c r="I116" i="219"/>
  <c r="I76" i="218"/>
  <c r="I96" i="204"/>
  <c r="AG271" i="217"/>
  <c r="AG307" i="217"/>
  <c r="AF271" i="217"/>
  <c r="AF307" i="217"/>
  <c r="AB271" i="217"/>
  <c r="AB307" i="217"/>
  <c r="X271" i="217"/>
  <c r="X307" i="217"/>
  <c r="I48" i="204"/>
  <c r="AX202" i="198"/>
  <c r="AX22" i="198"/>
  <c r="AD56" i="233"/>
  <c r="Z56" i="233"/>
  <c r="T56" i="233"/>
  <c r="Q12" i="233"/>
  <c r="U56" i="232"/>
  <c r="W56" i="232"/>
  <c r="AC56" i="232"/>
  <c r="X56" i="231"/>
  <c r="T56" i="231"/>
  <c r="AB56" i="231"/>
  <c r="I106" i="221"/>
  <c r="I89" i="221"/>
  <c r="I79" i="220"/>
  <c r="I65" i="220"/>
  <c r="I141" i="221"/>
  <c r="T12" i="225"/>
  <c r="T172" i="223"/>
  <c r="I174" i="220"/>
  <c r="I169" i="220"/>
  <c r="I167" i="220"/>
  <c r="I117" i="220"/>
  <c r="I203" i="219"/>
  <c r="I129" i="219"/>
  <c r="I41" i="219"/>
  <c r="I193" i="218"/>
  <c r="W109" i="218"/>
  <c r="AD208" i="198"/>
  <c r="Y208" i="198"/>
  <c r="AX23" i="198"/>
  <c r="AS23" i="198"/>
  <c r="I82" i="204"/>
  <c r="R43" i="229"/>
  <c r="R153" i="229"/>
  <c r="R185" i="229" s="1"/>
  <c r="R201" i="229" s="1"/>
  <c r="R207" i="229" s="1"/>
  <c r="I43" i="229"/>
  <c r="I153" i="229"/>
  <c r="I185" i="229" s="1"/>
  <c r="I201" i="229" s="1"/>
  <c r="I207" i="229" s="1"/>
  <c r="H42" i="229"/>
  <c r="F42" i="229" s="1"/>
  <c r="T23" i="229"/>
  <c r="S43" i="228"/>
  <c r="S153" i="228"/>
  <c r="S185" i="228" s="1"/>
  <c r="S201" i="228" s="1"/>
  <c r="S207" i="228" s="1"/>
  <c r="N43" i="228"/>
  <c r="N153" i="228"/>
  <c r="N185" i="228" s="1"/>
  <c r="N201" i="228" s="1"/>
  <c r="N207" i="228" s="1"/>
  <c r="P43" i="227"/>
  <c r="P153" i="227"/>
  <c r="P185" i="227" s="1"/>
  <c r="P201" i="227" s="1"/>
  <c r="P207" i="227" s="1"/>
  <c r="U173" i="221"/>
  <c r="R173" i="221"/>
  <c r="Q173" i="221"/>
  <c r="P173" i="221"/>
  <c r="O173" i="221"/>
  <c r="N173" i="221"/>
  <c r="M173" i="221"/>
  <c r="E108" i="221"/>
  <c r="F108" i="221" s="1"/>
  <c r="H108" i="219"/>
  <c r="I108" i="219" s="1"/>
  <c r="H201" i="218"/>
  <c r="E201" i="218"/>
  <c r="U173" i="204"/>
  <c r="R173" i="204"/>
  <c r="Q173" i="204"/>
  <c r="P173" i="204"/>
  <c r="O173" i="204"/>
  <c r="N173" i="204"/>
  <c r="M173" i="204"/>
  <c r="L173" i="204"/>
  <c r="E108" i="204"/>
  <c r="F108" i="204" s="1"/>
  <c r="H108" i="204"/>
  <c r="I108" i="204" s="1"/>
  <c r="I110" i="218"/>
  <c r="I126" i="221"/>
  <c r="I50" i="221"/>
  <c r="I124" i="204"/>
  <c r="I109" i="219"/>
  <c r="I34" i="221"/>
  <c r="I99" i="206"/>
  <c r="I19" i="221"/>
  <c r="B50" i="230"/>
  <c r="I140" i="218"/>
  <c r="I137" i="220"/>
  <c r="I139" i="220"/>
  <c r="I176" i="220"/>
  <c r="I178" i="220"/>
  <c r="I197" i="220"/>
  <c r="I18" i="221"/>
  <c r="I116" i="221"/>
  <c r="I167" i="221"/>
  <c r="I177" i="221"/>
  <c r="I179" i="221"/>
  <c r="I192" i="221"/>
  <c r="I204" i="221"/>
  <c r="I19" i="219"/>
  <c r="I65" i="219"/>
  <c r="I143" i="204"/>
  <c r="I65" i="218"/>
  <c r="I47" i="219"/>
  <c r="I145" i="204"/>
  <c r="I82" i="218"/>
  <c r="I117" i="218"/>
  <c r="I119" i="218"/>
  <c r="I162" i="218"/>
  <c r="I175" i="218"/>
  <c r="I182" i="219"/>
  <c r="I205" i="219"/>
  <c r="I180" i="220"/>
  <c r="I102" i="206"/>
  <c r="I18" i="219"/>
  <c r="I31" i="219"/>
  <c r="I24" i="221"/>
  <c r="I31" i="221"/>
  <c r="I77" i="221"/>
  <c r="I182" i="221"/>
  <c r="I30" i="218"/>
  <c r="I32" i="219"/>
  <c r="I17" i="204"/>
  <c r="I198" i="219"/>
  <c r="I16" i="219"/>
  <c r="I119" i="204"/>
  <c r="I133" i="204"/>
  <c r="I166" i="204"/>
  <c r="I167" i="218"/>
  <c r="I169" i="218"/>
  <c r="I26" i="219"/>
  <c r="I79" i="219"/>
  <c r="I117" i="219"/>
  <c r="I178" i="219"/>
  <c r="I26" i="220"/>
  <c r="I193" i="220"/>
  <c r="I16" i="221"/>
  <c r="I112" i="221"/>
  <c r="I159" i="221"/>
  <c r="I175" i="221"/>
  <c r="I19" i="204"/>
  <c r="I174" i="219"/>
  <c r="I183" i="219"/>
  <c r="C40" i="230"/>
  <c r="I161" i="218"/>
  <c r="I10" i="219"/>
  <c r="I177" i="204"/>
  <c r="I162" i="221"/>
  <c r="C47" i="230"/>
  <c r="I41" i="204"/>
  <c r="I104" i="204"/>
  <c r="I160" i="204"/>
  <c r="I17" i="218"/>
  <c r="I125" i="218"/>
  <c r="I190" i="219"/>
  <c r="I180" i="221"/>
  <c r="I100" i="204"/>
  <c r="I161" i="220"/>
  <c r="I121" i="204"/>
  <c r="I174" i="204"/>
  <c r="I192" i="204"/>
  <c r="I19" i="218"/>
  <c r="I39" i="218"/>
  <c r="I49" i="220"/>
  <c r="I108" i="220"/>
  <c r="I125" i="220"/>
  <c r="I49" i="221"/>
  <c r="I79" i="221"/>
  <c r="I134" i="221"/>
  <c r="I140" i="221"/>
  <c r="C36" i="230"/>
  <c r="I32" i="220"/>
  <c r="I121" i="220"/>
  <c r="I27" i="219"/>
  <c r="I50" i="219"/>
  <c r="I104" i="219"/>
  <c r="I178" i="218"/>
  <c r="I29" i="220"/>
  <c r="I95" i="206"/>
  <c r="I193" i="204"/>
  <c r="I32" i="218"/>
  <c r="I34" i="218"/>
  <c r="I38" i="218"/>
  <c r="I40" i="218"/>
  <c r="I78" i="218"/>
  <c r="I109" i="218"/>
  <c r="I113" i="218"/>
  <c r="I115" i="218"/>
  <c r="I180" i="218"/>
  <c r="I197" i="218"/>
  <c r="I29" i="219"/>
  <c r="I48" i="219"/>
  <c r="I128" i="219"/>
  <c r="I100" i="220"/>
  <c r="I133" i="220"/>
  <c r="I181" i="220"/>
  <c r="I9" i="221"/>
  <c r="I14" i="221"/>
  <c r="I66" i="221"/>
  <c r="I87" i="221"/>
  <c r="I93" i="221"/>
  <c r="I117" i="221"/>
  <c r="I166" i="221"/>
  <c r="I203" i="221"/>
  <c r="I205" i="221"/>
  <c r="I103" i="206"/>
  <c r="I112" i="204"/>
  <c r="I149" i="204"/>
  <c r="I176" i="204"/>
  <c r="I196" i="204"/>
  <c r="I14" i="218"/>
  <c r="I30" i="219"/>
  <c r="I49" i="219"/>
  <c r="I139" i="219"/>
  <c r="I160" i="219"/>
  <c r="I176" i="219"/>
  <c r="I18" i="220"/>
  <c r="I31" i="220"/>
  <c r="I34" i="204"/>
  <c r="I63" i="204"/>
  <c r="I124" i="218"/>
  <c r="I14" i="219"/>
  <c r="I180" i="219"/>
  <c r="I188" i="219"/>
  <c r="I197" i="219"/>
  <c r="I106" i="206"/>
  <c r="I40" i="204"/>
  <c r="I130" i="218"/>
  <c r="I143" i="218"/>
  <c r="I171" i="218"/>
  <c r="I9" i="219"/>
  <c r="I11" i="219"/>
  <c r="I203" i="220"/>
  <c r="I23" i="221"/>
  <c r="I27" i="221"/>
  <c r="I38" i="221"/>
  <c r="I40" i="221"/>
  <c r="I115" i="221"/>
  <c r="I128" i="221"/>
  <c r="I147" i="221"/>
  <c r="I198" i="221"/>
  <c r="I16" i="204"/>
  <c r="I134" i="204"/>
  <c r="I150" i="219"/>
  <c r="I175" i="220"/>
  <c r="I78" i="221"/>
  <c r="I96" i="221"/>
  <c r="I18" i="204"/>
  <c r="I47" i="204"/>
  <c r="I122" i="204"/>
  <c r="I167" i="204"/>
  <c r="I169" i="204"/>
  <c r="I18" i="218"/>
  <c r="I128" i="218"/>
  <c r="I181" i="218"/>
  <c r="I189" i="218"/>
  <c r="I121" i="219"/>
  <c r="I169" i="219"/>
  <c r="I181" i="219"/>
  <c r="I25" i="220"/>
  <c r="I30" i="220"/>
  <c r="I129" i="220"/>
  <c r="I177" i="220"/>
  <c r="I179" i="220"/>
  <c r="I105" i="221"/>
  <c r="I107" i="221"/>
  <c r="I124" i="221"/>
  <c r="I157" i="221"/>
  <c r="I195" i="221"/>
  <c r="I197" i="221"/>
  <c r="I199" i="219"/>
  <c r="I14" i="220"/>
  <c r="I10" i="221"/>
  <c r="I28" i="221"/>
  <c r="I14" i="204"/>
  <c r="I159" i="204"/>
  <c r="I198" i="204"/>
  <c r="I79" i="218"/>
  <c r="I112" i="218"/>
  <c r="I135" i="218"/>
  <c r="I137" i="218"/>
  <c r="I144" i="218"/>
  <c r="I192" i="218"/>
  <c r="I17" i="219"/>
  <c r="I37" i="219"/>
  <c r="I64" i="219"/>
  <c r="I161" i="219"/>
  <c r="I50" i="220"/>
  <c r="I66" i="220"/>
  <c r="I192" i="220"/>
  <c r="I30" i="221"/>
  <c r="I118" i="221"/>
  <c r="I199" i="221"/>
  <c r="I11" i="204"/>
  <c r="I48" i="218"/>
  <c r="I139" i="218"/>
  <c r="I164" i="218"/>
  <c r="I26" i="204"/>
  <c r="I39" i="204"/>
  <c r="I162" i="204"/>
  <c r="I111" i="218"/>
  <c r="I136" i="220"/>
  <c r="I138" i="220"/>
  <c r="I35" i="221"/>
  <c r="I104" i="221"/>
  <c r="I110" i="221"/>
  <c r="I121" i="221"/>
  <c r="I123" i="221"/>
  <c r="I167" i="219"/>
  <c r="I145" i="221"/>
  <c r="I107" i="206"/>
  <c r="I10" i="204"/>
  <c r="I79" i="204"/>
  <c r="I141" i="204"/>
  <c r="I203" i="204"/>
  <c r="I34" i="220"/>
  <c r="I36" i="220"/>
  <c r="I41" i="220"/>
  <c r="I8" i="221"/>
  <c r="I12" i="221"/>
  <c r="I15" i="221"/>
  <c r="I174" i="221"/>
  <c r="I187" i="221"/>
  <c r="I189" i="221"/>
  <c r="I194" i="204"/>
  <c r="I28" i="219"/>
  <c r="I196" i="220"/>
  <c r="I66" i="218"/>
  <c r="I188" i="218"/>
  <c r="I195" i="218"/>
  <c r="I100" i="219"/>
  <c r="I118" i="218"/>
  <c r="I27" i="204"/>
  <c r="I78" i="204"/>
  <c r="I34" i="219"/>
  <c r="I53" i="219"/>
  <c r="I78" i="220"/>
  <c r="I82" i="220"/>
  <c r="I25" i="204"/>
  <c r="I32" i="204"/>
  <c r="I131" i="218"/>
  <c r="I177" i="218"/>
  <c r="I179" i="218"/>
  <c r="I36" i="204"/>
  <c r="I144" i="204"/>
  <c r="I180" i="204"/>
  <c r="I149" i="218"/>
  <c r="I194" i="218"/>
  <c r="I76" i="219"/>
  <c r="I112" i="219"/>
  <c r="I136" i="219"/>
  <c r="I166" i="219"/>
  <c r="I168" i="219"/>
  <c r="I191" i="219"/>
  <c r="I37" i="220"/>
  <c r="I63" i="220"/>
  <c r="I135" i="220"/>
  <c r="I11" i="221"/>
  <c r="I75" i="221"/>
  <c r="I103" i="221"/>
  <c r="I144" i="221"/>
  <c r="I183" i="221"/>
  <c r="I194" i="221"/>
  <c r="I196" i="221"/>
  <c r="I15" i="222"/>
  <c r="I193" i="219"/>
  <c r="I112" i="220"/>
  <c r="I124" i="206"/>
  <c r="I135" i="204"/>
  <c r="I189" i="204"/>
  <c r="I99" i="221"/>
  <c r="I113" i="221"/>
  <c r="I152" i="204"/>
  <c r="I36" i="218"/>
  <c r="I120" i="218"/>
  <c r="I157" i="219"/>
  <c r="I129" i="221"/>
  <c r="I187" i="204"/>
  <c r="I25" i="219"/>
  <c r="I98" i="206"/>
  <c r="I104" i="206"/>
  <c r="I137" i="204"/>
  <c r="I63" i="218"/>
  <c r="I198" i="218"/>
  <c r="I203" i="218"/>
  <c r="I159" i="219"/>
  <c r="I195" i="219"/>
  <c r="I143" i="220"/>
  <c r="I149" i="220"/>
  <c r="I133" i="221"/>
  <c r="I161" i="221"/>
  <c r="I163" i="221"/>
  <c r="I75" i="218"/>
  <c r="I76" i="220"/>
  <c r="I122" i="221"/>
  <c r="I29" i="204"/>
  <c r="I183" i="218"/>
  <c r="I191" i="221"/>
  <c r="I8" i="204"/>
  <c r="I50" i="204"/>
  <c r="I111" i="204"/>
  <c r="I125" i="204"/>
  <c r="I179" i="204"/>
  <c r="I205" i="218"/>
  <c r="I66" i="219"/>
  <c r="I163" i="219"/>
  <c r="I64" i="220"/>
  <c r="I145" i="220"/>
  <c r="I76" i="221"/>
  <c r="I143" i="221"/>
  <c r="I193" i="221"/>
  <c r="I123" i="206"/>
  <c r="I164" i="204"/>
  <c r="I195" i="204"/>
  <c r="I190" i="221"/>
  <c r="I121" i="218"/>
  <c r="I194" i="219"/>
  <c r="I140" i="220"/>
  <c r="I198" i="220"/>
  <c r="I149" i="221"/>
  <c r="I169" i="221"/>
  <c r="I28" i="204"/>
  <c r="I168" i="204"/>
  <c r="I158" i="218"/>
  <c r="I125" i="206"/>
  <c r="I15" i="204"/>
  <c r="I110" i="204"/>
  <c r="I136" i="204"/>
  <c r="I178" i="204"/>
  <c r="I104" i="218"/>
  <c r="I168" i="218"/>
  <c r="I204" i="218"/>
  <c r="I145" i="219"/>
  <c r="I131" i="220"/>
  <c r="I144" i="220"/>
  <c r="I32" i="221"/>
  <c r="I125" i="221"/>
  <c r="I136" i="221"/>
  <c r="I138" i="221"/>
  <c r="I151" i="221"/>
  <c r="BC10" i="198"/>
  <c r="C9" i="223"/>
  <c r="C9" i="226"/>
  <c r="C9" i="228"/>
  <c r="C9" i="227"/>
  <c r="C9" i="221"/>
  <c r="C9" i="229"/>
  <c r="C9" i="222"/>
  <c r="C9" i="218"/>
  <c r="C9" i="220"/>
  <c r="C9" i="204"/>
  <c r="C9" i="225"/>
  <c r="C9" i="219"/>
  <c r="B15" i="223"/>
  <c r="B15" i="226"/>
  <c r="B15" i="228"/>
  <c r="B15" i="227"/>
  <c r="B15" i="229"/>
  <c r="B15" i="220"/>
  <c r="B15" i="225"/>
  <c r="B15" i="204"/>
  <c r="B15" i="222"/>
  <c r="B15" i="221"/>
  <c r="B15" i="219"/>
  <c r="B15" i="218"/>
  <c r="BH175" i="198"/>
  <c r="B14" i="228"/>
  <c r="B14" i="222"/>
  <c r="B14" i="225"/>
  <c r="B14" i="229"/>
  <c r="B14" i="227"/>
  <c r="B14" i="219"/>
  <c r="B14" i="218"/>
  <c r="B14" i="223"/>
  <c r="B14" i="220"/>
  <c r="B14" i="221"/>
  <c r="B14" i="226"/>
  <c r="B14" i="204"/>
  <c r="B45" i="229"/>
  <c r="B45" i="223"/>
  <c r="B45" i="225"/>
  <c r="B45" i="222"/>
  <c r="B45" i="227"/>
  <c r="B45" i="228"/>
  <c r="B45" i="218"/>
  <c r="B45" i="226"/>
  <c r="B45" i="219"/>
  <c r="B45" i="221"/>
  <c r="B45" i="220"/>
  <c r="B45" i="204"/>
  <c r="B24" i="228"/>
  <c r="B24" i="227"/>
  <c r="B24" i="229"/>
  <c r="B24" i="220"/>
  <c r="B24" i="223"/>
  <c r="B24" i="222"/>
  <c r="B24" i="218"/>
  <c r="B24" i="221"/>
  <c r="B24" i="219"/>
  <c r="B24" i="225"/>
  <c r="B24" i="226"/>
  <c r="B24" i="204"/>
  <c r="B175" i="226"/>
  <c r="B175" i="225"/>
  <c r="B175" i="229"/>
  <c r="B175" i="219"/>
  <c r="B175" i="227"/>
  <c r="B175" i="221"/>
  <c r="B175" i="223"/>
  <c r="B175" i="222"/>
  <c r="B175" i="228"/>
  <c r="B175" i="220"/>
  <c r="B175" i="204"/>
  <c r="B175" i="218"/>
  <c r="B188" i="223"/>
  <c r="B188" i="225"/>
  <c r="B188" i="229"/>
  <c r="B188" i="228"/>
  <c r="B188" i="226"/>
  <c r="B188" i="222"/>
  <c r="B188" i="227"/>
  <c r="B188" i="221"/>
  <c r="B188" i="218"/>
  <c r="B188" i="204"/>
  <c r="B188" i="219"/>
  <c r="B188" i="220"/>
  <c r="B157" i="228"/>
  <c r="B157" i="227"/>
  <c r="B157" i="229"/>
  <c r="B157" i="226"/>
  <c r="B157" i="221"/>
  <c r="B157" i="220"/>
  <c r="B157" i="223"/>
  <c r="B157" i="204"/>
  <c r="B157" i="225"/>
  <c r="B157" i="222"/>
  <c r="B157" i="219"/>
  <c r="B157" i="218"/>
  <c r="B174" i="227"/>
  <c r="B174" i="228"/>
  <c r="B174" i="225"/>
  <c r="B174" i="223"/>
  <c r="B174" i="220"/>
  <c r="B174" i="222"/>
  <c r="B174" i="219"/>
  <c r="B174" i="221"/>
  <c r="B174" i="226"/>
  <c r="B174" i="218"/>
  <c r="B174" i="229"/>
  <c r="B174" i="204"/>
  <c r="I9" i="204"/>
  <c r="W171" i="204"/>
  <c r="T173" i="204"/>
  <c r="H108" i="218"/>
  <c r="I108" i="218" s="1"/>
  <c r="E108" i="218"/>
  <c r="F108" i="218" s="1"/>
  <c r="V173" i="204"/>
  <c r="B187" i="227"/>
  <c r="B187" i="228"/>
  <c r="B187" i="226"/>
  <c r="B187" i="221"/>
  <c r="B187" i="229"/>
  <c r="B187" i="222"/>
  <c r="B187" i="219"/>
  <c r="B187" i="218"/>
  <c r="B187" i="220"/>
  <c r="B187" i="223"/>
  <c r="B187" i="225"/>
  <c r="B187" i="204"/>
  <c r="I132" i="204"/>
  <c r="B203" i="229"/>
  <c r="B203" i="228"/>
  <c r="B203" i="226"/>
  <c r="B203" i="220"/>
  <c r="B203" i="227"/>
  <c r="B203" i="222"/>
  <c r="B203" i="221"/>
  <c r="B203" i="225"/>
  <c r="B203" i="219"/>
  <c r="B203" i="223"/>
  <c r="B203" i="218"/>
  <c r="B203" i="204"/>
  <c r="W19" i="221"/>
  <c r="W171" i="219"/>
  <c r="I123" i="204"/>
  <c r="L153" i="225"/>
  <c r="L185" i="225" s="1"/>
  <c r="L201" i="225" s="1"/>
  <c r="L207" i="225" s="1"/>
  <c r="L43" i="225"/>
  <c r="I88" i="204"/>
  <c r="I116" i="204"/>
  <c r="E153" i="204"/>
  <c r="I197" i="204"/>
  <c r="I158" i="219"/>
  <c r="W183" i="221"/>
  <c r="R185" i="223"/>
  <c r="R201" i="223" s="1"/>
  <c r="R207" i="223" s="1"/>
  <c r="B204" i="223"/>
  <c r="B204" i="228"/>
  <c r="B204" i="226"/>
  <c r="B204" i="225"/>
  <c r="B204" i="222"/>
  <c r="B204" i="220"/>
  <c r="B204" i="221"/>
  <c r="B204" i="229"/>
  <c r="B204" i="227"/>
  <c r="I66" i="204"/>
  <c r="I174" i="218"/>
  <c r="I130" i="204"/>
  <c r="I139" i="204"/>
  <c r="I175" i="204"/>
  <c r="I176" i="218"/>
  <c r="K12" i="219"/>
  <c r="D8" i="219"/>
  <c r="F8" i="219" s="1"/>
  <c r="E108" i="219"/>
  <c r="F108" i="219" s="1"/>
  <c r="I164" i="219"/>
  <c r="I192" i="219"/>
  <c r="T153" i="223"/>
  <c r="I25" i="218"/>
  <c r="I138" i="218"/>
  <c r="I166" i="218"/>
  <c r="I118" i="204"/>
  <c r="I82" i="219"/>
  <c r="R42" i="228"/>
  <c r="R185" i="228" s="1"/>
  <c r="R201" i="228" s="1"/>
  <c r="R207" i="228" s="1"/>
  <c r="T23" i="228"/>
  <c r="B204" i="218"/>
  <c r="I131" i="204"/>
  <c r="I179" i="219"/>
  <c r="B204" i="219"/>
  <c r="T173" i="221"/>
  <c r="S43" i="227"/>
  <c r="S153" i="227"/>
  <c r="S185" i="227" s="1"/>
  <c r="S201" i="227" s="1"/>
  <c r="S207" i="227" s="1"/>
  <c r="K153" i="229"/>
  <c r="K185" i="229" s="1"/>
  <c r="K201" i="229" s="1"/>
  <c r="K207" i="229" s="1"/>
  <c r="T44" i="229"/>
  <c r="B45" i="230"/>
  <c r="C45" i="230"/>
  <c r="I36" i="219"/>
  <c r="I189" i="219"/>
  <c r="I181" i="221"/>
  <c r="T44" i="223"/>
  <c r="H42" i="226"/>
  <c r="F23" i="226"/>
  <c r="T23" i="226"/>
  <c r="K173" i="221"/>
  <c r="G171" i="221"/>
  <c r="I171" i="221" s="1"/>
  <c r="W171" i="221"/>
  <c r="Q185" i="225"/>
  <c r="Q201" i="225" s="1"/>
  <c r="Q207" i="225" s="1"/>
  <c r="T19" i="228"/>
  <c r="I129" i="204"/>
  <c r="I182" i="204"/>
  <c r="I135" i="219"/>
  <c r="I86" i="221"/>
  <c r="H108" i="221"/>
  <c r="I108" i="221" s="1"/>
  <c r="L173" i="221"/>
  <c r="N185" i="223"/>
  <c r="N201" i="223" s="1"/>
  <c r="N207" i="223" s="1"/>
  <c r="T19" i="226"/>
  <c r="K153" i="227"/>
  <c r="K185" i="227" s="1"/>
  <c r="K201" i="227" s="1"/>
  <c r="K207" i="227" s="1"/>
  <c r="K43" i="227"/>
  <c r="I77" i="218"/>
  <c r="I96" i="219"/>
  <c r="W183" i="219"/>
  <c r="M43" i="226"/>
  <c r="M153" i="226"/>
  <c r="M185" i="226" s="1"/>
  <c r="M201" i="226" s="1"/>
  <c r="M207" i="226" s="1"/>
  <c r="T23" i="227"/>
  <c r="M42" i="227"/>
  <c r="M185" i="227" s="1"/>
  <c r="M201" i="227" s="1"/>
  <c r="M207" i="227" s="1"/>
  <c r="I117" i="204"/>
  <c r="I150" i="220"/>
  <c r="F23" i="225"/>
  <c r="T23" i="225"/>
  <c r="H42" i="225"/>
  <c r="N153" i="226"/>
  <c r="N185" i="226" s="1"/>
  <c r="N201" i="226" s="1"/>
  <c r="N207" i="226" s="1"/>
  <c r="N43" i="226"/>
  <c r="N185" i="227"/>
  <c r="N201" i="227" s="1"/>
  <c r="N207" i="227" s="1"/>
  <c r="I140" i="204"/>
  <c r="S173" i="204"/>
  <c r="I190" i="204"/>
  <c r="I96" i="218"/>
  <c r="D109" i="218"/>
  <c r="F109" i="218" s="1"/>
  <c r="I114" i="218"/>
  <c r="E23" i="219"/>
  <c r="I78" i="219"/>
  <c r="I141" i="219"/>
  <c r="I166" i="220"/>
  <c r="I63" i="221"/>
  <c r="O43" i="226"/>
  <c r="O153" i="226"/>
  <c r="O185" i="226" s="1"/>
  <c r="O201" i="226" s="1"/>
  <c r="O207" i="226" s="1"/>
  <c r="O43" i="225"/>
  <c r="H153" i="227"/>
  <c r="H185" i="227" s="1"/>
  <c r="H43" i="227"/>
  <c r="I188" i="221"/>
  <c r="W183" i="222"/>
  <c r="R185" i="226"/>
  <c r="R201" i="226" s="1"/>
  <c r="R207" i="226" s="1"/>
  <c r="D23" i="222"/>
  <c r="K42" i="222"/>
  <c r="F42" i="223"/>
  <c r="T42" i="223"/>
  <c r="K12" i="220"/>
  <c r="G8" i="220"/>
  <c r="I8" i="220" s="1"/>
  <c r="D8" i="220"/>
  <c r="F8" i="220" s="1"/>
  <c r="I141" i="220"/>
  <c r="I33" i="221"/>
  <c r="I95" i="221"/>
  <c r="H185" i="223"/>
  <c r="I43" i="225"/>
  <c r="I153" i="225"/>
  <c r="W23" i="221"/>
  <c r="K42" i="221"/>
  <c r="V173" i="221"/>
  <c r="T19" i="225"/>
  <c r="M43" i="225"/>
  <c r="M153" i="225"/>
  <c r="M185" i="225" s="1"/>
  <c r="M201" i="225" s="1"/>
  <c r="M207" i="225" s="1"/>
  <c r="P43" i="226"/>
  <c r="P153" i="226"/>
  <c r="P185" i="226" s="1"/>
  <c r="P201" i="226" s="1"/>
  <c r="P207" i="226" s="1"/>
  <c r="T19" i="227"/>
  <c r="H153" i="228"/>
  <c r="F44" i="228"/>
  <c r="H43" i="228"/>
  <c r="T44" i="228"/>
  <c r="I205" i="220"/>
  <c r="I114" i="221"/>
  <c r="Q43" i="225"/>
  <c r="N43" i="225"/>
  <c r="N153" i="225"/>
  <c r="N185" i="225" s="1"/>
  <c r="N201" i="225" s="1"/>
  <c r="N207" i="225" s="1"/>
  <c r="B35" i="230"/>
  <c r="C35" i="230"/>
  <c r="B13" i="235"/>
  <c r="C13" i="235"/>
  <c r="E12" i="235"/>
  <c r="T23" i="223"/>
  <c r="S185" i="223"/>
  <c r="S201" i="223" s="1"/>
  <c r="S207" i="223" s="1"/>
  <c r="B34" i="230"/>
  <c r="C34" i="230"/>
  <c r="I158" i="220"/>
  <c r="I39" i="221"/>
  <c r="M185" i="229"/>
  <c r="M201" i="229" s="1"/>
  <c r="M207" i="229" s="1"/>
  <c r="J43" i="226"/>
  <c r="J153" i="226"/>
  <c r="J185" i="226" s="1"/>
  <c r="J201" i="226" s="1"/>
  <c r="J207" i="226" s="1"/>
  <c r="O185" i="227"/>
  <c r="O201" i="227" s="1"/>
  <c r="O207" i="227" s="1"/>
  <c r="E54" i="230"/>
  <c r="H20" i="230"/>
  <c r="J19" i="230"/>
  <c r="L17" i="230"/>
  <c r="N16" i="230"/>
  <c r="P15" i="230"/>
  <c r="G20" i="230"/>
  <c r="I19" i="230"/>
  <c r="K17" i="230"/>
  <c r="M16" i="230"/>
  <c r="O15" i="230"/>
  <c r="P54" i="230"/>
  <c r="P22" i="230"/>
  <c r="J22" i="230"/>
  <c r="J20" i="230"/>
  <c r="H19" i="230"/>
  <c r="F17" i="230"/>
  <c r="N54" i="230"/>
  <c r="G54" i="230"/>
  <c r="L22" i="230"/>
  <c r="L20" i="230"/>
  <c r="L19" i="230"/>
  <c r="H17" i="230"/>
  <c r="H16" i="230"/>
  <c r="H15" i="230"/>
  <c r="G14" i="230"/>
  <c r="E13" i="230"/>
  <c r="O54" i="230"/>
  <c r="N22" i="230"/>
  <c r="F20" i="230"/>
  <c r="P17" i="230"/>
  <c r="L16" i="230"/>
  <c r="K15" i="230"/>
  <c r="F13" i="230"/>
  <c r="M54" i="230"/>
  <c r="M22" i="230"/>
  <c r="E20" i="230"/>
  <c r="O17" i="230"/>
  <c r="K16" i="230"/>
  <c r="J15" i="230"/>
  <c r="L54" i="230"/>
  <c r="J54" i="230"/>
  <c r="H22" i="230"/>
  <c r="J17" i="230"/>
  <c r="G16" i="230"/>
  <c r="F15" i="230"/>
  <c r="H54" i="230"/>
  <c r="F22" i="230"/>
  <c r="P19" i="230"/>
  <c r="G17" i="230"/>
  <c r="E16" i="230"/>
  <c r="I22" i="230"/>
  <c r="P20" i="230"/>
  <c r="G19" i="230"/>
  <c r="I17" i="230"/>
  <c r="F14" i="230"/>
  <c r="G22" i="230"/>
  <c r="O20" i="230"/>
  <c r="F19" i="230"/>
  <c r="E17" i="230"/>
  <c r="N15" i="230"/>
  <c r="E14" i="230"/>
  <c r="M20" i="230"/>
  <c r="L15" i="230"/>
  <c r="K20" i="230"/>
  <c r="I15" i="230"/>
  <c r="K54" i="230"/>
  <c r="I20" i="230"/>
  <c r="G15" i="230"/>
  <c r="I29" i="221"/>
  <c r="T172" i="225"/>
  <c r="Q43" i="229"/>
  <c r="Q153" i="229"/>
  <c r="Q185" i="229" s="1"/>
  <c r="Q201" i="229" s="1"/>
  <c r="Q207" i="229" s="1"/>
  <c r="O185" i="223"/>
  <c r="O201" i="223" s="1"/>
  <c r="O207" i="223" s="1"/>
  <c r="S153" i="229"/>
  <c r="S185" i="229" s="1"/>
  <c r="S201" i="229" s="1"/>
  <c r="S207" i="229" s="1"/>
  <c r="S43" i="229"/>
  <c r="F42" i="227"/>
  <c r="F44" i="225"/>
  <c r="T44" i="225"/>
  <c r="I185" i="228"/>
  <c r="I201" i="228" s="1"/>
  <c r="I207" i="228" s="1"/>
  <c r="J153" i="225"/>
  <c r="J185" i="225" s="1"/>
  <c r="J201" i="225" s="1"/>
  <c r="J207" i="225" s="1"/>
  <c r="J43" i="225"/>
  <c r="T44" i="226"/>
  <c r="K43" i="225"/>
  <c r="K153" i="225"/>
  <c r="K185" i="225" s="1"/>
  <c r="K201" i="225" s="1"/>
  <c r="K207" i="225" s="1"/>
  <c r="I153" i="226"/>
  <c r="I43" i="226"/>
  <c r="T172" i="229"/>
  <c r="AE31" i="232"/>
  <c r="AE42" i="232" s="1"/>
  <c r="AE56" i="232" s="1"/>
  <c r="J185" i="227"/>
  <c r="J201" i="227" s="1"/>
  <c r="J207" i="227" s="1"/>
  <c r="B36" i="230"/>
  <c r="B47" i="230"/>
  <c r="H73" i="190"/>
  <c r="H81" i="190" s="1"/>
  <c r="U80" i="159"/>
  <c r="Z56" i="231"/>
  <c r="S56" i="232"/>
  <c r="S56" i="235"/>
  <c r="AA56" i="232"/>
  <c r="AE44" i="231"/>
  <c r="AE52" i="231" s="1"/>
  <c r="AE56" i="231" s="1"/>
  <c r="T56" i="232"/>
  <c r="T80" i="159"/>
  <c r="AE271" i="217"/>
  <c r="AE307" i="217"/>
  <c r="V56" i="231"/>
  <c r="Y56" i="232"/>
  <c r="E31" i="230"/>
  <c r="B33" i="230"/>
  <c r="B41" i="230"/>
  <c r="W56" i="233"/>
  <c r="AA56" i="231"/>
  <c r="V56" i="232"/>
  <c r="AG73" i="159"/>
  <c r="AD56" i="232"/>
  <c r="Y271" i="217"/>
  <c r="Y307" i="217"/>
  <c r="AG79" i="159"/>
  <c r="R80" i="159"/>
  <c r="AG78" i="159"/>
  <c r="Z271" i="217"/>
  <c r="Z307" i="217"/>
  <c r="AA307" i="217"/>
  <c r="AA271" i="217"/>
  <c r="S80" i="159"/>
  <c r="AG77" i="159"/>
  <c r="O80" i="159"/>
  <c r="AG72" i="159"/>
  <c r="P80" i="159"/>
  <c r="AD307" i="217"/>
  <c r="AD271" i="217"/>
  <c r="AC307" i="217"/>
  <c r="I20" i="217"/>
  <c r="I23" i="217"/>
  <c r="I30" i="217"/>
  <c r="W32" i="204"/>
  <c r="I29" i="217"/>
  <c r="W26" i="220"/>
  <c r="BH12" i="198" l="1"/>
  <c r="AX10" i="198"/>
  <c r="Y202" i="198"/>
  <c r="AX11" i="198"/>
  <c r="BC156" i="198"/>
  <c r="AX208" i="198"/>
  <c r="AD204" i="198"/>
  <c r="AI188" i="198"/>
  <c r="O156" i="198"/>
  <c r="AK195" i="221"/>
  <c r="AK37" i="222"/>
  <c r="W72" i="221"/>
  <c r="AK41" i="222"/>
  <c r="AK36" i="222"/>
  <c r="AK73" i="221"/>
  <c r="AK65" i="221"/>
  <c r="AE199" i="222"/>
  <c r="I17" i="198"/>
  <c r="Z172" i="222"/>
  <c r="G72" i="221"/>
  <c r="I72" i="221" s="1"/>
  <c r="AA183" i="222"/>
  <c r="AK74" i="221"/>
  <c r="AK37" i="221"/>
  <c r="AI172" i="221"/>
  <c r="AK26" i="221"/>
  <c r="AK75" i="221"/>
  <c r="AK189" i="222"/>
  <c r="AK194" i="222"/>
  <c r="AK69" i="221"/>
  <c r="AK171" i="222"/>
  <c r="AK23" i="222"/>
  <c r="AD183" i="222"/>
  <c r="AK53" i="222"/>
  <c r="AK112" i="204"/>
  <c r="AB112" i="204"/>
  <c r="AA112" i="204"/>
  <c r="AI112" i="204"/>
  <c r="AJ112" i="204"/>
  <c r="AH141" i="217"/>
  <c r="AJ37" i="217"/>
  <c r="AJ176" i="217" s="1"/>
  <c r="O9" i="198"/>
  <c r="E202" i="198"/>
  <c r="E186" i="198"/>
  <c r="AI45" i="198"/>
  <c r="Y13" i="198"/>
  <c r="K43" i="251"/>
  <c r="G44" i="233"/>
  <c r="G48" i="230"/>
  <c r="O12" i="198"/>
  <c r="Y42" i="220"/>
  <c r="E42" i="220" s="1"/>
  <c r="T13" i="198"/>
  <c r="Y12" i="198"/>
  <c r="T10" i="198"/>
  <c r="AX12" i="198"/>
  <c r="W171" i="220"/>
  <c r="AD9" i="198"/>
  <c r="E208" i="198"/>
  <c r="AN188" i="198"/>
  <c r="AI13" i="198"/>
  <c r="AI12" i="198"/>
  <c r="O23" i="198"/>
  <c r="Y23" i="198"/>
  <c r="AD186" i="198"/>
  <c r="AK23" i="219"/>
  <c r="AN11" i="198"/>
  <c r="O175" i="198"/>
  <c r="BC45" i="198"/>
  <c r="Y42" i="219"/>
  <c r="J13" i="198"/>
  <c r="Y188" i="198"/>
  <c r="AI186" i="198"/>
  <c r="AI22" i="198"/>
  <c r="G37" i="204"/>
  <c r="I37" i="204" s="1"/>
  <c r="W37" i="218"/>
  <c r="W37" i="204"/>
  <c r="P48" i="233"/>
  <c r="J48" i="233"/>
  <c r="I48" i="233"/>
  <c r="I44" i="233"/>
  <c r="E36" i="240"/>
  <c r="J44" i="233"/>
  <c r="J52" i="233" s="1"/>
  <c r="K48" i="233"/>
  <c r="J31" i="233"/>
  <c r="R35" i="240"/>
  <c r="BB55" i="250"/>
  <c r="BB56" i="250" s="1"/>
  <c r="O22" i="198"/>
  <c r="J204" i="198"/>
  <c r="BH202" i="198"/>
  <c r="AX186" i="198"/>
  <c r="E13" i="198"/>
  <c r="E156" i="198"/>
  <c r="AS188" i="198"/>
  <c r="J45" i="198"/>
  <c r="Y175" i="198"/>
  <c r="AD12" i="198"/>
  <c r="J22" i="198"/>
  <c r="AX156" i="198"/>
  <c r="Y45" i="198"/>
  <c r="AN22" i="198"/>
  <c r="E12" i="198"/>
  <c r="T23" i="198"/>
  <c r="J11" i="198"/>
  <c r="J14" i="198" s="1"/>
  <c r="AN13" i="198"/>
  <c r="E175" i="198"/>
  <c r="AX45" i="198"/>
  <c r="E23" i="198"/>
  <c r="O186" i="198"/>
  <c r="BH23" i="198"/>
  <c r="BC14" i="198"/>
  <c r="BC23" i="198"/>
  <c r="AX13" i="198"/>
  <c r="AD22" i="198"/>
  <c r="AD12" i="230"/>
  <c r="J156" i="198"/>
  <c r="BC22" i="198"/>
  <c r="AS11" i="198"/>
  <c r="Y11" i="198"/>
  <c r="O10" i="198"/>
  <c r="Y204" i="198"/>
  <c r="AI202" i="198"/>
  <c r="AI10" i="198"/>
  <c r="AD175" i="198"/>
  <c r="AS208" i="198"/>
  <c r="Z18" i="230"/>
  <c r="AS22" i="198"/>
  <c r="Y10" i="198"/>
  <c r="T204" i="198"/>
  <c r="BC13" i="198"/>
  <c r="AD18" i="230"/>
  <c r="T12" i="230"/>
  <c r="AE17" i="230"/>
  <c r="Z12" i="230"/>
  <c r="AS204" i="198"/>
  <c r="AX175" i="198"/>
  <c r="J186" i="198"/>
  <c r="T45" i="198"/>
  <c r="AI23" i="198"/>
  <c r="J202" i="198"/>
  <c r="BH186" i="198"/>
  <c r="AN12" i="198"/>
  <c r="AX204" i="198"/>
  <c r="AB12" i="230"/>
  <c r="U12" i="230"/>
  <c r="U18" i="230"/>
  <c r="X12" i="230"/>
  <c r="AS186" i="198"/>
  <c r="J188" i="198"/>
  <c r="BH22" i="198"/>
  <c r="AS202" i="198"/>
  <c r="AD11" i="198"/>
  <c r="O11" i="198"/>
  <c r="BC175" i="198"/>
  <c r="O202" i="198"/>
  <c r="AA12" i="230"/>
  <c r="AE23" i="230"/>
  <c r="AN175" i="198"/>
  <c r="AN156" i="198"/>
  <c r="Y22" i="198"/>
  <c r="BH11" i="198"/>
  <c r="Y186" i="198"/>
  <c r="AE15" i="230"/>
  <c r="E188" i="198"/>
  <c r="BH45" i="198"/>
  <c r="AS45" i="198"/>
  <c r="E10" i="198"/>
  <c r="E14" i="198"/>
  <c r="AI11" i="198"/>
  <c r="O208" i="198"/>
  <c r="T186" i="198"/>
  <c r="AA18" i="230"/>
  <c r="AB18" i="230"/>
  <c r="V18" i="230"/>
  <c r="AE16" i="230"/>
  <c r="AS175" i="198"/>
  <c r="AS156" i="198"/>
  <c r="AD45" i="198"/>
  <c r="T202" i="198"/>
  <c r="T175" i="198"/>
  <c r="AD23" i="198"/>
  <c r="X18" i="230"/>
  <c r="S12" i="230"/>
  <c r="AE13" i="230"/>
  <c r="S18" i="230"/>
  <c r="AE19" i="230"/>
  <c r="AI14" i="198"/>
  <c r="AN10" i="198"/>
  <c r="J175" i="198"/>
  <c r="AE22" i="230"/>
  <c r="AE20" i="230"/>
  <c r="V12" i="230"/>
  <c r="AE25" i="230"/>
  <c r="W18" i="230"/>
  <c r="BC12" i="198"/>
  <c r="E45" i="198"/>
  <c r="AD10" i="198"/>
  <c r="AN208" i="198"/>
  <c r="J12" i="198"/>
  <c r="T18" i="230"/>
  <c r="AC18" i="230"/>
  <c r="AE24" i="230"/>
  <c r="AS10" i="198"/>
  <c r="T11" i="198"/>
  <c r="AN23" i="198"/>
  <c r="AX188" i="198"/>
  <c r="O45" i="198"/>
  <c r="T22" i="198"/>
  <c r="Y18" i="230"/>
  <c r="AE21" i="230"/>
  <c r="AC12" i="230"/>
  <c r="Y12" i="230"/>
  <c r="W12" i="230"/>
  <c r="O188" i="198"/>
  <c r="BH13" i="198"/>
  <c r="AE27" i="230"/>
  <c r="S37" i="230"/>
  <c r="S42" i="230" s="1"/>
  <c r="AE38" i="230"/>
  <c r="AE37" i="230" s="1"/>
  <c r="AE42" i="230" s="1"/>
  <c r="BC60" i="250"/>
  <c r="BD60" i="250"/>
  <c r="BB69" i="250"/>
  <c r="BE10" i="250" a="1"/>
  <c r="BE10" i="250" s="1"/>
  <c r="BE47" i="250" s="1"/>
  <c r="BD49" i="250"/>
  <c r="BD62" i="250" s="1"/>
  <c r="BD50" i="250"/>
  <c r="BD63" i="250" s="1"/>
  <c r="BD54" i="250"/>
  <c r="BD67" i="250" s="1"/>
  <c r="BD52" i="250"/>
  <c r="BD65" i="250" s="1"/>
  <c r="BD53" i="250"/>
  <c r="BD66" i="250" s="1"/>
  <c r="BD11" i="250"/>
  <c r="BC51" i="250"/>
  <c r="BC64" i="250" s="1"/>
  <c r="BC40" i="250"/>
  <c r="BC43" i="250" s="1"/>
  <c r="BC38" i="250"/>
  <c r="BE8" i="250"/>
  <c r="BD35" i="250"/>
  <c r="BD45" i="250"/>
  <c r="BB24" i="250"/>
  <c r="BC23" i="250"/>
  <c r="BB32" i="250"/>
  <c r="BB33" i="250" s="1"/>
  <c r="BB30" i="250"/>
  <c r="BB31" i="250" s="1"/>
  <c r="BB26" i="250"/>
  <c r="BB27" i="250" s="1"/>
  <c r="BB28" i="250"/>
  <c r="BB29" i="250" s="1"/>
  <c r="AS72" i="177"/>
  <c r="AS73" i="177" s="1"/>
  <c r="AS22" i="177"/>
  <c r="BI72" i="177"/>
  <c r="BI73" i="177" s="1"/>
  <c r="BI22" i="177"/>
  <c r="BO72" i="177"/>
  <c r="BO73" i="177" s="1"/>
  <c r="BO22" i="177"/>
  <c r="BB72" i="177"/>
  <c r="BB73" i="177" s="1"/>
  <c r="BB22" i="177"/>
  <c r="BL72" i="177"/>
  <c r="BL73" i="177" s="1"/>
  <c r="BL22" i="177"/>
  <c r="AP72" i="177"/>
  <c r="AP73" i="177" s="1"/>
  <c r="AP22" i="177"/>
  <c r="BK72" i="177"/>
  <c r="BK73" i="177" s="1"/>
  <c r="BK22" i="177"/>
  <c r="BC72" i="177"/>
  <c r="BC73" i="177" s="1"/>
  <c r="BC22" i="177"/>
  <c r="AL72" i="177"/>
  <c r="AL73" i="177" s="1"/>
  <c r="AL22" i="177"/>
  <c r="BM72" i="177"/>
  <c r="BM73" i="177" s="1"/>
  <c r="BM22" i="177"/>
  <c r="AX72" i="177"/>
  <c r="AX73" i="177" s="1"/>
  <c r="AX22" i="177"/>
  <c r="AV72" i="177"/>
  <c r="AV73" i="177" s="1"/>
  <c r="AV22" i="177"/>
  <c r="AQ72" i="177"/>
  <c r="AQ73" i="177" s="1"/>
  <c r="AQ22" i="177"/>
  <c r="BJ72" i="177"/>
  <c r="BJ73" i="177" s="1"/>
  <c r="BJ22" i="177"/>
  <c r="AN72" i="177"/>
  <c r="AN73" i="177" s="1"/>
  <c r="AN22" i="177"/>
  <c r="BN72" i="177"/>
  <c r="BN73" i="177" s="1"/>
  <c r="BN22" i="177"/>
  <c r="BG72" i="177"/>
  <c r="BG73" i="177" s="1"/>
  <c r="BG22" i="177"/>
  <c r="AY72" i="177"/>
  <c r="AY73" i="177" s="1"/>
  <c r="AY22" i="177"/>
  <c r="AU72" i="177"/>
  <c r="AU73" i="177" s="1"/>
  <c r="AU22" i="177"/>
  <c r="BH72" i="177"/>
  <c r="BH73" i="177" s="1"/>
  <c r="BH22" i="177"/>
  <c r="AZ72" i="177"/>
  <c r="AZ73" i="177" s="1"/>
  <c r="AZ22" i="177"/>
  <c r="BA72" i="177"/>
  <c r="BA73" i="177" s="1"/>
  <c r="BA22" i="177"/>
  <c r="BF22" i="177"/>
  <c r="BF72" i="177"/>
  <c r="BF73" i="177" s="1"/>
  <c r="BD72" i="177"/>
  <c r="BD73" i="177" s="1"/>
  <c r="BD22" i="177"/>
  <c r="AT72" i="177"/>
  <c r="AT73" i="177" s="1"/>
  <c r="AT22" i="177"/>
  <c r="AO72" i="177"/>
  <c r="AO73" i="177" s="1"/>
  <c r="AO22" i="177"/>
  <c r="BE72" i="177"/>
  <c r="BE73" i="177" s="1"/>
  <c r="BE22" i="177"/>
  <c r="AR72" i="177"/>
  <c r="AR73" i="177" s="1"/>
  <c r="AR22" i="177"/>
  <c r="AW72" i="177"/>
  <c r="AW73" i="177" s="1"/>
  <c r="AW22" i="177"/>
  <c r="AM72" i="177"/>
  <c r="AM73" i="177" s="1"/>
  <c r="AM22" i="177"/>
  <c r="C46" i="232"/>
  <c r="AM135" i="193"/>
  <c r="AK135" i="193"/>
  <c r="AI82" i="193"/>
  <c r="AG82" i="193"/>
  <c r="AF126" i="193"/>
  <c r="AE126" i="193"/>
  <c r="AK54" i="193"/>
  <c r="AJ54" i="193"/>
  <c r="AM129" i="193"/>
  <c r="AL129" i="193"/>
  <c r="AF90" i="193"/>
  <c r="AE90" i="193"/>
  <c r="AB71" i="193"/>
  <c r="AK71" i="193"/>
  <c r="AK57" i="193"/>
  <c r="AJ57" i="193"/>
  <c r="AL51" i="193"/>
  <c r="AK51" i="193"/>
  <c r="AD100" i="193"/>
  <c r="AC100" i="193"/>
  <c r="AM73" i="193"/>
  <c r="AG73" i="193"/>
  <c r="AG114" i="193"/>
  <c r="AC114" i="193"/>
  <c r="AM94" i="193"/>
  <c r="AK94" i="193"/>
  <c r="AH88" i="193"/>
  <c r="AE88" i="193"/>
  <c r="AK85" i="193"/>
  <c r="AG85" i="193"/>
  <c r="AK86" i="193"/>
  <c r="AJ86" i="193"/>
  <c r="AD112" i="193"/>
  <c r="AC112" i="193"/>
  <c r="AG87" i="193"/>
  <c r="AF87" i="193"/>
  <c r="AL134" i="193"/>
  <c r="AI134" i="193"/>
  <c r="AJ132" i="193"/>
  <c r="AF132" i="193"/>
  <c r="AG99" i="193"/>
  <c r="AE99" i="193"/>
  <c r="AK50" i="193"/>
  <c r="AJ50" i="193"/>
  <c r="AM128" i="193"/>
  <c r="AK128" i="193"/>
  <c r="AJ110" i="193"/>
  <c r="AH110" i="193"/>
  <c r="AE116" i="193"/>
  <c r="AD116" i="193"/>
  <c r="AF133" i="193"/>
  <c r="AE133" i="193"/>
  <c r="AE111" i="193"/>
  <c r="AC111" i="193"/>
  <c r="AG124" i="193"/>
  <c r="AF124" i="193"/>
  <c r="AH80" i="193"/>
  <c r="AE80" i="193"/>
  <c r="AK58" i="193"/>
  <c r="AJ58" i="193"/>
  <c r="AM109" i="193"/>
  <c r="AL109" i="193"/>
  <c r="AF130" i="193"/>
  <c r="AB130" i="193"/>
  <c r="AK161" i="222"/>
  <c r="P62" i="219"/>
  <c r="AK82" i="222"/>
  <c r="AH199" i="222"/>
  <c r="AK141" i="222"/>
  <c r="AK134" i="222"/>
  <c r="AF153" i="222"/>
  <c r="AK138" i="221"/>
  <c r="AK152" i="221"/>
  <c r="AK136" i="221"/>
  <c r="Q62" i="218"/>
  <c r="AD172" i="222"/>
  <c r="AK63" i="222"/>
  <c r="AH153" i="222"/>
  <c r="AJ183" i="220"/>
  <c r="AK192" i="221"/>
  <c r="AK31" i="222"/>
  <c r="F23" i="222"/>
  <c r="AK42" i="220"/>
  <c r="Z199" i="222"/>
  <c r="AC153" i="222"/>
  <c r="AK127" i="221"/>
  <c r="AK188" i="221"/>
  <c r="AK26" i="222"/>
  <c r="R62" i="219"/>
  <c r="AK168" i="222"/>
  <c r="Y199" i="222"/>
  <c r="E199" i="222" s="1"/>
  <c r="F199" i="222" s="1"/>
  <c r="AK47" i="221"/>
  <c r="AC153" i="221"/>
  <c r="AG153" i="222"/>
  <c r="AC199" i="222"/>
  <c r="BA17" i="198"/>
  <c r="AK170" i="222"/>
  <c r="AK27" i="222"/>
  <c r="AK177" i="221"/>
  <c r="AD153" i="221"/>
  <c r="AK117" i="221"/>
  <c r="AK144" i="221"/>
  <c r="AK126" i="221"/>
  <c r="AH153" i="221"/>
  <c r="AK28" i="221"/>
  <c r="AE153" i="221"/>
  <c r="AK139" i="221"/>
  <c r="AK34" i="221"/>
  <c r="AJ153" i="221"/>
  <c r="AK191" i="221"/>
  <c r="Z153" i="221"/>
  <c r="AK83" i="222"/>
  <c r="AK35" i="222"/>
  <c r="AK178" i="221"/>
  <c r="AK61" i="221"/>
  <c r="AK197" i="222"/>
  <c r="AK137" i="222"/>
  <c r="AK182" i="221"/>
  <c r="AK196" i="222"/>
  <c r="AJ199" i="222"/>
  <c r="AK79" i="222"/>
  <c r="AK73" i="222"/>
  <c r="AK147" i="221"/>
  <c r="AK163" i="221"/>
  <c r="AK142" i="221"/>
  <c r="AK59" i="221"/>
  <c r="AK194" i="221"/>
  <c r="AK59" i="222"/>
  <c r="G70" i="218"/>
  <c r="I70" i="218" s="1"/>
  <c r="G70" i="204"/>
  <c r="I70" i="204" s="1"/>
  <c r="AK195" i="222"/>
  <c r="AB199" i="222"/>
  <c r="AK180" i="222"/>
  <c r="AH172" i="222"/>
  <c r="AA153" i="222"/>
  <c r="Z153" i="222"/>
  <c r="AI183" i="221"/>
  <c r="AK129" i="221"/>
  <c r="AG199" i="220"/>
  <c r="AK12" i="221"/>
  <c r="AE153" i="222"/>
  <c r="AK181" i="222"/>
  <c r="AI153" i="222"/>
  <c r="H179" i="222"/>
  <c r="I179" i="222" s="1"/>
  <c r="E179" i="222"/>
  <c r="F179" i="222" s="1"/>
  <c r="H130" i="222"/>
  <c r="I130" i="222" s="1"/>
  <c r="E130" i="222"/>
  <c r="F130" i="222" s="1"/>
  <c r="E168" i="222"/>
  <c r="F168" i="222" s="1"/>
  <c r="H168" i="222"/>
  <c r="I168" i="222" s="1"/>
  <c r="H149" i="222"/>
  <c r="I149" i="222" s="1"/>
  <c r="E149" i="222"/>
  <c r="F149" i="222" s="1"/>
  <c r="E16" i="222"/>
  <c r="F16" i="222" s="1"/>
  <c r="H16" i="222"/>
  <c r="I16" i="222" s="1"/>
  <c r="E162" i="222"/>
  <c r="F162" i="222" s="1"/>
  <c r="H162" i="222"/>
  <c r="I162" i="222" s="1"/>
  <c r="E171" i="222"/>
  <c r="F171" i="222" s="1"/>
  <c r="H171" i="222"/>
  <c r="I171" i="222" s="1"/>
  <c r="H189" i="222"/>
  <c r="I189" i="222" s="1"/>
  <c r="E189" i="222"/>
  <c r="F189" i="222" s="1"/>
  <c r="E177" i="222"/>
  <c r="F177" i="222" s="1"/>
  <c r="H177" i="222"/>
  <c r="I177" i="222" s="1"/>
  <c r="H145" i="222"/>
  <c r="I145" i="222" s="1"/>
  <c r="E145" i="222"/>
  <c r="F145" i="222" s="1"/>
  <c r="H63" i="222"/>
  <c r="I63" i="222" s="1"/>
  <c r="E63" i="222"/>
  <c r="F63" i="222" s="1"/>
  <c r="E118" i="222"/>
  <c r="F118" i="222" s="1"/>
  <c r="H118" i="222"/>
  <c r="I118" i="222" s="1"/>
  <c r="H137" i="222"/>
  <c r="I137" i="222" s="1"/>
  <c r="E137" i="222"/>
  <c r="F137" i="222" s="1"/>
  <c r="H23" i="222"/>
  <c r="I23" i="222" s="1"/>
  <c r="E23" i="222"/>
  <c r="E76" i="222"/>
  <c r="F76" i="222" s="1"/>
  <c r="H76" i="222"/>
  <c r="I76" i="222" s="1"/>
  <c r="H28" i="222"/>
  <c r="I28" i="222" s="1"/>
  <c r="E28" i="222"/>
  <c r="F28" i="222" s="1"/>
  <c r="AA121" i="204"/>
  <c r="Z121" i="204"/>
  <c r="AD121" i="204"/>
  <c r="AF121" i="204"/>
  <c r="AE121" i="204"/>
  <c r="AB121" i="204"/>
  <c r="AC185" i="204"/>
  <c r="AC201" i="204" s="1"/>
  <c r="AC207" i="204" s="1"/>
  <c r="AK199" i="220"/>
  <c r="H199" i="222"/>
  <c r="I199" i="222" s="1"/>
  <c r="H191" i="222"/>
  <c r="I191" i="222" s="1"/>
  <c r="AK191" i="222"/>
  <c r="E191" i="222"/>
  <c r="F191" i="222" s="1"/>
  <c r="AK169" i="222"/>
  <c r="E169" i="222"/>
  <c r="F169" i="222" s="1"/>
  <c r="H169" i="222"/>
  <c r="I169" i="222" s="1"/>
  <c r="AI183" i="222"/>
  <c r="AK130" i="222"/>
  <c r="AK127" i="222"/>
  <c r="H127" i="222"/>
  <c r="I127" i="222" s="1"/>
  <c r="E127" i="222"/>
  <c r="F127" i="222" s="1"/>
  <c r="H101" i="222"/>
  <c r="I101" i="222" s="1"/>
  <c r="AK101" i="222"/>
  <c r="E101" i="222"/>
  <c r="F101" i="222" s="1"/>
  <c r="AA172" i="221"/>
  <c r="AK14" i="222"/>
  <c r="E24" i="222"/>
  <c r="F24" i="222" s="1"/>
  <c r="AK24" i="222"/>
  <c r="H24" i="222"/>
  <c r="I24" i="222" s="1"/>
  <c r="AK82" i="221"/>
  <c r="AK181" i="221"/>
  <c r="AK168" i="220"/>
  <c r="AK158" i="221"/>
  <c r="AK164" i="221"/>
  <c r="Y199" i="221"/>
  <c r="AK187" i="221"/>
  <c r="AA42" i="221"/>
  <c r="AK150" i="220"/>
  <c r="AG183" i="220"/>
  <c r="AK192" i="220"/>
  <c r="AK164" i="220"/>
  <c r="AK76" i="220"/>
  <c r="Z75" i="220"/>
  <c r="AC44" i="220"/>
  <c r="AD12" i="220"/>
  <c r="AD42" i="220"/>
  <c r="AC42" i="220"/>
  <c r="AK25" i="218"/>
  <c r="AK56" i="219"/>
  <c r="AK193" i="218"/>
  <c r="AA153" i="219"/>
  <c r="AB12" i="219"/>
  <c r="AK30" i="219"/>
  <c r="Z96" i="221"/>
  <c r="Y96" i="221"/>
  <c r="AJ96" i="221"/>
  <c r="AH96" i="221"/>
  <c r="AE96" i="221"/>
  <c r="AD96" i="221"/>
  <c r="AC96" i="221"/>
  <c r="AB96" i="221"/>
  <c r="AA96" i="221"/>
  <c r="AG96" i="221"/>
  <c r="AF96" i="221"/>
  <c r="AI96" i="221"/>
  <c r="AK29" i="218"/>
  <c r="AK137" i="204"/>
  <c r="Z112" i="220"/>
  <c r="AA112" i="220"/>
  <c r="AG112" i="220"/>
  <c r="AI112" i="220"/>
  <c r="Y112" i="220"/>
  <c r="AJ112" i="220"/>
  <c r="AD112" i="220"/>
  <c r="AC112" i="220"/>
  <c r="AB112" i="220"/>
  <c r="AH112" i="220"/>
  <c r="AF112" i="220"/>
  <c r="AE112" i="220"/>
  <c r="AD108" i="222"/>
  <c r="Z108" i="222"/>
  <c r="AI108" i="222"/>
  <c r="AH108" i="222"/>
  <c r="AF108" i="222"/>
  <c r="AJ108" i="222"/>
  <c r="AG108" i="222"/>
  <c r="AE108" i="222"/>
  <c r="AC108" i="222"/>
  <c r="AB108" i="222"/>
  <c r="AA108" i="222"/>
  <c r="Y108" i="222"/>
  <c r="Z153" i="218"/>
  <c r="AK44" i="218"/>
  <c r="AK146" i="204"/>
  <c r="AK66" i="218"/>
  <c r="AC120" i="218"/>
  <c r="AB120" i="218"/>
  <c r="AA120" i="218"/>
  <c r="AJ120" i="218"/>
  <c r="AI120" i="218"/>
  <c r="AH120" i="218"/>
  <c r="AF120" i="218"/>
  <c r="Z120" i="218"/>
  <c r="AE120" i="218"/>
  <c r="AD120" i="218"/>
  <c r="Y120" i="218"/>
  <c r="AG120" i="218"/>
  <c r="AK187" i="218"/>
  <c r="AK167" i="218"/>
  <c r="AK15" i="218"/>
  <c r="AK30" i="218"/>
  <c r="AK134" i="218"/>
  <c r="AK148" i="204"/>
  <c r="AE123" i="222"/>
  <c r="AD123" i="222"/>
  <c r="AI123" i="222"/>
  <c r="AH123" i="222"/>
  <c r="AF123" i="222"/>
  <c r="AB123" i="222"/>
  <c r="AA123" i="222"/>
  <c r="Z123" i="222"/>
  <c r="Y123" i="222"/>
  <c r="AJ123" i="222"/>
  <c r="AG123" i="222"/>
  <c r="AC123" i="222"/>
  <c r="AK118" i="204"/>
  <c r="AK113" i="204"/>
  <c r="AK31" i="204"/>
  <c r="E133" i="222"/>
  <c r="F133" i="222" s="1"/>
  <c r="AK133" i="222"/>
  <c r="H133" i="222"/>
  <c r="I133" i="222" s="1"/>
  <c r="AK64" i="222"/>
  <c r="E64" i="222"/>
  <c r="F64" i="222" s="1"/>
  <c r="H64" i="222"/>
  <c r="I64" i="222" s="1"/>
  <c r="H68" i="222"/>
  <c r="I68" i="222" s="1"/>
  <c r="AK68" i="222"/>
  <c r="E68" i="222"/>
  <c r="F68" i="222" s="1"/>
  <c r="AK189" i="221"/>
  <c r="AK204" i="221"/>
  <c r="AK160" i="221"/>
  <c r="AK92" i="221"/>
  <c r="AF153" i="221"/>
  <c r="AK44" i="221"/>
  <c r="AK89" i="221"/>
  <c r="AK149" i="221"/>
  <c r="AG199" i="221"/>
  <c r="AK159" i="221"/>
  <c r="AD42" i="221"/>
  <c r="AG19" i="221"/>
  <c r="AK36" i="221"/>
  <c r="AK148" i="220"/>
  <c r="AK11" i="221"/>
  <c r="AK196" i="219"/>
  <c r="AK51" i="220"/>
  <c r="AE19" i="220"/>
  <c r="AK64" i="219"/>
  <c r="AK10" i="220"/>
  <c r="AK203" i="219"/>
  <c r="AE42" i="220"/>
  <c r="Z42" i="219"/>
  <c r="AK72" i="219"/>
  <c r="AK90" i="219"/>
  <c r="AK148" i="218"/>
  <c r="AB153" i="219"/>
  <c r="AB19" i="219"/>
  <c r="AK176" i="218"/>
  <c r="AC12" i="219"/>
  <c r="AK158" i="218"/>
  <c r="AK149" i="218"/>
  <c r="AJ183" i="218"/>
  <c r="AK169" i="204"/>
  <c r="AI121" i="218"/>
  <c r="AJ121" i="218"/>
  <c r="AE121" i="218"/>
  <c r="AD121" i="218"/>
  <c r="AC121" i="218"/>
  <c r="AB121" i="218"/>
  <c r="Z121" i="218"/>
  <c r="AH121" i="218"/>
  <c r="AG121" i="218"/>
  <c r="AF121" i="218"/>
  <c r="AA121" i="218"/>
  <c r="Y121" i="218"/>
  <c r="AA96" i="222"/>
  <c r="AJ96" i="222"/>
  <c r="AD96" i="222"/>
  <c r="AC96" i="222"/>
  <c r="Z96" i="222"/>
  <c r="AI96" i="222"/>
  <c r="AH96" i="222"/>
  <c r="AG96" i="222"/>
  <c r="AF96" i="222"/>
  <c r="AE96" i="222"/>
  <c r="AB96" i="222"/>
  <c r="Y96" i="222"/>
  <c r="Y12" i="204"/>
  <c r="AK8" i="204"/>
  <c r="AF112" i="221"/>
  <c r="AI112" i="221"/>
  <c r="AH112" i="221"/>
  <c r="AG112" i="221"/>
  <c r="AE112" i="221"/>
  <c r="AD112" i="221"/>
  <c r="AJ112" i="221"/>
  <c r="AB112" i="221"/>
  <c r="Z112" i="221"/>
  <c r="Y112" i="221"/>
  <c r="AC112" i="221"/>
  <c r="AA112" i="221"/>
  <c r="AE153" i="218"/>
  <c r="AK82" i="218"/>
  <c r="AK147" i="204"/>
  <c r="AK50" i="218"/>
  <c r="AI120" i="221"/>
  <c r="AF120" i="221"/>
  <c r="AE120" i="221"/>
  <c r="AD120" i="221"/>
  <c r="AC120" i="221"/>
  <c r="AB120" i="221"/>
  <c r="Z120" i="221"/>
  <c r="Y120" i="221"/>
  <c r="AJ120" i="221"/>
  <c r="AH120" i="221"/>
  <c r="AG120" i="221"/>
  <c r="AA120" i="221"/>
  <c r="AK49" i="204"/>
  <c r="Z125" i="218"/>
  <c r="Y125" i="218"/>
  <c r="AI125" i="218"/>
  <c r="AC125" i="218"/>
  <c r="AB125" i="218"/>
  <c r="AA125" i="218"/>
  <c r="AJ125" i="218"/>
  <c r="AH125" i="218"/>
  <c r="AG125" i="218"/>
  <c r="AF125" i="218"/>
  <c r="AE125" i="218"/>
  <c r="AD125" i="218"/>
  <c r="AJ104" i="220"/>
  <c r="AJ101" i="220" s="1"/>
  <c r="AC104" i="220"/>
  <c r="AC101" i="220" s="1"/>
  <c r="AB104" i="220"/>
  <c r="AI104" i="220"/>
  <c r="AI101" i="220" s="1"/>
  <c r="AH104" i="220"/>
  <c r="AG104" i="220"/>
  <c r="AG101" i="220" s="1"/>
  <c r="AF104" i="220"/>
  <c r="AE104" i="220"/>
  <c r="AD104" i="220"/>
  <c r="AK96" i="218"/>
  <c r="AK47" i="204"/>
  <c r="AK23" i="204"/>
  <c r="Y42" i="204"/>
  <c r="AK100" i="218"/>
  <c r="AA111" i="204"/>
  <c r="Z111" i="204"/>
  <c r="Y111" i="204"/>
  <c r="AJ111" i="204"/>
  <c r="AB111" i="204"/>
  <c r="AI111" i="204"/>
  <c r="AH111" i="204"/>
  <c r="AG111" i="204"/>
  <c r="AE111" i="204"/>
  <c r="AD111" i="204"/>
  <c r="AC111" i="204"/>
  <c r="AF111" i="204"/>
  <c r="AK90" i="204"/>
  <c r="AK58" i="204"/>
  <c r="AD199" i="222"/>
  <c r="AK87" i="222"/>
  <c r="AK77" i="222"/>
  <c r="H77" i="222"/>
  <c r="I77" i="222" s="1"/>
  <c r="E77" i="222"/>
  <c r="F77" i="222" s="1"/>
  <c r="AK203" i="221"/>
  <c r="AK90" i="221"/>
  <c r="AG153" i="221"/>
  <c r="AK130" i="221"/>
  <c r="AK146" i="221"/>
  <c r="AK171" i="221"/>
  <c r="AJ199" i="221"/>
  <c r="AK58" i="221"/>
  <c r="AK64" i="221"/>
  <c r="AI19" i="221"/>
  <c r="AB80" i="220"/>
  <c r="AK128" i="220"/>
  <c r="AK66" i="220"/>
  <c r="AI19" i="220"/>
  <c r="AK14" i="220"/>
  <c r="Z44" i="220"/>
  <c r="AK97" i="219"/>
  <c r="AK63" i="219"/>
  <c r="AK87" i="219"/>
  <c r="AD153" i="219"/>
  <c r="AK159" i="218"/>
  <c r="AD12" i="219"/>
  <c r="AK9" i="219"/>
  <c r="AK178" i="218"/>
  <c r="Y183" i="218"/>
  <c r="AK174" i="218"/>
  <c r="Y121" i="220"/>
  <c r="AC121" i="220"/>
  <c r="AB121" i="220"/>
  <c r="Z121" i="220"/>
  <c r="AH121" i="220"/>
  <c r="AG121" i="220"/>
  <c r="AF121" i="220"/>
  <c r="AJ121" i="220"/>
  <c r="AI121" i="220"/>
  <c r="AE121" i="220"/>
  <c r="AD121" i="220"/>
  <c r="AA121" i="220"/>
  <c r="AK77" i="218"/>
  <c r="AK194" i="204"/>
  <c r="Y199" i="204"/>
  <c r="AI124" i="221"/>
  <c r="AJ124" i="221"/>
  <c r="AH124" i="221"/>
  <c r="AG124" i="221"/>
  <c r="AF124" i="221"/>
  <c r="AE124" i="221"/>
  <c r="AC124" i="221"/>
  <c r="AA124" i="221"/>
  <c r="Z124" i="221"/>
  <c r="Y124" i="221"/>
  <c r="AD124" i="221"/>
  <c r="AB124" i="221"/>
  <c r="AG116" i="219"/>
  <c r="AI116" i="219"/>
  <c r="AC116" i="219"/>
  <c r="AB116" i="219"/>
  <c r="Z116" i="219"/>
  <c r="AF116" i="219"/>
  <c r="AE116" i="219"/>
  <c r="AD116" i="219"/>
  <c r="AA116" i="219"/>
  <c r="Y116" i="219"/>
  <c r="AJ116" i="219"/>
  <c r="AH116" i="219"/>
  <c r="AC112" i="222"/>
  <c r="AB112" i="222"/>
  <c r="AI112" i="222"/>
  <c r="AH112" i="222"/>
  <c r="AF112" i="222"/>
  <c r="AG112" i="222"/>
  <c r="AE112" i="222"/>
  <c r="AD112" i="222"/>
  <c r="AA112" i="222"/>
  <c r="Z112" i="222"/>
  <c r="AJ112" i="222"/>
  <c r="Y112" i="222"/>
  <c r="AF153" i="218"/>
  <c r="Z100" i="219"/>
  <c r="AI100" i="219"/>
  <c r="AA100" i="219"/>
  <c r="AB100" i="219"/>
  <c r="Y100" i="219"/>
  <c r="AK100" i="219" s="1"/>
  <c r="AB106" i="221"/>
  <c r="AJ106" i="221"/>
  <c r="AI106" i="221"/>
  <c r="AH106" i="221"/>
  <c r="AE106" i="221"/>
  <c r="AD106" i="221"/>
  <c r="AC106" i="221"/>
  <c r="AA106" i="221"/>
  <c r="Z106" i="221"/>
  <c r="Y106" i="221"/>
  <c r="AG106" i="221"/>
  <c r="AF106" i="221"/>
  <c r="AK28" i="218"/>
  <c r="AH19" i="204"/>
  <c r="AH185" i="204" s="1"/>
  <c r="AH201" i="204" s="1"/>
  <c r="AH207" i="204" s="1"/>
  <c r="Y120" i="222"/>
  <c r="AI120" i="222"/>
  <c r="AE120" i="222"/>
  <c r="AD120" i="222"/>
  <c r="AB120" i="222"/>
  <c r="AJ120" i="222"/>
  <c r="AH120" i="222"/>
  <c r="AG120" i="222"/>
  <c r="AF120" i="222"/>
  <c r="AC120" i="222"/>
  <c r="Z120" i="222"/>
  <c r="AA120" i="222"/>
  <c r="AK70" i="218"/>
  <c r="AA185" i="218"/>
  <c r="AA201" i="218" s="1"/>
  <c r="AA207" i="218" s="1"/>
  <c r="AK129" i="204"/>
  <c r="AD153" i="204"/>
  <c r="Y110" i="218"/>
  <c r="AB110" i="218"/>
  <c r="AA110" i="218"/>
  <c r="AF110" i="218"/>
  <c r="AE110" i="218"/>
  <c r="AD110" i="218"/>
  <c r="Z110" i="218"/>
  <c r="AJ110" i="218"/>
  <c r="AI110" i="218"/>
  <c r="AH110" i="218"/>
  <c r="AG110" i="218"/>
  <c r="AC110" i="218"/>
  <c r="AA104" i="221"/>
  <c r="AJ104" i="221"/>
  <c r="AI104" i="221"/>
  <c r="AH104" i="221"/>
  <c r="AG104" i="221"/>
  <c r="AF104" i="221"/>
  <c r="Y104" i="221"/>
  <c r="AE104" i="221"/>
  <c r="AD104" i="221"/>
  <c r="AC104" i="221"/>
  <c r="AB104" i="221"/>
  <c r="Z104" i="221"/>
  <c r="AK71" i="204"/>
  <c r="AK72" i="204"/>
  <c r="AF111" i="218"/>
  <c r="AJ111" i="218"/>
  <c r="AI111" i="218"/>
  <c r="AD111" i="218"/>
  <c r="Z111" i="218"/>
  <c r="Y111" i="218"/>
  <c r="AH111" i="218"/>
  <c r="AG111" i="218"/>
  <c r="AE111" i="218"/>
  <c r="AC111" i="218"/>
  <c r="AB111" i="218"/>
  <c r="AA111" i="218"/>
  <c r="E159" i="222"/>
  <c r="F159" i="222" s="1"/>
  <c r="H159" i="222"/>
  <c r="I159" i="222" s="1"/>
  <c r="AK159" i="222"/>
  <c r="E75" i="222"/>
  <c r="F75" i="222" s="1"/>
  <c r="AK75" i="222"/>
  <c r="H75" i="222"/>
  <c r="I75" i="222" s="1"/>
  <c r="AK80" i="222"/>
  <c r="H80" i="222"/>
  <c r="E80" i="222"/>
  <c r="H47" i="222"/>
  <c r="I47" i="222" s="1"/>
  <c r="AK47" i="222"/>
  <c r="E47" i="222"/>
  <c r="F47" i="222" s="1"/>
  <c r="H66" i="222"/>
  <c r="I66" i="222" s="1"/>
  <c r="AK66" i="222"/>
  <c r="E66" i="222"/>
  <c r="F66" i="222" s="1"/>
  <c r="H61" i="222"/>
  <c r="AK61" i="222"/>
  <c r="E61" i="222"/>
  <c r="H54" i="222"/>
  <c r="E54" i="222"/>
  <c r="AK54" i="222"/>
  <c r="AK175" i="221"/>
  <c r="AI153" i="221"/>
  <c r="AK70" i="221"/>
  <c r="AK105" i="221"/>
  <c r="AK161" i="220"/>
  <c r="AA19" i="221"/>
  <c r="AJ80" i="220"/>
  <c r="AK33" i="221"/>
  <c r="AK162" i="220"/>
  <c r="AK132" i="219"/>
  <c r="AK84" i="219"/>
  <c r="AB172" i="219"/>
  <c r="AK145" i="219"/>
  <c r="AK78" i="219"/>
  <c r="AK10" i="219"/>
  <c r="AK141" i="218"/>
  <c r="AE153" i="219"/>
  <c r="AD19" i="219"/>
  <c r="AC183" i="218"/>
  <c r="AG12" i="219"/>
  <c r="AK27" i="219"/>
  <c r="AK175" i="218"/>
  <c r="AH153" i="219"/>
  <c r="AD183" i="218"/>
  <c r="AF121" i="219"/>
  <c r="AE121" i="219"/>
  <c r="AA121" i="219"/>
  <c r="AH121" i="219"/>
  <c r="AG121" i="219"/>
  <c r="AC121" i="219"/>
  <c r="AJ121" i="219"/>
  <c r="AI121" i="219"/>
  <c r="AD121" i="219"/>
  <c r="AB121" i="219"/>
  <c r="Z121" i="219"/>
  <c r="Y121" i="219"/>
  <c r="AF124" i="222"/>
  <c r="AG124" i="222"/>
  <c r="AB124" i="222"/>
  <c r="AA124" i="222"/>
  <c r="Y124" i="222"/>
  <c r="AC124" i="222"/>
  <c r="Z124" i="222"/>
  <c r="AJ124" i="222"/>
  <c r="AI124" i="222"/>
  <c r="AH124" i="222"/>
  <c r="AE124" i="222"/>
  <c r="AD124" i="222"/>
  <c r="AA116" i="218"/>
  <c r="AJ116" i="218"/>
  <c r="AF116" i="218"/>
  <c r="AC116" i="218"/>
  <c r="AB116" i="218"/>
  <c r="Z116" i="218"/>
  <c r="Y116" i="218"/>
  <c r="AI116" i="218"/>
  <c r="AH116" i="218"/>
  <c r="AG116" i="218"/>
  <c r="AE116" i="218"/>
  <c r="AD116" i="218"/>
  <c r="AJ153" i="218"/>
  <c r="AA100" i="220"/>
  <c r="AA97" i="220" s="1"/>
  <c r="Y100" i="220"/>
  <c r="AC100" i="220"/>
  <c r="AC97" i="220" s="1"/>
  <c r="AD100" i="220"/>
  <c r="Z100" i="220"/>
  <c r="AF100" i="220"/>
  <c r="AE100" i="220"/>
  <c r="AB100" i="220"/>
  <c r="AI100" i="220"/>
  <c r="AH100" i="220"/>
  <c r="AG100" i="220"/>
  <c r="AJ100" i="220"/>
  <c r="Y106" i="222"/>
  <c r="AE106" i="222"/>
  <c r="AG106" i="222"/>
  <c r="AJ106" i="222"/>
  <c r="AI106" i="222"/>
  <c r="AH106" i="222"/>
  <c r="AF106" i="222"/>
  <c r="AD106" i="222"/>
  <c r="AC106" i="222"/>
  <c r="AB106" i="222"/>
  <c r="AA106" i="222"/>
  <c r="Z106" i="222"/>
  <c r="AG19" i="204"/>
  <c r="AG185" i="204" s="1"/>
  <c r="AG201" i="204" s="1"/>
  <c r="AG207" i="204" s="1"/>
  <c r="AK56" i="218"/>
  <c r="AK118" i="218"/>
  <c r="AK133" i="218"/>
  <c r="AK90" i="218"/>
  <c r="AK116" i="204"/>
  <c r="AA125" i="219"/>
  <c r="AB125" i="219"/>
  <c r="Z125" i="219"/>
  <c r="Y125" i="219"/>
  <c r="AK125" i="219" s="1"/>
  <c r="AI110" i="204"/>
  <c r="AG110" i="204"/>
  <c r="AF110" i="204"/>
  <c r="AE110" i="204"/>
  <c r="AD110" i="204"/>
  <c r="AC110" i="204"/>
  <c r="AB110" i="204"/>
  <c r="AH110" i="204"/>
  <c r="AJ110" i="204"/>
  <c r="Z110" i="204"/>
  <c r="Y110" i="204"/>
  <c r="AA110" i="204"/>
  <c r="Y104" i="222"/>
  <c r="AB104" i="222"/>
  <c r="Z104" i="222"/>
  <c r="AE104" i="222"/>
  <c r="AD104" i="222"/>
  <c r="AA104" i="222"/>
  <c r="AJ104" i="222"/>
  <c r="AI104" i="222"/>
  <c r="AH104" i="222"/>
  <c r="AG104" i="222"/>
  <c r="AF104" i="222"/>
  <c r="AC104" i="222"/>
  <c r="AK34" i="204"/>
  <c r="AK40" i="204"/>
  <c r="AK112" i="218"/>
  <c r="AK123" i="204"/>
  <c r="E193" i="222"/>
  <c r="F193" i="222" s="1"/>
  <c r="AK193" i="222"/>
  <c r="H193" i="222"/>
  <c r="I193" i="222" s="1"/>
  <c r="E160" i="222"/>
  <c r="F160" i="222" s="1"/>
  <c r="H160" i="222"/>
  <c r="I160" i="222" s="1"/>
  <c r="AK160" i="222"/>
  <c r="AK162" i="222"/>
  <c r="AK164" i="222"/>
  <c r="E164" i="222"/>
  <c r="F164" i="222" s="1"/>
  <c r="H164" i="222"/>
  <c r="I164" i="222" s="1"/>
  <c r="H92" i="222"/>
  <c r="I92" i="222" s="1"/>
  <c r="AK92" i="222"/>
  <c r="E92" i="222"/>
  <c r="F92" i="222" s="1"/>
  <c r="AB153" i="222"/>
  <c r="AK148" i="221"/>
  <c r="AK156" i="221"/>
  <c r="AK84" i="221"/>
  <c r="AK128" i="221"/>
  <c r="AC19" i="221"/>
  <c r="AK14" i="221"/>
  <c r="Z172" i="220"/>
  <c r="AK176" i="220"/>
  <c r="AG44" i="220"/>
  <c r="AK32" i="220"/>
  <c r="AK35" i="220"/>
  <c r="AK18" i="220"/>
  <c r="AJ42" i="220"/>
  <c r="AK180" i="219"/>
  <c r="AK113" i="219"/>
  <c r="AK82" i="219"/>
  <c r="AC172" i="219"/>
  <c r="AC153" i="219"/>
  <c r="AJ19" i="219"/>
  <c r="AH12" i="219"/>
  <c r="AH185" i="219" s="1"/>
  <c r="AH201" i="219" s="1"/>
  <c r="AH207" i="219" s="1"/>
  <c r="AB183" i="218"/>
  <c r="AE183" i="218"/>
  <c r="AA121" i="221"/>
  <c r="Y121" i="221"/>
  <c r="AJ121" i="221"/>
  <c r="Z121" i="221"/>
  <c r="AH121" i="221"/>
  <c r="AG121" i="221"/>
  <c r="AF121" i="221"/>
  <c r="AE121" i="221"/>
  <c r="AD121" i="221"/>
  <c r="AC121" i="221"/>
  <c r="AB121" i="221"/>
  <c r="AI121" i="221"/>
  <c r="AI116" i="220"/>
  <c r="AB116" i="220"/>
  <c r="AG116" i="220"/>
  <c r="AE116" i="220"/>
  <c r="AJ116" i="220"/>
  <c r="AH116" i="220"/>
  <c r="AD116" i="220"/>
  <c r="AC116" i="220"/>
  <c r="AA116" i="220"/>
  <c r="Z116" i="220"/>
  <c r="Y116" i="220"/>
  <c r="AF116" i="220"/>
  <c r="AK74" i="218"/>
  <c r="AC153" i="218"/>
  <c r="AC185" i="218" s="1"/>
  <c r="AC201" i="218" s="1"/>
  <c r="AC207" i="218" s="1"/>
  <c r="AF100" i="221"/>
  <c r="AJ100" i="221"/>
  <c r="AI100" i="221"/>
  <c r="AH100" i="221"/>
  <c r="AG100" i="221"/>
  <c r="AC100" i="221"/>
  <c r="AB100" i="221"/>
  <c r="AA100" i="221"/>
  <c r="Z100" i="221"/>
  <c r="Y100" i="221"/>
  <c r="AE100" i="221"/>
  <c r="AD100" i="221"/>
  <c r="AK92" i="218"/>
  <c r="AF19" i="204"/>
  <c r="AF185" i="204" s="1"/>
  <c r="AF201" i="204" s="1"/>
  <c r="AF207" i="204" s="1"/>
  <c r="AK24" i="218"/>
  <c r="AK71" i="218"/>
  <c r="AK122" i="218"/>
  <c r="AB125" i="221"/>
  <c r="AE125" i="221"/>
  <c r="AD125" i="221"/>
  <c r="AC125" i="221"/>
  <c r="AA125" i="221"/>
  <c r="Z125" i="221"/>
  <c r="AJ125" i="221"/>
  <c r="AH125" i="221"/>
  <c r="AF125" i="221"/>
  <c r="Y125" i="221"/>
  <c r="AI125" i="221"/>
  <c r="AG125" i="221"/>
  <c r="AF110" i="221"/>
  <c r="AG110" i="221"/>
  <c r="AE110" i="221"/>
  <c r="AD110" i="221"/>
  <c r="AC110" i="221"/>
  <c r="AB110" i="221"/>
  <c r="AI110" i="221"/>
  <c r="AH110" i="221"/>
  <c r="AA110" i="221"/>
  <c r="Z110" i="221"/>
  <c r="Y110" i="221"/>
  <c r="AJ110" i="221"/>
  <c r="AD12" i="218"/>
  <c r="Y111" i="221"/>
  <c r="AA111" i="221"/>
  <c r="Z111" i="221"/>
  <c r="AJ111" i="221"/>
  <c r="AI111" i="221"/>
  <c r="AG111" i="221"/>
  <c r="AE111" i="221"/>
  <c r="AD111" i="221"/>
  <c r="AC111" i="221"/>
  <c r="AB111" i="221"/>
  <c r="AH111" i="221"/>
  <c r="AF111" i="221"/>
  <c r="H81" i="222"/>
  <c r="I81" i="222" s="1"/>
  <c r="E81" i="222"/>
  <c r="F81" i="222" s="1"/>
  <c r="AK81" i="222"/>
  <c r="H49" i="222"/>
  <c r="I49" i="222" s="1"/>
  <c r="E49" i="222"/>
  <c r="F49" i="222" s="1"/>
  <c r="AK49" i="222"/>
  <c r="E17" i="222"/>
  <c r="F17" i="222" s="1"/>
  <c r="H17" i="222"/>
  <c r="I17" i="222" s="1"/>
  <c r="AK17" i="222"/>
  <c r="E32" i="222"/>
  <c r="F32" i="222" s="1"/>
  <c r="H32" i="222"/>
  <c r="I32" i="222" s="1"/>
  <c r="AK32" i="222"/>
  <c r="AH19" i="222"/>
  <c r="AK198" i="219"/>
  <c r="AK140" i="219"/>
  <c r="AK12" i="219"/>
  <c r="AI153" i="219"/>
  <c r="AE121" i="222"/>
  <c r="AA121" i="222"/>
  <c r="AG121" i="222"/>
  <c r="AH121" i="222"/>
  <c r="AF121" i="222"/>
  <c r="AD121" i="222"/>
  <c r="AC121" i="222"/>
  <c r="AB121" i="222"/>
  <c r="Z121" i="222"/>
  <c r="AJ121" i="222"/>
  <c r="AI121" i="222"/>
  <c r="Y121" i="222"/>
  <c r="AF116" i="221"/>
  <c r="AJ116" i="221"/>
  <c r="AI116" i="221"/>
  <c r="AC116" i="221"/>
  <c r="AB116" i="221"/>
  <c r="AA116" i="221"/>
  <c r="Z116" i="221"/>
  <c r="AH116" i="221"/>
  <c r="AG116" i="221"/>
  <c r="AE116" i="221"/>
  <c r="AD116" i="221"/>
  <c r="Y116" i="221"/>
  <c r="AA100" i="222"/>
  <c r="Y100" i="222"/>
  <c r="AG100" i="222"/>
  <c r="AF100" i="222"/>
  <c r="AE100" i="222"/>
  <c r="AC100" i="222"/>
  <c r="AJ100" i="222"/>
  <c r="AI100" i="222"/>
  <c r="AH100" i="222"/>
  <c r="AD100" i="222"/>
  <c r="AB100" i="222"/>
  <c r="Z100" i="222"/>
  <c r="AH103" i="221"/>
  <c r="AA103" i="221"/>
  <c r="Z103" i="221"/>
  <c r="Y103" i="221"/>
  <c r="AD103" i="221"/>
  <c r="AC103" i="221"/>
  <c r="AB103" i="221"/>
  <c r="AJ103" i="221"/>
  <c r="AI103" i="221"/>
  <c r="AG103" i="221"/>
  <c r="AF103" i="221"/>
  <c r="AE103" i="221"/>
  <c r="AE185" i="218"/>
  <c r="AE201" i="218" s="1"/>
  <c r="AE207" i="218" s="1"/>
  <c r="AK8" i="218"/>
  <c r="AK12" i="218" s="1"/>
  <c r="Y12" i="218"/>
  <c r="AK75" i="218"/>
  <c r="Z125" i="220"/>
  <c r="AF125" i="220"/>
  <c r="AA125" i="220"/>
  <c r="AI125" i="220"/>
  <c r="AG125" i="220"/>
  <c r="AD125" i="220"/>
  <c r="AC125" i="220"/>
  <c r="AB125" i="220"/>
  <c r="AE125" i="220"/>
  <c r="Y125" i="220"/>
  <c r="AJ125" i="220"/>
  <c r="AH125" i="220"/>
  <c r="AE110" i="222"/>
  <c r="AA110" i="222"/>
  <c r="AH110" i="222"/>
  <c r="AB110" i="222"/>
  <c r="Z110" i="222"/>
  <c r="AJ110" i="222"/>
  <c r="AF110" i="222"/>
  <c r="AD110" i="222"/>
  <c r="AI110" i="222"/>
  <c r="AG110" i="222"/>
  <c r="AC110" i="222"/>
  <c r="Y110" i="222"/>
  <c r="AK18" i="204"/>
  <c r="AK38" i="204"/>
  <c r="AB42" i="204"/>
  <c r="AK87" i="204"/>
  <c r="AA115" i="204"/>
  <c r="AE115" i="204"/>
  <c r="AD115" i="204"/>
  <c r="AC115" i="204"/>
  <c r="AB115" i="204"/>
  <c r="Y115" i="204"/>
  <c r="Z115" i="204"/>
  <c r="AF115" i="204"/>
  <c r="AJ115" i="204"/>
  <c r="AH115" i="204"/>
  <c r="AG115" i="204"/>
  <c r="AI115" i="204"/>
  <c r="AI111" i="222"/>
  <c r="AB111" i="222"/>
  <c r="AJ111" i="222"/>
  <c r="AH111" i="222"/>
  <c r="AG111" i="222"/>
  <c r="AF111" i="222"/>
  <c r="AE111" i="222"/>
  <c r="AA111" i="222"/>
  <c r="Z111" i="222"/>
  <c r="Y111" i="222"/>
  <c r="AD111" i="222"/>
  <c r="AC111" i="222"/>
  <c r="AK125" i="204"/>
  <c r="AK145" i="222"/>
  <c r="E78" i="222"/>
  <c r="F78" i="222" s="1"/>
  <c r="H78" i="222"/>
  <c r="I78" i="222" s="1"/>
  <c r="AK78" i="222"/>
  <c r="AK132" i="222"/>
  <c r="H132" i="222"/>
  <c r="I132" i="222" s="1"/>
  <c r="E132" i="222"/>
  <c r="F132" i="222" s="1"/>
  <c r="E58" i="222"/>
  <c r="H58" i="222"/>
  <c r="AK58" i="222"/>
  <c r="E34" i="222"/>
  <c r="F34" i="222" s="1"/>
  <c r="H34" i="222"/>
  <c r="I34" i="222" s="1"/>
  <c r="AK34" i="222"/>
  <c r="Y153" i="222"/>
  <c r="AK44" i="222"/>
  <c r="H44" i="222"/>
  <c r="E44" i="222"/>
  <c r="H38" i="222"/>
  <c r="I38" i="222" s="1"/>
  <c r="AK38" i="222"/>
  <c r="E38" i="222"/>
  <c r="F38" i="222" s="1"/>
  <c r="AK143" i="221"/>
  <c r="AK179" i="221"/>
  <c r="AK174" i="221"/>
  <c r="Y183" i="221"/>
  <c r="AK62" i="221"/>
  <c r="AK71" i="221"/>
  <c r="AK79" i="221"/>
  <c r="AK166" i="220"/>
  <c r="AI185" i="221"/>
  <c r="AK204" i="220"/>
  <c r="AK136" i="220"/>
  <c r="AK41" i="221"/>
  <c r="AK62" i="220"/>
  <c r="AK177" i="219"/>
  <c r="AK135" i="219"/>
  <c r="AK128" i="219"/>
  <c r="Z42" i="220"/>
  <c r="AK71" i="219"/>
  <c r="AF172" i="219"/>
  <c r="AK160" i="219"/>
  <c r="AK198" i="218"/>
  <c r="AK76" i="219"/>
  <c r="AK73" i="219"/>
  <c r="AK33" i="219"/>
  <c r="AK113" i="218"/>
  <c r="AK150" i="218"/>
  <c r="AK168" i="218"/>
  <c r="AK177" i="218"/>
  <c r="Z183" i="218"/>
  <c r="AK150" i="204"/>
  <c r="AA116" i="222"/>
  <c r="AG116" i="222"/>
  <c r="AD116" i="222"/>
  <c r="AF116" i="222"/>
  <c r="AE116" i="222"/>
  <c r="AB116" i="222"/>
  <c r="AI116" i="222"/>
  <c r="AH116" i="222"/>
  <c r="Z116" i="222"/>
  <c r="AC116" i="222"/>
  <c r="Y116" i="222"/>
  <c r="AJ116" i="222"/>
  <c r="Y42" i="218"/>
  <c r="AK23" i="218"/>
  <c r="Y19" i="204"/>
  <c r="AK14" i="204"/>
  <c r="AG103" i="222"/>
  <c r="AI103" i="222"/>
  <c r="AE103" i="222"/>
  <c r="AJ103" i="222"/>
  <c r="AH103" i="222"/>
  <c r="AD103" i="222"/>
  <c r="AF103" i="222"/>
  <c r="AC103" i="222"/>
  <c r="AB103" i="222"/>
  <c r="AA103" i="222"/>
  <c r="Z103" i="222"/>
  <c r="Y103" i="222"/>
  <c r="AF185" i="218"/>
  <c r="AF201" i="218" s="1"/>
  <c r="AF207" i="218" s="1"/>
  <c r="AB172" i="204"/>
  <c r="AC125" i="222"/>
  <c r="AF125" i="222"/>
  <c r="Y125" i="222"/>
  <c r="AA125" i="222"/>
  <c r="AJ125" i="222"/>
  <c r="Z125" i="222"/>
  <c r="AI125" i="222"/>
  <c r="AH125" i="222"/>
  <c r="AG125" i="222"/>
  <c r="AB125" i="222"/>
  <c r="AE125" i="222"/>
  <c r="AD125" i="222"/>
  <c r="AA114" i="218"/>
  <c r="AI114" i="218"/>
  <c r="AH114" i="218"/>
  <c r="AD114" i="218"/>
  <c r="AJ114" i="218"/>
  <c r="AF114" i="218"/>
  <c r="AB114" i="218"/>
  <c r="AG114" i="218"/>
  <c r="AE114" i="218"/>
  <c r="AC114" i="218"/>
  <c r="Z114" i="218"/>
  <c r="Y114" i="218"/>
  <c r="AK193" i="204"/>
  <c r="AH115" i="218"/>
  <c r="AB115" i="218"/>
  <c r="AA115" i="218"/>
  <c r="AG115" i="218"/>
  <c r="AF115" i="218"/>
  <c r="AE115" i="218"/>
  <c r="AC115" i="218"/>
  <c r="AJ115" i="218"/>
  <c r="AI115" i="218"/>
  <c r="AD115" i="218"/>
  <c r="Z115" i="218"/>
  <c r="Y115" i="218"/>
  <c r="AD153" i="222"/>
  <c r="AD185" i="222" s="1"/>
  <c r="AD201" i="222" s="1"/>
  <c r="AD207" i="222" s="1"/>
  <c r="AK62" i="222"/>
  <c r="E62" i="222"/>
  <c r="F62" i="222" s="1"/>
  <c r="H62" i="222"/>
  <c r="I62" i="222" s="1"/>
  <c r="H50" i="222"/>
  <c r="I50" i="222" s="1"/>
  <c r="E50" i="222"/>
  <c r="F50" i="222" s="1"/>
  <c r="AK50" i="222"/>
  <c r="H40" i="222"/>
  <c r="I40" i="222" s="1"/>
  <c r="E40" i="222"/>
  <c r="F40" i="222" s="1"/>
  <c r="AK40" i="222"/>
  <c r="H11" i="222"/>
  <c r="I11" i="222" s="1"/>
  <c r="E11" i="222"/>
  <c r="F11" i="222" s="1"/>
  <c r="AK11" i="222"/>
  <c r="AK132" i="221"/>
  <c r="Y19" i="222"/>
  <c r="AB183" i="221"/>
  <c r="AH199" i="221"/>
  <c r="AK180" i="221"/>
  <c r="AK57" i="221"/>
  <c r="AK81" i="220"/>
  <c r="Y42" i="221"/>
  <c r="AK23" i="221"/>
  <c r="AK42" i="221" s="1"/>
  <c r="AJ12" i="221"/>
  <c r="AK133" i="220"/>
  <c r="AK60" i="220"/>
  <c r="AK79" i="219"/>
  <c r="AK93" i="219"/>
  <c r="AK37" i="219"/>
  <c r="Y199" i="218"/>
  <c r="AK171" i="218"/>
  <c r="AK164" i="218"/>
  <c r="AK17" i="219"/>
  <c r="AK63" i="218"/>
  <c r="AK47" i="218"/>
  <c r="AK84" i="218"/>
  <c r="AJ185" i="218"/>
  <c r="AJ201" i="218" s="1"/>
  <c r="AJ207" i="218" s="1"/>
  <c r="AK72" i="218"/>
  <c r="AK40" i="218"/>
  <c r="AK30" i="204"/>
  <c r="AJ119" i="218"/>
  <c r="AH119" i="218"/>
  <c r="AG119" i="218"/>
  <c r="AC119" i="218"/>
  <c r="AI119" i="218"/>
  <c r="AD119" i="218"/>
  <c r="AA119" i="218"/>
  <c r="Z119" i="218"/>
  <c r="Y119" i="218"/>
  <c r="AF119" i="218"/>
  <c r="AE119" i="218"/>
  <c r="AB119" i="218"/>
  <c r="AK166" i="204"/>
  <c r="AK109" i="204"/>
  <c r="AK187" i="204"/>
  <c r="AK75" i="204"/>
  <c r="Y115" i="221"/>
  <c r="AE115" i="221"/>
  <c r="AD115" i="221"/>
  <c r="AC115" i="221"/>
  <c r="AB115" i="221"/>
  <c r="AA115" i="221"/>
  <c r="AJ115" i="221"/>
  <c r="AI115" i="221"/>
  <c r="AH115" i="221"/>
  <c r="AG115" i="221"/>
  <c r="Z115" i="221"/>
  <c r="AF115" i="221"/>
  <c r="AA199" i="222"/>
  <c r="AK152" i="222"/>
  <c r="H152" i="222"/>
  <c r="E152" i="222"/>
  <c r="H97" i="222"/>
  <c r="I97" i="222" s="1"/>
  <c r="AK97" i="222"/>
  <c r="E97" i="222"/>
  <c r="F97" i="222" s="1"/>
  <c r="H89" i="222"/>
  <c r="AK89" i="222"/>
  <c r="E89" i="222"/>
  <c r="E105" i="222"/>
  <c r="F105" i="222" s="1"/>
  <c r="H105" i="222"/>
  <c r="I105" i="222" s="1"/>
  <c r="AK105" i="222"/>
  <c r="AK71" i="222"/>
  <c r="H71" i="222"/>
  <c r="I71" i="222" s="1"/>
  <c r="E71" i="222"/>
  <c r="F71" i="222" s="1"/>
  <c r="AK60" i="222"/>
  <c r="E60" i="222"/>
  <c r="H60" i="222"/>
  <c r="AK113" i="221"/>
  <c r="AG183" i="221"/>
  <c r="AG185" i="221" s="1"/>
  <c r="AG201" i="221" s="1"/>
  <c r="AG207" i="221" s="1"/>
  <c r="AK109" i="221"/>
  <c r="Z199" i="221"/>
  <c r="AF19" i="221"/>
  <c r="AK63" i="220"/>
  <c r="Y75" i="220"/>
  <c r="AK75" i="220" s="1"/>
  <c r="AK11" i="220"/>
  <c r="AD44" i="220"/>
  <c r="AK134" i="219"/>
  <c r="AA19" i="220"/>
  <c r="AK194" i="219"/>
  <c r="AI183" i="219"/>
  <c r="AI185" i="219" s="1"/>
  <c r="AI201" i="219" s="1"/>
  <c r="AI207" i="219" s="1"/>
  <c r="AB42" i="220"/>
  <c r="AK126" i="219"/>
  <c r="AK86" i="219"/>
  <c r="Z172" i="219"/>
  <c r="AK65" i="219"/>
  <c r="AK39" i="218"/>
  <c r="AK162" i="218"/>
  <c r="AK32" i="219"/>
  <c r="AJ94" i="221"/>
  <c r="AI94" i="221"/>
  <c r="AH94" i="221"/>
  <c r="Z94" i="221"/>
  <c r="Y94" i="221"/>
  <c r="AF94" i="221"/>
  <c r="AE94" i="221"/>
  <c r="AD94" i="221"/>
  <c r="AC94" i="221"/>
  <c r="AB94" i="221"/>
  <c r="AA94" i="221"/>
  <c r="AG94" i="221"/>
  <c r="AK167" i="204"/>
  <c r="AK35" i="218"/>
  <c r="AK175" i="204"/>
  <c r="AG12" i="218"/>
  <c r="AI153" i="204"/>
  <c r="Z19" i="204"/>
  <c r="AK11" i="204"/>
  <c r="AK52" i="204"/>
  <c r="AK170" i="204"/>
  <c r="AK159" i="204"/>
  <c r="AC119" i="204"/>
  <c r="AI119" i="204"/>
  <c r="AH119" i="204"/>
  <c r="AJ119" i="204"/>
  <c r="AG119" i="204"/>
  <c r="AF119" i="204"/>
  <c r="AD119" i="204"/>
  <c r="AB119" i="204"/>
  <c r="AA119" i="204"/>
  <c r="Z119" i="204"/>
  <c r="Y119" i="204"/>
  <c r="AE119" i="204"/>
  <c r="AG114" i="221"/>
  <c r="AJ114" i="221"/>
  <c r="AI114" i="221"/>
  <c r="AH114" i="221"/>
  <c r="AF114" i="221"/>
  <c r="AE114" i="221"/>
  <c r="AD114" i="221"/>
  <c r="AC114" i="221"/>
  <c r="AA114" i="221"/>
  <c r="Y114" i="221"/>
  <c r="AB114" i="221"/>
  <c r="Z114" i="221"/>
  <c r="AK114" i="204"/>
  <c r="AI115" i="222"/>
  <c r="Y115" i="222"/>
  <c r="AJ115" i="222"/>
  <c r="AG115" i="222"/>
  <c r="AF115" i="222"/>
  <c r="AE115" i="222"/>
  <c r="AC115" i="222"/>
  <c r="AH115" i="222"/>
  <c r="AD115" i="222"/>
  <c r="AB115" i="222"/>
  <c r="AA115" i="222"/>
  <c r="Z115" i="222"/>
  <c r="H128" i="222"/>
  <c r="I128" i="222" s="1"/>
  <c r="E128" i="222"/>
  <c r="F128" i="222" s="1"/>
  <c r="AK128" i="222"/>
  <c r="AB183" i="222"/>
  <c r="H122" i="222"/>
  <c r="I122" i="222" s="1"/>
  <c r="E122" i="222"/>
  <c r="F122" i="222" s="1"/>
  <c r="AK122" i="222"/>
  <c r="E203" i="222"/>
  <c r="F203" i="222" s="1"/>
  <c r="AK203" i="222"/>
  <c r="H203" i="222"/>
  <c r="I203" i="222" s="1"/>
  <c r="AC183" i="222"/>
  <c r="AC172" i="222"/>
  <c r="AC185" i="222" s="1"/>
  <c r="AC201" i="222" s="1"/>
  <c r="AC207" i="222" s="1"/>
  <c r="AK76" i="222"/>
  <c r="AK129" i="222"/>
  <c r="E129" i="222"/>
  <c r="F129" i="222" s="1"/>
  <c r="H129" i="222"/>
  <c r="I129" i="222" s="1"/>
  <c r="H72" i="222"/>
  <c r="I72" i="222" s="1"/>
  <c r="AK72" i="222"/>
  <c r="E72" i="222"/>
  <c r="F72" i="222" s="1"/>
  <c r="AK176" i="221"/>
  <c r="H30" i="222"/>
  <c r="I30" i="222" s="1"/>
  <c r="E30" i="222"/>
  <c r="F30" i="222" s="1"/>
  <c r="AK30" i="222"/>
  <c r="AK122" i="221"/>
  <c r="AK9" i="222"/>
  <c r="H9" i="222"/>
  <c r="I9" i="222" s="1"/>
  <c r="E9" i="222"/>
  <c r="F9" i="222" s="1"/>
  <c r="AK145" i="221"/>
  <c r="AK131" i="221"/>
  <c r="AK87" i="221"/>
  <c r="AK77" i="221"/>
  <c r="AD183" i="221"/>
  <c r="AA199" i="221"/>
  <c r="AK80" i="221"/>
  <c r="AE42" i="221"/>
  <c r="AE185" i="221" s="1"/>
  <c r="AE201" i="221" s="1"/>
  <c r="AE207" i="221" s="1"/>
  <c r="AK85" i="220"/>
  <c r="AK16" i="221"/>
  <c r="AC12" i="221"/>
  <c r="AC185" i="221" s="1"/>
  <c r="AA183" i="220"/>
  <c r="AK126" i="220"/>
  <c r="AK142" i="219"/>
  <c r="AD183" i="219"/>
  <c r="AK164" i="219"/>
  <c r="AB12" i="220"/>
  <c r="AG183" i="219"/>
  <c r="AK35" i="219"/>
  <c r="AA172" i="219"/>
  <c r="AK80" i="219"/>
  <c r="AK45" i="219"/>
  <c r="AK59" i="219"/>
  <c r="AD172" i="218"/>
  <c r="AK156" i="218"/>
  <c r="AK139" i="219"/>
  <c r="AK187" i="219"/>
  <c r="AK199" i="219" s="1"/>
  <c r="AK166" i="219"/>
  <c r="AK137" i="218"/>
  <c r="AG19" i="219"/>
  <c r="AK165" i="218"/>
  <c r="AK68" i="218"/>
  <c r="Y172" i="204"/>
  <c r="AK156" i="204"/>
  <c r="AC94" i="222"/>
  <c r="AI94" i="222"/>
  <c r="AF94" i="222"/>
  <c r="AJ94" i="222"/>
  <c r="AH94" i="222"/>
  <c r="AG94" i="222"/>
  <c r="AE94" i="222"/>
  <c r="AD94" i="222"/>
  <c r="AB94" i="222"/>
  <c r="AA94" i="222"/>
  <c r="Z94" i="222"/>
  <c r="Y94" i="222"/>
  <c r="Y108" i="219"/>
  <c r="AB108" i="219"/>
  <c r="Z108" i="219"/>
  <c r="AK91" i="218"/>
  <c r="AK87" i="218"/>
  <c r="AK37" i="218"/>
  <c r="AK204" i="204"/>
  <c r="AK120" i="204"/>
  <c r="AJ19" i="204"/>
  <c r="AJ185" i="204" s="1"/>
  <c r="AJ201" i="204" s="1"/>
  <c r="AJ207" i="204" s="1"/>
  <c r="AK58" i="218"/>
  <c r="AK65" i="218"/>
  <c r="AK96" i="204"/>
  <c r="AC114" i="222"/>
  <c r="AF114" i="222"/>
  <c r="Z114" i="222"/>
  <c r="AA114" i="222"/>
  <c r="Y114" i="222"/>
  <c r="AJ114" i="222"/>
  <c r="AI114" i="222"/>
  <c r="AG114" i="222"/>
  <c r="AH114" i="222"/>
  <c r="AE114" i="222"/>
  <c r="AD114" i="222"/>
  <c r="AB114" i="222"/>
  <c r="AK17" i="204"/>
  <c r="AK37" i="204"/>
  <c r="H90" i="222"/>
  <c r="I90" i="222" s="1"/>
  <c r="AK90" i="222"/>
  <c r="E90" i="222"/>
  <c r="F90" i="222" s="1"/>
  <c r="H109" i="222"/>
  <c r="I109" i="222" s="1"/>
  <c r="E109" i="222"/>
  <c r="F109" i="222" s="1"/>
  <c r="AK109" i="222"/>
  <c r="E148" i="222"/>
  <c r="F148" i="222" s="1"/>
  <c r="AK148" i="222"/>
  <c r="H148" i="222"/>
  <c r="I148" i="222" s="1"/>
  <c r="Z183" i="222"/>
  <c r="H135" i="222"/>
  <c r="I135" i="222" s="1"/>
  <c r="E135" i="222"/>
  <c r="F135" i="222" s="1"/>
  <c r="AK135" i="222"/>
  <c r="AE12" i="222"/>
  <c r="AK8" i="222"/>
  <c r="E25" i="222"/>
  <c r="F25" i="222" s="1"/>
  <c r="AK25" i="222"/>
  <c r="H25" i="222"/>
  <c r="I25" i="222" s="1"/>
  <c r="AA185" i="222"/>
  <c r="AA201" i="222" s="1"/>
  <c r="AA207" i="222" s="1"/>
  <c r="AK193" i="221"/>
  <c r="AK118" i="221"/>
  <c r="AK35" i="221"/>
  <c r="Z12" i="221"/>
  <c r="AD183" i="220"/>
  <c r="AK71" i="220"/>
  <c r="AK56" i="220"/>
  <c r="AK191" i="219"/>
  <c r="AK176" i="219"/>
  <c r="AK183" i="219" s="1"/>
  <c r="AK9" i="220"/>
  <c r="AJ183" i="219"/>
  <c r="AE172" i="219"/>
  <c r="AE185" i="219" s="1"/>
  <c r="AE201" i="219" s="1"/>
  <c r="AE207" i="219" s="1"/>
  <c r="AK54" i="219"/>
  <c r="AK49" i="219"/>
  <c r="Z172" i="218"/>
  <c r="Z185" i="218" s="1"/>
  <c r="Z201" i="218" s="1"/>
  <c r="Z207" i="218" s="1"/>
  <c r="AF19" i="219"/>
  <c r="AK16" i="204"/>
  <c r="AH108" i="218"/>
  <c r="AI108" i="218"/>
  <c r="AG108" i="218"/>
  <c r="AC108" i="218"/>
  <c r="AE108" i="218"/>
  <c r="AD108" i="218"/>
  <c r="AB108" i="218"/>
  <c r="Z108" i="218"/>
  <c r="AA108" i="218"/>
  <c r="Y108" i="218"/>
  <c r="AJ108" i="218"/>
  <c r="AF108" i="218"/>
  <c r="AE19" i="204"/>
  <c r="AE185" i="204" s="1"/>
  <c r="AE201" i="204" s="1"/>
  <c r="AE207" i="204" s="1"/>
  <c r="AK46" i="218"/>
  <c r="AK97" i="218"/>
  <c r="AK139" i="204"/>
  <c r="AK44" i="204"/>
  <c r="AA119" i="221"/>
  <c r="AJ119" i="221"/>
  <c r="AI119" i="221"/>
  <c r="AB119" i="221"/>
  <c r="Z119" i="221"/>
  <c r="Y119" i="221"/>
  <c r="AH119" i="221"/>
  <c r="AG119" i="221"/>
  <c r="AE119" i="221"/>
  <c r="AD119" i="221"/>
  <c r="AC119" i="221"/>
  <c r="AF104" i="204"/>
  <c r="Y104" i="204"/>
  <c r="AJ104" i="204"/>
  <c r="AI104" i="204"/>
  <c r="Z104" i="204"/>
  <c r="AA104" i="204"/>
  <c r="AH104" i="204"/>
  <c r="AG104" i="204"/>
  <c r="AE104" i="204"/>
  <c r="AD104" i="204"/>
  <c r="AC104" i="204"/>
  <c r="AB104" i="204"/>
  <c r="AH102" i="221"/>
  <c r="AG102" i="221"/>
  <c r="AD102" i="221"/>
  <c r="AB102" i="221"/>
  <c r="AA102" i="221"/>
  <c r="Z102" i="221"/>
  <c r="Y102" i="221"/>
  <c r="AJ102" i="221"/>
  <c r="AI102" i="221"/>
  <c r="AK128" i="204"/>
  <c r="AK100" i="204"/>
  <c r="H131" i="222"/>
  <c r="I131" i="222" s="1"/>
  <c r="E131" i="222"/>
  <c r="F131" i="222" s="1"/>
  <c r="AK131" i="222"/>
  <c r="E86" i="222"/>
  <c r="F86" i="222" s="1"/>
  <c r="H86" i="222"/>
  <c r="I86" i="222" s="1"/>
  <c r="AK86" i="222"/>
  <c r="E192" i="222"/>
  <c r="F192" i="222" s="1"/>
  <c r="H192" i="222"/>
  <c r="I192" i="222" s="1"/>
  <c r="AK192" i="222"/>
  <c r="E174" i="222"/>
  <c r="F174" i="222" s="1"/>
  <c r="Y183" i="222"/>
  <c r="AK174" i="222"/>
  <c r="H174" i="222"/>
  <c r="I174" i="222" s="1"/>
  <c r="E156" i="222"/>
  <c r="F156" i="222" s="1"/>
  <c r="H156" i="222"/>
  <c r="I156" i="222" s="1"/>
  <c r="AK156" i="222"/>
  <c r="Y172" i="222"/>
  <c r="E85" i="222"/>
  <c r="H85" i="222"/>
  <c r="AK85" i="222"/>
  <c r="AB172" i="222"/>
  <c r="AK204" i="222"/>
  <c r="H204" i="222"/>
  <c r="I204" i="222" s="1"/>
  <c r="E204" i="222"/>
  <c r="F204" i="222" s="1"/>
  <c r="E190" i="222"/>
  <c r="F190" i="222" s="1"/>
  <c r="H190" i="222"/>
  <c r="I190" i="222" s="1"/>
  <c r="AK190" i="222"/>
  <c r="AF183" i="222"/>
  <c r="AF185" i="222" s="1"/>
  <c r="AF201" i="222" s="1"/>
  <c r="AF207" i="222" s="1"/>
  <c r="AK176" i="222"/>
  <c r="H176" i="222"/>
  <c r="I176" i="222" s="1"/>
  <c r="E176" i="222"/>
  <c r="F176" i="222" s="1"/>
  <c r="E158" i="222"/>
  <c r="F158" i="222" s="1"/>
  <c r="H158" i="222"/>
  <c r="I158" i="222" s="1"/>
  <c r="AK158" i="222"/>
  <c r="AK91" i="222"/>
  <c r="H91" i="222"/>
  <c r="E91" i="222"/>
  <c r="E182" i="222"/>
  <c r="F182" i="222" s="1"/>
  <c r="AK182" i="222"/>
  <c r="H182" i="222"/>
  <c r="I182" i="222" s="1"/>
  <c r="AK187" i="222"/>
  <c r="H142" i="222"/>
  <c r="E142" i="222"/>
  <c r="AK142" i="222"/>
  <c r="AE183" i="222"/>
  <c r="E150" i="222"/>
  <c r="F150" i="222" s="1"/>
  <c r="AK150" i="222"/>
  <c r="H150" i="222"/>
  <c r="I150" i="222" s="1"/>
  <c r="AA172" i="222"/>
  <c r="E143" i="222"/>
  <c r="F143" i="222" s="1"/>
  <c r="AK143" i="222"/>
  <c r="H143" i="222"/>
  <c r="I143" i="222" s="1"/>
  <c r="AB42" i="222"/>
  <c r="AK48" i="222"/>
  <c r="H48" i="222"/>
  <c r="I48" i="222" s="1"/>
  <c r="E48" i="222"/>
  <c r="F48" i="222" s="1"/>
  <c r="H39" i="222"/>
  <c r="I39" i="222" s="1"/>
  <c r="E39" i="222"/>
  <c r="F39" i="222" s="1"/>
  <c r="AK39" i="222"/>
  <c r="AK101" i="221"/>
  <c r="Y12" i="222"/>
  <c r="AK166" i="221"/>
  <c r="AH183" i="221"/>
  <c r="AH185" i="221" s="1"/>
  <c r="AH201" i="221" s="1"/>
  <c r="AH207" i="221" s="1"/>
  <c r="AJ183" i="221"/>
  <c r="AC199" i="221"/>
  <c r="AK170" i="221"/>
  <c r="Y153" i="221"/>
  <c r="AK53" i="221"/>
  <c r="AB42" i="221"/>
  <c r="AB185" i="221" s="1"/>
  <c r="AB201" i="221" s="1"/>
  <c r="AB207" i="221" s="1"/>
  <c r="AK78" i="221"/>
  <c r="AK83" i="221"/>
  <c r="AD172" i="220"/>
  <c r="AK147" i="220"/>
  <c r="Z183" i="220"/>
  <c r="AK91" i="220"/>
  <c r="AK137" i="220"/>
  <c r="AE199" i="220"/>
  <c r="AK54" i="220"/>
  <c r="AK27" i="220"/>
  <c r="Z99" i="221"/>
  <c r="AE99" i="221"/>
  <c r="AD99" i="221"/>
  <c r="AC99" i="221"/>
  <c r="AB99" i="221"/>
  <c r="AA99" i="221"/>
  <c r="Y99" i="221"/>
  <c r="AJ99" i="221"/>
  <c r="AI99" i="221"/>
  <c r="AH99" i="221"/>
  <c r="AG99" i="221"/>
  <c r="AF99" i="221"/>
  <c r="AA44" i="220"/>
  <c r="AF12" i="220"/>
  <c r="AK170" i="219"/>
  <c r="AA183" i="219"/>
  <c r="AK8" i="220"/>
  <c r="AK12" i="220" s="1"/>
  <c r="AK70" i="219"/>
  <c r="AK143" i="219"/>
  <c r="AK36" i="218"/>
  <c r="AK29" i="219"/>
  <c r="AG183" i="218"/>
  <c r="AF153" i="219"/>
  <c r="AK15" i="219"/>
  <c r="AB199" i="218"/>
  <c r="AK62" i="218"/>
  <c r="AK151" i="204"/>
  <c r="AK61" i="218"/>
  <c r="AG108" i="204"/>
  <c r="AC108" i="204"/>
  <c r="AB108" i="204"/>
  <c r="AA108" i="204"/>
  <c r="Z108" i="204"/>
  <c r="Y108" i="204"/>
  <c r="AD108" i="204"/>
  <c r="AF108" i="204"/>
  <c r="AE108" i="204"/>
  <c r="AJ108" i="204"/>
  <c r="AI108" i="204"/>
  <c r="AH108" i="204"/>
  <c r="AK16" i="218"/>
  <c r="AD19" i="204"/>
  <c r="AD185" i="204" s="1"/>
  <c r="AD201" i="204" s="1"/>
  <c r="AD207" i="204" s="1"/>
  <c r="AK54" i="218"/>
  <c r="AK88" i="218"/>
  <c r="AK81" i="218"/>
  <c r="AK139" i="218"/>
  <c r="AK64" i="218"/>
  <c r="AK17" i="218"/>
  <c r="AK19" i="218" s="1"/>
  <c r="AK65" i="204"/>
  <c r="AG119" i="222"/>
  <c r="AA119" i="222"/>
  <c r="AC119" i="222"/>
  <c r="AJ119" i="222"/>
  <c r="AI119" i="222"/>
  <c r="AF119" i="222"/>
  <c r="AH119" i="222"/>
  <c r="AE119" i="222"/>
  <c r="AD119" i="222"/>
  <c r="AB119" i="222"/>
  <c r="Y119" i="222"/>
  <c r="Z119" i="222"/>
  <c r="AK86" i="204"/>
  <c r="AA102" i="222"/>
  <c r="AB102" i="222"/>
  <c r="AJ102" i="222"/>
  <c r="AI102" i="222"/>
  <c r="AH102" i="222"/>
  <c r="AG102" i="222"/>
  <c r="AF102" i="222"/>
  <c r="AE102" i="222"/>
  <c r="AD102" i="222"/>
  <c r="AC102" i="222"/>
  <c r="Z102" i="222"/>
  <c r="Y102" i="222"/>
  <c r="AK82" i="204"/>
  <c r="AK67" i="204"/>
  <c r="AK53" i="204"/>
  <c r="AE95" i="221"/>
  <c r="AG95" i="221"/>
  <c r="AF95" i="221"/>
  <c r="AD95" i="221"/>
  <c r="AC95" i="221"/>
  <c r="AB95" i="221"/>
  <c r="AJ95" i="221"/>
  <c r="AI95" i="221"/>
  <c r="AH95" i="221"/>
  <c r="AA95" i="221"/>
  <c r="Z95" i="221"/>
  <c r="Y95" i="221"/>
  <c r="AK74" i="204"/>
  <c r="AK15" i="204"/>
  <c r="AH107" i="221"/>
  <c r="AE107" i="221"/>
  <c r="AD107" i="221"/>
  <c r="AC107" i="221"/>
  <c r="AB107" i="221"/>
  <c r="AA107" i="221"/>
  <c r="AJ107" i="221"/>
  <c r="AF107" i="221"/>
  <c r="Z107" i="221"/>
  <c r="Y107" i="221"/>
  <c r="AI107" i="221"/>
  <c r="AG107" i="221"/>
  <c r="AK9" i="204"/>
  <c r="H139" i="222"/>
  <c r="I139" i="222" s="1"/>
  <c r="E139" i="222"/>
  <c r="F139" i="222" s="1"/>
  <c r="AK139" i="222"/>
  <c r="H17" i="198"/>
  <c r="R62" i="220"/>
  <c r="AG183" i="222"/>
  <c r="H163" i="222"/>
  <c r="I163" i="222" s="1"/>
  <c r="E163" i="222"/>
  <c r="F163" i="222" s="1"/>
  <c r="AK163" i="222"/>
  <c r="H74" i="222"/>
  <c r="I74" i="222" s="1"/>
  <c r="AK74" i="222"/>
  <c r="E74" i="222"/>
  <c r="F74" i="222" s="1"/>
  <c r="AH42" i="222"/>
  <c r="AJ172" i="221"/>
  <c r="H55" i="222"/>
  <c r="E55" i="222"/>
  <c r="AK55" i="222"/>
  <c r="AG19" i="222"/>
  <c r="H33" i="222"/>
  <c r="I33" i="222" s="1"/>
  <c r="AK33" i="222"/>
  <c r="AK42" i="222" s="1"/>
  <c r="E33" i="222"/>
  <c r="F33" i="222" s="1"/>
  <c r="AI185" i="222"/>
  <c r="AI201" i="222" s="1"/>
  <c r="AI207" i="222" s="1"/>
  <c r="E10" i="222"/>
  <c r="F10" i="222" s="1"/>
  <c r="AK10" i="222"/>
  <c r="H10" i="222"/>
  <c r="I10" i="222" s="1"/>
  <c r="Y42" i="222"/>
  <c r="AA183" i="221"/>
  <c r="AA185" i="221" s="1"/>
  <c r="AA201" i="221" s="1"/>
  <c r="AA207" i="221" s="1"/>
  <c r="AD199" i="221"/>
  <c r="Z199" i="220"/>
  <c r="AK25" i="221"/>
  <c r="AK174" i="220"/>
  <c r="AK183" i="220" s="1"/>
  <c r="AK49" i="221"/>
  <c r="AK175" i="220"/>
  <c r="AK130" i="220"/>
  <c r="AK170" i="220"/>
  <c r="Z183" i="219"/>
  <c r="AK92" i="219"/>
  <c r="AG99" i="222"/>
  <c r="AD99" i="222"/>
  <c r="AJ99" i="222"/>
  <c r="AH99" i="222"/>
  <c r="AF99" i="222"/>
  <c r="AC99" i="222"/>
  <c r="AI99" i="222"/>
  <c r="AE99" i="222"/>
  <c r="AB99" i="222"/>
  <c r="AA99" i="222"/>
  <c r="Z99" i="222"/>
  <c r="Y99" i="222"/>
  <c r="AB44" i="220"/>
  <c r="AK162" i="219"/>
  <c r="AK24" i="220"/>
  <c r="AK168" i="219"/>
  <c r="AK171" i="219"/>
  <c r="AK204" i="219"/>
  <c r="AK118" i="219"/>
  <c r="AK39" i="219"/>
  <c r="Y153" i="219"/>
  <c r="AK44" i="219"/>
  <c r="Z96" i="219"/>
  <c r="AH96" i="219"/>
  <c r="AB96" i="219"/>
  <c r="Y96" i="219"/>
  <c r="AF108" i="220"/>
  <c r="AE108" i="220"/>
  <c r="AJ108" i="220"/>
  <c r="AI108" i="220"/>
  <c r="AI105" i="220" s="1"/>
  <c r="AH108" i="220"/>
  <c r="AG108" i="220"/>
  <c r="AD108" i="220"/>
  <c r="AC108" i="220"/>
  <c r="AG98" i="221"/>
  <c r="AJ98" i="221"/>
  <c r="AI98" i="221"/>
  <c r="AH98" i="221"/>
  <c r="AD98" i="221"/>
  <c r="AB98" i="221"/>
  <c r="AA98" i="221"/>
  <c r="Z98" i="221"/>
  <c r="Y98" i="221"/>
  <c r="AK33" i="218"/>
  <c r="AK117" i="218"/>
  <c r="AK51" i="218"/>
  <c r="AB19" i="218"/>
  <c r="AB185" i="218" s="1"/>
  <c r="AB201" i="218" s="1"/>
  <c r="AB207" i="218" s="1"/>
  <c r="AK60" i="218"/>
  <c r="Z172" i="204"/>
  <c r="AB104" i="219"/>
  <c r="Z104" i="219"/>
  <c r="AK121" i="204"/>
  <c r="AI95" i="222"/>
  <c r="AB95" i="222"/>
  <c r="Z95" i="222"/>
  <c r="AH95" i="222"/>
  <c r="AG95" i="222"/>
  <c r="AE95" i="222"/>
  <c r="AJ95" i="222"/>
  <c r="AF95" i="222"/>
  <c r="AD95" i="222"/>
  <c r="AC95" i="222"/>
  <c r="AA95" i="222"/>
  <c r="Y95" i="222"/>
  <c r="AH107" i="222"/>
  <c r="Z107" i="222"/>
  <c r="AC107" i="222"/>
  <c r="AJ107" i="222"/>
  <c r="AG107" i="222"/>
  <c r="AI107" i="222"/>
  <c r="AF107" i="222"/>
  <c r="AE107" i="222"/>
  <c r="Y107" i="222"/>
  <c r="AD107" i="222"/>
  <c r="AB107" i="222"/>
  <c r="AA107" i="222"/>
  <c r="AG199" i="222"/>
  <c r="AJ183" i="222"/>
  <c r="AJ185" i="222" s="1"/>
  <c r="AJ201" i="222" s="1"/>
  <c r="AJ207" i="222" s="1"/>
  <c r="E157" i="222"/>
  <c r="F157" i="222" s="1"/>
  <c r="H157" i="222"/>
  <c r="I157" i="222" s="1"/>
  <c r="AK157" i="222"/>
  <c r="H126" i="222"/>
  <c r="I126" i="222" s="1"/>
  <c r="E126" i="222"/>
  <c r="F126" i="222" s="1"/>
  <c r="AK126" i="222"/>
  <c r="T62" i="219"/>
  <c r="M62" i="219"/>
  <c r="AK179" i="222"/>
  <c r="E205" i="222"/>
  <c r="F205" i="222" s="1"/>
  <c r="H205" i="222"/>
  <c r="I205" i="222" s="1"/>
  <c r="AK205" i="222"/>
  <c r="AK198" i="222"/>
  <c r="H198" i="222"/>
  <c r="I198" i="222" s="1"/>
  <c r="E198" i="222"/>
  <c r="F198" i="222" s="1"/>
  <c r="H167" i="222"/>
  <c r="I167" i="222" s="1"/>
  <c r="AK167" i="222"/>
  <c r="E167" i="222"/>
  <c r="F167" i="222" s="1"/>
  <c r="AH183" i="222"/>
  <c r="H146" i="222"/>
  <c r="I146" i="222" s="1"/>
  <c r="AK146" i="222"/>
  <c r="E146" i="222"/>
  <c r="F146" i="222" s="1"/>
  <c r="AK93" i="222"/>
  <c r="H93" i="222"/>
  <c r="I93" i="222" s="1"/>
  <c r="E93" i="222"/>
  <c r="F93" i="222" s="1"/>
  <c r="H117" i="222"/>
  <c r="I117" i="222" s="1"/>
  <c r="E117" i="222"/>
  <c r="F117" i="222" s="1"/>
  <c r="AK117" i="222"/>
  <c r="AK169" i="221"/>
  <c r="AF172" i="221"/>
  <c r="AK86" i="221"/>
  <c r="AK190" i="221"/>
  <c r="Z185" i="222"/>
  <c r="Z201" i="222" s="1"/>
  <c r="Z207" i="222" s="1"/>
  <c r="AK135" i="221"/>
  <c r="AK93" i="221"/>
  <c r="Z183" i="221"/>
  <c r="AI199" i="221"/>
  <c r="AK150" i="221"/>
  <c r="AK140" i="221"/>
  <c r="AD199" i="220"/>
  <c r="AH80" i="220"/>
  <c r="AK80" i="220" s="1"/>
  <c r="AK31" i="221"/>
  <c r="AK135" i="220"/>
  <c r="AK180" i="220"/>
  <c r="AK171" i="220"/>
  <c r="AK172" i="220" s="1"/>
  <c r="AK29" i="221"/>
  <c r="AK140" i="220"/>
  <c r="AK50" i="220"/>
  <c r="Y19" i="220"/>
  <c r="AK152" i="219"/>
  <c r="AK151" i="219"/>
  <c r="AK156" i="219"/>
  <c r="AK172" i="219" s="1"/>
  <c r="Y172" i="219"/>
  <c r="AK38" i="219"/>
  <c r="AK42" i="219" s="1"/>
  <c r="AK81" i="219"/>
  <c r="AK117" i="219"/>
  <c r="AK46" i="219"/>
  <c r="Z153" i="219"/>
  <c r="AK14" i="219"/>
  <c r="Y19" i="219"/>
  <c r="AK36" i="219"/>
  <c r="AK157" i="218"/>
  <c r="AH96" i="220"/>
  <c r="AG96" i="220"/>
  <c r="AE96" i="220"/>
  <c r="AD96" i="220"/>
  <c r="AC96" i="220"/>
  <c r="AJ96" i="220"/>
  <c r="AI96" i="220"/>
  <c r="AI93" i="220" s="1"/>
  <c r="AF96" i="220"/>
  <c r="AK174" i="204"/>
  <c r="AK183" i="204" s="1"/>
  <c r="Y183" i="204"/>
  <c r="AA112" i="219"/>
  <c r="AE112" i="219"/>
  <c r="Z112" i="219"/>
  <c r="AJ112" i="219"/>
  <c r="AI112" i="219"/>
  <c r="AG112" i="219"/>
  <c r="Y112" i="219"/>
  <c r="AH112" i="219"/>
  <c r="AF112" i="219"/>
  <c r="AD112" i="219"/>
  <c r="AC112" i="219"/>
  <c r="AB112" i="219"/>
  <c r="AC108" i="221"/>
  <c r="AA108" i="221"/>
  <c r="Z108" i="221"/>
  <c r="Y108" i="221"/>
  <c r="AI108" i="221"/>
  <c r="AF108" i="221"/>
  <c r="AE108" i="221"/>
  <c r="AD108" i="221"/>
  <c r="AB108" i="221"/>
  <c r="AJ108" i="221"/>
  <c r="AH108" i="221"/>
  <c r="AG108" i="221"/>
  <c r="AI185" i="218"/>
  <c r="AI201" i="218" s="1"/>
  <c r="AI207" i="218" s="1"/>
  <c r="AA98" i="222"/>
  <c r="Z98" i="222"/>
  <c r="AI98" i="222"/>
  <c r="AJ98" i="222"/>
  <c r="AH98" i="222"/>
  <c r="AG98" i="222"/>
  <c r="AF98" i="222"/>
  <c r="AE98" i="222"/>
  <c r="AD98" i="222"/>
  <c r="AC98" i="222"/>
  <c r="AB98" i="222"/>
  <c r="Y98" i="222"/>
  <c r="AH185" i="218"/>
  <c r="AH201" i="218" s="1"/>
  <c r="AH207" i="218" s="1"/>
  <c r="AA19" i="204"/>
  <c r="AA185" i="204" s="1"/>
  <c r="AA201" i="204" s="1"/>
  <c r="AA207" i="204" s="1"/>
  <c r="AG19" i="218"/>
  <c r="AB123" i="221"/>
  <c r="AC123" i="221"/>
  <c r="AA123" i="221"/>
  <c r="Z123" i="221"/>
  <c r="Y123" i="221"/>
  <c r="AJ123" i="221"/>
  <c r="AH123" i="221"/>
  <c r="AG123" i="221"/>
  <c r="AF123" i="221"/>
  <c r="AE123" i="221"/>
  <c r="AD123" i="221"/>
  <c r="AI123" i="221"/>
  <c r="AK62" i="204"/>
  <c r="AG104" i="218"/>
  <c r="AE104" i="218"/>
  <c r="AD104" i="218"/>
  <c r="Z104" i="218"/>
  <c r="AI104" i="218"/>
  <c r="AC104" i="218"/>
  <c r="AJ104" i="218"/>
  <c r="AH104" i="218"/>
  <c r="AF104" i="218"/>
  <c r="AB104" i="218"/>
  <c r="AA104" i="218"/>
  <c r="Y104" i="218"/>
  <c r="AI42" i="204"/>
  <c r="AI185" i="204" s="1"/>
  <c r="AI201" i="204" s="1"/>
  <c r="AI207" i="204" s="1"/>
  <c r="AK57" i="204"/>
  <c r="I48" i="230"/>
  <c r="B47" i="236"/>
  <c r="L48" i="232"/>
  <c r="G31" i="232"/>
  <c r="N44" i="232"/>
  <c r="N48" i="230"/>
  <c r="I48" i="232"/>
  <c r="F44" i="230"/>
  <c r="X72" i="217"/>
  <c r="X107" i="217"/>
  <c r="X178" i="217"/>
  <c r="X248" i="217"/>
  <c r="X143" i="217"/>
  <c r="X108" i="217"/>
  <c r="X73" i="217"/>
  <c r="Z108" i="217"/>
  <c r="Z143" i="217"/>
  <c r="Z248" i="217"/>
  <c r="Z73" i="217"/>
  <c r="Z178" i="217"/>
  <c r="AB248" i="217"/>
  <c r="AB73" i="217"/>
  <c r="AB143" i="217"/>
  <c r="AB178" i="217"/>
  <c r="AB108" i="217"/>
  <c r="P48" i="236"/>
  <c r="AF72" i="217"/>
  <c r="AF107" i="217"/>
  <c r="AA248" i="217"/>
  <c r="AA73" i="217"/>
  <c r="AA143" i="217"/>
  <c r="AA178" i="217"/>
  <c r="AA108" i="217"/>
  <c r="Y249" i="217"/>
  <c r="Y179" i="217"/>
  <c r="Y144" i="217"/>
  <c r="Y74" i="217"/>
  <c r="AD249" i="217"/>
  <c r="AD74" i="217"/>
  <c r="AD144" i="217"/>
  <c r="AD179" i="217"/>
  <c r="Z72" i="217"/>
  <c r="Z107" i="217"/>
  <c r="AD143" i="217"/>
  <c r="AD178" i="217"/>
  <c r="AD108" i="217"/>
  <c r="AD248" i="217"/>
  <c r="AD73" i="217"/>
  <c r="AJ40" i="217"/>
  <c r="AK40" i="217" s="1"/>
  <c r="AH144" i="217"/>
  <c r="AH179" i="217"/>
  <c r="AH249" i="217"/>
  <c r="AH74" i="217"/>
  <c r="W177" i="217"/>
  <c r="W107" i="217"/>
  <c r="AE178" i="217"/>
  <c r="AE108" i="217"/>
  <c r="AE248" i="217"/>
  <c r="AE73" i="217"/>
  <c r="AE143" i="217"/>
  <c r="AC144" i="217"/>
  <c r="AC249" i="217"/>
  <c r="AC74" i="217"/>
  <c r="AC179" i="217"/>
  <c r="AF249" i="217"/>
  <c r="AF74" i="217"/>
  <c r="AF144" i="217"/>
  <c r="AF179" i="217"/>
  <c r="W108" i="217"/>
  <c r="W143" i="217"/>
  <c r="W178" i="217"/>
  <c r="W248" i="217"/>
  <c r="W73" i="217"/>
  <c r="AF73" i="217"/>
  <c r="AF248" i="217"/>
  <c r="AF143" i="217"/>
  <c r="AF178" i="217"/>
  <c r="AF108" i="217"/>
  <c r="AA179" i="217"/>
  <c r="AA249" i="217"/>
  <c r="AA74" i="217"/>
  <c r="AA144" i="217"/>
  <c r="AB179" i="217"/>
  <c r="AB249" i="217"/>
  <c r="AB144" i="217"/>
  <c r="AB74" i="217"/>
  <c r="AH247" i="217"/>
  <c r="AH107" i="217"/>
  <c r="AG178" i="217"/>
  <c r="AG248" i="217"/>
  <c r="AG73" i="217"/>
  <c r="AG108" i="217"/>
  <c r="AG143" i="217"/>
  <c r="AE144" i="217"/>
  <c r="AE249" i="217"/>
  <c r="AE74" i="217"/>
  <c r="AE179" i="217"/>
  <c r="X179" i="217"/>
  <c r="X74" i="217"/>
  <c r="X144" i="217"/>
  <c r="X249" i="217"/>
  <c r="AC143" i="217"/>
  <c r="AC178" i="217"/>
  <c r="AC108" i="217"/>
  <c r="AC248" i="217"/>
  <c r="AC73" i="217"/>
  <c r="Y177" i="217"/>
  <c r="Y107" i="217"/>
  <c r="Y108" i="217"/>
  <c r="Y178" i="217"/>
  <c r="Y248" i="217"/>
  <c r="Y73" i="217"/>
  <c r="Y143" i="217"/>
  <c r="Z249" i="217"/>
  <c r="Z179" i="217"/>
  <c r="Z74" i="217"/>
  <c r="Z144" i="217"/>
  <c r="W179" i="217"/>
  <c r="W249" i="217"/>
  <c r="W74" i="217"/>
  <c r="W144" i="217"/>
  <c r="AD247" i="217"/>
  <c r="AD107" i="217"/>
  <c r="AB142" i="217"/>
  <c r="AB107" i="217"/>
  <c r="AH73" i="217"/>
  <c r="AH248" i="217"/>
  <c r="AH108" i="217"/>
  <c r="AH143" i="217"/>
  <c r="AH178" i="217"/>
  <c r="AG144" i="217"/>
  <c r="AG179" i="217"/>
  <c r="AG249" i="217"/>
  <c r="AG74" i="217"/>
  <c r="AG247" i="217"/>
  <c r="AG107" i="217"/>
  <c r="AC72" i="217"/>
  <c r="AC107" i="217"/>
  <c r="AE72" i="217"/>
  <c r="AE107" i="217"/>
  <c r="AV323" i="217"/>
  <c r="AV324" i="217"/>
  <c r="AV322" i="217"/>
  <c r="Z109" i="159"/>
  <c r="AZ90" i="172"/>
  <c r="AZ99" i="172" s="1"/>
  <c r="P44" i="232"/>
  <c r="AU99" i="172"/>
  <c r="AL99" i="172"/>
  <c r="L31" i="232"/>
  <c r="K44" i="232"/>
  <c r="O44" i="232"/>
  <c r="J48" i="236"/>
  <c r="AE49" i="193"/>
  <c r="AD49" i="193"/>
  <c r="AC49" i="193"/>
  <c r="AB49" i="193"/>
  <c r="AM49" i="193"/>
  <c r="AL49" i="193"/>
  <c r="AK49" i="193"/>
  <c r="AJ49" i="193"/>
  <c r="AI49" i="193"/>
  <c r="AH49" i="193"/>
  <c r="AG49" i="193"/>
  <c r="AF49" i="193"/>
  <c r="AD81" i="193"/>
  <c r="AC81" i="193"/>
  <c r="AL81" i="193"/>
  <c r="AK81" i="193"/>
  <c r="AJ81" i="193"/>
  <c r="AG81" i="193"/>
  <c r="B33" i="232"/>
  <c r="B49" i="230"/>
  <c r="N44" i="233"/>
  <c r="M48" i="232"/>
  <c r="P31" i="232"/>
  <c r="B39" i="236"/>
  <c r="C35" i="232"/>
  <c r="E48" i="230"/>
  <c r="E52" i="230" s="1"/>
  <c r="F31" i="230"/>
  <c r="N48" i="233"/>
  <c r="K31" i="233"/>
  <c r="N31" i="233"/>
  <c r="O44" i="233"/>
  <c r="F48" i="230"/>
  <c r="F31" i="232"/>
  <c r="G48" i="232"/>
  <c r="C40" i="232"/>
  <c r="N48" i="232"/>
  <c r="O48" i="232"/>
  <c r="B39" i="232"/>
  <c r="M44" i="232"/>
  <c r="N31" i="232"/>
  <c r="E48" i="232"/>
  <c r="C48" i="232" s="1"/>
  <c r="B46" i="230"/>
  <c r="O44" i="230"/>
  <c r="P44" i="230"/>
  <c r="C46" i="230"/>
  <c r="L44" i="230"/>
  <c r="F31" i="236"/>
  <c r="G44" i="232"/>
  <c r="Q46" i="232"/>
  <c r="B41" i="232"/>
  <c r="P44" i="233"/>
  <c r="P52" i="233" s="1"/>
  <c r="J48" i="232"/>
  <c r="F48" i="232"/>
  <c r="Q51" i="232"/>
  <c r="O31" i="232"/>
  <c r="L48" i="230"/>
  <c r="J31" i="230"/>
  <c r="I44" i="230"/>
  <c r="K48" i="232"/>
  <c r="I31" i="232"/>
  <c r="P48" i="232"/>
  <c r="K44" i="230"/>
  <c r="J31" i="232"/>
  <c r="O48" i="233"/>
  <c r="I31" i="230"/>
  <c r="M44" i="236"/>
  <c r="I44" i="232"/>
  <c r="H44" i="232"/>
  <c r="E31" i="232"/>
  <c r="C31" i="232" s="1"/>
  <c r="B34" i="232"/>
  <c r="B39" i="230"/>
  <c r="C32" i="232"/>
  <c r="O31" i="233"/>
  <c r="K44" i="233"/>
  <c r="G48" i="233"/>
  <c r="M44" i="233"/>
  <c r="L31" i="233"/>
  <c r="K31" i="232"/>
  <c r="B51" i="232"/>
  <c r="Q46" i="230"/>
  <c r="L44" i="233"/>
  <c r="I31" i="233"/>
  <c r="M31" i="232"/>
  <c r="M48" i="233"/>
  <c r="M44" i="230"/>
  <c r="Q49" i="232"/>
  <c r="J48" i="230"/>
  <c r="Q35" i="232"/>
  <c r="Q32" i="230"/>
  <c r="M31" i="230"/>
  <c r="M31" i="233"/>
  <c r="L48" i="233"/>
  <c r="O48" i="230"/>
  <c r="Q35" i="230"/>
  <c r="L44" i="232"/>
  <c r="G31" i="233"/>
  <c r="C50" i="232"/>
  <c r="Q40" i="230"/>
  <c r="B50" i="232"/>
  <c r="Q50" i="232"/>
  <c r="F44" i="232"/>
  <c r="B32" i="236"/>
  <c r="M48" i="236"/>
  <c r="J44" i="232"/>
  <c r="Q47" i="232"/>
  <c r="Q50" i="230"/>
  <c r="P48" i="230"/>
  <c r="H48" i="232"/>
  <c r="C49" i="232"/>
  <c r="K31" i="230"/>
  <c r="K36" i="240"/>
  <c r="B47" i="232"/>
  <c r="H31" i="230"/>
  <c r="N44" i="236"/>
  <c r="Q36" i="232"/>
  <c r="N31" i="230"/>
  <c r="Q32" i="232"/>
  <c r="F52" i="240"/>
  <c r="AE52" i="230"/>
  <c r="P31" i="233"/>
  <c r="P44" i="236"/>
  <c r="P31" i="236"/>
  <c r="G44" i="230"/>
  <c r="G31" i="230"/>
  <c r="J44" i="230"/>
  <c r="Q33" i="230"/>
  <c r="Q47" i="230"/>
  <c r="Q51" i="230"/>
  <c r="Q41" i="230"/>
  <c r="P31" i="230"/>
  <c r="K48" i="230"/>
  <c r="G199" i="220"/>
  <c r="I199" i="220" s="1"/>
  <c r="D199" i="220"/>
  <c r="F199" i="220" s="1"/>
  <c r="D183" i="220"/>
  <c r="F183" i="220" s="1"/>
  <c r="G183" i="220"/>
  <c r="I183" i="220" s="1"/>
  <c r="G171" i="220"/>
  <c r="I171" i="220" s="1"/>
  <c r="C41" i="236"/>
  <c r="C49" i="236"/>
  <c r="M31" i="236"/>
  <c r="H44" i="236"/>
  <c r="F48" i="236"/>
  <c r="C40" i="236"/>
  <c r="I48" i="236"/>
  <c r="K31" i="236"/>
  <c r="I31" i="236"/>
  <c r="L48" i="236"/>
  <c r="B35" i="236"/>
  <c r="G31" i="236"/>
  <c r="O44" i="236"/>
  <c r="B51" i="236"/>
  <c r="C46" i="236"/>
  <c r="M51" i="193"/>
  <c r="N31" i="236"/>
  <c r="I44" i="236"/>
  <c r="B45" i="236"/>
  <c r="J44" i="236"/>
  <c r="Q47" i="236"/>
  <c r="J31" i="236"/>
  <c r="K48" i="236"/>
  <c r="G44" i="236"/>
  <c r="E44" i="236"/>
  <c r="C44" i="236" s="1"/>
  <c r="O48" i="236"/>
  <c r="O31" i="236"/>
  <c r="N48" i="236"/>
  <c r="B34" i="236"/>
  <c r="Q45" i="236"/>
  <c r="Q46" i="236"/>
  <c r="E31" i="236"/>
  <c r="B31" i="236" s="1"/>
  <c r="Q33" i="236"/>
  <c r="L44" i="236"/>
  <c r="Q32" i="236"/>
  <c r="B36" i="236"/>
  <c r="E48" i="236"/>
  <c r="B48" i="236" s="1"/>
  <c r="Q36" i="236"/>
  <c r="B50" i="236"/>
  <c r="K44" i="236"/>
  <c r="Q35" i="236"/>
  <c r="F44" i="236"/>
  <c r="Q45" i="232"/>
  <c r="H31" i="236"/>
  <c r="B45" i="232"/>
  <c r="G48" i="236"/>
  <c r="Q50" i="236"/>
  <c r="Q34" i="236"/>
  <c r="L31" i="236"/>
  <c r="E44" i="232"/>
  <c r="C44" i="232" s="1"/>
  <c r="H44" i="230"/>
  <c r="M48" i="230"/>
  <c r="Q34" i="230"/>
  <c r="L31" i="230"/>
  <c r="O31" i="230"/>
  <c r="Q36" i="230"/>
  <c r="N44" i="230"/>
  <c r="K43" i="240"/>
  <c r="E46" i="240"/>
  <c r="E52" i="240" s="1"/>
  <c r="E34" i="233"/>
  <c r="E47" i="233"/>
  <c r="E35" i="233"/>
  <c r="E40" i="233"/>
  <c r="E41" i="233"/>
  <c r="E32" i="233"/>
  <c r="E49" i="233"/>
  <c r="E33" i="233"/>
  <c r="E36" i="233"/>
  <c r="E46" i="233"/>
  <c r="E45" i="233"/>
  <c r="E50" i="233"/>
  <c r="E39" i="233"/>
  <c r="D7" i="238"/>
  <c r="G46" i="240"/>
  <c r="G52" i="240" s="1"/>
  <c r="K37" i="240"/>
  <c r="B33" i="236"/>
  <c r="Q10" i="233"/>
  <c r="B10" i="233"/>
  <c r="C10" i="233" s="1"/>
  <c r="C36" i="232"/>
  <c r="Q41" i="232"/>
  <c r="I46" i="240"/>
  <c r="I52" i="240" s="1"/>
  <c r="Q40" i="232"/>
  <c r="Q33" i="232"/>
  <c r="Q34" i="232"/>
  <c r="B10" i="232"/>
  <c r="C10" i="232" s="1"/>
  <c r="Q10" i="232"/>
  <c r="W101" i="159"/>
  <c r="Y196" i="172"/>
  <c r="AC102" i="159"/>
  <c r="AL147" i="172"/>
  <c r="Z101" i="159"/>
  <c r="AS190" i="172"/>
  <c r="O101" i="159"/>
  <c r="AG101" i="159" s="1"/>
  <c r="U51" i="172"/>
  <c r="V110" i="159"/>
  <c r="AS57" i="172"/>
  <c r="V105" i="159"/>
  <c r="O51" i="172"/>
  <c r="AA35" i="172"/>
  <c r="X51" i="172"/>
  <c r="AA32" i="172"/>
  <c r="AS24" i="172"/>
  <c r="AM27" i="172"/>
  <c r="AA114" i="159"/>
  <c r="AO27" i="172"/>
  <c r="AS8" i="172"/>
  <c r="AC104" i="159"/>
  <c r="R111" i="159"/>
  <c r="AA116" i="172"/>
  <c r="AM51" i="172"/>
  <c r="AA113" i="159"/>
  <c r="AB114" i="159"/>
  <c r="AS78" i="172"/>
  <c r="U101" i="159"/>
  <c r="H102" i="190" s="1"/>
  <c r="Q75" i="172"/>
  <c r="AG27" i="172"/>
  <c r="R107" i="159"/>
  <c r="AA11" i="172"/>
  <c r="AB102" i="159"/>
  <c r="W75" i="172"/>
  <c r="AS126" i="172"/>
  <c r="AA30" i="172"/>
  <c r="AA61" i="172"/>
  <c r="O75" i="172"/>
  <c r="AA83" i="172"/>
  <c r="AE106" i="159"/>
  <c r="AQ27" i="172"/>
  <c r="X27" i="172"/>
  <c r="AA6" i="172"/>
  <c r="AH196" i="172"/>
  <c r="AA38" i="172"/>
  <c r="T51" i="172"/>
  <c r="AS96" i="172"/>
  <c r="U114" i="159"/>
  <c r="H115" i="190" s="1"/>
  <c r="U108" i="159"/>
  <c r="H109" i="190" s="1"/>
  <c r="AG196" i="172"/>
  <c r="U121" i="159"/>
  <c r="H122" i="190" s="1"/>
  <c r="AS184" i="172"/>
  <c r="Z115" i="159"/>
  <c r="AS145" i="172"/>
  <c r="AI196" i="172"/>
  <c r="AA139" i="172"/>
  <c r="AS178" i="172"/>
  <c r="AS18" i="172"/>
  <c r="O123" i="172"/>
  <c r="AA102" i="172"/>
  <c r="AD105" i="159"/>
  <c r="Y107" i="159"/>
  <c r="AK75" i="172"/>
  <c r="AL27" i="172"/>
  <c r="Z117" i="159"/>
  <c r="AH27" i="172"/>
  <c r="AA45" i="172"/>
  <c r="AS23" i="172"/>
  <c r="R117" i="159"/>
  <c r="AS47" i="172"/>
  <c r="AF122" i="159"/>
  <c r="AF124" i="159" s="1"/>
  <c r="AN196" i="172"/>
  <c r="AS183" i="172"/>
  <c r="T147" i="172"/>
  <c r="R121" i="159"/>
  <c r="AA40" i="172"/>
  <c r="AS162" i="172"/>
  <c r="AA37" i="172"/>
  <c r="O117" i="159"/>
  <c r="AE110" i="159"/>
  <c r="R122" i="159"/>
  <c r="AC121" i="159"/>
  <c r="AC124" i="159" s="1"/>
  <c r="AF104" i="159"/>
  <c r="AA87" i="172"/>
  <c r="AS193" i="172"/>
  <c r="W114" i="159"/>
  <c r="AR75" i="172"/>
  <c r="AS69" i="172"/>
  <c r="U112" i="159"/>
  <c r="H113" i="190" s="1"/>
  <c r="T117" i="159"/>
  <c r="Y171" i="172"/>
  <c r="AS63" i="172"/>
  <c r="AS59" i="172"/>
  <c r="O112" i="159"/>
  <c r="W117" i="159"/>
  <c r="AS13" i="172"/>
  <c r="AI27" i="172"/>
  <c r="U122" i="159"/>
  <c r="H123" i="190" s="1"/>
  <c r="AS14" i="172"/>
  <c r="U107" i="159"/>
  <c r="H108" i="190" s="1"/>
  <c r="X111" i="159"/>
  <c r="Z111" i="159"/>
  <c r="Y109" i="159"/>
  <c r="AD109" i="159"/>
  <c r="AA194" i="172"/>
  <c r="AA183" i="172"/>
  <c r="AA143" i="172"/>
  <c r="AS140" i="172"/>
  <c r="W196" i="172"/>
  <c r="S147" i="172"/>
  <c r="AA96" i="172"/>
  <c r="AA112" i="172"/>
  <c r="AA58" i="172"/>
  <c r="U171" i="172"/>
  <c r="P99" i="172"/>
  <c r="V123" i="172"/>
  <c r="AH123" i="172"/>
  <c r="X123" i="159"/>
  <c r="X124" i="159" s="1"/>
  <c r="P27" i="172"/>
  <c r="U116" i="159"/>
  <c r="H117" i="190" s="1"/>
  <c r="AB123" i="159"/>
  <c r="AB124" i="159" s="1"/>
  <c r="Q101" i="159"/>
  <c r="X109" i="159"/>
  <c r="X171" i="172"/>
  <c r="AA166" i="172"/>
  <c r="AA120" i="172"/>
  <c r="U196" i="172"/>
  <c r="W147" i="172"/>
  <c r="AA165" i="172"/>
  <c r="AK147" i="172"/>
  <c r="AA117" i="172"/>
  <c r="AS129" i="172"/>
  <c r="AJ147" i="172"/>
  <c r="AA193" i="172"/>
  <c r="U99" i="172"/>
  <c r="Z123" i="172"/>
  <c r="AL123" i="172"/>
  <c r="AB110" i="159"/>
  <c r="AS64" i="172"/>
  <c r="AJ27" i="172"/>
  <c r="AP51" i="172"/>
  <c r="AS11" i="172"/>
  <c r="W109" i="159"/>
  <c r="AS143" i="172"/>
  <c r="AA104" i="172"/>
  <c r="AA80" i="172"/>
  <c r="V196" i="172"/>
  <c r="Q147" i="172"/>
  <c r="Z147" i="172"/>
  <c r="AR147" i="172"/>
  <c r="AS163" i="172"/>
  <c r="AA179" i="172"/>
  <c r="AA64" i="172"/>
  <c r="B33" i="172"/>
  <c r="Y99" i="172"/>
  <c r="U123" i="172"/>
  <c r="W171" i="172"/>
  <c r="AR123" i="172"/>
  <c r="AG171" i="172"/>
  <c r="AF117" i="159"/>
  <c r="AS15" i="172"/>
  <c r="Z51" i="172"/>
  <c r="V27" i="172"/>
  <c r="AA27" i="172" s="1"/>
  <c r="X115" i="159"/>
  <c r="AS43" i="172"/>
  <c r="S101" i="159"/>
  <c r="V109" i="159"/>
  <c r="AC109" i="159"/>
  <c r="AS144" i="172"/>
  <c r="AH147" i="172"/>
  <c r="AA59" i="172"/>
  <c r="AA121" i="172"/>
  <c r="AH171" i="172"/>
  <c r="AA78" i="172"/>
  <c r="R99" i="172"/>
  <c r="Y123" i="172"/>
  <c r="AM123" i="172"/>
  <c r="W123" i="159"/>
  <c r="W124" i="159" s="1"/>
  <c r="AS91" i="172"/>
  <c r="AS87" i="172"/>
  <c r="AA136" i="172"/>
  <c r="AO51" i="172"/>
  <c r="U109" i="159"/>
  <c r="H110" i="190" s="1"/>
  <c r="AA187" i="172"/>
  <c r="AK171" i="172"/>
  <c r="AA185" i="172"/>
  <c r="AN171" i="172"/>
  <c r="AA158" i="172"/>
  <c r="AS153" i="172"/>
  <c r="AA175" i="172"/>
  <c r="O196" i="172"/>
  <c r="AS158" i="172"/>
  <c r="AN147" i="172"/>
  <c r="AS142" i="172"/>
  <c r="O99" i="172"/>
  <c r="AS133" i="172"/>
  <c r="AI123" i="172"/>
  <c r="AS131" i="172"/>
  <c r="AQ123" i="172"/>
  <c r="AS83" i="172"/>
  <c r="AI171" i="172"/>
  <c r="P115" i="159"/>
  <c r="Y105" i="159"/>
  <c r="S171" i="172"/>
  <c r="AA171" i="172" s="1"/>
  <c r="AS165" i="172"/>
  <c r="AQ171" i="172"/>
  <c r="AS93" i="172"/>
  <c r="S196" i="172"/>
  <c r="AA70" i="172"/>
  <c r="AQ147" i="172"/>
  <c r="AA93" i="172"/>
  <c r="AS112" i="172"/>
  <c r="AA184" i="172"/>
  <c r="AH75" i="172"/>
  <c r="AS75" i="172" s="1"/>
  <c r="AA69" i="172"/>
  <c r="AA85" i="172"/>
  <c r="T123" i="172"/>
  <c r="AA109" i="172"/>
  <c r="AA138" i="172"/>
  <c r="Y101" i="159"/>
  <c r="AC117" i="159"/>
  <c r="AA109" i="159"/>
  <c r="AA144" i="172"/>
  <c r="AA190" i="172"/>
  <c r="U147" i="172"/>
  <c r="Z196" i="172"/>
  <c r="P75" i="172"/>
  <c r="AI147" i="172"/>
  <c r="AA91" i="172"/>
  <c r="AS103" i="172"/>
  <c r="X123" i="172"/>
  <c r="AA154" i="172"/>
  <c r="W127" i="220"/>
  <c r="D127" i="220"/>
  <c r="F127" i="220" s="1"/>
  <c r="G127" i="220"/>
  <c r="I127" i="220" s="1"/>
  <c r="AB104" i="159"/>
  <c r="AA114" i="172"/>
  <c r="R196" i="172"/>
  <c r="AS115" i="172"/>
  <c r="AP147" i="172"/>
  <c r="AS81" i="172"/>
  <c r="AA68" i="172"/>
  <c r="U105" i="159"/>
  <c r="H106" i="190" s="1"/>
  <c r="AS32" i="172"/>
  <c r="AS152" i="172"/>
  <c r="AS121" i="172"/>
  <c r="P196" i="172"/>
  <c r="AS136" i="172"/>
  <c r="AA131" i="172"/>
  <c r="AA71" i="172"/>
  <c r="S123" i="172"/>
  <c r="AJ123" i="172"/>
  <c r="S112" i="159"/>
  <c r="AA82" i="172"/>
  <c r="AA63" i="172"/>
  <c r="AH51" i="172"/>
  <c r="Y51" i="172"/>
  <c r="AA140" i="172"/>
  <c r="AS72" i="172"/>
  <c r="AA67" i="172"/>
  <c r="Q196" i="172"/>
  <c r="Y147" i="172"/>
  <c r="AQ75" i="172"/>
  <c r="AA163" i="172"/>
  <c r="X75" i="172"/>
  <c r="AS119" i="172"/>
  <c r="P123" i="172"/>
  <c r="AA94" i="172"/>
  <c r="T107" i="159"/>
  <c r="AG107" i="159" s="1"/>
  <c r="O147" i="172"/>
  <c r="V108" i="159"/>
  <c r="V104" i="159"/>
  <c r="AS104" i="172"/>
  <c r="P147" i="172"/>
  <c r="AL75" i="172"/>
  <c r="R123" i="172"/>
  <c r="AS114" i="172"/>
  <c r="AS102" i="172"/>
  <c r="AG123" i="172"/>
  <c r="AS10" i="172"/>
  <c r="S51" i="172"/>
  <c r="U113" i="159"/>
  <c r="H114" i="190" s="1"/>
  <c r="AA145" i="172"/>
  <c r="AA159" i="172"/>
  <c r="AA142" i="172"/>
  <c r="AS88" i="172"/>
  <c r="V147" i="172"/>
  <c r="AS157" i="172"/>
  <c r="U75" i="172"/>
  <c r="AS111" i="172"/>
  <c r="T114" i="159"/>
  <c r="R113" i="159"/>
  <c r="AS61" i="172"/>
  <c r="V107" i="159"/>
  <c r="V99" i="172"/>
  <c r="X99" i="172"/>
  <c r="W123" i="172"/>
  <c r="AS92" i="172"/>
  <c r="AA128" i="172"/>
  <c r="AK123" i="172"/>
  <c r="O115" i="159"/>
  <c r="AA104" i="159"/>
  <c r="AA188" i="172"/>
  <c r="AS139" i="172"/>
  <c r="AA162" i="172"/>
  <c r="AS48" i="172"/>
  <c r="AG51" i="172"/>
  <c r="AB101" i="159"/>
  <c r="V102" i="159"/>
  <c r="AQ51" i="172"/>
  <c r="W104" i="159"/>
  <c r="AA168" i="172"/>
  <c r="AS168" i="172"/>
  <c r="AS159" i="172"/>
  <c r="X147" i="172"/>
  <c r="AA105" i="172"/>
  <c r="AA157" i="172"/>
  <c r="S122" i="159"/>
  <c r="S124" i="159" s="1"/>
  <c r="W107" i="159"/>
  <c r="Z75" i="172"/>
  <c r="Z99" i="172"/>
  <c r="AA134" i="172"/>
  <c r="Q123" i="172"/>
  <c r="AN123" i="172"/>
  <c r="AS67" i="172"/>
  <c r="AR97" i="174"/>
  <c r="W66" i="174"/>
  <c r="AM150" i="174"/>
  <c r="P87" i="174"/>
  <c r="T66" i="174"/>
  <c r="Z103" i="174"/>
  <c r="Z76" i="174"/>
  <c r="AR106" i="174"/>
  <c r="AJ129" i="174"/>
  <c r="AL129" i="174"/>
  <c r="P108" i="174"/>
  <c r="AL87" i="174"/>
  <c r="T129" i="174"/>
  <c r="T87" i="174"/>
  <c r="W129" i="174"/>
  <c r="Z60" i="174"/>
  <c r="AK129" i="174"/>
  <c r="Y108" i="174"/>
  <c r="E29" i="174"/>
  <c r="AN108" i="174"/>
  <c r="F29" i="174"/>
  <c r="Z124" i="174"/>
  <c r="AJ108" i="174"/>
  <c r="X108" i="174"/>
  <c r="F30" i="174"/>
  <c r="J65" i="193"/>
  <c r="M91" i="193"/>
  <c r="M52" i="193"/>
  <c r="M82" i="193"/>
  <c r="U82" i="193" s="1"/>
  <c r="M88" i="193"/>
  <c r="Y88" i="193" s="1"/>
  <c r="M75" i="193"/>
  <c r="M50" i="193"/>
  <c r="M70" i="193"/>
  <c r="O70" i="193" s="1"/>
  <c r="M112" i="193"/>
  <c r="P32" i="193"/>
  <c r="U32" i="193" s="1"/>
  <c r="V32" i="193" s="1"/>
  <c r="M54" i="193"/>
  <c r="R54" i="193" s="1"/>
  <c r="O77" i="204" s="1"/>
  <c r="O75" i="204" s="1"/>
  <c r="M64" i="193"/>
  <c r="P64" i="193" s="1"/>
  <c r="P34" i="193"/>
  <c r="U34" i="193" s="1"/>
  <c r="V34" i="193" s="1"/>
  <c r="M57" i="193"/>
  <c r="X57" i="193" s="1"/>
  <c r="P24" i="193"/>
  <c r="U24" i="193" s="1"/>
  <c r="V24" i="193" s="1"/>
  <c r="P20" i="193"/>
  <c r="U20" i="193" s="1"/>
  <c r="V20" i="193" s="1"/>
  <c r="M76" i="193"/>
  <c r="R49" i="193"/>
  <c r="M65" i="193"/>
  <c r="M67" i="193"/>
  <c r="P39" i="193"/>
  <c r="U39" i="193" s="1"/>
  <c r="V39" i="193" s="1"/>
  <c r="M131" i="193"/>
  <c r="W131" i="193" s="1"/>
  <c r="P40" i="193"/>
  <c r="U40" i="193" s="1"/>
  <c r="V40" i="193" s="1"/>
  <c r="M111" i="193"/>
  <c r="M74" i="193"/>
  <c r="P38" i="193"/>
  <c r="U38" i="193" s="1"/>
  <c r="V38" i="193" s="1"/>
  <c r="P36" i="193"/>
  <c r="U36" i="193" s="1"/>
  <c r="V36" i="193" s="1"/>
  <c r="P23" i="193"/>
  <c r="U23" i="193" s="1"/>
  <c r="V23" i="193" s="1"/>
  <c r="M136" i="193"/>
  <c r="P37" i="193"/>
  <c r="M104" i="193"/>
  <c r="M58" i="193"/>
  <c r="V58" i="193" s="1"/>
  <c r="P49" i="193"/>
  <c r="N49" i="193"/>
  <c r="O49" i="193"/>
  <c r="M66" i="193"/>
  <c r="P28" i="193"/>
  <c r="U28" i="193" s="1"/>
  <c r="V28" i="193" s="1"/>
  <c r="P29" i="193"/>
  <c r="U29" i="193" s="1"/>
  <c r="V29" i="193" s="1"/>
  <c r="M68" i="193"/>
  <c r="P30" i="193"/>
  <c r="U30" i="193" s="1"/>
  <c r="V30" i="193" s="1"/>
  <c r="P22" i="193"/>
  <c r="P26" i="193"/>
  <c r="U26" i="193" s="1"/>
  <c r="V26" i="193" s="1"/>
  <c r="M103" i="193"/>
  <c r="R103" i="193" s="1"/>
  <c r="T49" i="193"/>
  <c r="P21" i="193"/>
  <c r="U21" i="193" s="1"/>
  <c r="V21" i="193" s="1"/>
  <c r="M71" i="193"/>
  <c r="R71" i="193" s="1"/>
  <c r="M81" i="193"/>
  <c r="N81" i="193" s="1"/>
  <c r="M59" i="193"/>
  <c r="M89" i="193"/>
  <c r="P31" i="193"/>
  <c r="U31" i="193" s="1"/>
  <c r="V31" i="193" s="1"/>
  <c r="P33" i="193"/>
  <c r="U33" i="193" s="1"/>
  <c r="V33" i="193" s="1"/>
  <c r="J95" i="193"/>
  <c r="AD95" i="193" s="1"/>
  <c r="M106" i="193"/>
  <c r="M105" i="193"/>
  <c r="J111" i="193"/>
  <c r="AB111" i="193" s="1"/>
  <c r="M69" i="193"/>
  <c r="T69" i="193" s="1"/>
  <c r="P41" i="193"/>
  <c r="U41" i="193" s="1"/>
  <c r="V41" i="193" s="1"/>
  <c r="V49" i="193"/>
  <c r="P17" i="193"/>
  <c r="U17" i="193" s="1"/>
  <c r="O45" i="193"/>
  <c r="P19" i="193"/>
  <c r="U19" i="193" s="1"/>
  <c r="V19" i="193" s="1"/>
  <c r="J53" i="193"/>
  <c r="AI53" i="193" s="1"/>
  <c r="P35" i="193"/>
  <c r="U35" i="193" s="1"/>
  <c r="V35" i="193" s="1"/>
  <c r="J66" i="193"/>
  <c r="M140" i="193"/>
  <c r="M87" i="193"/>
  <c r="Q87" i="193" s="1"/>
  <c r="M55" i="193"/>
  <c r="N55" i="193" s="1"/>
  <c r="M125" i="193"/>
  <c r="X125" i="193" s="1"/>
  <c r="M134" i="193"/>
  <c r="M61" i="193"/>
  <c r="J97" i="193"/>
  <c r="AE97" i="193" s="1"/>
  <c r="M118" i="193"/>
  <c r="O118" i="193" s="1"/>
  <c r="J134" i="193"/>
  <c r="AH134" i="193" s="1"/>
  <c r="M117" i="193"/>
  <c r="Q117" i="193" s="1"/>
  <c r="J112" i="193"/>
  <c r="AB112" i="193" s="1"/>
  <c r="P25" i="193"/>
  <c r="U25" i="193" s="1"/>
  <c r="V25" i="193" s="1"/>
  <c r="J50" i="193"/>
  <c r="AH50" i="193" s="1"/>
  <c r="M84" i="193"/>
  <c r="O84" i="193" s="1"/>
  <c r="J52" i="193"/>
  <c r="J51" i="193"/>
  <c r="AH51" i="193" s="1"/>
  <c r="M90" i="193"/>
  <c r="V90" i="193" s="1"/>
  <c r="M138" i="193"/>
  <c r="J96" i="193"/>
  <c r="AC96" i="193" s="1"/>
  <c r="J110" i="193"/>
  <c r="AG110" i="193" s="1"/>
  <c r="P27" i="193"/>
  <c r="U27" i="193" s="1"/>
  <c r="V27" i="193" s="1"/>
  <c r="Q49" i="193"/>
  <c r="M85" i="193"/>
  <c r="Q85" i="193" s="1"/>
  <c r="M98" i="193"/>
  <c r="M133" i="193"/>
  <c r="Q133" i="193" s="1"/>
  <c r="M101" i="193"/>
  <c r="N101" i="193" s="1"/>
  <c r="M124" i="193"/>
  <c r="R124" i="193" s="1"/>
  <c r="M127" i="193"/>
  <c r="T127" i="193" s="1"/>
  <c r="M109" i="193"/>
  <c r="Y109" i="193" s="1"/>
  <c r="M130" i="193"/>
  <c r="Q130" i="193" s="1"/>
  <c r="M121" i="193"/>
  <c r="M115" i="193"/>
  <c r="R115" i="193" s="1"/>
  <c r="M120" i="193"/>
  <c r="M129" i="193"/>
  <c r="X129" i="193" s="1"/>
  <c r="B83" i="193"/>
  <c r="B84" i="193" s="1"/>
  <c r="B85" i="193" s="1"/>
  <c r="B86" i="193" s="1"/>
  <c r="B87" i="193" s="1"/>
  <c r="B88" i="193" s="1"/>
  <c r="B89" i="193" s="1"/>
  <c r="B90" i="193" s="1"/>
  <c r="B91" i="193" s="1"/>
  <c r="X49" i="193"/>
  <c r="M53" i="193"/>
  <c r="M135" i="193"/>
  <c r="P135" i="193" s="1"/>
  <c r="M119" i="193"/>
  <c r="J89" i="193"/>
  <c r="Y49" i="193"/>
  <c r="M83" i="193"/>
  <c r="V83" i="193" s="1"/>
  <c r="M126" i="193"/>
  <c r="V126" i="193" s="1"/>
  <c r="M116" i="193"/>
  <c r="N116" i="193" s="1"/>
  <c r="B68" i="193"/>
  <c r="J67" i="193"/>
  <c r="M96" i="193"/>
  <c r="M79" i="193"/>
  <c r="X79" i="193" s="1"/>
  <c r="M102" i="193"/>
  <c r="P102" i="193" s="1"/>
  <c r="W49" i="193"/>
  <c r="M139" i="193"/>
  <c r="M100" i="193"/>
  <c r="X100" i="193" s="1"/>
  <c r="M60" i="193"/>
  <c r="M73" i="193"/>
  <c r="O73" i="193" s="1"/>
  <c r="B99" i="193"/>
  <c r="B100" i="193" s="1"/>
  <c r="J98" i="193"/>
  <c r="AB98" i="193" s="1"/>
  <c r="S49" i="193"/>
  <c r="M80" i="193"/>
  <c r="X80" i="193" s="1"/>
  <c r="P42" i="193"/>
  <c r="U42" i="193" s="1"/>
  <c r="V42" i="193" s="1"/>
  <c r="P18" i="193"/>
  <c r="U49" i="193"/>
  <c r="M97" i="193"/>
  <c r="M95" i="193"/>
  <c r="AG95" i="193" s="1"/>
  <c r="I45" i="193"/>
  <c r="M132" i="193"/>
  <c r="N132" i="193" s="1"/>
  <c r="M86" i="193"/>
  <c r="O86" i="193" s="1"/>
  <c r="M94" i="193"/>
  <c r="Q94" i="193" s="1"/>
  <c r="M114" i="193"/>
  <c r="N114" i="193" s="1"/>
  <c r="L45" i="193"/>
  <c r="J113" i="193"/>
  <c r="AF113" i="193" s="1"/>
  <c r="M56" i="193"/>
  <c r="R56" i="193" s="1"/>
  <c r="M113" i="193"/>
  <c r="M99" i="193"/>
  <c r="Q99" i="193" s="1"/>
  <c r="M72" i="193"/>
  <c r="V72" i="193" s="1"/>
  <c r="M128" i="193"/>
  <c r="X128" i="193" s="1"/>
  <c r="M110" i="193"/>
  <c r="AA102" i="123"/>
  <c r="AA76" i="123"/>
  <c r="Q62" i="220"/>
  <c r="U61" i="159"/>
  <c r="H62" i="190" s="1"/>
  <c r="AA93" i="123"/>
  <c r="AA78" i="123"/>
  <c r="AA85" i="123"/>
  <c r="AA69" i="123"/>
  <c r="Y60" i="159"/>
  <c r="W62" i="159"/>
  <c r="X60" i="159"/>
  <c r="AA98" i="123"/>
  <c r="AA97" i="123"/>
  <c r="K81" i="220"/>
  <c r="S83" i="198" s="1"/>
  <c r="AA99" i="123"/>
  <c r="AA59" i="123"/>
  <c r="U60" i="159"/>
  <c r="H61" i="190" s="1"/>
  <c r="T81" i="220"/>
  <c r="AA86" i="123"/>
  <c r="D67" i="219"/>
  <c r="F67" i="219" s="1"/>
  <c r="T10" i="177" a="1"/>
  <c r="T10" i="177" s="1"/>
  <c r="U10" i="177" s="1" a="1"/>
  <c r="U10" i="177" s="1"/>
  <c r="V10" i="177" s="1" a="1"/>
  <c r="V10" i="177" s="1"/>
  <c r="W10" i="177" s="1" a="1"/>
  <c r="W10" i="177" s="1"/>
  <c r="X10" i="177" s="1" a="1"/>
  <c r="X10" i="177" s="1"/>
  <c r="Y10" i="177" s="1" a="1"/>
  <c r="Y10" i="177" s="1"/>
  <c r="Z10" i="177" s="1" a="1"/>
  <c r="Z10" i="177" s="1"/>
  <c r="AA10" i="177" s="1" a="1"/>
  <c r="AA10" i="177" s="1"/>
  <c r="AB10" i="177" s="1" a="1"/>
  <c r="AB10" i="177" s="1"/>
  <c r="AC10" i="177" s="1" a="1"/>
  <c r="AC10" i="177" s="1"/>
  <c r="AD10" i="177" s="1" a="1"/>
  <c r="AD10" i="177" s="1"/>
  <c r="AE10" i="177" s="1" a="1"/>
  <c r="AE10" i="177" s="1"/>
  <c r="W141" i="217"/>
  <c r="AB176" i="217"/>
  <c r="AB246" i="217"/>
  <c r="X176" i="217"/>
  <c r="J14" i="177"/>
  <c r="K14" i="177" s="1"/>
  <c r="L14" i="177" s="1"/>
  <c r="M14" i="177" s="1"/>
  <c r="N14" i="177" s="1"/>
  <c r="O14" i="177" s="1"/>
  <c r="P14" i="177" s="1"/>
  <c r="Q14" i="177" s="1"/>
  <c r="R14" i="177" s="1"/>
  <c r="S14" i="177" s="1"/>
  <c r="T14" i="177" s="1"/>
  <c r="U14" i="177" s="1"/>
  <c r="V14" i="177" s="1"/>
  <c r="W14" i="177" s="1"/>
  <c r="X14" i="177" s="1"/>
  <c r="Y14" i="177" s="1"/>
  <c r="Z14" i="177" s="1"/>
  <c r="AA14" i="177" s="1"/>
  <c r="AB14" i="177" s="1"/>
  <c r="AC14" i="177" s="1"/>
  <c r="AD14" i="177" s="1"/>
  <c r="AE14" i="177" s="1"/>
  <c r="AF14" i="177" s="1"/>
  <c r="AG14" i="177" s="1"/>
  <c r="AH14" i="177" s="1"/>
  <c r="AI14" i="177" s="1"/>
  <c r="AJ14" i="177" s="1"/>
  <c r="AK14" i="177" s="1"/>
  <c r="AL14" i="177" s="1"/>
  <c r="AM14" i="177" s="1"/>
  <c r="AN14" i="177" s="1"/>
  <c r="AO14" i="177" s="1"/>
  <c r="AP14" i="177" s="1"/>
  <c r="AQ14" i="177" s="1"/>
  <c r="AR14" i="177" s="1"/>
  <c r="AS14" i="177" s="1"/>
  <c r="AT14" i="177" s="1"/>
  <c r="AU14" i="177" s="1"/>
  <c r="AV14" i="177" s="1"/>
  <c r="AW14" i="177" s="1"/>
  <c r="AX14" i="177" s="1"/>
  <c r="AY14" i="177" s="1"/>
  <c r="AZ14" i="177" s="1"/>
  <c r="BA14" i="177" s="1"/>
  <c r="BB14" i="177" s="1"/>
  <c r="BC14" i="177" s="1"/>
  <c r="BD14" i="177" s="1"/>
  <c r="BE14" i="177" s="1"/>
  <c r="BF14" i="177" s="1"/>
  <c r="BG14" i="177" s="1"/>
  <c r="BH14" i="177" s="1"/>
  <c r="BI14" i="177" s="1"/>
  <c r="BJ14" i="177" s="1"/>
  <c r="BK14" i="177" s="1"/>
  <c r="BL14" i="177" s="1"/>
  <c r="BM14" i="177" s="1"/>
  <c r="BN14" i="177" s="1"/>
  <c r="BO14" i="177" s="1"/>
  <c r="J21" i="177"/>
  <c r="J72" i="177" s="1"/>
  <c r="J17" i="177"/>
  <c r="Z142" i="217"/>
  <c r="AB109" i="159"/>
  <c r="X137" i="217"/>
  <c r="Y142" i="217"/>
  <c r="AA103" i="217"/>
  <c r="AD138" i="217"/>
  <c r="W104" i="217"/>
  <c r="AD245" i="217"/>
  <c r="Z177" i="217"/>
  <c r="AD70" i="217"/>
  <c r="Z247" i="217"/>
  <c r="AD105" i="217"/>
  <c r="AA137" i="217"/>
  <c r="AA242" i="217"/>
  <c r="AA67" i="217"/>
  <c r="AB106" i="217"/>
  <c r="AC102" i="217"/>
  <c r="AD103" i="217"/>
  <c r="AD68" i="217"/>
  <c r="AD71" i="217"/>
  <c r="AA68" i="217"/>
  <c r="H40" i="177"/>
  <c r="H43" i="177" s="1"/>
  <c r="AD246" i="217"/>
  <c r="AG68" i="217"/>
  <c r="Y72" i="217"/>
  <c r="AB137" i="217"/>
  <c r="W139" i="217"/>
  <c r="AD172" i="217"/>
  <c r="AE137" i="217"/>
  <c r="AB247" i="217"/>
  <c r="AH242" i="217"/>
  <c r="Z106" i="217"/>
  <c r="Z72" i="177"/>
  <c r="Z73" i="177" s="1"/>
  <c r="AA243" i="217"/>
  <c r="AB243" i="217"/>
  <c r="AD141" i="217"/>
  <c r="AC103" i="217"/>
  <c r="AD106" i="217"/>
  <c r="AA138" i="217"/>
  <c r="AE22" i="177"/>
  <c r="AE70" i="217"/>
  <c r="AF142" i="217"/>
  <c r="AG67" i="217"/>
  <c r="Y106" i="217"/>
  <c r="AF247" i="217"/>
  <c r="AE243" i="217"/>
  <c r="W247" i="217"/>
  <c r="AE138" i="217"/>
  <c r="AJ38" i="217"/>
  <c r="P13" i="230"/>
  <c r="AJ227" i="217"/>
  <c r="W138" i="217"/>
  <c r="AF173" i="217"/>
  <c r="Z176" i="217"/>
  <c r="W72" i="217"/>
  <c r="G38" i="177"/>
  <c r="T18" i="159" s="1"/>
  <c r="AO99" i="172"/>
  <c r="AF71" i="217"/>
  <c r="AG102" i="217"/>
  <c r="AF141" i="217"/>
  <c r="AP99" i="172"/>
  <c r="AE103" i="217"/>
  <c r="AF176" i="217"/>
  <c r="Y141" i="217"/>
  <c r="AF177" i="217"/>
  <c r="AJ52" i="217"/>
  <c r="W243" i="217"/>
  <c r="Z103" i="217"/>
  <c r="AG243" i="217"/>
  <c r="Z141" i="217"/>
  <c r="X142" i="217"/>
  <c r="AI40" i="217"/>
  <c r="G43" i="177"/>
  <c r="AN99" i="172"/>
  <c r="Q45" i="230"/>
  <c r="AC67" i="217"/>
  <c r="AB68" i="217"/>
  <c r="AA172" i="217"/>
  <c r="AE172" i="217"/>
  <c r="Y103" i="217"/>
  <c r="AG103" i="217"/>
  <c r="W246" i="217"/>
  <c r="X177" i="217"/>
  <c r="AC142" i="217"/>
  <c r="AH177" i="217"/>
  <c r="S20" i="177"/>
  <c r="AF15" i="159" s="1"/>
  <c r="AK99" i="172"/>
  <c r="AG176" i="217"/>
  <c r="Y173" i="217"/>
  <c r="W176" i="217"/>
  <c r="AH72" i="217"/>
  <c r="AI99" i="172"/>
  <c r="AB67" i="217"/>
  <c r="Z68" i="217"/>
  <c r="AD243" i="217"/>
  <c r="W71" i="217"/>
  <c r="Y247" i="217"/>
  <c r="AE247" i="217"/>
  <c r="AI34" i="217"/>
  <c r="AG72" i="217"/>
  <c r="AC177" i="217"/>
  <c r="AJ99" i="172"/>
  <c r="AE102" i="217"/>
  <c r="AE142" i="217"/>
  <c r="AB242" i="217"/>
  <c r="Z243" i="217"/>
  <c r="AI39" i="217"/>
  <c r="AH99" i="172"/>
  <c r="AG99" i="172"/>
  <c r="AS90" i="172"/>
  <c r="AR99" i="172"/>
  <c r="AJ87" i="217"/>
  <c r="AC172" i="217"/>
  <c r="AE173" i="217"/>
  <c r="AE140" i="217"/>
  <c r="AG71" i="217"/>
  <c r="P21" i="177"/>
  <c r="P72" i="177" s="1"/>
  <c r="AQ99" i="172"/>
  <c r="AK18" i="217"/>
  <c r="AL18" i="217" s="1"/>
  <c r="AD67" i="217"/>
  <c r="X173" i="217"/>
  <c r="AB103" i="217"/>
  <c r="AE175" i="217"/>
  <c r="Z246" i="217"/>
  <c r="AG141" i="217"/>
  <c r="AG142" i="217"/>
  <c r="AF109" i="159"/>
  <c r="AM99" i="172"/>
  <c r="AH102" i="217"/>
  <c r="X243" i="217"/>
  <c r="AD242" i="217"/>
  <c r="X138" i="217"/>
  <c r="AB138" i="217"/>
  <c r="AF175" i="217"/>
  <c r="AG177" i="217"/>
  <c r="AD137" i="217"/>
  <c r="Y243" i="217"/>
  <c r="AG138" i="217"/>
  <c r="AF245" i="217"/>
  <c r="AH142" i="217"/>
  <c r="Y138" i="217"/>
  <c r="AH175" i="217"/>
  <c r="AC247" i="217"/>
  <c r="AE109" i="159"/>
  <c r="T173" i="229"/>
  <c r="AA22" i="177"/>
  <c r="AB15" i="159"/>
  <c r="AB21" i="159" s="1"/>
  <c r="O22" i="177"/>
  <c r="R71" i="177"/>
  <c r="R73" i="177" s="1"/>
  <c r="R22" i="177"/>
  <c r="V71" i="177"/>
  <c r="V73" i="177" s="1"/>
  <c r="V22" i="177"/>
  <c r="AH71" i="177"/>
  <c r="AH73" i="177" s="1"/>
  <c r="AH22" i="177"/>
  <c r="X71" i="177"/>
  <c r="X73" i="177" s="1"/>
  <c r="X22" i="177"/>
  <c r="U71" i="177"/>
  <c r="U73" i="177" s="1"/>
  <c r="U22" i="177"/>
  <c r="AK71" i="177"/>
  <c r="AK73" i="177" s="1"/>
  <c r="AK22" i="177"/>
  <c r="Q22" i="177"/>
  <c r="W71" i="177"/>
  <c r="W73" i="177" s="1"/>
  <c r="W22" i="177"/>
  <c r="AG71" i="177"/>
  <c r="AG73" i="177" s="1"/>
  <c r="AG22" i="177"/>
  <c r="Y71" i="177"/>
  <c r="Y73" i="177" s="1"/>
  <c r="Y22" i="177"/>
  <c r="AC15" i="159"/>
  <c r="AC21" i="159" s="1"/>
  <c r="AJ71" i="177"/>
  <c r="AJ73" i="177" s="1"/>
  <c r="AJ22" i="177"/>
  <c r="AC71" i="177"/>
  <c r="AC73" i="177" s="1"/>
  <c r="AC22" i="177"/>
  <c r="AI71" i="177"/>
  <c r="AI73" i="177" s="1"/>
  <c r="AI22" i="177"/>
  <c r="L71" i="177"/>
  <c r="L73" i="177" s="1"/>
  <c r="L22" i="177"/>
  <c r="N22" i="177"/>
  <c r="AB22" i="177"/>
  <c r="P71" i="177"/>
  <c r="AD22" i="177"/>
  <c r="AA71" i="177"/>
  <c r="AA73" i="177" s="1"/>
  <c r="O71" i="177"/>
  <c r="O73" i="177" s="1"/>
  <c r="L14" i="231" s="1"/>
  <c r="Y15" i="159"/>
  <c r="Y16" i="159" s="1"/>
  <c r="AB73" i="177"/>
  <c r="AE15" i="159"/>
  <c r="AE26" i="159" s="1"/>
  <c r="J71" i="177"/>
  <c r="L13" i="230"/>
  <c r="N71" i="177"/>
  <c r="N73" i="177" s="1"/>
  <c r="AE245" i="217"/>
  <c r="AF70" i="217"/>
  <c r="AF140" i="217"/>
  <c r="AB140" i="217"/>
  <c r="AG245" i="217"/>
  <c r="AD140" i="217"/>
  <c r="AH105" i="217"/>
  <c r="AH140" i="217"/>
  <c r="AD15" i="159"/>
  <c r="AD26" i="159" s="1"/>
  <c r="Q71" i="177"/>
  <c r="Q73" i="177" s="1"/>
  <c r="T8" i="220" s="1"/>
  <c r="V15" i="159"/>
  <c r="H60" i="177"/>
  <c r="H68" i="177" s="1"/>
  <c r="H69" i="177" s="1"/>
  <c r="H55" i="177"/>
  <c r="H56" i="177" s="1"/>
  <c r="U19" i="159"/>
  <c r="AG19" i="159" s="1"/>
  <c r="J53" i="177"/>
  <c r="J66" i="177" s="1"/>
  <c r="J11" i="177"/>
  <c r="J51" i="177" s="1"/>
  <c r="J64" i="177" s="1"/>
  <c r="J49" i="177"/>
  <c r="J62" i="177" s="1"/>
  <c r="J50" i="177"/>
  <c r="J63" i="177" s="1"/>
  <c r="J54" i="177"/>
  <c r="J67" i="177" s="1"/>
  <c r="AA15" i="159"/>
  <c r="AA16" i="159" s="1"/>
  <c r="G55" i="177"/>
  <c r="G56" i="177" s="1"/>
  <c r="AE71" i="177"/>
  <c r="AE73" i="177" s="1"/>
  <c r="J47" i="177"/>
  <c r="AD71" i="177"/>
  <c r="AD73" i="177" s="1"/>
  <c r="G69" i="177"/>
  <c r="I60" i="177"/>
  <c r="I68" i="177" s="1"/>
  <c r="I69" i="177" s="1"/>
  <c r="I55" i="177"/>
  <c r="I56" i="177" s="1"/>
  <c r="W15" i="159"/>
  <c r="W26" i="159" s="1"/>
  <c r="J52" i="177"/>
  <c r="J65" i="177" s="1"/>
  <c r="I22" i="177"/>
  <c r="I35" i="177"/>
  <c r="J8" i="177"/>
  <c r="O13" i="230"/>
  <c r="L15" i="220"/>
  <c r="L16" i="220"/>
  <c r="M16" i="220"/>
  <c r="M17" i="220"/>
  <c r="M16" i="177"/>
  <c r="H20" i="177"/>
  <c r="I19" i="177"/>
  <c r="J19" i="177" s="1"/>
  <c r="K19" i="177" s="1"/>
  <c r="L19" i="177" s="1"/>
  <c r="M19" i="177" s="1"/>
  <c r="N19" i="177" s="1"/>
  <c r="O19" i="177" s="1"/>
  <c r="P19" i="177" s="1"/>
  <c r="Q19" i="177" s="1"/>
  <c r="R19" i="177" s="1"/>
  <c r="S19" i="177" s="1"/>
  <c r="T19" i="177" s="1"/>
  <c r="U19" i="177" s="1"/>
  <c r="V19" i="177" s="1"/>
  <c r="W19" i="177" s="1"/>
  <c r="X19" i="177" s="1"/>
  <c r="Y19" i="177" s="1"/>
  <c r="Z19" i="177" s="1"/>
  <c r="AA19" i="177" s="1"/>
  <c r="AB19" i="177" s="1"/>
  <c r="AC19" i="177" s="1"/>
  <c r="AD19" i="177" s="1"/>
  <c r="AE19" i="177" s="1"/>
  <c r="AF19" i="177" s="1"/>
  <c r="AG19" i="177" s="1"/>
  <c r="AH19" i="177" s="1"/>
  <c r="AI19" i="177" s="1"/>
  <c r="AJ19" i="177" s="1"/>
  <c r="AK19" i="177" s="1"/>
  <c r="AL19" i="177" s="1"/>
  <c r="AM19" i="177" s="1"/>
  <c r="AN19" i="177" s="1"/>
  <c r="AO19" i="177" s="1"/>
  <c r="AP19" i="177" s="1"/>
  <c r="AQ19" i="177" s="1"/>
  <c r="AR19" i="177" s="1"/>
  <c r="AS19" i="177" s="1"/>
  <c r="AT19" i="177" s="1"/>
  <c r="AU19" i="177" s="1"/>
  <c r="AV19" i="177" s="1"/>
  <c r="AW19" i="177" s="1"/>
  <c r="AX19" i="177" s="1"/>
  <c r="AY19" i="177" s="1"/>
  <c r="AZ19" i="177" s="1"/>
  <c r="BA19" i="177" s="1"/>
  <c r="BB19" i="177" s="1"/>
  <c r="BC19" i="177" s="1"/>
  <c r="BD19" i="177" s="1"/>
  <c r="BE19" i="177" s="1"/>
  <c r="BF19" i="177" s="1"/>
  <c r="BG19" i="177" s="1"/>
  <c r="BH19" i="177" s="1"/>
  <c r="BI19" i="177" s="1"/>
  <c r="BJ19" i="177" s="1"/>
  <c r="BK19" i="177" s="1"/>
  <c r="BL19" i="177" s="1"/>
  <c r="BM19" i="177" s="1"/>
  <c r="BN19" i="177" s="1"/>
  <c r="BO19" i="177" s="1"/>
  <c r="H21" i="177"/>
  <c r="H72" i="177" s="1"/>
  <c r="T15" i="159"/>
  <c r="G71" i="177"/>
  <c r="G22" i="177"/>
  <c r="G23" i="177" s="1"/>
  <c r="AB245" i="217"/>
  <c r="AB105" i="217"/>
  <c r="AB70" i="217"/>
  <c r="AC245" i="217"/>
  <c r="AG175" i="217"/>
  <c r="AH176" i="217"/>
  <c r="AE141" i="217"/>
  <c r="AH106" i="217"/>
  <c r="AE106" i="217"/>
  <c r="AH71" i="217"/>
  <c r="AH246" i="217"/>
  <c r="AH245" i="217"/>
  <c r="AE71" i="217"/>
  <c r="AA246" i="217"/>
  <c r="AE246" i="217"/>
  <c r="AJ36" i="217"/>
  <c r="AJ70" i="217" s="1"/>
  <c r="AA106" i="217"/>
  <c r="AB71" i="217"/>
  <c r="AG115" i="159"/>
  <c r="P124" i="159"/>
  <c r="AA124" i="159"/>
  <c r="AG104" i="159"/>
  <c r="AG114" i="159"/>
  <c r="AG106" i="159"/>
  <c r="AG110" i="159"/>
  <c r="AG122" i="159"/>
  <c r="AG102" i="159"/>
  <c r="AG112" i="159"/>
  <c r="W157" i="218"/>
  <c r="AG111" i="159"/>
  <c r="Q118" i="159"/>
  <c r="AG123" i="159"/>
  <c r="AK150" i="174"/>
  <c r="AG113" i="159"/>
  <c r="AG109" i="159"/>
  <c r="W159" i="218"/>
  <c r="G159" i="218"/>
  <c r="I159" i="218" s="1"/>
  <c r="C24" i="235"/>
  <c r="G157" i="218"/>
  <c r="I157" i="218" s="1"/>
  <c r="R118" i="159"/>
  <c r="D157" i="218"/>
  <c r="F157" i="218" s="1"/>
  <c r="AG116" i="159"/>
  <c r="U150" i="174"/>
  <c r="L62" i="220"/>
  <c r="O62" i="219"/>
  <c r="AO150" i="174"/>
  <c r="D159" i="218"/>
  <c r="F159" i="218" s="1"/>
  <c r="AA13" i="123"/>
  <c r="U62" i="221"/>
  <c r="AG108" i="159"/>
  <c r="AG117" i="159"/>
  <c r="AR42" i="174"/>
  <c r="O124" i="159"/>
  <c r="AL108" i="174"/>
  <c r="T62" i="221"/>
  <c r="AG80" i="159"/>
  <c r="AR138" i="174"/>
  <c r="AR40" i="174"/>
  <c r="AJ150" i="174"/>
  <c r="P118" i="159"/>
  <c r="S118" i="159"/>
  <c r="AG105" i="159"/>
  <c r="Z13" i="174"/>
  <c r="R62" i="218"/>
  <c r="P62" i="218"/>
  <c r="E24" i="234"/>
  <c r="B24" i="234" s="1"/>
  <c r="W45" i="174"/>
  <c r="Q62" i="219"/>
  <c r="X62" i="159"/>
  <c r="AR34" i="174"/>
  <c r="AK45" i="174"/>
  <c r="AS196" i="172"/>
  <c r="AD124" i="159"/>
  <c r="Y124" i="159"/>
  <c r="AB64" i="159"/>
  <c r="F24" i="230"/>
  <c r="V124" i="159"/>
  <c r="W69" i="219"/>
  <c r="U62" i="218"/>
  <c r="O45" i="174"/>
  <c r="U62" i="219"/>
  <c r="AG121" i="159"/>
  <c r="Z124" i="159"/>
  <c r="AE124" i="159"/>
  <c r="AL45" i="174"/>
  <c r="AQ45" i="174"/>
  <c r="R124" i="159"/>
  <c r="Q150" i="174"/>
  <c r="N62" i="219"/>
  <c r="N150" i="174"/>
  <c r="Q124" i="159"/>
  <c r="AA11" i="123"/>
  <c r="N62" i="218"/>
  <c r="O62" i="218"/>
  <c r="AA44" i="123"/>
  <c r="Z9" i="174"/>
  <c r="W134" i="218"/>
  <c r="G134" i="218"/>
  <c r="I134" i="218" s="1"/>
  <c r="K132" i="218"/>
  <c r="I134" i="198" s="1"/>
  <c r="D134" i="218"/>
  <c r="F134" i="218" s="1"/>
  <c r="AA43" i="123"/>
  <c r="V62" i="218"/>
  <c r="W64" i="159"/>
  <c r="O150" i="174"/>
  <c r="AR38" i="174"/>
  <c r="Q24" i="174"/>
  <c r="Z33" i="174"/>
  <c r="T45" i="174"/>
  <c r="M62" i="220"/>
  <c r="W150" i="174"/>
  <c r="P24" i="174"/>
  <c r="Z40" i="174"/>
  <c r="Y150" i="174"/>
  <c r="O62" i="220"/>
  <c r="W67" i="219"/>
  <c r="AR144" i="174"/>
  <c r="V150" i="174"/>
  <c r="O24" i="174"/>
  <c r="AO45" i="174"/>
  <c r="G81" i="204"/>
  <c r="I81" i="204" s="1"/>
  <c r="P62" i="221"/>
  <c r="AR148" i="174"/>
  <c r="AR18" i="174"/>
  <c r="Z35" i="174"/>
  <c r="AG103" i="159"/>
  <c r="T62" i="218"/>
  <c r="AG150" i="174"/>
  <c r="L62" i="219"/>
  <c r="S62" i="221"/>
  <c r="AA23" i="123"/>
  <c r="P81" i="204"/>
  <c r="AQ150" i="174"/>
  <c r="Z18" i="174"/>
  <c r="AA22" i="123"/>
  <c r="N62" i="220"/>
  <c r="AC62" i="159"/>
  <c r="P150" i="174"/>
  <c r="Z12" i="174"/>
  <c r="AA42" i="123"/>
  <c r="M62" i="218"/>
  <c r="V87" i="174"/>
  <c r="Z69" i="174"/>
  <c r="AK24" i="174"/>
  <c r="X150" i="174"/>
  <c r="Z17" i="174"/>
  <c r="AL24" i="174"/>
  <c r="AR72" i="174"/>
  <c r="V45" i="174"/>
  <c r="AI108" i="174"/>
  <c r="AR93" i="174"/>
  <c r="AR13" i="174"/>
  <c r="W108" i="174"/>
  <c r="V66" i="174"/>
  <c r="V24" i="174"/>
  <c r="AR15" i="174"/>
  <c r="AR30" i="174"/>
  <c r="AM45" i="174"/>
  <c r="S87" i="174"/>
  <c r="AG108" i="174"/>
  <c r="AR17" i="174"/>
  <c r="Z22" i="174"/>
  <c r="Q108" i="174"/>
  <c r="AN45" i="174"/>
  <c r="Z123" i="174"/>
  <c r="AP45" i="174"/>
  <c r="S24" i="174"/>
  <c r="Z81" i="174"/>
  <c r="N87" i="174"/>
  <c r="Z75" i="174"/>
  <c r="AJ87" i="174"/>
  <c r="Y87" i="174"/>
  <c r="AH87" i="174"/>
  <c r="AG87" i="174"/>
  <c r="Z138" i="174"/>
  <c r="Z30" i="174"/>
  <c r="AR35" i="174"/>
  <c r="AM108" i="174"/>
  <c r="AR85" i="174"/>
  <c r="AR127" i="174"/>
  <c r="AH129" i="174"/>
  <c r="AK87" i="174"/>
  <c r="U87" i="174"/>
  <c r="Y24" i="174"/>
  <c r="U66" i="174"/>
  <c r="AR21" i="174"/>
  <c r="S66" i="174"/>
  <c r="R24" i="174"/>
  <c r="X24" i="174"/>
  <c r="Z135" i="174"/>
  <c r="AM87" i="174"/>
  <c r="Z93" i="174"/>
  <c r="Z55" i="174"/>
  <c r="AQ87" i="174"/>
  <c r="Q87" i="174"/>
  <c r="R66" i="174"/>
  <c r="AR36" i="174"/>
  <c r="AG45" i="174"/>
  <c r="AR145" i="174"/>
  <c r="AR96" i="174"/>
  <c r="AN87" i="174"/>
  <c r="AN24" i="174"/>
  <c r="AR124" i="174"/>
  <c r="Y66" i="174"/>
  <c r="AI150" i="174"/>
  <c r="Z106" i="174"/>
  <c r="Z41" i="174"/>
  <c r="Z14" i="174"/>
  <c r="AR48" i="174"/>
  <c r="AP108" i="174"/>
  <c r="AR123" i="174"/>
  <c r="AF129" i="174"/>
  <c r="P66" i="174"/>
  <c r="AR39" i="174"/>
  <c r="AP24" i="174"/>
  <c r="AN150" i="174"/>
  <c r="O108" i="174"/>
  <c r="AR20" i="174"/>
  <c r="AR33" i="174"/>
  <c r="E113" i="174"/>
  <c r="Z62" i="174"/>
  <c r="AR16" i="174"/>
  <c r="Z96" i="174"/>
  <c r="P45" i="174"/>
  <c r="R150" i="174"/>
  <c r="R129" i="174"/>
  <c r="U129" i="174"/>
  <c r="AR125" i="174"/>
  <c r="AR82" i="174"/>
  <c r="AI45" i="174"/>
  <c r="AQ24" i="174"/>
  <c r="Z82" i="174"/>
  <c r="S45" i="174"/>
  <c r="Z48" i="174"/>
  <c r="N66" i="174"/>
  <c r="AR12" i="174"/>
  <c r="AM24" i="174"/>
  <c r="AR76" i="174"/>
  <c r="AJ45" i="174"/>
  <c r="V129" i="174"/>
  <c r="Z20" i="174"/>
  <c r="U24" i="174"/>
  <c r="AG129" i="174"/>
  <c r="AR111" i="174"/>
  <c r="Z144" i="174"/>
  <c r="Z118" i="174"/>
  <c r="Z64" i="174"/>
  <c r="R108" i="174"/>
  <c r="AR43" i="174"/>
  <c r="AR81" i="174"/>
  <c r="Z98" i="174"/>
  <c r="AK66" i="174"/>
  <c r="T24" i="174"/>
  <c r="AO108" i="174"/>
  <c r="AI129" i="174"/>
  <c r="Z61" i="174"/>
  <c r="AF45" i="174"/>
  <c r="AR27" i="174"/>
  <c r="Z54" i="174"/>
  <c r="Z19" i="174"/>
  <c r="AR14" i="174"/>
  <c r="R45" i="174"/>
  <c r="Q66" i="174"/>
  <c r="Z148" i="174"/>
  <c r="F31" i="174"/>
  <c r="A32" i="174"/>
  <c r="E31" i="174"/>
  <c r="E115" i="174" s="1"/>
  <c r="AR22" i="174"/>
  <c r="X87" i="174"/>
  <c r="AR51" i="174"/>
  <c r="AJ24" i="174"/>
  <c r="AM129" i="174"/>
  <c r="N129" i="174"/>
  <c r="Z111" i="174"/>
  <c r="O129" i="174"/>
  <c r="T108" i="174"/>
  <c r="AR135" i="174"/>
  <c r="AF150" i="174"/>
  <c r="AK108" i="174"/>
  <c r="Z39" i="174"/>
  <c r="AP129" i="174"/>
  <c r="AO87" i="174"/>
  <c r="AR104" i="174"/>
  <c r="AH45" i="174"/>
  <c r="AR6" i="174"/>
  <c r="AF24" i="174"/>
  <c r="AF66" i="174"/>
  <c r="X45" i="174"/>
  <c r="U45" i="174"/>
  <c r="AR37" i="174"/>
  <c r="X129" i="174"/>
  <c r="Z90" i="174"/>
  <c r="N108" i="174"/>
  <c r="AQ108" i="174"/>
  <c r="AR41" i="174"/>
  <c r="AR103" i="174"/>
  <c r="AO24" i="174"/>
  <c r="Q45" i="174"/>
  <c r="AR19" i="174"/>
  <c r="Z145" i="174"/>
  <c r="P129" i="174"/>
  <c r="U108" i="174"/>
  <c r="Z97" i="174"/>
  <c r="AG66" i="174"/>
  <c r="W24" i="174"/>
  <c r="AF108" i="174"/>
  <c r="AR90" i="174"/>
  <c r="E30" i="174"/>
  <c r="AR83" i="174"/>
  <c r="AN129" i="174"/>
  <c r="AP87" i="174"/>
  <c r="AR9" i="174"/>
  <c r="AG24" i="174"/>
  <c r="Z117" i="174"/>
  <c r="Y45" i="174"/>
  <c r="Z127" i="174"/>
  <c r="AL150" i="174"/>
  <c r="AR69" i="174"/>
  <c r="AF87" i="174"/>
  <c r="Q129" i="174"/>
  <c r="V108" i="174"/>
  <c r="AR75" i="174"/>
  <c r="AQ66" i="174"/>
  <c r="N24" i="174"/>
  <c r="Z6" i="174"/>
  <c r="AH108" i="174"/>
  <c r="AO129" i="174"/>
  <c r="AI87" i="174"/>
  <c r="AR94" i="174"/>
  <c r="AH24" i="174"/>
  <c r="Z27" i="174"/>
  <c r="N45" i="174"/>
  <c r="AI24" i="174"/>
  <c r="O66" i="174"/>
  <c r="C24" i="233"/>
  <c r="B24" i="233"/>
  <c r="Q24" i="233"/>
  <c r="AE59" i="159"/>
  <c r="P62" i="220"/>
  <c r="AD62" i="159"/>
  <c r="AB58" i="159"/>
  <c r="R68" i="204"/>
  <c r="AA61" i="123"/>
  <c r="K69" i="221"/>
  <c r="BB71" i="198" s="1"/>
  <c r="X61" i="159"/>
  <c r="N81" i="204"/>
  <c r="V57" i="159"/>
  <c r="L67" i="204"/>
  <c r="AA27" i="123"/>
  <c r="K81" i="218"/>
  <c r="I83" i="198" s="1"/>
  <c r="Y64" i="159"/>
  <c r="O70" i="204"/>
  <c r="AA62" i="123"/>
  <c r="AA41" i="123"/>
  <c r="K69" i="218"/>
  <c r="I71" i="198" s="1"/>
  <c r="AF51" i="159"/>
  <c r="P24" i="235"/>
  <c r="Q24" i="235" s="1"/>
  <c r="AA40" i="123"/>
  <c r="K68" i="218"/>
  <c r="I70" i="198" s="1"/>
  <c r="X57" i="159"/>
  <c r="AB62" i="159"/>
  <c r="V62" i="221"/>
  <c r="AA46" i="123"/>
  <c r="AE62" i="159"/>
  <c r="AC58" i="159"/>
  <c r="S68" i="204"/>
  <c r="L81" i="219"/>
  <c r="AD64" i="159"/>
  <c r="AB61" i="159"/>
  <c r="R81" i="204"/>
  <c r="L81" i="218"/>
  <c r="R67" i="221"/>
  <c r="R62" i="221" s="1"/>
  <c r="AA37" i="123"/>
  <c r="S62" i="218"/>
  <c r="N24" i="234"/>
  <c r="AA17" i="123"/>
  <c r="AF62" i="159"/>
  <c r="AD58" i="159"/>
  <c r="T68" i="204"/>
  <c r="K68" i="221"/>
  <c r="BB70" i="198" s="1"/>
  <c r="AA60" i="123"/>
  <c r="R81" i="219"/>
  <c r="AA10" i="123"/>
  <c r="K90" i="204"/>
  <c r="D92" i="198" s="1"/>
  <c r="V61" i="159"/>
  <c r="L81" i="204"/>
  <c r="AA101" i="123"/>
  <c r="K68" i="219"/>
  <c r="N70" i="198" s="1"/>
  <c r="V62" i="219"/>
  <c r="AA35" i="123"/>
  <c r="L67" i="221"/>
  <c r="L62" i="221" s="1"/>
  <c r="AC59" i="159"/>
  <c r="S69" i="204"/>
  <c r="AA51" i="123"/>
  <c r="K90" i="221"/>
  <c r="X92" i="198" s="1"/>
  <c r="AA80" i="123"/>
  <c r="AA24" i="123"/>
  <c r="AA57" i="159"/>
  <c r="Q67" i="204"/>
  <c r="V60" i="159"/>
  <c r="D132" i="221"/>
  <c r="F132" i="221" s="1"/>
  <c r="G132" i="221"/>
  <c r="I132" i="221" s="1"/>
  <c r="W132" i="221"/>
  <c r="AA29" i="123"/>
  <c r="AA62" i="159"/>
  <c r="U62" i="220"/>
  <c r="V62" i="159"/>
  <c r="AE58" i="159"/>
  <c r="U68" i="204"/>
  <c r="U62" i="204" s="1"/>
  <c r="N81" i="219"/>
  <c r="O62" i="221"/>
  <c r="U81" i="204"/>
  <c r="AD61" i="159"/>
  <c r="T81" i="204"/>
  <c r="S81" i="204"/>
  <c r="AA105" i="123"/>
  <c r="AB59" i="159"/>
  <c r="R69" i="204"/>
  <c r="Y58" i="159"/>
  <c r="O68" i="204"/>
  <c r="S81" i="219"/>
  <c r="AA25" i="123"/>
  <c r="X58" i="159"/>
  <c r="N68" i="204"/>
  <c r="N62" i="204" s="1"/>
  <c r="S81" i="220"/>
  <c r="W58" i="159"/>
  <c r="M68" i="204"/>
  <c r="AA100" i="123"/>
  <c r="AD59" i="159"/>
  <c r="T69" i="204"/>
  <c r="K90" i="220"/>
  <c r="S92" i="198" s="1"/>
  <c r="AA70" i="123"/>
  <c r="AA34" i="123"/>
  <c r="L70" i="218"/>
  <c r="W70" i="218" s="1"/>
  <c r="AA90" i="123"/>
  <c r="AA56" i="123"/>
  <c r="AF58" i="159"/>
  <c r="V68" i="204"/>
  <c r="V62" i="204" s="1"/>
  <c r="AA58" i="159"/>
  <c r="AA55" i="123"/>
  <c r="K70" i="221"/>
  <c r="X72" i="198" s="1"/>
  <c r="O90" i="221"/>
  <c r="M81" i="221"/>
  <c r="AA73" i="123"/>
  <c r="K67" i="220"/>
  <c r="AW69" i="198" s="1"/>
  <c r="K81" i="221"/>
  <c r="X83" i="198" s="1"/>
  <c r="AA48" i="123"/>
  <c r="P81" i="219"/>
  <c r="AF61" i="159"/>
  <c r="V81" i="204"/>
  <c r="AC60" i="159"/>
  <c r="R81" i="218"/>
  <c r="AA96" i="123"/>
  <c r="K70" i="219"/>
  <c r="AR72" i="198" s="1"/>
  <c r="Z59" i="159"/>
  <c r="Z60" i="159"/>
  <c r="Z62" i="159"/>
  <c r="Q81" i="219"/>
  <c r="AA95" i="123"/>
  <c r="AA106" i="123"/>
  <c r="M67" i="221"/>
  <c r="M62" i="221" s="1"/>
  <c r="W52" i="159"/>
  <c r="M60" i="220"/>
  <c r="AA54" i="123"/>
  <c r="AA59" i="159"/>
  <c r="Q69" i="204"/>
  <c r="W59" i="159"/>
  <c r="M69" i="204"/>
  <c r="AA74" i="123"/>
  <c r="Z64" i="159"/>
  <c r="P70" i="204"/>
  <c r="M24" i="234"/>
  <c r="H24" i="234"/>
  <c r="K24" i="234"/>
  <c r="U81" i="219"/>
  <c r="Y61" i="159"/>
  <c r="O81" i="204"/>
  <c r="X59" i="159"/>
  <c r="AF52" i="159"/>
  <c r="V60" i="220"/>
  <c r="AA53" i="123"/>
  <c r="K67" i="221"/>
  <c r="X69" i="198" s="1"/>
  <c r="R81" i="221"/>
  <c r="T62" i="220"/>
  <c r="AA14" i="123"/>
  <c r="Y57" i="159"/>
  <c r="L24" i="234"/>
  <c r="U52" i="159"/>
  <c r="E24" i="231" a="1"/>
  <c r="E24" i="231" s="1"/>
  <c r="AA71" i="123"/>
  <c r="N24" i="231" a="1"/>
  <c r="N24" i="231" s="1"/>
  <c r="K24" i="231" a="1"/>
  <c r="K24" i="231" s="1"/>
  <c r="H24" i="231" a="1"/>
  <c r="H24" i="231" s="1"/>
  <c r="K60" i="220"/>
  <c r="AW62" i="198" s="1"/>
  <c r="P90" i="221"/>
  <c r="AA52" i="159"/>
  <c r="Q60" i="220"/>
  <c r="AB57" i="159"/>
  <c r="R67" i="204"/>
  <c r="AA65" i="123"/>
  <c r="AA38" i="123"/>
  <c r="AA84" i="123"/>
  <c r="U64" i="159"/>
  <c r="H65" i="190" s="1"/>
  <c r="W60" i="159"/>
  <c r="P24" i="234"/>
  <c r="AC64" i="159"/>
  <c r="N62" i="221"/>
  <c r="AA61" i="159"/>
  <c r="Q81" i="204"/>
  <c r="N90" i="221"/>
  <c r="S62" i="220"/>
  <c r="AA30" i="123"/>
  <c r="K90" i="218"/>
  <c r="I92" i="198" s="1"/>
  <c r="AA91" i="123"/>
  <c r="K90" i="219"/>
  <c r="N92" i="198" s="1"/>
  <c r="AA75" i="123"/>
  <c r="K70" i="220"/>
  <c r="AW72" i="198" s="1"/>
  <c r="AC57" i="159"/>
  <c r="S67" i="204"/>
  <c r="AA39" i="123"/>
  <c r="AA64" i="123"/>
  <c r="AD57" i="159"/>
  <c r="Z58" i="159"/>
  <c r="P68" i="204"/>
  <c r="W57" i="159"/>
  <c r="U58" i="159"/>
  <c r="H59" i="190" s="1"/>
  <c r="AA20" i="123"/>
  <c r="K68" i="204"/>
  <c r="D70" i="198" s="1"/>
  <c r="T81" i="219"/>
  <c r="AA8" i="123"/>
  <c r="U59" i="159"/>
  <c r="H60" i="190" s="1"/>
  <c r="AA21" i="123"/>
  <c r="K69" i="204"/>
  <c r="AH71" i="198" s="1"/>
  <c r="U57" i="159"/>
  <c r="H58" i="190" s="1"/>
  <c r="AA12" i="123"/>
  <c r="K67" i="204"/>
  <c r="D69" i="198" s="1"/>
  <c r="S62" i="219"/>
  <c r="Q81" i="221"/>
  <c r="V62" i="220"/>
  <c r="O81" i="219"/>
  <c r="X64" i="159"/>
  <c r="Y59" i="159"/>
  <c r="Y62" i="159"/>
  <c r="T81" i="221"/>
  <c r="Q62" i="221"/>
  <c r="AA52" i="123"/>
  <c r="AA79" i="123"/>
  <c r="L81" i="221"/>
  <c r="V59" i="159"/>
  <c r="L69" i="204"/>
  <c r="Z52" i="159"/>
  <c r="P60" i="220"/>
  <c r="G24" i="234"/>
  <c r="G24" i="230" s="1"/>
  <c r="O24" i="234"/>
  <c r="AD60" i="159"/>
  <c r="W61" i="159"/>
  <c r="M81" i="204"/>
  <c r="AA81" i="123"/>
  <c r="K68" i="220"/>
  <c r="S70" i="198" s="1"/>
  <c r="AA19" i="123"/>
  <c r="AF57" i="159"/>
  <c r="V64" i="159"/>
  <c r="AA104" i="123"/>
  <c r="AA103" i="123"/>
  <c r="AA64" i="159"/>
  <c r="Q70" i="204"/>
  <c r="AA88" i="123"/>
  <c r="K81" i="219"/>
  <c r="N83" i="198" s="1"/>
  <c r="AE57" i="159"/>
  <c r="AF59" i="159"/>
  <c r="AA67" i="123"/>
  <c r="AA94" i="123"/>
  <c r="M81" i="219"/>
  <c r="V81" i="221"/>
  <c r="S81" i="221"/>
  <c r="R92" i="123"/>
  <c r="W54" i="159"/>
  <c r="AA63" i="123"/>
  <c r="AA36" i="123"/>
  <c r="AA32" i="123"/>
  <c r="K67" i="218"/>
  <c r="AM69" i="198" s="1"/>
  <c r="AA31" i="123"/>
  <c r="AA82" i="123"/>
  <c r="K69" i="220"/>
  <c r="S71" i="198" s="1"/>
  <c r="AA16" i="123"/>
  <c r="U62" i="159"/>
  <c r="H63" i="190" s="1"/>
  <c r="AA9" i="123"/>
  <c r="V58" i="159"/>
  <c r="L68" i="204"/>
  <c r="V81" i="219"/>
  <c r="AA18" i="123"/>
  <c r="W137" i="219"/>
  <c r="G137" i="219"/>
  <c r="I137" i="219" s="1"/>
  <c r="K132" i="219"/>
  <c r="D137" i="219"/>
  <c r="F137" i="219" s="1"/>
  <c r="AA83" i="123"/>
  <c r="S75" i="248"/>
  <c r="F25" i="248"/>
  <c r="C338" i="242"/>
  <c r="K47" i="248"/>
  <c r="E52" i="248"/>
  <c r="F17" i="240"/>
  <c r="F20" i="240"/>
  <c r="K25" i="248"/>
  <c r="F20" i="248"/>
  <c r="F17" i="248"/>
  <c r="K24" i="240"/>
  <c r="K25" i="240" s="1"/>
  <c r="K47" i="240"/>
  <c r="E193" i="242"/>
  <c r="G191" i="242"/>
  <c r="K11" i="240"/>
  <c r="K12" i="240" s="1"/>
  <c r="E12" i="240"/>
  <c r="E12" i="248"/>
  <c r="K11" i="248"/>
  <c r="K12" i="248" s="1"/>
  <c r="E17" i="240"/>
  <c r="K16" i="240"/>
  <c r="K17" i="240" s="1"/>
  <c r="E17" i="248"/>
  <c r="K16" i="248"/>
  <c r="K17" i="248" s="1"/>
  <c r="E66" i="248"/>
  <c r="R66" i="248"/>
  <c r="AC56" i="235"/>
  <c r="AB56" i="234"/>
  <c r="T173" i="227"/>
  <c r="AA56" i="234"/>
  <c r="Z56" i="234"/>
  <c r="W173" i="222"/>
  <c r="T173" i="226"/>
  <c r="W56" i="234"/>
  <c r="AA56" i="235"/>
  <c r="H31" i="232"/>
  <c r="T42" i="229"/>
  <c r="Y56" i="235"/>
  <c r="H185" i="229"/>
  <c r="BF187" i="198" s="1"/>
  <c r="X56" i="235"/>
  <c r="T173" i="228"/>
  <c r="AE56" i="235"/>
  <c r="V56" i="235"/>
  <c r="X174" i="217"/>
  <c r="U75" i="248"/>
  <c r="K76" i="248"/>
  <c r="AC138" i="217"/>
  <c r="AH298" i="217"/>
  <c r="X68" i="217"/>
  <c r="AF243" i="217"/>
  <c r="X139" i="217"/>
  <c r="X106" i="217"/>
  <c r="AA141" i="217"/>
  <c r="AE313" i="217"/>
  <c r="AJ33" i="217"/>
  <c r="AJ242" i="217" s="1"/>
  <c r="X103" i="217"/>
  <c r="X104" i="217"/>
  <c r="AC70" i="217"/>
  <c r="Y246" i="217"/>
  <c r="AA176" i="217"/>
  <c r="AG246" i="217"/>
  <c r="AI38" i="217"/>
  <c r="AJ39" i="217"/>
  <c r="AC277" i="217"/>
  <c r="X244" i="217"/>
  <c r="Z313" i="217"/>
  <c r="AG313" i="217"/>
  <c r="AH67" i="217"/>
  <c r="AC105" i="217"/>
  <c r="Y71" i="217"/>
  <c r="AA177" i="217"/>
  <c r="AD72" i="217"/>
  <c r="X247" i="217"/>
  <c r="AH103" i="217"/>
  <c r="AA140" i="217"/>
  <c r="AA247" i="217"/>
  <c r="X246" i="217"/>
  <c r="AA277" i="217"/>
  <c r="AA142" i="217"/>
  <c r="AA313" i="217"/>
  <c r="W173" i="217"/>
  <c r="AH243" i="217"/>
  <c r="AA105" i="217"/>
  <c r="AG140" i="217"/>
  <c r="AC106" i="217"/>
  <c r="AA72" i="217"/>
  <c r="AD142" i="217"/>
  <c r="AH172" i="217"/>
  <c r="AD177" i="217"/>
  <c r="AH138" i="217"/>
  <c r="AA175" i="217"/>
  <c r="AC141" i="217"/>
  <c r="AB72" i="217"/>
  <c r="AH277" i="217"/>
  <c r="Y313" i="217"/>
  <c r="AC140" i="217"/>
  <c r="AI37" i="217"/>
  <c r="AB313" i="217"/>
  <c r="X67" i="217"/>
  <c r="AF137" i="217"/>
  <c r="AC243" i="217"/>
  <c r="AJ34" i="217"/>
  <c r="AK34" i="217" s="1"/>
  <c r="AA245" i="217"/>
  <c r="AC246" i="217"/>
  <c r="AB177" i="217"/>
  <c r="AE177" i="217"/>
  <c r="AE277" i="217"/>
  <c r="AF103" i="217"/>
  <c r="X102" i="217"/>
  <c r="AG172" i="217"/>
  <c r="W68" i="217"/>
  <c r="Z173" i="217"/>
  <c r="AC68" i="217"/>
  <c r="AF138" i="217"/>
  <c r="AH68" i="217"/>
  <c r="AG70" i="217"/>
  <c r="X71" i="217"/>
  <c r="AC176" i="217"/>
  <c r="AF106" i="217"/>
  <c r="W142" i="217"/>
  <c r="AC313" i="217"/>
  <c r="X172" i="217"/>
  <c r="AG242" i="217"/>
  <c r="AD277" i="217"/>
  <c r="W269" i="217"/>
  <c r="W305" i="217"/>
  <c r="D12" i="218"/>
  <c r="F12" i="218" s="1"/>
  <c r="G12" i="218"/>
  <c r="I12" i="218" s="1"/>
  <c r="I14" i="198"/>
  <c r="AM14" i="198"/>
  <c r="AN14" i="198" s="1"/>
  <c r="B12" i="231"/>
  <c r="W244" i="217"/>
  <c r="W69" i="217"/>
  <c r="AI35" i="217"/>
  <c r="AF242" i="217"/>
  <c r="W67" i="217"/>
  <c r="AB172" i="217"/>
  <c r="W102" i="217"/>
  <c r="W242" i="217"/>
  <c r="Z172" i="217"/>
  <c r="AE242" i="217"/>
  <c r="Z102" i="217"/>
  <c r="W137" i="217"/>
  <c r="Z67" i="217"/>
  <c r="AC242" i="217"/>
  <c r="AF172" i="217"/>
  <c r="AI33" i="217"/>
  <c r="Z242" i="217"/>
  <c r="AF67" i="217"/>
  <c r="AI167" i="217"/>
  <c r="AI322" i="217"/>
  <c r="S58" i="248"/>
  <c r="I58" i="248"/>
  <c r="K58" i="248" s="1"/>
  <c r="I46" i="248"/>
  <c r="I52" i="248" s="1"/>
  <c r="K37" i="248"/>
  <c r="K46" i="248" s="1"/>
  <c r="U54" i="248"/>
  <c r="S90" i="248"/>
  <c r="AM17" i="198"/>
  <c r="T173" i="223"/>
  <c r="T42" i="228"/>
  <c r="X159" i="198"/>
  <c r="AI324" i="217"/>
  <c r="AI323" i="217"/>
  <c r="X298" i="217"/>
  <c r="Y298" i="217"/>
  <c r="Z298" i="217"/>
  <c r="AA298" i="217"/>
  <c r="AB298" i="217"/>
  <c r="AC298" i="217"/>
  <c r="AD298" i="217"/>
  <c r="AE298" i="217"/>
  <c r="AF298" i="217"/>
  <c r="AG298" i="217"/>
  <c r="AI236" i="217"/>
  <c r="AI166" i="217"/>
  <c r="AI96" i="217"/>
  <c r="B24" i="232"/>
  <c r="C24" i="232"/>
  <c r="AQ17" i="198"/>
  <c r="AQ177" i="198"/>
  <c r="T43" i="228"/>
  <c r="AE20" i="217"/>
  <c r="AF20" i="217"/>
  <c r="Z22" i="246"/>
  <c r="X29" i="246"/>
  <c r="F17" i="246"/>
  <c r="J17" i="246"/>
  <c r="F5" i="246"/>
  <c r="C6" i="246"/>
  <c r="C7" i="246" s="1"/>
  <c r="I54" i="217"/>
  <c r="I89" i="217"/>
  <c r="I124" i="217"/>
  <c r="I159" i="217"/>
  <c r="I194" i="217"/>
  <c r="I229" i="217"/>
  <c r="AC20" i="217"/>
  <c r="AB20" i="217"/>
  <c r="AA20" i="217"/>
  <c r="AD20" i="217"/>
  <c r="AG20" i="217"/>
  <c r="Z20" i="217"/>
  <c r="AH20" i="217"/>
  <c r="AI52" i="217"/>
  <c r="AI87" i="217"/>
  <c r="L150" i="159"/>
  <c r="L4" i="159"/>
  <c r="L5" i="159" s="1"/>
  <c r="K4" i="159"/>
  <c r="K5" i="159" s="1"/>
  <c r="K150" i="159"/>
  <c r="J150" i="159"/>
  <c r="J4" i="159"/>
  <c r="J5" i="159" s="1"/>
  <c r="H174" i="190"/>
  <c r="U147" i="159"/>
  <c r="AG145" i="159"/>
  <c r="I147" i="159"/>
  <c r="C22" i="230"/>
  <c r="B22" i="230"/>
  <c r="C19" i="230"/>
  <c r="B19" i="230"/>
  <c r="B15" i="230"/>
  <c r="C15" i="230"/>
  <c r="H42" i="220"/>
  <c r="E42" i="219"/>
  <c r="H42" i="219"/>
  <c r="F285" i="217"/>
  <c r="F321" i="217"/>
  <c r="F284" i="217"/>
  <c r="F320" i="217"/>
  <c r="F283" i="217"/>
  <c r="F319" i="217"/>
  <c r="F318" i="217"/>
  <c r="F282" i="217"/>
  <c r="F317" i="217"/>
  <c r="F281" i="217"/>
  <c r="F280" i="217"/>
  <c r="F316" i="217"/>
  <c r="F279" i="217"/>
  <c r="F315" i="217"/>
  <c r="F278" i="217"/>
  <c r="F314" i="217"/>
  <c r="AI237" i="217"/>
  <c r="Z245" i="217"/>
  <c r="Z70" i="217"/>
  <c r="Z105" i="217"/>
  <c r="Z175" i="217"/>
  <c r="Z140" i="217"/>
  <c r="Y140" i="217"/>
  <c r="Y105" i="217"/>
  <c r="Y175" i="217"/>
  <c r="Y245" i="217"/>
  <c r="Y70" i="217"/>
  <c r="W245" i="217"/>
  <c r="W105" i="217"/>
  <c r="W140" i="217"/>
  <c r="AI36" i="217"/>
  <c r="W70" i="217"/>
  <c r="W175" i="217"/>
  <c r="X245" i="217"/>
  <c r="X105" i="217"/>
  <c r="X175" i="217"/>
  <c r="X70" i="217"/>
  <c r="X140" i="217"/>
  <c r="AH69" i="217"/>
  <c r="AH104" i="217"/>
  <c r="AJ35" i="217"/>
  <c r="AJ139" i="217" s="1"/>
  <c r="AH139" i="217"/>
  <c r="AH244" i="217"/>
  <c r="AH174" i="217"/>
  <c r="AB174" i="217"/>
  <c r="AB244" i="217"/>
  <c r="AB104" i="217"/>
  <c r="AB139" i="217"/>
  <c r="AB69" i="217"/>
  <c r="AE139" i="217"/>
  <c r="AE174" i="217"/>
  <c r="AE244" i="217"/>
  <c r="AE104" i="217"/>
  <c r="AE69" i="217"/>
  <c r="AF69" i="217"/>
  <c r="AF139" i="217"/>
  <c r="AF244" i="217"/>
  <c r="AF104" i="217"/>
  <c r="AF174" i="217"/>
  <c r="AD69" i="217"/>
  <c r="AD174" i="217"/>
  <c r="AD104" i="217"/>
  <c r="AD244" i="217"/>
  <c r="AD139" i="217"/>
  <c r="Z244" i="217"/>
  <c r="Z174" i="217"/>
  <c r="Z139" i="217"/>
  <c r="Z104" i="217"/>
  <c r="Z69" i="217"/>
  <c r="AC244" i="217"/>
  <c r="AC174" i="217"/>
  <c r="AC139" i="217"/>
  <c r="AC104" i="217"/>
  <c r="AC69" i="217"/>
  <c r="AA104" i="217"/>
  <c r="AA174" i="217"/>
  <c r="AA139" i="217"/>
  <c r="AA244" i="217"/>
  <c r="AA69" i="217"/>
  <c r="AG139" i="217"/>
  <c r="AG69" i="217"/>
  <c r="AG104" i="217"/>
  <c r="AG244" i="217"/>
  <c r="AG174" i="217"/>
  <c r="Y244" i="217"/>
  <c r="Y69" i="217"/>
  <c r="Y174" i="217"/>
  <c r="Y139" i="217"/>
  <c r="K54" i="240"/>
  <c r="G77" i="240"/>
  <c r="H51" i="236"/>
  <c r="I77" i="240"/>
  <c r="H49" i="230"/>
  <c r="D124" i="243"/>
  <c r="Q49" i="236"/>
  <c r="Z23" i="217"/>
  <c r="AA23" i="217"/>
  <c r="AB23" i="217"/>
  <c r="AC23" i="217"/>
  <c r="AD23" i="217"/>
  <c r="AF23" i="217"/>
  <c r="AG23" i="217"/>
  <c r="AH23" i="217"/>
  <c r="AE23" i="217"/>
  <c r="I127" i="217"/>
  <c r="I92" i="217"/>
  <c r="I57" i="217"/>
  <c r="I162" i="217"/>
  <c r="I197" i="217"/>
  <c r="I232" i="217"/>
  <c r="Z30" i="217"/>
  <c r="AA30" i="217"/>
  <c r="AB30" i="217"/>
  <c r="AC30" i="217"/>
  <c r="AD30" i="217"/>
  <c r="AE30" i="217"/>
  <c r="AF30" i="217"/>
  <c r="AG30" i="217"/>
  <c r="AH30" i="217"/>
  <c r="I99" i="217"/>
  <c r="I134" i="217"/>
  <c r="I169" i="217"/>
  <c r="I64" i="217"/>
  <c r="I204" i="217"/>
  <c r="I239" i="217"/>
  <c r="AH29" i="217"/>
  <c r="AU29" i="217" s="1"/>
  <c r="AE29" i="217"/>
  <c r="AG29" i="217"/>
  <c r="AC29" i="217"/>
  <c r="I63" i="217"/>
  <c r="Z29" i="217"/>
  <c r="AF29" i="217"/>
  <c r="AB29" i="217"/>
  <c r="AD29" i="217"/>
  <c r="AA29" i="217"/>
  <c r="I98" i="217"/>
  <c r="I133" i="217"/>
  <c r="I168" i="217"/>
  <c r="I203" i="217"/>
  <c r="I238" i="217"/>
  <c r="AI131" i="217"/>
  <c r="AI122" i="217"/>
  <c r="AI97" i="217"/>
  <c r="AI227" i="217"/>
  <c r="AE312" i="217"/>
  <c r="AD312" i="217"/>
  <c r="W276" i="217"/>
  <c r="AI135" i="217"/>
  <c r="AI170" i="217"/>
  <c r="AI100" i="217"/>
  <c r="AE308" i="217"/>
  <c r="X313" i="217"/>
  <c r="AI132" i="217"/>
  <c r="AI240" i="217"/>
  <c r="AE272" i="217"/>
  <c r="AE276" i="217"/>
  <c r="Y278" i="217"/>
  <c r="Y314" i="217"/>
  <c r="AH276" i="217"/>
  <c r="AH312" i="217"/>
  <c r="AG276" i="217"/>
  <c r="AG312" i="217"/>
  <c r="AF312" i="217"/>
  <c r="AF276" i="217"/>
  <c r="AC276" i="217"/>
  <c r="AC312" i="217"/>
  <c r="AB312" i="217"/>
  <c r="AB276" i="217"/>
  <c r="AA312" i="217"/>
  <c r="AA276" i="217"/>
  <c r="Z312" i="217"/>
  <c r="Z276" i="217"/>
  <c r="Y276" i="217"/>
  <c r="Y312" i="217"/>
  <c r="X312" i="217"/>
  <c r="X276" i="217"/>
  <c r="AH273" i="217"/>
  <c r="AH309" i="217"/>
  <c r="AG309" i="217"/>
  <c r="AG273" i="217"/>
  <c r="AF309" i="217"/>
  <c r="AF273" i="217"/>
  <c r="AC273" i="217"/>
  <c r="AC309" i="217"/>
  <c r="AB309" i="217"/>
  <c r="AB273" i="217"/>
  <c r="AA273" i="217"/>
  <c r="AA309" i="217"/>
  <c r="Z309" i="217"/>
  <c r="Z273" i="217"/>
  <c r="Y273" i="217"/>
  <c r="Y309" i="217"/>
  <c r="X273" i="217"/>
  <c r="X309" i="217"/>
  <c r="AI62" i="217"/>
  <c r="W273" i="217"/>
  <c r="W309" i="217"/>
  <c r="AH308" i="217"/>
  <c r="AH272" i="217"/>
  <c r="AF272" i="217"/>
  <c r="AF308" i="217"/>
  <c r="AD272" i="217"/>
  <c r="AD308" i="217"/>
  <c r="AC308" i="217"/>
  <c r="AC272" i="217"/>
  <c r="AB272" i="217"/>
  <c r="AB308" i="217"/>
  <c r="AA272" i="217"/>
  <c r="AA308" i="217"/>
  <c r="Y272" i="217"/>
  <c r="Y308" i="217"/>
  <c r="X272" i="217"/>
  <c r="X308" i="217"/>
  <c r="AI61" i="217"/>
  <c r="W308" i="217"/>
  <c r="W272" i="217"/>
  <c r="AH307" i="217"/>
  <c r="AH271" i="217"/>
  <c r="W307" i="217"/>
  <c r="W271" i="217"/>
  <c r="AI60" i="217"/>
  <c r="V31" i="204"/>
  <c r="V23" i="204" s="1"/>
  <c r="K31" i="204"/>
  <c r="AH33" i="198" s="1"/>
  <c r="U31" i="204"/>
  <c r="U23" i="204" s="1"/>
  <c r="Q23" i="204"/>
  <c r="L31" i="204"/>
  <c r="L23" i="204" s="1"/>
  <c r="M31" i="204"/>
  <c r="M23" i="204" s="1"/>
  <c r="AI136" i="217"/>
  <c r="W277" i="217"/>
  <c r="AJ135" i="217"/>
  <c r="AJ100" i="217"/>
  <c r="AJ240" i="217"/>
  <c r="AK31" i="217"/>
  <c r="AJ65" i="217"/>
  <c r="AJ170" i="217"/>
  <c r="AJ132" i="217"/>
  <c r="AJ167" i="217"/>
  <c r="AK28" i="217"/>
  <c r="AJ62" i="217"/>
  <c r="AJ237" i="217"/>
  <c r="AJ97" i="217"/>
  <c r="AJ61" i="217"/>
  <c r="AK27" i="217"/>
  <c r="AJ131" i="217"/>
  <c r="AJ236" i="217"/>
  <c r="AJ166" i="217"/>
  <c r="AJ96" i="217"/>
  <c r="AJ60" i="217"/>
  <c r="AK26" i="217"/>
  <c r="AI206" i="217"/>
  <c r="AI205" i="217"/>
  <c r="AD276" i="217"/>
  <c r="AI65" i="217"/>
  <c r="W312" i="217"/>
  <c r="AE273" i="217"/>
  <c r="AE309" i="217"/>
  <c r="AD309" i="217"/>
  <c r="AD273" i="217"/>
  <c r="AG308" i="217"/>
  <c r="AG272" i="217"/>
  <c r="Z272" i="217"/>
  <c r="Z308" i="217"/>
  <c r="AD129" i="217"/>
  <c r="AD234" i="217"/>
  <c r="AD59" i="217"/>
  <c r="AD94" i="217"/>
  <c r="AC94" i="217"/>
  <c r="AC129" i="217"/>
  <c r="AC59" i="217"/>
  <c r="AC234" i="217"/>
  <c r="AB94" i="217"/>
  <c r="AB234" i="217"/>
  <c r="AB59" i="217"/>
  <c r="AB129" i="217"/>
  <c r="AF94" i="217"/>
  <c r="AF129" i="217"/>
  <c r="AF234" i="217"/>
  <c r="AF59" i="217"/>
  <c r="AG59" i="217"/>
  <c r="AG94" i="217"/>
  <c r="AG234" i="217"/>
  <c r="AG129" i="217"/>
  <c r="AE59" i="217"/>
  <c r="AE94" i="217"/>
  <c r="AE129" i="217"/>
  <c r="AE234" i="217"/>
  <c r="AI25" i="217"/>
  <c r="W59" i="217"/>
  <c r="W94" i="217"/>
  <c r="W129" i="217"/>
  <c r="W234" i="217"/>
  <c r="X59" i="217"/>
  <c r="X129" i="217"/>
  <c r="X234" i="217"/>
  <c r="X94" i="217"/>
  <c r="Y94" i="217"/>
  <c r="Y234" i="217"/>
  <c r="Y129" i="217"/>
  <c r="Y59" i="217"/>
  <c r="Z59" i="217"/>
  <c r="Z94" i="217"/>
  <c r="Z129" i="217"/>
  <c r="Z234" i="217"/>
  <c r="AA59" i="217"/>
  <c r="AA129" i="217"/>
  <c r="AA234" i="217"/>
  <c r="AA94" i="217"/>
  <c r="AH94" i="217"/>
  <c r="AH59" i="217"/>
  <c r="AH129" i="217"/>
  <c r="AH234" i="217"/>
  <c r="X92" i="217"/>
  <c r="X57" i="217"/>
  <c r="X162" i="217"/>
  <c r="W162" i="217"/>
  <c r="W232" i="217"/>
  <c r="W127" i="217"/>
  <c r="W57" i="217"/>
  <c r="W92" i="217"/>
  <c r="AI21" i="217"/>
  <c r="W160" i="217"/>
  <c r="W125" i="217"/>
  <c r="W230" i="217"/>
  <c r="W55" i="217"/>
  <c r="W90" i="217"/>
  <c r="AE160" i="217"/>
  <c r="AE230" i="217"/>
  <c r="AE125" i="217"/>
  <c r="AE55" i="217"/>
  <c r="AE90" i="217"/>
  <c r="AJ21" i="217"/>
  <c r="AH230" i="217"/>
  <c r="AH125" i="217"/>
  <c r="AH160" i="217"/>
  <c r="AH55" i="217"/>
  <c r="AH90" i="217"/>
  <c r="AG160" i="217"/>
  <c r="AG230" i="217"/>
  <c r="AG55" i="217"/>
  <c r="AG90" i="217"/>
  <c r="AG125" i="217"/>
  <c r="AF55" i="217"/>
  <c r="AF90" i="217"/>
  <c r="AF125" i="217"/>
  <c r="AF230" i="217"/>
  <c r="AF160" i="217"/>
  <c r="X55" i="217"/>
  <c r="X90" i="217"/>
  <c r="X125" i="217"/>
  <c r="X160" i="217"/>
  <c r="X230" i="217"/>
  <c r="AD55" i="217"/>
  <c r="AD90" i="217"/>
  <c r="AD160" i="217"/>
  <c r="AD230" i="217"/>
  <c r="AD125" i="217"/>
  <c r="AC125" i="217"/>
  <c r="AC230" i="217"/>
  <c r="AC90" i="217"/>
  <c r="AC55" i="217"/>
  <c r="AC160" i="217"/>
  <c r="AB160" i="217"/>
  <c r="AB230" i="217"/>
  <c r="AB55" i="217"/>
  <c r="AB90" i="217"/>
  <c r="AB125" i="217"/>
  <c r="AA55" i="217"/>
  <c r="AA90" i="217"/>
  <c r="AA125" i="217"/>
  <c r="AA230" i="217"/>
  <c r="AA160" i="217"/>
  <c r="Z125" i="217"/>
  <c r="Z160" i="217"/>
  <c r="Z55" i="217"/>
  <c r="Z90" i="217"/>
  <c r="Z230" i="217"/>
  <c r="Y125" i="217"/>
  <c r="Y160" i="217"/>
  <c r="Y230" i="217"/>
  <c r="Y55" i="217"/>
  <c r="Y90" i="217"/>
  <c r="X54" i="217"/>
  <c r="X89" i="217"/>
  <c r="X124" i="217"/>
  <c r="X229" i="217"/>
  <c r="X159" i="217"/>
  <c r="W159" i="217"/>
  <c r="W124" i="217"/>
  <c r="W229" i="217"/>
  <c r="W54" i="217"/>
  <c r="W89" i="217"/>
  <c r="AJ19" i="217"/>
  <c r="AH158" i="217"/>
  <c r="AH88" i="217"/>
  <c r="AH53" i="217"/>
  <c r="AH123" i="217"/>
  <c r="AH228" i="217"/>
  <c r="AI19" i="217"/>
  <c r="AG123" i="217"/>
  <c r="AG53" i="217"/>
  <c r="AG158" i="217"/>
  <c r="AG228" i="217"/>
  <c r="AG88" i="217"/>
  <c r="AL17" i="217"/>
  <c r="AK298" i="217"/>
  <c r="AI199" i="217"/>
  <c r="AI193" i="217"/>
  <c r="AI195" i="217"/>
  <c r="AE300" i="217"/>
  <c r="AE264" i="217"/>
  <c r="AC264" i="217"/>
  <c r="AC300" i="217"/>
  <c r="AB300" i="217"/>
  <c r="AB264" i="217"/>
  <c r="W300" i="217"/>
  <c r="W264" i="217"/>
  <c r="AA300" i="217"/>
  <c r="AA264" i="217"/>
  <c r="Z300" i="217"/>
  <c r="Z264" i="217"/>
  <c r="Y300" i="217"/>
  <c r="Y264" i="217"/>
  <c r="AF300" i="217"/>
  <c r="AF264" i="217"/>
  <c r="AD264" i="217"/>
  <c r="AD300" i="217"/>
  <c r="X264" i="217"/>
  <c r="X300" i="217"/>
  <c r="AG263" i="217"/>
  <c r="AG299" i="217"/>
  <c r="Y263" i="217"/>
  <c r="Y299" i="217"/>
  <c r="AA299" i="217"/>
  <c r="AA263" i="217"/>
  <c r="AH299" i="217"/>
  <c r="AH263" i="217"/>
  <c r="AD299" i="217"/>
  <c r="AD263" i="217"/>
  <c r="AB263" i="217"/>
  <c r="AB299" i="217"/>
  <c r="Z263" i="217"/>
  <c r="Z299" i="217"/>
  <c r="X263" i="217"/>
  <c r="X299" i="217"/>
  <c r="AC299" i="217"/>
  <c r="AC263" i="217"/>
  <c r="AF263" i="217"/>
  <c r="AF299" i="217"/>
  <c r="AE299" i="217"/>
  <c r="AE263" i="217"/>
  <c r="AI192" i="217"/>
  <c r="AJ192" i="217"/>
  <c r="W263" i="217"/>
  <c r="W299" i="217"/>
  <c r="AJ22" i="217"/>
  <c r="AH56" i="217"/>
  <c r="AH91" i="217"/>
  <c r="AH161" i="217"/>
  <c r="AH126" i="217"/>
  <c r="AH231" i="217"/>
  <c r="AG126" i="217"/>
  <c r="AG231" i="217"/>
  <c r="AG56" i="217"/>
  <c r="AG91" i="217"/>
  <c r="AG161" i="217"/>
  <c r="AF91" i="217"/>
  <c r="AF126" i="217"/>
  <c r="AF161" i="217"/>
  <c r="AF231" i="217"/>
  <c r="AF56" i="217"/>
  <c r="AE56" i="217"/>
  <c r="AE91" i="217"/>
  <c r="AE161" i="217"/>
  <c r="AE126" i="217"/>
  <c r="AE231" i="217"/>
  <c r="AD126" i="217"/>
  <c r="AD231" i="217"/>
  <c r="AD56" i="217"/>
  <c r="AD91" i="217"/>
  <c r="AD161" i="217"/>
  <c r="AC56" i="217"/>
  <c r="AC161" i="217"/>
  <c r="AC91" i="217"/>
  <c r="AC126" i="217"/>
  <c r="AC231" i="217"/>
  <c r="AB91" i="217"/>
  <c r="AB231" i="217"/>
  <c r="AB161" i="217"/>
  <c r="AB56" i="217"/>
  <c r="AB126" i="217"/>
  <c r="AA126" i="217"/>
  <c r="AA91" i="217"/>
  <c r="AA56" i="217"/>
  <c r="AA161" i="217"/>
  <c r="AA231" i="217"/>
  <c r="Z126" i="217"/>
  <c r="Z56" i="217"/>
  <c r="Z231" i="217"/>
  <c r="Z91" i="217"/>
  <c r="Z161" i="217"/>
  <c r="Y56" i="217"/>
  <c r="Y161" i="217"/>
  <c r="Y231" i="217"/>
  <c r="Y91" i="217"/>
  <c r="Y126" i="217"/>
  <c r="X56" i="217"/>
  <c r="X91" i="217"/>
  <c r="X126" i="217"/>
  <c r="X161" i="217"/>
  <c r="X231" i="217"/>
  <c r="AI22" i="217"/>
  <c r="W126" i="217"/>
  <c r="W231" i="217"/>
  <c r="W56" i="217"/>
  <c r="W91" i="217"/>
  <c r="W161" i="217"/>
  <c r="I303" i="217"/>
  <c r="I267" i="217"/>
  <c r="AF196" i="217"/>
  <c r="X196" i="217"/>
  <c r="AA196" i="217"/>
  <c r="AH196" i="217"/>
  <c r="W196" i="217"/>
  <c r="Y196" i="217"/>
  <c r="Z196" i="217"/>
  <c r="AB196" i="217"/>
  <c r="AC196" i="217"/>
  <c r="AD196" i="217"/>
  <c r="AE196" i="217"/>
  <c r="AG196" i="217"/>
  <c r="AJ32" i="217"/>
  <c r="AH313" i="217"/>
  <c r="AI32" i="217"/>
  <c r="W46" i="217"/>
  <c r="W313" i="217"/>
  <c r="S24" i="204"/>
  <c r="S31" i="204"/>
  <c r="O31" i="204"/>
  <c r="O23" i="204" s="1"/>
  <c r="P31" i="204"/>
  <c r="P23" i="204" s="1"/>
  <c r="R31" i="204"/>
  <c r="R23" i="204" s="1"/>
  <c r="T24" i="204"/>
  <c r="T23" i="204" s="1"/>
  <c r="N24" i="204"/>
  <c r="N23" i="204" s="1"/>
  <c r="K24" i="204"/>
  <c r="G24" i="204" s="1"/>
  <c r="I24" i="204" s="1"/>
  <c r="W26" i="218"/>
  <c r="X46" i="217"/>
  <c r="X58" i="217"/>
  <c r="X128" i="217"/>
  <c r="X233" i="217"/>
  <c r="X93" i="217"/>
  <c r="W31" i="218"/>
  <c r="G31" i="218"/>
  <c r="I31" i="218" s="1"/>
  <c r="D31" i="218"/>
  <c r="F31" i="218" s="1"/>
  <c r="AB206" i="198"/>
  <c r="AW177" i="198"/>
  <c r="H206" i="198"/>
  <c r="T173" i="225"/>
  <c r="AG177" i="198"/>
  <c r="I206" i="198"/>
  <c r="H177" i="198"/>
  <c r="C177" i="198"/>
  <c r="S177" i="198"/>
  <c r="BB177" i="198"/>
  <c r="AH206" i="198"/>
  <c r="H189" i="198"/>
  <c r="AM177" i="198"/>
  <c r="BA206" i="198"/>
  <c r="W173" i="221"/>
  <c r="T153" i="225"/>
  <c r="T43" i="229"/>
  <c r="H207" i="218"/>
  <c r="E207" i="218"/>
  <c r="AG190" i="198"/>
  <c r="C189" i="198"/>
  <c r="AG206" i="198"/>
  <c r="M17" i="198"/>
  <c r="M177" i="198"/>
  <c r="M26" i="198"/>
  <c r="BB17" i="198"/>
  <c r="BC17" i="198" s="1"/>
  <c r="T153" i="226"/>
  <c r="I185" i="226"/>
  <c r="I201" i="226" s="1"/>
  <c r="I207" i="226" s="1"/>
  <c r="F12" i="230"/>
  <c r="Q15" i="230"/>
  <c r="Q22" i="230"/>
  <c r="H201" i="223"/>
  <c r="T185" i="223"/>
  <c r="T201" i="223" s="1"/>
  <c r="T207" i="223" s="1"/>
  <c r="F185" i="223"/>
  <c r="H185" i="225"/>
  <c r="F42" i="225"/>
  <c r="T42" i="225"/>
  <c r="N207" i="198"/>
  <c r="AR201" i="198"/>
  <c r="N200" i="198"/>
  <c r="N193" i="198"/>
  <c r="N181" i="198"/>
  <c r="AR169" i="198"/>
  <c r="N168" i="198"/>
  <c r="AR162" i="198"/>
  <c r="N161" i="198"/>
  <c r="N147" i="198"/>
  <c r="AR184" i="198"/>
  <c r="AR181" i="198"/>
  <c r="AR152" i="198"/>
  <c r="AR80" i="198"/>
  <c r="AR161" i="198"/>
  <c r="AR159" i="198"/>
  <c r="AR168" i="198"/>
  <c r="AR157" i="198"/>
  <c r="AR143" i="198"/>
  <c r="N143" i="198"/>
  <c r="N131" i="198"/>
  <c r="AR172" i="198"/>
  <c r="N172" i="198"/>
  <c r="AR146" i="198"/>
  <c r="N142" i="198"/>
  <c r="AR136" i="198"/>
  <c r="AR199" i="198"/>
  <c r="N171" i="198"/>
  <c r="AR170" i="198"/>
  <c r="AR121" i="198"/>
  <c r="N113" i="198"/>
  <c r="AR106" i="198"/>
  <c r="N106" i="198"/>
  <c r="AR102" i="198"/>
  <c r="AR171" i="198"/>
  <c r="N151" i="198"/>
  <c r="N205" i="198"/>
  <c r="AR196" i="198"/>
  <c r="N195" i="198"/>
  <c r="N190" i="198"/>
  <c r="AR183" i="198"/>
  <c r="N178" i="198"/>
  <c r="N165" i="198"/>
  <c r="AR151" i="198"/>
  <c r="N141" i="198"/>
  <c r="N117" i="198"/>
  <c r="N110" i="198"/>
  <c r="N80" i="198"/>
  <c r="AR197" i="198"/>
  <c r="N160" i="198"/>
  <c r="N122" i="198"/>
  <c r="N118" i="198"/>
  <c r="N196" i="198"/>
  <c r="N183" i="198"/>
  <c r="AR140" i="198"/>
  <c r="N135" i="198"/>
  <c r="N120" i="198"/>
  <c r="AR119" i="198"/>
  <c r="AR112" i="198"/>
  <c r="N112" i="198"/>
  <c r="N84" i="198"/>
  <c r="AR74" i="198"/>
  <c r="AR66" i="198"/>
  <c r="AR39" i="198"/>
  <c r="N38" i="198"/>
  <c r="AR185" i="198"/>
  <c r="N166" i="198"/>
  <c r="N139" i="198"/>
  <c r="N127" i="198"/>
  <c r="AR123" i="198"/>
  <c r="N121" i="198"/>
  <c r="AR120" i="198"/>
  <c r="N115" i="198"/>
  <c r="AR113" i="198"/>
  <c r="AR84" i="198"/>
  <c r="N55" i="198"/>
  <c r="AR49" i="198"/>
  <c r="AR30" i="198"/>
  <c r="N29" i="198"/>
  <c r="AR24" i="198"/>
  <c r="AR21" i="198"/>
  <c r="N20" i="198"/>
  <c r="N192" i="198"/>
  <c r="AR178" i="198"/>
  <c r="N137" i="198"/>
  <c r="N129" i="198"/>
  <c r="N116" i="198"/>
  <c r="N68" i="198"/>
  <c r="N51" i="198"/>
  <c r="AR36" i="198"/>
  <c r="N191" i="198"/>
  <c r="AR115" i="198"/>
  <c r="N74" i="198"/>
  <c r="N66" i="198"/>
  <c r="N49" i="198"/>
  <c r="AR27" i="198"/>
  <c r="N24" i="198"/>
  <c r="AR18" i="198"/>
  <c r="N179" i="198"/>
  <c r="AR164" i="198"/>
  <c r="N163" i="198"/>
  <c r="N145" i="198"/>
  <c r="AR135" i="198"/>
  <c r="AR133" i="198"/>
  <c r="AR131" i="198"/>
  <c r="N185" i="198"/>
  <c r="N169" i="198"/>
  <c r="AR160" i="198"/>
  <c r="N130" i="198"/>
  <c r="AR207" i="198"/>
  <c r="AR200" i="198"/>
  <c r="N146" i="198"/>
  <c r="N140" i="198"/>
  <c r="N138" i="198"/>
  <c r="N81" i="198"/>
  <c r="N78" i="198"/>
  <c r="N73" i="198"/>
  <c r="N198" i="198"/>
  <c r="N136" i="198"/>
  <c r="N133" i="198"/>
  <c r="N111" i="198"/>
  <c r="N69" i="198"/>
  <c r="N33" i="198"/>
  <c r="N32" i="198"/>
  <c r="AR31" i="198"/>
  <c r="AR206" i="198"/>
  <c r="N201" i="198"/>
  <c r="N164" i="198"/>
  <c r="AR145" i="198"/>
  <c r="AR138" i="198"/>
  <c r="AR130" i="198"/>
  <c r="AR111" i="198"/>
  <c r="AR98" i="198"/>
  <c r="N71" i="198"/>
  <c r="AR51" i="198"/>
  <c r="AR43" i="198"/>
  <c r="N36" i="198"/>
  <c r="AR28" i="198"/>
  <c r="N19" i="198"/>
  <c r="AR180" i="198"/>
  <c r="AR139" i="198"/>
  <c r="AR132" i="198"/>
  <c r="N102" i="198"/>
  <c r="N75" i="198"/>
  <c r="AR67" i="198"/>
  <c r="AR192" i="198"/>
  <c r="AR73" i="198"/>
  <c r="AR33" i="198"/>
  <c r="N27" i="198"/>
  <c r="N199" i="198"/>
  <c r="AR190" i="198"/>
  <c r="AR165" i="198"/>
  <c r="N132" i="198"/>
  <c r="AR116" i="198"/>
  <c r="AR55" i="198"/>
  <c r="N52" i="198"/>
  <c r="N50" i="198"/>
  <c r="N34" i="198"/>
  <c r="N28" i="198"/>
  <c r="AR195" i="198"/>
  <c r="AR147" i="198"/>
  <c r="AR141" i="198"/>
  <c r="AR118" i="198"/>
  <c r="AR78" i="198"/>
  <c r="N31" i="198"/>
  <c r="AR163" i="198"/>
  <c r="AR34" i="198"/>
  <c r="N30" i="198"/>
  <c r="AR142" i="198"/>
  <c r="N119" i="198"/>
  <c r="AR81" i="198"/>
  <c r="AR50" i="198"/>
  <c r="N39" i="198"/>
  <c r="N197" i="198"/>
  <c r="N184" i="198"/>
  <c r="AR166" i="198"/>
  <c r="N159" i="198"/>
  <c r="N123" i="198"/>
  <c r="AR16" i="198"/>
  <c r="AR129" i="198"/>
  <c r="AR110" i="198"/>
  <c r="N180" i="198"/>
  <c r="AR134" i="198"/>
  <c r="N21" i="198"/>
  <c r="AR20" i="198"/>
  <c r="AR179" i="198"/>
  <c r="AR137" i="198"/>
  <c r="AR38" i="198"/>
  <c r="N16" i="198"/>
  <c r="N157" i="198"/>
  <c r="AR52" i="198"/>
  <c r="AR117" i="198"/>
  <c r="AR71" i="198"/>
  <c r="N67" i="198"/>
  <c r="AR65" i="198"/>
  <c r="N43" i="198"/>
  <c r="AR68" i="198"/>
  <c r="AR32" i="198"/>
  <c r="AR205" i="198"/>
  <c r="AR177" i="198"/>
  <c r="AR127" i="198"/>
  <c r="AR114" i="198"/>
  <c r="AR69" i="198"/>
  <c r="N65" i="198"/>
  <c r="AR19" i="198"/>
  <c r="AR198" i="198"/>
  <c r="AR191" i="198"/>
  <c r="N162" i="198"/>
  <c r="AR193" i="198"/>
  <c r="N98" i="198"/>
  <c r="N18" i="198"/>
  <c r="N170" i="198"/>
  <c r="AR75" i="198"/>
  <c r="AR17" i="198"/>
  <c r="AR122" i="198"/>
  <c r="N114" i="198"/>
  <c r="AR29" i="198"/>
  <c r="AR176" i="198"/>
  <c r="N152" i="198"/>
  <c r="W190" i="198"/>
  <c r="W176" i="198"/>
  <c r="W206" i="198"/>
  <c r="X189" i="198"/>
  <c r="S189" i="198"/>
  <c r="AL26" i="198"/>
  <c r="BA16" i="198"/>
  <c r="W17" i="198"/>
  <c r="I185" i="225"/>
  <c r="I201" i="225" s="1"/>
  <c r="I207" i="225" s="1"/>
  <c r="W42" i="222"/>
  <c r="D42" i="222"/>
  <c r="G42" i="222"/>
  <c r="T43" i="227"/>
  <c r="AV198" i="198"/>
  <c r="R197" i="198"/>
  <c r="AV191" i="198"/>
  <c r="R185" i="198"/>
  <c r="AV179" i="198"/>
  <c r="R178" i="198"/>
  <c r="AV173" i="198"/>
  <c r="R172" i="198"/>
  <c r="AV166" i="198"/>
  <c r="R165" i="198"/>
  <c r="R158" i="198"/>
  <c r="AV152" i="198"/>
  <c r="R151" i="198"/>
  <c r="AV145" i="198"/>
  <c r="R144" i="198"/>
  <c r="R184" i="198"/>
  <c r="R167" i="198"/>
  <c r="AV161" i="198"/>
  <c r="AV150" i="198"/>
  <c r="R111" i="198"/>
  <c r="AV97" i="198"/>
  <c r="AV89" i="198"/>
  <c r="R88" i="198"/>
  <c r="R83" i="198"/>
  <c r="AV77" i="198"/>
  <c r="R76" i="198"/>
  <c r="R200" i="198"/>
  <c r="AV197" i="198"/>
  <c r="AV194" i="198"/>
  <c r="AV183" i="198"/>
  <c r="AV180" i="198"/>
  <c r="AV178" i="198"/>
  <c r="R163" i="198"/>
  <c r="AV157" i="198"/>
  <c r="AV162" i="198"/>
  <c r="R162" i="198"/>
  <c r="AV147" i="198"/>
  <c r="AV139" i="198"/>
  <c r="AV187" i="198"/>
  <c r="R136" i="198"/>
  <c r="AV130" i="198"/>
  <c r="AV207" i="198"/>
  <c r="R205" i="198"/>
  <c r="AV185" i="198"/>
  <c r="AV171" i="198"/>
  <c r="AV108" i="198"/>
  <c r="R104" i="198"/>
  <c r="R102" i="198"/>
  <c r="R87" i="198"/>
  <c r="R84" i="198"/>
  <c r="AV80" i="198"/>
  <c r="AV196" i="198"/>
  <c r="R187" i="198"/>
  <c r="R174" i="198"/>
  <c r="R173" i="198"/>
  <c r="R152" i="198"/>
  <c r="AV151" i="198"/>
  <c r="R141" i="198"/>
  <c r="R117" i="198"/>
  <c r="AV114" i="198"/>
  <c r="R180" i="198"/>
  <c r="AV174" i="198"/>
  <c r="R166" i="198"/>
  <c r="AV164" i="198"/>
  <c r="AV163" i="198"/>
  <c r="AV142" i="198"/>
  <c r="AV141" i="198"/>
  <c r="R139" i="198"/>
  <c r="AV138" i="198"/>
  <c r="AV135" i="198"/>
  <c r="R135" i="198"/>
  <c r="R134" i="198"/>
  <c r="AV124" i="198"/>
  <c r="R116" i="198"/>
  <c r="R114" i="198"/>
  <c r="AV105" i="198"/>
  <c r="AV103" i="198"/>
  <c r="R99" i="198"/>
  <c r="R97" i="198"/>
  <c r="AV88" i="198"/>
  <c r="AV86" i="198"/>
  <c r="R201" i="198"/>
  <c r="R196" i="198"/>
  <c r="AV192" i="198"/>
  <c r="AV181" i="198"/>
  <c r="R170" i="198"/>
  <c r="R169" i="198"/>
  <c r="R161" i="198"/>
  <c r="R149" i="198"/>
  <c r="R115" i="198"/>
  <c r="R207" i="198"/>
  <c r="R195" i="198"/>
  <c r="AV172" i="198"/>
  <c r="R153" i="198"/>
  <c r="AV144" i="198"/>
  <c r="R129" i="198"/>
  <c r="R127" i="198"/>
  <c r="R124" i="198"/>
  <c r="R121" i="198"/>
  <c r="AV113" i="198"/>
  <c r="R108" i="198"/>
  <c r="AV93" i="198"/>
  <c r="R93" i="198"/>
  <c r="R86" i="198"/>
  <c r="R85" i="198"/>
  <c r="AV84" i="198"/>
  <c r="AV70" i="198"/>
  <c r="R68" i="198"/>
  <c r="AV62" i="198"/>
  <c r="R51" i="198"/>
  <c r="AV36" i="198"/>
  <c r="R35" i="198"/>
  <c r="AV24" i="198"/>
  <c r="R193" i="198"/>
  <c r="R192" i="198"/>
  <c r="R171" i="198"/>
  <c r="AV167" i="198"/>
  <c r="AV154" i="198"/>
  <c r="R137" i="198"/>
  <c r="AV115" i="198"/>
  <c r="R106" i="198"/>
  <c r="AV92" i="198"/>
  <c r="AV85" i="198"/>
  <c r="AV83" i="198"/>
  <c r="R79" i="198"/>
  <c r="AV76" i="198"/>
  <c r="R74" i="198"/>
  <c r="R66" i="198"/>
  <c r="R64" i="198"/>
  <c r="AV60" i="198"/>
  <c r="AV58" i="198"/>
  <c r="AV27" i="198"/>
  <c r="R24" i="198"/>
  <c r="AV18" i="198"/>
  <c r="R191" i="198"/>
  <c r="R155" i="198"/>
  <c r="R150" i="198"/>
  <c r="AV146" i="198"/>
  <c r="R145" i="198"/>
  <c r="R143" i="198"/>
  <c r="AV121" i="198"/>
  <c r="AV107" i="198"/>
  <c r="AV98" i="198"/>
  <c r="R92" i="198"/>
  <c r="R91" i="198"/>
  <c r="R72" i="198"/>
  <c r="R70" i="198"/>
  <c r="R49" i="198"/>
  <c r="AV40" i="198"/>
  <c r="R39" i="198"/>
  <c r="R182" i="198"/>
  <c r="R179" i="198"/>
  <c r="R160" i="198"/>
  <c r="AV133" i="198"/>
  <c r="AV131" i="198"/>
  <c r="R107" i="198"/>
  <c r="AV106" i="198"/>
  <c r="R98" i="198"/>
  <c r="AV90" i="198"/>
  <c r="R90" i="198"/>
  <c r="R62" i="198"/>
  <c r="R60" i="198"/>
  <c r="AV56" i="198"/>
  <c r="AV54" i="198"/>
  <c r="AV43" i="198"/>
  <c r="AV31" i="198"/>
  <c r="R30" i="198"/>
  <c r="R21" i="198"/>
  <c r="AV201" i="198"/>
  <c r="AV199" i="198"/>
  <c r="AV184" i="198"/>
  <c r="AV169" i="198"/>
  <c r="R168" i="198"/>
  <c r="AV129" i="198"/>
  <c r="R125" i="198"/>
  <c r="R122" i="198"/>
  <c r="R105" i="198"/>
  <c r="AV158" i="198"/>
  <c r="R142" i="198"/>
  <c r="R120" i="198"/>
  <c r="AV110" i="198"/>
  <c r="AV96" i="198"/>
  <c r="R94" i="198"/>
  <c r="R81" i="198"/>
  <c r="R73" i="198"/>
  <c r="R56" i="198"/>
  <c r="R48" i="198"/>
  <c r="AV44" i="198"/>
  <c r="AV41" i="198"/>
  <c r="R198" i="198"/>
  <c r="R159" i="198"/>
  <c r="R147" i="198"/>
  <c r="R133" i="198"/>
  <c r="R128" i="198"/>
  <c r="R109" i="198"/>
  <c r="AV73" i="198"/>
  <c r="AV55" i="198"/>
  <c r="R199" i="198"/>
  <c r="AV195" i="198"/>
  <c r="AV182" i="198"/>
  <c r="R157" i="198"/>
  <c r="AV155" i="198"/>
  <c r="AV122" i="198"/>
  <c r="R119" i="198"/>
  <c r="AV101" i="198"/>
  <c r="AV81" i="198"/>
  <c r="AV78" i="198"/>
  <c r="AV68" i="198"/>
  <c r="R58" i="198"/>
  <c r="R57" i="198"/>
  <c r="R50" i="198"/>
  <c r="AV32" i="198"/>
  <c r="R25" i="198"/>
  <c r="R183" i="198"/>
  <c r="AV137" i="198"/>
  <c r="AV136" i="198"/>
  <c r="AV134" i="198"/>
  <c r="AV125" i="198"/>
  <c r="AV119" i="198"/>
  <c r="AV102" i="198"/>
  <c r="R101" i="198"/>
  <c r="R80" i="198"/>
  <c r="R67" i="198"/>
  <c r="R53" i="198"/>
  <c r="R40" i="198"/>
  <c r="AV37" i="198"/>
  <c r="R37" i="198"/>
  <c r="R27" i="198"/>
  <c r="R16" i="198"/>
  <c r="AV149" i="198"/>
  <c r="AV128" i="198"/>
  <c r="R78" i="198"/>
  <c r="R63" i="198"/>
  <c r="AV61" i="198"/>
  <c r="AV53" i="198"/>
  <c r="AV33" i="198"/>
  <c r="R194" i="198"/>
  <c r="AV116" i="198"/>
  <c r="R110" i="198"/>
  <c r="R95" i="198"/>
  <c r="R89" i="198"/>
  <c r="AV87" i="198"/>
  <c r="R54" i="198"/>
  <c r="R52" i="198"/>
  <c r="AV51" i="198"/>
  <c r="R46" i="198"/>
  <c r="R44" i="198"/>
  <c r="R41" i="198"/>
  <c r="R38" i="198"/>
  <c r="R34" i="198"/>
  <c r="AV26" i="198"/>
  <c r="AV170" i="198"/>
  <c r="R146" i="198"/>
  <c r="R123" i="198"/>
  <c r="AV117" i="198"/>
  <c r="R112" i="198"/>
  <c r="R100" i="198"/>
  <c r="AV75" i="198"/>
  <c r="AV69" i="198"/>
  <c r="R65" i="198"/>
  <c r="AV38" i="198"/>
  <c r="AV28" i="198"/>
  <c r="AV126" i="198"/>
  <c r="AV72" i="198"/>
  <c r="R59" i="198"/>
  <c r="AV57" i="198"/>
  <c r="AV50" i="198"/>
  <c r="AV46" i="198"/>
  <c r="AV35" i="198"/>
  <c r="AV120" i="198"/>
  <c r="AV112" i="198"/>
  <c r="AV79" i="198"/>
  <c r="R61" i="198"/>
  <c r="R18" i="198"/>
  <c r="AV140" i="198"/>
  <c r="AV109" i="198"/>
  <c r="R103" i="198"/>
  <c r="AV82" i="198"/>
  <c r="R55" i="198"/>
  <c r="R32" i="198"/>
  <c r="R140" i="198"/>
  <c r="R96" i="198"/>
  <c r="R77" i="198"/>
  <c r="R131" i="198"/>
  <c r="AV91" i="198"/>
  <c r="AV49" i="198"/>
  <c r="AV48" i="198"/>
  <c r="AV30" i="198"/>
  <c r="R29" i="198"/>
  <c r="R138" i="198"/>
  <c r="AV132" i="198"/>
  <c r="AV127" i="198"/>
  <c r="R113" i="198"/>
  <c r="AV65" i="198"/>
  <c r="R42" i="198"/>
  <c r="R19" i="198"/>
  <c r="AV143" i="198"/>
  <c r="AV193" i="198"/>
  <c r="R181" i="198"/>
  <c r="AV104" i="198"/>
  <c r="AV94" i="198"/>
  <c r="AV52" i="198"/>
  <c r="R36" i="198"/>
  <c r="AV21" i="198"/>
  <c r="AV189" i="198"/>
  <c r="AV111" i="198"/>
  <c r="AV71" i="198"/>
  <c r="AV59" i="198"/>
  <c r="R43" i="198"/>
  <c r="R126" i="198"/>
  <c r="AV99" i="198"/>
  <c r="R31" i="198"/>
  <c r="AV165" i="198"/>
  <c r="R71" i="198"/>
  <c r="AV63" i="198"/>
  <c r="AV20" i="198"/>
  <c r="AV168" i="198"/>
  <c r="AV153" i="198"/>
  <c r="AV123" i="198"/>
  <c r="AV74" i="198"/>
  <c r="R132" i="198"/>
  <c r="AV42" i="198"/>
  <c r="AV17" i="198"/>
  <c r="AV95" i="198"/>
  <c r="AV66" i="198"/>
  <c r="AV19" i="198"/>
  <c r="AV16" i="198"/>
  <c r="R130" i="198"/>
  <c r="AV34" i="198"/>
  <c r="AV118" i="198"/>
  <c r="AV29" i="198"/>
  <c r="AV100" i="198"/>
  <c r="AV39" i="198"/>
  <c r="R33" i="198"/>
  <c r="AV148" i="198"/>
  <c r="R75" i="198"/>
  <c r="AV67" i="198"/>
  <c r="R20" i="198"/>
  <c r="R69" i="198"/>
  <c r="AV200" i="198"/>
  <c r="AV190" i="198"/>
  <c r="R164" i="198"/>
  <c r="R82" i="198"/>
  <c r="AV64" i="198"/>
  <c r="R28" i="198"/>
  <c r="R118" i="198"/>
  <c r="AV160" i="198"/>
  <c r="R154" i="198"/>
  <c r="R148" i="198"/>
  <c r="AV25" i="198"/>
  <c r="AB190" i="198"/>
  <c r="AW176" i="198"/>
  <c r="I189" i="198"/>
  <c r="AH189" i="198"/>
  <c r="R26" i="198"/>
  <c r="R177" i="198"/>
  <c r="B17" i="230"/>
  <c r="C17" i="230"/>
  <c r="Q17" i="230"/>
  <c r="F153" i="227"/>
  <c r="T153" i="227"/>
  <c r="BF196" i="198"/>
  <c r="BF184" i="198"/>
  <c r="BF171" i="198"/>
  <c r="BF164" i="198"/>
  <c r="BF157" i="198"/>
  <c r="BF150" i="198"/>
  <c r="BF143" i="198"/>
  <c r="BF199" i="198"/>
  <c r="BF153" i="198"/>
  <c r="BF110" i="198"/>
  <c r="BF101" i="198"/>
  <c r="BF87" i="198"/>
  <c r="BF82" i="198"/>
  <c r="BF75" i="198"/>
  <c r="BF182" i="198"/>
  <c r="BF179" i="198"/>
  <c r="BF160" i="198"/>
  <c r="BF149" i="198"/>
  <c r="BF147" i="198"/>
  <c r="BF207" i="198"/>
  <c r="BF205" i="198"/>
  <c r="BF166" i="198"/>
  <c r="BF145" i="198"/>
  <c r="BF138" i="198"/>
  <c r="BF201" i="198"/>
  <c r="BF200" i="198"/>
  <c r="BF197" i="198"/>
  <c r="BF193" i="198"/>
  <c r="BF192" i="198"/>
  <c r="BF180" i="198"/>
  <c r="BF170" i="198"/>
  <c r="BF195" i="198"/>
  <c r="BF194" i="198"/>
  <c r="BF191" i="198"/>
  <c r="BF183" i="198"/>
  <c r="BF178" i="198"/>
  <c r="BF174" i="198"/>
  <c r="BF152" i="198"/>
  <c r="BF141" i="198"/>
  <c r="BF137" i="198"/>
  <c r="BF134" i="198"/>
  <c r="BF120" i="198"/>
  <c r="BF118" i="198"/>
  <c r="BF116" i="198"/>
  <c r="BF94" i="198"/>
  <c r="BF83" i="198"/>
  <c r="BF198" i="198"/>
  <c r="BF144" i="198"/>
  <c r="BF132" i="198"/>
  <c r="BF131" i="198"/>
  <c r="BF158" i="198"/>
  <c r="BF129" i="198"/>
  <c r="BF123" i="198"/>
  <c r="BF113" i="198"/>
  <c r="BF111" i="198"/>
  <c r="BF89" i="198"/>
  <c r="BF185" i="198"/>
  <c r="BF162" i="198"/>
  <c r="BF133" i="198"/>
  <c r="BF97" i="198"/>
  <c r="BF73" i="198"/>
  <c r="BF65" i="198"/>
  <c r="BF34" i="198"/>
  <c r="BF161" i="198"/>
  <c r="BF151" i="198"/>
  <c r="BF148" i="198"/>
  <c r="BF135" i="198"/>
  <c r="BF104" i="198"/>
  <c r="BF71" i="198"/>
  <c r="BF69" i="198"/>
  <c r="BF63" i="198"/>
  <c r="BF48" i="198"/>
  <c r="BF46" i="198"/>
  <c r="BF41" i="198"/>
  <c r="BF25" i="198"/>
  <c r="BF127" i="198"/>
  <c r="BF81" i="198"/>
  <c r="BF61" i="198"/>
  <c r="BF59" i="198"/>
  <c r="BF38" i="198"/>
  <c r="BF139" i="198"/>
  <c r="BF125" i="198"/>
  <c r="BF96" i="198"/>
  <c r="BF95" i="198"/>
  <c r="BF57" i="198"/>
  <c r="BF29" i="198"/>
  <c r="BF20" i="198"/>
  <c r="BF155" i="198"/>
  <c r="BF154" i="198"/>
  <c r="BF117" i="198"/>
  <c r="BF85" i="198"/>
  <c r="BF49" i="198"/>
  <c r="BF165" i="198"/>
  <c r="BF121" i="198"/>
  <c r="BF109" i="198"/>
  <c r="BF78" i="198"/>
  <c r="BF168" i="198"/>
  <c r="BF112" i="198"/>
  <c r="BF92" i="198"/>
  <c r="BF90" i="198"/>
  <c r="BF64" i="198"/>
  <c r="BF58" i="198"/>
  <c r="BF50" i="198"/>
  <c r="BF124" i="198"/>
  <c r="BF105" i="198"/>
  <c r="BF91" i="198"/>
  <c r="BF77" i="198"/>
  <c r="BF67" i="198"/>
  <c r="BF55" i="198"/>
  <c r="BF33" i="198"/>
  <c r="BF79" i="198"/>
  <c r="BF66" i="198"/>
  <c r="BF42" i="198"/>
  <c r="BF28" i="198"/>
  <c r="BF140" i="198"/>
  <c r="BF136" i="198"/>
  <c r="BF102" i="198"/>
  <c r="BF86" i="198"/>
  <c r="BF44" i="198"/>
  <c r="BF35" i="198"/>
  <c r="BF181" i="198"/>
  <c r="BF159" i="198"/>
  <c r="BF130" i="198"/>
  <c r="BF126" i="198"/>
  <c r="BF119" i="198"/>
  <c r="BF52" i="198"/>
  <c r="BF31" i="198"/>
  <c r="BF21" i="198"/>
  <c r="BF16" i="198"/>
  <c r="BF167" i="198"/>
  <c r="BF100" i="198"/>
  <c r="BF68" i="198"/>
  <c r="BF24" i="198"/>
  <c r="BF142" i="198"/>
  <c r="BF43" i="198"/>
  <c r="BF36" i="198"/>
  <c r="BF30" i="198"/>
  <c r="BF18" i="198"/>
  <c r="BF99" i="198"/>
  <c r="BF27" i="198"/>
  <c r="BF173" i="198"/>
  <c r="BF114" i="198"/>
  <c r="BF106" i="198"/>
  <c r="BF84" i="198"/>
  <c r="BF60" i="198"/>
  <c r="BF47" i="198"/>
  <c r="BF39" i="198"/>
  <c r="BF32" i="198"/>
  <c r="BF62" i="198"/>
  <c r="BF56" i="198"/>
  <c r="BF54" i="198"/>
  <c r="BF53" i="198"/>
  <c r="BF169" i="198"/>
  <c r="BF172" i="198"/>
  <c r="BF108" i="198"/>
  <c r="BF51" i="198"/>
  <c r="BF128" i="198"/>
  <c r="BF115" i="198"/>
  <c r="BF74" i="198"/>
  <c r="BF37" i="198"/>
  <c r="BF72" i="198"/>
  <c r="BF17" i="198"/>
  <c r="BF88" i="198"/>
  <c r="BF19" i="198"/>
  <c r="BF122" i="198"/>
  <c r="BF93" i="198"/>
  <c r="BF146" i="198"/>
  <c r="BF107" i="198"/>
  <c r="BF26" i="198"/>
  <c r="BF70" i="198"/>
  <c r="BF103" i="198"/>
  <c r="BF80" i="198"/>
  <c r="BF98" i="198"/>
  <c r="BF40" i="198"/>
  <c r="BF76" i="198"/>
  <c r="BF163" i="198"/>
  <c r="AV176" i="198"/>
  <c r="R176" i="198"/>
  <c r="X206" i="198"/>
  <c r="BB189" i="198"/>
  <c r="BF189" i="198"/>
  <c r="C47" i="198"/>
  <c r="W177" i="198"/>
  <c r="D17" i="198"/>
  <c r="T185" i="227"/>
  <c r="T201" i="227" s="1"/>
  <c r="T207" i="227" s="1"/>
  <c r="H201" i="227"/>
  <c r="F185" i="227"/>
  <c r="C54" i="230"/>
  <c r="Q54" i="230"/>
  <c r="B54" i="230"/>
  <c r="W173" i="204"/>
  <c r="AL207" i="198"/>
  <c r="AL200" i="198"/>
  <c r="H199" i="198"/>
  <c r="AL193" i="198"/>
  <c r="H192" i="198"/>
  <c r="AL181" i="198"/>
  <c r="H180" i="198"/>
  <c r="H174" i="198"/>
  <c r="AL168" i="198"/>
  <c r="H167" i="198"/>
  <c r="AL161" i="198"/>
  <c r="H160" i="198"/>
  <c r="AL154" i="198"/>
  <c r="H153" i="198"/>
  <c r="AL147" i="198"/>
  <c r="H146" i="198"/>
  <c r="H182" i="198"/>
  <c r="AL173" i="198"/>
  <c r="H164" i="198"/>
  <c r="AL158" i="198"/>
  <c r="AL145" i="198"/>
  <c r="AL107" i="198"/>
  <c r="AL99" i="198"/>
  <c r="H98" i="198"/>
  <c r="H90" i="198"/>
  <c r="AL79" i="198"/>
  <c r="H78" i="198"/>
  <c r="H179" i="198"/>
  <c r="AL171" i="198"/>
  <c r="AL169" i="198"/>
  <c r="H149" i="198"/>
  <c r="H147" i="198"/>
  <c r="AL143" i="198"/>
  <c r="AL127" i="198"/>
  <c r="H196" i="198"/>
  <c r="AL195" i="198"/>
  <c r="AL194" i="198"/>
  <c r="H194" i="198"/>
  <c r="H193" i="198"/>
  <c r="AL192" i="198"/>
  <c r="AL191" i="198"/>
  <c r="H191" i="198"/>
  <c r="AL174" i="198"/>
  <c r="H155" i="198"/>
  <c r="AL149" i="198"/>
  <c r="H144" i="198"/>
  <c r="H173" i="198"/>
  <c r="H163" i="198"/>
  <c r="H137" i="198"/>
  <c r="H134" i="198"/>
  <c r="AL197" i="198"/>
  <c r="H185" i="198"/>
  <c r="H169" i="198"/>
  <c r="AL155" i="198"/>
  <c r="H148" i="198"/>
  <c r="AL129" i="198"/>
  <c r="AL128" i="198"/>
  <c r="AL126" i="198"/>
  <c r="AL123" i="198"/>
  <c r="H122" i="198"/>
  <c r="H120" i="198"/>
  <c r="H118" i="198"/>
  <c r="AL115" i="198"/>
  <c r="H111" i="198"/>
  <c r="AL98" i="198"/>
  <c r="H94" i="198"/>
  <c r="H83" i="198"/>
  <c r="H171" i="198"/>
  <c r="AL160" i="198"/>
  <c r="AL199" i="198"/>
  <c r="AL185" i="198"/>
  <c r="H183" i="198"/>
  <c r="AL182" i="198"/>
  <c r="H172" i="198"/>
  <c r="AL170" i="198"/>
  <c r="AL121" i="198"/>
  <c r="AL119" i="198"/>
  <c r="H113" i="198"/>
  <c r="H106" i="198"/>
  <c r="AL95" i="198"/>
  <c r="H89" i="198"/>
  <c r="H207" i="198"/>
  <c r="H181" i="198"/>
  <c r="AL166" i="198"/>
  <c r="H158" i="198"/>
  <c r="AL157" i="198"/>
  <c r="AL144" i="198"/>
  <c r="AL132" i="198"/>
  <c r="AL131" i="198"/>
  <c r="AL130" i="198"/>
  <c r="H130" i="198"/>
  <c r="H127" i="198"/>
  <c r="AL120" i="198"/>
  <c r="H112" i="198"/>
  <c r="H198" i="198"/>
  <c r="AL190" i="198"/>
  <c r="AL165" i="198"/>
  <c r="H151" i="198"/>
  <c r="AL134" i="198"/>
  <c r="H123" i="198"/>
  <c r="H119" i="198"/>
  <c r="AL110" i="198"/>
  <c r="H103" i="198"/>
  <c r="H101" i="198"/>
  <c r="AL88" i="198"/>
  <c r="AL80" i="198"/>
  <c r="AL77" i="198"/>
  <c r="H73" i="198"/>
  <c r="H65" i="198"/>
  <c r="AL59" i="198"/>
  <c r="AL57" i="198"/>
  <c r="H48" i="198"/>
  <c r="AL38" i="198"/>
  <c r="H37" i="198"/>
  <c r="H197" i="198"/>
  <c r="AL162" i="198"/>
  <c r="H161" i="198"/>
  <c r="AL142" i="198"/>
  <c r="AL118" i="198"/>
  <c r="AL111" i="198"/>
  <c r="AL102" i="198"/>
  <c r="H102" i="198"/>
  <c r="AL101" i="198"/>
  <c r="AL94" i="198"/>
  <c r="H88" i="198"/>
  <c r="H80" i="198"/>
  <c r="H71" i="198"/>
  <c r="H63" i="198"/>
  <c r="H46" i="198"/>
  <c r="AL44" i="198"/>
  <c r="AL32" i="198"/>
  <c r="AL29" i="198"/>
  <c r="H28" i="198"/>
  <c r="AL20" i="198"/>
  <c r="H19" i="198"/>
  <c r="H205" i="198"/>
  <c r="H195" i="198"/>
  <c r="AL172" i="198"/>
  <c r="AL140" i="198"/>
  <c r="AL138" i="198"/>
  <c r="AL136" i="198"/>
  <c r="H133" i="198"/>
  <c r="H131" i="198"/>
  <c r="AL114" i="198"/>
  <c r="H114" i="198"/>
  <c r="AL109" i="198"/>
  <c r="H109" i="198"/>
  <c r="AL100" i="198"/>
  <c r="H100" i="198"/>
  <c r="H87" i="198"/>
  <c r="H77" i="198"/>
  <c r="H61" i="198"/>
  <c r="H59" i="198"/>
  <c r="AL55" i="198"/>
  <c r="AL53" i="198"/>
  <c r="H41" i="198"/>
  <c r="AL35" i="198"/>
  <c r="AL167" i="198"/>
  <c r="AL159" i="198"/>
  <c r="H129" i="198"/>
  <c r="H121" i="198"/>
  <c r="H115" i="198"/>
  <c r="AL113" i="198"/>
  <c r="AL87" i="198"/>
  <c r="H84" i="198"/>
  <c r="AL68" i="198"/>
  <c r="H57" i="198"/>
  <c r="AL51" i="198"/>
  <c r="H32" i="198"/>
  <c r="H25" i="198"/>
  <c r="AL178" i="198"/>
  <c r="H143" i="198"/>
  <c r="H141" i="198"/>
  <c r="H139" i="198"/>
  <c r="H135" i="198"/>
  <c r="H124" i="198"/>
  <c r="AL112" i="198"/>
  <c r="AL108" i="198"/>
  <c r="H184" i="198"/>
  <c r="AL137" i="198"/>
  <c r="AL124" i="198"/>
  <c r="AL93" i="198"/>
  <c r="H85" i="198"/>
  <c r="AL76" i="198"/>
  <c r="AL65" i="198"/>
  <c r="AL60" i="198"/>
  <c r="AL52" i="198"/>
  <c r="H43" i="198"/>
  <c r="AL180" i="198"/>
  <c r="AL150" i="198"/>
  <c r="AL71" i="198"/>
  <c r="H55" i="198"/>
  <c r="AL179" i="198"/>
  <c r="H145" i="198"/>
  <c r="AL89" i="198"/>
  <c r="AL72" i="198"/>
  <c r="H67" i="198"/>
  <c r="AL54" i="198"/>
  <c r="AL40" i="198"/>
  <c r="H40" i="198"/>
  <c r="AL39" i="198"/>
  <c r="H39" i="198"/>
  <c r="AL37" i="198"/>
  <c r="H27" i="198"/>
  <c r="H154" i="198"/>
  <c r="AL141" i="198"/>
  <c r="AL133" i="198"/>
  <c r="H105" i="198"/>
  <c r="AL70" i="198"/>
  <c r="H20" i="198"/>
  <c r="AL205" i="198"/>
  <c r="AL152" i="198"/>
  <c r="AL146" i="198"/>
  <c r="AL135" i="198"/>
  <c r="AL81" i="198"/>
  <c r="H79" i="198"/>
  <c r="H58" i="198"/>
  <c r="H201" i="198"/>
  <c r="AL183" i="198"/>
  <c r="H157" i="198"/>
  <c r="AL104" i="198"/>
  <c r="H96" i="198"/>
  <c r="H69" i="198"/>
  <c r="AL67" i="198"/>
  <c r="H66" i="198"/>
  <c r="H168" i="198"/>
  <c r="AL103" i="198"/>
  <c r="H82" i="198"/>
  <c r="H75" i="198"/>
  <c r="AL64" i="198"/>
  <c r="AL61" i="198"/>
  <c r="H60" i="198"/>
  <c r="AL49" i="198"/>
  <c r="H38" i="198"/>
  <c r="H33" i="198"/>
  <c r="AL25" i="198"/>
  <c r="AL117" i="198"/>
  <c r="H107" i="198"/>
  <c r="H104" i="198"/>
  <c r="H95" i="198"/>
  <c r="AL92" i="198"/>
  <c r="AL91" i="198"/>
  <c r="AL84" i="198"/>
  <c r="AL83" i="198"/>
  <c r="H81" i="198"/>
  <c r="AL66" i="198"/>
  <c r="H62" i="198"/>
  <c r="H29" i="198"/>
  <c r="AL27" i="198"/>
  <c r="H152" i="198"/>
  <c r="H150" i="198"/>
  <c r="AL78" i="198"/>
  <c r="H49" i="198"/>
  <c r="AL163" i="198"/>
  <c r="AL97" i="198"/>
  <c r="H93" i="198"/>
  <c r="H68" i="198"/>
  <c r="H56" i="198"/>
  <c r="H47" i="198"/>
  <c r="H36" i="198"/>
  <c r="AL34" i="198"/>
  <c r="AL19" i="198"/>
  <c r="AL206" i="198"/>
  <c r="AL201" i="198"/>
  <c r="H170" i="198"/>
  <c r="AL153" i="198"/>
  <c r="AL151" i="198"/>
  <c r="H142" i="198"/>
  <c r="AL116" i="198"/>
  <c r="AL105" i="198"/>
  <c r="H76" i="198"/>
  <c r="H74" i="198"/>
  <c r="H72" i="198"/>
  <c r="H70" i="198"/>
  <c r="AL41" i="198"/>
  <c r="AL28" i="198"/>
  <c r="H24" i="198"/>
  <c r="H140" i="198"/>
  <c r="H108" i="198"/>
  <c r="AL90" i="198"/>
  <c r="H86" i="198"/>
  <c r="AL82" i="198"/>
  <c r="H53" i="198"/>
  <c r="AL43" i="198"/>
  <c r="AL42" i="198"/>
  <c r="AL176" i="198"/>
  <c r="H159" i="198"/>
  <c r="AL164" i="198"/>
  <c r="AL198" i="198"/>
  <c r="H162" i="198"/>
  <c r="AL148" i="198"/>
  <c r="AL86" i="198"/>
  <c r="AL73" i="198"/>
  <c r="AL69" i="198"/>
  <c r="AL63" i="198"/>
  <c r="H50" i="198"/>
  <c r="H31" i="198"/>
  <c r="AL184" i="198"/>
  <c r="H136" i="198"/>
  <c r="AL31" i="198"/>
  <c r="H18" i="198"/>
  <c r="AL196" i="198"/>
  <c r="AL189" i="198"/>
  <c r="H166" i="198"/>
  <c r="H64" i="198"/>
  <c r="H51" i="198"/>
  <c r="H35" i="198"/>
  <c r="H126" i="198"/>
  <c r="H178" i="198"/>
  <c r="AL74" i="198"/>
  <c r="AL56" i="198"/>
  <c r="H52" i="198"/>
  <c r="AL33" i="198"/>
  <c r="H128" i="198"/>
  <c r="AL62" i="198"/>
  <c r="H30" i="198"/>
  <c r="H125" i="198"/>
  <c r="H97" i="198"/>
  <c r="H44" i="198"/>
  <c r="H138" i="198"/>
  <c r="H92" i="198"/>
  <c r="AL46" i="198"/>
  <c r="AL21" i="198"/>
  <c r="H165" i="198"/>
  <c r="AL125" i="198"/>
  <c r="H117" i="198"/>
  <c r="AL106" i="198"/>
  <c r="H99" i="198"/>
  <c r="AL50" i="198"/>
  <c r="AL47" i="198"/>
  <c r="H26" i="198"/>
  <c r="AL85" i="198"/>
  <c r="H34" i="198"/>
  <c r="H132" i="198"/>
  <c r="AL18" i="198"/>
  <c r="AL16" i="198"/>
  <c r="AL75" i="198"/>
  <c r="AL30" i="198"/>
  <c r="H110" i="198"/>
  <c r="AL122" i="198"/>
  <c r="H116" i="198"/>
  <c r="AL58" i="198"/>
  <c r="H42" i="198"/>
  <c r="H200" i="198"/>
  <c r="AL139" i="198"/>
  <c r="H91" i="198"/>
  <c r="AL48" i="198"/>
  <c r="AL36" i="198"/>
  <c r="H21" i="198"/>
  <c r="H16" i="198"/>
  <c r="AL96" i="198"/>
  <c r="H54" i="198"/>
  <c r="AL24" i="198"/>
  <c r="H176" i="198"/>
  <c r="AV159" i="198"/>
  <c r="AR189" i="198"/>
  <c r="AM189" i="198"/>
  <c r="AQ26" i="198"/>
  <c r="C17" i="198"/>
  <c r="AL17" i="198"/>
  <c r="T43" i="226"/>
  <c r="AC205" i="198"/>
  <c r="BG199" i="198"/>
  <c r="AC198" i="198"/>
  <c r="BG192" i="198"/>
  <c r="AC191" i="198"/>
  <c r="BG180" i="198"/>
  <c r="AC199" i="198"/>
  <c r="BG193" i="198"/>
  <c r="BG185" i="198"/>
  <c r="AC170" i="198"/>
  <c r="AC168" i="198"/>
  <c r="BG164" i="198"/>
  <c r="BG162" i="198"/>
  <c r="BG151" i="198"/>
  <c r="AC142" i="198"/>
  <c r="BG136" i="198"/>
  <c r="AC135" i="198"/>
  <c r="BG129" i="198"/>
  <c r="AC126" i="198"/>
  <c r="BG118" i="198"/>
  <c r="AC117" i="198"/>
  <c r="AC115" i="198"/>
  <c r="AC101" i="198"/>
  <c r="AC92" i="198"/>
  <c r="AC196" i="198"/>
  <c r="AC193" i="198"/>
  <c r="AC185" i="198"/>
  <c r="AC164" i="198"/>
  <c r="BG158" i="198"/>
  <c r="BG145" i="198"/>
  <c r="BG140" i="198"/>
  <c r="AC139" i="198"/>
  <c r="BG133" i="198"/>
  <c r="AC132" i="198"/>
  <c r="BG124" i="198"/>
  <c r="AC123" i="198"/>
  <c r="AC207" i="198"/>
  <c r="BG201" i="198"/>
  <c r="AC201" i="198"/>
  <c r="BG200" i="198"/>
  <c r="AC200" i="198"/>
  <c r="AC145" i="198"/>
  <c r="AC141" i="198"/>
  <c r="BG135" i="198"/>
  <c r="BG198" i="198"/>
  <c r="AC192" i="198"/>
  <c r="BG196" i="198"/>
  <c r="BG195" i="198"/>
  <c r="BG191" i="198"/>
  <c r="BG183" i="198"/>
  <c r="BG149" i="198"/>
  <c r="AC149" i="198"/>
  <c r="AC180" i="198"/>
  <c r="BG179" i="198"/>
  <c r="BG165" i="198"/>
  <c r="BG142" i="198"/>
  <c r="BG139" i="198"/>
  <c r="BG138" i="198"/>
  <c r="AC133" i="198"/>
  <c r="BG109" i="198"/>
  <c r="BG107" i="198"/>
  <c r="AC105" i="198"/>
  <c r="BG92" i="198"/>
  <c r="AC88" i="198"/>
  <c r="BG81" i="198"/>
  <c r="AC197" i="198"/>
  <c r="AC158" i="198"/>
  <c r="BG153" i="198"/>
  <c r="AC146" i="198"/>
  <c r="BG130" i="198"/>
  <c r="AC130" i="198"/>
  <c r="AC129" i="198"/>
  <c r="AC127" i="198"/>
  <c r="AC120" i="198"/>
  <c r="AC118" i="198"/>
  <c r="BG115" i="198"/>
  <c r="AC160" i="198"/>
  <c r="BG159" i="198"/>
  <c r="BG146" i="198"/>
  <c r="BG126" i="198"/>
  <c r="AC122" i="198"/>
  <c r="AC100" i="198"/>
  <c r="AC98" i="198"/>
  <c r="AC77" i="198"/>
  <c r="BG72" i="198"/>
  <c r="AC71" i="198"/>
  <c r="BG66" i="198"/>
  <c r="AC65" i="198"/>
  <c r="BG52" i="198"/>
  <c r="AC51" i="198"/>
  <c r="AC44" i="198"/>
  <c r="BG41" i="198"/>
  <c r="AC183" i="198"/>
  <c r="BG172" i="198"/>
  <c r="AC163" i="198"/>
  <c r="BG112" i="198"/>
  <c r="BG184" i="198"/>
  <c r="AC179" i="198"/>
  <c r="BG161" i="198"/>
  <c r="BG148" i="198"/>
  <c r="AC125" i="198"/>
  <c r="BG104" i="198"/>
  <c r="AC104" i="198"/>
  <c r="AC97" i="198"/>
  <c r="AC96" i="198"/>
  <c r="BG75" i="198"/>
  <c r="BG71" i="198"/>
  <c r="BG69" i="198"/>
  <c r="AC52" i="198"/>
  <c r="AC31" i="198"/>
  <c r="BG25" i="198"/>
  <c r="AC16" i="198"/>
  <c r="AC190" i="198"/>
  <c r="AC147" i="198"/>
  <c r="BG127" i="198"/>
  <c r="BG89" i="198"/>
  <c r="AC89" i="198"/>
  <c r="AC75" i="198"/>
  <c r="AC69" i="198"/>
  <c r="AC67" i="198"/>
  <c r="AC50" i="198"/>
  <c r="AC42" i="198"/>
  <c r="BG38" i="198"/>
  <c r="AC37" i="198"/>
  <c r="AC176" i="198"/>
  <c r="BG141" i="198"/>
  <c r="BG137" i="198"/>
  <c r="BG125" i="198"/>
  <c r="BG116" i="198"/>
  <c r="BG96" i="198"/>
  <c r="BG95" i="198"/>
  <c r="AC81" i="198"/>
  <c r="AC73" i="198"/>
  <c r="BG197" i="198"/>
  <c r="BG171" i="198"/>
  <c r="BG166" i="198"/>
  <c r="AC165" i="198"/>
  <c r="AC152" i="198"/>
  <c r="BG143" i="198"/>
  <c r="AC134" i="198"/>
  <c r="BG103" i="198"/>
  <c r="AC103" i="198"/>
  <c r="AC95" i="198"/>
  <c r="BG77" i="198"/>
  <c r="BG44" i="198"/>
  <c r="BG42" i="198"/>
  <c r="AC41" i="198"/>
  <c r="BG35" i="198"/>
  <c r="AC34" i="198"/>
  <c r="AC181" i="198"/>
  <c r="BG168" i="198"/>
  <c r="AC162" i="198"/>
  <c r="AC157" i="198"/>
  <c r="AC140" i="198"/>
  <c r="AC136" i="198"/>
  <c r="BG122" i="198"/>
  <c r="BG117" i="198"/>
  <c r="AC111" i="198"/>
  <c r="AC110" i="198"/>
  <c r="BG207" i="198"/>
  <c r="BG163" i="198"/>
  <c r="AC159" i="198"/>
  <c r="AC148" i="198"/>
  <c r="AC84" i="198"/>
  <c r="BG74" i="198"/>
  <c r="BG97" i="198"/>
  <c r="BG90" i="198"/>
  <c r="AC79" i="198"/>
  <c r="AC70" i="198"/>
  <c r="BG64" i="198"/>
  <c r="AC161" i="198"/>
  <c r="AC137" i="198"/>
  <c r="AC124" i="198"/>
  <c r="BG120" i="198"/>
  <c r="BG70" i="198"/>
  <c r="BG51" i="198"/>
  <c r="BG178" i="198"/>
  <c r="AC166" i="198"/>
  <c r="BG150" i="198"/>
  <c r="BG123" i="198"/>
  <c r="AC109" i="198"/>
  <c r="BG68" i="198"/>
  <c r="AC33" i="198"/>
  <c r="BG32" i="198"/>
  <c r="BG31" i="198"/>
  <c r="AC114" i="198"/>
  <c r="AC112" i="198"/>
  <c r="AC108" i="198"/>
  <c r="BG102" i="198"/>
  <c r="AC30" i="198"/>
  <c r="BG29" i="198"/>
  <c r="BG170" i="198"/>
  <c r="BG147" i="198"/>
  <c r="AC106" i="198"/>
  <c r="BG84" i="198"/>
  <c r="AC68" i="198"/>
  <c r="AC39" i="198"/>
  <c r="BG30" i="198"/>
  <c r="AC24" i="198"/>
  <c r="AC107" i="198"/>
  <c r="AC99" i="198"/>
  <c r="AC94" i="198"/>
  <c r="BG83" i="198"/>
  <c r="AC80" i="198"/>
  <c r="AC43" i="198"/>
  <c r="BG39" i="198"/>
  <c r="AC32" i="198"/>
  <c r="BG20" i="198"/>
  <c r="BG18" i="198"/>
  <c r="AC18" i="198"/>
  <c r="AC184" i="198"/>
  <c r="AC153" i="198"/>
  <c r="AC116" i="198"/>
  <c r="BG111" i="198"/>
  <c r="BG110" i="198"/>
  <c r="BG65" i="198"/>
  <c r="AC64" i="198"/>
  <c r="AC119" i="198"/>
  <c r="BG113" i="198"/>
  <c r="AC72" i="198"/>
  <c r="BG50" i="198"/>
  <c r="BG40" i="198"/>
  <c r="BG157" i="198"/>
  <c r="BG98" i="198"/>
  <c r="BG49" i="198"/>
  <c r="AC29" i="198"/>
  <c r="AC26" i="198"/>
  <c r="BG176" i="198"/>
  <c r="BG134" i="198"/>
  <c r="BG114" i="198"/>
  <c r="BG106" i="198"/>
  <c r="BG100" i="198"/>
  <c r="BG24" i="198"/>
  <c r="AC151" i="198"/>
  <c r="BG132" i="198"/>
  <c r="AC113" i="198"/>
  <c r="BG205" i="198"/>
  <c r="BG169" i="198"/>
  <c r="BG160" i="198"/>
  <c r="BG101" i="198"/>
  <c r="BG67" i="198"/>
  <c r="BG26" i="198"/>
  <c r="AC25" i="198"/>
  <c r="BG21" i="198"/>
  <c r="BG88" i="198"/>
  <c r="BG80" i="198"/>
  <c r="BG37" i="198"/>
  <c r="BG34" i="198"/>
  <c r="AC27" i="198"/>
  <c r="BG181" i="198"/>
  <c r="BG121" i="198"/>
  <c r="AC121" i="198"/>
  <c r="BG99" i="198"/>
  <c r="AC83" i="198"/>
  <c r="AC36" i="198"/>
  <c r="AC178" i="198"/>
  <c r="AC171" i="198"/>
  <c r="BG79" i="198"/>
  <c r="AC49" i="198"/>
  <c r="BG33" i="198"/>
  <c r="BG19" i="198"/>
  <c r="AC138" i="198"/>
  <c r="AC90" i="198"/>
  <c r="BG28" i="198"/>
  <c r="BG16" i="198"/>
  <c r="AC150" i="198"/>
  <c r="AC143" i="198"/>
  <c r="AC66" i="198"/>
  <c r="AC38" i="198"/>
  <c r="AC28" i="198"/>
  <c r="AC21" i="198"/>
  <c r="BG108" i="198"/>
  <c r="AC74" i="198"/>
  <c r="AC195" i="198"/>
  <c r="BG94" i="198"/>
  <c r="BG152" i="198"/>
  <c r="AC102" i="198"/>
  <c r="AC20" i="198"/>
  <c r="AC19" i="198"/>
  <c r="BG78" i="198"/>
  <c r="AC172" i="198"/>
  <c r="BG131" i="198"/>
  <c r="BG43" i="198"/>
  <c r="BG36" i="198"/>
  <c r="AC169" i="198"/>
  <c r="BG73" i="198"/>
  <c r="AC131" i="198"/>
  <c r="BG119" i="198"/>
  <c r="AC78" i="198"/>
  <c r="AC40" i="198"/>
  <c r="AC35" i="198"/>
  <c r="BG27" i="198"/>
  <c r="BG105" i="198"/>
  <c r="C206" i="198"/>
  <c r="AW189" i="198"/>
  <c r="B20" i="230"/>
  <c r="C20" i="230"/>
  <c r="Q20" i="230"/>
  <c r="T153" i="229"/>
  <c r="H185" i="226"/>
  <c r="F42" i="226"/>
  <c r="T42" i="226"/>
  <c r="B44" i="230"/>
  <c r="C44" i="230"/>
  <c r="BA205" i="198"/>
  <c r="BA198" i="198"/>
  <c r="W197" i="198"/>
  <c r="BA191" i="198"/>
  <c r="W185" i="198"/>
  <c r="AB195" i="198"/>
  <c r="AB183" i="198"/>
  <c r="AB170" i="198"/>
  <c r="AB163" i="198"/>
  <c r="AB149" i="198"/>
  <c r="W200" i="198"/>
  <c r="BA194" i="198"/>
  <c r="W191" i="198"/>
  <c r="BA183" i="198"/>
  <c r="BA172" i="198"/>
  <c r="AB172" i="198"/>
  <c r="W161" i="198"/>
  <c r="W159" i="198"/>
  <c r="W150" i="198"/>
  <c r="BA144" i="198"/>
  <c r="AB144" i="198"/>
  <c r="W141" i="198"/>
  <c r="BA135" i="198"/>
  <c r="W134" i="198"/>
  <c r="BA128" i="198"/>
  <c r="BA126" i="198"/>
  <c r="W125" i="198"/>
  <c r="BA117" i="198"/>
  <c r="BA115" i="198"/>
  <c r="W114" i="198"/>
  <c r="AB109" i="198"/>
  <c r="BA92" i="198"/>
  <c r="AB86" i="198"/>
  <c r="AB81" i="198"/>
  <c r="W207" i="198"/>
  <c r="BA199" i="198"/>
  <c r="W178" i="198"/>
  <c r="BA166" i="198"/>
  <c r="AB166" i="198"/>
  <c r="W157" i="198"/>
  <c r="BA155" i="198"/>
  <c r="AB155" i="198"/>
  <c r="BA153" i="198"/>
  <c r="AB153" i="198"/>
  <c r="BA139" i="198"/>
  <c r="W138" i="198"/>
  <c r="BA132" i="198"/>
  <c r="W131" i="198"/>
  <c r="BA123" i="198"/>
  <c r="BA121" i="198"/>
  <c r="AB199" i="198"/>
  <c r="AB171" i="198"/>
  <c r="W167" i="198"/>
  <c r="BA161" i="198"/>
  <c r="BA146" i="198"/>
  <c r="W146" i="198"/>
  <c r="W136" i="198"/>
  <c r="BA130" i="198"/>
  <c r="W126" i="198"/>
  <c r="W205" i="198"/>
  <c r="AB201" i="198"/>
  <c r="AB200" i="198"/>
  <c r="AB198" i="198"/>
  <c r="AB185" i="198"/>
  <c r="W201" i="198"/>
  <c r="W198" i="198"/>
  <c r="AB197" i="198"/>
  <c r="AB191" i="198"/>
  <c r="AB179" i="198"/>
  <c r="W171" i="198"/>
  <c r="AB165" i="198"/>
  <c r="AB159" i="198"/>
  <c r="BA145" i="198"/>
  <c r="W145" i="198"/>
  <c r="BA138" i="198"/>
  <c r="AB129" i="198"/>
  <c r="BA201" i="198"/>
  <c r="BA200" i="198"/>
  <c r="AB194" i="198"/>
  <c r="BA185" i="198"/>
  <c r="W183" i="198"/>
  <c r="W195" i="198"/>
  <c r="W179" i="198"/>
  <c r="W174" i="198"/>
  <c r="W164" i="198"/>
  <c r="W163" i="198"/>
  <c r="BA151" i="198"/>
  <c r="AB143" i="198"/>
  <c r="AB138" i="198"/>
  <c r="AB137" i="198"/>
  <c r="AB136" i="198"/>
  <c r="AB135" i="198"/>
  <c r="AB134" i="198"/>
  <c r="AB132" i="198"/>
  <c r="AB124" i="198"/>
  <c r="BA112" i="198"/>
  <c r="AB112" i="198"/>
  <c r="W108" i="198"/>
  <c r="BA101" i="198"/>
  <c r="W80" i="198"/>
  <c r="AB205" i="198"/>
  <c r="BA193" i="198"/>
  <c r="AB192" i="198"/>
  <c r="AB184" i="198"/>
  <c r="W180" i="198"/>
  <c r="BA179" i="198"/>
  <c r="BA174" i="198"/>
  <c r="W166" i="198"/>
  <c r="W165" i="198"/>
  <c r="BA163" i="198"/>
  <c r="AB157" i="198"/>
  <c r="AB154" i="198"/>
  <c r="W153" i="198"/>
  <c r="W144" i="198"/>
  <c r="BA141" i="198"/>
  <c r="BA140" i="198"/>
  <c r="W140" i="198"/>
  <c r="W139" i="198"/>
  <c r="W132" i="198"/>
  <c r="AB131" i="198"/>
  <c r="BA116" i="198"/>
  <c r="W116" i="198"/>
  <c r="AB181" i="198"/>
  <c r="AB168" i="198"/>
  <c r="AB147" i="198"/>
  <c r="BA143" i="198"/>
  <c r="BA133" i="198"/>
  <c r="AB123" i="198"/>
  <c r="AB111" i="198"/>
  <c r="BA109" i="198"/>
  <c r="BA107" i="198"/>
  <c r="AB107" i="198"/>
  <c r="W105" i="198"/>
  <c r="W103" i="198"/>
  <c r="W88" i="198"/>
  <c r="W86" i="198"/>
  <c r="BA81" i="198"/>
  <c r="BA79" i="198"/>
  <c r="AB79" i="198"/>
  <c r="BA71" i="198"/>
  <c r="W70" i="198"/>
  <c r="BA65" i="198"/>
  <c r="W64" i="198"/>
  <c r="BA58" i="198"/>
  <c r="W57" i="198"/>
  <c r="BA51" i="198"/>
  <c r="W50" i="198"/>
  <c r="BA44" i="198"/>
  <c r="W43" i="198"/>
  <c r="AB42" i="198"/>
  <c r="W193" i="198"/>
  <c r="BA182" i="198"/>
  <c r="AB173" i="198"/>
  <c r="BA170" i="198"/>
  <c r="AB164" i="198"/>
  <c r="AB151" i="198"/>
  <c r="AB182" i="198"/>
  <c r="BA178" i="198"/>
  <c r="W158" i="198"/>
  <c r="W155" i="198"/>
  <c r="AB150" i="198"/>
  <c r="AB145" i="198"/>
  <c r="W143" i="198"/>
  <c r="W137" i="198"/>
  <c r="W107" i="198"/>
  <c r="W98" i="198"/>
  <c r="W91" i="198"/>
  <c r="AB82" i="198"/>
  <c r="AB78" i="198"/>
  <c r="W76" i="198"/>
  <c r="W62" i="198"/>
  <c r="BA56" i="198"/>
  <c r="AB56" i="198"/>
  <c r="BA43" i="198"/>
  <c r="AB43" i="198"/>
  <c r="AB40" i="198"/>
  <c r="AB33" i="198"/>
  <c r="BA31" i="198"/>
  <c r="W30" i="198"/>
  <c r="W21" i="198"/>
  <c r="BA184" i="198"/>
  <c r="W182" i="198"/>
  <c r="W168" i="198"/>
  <c r="BA164" i="198"/>
  <c r="W160" i="198"/>
  <c r="BA131" i="198"/>
  <c r="BA129" i="198"/>
  <c r="AB125" i="198"/>
  <c r="BA124" i="198"/>
  <c r="BA106" i="198"/>
  <c r="BA105" i="198"/>
  <c r="AB104" i="198"/>
  <c r="AB97" i="198"/>
  <c r="AB96" i="198"/>
  <c r="BA91" i="198"/>
  <c r="BA90" i="198"/>
  <c r="W90" i="198"/>
  <c r="BA78" i="198"/>
  <c r="W60" i="198"/>
  <c r="W58" i="198"/>
  <c r="BA54" i="198"/>
  <c r="AB54" i="198"/>
  <c r="BA52" i="198"/>
  <c r="AB52" i="198"/>
  <c r="BA37" i="198"/>
  <c r="W36" i="198"/>
  <c r="AB31" i="198"/>
  <c r="BA180" i="198"/>
  <c r="BA169" i="198"/>
  <c r="W122" i="198"/>
  <c r="W97" i="198"/>
  <c r="AB89" i="198"/>
  <c r="BA82" i="198"/>
  <c r="BA75" i="198"/>
  <c r="AB75" i="198"/>
  <c r="AB69" i="198"/>
  <c r="BA67" i="198"/>
  <c r="AB67" i="198"/>
  <c r="AB65" i="198"/>
  <c r="BA50" i="198"/>
  <c r="AB50" i="198"/>
  <c r="AB37" i="198"/>
  <c r="AB176" i="198"/>
  <c r="W173" i="198"/>
  <c r="W170" i="198"/>
  <c r="AB130" i="198"/>
  <c r="AB117" i="198"/>
  <c r="BA104" i="198"/>
  <c r="BA97" i="198"/>
  <c r="W96" i="198"/>
  <c r="W82" i="198"/>
  <c r="W78" i="198"/>
  <c r="BA73" i="198"/>
  <c r="AB73" i="198"/>
  <c r="AB71" i="198"/>
  <c r="BA69" i="198"/>
  <c r="W56" i="198"/>
  <c r="W54" i="198"/>
  <c r="BA48" i="198"/>
  <c r="AB48" i="198"/>
  <c r="W42" i="198"/>
  <c r="W40" i="198"/>
  <c r="BA34" i="198"/>
  <c r="W33" i="198"/>
  <c r="AB28" i="198"/>
  <c r="AB19" i="198"/>
  <c r="BA171" i="198"/>
  <c r="AB152" i="198"/>
  <c r="BA148" i="198"/>
  <c r="W147" i="198"/>
  <c r="BA137" i="198"/>
  <c r="W130" i="198"/>
  <c r="AB128" i="198"/>
  <c r="BA127" i="198"/>
  <c r="AB126" i="198"/>
  <c r="AB118" i="198"/>
  <c r="AB133" i="198"/>
  <c r="W129" i="198"/>
  <c r="AB119" i="198"/>
  <c r="W111" i="198"/>
  <c r="AB106" i="198"/>
  <c r="AB95" i="198"/>
  <c r="AB74" i="198"/>
  <c r="W199" i="198"/>
  <c r="AB178" i="198"/>
  <c r="BA162" i="198"/>
  <c r="BA154" i="198"/>
  <c r="AB139" i="198"/>
  <c r="W135" i="198"/>
  <c r="W119" i="198"/>
  <c r="W115" i="198"/>
  <c r="AB114" i="198"/>
  <c r="W106" i="198"/>
  <c r="AB102" i="198"/>
  <c r="BA99" i="198"/>
  <c r="W95" i="198"/>
  <c r="BA94" i="198"/>
  <c r="BA85" i="198"/>
  <c r="W75" i="198"/>
  <c r="W74" i="198"/>
  <c r="AB64" i="198"/>
  <c r="BA63" i="198"/>
  <c r="AB59" i="198"/>
  <c r="BA57" i="198"/>
  <c r="BA196" i="198"/>
  <c r="W194" i="198"/>
  <c r="BA192" i="198"/>
  <c r="BA165" i="198"/>
  <c r="W148" i="198"/>
  <c r="W84" i="198"/>
  <c r="AB70" i="198"/>
  <c r="BA49" i="198"/>
  <c r="AB46" i="198"/>
  <c r="BA30" i="198"/>
  <c r="AB29" i="198"/>
  <c r="BA160" i="198"/>
  <c r="BA158" i="198"/>
  <c r="W120" i="198"/>
  <c r="BA118" i="198"/>
  <c r="BA114" i="198"/>
  <c r="BA96" i="198"/>
  <c r="BA93" i="198"/>
  <c r="W83" i="198"/>
  <c r="W81" i="198"/>
  <c r="BA76" i="198"/>
  <c r="W72" i="198"/>
  <c r="AB68" i="198"/>
  <c r="AB62" i="198"/>
  <c r="BA61" i="198"/>
  <c r="W48" i="198"/>
  <c r="BA41" i="198"/>
  <c r="W34" i="198"/>
  <c r="AB25" i="198"/>
  <c r="AB207" i="198"/>
  <c r="BA197" i="198"/>
  <c r="W196" i="198"/>
  <c r="BA190" i="198"/>
  <c r="W172" i="198"/>
  <c r="W142" i="198"/>
  <c r="W123" i="198"/>
  <c r="AB113" i="198"/>
  <c r="AB100" i="198"/>
  <c r="BA98" i="198"/>
  <c r="BA87" i="198"/>
  <c r="W65" i="198"/>
  <c r="BA173" i="198"/>
  <c r="AB161" i="198"/>
  <c r="W152" i="198"/>
  <c r="W149" i="198"/>
  <c r="AB108" i="198"/>
  <c r="AB105" i="198"/>
  <c r="W100" i="198"/>
  <c r="AB77" i="198"/>
  <c r="W71" i="198"/>
  <c r="BA55" i="198"/>
  <c r="BA38" i="198"/>
  <c r="AB30" i="198"/>
  <c r="W29" i="198"/>
  <c r="BA28" i="198"/>
  <c r="BA27" i="198"/>
  <c r="W192" i="198"/>
  <c r="AB169" i="198"/>
  <c r="AB158" i="198"/>
  <c r="BA150" i="198"/>
  <c r="AB115" i="198"/>
  <c r="W113" i="198"/>
  <c r="W104" i="198"/>
  <c r="AB88" i="198"/>
  <c r="BA86" i="198"/>
  <c r="W77" i="198"/>
  <c r="W68" i="198"/>
  <c r="BA66" i="198"/>
  <c r="W59" i="198"/>
  <c r="BA46" i="198"/>
  <c r="AB36" i="198"/>
  <c r="AB21" i="198"/>
  <c r="AB20" i="198"/>
  <c r="W162" i="198"/>
  <c r="BA119" i="198"/>
  <c r="BA89" i="198"/>
  <c r="AB87" i="198"/>
  <c r="W67" i="198"/>
  <c r="AB51" i="198"/>
  <c r="BA39" i="198"/>
  <c r="W32" i="198"/>
  <c r="BA21" i="198"/>
  <c r="BA20" i="198"/>
  <c r="W20" i="198"/>
  <c r="BA19" i="198"/>
  <c r="BA195" i="198"/>
  <c r="AB148" i="198"/>
  <c r="AB146" i="198"/>
  <c r="BA108" i="198"/>
  <c r="W93" i="198"/>
  <c r="W85" i="198"/>
  <c r="AB76" i="198"/>
  <c r="W69" i="198"/>
  <c r="W66" i="198"/>
  <c r="W55" i="198"/>
  <c r="AB53" i="198"/>
  <c r="AB39" i="198"/>
  <c r="W27" i="198"/>
  <c r="BA25" i="198"/>
  <c r="BA159" i="198"/>
  <c r="W133" i="198"/>
  <c r="BA113" i="198"/>
  <c r="W94" i="198"/>
  <c r="W53" i="198"/>
  <c r="BA42" i="198"/>
  <c r="AB38" i="198"/>
  <c r="AB35" i="198"/>
  <c r="W87" i="198"/>
  <c r="BA83" i="198"/>
  <c r="W79" i="198"/>
  <c r="W52" i="198"/>
  <c r="BA36" i="198"/>
  <c r="BA33" i="198"/>
  <c r="BA18" i="198"/>
  <c r="AB180" i="198"/>
  <c r="BA149" i="198"/>
  <c r="BA147" i="198"/>
  <c r="BA136" i="198"/>
  <c r="BA134" i="198"/>
  <c r="AB116" i="198"/>
  <c r="AB98" i="198"/>
  <c r="W89" i="198"/>
  <c r="AB41" i="198"/>
  <c r="W38" i="198"/>
  <c r="AB34" i="198"/>
  <c r="W26" i="198"/>
  <c r="W151" i="198"/>
  <c r="AB121" i="198"/>
  <c r="BA111" i="198"/>
  <c r="BA60" i="198"/>
  <c r="BA47" i="198"/>
  <c r="BA32" i="198"/>
  <c r="BA189" i="198"/>
  <c r="AB162" i="198"/>
  <c r="BA152" i="198"/>
  <c r="AB93" i="198"/>
  <c r="AB92" i="198"/>
  <c r="AB85" i="198"/>
  <c r="W61" i="198"/>
  <c r="AB60" i="198"/>
  <c r="AB58" i="198"/>
  <c r="AB55" i="198"/>
  <c r="AB24" i="198"/>
  <c r="AB18" i="198"/>
  <c r="W73" i="198"/>
  <c r="BA68" i="198"/>
  <c r="BA62" i="198"/>
  <c r="W35" i="198"/>
  <c r="BA26" i="198"/>
  <c r="W184" i="198"/>
  <c r="BA181" i="198"/>
  <c r="AB160" i="198"/>
  <c r="W109" i="198"/>
  <c r="AB94" i="198"/>
  <c r="BA74" i="198"/>
  <c r="W31" i="198"/>
  <c r="W24" i="198"/>
  <c r="AB196" i="198"/>
  <c r="W181" i="198"/>
  <c r="BA168" i="198"/>
  <c r="W128" i="198"/>
  <c r="AB101" i="198"/>
  <c r="AB83" i="198"/>
  <c r="W25" i="198"/>
  <c r="AB141" i="198"/>
  <c r="AB99" i="198"/>
  <c r="BA95" i="198"/>
  <c r="W92" i="198"/>
  <c r="BA88" i="198"/>
  <c r="BA53" i="198"/>
  <c r="AB44" i="198"/>
  <c r="W41" i="198"/>
  <c r="AB32" i="198"/>
  <c r="AB26" i="198"/>
  <c r="AB174" i="198"/>
  <c r="W121" i="198"/>
  <c r="W117" i="198"/>
  <c r="W101" i="198"/>
  <c r="AB49" i="198"/>
  <c r="W37" i="198"/>
  <c r="BA77" i="198"/>
  <c r="BA120" i="198"/>
  <c r="W110" i="198"/>
  <c r="BA100" i="198"/>
  <c r="W46" i="198"/>
  <c r="AB27" i="198"/>
  <c r="BA125" i="198"/>
  <c r="BA110" i="198"/>
  <c r="BA102" i="198"/>
  <c r="W99" i="198"/>
  <c r="AB90" i="198"/>
  <c r="BA84" i="198"/>
  <c r="BA72" i="198"/>
  <c r="W49" i="198"/>
  <c r="BA29" i="198"/>
  <c r="BA167" i="198"/>
  <c r="AB110" i="198"/>
  <c r="W44" i="198"/>
  <c r="AB142" i="198"/>
  <c r="BA103" i="198"/>
  <c r="AB61" i="198"/>
  <c r="AB167" i="198"/>
  <c r="AB140" i="198"/>
  <c r="BA122" i="198"/>
  <c r="W112" i="198"/>
  <c r="AB84" i="198"/>
  <c r="AB66" i="198"/>
  <c r="AB63" i="198"/>
  <c r="BA35" i="198"/>
  <c r="W118" i="198"/>
  <c r="W63" i="198"/>
  <c r="W28" i="198"/>
  <c r="W19" i="198"/>
  <c r="W154" i="198"/>
  <c r="BA142" i="198"/>
  <c r="AB122" i="198"/>
  <c r="AB80" i="198"/>
  <c r="W51" i="198"/>
  <c r="BA40" i="198"/>
  <c r="W16" i="198"/>
  <c r="AB127" i="198"/>
  <c r="AB120" i="198"/>
  <c r="W102" i="198"/>
  <c r="AB91" i="198"/>
  <c r="AB72" i="198"/>
  <c r="BA64" i="198"/>
  <c r="AB57" i="198"/>
  <c r="AB47" i="198"/>
  <c r="BA207" i="198"/>
  <c r="W127" i="198"/>
  <c r="BA80" i="198"/>
  <c r="BA70" i="198"/>
  <c r="W47" i="198"/>
  <c r="BA24" i="198"/>
  <c r="W124" i="198"/>
  <c r="W18" i="198"/>
  <c r="AB193" i="198"/>
  <c r="W169" i="198"/>
  <c r="BA157" i="198"/>
  <c r="AB103" i="198"/>
  <c r="W39" i="198"/>
  <c r="BA59" i="198"/>
  <c r="AM176" i="198"/>
  <c r="AB16" i="198"/>
  <c r="AC206" i="198"/>
  <c r="AB189" i="198"/>
  <c r="AC177" i="198"/>
  <c r="R17" i="198"/>
  <c r="N17" i="198"/>
  <c r="B13" i="230"/>
  <c r="C13" i="230"/>
  <c r="E12" i="230"/>
  <c r="C12" i="235"/>
  <c r="B12" i="235"/>
  <c r="Q19" i="230"/>
  <c r="H185" i="204"/>
  <c r="E185" i="204"/>
  <c r="C190" i="198"/>
  <c r="D176" i="198"/>
  <c r="N206" i="198"/>
  <c r="BF206" i="198"/>
  <c r="BG189" i="198"/>
  <c r="BF176" i="198"/>
  <c r="AC17" i="198"/>
  <c r="G12" i="230"/>
  <c r="P2" i="230"/>
  <c r="T42" i="227"/>
  <c r="G12" i="219"/>
  <c r="I12" i="219" s="1"/>
  <c r="D12" i="219"/>
  <c r="F12" i="219" s="1"/>
  <c r="N14" i="198"/>
  <c r="AR14" i="198"/>
  <c r="AS14" i="198" s="1"/>
  <c r="AC189" i="198"/>
  <c r="AV205" i="198"/>
  <c r="AL177" i="198"/>
  <c r="AV177" i="198"/>
  <c r="F153" i="228"/>
  <c r="T153" i="228"/>
  <c r="H185" i="228"/>
  <c r="G42" i="221"/>
  <c r="I42" i="221" s="1"/>
  <c r="W42" i="221"/>
  <c r="D42" i="221"/>
  <c r="F42" i="221" s="1"/>
  <c r="K16" i="220"/>
  <c r="G12" i="220"/>
  <c r="I12" i="220" s="1"/>
  <c r="D12" i="220"/>
  <c r="F12" i="220" s="1"/>
  <c r="K15" i="220"/>
  <c r="K17" i="220"/>
  <c r="AW14" i="198"/>
  <c r="AX14" i="198" s="1"/>
  <c r="S14" i="198"/>
  <c r="X205" i="198"/>
  <c r="U121" i="206"/>
  <c r="N120" i="206"/>
  <c r="U119" i="206"/>
  <c r="L116" i="206"/>
  <c r="S115" i="206"/>
  <c r="L114" i="206"/>
  <c r="K112" i="206"/>
  <c r="R111" i="206"/>
  <c r="K110" i="206"/>
  <c r="S121" i="206"/>
  <c r="L120" i="206"/>
  <c r="S119" i="206"/>
  <c r="Q115" i="206"/>
  <c r="P111" i="206"/>
  <c r="V108" i="206"/>
  <c r="R121" i="206"/>
  <c r="K120" i="206"/>
  <c r="R119" i="206"/>
  <c r="P115" i="206"/>
  <c r="Q121" i="206"/>
  <c r="Q119" i="206"/>
  <c r="V116" i="206"/>
  <c r="O115" i="206"/>
  <c r="V114" i="206"/>
  <c r="U112" i="206"/>
  <c r="N111" i="206"/>
  <c r="U110" i="206"/>
  <c r="T108" i="206"/>
  <c r="P121" i="206"/>
  <c r="P119" i="206"/>
  <c r="U116" i="206"/>
  <c r="N115" i="206"/>
  <c r="U114" i="206"/>
  <c r="T112" i="206"/>
  <c r="M111" i="206"/>
  <c r="T110" i="206"/>
  <c r="S108" i="206"/>
  <c r="M121" i="206"/>
  <c r="T120" i="206"/>
  <c r="M119" i="206"/>
  <c r="R116" i="206"/>
  <c r="K115" i="206"/>
  <c r="R114" i="206"/>
  <c r="Q112" i="206"/>
  <c r="Q110" i="206"/>
  <c r="P108" i="206"/>
  <c r="R78" i="206"/>
  <c r="R76" i="206"/>
  <c r="N121" i="206"/>
  <c r="P120" i="206"/>
  <c r="N119" i="206"/>
  <c r="N116" i="206"/>
  <c r="L115" i="206"/>
  <c r="M114" i="206"/>
  <c r="O78" i="206"/>
  <c r="N76" i="206"/>
  <c r="U50" i="206"/>
  <c r="M49" i="206"/>
  <c r="S48" i="206"/>
  <c r="L121" i="206"/>
  <c r="O120" i="206"/>
  <c r="L119" i="206"/>
  <c r="M116" i="206"/>
  <c r="K114" i="206"/>
  <c r="V112" i="206"/>
  <c r="U108" i="206"/>
  <c r="V104" i="206"/>
  <c r="W104" i="206" s="1"/>
  <c r="N78" i="206"/>
  <c r="M76" i="206"/>
  <c r="T50" i="206"/>
  <c r="L49" i="206"/>
  <c r="K121" i="206"/>
  <c r="M120" i="206"/>
  <c r="K119" i="206"/>
  <c r="K116" i="206"/>
  <c r="S112" i="206"/>
  <c r="R108" i="206"/>
  <c r="M78" i="206"/>
  <c r="L76" i="206"/>
  <c r="S50" i="206"/>
  <c r="K49" i="206"/>
  <c r="Q48" i="206"/>
  <c r="R112" i="206"/>
  <c r="V111" i="206"/>
  <c r="Q108" i="206"/>
  <c r="L78" i="206"/>
  <c r="K76" i="206"/>
  <c r="R50" i="206"/>
  <c r="P48" i="206"/>
  <c r="P112" i="206"/>
  <c r="U111" i="206"/>
  <c r="V110" i="206"/>
  <c r="O108" i="206"/>
  <c r="K78" i="206"/>
  <c r="O112" i="206"/>
  <c r="T111" i="206"/>
  <c r="S110" i="206"/>
  <c r="N108" i="206"/>
  <c r="N112" i="206"/>
  <c r="S111" i="206"/>
  <c r="R110" i="206"/>
  <c r="M108" i="206"/>
  <c r="M112" i="206"/>
  <c r="Q111" i="206"/>
  <c r="P110" i="206"/>
  <c r="L108" i="206"/>
  <c r="V76" i="206"/>
  <c r="N50" i="206"/>
  <c r="T49" i="206"/>
  <c r="L48" i="206"/>
  <c r="T114" i="206"/>
  <c r="L112" i="206"/>
  <c r="O111" i="206"/>
  <c r="O110" i="206"/>
  <c r="K108" i="206"/>
  <c r="V120" i="206"/>
  <c r="T116" i="206"/>
  <c r="V115" i="206"/>
  <c r="S114" i="206"/>
  <c r="L111" i="206"/>
  <c r="N110" i="206"/>
  <c r="U78" i="206"/>
  <c r="T76" i="206"/>
  <c r="U120" i="206"/>
  <c r="S116" i="206"/>
  <c r="U115" i="206"/>
  <c r="Q114" i="206"/>
  <c r="K111" i="206"/>
  <c r="M110" i="206"/>
  <c r="T78" i="206"/>
  <c r="S76" i="206"/>
  <c r="K50" i="206"/>
  <c r="Q49" i="206"/>
  <c r="V121" i="206"/>
  <c r="S120" i="206"/>
  <c r="V119" i="206"/>
  <c r="Q116" i="206"/>
  <c r="T115" i="206"/>
  <c r="P114" i="206"/>
  <c r="L110" i="206"/>
  <c r="S78" i="206"/>
  <c r="Q76" i="206"/>
  <c r="T121" i="206"/>
  <c r="R120" i="206"/>
  <c r="T119" i="206"/>
  <c r="P116" i="206"/>
  <c r="R115" i="206"/>
  <c r="O114" i="206"/>
  <c r="V100" i="206"/>
  <c r="W100" i="206" s="1"/>
  <c r="Q50" i="206"/>
  <c r="R49" i="206"/>
  <c r="O48" i="206"/>
  <c r="P11" i="206"/>
  <c r="V10" i="206"/>
  <c r="Q120" i="206"/>
  <c r="P50" i="206"/>
  <c r="P49" i="206"/>
  <c r="N48" i="206"/>
  <c r="O50" i="206"/>
  <c r="O49" i="206"/>
  <c r="M48" i="206"/>
  <c r="N11" i="206"/>
  <c r="T10" i="206"/>
  <c r="O116" i="206"/>
  <c r="V78" i="206"/>
  <c r="M50" i="206"/>
  <c r="N49" i="206"/>
  <c r="K48" i="206"/>
  <c r="M11" i="206"/>
  <c r="S10" i="206"/>
  <c r="AH196" i="198"/>
  <c r="D195" i="198"/>
  <c r="AH184" i="198"/>
  <c r="D183" i="198"/>
  <c r="AH171" i="198"/>
  <c r="D170" i="198"/>
  <c r="AH164" i="198"/>
  <c r="D163" i="198"/>
  <c r="AH157" i="198"/>
  <c r="AH143" i="198"/>
  <c r="Q78" i="206"/>
  <c r="L50" i="206"/>
  <c r="P78" i="206"/>
  <c r="U76" i="206"/>
  <c r="K11" i="206"/>
  <c r="Q10" i="206"/>
  <c r="O119" i="206"/>
  <c r="P76" i="206"/>
  <c r="O76" i="206"/>
  <c r="M115" i="206"/>
  <c r="O121" i="206"/>
  <c r="V48" i="206"/>
  <c r="V49" i="206"/>
  <c r="U48" i="206"/>
  <c r="U49" i="206"/>
  <c r="T48" i="206"/>
  <c r="N114" i="206"/>
  <c r="V50" i="206"/>
  <c r="S49" i="206"/>
  <c r="R48" i="206"/>
  <c r="R11" i="206"/>
  <c r="P10" i="206"/>
  <c r="D168" i="198"/>
  <c r="AH162" i="198"/>
  <c r="AH151" i="198"/>
  <c r="AH110" i="198"/>
  <c r="D81" i="198"/>
  <c r="O10" i="206"/>
  <c r="N10" i="206"/>
  <c r="D164" i="198"/>
  <c r="AH145" i="198"/>
  <c r="K10" i="206"/>
  <c r="U11" i="206"/>
  <c r="V11" i="206"/>
  <c r="L10" i="206"/>
  <c r="AH199" i="198"/>
  <c r="AH198" i="198"/>
  <c r="D192" i="198"/>
  <c r="S11" i="206"/>
  <c r="AH195" i="198"/>
  <c r="AH193" i="198"/>
  <c r="AH191" i="198"/>
  <c r="AH183" i="198"/>
  <c r="AH179" i="198"/>
  <c r="D179" i="198"/>
  <c r="AH170" i="198"/>
  <c r="D165" i="198"/>
  <c r="D159" i="198"/>
  <c r="D138" i="198"/>
  <c r="D135" i="198"/>
  <c r="AH132" i="198"/>
  <c r="D132" i="198"/>
  <c r="AH129" i="198"/>
  <c r="L11" i="206"/>
  <c r="AH178" i="198"/>
  <c r="D169" i="198"/>
  <c r="AH137" i="198"/>
  <c r="AH134" i="198"/>
  <c r="AH205" i="198"/>
  <c r="D160" i="198"/>
  <c r="AH146" i="198"/>
  <c r="AH127" i="198"/>
  <c r="AH81" i="198"/>
  <c r="D191" i="198"/>
  <c r="AH126" i="198"/>
  <c r="D126" i="198"/>
  <c r="AH123" i="198"/>
  <c r="D123" i="198"/>
  <c r="AH122" i="198"/>
  <c r="D122" i="198"/>
  <c r="D120" i="198"/>
  <c r="D118" i="198"/>
  <c r="AH115" i="198"/>
  <c r="AH207" i="198"/>
  <c r="D198" i="198"/>
  <c r="D193" i="198"/>
  <c r="D171" i="198"/>
  <c r="D162" i="198"/>
  <c r="AH161" i="198"/>
  <c r="D115" i="198"/>
  <c r="D98" i="198"/>
  <c r="D166" i="198"/>
  <c r="AH165" i="198"/>
  <c r="D157" i="198"/>
  <c r="D145" i="198"/>
  <c r="AH139" i="198"/>
  <c r="AH138" i="198"/>
  <c r="AH136" i="198"/>
  <c r="AH133" i="198"/>
  <c r="D133" i="198"/>
  <c r="D116" i="198"/>
  <c r="AH112" i="198"/>
  <c r="R10" i="206"/>
  <c r="D201" i="198"/>
  <c r="D178" i="198"/>
  <c r="AH176" i="198"/>
  <c r="AH147" i="198"/>
  <c r="AH117" i="198"/>
  <c r="D111" i="198"/>
  <c r="D52" i="198"/>
  <c r="AH41" i="198"/>
  <c r="D40" i="198"/>
  <c r="AH34" i="198"/>
  <c r="M10" i="206"/>
  <c r="D200" i="198"/>
  <c r="D199" i="198"/>
  <c r="D184" i="198"/>
  <c r="AH152" i="198"/>
  <c r="D151" i="198"/>
  <c r="D146" i="198"/>
  <c r="AH130" i="198"/>
  <c r="D110" i="198"/>
  <c r="D75" i="198"/>
  <c r="D67" i="198"/>
  <c r="D65" i="198"/>
  <c r="D50" i="198"/>
  <c r="D31" i="198"/>
  <c r="D197" i="198"/>
  <c r="D196" i="198"/>
  <c r="D161" i="198"/>
  <c r="D119" i="198"/>
  <c r="AH118" i="198"/>
  <c r="AH111" i="198"/>
  <c r="AH102" i="198"/>
  <c r="AH80" i="198"/>
  <c r="D73" i="198"/>
  <c r="AH38" i="198"/>
  <c r="D205" i="198"/>
  <c r="AH181" i="198"/>
  <c r="D180" i="198"/>
  <c r="AH142" i="198"/>
  <c r="AH140" i="198"/>
  <c r="D131" i="198"/>
  <c r="AH119" i="198"/>
  <c r="D114" i="198"/>
  <c r="D102" i="198"/>
  <c r="D80" i="198"/>
  <c r="AH32" i="198"/>
  <c r="AH29" i="198"/>
  <c r="D28" i="198"/>
  <c r="AH20" i="198"/>
  <c r="D19" i="198"/>
  <c r="D207" i="198"/>
  <c r="AH185" i="198"/>
  <c r="AH172" i="198"/>
  <c r="AH159" i="198"/>
  <c r="D129" i="198"/>
  <c r="D127" i="198"/>
  <c r="AH114" i="198"/>
  <c r="D113" i="198"/>
  <c r="D112" i="198"/>
  <c r="AH135" i="198"/>
  <c r="AH125" i="198"/>
  <c r="AH75" i="198"/>
  <c r="AH42" i="198"/>
  <c r="D117" i="198"/>
  <c r="AH98" i="198"/>
  <c r="D83" i="198"/>
  <c r="AH66" i="198"/>
  <c r="AH65" i="198"/>
  <c r="U10" i="206"/>
  <c r="D185" i="198"/>
  <c r="AH180" i="198"/>
  <c r="AH160" i="198"/>
  <c r="D143" i="198"/>
  <c r="D72" i="198"/>
  <c r="AH43" i="198"/>
  <c r="D41" i="198"/>
  <c r="D38" i="198"/>
  <c r="AH36" i="198"/>
  <c r="D36" i="198"/>
  <c r="AH28" i="198"/>
  <c r="AH116" i="198"/>
  <c r="AH106" i="198"/>
  <c r="D51" i="198"/>
  <c r="AH30" i="198"/>
  <c r="D21" i="198"/>
  <c r="D134" i="198"/>
  <c r="AH74" i="198"/>
  <c r="AH21" i="198"/>
  <c r="AH18" i="198"/>
  <c r="D18" i="198"/>
  <c r="AH169" i="198"/>
  <c r="AH168" i="198"/>
  <c r="D49" i="198"/>
  <c r="AH19" i="198"/>
  <c r="D142" i="198"/>
  <c r="AH67" i="198"/>
  <c r="AH200" i="198"/>
  <c r="D152" i="198"/>
  <c r="D124" i="198"/>
  <c r="AH73" i="198"/>
  <c r="D27" i="198"/>
  <c r="D84" i="198"/>
  <c r="D181" i="198"/>
  <c r="D172" i="198"/>
  <c r="D137" i="198"/>
  <c r="AH131" i="198"/>
  <c r="D130" i="198"/>
  <c r="AH78" i="198"/>
  <c r="D66" i="198"/>
  <c r="AH52" i="198"/>
  <c r="AH121" i="198"/>
  <c r="D30" i="198"/>
  <c r="AH201" i="198"/>
  <c r="AH31" i="198"/>
  <c r="AH124" i="198"/>
  <c r="AH90" i="198"/>
  <c r="AH50" i="198"/>
  <c r="AH49" i="198"/>
  <c r="AH166" i="198"/>
  <c r="D141" i="198"/>
  <c r="D139" i="198"/>
  <c r="AH68" i="198"/>
  <c r="AH39" i="198"/>
  <c r="AH113" i="198"/>
  <c r="AH83" i="198"/>
  <c r="D78" i="198"/>
  <c r="D29" i="198"/>
  <c r="D16" i="198"/>
  <c r="AH163" i="198"/>
  <c r="AH192" i="198"/>
  <c r="D136" i="198"/>
  <c r="D121" i="198"/>
  <c r="D43" i="198"/>
  <c r="AH27" i="198"/>
  <c r="D147" i="198"/>
  <c r="AH141" i="198"/>
  <c r="D90" i="198"/>
  <c r="D74" i="198"/>
  <c r="AH72" i="198"/>
  <c r="D32" i="198"/>
  <c r="D24" i="198"/>
  <c r="AH84" i="198"/>
  <c r="D68" i="198"/>
  <c r="AH40" i="198"/>
  <c r="D177" i="198"/>
  <c r="D125" i="198"/>
  <c r="AH120" i="198"/>
  <c r="D106" i="198"/>
  <c r="AH197" i="198"/>
  <c r="D140" i="198"/>
  <c r="AH51" i="198"/>
  <c r="AH16" i="198"/>
  <c r="D34" i="198"/>
  <c r="AH24" i="198"/>
  <c r="D20" i="198"/>
  <c r="D39" i="198"/>
  <c r="D42" i="198"/>
  <c r="I177" i="198"/>
  <c r="AQ207" i="198"/>
  <c r="AQ200" i="198"/>
  <c r="M199" i="198"/>
  <c r="AQ193" i="198"/>
  <c r="M192" i="198"/>
  <c r="AQ181" i="198"/>
  <c r="M180" i="198"/>
  <c r="AQ205" i="198"/>
  <c r="M201" i="198"/>
  <c r="M198" i="198"/>
  <c r="AQ195" i="198"/>
  <c r="AQ192" i="198"/>
  <c r="M173" i="198"/>
  <c r="AQ167" i="198"/>
  <c r="M158" i="198"/>
  <c r="M145" i="198"/>
  <c r="AQ137" i="198"/>
  <c r="M136" i="198"/>
  <c r="AQ130" i="198"/>
  <c r="M129" i="198"/>
  <c r="AQ127" i="198"/>
  <c r="M127" i="198"/>
  <c r="AQ119" i="198"/>
  <c r="M118" i="198"/>
  <c r="AQ116" i="198"/>
  <c r="M116" i="198"/>
  <c r="AQ102" i="198"/>
  <c r="AQ94" i="198"/>
  <c r="M93" i="198"/>
  <c r="AQ91" i="198"/>
  <c r="M205" i="198"/>
  <c r="M195" i="198"/>
  <c r="M184" i="198"/>
  <c r="M171" i="198"/>
  <c r="M169" i="198"/>
  <c r="AQ165" i="198"/>
  <c r="AQ163" i="198"/>
  <c r="M143" i="198"/>
  <c r="AQ141" i="198"/>
  <c r="M140" i="198"/>
  <c r="AQ134" i="198"/>
  <c r="M133" i="198"/>
  <c r="AQ125" i="198"/>
  <c r="M124" i="198"/>
  <c r="AQ122" i="198"/>
  <c r="M122" i="198"/>
  <c r="M163" i="198"/>
  <c r="AQ158" i="198"/>
  <c r="M137" i="198"/>
  <c r="M134" i="198"/>
  <c r="AQ128" i="198"/>
  <c r="M162" i="198"/>
  <c r="AQ152" i="198"/>
  <c r="M152" i="198"/>
  <c r="AQ147" i="198"/>
  <c r="M147" i="198"/>
  <c r="AQ139" i="198"/>
  <c r="M207" i="198"/>
  <c r="M170" i="198"/>
  <c r="AQ161" i="198"/>
  <c r="M149" i="198"/>
  <c r="M115" i="198"/>
  <c r="AQ104" i="198"/>
  <c r="M98" i="198"/>
  <c r="M91" i="198"/>
  <c r="AQ87" i="198"/>
  <c r="AQ185" i="198"/>
  <c r="M183" i="198"/>
  <c r="AQ150" i="198"/>
  <c r="M125" i="198"/>
  <c r="AQ117" i="198"/>
  <c r="AQ191" i="198"/>
  <c r="M121" i="198"/>
  <c r="M119" i="198"/>
  <c r="AQ114" i="198"/>
  <c r="AQ99" i="198"/>
  <c r="AQ97" i="198"/>
  <c r="M95" i="198"/>
  <c r="AQ73" i="198"/>
  <c r="M72" i="198"/>
  <c r="AQ67" i="198"/>
  <c r="M66" i="198"/>
  <c r="AQ60" i="198"/>
  <c r="M59" i="198"/>
  <c r="AQ53" i="198"/>
  <c r="M52" i="198"/>
  <c r="AQ46" i="198"/>
  <c r="AQ190" i="198"/>
  <c r="M185" i="198"/>
  <c r="AQ184" i="198"/>
  <c r="AQ155" i="198"/>
  <c r="AQ154" i="198"/>
  <c r="AQ129" i="198"/>
  <c r="AQ126" i="198"/>
  <c r="AQ123" i="198"/>
  <c r="M120" i="198"/>
  <c r="AQ115" i="198"/>
  <c r="AQ111" i="198"/>
  <c r="M111" i="198"/>
  <c r="M174" i="198"/>
  <c r="M164" i="198"/>
  <c r="AQ162" i="198"/>
  <c r="AQ157" i="198"/>
  <c r="AQ149" i="198"/>
  <c r="M131" i="198"/>
  <c r="M113" i="198"/>
  <c r="M109" i="198"/>
  <c r="M100" i="198"/>
  <c r="AQ68" i="198"/>
  <c r="M57" i="198"/>
  <c r="AQ51" i="198"/>
  <c r="M32" i="198"/>
  <c r="M25" i="198"/>
  <c r="M196" i="198"/>
  <c r="AQ172" i="198"/>
  <c r="AQ159" i="198"/>
  <c r="M148" i="198"/>
  <c r="M141" i="198"/>
  <c r="AQ140" i="198"/>
  <c r="M135" i="198"/>
  <c r="AQ112" i="198"/>
  <c r="M112" i="198"/>
  <c r="M99" i="198"/>
  <c r="M87" i="198"/>
  <c r="M84" i="198"/>
  <c r="AQ74" i="198"/>
  <c r="AQ66" i="198"/>
  <c r="AQ64" i="198"/>
  <c r="M44" i="198"/>
  <c r="AQ39" i="198"/>
  <c r="M38" i="198"/>
  <c r="M194" i="198"/>
  <c r="M193" i="198"/>
  <c r="M166" i="198"/>
  <c r="M153" i="198"/>
  <c r="M139" i="198"/>
  <c r="AQ120" i="198"/>
  <c r="AQ113" i="198"/>
  <c r="AQ108" i="198"/>
  <c r="M108" i="198"/>
  <c r="AQ93" i="198"/>
  <c r="AQ86" i="198"/>
  <c r="M85" i="198"/>
  <c r="AQ84" i="198"/>
  <c r="AQ79" i="198"/>
  <c r="AQ72" i="198"/>
  <c r="AQ70" i="198"/>
  <c r="M55" i="198"/>
  <c r="M53" i="198"/>
  <c r="AQ49" i="198"/>
  <c r="AQ178" i="198"/>
  <c r="AQ146" i="198"/>
  <c r="AQ144" i="198"/>
  <c r="M106" i="198"/>
  <c r="M86" i="198"/>
  <c r="M79" i="198"/>
  <c r="AQ76" i="198"/>
  <c r="M68" i="198"/>
  <c r="AQ62" i="198"/>
  <c r="M51" i="198"/>
  <c r="AQ36" i="198"/>
  <c r="M35" i="198"/>
  <c r="M191" i="198"/>
  <c r="M190" i="198"/>
  <c r="AQ151" i="198"/>
  <c r="M150" i="198"/>
  <c r="AQ121" i="198"/>
  <c r="AQ194" i="198"/>
  <c r="AQ180" i="198"/>
  <c r="AQ179" i="198"/>
  <c r="M67" i="198"/>
  <c r="AQ54" i="198"/>
  <c r="AQ40" i="198"/>
  <c r="M132" i="198"/>
  <c r="AQ118" i="198"/>
  <c r="AQ110" i="198"/>
  <c r="AQ103" i="198"/>
  <c r="M97" i="198"/>
  <c r="M90" i="198"/>
  <c r="AQ83" i="198"/>
  <c r="M77" i="198"/>
  <c r="M62" i="198"/>
  <c r="AQ61" i="198"/>
  <c r="M56" i="198"/>
  <c r="AQ164" i="198"/>
  <c r="AQ153" i="198"/>
  <c r="M146" i="198"/>
  <c r="M144" i="198"/>
  <c r="M138" i="198"/>
  <c r="M128" i="198"/>
  <c r="M126" i="198"/>
  <c r="M104" i="198"/>
  <c r="AQ96" i="198"/>
  <c r="M94" i="198"/>
  <c r="M92" i="198"/>
  <c r="M81" i="198"/>
  <c r="AQ80" i="198"/>
  <c r="M78" i="198"/>
  <c r="M73" i="198"/>
  <c r="M49" i="198"/>
  <c r="M48" i="198"/>
  <c r="AQ44" i="198"/>
  <c r="AQ41" i="198"/>
  <c r="M34" i="198"/>
  <c r="AQ33" i="198"/>
  <c r="AQ198" i="198"/>
  <c r="AQ173" i="198"/>
  <c r="AQ148" i="198"/>
  <c r="AQ142" i="198"/>
  <c r="AQ132" i="198"/>
  <c r="M96" i="198"/>
  <c r="M89" i="198"/>
  <c r="AQ82" i="198"/>
  <c r="AQ65" i="198"/>
  <c r="AQ52" i="198"/>
  <c r="M46" i="198"/>
  <c r="M43" i="198"/>
  <c r="AQ42" i="198"/>
  <c r="AQ29" i="198"/>
  <c r="AQ19" i="198"/>
  <c r="AQ199" i="198"/>
  <c r="AQ169" i="198"/>
  <c r="M157" i="198"/>
  <c r="M151" i="198"/>
  <c r="AQ124" i="198"/>
  <c r="AQ37" i="198"/>
  <c r="M33" i="198"/>
  <c r="AQ25" i="198"/>
  <c r="M172" i="198"/>
  <c r="M155" i="198"/>
  <c r="M142" i="198"/>
  <c r="M102" i="198"/>
  <c r="M101" i="198"/>
  <c r="AQ98" i="198"/>
  <c r="AQ88" i="198"/>
  <c r="M82" i="198"/>
  <c r="M75" i="198"/>
  <c r="M60" i="198"/>
  <c r="AQ143" i="198"/>
  <c r="AQ133" i="198"/>
  <c r="M110" i="198"/>
  <c r="M105" i="198"/>
  <c r="AQ92" i="198"/>
  <c r="AQ85" i="198"/>
  <c r="M54" i="198"/>
  <c r="M41" i="198"/>
  <c r="AQ27" i="198"/>
  <c r="M197" i="198"/>
  <c r="AQ174" i="198"/>
  <c r="AQ166" i="198"/>
  <c r="M165" i="198"/>
  <c r="AQ75" i="198"/>
  <c r="M71" i="198"/>
  <c r="AQ69" i="198"/>
  <c r="M65" i="198"/>
  <c r="M39" i="198"/>
  <c r="AQ38" i="198"/>
  <c r="M30" i="198"/>
  <c r="M179" i="198"/>
  <c r="M167" i="198"/>
  <c r="AQ131" i="198"/>
  <c r="M130" i="198"/>
  <c r="M64" i="198"/>
  <c r="M47" i="198"/>
  <c r="AQ31" i="198"/>
  <c r="AQ201" i="198"/>
  <c r="AQ197" i="198"/>
  <c r="AQ89" i="198"/>
  <c r="M76" i="198"/>
  <c r="M74" i="198"/>
  <c r="M69" i="198"/>
  <c r="M63" i="198"/>
  <c r="M61" i="198"/>
  <c r="AQ28" i="198"/>
  <c r="M27" i="198"/>
  <c r="M20" i="198"/>
  <c r="M18" i="198"/>
  <c r="AQ168" i="198"/>
  <c r="M161" i="198"/>
  <c r="M103" i="198"/>
  <c r="M182" i="198"/>
  <c r="M168" i="198"/>
  <c r="M159" i="198"/>
  <c r="AQ138" i="198"/>
  <c r="M123" i="198"/>
  <c r="AQ109" i="198"/>
  <c r="M80" i="198"/>
  <c r="AQ48" i="198"/>
  <c r="AQ183" i="198"/>
  <c r="M178" i="198"/>
  <c r="M176" i="198"/>
  <c r="AQ145" i="198"/>
  <c r="M189" i="198"/>
  <c r="M160" i="198"/>
  <c r="M154" i="198"/>
  <c r="AQ78" i="198"/>
  <c r="M40" i="198"/>
  <c r="AQ35" i="198"/>
  <c r="AQ206" i="198"/>
  <c r="AQ196" i="198"/>
  <c r="AQ160" i="198"/>
  <c r="AQ101" i="198"/>
  <c r="M70" i="198"/>
  <c r="M58" i="198"/>
  <c r="AQ171" i="198"/>
  <c r="M107" i="198"/>
  <c r="AQ90" i="198"/>
  <c r="AQ71" i="198"/>
  <c r="AQ59" i="198"/>
  <c r="AQ56" i="198"/>
  <c r="M24" i="198"/>
  <c r="M83" i="198"/>
  <c r="M181" i="198"/>
  <c r="AQ81" i="198"/>
  <c r="M36" i="198"/>
  <c r="AQ32" i="198"/>
  <c r="M31" i="198"/>
  <c r="AQ170" i="198"/>
  <c r="M88" i="198"/>
  <c r="M37" i="198"/>
  <c r="AQ34" i="198"/>
  <c r="AQ135" i="198"/>
  <c r="M117" i="198"/>
  <c r="AQ106" i="198"/>
  <c r="AQ77" i="198"/>
  <c r="AQ50" i="198"/>
  <c r="AQ21" i="198"/>
  <c r="AQ16" i="198"/>
  <c r="AQ95" i="198"/>
  <c r="AQ63" i="198"/>
  <c r="AQ57" i="198"/>
  <c r="AQ20" i="198"/>
  <c r="AQ18" i="198"/>
  <c r="M200" i="198"/>
  <c r="AQ43" i="198"/>
  <c r="M16" i="198"/>
  <c r="AQ58" i="198"/>
  <c r="M50" i="198"/>
  <c r="M42" i="198"/>
  <c r="AQ24" i="198"/>
  <c r="AQ182" i="198"/>
  <c r="M114" i="198"/>
  <c r="AQ100" i="198"/>
  <c r="AQ30" i="198"/>
  <c r="M21" i="198"/>
  <c r="AQ55" i="198"/>
  <c r="M28" i="198"/>
  <c r="AQ136" i="198"/>
  <c r="AQ107" i="198"/>
  <c r="AQ105" i="198"/>
  <c r="M29" i="198"/>
  <c r="M19" i="198"/>
  <c r="D190" i="198"/>
  <c r="I176" i="198"/>
  <c r="D206" i="198"/>
  <c r="BB206" i="198"/>
  <c r="AG189" i="198"/>
  <c r="BA177" i="198"/>
  <c r="N177" i="198"/>
  <c r="BB199" i="198"/>
  <c r="X198" i="198"/>
  <c r="BB192" i="198"/>
  <c r="X191" i="198"/>
  <c r="BB180" i="198"/>
  <c r="X179" i="198"/>
  <c r="X166" i="198"/>
  <c r="BB160" i="198"/>
  <c r="BB153" i="198"/>
  <c r="X152" i="198"/>
  <c r="BB146" i="198"/>
  <c r="X145" i="198"/>
  <c r="BB207" i="198"/>
  <c r="X197" i="198"/>
  <c r="X183" i="198"/>
  <c r="X180" i="198"/>
  <c r="BB170" i="198"/>
  <c r="BB168" i="198"/>
  <c r="X146" i="198"/>
  <c r="BB142" i="198"/>
  <c r="X106" i="198"/>
  <c r="BB98" i="198"/>
  <c r="X97" i="198"/>
  <c r="BB90" i="198"/>
  <c r="X89" i="198"/>
  <c r="BB78" i="198"/>
  <c r="X77" i="198"/>
  <c r="X172" i="198"/>
  <c r="X170" i="198"/>
  <c r="BB164" i="198"/>
  <c r="X207" i="198"/>
  <c r="X161" i="198"/>
  <c r="BB151" i="198"/>
  <c r="X133" i="198"/>
  <c r="X199" i="198"/>
  <c r="BB201" i="198"/>
  <c r="BB200" i="198"/>
  <c r="X200" i="198"/>
  <c r="BB185" i="198"/>
  <c r="X185" i="198"/>
  <c r="BB150" i="198"/>
  <c r="X141" i="198"/>
  <c r="X138" i="198"/>
  <c r="BB135" i="198"/>
  <c r="X135" i="198"/>
  <c r="BB132" i="198"/>
  <c r="BB129" i="198"/>
  <c r="BB198" i="198"/>
  <c r="BB196" i="198"/>
  <c r="X196" i="198"/>
  <c r="X195" i="198"/>
  <c r="BB193" i="198"/>
  <c r="X193" i="198"/>
  <c r="X192" i="198"/>
  <c r="BB184" i="198"/>
  <c r="X184" i="198"/>
  <c r="X190" i="198"/>
  <c r="X178" i="198"/>
  <c r="BB172" i="198"/>
  <c r="X142" i="198"/>
  <c r="BB124" i="198"/>
  <c r="BB105" i="198"/>
  <c r="X101" i="198"/>
  <c r="BB88" i="198"/>
  <c r="BB178" i="198"/>
  <c r="BB165" i="198"/>
  <c r="BB152" i="198"/>
  <c r="X143" i="198"/>
  <c r="BB139" i="198"/>
  <c r="BB138" i="198"/>
  <c r="BB137" i="198"/>
  <c r="X137" i="198"/>
  <c r="BB136" i="198"/>
  <c r="X136" i="198"/>
  <c r="BB134" i="198"/>
  <c r="X134" i="198"/>
  <c r="X124" i="198"/>
  <c r="BB120" i="198"/>
  <c r="BB118" i="198"/>
  <c r="BB166" i="198"/>
  <c r="BB145" i="198"/>
  <c r="BB131" i="198"/>
  <c r="X130" i="198"/>
  <c r="X129" i="198"/>
  <c r="X120" i="198"/>
  <c r="BB96" i="198"/>
  <c r="BB77" i="198"/>
  <c r="BB171" i="198"/>
  <c r="X162" i="198"/>
  <c r="BB161" i="198"/>
  <c r="X125" i="198"/>
  <c r="X121" i="198"/>
  <c r="X168" i="198"/>
  <c r="X160" i="198"/>
  <c r="BB121" i="198"/>
  <c r="BB106" i="198"/>
  <c r="BB91" i="198"/>
  <c r="X90" i="198"/>
  <c r="BB52" i="198"/>
  <c r="BB37" i="198"/>
  <c r="X36" i="198"/>
  <c r="BB16" i="198"/>
  <c r="BB169" i="198"/>
  <c r="X150" i="198"/>
  <c r="BB133" i="198"/>
  <c r="X122" i="198"/>
  <c r="X105" i="198"/>
  <c r="BB75" i="198"/>
  <c r="BB67" i="198"/>
  <c r="BB50" i="198"/>
  <c r="BB28" i="198"/>
  <c r="X27" i="198"/>
  <c r="BB19" i="198"/>
  <c r="X18" i="198"/>
  <c r="X163" i="198"/>
  <c r="BB97" i="198"/>
  <c r="X96" i="198"/>
  <c r="X78" i="198"/>
  <c r="BB73" i="198"/>
  <c r="BB65" i="198"/>
  <c r="X43" i="198"/>
  <c r="X42" i="198"/>
  <c r="X40" i="198"/>
  <c r="X147" i="198"/>
  <c r="BB141" i="198"/>
  <c r="X132" i="198"/>
  <c r="BB127" i="198"/>
  <c r="BB116" i="198"/>
  <c r="BB89" i="198"/>
  <c r="X81" i="198"/>
  <c r="X52" i="198"/>
  <c r="BB41" i="198"/>
  <c r="X31" i="198"/>
  <c r="BB25" i="198"/>
  <c r="X16" i="198"/>
  <c r="BB197" i="198"/>
  <c r="BB183" i="198"/>
  <c r="X165" i="198"/>
  <c r="X149" i="198"/>
  <c r="BB143" i="198"/>
  <c r="X117" i="198"/>
  <c r="BB195" i="198"/>
  <c r="BB191" i="198"/>
  <c r="BB181" i="198"/>
  <c r="X176" i="198"/>
  <c r="X127" i="198"/>
  <c r="BB122" i="198"/>
  <c r="X116" i="198"/>
  <c r="BB113" i="198"/>
  <c r="BB101" i="198"/>
  <c r="BB68" i="198"/>
  <c r="X50" i="198"/>
  <c r="BB163" i="198"/>
  <c r="BB117" i="198"/>
  <c r="X84" i="198"/>
  <c r="X181" i="198"/>
  <c r="X139" i="198"/>
  <c r="X118" i="198"/>
  <c r="X114" i="198"/>
  <c r="BB107" i="198"/>
  <c r="X88" i="198"/>
  <c r="BB74" i="198"/>
  <c r="X65" i="198"/>
  <c r="X30" i="198"/>
  <c r="BB176" i="198"/>
  <c r="X169" i="198"/>
  <c r="BB159" i="198"/>
  <c r="BB157" i="198"/>
  <c r="BB149" i="198"/>
  <c r="BB110" i="198"/>
  <c r="BB108" i="198"/>
  <c r="X73" i="198"/>
  <c r="BB44" i="198"/>
  <c r="BB40" i="198"/>
  <c r="BB39" i="198"/>
  <c r="X39" i="198"/>
  <c r="X24" i="198"/>
  <c r="X95" i="198"/>
  <c r="BB38" i="198"/>
  <c r="BB34" i="198"/>
  <c r="X29" i="198"/>
  <c r="BB27" i="198"/>
  <c r="BB125" i="198"/>
  <c r="X112" i="198"/>
  <c r="X109" i="198"/>
  <c r="BB42" i="198"/>
  <c r="X35" i="198"/>
  <c r="BB29" i="198"/>
  <c r="BB162" i="198"/>
  <c r="BB147" i="198"/>
  <c r="X108" i="198"/>
  <c r="BB102" i="198"/>
  <c r="BB84" i="198"/>
  <c r="X74" i="198"/>
  <c r="BB35" i="198"/>
  <c r="X140" i="198"/>
  <c r="X98" i="198"/>
  <c r="BB95" i="198"/>
  <c r="X80" i="198"/>
  <c r="X37" i="198"/>
  <c r="BB18" i="198"/>
  <c r="BB109" i="198"/>
  <c r="X107" i="198"/>
  <c r="X102" i="198"/>
  <c r="BB81" i="198"/>
  <c r="BB80" i="198"/>
  <c r="X68" i="198"/>
  <c r="BB51" i="198"/>
  <c r="X32" i="198"/>
  <c r="BB190" i="198"/>
  <c r="BB126" i="198"/>
  <c r="X123" i="198"/>
  <c r="BB43" i="198"/>
  <c r="BB20" i="198"/>
  <c r="X131" i="198"/>
  <c r="X126" i="198"/>
  <c r="X38" i="198"/>
  <c r="X26" i="198"/>
  <c r="X19" i="198"/>
  <c r="X157" i="198"/>
  <c r="X51" i="198"/>
  <c r="X201" i="198"/>
  <c r="X110" i="198"/>
  <c r="X41" i="198"/>
  <c r="X34" i="198"/>
  <c r="BB205" i="198"/>
  <c r="X111" i="198"/>
  <c r="BB79" i="198"/>
  <c r="X67" i="198"/>
  <c r="BB31" i="198"/>
  <c r="X20" i="198"/>
  <c r="BB119" i="198"/>
  <c r="BB115" i="198"/>
  <c r="X113" i="198"/>
  <c r="X25" i="198"/>
  <c r="BB123" i="198"/>
  <c r="X115" i="198"/>
  <c r="BB21" i="198"/>
  <c r="X153" i="198"/>
  <c r="BB66" i="198"/>
  <c r="X171" i="198"/>
  <c r="BB130" i="198"/>
  <c r="X119" i="198"/>
  <c r="BB33" i="198"/>
  <c r="BB140" i="198"/>
  <c r="X33" i="198"/>
  <c r="BB112" i="198"/>
  <c r="X79" i="198"/>
  <c r="X44" i="198"/>
  <c r="BB114" i="198"/>
  <c r="X28" i="198"/>
  <c r="X21" i="198"/>
  <c r="X66" i="198"/>
  <c r="BB24" i="198"/>
  <c r="X91" i="198"/>
  <c r="X164" i="198"/>
  <c r="BB30" i="198"/>
  <c r="BB179" i="198"/>
  <c r="X75" i="198"/>
  <c r="BB111" i="198"/>
  <c r="BB36" i="198"/>
  <c r="X17" i="198"/>
  <c r="X151" i="198"/>
  <c r="BB32" i="198"/>
  <c r="BF190" i="198"/>
  <c r="AQ176" i="198"/>
  <c r="R206" i="198"/>
  <c r="M206" i="198"/>
  <c r="D189" i="198"/>
  <c r="AG26" i="198"/>
  <c r="AB17" i="198"/>
  <c r="S207" i="198"/>
  <c r="AW201" i="198"/>
  <c r="S200" i="198"/>
  <c r="S193" i="198"/>
  <c r="S181" i="198"/>
  <c r="AW200" i="198"/>
  <c r="AW159" i="198"/>
  <c r="S152" i="198"/>
  <c r="AW146" i="198"/>
  <c r="AW138" i="198"/>
  <c r="S137" i="198"/>
  <c r="AW131" i="198"/>
  <c r="S130" i="198"/>
  <c r="AW120" i="198"/>
  <c r="S119" i="198"/>
  <c r="S102" i="198"/>
  <c r="S197" i="198"/>
  <c r="S191" i="198"/>
  <c r="AW172" i="198"/>
  <c r="AW170" i="198"/>
  <c r="S161" i="198"/>
  <c r="S159" i="198"/>
  <c r="AW142" i="198"/>
  <c r="S141" i="198"/>
  <c r="AW135" i="198"/>
  <c r="S134" i="198"/>
  <c r="S147" i="198"/>
  <c r="S142" i="198"/>
  <c r="AW136" i="198"/>
  <c r="AW127" i="198"/>
  <c r="AW207" i="198"/>
  <c r="S205" i="198"/>
  <c r="AW166" i="198"/>
  <c r="S166" i="198"/>
  <c r="AW160" i="198"/>
  <c r="AW151" i="198"/>
  <c r="S133" i="198"/>
  <c r="AW205" i="198"/>
  <c r="S201" i="198"/>
  <c r="AW199" i="198"/>
  <c r="S199" i="198"/>
  <c r="S151" i="198"/>
  <c r="S121" i="198"/>
  <c r="S195" i="198"/>
  <c r="AW191" i="198"/>
  <c r="S190" i="198"/>
  <c r="AW183" i="198"/>
  <c r="S179" i="198"/>
  <c r="S178" i="198"/>
  <c r="S164" i="198"/>
  <c r="S138" i="198"/>
  <c r="AW198" i="198"/>
  <c r="AW193" i="198"/>
  <c r="AW179" i="198"/>
  <c r="AW178" i="198"/>
  <c r="AW152" i="198"/>
  <c r="S145" i="198"/>
  <c r="AW140" i="198"/>
  <c r="S140" i="198"/>
  <c r="AW139" i="198"/>
  <c r="S136" i="198"/>
  <c r="AW132" i="198"/>
  <c r="S132" i="198"/>
  <c r="AW116" i="198"/>
  <c r="AW74" i="198"/>
  <c r="S73" i="198"/>
  <c r="AW68" i="198"/>
  <c r="S67" i="198"/>
  <c r="AW122" i="198"/>
  <c r="AW121" i="198"/>
  <c r="S192" i="198"/>
  <c r="AW185" i="198"/>
  <c r="AW181" i="198"/>
  <c r="S171" i="198"/>
  <c r="S139" i="198"/>
  <c r="S116" i="198"/>
  <c r="AW115" i="198"/>
  <c r="S106" i="198"/>
  <c r="S74" i="198"/>
  <c r="S66" i="198"/>
  <c r="AW27" i="198"/>
  <c r="S24" i="198"/>
  <c r="S143" i="198"/>
  <c r="AW98" i="198"/>
  <c r="S49" i="198"/>
  <c r="S39" i="198"/>
  <c r="AW33" i="198"/>
  <c r="AW164" i="198"/>
  <c r="S160" i="198"/>
  <c r="AW133" i="198"/>
  <c r="AW106" i="198"/>
  <c r="S98" i="198"/>
  <c r="AW43" i="198"/>
  <c r="AW184" i="198"/>
  <c r="AW180" i="198"/>
  <c r="AW169" i="198"/>
  <c r="S168" i="198"/>
  <c r="S163" i="198"/>
  <c r="AW129" i="198"/>
  <c r="S122" i="198"/>
  <c r="AW78" i="198"/>
  <c r="AW52" i="198"/>
  <c r="S36" i="198"/>
  <c r="AW16" i="198"/>
  <c r="AW161" i="198"/>
  <c r="AW141" i="198"/>
  <c r="S172" i="198"/>
  <c r="S146" i="198"/>
  <c r="S131" i="198"/>
  <c r="AW123" i="198"/>
  <c r="S112" i="198"/>
  <c r="S78" i="198"/>
  <c r="AW195" i="198"/>
  <c r="S157" i="198"/>
  <c r="S129" i="198"/>
  <c r="S127" i="198"/>
  <c r="AW81" i="198"/>
  <c r="AW163" i="198"/>
  <c r="AW162" i="198"/>
  <c r="S135" i="198"/>
  <c r="AW117" i="198"/>
  <c r="AW113" i="198"/>
  <c r="S196" i="198"/>
  <c r="AW190" i="198"/>
  <c r="S184" i="198"/>
  <c r="S170" i="198"/>
  <c r="S113" i="198"/>
  <c r="S111" i="198"/>
  <c r="S110" i="198"/>
  <c r="AW80" i="198"/>
  <c r="AW73" i="198"/>
  <c r="S52" i="198"/>
  <c r="AW51" i="198"/>
  <c r="S38" i="198"/>
  <c r="S34" i="198"/>
  <c r="AW197" i="198"/>
  <c r="AW165" i="198"/>
  <c r="AW143" i="198"/>
  <c r="S50" i="198"/>
  <c r="AW49" i="198"/>
  <c r="AW34" i="198"/>
  <c r="S28" i="198"/>
  <c r="S180" i="198"/>
  <c r="S81" i="198"/>
  <c r="S30" i="198"/>
  <c r="S29" i="198"/>
  <c r="S16" i="198"/>
  <c r="S169" i="198"/>
  <c r="AW137" i="198"/>
  <c r="AW130" i="198"/>
  <c r="AW102" i="198"/>
  <c r="AW31" i="198"/>
  <c r="AW30" i="198"/>
  <c r="S115" i="198"/>
  <c r="AW28" i="198"/>
  <c r="S20" i="198"/>
  <c r="AW168" i="198"/>
  <c r="S75" i="198"/>
  <c r="AW157" i="198"/>
  <c r="AW110" i="198"/>
  <c r="AW20" i="198"/>
  <c r="AW192" i="198"/>
  <c r="S120" i="198"/>
  <c r="S80" i="198"/>
  <c r="AW36" i="198"/>
  <c r="AW196" i="198"/>
  <c r="AW114" i="198"/>
  <c r="AW84" i="198"/>
  <c r="AW66" i="198"/>
  <c r="S43" i="198"/>
  <c r="S31" i="198"/>
  <c r="AW24" i="198"/>
  <c r="AW119" i="198"/>
  <c r="S118" i="198"/>
  <c r="S33" i="198"/>
  <c r="AW171" i="198"/>
  <c r="AW32" i="198"/>
  <c r="AW147" i="198"/>
  <c r="S123" i="198"/>
  <c r="S117" i="198"/>
  <c r="S65" i="198"/>
  <c r="AW50" i="198"/>
  <c r="AW38" i="198"/>
  <c r="AW118" i="198"/>
  <c r="AW29" i="198"/>
  <c r="S165" i="198"/>
  <c r="S162" i="198"/>
  <c r="S68" i="198"/>
  <c r="S32" i="198"/>
  <c r="AW75" i="198"/>
  <c r="S183" i="198"/>
  <c r="AW112" i="198"/>
  <c r="S51" i="198"/>
  <c r="S198" i="198"/>
  <c r="S114" i="198"/>
  <c r="AW39" i="198"/>
  <c r="S27" i="198"/>
  <c r="AW134" i="198"/>
  <c r="S185" i="198"/>
  <c r="S84" i="198"/>
  <c r="AW145" i="198"/>
  <c r="AW67" i="198"/>
  <c r="AW111" i="198"/>
  <c r="AW65" i="198"/>
  <c r="H190" i="198"/>
  <c r="N176" i="198"/>
  <c r="AV206" i="198"/>
  <c r="BG206" i="198"/>
  <c r="AV47" i="198"/>
  <c r="BB26" i="198"/>
  <c r="BG177" i="198"/>
  <c r="AH177" i="198"/>
  <c r="BG17" i="198"/>
  <c r="C201" i="198"/>
  <c r="AG195" i="198"/>
  <c r="C194" i="198"/>
  <c r="AG183" i="198"/>
  <c r="C182" i="198"/>
  <c r="C199" i="198"/>
  <c r="AG196" i="198"/>
  <c r="AG193" i="198"/>
  <c r="AG185" i="198"/>
  <c r="C172" i="198"/>
  <c r="C170" i="198"/>
  <c r="AG164" i="198"/>
  <c r="AG153" i="198"/>
  <c r="C144" i="198"/>
  <c r="AG139" i="198"/>
  <c r="C138" i="198"/>
  <c r="AG132" i="198"/>
  <c r="C131" i="198"/>
  <c r="AG123" i="198"/>
  <c r="AG121" i="198"/>
  <c r="C120" i="198"/>
  <c r="AG112" i="198"/>
  <c r="AG104" i="198"/>
  <c r="C103" i="198"/>
  <c r="C95" i="198"/>
  <c r="C196" i="198"/>
  <c r="C193" i="198"/>
  <c r="C185" i="198"/>
  <c r="AG179" i="198"/>
  <c r="C166" i="198"/>
  <c r="AG160" i="198"/>
  <c r="C155" i="198"/>
  <c r="C153" i="198"/>
  <c r="AG149" i="198"/>
  <c r="AG147" i="198"/>
  <c r="C142" i="198"/>
  <c r="AG136" i="198"/>
  <c r="C135" i="198"/>
  <c r="AG129" i="198"/>
  <c r="C128" i="198"/>
  <c r="C126" i="198"/>
  <c r="AG201" i="198"/>
  <c r="AG200" i="198"/>
  <c r="C200" i="198"/>
  <c r="C198" i="198"/>
  <c r="AG197" i="198"/>
  <c r="C197" i="198"/>
  <c r="AG192" i="198"/>
  <c r="C191" i="198"/>
  <c r="AG182" i="198"/>
  <c r="AG180" i="198"/>
  <c r="AG165" i="198"/>
  <c r="AG159" i="198"/>
  <c r="C150" i="198"/>
  <c r="C141" i="198"/>
  <c r="AG135" i="198"/>
  <c r="AG194" i="198"/>
  <c r="AG191" i="198"/>
  <c r="AG174" i="198"/>
  <c r="C174" i="198"/>
  <c r="AG169" i="198"/>
  <c r="AG158" i="198"/>
  <c r="AG154" i="198"/>
  <c r="AG140" i="198"/>
  <c r="C207" i="198"/>
  <c r="AG184" i="198"/>
  <c r="C181" i="198"/>
  <c r="C168" i="198"/>
  <c r="AG166" i="198"/>
  <c r="C159" i="198"/>
  <c r="C147" i="198"/>
  <c r="AG130" i="198"/>
  <c r="C130" i="198"/>
  <c r="C129" i="198"/>
  <c r="C127" i="198"/>
  <c r="AG120" i="198"/>
  <c r="AG118" i="198"/>
  <c r="C112" i="198"/>
  <c r="AG94" i="198"/>
  <c r="AG83" i="198"/>
  <c r="AG181" i="198"/>
  <c r="C169" i="198"/>
  <c r="AG168" i="198"/>
  <c r="AG155" i="198"/>
  <c r="C149" i="198"/>
  <c r="C148" i="198"/>
  <c r="C187" i="198"/>
  <c r="C161" i="198"/>
  <c r="AG113" i="198"/>
  <c r="C107" i="198"/>
  <c r="AG89" i="198"/>
  <c r="AG85" i="198"/>
  <c r="C79" i="198"/>
  <c r="AG75" i="198"/>
  <c r="C74" i="198"/>
  <c r="C68" i="198"/>
  <c r="AG62" i="198"/>
  <c r="C61" i="198"/>
  <c r="AG55" i="198"/>
  <c r="C54" i="198"/>
  <c r="AG48" i="198"/>
  <c r="AG187" i="198"/>
  <c r="C184" i="198"/>
  <c r="C180" i="198"/>
  <c r="AG143" i="198"/>
  <c r="AG142" i="198"/>
  <c r="AG141" i="198"/>
  <c r="AG137" i="198"/>
  <c r="C137" i="198"/>
  <c r="C136" i="198"/>
  <c r="AG134" i="198"/>
  <c r="C134" i="198"/>
  <c r="C132" i="198"/>
  <c r="AG124" i="198"/>
  <c r="AG116" i="198"/>
  <c r="C167" i="198"/>
  <c r="C118" i="198"/>
  <c r="C89" i="198"/>
  <c r="AG81" i="198"/>
  <c r="C81" i="198"/>
  <c r="AG73" i="198"/>
  <c r="AG69" i="198"/>
  <c r="AG65" i="198"/>
  <c r="C56" i="198"/>
  <c r="C43" i="198"/>
  <c r="AG42" i="198"/>
  <c r="AG28" i="198"/>
  <c r="C27" i="198"/>
  <c r="AG19" i="198"/>
  <c r="C18" i="198"/>
  <c r="C16" i="198"/>
  <c r="C178" i="198"/>
  <c r="AG176" i="198"/>
  <c r="AG170" i="198"/>
  <c r="C123" i="198"/>
  <c r="AG117" i="198"/>
  <c r="C111" i="198"/>
  <c r="AG95" i="198"/>
  <c r="AG71" i="198"/>
  <c r="C69" i="198"/>
  <c r="AG63" i="198"/>
  <c r="C52" i="198"/>
  <c r="AG46" i="198"/>
  <c r="AG41" i="198"/>
  <c r="C40" i="198"/>
  <c r="AG34" i="198"/>
  <c r="C33" i="198"/>
  <c r="C164" i="198"/>
  <c r="AG152" i="198"/>
  <c r="C151" i="198"/>
  <c r="C146" i="198"/>
  <c r="AG110" i="198"/>
  <c r="C110" i="198"/>
  <c r="AG103" i="198"/>
  <c r="C101" i="198"/>
  <c r="C75" i="198"/>
  <c r="C67" i="198"/>
  <c r="C65" i="198"/>
  <c r="AG61" i="198"/>
  <c r="AG59" i="198"/>
  <c r="C50" i="198"/>
  <c r="C195" i="198"/>
  <c r="C183" i="198"/>
  <c r="AG162" i="198"/>
  <c r="AG157" i="198"/>
  <c r="AG128" i="198"/>
  <c r="AG126" i="198"/>
  <c r="C119" i="198"/>
  <c r="AG111" i="198"/>
  <c r="AG102" i="198"/>
  <c r="AG88" i="198"/>
  <c r="C88" i="198"/>
  <c r="AG80" i="198"/>
  <c r="AG77" i="198"/>
  <c r="C73" i="198"/>
  <c r="C71" i="198"/>
  <c r="AG57" i="198"/>
  <c r="C48" i="198"/>
  <c r="AG38" i="198"/>
  <c r="C37" i="198"/>
  <c r="C205" i="198"/>
  <c r="C171" i="198"/>
  <c r="AG138" i="198"/>
  <c r="C133" i="198"/>
  <c r="AG119" i="198"/>
  <c r="C115" i="198"/>
  <c r="C114" i="198"/>
  <c r="AG109" i="198"/>
  <c r="C109" i="198"/>
  <c r="AG198" i="198"/>
  <c r="AG178" i="198"/>
  <c r="AG173" i="198"/>
  <c r="C165" i="198"/>
  <c r="AG114" i="198"/>
  <c r="AG79" i="198"/>
  <c r="AG70" i="198"/>
  <c r="AG51" i="198"/>
  <c r="AG108" i="198"/>
  <c r="AG93" i="198"/>
  <c r="AG86" i="198"/>
  <c r="C85" i="198"/>
  <c r="C66" i="198"/>
  <c r="C60" i="198"/>
  <c r="AG151" i="198"/>
  <c r="C117" i="198"/>
  <c r="C116" i="198"/>
  <c r="AG98" i="198"/>
  <c r="AG91" i="198"/>
  <c r="C87" i="198"/>
  <c r="C83" i="198"/>
  <c r="C77" i="198"/>
  <c r="AG76" i="198"/>
  <c r="AG66" i="198"/>
  <c r="AG60" i="198"/>
  <c r="AG53" i="198"/>
  <c r="C44" i="198"/>
  <c r="AG171" i="198"/>
  <c r="C163" i="198"/>
  <c r="C152" i="198"/>
  <c r="AG131" i="198"/>
  <c r="C122" i="198"/>
  <c r="AG97" i="198"/>
  <c r="AG92" i="198"/>
  <c r="AG90" i="198"/>
  <c r="C86" i="198"/>
  <c r="AG78" i="198"/>
  <c r="AG74" i="198"/>
  <c r="C58" i="198"/>
  <c r="AG21" i="198"/>
  <c r="C176" i="198"/>
  <c r="AG161" i="198"/>
  <c r="C160" i="198"/>
  <c r="C121" i="198"/>
  <c r="AG106" i="198"/>
  <c r="C92" i="198"/>
  <c r="C91" i="198"/>
  <c r="C84" i="198"/>
  <c r="C70" i="198"/>
  <c r="C64" i="198"/>
  <c r="C55" i="198"/>
  <c r="C51" i="198"/>
  <c r="C42" i="198"/>
  <c r="AG36" i="198"/>
  <c r="AG31" i="198"/>
  <c r="C21" i="198"/>
  <c r="AG20" i="198"/>
  <c r="C20" i="198"/>
  <c r="AG16" i="198"/>
  <c r="AG199" i="198"/>
  <c r="C179" i="198"/>
  <c r="AG146" i="198"/>
  <c r="C145" i="198"/>
  <c r="AG107" i="198"/>
  <c r="AG99" i="198"/>
  <c r="C97" i="198"/>
  <c r="AG43" i="198"/>
  <c r="AG18" i="198"/>
  <c r="C157" i="198"/>
  <c r="C90" i="198"/>
  <c r="AG87" i="198"/>
  <c r="C72" i="198"/>
  <c r="AG40" i="198"/>
  <c r="C173" i="198"/>
  <c r="C158" i="198"/>
  <c r="AG150" i="198"/>
  <c r="C143" i="198"/>
  <c r="AG125" i="198"/>
  <c r="C100" i="198"/>
  <c r="AG49" i="198"/>
  <c r="C34" i="198"/>
  <c r="AG172" i="198"/>
  <c r="C154" i="198"/>
  <c r="AG29" i="198"/>
  <c r="AG96" i="198"/>
  <c r="AG163" i="198"/>
  <c r="C125" i="198"/>
  <c r="C102" i="198"/>
  <c r="C94" i="198"/>
  <c r="C93" i="198"/>
  <c r="C62" i="198"/>
  <c r="C46" i="198"/>
  <c r="AG44" i="198"/>
  <c r="C36" i="198"/>
  <c r="AG105" i="198"/>
  <c r="AG37" i="198"/>
  <c r="C30" i="198"/>
  <c r="C192" i="198"/>
  <c r="C140" i="198"/>
  <c r="C104" i="198"/>
  <c r="C96" i="198"/>
  <c r="C78" i="198"/>
  <c r="C53" i="198"/>
  <c r="C39" i="198"/>
  <c r="C32" i="198"/>
  <c r="C24" i="198"/>
  <c r="AG207" i="198"/>
  <c r="AG122" i="198"/>
  <c r="AG115" i="198"/>
  <c r="C99" i="198"/>
  <c r="AG72" i="198"/>
  <c r="AG56" i="198"/>
  <c r="AG54" i="198"/>
  <c r="AG32" i="198"/>
  <c r="C19" i="198"/>
  <c r="C139" i="198"/>
  <c r="AG25" i="198"/>
  <c r="AG24" i="198"/>
  <c r="AG101" i="198"/>
  <c r="C98" i="198"/>
  <c r="C29" i="198"/>
  <c r="AG144" i="198"/>
  <c r="AG133" i="198"/>
  <c r="C113" i="198"/>
  <c r="C105" i="198"/>
  <c r="AG52" i="198"/>
  <c r="C35" i="198"/>
  <c r="AG68" i="198"/>
  <c r="C76" i="198"/>
  <c r="AG167" i="198"/>
  <c r="C162" i="198"/>
  <c r="AG84" i="198"/>
  <c r="AG50" i="198"/>
  <c r="AG47" i="198"/>
  <c r="C49" i="198"/>
  <c r="AG205" i="198"/>
  <c r="C59" i="198"/>
  <c r="AG33" i="198"/>
  <c r="AG27" i="198"/>
  <c r="C41" i="198"/>
  <c r="C25" i="198"/>
  <c r="C31" i="198"/>
  <c r="AG148" i="198"/>
  <c r="AG58" i="198"/>
  <c r="AG127" i="198"/>
  <c r="C26" i="198"/>
  <c r="C108" i="198"/>
  <c r="C106" i="198"/>
  <c r="AG82" i="198"/>
  <c r="C57" i="198"/>
  <c r="C63" i="198"/>
  <c r="C38" i="198"/>
  <c r="AG100" i="198"/>
  <c r="C124" i="198"/>
  <c r="C82" i="198"/>
  <c r="C80" i="198"/>
  <c r="AG67" i="198"/>
  <c r="AG30" i="198"/>
  <c r="AG145" i="198"/>
  <c r="AG64" i="198"/>
  <c r="AG39" i="198"/>
  <c r="AG35" i="198"/>
  <c r="C28" i="198"/>
  <c r="AH190" i="198"/>
  <c r="BA176" i="198"/>
  <c r="S206" i="198"/>
  <c r="BG190" i="198"/>
  <c r="R189" i="198"/>
  <c r="N189" i="198"/>
  <c r="R47" i="198"/>
  <c r="X177" i="198"/>
  <c r="BF177" i="198"/>
  <c r="AG17" i="198"/>
  <c r="C31" i="230"/>
  <c r="B31" i="230"/>
  <c r="Q16" i="230"/>
  <c r="B16" i="230"/>
  <c r="C16" i="230"/>
  <c r="T43" i="225"/>
  <c r="AM196" i="198"/>
  <c r="I195" i="198"/>
  <c r="AM184" i="198"/>
  <c r="I183" i="198"/>
  <c r="AM207" i="198"/>
  <c r="AM201" i="198"/>
  <c r="AM198" i="198"/>
  <c r="I162" i="198"/>
  <c r="I151" i="198"/>
  <c r="AM140" i="198"/>
  <c r="I139" i="198"/>
  <c r="AM133" i="198"/>
  <c r="I132" i="198"/>
  <c r="AM124" i="198"/>
  <c r="I123" i="198"/>
  <c r="I121" i="198"/>
  <c r="AM113" i="198"/>
  <c r="I112" i="198"/>
  <c r="AM205" i="198"/>
  <c r="I201" i="198"/>
  <c r="I198" i="198"/>
  <c r="AM195" i="198"/>
  <c r="AM192" i="198"/>
  <c r="AM181" i="198"/>
  <c r="I145" i="198"/>
  <c r="AM137" i="198"/>
  <c r="I136" i="198"/>
  <c r="AM130" i="198"/>
  <c r="I129" i="198"/>
  <c r="I127" i="198"/>
  <c r="AM193" i="198"/>
  <c r="AM190" i="198"/>
  <c r="I190" i="198"/>
  <c r="AM178" i="198"/>
  <c r="AM169" i="198"/>
  <c r="I169" i="198"/>
  <c r="AM164" i="198"/>
  <c r="I164" i="198"/>
  <c r="AM168" i="198"/>
  <c r="I168" i="198"/>
  <c r="AM157" i="198"/>
  <c r="I157" i="198"/>
  <c r="I131" i="198"/>
  <c r="I196" i="198"/>
  <c r="I161" i="198"/>
  <c r="AM147" i="198"/>
  <c r="I126" i="198"/>
  <c r="AM122" i="198"/>
  <c r="I81" i="198"/>
  <c r="I170" i="198"/>
  <c r="AM161" i="198"/>
  <c r="AM125" i="198"/>
  <c r="I115" i="198"/>
  <c r="AM172" i="198"/>
  <c r="AM171" i="198"/>
  <c r="AM162" i="198"/>
  <c r="I125" i="198"/>
  <c r="AM117" i="198"/>
  <c r="AM110" i="198"/>
  <c r="AM84" i="198"/>
  <c r="AM80" i="198"/>
  <c r="I75" i="198"/>
  <c r="AM49" i="198"/>
  <c r="AM200" i="198"/>
  <c r="I199" i="198"/>
  <c r="AM180" i="198"/>
  <c r="I159" i="198"/>
  <c r="I147" i="198"/>
  <c r="AM146" i="198"/>
  <c r="AM145" i="198"/>
  <c r="AM118" i="198"/>
  <c r="I197" i="198"/>
  <c r="I146" i="198"/>
  <c r="AM142" i="198"/>
  <c r="AM132" i="198"/>
  <c r="AM111" i="198"/>
  <c r="AM102" i="198"/>
  <c r="I102" i="198"/>
  <c r="I80" i="198"/>
  <c r="AM32" i="198"/>
  <c r="AM29" i="198"/>
  <c r="I28" i="198"/>
  <c r="AM20" i="198"/>
  <c r="I19" i="198"/>
  <c r="I205" i="198"/>
  <c r="I180" i="198"/>
  <c r="AM138" i="198"/>
  <c r="AM136" i="198"/>
  <c r="I133" i="198"/>
  <c r="AM126" i="198"/>
  <c r="AM119" i="198"/>
  <c r="AM114" i="198"/>
  <c r="I114" i="198"/>
  <c r="I77" i="198"/>
  <c r="I41" i="198"/>
  <c r="I34" i="198"/>
  <c r="I207" i="198"/>
  <c r="AM185" i="198"/>
  <c r="I171" i="198"/>
  <c r="AM159" i="198"/>
  <c r="I120" i="198"/>
  <c r="I113" i="198"/>
  <c r="I84" i="198"/>
  <c r="AM68" i="198"/>
  <c r="AM51" i="198"/>
  <c r="I193" i="198"/>
  <c r="I192" i="198"/>
  <c r="I143" i="198"/>
  <c r="I141" i="198"/>
  <c r="I135" i="198"/>
  <c r="I124" i="198"/>
  <c r="AM123" i="198"/>
  <c r="AM112" i="198"/>
  <c r="AM74" i="198"/>
  <c r="AM66" i="198"/>
  <c r="AM39" i="198"/>
  <c r="I38" i="198"/>
  <c r="AM24" i="198"/>
  <c r="I166" i="198"/>
  <c r="AM144" i="198"/>
  <c r="I137" i="198"/>
  <c r="AM120" i="198"/>
  <c r="I116" i="198"/>
  <c r="AM206" i="198"/>
  <c r="AM199" i="198"/>
  <c r="AM151" i="198"/>
  <c r="I117" i="198"/>
  <c r="AM98" i="198"/>
  <c r="I72" i="198"/>
  <c r="AM43" i="198"/>
  <c r="I185" i="198"/>
  <c r="AM179" i="198"/>
  <c r="I172" i="198"/>
  <c r="AM160" i="198"/>
  <c r="AM72" i="198"/>
  <c r="I67" i="198"/>
  <c r="AM191" i="198"/>
  <c r="AM152" i="198"/>
  <c r="I142" i="198"/>
  <c r="I140" i="198"/>
  <c r="I130" i="198"/>
  <c r="AM121" i="198"/>
  <c r="I106" i="198"/>
  <c r="I68" i="198"/>
  <c r="AM67" i="198"/>
  <c r="I165" i="198"/>
  <c r="AM129" i="198"/>
  <c r="AM127" i="198"/>
  <c r="I110" i="198"/>
  <c r="AM79" i="198"/>
  <c r="AM75" i="198"/>
  <c r="I52" i="198"/>
  <c r="I29" i="198"/>
  <c r="AM183" i="198"/>
  <c r="I66" i="198"/>
  <c r="AM40" i="198"/>
  <c r="AM139" i="198"/>
  <c r="I138" i="198"/>
  <c r="I122" i="198"/>
  <c r="AM115" i="198"/>
  <c r="AM197" i="198"/>
  <c r="I152" i="198"/>
  <c r="AM73" i="198"/>
  <c r="AM33" i="198"/>
  <c r="AM170" i="198"/>
  <c r="I74" i="198"/>
  <c r="I50" i="198"/>
  <c r="AM42" i="198"/>
  <c r="AM34" i="198"/>
  <c r="I200" i="198"/>
  <c r="I181" i="198"/>
  <c r="AM165" i="198"/>
  <c r="AM135" i="198"/>
  <c r="I40" i="198"/>
  <c r="AM21" i="198"/>
  <c r="I16" i="198"/>
  <c r="I118" i="198"/>
  <c r="I65" i="198"/>
  <c r="AM31" i="198"/>
  <c r="I30" i="198"/>
  <c r="I119" i="198"/>
  <c r="I39" i="198"/>
  <c r="I32" i="198"/>
  <c r="I18" i="198"/>
  <c r="I184" i="198"/>
  <c r="I163" i="198"/>
  <c r="I144" i="198"/>
  <c r="AM81" i="198"/>
  <c r="I78" i="198"/>
  <c r="I73" i="198"/>
  <c r="AM50" i="198"/>
  <c r="AM106" i="198"/>
  <c r="I79" i="198"/>
  <c r="AM36" i="198"/>
  <c r="AM30" i="198"/>
  <c r="AM16" i="198"/>
  <c r="AM163" i="198"/>
  <c r="I98" i="198"/>
  <c r="I51" i="198"/>
  <c r="AM141" i="198"/>
  <c r="AM52" i="198"/>
  <c r="I160" i="198"/>
  <c r="I111" i="198"/>
  <c r="AM41" i="198"/>
  <c r="I36" i="198"/>
  <c r="I178" i="198"/>
  <c r="AM65" i="198"/>
  <c r="I43" i="198"/>
  <c r="AM27" i="198"/>
  <c r="I24" i="198"/>
  <c r="I191" i="198"/>
  <c r="AM19" i="198"/>
  <c r="I31" i="198"/>
  <c r="AM28" i="198"/>
  <c r="AM143" i="198"/>
  <c r="AM77" i="198"/>
  <c r="I49" i="198"/>
  <c r="AM38" i="198"/>
  <c r="AM18" i="198"/>
  <c r="AM131" i="198"/>
  <c r="I21" i="198"/>
  <c r="I20" i="198"/>
  <c r="AM116" i="198"/>
  <c r="I27" i="198"/>
  <c r="I42" i="198"/>
  <c r="I33" i="198"/>
  <c r="AM78" i="198"/>
  <c r="I179" i="198"/>
  <c r="AM166" i="198"/>
  <c r="R190" i="198"/>
  <c r="S176" i="198"/>
  <c r="AW206" i="198"/>
  <c r="W189" i="198"/>
  <c r="AQ189" i="198"/>
  <c r="AQ47" i="198"/>
  <c r="AB177" i="198"/>
  <c r="AH17" i="198"/>
  <c r="D29" i="243"/>
  <c r="I24" i="217"/>
  <c r="K24" i="218"/>
  <c r="G52" i="232" l="1"/>
  <c r="J17" i="198"/>
  <c r="AK44" i="220"/>
  <c r="O62" i="204"/>
  <c r="AK19" i="219"/>
  <c r="Y185" i="219"/>
  <c r="AM92" i="198"/>
  <c r="AN92" i="198" s="1"/>
  <c r="G52" i="233"/>
  <c r="AD14" i="198"/>
  <c r="G52" i="230"/>
  <c r="T14" i="198"/>
  <c r="O14" i="198"/>
  <c r="Z29" i="230"/>
  <c r="Z56" i="230" s="1"/>
  <c r="D24" i="204"/>
  <c r="F24" i="204" s="1"/>
  <c r="Y14" i="198"/>
  <c r="N52" i="233"/>
  <c r="K52" i="233"/>
  <c r="I52" i="233"/>
  <c r="AD29" i="230"/>
  <c r="AD56" i="230" s="1"/>
  <c r="V29" i="230"/>
  <c r="V56" i="230" s="1"/>
  <c r="I52" i="230"/>
  <c r="M52" i="233"/>
  <c r="W29" i="230"/>
  <c r="W56" i="230" s="1"/>
  <c r="Y29" i="230"/>
  <c r="Y56" i="230" s="1"/>
  <c r="H201" i="229"/>
  <c r="BF203" i="198" s="1"/>
  <c r="T185" i="229"/>
  <c r="T201" i="229" s="1"/>
  <c r="T207" i="229" s="1"/>
  <c r="AE18" i="230"/>
  <c r="AB29" i="230"/>
  <c r="AB56" i="230" s="1"/>
  <c r="X29" i="230"/>
  <c r="X56" i="230" s="1"/>
  <c r="T29" i="230"/>
  <c r="T56" i="230" s="1"/>
  <c r="U29" i="230"/>
  <c r="U56" i="230" s="1"/>
  <c r="AC29" i="230"/>
  <c r="AC56" i="230" s="1"/>
  <c r="AE12" i="230"/>
  <c r="AA29" i="230"/>
  <c r="AA56" i="230" s="1"/>
  <c r="S29" i="230"/>
  <c r="S56" i="230" s="1"/>
  <c r="BE11" i="250"/>
  <c r="BD51" i="250"/>
  <c r="BD64" i="250" s="1"/>
  <c r="BD68" i="250" s="1"/>
  <c r="BE60" i="250"/>
  <c r="BD23" i="250"/>
  <c r="BC24" i="250"/>
  <c r="BC28" i="250"/>
  <c r="BC29" i="250" s="1"/>
  <c r="BC32" i="250"/>
  <c r="BC33" i="250" s="1"/>
  <c r="BC30" i="250"/>
  <c r="BC31" i="250" s="1"/>
  <c r="BC26" i="250"/>
  <c r="BC27" i="250" s="1"/>
  <c r="BD58" i="250"/>
  <c r="BD40" i="250"/>
  <c r="BD43" i="250" s="1"/>
  <c r="BD38" i="250"/>
  <c r="BE54" i="250"/>
  <c r="BE67" i="250" s="1"/>
  <c r="BE52" i="250"/>
  <c r="BE65" i="250" s="1"/>
  <c r="BE49" i="250"/>
  <c r="BE62" i="250" s="1"/>
  <c r="BE50" i="250"/>
  <c r="BE63" i="250" s="1"/>
  <c r="BF10" i="250" a="1"/>
  <c r="BF10" i="250" s="1"/>
  <c r="BE53" i="250"/>
  <c r="BE66" i="250" s="1"/>
  <c r="BC55" i="250"/>
  <c r="BC56" i="250" s="1"/>
  <c r="BF8" i="250"/>
  <c r="BE35" i="250"/>
  <c r="BE45" i="250"/>
  <c r="BC68" i="250"/>
  <c r="BC69" i="250" s="1"/>
  <c r="BA75" i="250" s="1"/>
  <c r="N52" i="232"/>
  <c r="AI102" i="193"/>
  <c r="AG115" i="193"/>
  <c r="AE64" i="193"/>
  <c r="AF125" i="193"/>
  <c r="AE84" i="193"/>
  <c r="AC98" i="193"/>
  <c r="AN98" i="193" s="1"/>
  <c r="AJ72" i="193"/>
  <c r="AI113" i="193"/>
  <c r="AE83" i="193"/>
  <c r="AB118" i="193"/>
  <c r="AJ127" i="193"/>
  <c r="AM131" i="193"/>
  <c r="AE103" i="193"/>
  <c r="AF95" i="193"/>
  <c r="AJ102" i="193"/>
  <c r="AH115" i="193"/>
  <c r="AI64" i="193"/>
  <c r="AJ125" i="193"/>
  <c r="AG84" i="193"/>
  <c r="AF98" i="193"/>
  <c r="AB72" i="193"/>
  <c r="AG113" i="193"/>
  <c r="AF83" i="193"/>
  <c r="AK118" i="193"/>
  <c r="AB127" i="193"/>
  <c r="AJ131" i="193"/>
  <c r="AD103" i="193"/>
  <c r="AF81" i="193"/>
  <c r="AK102" i="193"/>
  <c r="AB56" i="193"/>
  <c r="AG130" i="193"/>
  <c r="AB109" i="193"/>
  <c r="AM64" i="193"/>
  <c r="AL58" i="193"/>
  <c r="AG80" i="193"/>
  <c r="AN80" i="193" s="1"/>
  <c r="AJ101" i="193"/>
  <c r="AK125" i="193"/>
  <c r="AD111" i="193"/>
  <c r="AH84" i="193"/>
  <c r="AG133" i="193"/>
  <c r="AE98" i="193"/>
  <c r="AB79" i="193"/>
  <c r="AJ113" i="193"/>
  <c r="AG83" i="193"/>
  <c r="AF116" i="193"/>
  <c r="AK110" i="193"/>
  <c r="AB97" i="193"/>
  <c r="AE118" i="193"/>
  <c r="AL50" i="193"/>
  <c r="AH99" i="193"/>
  <c r="AD96" i="193"/>
  <c r="AK132" i="193"/>
  <c r="AK134" i="193"/>
  <c r="AE69" i="193"/>
  <c r="AM112" i="193"/>
  <c r="AI86" i="193"/>
  <c r="AL85" i="193"/>
  <c r="AG88" i="193"/>
  <c r="AI55" i="193"/>
  <c r="AH114" i="193"/>
  <c r="AH73" i="193"/>
  <c r="AE100" i="193"/>
  <c r="AM51" i="193"/>
  <c r="AB57" i="193"/>
  <c r="AN57" i="193" s="1"/>
  <c r="AI117" i="193"/>
  <c r="AD127" i="193"/>
  <c r="AC71" i="193"/>
  <c r="AK131" i="193"/>
  <c r="AG90" i="193"/>
  <c r="AB129" i="193"/>
  <c r="AG70" i="193"/>
  <c r="AH103" i="193"/>
  <c r="AH95" i="193"/>
  <c r="AG126" i="193"/>
  <c r="AJ82" i="193"/>
  <c r="AF53" i="193"/>
  <c r="AM102" i="193"/>
  <c r="AJ56" i="193"/>
  <c r="AJ130" i="193"/>
  <c r="AC109" i="193"/>
  <c r="AL64" i="193"/>
  <c r="AB58" i="193"/>
  <c r="AI80" i="193"/>
  <c r="AD101" i="193"/>
  <c r="AB125" i="193"/>
  <c r="AF111" i="193"/>
  <c r="AD84" i="193"/>
  <c r="AI133" i="193"/>
  <c r="AG98" i="193"/>
  <c r="AD79" i="193"/>
  <c r="AK113" i="193"/>
  <c r="AH83" i="193"/>
  <c r="AI116" i="193"/>
  <c r="AL110" i="193"/>
  <c r="AF97" i="193"/>
  <c r="AF118" i="193"/>
  <c r="AI50" i="193"/>
  <c r="AI99" i="193"/>
  <c r="AE96" i="193"/>
  <c r="AL132" i="193"/>
  <c r="AM134" i="193"/>
  <c r="AG69" i="193"/>
  <c r="AG112" i="193"/>
  <c r="AL86" i="193"/>
  <c r="AM85" i="193"/>
  <c r="AI88" i="193"/>
  <c r="AH55" i="193"/>
  <c r="AJ114" i="193"/>
  <c r="AI73" i="193"/>
  <c r="AF100" i="193"/>
  <c r="AE51" i="193"/>
  <c r="AC57" i="193"/>
  <c r="AM117" i="193"/>
  <c r="AC127" i="193"/>
  <c r="AE71" i="193"/>
  <c r="AB131" i="193"/>
  <c r="AI90" i="193"/>
  <c r="AC129" i="193"/>
  <c r="AH70" i="193"/>
  <c r="AF103" i="193"/>
  <c r="AE95" i="193"/>
  <c r="AI126" i="193"/>
  <c r="AK82" i="193"/>
  <c r="AJ53" i="193"/>
  <c r="AJ115" i="193"/>
  <c r="AC56" i="193"/>
  <c r="AH130" i="193"/>
  <c r="AD109" i="193"/>
  <c r="AB64" i="193"/>
  <c r="AC58" i="193"/>
  <c r="AI124" i="193"/>
  <c r="AE101" i="193"/>
  <c r="AL125" i="193"/>
  <c r="AG111" i="193"/>
  <c r="AI84" i="193"/>
  <c r="AJ133" i="193"/>
  <c r="AD72" i="193"/>
  <c r="AI79" i="193"/>
  <c r="AH113" i="193"/>
  <c r="AI83" i="193"/>
  <c r="AH116" i="193"/>
  <c r="AL128" i="193"/>
  <c r="AG97" i="193"/>
  <c r="AC118" i="193"/>
  <c r="AM50" i="193"/>
  <c r="AH96" i="193"/>
  <c r="AM132" i="193"/>
  <c r="AD87" i="193"/>
  <c r="AK69" i="193"/>
  <c r="AH112" i="193"/>
  <c r="AM86" i="193"/>
  <c r="AB85" i="193"/>
  <c r="AJ94" i="193"/>
  <c r="AJ55" i="193"/>
  <c r="AK114" i="193"/>
  <c r="AJ73" i="193"/>
  <c r="AG100" i="193"/>
  <c r="AF51" i="193"/>
  <c r="AC117" i="193"/>
  <c r="AE127" i="193"/>
  <c r="AD71" i="193"/>
  <c r="AC131" i="193"/>
  <c r="AJ90" i="193"/>
  <c r="AF54" i="193"/>
  <c r="AI70" i="193"/>
  <c r="AI103" i="193"/>
  <c r="AI95" i="193"/>
  <c r="AJ126" i="193"/>
  <c r="AL135" i="193"/>
  <c r="AK53" i="193"/>
  <c r="AM81" i="193"/>
  <c r="AE115" i="193"/>
  <c r="AD56" i="193"/>
  <c r="AI130" i="193"/>
  <c r="AE109" i="193"/>
  <c r="AF64" i="193"/>
  <c r="AD58" i="193"/>
  <c r="AD124" i="193"/>
  <c r="AB101" i="193"/>
  <c r="AM125" i="193"/>
  <c r="AH111" i="193"/>
  <c r="AJ84" i="193"/>
  <c r="AK133" i="193"/>
  <c r="AC72" i="193"/>
  <c r="AJ79" i="193"/>
  <c r="AL113" i="193"/>
  <c r="AK83" i="193"/>
  <c r="AJ116" i="193"/>
  <c r="AB128" i="193"/>
  <c r="AI97" i="193"/>
  <c r="AG118" i="193"/>
  <c r="AD50" i="193"/>
  <c r="AI96" i="193"/>
  <c r="AB132" i="193"/>
  <c r="AH87" i="193"/>
  <c r="AL69" i="193"/>
  <c r="AE112" i="193"/>
  <c r="AC86" i="193"/>
  <c r="AC85" i="193"/>
  <c r="AD94" i="193"/>
  <c r="AB55" i="193"/>
  <c r="AL114" i="193"/>
  <c r="AK73" i="193"/>
  <c r="AI100" i="193"/>
  <c r="AG51" i="193"/>
  <c r="AB117" i="193"/>
  <c r="AF127" i="193"/>
  <c r="AF71" i="193"/>
  <c r="AE131" i="193"/>
  <c r="AK90" i="193"/>
  <c r="AG54" i="193"/>
  <c r="AM70" i="193"/>
  <c r="AG103" i="193"/>
  <c r="AJ95" i="193"/>
  <c r="AK126" i="193"/>
  <c r="AC135" i="193"/>
  <c r="AD53" i="193"/>
  <c r="AB81" i="193"/>
  <c r="AB102" i="193"/>
  <c r="AI115" i="193"/>
  <c r="AK56" i="193"/>
  <c r="AK130" i="193"/>
  <c r="AF109" i="193"/>
  <c r="AG64" i="193"/>
  <c r="AF80" i="193"/>
  <c r="AH124" i="193"/>
  <c r="AF101" i="193"/>
  <c r="AC125" i="193"/>
  <c r="AI111" i="193"/>
  <c r="AK84" i="193"/>
  <c r="AI98" i="193"/>
  <c r="AE72" i="193"/>
  <c r="AH79" i="193"/>
  <c r="AM113" i="193"/>
  <c r="AL83" i="193"/>
  <c r="AI110" i="193"/>
  <c r="AC128" i="193"/>
  <c r="AJ97" i="193"/>
  <c r="AD118" i="193"/>
  <c r="AC50" i="193"/>
  <c r="AF99" i="193"/>
  <c r="AF96" i="193"/>
  <c r="AC132" i="193"/>
  <c r="AJ134" i="193"/>
  <c r="AI87" i="193"/>
  <c r="AF69" i="193"/>
  <c r="AF112" i="193"/>
  <c r="AD86" i="193"/>
  <c r="AF88" i="193"/>
  <c r="AB94" i="193"/>
  <c r="AD55" i="193"/>
  <c r="AM114" i="193"/>
  <c r="AL73" i="193"/>
  <c r="AJ100" i="193"/>
  <c r="AD57" i="193"/>
  <c r="AD117" i="193"/>
  <c r="AG127" i="193"/>
  <c r="AG71" i="193"/>
  <c r="AF131" i="193"/>
  <c r="AD129" i="193"/>
  <c r="AH54" i="193"/>
  <c r="AB70" i="193"/>
  <c r="AJ103" i="193"/>
  <c r="AK95" i="193"/>
  <c r="AM82" i="193"/>
  <c r="AB135" i="193"/>
  <c r="AL53" i="193"/>
  <c r="AC102" i="193"/>
  <c r="AK115" i="193"/>
  <c r="AL56" i="193"/>
  <c r="AL130" i="193"/>
  <c r="AI109" i="193"/>
  <c r="AH64" i="193"/>
  <c r="AJ80" i="193"/>
  <c r="AL124" i="193"/>
  <c r="AC101" i="193"/>
  <c r="AD125" i="193"/>
  <c r="AJ111" i="193"/>
  <c r="AM84" i="193"/>
  <c r="AD98" i="193"/>
  <c r="AK72" i="193"/>
  <c r="AL79" i="193"/>
  <c r="AC113" i="193"/>
  <c r="AM83" i="193"/>
  <c r="AM110" i="193"/>
  <c r="AF128" i="193"/>
  <c r="AK97" i="193"/>
  <c r="AH118" i="193"/>
  <c r="AE50" i="193"/>
  <c r="AJ99" i="193"/>
  <c r="AG96" i="193"/>
  <c r="AD132" i="193"/>
  <c r="AD134" i="193"/>
  <c r="AK87" i="193"/>
  <c r="AM69" i="193"/>
  <c r="AI112" i="193"/>
  <c r="AE86" i="193"/>
  <c r="AJ88" i="193"/>
  <c r="AE94" i="193"/>
  <c r="AE55" i="193"/>
  <c r="AI114" i="193"/>
  <c r="AC73" i="193"/>
  <c r="AK100" i="193"/>
  <c r="AE57" i="193"/>
  <c r="AE117" i="193"/>
  <c r="AH127" i="193"/>
  <c r="AH71" i="193"/>
  <c r="AG131" i="193"/>
  <c r="AE129" i="193"/>
  <c r="AL54" i="193"/>
  <c r="AC70" i="193"/>
  <c r="AK103" i="193"/>
  <c r="AM95" i="193"/>
  <c r="AH82" i="193"/>
  <c r="AF135" i="193"/>
  <c r="AE53" i="193"/>
  <c r="AL102" i="193"/>
  <c r="AM115" i="193"/>
  <c r="AF56" i="193"/>
  <c r="AM130" i="193"/>
  <c r="AH109" i="193"/>
  <c r="AF58" i="193"/>
  <c r="AK80" i="193"/>
  <c r="AM124" i="193"/>
  <c r="AG101" i="193"/>
  <c r="AE125" i="193"/>
  <c r="AL111" i="193"/>
  <c r="AH133" i="193"/>
  <c r="AH98" i="193"/>
  <c r="AL72" i="193"/>
  <c r="AK79" i="193"/>
  <c r="AB113" i="193"/>
  <c r="AN113" i="193" s="1"/>
  <c r="AK116" i="193"/>
  <c r="AC110" i="193"/>
  <c r="AD128" i="193"/>
  <c r="AL97" i="193"/>
  <c r="AI118" i="193"/>
  <c r="AK99" i="193"/>
  <c r="AJ96" i="193"/>
  <c r="AE132" i="193"/>
  <c r="AC134" i="193"/>
  <c r="AL87" i="193"/>
  <c r="AB69" i="193"/>
  <c r="AJ112" i="193"/>
  <c r="AD85" i="193"/>
  <c r="AK88" i="193"/>
  <c r="AC94" i="193"/>
  <c r="AC55" i="193"/>
  <c r="AB114" i="193"/>
  <c r="AB73" i="193"/>
  <c r="AI51" i="193"/>
  <c r="AF57" i="193"/>
  <c r="AF117" i="193"/>
  <c r="AI127" i="193"/>
  <c r="AL71" i="193"/>
  <c r="AM90" i="193"/>
  <c r="AG129" i="193"/>
  <c r="AM54" i="193"/>
  <c r="AD70" i="193"/>
  <c r="AL103" i="193"/>
  <c r="AH126" i="193"/>
  <c r="AL82" i="193"/>
  <c r="AD135" i="193"/>
  <c r="AM53" i="193"/>
  <c r="AE81" i="193"/>
  <c r="AE102" i="193"/>
  <c r="AL115" i="193"/>
  <c r="AG56" i="193"/>
  <c r="AC130" i="193"/>
  <c r="AN130" i="193" s="1"/>
  <c r="AJ109" i="193"/>
  <c r="AG58" i="193"/>
  <c r="AL80" i="193"/>
  <c r="AJ124" i="193"/>
  <c r="AH101" i="193"/>
  <c r="AG125" i="193"/>
  <c r="AM111" i="193"/>
  <c r="AL133" i="193"/>
  <c r="AL98" i="193"/>
  <c r="AM72" i="193"/>
  <c r="AM79" i="193"/>
  <c r="AD113" i="193"/>
  <c r="AL116" i="193"/>
  <c r="AD110" i="193"/>
  <c r="AG128" i="193"/>
  <c r="AH97" i="193"/>
  <c r="AJ118" i="193"/>
  <c r="AL99" i="193"/>
  <c r="AK96" i="193"/>
  <c r="AG132" i="193"/>
  <c r="AE134" i="193"/>
  <c r="AM87" i="193"/>
  <c r="AC69" i="193"/>
  <c r="AK112" i="193"/>
  <c r="AE85" i="193"/>
  <c r="AM88" i="193"/>
  <c r="AF94" i="193"/>
  <c r="AF55" i="193"/>
  <c r="AD114" i="193"/>
  <c r="AD73" i="193"/>
  <c r="AJ51" i="193"/>
  <c r="AL57" i="193"/>
  <c r="AG117" i="193"/>
  <c r="AK127" i="193"/>
  <c r="AM71" i="193"/>
  <c r="AH90" i="193"/>
  <c r="AH129" i="193"/>
  <c r="AB54" i="193"/>
  <c r="AE70" i="193"/>
  <c r="AM103" i="193"/>
  <c r="AL126" i="193"/>
  <c r="AB82" i="193"/>
  <c r="AG135" i="193"/>
  <c r="AB53" i="193"/>
  <c r="AF102" i="193"/>
  <c r="AB115" i="193"/>
  <c r="AH56" i="193"/>
  <c r="AD130" i="193"/>
  <c r="AJ64" i="193"/>
  <c r="AM58" i="193"/>
  <c r="AM80" i="193"/>
  <c r="AK124" i="193"/>
  <c r="AI101" i="193"/>
  <c r="AH125" i="193"/>
  <c r="AB84" i="193"/>
  <c r="AM133" i="193"/>
  <c r="AJ98" i="193"/>
  <c r="AG72" i="193"/>
  <c r="AC79" i="193"/>
  <c r="AJ83" i="193"/>
  <c r="AG116" i="193"/>
  <c r="AB110" i="193"/>
  <c r="AE128" i="193"/>
  <c r="AM97" i="193"/>
  <c r="AL118" i="193"/>
  <c r="AB50" i="193"/>
  <c r="AM99" i="193"/>
  <c r="AL96" i="193"/>
  <c r="AH132" i="193"/>
  <c r="AB134" i="193"/>
  <c r="AJ87" i="193"/>
  <c r="AD69" i="193"/>
  <c r="AL112" i="193"/>
  <c r="AB86" i="193"/>
  <c r="AH85" i="193"/>
  <c r="AB88" i="193"/>
  <c r="AG94" i="193"/>
  <c r="AG55" i="193"/>
  <c r="AE114" i="193"/>
  <c r="AH100" i="193"/>
  <c r="AB51" i="193"/>
  <c r="AM57" i="193"/>
  <c r="AH117" i="193"/>
  <c r="AL127" i="193"/>
  <c r="AD131" i="193"/>
  <c r="AL90" i="193"/>
  <c r="AI129" i="193"/>
  <c r="AC54" i="193"/>
  <c r="AF70" i="193"/>
  <c r="AB103" i="193"/>
  <c r="AB95" i="193"/>
  <c r="AN95" i="193" s="1"/>
  <c r="AM126" i="193"/>
  <c r="AC82" i="193"/>
  <c r="AE135" i="193"/>
  <c r="AC53" i="193"/>
  <c r="AG102" i="193"/>
  <c r="AC115" i="193"/>
  <c r="AE56" i="193"/>
  <c r="AE130" i="193"/>
  <c r="AK64" i="193"/>
  <c r="AE58" i="193"/>
  <c r="AB80" i="193"/>
  <c r="AB124" i="193"/>
  <c r="AL101" i="193"/>
  <c r="AI125" i="193"/>
  <c r="AL84" i="193"/>
  <c r="AB133" i="193"/>
  <c r="AK98" i="193"/>
  <c r="AH72" i="193"/>
  <c r="AE79" i="193"/>
  <c r="AB83" i="193"/>
  <c r="AM116" i="193"/>
  <c r="AE110" i="193"/>
  <c r="AH128" i="193"/>
  <c r="AC97" i="193"/>
  <c r="AM118" i="193"/>
  <c r="AF50" i="193"/>
  <c r="AB99" i="193"/>
  <c r="AM96" i="193"/>
  <c r="AI132" i="193"/>
  <c r="AF134" i="193"/>
  <c r="AB87" i="193"/>
  <c r="AH69" i="193"/>
  <c r="AF86" i="193"/>
  <c r="AF85" i="193"/>
  <c r="AL88" i="193"/>
  <c r="AH94" i="193"/>
  <c r="AK55" i="193"/>
  <c r="AF114" i="193"/>
  <c r="AL100" i="193"/>
  <c r="AC51" i="193"/>
  <c r="AG57" i="193"/>
  <c r="AJ117" i="193"/>
  <c r="AM127" i="193"/>
  <c r="AH131" i="193"/>
  <c r="AB90" i="193"/>
  <c r="AF129" i="193"/>
  <c r="AD54" i="193"/>
  <c r="AK70" i="193"/>
  <c r="AC103" i="193"/>
  <c r="AC95" i="193"/>
  <c r="AB126" i="193"/>
  <c r="AD82" i="193"/>
  <c r="AH135" i="193"/>
  <c r="AH53" i="193"/>
  <c r="AH81" i="193"/>
  <c r="AH102" i="193"/>
  <c r="AD115" i="193"/>
  <c r="AI56" i="193"/>
  <c r="AG109" i="193"/>
  <c r="AC64" i="193"/>
  <c r="AI58" i="193"/>
  <c r="AC80" i="193"/>
  <c r="AC124" i="193"/>
  <c r="AK101" i="193"/>
  <c r="AK111" i="193"/>
  <c r="AC84" i="193"/>
  <c r="AN84" i="193" s="1"/>
  <c r="AC133" i="193"/>
  <c r="AM98" i="193"/>
  <c r="AF72" i="193"/>
  <c r="AF79" i="193"/>
  <c r="AE113" i="193"/>
  <c r="AC83" i="193"/>
  <c r="AB116" i="193"/>
  <c r="AF110" i="193"/>
  <c r="AI128" i="193"/>
  <c r="AD97" i="193"/>
  <c r="AG50" i="193"/>
  <c r="AC99" i="193"/>
  <c r="AB96" i="193"/>
  <c r="AG134" i="193"/>
  <c r="AC87" i="193"/>
  <c r="AI69" i="193"/>
  <c r="AG86" i="193"/>
  <c r="AI85" i="193"/>
  <c r="AC88" i="193"/>
  <c r="AI94" i="193"/>
  <c r="AL55" i="193"/>
  <c r="AE73" i="193"/>
  <c r="AM100" i="193"/>
  <c r="AD51" i="193"/>
  <c r="AH57" i="193"/>
  <c r="AK117" i="193"/>
  <c r="AJ71" i="193"/>
  <c r="AI131" i="193"/>
  <c r="AC90" i="193"/>
  <c r="AJ129" i="193"/>
  <c r="AE54" i="193"/>
  <c r="AJ70" i="193"/>
  <c r="AL95" i="193"/>
  <c r="AC126" i="193"/>
  <c r="AE82" i="193"/>
  <c r="AI135" i="193"/>
  <c r="AG53" i="193"/>
  <c r="AI81" i="193"/>
  <c r="AD102" i="193"/>
  <c r="AF115" i="193"/>
  <c r="AM56" i="193"/>
  <c r="AK109" i="193"/>
  <c r="AD64" i="193"/>
  <c r="AH58" i="193"/>
  <c r="AD80" i="193"/>
  <c r="AE124" i="193"/>
  <c r="AM101" i="193"/>
  <c r="AF84" i="193"/>
  <c r="AD133" i="193"/>
  <c r="AI72" i="193"/>
  <c r="AG79" i="193"/>
  <c r="AD83" i="193"/>
  <c r="AC116" i="193"/>
  <c r="AJ128" i="193"/>
  <c r="AD99" i="193"/>
  <c r="AE87" i="193"/>
  <c r="AJ69" i="193"/>
  <c r="AH86" i="193"/>
  <c r="AJ85" i="193"/>
  <c r="AD88" i="193"/>
  <c r="AL94" i="193"/>
  <c r="AM55" i="193"/>
  <c r="AF73" i="193"/>
  <c r="AB100" i="193"/>
  <c r="AN100" i="193" s="1"/>
  <c r="AI57" i="193"/>
  <c r="AL117" i="193"/>
  <c r="AI71" i="193"/>
  <c r="AL131" i="193"/>
  <c r="AD90" i="193"/>
  <c r="AK129" i="193"/>
  <c r="AI54" i="193"/>
  <c r="AL70" i="193"/>
  <c r="AD126" i="193"/>
  <c r="AF82" i="193"/>
  <c r="AJ135" i="193"/>
  <c r="AK199" i="222"/>
  <c r="AK98" i="221"/>
  <c r="AB185" i="222"/>
  <c r="AB201" i="222" s="1"/>
  <c r="AB207" i="222" s="1"/>
  <c r="AW83" i="198"/>
  <c r="AX83" i="198" s="1"/>
  <c r="AJ185" i="219"/>
  <c r="AJ201" i="219" s="1"/>
  <c r="AJ207" i="219" s="1"/>
  <c r="AK120" i="221"/>
  <c r="AK112" i="221"/>
  <c r="AK111" i="218"/>
  <c r="AH185" i="222"/>
  <c r="AH201" i="222" s="1"/>
  <c r="AH207" i="222" s="1"/>
  <c r="AA185" i="219"/>
  <c r="AA201" i="219" s="1"/>
  <c r="AA207" i="219" s="1"/>
  <c r="AD185" i="221"/>
  <c r="AD201" i="221" s="1"/>
  <c r="AD207" i="221" s="1"/>
  <c r="AK104" i="219"/>
  <c r="AG185" i="222"/>
  <c r="AG201" i="222" s="1"/>
  <c r="AG207" i="222" s="1"/>
  <c r="AC201" i="221"/>
  <c r="AC207" i="221" s="1"/>
  <c r="AJ185" i="221"/>
  <c r="AJ201" i="221" s="1"/>
  <c r="AJ207" i="221" s="1"/>
  <c r="Z185" i="219"/>
  <c r="Z201" i="219" s="1"/>
  <c r="Z207" i="219" s="1"/>
  <c r="AF185" i="219"/>
  <c r="AF201" i="219" s="1"/>
  <c r="AF207" i="219" s="1"/>
  <c r="AF185" i="221"/>
  <c r="AF201" i="221" s="1"/>
  <c r="AF207" i="221" s="1"/>
  <c r="Y185" i="221"/>
  <c r="Y201" i="221" s="1"/>
  <c r="Y207" i="221" s="1"/>
  <c r="AK19" i="204"/>
  <c r="AH70" i="198"/>
  <c r="AI70" i="198" s="1"/>
  <c r="AK95" i="221"/>
  <c r="AK172" i="204"/>
  <c r="Z185" i="204"/>
  <c r="Z201" i="204" s="1"/>
  <c r="Z207" i="204" s="1"/>
  <c r="AK115" i="221"/>
  <c r="AK115" i="218"/>
  <c r="E116" i="222"/>
  <c r="F116" i="222" s="1"/>
  <c r="H116" i="222"/>
  <c r="I116" i="222" s="1"/>
  <c r="AK116" i="222"/>
  <c r="E120" i="222"/>
  <c r="F120" i="222" s="1"/>
  <c r="H120" i="222"/>
  <c r="I120" i="222" s="1"/>
  <c r="AK120" i="222"/>
  <c r="H108" i="222"/>
  <c r="I108" i="222" s="1"/>
  <c r="AK108" i="222"/>
  <c r="E108" i="222"/>
  <c r="F108" i="222" s="1"/>
  <c r="AK119" i="222"/>
  <c r="H119" i="222"/>
  <c r="I119" i="222" s="1"/>
  <c r="E119" i="222"/>
  <c r="F119" i="222" s="1"/>
  <c r="H114" i="222"/>
  <c r="I114" i="222" s="1"/>
  <c r="E114" i="222"/>
  <c r="F114" i="222" s="1"/>
  <c r="AK114" i="222"/>
  <c r="AK95" i="222"/>
  <c r="H95" i="222"/>
  <c r="I95" i="222" s="1"/>
  <c r="E95" i="222"/>
  <c r="F95" i="222" s="1"/>
  <c r="Y185" i="222"/>
  <c r="H12" i="222"/>
  <c r="I12" i="222" s="1"/>
  <c r="E12" i="222"/>
  <c r="F12" i="222" s="1"/>
  <c r="AK153" i="204"/>
  <c r="AK114" i="221"/>
  <c r="AG185" i="219"/>
  <c r="AG201" i="219" s="1"/>
  <c r="AG207" i="219" s="1"/>
  <c r="AK121" i="220"/>
  <c r="AK112" i="219"/>
  <c r="AK107" i="221"/>
  <c r="AK153" i="219"/>
  <c r="AK185" i="219" s="1"/>
  <c r="AK201" i="219" s="1"/>
  <c r="AK207" i="219" s="1"/>
  <c r="AK104" i="204"/>
  <c r="AG185" i="218"/>
  <c r="AG201" i="218" s="1"/>
  <c r="AG207" i="218" s="1"/>
  <c r="AK199" i="204"/>
  <c r="AK103" i="221"/>
  <c r="H100" i="222"/>
  <c r="I100" i="222" s="1"/>
  <c r="AK100" i="222"/>
  <c r="E100" i="222"/>
  <c r="F100" i="222" s="1"/>
  <c r="H121" i="222"/>
  <c r="I121" i="222" s="1"/>
  <c r="E121" i="222"/>
  <c r="F121" i="222" s="1"/>
  <c r="AK121" i="222"/>
  <c r="AK111" i="221"/>
  <c r="AK183" i="218"/>
  <c r="AK125" i="218"/>
  <c r="H102" i="222"/>
  <c r="I102" i="222" s="1"/>
  <c r="E102" i="222"/>
  <c r="F102" i="222" s="1"/>
  <c r="AK102" i="222"/>
  <c r="AK119" i="221"/>
  <c r="AK108" i="220"/>
  <c r="AK99" i="221"/>
  <c r="H172" i="222"/>
  <c r="E172" i="222"/>
  <c r="Z185" i="221"/>
  <c r="Z201" i="221" s="1"/>
  <c r="Z207" i="221" s="1"/>
  <c r="AK172" i="218"/>
  <c r="AD185" i="218"/>
  <c r="AD201" i="218" s="1"/>
  <c r="AD207" i="218" s="1"/>
  <c r="AK19" i="221"/>
  <c r="AK106" i="222"/>
  <c r="H106" i="222"/>
  <c r="I106" i="222" s="1"/>
  <c r="E106" i="222"/>
  <c r="F106" i="222" s="1"/>
  <c r="AK111" i="204"/>
  <c r="AK104" i="220"/>
  <c r="AK153" i="221"/>
  <c r="E107" i="222"/>
  <c r="F107" i="222" s="1"/>
  <c r="H107" i="222"/>
  <c r="I107" i="222" s="1"/>
  <c r="AK107" i="222"/>
  <c r="E183" i="222"/>
  <c r="F183" i="222" s="1"/>
  <c r="H183" i="222"/>
  <c r="I183" i="222" s="1"/>
  <c r="R62" i="204"/>
  <c r="AK104" i="218"/>
  <c r="H98" i="222"/>
  <c r="I98" i="222" s="1"/>
  <c r="AK98" i="222"/>
  <c r="E98" i="222"/>
  <c r="F98" i="222" s="1"/>
  <c r="AK96" i="220"/>
  <c r="AK108" i="204"/>
  <c r="AK172" i="222"/>
  <c r="AB185" i="204"/>
  <c r="AB201" i="204" s="1"/>
  <c r="AB207" i="204" s="1"/>
  <c r="Y185" i="218"/>
  <c r="Y201" i="218" s="1"/>
  <c r="Y207" i="218" s="1"/>
  <c r="AK116" i="221"/>
  <c r="AK125" i="221"/>
  <c r="AI201" i="221"/>
  <c r="AI207" i="221" s="1"/>
  <c r="AK153" i="222"/>
  <c r="AK110" i="221"/>
  <c r="AK106" i="221"/>
  <c r="AK124" i="221"/>
  <c r="AK12" i="204"/>
  <c r="AK121" i="218"/>
  <c r="AK112" i="220"/>
  <c r="H125" i="222"/>
  <c r="I125" i="222" s="1"/>
  <c r="E125" i="222"/>
  <c r="F125" i="222" s="1"/>
  <c r="AK125" i="222"/>
  <c r="E153" i="222"/>
  <c r="H153" i="222"/>
  <c r="AK116" i="220"/>
  <c r="AD185" i="219"/>
  <c r="AD201" i="219" s="1"/>
  <c r="AD207" i="219" s="1"/>
  <c r="Y185" i="204"/>
  <c r="Y201" i="204" s="1"/>
  <c r="Y207" i="204" s="1"/>
  <c r="E110" i="222"/>
  <c r="F110" i="222" s="1"/>
  <c r="AK110" i="222"/>
  <c r="H110" i="222"/>
  <c r="I110" i="222" s="1"/>
  <c r="AK125" i="220"/>
  <c r="AK100" i="221"/>
  <c r="AK172" i="221"/>
  <c r="H112" i="222"/>
  <c r="I112" i="222" s="1"/>
  <c r="AK112" i="222"/>
  <c r="E112" i="222"/>
  <c r="F112" i="222" s="1"/>
  <c r="AK116" i="219"/>
  <c r="AK96" i="222"/>
  <c r="E96" i="222"/>
  <c r="F96" i="222" s="1"/>
  <c r="H96" i="222"/>
  <c r="I96" i="222" s="1"/>
  <c r="AC185" i="219"/>
  <c r="AC201" i="219" s="1"/>
  <c r="AC207" i="219" s="1"/>
  <c r="AK119" i="218"/>
  <c r="AK116" i="218"/>
  <c r="AK124" i="222"/>
  <c r="H124" i="222"/>
  <c r="I124" i="222" s="1"/>
  <c r="E124" i="222"/>
  <c r="F124" i="222" s="1"/>
  <c r="AK104" i="221"/>
  <c r="AK42" i="204"/>
  <c r="AK96" i="221"/>
  <c r="AK111" i="222"/>
  <c r="H111" i="222"/>
  <c r="I111" i="222" s="1"/>
  <c r="E111" i="222"/>
  <c r="F111" i="222" s="1"/>
  <c r="AK115" i="222"/>
  <c r="E115" i="222"/>
  <c r="F115" i="222" s="1"/>
  <c r="H115" i="222"/>
  <c r="I115" i="222" s="1"/>
  <c r="AK100" i="220"/>
  <c r="AK19" i="222"/>
  <c r="AK123" i="221"/>
  <c r="E94" i="222"/>
  <c r="F94" i="222" s="1"/>
  <c r="AK94" i="222"/>
  <c r="H94" i="222"/>
  <c r="I94" i="222" s="1"/>
  <c r="AK108" i="221"/>
  <c r="AK96" i="219"/>
  <c r="E99" i="222"/>
  <c r="F99" i="222" s="1"/>
  <c r="AK99" i="222"/>
  <c r="H99" i="222"/>
  <c r="I99" i="222" s="1"/>
  <c r="AK12" i="222"/>
  <c r="E103" i="222"/>
  <c r="F103" i="222" s="1"/>
  <c r="AK103" i="222"/>
  <c r="H103" i="222"/>
  <c r="I103" i="222" s="1"/>
  <c r="AK42" i="218"/>
  <c r="AK185" i="218" s="1"/>
  <c r="AK201" i="218" s="1"/>
  <c r="AK207" i="218" s="1"/>
  <c r="AK183" i="221"/>
  <c r="AK115" i="204"/>
  <c r="AK104" i="222"/>
  <c r="H104" i="222"/>
  <c r="I104" i="222" s="1"/>
  <c r="E104" i="222"/>
  <c r="F104" i="222" s="1"/>
  <c r="H123" i="222"/>
  <c r="I123" i="222" s="1"/>
  <c r="E123" i="222"/>
  <c r="F123" i="222" s="1"/>
  <c r="AK123" i="222"/>
  <c r="AK199" i="218"/>
  <c r="AB185" i="219"/>
  <c r="AB201" i="219" s="1"/>
  <c r="AB207" i="219" s="1"/>
  <c r="H42" i="222"/>
  <c r="I42" i="222" s="1"/>
  <c r="E42" i="222"/>
  <c r="F42" i="222" s="1"/>
  <c r="AK108" i="218"/>
  <c r="AE185" i="222"/>
  <c r="AE201" i="222" s="1"/>
  <c r="AE207" i="222" s="1"/>
  <c r="AK119" i="204"/>
  <c r="AK110" i="218"/>
  <c r="AK153" i="218"/>
  <c r="AK183" i="222"/>
  <c r="AK108" i="219"/>
  <c r="AK102" i="221"/>
  <c r="AK94" i="221"/>
  <c r="E19" i="222"/>
  <c r="F19" i="222" s="1"/>
  <c r="H19" i="222"/>
  <c r="I19" i="222" s="1"/>
  <c r="AK114" i="218"/>
  <c r="AK121" i="221"/>
  <c r="AK110" i="204"/>
  <c r="AK121" i="219"/>
  <c r="AK19" i="220"/>
  <c r="AK120" i="218"/>
  <c r="AK199" i="221"/>
  <c r="AF10" i="177" a="1"/>
  <c r="AF10" i="177" s="1"/>
  <c r="AG10" i="177" s="1" a="1"/>
  <c r="AG10" i="177" s="1"/>
  <c r="AH10" i="177" s="1" a="1"/>
  <c r="AH10" i="177" s="1"/>
  <c r="AI10" i="177" s="1" a="1"/>
  <c r="AI10" i="177" s="1"/>
  <c r="AJ10" i="177" s="1" a="1"/>
  <c r="AJ10" i="177" s="1"/>
  <c r="AK10" i="177" s="1" a="1"/>
  <c r="AK10" i="177" s="1"/>
  <c r="D53" i="243"/>
  <c r="F52" i="230"/>
  <c r="P52" i="230"/>
  <c r="W321" i="217"/>
  <c r="N52" i="230"/>
  <c r="P52" i="236"/>
  <c r="AD118" i="159"/>
  <c r="X320" i="217"/>
  <c r="AG321" i="217"/>
  <c r="B44" i="236"/>
  <c r="Y285" i="217"/>
  <c r="AF320" i="217"/>
  <c r="AH321" i="217"/>
  <c r="Z321" i="217"/>
  <c r="I52" i="232"/>
  <c r="AB321" i="217"/>
  <c r="AE321" i="217"/>
  <c r="AE320" i="217"/>
  <c r="AA321" i="217"/>
  <c r="O52" i="230"/>
  <c r="AG284" i="217"/>
  <c r="AD320" i="217"/>
  <c r="L52" i="232"/>
  <c r="P52" i="232"/>
  <c r="U124" i="159"/>
  <c r="AH285" i="217"/>
  <c r="AC320" i="217"/>
  <c r="AB284" i="217"/>
  <c r="W118" i="159"/>
  <c r="AC321" i="217"/>
  <c r="Y321" i="217"/>
  <c r="Z320" i="217"/>
  <c r="M52" i="230"/>
  <c r="AK39" i="217"/>
  <c r="AJ178" i="217"/>
  <c r="AJ73" i="217"/>
  <c r="AJ143" i="217"/>
  <c r="AJ108" i="217"/>
  <c r="AJ248" i="217"/>
  <c r="AH284" i="217"/>
  <c r="AF285" i="217"/>
  <c r="AI107" i="217"/>
  <c r="AA284" i="217"/>
  <c r="Y284" i="217"/>
  <c r="AG320" i="217"/>
  <c r="AH320" i="217"/>
  <c r="L52" i="236"/>
  <c r="J52" i="236"/>
  <c r="X285" i="217"/>
  <c r="AF321" i="217"/>
  <c r="AA320" i="217"/>
  <c r="AK179" i="217"/>
  <c r="AK249" i="217"/>
  <c r="AK74" i="217"/>
  <c r="AK144" i="217"/>
  <c r="BG90" i="172"/>
  <c r="AD285" i="217"/>
  <c r="AS99" i="172"/>
  <c r="I52" i="236"/>
  <c r="BG99" i="172"/>
  <c r="BG197" i="172" s="1"/>
  <c r="X321" i="217"/>
  <c r="AB285" i="217"/>
  <c r="AF284" i="217"/>
  <c r="AC285" i="217"/>
  <c r="X284" i="217"/>
  <c r="AG285" i="217"/>
  <c r="AI144" i="217"/>
  <c r="Y320" i="217"/>
  <c r="AD321" i="217"/>
  <c r="AI74" i="217"/>
  <c r="W285" i="217"/>
  <c r="AE285" i="217"/>
  <c r="AI73" i="217"/>
  <c r="W284" i="217"/>
  <c r="AJ249" i="217"/>
  <c r="AJ74" i="217"/>
  <c r="AJ179" i="217"/>
  <c r="AJ144" i="217"/>
  <c r="AI249" i="217"/>
  <c r="AI248" i="217"/>
  <c r="AD284" i="217"/>
  <c r="Z284" i="217"/>
  <c r="M52" i="232"/>
  <c r="AI179" i="217"/>
  <c r="AC284" i="217"/>
  <c r="AI178" i="217"/>
  <c r="AJ142" i="217"/>
  <c r="AJ107" i="217"/>
  <c r="AI143" i="217"/>
  <c r="AE284" i="217"/>
  <c r="Z285" i="217"/>
  <c r="AA285" i="217"/>
  <c r="AI108" i="217"/>
  <c r="W320" i="217"/>
  <c r="AB320" i="217"/>
  <c r="AF118" i="159"/>
  <c r="B48" i="230"/>
  <c r="J52" i="232"/>
  <c r="Y118" i="159"/>
  <c r="X118" i="159"/>
  <c r="O52" i="232"/>
  <c r="AA118" i="159"/>
  <c r="C48" i="230"/>
  <c r="Z118" i="159"/>
  <c r="F52" i="232"/>
  <c r="K52" i="232"/>
  <c r="AE118" i="159"/>
  <c r="V118" i="159"/>
  <c r="AC118" i="159"/>
  <c r="U118" i="159"/>
  <c r="AF66" i="193"/>
  <c r="AC66" i="193"/>
  <c r="AE66" i="193"/>
  <c r="AD66" i="193"/>
  <c r="AB66" i="193"/>
  <c r="AM66" i="193"/>
  <c r="AL66" i="193"/>
  <c r="AG66" i="193"/>
  <c r="AK66" i="193"/>
  <c r="AJ66" i="193"/>
  <c r="AI66" i="193"/>
  <c r="AH66" i="193"/>
  <c r="AM89" i="193"/>
  <c r="AL89" i="193"/>
  <c r="AK89" i="193"/>
  <c r="AJ89" i="193"/>
  <c r="AI89" i="193"/>
  <c r="AH89" i="193"/>
  <c r="AG89" i="193"/>
  <c r="AF89" i="193"/>
  <c r="AE89" i="193"/>
  <c r="AD89" i="193"/>
  <c r="AB89" i="193"/>
  <c r="AC89" i="193"/>
  <c r="AE65" i="193"/>
  <c r="AC65" i="193"/>
  <c r="AF65" i="193"/>
  <c r="AD65" i="193"/>
  <c r="AB65" i="193"/>
  <c r="AM65" i="193"/>
  <c r="AL65" i="193"/>
  <c r="AK65" i="193"/>
  <c r="AJ65" i="193"/>
  <c r="AG65" i="193"/>
  <c r="AI65" i="193"/>
  <c r="AH65" i="193"/>
  <c r="AG67" i="193"/>
  <c r="AE67" i="193"/>
  <c r="AF67" i="193"/>
  <c r="AD67" i="193"/>
  <c r="AC67" i="193"/>
  <c r="AB67" i="193"/>
  <c r="AM67" i="193"/>
  <c r="AL67" i="193"/>
  <c r="AI67" i="193"/>
  <c r="AH67" i="193"/>
  <c r="AK67" i="193"/>
  <c r="AJ67" i="193"/>
  <c r="AN49" i="193"/>
  <c r="AH52" i="193"/>
  <c r="AH59" i="193" s="1"/>
  <c r="AF52" i="193"/>
  <c r="AF59" i="193" s="1"/>
  <c r="AG52" i="193"/>
  <c r="AE52" i="193"/>
  <c r="AD52" i="193"/>
  <c r="AD59" i="193" s="1"/>
  <c r="AC52" i="193"/>
  <c r="AC59" i="193" s="1"/>
  <c r="AB52" i="193"/>
  <c r="AM52" i="193"/>
  <c r="AL52" i="193"/>
  <c r="AK52" i="193"/>
  <c r="AI52" i="193"/>
  <c r="AJ52" i="193"/>
  <c r="Q48" i="232"/>
  <c r="F52" i="236"/>
  <c r="N52" i="236"/>
  <c r="C31" i="236"/>
  <c r="H52" i="232"/>
  <c r="L52" i="233"/>
  <c r="O52" i="233"/>
  <c r="L52" i="230"/>
  <c r="B48" i="232"/>
  <c r="J52" i="230"/>
  <c r="B31" i="232"/>
  <c r="K52" i="230"/>
  <c r="Q31" i="232"/>
  <c r="M52" i="236"/>
  <c r="E52" i="232"/>
  <c r="C52" i="232" s="1"/>
  <c r="Q44" i="236"/>
  <c r="Q44" i="232"/>
  <c r="B44" i="232"/>
  <c r="Q31" i="230"/>
  <c r="G52" i="236"/>
  <c r="Q44" i="230"/>
  <c r="Q81" i="193"/>
  <c r="X82" i="193"/>
  <c r="P51" i="193"/>
  <c r="O52" i="236"/>
  <c r="K52" i="236"/>
  <c r="H119" i="190"/>
  <c r="C48" i="236"/>
  <c r="N82" i="193"/>
  <c r="K102" i="221" s="1"/>
  <c r="D102" i="221" s="1"/>
  <c r="F102" i="221" s="1"/>
  <c r="R57" i="193"/>
  <c r="Q31" i="236"/>
  <c r="H125" i="190"/>
  <c r="O126" i="219"/>
  <c r="Q82" i="193"/>
  <c r="E52" i="236"/>
  <c r="C52" i="236" s="1"/>
  <c r="B49" i="233"/>
  <c r="C49" i="233"/>
  <c r="C32" i="233"/>
  <c r="B32" i="233"/>
  <c r="E31" i="233"/>
  <c r="C41" i="233"/>
  <c r="B41" i="233"/>
  <c r="K46" i="240"/>
  <c r="K52" i="240" s="1"/>
  <c r="D119" i="243"/>
  <c r="M119" i="243" s="1"/>
  <c r="B47" i="233"/>
  <c r="C47" i="233"/>
  <c r="B40" i="233"/>
  <c r="C40" i="233"/>
  <c r="C35" i="233"/>
  <c r="B35" i="233"/>
  <c r="C34" i="233"/>
  <c r="B34" i="233"/>
  <c r="C33" i="233"/>
  <c r="B33" i="233"/>
  <c r="C39" i="233"/>
  <c r="B39" i="233"/>
  <c r="B50" i="233"/>
  <c r="C50" i="233"/>
  <c r="B36" i="233"/>
  <c r="C36" i="233"/>
  <c r="E10" i="231"/>
  <c r="D11" i="238"/>
  <c r="E10" i="230" s="1"/>
  <c r="C45" i="233"/>
  <c r="B45" i="233"/>
  <c r="E44" i="233"/>
  <c r="C46" i="233"/>
  <c r="B46" i="233"/>
  <c r="F185" i="229"/>
  <c r="AS147" i="172"/>
  <c r="AA147" i="172"/>
  <c r="AA99" i="172"/>
  <c r="O118" i="159"/>
  <c r="T118" i="159"/>
  <c r="AS171" i="172"/>
  <c r="B34" i="172"/>
  <c r="AA75" i="172"/>
  <c r="AA51" i="172"/>
  <c r="AB118" i="159"/>
  <c r="AS51" i="172"/>
  <c r="AS123" i="172"/>
  <c r="AA123" i="172"/>
  <c r="AA196" i="172"/>
  <c r="AS27" i="172"/>
  <c r="U65" i="193"/>
  <c r="T57" i="193"/>
  <c r="N70" i="193"/>
  <c r="Q70" i="193"/>
  <c r="R70" i="193"/>
  <c r="U70" i="193"/>
  <c r="T70" i="193"/>
  <c r="V70" i="193"/>
  <c r="W70" i="193"/>
  <c r="S57" i="193"/>
  <c r="R50" i="193"/>
  <c r="Y70" i="193"/>
  <c r="P70" i="193"/>
  <c r="S88" i="193"/>
  <c r="T129" i="193"/>
  <c r="V88" i="193"/>
  <c r="U88" i="193"/>
  <c r="Q64" i="193"/>
  <c r="N88" i="193"/>
  <c r="Y131" i="193"/>
  <c r="T112" i="193"/>
  <c r="X88" i="193"/>
  <c r="T82" i="193"/>
  <c r="W88" i="193"/>
  <c r="O58" i="193"/>
  <c r="W58" i="193"/>
  <c r="P82" i="193"/>
  <c r="T88" i="193"/>
  <c r="Q88" i="193"/>
  <c r="S70" i="193"/>
  <c r="R88" i="193"/>
  <c r="U57" i="193"/>
  <c r="P57" i="193"/>
  <c r="X54" i="193"/>
  <c r="U77" i="204" s="1"/>
  <c r="U75" i="204" s="1"/>
  <c r="Q129" i="193"/>
  <c r="W57" i="193"/>
  <c r="X131" i="193"/>
  <c r="Q131" i="193"/>
  <c r="N131" i="193"/>
  <c r="T54" i="193"/>
  <c r="Q77" i="204" s="1"/>
  <c r="Q75" i="204" s="1"/>
  <c r="O57" i="193"/>
  <c r="O111" i="193"/>
  <c r="V54" i="193"/>
  <c r="K126" i="204"/>
  <c r="D126" i="204" s="1"/>
  <c r="F126" i="204" s="1"/>
  <c r="T84" i="193"/>
  <c r="N57" i="193"/>
  <c r="V57" i="193"/>
  <c r="W54" i="193"/>
  <c r="T77" i="204" s="1"/>
  <c r="T75" i="204" s="1"/>
  <c r="O131" i="193"/>
  <c r="V64" i="193"/>
  <c r="R131" i="193"/>
  <c r="S54" i="193"/>
  <c r="P77" i="204" s="1"/>
  <c r="P75" i="204" s="1"/>
  <c r="X64" i="193"/>
  <c r="Q57" i="193"/>
  <c r="Y57" i="193"/>
  <c r="T131" i="193"/>
  <c r="S131" i="193"/>
  <c r="U131" i="193"/>
  <c r="X101" i="193"/>
  <c r="X70" i="193"/>
  <c r="S64" i="193"/>
  <c r="R64" i="193"/>
  <c r="W64" i="193"/>
  <c r="U64" i="193"/>
  <c r="N54" i="193"/>
  <c r="Y111" i="193"/>
  <c r="Y112" i="193"/>
  <c r="T111" i="193"/>
  <c r="O65" i="193"/>
  <c r="Y58" i="193"/>
  <c r="Y54" i="193"/>
  <c r="V77" i="204" s="1"/>
  <c r="V75" i="204" s="1"/>
  <c r="R58" i="193"/>
  <c r="O88" i="193"/>
  <c r="T64" i="193"/>
  <c r="U95" i="193"/>
  <c r="W82" i="193"/>
  <c r="T102" i="221" s="1"/>
  <c r="T101" i="221" s="1"/>
  <c r="O103" i="193"/>
  <c r="P58" i="193"/>
  <c r="P88" i="193"/>
  <c r="O82" i="193"/>
  <c r="X84" i="193"/>
  <c r="R127" i="193"/>
  <c r="Q58" i="193"/>
  <c r="Y82" i="193"/>
  <c r="V82" i="193"/>
  <c r="S58" i="193"/>
  <c r="Q54" i="193"/>
  <c r="P54" i="193"/>
  <c r="M77" i="204" s="1"/>
  <c r="M75" i="204" s="1"/>
  <c r="V127" i="193"/>
  <c r="Y64" i="193"/>
  <c r="V131" i="193"/>
  <c r="N64" i="193"/>
  <c r="N58" i="193"/>
  <c r="O64" i="193"/>
  <c r="W133" i="193"/>
  <c r="P131" i="193"/>
  <c r="U54" i="193"/>
  <c r="S82" i="193"/>
  <c r="U58" i="193"/>
  <c r="X95" i="193"/>
  <c r="T58" i="193"/>
  <c r="O54" i="193"/>
  <c r="L77" i="204" s="1"/>
  <c r="L75" i="204" s="1"/>
  <c r="R82" i="193"/>
  <c r="W84" i="193"/>
  <c r="N65" i="193"/>
  <c r="W53" i="193"/>
  <c r="T65" i="193"/>
  <c r="S65" i="193"/>
  <c r="Q71" i="193"/>
  <c r="Y51" i="193"/>
  <c r="W65" i="193"/>
  <c r="S79" i="193"/>
  <c r="R65" i="193"/>
  <c r="X71" i="193"/>
  <c r="W71" i="193"/>
  <c r="R51" i="193"/>
  <c r="V65" i="193"/>
  <c r="X65" i="193"/>
  <c r="R102" i="221"/>
  <c r="R101" i="221" s="1"/>
  <c r="P65" i="193"/>
  <c r="O55" i="193"/>
  <c r="V129" i="193"/>
  <c r="V109" i="193"/>
  <c r="P55" i="193"/>
  <c r="M126" i="204" s="1"/>
  <c r="T55" i="193"/>
  <c r="Q126" i="204" s="1"/>
  <c r="S71" i="193"/>
  <c r="Q65" i="193"/>
  <c r="Y65" i="193"/>
  <c r="S99" i="193"/>
  <c r="V55" i="193"/>
  <c r="S126" i="204" s="1"/>
  <c r="N127" i="193"/>
  <c r="J120" i="193"/>
  <c r="Y99" i="193"/>
  <c r="P73" i="193"/>
  <c r="X109" i="193"/>
  <c r="Q73" i="193"/>
  <c r="U112" i="193"/>
  <c r="U73" i="193"/>
  <c r="O79" i="193"/>
  <c r="U37" i="193"/>
  <c r="V37" i="193" s="1"/>
  <c r="T73" i="193"/>
  <c r="Y134" i="193"/>
  <c r="Q103" i="193"/>
  <c r="W73" i="193"/>
  <c r="W79" i="193"/>
  <c r="R89" i="193"/>
  <c r="W86" i="193"/>
  <c r="P111" i="193"/>
  <c r="Q55" i="193"/>
  <c r="N126" i="204" s="1"/>
  <c r="T103" i="193"/>
  <c r="S55" i="193"/>
  <c r="X55" i="193"/>
  <c r="U126" i="204" s="1"/>
  <c r="Q111" i="193"/>
  <c r="R96" i="193"/>
  <c r="S103" i="193"/>
  <c r="W103" i="193"/>
  <c r="N103" i="193"/>
  <c r="V103" i="193"/>
  <c r="X97" i="193"/>
  <c r="O98" i="193"/>
  <c r="Y55" i="193"/>
  <c r="V126" i="204" s="1"/>
  <c r="W111" i="193"/>
  <c r="U130" i="193"/>
  <c r="R133" i="193"/>
  <c r="X111" i="193"/>
  <c r="S112" i="193"/>
  <c r="X73" i="193"/>
  <c r="X103" i="193"/>
  <c r="U109" i="193"/>
  <c r="S133" i="193"/>
  <c r="X58" i="193"/>
  <c r="U89" i="193"/>
  <c r="T89" i="193"/>
  <c r="Y117" i="193"/>
  <c r="O71" i="193"/>
  <c r="P84" i="193"/>
  <c r="U56" i="193"/>
  <c r="U125" i="193"/>
  <c r="R81" i="193"/>
  <c r="V84" i="193"/>
  <c r="T81" i="193"/>
  <c r="Q84" i="193"/>
  <c r="O125" i="193"/>
  <c r="P71" i="193"/>
  <c r="T71" i="193"/>
  <c r="U71" i="193"/>
  <c r="Y66" i="193"/>
  <c r="Y125" i="193"/>
  <c r="N84" i="193"/>
  <c r="W125" i="193"/>
  <c r="X117" i="193"/>
  <c r="S73" i="193"/>
  <c r="W81" i="193"/>
  <c r="N71" i="193"/>
  <c r="U81" i="193"/>
  <c r="V71" i="193"/>
  <c r="Y50" i="193"/>
  <c r="O130" i="193"/>
  <c r="O81" i="193"/>
  <c r="Y103" i="193"/>
  <c r="N117" i="193"/>
  <c r="N110" i="193"/>
  <c r="J75" i="193"/>
  <c r="S56" i="193"/>
  <c r="Y84" i="193"/>
  <c r="P125" i="193"/>
  <c r="V73" i="193"/>
  <c r="S98" i="221"/>
  <c r="S97" i="221" s="1"/>
  <c r="P129" i="193"/>
  <c r="Y71" i="193"/>
  <c r="W109" i="193"/>
  <c r="U103" i="193"/>
  <c r="S81" i="193"/>
  <c r="V81" i="193"/>
  <c r="Q135" i="193"/>
  <c r="Q134" i="193"/>
  <c r="T125" i="193"/>
  <c r="R114" i="193"/>
  <c r="Y81" i="193"/>
  <c r="N118" i="193"/>
  <c r="Q96" i="193"/>
  <c r="U135" i="193"/>
  <c r="P81" i="193"/>
  <c r="W134" i="193"/>
  <c r="P95" i="193"/>
  <c r="U22" i="193"/>
  <c r="V22" i="193" s="1"/>
  <c r="T114" i="193"/>
  <c r="R125" i="193"/>
  <c r="X81" i="193"/>
  <c r="U126" i="220"/>
  <c r="N96" i="193"/>
  <c r="Y129" i="193"/>
  <c r="W112" i="193"/>
  <c r="P103" i="193"/>
  <c r="Y133" i="193"/>
  <c r="Y69" i="193"/>
  <c r="V69" i="193"/>
  <c r="N69" i="193"/>
  <c r="V95" i="193"/>
  <c r="R117" i="193"/>
  <c r="W51" i="193"/>
  <c r="W129" i="193"/>
  <c r="R111" i="193"/>
  <c r="N128" i="193"/>
  <c r="R102" i="193"/>
  <c r="P96" i="193"/>
  <c r="X51" i="193"/>
  <c r="O135" i="193"/>
  <c r="N129" i="193"/>
  <c r="S101" i="193"/>
  <c r="V111" i="193"/>
  <c r="R69" i="193"/>
  <c r="P118" i="193"/>
  <c r="Q118" i="193"/>
  <c r="T117" i="193"/>
  <c r="Y118" i="193"/>
  <c r="O102" i="193"/>
  <c r="S117" i="193"/>
  <c r="S118" i="193"/>
  <c r="V89" i="193"/>
  <c r="X99" i="193"/>
  <c r="U102" i="193"/>
  <c r="R129" i="193"/>
  <c r="O101" i="193"/>
  <c r="U133" i="193"/>
  <c r="W89" i="193"/>
  <c r="W118" i="193"/>
  <c r="R99" i="193"/>
  <c r="S129" i="193"/>
  <c r="O134" i="193"/>
  <c r="P101" i="193"/>
  <c r="V133" i="193"/>
  <c r="W69" i="193"/>
  <c r="X69" i="193"/>
  <c r="V99" i="193"/>
  <c r="P126" i="204"/>
  <c r="T66" i="193"/>
  <c r="U129" i="193"/>
  <c r="T133" i="193"/>
  <c r="N111" i="193"/>
  <c r="R116" i="193"/>
  <c r="W113" i="193"/>
  <c r="J105" i="193"/>
  <c r="Y95" i="193"/>
  <c r="X96" i="193"/>
  <c r="U51" i="193"/>
  <c r="O133" i="193"/>
  <c r="U111" i="193"/>
  <c r="S69" i="193"/>
  <c r="S116" i="193"/>
  <c r="R118" i="193"/>
  <c r="X110" i="193"/>
  <c r="V125" i="193"/>
  <c r="T87" i="193"/>
  <c r="T95" i="193"/>
  <c r="Y96" i="193"/>
  <c r="V134" i="193"/>
  <c r="N51" i="193"/>
  <c r="U134" i="193"/>
  <c r="S111" i="193"/>
  <c r="U69" i="193"/>
  <c r="X118" i="193"/>
  <c r="U128" i="193"/>
  <c r="W55" i="193"/>
  <c r="N125" i="193"/>
  <c r="Q114" i="193"/>
  <c r="N73" i="193"/>
  <c r="R55" i="193"/>
  <c r="V51" i="193"/>
  <c r="J136" i="193"/>
  <c r="Q125" i="193"/>
  <c r="S85" i="193"/>
  <c r="Q69" i="193"/>
  <c r="P69" i="193"/>
  <c r="O69" i="193"/>
  <c r="X66" i="193"/>
  <c r="Z49" i="193"/>
  <c r="AA49" i="193" s="1"/>
  <c r="S66" i="193"/>
  <c r="U66" i="193"/>
  <c r="Q66" i="193"/>
  <c r="O66" i="193"/>
  <c r="P66" i="193"/>
  <c r="W66" i="193"/>
  <c r="P83" i="193"/>
  <c r="S110" i="193"/>
  <c r="W99" i="193"/>
  <c r="S95" i="193"/>
  <c r="R73" i="193"/>
  <c r="S100" i="193"/>
  <c r="U53" i="193"/>
  <c r="U115" i="193"/>
  <c r="O127" i="193"/>
  <c r="W101" i="193"/>
  <c r="P133" i="193"/>
  <c r="N66" i="193"/>
  <c r="V87" i="193"/>
  <c r="P134" i="193"/>
  <c r="Y90" i="193"/>
  <c r="T90" i="193"/>
  <c r="W90" i="193"/>
  <c r="Q112" i="193"/>
  <c r="R112" i="193"/>
  <c r="N87" i="193"/>
  <c r="O110" i="193"/>
  <c r="P72" i="193"/>
  <c r="V56" i="193"/>
  <c r="W95" i="193"/>
  <c r="N100" i="193"/>
  <c r="S102" i="193"/>
  <c r="R79" i="193"/>
  <c r="P112" i="193"/>
  <c r="J104" i="193"/>
  <c r="S127" i="193"/>
  <c r="U90" i="193"/>
  <c r="Q110" i="193"/>
  <c r="Q72" i="193"/>
  <c r="R100" i="193"/>
  <c r="T102" i="193"/>
  <c r="U127" i="193"/>
  <c r="N94" i="193"/>
  <c r="P87" i="193"/>
  <c r="Q90" i="193"/>
  <c r="R110" i="193"/>
  <c r="S72" i="193"/>
  <c r="N56" i="193"/>
  <c r="O80" i="193"/>
  <c r="T100" i="193"/>
  <c r="V102" i="193"/>
  <c r="W127" i="193"/>
  <c r="R52" i="193"/>
  <c r="T52" i="193"/>
  <c r="X52" i="193"/>
  <c r="N52" i="193"/>
  <c r="Y52" i="193"/>
  <c r="O52" i="193"/>
  <c r="Q52" i="193"/>
  <c r="V52" i="193"/>
  <c r="P52" i="193"/>
  <c r="S52" i="193"/>
  <c r="U52" i="193"/>
  <c r="W52" i="193"/>
  <c r="S87" i="193"/>
  <c r="W110" i="193"/>
  <c r="T72" i="193"/>
  <c r="W56" i="193"/>
  <c r="U80" i="193"/>
  <c r="V100" i="193"/>
  <c r="W102" i="193"/>
  <c r="N79" i="193"/>
  <c r="W87" i="193"/>
  <c r="Y127" i="193"/>
  <c r="R101" i="193"/>
  <c r="R84" i="193"/>
  <c r="U84" i="193"/>
  <c r="S84" i="193"/>
  <c r="V117" i="193"/>
  <c r="U117" i="193"/>
  <c r="W117" i="193"/>
  <c r="V112" i="193"/>
  <c r="P90" i="193"/>
  <c r="Y110" i="193"/>
  <c r="X72" i="193"/>
  <c r="O56" i="193"/>
  <c r="Q86" i="193"/>
  <c r="Q80" i="193"/>
  <c r="Y102" i="193"/>
  <c r="R90" i="193"/>
  <c r="X90" i="193"/>
  <c r="O90" i="193"/>
  <c r="Y72" i="193"/>
  <c r="U94" i="193"/>
  <c r="Q98" i="193"/>
  <c r="Y98" i="193"/>
  <c r="X87" i="193"/>
  <c r="U87" i="193"/>
  <c r="O87" i="193"/>
  <c r="U99" i="193"/>
  <c r="Y113" i="193"/>
  <c r="R87" i="193"/>
  <c r="Q102" i="193"/>
  <c r="N112" i="193"/>
  <c r="S135" i="193"/>
  <c r="U102" i="221"/>
  <c r="U101" i="221" s="1"/>
  <c r="O115" i="193"/>
  <c r="X127" i="193"/>
  <c r="W124" i="193"/>
  <c r="V50" i="193"/>
  <c r="S50" i="193"/>
  <c r="T50" i="193"/>
  <c r="J59" i="193"/>
  <c r="W50" i="193"/>
  <c r="O50" i="193"/>
  <c r="N50" i="193"/>
  <c r="U50" i="193"/>
  <c r="X134" i="193"/>
  <c r="N134" i="193"/>
  <c r="R134" i="193"/>
  <c r="Y128" i="193"/>
  <c r="N99" i="193"/>
  <c r="O112" i="193"/>
  <c r="Q51" i="193"/>
  <c r="Y73" i="193"/>
  <c r="X102" i="193"/>
  <c r="U83" i="193"/>
  <c r="O51" i="193"/>
  <c r="P50" i="193"/>
  <c r="T135" i="193"/>
  <c r="Q115" i="193"/>
  <c r="T101" i="193"/>
  <c r="S90" i="193"/>
  <c r="Y87" i="193"/>
  <c r="Q128" i="193"/>
  <c r="T51" i="193"/>
  <c r="O99" i="193"/>
  <c r="O117" i="193"/>
  <c r="N102" i="193"/>
  <c r="S96" i="193"/>
  <c r="T118" i="193"/>
  <c r="Q50" i="193"/>
  <c r="T134" i="193"/>
  <c r="V118" i="193"/>
  <c r="S115" i="193"/>
  <c r="Q109" i="193"/>
  <c r="V66" i="193"/>
  <c r="U101" i="193"/>
  <c r="X133" i="193"/>
  <c r="R66" i="193"/>
  <c r="S125" i="193"/>
  <c r="U55" i="193"/>
  <c r="S128" i="193"/>
  <c r="T99" i="193"/>
  <c r="X112" i="193"/>
  <c r="P117" i="193"/>
  <c r="S134" i="193"/>
  <c r="Y100" i="193"/>
  <c r="T96" i="193"/>
  <c r="O116" i="193"/>
  <c r="S51" i="193"/>
  <c r="X50" i="193"/>
  <c r="U118" i="193"/>
  <c r="O129" i="193"/>
  <c r="T115" i="193"/>
  <c r="P109" i="193"/>
  <c r="V101" i="193"/>
  <c r="N133" i="193"/>
  <c r="N90" i="193"/>
  <c r="K77" i="219"/>
  <c r="P114" i="193"/>
  <c r="P86" i="193"/>
  <c r="P132" i="193"/>
  <c r="Y97" i="193"/>
  <c r="Y80" i="193"/>
  <c r="Y79" i="193"/>
  <c r="Y126" i="193"/>
  <c r="R135" i="193"/>
  <c r="V53" i="193"/>
  <c r="R130" i="193"/>
  <c r="N109" i="193"/>
  <c r="U124" i="193"/>
  <c r="W98" i="193"/>
  <c r="R85" i="193"/>
  <c r="R132" i="193"/>
  <c r="O97" i="193"/>
  <c r="P110" i="193"/>
  <c r="P128" i="193"/>
  <c r="R72" i="193"/>
  <c r="T56" i="193"/>
  <c r="S114" i="193"/>
  <c r="R86" i="193"/>
  <c r="S132" i="193"/>
  <c r="Q95" i="193"/>
  <c r="P97" i="193"/>
  <c r="J60" i="193"/>
  <c r="U18" i="193"/>
  <c r="V18" i="193" s="1"/>
  <c r="P80" i="193"/>
  <c r="O100" i="193"/>
  <c r="P116" i="193"/>
  <c r="O126" i="193"/>
  <c r="X53" i="193"/>
  <c r="X115" i="193"/>
  <c r="W130" i="193"/>
  <c r="R109" i="193"/>
  <c r="Y124" i="193"/>
  <c r="S98" i="193"/>
  <c r="T85" i="193"/>
  <c r="X89" i="193"/>
  <c r="R128" i="193"/>
  <c r="V113" i="193"/>
  <c r="Q113" i="193"/>
  <c r="S113" i="193"/>
  <c r="P113" i="193"/>
  <c r="O113" i="193"/>
  <c r="N113" i="193"/>
  <c r="U114" i="193"/>
  <c r="S86" i="193"/>
  <c r="T132" i="193"/>
  <c r="Y94" i="193"/>
  <c r="R97" i="193"/>
  <c r="R80" i="193"/>
  <c r="O67" i="193"/>
  <c r="R67" i="193"/>
  <c r="T67" i="193"/>
  <c r="X67" i="193"/>
  <c r="U67" i="193"/>
  <c r="V67" i="193"/>
  <c r="S67" i="193"/>
  <c r="Q67" i="193"/>
  <c r="Y67" i="193"/>
  <c r="P67" i="193"/>
  <c r="N67" i="193"/>
  <c r="W67" i="193"/>
  <c r="Y116" i="193"/>
  <c r="Y53" i="193"/>
  <c r="X94" i="193"/>
  <c r="Y130" i="193"/>
  <c r="R94" i="193"/>
  <c r="T98" i="193"/>
  <c r="U85" i="193"/>
  <c r="Y89" i="193"/>
  <c r="T94" i="193"/>
  <c r="O94" i="193"/>
  <c r="W114" i="193"/>
  <c r="V86" i="193"/>
  <c r="Y132" i="193"/>
  <c r="S97" i="193"/>
  <c r="S80" i="193"/>
  <c r="J68" i="193"/>
  <c r="B69" i="193"/>
  <c r="X126" i="193"/>
  <c r="R83" i="193"/>
  <c r="S83" i="193"/>
  <c r="T83" i="193"/>
  <c r="X83" i="193"/>
  <c r="Q83" i="193"/>
  <c r="P124" i="193"/>
  <c r="U98" i="193"/>
  <c r="V85" i="193"/>
  <c r="N89" i="193"/>
  <c r="T110" i="193"/>
  <c r="O128" i="193"/>
  <c r="W72" i="193"/>
  <c r="W94" i="193"/>
  <c r="O114" i="193"/>
  <c r="X86" i="193"/>
  <c r="W132" i="193"/>
  <c r="U97" i="193"/>
  <c r="T80" i="193"/>
  <c r="Q116" i="193"/>
  <c r="W126" i="193"/>
  <c r="N83" i="193"/>
  <c r="T53" i="193"/>
  <c r="N130" i="193"/>
  <c r="S124" i="193"/>
  <c r="V98" i="193"/>
  <c r="Y85" i="193"/>
  <c r="X113" i="193"/>
  <c r="X132" i="193"/>
  <c r="W97" i="193"/>
  <c r="N126" i="193"/>
  <c r="P126" i="193"/>
  <c r="S53" i="193"/>
  <c r="N124" i="193"/>
  <c r="O85" i="193"/>
  <c r="S89" i="193"/>
  <c r="X56" i="193"/>
  <c r="V114" i="193"/>
  <c r="Y86" i="193"/>
  <c r="O132" i="193"/>
  <c r="N97" i="193"/>
  <c r="P94" i="193"/>
  <c r="P100" i="193"/>
  <c r="P79" i="193"/>
  <c r="U96" i="193"/>
  <c r="T116" i="193"/>
  <c r="Q126" i="193"/>
  <c r="W83" i="193"/>
  <c r="V135" i="193"/>
  <c r="N53" i="193"/>
  <c r="V115" i="193"/>
  <c r="P130" i="193"/>
  <c r="O124" i="193"/>
  <c r="N98" i="193"/>
  <c r="N85" i="193"/>
  <c r="J119" i="193"/>
  <c r="O89" i="193"/>
  <c r="T128" i="193"/>
  <c r="O72" i="193"/>
  <c r="Y56" i="193"/>
  <c r="Q132" i="193"/>
  <c r="N95" i="193"/>
  <c r="Q97" i="193"/>
  <c r="V80" i="193"/>
  <c r="Q100" i="193"/>
  <c r="Q79" i="193"/>
  <c r="V96" i="193"/>
  <c r="T113" i="193"/>
  <c r="V116" i="193"/>
  <c r="R126" i="193"/>
  <c r="Y83" i="193"/>
  <c r="R113" i="193"/>
  <c r="W135" i="193"/>
  <c r="O53" i="193"/>
  <c r="W115" i="193"/>
  <c r="S130" i="193"/>
  <c r="O109" i="193"/>
  <c r="T124" i="193"/>
  <c r="P98" i="193"/>
  <c r="P85" i="193"/>
  <c r="P89" i="193"/>
  <c r="N86" i="193"/>
  <c r="T97" i="193"/>
  <c r="T79" i="193"/>
  <c r="W116" i="193"/>
  <c r="S126" i="193"/>
  <c r="O83" i="193"/>
  <c r="X135" i="193"/>
  <c r="P53" i="193"/>
  <c r="Y115" i="193"/>
  <c r="T130" i="193"/>
  <c r="V124" i="193"/>
  <c r="R98" i="193"/>
  <c r="Q89" i="193"/>
  <c r="U110" i="193"/>
  <c r="V128" i="193"/>
  <c r="N72" i="193"/>
  <c r="P99" i="193"/>
  <c r="U113" i="193"/>
  <c r="P56" i="193"/>
  <c r="X114" i="193"/>
  <c r="T86" i="193"/>
  <c r="U132" i="193"/>
  <c r="O95" i="193"/>
  <c r="V97" i="193"/>
  <c r="N80" i="193"/>
  <c r="U100" i="193"/>
  <c r="U79" i="193"/>
  <c r="O96" i="193"/>
  <c r="U116" i="193"/>
  <c r="T126" i="193"/>
  <c r="Y135" i="193"/>
  <c r="Q53" i="193"/>
  <c r="N115" i="193"/>
  <c r="V130" i="193"/>
  <c r="S109" i="193"/>
  <c r="P127" i="193"/>
  <c r="X124" i="193"/>
  <c r="Q101" i="193"/>
  <c r="W85" i="193"/>
  <c r="J91" i="193"/>
  <c r="V110" i="193"/>
  <c r="W128" i="193"/>
  <c r="U72" i="193"/>
  <c r="V17" i="193"/>
  <c r="Q56" i="193"/>
  <c r="Y114" i="193"/>
  <c r="U86" i="193"/>
  <c r="V132" i="193"/>
  <c r="R95" i="193"/>
  <c r="W80" i="193"/>
  <c r="W100" i="193"/>
  <c r="V79" i="193"/>
  <c r="W96" i="193"/>
  <c r="X116" i="193"/>
  <c r="U126" i="193"/>
  <c r="S94" i="193"/>
  <c r="N135" i="193"/>
  <c r="R53" i="193"/>
  <c r="P115" i="193"/>
  <c r="V94" i="193"/>
  <c r="X130" i="193"/>
  <c r="T109" i="193"/>
  <c r="Q127" i="193"/>
  <c r="Q124" i="193"/>
  <c r="Y101" i="193"/>
  <c r="X98" i="193"/>
  <c r="X85" i="193"/>
  <c r="P45" i="193"/>
  <c r="N77" i="220"/>
  <c r="N75" i="220" s="1"/>
  <c r="D81" i="220"/>
  <c r="F81" i="220" s="1"/>
  <c r="G81" i="220"/>
  <c r="I81" i="220" s="1"/>
  <c r="AJ177" i="217"/>
  <c r="AJ247" i="217"/>
  <c r="J22" i="177"/>
  <c r="K16" i="177"/>
  <c r="K20" i="177" s="1"/>
  <c r="AA279" i="217"/>
  <c r="AJ72" i="217"/>
  <c r="AE278" i="217"/>
  <c r="AK38" i="217"/>
  <c r="Y283" i="217"/>
  <c r="AB315" i="217"/>
  <c r="AA315" i="217"/>
  <c r="Z319" i="217"/>
  <c r="Z315" i="217"/>
  <c r="AB314" i="217"/>
  <c r="Z283" i="217"/>
  <c r="AD315" i="217"/>
  <c r="AD279" i="217"/>
  <c r="AJ102" i="217"/>
  <c r="AE315" i="217"/>
  <c r="AD314" i="217"/>
  <c r="AK87" i="217"/>
  <c r="AF317" i="217"/>
  <c r="AA278" i="217"/>
  <c r="AD317" i="217"/>
  <c r="AB279" i="217"/>
  <c r="AG282" i="217"/>
  <c r="AB318" i="217"/>
  <c r="AH281" i="217"/>
  <c r="AJ263" i="217"/>
  <c r="Y319" i="217"/>
  <c r="AE279" i="217"/>
  <c r="AB317" i="217"/>
  <c r="AJ138" i="217"/>
  <c r="AC278" i="217"/>
  <c r="AE314" i="217"/>
  <c r="W315" i="217"/>
  <c r="AK227" i="217"/>
  <c r="AD318" i="217"/>
  <c r="AK52" i="217"/>
  <c r="W280" i="217"/>
  <c r="AF319" i="217"/>
  <c r="Z282" i="217"/>
  <c r="AE281" i="217"/>
  <c r="P73" i="177"/>
  <c r="M14" i="231" s="1"/>
  <c r="AC319" i="217"/>
  <c r="Y279" i="217"/>
  <c r="AF283" i="217"/>
  <c r="AH317" i="217"/>
  <c r="W318" i="217"/>
  <c r="AG279" i="217"/>
  <c r="AK122" i="217"/>
  <c r="AJ106" i="217"/>
  <c r="AF282" i="217"/>
  <c r="Z279" i="217"/>
  <c r="AG318" i="217"/>
  <c r="AG315" i="217"/>
  <c r="AF281" i="217"/>
  <c r="W282" i="217"/>
  <c r="AK37" i="217"/>
  <c r="AK71" i="217" s="1"/>
  <c r="W319" i="217"/>
  <c r="AJ299" i="217"/>
  <c r="AJ246" i="217"/>
  <c r="Z318" i="217"/>
  <c r="AJ141" i="217"/>
  <c r="AD278" i="217"/>
  <c r="AJ71" i="217"/>
  <c r="AD282" i="217"/>
  <c r="AB16" i="159"/>
  <c r="AH319" i="217"/>
  <c r="AB26" i="159"/>
  <c r="AG319" i="217"/>
  <c r="Y315" i="217"/>
  <c r="J32" i="177"/>
  <c r="O70" i="240" s="1"/>
  <c r="O67" i="248"/>
  <c r="AF16" i="159"/>
  <c r="AF21" i="159"/>
  <c r="AA314" i="217"/>
  <c r="AD281" i="217"/>
  <c r="AJ68" i="217"/>
  <c r="AE317" i="217"/>
  <c r="AJ103" i="217"/>
  <c r="AJ243" i="217"/>
  <c r="AK36" i="217"/>
  <c r="AK105" i="217" s="1"/>
  <c r="AH283" i="217"/>
  <c r="AJ245" i="217"/>
  <c r="AJ173" i="217"/>
  <c r="F6" i="246"/>
  <c r="S71" i="177"/>
  <c r="S73" i="177" s="1"/>
  <c r="P14" i="231" s="1"/>
  <c r="P12" i="231" s="1"/>
  <c r="S22" i="177"/>
  <c r="AC314" i="217"/>
  <c r="P22" i="177"/>
  <c r="K52" i="248"/>
  <c r="AF26" i="159"/>
  <c r="AC26" i="159"/>
  <c r="O8" i="220"/>
  <c r="I14" i="231"/>
  <c r="I14" i="230" s="1"/>
  <c r="AC16" i="159"/>
  <c r="N14" i="231"/>
  <c r="N14" i="230" s="1"/>
  <c r="R8" i="220"/>
  <c r="R12" i="220" s="1"/>
  <c r="R17" i="220" s="1"/>
  <c r="AE16" i="159"/>
  <c r="AE21" i="159"/>
  <c r="Y21" i="159"/>
  <c r="Y26" i="159"/>
  <c r="AA21" i="159"/>
  <c r="AA26" i="159"/>
  <c r="K14" i="231"/>
  <c r="K14" i="230" s="1"/>
  <c r="Q8" i="220"/>
  <c r="L19" i="220"/>
  <c r="F21" i="231" s="1"/>
  <c r="F21" i="230" s="1"/>
  <c r="AD16" i="159"/>
  <c r="AJ105" i="217"/>
  <c r="AJ175" i="217"/>
  <c r="AJ140" i="217"/>
  <c r="AB282" i="217"/>
  <c r="AB281" i="217"/>
  <c r="AC282" i="217"/>
  <c r="X315" i="217"/>
  <c r="AH282" i="217"/>
  <c r="AA281" i="217"/>
  <c r="AI72" i="217"/>
  <c r="AH315" i="217"/>
  <c r="AC283" i="217"/>
  <c r="AH279" i="217"/>
  <c r="X282" i="217"/>
  <c r="AA282" i="217"/>
  <c r="AC315" i="217"/>
  <c r="AE282" i="217"/>
  <c r="V26" i="159"/>
  <c r="V21" i="159"/>
  <c r="V16" i="159"/>
  <c r="W21" i="159"/>
  <c r="W16" i="159"/>
  <c r="M19" i="220"/>
  <c r="G21" i="231" s="1"/>
  <c r="G21" i="230" s="1"/>
  <c r="K53" i="177"/>
  <c r="K66" i="177" s="1"/>
  <c r="K11" i="177"/>
  <c r="K51" i="177" s="1"/>
  <c r="K64" i="177" s="1"/>
  <c r="K50" i="177"/>
  <c r="K63" i="177" s="1"/>
  <c r="K54" i="177"/>
  <c r="K67" i="177" s="1"/>
  <c r="K49" i="177"/>
  <c r="K62" i="177" s="1"/>
  <c r="K52" i="177"/>
  <c r="K65" i="177" s="1"/>
  <c r="K47" i="177"/>
  <c r="U8" i="220"/>
  <c r="U12" i="220" s="1"/>
  <c r="O14" i="231"/>
  <c r="J55" i="177"/>
  <c r="J56" i="177" s="1"/>
  <c r="J60" i="177"/>
  <c r="J68" i="177" s="1"/>
  <c r="J69" i="177" s="1"/>
  <c r="AD21" i="159"/>
  <c r="J35" i="177"/>
  <c r="K8" i="177"/>
  <c r="I40" i="177"/>
  <c r="I43" i="177" s="1"/>
  <c r="I38" i="177"/>
  <c r="V18" i="159" s="1"/>
  <c r="H71" i="177"/>
  <c r="H22" i="177"/>
  <c r="H23" i="177" s="1"/>
  <c r="U15" i="159"/>
  <c r="M21" i="177"/>
  <c r="M72" i="177" s="1"/>
  <c r="M20" i="177"/>
  <c r="G24" i="177"/>
  <c r="T26" i="159"/>
  <c r="T21" i="159"/>
  <c r="T16" i="159"/>
  <c r="L12" i="231"/>
  <c r="L14" i="230"/>
  <c r="L12" i="230" s="1"/>
  <c r="AE318" i="217"/>
  <c r="AI246" i="217"/>
  <c r="AH318" i="217"/>
  <c r="AI106" i="217"/>
  <c r="AA319" i="217"/>
  <c r="X280" i="217"/>
  <c r="Y318" i="217"/>
  <c r="AI247" i="217"/>
  <c r="W279" i="217"/>
  <c r="AM83" i="198"/>
  <c r="AN83" i="198" s="1"/>
  <c r="AR92" i="198"/>
  <c r="AS92" i="198" s="1"/>
  <c r="C24" i="234"/>
  <c r="BB83" i="198"/>
  <c r="BC83" i="198" s="1"/>
  <c r="S72" i="198"/>
  <c r="T72" i="198" s="1"/>
  <c r="N72" i="198"/>
  <c r="O72" i="198" s="1"/>
  <c r="AW71" i="198"/>
  <c r="AX71" i="198" s="1"/>
  <c r="AR70" i="198"/>
  <c r="AS70" i="198" s="1"/>
  <c r="AG124" i="159"/>
  <c r="S62" i="198"/>
  <c r="T62" i="198" s="1"/>
  <c r="AM70" i="198"/>
  <c r="AN70" i="198" s="1"/>
  <c r="W69" i="159"/>
  <c r="BB92" i="198"/>
  <c r="BC92" i="198" s="1"/>
  <c r="AG118" i="159"/>
  <c r="AW70" i="198"/>
  <c r="AX70" i="198" s="1"/>
  <c r="BB69" i="198"/>
  <c r="AR150" i="174"/>
  <c r="T62" i="204"/>
  <c r="Z45" i="174"/>
  <c r="W132" i="218"/>
  <c r="G132" i="218"/>
  <c r="I132" i="218" s="1"/>
  <c r="D132" i="218"/>
  <c r="F132" i="218" s="1"/>
  <c r="AW92" i="198"/>
  <c r="AX92" i="198" s="1"/>
  <c r="BB72" i="198"/>
  <c r="BC72" i="198" s="1"/>
  <c r="AR83" i="198"/>
  <c r="AS83" i="198" s="1"/>
  <c r="L62" i="204"/>
  <c r="Z150" i="174"/>
  <c r="Q24" i="234"/>
  <c r="AM134" i="198"/>
  <c r="AN134" i="198" s="1"/>
  <c r="S62" i="204"/>
  <c r="P62" i="204"/>
  <c r="A33" i="174"/>
  <c r="E32" i="174"/>
  <c r="F32" i="174"/>
  <c r="Z66" i="174"/>
  <c r="AR45" i="174"/>
  <c r="AR87" i="174"/>
  <c r="AR24" i="174"/>
  <c r="Z24" i="174"/>
  <c r="Z129" i="174"/>
  <c r="E114" i="174"/>
  <c r="AR66" i="174"/>
  <c r="Z87" i="174"/>
  <c r="Z108" i="174"/>
  <c r="AR108" i="174"/>
  <c r="AR129" i="174"/>
  <c r="X54" i="159"/>
  <c r="S92" i="123"/>
  <c r="H24" i="232"/>
  <c r="H24" i="230" s="1"/>
  <c r="D67" i="204"/>
  <c r="F67" i="204" s="1"/>
  <c r="G67" i="204"/>
  <c r="I67" i="204" s="1"/>
  <c r="K62" i="204"/>
  <c r="W67" i="204"/>
  <c r="G90" i="219"/>
  <c r="I90" i="219" s="1"/>
  <c r="D90" i="219"/>
  <c r="F90" i="219" s="1"/>
  <c r="W90" i="219"/>
  <c r="G81" i="218"/>
  <c r="I81" i="218" s="1"/>
  <c r="D81" i="218"/>
  <c r="F81" i="218" s="1"/>
  <c r="W81" i="218"/>
  <c r="W132" i="219"/>
  <c r="G132" i="219"/>
  <c r="I132" i="219" s="1"/>
  <c r="D132" i="219"/>
  <c r="F132" i="219" s="1"/>
  <c r="AM71" i="198"/>
  <c r="AN71" i="198" s="1"/>
  <c r="G81" i="219"/>
  <c r="I81" i="219" s="1"/>
  <c r="D81" i="219"/>
  <c r="F81" i="219" s="1"/>
  <c r="W81" i="219"/>
  <c r="D90" i="220"/>
  <c r="F90" i="220" s="1"/>
  <c r="G90" i="220"/>
  <c r="I90" i="220" s="1"/>
  <c r="W90" i="220"/>
  <c r="W81" i="220"/>
  <c r="D90" i="204"/>
  <c r="F90" i="204" s="1"/>
  <c r="W90" i="204"/>
  <c r="G90" i="204"/>
  <c r="I90" i="204" s="1"/>
  <c r="I69" i="198"/>
  <c r="J69" i="198" s="1"/>
  <c r="D69" i="220"/>
  <c r="F69" i="220" s="1"/>
  <c r="G69" i="220"/>
  <c r="I69" i="220" s="1"/>
  <c r="W69" i="220"/>
  <c r="D90" i="218"/>
  <c r="F90" i="218" s="1"/>
  <c r="G90" i="218"/>
  <c r="I90" i="218" s="1"/>
  <c r="W90" i="218"/>
  <c r="D60" i="220"/>
  <c r="F60" i="220" s="1"/>
  <c r="G60" i="220"/>
  <c r="I60" i="220" s="1"/>
  <c r="W60" i="220"/>
  <c r="D70" i="221"/>
  <c r="F70" i="221" s="1"/>
  <c r="G70" i="221"/>
  <c r="I70" i="221" s="1"/>
  <c r="W70" i="221"/>
  <c r="X69" i="159"/>
  <c r="D68" i="218"/>
  <c r="F68" i="218" s="1"/>
  <c r="G68" i="218"/>
  <c r="I68" i="218" s="1"/>
  <c r="W68" i="218"/>
  <c r="V69" i="159"/>
  <c r="K62" i="221"/>
  <c r="D67" i="221"/>
  <c r="F67" i="221" s="1"/>
  <c r="G67" i="221"/>
  <c r="I67" i="221" s="1"/>
  <c r="W67" i="221"/>
  <c r="D68" i="219"/>
  <c r="F68" i="219" s="1"/>
  <c r="G68" i="219"/>
  <c r="I68" i="219" s="1"/>
  <c r="W68" i="219"/>
  <c r="K62" i="219"/>
  <c r="D69" i="204"/>
  <c r="F69" i="204" s="1"/>
  <c r="G69" i="204"/>
  <c r="I69" i="204" s="1"/>
  <c r="W69" i="204"/>
  <c r="B24" i="231"/>
  <c r="C24" i="231"/>
  <c r="Q24" i="231"/>
  <c r="Q62" i="204"/>
  <c r="W68" i="221"/>
  <c r="D68" i="221"/>
  <c r="F68" i="221" s="1"/>
  <c r="G68" i="221"/>
  <c r="I68" i="221" s="1"/>
  <c r="K62" i="218"/>
  <c r="W67" i="218"/>
  <c r="D67" i="218"/>
  <c r="F67" i="218" s="1"/>
  <c r="G67" i="218"/>
  <c r="I67" i="218" s="1"/>
  <c r="H53" i="190"/>
  <c r="H70" i="190" s="1"/>
  <c r="U69" i="159"/>
  <c r="W69" i="218"/>
  <c r="G69" i="218"/>
  <c r="I69" i="218" s="1"/>
  <c r="D69" i="218"/>
  <c r="F69" i="218" s="1"/>
  <c r="D69" i="221"/>
  <c r="F69" i="221" s="1"/>
  <c r="G69" i="221"/>
  <c r="I69" i="221" s="1"/>
  <c r="W69" i="221"/>
  <c r="D81" i="221"/>
  <c r="F81" i="221" s="1"/>
  <c r="G81" i="221"/>
  <c r="I81" i="221" s="1"/>
  <c r="W81" i="221"/>
  <c r="E24" i="230"/>
  <c r="N134" i="198"/>
  <c r="O134" i="198" s="1"/>
  <c r="G70" i="219"/>
  <c r="I70" i="219" s="1"/>
  <c r="D70" i="219"/>
  <c r="F70" i="219" s="1"/>
  <c r="W70" i="219"/>
  <c r="K62" i="220"/>
  <c r="G67" i="220"/>
  <c r="I67" i="220" s="1"/>
  <c r="D67" i="220"/>
  <c r="F67" i="220" s="1"/>
  <c r="W67" i="220"/>
  <c r="W81" i="204"/>
  <c r="S69" i="198"/>
  <c r="W70" i="204"/>
  <c r="X71" i="198"/>
  <c r="Y71" i="198" s="1"/>
  <c r="AH92" i="198"/>
  <c r="AI92" i="198" s="1"/>
  <c r="D68" i="220"/>
  <c r="F68" i="220" s="1"/>
  <c r="G68" i="220"/>
  <c r="I68" i="220" s="1"/>
  <c r="W68" i="220"/>
  <c r="D70" i="220"/>
  <c r="F70" i="220" s="1"/>
  <c r="G70" i="220"/>
  <c r="I70" i="220" s="1"/>
  <c r="W70" i="220"/>
  <c r="M62" i="204"/>
  <c r="D90" i="221"/>
  <c r="F90" i="221" s="1"/>
  <c r="W90" i="221"/>
  <c r="G90" i="221"/>
  <c r="I90" i="221" s="1"/>
  <c r="X70" i="198"/>
  <c r="Y70" i="198" s="1"/>
  <c r="AH69" i="198"/>
  <c r="AI69" i="198" s="1"/>
  <c r="D71" i="198"/>
  <c r="E71" i="198" s="1"/>
  <c r="G68" i="204"/>
  <c r="I68" i="204" s="1"/>
  <c r="D68" i="204"/>
  <c r="F68" i="204" s="1"/>
  <c r="W68" i="204"/>
  <c r="L62" i="218"/>
  <c r="Q66" i="248"/>
  <c r="K20" i="240"/>
  <c r="F18" i="240"/>
  <c r="E18" i="240" s="1"/>
  <c r="K18" i="240" s="1"/>
  <c r="K20" i="248"/>
  <c r="F18" i="248"/>
  <c r="E18" i="248" s="1"/>
  <c r="K18" i="248" s="1"/>
  <c r="AK35" i="217"/>
  <c r="AK139" i="217" s="1"/>
  <c r="AA317" i="217"/>
  <c r="AC279" i="217"/>
  <c r="AE283" i="217"/>
  <c r="AI103" i="217"/>
  <c r="AC281" i="217"/>
  <c r="AI177" i="217"/>
  <c r="AG281" i="217"/>
  <c r="AD319" i="217"/>
  <c r="AI68" i="217"/>
  <c r="AI243" i="217"/>
  <c r="AI173" i="217"/>
  <c r="AF318" i="217"/>
  <c r="X278" i="217"/>
  <c r="AG283" i="217"/>
  <c r="W316" i="217"/>
  <c r="AI142" i="217"/>
  <c r="AH314" i="217"/>
  <c r="AI138" i="217"/>
  <c r="AA318" i="217"/>
  <c r="AI137" i="217"/>
  <c r="AF279" i="217"/>
  <c r="AG317" i="217"/>
  <c r="AD283" i="217"/>
  <c r="AG314" i="217"/>
  <c r="AI176" i="217"/>
  <c r="X279" i="217"/>
  <c r="Y282" i="217"/>
  <c r="AB319" i="217"/>
  <c r="AF315" i="217"/>
  <c r="AB283" i="217"/>
  <c r="AI141" i="217"/>
  <c r="W283" i="217"/>
  <c r="AE319" i="217"/>
  <c r="AC317" i="217"/>
  <c r="AJ172" i="217"/>
  <c r="AC318" i="217"/>
  <c r="AJ137" i="217"/>
  <c r="AG278" i="217"/>
  <c r="X316" i="217"/>
  <c r="X283" i="217"/>
  <c r="AA283" i="217"/>
  <c r="AK33" i="217"/>
  <c r="AL33" i="217" s="1"/>
  <c r="X319" i="217"/>
  <c r="AJ67" i="217"/>
  <c r="AH278" i="217"/>
  <c r="AI71" i="217"/>
  <c r="AI277" i="217"/>
  <c r="X314" i="217"/>
  <c r="X318" i="217"/>
  <c r="AB278" i="217"/>
  <c r="AN17" i="198"/>
  <c r="Z314" i="217"/>
  <c r="AJ69" i="217"/>
  <c r="Z278" i="217"/>
  <c r="AJ174" i="217"/>
  <c r="AI105" i="217"/>
  <c r="AJ244" i="217"/>
  <c r="AE316" i="217"/>
  <c r="AI102" i="217"/>
  <c r="AC280" i="217"/>
  <c r="Y316" i="217"/>
  <c r="AI242" i="217"/>
  <c r="AJ104" i="217"/>
  <c r="AI67" i="217"/>
  <c r="AI172" i="217"/>
  <c r="W314" i="217"/>
  <c r="Z281" i="217"/>
  <c r="W278" i="217"/>
  <c r="AF314" i="217"/>
  <c r="AA280" i="217"/>
  <c r="AB280" i="217"/>
  <c r="W317" i="217"/>
  <c r="AF278" i="217"/>
  <c r="Z316" i="217"/>
  <c r="Y281" i="217"/>
  <c r="AA316" i="217"/>
  <c r="X281" i="217"/>
  <c r="AI175" i="217"/>
  <c r="AD280" i="217"/>
  <c r="Z317" i="217"/>
  <c r="X305" i="217"/>
  <c r="AB316" i="217"/>
  <c r="AC316" i="217"/>
  <c r="AI245" i="217"/>
  <c r="AI104" i="217"/>
  <c r="X317" i="217"/>
  <c r="AI298" i="217"/>
  <c r="AW298" i="217" s="1"/>
  <c r="AX298" i="217" s="1"/>
  <c r="W281" i="217"/>
  <c r="Y280" i="217"/>
  <c r="AI140" i="217"/>
  <c r="AF316" i="217"/>
  <c r="AI139" i="217"/>
  <c r="AI228" i="217"/>
  <c r="AD316" i="217"/>
  <c r="Y317" i="217"/>
  <c r="AI244" i="217"/>
  <c r="AE280" i="217"/>
  <c r="AI70" i="217"/>
  <c r="AI271" i="217"/>
  <c r="AI263" i="217"/>
  <c r="Z280" i="217"/>
  <c r="AF280" i="217"/>
  <c r="AI69" i="217"/>
  <c r="Y159" i="198"/>
  <c r="U58" i="248"/>
  <c r="E59" i="248"/>
  <c r="K59" i="248" s="1"/>
  <c r="I69" i="248"/>
  <c r="I70" i="248" s="1"/>
  <c r="U90" i="248"/>
  <c r="I91" i="248"/>
  <c r="K90" i="248"/>
  <c r="AD180" i="198"/>
  <c r="J206" i="198"/>
  <c r="AD158" i="198"/>
  <c r="AD88" i="198"/>
  <c r="AD77" i="198"/>
  <c r="AD115" i="198"/>
  <c r="AD148" i="198"/>
  <c r="AD39" i="198"/>
  <c r="AD51" i="198"/>
  <c r="S23" i="204"/>
  <c r="W24" i="204"/>
  <c r="AD163" i="198"/>
  <c r="AD109" i="198"/>
  <c r="AD153" i="198"/>
  <c r="AD171" i="198"/>
  <c r="AD179" i="198"/>
  <c r="AD159" i="198"/>
  <c r="AD41" i="198"/>
  <c r="BC189" i="198"/>
  <c r="AD92" i="198"/>
  <c r="AD24" i="198"/>
  <c r="AD160" i="198"/>
  <c r="AD141" i="198"/>
  <c r="AD44" i="198"/>
  <c r="AD26" i="198"/>
  <c r="AD49" i="198"/>
  <c r="BC190" i="198"/>
  <c r="BC20" i="198"/>
  <c r="Y111" i="198"/>
  <c r="AD136" i="198"/>
  <c r="AD112" i="198"/>
  <c r="AD184" i="198"/>
  <c r="AS177" i="198"/>
  <c r="AS17" i="198"/>
  <c r="AE54" i="217"/>
  <c r="AE159" i="217"/>
  <c r="AE89" i="217"/>
  <c r="AE124" i="217"/>
  <c r="AE229" i="217"/>
  <c r="AF89" i="217"/>
  <c r="AF124" i="217"/>
  <c r="AF229" i="217"/>
  <c r="AF54" i="217"/>
  <c r="AF159" i="217"/>
  <c r="AC54" i="217"/>
  <c r="AC89" i="217"/>
  <c r="AC159" i="217"/>
  <c r="AC124" i="217"/>
  <c r="AC229" i="217"/>
  <c r="AB159" i="217"/>
  <c r="AB89" i="217"/>
  <c r="AA159" i="217"/>
  <c r="AA54" i="217"/>
  <c r="AA89" i="217"/>
  <c r="AA124" i="217"/>
  <c r="AA229" i="217"/>
  <c r="AD159" i="217"/>
  <c r="AD89" i="217"/>
  <c r="AD124" i="217"/>
  <c r="AD229" i="217"/>
  <c r="AD54" i="217"/>
  <c r="AG54" i="217"/>
  <c r="AG89" i="217"/>
  <c r="AG124" i="217"/>
  <c r="AG229" i="217"/>
  <c r="AG159" i="217"/>
  <c r="Z124" i="217"/>
  <c r="Z229" i="217"/>
  <c r="Z89" i="217"/>
  <c r="Z159" i="217"/>
  <c r="Z54" i="217"/>
  <c r="AJ20" i="217"/>
  <c r="AH159" i="217"/>
  <c r="AH54" i="217"/>
  <c r="AH89" i="217"/>
  <c r="AH124" i="217"/>
  <c r="AH229" i="217"/>
  <c r="AI20" i="217"/>
  <c r="Y159" i="217"/>
  <c r="Y54" i="217"/>
  <c r="Y89" i="217"/>
  <c r="Y124" i="217"/>
  <c r="Y229" i="217"/>
  <c r="F18" i="246"/>
  <c r="F21" i="246"/>
  <c r="F22" i="246" s="1"/>
  <c r="Z28" i="246"/>
  <c r="AI174" i="217"/>
  <c r="AI158" i="217"/>
  <c r="I265" i="217"/>
  <c r="I301" i="217"/>
  <c r="AD157" i="198"/>
  <c r="AD107" i="198"/>
  <c r="AD79" i="198"/>
  <c r="AD151" i="198"/>
  <c r="AD78" i="198"/>
  <c r="AD104" i="198"/>
  <c r="AD97" i="198"/>
  <c r="AD31" i="198"/>
  <c r="AD89" i="198"/>
  <c r="AD75" i="198"/>
  <c r="AD65" i="198"/>
  <c r="AD50" i="198"/>
  <c r="AD71" i="198"/>
  <c r="AD19" i="198"/>
  <c r="AD152" i="198"/>
  <c r="AD95" i="198"/>
  <c r="AD74" i="198"/>
  <c r="AD178" i="198"/>
  <c r="AD102" i="198"/>
  <c r="AD68" i="198"/>
  <c r="AD113" i="198"/>
  <c r="AD108" i="198"/>
  <c r="AD21" i="198"/>
  <c r="AD20" i="198"/>
  <c r="AD38" i="198"/>
  <c r="AG147" i="159"/>
  <c r="I149" i="159"/>
  <c r="H176" i="190"/>
  <c r="J189" i="198"/>
  <c r="BC102" i="198"/>
  <c r="AD110" i="198"/>
  <c r="AD140" i="198"/>
  <c r="AD66" i="198"/>
  <c r="AD80" i="198"/>
  <c r="AD72" i="198"/>
  <c r="AD103" i="198"/>
  <c r="AD206" i="198"/>
  <c r="E177" i="198"/>
  <c r="J177" i="198"/>
  <c r="BC206" i="198"/>
  <c r="BC177" i="198"/>
  <c r="O177" i="198"/>
  <c r="E189" i="198"/>
  <c r="Y189" i="198"/>
  <c r="Q51" i="236"/>
  <c r="Q48" i="236" s="1"/>
  <c r="H48" i="236"/>
  <c r="H52" i="236" s="1"/>
  <c r="AG203" i="198"/>
  <c r="C203" i="198"/>
  <c r="H187" i="198"/>
  <c r="AL187" i="198"/>
  <c r="AI312" i="217"/>
  <c r="AW312" i="217" s="1"/>
  <c r="AX312" i="217" s="1"/>
  <c r="AH280" i="217"/>
  <c r="AH316" i="217"/>
  <c r="AG316" i="217"/>
  <c r="AG280" i="217"/>
  <c r="BC181" i="198"/>
  <c r="AI206" i="198"/>
  <c r="AD170" i="198"/>
  <c r="Y191" i="198"/>
  <c r="Y141" i="198"/>
  <c r="AD199" i="198"/>
  <c r="AD200" i="198"/>
  <c r="AD198" i="198"/>
  <c r="AD185" i="198"/>
  <c r="AD197" i="198"/>
  <c r="AD191" i="198"/>
  <c r="AD135" i="198"/>
  <c r="AD192" i="198"/>
  <c r="AD168" i="198"/>
  <c r="BC143" i="198"/>
  <c r="AD123" i="198"/>
  <c r="BC170" i="198"/>
  <c r="AD164" i="198"/>
  <c r="BC50" i="198"/>
  <c r="AD126" i="198"/>
  <c r="AD118" i="198"/>
  <c r="BC165" i="198"/>
  <c r="Y81" i="198"/>
  <c r="AD105" i="198"/>
  <c r="AD142" i="198"/>
  <c r="AD120" i="198"/>
  <c r="Y124" i="198"/>
  <c r="AI177" i="198"/>
  <c r="AI190" i="198"/>
  <c r="Y201" i="219"/>
  <c r="Y207" i="219" s="1"/>
  <c r="H185" i="219"/>
  <c r="E185" i="219"/>
  <c r="AV203" i="198"/>
  <c r="R203" i="198"/>
  <c r="S55" i="240"/>
  <c r="I55" i="240"/>
  <c r="K55" i="240" s="1"/>
  <c r="K77" i="240"/>
  <c r="Q49" i="230"/>
  <c r="Q48" i="230" s="1"/>
  <c r="H48" i="230"/>
  <c r="H52" i="230" s="1"/>
  <c r="I268" i="217"/>
  <c r="I304" i="217"/>
  <c r="AD197" i="217"/>
  <c r="AE197" i="217"/>
  <c r="AF197" i="217"/>
  <c r="AH197" i="217"/>
  <c r="W197" i="217"/>
  <c r="X197" i="217"/>
  <c r="AB197" i="217"/>
  <c r="AA197" i="217"/>
  <c r="Z197" i="217"/>
  <c r="Y197" i="217"/>
  <c r="AC197" i="217"/>
  <c r="AG197" i="217"/>
  <c r="AI30" i="217"/>
  <c r="Y99" i="217"/>
  <c r="Y134" i="217"/>
  <c r="Y239" i="217"/>
  <c r="Y169" i="217"/>
  <c r="Y64" i="217"/>
  <c r="Z134" i="217"/>
  <c r="Z99" i="217"/>
  <c r="Z64" i="217"/>
  <c r="Z169" i="217"/>
  <c r="Z239" i="217"/>
  <c r="AA239" i="217"/>
  <c r="AA169" i="217"/>
  <c r="AA64" i="217"/>
  <c r="AA99" i="217"/>
  <c r="AA134" i="217"/>
  <c r="AB64" i="217"/>
  <c r="AB99" i="217"/>
  <c r="AB239" i="217"/>
  <c r="AB169" i="217"/>
  <c r="AB134" i="217"/>
  <c r="AC169" i="217"/>
  <c r="AC99" i="217"/>
  <c r="AC134" i="217"/>
  <c r="AC239" i="217"/>
  <c r="AC64" i="217"/>
  <c r="AD99" i="217"/>
  <c r="AD64" i="217"/>
  <c r="AD239" i="217"/>
  <c r="AD134" i="217"/>
  <c r="AD169" i="217"/>
  <c r="AE169" i="217"/>
  <c r="AE99" i="217"/>
  <c r="AE239" i="217"/>
  <c r="AE64" i="217"/>
  <c r="AE134" i="217"/>
  <c r="AF64" i="217"/>
  <c r="AF239" i="217"/>
  <c r="AF169" i="217"/>
  <c r="AF99" i="217"/>
  <c r="AF134" i="217"/>
  <c r="AG64" i="217"/>
  <c r="AG239" i="217"/>
  <c r="AG134" i="217"/>
  <c r="AG169" i="217"/>
  <c r="AG99" i="217"/>
  <c r="AH134" i="217"/>
  <c r="AJ30" i="217"/>
  <c r="AH64" i="217"/>
  <c r="AH99" i="217"/>
  <c r="AH169" i="217"/>
  <c r="AH239" i="217"/>
  <c r="I275" i="217"/>
  <c r="I311" i="217"/>
  <c r="X204" i="217"/>
  <c r="AB204" i="217"/>
  <c r="AD204" i="217"/>
  <c r="Z204" i="217"/>
  <c r="AE204" i="217"/>
  <c r="Y204" i="217"/>
  <c r="AA204" i="217"/>
  <c r="AH204" i="217"/>
  <c r="AC204" i="217"/>
  <c r="AF204" i="217"/>
  <c r="AG204" i="217"/>
  <c r="W204" i="217"/>
  <c r="AE133" i="217"/>
  <c r="AF133" i="217"/>
  <c r="Y133" i="217"/>
  <c r="AA133" i="217"/>
  <c r="X133" i="217"/>
  <c r="X151" i="217" s="1"/>
  <c r="AC133" i="217"/>
  <c r="AH133" i="217"/>
  <c r="AG133" i="217"/>
  <c r="AB133" i="217"/>
  <c r="AD133" i="217"/>
  <c r="Z133" i="217"/>
  <c r="W133" i="217"/>
  <c r="W151" i="217" s="1"/>
  <c r="Z203" i="217"/>
  <c r="AC203" i="217"/>
  <c r="AD203" i="217"/>
  <c r="W203" i="217"/>
  <c r="AA203" i="217"/>
  <c r="AB203" i="217"/>
  <c r="AG203" i="217"/>
  <c r="X203" i="217"/>
  <c r="Y203" i="217"/>
  <c r="AF203" i="217"/>
  <c r="AE203" i="217"/>
  <c r="AH203" i="217"/>
  <c r="AI272" i="217"/>
  <c r="AI23" i="217"/>
  <c r="AI45" i="217" s="1"/>
  <c r="Y57" i="217"/>
  <c r="Y162" i="217"/>
  <c r="Y92" i="217"/>
  <c r="Y127" i="217"/>
  <c r="Y232" i="217"/>
  <c r="Z92" i="217"/>
  <c r="Z57" i="217"/>
  <c r="Z127" i="217"/>
  <c r="Z232" i="217"/>
  <c r="Z162" i="217"/>
  <c r="AA57" i="217"/>
  <c r="AA92" i="217"/>
  <c r="AA127" i="217"/>
  <c r="AA232" i="217"/>
  <c r="AA162" i="217"/>
  <c r="AB162" i="217"/>
  <c r="AB57" i="217"/>
  <c r="AB92" i="217"/>
  <c r="AB232" i="217"/>
  <c r="AB127" i="217"/>
  <c r="AC92" i="217"/>
  <c r="AC127" i="217"/>
  <c r="AC232" i="217"/>
  <c r="AC57" i="217"/>
  <c r="AC162" i="217"/>
  <c r="AD57" i="217"/>
  <c r="AD92" i="217"/>
  <c r="AD162" i="217"/>
  <c r="AD127" i="217"/>
  <c r="AD232" i="217"/>
  <c r="AF45" i="217"/>
  <c r="T24" i="219" s="1"/>
  <c r="T23" i="219" s="1"/>
  <c r="AF162" i="217"/>
  <c r="AF127" i="217"/>
  <c r="AF57" i="217"/>
  <c r="AF232" i="217"/>
  <c r="AF92" i="217"/>
  <c r="AG45" i="217"/>
  <c r="U24" i="219" s="1"/>
  <c r="U23" i="219" s="1"/>
  <c r="AG162" i="217"/>
  <c r="AG57" i="217"/>
  <c r="AG92" i="217"/>
  <c r="AG232" i="217"/>
  <c r="AG127" i="217"/>
  <c r="AH45" i="217"/>
  <c r="V24" i="219" s="1"/>
  <c r="V23" i="219" s="1"/>
  <c r="AH127" i="217"/>
  <c r="AH162" i="217"/>
  <c r="AH232" i="217"/>
  <c r="AH57" i="217"/>
  <c r="AH92" i="217"/>
  <c r="AJ23" i="217"/>
  <c r="AE127" i="217"/>
  <c r="AE162" i="217"/>
  <c r="AE45" i="217"/>
  <c r="S24" i="219" s="1"/>
  <c r="S23" i="219" s="1"/>
  <c r="AE92" i="217"/>
  <c r="AE57" i="217"/>
  <c r="AE232" i="217"/>
  <c r="AI29" i="217"/>
  <c r="I310" i="217"/>
  <c r="I274" i="217"/>
  <c r="D33" i="198"/>
  <c r="E33" i="198" s="1"/>
  <c r="W31" i="204"/>
  <c r="G31" i="204"/>
  <c r="I31" i="204" s="1"/>
  <c r="D31" i="204"/>
  <c r="F31" i="204" s="1"/>
  <c r="K23" i="204"/>
  <c r="AB24" i="217"/>
  <c r="AF24" i="217"/>
  <c r="AF46" i="217" s="1"/>
  <c r="AG24" i="217"/>
  <c r="AG46" i="217" s="1"/>
  <c r="AC24" i="217"/>
  <c r="AA24" i="217"/>
  <c r="AD24" i="217"/>
  <c r="AE24" i="217"/>
  <c r="AE46" i="217" s="1"/>
  <c r="AH24" i="217"/>
  <c r="AH46" i="217" s="1"/>
  <c r="Z24" i="217"/>
  <c r="I58" i="217"/>
  <c r="I163" i="217"/>
  <c r="I233" i="217"/>
  <c r="I93" i="217"/>
  <c r="I128" i="217"/>
  <c r="I198" i="217"/>
  <c r="AI123" i="217"/>
  <c r="AI88" i="217"/>
  <c r="AI307" i="217"/>
  <c r="AW307" i="217" s="1"/>
  <c r="AX307" i="217" s="1"/>
  <c r="AI308" i="217"/>
  <c r="AW308" i="217" s="1"/>
  <c r="AX308" i="217" s="1"/>
  <c r="AI276" i="217"/>
  <c r="AI273" i="217"/>
  <c r="AI309" i="217"/>
  <c r="AW309" i="217" s="1"/>
  <c r="AX309" i="217" s="1"/>
  <c r="W301" i="217"/>
  <c r="AI299" i="217"/>
  <c r="AW299" i="217" s="1"/>
  <c r="AX299" i="217" s="1"/>
  <c r="AG300" i="217"/>
  <c r="AH300" i="217"/>
  <c r="AL34" i="217"/>
  <c r="AK243" i="217"/>
  <c r="AK68" i="217"/>
  <c r="AK103" i="217"/>
  <c r="AK138" i="217"/>
  <c r="AK173" i="217"/>
  <c r="AK100" i="217"/>
  <c r="AK240" i="217"/>
  <c r="AK65" i="217"/>
  <c r="AK135" i="217"/>
  <c r="AL31" i="217"/>
  <c r="AK170" i="217"/>
  <c r="AJ312" i="217"/>
  <c r="AJ276" i="217"/>
  <c r="AK62" i="217"/>
  <c r="AK132" i="217"/>
  <c r="AK167" i="217"/>
  <c r="AK237" i="217"/>
  <c r="AL28" i="217"/>
  <c r="AK97" i="217"/>
  <c r="AJ309" i="217"/>
  <c r="AJ273" i="217"/>
  <c r="AJ308" i="217"/>
  <c r="AJ272" i="217"/>
  <c r="AK61" i="217"/>
  <c r="AK96" i="217"/>
  <c r="AK131" i="217"/>
  <c r="AK236" i="217"/>
  <c r="AL27" i="217"/>
  <c r="AK166" i="217"/>
  <c r="AJ271" i="217"/>
  <c r="AJ307" i="217"/>
  <c r="AL26" i="217"/>
  <c r="AK60" i="217"/>
  <c r="AL40" i="217"/>
  <c r="AD306" i="217"/>
  <c r="AD270" i="217"/>
  <c r="AC306" i="217"/>
  <c r="AC270" i="217"/>
  <c r="AB306" i="217"/>
  <c r="AB270" i="217"/>
  <c r="AF306" i="217"/>
  <c r="AF270" i="217"/>
  <c r="AG306" i="217"/>
  <c r="AG270" i="217"/>
  <c r="AE306" i="217"/>
  <c r="AE270" i="217"/>
  <c r="W306" i="217"/>
  <c r="AI59" i="217"/>
  <c r="W270" i="217"/>
  <c r="X306" i="217"/>
  <c r="X270" i="217"/>
  <c r="Y306" i="217"/>
  <c r="Y270" i="217"/>
  <c r="Z306" i="217"/>
  <c r="Z270" i="217"/>
  <c r="AA306" i="217"/>
  <c r="AA270" i="217"/>
  <c r="AK25" i="217"/>
  <c r="AJ94" i="217"/>
  <c r="AJ129" i="217"/>
  <c r="AJ164" i="217"/>
  <c r="AJ234" i="217"/>
  <c r="AJ59" i="217"/>
  <c r="AH306" i="217"/>
  <c r="AH270" i="217"/>
  <c r="W302" i="217"/>
  <c r="W266" i="217"/>
  <c r="AI55" i="217"/>
  <c r="AE302" i="217"/>
  <c r="AE266" i="217"/>
  <c r="AK21" i="217"/>
  <c r="AJ55" i="217"/>
  <c r="AJ90" i="217"/>
  <c r="AJ125" i="217"/>
  <c r="AJ230" i="217"/>
  <c r="AJ160" i="217"/>
  <c r="AH302" i="217"/>
  <c r="AH266" i="217"/>
  <c r="AG302" i="217"/>
  <c r="AG266" i="217"/>
  <c r="AF302" i="217"/>
  <c r="AF266" i="217"/>
  <c r="X302" i="217"/>
  <c r="X266" i="217"/>
  <c r="AD302" i="217"/>
  <c r="AD266" i="217"/>
  <c r="AC302" i="217"/>
  <c r="AC266" i="217"/>
  <c r="AB302" i="217"/>
  <c r="AB266" i="217"/>
  <c r="AA302" i="217"/>
  <c r="AA266" i="217"/>
  <c r="Z302" i="217"/>
  <c r="Z266" i="217"/>
  <c r="Y302" i="217"/>
  <c r="Y266" i="217"/>
  <c r="X301" i="217"/>
  <c r="X265" i="217"/>
  <c r="W265" i="217"/>
  <c r="AK19" i="217"/>
  <c r="AJ53" i="217"/>
  <c r="AJ88" i="217"/>
  <c r="AJ123" i="217"/>
  <c r="AJ228" i="217"/>
  <c r="AJ158" i="217"/>
  <c r="AI53" i="217"/>
  <c r="AG264" i="217"/>
  <c r="AM18" i="217"/>
  <c r="AL87" i="217"/>
  <c r="AL227" i="217"/>
  <c r="AL52" i="217"/>
  <c r="AL122" i="217"/>
  <c r="AM17" i="217"/>
  <c r="AL298" i="217"/>
  <c r="AV192" i="217"/>
  <c r="AV220" i="217" s="1"/>
  <c r="AJ220" i="217"/>
  <c r="AI94" i="217"/>
  <c r="AI129" i="217"/>
  <c r="AI160" i="217"/>
  <c r="AI125" i="217"/>
  <c r="AH264" i="217"/>
  <c r="AI234" i="217"/>
  <c r="AI230" i="217"/>
  <c r="AI90" i="217"/>
  <c r="AI126" i="217"/>
  <c r="AK22" i="217"/>
  <c r="AJ91" i="217"/>
  <c r="AJ56" i="217"/>
  <c r="AJ126" i="217"/>
  <c r="AJ231" i="217"/>
  <c r="AJ161" i="217"/>
  <c r="AH267" i="217"/>
  <c r="AH303" i="217"/>
  <c r="AG267" i="217"/>
  <c r="AG303" i="217"/>
  <c r="AF303" i="217"/>
  <c r="AF267" i="217"/>
  <c r="AE303" i="217"/>
  <c r="AE267" i="217"/>
  <c r="AD267" i="217"/>
  <c r="AD303" i="217"/>
  <c r="AC303" i="217"/>
  <c r="AC267" i="217"/>
  <c r="AB303" i="217"/>
  <c r="AB267" i="217"/>
  <c r="AA303" i="217"/>
  <c r="AA267" i="217"/>
  <c r="Z303" i="217"/>
  <c r="Z267" i="217"/>
  <c r="Y303" i="217"/>
  <c r="Y267" i="217"/>
  <c r="X267" i="217"/>
  <c r="X303" i="217"/>
  <c r="X186" i="217"/>
  <c r="AI231" i="217"/>
  <c r="W257" i="217"/>
  <c r="AI56" i="217"/>
  <c r="W267" i="217"/>
  <c r="W303" i="217"/>
  <c r="W81" i="217"/>
  <c r="W116" i="217"/>
  <c r="AI91" i="217"/>
  <c r="AI161" i="217"/>
  <c r="W186" i="217"/>
  <c r="AI196" i="217"/>
  <c r="AK32" i="217"/>
  <c r="AJ313" i="217"/>
  <c r="AI313" i="217"/>
  <c r="T190" i="198"/>
  <c r="D26" i="198"/>
  <c r="E26" i="198" s="1"/>
  <c r="AH26" i="198"/>
  <c r="AI26" i="198" s="1"/>
  <c r="AS176" i="198"/>
  <c r="AS189" i="198"/>
  <c r="T189" i="198"/>
  <c r="X269" i="217"/>
  <c r="X81" i="217"/>
  <c r="X257" i="217"/>
  <c r="X116" i="217"/>
  <c r="T177" i="198"/>
  <c r="AN177" i="198"/>
  <c r="AX177" i="198"/>
  <c r="AS181" i="198"/>
  <c r="AS119" i="198"/>
  <c r="O118" i="198"/>
  <c r="AS102" i="198"/>
  <c r="O205" i="198"/>
  <c r="O195" i="198"/>
  <c r="O171" i="198"/>
  <c r="O143" i="198"/>
  <c r="O137" i="198"/>
  <c r="AS152" i="198"/>
  <c r="O147" i="198"/>
  <c r="O207" i="198"/>
  <c r="AS161" i="198"/>
  <c r="O115" i="198"/>
  <c r="AS185" i="198"/>
  <c r="O183" i="198"/>
  <c r="O121" i="198"/>
  <c r="O66" i="198"/>
  <c r="O185" i="198"/>
  <c r="AS184" i="198"/>
  <c r="AS123" i="198"/>
  <c r="O120" i="198"/>
  <c r="AS115" i="198"/>
  <c r="AS111" i="198"/>
  <c r="O111" i="198"/>
  <c r="O164" i="198"/>
  <c r="AS162" i="198"/>
  <c r="AS157" i="198"/>
  <c r="O131" i="198"/>
  <c r="O113" i="198"/>
  <c r="AS51" i="198"/>
  <c r="O32" i="198"/>
  <c r="O196" i="198"/>
  <c r="AS172" i="198"/>
  <c r="AS159" i="198"/>
  <c r="O141" i="198"/>
  <c r="AS140" i="198"/>
  <c r="O135" i="198"/>
  <c r="AS112" i="198"/>
  <c r="O112" i="198"/>
  <c r="O84" i="198"/>
  <c r="AS66" i="198"/>
  <c r="AS39" i="198"/>
  <c r="O38" i="198"/>
  <c r="O193" i="198"/>
  <c r="O166" i="198"/>
  <c r="O139" i="198"/>
  <c r="AS120" i="198"/>
  <c r="AS113" i="198"/>
  <c r="AS84" i="198"/>
  <c r="AS72" i="198"/>
  <c r="O55" i="198"/>
  <c r="AS49" i="198"/>
  <c r="AS178" i="198"/>
  <c r="AS146" i="198"/>
  <c r="O106" i="198"/>
  <c r="O68" i="198"/>
  <c r="O51" i="198"/>
  <c r="AS36" i="198"/>
  <c r="AS169" i="198"/>
  <c r="O172" i="198"/>
  <c r="O142" i="198"/>
  <c r="AS143" i="198"/>
  <c r="O165" i="198"/>
  <c r="AS201" i="198"/>
  <c r="AS197" i="198"/>
  <c r="AS168" i="198"/>
  <c r="O161" i="198"/>
  <c r="O168" i="198"/>
  <c r="O80" i="198"/>
  <c r="AS183" i="198"/>
  <c r="O178" i="198"/>
  <c r="O160" i="198"/>
  <c r="AS196" i="198"/>
  <c r="AS171" i="198"/>
  <c r="O24" i="198"/>
  <c r="O83" i="198"/>
  <c r="O181" i="198"/>
  <c r="AS170" i="198"/>
  <c r="AS135" i="198"/>
  <c r="O117" i="198"/>
  <c r="AS106" i="198"/>
  <c r="AS21" i="198"/>
  <c r="AS18" i="198"/>
  <c r="O200" i="198"/>
  <c r="AS30" i="198"/>
  <c r="AS136" i="198"/>
  <c r="O29" i="198"/>
  <c r="AI189" i="198"/>
  <c r="J190" i="198"/>
  <c r="AI201" i="198"/>
  <c r="AI197" i="198"/>
  <c r="AI192" i="198"/>
  <c r="E141" i="198"/>
  <c r="AI141" i="198"/>
  <c r="E136" i="198"/>
  <c r="AI124" i="198"/>
  <c r="E43" i="198"/>
  <c r="AI51" i="198"/>
  <c r="AI90" i="198"/>
  <c r="AI78" i="198"/>
  <c r="E121" i="198"/>
  <c r="E70" i="198"/>
  <c r="AI31" i="198"/>
  <c r="AI16" i="198"/>
  <c r="AI49" i="198"/>
  <c r="AI163" i="198"/>
  <c r="E30" i="198"/>
  <c r="E140" i="198"/>
  <c r="E32" i="198"/>
  <c r="E24" i="198"/>
  <c r="E139" i="198"/>
  <c r="E29" i="198"/>
  <c r="AI52" i="198"/>
  <c r="AI68" i="198"/>
  <c r="AI84" i="198"/>
  <c r="AI27" i="198"/>
  <c r="E106" i="198"/>
  <c r="AI39" i="198"/>
  <c r="I26" i="198"/>
  <c r="J26" i="198" s="1"/>
  <c r="AM26" i="198"/>
  <c r="AN26" i="198" s="1"/>
  <c r="G24" i="218"/>
  <c r="I24" i="218" s="1"/>
  <c r="D24" i="218"/>
  <c r="F24" i="218" s="1"/>
  <c r="K23" i="218"/>
  <c r="AN189" i="198"/>
  <c r="BH196" i="198"/>
  <c r="BH184" i="198"/>
  <c r="BH164" i="198"/>
  <c r="BH110" i="198"/>
  <c r="BH179" i="198"/>
  <c r="BH160" i="198"/>
  <c r="BH149" i="198"/>
  <c r="BH147" i="198"/>
  <c r="BH145" i="198"/>
  <c r="BH200" i="198"/>
  <c r="BH197" i="198"/>
  <c r="BH193" i="198"/>
  <c r="BH192" i="198"/>
  <c r="BH180" i="198"/>
  <c r="BH170" i="198"/>
  <c r="BH178" i="198"/>
  <c r="BH120" i="198"/>
  <c r="BH118" i="198"/>
  <c r="BH94" i="198"/>
  <c r="BH83" i="198"/>
  <c r="BH185" i="198"/>
  <c r="BH97" i="198"/>
  <c r="BH73" i="198"/>
  <c r="BH148" i="198"/>
  <c r="BH25" i="198"/>
  <c r="BH95" i="198"/>
  <c r="BH29" i="198"/>
  <c r="BH20" i="198"/>
  <c r="BH165" i="198"/>
  <c r="BH121" i="198"/>
  <c r="BH112" i="198"/>
  <c r="BH92" i="198"/>
  <c r="BH90" i="198"/>
  <c r="BH64" i="198"/>
  <c r="BH77" i="198"/>
  <c r="BH140" i="198"/>
  <c r="BH136" i="198"/>
  <c r="BH102" i="198"/>
  <c r="BH181" i="198"/>
  <c r="BH52" i="198"/>
  <c r="BH16" i="198"/>
  <c r="BH100" i="198"/>
  <c r="BH43" i="198"/>
  <c r="BH99" i="198"/>
  <c r="BH27" i="198"/>
  <c r="BH108" i="198"/>
  <c r="BH51" i="198"/>
  <c r="BH115" i="198"/>
  <c r="BH72" i="198"/>
  <c r="BH146" i="198"/>
  <c r="BH80" i="198"/>
  <c r="AN114" i="198"/>
  <c r="AS207" i="198"/>
  <c r="AS200" i="198"/>
  <c r="O199" i="198"/>
  <c r="AS193" i="198"/>
  <c r="O192" i="198"/>
  <c r="O180" i="198"/>
  <c r="AS205" i="198"/>
  <c r="O201" i="198"/>
  <c r="O198" i="198"/>
  <c r="AS195" i="198"/>
  <c r="AS192" i="198"/>
  <c r="O145" i="198"/>
  <c r="AS137" i="198"/>
  <c r="O136" i="198"/>
  <c r="AS130" i="198"/>
  <c r="O129" i="198"/>
  <c r="AS127" i="198"/>
  <c r="O127" i="198"/>
  <c r="AS116" i="198"/>
  <c r="O116" i="198"/>
  <c r="O184" i="198"/>
  <c r="O169" i="198"/>
  <c r="AS165" i="198"/>
  <c r="AS163" i="198"/>
  <c r="AS141" i="198"/>
  <c r="O140" i="198"/>
  <c r="AS134" i="198"/>
  <c r="O133" i="198"/>
  <c r="AS122" i="198"/>
  <c r="O163" i="198"/>
  <c r="O162" i="198"/>
  <c r="O152" i="198"/>
  <c r="AS147" i="198"/>
  <c r="AS139" i="198"/>
  <c r="O170" i="198"/>
  <c r="O98" i="198"/>
  <c r="AS191" i="198"/>
  <c r="O119" i="198"/>
  <c r="AS114" i="198"/>
  <c r="AS73" i="198"/>
  <c r="AS67" i="198"/>
  <c r="O52" i="198"/>
  <c r="AS190" i="198"/>
  <c r="AS129" i="198"/>
  <c r="AS68" i="198"/>
  <c r="AX206" i="198"/>
  <c r="E201" i="198"/>
  <c r="AI183" i="198"/>
  <c r="AI193" i="198"/>
  <c r="AI139" i="198"/>
  <c r="AI160" i="198"/>
  <c r="AI200" i="198"/>
  <c r="E197" i="198"/>
  <c r="AI184" i="198"/>
  <c r="O191" i="198"/>
  <c r="O190" i="198"/>
  <c r="AS151" i="198"/>
  <c r="AS121" i="198"/>
  <c r="AS180" i="198"/>
  <c r="AS179" i="198"/>
  <c r="O67" i="198"/>
  <c r="O132" i="198"/>
  <c r="AS118" i="198"/>
  <c r="AS110" i="198"/>
  <c r="AS164" i="198"/>
  <c r="O146" i="198"/>
  <c r="O138" i="198"/>
  <c r="O92" i="198"/>
  <c r="O81" i="198"/>
  <c r="AS80" i="198"/>
  <c r="O78" i="198"/>
  <c r="O73" i="198"/>
  <c r="O49" i="198"/>
  <c r="O34" i="198"/>
  <c r="AS33" i="198"/>
  <c r="AS198" i="198"/>
  <c r="AS142" i="198"/>
  <c r="AS65" i="198"/>
  <c r="AS52" i="198"/>
  <c r="O43" i="198"/>
  <c r="AS29" i="198"/>
  <c r="AS19" i="198"/>
  <c r="AS199" i="198"/>
  <c r="O157" i="198"/>
  <c r="O151" i="198"/>
  <c r="O33" i="198"/>
  <c r="O102" i="198"/>
  <c r="AS98" i="198"/>
  <c r="O75" i="198"/>
  <c r="AS133" i="198"/>
  <c r="O110" i="198"/>
  <c r="AS27" i="198"/>
  <c r="O197" i="198"/>
  <c r="AS166" i="198"/>
  <c r="AS75" i="198"/>
  <c r="O71" i="198"/>
  <c r="AS69" i="198"/>
  <c r="O65" i="198"/>
  <c r="O39" i="198"/>
  <c r="AS38" i="198"/>
  <c r="O30" i="198"/>
  <c r="O179" i="198"/>
  <c r="AS131" i="198"/>
  <c r="O130" i="198"/>
  <c r="AS31" i="198"/>
  <c r="O74" i="198"/>
  <c r="O69" i="198"/>
  <c r="AS28" i="198"/>
  <c r="O27" i="198"/>
  <c r="O20" i="198"/>
  <c r="O18" i="198"/>
  <c r="O159" i="198"/>
  <c r="AS138" i="198"/>
  <c r="O123" i="198"/>
  <c r="O176" i="198"/>
  <c r="AS145" i="198"/>
  <c r="AS78" i="198"/>
  <c r="AS206" i="198"/>
  <c r="AS160" i="198"/>
  <c r="O70" i="198"/>
  <c r="AS71" i="198"/>
  <c r="AS81" i="198"/>
  <c r="O36" i="198"/>
  <c r="O31" i="198"/>
  <c r="AS34" i="198"/>
  <c r="AS50" i="198"/>
  <c r="AS16" i="198"/>
  <c r="AS20" i="198"/>
  <c r="AS43" i="198"/>
  <c r="O50" i="198"/>
  <c r="O114" i="198"/>
  <c r="O21" i="198"/>
  <c r="AS55" i="198"/>
  <c r="O28" i="198"/>
  <c r="O19" i="198"/>
  <c r="E172" i="198"/>
  <c r="E131" i="198"/>
  <c r="AI123" i="198"/>
  <c r="E193" i="198"/>
  <c r="E166" i="198"/>
  <c r="E142" i="198"/>
  <c r="E135" i="198"/>
  <c r="E200" i="198"/>
  <c r="AI165" i="198"/>
  <c r="T206" i="198"/>
  <c r="O206" i="198"/>
  <c r="AI164" i="198"/>
  <c r="AI132" i="198"/>
  <c r="AI112" i="198"/>
  <c r="E196" i="198"/>
  <c r="AI179" i="198"/>
  <c r="E198" i="198"/>
  <c r="AI159" i="198"/>
  <c r="AI191" i="198"/>
  <c r="AI169" i="198"/>
  <c r="AD177" i="198"/>
  <c r="E181" i="198"/>
  <c r="E168" i="198"/>
  <c r="AI166" i="198"/>
  <c r="E159" i="198"/>
  <c r="E147" i="198"/>
  <c r="AI130" i="198"/>
  <c r="E127" i="198"/>
  <c r="AI118" i="198"/>
  <c r="AI83" i="198"/>
  <c r="AI181" i="198"/>
  <c r="E169" i="198"/>
  <c r="E161" i="198"/>
  <c r="E74" i="198"/>
  <c r="E68" i="198"/>
  <c r="E184" i="198"/>
  <c r="E180" i="198"/>
  <c r="AI143" i="198"/>
  <c r="AI142" i="198"/>
  <c r="AI137" i="198"/>
  <c r="E137" i="198"/>
  <c r="AI134" i="198"/>
  <c r="E134" i="198"/>
  <c r="E132" i="198"/>
  <c r="AI81" i="198"/>
  <c r="AI65" i="198"/>
  <c r="AI28" i="198"/>
  <c r="E27" i="198"/>
  <c r="AI19" i="198"/>
  <c r="E178" i="198"/>
  <c r="AI176" i="198"/>
  <c r="AI170" i="198"/>
  <c r="AI117" i="198"/>
  <c r="E111" i="198"/>
  <c r="AI71" i="198"/>
  <c r="E69" i="198"/>
  <c r="E52" i="198"/>
  <c r="E40" i="198"/>
  <c r="AI34" i="198"/>
  <c r="E164" i="198"/>
  <c r="AI110" i="198"/>
  <c r="E110" i="198"/>
  <c r="E75" i="198"/>
  <c r="E67" i="198"/>
  <c r="E50" i="198"/>
  <c r="E195" i="198"/>
  <c r="E183" i="198"/>
  <c r="AI157" i="198"/>
  <c r="AI126" i="198"/>
  <c r="E119" i="198"/>
  <c r="AI111" i="198"/>
  <c r="AI102" i="198"/>
  <c r="E205" i="198"/>
  <c r="E171" i="198"/>
  <c r="AI138" i="198"/>
  <c r="E133" i="198"/>
  <c r="E114" i="198"/>
  <c r="AI178" i="198"/>
  <c r="E165" i="198"/>
  <c r="AI114" i="198"/>
  <c r="AI151" i="198"/>
  <c r="E117" i="198"/>
  <c r="E116" i="198"/>
  <c r="AI98" i="198"/>
  <c r="E83" i="198"/>
  <c r="AI66" i="198"/>
  <c r="AI171" i="198"/>
  <c r="AI131" i="198"/>
  <c r="E122" i="198"/>
  <c r="AI21" i="198"/>
  <c r="E176" i="198"/>
  <c r="AI161" i="198"/>
  <c r="AI106" i="198"/>
  <c r="E92" i="198"/>
  <c r="E84" i="198"/>
  <c r="E51" i="198"/>
  <c r="AI199" i="198"/>
  <c r="E179" i="198"/>
  <c r="AI146" i="198"/>
  <c r="E145" i="198"/>
  <c r="AI18" i="198"/>
  <c r="E157" i="198"/>
  <c r="E72" i="198"/>
  <c r="E143" i="198"/>
  <c r="AI125" i="198"/>
  <c r="E36" i="198"/>
  <c r="E192" i="198"/>
  <c r="AI207" i="198"/>
  <c r="AI32" i="198"/>
  <c r="E19" i="198"/>
  <c r="E98" i="198"/>
  <c r="E113" i="198"/>
  <c r="E162" i="198"/>
  <c r="E49" i="198"/>
  <c r="E124" i="198"/>
  <c r="E80" i="198"/>
  <c r="AI67" i="198"/>
  <c r="AI145" i="198"/>
  <c r="E28" i="198"/>
  <c r="BH177" i="198"/>
  <c r="AI17" i="198"/>
  <c r="M187" i="198"/>
  <c r="AQ187" i="198"/>
  <c r="AW18" i="198"/>
  <c r="AX18" i="198" s="1"/>
  <c r="S18" i="198"/>
  <c r="T18" i="198" s="1"/>
  <c r="S19" i="198"/>
  <c r="T19" i="198" s="1"/>
  <c r="AW19" i="198"/>
  <c r="AX19" i="198" s="1"/>
  <c r="H33" i="177"/>
  <c r="F7" i="246"/>
  <c r="D48" i="206"/>
  <c r="F48" i="206" s="1"/>
  <c r="W48" i="206"/>
  <c r="G48" i="206"/>
  <c r="I48" i="206" s="1"/>
  <c r="D115" i="206"/>
  <c r="F115" i="206" s="1"/>
  <c r="G115" i="206"/>
  <c r="I115" i="206" s="1"/>
  <c r="W115" i="206"/>
  <c r="Y127" i="198"/>
  <c r="BC110" i="198"/>
  <c r="BC168" i="198"/>
  <c r="BC68" i="198"/>
  <c r="BC136" i="198"/>
  <c r="Y67" i="198"/>
  <c r="Y75" i="198"/>
  <c r="BC137" i="198"/>
  <c r="Y122" i="198"/>
  <c r="BC90" i="198"/>
  <c r="BC133" i="198"/>
  <c r="Y153" i="198"/>
  <c r="Y80" i="198"/>
  <c r="Y163" i="198"/>
  <c r="BC130" i="198"/>
  <c r="BC139" i="198"/>
  <c r="Y161" i="198"/>
  <c r="Y185" i="198"/>
  <c r="J176" i="198"/>
  <c r="J117" i="198"/>
  <c r="J52" i="198"/>
  <c r="AN184" i="198"/>
  <c r="AN43" i="198"/>
  <c r="AN135" i="198"/>
  <c r="J40" i="198"/>
  <c r="J143" i="198"/>
  <c r="J114" i="198"/>
  <c r="AN32" i="198"/>
  <c r="J161" i="198"/>
  <c r="AN131" i="198"/>
  <c r="AN170" i="198"/>
  <c r="J120" i="198"/>
  <c r="AN145" i="198"/>
  <c r="AN168" i="198"/>
  <c r="BH103" i="198"/>
  <c r="BH41" i="198"/>
  <c r="BH195" i="198"/>
  <c r="BH157" i="198"/>
  <c r="AX200" i="198"/>
  <c r="T31" i="198"/>
  <c r="AX193" i="198"/>
  <c r="T131" i="198"/>
  <c r="AX120" i="198"/>
  <c r="T112" i="198"/>
  <c r="T27" i="198"/>
  <c r="T183" i="198"/>
  <c r="AX169" i="198"/>
  <c r="T98" i="198"/>
  <c r="T92" i="198"/>
  <c r="T115" i="198"/>
  <c r="T162" i="198"/>
  <c r="T172" i="198"/>
  <c r="Y190" i="198"/>
  <c r="BC207" i="198"/>
  <c r="BC142" i="198"/>
  <c r="BC125" i="198"/>
  <c r="Y181" i="198"/>
  <c r="Y73" i="198"/>
  <c r="BC147" i="198"/>
  <c r="Y123" i="198"/>
  <c r="Y72" i="198"/>
  <c r="Y199" i="198"/>
  <c r="Y147" i="198"/>
  <c r="BC169" i="198"/>
  <c r="BC184" i="198"/>
  <c r="Y91" i="198"/>
  <c r="BC71" i="198"/>
  <c r="Y164" i="198"/>
  <c r="AD165" i="198"/>
  <c r="Y136" i="198"/>
  <c r="Y114" i="198"/>
  <c r="AD172" i="198"/>
  <c r="BC191" i="198"/>
  <c r="J110" i="198"/>
  <c r="AN125" i="198"/>
  <c r="J31" i="198"/>
  <c r="AN146" i="198"/>
  <c r="AN40" i="198"/>
  <c r="AN65" i="198"/>
  <c r="AN178" i="198"/>
  <c r="AN162" i="198"/>
  <c r="AN110" i="198"/>
  <c r="AN132" i="198"/>
  <c r="J172" i="198"/>
  <c r="J122" i="198"/>
  <c r="AN143" i="198"/>
  <c r="Y177" i="198"/>
  <c r="BH70" i="198"/>
  <c r="BH114" i="198"/>
  <c r="BH133" i="198"/>
  <c r="AX66" i="198"/>
  <c r="AX143" i="198"/>
  <c r="AX117" i="198"/>
  <c r="AX195" i="198"/>
  <c r="T73" i="198"/>
  <c r="AX184" i="198"/>
  <c r="AX106" i="198"/>
  <c r="AX98" i="198"/>
  <c r="T171" i="198"/>
  <c r="T114" i="198"/>
  <c r="T180" i="198"/>
  <c r="T102" i="198"/>
  <c r="AX162" i="198"/>
  <c r="T185" i="225"/>
  <c r="T201" i="225" s="1"/>
  <c r="T207" i="225" s="1"/>
  <c r="H201" i="225"/>
  <c r="F185" i="225"/>
  <c r="AI50" i="198"/>
  <c r="AI168" i="198"/>
  <c r="E138" i="198"/>
  <c r="AI195" i="198"/>
  <c r="AD27" i="198"/>
  <c r="Y41" i="198"/>
  <c r="AD196" i="198"/>
  <c r="AD18" i="198"/>
  <c r="BC149" i="198"/>
  <c r="BC89" i="198"/>
  <c r="Y142" i="198"/>
  <c r="AD70" i="198"/>
  <c r="AD37" i="198"/>
  <c r="BC180" i="198"/>
  <c r="Y21" i="198"/>
  <c r="Y98" i="198"/>
  <c r="AD147" i="198"/>
  <c r="Y108" i="198"/>
  <c r="Y171" i="198"/>
  <c r="Y146" i="198"/>
  <c r="BC153" i="198"/>
  <c r="BC115" i="198"/>
  <c r="BC172" i="198"/>
  <c r="Y197" i="198"/>
  <c r="AN30" i="198"/>
  <c r="J165" i="198"/>
  <c r="AN74" i="198"/>
  <c r="J50" i="198"/>
  <c r="J142" i="198"/>
  <c r="AN163" i="198"/>
  <c r="J168" i="198"/>
  <c r="AN152" i="198"/>
  <c r="J131" i="198"/>
  <c r="J197" i="198"/>
  <c r="J119" i="198"/>
  <c r="AN144" i="198"/>
  <c r="AN123" i="198"/>
  <c r="J144" i="198"/>
  <c r="J147" i="198"/>
  <c r="J164" i="198"/>
  <c r="J180" i="198"/>
  <c r="BH26" i="198"/>
  <c r="BH21" i="198"/>
  <c r="BH28" i="198"/>
  <c r="BH162" i="198"/>
  <c r="BH171" i="198"/>
  <c r="T20" i="198"/>
  <c r="T123" i="198"/>
  <c r="AX32" i="198"/>
  <c r="T199" i="198"/>
  <c r="T81" i="198"/>
  <c r="AX199" i="198"/>
  <c r="T192" i="198"/>
  <c r="T161" i="198"/>
  <c r="AX157" i="198"/>
  <c r="T178" i="198"/>
  <c r="G49" i="206"/>
  <c r="I49" i="206" s="1"/>
  <c r="D49" i="206"/>
  <c r="F49" i="206" s="1"/>
  <c r="W49" i="206"/>
  <c r="H201" i="228"/>
  <c r="T185" i="228"/>
  <c r="T201" i="228" s="1"/>
  <c r="T207" i="228" s="1"/>
  <c r="F185" i="228"/>
  <c r="Y39" i="198"/>
  <c r="Y19" i="198"/>
  <c r="Y24" i="198"/>
  <c r="BC108" i="198"/>
  <c r="BC119" i="198"/>
  <c r="Y113" i="198"/>
  <c r="Y172" i="198"/>
  <c r="Y84" i="198"/>
  <c r="Y95" i="198"/>
  <c r="Y30" i="198"/>
  <c r="Y107" i="198"/>
  <c r="BC79" i="198"/>
  <c r="BC163" i="198"/>
  <c r="Y179" i="198"/>
  <c r="BC146" i="198"/>
  <c r="BC117" i="198"/>
  <c r="BC183" i="198"/>
  <c r="BC198" i="198"/>
  <c r="AN75" i="198"/>
  <c r="AN21" i="198"/>
  <c r="J178" i="198"/>
  <c r="AN151" i="198"/>
  <c r="J49" i="198"/>
  <c r="J66" i="198"/>
  <c r="AN205" i="198"/>
  <c r="J67" i="198"/>
  <c r="J32" i="198"/>
  <c r="J41" i="198"/>
  <c r="J133" i="198"/>
  <c r="J123" i="198"/>
  <c r="AN157" i="198"/>
  <c r="J183" i="198"/>
  <c r="AN126" i="198"/>
  <c r="AN181" i="198"/>
  <c r="BH107" i="198"/>
  <c r="BH172" i="198"/>
  <c r="BH31" i="198"/>
  <c r="AD190" i="198"/>
  <c r="AX67" i="198"/>
  <c r="T43" i="198"/>
  <c r="T140" i="198"/>
  <c r="AX50" i="198"/>
  <c r="T146" i="198"/>
  <c r="T110" i="198"/>
  <c r="T50" i="198"/>
  <c r="AX201" i="198"/>
  <c r="AX131" i="198"/>
  <c r="AX121" i="198"/>
  <c r="T66" i="198"/>
  <c r="T193" i="198"/>
  <c r="AX113" i="198"/>
  <c r="T169" i="198"/>
  <c r="AX114" i="198"/>
  <c r="T163" i="198"/>
  <c r="AX179" i="198"/>
  <c r="W78" i="206"/>
  <c r="G78" i="206"/>
  <c r="I78" i="206" s="1"/>
  <c r="D78" i="206"/>
  <c r="F78" i="206" s="1"/>
  <c r="BH206" i="198"/>
  <c r="Y28" i="198"/>
  <c r="Y44" i="198"/>
  <c r="Y31" i="198"/>
  <c r="AD121" i="198"/>
  <c r="W187" i="198"/>
  <c r="BC113" i="198"/>
  <c r="AD146" i="198"/>
  <c r="Y162" i="198"/>
  <c r="Y83" i="198"/>
  <c r="BC171" i="198"/>
  <c r="AD73" i="198"/>
  <c r="Y36" i="198"/>
  <c r="BC31" i="198"/>
  <c r="Y137" i="198"/>
  <c r="Y193" i="198"/>
  <c r="BC81" i="198"/>
  <c r="AD181" i="198"/>
  <c r="Y165" i="198"/>
  <c r="BC112" i="198"/>
  <c r="Y195" i="198"/>
  <c r="BC161" i="198"/>
  <c r="Y125" i="198"/>
  <c r="BC205" i="198"/>
  <c r="J16" i="198"/>
  <c r="AN16" i="198"/>
  <c r="J126" i="198"/>
  <c r="AN69" i="198"/>
  <c r="AN78" i="198"/>
  <c r="AN67" i="198"/>
  <c r="J20" i="198"/>
  <c r="AN72" i="198"/>
  <c r="AN51" i="198"/>
  <c r="AN136" i="198"/>
  <c r="J71" i="198"/>
  <c r="AN38" i="198"/>
  <c r="AN185" i="198"/>
  <c r="AN169" i="198"/>
  <c r="BH189" i="198"/>
  <c r="BH169" i="198"/>
  <c r="BH66" i="198"/>
  <c r="BH89" i="198"/>
  <c r="T75" i="198"/>
  <c r="AX65" i="198"/>
  <c r="AX170" i="198"/>
  <c r="AX116" i="198"/>
  <c r="AX73" i="198"/>
  <c r="AX133" i="198"/>
  <c r="T143" i="198"/>
  <c r="T74" i="198"/>
  <c r="T121" i="198"/>
  <c r="T170" i="198"/>
  <c r="T134" i="198"/>
  <c r="T117" i="198"/>
  <c r="AX171" i="198"/>
  <c r="AX178" i="198"/>
  <c r="AX161" i="198"/>
  <c r="T185" i="198"/>
  <c r="F201" i="223"/>
  <c r="H207" i="223"/>
  <c r="W110" i="206"/>
  <c r="G110" i="206"/>
  <c r="I110" i="206" s="1"/>
  <c r="D110" i="206"/>
  <c r="F110" i="206" s="1"/>
  <c r="BC157" i="198"/>
  <c r="Y110" i="198"/>
  <c r="BC88" i="198"/>
  <c r="BC74" i="198"/>
  <c r="Y151" i="198"/>
  <c r="Y133" i="198"/>
  <c r="BC150" i="198"/>
  <c r="Y196" i="198"/>
  <c r="AB187" i="198"/>
  <c r="BC73" i="198"/>
  <c r="BC37" i="198"/>
  <c r="BC105" i="198"/>
  <c r="AD33" i="198"/>
  <c r="Y143" i="198"/>
  <c r="Y116" i="198"/>
  <c r="Y166" i="198"/>
  <c r="AD124" i="198"/>
  <c r="Y183" i="198"/>
  <c r="Y157" i="198"/>
  <c r="BC126" i="198"/>
  <c r="J21" i="198"/>
  <c r="AN18" i="198"/>
  <c r="J92" i="198"/>
  <c r="AN73" i="198"/>
  <c r="J170" i="198"/>
  <c r="AN117" i="198"/>
  <c r="AN124" i="198"/>
  <c r="AN138" i="198"/>
  <c r="J80" i="198"/>
  <c r="J151" i="198"/>
  <c r="AN166" i="198"/>
  <c r="AN199" i="198"/>
  <c r="AN129" i="198"/>
  <c r="AN171" i="198"/>
  <c r="J192" i="198"/>
  <c r="BH119" i="198"/>
  <c r="BH79" i="198"/>
  <c r="BH168" i="198"/>
  <c r="BH71" i="198"/>
  <c r="BH134" i="198"/>
  <c r="BH75" i="198"/>
  <c r="T132" i="198"/>
  <c r="T113" i="198"/>
  <c r="T67" i="198"/>
  <c r="AX110" i="198"/>
  <c r="T30" i="198"/>
  <c r="T160" i="198"/>
  <c r="T145" i="198"/>
  <c r="AX181" i="198"/>
  <c r="T135" i="198"/>
  <c r="T141" i="198"/>
  <c r="AX185" i="198"/>
  <c r="AX180" i="198"/>
  <c r="AX191" i="198"/>
  <c r="AI30" i="198"/>
  <c r="E31" i="198"/>
  <c r="E20" i="198"/>
  <c r="E152" i="198"/>
  <c r="AI152" i="198"/>
  <c r="E123" i="198"/>
  <c r="AI73" i="198"/>
  <c r="E207" i="198"/>
  <c r="G11" i="206"/>
  <c r="I11" i="206" s="1"/>
  <c r="D11" i="206"/>
  <c r="F11" i="206" s="1"/>
  <c r="W114" i="206"/>
  <c r="G114" i="206"/>
  <c r="I114" i="206" s="1"/>
  <c r="D114" i="206"/>
  <c r="F114" i="206" s="1"/>
  <c r="Y169" i="198"/>
  <c r="Y118" i="198"/>
  <c r="BC120" i="198"/>
  <c r="Y92" i="198"/>
  <c r="AD94" i="198"/>
  <c r="Y26" i="198"/>
  <c r="BC18" i="198"/>
  <c r="BC159" i="198"/>
  <c r="BC195" i="198"/>
  <c r="Y149" i="198"/>
  <c r="BC197" i="198"/>
  <c r="BC192" i="198"/>
  <c r="Y106" i="198"/>
  <c r="AD119" i="198"/>
  <c r="Y78" i="198"/>
  <c r="AD67" i="198"/>
  <c r="AD52" i="198"/>
  <c r="AD40" i="198"/>
  <c r="AD145" i="198"/>
  <c r="Y43" i="198"/>
  <c r="Y88" i="198"/>
  <c r="AD132" i="198"/>
  <c r="BC185" i="198"/>
  <c r="Y198" i="198"/>
  <c r="AD166" i="198"/>
  <c r="Y200" i="198"/>
  <c r="E206" i="198"/>
  <c r="AN36" i="198"/>
  <c r="J132" i="198"/>
  <c r="J138" i="198"/>
  <c r="J51" i="198"/>
  <c r="J140" i="198"/>
  <c r="AN201" i="198"/>
  <c r="J152" i="198"/>
  <c r="J145" i="198"/>
  <c r="AN137" i="198"/>
  <c r="AN68" i="198"/>
  <c r="AN140" i="198"/>
  <c r="AN165" i="198"/>
  <c r="J181" i="198"/>
  <c r="AN160" i="198"/>
  <c r="J191" i="198"/>
  <c r="J179" i="198"/>
  <c r="AN193" i="198"/>
  <c r="BH18" i="198"/>
  <c r="BH126" i="198"/>
  <c r="BH33" i="198"/>
  <c r="BH78" i="198"/>
  <c r="BH125" i="198"/>
  <c r="BH104" i="198"/>
  <c r="BH113" i="198"/>
  <c r="BH137" i="198"/>
  <c r="T33" i="198"/>
  <c r="AX74" i="198"/>
  <c r="AX111" i="198"/>
  <c r="AX127" i="198"/>
  <c r="AX72" i="198"/>
  <c r="T34" i="198"/>
  <c r="AX33" i="198"/>
  <c r="T80" i="198"/>
  <c r="AX68" i="198"/>
  <c r="T120" i="198"/>
  <c r="AX31" i="198"/>
  <c r="T179" i="198"/>
  <c r="AX146" i="198"/>
  <c r="AX36" i="198"/>
  <c r="AX192" i="198"/>
  <c r="AX135" i="198"/>
  <c r="AX151" i="198"/>
  <c r="T205" i="198"/>
  <c r="AX183" i="198"/>
  <c r="T184" i="198"/>
  <c r="T197" i="198"/>
  <c r="Y17" i="198"/>
  <c r="E39" i="198"/>
  <c r="AI20" i="198"/>
  <c r="E160" i="198"/>
  <c r="E163" i="198"/>
  <c r="AI198" i="198"/>
  <c r="E81" i="198"/>
  <c r="E112" i="198"/>
  <c r="AI129" i="198"/>
  <c r="E170" i="198"/>
  <c r="BH190" i="198"/>
  <c r="W112" i="206"/>
  <c r="G112" i="206"/>
  <c r="I112" i="206" s="1"/>
  <c r="D112" i="206"/>
  <c r="F112" i="206" s="1"/>
  <c r="G17" i="220"/>
  <c r="I17" i="220" s="1"/>
  <c r="D17" i="220"/>
  <c r="F17" i="220" s="1"/>
  <c r="E190" i="198"/>
  <c r="B12" i="230"/>
  <c r="C12" i="230"/>
  <c r="AD193" i="198"/>
  <c r="Y102" i="198"/>
  <c r="BC35" i="198"/>
  <c r="BC29" i="198"/>
  <c r="BC77" i="198"/>
  <c r="BC95" i="198"/>
  <c r="Y109" i="198"/>
  <c r="AD34" i="198"/>
  <c r="BC33" i="198"/>
  <c r="BC25" i="198"/>
  <c r="BC19" i="198"/>
  <c r="AD169" i="198"/>
  <c r="Y152" i="198"/>
  <c r="AD207" i="198"/>
  <c r="BC114" i="198"/>
  <c r="AD114" i="198"/>
  <c r="Y129" i="198"/>
  <c r="AD28" i="198"/>
  <c r="BC67" i="198"/>
  <c r="BC52" i="198"/>
  <c r="BC124" i="198"/>
  <c r="AD43" i="198"/>
  <c r="AD150" i="198"/>
  <c r="BC44" i="198"/>
  <c r="AD131" i="198"/>
  <c r="BC179" i="198"/>
  <c r="AD134" i="198"/>
  <c r="Y201" i="198"/>
  <c r="BC166" i="198"/>
  <c r="Y134" i="198"/>
  <c r="AD149" i="198"/>
  <c r="C52" i="230"/>
  <c r="B52" i="230"/>
  <c r="J34" i="198"/>
  <c r="J24" i="198"/>
  <c r="AN206" i="198"/>
  <c r="AN27" i="198"/>
  <c r="J33" i="198"/>
  <c r="AN133" i="198"/>
  <c r="AN179" i="198"/>
  <c r="J184" i="198"/>
  <c r="J84" i="198"/>
  <c r="AN172" i="198"/>
  <c r="AN190" i="198"/>
  <c r="J207" i="198"/>
  <c r="J171" i="198"/>
  <c r="AN191" i="198"/>
  <c r="J146" i="198"/>
  <c r="J199" i="198"/>
  <c r="F201" i="227"/>
  <c r="H207" i="227"/>
  <c r="BH19" i="198"/>
  <c r="BH30" i="198"/>
  <c r="BH130" i="198"/>
  <c r="BH109" i="198"/>
  <c r="BH139" i="198"/>
  <c r="BH135" i="198"/>
  <c r="BH123" i="198"/>
  <c r="BH141" i="198"/>
  <c r="BH201" i="198"/>
  <c r="AX160" i="198"/>
  <c r="AX39" i="198"/>
  <c r="AX123" i="198"/>
  <c r="AX189" i="198"/>
  <c r="AX132" i="198"/>
  <c r="T38" i="198"/>
  <c r="AX78" i="198"/>
  <c r="T133" i="198"/>
  <c r="T142" i="198"/>
  <c r="AX43" i="198"/>
  <c r="T51" i="198"/>
  <c r="T129" i="198"/>
  <c r="T196" i="198"/>
  <c r="AX138" i="198"/>
  <c r="T152" i="198"/>
  <c r="AX207" i="198"/>
  <c r="AX198" i="198"/>
  <c r="BC16" i="198"/>
  <c r="E41" i="198"/>
  <c r="AI29" i="198"/>
  <c r="E90" i="198"/>
  <c r="E21" i="198"/>
  <c r="E73" i="198"/>
  <c r="G10" i="206"/>
  <c r="I10" i="206" s="1"/>
  <c r="D10" i="206"/>
  <c r="F10" i="206" s="1"/>
  <c r="W10" i="206"/>
  <c r="D50" i="206"/>
  <c r="F50" i="206" s="1"/>
  <c r="G50" i="206"/>
  <c r="I50" i="206" s="1"/>
  <c r="W50" i="206"/>
  <c r="K19" i="220"/>
  <c r="D15" i="220"/>
  <c r="F15" i="220" s="1"/>
  <c r="G15" i="220"/>
  <c r="I15" i="220" s="1"/>
  <c r="S17" i="198"/>
  <c r="AW17" i="198"/>
  <c r="AX17" i="198" s="1"/>
  <c r="AX205" i="198"/>
  <c r="Y18" i="198"/>
  <c r="Y37" i="198"/>
  <c r="AD99" i="198"/>
  <c r="Y38" i="198"/>
  <c r="BC36" i="198"/>
  <c r="Y27" i="198"/>
  <c r="Y20" i="198"/>
  <c r="AD36" i="198"/>
  <c r="Y192" i="198"/>
  <c r="AD161" i="198"/>
  <c r="AD25" i="198"/>
  <c r="BC118" i="198"/>
  <c r="BC196" i="198"/>
  <c r="Y115" i="198"/>
  <c r="AD133" i="198"/>
  <c r="Y33" i="198"/>
  <c r="Y96" i="198"/>
  <c r="AD125" i="198"/>
  <c r="BC43" i="198"/>
  <c r="Y50" i="198"/>
  <c r="Y105" i="198"/>
  <c r="Y132" i="198"/>
  <c r="Y180" i="198"/>
  <c r="BC200" i="198"/>
  <c r="BA187" i="198"/>
  <c r="Y178" i="198"/>
  <c r="BC135" i="198"/>
  <c r="E17" i="198"/>
  <c r="J166" i="198"/>
  <c r="J162" i="198"/>
  <c r="AN28" i="198"/>
  <c r="AN19" i="198"/>
  <c r="J29" i="198"/>
  <c r="J38" i="198"/>
  <c r="J157" i="198"/>
  <c r="AN141" i="198"/>
  <c r="J77" i="198"/>
  <c r="J195" i="198"/>
  <c r="J65" i="198"/>
  <c r="J198" i="198"/>
  <c r="J83" i="198"/>
  <c r="J169" i="198"/>
  <c r="AN192" i="198"/>
  <c r="J78" i="198"/>
  <c r="AN147" i="198"/>
  <c r="AN200" i="198"/>
  <c r="AX176" i="198"/>
  <c r="BH88" i="198"/>
  <c r="BH36" i="198"/>
  <c r="BH159" i="198"/>
  <c r="BH67" i="198"/>
  <c r="BH38" i="198"/>
  <c r="BH129" i="198"/>
  <c r="BH152" i="198"/>
  <c r="BH138" i="198"/>
  <c r="T118" i="198"/>
  <c r="T138" i="198"/>
  <c r="AX28" i="198"/>
  <c r="AX102" i="198"/>
  <c r="AX81" i="198"/>
  <c r="T147" i="198"/>
  <c r="T39" i="198"/>
  <c r="AX62" i="198"/>
  <c r="T201" i="198"/>
  <c r="T139" i="198"/>
  <c r="AX130" i="198"/>
  <c r="AX197" i="198"/>
  <c r="AX145" i="198"/>
  <c r="E125" i="198"/>
  <c r="AI162" i="198"/>
  <c r="E126" i="198"/>
  <c r="E66" i="198"/>
  <c r="AI120" i="198"/>
  <c r="AI136" i="198"/>
  <c r="W116" i="206"/>
  <c r="G116" i="206"/>
  <c r="I116" i="206" s="1"/>
  <c r="D116" i="206"/>
  <c r="F116" i="206" s="1"/>
  <c r="Y52" i="198"/>
  <c r="BC27" i="198"/>
  <c r="Y34" i="198"/>
  <c r="Y120" i="198"/>
  <c r="Y119" i="198"/>
  <c r="BC34" i="198"/>
  <c r="BC97" i="198"/>
  <c r="BC129" i="198"/>
  <c r="BC51" i="198"/>
  <c r="Y139" i="198"/>
  <c r="BC201" i="198"/>
  <c r="BC121" i="198"/>
  <c r="BC199" i="198"/>
  <c r="AN139" i="198"/>
  <c r="J125" i="198"/>
  <c r="AN198" i="198"/>
  <c r="AN41" i="198"/>
  <c r="AN34" i="198"/>
  <c r="AN49" i="198"/>
  <c r="AN183" i="198"/>
  <c r="AN112" i="198"/>
  <c r="AN113" i="198"/>
  <c r="J205" i="198"/>
  <c r="J102" i="198"/>
  <c r="J73" i="198"/>
  <c r="J112" i="198"/>
  <c r="J185" i="198"/>
  <c r="J193" i="198"/>
  <c r="AN79" i="198"/>
  <c r="AN207" i="198"/>
  <c r="BH163" i="198"/>
  <c r="BH17" i="198"/>
  <c r="BH151" i="198"/>
  <c r="BH158" i="198"/>
  <c r="T28" i="198"/>
  <c r="AX29" i="198"/>
  <c r="AX168" i="198"/>
  <c r="T36" i="198"/>
  <c r="T29" i="198"/>
  <c r="AX140" i="198"/>
  <c r="AX38" i="198"/>
  <c r="AX119" i="198"/>
  <c r="T159" i="198"/>
  <c r="T191" i="198"/>
  <c r="T68" i="198"/>
  <c r="AX141" i="198"/>
  <c r="T136" i="198"/>
  <c r="T200" i="198"/>
  <c r="T151" i="198"/>
  <c r="E78" i="198"/>
  <c r="AI38" i="198"/>
  <c r="E146" i="198"/>
  <c r="E185" i="198"/>
  <c r="E151" i="198"/>
  <c r="AI75" i="198"/>
  <c r="AI113" i="198"/>
  <c r="AI140" i="198"/>
  <c r="D119" i="206"/>
  <c r="F119" i="206" s="1"/>
  <c r="G119" i="206"/>
  <c r="I119" i="206" s="1"/>
  <c r="W119" i="206"/>
  <c r="E201" i="204"/>
  <c r="H201" i="204"/>
  <c r="Y16" i="198"/>
  <c r="Y101" i="198"/>
  <c r="Y25" i="198"/>
  <c r="Y184" i="198"/>
  <c r="Y89" i="198"/>
  <c r="Y79" i="198"/>
  <c r="BC21" i="198"/>
  <c r="BC28" i="198"/>
  <c r="Y65" i="198"/>
  <c r="BC41" i="198"/>
  <c r="Y135" i="198"/>
  <c r="Y40" i="198"/>
  <c r="BC75" i="198"/>
  <c r="BC131" i="198"/>
  <c r="BC178" i="198"/>
  <c r="BC107" i="198"/>
  <c r="Y140" i="198"/>
  <c r="AD137" i="198"/>
  <c r="AD129" i="198"/>
  <c r="BC123" i="198"/>
  <c r="Y207" i="198"/>
  <c r="AD183" i="198"/>
  <c r="J200" i="198"/>
  <c r="J30" i="198"/>
  <c r="AN196" i="198"/>
  <c r="AN164" i="198"/>
  <c r="J70" i="198"/>
  <c r="J36" i="198"/>
  <c r="AN66" i="198"/>
  <c r="J201" i="198"/>
  <c r="J27" i="198"/>
  <c r="J124" i="198"/>
  <c r="J115" i="198"/>
  <c r="J19" i="198"/>
  <c r="AN102" i="198"/>
  <c r="AN77" i="198"/>
  <c r="AN120" i="198"/>
  <c r="J106" i="198"/>
  <c r="AN98" i="198"/>
  <c r="AN197" i="198"/>
  <c r="BH39" i="198"/>
  <c r="BH142" i="198"/>
  <c r="BH35" i="198"/>
  <c r="BH49" i="198"/>
  <c r="BH161" i="198"/>
  <c r="BH131" i="198"/>
  <c r="BH166" i="198"/>
  <c r="BH153" i="198"/>
  <c r="AX118" i="198"/>
  <c r="AX20" i="198"/>
  <c r="AX52" i="198"/>
  <c r="AX30" i="198"/>
  <c r="T65" i="198"/>
  <c r="T78" i="198"/>
  <c r="T119" i="198"/>
  <c r="T198" i="198"/>
  <c r="T49" i="198"/>
  <c r="AX172" i="198"/>
  <c r="AX142" i="198"/>
  <c r="AX152" i="198"/>
  <c r="E38" i="198"/>
  <c r="AI33" i="198"/>
  <c r="AI172" i="198"/>
  <c r="AI36" i="198"/>
  <c r="AI80" i="198"/>
  <c r="E16" i="198"/>
  <c r="E118" i="198"/>
  <c r="BC176" i="198"/>
  <c r="AI133" i="198"/>
  <c r="AI115" i="198"/>
  <c r="E34" i="198"/>
  <c r="AI43" i="198"/>
  <c r="E115" i="198"/>
  <c r="E65" i="198"/>
  <c r="AI41" i="198"/>
  <c r="E18" i="198"/>
  <c r="E129" i="198"/>
  <c r="E191" i="198"/>
  <c r="AI147" i="198"/>
  <c r="E120" i="198"/>
  <c r="AI196" i="198"/>
  <c r="AS132" i="198"/>
  <c r="AS74" i="198"/>
  <c r="AS117" i="198"/>
  <c r="O122" i="198"/>
  <c r="G108" i="206"/>
  <c r="I108" i="206" s="1"/>
  <c r="W108" i="206"/>
  <c r="D108" i="206"/>
  <c r="F108" i="206" s="1"/>
  <c r="D76" i="206"/>
  <c r="F76" i="206" s="1"/>
  <c r="W76" i="206"/>
  <c r="G76" i="206"/>
  <c r="I76" i="206" s="1"/>
  <c r="W120" i="206"/>
  <c r="G120" i="206"/>
  <c r="I120" i="206" s="1"/>
  <c r="D120" i="206"/>
  <c r="F120" i="206" s="1"/>
  <c r="BC40" i="198"/>
  <c r="Y112" i="198"/>
  <c r="AD90" i="198"/>
  <c r="Y117" i="198"/>
  <c r="AD83" i="198"/>
  <c r="BC26" i="198"/>
  <c r="BC152" i="198"/>
  <c r="AD98" i="198"/>
  <c r="Y32" i="198"/>
  <c r="BC66" i="198"/>
  <c r="Y29" i="198"/>
  <c r="BC160" i="198"/>
  <c r="AD139" i="198"/>
  <c r="AD117" i="198"/>
  <c r="Y160" i="198"/>
  <c r="BC109" i="198"/>
  <c r="BC140" i="198"/>
  <c r="BC193" i="198"/>
  <c r="AD138" i="198"/>
  <c r="BC138" i="198"/>
  <c r="AD201" i="198"/>
  <c r="Y131" i="198"/>
  <c r="AD81" i="198"/>
  <c r="AD195" i="198"/>
  <c r="F185" i="226"/>
  <c r="H201" i="226"/>
  <c r="T185" i="226"/>
  <c r="T201" i="226" s="1"/>
  <c r="T207" i="226" s="1"/>
  <c r="AN50" i="198"/>
  <c r="J18" i="198"/>
  <c r="J159" i="198"/>
  <c r="J72" i="198"/>
  <c r="J81" i="198"/>
  <c r="AN180" i="198"/>
  <c r="J135" i="198"/>
  <c r="J121" i="198"/>
  <c r="AN20" i="198"/>
  <c r="AN80" i="198"/>
  <c r="J127" i="198"/>
  <c r="J113" i="198"/>
  <c r="J111" i="198"/>
  <c r="J134" i="198"/>
  <c r="J98" i="198"/>
  <c r="J160" i="198"/>
  <c r="BH40" i="198"/>
  <c r="BH37" i="198"/>
  <c r="BH44" i="198"/>
  <c r="BH105" i="198"/>
  <c r="BH81" i="198"/>
  <c r="BH34" i="198"/>
  <c r="BH132" i="198"/>
  <c r="BH183" i="198"/>
  <c r="BH205" i="198"/>
  <c r="BH199" i="198"/>
  <c r="AX34" i="198"/>
  <c r="AX69" i="198"/>
  <c r="AX51" i="198"/>
  <c r="AX134" i="198"/>
  <c r="AX122" i="198"/>
  <c r="T70" i="198"/>
  <c r="AX115" i="198"/>
  <c r="AX84" i="198"/>
  <c r="T195" i="198"/>
  <c r="AX163" i="198"/>
  <c r="AX196" i="198"/>
  <c r="E102" i="198"/>
  <c r="AI135" i="198"/>
  <c r="AI40" i="198"/>
  <c r="AI72" i="198"/>
  <c r="AI180" i="198"/>
  <c r="AI185" i="198"/>
  <c r="AI205" i="198"/>
  <c r="AI74" i="198"/>
  <c r="AI119" i="198"/>
  <c r="E130" i="198"/>
  <c r="AI121" i="198"/>
  <c r="E199" i="198"/>
  <c r="O189" i="198"/>
  <c r="D111" i="206"/>
  <c r="F111" i="206" s="1"/>
  <c r="W111" i="206"/>
  <c r="G111" i="206"/>
  <c r="I111" i="206" s="1"/>
  <c r="D121" i="206"/>
  <c r="F121" i="206" s="1"/>
  <c r="G121" i="206"/>
  <c r="I121" i="206" s="1"/>
  <c r="W121" i="206"/>
  <c r="G16" i="220"/>
  <c r="I16" i="220" s="1"/>
  <c r="D16" i="220"/>
  <c r="F16" i="220" s="1"/>
  <c r="AD189" i="198"/>
  <c r="BC70" i="198"/>
  <c r="Y51" i="198"/>
  <c r="Y121" i="198"/>
  <c r="Y35" i="198"/>
  <c r="AD162" i="198"/>
  <c r="Y66" i="198"/>
  <c r="BC39" i="198"/>
  <c r="Y68" i="198"/>
  <c r="AD30" i="198"/>
  <c r="BC98" i="198"/>
  <c r="AD29" i="198"/>
  <c r="AD64" i="198"/>
  <c r="AD130" i="198"/>
  <c r="BC78" i="198"/>
  <c r="BC164" i="198"/>
  <c r="BC141" i="198"/>
  <c r="AD143" i="198"/>
  <c r="Y145" i="198"/>
  <c r="Y205" i="198"/>
  <c r="BC132" i="198"/>
  <c r="Y150" i="198"/>
  <c r="AN31" i="198"/>
  <c r="J74" i="198"/>
  <c r="J79" i="198"/>
  <c r="J39" i="198"/>
  <c r="J43" i="198"/>
  <c r="J139" i="198"/>
  <c r="J129" i="198"/>
  <c r="J28" i="198"/>
  <c r="AN118" i="198"/>
  <c r="J130" i="198"/>
  <c r="AN119" i="198"/>
  <c r="AN115" i="198"/>
  <c r="J137" i="198"/>
  <c r="AN195" i="198"/>
  <c r="AN161" i="198"/>
  <c r="BH98" i="198"/>
  <c r="BH74" i="198"/>
  <c r="BH68" i="198"/>
  <c r="BH124" i="198"/>
  <c r="BH117" i="198"/>
  <c r="BH65" i="198"/>
  <c r="BH191" i="198"/>
  <c r="BH207" i="198"/>
  <c r="BH143" i="198"/>
  <c r="T164" i="198"/>
  <c r="T130" i="198"/>
  <c r="T71" i="198"/>
  <c r="AX49" i="198"/>
  <c r="AX75" i="198"/>
  <c r="T52" i="198"/>
  <c r="AX136" i="198"/>
  <c r="AX129" i="198"/>
  <c r="T24" i="198"/>
  <c r="T137" i="198"/>
  <c r="T207" i="198"/>
  <c r="AX164" i="198"/>
  <c r="AX80" i="198"/>
  <c r="AX139" i="198"/>
  <c r="T83" i="198"/>
  <c r="T165" i="198"/>
  <c r="Y206" i="198"/>
  <c r="BC80" i="198"/>
  <c r="BC134" i="198"/>
  <c r="AD35" i="198"/>
  <c r="Y69" i="198"/>
  <c r="Y77" i="198"/>
  <c r="BC38" i="198"/>
  <c r="AD100" i="198"/>
  <c r="BC30" i="198"/>
  <c r="Y74" i="198"/>
  <c r="BC162" i="198"/>
  <c r="Y130" i="198"/>
  <c r="Y170" i="198"/>
  <c r="Y97" i="198"/>
  <c r="Y90" i="198"/>
  <c r="Y168" i="198"/>
  <c r="BC65" i="198"/>
  <c r="AD205" i="198"/>
  <c r="BC151" i="198"/>
  <c r="BC145" i="198"/>
  <c r="Y126" i="198"/>
  <c r="Y138" i="198"/>
  <c r="AX159" i="198"/>
  <c r="J116" i="198"/>
  <c r="AN33" i="198"/>
  <c r="J136" i="198"/>
  <c r="J68" i="198"/>
  <c r="AN84" i="198"/>
  <c r="J75" i="198"/>
  <c r="AN81" i="198"/>
  <c r="AN39" i="198"/>
  <c r="AN52" i="198"/>
  <c r="J141" i="198"/>
  <c r="AN159" i="198"/>
  <c r="AN29" i="198"/>
  <c r="AN142" i="198"/>
  <c r="AN130" i="198"/>
  <c r="AN121" i="198"/>
  <c r="J118" i="198"/>
  <c r="J163" i="198"/>
  <c r="J196" i="198"/>
  <c r="BH50" i="198"/>
  <c r="BH198" i="198"/>
  <c r="BH150" i="198"/>
  <c r="AX190" i="198"/>
  <c r="AX16" i="198"/>
  <c r="AX165" i="198"/>
  <c r="T181" i="198"/>
  <c r="AX112" i="198"/>
  <c r="AX137" i="198"/>
  <c r="T157" i="198"/>
  <c r="T168" i="198"/>
  <c r="AX27" i="198"/>
  <c r="T166" i="198"/>
  <c r="AX147" i="198"/>
  <c r="AX166" i="198"/>
  <c r="H201" i="219"/>
  <c r="E201" i="219"/>
  <c r="Y176" i="198"/>
  <c r="BD55" i="250" l="1"/>
  <c r="BD56" i="250" s="1"/>
  <c r="F201" i="229"/>
  <c r="H207" i="229"/>
  <c r="AE29" i="230"/>
  <c r="AE56" i="230" s="1"/>
  <c r="BE58" i="250"/>
  <c r="BE38" i="250"/>
  <c r="BE40" i="250"/>
  <c r="BE43" i="250" s="1"/>
  <c r="BF45" i="250"/>
  <c r="BF35" i="250"/>
  <c r="BG8" i="250"/>
  <c r="BD69" i="250"/>
  <c r="BF49" i="250"/>
  <c r="BF62" i="250" s="1"/>
  <c r="BF50" i="250"/>
  <c r="BF63" i="250" s="1"/>
  <c r="BF53" i="250"/>
  <c r="BF66" i="250" s="1"/>
  <c r="BF54" i="250"/>
  <c r="BF67" i="250" s="1"/>
  <c r="BG10" i="250" a="1"/>
  <c r="BG10" i="250" s="1"/>
  <c r="BF52" i="250"/>
  <c r="BF65" i="250" s="1"/>
  <c r="BD24" i="250"/>
  <c r="BE23" i="250"/>
  <c r="BD26" i="250"/>
  <c r="BD27" i="250" s="1"/>
  <c r="BD28" i="250"/>
  <c r="BD29" i="250" s="1"/>
  <c r="BD32" i="250"/>
  <c r="BD33" i="250" s="1"/>
  <c r="BD30" i="250"/>
  <c r="BD31" i="250" s="1"/>
  <c r="BA77" i="250"/>
  <c r="BA78" i="250" s="1"/>
  <c r="BA76" i="250"/>
  <c r="BF47" i="250"/>
  <c r="BF11" i="250"/>
  <c r="BE51" i="250"/>
  <c r="BE64" i="250" s="1"/>
  <c r="BE68" i="250" s="1"/>
  <c r="AL10" i="177" a="1"/>
  <c r="AL10" i="177" s="1"/>
  <c r="AL47" i="177" s="1"/>
  <c r="AN81" i="193"/>
  <c r="AN53" i="193"/>
  <c r="AN69" i="193"/>
  <c r="Y120" i="193"/>
  <c r="AH120" i="193"/>
  <c r="AG120" i="193"/>
  <c r="AF120" i="193"/>
  <c r="AE120" i="193"/>
  <c r="AD120" i="193"/>
  <c r="AC120" i="193"/>
  <c r="AB120" i="193"/>
  <c r="AM120" i="193"/>
  <c r="AL120" i="193"/>
  <c r="AK120" i="193"/>
  <c r="AJ120" i="193"/>
  <c r="AI120" i="193"/>
  <c r="AE59" i="193"/>
  <c r="AN135" i="193"/>
  <c r="AN79" i="193"/>
  <c r="AN72" i="193"/>
  <c r="AG59" i="193"/>
  <c r="AN116" i="193"/>
  <c r="AN103" i="193"/>
  <c r="AN134" i="193"/>
  <c r="AN82" i="193"/>
  <c r="AN132" i="193"/>
  <c r="T75" i="193"/>
  <c r="AE75" i="193"/>
  <c r="AD75" i="193"/>
  <c r="AC75" i="193"/>
  <c r="AM75" i="193"/>
  <c r="AI75" i="193"/>
  <c r="AL75" i="193"/>
  <c r="AK75" i="193"/>
  <c r="AJ75" i="193"/>
  <c r="AB75" i="193"/>
  <c r="AH75" i="193"/>
  <c r="AF75" i="193"/>
  <c r="AG75" i="193"/>
  <c r="U104" i="193"/>
  <c r="AC104" i="193"/>
  <c r="AM104" i="193"/>
  <c r="AL104" i="193"/>
  <c r="AK104" i="193"/>
  <c r="AI104" i="193"/>
  <c r="AJ104" i="193"/>
  <c r="AH104" i="193"/>
  <c r="AG104" i="193"/>
  <c r="AB104" i="193"/>
  <c r="AF104" i="193"/>
  <c r="AE104" i="193"/>
  <c r="AD104" i="193"/>
  <c r="X136" i="193"/>
  <c r="AE136" i="193"/>
  <c r="AD136" i="193"/>
  <c r="AC136" i="193"/>
  <c r="AB136" i="193"/>
  <c r="AM136" i="193"/>
  <c r="AL136" i="193"/>
  <c r="AK136" i="193"/>
  <c r="AJ136" i="193"/>
  <c r="AG136" i="193"/>
  <c r="AI136" i="193"/>
  <c r="AF136" i="193"/>
  <c r="AH136" i="193"/>
  <c r="W105" i="193"/>
  <c r="AH105" i="193"/>
  <c r="AD105" i="193"/>
  <c r="AG105" i="193"/>
  <c r="AE105" i="193"/>
  <c r="AF105" i="193"/>
  <c r="AC105" i="193"/>
  <c r="AB105" i="193"/>
  <c r="AK105" i="193"/>
  <c r="AJ105" i="193"/>
  <c r="AM105" i="193"/>
  <c r="AL105" i="193"/>
  <c r="AI105" i="193"/>
  <c r="AN83" i="193"/>
  <c r="AN56" i="193"/>
  <c r="AN131" i="193"/>
  <c r="AN109" i="193"/>
  <c r="AN129" i="193"/>
  <c r="AN51" i="193"/>
  <c r="AN88" i="193"/>
  <c r="AN90" i="193"/>
  <c r="AN50" i="193"/>
  <c r="AN54" i="193"/>
  <c r="AN112" i="193"/>
  <c r="AN96" i="193"/>
  <c r="AN125" i="193"/>
  <c r="AN64" i="193"/>
  <c r="AJ59" i="193"/>
  <c r="AN126" i="193"/>
  <c r="AN133" i="193"/>
  <c r="AN73" i="193"/>
  <c r="AI59" i="193"/>
  <c r="AN114" i="193"/>
  <c r="AF119" i="193"/>
  <c r="AH119" i="193"/>
  <c r="AG119" i="193"/>
  <c r="AM119" i="193"/>
  <c r="AD119" i="193"/>
  <c r="AC119" i="193"/>
  <c r="AB119" i="193"/>
  <c r="AL119" i="193"/>
  <c r="AK119" i="193"/>
  <c r="AJ119" i="193"/>
  <c r="AE119" i="193"/>
  <c r="AI119" i="193"/>
  <c r="V75" i="193"/>
  <c r="AE60" i="193"/>
  <c r="AM60" i="193"/>
  <c r="AJ60" i="193"/>
  <c r="AL60" i="193"/>
  <c r="AK60" i="193"/>
  <c r="AI60" i="193"/>
  <c r="AH60" i="193"/>
  <c r="AG60" i="193"/>
  <c r="AB60" i="193"/>
  <c r="AC60" i="193"/>
  <c r="AF60" i="193"/>
  <c r="AD60" i="193"/>
  <c r="AK59" i="193"/>
  <c r="AN128" i="193"/>
  <c r="AN55" i="193"/>
  <c r="AN110" i="193"/>
  <c r="AN85" i="193"/>
  <c r="AN58" i="193"/>
  <c r="AL59" i="193"/>
  <c r="AN99" i="193"/>
  <c r="AN94" i="193"/>
  <c r="AN101" i="193"/>
  <c r="AN97" i="193"/>
  <c r="AN71" i="193"/>
  <c r="AM59" i="193"/>
  <c r="AN124" i="193"/>
  <c r="AN70" i="193"/>
  <c r="AN117" i="193"/>
  <c r="AN127" i="193"/>
  <c r="AN111" i="193"/>
  <c r="AN87" i="193"/>
  <c r="AN86" i="193"/>
  <c r="AN115" i="193"/>
  <c r="AN102" i="193"/>
  <c r="AN118" i="193"/>
  <c r="AK185" i="204"/>
  <c r="AK201" i="204" s="1"/>
  <c r="AK207" i="204" s="1"/>
  <c r="AK185" i="222"/>
  <c r="AK201" i="222" s="1"/>
  <c r="AK207" i="222" s="1"/>
  <c r="Y201" i="222"/>
  <c r="H185" i="222"/>
  <c r="E185" i="222"/>
  <c r="AK185" i="221"/>
  <c r="AK201" i="221" s="1"/>
  <c r="AK207" i="221" s="1"/>
  <c r="AI321" i="217"/>
  <c r="AK321" i="217"/>
  <c r="AJ321" i="217"/>
  <c r="AJ320" i="217"/>
  <c r="AI320" i="217"/>
  <c r="AI285" i="217"/>
  <c r="AM40" i="217"/>
  <c r="AL249" i="217"/>
  <c r="AL74" i="217"/>
  <c r="AL144" i="217"/>
  <c r="AL179" i="217"/>
  <c r="AL38" i="217"/>
  <c r="AL107" i="217" s="1"/>
  <c r="AK107" i="217"/>
  <c r="AS197" i="172"/>
  <c r="AI284" i="217"/>
  <c r="AL39" i="217"/>
  <c r="AK143" i="217"/>
  <c r="AK178" i="217"/>
  <c r="AK248" i="217"/>
  <c r="AK73" i="217"/>
  <c r="AK108" i="217"/>
  <c r="B52" i="232"/>
  <c r="Q52" i="232"/>
  <c r="AN89" i="193"/>
  <c r="AN52" i="193"/>
  <c r="R91" i="193"/>
  <c r="AL91" i="193"/>
  <c r="AK91" i="193"/>
  <c r="AM91" i="193"/>
  <c r="AJ91" i="193"/>
  <c r="AI91" i="193"/>
  <c r="AH91" i="193"/>
  <c r="AG91" i="193"/>
  <c r="AF91" i="193"/>
  <c r="AD91" i="193"/>
  <c r="AC91" i="193"/>
  <c r="AB91" i="193"/>
  <c r="AE91" i="193"/>
  <c r="AH68" i="193"/>
  <c r="AH74" i="193" s="1"/>
  <c r="AG68" i="193"/>
  <c r="AG74" i="193" s="1"/>
  <c r="AF68" i="193"/>
  <c r="AF74" i="193" s="1"/>
  <c r="AE68" i="193"/>
  <c r="AE74" i="193" s="1"/>
  <c r="AD68" i="193"/>
  <c r="AD74" i="193" s="1"/>
  <c r="AC68" i="193"/>
  <c r="AC74" i="193" s="1"/>
  <c r="AB68" i="193"/>
  <c r="AB74" i="193" s="1"/>
  <c r="AM68" i="193"/>
  <c r="AM74" i="193" s="1"/>
  <c r="AL68" i="193"/>
  <c r="AL74" i="193" s="1"/>
  <c r="AK68" i="193"/>
  <c r="AK74" i="193" s="1"/>
  <c r="AJ68" i="193"/>
  <c r="AJ74" i="193" s="1"/>
  <c r="AI68" i="193"/>
  <c r="AI74" i="193" s="1"/>
  <c r="AN65" i="193"/>
  <c r="AN66" i="193"/>
  <c r="AN67" i="193"/>
  <c r="AB59" i="193"/>
  <c r="Q52" i="230"/>
  <c r="Q52" i="236"/>
  <c r="N102" i="221"/>
  <c r="N101" i="221" s="1"/>
  <c r="M77" i="219"/>
  <c r="M75" i="219" s="1"/>
  <c r="U75" i="193"/>
  <c r="O75" i="193"/>
  <c r="L77" i="219"/>
  <c r="L75" i="219" s="1"/>
  <c r="M126" i="219"/>
  <c r="S77" i="219"/>
  <c r="S75" i="219" s="1"/>
  <c r="N77" i="219"/>
  <c r="N75" i="219" s="1"/>
  <c r="Q126" i="219"/>
  <c r="O77" i="219"/>
  <c r="O75" i="219" s="1"/>
  <c r="R77" i="219"/>
  <c r="R75" i="219" s="1"/>
  <c r="U126" i="219"/>
  <c r="R126" i="219"/>
  <c r="P77" i="219"/>
  <c r="P75" i="219" s="1"/>
  <c r="T77" i="219"/>
  <c r="T75" i="219" s="1"/>
  <c r="B52" i="236"/>
  <c r="U77" i="219"/>
  <c r="U75" i="219" s="1"/>
  <c r="Q77" i="219"/>
  <c r="Q75" i="219" s="1"/>
  <c r="V126" i="219"/>
  <c r="P126" i="219"/>
  <c r="S126" i="219"/>
  <c r="T126" i="219"/>
  <c r="L126" i="219"/>
  <c r="V77" i="219"/>
  <c r="V75" i="219" s="1"/>
  <c r="G126" i="204"/>
  <c r="I126" i="204" s="1"/>
  <c r="N126" i="219"/>
  <c r="Q10" i="231"/>
  <c r="B10" i="231"/>
  <c r="C10" i="231" s="1"/>
  <c r="C31" i="233"/>
  <c r="B31" i="233"/>
  <c r="B44" i="233"/>
  <c r="C44" i="233"/>
  <c r="Q10" i="230"/>
  <c r="B10" i="230"/>
  <c r="C10" i="230" s="1"/>
  <c r="B35" i="172"/>
  <c r="V102" i="221"/>
  <c r="V101" i="221" s="1"/>
  <c r="P102" i="221"/>
  <c r="P101" i="221" s="1"/>
  <c r="Z131" i="193"/>
  <c r="X75" i="193"/>
  <c r="U120" i="193"/>
  <c r="L77" i="220"/>
  <c r="L75" i="220" s="1"/>
  <c r="N126" i="220"/>
  <c r="R120" i="193"/>
  <c r="N120" i="193"/>
  <c r="Z88" i="193"/>
  <c r="P120" i="193"/>
  <c r="K126" i="220"/>
  <c r="D126" i="220" s="1"/>
  <c r="F126" i="220" s="1"/>
  <c r="T120" i="193"/>
  <c r="O120" i="193"/>
  <c r="Y75" i="193"/>
  <c r="S126" i="220"/>
  <c r="U77" i="220"/>
  <c r="U75" i="220" s="1"/>
  <c r="R77" i="220"/>
  <c r="R75" i="220" s="1"/>
  <c r="W75" i="193"/>
  <c r="V120" i="193"/>
  <c r="K77" i="204"/>
  <c r="D77" i="204" s="1"/>
  <c r="F77" i="204" s="1"/>
  <c r="N75" i="193"/>
  <c r="Q120" i="193"/>
  <c r="K77" i="220"/>
  <c r="K75" i="220" s="1"/>
  <c r="D75" i="220" s="1"/>
  <c r="F75" i="220" s="1"/>
  <c r="O77" i="220"/>
  <c r="O75" i="220" s="1"/>
  <c r="V77" i="220"/>
  <c r="V75" i="220" s="1"/>
  <c r="P75" i="193"/>
  <c r="V126" i="220"/>
  <c r="L102" i="221"/>
  <c r="L101" i="221" s="1"/>
  <c r="W120" i="193"/>
  <c r="M102" i="221"/>
  <c r="M101" i="221" s="1"/>
  <c r="O126" i="220"/>
  <c r="Q126" i="220"/>
  <c r="R77" i="204"/>
  <c r="R75" i="204" s="1"/>
  <c r="P77" i="220"/>
  <c r="P75" i="220" s="1"/>
  <c r="R126" i="220"/>
  <c r="R75" i="193"/>
  <c r="S77" i="220"/>
  <c r="S75" i="220" s="1"/>
  <c r="X120" i="193"/>
  <c r="M77" i="220"/>
  <c r="M75" i="220" s="1"/>
  <c r="M126" i="220"/>
  <c r="P126" i="220"/>
  <c r="L126" i="204"/>
  <c r="S75" i="193"/>
  <c r="S120" i="193"/>
  <c r="Q77" i="220"/>
  <c r="Q75" i="220" s="1"/>
  <c r="T77" i="220"/>
  <c r="T75" i="220" s="1"/>
  <c r="Z57" i="193"/>
  <c r="AA57" i="193" s="1"/>
  <c r="L126" i="220"/>
  <c r="T126" i="220"/>
  <c r="Q75" i="193"/>
  <c r="Q102" i="221"/>
  <c r="Q101" i="221" s="1"/>
  <c r="S77" i="204"/>
  <c r="S75" i="204" s="1"/>
  <c r="S102" i="221"/>
  <c r="S101" i="221" s="1"/>
  <c r="S92" i="221" s="1"/>
  <c r="Z70" i="193"/>
  <c r="AA70" i="193" s="1"/>
  <c r="Z54" i="193"/>
  <c r="AA54" i="193" s="1"/>
  <c r="N77" i="204"/>
  <c r="N75" i="204" s="1"/>
  <c r="R98" i="221"/>
  <c r="R97" i="221" s="1"/>
  <c r="R92" i="221" s="1"/>
  <c r="M98" i="221"/>
  <c r="M97" i="221" s="1"/>
  <c r="V98" i="221"/>
  <c r="V97" i="221" s="1"/>
  <c r="N98" i="221"/>
  <c r="N97" i="221" s="1"/>
  <c r="O102" i="221"/>
  <c r="O101" i="221" s="1"/>
  <c r="U98" i="221"/>
  <c r="U97" i="221" s="1"/>
  <c r="U92" i="221" s="1"/>
  <c r="Z82" i="193"/>
  <c r="Z64" i="193"/>
  <c r="AA64" i="193" s="1"/>
  <c r="N104" i="193"/>
  <c r="Q98" i="221"/>
  <c r="Q97" i="221" s="1"/>
  <c r="O98" i="221"/>
  <c r="O97" i="221" s="1"/>
  <c r="P98" i="221"/>
  <c r="P97" i="221" s="1"/>
  <c r="Z58" i="193"/>
  <c r="AA58" i="193" s="1"/>
  <c r="L98" i="221"/>
  <c r="L97" i="221" s="1"/>
  <c r="T98" i="221"/>
  <c r="T97" i="221" s="1"/>
  <c r="T92" i="221" s="1"/>
  <c r="Z65" i="193"/>
  <c r="AA65" i="193" s="1"/>
  <c r="N136" i="193"/>
  <c r="O104" i="193"/>
  <c r="S136" i="193"/>
  <c r="Z103" i="193"/>
  <c r="Z125" i="193"/>
  <c r="P105" i="193"/>
  <c r="Z71" i="193"/>
  <c r="AA71" i="193" s="1"/>
  <c r="Z81" i="193"/>
  <c r="U105" i="193"/>
  <c r="Z117" i="193"/>
  <c r="Z118" i="193"/>
  <c r="G102" i="221"/>
  <c r="I102" i="221" s="1"/>
  <c r="N105" i="193"/>
  <c r="R105" i="193"/>
  <c r="V105" i="193"/>
  <c r="O105" i="193"/>
  <c r="Y105" i="193"/>
  <c r="X105" i="193"/>
  <c r="Z73" i="193"/>
  <c r="AA73" i="193" s="1"/>
  <c r="Z69" i="193"/>
  <c r="AA69" i="193" s="1"/>
  <c r="Z55" i="193"/>
  <c r="AA55" i="193" s="1"/>
  <c r="Q105" i="193"/>
  <c r="U45" i="193"/>
  <c r="Z111" i="193"/>
  <c r="R136" i="193"/>
  <c r="Q136" i="193"/>
  <c r="T136" i="193"/>
  <c r="P136" i="193"/>
  <c r="Y136" i="193"/>
  <c r="V136" i="193"/>
  <c r="Z112" i="193"/>
  <c r="Z96" i="193"/>
  <c r="Z129" i="193"/>
  <c r="O126" i="204"/>
  <c r="Y59" i="193"/>
  <c r="R126" i="204"/>
  <c r="Z102" i="193"/>
  <c r="Z50" i="193"/>
  <c r="AA50" i="193" s="1"/>
  <c r="Z134" i="193"/>
  <c r="U136" i="193"/>
  <c r="T126" i="204"/>
  <c r="Z56" i="193"/>
  <c r="AA56" i="193" s="1"/>
  <c r="Z84" i="193"/>
  <c r="T105" i="193"/>
  <c r="Z135" i="193"/>
  <c r="Z90" i="193"/>
  <c r="O136" i="193"/>
  <c r="S105" i="193"/>
  <c r="Z51" i="193"/>
  <c r="AA51" i="193" s="1"/>
  <c r="W136" i="193"/>
  <c r="Z133" i="193"/>
  <c r="Z89" i="193"/>
  <c r="W59" i="193"/>
  <c r="O91" i="193"/>
  <c r="V91" i="193"/>
  <c r="U91" i="193"/>
  <c r="S91" i="193"/>
  <c r="N91" i="193"/>
  <c r="T91" i="193"/>
  <c r="X91" i="193"/>
  <c r="P91" i="193"/>
  <c r="W91" i="193"/>
  <c r="Q91" i="193"/>
  <c r="Y91" i="193"/>
  <c r="V59" i="193"/>
  <c r="U59" i="193"/>
  <c r="W104" i="193"/>
  <c r="F105" i="193"/>
  <c r="R59" i="193"/>
  <c r="Z94" i="193"/>
  <c r="S104" i="193"/>
  <c r="Z52" i="193"/>
  <c r="AA52" i="193" s="1"/>
  <c r="Z132" i="193"/>
  <c r="R104" i="193"/>
  <c r="Z127" i="193"/>
  <c r="O59" i="193"/>
  <c r="J106" i="193"/>
  <c r="Z110" i="193"/>
  <c r="T104" i="193"/>
  <c r="BB104" i="198"/>
  <c r="BC104" i="198" s="1"/>
  <c r="X104" i="198"/>
  <c r="Y104" i="198" s="1"/>
  <c r="V45" i="193"/>
  <c r="Z95" i="193"/>
  <c r="P104" i="193"/>
  <c r="Z116" i="193"/>
  <c r="Q104" i="193"/>
  <c r="X104" i="193"/>
  <c r="Z79" i="193"/>
  <c r="Z124" i="193"/>
  <c r="Z87" i="193"/>
  <c r="Z66" i="193"/>
  <c r="AA66" i="193" s="1"/>
  <c r="V104" i="193"/>
  <c r="Z101" i="193"/>
  <c r="Z128" i="193"/>
  <c r="A95" i="220"/>
  <c r="S95" i="220" s="1"/>
  <c r="K101" i="221"/>
  <c r="S59" i="193"/>
  <c r="Y104" i="193"/>
  <c r="J121" i="193"/>
  <c r="X119" i="193"/>
  <c r="U119" i="193"/>
  <c r="T119" i="193"/>
  <c r="Y119" i="193"/>
  <c r="W119" i="193"/>
  <c r="V119" i="193"/>
  <c r="S119" i="193"/>
  <c r="R119" i="193"/>
  <c r="Q119" i="193"/>
  <c r="O119" i="193"/>
  <c r="P119" i="193"/>
  <c r="N119" i="193"/>
  <c r="Z97" i="193"/>
  <c r="F120" i="193"/>
  <c r="X59" i="193"/>
  <c r="Z85" i="193"/>
  <c r="Z67" i="193"/>
  <c r="AA67" i="193" s="1"/>
  <c r="Z98" i="193"/>
  <c r="B70" i="193"/>
  <c r="O68" i="193"/>
  <c r="R68" i="193"/>
  <c r="W68" i="193"/>
  <c r="Y68" i="193"/>
  <c r="T68" i="193"/>
  <c r="U68" i="193"/>
  <c r="Q68" i="193"/>
  <c r="S68" i="193"/>
  <c r="X68" i="193"/>
  <c r="V68" i="193"/>
  <c r="N68" i="193"/>
  <c r="P68" i="193"/>
  <c r="Z100" i="193"/>
  <c r="Z109" i="193"/>
  <c r="J74" i="193"/>
  <c r="Z115" i="193"/>
  <c r="K126" i="219"/>
  <c r="Z80" i="193"/>
  <c r="Z72" i="193"/>
  <c r="AA72" i="193" s="1"/>
  <c r="P59" i="193"/>
  <c r="Z113" i="193"/>
  <c r="Q59" i="193"/>
  <c r="Z86" i="193"/>
  <c r="Z53" i="193"/>
  <c r="AA53" i="193" s="1"/>
  <c r="N59" i="193"/>
  <c r="K75" i="219"/>
  <c r="G77" i="219"/>
  <c r="I77" i="219" s="1"/>
  <c r="D77" i="219"/>
  <c r="F77" i="219" s="1"/>
  <c r="N79" i="198"/>
  <c r="O79" i="198" s="1"/>
  <c r="AR79" i="198"/>
  <c r="AS79" i="198" s="1"/>
  <c r="Z114" i="193"/>
  <c r="Z130" i="193"/>
  <c r="T59" i="193"/>
  <c r="R60" i="193"/>
  <c r="Q60" i="193"/>
  <c r="P60" i="193"/>
  <c r="V60" i="193"/>
  <c r="U60" i="193"/>
  <c r="O60" i="193"/>
  <c r="F60" i="193"/>
  <c r="X60" i="193"/>
  <c r="J61" i="193"/>
  <c r="N60" i="193"/>
  <c r="A95" i="204"/>
  <c r="Y60" i="193"/>
  <c r="T60" i="193"/>
  <c r="W60" i="193"/>
  <c r="S60" i="193"/>
  <c r="A95" i="219"/>
  <c r="Z126" i="193"/>
  <c r="Z83" i="193"/>
  <c r="K98" i="221"/>
  <c r="Z99" i="193"/>
  <c r="AK142" i="217"/>
  <c r="AK177" i="217"/>
  <c r="K21" i="177"/>
  <c r="K72" i="177" s="1"/>
  <c r="AK72" i="217"/>
  <c r="K17" i="177"/>
  <c r="L17" i="177" s="1"/>
  <c r="M17" i="177" s="1"/>
  <c r="N17" i="177" s="1"/>
  <c r="O17" i="177" s="1"/>
  <c r="P17" i="177" s="1"/>
  <c r="Q17" i="177" s="1"/>
  <c r="R17" i="177" s="1"/>
  <c r="S17" i="177" s="1"/>
  <c r="T17" i="177" s="1"/>
  <c r="T21" i="177" s="1"/>
  <c r="T72" i="177" s="1"/>
  <c r="AK247" i="217"/>
  <c r="AK104" i="217"/>
  <c r="AJ283" i="217"/>
  <c r="AK263" i="217"/>
  <c r="AK299" i="217"/>
  <c r="AK245" i="217"/>
  <c r="AJ319" i="217"/>
  <c r="S8" i="220"/>
  <c r="S12" i="220" s="1"/>
  <c r="S17" i="220" s="1"/>
  <c r="AL37" i="217"/>
  <c r="AM37" i="217" s="1"/>
  <c r="AK141" i="217"/>
  <c r="AJ318" i="217"/>
  <c r="AK106" i="217"/>
  <c r="AK246" i="217"/>
  <c r="AK244" i="217"/>
  <c r="AK176" i="217"/>
  <c r="AK70" i="217"/>
  <c r="AK175" i="217"/>
  <c r="AK67" i="217"/>
  <c r="AL36" i="217"/>
  <c r="AL70" i="217" s="1"/>
  <c r="AJ279" i="217"/>
  <c r="AK140" i="217"/>
  <c r="AK242" i="217"/>
  <c r="E69" i="248"/>
  <c r="AJ282" i="217"/>
  <c r="AL35" i="217"/>
  <c r="AL139" i="217" s="1"/>
  <c r="P14" i="230"/>
  <c r="P12" i="230" s="1"/>
  <c r="AJ281" i="217"/>
  <c r="R16" i="220"/>
  <c r="AK174" i="217"/>
  <c r="AK69" i="217"/>
  <c r="V8" i="220"/>
  <c r="V12" i="220" s="1"/>
  <c r="V17" i="220" s="1"/>
  <c r="AK102" i="217"/>
  <c r="K71" i="177"/>
  <c r="X15" i="159"/>
  <c r="AK172" i="217"/>
  <c r="AK137" i="217"/>
  <c r="AJ315" i="217"/>
  <c r="AJ317" i="217"/>
  <c r="M22" i="177"/>
  <c r="R15" i="220"/>
  <c r="AI315" i="217"/>
  <c r="AI282" i="217"/>
  <c r="L11" i="177"/>
  <c r="L51" i="177" s="1"/>
  <c r="L64" i="177" s="1"/>
  <c r="L54" i="177"/>
  <c r="L67" i="177" s="1"/>
  <c r="L53" i="177"/>
  <c r="L66" i="177" s="1"/>
  <c r="L50" i="177"/>
  <c r="L63" i="177" s="1"/>
  <c r="L49" i="177"/>
  <c r="L62" i="177" s="1"/>
  <c r="M47" i="177"/>
  <c r="M60" i="177" s="1"/>
  <c r="L52" i="177"/>
  <c r="L65" i="177" s="1"/>
  <c r="K35" i="177"/>
  <c r="L8" i="177"/>
  <c r="K45" i="177"/>
  <c r="J38" i="177"/>
  <c r="W18" i="159" s="1"/>
  <c r="J40" i="177"/>
  <c r="J43" i="177" s="1"/>
  <c r="L47" i="177"/>
  <c r="O12" i="231"/>
  <c r="O14" i="230"/>
  <c r="O12" i="230" s="1"/>
  <c r="U15" i="220"/>
  <c r="U17" i="220"/>
  <c r="U16" i="220"/>
  <c r="K55" i="177"/>
  <c r="K60" i="177"/>
  <c r="K68" i="177" s="1"/>
  <c r="M12" i="231"/>
  <c r="M14" i="230"/>
  <c r="M12" i="230" s="1"/>
  <c r="H24" i="177"/>
  <c r="I23" i="177"/>
  <c r="Z15" i="159"/>
  <c r="M71" i="177"/>
  <c r="M73" i="177" s="1"/>
  <c r="U26" i="159"/>
  <c r="H28" i="190" s="1"/>
  <c r="U21" i="159"/>
  <c r="H23" i="190" s="1"/>
  <c r="U16" i="159"/>
  <c r="E116" i="174"/>
  <c r="A34" i="174"/>
  <c r="F33" i="174"/>
  <c r="E33" i="174"/>
  <c r="AR153" i="174"/>
  <c r="D62" i="221"/>
  <c r="F62" i="221" s="1"/>
  <c r="G62" i="221"/>
  <c r="I62" i="221" s="1"/>
  <c r="BB64" i="198"/>
  <c r="BC64" i="198" s="1"/>
  <c r="X64" i="198"/>
  <c r="Y64" i="198" s="1"/>
  <c r="W62" i="221"/>
  <c r="W62" i="220"/>
  <c r="G62" i="220"/>
  <c r="I62" i="220" s="1"/>
  <c r="D62" i="220"/>
  <c r="F62" i="220" s="1"/>
  <c r="AW64" i="198"/>
  <c r="AX64" i="198" s="1"/>
  <c r="S64" i="198"/>
  <c r="T64" i="198" s="1"/>
  <c r="B24" i="230"/>
  <c r="C24" i="230"/>
  <c r="D62" i="219"/>
  <c r="F62" i="219" s="1"/>
  <c r="G62" i="219"/>
  <c r="I62" i="219" s="1"/>
  <c r="AR64" i="198"/>
  <c r="AS64" i="198" s="1"/>
  <c r="W62" i="219"/>
  <c r="N64" i="198"/>
  <c r="O64" i="198" s="1"/>
  <c r="Y54" i="159"/>
  <c r="Y69" i="159" s="1"/>
  <c r="T92" i="123"/>
  <c r="W92" i="123" s="1"/>
  <c r="I24" i="232"/>
  <c r="I24" i="230" s="1"/>
  <c r="W62" i="204"/>
  <c r="D64" i="198"/>
  <c r="E64" i="198" s="1"/>
  <c r="G62" i="204"/>
  <c r="I62" i="204" s="1"/>
  <c r="D62" i="204"/>
  <c r="F62" i="204" s="1"/>
  <c r="AH64" i="198"/>
  <c r="AI64" i="198" s="1"/>
  <c r="D62" i="218"/>
  <c r="F62" i="218" s="1"/>
  <c r="W62" i="218"/>
  <c r="G62" i="218"/>
  <c r="I62" i="218" s="1"/>
  <c r="I64" i="198"/>
  <c r="J64" i="198" s="1"/>
  <c r="AM64" i="198"/>
  <c r="AN64" i="198" s="1"/>
  <c r="AI279" i="217"/>
  <c r="AI318" i="217"/>
  <c r="AI283" i="217"/>
  <c r="AJ314" i="217"/>
  <c r="AI319" i="217"/>
  <c r="AJ278" i="217"/>
  <c r="E91" i="248"/>
  <c r="K91" i="248" s="1"/>
  <c r="AJ280" i="217"/>
  <c r="AI278" i="217"/>
  <c r="AJ316" i="217"/>
  <c r="AI314" i="217"/>
  <c r="AI281" i="217"/>
  <c r="AI317" i="217"/>
  <c r="AI280" i="217"/>
  <c r="AI316" i="217"/>
  <c r="AI229" i="217"/>
  <c r="AJ306" i="217"/>
  <c r="AI124" i="217"/>
  <c r="AI89" i="217"/>
  <c r="AI159" i="217"/>
  <c r="AA301" i="217"/>
  <c r="AA265" i="217"/>
  <c r="AE301" i="217"/>
  <c r="AE265" i="217"/>
  <c r="AF301" i="217"/>
  <c r="AF265" i="217"/>
  <c r="AC301" i="217"/>
  <c r="AC265" i="217"/>
  <c r="AB301" i="217"/>
  <c r="AB265" i="217"/>
  <c r="AD301" i="217"/>
  <c r="AD265" i="217"/>
  <c r="AG301" i="217"/>
  <c r="AG265" i="217"/>
  <c r="Z301" i="217"/>
  <c r="Z265" i="217"/>
  <c r="AK20" i="217"/>
  <c r="AJ89" i="217"/>
  <c r="AJ124" i="217"/>
  <c r="AJ229" i="217"/>
  <c r="AJ54" i="217"/>
  <c r="AJ159" i="217"/>
  <c r="AH301" i="217"/>
  <c r="AH265" i="217"/>
  <c r="AI54" i="217"/>
  <c r="Y301" i="217"/>
  <c r="Y265" i="217"/>
  <c r="D22" i="246"/>
  <c r="Q22" i="246"/>
  <c r="AI267" i="217"/>
  <c r="I150" i="159"/>
  <c r="I4" i="159"/>
  <c r="I5" i="159" s="1"/>
  <c r="D25" i="198"/>
  <c r="E25" i="198" s="1"/>
  <c r="AH25" i="198"/>
  <c r="AI25" i="198" s="1"/>
  <c r="AE184" i="217"/>
  <c r="AF184" i="217"/>
  <c r="Y310" i="217"/>
  <c r="AH310" i="217"/>
  <c r="AI57" i="217"/>
  <c r="AI79" i="217" s="1"/>
  <c r="AF149" i="217"/>
  <c r="AG304" i="217"/>
  <c r="AI300" i="217"/>
  <c r="AW300" i="217" s="1"/>
  <c r="AX300" i="217" s="1"/>
  <c r="AF256" i="217"/>
  <c r="T40" i="219" s="1"/>
  <c r="AF115" i="217"/>
  <c r="AG268" i="217"/>
  <c r="AH79" i="217"/>
  <c r="AE149" i="217"/>
  <c r="AE115" i="217"/>
  <c r="AE256" i="217"/>
  <c r="S40" i="219" s="1"/>
  <c r="W304" i="217"/>
  <c r="W268" i="217"/>
  <c r="X304" i="217"/>
  <c r="X268" i="217"/>
  <c r="AH304" i="217"/>
  <c r="AH268" i="217"/>
  <c r="AK23" i="217"/>
  <c r="AJ57" i="217"/>
  <c r="AJ92" i="217"/>
  <c r="AJ115" i="217" s="1"/>
  <c r="AJ127" i="217"/>
  <c r="AJ149" i="217" s="1"/>
  <c r="AJ232" i="217"/>
  <c r="AJ256" i="217" s="1"/>
  <c r="AJ162" i="217"/>
  <c r="AJ185" i="217" s="1"/>
  <c r="AJ45" i="217"/>
  <c r="AE79" i="217"/>
  <c r="AE304" i="217"/>
  <c r="AE268" i="217"/>
  <c r="AJ310" i="217"/>
  <c r="W23" i="204"/>
  <c r="D23" i="204"/>
  <c r="F23" i="204" s="1"/>
  <c r="G23" i="204"/>
  <c r="I23" i="204" s="1"/>
  <c r="Z304" i="217"/>
  <c r="Z268" i="217"/>
  <c r="AA304" i="217"/>
  <c r="AA268" i="217"/>
  <c r="AB304" i="217"/>
  <c r="AB268" i="217"/>
  <c r="AC304" i="217"/>
  <c r="AC268" i="217"/>
  <c r="AD304" i="217"/>
  <c r="AD268" i="217"/>
  <c r="AF79" i="217"/>
  <c r="AF304" i="217"/>
  <c r="AF268" i="217"/>
  <c r="U55" i="240"/>
  <c r="K78" i="240"/>
  <c r="S78" i="240"/>
  <c r="H51" i="231" s="1"/>
  <c r="AI92" i="217"/>
  <c r="AI115" i="217" s="1"/>
  <c r="AI127" i="217"/>
  <c r="AI149" i="217" s="1"/>
  <c r="AI232" i="217"/>
  <c r="AI256" i="217" s="1"/>
  <c r="Y304" i="217"/>
  <c r="Y268" i="217"/>
  <c r="AI162" i="217"/>
  <c r="AI185" i="217" s="1"/>
  <c r="Y185" i="217"/>
  <c r="Y186" i="217"/>
  <c r="Z184" i="217"/>
  <c r="AB184" i="217"/>
  <c r="X184" i="217"/>
  <c r="W184" i="217"/>
  <c r="Y184" i="217"/>
  <c r="AD184" i="217"/>
  <c r="W185" i="217"/>
  <c r="AC184" i="217"/>
  <c r="AA184" i="217"/>
  <c r="X185" i="217"/>
  <c r="Z186" i="217"/>
  <c r="Z185" i="217"/>
  <c r="AA185" i="217"/>
  <c r="AA186" i="217"/>
  <c r="AB186" i="217"/>
  <c r="AB185" i="217"/>
  <c r="AC186" i="217"/>
  <c r="AC185" i="217"/>
  <c r="AD186" i="217"/>
  <c r="AD185" i="217"/>
  <c r="AF186" i="217"/>
  <c r="AF185" i="217"/>
  <c r="AG185" i="217"/>
  <c r="AG186" i="217"/>
  <c r="AH186" i="217"/>
  <c r="AH185" i="217"/>
  <c r="AE186" i="217"/>
  <c r="AE185" i="217"/>
  <c r="W220" i="217"/>
  <c r="AI197" i="217"/>
  <c r="Y311" i="217"/>
  <c r="AI64" i="217"/>
  <c r="Y275" i="217"/>
  <c r="Z275" i="217"/>
  <c r="Z311" i="217"/>
  <c r="AA311" i="217"/>
  <c r="AA275" i="217"/>
  <c r="AB275" i="217"/>
  <c r="AB311" i="217"/>
  <c r="AC311" i="217"/>
  <c r="AC275" i="217"/>
  <c r="AD275" i="217"/>
  <c r="AD311" i="217"/>
  <c r="AE311" i="217"/>
  <c r="AE275" i="217"/>
  <c r="AF275" i="217"/>
  <c r="AF311" i="217"/>
  <c r="AG275" i="217"/>
  <c r="AG311" i="217"/>
  <c r="AJ99" i="217"/>
  <c r="AK30" i="217"/>
  <c r="AJ169" i="217"/>
  <c r="AJ239" i="217"/>
  <c r="AJ64" i="217"/>
  <c r="AJ134" i="217"/>
  <c r="AH311" i="217"/>
  <c r="AH275" i="217"/>
  <c r="X311" i="217"/>
  <c r="X275" i="217"/>
  <c r="W311" i="217"/>
  <c r="W275" i="217"/>
  <c r="AI204" i="217"/>
  <c r="AE310" i="217"/>
  <c r="AE274" i="217"/>
  <c r="AF310" i="217"/>
  <c r="AF274" i="217"/>
  <c r="AA310" i="217"/>
  <c r="AA274" i="217"/>
  <c r="X274" i="217"/>
  <c r="X310" i="217"/>
  <c r="AC310" i="217"/>
  <c r="AC274" i="217"/>
  <c r="AG310" i="217"/>
  <c r="AG274" i="217"/>
  <c r="AB310" i="217"/>
  <c r="AB274" i="217"/>
  <c r="AD310" i="217"/>
  <c r="AD274" i="217"/>
  <c r="Z310" i="217"/>
  <c r="Z274" i="217"/>
  <c r="W274" i="217"/>
  <c r="W310" i="217"/>
  <c r="AI133" i="217"/>
  <c r="AB93" i="217"/>
  <c r="AB128" i="217"/>
  <c r="AB233" i="217"/>
  <c r="AB58" i="217"/>
  <c r="AF128" i="217"/>
  <c r="AF93" i="217"/>
  <c r="AF233" i="217"/>
  <c r="AF58" i="217"/>
  <c r="AF44" i="217"/>
  <c r="T24" i="220" s="1"/>
  <c r="T23" i="220" s="1"/>
  <c r="AG233" i="217"/>
  <c r="AG128" i="217"/>
  <c r="AG93" i="217"/>
  <c r="AG58" i="217"/>
  <c r="AG44" i="217"/>
  <c r="U24" i="220" s="1"/>
  <c r="U23" i="220" s="1"/>
  <c r="Y128" i="217"/>
  <c r="Y93" i="217"/>
  <c r="Y233" i="217"/>
  <c r="Y58" i="217"/>
  <c r="AI24" i="217"/>
  <c r="AC128" i="217"/>
  <c r="AC233" i="217"/>
  <c r="AC93" i="217"/>
  <c r="AC58" i="217"/>
  <c r="AA233" i="217"/>
  <c r="AA93" i="217"/>
  <c r="AA128" i="217"/>
  <c r="AA58" i="217"/>
  <c r="AD93" i="217"/>
  <c r="AD233" i="217"/>
  <c r="AD128" i="217"/>
  <c r="AD58" i="217"/>
  <c r="AE233" i="217"/>
  <c r="AE128" i="217"/>
  <c r="AE93" i="217"/>
  <c r="AE58" i="217"/>
  <c r="AE44" i="217"/>
  <c r="S24" i="220" s="1"/>
  <c r="S23" i="220" s="1"/>
  <c r="AH93" i="217"/>
  <c r="AH233" i="217"/>
  <c r="AH128" i="217"/>
  <c r="AH58" i="217"/>
  <c r="AH44" i="217"/>
  <c r="V24" i="220" s="1"/>
  <c r="V23" i="220" s="1"/>
  <c r="AJ24" i="217"/>
  <c r="Z233" i="217"/>
  <c r="Z93" i="217"/>
  <c r="Z128" i="217"/>
  <c r="Z58" i="217"/>
  <c r="I305" i="217"/>
  <c r="I269" i="217"/>
  <c r="AD220" i="217"/>
  <c r="AE220" i="217"/>
  <c r="AF220" i="217"/>
  <c r="AH220" i="217"/>
  <c r="X220" i="217"/>
  <c r="AB220" i="217"/>
  <c r="AA220" i="217"/>
  <c r="Z220" i="217"/>
  <c r="Y220" i="217"/>
  <c r="AC220" i="217"/>
  <c r="AG220" i="217"/>
  <c r="AI99" i="217"/>
  <c r="AI134" i="217"/>
  <c r="AI239" i="217"/>
  <c r="AI169" i="217"/>
  <c r="Y274" i="217"/>
  <c r="AH274" i="217"/>
  <c r="AI203" i="217"/>
  <c r="AG79" i="217"/>
  <c r="AG115" i="217"/>
  <c r="AG256" i="217"/>
  <c r="U40" i="219" s="1"/>
  <c r="AG149" i="217"/>
  <c r="AH149" i="217"/>
  <c r="AH256" i="217"/>
  <c r="V40" i="219" s="1"/>
  <c r="AH115" i="217"/>
  <c r="AB44" i="217"/>
  <c r="P24" i="220" s="1"/>
  <c r="P23" i="220" s="1"/>
  <c r="AB46" i="217"/>
  <c r="Y46" i="217"/>
  <c r="W45" i="217"/>
  <c r="K24" i="219" s="1"/>
  <c r="W44" i="217"/>
  <c r="K24" i="220" s="1"/>
  <c r="X45" i="217"/>
  <c r="L24" i="219" s="1"/>
  <c r="L23" i="219" s="1"/>
  <c r="Y44" i="217"/>
  <c r="M24" i="220" s="1"/>
  <c r="M23" i="220" s="1"/>
  <c r="X44" i="217"/>
  <c r="L24" i="220" s="1"/>
  <c r="L23" i="220" s="1"/>
  <c r="Y45" i="217"/>
  <c r="M24" i="219" s="1"/>
  <c r="M23" i="219" s="1"/>
  <c r="Z45" i="217"/>
  <c r="N24" i="219" s="1"/>
  <c r="N23" i="219" s="1"/>
  <c r="AA45" i="217"/>
  <c r="O24" i="219" s="1"/>
  <c r="O23" i="219" s="1"/>
  <c r="AB45" i="217"/>
  <c r="P24" i="219" s="1"/>
  <c r="P23" i="219" s="1"/>
  <c r="AC45" i="217"/>
  <c r="Q24" i="219" s="1"/>
  <c r="Q23" i="219" s="1"/>
  <c r="AD45" i="217"/>
  <c r="R24" i="219" s="1"/>
  <c r="R23" i="219" s="1"/>
  <c r="AC44" i="217"/>
  <c r="Q24" i="220" s="1"/>
  <c r="Q23" i="220" s="1"/>
  <c r="AC46" i="217"/>
  <c r="AA44" i="217"/>
  <c r="O24" i="220" s="1"/>
  <c r="O23" i="220" s="1"/>
  <c r="AA46" i="217"/>
  <c r="AD44" i="217"/>
  <c r="R24" i="220" s="1"/>
  <c r="R23" i="220" s="1"/>
  <c r="AD46" i="217"/>
  <c r="Z44" i="217"/>
  <c r="N24" i="220" s="1"/>
  <c r="N23" i="220" s="1"/>
  <c r="Z46" i="217"/>
  <c r="AG184" i="217"/>
  <c r="AH184" i="217"/>
  <c r="D31" i="243"/>
  <c r="AK312" i="217"/>
  <c r="AK309" i="217"/>
  <c r="AL103" i="217"/>
  <c r="AL138" i="217"/>
  <c r="AM34" i="217"/>
  <c r="AL68" i="217"/>
  <c r="AL173" i="217"/>
  <c r="AL243" i="217"/>
  <c r="AK279" i="217"/>
  <c r="AK315" i="217"/>
  <c r="AL137" i="217"/>
  <c r="AL172" i="217"/>
  <c r="AL242" i="217"/>
  <c r="AM33" i="217"/>
  <c r="AL67" i="217"/>
  <c r="AL102" i="217"/>
  <c r="AL135" i="217"/>
  <c r="AL240" i="217"/>
  <c r="AL100" i="217"/>
  <c r="AL65" i="217"/>
  <c r="AL170" i="217"/>
  <c r="AM31" i="217"/>
  <c r="AL62" i="217"/>
  <c r="AL237" i="217"/>
  <c r="AL97" i="217"/>
  <c r="AL132" i="217"/>
  <c r="AL167" i="217"/>
  <c r="AM28" i="217"/>
  <c r="AL96" i="217"/>
  <c r="AL131" i="217"/>
  <c r="AM27" i="217"/>
  <c r="AL61" i="217"/>
  <c r="AL236" i="217"/>
  <c r="AL166" i="217"/>
  <c r="AL60" i="217"/>
  <c r="AM26" i="217"/>
  <c r="AK276" i="217"/>
  <c r="AK273" i="217"/>
  <c r="AK272" i="217"/>
  <c r="AK308" i="217"/>
  <c r="AK271" i="217"/>
  <c r="AK307" i="217"/>
  <c r="AJ302" i="217"/>
  <c r="AJ300" i="217"/>
  <c r="AL299" i="217"/>
  <c r="AL25" i="217"/>
  <c r="AK59" i="217"/>
  <c r="AK94" i="217"/>
  <c r="AK129" i="217"/>
  <c r="AK164" i="217"/>
  <c r="AK234" i="217"/>
  <c r="AJ270" i="217"/>
  <c r="AL21" i="217"/>
  <c r="AK160" i="217"/>
  <c r="AK230" i="217"/>
  <c r="AK55" i="217"/>
  <c r="AK90" i="217"/>
  <c r="AK125" i="217"/>
  <c r="AJ266" i="217"/>
  <c r="AL19" i="217"/>
  <c r="AK158" i="217"/>
  <c r="AK53" i="217"/>
  <c r="AK123" i="217"/>
  <c r="AK228" i="217"/>
  <c r="AK88" i="217"/>
  <c r="AJ264" i="217"/>
  <c r="AN18" i="217"/>
  <c r="AM122" i="217"/>
  <c r="AM52" i="217"/>
  <c r="AM87" i="217"/>
  <c r="AM227" i="217"/>
  <c r="AL263" i="217"/>
  <c r="AN17" i="217"/>
  <c r="AM298" i="217"/>
  <c r="AJ303" i="217"/>
  <c r="AI302" i="217"/>
  <c r="AW302" i="217" s="1"/>
  <c r="AX302" i="217" s="1"/>
  <c r="AI306" i="217"/>
  <c r="AW306" i="217" s="1"/>
  <c r="AX306" i="217" s="1"/>
  <c r="AI270" i="217"/>
  <c r="AI266" i="217"/>
  <c r="AI264" i="217"/>
  <c r="AL22" i="217"/>
  <c r="AK126" i="217"/>
  <c r="AK91" i="217"/>
  <c r="AK161" i="217"/>
  <c r="AK56" i="217"/>
  <c r="AK231" i="217"/>
  <c r="AJ267" i="217"/>
  <c r="AI303" i="217"/>
  <c r="AL32" i="217"/>
  <c r="AK313" i="217"/>
  <c r="I25" i="198"/>
  <c r="J25" i="198" s="1"/>
  <c r="AM25" i="198"/>
  <c r="AN25" i="198" s="1"/>
  <c r="D23" i="218"/>
  <c r="F23" i="218" s="1"/>
  <c r="G23" i="218"/>
  <c r="I23" i="218" s="1"/>
  <c r="C14" i="246"/>
  <c r="N65" i="248" s="1"/>
  <c r="C13" i="246"/>
  <c r="G65" i="248" s="1"/>
  <c r="G69" i="248" s="1"/>
  <c r="G70" i="248" s="1"/>
  <c r="K11" i="246"/>
  <c r="L11" i="246" s="1"/>
  <c r="F201" i="226"/>
  <c r="H207" i="226"/>
  <c r="M203" i="198"/>
  <c r="AQ203" i="198"/>
  <c r="F207" i="229"/>
  <c r="BF209" i="198"/>
  <c r="E207" i="204"/>
  <c r="H207" i="204"/>
  <c r="E207" i="219"/>
  <c r="H207" i="219"/>
  <c r="F207" i="227"/>
  <c r="R209" i="198"/>
  <c r="AV209" i="198"/>
  <c r="H207" i="228"/>
  <c r="F201" i="228"/>
  <c r="W203" i="198"/>
  <c r="BA203" i="198"/>
  <c r="AB203" i="198"/>
  <c r="F207" i="223"/>
  <c r="C209" i="198"/>
  <c r="AG209" i="198"/>
  <c r="F201" i="225"/>
  <c r="H207" i="225"/>
  <c r="AL203" i="198"/>
  <c r="H203" i="198"/>
  <c r="E21" i="231"/>
  <c r="G19" i="220"/>
  <c r="I19" i="220" s="1"/>
  <c r="D19" i="220"/>
  <c r="F19" i="220" s="1"/>
  <c r="AW21" i="198"/>
  <c r="AX21" i="198" s="1"/>
  <c r="S21" i="198"/>
  <c r="T21" i="198" s="1"/>
  <c r="U24" i="218"/>
  <c r="U23" i="218" s="1"/>
  <c r="T24" i="218"/>
  <c r="T23" i="218" s="1"/>
  <c r="S24" i="218"/>
  <c r="S23" i="218" s="1"/>
  <c r="R24" i="218"/>
  <c r="R23" i="218" s="1"/>
  <c r="Q24" i="218"/>
  <c r="Q23" i="218" s="1"/>
  <c r="P24" i="218"/>
  <c r="P23" i="218" s="1"/>
  <c r="V24" i="218"/>
  <c r="V23" i="218" s="1"/>
  <c r="N24" i="218"/>
  <c r="N23" i="218" s="1"/>
  <c r="O24" i="218"/>
  <c r="O23" i="218" s="1"/>
  <c r="L24" i="218"/>
  <c r="M24" i="218"/>
  <c r="M23" i="218" s="1"/>
  <c r="J49" i="231" l="1"/>
  <c r="N36" i="231"/>
  <c r="BE55" i="250"/>
  <c r="BE56" i="250" s="1"/>
  <c r="BG50" i="250"/>
  <c r="BG63" i="250" s="1"/>
  <c r="BG53" i="250"/>
  <c r="BG66" i="250" s="1"/>
  <c r="BG52" i="250"/>
  <c r="BG65" i="250" s="1"/>
  <c r="BG54" i="250"/>
  <c r="BG67" i="250" s="1"/>
  <c r="BG49" i="250"/>
  <c r="BG62" i="250" s="1"/>
  <c r="BH10" i="250" a="1"/>
  <c r="BH10" i="250" s="1"/>
  <c r="BF60" i="250"/>
  <c r="BH8" i="250"/>
  <c r="BG45" i="250"/>
  <c r="BG58" i="250" s="1"/>
  <c r="BG35" i="250"/>
  <c r="BF40" i="250"/>
  <c r="BF43" i="250" s="1"/>
  <c r="BF38" i="250"/>
  <c r="BG47" i="250"/>
  <c r="BF58" i="250"/>
  <c r="BF23" i="250"/>
  <c r="BE24" i="250"/>
  <c r="BE28" i="250"/>
  <c r="BE29" i="250" s="1"/>
  <c r="BE30" i="250"/>
  <c r="BE31" i="250" s="1"/>
  <c r="BE26" i="250"/>
  <c r="BE27" i="250" s="1"/>
  <c r="BE32" i="250"/>
  <c r="BE33" i="250" s="1"/>
  <c r="BG11" i="250"/>
  <c r="BF51" i="250"/>
  <c r="BF64" i="250" s="1"/>
  <c r="BE69" i="250"/>
  <c r="AL60" i="177"/>
  <c r="AL54" i="177"/>
  <c r="AL67" i="177" s="1"/>
  <c r="AM10" i="177" a="1"/>
  <c r="AM10" i="177" s="1"/>
  <c r="AM47" i="177" s="1"/>
  <c r="AL53" i="177"/>
  <c r="AL66" i="177" s="1"/>
  <c r="AL49" i="177"/>
  <c r="AL62" i="177" s="1"/>
  <c r="AL50" i="177"/>
  <c r="AL63" i="177" s="1"/>
  <c r="AL52" i="177"/>
  <c r="AL65" i="177" s="1"/>
  <c r="N92" i="221"/>
  <c r="AN59" i="193"/>
  <c r="AN60" i="193"/>
  <c r="AG121" i="193"/>
  <c r="AH121" i="193"/>
  <c r="AF121" i="193"/>
  <c r="AD121" i="193"/>
  <c r="AE121" i="193"/>
  <c r="AB121" i="193"/>
  <c r="AM121" i="193"/>
  <c r="AL121" i="193"/>
  <c r="AJ121" i="193"/>
  <c r="AI121" i="193"/>
  <c r="AK121" i="193"/>
  <c r="AC121" i="193"/>
  <c r="AN75" i="193"/>
  <c r="AN119" i="193"/>
  <c r="AN136" i="193"/>
  <c r="AN104" i="193"/>
  <c r="AN120" i="193"/>
  <c r="AN105" i="193"/>
  <c r="O106" i="193"/>
  <c r="AI106" i="193"/>
  <c r="AE106" i="193"/>
  <c r="AH106" i="193"/>
  <c r="AG106" i="193"/>
  <c r="AF106" i="193"/>
  <c r="AD106" i="193"/>
  <c r="AC106" i="193"/>
  <c r="AB106" i="193"/>
  <c r="AK106" i="193"/>
  <c r="AM106" i="193"/>
  <c r="AL106" i="193"/>
  <c r="AJ106" i="193"/>
  <c r="H201" i="222"/>
  <c r="Y207" i="222"/>
  <c r="E201" i="222"/>
  <c r="AL245" i="217"/>
  <c r="AL247" i="217"/>
  <c r="AM38" i="217"/>
  <c r="AM107" i="217" s="1"/>
  <c r="AL72" i="217"/>
  <c r="AL106" i="217"/>
  <c r="AL142" i="217"/>
  <c r="AL177" i="217"/>
  <c r="AL176" i="217"/>
  <c r="AL246" i="217"/>
  <c r="AL141" i="217"/>
  <c r="AL71" i="217"/>
  <c r="AK320" i="217"/>
  <c r="AM39" i="217"/>
  <c r="AL248" i="217"/>
  <c r="AL178" i="217"/>
  <c r="AL143" i="217"/>
  <c r="AL108" i="217"/>
  <c r="AL73" i="217"/>
  <c r="AL321" i="217"/>
  <c r="AN40" i="217"/>
  <c r="AM249" i="217"/>
  <c r="AM179" i="217"/>
  <c r="AM74" i="217"/>
  <c r="AM144" i="217"/>
  <c r="AL69" i="217"/>
  <c r="AN68" i="193"/>
  <c r="AC61" i="193"/>
  <c r="AB61" i="193"/>
  <c r="AM61" i="193"/>
  <c r="AL61" i="193"/>
  <c r="AK61" i="193"/>
  <c r="AJ61" i="193"/>
  <c r="AI61" i="193"/>
  <c r="AH61" i="193"/>
  <c r="AE61" i="193"/>
  <c r="AD61" i="193"/>
  <c r="AG61" i="193"/>
  <c r="AF61" i="193"/>
  <c r="AN74" i="193"/>
  <c r="AN91" i="193"/>
  <c r="L41" i="231"/>
  <c r="P46" i="231"/>
  <c r="I45" i="231"/>
  <c r="H47" i="231"/>
  <c r="F46" i="231"/>
  <c r="N41" i="231"/>
  <c r="N47" i="231"/>
  <c r="N46" i="231"/>
  <c r="M35" i="231"/>
  <c r="E32" i="231"/>
  <c r="C32" i="231" s="1"/>
  <c r="M33" i="231"/>
  <c r="G36" i="231"/>
  <c r="O45" i="231"/>
  <c r="G49" i="231"/>
  <c r="J50" i="231"/>
  <c r="I51" i="231"/>
  <c r="E35" i="231"/>
  <c r="B35" i="231" s="1"/>
  <c r="V92" i="221"/>
  <c r="P92" i="221"/>
  <c r="AW79" i="198"/>
  <c r="AX79" i="198" s="1"/>
  <c r="M92" i="221"/>
  <c r="L95" i="220"/>
  <c r="S79" i="198"/>
  <c r="T79" i="198" s="1"/>
  <c r="W126" i="220"/>
  <c r="S77" i="198"/>
  <c r="T77" i="198" s="1"/>
  <c r="AW77" i="198"/>
  <c r="AX77" i="198" s="1"/>
  <c r="Z120" i="193"/>
  <c r="A94" i="220"/>
  <c r="A123" i="220" s="1"/>
  <c r="G75" i="220"/>
  <c r="I75" i="220" s="1"/>
  <c r="W77" i="219"/>
  <c r="O49" i="231"/>
  <c r="B36" i="172"/>
  <c r="Q89" i="204"/>
  <c r="R89" i="204"/>
  <c r="T89" i="204"/>
  <c r="U89" i="204"/>
  <c r="V89" i="204"/>
  <c r="M89" i="204"/>
  <c r="P89" i="204"/>
  <c r="O89" i="204"/>
  <c r="S89" i="204"/>
  <c r="L89" i="204"/>
  <c r="K89" i="204"/>
  <c r="N89" i="204"/>
  <c r="G126" i="220"/>
  <c r="I126" i="220" s="1"/>
  <c r="G77" i="220"/>
  <c r="I77" i="220" s="1"/>
  <c r="W75" i="220"/>
  <c r="Z75" i="193"/>
  <c r="AA75" i="193" s="1"/>
  <c r="D79" i="198"/>
  <c r="E79" i="198" s="1"/>
  <c r="O92" i="221"/>
  <c r="K75" i="204"/>
  <c r="D75" i="204" s="1"/>
  <c r="F75" i="204" s="1"/>
  <c r="Q92" i="221"/>
  <c r="W101" i="221"/>
  <c r="G77" i="204"/>
  <c r="I77" i="204" s="1"/>
  <c r="AH79" i="198"/>
  <c r="AI79" i="198" s="1"/>
  <c r="D77" i="220"/>
  <c r="F77" i="220" s="1"/>
  <c r="M95" i="220"/>
  <c r="L92" i="221"/>
  <c r="W77" i="220"/>
  <c r="N95" i="220"/>
  <c r="A107" i="220"/>
  <c r="N107" i="220" s="1"/>
  <c r="A111" i="220"/>
  <c r="A103" i="220"/>
  <c r="U103" i="220" s="1"/>
  <c r="V95" i="220"/>
  <c r="R95" i="220"/>
  <c r="A115" i="220"/>
  <c r="AI115" i="220" s="1"/>
  <c r="W102" i="221"/>
  <c r="BB103" i="198"/>
  <c r="BC103" i="198" s="1"/>
  <c r="W77" i="204"/>
  <c r="Q106" i="193"/>
  <c r="K95" i="220"/>
  <c r="AW97" i="198" s="1"/>
  <c r="AX97" i="198" s="1"/>
  <c r="S106" i="193"/>
  <c r="T95" i="220"/>
  <c r="W106" i="193"/>
  <c r="Y106" i="193"/>
  <c r="U95" i="220"/>
  <c r="P74" i="193"/>
  <c r="R74" i="193"/>
  <c r="O74" i="193"/>
  <c r="N74" i="193"/>
  <c r="V74" i="193"/>
  <c r="X74" i="193"/>
  <c r="S74" i="193"/>
  <c r="U74" i="193"/>
  <c r="T74" i="193"/>
  <c r="Y74" i="193"/>
  <c r="Q74" i="193"/>
  <c r="W74" i="193"/>
  <c r="T106" i="193"/>
  <c r="N106" i="193"/>
  <c r="Z105" i="193"/>
  <c r="Z136" i="193"/>
  <c r="R106" i="193"/>
  <c r="W126" i="204"/>
  <c r="X103" i="198"/>
  <c r="Y103" i="198" s="1"/>
  <c r="D101" i="221"/>
  <c r="F101" i="221" s="1"/>
  <c r="U106" i="193"/>
  <c r="A124" i="220"/>
  <c r="Y124" i="220" s="1"/>
  <c r="G101" i="221"/>
  <c r="I101" i="221" s="1"/>
  <c r="Q95" i="220"/>
  <c r="A120" i="220"/>
  <c r="Z120" i="220" s="1"/>
  <c r="Z104" i="193"/>
  <c r="P106" i="193"/>
  <c r="O95" i="220"/>
  <c r="P95" i="220"/>
  <c r="F106" i="193"/>
  <c r="A99" i="220"/>
  <c r="Y99" i="220" s="1"/>
  <c r="Z91" i="193"/>
  <c r="V106" i="193"/>
  <c r="X106" i="193"/>
  <c r="G98" i="221"/>
  <c r="I98" i="221" s="1"/>
  <c r="D98" i="221"/>
  <c r="F98" i="221" s="1"/>
  <c r="W98" i="221"/>
  <c r="K97" i="221"/>
  <c r="X100" i="198"/>
  <c r="Y100" i="198" s="1"/>
  <c r="BB100" i="198"/>
  <c r="BC100" i="198" s="1"/>
  <c r="A107" i="219"/>
  <c r="U95" i="219"/>
  <c r="N95" i="219"/>
  <c r="M95" i="219"/>
  <c r="L95" i="219"/>
  <c r="AB95" i="219"/>
  <c r="K95" i="219"/>
  <c r="Z95" i="219"/>
  <c r="Y95" i="219"/>
  <c r="T95" i="219"/>
  <c r="A124" i="219"/>
  <c r="S95" i="219"/>
  <c r="O95" i="219"/>
  <c r="A99" i="219"/>
  <c r="A111" i="219"/>
  <c r="V95" i="219"/>
  <c r="A120" i="219"/>
  <c r="R95" i="219"/>
  <c r="A115" i="219"/>
  <c r="A103" i="219"/>
  <c r="Q95" i="219"/>
  <c r="P95" i="219"/>
  <c r="B71" i="193"/>
  <c r="AD115" i="220"/>
  <c r="AH94" i="220"/>
  <c r="AH93" i="220" s="1"/>
  <c r="AF94" i="220"/>
  <c r="AF93" i="220" s="1"/>
  <c r="O107" i="220"/>
  <c r="S107" i="220"/>
  <c r="Z119" i="193"/>
  <c r="AJ95" i="204"/>
  <c r="AA95" i="204"/>
  <c r="AD95" i="204"/>
  <c r="U95" i="204"/>
  <c r="M95" i="204"/>
  <c r="AF95" i="204"/>
  <c r="AH95" i="204"/>
  <c r="K95" i="204"/>
  <c r="V95" i="204"/>
  <c r="S95" i="204"/>
  <c r="A99" i="204"/>
  <c r="A103" i="204"/>
  <c r="T95" i="204"/>
  <c r="AB95" i="204"/>
  <c r="Q95" i="204"/>
  <c r="Z95" i="204"/>
  <c r="P95" i="204"/>
  <c r="O95" i="204"/>
  <c r="AI95" i="204"/>
  <c r="R95" i="204"/>
  <c r="AG95" i="204"/>
  <c r="A107" i="204"/>
  <c r="N95" i="204"/>
  <c r="AE95" i="204"/>
  <c r="AC95" i="204"/>
  <c r="Y95" i="204"/>
  <c r="L95" i="204"/>
  <c r="AB111" i="220"/>
  <c r="Z111" i="220"/>
  <c r="AJ111" i="220"/>
  <c r="AH111" i="220"/>
  <c r="AJ120" i="220"/>
  <c r="AF120" i="220"/>
  <c r="G75" i="219"/>
  <c r="I75" i="219" s="1"/>
  <c r="W75" i="219"/>
  <c r="D75" i="219"/>
  <c r="F75" i="219" s="1"/>
  <c r="N77" i="198"/>
  <c r="O77" i="198" s="1"/>
  <c r="AR77" i="198"/>
  <c r="AS77" i="198" s="1"/>
  <c r="G126" i="219"/>
  <c r="I126" i="219" s="1"/>
  <c r="D126" i="219"/>
  <c r="F126" i="219" s="1"/>
  <c r="W126" i="219"/>
  <c r="F121" i="193"/>
  <c r="A94" i="219"/>
  <c r="W121" i="193"/>
  <c r="V121" i="193"/>
  <c r="Y121" i="193"/>
  <c r="X121" i="193"/>
  <c r="U121" i="193"/>
  <c r="T121" i="193"/>
  <c r="S121" i="193"/>
  <c r="R121" i="193"/>
  <c r="O121" i="193"/>
  <c r="Q121" i="193"/>
  <c r="P121" i="193"/>
  <c r="N121" i="193"/>
  <c r="Z60" i="193"/>
  <c r="AA60" i="193" s="1"/>
  <c r="Z68" i="193"/>
  <c r="AA68" i="193" s="1"/>
  <c r="J76" i="193"/>
  <c r="A95" i="218"/>
  <c r="F75" i="193"/>
  <c r="W61" i="193"/>
  <c r="P61" i="193"/>
  <c r="O61" i="193"/>
  <c r="A94" i="204"/>
  <c r="S61" i="193"/>
  <c r="Q61" i="193"/>
  <c r="R61" i="193"/>
  <c r="U61" i="193"/>
  <c r="X61" i="193"/>
  <c r="N61" i="193"/>
  <c r="V61" i="193"/>
  <c r="T61" i="193"/>
  <c r="Y61" i="193"/>
  <c r="F61" i="193"/>
  <c r="Z59" i="193"/>
  <c r="AK283" i="217"/>
  <c r="AK319" i="217"/>
  <c r="K22" i="177"/>
  <c r="AK317" i="217"/>
  <c r="U17" i="177"/>
  <c r="V17" i="177" s="1"/>
  <c r="W17" i="177" s="1"/>
  <c r="X17" i="177" s="1"/>
  <c r="Y17" i="177" s="1"/>
  <c r="Z17" i="177" s="1"/>
  <c r="AA17" i="177" s="1"/>
  <c r="AB17" i="177" s="1"/>
  <c r="AC17" i="177" s="1"/>
  <c r="AD17" i="177" s="1"/>
  <c r="AE17" i="177" s="1"/>
  <c r="AF17" i="177" s="1"/>
  <c r="AF21" i="177" s="1"/>
  <c r="AF72" i="177" s="1"/>
  <c r="K73" i="177"/>
  <c r="H14" i="231" s="1"/>
  <c r="H14" i="230" s="1"/>
  <c r="T20" i="177"/>
  <c r="T22" i="177" s="1"/>
  <c r="AL244" i="217"/>
  <c r="AK282" i="217"/>
  <c r="AL174" i="217"/>
  <c r="AL105" i="217"/>
  <c r="AL175" i="217"/>
  <c r="AL140" i="217"/>
  <c r="AK280" i="217"/>
  <c r="AK281" i="217"/>
  <c r="AK318" i="217"/>
  <c r="AM35" i="217"/>
  <c r="AM104" i="217" s="1"/>
  <c r="AL104" i="217"/>
  <c r="S16" i="220"/>
  <c r="S15" i="220"/>
  <c r="AM36" i="217"/>
  <c r="AM70" i="217" s="1"/>
  <c r="AK316" i="217"/>
  <c r="V15" i="220"/>
  <c r="V16" i="220"/>
  <c r="R19" i="220"/>
  <c r="L21" i="231" s="1"/>
  <c r="L21" i="230" s="1"/>
  <c r="AK278" i="217"/>
  <c r="AK314" i="217"/>
  <c r="X26" i="159"/>
  <c r="X16" i="159"/>
  <c r="X21" i="159"/>
  <c r="O34" i="231"/>
  <c r="H45" i="231"/>
  <c r="P35" i="231"/>
  <c r="P51" i="231"/>
  <c r="E45" i="231"/>
  <c r="C45" i="231" s="1"/>
  <c r="K32" i="231"/>
  <c r="I46" i="231"/>
  <c r="I39" i="231"/>
  <c r="M45" i="231"/>
  <c r="O32" i="231"/>
  <c r="O46" i="231"/>
  <c r="G40" i="231"/>
  <c r="H46" i="231"/>
  <c r="I33" i="231"/>
  <c r="I47" i="231"/>
  <c r="O40" i="231"/>
  <c r="P49" i="231"/>
  <c r="O36" i="231"/>
  <c r="O51" i="231"/>
  <c r="J47" i="231"/>
  <c r="K50" i="231"/>
  <c r="J39" i="231"/>
  <c r="N32" i="231"/>
  <c r="F49" i="231"/>
  <c r="P50" i="231"/>
  <c r="F40" i="231"/>
  <c r="L33" i="231"/>
  <c r="N49" i="231"/>
  <c r="J51" i="231"/>
  <c r="P40" i="231"/>
  <c r="I34" i="231"/>
  <c r="L50" i="231"/>
  <c r="M34" i="231"/>
  <c r="K41" i="231"/>
  <c r="F35" i="231"/>
  <c r="L55" i="177"/>
  <c r="L60" i="177"/>
  <c r="L68" i="177" s="1"/>
  <c r="K58" i="177"/>
  <c r="K69" i="177" s="1"/>
  <c r="K56" i="177"/>
  <c r="L35" i="177"/>
  <c r="L45" i="177"/>
  <c r="M8" i="177"/>
  <c r="K38" i="177"/>
  <c r="X18" i="159" s="1"/>
  <c r="K40" i="177"/>
  <c r="K43" i="177" s="1"/>
  <c r="M54" i="177"/>
  <c r="M67" i="177" s="1"/>
  <c r="M50" i="177"/>
  <c r="M63" i="177" s="1"/>
  <c r="M53" i="177"/>
  <c r="M66" i="177" s="1"/>
  <c r="M49" i="177"/>
  <c r="M62" i="177" s="1"/>
  <c r="M52" i="177"/>
  <c r="M65" i="177" s="1"/>
  <c r="N47" i="177"/>
  <c r="M11" i="177"/>
  <c r="U19" i="220"/>
  <c r="O21" i="231" s="1"/>
  <c r="O21" i="230" s="1"/>
  <c r="I24" i="177"/>
  <c r="J23" i="177"/>
  <c r="J14" i="231"/>
  <c r="P8" i="220"/>
  <c r="P12" i="220" s="1"/>
  <c r="Z16" i="159"/>
  <c r="Z26" i="159"/>
  <c r="Z21" i="159"/>
  <c r="E117" i="174"/>
  <c r="F34" i="174"/>
  <c r="E34" i="174"/>
  <c r="A35" i="174"/>
  <c r="AC54" i="159"/>
  <c r="AC69" i="159" s="1"/>
  <c r="M24" i="232"/>
  <c r="M24" i="230" s="1"/>
  <c r="Y92" i="123"/>
  <c r="Z54" i="159"/>
  <c r="Z69" i="159" s="1"/>
  <c r="J24" i="232"/>
  <c r="J24" i="230" s="1"/>
  <c r="Z92" i="123"/>
  <c r="U92" i="123"/>
  <c r="X92" i="123"/>
  <c r="V92" i="123"/>
  <c r="AA92" i="123" s="1"/>
  <c r="AI265" i="217"/>
  <c r="S66" i="248"/>
  <c r="K66" i="248"/>
  <c r="O64" i="240"/>
  <c r="K65" i="248"/>
  <c r="O65" i="248"/>
  <c r="O69" i="248" s="1"/>
  <c r="O70" i="248" s="1"/>
  <c r="AI301" i="217"/>
  <c r="AW301" i="217" s="1"/>
  <c r="AX301" i="217" s="1"/>
  <c r="AB305" i="217"/>
  <c r="AB329" i="217" s="1"/>
  <c r="AL20" i="217"/>
  <c r="AL159" i="217" s="1"/>
  <c r="AK54" i="217"/>
  <c r="AK159" i="217"/>
  <c r="AK89" i="217"/>
  <c r="AK124" i="217"/>
  <c r="AK229" i="217"/>
  <c r="AJ301" i="217"/>
  <c r="AJ265" i="217"/>
  <c r="H22" i="246"/>
  <c r="D64" i="246"/>
  <c r="D21" i="246"/>
  <c r="E22" i="246" s="1"/>
  <c r="Q29" i="246"/>
  <c r="O22" i="246"/>
  <c r="O29" i="246" s="1"/>
  <c r="K16" i="246"/>
  <c r="L16" i="246" s="1"/>
  <c r="AG327" i="217"/>
  <c r="O23" i="232" s="1"/>
  <c r="AH327" i="217"/>
  <c r="P23" i="232" s="1"/>
  <c r="C15" i="246"/>
  <c r="AJ304" i="217"/>
  <c r="AJ327" i="217" s="1"/>
  <c r="AH292" i="217"/>
  <c r="V39" i="219" s="1"/>
  <c r="V38" i="219" s="1"/>
  <c r="AK45" i="217"/>
  <c r="AL23" i="217"/>
  <c r="AK57" i="217"/>
  <c r="AK92" i="217"/>
  <c r="AK115" i="217" s="1"/>
  <c r="AK127" i="217"/>
  <c r="AK149" i="217" s="1"/>
  <c r="AK162" i="217"/>
  <c r="AK185" i="217" s="1"/>
  <c r="AK232" i="217"/>
  <c r="AK256" i="217" s="1"/>
  <c r="AJ79" i="217"/>
  <c r="AJ268" i="217"/>
  <c r="AJ292" i="217" s="1"/>
  <c r="AK310" i="217"/>
  <c r="AI304" i="217"/>
  <c r="AI268" i="217"/>
  <c r="AI292" i="217" s="1"/>
  <c r="X329" i="217"/>
  <c r="AI275" i="217"/>
  <c r="I79" i="240"/>
  <c r="E79" i="240" s="1"/>
  <c r="U78" i="240"/>
  <c r="E51" i="233"/>
  <c r="F32" i="233"/>
  <c r="F33" i="233"/>
  <c r="F34" i="233"/>
  <c r="F35" i="233"/>
  <c r="F39" i="233"/>
  <c r="F40" i="233"/>
  <c r="F41" i="233"/>
  <c r="F45" i="233"/>
  <c r="F46" i="233"/>
  <c r="F49" i="233"/>
  <c r="F50" i="233"/>
  <c r="F36" i="233"/>
  <c r="F47" i="233"/>
  <c r="F51" i="233"/>
  <c r="H32" i="231"/>
  <c r="G41" i="231"/>
  <c r="K40" i="231"/>
  <c r="E40" i="231"/>
  <c r="K39" i="231"/>
  <c r="P36" i="231"/>
  <c r="J36" i="231"/>
  <c r="L35" i="231"/>
  <c r="H35" i="231"/>
  <c r="K34" i="231"/>
  <c r="P33" i="231"/>
  <c r="J33" i="231"/>
  <c r="P32" i="231"/>
  <c r="J32" i="231"/>
  <c r="M51" i="231"/>
  <c r="G51" i="231"/>
  <c r="M50" i="231"/>
  <c r="F50" i="231"/>
  <c r="K49" i="231"/>
  <c r="E49" i="231"/>
  <c r="M47" i="231"/>
  <c r="E47" i="231"/>
  <c r="K46" i="231"/>
  <c r="G46" i="231"/>
  <c r="E46" i="231"/>
  <c r="J45" i="231"/>
  <c r="O41" i="231"/>
  <c r="H41" i="231"/>
  <c r="N40" i="231"/>
  <c r="J40" i="231"/>
  <c r="N39" i="231"/>
  <c r="M36" i="231"/>
  <c r="H36" i="231"/>
  <c r="O35" i="231"/>
  <c r="I35" i="231"/>
  <c r="L34" i="231"/>
  <c r="O33" i="231"/>
  <c r="K33" i="231"/>
  <c r="G33" i="231"/>
  <c r="E33" i="231"/>
  <c r="M32" i="231"/>
  <c r="I32" i="231"/>
  <c r="G32" i="231"/>
  <c r="E34" i="231"/>
  <c r="N34" i="231"/>
  <c r="F34" i="231"/>
  <c r="N51" i="231"/>
  <c r="L51" i="231"/>
  <c r="F51" i="231"/>
  <c r="N50" i="231"/>
  <c r="I50" i="231"/>
  <c r="G50" i="231"/>
  <c r="L49" i="231"/>
  <c r="H49" i="231"/>
  <c r="P47" i="231"/>
  <c r="L47" i="231"/>
  <c r="F47" i="231"/>
  <c r="L46" i="231"/>
  <c r="J46" i="231"/>
  <c r="P45" i="231"/>
  <c r="K45" i="231"/>
  <c r="G45" i="231"/>
  <c r="P41" i="231"/>
  <c r="I41" i="231"/>
  <c r="E41" i="231"/>
  <c r="M40" i="231"/>
  <c r="I40" i="231"/>
  <c r="O39" i="231"/>
  <c r="M39" i="231"/>
  <c r="G39" i="231"/>
  <c r="L36" i="231"/>
  <c r="F36" i="231"/>
  <c r="N35" i="231"/>
  <c r="J35" i="231"/>
  <c r="P34" i="231"/>
  <c r="J34" i="231"/>
  <c r="H34" i="231"/>
  <c r="N33" i="231"/>
  <c r="H33" i="231"/>
  <c r="F33" i="231"/>
  <c r="L32" i="231"/>
  <c r="F32" i="231"/>
  <c r="K51" i="231"/>
  <c r="E51" i="231"/>
  <c r="O50" i="231"/>
  <c r="H50" i="231"/>
  <c r="E50" i="231"/>
  <c r="M49" i="231"/>
  <c r="I49" i="231"/>
  <c r="O47" i="231"/>
  <c r="K47" i="231"/>
  <c r="G47" i="231"/>
  <c r="M46" i="231"/>
  <c r="N45" i="231"/>
  <c r="L45" i="231"/>
  <c r="F45" i="231"/>
  <c r="M41" i="231"/>
  <c r="J41" i="231"/>
  <c r="F41" i="231"/>
  <c r="L40" i="231"/>
  <c r="H40" i="231"/>
  <c r="P39" i="231"/>
  <c r="L39" i="231"/>
  <c r="E39" i="231"/>
  <c r="K36" i="231"/>
  <c r="I36" i="231"/>
  <c r="E36" i="231"/>
  <c r="K35" i="231"/>
  <c r="G35" i="231"/>
  <c r="G34" i="231"/>
  <c r="X293" i="217"/>
  <c r="W293" i="217"/>
  <c r="AI311" i="217"/>
  <c r="AF327" i="217"/>
  <c r="N23" i="232" s="1"/>
  <c r="AE327" i="217"/>
  <c r="M23" i="232" s="1"/>
  <c r="AK239" i="217"/>
  <c r="AK169" i="217"/>
  <c r="AK64" i="217"/>
  <c r="AL30" i="217"/>
  <c r="AK134" i="217"/>
  <c r="AK99" i="217"/>
  <c r="AJ311" i="217"/>
  <c r="AJ275" i="217"/>
  <c r="AB116" i="217"/>
  <c r="AB114" i="217"/>
  <c r="AB151" i="217"/>
  <c r="AB150" i="217"/>
  <c r="AB255" i="217"/>
  <c r="P40" i="220" s="1"/>
  <c r="AB257" i="217"/>
  <c r="AB81" i="217"/>
  <c r="AB80" i="217"/>
  <c r="AB269" i="217"/>
  <c r="AF150" i="217"/>
  <c r="AF151" i="217"/>
  <c r="AF116" i="217"/>
  <c r="AF114" i="217"/>
  <c r="AF255" i="217"/>
  <c r="T40" i="220" s="1"/>
  <c r="AF257" i="217"/>
  <c r="AF80" i="217"/>
  <c r="AF81" i="217"/>
  <c r="AF269" i="217"/>
  <c r="AF305" i="217"/>
  <c r="AG255" i="217"/>
  <c r="U40" i="220" s="1"/>
  <c r="AG257" i="217"/>
  <c r="AG150" i="217"/>
  <c r="AG151" i="217"/>
  <c r="AG114" i="217"/>
  <c r="AG116" i="217"/>
  <c r="AG81" i="217"/>
  <c r="AG80" i="217"/>
  <c r="AG269" i="217"/>
  <c r="AG305" i="217"/>
  <c r="X150" i="217"/>
  <c r="AC149" i="217"/>
  <c r="Y150" i="217"/>
  <c r="Y151" i="217"/>
  <c r="AD149" i="217"/>
  <c r="X149" i="217"/>
  <c r="W150" i="217"/>
  <c r="W149" i="217"/>
  <c r="AB149" i="217"/>
  <c r="Y149" i="217"/>
  <c r="Z149" i="217"/>
  <c r="AI128" i="217"/>
  <c r="AA149" i="217"/>
  <c r="W115" i="217"/>
  <c r="AC115" i="217"/>
  <c r="AI93" i="217"/>
  <c r="Y116" i="217"/>
  <c r="Y114" i="217"/>
  <c r="AB115" i="217"/>
  <c r="X115" i="217"/>
  <c r="Y115" i="217"/>
  <c r="W114" i="217"/>
  <c r="AA115" i="217"/>
  <c r="Z115" i="217"/>
  <c r="AD115" i="217"/>
  <c r="X114" i="217"/>
  <c r="Y255" i="217"/>
  <c r="M40" i="220" s="1"/>
  <c r="Y257" i="217"/>
  <c r="AD256" i="217"/>
  <c r="R40" i="219" s="1"/>
  <c r="AA256" i="217"/>
  <c r="O40" i="219" s="1"/>
  <c r="W256" i="217"/>
  <c r="K40" i="219" s="1"/>
  <c r="X256" i="217"/>
  <c r="L40" i="219" s="1"/>
  <c r="Z256" i="217"/>
  <c r="N40" i="219" s="1"/>
  <c r="AC256" i="217"/>
  <c r="Q40" i="219" s="1"/>
  <c r="AB256" i="217"/>
  <c r="P40" i="219" s="1"/>
  <c r="AI233" i="217"/>
  <c r="Y256" i="217"/>
  <c r="M40" i="219" s="1"/>
  <c r="W255" i="217"/>
  <c r="K40" i="220" s="1"/>
  <c r="X255" i="217"/>
  <c r="L40" i="220" s="1"/>
  <c r="Y81" i="217"/>
  <c r="Y305" i="217"/>
  <c r="W80" i="217"/>
  <c r="Y79" i="217"/>
  <c r="AA79" i="217"/>
  <c r="Z79" i="217"/>
  <c r="Y269" i="217"/>
  <c r="Y80" i="217"/>
  <c r="AI58" i="217"/>
  <c r="X80" i="217"/>
  <c r="W79" i="217"/>
  <c r="X79" i="217"/>
  <c r="AC79" i="217"/>
  <c r="AB79" i="217"/>
  <c r="AD79" i="217"/>
  <c r="AI46" i="217"/>
  <c r="AI44" i="217"/>
  <c r="AC151" i="217"/>
  <c r="AC150" i="217"/>
  <c r="AC255" i="217"/>
  <c r="Q40" i="220" s="1"/>
  <c r="AC257" i="217"/>
  <c r="AC116" i="217"/>
  <c r="AC114" i="217"/>
  <c r="AC305" i="217"/>
  <c r="AC81" i="217"/>
  <c r="AC269" i="217"/>
  <c r="AC80" i="217"/>
  <c r="AA255" i="217"/>
  <c r="O40" i="220" s="1"/>
  <c r="AA257" i="217"/>
  <c r="AA114" i="217"/>
  <c r="AA116" i="217"/>
  <c r="AA151" i="217"/>
  <c r="AA150" i="217"/>
  <c r="AA269" i="217"/>
  <c r="AA80" i="217"/>
  <c r="AA81" i="217"/>
  <c r="AA305" i="217"/>
  <c r="AD114" i="217"/>
  <c r="AD116" i="217"/>
  <c r="AD257" i="217"/>
  <c r="AD255" i="217"/>
  <c r="R40" i="220" s="1"/>
  <c r="AD150" i="217"/>
  <c r="AD151" i="217"/>
  <c r="AD305" i="217"/>
  <c r="AD80" i="217"/>
  <c r="AD81" i="217"/>
  <c r="AD269" i="217"/>
  <c r="AE257" i="217"/>
  <c r="AE255" i="217"/>
  <c r="S40" i="220" s="1"/>
  <c r="AE150" i="217"/>
  <c r="AE151" i="217"/>
  <c r="AE114" i="217"/>
  <c r="AE116" i="217"/>
  <c r="AE305" i="217"/>
  <c r="AE269" i="217"/>
  <c r="AE81" i="217"/>
  <c r="AE80" i="217"/>
  <c r="AH114" i="217"/>
  <c r="AH116" i="217"/>
  <c r="AH255" i="217"/>
  <c r="V40" i="220" s="1"/>
  <c r="AH257" i="217"/>
  <c r="AH150" i="217"/>
  <c r="AH151" i="217"/>
  <c r="AH80" i="217"/>
  <c r="AH81" i="217"/>
  <c r="AH269" i="217"/>
  <c r="AH305" i="217"/>
  <c r="AJ128" i="217"/>
  <c r="AJ44" i="217"/>
  <c r="AK24" i="217"/>
  <c r="AJ233" i="217"/>
  <c r="AJ93" i="217"/>
  <c r="AJ163" i="217"/>
  <c r="AJ58" i="217"/>
  <c r="AJ46" i="217"/>
  <c r="Z255" i="217"/>
  <c r="N40" i="220" s="1"/>
  <c r="Z257" i="217"/>
  <c r="Z114" i="217"/>
  <c r="Z116" i="217"/>
  <c r="Z151" i="217"/>
  <c r="Z150" i="217"/>
  <c r="Z305" i="217"/>
  <c r="Z81" i="217"/>
  <c r="Z269" i="217"/>
  <c r="Z80" i="217"/>
  <c r="N26" i="198"/>
  <c r="O26" i="198" s="1"/>
  <c r="G24" i="219"/>
  <c r="I24" i="219" s="1"/>
  <c r="D24" i="219"/>
  <c r="F24" i="219" s="1"/>
  <c r="K23" i="219"/>
  <c r="W24" i="219"/>
  <c r="AR26" i="198"/>
  <c r="AS26" i="198" s="1"/>
  <c r="AW26" i="198"/>
  <c r="AX26" i="198" s="1"/>
  <c r="G24" i="220"/>
  <c r="I24" i="220" s="1"/>
  <c r="S26" i="198"/>
  <c r="T26" i="198" s="1"/>
  <c r="W24" i="220"/>
  <c r="D24" i="220"/>
  <c r="F24" i="220" s="1"/>
  <c r="K23" i="220"/>
  <c r="AI220" i="217"/>
  <c r="AI274" i="217"/>
  <c r="AI310" i="217"/>
  <c r="W329" i="217"/>
  <c r="AF292" i="217"/>
  <c r="T39" i="219" s="1"/>
  <c r="AG292" i="217"/>
  <c r="U39" i="219" s="1"/>
  <c r="AE292" i="217"/>
  <c r="S39" i="219" s="1"/>
  <c r="AI184" i="217"/>
  <c r="AI186" i="217"/>
  <c r="AL315" i="217"/>
  <c r="AL314" i="217"/>
  <c r="AL312" i="217"/>
  <c r="AL309" i="217"/>
  <c r="AL308" i="217"/>
  <c r="AL271" i="217"/>
  <c r="AL307" i="217"/>
  <c r="AM141" i="217"/>
  <c r="AM176" i="217"/>
  <c r="AN37" i="217"/>
  <c r="AM106" i="217"/>
  <c r="AM71" i="217"/>
  <c r="AM246" i="217"/>
  <c r="AM138" i="217"/>
  <c r="AM173" i="217"/>
  <c r="AN34" i="217"/>
  <c r="AM68" i="217"/>
  <c r="AM243" i="217"/>
  <c r="AM103" i="217"/>
  <c r="AL279" i="217"/>
  <c r="AM137" i="217"/>
  <c r="AM242" i="217"/>
  <c r="AN33" i="217"/>
  <c r="AM172" i="217"/>
  <c r="AM67" i="217"/>
  <c r="AM102" i="217"/>
  <c r="AL276" i="217"/>
  <c r="AM65" i="217"/>
  <c r="AM100" i="217"/>
  <c r="AM135" i="217"/>
  <c r="AM170" i="217"/>
  <c r="AM240" i="217"/>
  <c r="AN31" i="217"/>
  <c r="AL273" i="217"/>
  <c r="AM132" i="217"/>
  <c r="AM167" i="217"/>
  <c r="AN28" i="217"/>
  <c r="AM62" i="217"/>
  <c r="AM97" i="217"/>
  <c r="AM237" i="217"/>
  <c r="AM96" i="217"/>
  <c r="AM236" i="217"/>
  <c r="AM166" i="217"/>
  <c r="AM61" i="217"/>
  <c r="AN27" i="217"/>
  <c r="AM131" i="217"/>
  <c r="AM60" i="217"/>
  <c r="AM307" i="217" s="1"/>
  <c r="AN26" i="217"/>
  <c r="AL278" i="217"/>
  <c r="AL272" i="217"/>
  <c r="AK306" i="217"/>
  <c r="AK302" i="217"/>
  <c r="AM299" i="217"/>
  <c r="AM25" i="217"/>
  <c r="AL94" i="217"/>
  <c r="AL129" i="217"/>
  <c r="AL234" i="217"/>
  <c r="AL59" i="217"/>
  <c r="AL164" i="217"/>
  <c r="AM21" i="217"/>
  <c r="AL125" i="217"/>
  <c r="AL90" i="217"/>
  <c r="AL230" i="217"/>
  <c r="AL55" i="217"/>
  <c r="AL160" i="217"/>
  <c r="AM19" i="217"/>
  <c r="AL88" i="217"/>
  <c r="AL123" i="217"/>
  <c r="AL158" i="217"/>
  <c r="AL53" i="217"/>
  <c r="AL228" i="217"/>
  <c r="AO18" i="217"/>
  <c r="AN52" i="217"/>
  <c r="AN227" i="217"/>
  <c r="AN122" i="217"/>
  <c r="AN87" i="217"/>
  <c r="AO17" i="217"/>
  <c r="AN298" i="217"/>
  <c r="AK270" i="217"/>
  <c r="AK266" i="217"/>
  <c r="AK264" i="217"/>
  <c r="AM263" i="217"/>
  <c r="AK303" i="217"/>
  <c r="AK300" i="217"/>
  <c r="AM22" i="217"/>
  <c r="AL231" i="217"/>
  <c r="AL56" i="217"/>
  <c r="AL91" i="217"/>
  <c r="AL126" i="217"/>
  <c r="AL161" i="217"/>
  <c r="AK267" i="217"/>
  <c r="AW303" i="217"/>
  <c r="AX303" i="217" s="1"/>
  <c r="AM32" i="217"/>
  <c r="AL313" i="217"/>
  <c r="W24" i="218"/>
  <c r="L23" i="218"/>
  <c r="H29" i="177"/>
  <c r="K13" i="246"/>
  <c r="L13" i="246" s="1"/>
  <c r="M13" i="246"/>
  <c r="M14" i="246"/>
  <c r="K14" i="246"/>
  <c r="L14" i="246" s="1"/>
  <c r="I33" i="177"/>
  <c r="F207" i="228"/>
  <c r="BA209" i="198"/>
  <c r="AB209" i="198"/>
  <c r="W209" i="198"/>
  <c r="F207" i="225"/>
  <c r="AL209" i="198"/>
  <c r="H209" i="198"/>
  <c r="C21" i="231"/>
  <c r="B21" i="231"/>
  <c r="E21" i="230"/>
  <c r="F207" i="226"/>
  <c r="AQ209" i="198"/>
  <c r="M209" i="198"/>
  <c r="D77" i="198" l="1"/>
  <c r="E77" i="198" s="1"/>
  <c r="G75" i="204"/>
  <c r="I75" i="204" s="1"/>
  <c r="BF68" i="250"/>
  <c r="BF69" i="250" s="1"/>
  <c r="BD75" i="250" s="1"/>
  <c r="BG38" i="250"/>
  <c r="BG40" i="250"/>
  <c r="BG43" i="250" s="1"/>
  <c r="BH11" i="250"/>
  <c r="BG51" i="250"/>
  <c r="BG64" i="250" s="1"/>
  <c r="BH35" i="250"/>
  <c r="BH45" i="250"/>
  <c r="BH58" i="250" s="1"/>
  <c r="BI8" i="250"/>
  <c r="BF55" i="250"/>
  <c r="BF56" i="250" s="1"/>
  <c r="BI10" i="250" a="1"/>
  <c r="BI10" i="250" s="1"/>
  <c r="BH53" i="250"/>
  <c r="BH66" i="250" s="1"/>
  <c r="BH49" i="250"/>
  <c r="BH62" i="250" s="1"/>
  <c r="BH50" i="250"/>
  <c r="BH63" i="250" s="1"/>
  <c r="BH52" i="250"/>
  <c r="BH65" i="250" s="1"/>
  <c r="BH54" i="250"/>
  <c r="BH67" i="250" s="1"/>
  <c r="BG23" i="250"/>
  <c r="BF24" i="250"/>
  <c r="BF32" i="250"/>
  <c r="BF33" i="250" s="1"/>
  <c r="BF30" i="250"/>
  <c r="BF31" i="250" s="1"/>
  <c r="BF26" i="250"/>
  <c r="BF27" i="250" s="1"/>
  <c r="BF28" i="250"/>
  <c r="BF29" i="250" s="1"/>
  <c r="BH47" i="250"/>
  <c r="BG60" i="250"/>
  <c r="AM60" i="177"/>
  <c r="AM53" i="177"/>
  <c r="AM66" i="177" s="1"/>
  <c r="AN10" i="177" a="1"/>
  <c r="AN10" i="177" s="1"/>
  <c r="AM54" i="177"/>
  <c r="AM67" i="177" s="1"/>
  <c r="AM49" i="177"/>
  <c r="AM62" i="177" s="1"/>
  <c r="AM52" i="177"/>
  <c r="AM65" i="177" s="1"/>
  <c r="AM50" i="177"/>
  <c r="AM63" i="177" s="1"/>
  <c r="AN38" i="217"/>
  <c r="AN107" i="217" s="1"/>
  <c r="AM142" i="217"/>
  <c r="AM72" i="217"/>
  <c r="AM247" i="217"/>
  <c r="AM177" i="217"/>
  <c r="AL283" i="217"/>
  <c r="U107" i="220"/>
  <c r="AN121" i="193"/>
  <c r="AA115" i="220"/>
  <c r="AN141" i="193"/>
  <c r="AN106" i="193"/>
  <c r="AH77" i="198"/>
  <c r="AI77" i="198" s="1"/>
  <c r="H207" i="222"/>
  <c r="E207" i="222"/>
  <c r="AL319" i="217"/>
  <c r="B32" i="231"/>
  <c r="AL318" i="217"/>
  <c r="AL320" i="217"/>
  <c r="AL282" i="217"/>
  <c r="N44" i="231"/>
  <c r="AM321" i="217"/>
  <c r="AN39" i="217"/>
  <c r="AM178" i="217"/>
  <c r="AM143" i="217"/>
  <c r="AM108" i="217"/>
  <c r="AM248" i="217"/>
  <c r="AM73" i="217"/>
  <c r="AO40" i="217"/>
  <c r="AN179" i="217"/>
  <c r="AN249" i="217"/>
  <c r="AN74" i="217"/>
  <c r="AN144" i="217"/>
  <c r="AG17" i="177"/>
  <c r="AH17" i="177" s="1"/>
  <c r="AI17" i="177" s="1"/>
  <c r="AJ17" i="177" s="1"/>
  <c r="AK17" i="177" s="1"/>
  <c r="AL17" i="177" s="1"/>
  <c r="AM17" i="177" s="1"/>
  <c r="AN17" i="177" s="1"/>
  <c r="AO17" i="177" s="1"/>
  <c r="AP17" i="177" s="1"/>
  <c r="AQ17" i="177" s="1"/>
  <c r="AR17" i="177" s="1"/>
  <c r="AS17" i="177" s="1"/>
  <c r="AT17" i="177" s="1"/>
  <c r="AU17" i="177" s="1"/>
  <c r="AV17" i="177" s="1"/>
  <c r="AW17" i="177" s="1"/>
  <c r="AX17" i="177" s="1"/>
  <c r="AY17" i="177" s="1"/>
  <c r="AZ17" i="177" s="1"/>
  <c r="BA17" i="177" s="1"/>
  <c r="BB17" i="177" s="1"/>
  <c r="BC17" i="177" s="1"/>
  <c r="BD17" i="177" s="1"/>
  <c r="BE17" i="177" s="1"/>
  <c r="BF17" i="177" s="1"/>
  <c r="BG17" i="177" s="1"/>
  <c r="BH17" i="177" s="1"/>
  <c r="BI17" i="177" s="1"/>
  <c r="BJ17" i="177" s="1"/>
  <c r="BK17" i="177" s="1"/>
  <c r="BL17" i="177" s="1"/>
  <c r="BM17" i="177" s="1"/>
  <c r="BN17" i="177" s="1"/>
  <c r="BO17" i="177" s="1"/>
  <c r="C35" i="231"/>
  <c r="Q14" i="231"/>
  <c r="AL280" i="217"/>
  <c r="AF20" i="177"/>
  <c r="AF71" i="177" s="1"/>
  <c r="J48" i="231"/>
  <c r="AB76" i="193"/>
  <c r="AM76" i="193"/>
  <c r="AL76" i="193"/>
  <c r="AK76" i="193"/>
  <c r="AJ76" i="193"/>
  <c r="AI76" i="193"/>
  <c r="AH76" i="193"/>
  <c r="AC76" i="193"/>
  <c r="AG76" i="193"/>
  <c r="AE76" i="193"/>
  <c r="AF76" i="193"/>
  <c r="AD76" i="193"/>
  <c r="AN61" i="193"/>
  <c r="Z124" i="220"/>
  <c r="G95" i="220"/>
  <c r="I95" i="220" s="1"/>
  <c r="AH120" i="220"/>
  <c r="AI120" i="220"/>
  <c r="AD120" i="220"/>
  <c r="AE120" i="220"/>
  <c r="AB120" i="220"/>
  <c r="AC120" i="220"/>
  <c r="V107" i="220"/>
  <c r="W95" i="220"/>
  <c r="L107" i="220"/>
  <c r="AG94" i="220"/>
  <c r="AG93" i="220" s="1"/>
  <c r="Q94" i="220"/>
  <c r="Q93" i="220" s="1"/>
  <c r="R94" i="220"/>
  <c r="R93" i="220" s="1"/>
  <c r="A110" i="220"/>
  <c r="AH110" i="220" s="1"/>
  <c r="AH109" i="220" s="1"/>
  <c r="A114" i="220"/>
  <c r="U94" i="220"/>
  <c r="U93" i="220" s="1"/>
  <c r="AA94" i="220"/>
  <c r="AB115" i="220"/>
  <c r="T94" i="220"/>
  <c r="T93" i="220" s="1"/>
  <c r="AJ94" i="220"/>
  <c r="AJ93" i="220" s="1"/>
  <c r="A98" i="220"/>
  <c r="A106" i="220"/>
  <c r="A119" i="220"/>
  <c r="K94" i="220"/>
  <c r="G94" i="220" s="1"/>
  <c r="I94" i="220" s="1"/>
  <c r="M94" i="220"/>
  <c r="M93" i="220" s="1"/>
  <c r="AC94" i="220"/>
  <c r="AC93" i="220" s="1"/>
  <c r="AE94" i="220"/>
  <c r="AE93" i="220" s="1"/>
  <c r="L94" i="220"/>
  <c r="L93" i="220" s="1"/>
  <c r="A102" i="220"/>
  <c r="P94" i="220"/>
  <c r="P93" i="220" s="1"/>
  <c r="Y115" i="220"/>
  <c r="E115" i="220" s="1"/>
  <c r="F115" i="220" s="1"/>
  <c r="AD94" i="220"/>
  <c r="AD93" i="220" s="1"/>
  <c r="S94" i="220"/>
  <c r="S93" i="220" s="1"/>
  <c r="Z115" i="220"/>
  <c r="AH115" i="220"/>
  <c r="W75" i="204"/>
  <c r="O94" i="220"/>
  <c r="O93" i="220" s="1"/>
  <c r="V94" i="220"/>
  <c r="V93" i="220" s="1"/>
  <c r="M103" i="220"/>
  <c r="N94" i="220"/>
  <c r="N93" i="220" s="1"/>
  <c r="K103" i="220"/>
  <c r="M107" i="220"/>
  <c r="T103" i="220"/>
  <c r="P107" i="220"/>
  <c r="Q107" i="220"/>
  <c r="AH124" i="220"/>
  <c r="Z106" i="193"/>
  <c r="T107" i="220"/>
  <c r="L103" i="220"/>
  <c r="N103" i="220"/>
  <c r="Y120" i="220"/>
  <c r="H120" i="220" s="1"/>
  <c r="I120" i="220" s="1"/>
  <c r="R107" i="220"/>
  <c r="R103" i="220"/>
  <c r="B37" i="172"/>
  <c r="D89" i="204"/>
  <c r="F89" i="204" s="1"/>
  <c r="G89" i="204"/>
  <c r="I89" i="204" s="1"/>
  <c r="AH91" i="198"/>
  <c r="AI91" i="198" s="1"/>
  <c r="W89" i="204"/>
  <c r="D91" i="198"/>
  <c r="E91" i="198" s="1"/>
  <c r="AG120" i="220"/>
  <c r="K107" i="220"/>
  <c r="AA120" i="220"/>
  <c r="D95" i="220"/>
  <c r="F95" i="220" s="1"/>
  <c r="V103" i="220"/>
  <c r="P103" i="220"/>
  <c r="O103" i="220"/>
  <c r="Q103" i="220"/>
  <c r="S103" i="220"/>
  <c r="S97" i="198"/>
  <c r="T97" i="198" s="1"/>
  <c r="Z99" i="220"/>
  <c r="AC124" i="220"/>
  <c r="AB124" i="220"/>
  <c r="AB99" i="220"/>
  <c r="K99" i="220"/>
  <c r="U99" i="220"/>
  <c r="M99" i="220"/>
  <c r="P99" i="220"/>
  <c r="O99" i="220"/>
  <c r="Q99" i="220"/>
  <c r="T99" i="220"/>
  <c r="N99" i="220"/>
  <c r="AA124" i="220"/>
  <c r="L99" i="220"/>
  <c r="S99" i="220"/>
  <c r="V99" i="220"/>
  <c r="Z74" i="193"/>
  <c r="AA74" i="193" s="1"/>
  <c r="AF124" i="220"/>
  <c r="AH99" i="220"/>
  <c r="AG124" i="220"/>
  <c r="AI124" i="220"/>
  <c r="R99" i="220"/>
  <c r="AE124" i="220"/>
  <c r="AD124" i="220"/>
  <c r="AJ124" i="220"/>
  <c r="Z61" i="193"/>
  <c r="AA61" i="193" s="1"/>
  <c r="P94" i="204"/>
  <c r="P93" i="204" s="1"/>
  <c r="U94" i="204"/>
  <c r="U93" i="204" s="1"/>
  <c r="N94" i="204"/>
  <c r="N93" i="204" s="1"/>
  <c r="AJ94" i="204"/>
  <c r="AG94" i="204"/>
  <c r="R94" i="204"/>
  <c r="R93" i="204" s="1"/>
  <c r="V94" i="204"/>
  <c r="V93" i="204" s="1"/>
  <c r="AC94" i="204"/>
  <c r="A102" i="204"/>
  <c r="S94" i="204"/>
  <c r="S93" i="204" s="1"/>
  <c r="AA94" i="204"/>
  <c r="A106" i="204"/>
  <c r="L94" i="204"/>
  <c r="L93" i="204" s="1"/>
  <c r="Y94" i="204"/>
  <c r="AI94" i="204"/>
  <c r="T94" i="204"/>
  <c r="T93" i="204" s="1"/>
  <c r="AH94" i="204"/>
  <c r="AE94" i="204"/>
  <c r="Z94" i="204"/>
  <c r="M94" i="204"/>
  <c r="M93" i="204" s="1"/>
  <c r="O94" i="204"/>
  <c r="O93" i="204" s="1"/>
  <c r="AB94" i="204"/>
  <c r="AF94" i="204"/>
  <c r="AD94" i="204"/>
  <c r="K94" i="204"/>
  <c r="Q94" i="204"/>
  <c r="Q93" i="204" s="1"/>
  <c r="A98" i="204"/>
  <c r="A106" i="219"/>
  <c r="U94" i="219"/>
  <c r="U93" i="219" s="1"/>
  <c r="A119" i="219"/>
  <c r="AH94" i="219"/>
  <c r="L94" i="219"/>
  <c r="L93" i="219" s="1"/>
  <c r="AB94" i="219"/>
  <c r="K94" i="219"/>
  <c r="A114" i="219"/>
  <c r="Z94" i="219"/>
  <c r="Y94" i="219"/>
  <c r="A123" i="219"/>
  <c r="V94" i="219"/>
  <c r="V93" i="219" s="1"/>
  <c r="R94" i="219"/>
  <c r="R93" i="219" s="1"/>
  <c r="A98" i="219"/>
  <c r="Q94" i="219"/>
  <c r="Q93" i="219" s="1"/>
  <c r="AI94" i="219"/>
  <c r="M94" i="219"/>
  <c r="M93" i="219" s="1"/>
  <c r="T94" i="219"/>
  <c r="T93" i="219" s="1"/>
  <c r="A110" i="219"/>
  <c r="AJ94" i="219"/>
  <c r="A102" i="219"/>
  <c r="S94" i="219"/>
  <c r="S93" i="219" s="1"/>
  <c r="P94" i="219"/>
  <c r="P93" i="219" s="1"/>
  <c r="O94" i="219"/>
  <c r="O93" i="219" s="1"/>
  <c r="N94" i="219"/>
  <c r="N93" i="219" s="1"/>
  <c r="W76" i="193"/>
  <c r="F76" i="193"/>
  <c r="Y76" i="193"/>
  <c r="Q76" i="193"/>
  <c r="R76" i="193"/>
  <c r="P76" i="193"/>
  <c r="N76" i="193"/>
  <c r="X76" i="193"/>
  <c r="V76" i="193"/>
  <c r="O76" i="193"/>
  <c r="U76" i="193"/>
  <c r="A94" i="218"/>
  <c r="T76" i="193"/>
  <c r="S76" i="193"/>
  <c r="AG111" i="220"/>
  <c r="AK111" i="220" s="1"/>
  <c r="AA59" i="193"/>
  <c r="E120" i="220"/>
  <c r="F120" i="220" s="1"/>
  <c r="Y114" i="220"/>
  <c r="AJ114" i="220"/>
  <c r="AJ113" i="220" s="1"/>
  <c r="AH114" i="220"/>
  <c r="AG114" i="220"/>
  <c r="AF114" i="220"/>
  <c r="AF113" i="220" s="1"/>
  <c r="AB114" i="220"/>
  <c r="AB113" i="220" s="1"/>
  <c r="AE114" i="220"/>
  <c r="AE113" i="220" s="1"/>
  <c r="AD114" i="220"/>
  <c r="AD113" i="220" s="1"/>
  <c r="AC114" i="220"/>
  <c r="AC113" i="220" s="1"/>
  <c r="Z114" i="220"/>
  <c r="AI114" i="220"/>
  <c r="AI113" i="220" s="1"/>
  <c r="AA114" i="220"/>
  <c r="AA113" i="220" s="1"/>
  <c r="Z121" i="193"/>
  <c r="AG110" i="220"/>
  <c r="AE110" i="220"/>
  <c r="AE109" i="220" s="1"/>
  <c r="AJ110" i="220"/>
  <c r="AJ109" i="220" s="1"/>
  <c r="AI110" i="220"/>
  <c r="AI109" i="220" s="1"/>
  <c r="AF110" i="220"/>
  <c r="AF109" i="220" s="1"/>
  <c r="AD110" i="220"/>
  <c r="AD109" i="220" s="1"/>
  <c r="AB110" i="220"/>
  <c r="AB109" i="220" s="1"/>
  <c r="AC110" i="220"/>
  <c r="AC109" i="220" s="1"/>
  <c r="Z110" i="220"/>
  <c r="Z109" i="220" s="1"/>
  <c r="Y110" i="220"/>
  <c r="AA110" i="220"/>
  <c r="AA109" i="220" s="1"/>
  <c r="H115" i="220"/>
  <c r="I115" i="220" s="1"/>
  <c r="E124" i="220"/>
  <c r="H124" i="220"/>
  <c r="H95" i="204"/>
  <c r="AK95" i="204"/>
  <c r="E95" i="204"/>
  <c r="V103" i="204"/>
  <c r="P103" i="204"/>
  <c r="AI103" i="204"/>
  <c r="U103" i="204"/>
  <c r="T103" i="204"/>
  <c r="N103" i="204"/>
  <c r="S103" i="204"/>
  <c r="AD103" i="204"/>
  <c r="Q103" i="204"/>
  <c r="AC103" i="204"/>
  <c r="AG103" i="204"/>
  <c r="AJ103" i="204"/>
  <c r="L103" i="204"/>
  <c r="AB103" i="204"/>
  <c r="O103" i="204"/>
  <c r="M103" i="204"/>
  <c r="AF103" i="204"/>
  <c r="R103" i="204"/>
  <c r="AH103" i="204"/>
  <c r="Y103" i="204"/>
  <c r="AA103" i="204"/>
  <c r="K103" i="204"/>
  <c r="Z103" i="204"/>
  <c r="AE103" i="204"/>
  <c r="AD106" i="220"/>
  <c r="AD105" i="220" s="1"/>
  <c r="M106" i="220"/>
  <c r="M105" i="220" s="1"/>
  <c r="AC106" i="220"/>
  <c r="AC105" i="220" s="1"/>
  <c r="L106" i="220"/>
  <c r="L105" i="220" s="1"/>
  <c r="AA106" i="220"/>
  <c r="P106" i="220"/>
  <c r="AJ106" i="220"/>
  <c r="AJ105" i="220" s="1"/>
  <c r="O106" i="220"/>
  <c r="O105" i="220" s="1"/>
  <c r="AH106" i="220"/>
  <c r="AH105" i="220" s="1"/>
  <c r="N106" i="220"/>
  <c r="N105" i="220" s="1"/>
  <c r="AG106" i="220"/>
  <c r="AG105" i="220" s="1"/>
  <c r="K106" i="220"/>
  <c r="AF106" i="220"/>
  <c r="AF105" i="220" s="1"/>
  <c r="AE106" i="220"/>
  <c r="AE105" i="220" s="1"/>
  <c r="AB106" i="220"/>
  <c r="AB105" i="220" s="1"/>
  <c r="V106" i="220"/>
  <c r="V105" i="220" s="1"/>
  <c r="U106" i="220"/>
  <c r="U105" i="220" s="1"/>
  <c r="Q106" i="220"/>
  <c r="T106" i="220"/>
  <c r="T105" i="220" s="1"/>
  <c r="S106" i="220"/>
  <c r="S105" i="220" s="1"/>
  <c r="R106" i="220"/>
  <c r="R105" i="220" s="1"/>
  <c r="V99" i="204"/>
  <c r="S99" i="204"/>
  <c r="AI99" i="204"/>
  <c r="AC99" i="204"/>
  <c r="AG99" i="204"/>
  <c r="U99" i="204"/>
  <c r="P99" i="204"/>
  <c r="R99" i="204"/>
  <c r="AD99" i="204"/>
  <c r="O99" i="204"/>
  <c r="N99" i="204"/>
  <c r="Z99" i="204"/>
  <c r="Q99" i="204"/>
  <c r="Y99" i="204"/>
  <c r="AF99" i="204"/>
  <c r="T99" i="204"/>
  <c r="AJ99" i="204"/>
  <c r="M99" i="204"/>
  <c r="L99" i="204"/>
  <c r="AB99" i="204"/>
  <c r="AE99" i="204"/>
  <c r="K99" i="204"/>
  <c r="AA99" i="204"/>
  <c r="AH99" i="204"/>
  <c r="D94" i="220"/>
  <c r="F94" i="220" s="1"/>
  <c r="W94" i="220"/>
  <c r="K93" i="220"/>
  <c r="AW96" i="198"/>
  <c r="AX96" i="198" s="1"/>
  <c r="S96" i="198"/>
  <c r="AK94" i="220"/>
  <c r="AA93" i="220"/>
  <c r="AA95" i="218"/>
  <c r="Y95" i="218"/>
  <c r="AC95" i="218"/>
  <c r="A99" i="218"/>
  <c r="A103" i="218"/>
  <c r="AJ95" i="218"/>
  <c r="AI95" i="218"/>
  <c r="A107" i="218"/>
  <c r="Z95" i="218"/>
  <c r="AH95" i="218"/>
  <c r="AD95" i="218"/>
  <c r="AF95" i="218"/>
  <c r="AG95" i="218"/>
  <c r="AE95" i="218"/>
  <c r="AB95" i="218"/>
  <c r="N107" i="204"/>
  <c r="AA107" i="204"/>
  <c r="U107" i="204"/>
  <c r="Y107" i="204"/>
  <c r="AB107" i="204"/>
  <c r="Q107" i="204"/>
  <c r="K107" i="204"/>
  <c r="M107" i="204"/>
  <c r="V107" i="204"/>
  <c r="Z107" i="204"/>
  <c r="AJ107" i="204"/>
  <c r="AH107" i="204"/>
  <c r="L107" i="204"/>
  <c r="S107" i="204"/>
  <c r="AD107" i="204"/>
  <c r="AF107" i="204"/>
  <c r="T107" i="204"/>
  <c r="AI107" i="204"/>
  <c r="AG107" i="204"/>
  <c r="R107" i="204"/>
  <c r="AC107" i="204"/>
  <c r="AE107" i="204"/>
  <c r="P107" i="204"/>
  <c r="O107" i="204"/>
  <c r="W95" i="204"/>
  <c r="AH97" i="198"/>
  <c r="AI97" i="198" s="1"/>
  <c r="D95" i="204"/>
  <c r="G95" i="204"/>
  <c r="D97" i="198"/>
  <c r="E97" i="198" s="1"/>
  <c r="W107" i="220"/>
  <c r="G107" i="220"/>
  <c r="I107" i="220" s="1"/>
  <c r="D107" i="220"/>
  <c r="F107" i="220" s="1"/>
  <c r="AW109" i="198"/>
  <c r="AX109" i="198" s="1"/>
  <c r="S109" i="198"/>
  <c r="T109" i="198" s="1"/>
  <c r="T98" i="220"/>
  <c r="T97" i="220" s="1"/>
  <c r="AH98" i="220"/>
  <c r="AH97" i="220" s="1"/>
  <c r="Q98" i="220"/>
  <c r="Q97" i="220" s="1"/>
  <c r="AD98" i="220"/>
  <c r="AD97" i="220" s="1"/>
  <c r="K98" i="220"/>
  <c r="AB98" i="220"/>
  <c r="AB97" i="220" s="1"/>
  <c r="Z98" i="220"/>
  <c r="Z97" i="220" s="1"/>
  <c r="Y98" i="220"/>
  <c r="U98" i="220"/>
  <c r="U97" i="220" s="1"/>
  <c r="V98" i="220"/>
  <c r="V97" i="220" s="1"/>
  <c r="R98" i="220"/>
  <c r="R97" i="220" s="1"/>
  <c r="AJ98" i="220"/>
  <c r="AJ97" i="220" s="1"/>
  <c r="P98" i="220"/>
  <c r="P97" i="220" s="1"/>
  <c r="AE98" i="220"/>
  <c r="AE97" i="220" s="1"/>
  <c r="L98" i="220"/>
  <c r="L97" i="220" s="1"/>
  <c r="S98" i="220"/>
  <c r="S97" i="220" s="1"/>
  <c r="AI98" i="220"/>
  <c r="AI97" i="220" s="1"/>
  <c r="AF98" i="220"/>
  <c r="AF97" i="220" s="1"/>
  <c r="O98" i="220"/>
  <c r="O97" i="220" s="1"/>
  <c r="AG98" i="220"/>
  <c r="N98" i="220"/>
  <c r="N97" i="220" s="1"/>
  <c r="M98" i="220"/>
  <c r="M97" i="220" s="1"/>
  <c r="G103" i="220"/>
  <c r="I103" i="220" s="1"/>
  <c r="W103" i="220"/>
  <c r="D103" i="220"/>
  <c r="F103" i="220" s="1"/>
  <c r="AW105" i="198"/>
  <c r="AX105" i="198" s="1"/>
  <c r="S105" i="198"/>
  <c r="T105" i="198" s="1"/>
  <c r="AG123" i="220"/>
  <c r="AF123" i="220"/>
  <c r="AD123" i="220"/>
  <c r="AD122" i="220" s="1"/>
  <c r="AJ123" i="220"/>
  <c r="AJ122" i="220" s="1"/>
  <c r="AI123" i="220"/>
  <c r="AI122" i="220" s="1"/>
  <c r="AE123" i="220"/>
  <c r="AE122" i="220" s="1"/>
  <c r="AC123" i="220"/>
  <c r="AC122" i="220" s="1"/>
  <c r="Y123" i="220"/>
  <c r="AA123" i="220"/>
  <c r="AA122" i="220" s="1"/>
  <c r="Z123" i="220"/>
  <c r="Z122" i="220" s="1"/>
  <c r="AH123" i="220"/>
  <c r="AH122" i="220" s="1"/>
  <c r="AB123" i="220"/>
  <c r="AB122" i="220" s="1"/>
  <c r="X99" i="198"/>
  <c r="Y99" i="198" s="1"/>
  <c r="BB99" i="198"/>
  <c r="BC99" i="198" s="1"/>
  <c r="G97" i="221"/>
  <c r="I97" i="221" s="1"/>
  <c r="D97" i="221"/>
  <c r="F97" i="221" s="1"/>
  <c r="W97" i="221"/>
  <c r="K92" i="221"/>
  <c r="AG119" i="220"/>
  <c r="AG118" i="220" s="1"/>
  <c r="AF119" i="220"/>
  <c r="AF118" i="220" s="1"/>
  <c r="AD119" i="220"/>
  <c r="AD118" i="220" s="1"/>
  <c r="AJ119" i="220"/>
  <c r="AJ118" i="220" s="1"/>
  <c r="AE119" i="220"/>
  <c r="AE118" i="220" s="1"/>
  <c r="AI119" i="220"/>
  <c r="AI118" i="220" s="1"/>
  <c r="AH119" i="220"/>
  <c r="AH118" i="220" s="1"/>
  <c r="AB119" i="220"/>
  <c r="AB118" i="220" s="1"/>
  <c r="AA119" i="220"/>
  <c r="AA118" i="220" s="1"/>
  <c r="AC119" i="220"/>
  <c r="AC118" i="220" s="1"/>
  <c r="Z119" i="220"/>
  <c r="Z118" i="220" s="1"/>
  <c r="Y119" i="220"/>
  <c r="G95" i="219"/>
  <c r="D95" i="219"/>
  <c r="W95" i="219"/>
  <c r="N97" i="198"/>
  <c r="O97" i="198" s="1"/>
  <c r="AR97" i="198"/>
  <c r="AS97" i="198" s="1"/>
  <c r="P103" i="219"/>
  <c r="O103" i="219"/>
  <c r="N103" i="219"/>
  <c r="M103" i="219"/>
  <c r="L103" i="219"/>
  <c r="K103" i="219"/>
  <c r="V103" i="219"/>
  <c r="U103" i="219"/>
  <c r="Q103" i="219"/>
  <c r="AB103" i="219"/>
  <c r="AK103" i="219" s="1"/>
  <c r="T103" i="219"/>
  <c r="S103" i="219"/>
  <c r="R103" i="219"/>
  <c r="AI115" i="219"/>
  <c r="AF115" i="219"/>
  <c r="AA115" i="219"/>
  <c r="Z115" i="219"/>
  <c r="Y115" i="219"/>
  <c r="AH115" i="219"/>
  <c r="AG115" i="219"/>
  <c r="AB115" i="219"/>
  <c r="AJ115" i="219"/>
  <c r="AE115" i="219"/>
  <c r="AD115" i="219"/>
  <c r="AC115" i="219"/>
  <c r="Q102" i="220"/>
  <c r="Q101" i="220" s="1"/>
  <c r="AF102" i="220"/>
  <c r="AF101" i="220" s="1"/>
  <c r="N102" i="220"/>
  <c r="N101" i="220" s="1"/>
  <c r="V102" i="220"/>
  <c r="V101" i="220" s="1"/>
  <c r="U102" i="220"/>
  <c r="U101" i="220" s="1"/>
  <c r="T102" i="220"/>
  <c r="T101" i="220" s="1"/>
  <c r="S102" i="220"/>
  <c r="S101" i="220" s="1"/>
  <c r="R102" i="220"/>
  <c r="R101" i="220" s="1"/>
  <c r="O102" i="220"/>
  <c r="O101" i="220" s="1"/>
  <c r="P102" i="220"/>
  <c r="P101" i="220" s="1"/>
  <c r="L102" i="220"/>
  <c r="L101" i="220" s="1"/>
  <c r="AE102" i="220"/>
  <c r="AE101" i="220" s="1"/>
  <c r="K102" i="220"/>
  <c r="AH102" i="220"/>
  <c r="AH101" i="220" s="1"/>
  <c r="AD102" i="220"/>
  <c r="AD101" i="220" s="1"/>
  <c r="AB102" i="220"/>
  <c r="AB101" i="220" s="1"/>
  <c r="Y102" i="220"/>
  <c r="M102" i="220"/>
  <c r="M101" i="220" s="1"/>
  <c r="Z120" i="219"/>
  <c r="AJ120" i="219"/>
  <c r="AG120" i="219"/>
  <c r="AD120" i="219"/>
  <c r="Y120" i="219"/>
  <c r="AI120" i="219"/>
  <c r="AH120" i="219"/>
  <c r="AC120" i="219"/>
  <c r="AB120" i="219"/>
  <c r="AA120" i="219"/>
  <c r="AG99" i="220"/>
  <c r="AK99" i="220" s="1"/>
  <c r="H99" i="220"/>
  <c r="E99" i="220"/>
  <c r="AH111" i="219"/>
  <c r="AJ111" i="219"/>
  <c r="AI111" i="219"/>
  <c r="AG111" i="219"/>
  <c r="AD111" i="219"/>
  <c r="AC111" i="219"/>
  <c r="Y111" i="219"/>
  <c r="AF111" i="219"/>
  <c r="AE111" i="219"/>
  <c r="AB111" i="219"/>
  <c r="AA111" i="219"/>
  <c r="Z111" i="219"/>
  <c r="Q107" i="219"/>
  <c r="N107" i="219"/>
  <c r="AB107" i="219"/>
  <c r="K107" i="219"/>
  <c r="AA107" i="219"/>
  <c r="Z107" i="219"/>
  <c r="Y107" i="219"/>
  <c r="V107" i="219"/>
  <c r="S107" i="219"/>
  <c r="R107" i="219"/>
  <c r="L107" i="219"/>
  <c r="T107" i="219"/>
  <c r="P107" i="219"/>
  <c r="O107" i="219"/>
  <c r="U107" i="219"/>
  <c r="M107" i="219"/>
  <c r="R99" i="219"/>
  <c r="AI99" i="219"/>
  <c r="M99" i="219"/>
  <c r="AD99" i="219"/>
  <c r="L99" i="219"/>
  <c r="AB99" i="219"/>
  <c r="K99" i="219"/>
  <c r="AA99" i="219"/>
  <c r="Y99" i="219"/>
  <c r="T99" i="219"/>
  <c r="S99" i="219"/>
  <c r="N99" i="219"/>
  <c r="U99" i="219"/>
  <c r="V99" i="219"/>
  <c r="Q99" i="219"/>
  <c r="P99" i="219"/>
  <c r="O99" i="219"/>
  <c r="G99" i="220"/>
  <c r="W99" i="220"/>
  <c r="D99" i="220"/>
  <c r="AW101" i="198"/>
  <c r="AX101" i="198" s="1"/>
  <c r="S101" i="198"/>
  <c r="AB124" i="219"/>
  <c r="AA124" i="219"/>
  <c r="Z124" i="219"/>
  <c r="Y124" i="219"/>
  <c r="E95" i="219"/>
  <c r="AK95" i="219"/>
  <c r="H95" i="219"/>
  <c r="N8" i="220"/>
  <c r="W8" i="220" s="1"/>
  <c r="T71" i="177"/>
  <c r="T73" i="177" s="1"/>
  <c r="E83" i="243" s="1"/>
  <c r="E101" i="243" s="1"/>
  <c r="E113" i="243" s="1"/>
  <c r="H12" i="231"/>
  <c r="AL316" i="217"/>
  <c r="AL281" i="217"/>
  <c r="AL317" i="217"/>
  <c r="AM105" i="217"/>
  <c r="S19" i="220"/>
  <c r="M21" i="231" s="1"/>
  <c r="M21" i="230" s="1"/>
  <c r="AM175" i="217"/>
  <c r="AM140" i="217"/>
  <c r="AL229" i="217"/>
  <c r="AL54" i="217"/>
  <c r="AL124" i="217"/>
  <c r="AL89" i="217"/>
  <c r="AM20" i="217"/>
  <c r="AN20" i="217" s="1"/>
  <c r="AM245" i="217"/>
  <c r="AN36" i="217"/>
  <c r="AN105" i="217" s="1"/>
  <c r="AN35" i="217"/>
  <c r="AN104" i="217" s="1"/>
  <c r="AM139" i="217"/>
  <c r="AM69" i="217"/>
  <c r="AM174" i="217"/>
  <c r="AM244" i="217"/>
  <c r="V19" i="220"/>
  <c r="P21" i="231" s="1"/>
  <c r="P21" i="230" s="1"/>
  <c r="O48" i="231"/>
  <c r="B45" i="231"/>
  <c r="H44" i="231"/>
  <c r="I44" i="231"/>
  <c r="P48" i="231"/>
  <c r="O44" i="231"/>
  <c r="N60" i="177"/>
  <c r="N8" i="177"/>
  <c r="M35" i="177"/>
  <c r="M45" i="177"/>
  <c r="M58" i="177" s="1"/>
  <c r="L58" i="177"/>
  <c r="L69" i="177" s="1"/>
  <c r="L56" i="177"/>
  <c r="L38" i="177"/>
  <c r="Y18" i="159" s="1"/>
  <c r="L40" i="177"/>
  <c r="L43" i="177" s="1"/>
  <c r="M51" i="177"/>
  <c r="M64" i="177" s="1"/>
  <c r="M68" i="177" s="1"/>
  <c r="N11" i="177"/>
  <c r="N54" i="177"/>
  <c r="N67" i="177" s="1"/>
  <c r="N50" i="177"/>
  <c r="N63" i="177" s="1"/>
  <c r="N53" i="177"/>
  <c r="N66" i="177" s="1"/>
  <c r="N49" i="177"/>
  <c r="N62" i="177" s="1"/>
  <c r="N52" i="177"/>
  <c r="N65" i="177" s="1"/>
  <c r="H12" i="230"/>
  <c r="J24" i="177"/>
  <c r="K23" i="177"/>
  <c r="P17" i="220"/>
  <c r="P15" i="220"/>
  <c r="P16" i="220"/>
  <c r="J14" i="230"/>
  <c r="J12" i="230" s="1"/>
  <c r="J12" i="231"/>
  <c r="AF73" i="177"/>
  <c r="F83" i="243" s="1"/>
  <c r="F101" i="243" s="1"/>
  <c r="F113" i="243" s="1"/>
  <c r="E35" i="174"/>
  <c r="F35" i="174"/>
  <c r="A36" i="174"/>
  <c r="E118" i="174"/>
  <c r="AB54" i="159"/>
  <c r="AB69" i="159" s="1"/>
  <c r="L24" i="232"/>
  <c r="L24" i="230" s="1"/>
  <c r="AD54" i="159"/>
  <c r="AD69" i="159" s="1"/>
  <c r="N24" i="232"/>
  <c r="N24" i="230" s="1"/>
  <c r="AA54" i="159"/>
  <c r="AA69" i="159" s="1"/>
  <c r="K24" i="232"/>
  <c r="AF54" i="159"/>
  <c r="AF69" i="159" s="1"/>
  <c r="P24" i="232"/>
  <c r="P24" i="230" s="1"/>
  <c r="AE54" i="159"/>
  <c r="AE69" i="159" s="1"/>
  <c r="O24" i="232"/>
  <c r="O24" i="230" s="1"/>
  <c r="AK265" i="217"/>
  <c r="AK301" i="217"/>
  <c r="P44" i="231"/>
  <c r="O31" i="231"/>
  <c r="N48" i="231"/>
  <c r="U66" i="248"/>
  <c r="M31" i="231"/>
  <c r="G48" i="231"/>
  <c r="L48" i="231"/>
  <c r="AW304" i="217"/>
  <c r="AX304" i="217" s="1"/>
  <c r="AI327" i="217"/>
  <c r="D70" i="246"/>
  <c r="E24" i="246"/>
  <c r="E27" i="246"/>
  <c r="H21" i="246"/>
  <c r="E23" i="246"/>
  <c r="E25" i="246"/>
  <c r="E26" i="246"/>
  <c r="L31" i="231"/>
  <c r="M48" i="231"/>
  <c r="I48" i="231"/>
  <c r="M44" i="231"/>
  <c r="L44" i="231"/>
  <c r="E44" i="231"/>
  <c r="Q32" i="231"/>
  <c r="Q35" i="231"/>
  <c r="O66" i="240"/>
  <c r="AL92" i="217"/>
  <c r="AL115" i="217" s="1"/>
  <c r="AL232" i="217"/>
  <c r="AL256" i="217" s="1"/>
  <c r="AL162" i="217"/>
  <c r="AL185" i="217" s="1"/>
  <c r="AL45" i="217"/>
  <c r="AM23" i="217"/>
  <c r="AL127" i="217"/>
  <c r="AL149" i="217" s="1"/>
  <c r="AL57" i="217"/>
  <c r="AK268" i="217"/>
  <c r="AK292" i="217" s="1"/>
  <c r="AK79" i="217"/>
  <c r="AK304" i="217"/>
  <c r="AK327" i="217" s="1"/>
  <c r="AL310" i="217"/>
  <c r="AB326" i="217"/>
  <c r="J23" i="231" s="1"/>
  <c r="Y327" i="217"/>
  <c r="G23" i="232" s="1"/>
  <c r="Z327" i="217"/>
  <c r="AD327" i="217"/>
  <c r="L23" i="232" s="1"/>
  <c r="AC327" i="217"/>
  <c r="K23" i="232" s="1"/>
  <c r="X327" i="217"/>
  <c r="F23" i="232" s="1"/>
  <c r="AB327" i="217"/>
  <c r="J23" i="232" s="1"/>
  <c r="W327" i="217"/>
  <c r="E23" i="232" s="1"/>
  <c r="X326" i="217"/>
  <c r="F23" i="231" s="1"/>
  <c r="AA327" i="217"/>
  <c r="I23" i="232" s="1"/>
  <c r="W326" i="217"/>
  <c r="E23" i="231" s="1"/>
  <c r="AC292" i="217"/>
  <c r="Q39" i="219" s="1"/>
  <c r="Q38" i="219" s="1"/>
  <c r="X292" i="217"/>
  <c r="L39" i="219" s="1"/>
  <c r="AB292" i="217"/>
  <c r="P39" i="219" s="1"/>
  <c r="P38" i="219" s="1"/>
  <c r="Y292" i="217"/>
  <c r="M39" i="219" s="1"/>
  <c r="M38" i="219" s="1"/>
  <c r="AD292" i="217"/>
  <c r="R39" i="219" s="1"/>
  <c r="R38" i="219" s="1"/>
  <c r="Z292" i="217"/>
  <c r="N39" i="219" s="1"/>
  <c r="N38" i="219" s="1"/>
  <c r="X291" i="217"/>
  <c r="L39" i="220" s="1"/>
  <c r="L38" i="220" s="1"/>
  <c r="W291" i="217"/>
  <c r="K39" i="220" s="1"/>
  <c r="W292" i="217"/>
  <c r="K39" i="219" s="1"/>
  <c r="AA292" i="217"/>
  <c r="O39" i="219" s="1"/>
  <c r="O38" i="219" s="1"/>
  <c r="E31" i="231"/>
  <c r="K79" i="240"/>
  <c r="H34" i="233"/>
  <c r="Q34" i="233" s="1"/>
  <c r="H35" i="233"/>
  <c r="Q35" i="233" s="1"/>
  <c r="H36" i="233"/>
  <c r="Q36" i="233" s="1"/>
  <c r="H40" i="233"/>
  <c r="Q40" i="233" s="1"/>
  <c r="H47" i="233"/>
  <c r="Q47" i="233" s="1"/>
  <c r="H49" i="233"/>
  <c r="Q49" i="233" s="1"/>
  <c r="H41" i="233"/>
  <c r="Q41" i="233" s="1"/>
  <c r="H45" i="233"/>
  <c r="Q45" i="233" s="1"/>
  <c r="H50" i="233"/>
  <c r="Q50" i="233" s="1"/>
  <c r="H33" i="233"/>
  <c r="Q33" i="233" s="1"/>
  <c r="H39" i="233"/>
  <c r="Q39" i="233" s="1"/>
  <c r="H46" i="233"/>
  <c r="Q46" i="233" s="1"/>
  <c r="H51" i="233"/>
  <c r="Q51" i="233" s="1"/>
  <c r="H32" i="233"/>
  <c r="B51" i="233"/>
  <c r="E48" i="233"/>
  <c r="C51" i="233"/>
  <c r="F31" i="233"/>
  <c r="F44" i="233"/>
  <c r="F48" i="233"/>
  <c r="B40" i="231"/>
  <c r="Q40" i="231"/>
  <c r="C40" i="231"/>
  <c r="B49" i="231"/>
  <c r="Q49" i="231"/>
  <c r="E48" i="231"/>
  <c r="C49" i="231"/>
  <c r="Q47" i="231"/>
  <c r="B47" i="231"/>
  <c r="C47" i="231"/>
  <c r="B46" i="231"/>
  <c r="C46" i="231"/>
  <c r="Q46" i="231"/>
  <c r="C33" i="231"/>
  <c r="B33" i="231"/>
  <c r="Q33" i="231"/>
  <c r="C34" i="231"/>
  <c r="B34" i="231"/>
  <c r="Q34" i="231"/>
  <c r="Q41" i="231"/>
  <c r="B41" i="231"/>
  <c r="C41" i="231"/>
  <c r="B51" i="231"/>
  <c r="Q51" i="231"/>
  <c r="C51" i="231"/>
  <c r="B50" i="231"/>
  <c r="C50" i="231"/>
  <c r="Q50" i="231"/>
  <c r="B39" i="231"/>
  <c r="C39" i="231"/>
  <c r="C36" i="231"/>
  <c r="B36" i="231"/>
  <c r="Q36" i="231"/>
  <c r="H31" i="231"/>
  <c r="P31" i="231"/>
  <c r="J31" i="231"/>
  <c r="F48" i="231"/>
  <c r="K48" i="231"/>
  <c r="J44" i="231"/>
  <c r="K31" i="231"/>
  <c r="I31" i="231"/>
  <c r="G31" i="231"/>
  <c r="N31" i="231"/>
  <c r="F31" i="231"/>
  <c r="H48" i="231"/>
  <c r="K44" i="231"/>
  <c r="G44" i="231"/>
  <c r="F44" i="231"/>
  <c r="Q45" i="231"/>
  <c r="AK311" i="217"/>
  <c r="AK275" i="217"/>
  <c r="AL99" i="217"/>
  <c r="AM30" i="217"/>
  <c r="AL134" i="217"/>
  <c r="AL64" i="217"/>
  <c r="AL239" i="217"/>
  <c r="AL169" i="217"/>
  <c r="AB291" i="217"/>
  <c r="P39" i="220" s="1"/>
  <c r="AB293" i="217"/>
  <c r="AF291" i="217"/>
  <c r="T39" i="220" s="1"/>
  <c r="AF293" i="217"/>
  <c r="AF326" i="217"/>
  <c r="N23" i="231" s="1"/>
  <c r="AF329" i="217"/>
  <c r="AG291" i="217"/>
  <c r="U39" i="220" s="1"/>
  <c r="AG293" i="217"/>
  <c r="AG329" i="217"/>
  <c r="AG326" i="217"/>
  <c r="O23" i="231" s="1"/>
  <c r="AI150" i="217"/>
  <c r="AI151" i="217"/>
  <c r="AI116" i="217"/>
  <c r="AI114" i="217"/>
  <c r="N42" i="198"/>
  <c r="AR42" i="198"/>
  <c r="G40" i="219"/>
  <c r="I40" i="219" s="1"/>
  <c r="D40" i="219"/>
  <c r="F40" i="219" s="1"/>
  <c r="W40" i="219"/>
  <c r="AI255" i="217"/>
  <c r="AI257" i="217"/>
  <c r="W40" i="220"/>
  <c r="G40" i="220"/>
  <c r="I40" i="220" s="1"/>
  <c r="D40" i="220"/>
  <c r="F40" i="220" s="1"/>
  <c r="AW42" i="198"/>
  <c r="S42" i="198"/>
  <c r="AI305" i="217"/>
  <c r="Y329" i="217"/>
  <c r="Y326" i="217"/>
  <c r="G23" i="231" s="1"/>
  <c r="Y291" i="217"/>
  <c r="M39" i="220" s="1"/>
  <c r="Y293" i="217"/>
  <c r="AI269" i="217"/>
  <c r="AI80" i="217"/>
  <c r="AI81" i="217"/>
  <c r="AC329" i="217"/>
  <c r="AC326" i="217"/>
  <c r="K23" i="231" s="1"/>
  <c r="AC291" i="217"/>
  <c r="Q39" i="220" s="1"/>
  <c r="AC293" i="217"/>
  <c r="AA291" i="217"/>
  <c r="O39" i="220" s="1"/>
  <c r="AA293" i="217"/>
  <c r="AA326" i="217"/>
  <c r="I23" i="231" s="1"/>
  <c r="AA329" i="217"/>
  <c r="AD326" i="217"/>
  <c r="L23" i="231" s="1"/>
  <c r="AD329" i="217"/>
  <c r="AD291" i="217"/>
  <c r="R39" i="220" s="1"/>
  <c r="AD293" i="217"/>
  <c r="AE329" i="217"/>
  <c r="AE326" i="217"/>
  <c r="M23" i="231" s="1"/>
  <c r="AE293" i="217"/>
  <c r="AE291" i="217"/>
  <c r="S39" i="220" s="1"/>
  <c r="AH291" i="217"/>
  <c r="V39" i="220" s="1"/>
  <c r="AH293" i="217"/>
  <c r="AH329" i="217"/>
  <c r="AH326" i="217"/>
  <c r="P23" i="231" s="1"/>
  <c r="AJ150" i="217"/>
  <c r="AJ151" i="217"/>
  <c r="AK93" i="217"/>
  <c r="AK233" i="217"/>
  <c r="AK163" i="217"/>
  <c r="AK128" i="217"/>
  <c r="AK58" i="217"/>
  <c r="AK46" i="217"/>
  <c r="AK44" i="217"/>
  <c r="AL24" i="217"/>
  <c r="AJ255" i="217"/>
  <c r="AJ257" i="217"/>
  <c r="AJ116" i="217"/>
  <c r="AJ114" i="217"/>
  <c r="AJ186" i="217"/>
  <c r="AJ184" i="217"/>
  <c r="AJ305" i="217"/>
  <c r="AJ269" i="217"/>
  <c r="AJ80" i="217"/>
  <c r="AJ81" i="217"/>
  <c r="Z329" i="217"/>
  <c r="Z326" i="217"/>
  <c r="H23" i="231" s="1"/>
  <c r="Z291" i="217"/>
  <c r="N39" i="220" s="1"/>
  <c r="Z293" i="217"/>
  <c r="AR25" i="198"/>
  <c r="AS25" i="198" s="1"/>
  <c r="D23" i="219"/>
  <c r="F23" i="219" s="1"/>
  <c r="G23" i="219"/>
  <c r="I23" i="219" s="1"/>
  <c r="W23" i="219"/>
  <c r="N25" i="198"/>
  <c r="O25" i="198" s="1"/>
  <c r="G23" i="220"/>
  <c r="I23" i="220" s="1"/>
  <c r="D23" i="220"/>
  <c r="F23" i="220" s="1"/>
  <c r="W23" i="220"/>
  <c r="AW25" i="198"/>
  <c r="AX25" i="198" s="1"/>
  <c r="S25" i="198"/>
  <c r="T25" i="198" s="1"/>
  <c r="T38" i="219"/>
  <c r="U38" i="219"/>
  <c r="S38" i="219"/>
  <c r="AM318" i="217"/>
  <c r="AM315" i="217"/>
  <c r="AM314" i="217"/>
  <c r="AM308" i="217"/>
  <c r="AN71" i="217"/>
  <c r="AN176" i="217"/>
  <c r="AO37" i="217"/>
  <c r="AN106" i="217"/>
  <c r="AN141" i="217"/>
  <c r="AN246" i="217"/>
  <c r="AM282" i="217"/>
  <c r="AN138" i="217"/>
  <c r="AN173" i="217"/>
  <c r="AO34" i="217"/>
  <c r="AN68" i="217"/>
  <c r="AN243" i="217"/>
  <c r="AN103" i="217"/>
  <c r="AN67" i="217"/>
  <c r="AN242" i="217"/>
  <c r="AN102" i="217"/>
  <c r="AN172" i="217"/>
  <c r="AO33" i="217"/>
  <c r="AN137" i="217"/>
  <c r="AM278" i="217"/>
  <c r="AN65" i="217"/>
  <c r="AN100" i="217"/>
  <c r="AN135" i="217"/>
  <c r="AN170" i="217"/>
  <c r="AN240" i="217"/>
  <c r="AO31" i="217"/>
  <c r="AN237" i="217"/>
  <c r="AO28" i="217"/>
  <c r="AN62" i="217"/>
  <c r="AN167" i="217"/>
  <c r="AN97" i="217"/>
  <c r="AN132" i="217"/>
  <c r="AM272" i="217"/>
  <c r="AN96" i="217"/>
  <c r="AN236" i="217"/>
  <c r="AN131" i="217"/>
  <c r="AN166" i="217"/>
  <c r="AO27" i="217"/>
  <c r="AN61" i="217"/>
  <c r="AM271" i="217"/>
  <c r="AN60" i="217"/>
  <c r="AN307" i="217" s="1"/>
  <c r="AO26" i="217"/>
  <c r="AM279" i="217"/>
  <c r="AM276" i="217"/>
  <c r="AM273" i="217"/>
  <c r="AM312" i="217"/>
  <c r="AM309" i="217"/>
  <c r="AL306" i="217"/>
  <c r="AL302" i="217"/>
  <c r="AN299" i="217"/>
  <c r="AN25" i="217"/>
  <c r="AM164" i="217"/>
  <c r="AM94" i="217"/>
  <c r="AM129" i="217"/>
  <c r="AM59" i="217"/>
  <c r="AM234" i="217"/>
  <c r="AL270" i="217"/>
  <c r="AN21" i="217"/>
  <c r="AM55" i="217"/>
  <c r="AM90" i="217"/>
  <c r="AM230" i="217"/>
  <c r="AM160" i="217"/>
  <c r="AM125" i="217"/>
  <c r="AL266" i="217"/>
  <c r="AN19" i="217"/>
  <c r="AM53" i="217"/>
  <c r="AM228" i="217"/>
  <c r="AM88" i="217"/>
  <c r="AM123" i="217"/>
  <c r="AM158" i="217"/>
  <c r="AP18" i="217"/>
  <c r="AO87" i="217"/>
  <c r="AO52" i="217"/>
  <c r="AO122" i="217"/>
  <c r="AO227" i="217"/>
  <c r="AN263" i="217"/>
  <c r="AP17" i="217"/>
  <c r="AO298" i="217"/>
  <c r="AL303" i="217"/>
  <c r="AL264" i="217"/>
  <c r="AL300" i="217"/>
  <c r="AN22" i="217"/>
  <c r="AM91" i="217"/>
  <c r="AM126" i="217"/>
  <c r="AM161" i="217"/>
  <c r="AM56" i="217"/>
  <c r="AM231" i="217"/>
  <c r="AL267" i="217"/>
  <c r="AN32" i="217"/>
  <c r="AM313" i="217"/>
  <c r="W23" i="218"/>
  <c r="C19" i="246"/>
  <c r="C18" i="246"/>
  <c r="C17" i="246"/>
  <c r="M64" i="248" s="1"/>
  <c r="F39" i="231"/>
  <c r="I29" i="177"/>
  <c r="C21" i="230"/>
  <c r="B21" i="230"/>
  <c r="E141" i="243" l="1"/>
  <c r="F141" i="243"/>
  <c r="AF22" i="177"/>
  <c r="J52" i="231"/>
  <c r="N52" i="231"/>
  <c r="BG55" i="250"/>
  <c r="BG56" i="250" s="1"/>
  <c r="AM319" i="217"/>
  <c r="AM283" i="217"/>
  <c r="BD76" i="250"/>
  <c r="BD77" i="250"/>
  <c r="BD78" i="250" s="1"/>
  <c r="BH60" i="250"/>
  <c r="BJ10" i="250" a="1"/>
  <c r="BJ10" i="250" s="1"/>
  <c r="BJ47" i="250" s="1"/>
  <c r="BI53" i="250"/>
  <c r="BI66" i="250" s="1"/>
  <c r="BI52" i="250"/>
  <c r="BI65" i="250" s="1"/>
  <c r="BI54" i="250"/>
  <c r="BI67" i="250" s="1"/>
  <c r="BI49" i="250"/>
  <c r="BI62" i="250" s="1"/>
  <c r="BI50" i="250"/>
  <c r="BI63" i="250" s="1"/>
  <c r="BJ8" i="250"/>
  <c r="BI35" i="250"/>
  <c r="BI45" i="250"/>
  <c r="BH38" i="250"/>
  <c r="BH40" i="250"/>
  <c r="BH43" i="250" s="1"/>
  <c r="BH23" i="250"/>
  <c r="BG24" i="250"/>
  <c r="BG28" i="250"/>
  <c r="BG29" i="250" s="1"/>
  <c r="BG32" i="250"/>
  <c r="BG33" i="250" s="1"/>
  <c r="BG30" i="250"/>
  <c r="BG31" i="250" s="1"/>
  <c r="BG26" i="250"/>
  <c r="BG27" i="250" s="1"/>
  <c r="BI47" i="250"/>
  <c r="AN247" i="217"/>
  <c r="BI11" i="250"/>
  <c r="BH51" i="250"/>
  <c r="BH64" i="250" s="1"/>
  <c r="AN177" i="217"/>
  <c r="AN72" i="217"/>
  <c r="BG68" i="250"/>
  <c r="BG69" i="250" s="1"/>
  <c r="AN142" i="217"/>
  <c r="AO38" i="217"/>
  <c r="AO107" i="217" s="1"/>
  <c r="AN47" i="177"/>
  <c r="AN53" i="177"/>
  <c r="AN66" i="177" s="1"/>
  <c r="AN50" i="177"/>
  <c r="AN63" i="177" s="1"/>
  <c r="AN54" i="177"/>
  <c r="AN67" i="177" s="1"/>
  <c r="AO10" i="177" a="1"/>
  <c r="AO10" i="177" s="1"/>
  <c r="AO47" i="177" s="1"/>
  <c r="AN49" i="177"/>
  <c r="AN62" i="177" s="1"/>
  <c r="AN52" i="177"/>
  <c r="AN65" i="177" s="1"/>
  <c r="AN69" i="217"/>
  <c r="AN139" i="217"/>
  <c r="AO35" i="217"/>
  <c r="AO69" i="217" s="1"/>
  <c r="AN244" i="217"/>
  <c r="AN174" i="217"/>
  <c r="P105" i="220"/>
  <c r="P123" i="220" s="1"/>
  <c r="AM320" i="217"/>
  <c r="AO39" i="217"/>
  <c r="AN248" i="217"/>
  <c r="AN108" i="217"/>
  <c r="AN73" i="217"/>
  <c r="AN143" i="217"/>
  <c r="AN178" i="217"/>
  <c r="AN321" i="217"/>
  <c r="AP40" i="217"/>
  <c r="AO74" i="217"/>
  <c r="AO144" i="217"/>
  <c r="AO179" i="217"/>
  <c r="AO249" i="217"/>
  <c r="N12" i="220"/>
  <c r="N17" i="220" s="1"/>
  <c r="AN175" i="217"/>
  <c r="AN76" i="193"/>
  <c r="AF122" i="220"/>
  <c r="AG122" i="220"/>
  <c r="Q105" i="220"/>
  <c r="Q123" i="220" s="1"/>
  <c r="AH113" i="220"/>
  <c r="AH92" i="220" s="1"/>
  <c r="AH153" i="220" s="1"/>
  <c r="AH185" i="220" s="1"/>
  <c r="AH201" i="220" s="1"/>
  <c r="AH207" i="220" s="1"/>
  <c r="AG115" i="220"/>
  <c r="AK115" i="220" s="1"/>
  <c r="Z113" i="220"/>
  <c r="AK120" i="220"/>
  <c r="AM281" i="217"/>
  <c r="B38" i="172"/>
  <c r="I95" i="204"/>
  <c r="F95" i="204"/>
  <c r="Z141" i="193"/>
  <c r="AG109" i="220"/>
  <c r="AK124" i="220"/>
  <c r="L123" i="220"/>
  <c r="R123" i="220"/>
  <c r="F99" i="220"/>
  <c r="O123" i="220"/>
  <c r="AE92" i="220"/>
  <c r="AE153" i="220" s="1"/>
  <c r="AE185" i="220" s="1"/>
  <c r="AE201" i="220" s="1"/>
  <c r="AE207" i="220" s="1"/>
  <c r="I99" i="220"/>
  <c r="G99" i="219"/>
  <c r="W99" i="219"/>
  <c r="D99" i="219"/>
  <c r="N101" i="198"/>
  <c r="O101" i="198" s="1"/>
  <c r="AR101" i="198"/>
  <c r="AS101" i="198" s="1"/>
  <c r="H99" i="219"/>
  <c r="AK99" i="219"/>
  <c r="E99" i="219"/>
  <c r="AK111" i="219"/>
  <c r="H111" i="219"/>
  <c r="I111" i="219" s="1"/>
  <c r="E111" i="219"/>
  <c r="F111" i="219" s="1"/>
  <c r="AK124" i="219"/>
  <c r="H124" i="219"/>
  <c r="E124" i="219"/>
  <c r="G107" i="219"/>
  <c r="W107" i="219"/>
  <c r="D107" i="219"/>
  <c r="N109" i="198"/>
  <c r="O109" i="198" s="1"/>
  <c r="AR109" i="198"/>
  <c r="AS109" i="198" s="1"/>
  <c r="M123" i="220"/>
  <c r="M124" i="220"/>
  <c r="AK102" i="220"/>
  <c r="Y101" i="220"/>
  <c r="E102" i="220"/>
  <c r="H102" i="220"/>
  <c r="N123" i="220"/>
  <c r="N124" i="220"/>
  <c r="D103" i="219"/>
  <c r="F103" i="219" s="1"/>
  <c r="G103" i="219"/>
  <c r="I103" i="219" s="1"/>
  <c r="W103" i="219"/>
  <c r="AR105" i="198"/>
  <c r="AS105" i="198" s="1"/>
  <c r="N105" i="198"/>
  <c r="O105" i="198" s="1"/>
  <c r="H115" i="219"/>
  <c r="I115" i="219" s="1"/>
  <c r="AK115" i="219"/>
  <c r="E115" i="219"/>
  <c r="F115" i="219" s="1"/>
  <c r="AF92" i="220"/>
  <c r="AF153" i="220" s="1"/>
  <c r="AF185" i="220" s="1"/>
  <c r="AF201" i="220" s="1"/>
  <c r="AF207" i="220" s="1"/>
  <c r="AD92" i="220"/>
  <c r="AD153" i="220" s="1"/>
  <c r="AD185" i="220" s="1"/>
  <c r="AD201" i="220" s="1"/>
  <c r="AD207" i="220" s="1"/>
  <c r="AK93" i="220"/>
  <c r="AI92" i="220"/>
  <c r="AI153" i="220" s="1"/>
  <c r="AI185" i="220" s="1"/>
  <c r="AI201" i="220" s="1"/>
  <c r="AI207" i="220" s="1"/>
  <c r="Q124" i="220"/>
  <c r="G93" i="220"/>
  <c r="I93" i="220" s="1"/>
  <c r="W93" i="220"/>
  <c r="D93" i="220"/>
  <c r="F93" i="220" s="1"/>
  <c r="AW95" i="198"/>
  <c r="AX95" i="198" s="1"/>
  <c r="S95" i="198"/>
  <c r="T95" i="198" s="1"/>
  <c r="E99" i="204"/>
  <c r="AK99" i="204"/>
  <c r="H99" i="204"/>
  <c r="D102" i="220"/>
  <c r="W102" i="220"/>
  <c r="G102" i="220"/>
  <c r="K101" i="220"/>
  <c r="S104" i="198"/>
  <c r="T104" i="198" s="1"/>
  <c r="AW104" i="198"/>
  <c r="AX104" i="198" s="1"/>
  <c r="S124" i="220"/>
  <c r="L124" i="220"/>
  <c r="AK103" i="204"/>
  <c r="H103" i="204"/>
  <c r="E103" i="204"/>
  <c r="T124" i="220"/>
  <c r="AK107" i="219"/>
  <c r="H107" i="219"/>
  <c r="E107" i="219"/>
  <c r="H120" i="219"/>
  <c r="I120" i="219" s="1"/>
  <c r="E120" i="219"/>
  <c r="F120" i="219" s="1"/>
  <c r="AK120" i="219"/>
  <c r="S123" i="220"/>
  <c r="AJ92" i="220"/>
  <c r="AJ153" i="220" s="1"/>
  <c r="AJ185" i="220" s="1"/>
  <c r="AJ201" i="220" s="1"/>
  <c r="AJ207" i="220" s="1"/>
  <c r="T123" i="220"/>
  <c r="R124" i="220"/>
  <c r="AJ99" i="218"/>
  <c r="AB99" i="218"/>
  <c r="AE99" i="218"/>
  <c r="AH99" i="218"/>
  <c r="AF99" i="218"/>
  <c r="AI99" i="218"/>
  <c r="Y99" i="218"/>
  <c r="AD99" i="218"/>
  <c r="AA99" i="218"/>
  <c r="AG99" i="218"/>
  <c r="Z99" i="218"/>
  <c r="AC99" i="218"/>
  <c r="U123" i="220"/>
  <c r="V124" i="220"/>
  <c r="V123" i="220"/>
  <c r="U124" i="220"/>
  <c r="AK95" i="218"/>
  <c r="E95" i="218"/>
  <c r="H95" i="218"/>
  <c r="F95" i="219"/>
  <c r="G92" i="221"/>
  <c r="I92" i="221" s="1"/>
  <c r="W92" i="221"/>
  <c r="BB94" i="198"/>
  <c r="BC94" i="198" s="1"/>
  <c r="D92" i="221"/>
  <c r="F92" i="221" s="1"/>
  <c r="X94" i="198"/>
  <c r="Y94" i="198" s="1"/>
  <c r="AK98" i="220"/>
  <c r="H98" i="220"/>
  <c r="E98" i="220"/>
  <c r="Y97" i="220"/>
  <c r="AC92" i="220"/>
  <c r="AC153" i="220" s="1"/>
  <c r="AC185" i="220" s="1"/>
  <c r="AC201" i="220" s="1"/>
  <c r="AC207" i="220" s="1"/>
  <c r="I95" i="219"/>
  <c r="Y122" i="220"/>
  <c r="AK123" i="220"/>
  <c r="E123" i="220"/>
  <c r="H123" i="220"/>
  <c r="Z92" i="220"/>
  <c r="Z153" i="220" s="1"/>
  <c r="Z185" i="220" s="1"/>
  <c r="Z201" i="220" s="1"/>
  <c r="Z207" i="220" s="1"/>
  <c r="AK119" i="220"/>
  <c r="E119" i="220"/>
  <c r="F119" i="220" s="1"/>
  <c r="Y118" i="220"/>
  <c r="H119" i="220"/>
  <c r="I119" i="220" s="1"/>
  <c r="AG97" i="220"/>
  <c r="AB92" i="220"/>
  <c r="AB153" i="220" s="1"/>
  <c r="AB185" i="220" s="1"/>
  <c r="AB201" i="220" s="1"/>
  <c r="AB207" i="220" s="1"/>
  <c r="O124" i="220"/>
  <c r="O122" i="220" s="1"/>
  <c r="O92" i="220" s="1"/>
  <c r="D98" i="220"/>
  <c r="G98" i="220"/>
  <c r="K97" i="220"/>
  <c r="W98" i="220"/>
  <c r="S100" i="198"/>
  <c r="T100" i="198" s="1"/>
  <c r="AW100" i="198"/>
  <c r="AX100" i="198" s="1"/>
  <c r="A98" i="218"/>
  <c r="AB94" i="218"/>
  <c r="AC94" i="218"/>
  <c r="AH94" i="218"/>
  <c r="A106" i="218"/>
  <c r="AG94" i="218"/>
  <c r="AJ94" i="218"/>
  <c r="Y94" i="218"/>
  <c r="AF94" i="218"/>
  <c r="AD94" i="218"/>
  <c r="A102" i="218"/>
  <c r="AA94" i="218"/>
  <c r="Z94" i="218"/>
  <c r="AI94" i="218"/>
  <c r="AE94" i="218"/>
  <c r="AC114" i="219"/>
  <c r="Z114" i="219"/>
  <c r="AH114" i="219"/>
  <c r="AG114" i="219"/>
  <c r="AF114" i="219"/>
  <c r="AE114" i="219"/>
  <c r="AD114" i="219"/>
  <c r="AB114" i="219"/>
  <c r="AI114" i="219"/>
  <c r="AA114" i="219"/>
  <c r="Y114" i="219"/>
  <c r="AJ114" i="219"/>
  <c r="W99" i="204"/>
  <c r="D99" i="204"/>
  <c r="F99" i="204" s="1"/>
  <c r="D101" i="198"/>
  <c r="E101" i="198" s="1"/>
  <c r="AH101" i="198"/>
  <c r="AI101" i="198" s="1"/>
  <c r="G99" i="204"/>
  <c r="L102" i="219"/>
  <c r="L101" i="219" s="1"/>
  <c r="Z102" i="219"/>
  <c r="V102" i="219"/>
  <c r="V101" i="219" s="1"/>
  <c r="U102" i="219"/>
  <c r="U101" i="219" s="1"/>
  <c r="T102" i="219"/>
  <c r="T101" i="219" s="1"/>
  <c r="S102" i="219"/>
  <c r="S101" i="219" s="1"/>
  <c r="P102" i="219"/>
  <c r="P101" i="219" s="1"/>
  <c r="O102" i="219"/>
  <c r="O101" i="219" s="1"/>
  <c r="AB102" i="219"/>
  <c r="N102" i="219"/>
  <c r="N101" i="219" s="1"/>
  <c r="M102" i="219"/>
  <c r="M101" i="219" s="1"/>
  <c r="K102" i="219"/>
  <c r="R102" i="219"/>
  <c r="R101" i="219" s="1"/>
  <c r="Q102" i="219"/>
  <c r="Q101" i="219" s="1"/>
  <c r="G94" i="219"/>
  <c r="W94" i="219"/>
  <c r="D94" i="219"/>
  <c r="K93" i="219"/>
  <c r="AR96" i="198"/>
  <c r="AS96" i="198" s="1"/>
  <c r="N96" i="198"/>
  <c r="O96" i="198" s="1"/>
  <c r="AK106" i="220"/>
  <c r="AA105" i="220"/>
  <c r="AK105" i="220" s="1"/>
  <c r="AE110" i="219"/>
  <c r="AB110" i="219"/>
  <c r="AC110" i="219"/>
  <c r="AA110" i="219"/>
  <c r="Z110" i="219"/>
  <c r="Y110" i="219"/>
  <c r="AJ110" i="219"/>
  <c r="AI110" i="219"/>
  <c r="AD110" i="219"/>
  <c r="AH110" i="219"/>
  <c r="AG110" i="219"/>
  <c r="AF110" i="219"/>
  <c r="D107" i="204"/>
  <c r="W107" i="204"/>
  <c r="G107" i="204"/>
  <c r="AH109" i="198"/>
  <c r="AI109" i="198" s="1"/>
  <c r="D109" i="198"/>
  <c r="E109" i="198" s="1"/>
  <c r="Y107" i="218"/>
  <c r="AB107" i="218"/>
  <c r="AI107" i="218"/>
  <c r="AC107" i="218"/>
  <c r="AA107" i="218"/>
  <c r="AD107" i="218"/>
  <c r="AJ107" i="218"/>
  <c r="Z107" i="218"/>
  <c r="AH107" i="218"/>
  <c r="AF107" i="218"/>
  <c r="AG107" i="218"/>
  <c r="AE107" i="218"/>
  <c r="Z76" i="193"/>
  <c r="AA76" i="193" s="1"/>
  <c r="AH119" i="219"/>
  <c r="AE119" i="219"/>
  <c r="AB119" i="219"/>
  <c r="AA119" i="219"/>
  <c r="Z119" i="219"/>
  <c r="Y119" i="219"/>
  <c r="AJ119" i="219"/>
  <c r="AD119" i="219"/>
  <c r="AI119" i="219"/>
  <c r="AG119" i="219"/>
  <c r="AF119" i="219"/>
  <c r="AG113" i="220"/>
  <c r="Q106" i="219"/>
  <c r="Q105" i="219" s="1"/>
  <c r="AI106" i="219"/>
  <c r="N106" i="219"/>
  <c r="N105" i="219" s="1"/>
  <c r="V106" i="219"/>
  <c r="V105" i="219" s="1"/>
  <c r="U106" i="219"/>
  <c r="U105" i="219" s="1"/>
  <c r="T106" i="219"/>
  <c r="T105" i="219" s="1"/>
  <c r="S106" i="219"/>
  <c r="S105" i="219" s="1"/>
  <c r="R106" i="219"/>
  <c r="R105" i="219" s="1"/>
  <c r="M106" i="219"/>
  <c r="M105" i="219" s="1"/>
  <c r="AJ106" i="219"/>
  <c r="L106" i="219"/>
  <c r="L105" i="219" s="1"/>
  <c r="Y106" i="219"/>
  <c r="P106" i="219"/>
  <c r="P105" i="219" s="1"/>
  <c r="O106" i="219"/>
  <c r="O105" i="219" s="1"/>
  <c r="K106" i="219"/>
  <c r="AB106" i="219"/>
  <c r="AA106" i="219"/>
  <c r="Z106" i="219"/>
  <c r="H94" i="204"/>
  <c r="E94" i="204"/>
  <c r="AK94" i="204"/>
  <c r="E107" i="204"/>
  <c r="AK107" i="204"/>
  <c r="H107" i="204"/>
  <c r="Y103" i="218"/>
  <c r="AF103" i="218"/>
  <c r="AE103" i="218"/>
  <c r="AB103" i="218"/>
  <c r="AI103" i="218"/>
  <c r="AH103" i="218"/>
  <c r="AD103" i="218"/>
  <c r="Z103" i="218"/>
  <c r="AA103" i="218"/>
  <c r="AG103" i="218"/>
  <c r="AC103" i="218"/>
  <c r="AJ103" i="218"/>
  <c r="R98" i="219"/>
  <c r="R97" i="219" s="1"/>
  <c r="AB98" i="219"/>
  <c r="L98" i="219"/>
  <c r="L97" i="219" s="1"/>
  <c r="L123" i="219" s="1"/>
  <c r="AA98" i="219"/>
  <c r="K98" i="219"/>
  <c r="Z98" i="219"/>
  <c r="Y98" i="219"/>
  <c r="V98" i="219"/>
  <c r="V97" i="219" s="1"/>
  <c r="S98" i="219"/>
  <c r="S97" i="219" s="1"/>
  <c r="Q98" i="219"/>
  <c r="Q97" i="219" s="1"/>
  <c r="AH98" i="219"/>
  <c r="M98" i="219"/>
  <c r="M97" i="219" s="1"/>
  <c r="P98" i="219"/>
  <c r="P97" i="219" s="1"/>
  <c r="P123" i="219" s="1"/>
  <c r="O98" i="219"/>
  <c r="O97" i="219" s="1"/>
  <c r="N98" i="219"/>
  <c r="N97" i="219" s="1"/>
  <c r="AI98" i="219"/>
  <c r="U98" i="219"/>
  <c r="U97" i="219" s="1"/>
  <c r="T98" i="219"/>
  <c r="T97" i="219" s="1"/>
  <c r="P98" i="204"/>
  <c r="P97" i="204" s="1"/>
  <c r="AH98" i="204"/>
  <c r="AF98" i="204"/>
  <c r="AA98" i="204"/>
  <c r="O98" i="204"/>
  <c r="O97" i="204" s="1"/>
  <c r="Y98" i="204"/>
  <c r="AD98" i="204"/>
  <c r="T98" i="204"/>
  <c r="T97" i="204" s="1"/>
  <c r="K98" i="204"/>
  <c r="L98" i="204"/>
  <c r="L97" i="204" s="1"/>
  <c r="AI98" i="204"/>
  <c r="AE98" i="204"/>
  <c r="AG98" i="204"/>
  <c r="Q98" i="204"/>
  <c r="Q97" i="204" s="1"/>
  <c r="AC98" i="204"/>
  <c r="Z98" i="204"/>
  <c r="S98" i="204"/>
  <c r="S97" i="204" s="1"/>
  <c r="R98" i="204"/>
  <c r="R97" i="204" s="1"/>
  <c r="N98" i="204"/>
  <c r="N97" i="204" s="1"/>
  <c r="V98" i="204"/>
  <c r="V97" i="204" s="1"/>
  <c r="AB98" i="204"/>
  <c r="AJ98" i="204"/>
  <c r="U98" i="204"/>
  <c r="U97" i="204" s="1"/>
  <c r="M98" i="204"/>
  <c r="M97" i="204" s="1"/>
  <c r="AH106" i="204"/>
  <c r="AA106" i="204"/>
  <c r="O106" i="204"/>
  <c r="O105" i="204" s="1"/>
  <c r="Y106" i="204"/>
  <c r="P106" i="204"/>
  <c r="P105" i="204" s="1"/>
  <c r="L106" i="204"/>
  <c r="L105" i="204" s="1"/>
  <c r="R106" i="204"/>
  <c r="R105" i="204" s="1"/>
  <c r="AD106" i="204"/>
  <c r="AF106" i="204"/>
  <c r="AB106" i="204"/>
  <c r="N106" i="204"/>
  <c r="N105" i="204" s="1"/>
  <c r="AI106" i="204"/>
  <c r="K106" i="204"/>
  <c r="Z106" i="204"/>
  <c r="T106" i="204"/>
  <c r="T105" i="204" s="1"/>
  <c r="M106" i="204"/>
  <c r="M105" i="204" s="1"/>
  <c r="V106" i="204"/>
  <c r="V105" i="204" s="1"/>
  <c r="AE106" i="204"/>
  <c r="AC106" i="204"/>
  <c r="AG106" i="204"/>
  <c r="Q106" i="204"/>
  <c r="Q105" i="204" s="1"/>
  <c r="U106" i="204"/>
  <c r="U105" i="204" s="1"/>
  <c r="S106" i="204"/>
  <c r="S105" i="204" s="1"/>
  <c r="AJ106" i="204"/>
  <c r="K105" i="220"/>
  <c r="G106" i="220"/>
  <c r="I106" i="220" s="1"/>
  <c r="D106" i="220"/>
  <c r="F106" i="220" s="1"/>
  <c r="W106" i="220"/>
  <c r="AW108" i="198"/>
  <c r="AX108" i="198" s="1"/>
  <c r="S108" i="198"/>
  <c r="T108" i="198" s="1"/>
  <c r="AH105" i="198"/>
  <c r="AI105" i="198" s="1"/>
  <c r="D105" i="198"/>
  <c r="E105" i="198" s="1"/>
  <c r="G103" i="204"/>
  <c r="W103" i="204"/>
  <c r="D103" i="204"/>
  <c r="F103" i="204" s="1"/>
  <c r="E110" i="220"/>
  <c r="F110" i="220" s="1"/>
  <c r="Y109" i="220"/>
  <c r="AK110" i="220"/>
  <c r="H110" i="220"/>
  <c r="I110" i="220" s="1"/>
  <c r="E114" i="220"/>
  <c r="F114" i="220" s="1"/>
  <c r="Y113" i="220"/>
  <c r="AK114" i="220"/>
  <c r="H114" i="220"/>
  <c r="I114" i="220" s="1"/>
  <c r="W94" i="204"/>
  <c r="D94" i="204"/>
  <c r="K93" i="204"/>
  <c r="G94" i="204"/>
  <c r="D96" i="198"/>
  <c r="E96" i="198" s="1"/>
  <c r="AH96" i="198"/>
  <c r="AI96" i="198" s="1"/>
  <c r="Y123" i="219"/>
  <c r="Z123" i="219"/>
  <c r="AB123" i="219"/>
  <c r="AA123" i="219"/>
  <c r="E94" i="219"/>
  <c r="H94" i="219"/>
  <c r="AK94" i="219"/>
  <c r="M102" i="204"/>
  <c r="M101" i="204" s="1"/>
  <c r="T102" i="204"/>
  <c r="T101" i="204" s="1"/>
  <c r="Y102" i="204"/>
  <c r="P102" i="204"/>
  <c r="P101" i="204" s="1"/>
  <c r="N102" i="204"/>
  <c r="N101" i="204" s="1"/>
  <c r="AJ102" i="204"/>
  <c r="K102" i="204"/>
  <c r="Z102" i="204"/>
  <c r="R102" i="204"/>
  <c r="R101" i="204" s="1"/>
  <c r="O102" i="204"/>
  <c r="O101" i="204" s="1"/>
  <c r="AI102" i="204"/>
  <c r="AG102" i="204"/>
  <c r="AF102" i="204"/>
  <c r="AD102" i="204"/>
  <c r="AH102" i="204"/>
  <c r="AB102" i="204"/>
  <c r="Q102" i="204"/>
  <c r="Q101" i="204" s="1"/>
  <c r="U102" i="204"/>
  <c r="U101" i="204" s="1"/>
  <c r="AE102" i="204"/>
  <c r="L102" i="204"/>
  <c r="L101" i="204" s="1"/>
  <c r="S102" i="204"/>
  <c r="S101" i="204" s="1"/>
  <c r="AA102" i="204"/>
  <c r="V102" i="204"/>
  <c r="V101" i="204" s="1"/>
  <c r="AC102" i="204"/>
  <c r="AM280" i="217"/>
  <c r="AM317" i="217"/>
  <c r="AM124" i="217"/>
  <c r="AM159" i="217"/>
  <c r="AL265" i="217"/>
  <c r="AM89" i="217"/>
  <c r="AM229" i="217"/>
  <c r="AN140" i="217"/>
  <c r="AL301" i="217"/>
  <c r="AO36" i="217"/>
  <c r="AO70" i="217" s="1"/>
  <c r="AN245" i="217"/>
  <c r="AN70" i="217"/>
  <c r="AM54" i="217"/>
  <c r="AM316" i="217"/>
  <c r="O52" i="231"/>
  <c r="H52" i="231"/>
  <c r="I52" i="231"/>
  <c r="P52" i="231"/>
  <c r="O50" i="177"/>
  <c r="O63" i="177" s="1"/>
  <c r="O53" i="177"/>
  <c r="O66" i="177" s="1"/>
  <c r="O49" i="177"/>
  <c r="O62" i="177" s="1"/>
  <c r="O54" i="177"/>
  <c r="O67" i="177" s="1"/>
  <c r="P47" i="177"/>
  <c r="O52" i="177"/>
  <c r="O65" i="177" s="1"/>
  <c r="M55" i="177"/>
  <c r="M56" i="177" s="1"/>
  <c r="N51" i="177"/>
  <c r="N64" i="177" s="1"/>
  <c r="N68" i="177" s="1"/>
  <c r="O11" i="177"/>
  <c r="O47" i="177"/>
  <c r="M69" i="177"/>
  <c r="M40" i="177"/>
  <c r="M43" i="177" s="1"/>
  <c r="M38" i="177"/>
  <c r="Z18" i="159" s="1"/>
  <c r="N45" i="177"/>
  <c r="N58" i="177" s="1"/>
  <c r="N35" i="177"/>
  <c r="O8" i="177"/>
  <c r="Q14" i="230"/>
  <c r="P19" i="220"/>
  <c r="J21" i="231" s="1"/>
  <c r="J21" i="230" s="1"/>
  <c r="K24" i="177"/>
  <c r="L23" i="177"/>
  <c r="E36" i="174"/>
  <c r="A37" i="174"/>
  <c r="F36" i="174"/>
  <c r="E119" i="174"/>
  <c r="E98" i="174"/>
  <c r="K24" i="230"/>
  <c r="Q24" i="230" s="1"/>
  <c r="Q24" i="232"/>
  <c r="Q44" i="233"/>
  <c r="H64" i="248"/>
  <c r="K64" i="248" s="1"/>
  <c r="H23" i="232"/>
  <c r="L52" i="231"/>
  <c r="G52" i="231"/>
  <c r="M52" i="231"/>
  <c r="D71" i="246"/>
  <c r="D73" i="246"/>
  <c r="E70" i="246" s="1"/>
  <c r="E21" i="246"/>
  <c r="E52" i="231"/>
  <c r="B44" i="231"/>
  <c r="C44" i="231"/>
  <c r="Q44" i="231"/>
  <c r="C23" i="232"/>
  <c r="B23" i="232"/>
  <c r="B23" i="231"/>
  <c r="C23" i="231"/>
  <c r="C21" i="246"/>
  <c r="B31" i="231"/>
  <c r="C31" i="231"/>
  <c r="AM127" i="217"/>
  <c r="AM149" i="217" s="1"/>
  <c r="AM45" i="217"/>
  <c r="AM57" i="217"/>
  <c r="AN23" i="217"/>
  <c r="AM232" i="217"/>
  <c r="AM256" i="217" s="1"/>
  <c r="AM92" i="217"/>
  <c r="AM115" i="217" s="1"/>
  <c r="AM162" i="217"/>
  <c r="AM185" i="217" s="1"/>
  <c r="AL79" i="217"/>
  <c r="AL268" i="217"/>
  <c r="AL292" i="217" s="1"/>
  <c r="AL304" i="217"/>
  <c r="AL327" i="217" s="1"/>
  <c r="AM310" i="217"/>
  <c r="L38" i="219"/>
  <c r="K38" i="220"/>
  <c r="D39" i="220"/>
  <c r="F39" i="220" s="1"/>
  <c r="G39" i="220"/>
  <c r="I39" i="220" s="1"/>
  <c r="AW41" i="198"/>
  <c r="AX41" i="198" s="1"/>
  <c r="S41" i="198"/>
  <c r="T41" i="198" s="1"/>
  <c r="G39" i="219"/>
  <c r="I39" i="219" s="1"/>
  <c r="W39" i="219"/>
  <c r="K38" i="219"/>
  <c r="D39" i="219"/>
  <c r="F39" i="219" s="1"/>
  <c r="N41" i="198"/>
  <c r="O41" i="198" s="1"/>
  <c r="AR41" i="198"/>
  <c r="AS41" i="198" s="1"/>
  <c r="S38" i="220"/>
  <c r="T38" i="220"/>
  <c r="U38" i="220"/>
  <c r="O38" i="220"/>
  <c r="P38" i="220"/>
  <c r="Q48" i="233"/>
  <c r="F52" i="231"/>
  <c r="B48" i="233"/>
  <c r="C48" i="233"/>
  <c r="E52" i="233"/>
  <c r="B48" i="231"/>
  <c r="C48" i="231"/>
  <c r="Q23" i="231"/>
  <c r="F52" i="233"/>
  <c r="K52" i="231"/>
  <c r="H48" i="233"/>
  <c r="Q48" i="231"/>
  <c r="H44" i="233"/>
  <c r="Q31" i="231"/>
  <c r="H31" i="233"/>
  <c r="Q32" i="233"/>
  <c r="Q31" i="233" s="1"/>
  <c r="AM239" i="217"/>
  <c r="AM169" i="217"/>
  <c r="AM64" i="217"/>
  <c r="AN30" i="217"/>
  <c r="AM99" i="217"/>
  <c r="AM134" i="217"/>
  <c r="AL275" i="217"/>
  <c r="AL311" i="217"/>
  <c r="AW305" i="217"/>
  <c r="AX305" i="217" s="1"/>
  <c r="AI326" i="217"/>
  <c r="AI329" i="217"/>
  <c r="W39" i="220"/>
  <c r="M38" i="220"/>
  <c r="AI291" i="217"/>
  <c r="AI293" i="217"/>
  <c r="Q38" i="220"/>
  <c r="R38" i="220"/>
  <c r="V38" i="220"/>
  <c r="AK116" i="217"/>
  <c r="AK114" i="217"/>
  <c r="AK255" i="217"/>
  <c r="AK257" i="217"/>
  <c r="AK186" i="217"/>
  <c r="AK184" i="217"/>
  <c r="AK150" i="217"/>
  <c r="AK151" i="217"/>
  <c r="AK269" i="217"/>
  <c r="AK80" i="217"/>
  <c r="AK81" i="217"/>
  <c r="AK305" i="217"/>
  <c r="AL93" i="217"/>
  <c r="AL163" i="217"/>
  <c r="AL128" i="217"/>
  <c r="AL233" i="217"/>
  <c r="AL58" i="217"/>
  <c r="AL46" i="217"/>
  <c r="AL44" i="217"/>
  <c r="AM24" i="217"/>
  <c r="AJ326" i="217"/>
  <c r="AJ329" i="217"/>
  <c r="AJ291" i="217"/>
  <c r="AJ293" i="217"/>
  <c r="N38" i="220"/>
  <c r="AN318" i="217"/>
  <c r="AN314" i="217"/>
  <c r="AN309" i="217"/>
  <c r="AO177" i="217"/>
  <c r="AO246" i="217"/>
  <c r="AP37" i="217"/>
  <c r="AO71" i="217"/>
  <c r="AO176" i="217"/>
  <c r="AO106" i="217"/>
  <c r="AO141" i="217"/>
  <c r="AO173" i="217"/>
  <c r="AO68" i="217"/>
  <c r="AO243" i="217"/>
  <c r="AO103" i="217"/>
  <c r="AP34" i="217"/>
  <c r="AO138" i="217"/>
  <c r="AN279" i="217"/>
  <c r="AN315" i="217"/>
  <c r="AO137" i="217"/>
  <c r="AO102" i="217"/>
  <c r="AO242" i="217"/>
  <c r="AO67" i="217"/>
  <c r="AO172" i="217"/>
  <c r="AP33" i="217"/>
  <c r="AN276" i="217"/>
  <c r="AN312" i="217"/>
  <c r="AO100" i="217"/>
  <c r="AO170" i="217"/>
  <c r="AO65" i="217"/>
  <c r="AO240" i="217"/>
  <c r="AP31" i="217"/>
  <c r="AO135" i="217"/>
  <c r="AO97" i="217"/>
  <c r="AO237" i="217"/>
  <c r="AP28" i="217"/>
  <c r="AO62" i="217"/>
  <c r="AO167" i="217"/>
  <c r="AO132" i="217"/>
  <c r="AO166" i="217"/>
  <c r="AP27" i="217"/>
  <c r="AO96" i="217"/>
  <c r="AO236" i="217"/>
  <c r="AO131" i="217"/>
  <c r="AO61" i="217"/>
  <c r="AP26" i="217"/>
  <c r="AO60" i="217"/>
  <c r="AO307" i="217" s="1"/>
  <c r="AN273" i="217"/>
  <c r="AN282" i="217"/>
  <c r="AN278" i="217"/>
  <c r="AN272" i="217"/>
  <c r="AN308" i="217"/>
  <c r="AN271" i="217"/>
  <c r="AM302" i="217"/>
  <c r="AM300" i="217"/>
  <c r="AO299" i="217"/>
  <c r="AO25" i="217"/>
  <c r="AN59" i="217"/>
  <c r="AN94" i="217"/>
  <c r="AN234" i="217"/>
  <c r="AN129" i="217"/>
  <c r="AN164" i="217"/>
  <c r="AO21" i="217"/>
  <c r="AN160" i="217"/>
  <c r="AN230" i="217"/>
  <c r="AN125" i="217"/>
  <c r="AN55" i="217"/>
  <c r="AN90" i="217"/>
  <c r="AO20" i="217"/>
  <c r="AN159" i="217"/>
  <c r="AN89" i="217"/>
  <c r="AN124" i="217"/>
  <c r="AN54" i="217"/>
  <c r="AN229" i="217"/>
  <c r="AO19" i="217"/>
  <c r="AN158" i="217"/>
  <c r="AN123" i="217"/>
  <c r="AN53" i="217"/>
  <c r="AN88" i="217"/>
  <c r="AN228" i="217"/>
  <c r="AM264" i="217"/>
  <c r="AQ18" i="217"/>
  <c r="AP122" i="217"/>
  <c r="AP227" i="217"/>
  <c r="AP52" i="217"/>
  <c r="AP87" i="217"/>
  <c r="AQ17" i="217"/>
  <c r="AP298" i="217"/>
  <c r="AM266" i="217"/>
  <c r="AO263" i="217"/>
  <c r="AM303" i="217"/>
  <c r="AM270" i="217"/>
  <c r="AM306" i="217"/>
  <c r="AO22" i="217"/>
  <c r="AN56" i="217"/>
  <c r="AN126" i="217"/>
  <c r="AN161" i="217"/>
  <c r="AN231" i="217"/>
  <c r="AN91" i="217"/>
  <c r="AM267" i="217"/>
  <c r="AO32" i="217"/>
  <c r="AN313" i="217"/>
  <c r="G78" i="248"/>
  <c r="J33" i="177"/>
  <c r="H31" i="177"/>
  <c r="P124" i="220" l="1"/>
  <c r="AN283" i="217"/>
  <c r="AO139" i="217"/>
  <c r="AN319" i="217"/>
  <c r="AO244" i="217"/>
  <c r="AP35" i="217"/>
  <c r="AO174" i="217"/>
  <c r="AO104" i="217"/>
  <c r="AN280" i="217"/>
  <c r="AO72" i="217"/>
  <c r="AP38" i="217"/>
  <c r="AP107" i="217" s="1"/>
  <c r="AN316" i="217"/>
  <c r="AO247" i="217"/>
  <c r="AO142" i="217"/>
  <c r="N16" i="220"/>
  <c r="N16" i="206" s="1"/>
  <c r="N15" i="220"/>
  <c r="N15" i="206" s="1"/>
  <c r="I103" i="204"/>
  <c r="O39" i="206"/>
  <c r="P39" i="206"/>
  <c r="AH143" i="206"/>
  <c r="L190" i="206"/>
  <c r="R39" i="206"/>
  <c r="Q39" i="206"/>
  <c r="Q145" i="206"/>
  <c r="V40" i="206"/>
  <c r="L39" i="206"/>
  <c r="M39" i="206"/>
  <c r="P15" i="206"/>
  <c r="M133" i="206"/>
  <c r="Z196" i="206"/>
  <c r="BH55" i="250"/>
  <c r="BH56" i="250" s="1"/>
  <c r="BH68" i="250"/>
  <c r="BH69" i="250" s="1"/>
  <c r="BJ60" i="250"/>
  <c r="BI51" i="250"/>
  <c r="BI64" i="250" s="1"/>
  <c r="BJ11" i="250"/>
  <c r="BI40" i="250"/>
  <c r="BI43" i="250" s="1"/>
  <c r="BI38" i="250"/>
  <c r="BJ45" i="250"/>
  <c r="BJ58" i="250" s="1"/>
  <c r="BJ35" i="250"/>
  <c r="BK8" i="250"/>
  <c r="BI60" i="250"/>
  <c r="BI23" i="250"/>
  <c r="BH24" i="250"/>
  <c r="BH26" i="250"/>
  <c r="BH27" i="250" s="1"/>
  <c r="BH28" i="250"/>
  <c r="BH29" i="250" s="1"/>
  <c r="BH32" i="250"/>
  <c r="BH33" i="250" s="1"/>
  <c r="BH30" i="250"/>
  <c r="BH31" i="250" s="1"/>
  <c r="BJ52" i="250"/>
  <c r="BJ65" i="250" s="1"/>
  <c r="BJ54" i="250"/>
  <c r="BJ67" i="250" s="1"/>
  <c r="BJ50" i="250"/>
  <c r="BJ63" i="250" s="1"/>
  <c r="BJ53" i="250"/>
  <c r="BJ66" i="250" s="1"/>
  <c r="BK10" i="250" a="1"/>
  <c r="BK10" i="250" s="1"/>
  <c r="BK47" i="250" s="1"/>
  <c r="BJ49" i="250"/>
  <c r="BJ62" i="250" s="1"/>
  <c r="BI58" i="250"/>
  <c r="S39" i="206"/>
  <c r="P190" i="206"/>
  <c r="AO49" i="177"/>
  <c r="AO62" i="177" s="1"/>
  <c r="AO50" i="177"/>
  <c r="AO63" i="177" s="1"/>
  <c r="AP10" i="177" a="1"/>
  <c r="AP10" i="177" s="1"/>
  <c r="AP47" i="177" s="1"/>
  <c r="AO54" i="177"/>
  <c r="AO67" i="177" s="1"/>
  <c r="AO53" i="177"/>
  <c r="AO66" i="177" s="1"/>
  <c r="AO52" i="177"/>
  <c r="AO65" i="177" s="1"/>
  <c r="AO60" i="177"/>
  <c r="AN60" i="177"/>
  <c r="AF147" i="206"/>
  <c r="P36" i="206"/>
  <c r="N170" i="206"/>
  <c r="N39" i="206"/>
  <c r="N17" i="206"/>
  <c r="I99" i="204"/>
  <c r="AG139" i="206"/>
  <c r="AA25" i="206"/>
  <c r="M38" i="206"/>
  <c r="P196" i="206"/>
  <c r="K174" i="206"/>
  <c r="G174" i="206" s="1"/>
  <c r="U27" i="206"/>
  <c r="AE189" i="206"/>
  <c r="AF161" i="206"/>
  <c r="AJ75" i="206"/>
  <c r="T177" i="206"/>
  <c r="AG191" i="206"/>
  <c r="U189" i="206"/>
  <c r="S136" i="206"/>
  <c r="M191" i="206"/>
  <c r="V161" i="206"/>
  <c r="Y91" i="206"/>
  <c r="N193" i="206"/>
  <c r="T204" i="206"/>
  <c r="AA163" i="206"/>
  <c r="AE177" i="206"/>
  <c r="AJ127" i="206"/>
  <c r="S181" i="206"/>
  <c r="T75" i="206"/>
  <c r="O123" i="219"/>
  <c r="AB89" i="206"/>
  <c r="T169" i="206"/>
  <c r="AD160" i="206"/>
  <c r="T176" i="206"/>
  <c r="AA127" i="206"/>
  <c r="AJ192" i="206"/>
  <c r="AN320" i="217"/>
  <c r="AO321" i="217"/>
  <c r="AP39" i="217"/>
  <c r="AO108" i="217"/>
  <c r="AO248" i="217"/>
  <c r="AO73" i="217"/>
  <c r="AO178" i="217"/>
  <c r="AO143" i="217"/>
  <c r="AQ40" i="217"/>
  <c r="AP74" i="217"/>
  <c r="AP179" i="217"/>
  <c r="AP249" i="217"/>
  <c r="AP144" i="217"/>
  <c r="U39" i="206"/>
  <c r="U136" i="206"/>
  <c r="K39" i="206"/>
  <c r="G39" i="206" s="1"/>
  <c r="P82" i="206"/>
  <c r="Z163" i="206"/>
  <c r="Y52" i="206"/>
  <c r="Q193" i="206"/>
  <c r="N166" i="206"/>
  <c r="S170" i="206"/>
  <c r="M65" i="206"/>
  <c r="AE87" i="206"/>
  <c r="O127" i="206"/>
  <c r="AH175" i="206"/>
  <c r="AI97" i="206"/>
  <c r="U72" i="206"/>
  <c r="AD161" i="206"/>
  <c r="U195" i="206"/>
  <c r="V190" i="206"/>
  <c r="AE80" i="206"/>
  <c r="L109" i="206"/>
  <c r="AE160" i="206"/>
  <c r="AA145" i="206"/>
  <c r="AE169" i="206"/>
  <c r="AF127" i="206"/>
  <c r="AD177" i="206"/>
  <c r="Z180" i="206"/>
  <c r="O81" i="206"/>
  <c r="AA128" i="206"/>
  <c r="AI175" i="206"/>
  <c r="AJ122" i="206"/>
  <c r="AI188" i="206"/>
  <c r="O194" i="206"/>
  <c r="T166" i="206"/>
  <c r="AH169" i="206"/>
  <c r="AD143" i="206"/>
  <c r="L179" i="206"/>
  <c r="AH91" i="206"/>
  <c r="AA171" i="206"/>
  <c r="AF134" i="206"/>
  <c r="V145" i="206"/>
  <c r="AE128" i="206"/>
  <c r="Z45" i="206"/>
  <c r="AG205" i="206"/>
  <c r="Y152" i="206"/>
  <c r="AG197" i="206"/>
  <c r="P31" i="206"/>
  <c r="O26" i="206"/>
  <c r="N164" i="206"/>
  <c r="Y166" i="206"/>
  <c r="Q198" i="206"/>
  <c r="AJ57" i="206"/>
  <c r="M169" i="206"/>
  <c r="AH73" i="206"/>
  <c r="AG23" i="206"/>
  <c r="AC161" i="206"/>
  <c r="Z73" i="206"/>
  <c r="AA156" i="206"/>
  <c r="R171" i="206"/>
  <c r="T198" i="206"/>
  <c r="AI8" i="206"/>
  <c r="AH45" i="206"/>
  <c r="AI156" i="206"/>
  <c r="AB46" i="206"/>
  <c r="AB131" i="206"/>
  <c r="AH196" i="206"/>
  <c r="K161" i="206"/>
  <c r="D161" i="206" s="1"/>
  <c r="AI158" i="206"/>
  <c r="AA64" i="206"/>
  <c r="R188" i="206"/>
  <c r="AA24" i="206"/>
  <c r="M181" i="206"/>
  <c r="AG138" i="206"/>
  <c r="V192" i="206"/>
  <c r="AF177" i="206"/>
  <c r="O193" i="206"/>
  <c r="Z144" i="206"/>
  <c r="K72" i="206"/>
  <c r="D72" i="206" s="1"/>
  <c r="S139" i="206"/>
  <c r="AJ25" i="206"/>
  <c r="AF143" i="206"/>
  <c r="O79" i="206"/>
  <c r="AH195" i="206"/>
  <c r="Y188" i="206"/>
  <c r="T196" i="206"/>
  <c r="V187" i="206"/>
  <c r="Q18" i="206"/>
  <c r="K175" i="206"/>
  <c r="G175" i="206" s="1"/>
  <c r="AG189" i="206"/>
  <c r="L181" i="206"/>
  <c r="AC149" i="206"/>
  <c r="U158" i="206"/>
  <c r="AD36" i="206"/>
  <c r="AJ128" i="206"/>
  <c r="N190" i="206"/>
  <c r="AI85" i="206"/>
  <c r="AG182" i="206"/>
  <c r="R64" i="206"/>
  <c r="U182" i="206"/>
  <c r="M17" i="206"/>
  <c r="AC179" i="206"/>
  <c r="Y67" i="206"/>
  <c r="U205" i="206"/>
  <c r="P69" i="206"/>
  <c r="S194" i="206"/>
  <c r="M139" i="206"/>
  <c r="AD146" i="206"/>
  <c r="R118" i="206"/>
  <c r="AG174" i="206"/>
  <c r="AB126" i="206"/>
  <c r="AA40" i="206"/>
  <c r="L144" i="206"/>
  <c r="V39" i="206"/>
  <c r="T39" i="206"/>
  <c r="P139" i="206"/>
  <c r="AB97" i="206"/>
  <c r="AJ145" i="206"/>
  <c r="Q136" i="206"/>
  <c r="AI204" i="206"/>
  <c r="AD127" i="206"/>
  <c r="Y144" i="206"/>
  <c r="L16" i="206"/>
  <c r="AE15" i="206"/>
  <c r="K192" i="206"/>
  <c r="G192" i="206" s="1"/>
  <c r="Y164" i="206"/>
  <c r="K197" i="206"/>
  <c r="D197" i="206" s="1"/>
  <c r="AE138" i="206"/>
  <c r="AC79" i="206"/>
  <c r="AI136" i="206"/>
  <c r="AE161" i="206"/>
  <c r="AG67" i="206"/>
  <c r="AC101" i="206"/>
  <c r="AJ178" i="206"/>
  <c r="AG190" i="206"/>
  <c r="AG180" i="206"/>
  <c r="AE23" i="206"/>
  <c r="AH205" i="206"/>
  <c r="Y204" i="206"/>
  <c r="Y156" i="206"/>
  <c r="V123" i="219"/>
  <c r="L122" i="220"/>
  <c r="L92" i="220" s="1"/>
  <c r="F102" i="220"/>
  <c r="L71" i="206"/>
  <c r="AJ135" i="206"/>
  <c r="AA34" i="206"/>
  <c r="L164" i="206"/>
  <c r="AE136" i="206"/>
  <c r="AC54" i="206"/>
  <c r="AI31" i="206"/>
  <c r="AI192" i="206"/>
  <c r="AE163" i="206"/>
  <c r="S175" i="206"/>
  <c r="AG136" i="206"/>
  <c r="O204" i="206"/>
  <c r="U36" i="206"/>
  <c r="AI149" i="206"/>
  <c r="V178" i="206"/>
  <c r="R150" i="206"/>
  <c r="T70" i="206"/>
  <c r="AF40" i="206"/>
  <c r="AI126" i="206"/>
  <c r="P162" i="206"/>
  <c r="AB187" i="206"/>
  <c r="S163" i="206"/>
  <c r="AF71" i="206"/>
  <c r="R158" i="206"/>
  <c r="AA72" i="206"/>
  <c r="AD113" i="206"/>
  <c r="R29" i="206"/>
  <c r="P195" i="206"/>
  <c r="R174" i="206"/>
  <c r="R167" i="206"/>
  <c r="O176" i="206"/>
  <c r="AD130" i="206"/>
  <c r="AH65" i="206"/>
  <c r="AJ71" i="206"/>
  <c r="AI166" i="206"/>
  <c r="AE194" i="206"/>
  <c r="AH180" i="206"/>
  <c r="AD90" i="206"/>
  <c r="AA174" i="206"/>
  <c r="S131" i="206"/>
  <c r="K113" i="206"/>
  <c r="D113" i="206" s="1"/>
  <c r="AG85" i="206"/>
  <c r="AC191" i="206"/>
  <c r="Z158" i="206"/>
  <c r="AC205" i="206"/>
  <c r="AJ17" i="206"/>
  <c r="Q205" i="206"/>
  <c r="AC109" i="206"/>
  <c r="AD82" i="206"/>
  <c r="AA60" i="206"/>
  <c r="AE97" i="206"/>
  <c r="AI101" i="206"/>
  <c r="Q197" i="206"/>
  <c r="AH145" i="206"/>
  <c r="AH105" i="206"/>
  <c r="O63" i="206"/>
  <c r="AH189" i="206"/>
  <c r="T174" i="206"/>
  <c r="T188" i="206"/>
  <c r="AI134" i="206"/>
  <c r="R81" i="206"/>
  <c r="AB55" i="206"/>
  <c r="O32" i="206"/>
  <c r="AE113" i="206"/>
  <c r="AC204" i="206"/>
  <c r="O139" i="206"/>
  <c r="AB82" i="206"/>
  <c r="M79" i="206"/>
  <c r="AH122" i="206"/>
  <c r="AE63" i="206"/>
  <c r="AE178" i="206"/>
  <c r="AB192" i="206"/>
  <c r="AB80" i="206"/>
  <c r="T167" i="206"/>
  <c r="O150" i="206"/>
  <c r="L133" i="206"/>
  <c r="Z117" i="206"/>
  <c r="N195" i="206"/>
  <c r="AC182" i="206"/>
  <c r="AD79" i="206"/>
  <c r="AH66" i="206"/>
  <c r="AC81" i="206"/>
  <c r="N74" i="206"/>
  <c r="L182" i="206"/>
  <c r="Y66" i="206"/>
  <c r="AC60" i="206"/>
  <c r="O160" i="206"/>
  <c r="M171" i="206"/>
  <c r="M128" i="206"/>
  <c r="M176" i="206"/>
  <c r="AB122" i="206"/>
  <c r="T161" i="206"/>
  <c r="L67" i="206"/>
  <c r="Z149" i="206"/>
  <c r="AD30" i="206"/>
  <c r="AI147" i="206"/>
  <c r="AE174" i="206"/>
  <c r="AD46" i="206"/>
  <c r="Q79" i="206"/>
  <c r="AD136" i="206"/>
  <c r="AA57" i="206"/>
  <c r="N179" i="206"/>
  <c r="Z193" i="206"/>
  <c r="Y18" i="206"/>
  <c r="AI205" i="206"/>
  <c r="L14" i="206"/>
  <c r="Y109" i="206"/>
  <c r="E109" i="206" s="1"/>
  <c r="AA58" i="206"/>
  <c r="T158" i="206"/>
  <c r="P180" i="206"/>
  <c r="N82" i="206"/>
  <c r="AG203" i="206"/>
  <c r="AA134" i="206"/>
  <c r="AC133" i="206"/>
  <c r="AE170" i="206"/>
  <c r="AA133" i="206"/>
  <c r="AI152" i="206"/>
  <c r="R143" i="206"/>
  <c r="Z72" i="206"/>
  <c r="M167" i="206"/>
  <c r="AG79" i="206"/>
  <c r="R8" i="206"/>
  <c r="Y177" i="206"/>
  <c r="T144" i="206"/>
  <c r="Q196" i="206"/>
  <c r="L159" i="206"/>
  <c r="V27" i="206"/>
  <c r="AH67" i="206"/>
  <c r="AC31" i="206"/>
  <c r="AA109" i="206"/>
  <c r="AB177" i="206"/>
  <c r="AF166" i="206"/>
  <c r="U178" i="206"/>
  <c r="AA196" i="206"/>
  <c r="AH177" i="206"/>
  <c r="U169" i="206"/>
  <c r="AE105" i="206"/>
  <c r="Y145" i="206"/>
  <c r="R205" i="206"/>
  <c r="AE57" i="206"/>
  <c r="S127" i="206"/>
  <c r="AG175" i="206"/>
  <c r="AF36" i="206"/>
  <c r="AI196" i="206"/>
  <c r="AB134" i="206"/>
  <c r="AF128" i="206"/>
  <c r="T118" i="206"/>
  <c r="K75" i="206"/>
  <c r="AE65" i="206"/>
  <c r="U74" i="206"/>
  <c r="AH93" i="206"/>
  <c r="Q174" i="206"/>
  <c r="AI25" i="206"/>
  <c r="R27" i="206"/>
  <c r="M140" i="206"/>
  <c r="AD44" i="206"/>
  <c r="AM301" i="217"/>
  <c r="AM265" i="217"/>
  <c r="AN281" i="217"/>
  <c r="P24" i="206"/>
  <c r="AF16" i="206"/>
  <c r="Z192" i="206"/>
  <c r="L196" i="206"/>
  <c r="M193" i="206"/>
  <c r="V138" i="206"/>
  <c r="P166" i="206"/>
  <c r="N143" i="206"/>
  <c r="S71" i="206"/>
  <c r="AE83" i="206"/>
  <c r="R144" i="206"/>
  <c r="AG204" i="206"/>
  <c r="AF176" i="206"/>
  <c r="AD86" i="206"/>
  <c r="AC146" i="206"/>
  <c r="S41" i="206"/>
  <c r="AE159" i="206"/>
  <c r="N203" i="206"/>
  <c r="AC158" i="206"/>
  <c r="AG167" i="206"/>
  <c r="P187" i="206"/>
  <c r="AC38" i="206"/>
  <c r="R164" i="206"/>
  <c r="P117" i="206"/>
  <c r="S167" i="206"/>
  <c r="S144" i="206"/>
  <c r="AB92" i="206"/>
  <c r="K15" i="206"/>
  <c r="G15" i="206" s="1"/>
  <c r="Q162" i="206"/>
  <c r="AJ156" i="206"/>
  <c r="AG82" i="206"/>
  <c r="AI80" i="206"/>
  <c r="V65" i="206"/>
  <c r="S191" i="206"/>
  <c r="P168" i="206"/>
  <c r="P188" i="206"/>
  <c r="R193" i="206"/>
  <c r="O203" i="206"/>
  <c r="T81" i="206"/>
  <c r="Q179" i="206"/>
  <c r="AB139" i="206"/>
  <c r="M170" i="206"/>
  <c r="U191" i="206"/>
  <c r="AD164" i="206"/>
  <c r="U168" i="206"/>
  <c r="AA176" i="206"/>
  <c r="AD181" i="206"/>
  <c r="AG117" i="206"/>
  <c r="T143" i="206"/>
  <c r="T133" i="206"/>
  <c r="Z139" i="206"/>
  <c r="AH129" i="206"/>
  <c r="AA105" i="206"/>
  <c r="U25" i="206"/>
  <c r="AI88" i="206"/>
  <c r="AA179" i="206"/>
  <c r="AI16" i="206"/>
  <c r="AA37" i="206"/>
  <c r="AB151" i="206"/>
  <c r="Z90" i="206"/>
  <c r="AC177" i="206"/>
  <c r="AE86" i="206"/>
  <c r="S162" i="206"/>
  <c r="AG145" i="206"/>
  <c r="AA56" i="206"/>
  <c r="O75" i="206"/>
  <c r="AB68" i="206"/>
  <c r="B39" i="172"/>
  <c r="AG97" i="206"/>
  <c r="AE190" i="206"/>
  <c r="S64" i="206"/>
  <c r="Z157" i="206"/>
  <c r="AB148" i="206"/>
  <c r="T149" i="206"/>
  <c r="P90" i="206"/>
  <c r="AA175" i="206"/>
  <c r="K196" i="206"/>
  <c r="G196" i="206" s="1"/>
  <c r="T194" i="206"/>
  <c r="AG171" i="206"/>
  <c r="M197" i="206"/>
  <c r="AC170" i="206"/>
  <c r="M182" i="206"/>
  <c r="AD193" i="206"/>
  <c r="AB142" i="206"/>
  <c r="N132" i="206"/>
  <c r="AA149" i="206"/>
  <c r="Z141" i="206"/>
  <c r="S143" i="206"/>
  <c r="M190" i="206"/>
  <c r="P25" i="206"/>
  <c r="AA71" i="206"/>
  <c r="AB133" i="206"/>
  <c r="AD29" i="206"/>
  <c r="AG177" i="206"/>
  <c r="V158" i="206"/>
  <c r="AD68" i="206"/>
  <c r="AJ204" i="206"/>
  <c r="AD51" i="206"/>
  <c r="AJ169" i="206"/>
  <c r="AJ27" i="206"/>
  <c r="V171" i="206"/>
  <c r="U135" i="206"/>
  <c r="AB144" i="206"/>
  <c r="AH142" i="206"/>
  <c r="Y180" i="206"/>
  <c r="S187" i="206"/>
  <c r="Y194" i="206"/>
  <c r="H194" i="206" s="1"/>
  <c r="AJ174" i="206"/>
  <c r="Q29" i="206"/>
  <c r="N129" i="206"/>
  <c r="AG195" i="206"/>
  <c r="O188" i="206"/>
  <c r="K171" i="206"/>
  <c r="D171" i="206" s="1"/>
  <c r="AD176" i="206"/>
  <c r="Z16" i="206"/>
  <c r="AB162" i="206"/>
  <c r="U131" i="206"/>
  <c r="Z14" i="206"/>
  <c r="AD137" i="206"/>
  <c r="AC180" i="206"/>
  <c r="Z87" i="206"/>
  <c r="AG161" i="206"/>
  <c r="AG170" i="206"/>
  <c r="AF131" i="206"/>
  <c r="Q74" i="206"/>
  <c r="K73" i="206"/>
  <c r="D73" i="206" s="1"/>
  <c r="V167" i="206"/>
  <c r="AE191" i="206"/>
  <c r="AE126" i="206"/>
  <c r="Z28" i="206"/>
  <c r="AC23" i="206"/>
  <c r="AE14" i="206"/>
  <c r="Z122" i="206"/>
  <c r="AD122" i="206"/>
  <c r="AF193" i="206"/>
  <c r="Q191" i="206"/>
  <c r="AC193" i="206"/>
  <c r="AI174" i="206"/>
  <c r="AG162" i="206"/>
  <c r="P189" i="206"/>
  <c r="AG70" i="206"/>
  <c r="N158" i="206"/>
  <c r="U82" i="206"/>
  <c r="N137" i="206"/>
  <c r="AC176" i="206"/>
  <c r="AG178" i="206"/>
  <c r="AI191" i="206"/>
  <c r="P203" i="206"/>
  <c r="AE68" i="206"/>
  <c r="AF148" i="206"/>
  <c r="AC178" i="206"/>
  <c r="AF58" i="206"/>
  <c r="N194" i="206"/>
  <c r="AA63" i="206"/>
  <c r="Z187" i="206"/>
  <c r="AG69" i="206"/>
  <c r="U75" i="206"/>
  <c r="Z179" i="206"/>
  <c r="AI72" i="206"/>
  <c r="T159" i="206"/>
  <c r="AJ80" i="206"/>
  <c r="Q135" i="206"/>
  <c r="S193" i="206"/>
  <c r="R140" i="206"/>
  <c r="U8" i="206"/>
  <c r="K164" i="206"/>
  <c r="G164" i="206" s="1"/>
  <c r="M164" i="206"/>
  <c r="AG168" i="206"/>
  <c r="AF109" i="206"/>
  <c r="V36" i="206"/>
  <c r="L74" i="206"/>
  <c r="AB198" i="206"/>
  <c r="AB83" i="206"/>
  <c r="AA203" i="206"/>
  <c r="Y190" i="206"/>
  <c r="AA158" i="206"/>
  <c r="R9" i="206"/>
  <c r="V180" i="206"/>
  <c r="AG28" i="206"/>
  <c r="Z126" i="206"/>
  <c r="AG18" i="206"/>
  <c r="AH53" i="206"/>
  <c r="Z52" i="206"/>
  <c r="Z161" i="206"/>
  <c r="T64" i="206"/>
  <c r="AI187" i="206"/>
  <c r="K138" i="206"/>
  <c r="G138" i="206" s="1"/>
  <c r="AG75" i="206"/>
  <c r="AF151" i="206"/>
  <c r="AG59" i="206"/>
  <c r="AG35" i="206"/>
  <c r="AJ195" i="206"/>
  <c r="AB8" i="206"/>
  <c r="AI178" i="206"/>
  <c r="S82" i="206"/>
  <c r="O164" i="206"/>
  <c r="P192" i="206"/>
  <c r="AD203" i="206"/>
  <c r="R127" i="206"/>
  <c r="U118" i="206"/>
  <c r="AC144" i="206"/>
  <c r="V72" i="206"/>
  <c r="P197" i="206"/>
  <c r="AJ182" i="206"/>
  <c r="S8" i="206"/>
  <c r="AJ138" i="206"/>
  <c r="P27" i="206"/>
  <c r="AG163" i="206"/>
  <c r="AE135" i="206"/>
  <c r="AJ63" i="206"/>
  <c r="AA143" i="206"/>
  <c r="T170" i="206"/>
  <c r="P176" i="206"/>
  <c r="M24" i="206"/>
  <c r="AE18" i="206"/>
  <c r="R66" i="206"/>
  <c r="AJ90" i="206"/>
  <c r="AI171" i="206"/>
  <c r="Q64" i="206"/>
  <c r="Z17" i="206"/>
  <c r="Q139" i="206"/>
  <c r="AB156" i="206"/>
  <c r="O71" i="206"/>
  <c r="Z160" i="206"/>
  <c r="R189" i="206"/>
  <c r="AB167" i="206"/>
  <c r="Q175" i="206"/>
  <c r="AA117" i="206"/>
  <c r="AE192" i="206"/>
  <c r="L195" i="206"/>
  <c r="AD198" i="206"/>
  <c r="P75" i="206"/>
  <c r="U204" i="206"/>
  <c r="O205" i="206"/>
  <c r="AA136" i="206"/>
  <c r="AC27" i="206"/>
  <c r="AB54" i="206"/>
  <c r="L175" i="206"/>
  <c r="R129" i="206"/>
  <c r="AH188" i="206"/>
  <c r="AD174" i="206"/>
  <c r="U17" i="206"/>
  <c r="AA55" i="206"/>
  <c r="L18" i="206"/>
  <c r="AH176" i="206"/>
  <c r="AC40" i="206"/>
  <c r="T34" i="206"/>
  <c r="AB160" i="206"/>
  <c r="V162" i="206"/>
  <c r="R68" i="206"/>
  <c r="Y196" i="206"/>
  <c r="AA46" i="206"/>
  <c r="AB190" i="206"/>
  <c r="U163" i="206"/>
  <c r="O182" i="206"/>
  <c r="K163" i="206"/>
  <c r="D163" i="206" s="1"/>
  <c r="N188" i="206"/>
  <c r="R195" i="206"/>
  <c r="AD196" i="206"/>
  <c r="AA181" i="206"/>
  <c r="S198" i="206"/>
  <c r="O158" i="206"/>
  <c r="AI86" i="206"/>
  <c r="U16" i="206"/>
  <c r="V82" i="206"/>
  <c r="U141" i="206"/>
  <c r="AI87" i="206"/>
  <c r="R180" i="206"/>
  <c r="AG126" i="206"/>
  <c r="U66" i="206"/>
  <c r="Y28" i="206"/>
  <c r="Y82" i="206"/>
  <c r="AD204" i="206"/>
  <c r="AB88" i="206"/>
  <c r="AD163" i="206"/>
  <c r="O72" i="206"/>
  <c r="R32" i="206"/>
  <c r="AD132" i="206"/>
  <c r="K139" i="206"/>
  <c r="G139" i="206" s="1"/>
  <c r="Q90" i="206"/>
  <c r="U79" i="206"/>
  <c r="O41" i="206"/>
  <c r="AI179" i="206"/>
  <c r="AC164" i="206"/>
  <c r="Y147" i="206"/>
  <c r="Z148" i="206"/>
  <c r="S140" i="206"/>
  <c r="AF140" i="206"/>
  <c r="AJ26" i="206"/>
  <c r="Z195" i="206"/>
  <c r="K66" i="206"/>
  <c r="G66" i="206" s="1"/>
  <c r="Y70" i="206"/>
  <c r="U26" i="206"/>
  <c r="S63" i="206"/>
  <c r="Z191" i="206"/>
  <c r="AG152" i="206"/>
  <c r="N174" i="206"/>
  <c r="Y205" i="206"/>
  <c r="E205" i="206" s="1"/>
  <c r="AC171" i="206"/>
  <c r="AB205" i="206"/>
  <c r="T18" i="206"/>
  <c r="Z34" i="206"/>
  <c r="O129" i="206"/>
  <c r="K63" i="206"/>
  <c r="G63" i="206" s="1"/>
  <c r="AJ175" i="206"/>
  <c r="M180" i="206"/>
  <c r="AH80" i="206"/>
  <c r="AJ148" i="206"/>
  <c r="AJ118" i="206"/>
  <c r="L192" i="206"/>
  <c r="AJ89" i="206"/>
  <c r="AH181" i="206"/>
  <c r="L204" i="206"/>
  <c r="AC33" i="206"/>
  <c r="R157" i="206"/>
  <c r="AI197" i="206"/>
  <c r="AB164" i="206"/>
  <c r="R162" i="206"/>
  <c r="K203" i="206"/>
  <c r="G203" i="206" s="1"/>
  <c r="M81" i="206"/>
  <c r="T109" i="206"/>
  <c r="AB93" i="206"/>
  <c r="AJ176" i="206"/>
  <c r="U81" i="206"/>
  <c r="Q14" i="206"/>
  <c r="P70" i="206"/>
  <c r="AC117" i="206"/>
  <c r="S204" i="206"/>
  <c r="N161" i="206"/>
  <c r="AB178" i="206"/>
  <c r="M205" i="206"/>
  <c r="AF80" i="206"/>
  <c r="AG141" i="206"/>
  <c r="U90" i="206"/>
  <c r="R166" i="206"/>
  <c r="AE193" i="206"/>
  <c r="Y56" i="206"/>
  <c r="AH44" i="206"/>
  <c r="AH90" i="206"/>
  <c r="U157" i="206"/>
  <c r="Z204" i="206"/>
  <c r="U138" i="206"/>
  <c r="S149" i="206"/>
  <c r="O90" i="206"/>
  <c r="L27" i="206"/>
  <c r="V74" i="206"/>
  <c r="T127" i="206"/>
  <c r="AJ190" i="206"/>
  <c r="R67" i="206"/>
  <c r="L81" i="206"/>
  <c r="AG86" i="206"/>
  <c r="R24" i="206"/>
  <c r="AH69" i="206"/>
  <c r="AC14" i="206"/>
  <c r="AE156" i="206"/>
  <c r="V150" i="206"/>
  <c r="M168" i="206"/>
  <c r="N75" i="206"/>
  <c r="Y39" i="206"/>
  <c r="V179" i="206"/>
  <c r="Z137" i="206"/>
  <c r="AB147" i="206"/>
  <c r="AI64" i="206"/>
  <c r="AF135" i="206"/>
  <c r="AI193" i="206"/>
  <c r="T178" i="206"/>
  <c r="AI82" i="206"/>
  <c r="Q195" i="206"/>
  <c r="AD37" i="206"/>
  <c r="AI52" i="206"/>
  <c r="P140" i="206"/>
  <c r="K179" i="206"/>
  <c r="G179" i="206" s="1"/>
  <c r="AJ87" i="206"/>
  <c r="Z197" i="206"/>
  <c r="AD188" i="206"/>
  <c r="S180" i="206"/>
  <c r="O64" i="206"/>
  <c r="AG74" i="206"/>
  <c r="AB109" i="206"/>
  <c r="Z159" i="206"/>
  <c r="AI73" i="206"/>
  <c r="AJ191" i="206"/>
  <c r="AG137" i="206"/>
  <c r="AD151" i="206"/>
  <c r="Q160" i="206"/>
  <c r="AF204" i="206"/>
  <c r="R145" i="206"/>
  <c r="AJ134" i="206"/>
  <c r="S164" i="206"/>
  <c r="K132" i="206"/>
  <c r="D132" i="206" s="1"/>
  <c r="AF113" i="206"/>
  <c r="R194" i="206"/>
  <c r="AG41" i="206"/>
  <c r="K188" i="206"/>
  <c r="G188" i="206" s="1"/>
  <c r="AE181" i="206"/>
  <c r="V164" i="206"/>
  <c r="M64" i="206"/>
  <c r="R79" i="206"/>
  <c r="O167" i="206"/>
  <c r="AF61" i="206"/>
  <c r="U180" i="206"/>
  <c r="N72" i="206"/>
  <c r="Q182" i="206"/>
  <c r="AH158" i="206"/>
  <c r="Q171" i="206"/>
  <c r="AF129" i="206"/>
  <c r="U160" i="206"/>
  <c r="O174" i="206"/>
  <c r="K27" i="206"/>
  <c r="G27" i="206" s="1"/>
  <c r="AF197" i="206"/>
  <c r="Z113" i="206"/>
  <c r="R160" i="206"/>
  <c r="AJ45" i="206"/>
  <c r="Y45" i="206"/>
  <c r="AJ32" i="206"/>
  <c r="AD45" i="206"/>
  <c r="U150" i="206"/>
  <c r="AF130" i="206"/>
  <c r="AD97" i="206"/>
  <c r="S26" i="206"/>
  <c r="P63" i="206"/>
  <c r="AJ126" i="206"/>
  <c r="V174" i="206"/>
  <c r="U164" i="206"/>
  <c r="T137" i="206"/>
  <c r="S178" i="206"/>
  <c r="U70" i="206"/>
  <c r="O187" i="206"/>
  <c r="Z81" i="206"/>
  <c r="AE89" i="206"/>
  <c r="AF34" i="206"/>
  <c r="K189" i="206"/>
  <c r="G189" i="206" s="1"/>
  <c r="S168" i="206"/>
  <c r="Y105" i="206"/>
  <c r="E105" i="206" s="1"/>
  <c r="AH25" i="206"/>
  <c r="AA85" i="206"/>
  <c r="Q72" i="206"/>
  <c r="Y182" i="206"/>
  <c r="AE143" i="206"/>
  <c r="P129" i="206"/>
  <c r="AA67" i="206"/>
  <c r="Q203" i="206"/>
  <c r="AI58" i="206"/>
  <c r="AI56" i="206"/>
  <c r="AD66" i="206"/>
  <c r="AD105" i="206"/>
  <c r="U179" i="206"/>
  <c r="Z143" i="206"/>
  <c r="AI159" i="206"/>
  <c r="Y161" i="206"/>
  <c r="O135" i="206"/>
  <c r="M62" i="206"/>
  <c r="Z47" i="206"/>
  <c r="AJ97" i="206"/>
  <c r="AH156" i="206"/>
  <c r="K170" i="206"/>
  <c r="Z132" i="206"/>
  <c r="AD64" i="206"/>
  <c r="AE151" i="206"/>
  <c r="M187" i="206"/>
  <c r="AF33" i="206"/>
  <c r="AE41" i="206"/>
  <c r="L28" i="206"/>
  <c r="AG135" i="206"/>
  <c r="AI118" i="206"/>
  <c r="AG62" i="206"/>
  <c r="Q177" i="206"/>
  <c r="V66" i="206"/>
  <c r="AA38" i="206"/>
  <c r="Z198" i="206"/>
  <c r="AA86" i="206"/>
  <c r="AI67" i="206"/>
  <c r="N198" i="206"/>
  <c r="R113" i="206"/>
  <c r="AA26" i="206"/>
  <c r="AA16" i="206"/>
  <c r="N90" i="206"/>
  <c r="AH131" i="206"/>
  <c r="N160" i="206"/>
  <c r="T191" i="206"/>
  <c r="AA144" i="206"/>
  <c r="N136" i="206"/>
  <c r="P9" i="206"/>
  <c r="V133" i="206"/>
  <c r="N25" i="206"/>
  <c r="AH63" i="206"/>
  <c r="AJ40" i="206"/>
  <c r="AH138" i="206"/>
  <c r="Y117" i="206"/>
  <c r="Z131" i="206"/>
  <c r="P81" i="206"/>
  <c r="V196" i="206"/>
  <c r="R161" i="206"/>
  <c r="AA137" i="206"/>
  <c r="AJ165" i="206"/>
  <c r="AE60" i="206"/>
  <c r="T179" i="206"/>
  <c r="Q75" i="206"/>
  <c r="AC194" i="206"/>
  <c r="R198" i="206"/>
  <c r="U145" i="206"/>
  <c r="R192" i="206"/>
  <c r="Y195" i="206"/>
  <c r="E195" i="206" s="1"/>
  <c r="M26" i="206"/>
  <c r="O192" i="206"/>
  <c r="AD81" i="206"/>
  <c r="Q131" i="206"/>
  <c r="R131" i="206"/>
  <c r="AD165" i="206"/>
  <c r="L129" i="206"/>
  <c r="AG36" i="206"/>
  <c r="Z40" i="206"/>
  <c r="AI151" i="206"/>
  <c r="AE134" i="206"/>
  <c r="R134" i="206"/>
  <c r="U144" i="206"/>
  <c r="P109" i="206"/>
  <c r="Z205" i="206"/>
  <c r="U197" i="206"/>
  <c r="AE198" i="206"/>
  <c r="AJ150" i="206"/>
  <c r="Y141" i="206"/>
  <c r="Y87" i="206"/>
  <c r="AC36" i="206"/>
  <c r="AF74" i="206"/>
  <c r="AB130" i="206"/>
  <c r="S145" i="206"/>
  <c r="AC74" i="206"/>
  <c r="AG17" i="206"/>
  <c r="AJ79" i="206"/>
  <c r="V70" i="206"/>
  <c r="M25" i="206"/>
  <c r="AE141" i="206"/>
  <c r="N29" i="206"/>
  <c r="AI27" i="206"/>
  <c r="AJ177" i="206"/>
  <c r="T192" i="206"/>
  <c r="K130" i="206"/>
  <c r="AB75" i="206"/>
  <c r="AC87" i="206"/>
  <c r="O195" i="206"/>
  <c r="R72" i="206"/>
  <c r="O28" i="206"/>
  <c r="L193" i="206"/>
  <c r="Z30" i="206"/>
  <c r="Y17" i="206"/>
  <c r="E17" i="206" s="1"/>
  <c r="AI59" i="206"/>
  <c r="AE175" i="206"/>
  <c r="K162" i="206"/>
  <c r="D162" i="206" s="1"/>
  <c r="P29" i="206"/>
  <c r="AE54" i="206"/>
  <c r="AB67" i="206"/>
  <c r="P131" i="206"/>
  <c r="P130" i="206"/>
  <c r="AA141" i="206"/>
  <c r="M194" i="206"/>
  <c r="AJ52" i="206"/>
  <c r="U139" i="206"/>
  <c r="AE91" i="206"/>
  <c r="T135" i="206"/>
  <c r="AD205" i="206"/>
  <c r="M32" i="206"/>
  <c r="N204" i="206"/>
  <c r="V9" i="206"/>
  <c r="Y178" i="206"/>
  <c r="AF190" i="206"/>
  <c r="AJ81" i="206"/>
  <c r="T113" i="206"/>
  <c r="L132" i="206"/>
  <c r="AG149" i="206"/>
  <c r="AH160" i="206"/>
  <c r="M127" i="206"/>
  <c r="Z167" i="206"/>
  <c r="K82" i="206"/>
  <c r="D82" i="206" s="1"/>
  <c r="AA169" i="206"/>
  <c r="AG26" i="206"/>
  <c r="AC75" i="206"/>
  <c r="AI90" i="206"/>
  <c r="Z15" i="206"/>
  <c r="N197" i="206"/>
  <c r="AC62" i="206"/>
  <c r="AE64" i="206"/>
  <c r="AC41" i="206"/>
  <c r="AD74" i="206"/>
  <c r="AG54" i="206"/>
  <c r="AJ30" i="206"/>
  <c r="AC86" i="206"/>
  <c r="Z31" i="206"/>
  <c r="AD194" i="206"/>
  <c r="AI177" i="206"/>
  <c r="O168" i="206"/>
  <c r="AA152" i="206"/>
  <c r="T187" i="206"/>
  <c r="AF191" i="206"/>
  <c r="AF192" i="206"/>
  <c r="AG89" i="206"/>
  <c r="AB47" i="206"/>
  <c r="V132" i="206"/>
  <c r="AG93" i="206"/>
  <c r="T180" i="206"/>
  <c r="R163" i="206"/>
  <c r="AG127" i="206"/>
  <c r="AC15" i="206"/>
  <c r="AF132" i="206"/>
  <c r="AA140" i="206"/>
  <c r="U113" i="206"/>
  <c r="AG147" i="206"/>
  <c r="AD179" i="206"/>
  <c r="K140" i="206"/>
  <c r="G140" i="206" s="1"/>
  <c r="AF14" i="206"/>
  <c r="AA142" i="206"/>
  <c r="AA162" i="206"/>
  <c r="S169" i="206"/>
  <c r="AJ168" i="206"/>
  <c r="P32" i="206"/>
  <c r="M161" i="206"/>
  <c r="AD87" i="206"/>
  <c r="AH170" i="206"/>
  <c r="AC122" i="206"/>
  <c r="Q133" i="206"/>
  <c r="AH197" i="206"/>
  <c r="AE61" i="206"/>
  <c r="Z85" i="206"/>
  <c r="AC150" i="206"/>
  <c r="AB194" i="206"/>
  <c r="V64" i="206"/>
  <c r="K149" i="206"/>
  <c r="D149" i="206" s="1"/>
  <c r="U68" i="206"/>
  <c r="P167" i="206"/>
  <c r="M189" i="206"/>
  <c r="Q178" i="206"/>
  <c r="AC166" i="206"/>
  <c r="AH128" i="206"/>
  <c r="P193" i="206"/>
  <c r="AH52" i="206"/>
  <c r="T197" i="206"/>
  <c r="U71" i="206"/>
  <c r="AF126" i="206"/>
  <c r="L171" i="206"/>
  <c r="P194" i="206"/>
  <c r="AD35" i="206"/>
  <c r="Q109" i="206"/>
  <c r="AF28" i="206"/>
  <c r="S182" i="206"/>
  <c r="AJ83" i="206"/>
  <c r="AE168" i="206"/>
  <c r="AB149" i="206"/>
  <c r="U162" i="206"/>
  <c r="AB69" i="206"/>
  <c r="AC198" i="206"/>
  <c r="AI181" i="206"/>
  <c r="L134" i="206"/>
  <c r="AH36" i="206"/>
  <c r="N167" i="206"/>
  <c r="AF167" i="206"/>
  <c r="Y132" i="206"/>
  <c r="N191" i="206"/>
  <c r="AI62" i="206"/>
  <c r="AE69" i="206"/>
  <c r="AF163" i="206"/>
  <c r="Y44" i="206"/>
  <c r="AB117" i="206"/>
  <c r="AI144" i="206"/>
  <c r="AA161" i="206"/>
  <c r="Z176" i="206"/>
  <c r="R73" i="206"/>
  <c r="S138" i="206"/>
  <c r="P144" i="206"/>
  <c r="Q132" i="206"/>
  <c r="P179" i="206"/>
  <c r="AJ137" i="206"/>
  <c r="AC188" i="206"/>
  <c r="L168" i="206"/>
  <c r="AF51" i="206"/>
  <c r="AJ189" i="206"/>
  <c r="V203" i="206"/>
  <c r="AF52" i="206"/>
  <c r="AH109" i="206"/>
  <c r="AB30" i="206"/>
  <c r="T29" i="206"/>
  <c r="T71" i="206"/>
  <c r="V140" i="206"/>
  <c r="R14" i="206"/>
  <c r="L62" i="206"/>
  <c r="AI55" i="206"/>
  <c r="V182" i="206"/>
  <c r="AF133" i="206"/>
  <c r="AF141" i="206"/>
  <c r="AG57" i="206"/>
  <c r="AD83" i="206"/>
  <c r="AI139" i="206"/>
  <c r="AH147" i="206"/>
  <c r="N27" i="206"/>
  <c r="L68" i="206"/>
  <c r="AB28" i="206"/>
  <c r="AI30" i="206"/>
  <c r="P136" i="206"/>
  <c r="AJ68" i="206"/>
  <c r="O169" i="206"/>
  <c r="O170" i="206"/>
  <c r="AF168" i="206"/>
  <c r="O197" i="206"/>
  <c r="AE101" i="206"/>
  <c r="K131" i="206"/>
  <c r="G131" i="206" s="1"/>
  <c r="AJ73" i="206"/>
  <c r="AD138" i="206"/>
  <c r="N176" i="206"/>
  <c r="Z130" i="206"/>
  <c r="AE72" i="206"/>
  <c r="AF137" i="206"/>
  <c r="AI65" i="206"/>
  <c r="S197" i="206"/>
  <c r="AF181" i="206"/>
  <c r="AD150" i="206"/>
  <c r="AB193" i="206"/>
  <c r="AE90" i="206"/>
  <c r="T190" i="206"/>
  <c r="L137" i="206"/>
  <c r="Z79" i="206"/>
  <c r="O178" i="206"/>
  <c r="AD135" i="206"/>
  <c r="V181" i="206"/>
  <c r="AB171" i="206"/>
  <c r="AC39" i="206"/>
  <c r="M196" i="206"/>
  <c r="AC51" i="206"/>
  <c r="O34" i="206"/>
  <c r="Y174" i="206"/>
  <c r="AH162" i="206"/>
  <c r="AD162" i="206"/>
  <c r="L9" i="206"/>
  <c r="S14" i="206"/>
  <c r="Y126" i="206"/>
  <c r="AH204" i="206"/>
  <c r="S134" i="206"/>
  <c r="AA146" i="206"/>
  <c r="AB137" i="206"/>
  <c r="AI39" i="206"/>
  <c r="Z169" i="206"/>
  <c r="AE85" i="206"/>
  <c r="AJ93" i="206"/>
  <c r="R197" i="206"/>
  <c r="AD175" i="206"/>
  <c r="AA89" i="206"/>
  <c r="AD39" i="206"/>
  <c r="V63" i="206"/>
  <c r="AC57" i="206"/>
  <c r="AD67" i="206"/>
  <c r="AE162" i="206"/>
  <c r="Y33" i="206"/>
  <c r="H33" i="206" s="1"/>
  <c r="AG66" i="206"/>
  <c r="AD178" i="206"/>
  <c r="AI89" i="206"/>
  <c r="AG187" i="206"/>
  <c r="Y158" i="206"/>
  <c r="H158" i="206" s="1"/>
  <c r="AI150" i="206"/>
  <c r="K41" i="206"/>
  <c r="G41" i="206" s="1"/>
  <c r="N65" i="206"/>
  <c r="V198" i="206"/>
  <c r="AG63" i="206"/>
  <c r="O143" i="206"/>
  <c r="AC93" i="206"/>
  <c r="AJ86" i="206"/>
  <c r="AJ65" i="206"/>
  <c r="N181" i="206"/>
  <c r="S28" i="206"/>
  <c r="L41" i="206"/>
  <c r="AB38" i="206"/>
  <c r="L150" i="206"/>
  <c r="Z190" i="206"/>
  <c r="AG90" i="206"/>
  <c r="Y31" i="206"/>
  <c r="H31" i="206" s="1"/>
  <c r="Q170" i="206"/>
  <c r="AJ196" i="206"/>
  <c r="P141" i="206"/>
  <c r="P41" i="206"/>
  <c r="AF142" i="206"/>
  <c r="V23" i="206"/>
  <c r="AG30" i="206"/>
  <c r="N138" i="206"/>
  <c r="AE139" i="206"/>
  <c r="AC32" i="206"/>
  <c r="AI41" i="206"/>
  <c r="Z150" i="206"/>
  <c r="AA61" i="206"/>
  <c r="AE79" i="206"/>
  <c r="S195" i="206"/>
  <c r="Z69" i="206"/>
  <c r="L180" i="206"/>
  <c r="AA194" i="206"/>
  <c r="AE17" i="206"/>
  <c r="V130" i="206"/>
  <c r="O161" i="206"/>
  <c r="AI137" i="206"/>
  <c r="N171" i="206"/>
  <c r="R191" i="206"/>
  <c r="K176" i="206"/>
  <c r="D176" i="206" s="1"/>
  <c r="AJ158" i="206"/>
  <c r="AC196" i="206"/>
  <c r="L79" i="206"/>
  <c r="O198" i="206"/>
  <c r="AI189" i="206"/>
  <c r="AI46" i="206"/>
  <c r="AJ146" i="206"/>
  <c r="T65" i="206"/>
  <c r="AC203" i="206"/>
  <c r="AB196" i="206"/>
  <c r="Y80" i="206"/>
  <c r="E80" i="206" s="1"/>
  <c r="U67" i="206"/>
  <c r="V194" i="206"/>
  <c r="AA160" i="206"/>
  <c r="Y171" i="206"/>
  <c r="Q166" i="206"/>
  <c r="L139" i="206"/>
  <c r="N79" i="206"/>
  <c r="AB195" i="206"/>
  <c r="M137" i="206"/>
  <c r="M31" i="206"/>
  <c r="AF97" i="206"/>
  <c r="K158" i="206"/>
  <c r="G158" i="206" s="1"/>
  <c r="K182" i="206"/>
  <c r="G182" i="206" s="1"/>
  <c r="AE179" i="206"/>
  <c r="AB165" i="206"/>
  <c r="Y191" i="206"/>
  <c r="E191" i="206" s="1"/>
  <c r="S24" i="206"/>
  <c r="R203" i="206"/>
  <c r="Q163" i="206"/>
  <c r="U166" i="206"/>
  <c r="Q150" i="206"/>
  <c r="R30" i="206"/>
  <c r="AC71" i="206"/>
  <c r="AB73" i="206"/>
  <c r="AD54" i="206"/>
  <c r="T30" i="206"/>
  <c r="AG83" i="206"/>
  <c r="K109" i="206"/>
  <c r="G109" i="206" s="1"/>
  <c r="AJ105" i="206"/>
  <c r="U129" i="206"/>
  <c r="Q26" i="206"/>
  <c r="N145" i="206"/>
  <c r="AJ70" i="206"/>
  <c r="AI127" i="206"/>
  <c r="AI170" i="206"/>
  <c r="K134" i="206"/>
  <c r="D134" i="206" s="1"/>
  <c r="V118" i="206"/>
  <c r="K180" i="206"/>
  <c r="G180" i="206" s="1"/>
  <c r="K195" i="206"/>
  <c r="D195" i="206" s="1"/>
  <c r="R70" i="206"/>
  <c r="S192" i="206"/>
  <c r="Y122" i="206"/>
  <c r="H122" i="206" s="1"/>
  <c r="P198" i="206"/>
  <c r="AI83" i="206"/>
  <c r="AE118" i="206"/>
  <c r="Q176" i="206"/>
  <c r="AA159" i="206"/>
  <c r="AG164" i="206"/>
  <c r="L118" i="206"/>
  <c r="AB127" i="206"/>
  <c r="O159" i="206"/>
  <c r="AE165" i="206"/>
  <c r="AB64" i="206"/>
  <c r="Q168" i="206"/>
  <c r="L161" i="206"/>
  <c r="L203" i="206"/>
  <c r="U143" i="206"/>
  <c r="R168" i="206"/>
  <c r="AB169" i="206"/>
  <c r="AG196" i="206"/>
  <c r="AJ171" i="206"/>
  <c r="AC181" i="206"/>
  <c r="AH151" i="206"/>
  <c r="R177" i="206"/>
  <c r="Z194" i="206"/>
  <c r="T140" i="206"/>
  <c r="AD191" i="206"/>
  <c r="AJ29" i="206"/>
  <c r="L66" i="206"/>
  <c r="AE171" i="206"/>
  <c r="V189" i="206"/>
  <c r="Z41" i="206"/>
  <c r="N69" i="206"/>
  <c r="M28" i="206"/>
  <c r="Z66" i="206"/>
  <c r="AB182" i="206"/>
  <c r="N192" i="206"/>
  <c r="Z54" i="206"/>
  <c r="Z82" i="206"/>
  <c r="AF59" i="206"/>
  <c r="AF162" i="206"/>
  <c r="M15" i="206"/>
  <c r="AB86" i="206"/>
  <c r="Z188" i="206"/>
  <c r="AI93" i="206"/>
  <c r="Q161" i="206"/>
  <c r="V37" i="206"/>
  <c r="R178" i="206"/>
  <c r="AB203" i="206"/>
  <c r="T72" i="206"/>
  <c r="L198" i="206"/>
  <c r="U193" i="206"/>
  <c r="T27" i="206"/>
  <c r="AH83" i="206"/>
  <c r="Y170" i="206"/>
  <c r="E170" i="206" s="1"/>
  <c r="F170" i="206" s="1"/>
  <c r="Z168" i="206"/>
  <c r="O132" i="206"/>
  <c r="Z174" i="206"/>
  <c r="AJ31" i="206"/>
  <c r="AJ8" i="206"/>
  <c r="AD55" i="206"/>
  <c r="AC45" i="206"/>
  <c r="AG38" i="206"/>
  <c r="R36" i="206"/>
  <c r="Y73" i="206"/>
  <c r="E73" i="206" s="1"/>
  <c r="L127" i="206"/>
  <c r="AA80" i="206"/>
  <c r="AJ130" i="206"/>
  <c r="O190" i="206"/>
  <c r="AF88" i="206"/>
  <c r="Q181" i="206"/>
  <c r="Y36" i="206"/>
  <c r="H36" i="206" s="1"/>
  <c r="S118" i="206"/>
  <c r="U137" i="206"/>
  <c r="AC156" i="206"/>
  <c r="AB91" i="206"/>
  <c r="AI74" i="206"/>
  <c r="AI160" i="206"/>
  <c r="AI109" i="206"/>
  <c r="Y59" i="206"/>
  <c r="E59" i="206" s="1"/>
  <c r="AJ58" i="206"/>
  <c r="P128" i="206"/>
  <c r="AH130" i="206"/>
  <c r="AB136" i="206"/>
  <c r="AJ157" i="206"/>
  <c r="AC105" i="206"/>
  <c r="P62" i="206"/>
  <c r="AG134" i="206"/>
  <c r="AF174" i="206"/>
  <c r="AA147" i="206"/>
  <c r="AE33" i="206"/>
  <c r="AG198" i="206"/>
  <c r="AE39" i="206"/>
  <c r="M68" i="206"/>
  <c r="AI164" i="206"/>
  <c r="AF101" i="206"/>
  <c r="AE34" i="206"/>
  <c r="Y146" i="206"/>
  <c r="H146" i="206" s="1"/>
  <c r="AE117" i="206"/>
  <c r="AD195" i="206"/>
  <c r="L149" i="206"/>
  <c r="V30" i="206"/>
  <c r="U177" i="206"/>
  <c r="AB9" i="206"/>
  <c r="AF75" i="206"/>
  <c r="AB23" i="206"/>
  <c r="AJ198" i="206"/>
  <c r="Y38" i="206"/>
  <c r="N28" i="206"/>
  <c r="AH179" i="206"/>
  <c r="AD168" i="206"/>
  <c r="Z33" i="206"/>
  <c r="AI35" i="206"/>
  <c r="AD159" i="206"/>
  <c r="L117" i="206"/>
  <c r="AJ38" i="206"/>
  <c r="AF89" i="206"/>
  <c r="AG15" i="206"/>
  <c r="AA135" i="206"/>
  <c r="AA168" i="206"/>
  <c r="V131" i="206"/>
  <c r="AA31" i="206"/>
  <c r="P113" i="206"/>
  <c r="AE182" i="206"/>
  <c r="AG169" i="206"/>
  <c r="T150" i="206"/>
  <c r="AB85" i="206"/>
  <c r="AC56" i="206"/>
  <c r="P204" i="206"/>
  <c r="O175" i="206"/>
  <c r="AI92" i="206"/>
  <c r="T90" i="206"/>
  <c r="AH37" i="206"/>
  <c r="V197" i="206"/>
  <c r="N162" i="206"/>
  <c r="AG34" i="206"/>
  <c r="AF178" i="206"/>
  <c r="Z129" i="206"/>
  <c r="AG151" i="206"/>
  <c r="Y143" i="206"/>
  <c r="H143" i="206" s="1"/>
  <c r="AC174" i="206"/>
  <c r="AG150" i="206"/>
  <c r="M129" i="206"/>
  <c r="AI70" i="206"/>
  <c r="Z182" i="206"/>
  <c r="V128" i="206"/>
  <c r="AE203" i="206"/>
  <c r="S166" i="206"/>
  <c r="N178" i="206"/>
  <c r="N26" i="206"/>
  <c r="S17" i="206"/>
  <c r="AC167" i="206"/>
  <c r="AB26" i="206"/>
  <c r="AC192" i="206"/>
  <c r="Z51" i="206"/>
  <c r="AG148" i="206"/>
  <c r="AG37" i="206"/>
  <c r="AG159" i="206"/>
  <c r="AH113" i="206"/>
  <c r="AB39" i="206"/>
  <c r="Y90" i="206"/>
  <c r="E90" i="206" s="1"/>
  <c r="S203" i="206"/>
  <c r="AI180" i="206"/>
  <c r="R196" i="206"/>
  <c r="S188" i="206"/>
  <c r="V157" i="206"/>
  <c r="M204" i="206"/>
  <c r="AH193" i="206"/>
  <c r="AI195" i="206"/>
  <c r="AH187" i="206"/>
  <c r="AF189" i="206"/>
  <c r="AC190" i="206"/>
  <c r="AC80" i="206"/>
  <c r="Y64" i="206"/>
  <c r="H64" i="206" s="1"/>
  <c r="AB174" i="206"/>
  <c r="M70" i="206"/>
  <c r="AJ136" i="206"/>
  <c r="AI9" i="206"/>
  <c r="L205" i="206"/>
  <c r="U192" i="206"/>
  <c r="AC29" i="206"/>
  <c r="Y136" i="206"/>
  <c r="H136" i="206" s="1"/>
  <c r="AH141" i="206"/>
  <c r="AJ132" i="206"/>
  <c r="AI129" i="206"/>
  <c r="M117" i="206"/>
  <c r="AH84" i="206"/>
  <c r="L70" i="206"/>
  <c r="AC44" i="206"/>
  <c r="AJ162" i="206"/>
  <c r="AJ16" i="206"/>
  <c r="Q187" i="206"/>
  <c r="AH132" i="206"/>
  <c r="AH126" i="206"/>
  <c r="AG64" i="206"/>
  <c r="AE149" i="206"/>
  <c r="O8" i="206"/>
  <c r="M138" i="206"/>
  <c r="AD73" i="206"/>
  <c r="AE81" i="206"/>
  <c r="Z75" i="206"/>
  <c r="AE147" i="206"/>
  <c r="AH194" i="206"/>
  <c r="Q66" i="206"/>
  <c r="AC66" i="206"/>
  <c r="AF179" i="206"/>
  <c r="T41" i="206"/>
  <c r="K25" i="206"/>
  <c r="D25" i="206" s="1"/>
  <c r="AE67" i="206"/>
  <c r="U69" i="206"/>
  <c r="M144" i="206"/>
  <c r="AA197" i="206"/>
  <c r="AC163" i="206"/>
  <c r="S79" i="206"/>
  <c r="T28" i="206"/>
  <c r="S177" i="206"/>
  <c r="T181" i="206"/>
  <c r="L191" i="206"/>
  <c r="AC152" i="206"/>
  <c r="N175" i="206"/>
  <c r="K191" i="206"/>
  <c r="D191" i="206" s="1"/>
  <c r="U128" i="206"/>
  <c r="M29" i="206"/>
  <c r="AC175" i="206"/>
  <c r="Y162" i="206"/>
  <c r="E162" i="206" s="1"/>
  <c r="L158" i="206"/>
  <c r="AB170" i="206"/>
  <c r="AG118" i="206"/>
  <c r="AJ143" i="206"/>
  <c r="AH41" i="206"/>
  <c r="Y85" i="206"/>
  <c r="AJ166" i="206"/>
  <c r="AC61" i="206"/>
  <c r="P169" i="206"/>
  <c r="AA15" i="206"/>
  <c r="AF205" i="206"/>
  <c r="AD180" i="206"/>
  <c r="Z65" i="206"/>
  <c r="AE180" i="206"/>
  <c r="N71" i="206"/>
  <c r="K159" i="206"/>
  <c r="D159" i="206" s="1"/>
  <c r="O134" i="206"/>
  <c r="AA90" i="206"/>
  <c r="AH166" i="206"/>
  <c r="AJ35" i="206"/>
  <c r="AC130" i="206"/>
  <c r="U175" i="206"/>
  <c r="AI142" i="206"/>
  <c r="O166" i="206"/>
  <c r="U18" i="206"/>
  <c r="U149" i="206"/>
  <c r="AJ113" i="206"/>
  <c r="Q67" i="206"/>
  <c r="AJ44" i="206"/>
  <c r="AH92" i="206"/>
  <c r="AF30" i="206"/>
  <c r="AJ34" i="206"/>
  <c r="AB51" i="206"/>
  <c r="Y179" i="206"/>
  <c r="AD139" i="206"/>
  <c r="Y24" i="206"/>
  <c r="AH51" i="206"/>
  <c r="AD53" i="206"/>
  <c r="AI163" i="206"/>
  <c r="Q63" i="206"/>
  <c r="Z171" i="206"/>
  <c r="U122" i="220"/>
  <c r="U92" i="220" s="1"/>
  <c r="Q122" i="220"/>
  <c r="Q92" i="220" s="1"/>
  <c r="S122" i="220"/>
  <c r="S92" i="220" s="1"/>
  <c r="T124" i="219"/>
  <c r="U123" i="219"/>
  <c r="AB72" i="206"/>
  <c r="N177" i="206"/>
  <c r="Z39" i="206"/>
  <c r="Y167" i="206"/>
  <c r="Q25" i="206"/>
  <c r="N128" i="206"/>
  <c r="L73" i="206"/>
  <c r="Q134" i="206"/>
  <c r="L188" i="206"/>
  <c r="AD62" i="206"/>
  <c r="R204" i="206"/>
  <c r="L174" i="206"/>
  <c r="Q159" i="206"/>
  <c r="AF159" i="206"/>
  <c r="AJ197" i="206"/>
  <c r="P72" i="206"/>
  <c r="AD117" i="206"/>
  <c r="N149" i="206"/>
  <c r="AF73" i="206"/>
  <c r="AE28" i="206"/>
  <c r="AI38" i="206"/>
  <c r="AH81" i="206"/>
  <c r="Y142" i="206"/>
  <c r="V159" i="206"/>
  <c r="AH86" i="206"/>
  <c r="AD38" i="206"/>
  <c r="AD88" i="206"/>
  <c r="AI157" i="206"/>
  <c r="V205" i="206"/>
  <c r="V90" i="206"/>
  <c r="V134" i="206"/>
  <c r="Z118" i="206"/>
  <c r="AI148" i="206"/>
  <c r="R26" i="206"/>
  <c r="L32" i="206"/>
  <c r="AG193" i="206"/>
  <c r="AH203" i="206"/>
  <c r="S132" i="206"/>
  <c r="AB16" i="206"/>
  <c r="V8" i="206"/>
  <c r="K187" i="206"/>
  <c r="D187" i="206" s="1"/>
  <c r="M141" i="206"/>
  <c r="AI54" i="206"/>
  <c r="AB60" i="206"/>
  <c r="AA79" i="206"/>
  <c r="Y71" i="206"/>
  <c r="H71" i="206" s="1"/>
  <c r="AI143" i="206"/>
  <c r="Y127" i="206"/>
  <c r="K144" i="206"/>
  <c r="G144" i="206" s="1"/>
  <c r="V149" i="206"/>
  <c r="Z147" i="206"/>
  <c r="Z138" i="206"/>
  <c r="S74" i="206"/>
  <c r="AG166" i="206"/>
  <c r="Q68" i="206"/>
  <c r="AF118" i="206"/>
  <c r="AG53" i="206"/>
  <c r="AJ74" i="206"/>
  <c r="T123" i="219"/>
  <c r="T122" i="219" s="1"/>
  <c r="V124" i="219"/>
  <c r="V122" i="219" s="1"/>
  <c r="V92" i="219" s="1"/>
  <c r="S123" i="219"/>
  <c r="AC128" i="206"/>
  <c r="R122" i="220"/>
  <c r="R92" i="220" s="1"/>
  <c r="AE131" i="206"/>
  <c r="AI44" i="206"/>
  <c r="S25" i="206"/>
  <c r="AH165" i="206"/>
  <c r="K204" i="206"/>
  <c r="G204" i="206" s="1"/>
  <c r="M178" i="206"/>
  <c r="L136" i="206"/>
  <c r="AB31" i="206"/>
  <c r="AC195" i="206"/>
  <c r="AB128" i="206"/>
  <c r="O177" i="206"/>
  <c r="L170" i="206"/>
  <c r="O189" i="206"/>
  <c r="AE52" i="206"/>
  <c r="AC132" i="206"/>
  <c r="AE88" i="206"/>
  <c r="AC169" i="206"/>
  <c r="AE29" i="206"/>
  <c r="U62" i="206"/>
  <c r="Z156" i="206"/>
  <c r="Z61" i="206"/>
  <c r="AA138" i="206"/>
  <c r="S73" i="206"/>
  <c r="AF196" i="206"/>
  <c r="AG55" i="206"/>
  <c r="N141" i="206"/>
  <c r="T63" i="206"/>
  <c r="I94" i="204"/>
  <c r="V188" i="206"/>
  <c r="M113" i="206"/>
  <c r="AC139" i="206"/>
  <c r="AI131" i="206"/>
  <c r="M174" i="206"/>
  <c r="V195" i="206"/>
  <c r="AB74" i="206"/>
  <c r="AB140" i="206"/>
  <c r="O181" i="206"/>
  <c r="R181" i="206"/>
  <c r="R187" i="206"/>
  <c r="U196" i="206"/>
  <c r="Y130" i="206"/>
  <c r="AD58" i="206"/>
  <c r="T163" i="206"/>
  <c r="AC159" i="206"/>
  <c r="T157" i="206"/>
  <c r="AH164" i="206"/>
  <c r="AG58" i="206"/>
  <c r="M27" i="206"/>
  <c r="R15" i="206"/>
  <c r="AC143" i="206"/>
  <c r="Z59" i="206"/>
  <c r="K79" i="206"/>
  <c r="G79" i="206" s="1"/>
  <c r="AG156" i="206"/>
  <c r="AC131" i="206"/>
  <c r="AG194" i="206"/>
  <c r="M163" i="206"/>
  <c r="Y181" i="206"/>
  <c r="H181" i="206" s="1"/>
  <c r="AD18" i="206"/>
  <c r="Z165" i="206"/>
  <c r="AJ205" i="206"/>
  <c r="Z164" i="206"/>
  <c r="Z136" i="206"/>
  <c r="K193" i="206"/>
  <c r="G193" i="206" s="1"/>
  <c r="AG87" i="206"/>
  <c r="U176" i="206"/>
  <c r="AD166" i="206"/>
  <c r="AE26" i="206"/>
  <c r="Q34" i="206"/>
  <c r="N62" i="206"/>
  <c r="AD101" i="206"/>
  <c r="AG122" i="206"/>
  <c r="AE53" i="206"/>
  <c r="AI198" i="206"/>
  <c r="K145" i="206"/>
  <c r="D145" i="206" s="1"/>
  <c r="AG81" i="206"/>
  <c r="AG39" i="206"/>
  <c r="T164" i="206"/>
  <c r="AJ24" i="206"/>
  <c r="AH149" i="206"/>
  <c r="U23" i="206"/>
  <c r="AI122" i="206"/>
  <c r="P37" i="206"/>
  <c r="P161" i="206"/>
  <c r="K167" i="206"/>
  <c r="D167" i="206" s="1"/>
  <c r="Q144" i="206"/>
  <c r="AG61" i="206"/>
  <c r="Y101" i="206"/>
  <c r="V73" i="206"/>
  <c r="M118" i="206"/>
  <c r="AD41" i="206"/>
  <c r="S90" i="206"/>
  <c r="Y58" i="206"/>
  <c r="E58" i="206" s="1"/>
  <c r="T69" i="206"/>
  <c r="P143" i="206"/>
  <c r="AJ167" i="206"/>
  <c r="N124" i="219"/>
  <c r="M123" i="219"/>
  <c r="AE164" i="206"/>
  <c r="Q123" i="219"/>
  <c r="M122" i="220"/>
  <c r="M92" i="220" s="1"/>
  <c r="N24" i="206"/>
  <c r="AA189" i="206"/>
  <c r="AF85" i="206"/>
  <c r="Z127" i="206"/>
  <c r="AF55" i="206"/>
  <c r="AG179" i="206"/>
  <c r="Y25" i="206"/>
  <c r="AJ59" i="206"/>
  <c r="AB14" i="206"/>
  <c r="AF105" i="206"/>
  <c r="AF38" i="206"/>
  <c r="AF198" i="206"/>
  <c r="AJ203" i="206"/>
  <c r="R130" i="206"/>
  <c r="AF72" i="206"/>
  <c r="O144" i="206"/>
  <c r="V117" i="206"/>
  <c r="AD171" i="206"/>
  <c r="O118" i="206"/>
  <c r="M8" i="206"/>
  <c r="K67" i="206"/>
  <c r="D67" i="206" s="1"/>
  <c r="M179" i="206"/>
  <c r="Z63" i="206"/>
  <c r="AE166" i="206"/>
  <c r="Y32" i="206"/>
  <c r="E32" i="206" s="1"/>
  <c r="U170" i="206"/>
  <c r="K74" i="206"/>
  <c r="D74" i="206" s="1"/>
  <c r="AD14" i="206"/>
  <c r="O180" i="206"/>
  <c r="AE197" i="206"/>
  <c r="AB188" i="206"/>
  <c r="AC35" i="206"/>
  <c r="Z203" i="206"/>
  <c r="Q118" i="206"/>
  <c r="AA165" i="206"/>
  <c r="U31" i="206"/>
  <c r="AD26" i="206"/>
  <c r="M177" i="206"/>
  <c r="AE204" i="206"/>
  <c r="R41" i="206"/>
  <c r="V17" i="206"/>
  <c r="AJ60" i="206"/>
  <c r="AE157" i="206"/>
  <c r="Y157" i="206"/>
  <c r="H157" i="206" s="1"/>
  <c r="O36" i="206"/>
  <c r="K70" i="206"/>
  <c r="D70" i="206" s="1"/>
  <c r="M135" i="206"/>
  <c r="AG68" i="206"/>
  <c r="AB204" i="206"/>
  <c r="AJ14" i="206"/>
  <c r="AC9" i="206"/>
  <c r="AB58" i="206"/>
  <c r="K166" i="206"/>
  <c r="G166" i="206" s="1"/>
  <c r="U159" i="206"/>
  <c r="AH198" i="206"/>
  <c r="AF63" i="206"/>
  <c r="U73" i="206"/>
  <c r="AC30" i="206"/>
  <c r="AE205" i="206"/>
  <c r="N127" i="206"/>
  <c r="T117" i="206"/>
  <c r="Z55" i="206"/>
  <c r="T205" i="206"/>
  <c r="AF194" i="206"/>
  <c r="AC53" i="206"/>
  <c r="N189" i="206"/>
  <c r="O109" i="206"/>
  <c r="O67" i="206"/>
  <c r="AI167" i="206"/>
  <c r="T82" i="206"/>
  <c r="AH40" i="206"/>
  <c r="AB15" i="206"/>
  <c r="K181" i="206"/>
  <c r="D181" i="206" s="1"/>
  <c r="AA157" i="206"/>
  <c r="AJ84" i="206"/>
  <c r="S36" i="206"/>
  <c r="Y165" i="206"/>
  <c r="P64" i="206"/>
  <c r="S27" i="206"/>
  <c r="S171" i="206"/>
  <c r="AA101" i="206"/>
  <c r="O131" i="206"/>
  <c r="N109" i="206"/>
  <c r="AB105" i="206"/>
  <c r="Y151" i="206"/>
  <c r="AA164" i="206"/>
  <c r="S157" i="206"/>
  <c r="AI69" i="206"/>
  <c r="AI17" i="206"/>
  <c r="K129" i="206"/>
  <c r="G129" i="206" s="1"/>
  <c r="U188" i="206"/>
  <c r="N196" i="206"/>
  <c r="AE82" i="206"/>
  <c r="AH31" i="206"/>
  <c r="Q24" i="206"/>
  <c r="P145" i="206"/>
  <c r="V141" i="206"/>
  <c r="Y14" i="206"/>
  <c r="Y139" i="206"/>
  <c r="E139" i="206" s="1"/>
  <c r="AH54" i="206"/>
  <c r="U171" i="206"/>
  <c r="AE30" i="206"/>
  <c r="AF60" i="206"/>
  <c r="S15" i="206"/>
  <c r="AJ142" i="206"/>
  <c r="L72" i="206"/>
  <c r="M149" i="206"/>
  <c r="Z46" i="206"/>
  <c r="Y148" i="206"/>
  <c r="E148" i="206" s="1"/>
  <c r="P171" i="206"/>
  <c r="Z60" i="206"/>
  <c r="L145" i="206"/>
  <c r="AB152" i="206"/>
  <c r="Y137" i="206"/>
  <c r="H137" i="206" s="1"/>
  <c r="Y9" i="206"/>
  <c r="H9" i="206" s="1"/>
  <c r="AB135" i="206"/>
  <c r="Y135" i="206"/>
  <c r="E135" i="206" s="1"/>
  <c r="O69" i="206"/>
  <c r="AF81" i="206"/>
  <c r="R17" i="206"/>
  <c r="AJ141" i="206"/>
  <c r="O162" i="206"/>
  <c r="P127" i="206"/>
  <c r="AH168" i="206"/>
  <c r="P177" i="206"/>
  <c r="AB150" i="206"/>
  <c r="T134" i="206"/>
  <c r="L63" i="206"/>
  <c r="N139" i="206"/>
  <c r="Q194" i="206"/>
  <c r="AD71" i="206"/>
  <c r="P158" i="206"/>
  <c r="AC157" i="206"/>
  <c r="AF82" i="206"/>
  <c r="AA204" i="206"/>
  <c r="AJ179" i="206"/>
  <c r="Y133" i="206"/>
  <c r="H133" i="206" s="1"/>
  <c r="AG51" i="206"/>
  <c r="O138" i="206"/>
  <c r="AJ139" i="206"/>
  <c r="AG31" i="206"/>
  <c r="N163" i="206"/>
  <c r="U41" i="206"/>
  <c r="Y83" i="206"/>
  <c r="H83" i="206" s="1"/>
  <c r="P181" i="206"/>
  <c r="AA195" i="206"/>
  <c r="T74" i="206"/>
  <c r="M75" i="206"/>
  <c r="L163" i="206"/>
  <c r="V163" i="206"/>
  <c r="T203" i="206"/>
  <c r="R179" i="206"/>
  <c r="O145" i="206"/>
  <c r="AE196" i="206"/>
  <c r="AJ46" i="206"/>
  <c r="T73" i="206"/>
  <c r="AF26" i="206"/>
  <c r="AD16" i="206"/>
  <c r="AI53" i="206"/>
  <c r="P74" i="206"/>
  <c r="AI176" i="206"/>
  <c r="T25" i="206"/>
  <c r="R62" i="206"/>
  <c r="AE152" i="206"/>
  <c r="T132" i="206"/>
  <c r="AB63" i="206"/>
  <c r="M162" i="206"/>
  <c r="AA198" i="206"/>
  <c r="P163" i="206"/>
  <c r="AA113" i="206"/>
  <c r="P28" i="206"/>
  <c r="F94" i="204"/>
  <c r="AA132" i="206"/>
  <c r="Y74" i="206"/>
  <c r="H74" i="206" s="1"/>
  <c r="P132" i="206"/>
  <c r="AA130" i="206"/>
  <c r="AG113" i="206"/>
  <c r="U15" i="206"/>
  <c r="V79" i="206"/>
  <c r="Y84" i="206"/>
  <c r="M134" i="206"/>
  <c r="AH135" i="206"/>
  <c r="AB159" i="206"/>
  <c r="AB53" i="206"/>
  <c r="AH178" i="206"/>
  <c r="AE195" i="206"/>
  <c r="Q127" i="206"/>
  <c r="AA170" i="206"/>
  <c r="AC97" i="206"/>
  <c r="AB181" i="206"/>
  <c r="AF62" i="206"/>
  <c r="AA65" i="206"/>
  <c r="AD141" i="206"/>
  <c r="AA139" i="206"/>
  <c r="Y118" i="206"/>
  <c r="H118" i="206" s="1"/>
  <c r="AC55" i="206"/>
  <c r="O157" i="206"/>
  <c r="AJ193" i="206"/>
  <c r="AJ67" i="206"/>
  <c r="M66" i="206"/>
  <c r="Q143" i="206"/>
  <c r="AG157" i="206"/>
  <c r="M198" i="206"/>
  <c r="R175" i="206"/>
  <c r="AH28" i="206"/>
  <c r="AF152" i="206"/>
  <c r="K117" i="206"/>
  <c r="G117" i="206" s="1"/>
  <c r="AD148" i="206"/>
  <c r="R190" i="206"/>
  <c r="AC160" i="206"/>
  <c r="R141" i="206"/>
  <c r="AB189" i="206"/>
  <c r="M63" i="206"/>
  <c r="AI37" i="206"/>
  <c r="S150" i="206"/>
  <c r="AD167" i="206"/>
  <c r="V62" i="206"/>
  <c r="L131" i="206"/>
  <c r="AH127" i="206"/>
  <c r="T128" i="206"/>
  <c r="AI135" i="206"/>
  <c r="AA192" i="206"/>
  <c r="Z140" i="206"/>
  <c r="AE133" i="206"/>
  <c r="M132" i="206"/>
  <c r="AB161" i="206"/>
  <c r="AF139" i="206"/>
  <c r="P205" i="206"/>
  <c r="AC147" i="206"/>
  <c r="Q204" i="206"/>
  <c r="AG165" i="206"/>
  <c r="AI15" i="206"/>
  <c r="T182" i="206"/>
  <c r="M159" i="206"/>
  <c r="AB175" i="206"/>
  <c r="R37" i="206"/>
  <c r="Q192" i="206"/>
  <c r="U187" i="206"/>
  <c r="Y169" i="206"/>
  <c r="AH191" i="206"/>
  <c r="AB191" i="206"/>
  <c r="AE47" i="206"/>
  <c r="S18" i="206"/>
  <c r="S68" i="206"/>
  <c r="AD187" i="206"/>
  <c r="AD145" i="206"/>
  <c r="Z23" i="206"/>
  <c r="P175" i="206"/>
  <c r="AB176" i="206"/>
  <c r="T189" i="206"/>
  <c r="L26" i="206"/>
  <c r="AJ18" i="206"/>
  <c r="AD8" i="206"/>
  <c r="Y15" i="206"/>
  <c r="H15" i="206" s="1"/>
  <c r="Q117" i="206"/>
  <c r="AF158" i="206"/>
  <c r="Z26" i="206"/>
  <c r="AD189" i="206"/>
  <c r="AJ41" i="206"/>
  <c r="T193" i="206"/>
  <c r="AB33" i="206"/>
  <c r="AA9" i="206"/>
  <c r="AB129" i="206"/>
  <c r="T23" i="206"/>
  <c r="AE51" i="206"/>
  <c r="R170" i="206"/>
  <c r="V18" i="206"/>
  <c r="AA180" i="206"/>
  <c r="P135" i="206"/>
  <c r="AH14" i="206"/>
  <c r="AI23" i="206"/>
  <c r="AG24" i="206"/>
  <c r="P124" i="219"/>
  <c r="P122" i="219" s="1"/>
  <c r="L176" i="206"/>
  <c r="R123" i="219"/>
  <c r="M124" i="219"/>
  <c r="AH15" i="206"/>
  <c r="AJ149" i="206"/>
  <c r="Q124" i="219"/>
  <c r="S158" i="206"/>
  <c r="O124" i="219"/>
  <c r="O122" i="219" s="1"/>
  <c r="N123" i="219"/>
  <c r="N122" i="219" s="1"/>
  <c r="N92" i="219" s="1"/>
  <c r="S109" i="206"/>
  <c r="P122" i="220"/>
  <c r="P92" i="220" s="1"/>
  <c r="AK102" i="219"/>
  <c r="Z142" i="206"/>
  <c r="T122" i="220"/>
  <c r="T92" i="220" s="1"/>
  <c r="R31" i="206"/>
  <c r="AG144" i="206"/>
  <c r="M188" i="206"/>
  <c r="S72" i="206"/>
  <c r="AD170" i="206"/>
  <c r="AJ85" i="206"/>
  <c r="K30" i="206"/>
  <c r="D30" i="206" s="1"/>
  <c r="Q37" i="206"/>
  <c r="AH150" i="206"/>
  <c r="L24" i="206"/>
  <c r="K8" i="206"/>
  <c r="G8" i="206" s="1"/>
  <c r="AC16" i="206"/>
  <c r="P79" i="206"/>
  <c r="T14" i="206"/>
  <c r="AI28" i="206"/>
  <c r="T141" i="206"/>
  <c r="AE71" i="206"/>
  <c r="AD47" i="206"/>
  <c r="P160" i="206"/>
  <c r="AD92" i="206"/>
  <c r="AF15" i="206"/>
  <c r="AD129" i="206"/>
  <c r="AI182" i="206"/>
  <c r="AB62" i="206"/>
  <c r="AD15" i="206"/>
  <c r="AF65" i="206"/>
  <c r="AB18" i="206"/>
  <c r="Y46" i="206"/>
  <c r="H46" i="206" s="1"/>
  <c r="P157" i="206"/>
  <c r="U63" i="206"/>
  <c r="R159" i="206"/>
  <c r="AA53" i="206"/>
  <c r="L36" i="206"/>
  <c r="O137" i="206"/>
  <c r="U198" i="206"/>
  <c r="L29" i="206"/>
  <c r="AG91" i="206"/>
  <c r="AI169" i="206"/>
  <c r="K90" i="206"/>
  <c r="G90" i="206" s="1"/>
  <c r="O37" i="206"/>
  <c r="AC25" i="206"/>
  <c r="L140" i="206"/>
  <c r="O29" i="206"/>
  <c r="M14" i="206"/>
  <c r="L138" i="206"/>
  <c r="AC129" i="206"/>
  <c r="AH174" i="206"/>
  <c r="Z175" i="206"/>
  <c r="AD91" i="206"/>
  <c r="AB158" i="206"/>
  <c r="S113" i="206"/>
  <c r="AB45" i="206"/>
  <c r="AC197" i="206"/>
  <c r="AD190" i="206"/>
  <c r="O65" i="206"/>
  <c r="S34" i="206"/>
  <c r="Y61" i="206"/>
  <c r="E61" i="206" s="1"/>
  <c r="AH144" i="206"/>
  <c r="V176" i="206"/>
  <c r="R90" i="206"/>
  <c r="AA18" i="206"/>
  <c r="V29" i="206"/>
  <c r="N135" i="206"/>
  <c r="Q8" i="206"/>
  <c r="K205" i="206"/>
  <c r="D205" i="206" s="1"/>
  <c r="AD169" i="206"/>
  <c r="Y16" i="206"/>
  <c r="H16" i="206" s="1"/>
  <c r="AA129" i="206"/>
  <c r="Z189" i="206"/>
  <c r="AB141" i="206"/>
  <c r="O171" i="206"/>
  <c r="M136" i="206"/>
  <c r="AB145" i="206"/>
  <c r="AJ151" i="206"/>
  <c r="AF54" i="206"/>
  <c r="O73" i="206"/>
  <c r="Q41" i="206"/>
  <c r="M71" i="206"/>
  <c r="AJ53" i="206"/>
  <c r="AI47" i="206"/>
  <c r="K160" i="206"/>
  <c r="G160" i="206" s="1"/>
  <c r="AE129" i="206"/>
  <c r="AE140" i="206"/>
  <c r="K65" i="206"/>
  <c r="G65" i="206" s="1"/>
  <c r="AF171" i="206"/>
  <c r="N130" i="206"/>
  <c r="L143" i="206"/>
  <c r="K18" i="206"/>
  <c r="D18" i="206" s="1"/>
  <c r="T136" i="206"/>
  <c r="R182" i="206"/>
  <c r="M72" i="206"/>
  <c r="Q113" i="206"/>
  <c r="AH192" i="206"/>
  <c r="AB41" i="206"/>
  <c r="K32" i="206"/>
  <c r="G32" i="206" s="1"/>
  <c r="K169" i="206"/>
  <c r="G169" i="206" s="1"/>
  <c r="P178" i="206"/>
  <c r="R139" i="206"/>
  <c r="AC113" i="206"/>
  <c r="AH148" i="206"/>
  <c r="AG192" i="206"/>
  <c r="AI141" i="206"/>
  <c r="P23" i="206"/>
  <c r="S117" i="206"/>
  <c r="Y62" i="206"/>
  <c r="H62" i="206" s="1"/>
  <c r="AC126" i="206"/>
  <c r="Q32" i="206"/>
  <c r="AB87" i="206"/>
  <c r="S176" i="206"/>
  <c r="AJ140" i="206"/>
  <c r="AD61" i="206"/>
  <c r="AF145" i="206"/>
  <c r="AF117" i="206"/>
  <c r="AA36" i="206"/>
  <c r="P138" i="206"/>
  <c r="Z109" i="206"/>
  <c r="S9" i="206"/>
  <c r="AH47" i="206"/>
  <c r="AH163" i="206"/>
  <c r="O24" i="206"/>
  <c r="AI168" i="206"/>
  <c r="AH85" i="206"/>
  <c r="AH118" i="206"/>
  <c r="I102" i="220"/>
  <c r="T145" i="206"/>
  <c r="AF91" i="206"/>
  <c r="AH59" i="206"/>
  <c r="L141" i="206"/>
  <c r="AH68" i="206"/>
  <c r="AF66" i="206"/>
  <c r="T24" i="206"/>
  <c r="AJ152" i="206"/>
  <c r="AB40" i="206"/>
  <c r="R28" i="206"/>
  <c r="N9" i="206"/>
  <c r="M74" i="206"/>
  <c r="AD59" i="206"/>
  <c r="Z93" i="206"/>
  <c r="AA88" i="206"/>
  <c r="AE84" i="206"/>
  <c r="M131" i="206"/>
  <c r="N157" i="206"/>
  <c r="U161" i="206"/>
  <c r="Q189" i="206"/>
  <c r="L194" i="206"/>
  <c r="P65" i="206"/>
  <c r="AA70" i="206"/>
  <c r="AA33" i="206"/>
  <c r="AH62" i="206"/>
  <c r="AD33" i="206"/>
  <c r="AI161" i="206"/>
  <c r="Y29" i="206"/>
  <c r="H29" i="206" s="1"/>
  <c r="AE32" i="206"/>
  <c r="AC140" i="206"/>
  <c r="AE127" i="206"/>
  <c r="AI132" i="206"/>
  <c r="T130" i="206"/>
  <c r="N182" i="206"/>
  <c r="AB32" i="206"/>
  <c r="AH64" i="206"/>
  <c r="AI140" i="206"/>
  <c r="AD134" i="206"/>
  <c r="AI33" i="206"/>
  <c r="S205" i="206"/>
  <c r="AC82" i="206"/>
  <c r="AC88" i="206"/>
  <c r="R69" i="206"/>
  <c r="Z62" i="206"/>
  <c r="AC59" i="206"/>
  <c r="AA191" i="206"/>
  <c r="Q180" i="206"/>
  <c r="AF68" i="206"/>
  <c r="N117" i="206"/>
  <c r="Y140" i="206"/>
  <c r="H140" i="206" s="1"/>
  <c r="AE158" i="206"/>
  <c r="R117" i="206"/>
  <c r="Y198" i="206"/>
  <c r="E198" i="206" s="1"/>
  <c r="P68" i="206"/>
  <c r="S189" i="206"/>
  <c r="AF157" i="206"/>
  <c r="R138" i="206"/>
  <c r="AI128" i="206"/>
  <c r="Y197" i="206"/>
  <c r="E197" i="206" s="1"/>
  <c r="S16" i="206"/>
  <c r="O62" i="206"/>
  <c r="AJ144" i="206"/>
  <c r="O82" i="206"/>
  <c r="M195" i="206"/>
  <c r="AB61" i="206"/>
  <c r="Y26" i="206"/>
  <c r="H26" i="206" s="1"/>
  <c r="AC136" i="206"/>
  <c r="Y128" i="206"/>
  <c r="E128" i="206" s="1"/>
  <c r="K178" i="206"/>
  <c r="D178" i="206" s="1"/>
  <c r="Q169" i="206"/>
  <c r="Z80" i="206"/>
  <c r="Z53" i="206"/>
  <c r="AC135" i="206"/>
  <c r="AI146" i="206"/>
  <c r="S133" i="206"/>
  <c r="AH56" i="206"/>
  <c r="AJ187" i="206"/>
  <c r="V144" i="206"/>
  <c r="AC142" i="206"/>
  <c r="AG25" i="206"/>
  <c r="AD131" i="206"/>
  <c r="AJ160" i="206"/>
  <c r="AE187" i="206"/>
  <c r="AA29" i="206"/>
  <c r="L69" i="206"/>
  <c r="P191" i="206"/>
  <c r="Y138" i="206"/>
  <c r="H138" i="206" s="1"/>
  <c r="T160" i="206"/>
  <c r="P71" i="206"/>
  <c r="O140" i="206"/>
  <c r="K194" i="206"/>
  <c r="D194" i="206" s="1"/>
  <c r="AH75" i="206"/>
  <c r="AC24" i="206"/>
  <c r="AB138" i="206"/>
  <c r="Z84" i="206"/>
  <c r="AE145" i="206"/>
  <c r="S69" i="206"/>
  <c r="Y203" i="206"/>
  <c r="H203" i="206" s="1"/>
  <c r="Q30" i="206"/>
  <c r="AF37" i="206"/>
  <c r="Y131" i="206"/>
  <c r="E131" i="206" s="1"/>
  <c r="U130" i="206"/>
  <c r="Q70" i="206"/>
  <c r="AF56" i="206"/>
  <c r="AJ117" i="206"/>
  <c r="AB57" i="206"/>
  <c r="AF180" i="206"/>
  <c r="Y149" i="206"/>
  <c r="H149" i="206" s="1"/>
  <c r="AB25" i="206"/>
  <c r="AD70" i="206"/>
  <c r="AC46" i="206"/>
  <c r="K17" i="206"/>
  <c r="G17" i="206" s="1"/>
  <c r="AG132" i="206"/>
  <c r="AE130" i="206"/>
  <c r="AA193" i="206"/>
  <c r="Z133" i="206"/>
  <c r="R109" i="206"/>
  <c r="AB163" i="206"/>
  <c r="M82" i="206"/>
  <c r="AB81" i="206"/>
  <c r="AI68" i="206"/>
  <c r="T67" i="206"/>
  <c r="K128" i="206"/>
  <c r="G128" i="206" s="1"/>
  <c r="AF187" i="206"/>
  <c r="AB36" i="206"/>
  <c r="V127" i="206"/>
  <c r="L75" i="206"/>
  <c r="AG47" i="206"/>
  <c r="AE46" i="206"/>
  <c r="AC8" i="206"/>
  <c r="Y54" i="206"/>
  <c r="E54" i="206" s="1"/>
  <c r="N187" i="206"/>
  <c r="K28" i="206"/>
  <c r="D28" i="206" s="1"/>
  <c r="AD72" i="206"/>
  <c r="O141" i="206"/>
  <c r="K135" i="206"/>
  <c r="D135" i="206" s="1"/>
  <c r="AC151" i="206"/>
  <c r="AH171" i="206"/>
  <c r="U117" i="206"/>
  <c r="AA75" i="206"/>
  <c r="AC26" i="206"/>
  <c r="T168" i="206"/>
  <c r="K133" i="206"/>
  <c r="G133" i="206" s="1"/>
  <c r="U127" i="206"/>
  <c r="AD140" i="206"/>
  <c r="AF46" i="206"/>
  <c r="R34" i="206"/>
  <c r="Q158" i="206"/>
  <c r="Z68" i="206"/>
  <c r="AI165" i="206"/>
  <c r="O70" i="206"/>
  <c r="AJ188" i="206"/>
  <c r="AA122" i="206"/>
  <c r="Z70" i="206"/>
  <c r="AH57" i="206"/>
  <c r="T32" i="206"/>
  <c r="P17" i="206"/>
  <c r="I107" i="219"/>
  <c r="H109" i="206"/>
  <c r="H106" i="204"/>
  <c r="E106" i="204"/>
  <c r="AK106" i="204"/>
  <c r="E66" i="206"/>
  <c r="H66" i="206"/>
  <c r="M92" i="204"/>
  <c r="U92" i="204"/>
  <c r="H91" i="206"/>
  <c r="E91" i="206"/>
  <c r="U124" i="219"/>
  <c r="U122" i="219" s="1"/>
  <c r="L124" i="219"/>
  <c r="E103" i="218"/>
  <c r="H103" i="218"/>
  <c r="AK103" i="218"/>
  <c r="E106" i="219"/>
  <c r="AK106" i="219"/>
  <c r="H106" i="219"/>
  <c r="AH102" i="218"/>
  <c r="AE102" i="218"/>
  <c r="AG102" i="218"/>
  <c r="AA102" i="218"/>
  <c r="AF102" i="218"/>
  <c r="AD102" i="218"/>
  <c r="AJ102" i="218"/>
  <c r="AC102" i="218"/>
  <c r="Z102" i="218"/>
  <c r="Y102" i="218"/>
  <c r="AI102" i="218"/>
  <c r="AB102" i="218"/>
  <c r="I98" i="220"/>
  <c r="E123" i="219"/>
  <c r="AK123" i="219"/>
  <c r="H123" i="219"/>
  <c r="E113" i="220"/>
  <c r="F113" i="220" s="1"/>
  <c r="AK113" i="220"/>
  <c r="H113" i="220"/>
  <c r="I113" i="220" s="1"/>
  <c r="H170" i="206"/>
  <c r="I170" i="206" s="1"/>
  <c r="H28" i="206"/>
  <c r="E28" i="206"/>
  <c r="H142" i="206"/>
  <c r="E142" i="206"/>
  <c r="H17" i="206"/>
  <c r="F107" i="204"/>
  <c r="F98" i="220"/>
  <c r="W101" i="220"/>
  <c r="G101" i="220"/>
  <c r="D101" i="220"/>
  <c r="AW103" i="198"/>
  <c r="AX103" i="198" s="1"/>
  <c r="S103" i="198"/>
  <c r="T103" i="198" s="1"/>
  <c r="H90" i="206"/>
  <c r="AK98" i="204"/>
  <c r="E98" i="204"/>
  <c r="H98" i="204"/>
  <c r="H87" i="206"/>
  <c r="E87" i="206"/>
  <c r="K101" i="204"/>
  <c r="D104" i="198"/>
  <c r="E104" i="198" s="1"/>
  <c r="AH104" i="198"/>
  <c r="AI104" i="198" s="1"/>
  <c r="D102" i="204"/>
  <c r="G102" i="204"/>
  <c r="W102" i="204"/>
  <c r="H144" i="206"/>
  <c r="E144" i="206"/>
  <c r="E122" i="206"/>
  <c r="H156" i="206"/>
  <c r="E156" i="206"/>
  <c r="O92" i="204"/>
  <c r="R124" i="219"/>
  <c r="W93" i="219"/>
  <c r="G93" i="219"/>
  <c r="I93" i="219" s="1"/>
  <c r="D93" i="219"/>
  <c r="F93" i="219" s="1"/>
  <c r="N95" i="198"/>
  <c r="O95" i="198" s="1"/>
  <c r="AR95" i="198"/>
  <c r="AS95" i="198" s="1"/>
  <c r="V122" i="220"/>
  <c r="V92" i="220" s="1"/>
  <c r="G105" i="220"/>
  <c r="I105" i="220" s="1"/>
  <c r="W105" i="220"/>
  <c r="D105" i="220"/>
  <c r="F105" i="220" s="1"/>
  <c r="AW107" i="198"/>
  <c r="AX107" i="198" s="1"/>
  <c r="S107" i="198"/>
  <c r="T107" i="198" s="1"/>
  <c r="H44" i="206"/>
  <c r="E44" i="206"/>
  <c r="H141" i="206"/>
  <c r="E141" i="206"/>
  <c r="N92" i="204"/>
  <c r="E196" i="206"/>
  <c r="H196" i="206"/>
  <c r="T92" i="219"/>
  <c r="F94" i="219"/>
  <c r="H94" i="218"/>
  <c r="AK94" i="218"/>
  <c r="E94" i="218"/>
  <c r="K105" i="204"/>
  <c r="D108" i="198"/>
  <c r="E108" i="198" s="1"/>
  <c r="D106" i="204"/>
  <c r="W106" i="204"/>
  <c r="G106" i="204"/>
  <c r="AH108" i="198"/>
  <c r="AI108" i="198" s="1"/>
  <c r="H119" i="219"/>
  <c r="I119" i="219" s="1"/>
  <c r="AK119" i="219"/>
  <c r="E119" i="219"/>
  <c r="F119" i="219" s="1"/>
  <c r="E194" i="206"/>
  <c r="H52" i="206"/>
  <c r="E52" i="206"/>
  <c r="E18" i="206"/>
  <c r="H18" i="206"/>
  <c r="E182" i="206"/>
  <c r="H182" i="206"/>
  <c r="I94" i="219"/>
  <c r="AG92" i="220"/>
  <c r="H109" i="220"/>
  <c r="I109" i="220" s="1"/>
  <c r="E109" i="220"/>
  <c r="F109" i="220" s="1"/>
  <c r="AK109" i="220"/>
  <c r="H102" i="204"/>
  <c r="AK102" i="204"/>
  <c r="E102" i="204"/>
  <c r="H177" i="206"/>
  <c r="E177" i="206"/>
  <c r="H204" i="206"/>
  <c r="E204" i="206"/>
  <c r="H161" i="206"/>
  <c r="E161" i="206"/>
  <c r="L92" i="204"/>
  <c r="E31" i="206"/>
  <c r="AJ106" i="218"/>
  <c r="AA106" i="218"/>
  <c r="Y106" i="218"/>
  <c r="AB106" i="218"/>
  <c r="Z106" i="218"/>
  <c r="AH106" i="218"/>
  <c r="AF106" i="218"/>
  <c r="AG106" i="218"/>
  <c r="AE106" i="218"/>
  <c r="AD106" i="218"/>
  <c r="AC106" i="218"/>
  <c r="AI106" i="218"/>
  <c r="H122" i="220"/>
  <c r="E122" i="220"/>
  <c r="AK122" i="220"/>
  <c r="AA92" i="220"/>
  <c r="E39" i="206"/>
  <c r="H39" i="206"/>
  <c r="H167" i="206"/>
  <c r="E167" i="206"/>
  <c r="E117" i="206"/>
  <c r="H117" i="206"/>
  <c r="Q92" i="204"/>
  <c r="H73" i="206"/>
  <c r="E101" i="206"/>
  <c r="H101" i="206"/>
  <c r="E36" i="206"/>
  <c r="S124" i="219"/>
  <c r="S122" i="219" s="1"/>
  <c r="S122" i="206" s="1"/>
  <c r="G102" i="219"/>
  <c r="I102" i="219" s="1"/>
  <c r="W102" i="219"/>
  <c r="D102" i="219"/>
  <c r="F102" i="219" s="1"/>
  <c r="K101" i="219"/>
  <c r="N104" i="198"/>
  <c r="O104" i="198" s="1"/>
  <c r="AR104" i="198"/>
  <c r="AS104" i="198" s="1"/>
  <c r="H118" i="220"/>
  <c r="I118" i="220" s="1"/>
  <c r="E118" i="220"/>
  <c r="F118" i="220" s="1"/>
  <c r="AK118" i="220"/>
  <c r="E99" i="218"/>
  <c r="AK99" i="218"/>
  <c r="H99" i="218"/>
  <c r="N122" i="220"/>
  <c r="N92" i="220" s="1"/>
  <c r="F99" i="219"/>
  <c r="K124" i="220"/>
  <c r="F107" i="219"/>
  <c r="E166" i="206"/>
  <c r="H166" i="206"/>
  <c r="E126" i="206"/>
  <c r="H126" i="206"/>
  <c r="H82" i="206"/>
  <c r="E82" i="206"/>
  <c r="E174" i="206"/>
  <c r="H174" i="206"/>
  <c r="H38" i="206"/>
  <c r="E38" i="206"/>
  <c r="S92" i="204"/>
  <c r="K97" i="204"/>
  <c r="AH100" i="198"/>
  <c r="AI100" i="198" s="1"/>
  <c r="D100" i="198"/>
  <c r="E100" i="198" s="1"/>
  <c r="G98" i="204"/>
  <c r="D98" i="204"/>
  <c r="W98" i="204"/>
  <c r="E33" i="206"/>
  <c r="H45" i="206"/>
  <c r="E45" i="206"/>
  <c r="H98" i="219"/>
  <c r="E98" i="219"/>
  <c r="AK98" i="219"/>
  <c r="H107" i="218"/>
  <c r="E107" i="218"/>
  <c r="AK107" i="218"/>
  <c r="AD98" i="218"/>
  <c r="AI98" i="218"/>
  <c r="AE98" i="218"/>
  <c r="AB98" i="218"/>
  <c r="Y98" i="218"/>
  <c r="AC98" i="218"/>
  <c r="AG98" i="218"/>
  <c r="AJ98" i="218"/>
  <c r="Z98" i="218"/>
  <c r="AA98" i="218"/>
  <c r="AH98" i="218"/>
  <c r="AF98" i="218"/>
  <c r="AF8" i="206"/>
  <c r="AF165" i="206"/>
  <c r="AC127" i="206"/>
  <c r="P73" i="206"/>
  <c r="AH137" i="206"/>
  <c r="AC92" i="206"/>
  <c r="M67" i="206"/>
  <c r="AJ109" i="206"/>
  <c r="AG160" i="206"/>
  <c r="R75" i="206"/>
  <c r="AE24" i="206"/>
  <c r="S159" i="206"/>
  <c r="N64" i="206"/>
  <c r="U167" i="206"/>
  <c r="R18" i="206"/>
  <c r="AF47" i="206"/>
  <c r="AF86" i="206"/>
  <c r="AF93" i="206"/>
  <c r="AH39" i="206"/>
  <c r="M145" i="206"/>
  <c r="T129" i="206"/>
  <c r="AD152" i="206"/>
  <c r="Y72" i="206"/>
  <c r="Y193" i="206"/>
  <c r="Z58" i="206"/>
  <c r="T8" i="206"/>
  <c r="AH97" i="206"/>
  <c r="AH87" i="206"/>
  <c r="AD89" i="206"/>
  <c r="AD23" i="206"/>
  <c r="AF18" i="206"/>
  <c r="AD27" i="206"/>
  <c r="AH146" i="206"/>
  <c r="AH167" i="206"/>
  <c r="AJ33" i="206"/>
  <c r="Z18" i="206"/>
  <c r="V160" i="206"/>
  <c r="AJ39" i="206"/>
  <c r="O163" i="206"/>
  <c r="Z89" i="206"/>
  <c r="AG60" i="206"/>
  <c r="AF164" i="206"/>
  <c r="T162" i="206"/>
  <c r="L82" i="206"/>
  <c r="P34" i="206"/>
  <c r="AG142" i="206"/>
  <c r="Y163" i="206"/>
  <c r="AH152" i="206"/>
  <c r="AF195" i="206"/>
  <c r="V135" i="206"/>
  <c r="AJ161" i="206"/>
  <c r="T79" i="206"/>
  <c r="AC52" i="206"/>
  <c r="N144" i="206"/>
  <c r="P14" i="206"/>
  <c r="P137" i="206"/>
  <c r="Q188" i="206"/>
  <c r="AA27" i="206"/>
  <c r="O179" i="206"/>
  <c r="Q36" i="206"/>
  <c r="AE93" i="206"/>
  <c r="AD34" i="206"/>
  <c r="AH24" i="206"/>
  <c r="N169" i="206"/>
  <c r="AE146" i="206"/>
  <c r="V31" i="206"/>
  <c r="AF188" i="206"/>
  <c r="S141" i="206"/>
  <c r="AG40" i="206"/>
  <c r="T66" i="206"/>
  <c r="R128" i="206"/>
  <c r="Y47" i="206"/>
  <c r="P150" i="206"/>
  <c r="AF69" i="206"/>
  <c r="Q23" i="206"/>
  <c r="T68" i="206"/>
  <c r="Y30" i="206"/>
  <c r="AB143" i="206"/>
  <c r="AF29" i="206"/>
  <c r="T62" i="206"/>
  <c r="AE40" i="206"/>
  <c r="O113" i="206"/>
  <c r="AG84" i="206"/>
  <c r="R74" i="206"/>
  <c r="Y86" i="206"/>
  <c r="AH16" i="206"/>
  <c r="AD133" i="206"/>
  <c r="P133" i="206"/>
  <c r="O128" i="206"/>
  <c r="AJ54" i="206"/>
  <c r="Y40" i="206"/>
  <c r="Z83" i="206"/>
  <c r="AC17" i="206"/>
  <c r="AA8" i="206"/>
  <c r="AD28" i="206"/>
  <c r="K157" i="206"/>
  <c r="M192" i="206"/>
  <c r="AH134" i="206"/>
  <c r="L160" i="206"/>
  <c r="T122" i="206"/>
  <c r="AH38" i="206"/>
  <c r="Z71" i="206"/>
  <c r="AA178" i="206"/>
  <c r="V169" i="206"/>
  <c r="L166" i="206"/>
  <c r="M23" i="206"/>
  <c r="L128" i="206"/>
  <c r="Q130" i="206"/>
  <c r="AF79" i="206"/>
  <c r="AC68" i="206"/>
  <c r="AF87" i="206"/>
  <c r="AI162" i="206"/>
  <c r="AF83" i="206"/>
  <c r="AA73" i="206"/>
  <c r="AB65" i="206"/>
  <c r="AD65" i="206"/>
  <c r="Y79" i="206"/>
  <c r="AH190" i="206"/>
  <c r="V81" i="206"/>
  <c r="AG14" i="206"/>
  <c r="AI51" i="206"/>
  <c r="AH17" i="206"/>
  <c r="AE59" i="206"/>
  <c r="Y51" i="206"/>
  <c r="AG176" i="206"/>
  <c r="AA166" i="206"/>
  <c r="AH18" i="206"/>
  <c r="AA47" i="206"/>
  <c r="AG128" i="206"/>
  <c r="P30" i="206"/>
  <c r="N205" i="206"/>
  <c r="AE137" i="206"/>
  <c r="S174" i="206"/>
  <c r="AJ15" i="206"/>
  <c r="R149" i="206"/>
  <c r="AI194" i="206"/>
  <c r="AC18" i="206"/>
  <c r="AD9" i="206"/>
  <c r="AA83" i="206"/>
  <c r="V177" i="206"/>
  <c r="N31" i="206"/>
  <c r="AD69" i="206"/>
  <c r="L90" i="206"/>
  <c r="N113" i="206"/>
  <c r="AA39" i="206"/>
  <c r="K36" i="206"/>
  <c r="P174" i="206"/>
  <c r="Z67" i="206"/>
  <c r="P149" i="206"/>
  <c r="T40" i="206"/>
  <c r="U40" i="206"/>
  <c r="O130" i="206"/>
  <c r="AJ163" i="206"/>
  <c r="AF150" i="206"/>
  <c r="AB52" i="206"/>
  <c r="S190" i="206"/>
  <c r="AH133" i="206"/>
  <c r="AF203" i="206"/>
  <c r="AJ69" i="206"/>
  <c r="V24" i="206"/>
  <c r="AC64" i="206"/>
  <c r="M69" i="206"/>
  <c r="U30" i="206"/>
  <c r="AG16" i="206"/>
  <c r="AE36" i="206"/>
  <c r="AI79" i="206"/>
  <c r="AI133" i="206"/>
  <c r="O66" i="206"/>
  <c r="AE35" i="206"/>
  <c r="V175" i="206"/>
  <c r="U64" i="206"/>
  <c r="M36" i="206"/>
  <c r="AB59" i="206"/>
  <c r="AF70" i="206"/>
  <c r="AA182" i="206"/>
  <c r="AI32" i="206"/>
  <c r="AF136" i="206"/>
  <c r="AC34" i="206"/>
  <c r="Q82" i="206"/>
  <c r="AE73" i="206"/>
  <c r="AA69" i="206"/>
  <c r="L197" i="206"/>
  <c r="Y159" i="206"/>
  <c r="AF64" i="206"/>
  <c r="AH58" i="206"/>
  <c r="AG131" i="206"/>
  <c r="Z166" i="206"/>
  <c r="AJ36" i="206"/>
  <c r="AJ56" i="206"/>
  <c r="AG29" i="206"/>
  <c r="AG72" i="206"/>
  <c r="O68" i="206"/>
  <c r="V14" i="206"/>
  <c r="AA177" i="206"/>
  <c r="AD142" i="206"/>
  <c r="O31" i="206"/>
  <c r="AD17" i="206"/>
  <c r="AD93" i="206"/>
  <c r="AA93" i="206"/>
  <c r="AE70" i="206"/>
  <c r="AG146" i="206"/>
  <c r="Z151" i="206"/>
  <c r="Y60" i="206"/>
  <c r="R135" i="206"/>
  <c r="S30" i="206"/>
  <c r="M109" i="206"/>
  <c r="Y34" i="206"/>
  <c r="M158" i="206"/>
  <c r="P159" i="206"/>
  <c r="AA68" i="206"/>
  <c r="AI130" i="206"/>
  <c r="N159" i="206"/>
  <c r="AJ164" i="206"/>
  <c r="AE62" i="206"/>
  <c r="AB197" i="206"/>
  <c r="AH117" i="206"/>
  <c r="L169" i="206"/>
  <c r="AD109" i="206"/>
  <c r="M150" i="206"/>
  <c r="AE176" i="206"/>
  <c r="T171" i="206"/>
  <c r="AG8" i="206"/>
  <c r="T139" i="206"/>
  <c r="Z27" i="206"/>
  <c r="Y93" i="206"/>
  <c r="R176" i="206"/>
  <c r="AB27" i="206"/>
  <c r="AD31" i="206"/>
  <c r="S128" i="206"/>
  <c r="Z105" i="206"/>
  <c r="AB157" i="206"/>
  <c r="Y68" i="206"/>
  <c r="AD156" i="206"/>
  <c r="S29" i="206"/>
  <c r="AA84" i="206"/>
  <c r="AG129" i="206"/>
  <c r="Y150" i="206"/>
  <c r="N63" i="206"/>
  <c r="AJ61" i="206"/>
  <c r="AH70" i="206"/>
  <c r="AC83" i="206"/>
  <c r="AH27" i="206"/>
  <c r="Z8" i="206"/>
  <c r="T175" i="206"/>
  <c r="K37" i="206"/>
  <c r="O18" i="206"/>
  <c r="AJ51" i="206"/>
  <c r="AJ91" i="206"/>
  <c r="S81" i="206"/>
  <c r="AH79" i="206"/>
  <c r="AJ23" i="206"/>
  <c r="S130" i="206"/>
  <c r="K137" i="206"/>
  <c r="L15" i="206"/>
  <c r="AH34" i="206"/>
  <c r="AJ92" i="206"/>
  <c r="N32" i="206"/>
  <c r="AF35" i="206"/>
  <c r="AH29" i="206"/>
  <c r="N66" i="206"/>
  <c r="AF17" i="206"/>
  <c r="AE44" i="206"/>
  <c r="AA23" i="206"/>
  <c r="K81" i="206"/>
  <c r="AI40" i="206"/>
  <c r="Z145" i="206"/>
  <c r="M37" i="206"/>
  <c r="N131" i="206"/>
  <c r="AD85" i="206"/>
  <c r="AH71" i="206"/>
  <c r="V69" i="206"/>
  <c r="U203" i="206"/>
  <c r="Y160" i="206"/>
  <c r="AC165" i="206"/>
  <c r="Y27" i="206"/>
  <c r="AA126" i="206"/>
  <c r="AE92" i="206"/>
  <c r="AI24" i="206"/>
  <c r="AJ82" i="206"/>
  <c r="AE9" i="206"/>
  <c r="AH9" i="206"/>
  <c r="Y53" i="206"/>
  <c r="AC69" i="206"/>
  <c r="AG9" i="206"/>
  <c r="AG71" i="206"/>
  <c r="Q137" i="206"/>
  <c r="K26" i="206"/>
  <c r="AA131" i="206"/>
  <c r="N134" i="206"/>
  <c r="AC90" i="206"/>
  <c r="AE167" i="206"/>
  <c r="AC72" i="206"/>
  <c r="T195" i="206"/>
  <c r="Y81" i="206"/>
  <c r="AD157" i="206"/>
  <c r="AC65" i="206"/>
  <c r="AD52" i="206"/>
  <c r="AH74" i="206"/>
  <c r="AI63" i="206"/>
  <c r="AF84" i="206"/>
  <c r="AI145" i="206"/>
  <c r="V143" i="206"/>
  <c r="L25" i="206"/>
  <c r="V193" i="206"/>
  <c r="O136" i="206"/>
  <c r="AI45" i="206"/>
  <c r="K177" i="206"/>
  <c r="AE56" i="206"/>
  <c r="Y192" i="206"/>
  <c r="AD32" i="206"/>
  <c r="N180" i="206"/>
  <c r="Q157" i="206"/>
  <c r="Z37" i="206"/>
  <c r="AJ181" i="206"/>
  <c r="AH32" i="206"/>
  <c r="N70" i="206"/>
  <c r="O30" i="206"/>
  <c r="U28" i="206"/>
  <c r="Y8" i="206"/>
  <c r="AI14" i="206"/>
  <c r="Q141" i="206"/>
  <c r="AF122" i="206"/>
  <c r="AI81" i="206"/>
  <c r="AD25" i="206"/>
  <c r="S23" i="206"/>
  <c r="AA167" i="206"/>
  <c r="AA74" i="206"/>
  <c r="AE109" i="206"/>
  <c r="L65" i="206"/>
  <c r="AC189" i="206"/>
  <c r="Y175" i="206"/>
  <c r="AE55" i="206"/>
  <c r="AD182" i="206"/>
  <c r="K9" i="206"/>
  <c r="AG158" i="206"/>
  <c r="P66" i="206"/>
  <c r="AJ129" i="206"/>
  <c r="U133" i="206"/>
  <c r="Z88" i="206"/>
  <c r="M16" i="206"/>
  <c r="R132" i="206"/>
  <c r="AF146" i="206"/>
  <c r="AB168" i="206"/>
  <c r="Z146" i="206"/>
  <c r="M166" i="206"/>
  <c r="AC138" i="206"/>
  <c r="AF144" i="206"/>
  <c r="Z36" i="206"/>
  <c r="M90" i="206"/>
  <c r="AI117" i="206"/>
  <c r="AA14" i="206"/>
  <c r="AD80" i="206"/>
  <c r="AF44" i="206"/>
  <c r="AC162" i="206"/>
  <c r="AG109" i="206"/>
  <c r="V15" i="206"/>
  <c r="K136" i="206"/>
  <c r="K29" i="206"/>
  <c r="AB113" i="206"/>
  <c r="AJ180" i="206"/>
  <c r="Y35" i="206"/>
  <c r="AC168" i="206"/>
  <c r="AA54" i="206"/>
  <c r="AG27" i="206"/>
  <c r="T131" i="206"/>
  <c r="P164" i="206"/>
  <c r="V34" i="206"/>
  <c r="AA44" i="206"/>
  <c r="AH26" i="206"/>
  <c r="Z38" i="206"/>
  <c r="AD84" i="206"/>
  <c r="U140" i="206"/>
  <c r="L37" i="206"/>
  <c r="AF9" i="206"/>
  <c r="Q28" i="206"/>
  <c r="K198" i="206"/>
  <c r="Y187" i="206"/>
  <c r="Y55" i="206"/>
  <c r="AI26" i="206"/>
  <c r="AB101" i="206"/>
  <c r="P118" i="206"/>
  <c r="U132" i="206"/>
  <c r="L177" i="206"/>
  <c r="S196" i="206"/>
  <c r="AH159" i="206"/>
  <c r="AH139" i="206"/>
  <c r="V32" i="206"/>
  <c r="Z178" i="206"/>
  <c r="AA118" i="206"/>
  <c r="Q81" i="206"/>
  <c r="S135" i="206"/>
  <c r="AF31" i="206"/>
  <c r="AE16" i="206"/>
  <c r="U29" i="206"/>
  <c r="AB17" i="206"/>
  <c r="AD24" i="206"/>
  <c r="AD128" i="206"/>
  <c r="AJ194" i="206"/>
  <c r="V113" i="206"/>
  <c r="AA30" i="206"/>
  <c r="AE142" i="206"/>
  <c r="AF138" i="206"/>
  <c r="R65" i="206"/>
  <c r="Z24" i="206"/>
  <c r="AC141" i="206"/>
  <c r="S129" i="206"/>
  <c r="AA148" i="206"/>
  <c r="O149" i="206"/>
  <c r="N68" i="206"/>
  <c r="AI29" i="206"/>
  <c r="AA187" i="206"/>
  <c r="AJ159" i="206"/>
  <c r="K127" i="206"/>
  <c r="S179" i="206"/>
  <c r="Y37" i="206"/>
  <c r="AC58" i="206"/>
  <c r="V139" i="206"/>
  <c r="Y189" i="206"/>
  <c r="AA66" i="206"/>
  <c r="AF175" i="206"/>
  <c r="AI75" i="206"/>
  <c r="L130" i="206"/>
  <c r="AI71" i="206"/>
  <c r="AF57" i="206"/>
  <c r="Y168" i="206"/>
  <c r="Q65" i="206"/>
  <c r="V71" i="206"/>
  <c r="K31" i="206"/>
  <c r="K16" i="206"/>
  <c r="AD40" i="206"/>
  <c r="L167" i="206"/>
  <c r="AA190" i="206"/>
  <c r="Y63" i="206"/>
  <c r="N18" i="206"/>
  <c r="M18" i="206"/>
  <c r="Q62" i="206"/>
  <c r="AD118" i="206"/>
  <c r="Z134" i="206"/>
  <c r="AB180" i="206"/>
  <c r="AJ133" i="206"/>
  <c r="AB35" i="206"/>
  <c r="K141" i="206"/>
  <c r="U174" i="206"/>
  <c r="S31" i="206"/>
  <c r="U190" i="206"/>
  <c r="Q190" i="206"/>
  <c r="K190" i="206"/>
  <c r="AA188" i="206"/>
  <c r="Q31" i="206"/>
  <c r="AC63" i="206"/>
  <c r="AG188" i="206"/>
  <c r="AC47" i="206"/>
  <c r="AG80" i="206"/>
  <c r="AD147" i="206"/>
  <c r="AG88" i="206"/>
  <c r="V129" i="206"/>
  <c r="P134" i="206"/>
  <c r="AF149" i="206"/>
  <c r="AA81" i="206"/>
  <c r="R137" i="206"/>
  <c r="AE8" i="206"/>
  <c r="O23" i="206"/>
  <c r="AJ170" i="206"/>
  <c r="AH72" i="206"/>
  <c r="Q149" i="206"/>
  <c r="AI34" i="206"/>
  <c r="N67" i="206"/>
  <c r="N73" i="206"/>
  <c r="AG33" i="206"/>
  <c r="AF25" i="206"/>
  <c r="AC28" i="206"/>
  <c r="R136" i="206"/>
  <c r="AJ47" i="206"/>
  <c r="K143" i="206"/>
  <c r="Q167" i="206"/>
  <c r="AA28" i="206"/>
  <c r="V191" i="206"/>
  <c r="AF160" i="206"/>
  <c r="R82" i="206"/>
  <c r="AI60" i="206"/>
  <c r="S160" i="206"/>
  <c r="AI66" i="206"/>
  <c r="AJ64" i="206"/>
  <c r="AD197" i="206"/>
  <c r="AF67" i="206"/>
  <c r="V41" i="206"/>
  <c r="O196" i="206"/>
  <c r="AA59" i="206"/>
  <c r="Z177" i="206"/>
  <c r="M30" i="206"/>
  <c r="Z56" i="206"/>
  <c r="L162" i="206"/>
  <c r="U181" i="206"/>
  <c r="V109" i="206"/>
  <c r="AB29" i="206"/>
  <c r="AG130" i="206"/>
  <c r="AF156" i="206"/>
  <c r="AC118" i="206"/>
  <c r="O27" i="206"/>
  <c r="AE66" i="206"/>
  <c r="O117" i="206"/>
  <c r="U65" i="206"/>
  <c r="N118" i="206"/>
  <c r="AA51" i="206"/>
  <c r="AJ147" i="206"/>
  <c r="M130" i="206"/>
  <c r="AA87" i="206"/>
  <c r="M73" i="206"/>
  <c r="AG133" i="206"/>
  <c r="N81" i="206"/>
  <c r="AG32" i="206"/>
  <c r="AC187" i="206"/>
  <c r="K168" i="206"/>
  <c r="Y88" i="206"/>
  <c r="Z181" i="206"/>
  <c r="U24" i="206"/>
  <c r="P67" i="206"/>
  <c r="AE74" i="206"/>
  <c r="S32" i="206"/>
  <c r="AI138" i="206"/>
  <c r="AA41" i="206"/>
  <c r="M160" i="206"/>
  <c r="Y89" i="206"/>
  <c r="AE188" i="206"/>
  <c r="AJ131" i="206"/>
  <c r="AG65" i="206"/>
  <c r="AA32" i="206"/>
  <c r="AB79" i="206"/>
  <c r="AC73" i="206"/>
  <c r="K118" i="206"/>
  <c r="AJ88" i="206"/>
  <c r="AE45" i="206"/>
  <c r="M203" i="206"/>
  <c r="AH140" i="206"/>
  <c r="V166" i="206"/>
  <c r="AB84" i="206"/>
  <c r="K150" i="206"/>
  <c r="AF24" i="206"/>
  <c r="K34" i="206"/>
  <c r="AH88" i="206"/>
  <c r="V68" i="206"/>
  <c r="AF45" i="206"/>
  <c r="AB132" i="206"/>
  <c r="Y57" i="206"/>
  <c r="AB146" i="206"/>
  <c r="R23" i="206"/>
  <c r="AD63" i="206"/>
  <c r="AH61" i="206"/>
  <c r="AI61" i="206"/>
  <c r="AH60" i="206"/>
  <c r="AI57" i="206"/>
  <c r="Z32" i="206"/>
  <c r="AD60" i="206"/>
  <c r="S67" i="206"/>
  <c r="U34" i="206"/>
  <c r="AA151" i="206"/>
  <c r="R169" i="206"/>
  <c r="M157" i="206"/>
  <c r="R63" i="206"/>
  <c r="Z97" i="206"/>
  <c r="Z57" i="206"/>
  <c r="Y75" i="206"/>
  <c r="L113" i="206"/>
  <c r="AG56" i="206"/>
  <c r="AI105" i="206"/>
  <c r="AC134" i="206"/>
  <c r="N34" i="206"/>
  <c r="O14" i="206"/>
  <c r="L17" i="206"/>
  <c r="O25" i="206"/>
  <c r="AB44" i="206"/>
  <c r="N30" i="206"/>
  <c r="U32" i="206"/>
  <c r="AD56" i="206"/>
  <c r="Q140" i="206"/>
  <c r="V16" i="206"/>
  <c r="S75" i="206"/>
  <c r="AH33" i="206"/>
  <c r="AD149" i="206"/>
  <c r="P170" i="206"/>
  <c r="AG181" i="206"/>
  <c r="AE58" i="206"/>
  <c r="AH182" i="206"/>
  <c r="S66" i="206"/>
  <c r="AA52" i="206"/>
  <c r="AA82" i="206"/>
  <c r="R71" i="206"/>
  <c r="AG143" i="206"/>
  <c r="AA62" i="206"/>
  <c r="T138" i="206"/>
  <c r="V136" i="206"/>
  <c r="AE31" i="206"/>
  <c r="Y41" i="206"/>
  <c r="K62" i="206"/>
  <c r="AA150" i="206"/>
  <c r="AD192" i="206"/>
  <c r="AB118" i="206"/>
  <c r="AG140" i="206"/>
  <c r="AD158" i="206"/>
  <c r="K71" i="206"/>
  <c r="AI36" i="206"/>
  <c r="AC37" i="206"/>
  <c r="AF92" i="206"/>
  <c r="AF32" i="206"/>
  <c r="U9" i="206"/>
  <c r="AG73" i="206"/>
  <c r="AG101" i="206"/>
  <c r="AJ62" i="206"/>
  <c r="R25" i="206"/>
  <c r="AE37" i="206"/>
  <c r="AJ72" i="206"/>
  <c r="AC91" i="206"/>
  <c r="V67" i="206"/>
  <c r="L30" i="206"/>
  <c r="AH101" i="206"/>
  <c r="AI18" i="206"/>
  <c r="Q164" i="206"/>
  <c r="AF90" i="206"/>
  <c r="AF170" i="206"/>
  <c r="N36" i="206"/>
  <c r="AH82" i="206"/>
  <c r="AC145" i="206"/>
  <c r="Y113" i="206"/>
  <c r="L189" i="206"/>
  <c r="AJ37" i="206"/>
  <c r="AC67" i="206"/>
  <c r="AE144" i="206"/>
  <c r="AF41" i="206"/>
  <c r="K69" i="206"/>
  <c r="AA205" i="206"/>
  <c r="V137" i="206"/>
  <c r="AC85" i="206"/>
  <c r="V25" i="206"/>
  <c r="AF53" i="206"/>
  <c r="V28" i="206"/>
  <c r="Z91" i="206"/>
  <c r="AE38" i="206"/>
  <c r="V75" i="206"/>
  <c r="N140" i="206"/>
  <c r="AF169" i="206"/>
  <c r="AA97" i="206"/>
  <c r="O74" i="206"/>
  <c r="Z101" i="206"/>
  <c r="AI91" i="206"/>
  <c r="AF182" i="206"/>
  <c r="L34" i="206"/>
  <c r="V170" i="206"/>
  <c r="AA17" i="206"/>
  <c r="S40" i="206"/>
  <c r="Z35" i="206"/>
  <c r="AH8" i="206"/>
  <c r="L157" i="206"/>
  <c r="AE27" i="206"/>
  <c r="L64" i="206"/>
  <c r="AH136" i="206"/>
  <c r="AB24" i="206"/>
  <c r="Z135" i="206"/>
  <c r="AE150" i="206"/>
  <c r="AF23" i="206"/>
  <c r="N37" i="206"/>
  <c r="AJ9" i="206"/>
  <c r="T36" i="206"/>
  <c r="Q128" i="206"/>
  <c r="O133" i="206"/>
  <c r="AE132" i="206"/>
  <c r="AB66" i="206"/>
  <c r="AI84" i="206"/>
  <c r="Y69" i="206"/>
  <c r="M143" i="206"/>
  <c r="AB179" i="206"/>
  <c r="U37" i="206"/>
  <c r="AJ66" i="206"/>
  <c r="N23" i="206"/>
  <c r="AG44" i="206"/>
  <c r="AA35" i="206"/>
  <c r="AB34" i="206"/>
  <c r="T26" i="206"/>
  <c r="T37" i="206"/>
  <c r="U134" i="206"/>
  <c r="AG52" i="206"/>
  <c r="AA91" i="206"/>
  <c r="Y134" i="206"/>
  <c r="N14" i="206"/>
  <c r="Z162" i="206"/>
  <c r="Z29" i="206"/>
  <c r="Y65" i="206"/>
  <c r="Z152" i="206"/>
  <c r="P182" i="206"/>
  <c r="L8" i="206"/>
  <c r="Y97" i="206"/>
  <c r="AB56" i="206"/>
  <c r="AH89" i="206"/>
  <c r="Y129" i="206"/>
  <c r="N168" i="206"/>
  <c r="S37" i="206"/>
  <c r="S137" i="206"/>
  <c r="Z9" i="206"/>
  <c r="AH161" i="206"/>
  <c r="S161" i="206"/>
  <c r="AH46" i="206"/>
  <c r="AC70" i="206"/>
  <c r="AD75" i="206"/>
  <c r="AI190" i="206"/>
  <c r="R133" i="206"/>
  <c r="AH30" i="206"/>
  <c r="K24" i="206"/>
  <c r="Y176" i="206"/>
  <c r="Q138" i="206"/>
  <c r="AJ28" i="206"/>
  <c r="V26" i="206"/>
  <c r="AH157" i="206"/>
  <c r="AE25" i="206"/>
  <c r="Q69" i="206"/>
  <c r="U14" i="206"/>
  <c r="AF39" i="206"/>
  <c r="AE122" i="206"/>
  <c r="AJ55" i="206"/>
  <c r="O191" i="206"/>
  <c r="M34" i="206"/>
  <c r="AC137" i="206"/>
  <c r="K64" i="206"/>
  <c r="Q71" i="206"/>
  <c r="AB37" i="206"/>
  <c r="AE148" i="206"/>
  <c r="AC89" i="206"/>
  <c r="S70" i="206"/>
  <c r="V204" i="206"/>
  <c r="U109" i="206"/>
  <c r="P26" i="206"/>
  <c r="P18" i="206"/>
  <c r="Z25" i="206"/>
  <c r="T31" i="206"/>
  <c r="AB70" i="206"/>
  <c r="M9" i="206"/>
  <c r="AI203" i="206"/>
  <c r="K68" i="206"/>
  <c r="AH35" i="206"/>
  <c r="AC84" i="206"/>
  <c r="AC148" i="206"/>
  <c r="M175" i="206"/>
  <c r="Z92" i="206"/>
  <c r="AF27" i="206"/>
  <c r="Q129" i="206"/>
  <c r="N133" i="206"/>
  <c r="M41" i="206"/>
  <c r="Z86" i="206"/>
  <c r="AD126" i="206"/>
  <c r="U194" i="206"/>
  <c r="AB71" i="206"/>
  <c r="AE75" i="206"/>
  <c r="AG105" i="206"/>
  <c r="S62" i="206"/>
  <c r="AD57" i="206"/>
  <c r="AG46" i="206"/>
  <c r="Y23" i="206"/>
  <c r="R16" i="206"/>
  <c r="AI113" i="206"/>
  <c r="L31" i="206"/>
  <c r="Z170" i="206"/>
  <c r="AH55" i="206"/>
  <c r="Z74" i="206"/>
  <c r="AJ101" i="206"/>
  <c r="K14" i="206"/>
  <c r="AG45" i="206"/>
  <c r="L178" i="206"/>
  <c r="Q27" i="206"/>
  <c r="AA45" i="206"/>
  <c r="L135" i="206"/>
  <c r="AB90" i="206"/>
  <c r="Z128" i="206"/>
  <c r="Z44" i="206"/>
  <c r="N41" i="206"/>
  <c r="AH23" i="206"/>
  <c r="Z64" i="206"/>
  <c r="S65" i="206"/>
  <c r="N150" i="206"/>
  <c r="AD144" i="206"/>
  <c r="AB166" i="206"/>
  <c r="V168" i="206"/>
  <c r="Q73" i="206"/>
  <c r="L187" i="206"/>
  <c r="L23" i="206"/>
  <c r="N40" i="206"/>
  <c r="Q40" i="206"/>
  <c r="P8" i="206"/>
  <c r="R40" i="206"/>
  <c r="P40" i="206"/>
  <c r="O40" i="206"/>
  <c r="K40" i="206"/>
  <c r="L40" i="206"/>
  <c r="K23" i="206"/>
  <c r="M40" i="206"/>
  <c r="N8" i="206"/>
  <c r="I99" i="219"/>
  <c r="D95" i="198"/>
  <c r="E95" i="198" s="1"/>
  <c r="AH95" i="198"/>
  <c r="AI95" i="198" s="1"/>
  <c r="W93" i="204"/>
  <c r="D93" i="204"/>
  <c r="F93" i="204" s="1"/>
  <c r="G93" i="204"/>
  <c r="I93" i="204" s="1"/>
  <c r="H67" i="206"/>
  <c r="E67" i="206"/>
  <c r="H190" i="206"/>
  <c r="E190" i="206"/>
  <c r="E85" i="206"/>
  <c r="H85" i="206"/>
  <c r="E127" i="206"/>
  <c r="H127" i="206"/>
  <c r="H151" i="206"/>
  <c r="E151" i="206"/>
  <c r="H25" i="206"/>
  <c r="E25" i="206"/>
  <c r="W106" i="219"/>
  <c r="D106" i="219"/>
  <c r="F106" i="219" s="1"/>
  <c r="K105" i="219"/>
  <c r="G106" i="219"/>
  <c r="N108" i="198"/>
  <c r="O108" i="198" s="1"/>
  <c r="AR108" i="198"/>
  <c r="AS108" i="198" s="1"/>
  <c r="H110" i="219"/>
  <c r="I110" i="219" s="1"/>
  <c r="E110" i="219"/>
  <c r="F110" i="219" s="1"/>
  <c r="AK110" i="219"/>
  <c r="Y92" i="220"/>
  <c r="H97" i="220"/>
  <c r="E97" i="220"/>
  <c r="AK97" i="220"/>
  <c r="E101" i="220"/>
  <c r="AK101" i="220"/>
  <c r="H101" i="220"/>
  <c r="P16" i="206"/>
  <c r="D75" i="206"/>
  <c r="G75" i="206"/>
  <c r="E147" i="206"/>
  <c r="H147" i="206"/>
  <c r="H180" i="206"/>
  <c r="E180" i="206"/>
  <c r="H152" i="206"/>
  <c r="E152" i="206"/>
  <c r="E188" i="206"/>
  <c r="H188" i="206"/>
  <c r="H132" i="206"/>
  <c r="E132" i="206"/>
  <c r="E171" i="206"/>
  <c r="H171" i="206"/>
  <c r="H164" i="206"/>
  <c r="E164" i="206"/>
  <c r="E56" i="206"/>
  <c r="H56" i="206"/>
  <c r="H178" i="206"/>
  <c r="E178" i="206"/>
  <c r="E179" i="206"/>
  <c r="H179" i="206"/>
  <c r="H24" i="206"/>
  <c r="E24" i="206"/>
  <c r="D27" i="206"/>
  <c r="T92" i="204"/>
  <c r="E83" i="206"/>
  <c r="P92" i="204"/>
  <c r="G98" i="219"/>
  <c r="W98" i="219"/>
  <c r="K97" i="219"/>
  <c r="D98" i="219"/>
  <c r="N100" i="198"/>
  <c r="O100" i="198" s="1"/>
  <c r="AR100" i="198"/>
  <c r="AS100" i="198" s="1"/>
  <c r="H14" i="206"/>
  <c r="E14" i="206"/>
  <c r="H114" i="219"/>
  <c r="I114" i="219" s="1"/>
  <c r="E114" i="219"/>
  <c r="F114" i="219" s="1"/>
  <c r="AK114" i="219"/>
  <c r="L122" i="219"/>
  <c r="L122" i="206" s="1"/>
  <c r="H145" i="206"/>
  <c r="E145" i="206"/>
  <c r="V92" i="204"/>
  <c r="R92" i="204"/>
  <c r="E169" i="206"/>
  <c r="H169" i="206"/>
  <c r="H130" i="206"/>
  <c r="E130" i="206"/>
  <c r="H70" i="206"/>
  <c r="E70" i="206"/>
  <c r="G130" i="206"/>
  <c r="D130" i="206"/>
  <c r="H84" i="206"/>
  <c r="E84" i="206"/>
  <c r="E165" i="206"/>
  <c r="H165" i="206"/>
  <c r="I107" i="204"/>
  <c r="W97" i="220"/>
  <c r="G97" i="220"/>
  <c r="D97" i="220"/>
  <c r="AW99" i="198"/>
  <c r="AX99" i="198" s="1"/>
  <c r="S99" i="198"/>
  <c r="T99" i="198" s="1"/>
  <c r="K123" i="220"/>
  <c r="AN317" i="217"/>
  <c r="AO105" i="217"/>
  <c r="AO245" i="217"/>
  <c r="AP36" i="217"/>
  <c r="AP245" i="217" s="1"/>
  <c r="AO175" i="217"/>
  <c r="AO140" i="217"/>
  <c r="N55" i="177"/>
  <c r="N56" i="177" s="1"/>
  <c r="L75" i="177"/>
  <c r="L76" i="177" s="1"/>
  <c r="L77" i="177" s="1"/>
  <c r="L78" i="177" s="1"/>
  <c r="Q52" i="233"/>
  <c r="O60" i="177"/>
  <c r="P11" i="177"/>
  <c r="O51" i="177"/>
  <c r="O64" i="177" s="1"/>
  <c r="P60" i="177"/>
  <c r="P50" i="177"/>
  <c r="P63" i="177" s="1"/>
  <c r="P53" i="177"/>
  <c r="P66" i="177" s="1"/>
  <c r="P49" i="177"/>
  <c r="P62" i="177" s="1"/>
  <c r="P52" i="177"/>
  <c r="P65" i="177" s="1"/>
  <c r="P54" i="177"/>
  <c r="P67" i="177" s="1"/>
  <c r="Q47" i="177"/>
  <c r="Q60" i="177" s="1"/>
  <c r="O35" i="177"/>
  <c r="P8" i="177"/>
  <c r="O45" i="177"/>
  <c r="O58" i="177" s="1"/>
  <c r="N40" i="177"/>
  <c r="N43" i="177" s="1"/>
  <c r="N38" i="177"/>
  <c r="AA18" i="159" s="1"/>
  <c r="N69" i="177"/>
  <c r="L24" i="177"/>
  <c r="M23" i="177"/>
  <c r="F37" i="174"/>
  <c r="E37" i="174"/>
  <c r="A38" i="174"/>
  <c r="E120" i="174"/>
  <c r="N62" i="240"/>
  <c r="N66" i="240" s="1"/>
  <c r="H69" i="248"/>
  <c r="H70" i="248" s="1"/>
  <c r="N64" i="248"/>
  <c r="N69" i="248" s="1"/>
  <c r="N70" i="248" s="1"/>
  <c r="H52" i="233"/>
  <c r="M66" i="240"/>
  <c r="M62" i="248"/>
  <c r="M69" i="248" s="1"/>
  <c r="M70" i="248" s="1"/>
  <c r="AO308" i="217"/>
  <c r="Q23" i="232"/>
  <c r="AO319" i="217"/>
  <c r="N73" i="248"/>
  <c r="K73" i="248"/>
  <c r="G69" i="240"/>
  <c r="U38" i="206"/>
  <c r="H70" i="246"/>
  <c r="I70" i="246"/>
  <c r="C73" i="246"/>
  <c r="C72" i="246" s="1"/>
  <c r="E64" i="246"/>
  <c r="E65" i="246"/>
  <c r="E67" i="246"/>
  <c r="E68" i="246"/>
  <c r="E69" i="246"/>
  <c r="E72" i="246"/>
  <c r="E73" i="246"/>
  <c r="E66" i="246"/>
  <c r="E71" i="246"/>
  <c r="Q52" i="231"/>
  <c r="B52" i="231"/>
  <c r="C52" i="231"/>
  <c r="AM79" i="217"/>
  <c r="AM304" i="217"/>
  <c r="AM327" i="217" s="1"/>
  <c r="AM268" i="217"/>
  <c r="AM292" i="217" s="1"/>
  <c r="AN45" i="217"/>
  <c r="AO23" i="217"/>
  <c r="AO45" i="217" s="1"/>
  <c r="AN127" i="217"/>
  <c r="AN149" i="217" s="1"/>
  <c r="AN232" i="217"/>
  <c r="AN256" i="217" s="1"/>
  <c r="AN57" i="217"/>
  <c r="AN79" i="217" s="1"/>
  <c r="AN92" i="217"/>
  <c r="AN115" i="217" s="1"/>
  <c r="AN162" i="217"/>
  <c r="AN185" i="217" s="1"/>
  <c r="T38" i="206"/>
  <c r="L38" i="206"/>
  <c r="S38" i="206"/>
  <c r="P38" i="206"/>
  <c r="O38" i="206"/>
  <c r="AN310" i="217"/>
  <c r="S40" i="198"/>
  <c r="T40" i="198" s="1"/>
  <c r="AW40" i="198"/>
  <c r="AX40" i="198" s="1"/>
  <c r="D38" i="220"/>
  <c r="F38" i="220" s="1"/>
  <c r="G38" i="220"/>
  <c r="I38" i="220" s="1"/>
  <c r="W38" i="219"/>
  <c r="K38" i="206"/>
  <c r="N40" i="198"/>
  <c r="O40" i="198" s="1"/>
  <c r="AR40" i="198"/>
  <c r="AS40" i="198" s="1"/>
  <c r="D38" i="219"/>
  <c r="F38" i="219" s="1"/>
  <c r="G38" i="219"/>
  <c r="I38" i="219" s="1"/>
  <c r="B52" i="233"/>
  <c r="C52" i="233"/>
  <c r="AM275" i="217"/>
  <c r="AM311" i="217"/>
  <c r="AN99" i="217"/>
  <c r="AN64" i="217"/>
  <c r="AN134" i="217"/>
  <c r="AO30" i="217"/>
  <c r="AN169" i="217"/>
  <c r="AN239" i="217"/>
  <c r="W38" i="220"/>
  <c r="Q38" i="206"/>
  <c r="R38" i="206"/>
  <c r="V38" i="206"/>
  <c r="AK293" i="217"/>
  <c r="AK291" i="217"/>
  <c r="AK329" i="217"/>
  <c r="AK326" i="217"/>
  <c r="AL114" i="217"/>
  <c r="AL116" i="217"/>
  <c r="AL184" i="217"/>
  <c r="AL186" i="217"/>
  <c r="AL150" i="217"/>
  <c r="AL151" i="217"/>
  <c r="AL257" i="217"/>
  <c r="AL255" i="217"/>
  <c r="AL269" i="217"/>
  <c r="AL81" i="217"/>
  <c r="AL305" i="217"/>
  <c r="AL80" i="217"/>
  <c r="AM163" i="217"/>
  <c r="AM233" i="217"/>
  <c r="AM58" i="217"/>
  <c r="AM128" i="217"/>
  <c r="AM46" i="217"/>
  <c r="AM44" i="217"/>
  <c r="AN24" i="217"/>
  <c r="AM93" i="217"/>
  <c r="N38" i="206"/>
  <c r="AO318" i="217"/>
  <c r="AO314" i="217"/>
  <c r="AO309" i="217"/>
  <c r="AO312" i="217"/>
  <c r="AP142" i="217"/>
  <c r="AP72" i="217"/>
  <c r="AQ38" i="217"/>
  <c r="AQ107" i="217" s="1"/>
  <c r="AP177" i="217"/>
  <c r="AP247" i="217"/>
  <c r="AO283" i="217"/>
  <c r="AQ37" i="217"/>
  <c r="AP141" i="217"/>
  <c r="AP106" i="217"/>
  <c r="AP246" i="217"/>
  <c r="AP71" i="217"/>
  <c r="AP176" i="217"/>
  <c r="AO282" i="217"/>
  <c r="AO280" i="217"/>
  <c r="AP139" i="217"/>
  <c r="AP174" i="217"/>
  <c r="AP69" i="217"/>
  <c r="AQ35" i="217"/>
  <c r="AP104" i="217"/>
  <c r="AP244" i="217"/>
  <c r="AO279" i="217"/>
  <c r="AO315" i="217"/>
  <c r="AQ34" i="217"/>
  <c r="AP103" i="217"/>
  <c r="AP138" i="217"/>
  <c r="AP68" i="217"/>
  <c r="AP243" i="217"/>
  <c r="AP173" i="217"/>
  <c r="AO278" i="217"/>
  <c r="AP137" i="217"/>
  <c r="AP172" i="217"/>
  <c r="AP242" i="217"/>
  <c r="AQ33" i="217"/>
  <c r="AP67" i="217"/>
  <c r="AP102" i="217"/>
  <c r="AO276" i="217"/>
  <c r="AP65" i="217"/>
  <c r="AP135" i="217"/>
  <c r="AQ31" i="217"/>
  <c r="AP100" i="217"/>
  <c r="AP170" i="217"/>
  <c r="AP240" i="217"/>
  <c r="AQ28" i="217"/>
  <c r="AP167" i="217"/>
  <c r="AP237" i="217"/>
  <c r="AP62" i="217"/>
  <c r="AP132" i="217"/>
  <c r="AP97" i="217"/>
  <c r="AO273" i="217"/>
  <c r="AQ27" i="217"/>
  <c r="AP96" i="217"/>
  <c r="AP131" i="217"/>
  <c r="AP166" i="217"/>
  <c r="AP236" i="217"/>
  <c r="AP61" i="217"/>
  <c r="AP165" i="217"/>
  <c r="AP95" i="217"/>
  <c r="AP130" i="217"/>
  <c r="AP235" i="217"/>
  <c r="AQ26" i="217"/>
  <c r="AP60" i="217"/>
  <c r="AO272" i="217"/>
  <c r="AO271" i="217"/>
  <c r="AN306" i="217"/>
  <c r="AN302" i="217"/>
  <c r="AN301" i="217"/>
  <c r="AN300" i="217"/>
  <c r="AP299" i="217"/>
  <c r="AP25" i="217"/>
  <c r="AO94" i="217"/>
  <c r="AO129" i="217"/>
  <c r="AO164" i="217"/>
  <c r="AO59" i="217"/>
  <c r="AO234" i="217"/>
  <c r="AN270" i="217"/>
  <c r="AP21" i="217"/>
  <c r="AO55" i="217"/>
  <c r="AO90" i="217"/>
  <c r="AO125" i="217"/>
  <c r="AO230" i="217"/>
  <c r="AO160" i="217"/>
  <c r="AN266" i="217"/>
  <c r="AP20" i="217"/>
  <c r="AO54" i="217"/>
  <c r="AO89" i="217"/>
  <c r="AO124" i="217"/>
  <c r="AO229" i="217"/>
  <c r="AO159" i="217"/>
  <c r="AN265" i="217"/>
  <c r="AP19" i="217"/>
  <c r="AO53" i="217"/>
  <c r="AO88" i="217"/>
  <c r="AO123" i="217"/>
  <c r="AO228" i="217"/>
  <c r="AO158" i="217"/>
  <c r="AR18" i="217"/>
  <c r="AQ87" i="217"/>
  <c r="AQ52" i="217"/>
  <c r="AQ122" i="217"/>
  <c r="AQ227" i="217"/>
  <c r="AP263" i="217"/>
  <c r="AR17" i="217"/>
  <c r="AQ298" i="217"/>
  <c r="AN264" i="217"/>
  <c r="AN303" i="217"/>
  <c r="AP22" i="217"/>
  <c r="AO126" i="217"/>
  <c r="AO91" i="217"/>
  <c r="AO56" i="217"/>
  <c r="AO161" i="217"/>
  <c r="AO231" i="217"/>
  <c r="AN267" i="217"/>
  <c r="AP32" i="217"/>
  <c r="AO313" i="217"/>
  <c r="F39" i="232"/>
  <c r="I31" i="177"/>
  <c r="C29" i="246"/>
  <c r="C26" i="246"/>
  <c r="W26" i="246" s="1"/>
  <c r="U26" i="246" s="1"/>
  <c r="AB26" i="246" s="1"/>
  <c r="C27" i="246"/>
  <c r="W27" i="246" s="1"/>
  <c r="U27" i="246" s="1"/>
  <c r="AB27" i="246" s="1"/>
  <c r="C22" i="246"/>
  <c r="C24" i="246"/>
  <c r="W24" i="246" s="1"/>
  <c r="U24" i="246" s="1"/>
  <c r="AB24" i="246" s="1"/>
  <c r="C25" i="246"/>
  <c r="W25" i="246" s="1"/>
  <c r="U25" i="246" s="1"/>
  <c r="AB25" i="246" s="1"/>
  <c r="C23" i="246"/>
  <c r="W23" i="246" s="1"/>
  <c r="I21" i="246"/>
  <c r="J21" i="246" s="1"/>
  <c r="J29" i="177"/>
  <c r="AO316" i="217" l="1"/>
  <c r="G161" i="206"/>
  <c r="I161" i="206" s="1"/>
  <c r="G25" i="206"/>
  <c r="I25" i="206" s="1"/>
  <c r="N19" i="220"/>
  <c r="H21" i="231" s="1"/>
  <c r="G113" i="206"/>
  <c r="D179" i="206"/>
  <c r="F179" i="206" s="1"/>
  <c r="D192" i="206"/>
  <c r="P51" i="177"/>
  <c r="P64" i="177" s="1"/>
  <c r="P68" i="177" s="1"/>
  <c r="Q11" i="177"/>
  <c r="D63" i="206"/>
  <c r="D182" i="206"/>
  <c r="F182" i="206" s="1"/>
  <c r="G197" i="206"/>
  <c r="D196" i="206"/>
  <c r="F196" i="206" s="1"/>
  <c r="D39" i="206"/>
  <c r="F39" i="206" s="1"/>
  <c r="D175" i="206"/>
  <c r="BI55" i="250"/>
  <c r="BI56" i="250" s="1"/>
  <c r="BI68" i="250"/>
  <c r="BI69" i="250" s="1"/>
  <c r="BG75" i="250" s="1"/>
  <c r="G163" i="206"/>
  <c r="U12" i="206"/>
  <c r="D164" i="206"/>
  <c r="F164" i="206" s="1"/>
  <c r="D189" i="206"/>
  <c r="G181" i="206"/>
  <c r="I181" i="206" s="1"/>
  <c r="D138" i="206"/>
  <c r="D117" i="206"/>
  <c r="F117" i="206" s="1"/>
  <c r="G176" i="206"/>
  <c r="G159" i="206"/>
  <c r="D139" i="206"/>
  <c r="F139" i="206" s="1"/>
  <c r="G132" i="206"/>
  <c r="I132" i="206" s="1"/>
  <c r="D66" i="206"/>
  <c r="F66" i="206" s="1"/>
  <c r="D174" i="206"/>
  <c r="F174" i="206" s="1"/>
  <c r="AJ12" i="206"/>
  <c r="D140" i="206"/>
  <c r="P12" i="206"/>
  <c r="G72" i="206"/>
  <c r="W39" i="206"/>
  <c r="AK179" i="206"/>
  <c r="D131" i="206"/>
  <c r="F131" i="206" s="1"/>
  <c r="AA12" i="206"/>
  <c r="N12" i="206"/>
  <c r="AD183" i="206"/>
  <c r="M183" i="206"/>
  <c r="G171" i="206"/>
  <c r="I171" i="206" s="1"/>
  <c r="AE19" i="206"/>
  <c r="D41" i="206"/>
  <c r="G187" i="206"/>
  <c r="Z19" i="206"/>
  <c r="D188" i="206"/>
  <c r="F188" i="206" s="1"/>
  <c r="W204" i="206"/>
  <c r="BI24" i="250"/>
  <c r="BI26" i="250"/>
  <c r="BI27" i="250" s="1"/>
  <c r="BI30" i="250"/>
  <c r="BI31" i="250" s="1"/>
  <c r="BI28" i="250"/>
  <c r="BI29" i="250" s="1"/>
  <c r="BI32" i="250"/>
  <c r="BI33" i="250" s="1"/>
  <c r="BJ23" i="250"/>
  <c r="BK60" i="250"/>
  <c r="BL10" i="250" a="1"/>
  <c r="BL10" i="250" s="1"/>
  <c r="BK54" i="250"/>
  <c r="BK67" i="250" s="1"/>
  <c r="BK50" i="250"/>
  <c r="BK63" i="250" s="1"/>
  <c r="BK53" i="250"/>
  <c r="BK66" i="250" s="1"/>
  <c r="BK49" i="250"/>
  <c r="BK62" i="250" s="1"/>
  <c r="BK52" i="250"/>
  <c r="BK65" i="250" s="1"/>
  <c r="BL8" i="250"/>
  <c r="BK35" i="250"/>
  <c r="BK45" i="250"/>
  <c r="BK58" i="250" s="1"/>
  <c r="BJ40" i="250"/>
  <c r="BJ43" i="250" s="1"/>
  <c r="BJ38" i="250"/>
  <c r="BJ51" i="250"/>
  <c r="BJ64" i="250" s="1"/>
  <c r="BJ68" i="250" s="1"/>
  <c r="BJ69" i="250" s="1"/>
  <c r="BK11" i="250"/>
  <c r="K199" i="206"/>
  <c r="D199" i="206" s="1"/>
  <c r="G73" i="206"/>
  <c r="I73" i="206" s="1"/>
  <c r="D15" i="206"/>
  <c r="S199" i="206"/>
  <c r="AJ183" i="206"/>
  <c r="AP60" i="177"/>
  <c r="AP52" i="177"/>
  <c r="AP65" i="177" s="1"/>
  <c r="AP53" i="177"/>
  <c r="AP66" i="177" s="1"/>
  <c r="AP54" i="177"/>
  <c r="AP67" i="177" s="1"/>
  <c r="AQ10" i="177" a="1"/>
  <c r="AQ10" i="177" s="1"/>
  <c r="AP49" i="177"/>
  <c r="AP62" i="177" s="1"/>
  <c r="AP50" i="177"/>
  <c r="AP63" i="177" s="1"/>
  <c r="AB42" i="206"/>
  <c r="Q199" i="206"/>
  <c r="AE42" i="206"/>
  <c r="AG42" i="206"/>
  <c r="D65" i="206"/>
  <c r="AC199" i="206"/>
  <c r="W197" i="206"/>
  <c r="V199" i="206"/>
  <c r="AE183" i="206"/>
  <c r="Z172" i="206"/>
  <c r="R12" i="206"/>
  <c r="D203" i="206"/>
  <c r="G149" i="206"/>
  <c r="I149" i="206" s="1"/>
  <c r="G195" i="206"/>
  <c r="AK169" i="206"/>
  <c r="AD12" i="206"/>
  <c r="AE172" i="206"/>
  <c r="G162" i="206"/>
  <c r="W178" i="206"/>
  <c r="AC172" i="206"/>
  <c r="D144" i="206"/>
  <c r="F144" i="206" s="1"/>
  <c r="N183" i="206"/>
  <c r="AK139" i="206"/>
  <c r="AJ19" i="206"/>
  <c r="S183" i="206"/>
  <c r="AI12" i="206"/>
  <c r="AP321" i="217"/>
  <c r="Y19" i="206"/>
  <c r="G145" i="206"/>
  <c r="I145" i="206" s="1"/>
  <c r="AO320" i="217"/>
  <c r="AP70" i="217"/>
  <c r="M12" i="206"/>
  <c r="AR40" i="217"/>
  <c r="AQ179" i="217"/>
  <c r="AQ74" i="217"/>
  <c r="AQ249" i="217"/>
  <c r="AQ144" i="217"/>
  <c r="AQ39" i="217"/>
  <c r="AP248" i="217"/>
  <c r="AP73" i="217"/>
  <c r="AP143" i="217"/>
  <c r="AP178" i="217"/>
  <c r="AP108" i="217"/>
  <c r="U199" i="206"/>
  <c r="G191" i="206"/>
  <c r="AP105" i="217"/>
  <c r="AQ36" i="217"/>
  <c r="AQ70" i="217" s="1"/>
  <c r="AP175" i="217"/>
  <c r="AP140" i="217"/>
  <c r="AO281" i="217"/>
  <c r="AG172" i="206"/>
  <c r="G67" i="206"/>
  <c r="I67" i="206" s="1"/>
  <c r="AA199" i="206"/>
  <c r="L183" i="206"/>
  <c r="W205" i="206"/>
  <c r="Z42" i="206"/>
  <c r="W181" i="206"/>
  <c r="W180" i="206"/>
  <c r="G134" i="206"/>
  <c r="W163" i="206"/>
  <c r="D90" i="206"/>
  <c r="F90" i="206" s="1"/>
  <c r="Z199" i="206"/>
  <c r="G82" i="206"/>
  <c r="I82" i="206" s="1"/>
  <c r="S19" i="206"/>
  <c r="AD19" i="206"/>
  <c r="AK127" i="206"/>
  <c r="W182" i="206"/>
  <c r="R183" i="206"/>
  <c r="I106" i="219"/>
  <c r="W195" i="206"/>
  <c r="W192" i="206"/>
  <c r="W189" i="206"/>
  <c r="U19" i="206"/>
  <c r="AK205" i="206"/>
  <c r="AC42" i="206"/>
  <c r="W187" i="206"/>
  <c r="Q122" i="219"/>
  <c r="AB199" i="206"/>
  <c r="W188" i="206"/>
  <c r="W117" i="206"/>
  <c r="AA42" i="206"/>
  <c r="D204" i="206"/>
  <c r="F204" i="206" s="1"/>
  <c r="H195" i="206"/>
  <c r="G70" i="206"/>
  <c r="I70" i="206" s="1"/>
  <c r="AH199" i="206"/>
  <c r="AK135" i="206"/>
  <c r="AK141" i="206"/>
  <c r="E143" i="206"/>
  <c r="W144" i="206"/>
  <c r="H148" i="206"/>
  <c r="D166" i="206"/>
  <c r="F166" i="206" s="1"/>
  <c r="W79" i="206"/>
  <c r="D109" i="206"/>
  <c r="F109" i="206" s="1"/>
  <c r="AH183" i="206"/>
  <c r="W145" i="206"/>
  <c r="E74" i="206"/>
  <c r="F74" i="206" s="1"/>
  <c r="E137" i="206"/>
  <c r="AC12" i="206"/>
  <c r="Q183" i="206"/>
  <c r="G18" i="206"/>
  <c r="I18" i="206" s="1"/>
  <c r="D8" i="206"/>
  <c r="B40" i="172"/>
  <c r="S12" i="206"/>
  <c r="E64" i="206"/>
  <c r="H205" i="206"/>
  <c r="H105" i="206"/>
  <c r="AJ199" i="206"/>
  <c r="H162" i="206"/>
  <c r="AK195" i="206"/>
  <c r="E136" i="206"/>
  <c r="AB12" i="206"/>
  <c r="H198" i="206"/>
  <c r="H32" i="206"/>
  <c r="I32" i="206" s="1"/>
  <c r="P199" i="206"/>
  <c r="H80" i="206"/>
  <c r="D158" i="206"/>
  <c r="R199" i="206"/>
  <c r="H59" i="206"/>
  <c r="E181" i="206"/>
  <c r="F181" i="206" s="1"/>
  <c r="G167" i="206"/>
  <c r="I167" i="206" s="1"/>
  <c r="E71" i="206"/>
  <c r="H58" i="206"/>
  <c r="H135" i="206"/>
  <c r="AB19" i="206"/>
  <c r="V12" i="206"/>
  <c r="AK204" i="206"/>
  <c r="AC183" i="206"/>
  <c r="AD199" i="206"/>
  <c r="G178" i="206"/>
  <c r="I178" i="206" s="1"/>
  <c r="AD42" i="206"/>
  <c r="AF42" i="206"/>
  <c r="AK171" i="206"/>
  <c r="E26" i="206"/>
  <c r="E140" i="206"/>
  <c r="D193" i="206"/>
  <c r="AK174" i="206"/>
  <c r="G205" i="206"/>
  <c r="H139" i="206"/>
  <c r="I139" i="206" s="1"/>
  <c r="AJ172" i="206"/>
  <c r="D17" i="206"/>
  <c r="F17" i="206" s="1"/>
  <c r="E9" i="206"/>
  <c r="E146" i="206"/>
  <c r="O183" i="206"/>
  <c r="AK196" i="206"/>
  <c r="AI172" i="206"/>
  <c r="E158" i="206"/>
  <c r="H191" i="206"/>
  <c r="D180" i="206"/>
  <c r="F180" i="206" s="1"/>
  <c r="E29" i="206"/>
  <c r="H128" i="206"/>
  <c r="I128" i="206" s="1"/>
  <c r="E157" i="206"/>
  <c r="AG199" i="206"/>
  <c r="D79" i="206"/>
  <c r="AE199" i="206"/>
  <c r="AI42" i="206"/>
  <c r="D129" i="206"/>
  <c r="W158" i="206"/>
  <c r="G30" i="206"/>
  <c r="Y172" i="206"/>
  <c r="H172" i="206" s="1"/>
  <c r="E62" i="206"/>
  <c r="M122" i="219"/>
  <c r="M92" i="219" s="1"/>
  <c r="N199" i="206"/>
  <c r="AI183" i="206"/>
  <c r="G194" i="206"/>
  <c r="I194" i="206" s="1"/>
  <c r="G74" i="206"/>
  <c r="I74" i="206" s="1"/>
  <c r="D169" i="206"/>
  <c r="F169" i="206" s="1"/>
  <c r="AK198" i="206"/>
  <c r="W138" i="206"/>
  <c r="AB183" i="206"/>
  <c r="AK191" i="206"/>
  <c r="G135" i="206"/>
  <c r="E46" i="206"/>
  <c r="I66" i="206"/>
  <c r="H197" i="206"/>
  <c r="N122" i="206"/>
  <c r="E149" i="206"/>
  <c r="F149" i="206" s="1"/>
  <c r="R122" i="219"/>
  <c r="R92" i="219" s="1"/>
  <c r="D32" i="206"/>
  <c r="F32" i="206" s="1"/>
  <c r="F191" i="206"/>
  <c r="H54" i="206"/>
  <c r="E133" i="206"/>
  <c r="I109" i="206"/>
  <c r="D128" i="206"/>
  <c r="F128" i="206" s="1"/>
  <c r="E15" i="206"/>
  <c r="M199" i="206"/>
  <c r="E118" i="206"/>
  <c r="AK147" i="206"/>
  <c r="AK180" i="206"/>
  <c r="W72" i="206"/>
  <c r="H61" i="206"/>
  <c r="AK151" i="206"/>
  <c r="AK165" i="206"/>
  <c r="O92" i="219"/>
  <c r="O122" i="206"/>
  <c r="Q92" i="219"/>
  <c r="Q122" i="206"/>
  <c r="P92" i="219"/>
  <c r="P122" i="206"/>
  <c r="AH42" i="206"/>
  <c r="AK132" i="206"/>
  <c r="AK188" i="206"/>
  <c r="AK26" i="206"/>
  <c r="H131" i="206"/>
  <c r="I131" i="206" s="1"/>
  <c r="I98" i="219"/>
  <c r="E138" i="206"/>
  <c r="E203" i="206"/>
  <c r="W131" i="206"/>
  <c r="I140" i="206"/>
  <c r="F18" i="206"/>
  <c r="W133" i="206"/>
  <c r="AH12" i="206"/>
  <c r="AK181" i="206"/>
  <c r="D133" i="206"/>
  <c r="I15" i="206"/>
  <c r="E16" i="206"/>
  <c r="AK170" i="206"/>
  <c r="W191" i="206"/>
  <c r="W140" i="206"/>
  <c r="AK67" i="206"/>
  <c r="Z183" i="206"/>
  <c r="AK28" i="206"/>
  <c r="W63" i="206"/>
  <c r="W166" i="206"/>
  <c r="AK58" i="206"/>
  <c r="I106" i="204"/>
  <c r="N19" i="206"/>
  <c r="AK25" i="206"/>
  <c r="AK59" i="206"/>
  <c r="W167" i="206"/>
  <c r="W18" i="206"/>
  <c r="W132" i="206"/>
  <c r="W70" i="206"/>
  <c r="W25" i="206"/>
  <c r="W139" i="206"/>
  <c r="AK203" i="206"/>
  <c r="D160" i="206"/>
  <c r="G28" i="206"/>
  <c r="I28" i="206" s="1"/>
  <c r="F106" i="204"/>
  <c r="AA183" i="206"/>
  <c r="AK82" i="206"/>
  <c r="F67" i="206"/>
  <c r="R19" i="206"/>
  <c r="AH19" i="206"/>
  <c r="AK85" i="206"/>
  <c r="AB172" i="206"/>
  <c r="W179" i="206"/>
  <c r="I98" i="204"/>
  <c r="AJ153" i="206"/>
  <c r="AK24" i="206"/>
  <c r="F194" i="206"/>
  <c r="F161" i="206"/>
  <c r="AK143" i="206"/>
  <c r="I138" i="206"/>
  <c r="W74" i="206"/>
  <c r="W162" i="206"/>
  <c r="AK164" i="206"/>
  <c r="AC19" i="206"/>
  <c r="AK62" i="206"/>
  <c r="W65" i="206"/>
  <c r="AK130" i="206"/>
  <c r="AK83" i="206"/>
  <c r="F135" i="206"/>
  <c r="I182" i="206"/>
  <c r="W129" i="206"/>
  <c r="AK122" i="206"/>
  <c r="AK56" i="206"/>
  <c r="AK91" i="206"/>
  <c r="AK158" i="206"/>
  <c r="W149" i="206"/>
  <c r="AK131" i="206"/>
  <c r="AK84" i="206"/>
  <c r="W90" i="206"/>
  <c r="P19" i="206"/>
  <c r="W171" i="206"/>
  <c r="W109" i="206"/>
  <c r="AK140" i="206"/>
  <c r="AK190" i="206"/>
  <c r="AF183" i="206"/>
  <c r="AK80" i="206"/>
  <c r="W66" i="206"/>
  <c r="AK46" i="206"/>
  <c r="W164" i="206"/>
  <c r="I39" i="206"/>
  <c r="AD153" i="206"/>
  <c r="AF172" i="206"/>
  <c r="U183" i="206"/>
  <c r="F98" i="204"/>
  <c r="AK32" i="206"/>
  <c r="F205" i="206"/>
  <c r="I133" i="206"/>
  <c r="W196" i="206"/>
  <c r="W134" i="206"/>
  <c r="AK133" i="206"/>
  <c r="AK17" i="206"/>
  <c r="M19" i="206"/>
  <c r="AK128" i="206"/>
  <c r="AK52" i="206"/>
  <c r="F162" i="206"/>
  <c r="AK109" i="206"/>
  <c r="AI153" i="206"/>
  <c r="W160" i="206"/>
  <c r="AK39" i="206"/>
  <c r="AK152" i="206"/>
  <c r="W30" i="206"/>
  <c r="W169" i="206"/>
  <c r="I101" i="220"/>
  <c r="AH153" i="206"/>
  <c r="AK36" i="206"/>
  <c r="W32" i="206"/>
  <c r="W175" i="206"/>
  <c r="AK105" i="206"/>
  <c r="AK117" i="206"/>
  <c r="AK16" i="206"/>
  <c r="AG183" i="206"/>
  <c r="W82" i="206"/>
  <c r="AF19" i="206"/>
  <c r="I203" i="206"/>
  <c r="AK167" i="206"/>
  <c r="W135" i="206"/>
  <c r="AK66" i="206"/>
  <c r="AK61" i="206"/>
  <c r="V183" i="206"/>
  <c r="AC153" i="206"/>
  <c r="W27" i="206"/>
  <c r="AK148" i="206"/>
  <c r="AK70" i="206"/>
  <c r="AK54" i="206"/>
  <c r="AA172" i="206"/>
  <c r="AH172" i="206"/>
  <c r="AK29" i="206"/>
  <c r="AK118" i="206"/>
  <c r="W28" i="206"/>
  <c r="AI19" i="206"/>
  <c r="W203" i="206"/>
  <c r="Z12" i="206"/>
  <c r="AK197" i="206"/>
  <c r="AK136" i="206"/>
  <c r="AK144" i="206"/>
  <c r="AK161" i="206"/>
  <c r="AK162" i="206"/>
  <c r="AK101" i="206"/>
  <c r="L19" i="206"/>
  <c r="AK45" i="206"/>
  <c r="AK87" i="206"/>
  <c r="AK178" i="206"/>
  <c r="AK138" i="206"/>
  <c r="AK31" i="206"/>
  <c r="AK18" i="206"/>
  <c r="F97" i="220"/>
  <c r="AK149" i="206"/>
  <c r="AK9" i="206"/>
  <c r="AK142" i="206"/>
  <c r="Y183" i="206"/>
  <c r="H183" i="206" s="1"/>
  <c r="AK166" i="206"/>
  <c r="AK182" i="206"/>
  <c r="AK194" i="206"/>
  <c r="F132" i="206"/>
  <c r="K124" i="219"/>
  <c r="W124" i="219" s="1"/>
  <c r="AK74" i="206"/>
  <c r="AK126" i="206"/>
  <c r="AK137" i="206"/>
  <c r="AK146" i="206"/>
  <c r="W159" i="206"/>
  <c r="P183" i="206"/>
  <c r="W128" i="206"/>
  <c r="W130" i="206"/>
  <c r="AK71" i="206"/>
  <c r="AK90" i="206"/>
  <c r="AK64" i="206"/>
  <c r="W75" i="206"/>
  <c r="AK73" i="206"/>
  <c r="W67" i="206"/>
  <c r="W113" i="206"/>
  <c r="AK145" i="206"/>
  <c r="F28" i="206"/>
  <c r="AJ42" i="206"/>
  <c r="F102" i="204"/>
  <c r="R122" i="206"/>
  <c r="W123" i="220"/>
  <c r="D123" i="220"/>
  <c r="F123" i="220" s="1"/>
  <c r="G123" i="220"/>
  <c r="I123" i="220" s="1"/>
  <c r="K122" i="220"/>
  <c r="S125" i="198"/>
  <c r="T125" i="198" s="1"/>
  <c r="AW125" i="198"/>
  <c r="AX125" i="198" s="1"/>
  <c r="G31" i="206"/>
  <c r="I31" i="206" s="1"/>
  <c r="D31" i="206"/>
  <c r="F31" i="206" s="1"/>
  <c r="W31" i="206"/>
  <c r="E37" i="206"/>
  <c r="AK37" i="206"/>
  <c r="H37" i="206"/>
  <c r="E176" i="206"/>
  <c r="F176" i="206" s="1"/>
  <c r="H176" i="206"/>
  <c r="AK176" i="206"/>
  <c r="E93" i="206"/>
  <c r="H93" i="206"/>
  <c r="AK93" i="206"/>
  <c r="H92" i="220"/>
  <c r="Y153" i="220"/>
  <c r="E92" i="220"/>
  <c r="AK92" i="220"/>
  <c r="AK153" i="220" s="1"/>
  <c r="AK185" i="220" s="1"/>
  <c r="AK201" i="220" s="1"/>
  <c r="AK207" i="220" s="1"/>
  <c r="Y92" i="206"/>
  <c r="Y153" i="206" s="1"/>
  <c r="H40" i="206"/>
  <c r="E40" i="206"/>
  <c r="AK40" i="206"/>
  <c r="G81" i="206"/>
  <c r="W81" i="206"/>
  <c r="D81" i="206"/>
  <c r="H150" i="206"/>
  <c r="E150" i="206"/>
  <c r="AK150" i="206"/>
  <c r="E159" i="206"/>
  <c r="F159" i="206" s="1"/>
  <c r="H159" i="206"/>
  <c r="AK159" i="206"/>
  <c r="E30" i="206"/>
  <c r="F30" i="206" s="1"/>
  <c r="AK30" i="206"/>
  <c r="H30" i="206"/>
  <c r="H193" i="206"/>
  <c r="I193" i="206" s="1"/>
  <c r="AK193" i="206"/>
  <c r="E193" i="206"/>
  <c r="F73" i="206"/>
  <c r="T183" i="206"/>
  <c r="AG153" i="220"/>
  <c r="AG185" i="220" s="1"/>
  <c r="AG201" i="220" s="1"/>
  <c r="AG207" i="220" s="1"/>
  <c r="AG92" i="206"/>
  <c r="AG153" i="206" s="1"/>
  <c r="W174" i="206"/>
  <c r="W176" i="206"/>
  <c r="G136" i="206"/>
  <c r="I136" i="206" s="1"/>
  <c r="D136" i="206"/>
  <c r="D24" i="206"/>
  <c r="F24" i="206" s="1"/>
  <c r="G24" i="206"/>
  <c r="I24" i="206" s="1"/>
  <c r="W24" i="206"/>
  <c r="H129" i="206"/>
  <c r="I129" i="206" s="1"/>
  <c r="E129" i="206"/>
  <c r="AK129" i="206"/>
  <c r="G36" i="206"/>
  <c r="I36" i="206" s="1"/>
  <c r="W36" i="206"/>
  <c r="D36" i="206"/>
  <c r="F36" i="206" s="1"/>
  <c r="V122" i="206"/>
  <c r="AK15" i="206"/>
  <c r="L199" i="206"/>
  <c r="H41" i="206"/>
  <c r="I41" i="206" s="1"/>
  <c r="E41" i="206"/>
  <c r="AK41" i="206"/>
  <c r="D9" i="206"/>
  <c r="G9" i="206"/>
  <c r="I9" i="206" s="1"/>
  <c r="I188" i="206"/>
  <c r="AG12" i="206"/>
  <c r="T199" i="206"/>
  <c r="AA153" i="220"/>
  <c r="AA185" i="220" s="1"/>
  <c r="AA201" i="220" s="1"/>
  <c r="AA207" i="220" s="1"/>
  <c r="AA92" i="206"/>
  <c r="AA153" i="206" s="1"/>
  <c r="O199" i="206"/>
  <c r="AI199" i="206"/>
  <c r="I102" i="204"/>
  <c r="G101" i="219"/>
  <c r="I101" i="219" s="1"/>
  <c r="D101" i="219"/>
  <c r="F101" i="219" s="1"/>
  <c r="W101" i="219"/>
  <c r="N103" i="198"/>
  <c r="O103" i="198" s="1"/>
  <c r="AR103" i="198"/>
  <c r="AS103" i="198" s="1"/>
  <c r="F178" i="206"/>
  <c r="I17" i="206"/>
  <c r="F130" i="206"/>
  <c r="F98" i="219"/>
  <c r="Y42" i="206"/>
  <c r="AK23" i="206"/>
  <c r="H23" i="206"/>
  <c r="E23" i="206"/>
  <c r="H97" i="206"/>
  <c r="E97" i="206"/>
  <c r="AK97" i="206"/>
  <c r="H88" i="206"/>
  <c r="AK88" i="206"/>
  <c r="E88" i="206"/>
  <c r="AK63" i="206"/>
  <c r="H63" i="206"/>
  <c r="I63" i="206" s="1"/>
  <c r="E63" i="206"/>
  <c r="AF153" i="206"/>
  <c r="AE153" i="206"/>
  <c r="I130" i="206"/>
  <c r="W97" i="219"/>
  <c r="G97" i="219"/>
  <c r="I97" i="219" s="1"/>
  <c r="D97" i="219"/>
  <c r="F97" i="219" s="1"/>
  <c r="N99" i="198"/>
  <c r="O99" i="198" s="1"/>
  <c r="AR99" i="198"/>
  <c r="AS99" i="198" s="1"/>
  <c r="K123" i="219"/>
  <c r="F171" i="206"/>
  <c r="AK34" i="206"/>
  <c r="E34" i="206"/>
  <c r="H34" i="206"/>
  <c r="F82" i="206"/>
  <c r="F70" i="206"/>
  <c r="AK157" i="206"/>
  <c r="F167" i="206"/>
  <c r="I166" i="206"/>
  <c r="W193" i="206"/>
  <c r="G14" i="206"/>
  <c r="I14" i="206" s="1"/>
  <c r="K19" i="206"/>
  <c r="D14" i="206"/>
  <c r="F14" i="206" s="1"/>
  <c r="W14" i="206"/>
  <c r="W68" i="206"/>
  <c r="G68" i="206"/>
  <c r="D68" i="206"/>
  <c r="AK51" i="206"/>
  <c r="E51" i="206"/>
  <c r="H51" i="206"/>
  <c r="AG19" i="206"/>
  <c r="Z153" i="206"/>
  <c r="D71" i="206"/>
  <c r="W71" i="206"/>
  <c r="G71" i="206"/>
  <c r="I71" i="206" s="1"/>
  <c r="E113" i="206"/>
  <c r="F113" i="206" s="1"/>
  <c r="H113" i="206"/>
  <c r="AK113" i="206"/>
  <c r="D34" i="206"/>
  <c r="W34" i="206"/>
  <c r="G34" i="206"/>
  <c r="G143" i="206"/>
  <c r="I143" i="206" s="1"/>
  <c r="D143" i="206"/>
  <c r="W143" i="206"/>
  <c r="AE12" i="206"/>
  <c r="W190" i="206"/>
  <c r="G190" i="206"/>
  <c r="I190" i="206" s="1"/>
  <c r="D190" i="206"/>
  <c r="F190" i="206" s="1"/>
  <c r="AK79" i="206"/>
  <c r="H79" i="206"/>
  <c r="I79" i="206" s="1"/>
  <c r="E79" i="206"/>
  <c r="H72" i="206"/>
  <c r="AK72" i="206"/>
  <c r="E72" i="206"/>
  <c r="F72" i="206" s="1"/>
  <c r="E27" i="206"/>
  <c r="F27" i="206" s="1"/>
  <c r="AK27" i="206"/>
  <c r="H27" i="206"/>
  <c r="I27" i="206" s="1"/>
  <c r="I117" i="206"/>
  <c r="G23" i="206"/>
  <c r="W23" i="206"/>
  <c r="D23" i="206"/>
  <c r="L12" i="206"/>
  <c r="W8" i="206"/>
  <c r="W168" i="206"/>
  <c r="D168" i="206"/>
  <c r="G168" i="206"/>
  <c r="W26" i="206"/>
  <c r="G26" i="206"/>
  <c r="I26" i="206" s="1"/>
  <c r="D26" i="206"/>
  <c r="I90" i="206"/>
  <c r="AK33" i="206"/>
  <c r="G97" i="204"/>
  <c r="I97" i="204" s="1"/>
  <c r="D99" i="198"/>
  <c r="E99" i="198" s="1"/>
  <c r="D97" i="204"/>
  <c r="F97" i="204" s="1"/>
  <c r="W97" i="204"/>
  <c r="AH99" i="198"/>
  <c r="AI99" i="198" s="1"/>
  <c r="AK75" i="206"/>
  <c r="H75" i="206"/>
  <c r="I75" i="206" s="1"/>
  <c r="E75" i="206"/>
  <c r="F75" i="206" s="1"/>
  <c r="D150" i="206"/>
  <c r="W150" i="206"/>
  <c r="G150" i="206"/>
  <c r="AA19" i="206"/>
  <c r="E160" i="206"/>
  <c r="AK160" i="206"/>
  <c r="H160" i="206"/>
  <c r="I160" i="206" s="1"/>
  <c r="AD172" i="206"/>
  <c r="V19" i="206"/>
  <c r="AK163" i="206"/>
  <c r="E163" i="206"/>
  <c r="F163" i="206" s="1"/>
  <c r="H163" i="206"/>
  <c r="AK44" i="206"/>
  <c r="I179" i="206"/>
  <c r="L92" i="219"/>
  <c r="I180" i="206"/>
  <c r="AK189" i="206"/>
  <c r="H189" i="206"/>
  <c r="I189" i="206" s="1"/>
  <c r="E189" i="206"/>
  <c r="E55" i="206"/>
  <c r="AK55" i="206"/>
  <c r="H55" i="206"/>
  <c r="H68" i="206"/>
  <c r="E68" i="206"/>
  <c r="AK68" i="206"/>
  <c r="H86" i="206"/>
  <c r="E86" i="206"/>
  <c r="AK86" i="206"/>
  <c r="H47" i="206"/>
  <c r="E47" i="206"/>
  <c r="AK47" i="206"/>
  <c r="AK65" i="206"/>
  <c r="E65" i="206"/>
  <c r="H65" i="206"/>
  <c r="I65" i="206" s="1"/>
  <c r="W62" i="206"/>
  <c r="D62" i="206"/>
  <c r="G62" i="206"/>
  <c r="I62" i="206" s="1"/>
  <c r="AB153" i="206"/>
  <c r="H89" i="206"/>
  <c r="E89" i="206"/>
  <c r="AK89" i="206"/>
  <c r="G141" i="206"/>
  <c r="I141" i="206" s="1"/>
  <c r="W141" i="206"/>
  <c r="D141" i="206"/>
  <c r="F141" i="206" s="1"/>
  <c r="G16" i="206"/>
  <c r="I16" i="206" s="1"/>
  <c r="D16" i="206"/>
  <c r="H187" i="206"/>
  <c r="Y199" i="206"/>
  <c r="AK187" i="206"/>
  <c r="E187" i="206"/>
  <c r="F187" i="206" s="1"/>
  <c r="W37" i="206"/>
  <c r="G37" i="206"/>
  <c r="D37" i="206"/>
  <c r="F145" i="206"/>
  <c r="AF199" i="206"/>
  <c r="F197" i="206"/>
  <c r="AK156" i="206"/>
  <c r="D103" i="198"/>
  <c r="E103" i="198" s="1"/>
  <c r="AH103" i="198"/>
  <c r="AI103" i="198" s="1"/>
  <c r="W101" i="204"/>
  <c r="G101" i="204"/>
  <c r="I101" i="204" s="1"/>
  <c r="D101" i="204"/>
  <c r="F101" i="204" s="1"/>
  <c r="W194" i="206"/>
  <c r="AK177" i="206"/>
  <c r="D107" i="198"/>
  <c r="E107" i="198" s="1"/>
  <c r="G105" i="204"/>
  <c r="I105" i="204" s="1"/>
  <c r="W105" i="204"/>
  <c r="AH107" i="198"/>
  <c r="AI107" i="198" s="1"/>
  <c r="D105" i="204"/>
  <c r="F105" i="204" s="1"/>
  <c r="I97" i="220"/>
  <c r="E19" i="206"/>
  <c r="H19" i="206"/>
  <c r="W105" i="219"/>
  <c r="G105" i="219"/>
  <c r="I105" i="219" s="1"/>
  <c r="D105" i="219"/>
  <c r="F105" i="219" s="1"/>
  <c r="AR107" i="198"/>
  <c r="AS107" i="198" s="1"/>
  <c r="N107" i="198"/>
  <c r="O107" i="198" s="1"/>
  <c r="D40" i="206"/>
  <c r="G40" i="206"/>
  <c r="W40" i="206"/>
  <c r="D64" i="206"/>
  <c r="W64" i="206"/>
  <c r="G64" i="206"/>
  <c r="I64" i="206" s="1"/>
  <c r="G69" i="206"/>
  <c r="D69" i="206"/>
  <c r="W69" i="206"/>
  <c r="AK53" i="206"/>
  <c r="H53" i="206"/>
  <c r="E53" i="206"/>
  <c r="F25" i="206"/>
  <c r="AK38" i="206"/>
  <c r="W124" i="220"/>
  <c r="G124" i="220"/>
  <c r="I124" i="220" s="1"/>
  <c r="D124" i="220"/>
  <c r="F124" i="220" s="1"/>
  <c r="S126" i="198"/>
  <c r="T126" i="198" s="1"/>
  <c r="AW126" i="198"/>
  <c r="AX126" i="198" s="1"/>
  <c r="I196" i="206"/>
  <c r="K92" i="204"/>
  <c r="H60" i="206"/>
  <c r="E60" i="206"/>
  <c r="AK60" i="206"/>
  <c r="E134" i="206"/>
  <c r="F134" i="206" s="1"/>
  <c r="AK134" i="206"/>
  <c r="H134" i="206"/>
  <c r="E69" i="206"/>
  <c r="H69" i="206"/>
  <c r="AK69" i="206"/>
  <c r="AK57" i="206"/>
  <c r="E57" i="206"/>
  <c r="H57" i="206"/>
  <c r="D127" i="206"/>
  <c r="F127" i="206" s="1"/>
  <c r="G127" i="206"/>
  <c r="I127" i="206" s="1"/>
  <c r="W127" i="206"/>
  <c r="AK175" i="206"/>
  <c r="H175" i="206"/>
  <c r="I175" i="206" s="1"/>
  <c r="E175" i="206"/>
  <c r="Y12" i="206"/>
  <c r="H8" i="206"/>
  <c r="I8" i="206" s="1"/>
  <c r="E8" i="206"/>
  <c r="AK8" i="206"/>
  <c r="W177" i="206"/>
  <c r="G177" i="206"/>
  <c r="I177" i="206" s="1"/>
  <c r="D177" i="206"/>
  <c r="F177" i="206" s="1"/>
  <c r="E81" i="206"/>
  <c r="AK81" i="206"/>
  <c r="H81" i="206"/>
  <c r="AF12" i="206"/>
  <c r="F195" i="206"/>
  <c r="I204" i="206"/>
  <c r="I169" i="206"/>
  <c r="I158" i="206"/>
  <c r="D118" i="206"/>
  <c r="W118" i="206"/>
  <c r="G118" i="206"/>
  <c r="I118" i="206" s="1"/>
  <c r="H168" i="206"/>
  <c r="AK168" i="206"/>
  <c r="E168" i="206"/>
  <c r="G29" i="206"/>
  <c r="I29" i="206" s="1"/>
  <c r="W29" i="206"/>
  <c r="D29" i="206"/>
  <c r="G137" i="206"/>
  <c r="I137" i="206" s="1"/>
  <c r="W137" i="206"/>
  <c r="D137" i="206"/>
  <c r="H102" i="218"/>
  <c r="AK102" i="218"/>
  <c r="E102" i="218"/>
  <c r="W198" i="206"/>
  <c r="D198" i="206"/>
  <c r="F198" i="206" s="1"/>
  <c r="G198" i="206"/>
  <c r="AK35" i="206"/>
  <c r="H35" i="206"/>
  <c r="E35" i="206"/>
  <c r="AK192" i="206"/>
  <c r="E192" i="206"/>
  <c r="H192" i="206"/>
  <c r="I192" i="206" s="1"/>
  <c r="G157" i="206"/>
  <c r="I157" i="206" s="1"/>
  <c r="D157" i="206"/>
  <c r="W157" i="206"/>
  <c r="AK14" i="206"/>
  <c r="K12" i="206"/>
  <c r="I144" i="206"/>
  <c r="H106" i="218"/>
  <c r="E106" i="218"/>
  <c r="AK106" i="218"/>
  <c r="I174" i="206"/>
  <c r="U122" i="206"/>
  <c r="U92" i="219"/>
  <c r="E98" i="218"/>
  <c r="AK98" i="218"/>
  <c r="H98" i="218"/>
  <c r="I164" i="206"/>
  <c r="S92" i="219"/>
  <c r="K183" i="206"/>
  <c r="F101" i="220"/>
  <c r="AO317" i="217"/>
  <c r="H21" i="230"/>
  <c r="N69" i="240"/>
  <c r="O69" i="240" s="1"/>
  <c r="O11" i="218"/>
  <c r="I13" i="235"/>
  <c r="O55" i="177"/>
  <c r="O56" i="177" s="1"/>
  <c r="P45" i="177"/>
  <c r="P58" i="177" s="1"/>
  <c r="Q8" i="177"/>
  <c r="P35" i="177"/>
  <c r="O68" i="177"/>
  <c r="O40" i="177"/>
  <c r="O43" i="177" s="1"/>
  <c r="O38" i="177"/>
  <c r="AB18" i="159" s="1"/>
  <c r="Q53" i="177"/>
  <c r="Q66" i="177" s="1"/>
  <c r="Q49" i="177"/>
  <c r="Q62" i="177" s="1"/>
  <c r="Q52" i="177"/>
  <c r="Q65" i="177" s="1"/>
  <c r="R47" i="177"/>
  <c r="Q50" i="177"/>
  <c r="Q63" i="177" s="1"/>
  <c r="Q54" i="177"/>
  <c r="Q67" i="177" s="1"/>
  <c r="I13" i="231"/>
  <c r="I12" i="231" s="1"/>
  <c r="O11" i="220"/>
  <c r="O9" i="220" s="1"/>
  <c r="O12" i="220" s="1"/>
  <c r="O15" i="220" s="1"/>
  <c r="N23" i="177"/>
  <c r="M24" i="177"/>
  <c r="A39" i="174"/>
  <c r="F38" i="174"/>
  <c r="E38" i="174"/>
  <c r="E121" i="174"/>
  <c r="K69" i="240"/>
  <c r="O73" i="248"/>
  <c r="O78" i="248" s="1"/>
  <c r="K55" i="248"/>
  <c r="O83" i="240"/>
  <c r="I64" i="246"/>
  <c r="H64" i="246"/>
  <c r="H65" i="246"/>
  <c r="I65" i="246"/>
  <c r="H67" i="246"/>
  <c r="I67" i="246"/>
  <c r="H68" i="246"/>
  <c r="I68" i="246"/>
  <c r="H69" i="246"/>
  <c r="I69" i="246"/>
  <c r="I72" i="246"/>
  <c r="H72" i="246"/>
  <c r="H66" i="246"/>
  <c r="I66" i="246"/>
  <c r="I71" i="246"/>
  <c r="H71" i="246"/>
  <c r="AP23" i="217"/>
  <c r="AQ23" i="217" s="1"/>
  <c r="AO92" i="217"/>
  <c r="AO115" i="217" s="1"/>
  <c r="AO162" i="217"/>
  <c r="AO232" i="217"/>
  <c r="AO256" i="217" s="1"/>
  <c r="AO57" i="217"/>
  <c r="AO79" i="217" s="1"/>
  <c r="AO127" i="217"/>
  <c r="AO149" i="217" s="1"/>
  <c r="AN304" i="217"/>
  <c r="AN327" i="217" s="1"/>
  <c r="AN268" i="217"/>
  <c r="AN292" i="217" s="1"/>
  <c r="AO310" i="217"/>
  <c r="D38" i="206"/>
  <c r="F38" i="206" s="1"/>
  <c r="G38" i="206"/>
  <c r="I38" i="206" s="1"/>
  <c r="AN311" i="217"/>
  <c r="AN275" i="217"/>
  <c r="AO64" i="217"/>
  <c r="AO239" i="217"/>
  <c r="AO169" i="217"/>
  <c r="AO134" i="217"/>
  <c r="AP30" i="217"/>
  <c r="AO99" i="217"/>
  <c r="AL291" i="217"/>
  <c r="AL293" i="217"/>
  <c r="AL329" i="217"/>
  <c r="AL326" i="217"/>
  <c r="AM186" i="217"/>
  <c r="AM184" i="217"/>
  <c r="AM257" i="217"/>
  <c r="AM255" i="217"/>
  <c r="AM305" i="217"/>
  <c r="AM269" i="217"/>
  <c r="AM81" i="217"/>
  <c r="AM80" i="217"/>
  <c r="AM151" i="217"/>
  <c r="AM150" i="217"/>
  <c r="AN163" i="217"/>
  <c r="AN128" i="217"/>
  <c r="AN93" i="217"/>
  <c r="AN233" i="217"/>
  <c r="AN58" i="217"/>
  <c r="AN46" i="217"/>
  <c r="AN44" i="217"/>
  <c r="AO24" i="217"/>
  <c r="AM114" i="217"/>
  <c r="AM116" i="217"/>
  <c r="W38" i="206"/>
  <c r="AO306" i="217"/>
  <c r="AO301" i="217"/>
  <c r="AQ299" i="217"/>
  <c r="AP319" i="217"/>
  <c r="AP318" i="217"/>
  <c r="AP315" i="217"/>
  <c r="AP309" i="217"/>
  <c r="AP308" i="217"/>
  <c r="AQ177" i="217"/>
  <c r="AQ142" i="217"/>
  <c r="AQ72" i="217"/>
  <c r="AQ247" i="217"/>
  <c r="AR38" i="217"/>
  <c r="AR107" i="217" s="1"/>
  <c r="AQ71" i="217"/>
  <c r="AR37" i="217"/>
  <c r="AQ246" i="217"/>
  <c r="AQ141" i="217"/>
  <c r="AQ176" i="217"/>
  <c r="AQ106" i="217"/>
  <c r="AQ69" i="217"/>
  <c r="AQ139" i="217"/>
  <c r="AR35" i="217"/>
  <c r="AQ104" i="217"/>
  <c r="AQ174" i="217"/>
  <c r="AQ244" i="217"/>
  <c r="AQ103" i="217"/>
  <c r="AR34" i="217"/>
  <c r="AQ138" i="217"/>
  <c r="AQ243" i="217"/>
  <c r="AQ68" i="217"/>
  <c r="AQ173" i="217"/>
  <c r="AP279" i="217"/>
  <c r="AQ242" i="217"/>
  <c r="AQ137" i="217"/>
  <c r="AQ172" i="217"/>
  <c r="AR33" i="217"/>
  <c r="AQ67" i="217"/>
  <c r="AQ102" i="217"/>
  <c r="AQ135" i="217"/>
  <c r="AQ65" i="217"/>
  <c r="AQ100" i="217"/>
  <c r="AQ240" i="217"/>
  <c r="AR31" i="217"/>
  <c r="AQ170" i="217"/>
  <c r="AQ237" i="217"/>
  <c r="AQ62" i="217"/>
  <c r="AQ132" i="217"/>
  <c r="AQ167" i="217"/>
  <c r="AR28" i="217"/>
  <c r="AQ97" i="217"/>
  <c r="AQ131" i="217"/>
  <c r="AQ166" i="217"/>
  <c r="AQ96" i="217"/>
  <c r="AR27" i="217"/>
  <c r="AQ61" i="217"/>
  <c r="AQ236" i="217"/>
  <c r="AP272" i="217"/>
  <c r="AQ60" i="217"/>
  <c r="AQ95" i="217"/>
  <c r="AQ130" i="217"/>
  <c r="AQ235" i="217"/>
  <c r="AR26" i="217"/>
  <c r="AQ165" i="217"/>
  <c r="AP283" i="217"/>
  <c r="AP282" i="217"/>
  <c r="AP280" i="217"/>
  <c r="AP278" i="217"/>
  <c r="AP276" i="217"/>
  <c r="AP273" i="217"/>
  <c r="AO302" i="217"/>
  <c r="AO300" i="217"/>
  <c r="AO303" i="217"/>
  <c r="AP316" i="217"/>
  <c r="AP314" i="217"/>
  <c r="AP312" i="217"/>
  <c r="AP271" i="217"/>
  <c r="AP307" i="217"/>
  <c r="AQ25" i="217"/>
  <c r="AP59" i="217"/>
  <c r="AP94" i="217"/>
  <c r="AP164" i="217"/>
  <c r="AP234" i="217"/>
  <c r="AP129" i="217"/>
  <c r="AQ21" i="217"/>
  <c r="AP160" i="217"/>
  <c r="AP230" i="217"/>
  <c r="AP55" i="217"/>
  <c r="AP90" i="217"/>
  <c r="AP125" i="217"/>
  <c r="AQ20" i="217"/>
  <c r="AP229" i="217"/>
  <c r="AP54" i="217"/>
  <c r="AP89" i="217"/>
  <c r="AP159" i="217"/>
  <c r="AP124" i="217"/>
  <c r="AQ19" i="217"/>
  <c r="AP228" i="217"/>
  <c r="AP53" i="217"/>
  <c r="AP158" i="217"/>
  <c r="AP88" i="217"/>
  <c r="AP123" i="217"/>
  <c r="AO264" i="217"/>
  <c r="AS18" i="217"/>
  <c r="AR52" i="217"/>
  <c r="AR87" i="217"/>
  <c r="AR122" i="217"/>
  <c r="AR227" i="217"/>
  <c r="AQ263" i="217"/>
  <c r="AS17" i="217"/>
  <c r="AR298" i="217"/>
  <c r="AO265" i="217"/>
  <c r="AO266" i="217"/>
  <c r="AO270" i="217"/>
  <c r="AQ22" i="217"/>
  <c r="AP91" i="217"/>
  <c r="AP56" i="217"/>
  <c r="AP161" i="217"/>
  <c r="AP231" i="217"/>
  <c r="AP126" i="217"/>
  <c r="AO267" i="217"/>
  <c r="AQ32" i="217"/>
  <c r="AP313" i="217"/>
  <c r="K33" i="177"/>
  <c r="L32" i="177" s="1"/>
  <c r="O96" i="248" s="1"/>
  <c r="U23" i="246"/>
  <c r="Z23" i="246"/>
  <c r="C35" i="246"/>
  <c r="C39" i="246" s="1"/>
  <c r="C42" i="246" s="1"/>
  <c r="C44" i="246" s="1"/>
  <c r="W22" i="246"/>
  <c r="H27" i="177"/>
  <c r="P55" i="177" l="1"/>
  <c r="P56" i="177" s="1"/>
  <c r="I113" i="206"/>
  <c r="F192" i="206"/>
  <c r="F63" i="206"/>
  <c r="F175" i="206"/>
  <c r="I197" i="206"/>
  <c r="I163" i="206"/>
  <c r="AQ47" i="177"/>
  <c r="AQ60" i="177" s="1"/>
  <c r="D61" i="243"/>
  <c r="I176" i="206"/>
  <c r="F189" i="206"/>
  <c r="I159" i="206"/>
  <c r="F138" i="206"/>
  <c r="I72" i="206"/>
  <c r="F140" i="206"/>
  <c r="F41" i="206"/>
  <c r="I187" i="206"/>
  <c r="G199" i="206"/>
  <c r="F15" i="206"/>
  <c r="BJ55" i="250"/>
  <c r="BJ56" i="250" s="1"/>
  <c r="BK51" i="250"/>
  <c r="BL11" i="250"/>
  <c r="BL53" i="250"/>
  <c r="BL66" i="250" s="1"/>
  <c r="BM10" i="250" a="1"/>
  <c r="BM10" i="250" s="1"/>
  <c r="BM47" i="250" s="1"/>
  <c r="BL50" i="250"/>
  <c r="BL63" i="250" s="1"/>
  <c r="BL49" i="250"/>
  <c r="BL62" i="250" s="1"/>
  <c r="BL52" i="250"/>
  <c r="BL65" i="250" s="1"/>
  <c r="BL54" i="250"/>
  <c r="BL67" i="250" s="1"/>
  <c r="BJ24" i="250"/>
  <c r="BK23" i="250"/>
  <c r="BJ28" i="250"/>
  <c r="BJ29" i="250" s="1"/>
  <c r="BJ32" i="250"/>
  <c r="BJ33" i="250" s="1"/>
  <c r="BJ26" i="250"/>
  <c r="BJ27" i="250" s="1"/>
  <c r="BJ30" i="250"/>
  <c r="BJ31" i="250" s="1"/>
  <c r="BK40" i="250"/>
  <c r="BK43" i="250" s="1"/>
  <c r="BK38" i="250"/>
  <c r="BG77" i="250"/>
  <c r="BG78" i="250" s="1"/>
  <c r="BG76" i="250"/>
  <c r="BM8" i="250"/>
  <c r="BL35" i="250"/>
  <c r="BL45" i="250"/>
  <c r="BL58" i="250" s="1"/>
  <c r="BL47" i="250"/>
  <c r="F203" i="206"/>
  <c r="F65" i="206"/>
  <c r="AR10" i="177" a="1"/>
  <c r="AR10" i="177" s="1"/>
  <c r="AR47" i="177" s="1"/>
  <c r="AQ52" i="177"/>
  <c r="AQ65" i="177" s="1"/>
  <c r="AQ49" i="177"/>
  <c r="AQ62" i="177" s="1"/>
  <c r="AQ53" i="177"/>
  <c r="AQ66" i="177" s="1"/>
  <c r="AQ50" i="177"/>
  <c r="AQ63" i="177" s="1"/>
  <c r="AQ54" i="177"/>
  <c r="AQ67" i="177" s="1"/>
  <c r="I195" i="206"/>
  <c r="AP317" i="217"/>
  <c r="O9" i="218"/>
  <c r="O12" i="218" s="1"/>
  <c r="O11" i="206"/>
  <c r="I162" i="206"/>
  <c r="AP281" i="217"/>
  <c r="AQ245" i="217"/>
  <c r="AQ175" i="217"/>
  <c r="AQ321" i="217"/>
  <c r="AQ105" i="217"/>
  <c r="AR36" i="217"/>
  <c r="AS36" i="217" s="1"/>
  <c r="AQ140" i="217"/>
  <c r="I191" i="206"/>
  <c r="AP320" i="217"/>
  <c r="AR39" i="217"/>
  <c r="AQ248" i="217"/>
  <c r="AQ73" i="217"/>
  <c r="AQ143" i="217"/>
  <c r="AQ178" i="217"/>
  <c r="AQ108" i="217"/>
  <c r="AS40" i="217"/>
  <c r="AR144" i="217"/>
  <c r="AR249" i="217"/>
  <c r="AR74" i="217"/>
  <c r="AR179" i="217"/>
  <c r="I134" i="206"/>
  <c r="F143" i="206"/>
  <c r="F137" i="206"/>
  <c r="F64" i="206"/>
  <c r="F8" i="206"/>
  <c r="F193" i="206"/>
  <c r="I205" i="206"/>
  <c r="F136" i="206"/>
  <c r="B41" i="172"/>
  <c r="I198" i="206"/>
  <c r="F158" i="206"/>
  <c r="F26" i="206"/>
  <c r="F79" i="206"/>
  <c r="F71" i="206"/>
  <c r="F9" i="206"/>
  <c r="I135" i="206"/>
  <c r="F29" i="206"/>
  <c r="AA185" i="206"/>
  <c r="AA201" i="206" s="1"/>
  <c r="AA207" i="206" s="1"/>
  <c r="E172" i="206"/>
  <c r="F157" i="206"/>
  <c r="F129" i="206"/>
  <c r="AB185" i="206"/>
  <c r="AB201" i="206" s="1"/>
  <c r="AB207" i="206" s="1"/>
  <c r="F62" i="206"/>
  <c r="M122" i="206"/>
  <c r="I30" i="206"/>
  <c r="F118" i="206"/>
  <c r="AD185" i="206"/>
  <c r="AD201" i="206" s="1"/>
  <c r="AD207" i="206" s="1"/>
  <c r="F37" i="206"/>
  <c r="F150" i="206"/>
  <c r="AK12" i="206"/>
  <c r="F40" i="206"/>
  <c r="Z185" i="206"/>
  <c r="Z201" i="206" s="1"/>
  <c r="Z207" i="206" s="1"/>
  <c r="F133" i="206"/>
  <c r="AH185" i="206"/>
  <c r="AH201" i="206" s="1"/>
  <c r="AH207" i="206" s="1"/>
  <c r="AR126" i="198"/>
  <c r="AS126" i="198" s="1"/>
  <c r="N126" i="198"/>
  <c r="O126" i="198" s="1"/>
  <c r="E183" i="206"/>
  <c r="I150" i="206"/>
  <c r="AC185" i="206"/>
  <c r="AC201" i="206" s="1"/>
  <c r="AC207" i="206" s="1"/>
  <c r="I69" i="206"/>
  <c r="F16" i="206"/>
  <c r="F23" i="206"/>
  <c r="AK172" i="206"/>
  <c r="I23" i="206"/>
  <c r="AJ185" i="206"/>
  <c r="AJ201" i="206" s="1"/>
  <c r="AJ207" i="206" s="1"/>
  <c r="AK183" i="206"/>
  <c r="AI185" i="206"/>
  <c r="AI201" i="206" s="1"/>
  <c r="AI207" i="206" s="1"/>
  <c r="F160" i="206"/>
  <c r="I34" i="206"/>
  <c r="AK199" i="206"/>
  <c r="AF185" i="206"/>
  <c r="AF201" i="206" s="1"/>
  <c r="AF207" i="206" s="1"/>
  <c r="D124" i="219"/>
  <c r="F124" i="219" s="1"/>
  <c r="AK19" i="206"/>
  <c r="G124" i="219"/>
  <c r="I124" i="219" s="1"/>
  <c r="I37" i="206"/>
  <c r="AE185" i="206"/>
  <c r="AE201" i="206" s="1"/>
  <c r="AE207" i="206" s="1"/>
  <c r="I40" i="206"/>
  <c r="H153" i="206"/>
  <c r="E153" i="206"/>
  <c r="G183" i="206"/>
  <c r="I183" i="206" s="1"/>
  <c r="D183" i="206"/>
  <c r="I168" i="206"/>
  <c r="F168" i="206"/>
  <c r="F34" i="206"/>
  <c r="W183" i="206"/>
  <c r="H153" i="220"/>
  <c r="E153" i="220"/>
  <c r="Y185" i="220"/>
  <c r="W122" i="220"/>
  <c r="G122" i="220"/>
  <c r="I122" i="220" s="1"/>
  <c r="D122" i="220"/>
  <c r="F122" i="220" s="1"/>
  <c r="S124" i="198"/>
  <c r="T124" i="198" s="1"/>
  <c r="AW124" i="198"/>
  <c r="AX124" i="198" s="1"/>
  <c r="K92" i="220"/>
  <c r="AG185" i="206"/>
  <c r="AG201" i="206" s="1"/>
  <c r="AG207" i="206" s="1"/>
  <c r="F68" i="206"/>
  <c r="W199" i="206"/>
  <c r="AK42" i="206"/>
  <c r="D92" i="204"/>
  <c r="F92" i="204" s="1"/>
  <c r="G92" i="204"/>
  <c r="I92" i="204" s="1"/>
  <c r="D94" i="198"/>
  <c r="E94" i="198" s="1"/>
  <c r="W92" i="204"/>
  <c r="AH94" i="198"/>
  <c r="AI94" i="198" s="1"/>
  <c r="D83" i="243"/>
  <c r="D101" i="243" s="1"/>
  <c r="D113" i="243" s="1"/>
  <c r="E199" i="206"/>
  <c r="F199" i="206" s="1"/>
  <c r="H199" i="206"/>
  <c r="I68" i="206"/>
  <c r="E42" i="206"/>
  <c r="H42" i="206"/>
  <c r="W211" i="206"/>
  <c r="D19" i="206"/>
  <c r="F19" i="206" s="1"/>
  <c r="G19" i="206"/>
  <c r="I19" i="206" s="1"/>
  <c r="F81" i="206"/>
  <c r="G12" i="206"/>
  <c r="D12" i="206"/>
  <c r="F69" i="206"/>
  <c r="I81" i="206"/>
  <c r="W123" i="219"/>
  <c r="D123" i="219"/>
  <c r="F123" i="219" s="1"/>
  <c r="K122" i="219"/>
  <c r="G123" i="219"/>
  <c r="I123" i="219" s="1"/>
  <c r="AR125" i="198"/>
  <c r="AS125" i="198" s="1"/>
  <c r="N125" i="198"/>
  <c r="O125" i="198" s="1"/>
  <c r="Y185" i="206"/>
  <c r="H12" i="206"/>
  <c r="E12" i="206"/>
  <c r="E92" i="206"/>
  <c r="AK92" i="206"/>
  <c r="AK153" i="206" s="1"/>
  <c r="H92" i="206"/>
  <c r="AP310" i="217"/>
  <c r="AP45" i="217"/>
  <c r="AP232" i="217"/>
  <c r="AP256" i="217" s="1"/>
  <c r="AP162" i="217"/>
  <c r="AP185" i="217" s="1"/>
  <c r="AP127" i="217"/>
  <c r="AP149" i="217" s="1"/>
  <c r="AP92" i="217"/>
  <c r="AP115" i="217" s="1"/>
  <c r="AP57" i="217"/>
  <c r="AP79" i="217" s="1"/>
  <c r="I13" i="230"/>
  <c r="I12" i="230" s="1"/>
  <c r="I12" i="235"/>
  <c r="P69" i="177"/>
  <c r="O69" i="177"/>
  <c r="O73" i="240"/>
  <c r="O16" i="220"/>
  <c r="O16" i="206" s="1"/>
  <c r="O17" i="220"/>
  <c r="O17" i="206" s="1"/>
  <c r="R60" i="177"/>
  <c r="P38" i="177"/>
  <c r="AC18" i="159" s="1"/>
  <c r="P40" i="177"/>
  <c r="P43" i="177" s="1"/>
  <c r="Q51" i="177"/>
  <c r="Q64" i="177" s="1"/>
  <c r="Q68" i="177" s="1"/>
  <c r="R11" i="177"/>
  <c r="R8" i="177"/>
  <c r="S8" i="177" s="1"/>
  <c r="Q35" i="177"/>
  <c r="Q45" i="177"/>
  <c r="Q58" i="177" s="1"/>
  <c r="R52" i="177"/>
  <c r="R65" i="177" s="1"/>
  <c r="R50" i="177"/>
  <c r="R63" i="177" s="1"/>
  <c r="R54" i="177"/>
  <c r="R67" i="177" s="1"/>
  <c r="R53" i="177"/>
  <c r="R66" i="177" s="1"/>
  <c r="R49" i="177"/>
  <c r="R62" i="177" s="1"/>
  <c r="O23" i="177"/>
  <c r="N24" i="177"/>
  <c r="O15" i="206"/>
  <c r="E39" i="174"/>
  <c r="E123" i="174" s="1"/>
  <c r="A40" i="174"/>
  <c r="F39" i="174"/>
  <c r="E122" i="174"/>
  <c r="H68" i="240"/>
  <c r="H78" i="248"/>
  <c r="K62" i="248"/>
  <c r="AQ318" i="217"/>
  <c r="O81" i="248"/>
  <c r="O85" i="248" s="1"/>
  <c r="K81" i="248"/>
  <c r="G85" i="248"/>
  <c r="AO185" i="217"/>
  <c r="AO304" i="217"/>
  <c r="AO327" i="217" s="1"/>
  <c r="AO268" i="217"/>
  <c r="AO292" i="217" s="1"/>
  <c r="O90" i="240"/>
  <c r="G82" i="240"/>
  <c r="Z29" i="246"/>
  <c r="AD23" i="246"/>
  <c r="AQ319" i="217"/>
  <c r="AQ316" i="217"/>
  <c r="AO275" i="217"/>
  <c r="AO311" i="217"/>
  <c r="AP134" i="217"/>
  <c r="AP99" i="217"/>
  <c r="AP239" i="217"/>
  <c r="AP169" i="217"/>
  <c r="AP64" i="217"/>
  <c r="AQ30" i="217"/>
  <c r="AM326" i="217"/>
  <c r="AM329" i="217"/>
  <c r="AM291" i="217"/>
  <c r="AM293" i="217"/>
  <c r="AN184" i="217"/>
  <c r="AN186" i="217"/>
  <c r="AN150" i="217"/>
  <c r="AN151" i="217"/>
  <c r="AN114" i="217"/>
  <c r="AN116" i="217"/>
  <c r="AN257" i="217"/>
  <c r="AN255" i="217"/>
  <c r="AN305" i="217"/>
  <c r="AN81" i="217"/>
  <c r="AN269" i="217"/>
  <c r="AN80" i="217"/>
  <c r="AO93" i="217"/>
  <c r="AO233" i="217"/>
  <c r="AO163" i="217"/>
  <c r="AO128" i="217"/>
  <c r="AO58" i="217"/>
  <c r="AO46" i="217"/>
  <c r="AO44" i="217"/>
  <c r="AP24" i="217"/>
  <c r="AQ307" i="217"/>
  <c r="AP302" i="217"/>
  <c r="AP301" i="217"/>
  <c r="AP300" i="217"/>
  <c r="AQ309" i="217"/>
  <c r="AQ315" i="217"/>
  <c r="AQ314" i="217"/>
  <c r="AQ312" i="217"/>
  <c r="AQ283" i="217"/>
  <c r="AR247" i="217"/>
  <c r="AR72" i="217"/>
  <c r="AS38" i="217"/>
  <c r="AS107" i="217" s="1"/>
  <c r="AR177" i="217"/>
  <c r="AR142" i="217"/>
  <c r="AQ282" i="217"/>
  <c r="AR176" i="217"/>
  <c r="AR141" i="217"/>
  <c r="AR71" i="217"/>
  <c r="AS37" i="217"/>
  <c r="AR106" i="217"/>
  <c r="AR246" i="217"/>
  <c r="AR69" i="217"/>
  <c r="AR104" i="217"/>
  <c r="AR174" i="217"/>
  <c r="AR139" i="217"/>
  <c r="AR244" i="217"/>
  <c r="AS35" i="217"/>
  <c r="AR103" i="217"/>
  <c r="AR138" i="217"/>
  <c r="AR243" i="217"/>
  <c r="AS34" i="217"/>
  <c r="AR68" i="217"/>
  <c r="AR173" i="217"/>
  <c r="AR242" i="217"/>
  <c r="AR67" i="217"/>
  <c r="AS33" i="217"/>
  <c r="AR137" i="217"/>
  <c r="AR172" i="217"/>
  <c r="AR102" i="217"/>
  <c r="AR100" i="217"/>
  <c r="AR240" i="217"/>
  <c r="AS31" i="217"/>
  <c r="AR65" i="217"/>
  <c r="AR170" i="217"/>
  <c r="AR135" i="217"/>
  <c r="AQ273" i="217"/>
  <c r="AS28" i="217"/>
  <c r="AR132" i="217"/>
  <c r="AR237" i="217"/>
  <c r="AR167" i="217"/>
  <c r="AR97" i="217"/>
  <c r="AR62" i="217"/>
  <c r="AS27" i="217"/>
  <c r="AR131" i="217"/>
  <c r="AR96" i="217"/>
  <c r="AR61" i="217"/>
  <c r="AR166" i="217"/>
  <c r="AR236" i="217"/>
  <c r="AQ271" i="217"/>
  <c r="AR130" i="217"/>
  <c r="AR235" i="217"/>
  <c r="AR60" i="217"/>
  <c r="AS26" i="217"/>
  <c r="AR95" i="217"/>
  <c r="AR165" i="217"/>
  <c r="AQ279" i="217"/>
  <c r="AQ278" i="217"/>
  <c r="AQ276" i="217"/>
  <c r="AR299" i="217"/>
  <c r="AP303" i="217"/>
  <c r="AQ280" i="217"/>
  <c r="AQ272" i="217"/>
  <c r="AQ308" i="217"/>
  <c r="AP306" i="217"/>
  <c r="AR25" i="217"/>
  <c r="AQ94" i="217"/>
  <c r="AQ234" i="217"/>
  <c r="AQ59" i="217"/>
  <c r="AQ129" i="217"/>
  <c r="AQ164" i="217"/>
  <c r="AR23" i="217"/>
  <c r="AQ162" i="217"/>
  <c r="AQ232" i="217"/>
  <c r="AQ57" i="217"/>
  <c r="AQ92" i="217"/>
  <c r="AQ127" i="217"/>
  <c r="AR21" i="217"/>
  <c r="AQ230" i="217"/>
  <c r="AQ160" i="217"/>
  <c r="AQ55" i="217"/>
  <c r="AQ90" i="217"/>
  <c r="AQ125" i="217"/>
  <c r="AP266" i="217"/>
  <c r="AR20" i="217"/>
  <c r="AQ89" i="217"/>
  <c r="AQ124" i="217"/>
  <c r="AQ159" i="217"/>
  <c r="AQ54" i="217"/>
  <c r="AQ229" i="217"/>
  <c r="AP265" i="217"/>
  <c r="AR19" i="217"/>
  <c r="AQ123" i="217"/>
  <c r="AQ158" i="217"/>
  <c r="AQ88" i="217"/>
  <c r="AQ53" i="217"/>
  <c r="AQ228" i="217"/>
  <c r="AT18" i="217"/>
  <c r="AS227" i="217"/>
  <c r="AS52" i="217"/>
  <c r="AS87" i="217"/>
  <c r="AS122" i="217"/>
  <c r="AT17" i="217"/>
  <c r="AS298" i="217"/>
  <c r="AR263" i="217"/>
  <c r="AP270" i="217"/>
  <c r="AP264" i="217"/>
  <c r="AQ45" i="217"/>
  <c r="AR22" i="217"/>
  <c r="AQ231" i="217"/>
  <c r="AQ56" i="217"/>
  <c r="AQ126" i="217"/>
  <c r="AQ161" i="217"/>
  <c r="AQ91" i="217"/>
  <c r="AP267" i="217"/>
  <c r="AR32" i="217"/>
  <c r="AQ313" i="217"/>
  <c r="AQ310" i="217"/>
  <c r="J31" i="177"/>
  <c r="K30" i="177" s="1"/>
  <c r="K29" i="177"/>
  <c r="L28" i="177" s="1"/>
  <c r="G95" i="248" s="1"/>
  <c r="L33" i="177"/>
  <c r="M32" i="177" s="1"/>
  <c r="O103" i="248" s="1"/>
  <c r="I27" i="177"/>
  <c r="U22" i="246"/>
  <c r="W29" i="246"/>
  <c r="O97" i="243" l="1"/>
  <c r="D141" i="243"/>
  <c r="AR105" i="217"/>
  <c r="S9" i="177"/>
  <c r="N82" i="240"/>
  <c r="O82" i="240" s="1"/>
  <c r="O86" i="240" s="1"/>
  <c r="H39" i="231"/>
  <c r="Q39" i="231" s="1"/>
  <c r="I199" i="206"/>
  <c r="BL23" i="250"/>
  <c r="BK24" i="250"/>
  <c r="BK30" i="250"/>
  <c r="BK31" i="250" s="1"/>
  <c r="BK32" i="250"/>
  <c r="BK33" i="250" s="1"/>
  <c r="BK26" i="250"/>
  <c r="BK27" i="250" s="1"/>
  <c r="BK28" i="250"/>
  <c r="BK29" i="250" s="1"/>
  <c r="BL60" i="250"/>
  <c r="BM60" i="250"/>
  <c r="BM45" i="250"/>
  <c r="BM58" i="250" s="1"/>
  <c r="BN8" i="250"/>
  <c r="BM35" i="250"/>
  <c r="BM53" i="250"/>
  <c r="BM66" i="250" s="1"/>
  <c r="BN10" i="250" a="1"/>
  <c r="BN10" i="250" s="1"/>
  <c r="BN47" i="250" s="1"/>
  <c r="BM49" i="250"/>
  <c r="BM62" i="250" s="1"/>
  <c r="BM52" i="250"/>
  <c r="BM65" i="250" s="1"/>
  <c r="BM50" i="250"/>
  <c r="BM63" i="250" s="1"/>
  <c r="BM54" i="250"/>
  <c r="BM67" i="250" s="1"/>
  <c r="BL38" i="250"/>
  <c r="BL40" i="250"/>
  <c r="BL43" i="250" s="1"/>
  <c r="BL51" i="250"/>
  <c r="BL64" i="250" s="1"/>
  <c r="BM11" i="250"/>
  <c r="BK64" i="250"/>
  <c r="BK68" i="250" s="1"/>
  <c r="BK69" i="250" s="1"/>
  <c r="BK55" i="250"/>
  <c r="BK56" i="250" s="1"/>
  <c r="O9" i="206"/>
  <c r="O12" i="206" s="1"/>
  <c r="AR60" i="177"/>
  <c r="AR54" i="177"/>
  <c r="AR67" i="177" s="1"/>
  <c r="AR52" i="177"/>
  <c r="AR65" i="177" s="1"/>
  <c r="AR49" i="177"/>
  <c r="AR62" i="177" s="1"/>
  <c r="AR53" i="177"/>
  <c r="AR66" i="177" s="1"/>
  <c r="AS10" i="177" a="1"/>
  <c r="AS10" i="177" s="1"/>
  <c r="AS47" i="177" s="1"/>
  <c r="AR50" i="177"/>
  <c r="AR63" i="177" s="1"/>
  <c r="AR175" i="217"/>
  <c r="AR140" i="217"/>
  <c r="AR70" i="217"/>
  <c r="AR245" i="217"/>
  <c r="AQ317" i="217"/>
  <c r="AQ281" i="217"/>
  <c r="N97" i="243"/>
  <c r="M94" i="243"/>
  <c r="N94" i="243" s="1"/>
  <c r="O94" i="243" s="1"/>
  <c r="AQ320" i="217"/>
  <c r="AR321" i="217"/>
  <c r="AT40" i="217"/>
  <c r="AS144" i="217"/>
  <c r="AS249" i="217"/>
  <c r="AS74" i="217"/>
  <c r="AS179" i="217"/>
  <c r="AS39" i="217"/>
  <c r="AR143" i="217"/>
  <c r="AR178" i="217"/>
  <c r="AR108" i="217"/>
  <c r="AR248" i="217"/>
  <c r="AR73" i="217"/>
  <c r="AP268" i="217"/>
  <c r="AP292" i="217" s="1"/>
  <c r="B42" i="172"/>
  <c r="F183" i="206"/>
  <c r="AK185" i="206"/>
  <c r="AK201" i="206" s="1"/>
  <c r="AK207" i="206" s="1"/>
  <c r="W92" i="220"/>
  <c r="G92" i="220"/>
  <c r="I92" i="220" s="1"/>
  <c r="D92" i="220"/>
  <c r="F92" i="220" s="1"/>
  <c r="AW94" i="198"/>
  <c r="AX94" i="198" s="1"/>
  <c r="S94" i="198"/>
  <c r="T94" i="198" s="1"/>
  <c r="Y201" i="206"/>
  <c r="H185" i="206"/>
  <c r="E185" i="206"/>
  <c r="Y201" i="220"/>
  <c r="H185" i="220"/>
  <c r="E185" i="220"/>
  <c r="F12" i="206"/>
  <c r="I12" i="206"/>
  <c r="D94" i="243"/>
  <c r="E94" i="243" s="1"/>
  <c r="F94" i="243" s="1"/>
  <c r="G122" i="219"/>
  <c r="I122" i="219" s="1"/>
  <c r="W122" i="219"/>
  <c r="D122" i="219"/>
  <c r="F122" i="219" s="1"/>
  <c r="N124" i="198"/>
  <c r="O124" i="198" s="1"/>
  <c r="AR124" i="198"/>
  <c r="AS124" i="198" s="1"/>
  <c r="K122" i="206"/>
  <c r="K92" i="219"/>
  <c r="D97" i="243"/>
  <c r="M97" i="243"/>
  <c r="AP304" i="217"/>
  <c r="AP327" i="217" s="1"/>
  <c r="N75" i="177"/>
  <c r="N76" i="177" s="1"/>
  <c r="G39" i="232"/>
  <c r="K68" i="240"/>
  <c r="M68" i="240"/>
  <c r="O19" i="220"/>
  <c r="S47" i="177"/>
  <c r="S60" i="177" s="1"/>
  <c r="Q69" i="177"/>
  <c r="Q40" i="177"/>
  <c r="Q43" i="177" s="1"/>
  <c r="Q38" i="177"/>
  <c r="AD18" i="159" s="1"/>
  <c r="R51" i="177"/>
  <c r="R64" i="177" s="1"/>
  <c r="R68" i="177" s="1"/>
  <c r="S52" i="177"/>
  <c r="S65" i="177" s="1"/>
  <c r="S50" i="177"/>
  <c r="S63" i="177" s="1"/>
  <c r="S49" i="177"/>
  <c r="S62" i="177" s="1"/>
  <c r="S54" i="177"/>
  <c r="S67" i="177" s="1"/>
  <c r="T47" i="177"/>
  <c r="T60" i="177" s="1"/>
  <c r="D45" i="243"/>
  <c r="S53" i="177"/>
  <c r="S66" i="177" s="1"/>
  <c r="R45" i="177"/>
  <c r="R58" i="177" s="1"/>
  <c r="R35" i="177"/>
  <c r="Q55" i="177"/>
  <c r="Q56" i="177" s="1"/>
  <c r="O19" i="206"/>
  <c r="O24" i="177"/>
  <c r="P23" i="177"/>
  <c r="F40" i="174"/>
  <c r="E40" i="174"/>
  <c r="E124" i="174" s="1"/>
  <c r="A41" i="174"/>
  <c r="E57" i="240"/>
  <c r="K57" i="240" s="1"/>
  <c r="R57" i="240"/>
  <c r="R60" i="248"/>
  <c r="H81" i="240"/>
  <c r="H80" i="248"/>
  <c r="K72" i="248"/>
  <c r="K82" i="240"/>
  <c r="N95" i="248"/>
  <c r="O95" i="248" s="1"/>
  <c r="O99" i="248" s="1"/>
  <c r="K95" i="248"/>
  <c r="G89" i="240"/>
  <c r="K89" i="240" s="1"/>
  <c r="O98" i="240"/>
  <c r="AP311" i="217"/>
  <c r="AP275" i="217"/>
  <c r="AQ239" i="217"/>
  <c r="AR30" i="217"/>
  <c r="AQ169" i="217"/>
  <c r="AQ64" i="217"/>
  <c r="AQ134" i="217"/>
  <c r="AQ99" i="217"/>
  <c r="AN326" i="217"/>
  <c r="AN329" i="217"/>
  <c r="AN293" i="217"/>
  <c r="AN291" i="217"/>
  <c r="AO116" i="217"/>
  <c r="AO114" i="217"/>
  <c r="AO255" i="217"/>
  <c r="AO257" i="217"/>
  <c r="AO184" i="217"/>
  <c r="AO186" i="217"/>
  <c r="AO150" i="217"/>
  <c r="AO151" i="217"/>
  <c r="AO305" i="217"/>
  <c r="AO80" i="217"/>
  <c r="AO81" i="217"/>
  <c r="AO269" i="217"/>
  <c r="AP163" i="217"/>
  <c r="AP233" i="217"/>
  <c r="AP93" i="217"/>
  <c r="AP128" i="217"/>
  <c r="AP58" i="217"/>
  <c r="AP46" i="217"/>
  <c r="AP44" i="217"/>
  <c r="AQ24" i="217"/>
  <c r="AR315" i="217"/>
  <c r="AR314" i="217"/>
  <c r="AR312" i="217"/>
  <c r="AS299" i="217"/>
  <c r="AR308" i="217"/>
  <c r="AQ306" i="217"/>
  <c r="AR316" i="217"/>
  <c r="AR309" i="217"/>
  <c r="AQ302" i="217"/>
  <c r="AQ301" i="217"/>
  <c r="AQ300" i="217"/>
  <c r="AS142" i="217"/>
  <c r="AS247" i="217"/>
  <c r="AS177" i="217"/>
  <c r="AT38" i="217"/>
  <c r="AT107" i="217" s="1"/>
  <c r="AS72" i="217"/>
  <c r="AS71" i="217"/>
  <c r="AS176" i="217"/>
  <c r="AT37" i="217"/>
  <c r="AS246" i="217"/>
  <c r="AS106" i="217"/>
  <c r="AS141" i="217"/>
  <c r="AS140" i="217"/>
  <c r="AS175" i="217"/>
  <c r="AS70" i="217"/>
  <c r="AT36" i="217"/>
  <c r="AS105" i="217"/>
  <c r="AS245" i="217"/>
  <c r="AR280" i="217"/>
  <c r="AS69" i="217"/>
  <c r="AS104" i="217"/>
  <c r="AS174" i="217"/>
  <c r="AS244" i="217"/>
  <c r="AT35" i="217"/>
  <c r="AS139" i="217"/>
  <c r="AS68" i="217"/>
  <c r="AS138" i="217"/>
  <c r="AS173" i="217"/>
  <c r="AT34" i="217"/>
  <c r="AS103" i="217"/>
  <c r="AS243" i="217"/>
  <c r="AR279" i="217"/>
  <c r="AR278" i="217"/>
  <c r="AS172" i="217"/>
  <c r="AS137" i="217"/>
  <c r="AS242" i="217"/>
  <c r="AT33" i="217"/>
  <c r="AS67" i="217"/>
  <c r="AS102" i="217"/>
  <c r="AS240" i="217"/>
  <c r="AS65" i="217"/>
  <c r="AS170" i="217"/>
  <c r="AT31" i="217"/>
  <c r="AS135" i="217"/>
  <c r="AS100" i="217"/>
  <c r="AR276" i="217"/>
  <c r="AS62" i="217"/>
  <c r="AS167" i="217"/>
  <c r="AT28" i="217"/>
  <c r="AS132" i="217"/>
  <c r="AS97" i="217"/>
  <c r="AS237" i="217"/>
  <c r="AT27" i="217"/>
  <c r="AS61" i="217"/>
  <c r="AS166" i="217"/>
  <c r="AS96" i="217"/>
  <c r="AS131" i="217"/>
  <c r="AS236" i="217"/>
  <c r="AR272" i="217"/>
  <c r="AS60" i="217"/>
  <c r="AS235" i="217"/>
  <c r="AT26" i="217"/>
  <c r="AS130" i="217"/>
  <c r="AS165" i="217"/>
  <c r="AS95" i="217"/>
  <c r="AR283" i="217"/>
  <c r="AR282" i="217"/>
  <c r="AR273" i="217"/>
  <c r="AR271" i="217"/>
  <c r="AQ115" i="217"/>
  <c r="AR319" i="217"/>
  <c r="AR318" i="217"/>
  <c r="AR307" i="217"/>
  <c r="AS25" i="217"/>
  <c r="AR129" i="217"/>
  <c r="AR164" i="217"/>
  <c r="AR94" i="217"/>
  <c r="AR59" i="217"/>
  <c r="AR234" i="217"/>
  <c r="AQ270" i="217"/>
  <c r="AS23" i="217"/>
  <c r="AR57" i="217"/>
  <c r="AR92" i="217"/>
  <c r="AR232" i="217"/>
  <c r="AR127" i="217"/>
  <c r="AR162" i="217"/>
  <c r="AS21" i="217"/>
  <c r="AR55" i="217"/>
  <c r="AR90" i="217"/>
  <c r="AR125" i="217"/>
  <c r="AR160" i="217"/>
  <c r="AR230" i="217"/>
  <c r="AS20" i="217"/>
  <c r="AR54" i="217"/>
  <c r="AR89" i="217"/>
  <c r="AR229" i="217"/>
  <c r="AR124" i="217"/>
  <c r="AR159" i="217"/>
  <c r="AS19" i="217"/>
  <c r="AR53" i="217"/>
  <c r="AR88" i="217"/>
  <c r="AR228" i="217"/>
  <c r="AR123" i="217"/>
  <c r="AR158" i="217"/>
  <c r="AQ264" i="217"/>
  <c r="AU18" i="217"/>
  <c r="AV18" i="217" s="1"/>
  <c r="AT87" i="217"/>
  <c r="AT122" i="217"/>
  <c r="AT52" i="217"/>
  <c r="AT227" i="217"/>
  <c r="AS263" i="217"/>
  <c r="AU17" i="217"/>
  <c r="AT298" i="217"/>
  <c r="AQ266" i="217"/>
  <c r="AQ265" i="217"/>
  <c r="AQ256" i="217"/>
  <c r="AQ149" i="217"/>
  <c r="AQ185" i="217"/>
  <c r="AQ268" i="217"/>
  <c r="AQ304" i="217"/>
  <c r="AR45" i="217"/>
  <c r="AS22" i="217"/>
  <c r="AR126" i="217"/>
  <c r="AR91" i="217"/>
  <c r="AR56" i="217"/>
  <c r="AR161" i="217"/>
  <c r="AR231" i="217"/>
  <c r="AQ79" i="217"/>
  <c r="AQ267" i="217"/>
  <c r="AQ303" i="217"/>
  <c r="AS32" i="217"/>
  <c r="AR313" i="217"/>
  <c r="AR310" i="217"/>
  <c r="L29" i="177"/>
  <c r="M28" i="177" s="1"/>
  <c r="G102" i="248" s="1"/>
  <c r="F39" i="230"/>
  <c r="K31" i="177"/>
  <c r="U29" i="246"/>
  <c r="AB22" i="246"/>
  <c r="M33" i="177"/>
  <c r="AR281" i="217" l="1"/>
  <c r="BL55" i="250"/>
  <c r="BL56" i="250" s="1"/>
  <c r="BL68" i="250"/>
  <c r="BL69" i="250" s="1"/>
  <c r="BJ75" i="250" s="1"/>
  <c r="BM51" i="250"/>
  <c r="BN11" i="250"/>
  <c r="BO8" i="250"/>
  <c r="BN35" i="250"/>
  <c r="BN45" i="250"/>
  <c r="BN58" i="250" s="1"/>
  <c r="BN60" i="250"/>
  <c r="BN54" i="250"/>
  <c r="BN67" i="250" s="1"/>
  <c r="BN50" i="250"/>
  <c r="BN63" i="250" s="1"/>
  <c r="BN52" i="250"/>
  <c r="BN65" i="250" s="1"/>
  <c r="BN53" i="250"/>
  <c r="BN66" i="250" s="1"/>
  <c r="BN49" i="250"/>
  <c r="BN62" i="250" s="1"/>
  <c r="BO10" i="250" a="1"/>
  <c r="BO10" i="250" s="1"/>
  <c r="BO47" i="250" s="1"/>
  <c r="BM23" i="250"/>
  <c r="BL24" i="250"/>
  <c r="BL30" i="250"/>
  <c r="BL31" i="250" s="1"/>
  <c r="BL26" i="250"/>
  <c r="BL27" i="250" s="1"/>
  <c r="BL28" i="250"/>
  <c r="BL29" i="250" s="1"/>
  <c r="BL32" i="250"/>
  <c r="BL33" i="250" s="1"/>
  <c r="BM40" i="250"/>
  <c r="BM43" i="250" s="1"/>
  <c r="BM38" i="250"/>
  <c r="AR317" i="217"/>
  <c r="AS54" i="177"/>
  <c r="AS67" i="177" s="1"/>
  <c r="AS50" i="177"/>
  <c r="AS63" i="177" s="1"/>
  <c r="AT10" i="177" a="1"/>
  <c r="AT10" i="177" s="1"/>
  <c r="AS53" i="177"/>
  <c r="AS66" i="177" s="1"/>
  <c r="AS49" i="177"/>
  <c r="AS62" i="177" s="1"/>
  <c r="AS52" i="177"/>
  <c r="AS65" i="177" s="1"/>
  <c r="AS60" i="177"/>
  <c r="T37" i="177" a="1"/>
  <c r="T37" i="177" s="1"/>
  <c r="T42" i="177" s="1"/>
  <c r="T36" i="177" a="1"/>
  <c r="T36" i="177" s="1"/>
  <c r="T41" i="177" s="1"/>
  <c r="AS321" i="217"/>
  <c r="AR320" i="217"/>
  <c r="AT39" i="217"/>
  <c r="AS143" i="217"/>
  <c r="AS178" i="217"/>
  <c r="AS108" i="217"/>
  <c r="AS248" i="217"/>
  <c r="AS73" i="217"/>
  <c r="AU40" i="217"/>
  <c r="AT249" i="217"/>
  <c r="AT74" i="217"/>
  <c r="AT179" i="217"/>
  <c r="AT144" i="217"/>
  <c r="B35" i="174"/>
  <c r="B43" i="172"/>
  <c r="B44" i="172" s="1"/>
  <c r="B45" i="172" s="1"/>
  <c r="B72" i="193"/>
  <c r="Y207" i="220"/>
  <c r="E201" i="220"/>
  <c r="H201" i="220"/>
  <c r="D92" i="219"/>
  <c r="F92" i="219" s="1"/>
  <c r="W92" i="219"/>
  <c r="G92" i="219"/>
  <c r="I92" i="219" s="1"/>
  <c r="N94" i="198"/>
  <c r="O94" i="198" s="1"/>
  <c r="AR94" i="198"/>
  <c r="AS94" i="198" s="1"/>
  <c r="Y207" i="206"/>
  <c r="E201" i="206"/>
  <c r="H201" i="206"/>
  <c r="W122" i="206"/>
  <c r="G122" i="206"/>
  <c r="I122" i="206" s="1"/>
  <c r="D122" i="206"/>
  <c r="F122" i="206" s="1"/>
  <c r="N77" i="177"/>
  <c r="N78" i="177" s="1"/>
  <c r="Q11" i="218" s="1"/>
  <c r="I21" i="231"/>
  <c r="H39" i="232"/>
  <c r="K81" i="240"/>
  <c r="R69" i="177"/>
  <c r="R40" i="177"/>
  <c r="R43" i="177" s="1"/>
  <c r="R38" i="177"/>
  <c r="AE18" i="159" s="1"/>
  <c r="S51" i="177"/>
  <c r="S64" i="177" s="1"/>
  <c r="S68" i="177" s="1"/>
  <c r="D87" i="243" s="1"/>
  <c r="T11" i="177"/>
  <c r="D46" i="243"/>
  <c r="D43" i="243"/>
  <c r="T8" i="177"/>
  <c r="S45" i="177"/>
  <c r="S58" i="177" s="1"/>
  <c r="S35" i="177"/>
  <c r="S40" i="177" s="1"/>
  <c r="S43" i="177" s="1"/>
  <c r="R55" i="177"/>
  <c r="R56" i="177" s="1"/>
  <c r="T54" i="177"/>
  <c r="T67" i="177" s="1"/>
  <c r="T53" i="177"/>
  <c r="T66" i="177" s="1"/>
  <c r="T49" i="177"/>
  <c r="T62" i="177" s="1"/>
  <c r="U47" i="177"/>
  <c r="U60" i="177" s="1"/>
  <c r="T50" i="177"/>
  <c r="T63" i="177" s="1"/>
  <c r="T52" i="177"/>
  <c r="T65" i="177" s="1"/>
  <c r="K13" i="231"/>
  <c r="K12" i="231" s="1"/>
  <c r="Q11" i="220"/>
  <c r="Q9" i="220" s="1"/>
  <c r="Q12" i="220" s="1"/>
  <c r="P24" i="177"/>
  <c r="Q23" i="177"/>
  <c r="F41" i="174"/>
  <c r="E41" i="174"/>
  <c r="E125" i="174" s="1"/>
  <c r="A42" i="174"/>
  <c r="N89" i="240"/>
  <c r="O89" i="240" s="1"/>
  <c r="O94" i="240" s="1"/>
  <c r="H85" i="248"/>
  <c r="K80" i="248"/>
  <c r="F67" i="240"/>
  <c r="M67" i="240" s="1"/>
  <c r="Q60" i="248"/>
  <c r="K60" i="248"/>
  <c r="Q57" i="240"/>
  <c r="N102" i="248"/>
  <c r="O102" i="248" s="1"/>
  <c r="O106" i="248" s="1"/>
  <c r="K102" i="248"/>
  <c r="G97" i="240"/>
  <c r="K97" i="240" s="1"/>
  <c r="AB29" i="246"/>
  <c r="AD22" i="246"/>
  <c r="AR239" i="217"/>
  <c r="AR99" i="217"/>
  <c r="AR169" i="217"/>
  <c r="AR64" i="217"/>
  <c r="AS30" i="217"/>
  <c r="AR134" i="217"/>
  <c r="AQ311" i="217"/>
  <c r="AQ275" i="217"/>
  <c r="AO326" i="217"/>
  <c r="AO329" i="217"/>
  <c r="AO291" i="217"/>
  <c r="AO293" i="217"/>
  <c r="AP184" i="217"/>
  <c r="AP186" i="217"/>
  <c r="AP257" i="217"/>
  <c r="AP255" i="217"/>
  <c r="AP114" i="217"/>
  <c r="AP116" i="217"/>
  <c r="AP150" i="217"/>
  <c r="AP151" i="217"/>
  <c r="AP305" i="217"/>
  <c r="AP81" i="217"/>
  <c r="AP80" i="217"/>
  <c r="AP269" i="217"/>
  <c r="AQ46" i="217"/>
  <c r="AQ44" i="217"/>
  <c r="AR24" i="217"/>
  <c r="AQ128" i="217"/>
  <c r="AQ93" i="217"/>
  <c r="AQ163" i="217"/>
  <c r="AQ233" i="217"/>
  <c r="AQ58" i="217"/>
  <c r="AS318" i="217"/>
  <c r="AS316" i="217"/>
  <c r="AR303" i="217"/>
  <c r="AS315" i="217"/>
  <c r="AS314" i="217"/>
  <c r="AS307" i="217"/>
  <c r="AS317" i="217"/>
  <c r="AS309" i="217"/>
  <c r="AS308" i="217"/>
  <c r="AR301" i="217"/>
  <c r="AT299" i="217"/>
  <c r="AT247" i="217"/>
  <c r="AT142" i="217"/>
  <c r="AT177" i="217"/>
  <c r="AT72" i="217"/>
  <c r="AU38" i="217"/>
  <c r="AT71" i="217"/>
  <c r="AU37" i="217"/>
  <c r="AV37" i="217" s="1"/>
  <c r="AT141" i="217"/>
  <c r="AT176" i="217"/>
  <c r="AT246" i="217"/>
  <c r="AT106" i="217"/>
  <c r="AT175" i="217"/>
  <c r="AT245" i="217"/>
  <c r="AT70" i="217"/>
  <c r="AU36" i="217"/>
  <c r="AV36" i="217" s="1"/>
  <c r="AT140" i="217"/>
  <c r="AT105" i="217"/>
  <c r="AT69" i="217"/>
  <c r="AT104" i="217"/>
  <c r="AT139" i="217"/>
  <c r="AT244" i="217"/>
  <c r="AT174" i="217"/>
  <c r="AU35" i="217"/>
  <c r="AV35" i="217" s="1"/>
  <c r="AT173" i="217"/>
  <c r="AT103" i="217"/>
  <c r="AT68" i="217"/>
  <c r="AU34" i="217"/>
  <c r="AV34" i="217" s="1"/>
  <c r="AT138" i="217"/>
  <c r="AT243" i="217"/>
  <c r="AT137" i="217"/>
  <c r="AT172" i="217"/>
  <c r="AT242" i="217"/>
  <c r="AU33" i="217"/>
  <c r="AV33" i="217" s="1"/>
  <c r="AT67" i="217"/>
  <c r="AT102" i="217"/>
  <c r="AT240" i="217"/>
  <c r="AT170" i="217"/>
  <c r="AU31" i="217"/>
  <c r="AV31" i="217" s="1"/>
  <c r="AT135" i="217"/>
  <c r="AT65" i="217"/>
  <c r="AT100" i="217"/>
  <c r="AS273" i="217"/>
  <c r="AT97" i="217"/>
  <c r="AT62" i="217"/>
  <c r="AU28" i="217"/>
  <c r="AV28" i="217" s="1"/>
  <c r="AT237" i="217"/>
  <c r="AT167" i="217"/>
  <c r="AT132" i="217"/>
  <c r="AT166" i="217"/>
  <c r="AT61" i="217"/>
  <c r="AT236" i="217"/>
  <c r="AT96" i="217"/>
  <c r="AU27" i="217"/>
  <c r="AV27" i="217" s="1"/>
  <c r="AT131" i="217"/>
  <c r="AT95" i="217"/>
  <c r="AT235" i="217"/>
  <c r="AT130" i="217"/>
  <c r="AU26" i="217"/>
  <c r="AV26" i="217" s="1"/>
  <c r="AT165" i="217"/>
  <c r="AT60" i="217"/>
  <c r="AS282" i="217"/>
  <c r="AS281" i="217"/>
  <c r="AS278" i="217"/>
  <c r="AS276" i="217"/>
  <c r="AS271" i="217"/>
  <c r="AS272" i="217"/>
  <c r="AR304" i="217"/>
  <c r="AR302" i="217"/>
  <c r="AR300" i="217"/>
  <c r="AS280" i="217"/>
  <c r="AS279" i="217"/>
  <c r="AS283" i="217"/>
  <c r="AS319" i="217"/>
  <c r="AS312" i="217"/>
  <c r="AQ292" i="217"/>
  <c r="AT25" i="217"/>
  <c r="AS59" i="217"/>
  <c r="AS94" i="217"/>
  <c r="AS234" i="217"/>
  <c r="AS129" i="217"/>
  <c r="AS164" i="217"/>
  <c r="AT23" i="217"/>
  <c r="AS127" i="217"/>
  <c r="AS92" i="217"/>
  <c r="AS162" i="217"/>
  <c r="AS57" i="217"/>
  <c r="AS232" i="217"/>
  <c r="AT21" i="217"/>
  <c r="AS160" i="217"/>
  <c r="AS55" i="217"/>
  <c r="AS125" i="217"/>
  <c r="AS230" i="217"/>
  <c r="AS90" i="217"/>
  <c r="AR266" i="217"/>
  <c r="AT20" i="217"/>
  <c r="AS159" i="217"/>
  <c r="AS124" i="217"/>
  <c r="AS229" i="217"/>
  <c r="AS54" i="217"/>
  <c r="AS89" i="217"/>
  <c r="AR265" i="217"/>
  <c r="AT19" i="217"/>
  <c r="AS158" i="217"/>
  <c r="AS53" i="217"/>
  <c r="AS123" i="217"/>
  <c r="AS228" i="217"/>
  <c r="AS88" i="217"/>
  <c r="AU52" i="217"/>
  <c r="AU227" i="217"/>
  <c r="AV227" i="217" s="1"/>
  <c r="AU87" i="217"/>
  <c r="AV87" i="217" s="1"/>
  <c r="AU122" i="217"/>
  <c r="AV122" i="217" s="1"/>
  <c r="AR264" i="217"/>
  <c r="AT263" i="217"/>
  <c r="AR268" i="217"/>
  <c r="AR270" i="217"/>
  <c r="AR306" i="217"/>
  <c r="AU298" i="217"/>
  <c r="AV298" i="217" s="1"/>
  <c r="AV17" i="217"/>
  <c r="AS45" i="217"/>
  <c r="AT22" i="217"/>
  <c r="AS56" i="217"/>
  <c r="AS91" i="217"/>
  <c r="AS126" i="217"/>
  <c r="AS161" i="217"/>
  <c r="AS231" i="217"/>
  <c r="AR149" i="217"/>
  <c r="AR115" i="217"/>
  <c r="AR79" i="217"/>
  <c r="AR267" i="217"/>
  <c r="AR185" i="217"/>
  <c r="AR256" i="217"/>
  <c r="AQ327" i="217"/>
  <c r="AT32" i="217"/>
  <c r="AS313" i="217"/>
  <c r="AS310" i="217"/>
  <c r="L30" i="177"/>
  <c r="H94" i="248" s="1"/>
  <c r="N32" i="177"/>
  <c r="O110" i="248" s="1"/>
  <c r="M29" i="177"/>
  <c r="J27" i="177"/>
  <c r="K26" i="177" s="1"/>
  <c r="BJ77" i="250" l="1"/>
  <c r="BJ78" i="250" s="1"/>
  <c r="BJ76" i="250"/>
  <c r="BN40" i="250"/>
  <c r="BN43" i="250" s="1"/>
  <c r="BN38" i="250"/>
  <c r="BN23" i="250"/>
  <c r="BM24" i="250"/>
  <c r="BM32" i="250"/>
  <c r="BM33" i="250" s="1"/>
  <c r="BM30" i="250"/>
  <c r="BM31" i="250" s="1"/>
  <c r="BM26" i="250"/>
  <c r="BM27" i="250" s="1"/>
  <c r="BM28" i="250"/>
  <c r="BM29" i="250" s="1"/>
  <c r="BO54" i="250"/>
  <c r="BO67" i="250" s="1"/>
  <c r="BO52" i="250"/>
  <c r="BO65" i="250" s="1"/>
  <c r="BP10" i="250" a="1"/>
  <c r="BP10" i="250" s="1"/>
  <c r="BP47" i="250" s="1"/>
  <c r="BO53" i="250"/>
  <c r="BO66" i="250" s="1"/>
  <c r="BO49" i="250"/>
  <c r="BO62" i="250" s="1"/>
  <c r="BO50" i="250"/>
  <c r="BO63" i="250" s="1"/>
  <c r="BO11" i="250"/>
  <c r="BN51" i="250"/>
  <c r="BN64" i="250" s="1"/>
  <c r="BN68" i="250" s="1"/>
  <c r="BN69" i="250" s="1"/>
  <c r="BP8" i="250"/>
  <c r="BO35" i="250"/>
  <c r="BO45" i="250"/>
  <c r="BO58" i="250" s="1"/>
  <c r="BO9" i="250"/>
  <c r="BP37" i="250" a="1"/>
  <c r="BP37" i="250" s="1"/>
  <c r="BP42" i="250" s="1"/>
  <c r="BP36" i="250" a="1"/>
  <c r="BP36" i="250" s="1"/>
  <c r="BP41" i="250" s="1"/>
  <c r="BM64" i="250"/>
  <c r="BM68" i="250" s="1"/>
  <c r="BM69" i="250" s="1"/>
  <c r="BM55" i="250"/>
  <c r="BM56" i="250" s="1"/>
  <c r="BO60" i="250"/>
  <c r="AT47" i="177"/>
  <c r="AU10" i="177" a="1"/>
  <c r="AU10" i="177" s="1"/>
  <c r="AU47" i="177" s="1"/>
  <c r="AT49" i="177"/>
  <c r="AT62" i="177" s="1"/>
  <c r="AT50" i="177"/>
  <c r="AT63" i="177" s="1"/>
  <c r="AT53" i="177"/>
  <c r="AT66" i="177" s="1"/>
  <c r="AT54" i="177"/>
  <c r="AT67" i="177" s="1"/>
  <c r="AT52" i="177"/>
  <c r="AT65" i="177" s="1"/>
  <c r="Q9" i="218"/>
  <c r="Q12" i="218" s="1"/>
  <c r="Q11" i="206"/>
  <c r="AS320" i="217"/>
  <c r="AT321" i="217"/>
  <c r="AV38" i="217"/>
  <c r="AU107" i="217"/>
  <c r="AV107" i="217" s="1"/>
  <c r="AU249" i="217"/>
  <c r="AV249" i="217" s="1"/>
  <c r="AU74" i="217"/>
  <c r="AV74" i="217" s="1"/>
  <c r="AU144" i="217"/>
  <c r="AV144" i="217" s="1"/>
  <c r="AU179" i="217"/>
  <c r="AV179" i="217" s="1"/>
  <c r="AV40" i="217"/>
  <c r="AU39" i="217"/>
  <c r="AT178" i="217"/>
  <c r="AT108" i="217"/>
  <c r="AT248" i="217"/>
  <c r="AT73" i="217"/>
  <c r="AT143" i="217"/>
  <c r="K13" i="235"/>
  <c r="K13" i="230" s="1"/>
  <c r="K12" i="230" s="1"/>
  <c r="K67" i="240"/>
  <c r="G39" i="230" s="1"/>
  <c r="B73" i="193"/>
  <c r="B74" i="193" s="1"/>
  <c r="B75" i="193" s="1"/>
  <c r="B76" i="193" s="1"/>
  <c r="K26" i="234"/>
  <c r="G26" i="233"/>
  <c r="P126" i="218"/>
  <c r="P126" i="206" s="1"/>
  <c r="J26" i="233"/>
  <c r="G26" i="231"/>
  <c r="P26" i="234"/>
  <c r="U126" i="218"/>
  <c r="U126" i="206" s="1"/>
  <c r="L26" i="232"/>
  <c r="M26" i="232"/>
  <c r="K126" i="218"/>
  <c r="E26" i="234"/>
  <c r="K26" i="235"/>
  <c r="K26" i="233"/>
  <c r="L95" i="218"/>
  <c r="J26" i="231"/>
  <c r="P26" i="232"/>
  <c r="M26" i="235"/>
  <c r="N126" i="218"/>
  <c r="N126" i="206" s="1"/>
  <c r="N26" i="233"/>
  <c r="F26" i="233"/>
  <c r="P26" i="235"/>
  <c r="T126" i="218"/>
  <c r="T126" i="206" s="1"/>
  <c r="O95" i="218"/>
  <c r="J26" i="234"/>
  <c r="H26" i="231"/>
  <c r="M26" i="231"/>
  <c r="U95" i="218"/>
  <c r="G26" i="236"/>
  <c r="L26" i="235"/>
  <c r="S95" i="218"/>
  <c r="I26" i="236"/>
  <c r="N26" i="231"/>
  <c r="O126" i="218"/>
  <c r="O126" i="206" s="1"/>
  <c r="J26" i="236"/>
  <c r="K26" i="231"/>
  <c r="O26" i="232"/>
  <c r="I26" i="231"/>
  <c r="J26" i="235"/>
  <c r="P26" i="233"/>
  <c r="I26" i="233"/>
  <c r="T95" i="218"/>
  <c r="O26" i="233"/>
  <c r="L26" i="233"/>
  <c r="P26" i="236"/>
  <c r="N26" i="235"/>
  <c r="F26" i="231"/>
  <c r="E26" i="235"/>
  <c r="L26" i="234"/>
  <c r="M26" i="236"/>
  <c r="E26" i="232"/>
  <c r="I26" i="235"/>
  <c r="F26" i="232"/>
  <c r="M26" i="234"/>
  <c r="L126" i="218"/>
  <c r="L126" i="206" s="1"/>
  <c r="V126" i="218"/>
  <c r="V126" i="206" s="1"/>
  <c r="M95" i="218"/>
  <c r="R95" i="218"/>
  <c r="K26" i="236"/>
  <c r="R126" i="218"/>
  <c r="R126" i="206" s="1"/>
  <c r="G26" i="235"/>
  <c r="Q95" i="218"/>
  <c r="H26" i="233"/>
  <c r="F26" i="236"/>
  <c r="O26" i="235"/>
  <c r="H26" i="235"/>
  <c r="N26" i="232"/>
  <c r="H26" i="236"/>
  <c r="I26" i="232"/>
  <c r="G26" i="234"/>
  <c r="F26" i="235"/>
  <c r="K26" i="232"/>
  <c r="N26" i="236"/>
  <c r="M126" i="218"/>
  <c r="M126" i="206" s="1"/>
  <c r="K95" i="218"/>
  <c r="O26" i="236"/>
  <c r="E26" i="233"/>
  <c r="M26" i="233"/>
  <c r="V95" i="218"/>
  <c r="H26" i="232"/>
  <c r="N95" i="218"/>
  <c r="G26" i="232"/>
  <c r="I26" i="234"/>
  <c r="P26" i="231"/>
  <c r="Q126" i="218"/>
  <c r="Q126" i="206" s="1"/>
  <c r="E26" i="236"/>
  <c r="N26" i="234"/>
  <c r="F26" i="234"/>
  <c r="L26" i="231"/>
  <c r="O26" i="234"/>
  <c r="L26" i="236"/>
  <c r="P95" i="218"/>
  <c r="E26" i="231"/>
  <c r="H26" i="234"/>
  <c r="J26" i="232"/>
  <c r="S126" i="218"/>
  <c r="S126" i="206" s="1"/>
  <c r="N99" i="218"/>
  <c r="L94" i="218"/>
  <c r="Q107" i="218"/>
  <c r="L103" i="218"/>
  <c r="V94" i="218"/>
  <c r="L107" i="218"/>
  <c r="U103" i="218"/>
  <c r="K103" i="218"/>
  <c r="L99" i="218"/>
  <c r="S107" i="218"/>
  <c r="N94" i="218"/>
  <c r="S103" i="218"/>
  <c r="Q99" i="218"/>
  <c r="N103" i="218"/>
  <c r="P94" i="218"/>
  <c r="U99" i="218"/>
  <c r="K94" i="218"/>
  <c r="Q103" i="218"/>
  <c r="M99" i="218"/>
  <c r="R99" i="218"/>
  <c r="P99" i="218"/>
  <c r="O103" i="218"/>
  <c r="V99" i="218"/>
  <c r="T107" i="218"/>
  <c r="R94" i="218"/>
  <c r="R107" i="218"/>
  <c r="T99" i="218"/>
  <c r="P103" i="218"/>
  <c r="O99" i="218"/>
  <c r="U94" i="218"/>
  <c r="Q94" i="218"/>
  <c r="P107" i="218"/>
  <c r="M107" i="218"/>
  <c r="M103" i="218"/>
  <c r="S94" i="218"/>
  <c r="O94" i="218"/>
  <c r="V107" i="218"/>
  <c r="R103" i="218"/>
  <c r="S99" i="218"/>
  <c r="K107" i="218"/>
  <c r="V103" i="218"/>
  <c r="M94" i="218"/>
  <c r="N107" i="218"/>
  <c r="O107" i="218"/>
  <c r="U107" i="218"/>
  <c r="K99" i="218"/>
  <c r="T94" i="218"/>
  <c r="T103" i="218"/>
  <c r="S102" i="218"/>
  <c r="T102" i="218"/>
  <c r="O106" i="218"/>
  <c r="N102" i="218"/>
  <c r="M102" i="218"/>
  <c r="N106" i="218"/>
  <c r="P106" i="218"/>
  <c r="U98" i="218"/>
  <c r="Q102" i="218"/>
  <c r="Q98" i="218"/>
  <c r="O102" i="218"/>
  <c r="S106" i="218"/>
  <c r="L102" i="218"/>
  <c r="K106" i="218"/>
  <c r="N98" i="218"/>
  <c r="U102" i="218"/>
  <c r="K102" i="218"/>
  <c r="Q106" i="218"/>
  <c r="P102" i="218"/>
  <c r="V102" i="218"/>
  <c r="T106" i="218"/>
  <c r="K98" i="218"/>
  <c r="M106" i="218"/>
  <c r="T98" i="218"/>
  <c r="U106" i="218"/>
  <c r="L106" i="218"/>
  <c r="R98" i="218"/>
  <c r="V98" i="218"/>
  <c r="M98" i="218"/>
  <c r="S98" i="218"/>
  <c r="P98" i="218"/>
  <c r="L98" i="218"/>
  <c r="V106" i="218"/>
  <c r="R106" i="218"/>
  <c r="O98" i="218"/>
  <c r="R102" i="218"/>
  <c r="B46" i="172"/>
  <c r="B47" i="172" s="1"/>
  <c r="B48" i="172" s="1"/>
  <c r="B49" i="172" s="1"/>
  <c r="L91" i="204"/>
  <c r="K91" i="204"/>
  <c r="T91" i="204"/>
  <c r="O91" i="204"/>
  <c r="R91" i="204"/>
  <c r="V91" i="204"/>
  <c r="N91" i="204"/>
  <c r="S91" i="204"/>
  <c r="P91" i="204"/>
  <c r="U91" i="204"/>
  <c r="Q91" i="204"/>
  <c r="M91" i="204"/>
  <c r="B36" i="174"/>
  <c r="B37" i="174" s="1"/>
  <c r="B38" i="174" s="1"/>
  <c r="B39" i="174" s="1"/>
  <c r="B40" i="174" s="1"/>
  <c r="B41" i="174" s="1"/>
  <c r="B42" i="174" s="1"/>
  <c r="L56" i="222" s="1"/>
  <c r="K52" i="204"/>
  <c r="K52" i="221"/>
  <c r="N57" i="204"/>
  <c r="N53" i="204"/>
  <c r="M59" i="220"/>
  <c r="M151" i="220"/>
  <c r="N152" i="220"/>
  <c r="N56" i="222"/>
  <c r="V59" i="220"/>
  <c r="R53" i="221"/>
  <c r="R51" i="221"/>
  <c r="P56" i="219"/>
  <c r="R53" i="218"/>
  <c r="N148" i="220"/>
  <c r="U46" i="219"/>
  <c r="S60" i="222"/>
  <c r="V59" i="204"/>
  <c r="T54" i="218"/>
  <c r="Q148" i="220"/>
  <c r="K152" i="222"/>
  <c r="T56" i="220"/>
  <c r="S56" i="218"/>
  <c r="S59" i="218"/>
  <c r="V58" i="218"/>
  <c r="L53" i="204"/>
  <c r="U53" i="220"/>
  <c r="L46" i="219"/>
  <c r="V51" i="204"/>
  <c r="Q58" i="219"/>
  <c r="K86" i="218"/>
  <c r="P59" i="204"/>
  <c r="S47" i="221"/>
  <c r="S47" i="206" s="1"/>
  <c r="Q52" i="218"/>
  <c r="O147" i="218"/>
  <c r="L54" i="218"/>
  <c r="V142" i="220"/>
  <c r="P61" i="220"/>
  <c r="O152" i="220"/>
  <c r="V46" i="218"/>
  <c r="U59" i="221"/>
  <c r="P56" i="204"/>
  <c r="S53" i="218"/>
  <c r="P152" i="222"/>
  <c r="V52" i="221"/>
  <c r="T51" i="218"/>
  <c r="V53" i="220"/>
  <c r="O148" i="204"/>
  <c r="O51" i="220"/>
  <c r="T87" i="218"/>
  <c r="P25" i="231"/>
  <c r="V45" i="222"/>
  <c r="P45" i="221"/>
  <c r="V56" i="220"/>
  <c r="S60" i="218"/>
  <c r="M56" i="222"/>
  <c r="T87" i="220"/>
  <c r="R54" i="218"/>
  <c r="S58" i="219"/>
  <c r="M60" i="222"/>
  <c r="P51" i="220"/>
  <c r="P46" i="204"/>
  <c r="R45" i="204"/>
  <c r="K52" i="220"/>
  <c r="R151" i="204"/>
  <c r="V54" i="219"/>
  <c r="K54" i="221"/>
  <c r="L59" i="221"/>
  <c r="T151" i="204"/>
  <c r="T57" i="220"/>
  <c r="U52" i="221"/>
  <c r="N52" i="221"/>
  <c r="R56" i="218"/>
  <c r="P46" i="221"/>
  <c r="K58" i="221"/>
  <c r="L152" i="221"/>
  <c r="K86" i="219"/>
  <c r="T54" i="204"/>
  <c r="T52" i="204"/>
  <c r="N53" i="222"/>
  <c r="O25" i="233"/>
  <c r="P147" i="218"/>
  <c r="Q59" i="219"/>
  <c r="N46" i="204"/>
  <c r="L61" i="204"/>
  <c r="L51" i="219"/>
  <c r="R87" i="219"/>
  <c r="L58" i="221"/>
  <c r="S152" i="220"/>
  <c r="V54" i="220"/>
  <c r="M45" i="218"/>
  <c r="O53" i="221"/>
  <c r="K54" i="220"/>
  <c r="O45" i="220"/>
  <c r="N56" i="204"/>
  <c r="K51" i="218"/>
  <c r="L25" i="235"/>
  <c r="Q54" i="218"/>
  <c r="S56" i="222"/>
  <c r="V148" i="218"/>
  <c r="T58" i="220"/>
  <c r="O58" i="219"/>
  <c r="U87" i="220"/>
  <c r="K147" i="218"/>
  <c r="M56" i="221"/>
  <c r="N86" i="220"/>
  <c r="L25" i="234"/>
  <c r="U61" i="218"/>
  <c r="V152" i="219"/>
  <c r="P52" i="222"/>
  <c r="U61" i="220"/>
  <c r="N147" i="220"/>
  <c r="K148" i="219"/>
  <c r="M46" i="222"/>
  <c r="T53" i="222"/>
  <c r="R54" i="219"/>
  <c r="O87" i="220"/>
  <c r="P147" i="219"/>
  <c r="K45" i="204"/>
  <c r="T61" i="218"/>
  <c r="U56" i="204"/>
  <c r="Q53" i="204"/>
  <c r="K57" i="220"/>
  <c r="T60" i="218"/>
  <c r="K58" i="218"/>
  <c r="O45" i="219"/>
  <c r="N45" i="222"/>
  <c r="S45" i="204"/>
  <c r="J25" i="234"/>
  <c r="S61" i="204"/>
  <c r="N25" i="232"/>
  <c r="L45" i="220"/>
  <c r="O53" i="204"/>
  <c r="U57" i="219"/>
  <c r="K61" i="219"/>
  <c r="S147" i="219"/>
  <c r="K87" i="220"/>
  <c r="L25" i="231"/>
  <c r="V57" i="219"/>
  <c r="U152" i="219"/>
  <c r="P25" i="236"/>
  <c r="S52" i="221"/>
  <c r="V61" i="219"/>
  <c r="V87" i="218"/>
  <c r="U46" i="221"/>
  <c r="O52" i="221"/>
  <c r="H25" i="233"/>
  <c r="S142" i="219"/>
  <c r="O54" i="218"/>
  <c r="T45" i="222"/>
  <c r="Q86" i="220"/>
  <c r="S45" i="220"/>
  <c r="O148" i="219"/>
  <c r="K45" i="218"/>
  <c r="O51" i="204"/>
  <c r="Q56" i="204"/>
  <c r="V54" i="222"/>
  <c r="R59" i="222"/>
  <c r="V45" i="221"/>
  <c r="N59" i="218"/>
  <c r="P86" i="219"/>
  <c r="S147" i="218"/>
  <c r="T46" i="221"/>
  <c r="N46" i="222"/>
  <c r="L148" i="218"/>
  <c r="Q142" i="222"/>
  <c r="O47" i="221"/>
  <c r="O47" i="206" s="1"/>
  <c r="K51" i="221"/>
  <c r="O57" i="204"/>
  <c r="L58" i="204"/>
  <c r="U142" i="219"/>
  <c r="O25" i="231"/>
  <c r="V53" i="204"/>
  <c r="N59" i="220"/>
  <c r="O53" i="219"/>
  <c r="T53" i="204"/>
  <c r="O142" i="219"/>
  <c r="R46" i="204"/>
  <c r="R53" i="222"/>
  <c r="N46" i="219"/>
  <c r="L152" i="219"/>
  <c r="P51" i="204"/>
  <c r="N87" i="220"/>
  <c r="O52" i="219"/>
  <c r="V54" i="204"/>
  <c r="F25" i="235"/>
  <c r="U60" i="222"/>
  <c r="O142" i="222"/>
  <c r="V51" i="221"/>
  <c r="S46" i="204"/>
  <c r="M52" i="222"/>
  <c r="V148" i="220"/>
  <c r="U53" i="219"/>
  <c r="O25" i="234"/>
  <c r="N53" i="219"/>
  <c r="P60" i="204"/>
  <c r="M152" i="219"/>
  <c r="M58" i="222"/>
  <c r="N61" i="204"/>
  <c r="K46" i="221"/>
  <c r="M45" i="219"/>
  <c r="L58" i="219"/>
  <c r="K59" i="219"/>
  <c r="T148" i="218"/>
  <c r="K60" i="218"/>
  <c r="Q147" i="220"/>
  <c r="S51" i="204"/>
  <c r="M87" i="204"/>
  <c r="T53" i="219"/>
  <c r="V60" i="221"/>
  <c r="J25" i="235"/>
  <c r="K58" i="204"/>
  <c r="P57" i="221"/>
  <c r="T54" i="220"/>
  <c r="T59" i="219"/>
  <c r="N57" i="220"/>
  <c r="N61" i="219"/>
  <c r="K59" i="221"/>
  <c r="R86" i="204"/>
  <c r="T46" i="222"/>
  <c r="N151" i="219"/>
  <c r="O57" i="219"/>
  <c r="K53" i="218"/>
  <c r="R61" i="221"/>
  <c r="T54" i="222"/>
  <c r="M58" i="220"/>
  <c r="P54" i="222"/>
  <c r="R56" i="221"/>
  <c r="O51" i="221"/>
  <c r="U54" i="220"/>
  <c r="P56" i="218"/>
  <c r="T56" i="218"/>
  <c r="Q61" i="219"/>
  <c r="Q46" i="222"/>
  <c r="O86" i="204"/>
  <c r="Q147" i="218"/>
  <c r="V46" i="220"/>
  <c r="P52" i="221"/>
  <c r="M53" i="204"/>
  <c r="V57" i="222"/>
  <c r="S59" i="222"/>
  <c r="S151" i="204"/>
  <c r="L151" i="219"/>
  <c r="S59" i="219"/>
  <c r="O53" i="222"/>
  <c r="Q46" i="219"/>
  <c r="O56" i="221"/>
  <c r="T57" i="204"/>
  <c r="N59" i="204"/>
  <c r="P56" i="220"/>
  <c r="K61" i="204"/>
  <c r="T47" i="221"/>
  <c r="T47" i="206" s="1"/>
  <c r="Q151" i="204"/>
  <c r="S45" i="221"/>
  <c r="T52" i="220"/>
  <c r="Q45" i="222"/>
  <c r="S52" i="218"/>
  <c r="M52" i="221"/>
  <c r="O59" i="220"/>
  <c r="K86" i="204"/>
  <c r="S53" i="204"/>
  <c r="P87" i="219"/>
  <c r="U147" i="219"/>
  <c r="R54" i="204"/>
  <c r="N56" i="219"/>
  <c r="U59" i="218"/>
  <c r="M57" i="222"/>
  <c r="O59" i="222"/>
  <c r="K147" i="219"/>
  <c r="M86" i="219"/>
  <c r="K87" i="219"/>
  <c r="L25" i="233"/>
  <c r="M46" i="219"/>
  <c r="V86" i="218"/>
  <c r="T57" i="221"/>
  <c r="V147" i="220"/>
  <c r="L59" i="220"/>
  <c r="Q151" i="219"/>
  <c r="U53" i="204"/>
  <c r="R45" i="222"/>
  <c r="K61" i="221"/>
  <c r="Q53" i="220"/>
  <c r="U87" i="218"/>
  <c r="M57" i="218"/>
  <c r="K151" i="219"/>
  <c r="T147" i="218"/>
  <c r="N60" i="219"/>
  <c r="E25" i="234"/>
  <c r="M61" i="219"/>
  <c r="Q58" i="204"/>
  <c r="R147" i="219"/>
  <c r="L60" i="222"/>
  <c r="L54" i="219"/>
  <c r="O51" i="218"/>
  <c r="O60" i="219"/>
  <c r="Q60" i="219"/>
  <c r="M86" i="220"/>
  <c r="R57" i="219"/>
  <c r="N51" i="204"/>
  <c r="Q46" i="220"/>
  <c r="O57" i="221"/>
  <c r="V53" i="219"/>
  <c r="V56" i="221"/>
  <c r="P53" i="204"/>
  <c r="S61" i="222"/>
  <c r="Q56" i="219"/>
  <c r="O151" i="220"/>
  <c r="M142" i="220"/>
  <c r="U60" i="221"/>
  <c r="P87" i="218"/>
  <c r="Q86" i="204"/>
  <c r="R142" i="221"/>
  <c r="Q51" i="222"/>
  <c r="Q151" i="218"/>
  <c r="L148" i="220"/>
  <c r="Q57" i="219"/>
  <c r="M45" i="222"/>
  <c r="K51" i="204"/>
  <c r="Q61" i="218"/>
  <c r="O45" i="222"/>
  <c r="L60" i="204"/>
  <c r="U54" i="219"/>
  <c r="K151" i="220"/>
  <c r="L57" i="219"/>
  <c r="M54" i="218"/>
  <c r="Q148" i="218"/>
  <c r="K58" i="222"/>
  <c r="S151" i="218"/>
  <c r="S87" i="218"/>
  <c r="Q46" i="204"/>
  <c r="U56" i="219"/>
  <c r="Q57" i="221"/>
  <c r="K46" i="219"/>
  <c r="Q52" i="219"/>
  <c r="K61" i="222"/>
  <c r="S151" i="219"/>
  <c r="N52" i="218"/>
  <c r="N58" i="219"/>
  <c r="V58" i="220"/>
  <c r="T151" i="219"/>
  <c r="M52" i="204"/>
  <c r="T152" i="219"/>
  <c r="L86" i="218"/>
  <c r="P46" i="222"/>
  <c r="O54" i="204"/>
  <c r="U52" i="219"/>
  <c r="O58" i="222"/>
  <c r="L51" i="218"/>
  <c r="T54" i="221"/>
  <c r="K51" i="219"/>
  <c r="F25" i="233"/>
  <c r="S86" i="220"/>
  <c r="Q53" i="218"/>
  <c r="U60" i="218"/>
  <c r="K45" i="219"/>
  <c r="O56" i="218"/>
  <c r="T142" i="220"/>
  <c r="R51" i="220"/>
  <c r="M87" i="219"/>
  <c r="U60" i="204"/>
  <c r="U151" i="218"/>
  <c r="K25" i="236"/>
  <c r="T59" i="222"/>
  <c r="R47" i="221"/>
  <c r="R47" i="206" s="1"/>
  <c r="I25" i="233"/>
  <c r="L142" i="222"/>
  <c r="L57" i="221"/>
  <c r="L61" i="222"/>
  <c r="T59" i="220"/>
  <c r="V61" i="218"/>
  <c r="T151" i="218"/>
  <c r="L51" i="222"/>
  <c r="N147" i="218"/>
  <c r="U61" i="221"/>
  <c r="L142" i="220"/>
  <c r="R148" i="218"/>
  <c r="O148" i="218"/>
  <c r="P25" i="232"/>
  <c r="L151" i="204"/>
  <c r="U45" i="222"/>
  <c r="U151" i="204"/>
  <c r="M60" i="219"/>
  <c r="R45" i="221"/>
  <c r="K59" i="218"/>
  <c r="M152" i="221"/>
  <c r="R59" i="204"/>
  <c r="Q59" i="204"/>
  <c r="P142" i="222"/>
  <c r="M151" i="204"/>
  <c r="O51" i="222"/>
  <c r="M60" i="221"/>
  <c r="Q52" i="204"/>
  <c r="O60" i="221"/>
  <c r="Q61" i="220"/>
  <c r="S46" i="222"/>
  <c r="P61" i="219"/>
  <c r="P152" i="220"/>
  <c r="K151" i="218"/>
  <c r="R56" i="220"/>
  <c r="P57" i="220"/>
  <c r="Q152" i="222"/>
  <c r="R142" i="220"/>
  <c r="N45" i="219"/>
  <c r="S86" i="204"/>
  <c r="M54" i="219"/>
  <c r="N51" i="219"/>
  <c r="Q87" i="204"/>
  <c r="V47" i="221"/>
  <c r="V47" i="206" s="1"/>
  <c r="R45" i="219"/>
  <c r="L46" i="204"/>
  <c r="L56" i="220"/>
  <c r="R52" i="218"/>
  <c r="R57" i="222"/>
  <c r="U57" i="204"/>
  <c r="O151" i="219"/>
  <c r="Q51" i="204"/>
  <c r="V58" i="219"/>
  <c r="O46" i="219"/>
  <c r="Q152" i="220"/>
  <c r="N54" i="204"/>
  <c r="M60" i="204"/>
  <c r="O56" i="220"/>
  <c r="M59" i="222"/>
  <c r="L152" i="222"/>
  <c r="M54" i="221"/>
  <c r="P59" i="222"/>
  <c r="O53" i="218"/>
  <c r="V59" i="222"/>
  <c r="V51" i="222"/>
  <c r="N53" i="218"/>
  <c r="R58" i="220"/>
  <c r="O53" i="220"/>
  <c r="N25" i="234"/>
  <c r="N54" i="220"/>
  <c r="N58" i="218"/>
  <c r="Q56" i="222"/>
  <c r="S57" i="220"/>
  <c r="U51" i="221"/>
  <c r="N51" i="222"/>
  <c r="R52" i="219"/>
  <c r="K60" i="219"/>
  <c r="K47" i="221"/>
  <c r="R61" i="218"/>
  <c r="O60" i="204"/>
  <c r="T46" i="219"/>
  <c r="F25" i="236"/>
  <c r="V52" i="204"/>
  <c r="S54" i="219"/>
  <c r="V147" i="218"/>
  <c r="Q86" i="219"/>
  <c r="M52" i="220"/>
  <c r="M148" i="218"/>
  <c r="U58" i="219"/>
  <c r="M58" i="221"/>
  <c r="U54" i="222"/>
  <c r="R57" i="220"/>
  <c r="R61" i="219"/>
  <c r="R151" i="219"/>
  <c r="V57" i="204"/>
  <c r="O46" i="220"/>
  <c r="N148" i="204"/>
  <c r="L52" i="220"/>
  <c r="R60" i="222"/>
  <c r="K45" i="221"/>
  <c r="T57" i="222"/>
  <c r="N47" i="221"/>
  <c r="N47" i="206" s="1"/>
  <c r="Q45" i="221"/>
  <c r="M45" i="221"/>
  <c r="P148" i="220"/>
  <c r="R46" i="221"/>
  <c r="V151" i="219"/>
  <c r="L46" i="220"/>
  <c r="O46" i="218"/>
  <c r="R147" i="220"/>
  <c r="S57" i="219"/>
  <c r="U56" i="221"/>
  <c r="Q56" i="220"/>
  <c r="L61" i="220"/>
  <c r="N57" i="222"/>
  <c r="Q61" i="222"/>
  <c r="S54" i="218"/>
  <c r="Q142" i="221"/>
  <c r="Q58" i="222"/>
  <c r="R56" i="219"/>
  <c r="L58" i="218"/>
  <c r="U51" i="218"/>
  <c r="N54" i="218"/>
  <c r="M25" i="231"/>
  <c r="N54" i="221"/>
  <c r="R87" i="220"/>
  <c r="R53" i="220"/>
  <c r="K57" i="218"/>
  <c r="O58" i="221"/>
  <c r="U148" i="220"/>
  <c r="Q57" i="204"/>
  <c r="S51" i="219"/>
  <c r="Q142" i="220"/>
  <c r="N152" i="222"/>
  <c r="T148" i="220"/>
  <c r="Q57" i="218"/>
  <c r="R151" i="220"/>
  <c r="N59" i="219"/>
  <c r="M54" i="220"/>
  <c r="M57" i="221"/>
  <c r="N148" i="218"/>
  <c r="N53" i="220"/>
  <c r="L142" i="219"/>
  <c r="P59" i="219"/>
  <c r="U142" i="222"/>
  <c r="R58" i="218"/>
  <c r="L148" i="219"/>
  <c r="K25" i="231"/>
  <c r="R86" i="218"/>
  <c r="R152" i="219"/>
  <c r="N58" i="221"/>
  <c r="P45" i="220"/>
  <c r="R52" i="222"/>
  <c r="O58" i="218"/>
  <c r="T61" i="221"/>
  <c r="M57" i="204"/>
  <c r="L46" i="221"/>
  <c r="T151" i="220"/>
  <c r="L45" i="222"/>
  <c r="F25" i="234"/>
  <c r="I25" i="234"/>
  <c r="M51" i="222"/>
  <c r="M59" i="204"/>
  <c r="V56" i="218"/>
  <c r="Q54" i="221"/>
  <c r="K51" i="222"/>
  <c r="Q57" i="220"/>
  <c r="K58" i="219"/>
  <c r="L25" i="236"/>
  <c r="R59" i="218"/>
  <c r="K57" i="204"/>
  <c r="T86" i="204"/>
  <c r="Q56" i="221"/>
  <c r="M147" i="218"/>
  <c r="N25" i="231"/>
  <c r="O152" i="219"/>
  <c r="L52" i="222"/>
  <c r="Q56" i="218"/>
  <c r="R61" i="204"/>
  <c r="K148" i="218"/>
  <c r="V86" i="219"/>
  <c r="S52" i="220"/>
  <c r="Q51" i="221"/>
  <c r="G25" i="236"/>
  <c r="S148" i="218"/>
  <c r="S147" i="220"/>
  <c r="K52" i="222"/>
  <c r="T58" i="204"/>
  <c r="K147" i="220"/>
  <c r="N86" i="218"/>
  <c r="P142" i="221"/>
  <c r="T147" i="219"/>
  <c r="L57" i="218"/>
  <c r="K57" i="221"/>
  <c r="S59" i="204"/>
  <c r="Q45" i="220"/>
  <c r="I25" i="232"/>
  <c r="P147" i="220"/>
  <c r="S148" i="204"/>
  <c r="S46" i="219"/>
  <c r="T148" i="219"/>
  <c r="P152" i="219"/>
  <c r="T45" i="219"/>
  <c r="Q60" i="221"/>
  <c r="U59" i="222"/>
  <c r="V151" i="218"/>
  <c r="O59" i="219"/>
  <c r="K46" i="220"/>
  <c r="U45" i="218"/>
  <c r="P53" i="218"/>
  <c r="O61" i="220"/>
  <c r="U51" i="219"/>
  <c r="R54" i="222"/>
  <c r="V59" i="221"/>
  <c r="T57" i="218"/>
  <c r="P25" i="235"/>
  <c r="U61" i="219"/>
  <c r="M51" i="221"/>
  <c r="Q47" i="221"/>
  <c r="Q47" i="206" s="1"/>
  <c r="O52" i="222"/>
  <c r="P61" i="222"/>
  <c r="T46" i="218"/>
  <c r="L57" i="204"/>
  <c r="Q152" i="219"/>
  <c r="T142" i="219"/>
  <c r="L87" i="219"/>
  <c r="L45" i="219"/>
  <c r="T61" i="222"/>
  <c r="U45" i="219"/>
  <c r="O51" i="219"/>
  <c r="R57" i="218"/>
  <c r="M51" i="218"/>
  <c r="V57" i="220"/>
  <c r="N147" i="219"/>
  <c r="M57" i="219"/>
  <c r="O86" i="219"/>
  <c r="S53" i="221"/>
  <c r="N51" i="218"/>
  <c r="P52" i="220"/>
  <c r="M53" i="221"/>
  <c r="T142" i="221"/>
  <c r="L58" i="222"/>
  <c r="S87" i="219"/>
  <c r="P25" i="234"/>
  <c r="L60" i="221"/>
  <c r="K25" i="233"/>
  <c r="S60" i="219"/>
  <c r="U148" i="204"/>
  <c r="M56" i="219"/>
  <c r="K56" i="218"/>
  <c r="S87" i="204"/>
  <c r="L142" i="221"/>
  <c r="N52" i="219"/>
  <c r="U60" i="219"/>
  <c r="P57" i="222"/>
  <c r="V148" i="204"/>
  <c r="S46" i="218"/>
  <c r="P58" i="220"/>
  <c r="E25" i="233"/>
  <c r="K56" i="219"/>
  <c r="Q61" i="221"/>
  <c r="V151" i="204"/>
  <c r="P57" i="218"/>
  <c r="Q45" i="219"/>
  <c r="P54" i="204"/>
  <c r="T61" i="204"/>
  <c r="U151" i="219"/>
  <c r="U61" i="222"/>
  <c r="V51" i="219"/>
  <c r="M54" i="204"/>
  <c r="U86" i="220"/>
  <c r="P152" i="221"/>
  <c r="K142" i="219"/>
  <c r="S86" i="219"/>
  <c r="V152" i="220"/>
  <c r="L52" i="218"/>
  <c r="S58" i="222"/>
  <c r="U46" i="204"/>
  <c r="K148" i="204"/>
  <c r="U86" i="204"/>
  <c r="N58" i="204"/>
  <c r="U152" i="220"/>
  <c r="S152" i="222"/>
  <c r="L45" i="221"/>
  <c r="O60" i="218"/>
  <c r="V56" i="219"/>
  <c r="T46" i="220"/>
  <c r="P59" i="218"/>
  <c r="V86" i="220"/>
  <c r="S148" i="220"/>
  <c r="M25" i="233"/>
  <c r="V56" i="204"/>
  <c r="N52" i="222"/>
  <c r="Q53" i="222"/>
  <c r="R58" i="204"/>
  <c r="T45" i="221"/>
  <c r="O61" i="219"/>
  <c r="P61" i="221"/>
  <c r="L61" i="218"/>
  <c r="P51" i="219"/>
  <c r="V61" i="204"/>
  <c r="R52" i="204"/>
  <c r="P151" i="220"/>
  <c r="L87" i="204"/>
  <c r="K87" i="218"/>
  <c r="Q60" i="218"/>
  <c r="U52" i="220"/>
  <c r="S152" i="221"/>
  <c r="L51" i="220"/>
  <c r="U46" i="220"/>
  <c r="T152" i="222"/>
  <c r="V54" i="218"/>
  <c r="S142" i="221"/>
  <c r="U54" i="221"/>
  <c r="N87" i="218"/>
  <c r="R58" i="222"/>
  <c r="V57" i="221"/>
  <c r="K52" i="219"/>
  <c r="N86" i="219"/>
  <c r="Q148" i="219"/>
  <c r="N60" i="204"/>
  <c r="T56" i="204"/>
  <c r="T52" i="218"/>
  <c r="J25" i="232"/>
  <c r="V152" i="222"/>
  <c r="L59" i="219"/>
  <c r="K87" i="204"/>
  <c r="U59" i="220"/>
  <c r="Q58" i="220"/>
  <c r="M25" i="235"/>
  <c r="R57" i="221"/>
  <c r="M46" i="221"/>
  <c r="T58" i="222"/>
  <c r="V45" i="219"/>
  <c r="Q60" i="204"/>
  <c r="V59" i="218"/>
  <c r="P59" i="221"/>
  <c r="O148" i="220"/>
  <c r="M142" i="221"/>
  <c r="O61" i="218"/>
  <c r="M46" i="204"/>
  <c r="N56" i="221"/>
  <c r="F25" i="232"/>
  <c r="O25" i="236"/>
  <c r="K152" i="221"/>
  <c r="P52" i="218"/>
  <c r="K53" i="220"/>
  <c r="L53" i="221"/>
  <c r="L59" i="204"/>
  <c r="S56" i="220"/>
  <c r="S56" i="204"/>
  <c r="M151" i="219"/>
  <c r="O61" i="222"/>
  <c r="R58" i="219"/>
  <c r="K25" i="235"/>
  <c r="O58" i="220"/>
  <c r="V61" i="221"/>
  <c r="L148" i="204"/>
  <c r="U58" i="220"/>
  <c r="O57" i="218"/>
  <c r="V45" i="220"/>
  <c r="N57" i="219"/>
  <c r="Q46" i="218"/>
  <c r="P25" i="233"/>
  <c r="O52" i="220"/>
  <c r="Q147" i="219"/>
  <c r="N142" i="221"/>
  <c r="N60" i="221"/>
  <c r="S142" i="220"/>
  <c r="S59" i="220"/>
  <c r="U53" i="222"/>
  <c r="K86" i="220"/>
  <c r="K56" i="222"/>
  <c r="L56" i="221"/>
  <c r="R147" i="218"/>
  <c r="V58" i="221"/>
  <c r="G25" i="231"/>
  <c r="L53" i="218"/>
  <c r="K53" i="204"/>
  <c r="V52" i="218"/>
  <c r="M142" i="222"/>
  <c r="U58" i="204"/>
  <c r="N57" i="218"/>
  <c r="N58" i="222"/>
  <c r="L60" i="218"/>
  <c r="L52" i="221"/>
  <c r="J25" i="236"/>
  <c r="K59" i="222"/>
  <c r="O152" i="222"/>
  <c r="P54" i="218"/>
  <c r="P61" i="204"/>
  <c r="L54" i="204"/>
  <c r="V142" i="222"/>
  <c r="M47" i="221"/>
  <c r="M47" i="206" s="1"/>
  <c r="K59" i="204"/>
  <c r="R58" i="221"/>
  <c r="Q45" i="204"/>
  <c r="S57" i="218"/>
  <c r="Q54" i="222"/>
  <c r="P58" i="221"/>
  <c r="S151" i="220"/>
  <c r="T61" i="219"/>
  <c r="R57" i="204"/>
  <c r="H25" i="234"/>
  <c r="V61" i="220"/>
  <c r="N45" i="204"/>
  <c r="L56" i="219"/>
  <c r="Q59" i="218"/>
  <c r="P56" i="222"/>
  <c r="S46" i="220"/>
  <c r="S58" i="221"/>
  <c r="N148" i="219"/>
  <c r="S51" i="222"/>
  <c r="R87" i="204"/>
  <c r="K61" i="220"/>
  <c r="J25" i="233"/>
  <c r="G25" i="233"/>
  <c r="M57" i="220"/>
  <c r="L51" i="204"/>
  <c r="S52" i="219"/>
  <c r="P148" i="219"/>
  <c r="P61" i="218"/>
  <c r="P54" i="219"/>
  <c r="S51" i="221"/>
  <c r="L56" i="218"/>
  <c r="V45" i="218"/>
  <c r="L87" i="218"/>
  <c r="K46" i="222"/>
  <c r="U61" i="204"/>
  <c r="O56" i="219"/>
  <c r="N59" i="222"/>
  <c r="U51" i="222"/>
  <c r="V142" i="219"/>
  <c r="U46" i="218"/>
  <c r="M45" i="220"/>
  <c r="H25" i="235"/>
  <c r="V60" i="219"/>
  <c r="N87" i="204"/>
  <c r="S52" i="204"/>
  <c r="T51" i="220"/>
  <c r="O86" i="218"/>
  <c r="N142" i="219"/>
  <c r="Q52" i="222"/>
  <c r="M87" i="220"/>
  <c r="H25" i="236"/>
  <c r="R46" i="218"/>
  <c r="P51" i="222"/>
  <c r="P151" i="204"/>
  <c r="K54" i="222"/>
  <c r="O87" i="218"/>
  <c r="K45" i="220"/>
  <c r="R46" i="222"/>
  <c r="U51" i="220"/>
  <c r="L87" i="220"/>
  <c r="U147" i="220"/>
  <c r="M46" i="220"/>
  <c r="Q58" i="218"/>
  <c r="P53" i="221"/>
  <c r="I25" i="235"/>
  <c r="S61" i="218"/>
  <c r="L61" i="221"/>
  <c r="O52" i="218"/>
  <c r="Q54" i="204"/>
  <c r="S53" i="222"/>
  <c r="O58" i="204"/>
  <c r="T148" i="204"/>
  <c r="V60" i="218"/>
  <c r="L151" i="220"/>
  <c r="X185" i="204"/>
  <c r="N151" i="220"/>
  <c r="G25" i="235"/>
  <c r="O56" i="204"/>
  <c r="O45" i="221"/>
  <c r="Q86" i="218"/>
  <c r="V60" i="222"/>
  <c r="R148" i="220"/>
  <c r="M25" i="236"/>
  <c r="P151" i="218"/>
  <c r="M56" i="204"/>
  <c r="L147" i="220"/>
  <c r="R46" i="219"/>
  <c r="U58" i="218"/>
  <c r="Q61" i="204"/>
  <c r="L54" i="220"/>
  <c r="Q59" i="220"/>
  <c r="T60" i="204"/>
  <c r="O57" i="220"/>
  <c r="U45" i="204"/>
  <c r="R52" i="221"/>
  <c r="Q148" i="204"/>
  <c r="Q148" i="206" s="1"/>
  <c r="V46" i="221"/>
  <c r="U54" i="204"/>
  <c r="K152" i="219"/>
  <c r="V56" i="222"/>
  <c r="R51" i="218"/>
  <c r="N54" i="222"/>
  <c r="M142" i="219"/>
  <c r="P151" i="219"/>
  <c r="L147" i="219"/>
  <c r="M59" i="221"/>
  <c r="T51" i="222"/>
  <c r="U59" i="219"/>
  <c r="S148" i="219"/>
  <c r="P148" i="204"/>
  <c r="P53" i="220"/>
  <c r="L152" i="220"/>
  <c r="K57" i="222"/>
  <c r="S59" i="221"/>
  <c r="N56" i="220"/>
  <c r="M61" i="222"/>
  <c r="R54" i="221"/>
  <c r="P46" i="219"/>
  <c r="M147" i="220"/>
  <c r="M147" i="219"/>
  <c r="T45" i="218"/>
  <c r="O147" i="219"/>
  <c r="M61" i="218"/>
  <c r="K53" i="222"/>
  <c r="T53" i="221"/>
  <c r="M58" i="204"/>
  <c r="R60" i="204"/>
  <c r="V53" i="221"/>
  <c r="U152" i="221"/>
  <c r="M53" i="222"/>
  <c r="T51" i="204"/>
  <c r="N25" i="235"/>
  <c r="S61" i="220"/>
  <c r="U151" i="220"/>
  <c r="H25" i="232"/>
  <c r="V52" i="220"/>
  <c r="R56" i="204"/>
  <c r="T59" i="221"/>
  <c r="R151" i="218"/>
  <c r="U53" i="218"/>
  <c r="K46" i="204"/>
  <c r="P51" i="221"/>
  <c r="U86" i="218"/>
  <c r="P59" i="220"/>
  <c r="T59" i="218"/>
  <c r="Q152" i="221"/>
  <c r="M152" i="222"/>
  <c r="P47" i="221"/>
  <c r="P47" i="206" s="1"/>
  <c r="P57" i="219"/>
  <c r="L86" i="204"/>
  <c r="K142" i="220"/>
  <c r="U46" i="222"/>
  <c r="O151" i="218"/>
  <c r="S61" i="219"/>
  <c r="U52" i="204"/>
  <c r="R60" i="218"/>
  <c r="N152" i="219"/>
  <c r="K25" i="234"/>
  <c r="O54" i="219"/>
  <c r="T46" i="204"/>
  <c r="N142" i="222"/>
  <c r="S54" i="222"/>
  <c r="H25" i="231"/>
  <c r="M56" i="218"/>
  <c r="T87" i="204"/>
  <c r="L58" i="220"/>
  <c r="O142" i="220"/>
  <c r="V45" i="204"/>
  <c r="O56" i="222"/>
  <c r="Q51" i="220"/>
  <c r="P52" i="219"/>
  <c r="S45" i="219"/>
  <c r="L151" i="218"/>
  <c r="T58" i="221"/>
  <c r="T60" i="219"/>
  <c r="N45" i="221"/>
  <c r="N61" i="218"/>
  <c r="L56" i="204"/>
  <c r="K60" i="221"/>
  <c r="S57" i="222"/>
  <c r="T53" i="220"/>
  <c r="Q142" i="219"/>
  <c r="R148" i="204"/>
  <c r="R152" i="221"/>
  <c r="T52" i="219"/>
  <c r="V142" i="221"/>
  <c r="N61" i="221"/>
  <c r="V51" i="220"/>
  <c r="K25" i="232"/>
  <c r="U86" i="219"/>
  <c r="P45" i="218"/>
  <c r="L61" i="219"/>
  <c r="K148" i="220"/>
  <c r="R60" i="221"/>
  <c r="O142" i="221"/>
  <c r="P54" i="221"/>
  <c r="I25" i="231"/>
  <c r="V52" i="222"/>
  <c r="U54" i="218"/>
  <c r="K57" i="219"/>
  <c r="L45" i="218"/>
  <c r="P60" i="221"/>
  <c r="T142" i="222"/>
  <c r="T52" i="222"/>
  <c r="V59" i="219"/>
  <c r="T87" i="219"/>
  <c r="T57" i="219"/>
  <c r="P57" i="204"/>
  <c r="P57" i="206" s="1"/>
  <c r="S57" i="221"/>
  <c r="O87" i="204"/>
  <c r="E25" i="232"/>
  <c r="N52" i="204"/>
  <c r="P142" i="219"/>
  <c r="P46" i="220"/>
  <c r="N152" i="221"/>
  <c r="S57" i="204"/>
  <c r="L47" i="221"/>
  <c r="L47" i="206" s="1"/>
  <c r="U58" i="221"/>
  <c r="T58" i="218"/>
  <c r="N46" i="221"/>
  <c r="U52" i="218"/>
  <c r="M25" i="232"/>
  <c r="S52" i="222"/>
  <c r="Q57" i="222"/>
  <c r="N25" i="233"/>
  <c r="R142" i="222"/>
  <c r="Q54" i="220"/>
  <c r="N51" i="220"/>
  <c r="O54" i="221"/>
  <c r="N57" i="221"/>
  <c r="V52" i="219"/>
  <c r="R59" i="220"/>
  <c r="Q60" i="222"/>
  <c r="V46" i="204"/>
  <c r="T86" i="219"/>
  <c r="E25" i="231"/>
  <c r="O45" i="218"/>
  <c r="M46" i="218"/>
  <c r="U57" i="221"/>
  <c r="Q54" i="219"/>
  <c r="L54" i="222"/>
  <c r="R46" i="220"/>
  <c r="V61" i="222"/>
  <c r="U45" i="220"/>
  <c r="E25" i="236"/>
  <c r="R61" i="220"/>
  <c r="M25" i="234"/>
  <c r="S87" i="220"/>
  <c r="K53" i="221"/>
  <c r="N86" i="204"/>
  <c r="N86" i="206" s="1"/>
  <c r="K142" i="222"/>
  <c r="P86" i="220"/>
  <c r="I25" i="236"/>
  <c r="S54" i="221"/>
  <c r="K56" i="221"/>
  <c r="S86" i="218"/>
  <c r="T147" i="220"/>
  <c r="R45" i="218"/>
  <c r="K54" i="219"/>
  <c r="Q59" i="221"/>
  <c r="K54" i="204"/>
  <c r="Q87" i="218"/>
  <c r="R52" i="220"/>
  <c r="O147" i="220"/>
  <c r="M86" i="204"/>
  <c r="N45" i="218"/>
  <c r="M148" i="220"/>
  <c r="O61" i="221"/>
  <c r="M53" i="220"/>
  <c r="S54" i="204"/>
  <c r="P60" i="218"/>
  <c r="O54" i="222"/>
  <c r="S58" i="220"/>
  <c r="Q46" i="221"/>
  <c r="M61" i="220"/>
  <c r="M59" i="219"/>
  <c r="O25" i="235"/>
  <c r="T86" i="218"/>
  <c r="N45" i="220"/>
  <c r="R86" i="219"/>
  <c r="K152" i="220"/>
  <c r="P53" i="222"/>
  <c r="P60" i="219"/>
  <c r="V151" i="220"/>
  <c r="V53" i="222"/>
  <c r="V57" i="218"/>
  <c r="M53" i="219"/>
  <c r="O61" i="204"/>
  <c r="V46" i="222"/>
  <c r="M45" i="204"/>
  <c r="O151" i="204"/>
  <c r="U87" i="219"/>
  <c r="L59" i="218"/>
  <c r="P52" i="204"/>
  <c r="P51" i="218"/>
  <c r="N59" i="221"/>
  <c r="S45" i="218"/>
  <c r="M53" i="218"/>
  <c r="Q52" i="220"/>
  <c r="S45" i="222"/>
  <c r="V87" i="204"/>
  <c r="M148" i="219"/>
  <c r="P86" i="218"/>
  <c r="M52" i="218"/>
  <c r="K59" i="220"/>
  <c r="L52" i="204"/>
  <c r="O54" i="220"/>
  <c r="S60" i="204"/>
  <c r="V60" i="204"/>
  <c r="S58" i="218"/>
  <c r="M56" i="220"/>
  <c r="R60" i="219"/>
  <c r="P148" i="218"/>
  <c r="O46" i="221"/>
  <c r="L46" i="222"/>
  <c r="S51" i="220"/>
  <c r="P53" i="219"/>
  <c r="K52" i="218"/>
  <c r="M51" i="219"/>
  <c r="T45" i="220"/>
  <c r="R54" i="220"/>
  <c r="N51" i="221"/>
  <c r="M58" i="219"/>
  <c r="N58" i="220"/>
  <c r="V53" i="218"/>
  <c r="L45" i="204"/>
  <c r="K54" i="218"/>
  <c r="T51" i="219"/>
  <c r="L54" i="221"/>
  <c r="R51" i="204"/>
  <c r="O57" i="222"/>
  <c r="U57" i="218"/>
  <c r="N60" i="222"/>
  <c r="K51" i="220"/>
  <c r="M151" i="218"/>
  <c r="N151" i="218"/>
  <c r="U87" i="204"/>
  <c r="U57" i="222"/>
  <c r="T53" i="218"/>
  <c r="N46" i="218"/>
  <c r="P87" i="220"/>
  <c r="U56" i="220"/>
  <c r="P58" i="204"/>
  <c r="O25" i="232"/>
  <c r="R53" i="219"/>
  <c r="U53" i="221"/>
  <c r="M152" i="220"/>
  <c r="V58" i="222"/>
  <c r="O59" i="204"/>
  <c r="M86" i="218"/>
  <c r="P58" i="219"/>
  <c r="O60" i="222"/>
  <c r="K60" i="222"/>
  <c r="R87" i="218"/>
  <c r="N61" i="220"/>
  <c r="K58" i="220"/>
  <c r="O45" i="204"/>
  <c r="P56" i="221"/>
  <c r="U58" i="222"/>
  <c r="T60" i="222"/>
  <c r="T51" i="221"/>
  <c r="P45" i="204"/>
  <c r="O52" i="204"/>
  <c r="O59" i="221"/>
  <c r="V87" i="219"/>
  <c r="N61" i="222"/>
  <c r="P46" i="218"/>
  <c r="G25" i="232"/>
  <c r="T152" i="221"/>
  <c r="T60" i="221"/>
  <c r="N54" i="219"/>
  <c r="N60" i="218"/>
  <c r="S58" i="204"/>
  <c r="S53" i="219"/>
  <c r="P45" i="222"/>
  <c r="S60" i="221"/>
  <c r="E25" i="235"/>
  <c r="V87" i="220"/>
  <c r="K56" i="204"/>
  <c r="L25" i="232"/>
  <c r="J25" i="231"/>
  <c r="L60" i="219"/>
  <c r="U148" i="218"/>
  <c r="K46" i="218"/>
  <c r="O46" i="204"/>
  <c r="U47" i="221"/>
  <c r="U47" i="206" s="1"/>
  <c r="U142" i="220"/>
  <c r="U147" i="218"/>
  <c r="P45" i="219"/>
  <c r="V46" i="219"/>
  <c r="N87" i="219"/>
  <c r="N56" i="218"/>
  <c r="R53" i="204"/>
  <c r="P86" i="204"/>
  <c r="R152" i="222"/>
  <c r="N151" i="204"/>
  <c r="R59" i="221"/>
  <c r="L86" i="219"/>
  <c r="Q58" i="221"/>
  <c r="T59" i="204"/>
  <c r="M61" i="204"/>
  <c r="L53" i="220"/>
  <c r="F25" i="231"/>
  <c r="U45" i="221"/>
  <c r="T86" i="220"/>
  <c r="N25" i="236"/>
  <c r="H207" i="220"/>
  <c r="E207" i="220"/>
  <c r="H207" i="206"/>
  <c r="E207" i="206"/>
  <c r="I21" i="230"/>
  <c r="D86" i="243"/>
  <c r="D103" i="243" s="1"/>
  <c r="S55" i="177"/>
  <c r="S56" i="177" s="1"/>
  <c r="T45" i="177"/>
  <c r="T58" i="177" s="1"/>
  <c r="T35" i="177"/>
  <c r="U8" i="177"/>
  <c r="U52" i="177"/>
  <c r="U65" i="177" s="1"/>
  <c r="U54" i="177"/>
  <c r="U67" i="177" s="1"/>
  <c r="U50" i="177"/>
  <c r="U63" i="177" s="1"/>
  <c r="U49" i="177"/>
  <c r="U62" i="177" s="1"/>
  <c r="U53" i="177"/>
  <c r="U66" i="177" s="1"/>
  <c r="T51" i="177"/>
  <c r="T64" i="177" s="1"/>
  <c r="T68" i="177" s="1"/>
  <c r="U11" i="177"/>
  <c r="Q17" i="220"/>
  <c r="Q17" i="206" s="1"/>
  <c r="Q16" i="220"/>
  <c r="Q16" i="206" s="1"/>
  <c r="Q15" i="220"/>
  <c r="D85" i="243"/>
  <c r="D102" i="243" s="1"/>
  <c r="S38" i="177"/>
  <c r="AF18" i="159" s="1"/>
  <c r="N97" i="240"/>
  <c r="O97" i="240" s="1"/>
  <c r="O101" i="240" s="1"/>
  <c r="S69" i="177"/>
  <c r="Q75" i="177" s="1"/>
  <c r="R23" i="177"/>
  <c r="Q24" i="177"/>
  <c r="F42" i="174"/>
  <c r="A43" i="174"/>
  <c r="E42" i="174"/>
  <c r="E126" i="174" s="1"/>
  <c r="K94" i="248"/>
  <c r="M94" i="248"/>
  <c r="N94" i="248" s="1"/>
  <c r="M71" i="248"/>
  <c r="K71" i="248"/>
  <c r="O105" i="240"/>
  <c r="H88" i="240"/>
  <c r="L31" i="177"/>
  <c r="M30" i="177" s="1"/>
  <c r="AR311" i="217"/>
  <c r="AR275" i="217"/>
  <c r="AS64" i="217"/>
  <c r="AT30" i="217"/>
  <c r="AS99" i="217"/>
  <c r="AS239" i="217"/>
  <c r="AS169" i="217"/>
  <c r="AS134" i="217"/>
  <c r="AP329" i="217"/>
  <c r="AP326" i="217"/>
  <c r="AP291" i="217"/>
  <c r="AP293" i="217"/>
  <c r="AR233" i="217"/>
  <c r="AR128" i="217"/>
  <c r="AR163" i="217"/>
  <c r="AR58" i="217"/>
  <c r="AR46" i="217"/>
  <c r="AR93" i="217"/>
  <c r="AR44" i="217"/>
  <c r="AS24" i="217"/>
  <c r="AQ150" i="217"/>
  <c r="AQ151" i="217"/>
  <c r="AQ114" i="217"/>
  <c r="AQ116" i="217"/>
  <c r="AQ184" i="217"/>
  <c r="AQ186" i="217"/>
  <c r="AQ257" i="217"/>
  <c r="AQ255" i="217"/>
  <c r="AQ305" i="217"/>
  <c r="AQ81" i="217"/>
  <c r="AQ269" i="217"/>
  <c r="AQ80" i="217"/>
  <c r="AT319" i="217"/>
  <c r="AT317" i="217"/>
  <c r="AT316" i="217"/>
  <c r="AT318" i="217"/>
  <c r="AT315" i="217"/>
  <c r="AT314" i="217"/>
  <c r="AS306" i="217"/>
  <c r="AT312" i="217"/>
  <c r="AT308" i="217"/>
  <c r="AT307" i="217"/>
  <c r="AR327" i="217"/>
  <c r="AS301" i="217"/>
  <c r="AT283" i="217"/>
  <c r="AU142" i="217"/>
  <c r="AV142" i="217" s="1"/>
  <c r="AU177" i="217"/>
  <c r="AV177" i="217" s="1"/>
  <c r="AU72" i="217"/>
  <c r="AU247" i="217"/>
  <c r="AV247" i="217" s="1"/>
  <c r="AT282" i="217"/>
  <c r="AU71" i="217"/>
  <c r="AU141" i="217"/>
  <c r="AV141" i="217" s="1"/>
  <c r="AU246" i="217"/>
  <c r="AV246" i="217" s="1"/>
  <c r="AU106" i="217"/>
  <c r="AV106" i="217" s="1"/>
  <c r="AU176" i="217"/>
  <c r="AV176" i="217" s="1"/>
  <c r="AT281" i="217"/>
  <c r="AU175" i="217"/>
  <c r="AV175" i="217" s="1"/>
  <c r="AU105" i="217"/>
  <c r="AV105" i="217" s="1"/>
  <c r="AU140" i="217"/>
  <c r="AV140" i="217" s="1"/>
  <c r="AU70" i="217"/>
  <c r="AU245" i="217"/>
  <c r="AV245" i="217" s="1"/>
  <c r="AT280" i="217"/>
  <c r="AU244" i="217"/>
  <c r="AV244" i="217" s="1"/>
  <c r="AU174" i="217"/>
  <c r="AV174" i="217" s="1"/>
  <c r="AU69" i="217"/>
  <c r="AU104" i="217"/>
  <c r="AV104" i="217" s="1"/>
  <c r="AU139" i="217"/>
  <c r="AV139" i="217" s="1"/>
  <c r="AT279" i="217"/>
  <c r="AU138" i="217"/>
  <c r="AV138" i="217" s="1"/>
  <c r="AU68" i="217"/>
  <c r="AU103" i="217"/>
  <c r="AV103" i="217" s="1"/>
  <c r="AU243" i="217"/>
  <c r="AV243" i="217" s="1"/>
  <c r="AU173" i="217"/>
  <c r="AV173" i="217" s="1"/>
  <c r="AU67" i="217"/>
  <c r="AV67" i="217" s="1"/>
  <c r="AU172" i="217"/>
  <c r="AV172" i="217" s="1"/>
  <c r="AU137" i="217"/>
  <c r="AV137" i="217" s="1"/>
  <c r="AU242" i="217"/>
  <c r="AV242" i="217" s="1"/>
  <c r="AU102" i="217"/>
  <c r="AV102" i="217" s="1"/>
  <c r="AT278" i="217"/>
  <c r="AU65" i="217"/>
  <c r="AU170" i="217"/>
  <c r="AV170" i="217" s="1"/>
  <c r="AU100" i="217"/>
  <c r="AV100" i="217" s="1"/>
  <c r="AU135" i="217"/>
  <c r="AV135" i="217" s="1"/>
  <c r="AU240" i="217"/>
  <c r="AV240" i="217" s="1"/>
  <c r="AU237" i="217"/>
  <c r="AV237" i="217" s="1"/>
  <c r="AU62" i="217"/>
  <c r="AV62" i="217" s="1"/>
  <c r="AU97" i="217"/>
  <c r="AV97" i="217" s="1"/>
  <c r="AU132" i="217"/>
  <c r="AV132" i="217" s="1"/>
  <c r="AU167" i="217"/>
  <c r="AV167" i="217" s="1"/>
  <c r="AT272" i="217"/>
  <c r="AU96" i="217"/>
  <c r="AV96" i="217" s="1"/>
  <c r="AU236" i="217"/>
  <c r="AV236" i="217" s="1"/>
  <c r="AU131" i="217"/>
  <c r="AV131" i="217" s="1"/>
  <c r="AU61" i="217"/>
  <c r="AU166" i="217"/>
  <c r="AV166" i="217" s="1"/>
  <c r="AU60" i="217"/>
  <c r="AV60" i="217" s="1"/>
  <c r="AU130" i="217"/>
  <c r="AV130" i="217" s="1"/>
  <c r="AU165" i="217"/>
  <c r="AV165" i="217" s="1"/>
  <c r="AU235" i="217"/>
  <c r="AV235" i="217" s="1"/>
  <c r="AU95" i="217"/>
  <c r="AV95" i="217" s="1"/>
  <c r="AT271" i="217"/>
  <c r="AT276" i="217"/>
  <c r="AT273" i="217"/>
  <c r="AS302" i="217"/>
  <c r="AS300" i="217"/>
  <c r="AU299" i="217"/>
  <c r="AV299" i="217" s="1"/>
  <c r="AT309" i="217"/>
  <c r="AS304" i="217"/>
  <c r="AS149" i="217"/>
  <c r="AU25" i="217"/>
  <c r="AV25" i="217" s="1"/>
  <c r="AT94" i="217"/>
  <c r="AT129" i="217"/>
  <c r="AT234" i="217"/>
  <c r="AT59" i="217"/>
  <c r="AT164" i="217"/>
  <c r="AS270" i="217"/>
  <c r="AU23" i="217"/>
  <c r="AV23" i="217" s="1"/>
  <c r="AT92" i="217"/>
  <c r="AT162" i="217"/>
  <c r="AT57" i="217"/>
  <c r="AT127" i="217"/>
  <c r="AT232" i="217"/>
  <c r="AS268" i="217"/>
  <c r="AU21" i="217"/>
  <c r="AV21" i="217" s="1"/>
  <c r="AT90" i="217"/>
  <c r="AT125" i="217"/>
  <c r="AT230" i="217"/>
  <c r="AT55" i="217"/>
  <c r="AT160" i="217"/>
  <c r="AU20" i="217"/>
  <c r="AV20" i="217" s="1"/>
  <c r="AT54" i="217"/>
  <c r="AT124" i="217"/>
  <c r="AT89" i="217"/>
  <c r="AT159" i="217"/>
  <c r="AT229" i="217"/>
  <c r="AU19" i="217"/>
  <c r="AV19" i="217" s="1"/>
  <c r="AT53" i="217"/>
  <c r="AT123" i="217"/>
  <c r="AT88" i="217"/>
  <c r="AT158" i="217"/>
  <c r="AT228" i="217"/>
  <c r="AS264" i="217"/>
  <c r="AV52" i="217"/>
  <c r="AU263" i="217"/>
  <c r="AV263" i="217" s="1"/>
  <c r="AS266" i="217"/>
  <c r="AS265" i="217"/>
  <c r="AS303" i="217"/>
  <c r="AS185" i="217"/>
  <c r="AS256" i="217"/>
  <c r="AT45" i="217"/>
  <c r="AU22" i="217"/>
  <c r="AV22" i="217" s="1"/>
  <c r="AT91" i="217"/>
  <c r="AT56" i="217"/>
  <c r="AT126" i="217"/>
  <c r="AT161" i="217"/>
  <c r="AT231" i="217"/>
  <c r="AS79" i="217"/>
  <c r="AS267" i="217"/>
  <c r="AR292" i="217"/>
  <c r="AS115" i="217"/>
  <c r="AU32" i="217"/>
  <c r="AT313" i="217"/>
  <c r="AT310" i="217"/>
  <c r="F79" i="248"/>
  <c r="N33" i="177"/>
  <c r="N28" i="177"/>
  <c r="G109" i="248" s="1"/>
  <c r="D114" i="243" l="1"/>
  <c r="D134" i="243" s="1"/>
  <c r="L87" i="206"/>
  <c r="Q9" i="206"/>
  <c r="Q12" i="206" s="1"/>
  <c r="U105" i="218"/>
  <c r="U105" i="206" s="1"/>
  <c r="BP60" i="250"/>
  <c r="BN24" i="250"/>
  <c r="BO23" i="250"/>
  <c r="BN26" i="250"/>
  <c r="BN27" i="250" s="1"/>
  <c r="BN32" i="250"/>
  <c r="BN33" i="250" s="1"/>
  <c r="BN28" i="250"/>
  <c r="BN29" i="250" s="1"/>
  <c r="BN30" i="250"/>
  <c r="BN31" i="250" s="1"/>
  <c r="BO40" i="250"/>
  <c r="BO43" i="250" s="1"/>
  <c r="BO38" i="250"/>
  <c r="BP11" i="250"/>
  <c r="BO51" i="250"/>
  <c r="BO64" i="250" s="1"/>
  <c r="BO68" i="250" s="1"/>
  <c r="BO69" i="250" s="1"/>
  <c r="BP35" i="250"/>
  <c r="BQ8" i="250"/>
  <c r="BP45" i="250"/>
  <c r="BN55" i="250"/>
  <c r="BN56" i="250" s="1"/>
  <c r="BP53" i="250"/>
  <c r="BP66" i="250" s="1"/>
  <c r="BP50" i="250"/>
  <c r="BP63" i="250" s="1"/>
  <c r="BP54" i="250"/>
  <c r="BP67" i="250" s="1"/>
  <c r="BP52" i="250"/>
  <c r="BP65" i="250" s="1"/>
  <c r="BP49" i="250"/>
  <c r="BP62" i="250" s="1"/>
  <c r="BQ10" i="250" a="1"/>
  <c r="BQ10" i="250" s="1"/>
  <c r="BQ47" i="250" s="1"/>
  <c r="AU60" i="177"/>
  <c r="K12" i="235"/>
  <c r="AU49" i="177"/>
  <c r="AU62" i="177" s="1"/>
  <c r="AV10" i="177" a="1"/>
  <c r="AV10" i="177" s="1"/>
  <c r="AU54" i="177"/>
  <c r="AU67" i="177" s="1"/>
  <c r="AU52" i="177"/>
  <c r="AU65" i="177" s="1"/>
  <c r="AU53" i="177"/>
  <c r="AU66" i="177" s="1"/>
  <c r="AU50" i="177"/>
  <c r="AU63" i="177" s="1"/>
  <c r="AT60" i="177"/>
  <c r="T60" i="206"/>
  <c r="V151" i="206"/>
  <c r="O60" i="206"/>
  <c r="U60" i="206"/>
  <c r="T59" i="206"/>
  <c r="N57" i="206"/>
  <c r="U87" i="206"/>
  <c r="V60" i="206"/>
  <c r="O52" i="206"/>
  <c r="Q54" i="206"/>
  <c r="R58" i="206"/>
  <c r="N58" i="206"/>
  <c r="L151" i="206"/>
  <c r="M53" i="206"/>
  <c r="O51" i="206"/>
  <c r="AU321" i="217"/>
  <c r="AV321" i="217" s="1"/>
  <c r="AT320" i="217"/>
  <c r="AU178" i="217"/>
  <c r="AV178" i="217" s="1"/>
  <c r="AU248" i="217"/>
  <c r="AV248" i="217" s="1"/>
  <c r="AU73" i="217"/>
  <c r="AV73" i="217" s="1"/>
  <c r="AU108" i="217"/>
  <c r="AV108" i="217" s="1"/>
  <c r="AU143" i="217"/>
  <c r="AV143" i="217" s="1"/>
  <c r="AV39" i="217"/>
  <c r="U97" i="218"/>
  <c r="U97" i="206" s="1"/>
  <c r="N56" i="206"/>
  <c r="Q58" i="206"/>
  <c r="T57" i="206"/>
  <c r="R46" i="206"/>
  <c r="V87" i="206"/>
  <c r="R52" i="206"/>
  <c r="P46" i="206"/>
  <c r="L61" i="206"/>
  <c r="O61" i="206"/>
  <c r="O56" i="206"/>
  <c r="O26" i="231"/>
  <c r="U93" i="218"/>
  <c r="U93" i="206" s="1"/>
  <c r="T93" i="218"/>
  <c r="T93" i="206" s="1"/>
  <c r="M105" i="218"/>
  <c r="M105" i="206" s="1"/>
  <c r="Q101" i="218"/>
  <c r="Q101" i="206" s="1"/>
  <c r="R93" i="218"/>
  <c r="R93" i="206" s="1"/>
  <c r="U101" i="218"/>
  <c r="U101" i="206" s="1"/>
  <c r="P105" i="218"/>
  <c r="P105" i="206" s="1"/>
  <c r="M97" i="218"/>
  <c r="M97" i="206" s="1"/>
  <c r="S93" i="218"/>
  <c r="S93" i="206" s="1"/>
  <c r="L101" i="218"/>
  <c r="L101" i="206" s="1"/>
  <c r="P93" i="218"/>
  <c r="P93" i="206" s="1"/>
  <c r="R101" i="218"/>
  <c r="R101" i="206" s="1"/>
  <c r="M93" i="218"/>
  <c r="M93" i="206" s="1"/>
  <c r="T105" i="218"/>
  <c r="T105" i="206" s="1"/>
  <c r="S105" i="218"/>
  <c r="S105" i="206" s="1"/>
  <c r="O105" i="218"/>
  <c r="O105" i="206" s="1"/>
  <c r="T101" i="218"/>
  <c r="T101" i="206" s="1"/>
  <c r="O97" i="218"/>
  <c r="O97" i="206" s="1"/>
  <c r="O93" i="218"/>
  <c r="O93" i="206" s="1"/>
  <c r="O26" i="230"/>
  <c r="N97" i="218"/>
  <c r="N97" i="206" s="1"/>
  <c r="S101" i="218"/>
  <c r="S101" i="206" s="1"/>
  <c r="S97" i="218"/>
  <c r="S97" i="206" s="1"/>
  <c r="R105" i="218"/>
  <c r="R105" i="206" s="1"/>
  <c r="N105" i="218"/>
  <c r="N105" i="206" s="1"/>
  <c r="P26" i="230"/>
  <c r="V97" i="218"/>
  <c r="V97" i="206" s="1"/>
  <c r="V93" i="218"/>
  <c r="V93" i="206" s="1"/>
  <c r="K26" i="230"/>
  <c r="D52" i="219"/>
  <c r="F52" i="219" s="1"/>
  <c r="N54" i="198"/>
  <c r="O54" i="198" s="1"/>
  <c r="G52" i="219"/>
  <c r="I52" i="219" s="1"/>
  <c r="AR54" i="198"/>
  <c r="AS54" i="198" s="1"/>
  <c r="AR154" i="198"/>
  <c r="AS154" i="198" s="1"/>
  <c r="AR173" i="198"/>
  <c r="AS173" i="198" s="1"/>
  <c r="G61" i="219"/>
  <c r="I61" i="219" s="1"/>
  <c r="AR63" i="198"/>
  <c r="AS63" i="198" s="1"/>
  <c r="AR194" i="198"/>
  <c r="AS194" i="198" s="1"/>
  <c r="N194" i="198"/>
  <c r="O194" i="198" s="1"/>
  <c r="N63" i="198"/>
  <c r="O63" i="198" s="1"/>
  <c r="AR128" i="198"/>
  <c r="AS128" i="198" s="1"/>
  <c r="D61" i="219"/>
  <c r="F61" i="219" s="1"/>
  <c r="N128" i="198"/>
  <c r="O128" i="198" s="1"/>
  <c r="W61" i="219"/>
  <c r="AR93" i="198"/>
  <c r="AS93" i="198" s="1"/>
  <c r="N173" i="198"/>
  <c r="O173" i="198" s="1"/>
  <c r="AR182" i="198"/>
  <c r="AS182" i="198" s="1"/>
  <c r="AR76" i="198"/>
  <c r="AS76" i="198" s="1"/>
  <c r="N154" i="198"/>
  <c r="O154" i="198" s="1"/>
  <c r="N182" i="198"/>
  <c r="O182" i="198" s="1"/>
  <c r="N93" i="198"/>
  <c r="O93" i="198" s="1"/>
  <c r="N76" i="198"/>
  <c r="O76" i="198" s="1"/>
  <c r="U61" i="206"/>
  <c r="G56" i="222"/>
  <c r="I56" i="222" s="1"/>
  <c r="AC58" i="198"/>
  <c r="AD58" i="198" s="1"/>
  <c r="BG58" i="198"/>
  <c r="BH58" i="198" s="1"/>
  <c r="D56" i="222"/>
  <c r="F56" i="222" s="1"/>
  <c r="R53" i="206"/>
  <c r="D58" i="198"/>
  <c r="E58" i="198" s="1"/>
  <c r="D56" i="204"/>
  <c r="F56" i="204" s="1"/>
  <c r="G56" i="204"/>
  <c r="I56" i="204" s="1"/>
  <c r="AH58" i="198"/>
  <c r="AI58" i="198" s="1"/>
  <c r="W56" i="204"/>
  <c r="S60" i="206"/>
  <c r="P52" i="206"/>
  <c r="V45" i="206"/>
  <c r="U54" i="206"/>
  <c r="M57" i="206"/>
  <c r="AM59" i="198"/>
  <c r="AN59" i="198" s="1"/>
  <c r="D57" i="218"/>
  <c r="F57" i="218" s="1"/>
  <c r="I59" i="198"/>
  <c r="J59" i="198" s="1"/>
  <c r="W57" i="218"/>
  <c r="G57" i="218"/>
  <c r="I57" i="218" s="1"/>
  <c r="G45" i="221"/>
  <c r="I45" i="221" s="1"/>
  <c r="W45" i="221"/>
  <c r="X47" i="198"/>
  <c r="Y47" i="198" s="1"/>
  <c r="BB47" i="198"/>
  <c r="BC47" i="198" s="1"/>
  <c r="D45" i="221"/>
  <c r="F45" i="221" s="1"/>
  <c r="D59" i="219"/>
  <c r="F59" i="219" s="1"/>
  <c r="AR61" i="198"/>
  <c r="AS61" i="198" s="1"/>
  <c r="N61" i="198"/>
  <c r="O61" i="198" s="1"/>
  <c r="G59" i="219"/>
  <c r="I59" i="219" s="1"/>
  <c r="O57" i="206"/>
  <c r="J25" i="230"/>
  <c r="G45" i="204"/>
  <c r="I45" i="204" s="1"/>
  <c r="D45" i="204"/>
  <c r="F45" i="204" s="1"/>
  <c r="D47" i="198"/>
  <c r="E47" i="198" s="1"/>
  <c r="AH47" i="198"/>
  <c r="AI47" i="198" s="1"/>
  <c r="V59" i="206"/>
  <c r="G98" i="218"/>
  <c r="I98" i="218" s="1"/>
  <c r="D98" i="218"/>
  <c r="F98" i="218" s="1"/>
  <c r="K97" i="218"/>
  <c r="AM100" i="198"/>
  <c r="AN100" i="198" s="1"/>
  <c r="I100" i="198"/>
  <c r="J100" i="198" s="1"/>
  <c r="W98" i="218"/>
  <c r="M26" i="230"/>
  <c r="D142" i="222"/>
  <c r="F142" i="222" s="1"/>
  <c r="G142" i="222"/>
  <c r="I142" i="222" s="1"/>
  <c r="AC144" i="198"/>
  <c r="AD144" i="198" s="1"/>
  <c r="BG144" i="198"/>
  <c r="BH144" i="198" s="1"/>
  <c r="G151" i="220"/>
  <c r="I151" i="220" s="1"/>
  <c r="D151" i="220"/>
  <c r="F151" i="220" s="1"/>
  <c r="S153" i="198"/>
  <c r="T153" i="198" s="1"/>
  <c r="AW153" i="198"/>
  <c r="AX153" i="198" s="1"/>
  <c r="S45" i="206"/>
  <c r="J26" i="230"/>
  <c r="G51" i="220"/>
  <c r="I51" i="220" s="1"/>
  <c r="D51" i="220"/>
  <c r="F51" i="220" s="1"/>
  <c r="AW53" i="198"/>
  <c r="AX53" i="198" s="1"/>
  <c r="S53" i="198"/>
  <c r="T53" i="198" s="1"/>
  <c r="P151" i="206"/>
  <c r="N53" i="198"/>
  <c r="O53" i="198" s="1"/>
  <c r="D51" i="219"/>
  <c r="F51" i="219" s="1"/>
  <c r="G51" i="219"/>
  <c r="I51" i="219" s="1"/>
  <c r="AR53" i="198"/>
  <c r="AS53" i="198" s="1"/>
  <c r="G87" i="220"/>
  <c r="I87" i="220" s="1"/>
  <c r="AW89" i="198"/>
  <c r="AX89" i="198" s="1"/>
  <c r="S89" i="198"/>
  <c r="T89" i="198" s="1"/>
  <c r="D87" i="220"/>
  <c r="F87" i="220" s="1"/>
  <c r="L25" i="230"/>
  <c r="V101" i="218"/>
  <c r="V101" i="206" s="1"/>
  <c r="G107" i="218"/>
  <c r="I107" i="218" s="1"/>
  <c r="D107" i="218"/>
  <c r="F107" i="218" s="1"/>
  <c r="AM109" i="198"/>
  <c r="AN109" i="198" s="1"/>
  <c r="I109" i="198"/>
  <c r="J109" i="198" s="1"/>
  <c r="W107" i="218"/>
  <c r="H26" i="230"/>
  <c r="G126" i="218"/>
  <c r="I126" i="218" s="1"/>
  <c r="D126" i="218"/>
  <c r="F126" i="218" s="1"/>
  <c r="W126" i="218"/>
  <c r="K126" i="206"/>
  <c r="W126" i="206" s="1"/>
  <c r="P148" i="206"/>
  <c r="N45" i="206"/>
  <c r="U86" i="206"/>
  <c r="O151" i="206"/>
  <c r="G53" i="221"/>
  <c r="I53" i="221" s="1"/>
  <c r="D53" i="221"/>
  <c r="F53" i="221" s="1"/>
  <c r="X55" i="198"/>
  <c r="Y55" i="198" s="1"/>
  <c r="BB55" i="198"/>
  <c r="BC55" i="198" s="1"/>
  <c r="W148" i="220"/>
  <c r="D148" i="220"/>
  <c r="F148" i="220" s="1"/>
  <c r="S150" i="198"/>
  <c r="T150" i="198" s="1"/>
  <c r="AW150" i="198"/>
  <c r="AX150" i="198" s="1"/>
  <c r="G148" i="220"/>
  <c r="I148" i="220" s="1"/>
  <c r="W60" i="221"/>
  <c r="G60" i="221"/>
  <c r="I60" i="221" s="1"/>
  <c r="D60" i="221"/>
  <c r="F60" i="221" s="1"/>
  <c r="X62" i="198"/>
  <c r="Y62" i="198" s="1"/>
  <c r="BB62" i="198"/>
  <c r="BC62" i="198" s="1"/>
  <c r="T87" i="206"/>
  <c r="S144" i="198"/>
  <c r="T144" i="198" s="1"/>
  <c r="D142" i="220"/>
  <c r="F142" i="220" s="1"/>
  <c r="AW144" i="198"/>
  <c r="AX144" i="198" s="1"/>
  <c r="G142" i="220"/>
  <c r="I142" i="220" s="1"/>
  <c r="P61" i="206"/>
  <c r="Q60" i="206"/>
  <c r="N60" i="206"/>
  <c r="W148" i="204"/>
  <c r="G148" i="204"/>
  <c r="I148" i="204" s="1"/>
  <c r="D148" i="204"/>
  <c r="F148" i="204" s="1"/>
  <c r="AH150" i="198"/>
  <c r="AI150" i="198" s="1"/>
  <c r="D150" i="198"/>
  <c r="E150" i="198" s="1"/>
  <c r="K148" i="206"/>
  <c r="S87" i="206"/>
  <c r="S59" i="206"/>
  <c r="N148" i="206"/>
  <c r="V52" i="206"/>
  <c r="N25" i="230"/>
  <c r="AC173" i="198"/>
  <c r="AD173" i="198" s="1"/>
  <c r="BG173" i="198"/>
  <c r="BH173" i="198" s="1"/>
  <c r="G61" i="222"/>
  <c r="I61" i="222" s="1"/>
  <c r="AC128" i="198"/>
  <c r="AD128" i="198" s="1"/>
  <c r="AC154" i="198"/>
  <c r="AD154" i="198" s="1"/>
  <c r="BG194" i="198"/>
  <c r="BH194" i="198" s="1"/>
  <c r="BG76" i="198"/>
  <c r="BH76" i="198" s="1"/>
  <c r="BG63" i="198"/>
  <c r="BH63" i="198" s="1"/>
  <c r="BG182" i="198"/>
  <c r="BH182" i="198" s="1"/>
  <c r="D61" i="222"/>
  <c r="F61" i="222" s="1"/>
  <c r="BG154" i="198"/>
  <c r="BH154" i="198" s="1"/>
  <c r="BG93" i="198"/>
  <c r="BH93" i="198" s="1"/>
  <c r="AC63" i="198"/>
  <c r="AD63" i="198" s="1"/>
  <c r="AC93" i="198"/>
  <c r="AD93" i="198" s="1"/>
  <c r="AC76" i="198"/>
  <c r="AD76" i="198" s="1"/>
  <c r="BG128" i="198"/>
  <c r="BH128" i="198" s="1"/>
  <c r="AC194" i="198"/>
  <c r="AD194" i="198" s="1"/>
  <c r="AC182" i="198"/>
  <c r="AD182" i="198" s="1"/>
  <c r="L60" i="206"/>
  <c r="U53" i="206"/>
  <c r="AH154" i="198"/>
  <c r="AI154" i="198" s="1"/>
  <c r="D93" i="198"/>
  <c r="E93" i="198" s="1"/>
  <c r="AH173" i="198"/>
  <c r="AI173" i="198" s="1"/>
  <c r="D61" i="204"/>
  <c r="F61" i="204" s="1"/>
  <c r="AH128" i="198"/>
  <c r="AI128" i="198" s="1"/>
  <c r="D182" i="198"/>
  <c r="E182" i="198" s="1"/>
  <c r="AH194" i="198"/>
  <c r="AI194" i="198" s="1"/>
  <c r="D194" i="198"/>
  <c r="E194" i="198" s="1"/>
  <c r="AH182" i="198"/>
  <c r="AI182" i="198" s="1"/>
  <c r="D128" i="198"/>
  <c r="E128" i="198" s="1"/>
  <c r="D63" i="198"/>
  <c r="E63" i="198" s="1"/>
  <c r="D154" i="198"/>
  <c r="E154" i="198" s="1"/>
  <c r="D173" i="198"/>
  <c r="E173" i="198" s="1"/>
  <c r="W61" i="204"/>
  <c r="G61" i="204"/>
  <c r="I61" i="204" s="1"/>
  <c r="AH63" i="198"/>
  <c r="AI63" i="198" s="1"/>
  <c r="D76" i="198"/>
  <c r="E76" i="198" s="1"/>
  <c r="AH93" i="198"/>
  <c r="AI93" i="198" s="1"/>
  <c r="AH76" i="198"/>
  <c r="AI76" i="198" s="1"/>
  <c r="D58" i="204"/>
  <c r="F58" i="204" s="1"/>
  <c r="AH60" i="198"/>
  <c r="AI60" i="198" s="1"/>
  <c r="D60" i="198"/>
  <c r="E60" i="198" s="1"/>
  <c r="G58" i="204"/>
  <c r="I58" i="204" s="1"/>
  <c r="K58" i="206"/>
  <c r="BB48" i="198"/>
  <c r="BC48" i="198" s="1"/>
  <c r="G46" i="221"/>
  <c r="I46" i="221" s="1"/>
  <c r="D46" i="221"/>
  <c r="F46" i="221" s="1"/>
  <c r="X48" i="198"/>
  <c r="Y48" i="198" s="1"/>
  <c r="L57" i="220"/>
  <c r="M58" i="218"/>
  <c r="M58" i="206" s="1"/>
  <c r="L52" i="219"/>
  <c r="W52" i="219" s="1"/>
  <c r="V152" i="221"/>
  <c r="S53" i="220"/>
  <c r="S53" i="206" s="1"/>
  <c r="U142" i="221"/>
  <c r="M61" i="221"/>
  <c r="M61" i="206" s="1"/>
  <c r="P87" i="204"/>
  <c r="P87" i="206" s="1"/>
  <c r="Q45" i="218"/>
  <c r="W45" i="218" s="1"/>
  <c r="V51" i="218"/>
  <c r="V51" i="206" s="1"/>
  <c r="R152" i="220"/>
  <c r="O86" i="220"/>
  <c r="O86" i="206" s="1"/>
  <c r="T56" i="221"/>
  <c r="M60" i="218"/>
  <c r="M60" i="206" s="1"/>
  <c r="M52" i="219"/>
  <c r="M54" i="222"/>
  <c r="W54" i="222" s="1"/>
  <c r="N142" i="220"/>
  <c r="Q59" i="222"/>
  <c r="Q59" i="206" s="1"/>
  <c r="M51" i="220"/>
  <c r="W51" i="220" s="1"/>
  <c r="V105" i="218"/>
  <c r="V105" i="206" s="1"/>
  <c r="P101" i="218"/>
  <c r="P101" i="206" s="1"/>
  <c r="M101" i="218"/>
  <c r="M101" i="206" s="1"/>
  <c r="N93" i="218"/>
  <c r="C26" i="231"/>
  <c r="B26" i="231"/>
  <c r="Q26" i="231"/>
  <c r="C26" i="232"/>
  <c r="B26" i="232"/>
  <c r="Q26" i="232"/>
  <c r="M86" i="206"/>
  <c r="D54" i="222"/>
  <c r="F54" i="222" s="1"/>
  <c r="AC56" i="198"/>
  <c r="AD56" i="198" s="1"/>
  <c r="BG56" i="198"/>
  <c r="BH56" i="198" s="1"/>
  <c r="G54" i="222"/>
  <c r="I54" i="222" s="1"/>
  <c r="W53" i="204"/>
  <c r="D53" i="204"/>
  <c r="F53" i="204" s="1"/>
  <c r="D55" i="198"/>
  <c r="E55" i="198" s="1"/>
  <c r="AH55" i="198"/>
  <c r="AI55" i="198" s="1"/>
  <c r="G53" i="204"/>
  <c r="I53" i="204" s="1"/>
  <c r="K53" i="206"/>
  <c r="X128" i="198"/>
  <c r="Y128" i="198" s="1"/>
  <c r="X76" i="198"/>
  <c r="Y76" i="198" s="1"/>
  <c r="X194" i="198"/>
  <c r="Y194" i="198" s="1"/>
  <c r="X173" i="198"/>
  <c r="Y173" i="198" s="1"/>
  <c r="X154" i="198"/>
  <c r="Y154" i="198" s="1"/>
  <c r="X93" i="198"/>
  <c r="Y93" i="198" s="1"/>
  <c r="BB76" i="198"/>
  <c r="BC76" i="198" s="1"/>
  <c r="G61" i="221"/>
  <c r="I61" i="221" s="1"/>
  <c r="BB128" i="198"/>
  <c r="BC128" i="198" s="1"/>
  <c r="D61" i="221"/>
  <c r="F61" i="221" s="1"/>
  <c r="X182" i="198"/>
  <c r="Y182" i="198" s="1"/>
  <c r="BB182" i="198"/>
  <c r="BC182" i="198" s="1"/>
  <c r="BB194" i="198"/>
  <c r="BC194" i="198" s="1"/>
  <c r="BB93" i="198"/>
  <c r="BC93" i="198" s="1"/>
  <c r="BB173" i="198"/>
  <c r="BC173" i="198" s="1"/>
  <c r="BB154" i="198"/>
  <c r="BC154" i="198" s="1"/>
  <c r="BB63" i="198"/>
  <c r="BC63" i="198" s="1"/>
  <c r="X63" i="198"/>
  <c r="Y63" i="198" s="1"/>
  <c r="L54" i="206"/>
  <c r="G58" i="219"/>
  <c r="I58" i="219" s="1"/>
  <c r="D58" i="219"/>
  <c r="F58" i="219" s="1"/>
  <c r="AR60" i="198"/>
  <c r="AS60" i="198" s="1"/>
  <c r="N60" i="198"/>
  <c r="O60" i="198" s="1"/>
  <c r="N54" i="206"/>
  <c r="G59" i="220"/>
  <c r="I59" i="220" s="1"/>
  <c r="D59" i="220"/>
  <c r="F59" i="220" s="1"/>
  <c r="AW61" i="198"/>
  <c r="AX61" i="198" s="1"/>
  <c r="W59" i="220"/>
  <c r="S61" i="198"/>
  <c r="T61" i="198" s="1"/>
  <c r="D52" i="218"/>
  <c r="F52" i="218" s="1"/>
  <c r="W52" i="218"/>
  <c r="AM54" i="198"/>
  <c r="AN54" i="198" s="1"/>
  <c r="I54" i="198"/>
  <c r="J54" i="198" s="1"/>
  <c r="G52" i="218"/>
  <c r="I52" i="218" s="1"/>
  <c r="M45" i="206"/>
  <c r="V46" i="206"/>
  <c r="L56" i="206"/>
  <c r="U45" i="206"/>
  <c r="H25" i="230"/>
  <c r="V56" i="206"/>
  <c r="U46" i="206"/>
  <c r="AM58" i="198"/>
  <c r="AN58" i="198" s="1"/>
  <c r="G56" i="218"/>
  <c r="I56" i="218" s="1"/>
  <c r="I58" i="198"/>
  <c r="J58" i="198" s="1"/>
  <c r="D56" i="218"/>
  <c r="F56" i="218" s="1"/>
  <c r="G46" i="220"/>
  <c r="I46" i="220" s="1"/>
  <c r="S48" i="198"/>
  <c r="T48" i="198" s="1"/>
  <c r="D46" i="220"/>
  <c r="F46" i="220" s="1"/>
  <c r="AW48" i="198"/>
  <c r="AX48" i="198" s="1"/>
  <c r="W57" i="221"/>
  <c r="D57" i="221"/>
  <c r="F57" i="221" s="1"/>
  <c r="G57" i="221"/>
  <c r="I57" i="221" s="1"/>
  <c r="X59" i="198"/>
  <c r="Y59" i="198" s="1"/>
  <c r="BB59" i="198"/>
  <c r="BC59" i="198" s="1"/>
  <c r="D148" i="218"/>
  <c r="F148" i="218" s="1"/>
  <c r="G148" i="218"/>
  <c r="I148" i="218" s="1"/>
  <c r="I150" i="198"/>
  <c r="J150" i="198" s="1"/>
  <c r="AM150" i="198"/>
  <c r="AN150" i="198" s="1"/>
  <c r="W148" i="218"/>
  <c r="AC53" i="198"/>
  <c r="AD53" i="198" s="1"/>
  <c r="D51" i="222"/>
  <c r="F51" i="222" s="1"/>
  <c r="G51" i="222"/>
  <c r="I51" i="222" s="1"/>
  <c r="BG53" i="198"/>
  <c r="BH53" i="198" s="1"/>
  <c r="S86" i="206"/>
  <c r="R54" i="206"/>
  <c r="D53" i="218"/>
  <c r="F53" i="218" s="1"/>
  <c r="AM55" i="198"/>
  <c r="AN55" i="198" s="1"/>
  <c r="W53" i="218"/>
  <c r="G53" i="218"/>
  <c r="I53" i="218" s="1"/>
  <c r="I55" i="198"/>
  <c r="J55" i="198" s="1"/>
  <c r="N61" i="206"/>
  <c r="L86" i="220"/>
  <c r="T152" i="220"/>
  <c r="O59" i="218"/>
  <c r="O59" i="206" s="1"/>
  <c r="K151" i="204"/>
  <c r="M148" i="204"/>
  <c r="M148" i="206" s="1"/>
  <c r="N53" i="221"/>
  <c r="T58" i="219"/>
  <c r="W58" i="219" s="1"/>
  <c r="L57" i="222"/>
  <c r="W57" i="222" s="1"/>
  <c r="L53" i="219"/>
  <c r="G25" i="234"/>
  <c r="G25" i="230" s="1"/>
  <c r="R45" i="220"/>
  <c r="R45" i="206" s="1"/>
  <c r="T56" i="222"/>
  <c r="U56" i="218"/>
  <c r="W56" i="218" s="1"/>
  <c r="V58" i="204"/>
  <c r="V58" i="206" s="1"/>
  <c r="P58" i="218"/>
  <c r="U51" i="204"/>
  <c r="U51" i="206" s="1"/>
  <c r="M87" i="218"/>
  <c r="W87" i="218" s="1"/>
  <c r="N52" i="220"/>
  <c r="W52" i="220" s="1"/>
  <c r="R86" i="220"/>
  <c r="R86" i="206" s="1"/>
  <c r="L97" i="218"/>
  <c r="L97" i="206" s="1"/>
  <c r="Q105" i="218"/>
  <c r="Q105" i="206" s="1"/>
  <c r="N101" i="218"/>
  <c r="N101" i="206" s="1"/>
  <c r="Q25" i="235"/>
  <c r="B25" i="235"/>
  <c r="C25" i="235"/>
  <c r="D51" i="221"/>
  <c r="F51" i="221" s="1"/>
  <c r="G51" i="221"/>
  <c r="I51" i="221" s="1"/>
  <c r="BB53" i="198"/>
  <c r="BC53" i="198" s="1"/>
  <c r="X53" i="198"/>
  <c r="Y53" i="198" s="1"/>
  <c r="C26" i="234"/>
  <c r="B26" i="234"/>
  <c r="E26" i="230"/>
  <c r="Q26" i="234"/>
  <c r="P45" i="206"/>
  <c r="C25" i="231"/>
  <c r="B25" i="231"/>
  <c r="Q25" i="231"/>
  <c r="G53" i="222"/>
  <c r="I53" i="222" s="1"/>
  <c r="D53" i="222"/>
  <c r="F53" i="222" s="1"/>
  <c r="BG55" i="198"/>
  <c r="BH55" i="198" s="1"/>
  <c r="AC55" i="198"/>
  <c r="AD55" i="198" s="1"/>
  <c r="S58" i="206"/>
  <c r="D54" i="204"/>
  <c r="F54" i="204" s="1"/>
  <c r="G54" i="204"/>
  <c r="I54" i="204" s="1"/>
  <c r="D56" i="198"/>
  <c r="E56" i="198" s="1"/>
  <c r="W54" i="204"/>
  <c r="AH56" i="198"/>
  <c r="AI56" i="198" s="1"/>
  <c r="K54" i="206"/>
  <c r="M25" i="230"/>
  <c r="R57" i="206"/>
  <c r="D53" i="220"/>
  <c r="F53" i="220" s="1"/>
  <c r="AW55" i="198"/>
  <c r="AX55" i="198" s="1"/>
  <c r="S55" i="198"/>
  <c r="T55" i="198" s="1"/>
  <c r="G53" i="220"/>
  <c r="I53" i="220" s="1"/>
  <c r="D87" i="218"/>
  <c r="F87" i="218" s="1"/>
  <c r="G87" i="218"/>
  <c r="I87" i="218" s="1"/>
  <c r="I89" i="198"/>
  <c r="J89" i="198" s="1"/>
  <c r="AM89" i="198"/>
  <c r="AN89" i="198" s="1"/>
  <c r="V57" i="206"/>
  <c r="M151" i="206"/>
  <c r="G46" i="219"/>
  <c r="I46" i="219" s="1"/>
  <c r="AR48" i="198"/>
  <c r="AS48" i="198" s="1"/>
  <c r="N48" i="198"/>
  <c r="O48" i="198" s="1"/>
  <c r="D46" i="219"/>
  <c r="F46" i="219" s="1"/>
  <c r="W46" i="219"/>
  <c r="N59" i="206"/>
  <c r="T53" i="206"/>
  <c r="Q56" i="206"/>
  <c r="AM53" i="198"/>
  <c r="AN53" i="198" s="1"/>
  <c r="I53" i="198"/>
  <c r="J53" i="198" s="1"/>
  <c r="G51" i="218"/>
  <c r="I51" i="218" s="1"/>
  <c r="D51" i="218"/>
  <c r="F51" i="218" s="1"/>
  <c r="T151" i="206"/>
  <c r="P56" i="206"/>
  <c r="P97" i="218"/>
  <c r="P97" i="206" s="1"/>
  <c r="D102" i="218"/>
  <c r="F102" i="218" s="1"/>
  <c r="G102" i="218"/>
  <c r="I102" i="218" s="1"/>
  <c r="I104" i="198"/>
  <c r="J104" i="198" s="1"/>
  <c r="K101" i="218"/>
  <c r="AM104" i="198"/>
  <c r="AN104" i="198" s="1"/>
  <c r="W102" i="218"/>
  <c r="B26" i="233"/>
  <c r="C26" i="233"/>
  <c r="Q26" i="233"/>
  <c r="L26" i="230"/>
  <c r="B26" i="235"/>
  <c r="C26" i="235"/>
  <c r="Q26" i="235"/>
  <c r="O45" i="206"/>
  <c r="G58" i="220"/>
  <c r="I58" i="220" s="1"/>
  <c r="AW60" i="198"/>
  <c r="AX60" i="198" s="1"/>
  <c r="S60" i="198"/>
  <c r="T60" i="198" s="1"/>
  <c r="W58" i="220"/>
  <c r="D58" i="220"/>
  <c r="F58" i="220" s="1"/>
  <c r="T46" i="206"/>
  <c r="G46" i="222"/>
  <c r="I46" i="222" s="1"/>
  <c r="AC48" i="198"/>
  <c r="AD48" i="198" s="1"/>
  <c r="D46" i="222"/>
  <c r="F46" i="222" s="1"/>
  <c r="BG48" i="198"/>
  <c r="BH48" i="198" s="1"/>
  <c r="R87" i="206"/>
  <c r="G86" i="220"/>
  <c r="I86" i="220" s="1"/>
  <c r="AW88" i="198"/>
  <c r="AX88" i="198" s="1"/>
  <c r="D86" i="220"/>
  <c r="F86" i="220" s="1"/>
  <c r="S88" i="198"/>
  <c r="T88" i="198" s="1"/>
  <c r="G56" i="219"/>
  <c r="I56" i="219" s="1"/>
  <c r="N58" i="198"/>
  <c r="O58" i="198" s="1"/>
  <c r="AR58" i="198"/>
  <c r="AS58" i="198" s="1"/>
  <c r="D56" i="219"/>
  <c r="F56" i="219" s="1"/>
  <c r="W47" i="221"/>
  <c r="D47" i="221"/>
  <c r="F47" i="221" s="1"/>
  <c r="G47" i="221"/>
  <c r="I47" i="221" s="1"/>
  <c r="BB49" i="198"/>
  <c r="BC49" i="198" s="1"/>
  <c r="X49" i="198"/>
  <c r="Y49" i="198" s="1"/>
  <c r="K47" i="206"/>
  <c r="Q46" i="206"/>
  <c r="C25" i="234"/>
  <c r="Q25" i="234"/>
  <c r="E25" i="230"/>
  <c r="B25" i="234"/>
  <c r="D86" i="204"/>
  <c r="F86" i="204" s="1"/>
  <c r="D88" i="198"/>
  <c r="E88" i="198" s="1"/>
  <c r="AH88" i="198"/>
  <c r="AI88" i="198" s="1"/>
  <c r="G86" i="204"/>
  <c r="I86" i="204" s="1"/>
  <c r="K86" i="206"/>
  <c r="V53" i="206"/>
  <c r="O53" i="206"/>
  <c r="S59" i="198"/>
  <c r="T59" i="198" s="1"/>
  <c r="D57" i="220"/>
  <c r="F57" i="220" s="1"/>
  <c r="G57" i="220"/>
  <c r="I57" i="220" s="1"/>
  <c r="AW59" i="198"/>
  <c r="AX59" i="198" s="1"/>
  <c r="N150" i="198"/>
  <c r="O150" i="198" s="1"/>
  <c r="AR150" i="198"/>
  <c r="AS150" i="198" s="1"/>
  <c r="D148" i="219"/>
  <c r="F148" i="219" s="1"/>
  <c r="G148" i="219"/>
  <c r="I148" i="219" s="1"/>
  <c r="S56" i="198"/>
  <c r="T56" i="198" s="1"/>
  <c r="G54" i="220"/>
  <c r="I54" i="220" s="1"/>
  <c r="D54" i="220"/>
  <c r="F54" i="220" s="1"/>
  <c r="AW56" i="198"/>
  <c r="AX56" i="198" s="1"/>
  <c r="BB60" i="198"/>
  <c r="BC60" i="198" s="1"/>
  <c r="W58" i="221"/>
  <c r="G58" i="221"/>
  <c r="I58" i="221" s="1"/>
  <c r="D58" i="221"/>
  <c r="F58" i="221" s="1"/>
  <c r="X60" i="198"/>
  <c r="Y60" i="198" s="1"/>
  <c r="O148" i="206"/>
  <c r="G152" i="222"/>
  <c r="I152" i="222" s="1"/>
  <c r="D152" i="222"/>
  <c r="F152" i="222" s="1"/>
  <c r="G52" i="221"/>
  <c r="I52" i="221" s="1"/>
  <c r="X54" i="198"/>
  <c r="Y54" i="198" s="1"/>
  <c r="D52" i="221"/>
  <c r="F52" i="221" s="1"/>
  <c r="BB54" i="198"/>
  <c r="BC54" i="198" s="1"/>
  <c r="I108" i="198"/>
  <c r="J108" i="198" s="1"/>
  <c r="AM108" i="198"/>
  <c r="AN108" i="198" s="1"/>
  <c r="K105" i="218"/>
  <c r="D106" i="218"/>
  <c r="F106" i="218" s="1"/>
  <c r="G106" i="218"/>
  <c r="I106" i="218" s="1"/>
  <c r="W106" i="218"/>
  <c r="F26" i="230"/>
  <c r="BG61" i="198"/>
  <c r="BH61" i="198" s="1"/>
  <c r="AC61" i="198"/>
  <c r="AD61" i="198" s="1"/>
  <c r="D59" i="222"/>
  <c r="F59" i="222" s="1"/>
  <c r="G59" i="222"/>
  <c r="I59" i="222" s="1"/>
  <c r="P53" i="206"/>
  <c r="I60" i="198"/>
  <c r="J60" i="198" s="1"/>
  <c r="AM60" i="198"/>
  <c r="AN60" i="198" s="1"/>
  <c r="D58" i="218"/>
  <c r="F58" i="218" s="1"/>
  <c r="G58" i="218"/>
  <c r="I58" i="218" s="1"/>
  <c r="D147" i="218"/>
  <c r="F147" i="218" s="1"/>
  <c r="AM149" i="198"/>
  <c r="AN149" i="198" s="1"/>
  <c r="G147" i="218"/>
  <c r="I147" i="218" s="1"/>
  <c r="I149" i="198"/>
  <c r="J149" i="198" s="1"/>
  <c r="G54" i="221"/>
  <c r="I54" i="221" s="1"/>
  <c r="X56" i="198"/>
  <c r="Y56" i="198" s="1"/>
  <c r="D54" i="221"/>
  <c r="F54" i="221" s="1"/>
  <c r="BB56" i="198"/>
  <c r="BC56" i="198" s="1"/>
  <c r="L148" i="206"/>
  <c r="G54" i="218"/>
  <c r="I54" i="218" s="1"/>
  <c r="I56" i="198"/>
  <c r="J56" i="198" s="1"/>
  <c r="AM56" i="198"/>
  <c r="AN56" i="198" s="1"/>
  <c r="D54" i="218"/>
  <c r="F54" i="218" s="1"/>
  <c r="W54" i="218"/>
  <c r="T51" i="206"/>
  <c r="Q61" i="206"/>
  <c r="V61" i="206"/>
  <c r="D142" i="219"/>
  <c r="F142" i="219" s="1"/>
  <c r="G142" i="219"/>
  <c r="I142" i="219" s="1"/>
  <c r="N144" i="198"/>
  <c r="O144" i="198" s="1"/>
  <c r="AR144" i="198"/>
  <c r="AS144" i="198" s="1"/>
  <c r="C25" i="233"/>
  <c r="B25" i="233"/>
  <c r="Q25" i="233"/>
  <c r="D147" i="220"/>
  <c r="F147" i="220" s="1"/>
  <c r="S149" i="198"/>
  <c r="T149" i="198" s="1"/>
  <c r="G147" i="220"/>
  <c r="I147" i="220" s="1"/>
  <c r="W147" i="220"/>
  <c r="AW149" i="198"/>
  <c r="AX149" i="198" s="1"/>
  <c r="I25" i="230"/>
  <c r="AR62" i="198"/>
  <c r="AS62" i="198" s="1"/>
  <c r="N62" i="198"/>
  <c r="O62" i="198" s="1"/>
  <c r="D60" i="219"/>
  <c r="F60" i="219" s="1"/>
  <c r="G60" i="219"/>
  <c r="I60" i="219" s="1"/>
  <c r="W60" i="219"/>
  <c r="G59" i="221"/>
  <c r="I59" i="221" s="1"/>
  <c r="D59" i="221"/>
  <c r="F59" i="221" s="1"/>
  <c r="BB61" i="198"/>
  <c r="BC61" i="198" s="1"/>
  <c r="X61" i="198"/>
  <c r="Y61" i="198" s="1"/>
  <c r="W59" i="221"/>
  <c r="O25" i="230"/>
  <c r="P51" i="206"/>
  <c r="R148" i="219"/>
  <c r="R148" i="206" s="1"/>
  <c r="O87" i="219"/>
  <c r="K56" i="220"/>
  <c r="K56" i="206" s="1"/>
  <c r="R51" i="222"/>
  <c r="R51" i="206" s="1"/>
  <c r="Q53" i="221"/>
  <c r="S56" i="221"/>
  <c r="T56" i="219"/>
  <c r="T56" i="206" s="1"/>
  <c r="S56" i="219"/>
  <c r="T45" i="204"/>
  <c r="W45" i="204" s="1"/>
  <c r="S142" i="222"/>
  <c r="W142" i="222" s="1"/>
  <c r="L51" i="221"/>
  <c r="W51" i="221" s="1"/>
  <c r="R97" i="218"/>
  <c r="R97" i="206" s="1"/>
  <c r="N26" i="230"/>
  <c r="G51" i="204"/>
  <c r="I51" i="204" s="1"/>
  <c r="D53" i="198"/>
  <c r="E53" i="198" s="1"/>
  <c r="D51" i="204"/>
  <c r="F51" i="204" s="1"/>
  <c r="AH53" i="198"/>
  <c r="AI53" i="198" s="1"/>
  <c r="K51" i="206"/>
  <c r="D152" i="221"/>
  <c r="F152" i="221" s="1"/>
  <c r="G152" i="221"/>
  <c r="I152" i="221" s="1"/>
  <c r="O54" i="206"/>
  <c r="G86" i="218"/>
  <c r="I86" i="218" s="1"/>
  <c r="D86" i="218"/>
  <c r="F86" i="218" s="1"/>
  <c r="I88" i="198"/>
  <c r="J88" i="198" s="1"/>
  <c r="AM88" i="198"/>
  <c r="AN88" i="198" s="1"/>
  <c r="W86" i="218"/>
  <c r="N151" i="206"/>
  <c r="L45" i="206"/>
  <c r="AR59" i="198"/>
  <c r="AS59" i="198" s="1"/>
  <c r="G57" i="219"/>
  <c r="I57" i="219" s="1"/>
  <c r="D57" i="219"/>
  <c r="F57" i="219" s="1"/>
  <c r="N59" i="198"/>
  <c r="O59" i="198" s="1"/>
  <c r="W57" i="219"/>
  <c r="K25" i="230"/>
  <c r="P25" i="230"/>
  <c r="F25" i="230"/>
  <c r="I153" i="198"/>
  <c r="J153" i="198" s="1"/>
  <c r="D151" i="218"/>
  <c r="F151" i="218" s="1"/>
  <c r="W151" i="218"/>
  <c r="G151" i="218"/>
  <c r="I151" i="218" s="1"/>
  <c r="AM153" i="198"/>
  <c r="AN153" i="198" s="1"/>
  <c r="D59" i="218"/>
  <c r="F59" i="218" s="1"/>
  <c r="G59" i="218"/>
  <c r="I59" i="218" s="1"/>
  <c r="AM61" i="198"/>
  <c r="AN61" i="198" s="1"/>
  <c r="I61" i="198"/>
  <c r="J61" i="198" s="1"/>
  <c r="V148" i="219"/>
  <c r="V148" i="206" s="1"/>
  <c r="U57" i="220"/>
  <c r="U57" i="206" s="1"/>
  <c r="Q151" i="220"/>
  <c r="Q151" i="206" s="1"/>
  <c r="M51" i="204"/>
  <c r="W51" i="204" s="1"/>
  <c r="L53" i="222"/>
  <c r="W53" i="222" s="1"/>
  <c r="U52" i="222"/>
  <c r="W52" i="222" s="1"/>
  <c r="U59" i="204"/>
  <c r="U59" i="206" s="1"/>
  <c r="S46" i="221"/>
  <c r="S46" i="206" s="1"/>
  <c r="T52" i="221"/>
  <c r="T52" i="206" s="1"/>
  <c r="S152" i="219"/>
  <c r="W152" i="219" s="1"/>
  <c r="Q51" i="218"/>
  <c r="T61" i="220"/>
  <c r="T61" i="206" s="1"/>
  <c r="K142" i="221"/>
  <c r="R51" i="219"/>
  <c r="K61" i="218"/>
  <c r="K61" i="206" s="1"/>
  <c r="T54" i="219"/>
  <c r="T54" i="206" s="1"/>
  <c r="Q53" i="219"/>
  <c r="R61" i="222"/>
  <c r="W61" i="222" s="1"/>
  <c r="Q51" i="219"/>
  <c r="V147" i="219"/>
  <c r="W147" i="219" s="1"/>
  <c r="S54" i="220"/>
  <c r="S54" i="206" s="1"/>
  <c r="M59" i="218"/>
  <c r="M59" i="206" s="1"/>
  <c r="R56" i="222"/>
  <c r="D91" i="204"/>
  <c r="F91" i="204" s="1"/>
  <c r="G91" i="204"/>
  <c r="I91" i="204" s="1"/>
  <c r="W91" i="204"/>
  <c r="L105" i="218"/>
  <c r="L105" i="206" s="1"/>
  <c r="G99" i="218"/>
  <c r="I99" i="218" s="1"/>
  <c r="I101" i="198"/>
  <c r="J101" i="198" s="1"/>
  <c r="D99" i="218"/>
  <c r="F99" i="218" s="1"/>
  <c r="AM101" i="198"/>
  <c r="W99" i="218"/>
  <c r="Q26" i="236"/>
  <c r="B26" i="236"/>
  <c r="C26" i="236"/>
  <c r="P59" i="206"/>
  <c r="I105" i="198"/>
  <c r="J105" i="198" s="1"/>
  <c r="G103" i="218"/>
  <c r="I103" i="218" s="1"/>
  <c r="AM105" i="198"/>
  <c r="AN105" i="198" s="1"/>
  <c r="D103" i="218"/>
  <c r="F103" i="218" s="1"/>
  <c r="W103" i="218"/>
  <c r="G45" i="218"/>
  <c r="I45" i="218" s="1"/>
  <c r="I47" i="198"/>
  <c r="J47" i="198" s="1"/>
  <c r="D45" i="218"/>
  <c r="F45" i="218" s="1"/>
  <c r="AM47" i="198"/>
  <c r="AN47" i="198" s="1"/>
  <c r="G95" i="218"/>
  <c r="I95" i="218" s="1"/>
  <c r="AM97" i="198"/>
  <c r="AN97" i="198" s="1"/>
  <c r="D95" i="218"/>
  <c r="F95" i="218" s="1"/>
  <c r="W95" i="218"/>
  <c r="I97" i="198"/>
  <c r="J97" i="198" s="1"/>
  <c r="AM48" i="198"/>
  <c r="AN48" i="198" s="1"/>
  <c r="G46" i="218"/>
  <c r="I46" i="218" s="1"/>
  <c r="D46" i="218"/>
  <c r="F46" i="218" s="1"/>
  <c r="I48" i="198"/>
  <c r="J48" i="198" s="1"/>
  <c r="S57" i="206"/>
  <c r="D60" i="222"/>
  <c r="F60" i="222" s="1"/>
  <c r="AC62" i="198"/>
  <c r="AD62" i="198" s="1"/>
  <c r="G60" i="222"/>
  <c r="I60" i="222" s="1"/>
  <c r="BG62" i="198"/>
  <c r="BH62" i="198" s="1"/>
  <c r="G56" i="221"/>
  <c r="I56" i="221" s="1"/>
  <c r="BB58" i="198"/>
  <c r="BC58" i="198" s="1"/>
  <c r="X58" i="198"/>
  <c r="Y58" i="198" s="1"/>
  <c r="D56" i="221"/>
  <c r="F56" i="221" s="1"/>
  <c r="W56" i="221"/>
  <c r="S52" i="206"/>
  <c r="M46" i="206"/>
  <c r="D87" i="204"/>
  <c r="F87" i="204" s="1"/>
  <c r="G87" i="204"/>
  <c r="I87" i="204" s="1"/>
  <c r="AH89" i="198"/>
  <c r="AI89" i="198" s="1"/>
  <c r="D89" i="198"/>
  <c r="E89" i="198" s="1"/>
  <c r="K87" i="206"/>
  <c r="AC54" i="198"/>
  <c r="AD54" i="198" s="1"/>
  <c r="BG54" i="198"/>
  <c r="BH54" i="198" s="1"/>
  <c r="D52" i="222"/>
  <c r="F52" i="222" s="1"/>
  <c r="G52" i="222"/>
  <c r="I52" i="222" s="1"/>
  <c r="Q57" i="206"/>
  <c r="G45" i="219"/>
  <c r="I45" i="219" s="1"/>
  <c r="AR47" i="198"/>
  <c r="AS47" i="198" s="1"/>
  <c r="N47" i="198"/>
  <c r="O47" i="198" s="1"/>
  <c r="D45" i="219"/>
  <c r="F45" i="219" s="1"/>
  <c r="W45" i="219"/>
  <c r="M52" i="206"/>
  <c r="BG60" i="198"/>
  <c r="BH60" i="198" s="1"/>
  <c r="AC60" i="198"/>
  <c r="AD60" i="198" s="1"/>
  <c r="G58" i="222"/>
  <c r="I58" i="222" s="1"/>
  <c r="D58" i="222"/>
  <c r="F58" i="222" s="1"/>
  <c r="N51" i="206"/>
  <c r="W151" i="219"/>
  <c r="G151" i="219"/>
  <c r="I151" i="219" s="1"/>
  <c r="AR153" i="198"/>
  <c r="AS153" i="198" s="1"/>
  <c r="D151" i="219"/>
  <c r="F151" i="219" s="1"/>
  <c r="N153" i="198"/>
  <c r="O153" i="198" s="1"/>
  <c r="D87" i="219"/>
  <c r="F87" i="219" s="1"/>
  <c r="AR89" i="198"/>
  <c r="AS89" i="198" s="1"/>
  <c r="N89" i="198"/>
  <c r="O89" i="198" s="1"/>
  <c r="G87" i="219"/>
  <c r="I87" i="219" s="1"/>
  <c r="D60" i="218"/>
  <c r="F60" i="218" s="1"/>
  <c r="I62" i="198"/>
  <c r="J62" i="198" s="1"/>
  <c r="AM62" i="198"/>
  <c r="AN62" i="198" s="1"/>
  <c r="W60" i="218"/>
  <c r="G60" i="218"/>
  <c r="I60" i="218" s="1"/>
  <c r="R151" i="206"/>
  <c r="D52" i="204"/>
  <c r="F52" i="204" s="1"/>
  <c r="G52" i="204"/>
  <c r="I52" i="204" s="1"/>
  <c r="AH54" i="198"/>
  <c r="AI54" i="198" s="1"/>
  <c r="D54" i="198"/>
  <c r="E54" i="198" s="1"/>
  <c r="W52" i="204"/>
  <c r="K52" i="206"/>
  <c r="O101" i="218"/>
  <c r="O101" i="206" s="1"/>
  <c r="Q93" i="218"/>
  <c r="G94" i="218"/>
  <c r="I94" i="218" s="1"/>
  <c r="W94" i="218"/>
  <c r="AM96" i="198"/>
  <c r="D94" i="218"/>
  <c r="F94" i="218" s="1"/>
  <c r="I96" i="198"/>
  <c r="J96" i="198" s="1"/>
  <c r="K93" i="218"/>
  <c r="AR88" i="198"/>
  <c r="AS88" i="198" s="1"/>
  <c r="N88" i="198"/>
  <c r="O88" i="198" s="1"/>
  <c r="D86" i="219"/>
  <c r="F86" i="219" s="1"/>
  <c r="W86" i="219"/>
  <c r="G86" i="219"/>
  <c r="I86" i="219" s="1"/>
  <c r="C25" i="236"/>
  <c r="Q25" i="236"/>
  <c r="B25" i="236"/>
  <c r="P86" i="206"/>
  <c r="N52" i="206"/>
  <c r="T148" i="206"/>
  <c r="N87" i="206"/>
  <c r="U58" i="206"/>
  <c r="M54" i="206"/>
  <c r="T86" i="206"/>
  <c r="S151" i="206"/>
  <c r="V54" i="221"/>
  <c r="N46" i="220"/>
  <c r="U152" i="222"/>
  <c r="W152" i="222" s="1"/>
  <c r="L46" i="218"/>
  <c r="L46" i="206" s="1"/>
  <c r="R59" i="219"/>
  <c r="R59" i="206" s="1"/>
  <c r="V86" i="204"/>
  <c r="V86" i="206" s="1"/>
  <c r="K60" i="204"/>
  <c r="Q52" i="221"/>
  <c r="Q52" i="206" s="1"/>
  <c r="P142" i="220"/>
  <c r="L147" i="218"/>
  <c r="W147" i="218" s="1"/>
  <c r="P60" i="222"/>
  <c r="P60" i="206" s="1"/>
  <c r="Q87" i="219"/>
  <c r="Q87" i="220"/>
  <c r="W87" i="220" s="1"/>
  <c r="L59" i="222"/>
  <c r="U148" i="219"/>
  <c r="U148" i="206" s="1"/>
  <c r="O46" i="222"/>
  <c r="W46" i="222" s="1"/>
  <c r="R142" i="219"/>
  <c r="W142" i="219" s="1"/>
  <c r="K45" i="222"/>
  <c r="K45" i="206" s="1"/>
  <c r="U56" i="222"/>
  <c r="U56" i="206" s="1"/>
  <c r="P54" i="220"/>
  <c r="P54" i="206" s="1"/>
  <c r="S51" i="218"/>
  <c r="S51" i="206" s="1"/>
  <c r="S61" i="221"/>
  <c r="O152" i="221"/>
  <c r="P58" i="222"/>
  <c r="W58" i="222" s="1"/>
  <c r="J38" i="234"/>
  <c r="N142" i="204"/>
  <c r="U84" i="218"/>
  <c r="P55" i="222"/>
  <c r="V147" i="204"/>
  <c r="L35" i="204"/>
  <c r="U147" i="204"/>
  <c r="U147" i="206" s="1"/>
  <c r="T55" i="204"/>
  <c r="V142" i="204"/>
  <c r="V142" i="206" s="1"/>
  <c r="U55" i="218"/>
  <c r="U44" i="218" s="1"/>
  <c r="S146" i="218"/>
  <c r="G38" i="232"/>
  <c r="G37" i="232" s="1"/>
  <c r="G42" i="232" s="1"/>
  <c r="N84" i="204"/>
  <c r="V84" i="204"/>
  <c r="U85" i="204"/>
  <c r="L165" i="221"/>
  <c r="O38" i="234"/>
  <c r="N91" i="222"/>
  <c r="L83" i="218"/>
  <c r="M84" i="204"/>
  <c r="P85" i="204"/>
  <c r="K146" i="218"/>
  <c r="Q165" i="222"/>
  <c r="Q172" i="222" s="1"/>
  <c r="S165" i="218"/>
  <c r="U35" i="219"/>
  <c r="U33" i="219" s="1"/>
  <c r="U42" i="219" s="1"/>
  <c r="U89" i="218"/>
  <c r="H38" i="233"/>
  <c r="H37" i="233" s="1"/>
  <c r="H42" i="233" s="1"/>
  <c r="F38" i="236"/>
  <c r="O165" i="204"/>
  <c r="S146" i="221"/>
  <c r="K85" i="221"/>
  <c r="M152" i="218"/>
  <c r="M152" i="206" s="1"/>
  <c r="L91" i="220"/>
  <c r="U89" i="219"/>
  <c r="P146" i="218"/>
  <c r="V165" i="222"/>
  <c r="V172" i="222" s="1"/>
  <c r="K38" i="236"/>
  <c r="T55" i="218"/>
  <c r="T44" i="218" s="1"/>
  <c r="V55" i="218"/>
  <c r="S55" i="219"/>
  <c r="S44" i="219" s="1"/>
  <c r="T165" i="218"/>
  <c r="Q165" i="218"/>
  <c r="R146" i="221"/>
  <c r="N89" i="220"/>
  <c r="Q84" i="222"/>
  <c r="V152" i="218"/>
  <c r="R85" i="218"/>
  <c r="M91" i="221"/>
  <c r="S55" i="220"/>
  <c r="U165" i="222"/>
  <c r="U172" i="222" s="1"/>
  <c r="N55" i="222"/>
  <c r="N44" i="222" s="1"/>
  <c r="T146" i="204"/>
  <c r="I38" i="232"/>
  <c r="K146" i="219"/>
  <c r="I38" i="234"/>
  <c r="P83" i="219"/>
  <c r="R156" i="221"/>
  <c r="R142" i="204"/>
  <c r="U89" i="220"/>
  <c r="U84" i="220"/>
  <c r="M35" i="204"/>
  <c r="Q146" i="218"/>
  <c r="T146" i="221"/>
  <c r="U165" i="204"/>
  <c r="I38" i="236"/>
  <c r="N88" i="218"/>
  <c r="G38" i="231"/>
  <c r="G37" i="231" s="1"/>
  <c r="G42" i="231" s="1"/>
  <c r="L89" i="222"/>
  <c r="K91" i="220"/>
  <c r="M165" i="220"/>
  <c r="L156" i="220"/>
  <c r="U84" i="221"/>
  <c r="V83" i="220"/>
  <c r="J38" i="233"/>
  <c r="J37" i="233" s="1"/>
  <c r="J42" i="233" s="1"/>
  <c r="R156" i="219"/>
  <c r="M89" i="219"/>
  <c r="L85" i="218"/>
  <c r="H38" i="234"/>
  <c r="J38" i="232"/>
  <c r="S152" i="218"/>
  <c r="V83" i="219"/>
  <c r="P84" i="222"/>
  <c r="O156" i="221"/>
  <c r="R146" i="204"/>
  <c r="O27" i="236"/>
  <c r="O18" i="236" s="1"/>
  <c r="O29" i="236" s="1"/>
  <c r="L88" i="218"/>
  <c r="R165" i="222"/>
  <c r="R172" i="222" s="1"/>
  <c r="L83" i="222"/>
  <c r="T85" i="204"/>
  <c r="Q156" i="204"/>
  <c r="V91" i="219"/>
  <c r="L84" i="222"/>
  <c r="T165" i="222"/>
  <c r="T172" i="222" s="1"/>
  <c r="P83" i="221"/>
  <c r="O85" i="204"/>
  <c r="K55" i="204"/>
  <c r="K88" i="220"/>
  <c r="P142" i="204"/>
  <c r="Q35" i="220"/>
  <c r="Q33" i="220" s="1"/>
  <c r="Q42" i="220" s="1"/>
  <c r="V85" i="204"/>
  <c r="K83" i="221"/>
  <c r="U156" i="219"/>
  <c r="U142" i="204"/>
  <c r="Q55" i="219"/>
  <c r="P85" i="219"/>
  <c r="K165" i="218"/>
  <c r="S165" i="221"/>
  <c r="M89" i="220"/>
  <c r="T142" i="204"/>
  <c r="T142" i="206" s="1"/>
  <c r="K152" i="218"/>
  <c r="N55" i="219"/>
  <c r="N44" i="219" s="1"/>
  <c r="M165" i="221"/>
  <c r="M38" i="236"/>
  <c r="S55" i="218"/>
  <c r="Q83" i="219"/>
  <c r="P38" i="231"/>
  <c r="M89" i="222"/>
  <c r="O55" i="219"/>
  <c r="O44" i="219" s="1"/>
  <c r="K35" i="204"/>
  <c r="U91" i="219"/>
  <c r="M85" i="220"/>
  <c r="P35" i="219"/>
  <c r="P33" i="219" s="1"/>
  <c r="P42" i="219" s="1"/>
  <c r="K84" i="222"/>
  <c r="F38" i="231"/>
  <c r="F37" i="231" s="1"/>
  <c r="F42" i="231" s="1"/>
  <c r="S85" i="219"/>
  <c r="N89" i="218"/>
  <c r="P35" i="204"/>
  <c r="K89" i="218"/>
  <c r="M142" i="204"/>
  <c r="M142" i="206" s="1"/>
  <c r="Q165" i="220"/>
  <c r="M38" i="233"/>
  <c r="M37" i="233" s="1"/>
  <c r="M42" i="233" s="1"/>
  <c r="S142" i="204"/>
  <c r="M38" i="232"/>
  <c r="R85" i="221"/>
  <c r="N165" i="218"/>
  <c r="Q85" i="218"/>
  <c r="T35" i="219"/>
  <c r="T33" i="219" s="1"/>
  <c r="T42" i="219" s="1"/>
  <c r="R152" i="218"/>
  <c r="R84" i="204"/>
  <c r="O55" i="221"/>
  <c r="O44" i="221" s="1"/>
  <c r="T91" i="222"/>
  <c r="O55" i="204"/>
  <c r="O44" i="204" s="1"/>
  <c r="N85" i="219"/>
  <c r="V165" i="204"/>
  <c r="Q85" i="220"/>
  <c r="O89" i="218"/>
  <c r="O142" i="204"/>
  <c r="O142" i="206" s="1"/>
  <c r="R35" i="219"/>
  <c r="R33" i="219" s="1"/>
  <c r="R42" i="219" s="1"/>
  <c r="U55" i="220"/>
  <c r="F38" i="234"/>
  <c r="N55" i="204"/>
  <c r="L55" i="218"/>
  <c r="L35" i="218"/>
  <c r="L33" i="218" s="1"/>
  <c r="L42" i="218" s="1"/>
  <c r="F23" i="235" s="1"/>
  <c r="Q35" i="204"/>
  <c r="Q146" i="204"/>
  <c r="V156" i="220"/>
  <c r="K156" i="204"/>
  <c r="L38" i="234"/>
  <c r="T85" i="220"/>
  <c r="G27" i="236"/>
  <c r="G18" i="236" s="1"/>
  <c r="G29" i="236" s="1"/>
  <c r="O38" i="236"/>
  <c r="O152" i="218"/>
  <c r="Q91" i="222"/>
  <c r="P83" i="218"/>
  <c r="O156" i="220"/>
  <c r="T84" i="204"/>
  <c r="P91" i="221"/>
  <c r="V84" i="221"/>
  <c r="K84" i="204"/>
  <c r="P89" i="218"/>
  <c r="O55" i="220"/>
  <c r="O44" i="220" s="1"/>
  <c r="R85" i="222"/>
  <c r="P91" i="222"/>
  <c r="V85" i="219"/>
  <c r="R55" i="221"/>
  <c r="R44" i="221" s="1"/>
  <c r="L89" i="218"/>
  <c r="E38" i="235"/>
  <c r="O38" i="233"/>
  <c r="O37" i="233" s="1"/>
  <c r="O42" i="233" s="1"/>
  <c r="L88" i="220"/>
  <c r="T85" i="219"/>
  <c r="M156" i="221"/>
  <c r="M156" i="220"/>
  <c r="M172" i="220" s="1"/>
  <c r="O83" i="218"/>
  <c r="Q156" i="218"/>
  <c r="P91" i="218"/>
  <c r="U165" i="220"/>
  <c r="V85" i="218"/>
  <c r="Q83" i="218"/>
  <c r="T55" i="222"/>
  <c r="T44" i="222" s="1"/>
  <c r="P156" i="204"/>
  <c r="Q83" i="221"/>
  <c r="E38" i="233"/>
  <c r="K165" i="219"/>
  <c r="O91" i="218"/>
  <c r="K91" i="222"/>
  <c r="V85" i="221"/>
  <c r="R55" i="218"/>
  <c r="R44" i="218" s="1"/>
  <c r="Q142" i="204"/>
  <c r="Q142" i="206" s="1"/>
  <c r="T156" i="219"/>
  <c r="K85" i="219"/>
  <c r="R83" i="220"/>
  <c r="T55" i="221"/>
  <c r="N146" i="204"/>
  <c r="K85" i="222"/>
  <c r="N38" i="232"/>
  <c r="S84" i="221"/>
  <c r="N38" i="233"/>
  <c r="N37" i="233" s="1"/>
  <c r="N42" i="233" s="1"/>
  <c r="K156" i="221"/>
  <c r="P147" i="204"/>
  <c r="P147" i="206" s="1"/>
  <c r="U55" i="219"/>
  <c r="U44" i="219" s="1"/>
  <c r="R165" i="221"/>
  <c r="S85" i="222"/>
  <c r="P146" i="220"/>
  <c r="Q146" i="221"/>
  <c r="Q83" i="204"/>
  <c r="P146" i="204"/>
  <c r="M85" i="221"/>
  <c r="N146" i="218"/>
  <c r="M91" i="219"/>
  <c r="L38" i="232"/>
  <c r="P88" i="218"/>
  <c r="U84" i="204"/>
  <c r="R55" i="219"/>
  <c r="M165" i="219"/>
  <c r="U85" i="219"/>
  <c r="S35" i="220"/>
  <c r="S33" i="220" s="1"/>
  <c r="S42" i="220" s="1"/>
  <c r="P85" i="222"/>
  <c r="T152" i="218"/>
  <c r="M55" i="219"/>
  <c r="L38" i="236"/>
  <c r="P84" i="218"/>
  <c r="Q85" i="219"/>
  <c r="M55" i="221"/>
  <c r="L35" i="219"/>
  <c r="L33" i="219" s="1"/>
  <c r="L42" i="219" s="1"/>
  <c r="L85" i="219"/>
  <c r="F38" i="232"/>
  <c r="F37" i="232" s="1"/>
  <c r="F42" i="232" s="1"/>
  <c r="M38" i="234"/>
  <c r="O85" i="221"/>
  <c r="P83" i="222"/>
  <c r="O55" i="218"/>
  <c r="V91" i="222"/>
  <c r="Q55" i="218"/>
  <c r="L83" i="220"/>
  <c r="K55" i="219"/>
  <c r="R88" i="220"/>
  <c r="V165" i="218"/>
  <c r="S85" i="204"/>
  <c r="L83" i="221"/>
  <c r="R89" i="222"/>
  <c r="U84" i="219"/>
  <c r="M146" i="220"/>
  <c r="E38" i="236"/>
  <c r="J27" i="236"/>
  <c r="J18" i="236" s="1"/>
  <c r="J29" i="236" s="1"/>
  <c r="G38" i="236"/>
  <c r="L165" i="220"/>
  <c r="S146" i="219"/>
  <c r="S35" i="219"/>
  <c r="S33" i="219" s="1"/>
  <c r="S42" i="219" s="1"/>
  <c r="V35" i="218"/>
  <c r="V33" i="218" s="1"/>
  <c r="V42" i="218" s="1"/>
  <c r="P23" i="235" s="1"/>
  <c r="H38" i="231"/>
  <c r="H37" i="231" s="1"/>
  <c r="H42" i="231" s="1"/>
  <c r="S84" i="219"/>
  <c r="K85" i="218"/>
  <c r="Q91" i="219"/>
  <c r="R88" i="219"/>
  <c r="O83" i="220"/>
  <c r="P35" i="220"/>
  <c r="P33" i="220" s="1"/>
  <c r="P42" i="220" s="1"/>
  <c r="N27" i="231"/>
  <c r="R146" i="218"/>
  <c r="N35" i="220"/>
  <c r="N33" i="220" s="1"/>
  <c r="N42" i="220" s="1"/>
  <c r="V88" i="220"/>
  <c r="M55" i="218"/>
  <c r="T156" i="221"/>
  <c r="K38" i="234"/>
  <c r="V146" i="220"/>
  <c r="V85" i="220"/>
  <c r="K83" i="219"/>
  <c r="U35" i="220"/>
  <c r="U33" i="220" s="1"/>
  <c r="U42" i="220" s="1"/>
  <c r="S165" i="219"/>
  <c r="I38" i="233"/>
  <c r="I37" i="233" s="1"/>
  <c r="I42" i="233" s="1"/>
  <c r="M83" i="220"/>
  <c r="P165" i="222"/>
  <c r="P172" i="222" s="1"/>
  <c r="N85" i="220"/>
  <c r="V55" i="221"/>
  <c r="O85" i="220"/>
  <c r="N88" i="220"/>
  <c r="V89" i="222"/>
  <c r="P35" i="218"/>
  <c r="P33" i="218" s="1"/>
  <c r="P42" i="218" s="1"/>
  <c r="J23" i="235" s="1"/>
  <c r="S83" i="220"/>
  <c r="V84" i="222"/>
  <c r="R85" i="220"/>
  <c r="M83" i="222"/>
  <c r="S91" i="222"/>
  <c r="V55" i="204"/>
  <c r="K165" i="220"/>
  <c r="O35" i="219"/>
  <c r="O33" i="219" s="1"/>
  <c r="O42" i="219" s="1"/>
  <c r="L38" i="231"/>
  <c r="L37" i="231" s="1"/>
  <c r="L42" i="231" s="1"/>
  <c r="O83" i="222"/>
  <c r="Q165" i="221"/>
  <c r="T88" i="218"/>
  <c r="U35" i="218"/>
  <c r="U33" i="218" s="1"/>
  <c r="U42" i="218" s="1"/>
  <c r="O23" i="235" s="1"/>
  <c r="E38" i="231"/>
  <c r="E38" i="232"/>
  <c r="Q89" i="219"/>
  <c r="N84" i="221"/>
  <c r="L152" i="218"/>
  <c r="L152" i="206" s="1"/>
  <c r="U165" i="219"/>
  <c r="U55" i="221"/>
  <c r="U44" i="221" s="1"/>
  <c r="Q85" i="222"/>
  <c r="L142" i="204"/>
  <c r="L142" i="206" s="1"/>
  <c r="M88" i="219"/>
  <c r="M35" i="219"/>
  <c r="M33" i="219" s="1"/>
  <c r="M42" i="219" s="1"/>
  <c r="Q55" i="222"/>
  <c r="Q44" i="222" s="1"/>
  <c r="O35" i="218"/>
  <c r="O33" i="218" s="1"/>
  <c r="O42" i="218" s="1"/>
  <c r="V35" i="220"/>
  <c r="V33" i="220" s="1"/>
  <c r="V42" i="220" s="1"/>
  <c r="N165" i="220"/>
  <c r="R91" i="221"/>
  <c r="P38" i="236"/>
  <c r="O146" i="221"/>
  <c r="T35" i="218"/>
  <c r="T33" i="218" s="1"/>
  <c r="T42" i="218" s="1"/>
  <c r="N23" i="235" s="1"/>
  <c r="N35" i="218"/>
  <c r="N33" i="218" s="1"/>
  <c r="N42" i="218" s="1"/>
  <c r="H23" i="235" s="1"/>
  <c r="S83" i="222"/>
  <c r="R83" i="218"/>
  <c r="M88" i="220"/>
  <c r="P165" i="221"/>
  <c r="T84" i="222"/>
  <c r="O165" i="220"/>
  <c r="R55" i="220"/>
  <c r="T83" i="221"/>
  <c r="R165" i="204"/>
  <c r="N156" i="221"/>
  <c r="T88" i="219"/>
  <c r="V156" i="219"/>
  <c r="L84" i="221"/>
  <c r="O84" i="221"/>
  <c r="L91" i="219"/>
  <c r="U83" i="222"/>
  <c r="T84" i="218"/>
  <c r="V91" i="221"/>
  <c r="V146" i="221"/>
  <c r="R55" i="204"/>
  <c r="R44" i="204" s="1"/>
  <c r="K27" i="236"/>
  <c r="K18" i="236" s="1"/>
  <c r="K29" i="236" s="1"/>
  <c r="L156" i="218"/>
  <c r="V91" i="220"/>
  <c r="L91" i="218"/>
  <c r="O85" i="222"/>
  <c r="M165" i="218"/>
  <c r="H38" i="235"/>
  <c r="M83" i="221"/>
  <c r="Q35" i="218"/>
  <c r="Q33" i="218" s="1"/>
  <c r="Q42" i="218" s="1"/>
  <c r="K23" i="235" s="1"/>
  <c r="N146" i="220"/>
  <c r="O83" i="221"/>
  <c r="S91" i="220"/>
  <c r="U85" i="221"/>
  <c r="O35" i="220"/>
  <c r="O33" i="220" s="1"/>
  <c r="O42" i="220" s="1"/>
  <c r="R84" i="222"/>
  <c r="R84" i="218"/>
  <c r="P84" i="221"/>
  <c r="M156" i="219"/>
  <c r="K84" i="221"/>
  <c r="Q88" i="218"/>
  <c r="U88" i="220"/>
  <c r="Q35" i="219"/>
  <c r="Q33" i="219" s="1"/>
  <c r="Q42" i="219" s="1"/>
  <c r="M55" i="220"/>
  <c r="O91" i="220"/>
  <c r="L27" i="236"/>
  <c r="L18" i="236" s="1"/>
  <c r="L29" i="236" s="1"/>
  <c r="V83" i="222"/>
  <c r="U91" i="218"/>
  <c r="L146" i="218"/>
  <c r="V91" i="218"/>
  <c r="T91" i="218"/>
  <c r="U156" i="218"/>
  <c r="Q88" i="219"/>
  <c r="N55" i="220"/>
  <c r="Q156" i="220"/>
  <c r="L165" i="222"/>
  <c r="L172" i="222" s="1"/>
  <c r="P165" i="219"/>
  <c r="K89" i="222"/>
  <c r="M35" i="218"/>
  <c r="M33" i="218" s="1"/>
  <c r="M42" i="218" s="1"/>
  <c r="G23" i="235" s="1"/>
  <c r="N156" i="219"/>
  <c r="O84" i="219"/>
  <c r="N147" i="204"/>
  <c r="N147" i="206" s="1"/>
  <c r="S146" i="204"/>
  <c r="V35" i="204"/>
  <c r="U55" i="222"/>
  <c r="L156" i="221"/>
  <c r="K83" i="220"/>
  <c r="O165" i="218"/>
  <c r="L55" i="220"/>
  <c r="L44" i="220" s="1"/>
  <c r="T88" i="220"/>
  <c r="T55" i="220"/>
  <c r="R91" i="222"/>
  <c r="L55" i="221"/>
  <c r="O88" i="218"/>
  <c r="V156" i="204"/>
  <c r="V165" i="221"/>
  <c r="T83" i="222"/>
  <c r="P38" i="233"/>
  <c r="P37" i="233" s="1"/>
  <c r="P42" i="233" s="1"/>
  <c r="M89" i="218"/>
  <c r="K156" i="220"/>
  <c r="P156" i="219"/>
  <c r="N91" i="220"/>
  <c r="L91" i="222"/>
  <c r="S91" i="218"/>
  <c r="L85" i="220"/>
  <c r="S91" i="221"/>
  <c r="P84" i="204"/>
  <c r="Q152" i="218"/>
  <c r="Q152" i="206" s="1"/>
  <c r="S35" i="218"/>
  <c r="S33" i="218" s="1"/>
  <c r="S42" i="218" s="1"/>
  <c r="M23" i="235" s="1"/>
  <c r="N165" i="222"/>
  <c r="N172" i="222" s="1"/>
  <c r="P156" i="220"/>
  <c r="N165" i="204"/>
  <c r="N91" i="221"/>
  <c r="U83" i="219"/>
  <c r="Q146" i="219"/>
  <c r="M84" i="222"/>
  <c r="P89" i="219"/>
  <c r="Q89" i="222"/>
  <c r="K85" i="204"/>
  <c r="O83" i="204"/>
  <c r="M146" i="218"/>
  <c r="U152" i="218"/>
  <c r="K88" i="219"/>
  <c r="K83" i="204"/>
  <c r="K55" i="218"/>
  <c r="P55" i="218"/>
  <c r="P44" i="218" s="1"/>
  <c r="R84" i="221"/>
  <c r="T85" i="222"/>
  <c r="I38" i="235"/>
  <c r="U146" i="204"/>
  <c r="J38" i="236"/>
  <c r="K91" i="221"/>
  <c r="U85" i="220"/>
  <c r="I27" i="236"/>
  <c r="I18" i="236" s="1"/>
  <c r="I29" i="236" s="1"/>
  <c r="L85" i="222"/>
  <c r="P156" i="221"/>
  <c r="N83" i="218"/>
  <c r="N27" i="236"/>
  <c r="N18" i="236" s="1"/>
  <c r="N29" i="236" s="1"/>
  <c r="M85" i="204"/>
  <c r="K85" i="220"/>
  <c r="T156" i="220"/>
  <c r="P88" i="220"/>
  <c r="M84" i="219"/>
  <c r="O84" i="222"/>
  <c r="Q165" i="204"/>
  <c r="P84" i="219"/>
  <c r="P165" i="220"/>
  <c r="S83" i="218"/>
  <c r="M146" i="204"/>
  <c r="V146" i="218"/>
  <c r="U89" i="222"/>
  <c r="P146" i="221"/>
  <c r="S55" i="221"/>
  <c r="L91" i="221"/>
  <c r="T84" i="219"/>
  <c r="S89" i="219"/>
  <c r="M27" i="236"/>
  <c r="M18" i="236" s="1"/>
  <c r="M29" i="236" s="1"/>
  <c r="T83" i="220"/>
  <c r="O38" i="232"/>
  <c r="O146" i="219"/>
  <c r="T156" i="204"/>
  <c r="K165" i="222"/>
  <c r="P89" i="220"/>
  <c r="N91" i="219"/>
  <c r="L89" i="220"/>
  <c r="V156" i="218"/>
  <c r="M91" i="222"/>
  <c r="R85" i="219"/>
  <c r="Q146" i="220"/>
  <c r="L165" i="219"/>
  <c r="O91" i="222"/>
  <c r="P91" i="219"/>
  <c r="U85" i="222"/>
  <c r="O91" i="219"/>
  <c r="T165" i="219"/>
  <c r="M88" i="218"/>
  <c r="P55" i="204"/>
  <c r="P44" i="204" s="1"/>
  <c r="V35" i="219"/>
  <c r="V33" i="219" s="1"/>
  <c r="V42" i="219" s="1"/>
  <c r="N156" i="218"/>
  <c r="L35" i="220"/>
  <c r="L33" i="220" s="1"/>
  <c r="L42" i="220" s="1"/>
  <c r="L165" i="218"/>
  <c r="O156" i="218"/>
  <c r="O88" i="219"/>
  <c r="S83" i="221"/>
  <c r="N146" i="221"/>
  <c r="O88" i="220"/>
  <c r="J38" i="231"/>
  <c r="J37" i="231" s="1"/>
  <c r="J42" i="231" s="1"/>
  <c r="T156" i="218"/>
  <c r="O146" i="220"/>
  <c r="L156" i="219"/>
  <c r="U88" i="218"/>
  <c r="U83" i="221"/>
  <c r="M165" i="204"/>
  <c r="T89" i="219"/>
  <c r="S35" i="204"/>
  <c r="L84" i="219"/>
  <c r="N38" i="236"/>
  <c r="N38" i="231"/>
  <c r="N37" i="231" s="1"/>
  <c r="N42" i="231" s="1"/>
  <c r="R156" i="218"/>
  <c r="V89" i="220"/>
  <c r="U55" i="204"/>
  <c r="N84" i="219"/>
  <c r="H38" i="232"/>
  <c r="H37" i="232" s="1"/>
  <c r="H42" i="232" s="1"/>
  <c r="G38" i="233"/>
  <c r="G37" i="233" s="1"/>
  <c r="G42" i="233" s="1"/>
  <c r="M55" i="222"/>
  <c r="Q88" i="220"/>
  <c r="V55" i="220"/>
  <c r="V44" i="220" s="1"/>
  <c r="V55" i="222"/>
  <c r="V44" i="222" s="1"/>
  <c r="V85" i="222"/>
  <c r="M165" i="222"/>
  <c r="M172" i="222" s="1"/>
  <c r="P55" i="219"/>
  <c r="P44" i="219" s="1"/>
  <c r="H27" i="236"/>
  <c r="H18" i="236" s="1"/>
  <c r="H29" i="236" s="1"/>
  <c r="M83" i="204"/>
  <c r="Q89" i="218"/>
  <c r="R84" i="219"/>
  <c r="V156" i="221"/>
  <c r="V83" i="204"/>
  <c r="Q156" i="221"/>
  <c r="R89" i="218"/>
  <c r="V84" i="218"/>
  <c r="O84" i="204"/>
  <c r="O165" i="222"/>
  <c r="O172" i="222" s="1"/>
  <c r="N83" i="204"/>
  <c r="R165" i="218"/>
  <c r="K38" i="233"/>
  <c r="K37" i="233" s="1"/>
  <c r="K42" i="233" s="1"/>
  <c r="S84" i="218"/>
  <c r="K91" i="219"/>
  <c r="H38" i="236"/>
  <c r="P146" i="219"/>
  <c r="R89" i="219"/>
  <c r="Q156" i="219"/>
  <c r="M38" i="231"/>
  <c r="M37" i="231" s="1"/>
  <c r="M42" i="231" s="1"/>
  <c r="V84" i="219"/>
  <c r="Q83" i="222"/>
  <c r="S156" i="221"/>
  <c r="P83" i="220"/>
  <c r="L89" i="219"/>
  <c r="R83" i="222"/>
  <c r="M146" i="219"/>
  <c r="L38" i="233"/>
  <c r="L37" i="233" s="1"/>
  <c r="L42" i="233" s="1"/>
  <c r="S55" i="204"/>
  <c r="S44" i="204" s="1"/>
  <c r="O165" i="221"/>
  <c r="V165" i="219"/>
  <c r="N91" i="218"/>
  <c r="N85" i="218"/>
  <c r="V89" i="218"/>
  <c r="U165" i="221"/>
  <c r="N156" i="220"/>
  <c r="K89" i="219"/>
  <c r="Q89" i="220"/>
  <c r="N55" i="218"/>
  <c r="N44" i="218" s="1"/>
  <c r="R146" i="219"/>
  <c r="S55" i="222"/>
  <c r="S44" i="222" s="1"/>
  <c r="T146" i="220"/>
  <c r="V83" i="221"/>
  <c r="Q84" i="219"/>
  <c r="U146" i="220"/>
  <c r="S88" i="218"/>
  <c r="R35" i="204"/>
  <c r="L88" i="219"/>
  <c r="U156" i="220"/>
  <c r="K83" i="222"/>
  <c r="S91" i="219"/>
  <c r="S85" i="220"/>
  <c r="N85" i="204"/>
  <c r="O83" i="219"/>
  <c r="O165" i="219"/>
  <c r="U91" i="221"/>
  <c r="P91" i="220"/>
  <c r="U146" i="219"/>
  <c r="E27" i="236"/>
  <c r="Q91" i="220"/>
  <c r="S165" i="220"/>
  <c r="P38" i="232"/>
  <c r="L156" i="204"/>
  <c r="S83" i="219"/>
  <c r="P27" i="236"/>
  <c r="P18" i="236" s="1"/>
  <c r="P29" i="236" s="1"/>
  <c r="U85" i="218"/>
  <c r="N156" i="204"/>
  <c r="P89" i="222"/>
  <c r="M91" i="220"/>
  <c r="K35" i="219"/>
  <c r="S89" i="222"/>
  <c r="K55" i="220"/>
  <c r="R85" i="204"/>
  <c r="T55" i="219"/>
  <c r="T85" i="221"/>
  <c r="K156" i="219"/>
  <c r="U91" i="222"/>
  <c r="Q55" i="220"/>
  <c r="Q44" i="220" s="1"/>
  <c r="V55" i="219"/>
  <c r="V44" i="219" s="1"/>
  <c r="N165" i="219"/>
  <c r="U91" i="220"/>
  <c r="O38" i="231"/>
  <c r="O37" i="231" s="1"/>
  <c r="O42" i="231" s="1"/>
  <c r="R83" i="221"/>
  <c r="K35" i="220"/>
  <c r="R35" i="218"/>
  <c r="R33" i="218" s="1"/>
  <c r="R42" i="218" s="1"/>
  <c r="L23" i="235" s="1"/>
  <c r="U146" i="221"/>
  <c r="R55" i="222"/>
  <c r="N83" i="219"/>
  <c r="Q83" i="220"/>
  <c r="O84" i="218"/>
  <c r="M84" i="221"/>
  <c r="N85" i="222"/>
  <c r="N55" i="221"/>
  <c r="N88" i="219"/>
  <c r="S165" i="222"/>
  <c r="S172" i="222" s="1"/>
  <c r="T83" i="219"/>
  <c r="S146" i="220"/>
  <c r="I38" i="231"/>
  <c r="I37" i="231" s="1"/>
  <c r="I42" i="231" s="1"/>
  <c r="O146" i="204"/>
  <c r="U83" i="220"/>
  <c r="N89" i="222"/>
  <c r="K146" i="220"/>
  <c r="P85" i="221"/>
  <c r="S156" i="218"/>
  <c r="M156" i="218"/>
  <c r="O89" i="219"/>
  <c r="U146" i="218"/>
  <c r="T89" i="218"/>
  <c r="T165" i="204"/>
  <c r="O91" i="221"/>
  <c r="N152" i="218"/>
  <c r="N152" i="206" s="1"/>
  <c r="M85" i="222"/>
  <c r="M85" i="219"/>
  <c r="Q85" i="221"/>
  <c r="M83" i="219"/>
  <c r="P55" i="221"/>
  <c r="P44" i="221" s="1"/>
  <c r="L55" i="222"/>
  <c r="N89" i="219"/>
  <c r="S156" i="219"/>
  <c r="P55" i="220"/>
  <c r="P44" i="220" s="1"/>
  <c r="Q84" i="221"/>
  <c r="S88" i="220"/>
  <c r="L27" i="234"/>
  <c r="V89" i="219"/>
  <c r="L146" i="221"/>
  <c r="S156" i="220"/>
  <c r="O27" i="231"/>
  <c r="O18" i="231" s="1"/>
  <c r="O29" i="231" s="1"/>
  <c r="F27" i="232"/>
  <c r="F18" i="232" s="1"/>
  <c r="F29" i="232" s="1"/>
  <c r="T165" i="221"/>
  <c r="U165" i="218"/>
  <c r="L165" i="204"/>
  <c r="Q84" i="218"/>
  <c r="M146" i="221"/>
  <c r="T165" i="220"/>
  <c r="S165" i="204"/>
  <c r="L27" i="232"/>
  <c r="L18" i="232" s="1"/>
  <c r="L29" i="232" s="1"/>
  <c r="T91" i="220"/>
  <c r="P84" i="220"/>
  <c r="R146" i="220"/>
  <c r="V83" i="218"/>
  <c r="P85" i="218"/>
  <c r="R91" i="220"/>
  <c r="T89" i="222"/>
  <c r="M27" i="234"/>
  <c r="F38" i="235"/>
  <c r="E38" i="234"/>
  <c r="K84" i="219"/>
  <c r="T83" i="204"/>
  <c r="N83" i="222"/>
  <c r="T146" i="219"/>
  <c r="T91" i="221"/>
  <c r="R88" i="218"/>
  <c r="L85" i="204"/>
  <c r="O89" i="222"/>
  <c r="P165" i="218"/>
  <c r="L84" i="218"/>
  <c r="K165" i="204"/>
  <c r="K147" i="204"/>
  <c r="T84" i="221"/>
  <c r="S88" i="219"/>
  <c r="K38" i="231"/>
  <c r="K37" i="231" s="1"/>
  <c r="K42" i="231" s="1"/>
  <c r="R165" i="219"/>
  <c r="L84" i="220"/>
  <c r="S83" i="204"/>
  <c r="V165" i="220"/>
  <c r="K165" i="221"/>
  <c r="R89" i="220"/>
  <c r="N146" i="219"/>
  <c r="L84" i="204"/>
  <c r="T85" i="218"/>
  <c r="K84" i="218"/>
  <c r="R165" i="220"/>
  <c r="O156" i="219"/>
  <c r="Q85" i="204"/>
  <c r="P88" i="219"/>
  <c r="N83" i="221"/>
  <c r="P85" i="220"/>
  <c r="F27" i="233"/>
  <c r="F18" i="233" s="1"/>
  <c r="F29" i="233" s="1"/>
  <c r="T35" i="220"/>
  <c r="T33" i="220" s="1"/>
  <c r="T42" i="220" s="1"/>
  <c r="R156" i="220"/>
  <c r="K55" i="221"/>
  <c r="N38" i="234"/>
  <c r="N84" i="222"/>
  <c r="O89" i="220"/>
  <c r="L146" i="204"/>
  <c r="M27" i="233"/>
  <c r="M18" i="233" s="1"/>
  <c r="M29" i="233" s="1"/>
  <c r="S89" i="218"/>
  <c r="V146" i="219"/>
  <c r="F27" i="236"/>
  <c r="F18" i="236" s="1"/>
  <c r="F29" i="236" s="1"/>
  <c r="N35" i="219"/>
  <c r="N33" i="219" s="1"/>
  <c r="N42" i="219" s="1"/>
  <c r="U84" i="222"/>
  <c r="H27" i="234"/>
  <c r="T91" i="219"/>
  <c r="V88" i="219"/>
  <c r="L146" i="219"/>
  <c r="M35" i="220"/>
  <c r="M33" i="220" s="1"/>
  <c r="M42" i="220" s="1"/>
  <c r="O85" i="219"/>
  <c r="L146" i="220"/>
  <c r="U156" i="221"/>
  <c r="K35" i="218"/>
  <c r="K88" i="218"/>
  <c r="S84" i="222"/>
  <c r="T146" i="218"/>
  <c r="L55" i="219"/>
  <c r="T83" i="218"/>
  <c r="N83" i="220"/>
  <c r="M85" i="218"/>
  <c r="J27" i="232"/>
  <c r="J18" i="232" s="1"/>
  <c r="J29" i="232" s="1"/>
  <c r="K156" i="218"/>
  <c r="N38" i="235"/>
  <c r="L83" i="204"/>
  <c r="R83" i="219"/>
  <c r="V146" i="204"/>
  <c r="V84" i="220"/>
  <c r="M147" i="204"/>
  <c r="M147" i="206" s="1"/>
  <c r="F27" i="234"/>
  <c r="I27" i="233"/>
  <c r="I18" i="233" s="1"/>
  <c r="I29" i="233" s="1"/>
  <c r="K27" i="232"/>
  <c r="K18" i="232" s="1"/>
  <c r="K29" i="232" s="1"/>
  <c r="O27" i="234"/>
  <c r="O147" i="204"/>
  <c r="O147" i="206" s="1"/>
  <c r="N85" i="221"/>
  <c r="O85" i="218"/>
  <c r="Q147" i="204"/>
  <c r="Q147" i="206" s="1"/>
  <c r="R91" i="218"/>
  <c r="L85" i="221"/>
  <c r="L55" i="204"/>
  <c r="L44" i="204" s="1"/>
  <c r="U156" i="204"/>
  <c r="I27" i="234"/>
  <c r="L27" i="231"/>
  <c r="L18" i="231" s="1"/>
  <c r="L29" i="231" s="1"/>
  <c r="P165" i="204"/>
  <c r="K27" i="233"/>
  <c r="K18" i="233" s="1"/>
  <c r="K29" i="233" s="1"/>
  <c r="O38" i="235"/>
  <c r="S84" i="220"/>
  <c r="U35" i="204"/>
  <c r="N165" i="221"/>
  <c r="V88" i="218"/>
  <c r="J38" i="235"/>
  <c r="H27" i="233"/>
  <c r="H18" i="233" s="1"/>
  <c r="H29" i="233" s="1"/>
  <c r="P156" i="218"/>
  <c r="P172" i="218" s="1"/>
  <c r="T84" i="220"/>
  <c r="K55" i="222"/>
  <c r="F38" i="233"/>
  <c r="F37" i="233" s="1"/>
  <c r="F42" i="233" s="1"/>
  <c r="U83" i="204"/>
  <c r="P27" i="233"/>
  <c r="P18" i="233" s="1"/>
  <c r="P29" i="233" s="1"/>
  <c r="P27" i="235"/>
  <c r="Q55" i="204"/>
  <c r="R83" i="204"/>
  <c r="M27" i="232"/>
  <c r="M18" i="232" s="1"/>
  <c r="M29" i="232" s="1"/>
  <c r="K38" i="232"/>
  <c r="S85" i="218"/>
  <c r="N27" i="235"/>
  <c r="E27" i="231"/>
  <c r="P38" i="235"/>
  <c r="N27" i="234"/>
  <c r="M38" i="235"/>
  <c r="N84" i="220"/>
  <c r="K84" i="220"/>
  <c r="S84" i="204"/>
  <c r="K142" i="204"/>
  <c r="E27" i="235"/>
  <c r="S147" i="204"/>
  <c r="S147" i="206" s="1"/>
  <c r="M84" i="218"/>
  <c r="M83" i="218"/>
  <c r="O27" i="235"/>
  <c r="Q91" i="221"/>
  <c r="K89" i="220"/>
  <c r="P38" i="234"/>
  <c r="G38" i="235"/>
  <c r="K38" i="235"/>
  <c r="I27" i="235"/>
  <c r="E27" i="233"/>
  <c r="O55" i="222"/>
  <c r="N84" i="218"/>
  <c r="N27" i="233"/>
  <c r="N18" i="233" s="1"/>
  <c r="N29" i="233" s="1"/>
  <c r="U83" i="218"/>
  <c r="J27" i="231"/>
  <c r="J18" i="231" s="1"/>
  <c r="J29" i="231" s="1"/>
  <c r="R147" i="204"/>
  <c r="R147" i="206" s="1"/>
  <c r="I27" i="231"/>
  <c r="I18" i="231" s="1"/>
  <c r="I29" i="231" s="1"/>
  <c r="L147" i="204"/>
  <c r="G38" i="234"/>
  <c r="K91" i="218"/>
  <c r="E27" i="234"/>
  <c r="O84" i="220"/>
  <c r="R84" i="220"/>
  <c r="O35" i="204"/>
  <c r="O146" i="218"/>
  <c r="R91" i="219"/>
  <c r="P83" i="204"/>
  <c r="J27" i="235"/>
  <c r="T89" i="220"/>
  <c r="O27" i="233"/>
  <c r="O18" i="233" s="1"/>
  <c r="O29" i="233" s="1"/>
  <c r="U88" i="219"/>
  <c r="J27" i="234"/>
  <c r="K27" i="231"/>
  <c r="L38" i="235"/>
  <c r="S156" i="204"/>
  <c r="M55" i="204"/>
  <c r="H27" i="235"/>
  <c r="L27" i="233"/>
  <c r="L18" i="233" s="1"/>
  <c r="L29" i="233" s="1"/>
  <c r="Q84" i="220"/>
  <c r="T147" i="204"/>
  <c r="T147" i="206" s="1"/>
  <c r="Q91" i="218"/>
  <c r="G27" i="234"/>
  <c r="J27" i="233"/>
  <c r="J18" i="233" s="1"/>
  <c r="J29" i="233" s="1"/>
  <c r="P27" i="234"/>
  <c r="M156" i="204"/>
  <c r="K83" i="218"/>
  <c r="M27" i="235"/>
  <c r="Q165" i="219"/>
  <c r="O156" i="204"/>
  <c r="R35" i="220"/>
  <c r="R33" i="220" s="1"/>
  <c r="R42" i="220" s="1"/>
  <c r="M91" i="218"/>
  <c r="S89" i="220"/>
  <c r="N35" i="204"/>
  <c r="G27" i="232"/>
  <c r="G18" i="232" s="1"/>
  <c r="G29" i="232" s="1"/>
  <c r="H27" i="231"/>
  <c r="H18" i="231" s="1"/>
  <c r="H29" i="231" s="1"/>
  <c r="S85" i="221"/>
  <c r="P152" i="218"/>
  <c r="L83" i="219"/>
  <c r="K146" i="204"/>
  <c r="K27" i="235"/>
  <c r="Q55" i="221"/>
  <c r="N27" i="232"/>
  <c r="N18" i="232" s="1"/>
  <c r="N29" i="232" s="1"/>
  <c r="K146" i="221"/>
  <c r="R156" i="204"/>
  <c r="T35" i="204"/>
  <c r="Q84" i="204"/>
  <c r="O27" i="232"/>
  <c r="O18" i="232" s="1"/>
  <c r="O29" i="232" s="1"/>
  <c r="M84" i="220"/>
  <c r="L27" i="235"/>
  <c r="G27" i="233"/>
  <c r="G18" i="233" s="1"/>
  <c r="G29" i="233" s="1"/>
  <c r="K27" i="234"/>
  <c r="F27" i="235"/>
  <c r="F27" i="231"/>
  <c r="F18" i="231" s="1"/>
  <c r="F29" i="231" s="1"/>
  <c r="H27" i="232"/>
  <c r="H18" i="232" s="1"/>
  <c r="H29" i="232" s="1"/>
  <c r="E27" i="232"/>
  <c r="E18" i="232" s="1"/>
  <c r="G27" i="235"/>
  <c r="M27" i="231"/>
  <c r="M18" i="231" s="1"/>
  <c r="M29" i="231" s="1"/>
  <c r="G27" i="231"/>
  <c r="G18" i="231" s="1"/>
  <c r="G29" i="231" s="1"/>
  <c r="I27" i="232"/>
  <c r="I18" i="232" s="1"/>
  <c r="I29" i="232" s="1"/>
  <c r="P27" i="232"/>
  <c r="P18" i="232" s="1"/>
  <c r="P29" i="232" s="1"/>
  <c r="P27" i="231"/>
  <c r="P18" i="231" s="1"/>
  <c r="P29" i="231" s="1"/>
  <c r="T97" i="218"/>
  <c r="T97" i="206" s="1"/>
  <c r="Q97" i="218"/>
  <c r="Q97" i="206" s="1"/>
  <c r="L93" i="218"/>
  <c r="G26" i="230"/>
  <c r="N53" i="206"/>
  <c r="O46" i="206"/>
  <c r="W54" i="219"/>
  <c r="AR56" i="198"/>
  <c r="AS56" i="198" s="1"/>
  <c r="G54" i="219"/>
  <c r="I54" i="219" s="1"/>
  <c r="D54" i="219"/>
  <c r="F54" i="219" s="1"/>
  <c r="N56" i="198"/>
  <c r="O56" i="198" s="1"/>
  <c r="S182" i="198"/>
  <c r="T182" i="198" s="1"/>
  <c r="D61" i="220"/>
  <c r="F61" i="220" s="1"/>
  <c r="AW93" i="198"/>
  <c r="AX93" i="198" s="1"/>
  <c r="AW173" i="198"/>
  <c r="AX173" i="198" s="1"/>
  <c r="AW128" i="198"/>
  <c r="AX128" i="198" s="1"/>
  <c r="AW76" i="198"/>
  <c r="AX76" i="198" s="1"/>
  <c r="S173" i="198"/>
  <c r="T173" i="198" s="1"/>
  <c r="S154" i="198"/>
  <c r="T154" i="198" s="1"/>
  <c r="S194" i="198"/>
  <c r="T194" i="198" s="1"/>
  <c r="S93" i="198"/>
  <c r="T93" i="198" s="1"/>
  <c r="AW63" i="198"/>
  <c r="AX63" i="198" s="1"/>
  <c r="AW182" i="198"/>
  <c r="AX182" i="198" s="1"/>
  <c r="S63" i="198"/>
  <c r="T63" i="198" s="1"/>
  <c r="S76" i="198"/>
  <c r="T76" i="198" s="1"/>
  <c r="AW194" i="198"/>
  <c r="AX194" i="198" s="1"/>
  <c r="S128" i="198"/>
  <c r="T128" i="198" s="1"/>
  <c r="G61" i="220"/>
  <c r="I61" i="220" s="1"/>
  <c r="AW154" i="198"/>
  <c r="AX154" i="198" s="1"/>
  <c r="D152" i="220"/>
  <c r="F152" i="220" s="1"/>
  <c r="G152" i="220"/>
  <c r="I152" i="220" s="1"/>
  <c r="B25" i="232"/>
  <c r="Q25" i="232"/>
  <c r="C25" i="232"/>
  <c r="U52" i="206"/>
  <c r="D48" i="198"/>
  <c r="E48" i="198" s="1"/>
  <c r="AH48" i="198"/>
  <c r="AI48" i="198" s="1"/>
  <c r="D46" i="204"/>
  <c r="F46" i="204" s="1"/>
  <c r="W46" i="204"/>
  <c r="G46" i="204"/>
  <c r="I46" i="204" s="1"/>
  <c r="K46" i="206"/>
  <c r="R60" i="206"/>
  <c r="D57" i="222"/>
  <c r="F57" i="222" s="1"/>
  <c r="G57" i="222"/>
  <c r="I57" i="222" s="1"/>
  <c r="AC59" i="198"/>
  <c r="AD59" i="198" s="1"/>
  <c r="BG59" i="198"/>
  <c r="BH59" i="198" s="1"/>
  <c r="G152" i="219"/>
  <c r="I152" i="219" s="1"/>
  <c r="D152" i="219"/>
  <c r="F152" i="219" s="1"/>
  <c r="M56" i="206"/>
  <c r="O58" i="206"/>
  <c r="S47" i="198"/>
  <c r="T47" i="198" s="1"/>
  <c r="G45" i="220"/>
  <c r="I45" i="220" s="1"/>
  <c r="D45" i="220"/>
  <c r="F45" i="220" s="1"/>
  <c r="W45" i="220"/>
  <c r="AW47" i="198"/>
  <c r="AX47" i="198" s="1"/>
  <c r="G59" i="204"/>
  <c r="I59" i="204" s="1"/>
  <c r="D59" i="204"/>
  <c r="F59" i="204" s="1"/>
  <c r="D61" i="198"/>
  <c r="E61" i="198" s="1"/>
  <c r="AH61" i="198"/>
  <c r="AI61" i="198" s="1"/>
  <c r="W59" i="204"/>
  <c r="K59" i="206"/>
  <c r="S148" i="206"/>
  <c r="D57" i="204"/>
  <c r="F57" i="204" s="1"/>
  <c r="AH59" i="198"/>
  <c r="AI59" i="198" s="1"/>
  <c r="W57" i="204"/>
  <c r="G57" i="204"/>
  <c r="I57" i="204" s="1"/>
  <c r="D59" i="198"/>
  <c r="E59" i="198" s="1"/>
  <c r="K57" i="206"/>
  <c r="U151" i="206"/>
  <c r="Q86" i="206"/>
  <c r="D147" i="219"/>
  <c r="F147" i="219" s="1"/>
  <c r="G147" i="219"/>
  <c r="I147" i="219" s="1"/>
  <c r="N149" i="198"/>
  <c r="O149" i="198" s="1"/>
  <c r="AR149" i="198"/>
  <c r="AS149" i="198" s="1"/>
  <c r="L58" i="206"/>
  <c r="G52" i="220"/>
  <c r="I52" i="220" s="1"/>
  <c r="D52" i="220"/>
  <c r="F52" i="220" s="1"/>
  <c r="AW54" i="198"/>
  <c r="AX54" i="198" s="1"/>
  <c r="S54" i="198"/>
  <c r="T54" i="198" s="1"/>
  <c r="I26" i="230"/>
  <c r="T69" i="177"/>
  <c r="T55" i="177"/>
  <c r="T56" i="177" s="1"/>
  <c r="U35" i="177"/>
  <c r="U45" i="177"/>
  <c r="U58" i="177" s="1"/>
  <c r="V8" i="177"/>
  <c r="Q19" i="220"/>
  <c r="Q15" i="206"/>
  <c r="Q19" i="206" s="1"/>
  <c r="T40" i="177"/>
  <c r="T43" i="177" s="1"/>
  <c r="T38" i="177"/>
  <c r="U51" i="177"/>
  <c r="U64" i="177" s="1"/>
  <c r="U68" i="177" s="1"/>
  <c r="V11" i="177"/>
  <c r="V47" i="177"/>
  <c r="V54" i="177"/>
  <c r="V67" i="177" s="1"/>
  <c r="V49" i="177"/>
  <c r="V62" i="177" s="1"/>
  <c r="V53" i="177"/>
  <c r="V66" i="177" s="1"/>
  <c r="V52" i="177"/>
  <c r="V65" i="177" s="1"/>
  <c r="W47" i="177"/>
  <c r="V50" i="177"/>
  <c r="V63" i="177" s="1"/>
  <c r="R24" i="177"/>
  <c r="S23" i="177"/>
  <c r="D33" i="243" s="1"/>
  <c r="E74" i="243" s="1"/>
  <c r="F43" i="174"/>
  <c r="E43" i="174"/>
  <c r="E127" i="174" s="1"/>
  <c r="M72" i="248"/>
  <c r="N72" i="248" s="1"/>
  <c r="N78" i="248" s="1"/>
  <c r="M79" i="248"/>
  <c r="M80" i="248" s="1"/>
  <c r="N80" i="248" s="1"/>
  <c r="K79" i="248"/>
  <c r="H96" i="240"/>
  <c r="M96" i="240" s="1"/>
  <c r="N96" i="240" s="1"/>
  <c r="H101" i="248"/>
  <c r="K109" i="248"/>
  <c r="N109" i="248"/>
  <c r="O109" i="248" s="1"/>
  <c r="O113" i="248" s="1"/>
  <c r="N68" i="240"/>
  <c r="N73" i="240" s="1"/>
  <c r="M73" i="240"/>
  <c r="I39" i="232"/>
  <c r="M88" i="240"/>
  <c r="N88" i="240" s="1"/>
  <c r="K88" i="240"/>
  <c r="G104" i="240"/>
  <c r="N29" i="177"/>
  <c r="O28" i="177" s="1"/>
  <c r="G116" i="248" s="1"/>
  <c r="F80" i="240"/>
  <c r="K27" i="177"/>
  <c r="L26" i="177" s="1"/>
  <c r="AT306" i="217"/>
  <c r="AS311" i="217"/>
  <c r="AS275" i="217"/>
  <c r="AT134" i="217"/>
  <c r="AU30" i="217"/>
  <c r="AT239" i="217"/>
  <c r="AT64" i="217"/>
  <c r="AT169" i="217"/>
  <c r="AT99" i="217"/>
  <c r="AR257" i="217"/>
  <c r="AR255" i="217"/>
  <c r="AR150" i="217"/>
  <c r="AR151" i="217"/>
  <c r="AR184" i="217"/>
  <c r="AR186" i="217"/>
  <c r="AR80" i="217"/>
  <c r="AR305" i="217"/>
  <c r="AR81" i="217"/>
  <c r="AR269" i="217"/>
  <c r="AR114" i="217"/>
  <c r="AR116" i="217"/>
  <c r="AS58" i="217"/>
  <c r="AS46" i="217"/>
  <c r="AS233" i="217"/>
  <c r="AS128" i="217"/>
  <c r="AS93" i="217"/>
  <c r="AS44" i="217"/>
  <c r="AT24" i="217"/>
  <c r="AS163" i="217"/>
  <c r="AQ329" i="217"/>
  <c r="AQ326" i="217"/>
  <c r="AQ293" i="217"/>
  <c r="AQ291" i="217"/>
  <c r="AU309" i="217"/>
  <c r="AV309" i="217" s="1"/>
  <c r="AU312" i="217"/>
  <c r="AV312" i="217" s="1"/>
  <c r="AS292" i="217"/>
  <c r="AV69" i="217"/>
  <c r="AU316" i="217"/>
  <c r="AV316" i="217" s="1"/>
  <c r="AU314" i="217"/>
  <c r="AV314" i="217" s="1"/>
  <c r="AU307" i="217"/>
  <c r="AV307" i="217" s="1"/>
  <c r="AT304" i="217"/>
  <c r="AT303" i="217"/>
  <c r="AV68" i="217"/>
  <c r="AU315" i="217"/>
  <c r="AV315" i="217" s="1"/>
  <c r="AV65" i="217"/>
  <c r="AU276" i="217"/>
  <c r="AV276" i="217" s="1"/>
  <c r="AU282" i="217"/>
  <c r="AV282" i="217" s="1"/>
  <c r="AU280" i="217"/>
  <c r="AV280" i="217" s="1"/>
  <c r="AU279" i="217"/>
  <c r="AV279" i="217" s="1"/>
  <c r="AU278" i="217"/>
  <c r="AV278" i="217" s="1"/>
  <c r="AU273" i="217"/>
  <c r="AV273" i="217" s="1"/>
  <c r="AU272" i="217"/>
  <c r="AV272" i="217" s="1"/>
  <c r="AU271" i="217"/>
  <c r="AV271" i="217" s="1"/>
  <c r="AV45" i="217"/>
  <c r="AT300" i="217"/>
  <c r="AU283" i="217"/>
  <c r="AV283" i="217" s="1"/>
  <c r="AV72" i="217"/>
  <c r="AU319" i="217"/>
  <c r="AV319" i="217" s="1"/>
  <c r="AV71" i="217"/>
  <c r="AU318" i="217"/>
  <c r="AV318" i="217" s="1"/>
  <c r="AU281" i="217"/>
  <c r="AV281" i="217" s="1"/>
  <c r="AV70" i="217"/>
  <c r="AU317" i="217"/>
  <c r="AV317" i="217" s="1"/>
  <c r="AV61" i="217"/>
  <c r="AU308" i="217"/>
  <c r="AV308" i="217" s="1"/>
  <c r="AT302" i="217"/>
  <c r="AT301" i="217"/>
  <c r="AS327" i="217"/>
  <c r="AU164" i="217"/>
  <c r="AV164" i="217" s="1"/>
  <c r="AU94" i="217"/>
  <c r="AV94" i="217" s="1"/>
  <c r="AU59" i="217"/>
  <c r="AU129" i="217"/>
  <c r="AV129" i="217" s="1"/>
  <c r="AU234" i="217"/>
  <c r="AV234" i="217" s="1"/>
  <c r="AU127" i="217"/>
  <c r="AV127" i="217" s="1"/>
  <c r="AU232" i="217"/>
  <c r="AV232" i="217" s="1"/>
  <c r="AU57" i="217"/>
  <c r="AU92" i="217"/>
  <c r="AV92" i="217" s="1"/>
  <c r="AU162" i="217"/>
  <c r="AV162" i="217" s="1"/>
  <c r="AU55" i="217"/>
  <c r="AU90" i="217"/>
  <c r="AV90" i="217" s="1"/>
  <c r="AU160" i="217"/>
  <c r="AV160" i="217" s="1"/>
  <c r="AU125" i="217"/>
  <c r="AV125" i="217" s="1"/>
  <c r="AU230" i="217"/>
  <c r="AV230" i="217" s="1"/>
  <c r="AT266" i="217"/>
  <c r="AU89" i="217"/>
  <c r="AV89" i="217" s="1"/>
  <c r="AU229" i="217"/>
  <c r="AV229" i="217" s="1"/>
  <c r="AU54" i="217"/>
  <c r="AV54" i="217" s="1"/>
  <c r="AU124" i="217"/>
  <c r="AV124" i="217" s="1"/>
  <c r="AU159" i="217"/>
  <c r="AV159" i="217" s="1"/>
  <c r="AT265" i="217"/>
  <c r="AU88" i="217"/>
  <c r="AV88" i="217" s="1"/>
  <c r="AU228" i="217"/>
  <c r="AV228" i="217" s="1"/>
  <c r="AU53" i="217"/>
  <c r="AV53" i="217" s="1"/>
  <c r="AU123" i="217"/>
  <c r="AV123" i="217" s="1"/>
  <c r="AU158" i="217"/>
  <c r="AV158" i="217" s="1"/>
  <c r="AT264" i="217"/>
  <c r="AT115" i="217"/>
  <c r="AT270" i="217"/>
  <c r="AT268" i="217"/>
  <c r="AU45" i="217"/>
  <c r="AU126" i="217"/>
  <c r="AV126" i="217" s="1"/>
  <c r="AU91" i="217"/>
  <c r="AU231" i="217"/>
  <c r="AV231" i="217" s="1"/>
  <c r="AU161" i="217"/>
  <c r="AV161" i="217" s="1"/>
  <c r="AU56" i="217"/>
  <c r="AT79" i="217"/>
  <c r="AT267" i="217"/>
  <c r="AT149" i="217"/>
  <c r="AT185" i="217"/>
  <c r="AT256" i="217"/>
  <c r="AU313" i="217"/>
  <c r="AV313" i="217" s="1"/>
  <c r="AV32" i="217"/>
  <c r="AU310" i="217"/>
  <c r="AV310" i="217" s="1"/>
  <c r="AV29" i="217"/>
  <c r="M31" i="177"/>
  <c r="O32" i="177"/>
  <c r="O117" i="248" s="1"/>
  <c r="S44" i="218" l="1"/>
  <c r="W56" i="219"/>
  <c r="L44" i="221"/>
  <c r="W53" i="221"/>
  <c r="K44" i="204"/>
  <c r="D44" i="204" s="1"/>
  <c r="F44" i="204" s="1"/>
  <c r="U44" i="220"/>
  <c r="W51" i="218"/>
  <c r="M44" i="218"/>
  <c r="P44" i="222"/>
  <c r="P44" i="206" s="1"/>
  <c r="W59" i="222"/>
  <c r="W56" i="222"/>
  <c r="V147" i="206"/>
  <c r="BO55" i="250"/>
  <c r="BO56" i="250" s="1"/>
  <c r="BM75" i="250"/>
  <c r="BM76" i="250" s="1"/>
  <c r="BQ60" i="250"/>
  <c r="BQ49" i="250"/>
  <c r="BQ62" i="250" s="1"/>
  <c r="BQ53" i="250"/>
  <c r="BQ66" i="250" s="1"/>
  <c r="BQ50" i="250"/>
  <c r="BQ63" i="250" s="1"/>
  <c r="BQ54" i="250"/>
  <c r="BQ67" i="250" s="1"/>
  <c r="BR10" i="250" a="1"/>
  <c r="BR10" i="250" s="1"/>
  <c r="BR47" i="250" s="1"/>
  <c r="BQ52" i="250"/>
  <c r="BQ65" i="250" s="1"/>
  <c r="BO24" i="250"/>
  <c r="BP23" i="250"/>
  <c r="BO30" i="250"/>
  <c r="BO31" i="250" s="1"/>
  <c r="BO28" i="250"/>
  <c r="BO29" i="250" s="1"/>
  <c r="BO26" i="250"/>
  <c r="BO27" i="250" s="1"/>
  <c r="BO32" i="250"/>
  <c r="BO33" i="250" s="1"/>
  <c r="BP58" i="250"/>
  <c r="BQ11" i="250"/>
  <c r="BP51" i="250"/>
  <c r="BP64" i="250" s="1"/>
  <c r="BP68" i="250" s="1"/>
  <c r="BQ35" i="250"/>
  <c r="BR8" i="250"/>
  <c r="BQ45" i="250"/>
  <c r="BP38" i="250"/>
  <c r="BP40" i="250"/>
  <c r="BP43" i="250" s="1"/>
  <c r="U142" i="206"/>
  <c r="AV47" i="177"/>
  <c r="AV50" i="177"/>
  <c r="AV63" i="177" s="1"/>
  <c r="AV52" i="177"/>
  <c r="AV65" i="177" s="1"/>
  <c r="AV53" i="177"/>
  <c r="AV66" i="177" s="1"/>
  <c r="AV54" i="177"/>
  <c r="AV67" i="177" s="1"/>
  <c r="AW10" i="177" a="1"/>
  <c r="AW10" i="177" s="1"/>
  <c r="AW47" i="177" s="1"/>
  <c r="AV49" i="177"/>
  <c r="AV62" i="177" s="1"/>
  <c r="M172" i="218"/>
  <c r="S172" i="218"/>
  <c r="S142" i="206"/>
  <c r="L172" i="218"/>
  <c r="P142" i="206"/>
  <c r="V172" i="218"/>
  <c r="S172" i="221"/>
  <c r="N172" i="218"/>
  <c r="Q87" i="206"/>
  <c r="Q45" i="206"/>
  <c r="L59" i="206"/>
  <c r="W59" i="206" s="1"/>
  <c r="R44" i="219"/>
  <c r="W61" i="221"/>
  <c r="P58" i="206"/>
  <c r="L57" i="206"/>
  <c r="W57" i="206" s="1"/>
  <c r="T44" i="220"/>
  <c r="W59" i="219"/>
  <c r="W51" i="222"/>
  <c r="M44" i="221"/>
  <c r="T58" i="206"/>
  <c r="S56" i="206"/>
  <c r="W86" i="204"/>
  <c r="W46" i="221"/>
  <c r="K44" i="220"/>
  <c r="S46" i="198" s="1"/>
  <c r="T46" i="198" s="1"/>
  <c r="Q53" i="206"/>
  <c r="W87" i="204"/>
  <c r="W61" i="220"/>
  <c r="Q80" i="222"/>
  <c r="Q153" i="222" s="1"/>
  <c r="Q185" i="222" s="1"/>
  <c r="Q201" i="222" s="1"/>
  <c r="Q207" i="222" s="1"/>
  <c r="V172" i="220"/>
  <c r="R142" i="206"/>
  <c r="W152" i="220"/>
  <c r="R152" i="206"/>
  <c r="U152" i="206"/>
  <c r="M80" i="218"/>
  <c r="M146" i="206"/>
  <c r="AU320" i="217"/>
  <c r="AV320" i="217" s="1"/>
  <c r="L172" i="219"/>
  <c r="N80" i="221"/>
  <c r="N172" i="220"/>
  <c r="O172" i="219"/>
  <c r="L165" i="206"/>
  <c r="Q172" i="219"/>
  <c r="O172" i="220"/>
  <c r="U91" i="206"/>
  <c r="Q55" i="206"/>
  <c r="N172" i="221"/>
  <c r="M91" i="206"/>
  <c r="T172" i="221"/>
  <c r="S80" i="219"/>
  <c r="S153" i="219" s="1"/>
  <c r="M44" i="219"/>
  <c r="S152" i="206"/>
  <c r="P172" i="221"/>
  <c r="S84" i="206"/>
  <c r="W152" i="221"/>
  <c r="K91" i="206"/>
  <c r="G91" i="206" s="1"/>
  <c r="I91" i="206" s="1"/>
  <c r="R80" i="204"/>
  <c r="R153" i="204" s="1"/>
  <c r="N172" i="219"/>
  <c r="O80" i="221"/>
  <c r="O153" i="221" s="1"/>
  <c r="N89" i="206"/>
  <c r="P80" i="219"/>
  <c r="P153" i="219" s="1"/>
  <c r="O172" i="221"/>
  <c r="P83" i="206"/>
  <c r="U80" i="221"/>
  <c r="U153" i="221" s="1"/>
  <c r="S172" i="219"/>
  <c r="Q80" i="218"/>
  <c r="Q172" i="221"/>
  <c r="S80" i="218"/>
  <c r="V55" i="206"/>
  <c r="U89" i="206"/>
  <c r="Q44" i="221"/>
  <c r="N91" i="206"/>
  <c r="S91" i="206"/>
  <c r="M80" i="219"/>
  <c r="Q44" i="219"/>
  <c r="V44" i="218"/>
  <c r="U146" i="206"/>
  <c r="L172" i="221"/>
  <c r="O44" i="222"/>
  <c r="T91" i="206"/>
  <c r="R80" i="220"/>
  <c r="L80" i="218"/>
  <c r="V44" i="221"/>
  <c r="R80" i="221"/>
  <c r="R153" i="221" s="1"/>
  <c r="V88" i="206"/>
  <c r="T80" i="219"/>
  <c r="V91" i="206"/>
  <c r="L80" i="219"/>
  <c r="Q80" i="219"/>
  <c r="L91" i="206"/>
  <c r="S80" i="220"/>
  <c r="R91" i="206"/>
  <c r="N44" i="220"/>
  <c r="M89" i="206"/>
  <c r="R172" i="220"/>
  <c r="P91" i="206"/>
  <c r="W46" i="220"/>
  <c r="N80" i="220"/>
  <c r="L172" i="220"/>
  <c r="W57" i="220"/>
  <c r="R146" i="206"/>
  <c r="W86" i="220"/>
  <c r="O88" i="206"/>
  <c r="P84" i="206"/>
  <c r="R84" i="206"/>
  <c r="W142" i="220"/>
  <c r="Q91" i="206"/>
  <c r="U172" i="220"/>
  <c r="U88" i="206"/>
  <c r="V89" i="206"/>
  <c r="U84" i="206"/>
  <c r="O91" i="206"/>
  <c r="Q80" i="220"/>
  <c r="Q153" i="220" s="1"/>
  <c r="M18" i="235"/>
  <c r="M29" i="235" s="1"/>
  <c r="E126" i="248" s="1"/>
  <c r="H18" i="235"/>
  <c r="H29" i="235" s="1"/>
  <c r="E84" i="248" s="1"/>
  <c r="G18" i="235"/>
  <c r="G29" i="235" s="1"/>
  <c r="E77" i="248" s="1"/>
  <c r="F18" i="235"/>
  <c r="F29" i="235" s="1"/>
  <c r="E65" i="240" s="1"/>
  <c r="K18" i="235"/>
  <c r="K29" i="235" s="1"/>
  <c r="E112" i="248" s="1"/>
  <c r="N18" i="235"/>
  <c r="J18" i="235"/>
  <c r="J29" i="235" s="1"/>
  <c r="E100" i="240" s="1"/>
  <c r="P18" i="235"/>
  <c r="P29" i="235" s="1"/>
  <c r="E148" i="248" s="1"/>
  <c r="L18" i="235"/>
  <c r="L29" i="235" s="1"/>
  <c r="E116" i="240" s="1"/>
  <c r="E115" i="240" s="1"/>
  <c r="F115" i="240" s="1"/>
  <c r="O18" i="235"/>
  <c r="O29" i="235" s="1"/>
  <c r="E141" i="248" s="1"/>
  <c r="U92" i="218"/>
  <c r="U92" i="206" s="1"/>
  <c r="G37" i="236"/>
  <c r="G42" i="236" s="1"/>
  <c r="G56" i="236" s="1"/>
  <c r="O38" i="230"/>
  <c r="M37" i="236"/>
  <c r="M42" i="236" s="1"/>
  <c r="M56" i="236" s="1"/>
  <c r="F37" i="236"/>
  <c r="F42" i="236" s="1"/>
  <c r="F56" i="236" s="1"/>
  <c r="J37" i="236"/>
  <c r="J42" i="236" s="1"/>
  <c r="J56" i="236" s="1"/>
  <c r="I37" i="236"/>
  <c r="I42" i="236" s="1"/>
  <c r="I56" i="236" s="1"/>
  <c r="K37" i="236"/>
  <c r="K42" i="236" s="1"/>
  <c r="K56" i="236" s="1"/>
  <c r="H37" i="236"/>
  <c r="H42" i="236" s="1"/>
  <c r="H56" i="236" s="1"/>
  <c r="P37" i="236"/>
  <c r="P42" i="236" s="1"/>
  <c r="P56" i="236" s="1"/>
  <c r="F106" i="251"/>
  <c r="F105" i="251" s="1"/>
  <c r="F71" i="251"/>
  <c r="F70" i="251" s="1"/>
  <c r="F42" i="251"/>
  <c r="F78" i="251"/>
  <c r="F77" i="251" s="1"/>
  <c r="F64" i="251"/>
  <c r="F63" i="251" s="1"/>
  <c r="F120" i="251"/>
  <c r="F119" i="251" s="1"/>
  <c r="F92" i="251"/>
  <c r="F91" i="251" s="1"/>
  <c r="F85" i="251"/>
  <c r="F84" i="251" s="1"/>
  <c r="F113" i="251"/>
  <c r="F112" i="251" s="1"/>
  <c r="F99" i="251"/>
  <c r="F98" i="251" s="1"/>
  <c r="O37" i="236"/>
  <c r="O42" i="236" s="1"/>
  <c r="O56" i="236" s="1"/>
  <c r="L37" i="236"/>
  <c r="L42" i="236" s="1"/>
  <c r="L56" i="236" s="1"/>
  <c r="J38" i="230"/>
  <c r="N37" i="236"/>
  <c r="N42" i="236" s="1"/>
  <c r="N56" i="236" s="1"/>
  <c r="G64" i="251"/>
  <c r="G92" i="251"/>
  <c r="G106" i="251"/>
  <c r="G71" i="251"/>
  <c r="G113" i="251"/>
  <c r="G99" i="251"/>
  <c r="G120" i="251"/>
  <c r="G85" i="251"/>
  <c r="G78" i="251"/>
  <c r="H72" i="240"/>
  <c r="H57" i="251" s="1"/>
  <c r="H65" i="240"/>
  <c r="H85" i="240"/>
  <c r="S92" i="218"/>
  <c r="S92" i="206" s="1"/>
  <c r="V92" i="218"/>
  <c r="V92" i="206" s="1"/>
  <c r="P92" i="218"/>
  <c r="P92" i="206" s="1"/>
  <c r="J112" i="248"/>
  <c r="J107" i="240"/>
  <c r="I138" i="240"/>
  <c r="I141" i="248"/>
  <c r="O56" i="233"/>
  <c r="J148" i="248"/>
  <c r="J145" i="240"/>
  <c r="J105" i="248"/>
  <c r="J100" i="240"/>
  <c r="H105" i="248"/>
  <c r="H100" i="240"/>
  <c r="I65" i="240"/>
  <c r="F56" i="233"/>
  <c r="I134" i="248"/>
  <c r="I131" i="240"/>
  <c r="N56" i="233"/>
  <c r="H112" i="248"/>
  <c r="H107" i="240"/>
  <c r="J116" i="240"/>
  <c r="J119" i="248"/>
  <c r="I85" i="240"/>
  <c r="I84" i="248"/>
  <c r="H56" i="233"/>
  <c r="J84" i="248"/>
  <c r="J85" i="240"/>
  <c r="J72" i="240"/>
  <c r="J57" i="251" s="1"/>
  <c r="J77" i="248"/>
  <c r="K56" i="233"/>
  <c r="I107" i="240"/>
  <c r="I112" i="248"/>
  <c r="I56" i="233"/>
  <c r="I98" i="248"/>
  <c r="I93" i="240"/>
  <c r="J68" i="248"/>
  <c r="J65" i="240"/>
  <c r="J123" i="240"/>
  <c r="J126" i="248"/>
  <c r="G105" i="248"/>
  <c r="G100" i="240"/>
  <c r="J56" i="231"/>
  <c r="H119" i="248"/>
  <c r="H116" i="240"/>
  <c r="G85" i="240"/>
  <c r="H56" i="231"/>
  <c r="G148" i="248"/>
  <c r="G145" i="240"/>
  <c r="H138" i="240"/>
  <c r="H141" i="248"/>
  <c r="I148" i="248"/>
  <c r="P56" i="233"/>
  <c r="I145" i="240"/>
  <c r="J93" i="240"/>
  <c r="J98" i="248"/>
  <c r="G44" i="204"/>
  <c r="I44" i="204" s="1"/>
  <c r="D46" i="198"/>
  <c r="E46" i="198" s="1"/>
  <c r="J56" i="233"/>
  <c r="I105" i="248"/>
  <c r="I100" i="240"/>
  <c r="H126" i="248"/>
  <c r="H123" i="240"/>
  <c r="J131" i="240"/>
  <c r="J134" i="248"/>
  <c r="I119" i="248"/>
  <c r="I116" i="240"/>
  <c r="L56" i="233"/>
  <c r="G119" i="248"/>
  <c r="G116" i="240"/>
  <c r="L56" i="231"/>
  <c r="G65" i="240"/>
  <c r="F56" i="231"/>
  <c r="H98" i="248"/>
  <c r="H99" i="248" s="1"/>
  <c r="H93" i="240"/>
  <c r="I126" i="248"/>
  <c r="M56" i="233"/>
  <c r="I123" i="240"/>
  <c r="G72" i="240"/>
  <c r="G57" i="251" s="1"/>
  <c r="G56" i="231"/>
  <c r="G141" i="248"/>
  <c r="G138" i="240"/>
  <c r="O56" i="231"/>
  <c r="G126" i="248"/>
  <c r="G123" i="240"/>
  <c r="M56" i="231"/>
  <c r="D45" i="206"/>
  <c r="F45" i="206" s="1"/>
  <c r="G45" i="206"/>
  <c r="I45" i="206" s="1"/>
  <c r="G56" i="206"/>
  <c r="I56" i="206" s="1"/>
  <c r="D56" i="206"/>
  <c r="F56" i="206" s="1"/>
  <c r="T80" i="204"/>
  <c r="T83" i="206"/>
  <c r="P165" i="206"/>
  <c r="E38" i="230"/>
  <c r="B38" i="234"/>
  <c r="C38" i="234"/>
  <c r="Q38" i="234"/>
  <c r="S80" i="222"/>
  <c r="S153" i="222" s="1"/>
  <c r="S185" i="222" s="1"/>
  <c r="S201" i="222" s="1"/>
  <c r="S207" i="222" s="1"/>
  <c r="B25" i="230"/>
  <c r="C25" i="230"/>
  <c r="Q25" i="230"/>
  <c r="C18" i="232"/>
  <c r="E29" i="232"/>
  <c r="B18" i="232"/>
  <c r="L172" i="204"/>
  <c r="L156" i="206"/>
  <c r="G165" i="220"/>
  <c r="I165" i="220" s="1"/>
  <c r="W165" i="220"/>
  <c r="D165" i="220"/>
  <c r="F165" i="220" s="1"/>
  <c r="AW167" i="198"/>
  <c r="AX167" i="198" s="1"/>
  <c r="S167" i="198"/>
  <c r="T167" i="198" s="1"/>
  <c r="N33" i="204"/>
  <c r="N35" i="206"/>
  <c r="D85" i="204"/>
  <c r="F85" i="204" s="1"/>
  <c r="G85" i="204"/>
  <c r="I85" i="204" s="1"/>
  <c r="D87" i="198"/>
  <c r="E87" i="198" s="1"/>
  <c r="W85" i="204"/>
  <c r="AH87" i="198"/>
  <c r="AI87" i="198" s="1"/>
  <c r="K85" i="206"/>
  <c r="N55" i="206"/>
  <c r="K33" i="218"/>
  <c r="G35" i="218"/>
  <c r="I35" i="218" s="1"/>
  <c r="I37" i="198"/>
  <c r="J37" i="198" s="1"/>
  <c r="W35" i="218"/>
  <c r="D35" i="218"/>
  <c r="F35" i="218" s="1"/>
  <c r="AM37" i="198"/>
  <c r="AN37" i="198" s="1"/>
  <c r="M27" i="230"/>
  <c r="D146" i="220"/>
  <c r="F146" i="220" s="1"/>
  <c r="W146" i="220"/>
  <c r="G146" i="220"/>
  <c r="I146" i="220" s="1"/>
  <c r="S148" i="198"/>
  <c r="T148" i="198" s="1"/>
  <c r="AW148" i="198"/>
  <c r="AX148" i="198" s="1"/>
  <c r="S88" i="206"/>
  <c r="M80" i="222"/>
  <c r="L80" i="221"/>
  <c r="C38" i="233"/>
  <c r="B38" i="233"/>
  <c r="E37" i="233"/>
  <c r="Q38" i="233"/>
  <c r="Q37" i="233" s="1"/>
  <c r="Q42" i="233" s="1"/>
  <c r="P80" i="218"/>
  <c r="P80" i="221"/>
  <c r="P153" i="221" s="1"/>
  <c r="N88" i="206"/>
  <c r="T146" i="206"/>
  <c r="Q93" i="206"/>
  <c r="Q92" i="218"/>
  <c r="AM63" i="198"/>
  <c r="AN63" i="198" s="1"/>
  <c r="I154" i="198"/>
  <c r="J154" i="198" s="1"/>
  <c r="G61" i="218"/>
  <c r="I61" i="218" s="1"/>
  <c r="I173" i="198"/>
  <c r="J173" i="198" s="1"/>
  <c r="AM194" i="198"/>
  <c r="AN194" i="198" s="1"/>
  <c r="AM128" i="198"/>
  <c r="AN128" i="198" s="1"/>
  <c r="I128" i="198"/>
  <c r="J128" i="198" s="1"/>
  <c r="D61" i="218"/>
  <c r="F61" i="218" s="1"/>
  <c r="I63" i="198"/>
  <c r="J63" i="198" s="1"/>
  <c r="W61" i="218"/>
  <c r="I93" i="198"/>
  <c r="J93" i="198" s="1"/>
  <c r="AM182" i="198"/>
  <c r="AN182" i="198" s="1"/>
  <c r="I182" i="198"/>
  <c r="J182" i="198" s="1"/>
  <c r="AM154" i="198"/>
  <c r="AN154" i="198" s="1"/>
  <c r="I76" i="198"/>
  <c r="J76" i="198" s="1"/>
  <c r="AM93" i="198"/>
  <c r="AN93" i="198" s="1"/>
  <c r="I194" i="198"/>
  <c r="J194" i="198" s="1"/>
  <c r="AM173" i="198"/>
  <c r="AN173" i="198" s="1"/>
  <c r="AM76" i="198"/>
  <c r="AN76" i="198" s="1"/>
  <c r="W52" i="221"/>
  <c r="N46" i="206"/>
  <c r="W46" i="206" s="1"/>
  <c r="B27" i="235"/>
  <c r="Q27" i="235"/>
  <c r="R27" i="235" s="1"/>
  <c r="C27" i="235"/>
  <c r="D83" i="222"/>
  <c r="F83" i="222" s="1"/>
  <c r="K80" i="222"/>
  <c r="W83" i="222"/>
  <c r="G83" i="222"/>
  <c r="I83" i="222" s="1"/>
  <c r="BG85" i="198"/>
  <c r="AC85" i="198"/>
  <c r="Q33" i="204"/>
  <c r="Q35" i="206"/>
  <c r="Q85" i="206"/>
  <c r="W165" i="219"/>
  <c r="G165" i="219"/>
  <c r="I165" i="219" s="1"/>
  <c r="D165" i="219"/>
  <c r="F165" i="219" s="1"/>
  <c r="N167" i="198"/>
  <c r="O167" i="198" s="1"/>
  <c r="AR167" i="198"/>
  <c r="AS167" i="198" s="1"/>
  <c r="V80" i="219"/>
  <c r="V153" i="219" s="1"/>
  <c r="J141" i="248"/>
  <c r="J138" i="240"/>
  <c r="T33" i="204"/>
  <c r="T35" i="206"/>
  <c r="I27" i="230"/>
  <c r="G147" i="204"/>
  <c r="I147" i="204" s="1"/>
  <c r="W147" i="204"/>
  <c r="D149" i="198"/>
  <c r="E149" i="198" s="1"/>
  <c r="D147" i="204"/>
  <c r="F147" i="204" s="1"/>
  <c r="AH149" i="198"/>
  <c r="AI149" i="198" s="1"/>
  <c r="K147" i="206"/>
  <c r="N80" i="219"/>
  <c r="N153" i="219" s="1"/>
  <c r="V172" i="221"/>
  <c r="T172" i="218"/>
  <c r="D91" i="221"/>
  <c r="F91" i="221" s="1"/>
  <c r="W91" i="221"/>
  <c r="G91" i="221"/>
  <c r="I91" i="221" s="1"/>
  <c r="H38" i="230"/>
  <c r="I37" i="232"/>
  <c r="I42" i="232" s="1"/>
  <c r="I56" i="232" s="1"/>
  <c r="R172" i="204"/>
  <c r="R156" i="206"/>
  <c r="M55" i="206"/>
  <c r="M38" i="230"/>
  <c r="D55" i="222"/>
  <c r="F55" i="222" s="1"/>
  <c r="W55" i="222"/>
  <c r="G55" i="222"/>
  <c r="I55" i="222" s="1"/>
  <c r="AC57" i="198"/>
  <c r="AD57" i="198" s="1"/>
  <c r="BG57" i="198"/>
  <c r="BH57" i="198" s="1"/>
  <c r="U172" i="204"/>
  <c r="U156" i="206"/>
  <c r="V146" i="206"/>
  <c r="U172" i="221"/>
  <c r="L146" i="206"/>
  <c r="D84" i="218"/>
  <c r="F84" i="218" s="1"/>
  <c r="G84" i="218"/>
  <c r="I84" i="218" s="1"/>
  <c r="I86" i="198"/>
  <c r="J86" i="198" s="1"/>
  <c r="W84" i="218"/>
  <c r="AM86" i="198"/>
  <c r="AN86" i="198" s="1"/>
  <c r="K172" i="204"/>
  <c r="D165" i="204"/>
  <c r="F165" i="204" s="1"/>
  <c r="G165" i="204"/>
  <c r="I165" i="204" s="1"/>
  <c r="D167" i="198"/>
  <c r="E167" i="198" s="1"/>
  <c r="AH167" i="198"/>
  <c r="AI167" i="198" s="1"/>
  <c r="W165" i="204"/>
  <c r="K165" i="206"/>
  <c r="R85" i="206"/>
  <c r="B27" i="236"/>
  <c r="C27" i="236"/>
  <c r="Q27" i="236"/>
  <c r="Q18" i="236" s="1"/>
  <c r="Q29" i="236" s="1"/>
  <c r="U55" i="206"/>
  <c r="Q172" i="204"/>
  <c r="Q165" i="206"/>
  <c r="Q172" i="220"/>
  <c r="Q88" i="206"/>
  <c r="V172" i="219"/>
  <c r="D83" i="219"/>
  <c r="F83" i="219" s="1"/>
  <c r="W83" i="219"/>
  <c r="G83" i="219"/>
  <c r="I83" i="219" s="1"/>
  <c r="N85" i="198"/>
  <c r="O85" i="198" s="1"/>
  <c r="AR85" i="198"/>
  <c r="AS85" i="198" s="1"/>
  <c r="K80" i="219"/>
  <c r="D85" i="218"/>
  <c r="F85" i="218" s="1"/>
  <c r="G85" i="218"/>
  <c r="I85" i="218" s="1"/>
  <c r="W85" i="218"/>
  <c r="I87" i="198"/>
  <c r="J87" i="198" s="1"/>
  <c r="AM87" i="198"/>
  <c r="AN87" i="198" s="1"/>
  <c r="S85" i="206"/>
  <c r="Q80" i="221"/>
  <c r="B38" i="235"/>
  <c r="C38" i="235"/>
  <c r="Q38" i="235"/>
  <c r="W60" i="222"/>
  <c r="O92" i="218"/>
  <c r="S44" i="220"/>
  <c r="M87" i="206"/>
  <c r="N44" i="221"/>
  <c r="U44" i="204"/>
  <c r="M44" i="220"/>
  <c r="N44" i="204"/>
  <c r="S44" i="221"/>
  <c r="T92" i="218"/>
  <c r="Q84" i="206"/>
  <c r="O33" i="204"/>
  <c r="O35" i="206"/>
  <c r="F38" i="230"/>
  <c r="F37" i="230" s="1"/>
  <c r="F42" i="230" s="1"/>
  <c r="H56" i="232"/>
  <c r="M80" i="221"/>
  <c r="O85" i="206"/>
  <c r="S61" i="206"/>
  <c r="D146" i="221"/>
  <c r="F146" i="221" s="1"/>
  <c r="W146" i="221"/>
  <c r="G146" i="221"/>
  <c r="I146" i="221" s="1"/>
  <c r="X148" i="198"/>
  <c r="Y148" i="198" s="1"/>
  <c r="BB148" i="198"/>
  <c r="BC148" i="198" s="1"/>
  <c r="S172" i="204"/>
  <c r="S156" i="206"/>
  <c r="G38" i="230"/>
  <c r="G37" i="230" s="1"/>
  <c r="G42" i="230" s="1"/>
  <c r="W55" i="204"/>
  <c r="L55" i="206"/>
  <c r="R80" i="219"/>
  <c r="D55" i="220"/>
  <c r="F55" i="220" s="1"/>
  <c r="G55" i="220"/>
  <c r="I55" i="220" s="1"/>
  <c r="W55" i="220"/>
  <c r="S57" i="198"/>
  <c r="T57" i="198" s="1"/>
  <c r="AW57" i="198"/>
  <c r="AX57" i="198" s="1"/>
  <c r="Q89" i="206"/>
  <c r="T80" i="220"/>
  <c r="O152" i="206"/>
  <c r="D165" i="218"/>
  <c r="F165" i="218" s="1"/>
  <c r="G165" i="218"/>
  <c r="I165" i="218" s="1"/>
  <c r="AM167" i="198"/>
  <c r="AN167" i="198" s="1"/>
  <c r="I167" i="198"/>
  <c r="J167" i="198" s="1"/>
  <c r="U165" i="206"/>
  <c r="G146" i="218"/>
  <c r="I146" i="218" s="1"/>
  <c r="D146" i="218"/>
  <c r="F146" i="218" s="1"/>
  <c r="W146" i="218"/>
  <c r="I148" i="198"/>
  <c r="J148" i="198" s="1"/>
  <c r="AM148" i="198"/>
  <c r="AN148" i="198" s="1"/>
  <c r="T55" i="206"/>
  <c r="G45" i="222"/>
  <c r="I45" i="222" s="1"/>
  <c r="K44" i="222"/>
  <c r="AC47" i="198"/>
  <c r="AD47" i="198" s="1"/>
  <c r="D45" i="222"/>
  <c r="F45" i="222" s="1"/>
  <c r="BG47" i="198"/>
  <c r="BH47" i="198" s="1"/>
  <c r="W45" i="222"/>
  <c r="D142" i="221"/>
  <c r="F142" i="221" s="1"/>
  <c r="X144" i="198"/>
  <c r="Y144" i="198" s="1"/>
  <c r="G142" i="221"/>
  <c r="I142" i="221" s="1"/>
  <c r="W142" i="221"/>
  <c r="BB144" i="198"/>
  <c r="BC144" i="198" s="1"/>
  <c r="M44" i="222"/>
  <c r="L53" i="206"/>
  <c r="R44" i="220"/>
  <c r="L86" i="206"/>
  <c r="W86" i="206" s="1"/>
  <c r="L51" i="206"/>
  <c r="M92" i="218"/>
  <c r="U44" i="222"/>
  <c r="T44" i="221"/>
  <c r="AH144" i="198"/>
  <c r="AI144" i="198" s="1"/>
  <c r="D142" i="204"/>
  <c r="F142" i="204" s="1"/>
  <c r="D144" i="198"/>
  <c r="E144" i="198" s="1"/>
  <c r="G142" i="204"/>
  <c r="I142" i="204" s="1"/>
  <c r="W142" i="204"/>
  <c r="K142" i="206"/>
  <c r="G91" i="220"/>
  <c r="I91" i="220" s="1"/>
  <c r="W91" i="220"/>
  <c r="D91" i="220"/>
  <c r="F91" i="220" s="1"/>
  <c r="O80" i="204"/>
  <c r="O153" i="204" s="1"/>
  <c r="O83" i="206"/>
  <c r="K172" i="221"/>
  <c r="W156" i="221"/>
  <c r="D156" i="221"/>
  <c r="F156" i="221" s="1"/>
  <c r="G156" i="221"/>
  <c r="I156" i="221" s="1"/>
  <c r="X158" i="198"/>
  <c r="Y158" i="198" s="1"/>
  <c r="BB158" i="198"/>
  <c r="BC158" i="198" s="1"/>
  <c r="D46" i="206"/>
  <c r="F46" i="206" s="1"/>
  <c r="G46" i="206"/>
  <c r="I46" i="206" s="1"/>
  <c r="O172" i="204"/>
  <c r="O156" i="206"/>
  <c r="C27" i="234"/>
  <c r="B27" i="234"/>
  <c r="E27" i="230"/>
  <c r="Q27" i="234"/>
  <c r="N27" i="230"/>
  <c r="U80" i="220"/>
  <c r="D84" i="221"/>
  <c r="F84" i="221" s="1"/>
  <c r="G84" i="221"/>
  <c r="I84" i="221" s="1"/>
  <c r="W84" i="221"/>
  <c r="BB86" i="198"/>
  <c r="BC86" i="198" s="1"/>
  <c r="X86" i="198"/>
  <c r="Y86" i="198" s="1"/>
  <c r="G85" i="222"/>
  <c r="I85" i="222" s="1"/>
  <c r="W85" i="222"/>
  <c r="D85" i="222"/>
  <c r="F85" i="222" s="1"/>
  <c r="BG87" i="198"/>
  <c r="BH87" i="198" s="1"/>
  <c r="AC87" i="198"/>
  <c r="AD87" i="198" s="1"/>
  <c r="P172" i="204"/>
  <c r="P156" i="206"/>
  <c r="Q51" i="206"/>
  <c r="P38" i="230"/>
  <c r="L80" i="204"/>
  <c r="L153" i="204" s="1"/>
  <c r="L83" i="206"/>
  <c r="L84" i="206"/>
  <c r="W165" i="218"/>
  <c r="O146" i="206"/>
  <c r="V80" i="221"/>
  <c r="S55" i="206"/>
  <c r="G91" i="219"/>
  <c r="I91" i="219" s="1"/>
  <c r="D91" i="219"/>
  <c r="F91" i="219" s="1"/>
  <c r="W91" i="219"/>
  <c r="M83" i="206"/>
  <c r="R172" i="218"/>
  <c r="I38" i="230"/>
  <c r="P172" i="219"/>
  <c r="D83" i="220"/>
  <c r="F83" i="220" s="1"/>
  <c r="W83" i="220"/>
  <c r="G83" i="220"/>
  <c r="I83" i="220" s="1"/>
  <c r="AW85" i="198"/>
  <c r="AX85" i="198" s="1"/>
  <c r="S85" i="198"/>
  <c r="K80" i="220"/>
  <c r="M172" i="219"/>
  <c r="C38" i="232"/>
  <c r="E37" i="232"/>
  <c r="B38" i="232"/>
  <c r="Q38" i="232"/>
  <c r="N146" i="206"/>
  <c r="D35" i="204"/>
  <c r="F35" i="204" s="1"/>
  <c r="G35" i="204"/>
  <c r="I35" i="204" s="1"/>
  <c r="K33" i="204"/>
  <c r="AH37" i="198"/>
  <c r="AI37" i="198" s="1"/>
  <c r="W35" i="204"/>
  <c r="D37" i="198"/>
  <c r="E37" i="198" s="1"/>
  <c r="K35" i="206"/>
  <c r="P85" i="206"/>
  <c r="D52" i="206"/>
  <c r="F52" i="206" s="1"/>
  <c r="G52" i="206"/>
  <c r="I52" i="206" s="1"/>
  <c r="L44" i="222"/>
  <c r="N93" i="206"/>
  <c r="N92" i="218"/>
  <c r="O80" i="220"/>
  <c r="O153" i="220" s="1"/>
  <c r="R56" i="206"/>
  <c r="L52" i="206"/>
  <c r="W52" i="206" s="1"/>
  <c r="W151" i="220"/>
  <c r="O44" i="218"/>
  <c r="W89" i="218"/>
  <c r="R89" i="206"/>
  <c r="M80" i="220"/>
  <c r="M172" i="221"/>
  <c r="D88" i="220"/>
  <c r="F88" i="220" s="1"/>
  <c r="G88" i="220"/>
  <c r="I88" i="220" s="1"/>
  <c r="W88" i="220"/>
  <c r="S90" i="198"/>
  <c r="T90" i="198" s="1"/>
  <c r="AW90" i="198"/>
  <c r="AX90" i="198" s="1"/>
  <c r="G56" i="233"/>
  <c r="I72" i="240"/>
  <c r="I57" i="251" s="1"/>
  <c r="I77" i="248"/>
  <c r="I78" i="248" s="1"/>
  <c r="K172" i="219"/>
  <c r="W156" i="219"/>
  <c r="G156" i="219"/>
  <c r="I156" i="219" s="1"/>
  <c r="D156" i="219"/>
  <c r="F156" i="219" s="1"/>
  <c r="N158" i="198"/>
  <c r="O158" i="198" s="1"/>
  <c r="AR158" i="198"/>
  <c r="AS158" i="198" s="1"/>
  <c r="F56" i="232"/>
  <c r="D152" i="218"/>
  <c r="F152" i="218" s="1"/>
  <c r="G152" i="218"/>
  <c r="I152" i="218" s="1"/>
  <c r="K152" i="206"/>
  <c r="D55" i="204"/>
  <c r="F55" i="204" s="1"/>
  <c r="G55" i="204"/>
  <c r="I55" i="204" s="1"/>
  <c r="AH57" i="198"/>
  <c r="AI57" i="198" s="1"/>
  <c r="D57" i="198"/>
  <c r="E57" i="198" s="1"/>
  <c r="K55" i="206"/>
  <c r="G51" i="206"/>
  <c r="I51" i="206" s="1"/>
  <c r="D51" i="206"/>
  <c r="F51" i="206" s="1"/>
  <c r="Q26" i="230"/>
  <c r="C26" i="230"/>
  <c r="B26" i="230"/>
  <c r="G61" i="206"/>
  <c r="I61" i="206" s="1"/>
  <c r="D61" i="206"/>
  <c r="F61" i="206" s="1"/>
  <c r="B27" i="233"/>
  <c r="C27" i="233"/>
  <c r="Q27" i="233"/>
  <c r="R27" i="233" s="1"/>
  <c r="D88" i="218"/>
  <c r="F88" i="218" s="1"/>
  <c r="G88" i="218"/>
  <c r="I88" i="218" s="1"/>
  <c r="W88" i="218"/>
  <c r="I90" i="198"/>
  <c r="J90" i="198" s="1"/>
  <c r="AM90" i="198"/>
  <c r="AN90" i="198" s="1"/>
  <c r="K88" i="206"/>
  <c r="R33" i="204"/>
  <c r="R35" i="206"/>
  <c r="V80" i="204"/>
  <c r="V83" i="206"/>
  <c r="D84" i="222"/>
  <c r="F84" i="222" s="1"/>
  <c r="W84" i="222"/>
  <c r="G84" i="222"/>
  <c r="I84" i="222" s="1"/>
  <c r="BG86" i="198"/>
  <c r="BH86" i="198" s="1"/>
  <c r="AC86" i="198"/>
  <c r="AD86" i="198" s="1"/>
  <c r="G60" i="204"/>
  <c r="I60" i="204" s="1"/>
  <c r="D62" i="198"/>
  <c r="E62" i="198" s="1"/>
  <c r="AH62" i="198"/>
  <c r="AI62" i="198" s="1"/>
  <c r="D60" i="204"/>
  <c r="F60" i="204" s="1"/>
  <c r="W60" i="204"/>
  <c r="K60" i="206"/>
  <c r="L89" i="206"/>
  <c r="G91" i="218"/>
  <c r="I91" i="218" s="1"/>
  <c r="D91" i="218"/>
  <c r="F91" i="218" s="1"/>
  <c r="W91" i="218"/>
  <c r="C27" i="232"/>
  <c r="B27" i="232"/>
  <c r="Q27" i="232"/>
  <c r="R27" i="232" s="1"/>
  <c r="D89" i="220"/>
  <c r="F89" i="220" s="1"/>
  <c r="W89" i="220"/>
  <c r="G89" i="220"/>
  <c r="I89" i="220" s="1"/>
  <c r="AW91" i="198"/>
  <c r="AX91" i="198" s="1"/>
  <c r="S91" i="198"/>
  <c r="C27" i="231"/>
  <c r="B27" i="231"/>
  <c r="Q27" i="231"/>
  <c r="N38" i="230"/>
  <c r="V80" i="218"/>
  <c r="S172" i="220"/>
  <c r="K33" i="220"/>
  <c r="W35" i="220"/>
  <c r="G35" i="220"/>
  <c r="I35" i="220" s="1"/>
  <c r="D35" i="220"/>
  <c r="F35" i="220" s="1"/>
  <c r="AW37" i="198"/>
  <c r="AX37" i="198" s="1"/>
  <c r="S37" i="198"/>
  <c r="T37" i="198" s="1"/>
  <c r="G35" i="219"/>
  <c r="I35" i="219" s="1"/>
  <c r="K33" i="219"/>
  <c r="W35" i="219"/>
  <c r="D35" i="219"/>
  <c r="F35" i="219" s="1"/>
  <c r="AR37" i="198"/>
  <c r="AS37" i="198" s="1"/>
  <c r="N37" i="198"/>
  <c r="O37" i="198" s="1"/>
  <c r="S80" i="221"/>
  <c r="U80" i="219"/>
  <c r="U153" i="219" s="1"/>
  <c r="K172" i="220"/>
  <c r="G156" i="220"/>
  <c r="I156" i="220" s="1"/>
  <c r="D156" i="220"/>
  <c r="F156" i="220" s="1"/>
  <c r="W156" i="220"/>
  <c r="S158" i="198"/>
  <c r="T158" i="198" s="1"/>
  <c r="AW158" i="198"/>
  <c r="AX158" i="198" s="1"/>
  <c r="U172" i="218"/>
  <c r="R165" i="206"/>
  <c r="B38" i="231"/>
  <c r="Q38" i="231"/>
  <c r="Q37" i="231" s="1"/>
  <c r="Q42" i="231" s="1"/>
  <c r="C38" i="231"/>
  <c r="E37" i="231"/>
  <c r="K38" i="230"/>
  <c r="D55" i="219"/>
  <c r="F55" i="219" s="1"/>
  <c r="W55" i="219"/>
  <c r="G55" i="219"/>
  <c r="I55" i="219" s="1"/>
  <c r="N57" i="198"/>
  <c r="O57" i="198" s="1"/>
  <c r="AR57" i="198"/>
  <c r="AS57" i="198" s="1"/>
  <c r="P146" i="206"/>
  <c r="O89" i="206"/>
  <c r="Q156" i="206"/>
  <c r="M84" i="206"/>
  <c r="L33" i="204"/>
  <c r="L35" i="206"/>
  <c r="V54" i="206"/>
  <c r="W54" i="206" s="1"/>
  <c r="Q44" i="204"/>
  <c r="T44" i="204"/>
  <c r="T45" i="206"/>
  <c r="W58" i="218"/>
  <c r="W54" i="220"/>
  <c r="G54" i="206"/>
  <c r="I54" i="206" s="1"/>
  <c r="D54" i="206"/>
  <c r="F54" i="206" s="1"/>
  <c r="E18" i="231"/>
  <c r="W53" i="219"/>
  <c r="R92" i="218"/>
  <c r="R44" i="222"/>
  <c r="G87" i="206"/>
  <c r="I87" i="206" s="1"/>
  <c r="D87" i="206"/>
  <c r="F87" i="206" s="1"/>
  <c r="S58" i="198"/>
  <c r="T58" i="198" s="1"/>
  <c r="D56" i="220"/>
  <c r="F56" i="220" s="1"/>
  <c r="G56" i="220"/>
  <c r="I56" i="220" s="1"/>
  <c r="W56" i="220"/>
  <c r="AW58" i="198"/>
  <c r="AX58" i="198" s="1"/>
  <c r="K105" i="206"/>
  <c r="AM107" i="198"/>
  <c r="AN107" i="198" s="1"/>
  <c r="I107" i="198"/>
  <c r="J107" i="198" s="1"/>
  <c r="G105" i="218"/>
  <c r="I105" i="218" s="1"/>
  <c r="D105" i="218"/>
  <c r="F105" i="218" s="1"/>
  <c r="W105" i="218"/>
  <c r="H148" i="248"/>
  <c r="H145" i="240"/>
  <c r="U80" i="222"/>
  <c r="D146" i="219"/>
  <c r="F146" i="219" s="1"/>
  <c r="W146" i="219"/>
  <c r="G146" i="219"/>
  <c r="I146" i="219" s="1"/>
  <c r="N148" i="198"/>
  <c r="O148" i="198" s="1"/>
  <c r="AR148" i="198"/>
  <c r="AS148" i="198" s="1"/>
  <c r="G56" i="232"/>
  <c r="H134" i="248"/>
  <c r="H131" i="240"/>
  <c r="K101" i="206"/>
  <c r="AM103" i="198"/>
  <c r="AN103" i="198" s="1"/>
  <c r="I103" i="198"/>
  <c r="J103" i="198" s="1"/>
  <c r="W101" i="218"/>
  <c r="D101" i="218"/>
  <c r="F101" i="218" s="1"/>
  <c r="G101" i="218"/>
  <c r="I101" i="218" s="1"/>
  <c r="D57" i="206"/>
  <c r="F57" i="206" s="1"/>
  <c r="G57" i="206"/>
  <c r="I57" i="206" s="1"/>
  <c r="S86" i="198"/>
  <c r="T86" i="198" s="1"/>
  <c r="W84" i="220"/>
  <c r="G84" i="220"/>
  <c r="I84" i="220" s="1"/>
  <c r="D84" i="220"/>
  <c r="F84" i="220" s="1"/>
  <c r="AW86" i="198"/>
  <c r="AX86" i="198" s="1"/>
  <c r="U80" i="204"/>
  <c r="U83" i="206"/>
  <c r="T172" i="204"/>
  <c r="T156" i="206"/>
  <c r="G156" i="218"/>
  <c r="I156" i="218" s="1"/>
  <c r="W156" i="218"/>
  <c r="AM158" i="198"/>
  <c r="AN158" i="198" s="1"/>
  <c r="D156" i="218"/>
  <c r="F156" i="218" s="1"/>
  <c r="K172" i="218"/>
  <c r="I158" i="198"/>
  <c r="J158" i="198" s="1"/>
  <c r="W55" i="221"/>
  <c r="G55" i="221"/>
  <c r="I55" i="221" s="1"/>
  <c r="D55" i="221"/>
  <c r="F55" i="221" s="1"/>
  <c r="BB57" i="198"/>
  <c r="BC57" i="198" s="1"/>
  <c r="X57" i="198"/>
  <c r="Y57" i="198" s="1"/>
  <c r="L85" i="206"/>
  <c r="T172" i="220"/>
  <c r="T80" i="221"/>
  <c r="L80" i="220"/>
  <c r="L153" i="220" s="1"/>
  <c r="Q80" i="204"/>
  <c r="Q83" i="206"/>
  <c r="T85" i="206"/>
  <c r="R172" i="219"/>
  <c r="M33" i="204"/>
  <c r="M35" i="206"/>
  <c r="W59" i="218"/>
  <c r="W54" i="221"/>
  <c r="D47" i="206"/>
  <c r="F47" i="206" s="1"/>
  <c r="G47" i="206"/>
  <c r="I47" i="206" s="1"/>
  <c r="W47" i="206"/>
  <c r="D148" i="206"/>
  <c r="F148" i="206" s="1"/>
  <c r="G148" i="206"/>
  <c r="I148" i="206" s="1"/>
  <c r="W148" i="206"/>
  <c r="W51" i="219"/>
  <c r="R80" i="218"/>
  <c r="G91" i="222"/>
  <c r="I91" i="222" s="1"/>
  <c r="D91" i="222"/>
  <c r="F91" i="222" s="1"/>
  <c r="W91" i="222"/>
  <c r="N84" i="206"/>
  <c r="M51" i="206"/>
  <c r="O80" i="219"/>
  <c r="O153" i="219" s="1"/>
  <c r="G165" i="222"/>
  <c r="I165" i="222" s="1"/>
  <c r="W165" i="222"/>
  <c r="W172" i="222" s="1"/>
  <c r="K172" i="222"/>
  <c r="D165" i="222"/>
  <c r="F165" i="222" s="1"/>
  <c r="BG167" i="198"/>
  <c r="BH167" i="198" s="1"/>
  <c r="AC167" i="198"/>
  <c r="AD167" i="198" s="1"/>
  <c r="T84" i="206"/>
  <c r="R61" i="206"/>
  <c r="L147" i="206"/>
  <c r="L44" i="219"/>
  <c r="M172" i="204"/>
  <c r="M156" i="206"/>
  <c r="I56" i="231"/>
  <c r="G98" i="248"/>
  <c r="G99" i="248" s="1"/>
  <c r="G93" i="240"/>
  <c r="R88" i="206"/>
  <c r="N165" i="206"/>
  <c r="V33" i="204"/>
  <c r="V35" i="206"/>
  <c r="I23" i="235"/>
  <c r="I18" i="235" s="1"/>
  <c r="I29" i="235" s="1"/>
  <c r="T88" i="206"/>
  <c r="T152" i="206"/>
  <c r="D85" i="219"/>
  <c r="F85" i="219" s="1"/>
  <c r="G85" i="219"/>
  <c r="I85" i="219" s="1"/>
  <c r="W85" i="219"/>
  <c r="N87" i="198"/>
  <c r="O87" i="198" s="1"/>
  <c r="AR87" i="198"/>
  <c r="AS87" i="198" s="1"/>
  <c r="L38" i="230"/>
  <c r="V165" i="206"/>
  <c r="P37" i="231"/>
  <c r="P42" i="231" s="1"/>
  <c r="P56" i="231" s="1"/>
  <c r="U172" i="219"/>
  <c r="L80" i="222"/>
  <c r="V152" i="206"/>
  <c r="P80" i="204"/>
  <c r="P153" i="204" s="1"/>
  <c r="W148" i="219"/>
  <c r="G86" i="206"/>
  <c r="I86" i="206" s="1"/>
  <c r="D86" i="206"/>
  <c r="F86" i="206" s="1"/>
  <c r="Q44" i="218"/>
  <c r="G58" i="206"/>
  <c r="I58" i="206" s="1"/>
  <c r="D58" i="206"/>
  <c r="F58" i="206" s="1"/>
  <c r="G84" i="219"/>
  <c r="I84" i="219" s="1"/>
  <c r="D84" i="219"/>
  <c r="F84" i="219" s="1"/>
  <c r="W84" i="219"/>
  <c r="N86" i="198"/>
  <c r="O86" i="198" s="1"/>
  <c r="AR86" i="198"/>
  <c r="AS86" i="198" s="1"/>
  <c r="P55" i="206"/>
  <c r="S89" i="206"/>
  <c r="P88" i="206"/>
  <c r="W83" i="218"/>
  <c r="G83" i="218"/>
  <c r="I83" i="218" s="1"/>
  <c r="D83" i="218"/>
  <c r="F83" i="218" s="1"/>
  <c r="I85" i="198"/>
  <c r="J85" i="198" s="1"/>
  <c r="AM85" i="198"/>
  <c r="AN85" i="198" s="1"/>
  <c r="K80" i="218"/>
  <c r="J27" i="230"/>
  <c r="D146" i="204"/>
  <c r="F146" i="204" s="1"/>
  <c r="AH148" i="198"/>
  <c r="AI148" i="198" s="1"/>
  <c r="G146" i="204"/>
  <c r="I146" i="204" s="1"/>
  <c r="W146" i="204"/>
  <c r="D148" i="198"/>
  <c r="E148" i="198" s="1"/>
  <c r="K146" i="206"/>
  <c r="W165" i="221"/>
  <c r="D165" i="221"/>
  <c r="F165" i="221" s="1"/>
  <c r="G165" i="221"/>
  <c r="I165" i="221" s="1"/>
  <c r="X167" i="198"/>
  <c r="Y167" i="198" s="1"/>
  <c r="BB167" i="198"/>
  <c r="BC167" i="198" s="1"/>
  <c r="R80" i="222"/>
  <c r="O172" i="218"/>
  <c r="D85" i="220"/>
  <c r="F85" i="220" s="1"/>
  <c r="G85" i="220"/>
  <c r="I85" i="220" s="1"/>
  <c r="W85" i="220"/>
  <c r="S87" i="198"/>
  <c r="T87" i="198" s="1"/>
  <c r="AW87" i="198"/>
  <c r="AX87" i="198" s="1"/>
  <c r="G59" i="206"/>
  <c r="I59" i="206" s="1"/>
  <c r="D59" i="206"/>
  <c r="F59" i="206" s="1"/>
  <c r="L93" i="206"/>
  <c r="L92" i="218"/>
  <c r="P27" i="230"/>
  <c r="L27" i="230"/>
  <c r="T165" i="206"/>
  <c r="N172" i="204"/>
  <c r="N156" i="206"/>
  <c r="N85" i="206"/>
  <c r="N80" i="204"/>
  <c r="N83" i="206"/>
  <c r="S33" i="204"/>
  <c r="S35" i="206"/>
  <c r="M85" i="206"/>
  <c r="D55" i="218"/>
  <c r="F55" i="218" s="1"/>
  <c r="W55" i="218"/>
  <c r="G55" i="218"/>
  <c r="I55" i="218" s="1"/>
  <c r="AM57" i="198"/>
  <c r="AN57" i="198" s="1"/>
  <c r="I57" i="198"/>
  <c r="J57" i="198" s="1"/>
  <c r="P172" i="220"/>
  <c r="T80" i="222"/>
  <c r="T153" i="222" s="1"/>
  <c r="T185" i="222" s="1"/>
  <c r="T201" i="222" s="1"/>
  <c r="T207" i="222" s="1"/>
  <c r="S146" i="206"/>
  <c r="R55" i="206"/>
  <c r="T172" i="219"/>
  <c r="D156" i="204"/>
  <c r="F156" i="204" s="1"/>
  <c r="G156" i="204"/>
  <c r="I156" i="204" s="1"/>
  <c r="AH158" i="198"/>
  <c r="AI158" i="198" s="1"/>
  <c r="W156" i="204"/>
  <c r="D158" i="198"/>
  <c r="E158" i="198" s="1"/>
  <c r="K156" i="206"/>
  <c r="D83" i="221"/>
  <c r="F83" i="221" s="1"/>
  <c r="W83" i="221"/>
  <c r="G83" i="221"/>
  <c r="I83" i="221" s="1"/>
  <c r="BB85" i="198"/>
  <c r="X85" i="198"/>
  <c r="Y85" i="198" s="1"/>
  <c r="K80" i="221"/>
  <c r="V80" i="220"/>
  <c r="V153" i="220" s="1"/>
  <c r="W85" i="221"/>
  <c r="D85" i="221"/>
  <c r="F85" i="221" s="1"/>
  <c r="G85" i="221"/>
  <c r="I85" i="221" s="1"/>
  <c r="X87" i="198"/>
  <c r="Y87" i="198" s="1"/>
  <c r="BB87" i="198"/>
  <c r="BC87" i="198" s="1"/>
  <c r="W46" i="218"/>
  <c r="K44" i="218"/>
  <c r="T44" i="219"/>
  <c r="L44" i="218"/>
  <c r="W53" i="220"/>
  <c r="M44" i="204"/>
  <c r="D126" i="206"/>
  <c r="F126" i="206" s="1"/>
  <c r="G126" i="206"/>
  <c r="I126" i="206" s="1"/>
  <c r="K97" i="206"/>
  <c r="G97" i="218"/>
  <c r="I97" i="218" s="1"/>
  <c r="W97" i="218"/>
  <c r="D97" i="218"/>
  <c r="F97" i="218" s="1"/>
  <c r="I99" i="198"/>
  <c r="J99" i="198" s="1"/>
  <c r="AM99" i="198"/>
  <c r="AN99" i="198" s="1"/>
  <c r="K44" i="221"/>
  <c r="V44" i="204"/>
  <c r="F27" i="230"/>
  <c r="M88" i="206"/>
  <c r="G89" i="222"/>
  <c r="I89" i="222" s="1"/>
  <c r="W89" i="222"/>
  <c r="D89" i="222"/>
  <c r="F89" i="222" s="1"/>
  <c r="AC91" i="198"/>
  <c r="BG91" i="198"/>
  <c r="K27" i="230"/>
  <c r="W152" i="218"/>
  <c r="P152" i="206"/>
  <c r="U33" i="204"/>
  <c r="U35" i="206"/>
  <c r="H27" i="230"/>
  <c r="S83" i="206"/>
  <c r="T89" i="206"/>
  <c r="P80" i="220"/>
  <c r="P153" i="220" s="1"/>
  <c r="D83" i="204"/>
  <c r="F83" i="204" s="1"/>
  <c r="G83" i="204"/>
  <c r="I83" i="204" s="1"/>
  <c r="W83" i="204"/>
  <c r="D85" i="198"/>
  <c r="E85" i="198" s="1"/>
  <c r="AH85" i="198"/>
  <c r="AI85" i="198" s="1"/>
  <c r="K80" i="204"/>
  <c r="K83" i="206"/>
  <c r="O80" i="222"/>
  <c r="Q172" i="218"/>
  <c r="P89" i="206"/>
  <c r="O55" i="206"/>
  <c r="G89" i="218"/>
  <c r="I89" i="218" s="1"/>
  <c r="D89" i="218"/>
  <c r="F89" i="218" s="1"/>
  <c r="I91" i="198"/>
  <c r="J91" i="198" s="1"/>
  <c r="AM91" i="198"/>
  <c r="K89" i="206"/>
  <c r="V85" i="206"/>
  <c r="L88" i="206"/>
  <c r="N142" i="206"/>
  <c r="W93" i="218"/>
  <c r="D93" i="218"/>
  <c r="F93" i="218" s="1"/>
  <c r="AM95" i="198"/>
  <c r="AN95" i="198" s="1"/>
  <c r="G93" i="218"/>
  <c r="I93" i="218" s="1"/>
  <c r="K93" i="206"/>
  <c r="I95" i="198"/>
  <c r="J95" i="198" s="1"/>
  <c r="K92" i="218"/>
  <c r="E18" i="233"/>
  <c r="S80" i="204"/>
  <c r="M80" i="204"/>
  <c r="O87" i="206"/>
  <c r="E37" i="236"/>
  <c r="C38" i="236"/>
  <c r="Q38" i="236"/>
  <c r="Q37" i="236" s="1"/>
  <c r="Q42" i="236" s="1"/>
  <c r="B38" i="236"/>
  <c r="V84" i="206"/>
  <c r="G27" i="230"/>
  <c r="U80" i="218"/>
  <c r="R83" i="206"/>
  <c r="O27" i="230"/>
  <c r="T80" i="218"/>
  <c r="N80" i="222"/>
  <c r="N153" i="222" s="1"/>
  <c r="N185" i="222" s="1"/>
  <c r="N201" i="222" s="1"/>
  <c r="N207" i="222" s="1"/>
  <c r="S165" i="206"/>
  <c r="W89" i="219"/>
  <c r="G89" i="219"/>
  <c r="I89" i="219" s="1"/>
  <c r="D89" i="219"/>
  <c r="F89" i="219" s="1"/>
  <c r="N91" i="198"/>
  <c r="O91" i="198" s="1"/>
  <c r="AR91" i="198"/>
  <c r="AS91" i="198" s="1"/>
  <c r="O84" i="206"/>
  <c r="M165" i="206"/>
  <c r="N80" i="218"/>
  <c r="D88" i="219"/>
  <c r="F88" i="219" s="1"/>
  <c r="G88" i="219"/>
  <c r="I88" i="219" s="1"/>
  <c r="W88" i="219"/>
  <c r="N90" i="198"/>
  <c r="O90" i="198" s="1"/>
  <c r="AR90" i="198"/>
  <c r="AS90" i="198" s="1"/>
  <c r="V172" i="204"/>
  <c r="V156" i="206"/>
  <c r="V80" i="222"/>
  <c r="V153" i="222" s="1"/>
  <c r="V185" i="222" s="1"/>
  <c r="V201" i="222" s="1"/>
  <c r="V207" i="222" s="1"/>
  <c r="P80" i="222"/>
  <c r="O80" i="218"/>
  <c r="G84" i="204"/>
  <c r="I84" i="204" s="1"/>
  <c r="D84" i="204"/>
  <c r="F84" i="204" s="1"/>
  <c r="W84" i="204"/>
  <c r="D86" i="198"/>
  <c r="E86" i="198" s="1"/>
  <c r="AH86" i="198"/>
  <c r="AI86" i="198" s="1"/>
  <c r="K84" i="206"/>
  <c r="Q146" i="206"/>
  <c r="P33" i="204"/>
  <c r="P35" i="206"/>
  <c r="R172" i="221"/>
  <c r="O165" i="206"/>
  <c r="U85" i="206"/>
  <c r="W87" i="219"/>
  <c r="K44" i="219"/>
  <c r="E18" i="236"/>
  <c r="W151" i="204"/>
  <c r="D153" i="198"/>
  <c r="E153" i="198" s="1"/>
  <c r="G151" i="204"/>
  <c r="I151" i="204" s="1"/>
  <c r="D151" i="204"/>
  <c r="F151" i="204" s="1"/>
  <c r="AH153" i="198"/>
  <c r="AI153" i="198" s="1"/>
  <c r="K151" i="206"/>
  <c r="D53" i="206"/>
  <c r="F53" i="206" s="1"/>
  <c r="G53" i="206"/>
  <c r="I53" i="206" s="1"/>
  <c r="W58" i="204"/>
  <c r="U69" i="177"/>
  <c r="W60" i="177"/>
  <c r="V51" i="177"/>
  <c r="V64" i="177" s="1"/>
  <c r="W11" i="177"/>
  <c r="Q77" i="177"/>
  <c r="Q76" i="177"/>
  <c r="U55" i="177"/>
  <c r="U56" i="177" s="1"/>
  <c r="K21" i="231"/>
  <c r="W54" i="177"/>
  <c r="W67" i="177" s="1"/>
  <c r="W53" i="177"/>
  <c r="W66" i="177" s="1"/>
  <c r="W49" i="177"/>
  <c r="W62" i="177" s="1"/>
  <c r="W50" i="177"/>
  <c r="W63" i="177" s="1"/>
  <c r="W52" i="177"/>
  <c r="W65" i="177" s="1"/>
  <c r="V35" i="177"/>
  <c r="V45" i="177"/>
  <c r="V58" i="177" s="1"/>
  <c r="W8" i="177"/>
  <c r="U40" i="177"/>
  <c r="U43" i="177" s="1"/>
  <c r="U38" i="177"/>
  <c r="V60" i="177"/>
  <c r="S24" i="177"/>
  <c r="T23" i="177"/>
  <c r="P92" i="159"/>
  <c r="AF96" i="159"/>
  <c r="R89" i="159"/>
  <c r="AD84" i="159"/>
  <c r="S91" i="159"/>
  <c r="AE96" i="159"/>
  <c r="AE94" i="159"/>
  <c r="R87" i="159"/>
  <c r="Q91" i="159"/>
  <c r="W86" i="159"/>
  <c r="T84" i="159"/>
  <c r="Y89" i="159"/>
  <c r="W93" i="159"/>
  <c r="V93" i="159"/>
  <c r="R88" i="159"/>
  <c r="AF93" i="159"/>
  <c r="T88" i="159"/>
  <c r="Y90" i="159"/>
  <c r="Y91" i="159"/>
  <c r="T94" i="159"/>
  <c r="Y94" i="159"/>
  <c r="Q89" i="159"/>
  <c r="W96" i="159"/>
  <c r="AF86" i="159"/>
  <c r="O92" i="159"/>
  <c r="R91" i="159"/>
  <c r="AE93" i="159"/>
  <c r="Q94" i="159"/>
  <c r="AE95" i="159"/>
  <c r="AF84" i="159"/>
  <c r="P86" i="159"/>
  <c r="P84" i="159"/>
  <c r="Z86" i="159"/>
  <c r="X89" i="159"/>
  <c r="Q93" i="159"/>
  <c r="R90" i="159"/>
  <c r="V89" i="159"/>
  <c r="V94" i="159"/>
  <c r="T83" i="159"/>
  <c r="U84" i="159"/>
  <c r="H85" i="190" s="1"/>
  <c r="R86" i="159"/>
  <c r="R96" i="159"/>
  <c r="S86" i="159"/>
  <c r="AD86" i="159"/>
  <c r="T90" i="159"/>
  <c r="AD92" i="159"/>
  <c r="O87" i="159"/>
  <c r="V86" i="159"/>
  <c r="O84" i="159"/>
  <c r="Q85" i="159"/>
  <c r="AD93" i="159"/>
  <c r="Q95" i="159"/>
  <c r="S84" i="159"/>
  <c r="Z84" i="159"/>
  <c r="AF89" i="159"/>
  <c r="W92" i="159"/>
  <c r="AE84" i="159"/>
  <c r="P95" i="159"/>
  <c r="R94" i="159"/>
  <c r="Y92" i="159"/>
  <c r="W95" i="159"/>
  <c r="AF92" i="159"/>
  <c r="Z89" i="159"/>
  <c r="W89" i="159"/>
  <c r="S94" i="159"/>
  <c r="AB97" i="159"/>
  <c r="Q86" i="159"/>
  <c r="AF90" i="159"/>
  <c r="AA96" i="159"/>
  <c r="AC96" i="159"/>
  <c r="P85" i="159"/>
  <c r="O94" i="159"/>
  <c r="X88" i="159"/>
  <c r="Z95" i="159"/>
  <c r="T87" i="159"/>
  <c r="AB84" i="159"/>
  <c r="U93" i="159"/>
  <c r="H94" i="190" s="1"/>
  <c r="Y96" i="159"/>
  <c r="W84" i="159"/>
  <c r="Q90" i="159"/>
  <c r="O85" i="159"/>
  <c r="X84" i="159"/>
  <c r="O86" i="159"/>
  <c r="AD89" i="159"/>
  <c r="AF95" i="159"/>
  <c r="Q87" i="159"/>
  <c r="O91" i="159"/>
  <c r="Q84" i="159"/>
  <c r="S96" i="159"/>
  <c r="AC94" i="159"/>
  <c r="AC89" i="159"/>
  <c r="T89" i="159"/>
  <c r="Y86" i="159"/>
  <c r="Z83" i="159"/>
  <c r="AE87" i="159"/>
  <c r="V96" i="159"/>
  <c r="AB86" i="159"/>
  <c r="S87" i="159"/>
  <c r="AB94" i="159"/>
  <c r="AE89" i="159"/>
  <c r="U97" i="159"/>
  <c r="H98" i="190" s="1"/>
  <c r="S88" i="159"/>
  <c r="AC93" i="159"/>
  <c r="U94" i="159"/>
  <c r="H95" i="190" s="1"/>
  <c r="P90" i="159"/>
  <c r="U95" i="159"/>
  <c r="H96" i="190" s="1"/>
  <c r="T85" i="159"/>
  <c r="V88" i="159"/>
  <c r="T92" i="159"/>
  <c r="T95" i="159"/>
  <c r="Z96" i="159"/>
  <c r="S93" i="159"/>
  <c r="P87" i="159"/>
  <c r="S90" i="159"/>
  <c r="O88" i="159"/>
  <c r="X92" i="159"/>
  <c r="AB93" i="159"/>
  <c r="S83" i="159"/>
  <c r="T91" i="159"/>
  <c r="Z94" i="159"/>
  <c r="AD88" i="159"/>
  <c r="S95" i="159"/>
  <c r="AA92" i="159"/>
  <c r="AD96" i="159"/>
  <c r="Y85" i="159"/>
  <c r="O95" i="159"/>
  <c r="R95" i="159"/>
  <c r="V92" i="159"/>
  <c r="Q92" i="159"/>
  <c r="S92" i="159"/>
  <c r="T86" i="159"/>
  <c r="V84" i="159"/>
  <c r="AA86" i="159"/>
  <c r="Z93" i="159"/>
  <c r="Q96" i="159"/>
  <c r="AB91" i="159"/>
  <c r="AA94" i="159"/>
  <c r="Y88" i="159"/>
  <c r="AC97" i="159"/>
  <c r="AE90" i="159"/>
  <c r="AB92" i="159"/>
  <c r="AA84" i="159"/>
  <c r="X87" i="159"/>
  <c r="AB95" i="159"/>
  <c r="AE86" i="159"/>
  <c r="X97" i="159"/>
  <c r="AA93" i="159"/>
  <c r="X90" i="159"/>
  <c r="W90" i="159"/>
  <c r="S85" i="159"/>
  <c r="AB87" i="159"/>
  <c r="W94" i="159"/>
  <c r="X86" i="159"/>
  <c r="Y97" i="159"/>
  <c r="AD94" i="159"/>
  <c r="P83" i="159"/>
  <c r="Q83" i="159"/>
  <c r="Z85" i="159"/>
  <c r="AD87" i="159"/>
  <c r="AE97" i="159"/>
  <c r="AD97" i="159"/>
  <c r="X95" i="159"/>
  <c r="AC92" i="159"/>
  <c r="AB96" i="159"/>
  <c r="P89" i="159"/>
  <c r="AA88" i="159"/>
  <c r="X96" i="159"/>
  <c r="AE83" i="159"/>
  <c r="V97" i="159"/>
  <c r="R92" i="159"/>
  <c r="U87" i="159"/>
  <c r="H88" i="190" s="1"/>
  <c r="Z90" i="159"/>
  <c r="X94" i="159"/>
  <c r="Y84" i="159"/>
  <c r="R93" i="159"/>
  <c r="U92" i="159"/>
  <c r="H93" i="190" s="1"/>
  <c r="AF94" i="159"/>
  <c r="U89" i="159"/>
  <c r="H90" i="190" s="1"/>
  <c r="Z91" i="159"/>
  <c r="U91" i="159"/>
  <c r="H92" i="190" s="1"/>
  <c r="O93" i="159"/>
  <c r="AB88" i="159"/>
  <c r="V85" i="159"/>
  <c r="V95" i="159"/>
  <c r="AC87" i="159"/>
  <c r="Z87" i="159"/>
  <c r="AA97" i="159"/>
  <c r="T93" i="159"/>
  <c r="Y93" i="159"/>
  <c r="AF97" i="159"/>
  <c r="Z97" i="159"/>
  <c r="AF85" i="159"/>
  <c r="Z92" i="159"/>
  <c r="AD85" i="159"/>
  <c r="S89" i="159"/>
  <c r="O89" i="159"/>
  <c r="X93" i="159"/>
  <c r="V87" i="159"/>
  <c r="AC84" i="159"/>
  <c r="X83" i="159"/>
  <c r="T96" i="159"/>
  <c r="P93" i="159"/>
  <c r="P88" i="159"/>
  <c r="AD83" i="159"/>
  <c r="AB90" i="159"/>
  <c r="AA85" i="159"/>
  <c r="R85" i="159"/>
  <c r="R84" i="159"/>
  <c r="P94" i="159"/>
  <c r="X91" i="159"/>
  <c r="AE92" i="159"/>
  <c r="P91" i="159"/>
  <c r="W97" i="159"/>
  <c r="AE91" i="159"/>
  <c r="Y95" i="159"/>
  <c r="P96" i="159"/>
  <c r="R83" i="159"/>
  <c r="Q88" i="159"/>
  <c r="AB85" i="159"/>
  <c r="Z88" i="159"/>
  <c r="O96" i="159"/>
  <c r="U83" i="159"/>
  <c r="V90" i="159"/>
  <c r="O83" i="159"/>
  <c r="X85" i="159"/>
  <c r="AD91" i="159"/>
  <c r="AC91" i="159"/>
  <c r="AB83" i="159"/>
  <c r="AD90" i="159"/>
  <c r="AA83" i="159"/>
  <c r="AC95" i="159"/>
  <c r="AC88" i="159"/>
  <c r="AB89" i="159"/>
  <c r="AA90" i="159"/>
  <c r="AA89" i="159"/>
  <c r="AA91" i="159"/>
  <c r="W87" i="159"/>
  <c r="AD95" i="159"/>
  <c r="W88" i="159"/>
  <c r="AC86" i="159"/>
  <c r="U88" i="159"/>
  <c r="H89" i="190" s="1"/>
  <c r="AF83" i="159"/>
  <c r="V91" i="159"/>
  <c r="AA95" i="159"/>
  <c r="U86" i="159"/>
  <c r="H87" i="190" s="1"/>
  <c r="AE88" i="159"/>
  <c r="AF91" i="159"/>
  <c r="U85" i="159"/>
  <c r="H86" i="190" s="1"/>
  <c r="Y83" i="159"/>
  <c r="AE85" i="159"/>
  <c r="W91" i="159"/>
  <c r="W85" i="159"/>
  <c r="V83" i="159"/>
  <c r="AF87" i="159"/>
  <c r="W83" i="159"/>
  <c r="AF88" i="159"/>
  <c r="AC85" i="159"/>
  <c r="AC90" i="159"/>
  <c r="AA87" i="159"/>
  <c r="Y87" i="159"/>
  <c r="U90" i="159"/>
  <c r="H91" i="190" s="1"/>
  <c r="O90" i="159"/>
  <c r="U96" i="159"/>
  <c r="H97" i="190" s="1"/>
  <c r="AC83" i="159"/>
  <c r="M78" i="248"/>
  <c r="M85" i="248" s="1"/>
  <c r="J39" i="232"/>
  <c r="J37" i="232" s="1"/>
  <c r="J42" i="232" s="1"/>
  <c r="J56" i="232" s="1"/>
  <c r="N85" i="248"/>
  <c r="N99" i="248" s="1"/>
  <c r="F87" i="240"/>
  <c r="K87" i="240" s="1"/>
  <c r="I39" i="230" s="1"/>
  <c r="F93" i="248"/>
  <c r="M101" i="248"/>
  <c r="N101" i="248" s="1"/>
  <c r="K101" i="248"/>
  <c r="K96" i="240"/>
  <c r="N116" i="248"/>
  <c r="O116" i="248" s="1"/>
  <c r="O120" i="248" s="1"/>
  <c r="K116" i="248"/>
  <c r="G111" i="240"/>
  <c r="N111" i="240" s="1"/>
  <c r="O111" i="240" s="1"/>
  <c r="O112" i="240"/>
  <c r="O33" i="177"/>
  <c r="P32" i="177" s="1"/>
  <c r="O124" i="248" s="1"/>
  <c r="N104" i="240"/>
  <c r="O104" i="240" s="1"/>
  <c r="O108" i="240" s="1"/>
  <c r="K104" i="240"/>
  <c r="K80" i="240"/>
  <c r="M80" i="240"/>
  <c r="AU134" i="217"/>
  <c r="AV134" i="217" s="1"/>
  <c r="AU239" i="217"/>
  <c r="AV239" i="217" s="1"/>
  <c r="AU99" i="217"/>
  <c r="AV99" i="217" s="1"/>
  <c r="AU169" i="217"/>
  <c r="AV169" i="217" s="1"/>
  <c r="AU64" i="217"/>
  <c r="AV30" i="217"/>
  <c r="AT311" i="217"/>
  <c r="AT275" i="217"/>
  <c r="AR329" i="217"/>
  <c r="AR326" i="217"/>
  <c r="AR293" i="217"/>
  <c r="AR291" i="217"/>
  <c r="AS305" i="217"/>
  <c r="AS80" i="217"/>
  <c r="AS81" i="217"/>
  <c r="AS269" i="217"/>
  <c r="AS257" i="217"/>
  <c r="AS255" i="217"/>
  <c r="AS150" i="217"/>
  <c r="AS151" i="217"/>
  <c r="AS114" i="217"/>
  <c r="AS116" i="217"/>
  <c r="AT93" i="217"/>
  <c r="AT128" i="217"/>
  <c r="AT233" i="217"/>
  <c r="AT163" i="217"/>
  <c r="AT58" i="217"/>
  <c r="AT46" i="217"/>
  <c r="AT44" i="217"/>
  <c r="AU24" i="217"/>
  <c r="AS184" i="217"/>
  <c r="AS186" i="217"/>
  <c r="AT327" i="217"/>
  <c r="AV185" i="217"/>
  <c r="AU303" i="217"/>
  <c r="AV303" i="217" s="1"/>
  <c r="AU304" i="217"/>
  <c r="AV304" i="217" s="1"/>
  <c r="AU300" i="217"/>
  <c r="AV300" i="217" s="1"/>
  <c r="AU306" i="217"/>
  <c r="AV306" i="217" s="1"/>
  <c r="AV149" i="217"/>
  <c r="AU301" i="217"/>
  <c r="AV301" i="217" s="1"/>
  <c r="AV55" i="217"/>
  <c r="AU302" i="217"/>
  <c r="AV59" i="217"/>
  <c r="AU270" i="217"/>
  <c r="AV270" i="217" s="1"/>
  <c r="AV57" i="217"/>
  <c r="AU268" i="217"/>
  <c r="AV268" i="217" s="1"/>
  <c r="AU265" i="217"/>
  <c r="AV265" i="217" s="1"/>
  <c r="AU264" i="217"/>
  <c r="AV264" i="217" s="1"/>
  <c r="AU266" i="217"/>
  <c r="AV266" i="217" s="1"/>
  <c r="AU149" i="217"/>
  <c r="AU256" i="217"/>
  <c r="AU185" i="217"/>
  <c r="AV256" i="217"/>
  <c r="AV91" i="217"/>
  <c r="AU115" i="217"/>
  <c r="AV56" i="217"/>
  <c r="AU267" i="217"/>
  <c r="AU79" i="217"/>
  <c r="AT292" i="217"/>
  <c r="O29" i="177"/>
  <c r="N30" i="177"/>
  <c r="L27" i="177"/>
  <c r="U153" i="220" l="1"/>
  <c r="U185" i="220" s="1"/>
  <c r="U201" i="220" s="1"/>
  <c r="U207" i="220" s="1"/>
  <c r="AH46" i="198"/>
  <c r="AI46" i="198" s="1"/>
  <c r="K153" i="204"/>
  <c r="L153" i="221"/>
  <c r="L185" i="221" s="1"/>
  <c r="L201" i="221" s="1"/>
  <c r="L207" i="221" s="1"/>
  <c r="P153" i="222"/>
  <c r="P185" i="222" s="1"/>
  <c r="P201" i="222" s="1"/>
  <c r="P207" i="222" s="1"/>
  <c r="AW46" i="198"/>
  <c r="AX46" i="198" s="1"/>
  <c r="N153" i="221"/>
  <c r="N185" i="221" s="1"/>
  <c r="N201" i="221" s="1"/>
  <c r="N207" i="221" s="1"/>
  <c r="R153" i="220"/>
  <c r="R185" i="220" s="1"/>
  <c r="R201" i="220" s="1"/>
  <c r="R207" i="220" s="1"/>
  <c r="G44" i="220"/>
  <c r="I44" i="220" s="1"/>
  <c r="BM77" i="250"/>
  <c r="BM78" i="250" s="1"/>
  <c r="BP55" i="250"/>
  <c r="BP56" i="250" s="1"/>
  <c r="P185" i="221"/>
  <c r="P201" i="221" s="1"/>
  <c r="P207" i="221" s="1"/>
  <c r="D44" i="220"/>
  <c r="F44" i="220" s="1"/>
  <c r="R153" i="219"/>
  <c r="R185" i="219" s="1"/>
  <c r="R201" i="219" s="1"/>
  <c r="R207" i="219" s="1"/>
  <c r="BR60" i="250"/>
  <c r="BP24" i="250"/>
  <c r="BQ23" i="250"/>
  <c r="BP26" i="250"/>
  <c r="BP27" i="250" s="1"/>
  <c r="BP30" i="250"/>
  <c r="BP31" i="250" s="1"/>
  <c r="BP28" i="250"/>
  <c r="BP29" i="250" s="1"/>
  <c r="BP32" i="250"/>
  <c r="BP33" i="250" s="1"/>
  <c r="BQ58" i="250"/>
  <c r="BQ38" i="250"/>
  <c r="BQ40" i="250"/>
  <c r="BQ43" i="250" s="1"/>
  <c r="BR11" i="250"/>
  <c r="BQ51" i="250"/>
  <c r="BQ64" i="250" s="1"/>
  <c r="BQ68" i="250" s="1"/>
  <c r="BR49" i="250"/>
  <c r="BR62" i="250" s="1"/>
  <c r="BR50" i="250"/>
  <c r="BR63" i="250" s="1"/>
  <c r="BR54" i="250"/>
  <c r="BR67" i="250" s="1"/>
  <c r="BR52" i="250"/>
  <c r="BR65" i="250" s="1"/>
  <c r="BS10" i="250" a="1"/>
  <c r="BS10" i="250" s="1"/>
  <c r="BS47" i="250" s="1"/>
  <c r="BR53" i="250"/>
  <c r="BR66" i="250" s="1"/>
  <c r="BP69" i="250"/>
  <c r="BR35" i="250"/>
  <c r="BR45" i="250"/>
  <c r="BS8" i="250"/>
  <c r="AW60" i="177"/>
  <c r="AW53" i="177"/>
  <c r="AW66" i="177" s="1"/>
  <c r="AW54" i="177"/>
  <c r="AW67" i="177" s="1"/>
  <c r="AX10" i="177" a="1"/>
  <c r="AX10" i="177" s="1"/>
  <c r="AX47" i="177" s="1"/>
  <c r="AW49" i="177"/>
  <c r="AW62" i="177" s="1"/>
  <c r="AW52" i="177"/>
  <c r="AW65" i="177" s="1"/>
  <c r="AW50" i="177"/>
  <c r="AW63" i="177" s="1"/>
  <c r="L153" i="219"/>
  <c r="L185" i="219" s="1"/>
  <c r="L201" i="219" s="1"/>
  <c r="L207" i="219" s="1"/>
  <c r="AV60" i="177"/>
  <c r="W53" i="206"/>
  <c r="N185" i="219"/>
  <c r="N201" i="219" s="1"/>
  <c r="N207" i="219" s="1"/>
  <c r="V185" i="220"/>
  <c r="V201" i="220" s="1"/>
  <c r="V207" i="220" s="1"/>
  <c r="M153" i="221"/>
  <c r="M185" i="221" s="1"/>
  <c r="M201" i="221" s="1"/>
  <c r="M207" i="221" s="1"/>
  <c r="W58" i="206"/>
  <c r="W45" i="206"/>
  <c r="T153" i="220"/>
  <c r="W56" i="206"/>
  <c r="S185" i="219"/>
  <c r="S201" i="219" s="1"/>
  <c r="S207" i="219" s="1"/>
  <c r="M153" i="219"/>
  <c r="M185" i="219" s="1"/>
  <c r="M201" i="219" s="1"/>
  <c r="M207" i="219" s="1"/>
  <c r="O185" i="219"/>
  <c r="O201" i="219" s="1"/>
  <c r="O207" i="219" s="1"/>
  <c r="V185" i="219"/>
  <c r="V201" i="219" s="1"/>
  <c r="V207" i="219" s="1"/>
  <c r="M153" i="222"/>
  <c r="M185" i="222" s="1"/>
  <c r="M201" i="222" s="1"/>
  <c r="M207" i="222" s="1"/>
  <c r="O185" i="221"/>
  <c r="O201" i="221" s="1"/>
  <c r="O207" i="221" s="1"/>
  <c r="O185" i="220"/>
  <c r="O201" i="220" s="1"/>
  <c r="O207" i="220" s="1"/>
  <c r="D91" i="206"/>
  <c r="F91" i="206" s="1"/>
  <c r="L172" i="206"/>
  <c r="R80" i="206"/>
  <c r="Q80" i="206"/>
  <c r="V153" i="221"/>
  <c r="V185" i="221" s="1"/>
  <c r="V201" i="221" s="1"/>
  <c r="V207" i="221" s="1"/>
  <c r="L185" i="220"/>
  <c r="L201" i="220" s="1"/>
  <c r="L207" i="220" s="1"/>
  <c r="Q18" i="233"/>
  <c r="Q29" i="233" s="1"/>
  <c r="Q56" i="233" s="1"/>
  <c r="Q58" i="233" s="1"/>
  <c r="T153" i="219"/>
  <c r="T185" i="219" s="1"/>
  <c r="T201" i="219" s="1"/>
  <c r="T207" i="219" s="1"/>
  <c r="W172" i="218"/>
  <c r="O44" i="206"/>
  <c r="P185" i="219"/>
  <c r="P201" i="219" s="1"/>
  <c r="P207" i="219" s="1"/>
  <c r="Q153" i="221"/>
  <c r="Q185" i="221" s="1"/>
  <c r="Q201" i="221" s="1"/>
  <c r="Q207" i="221" s="1"/>
  <c r="S80" i="206"/>
  <c r="R185" i="221"/>
  <c r="R201" i="221" s="1"/>
  <c r="R207" i="221" s="1"/>
  <c r="S153" i="220"/>
  <c r="S185" i="220" s="1"/>
  <c r="S201" i="220" s="1"/>
  <c r="S207" i="220" s="1"/>
  <c r="U185" i="221"/>
  <c r="U201" i="221" s="1"/>
  <c r="U207" i="221" s="1"/>
  <c r="Q153" i="219"/>
  <c r="Q185" i="219" s="1"/>
  <c r="Q201" i="219" s="1"/>
  <c r="Q207" i="219" s="1"/>
  <c r="W172" i="219"/>
  <c r="O153" i="222"/>
  <c r="O185" i="222" s="1"/>
  <c r="O201" i="222" s="1"/>
  <c r="O207" i="222" s="1"/>
  <c r="W172" i="220"/>
  <c r="J66" i="240"/>
  <c r="J73" i="240" s="1"/>
  <c r="J86" i="240" s="1"/>
  <c r="J94" i="240" s="1"/>
  <c r="J101" i="240" s="1"/>
  <c r="J108" i="240" s="1"/>
  <c r="J117" i="240" s="1"/>
  <c r="J124" i="240" s="1"/>
  <c r="J132" i="240" s="1"/>
  <c r="J139" i="240" s="1"/>
  <c r="J146" i="240" s="1"/>
  <c r="J37" i="251" s="1"/>
  <c r="J44" i="251" s="1"/>
  <c r="J50" i="251"/>
  <c r="E66" i="240"/>
  <c r="E50" i="251"/>
  <c r="I66" i="240"/>
  <c r="I73" i="240" s="1"/>
  <c r="I86" i="240" s="1"/>
  <c r="I94" i="240" s="1"/>
  <c r="I101" i="240" s="1"/>
  <c r="I108" i="240" s="1"/>
  <c r="I117" i="240" s="1"/>
  <c r="I124" i="240" s="1"/>
  <c r="I132" i="240" s="1"/>
  <c r="I139" i="240" s="1"/>
  <c r="I146" i="240" s="1"/>
  <c r="I37" i="251" s="1"/>
  <c r="I50" i="251"/>
  <c r="G66" i="240"/>
  <c r="G73" i="240" s="1"/>
  <c r="G86" i="240" s="1"/>
  <c r="G94" i="240" s="1"/>
  <c r="G101" i="240" s="1"/>
  <c r="G50" i="251"/>
  <c r="H66" i="240"/>
  <c r="H73" i="240" s="1"/>
  <c r="H86" i="240" s="1"/>
  <c r="H94" i="240" s="1"/>
  <c r="H101" i="240" s="1"/>
  <c r="H50" i="251"/>
  <c r="E105" i="248"/>
  <c r="E72" i="240"/>
  <c r="E57" i="251" s="1"/>
  <c r="E85" i="240"/>
  <c r="E107" i="240"/>
  <c r="W91" i="206"/>
  <c r="E123" i="240"/>
  <c r="E122" i="240" s="1"/>
  <c r="F122" i="240" s="1"/>
  <c r="Q185" i="220"/>
  <c r="Q201" i="220" s="1"/>
  <c r="Q207" i="220" s="1"/>
  <c r="M80" i="206"/>
  <c r="N153" i="220"/>
  <c r="N185" i="220" s="1"/>
  <c r="N201" i="220" s="1"/>
  <c r="N207" i="220" s="1"/>
  <c r="E145" i="240"/>
  <c r="E144" i="240" s="1"/>
  <c r="F144" i="240" s="1"/>
  <c r="E119" i="248"/>
  <c r="E138" i="240"/>
  <c r="E137" i="240" s="1"/>
  <c r="F137" i="240" s="1"/>
  <c r="U153" i="218"/>
  <c r="U185" i="218" s="1"/>
  <c r="U201" i="218" s="1"/>
  <c r="U207" i="218" s="1"/>
  <c r="K44" i="206"/>
  <c r="D44" i="206" s="1"/>
  <c r="F44" i="206" s="1"/>
  <c r="U185" i="219"/>
  <c r="U201" i="219" s="1"/>
  <c r="U207" i="219" s="1"/>
  <c r="Q18" i="232"/>
  <c r="Q29" i="232" s="1"/>
  <c r="P153" i="218"/>
  <c r="P185" i="218" s="1"/>
  <c r="P201" i="218" s="1"/>
  <c r="P207" i="218" s="1"/>
  <c r="R112" i="251"/>
  <c r="E112" i="251"/>
  <c r="I37" i="230"/>
  <c r="I42" i="230" s="1"/>
  <c r="R84" i="251"/>
  <c r="E84" i="251"/>
  <c r="R98" i="251"/>
  <c r="E98" i="251"/>
  <c r="R91" i="251"/>
  <c r="E91" i="251"/>
  <c r="E119" i="251"/>
  <c r="R119" i="251"/>
  <c r="R63" i="251"/>
  <c r="E63" i="251"/>
  <c r="R77" i="251"/>
  <c r="E77" i="251"/>
  <c r="E42" i="251"/>
  <c r="R42" i="251"/>
  <c r="R70" i="251"/>
  <c r="E70" i="251"/>
  <c r="R27" i="231"/>
  <c r="E105" i="251"/>
  <c r="R105" i="251"/>
  <c r="G106" i="248"/>
  <c r="V153" i="218"/>
  <c r="V185" i="218" s="1"/>
  <c r="V201" i="218" s="1"/>
  <c r="V207" i="218" s="1"/>
  <c r="S153" i="218"/>
  <c r="S185" i="218" s="1"/>
  <c r="S201" i="218" s="1"/>
  <c r="S207" i="218" s="1"/>
  <c r="Q56" i="236"/>
  <c r="Q58" i="236" s="1"/>
  <c r="P185" i="220"/>
  <c r="P201" i="220" s="1"/>
  <c r="P207" i="220" s="1"/>
  <c r="L44" i="206"/>
  <c r="W44" i="220"/>
  <c r="H106" i="248"/>
  <c r="P172" i="206"/>
  <c r="I85" i="248"/>
  <c r="I99" i="248" s="1"/>
  <c r="I106" i="248" s="1"/>
  <c r="I113" i="248" s="1"/>
  <c r="I120" i="248" s="1"/>
  <c r="I127" i="248" s="1"/>
  <c r="I135" i="248" s="1"/>
  <c r="I142" i="248" s="1"/>
  <c r="I149" i="248" s="1"/>
  <c r="W61" i="206"/>
  <c r="W87" i="206"/>
  <c r="Q172" i="206"/>
  <c r="U172" i="206"/>
  <c r="R172" i="206"/>
  <c r="W51" i="206"/>
  <c r="M172" i="206"/>
  <c r="M44" i="206"/>
  <c r="M153" i="204"/>
  <c r="D80" i="221"/>
  <c r="F80" i="221" s="1"/>
  <c r="G80" i="221"/>
  <c r="I80" i="221" s="1"/>
  <c r="W80" i="221"/>
  <c r="X82" i="198"/>
  <c r="Y82" i="198" s="1"/>
  <c r="BB82" i="198"/>
  <c r="BC82" i="198" s="1"/>
  <c r="D80" i="220"/>
  <c r="F80" i="220" s="1"/>
  <c r="W80" i="220"/>
  <c r="S82" i="198"/>
  <c r="T82" i="198" s="1"/>
  <c r="G80" i="220"/>
  <c r="I80" i="220" s="1"/>
  <c r="AW82" i="198"/>
  <c r="AX82" i="198" s="1"/>
  <c r="U44" i="206"/>
  <c r="U153" i="204"/>
  <c r="D44" i="219"/>
  <c r="F44" i="219" s="1"/>
  <c r="W44" i="219"/>
  <c r="AR46" i="198"/>
  <c r="AS46" i="198" s="1"/>
  <c r="N46" i="198"/>
  <c r="O46" i="198" s="1"/>
  <c r="G44" i="219"/>
  <c r="I44" i="219" s="1"/>
  <c r="K153" i="219"/>
  <c r="I82" i="198"/>
  <c r="J82" i="198" s="1"/>
  <c r="D80" i="218"/>
  <c r="F80" i="218" s="1"/>
  <c r="G80" i="218"/>
  <c r="I80" i="218" s="1"/>
  <c r="W80" i="218"/>
  <c r="AM82" i="198"/>
  <c r="AN82" i="198" s="1"/>
  <c r="N172" i="206"/>
  <c r="G172" i="220"/>
  <c r="I172" i="220" s="1"/>
  <c r="D172" i="220"/>
  <c r="F172" i="220" s="1"/>
  <c r="AW174" i="198"/>
  <c r="AX174" i="198" s="1"/>
  <c r="S174" i="198"/>
  <c r="T174" i="198" s="1"/>
  <c r="D33" i="220"/>
  <c r="F33" i="220" s="1"/>
  <c r="W33" i="220"/>
  <c r="G33" i="220"/>
  <c r="I33" i="220" s="1"/>
  <c r="AW35" i="198"/>
  <c r="AX35" i="198" s="1"/>
  <c r="S35" i="198"/>
  <c r="T35" i="198" s="1"/>
  <c r="K42" i="220"/>
  <c r="G55" i="206"/>
  <c r="I55" i="206" s="1"/>
  <c r="D55" i="206"/>
  <c r="F55" i="206" s="1"/>
  <c r="W55" i="206"/>
  <c r="AR174" i="198"/>
  <c r="AS174" i="198" s="1"/>
  <c r="G172" i="219"/>
  <c r="I172" i="219" s="1"/>
  <c r="N174" i="198"/>
  <c r="O174" i="198" s="1"/>
  <c r="D172" i="219"/>
  <c r="F172" i="219" s="1"/>
  <c r="G80" i="219"/>
  <c r="I80" i="219" s="1"/>
  <c r="D80" i="219"/>
  <c r="F80" i="219" s="1"/>
  <c r="N82" i="198"/>
  <c r="O82" i="198" s="1"/>
  <c r="W80" i="219"/>
  <c r="AR82" i="198"/>
  <c r="AS82" i="198" s="1"/>
  <c r="T172" i="206"/>
  <c r="V172" i="206"/>
  <c r="C37" i="236"/>
  <c r="B37" i="236"/>
  <c r="E42" i="236"/>
  <c r="V44" i="206"/>
  <c r="V153" i="204"/>
  <c r="BG174" i="198"/>
  <c r="BH174" i="198" s="1"/>
  <c r="D172" i="222"/>
  <c r="F172" i="222" s="1"/>
  <c r="G172" i="222"/>
  <c r="I172" i="222" s="1"/>
  <c r="AC174" i="198"/>
  <c r="AD174" i="198" s="1"/>
  <c r="T44" i="206"/>
  <c r="T153" i="204"/>
  <c r="O153" i="218"/>
  <c r="O185" i="218" s="1"/>
  <c r="O201" i="218" s="1"/>
  <c r="O207" i="218" s="1"/>
  <c r="O92" i="206"/>
  <c r="D165" i="206"/>
  <c r="F165" i="206" s="1"/>
  <c r="W165" i="206"/>
  <c r="G165" i="206"/>
  <c r="I165" i="206" s="1"/>
  <c r="N42" i="204"/>
  <c r="H23" i="234" s="1"/>
  <c r="N33" i="206"/>
  <c r="N42" i="206" s="1"/>
  <c r="C29" i="232"/>
  <c r="B29" i="232"/>
  <c r="AH155" i="198"/>
  <c r="AI155" i="198" s="1"/>
  <c r="G153" i="204"/>
  <c r="I153" i="204" s="1"/>
  <c r="D153" i="204"/>
  <c r="F153" i="204" s="1"/>
  <c r="D155" i="198"/>
  <c r="E155" i="198" s="1"/>
  <c r="T42" i="204"/>
  <c r="N23" i="234" s="1"/>
  <c r="T33" i="206"/>
  <c r="T42" i="206" s="1"/>
  <c r="E42" i="233"/>
  <c r="B37" i="233"/>
  <c r="C37" i="233"/>
  <c r="W44" i="204"/>
  <c r="D82" i="198"/>
  <c r="E82" i="198" s="1"/>
  <c r="G80" i="204"/>
  <c r="I80" i="204" s="1"/>
  <c r="K80" i="206"/>
  <c r="D80" i="204"/>
  <c r="F80" i="204" s="1"/>
  <c r="AH82" i="198"/>
  <c r="AI82" i="198" s="1"/>
  <c r="W80" i="204"/>
  <c r="D44" i="218"/>
  <c r="F44" i="218" s="1"/>
  <c r="I46" i="198"/>
  <c r="J46" i="198" s="1"/>
  <c r="W44" i="218"/>
  <c r="G44" i="218"/>
  <c r="I44" i="218" s="1"/>
  <c r="AM46" i="198"/>
  <c r="AN46" i="198" s="1"/>
  <c r="K153" i="218"/>
  <c r="K172" i="206"/>
  <c r="W156" i="206"/>
  <c r="D156" i="206"/>
  <c r="F156" i="206" s="1"/>
  <c r="G156" i="206"/>
  <c r="I156" i="206" s="1"/>
  <c r="L153" i="218"/>
  <c r="L185" i="218" s="1"/>
  <c r="L201" i="218" s="1"/>
  <c r="L207" i="218" s="1"/>
  <c r="L92" i="206"/>
  <c r="U80" i="206"/>
  <c r="G101" i="206"/>
  <c r="I101" i="206" s="1"/>
  <c r="D101" i="206"/>
  <c r="F101" i="206" s="1"/>
  <c r="W101" i="206"/>
  <c r="T80" i="206"/>
  <c r="L80" i="206"/>
  <c r="G152" i="206"/>
  <c r="I152" i="206" s="1"/>
  <c r="D152" i="206"/>
  <c r="F152" i="206" s="1"/>
  <c r="W152" i="206"/>
  <c r="Q42" i="204"/>
  <c r="K23" i="234" s="1"/>
  <c r="Q33" i="206"/>
  <c r="Q42" i="206" s="1"/>
  <c r="W151" i="206"/>
  <c r="G151" i="206"/>
  <c r="I151" i="206" s="1"/>
  <c r="D151" i="206"/>
  <c r="F151" i="206" s="1"/>
  <c r="D89" i="206"/>
  <c r="F89" i="206" s="1"/>
  <c r="G89" i="206"/>
  <c r="I89" i="206" s="1"/>
  <c r="B27" i="230"/>
  <c r="C27" i="230"/>
  <c r="Q27" i="230"/>
  <c r="G146" i="206"/>
  <c r="I146" i="206" s="1"/>
  <c r="D146" i="206"/>
  <c r="F146" i="206" s="1"/>
  <c r="W146" i="206"/>
  <c r="R153" i="218"/>
  <c r="R185" i="218" s="1"/>
  <c r="R201" i="218" s="1"/>
  <c r="R207" i="218" s="1"/>
  <c r="R92" i="206"/>
  <c r="AR35" i="198"/>
  <c r="AS35" i="198" s="1"/>
  <c r="D33" i="219"/>
  <c r="F33" i="219" s="1"/>
  <c r="W33" i="219"/>
  <c r="G33" i="219"/>
  <c r="I33" i="219" s="1"/>
  <c r="N35" i="198"/>
  <c r="O35" i="198" s="1"/>
  <c r="K42" i="219"/>
  <c r="V80" i="206"/>
  <c r="W172" i="221"/>
  <c r="T153" i="221"/>
  <c r="T185" i="221" s="1"/>
  <c r="T201" i="221" s="1"/>
  <c r="T207" i="221" s="1"/>
  <c r="S172" i="206"/>
  <c r="G33" i="218"/>
  <c r="I33" i="218" s="1"/>
  <c r="AM35" i="198"/>
  <c r="AN35" i="198" s="1"/>
  <c r="D33" i="218"/>
  <c r="F33" i="218" s="1"/>
  <c r="W33" i="218"/>
  <c r="I35" i="198"/>
  <c r="J35" i="198" s="1"/>
  <c r="K42" i="218"/>
  <c r="D142" i="206"/>
  <c r="F142" i="206" s="1"/>
  <c r="G142" i="206"/>
  <c r="I142" i="206" s="1"/>
  <c r="W142" i="206"/>
  <c r="S153" i="204"/>
  <c r="M42" i="204"/>
  <c r="G23" i="234" s="1"/>
  <c r="M33" i="206"/>
  <c r="M42" i="206" s="1"/>
  <c r="L153" i="222"/>
  <c r="L185" i="222" s="1"/>
  <c r="L201" i="222" s="1"/>
  <c r="L207" i="222" s="1"/>
  <c r="BB174" i="198"/>
  <c r="BC174" i="198" s="1"/>
  <c r="X174" i="198"/>
  <c r="Y174" i="198" s="1"/>
  <c r="D172" i="221"/>
  <c r="F172" i="221" s="1"/>
  <c r="G172" i="221"/>
  <c r="I172" i="221" s="1"/>
  <c r="U153" i="222"/>
  <c r="U185" i="222" s="1"/>
  <c r="U201" i="222" s="1"/>
  <c r="U207" i="222" s="1"/>
  <c r="T153" i="218"/>
  <c r="T92" i="206"/>
  <c r="AH174" i="198"/>
  <c r="AI174" i="198" s="1"/>
  <c r="G172" i="204"/>
  <c r="I172" i="204" s="1"/>
  <c r="D174" i="198"/>
  <c r="E174" i="198" s="1"/>
  <c r="D172" i="204"/>
  <c r="F172" i="204" s="1"/>
  <c r="R44" i="206"/>
  <c r="C18" i="236"/>
  <c r="B18" i="236"/>
  <c r="E29" i="236"/>
  <c r="R153" i="222"/>
  <c r="R185" i="222" s="1"/>
  <c r="R201" i="222" s="1"/>
  <c r="R207" i="222" s="1"/>
  <c r="L42" i="204"/>
  <c r="F23" i="234" s="1"/>
  <c r="L33" i="206"/>
  <c r="L42" i="206" s="1"/>
  <c r="O42" i="204"/>
  <c r="I23" i="234" s="1"/>
  <c r="O33" i="206"/>
  <c r="O42" i="206" s="1"/>
  <c r="W97" i="206"/>
  <c r="G97" i="206"/>
  <c r="I97" i="206" s="1"/>
  <c r="D97" i="206"/>
  <c r="F97" i="206" s="1"/>
  <c r="S42" i="204"/>
  <c r="M23" i="234" s="1"/>
  <c r="S33" i="206"/>
  <c r="S42" i="206" s="1"/>
  <c r="B18" i="231"/>
  <c r="E29" i="231"/>
  <c r="C18" i="231"/>
  <c r="D60" i="206"/>
  <c r="F60" i="206" s="1"/>
  <c r="W60" i="206"/>
  <c r="G60" i="206"/>
  <c r="I60" i="206" s="1"/>
  <c r="O172" i="206"/>
  <c r="M153" i="218"/>
  <c r="M185" i="218" s="1"/>
  <c r="M201" i="218" s="1"/>
  <c r="M207" i="218" s="1"/>
  <c r="M92" i="206"/>
  <c r="S153" i="221"/>
  <c r="S185" i="221" s="1"/>
  <c r="S201" i="221" s="1"/>
  <c r="S207" i="221" s="1"/>
  <c r="G147" i="206"/>
  <c r="I147" i="206" s="1"/>
  <c r="D147" i="206"/>
  <c r="F147" i="206" s="1"/>
  <c r="W147" i="206"/>
  <c r="Q153" i="218"/>
  <c r="Q185" i="218" s="1"/>
  <c r="Q201" i="218" s="1"/>
  <c r="Q207" i="218" s="1"/>
  <c r="Q92" i="206"/>
  <c r="G85" i="206"/>
  <c r="I85" i="206" s="1"/>
  <c r="D85" i="206"/>
  <c r="F85" i="206" s="1"/>
  <c r="W85" i="206"/>
  <c r="S44" i="206"/>
  <c r="R42" i="204"/>
  <c r="L23" i="234" s="1"/>
  <c r="R33" i="206"/>
  <c r="R42" i="206" s="1"/>
  <c r="I94" i="198"/>
  <c r="J94" i="198" s="1"/>
  <c r="D92" i="218"/>
  <c r="F92" i="218" s="1"/>
  <c r="W92" i="218"/>
  <c r="G92" i="218"/>
  <c r="I92" i="218" s="1"/>
  <c r="AM94" i="198"/>
  <c r="AN94" i="198" s="1"/>
  <c r="K92" i="206"/>
  <c r="I174" i="198"/>
  <c r="J174" i="198" s="1"/>
  <c r="G172" i="218"/>
  <c r="I172" i="218" s="1"/>
  <c r="D172" i="218"/>
  <c r="F172" i="218" s="1"/>
  <c r="AM174" i="198"/>
  <c r="AN174" i="198" s="1"/>
  <c r="G88" i="206"/>
  <c r="I88" i="206" s="1"/>
  <c r="D88" i="206"/>
  <c r="F88" i="206" s="1"/>
  <c r="O80" i="206"/>
  <c r="K153" i="222"/>
  <c r="W44" i="222"/>
  <c r="AC46" i="198"/>
  <c r="AD46" i="198" s="1"/>
  <c r="D44" i="222"/>
  <c r="F44" i="222" s="1"/>
  <c r="G44" i="222"/>
  <c r="I44" i="222" s="1"/>
  <c r="BG46" i="198"/>
  <c r="BH46" i="198" s="1"/>
  <c r="N44" i="206"/>
  <c r="N153" i="204"/>
  <c r="D80" i="222"/>
  <c r="F80" i="222" s="1"/>
  <c r="BG82" i="198"/>
  <c r="BH82" i="198" s="1"/>
  <c r="W80" i="222"/>
  <c r="G80" i="222"/>
  <c r="I80" i="222" s="1"/>
  <c r="AC82" i="198"/>
  <c r="AD82" i="198" s="1"/>
  <c r="W93" i="206"/>
  <c r="D93" i="206"/>
  <c r="F93" i="206" s="1"/>
  <c r="G93" i="206"/>
  <c r="I93" i="206" s="1"/>
  <c r="U42" i="204"/>
  <c r="O23" i="234" s="1"/>
  <c r="U33" i="206"/>
  <c r="U42" i="206" s="1"/>
  <c r="G83" i="206"/>
  <c r="I83" i="206" s="1"/>
  <c r="W83" i="206"/>
  <c r="D83" i="206"/>
  <c r="F83" i="206" s="1"/>
  <c r="X46" i="198"/>
  <c r="Y46" i="198" s="1"/>
  <c r="D44" i="221"/>
  <c r="F44" i="221" s="1"/>
  <c r="G44" i="221"/>
  <c r="I44" i="221" s="1"/>
  <c r="BB46" i="198"/>
  <c r="BC46" i="198" s="1"/>
  <c r="W44" i="221"/>
  <c r="K153" i="221"/>
  <c r="Q44" i="206"/>
  <c r="Q153" i="204"/>
  <c r="B37" i="231"/>
  <c r="E42" i="231"/>
  <c r="C37" i="231"/>
  <c r="D33" i="204"/>
  <c r="F33" i="204" s="1"/>
  <c r="W33" i="204"/>
  <c r="G33" i="204"/>
  <c r="I33" i="204" s="1"/>
  <c r="D35" i="198"/>
  <c r="E35" i="198" s="1"/>
  <c r="AH35" i="198"/>
  <c r="AI35" i="198" s="1"/>
  <c r="K42" i="204"/>
  <c r="K33" i="206"/>
  <c r="P42" i="204"/>
  <c r="J23" i="234" s="1"/>
  <c r="P33" i="206"/>
  <c r="P42" i="206" s="1"/>
  <c r="C18" i="233"/>
  <c r="B18" i="233"/>
  <c r="E29" i="233"/>
  <c r="W172" i="204"/>
  <c r="N153" i="218"/>
  <c r="N185" i="218" s="1"/>
  <c r="N201" i="218" s="1"/>
  <c r="N207" i="218" s="1"/>
  <c r="N92" i="206"/>
  <c r="G84" i="206"/>
  <c r="I84" i="206" s="1"/>
  <c r="D84" i="206"/>
  <c r="F84" i="206" s="1"/>
  <c r="W84" i="206"/>
  <c r="E42" i="232"/>
  <c r="E56" i="232" s="1"/>
  <c r="B37" i="232"/>
  <c r="C37" i="232"/>
  <c r="N80" i="206"/>
  <c r="E93" i="240"/>
  <c r="E98" i="248"/>
  <c r="W105" i="206"/>
  <c r="G105" i="206"/>
  <c r="I105" i="206" s="1"/>
  <c r="D105" i="206"/>
  <c r="F105" i="206" s="1"/>
  <c r="M153" i="220"/>
  <c r="M185" i="220" s="1"/>
  <c r="M201" i="220" s="1"/>
  <c r="M207" i="220" s="1"/>
  <c r="K153" i="220"/>
  <c r="J69" i="248"/>
  <c r="J70" i="248" s="1"/>
  <c r="K68" i="248"/>
  <c r="K69" i="248" s="1"/>
  <c r="P80" i="206"/>
  <c r="P153" i="206" s="1"/>
  <c r="V42" i="204"/>
  <c r="P23" i="234" s="1"/>
  <c r="V33" i="206"/>
  <c r="V42" i="206" s="1"/>
  <c r="D35" i="206"/>
  <c r="F35" i="206" s="1"/>
  <c r="G35" i="206"/>
  <c r="I35" i="206" s="1"/>
  <c r="W35" i="206"/>
  <c r="C38" i="230"/>
  <c r="E37" i="230"/>
  <c r="B38" i="230"/>
  <c r="Q38" i="230"/>
  <c r="V55" i="177"/>
  <c r="V56" i="177" s="1"/>
  <c r="M87" i="240"/>
  <c r="V68" i="177"/>
  <c r="X47" i="177"/>
  <c r="X54" i="177"/>
  <c r="X67" i="177" s="1"/>
  <c r="X50" i="177"/>
  <c r="X63" i="177" s="1"/>
  <c r="X52" i="177"/>
  <c r="X65" i="177" s="1"/>
  <c r="X49" i="177"/>
  <c r="X62" i="177" s="1"/>
  <c r="X53" i="177"/>
  <c r="X66" i="177" s="1"/>
  <c r="K21" i="230"/>
  <c r="K18" i="231"/>
  <c r="K29" i="231" s="1"/>
  <c r="N13" i="231"/>
  <c r="T11" i="220"/>
  <c r="Q78" i="177"/>
  <c r="D88" i="243"/>
  <c r="W35" i="177"/>
  <c r="W45" i="177"/>
  <c r="W58" i="177" s="1"/>
  <c r="X8" i="177"/>
  <c r="W51" i="177"/>
  <c r="W64" i="177" s="1"/>
  <c r="W68" i="177" s="1"/>
  <c r="X11" i="177"/>
  <c r="V40" i="177"/>
  <c r="V43" i="177" s="1"/>
  <c r="V38" i="177"/>
  <c r="U23" i="177"/>
  <c r="T24" i="177"/>
  <c r="AG93" i="159"/>
  <c r="AG90" i="159"/>
  <c r="AG96" i="159"/>
  <c r="AG83" i="159"/>
  <c r="O98" i="159"/>
  <c r="O126" i="159" s="1"/>
  <c r="AG89" i="159"/>
  <c r="AG95" i="159"/>
  <c r="Y98" i="159"/>
  <c r="Y126" i="159" s="1"/>
  <c r="Y128" i="159" s="1"/>
  <c r="AE98" i="159"/>
  <c r="AE126" i="159" s="1"/>
  <c r="AE128" i="159" s="1"/>
  <c r="AG85" i="159"/>
  <c r="T98" i="159"/>
  <c r="T126" i="159" s="1"/>
  <c r="T128" i="159" s="1"/>
  <c r="AG92" i="159"/>
  <c r="Z98" i="159"/>
  <c r="Z126" i="159" s="1"/>
  <c r="Z128" i="159" s="1"/>
  <c r="AG86" i="159"/>
  <c r="R98" i="159"/>
  <c r="R126" i="159" s="1"/>
  <c r="R128" i="159" s="1"/>
  <c r="AG84" i="159"/>
  <c r="H84" i="190"/>
  <c r="H99" i="190" s="1"/>
  <c r="U98" i="159"/>
  <c r="U126" i="159" s="1"/>
  <c r="AA98" i="159"/>
  <c r="AA126" i="159" s="1"/>
  <c r="AA128" i="159" s="1"/>
  <c r="S98" i="159"/>
  <c r="S126" i="159" s="1"/>
  <c r="S128" i="159" s="1"/>
  <c r="W98" i="159"/>
  <c r="W126" i="159" s="1"/>
  <c r="W128" i="159" s="1"/>
  <c r="AD98" i="159"/>
  <c r="AD126" i="159" s="1"/>
  <c r="AD128" i="159" s="1"/>
  <c r="AG87" i="159"/>
  <c r="AB98" i="159"/>
  <c r="AB126" i="159" s="1"/>
  <c r="AB128" i="159" s="1"/>
  <c r="AC98" i="159"/>
  <c r="AC126" i="159" s="1"/>
  <c r="AC128" i="159" s="1"/>
  <c r="Q98" i="159"/>
  <c r="Q126" i="159" s="1"/>
  <c r="Q128" i="159" s="1"/>
  <c r="X98" i="159"/>
  <c r="X126" i="159" s="1"/>
  <c r="X128" i="159" s="1"/>
  <c r="AG88" i="159"/>
  <c r="AG91" i="159"/>
  <c r="AF98" i="159"/>
  <c r="AF126" i="159" s="1"/>
  <c r="AF128" i="159" s="1"/>
  <c r="V98" i="159"/>
  <c r="V126" i="159" s="1"/>
  <c r="V128" i="159" s="1"/>
  <c r="P98" i="159"/>
  <c r="P126" i="159" s="1"/>
  <c r="P128" i="159" s="1"/>
  <c r="AG94" i="159"/>
  <c r="K111" i="240"/>
  <c r="N106" i="248"/>
  <c r="H103" i="240"/>
  <c r="K103" i="240" s="1"/>
  <c r="H108" i="248"/>
  <c r="K93" i="248"/>
  <c r="M93" i="248"/>
  <c r="M99" i="248" s="1"/>
  <c r="O121" i="240"/>
  <c r="O117" i="240"/>
  <c r="H39" i="230"/>
  <c r="H37" i="230" s="1"/>
  <c r="H42" i="230" s="1"/>
  <c r="M81" i="240"/>
  <c r="AU311" i="217"/>
  <c r="AV311" i="217" s="1"/>
  <c r="AV64" i="217"/>
  <c r="AU275" i="217"/>
  <c r="AV275" i="217" s="1"/>
  <c r="AS329" i="217"/>
  <c r="AS326" i="217"/>
  <c r="AS293" i="217"/>
  <c r="AS291" i="217"/>
  <c r="AT116" i="217"/>
  <c r="AT114" i="217"/>
  <c r="AT150" i="217"/>
  <c r="AT151" i="217"/>
  <c r="AT255" i="217"/>
  <c r="AT257" i="217"/>
  <c r="AT184" i="217"/>
  <c r="AT186" i="217"/>
  <c r="AT305" i="217"/>
  <c r="AT81" i="217"/>
  <c r="AT80" i="217"/>
  <c r="AT269" i="217"/>
  <c r="AU163" i="217"/>
  <c r="AU128" i="217"/>
  <c r="AU44" i="217"/>
  <c r="AU233" i="217"/>
  <c r="AU93" i="217"/>
  <c r="AU58" i="217"/>
  <c r="AU46" i="217"/>
  <c r="AV24" i="217"/>
  <c r="AV79" i="217"/>
  <c r="AV302" i="217"/>
  <c r="AV327" i="217" s="1"/>
  <c r="AU327" i="217"/>
  <c r="AV115" i="217"/>
  <c r="AU292" i="217"/>
  <c r="AV267" i="217"/>
  <c r="N31" i="177"/>
  <c r="O30" i="177" s="1"/>
  <c r="P33" i="177"/>
  <c r="M26" i="177"/>
  <c r="P28" i="177"/>
  <c r="G123" i="248" s="1"/>
  <c r="BS60" i="250" l="1"/>
  <c r="BS35" i="250"/>
  <c r="BS45" i="250"/>
  <c r="BT8" i="250"/>
  <c r="BR58" i="250"/>
  <c r="BQ69" i="250"/>
  <c r="BQ55" i="250"/>
  <c r="BQ56" i="250" s="1"/>
  <c r="BS11" i="250"/>
  <c r="BR51" i="250"/>
  <c r="BR64" i="250" s="1"/>
  <c r="BR68" i="250" s="1"/>
  <c r="BR40" i="250"/>
  <c r="BR43" i="250" s="1"/>
  <c r="BR38" i="250"/>
  <c r="BS50" i="250"/>
  <c r="BS63" i="250" s="1"/>
  <c r="BS54" i="250"/>
  <c r="BS67" i="250" s="1"/>
  <c r="BS52" i="250"/>
  <c r="BS65" i="250" s="1"/>
  <c r="BS49" i="250"/>
  <c r="BS62" i="250" s="1"/>
  <c r="BS53" i="250"/>
  <c r="BS66" i="250" s="1"/>
  <c r="BT10" i="250" a="1"/>
  <c r="BT10" i="250" s="1"/>
  <c r="BQ24" i="250"/>
  <c r="BR23" i="250"/>
  <c r="BQ30" i="250"/>
  <c r="BQ31" i="250" s="1"/>
  <c r="BQ26" i="250"/>
  <c r="BQ27" i="250" s="1"/>
  <c r="BQ28" i="250"/>
  <c r="BQ29" i="250" s="1"/>
  <c r="BQ32" i="250"/>
  <c r="BQ33" i="250" s="1"/>
  <c r="AX60" i="177"/>
  <c r="AY10" i="177" a="1"/>
  <c r="AY10" i="177" s="1"/>
  <c r="AY47" i="177" s="1"/>
  <c r="AX49" i="177"/>
  <c r="AX62" i="177" s="1"/>
  <c r="AX50" i="177"/>
  <c r="AX63" i="177" s="1"/>
  <c r="AX53" i="177"/>
  <c r="AX66" i="177" s="1"/>
  <c r="AX54" i="177"/>
  <c r="AX67" i="177" s="1"/>
  <c r="AX52" i="177"/>
  <c r="AX65" i="177" s="1"/>
  <c r="J51" i="251"/>
  <c r="J58" i="251" s="1"/>
  <c r="J65" i="251" s="1"/>
  <c r="J72" i="251" s="1"/>
  <c r="J79" i="251" s="1"/>
  <c r="J86" i="251" s="1"/>
  <c r="J93" i="251" s="1"/>
  <c r="J100" i="251" s="1"/>
  <c r="J107" i="251" s="1"/>
  <c r="J114" i="251" s="1"/>
  <c r="J121" i="251" s="1"/>
  <c r="S153" i="206"/>
  <c r="S185" i="206" s="1"/>
  <c r="S201" i="206" s="1"/>
  <c r="S207" i="206" s="1"/>
  <c r="N185" i="204"/>
  <c r="N201" i="204" s="1"/>
  <c r="N207" i="204" s="1"/>
  <c r="V69" i="177"/>
  <c r="T75" i="177" s="1"/>
  <c r="T76" i="177" s="1"/>
  <c r="W55" i="177"/>
  <c r="W56" i="177" s="1"/>
  <c r="G44" i="206"/>
  <c r="I44" i="206" s="1"/>
  <c r="I44" i="251"/>
  <c r="I51" i="251" s="1"/>
  <c r="I58" i="251" s="1"/>
  <c r="I65" i="251" s="1"/>
  <c r="I72" i="251" s="1"/>
  <c r="I79" i="251" s="1"/>
  <c r="I86" i="251" s="1"/>
  <c r="I93" i="251" s="1"/>
  <c r="I100" i="251" s="1"/>
  <c r="I107" i="251" s="1"/>
  <c r="I114" i="251" s="1"/>
  <c r="I121" i="251" s="1"/>
  <c r="Q105" i="251"/>
  <c r="K105" i="251"/>
  <c r="Q98" i="251"/>
  <c r="K98" i="251"/>
  <c r="Q70" i="251"/>
  <c r="K70" i="251"/>
  <c r="Q84" i="251"/>
  <c r="K84" i="251"/>
  <c r="K42" i="251"/>
  <c r="Q42" i="251"/>
  <c r="Q119" i="251"/>
  <c r="K119" i="251"/>
  <c r="K77" i="251"/>
  <c r="Q77" i="251"/>
  <c r="Q91" i="251"/>
  <c r="K91" i="251"/>
  <c r="Q63" i="251"/>
  <c r="K63" i="251"/>
  <c r="K112" i="251"/>
  <c r="Q112" i="251"/>
  <c r="R27" i="230"/>
  <c r="K153" i="206"/>
  <c r="D153" i="206" s="1"/>
  <c r="F153" i="206" s="1"/>
  <c r="M153" i="206"/>
  <c r="M185" i="206" s="1"/>
  <c r="M201" i="206" s="1"/>
  <c r="M207" i="206" s="1"/>
  <c r="V153" i="206"/>
  <c r="V185" i="206" s="1"/>
  <c r="V201" i="206" s="1"/>
  <c r="V207" i="206" s="1"/>
  <c r="T153" i="206"/>
  <c r="W44" i="206"/>
  <c r="U153" i="206"/>
  <c r="U185" i="206" s="1"/>
  <c r="U201" i="206" s="1"/>
  <c r="U207" i="206" s="1"/>
  <c r="P185" i="206"/>
  <c r="P201" i="206" s="1"/>
  <c r="P207" i="206" s="1"/>
  <c r="W153" i="218"/>
  <c r="I155" i="198"/>
  <c r="J155" i="198" s="1"/>
  <c r="D153" i="218"/>
  <c r="F153" i="218" s="1"/>
  <c r="AM155" i="198"/>
  <c r="AN155" i="198" s="1"/>
  <c r="G153" i="218"/>
  <c r="I153" i="218" s="1"/>
  <c r="C42" i="233"/>
  <c r="B42" i="233"/>
  <c r="N155" i="198"/>
  <c r="O155" i="198" s="1"/>
  <c r="G153" i="219"/>
  <c r="I153" i="219" s="1"/>
  <c r="AR155" i="198"/>
  <c r="AS155" i="198" s="1"/>
  <c r="W153" i="219"/>
  <c r="D153" i="219"/>
  <c r="F153" i="219" s="1"/>
  <c r="K18" i="234"/>
  <c r="K29" i="234" s="1"/>
  <c r="K23" i="230"/>
  <c r="K18" i="230" s="1"/>
  <c r="K29" i="230" s="1"/>
  <c r="P18" i="234"/>
  <c r="P29" i="234" s="1"/>
  <c r="P23" i="230"/>
  <c r="P18" i="230" s="1"/>
  <c r="P29" i="230" s="1"/>
  <c r="E56" i="233"/>
  <c r="C29" i="233"/>
  <c r="B29" i="233"/>
  <c r="W92" i="206"/>
  <c r="D92" i="206"/>
  <c r="F92" i="206" s="1"/>
  <c r="G92" i="206"/>
  <c r="I92" i="206" s="1"/>
  <c r="F18" i="234"/>
  <c r="F29" i="234" s="1"/>
  <c r="F23" i="230"/>
  <c r="F18" i="230" s="1"/>
  <c r="F29" i="230" s="1"/>
  <c r="F56" i="230" s="1"/>
  <c r="N23" i="230"/>
  <c r="N18" i="234"/>
  <c r="N29" i="234" s="1"/>
  <c r="H23" i="230"/>
  <c r="H18" i="230" s="1"/>
  <c r="H29" i="230" s="1"/>
  <c r="H56" i="230" s="1"/>
  <c r="H18" i="234"/>
  <c r="H29" i="234" s="1"/>
  <c r="C42" i="231"/>
  <c r="B42" i="231"/>
  <c r="O18" i="234"/>
  <c r="O29" i="234" s="1"/>
  <c r="O23" i="230"/>
  <c r="O18" i="230" s="1"/>
  <c r="O29" i="230" s="1"/>
  <c r="AR44" i="198"/>
  <c r="AS44" i="198" s="1"/>
  <c r="D42" i="219"/>
  <c r="F42" i="219" s="1"/>
  <c r="W42" i="219"/>
  <c r="G42" i="219"/>
  <c r="I42" i="219" s="1"/>
  <c r="N44" i="198"/>
  <c r="O44" i="198" s="1"/>
  <c r="K185" i="219"/>
  <c r="V185" i="204"/>
  <c r="V201" i="204" s="1"/>
  <c r="V207" i="204" s="1"/>
  <c r="I23" i="230"/>
  <c r="I18" i="230" s="1"/>
  <c r="I29" i="230" s="1"/>
  <c r="I56" i="230" s="1"/>
  <c r="I18" i="234"/>
  <c r="I29" i="234" s="1"/>
  <c r="Q153" i="206"/>
  <c r="Q185" i="206" s="1"/>
  <c r="Q201" i="206" s="1"/>
  <c r="Q207" i="206" s="1"/>
  <c r="E56" i="231"/>
  <c r="C29" i="231"/>
  <c r="B29" i="231"/>
  <c r="E56" i="236"/>
  <c r="C29" i="236"/>
  <c r="B29" i="236"/>
  <c r="I44" i="198"/>
  <c r="J44" i="198" s="1"/>
  <c r="D42" i="218"/>
  <c r="F42" i="218" s="1"/>
  <c r="AM44" i="198"/>
  <c r="AN44" i="198" s="1"/>
  <c r="G42" i="218"/>
  <c r="I42" i="218" s="1"/>
  <c r="E23" i="235"/>
  <c r="W42" i="218"/>
  <c r="K185" i="218"/>
  <c r="Q185" i="204"/>
  <c r="Q201" i="204" s="1"/>
  <c r="Q207" i="204" s="1"/>
  <c r="K185" i="222"/>
  <c r="G153" i="222"/>
  <c r="I153" i="222" s="1"/>
  <c r="W153" i="222"/>
  <c r="BG155" i="198"/>
  <c r="BH155" i="198" s="1"/>
  <c r="AC155" i="198"/>
  <c r="AD155" i="198" s="1"/>
  <c r="D153" i="222"/>
  <c r="F153" i="222" s="1"/>
  <c r="C42" i="236"/>
  <c r="B42" i="236"/>
  <c r="L18" i="234"/>
  <c r="L29" i="234" s="1"/>
  <c r="L23" i="230"/>
  <c r="L18" i="230" s="1"/>
  <c r="L29" i="230" s="1"/>
  <c r="L153" i="206"/>
  <c r="L185" i="206" s="1"/>
  <c r="L201" i="206" s="1"/>
  <c r="L207" i="206" s="1"/>
  <c r="O153" i="206"/>
  <c r="O185" i="206" s="1"/>
  <c r="O201" i="206" s="1"/>
  <c r="O207" i="206" s="1"/>
  <c r="D80" i="206"/>
  <c r="F80" i="206" s="1"/>
  <c r="G80" i="206"/>
  <c r="I80" i="206" s="1"/>
  <c r="W80" i="206"/>
  <c r="O185" i="204"/>
  <c r="O201" i="204" s="1"/>
  <c r="O207" i="204" s="1"/>
  <c r="U185" i="204"/>
  <c r="U201" i="204" s="1"/>
  <c r="U207" i="204" s="1"/>
  <c r="M185" i="204"/>
  <c r="M201" i="204" s="1"/>
  <c r="M207" i="204" s="1"/>
  <c r="N153" i="206"/>
  <c r="N185" i="206" s="1"/>
  <c r="N201" i="206" s="1"/>
  <c r="N207" i="206" s="1"/>
  <c r="B56" i="232"/>
  <c r="C56" i="232"/>
  <c r="E58" i="232"/>
  <c r="J78" i="248"/>
  <c r="J85" i="248" s="1"/>
  <c r="J99" i="248" s="1"/>
  <c r="J106" i="248" s="1"/>
  <c r="J113" i="248" s="1"/>
  <c r="J120" i="248" s="1"/>
  <c r="J127" i="248" s="1"/>
  <c r="J135" i="248" s="1"/>
  <c r="J142" i="248" s="1"/>
  <c r="J149" i="248" s="1"/>
  <c r="K70" i="248"/>
  <c r="C42" i="232"/>
  <c r="B42" i="232"/>
  <c r="J18" i="234"/>
  <c r="J29" i="234" s="1"/>
  <c r="J23" i="230"/>
  <c r="J18" i="230" s="1"/>
  <c r="J29" i="230" s="1"/>
  <c r="X155" i="198"/>
  <c r="Y155" i="198" s="1"/>
  <c r="G153" i="221"/>
  <c r="I153" i="221" s="1"/>
  <c r="D153" i="221"/>
  <c r="F153" i="221" s="1"/>
  <c r="K185" i="221"/>
  <c r="W153" i="221"/>
  <c r="BB155" i="198"/>
  <c r="BC155" i="198" s="1"/>
  <c r="M23" i="230"/>
  <c r="M18" i="230" s="1"/>
  <c r="M29" i="230" s="1"/>
  <c r="M18" i="234"/>
  <c r="M29" i="234" s="1"/>
  <c r="C37" i="230"/>
  <c r="E42" i="230"/>
  <c r="B37" i="230"/>
  <c r="D153" i="220"/>
  <c r="F153" i="220" s="1"/>
  <c r="G153" i="220"/>
  <c r="I153" i="220" s="1"/>
  <c r="W153" i="220"/>
  <c r="S155" i="198"/>
  <c r="T155" i="198" s="1"/>
  <c r="AW155" i="198"/>
  <c r="AX155" i="198" s="1"/>
  <c r="R153" i="206"/>
  <c r="R185" i="206" s="1"/>
  <c r="R201" i="206" s="1"/>
  <c r="R207" i="206" s="1"/>
  <c r="L185" i="204"/>
  <c r="L201" i="204" s="1"/>
  <c r="L207" i="204" s="1"/>
  <c r="W153" i="204"/>
  <c r="G33" i="206"/>
  <c r="I33" i="206" s="1"/>
  <c r="D33" i="206"/>
  <c r="F33" i="206" s="1"/>
  <c r="W33" i="206"/>
  <c r="W42" i="206" s="1"/>
  <c r="K42" i="206"/>
  <c r="G23" i="230"/>
  <c r="G18" i="230" s="1"/>
  <c r="G29" i="230" s="1"/>
  <c r="G56" i="230" s="1"/>
  <c r="G18" i="234"/>
  <c r="G29" i="234" s="1"/>
  <c r="G42" i="204"/>
  <c r="I42" i="204" s="1"/>
  <c r="E23" i="234"/>
  <c r="AH44" i="198"/>
  <c r="AI44" i="198" s="1"/>
  <c r="D44" i="198"/>
  <c r="E44" i="198" s="1"/>
  <c r="W42" i="204"/>
  <c r="D42" i="204"/>
  <c r="F42" i="204" s="1"/>
  <c r="K185" i="204"/>
  <c r="S185" i="204"/>
  <c r="S201" i="204" s="1"/>
  <c r="S207" i="204" s="1"/>
  <c r="R185" i="204"/>
  <c r="R201" i="204" s="1"/>
  <c r="R207" i="204" s="1"/>
  <c r="W172" i="206"/>
  <c r="P185" i="204"/>
  <c r="P201" i="204" s="1"/>
  <c r="P207" i="204" s="1"/>
  <c r="D172" i="206"/>
  <c r="F172" i="206" s="1"/>
  <c r="G172" i="206"/>
  <c r="I172" i="206" s="1"/>
  <c r="T185" i="204"/>
  <c r="T201" i="204" s="1"/>
  <c r="T207" i="204" s="1"/>
  <c r="G42" i="220"/>
  <c r="I42" i="220" s="1"/>
  <c r="W42" i="220"/>
  <c r="S44" i="198"/>
  <c r="T44" i="198" s="1"/>
  <c r="D42" i="220"/>
  <c r="F42" i="220" s="1"/>
  <c r="AW44" i="198"/>
  <c r="AX44" i="198" s="1"/>
  <c r="K185" i="220"/>
  <c r="W38" i="177"/>
  <c r="W40" i="177"/>
  <c r="W43" i="177" s="1"/>
  <c r="T11" i="218"/>
  <c r="T11" i="206" s="1"/>
  <c r="W11" i="206" s="1"/>
  <c r="N13" i="235"/>
  <c r="N12" i="231"/>
  <c r="Q13" i="231"/>
  <c r="Q12" i="231" s="1"/>
  <c r="T9" i="220"/>
  <c r="W11" i="220"/>
  <c r="G112" i="248"/>
  <c r="K56" i="231"/>
  <c r="G107" i="240"/>
  <c r="X51" i="177"/>
  <c r="X64" i="177" s="1"/>
  <c r="Y11" i="177"/>
  <c r="Y47" i="177"/>
  <c r="Y54" i="177"/>
  <c r="Y67" i="177" s="1"/>
  <c r="Y50" i="177"/>
  <c r="Y63" i="177" s="1"/>
  <c r="Y49" i="177"/>
  <c r="Y62" i="177" s="1"/>
  <c r="Y53" i="177"/>
  <c r="Y66" i="177" s="1"/>
  <c r="Y52" i="177"/>
  <c r="Y65" i="177" s="1"/>
  <c r="X35" i="177"/>
  <c r="Y8" i="177"/>
  <c r="X45" i="177"/>
  <c r="X58" i="177" s="1"/>
  <c r="W69" i="177"/>
  <c r="X60" i="177"/>
  <c r="U24" i="177"/>
  <c r="V23" i="177"/>
  <c r="M103" i="240"/>
  <c r="N103" i="240" s="1"/>
  <c r="K39" i="232"/>
  <c r="K37" i="232" s="1"/>
  <c r="K42" i="232" s="1"/>
  <c r="K56" i="232" s="1"/>
  <c r="R149" i="159"/>
  <c r="R4" i="159" s="1"/>
  <c r="R5" i="159" s="1"/>
  <c r="R132" i="159"/>
  <c r="AF132" i="159"/>
  <c r="AF149" i="159"/>
  <c r="AF4" i="159" s="1"/>
  <c r="AF5" i="159" s="1"/>
  <c r="Z132" i="159"/>
  <c r="Z149" i="159"/>
  <c r="Z4" i="159" s="1"/>
  <c r="Z5" i="159" s="1"/>
  <c r="T149" i="159"/>
  <c r="T4" i="159" s="1"/>
  <c r="T5" i="159" s="1"/>
  <c r="T132" i="159"/>
  <c r="AB132" i="159"/>
  <c r="AB149" i="159"/>
  <c r="AB4" i="159" s="1"/>
  <c r="AB5" i="159" s="1"/>
  <c r="AE132" i="159"/>
  <c r="AE149" i="159"/>
  <c r="AE4" i="159" s="1"/>
  <c r="AE5" i="159" s="1"/>
  <c r="X132" i="159"/>
  <c r="X149" i="159"/>
  <c r="X4" i="159" s="1"/>
  <c r="X5" i="159" s="1"/>
  <c r="AD132" i="159"/>
  <c r="AD149" i="159"/>
  <c r="AD4" i="159" s="1"/>
  <c r="AD5" i="159" s="1"/>
  <c r="Y132" i="159"/>
  <c r="Y149" i="159"/>
  <c r="Y4" i="159" s="1"/>
  <c r="Y5" i="159" s="1"/>
  <c r="Q149" i="159"/>
  <c r="Q4" i="159" s="1"/>
  <c r="Q5" i="159" s="1"/>
  <c r="Q132" i="159"/>
  <c r="S132" i="159"/>
  <c r="S149" i="159"/>
  <c r="S4" i="159" s="1"/>
  <c r="S5" i="159" s="1"/>
  <c r="W132" i="159"/>
  <c r="W149" i="159"/>
  <c r="W4" i="159" s="1"/>
  <c r="W5" i="159" s="1"/>
  <c r="O128" i="159"/>
  <c r="AG126" i="159"/>
  <c r="AG128" i="159" s="1"/>
  <c r="AC149" i="159"/>
  <c r="AC4" i="159" s="1"/>
  <c r="AC5" i="159" s="1"/>
  <c r="AC132" i="159"/>
  <c r="P149" i="159"/>
  <c r="P4" i="159" s="1"/>
  <c r="P5" i="159" s="1"/>
  <c r="P132" i="159"/>
  <c r="AA132" i="159"/>
  <c r="AA149" i="159"/>
  <c r="AA4" i="159" s="1"/>
  <c r="AA5" i="159" s="1"/>
  <c r="V132" i="159"/>
  <c r="V149" i="159"/>
  <c r="V4" i="159" s="1"/>
  <c r="V5" i="159" s="1"/>
  <c r="H127" i="190"/>
  <c r="U128" i="159"/>
  <c r="AG98" i="159"/>
  <c r="H108" i="240"/>
  <c r="M108" i="248"/>
  <c r="N108" i="248" s="1"/>
  <c r="N113" i="248" s="1"/>
  <c r="K108" i="248"/>
  <c r="H113" i="248"/>
  <c r="F95" i="240"/>
  <c r="F100" i="248"/>
  <c r="H110" i="240"/>
  <c r="K110" i="240" s="1"/>
  <c r="H115" i="248"/>
  <c r="N123" i="248"/>
  <c r="K123" i="248"/>
  <c r="G120" i="240"/>
  <c r="K120" i="240" s="1"/>
  <c r="N81" i="240"/>
  <c r="N86" i="240" s="1"/>
  <c r="N94" i="240" s="1"/>
  <c r="N101" i="240" s="1"/>
  <c r="M86" i="240"/>
  <c r="M94" i="240" s="1"/>
  <c r="AT329" i="217"/>
  <c r="AT326" i="217"/>
  <c r="AT293" i="217"/>
  <c r="AT291" i="217"/>
  <c r="AU186" i="217"/>
  <c r="AU184" i="217"/>
  <c r="AV163" i="217"/>
  <c r="AU151" i="217"/>
  <c r="AU150" i="217"/>
  <c r="AV128" i="217"/>
  <c r="AU255" i="217"/>
  <c r="AU257" i="217"/>
  <c r="AV233" i="217"/>
  <c r="AU114" i="217"/>
  <c r="AU116" i="217"/>
  <c r="AV93" i="217"/>
  <c r="AU305" i="217"/>
  <c r="AU269" i="217"/>
  <c r="AU81" i="217"/>
  <c r="AU80" i="217"/>
  <c r="AV58" i="217"/>
  <c r="AV44" i="217"/>
  <c r="AV46" i="217"/>
  <c r="AV292" i="217"/>
  <c r="O31" i="177"/>
  <c r="P30" i="177" s="1"/>
  <c r="Q32" i="177"/>
  <c r="O132" i="248" s="1"/>
  <c r="M27" i="177"/>
  <c r="P29" i="177"/>
  <c r="BR55" i="250" l="1"/>
  <c r="BR56" i="250" s="1"/>
  <c r="BS51" i="250"/>
  <c r="BS64" i="250" s="1"/>
  <c r="BS68" i="250" s="1"/>
  <c r="BT11" i="250"/>
  <c r="BR69" i="250"/>
  <c r="BP75" i="250" s="1"/>
  <c r="BT53" i="250"/>
  <c r="BT66" i="250" s="1"/>
  <c r="BT49" i="250"/>
  <c r="BT62" i="250" s="1"/>
  <c r="BU10" i="250" a="1"/>
  <c r="BU10" i="250" s="1"/>
  <c r="BU47" i="250" s="1"/>
  <c r="BT54" i="250"/>
  <c r="BT67" i="250" s="1"/>
  <c r="BT52" i="250"/>
  <c r="BT65" i="250" s="1"/>
  <c r="BT50" i="250"/>
  <c r="BT63" i="250" s="1"/>
  <c r="BU8" i="250"/>
  <c r="BT35" i="250"/>
  <c r="BT45" i="250"/>
  <c r="BS58" i="250"/>
  <c r="BS40" i="250"/>
  <c r="BS43" i="250" s="1"/>
  <c r="BS38" i="250"/>
  <c r="BS23" i="250"/>
  <c r="BR24" i="250"/>
  <c r="BR28" i="250"/>
  <c r="BR29" i="250" s="1"/>
  <c r="BR32" i="250"/>
  <c r="BR33" i="250" s="1"/>
  <c r="BR30" i="250"/>
  <c r="BR31" i="250" s="1"/>
  <c r="BR26" i="250"/>
  <c r="BR27" i="250" s="1"/>
  <c r="BT47" i="250"/>
  <c r="AY60" i="177"/>
  <c r="AY54" i="177"/>
  <c r="AY67" i="177" s="1"/>
  <c r="AY50" i="177"/>
  <c r="AY63" i="177" s="1"/>
  <c r="AY53" i="177"/>
  <c r="AY66" i="177" s="1"/>
  <c r="AZ10" i="177" a="1"/>
  <c r="AZ10" i="177" s="1"/>
  <c r="AZ47" i="177" s="1"/>
  <c r="AY49" i="177"/>
  <c r="AY62" i="177" s="1"/>
  <c r="AY52" i="177"/>
  <c r="AY65" i="177" s="1"/>
  <c r="G153" i="206"/>
  <c r="I153" i="206" s="1"/>
  <c r="G185" i="218"/>
  <c r="I185" i="218" s="1"/>
  <c r="I187" i="198"/>
  <c r="J187" i="198" s="1"/>
  <c r="AM187" i="198"/>
  <c r="AN187" i="198" s="1"/>
  <c r="D185" i="218"/>
  <c r="F185" i="218" s="1"/>
  <c r="K201" i="218"/>
  <c r="W153" i="206"/>
  <c r="E18" i="235"/>
  <c r="C23" i="235"/>
  <c r="B23" i="235"/>
  <c r="Q23" i="235"/>
  <c r="F93" i="240"/>
  <c r="F98" i="248"/>
  <c r="F141" i="248"/>
  <c r="F138" i="240"/>
  <c r="D93" i="243"/>
  <c r="E93" i="243" s="1"/>
  <c r="F93" i="243" s="1"/>
  <c r="M93" i="243"/>
  <c r="M109" i="243" s="1"/>
  <c r="F77" i="248"/>
  <c r="F72" i="240"/>
  <c r="F57" i="251" s="1"/>
  <c r="C58" i="232"/>
  <c r="F10" i="232"/>
  <c r="F58" i="232" s="1"/>
  <c r="G10" i="232" s="1"/>
  <c r="G58" i="232" s="1"/>
  <c r="H10" i="232" s="1"/>
  <c r="H58" i="232" s="1"/>
  <c r="I10" i="232" s="1"/>
  <c r="I58" i="232" s="1"/>
  <c r="J10" i="232" s="1"/>
  <c r="J58" i="232" s="1"/>
  <c r="K10" i="232" s="1"/>
  <c r="K58" i="232" s="1"/>
  <c r="L10" i="232" s="1"/>
  <c r="B58" i="232"/>
  <c r="B56" i="233"/>
  <c r="C56" i="233"/>
  <c r="E58" i="233"/>
  <c r="S187" i="198"/>
  <c r="AW187" i="198"/>
  <c r="AX187" i="198" s="1"/>
  <c r="K201" i="220"/>
  <c r="G185" i="220"/>
  <c r="I185" i="220" s="1"/>
  <c r="D185" i="220"/>
  <c r="F185" i="220" s="1"/>
  <c r="G42" i="206"/>
  <c r="I42" i="206" s="1"/>
  <c r="D42" i="206"/>
  <c r="F42" i="206" s="1"/>
  <c r="K185" i="206"/>
  <c r="F119" i="248"/>
  <c r="F116" i="240"/>
  <c r="D91" i="243"/>
  <c r="D105" i="243" s="1"/>
  <c r="M91" i="243"/>
  <c r="M105" i="243" s="1"/>
  <c r="F84" i="248"/>
  <c r="F85" i="240"/>
  <c r="F145" i="240"/>
  <c r="F148" i="248"/>
  <c r="F131" i="240"/>
  <c r="F134" i="248"/>
  <c r="F133" i="248" s="1"/>
  <c r="F112" i="248"/>
  <c r="F111" i="248" s="1"/>
  <c r="F107" i="240"/>
  <c r="F106" i="240" s="1"/>
  <c r="F123" i="240"/>
  <c r="F126" i="248"/>
  <c r="W185" i="221"/>
  <c r="W201" i="221" s="1"/>
  <c r="W207" i="221" s="1"/>
  <c r="D185" i="221"/>
  <c r="F185" i="221" s="1"/>
  <c r="X187" i="198"/>
  <c r="Y187" i="198" s="1"/>
  <c r="K201" i="221"/>
  <c r="G185" i="221"/>
  <c r="I185" i="221" s="1"/>
  <c r="BB187" i="198"/>
  <c r="C56" i="236"/>
  <c r="B56" i="236"/>
  <c r="E58" i="236"/>
  <c r="F65" i="240"/>
  <c r="F50" i="251" s="1"/>
  <c r="W185" i="204"/>
  <c r="W201" i="204" s="1"/>
  <c r="W207" i="204" s="1"/>
  <c r="AH187" i="198"/>
  <c r="AI187" i="198" s="1"/>
  <c r="G185" i="204"/>
  <c r="I185" i="204" s="1"/>
  <c r="D187" i="198"/>
  <c r="E187" i="198" s="1"/>
  <c r="D185" i="204"/>
  <c r="F185" i="204" s="1"/>
  <c r="K201" i="204"/>
  <c r="F100" i="240"/>
  <c r="F105" i="248"/>
  <c r="K201" i="222"/>
  <c r="AC187" i="198"/>
  <c r="D185" i="222"/>
  <c r="F185" i="222" s="1"/>
  <c r="W185" i="222"/>
  <c r="W201" i="222" s="1"/>
  <c r="W207" i="222" s="1"/>
  <c r="G185" i="222"/>
  <c r="I185" i="222" s="1"/>
  <c r="BG187" i="198"/>
  <c r="B56" i="231"/>
  <c r="E58" i="231"/>
  <c r="C56" i="231"/>
  <c r="G185" i="219"/>
  <c r="I185" i="219" s="1"/>
  <c r="N187" i="198"/>
  <c r="O187" i="198" s="1"/>
  <c r="K201" i="219"/>
  <c r="W185" i="219"/>
  <c r="W201" i="219" s="1"/>
  <c r="W207" i="219" s="1"/>
  <c r="AR187" i="198"/>
  <c r="AS187" i="198" s="1"/>
  <c r="D185" i="219"/>
  <c r="F185" i="219" s="1"/>
  <c r="B23" i="234"/>
  <c r="C23" i="234"/>
  <c r="Q23" i="234"/>
  <c r="Q18" i="234" s="1"/>
  <c r="Q29" i="234" s="1"/>
  <c r="E18" i="234"/>
  <c r="E23" i="230"/>
  <c r="B42" i="230"/>
  <c r="C42" i="230"/>
  <c r="X55" i="177"/>
  <c r="X56" i="177" s="1"/>
  <c r="T77" i="177"/>
  <c r="X68" i="177"/>
  <c r="G108" i="240"/>
  <c r="G117" i="240" s="1"/>
  <c r="G124" i="240" s="1"/>
  <c r="Z8" i="177"/>
  <c r="Y45" i="177"/>
  <c r="Y58" i="177" s="1"/>
  <c r="Y35" i="177"/>
  <c r="G113" i="248"/>
  <c r="G120" i="248" s="1"/>
  <c r="G127" i="248" s="1"/>
  <c r="X38" i="177"/>
  <c r="X40" i="177"/>
  <c r="X43" i="177" s="1"/>
  <c r="T12" i="220"/>
  <c r="W9" i="220"/>
  <c r="W12" i="220" s="1"/>
  <c r="N12" i="235"/>
  <c r="N29" i="235" s="1"/>
  <c r="N13" i="230"/>
  <c r="Q13" i="235"/>
  <c r="Q12" i="235" s="1"/>
  <c r="Z47" i="177"/>
  <c r="Z49" i="177"/>
  <c r="Z62" i="177" s="1"/>
  <c r="Z54" i="177"/>
  <c r="Z67" i="177" s="1"/>
  <c r="Z50" i="177"/>
  <c r="Z63" i="177" s="1"/>
  <c r="Z53" i="177"/>
  <c r="Z66" i="177" s="1"/>
  <c r="Z52" i="177"/>
  <c r="Z65" i="177" s="1"/>
  <c r="T9" i="218"/>
  <c r="W11" i="218"/>
  <c r="Y60" i="177"/>
  <c r="Y51" i="177"/>
  <c r="Y64" i="177" s="1"/>
  <c r="Z11" i="177"/>
  <c r="N108" i="240"/>
  <c r="V24" i="177"/>
  <c r="W23" i="177"/>
  <c r="O132" i="159"/>
  <c r="O149" i="159"/>
  <c r="U149" i="159"/>
  <c r="H129" i="190"/>
  <c r="U132" i="159"/>
  <c r="H133" i="190" s="1"/>
  <c r="N120" i="240"/>
  <c r="O120" i="240" s="1"/>
  <c r="O124" i="240" s="1"/>
  <c r="K95" i="240"/>
  <c r="J39" i="230" s="1"/>
  <c r="M95" i="240"/>
  <c r="M101" i="240" s="1"/>
  <c r="K115" i="248"/>
  <c r="M115" i="248"/>
  <c r="N115" i="248" s="1"/>
  <c r="N120" i="248" s="1"/>
  <c r="M100" i="248"/>
  <c r="M106" i="248" s="1"/>
  <c r="K100" i="248"/>
  <c r="H120" i="248"/>
  <c r="H117" i="240"/>
  <c r="M110" i="240"/>
  <c r="N110" i="240" s="1"/>
  <c r="L39" i="232"/>
  <c r="L37" i="232" s="1"/>
  <c r="L42" i="232" s="1"/>
  <c r="L56" i="232" s="1"/>
  <c r="H119" i="240"/>
  <c r="M119" i="240" s="1"/>
  <c r="N119" i="240" s="1"/>
  <c r="H122" i="248"/>
  <c r="O123" i="248"/>
  <c r="O127" i="248" s="1"/>
  <c r="O129" i="240"/>
  <c r="AV184" i="217"/>
  <c r="AV186" i="217"/>
  <c r="AV150" i="217"/>
  <c r="AV151" i="217"/>
  <c r="AV257" i="217"/>
  <c r="AV255" i="217"/>
  <c r="AV116" i="217"/>
  <c r="AV114" i="217"/>
  <c r="AV305" i="217"/>
  <c r="AV329" i="217" s="1"/>
  <c r="E91" i="243" s="1"/>
  <c r="AU326" i="217"/>
  <c r="AU329" i="217"/>
  <c r="AU291" i="217"/>
  <c r="AU293" i="217"/>
  <c r="AV269" i="217"/>
  <c r="AV81" i="217"/>
  <c r="AV80" i="217"/>
  <c r="Q33" i="177"/>
  <c r="R32" i="177" s="1"/>
  <c r="O139" i="248" s="1"/>
  <c r="Q28" i="177"/>
  <c r="G131" i="248" s="1"/>
  <c r="P31" i="177"/>
  <c r="N26" i="177"/>
  <c r="E105" i="243" l="1"/>
  <c r="F91" i="243"/>
  <c r="BS55" i="250"/>
  <c r="BS56" i="250" s="1"/>
  <c r="K85" i="240"/>
  <c r="F84" i="240"/>
  <c r="E84" i="240" s="1"/>
  <c r="Q84" i="240" s="1"/>
  <c r="BU60" i="250"/>
  <c r="BP76" i="250"/>
  <c r="BP77" i="250"/>
  <c r="BP78" i="250" s="1"/>
  <c r="BT38" i="250"/>
  <c r="BT40" i="250"/>
  <c r="BT43" i="250" s="1"/>
  <c r="BT60" i="250"/>
  <c r="BU35" i="250"/>
  <c r="BU45" i="250"/>
  <c r="BU58" i="250" s="1"/>
  <c r="BU53" i="250"/>
  <c r="BU66" i="250" s="1"/>
  <c r="BU54" i="250"/>
  <c r="BU67" i="250" s="1"/>
  <c r="BU50" i="250"/>
  <c r="BU63" i="250" s="1"/>
  <c r="BU49" i="250"/>
  <c r="BU62" i="250" s="1"/>
  <c r="BU52" i="250"/>
  <c r="BU65" i="250" s="1"/>
  <c r="BU11" i="250"/>
  <c r="BU51" i="250" s="1"/>
  <c r="BU64" i="250" s="1"/>
  <c r="BT51" i="250"/>
  <c r="BT64" i="250" s="1"/>
  <c r="BT23" i="250"/>
  <c r="BS24" i="250"/>
  <c r="BS28" i="250"/>
  <c r="BS29" i="250" s="1"/>
  <c r="BS32" i="250"/>
  <c r="BS33" i="250" s="1"/>
  <c r="BS30" i="250"/>
  <c r="BS31" i="250" s="1"/>
  <c r="BS26" i="250"/>
  <c r="BS27" i="250" s="1"/>
  <c r="BS69" i="250"/>
  <c r="BT58" i="250"/>
  <c r="AZ60" i="177"/>
  <c r="BA10" i="177" a="1"/>
  <c r="BA10" i="177" s="1"/>
  <c r="BA47" i="177" s="1"/>
  <c r="AZ50" i="177"/>
  <c r="AZ63" i="177" s="1"/>
  <c r="AZ49" i="177"/>
  <c r="AZ62" i="177" s="1"/>
  <c r="AZ52" i="177"/>
  <c r="AZ65" i="177" s="1"/>
  <c r="AZ54" i="177"/>
  <c r="AZ67" i="177" s="1"/>
  <c r="AZ53" i="177"/>
  <c r="AZ66" i="177" s="1"/>
  <c r="N93" i="243"/>
  <c r="N109" i="243" s="1"/>
  <c r="T78" i="177"/>
  <c r="X69" i="177"/>
  <c r="F56" i="251"/>
  <c r="K57" i="251"/>
  <c r="F49" i="251"/>
  <c r="K50" i="251"/>
  <c r="K72" i="240"/>
  <c r="F71" i="240"/>
  <c r="E71" i="240" s="1"/>
  <c r="K112" i="248"/>
  <c r="K107" i="240"/>
  <c r="D201" i="219"/>
  <c r="F201" i="219" s="1"/>
  <c r="K207" i="219"/>
  <c r="G201" i="219"/>
  <c r="I201" i="219" s="1"/>
  <c r="AR203" i="198"/>
  <c r="AS203" i="198" s="1"/>
  <c r="N203" i="198"/>
  <c r="O203" i="198" s="1"/>
  <c r="F99" i="240"/>
  <c r="K100" i="240"/>
  <c r="X203" i="198"/>
  <c r="Y203" i="198" s="1"/>
  <c r="G201" i="221"/>
  <c r="I201" i="221" s="1"/>
  <c r="BB203" i="198"/>
  <c r="BC203" i="198" s="1"/>
  <c r="D201" i="221"/>
  <c r="F201" i="221" s="1"/>
  <c r="K207" i="221"/>
  <c r="F83" i="248"/>
  <c r="K84" i="248"/>
  <c r="F97" i="248"/>
  <c r="K98" i="248"/>
  <c r="B58" i="233"/>
  <c r="C58" i="233"/>
  <c r="F10" i="233"/>
  <c r="F58" i="233" s="1"/>
  <c r="G10" i="233" s="1"/>
  <c r="G58" i="233" s="1"/>
  <c r="H10" i="233" s="1"/>
  <c r="H58" i="233" s="1"/>
  <c r="I10" i="233" s="1"/>
  <c r="I58" i="233" s="1"/>
  <c r="J10" i="233" s="1"/>
  <c r="J58" i="233" s="1"/>
  <c r="K10" i="233" s="1"/>
  <c r="K58" i="233" s="1"/>
  <c r="L10" i="233" s="1"/>
  <c r="L58" i="233" s="1"/>
  <c r="M10" i="233" s="1"/>
  <c r="M58" i="233" s="1"/>
  <c r="N10" i="233" s="1"/>
  <c r="N58" i="233" s="1"/>
  <c r="O10" i="233" s="1"/>
  <c r="O58" i="233" s="1"/>
  <c r="P10" i="233" s="1"/>
  <c r="P58" i="233" s="1"/>
  <c r="S10" i="233" s="1"/>
  <c r="F92" i="240"/>
  <c r="K93" i="240"/>
  <c r="R23" i="235"/>
  <c r="Q18" i="235"/>
  <c r="Q29" i="235" s="1"/>
  <c r="K116" i="240"/>
  <c r="B58" i="231"/>
  <c r="F10" i="231"/>
  <c r="F58" i="231" s="1"/>
  <c r="G10" i="231" s="1"/>
  <c r="G58" i="231" s="1"/>
  <c r="H10" i="231" s="1"/>
  <c r="H58" i="231" s="1"/>
  <c r="I10" i="231" s="1"/>
  <c r="I58" i="231" s="1"/>
  <c r="J10" i="231" s="1"/>
  <c r="J58" i="231" s="1"/>
  <c r="K10" i="231" s="1"/>
  <c r="K58" i="231" s="1"/>
  <c r="L10" i="231" s="1"/>
  <c r="L58" i="231" s="1"/>
  <c r="M10" i="231" s="1"/>
  <c r="M58" i="231" s="1"/>
  <c r="N10" i="231" s="1"/>
  <c r="C58" i="231"/>
  <c r="K123" i="240"/>
  <c r="D185" i="206"/>
  <c r="F185" i="206" s="1"/>
  <c r="K201" i="206"/>
  <c r="G185" i="206"/>
  <c r="I185" i="206" s="1"/>
  <c r="E29" i="235"/>
  <c r="B18" i="235"/>
  <c r="C18" i="235"/>
  <c r="E18" i="230"/>
  <c r="C23" i="230"/>
  <c r="B23" i="230"/>
  <c r="Q23" i="230"/>
  <c r="M92" i="243"/>
  <c r="D92" i="243"/>
  <c r="D107" i="243" s="1"/>
  <c r="F118" i="248"/>
  <c r="K119" i="248"/>
  <c r="R106" i="240"/>
  <c r="E106" i="240"/>
  <c r="K207" i="218"/>
  <c r="I203" i="198"/>
  <c r="J203" i="198" s="1"/>
  <c r="G201" i="218"/>
  <c r="I201" i="218" s="1"/>
  <c r="AM203" i="198"/>
  <c r="AN203" i="198" s="1"/>
  <c r="D201" i="218"/>
  <c r="F201" i="218" s="1"/>
  <c r="K207" i="204"/>
  <c r="D203" i="198"/>
  <c r="E203" i="198" s="1"/>
  <c r="D201" i="204"/>
  <c r="F201" i="204" s="1"/>
  <c r="AH203" i="198"/>
  <c r="AI203" i="198" s="1"/>
  <c r="G201" i="204"/>
  <c r="I201" i="204" s="1"/>
  <c r="F125" i="248"/>
  <c r="K126" i="248"/>
  <c r="L58" i="232"/>
  <c r="M10" i="232" s="1"/>
  <c r="E29" i="234"/>
  <c r="C18" i="234"/>
  <c r="B18" i="234"/>
  <c r="F66" i="240"/>
  <c r="K65" i="240"/>
  <c r="E111" i="248"/>
  <c r="R111" i="248"/>
  <c r="B58" i="236"/>
  <c r="F10" i="236"/>
  <c r="F58" i="236" s="1"/>
  <c r="G10" i="236" s="1"/>
  <c r="G58" i="236" s="1"/>
  <c r="H10" i="236" s="1"/>
  <c r="H58" i="236" s="1"/>
  <c r="I10" i="236" s="1"/>
  <c r="I58" i="236" s="1"/>
  <c r="J10" i="236" s="1"/>
  <c r="J58" i="236" s="1"/>
  <c r="K10" i="236" s="1"/>
  <c r="K58" i="236" s="1"/>
  <c r="L10" i="236" s="1"/>
  <c r="L58" i="236" s="1"/>
  <c r="M10" i="236" s="1"/>
  <c r="M58" i="236" s="1"/>
  <c r="N10" i="236" s="1"/>
  <c r="N58" i="236" s="1"/>
  <c r="O10" i="236" s="1"/>
  <c r="O58" i="236" s="1"/>
  <c r="P10" i="236" s="1"/>
  <c r="P58" i="236" s="1"/>
  <c r="S10" i="236" s="1"/>
  <c r="C58" i="236"/>
  <c r="R133" i="248"/>
  <c r="E133" i="248"/>
  <c r="F75" i="248"/>
  <c r="K77" i="248"/>
  <c r="G201" i="220"/>
  <c r="I201" i="220" s="1"/>
  <c r="S203" i="198"/>
  <c r="T203" i="198" s="1"/>
  <c r="D201" i="220"/>
  <c r="F201" i="220" s="1"/>
  <c r="K207" i="220"/>
  <c r="AW203" i="198"/>
  <c r="AX203" i="198" s="1"/>
  <c r="K145" i="240"/>
  <c r="K138" i="240"/>
  <c r="F147" i="248"/>
  <c r="K148" i="248"/>
  <c r="D201" i="222"/>
  <c r="F201" i="222" s="1"/>
  <c r="K207" i="222"/>
  <c r="G201" i="222"/>
  <c r="I201" i="222" s="1"/>
  <c r="BG203" i="198"/>
  <c r="BH203" i="198" s="1"/>
  <c r="AC203" i="198"/>
  <c r="AD203" i="198" s="1"/>
  <c r="F104" i="248"/>
  <c r="K105" i="248"/>
  <c r="F140" i="248"/>
  <c r="K141" i="248"/>
  <c r="N117" i="240"/>
  <c r="N124" i="240" s="1"/>
  <c r="N12" i="230"/>
  <c r="Q13" i="230"/>
  <c r="Q12" i="230" s="1"/>
  <c r="Y68" i="177"/>
  <c r="Y69" i="177" s="1"/>
  <c r="E134" i="248"/>
  <c r="E131" i="240"/>
  <c r="E130" i="240" s="1"/>
  <c r="F130" i="240" s="1"/>
  <c r="R130" i="240" s="1"/>
  <c r="AA11" i="177"/>
  <c r="Z51" i="177"/>
  <c r="Z64" i="177" s="1"/>
  <c r="Y55" i="177"/>
  <c r="Y56" i="177" s="1"/>
  <c r="T17" i="220"/>
  <c r="T15" i="220"/>
  <c r="T16" i="220"/>
  <c r="W9" i="218"/>
  <c r="W12" i="218" s="1"/>
  <c r="T12" i="218"/>
  <c r="T185" i="218" s="1"/>
  <c r="T9" i="206"/>
  <c r="AA47" i="177"/>
  <c r="AA53" i="177"/>
  <c r="AA66" i="177" s="1"/>
  <c r="AA54" i="177"/>
  <c r="AA67" i="177" s="1"/>
  <c r="AA50" i="177"/>
  <c r="AA63" i="177" s="1"/>
  <c r="AA49" i="177"/>
  <c r="AA62" i="177" s="1"/>
  <c r="AB47" i="177"/>
  <c r="AA52" i="177"/>
  <c r="AA65" i="177" s="1"/>
  <c r="Y38" i="177"/>
  <c r="Y40" i="177"/>
  <c r="Y43" i="177" s="1"/>
  <c r="Z45" i="177"/>
  <c r="Z58" i="177" s="1"/>
  <c r="AA8" i="177"/>
  <c r="Z35" i="177"/>
  <c r="Z60" i="177"/>
  <c r="W24" i="177"/>
  <c r="X23" i="177"/>
  <c r="U4" i="159"/>
  <c r="U5" i="159" s="1"/>
  <c r="H178" i="190"/>
  <c r="AG149" i="159"/>
  <c r="O4" i="159"/>
  <c r="AG132" i="159"/>
  <c r="AG162" i="159" s="1"/>
  <c r="O162" i="159"/>
  <c r="P130" i="159" s="1"/>
  <c r="K119" i="240"/>
  <c r="H124" i="240"/>
  <c r="M39" i="232"/>
  <c r="M37" i="232" s="1"/>
  <c r="M42" i="232" s="1"/>
  <c r="M56" i="232" s="1"/>
  <c r="H127" i="248"/>
  <c r="F102" i="240"/>
  <c r="F107" i="248"/>
  <c r="K122" i="248"/>
  <c r="M122" i="248"/>
  <c r="N122" i="248" s="1"/>
  <c r="N127" i="248" s="1"/>
  <c r="N131" i="248"/>
  <c r="O131" i="248" s="1"/>
  <c r="O135" i="248" s="1"/>
  <c r="K131" i="248"/>
  <c r="O136" i="240"/>
  <c r="G128" i="240"/>
  <c r="N128" i="240" s="1"/>
  <c r="O128" i="240" s="1"/>
  <c r="O132" i="240" s="1"/>
  <c r="AV326" i="217"/>
  <c r="AV293" i="217"/>
  <c r="AV291" i="217"/>
  <c r="Q29" i="177"/>
  <c r="N27" i="177"/>
  <c r="J37" i="230"/>
  <c r="J42" i="230" s="1"/>
  <c r="J56" i="230" s="1"/>
  <c r="R33" i="177"/>
  <c r="Q30" i="177"/>
  <c r="K66" i="240" l="1"/>
  <c r="M95" i="243"/>
  <c r="M107" i="243"/>
  <c r="E92" i="243"/>
  <c r="P93" i="243"/>
  <c r="O93" i="243"/>
  <c r="O109" i="243" s="1"/>
  <c r="BT68" i="250"/>
  <c r="BT69" i="250" s="1"/>
  <c r="R84" i="240"/>
  <c r="K84" i="240"/>
  <c r="BT55" i="250"/>
  <c r="BT56" i="250" s="1"/>
  <c r="BU38" i="250"/>
  <c r="BU40" i="250"/>
  <c r="BU43" i="250" s="1"/>
  <c r="BU55" i="250"/>
  <c r="BU56" i="250" s="1"/>
  <c r="BU23" i="250"/>
  <c r="BT24" i="250"/>
  <c r="BT32" i="250"/>
  <c r="BT33" i="250" s="1"/>
  <c r="BT26" i="250"/>
  <c r="BT27" i="250" s="1"/>
  <c r="BT28" i="250"/>
  <c r="BT29" i="250" s="1"/>
  <c r="BT30" i="250"/>
  <c r="BT31" i="250" s="1"/>
  <c r="BU68" i="250"/>
  <c r="BU69" i="250" s="1"/>
  <c r="BA60" i="177"/>
  <c r="BA53" i="177"/>
  <c r="BA66" i="177" s="1"/>
  <c r="BB10" i="177" a="1"/>
  <c r="BB10" i="177" s="1"/>
  <c r="BB47" i="177" s="1"/>
  <c r="BA49" i="177"/>
  <c r="BA62" i="177" s="1"/>
  <c r="BA50" i="177"/>
  <c r="BA63" i="177" s="1"/>
  <c r="BA52" i="177"/>
  <c r="BA65" i="177" s="1"/>
  <c r="BA54" i="177"/>
  <c r="BA67" i="177" s="1"/>
  <c r="M96" i="243"/>
  <c r="M98" i="243" s="1"/>
  <c r="AV330" i="217"/>
  <c r="F73" i="240"/>
  <c r="F86" i="240" s="1"/>
  <c r="F94" i="240" s="1"/>
  <c r="F101" i="240" s="1"/>
  <c r="F108" i="240" s="1"/>
  <c r="E56" i="251"/>
  <c r="R56" i="251"/>
  <c r="E49" i="251"/>
  <c r="R49" i="251"/>
  <c r="M58" i="232"/>
  <c r="N10" i="232" s="1"/>
  <c r="Q71" i="240"/>
  <c r="E73" i="240"/>
  <c r="E86" i="240" s="1"/>
  <c r="R71" i="240"/>
  <c r="K71" i="240"/>
  <c r="AE10" i="236"/>
  <c r="AE58" i="236" s="1"/>
  <c r="S58" i="236"/>
  <c r="T10" i="236" s="1"/>
  <c r="T58" i="236" s="1"/>
  <c r="U10" i="236" s="1"/>
  <c r="U58" i="236" s="1"/>
  <c r="V10" i="236" s="1"/>
  <c r="V58" i="236" s="1"/>
  <c r="W10" i="236" s="1"/>
  <c r="W58" i="236" s="1"/>
  <c r="X10" i="236" s="1"/>
  <c r="X58" i="236" s="1"/>
  <c r="Y10" i="236" s="1"/>
  <c r="Y58" i="236" s="1"/>
  <c r="Z10" i="236" s="1"/>
  <c r="Z58" i="236" s="1"/>
  <c r="AA10" i="236" s="1"/>
  <c r="AA58" i="236" s="1"/>
  <c r="AB10" i="236" s="1"/>
  <c r="AB58" i="236" s="1"/>
  <c r="AC10" i="236" s="1"/>
  <c r="AC58" i="236" s="1"/>
  <c r="AD10" i="236" s="1"/>
  <c r="AD58" i="236" s="1"/>
  <c r="R137" i="240"/>
  <c r="E83" i="248"/>
  <c r="R83" i="248"/>
  <c r="R144" i="240"/>
  <c r="R104" i="248"/>
  <c r="E104" i="248"/>
  <c r="AH209" i="198"/>
  <c r="AI209" i="198" s="1"/>
  <c r="D207" i="204"/>
  <c r="F207" i="204" s="1"/>
  <c r="G207" i="204"/>
  <c r="I207" i="204" s="1"/>
  <c r="D209" i="198"/>
  <c r="E209" i="198" s="1"/>
  <c r="R115" i="240"/>
  <c r="G207" i="220"/>
  <c r="I207" i="220" s="1"/>
  <c r="S209" i="198"/>
  <c r="T209" i="198" s="1"/>
  <c r="AW209" i="198"/>
  <c r="AX209" i="198" s="1"/>
  <c r="D207" i="220"/>
  <c r="F207" i="220" s="1"/>
  <c r="Q111" i="248"/>
  <c r="K111" i="248"/>
  <c r="B18" i="230"/>
  <c r="C18" i="230"/>
  <c r="E29" i="230"/>
  <c r="D207" i="222"/>
  <c r="F207" i="222" s="1"/>
  <c r="BG209" i="198"/>
  <c r="BH209" i="198" s="1"/>
  <c r="G207" i="222"/>
  <c r="I207" i="222" s="1"/>
  <c r="AC209" i="198"/>
  <c r="AD209" i="198" s="1"/>
  <c r="C29" i="235"/>
  <c r="B29" i="235"/>
  <c r="R92" i="240"/>
  <c r="E92" i="240"/>
  <c r="E99" i="240"/>
  <c r="R99" i="240"/>
  <c r="E140" i="248"/>
  <c r="R140" i="248"/>
  <c r="G207" i="221"/>
  <c r="I207" i="221" s="1"/>
  <c r="D207" i="221"/>
  <c r="F207" i="221" s="1"/>
  <c r="BB209" i="198"/>
  <c r="BC209" i="198" s="1"/>
  <c r="X209" i="198"/>
  <c r="Y209" i="198" s="1"/>
  <c r="AM209" i="198"/>
  <c r="AN209" i="198" s="1"/>
  <c r="I209" i="198"/>
  <c r="J209" i="198" s="1"/>
  <c r="D207" i="218"/>
  <c r="F207" i="218" s="1"/>
  <c r="G207" i="218"/>
  <c r="I207" i="218" s="1"/>
  <c r="AE10" i="233"/>
  <c r="AE58" i="233" s="1"/>
  <c r="S58" i="233"/>
  <c r="T10" i="233" s="1"/>
  <c r="T58" i="233" s="1"/>
  <c r="U10" i="233" s="1"/>
  <c r="U58" i="233" s="1"/>
  <c r="V10" i="233" s="1"/>
  <c r="V58" i="233" s="1"/>
  <c r="W10" i="233" s="1"/>
  <c r="W58" i="233" s="1"/>
  <c r="X10" i="233" s="1"/>
  <c r="X58" i="233" s="1"/>
  <c r="Y10" i="233" s="1"/>
  <c r="Y58" i="233" s="1"/>
  <c r="Z10" i="233" s="1"/>
  <c r="Z58" i="233" s="1"/>
  <c r="AA10" i="233" s="1"/>
  <c r="AA58" i="233" s="1"/>
  <c r="AB10" i="233" s="1"/>
  <c r="AB58" i="233" s="1"/>
  <c r="AC10" i="233" s="1"/>
  <c r="AC58" i="233" s="1"/>
  <c r="AD10" i="233" s="1"/>
  <c r="AD58" i="233" s="1"/>
  <c r="Q106" i="240"/>
  <c r="K106" i="240"/>
  <c r="B29" i="234"/>
  <c r="C29" i="234"/>
  <c r="K207" i="206"/>
  <c r="D201" i="206"/>
  <c r="F201" i="206" s="1"/>
  <c r="G201" i="206"/>
  <c r="I201" i="206" s="1"/>
  <c r="Q130" i="240"/>
  <c r="K130" i="240"/>
  <c r="R147" i="248"/>
  <c r="E147" i="248"/>
  <c r="E75" i="248"/>
  <c r="R75" i="248"/>
  <c r="F78" i="248"/>
  <c r="F85" i="248" s="1"/>
  <c r="F99" i="248" s="1"/>
  <c r="F106" i="248" s="1"/>
  <c r="F113" i="248" s="1"/>
  <c r="G207" i="219"/>
  <c r="I207" i="219" s="1"/>
  <c r="N209" i="198"/>
  <c r="O209" i="198" s="1"/>
  <c r="AR209" i="198"/>
  <c r="AS209" i="198" s="1"/>
  <c r="D207" i="219"/>
  <c r="F207" i="219" s="1"/>
  <c r="Q133" i="248"/>
  <c r="K133" i="248"/>
  <c r="E125" i="248"/>
  <c r="R125" i="248"/>
  <c r="E118" i="248"/>
  <c r="R118" i="248"/>
  <c r="R122" i="240"/>
  <c r="E97" i="248"/>
  <c r="R97" i="248"/>
  <c r="Z68" i="177"/>
  <c r="Z69" i="177" s="1"/>
  <c r="AB60" i="177"/>
  <c r="W75" i="177"/>
  <c r="W16" i="220"/>
  <c r="T16" i="206"/>
  <c r="W16" i="206" s="1"/>
  <c r="T15" i="206"/>
  <c r="W15" i="220"/>
  <c r="T19" i="220"/>
  <c r="T17" i="206"/>
  <c r="W17" i="206" s="1"/>
  <c r="W17" i="220"/>
  <c r="AB54" i="177"/>
  <c r="AB67" i="177" s="1"/>
  <c r="AB50" i="177"/>
  <c r="AB63" i="177" s="1"/>
  <c r="AB53" i="177"/>
  <c r="AB66" i="177" s="1"/>
  <c r="AB49" i="177"/>
  <c r="AB62" i="177" s="1"/>
  <c r="AB52" i="177"/>
  <c r="AB65" i="177" s="1"/>
  <c r="AB11" i="177"/>
  <c r="AA51" i="177"/>
  <c r="AA64" i="177" s="1"/>
  <c r="Z55" i="177"/>
  <c r="Z56" i="177" s="1"/>
  <c r="AA60" i="177"/>
  <c r="T12" i="206"/>
  <c r="W9" i="206"/>
  <c r="AA35" i="177"/>
  <c r="AB8" i="177"/>
  <c r="AA45" i="177"/>
  <c r="AA58" i="177" s="1"/>
  <c r="T201" i="218"/>
  <c r="T207" i="218" s="1"/>
  <c r="W185" i="218"/>
  <c r="W201" i="218" s="1"/>
  <c r="W207" i="218" s="1"/>
  <c r="Z40" i="177"/>
  <c r="Z43" i="177" s="1"/>
  <c r="Z38" i="177"/>
  <c r="M102" i="240"/>
  <c r="M108" i="240" s="1"/>
  <c r="X24" i="177"/>
  <c r="Y23" i="177"/>
  <c r="P162" i="159"/>
  <c r="Q130" i="159" s="1"/>
  <c r="R23" i="159"/>
  <c r="Q23" i="159"/>
  <c r="AG23" i="159" s="1"/>
  <c r="O5" i="159"/>
  <c r="K1" i="159"/>
  <c r="W1" i="159"/>
  <c r="K102" i="240"/>
  <c r="M107" i="248"/>
  <c r="M113" i="248" s="1"/>
  <c r="K107" i="248"/>
  <c r="H127" i="240"/>
  <c r="H132" i="240" s="1"/>
  <c r="H130" i="248"/>
  <c r="K128" i="240"/>
  <c r="O26" i="177"/>
  <c r="R28" i="177"/>
  <c r="G138" i="248" s="1"/>
  <c r="Q31" i="177"/>
  <c r="S32" i="177"/>
  <c r="O146" i="248" s="1"/>
  <c r="K73" i="240" l="1"/>
  <c r="K86" i="240" s="1"/>
  <c r="D84" i="243"/>
  <c r="M99" i="243"/>
  <c r="M131" i="243" s="1"/>
  <c r="M132" i="243" s="1"/>
  <c r="M112" i="243"/>
  <c r="M115" i="243" s="1"/>
  <c r="N92" i="243"/>
  <c r="N107" i="243" s="1"/>
  <c r="E107" i="243"/>
  <c r="F92" i="243"/>
  <c r="F107" i="243" s="1"/>
  <c r="N91" i="243"/>
  <c r="N105" i="243" s="1"/>
  <c r="F105" i="243"/>
  <c r="BS75" i="250"/>
  <c r="BU24" i="250"/>
  <c r="BU30" i="250"/>
  <c r="BU31" i="250" s="1"/>
  <c r="BU26" i="250"/>
  <c r="BU27" i="250" s="1"/>
  <c r="BU28" i="250"/>
  <c r="BU29" i="250" s="1"/>
  <c r="BU32" i="250"/>
  <c r="BU33" i="250" s="1"/>
  <c r="BB60" i="177"/>
  <c r="BB52" i="177"/>
  <c r="BB65" i="177" s="1"/>
  <c r="BB50" i="177"/>
  <c r="BB63" i="177" s="1"/>
  <c r="BC10" i="177" a="1"/>
  <c r="BC10" i="177" s="1"/>
  <c r="BC47" i="177" s="1"/>
  <c r="BB53" i="177"/>
  <c r="BB66" i="177" s="1"/>
  <c r="BB54" i="177"/>
  <c r="BB67" i="177" s="1"/>
  <c r="BB49" i="177"/>
  <c r="BB62" i="177" s="1"/>
  <c r="K56" i="251"/>
  <c r="Q56" i="251"/>
  <c r="K49" i="251"/>
  <c r="Q49" i="251"/>
  <c r="N39" i="232"/>
  <c r="N37" i="232" s="1"/>
  <c r="N42" i="232" s="1"/>
  <c r="N56" i="232" s="1"/>
  <c r="N58" i="232" s="1"/>
  <c r="O10" i="232" s="1"/>
  <c r="K39" i="234"/>
  <c r="Q97" i="248"/>
  <c r="K97" i="248"/>
  <c r="Q140" i="248"/>
  <c r="K140" i="248"/>
  <c r="C29" i="230"/>
  <c r="E56" i="230"/>
  <c r="B29" i="230"/>
  <c r="K75" i="248"/>
  <c r="K78" i="248" s="1"/>
  <c r="E78" i="248"/>
  <c r="E85" i="248" s="1"/>
  <c r="E99" i="248" s="1"/>
  <c r="E106" i="248" s="1"/>
  <c r="E113" i="248" s="1"/>
  <c r="E120" i="248" s="1"/>
  <c r="E127" i="248" s="1"/>
  <c r="E135" i="248" s="1"/>
  <c r="E142" i="248" s="1"/>
  <c r="E149" i="248" s="1"/>
  <c r="Q75" i="248"/>
  <c r="K122" i="240"/>
  <c r="Q122" i="240"/>
  <c r="Q147" i="248"/>
  <c r="K147" i="248"/>
  <c r="K99" i="240"/>
  <c r="Q99" i="240"/>
  <c r="Q104" i="248"/>
  <c r="K104" i="248"/>
  <c r="D207" i="206"/>
  <c r="F207" i="206" s="1"/>
  <c r="G207" i="206"/>
  <c r="I207" i="206" s="1"/>
  <c r="K118" i="248"/>
  <c r="Q118" i="248"/>
  <c r="K92" i="240"/>
  <c r="Q92" i="240"/>
  <c r="E94" i="240"/>
  <c r="E101" i="240" s="1"/>
  <c r="E108" i="240" s="1"/>
  <c r="E117" i="240" s="1"/>
  <c r="E124" i="240" s="1"/>
  <c r="E132" i="240" s="1"/>
  <c r="E139" i="240" s="1"/>
  <c r="E146" i="240" s="1"/>
  <c r="E37" i="251" s="1"/>
  <c r="E44" i="251" s="1"/>
  <c r="E51" i="251" s="1"/>
  <c r="E58" i="251" s="1"/>
  <c r="E65" i="251" s="1"/>
  <c r="E72" i="251" s="1"/>
  <c r="E79" i="251" s="1"/>
  <c r="E86" i="251" s="1"/>
  <c r="E93" i="251" s="1"/>
  <c r="E100" i="251" s="1"/>
  <c r="E107" i="251" s="1"/>
  <c r="E114" i="251" s="1"/>
  <c r="E121" i="251" s="1"/>
  <c r="E49" i="234"/>
  <c r="L50" i="234"/>
  <c r="H46" i="234"/>
  <c r="L40" i="234"/>
  <c r="K36" i="234"/>
  <c r="I35" i="234"/>
  <c r="F40" i="234"/>
  <c r="I40" i="234"/>
  <c r="P47" i="234"/>
  <c r="M46" i="234"/>
  <c r="E40" i="234"/>
  <c r="K33" i="234"/>
  <c r="E51" i="234"/>
  <c r="G39" i="234"/>
  <c r="M51" i="234"/>
  <c r="J49" i="234"/>
  <c r="H41" i="234"/>
  <c r="O45" i="234"/>
  <c r="M34" i="234"/>
  <c r="O41" i="234"/>
  <c r="I33" i="234"/>
  <c r="N50" i="234"/>
  <c r="E35" i="234"/>
  <c r="I34" i="234"/>
  <c r="K47" i="234"/>
  <c r="G33" i="234"/>
  <c r="J50" i="234"/>
  <c r="G34" i="234"/>
  <c r="M47" i="234"/>
  <c r="H36" i="234"/>
  <c r="E46" i="234"/>
  <c r="I46" i="234"/>
  <c r="M50" i="234"/>
  <c r="G35" i="234"/>
  <c r="J41" i="234"/>
  <c r="I36" i="234"/>
  <c r="F34" i="234"/>
  <c r="K34" i="234"/>
  <c r="N49" i="234"/>
  <c r="E41" i="234"/>
  <c r="J46" i="234"/>
  <c r="M35" i="234"/>
  <c r="G49" i="234"/>
  <c r="P32" i="234"/>
  <c r="F39" i="234"/>
  <c r="L36" i="234"/>
  <c r="G40" i="234"/>
  <c r="H33" i="234"/>
  <c r="H32" i="234"/>
  <c r="L32" i="234"/>
  <c r="F41" i="234"/>
  <c r="K46" i="234"/>
  <c r="F45" i="234"/>
  <c r="K35" i="234"/>
  <c r="H47" i="234"/>
  <c r="N40" i="234"/>
  <c r="J34" i="234"/>
  <c r="F51" i="234"/>
  <c r="F47" i="234"/>
  <c r="L41" i="234"/>
  <c r="M36" i="234"/>
  <c r="O32" i="234"/>
  <c r="H49" i="234"/>
  <c r="E45" i="234"/>
  <c r="F49" i="234"/>
  <c r="G36" i="234"/>
  <c r="L46" i="234"/>
  <c r="E36" i="234"/>
  <c r="P35" i="234"/>
  <c r="E33" i="234"/>
  <c r="L47" i="234"/>
  <c r="O49" i="234"/>
  <c r="F33" i="234"/>
  <c r="N34" i="234"/>
  <c r="N33" i="234"/>
  <c r="P46" i="234"/>
  <c r="L51" i="234"/>
  <c r="H50" i="234"/>
  <c r="O35" i="234"/>
  <c r="F46" i="234"/>
  <c r="I41" i="234"/>
  <c r="O33" i="234"/>
  <c r="P41" i="234"/>
  <c r="K45" i="234"/>
  <c r="E39" i="234"/>
  <c r="E32" i="234"/>
  <c r="G32" i="234"/>
  <c r="P50" i="234"/>
  <c r="H45" i="234"/>
  <c r="N47" i="234"/>
  <c r="G45" i="234"/>
  <c r="H35" i="234"/>
  <c r="N46" i="234"/>
  <c r="J47" i="234"/>
  <c r="L33" i="234"/>
  <c r="M32" i="234"/>
  <c r="G47" i="234"/>
  <c r="J36" i="234"/>
  <c r="O50" i="234"/>
  <c r="H34" i="234"/>
  <c r="P45" i="234"/>
  <c r="I49" i="234"/>
  <c r="H51" i="234"/>
  <c r="L35" i="234"/>
  <c r="E47" i="234"/>
  <c r="O40" i="234"/>
  <c r="N41" i="234"/>
  <c r="M41" i="234"/>
  <c r="F36" i="234"/>
  <c r="K41" i="234"/>
  <c r="I50" i="234"/>
  <c r="O36" i="234"/>
  <c r="L49" i="234"/>
  <c r="F32" i="234"/>
  <c r="F50" i="234"/>
  <c r="N51" i="234"/>
  <c r="G41" i="234"/>
  <c r="K51" i="234"/>
  <c r="I51" i="234"/>
  <c r="N45" i="234"/>
  <c r="N36" i="234"/>
  <c r="M33" i="234"/>
  <c r="G50" i="234"/>
  <c r="H40" i="234"/>
  <c r="J33" i="234"/>
  <c r="L34" i="234"/>
  <c r="J35" i="234"/>
  <c r="O51" i="234"/>
  <c r="P34" i="234"/>
  <c r="P33" i="234"/>
  <c r="N35" i="234"/>
  <c r="E50" i="234"/>
  <c r="I32" i="234"/>
  <c r="K49" i="234"/>
  <c r="I45" i="234"/>
  <c r="K32" i="234"/>
  <c r="P51" i="234"/>
  <c r="O47" i="234"/>
  <c r="K50" i="234"/>
  <c r="M49" i="234"/>
  <c r="F35" i="234"/>
  <c r="G51" i="234"/>
  <c r="O46" i="234"/>
  <c r="P40" i="234"/>
  <c r="K40" i="234"/>
  <c r="P36" i="234"/>
  <c r="M40" i="234"/>
  <c r="J32" i="234"/>
  <c r="M45" i="234"/>
  <c r="J40" i="234"/>
  <c r="J45" i="234"/>
  <c r="P49" i="234"/>
  <c r="I47" i="234"/>
  <c r="O34" i="234"/>
  <c r="E34" i="234"/>
  <c r="L45" i="234"/>
  <c r="J51" i="234"/>
  <c r="N32" i="234"/>
  <c r="G46" i="234"/>
  <c r="H39" i="234"/>
  <c r="I39" i="234"/>
  <c r="J39" i="234"/>
  <c r="Q125" i="248"/>
  <c r="K125" i="248"/>
  <c r="Q144" i="240"/>
  <c r="K144" i="240"/>
  <c r="Q83" i="248"/>
  <c r="K83" i="248"/>
  <c r="Q137" i="240"/>
  <c r="K137" i="240"/>
  <c r="Q115" i="240"/>
  <c r="K115" i="240"/>
  <c r="AA68" i="177"/>
  <c r="AC8" i="177"/>
  <c r="AB35" i="177"/>
  <c r="AB45" i="177"/>
  <c r="AB58" i="177" s="1"/>
  <c r="AA38" i="177"/>
  <c r="AA40" i="177"/>
  <c r="AA43" i="177" s="1"/>
  <c r="N21" i="231"/>
  <c r="T185" i="220"/>
  <c r="AA55" i="177"/>
  <c r="AA56" i="177" s="1"/>
  <c r="W19" i="220"/>
  <c r="T19" i="206"/>
  <c r="T185" i="206" s="1"/>
  <c r="T201" i="206" s="1"/>
  <c r="T207" i="206" s="1"/>
  <c r="W15" i="206"/>
  <c r="W19" i="206" s="1"/>
  <c r="AB51" i="177"/>
  <c r="AB64" i="177" s="1"/>
  <c r="AB68" i="177" s="1"/>
  <c r="AC11" i="177"/>
  <c r="W77" i="177"/>
  <c r="W76" i="177"/>
  <c r="AC47" i="177"/>
  <c r="AC50" i="177"/>
  <c r="AC63" i="177" s="1"/>
  <c r="AC53" i="177"/>
  <c r="AC66" i="177" s="1"/>
  <c r="AC49" i="177"/>
  <c r="AC62" i="177" s="1"/>
  <c r="AC52" i="177"/>
  <c r="AC65" i="177" s="1"/>
  <c r="AC54" i="177"/>
  <c r="AC67" i="177" s="1"/>
  <c r="AD47" i="177"/>
  <c r="W12" i="206"/>
  <c r="K39" i="230"/>
  <c r="K37" i="230" s="1"/>
  <c r="K42" i="230" s="1"/>
  <c r="K56" i="230" s="1"/>
  <c r="Y24" i="177"/>
  <c r="Z23" i="177"/>
  <c r="K2" i="159"/>
  <c r="W2" i="159"/>
  <c r="S23" i="159"/>
  <c r="Q162" i="159"/>
  <c r="R130" i="159" s="1"/>
  <c r="M127" i="240"/>
  <c r="N127" i="240" s="1"/>
  <c r="N132" i="240" s="1"/>
  <c r="K127" i="240"/>
  <c r="M130" i="248"/>
  <c r="N130" i="248" s="1"/>
  <c r="N135" i="248" s="1"/>
  <c r="K130" i="248"/>
  <c r="H135" i="248"/>
  <c r="F109" i="240"/>
  <c r="M109" i="240" s="1"/>
  <c r="M117" i="240" s="1"/>
  <c r="F114" i="248"/>
  <c r="N138" i="248"/>
  <c r="O138" i="248" s="1"/>
  <c r="O142" i="248" s="1"/>
  <c r="K138" i="248"/>
  <c r="G135" i="240"/>
  <c r="O143" i="240"/>
  <c r="S33" i="177"/>
  <c r="O27" i="177"/>
  <c r="R29" i="177"/>
  <c r="R30" i="177"/>
  <c r="D89" i="243" l="1"/>
  <c r="M135" i="243"/>
  <c r="P92" i="243"/>
  <c r="N95" i="243"/>
  <c r="O91" i="243"/>
  <c r="O105" i="243" s="1"/>
  <c r="O92" i="243"/>
  <c r="P91" i="243"/>
  <c r="K94" i="240"/>
  <c r="K101" i="240" s="1"/>
  <c r="K108" i="240" s="1"/>
  <c r="BS77" i="250"/>
  <c r="BS78" i="250" s="1"/>
  <c r="BS76" i="250"/>
  <c r="BC60" i="177"/>
  <c r="BC52" i="177"/>
  <c r="BC65" i="177" s="1"/>
  <c r="BC50" i="177"/>
  <c r="BC63" i="177" s="1"/>
  <c r="BC49" i="177"/>
  <c r="BC62" i="177" s="1"/>
  <c r="BD10" i="177" a="1"/>
  <c r="BD10" i="177" s="1"/>
  <c r="BD47" i="177" s="1"/>
  <c r="BC54" i="177"/>
  <c r="BC67" i="177" s="1"/>
  <c r="BC53" i="177"/>
  <c r="BC66" i="177" s="1"/>
  <c r="N96" i="243"/>
  <c r="N98" i="243" s="1"/>
  <c r="N112" i="243" s="1"/>
  <c r="N115" i="243" s="1"/>
  <c r="K31" i="234"/>
  <c r="L44" i="234"/>
  <c r="I31" i="234"/>
  <c r="N31" i="234"/>
  <c r="H37" i="234"/>
  <c r="P44" i="234"/>
  <c r="N44" i="234"/>
  <c r="M48" i="234"/>
  <c r="K44" i="234"/>
  <c r="G37" i="234"/>
  <c r="P48" i="234"/>
  <c r="L48" i="234"/>
  <c r="M44" i="234"/>
  <c r="I37" i="234"/>
  <c r="K37" i="234"/>
  <c r="C34" i="234"/>
  <c r="Q34" i="234"/>
  <c r="B34" i="234"/>
  <c r="B39" i="234"/>
  <c r="C39" i="234"/>
  <c r="E37" i="234"/>
  <c r="G48" i="234"/>
  <c r="C49" i="234"/>
  <c r="B49" i="234"/>
  <c r="Q49" i="234"/>
  <c r="E48" i="234"/>
  <c r="Q33" i="234"/>
  <c r="C33" i="234"/>
  <c r="B33" i="234"/>
  <c r="G41" i="235"/>
  <c r="I34" i="235"/>
  <c r="G34" i="235"/>
  <c r="M32" i="235"/>
  <c r="L36" i="235"/>
  <c r="K45" i="235"/>
  <c r="L46" i="235"/>
  <c r="J50" i="235"/>
  <c r="N33" i="235"/>
  <c r="E47" i="235"/>
  <c r="K35" i="235"/>
  <c r="G51" i="235"/>
  <c r="J33" i="235"/>
  <c r="O32" i="235"/>
  <c r="O51" i="235"/>
  <c r="N32" i="235"/>
  <c r="M49" i="235"/>
  <c r="E51" i="235"/>
  <c r="F46" i="235"/>
  <c r="G32" i="235"/>
  <c r="F36" i="235"/>
  <c r="E46" i="235"/>
  <c r="F40" i="235"/>
  <c r="J32" i="235"/>
  <c r="J45" i="235"/>
  <c r="M36" i="235"/>
  <c r="K49" i="235"/>
  <c r="H35" i="235"/>
  <c r="J46" i="235"/>
  <c r="J35" i="235"/>
  <c r="H50" i="235"/>
  <c r="P45" i="235"/>
  <c r="K41" i="235"/>
  <c r="G46" i="235"/>
  <c r="P40" i="235"/>
  <c r="P49" i="235"/>
  <c r="J39" i="235"/>
  <c r="F34" i="235"/>
  <c r="M40" i="235"/>
  <c r="G35" i="235"/>
  <c r="O45" i="235"/>
  <c r="P39" i="235"/>
  <c r="K36" i="235"/>
  <c r="L41" i="235"/>
  <c r="L32" i="235"/>
  <c r="H36" i="235"/>
  <c r="M45" i="235"/>
  <c r="M51" i="235"/>
  <c r="N49" i="235"/>
  <c r="F50" i="235"/>
  <c r="K39" i="235"/>
  <c r="O36" i="235"/>
  <c r="G40" i="235"/>
  <c r="P41" i="235"/>
  <c r="M35" i="235"/>
  <c r="M50" i="235"/>
  <c r="J47" i="235"/>
  <c r="P34" i="235"/>
  <c r="E34" i="235"/>
  <c r="E39" i="235"/>
  <c r="I33" i="235"/>
  <c r="J51" i="235"/>
  <c r="J36" i="235"/>
  <c r="F32" i="235"/>
  <c r="L34" i="235"/>
  <c r="F47" i="235"/>
  <c r="N34" i="235"/>
  <c r="K40" i="235"/>
  <c r="O40" i="235"/>
  <c r="I45" i="235"/>
  <c r="G47" i="235"/>
  <c r="I36" i="235"/>
  <c r="L51" i="235"/>
  <c r="G39" i="235"/>
  <c r="L39" i="235"/>
  <c r="E36" i="235"/>
  <c r="P32" i="235"/>
  <c r="N40" i="235"/>
  <c r="F51" i="235"/>
  <c r="F39" i="235"/>
  <c r="E50" i="235"/>
  <c r="E35" i="235"/>
  <c r="H46" i="235"/>
  <c r="P51" i="235"/>
  <c r="P36" i="235"/>
  <c r="N51" i="235"/>
  <c r="J49" i="235"/>
  <c r="N39" i="235"/>
  <c r="E32" i="235"/>
  <c r="M46" i="235"/>
  <c r="E33" i="235"/>
  <c r="N46" i="235"/>
  <c r="N45" i="235"/>
  <c r="H45" i="235"/>
  <c r="O47" i="235"/>
  <c r="H33" i="235"/>
  <c r="I50" i="235"/>
  <c r="L47" i="235"/>
  <c r="E41" i="235"/>
  <c r="K46" i="235"/>
  <c r="K33" i="235"/>
  <c r="K51" i="235"/>
  <c r="P46" i="235"/>
  <c r="I32" i="235"/>
  <c r="G33" i="235"/>
  <c r="P35" i="235"/>
  <c r="L35" i="235"/>
  <c r="J34" i="235"/>
  <c r="G49" i="235"/>
  <c r="E40" i="235"/>
  <c r="I49" i="235"/>
  <c r="P47" i="235"/>
  <c r="O46" i="235"/>
  <c r="J41" i="235"/>
  <c r="H40" i="235"/>
  <c r="M34" i="235"/>
  <c r="O39" i="235"/>
  <c r="I39" i="235"/>
  <c r="G45" i="235"/>
  <c r="O50" i="235"/>
  <c r="H41" i="235"/>
  <c r="M47" i="235"/>
  <c r="F41" i="235"/>
  <c r="I46" i="235"/>
  <c r="L45" i="235"/>
  <c r="O41" i="235"/>
  <c r="G36" i="235"/>
  <c r="K34" i="235"/>
  <c r="M41" i="235"/>
  <c r="N41" i="235"/>
  <c r="O49" i="235"/>
  <c r="H49" i="235"/>
  <c r="L50" i="235"/>
  <c r="K32" i="235"/>
  <c r="L49" i="235"/>
  <c r="F35" i="235"/>
  <c r="O35" i="235"/>
  <c r="O33" i="235"/>
  <c r="G50" i="235"/>
  <c r="K47" i="235"/>
  <c r="I40" i="235"/>
  <c r="H51" i="235"/>
  <c r="I47" i="235"/>
  <c r="N36" i="235"/>
  <c r="N35" i="235"/>
  <c r="I35" i="235"/>
  <c r="P50" i="235"/>
  <c r="L40" i="235"/>
  <c r="H34" i="235"/>
  <c r="M33" i="235"/>
  <c r="H47" i="235"/>
  <c r="P33" i="235"/>
  <c r="O34" i="235"/>
  <c r="I51" i="235"/>
  <c r="J40" i="235"/>
  <c r="H32" i="235"/>
  <c r="F45" i="235"/>
  <c r="K50" i="235"/>
  <c r="F49" i="235"/>
  <c r="F33" i="235"/>
  <c r="M39" i="235"/>
  <c r="N47" i="235"/>
  <c r="L33" i="235"/>
  <c r="N50" i="235"/>
  <c r="H39" i="235"/>
  <c r="I41" i="235"/>
  <c r="E49" i="235"/>
  <c r="E45" i="235"/>
  <c r="M31" i="234"/>
  <c r="B36" i="234"/>
  <c r="C36" i="234"/>
  <c r="Q36" i="234"/>
  <c r="B41" i="234"/>
  <c r="Q41" i="234"/>
  <c r="C41" i="234"/>
  <c r="J44" i="234"/>
  <c r="F44" i="234"/>
  <c r="N48" i="234"/>
  <c r="B40" i="234"/>
  <c r="C40" i="234"/>
  <c r="Q40" i="234"/>
  <c r="K85" i="248"/>
  <c r="K99" i="248" s="1"/>
  <c r="K106" i="248" s="1"/>
  <c r="K113" i="248" s="1"/>
  <c r="I44" i="234"/>
  <c r="F48" i="234"/>
  <c r="B35" i="234"/>
  <c r="Q35" i="234"/>
  <c r="C35" i="234"/>
  <c r="J31" i="234"/>
  <c r="K48" i="234"/>
  <c r="Q45" i="234"/>
  <c r="E44" i="234"/>
  <c r="B45" i="234"/>
  <c r="C45" i="234"/>
  <c r="L31" i="234"/>
  <c r="C56" i="230"/>
  <c r="B56" i="230"/>
  <c r="E58" i="230"/>
  <c r="B51" i="234"/>
  <c r="Q51" i="234"/>
  <c r="C51" i="234"/>
  <c r="Q47" i="234"/>
  <c r="B47" i="234"/>
  <c r="C47" i="234"/>
  <c r="G44" i="234"/>
  <c r="H48" i="234"/>
  <c r="H31" i="234"/>
  <c r="Q50" i="234"/>
  <c r="C50" i="234"/>
  <c r="B50" i="234"/>
  <c r="O31" i="234"/>
  <c r="H44" i="234"/>
  <c r="J37" i="234"/>
  <c r="I48" i="234"/>
  <c r="O44" i="234"/>
  <c r="G31" i="234"/>
  <c r="F37" i="234"/>
  <c r="B46" i="234"/>
  <c r="C46" i="234"/>
  <c r="Q46" i="234"/>
  <c r="F31" i="234"/>
  <c r="E31" i="234"/>
  <c r="C32" i="234"/>
  <c r="Q32" i="234"/>
  <c r="B32" i="234"/>
  <c r="O48" i="234"/>
  <c r="P31" i="234"/>
  <c r="J48" i="234"/>
  <c r="AB69" i="177"/>
  <c r="D34" i="243"/>
  <c r="AA69" i="177"/>
  <c r="D90" i="243"/>
  <c r="W78" i="177"/>
  <c r="AB55" i="177"/>
  <c r="AB56" i="177" s="1"/>
  <c r="AD60" i="177"/>
  <c r="W185" i="220"/>
  <c r="W201" i="220" s="1"/>
  <c r="W207" i="220" s="1"/>
  <c r="T201" i="220"/>
  <c r="T207" i="220" s="1"/>
  <c r="N21" i="230"/>
  <c r="N18" i="231"/>
  <c r="N29" i="231" s="1"/>
  <c r="Q21" i="231"/>
  <c r="Q18" i="231" s="1"/>
  <c r="Q29" i="231" s="1"/>
  <c r="Q56" i="231" s="1"/>
  <c r="Q58" i="231" s="1"/>
  <c r="W185" i="206"/>
  <c r="AD49" i="177"/>
  <c r="AD62" i="177" s="1"/>
  <c r="AD52" i="177"/>
  <c r="AD65" i="177" s="1"/>
  <c r="AD53" i="177"/>
  <c r="AD66" i="177" s="1"/>
  <c r="AD50" i="177"/>
  <c r="AD63" i="177" s="1"/>
  <c r="AD54" i="177"/>
  <c r="AD67" i="177" s="1"/>
  <c r="AC60" i="177"/>
  <c r="AB40" i="177"/>
  <c r="AB43" i="177" s="1"/>
  <c r="AB38" i="177"/>
  <c r="AC45" i="177"/>
  <c r="AC58" i="177" s="1"/>
  <c r="AD8" i="177"/>
  <c r="AC35" i="177"/>
  <c r="AD11" i="177"/>
  <c r="AC51" i="177"/>
  <c r="AC64" i="177" s="1"/>
  <c r="Z24" i="177"/>
  <c r="AA23" i="177"/>
  <c r="R162" i="159"/>
  <c r="S130" i="159" s="1"/>
  <c r="T23" i="159"/>
  <c r="K135" i="240"/>
  <c r="N135" i="240"/>
  <c r="O135" i="240" s="1"/>
  <c r="O139" i="240" s="1"/>
  <c r="H134" i="240"/>
  <c r="H139" i="240" s="1"/>
  <c r="H137" i="248"/>
  <c r="H142" i="248" s="1"/>
  <c r="F117" i="240"/>
  <c r="M114" i="248"/>
  <c r="M120" i="248" s="1"/>
  <c r="K114" i="248"/>
  <c r="F120" i="248"/>
  <c r="L39" i="234"/>
  <c r="L37" i="234" s="1"/>
  <c r="K109" i="240"/>
  <c r="T32" i="177"/>
  <c r="O41" i="251" s="1"/>
  <c r="R31" i="177"/>
  <c r="P26" i="177"/>
  <c r="S28" i="177"/>
  <c r="G145" i="248" s="1"/>
  <c r="M140" i="243" l="1"/>
  <c r="M142" i="243" s="1"/>
  <c r="D95" i="243"/>
  <c r="D109" i="243"/>
  <c r="O95" i="243"/>
  <c r="O107" i="243"/>
  <c r="O96" i="243"/>
  <c r="O98" i="243" s="1"/>
  <c r="BD60" i="177"/>
  <c r="BD49" i="177"/>
  <c r="BD62" i="177" s="1"/>
  <c r="BD50" i="177"/>
  <c r="BD63" i="177" s="1"/>
  <c r="BE10" i="177" a="1"/>
  <c r="BE10" i="177" s="1"/>
  <c r="BE47" i="177" s="1"/>
  <c r="BD53" i="177"/>
  <c r="BD66" i="177" s="1"/>
  <c r="BD54" i="177"/>
  <c r="BD67" i="177" s="1"/>
  <c r="BD52" i="177"/>
  <c r="BD65" i="177" s="1"/>
  <c r="K117" i="240"/>
  <c r="P96" i="243"/>
  <c r="N99" i="243"/>
  <c r="N131" i="243" s="1"/>
  <c r="P98" i="243"/>
  <c r="Z75" i="177"/>
  <c r="Z77" i="177" s="1"/>
  <c r="L52" i="234"/>
  <c r="N52" i="234"/>
  <c r="P52" i="234"/>
  <c r="K42" i="234"/>
  <c r="H42" i="234"/>
  <c r="I42" i="234"/>
  <c r="M52" i="234"/>
  <c r="K52" i="234"/>
  <c r="G42" i="234"/>
  <c r="G52" i="234"/>
  <c r="F48" i="235"/>
  <c r="F44" i="235"/>
  <c r="J42" i="234"/>
  <c r="J48" i="235"/>
  <c r="K120" i="248"/>
  <c r="L44" i="235"/>
  <c r="L42" i="234"/>
  <c r="O48" i="235"/>
  <c r="I48" i="235"/>
  <c r="O44" i="235"/>
  <c r="G44" i="235"/>
  <c r="O52" i="234"/>
  <c r="K48" i="235"/>
  <c r="J44" i="235"/>
  <c r="F52" i="234"/>
  <c r="Q44" i="234"/>
  <c r="H37" i="235"/>
  <c r="H44" i="235"/>
  <c r="F37" i="235"/>
  <c r="J31" i="235"/>
  <c r="B47" i="235"/>
  <c r="C47" i="235"/>
  <c r="Q47" i="235"/>
  <c r="Q48" i="234"/>
  <c r="G48" i="235"/>
  <c r="L48" i="235"/>
  <c r="N44" i="235"/>
  <c r="K37" i="235"/>
  <c r="J37" i="235"/>
  <c r="B50" i="235"/>
  <c r="Q50" i="235"/>
  <c r="C50" i="235"/>
  <c r="K31" i="235"/>
  <c r="F31" i="235"/>
  <c r="P48" i="235"/>
  <c r="C46" i="235"/>
  <c r="B46" i="235"/>
  <c r="Q46" i="235"/>
  <c r="C33" i="235"/>
  <c r="Q33" i="235"/>
  <c r="B33" i="235"/>
  <c r="P31" i="235"/>
  <c r="N48" i="235"/>
  <c r="C40" i="235"/>
  <c r="B40" i="235"/>
  <c r="Q40" i="235"/>
  <c r="H48" i="235"/>
  <c r="I37" i="235"/>
  <c r="I31" i="235"/>
  <c r="C36" i="235"/>
  <c r="Q36" i="235"/>
  <c r="B36" i="235"/>
  <c r="G31" i="235"/>
  <c r="K44" i="235"/>
  <c r="C37" i="234"/>
  <c r="B37" i="234"/>
  <c r="B49" i="235"/>
  <c r="Q49" i="235"/>
  <c r="E48" i="235"/>
  <c r="C49" i="235"/>
  <c r="O37" i="235"/>
  <c r="B32" i="235"/>
  <c r="Q32" i="235"/>
  <c r="C32" i="235"/>
  <c r="E31" i="235"/>
  <c r="L37" i="235"/>
  <c r="M44" i="235"/>
  <c r="B48" i="234"/>
  <c r="C48" i="234"/>
  <c r="H52" i="234"/>
  <c r="C31" i="234"/>
  <c r="E42" i="234"/>
  <c r="B31" i="234"/>
  <c r="N37" i="235"/>
  <c r="G37" i="235"/>
  <c r="C39" i="235"/>
  <c r="Q39" i="235"/>
  <c r="E37" i="235"/>
  <c r="B39" i="235"/>
  <c r="P44" i="235"/>
  <c r="Q51" i="235"/>
  <c r="B51" i="235"/>
  <c r="C51" i="235"/>
  <c r="M31" i="235"/>
  <c r="B34" i="235"/>
  <c r="Q34" i="235"/>
  <c r="C34" i="235"/>
  <c r="L31" i="235"/>
  <c r="M48" i="235"/>
  <c r="C35" i="235"/>
  <c r="Q35" i="235"/>
  <c r="B35" i="235"/>
  <c r="M37" i="235"/>
  <c r="H31" i="235"/>
  <c r="N31" i="235"/>
  <c r="Q31" i="234"/>
  <c r="F42" i="234"/>
  <c r="I52" i="234"/>
  <c r="B41" i="235"/>
  <c r="C41" i="235"/>
  <c r="Q41" i="235"/>
  <c r="B44" i="234"/>
  <c r="E52" i="234"/>
  <c r="C44" i="234"/>
  <c r="J52" i="234"/>
  <c r="C58" i="230"/>
  <c r="F10" i="230"/>
  <c r="F58" i="230" s="1"/>
  <c r="G10" i="230" s="1"/>
  <c r="G58" i="230" s="1"/>
  <c r="H10" i="230" s="1"/>
  <c r="H58" i="230" s="1"/>
  <c r="I10" i="230" s="1"/>
  <c r="I58" i="230" s="1"/>
  <c r="J10" i="230" s="1"/>
  <c r="J58" i="230" s="1"/>
  <c r="K10" i="230" s="1"/>
  <c r="K58" i="230" s="1"/>
  <c r="L10" i="230" s="1"/>
  <c r="B58" i="230"/>
  <c r="C45" i="235"/>
  <c r="B45" i="235"/>
  <c r="Q45" i="235"/>
  <c r="E44" i="235"/>
  <c r="I44" i="235"/>
  <c r="P37" i="235"/>
  <c r="O31" i="235"/>
  <c r="AC68" i="177"/>
  <c r="AC69" i="177" s="1"/>
  <c r="T33" i="177"/>
  <c r="U32" i="177" s="1"/>
  <c r="O48" i="251" s="1"/>
  <c r="L39" i="230"/>
  <c r="L37" i="230" s="1"/>
  <c r="L42" i="230" s="1"/>
  <c r="L56" i="230" s="1"/>
  <c r="D96" i="243"/>
  <c r="W201" i="206"/>
  <c r="G131" i="240"/>
  <c r="G134" i="248"/>
  <c r="N56" i="231"/>
  <c r="N58" i="231" s="1"/>
  <c r="O10" i="231" s="1"/>
  <c r="O58" i="231" s="1"/>
  <c r="P10" i="231" s="1"/>
  <c r="P58" i="231" s="1"/>
  <c r="S10" i="231" s="1"/>
  <c r="Q21" i="230"/>
  <c r="Q18" i="230" s="1"/>
  <c r="Q29" i="230" s="1"/>
  <c r="N18" i="230"/>
  <c r="N29" i="230" s="1"/>
  <c r="AC38" i="177"/>
  <c r="AC40" i="177"/>
  <c r="AC43" i="177" s="1"/>
  <c r="AD51" i="177"/>
  <c r="AD64" i="177" s="1"/>
  <c r="AD68" i="177" s="1"/>
  <c r="AE11" i="177"/>
  <c r="D54" i="243" s="1"/>
  <c r="AD35" i="177"/>
  <c r="AE8" i="177"/>
  <c r="AE9" i="177" s="1"/>
  <c r="AD45" i="177"/>
  <c r="AD58" i="177" s="1"/>
  <c r="AC55" i="177"/>
  <c r="AC56" i="177" s="1"/>
  <c r="AE47" i="177"/>
  <c r="AE53" i="177"/>
  <c r="AE66" i="177" s="1"/>
  <c r="AE54" i="177"/>
  <c r="AE67" i="177" s="1"/>
  <c r="AE52" i="177"/>
  <c r="AE65" i="177" s="1"/>
  <c r="AE50" i="177"/>
  <c r="AE63" i="177" s="1"/>
  <c r="AE49" i="177"/>
  <c r="AE62" i="177" s="1"/>
  <c r="O39" i="232"/>
  <c r="O37" i="232" s="1"/>
  <c r="O42" i="232" s="1"/>
  <c r="O56" i="232" s="1"/>
  <c r="O58" i="232" s="1"/>
  <c r="P10" i="232" s="1"/>
  <c r="AB23" i="177"/>
  <c r="AA24" i="177"/>
  <c r="U23" i="159"/>
  <c r="H25" i="190" s="1"/>
  <c r="S162" i="159"/>
  <c r="T130" i="159" s="1"/>
  <c r="M134" i="240"/>
  <c r="N134" i="240" s="1"/>
  <c r="N139" i="240" s="1"/>
  <c r="F118" i="240"/>
  <c r="K118" i="240" s="1"/>
  <c r="F121" i="248"/>
  <c r="K134" i="240"/>
  <c r="K137" i="248"/>
  <c r="M137" i="248"/>
  <c r="N137" i="248" s="1"/>
  <c r="N142" i="248" s="1"/>
  <c r="K145" i="248"/>
  <c r="N145" i="248"/>
  <c r="O145" i="248" s="1"/>
  <c r="O149" i="248" s="1"/>
  <c r="G142" i="240"/>
  <c r="N142" i="240" s="1"/>
  <c r="O142" i="240" s="1"/>
  <c r="O146" i="240" s="1"/>
  <c r="O37" i="251" s="1"/>
  <c r="S29" i="177"/>
  <c r="T28" i="177" s="1"/>
  <c r="S30" i="177"/>
  <c r="H144" i="248" s="1"/>
  <c r="P27" i="177"/>
  <c r="O99" i="243" l="1"/>
  <c r="O131" i="243" s="1"/>
  <c r="O112" i="243"/>
  <c r="O115" i="243" s="1"/>
  <c r="Z76" i="177"/>
  <c r="BE60" i="177"/>
  <c r="BF10" i="177" a="1"/>
  <c r="BF10" i="177" s="1"/>
  <c r="BF47" i="177" s="1"/>
  <c r="BE53" i="177"/>
  <c r="BE66" i="177" s="1"/>
  <c r="BE50" i="177"/>
  <c r="BE63" i="177" s="1"/>
  <c r="BE52" i="177"/>
  <c r="BE65" i="177" s="1"/>
  <c r="BE54" i="177"/>
  <c r="BE67" i="177" s="1"/>
  <c r="BE49" i="177"/>
  <c r="BE62" i="177" s="1"/>
  <c r="AF36" i="177" a="1"/>
  <c r="AF36" i="177" s="1"/>
  <c r="AF41" i="177" s="1"/>
  <c r="AF37" i="177" a="1"/>
  <c r="AF37" i="177" s="1"/>
  <c r="AF42" i="177" s="1"/>
  <c r="D51" i="243"/>
  <c r="G40" i="251"/>
  <c r="K40" i="251" s="1"/>
  <c r="H56" i="234"/>
  <c r="L56" i="234"/>
  <c r="I56" i="234"/>
  <c r="K56" i="234"/>
  <c r="F52" i="235"/>
  <c r="G56" i="234"/>
  <c r="O52" i="235"/>
  <c r="J56" i="234"/>
  <c r="J52" i="235"/>
  <c r="L52" i="235"/>
  <c r="I52" i="235"/>
  <c r="F56" i="234"/>
  <c r="Q48" i="235"/>
  <c r="G52" i="235"/>
  <c r="J42" i="235"/>
  <c r="K52" i="235"/>
  <c r="L58" i="230"/>
  <c r="M10" i="230" s="1"/>
  <c r="F42" i="235"/>
  <c r="O42" i="235"/>
  <c r="Q37" i="235"/>
  <c r="N52" i="235"/>
  <c r="H42" i="235"/>
  <c r="M52" i="235"/>
  <c r="G42" i="235"/>
  <c r="P52" i="235"/>
  <c r="Q52" i="234"/>
  <c r="C31" i="235"/>
  <c r="B31" i="235"/>
  <c r="E42" i="235"/>
  <c r="Q31" i="235"/>
  <c r="L42" i="235"/>
  <c r="I42" i="235"/>
  <c r="C42" i="234"/>
  <c r="B42" i="234"/>
  <c r="E56" i="234"/>
  <c r="B52" i="234"/>
  <c r="C52" i="234"/>
  <c r="C44" i="235"/>
  <c r="E52" i="235"/>
  <c r="B44" i="235"/>
  <c r="K42" i="235"/>
  <c r="Q44" i="235"/>
  <c r="M42" i="235"/>
  <c r="C48" i="235"/>
  <c r="B48" i="235"/>
  <c r="H52" i="235"/>
  <c r="C37" i="235"/>
  <c r="B37" i="235"/>
  <c r="N42" i="235"/>
  <c r="P42" i="235"/>
  <c r="U33" i="177"/>
  <c r="V32" i="177" s="1"/>
  <c r="O55" i="251" s="1"/>
  <c r="T29" i="177"/>
  <c r="U28" i="177" s="1"/>
  <c r="G47" i="251" s="1"/>
  <c r="Z78" i="177"/>
  <c r="AD55" i="177"/>
  <c r="AD56" i="177" s="1"/>
  <c r="S58" i="231"/>
  <c r="T10" i="231" s="1"/>
  <c r="T58" i="231" s="1"/>
  <c r="U10" i="231" s="1"/>
  <c r="U58" i="231" s="1"/>
  <c r="V10" i="231" s="1"/>
  <c r="V58" i="231" s="1"/>
  <c r="W10" i="231" s="1"/>
  <c r="W58" i="231" s="1"/>
  <c r="X10" i="231" s="1"/>
  <c r="X58" i="231" s="1"/>
  <c r="Y10" i="231" s="1"/>
  <c r="Y58" i="231" s="1"/>
  <c r="Z10" i="231" s="1"/>
  <c r="Z58" i="231" s="1"/>
  <c r="AA10" i="231" s="1"/>
  <c r="AA58" i="231" s="1"/>
  <c r="AB10" i="231" s="1"/>
  <c r="AB58" i="231" s="1"/>
  <c r="AC10" i="231" s="1"/>
  <c r="AC58" i="231" s="1"/>
  <c r="AD10" i="231" s="1"/>
  <c r="AD58" i="231" s="1"/>
  <c r="AE10" i="231"/>
  <c r="AE58" i="231" s="1"/>
  <c r="K134" i="248"/>
  <c r="G135" i="248"/>
  <c r="G142" i="248" s="1"/>
  <c r="G149" i="248" s="1"/>
  <c r="K131" i="240"/>
  <c r="G132" i="240"/>
  <c r="G139" i="240" s="1"/>
  <c r="G146" i="240" s="1"/>
  <c r="G37" i="251" s="1"/>
  <c r="AE60" i="177"/>
  <c r="AD69" i="177"/>
  <c r="W207" i="206"/>
  <c r="D98" i="243"/>
  <c r="AD40" i="177"/>
  <c r="AD43" i="177" s="1"/>
  <c r="AD38" i="177"/>
  <c r="AF47" i="177"/>
  <c r="AF54" i="177"/>
  <c r="AF67" i="177" s="1"/>
  <c r="AF53" i="177"/>
  <c r="AF66" i="177" s="1"/>
  <c r="AF49" i="177"/>
  <c r="AF62" i="177" s="1"/>
  <c r="AF52" i="177"/>
  <c r="AF65" i="177" s="1"/>
  <c r="AF50" i="177"/>
  <c r="AF63" i="177" s="1"/>
  <c r="AF8" i="177"/>
  <c r="AE35" i="177"/>
  <c r="AE45" i="177"/>
  <c r="AE58" i="177" s="1"/>
  <c r="E86" i="243" s="1"/>
  <c r="E103" i="243" s="1"/>
  <c r="AF11" i="177"/>
  <c r="AE51" i="177"/>
  <c r="AE64" i="177" s="1"/>
  <c r="M39" i="234"/>
  <c r="M37" i="234" s="1"/>
  <c r="M42" i="234" s="1"/>
  <c r="M56" i="234" s="1"/>
  <c r="M118" i="240"/>
  <c r="M124" i="240" s="1"/>
  <c r="AC23" i="177"/>
  <c r="AB24" i="177"/>
  <c r="T162" i="159"/>
  <c r="U130" i="159" s="1"/>
  <c r="V23" i="159"/>
  <c r="F124" i="240"/>
  <c r="M121" i="248"/>
  <c r="M127" i="248" s="1"/>
  <c r="K121" i="248"/>
  <c r="K127" i="248" s="1"/>
  <c r="K144" i="248"/>
  <c r="M144" i="248"/>
  <c r="N144" i="248" s="1"/>
  <c r="N149" i="248" s="1"/>
  <c r="F127" i="248"/>
  <c r="H149" i="248"/>
  <c r="K142" i="240"/>
  <c r="H141" i="240"/>
  <c r="P39" i="232" s="1"/>
  <c r="S31" i="177"/>
  <c r="T30" i="177" s="1"/>
  <c r="M39" i="230"/>
  <c r="M37" i="230" s="1"/>
  <c r="M42" i="230" s="1"/>
  <c r="M56" i="230" s="1"/>
  <c r="K124" i="240"/>
  <c r="Q26" i="177"/>
  <c r="F129" i="248" s="1"/>
  <c r="D131" i="243" l="1"/>
  <c r="BF60" i="177"/>
  <c r="BF54" i="177"/>
  <c r="BF67" i="177" s="1"/>
  <c r="BF49" i="177"/>
  <c r="BF62" i="177" s="1"/>
  <c r="BF52" i="177"/>
  <c r="BF65" i="177" s="1"/>
  <c r="BF50" i="177"/>
  <c r="BF63" i="177" s="1"/>
  <c r="BG10" i="177" a="1"/>
  <c r="BG10" i="177" s="1"/>
  <c r="BF53" i="177"/>
  <c r="BF66" i="177" s="1"/>
  <c r="G44" i="251"/>
  <c r="G51" i="251" s="1"/>
  <c r="N40" i="251"/>
  <c r="O40" i="251" s="1"/>
  <c r="O44" i="251" s="1"/>
  <c r="H39" i="251"/>
  <c r="K39" i="251" s="1"/>
  <c r="K47" i="251"/>
  <c r="N47" i="251"/>
  <c r="O47" i="251" s="1"/>
  <c r="J56" i="235"/>
  <c r="I56" i="235"/>
  <c r="F56" i="235"/>
  <c r="L56" i="235"/>
  <c r="O56" i="235"/>
  <c r="Q52" i="235"/>
  <c r="G56" i="235"/>
  <c r="K56" i="235"/>
  <c r="M58" i="230"/>
  <c r="N10" i="230" s="1"/>
  <c r="P56" i="235"/>
  <c r="N56" i="235"/>
  <c r="M56" i="235"/>
  <c r="Q42" i="235"/>
  <c r="H56" i="235"/>
  <c r="C56" i="234"/>
  <c r="B56" i="234"/>
  <c r="E58" i="234"/>
  <c r="C42" i="235"/>
  <c r="B42" i="235"/>
  <c r="E56" i="235"/>
  <c r="B52" i="235"/>
  <c r="C52" i="235"/>
  <c r="U29" i="177"/>
  <c r="V28" i="177" s="1"/>
  <c r="G54" i="251" s="1"/>
  <c r="V33" i="177"/>
  <c r="W32" i="177" s="1"/>
  <c r="O62" i="251" s="1"/>
  <c r="T31" i="177"/>
  <c r="U30" i="177" s="1"/>
  <c r="H46" i="251" s="1"/>
  <c r="AE68" i="177"/>
  <c r="AF51" i="177"/>
  <c r="AF64" i="177" s="1"/>
  <c r="AG11" i="177"/>
  <c r="AE40" i="177"/>
  <c r="AE43" i="177" s="1"/>
  <c r="E85" i="243" s="1"/>
  <c r="E102" i="243" s="1"/>
  <c r="AE38" i="177"/>
  <c r="AE55" i="177"/>
  <c r="AE56" i="177" s="1"/>
  <c r="D99" i="243"/>
  <c r="W210" i="206"/>
  <c r="W212" i="206" s="1"/>
  <c r="AG8" i="177"/>
  <c r="AF45" i="177"/>
  <c r="AF58" i="177" s="1"/>
  <c r="AF35" i="177"/>
  <c r="AG47" i="177"/>
  <c r="AG53" i="177"/>
  <c r="AG66" i="177" s="1"/>
  <c r="AG50" i="177"/>
  <c r="AG63" i="177" s="1"/>
  <c r="AG49" i="177"/>
  <c r="AG62" i="177" s="1"/>
  <c r="AG54" i="177"/>
  <c r="AG67" i="177" s="1"/>
  <c r="AH47" i="177"/>
  <c r="AG52" i="177"/>
  <c r="AG65" i="177" s="1"/>
  <c r="AF60" i="177"/>
  <c r="AC24" i="177"/>
  <c r="AD23" i="177"/>
  <c r="U162" i="159"/>
  <c r="V130" i="159" s="1"/>
  <c r="W23" i="159"/>
  <c r="H131" i="190"/>
  <c r="F135" i="248"/>
  <c r="M129" i="248"/>
  <c r="M135" i="248" s="1"/>
  <c r="K129" i="248"/>
  <c r="K135" i="248" s="1"/>
  <c r="M141" i="240"/>
  <c r="N141" i="240" s="1"/>
  <c r="N146" i="240" s="1"/>
  <c r="N37" i="251" s="1"/>
  <c r="K141" i="240"/>
  <c r="H146" i="240"/>
  <c r="H37" i="251" s="1"/>
  <c r="F126" i="240"/>
  <c r="N39" i="234" s="1"/>
  <c r="N37" i="234" s="1"/>
  <c r="N42" i="234" s="1"/>
  <c r="N56" i="234" s="1"/>
  <c r="Q27" i="177"/>
  <c r="R26" i="177" s="1"/>
  <c r="P37" i="232"/>
  <c r="P42" i="232" s="1"/>
  <c r="P56" i="232" s="1"/>
  <c r="P58" i="232" s="1"/>
  <c r="S10" i="232" s="1"/>
  <c r="Q39" i="232"/>
  <c r="Q37" i="232" s="1"/>
  <c r="Q42" i="232" s="1"/>
  <c r="Q56" i="232" s="1"/>
  <c r="Q58" i="232" s="1"/>
  <c r="E114" i="243" l="1"/>
  <c r="E134" i="243" s="1"/>
  <c r="M39" i="251"/>
  <c r="N39" i="251" s="1"/>
  <c r="N44" i="251" s="1"/>
  <c r="BG47" i="177"/>
  <c r="BG49" i="177"/>
  <c r="BG62" i="177" s="1"/>
  <c r="BG52" i="177"/>
  <c r="BG65" i="177" s="1"/>
  <c r="BG50" i="177"/>
  <c r="BG63" i="177" s="1"/>
  <c r="BG53" i="177"/>
  <c r="BG66" i="177" s="1"/>
  <c r="BH10" i="177" a="1"/>
  <c r="BH10" i="177" s="1"/>
  <c r="BG54" i="177"/>
  <c r="BG67" i="177" s="1"/>
  <c r="H44" i="251"/>
  <c r="H51" i="251" s="1"/>
  <c r="O51" i="251"/>
  <c r="AE69" i="177"/>
  <c r="AC75" i="177" s="1"/>
  <c r="AC76" i="177" s="1"/>
  <c r="E87" i="243"/>
  <c r="G58" i="251"/>
  <c r="K54" i="251"/>
  <c r="N54" i="251"/>
  <c r="O54" i="251" s="1"/>
  <c r="K46" i="251"/>
  <c r="M46" i="251"/>
  <c r="N46" i="251" s="1"/>
  <c r="Q56" i="235"/>
  <c r="Q58" i="235" s="1"/>
  <c r="B56" i="235"/>
  <c r="C56" i="235"/>
  <c r="E58" i="235"/>
  <c r="F10" i="234"/>
  <c r="F58" i="234" s="1"/>
  <c r="G10" i="234" s="1"/>
  <c r="G58" i="234" s="1"/>
  <c r="H10" i="234" s="1"/>
  <c r="H58" i="234" s="1"/>
  <c r="I10" i="234" s="1"/>
  <c r="I58" i="234" s="1"/>
  <c r="J10" i="234" s="1"/>
  <c r="J58" i="234" s="1"/>
  <c r="K10" i="234" s="1"/>
  <c r="K58" i="234" s="1"/>
  <c r="L10" i="234" s="1"/>
  <c r="L58" i="234" s="1"/>
  <c r="M10" i="234" s="1"/>
  <c r="M58" i="234" s="1"/>
  <c r="N10" i="234" s="1"/>
  <c r="N58" i="234" s="1"/>
  <c r="O10" i="234" s="1"/>
  <c r="B58" i="234"/>
  <c r="C58" i="234"/>
  <c r="U31" i="177"/>
  <c r="V30" i="177" s="1"/>
  <c r="H53" i="251" s="1"/>
  <c r="W33" i="177"/>
  <c r="X32" i="177" s="1"/>
  <c r="O69" i="251" s="1"/>
  <c r="V29" i="177"/>
  <c r="W28" i="177" s="1"/>
  <c r="G61" i="251" s="1"/>
  <c r="AF55" i="177"/>
  <c r="AF56" i="177" s="1"/>
  <c r="AF68" i="177"/>
  <c r="AH60" i="177"/>
  <c r="AF40" i="177"/>
  <c r="AF43" i="177" s="1"/>
  <c r="AF38" i="177"/>
  <c r="AH8" i="177"/>
  <c r="AG35" i="177"/>
  <c r="AG45" i="177"/>
  <c r="AG58" i="177" s="1"/>
  <c r="AG60" i="177"/>
  <c r="AH53" i="177"/>
  <c r="AH66" i="177" s="1"/>
  <c r="AH49" i="177"/>
  <c r="AH62" i="177" s="1"/>
  <c r="AH50" i="177"/>
  <c r="AH63" i="177" s="1"/>
  <c r="AH52" i="177"/>
  <c r="AH65" i="177" s="1"/>
  <c r="AH54" i="177"/>
  <c r="AH67" i="177" s="1"/>
  <c r="AG51" i="177"/>
  <c r="AG64" i="177" s="1"/>
  <c r="AH11" i="177"/>
  <c r="AD24" i="177"/>
  <c r="AE23" i="177"/>
  <c r="E33" i="243" s="1"/>
  <c r="E75" i="243" s="1"/>
  <c r="V162" i="159"/>
  <c r="W130" i="159" s="1"/>
  <c r="X23" i="159"/>
  <c r="F133" i="240"/>
  <c r="M133" i="240" s="1"/>
  <c r="F136" i="248"/>
  <c r="M126" i="240"/>
  <c r="M132" i="240" s="1"/>
  <c r="K126" i="240"/>
  <c r="F132" i="240"/>
  <c r="AE10" i="232"/>
  <c r="AE58" i="232" s="1"/>
  <c r="S58" i="232"/>
  <c r="T10" i="232" s="1"/>
  <c r="T58" i="232" s="1"/>
  <c r="U10" i="232" s="1"/>
  <c r="U58" i="232" s="1"/>
  <c r="V10" i="232" s="1"/>
  <c r="V58" i="232" s="1"/>
  <c r="W10" i="232" s="1"/>
  <c r="W58" i="232" s="1"/>
  <c r="X10" i="232" s="1"/>
  <c r="X58" i="232" s="1"/>
  <c r="Y10" i="232" s="1"/>
  <c r="Y58" i="232" s="1"/>
  <c r="Z10" i="232" s="1"/>
  <c r="Z58" i="232" s="1"/>
  <c r="AA10" i="232" s="1"/>
  <c r="AA58" i="232" s="1"/>
  <c r="AB10" i="232" s="1"/>
  <c r="AB58" i="232" s="1"/>
  <c r="AC10" i="232" s="1"/>
  <c r="AC58" i="232" s="1"/>
  <c r="AD10" i="232" s="1"/>
  <c r="AD58" i="232" s="1"/>
  <c r="R27" i="177"/>
  <c r="BI10" i="177" l="1" a="1"/>
  <c r="BI10" i="177" s="1"/>
  <c r="BI47" i="177" s="1"/>
  <c r="BH49" i="177"/>
  <c r="BH62" i="177" s="1"/>
  <c r="BH50" i="177"/>
  <c r="BH63" i="177" s="1"/>
  <c r="BH53" i="177"/>
  <c r="BH66" i="177" s="1"/>
  <c r="BH54" i="177"/>
  <c r="BH67" i="177" s="1"/>
  <c r="BH52" i="177"/>
  <c r="BH65" i="177" s="1"/>
  <c r="N51" i="251"/>
  <c r="BH47" i="177"/>
  <c r="BG60" i="177"/>
  <c r="O58" i="251"/>
  <c r="H58" i="251"/>
  <c r="G65" i="251"/>
  <c r="G72" i="251" s="1"/>
  <c r="G79" i="251" s="1"/>
  <c r="G86" i="251" s="1"/>
  <c r="G93" i="251" s="1"/>
  <c r="G100" i="251" s="1"/>
  <c r="G107" i="251" s="1"/>
  <c r="G114" i="251" s="1"/>
  <c r="G121" i="251" s="1"/>
  <c r="N61" i="251"/>
  <c r="O61" i="251" s="1"/>
  <c r="K61" i="251"/>
  <c r="M53" i="251"/>
  <c r="N53" i="251" s="1"/>
  <c r="K53" i="251"/>
  <c r="F10" i="235"/>
  <c r="F58" i="235" s="1"/>
  <c r="G10" i="235" s="1"/>
  <c r="G58" i="235" s="1"/>
  <c r="H10" i="235" s="1"/>
  <c r="H58" i="235" s="1"/>
  <c r="I10" i="235" s="1"/>
  <c r="I58" i="235" s="1"/>
  <c r="J10" i="235" s="1"/>
  <c r="J58" i="235" s="1"/>
  <c r="K10" i="235" s="1"/>
  <c r="K58" i="235" s="1"/>
  <c r="L10" i="235" s="1"/>
  <c r="L58" i="235" s="1"/>
  <c r="M10" i="235" s="1"/>
  <c r="M58" i="235" s="1"/>
  <c r="N10" i="235" s="1"/>
  <c r="N58" i="235" s="1"/>
  <c r="O10" i="235" s="1"/>
  <c r="O58" i="235" s="1"/>
  <c r="P10" i="235" s="1"/>
  <c r="P58" i="235" s="1"/>
  <c r="S10" i="235" s="1"/>
  <c r="C58" i="235"/>
  <c r="B58" i="235"/>
  <c r="AG55" i="177"/>
  <c r="AG56" i="177" s="1"/>
  <c r="AC77" i="177"/>
  <c r="AF69" i="177"/>
  <c r="V31" i="177"/>
  <c r="W30" i="177" s="1"/>
  <c r="H60" i="251" s="1"/>
  <c r="W29" i="177"/>
  <c r="X28" i="177" s="1"/>
  <c r="G68" i="251" s="1"/>
  <c r="X33" i="177"/>
  <c r="Y32" i="177" s="1"/>
  <c r="O76" i="251" s="1"/>
  <c r="O39" i="234"/>
  <c r="O37" i="234" s="1"/>
  <c r="O42" i="234" s="1"/>
  <c r="O56" i="234" s="1"/>
  <c r="O58" i="234" s="1"/>
  <c r="P10" i="234" s="1"/>
  <c r="AG38" i="177"/>
  <c r="AG40" i="177"/>
  <c r="AG43" i="177" s="1"/>
  <c r="AH51" i="177"/>
  <c r="AH64" i="177" s="1"/>
  <c r="AH68" i="177" s="1"/>
  <c r="AI11" i="177"/>
  <c r="AH45" i="177"/>
  <c r="AH58" i="177" s="1"/>
  <c r="AI8" i="177"/>
  <c r="AH35" i="177"/>
  <c r="AG68" i="177"/>
  <c r="AG69" i="177" s="1"/>
  <c r="AI47" i="177"/>
  <c r="AI52" i="177"/>
  <c r="AI65" i="177" s="1"/>
  <c r="AI49" i="177"/>
  <c r="AI62" i="177" s="1"/>
  <c r="AI53" i="177"/>
  <c r="AI66" i="177" s="1"/>
  <c r="AI50" i="177"/>
  <c r="AI63" i="177" s="1"/>
  <c r="AJ47" i="177"/>
  <c r="AI54" i="177"/>
  <c r="AI67" i="177" s="1"/>
  <c r="AF23" i="177"/>
  <c r="AE24" i="177"/>
  <c r="W162" i="159"/>
  <c r="X130" i="159" s="1"/>
  <c r="Y23" i="159"/>
  <c r="F139" i="240"/>
  <c r="K133" i="240"/>
  <c r="O39" i="230" s="1"/>
  <c r="O37" i="230" s="1"/>
  <c r="O42" i="230" s="1"/>
  <c r="O56" i="230" s="1"/>
  <c r="M136" i="248"/>
  <c r="M142" i="248" s="1"/>
  <c r="K136" i="248"/>
  <c r="K142" i="248" s="1"/>
  <c r="F142" i="248"/>
  <c r="M139" i="240"/>
  <c r="N39" i="230"/>
  <c r="N37" i="230" s="1"/>
  <c r="N42" i="230" s="1"/>
  <c r="N56" i="230" s="1"/>
  <c r="N58" i="230" s="1"/>
  <c r="O10" i="230" s="1"/>
  <c r="K132" i="240"/>
  <c r="S26" i="177"/>
  <c r="BI60" i="177" l="1"/>
  <c r="BH60" i="177"/>
  <c r="N58" i="251"/>
  <c r="O65" i="251"/>
  <c r="BI49" i="177"/>
  <c r="BI62" i="177" s="1"/>
  <c r="BI52" i="177"/>
  <c r="BI65" i="177" s="1"/>
  <c r="BJ10" i="177" a="1"/>
  <c r="BJ10" i="177" s="1"/>
  <c r="BI54" i="177"/>
  <c r="BI67" i="177" s="1"/>
  <c r="BI50" i="177"/>
  <c r="BI63" i="177" s="1"/>
  <c r="BI53" i="177"/>
  <c r="BI66" i="177" s="1"/>
  <c r="H65" i="251"/>
  <c r="H72" i="251" s="1"/>
  <c r="H79" i="251" s="1"/>
  <c r="H86" i="251" s="1"/>
  <c r="H93" i="251" s="1"/>
  <c r="H100" i="251" s="1"/>
  <c r="H107" i="251" s="1"/>
  <c r="H114" i="251" s="1"/>
  <c r="H121" i="251" s="1"/>
  <c r="AC78" i="177"/>
  <c r="E84" i="243" s="1"/>
  <c r="E89" i="243" s="1"/>
  <c r="E88" i="243"/>
  <c r="K60" i="251"/>
  <c r="M60" i="251"/>
  <c r="N60" i="251" s="1"/>
  <c r="K68" i="251"/>
  <c r="N68" i="251"/>
  <c r="O68" i="251" s="1"/>
  <c r="AE10" i="235"/>
  <c r="AE58" i="235" s="1"/>
  <c r="S58" i="235"/>
  <c r="T10" i="235" s="1"/>
  <c r="T58" i="235" s="1"/>
  <c r="U10" i="235" s="1"/>
  <c r="U58" i="235" s="1"/>
  <c r="V10" i="235" s="1"/>
  <c r="V58" i="235" s="1"/>
  <c r="W10" i="235" s="1"/>
  <c r="W58" i="235" s="1"/>
  <c r="X10" i="235" s="1"/>
  <c r="X58" i="235" s="1"/>
  <c r="Y10" i="235" s="1"/>
  <c r="Y58" i="235" s="1"/>
  <c r="Z10" i="235" s="1"/>
  <c r="Z58" i="235" s="1"/>
  <c r="AA10" i="235" s="1"/>
  <c r="AA58" i="235" s="1"/>
  <c r="AB10" i="235" s="1"/>
  <c r="AB58" i="235" s="1"/>
  <c r="AC10" i="235" s="1"/>
  <c r="AC58" i="235" s="1"/>
  <c r="AD10" i="235" s="1"/>
  <c r="AD58" i="235" s="1"/>
  <c r="W31" i="177"/>
  <c r="X30" i="177" s="1"/>
  <c r="H67" i="251" s="1"/>
  <c r="X29" i="177"/>
  <c r="Y28" i="177" s="1"/>
  <c r="Y33" i="177"/>
  <c r="Z32" i="177" s="1"/>
  <c r="O83" i="251" s="1"/>
  <c r="AH55" i="177"/>
  <c r="AH56" i="177" s="1"/>
  <c r="AH69" i="177"/>
  <c r="AI35" i="177"/>
  <c r="AI45" i="177"/>
  <c r="AI58" i="177" s="1"/>
  <c r="AJ8" i="177"/>
  <c r="AI51" i="177"/>
  <c r="AI64" i="177" s="1"/>
  <c r="AJ11" i="177"/>
  <c r="AK11" i="177" s="1"/>
  <c r="AJ60" i="177"/>
  <c r="AI60" i="177"/>
  <c r="AH40" i="177"/>
  <c r="AH43" i="177" s="1"/>
  <c r="AH38" i="177"/>
  <c r="AJ54" i="177"/>
  <c r="AJ67" i="177" s="1"/>
  <c r="AJ50" i="177"/>
  <c r="AJ63" i="177" s="1"/>
  <c r="AJ52" i="177"/>
  <c r="AJ65" i="177" s="1"/>
  <c r="AJ49" i="177"/>
  <c r="AJ62" i="177" s="1"/>
  <c r="AJ53" i="177"/>
  <c r="AJ66" i="177" s="1"/>
  <c r="K139" i="240"/>
  <c r="AF24" i="177"/>
  <c r="AG23" i="177"/>
  <c r="X162" i="159"/>
  <c r="Y130" i="159" s="1"/>
  <c r="Z23" i="159"/>
  <c r="O58" i="230"/>
  <c r="P10" i="230" s="1"/>
  <c r="F140" i="240"/>
  <c r="K140" i="240" s="1"/>
  <c r="F143" i="248"/>
  <c r="F149" i="248" s="1"/>
  <c r="S27" i="177"/>
  <c r="D35" i="243" s="1"/>
  <c r="D36" i="243" l="1"/>
  <c r="F74" i="243"/>
  <c r="G74" i="243" s="1"/>
  <c r="N65" i="251"/>
  <c r="O72" i="251"/>
  <c r="BJ50" i="177"/>
  <c r="BJ63" i="177" s="1"/>
  <c r="BJ53" i="177"/>
  <c r="BJ66" i="177" s="1"/>
  <c r="BJ49" i="177"/>
  <c r="BJ62" i="177" s="1"/>
  <c r="BJ52" i="177"/>
  <c r="BJ65" i="177" s="1"/>
  <c r="BK10" i="177" a="1"/>
  <c r="BK10" i="177" s="1"/>
  <c r="BJ54" i="177"/>
  <c r="BJ67" i="177" s="1"/>
  <c r="BJ47" i="177"/>
  <c r="G75" i="251"/>
  <c r="K75" i="251" s="1"/>
  <c r="K67" i="251"/>
  <c r="M67" i="251"/>
  <c r="N67" i="251" s="1"/>
  <c r="AI55" i="177"/>
  <c r="AI56" i="177" s="1"/>
  <c r="AF75" i="177"/>
  <c r="AF76" i="177" s="1"/>
  <c r="X31" i="177"/>
  <c r="Y30" i="177" s="1"/>
  <c r="H74" i="251" s="1"/>
  <c r="Z33" i="177"/>
  <c r="AA32" i="177" s="1"/>
  <c r="O90" i="251" s="1"/>
  <c r="Y29" i="177"/>
  <c r="Z28" i="177" s="1"/>
  <c r="G82" i="251" s="1"/>
  <c r="AI68" i="177"/>
  <c r="T26" i="177"/>
  <c r="P39" i="234"/>
  <c r="P37" i="234" s="1"/>
  <c r="P42" i="234" s="1"/>
  <c r="P56" i="234" s="1"/>
  <c r="P58" i="234" s="1"/>
  <c r="S10" i="234" s="1"/>
  <c r="AJ51" i="177"/>
  <c r="AK8" i="177"/>
  <c r="AL8" i="177" s="1"/>
  <c r="AJ45" i="177"/>
  <c r="AJ58" i="177" s="1"/>
  <c r="AJ35" i="177"/>
  <c r="AK47" i="177"/>
  <c r="AK49" i="177"/>
  <c r="AK62" i="177" s="1"/>
  <c r="AK54" i="177"/>
  <c r="AK67" i="177" s="1"/>
  <c r="AK53" i="177"/>
  <c r="AK66" i="177" s="1"/>
  <c r="AK50" i="177"/>
  <c r="AK63" i="177" s="1"/>
  <c r="AK52" i="177"/>
  <c r="AK65" i="177" s="1"/>
  <c r="AI38" i="177"/>
  <c r="AI40" i="177"/>
  <c r="AI43" i="177" s="1"/>
  <c r="AG24" i="177"/>
  <c r="AH23" i="177"/>
  <c r="AA23" i="159"/>
  <c r="Y162" i="159"/>
  <c r="Z130" i="159" s="1"/>
  <c r="F146" i="240"/>
  <c r="F37" i="251" s="1"/>
  <c r="M140" i="240"/>
  <c r="M146" i="240" s="1"/>
  <c r="M37" i="251" s="1"/>
  <c r="K143" i="248"/>
  <c r="K149" i="248" s="1"/>
  <c r="M143" i="248"/>
  <c r="M149" i="248" s="1"/>
  <c r="P39" i="230"/>
  <c r="K146" i="240"/>
  <c r="K37" i="251" s="1"/>
  <c r="D129" i="243"/>
  <c r="D128" i="243"/>
  <c r="E90" i="243" l="1"/>
  <c r="AI69" i="177"/>
  <c r="N72" i="251"/>
  <c r="AM8" i="177"/>
  <c r="AL35" i="177"/>
  <c r="AL45" i="177"/>
  <c r="AL58" i="177" s="1"/>
  <c r="AK51" i="177"/>
  <c r="AK64" i="177" s="1"/>
  <c r="AL11" i="177"/>
  <c r="BJ60" i="177"/>
  <c r="BK47" i="177"/>
  <c r="BK49" i="177"/>
  <c r="BK62" i="177" s="1"/>
  <c r="BK50" i="177"/>
  <c r="BK63" i="177" s="1"/>
  <c r="BK53" i="177"/>
  <c r="BK66" i="177" s="1"/>
  <c r="BK54" i="177"/>
  <c r="BK67" i="177" s="1"/>
  <c r="BL10" i="177" a="1"/>
  <c r="BL10" i="177" s="1"/>
  <c r="BK52" i="177"/>
  <c r="BK65" i="177" s="1"/>
  <c r="N75" i="251"/>
  <c r="O75" i="251" s="1"/>
  <c r="O79" i="251" s="1"/>
  <c r="F38" i="251"/>
  <c r="F44" i="251" s="1"/>
  <c r="M74" i="251"/>
  <c r="N74" i="251" s="1"/>
  <c r="K74" i="251"/>
  <c r="K82" i="251"/>
  <c r="N82" i="251"/>
  <c r="O82" i="251" s="1"/>
  <c r="AF77" i="177"/>
  <c r="Z29" i="177"/>
  <c r="AA28" i="177" s="1"/>
  <c r="G89" i="251" s="1"/>
  <c r="Y31" i="177"/>
  <c r="Z30" i="177" s="1"/>
  <c r="H81" i="251" s="1"/>
  <c r="AA33" i="177"/>
  <c r="AB32" i="177" s="1"/>
  <c r="O97" i="251" s="1"/>
  <c r="T27" i="177"/>
  <c r="U26" i="177" s="1"/>
  <c r="F45" i="251" s="1"/>
  <c r="Q39" i="234"/>
  <c r="Q37" i="234" s="1"/>
  <c r="Q42" i="234" s="1"/>
  <c r="Q56" i="234" s="1"/>
  <c r="Q58" i="234" s="1"/>
  <c r="AK60" i="177"/>
  <c r="AJ40" i="177"/>
  <c r="AJ43" i="177" s="1"/>
  <c r="AJ38" i="177"/>
  <c r="AJ64" i="177"/>
  <c r="AJ68" i="177" s="1"/>
  <c r="AJ69" i="177" s="1"/>
  <c r="AJ55" i="177"/>
  <c r="AJ56" i="177" s="1"/>
  <c r="AK45" i="177"/>
  <c r="AK58" i="177" s="1"/>
  <c r="AK35" i="177"/>
  <c r="AI23" i="177"/>
  <c r="AH24" i="177"/>
  <c r="AB23" i="159"/>
  <c r="Z162" i="159"/>
  <c r="AA130" i="159" s="1"/>
  <c r="P37" i="230"/>
  <c r="P42" i="230" s="1"/>
  <c r="P56" i="230" s="1"/>
  <c r="P58" i="230" s="1"/>
  <c r="S10" i="230" s="1"/>
  <c r="S58" i="230" s="1"/>
  <c r="Q39" i="230"/>
  <c r="Q37" i="230" s="1"/>
  <c r="Q42" i="230" s="1"/>
  <c r="Q56" i="230" s="1"/>
  <c r="Q58" i="230" s="1"/>
  <c r="AE10" i="234"/>
  <c r="AE58" i="234" s="1"/>
  <c r="S58" i="234"/>
  <c r="T10" i="234" s="1"/>
  <c r="T58" i="234" s="1"/>
  <c r="U10" i="234" s="1"/>
  <c r="U58" i="234" s="1"/>
  <c r="V10" i="234" s="1"/>
  <c r="V58" i="234" s="1"/>
  <c r="W10" i="234" s="1"/>
  <c r="W58" i="234" s="1"/>
  <c r="X10" i="234" s="1"/>
  <c r="X58" i="234" s="1"/>
  <c r="Y10" i="234" s="1"/>
  <c r="Y58" i="234" s="1"/>
  <c r="Z10" i="234" s="1"/>
  <c r="Z58" i="234" s="1"/>
  <c r="AA10" i="234" s="1"/>
  <c r="AA58" i="234" s="1"/>
  <c r="AB10" i="234" s="1"/>
  <c r="AB58" i="234" s="1"/>
  <c r="AC10" i="234" s="1"/>
  <c r="AC58" i="234" s="1"/>
  <c r="AD10" i="234" s="1"/>
  <c r="AD58" i="234" s="1"/>
  <c r="E96" i="243" l="1"/>
  <c r="E98" i="243" s="1"/>
  <c r="E99" i="243" s="1"/>
  <c r="E131" i="243" s="1"/>
  <c r="E109" i="243"/>
  <c r="AF78" i="177"/>
  <c r="E95" i="243"/>
  <c r="AK55" i="177"/>
  <c r="AK56" i="177" s="1"/>
  <c r="AK68" i="177"/>
  <c r="AK69" i="177" s="1"/>
  <c r="O86" i="251"/>
  <c r="N79" i="251"/>
  <c r="BK60" i="177"/>
  <c r="BM10" i="177" a="1"/>
  <c r="BM10" i="177" s="1"/>
  <c r="BM47" i="177" s="1"/>
  <c r="BL49" i="177"/>
  <c r="BL62" i="177" s="1"/>
  <c r="BL52" i="177"/>
  <c r="BL65" i="177" s="1"/>
  <c r="BL53" i="177"/>
  <c r="BL66" i="177" s="1"/>
  <c r="BL54" i="177"/>
  <c r="BL67" i="177" s="1"/>
  <c r="BL50" i="177"/>
  <c r="BL63" i="177" s="1"/>
  <c r="AM11" i="177"/>
  <c r="AL51" i="177"/>
  <c r="AL38" i="177"/>
  <c r="AL40" i="177"/>
  <c r="AL43" i="177" s="1"/>
  <c r="BL47" i="177"/>
  <c r="AM45" i="177"/>
  <c r="AM58" i="177" s="1"/>
  <c r="AN8" i="177"/>
  <c r="AM35" i="177"/>
  <c r="M38" i="251"/>
  <c r="M44" i="251" s="1"/>
  <c r="K38" i="251"/>
  <c r="K44" i="251" s="1"/>
  <c r="F51" i="251"/>
  <c r="M45" i="251"/>
  <c r="K45" i="251"/>
  <c r="K81" i="251"/>
  <c r="M81" i="251"/>
  <c r="N81" i="251" s="1"/>
  <c r="K89" i="251"/>
  <c r="N89" i="251"/>
  <c r="O89" i="251" s="1"/>
  <c r="U27" i="177"/>
  <c r="V26" i="177" s="1"/>
  <c r="AB33" i="177"/>
  <c r="AC32" i="177" s="1"/>
  <c r="O104" i="251" s="1"/>
  <c r="Z31" i="177"/>
  <c r="AA30" i="177" s="1"/>
  <c r="H88" i="251" s="1"/>
  <c r="AA29" i="177"/>
  <c r="AB28" i="177" s="1"/>
  <c r="G96" i="251" s="1"/>
  <c r="AK40" i="177"/>
  <c r="AK43" i="177" s="1"/>
  <c r="AK38" i="177"/>
  <c r="AI24" i="177"/>
  <c r="AJ23" i="177"/>
  <c r="AC23" i="159"/>
  <c r="AA162" i="159"/>
  <c r="AB130" i="159" s="1"/>
  <c r="T10" i="230"/>
  <c r="T58" i="230" s="1"/>
  <c r="AE10" i="230"/>
  <c r="AE58" i="230" s="1"/>
  <c r="N86" i="251" l="1"/>
  <c r="O93" i="251"/>
  <c r="BM60" i="177"/>
  <c r="AN11" i="177"/>
  <c r="AM51" i="177"/>
  <c r="AM38" i="177"/>
  <c r="AM40" i="177"/>
  <c r="AM43" i="177" s="1"/>
  <c r="BM54" i="177"/>
  <c r="BM67" i="177" s="1"/>
  <c r="BM49" i="177"/>
  <c r="BM62" i="177" s="1"/>
  <c r="BM50" i="177"/>
  <c r="BM63" i="177" s="1"/>
  <c r="BM52" i="177"/>
  <c r="BM65" i="177" s="1"/>
  <c r="BM53" i="177"/>
  <c r="BM66" i="177" s="1"/>
  <c r="BN10" i="177" a="1"/>
  <c r="BN10" i="177" s="1"/>
  <c r="AL64" i="177"/>
  <c r="AL68" i="177" s="1"/>
  <c r="AL69" i="177" s="1"/>
  <c r="AL55" i="177"/>
  <c r="AL56" i="177" s="1"/>
  <c r="AO8" i="177"/>
  <c r="AN35" i="177"/>
  <c r="AN45" i="177"/>
  <c r="AN58" i="177" s="1"/>
  <c r="BL60" i="177"/>
  <c r="M51" i="251"/>
  <c r="K51" i="251"/>
  <c r="N96" i="251"/>
  <c r="O96" i="251" s="1"/>
  <c r="K96" i="251"/>
  <c r="M88" i="251"/>
  <c r="N88" i="251" s="1"/>
  <c r="K88" i="251"/>
  <c r="V27" i="177"/>
  <c r="W26" i="177" s="1"/>
  <c r="F59" i="251" s="1"/>
  <c r="F52" i="251"/>
  <c r="F58" i="251" s="1"/>
  <c r="U10" i="230"/>
  <c r="U58" i="230" s="1"/>
  <c r="AI75" i="177"/>
  <c r="AI77" i="177" s="1"/>
  <c r="D127" i="243"/>
  <c r="N119" i="243"/>
  <c r="N132" i="243" s="1"/>
  <c r="N135" i="243" s="1"/>
  <c r="N140" i="243" s="1"/>
  <c r="AB29" i="177"/>
  <c r="AC28" i="177" s="1"/>
  <c r="G103" i="251" s="1"/>
  <c r="AA31" i="177"/>
  <c r="AB30" i="177" s="1"/>
  <c r="H95" i="251" s="1"/>
  <c r="AC33" i="177"/>
  <c r="AD32" i="177" s="1"/>
  <c r="O111" i="251" s="1"/>
  <c r="AJ24" i="177"/>
  <c r="AK23" i="177"/>
  <c r="AB162" i="159"/>
  <c r="AC130" i="159" s="1"/>
  <c r="AD23" i="159"/>
  <c r="O119" i="243" l="1"/>
  <c r="O132" i="243" s="1"/>
  <c r="N142" i="243"/>
  <c r="AI78" i="177"/>
  <c r="N93" i="251"/>
  <c r="O100" i="251"/>
  <c r="BN47" i="177"/>
  <c r="BN49" i="177"/>
  <c r="BN62" i="177" s="1"/>
  <c r="BN50" i="177"/>
  <c r="BN63" i="177" s="1"/>
  <c r="BN52" i="177"/>
  <c r="BN65" i="177" s="1"/>
  <c r="BN53" i="177"/>
  <c r="BN66" i="177" s="1"/>
  <c r="BO10" i="177" a="1"/>
  <c r="BO10" i="177" s="1"/>
  <c r="BN54" i="177"/>
  <c r="BN67" i="177" s="1"/>
  <c r="AK24" i="177"/>
  <c r="AL23" i="177"/>
  <c r="AM64" i="177"/>
  <c r="AM68" i="177" s="1"/>
  <c r="AM69" i="177" s="1"/>
  <c r="AM55" i="177"/>
  <c r="AM56" i="177" s="1"/>
  <c r="AO11" i="177"/>
  <c r="AN51" i="177"/>
  <c r="AO35" i="177"/>
  <c r="AP8" i="177"/>
  <c r="AO45" i="177"/>
  <c r="AO58" i="177" s="1"/>
  <c r="AN38" i="177"/>
  <c r="AN40" i="177"/>
  <c r="AN43" i="177" s="1"/>
  <c r="D130" i="243"/>
  <c r="D132" i="243" s="1"/>
  <c r="D135" i="243" s="1"/>
  <c r="D140" i="243" s="1"/>
  <c r="F65" i="251"/>
  <c r="F72" i="251" s="1"/>
  <c r="F79" i="251" s="1"/>
  <c r="F86" i="251" s="1"/>
  <c r="F93" i="251" s="1"/>
  <c r="F100" i="251" s="1"/>
  <c r="F107" i="251" s="1"/>
  <c r="F114" i="251" s="1"/>
  <c r="F121" i="251" s="1"/>
  <c r="AI76" i="177"/>
  <c r="W27" i="177"/>
  <c r="X26" i="177" s="1"/>
  <c r="F66" i="251" s="1"/>
  <c r="K66" i="251" s="1"/>
  <c r="N103" i="251"/>
  <c r="O103" i="251" s="1"/>
  <c r="K103" i="251"/>
  <c r="M95" i="251"/>
  <c r="N95" i="251" s="1"/>
  <c r="K95" i="251"/>
  <c r="M52" i="251"/>
  <c r="M58" i="251" s="1"/>
  <c r="K52" i="251"/>
  <c r="K58" i="251" s="1"/>
  <c r="M59" i="251"/>
  <c r="K59" i="251"/>
  <c r="V10" i="230"/>
  <c r="V58" i="230" s="1"/>
  <c r="AD33" i="177"/>
  <c r="AE32" i="177" s="1"/>
  <c r="O118" i="251" s="1"/>
  <c r="AB31" i="177"/>
  <c r="AC30" i="177" s="1"/>
  <c r="H102" i="251" s="1"/>
  <c r="AC29" i="177"/>
  <c r="AD28" i="177" s="1"/>
  <c r="G110" i="251" s="1"/>
  <c r="AC162" i="159"/>
  <c r="AD130" i="159" s="1"/>
  <c r="AE23" i="159"/>
  <c r="O135" i="243" l="1"/>
  <c r="O140" i="243" s="1"/>
  <c r="O142" i="243" s="1"/>
  <c r="E119" i="243"/>
  <c r="D142" i="243"/>
  <c r="O107" i="251"/>
  <c r="N100" i="251"/>
  <c r="BO47" i="177"/>
  <c r="BO54" i="177"/>
  <c r="BO67" i="177" s="1"/>
  <c r="BO49" i="177"/>
  <c r="BO62" i="177" s="1"/>
  <c r="BO50" i="177"/>
  <c r="BO63" i="177" s="1"/>
  <c r="BO53" i="177"/>
  <c r="BO66" i="177" s="1"/>
  <c r="BO52" i="177"/>
  <c r="BO65" i="177" s="1"/>
  <c r="AN64" i="177"/>
  <c r="AN68" i="177" s="1"/>
  <c r="AN69" i="177" s="1"/>
  <c r="AL75" i="177" s="1"/>
  <c r="AN55" i="177"/>
  <c r="AN56" i="177" s="1"/>
  <c r="AL24" i="177"/>
  <c r="AM23" i="177"/>
  <c r="AQ8" i="177"/>
  <c r="AQ9" i="177" s="1"/>
  <c r="D59" i="243" s="1"/>
  <c r="AP45" i="177"/>
  <c r="AP58" i="177" s="1"/>
  <c r="AP35" i="177"/>
  <c r="AP11" i="177"/>
  <c r="AO51" i="177"/>
  <c r="AO38" i="177"/>
  <c r="AO40" i="177"/>
  <c r="AO43" i="177" s="1"/>
  <c r="BN60" i="177"/>
  <c r="K65" i="251"/>
  <c r="K72" i="251" s="1"/>
  <c r="K79" i="251" s="1"/>
  <c r="K86" i="251" s="1"/>
  <c r="K93" i="251" s="1"/>
  <c r="K100" i="251" s="1"/>
  <c r="K107" i="251" s="1"/>
  <c r="K114" i="251" s="1"/>
  <c r="K121" i="251" s="1"/>
  <c r="X27" i="177"/>
  <c r="Y26" i="177" s="1"/>
  <c r="F73" i="251" s="1"/>
  <c r="M73" i="251" s="1"/>
  <c r="M66" i="251"/>
  <c r="M65" i="251"/>
  <c r="K110" i="251"/>
  <c r="N110" i="251"/>
  <c r="O110" i="251" s="1"/>
  <c r="K102" i="251"/>
  <c r="M102" i="251"/>
  <c r="N102" i="251" s="1"/>
  <c r="W10" i="230"/>
  <c r="W58" i="230" s="1"/>
  <c r="AE33" i="177"/>
  <c r="AD29" i="177"/>
  <c r="AE28" i="177" s="1"/>
  <c r="E129" i="243" s="1"/>
  <c r="AC31" i="177"/>
  <c r="AD30" i="177" s="1"/>
  <c r="H109" i="251" s="1"/>
  <c r="AF23" i="159"/>
  <c r="AD162" i="159"/>
  <c r="AE130" i="159" s="1"/>
  <c r="AE162" i="159" s="1"/>
  <c r="AF130" i="159" s="1"/>
  <c r="AF162" i="159" s="1"/>
  <c r="N107" i="251" l="1"/>
  <c r="O114" i="251"/>
  <c r="AL77" i="177"/>
  <c r="AL76" i="177"/>
  <c r="AN23" i="177"/>
  <c r="AM24" i="177"/>
  <c r="AO64" i="177"/>
  <c r="AO68" i="177" s="1"/>
  <c r="AO69" i="177" s="1"/>
  <c r="AO55" i="177"/>
  <c r="AO56" i="177" s="1"/>
  <c r="AP51" i="177"/>
  <c r="AP38" i="177"/>
  <c r="AP40" i="177"/>
  <c r="AP43" i="177" s="1"/>
  <c r="AR8" i="177"/>
  <c r="AQ35" i="177"/>
  <c r="AQ45" i="177"/>
  <c r="AQ58" i="177" s="1"/>
  <c r="F86" i="243" s="1"/>
  <c r="F103" i="243" s="1"/>
  <c r="Y27" i="177"/>
  <c r="Z26" i="177" s="1"/>
  <c r="F80" i="251" s="1"/>
  <c r="K80" i="251" s="1"/>
  <c r="BO60" i="177"/>
  <c r="G117" i="251"/>
  <c r="N117" i="251" s="1"/>
  <c r="O117" i="251" s="1"/>
  <c r="K73" i="251"/>
  <c r="M72" i="251"/>
  <c r="M79" i="251" s="1"/>
  <c r="K109" i="251"/>
  <c r="M109" i="251"/>
  <c r="N109" i="251" s="1"/>
  <c r="AF32" i="177"/>
  <c r="AF33" i="177" s="1"/>
  <c r="AG32" i="177" s="1"/>
  <c r="AG33" i="177" s="1"/>
  <c r="E34" i="243"/>
  <c r="X10" i="230"/>
  <c r="X58" i="230" s="1"/>
  <c r="AE29" i="177"/>
  <c r="AF28" i="177" s="1"/>
  <c r="AD31" i="177"/>
  <c r="AE30" i="177" s="1"/>
  <c r="E128" i="243" s="1"/>
  <c r="AL78" i="177" l="1"/>
  <c r="AF29" i="177"/>
  <c r="AG28" i="177" s="1"/>
  <c r="AG29" i="177" s="1"/>
  <c r="N114" i="251"/>
  <c r="O121" i="251"/>
  <c r="Z27" i="177"/>
  <c r="AA26" i="177" s="1"/>
  <c r="F87" i="251" s="1"/>
  <c r="M87" i="251" s="1"/>
  <c r="M80" i="251"/>
  <c r="M86" i="251" s="1"/>
  <c r="AQ51" i="177"/>
  <c r="AR11" i="177"/>
  <c r="AP64" i="177"/>
  <c r="AP68" i="177" s="1"/>
  <c r="AP69" i="177" s="1"/>
  <c r="AP55" i="177"/>
  <c r="AP56" i="177" s="1"/>
  <c r="AQ38" i="177"/>
  <c r="AQ40" i="177"/>
  <c r="AQ43" i="177" s="1"/>
  <c r="F85" i="243" s="1"/>
  <c r="F102" i="243" s="1"/>
  <c r="AS8" i="177"/>
  <c r="AR35" i="177"/>
  <c r="AR45" i="177"/>
  <c r="AR58" i="177" s="1"/>
  <c r="AO23" i="177"/>
  <c r="AN24" i="177"/>
  <c r="K117" i="251"/>
  <c r="H116" i="251"/>
  <c r="K116" i="251" s="1"/>
  <c r="Y10" i="230"/>
  <c r="Y58" i="230" s="1"/>
  <c r="AE31" i="177"/>
  <c r="AF30" i="177" s="1"/>
  <c r="AH32" i="177"/>
  <c r="AH33" i="177" s="1"/>
  <c r="F114" i="243" l="1"/>
  <c r="F134" i="243" s="1"/>
  <c r="AF31" i="177"/>
  <c r="AG30" i="177" s="1"/>
  <c r="AG31" i="177" s="1"/>
  <c r="AA27" i="177"/>
  <c r="AB26" i="177" s="1"/>
  <c r="F94" i="251" s="1"/>
  <c r="M94" i="251" s="1"/>
  <c r="K87" i="251"/>
  <c r="AO24" i="177"/>
  <c r="AP23" i="177"/>
  <c r="AT8" i="177"/>
  <c r="AS35" i="177"/>
  <c r="AS45" i="177"/>
  <c r="AS58" i="177" s="1"/>
  <c r="AS11" i="177"/>
  <c r="AR51" i="177"/>
  <c r="AR38" i="177"/>
  <c r="AR40" i="177"/>
  <c r="AR43" i="177" s="1"/>
  <c r="AQ64" i="177"/>
  <c r="AQ68" i="177" s="1"/>
  <c r="AQ55" i="177"/>
  <c r="AQ56" i="177" s="1"/>
  <c r="M93" i="251"/>
  <c r="M116" i="251"/>
  <c r="N116" i="251" s="1"/>
  <c r="N121" i="251" s="1"/>
  <c r="Z10" i="230"/>
  <c r="Z58" i="230" s="1"/>
  <c r="AI32" i="177"/>
  <c r="AI33" i="177" s="1"/>
  <c r="AH28" i="177"/>
  <c r="AH29" i="177" s="1"/>
  <c r="AQ69" i="177" l="1"/>
  <c r="AO75" i="177" s="1"/>
  <c r="AO77" i="177" s="1"/>
  <c r="F87" i="243"/>
  <c r="K94" i="251"/>
  <c r="AB27" i="177"/>
  <c r="AC26" i="177" s="1"/>
  <c r="F101" i="251" s="1"/>
  <c r="K101" i="251" s="1"/>
  <c r="AU8" i="177"/>
  <c r="AT45" i="177"/>
  <c r="AT58" i="177" s="1"/>
  <c r="AT35" i="177"/>
  <c r="AS40" i="177"/>
  <c r="AS43" i="177" s="1"/>
  <c r="AS38" i="177"/>
  <c r="AR64" i="177"/>
  <c r="AR68" i="177" s="1"/>
  <c r="AR69" i="177" s="1"/>
  <c r="AR55" i="177"/>
  <c r="AR56" i="177" s="1"/>
  <c r="AT11" i="177"/>
  <c r="AS51" i="177"/>
  <c r="AQ23" i="177"/>
  <c r="F33" i="243" s="1"/>
  <c r="E76" i="243" s="1"/>
  <c r="AP24" i="177"/>
  <c r="M100" i="251"/>
  <c r="AA10" i="230"/>
  <c r="AA58" i="230" s="1"/>
  <c r="AI28" i="177"/>
  <c r="AI29" i="177" s="1"/>
  <c r="AJ32" i="177"/>
  <c r="AJ33" i="177" s="1"/>
  <c r="AH30" i="177"/>
  <c r="AH31" i="177" s="1"/>
  <c r="AC27" i="177" l="1"/>
  <c r="AD26" i="177" s="1"/>
  <c r="F108" i="251" s="1"/>
  <c r="K108" i="251" s="1"/>
  <c r="AO76" i="177"/>
  <c r="AO78" i="177"/>
  <c r="F88" i="243"/>
  <c r="M101" i="251"/>
  <c r="M107" i="251" s="1"/>
  <c r="AS64" i="177"/>
  <c r="AS68" i="177" s="1"/>
  <c r="AS69" i="177" s="1"/>
  <c r="AS55" i="177"/>
  <c r="AS56" i="177" s="1"/>
  <c r="AU11" i="177"/>
  <c r="AT51" i="177"/>
  <c r="AT38" i="177"/>
  <c r="AT40" i="177"/>
  <c r="AT43" i="177" s="1"/>
  <c r="AQ24" i="177"/>
  <c r="AR23" i="177"/>
  <c r="AU45" i="177"/>
  <c r="AU58" i="177" s="1"/>
  <c r="AV8" i="177"/>
  <c r="AU35" i="177"/>
  <c r="AB10" i="230"/>
  <c r="AB58" i="230" s="1"/>
  <c r="AJ28" i="177"/>
  <c r="AJ29" i="177" s="1"/>
  <c r="AI30" i="177"/>
  <c r="AI31" i="177" s="1"/>
  <c r="AK32" i="177"/>
  <c r="AK33" i="177" s="1"/>
  <c r="AL32" i="177" s="1"/>
  <c r="AL33" i="177" s="1"/>
  <c r="AM32" i="177" s="1"/>
  <c r="AM33" i="177" s="1"/>
  <c r="AN32" i="177" s="1"/>
  <c r="AN33" i="177" s="1"/>
  <c r="AO32" i="177" s="1"/>
  <c r="AO33" i="177" s="1"/>
  <c r="AP32" i="177" s="1"/>
  <c r="AP33" i="177" s="1"/>
  <c r="AQ32" i="177" s="1"/>
  <c r="AQ33" i="177" s="1"/>
  <c r="F34" i="243" s="1"/>
  <c r="F84" i="243" l="1"/>
  <c r="F89" i="243" s="1"/>
  <c r="AD27" i="177"/>
  <c r="AE26" i="177" s="1"/>
  <c r="E127" i="243" s="1"/>
  <c r="M108" i="251"/>
  <c r="M114" i="251" s="1"/>
  <c r="AR24" i="177"/>
  <c r="AS23" i="177"/>
  <c r="AR32" i="177"/>
  <c r="AR33" i="177" s="1"/>
  <c r="AV35" i="177"/>
  <c r="AW8" i="177"/>
  <c r="AV45" i="177"/>
  <c r="AV58" i="177" s="1"/>
  <c r="AT64" i="177"/>
  <c r="AT68" i="177" s="1"/>
  <c r="AT69" i="177" s="1"/>
  <c r="AR75" i="177" s="1"/>
  <c r="AT55" i="177"/>
  <c r="AT56" i="177" s="1"/>
  <c r="AV11" i="177"/>
  <c r="AU51" i="177"/>
  <c r="AU40" i="177"/>
  <c r="AU43" i="177" s="1"/>
  <c r="AU38" i="177"/>
  <c r="AC10" i="230"/>
  <c r="AC58" i="230" s="1"/>
  <c r="AK28" i="177"/>
  <c r="AK29" i="177" s="1"/>
  <c r="AL28" i="177" s="1"/>
  <c r="AL29" i="177" s="1"/>
  <c r="AM28" i="177" s="1"/>
  <c r="AM29" i="177" s="1"/>
  <c r="AN28" i="177" s="1"/>
  <c r="AN29" i="177" s="1"/>
  <c r="AO28" i="177" s="1"/>
  <c r="AO29" i="177" s="1"/>
  <c r="AP28" i="177" s="1"/>
  <c r="AP29" i="177" s="1"/>
  <c r="AQ28" i="177" s="1"/>
  <c r="AQ29" i="177" s="1"/>
  <c r="AR28" i="177" s="1"/>
  <c r="AR29" i="177" s="1"/>
  <c r="AJ30" i="177"/>
  <c r="AJ31" i="177" s="1"/>
  <c r="F115" i="251" l="1"/>
  <c r="M115" i="251" s="1"/>
  <c r="M121" i="251" s="1"/>
  <c r="AE27" i="177"/>
  <c r="F90" i="243"/>
  <c r="F129" i="243"/>
  <c r="AR77" i="177"/>
  <c r="AR78" i="177" s="1"/>
  <c r="AR76" i="177"/>
  <c r="AU64" i="177"/>
  <c r="AU68" i="177" s="1"/>
  <c r="AU69" i="177" s="1"/>
  <c r="AU55" i="177"/>
  <c r="AU56" i="177" s="1"/>
  <c r="AV38" i="177"/>
  <c r="AV40" i="177"/>
  <c r="AV43" i="177" s="1"/>
  <c r="AV51" i="177"/>
  <c r="AW11" i="177"/>
  <c r="AW35" i="177"/>
  <c r="AX8" i="177"/>
  <c r="AW45" i="177"/>
  <c r="AW58" i="177" s="1"/>
  <c r="AT23" i="177"/>
  <c r="AS24" i="177"/>
  <c r="AS32" i="177"/>
  <c r="AS33" i="177" s="1"/>
  <c r="AS28" i="177"/>
  <c r="AS29" i="177" s="1"/>
  <c r="E130" i="243"/>
  <c r="E132" i="243" s="1"/>
  <c r="E135" i="243" s="1"/>
  <c r="E140" i="243" s="1"/>
  <c r="AF26" i="177"/>
  <c r="E35" i="243"/>
  <c r="AD10" i="230"/>
  <c r="AD58" i="230" s="1"/>
  <c r="AK30" i="177"/>
  <c r="AK31" i="177" s="1"/>
  <c r="AL30" i="177" s="1"/>
  <c r="AL31" i="177" s="1"/>
  <c r="AM30" i="177" s="1"/>
  <c r="AM31" i="177" s="1"/>
  <c r="AN30" i="177" s="1"/>
  <c r="AN31" i="177" s="1"/>
  <c r="AO30" i="177" s="1"/>
  <c r="AO31" i="177" s="1"/>
  <c r="AP30" i="177" s="1"/>
  <c r="AP31" i="177" s="1"/>
  <c r="AQ30" i="177" s="1"/>
  <c r="AQ31" i="177" s="1"/>
  <c r="AR30" i="177" s="1"/>
  <c r="AR31" i="177" s="1"/>
  <c r="AS30" i="177" s="1"/>
  <c r="AS31" i="177" s="1"/>
  <c r="E142" i="243" l="1"/>
  <c r="K115" i="251"/>
  <c r="F95" i="243"/>
  <c r="F109" i="243"/>
  <c r="F96" i="243"/>
  <c r="F98" i="243" s="1"/>
  <c r="E36" i="243"/>
  <c r="F75" i="243"/>
  <c r="G75" i="243" s="1"/>
  <c r="F119" i="243"/>
  <c r="AF27" i="177"/>
  <c r="AG26" i="177" s="1"/>
  <c r="AG27" i="177" s="1"/>
  <c r="AH26" i="177" s="1"/>
  <c r="AH27" i="177" s="1"/>
  <c r="F128" i="243"/>
  <c r="AW40" i="177"/>
  <c r="AW43" i="177" s="1"/>
  <c r="AW38" i="177"/>
  <c r="AV64" i="177"/>
  <c r="AV68" i="177" s="1"/>
  <c r="AV69" i="177" s="1"/>
  <c r="AV55" i="177"/>
  <c r="AV56" i="177" s="1"/>
  <c r="AX35" i="177"/>
  <c r="AX45" i="177"/>
  <c r="AX58" i="177" s="1"/>
  <c r="AY8" i="177"/>
  <c r="AX11" i="177"/>
  <c r="AW51" i="177"/>
  <c r="AU23" i="177"/>
  <c r="AT24" i="177"/>
  <c r="AT30" i="177"/>
  <c r="AT31" i="177" s="1"/>
  <c r="AT32" i="177"/>
  <c r="AT33" i="177" s="1"/>
  <c r="AT28" i="177"/>
  <c r="AT29" i="177" s="1"/>
  <c r="F99" i="243" l="1"/>
  <c r="F131" i="243" s="1"/>
  <c r="AW64" i="177"/>
  <c r="AW68" i="177" s="1"/>
  <c r="AW69" i="177" s="1"/>
  <c r="AU75" i="177" s="1"/>
  <c r="AW55" i="177"/>
  <c r="AW56" i="177" s="1"/>
  <c r="AX40" i="177"/>
  <c r="AX43" i="177" s="1"/>
  <c r="AX38" i="177"/>
  <c r="AY35" i="177"/>
  <c r="AZ8" i="177"/>
  <c r="AY45" i="177"/>
  <c r="AY58" i="177" s="1"/>
  <c r="AX51" i="177"/>
  <c r="AY11" i="177"/>
  <c r="AU24" i="177"/>
  <c r="AV23" i="177"/>
  <c r="AU30" i="177"/>
  <c r="AU31" i="177" s="1"/>
  <c r="AU32" i="177"/>
  <c r="AU33" i="177" s="1"/>
  <c r="AU28" i="177"/>
  <c r="AU29" i="177" s="1"/>
  <c r="AI26" i="177"/>
  <c r="AI27" i="177" s="1"/>
  <c r="AU77" i="177" l="1"/>
  <c r="AU78" i="177" s="1"/>
  <c r="AU76" i="177"/>
  <c r="AX64" i="177"/>
  <c r="AX68" i="177" s="1"/>
  <c r="AX69" i="177" s="1"/>
  <c r="AX55" i="177"/>
  <c r="AX56" i="177" s="1"/>
  <c r="BA8" i="177"/>
  <c r="AZ45" i="177"/>
  <c r="AZ58" i="177" s="1"/>
  <c r="AZ35" i="177"/>
  <c r="AY38" i="177"/>
  <c r="AY40" i="177"/>
  <c r="AY43" i="177" s="1"/>
  <c r="AW23" i="177"/>
  <c r="AV24" i="177"/>
  <c r="AV28" i="177"/>
  <c r="AV29" i="177" s="1"/>
  <c r="AV30" i="177"/>
  <c r="AV31" i="177" s="1"/>
  <c r="AV32" i="177"/>
  <c r="AV33" i="177" s="1"/>
  <c r="AZ11" i="177"/>
  <c r="AY51" i="177"/>
  <c r="AJ26" i="177"/>
  <c r="AJ27" i="177" s="1"/>
  <c r="AY64" i="177" l="1"/>
  <c r="AY68" i="177" s="1"/>
  <c r="AY69" i="177" s="1"/>
  <c r="AY55" i="177"/>
  <c r="AY56" i="177" s="1"/>
  <c r="BA11" i="177"/>
  <c r="AZ51" i="177"/>
  <c r="AX23" i="177"/>
  <c r="AW24" i="177"/>
  <c r="AW28" i="177"/>
  <c r="AW29" i="177" s="1"/>
  <c r="AW30" i="177"/>
  <c r="AW31" i="177" s="1"/>
  <c r="AW32" i="177"/>
  <c r="AW33" i="177" s="1"/>
  <c r="BA45" i="177"/>
  <c r="BA58" i="177" s="1"/>
  <c r="BA35" i="177"/>
  <c r="BB8" i="177"/>
  <c r="AZ38" i="177"/>
  <c r="AZ40" i="177"/>
  <c r="AZ43" i="177" s="1"/>
  <c r="AK26" i="177"/>
  <c r="AK27" i="177" s="1"/>
  <c r="AL26" i="177" s="1"/>
  <c r="AL27" i="177" s="1"/>
  <c r="AY23" i="177" l="1"/>
  <c r="AX24" i="177"/>
  <c r="AX28" i="177"/>
  <c r="AX29" i="177" s="1"/>
  <c r="AX32" i="177"/>
  <c r="AX33" i="177" s="1"/>
  <c r="AX30" i="177"/>
  <c r="AX31" i="177" s="1"/>
  <c r="BA51" i="177"/>
  <c r="BB11" i="177"/>
  <c r="AM26" i="177"/>
  <c r="AM27" i="177" s="1"/>
  <c r="BA40" i="177"/>
  <c r="BA43" i="177" s="1"/>
  <c r="BA38" i="177"/>
  <c r="AZ64" i="177"/>
  <c r="AZ68" i="177" s="1"/>
  <c r="AZ69" i="177" s="1"/>
  <c r="AX75" i="177" s="1"/>
  <c r="AZ55" i="177"/>
  <c r="AZ56" i="177" s="1"/>
  <c r="BC8" i="177"/>
  <c r="BB35" i="177"/>
  <c r="BB45" i="177"/>
  <c r="BB58" i="177" s="1"/>
  <c r="J139" i="193"/>
  <c r="J138" i="193"/>
  <c r="AX76" i="177" l="1"/>
  <c r="AX77" i="177"/>
  <c r="AX78" i="177" s="1"/>
  <c r="AN26" i="177"/>
  <c r="AN27" i="177" s="1"/>
  <c r="AO26" i="177" s="1"/>
  <c r="AO27" i="177" s="1"/>
  <c r="AP26" i="177" s="1"/>
  <c r="AP27" i="177" s="1"/>
  <c r="AQ26" i="177" s="1"/>
  <c r="BA64" i="177"/>
  <c r="BA68" i="177" s="1"/>
  <c r="BA69" i="177" s="1"/>
  <c r="BA55" i="177"/>
  <c r="BA56" i="177" s="1"/>
  <c r="BB40" i="177"/>
  <c r="BB43" i="177" s="1"/>
  <c r="BB38" i="177"/>
  <c r="BC11" i="177"/>
  <c r="BB51" i="177"/>
  <c r="BC45" i="177"/>
  <c r="BC58" i="177" s="1"/>
  <c r="BC35" i="177"/>
  <c r="BD8" i="177"/>
  <c r="AY24" i="177"/>
  <c r="AZ23" i="177"/>
  <c r="AY28" i="177"/>
  <c r="AY29" i="177" s="1"/>
  <c r="AY30" i="177"/>
  <c r="AY31" i="177" s="1"/>
  <c r="AY32" i="177"/>
  <c r="AY33" i="177" s="1"/>
  <c r="AH139" i="193"/>
  <c r="AK139" i="193"/>
  <c r="AI139" i="193"/>
  <c r="AJ139" i="193"/>
  <c r="AG139" i="193"/>
  <c r="AF139" i="193"/>
  <c r="AE139" i="193"/>
  <c r="AD139" i="193"/>
  <c r="AC139" i="193"/>
  <c r="AB139" i="193"/>
  <c r="AN139" i="193" s="1"/>
  <c r="AM139" i="193"/>
  <c r="AL139" i="193"/>
  <c r="AM138" i="193"/>
  <c r="AL138" i="193"/>
  <c r="AK138" i="193"/>
  <c r="AJ138" i="193"/>
  <c r="AI138" i="193"/>
  <c r="AH138" i="193"/>
  <c r="AG138" i="193"/>
  <c r="AF138" i="193"/>
  <c r="AE138" i="193"/>
  <c r="AD138" i="193"/>
  <c r="AB138" i="193"/>
  <c r="AC138" i="193"/>
  <c r="R138" i="193"/>
  <c r="S138" i="193"/>
  <c r="T138" i="193"/>
  <c r="U138" i="193"/>
  <c r="V138" i="193"/>
  <c r="W138" i="193"/>
  <c r="X138" i="193"/>
  <c r="Y138" i="193"/>
  <c r="I141" i="193"/>
  <c r="N138" i="193"/>
  <c r="O138" i="193"/>
  <c r="P138" i="193"/>
  <c r="Q138" i="193"/>
  <c r="J140" i="193"/>
  <c r="R139" i="193"/>
  <c r="S139" i="193"/>
  <c r="T139" i="193"/>
  <c r="U139" i="193"/>
  <c r="V139" i="193"/>
  <c r="W139" i="193"/>
  <c r="X139" i="193"/>
  <c r="Y139" i="193"/>
  <c r="N139" i="193"/>
  <c r="O139" i="193"/>
  <c r="P139" i="193"/>
  <c r="Q139" i="193"/>
  <c r="AQ27" i="177" l="1"/>
  <c r="F127" i="243"/>
  <c r="BD35" i="177"/>
  <c r="BD45" i="177"/>
  <c r="BD58" i="177" s="1"/>
  <c r="BE8" i="177"/>
  <c r="BC38" i="177"/>
  <c r="BC40" i="177"/>
  <c r="BC43" i="177" s="1"/>
  <c r="BB64" i="177"/>
  <c r="BB68" i="177" s="1"/>
  <c r="BB69" i="177" s="1"/>
  <c r="BB55" i="177"/>
  <c r="BB56" i="177" s="1"/>
  <c r="BC51" i="177"/>
  <c r="BD11" i="177"/>
  <c r="BA23" i="177"/>
  <c r="AZ24" i="177"/>
  <c r="AZ30" i="177"/>
  <c r="AZ31" i="177" s="1"/>
  <c r="AZ28" i="177"/>
  <c r="AZ29" i="177" s="1"/>
  <c r="AZ32" i="177"/>
  <c r="AZ33" i="177" s="1"/>
  <c r="AN138" i="193"/>
  <c r="AM140" i="193"/>
  <c r="AL140" i="193"/>
  <c r="AK140" i="193"/>
  <c r="AJ140" i="193"/>
  <c r="AI140" i="193"/>
  <c r="AH140" i="193"/>
  <c r="AG140" i="193"/>
  <c r="AF140" i="193"/>
  <c r="AD140" i="193"/>
  <c r="AC140" i="193"/>
  <c r="AB140" i="193"/>
  <c r="AE140" i="193"/>
  <c r="Z138" i="193"/>
  <c r="R140" i="193"/>
  <c r="S140" i="193"/>
  <c r="T140" i="193"/>
  <c r="U140" i="193"/>
  <c r="V140" i="193"/>
  <c r="W140" i="193"/>
  <c r="X140" i="193"/>
  <c r="Y140" i="193"/>
  <c r="N140" i="193"/>
  <c r="O140" i="193"/>
  <c r="P140" i="193"/>
  <c r="Q140" i="193"/>
  <c r="Z139" i="193"/>
  <c r="AR26" i="177" l="1"/>
  <c r="AR27" i="177" s="1"/>
  <c r="AS26" i="177" s="1"/>
  <c r="AS27" i="177" s="1"/>
  <c r="AT26" i="177" s="1"/>
  <c r="AT27" i="177" s="1"/>
  <c r="AU26" i="177" s="1"/>
  <c r="AU27" i="177" s="1"/>
  <c r="AV26" i="177" s="1"/>
  <c r="AV27" i="177" s="1"/>
  <c r="AW26" i="177" s="1"/>
  <c r="AW27" i="177" s="1"/>
  <c r="AX26" i="177" s="1"/>
  <c r="AX27" i="177" s="1"/>
  <c r="AY26" i="177" s="1"/>
  <c r="AY27" i="177" s="1"/>
  <c r="AZ26" i="177" s="1"/>
  <c r="AZ27" i="177" s="1"/>
  <c r="BA26" i="177" s="1"/>
  <c r="BA27" i="177" s="1"/>
  <c r="F35" i="243"/>
  <c r="F130" i="243"/>
  <c r="F132" i="243" s="1"/>
  <c r="BC64" i="177"/>
  <c r="BC68" i="177" s="1"/>
  <c r="BC69" i="177" s="1"/>
  <c r="BA75" i="177" s="1"/>
  <c r="BC55" i="177"/>
  <c r="BC56" i="177" s="1"/>
  <c r="BE11" i="177"/>
  <c r="BD51" i="177"/>
  <c r="BE35" i="177"/>
  <c r="BE45" i="177"/>
  <c r="BE58" i="177" s="1"/>
  <c r="BF8" i="177"/>
  <c r="BB23" i="177"/>
  <c r="BA24" i="177"/>
  <c r="BA28" i="177"/>
  <c r="BA29" i="177" s="1"/>
  <c r="BA30" i="177"/>
  <c r="BA31" i="177" s="1"/>
  <c r="BA32" i="177"/>
  <c r="BA33" i="177" s="1"/>
  <c r="BD40" i="177"/>
  <c r="BD43" i="177" s="1"/>
  <c r="BD38" i="177"/>
  <c r="AN140" i="193"/>
  <c r="Z140" i="193"/>
  <c r="F135" i="243" l="1"/>
  <c r="F140" i="243" s="1"/>
  <c r="F142" i="243" s="1"/>
  <c r="F36" i="243"/>
  <c r="F76" i="243"/>
  <c r="G76" i="243" s="1"/>
  <c r="BA77" i="177"/>
  <c r="BA78" i="177" s="1"/>
  <c r="BA76" i="177"/>
  <c r="BB24" i="177"/>
  <c r="BC23" i="177"/>
  <c r="BB26" i="177"/>
  <c r="BB27" i="177" s="1"/>
  <c r="BB30" i="177"/>
  <c r="BB31" i="177" s="1"/>
  <c r="BB28" i="177"/>
  <c r="BB29" i="177" s="1"/>
  <c r="BB32" i="177"/>
  <c r="BB33" i="177" s="1"/>
  <c r="BF45" i="177"/>
  <c r="BF58" i="177" s="1"/>
  <c r="BF35" i="177"/>
  <c r="BG8" i="177"/>
  <c r="BE38" i="177"/>
  <c r="BE40" i="177"/>
  <c r="BE43" i="177" s="1"/>
  <c r="BD64" i="177"/>
  <c r="BD68" i="177" s="1"/>
  <c r="BD69" i="177" s="1"/>
  <c r="BD55" i="177"/>
  <c r="BD56" i="177" s="1"/>
  <c r="BE51" i="177"/>
  <c r="BF11" i="177"/>
  <c r="BF40" i="177" l="1"/>
  <c r="BF43" i="177" s="1"/>
  <c r="BF38" i="177"/>
  <c r="BC24" i="177"/>
  <c r="BD23" i="177"/>
  <c r="BC28" i="177"/>
  <c r="BC29" i="177" s="1"/>
  <c r="BC26" i="177"/>
  <c r="BC27" i="177" s="1"/>
  <c r="BC32" i="177"/>
  <c r="BC33" i="177" s="1"/>
  <c r="BC30" i="177"/>
  <c r="BC31" i="177" s="1"/>
  <c r="BG35" i="177"/>
  <c r="BG45" i="177"/>
  <c r="BG58" i="177" s="1"/>
  <c r="BH8" i="177"/>
  <c r="BF51" i="177"/>
  <c r="BG11" i="177"/>
  <c r="BE64" i="177"/>
  <c r="BE68" i="177" s="1"/>
  <c r="BE69" i="177" s="1"/>
  <c r="BE55" i="177"/>
  <c r="BE56" i="177" s="1"/>
  <c r="BG40" i="177" l="1"/>
  <c r="BG43" i="177" s="1"/>
  <c r="BG38" i="177"/>
  <c r="BI8" i="177"/>
  <c r="BH35" i="177"/>
  <c r="BH45" i="177"/>
  <c r="BH58" i="177" s="1"/>
  <c r="BD24" i="177"/>
  <c r="BE23" i="177"/>
  <c r="BD28" i="177"/>
  <c r="BD29" i="177" s="1"/>
  <c r="BD26" i="177"/>
  <c r="BD27" i="177" s="1"/>
  <c r="BD32" i="177"/>
  <c r="BD33" i="177" s="1"/>
  <c r="BD30" i="177"/>
  <c r="BD31" i="177" s="1"/>
  <c r="BH11" i="177"/>
  <c r="BG51" i="177"/>
  <c r="BF64" i="177"/>
  <c r="BF68" i="177" s="1"/>
  <c r="BF69" i="177" s="1"/>
  <c r="BD75" i="177" s="1"/>
  <c r="BF55" i="177"/>
  <c r="BF56" i="177" s="1"/>
  <c r="BD76" i="177" l="1"/>
  <c r="BD77" i="177"/>
  <c r="BD78" i="177" s="1"/>
  <c r="BG64" i="177"/>
  <c r="BG68" i="177" s="1"/>
  <c r="BG69" i="177" s="1"/>
  <c r="BG55" i="177"/>
  <c r="BG56" i="177" s="1"/>
  <c r="BE24" i="177"/>
  <c r="BF23" i="177"/>
  <c r="BE28" i="177"/>
  <c r="BE29" i="177" s="1"/>
  <c r="BE32" i="177"/>
  <c r="BE33" i="177" s="1"/>
  <c r="BE30" i="177"/>
  <c r="BE31" i="177" s="1"/>
  <c r="BE26" i="177"/>
  <c r="BE27" i="177" s="1"/>
  <c r="BH40" i="177"/>
  <c r="BH43" i="177" s="1"/>
  <c r="BH38" i="177"/>
  <c r="BH51" i="177"/>
  <c r="BI11" i="177"/>
  <c r="BJ8" i="177"/>
  <c r="BI35" i="177"/>
  <c r="BI45" i="177"/>
  <c r="BF24" i="177" l="1"/>
  <c r="BG23" i="177"/>
  <c r="BF32" i="177"/>
  <c r="BF33" i="177" s="1"/>
  <c r="BF28" i="177"/>
  <c r="BF29" i="177" s="1"/>
  <c r="BF30" i="177"/>
  <c r="BF31" i="177" s="1"/>
  <c r="BF26" i="177"/>
  <c r="BF27" i="177" s="1"/>
  <c r="BH64" i="177"/>
  <c r="BH68" i="177" s="1"/>
  <c r="BH69" i="177" s="1"/>
  <c r="BH55" i="177"/>
  <c r="BH56" i="177" s="1"/>
  <c r="BI58" i="177"/>
  <c r="BJ35" i="177"/>
  <c r="BK8" i="177"/>
  <c r="BJ45" i="177"/>
  <c r="BJ58" i="177" s="1"/>
  <c r="BI40" i="177"/>
  <c r="BI43" i="177" s="1"/>
  <c r="BI38" i="177"/>
  <c r="BJ11" i="177"/>
  <c r="BI51" i="177"/>
  <c r="BK35" i="177" l="1"/>
  <c r="BL8" i="177"/>
  <c r="BK45" i="177"/>
  <c r="BK58" i="177" s="1"/>
  <c r="BJ51" i="177"/>
  <c r="BK11" i="177"/>
  <c r="BH23" i="177"/>
  <c r="BG24" i="177"/>
  <c r="BG32" i="177"/>
  <c r="BG33" i="177" s="1"/>
  <c r="BG30" i="177"/>
  <c r="BG31" i="177" s="1"/>
  <c r="BG26" i="177"/>
  <c r="BG27" i="177" s="1"/>
  <c r="BG28" i="177"/>
  <c r="BG29" i="177" s="1"/>
  <c r="BJ38" i="177"/>
  <c r="BJ40" i="177"/>
  <c r="BJ43" i="177" s="1"/>
  <c r="BI64" i="177"/>
  <c r="BI68" i="177" s="1"/>
  <c r="BI69" i="177" s="1"/>
  <c r="BG75" i="177" s="1"/>
  <c r="BI55" i="177"/>
  <c r="BI56" i="177" s="1"/>
  <c r="BG77" i="177" l="1"/>
  <c r="BG78" i="177" s="1"/>
  <c r="BG76" i="177"/>
  <c r="BK51" i="177"/>
  <c r="BL11" i="177"/>
  <c r="BL45" i="177"/>
  <c r="BL58" i="177" s="1"/>
  <c r="BM8" i="177"/>
  <c r="BL35" i="177"/>
  <c r="BK38" i="177"/>
  <c r="BK40" i="177"/>
  <c r="BK43" i="177" s="1"/>
  <c r="BH24" i="177"/>
  <c r="BI23" i="177"/>
  <c r="BH30" i="177"/>
  <c r="BH31" i="177" s="1"/>
  <c r="BH32" i="177"/>
  <c r="BH33" i="177" s="1"/>
  <c r="BH26" i="177"/>
  <c r="BH27" i="177" s="1"/>
  <c r="BH28" i="177"/>
  <c r="BH29" i="177" s="1"/>
  <c r="BJ64" i="177"/>
  <c r="BJ68" i="177" s="1"/>
  <c r="BJ69" i="177" s="1"/>
  <c r="BJ55" i="177"/>
  <c r="BJ56" i="177" s="1"/>
  <c r="BM45" i="177" l="1"/>
  <c r="BM58" i="177" s="1"/>
  <c r="BM35" i="177"/>
  <c r="BN8" i="177"/>
  <c r="BM11" i="177"/>
  <c r="BL51" i="177"/>
  <c r="BK64" i="177"/>
  <c r="BK68" i="177" s="1"/>
  <c r="BK69" i="177" s="1"/>
  <c r="BK55" i="177"/>
  <c r="BK56" i="177" s="1"/>
  <c r="BI24" i="177"/>
  <c r="BJ23" i="177"/>
  <c r="BI28" i="177"/>
  <c r="BI29" i="177" s="1"/>
  <c r="BI30" i="177"/>
  <c r="BI31" i="177" s="1"/>
  <c r="BI32" i="177"/>
  <c r="BI33" i="177" s="1"/>
  <c r="BI26" i="177"/>
  <c r="BI27" i="177" s="1"/>
  <c r="BL38" i="177"/>
  <c r="BL40" i="177"/>
  <c r="BL43" i="177" s="1"/>
  <c r="BK23" i="177" l="1"/>
  <c r="BJ24" i="177"/>
  <c r="BJ26" i="177"/>
  <c r="BJ27" i="177" s="1"/>
  <c r="BJ28" i="177"/>
  <c r="BJ29" i="177" s="1"/>
  <c r="BJ30" i="177"/>
  <c r="BJ31" i="177" s="1"/>
  <c r="BJ32" i="177"/>
  <c r="BJ33" i="177" s="1"/>
  <c r="BL64" i="177"/>
  <c r="BL68" i="177" s="1"/>
  <c r="BL69" i="177" s="1"/>
  <c r="BJ75" i="177" s="1"/>
  <c r="BL55" i="177"/>
  <c r="BL56" i="177" s="1"/>
  <c r="BO8" i="177"/>
  <c r="BN45" i="177"/>
  <c r="BN58" i="177" s="1"/>
  <c r="BN35" i="177"/>
  <c r="BM40" i="177"/>
  <c r="BM43" i="177" s="1"/>
  <c r="BM38" i="177"/>
  <c r="BN11" i="177"/>
  <c r="BM51" i="177"/>
  <c r="BJ76" i="177" l="1"/>
  <c r="BJ77" i="177"/>
  <c r="BJ78" i="177" s="1"/>
  <c r="BO35" i="177"/>
  <c r="BO45" i="177"/>
  <c r="BO58" i="177" s="1"/>
  <c r="BN38" i="177"/>
  <c r="BN40" i="177"/>
  <c r="BN43" i="177" s="1"/>
  <c r="BM64" i="177"/>
  <c r="BM68" i="177" s="1"/>
  <c r="BM69" i="177" s="1"/>
  <c r="BM55" i="177"/>
  <c r="BM56" i="177" s="1"/>
  <c r="BN51" i="177"/>
  <c r="BO11" i="177"/>
  <c r="BO51" i="177" s="1"/>
  <c r="BK24" i="177"/>
  <c r="BL23" i="177"/>
  <c r="BK26" i="177"/>
  <c r="BK27" i="177" s="1"/>
  <c r="BK28" i="177"/>
  <c r="BK29" i="177" s="1"/>
  <c r="BK30" i="177"/>
  <c r="BK31" i="177" s="1"/>
  <c r="BK32" i="177"/>
  <c r="BK33" i="177" s="1"/>
  <c r="BN64" i="177" l="1"/>
  <c r="BN68" i="177" s="1"/>
  <c r="BN69" i="177" s="1"/>
  <c r="BN55" i="177"/>
  <c r="BN56" i="177" s="1"/>
  <c r="BL24" i="177"/>
  <c r="BM23" i="177"/>
  <c r="BL28" i="177"/>
  <c r="BL29" i="177" s="1"/>
  <c r="BL32" i="177"/>
  <c r="BL33" i="177" s="1"/>
  <c r="BL26" i="177"/>
  <c r="BL27" i="177" s="1"/>
  <c r="BL30" i="177"/>
  <c r="BL31" i="177" s="1"/>
  <c r="BO64" i="177"/>
  <c r="BO68" i="177" s="1"/>
  <c r="BO69" i="177" s="1"/>
  <c r="BO55" i="177"/>
  <c r="BO56" i="177" s="1"/>
  <c r="BO40" i="177"/>
  <c r="BO43" i="177" s="1"/>
  <c r="BO38" i="177"/>
  <c r="BM75" i="177" l="1"/>
  <c r="BM77" i="177" s="1"/>
  <c r="BM78" i="177" s="1"/>
  <c r="BN23" i="177"/>
  <c r="BM24" i="177"/>
  <c r="BM28" i="177"/>
  <c r="BM29" i="177" s="1"/>
  <c r="BM26" i="177"/>
  <c r="BM27" i="177" s="1"/>
  <c r="BM30" i="177"/>
  <c r="BM31" i="177" s="1"/>
  <c r="BM32" i="177"/>
  <c r="BM33" i="177" s="1"/>
  <c r="BM76" i="177" l="1"/>
  <c r="BN24" i="177"/>
  <c r="BO23" i="177"/>
  <c r="BN30" i="177"/>
  <c r="BN31" i="177" s="1"/>
  <c r="BN28" i="177"/>
  <c r="BN29" i="177" s="1"/>
  <c r="BN32" i="177"/>
  <c r="BN33" i="177" s="1"/>
  <c r="BN26" i="177"/>
  <c r="BN27" i="177" s="1"/>
  <c r="BO24" i="177" l="1"/>
  <c r="BO28" i="177"/>
  <c r="BO29" i="177" s="1"/>
  <c r="BO26" i="177"/>
  <c r="BO27" i="177" s="1"/>
  <c r="BO30" i="177"/>
  <c r="BO31" i="177" s="1"/>
  <c r="BO32" i="177"/>
  <c r="BO33" i="177" s="1"/>
  <c r="D111" i="243"/>
  <c r="D110" i="243" s="1"/>
  <c r="E111" i="243"/>
  <c r="E110" i="243" s="1"/>
  <c r="F111" i="243"/>
  <c r="F108" i="243" l="1"/>
  <c r="F110" i="243"/>
  <c r="E106" i="243"/>
  <c r="E108" i="243"/>
  <c r="D106" i="243"/>
  <c r="D108" i="243"/>
  <c r="F112" i="243"/>
  <c r="F115" i="243" s="1"/>
  <c r="F106" i="243"/>
  <c r="F104" i="243"/>
  <c r="E104" i="243"/>
  <c r="E112" i="243"/>
  <c r="E115" i="243" s="1"/>
  <c r="D104" i="243"/>
  <c r="D112" i="243"/>
  <c r="D115" i="243" s="1"/>
  <c r="N111" i="243"/>
  <c r="N106" i="243" s="1"/>
  <c r="O111" i="243"/>
  <c r="O104" i="243" s="1"/>
  <c r="M111" i="243"/>
  <c r="M110" i="243" s="1"/>
  <c r="O110" i="243" l="1"/>
  <c r="M106" i="243"/>
  <c r="N110" i="243"/>
  <c r="O108" i="243"/>
  <c r="O106" i="243"/>
  <c r="M104" i="243"/>
  <c r="M108" i="243"/>
  <c r="N108" i="243"/>
  <c r="N104" i="24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Emily Lo</author>
  </authors>
  <commentList>
    <comment ref="V91" authorId="0" shapeId="0" xr:uid="{B066C815-4739-4CCD-B1A1-6AB6EB5A4F08}">
      <text>
        <r>
          <rPr>
            <b/>
            <sz val="9"/>
            <color indexed="81"/>
            <rFont val="Tahoma"/>
            <family val="2"/>
          </rPr>
          <t>Emily Lo:</t>
        </r>
        <r>
          <rPr>
            <sz val="9"/>
            <color indexed="81"/>
            <rFont val="Tahoma"/>
            <family val="2"/>
          </rPr>
          <t xml:space="preserve">
Elvin terminated by end of 2026</t>
        </r>
      </text>
    </comment>
    <comment ref="D92" authorId="0" shapeId="0" xr:uid="{00000000-0006-0000-0100-000001000000}">
      <text>
        <r>
          <rPr>
            <b/>
            <sz val="9"/>
            <rFont val="Tahoma"/>
            <family val="2"/>
          </rPr>
          <t>Emily Lo:</t>
        </r>
        <r>
          <rPr>
            <sz val="9"/>
            <rFont val="Tahoma"/>
            <family val="2"/>
          </rPr>
          <t xml:space="preserve">
增加项目：招聘服务费43万，差旅费200万，法律服务费36万，其他费用inflation 5%</t>
        </r>
      </text>
    </comment>
    <comment ref="E92" authorId="0" shapeId="0" xr:uid="{67F772C2-3EC7-46EE-806B-63E80B659CCC}">
      <text>
        <r>
          <rPr>
            <b/>
            <sz val="9"/>
            <rFont val="Tahoma"/>
            <family val="2"/>
          </rPr>
          <t>Emily Lo:</t>
        </r>
        <r>
          <rPr>
            <sz val="9"/>
            <rFont val="Tahoma"/>
            <family val="2"/>
          </rPr>
          <t xml:space="preserve">
由于2026年有43万招聘费用+55万法律费用，预估2027年不需要此部分费用</t>
        </r>
      </text>
    </comment>
    <comment ref="F92" authorId="0" shapeId="0" xr:uid="{F95A0ADE-BE77-46B4-A730-F310EC98CC1C}">
      <text>
        <r>
          <rPr>
            <b/>
            <sz val="9"/>
            <rFont val="Tahoma"/>
            <family val="2"/>
          </rPr>
          <t>Emily Lo:</t>
        </r>
        <r>
          <rPr>
            <sz val="9"/>
            <rFont val="Tahoma"/>
            <family val="2"/>
          </rPr>
          <t xml:space="preserve">
由于2026年有43万招聘费用+55万法律费用，预估2027年不需要此部分费用</t>
        </r>
      </text>
    </comment>
    <comment ref="M92" authorId="0" shapeId="0" xr:uid="{30535632-8B8D-4B7F-95F3-395156472004}">
      <text>
        <r>
          <rPr>
            <b/>
            <sz val="9"/>
            <rFont val="Tahoma"/>
            <family val="2"/>
          </rPr>
          <t>Emily Lo:</t>
        </r>
        <r>
          <rPr>
            <sz val="9"/>
            <rFont val="Tahoma"/>
            <family val="2"/>
          </rPr>
          <t xml:space="preserve">
增加项目：招聘服务费43万，差旅费200万，法律服务费36万，其他费用inflation 5%</t>
        </r>
      </text>
    </comment>
    <comment ref="U92" authorId="0" shapeId="0" xr:uid="{9E68CFD5-C7FD-433A-949A-31D12E865615}">
      <text>
        <r>
          <rPr>
            <b/>
            <sz val="9"/>
            <rFont val="Tahoma"/>
            <family val="2"/>
          </rPr>
          <t>Emily Lo:</t>
        </r>
        <r>
          <rPr>
            <sz val="9"/>
            <rFont val="Tahoma"/>
            <family val="2"/>
          </rPr>
          <t xml:space="preserve">
增加项目：招聘服务费43万，差旅费200万，法律服务费36万，其他费用inflation 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Emily Lo</author>
    <author>GuanghuaChen</author>
  </authors>
  <commentList>
    <comment ref="F11" authorId="0" shapeId="0" xr:uid="{3D0DD9EE-5B6F-4B22-8573-528B4F873A46}">
      <text>
        <r>
          <rPr>
            <b/>
            <sz val="9"/>
            <rFont val="Tahoma"/>
            <family val="2"/>
          </rPr>
          <t>Emily Lo:</t>
        </r>
        <r>
          <rPr>
            <sz val="9"/>
            <rFont val="Tahoma"/>
            <family val="2"/>
          </rPr>
          <t xml:space="preserve">
+ 40k danny</t>
        </r>
      </text>
    </comment>
    <comment ref="F16" authorId="0" shapeId="0" xr:uid="{6E97CBCA-483B-403B-89F9-DA76E0778AFA}">
      <text>
        <r>
          <rPr>
            <b/>
            <sz val="9"/>
            <rFont val="Tahoma"/>
            <family val="2"/>
          </rPr>
          <t>Emily Lo:</t>
        </r>
        <r>
          <rPr>
            <sz val="9"/>
            <rFont val="Tahoma"/>
            <family val="2"/>
          </rPr>
          <t xml:space="preserve">
+80k danny</t>
        </r>
      </text>
    </comment>
    <comment ref="G16" authorId="0" shapeId="0" xr:uid="{51CC8D9D-3FDB-426D-99E0-C2587A693EE7}">
      <text>
        <r>
          <rPr>
            <b/>
            <sz val="9"/>
            <rFont val="Tahoma"/>
            <family val="2"/>
          </rPr>
          <t>Emily Lo:</t>
        </r>
        <r>
          <rPr>
            <sz val="9"/>
            <rFont val="Tahoma"/>
            <family val="2"/>
          </rPr>
          <t xml:space="preserve">
风资源工程师：48k</t>
        </r>
      </text>
    </comment>
    <comment ref="E20" authorId="0" shapeId="0" xr:uid="{40892A0E-EB31-4192-BB61-DCC583BC859B}">
      <text>
        <r>
          <rPr>
            <b/>
            <sz val="9"/>
            <rFont val="Tahoma"/>
            <family val="2"/>
          </rPr>
          <t>Emily Lo:地租</t>
        </r>
      </text>
    </comment>
    <comment ref="G20" authorId="0" shapeId="0" xr:uid="{02C0AAA0-67F6-437B-A60A-6C2190C6B6AA}">
      <text>
        <r>
          <rPr>
            <b/>
            <sz val="9"/>
            <rFont val="Tahoma"/>
            <family val="2"/>
          </rPr>
          <t>Emily Lo:</t>
        </r>
        <r>
          <rPr>
            <sz val="9"/>
            <rFont val="Tahoma"/>
            <family val="2"/>
          </rPr>
          <t xml:space="preserve">
+63000 Q4 rental</t>
        </r>
      </text>
    </comment>
    <comment ref="G24" authorId="0" shapeId="0" xr:uid="{FF346D51-83E7-4DD9-AAD3-0379728FB1F4}">
      <text>
        <r>
          <rPr>
            <b/>
            <sz val="9"/>
            <rFont val="Tahoma"/>
            <family val="2"/>
          </rPr>
          <t>Emily Lo:</t>
        </r>
        <r>
          <rPr>
            <sz val="9"/>
            <rFont val="Tahoma"/>
            <family val="2"/>
          </rPr>
          <t xml:space="preserve">
+63000 Q4 rental</t>
        </r>
      </text>
    </comment>
    <comment ref="R31" authorId="0" shapeId="0" xr:uid="{0C1D364D-6C6E-42D4-A5F1-02264FEEB784}">
      <text>
        <r>
          <rPr>
            <b/>
            <sz val="9"/>
            <rFont val="Tahoma"/>
            <family val="2"/>
          </rPr>
          <t>Emily Lo:</t>
        </r>
        <r>
          <rPr>
            <sz val="9"/>
            <rFont val="Tahoma"/>
            <family val="2"/>
          </rPr>
          <t xml:space="preserve">
AUD 9470/month</t>
        </r>
      </text>
    </comment>
    <comment ref="E47" authorId="0" shapeId="0" xr:uid="{5D98A490-0F35-4024-BFBF-16D1F9994F9A}">
      <text>
        <r>
          <rPr>
            <b/>
            <sz val="9"/>
            <rFont val="Tahoma"/>
            <family val="2"/>
          </rPr>
          <t>Emily Lo:</t>
        </r>
        <r>
          <rPr>
            <sz val="9"/>
            <rFont val="Tahoma"/>
            <family val="2"/>
          </rPr>
          <t xml:space="preserve">
Dec mpf + Dec HKE = 7600</t>
        </r>
      </text>
    </comment>
    <comment ref="F47" authorId="0" shapeId="0" xr:uid="{29F1182F-0396-4220-9D66-4436084A2271}">
      <text>
        <r>
          <rPr>
            <b/>
            <sz val="9"/>
            <rFont val="Tahoma"/>
            <family val="2"/>
          </rPr>
          <t>Emily Lo:</t>
        </r>
        <r>
          <rPr>
            <sz val="9"/>
            <rFont val="Tahoma"/>
            <family val="2"/>
          </rPr>
          <t xml:space="preserve">
9000 Dec MPF</t>
        </r>
      </text>
    </comment>
    <comment ref="G47" authorId="1" shapeId="0" xr:uid="{1CC019BE-43E2-43A4-B934-4135D1148D4C}">
      <text>
        <r>
          <rPr>
            <b/>
            <sz val="9"/>
            <rFont val="宋体"/>
            <charset val="134"/>
          </rPr>
          <t>GuanghuaChen:</t>
        </r>
        <r>
          <rPr>
            <sz val="9"/>
            <rFont val="宋体"/>
            <charset val="134"/>
          </rPr>
          <t xml:space="preserve">
月初的资金需要支付咨询个税30752.77及北京分公司的个税9434.66及北京员工的社保公积金40281.7</t>
        </r>
      </text>
    </comment>
    <comment ref="H47" authorId="1" shapeId="0" xr:uid="{47040420-86F4-4A63-A276-5FAD7AB391A6}">
      <text>
        <r>
          <rPr>
            <b/>
            <sz val="9"/>
            <rFont val="宋体"/>
            <charset val="134"/>
          </rPr>
          <t>GuanghuaChen:</t>
        </r>
        <r>
          <rPr>
            <sz val="9"/>
            <rFont val="宋体"/>
            <charset val="134"/>
          </rPr>
          <t xml:space="preserve">
月初资金需要缴纳私募个税</t>
        </r>
      </text>
    </comment>
    <comment ref="G54" authorId="0" shapeId="0" xr:uid="{746DF5DC-67CA-4395-9F3A-C3C3A307E322}">
      <text>
        <r>
          <rPr>
            <b/>
            <sz val="9"/>
            <rFont val="Tahoma"/>
            <family val="2"/>
          </rPr>
          <t>Emily Lo:</t>
        </r>
        <r>
          <rPr>
            <sz val="9"/>
            <rFont val="Tahoma"/>
            <family val="2"/>
          </rPr>
          <t xml:space="preserve">
深圳咨询合共欠广州
原先的150万+12月份的6.5万+2026.01月的154万+翻译费0.9万+2月份100万=411.4万</t>
        </r>
      </text>
    </comment>
    <comment ref="J56" authorId="0" shapeId="0" xr:uid="{1441479A-1239-4372-A974-5682679ADA42}">
      <text>
        <r>
          <rPr>
            <b/>
            <sz val="9"/>
            <rFont val="Tahoma"/>
            <family val="2"/>
          </rPr>
          <t>Emily Lo:</t>
        </r>
        <r>
          <rPr>
            <sz val="9"/>
            <rFont val="Tahoma"/>
            <family val="2"/>
          </rPr>
          <t xml:space="preserve">
只能定向分配给咨询和广州</t>
        </r>
      </text>
    </comment>
    <comment ref="G58" authorId="0" shapeId="0" xr:uid="{443B9B71-1F8A-4612-AF9E-065F0DB48942}">
      <text>
        <r>
          <rPr>
            <b/>
            <sz val="9"/>
            <rFont val="Tahoma"/>
            <family val="2"/>
          </rPr>
          <t>Emily Lo:</t>
        </r>
        <r>
          <rPr>
            <sz val="9"/>
            <rFont val="Tahoma"/>
            <family val="2"/>
          </rPr>
          <t xml:space="preserve">
深圳咨询合共欠广州
原先的150万+12月份的6.5万+2026.01月的154万+翻译费0.9万+2月份100万=411.4万,还150万，尚余261.4万</t>
        </r>
      </text>
    </comment>
    <comment ref="E61" authorId="0" shapeId="0" xr:uid="{89D36A64-3BDD-4CF0-801A-74DF3C79A584}">
      <text>
        <r>
          <rPr>
            <b/>
            <sz val="9"/>
            <color indexed="81"/>
            <rFont val="Tahoma"/>
            <family val="2"/>
          </rPr>
          <t>Emily Lo:</t>
        </r>
        <r>
          <rPr>
            <sz val="9"/>
            <color indexed="81"/>
            <rFont val="Tahoma"/>
            <family val="2"/>
          </rPr>
          <t xml:space="preserve">
已考虑剩下未支付冯总的HKD 2,098,910</t>
        </r>
      </text>
    </comment>
    <comment ref="O65" authorId="0" shapeId="0" xr:uid="{DF028C37-3211-4E20-A9BF-BC51751C8918}">
      <text>
        <r>
          <rPr>
            <b/>
            <sz val="9"/>
            <rFont val="Tahoma"/>
            <family val="2"/>
          </rPr>
          <t>Emily Lo:</t>
        </r>
        <r>
          <rPr>
            <sz val="9"/>
            <rFont val="Tahoma"/>
            <family val="2"/>
          </rPr>
          <t xml:space="preserve">
100万来自珠海新融</t>
        </r>
      </text>
    </comment>
    <comment ref="O67" authorId="0" shapeId="0" xr:uid="{1938EE55-C608-4776-85D8-FDE1B5668B8E}">
      <text>
        <r>
          <rPr>
            <b/>
            <sz val="9"/>
            <rFont val="Tahoma"/>
            <family val="2"/>
          </rPr>
          <t>Emily Lo:</t>
        </r>
        <r>
          <rPr>
            <sz val="9"/>
            <rFont val="Tahoma"/>
            <family val="2"/>
          </rPr>
          <t xml:space="preserve">
25万费用</t>
        </r>
      </text>
    </comment>
    <comment ref="O73" authorId="0" shapeId="0" xr:uid="{0EF0E4F5-B4D6-42C7-83D4-20C2379933A1}">
      <text>
        <r>
          <rPr>
            <b/>
            <sz val="9"/>
            <rFont val="Tahoma"/>
            <family val="2"/>
          </rPr>
          <t>Emily Lo:</t>
        </r>
        <r>
          <rPr>
            <sz val="9"/>
            <rFont val="Tahoma"/>
            <family val="2"/>
          </rPr>
          <t xml:space="preserve">
100万来自珠海新融</t>
        </r>
      </text>
    </comment>
    <comment ref="O74" authorId="0" shapeId="0" xr:uid="{F9DFDF43-FEF5-495F-89B5-603E5EA144D7}">
      <text>
        <r>
          <rPr>
            <b/>
            <sz val="9"/>
            <rFont val="Tahoma"/>
            <family val="2"/>
          </rPr>
          <t>Emily Lo:</t>
        </r>
        <r>
          <rPr>
            <sz val="9"/>
            <rFont val="Tahoma"/>
            <family val="2"/>
          </rPr>
          <t xml:space="preserve">
25万费用</t>
        </r>
      </text>
    </comment>
    <comment ref="O81" authorId="0" shapeId="0" xr:uid="{9C65AD06-F818-43D5-9976-3B7F9A7FF188}">
      <text>
        <r>
          <rPr>
            <b/>
            <sz val="9"/>
            <rFont val="Tahoma"/>
            <family val="2"/>
          </rPr>
          <t>Emily Lo:</t>
        </r>
        <r>
          <rPr>
            <sz val="9"/>
            <rFont val="Tahoma"/>
            <family val="2"/>
          </rPr>
          <t xml:space="preserve">
100万来自珠海新融</t>
        </r>
      </text>
    </comment>
    <comment ref="O82" authorId="0" shapeId="0" xr:uid="{8BAF8689-B8C5-4715-BBE5-79A7AB8AD4AB}">
      <text>
        <r>
          <rPr>
            <b/>
            <sz val="9"/>
            <rFont val="Tahoma"/>
            <family val="2"/>
          </rPr>
          <t>Emily Lo:</t>
        </r>
        <r>
          <rPr>
            <sz val="9"/>
            <rFont val="Tahoma"/>
            <family val="2"/>
          </rPr>
          <t xml:space="preserve">
25万费用</t>
        </r>
      </text>
    </comment>
    <comment ref="O95" authorId="0" shapeId="0" xr:uid="{84DEBE11-59B7-4958-AB5C-6B4806251B8D}">
      <text>
        <r>
          <rPr>
            <b/>
            <sz val="9"/>
            <rFont val="Tahoma"/>
            <family val="2"/>
          </rPr>
          <t>Emily Lo:</t>
        </r>
        <r>
          <rPr>
            <sz val="9"/>
            <rFont val="Tahoma"/>
            <family val="2"/>
          </rPr>
          <t xml:space="preserve">
100万来自珠海新融</t>
        </r>
      </text>
    </comment>
    <comment ref="O96" authorId="0" shapeId="0" xr:uid="{3DB0651C-9174-4DA8-A2BA-4EA0B4BB6F72}">
      <text>
        <r>
          <rPr>
            <b/>
            <sz val="9"/>
            <rFont val="Tahoma"/>
            <family val="2"/>
          </rPr>
          <t>Emily Lo:</t>
        </r>
        <r>
          <rPr>
            <sz val="9"/>
            <rFont val="Tahoma"/>
            <family val="2"/>
          </rPr>
          <t xml:space="preserve">
25万费用</t>
        </r>
      </text>
    </comment>
    <comment ref="O102" authorId="0" shapeId="0" xr:uid="{FEF7828C-DDF2-4A97-8E57-2AB3ADE500DA}">
      <text>
        <r>
          <rPr>
            <b/>
            <sz val="9"/>
            <rFont val="Tahoma"/>
            <family val="2"/>
          </rPr>
          <t>Emily Lo:</t>
        </r>
        <r>
          <rPr>
            <sz val="9"/>
            <rFont val="Tahoma"/>
            <family val="2"/>
          </rPr>
          <t xml:space="preserve">
100万来自珠海新融</t>
        </r>
      </text>
    </comment>
    <comment ref="O103" authorId="0" shapeId="0" xr:uid="{36F7DEAC-2B41-43E6-A4D2-1DEF05A9A8E3}">
      <text>
        <r>
          <rPr>
            <b/>
            <sz val="9"/>
            <rFont val="Tahoma"/>
            <family val="2"/>
          </rPr>
          <t>Emily Lo:</t>
        </r>
        <r>
          <rPr>
            <sz val="9"/>
            <rFont val="Tahoma"/>
            <family val="2"/>
          </rPr>
          <t xml:space="preserve">
25万费用</t>
        </r>
      </text>
    </comment>
    <comment ref="O109" authorId="0" shapeId="0" xr:uid="{5C7FCCAA-49D3-40F0-A55A-C2CA1DCCDAEC}">
      <text>
        <r>
          <rPr>
            <b/>
            <sz val="9"/>
            <rFont val="Tahoma"/>
            <family val="2"/>
          </rPr>
          <t>Emily Lo:</t>
        </r>
        <r>
          <rPr>
            <sz val="9"/>
            <rFont val="Tahoma"/>
            <family val="2"/>
          </rPr>
          <t xml:space="preserve">
100万来自珠海新融</t>
        </r>
      </text>
    </comment>
    <comment ref="O110" authorId="0" shapeId="0" xr:uid="{E2A7FA76-1283-4B60-8D44-A752D5F8F28B}">
      <text>
        <r>
          <rPr>
            <b/>
            <sz val="9"/>
            <rFont val="Tahoma"/>
            <family val="2"/>
          </rPr>
          <t>Emily Lo:</t>
        </r>
        <r>
          <rPr>
            <sz val="9"/>
            <rFont val="Tahoma"/>
            <family val="2"/>
          </rPr>
          <t xml:space="preserve">
25万费用</t>
        </r>
      </text>
    </comment>
    <comment ref="O116" authorId="0" shapeId="0" xr:uid="{3DA8FB16-3299-49E2-A44B-4F1524F76D1B}">
      <text>
        <r>
          <rPr>
            <b/>
            <sz val="9"/>
            <rFont val="Tahoma"/>
            <family val="2"/>
          </rPr>
          <t>Emily Lo:</t>
        </r>
        <r>
          <rPr>
            <sz val="9"/>
            <rFont val="Tahoma"/>
            <family val="2"/>
          </rPr>
          <t xml:space="preserve">
100万来自珠海新融</t>
        </r>
      </text>
    </comment>
    <comment ref="O117" authorId="0" shapeId="0" xr:uid="{0B0188CC-4EAF-4E3A-ACDC-73206DC7D26B}">
      <text>
        <r>
          <rPr>
            <b/>
            <sz val="9"/>
            <rFont val="Tahoma"/>
            <family val="2"/>
          </rPr>
          <t>Emily Lo:</t>
        </r>
        <r>
          <rPr>
            <sz val="9"/>
            <rFont val="Tahoma"/>
            <family val="2"/>
          </rPr>
          <t xml:space="preserve">
25万费用</t>
        </r>
      </text>
    </comment>
    <comment ref="O123" authorId="0" shapeId="0" xr:uid="{0FEA11D0-E81F-4597-A689-524BB598C3DB}">
      <text>
        <r>
          <rPr>
            <b/>
            <sz val="9"/>
            <rFont val="Tahoma"/>
            <family val="2"/>
          </rPr>
          <t>Emily Lo:</t>
        </r>
        <r>
          <rPr>
            <sz val="9"/>
            <rFont val="Tahoma"/>
            <family val="2"/>
          </rPr>
          <t xml:space="preserve">
100万来自珠海新融</t>
        </r>
      </text>
    </comment>
    <comment ref="O124" authorId="0" shapeId="0" xr:uid="{7B1FD848-DD13-4EB9-B5CC-41774AD4EFDF}">
      <text>
        <r>
          <rPr>
            <b/>
            <sz val="9"/>
            <rFont val="Tahoma"/>
            <family val="2"/>
          </rPr>
          <t>Emily Lo:</t>
        </r>
        <r>
          <rPr>
            <sz val="9"/>
            <rFont val="Tahoma"/>
            <family val="2"/>
          </rPr>
          <t xml:space="preserve">
25万费用</t>
        </r>
      </text>
    </comment>
    <comment ref="O131" authorId="0" shapeId="0" xr:uid="{F7822FED-ACCA-4807-9054-35EE310E7DE6}">
      <text>
        <r>
          <rPr>
            <b/>
            <sz val="9"/>
            <rFont val="Tahoma"/>
            <family val="2"/>
          </rPr>
          <t>Emily Lo:</t>
        </r>
        <r>
          <rPr>
            <sz val="9"/>
            <rFont val="Tahoma"/>
            <family val="2"/>
          </rPr>
          <t xml:space="preserve">
100万来自珠海新融</t>
        </r>
      </text>
    </comment>
    <comment ref="O132" authorId="0" shapeId="0" xr:uid="{2F37C41E-62EC-4EC0-844F-E23228EEAD08}">
      <text>
        <r>
          <rPr>
            <b/>
            <sz val="9"/>
            <rFont val="Tahoma"/>
            <family val="2"/>
          </rPr>
          <t>Emily Lo:</t>
        </r>
        <r>
          <rPr>
            <sz val="9"/>
            <rFont val="Tahoma"/>
            <family val="2"/>
          </rPr>
          <t xml:space="preserve">
25万费用</t>
        </r>
      </text>
    </comment>
    <comment ref="O138" authorId="0" shapeId="0" xr:uid="{7B0B734D-4A8F-4ED2-89DC-62E847A4DC08}">
      <text>
        <r>
          <rPr>
            <b/>
            <sz val="9"/>
            <rFont val="Tahoma"/>
            <family val="2"/>
          </rPr>
          <t>Emily Lo:</t>
        </r>
        <r>
          <rPr>
            <sz val="9"/>
            <rFont val="Tahoma"/>
            <family val="2"/>
          </rPr>
          <t xml:space="preserve">
100万来自珠海新融</t>
        </r>
      </text>
    </comment>
    <comment ref="O139" authorId="0" shapeId="0" xr:uid="{7E3124A3-0F73-482A-8F5D-45CBE52E2F02}">
      <text>
        <r>
          <rPr>
            <b/>
            <sz val="9"/>
            <rFont val="Tahoma"/>
            <family val="2"/>
          </rPr>
          <t>Emily Lo:</t>
        </r>
        <r>
          <rPr>
            <sz val="9"/>
            <rFont val="Tahoma"/>
            <family val="2"/>
          </rPr>
          <t xml:space="preserve">
25万费用</t>
        </r>
      </text>
    </comment>
    <comment ref="O145" authorId="0" shapeId="0" xr:uid="{AE74DFA5-9BB1-4BCA-95F9-38978DA2DDEF}">
      <text>
        <r>
          <rPr>
            <b/>
            <sz val="9"/>
            <rFont val="Tahoma"/>
            <family val="2"/>
          </rPr>
          <t>Emily Lo:</t>
        </r>
        <r>
          <rPr>
            <sz val="9"/>
            <rFont val="Tahoma"/>
            <family val="2"/>
          </rPr>
          <t xml:space="preserve">
100万来自珠海新融</t>
        </r>
      </text>
    </comment>
    <comment ref="O146" authorId="0" shapeId="0" xr:uid="{CC61573D-E44B-4061-AACF-4D07D020B39A}">
      <text>
        <r>
          <rPr>
            <b/>
            <sz val="9"/>
            <rFont val="Tahoma"/>
            <family val="2"/>
          </rPr>
          <t>Emily Lo:</t>
        </r>
        <r>
          <rPr>
            <sz val="9"/>
            <rFont val="Tahoma"/>
            <family val="2"/>
          </rPr>
          <t xml:space="preserve">
25万费用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Emily Lo</author>
    <author>GuanghuaChen</author>
  </authors>
  <commentList>
    <comment ref="F11" authorId="0" shapeId="0" xr:uid="{00000000-0006-0000-0200-000001000000}">
      <text>
        <r>
          <rPr>
            <b/>
            <sz val="9"/>
            <rFont val="Tahoma"/>
            <family val="2"/>
          </rPr>
          <t>Emily Lo:</t>
        </r>
        <r>
          <rPr>
            <sz val="9"/>
            <rFont val="Tahoma"/>
            <family val="2"/>
          </rPr>
          <t xml:space="preserve">
+ 40k danny</t>
        </r>
      </text>
    </comment>
    <comment ref="F16" authorId="0" shapeId="0" xr:uid="{00000000-0006-0000-0200-000002000000}">
      <text>
        <r>
          <rPr>
            <b/>
            <sz val="9"/>
            <rFont val="Tahoma"/>
            <family val="2"/>
          </rPr>
          <t>Emily Lo:</t>
        </r>
        <r>
          <rPr>
            <sz val="9"/>
            <rFont val="Tahoma"/>
            <family val="2"/>
          </rPr>
          <t xml:space="preserve">
+80k danny</t>
        </r>
      </text>
    </comment>
    <comment ref="G16" authorId="0" shapeId="0" xr:uid="{00000000-0006-0000-0200-000003000000}">
      <text>
        <r>
          <rPr>
            <b/>
            <sz val="9"/>
            <rFont val="Tahoma"/>
            <family val="2"/>
          </rPr>
          <t>Emily Lo:</t>
        </r>
        <r>
          <rPr>
            <sz val="9"/>
            <rFont val="Tahoma"/>
            <family val="2"/>
          </rPr>
          <t xml:space="preserve">
风资源工程师：48k</t>
        </r>
      </text>
    </comment>
    <comment ref="E20" authorId="0" shapeId="0" xr:uid="{00000000-0006-0000-0200-000004000000}">
      <text>
        <r>
          <rPr>
            <b/>
            <sz val="9"/>
            <rFont val="Tahoma"/>
            <family val="2"/>
          </rPr>
          <t>Emily Lo:地租</t>
        </r>
      </text>
    </comment>
    <comment ref="G20" authorId="0" shapeId="0" xr:uid="{00000000-0006-0000-0200-000005000000}">
      <text>
        <r>
          <rPr>
            <b/>
            <sz val="9"/>
            <rFont val="Tahoma"/>
            <family val="2"/>
          </rPr>
          <t>Emily Lo:</t>
        </r>
        <r>
          <rPr>
            <sz val="9"/>
            <rFont val="Tahoma"/>
            <family val="2"/>
          </rPr>
          <t xml:space="preserve">
+63000 Q4 rental</t>
        </r>
      </text>
    </comment>
    <comment ref="G24" authorId="0" shapeId="0" xr:uid="{00000000-0006-0000-0200-000006000000}">
      <text>
        <r>
          <rPr>
            <b/>
            <sz val="9"/>
            <rFont val="Tahoma"/>
            <family val="2"/>
          </rPr>
          <t>Emily Lo:</t>
        </r>
        <r>
          <rPr>
            <sz val="9"/>
            <rFont val="Tahoma"/>
            <family val="2"/>
          </rPr>
          <t xml:space="preserve">
+63000 Q4 rental</t>
        </r>
      </text>
    </comment>
    <comment ref="R31" authorId="0" shapeId="0" xr:uid="{00000000-0006-0000-0200-000007000000}">
      <text>
        <r>
          <rPr>
            <b/>
            <sz val="9"/>
            <rFont val="Tahoma"/>
            <family val="2"/>
          </rPr>
          <t>Emily Lo:</t>
        </r>
        <r>
          <rPr>
            <sz val="9"/>
            <rFont val="Tahoma"/>
            <family val="2"/>
          </rPr>
          <t xml:space="preserve">
AUD 9470/month</t>
        </r>
      </text>
    </comment>
    <comment ref="E47" authorId="0" shapeId="0" xr:uid="{00000000-0006-0000-0200-000008000000}">
      <text>
        <r>
          <rPr>
            <b/>
            <sz val="9"/>
            <rFont val="Tahoma"/>
            <family val="2"/>
          </rPr>
          <t>Emily Lo:</t>
        </r>
        <r>
          <rPr>
            <sz val="9"/>
            <rFont val="Tahoma"/>
            <family val="2"/>
          </rPr>
          <t xml:space="preserve">
Dec mpf + Dec HKE = 7600</t>
        </r>
      </text>
    </comment>
    <comment ref="F47" authorId="0" shapeId="0" xr:uid="{00000000-0006-0000-0200-000009000000}">
      <text>
        <r>
          <rPr>
            <b/>
            <sz val="9"/>
            <rFont val="Tahoma"/>
            <family val="2"/>
          </rPr>
          <t>Emily Lo:</t>
        </r>
        <r>
          <rPr>
            <sz val="9"/>
            <rFont val="Tahoma"/>
            <family val="2"/>
          </rPr>
          <t xml:space="preserve">
9000 Dec MPF</t>
        </r>
      </text>
    </comment>
    <comment ref="G47" authorId="1" shapeId="0" xr:uid="{00000000-0006-0000-0200-00000A000000}">
      <text>
        <r>
          <rPr>
            <b/>
            <sz val="9"/>
            <rFont val="宋体"/>
            <charset val="134"/>
          </rPr>
          <t>GuanghuaChen:</t>
        </r>
        <r>
          <rPr>
            <sz val="9"/>
            <rFont val="宋体"/>
            <charset val="134"/>
          </rPr>
          <t xml:space="preserve">
月初的资金需要支付咨询个税30752.77及北京分公司的个税9434.66及北京员工的社保公积金40281.7</t>
        </r>
      </text>
    </comment>
    <comment ref="H47" authorId="1" shapeId="0" xr:uid="{00000000-0006-0000-0200-00000B000000}">
      <text>
        <r>
          <rPr>
            <b/>
            <sz val="9"/>
            <rFont val="宋体"/>
            <charset val="134"/>
          </rPr>
          <t>GuanghuaChen:</t>
        </r>
        <r>
          <rPr>
            <sz val="9"/>
            <rFont val="宋体"/>
            <charset val="134"/>
          </rPr>
          <t xml:space="preserve">
月初资金需要缴纳私募个税</t>
        </r>
      </text>
    </comment>
    <comment ref="J53" authorId="0" shapeId="0" xr:uid="{00000000-0006-0000-0200-00000C000000}">
      <text>
        <r>
          <rPr>
            <b/>
            <sz val="9"/>
            <rFont val="Tahoma"/>
            <family val="2"/>
          </rPr>
          <t>Emily Lo:</t>
        </r>
        <r>
          <rPr>
            <sz val="9"/>
            <rFont val="Tahoma"/>
            <family val="2"/>
          </rPr>
          <t xml:space="preserve">
只能定向分配给咨询和广州</t>
        </r>
      </text>
    </comment>
    <comment ref="G55" authorId="0" shapeId="0" xr:uid="{00000000-0006-0000-0200-00000D000000}">
      <text>
        <r>
          <rPr>
            <b/>
            <sz val="9"/>
            <rFont val="Tahoma"/>
            <family val="2"/>
          </rPr>
          <t>Emily Lo:</t>
        </r>
        <r>
          <rPr>
            <sz val="9"/>
            <rFont val="Tahoma"/>
            <family val="2"/>
          </rPr>
          <t xml:space="preserve">
深圳咨询合共欠广州
原先的150万+12月份的6.5万+2026.01月的154万+翻译费0.9万=311.4万</t>
        </r>
      </text>
    </comment>
    <comment ref="F59" authorId="0" shapeId="0" xr:uid="{1294E84F-DD08-48E6-8E3A-9AF8C5A84010}">
      <text>
        <r>
          <rPr>
            <b/>
            <sz val="9"/>
            <rFont val="Tahoma"/>
            <family val="2"/>
          </rPr>
          <t>Emily Lo:</t>
        </r>
        <r>
          <rPr>
            <sz val="9"/>
            <rFont val="Tahoma"/>
            <family val="2"/>
          </rPr>
          <t xml:space="preserve">
25万费用</t>
        </r>
      </text>
    </comment>
    <comment ref="H62" authorId="0" shapeId="0" xr:uid="{A3402A4A-BA08-4512-BD83-86FD4AF77D72}">
      <text>
        <r>
          <rPr>
            <b/>
            <sz val="9"/>
            <rFont val="Tahoma"/>
            <family val="2"/>
          </rPr>
          <t>Emily Lo:</t>
        </r>
        <r>
          <rPr>
            <sz val="9"/>
            <rFont val="Tahoma"/>
            <family val="2"/>
          </rPr>
          <t xml:space="preserve">
25万费用</t>
        </r>
      </text>
    </comment>
    <comment ref="G63" authorId="0" shapeId="0" xr:uid="{E4908DCB-CDFA-4E1B-BE2C-B64BBEC2F49E}">
      <text>
        <r>
          <rPr>
            <b/>
            <sz val="9"/>
            <rFont val="Tahoma"/>
            <family val="2"/>
          </rPr>
          <t>Emily Lo:</t>
        </r>
        <r>
          <rPr>
            <sz val="9"/>
            <rFont val="Tahoma"/>
            <family val="2"/>
          </rPr>
          <t xml:space="preserve">
25万费用</t>
        </r>
      </text>
    </comment>
    <comment ref="O63" authorId="0" shapeId="0" xr:uid="{00000000-0006-0000-0200-00000E000000}">
      <text>
        <r>
          <rPr>
            <b/>
            <sz val="9"/>
            <rFont val="Tahoma"/>
            <family val="2"/>
          </rPr>
          <t>Emily Lo:</t>
        </r>
        <r>
          <rPr>
            <sz val="9"/>
            <rFont val="Tahoma"/>
            <family val="2"/>
          </rPr>
          <t xml:space="preserve">
100万来自珠海新融</t>
        </r>
      </text>
    </comment>
    <comment ref="O64" authorId="0" shapeId="0" xr:uid="{00000000-0006-0000-0200-00000F000000}">
      <text>
        <r>
          <rPr>
            <b/>
            <sz val="9"/>
            <rFont val="Tahoma"/>
            <family val="2"/>
          </rPr>
          <t>Emily Lo:</t>
        </r>
        <r>
          <rPr>
            <sz val="9"/>
            <rFont val="Tahoma"/>
            <family val="2"/>
          </rPr>
          <t xml:space="preserve">
25万费用</t>
        </r>
      </text>
    </comment>
    <comment ref="O69" authorId="0" shapeId="0" xr:uid="{00000000-0006-0000-0200-000010000000}">
      <text>
        <r>
          <rPr>
            <b/>
            <sz val="9"/>
            <rFont val="Tahoma"/>
            <family val="2"/>
          </rPr>
          <t>Emily Lo:</t>
        </r>
        <r>
          <rPr>
            <sz val="9"/>
            <rFont val="Tahoma"/>
            <family val="2"/>
          </rPr>
          <t xml:space="preserve">
100万来自珠海新融</t>
        </r>
      </text>
    </comment>
    <comment ref="O70" authorId="0" shapeId="0" xr:uid="{00000000-0006-0000-0200-000011000000}">
      <text>
        <r>
          <rPr>
            <b/>
            <sz val="9"/>
            <rFont val="Tahoma"/>
            <family val="2"/>
          </rPr>
          <t>Emily Lo:</t>
        </r>
        <r>
          <rPr>
            <sz val="9"/>
            <rFont val="Tahoma"/>
            <family val="2"/>
          </rPr>
          <t xml:space="preserve">
25万费用</t>
        </r>
      </text>
    </comment>
    <comment ref="G78" authorId="0" shapeId="0" xr:uid="{00000000-0006-0000-0200-000012000000}">
      <text>
        <r>
          <rPr>
            <b/>
            <sz val="9"/>
            <rFont val="Tahoma"/>
            <family val="2"/>
          </rPr>
          <t>Emily Lo:</t>
        </r>
        <r>
          <rPr>
            <sz val="9"/>
            <rFont val="Tahoma"/>
            <family val="2"/>
          </rPr>
          <t xml:space="preserve">
深圳咨询合共欠广州
原先的150万+12月份的6.5万+2026.01月的154万+翻译费0.9万=311.4万</t>
        </r>
      </text>
    </comment>
    <comment ref="O82" authorId="0" shapeId="0" xr:uid="{00000000-0006-0000-0200-000013000000}">
      <text>
        <r>
          <rPr>
            <b/>
            <sz val="9"/>
            <rFont val="Tahoma"/>
            <family val="2"/>
          </rPr>
          <t>Emily Lo:</t>
        </r>
        <r>
          <rPr>
            <sz val="9"/>
            <rFont val="Tahoma"/>
            <family val="2"/>
          </rPr>
          <t xml:space="preserve">
100万来自珠海新融</t>
        </r>
      </text>
    </comment>
    <comment ref="O83" authorId="0" shapeId="0" xr:uid="{00000000-0006-0000-0200-000014000000}">
      <text>
        <r>
          <rPr>
            <b/>
            <sz val="9"/>
            <rFont val="Tahoma"/>
            <family val="2"/>
          </rPr>
          <t>Emily Lo:</t>
        </r>
        <r>
          <rPr>
            <sz val="9"/>
            <rFont val="Tahoma"/>
            <family val="2"/>
          </rPr>
          <t xml:space="preserve">
25万费用</t>
        </r>
      </text>
    </comment>
    <comment ref="O89" authorId="0" shapeId="0" xr:uid="{00000000-0006-0000-0200-000015000000}">
      <text>
        <r>
          <rPr>
            <b/>
            <sz val="9"/>
            <rFont val="Tahoma"/>
            <family val="2"/>
          </rPr>
          <t>Emily Lo:</t>
        </r>
        <r>
          <rPr>
            <sz val="9"/>
            <rFont val="Tahoma"/>
            <family val="2"/>
          </rPr>
          <t xml:space="preserve">
100万来自珠海新融</t>
        </r>
      </text>
    </comment>
    <comment ref="O90" authorId="0" shapeId="0" xr:uid="{00000000-0006-0000-0200-000016000000}">
      <text>
        <r>
          <rPr>
            <b/>
            <sz val="9"/>
            <rFont val="Tahoma"/>
            <family val="2"/>
          </rPr>
          <t>Emily Lo:</t>
        </r>
        <r>
          <rPr>
            <sz val="9"/>
            <rFont val="Tahoma"/>
            <family val="2"/>
          </rPr>
          <t xml:space="preserve">
25万费用</t>
        </r>
      </text>
    </comment>
    <comment ref="O97" authorId="0" shapeId="0" xr:uid="{00000000-0006-0000-0200-000017000000}">
      <text>
        <r>
          <rPr>
            <b/>
            <sz val="9"/>
            <rFont val="Tahoma"/>
            <family val="2"/>
          </rPr>
          <t>Emily Lo:</t>
        </r>
        <r>
          <rPr>
            <sz val="9"/>
            <rFont val="Tahoma"/>
            <family val="2"/>
          </rPr>
          <t xml:space="preserve">
100万来自珠海新融</t>
        </r>
      </text>
    </comment>
    <comment ref="O98" authorId="0" shapeId="0" xr:uid="{00000000-0006-0000-0200-000018000000}">
      <text>
        <r>
          <rPr>
            <b/>
            <sz val="9"/>
            <rFont val="Tahoma"/>
            <family val="2"/>
          </rPr>
          <t>Emily Lo:</t>
        </r>
        <r>
          <rPr>
            <sz val="9"/>
            <rFont val="Tahoma"/>
            <family val="2"/>
          </rPr>
          <t xml:space="preserve">
25万费用</t>
        </r>
      </text>
    </comment>
    <comment ref="O104" authorId="0" shapeId="0" xr:uid="{00000000-0006-0000-0200-000019000000}">
      <text>
        <r>
          <rPr>
            <b/>
            <sz val="9"/>
            <rFont val="Tahoma"/>
            <family val="2"/>
          </rPr>
          <t>Emily Lo:</t>
        </r>
        <r>
          <rPr>
            <sz val="9"/>
            <rFont val="Tahoma"/>
            <family val="2"/>
          </rPr>
          <t xml:space="preserve">
100万来自珠海新融</t>
        </r>
      </text>
    </comment>
    <comment ref="O105" authorId="0" shapeId="0" xr:uid="{00000000-0006-0000-0200-00001A000000}">
      <text>
        <r>
          <rPr>
            <b/>
            <sz val="9"/>
            <rFont val="Tahoma"/>
            <family val="2"/>
          </rPr>
          <t>Emily Lo:</t>
        </r>
        <r>
          <rPr>
            <sz val="9"/>
            <rFont val="Tahoma"/>
            <family val="2"/>
          </rPr>
          <t xml:space="preserve">
25万费用</t>
        </r>
      </text>
    </comment>
    <comment ref="O111" authorId="0" shapeId="0" xr:uid="{00000000-0006-0000-0200-00001B000000}">
      <text>
        <r>
          <rPr>
            <b/>
            <sz val="9"/>
            <rFont val="Tahoma"/>
            <family val="2"/>
          </rPr>
          <t>Emily Lo:</t>
        </r>
        <r>
          <rPr>
            <sz val="9"/>
            <rFont val="Tahoma"/>
            <family val="2"/>
          </rPr>
          <t xml:space="preserve">
100万来自珠海新融</t>
        </r>
      </text>
    </comment>
    <comment ref="O112" authorId="0" shapeId="0" xr:uid="{00000000-0006-0000-0200-00001C000000}">
      <text>
        <r>
          <rPr>
            <b/>
            <sz val="9"/>
            <rFont val="Tahoma"/>
            <family val="2"/>
          </rPr>
          <t>Emily Lo:</t>
        </r>
        <r>
          <rPr>
            <sz val="9"/>
            <rFont val="Tahoma"/>
            <family val="2"/>
          </rPr>
          <t xml:space="preserve">
25万费用</t>
        </r>
      </text>
    </comment>
    <comment ref="O120" authorId="0" shapeId="0" xr:uid="{00000000-0006-0000-0200-00001D000000}">
      <text>
        <r>
          <rPr>
            <b/>
            <sz val="9"/>
            <rFont val="Tahoma"/>
            <family val="2"/>
          </rPr>
          <t>Emily Lo:</t>
        </r>
        <r>
          <rPr>
            <sz val="9"/>
            <rFont val="Tahoma"/>
            <family val="2"/>
          </rPr>
          <t xml:space="preserve">
100万来自珠海新融</t>
        </r>
      </text>
    </comment>
    <comment ref="O121" authorId="0" shapeId="0" xr:uid="{00000000-0006-0000-0200-00001E000000}">
      <text>
        <r>
          <rPr>
            <b/>
            <sz val="9"/>
            <rFont val="Tahoma"/>
            <family val="2"/>
          </rPr>
          <t>Emily Lo:</t>
        </r>
        <r>
          <rPr>
            <sz val="9"/>
            <rFont val="Tahoma"/>
            <family val="2"/>
          </rPr>
          <t xml:space="preserve">
25万费用</t>
        </r>
      </text>
    </comment>
    <comment ref="O128" authorId="0" shapeId="0" xr:uid="{00000000-0006-0000-0200-00001F000000}">
      <text>
        <r>
          <rPr>
            <b/>
            <sz val="9"/>
            <rFont val="Tahoma"/>
            <family val="2"/>
          </rPr>
          <t>Emily Lo:</t>
        </r>
        <r>
          <rPr>
            <sz val="9"/>
            <rFont val="Tahoma"/>
            <family val="2"/>
          </rPr>
          <t xml:space="preserve">
100万来自珠海新融</t>
        </r>
      </text>
    </comment>
    <comment ref="O129" authorId="0" shapeId="0" xr:uid="{00000000-0006-0000-0200-000020000000}">
      <text>
        <r>
          <rPr>
            <b/>
            <sz val="9"/>
            <rFont val="Tahoma"/>
            <family val="2"/>
          </rPr>
          <t>Emily Lo:</t>
        </r>
        <r>
          <rPr>
            <sz val="9"/>
            <rFont val="Tahoma"/>
            <family val="2"/>
          </rPr>
          <t xml:space="preserve">
25万费用</t>
        </r>
      </text>
    </comment>
    <comment ref="O135" authorId="0" shapeId="0" xr:uid="{00000000-0006-0000-0200-000021000000}">
      <text>
        <r>
          <rPr>
            <b/>
            <sz val="9"/>
            <rFont val="Tahoma"/>
            <family val="2"/>
          </rPr>
          <t>Emily Lo:</t>
        </r>
        <r>
          <rPr>
            <sz val="9"/>
            <rFont val="Tahoma"/>
            <family val="2"/>
          </rPr>
          <t xml:space="preserve">
100万来自珠海新融</t>
        </r>
      </text>
    </comment>
    <comment ref="O136" authorId="0" shapeId="0" xr:uid="{00000000-0006-0000-0200-000022000000}">
      <text>
        <r>
          <rPr>
            <b/>
            <sz val="9"/>
            <rFont val="Tahoma"/>
            <family val="2"/>
          </rPr>
          <t>Emily Lo:</t>
        </r>
        <r>
          <rPr>
            <sz val="9"/>
            <rFont val="Tahoma"/>
            <family val="2"/>
          </rPr>
          <t xml:space="preserve">
25万费用</t>
        </r>
      </text>
    </comment>
    <comment ref="O142" authorId="0" shapeId="0" xr:uid="{00000000-0006-0000-0200-000023000000}">
      <text>
        <r>
          <rPr>
            <b/>
            <sz val="9"/>
            <rFont val="Tahoma"/>
            <family val="2"/>
          </rPr>
          <t>Emily Lo:</t>
        </r>
        <r>
          <rPr>
            <sz val="9"/>
            <rFont val="Tahoma"/>
            <family val="2"/>
          </rPr>
          <t xml:space="preserve">
100万来自珠海新融</t>
        </r>
      </text>
    </comment>
    <comment ref="O143" authorId="0" shapeId="0" xr:uid="{00000000-0006-0000-0200-000024000000}">
      <text>
        <r>
          <rPr>
            <b/>
            <sz val="9"/>
            <rFont val="Tahoma"/>
            <family val="2"/>
          </rPr>
          <t>Emily Lo:</t>
        </r>
        <r>
          <rPr>
            <sz val="9"/>
            <rFont val="Tahoma"/>
            <family val="2"/>
          </rPr>
          <t xml:space="preserve">
25万费用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Emily Lo</author>
  </authors>
  <commentList>
    <comment ref="F11" authorId="0" shapeId="0" xr:uid="{CA0807CD-D5B1-4572-9AFF-22B3923B8F5B}">
      <text>
        <r>
          <rPr>
            <b/>
            <sz val="9"/>
            <rFont val="Tahoma"/>
            <family val="2"/>
          </rPr>
          <t>Emily Lo:</t>
        </r>
        <r>
          <rPr>
            <sz val="9"/>
            <rFont val="Tahoma"/>
            <family val="2"/>
          </rPr>
          <t xml:space="preserve">
+ 40k danny</t>
        </r>
      </text>
    </comment>
    <comment ref="F16" authorId="0" shapeId="0" xr:uid="{3CB7EA81-AFEC-4F96-8B36-6A4B8368684C}">
      <text>
        <r>
          <rPr>
            <b/>
            <sz val="9"/>
            <rFont val="Tahoma"/>
            <family val="2"/>
          </rPr>
          <t>Emily Lo:</t>
        </r>
        <r>
          <rPr>
            <sz val="9"/>
            <rFont val="Tahoma"/>
            <family val="2"/>
          </rPr>
          <t xml:space="preserve">
+80k danny</t>
        </r>
      </text>
    </comment>
    <comment ref="G16" authorId="0" shapeId="0" xr:uid="{9365F395-D028-4345-9CCA-46D683D961D4}">
      <text>
        <r>
          <rPr>
            <b/>
            <sz val="9"/>
            <rFont val="Tahoma"/>
            <family val="2"/>
          </rPr>
          <t>Emily Lo:</t>
        </r>
        <r>
          <rPr>
            <sz val="9"/>
            <rFont val="Tahoma"/>
            <family val="2"/>
          </rPr>
          <t xml:space="preserve">
风资源工程师：48k</t>
        </r>
      </text>
    </comment>
    <comment ref="E20" authorId="0" shapeId="0" xr:uid="{F21DE43C-6D76-4D5E-8B6C-69B932A9C5CF}">
      <text>
        <r>
          <rPr>
            <b/>
            <sz val="9"/>
            <rFont val="Tahoma"/>
            <family val="2"/>
          </rPr>
          <t>Emily Lo:地租</t>
        </r>
      </text>
    </comment>
    <comment ref="G20" authorId="0" shapeId="0" xr:uid="{EB624D61-B54E-4F82-9F0E-6BCB4032B0FD}">
      <text>
        <r>
          <rPr>
            <b/>
            <sz val="9"/>
            <rFont val="Tahoma"/>
            <family val="2"/>
          </rPr>
          <t>Emily Lo:</t>
        </r>
        <r>
          <rPr>
            <sz val="9"/>
            <rFont val="Tahoma"/>
            <family val="2"/>
          </rPr>
          <t xml:space="preserve">
+63000 Q4 rental</t>
        </r>
      </text>
    </comment>
    <comment ref="G24" authorId="0" shapeId="0" xr:uid="{7F8202D8-791F-4E1A-8487-1E776588E4B9}">
      <text>
        <r>
          <rPr>
            <b/>
            <sz val="9"/>
            <rFont val="Tahoma"/>
            <family val="2"/>
          </rPr>
          <t>Emily Lo:</t>
        </r>
        <r>
          <rPr>
            <sz val="9"/>
            <rFont val="Tahoma"/>
            <family val="2"/>
          </rPr>
          <t xml:space="preserve">
+63000 Q4 rental</t>
        </r>
      </text>
    </comment>
    <comment ref="R31" authorId="0" shapeId="0" xr:uid="{B0C7309B-1DAC-43A2-AA0A-718585E93117}">
      <text>
        <r>
          <rPr>
            <b/>
            <sz val="9"/>
            <rFont val="Tahoma"/>
            <family val="2"/>
          </rPr>
          <t>Emily Lo:</t>
        </r>
        <r>
          <rPr>
            <sz val="9"/>
            <rFont val="Tahoma"/>
            <family val="2"/>
          </rPr>
          <t xml:space="preserve">
AUD 9470/month</t>
        </r>
      </text>
    </comment>
    <comment ref="O40" authorId="0" shapeId="0" xr:uid="{9EE18BF8-79E4-4546-9FA5-E8D5608E8D34}">
      <text>
        <r>
          <rPr>
            <b/>
            <sz val="9"/>
            <rFont val="Tahoma"/>
            <family val="2"/>
          </rPr>
          <t>Emily Lo:</t>
        </r>
        <r>
          <rPr>
            <sz val="9"/>
            <rFont val="Tahoma"/>
            <family val="2"/>
          </rPr>
          <t xml:space="preserve">
100万来自珠海新融</t>
        </r>
      </text>
    </comment>
    <comment ref="O47" authorId="0" shapeId="0" xr:uid="{3021D71A-0CC9-4A68-B91E-97C70FA91152}">
      <text>
        <r>
          <rPr>
            <b/>
            <sz val="9"/>
            <rFont val="Tahoma"/>
            <family val="2"/>
          </rPr>
          <t>Emily Lo:</t>
        </r>
        <r>
          <rPr>
            <sz val="9"/>
            <rFont val="Tahoma"/>
            <family val="2"/>
          </rPr>
          <t xml:space="preserve">
100万来自珠海新融</t>
        </r>
      </text>
    </comment>
    <comment ref="O54" authorId="0" shapeId="0" xr:uid="{17AE0A43-5678-490C-B74A-A053E5EABC57}">
      <text>
        <r>
          <rPr>
            <b/>
            <sz val="9"/>
            <rFont val="Tahoma"/>
            <family val="2"/>
          </rPr>
          <t>Emily Lo:</t>
        </r>
        <r>
          <rPr>
            <sz val="9"/>
            <rFont val="Tahoma"/>
            <family val="2"/>
          </rPr>
          <t xml:space="preserve">
100万来自珠海新融</t>
        </r>
      </text>
    </comment>
    <comment ref="O61" authorId="0" shapeId="0" xr:uid="{317A7FEA-BDC6-45F7-82EB-62ABA10C6F28}">
      <text>
        <r>
          <rPr>
            <b/>
            <sz val="9"/>
            <rFont val="Tahoma"/>
            <family val="2"/>
          </rPr>
          <t>Emily Lo:</t>
        </r>
        <r>
          <rPr>
            <sz val="9"/>
            <rFont val="Tahoma"/>
            <family val="2"/>
          </rPr>
          <t xml:space="preserve">
100万来自珠海新融</t>
        </r>
      </text>
    </comment>
    <comment ref="O68" authorId="0" shapeId="0" xr:uid="{21E886D6-18A2-429C-9C6C-63DC52E55343}">
      <text>
        <r>
          <rPr>
            <b/>
            <sz val="9"/>
            <rFont val="Tahoma"/>
            <family val="2"/>
          </rPr>
          <t>Emily Lo:</t>
        </r>
        <r>
          <rPr>
            <sz val="9"/>
            <rFont val="Tahoma"/>
            <family val="2"/>
          </rPr>
          <t xml:space="preserve">
100万来自珠海新融</t>
        </r>
      </text>
    </comment>
    <comment ref="O75" authorId="0" shapeId="0" xr:uid="{B0A65AAC-A739-4912-BA0D-47E402401232}">
      <text>
        <r>
          <rPr>
            <b/>
            <sz val="9"/>
            <rFont val="Tahoma"/>
            <family val="2"/>
          </rPr>
          <t>Emily Lo:</t>
        </r>
        <r>
          <rPr>
            <sz val="9"/>
            <rFont val="Tahoma"/>
            <family val="2"/>
          </rPr>
          <t xml:space="preserve">
100万来自珠海新融</t>
        </r>
      </text>
    </comment>
    <comment ref="O82" authorId="0" shapeId="0" xr:uid="{CA890F1B-9994-4F13-A3CD-9F50BA1662AF}">
      <text>
        <r>
          <rPr>
            <b/>
            <sz val="9"/>
            <rFont val="Tahoma"/>
            <family val="2"/>
          </rPr>
          <t>Emily Lo:</t>
        </r>
        <r>
          <rPr>
            <sz val="9"/>
            <rFont val="Tahoma"/>
            <family val="2"/>
          </rPr>
          <t xml:space="preserve">
100万来自珠海新融</t>
        </r>
      </text>
    </comment>
    <comment ref="O89" authorId="0" shapeId="0" xr:uid="{330C647F-0E6F-468C-AAD2-09F07EDD52AC}">
      <text>
        <r>
          <rPr>
            <b/>
            <sz val="9"/>
            <rFont val="Tahoma"/>
            <family val="2"/>
          </rPr>
          <t>Emily Lo:</t>
        </r>
        <r>
          <rPr>
            <sz val="9"/>
            <rFont val="Tahoma"/>
            <family val="2"/>
          </rPr>
          <t xml:space="preserve">
100万来自珠海新融</t>
        </r>
      </text>
    </comment>
    <comment ref="O96" authorId="0" shapeId="0" xr:uid="{DF234DC2-A1AE-463B-9707-B5B10B16F34E}">
      <text>
        <r>
          <rPr>
            <b/>
            <sz val="9"/>
            <rFont val="Tahoma"/>
            <family val="2"/>
          </rPr>
          <t>Emily Lo:</t>
        </r>
        <r>
          <rPr>
            <sz val="9"/>
            <rFont val="Tahoma"/>
            <family val="2"/>
          </rPr>
          <t xml:space="preserve">
100万来自珠海新融</t>
        </r>
      </text>
    </comment>
    <comment ref="O103" authorId="0" shapeId="0" xr:uid="{40DA5CD0-A42F-42C7-974E-6BF56352639D}">
      <text>
        <r>
          <rPr>
            <b/>
            <sz val="9"/>
            <rFont val="Tahoma"/>
            <family val="2"/>
          </rPr>
          <t>Emily Lo:</t>
        </r>
        <r>
          <rPr>
            <sz val="9"/>
            <rFont val="Tahoma"/>
            <family val="2"/>
          </rPr>
          <t xml:space="preserve">
100万来自珠海新融</t>
        </r>
      </text>
    </comment>
    <comment ref="O110" authorId="0" shapeId="0" xr:uid="{73A28EDF-9ECA-422D-AE3F-ABDFC9BF3AED}">
      <text>
        <r>
          <rPr>
            <b/>
            <sz val="9"/>
            <rFont val="Tahoma"/>
            <family val="2"/>
          </rPr>
          <t>Emily Lo:</t>
        </r>
        <r>
          <rPr>
            <sz val="9"/>
            <rFont val="Tahoma"/>
            <family val="2"/>
          </rPr>
          <t xml:space="preserve">
100万来自珠海新融</t>
        </r>
      </text>
    </comment>
    <comment ref="O117" authorId="0" shapeId="0" xr:uid="{52F40DB6-24F6-4AEC-8FA4-C09C1EB1CFA8}">
      <text>
        <r>
          <rPr>
            <b/>
            <sz val="9"/>
            <rFont val="Tahoma"/>
            <family val="2"/>
          </rPr>
          <t>Emily Lo:</t>
        </r>
        <r>
          <rPr>
            <sz val="9"/>
            <rFont val="Tahoma"/>
            <family val="2"/>
          </rPr>
          <t xml:space="preserve">
100万来自珠海新融</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Emily Lo</author>
    <author>GuanghuaChen</author>
  </authors>
  <commentList>
    <comment ref="E30" authorId="0" shapeId="0" xr:uid="{00000000-0006-0000-0400-000001000000}">
      <text>
        <r>
          <rPr>
            <b/>
            <sz val="9"/>
            <rFont val="Tahoma"/>
            <family val="2"/>
          </rPr>
          <t>Emily Lo:</t>
        </r>
        <r>
          <rPr>
            <sz val="9"/>
            <rFont val="Tahoma"/>
            <family val="2"/>
          </rPr>
          <t xml:space="preserve">
实际为670.4万</t>
        </r>
      </text>
    </comment>
    <comment ref="G35" authorId="0" shapeId="0" xr:uid="{00000000-0006-0000-0400-000002000000}">
      <text>
        <r>
          <rPr>
            <b/>
            <sz val="9"/>
            <rFont val="Tahoma"/>
            <family val="2"/>
          </rPr>
          <t>Emily Lo:
非链接公式</t>
        </r>
      </text>
    </comment>
    <comment ref="G40" authorId="1" shapeId="0" xr:uid="{00000000-0006-0000-0400-000003000000}">
      <text>
        <r>
          <rPr>
            <b/>
            <sz val="9"/>
            <rFont val="宋体"/>
            <charset val="134"/>
          </rPr>
          <t>GuanghuaChen:</t>
        </r>
        <r>
          <rPr>
            <sz val="9"/>
            <rFont val="宋体"/>
            <charset val="134"/>
          </rPr>
          <t xml:space="preserve">
原公式未固定税额栏，修改了下</t>
        </r>
      </text>
    </comment>
    <comment ref="H45" authorId="0" shapeId="0" xr:uid="{00000000-0006-0000-0400-000004000000}">
      <text>
        <r>
          <rPr>
            <b/>
            <sz val="9"/>
            <rFont val="Tahoma"/>
            <family val="2"/>
          </rPr>
          <t>Emily Lo:</t>
        </r>
        <r>
          <rPr>
            <sz val="9"/>
            <rFont val="Tahoma"/>
            <family val="2"/>
          </rPr>
          <t xml:space="preserve">
荷叶坪177.33万一年，0.032/W
</t>
        </r>
      </text>
    </comment>
    <comment ref="G47" authorId="0" shapeId="0" xr:uid="{00000000-0006-0000-0400-000005000000}">
      <text>
        <r>
          <rPr>
            <b/>
            <sz val="9"/>
            <rFont val="Tahoma"/>
            <family val="2"/>
          </rPr>
          <t>Emily Lo:</t>
        </r>
        <r>
          <rPr>
            <sz val="9"/>
            <rFont val="Tahoma"/>
            <family val="2"/>
          </rPr>
          <t xml:space="preserve">
荷叶坪2025</t>
        </r>
      </text>
    </comment>
    <comment ref="I47" authorId="0" shapeId="0" xr:uid="{00000000-0006-0000-0400-000006000000}">
      <text>
        <r>
          <rPr>
            <b/>
            <sz val="9"/>
            <rFont val="Tahoma"/>
            <family val="2"/>
          </rPr>
          <t>Emily Lo:</t>
        </r>
        <r>
          <rPr>
            <sz val="9"/>
            <rFont val="Tahoma"/>
            <family val="2"/>
          </rPr>
          <t xml:space="preserve">
100MW项目2026</t>
        </r>
      </text>
    </comment>
    <comment ref="H58" authorId="0" shapeId="0" xr:uid="{00000000-0006-0000-0400-000007000000}">
      <text>
        <r>
          <rPr>
            <b/>
            <sz val="9"/>
            <rFont val="Tahoma"/>
            <family val="2"/>
          </rPr>
          <t>Emily Lo:</t>
        </r>
        <r>
          <rPr>
            <sz val="9"/>
            <rFont val="Tahoma"/>
            <family val="2"/>
          </rPr>
          <t xml:space="preserve">
荷叶坪177.33万一年，0.032/W
</t>
        </r>
      </text>
    </comment>
    <comment ref="I60" authorId="0" shapeId="0" xr:uid="{00000000-0006-0000-0400-000008000000}">
      <text>
        <r>
          <rPr>
            <b/>
            <sz val="9"/>
            <rFont val="Tahoma"/>
            <family val="2"/>
          </rPr>
          <t>Emily Lo:</t>
        </r>
        <r>
          <rPr>
            <sz val="9"/>
            <rFont val="Tahoma"/>
            <family val="2"/>
          </rPr>
          <t xml:space="preserve">
100MW项目2026</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Emily Lo</author>
    <author>GuanghuaChen</author>
  </authors>
  <commentList>
    <comment ref="E30" authorId="0" shapeId="0" xr:uid="{AE455171-AB80-481F-983A-D0C6008AD402}">
      <text>
        <r>
          <rPr>
            <b/>
            <sz val="9"/>
            <rFont val="Tahoma"/>
            <family val="2"/>
          </rPr>
          <t>Emily Lo:</t>
        </r>
        <r>
          <rPr>
            <sz val="9"/>
            <rFont val="Tahoma"/>
            <family val="2"/>
          </rPr>
          <t xml:space="preserve">
实际为670.4万</t>
        </r>
      </text>
    </comment>
    <comment ref="G35" authorId="0" shapeId="0" xr:uid="{78D2AA72-6543-4ECF-9F09-1204A34AC963}">
      <text>
        <r>
          <rPr>
            <b/>
            <sz val="9"/>
            <rFont val="Tahoma"/>
            <family val="2"/>
          </rPr>
          <t>Emily Lo:
非链接公式</t>
        </r>
      </text>
    </comment>
    <comment ref="G40" authorId="1" shapeId="0" xr:uid="{6B325D34-B6FA-4C8D-B80B-9DAA5DBB5BE2}">
      <text>
        <r>
          <rPr>
            <b/>
            <sz val="9"/>
            <rFont val="宋体"/>
            <charset val="134"/>
          </rPr>
          <t>GuanghuaChen:</t>
        </r>
        <r>
          <rPr>
            <sz val="9"/>
            <rFont val="宋体"/>
            <charset val="134"/>
          </rPr>
          <t xml:space="preserve">
原公式未固定税额栏，修改了下</t>
        </r>
      </text>
    </comment>
    <comment ref="H45" authorId="0" shapeId="0" xr:uid="{17F5000D-E09E-4CC5-AA9B-074E045FC4F1}">
      <text>
        <r>
          <rPr>
            <b/>
            <sz val="9"/>
            <rFont val="Tahoma"/>
            <family val="2"/>
          </rPr>
          <t>Emily Lo:</t>
        </r>
        <r>
          <rPr>
            <sz val="9"/>
            <rFont val="Tahoma"/>
            <family val="2"/>
          </rPr>
          <t xml:space="preserve">
荷叶坪177.33万一年，0.032/W
</t>
        </r>
      </text>
    </comment>
    <comment ref="G47" authorId="0" shapeId="0" xr:uid="{2A501008-8A50-43D9-B007-9B67B2104FAF}">
      <text>
        <r>
          <rPr>
            <b/>
            <sz val="9"/>
            <rFont val="Tahoma"/>
            <family val="2"/>
          </rPr>
          <t>Emily Lo:</t>
        </r>
        <r>
          <rPr>
            <sz val="9"/>
            <rFont val="Tahoma"/>
            <family val="2"/>
          </rPr>
          <t xml:space="preserve">
荷叶坪2025</t>
        </r>
      </text>
    </comment>
    <comment ref="I47" authorId="0" shapeId="0" xr:uid="{31E6249F-BB6C-44B5-836F-448118027C02}">
      <text>
        <r>
          <rPr>
            <b/>
            <sz val="9"/>
            <rFont val="Tahoma"/>
            <family val="2"/>
          </rPr>
          <t>Emily Lo:</t>
        </r>
        <r>
          <rPr>
            <sz val="9"/>
            <rFont val="Tahoma"/>
            <family val="2"/>
          </rPr>
          <t xml:space="preserve">
100MW项目2026</t>
        </r>
      </text>
    </comment>
    <comment ref="H58" authorId="0" shapeId="0" xr:uid="{5BAD8205-D5B7-4CE1-B1CE-7F0E91E13649}">
      <text>
        <r>
          <rPr>
            <b/>
            <sz val="9"/>
            <rFont val="Tahoma"/>
            <family val="2"/>
          </rPr>
          <t>Emily Lo:</t>
        </r>
        <r>
          <rPr>
            <sz val="9"/>
            <rFont val="Tahoma"/>
            <family val="2"/>
          </rPr>
          <t xml:space="preserve">
荷叶坪177.33万一年，0.032/W
</t>
        </r>
      </text>
    </comment>
    <comment ref="I60" authorId="0" shapeId="0" xr:uid="{FD7FBFF0-A3DF-4D4C-A257-01F3E6C356CB}">
      <text>
        <r>
          <rPr>
            <b/>
            <sz val="9"/>
            <rFont val="Tahoma"/>
            <family val="2"/>
          </rPr>
          <t>Emily Lo:</t>
        </r>
        <r>
          <rPr>
            <sz val="9"/>
            <rFont val="Tahoma"/>
            <family val="2"/>
          </rPr>
          <t xml:space="preserve">
100MW项目2026</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Harry</author>
    <author>EricLeng</author>
  </authors>
  <commentList>
    <comment ref="E5" authorId="0" shapeId="0" xr:uid="{52EC49C7-386A-431B-AF23-6F2B517A0C54}">
      <text>
        <r>
          <rPr>
            <b/>
            <sz val="9"/>
            <rFont val="Tahoma"/>
            <family val="2"/>
          </rPr>
          <t>Harry:</t>
        </r>
        <r>
          <rPr>
            <sz val="9"/>
            <rFont val="Tahoma"/>
            <family val="2"/>
          </rPr>
          <t xml:space="preserve">
共500MW资产包，已知邵阳天台山50MW项目大概率锁定给康富（和太芝庙共用升压站），估算有共计200MW项目有合作机会</t>
        </r>
      </text>
    </comment>
    <comment ref="E6" authorId="0" shapeId="0" xr:uid="{E1E79F4E-E52D-4F78-958D-79BBAB9E71F5}">
      <text>
        <r>
          <rPr>
            <b/>
            <sz val="9"/>
            <rFont val="Tahoma"/>
            <family val="2"/>
          </rPr>
          <t>Harry:</t>
        </r>
        <r>
          <rPr>
            <sz val="9"/>
            <rFont val="Tahoma"/>
            <family val="2"/>
          </rPr>
          <t xml:space="preserve">
张建新表示有该区域存量项目出售，暂估算100MW体量可交易</t>
        </r>
      </text>
    </comment>
    <comment ref="K8" authorId="0" shapeId="0" xr:uid="{E6431075-93D1-4353-80E8-510466B4AAD1}">
      <text>
        <r>
          <rPr>
            <b/>
            <sz val="9"/>
            <color indexed="81"/>
            <rFont val="Tahoma"/>
            <family val="2"/>
          </rPr>
          <t>Harry:</t>
        </r>
        <r>
          <rPr>
            <sz val="9"/>
            <color indexed="81"/>
            <rFont val="Tahoma"/>
            <family val="2"/>
          </rPr>
          <t xml:space="preserve">
机制电价0.3844，小时数3000h+
</t>
        </r>
      </text>
    </comment>
    <comment ref="K11" authorId="0" shapeId="0" xr:uid="{D26D7C64-7E86-42A0-9699-E3A93F0A60D6}">
      <text>
        <r>
          <rPr>
            <b/>
            <sz val="9"/>
            <rFont val="Tahoma"/>
            <family val="2"/>
          </rPr>
          <t>Harry:</t>
        </r>
        <r>
          <rPr>
            <sz val="9"/>
            <rFont val="Tahoma"/>
            <family val="2"/>
          </rPr>
          <t xml:space="preserve">
EPC总包价</t>
        </r>
      </text>
    </comment>
    <comment ref="K15" authorId="1" shapeId="0" xr:uid="{F2A27BD5-8716-46BE-B8E3-5D4419D1C153}">
      <text>
        <r>
          <rPr>
            <b/>
            <sz val="9"/>
            <color indexed="81"/>
            <rFont val="宋体"/>
            <family val="3"/>
            <charset val="134"/>
          </rPr>
          <t>EricLeng:</t>
        </r>
        <r>
          <rPr>
            <sz val="9"/>
            <color indexed="81"/>
            <rFont val="宋体"/>
            <family val="3"/>
            <charset val="134"/>
          </rPr>
          <t xml:space="preserve">
小时数较河南更低</t>
        </r>
      </text>
    </comment>
    <comment ref="K16" authorId="1" shapeId="0" xr:uid="{FCA7CA93-E665-41EA-93C1-1AD5D57F4A7F}">
      <text>
        <r>
          <rPr>
            <b/>
            <sz val="9"/>
            <color indexed="81"/>
            <rFont val="宋体"/>
            <family val="3"/>
            <charset val="134"/>
          </rPr>
          <t>EricLeng:</t>
        </r>
        <r>
          <rPr>
            <sz val="9"/>
            <color indexed="81"/>
            <rFont val="宋体"/>
            <family val="3"/>
            <charset val="134"/>
          </rPr>
          <t xml:space="preserve">
阳光对价格预估（lower end）</t>
        </r>
      </text>
    </comment>
    <comment ref="K17" authorId="1" shapeId="0" xr:uid="{9A5FFC40-91CA-427A-ACCA-8A2E242F9A67}">
      <text>
        <r>
          <rPr>
            <b/>
            <sz val="9"/>
            <color indexed="81"/>
            <rFont val="宋体"/>
            <family val="3"/>
            <charset val="134"/>
          </rPr>
          <t>EricLeng:</t>
        </r>
        <r>
          <rPr>
            <sz val="9"/>
            <color indexed="81"/>
            <rFont val="宋体"/>
            <family val="3"/>
            <charset val="134"/>
          </rPr>
          <t xml:space="preserve">
4.5EPC + 0.8premium</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Emily Lo</author>
    <author>QIUDIE LIN</author>
  </authors>
  <commentList>
    <comment ref="C11" authorId="0" shapeId="0" xr:uid="{00000000-0006-0000-0300-000001000000}">
      <text>
        <r>
          <rPr>
            <b/>
            <sz val="9"/>
            <rFont val="Tahoma"/>
            <family val="2"/>
          </rPr>
          <t>Emily Lo:</t>
        </r>
        <r>
          <rPr>
            <sz val="9"/>
            <rFont val="Tahoma"/>
            <family val="2"/>
          </rPr>
          <t xml:space="preserve">
25万为PWC20万费用+其他</t>
        </r>
      </text>
    </comment>
    <comment ref="H11" authorId="0" shapeId="0" xr:uid="{C96A7A98-E600-475C-BAF7-F787A88933D0}">
      <text>
        <r>
          <rPr>
            <b/>
            <sz val="9"/>
            <rFont val="Tahoma"/>
            <family val="2"/>
          </rPr>
          <t>Emily Lo:</t>
        </r>
        <r>
          <rPr>
            <sz val="9"/>
            <rFont val="Tahoma"/>
            <family val="2"/>
          </rPr>
          <t xml:space="preserve">
25万为PWC20万费用+其他</t>
        </r>
      </text>
    </comment>
    <comment ref="C12" authorId="1" shapeId="0" xr:uid="{00000000-0006-0000-0300-000002000000}">
      <text>
        <r>
          <rPr>
            <b/>
            <sz val="9"/>
            <rFont val="宋体"/>
            <charset val="134"/>
          </rPr>
          <t>QIUDIE LIN:</t>
        </r>
        <r>
          <rPr>
            <sz val="9"/>
            <rFont val="宋体"/>
            <charset val="134"/>
          </rPr>
          <t xml:space="preserve">
基金备案最低实缴规模</t>
        </r>
      </text>
    </comment>
    <comment ref="H12" authorId="1" shapeId="0" xr:uid="{58E66D3D-72F6-4DBF-8AD7-39E611590EE8}">
      <text>
        <r>
          <rPr>
            <b/>
            <sz val="9"/>
            <rFont val="宋体"/>
            <charset val="134"/>
          </rPr>
          <t>QIUDIE LIN:</t>
        </r>
        <r>
          <rPr>
            <sz val="9"/>
            <rFont val="宋体"/>
            <charset val="134"/>
          </rPr>
          <t xml:space="preserve">
基金备案最低实缴规模</t>
        </r>
      </text>
    </comment>
    <comment ref="C16" authorId="1" shapeId="0" xr:uid="{00000000-0006-0000-0300-000003000000}">
      <text>
        <r>
          <rPr>
            <b/>
            <sz val="9"/>
            <rFont val="宋体"/>
            <charset val="134"/>
          </rPr>
          <t>QIUDIE LIN:</t>
        </r>
        <r>
          <rPr>
            <sz val="9"/>
            <rFont val="宋体"/>
            <charset val="134"/>
          </rPr>
          <t xml:space="preserve">
满足合格投资者NAV≥1000要求,预留小额运营资金(托管费、审计费等）</t>
        </r>
      </text>
    </comment>
    <comment ref="H16" authorId="0" shapeId="0" xr:uid="{F769CEAB-1BC1-4415-9E1A-611497EA76C1}">
      <text>
        <r>
          <rPr>
            <b/>
            <sz val="9"/>
            <rFont val="Tahoma"/>
            <family val="2"/>
          </rPr>
          <t>Emily Lo:</t>
        </r>
        <r>
          <rPr>
            <sz val="9"/>
            <rFont val="Tahoma"/>
            <family val="2"/>
          </rPr>
          <t xml:space="preserve">
25万为PWC20万费用+其他</t>
        </r>
      </text>
    </comment>
    <comment ref="H17" authorId="1" shapeId="0" xr:uid="{4832ECF8-5A6F-41F1-99AA-8652A3A33906}">
      <text>
        <r>
          <rPr>
            <b/>
            <sz val="9"/>
            <rFont val="宋体"/>
            <charset val="134"/>
          </rPr>
          <t>QIUDIE LIN:</t>
        </r>
        <r>
          <rPr>
            <sz val="9"/>
            <rFont val="宋体"/>
            <charset val="134"/>
          </rPr>
          <t xml:space="preserve">
基金备案最低实缴规模</t>
        </r>
      </text>
    </comment>
    <comment ref="D21" authorId="1" shapeId="0" xr:uid="{00000000-0006-0000-0300-000004000000}">
      <text>
        <r>
          <rPr>
            <b/>
            <sz val="9"/>
            <rFont val="宋体"/>
            <charset val="134"/>
          </rPr>
          <t>QIUDIE LIN:</t>
        </r>
        <r>
          <rPr>
            <sz val="9"/>
            <rFont val="宋体"/>
            <charset val="134"/>
          </rPr>
          <t xml:space="preserve">
架构调整后</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Emily Lo</author>
  </authors>
  <commentList>
    <comment ref="D198" authorId="0" shapeId="0" xr:uid="{00000000-0006-0000-0500-000001000000}">
      <text>
        <r>
          <rPr>
            <b/>
            <sz val="9"/>
            <rFont val="Tahoma"/>
            <family val="2"/>
          </rPr>
          <t>Emily Lo:</t>
        </r>
        <r>
          <rPr>
            <sz val="9"/>
            <rFont val="Tahoma"/>
            <family val="2"/>
          </rPr>
          <t xml:space="preserve">
+ danny</t>
        </r>
      </text>
    </comment>
    <comment ref="C315" authorId="0" shapeId="0" xr:uid="{00000000-0006-0000-0500-000002000000}">
      <text>
        <r>
          <rPr>
            <b/>
            <sz val="9"/>
            <rFont val="Tahoma"/>
            <family val="2"/>
          </rPr>
          <t>Emily Lo:</t>
        </r>
        <r>
          <rPr>
            <sz val="9"/>
            <rFont val="Tahoma"/>
            <family val="2"/>
          </rPr>
          <t xml:space="preserve">
150000 for Boardroom and Ray's air ticket</t>
        </r>
      </text>
    </comment>
    <comment ref="D319" authorId="0" shapeId="0" xr:uid="{E60BCAA3-0489-457A-B296-2C90B0FCA34A}">
      <text>
        <r>
          <rPr>
            <b/>
            <sz val="9"/>
            <color indexed="81"/>
            <rFont val="Tahoma"/>
            <family val="2"/>
          </rPr>
          <t>Emily Lo:</t>
        </r>
        <r>
          <rPr>
            <sz val="9"/>
            <color indexed="81"/>
            <rFont val="Tahoma"/>
            <family val="2"/>
          </rPr>
          <t xml:space="preserve">
年会交通费</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GuanghuaChen</author>
  </authors>
  <commentList>
    <comment ref="O20" authorId="0" shapeId="0" xr:uid="{00000000-0006-0000-0600-000001000000}">
      <text>
        <r>
          <rPr>
            <b/>
            <sz val="9"/>
            <rFont val="宋体"/>
            <charset val="134"/>
          </rPr>
          <t>GuanghuaChen:</t>
        </r>
        <r>
          <rPr>
            <sz val="9"/>
            <rFont val="宋体"/>
            <charset val="134"/>
          </rPr>
          <t xml:space="preserve">
转入一般户</t>
        </r>
      </text>
    </comment>
    <comment ref="M27" authorId="0" shapeId="0" xr:uid="{00000000-0006-0000-0600-000002000000}">
      <text>
        <r>
          <rPr>
            <b/>
            <sz val="9"/>
            <rFont val="宋体"/>
            <charset val="134"/>
          </rPr>
          <t>GuanghuaChen:</t>
        </r>
        <r>
          <rPr>
            <sz val="9"/>
            <rFont val="宋体"/>
            <charset val="134"/>
          </rPr>
          <t xml:space="preserve">
电力交易员加入，按35000元/月计</t>
        </r>
      </text>
    </comment>
    <comment ref="I33" authorId="0" shapeId="0" xr:uid="{00000000-0006-0000-0600-000003000000}">
      <text>
        <r>
          <rPr>
            <b/>
            <sz val="9"/>
            <rFont val="宋体"/>
            <charset val="134"/>
          </rPr>
          <t>GuanghuaChen:</t>
        </r>
        <r>
          <rPr>
            <sz val="9"/>
            <rFont val="宋体"/>
            <charset val="134"/>
          </rPr>
          <t xml:space="preserve">
新员工入职采购电脑等</t>
        </r>
      </text>
    </comment>
    <comment ref="F38" authorId="0" shapeId="0" xr:uid="{00000000-0006-0000-0600-000004000000}">
      <text>
        <r>
          <rPr>
            <b/>
            <sz val="9"/>
            <rFont val="宋体"/>
            <charset val="134"/>
          </rPr>
          <t>GuanghuaChen:</t>
        </r>
        <r>
          <rPr>
            <sz val="9"/>
            <rFont val="宋体"/>
            <charset val="134"/>
          </rPr>
          <t xml:space="preserve">
若安排减资款支付给ACPLHK的手续费</t>
        </r>
      </text>
    </comment>
    <comment ref="M38" authorId="0" shapeId="0" xr:uid="{00000000-0006-0000-0600-000005000000}">
      <text>
        <r>
          <rPr>
            <b/>
            <sz val="9"/>
            <rFont val="宋体"/>
            <charset val="134"/>
          </rPr>
          <t>GuanghuaChen:</t>
        </r>
        <r>
          <rPr>
            <sz val="9"/>
            <rFont val="宋体"/>
            <charset val="134"/>
          </rPr>
          <t xml:space="preserve">
银行询证费用</t>
        </r>
      </text>
    </comment>
    <comment ref="G46" authorId="0" shapeId="0" xr:uid="{00000000-0006-0000-0600-000006000000}">
      <text>
        <r>
          <rPr>
            <b/>
            <sz val="9"/>
            <rFont val="宋体"/>
            <charset val="134"/>
          </rPr>
          <t>GuanghuaChen:</t>
        </r>
        <r>
          <rPr>
            <sz val="9"/>
            <rFont val="宋体"/>
            <charset val="134"/>
          </rPr>
          <t xml:space="preserve">
出差广州差旅费</t>
        </r>
      </text>
    </comment>
    <comment ref="O50" authorId="0" shapeId="0" xr:uid="{00000000-0006-0000-0600-000007000000}">
      <text>
        <r>
          <rPr>
            <b/>
            <sz val="9"/>
            <rFont val="宋体"/>
            <charset val="134"/>
          </rPr>
          <t>GuanghuaChen:</t>
        </r>
        <r>
          <rPr>
            <sz val="9"/>
            <rFont val="宋体"/>
            <charset val="134"/>
          </rPr>
          <t xml:space="preserve">
曦和私募第二笔实缴出资
由结汇待支付账户支付</t>
        </r>
      </text>
    </comment>
    <comment ref="J60" authorId="0" shapeId="0" xr:uid="{00000000-0006-0000-0600-000008000000}">
      <text>
        <r>
          <rPr>
            <b/>
            <sz val="9"/>
            <rFont val="宋体"/>
            <charset val="134"/>
          </rPr>
          <t>GuanghuaChen:</t>
        </r>
        <r>
          <rPr>
            <sz val="9"/>
            <rFont val="宋体"/>
            <charset val="134"/>
          </rPr>
          <t xml:space="preserve">
注资</t>
        </r>
      </text>
    </comment>
    <comment ref="K60" authorId="0" shapeId="0" xr:uid="{00000000-0006-0000-0600-000009000000}">
      <text>
        <r>
          <rPr>
            <b/>
            <sz val="9"/>
            <rFont val="宋体"/>
            <charset val="134"/>
          </rPr>
          <t>GuanghuaChen:</t>
        </r>
        <r>
          <rPr>
            <sz val="9"/>
            <rFont val="宋体"/>
            <charset val="134"/>
          </rPr>
          <t xml:space="preserve">
注资</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F6" authorId="0" shapeId="0" xr:uid="{00000000-0006-0000-0700-000001000000}">
      <text>
        <r>
          <rPr>
            <b/>
            <sz val="9"/>
            <rFont val="宋体"/>
            <charset val="134"/>
          </rPr>
          <t>Anita:</t>
        </r>
        <r>
          <rPr>
            <sz val="9"/>
            <rFont val="宋体"/>
            <charset val="134"/>
          </rPr>
          <t xml:space="preserve">
注明主要差异原因</t>
        </r>
      </text>
    </comment>
    <comment ref="K6" authorId="0" shapeId="0" xr:uid="{00000000-0006-0000-0700-000002000000}">
      <text>
        <r>
          <rPr>
            <b/>
            <sz val="9"/>
            <rFont val="宋体"/>
            <charset val="134"/>
          </rPr>
          <t>Anita:</t>
        </r>
        <r>
          <rPr>
            <sz val="9"/>
            <rFont val="宋体"/>
            <charset val="134"/>
          </rPr>
          <t xml:space="preserve">
注明主要差异原因</t>
        </r>
      </text>
    </comment>
    <comment ref="P6" authorId="0" shapeId="0" xr:uid="{00000000-0006-0000-0700-000003000000}">
      <text>
        <r>
          <rPr>
            <b/>
            <sz val="9"/>
            <rFont val="宋体"/>
            <charset val="134"/>
          </rPr>
          <t>Anita:</t>
        </r>
        <r>
          <rPr>
            <sz val="9"/>
            <rFont val="宋体"/>
            <charset val="134"/>
          </rPr>
          <t xml:space="preserve">
注明主要差异原因</t>
        </r>
      </text>
    </comment>
    <comment ref="U6" authorId="0" shapeId="0" xr:uid="{00000000-0006-0000-0700-000004000000}">
      <text>
        <r>
          <rPr>
            <b/>
            <sz val="9"/>
            <rFont val="宋体"/>
            <charset val="134"/>
          </rPr>
          <t>Anita:</t>
        </r>
        <r>
          <rPr>
            <sz val="9"/>
            <rFont val="宋体"/>
            <charset val="134"/>
          </rPr>
          <t xml:space="preserve">
注明主要差异原因</t>
        </r>
      </text>
    </comment>
    <comment ref="Z6" authorId="0" shapeId="0" xr:uid="{00000000-0006-0000-0700-000005000000}">
      <text>
        <r>
          <rPr>
            <b/>
            <sz val="9"/>
            <rFont val="宋体"/>
            <charset val="134"/>
          </rPr>
          <t>Anita:</t>
        </r>
        <r>
          <rPr>
            <sz val="9"/>
            <rFont val="宋体"/>
            <charset val="134"/>
          </rPr>
          <t xml:space="preserve">
注明主要差异原因</t>
        </r>
      </text>
    </comment>
    <comment ref="AE6" authorId="0" shapeId="0" xr:uid="{00000000-0006-0000-0700-000006000000}">
      <text>
        <r>
          <rPr>
            <b/>
            <sz val="9"/>
            <rFont val="宋体"/>
            <charset val="134"/>
          </rPr>
          <t>Anita:</t>
        </r>
        <r>
          <rPr>
            <sz val="9"/>
            <rFont val="宋体"/>
            <charset val="134"/>
          </rPr>
          <t xml:space="preserve">
注明主要差异原因</t>
        </r>
      </text>
    </comment>
    <comment ref="AJ6" authorId="0" shapeId="0" xr:uid="{00000000-0006-0000-0700-000007000000}">
      <text>
        <r>
          <rPr>
            <b/>
            <sz val="9"/>
            <rFont val="宋体"/>
            <charset val="134"/>
          </rPr>
          <t>Anita:</t>
        </r>
        <r>
          <rPr>
            <sz val="9"/>
            <rFont val="宋体"/>
            <charset val="134"/>
          </rPr>
          <t xml:space="preserve">
注明主要差异原因</t>
        </r>
      </text>
    </comment>
    <comment ref="AO6" authorId="0" shapeId="0" xr:uid="{00000000-0006-0000-0700-000008000000}">
      <text>
        <r>
          <rPr>
            <b/>
            <sz val="9"/>
            <rFont val="宋体"/>
            <charset val="134"/>
          </rPr>
          <t>Anita:</t>
        </r>
        <r>
          <rPr>
            <sz val="9"/>
            <rFont val="宋体"/>
            <charset val="134"/>
          </rPr>
          <t xml:space="preserve">
注明主要差异原因</t>
        </r>
      </text>
    </comment>
    <comment ref="AT6" authorId="0" shapeId="0" xr:uid="{00000000-0006-0000-0700-000009000000}">
      <text>
        <r>
          <rPr>
            <b/>
            <sz val="9"/>
            <rFont val="宋体"/>
            <charset val="134"/>
          </rPr>
          <t>Anita:</t>
        </r>
        <r>
          <rPr>
            <sz val="9"/>
            <rFont val="宋体"/>
            <charset val="134"/>
          </rPr>
          <t xml:space="preserve">
注明主要差异原因</t>
        </r>
      </text>
    </comment>
    <comment ref="AY6" authorId="0" shapeId="0" xr:uid="{00000000-0006-0000-0700-00000A000000}">
      <text>
        <r>
          <rPr>
            <b/>
            <sz val="9"/>
            <rFont val="宋体"/>
            <charset val="134"/>
          </rPr>
          <t>Anita:</t>
        </r>
        <r>
          <rPr>
            <sz val="9"/>
            <rFont val="宋体"/>
            <charset val="134"/>
          </rPr>
          <t xml:space="preserve">
注明主要差异原因</t>
        </r>
      </text>
    </comment>
    <comment ref="BD6" authorId="0" shapeId="0" xr:uid="{00000000-0006-0000-0700-00000B000000}">
      <text>
        <r>
          <rPr>
            <b/>
            <sz val="9"/>
            <rFont val="宋体"/>
            <charset val="134"/>
          </rPr>
          <t>Anita:</t>
        </r>
        <r>
          <rPr>
            <sz val="9"/>
            <rFont val="宋体"/>
            <charset val="134"/>
          </rPr>
          <t xml:space="preserve">
注明主要差异原因</t>
        </r>
      </text>
    </comment>
    <comment ref="BI6" authorId="0" shapeId="0" xr:uid="{00000000-0006-0000-0700-00000C000000}">
      <text>
        <r>
          <rPr>
            <b/>
            <sz val="9"/>
            <rFont val="宋体"/>
            <charset val="134"/>
          </rPr>
          <t>Anita:</t>
        </r>
        <r>
          <rPr>
            <sz val="9"/>
            <rFont val="宋体"/>
            <charset val="134"/>
          </rPr>
          <t xml:space="preserve">
注明主要差异原因</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GuanghuaChen</author>
  </authors>
  <commentList>
    <comment ref="M179" authorId="0" shapeId="0" xr:uid="{00000000-0006-0000-0B00-000001000000}">
      <text>
        <r>
          <rPr>
            <b/>
            <sz val="9"/>
            <rFont val="宋体"/>
            <charset val="134"/>
          </rPr>
          <t>GuanghuaChen:</t>
        </r>
        <r>
          <rPr>
            <sz val="9"/>
            <rFont val="宋体"/>
            <charset val="134"/>
          </rPr>
          <t xml:space="preserve">
根据2025年的个税缴纳水平测算，2%的个税手续费返还（0331前申请）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GuanghuaChen</author>
  </authors>
  <commentList>
    <comment ref="M179" authorId="0" shapeId="0" xr:uid="{00000000-0006-0000-0C00-000001000000}">
      <text>
        <r>
          <rPr>
            <b/>
            <sz val="9"/>
            <rFont val="宋体"/>
            <charset val="134"/>
          </rPr>
          <t>GuanghuaChen:</t>
        </r>
        <r>
          <rPr>
            <sz val="9"/>
            <rFont val="宋体"/>
            <charset val="134"/>
          </rPr>
          <t xml:space="preserve">
按照25年度的个税缴纳水平测算
包括北京分公司</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GuanghuaChen</author>
  </authors>
  <commentList>
    <comment ref="K170" authorId="0" shapeId="0" xr:uid="{00000000-0006-0000-0E00-000001000000}">
      <text>
        <r>
          <rPr>
            <b/>
            <sz val="9"/>
            <rFont val="宋体"/>
            <charset val="134"/>
          </rPr>
          <t>GuanghuaChen:</t>
        </r>
        <r>
          <rPr>
            <sz val="9"/>
            <rFont val="宋体"/>
            <charset val="134"/>
          </rPr>
          <t xml:space="preserve">
假设2800万12月份借入计息</t>
        </r>
      </text>
    </comment>
    <comment ref="L170" authorId="0" shapeId="0" xr:uid="{00000000-0006-0000-0E00-000002000000}">
      <text>
        <r>
          <rPr>
            <b/>
            <sz val="9"/>
            <rFont val="宋体"/>
            <charset val="134"/>
          </rPr>
          <t>GuanghuaChen:</t>
        </r>
        <r>
          <rPr>
            <sz val="9"/>
            <rFont val="宋体"/>
            <charset val="134"/>
          </rPr>
          <t xml:space="preserve">
假设2800万12月份借入计息</t>
        </r>
      </text>
    </comment>
    <comment ref="M170" authorId="0" shapeId="0" xr:uid="{00000000-0006-0000-0E00-000003000000}">
      <text>
        <r>
          <rPr>
            <b/>
            <sz val="9"/>
            <rFont val="宋体"/>
            <charset val="134"/>
          </rPr>
          <t>GuanghuaChen:</t>
        </r>
        <r>
          <rPr>
            <sz val="9"/>
            <rFont val="宋体"/>
            <charset val="134"/>
          </rPr>
          <t xml:space="preserve">
假设2800万12月份借入计息</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GuanghuaChen</author>
  </authors>
  <commentList>
    <comment ref="G15" authorId="0" shapeId="0" xr:uid="{00000000-0006-0000-1500-000001000000}">
      <text>
        <r>
          <rPr>
            <b/>
            <sz val="9"/>
            <rFont val="宋体"/>
            <charset val="134"/>
          </rPr>
          <t>GuanghuaChen:</t>
        </r>
        <r>
          <rPr>
            <sz val="9"/>
            <rFont val="宋体"/>
            <charset val="134"/>
          </rPr>
          <t xml:space="preserve">
0331申请个税手续费返还（2%）</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Emily Lo</author>
  </authors>
  <commentList>
    <comment ref="G23" authorId="0" shapeId="0" xr:uid="{00000000-0006-0000-1600-000001000000}">
      <text>
        <r>
          <rPr>
            <b/>
            <sz val="9"/>
            <rFont val="Tahoma"/>
            <family val="2"/>
          </rPr>
          <t>Emily Lo:</t>
        </r>
        <r>
          <rPr>
            <sz val="9"/>
            <rFont val="Tahoma"/>
            <family val="2"/>
          </rPr>
          <t xml:space="preserve">
medical insurance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Emily Lo</author>
    <author>GuanghuaChen</author>
  </authors>
  <commentList>
    <comment ref="G23" authorId="0" shapeId="0" xr:uid="{00000000-0006-0000-1700-000001000000}">
      <text>
        <r>
          <rPr>
            <b/>
            <sz val="9"/>
            <rFont val="Tahoma"/>
            <family val="2"/>
          </rPr>
          <t>Emily Lo:</t>
        </r>
        <r>
          <rPr>
            <sz val="9"/>
            <rFont val="Tahoma"/>
            <family val="2"/>
          </rPr>
          <t xml:space="preserve">
medical insurance</t>
        </r>
      </text>
    </comment>
    <comment ref="H32" authorId="1" shapeId="0" xr:uid="{00000000-0006-0000-1700-000002000000}">
      <text>
        <r>
          <rPr>
            <b/>
            <sz val="9"/>
            <rFont val="宋体"/>
            <charset val="134"/>
          </rPr>
          <t>GuanghuaChen:</t>
        </r>
        <r>
          <rPr>
            <sz val="9"/>
            <rFont val="宋体"/>
            <charset val="134"/>
          </rPr>
          <t xml:space="preserve">
收到ACPLGZ减资款</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GuanghuaChen</author>
  </authors>
  <commentList>
    <comment ref="G15" authorId="0" shapeId="0" xr:uid="{00000000-0006-0000-1800-000001000000}">
      <text>
        <r>
          <rPr>
            <b/>
            <sz val="9"/>
            <rFont val="宋体"/>
            <charset val="134"/>
          </rPr>
          <t>GuanghuaChen:</t>
        </r>
        <r>
          <rPr>
            <sz val="9"/>
            <rFont val="宋体"/>
            <charset val="134"/>
          </rPr>
          <t xml:space="preserve">
个税手续费返还</t>
        </r>
      </text>
    </comment>
    <comment ref="A24" authorId="0" shapeId="0" xr:uid="{00000000-0006-0000-1800-000002000000}">
      <text>
        <r>
          <rPr>
            <b/>
            <sz val="9"/>
            <rFont val="宋体"/>
            <charset val="134"/>
          </rPr>
          <t>GuanghuaChen:</t>
        </r>
        <r>
          <rPr>
            <sz val="9"/>
            <rFont val="宋体"/>
            <charset val="134"/>
          </rPr>
          <t xml:space="preserve">
按季度，季度初付款</t>
        </r>
      </text>
    </comment>
    <comment ref="H32" authorId="0" shapeId="0" xr:uid="{00000000-0006-0000-1800-000003000000}">
      <text>
        <r>
          <rPr>
            <b/>
            <sz val="9"/>
            <rFont val="宋体"/>
            <charset val="134"/>
          </rPr>
          <t>GuanghuaChen:</t>
        </r>
        <r>
          <rPr>
            <sz val="9"/>
            <rFont val="宋体"/>
            <charset val="134"/>
          </rPr>
          <t xml:space="preserve">
收到宜兴旭智归还借款后剩余减资款</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GuanghuaChen</author>
  </authors>
  <commentList>
    <comment ref="G15" authorId="0" shapeId="0" xr:uid="{00000000-0006-0000-1900-000001000000}">
      <text>
        <r>
          <rPr>
            <b/>
            <sz val="9"/>
            <rFont val="宋体"/>
            <charset val="134"/>
          </rPr>
          <t>GuanghuaChen:</t>
        </r>
        <r>
          <rPr>
            <sz val="9"/>
            <rFont val="宋体"/>
            <charset val="134"/>
          </rPr>
          <t xml:space="preserve">
个税手续费返还，根据25年的个税金额测算</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GuanghuaChen</author>
  </authors>
  <commentList>
    <comment ref="H51" authorId="0" shapeId="0" xr:uid="{00000000-0006-0000-1A00-000001000000}">
      <text>
        <r>
          <rPr>
            <b/>
            <sz val="9"/>
            <rFont val="宋体"/>
            <charset val="134"/>
          </rPr>
          <t>GuanghuaChen:</t>
        </r>
        <r>
          <rPr>
            <sz val="9"/>
            <rFont val="宋体"/>
            <charset val="134"/>
          </rPr>
          <t xml:space="preserve">
注册地址费用5000元
收到宜兴旭智分配款后归还ACPLHK减资款</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GuanghuaChen</author>
  </authors>
  <commentList>
    <comment ref="G49" authorId="0" shapeId="0" xr:uid="{00000000-0006-0000-1B00-000001000000}">
      <text>
        <r>
          <rPr>
            <b/>
            <sz val="9"/>
            <rFont val="宋体"/>
            <charset val="134"/>
          </rPr>
          <t>GuanghuaChen:</t>
        </r>
        <r>
          <rPr>
            <sz val="9"/>
            <rFont val="宋体"/>
            <charset val="134"/>
          </rPr>
          <t xml:space="preserve">
归还和谐天明借款</t>
        </r>
      </text>
    </comment>
    <comment ref="G50" authorId="0" shapeId="0" xr:uid="{00000000-0006-0000-1B00-000002000000}">
      <text>
        <r>
          <rPr>
            <b/>
            <sz val="9"/>
            <rFont val="宋体"/>
            <charset val="134"/>
          </rPr>
          <t>GuanghuaChen:</t>
        </r>
        <r>
          <rPr>
            <sz val="9"/>
            <rFont val="宋体"/>
            <charset val="134"/>
          </rPr>
          <t xml:space="preserve">
归还和谐天明借款利息
360万（202508起借，按202603截止计息）
2800万（202512起借，按202603截止计息）</t>
        </r>
      </text>
    </comment>
    <comment ref="H51" authorId="0" shapeId="0" xr:uid="{00000000-0006-0000-1B00-000003000000}">
      <text>
        <r>
          <rPr>
            <b/>
            <sz val="9"/>
            <rFont val="宋体"/>
            <charset val="134"/>
          </rPr>
          <t>GuanghuaChen:</t>
        </r>
        <r>
          <rPr>
            <sz val="9"/>
            <rFont val="宋体"/>
            <charset val="134"/>
          </rPr>
          <t xml:space="preserve">
归还借款后剩余资金归还ACPLGZ及ACPLSZ
留存部分资金清算用</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Emily Lo</author>
    <author>GuanghuaChen</author>
  </authors>
  <commentList>
    <comment ref="K31" authorId="0" shapeId="0" xr:uid="{00000000-0006-0000-1C00-000001000000}">
      <text>
        <r>
          <rPr>
            <b/>
            <sz val="9"/>
            <rFont val="Tahoma"/>
            <family val="2"/>
          </rPr>
          <t>Emily Lo:</t>
        </r>
        <r>
          <rPr>
            <sz val="9"/>
            <rFont val="Tahoma"/>
            <family val="2"/>
          </rPr>
          <t xml:space="preserve">
租约截止2026.11.30，其中10.1. - 11.30 两个月免租
</t>
        </r>
        <r>
          <rPr>
            <b/>
            <sz val="9"/>
            <rFont val="Tahoma"/>
            <family val="2"/>
          </rPr>
          <t xml:space="preserve">Guanghua Chen:
</t>
        </r>
        <r>
          <rPr>
            <sz val="9"/>
            <rFont val="Tahoma"/>
            <family val="2"/>
          </rPr>
          <t>PL计入使用权资产折旧与利息费用</t>
        </r>
      </text>
    </comment>
    <comment ref="Z31" authorId="0" shapeId="0" xr:uid="{00000000-0006-0000-1C00-000002000000}">
      <text>
        <r>
          <rPr>
            <b/>
            <sz val="9"/>
            <rFont val="Tahoma"/>
            <family val="2"/>
          </rPr>
          <t>Emily Lo:</t>
        </r>
        <r>
          <rPr>
            <sz val="9"/>
            <rFont val="Tahoma"/>
            <family val="2"/>
          </rPr>
          <t xml:space="preserve">
HARDCODE</t>
        </r>
      </text>
    </comment>
    <comment ref="AM31" authorId="0" shapeId="0" xr:uid="{F194EE5B-E9FC-404D-9834-9C117D70798B}">
      <text>
        <r>
          <rPr>
            <b/>
            <sz val="9"/>
            <rFont val="Tahoma"/>
            <family val="2"/>
          </rPr>
          <t>Emily Lo:</t>
        </r>
        <r>
          <rPr>
            <sz val="9"/>
            <rFont val="Tahoma"/>
            <family val="2"/>
          </rPr>
          <t xml:space="preserve">
HARDCODE</t>
        </r>
      </text>
    </comment>
    <comment ref="K62" authorId="1" shapeId="0" xr:uid="{00000000-0006-0000-1C00-000003000000}">
      <text>
        <r>
          <rPr>
            <b/>
            <sz val="9"/>
            <rFont val="宋体"/>
            <charset val="134"/>
          </rPr>
          <t>GuanghuaChen:</t>
        </r>
        <r>
          <rPr>
            <sz val="9"/>
            <rFont val="宋体"/>
            <charset val="134"/>
          </rPr>
          <t xml:space="preserve">
注册地址租金</t>
        </r>
      </text>
    </comment>
    <comment ref="K67" authorId="1" shapeId="0" xr:uid="{00000000-0006-0000-1C00-000004000000}">
      <text>
        <r>
          <rPr>
            <b/>
            <sz val="9"/>
            <rFont val="宋体"/>
            <charset val="134"/>
          </rPr>
          <t>GuanghuaChen:</t>
        </r>
        <r>
          <rPr>
            <sz val="9"/>
            <rFont val="宋体"/>
            <charset val="134"/>
          </rPr>
          <t xml:space="preserve">
2025年电信套餐已换，59元/月</t>
        </r>
      </text>
    </comment>
    <comment ref="K68" authorId="1" shapeId="0" xr:uid="{00000000-0006-0000-1C00-000005000000}">
      <text>
        <r>
          <rPr>
            <b/>
            <sz val="9"/>
            <rFont val="宋体"/>
            <charset val="134"/>
          </rPr>
          <t>GuanghuaChen:</t>
        </r>
        <r>
          <rPr>
            <sz val="9"/>
            <rFont val="宋体"/>
            <charset val="134"/>
          </rPr>
          <t xml:space="preserve">
按制度200元/人/月计，咨询员工现8+2（IDG)+7(预计新增:法务，基金会计，项目公司会计，运营，经办，区域经营技术总监，区域副总）计</t>
        </r>
      </text>
    </comment>
    <comment ref="K70" authorId="1" shapeId="0" xr:uid="{00000000-0006-0000-1C00-000006000000}">
      <text>
        <r>
          <rPr>
            <b/>
            <sz val="9"/>
            <rFont val="宋体"/>
            <charset val="134"/>
          </rPr>
          <t>GuanghuaChen:</t>
        </r>
        <r>
          <rPr>
            <sz val="9"/>
            <rFont val="宋体"/>
            <charset val="134"/>
          </rPr>
          <t xml:space="preserve">
员工腾讯会议会员费
按100元/月*3个账号计</t>
        </r>
      </text>
    </comment>
    <comment ref="K71" authorId="1" shapeId="0" xr:uid="{00000000-0006-0000-1C00-000007000000}">
      <text>
        <r>
          <rPr>
            <b/>
            <sz val="9"/>
            <rFont val="宋体"/>
            <charset val="134"/>
          </rPr>
          <t>GuanghuaChen:</t>
        </r>
        <r>
          <rPr>
            <sz val="9"/>
            <rFont val="宋体"/>
            <charset val="134"/>
          </rPr>
          <t xml:space="preserve">
8个工位（1500元/月），3间办公室（3000元/月）
IDG以服务费的形式收取，故PL中放在6602.04.13</t>
        </r>
      </text>
    </comment>
    <comment ref="K72" authorId="0" shapeId="0" xr:uid="{00000000-0006-0000-1C00-000008000000}">
      <text>
        <r>
          <rPr>
            <b/>
            <sz val="9"/>
            <rFont val="Tahoma"/>
            <family val="2"/>
          </rPr>
          <t>Emily Lo:</t>
        </r>
        <r>
          <rPr>
            <sz val="9"/>
            <rFont val="Tahoma"/>
            <family val="2"/>
          </rPr>
          <t xml:space="preserve">
470.88/平米/月
11.5平米/工位
2025年6个工位，2026年增加2个</t>
        </r>
      </text>
    </comment>
    <comment ref="K89" authorId="1" shapeId="0" xr:uid="{00000000-0006-0000-1C00-000009000000}">
      <text>
        <r>
          <rPr>
            <b/>
            <sz val="9"/>
            <rFont val="宋体"/>
            <charset val="134"/>
          </rPr>
          <t>GuanghuaChen:</t>
        </r>
        <r>
          <rPr>
            <sz val="9"/>
            <rFont val="宋体"/>
            <charset val="134"/>
          </rPr>
          <t xml:space="preserve">
按制度200元/人/月，私募员工6人</t>
        </r>
      </text>
    </comment>
    <comment ref="K92" authorId="1" shapeId="0" xr:uid="{00000000-0006-0000-1C00-00000A000000}">
      <text>
        <r>
          <rPr>
            <b/>
            <sz val="9"/>
            <rFont val="宋体"/>
            <charset val="134"/>
          </rPr>
          <t>GuanghuaChen:</t>
        </r>
        <r>
          <rPr>
            <sz val="9"/>
            <rFont val="宋体"/>
            <charset val="134"/>
          </rPr>
          <t xml:space="preserve">
前海壹号2025.12月续期，还是按原租金6666.6元签署协议，(到时候提前中止租期扣除2个月的押金）
但2026中旬考虑到前海补贴的申请，需要换100平的办公地点，按照现在的市场价格，100平左右的租金+管理费约1.65万/月</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GuanghuaChen</author>
  </authors>
  <commentList>
    <comment ref="K3" authorId="0" shapeId="0" xr:uid="{00000000-0006-0000-1D00-000001000000}">
      <text>
        <r>
          <rPr>
            <b/>
            <sz val="9"/>
            <rFont val="宋体"/>
            <charset val="134"/>
          </rPr>
          <t>GuanghuaChen:</t>
        </r>
        <r>
          <rPr>
            <sz val="9"/>
            <rFont val="宋体"/>
            <charset val="134"/>
          </rPr>
          <t xml:space="preserve">
按照2025年的情况（按出差3天计）
高铁票：约1000元/往返
住宿费：500元/晚
餐费：200元/天（制度限额）
打车费：100元/天</t>
        </r>
      </text>
    </comment>
    <comment ref="M3" authorId="0" shapeId="0" xr:uid="{00000000-0006-0000-1D00-000002000000}">
      <text>
        <r>
          <rPr>
            <b/>
            <sz val="9"/>
            <rFont val="宋体"/>
            <charset val="134"/>
          </rPr>
          <t>GuanghuaChen:</t>
        </r>
        <r>
          <rPr>
            <sz val="9"/>
            <rFont val="宋体"/>
            <charset val="134"/>
          </rPr>
          <t xml:space="preserve">
按照2025年的情况（按出差3-5天计）
机票：约2000元/往返
住宿：约1000元/天
餐费：200元/天（制度限额）
打车费：100元/天</t>
        </r>
      </text>
    </comment>
    <comment ref="B33" authorId="0" shapeId="0" xr:uid="{00000000-0006-0000-1D00-000003000000}">
      <text>
        <r>
          <rPr>
            <b/>
            <sz val="9"/>
            <rFont val="宋体"/>
            <charset val="134"/>
          </rPr>
          <t>GuanghuaChen:</t>
        </r>
        <r>
          <rPr>
            <sz val="9"/>
            <rFont val="宋体"/>
            <charset val="134"/>
          </rPr>
          <t xml:space="preserve">
新入职员工待确认劳动关系归属</t>
        </r>
      </text>
    </comment>
    <comment ref="B38" authorId="0" shapeId="0" xr:uid="{00000000-0006-0000-1D00-000004000000}">
      <text>
        <r>
          <rPr>
            <b/>
            <sz val="9"/>
            <rFont val="宋体"/>
            <charset val="134"/>
          </rPr>
          <t>GuanghuaChen:</t>
        </r>
        <r>
          <rPr>
            <sz val="9"/>
            <rFont val="宋体"/>
            <charset val="134"/>
          </rPr>
          <t xml:space="preserve">
灿博的劳动关系2026年是否会发生变化？？</t>
        </r>
      </text>
    </comment>
    <comment ref="J82" authorId="0" shapeId="0" xr:uid="{00000000-0006-0000-1D00-000005000000}">
      <text>
        <r>
          <rPr>
            <b/>
            <sz val="9"/>
            <rFont val="宋体"/>
            <charset val="134"/>
          </rPr>
          <t>GuanghuaChen:</t>
        </r>
        <r>
          <rPr>
            <sz val="9"/>
            <rFont val="宋体"/>
            <charset val="134"/>
          </rPr>
          <t xml:space="preserve">
因工商和银行事项需要前往广州出差费用</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Emily Lo</author>
    <author>GuanghuaChen</author>
  </authors>
  <commentList>
    <comment ref="AB8" authorId="0" shapeId="0" xr:uid="{00000000-0006-0000-1E00-000001000000}">
      <text>
        <r>
          <rPr>
            <b/>
            <sz val="9"/>
            <rFont val="Tahoma"/>
            <family val="2"/>
          </rPr>
          <t>Emily Lo:</t>
        </r>
        <r>
          <rPr>
            <sz val="9"/>
            <rFont val="Tahoma"/>
            <family val="2"/>
          </rPr>
          <t xml:space="preserve">
ACPL, RS, SE, NE</t>
        </r>
      </text>
    </comment>
    <comment ref="AB10" authorId="0" shapeId="0" xr:uid="{00000000-0006-0000-1E00-000002000000}">
      <text>
        <r>
          <rPr>
            <b/>
            <sz val="9"/>
            <rFont val="Tahoma"/>
            <family val="2"/>
          </rPr>
          <t>Emily Lo:</t>
        </r>
        <r>
          <rPr>
            <sz val="9"/>
            <rFont val="Tahoma"/>
            <family val="2"/>
          </rPr>
          <t xml:space="preserve">
20k each for sustainable energy, rising son, new energy</t>
        </r>
      </text>
    </comment>
    <comment ref="AB11" authorId="0" shapeId="0" xr:uid="{00000000-0006-0000-1E00-000003000000}">
      <text>
        <r>
          <rPr>
            <b/>
            <sz val="9"/>
            <rFont val="Tahoma"/>
            <family val="2"/>
          </rPr>
          <t>Emily Lo:</t>
        </r>
        <r>
          <rPr>
            <sz val="9"/>
            <rFont val="Tahoma"/>
            <family val="2"/>
          </rPr>
          <t xml:space="preserve">
2024: 219000 ACPL
12K for 3 comp each: RS, SE, NE
</t>
        </r>
      </text>
    </comment>
    <comment ref="AB15" authorId="0" shapeId="0" xr:uid="{00000000-0006-0000-1E00-000004000000}">
      <text>
        <r>
          <rPr>
            <b/>
            <sz val="9"/>
            <rFont val="Tahoma"/>
            <family val="2"/>
          </rPr>
          <t>Emily Lo:</t>
        </r>
        <r>
          <rPr>
            <sz val="9"/>
            <rFont val="Tahoma"/>
            <family val="2"/>
          </rPr>
          <t xml:space="preserve">
ACPL + ACPLHK as a whole:
IT helpdesk support: 180k 
M365: 144K
Storage: 150k
Total: 474k</t>
        </r>
      </text>
    </comment>
    <comment ref="J21" authorId="0" shapeId="0" xr:uid="{00000000-0006-0000-1E00-000005000000}">
      <text>
        <r>
          <rPr>
            <b/>
            <sz val="9"/>
            <rFont val="Tahoma"/>
            <family val="2"/>
          </rPr>
          <t>Emily Lo:</t>
        </r>
        <r>
          <rPr>
            <sz val="9"/>
            <rFont val="Tahoma"/>
            <family val="2"/>
          </rPr>
          <t xml:space="preserve">
KWM on staff co-invest scheme</t>
        </r>
      </text>
    </comment>
    <comment ref="AB32" authorId="0" shapeId="0" xr:uid="{00000000-0006-0000-1E00-000006000000}">
      <text>
        <r>
          <rPr>
            <b/>
            <sz val="9"/>
            <rFont val="Tahoma"/>
            <family val="2"/>
          </rPr>
          <t>Emily Lo:</t>
        </r>
        <r>
          <rPr>
            <sz val="9"/>
            <rFont val="Tahoma"/>
            <family val="2"/>
          </rPr>
          <t xml:space="preserve">
2024: 206000</t>
        </r>
      </text>
    </comment>
    <comment ref="J48" authorId="0" shapeId="0" xr:uid="{00000000-0006-0000-1E00-000007000000}">
      <text>
        <r>
          <rPr>
            <b/>
            <sz val="9"/>
            <rFont val="Tahoma"/>
            <family val="2"/>
          </rPr>
          <t>Emily Lo:</t>
        </r>
        <r>
          <rPr>
            <sz val="9"/>
            <rFont val="Tahoma"/>
            <family val="2"/>
          </rPr>
          <t xml:space="preserve">
6.77% VAT and 附加税
按照每月账单的显示，账务处理+报税为5000元/月</t>
        </r>
      </text>
    </comment>
    <comment ref="L48" authorId="1" shapeId="0" xr:uid="{00000000-0006-0000-1E00-000008000000}">
      <text>
        <r>
          <rPr>
            <b/>
            <sz val="9"/>
            <rFont val="宋体"/>
            <charset val="134"/>
          </rPr>
          <t>GuanghuaChen:</t>
        </r>
        <r>
          <rPr>
            <sz val="9"/>
            <rFont val="宋体"/>
            <charset val="134"/>
          </rPr>
          <t xml:space="preserve">
卓佳的账务处理期间至2025.06月份</t>
        </r>
      </text>
    </comment>
    <comment ref="AD48" authorId="1" shapeId="0" xr:uid="{00000000-0006-0000-1E00-000009000000}">
      <text>
        <r>
          <rPr>
            <b/>
            <sz val="9"/>
            <rFont val="宋体"/>
            <charset val="134"/>
          </rPr>
          <t>GuanghuaChen:</t>
        </r>
        <r>
          <rPr>
            <sz val="9"/>
            <rFont val="宋体"/>
            <charset val="134"/>
          </rPr>
          <t xml:space="preserve">
卓佳的账务处理期间至2025.06月份</t>
        </r>
      </text>
    </comment>
    <comment ref="J50" authorId="1" shapeId="0" xr:uid="{00000000-0006-0000-1E00-00000A000000}">
      <text>
        <r>
          <rPr>
            <b/>
            <sz val="9"/>
            <rFont val="宋体"/>
            <charset val="134"/>
          </rPr>
          <t>GuanghuaChen:</t>
        </r>
        <r>
          <rPr>
            <sz val="9"/>
            <rFont val="宋体"/>
            <charset val="134"/>
          </rPr>
          <t xml:space="preserve">
由于后续ACPLGZ的账务较为简单，没有请外部税审</t>
        </r>
      </text>
    </comment>
    <comment ref="AB52" authorId="1" shapeId="0" xr:uid="{00000000-0006-0000-1E00-00000B000000}">
      <text>
        <r>
          <rPr>
            <b/>
            <sz val="9"/>
            <rFont val="宋体"/>
            <charset val="134"/>
          </rPr>
          <t>GuanghuaChen:</t>
        </r>
        <r>
          <rPr>
            <sz val="9"/>
            <rFont val="宋体"/>
            <charset val="134"/>
          </rPr>
          <t xml:space="preserve">
PWC报价</t>
        </r>
      </text>
    </comment>
    <comment ref="J53" authorId="0" shapeId="0" xr:uid="{00000000-0006-0000-1E00-00000C000000}">
      <text>
        <r>
          <rPr>
            <b/>
            <sz val="9"/>
            <rFont val="Tahoma"/>
            <family val="2"/>
          </rPr>
          <t>Emily Lo:</t>
        </r>
        <r>
          <rPr>
            <sz val="9"/>
            <rFont val="Tahoma"/>
            <family val="2"/>
          </rPr>
          <t xml:space="preserve">
5% disbursements
</t>
        </r>
      </text>
    </comment>
    <comment ref="AB53" authorId="0" shapeId="0" xr:uid="{00000000-0006-0000-1E00-00000D000000}">
      <text>
        <r>
          <rPr>
            <b/>
            <sz val="9"/>
            <rFont val="Tahoma"/>
            <family val="2"/>
          </rPr>
          <t>Emily Lo:</t>
        </r>
        <r>
          <rPr>
            <sz val="9"/>
            <rFont val="Tahoma"/>
            <family val="2"/>
          </rPr>
          <t xml:space="preserve">
5% disbursements
按照25年的付款，加入了6%增值税</t>
        </r>
      </text>
    </comment>
    <comment ref="J69" authorId="0" shapeId="0" xr:uid="{00000000-0006-0000-1E00-00000E000000}">
      <text>
        <r>
          <rPr>
            <sz val="9"/>
            <rFont val="Tahoma"/>
            <family val="2"/>
          </rPr>
          <t>IDG何老师从2025.08月份起按10000元/月计</t>
        </r>
      </text>
    </comment>
    <comment ref="AB69" authorId="0" shapeId="0" xr:uid="{00000000-0006-0000-1E00-00000F000000}">
      <text>
        <r>
          <rPr>
            <sz val="9"/>
            <rFont val="Tahoma"/>
            <family val="2"/>
          </rPr>
          <t>IDG何老师从2026.01月份起按13000元/月计</t>
        </r>
      </text>
    </comment>
    <comment ref="T72" authorId="1" shapeId="0" xr:uid="{00000000-0006-0000-1E00-000010000000}">
      <text>
        <r>
          <rPr>
            <b/>
            <sz val="9"/>
            <rFont val="宋体"/>
            <charset val="134"/>
          </rPr>
          <t>GuanghuaChen:</t>
        </r>
        <r>
          <rPr>
            <sz val="9"/>
            <rFont val="宋体"/>
            <charset val="134"/>
          </rPr>
          <t xml:space="preserve">
GuanghuaChen:
北京分公司的服务费至202506
人事代理管理费异地各城市：200元/人/月；若员工不足3人的，服务费为：500元/人/月
</t>
        </r>
      </text>
    </comment>
    <comment ref="AB72" authorId="1" shapeId="0" xr:uid="{00000000-0006-0000-1E00-000011000000}">
      <text>
        <r>
          <rPr>
            <b/>
            <sz val="9"/>
            <rFont val="宋体"/>
            <charset val="134"/>
          </rPr>
          <t>GuanghuaChen:</t>
        </r>
        <r>
          <rPr>
            <sz val="9"/>
            <rFont val="宋体"/>
            <charset val="134"/>
          </rPr>
          <t xml:space="preserve">
人事代理管理费异地各城市：200元/人/月；若员工不足3人的，服务费为：500元/人/月</t>
        </r>
      </text>
    </comment>
    <comment ref="J73" authorId="1" shapeId="0" xr:uid="{00000000-0006-0000-1E00-000012000000}">
      <text>
        <r>
          <rPr>
            <b/>
            <sz val="9"/>
            <rFont val="宋体"/>
            <charset val="134"/>
          </rPr>
          <t>GuanghuaChen:</t>
        </r>
        <r>
          <rPr>
            <sz val="9"/>
            <rFont val="宋体"/>
            <charset val="134"/>
          </rPr>
          <t xml:space="preserve">
没有涨价</t>
        </r>
      </text>
    </comment>
    <comment ref="AB74" authorId="1" shapeId="0" xr:uid="{00000000-0006-0000-1E00-000013000000}">
      <text>
        <r>
          <rPr>
            <b/>
            <sz val="9"/>
            <rFont val="宋体"/>
            <charset val="134"/>
          </rPr>
          <t>GuanghuaChen:</t>
        </r>
        <r>
          <rPr>
            <sz val="9"/>
            <rFont val="宋体"/>
            <charset val="134"/>
          </rPr>
          <t xml:space="preserve">
含增值税金额
budget 25% increment due to the staff co-invest scheme</t>
        </r>
      </text>
    </comment>
    <comment ref="AB77" authorId="0" shapeId="0" xr:uid="{00000000-0006-0000-1E00-000014000000}">
      <text>
        <r>
          <rPr>
            <b/>
            <sz val="9"/>
            <rFont val="Tahoma"/>
            <family val="2"/>
          </rPr>
          <t>Emily Lo:</t>
        </r>
        <r>
          <rPr>
            <sz val="9"/>
            <rFont val="Tahoma"/>
            <family val="2"/>
          </rPr>
          <t xml:space="preserve">
风资源工程师猎头费
电力交易员猎头费
法务猎头费</t>
        </r>
      </text>
    </comment>
    <comment ref="J83" authorId="1" shapeId="0" xr:uid="{00000000-0006-0000-1E00-000015000000}">
      <text>
        <r>
          <rPr>
            <b/>
            <sz val="9"/>
            <rFont val="宋体"/>
            <charset val="134"/>
          </rPr>
          <t>GuanghuaChen:</t>
        </r>
        <r>
          <rPr>
            <sz val="9"/>
            <rFont val="宋体"/>
            <charset val="134"/>
          </rPr>
          <t xml:space="preserve">
浠水55k
芋荷鸭160k</t>
        </r>
      </text>
    </comment>
    <comment ref="Q83" authorId="1" shapeId="0" xr:uid="{00000000-0006-0000-1E00-000016000000}">
      <text>
        <r>
          <rPr>
            <b/>
            <sz val="9"/>
            <rFont val="宋体"/>
            <charset val="134"/>
          </rPr>
          <t>GuanghuaChen:</t>
        </r>
        <r>
          <rPr>
            <sz val="9"/>
            <rFont val="宋体"/>
            <charset val="134"/>
          </rPr>
          <t xml:space="preserve">
付浠水项目技术服务费尾款</t>
        </r>
      </text>
    </comment>
    <comment ref="T83" authorId="1" shapeId="0" xr:uid="{00000000-0006-0000-1E00-000017000000}">
      <text>
        <r>
          <rPr>
            <b/>
            <sz val="9"/>
            <rFont val="宋体"/>
            <charset val="134"/>
          </rPr>
          <t>GuanghuaChen:</t>
        </r>
        <r>
          <rPr>
            <sz val="9"/>
            <rFont val="宋体"/>
            <charset val="134"/>
          </rPr>
          <t xml:space="preserve">
芋荷鸭项目尽调费用</t>
        </r>
      </text>
    </comment>
    <comment ref="AB83" authorId="1" shapeId="0" xr:uid="{00000000-0006-0000-1E00-000018000000}">
      <text>
        <r>
          <rPr>
            <b/>
            <sz val="9"/>
            <rFont val="宋体"/>
            <charset val="134"/>
          </rPr>
          <t>GuanghuaChen:</t>
        </r>
        <r>
          <rPr>
            <sz val="9"/>
            <rFont val="宋体"/>
            <charset val="134"/>
          </rPr>
          <t xml:space="preserve">
26年后项目的尽调费用直接由富能承担</t>
        </r>
      </text>
    </comment>
    <comment ref="P84" authorId="1" shapeId="0" xr:uid="{00000000-0006-0000-1E00-000019000000}">
      <text>
        <r>
          <rPr>
            <b/>
            <sz val="9"/>
            <rFont val="宋体"/>
            <charset val="134"/>
          </rPr>
          <t>GuanghuaChen:</t>
        </r>
        <r>
          <rPr>
            <sz val="9"/>
            <rFont val="宋体"/>
            <charset val="134"/>
          </rPr>
          <t xml:space="preserve">
已支付</t>
        </r>
      </text>
    </comment>
    <comment ref="V84" authorId="0" shapeId="0" xr:uid="{00000000-0006-0000-1E00-00001A000000}">
      <text>
        <r>
          <rPr>
            <b/>
            <sz val="9"/>
            <rFont val="Tahoma"/>
            <family val="2"/>
          </rPr>
          <t>Emily Lo:</t>
        </r>
        <r>
          <rPr>
            <sz val="9"/>
            <rFont val="Tahoma"/>
            <family val="2"/>
          </rPr>
          <t xml:space="preserve">
激励对赌协议</t>
        </r>
      </text>
    </comment>
    <comment ref="AB84" authorId="0" shapeId="0" xr:uid="{00000000-0006-0000-1E00-00001B000000}">
      <text>
        <r>
          <rPr>
            <b/>
            <sz val="9"/>
            <rFont val="Tahoma"/>
            <family val="2"/>
          </rPr>
          <t>Emily Lo:</t>
        </r>
        <r>
          <rPr>
            <sz val="9"/>
            <rFont val="Tahoma"/>
            <family val="2"/>
          </rPr>
          <t xml:space="preserve">
hankun 80k incurred</t>
        </r>
      </text>
    </comment>
    <comment ref="J93" authorId="1" shapeId="0" xr:uid="{00000000-0006-0000-1E00-00001C000000}">
      <text>
        <r>
          <rPr>
            <b/>
            <sz val="9"/>
            <rFont val="宋体"/>
            <charset val="134"/>
          </rPr>
          <t>GuanghuaChen:</t>
        </r>
        <r>
          <rPr>
            <sz val="9"/>
            <rFont val="宋体"/>
            <charset val="134"/>
          </rPr>
          <t xml:space="preserve">
爱文收费：2人以上收取200元/人的服务费，私募人员目前稳定为7人</t>
        </r>
      </text>
    </comment>
    <comment ref="J94" authorId="1" shapeId="0" xr:uid="{00000000-0006-0000-1E00-00001D000000}">
      <text>
        <r>
          <rPr>
            <b/>
            <sz val="9"/>
            <rFont val="宋体"/>
            <charset val="134"/>
          </rPr>
          <t>GuanghuaChen:</t>
        </r>
        <r>
          <rPr>
            <sz val="9"/>
            <rFont val="宋体"/>
            <charset val="134"/>
          </rPr>
          <t xml:space="preserve">
私募无须支付地址挂靠费
1800元为支付代理工商变更费用</t>
        </r>
      </text>
    </comment>
    <comment ref="J95" authorId="0" shapeId="0" xr:uid="{00000000-0006-0000-1E00-00001E000000}">
      <text>
        <r>
          <rPr>
            <b/>
            <sz val="9"/>
            <rFont val="Tahoma"/>
            <family val="2"/>
          </rPr>
          <t>Emily Lo:</t>
        </r>
        <r>
          <rPr>
            <sz val="9"/>
            <rFont val="Tahoma"/>
            <family val="2"/>
          </rPr>
          <t xml:space="preserve">
5% disbursements</t>
        </r>
      </text>
    </comment>
    <comment ref="AB95" authorId="0" shapeId="0" xr:uid="{00000000-0006-0000-1E00-00001F000000}">
      <text>
        <r>
          <rPr>
            <b/>
            <sz val="9"/>
            <rFont val="Tahoma"/>
            <family val="2"/>
          </rPr>
          <t>Emily Lo:</t>
        </r>
        <r>
          <rPr>
            <sz val="9"/>
            <rFont val="Tahoma"/>
            <family val="2"/>
          </rPr>
          <t xml:space="preserve">
5% disbursements
6%为增值税税率</t>
        </r>
      </text>
    </comment>
    <comment ref="J105" authorId="0" shapeId="0" xr:uid="{00000000-0006-0000-1E00-000020000000}">
      <text>
        <r>
          <rPr>
            <b/>
            <sz val="9"/>
            <rFont val="Tahoma"/>
            <family val="2"/>
          </rPr>
          <t>Emily Lo:</t>
        </r>
        <r>
          <rPr>
            <sz val="9"/>
            <rFont val="Tahoma"/>
            <family val="2"/>
          </rPr>
          <t xml:space="preserve">
Fangda RMB Fund II fundraising - Invoice received 
广华：2025年上半年度未支付，故日期修改为12月</t>
        </r>
      </text>
    </comment>
    <comment ref="AB105" authorId="0" shapeId="0" xr:uid="{00000000-0006-0000-1E00-000021000000}">
      <text>
        <r>
          <rPr>
            <b/>
            <sz val="9"/>
            <rFont val="Tahoma"/>
            <family val="2"/>
          </rPr>
          <t>Emily Lo:</t>
        </r>
        <r>
          <rPr>
            <sz val="9"/>
            <rFont val="Tahoma"/>
            <family val="2"/>
          </rPr>
          <t xml:space="preserve">
环球基金成立律师费</t>
        </r>
      </text>
    </comment>
    <comment ref="J111" authorId="1" shapeId="0" xr:uid="{00000000-0006-0000-1E00-000022000000}">
      <text>
        <r>
          <rPr>
            <b/>
            <sz val="9"/>
            <rFont val="宋体"/>
            <charset val="134"/>
          </rPr>
          <t>GuanghuaChen:</t>
        </r>
        <r>
          <rPr>
            <sz val="9"/>
            <rFont val="宋体"/>
            <charset val="134"/>
          </rPr>
          <t xml:space="preserve">
宜兴目前没有请代理</t>
        </r>
      </text>
    </comment>
    <comment ref="J115" authorId="1" shapeId="0" xr:uid="{00000000-0006-0000-1E00-000023000000}">
      <text>
        <r>
          <rPr>
            <b/>
            <sz val="9"/>
            <rFont val="宋体"/>
            <charset val="134"/>
          </rPr>
          <t>GuanghuaChen:</t>
        </r>
        <r>
          <rPr>
            <sz val="9"/>
            <rFont val="宋体"/>
            <charset val="134"/>
          </rPr>
          <t xml:space="preserve">
（1）宜兴注册地址无需收费
（2）预估代理服务费（后续退出清算事项）</t>
        </r>
      </text>
    </comment>
    <comment ref="J116" authorId="1" shapeId="0" xr:uid="{00000000-0006-0000-1E00-000024000000}">
      <text>
        <r>
          <rPr>
            <b/>
            <sz val="9"/>
            <rFont val="宋体"/>
            <charset val="134"/>
          </rPr>
          <t>GuanghuaChen:</t>
        </r>
        <r>
          <rPr>
            <sz val="9"/>
            <rFont val="宋体"/>
            <charset val="134"/>
          </rPr>
          <t xml:space="preserve">
后续富能退出时看是否需要审计</t>
        </r>
      </text>
    </comment>
    <comment ref="J134" authorId="0" shapeId="0" xr:uid="{00000000-0006-0000-1E00-000025000000}">
      <text>
        <r>
          <rPr>
            <b/>
            <sz val="9"/>
            <rFont val="Tahoma"/>
            <family val="2"/>
          </rPr>
          <t>Emily Lo:</t>
        </r>
        <r>
          <rPr>
            <sz val="9"/>
            <rFont val="Tahoma"/>
            <family val="2"/>
          </rPr>
          <t xml:space="preserve">
change of DITC and IRC portal authorised contacts </t>
        </r>
      </text>
    </comment>
    <comment ref="AB134" authorId="0" shapeId="0" xr:uid="{00000000-0006-0000-1E00-000026000000}">
      <text>
        <r>
          <rPr>
            <b/>
            <sz val="9"/>
            <rFont val="Tahoma"/>
            <family val="2"/>
          </rPr>
          <t>Emily Lo:</t>
        </r>
        <r>
          <rPr>
            <sz val="9"/>
            <rFont val="Tahoma"/>
            <family val="2"/>
          </rPr>
          <t xml:space="preserve">
change of DITC and IRC portal authorised contacts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Emily Lo</author>
  </authors>
  <commentList>
    <comment ref="A19" authorId="0" shapeId="0" xr:uid="{00000000-0006-0000-1F00-000001000000}">
      <text>
        <r>
          <rPr>
            <b/>
            <sz val="9"/>
            <rFont val="Tahoma"/>
            <family val="2"/>
          </rPr>
          <t>Emily Lo:</t>
        </r>
        <r>
          <rPr>
            <sz val="9"/>
            <rFont val="Tahoma"/>
            <family val="2"/>
          </rPr>
          <t xml:space="preserve">
辉飏</t>
        </r>
      </text>
    </comment>
    <comment ref="A20" authorId="0" shapeId="0" xr:uid="{00000000-0006-0000-1F00-000002000000}">
      <text>
        <r>
          <rPr>
            <b/>
            <sz val="9"/>
            <rFont val="Tahoma"/>
            <family val="2"/>
          </rPr>
          <t>Emily Lo:</t>
        </r>
        <r>
          <rPr>
            <sz val="9"/>
            <rFont val="Tahoma"/>
            <family val="2"/>
          </rPr>
          <t xml:space="preserve">
asset management fee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Emily Lo</author>
  </authors>
  <commentList>
    <comment ref="F14" authorId="0" shapeId="0" xr:uid="{00000000-0006-0000-2100-000001000000}">
      <text>
        <r>
          <rPr>
            <b/>
            <sz val="9"/>
            <rFont val="Tahoma"/>
            <family val="2"/>
          </rPr>
          <t>Emily Lo:</t>
        </r>
        <r>
          <rPr>
            <sz val="9"/>
            <rFont val="Tahoma"/>
            <family val="2"/>
          </rPr>
          <t xml:space="preserve">
辉飏</t>
        </r>
      </text>
    </comment>
    <comment ref="F35" authorId="0" shapeId="0" xr:uid="{00000000-0006-0000-2100-000002000000}">
      <text>
        <r>
          <rPr>
            <b/>
            <sz val="9"/>
            <rFont val="Tahoma"/>
            <family val="2"/>
          </rPr>
          <t>Emily Lo:</t>
        </r>
        <r>
          <rPr>
            <sz val="9"/>
            <rFont val="Tahoma"/>
            <family val="2"/>
          </rPr>
          <t xml:space="preserve">
不要删除此行</t>
        </r>
      </text>
    </comment>
    <comment ref="I78" authorId="0" shapeId="0" xr:uid="{00000000-0006-0000-2100-000003000000}">
      <text>
        <r>
          <rPr>
            <b/>
            <sz val="9"/>
            <rFont val="Tahoma"/>
            <family val="2"/>
          </rPr>
          <t>Emily Lo:</t>
        </r>
        <r>
          <rPr>
            <sz val="9"/>
            <rFont val="Tahoma"/>
            <family val="2"/>
          </rPr>
          <t xml:space="preserve">
包含志强2024年15万报销，待整理</t>
        </r>
      </text>
    </comment>
    <comment ref="U78" authorId="0" shapeId="0" xr:uid="{00000000-0006-0000-2100-000004000000}">
      <text>
        <r>
          <rPr>
            <b/>
            <sz val="9"/>
            <rFont val="Tahoma"/>
            <family val="2"/>
          </rPr>
          <t>Emily Lo:</t>
        </r>
        <r>
          <rPr>
            <sz val="9"/>
            <rFont val="Tahoma"/>
            <family val="2"/>
          </rPr>
          <t xml:space="preserve">
包含志强2024年15万报销，待整理</t>
        </r>
      </text>
    </comment>
    <comment ref="I94" authorId="0" shapeId="0" xr:uid="{00000000-0006-0000-2100-000005000000}">
      <text>
        <r>
          <rPr>
            <b/>
            <sz val="9"/>
            <rFont val="Tahoma"/>
            <family val="2"/>
          </rPr>
          <t>Emily Lo:</t>
        </r>
        <r>
          <rPr>
            <sz val="9"/>
            <rFont val="Tahoma"/>
            <family val="2"/>
          </rPr>
          <t xml:space="preserve">
浠水 165K
荷叶坪 319K</t>
        </r>
      </text>
    </comment>
    <comment ref="U94" authorId="0" shapeId="0" xr:uid="{00000000-0006-0000-2100-000006000000}">
      <text>
        <r>
          <rPr>
            <b/>
            <sz val="9"/>
            <rFont val="Tahoma"/>
            <family val="2"/>
          </rPr>
          <t>Emily Lo:</t>
        </r>
        <r>
          <rPr>
            <sz val="9"/>
            <rFont val="Tahoma"/>
            <family val="2"/>
          </rPr>
          <t xml:space="preserve">
浠水 165K
荷叶坪 319K</t>
        </r>
      </text>
    </comment>
    <comment ref="I130" authorId="0" shapeId="0" xr:uid="{00000000-0006-0000-2100-000007000000}">
      <text>
        <r>
          <rPr>
            <b/>
            <sz val="9"/>
            <rFont val="Tahoma"/>
            <family val="2"/>
          </rPr>
          <t>Emily Lo:</t>
        </r>
        <r>
          <rPr>
            <sz val="9"/>
            <rFont val="Tahoma"/>
            <family val="2"/>
          </rPr>
          <t xml:space="preserve">
TBD</t>
        </r>
      </text>
    </comment>
    <comment ref="U130" authorId="0" shapeId="0" xr:uid="{00000000-0006-0000-2100-000008000000}">
      <text>
        <r>
          <rPr>
            <b/>
            <sz val="9"/>
            <rFont val="Tahoma"/>
            <family val="2"/>
          </rPr>
          <t>Emily Lo:</t>
        </r>
        <r>
          <rPr>
            <sz val="9"/>
            <rFont val="Tahoma"/>
            <family val="2"/>
          </rPr>
          <t xml:space="preserve">
TBD</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Emily Lo</author>
    <author>GuanghuaChen</author>
  </authors>
  <commentList>
    <comment ref="K7" authorId="0" shapeId="0" xr:uid="{00000000-0006-0000-2200-000001000000}">
      <text>
        <r>
          <rPr>
            <b/>
            <sz val="9"/>
            <rFont val="Tahoma"/>
            <family val="2"/>
          </rPr>
          <t>Emily Lo:</t>
        </r>
        <r>
          <rPr>
            <sz val="9"/>
            <rFont val="Tahoma"/>
            <family val="2"/>
          </rPr>
          <t xml:space="preserve">
2200 each for ACPL, RS, SE, NE
</t>
        </r>
      </text>
    </comment>
    <comment ref="AC7" authorId="0" shapeId="0" xr:uid="{00000000-0006-0000-2200-000002000000}">
      <text>
        <r>
          <rPr>
            <b/>
            <sz val="9"/>
            <rFont val="Tahoma"/>
            <family val="2"/>
          </rPr>
          <t>Emily Lo:</t>
        </r>
        <r>
          <rPr>
            <sz val="9"/>
            <rFont val="Tahoma"/>
            <family val="2"/>
          </rPr>
          <t xml:space="preserve">
2200 each for ACPL, RS, SE, NE
</t>
        </r>
      </text>
    </comment>
    <comment ref="K18" authorId="0" shapeId="0" xr:uid="{00000000-0006-0000-2200-000003000000}">
      <text>
        <r>
          <rPr>
            <b/>
            <sz val="9"/>
            <rFont val="Tahoma"/>
            <family val="2"/>
          </rPr>
          <t>Emily Lo:</t>
        </r>
        <r>
          <rPr>
            <sz val="9"/>
            <rFont val="Tahoma"/>
            <family val="2"/>
          </rPr>
          <t xml:space="preserve">
20% increment</t>
        </r>
      </text>
    </comment>
    <comment ref="AC18" authorId="0" shapeId="0" xr:uid="{00000000-0006-0000-2200-000004000000}">
      <text>
        <r>
          <rPr>
            <b/>
            <sz val="9"/>
            <rFont val="Tahoma"/>
            <family val="2"/>
          </rPr>
          <t>Emily Lo:</t>
        </r>
        <r>
          <rPr>
            <sz val="9"/>
            <rFont val="Tahoma"/>
            <family val="2"/>
          </rPr>
          <t xml:space="preserve">
20% increment</t>
        </r>
      </text>
    </comment>
    <comment ref="K22" authorId="0" shapeId="0" xr:uid="{00000000-0006-0000-2200-000005000000}">
      <text>
        <r>
          <rPr>
            <b/>
            <sz val="9"/>
            <rFont val="Tahoma"/>
            <family val="2"/>
          </rPr>
          <t>Emily Lo:</t>
        </r>
        <r>
          <rPr>
            <sz val="9"/>
            <rFont val="Tahoma"/>
            <family val="2"/>
          </rPr>
          <t xml:space="preserve">
hkicpa</t>
        </r>
      </text>
    </comment>
    <comment ref="AC22" authorId="0" shapeId="0" xr:uid="{00000000-0006-0000-2200-000006000000}">
      <text>
        <r>
          <rPr>
            <b/>
            <sz val="9"/>
            <rFont val="Tahoma"/>
            <family val="2"/>
          </rPr>
          <t>Emily Lo:</t>
        </r>
        <r>
          <rPr>
            <sz val="9"/>
            <rFont val="Tahoma"/>
            <family val="2"/>
          </rPr>
          <t xml:space="preserve">
hkicpa</t>
        </r>
      </text>
    </comment>
    <comment ref="K36" authorId="0" shapeId="0" xr:uid="{00000000-0006-0000-2200-000007000000}">
      <text>
        <r>
          <rPr>
            <b/>
            <sz val="9"/>
            <rFont val="Tahoma"/>
            <family val="2"/>
          </rPr>
          <t>Emily Lo:</t>
        </r>
        <r>
          <rPr>
            <sz val="9"/>
            <rFont val="Tahoma"/>
            <family val="2"/>
          </rPr>
          <t xml:space="preserve">
2024 settled $8740 to cover the period 2024/12-2026/12</t>
        </r>
      </text>
    </comment>
    <comment ref="AC36" authorId="0" shapeId="0" xr:uid="{00000000-0006-0000-2200-000008000000}">
      <text>
        <r>
          <rPr>
            <b/>
            <sz val="9"/>
            <rFont val="Tahoma"/>
            <family val="2"/>
          </rPr>
          <t>Emily Lo:</t>
        </r>
        <r>
          <rPr>
            <sz val="9"/>
            <rFont val="Tahoma"/>
            <family val="2"/>
          </rPr>
          <t xml:space="preserve">
2024 settled $8740 to cover the period 2024/12-2026/12</t>
        </r>
      </text>
    </comment>
    <comment ref="K42" authorId="0" shapeId="0" xr:uid="{00000000-0006-0000-2200-000009000000}">
      <text>
        <r>
          <rPr>
            <b/>
            <sz val="9"/>
            <rFont val="Tahoma"/>
            <family val="2"/>
          </rPr>
          <t>Emily Lo:</t>
        </r>
        <r>
          <rPr>
            <sz val="9"/>
            <rFont val="Tahoma"/>
            <family val="2"/>
          </rPr>
          <t xml:space="preserve">
2024：61020 in total</t>
        </r>
      </text>
    </comment>
    <comment ref="AC42" authorId="0" shapeId="0" xr:uid="{00000000-0006-0000-2200-00000A000000}">
      <text>
        <r>
          <rPr>
            <b/>
            <sz val="9"/>
            <rFont val="Tahoma"/>
            <family val="2"/>
          </rPr>
          <t>Emily Lo:</t>
        </r>
        <r>
          <rPr>
            <sz val="9"/>
            <rFont val="Tahoma"/>
            <family val="2"/>
          </rPr>
          <t xml:space="preserve">
2024：61020 in total</t>
        </r>
      </text>
    </comment>
    <comment ref="K46" authorId="0" shapeId="0" xr:uid="{00000000-0006-0000-2200-00000B000000}">
      <text>
        <r>
          <rPr>
            <b/>
            <sz val="9"/>
            <rFont val="Tahoma"/>
            <family val="2"/>
          </rPr>
          <t>Emily Lo:</t>
        </r>
        <r>
          <rPr>
            <sz val="9"/>
            <rFont val="Tahoma"/>
            <family val="2"/>
          </rPr>
          <t xml:space="preserve">
cfa membership fee
</t>
        </r>
      </text>
    </comment>
    <comment ref="AC46" authorId="0" shapeId="0" xr:uid="{00000000-0006-0000-2200-00000C000000}">
      <text>
        <r>
          <rPr>
            <b/>
            <sz val="9"/>
            <rFont val="Tahoma"/>
            <family val="2"/>
          </rPr>
          <t>Emily Lo:</t>
        </r>
        <r>
          <rPr>
            <sz val="9"/>
            <rFont val="Tahoma"/>
            <family val="2"/>
          </rPr>
          <t xml:space="preserve">
cfa membership fee
</t>
        </r>
      </text>
    </comment>
    <comment ref="K49" authorId="0" shapeId="0" xr:uid="{00000000-0006-0000-2200-00000D000000}">
      <text>
        <r>
          <rPr>
            <b/>
            <sz val="9"/>
            <rFont val="Tahoma"/>
            <family val="2"/>
          </rPr>
          <t>Emily Lo:</t>
        </r>
        <r>
          <rPr>
            <sz val="9"/>
            <rFont val="Tahoma"/>
            <family val="2"/>
          </rPr>
          <t xml:space="preserve">
3 papers for 2 ROs</t>
        </r>
      </text>
    </comment>
    <comment ref="AC49" authorId="0" shapeId="0" xr:uid="{00000000-0006-0000-2200-00000E000000}">
      <text>
        <r>
          <rPr>
            <b/>
            <sz val="9"/>
            <rFont val="Tahoma"/>
            <family val="2"/>
          </rPr>
          <t>Emily Lo:</t>
        </r>
        <r>
          <rPr>
            <sz val="9"/>
            <rFont val="Tahoma"/>
            <family val="2"/>
          </rPr>
          <t xml:space="preserve">
3 papers for 2 ROs</t>
        </r>
      </text>
    </comment>
    <comment ref="K56" authorId="1" shapeId="0" xr:uid="{00000000-0006-0000-2200-00000F000000}">
      <text>
        <r>
          <rPr>
            <b/>
            <sz val="9"/>
            <rFont val="宋体"/>
            <charset val="134"/>
          </rPr>
          <t>GuanghuaChen:除了付款手续费还有回单打印的费用等</t>
        </r>
      </text>
    </comment>
    <comment ref="AC56" authorId="1" shapeId="0" xr:uid="{00000000-0006-0000-2200-000010000000}">
      <text>
        <r>
          <rPr>
            <b/>
            <sz val="9"/>
            <rFont val="宋体"/>
            <charset val="134"/>
          </rPr>
          <t>GuanghuaChen:</t>
        </r>
        <r>
          <rPr>
            <sz val="9"/>
            <rFont val="宋体"/>
            <charset val="134"/>
          </rPr>
          <t xml:space="preserve">
考虑减资付汇，跨境支付手续费较高</t>
        </r>
      </text>
    </comment>
    <comment ref="K86" authorId="0" shapeId="0" xr:uid="{00000000-0006-0000-2200-000011000000}">
      <text>
        <r>
          <rPr>
            <b/>
            <sz val="9"/>
            <rFont val="Tahoma"/>
            <family val="2"/>
          </rPr>
          <t>Emily Lo:</t>
        </r>
        <r>
          <rPr>
            <sz val="9"/>
            <rFont val="Tahoma"/>
            <family val="2"/>
          </rPr>
          <t xml:space="preserve">
maybe no printing cost for mainland (provided by IDG office)</t>
        </r>
      </text>
    </comment>
    <comment ref="K88" authorId="1" shapeId="0" xr:uid="{00000000-0006-0000-2200-000012000000}">
      <text>
        <r>
          <rPr>
            <b/>
            <sz val="9"/>
            <rFont val="宋体"/>
            <charset val="134"/>
          </rPr>
          <t>GuanghuaChen:</t>
        </r>
        <r>
          <rPr>
            <sz val="9"/>
            <rFont val="宋体"/>
            <charset val="134"/>
          </rPr>
          <t xml:space="preserve">
新员工入职购买电脑</t>
        </r>
      </text>
    </comment>
    <comment ref="AC88" authorId="1" shapeId="0" xr:uid="{00000000-0006-0000-2200-000013000000}">
      <text>
        <r>
          <rPr>
            <b/>
            <sz val="9"/>
            <rFont val="宋体"/>
            <charset val="134"/>
          </rPr>
          <t>GuanghuaChen:</t>
        </r>
        <r>
          <rPr>
            <sz val="9"/>
            <rFont val="宋体"/>
            <charset val="134"/>
          </rPr>
          <t xml:space="preserve">
新员工入职购买电脑</t>
        </r>
      </text>
    </comment>
    <comment ref="AC90" authorId="0" shapeId="0" xr:uid="{00000000-0006-0000-2200-000014000000}">
      <text>
        <r>
          <rPr>
            <b/>
            <sz val="9"/>
            <rFont val="Tahoma"/>
            <family val="2"/>
          </rPr>
          <t>Emily Lo:</t>
        </r>
        <r>
          <rPr>
            <sz val="9"/>
            <rFont val="Tahoma"/>
            <family val="2"/>
          </rPr>
          <t xml:space="preserve">
董监高保险</t>
        </r>
      </text>
    </comment>
    <comment ref="K95" authorId="1" shapeId="0" xr:uid="{00000000-0006-0000-2200-000015000000}">
      <text>
        <r>
          <rPr>
            <b/>
            <sz val="9"/>
            <rFont val="宋体"/>
            <charset val="134"/>
          </rPr>
          <t>GuanghuaChen:</t>
        </r>
        <r>
          <rPr>
            <sz val="9"/>
            <rFont val="宋体"/>
            <charset val="134"/>
          </rPr>
          <t xml:space="preserve">
系统年费30280元，第一年实施费用15000元</t>
        </r>
      </text>
    </comment>
    <comment ref="AC95" authorId="1" shapeId="0" xr:uid="{00000000-0006-0000-2200-000016000000}">
      <text>
        <r>
          <rPr>
            <b/>
            <sz val="9"/>
            <rFont val="宋体"/>
            <charset val="134"/>
          </rPr>
          <t>GuanghuaChen:</t>
        </r>
        <r>
          <rPr>
            <sz val="9"/>
            <rFont val="宋体"/>
            <charset val="134"/>
          </rPr>
          <t xml:space="preserve">
金蝶系统续费</t>
        </r>
      </text>
    </comment>
    <comment ref="K96" authorId="1" shapeId="0" xr:uid="{00000000-0006-0000-2200-000017000000}">
      <text>
        <r>
          <rPr>
            <b/>
            <sz val="9"/>
            <rFont val="宋体"/>
            <charset val="134"/>
          </rPr>
          <t>GuanghuaChen:</t>
        </r>
        <r>
          <rPr>
            <sz val="9"/>
            <rFont val="宋体"/>
            <charset val="134"/>
          </rPr>
          <t xml:space="preserve">
2025上半年已支付2位新员工的背调费，下半年按增加2位预估</t>
        </r>
      </text>
    </comment>
    <comment ref="AC96" authorId="1" shapeId="0" xr:uid="{00000000-0006-0000-2200-000018000000}">
      <text>
        <r>
          <rPr>
            <b/>
            <sz val="9"/>
            <rFont val="宋体"/>
            <charset val="134"/>
          </rPr>
          <t>GuanghuaChen:</t>
        </r>
        <r>
          <rPr>
            <sz val="9"/>
            <rFont val="宋体"/>
            <charset val="134"/>
          </rPr>
          <t xml:space="preserve">
暂时按2026年新增加7名员工计提</t>
        </r>
      </text>
    </comment>
    <comment ref="AC103" authorId="1" shapeId="0" xr:uid="{00000000-0006-0000-2200-000019000000}">
      <text>
        <r>
          <rPr>
            <b/>
            <sz val="9"/>
            <rFont val="宋体"/>
            <charset val="134"/>
          </rPr>
          <t>GuanghuaChen:</t>
        </r>
        <r>
          <rPr>
            <sz val="9"/>
            <rFont val="宋体"/>
            <charset val="134"/>
          </rPr>
          <t xml:space="preserve">
基金成立</t>
        </r>
      </text>
    </comment>
    <comment ref="AC106" authorId="1" shapeId="0" xr:uid="{00000000-0006-0000-2200-00001A000000}">
      <text>
        <r>
          <rPr>
            <b/>
            <sz val="9"/>
            <rFont val="宋体"/>
            <charset val="134"/>
          </rPr>
          <t>GuanghuaChen:</t>
        </r>
        <r>
          <rPr>
            <sz val="9"/>
            <rFont val="宋体"/>
            <charset val="134"/>
          </rPr>
          <t xml:space="preserve">
光伏行业协会
再生能源协会</t>
        </r>
      </text>
    </comment>
    <comment ref="K120" authorId="1" shapeId="0" xr:uid="{00000000-0006-0000-2200-00001B000000}">
      <text>
        <r>
          <rPr>
            <b/>
            <sz val="9"/>
            <rFont val="宋体"/>
            <charset val="134"/>
          </rPr>
          <t>GuanghuaChen:</t>
        </r>
        <r>
          <rPr>
            <sz val="9"/>
            <rFont val="宋体"/>
            <charset val="134"/>
          </rPr>
          <t xml:space="preserve">
上半年支付2位新员工的背调费</t>
        </r>
      </text>
    </comment>
    <comment ref="K152" authorId="1" shapeId="0" xr:uid="{00000000-0006-0000-2200-00001C000000}">
      <text>
        <r>
          <rPr>
            <b/>
            <sz val="9"/>
            <rFont val="宋体"/>
            <charset val="134"/>
          </rPr>
          <t>GuanghuaChen:</t>
        </r>
        <r>
          <rPr>
            <sz val="9"/>
            <rFont val="宋体"/>
            <charset val="134"/>
          </rPr>
          <t xml:space="preserve">
上半年暂未发生费用</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GuanghuaChen</author>
    <author>Emily Lo</author>
  </authors>
  <commentList>
    <comment ref="Y5" authorId="0" shapeId="0" xr:uid="{00000000-0006-0000-2400-000001000000}">
      <text>
        <r>
          <rPr>
            <b/>
            <sz val="9"/>
            <rFont val="宋体"/>
            <charset val="134"/>
          </rPr>
          <t>GuanghuaChen:</t>
        </r>
        <r>
          <rPr>
            <sz val="9"/>
            <rFont val="宋体"/>
            <charset val="134"/>
          </rPr>
          <t xml:space="preserve">
北京地区自2025年7月起社保基数：7162-35811</t>
        </r>
      </text>
    </comment>
    <comment ref="AE5" authorId="0" shapeId="0" xr:uid="{00000000-0006-0000-2400-000002000000}">
      <text>
        <r>
          <rPr>
            <b/>
            <sz val="9"/>
            <rFont val="宋体"/>
            <charset val="134"/>
          </rPr>
          <t>GuanghuaChen:</t>
        </r>
        <r>
          <rPr>
            <sz val="9"/>
            <rFont val="宋体"/>
            <charset val="134"/>
          </rPr>
          <t xml:space="preserve">
北京的医疗保险和生育保险合并了</t>
        </r>
      </text>
    </comment>
    <comment ref="Y6" authorId="0" shapeId="0" xr:uid="{00000000-0006-0000-2400-000003000000}">
      <text>
        <r>
          <rPr>
            <b/>
            <sz val="9"/>
            <rFont val="宋体"/>
            <charset val="134"/>
          </rPr>
          <t>GuanghuaChen:</t>
        </r>
        <r>
          <rPr>
            <sz val="9"/>
            <rFont val="宋体"/>
            <charset val="134"/>
          </rPr>
          <t xml:space="preserve">
2025年10月起，社保基数调整为5124-25620                                                                                                                                                                            </t>
        </r>
      </text>
    </comment>
    <comment ref="AI6" authorId="0" shapeId="0" xr:uid="{00000000-0006-0000-2400-000004000000}">
      <text>
        <r>
          <rPr>
            <b/>
            <sz val="9"/>
            <rFont val="宋体"/>
            <charset val="134"/>
          </rPr>
          <t>GuanghuaChen:</t>
        </r>
        <r>
          <rPr>
            <sz val="9"/>
            <rFont val="宋体"/>
            <charset val="134"/>
          </rPr>
          <t xml:space="preserve">
2025年5月起，更改缴费账户，工伤保险比例由0.84%调整至0.4%；工伤比例5月底工伤比例调整为0.7%</t>
        </r>
      </text>
    </comment>
    <comment ref="AK6" authorId="0" shapeId="0" xr:uid="{00000000-0006-0000-2400-000005000000}">
      <text>
        <r>
          <rPr>
            <b/>
            <sz val="9"/>
            <rFont val="宋体"/>
            <charset val="134"/>
          </rPr>
          <t>GuanghuaChen:</t>
        </r>
        <r>
          <rPr>
            <sz val="9"/>
            <rFont val="宋体"/>
            <charset val="134"/>
          </rPr>
          <t xml:space="preserve">
2025年7月起，公积金基数调整至2320-27861                                                                                                                                                                                                                      </t>
        </r>
      </text>
    </comment>
    <comment ref="Y8" authorId="1" shapeId="0" xr:uid="{00000000-0006-0000-2400-000006000000}">
      <text>
        <r>
          <rPr>
            <b/>
            <sz val="9"/>
            <rFont val="Tahoma"/>
            <family val="2"/>
          </rPr>
          <t>Emily Lo:</t>
        </r>
        <r>
          <rPr>
            <sz val="9"/>
            <rFont val="Tahoma"/>
            <family val="2"/>
          </rPr>
          <t xml:space="preserve">
2025年7月起，深圳地区养老保险基数调整为：4775-27549</t>
        </r>
      </text>
    </comment>
    <comment ref="AB8" authorId="1" shapeId="0" xr:uid="{00000000-0006-0000-2400-000007000000}">
      <text>
        <r>
          <rPr>
            <b/>
            <sz val="9"/>
            <rFont val="Tahoma"/>
            <family val="2"/>
          </rPr>
          <t>Emily Lo:</t>
        </r>
        <r>
          <rPr>
            <sz val="9"/>
            <rFont val="Tahoma"/>
            <family val="2"/>
          </rPr>
          <t xml:space="preserve">
2025/1月起医疗基数调整为6733-33666</t>
        </r>
      </text>
    </comment>
    <comment ref="AF8" authorId="0" shapeId="0" xr:uid="{00000000-0006-0000-2400-000008000000}">
      <text>
        <r>
          <rPr>
            <b/>
            <sz val="9"/>
            <rFont val="宋体"/>
            <charset val="134"/>
          </rPr>
          <t>GuanghuaChen:</t>
        </r>
        <r>
          <rPr>
            <sz val="9"/>
            <rFont val="宋体"/>
            <charset val="134"/>
          </rPr>
          <t xml:space="preserve">
2025年7月起失业基数调整为2520-44265 </t>
        </r>
      </text>
    </comment>
    <comment ref="AK8" authorId="0" shapeId="0" xr:uid="{00000000-0006-0000-2400-000009000000}">
      <text>
        <r>
          <rPr>
            <b/>
            <sz val="9"/>
            <rFont val="宋体"/>
            <charset val="134"/>
          </rPr>
          <t>GuanghuaChen:</t>
        </r>
        <r>
          <rPr>
            <sz val="9"/>
            <rFont val="宋体"/>
            <charset val="134"/>
          </rPr>
          <t xml:space="preserve">
2025年7月起公积金基数调整为2520-44265</t>
        </r>
      </text>
    </comment>
    <comment ref="Y9" authorId="1" shapeId="0" xr:uid="{00000000-0006-0000-2400-00000A000000}">
      <text>
        <r>
          <rPr>
            <b/>
            <sz val="9"/>
            <rFont val="Tahoma"/>
            <family val="2"/>
          </rPr>
          <t>Emily Lo:</t>
        </r>
        <r>
          <rPr>
            <sz val="9"/>
            <rFont val="Tahoma"/>
            <family val="2"/>
          </rPr>
          <t xml:space="preserve">
2025年7月起，深圳地区养老保险基数调整为：4775-27549</t>
        </r>
      </text>
    </comment>
    <comment ref="AB9" authorId="1" shapeId="0" xr:uid="{00000000-0006-0000-2400-00000B000000}">
      <text>
        <r>
          <rPr>
            <b/>
            <sz val="9"/>
            <rFont val="Tahoma"/>
            <family val="2"/>
          </rPr>
          <t>Emily Lo:</t>
        </r>
        <r>
          <rPr>
            <sz val="9"/>
            <rFont val="Tahoma"/>
            <family val="2"/>
          </rPr>
          <t xml:space="preserve">
2025/1月起医疗基数调整为6733-33666</t>
        </r>
      </text>
    </comment>
    <comment ref="F20" authorId="1" shapeId="0" xr:uid="{00000000-0006-0000-2400-00000C000000}">
      <text>
        <r>
          <rPr>
            <b/>
            <sz val="9"/>
            <rFont val="Tahoma"/>
            <family val="2"/>
          </rPr>
          <t>Emily Lo:</t>
        </r>
        <r>
          <rPr>
            <sz val="9"/>
            <rFont val="Tahoma"/>
            <family val="2"/>
          </rPr>
          <t xml:space="preserve">
斌捷ask for 20k</t>
        </r>
      </text>
    </comment>
    <comment ref="F29" authorId="1" shapeId="0" xr:uid="{00000000-0006-0000-2400-00000D000000}">
      <text>
        <r>
          <rPr>
            <b/>
            <sz val="9"/>
            <rFont val="Tahoma"/>
            <family val="2"/>
          </rPr>
          <t>Emily Lo:</t>
        </r>
        <r>
          <rPr>
            <sz val="9"/>
            <rFont val="Tahoma"/>
            <family val="2"/>
          </rPr>
          <t xml:space="preserve">
105.4万，不含差旅及奖金</t>
        </r>
      </text>
    </comment>
    <comment ref="F32" authorId="1" shapeId="0" xr:uid="{00000000-0006-0000-2400-00000E000000}">
      <text>
        <r>
          <rPr>
            <b/>
            <sz val="9"/>
            <rFont val="Tahoma"/>
            <family val="2"/>
          </rPr>
          <t>Emily Lo:</t>
        </r>
        <r>
          <rPr>
            <sz val="9"/>
            <rFont val="Tahoma"/>
            <family val="2"/>
          </rPr>
          <t xml:space="preserve">
根据和谐汇2024年10-12月服务费275000</t>
        </r>
      </text>
    </comment>
    <comment ref="AJ37" authorId="1" shapeId="0" xr:uid="{AEF7B9C6-D063-475F-8B18-485313830F2C}">
      <text>
        <r>
          <rPr>
            <b/>
            <sz val="9"/>
            <color indexed="81"/>
            <rFont val="Tahoma"/>
            <family val="2"/>
          </rPr>
          <t>Emily Lo:</t>
        </r>
        <r>
          <rPr>
            <sz val="9"/>
            <color indexed="81"/>
            <rFont val="Tahoma"/>
            <family val="2"/>
          </rPr>
          <t xml:space="preserve">
增加到2个</t>
        </r>
      </text>
    </comment>
    <comment ref="F63" authorId="1" shapeId="0" xr:uid="{00000000-0006-0000-2400-00000F000000}">
      <text>
        <r>
          <rPr>
            <b/>
            <sz val="9"/>
            <rFont val="Tahoma"/>
            <family val="2"/>
          </rPr>
          <t>Emily Lo:</t>
        </r>
        <r>
          <rPr>
            <sz val="9"/>
            <rFont val="Tahoma"/>
            <family val="2"/>
          </rPr>
          <t xml:space="preserve">
根据和谐汇2024年10-12月服务费275000</t>
        </r>
      </text>
    </comment>
    <comment ref="F98" authorId="1" shapeId="0" xr:uid="{00000000-0006-0000-2400-000010000000}">
      <text>
        <r>
          <rPr>
            <b/>
            <sz val="9"/>
            <rFont val="Tahoma"/>
            <family val="2"/>
          </rPr>
          <t>Emily Lo:</t>
        </r>
        <r>
          <rPr>
            <sz val="9"/>
            <rFont val="Tahoma"/>
            <family val="2"/>
          </rPr>
          <t xml:space="preserve">
根据和谐汇2024年10-12月服务费275000</t>
        </r>
      </text>
    </comment>
    <comment ref="F100" authorId="1" shapeId="0" xr:uid="{00000000-0006-0000-2400-000011000000}">
      <text>
        <r>
          <rPr>
            <b/>
            <sz val="9"/>
            <rFont val="Tahoma"/>
            <family val="2"/>
          </rPr>
          <t>Emily Lo:</t>
        </r>
        <r>
          <rPr>
            <sz val="9"/>
            <rFont val="Tahoma"/>
            <family val="2"/>
          </rPr>
          <t xml:space="preserve">
口头沟通金额，没有文件支持</t>
        </r>
      </text>
    </comment>
    <comment ref="F133" authorId="1" shapeId="0" xr:uid="{00000000-0006-0000-2400-000012000000}">
      <text>
        <r>
          <rPr>
            <b/>
            <sz val="9"/>
            <rFont val="Tahoma"/>
            <family val="2"/>
          </rPr>
          <t>Emily Lo:</t>
        </r>
        <r>
          <rPr>
            <sz val="9"/>
            <rFont val="Tahoma"/>
            <family val="2"/>
          </rPr>
          <t xml:space="preserve">
根据和谐汇2024年10-12月服务费275000</t>
        </r>
      </text>
    </comment>
    <comment ref="F135" authorId="1" shapeId="0" xr:uid="{00000000-0006-0000-2400-000013000000}">
      <text>
        <r>
          <rPr>
            <b/>
            <sz val="9"/>
            <rFont val="Tahoma"/>
            <family val="2"/>
          </rPr>
          <t>Emily Lo:</t>
        </r>
        <r>
          <rPr>
            <sz val="9"/>
            <rFont val="Tahoma"/>
            <family val="2"/>
          </rPr>
          <t xml:space="preserve">
口头沟通金额，没有文件支持</t>
        </r>
      </text>
    </comment>
    <comment ref="AC157" authorId="0" shapeId="0" xr:uid="{00000000-0006-0000-2400-000014000000}">
      <text>
        <r>
          <rPr>
            <b/>
            <sz val="9"/>
            <rFont val="宋体"/>
            <charset val="134"/>
          </rPr>
          <t>GuanghuaChen:</t>
        </r>
        <r>
          <rPr>
            <sz val="9"/>
            <rFont val="宋体"/>
            <charset val="134"/>
          </rPr>
          <t xml:space="preserve">
7月份会调整基数，灿博2024年月平工资为65000元</t>
        </r>
      </text>
    </comment>
    <comment ref="AJ163" authorId="0" shapeId="0" xr:uid="{00000000-0006-0000-2400-000015000000}">
      <text>
        <r>
          <rPr>
            <b/>
            <sz val="9"/>
            <rFont val="宋体"/>
            <charset val="134"/>
          </rPr>
          <t>GuanghuaChen:</t>
        </r>
        <r>
          <rPr>
            <sz val="9"/>
            <rFont val="宋体"/>
            <charset val="134"/>
          </rPr>
          <t xml:space="preserve">
原先公式按0.2%计算，调整为0.4%</t>
        </r>
      </text>
    </comment>
    <comment ref="AJ166" authorId="0" shapeId="0" xr:uid="{00000000-0006-0000-2400-000016000000}">
      <text>
        <r>
          <rPr>
            <b/>
            <sz val="9"/>
            <rFont val="宋体"/>
            <charset val="134"/>
          </rPr>
          <t>GuanghuaChen:</t>
        </r>
        <r>
          <rPr>
            <sz val="9"/>
            <rFont val="宋体"/>
            <charset val="134"/>
          </rPr>
          <t xml:space="preserve">
原公式按照0.2%，已更新为按0.4%计算</t>
        </r>
      </text>
    </comment>
    <comment ref="AJ167" authorId="0" shapeId="0" xr:uid="{00000000-0006-0000-2400-000017000000}">
      <text>
        <r>
          <rPr>
            <b/>
            <sz val="9"/>
            <rFont val="宋体"/>
            <charset val="134"/>
          </rPr>
          <t>GuanghuaChen:</t>
        </r>
        <r>
          <rPr>
            <sz val="9"/>
            <rFont val="宋体"/>
            <charset val="134"/>
          </rPr>
          <t xml:space="preserve">
原公式按照0.2%，已更新为按0.4%计算
</t>
        </r>
      </text>
    </comment>
    <comment ref="F168" authorId="1" shapeId="0" xr:uid="{00000000-0006-0000-2400-000018000000}">
      <text>
        <r>
          <rPr>
            <b/>
            <sz val="9"/>
            <rFont val="Tahoma"/>
            <family val="2"/>
          </rPr>
          <t>Emily Lo:</t>
        </r>
        <r>
          <rPr>
            <sz val="9"/>
            <rFont val="Tahoma"/>
            <family val="2"/>
          </rPr>
          <t xml:space="preserve">
根据和谐汇2024年10-12月服务费275000</t>
        </r>
      </text>
    </comment>
    <comment ref="F170" authorId="1" shapeId="0" xr:uid="{00000000-0006-0000-2400-000019000000}">
      <text>
        <r>
          <rPr>
            <b/>
            <sz val="9"/>
            <rFont val="Tahoma"/>
            <family val="2"/>
          </rPr>
          <t>Emily Lo:</t>
        </r>
        <r>
          <rPr>
            <sz val="9"/>
            <rFont val="Tahoma"/>
            <family val="2"/>
          </rPr>
          <t xml:space="preserve">
口头沟通金额，没有文件支持</t>
        </r>
      </text>
    </comment>
    <comment ref="AJ172" authorId="0" shapeId="0" xr:uid="{00000000-0006-0000-2400-00001A000000}">
      <text>
        <r>
          <rPr>
            <b/>
            <sz val="9"/>
            <rFont val="宋体"/>
            <charset val="134"/>
          </rPr>
          <t>GuanghuaChen:</t>
        </r>
        <r>
          <rPr>
            <sz val="9"/>
            <rFont val="宋体"/>
            <charset val="134"/>
          </rPr>
          <t xml:space="preserve">
原公式按照0.2%，已更新为按0.4%计算</t>
        </r>
      </text>
    </comment>
    <comment ref="F203" authorId="1" shapeId="0" xr:uid="{00000000-0006-0000-2400-00001B000000}">
      <text>
        <r>
          <rPr>
            <b/>
            <sz val="9"/>
            <rFont val="Tahoma"/>
            <family val="2"/>
          </rPr>
          <t>Emily Lo:</t>
        </r>
        <r>
          <rPr>
            <sz val="9"/>
            <rFont val="Tahoma"/>
            <family val="2"/>
          </rPr>
          <t xml:space="preserve">
根据和谐汇2024年10-12月服务费275000</t>
        </r>
      </text>
    </comment>
    <comment ref="F205" authorId="1" shapeId="0" xr:uid="{00000000-0006-0000-2400-00001C000000}">
      <text>
        <r>
          <rPr>
            <b/>
            <sz val="9"/>
            <rFont val="Tahoma"/>
            <family val="2"/>
          </rPr>
          <t>Emily Lo:</t>
        </r>
        <r>
          <rPr>
            <sz val="9"/>
            <rFont val="Tahoma"/>
            <family val="2"/>
          </rPr>
          <t xml:space="preserve">
口头沟通金额，没有文件支持</t>
        </r>
      </text>
    </comment>
    <comment ref="F238" authorId="1" shapeId="0" xr:uid="{00000000-0006-0000-2400-00001D000000}">
      <text>
        <r>
          <rPr>
            <b/>
            <sz val="9"/>
            <rFont val="Tahoma"/>
            <family val="2"/>
          </rPr>
          <t>Emily Lo:</t>
        </r>
        <r>
          <rPr>
            <sz val="9"/>
            <rFont val="Tahoma"/>
            <family val="2"/>
          </rPr>
          <t xml:space="preserve">
根据和谐汇2024年10-12月服务费275000</t>
        </r>
      </text>
    </comment>
    <comment ref="F240" authorId="1" shapeId="0" xr:uid="{00000000-0006-0000-2400-00001E000000}">
      <text>
        <r>
          <rPr>
            <b/>
            <sz val="9"/>
            <rFont val="Tahoma"/>
            <family val="2"/>
          </rPr>
          <t>Emily Lo:</t>
        </r>
        <r>
          <rPr>
            <sz val="9"/>
            <rFont val="Tahoma"/>
            <family val="2"/>
          </rPr>
          <t xml:space="preserve">
口头沟通金额，没有文件支持</t>
        </r>
      </text>
    </comment>
    <comment ref="AC271" authorId="0" shapeId="0" xr:uid="{00000000-0006-0000-2400-00001F000000}">
      <text>
        <r>
          <rPr>
            <b/>
            <sz val="9"/>
            <rFont val="宋体"/>
            <charset val="134"/>
          </rPr>
          <t>GuanghuaChen:</t>
        </r>
        <r>
          <rPr>
            <sz val="9"/>
            <rFont val="宋体"/>
            <charset val="134"/>
          </rPr>
          <t xml:space="preserve">
每年7月份调整基数，按2024年月平工资30603元为基数计算</t>
        </r>
      </text>
    </comment>
    <comment ref="F274" authorId="1" shapeId="0" xr:uid="{00000000-0006-0000-2400-000020000000}">
      <text>
        <r>
          <rPr>
            <b/>
            <sz val="9"/>
            <rFont val="Tahoma"/>
            <family val="2"/>
          </rPr>
          <t>Emily Lo:</t>
        </r>
        <r>
          <rPr>
            <sz val="9"/>
            <rFont val="Tahoma"/>
            <family val="2"/>
          </rPr>
          <t xml:space="preserve">
根据和谐汇2024年10-12月服务费275000</t>
        </r>
      </text>
    </comment>
    <comment ref="F276" authorId="1" shapeId="0" xr:uid="{00000000-0006-0000-2400-000021000000}">
      <text>
        <r>
          <rPr>
            <b/>
            <sz val="9"/>
            <rFont val="Tahoma"/>
            <family val="2"/>
          </rPr>
          <t>Emily Lo:</t>
        </r>
        <r>
          <rPr>
            <sz val="9"/>
            <rFont val="Tahoma"/>
            <family val="2"/>
          </rPr>
          <t xml:space="preserve">
口头沟通金额，没有文件支持</t>
        </r>
      </text>
    </comment>
    <comment ref="F310" authorId="1" shapeId="0" xr:uid="{00000000-0006-0000-2400-000022000000}">
      <text>
        <r>
          <rPr>
            <b/>
            <sz val="9"/>
            <rFont val="Tahoma"/>
            <family val="2"/>
          </rPr>
          <t>Emily Lo:</t>
        </r>
        <r>
          <rPr>
            <sz val="9"/>
            <rFont val="Tahoma"/>
            <family val="2"/>
          </rPr>
          <t xml:space="preserve">
根据和谐汇2024年10-12月服务费275000</t>
        </r>
      </text>
    </comment>
    <comment ref="F312" authorId="1" shapeId="0" xr:uid="{00000000-0006-0000-2400-000023000000}">
      <text>
        <r>
          <rPr>
            <b/>
            <sz val="9"/>
            <rFont val="Tahoma"/>
            <family val="2"/>
          </rPr>
          <t>Emily Lo:</t>
        </r>
        <r>
          <rPr>
            <sz val="9"/>
            <rFont val="Tahoma"/>
            <family val="2"/>
          </rPr>
          <t xml:space="preserve">
口头沟通金额，没有文件支持</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<sst xmlns="http://schemas.openxmlformats.org/spreadsheetml/2006/main" count="11739" uniqueCount="3169">
  <si>
    <t>PRC编码</t>
  </si>
  <si>
    <t>PRC名称</t>
  </si>
  <si>
    <t>HK code</t>
  </si>
  <si>
    <t>HK Account Name</t>
  </si>
  <si>
    <t>全名</t>
  </si>
  <si>
    <t>余额方向</t>
  </si>
  <si>
    <t>科目类别</t>
  </si>
  <si>
    <t>外币核算</t>
  </si>
  <si>
    <t>核算维度</t>
  </si>
  <si>
    <t>数据状态</t>
  </si>
  <si>
    <t>1001</t>
  </si>
  <si>
    <t>库存现金</t>
  </si>
  <si>
    <t>Cash On Hand</t>
  </si>
  <si>
    <t>借方</t>
  </si>
  <si>
    <t>流动资产</t>
  </si>
  <si>
    <t>已审核</t>
  </si>
  <si>
    <t>1002</t>
  </si>
  <si>
    <t>银行存款</t>
  </si>
  <si>
    <t>Bank Deposit</t>
  </si>
  <si>
    <t>所有币别</t>
  </si>
  <si>
    <t>1002.01</t>
  </si>
  <si>
    <t>【旭智资本】银行存款账户</t>
  </si>
  <si>
    <t>银行存款_【旭智资本】银行存款账户</t>
  </si>
  <si>
    <t>ACPL Bank Account</t>
  </si>
  <si>
    <t>1002.01.01</t>
  </si>
  <si>
    <t>汇丰银行-741-282-503-838</t>
  </si>
  <si>
    <t>银行存款_【旭智资本】银行存款账户_汇丰银行-741-282-503-838</t>
  </si>
  <si>
    <t>HSBC Account 741-282-503-838</t>
  </si>
  <si>
    <t>1002.01.01.01</t>
  </si>
  <si>
    <t>【旭智资本】汇丰港元储蓄账户 3838</t>
  </si>
  <si>
    <t>银行存款_【旭智资本】银行存款账户_汇丰银行-741-282-503-838_【旭智资本】汇丰港元储蓄账户 3838</t>
  </si>
  <si>
    <t>ACPL HSBC HKD Savings</t>
  </si>
  <si>
    <t>1002.01.01.02</t>
  </si>
  <si>
    <t>【旭智资本】汇丰港元往来账户 3838</t>
  </si>
  <si>
    <t>银行存款_【旭智资本】银行存款账户_汇丰银行-741-282-503-838_【旭智资本】汇丰港元往来账户 3838</t>
  </si>
  <si>
    <t>ACPL HSBC HKD Current</t>
  </si>
  <si>
    <t>1002.01.01.03</t>
  </si>
  <si>
    <t>【旭智资本】汇丰外币储蓄账户 - 人民币 3838</t>
  </si>
  <si>
    <t>银行存款_【旭智资本】银行存款账户_汇丰银行-741-282-503-838_【旭智资本】汇丰外币储蓄账户 - 人民币 3838</t>
  </si>
  <si>
    <t>ACPL HSBC RMB Savings</t>
  </si>
  <si>
    <t>1002.01.01.04</t>
  </si>
  <si>
    <t>【旭智资本】汇丰外币储蓄账户 - 美元 3838</t>
  </si>
  <si>
    <t>银行存款_【旭智资本】银行存款账户_汇丰银行-741-282-503-838_【旭智资本】汇丰外币储蓄账户 - 美元 3838</t>
  </si>
  <si>
    <t>ACPL HSBC USD Savings</t>
  </si>
  <si>
    <t>1002.01.01.05</t>
  </si>
  <si>
    <t>【旭智资本】汇丰港元定期存款</t>
  </si>
  <si>
    <t>银行存款_【旭智资本】银行存款账户_汇丰银行-741-282-503-838_【旭智资本】汇丰港元定期存款</t>
  </si>
  <si>
    <t>ACPL HSBC HKD Time Deposit</t>
  </si>
  <si>
    <t>1002.02</t>
  </si>
  <si>
    <t>【旭智资本（香港）】银行存款账户</t>
  </si>
  <si>
    <t>银行存款_【旭智资本（香港）】银行存款账户</t>
  </si>
  <si>
    <t>ACPLHK Bank Account</t>
  </si>
  <si>
    <t>1002.02.01</t>
  </si>
  <si>
    <t>汇丰银行-741-269492-838</t>
  </si>
  <si>
    <t>银行存款_【旭智资本（香港）】银行存款账户_汇丰银行-741-269492-838</t>
  </si>
  <si>
    <t>HSBC Account 741-269492-838</t>
  </si>
  <si>
    <t>1002.02.01.01</t>
  </si>
  <si>
    <t>【旭智资本（香港）】汇丰港元储蓄账户 2838</t>
  </si>
  <si>
    <t>银行存款_【旭智资本（香港）】银行存款账户_汇丰银行-741-269492-838_【旭智资本（香港）】汇丰港元储蓄账户 2838</t>
  </si>
  <si>
    <t>ACPLHK HSBC HKD Savings</t>
  </si>
  <si>
    <t>1002.02.01.02</t>
  </si>
  <si>
    <t>【旭智资本（香港）】汇丰港元活期账户 2838</t>
  </si>
  <si>
    <t>银行存款_【旭智资本（香港）】银行存款账户_汇丰银行-741-269492-838_【旭智资本（香港）】汇丰港元活期账户 2838</t>
  </si>
  <si>
    <t>ACPLHK HSBC HKD Current</t>
  </si>
  <si>
    <t>1002.02.01.03</t>
  </si>
  <si>
    <t>【旭智资本（香港）】汇丰外币储蓄 - 人民币 2838</t>
  </si>
  <si>
    <t>银行存款_【旭智资本（香港）】银行存款账户_汇丰银行-741-269492-838_【旭智资本（香港）】汇丰外币储蓄 - 人民币 2838</t>
  </si>
  <si>
    <t>ACPLHK HSBC RMB Savings</t>
  </si>
  <si>
    <t>1002.02.01.04</t>
  </si>
  <si>
    <t>【旭智资本（香港）】汇丰外币储蓄账户 - 美元 2838</t>
  </si>
  <si>
    <t>银行存款_【旭智资本（香港）】银行存款账户_汇丰银行-741-269492-838_【旭智资本（香港）】汇丰外币储蓄账户 - 美元 2838</t>
  </si>
  <si>
    <t>ACPLHK HSBC USD Savings</t>
  </si>
  <si>
    <t>1002.02.01.05</t>
  </si>
  <si>
    <t>【旭智资本（香港）】汇丰港元定期存款</t>
  </si>
  <si>
    <t>银行存款_【旭智资本（香港）】银行存款账户_汇丰银行-741-269492-838_【旭智资本（香港）】汇丰港元定期存款</t>
  </si>
  <si>
    <t>ACPLHK HSBC HKD Time Deposit</t>
  </si>
  <si>
    <t>1002.03</t>
  </si>
  <si>
    <t>【旭智兴邦】银行存款账户</t>
  </si>
  <si>
    <t>银行存款_【旭智兴邦】银行存款账户</t>
  </si>
  <si>
    <t>Areo Bank Account</t>
  </si>
  <si>
    <t>1002.03.01</t>
  </si>
  <si>
    <t>东亚银行518-68-02386-6</t>
  </si>
  <si>
    <t>银行存款_【旭智兴邦】银行存款账户_东亚银行518-68-02386-6</t>
  </si>
  <si>
    <t>Bea Account 518-68-02386-6</t>
  </si>
  <si>
    <t>1002.03.01.01</t>
  </si>
  <si>
    <t>【旭智兴邦】东亚港元储蓄账户 3866</t>
  </si>
  <si>
    <t>银行存款_【旭智兴邦】银行存款账户_东亚银行518-68-02386-6_【旭智兴邦】东亚港元储蓄账户 3866</t>
  </si>
  <si>
    <t>Areo Bea HKD Savings</t>
  </si>
  <si>
    <t>1002.03.01.02</t>
  </si>
  <si>
    <t>【旭智兴邦】东亚港元往来账户 3866</t>
  </si>
  <si>
    <t>银行存款_【旭智兴邦】银行存款账户_东亚银行518-68-02386-6_【旭智兴邦】东亚港元往来账户 3866</t>
  </si>
  <si>
    <t>Areo Bea HKD Current</t>
  </si>
  <si>
    <t>1002.03.01.03</t>
  </si>
  <si>
    <t>【旭智兴邦】东亚外部储蓄账户 - 美元 3866</t>
  </si>
  <si>
    <t>银行存款_【旭智兴邦】银行存款账户_东亚银行518-68-02386-6_【旭智兴邦】东亚外部储蓄账户 - 美元 3866</t>
  </si>
  <si>
    <t>Areo Bea USD Savings</t>
  </si>
  <si>
    <t>1002.04</t>
  </si>
  <si>
    <t>【旭铂投资】银行存款账户</t>
  </si>
  <si>
    <t>银行存款_【旭铂投资】银行存款账户</t>
  </si>
  <si>
    <t>Rising Son Bank Account</t>
  </si>
  <si>
    <t>1002.04.01</t>
  </si>
  <si>
    <t>招商银行账户</t>
  </si>
  <si>
    <t>银行存款_【旭铂投资】银行存款账户_招商银行账户</t>
  </si>
  <si>
    <t>CMB Account</t>
  </si>
  <si>
    <t>1002.04.01.01</t>
  </si>
  <si>
    <t>【旭铂投资】招商 港元离岸账户 1001</t>
  </si>
  <si>
    <t>银行存款_【旭铂投资】银行存款账户_招商银行账户_【旭铂投资】招商 港元离岸账户 1001</t>
  </si>
  <si>
    <t>Rising Son CMB HKD-OSA 1001</t>
  </si>
  <si>
    <t>1002.04.01.02</t>
  </si>
  <si>
    <t>【旭铂投资】招商 美元离岸账户 2001</t>
  </si>
  <si>
    <t>银行存款_【旭铂投资】银行存款账户_招商银行账户_【旭铂投资】招商 美元离岸账户 2001</t>
  </si>
  <si>
    <t>Rising Son CMB USD-OSA 2001</t>
  </si>
  <si>
    <t>1002.04.01.03</t>
  </si>
  <si>
    <t>【旭铂投资】招商 欧元离岸账户 5001</t>
  </si>
  <si>
    <t>银行存款_【旭铂投资】银行存款账户_招商银行账户_【旭铂投资】招商 欧元离岸账户 5001</t>
  </si>
  <si>
    <t>Rising Son CMB EUR-OSA 5001</t>
  </si>
  <si>
    <t>1002.10</t>
  </si>
  <si>
    <t>【旭智资本（开曼）】银行存款账户</t>
  </si>
  <si>
    <t>银行存款_【旭智资本（开曼）】银行存款账户</t>
  </si>
  <si>
    <t>ACPL(Cayman) Bank Account</t>
  </si>
  <si>
    <t>1002.20</t>
  </si>
  <si>
    <t>【广州旭智】银行存款账户</t>
  </si>
  <si>
    <t>银行存款_【广州旭智】银行存款账户</t>
  </si>
  <si>
    <t>ACPLGZ Bank Account</t>
  </si>
  <si>
    <t>1002.20.01</t>
  </si>
  <si>
    <t>中国银行账户</t>
  </si>
  <si>
    <t>银行存款_【广州旭智】银行存款账户_中国银行账户</t>
  </si>
  <si>
    <t>BOC Account</t>
  </si>
  <si>
    <t>1002.20.01.01</t>
  </si>
  <si>
    <t>【广州旭智】中银 人民币基本户 1992</t>
  </si>
  <si>
    <t>银行存款_【广州旭智】银行存款账户_中国银行账户_【广州旭智】中银 人民币基本户 1992</t>
  </si>
  <si>
    <t>ACPLGZ BOC RMB BDA 1992</t>
  </si>
  <si>
    <t>1002.20.01.02</t>
  </si>
  <si>
    <t>【广州旭智】中银 人民币一般户 7284</t>
  </si>
  <si>
    <t>银行存款_【广州旭智】银行存款账户_中国银行账户_【广州旭智】中银 人民币一般户 7284</t>
  </si>
  <si>
    <t>ACPLGZ BOC RMB GDA 7284</t>
  </si>
  <si>
    <t>1002.20.01.03</t>
  </si>
  <si>
    <t>【广州旭智】中银 美元资本金账户 7474</t>
  </si>
  <si>
    <t>银行存款_【广州旭智】银行存款账户_中国银行账户_【广州旭智】中银 美元资本金账户 7474</t>
  </si>
  <si>
    <t>ACPLGZ BOC USD CFA 7474</t>
  </si>
  <si>
    <t>1002.20.01.04</t>
  </si>
  <si>
    <t>【广州旭智】中银 人民币结汇待支付账户 8307</t>
  </si>
  <si>
    <t>银行存款_【广州旭智】银行存款账户_中国银行账户_【广州旭智】中银 人民币结汇待支付账户 8307</t>
  </si>
  <si>
    <t>ACPLGZ BOC RMB CFA 8307</t>
  </si>
  <si>
    <t>1002.20.02</t>
  </si>
  <si>
    <t>兴业银行账户</t>
  </si>
  <si>
    <t>银行存款_【广州旭智】银行存款账户_兴业银行账户</t>
  </si>
  <si>
    <t>CIB Account</t>
  </si>
  <si>
    <t>1002.20.02.01</t>
  </si>
  <si>
    <t>【广州旭智】兴业 人民币专用存款账户 7362</t>
  </si>
  <si>
    <t>银行存款_【广州旭智】银行存款账户_兴业银行账户_【广州旭智】兴业 人民币专用存款账户 7362</t>
  </si>
  <si>
    <t>ACPLGZ CIB RMB GDA 7362</t>
  </si>
  <si>
    <t>1002.21</t>
  </si>
  <si>
    <t>【旭智咨询】银行存款账户</t>
  </si>
  <si>
    <t>银行存款_【旭智咨询】银行存款账户</t>
  </si>
  <si>
    <t>ACPLSZ Bank Account</t>
  </si>
  <si>
    <t>1002.21.01</t>
  </si>
  <si>
    <t>银行存款_【旭智咨询】银行存款账户_招商银行账户</t>
  </si>
  <si>
    <t>1002.21.01.01</t>
  </si>
  <si>
    <t>【旭智咨询】招商 人民币基本户 0108</t>
  </si>
  <si>
    <t>银行存款_【旭智咨询】银行存款账户_招商银行账户_【旭智咨询】招商 人民币基本户 0108</t>
  </si>
  <si>
    <t>ACPLSZ CMB RMB BDA 0108</t>
  </si>
  <si>
    <t>1002.21.01.02</t>
  </si>
  <si>
    <t>【旭智咨询】招商 人民币资本金账户 0202</t>
  </si>
  <si>
    <t>银行存款_【旭智咨询】银行存款账户_招商银行账户_【旭智咨询】招商 人民币资本金账户 0202</t>
  </si>
  <si>
    <t>ACPLSZ CMB RMB CFA 0202</t>
  </si>
  <si>
    <t>1002.21.01.03</t>
  </si>
  <si>
    <t>【旭智咨询】招商 美元资本金账户 2801</t>
  </si>
  <si>
    <t>银行存款_【旭智咨询】银行存款账户_招商银行账户_【旭智咨询】招商 美元资本金账户 2801</t>
  </si>
  <si>
    <t>ACPLSZ CMB USD CFA 2801</t>
  </si>
  <si>
    <t>1002.22</t>
  </si>
  <si>
    <t>【旭智咨询北京】银行存款账户</t>
  </si>
  <si>
    <t>银行存款_【旭智咨询北京】银行存款账户</t>
  </si>
  <si>
    <t>ACPLSZ Bj Bank Account</t>
  </si>
  <si>
    <t>1002.22.01</t>
  </si>
  <si>
    <t>银行存款_【旭智咨询北京】银行存款账户_招商银行账户</t>
  </si>
  <si>
    <t>CMB Bank Account</t>
  </si>
  <si>
    <t>1002.22.01.01</t>
  </si>
  <si>
    <t>【旭智咨询北京】人民币基本户 0001</t>
  </si>
  <si>
    <t>银行存款_【旭智咨询北京】银行存款账户_招商银行账户_【旭智咨询北京】人民币基本户 0001</t>
  </si>
  <si>
    <t>ACPLSZ Bj CMB RMB BDA 0001</t>
  </si>
  <si>
    <t>1002.23</t>
  </si>
  <si>
    <t>【旭智私募】银行存款账户</t>
  </si>
  <si>
    <t>银行存款_【旭智私募】银行存款账户</t>
  </si>
  <si>
    <t>ACPSZL Bank Account</t>
  </si>
  <si>
    <t>1002.23.01</t>
  </si>
  <si>
    <t>农业银行账户</t>
  </si>
  <si>
    <t>银行存款_【旭智私募】银行存款账户_农业银行账户</t>
  </si>
  <si>
    <t>ABC Account</t>
  </si>
  <si>
    <t>1002.23.01.01</t>
  </si>
  <si>
    <t>【旭智私募】农行 人民币基本户 6018</t>
  </si>
  <si>
    <t>银行存款_【旭智私募】银行存款账户_农业银行账户_【旭智私募】农行 人民币基本户 6018</t>
  </si>
  <si>
    <t>ACPSZL ABC RMB BDA 6018</t>
  </si>
  <si>
    <t>1002.23.01.01.01</t>
  </si>
  <si>
    <t>【旭智私募】农行 人民币基本户 6018 活期存款</t>
  </si>
  <si>
    <t>银行存款_【旭智私募】银行存款账户_农业银行账户_【旭智私募】农行 人民币基本户 6018_【旭智私募】农行 人民币基本户 6018 活期存款</t>
  </si>
  <si>
    <t>ACPSZL ABC RMB BDA 6018 Current</t>
  </si>
  <si>
    <t>1002.23.01.01.02</t>
  </si>
  <si>
    <t>【旭智私募】农行 人民币基本户 6018 七天通知存款</t>
  </si>
  <si>
    <t>银行存款_【旭智私募】银行存款账户_农业银行账户_【旭智私募】农行 人民币基本户 6018_【旭智私募】农行 人民币基本户 6018 七天通知存款</t>
  </si>
  <si>
    <t>ACPSZL ABC RMB BDA 6018 Seven-day notice deposit</t>
  </si>
  <si>
    <t>1002.23.01.02</t>
  </si>
  <si>
    <t>【旭智私募】农行 人民币资本金账户 6026</t>
  </si>
  <si>
    <t>银行存款_【旭智私募】银行存款账户_农业银行账户_【旭智私募】农行 人民币资本金账户 6026</t>
  </si>
  <si>
    <t>ACPSZL ABC RMB CFA 6026</t>
  </si>
  <si>
    <t>1002.23.01.02.01</t>
  </si>
  <si>
    <t>【旭智私募】农行 人民币资本金账户 6026 活期存款</t>
  </si>
  <si>
    <t>银行存款_【旭智私募】银行存款账户_农业银行账户_【旭智私募】农行 人民币资本金账户 6026_【旭智私募】农行 人民币资本金账户 6026 活期存款</t>
  </si>
  <si>
    <t>ACPSZL ABC RMB CFA 6026 Current</t>
  </si>
  <si>
    <t>1002.23.01.02.02</t>
  </si>
  <si>
    <t>【旭智私募】农行 人民币资本金账户 6026 七天通知存款</t>
  </si>
  <si>
    <t>银行存款_【旭智私募】银行存款账户_农业银行账户_【旭智私募】农行 人民币资本金账户 6026_【旭智私募】农行 人民币资本金账户 6026 七天通知存款</t>
  </si>
  <si>
    <t>ACPSZL ABC RMB CFA 6026 Seven-day notice deposit</t>
  </si>
  <si>
    <t>1002.23.01.03</t>
  </si>
  <si>
    <t>【旭智私募】农行 港元资本金账户 7230</t>
  </si>
  <si>
    <t>银行存款_【旭智私募】银行存款账户_农业银行账户_【旭智私募】农行 港元资本金账户 7230</t>
  </si>
  <si>
    <t>ACPSZL ABC HKD CFA 7230</t>
  </si>
  <si>
    <t>1002.23.01.04</t>
  </si>
  <si>
    <t>【旭智私募】农行 人民币结汇待支付账户 7248</t>
  </si>
  <si>
    <t>银行存款_【旭智私募】银行存款账户_农业银行账户_【旭智私募】农行 人民币结汇待支付账户 7248</t>
  </si>
  <si>
    <t>ACPSZL ABC RMB FESPPA 7248</t>
  </si>
  <si>
    <t>1002.23.01.04.01</t>
  </si>
  <si>
    <t>【旭智私募】农行 人民币结汇待支付账户 7248 活期存款</t>
  </si>
  <si>
    <t>银行存款_【旭智私募】银行存款账户_农业银行账户_【旭智私募】农行 人民币结汇待支付账户 7248_【旭智私募】农行 人民币结汇待支付账户 7248 活期存款</t>
  </si>
  <si>
    <t>ACPSZL ABC RMB FESPPA 7248 Current</t>
  </si>
  <si>
    <t>1002.23.01.04.02</t>
  </si>
  <si>
    <t>【旭智私募】农行 人民币结汇待支付账户 7248 定期存款</t>
  </si>
  <si>
    <t>银行存款_【旭智私募】银行存款账户_农业银行账户_【旭智私募】农行 人民币结汇待支付账户 7248_【旭智私募】农行 人民币结汇待支付账户 7248 定期存款</t>
  </si>
  <si>
    <t>ACPSZL ABC RMB FESPPA 7248 Time Deposit</t>
  </si>
  <si>
    <t>1002.24</t>
  </si>
  <si>
    <t>【宜兴旭智】银行存款账户</t>
  </si>
  <si>
    <t>银行存款_【宜兴旭智】银行存款账户</t>
  </si>
  <si>
    <t>Yixing Albamen Bank Account</t>
  </si>
  <si>
    <t>1002.24.01</t>
  </si>
  <si>
    <t>银行存款_【宜兴旭智】银行存款账户_招商银行账户</t>
  </si>
  <si>
    <t>1002.24.01.01</t>
  </si>
  <si>
    <t>【宜兴旭智】招商 人民币基本户 0001</t>
  </si>
  <si>
    <t>银行存款_【宜兴旭智】银行存款账户_招商银行账户_【宜兴旭智】招商 人民币基本户 0001</t>
  </si>
  <si>
    <t>Yixing Albamen CMB RMB BDA 0001</t>
  </si>
  <si>
    <t>1002.25</t>
  </si>
  <si>
    <t>【旭智兴邦（潍坊）】银行存款账户</t>
  </si>
  <si>
    <t>银行存款_【旭智兴邦（潍坊）】银行存款账户</t>
  </si>
  <si>
    <t>Areo (Weifang) Bank Account</t>
  </si>
  <si>
    <t>1002.25.01</t>
  </si>
  <si>
    <t>银行存款_【旭智兴邦（潍坊）】银行存款账户_招商银行账户</t>
  </si>
  <si>
    <t>1002.25.01.01</t>
  </si>
  <si>
    <t>【旭智兴邦（潍坊）】招商 人民币基本户 0701</t>
  </si>
  <si>
    <t>银行存款_【旭智兴邦（潍坊）】银行存款账户_招商银行账户_【旭智兴邦（潍坊）】招商 人民币基本户 0701</t>
  </si>
  <si>
    <t>Areo (Weifang) CMB RMB BDA 0701</t>
  </si>
  <si>
    <t>1002.25.01.02</t>
  </si>
  <si>
    <t>【旭智兴邦（潍坊）】招商 美元资本金账户 2461</t>
  </si>
  <si>
    <t>银行存款_【旭智兴邦（潍坊）】银行存款账户_招商银行账户_【旭智兴邦（潍坊）】招商 美元资本金账户 2461</t>
  </si>
  <si>
    <t>Areo (Weifang) CMB USD CFA 2461</t>
  </si>
  <si>
    <t>1002.26</t>
  </si>
  <si>
    <t>【旭智兴邦（寿光）】银行存款账户</t>
  </si>
  <si>
    <t>银行存款_【旭智兴邦（寿光）】银行存款账户</t>
  </si>
  <si>
    <t>Areo (Shouguang) Bank Account</t>
  </si>
  <si>
    <t>1002.26.01</t>
  </si>
  <si>
    <t>银行存款_【旭智兴邦（寿光）】银行存款账户_招商银行账户</t>
  </si>
  <si>
    <t>1002.26.01.01</t>
  </si>
  <si>
    <t>【旭智兴邦（寿光）】招商 人民币基本户 0301</t>
  </si>
  <si>
    <t>银行存款_【旭智兴邦（寿光）】银行存款账户_招商银行账户_【旭智兴邦（寿光）】招商 人民币基本户 0301</t>
  </si>
  <si>
    <t>Areo (Shouguang) CMB RMB BDA 0301</t>
  </si>
  <si>
    <t>1002.30</t>
  </si>
  <si>
    <t>【旭智富能】银行存款账户</t>
  </si>
  <si>
    <t>银行存款_【旭智富能】银行存款账户</t>
  </si>
  <si>
    <t>Albamen Foxpower Bank Account</t>
  </si>
  <si>
    <t>1002.30.01</t>
  </si>
  <si>
    <t>平安银行账户</t>
  </si>
  <si>
    <t>银行存款_【旭智富能】银行存款账户_平安银行账户</t>
  </si>
  <si>
    <t>PAB Account</t>
  </si>
  <si>
    <t>1002.30.01.01</t>
  </si>
  <si>
    <t>【旭智富能】平安 人民币基本户 0075</t>
  </si>
  <si>
    <t>银行存款_【旭智富能】银行存款账户_平安银行账户_【旭智富能】平安 人民币基本户 0075</t>
  </si>
  <si>
    <t>Foxpower PAB RMB BDA 0075</t>
  </si>
  <si>
    <t>1002.31</t>
  </si>
  <si>
    <t>【郴州景叶新能源】银行存款账户</t>
  </si>
  <si>
    <t>银行存款_【郴州景叶新能源】银行存款账户</t>
  </si>
  <si>
    <t>Chenzhou Jingye Bank Account</t>
  </si>
  <si>
    <t>1002.31.01</t>
  </si>
  <si>
    <t>银行存款_【郴州景叶新能源】银行存款账户_中国银行账户</t>
  </si>
  <si>
    <t>1002.31.01.01</t>
  </si>
  <si>
    <t>【郴州景叶新能源】中银 人民币基本户 9771</t>
  </si>
  <si>
    <t>银行存款_【郴州景叶新能源】银行存款账户_中国银行账户_【郴州景叶新能源】中银 人民币基本户 9771</t>
  </si>
  <si>
    <t>Chenzhou Jingye BOC RMB BDA 9771</t>
  </si>
  <si>
    <t>1002.31.02</t>
  </si>
  <si>
    <t>建设银行账户</t>
  </si>
  <si>
    <t>银行存款_【郴州景叶新能源】银行存款账户_建设银行账户</t>
  </si>
  <si>
    <t>CCB Account</t>
  </si>
  <si>
    <t>1002.31.02.01</t>
  </si>
  <si>
    <t>【郴州景叶新能源】建行 人民币一般户 1275</t>
  </si>
  <si>
    <t>银行存款_【郴州景叶新能源】银行存款账户_建设银行账户_【郴州景叶新能源】建行 人民币一般户 1275</t>
  </si>
  <si>
    <t>Chenzhou Jingye CCB RMB GDA 1275</t>
  </si>
  <si>
    <t>1002.31.03</t>
  </si>
  <si>
    <t>三湘银行账户</t>
  </si>
  <si>
    <t>银行存款_【郴州景叶新能源】银行存款账户_三湘银行账户</t>
  </si>
  <si>
    <t>Sxb Account</t>
  </si>
  <si>
    <t>1002.31.03.01</t>
  </si>
  <si>
    <t>【郴州景叶新能源】三湘 人民币一般户 4937</t>
  </si>
  <si>
    <t>银行存款_【郴州景叶新能源】银行存款账户_三湘银行账户_【郴州景叶新能源】三湘 人民币一般户 4937</t>
  </si>
  <si>
    <t>Chenzhou Jingye SXB RMB GDA 4937</t>
  </si>
  <si>
    <t>1002.31.04</t>
  </si>
  <si>
    <t>银行存款_【郴州景叶新能源】银行存款账户_兴业银行账户</t>
  </si>
  <si>
    <t>1002.31.04.01</t>
  </si>
  <si>
    <t>【郴州景叶新能源】兴业 人民监管户 9000</t>
  </si>
  <si>
    <t>银行存款_【郴州景叶新能源】银行存款账户_兴业银行账户_【郴州景叶新能源】兴业 人民监管户 9000</t>
  </si>
  <si>
    <t>Chenzhou Jingye CIB RMB RA 9000</t>
  </si>
  <si>
    <t>1002.32</t>
  </si>
  <si>
    <t>【旭智富能（成都）】银行存款账户</t>
  </si>
  <si>
    <t>银行存款_【旭智富能（成都）】银行存款账户</t>
  </si>
  <si>
    <t>Albamen Foxpower(Chengdu) Bank Account</t>
  </si>
  <si>
    <t>1002.33</t>
  </si>
  <si>
    <t>【旭智富联（鹤壁）】银行存款账户</t>
  </si>
  <si>
    <t>银行存款_【旭智富联（鹤壁）】银行存款账户</t>
  </si>
  <si>
    <t>Albamen Foxconn (Hebi) Bank Account</t>
  </si>
  <si>
    <t>1012</t>
  </si>
  <si>
    <t>其他货币资金</t>
  </si>
  <si>
    <t>Other Monetary Fund</t>
  </si>
  <si>
    <t>1101</t>
  </si>
  <si>
    <t>交易性金融资产</t>
  </si>
  <si>
    <t>Financial Assets Held For Trading</t>
  </si>
  <si>
    <t>1101.01</t>
  </si>
  <si>
    <t>投资成本</t>
  </si>
  <si>
    <t>交易性金融资产_投资成本</t>
  </si>
  <si>
    <t>Investment Cost</t>
  </si>
  <si>
    <t>1101.01.01</t>
  </si>
  <si>
    <t>基金</t>
  </si>
  <si>
    <t>交易性金融资产_投资成本_基金</t>
  </si>
  <si>
    <t>Fund Investments</t>
  </si>
  <si>
    <t>1101.01.02</t>
  </si>
  <si>
    <t>股权</t>
  </si>
  <si>
    <t>交易性金融资产_投资成本_股权</t>
  </si>
  <si>
    <t>Equity Investments</t>
  </si>
  <si>
    <t>1101.01.02.01</t>
  </si>
  <si>
    <t>宜兴旭智投资咨询合伙企业（有限合伙）</t>
  </si>
  <si>
    <t>交易性金融资产_投资成本_股权_宜兴旭智投资咨询合伙企业（有限合伙）</t>
  </si>
  <si>
    <t>Yixing Albamen Investment Consultancy Limited Partnership</t>
  </si>
  <si>
    <t>1101.01.02.02</t>
  </si>
  <si>
    <t>旭智富能新能源（深圳）有限责任公司</t>
  </si>
  <si>
    <t>交易性金融资产_投资成本_股权_旭智富能新能源（深圳）有限责任公司</t>
  </si>
  <si>
    <t>Albamen Foxpower Renewable Energy (Shenzhen) Company Limited</t>
  </si>
  <si>
    <t>1101.01.03</t>
  </si>
  <si>
    <t>银行理财</t>
  </si>
  <si>
    <t>交易性金融资产_投资成本_银行理财</t>
  </si>
  <si>
    <t>Treasury Products</t>
  </si>
  <si>
    <t>1101.02</t>
  </si>
  <si>
    <t>公允价值变动</t>
  </si>
  <si>
    <t>交易性金融资产_公允价值变动</t>
  </si>
  <si>
    <t>Changes In Fair Value</t>
  </si>
  <si>
    <t>1101.02.01</t>
  </si>
  <si>
    <t>交易性金融资产_公允价值变动_基金</t>
  </si>
  <si>
    <t>1101.02.02</t>
  </si>
  <si>
    <t>交易性金融资产_公允价值变动_股权</t>
  </si>
  <si>
    <t>1101.02.02.01</t>
  </si>
  <si>
    <t>交易性金融资产_公允价值变动_股权_宜兴旭智投资咨询合伙企业（有限合伙）</t>
  </si>
  <si>
    <t>1101.02.02.02</t>
  </si>
  <si>
    <t>交易性金融资产_公允价值变动_股权_旭智富能新能源（深圳）有限责任公司</t>
  </si>
  <si>
    <t>1101.02.03</t>
  </si>
  <si>
    <t>交易性金融资产_公允价值变动_银行理财</t>
  </si>
  <si>
    <t>1121</t>
  </si>
  <si>
    <t>应收票据</t>
  </si>
  <si>
    <t>Bills Receivables</t>
  </si>
  <si>
    <t>客户</t>
  </si>
  <si>
    <t>1122</t>
  </si>
  <si>
    <t>应收账款</t>
  </si>
  <si>
    <t>Accounts Receivables</t>
  </si>
  <si>
    <t>1122.01</t>
  </si>
  <si>
    <t>咨询费收入</t>
  </si>
  <si>
    <t>应收账款_咨询费收入</t>
  </si>
  <si>
    <t>Entities</t>
  </si>
  <si>
    <t>1122.02</t>
  </si>
  <si>
    <t>管理费收入</t>
  </si>
  <si>
    <t>应收账款_管理费收入</t>
  </si>
  <si>
    <t>Individual</t>
  </si>
  <si>
    <t>1122.03</t>
  </si>
  <si>
    <t>售电收入</t>
  </si>
  <si>
    <t>应收账款_售电收入</t>
  </si>
  <si>
    <t xml:space="preserve"> Electricity Sales Revenue</t>
  </si>
  <si>
    <t>1122.03.01</t>
  </si>
  <si>
    <t>暂估结算电费</t>
  </si>
  <si>
    <t>应收账款_售电收入_暂估结算电费</t>
  </si>
  <si>
    <t>Estimated Electricity</t>
  </si>
  <si>
    <t>1122.03.02</t>
  </si>
  <si>
    <t>实际结算电费</t>
  </si>
  <si>
    <t>应收账款_售电收入_实际结算电费</t>
  </si>
  <si>
    <t>Actuai Electricity</t>
  </si>
  <si>
    <t>1123</t>
  </si>
  <si>
    <t>预付账款</t>
  </si>
  <si>
    <t>Prepayments</t>
  </si>
  <si>
    <t>供应商</t>
  </si>
  <si>
    <t>1123.01</t>
  </si>
  <si>
    <t>单位</t>
  </si>
  <si>
    <t>预付账款_单位</t>
  </si>
  <si>
    <t>1123.02</t>
  </si>
  <si>
    <t>个人</t>
  </si>
  <si>
    <t>预付账款_个人</t>
  </si>
  <si>
    <t>1131</t>
  </si>
  <si>
    <t>应收股利</t>
  </si>
  <si>
    <t>Dividends Receivables</t>
  </si>
  <si>
    <t>其他往来单位</t>
  </si>
  <si>
    <t>1132</t>
  </si>
  <si>
    <t>应收利息</t>
  </si>
  <si>
    <t>Interest Receivables</t>
  </si>
  <si>
    <t>1221</t>
  </si>
  <si>
    <t>其他应收款</t>
  </si>
  <si>
    <t>Other Receivables</t>
  </si>
  <si>
    <t>1221.01</t>
  </si>
  <si>
    <t>其他应收款_单位</t>
  </si>
  <si>
    <t>1221.02</t>
  </si>
  <si>
    <t>其他应收款_个人</t>
  </si>
  <si>
    <t>1221.03</t>
  </si>
  <si>
    <t>多流水性质过渡科目</t>
  </si>
  <si>
    <t>其他应收款_多流水性质过渡科目</t>
  </si>
  <si>
    <t>Multi-Transaction Nature Clearing Account</t>
  </si>
  <si>
    <t>1221.04</t>
  </si>
  <si>
    <t>重能内部存款</t>
  </si>
  <si>
    <t>其他应收款_重能内部存款</t>
  </si>
  <si>
    <t>Sany Internal Deposit</t>
  </si>
  <si>
    <t>1231</t>
  </si>
  <si>
    <t>坏账准备</t>
  </si>
  <si>
    <t>Allowance For Doubtful Accounts</t>
  </si>
  <si>
    <t>贷方</t>
  </si>
  <si>
    <t>1321</t>
  </si>
  <si>
    <t>代理业务资产</t>
  </si>
  <si>
    <t>Agency Business Assets</t>
  </si>
  <si>
    <t>1401</t>
  </si>
  <si>
    <t>材料采购</t>
  </si>
  <si>
    <t>Material Procurement</t>
  </si>
  <si>
    <t>1402</t>
  </si>
  <si>
    <t>在途物资</t>
  </si>
  <si>
    <t>Goods In Transit</t>
  </si>
  <si>
    <t>1403</t>
  </si>
  <si>
    <t>原材料</t>
  </si>
  <si>
    <t>Raw Materials</t>
  </si>
  <si>
    <t>1404</t>
  </si>
  <si>
    <t>材料成本差异</t>
  </si>
  <si>
    <t>Material Cost Variance</t>
  </si>
  <si>
    <t>1405</t>
  </si>
  <si>
    <t>库存商品</t>
  </si>
  <si>
    <t>Merchandise Inventory</t>
  </si>
  <si>
    <t>1406</t>
  </si>
  <si>
    <t>发出商品</t>
  </si>
  <si>
    <t>Goods Shipped</t>
  </si>
  <si>
    <t>1407</t>
  </si>
  <si>
    <t>商品进销差价</t>
  </si>
  <si>
    <t>Gross Margin On Sales</t>
  </si>
  <si>
    <t>1408</t>
  </si>
  <si>
    <t>委托加工物资</t>
  </si>
  <si>
    <t>Consigned Processing Materials</t>
  </si>
  <si>
    <t>1411</t>
  </si>
  <si>
    <t>周转材料</t>
  </si>
  <si>
    <t>Revolving Materials</t>
  </si>
  <si>
    <t>1462</t>
  </si>
  <si>
    <t>合同资产</t>
  </si>
  <si>
    <t>Contract Assets</t>
  </si>
  <si>
    <t>1463</t>
  </si>
  <si>
    <t>合同资产减值准备</t>
  </si>
  <si>
    <t>Provision For Impairment Of Contract Assets</t>
  </si>
  <si>
    <t>1464</t>
  </si>
  <si>
    <t>合同履约成本</t>
  </si>
  <si>
    <t>Contract Fulfillment Costs</t>
  </si>
  <si>
    <t>1465</t>
  </si>
  <si>
    <t>合同履约成本减值准备</t>
  </si>
  <si>
    <t>Provision For Impairment Of Contract Fulfillment Costs</t>
  </si>
  <si>
    <t>1466</t>
  </si>
  <si>
    <t>合同取得成本</t>
  </si>
  <si>
    <t>Cost Of Contract Acquisition</t>
  </si>
  <si>
    <t>1467</t>
  </si>
  <si>
    <t>合同取得成本减值准备</t>
  </si>
  <si>
    <t>Provision For Impairment Of Cost Of Contract Acquisition</t>
  </si>
  <si>
    <t>1471</t>
  </si>
  <si>
    <t>存货跌价准备</t>
  </si>
  <si>
    <t>Inventory Write-Down</t>
  </si>
  <si>
    <t>1481</t>
  </si>
  <si>
    <t>持有待售资产</t>
  </si>
  <si>
    <t>Assets Held For Sale</t>
  </si>
  <si>
    <t>1482</t>
  </si>
  <si>
    <t>持有待售资产减值准备</t>
  </si>
  <si>
    <t>Provision For Impairment Of Assets Held For Sale</t>
  </si>
  <si>
    <t>1483</t>
  </si>
  <si>
    <t>其他流动资产</t>
  </si>
  <si>
    <t>Other Current Assets</t>
  </si>
  <si>
    <t>1485</t>
  </si>
  <si>
    <t>应收退货成本</t>
  </si>
  <si>
    <t>Return Costs Receivable</t>
  </si>
  <si>
    <t>1501</t>
  </si>
  <si>
    <t>债权投资</t>
  </si>
  <si>
    <t>Debt Investment</t>
  </si>
  <si>
    <t>非流动资产</t>
  </si>
  <si>
    <t>1502</t>
  </si>
  <si>
    <t>债权投资减值准备</t>
  </si>
  <si>
    <t>Provision For Impairment Of Debt Investments</t>
  </si>
  <si>
    <t>1503</t>
  </si>
  <si>
    <t>其他债权投资</t>
  </si>
  <si>
    <t>Other Debt Investments</t>
  </si>
  <si>
    <t>1504</t>
  </si>
  <si>
    <t>其他权益工具投资</t>
  </si>
  <si>
    <t>Investments In Other Equity Instruments</t>
  </si>
  <si>
    <t>1511</t>
  </si>
  <si>
    <t>长期股权投资</t>
  </si>
  <si>
    <t>Long-Term Equity Investments</t>
  </si>
  <si>
    <t>1511.01</t>
  </si>
  <si>
    <t>长期股权投资_投资成本</t>
  </si>
  <si>
    <t>Investment Costs</t>
  </si>
  <si>
    <t>1511.01.01</t>
  </si>
  <si>
    <t>长期股权投资_投资成本_宜兴旭智投资咨询合伙企业（有限合伙）</t>
  </si>
  <si>
    <t xml:space="preserve"> Yixing Albamen Investment Consultancy Limited Partnership</t>
  </si>
  <si>
    <t>1511.01.02</t>
  </si>
  <si>
    <t>旭智资本有限公司</t>
  </si>
  <si>
    <t>长期股权投资_投资成本_旭智资本有限公司</t>
  </si>
  <si>
    <t xml:space="preserve"> Albamen Capital Partners Limited</t>
  </si>
  <si>
    <t>1511.01.03</t>
  </si>
  <si>
    <t>旭智资本（香港）有限公司</t>
  </si>
  <si>
    <t>长期股权投资_投资成本_旭智资本（香港）有限公司</t>
  </si>
  <si>
    <t xml:space="preserve"> Albamen Capital Partners (Hong Kong) Limited</t>
  </si>
  <si>
    <t>1511.01.04</t>
  </si>
  <si>
    <t>广州旭智投资控股有限责任公司</t>
  </si>
  <si>
    <t>长期股权投资_投资成本_广州旭智投资控股有限责任公司</t>
  </si>
  <si>
    <t xml:space="preserve"> Albamen Capital Partners (Guangzhou) Company Limited</t>
  </si>
  <si>
    <t>1511.01.05</t>
  </si>
  <si>
    <t>旭智兴邦有限公司</t>
  </si>
  <si>
    <t>长期股权投资_投资成本_旭智兴邦有限公司</t>
  </si>
  <si>
    <t xml:space="preserve"> AREO Holdings Company Limited</t>
  </si>
  <si>
    <t>1511.01.06</t>
  </si>
  <si>
    <t>旭智资本（开曼）有限公司</t>
  </si>
  <si>
    <t>长期股权投资_投资成本_旭智资本（开曼）有限公司</t>
  </si>
  <si>
    <t xml:space="preserve"> Albamen Capital Partners (Cayman) Company Limited</t>
  </si>
  <si>
    <t>1511.01.07</t>
  </si>
  <si>
    <t>旭智咨询管理（深圳）有限责任公司</t>
  </si>
  <si>
    <t>长期股权投资_投资成本_旭智咨询管理（深圳）有限责任公司</t>
  </si>
  <si>
    <t xml:space="preserve"> Albamen Capital Partners (Shenzhen) Company Limited</t>
  </si>
  <si>
    <t>1511.01.08</t>
  </si>
  <si>
    <t>深圳旭智私募股权基金管理有限公司</t>
  </si>
  <si>
    <t>长期股权投资_投资成本_深圳旭智私募股权基金管理有限公司</t>
  </si>
  <si>
    <t>Albamen Capital Partners (Shenzhen) Limited</t>
  </si>
  <si>
    <t>1511.01.09</t>
  </si>
  <si>
    <t>长期股权投资_投资成本_旭智富能新能源（深圳）有限责任公司</t>
  </si>
  <si>
    <t>1511.01.10</t>
  </si>
  <si>
    <t>郴州市苏仙区景叶新能源有限责任公司</t>
  </si>
  <si>
    <t>长期股权投资_投资成本_郴州市苏仙区景叶新能源有限责任公司</t>
  </si>
  <si>
    <t>Chenzhou Suxian District Jingye New Energy Co., Ltd</t>
  </si>
  <si>
    <t>1511.02</t>
  </si>
  <si>
    <t>损益调整</t>
  </si>
  <si>
    <t>长期股权投资_损益调整</t>
  </si>
  <si>
    <t>Profit And Loss Adjustments</t>
  </si>
  <si>
    <t>1511.03</t>
  </si>
  <si>
    <t>所有者权益其他变动</t>
  </si>
  <si>
    <t>长期股权投资_所有者权益其他变动</t>
  </si>
  <si>
    <t>Other Changes In Owners' Equity</t>
  </si>
  <si>
    <t>1512</t>
  </si>
  <si>
    <t>长期股权投资减值准备</t>
  </si>
  <si>
    <t>Impairment Provision On Long-Term Equity Investments</t>
  </si>
  <si>
    <t>1521</t>
  </si>
  <si>
    <t>投资性房地产</t>
  </si>
  <si>
    <t>Investment Property</t>
  </si>
  <si>
    <t>1521.01</t>
  </si>
  <si>
    <t>成本</t>
  </si>
  <si>
    <t>投资性房地产_成本</t>
  </si>
  <si>
    <t>1521.02</t>
  </si>
  <si>
    <t>投资性房地产_公允价值变动</t>
  </si>
  <si>
    <t>1531</t>
  </si>
  <si>
    <t>长期应收款</t>
  </si>
  <si>
    <t>Long-Term Receivables</t>
  </si>
  <si>
    <t>1532</t>
  </si>
  <si>
    <t>未实现融资收益</t>
  </si>
  <si>
    <t>Unrealized Financing Income</t>
  </si>
  <si>
    <t>1601</t>
  </si>
  <si>
    <t>固定资产</t>
  </si>
  <si>
    <t>Fixed Assets</t>
  </si>
  <si>
    <t>1601.01</t>
  </si>
  <si>
    <t>电子设备</t>
  </si>
  <si>
    <t>固定资产_电子设备</t>
  </si>
  <si>
    <t>Electronic Equipment</t>
  </si>
  <si>
    <t>1601.02</t>
  </si>
  <si>
    <t>房屋建筑物</t>
  </si>
  <si>
    <t>固定资产_房屋建筑物</t>
  </si>
  <si>
    <t>Buildings</t>
  </si>
  <si>
    <t>1601.03</t>
  </si>
  <si>
    <t>机器设备</t>
  </si>
  <si>
    <t>固定资产_机器设备</t>
  </si>
  <si>
    <t>Machinery Equipment</t>
  </si>
  <si>
    <t>1601.04</t>
  </si>
  <si>
    <t>家具设备</t>
  </si>
  <si>
    <t>固定资产_家具设备</t>
  </si>
  <si>
    <t>Furniture Equipment</t>
  </si>
  <si>
    <t>1602</t>
  </si>
  <si>
    <t>累计折旧</t>
  </si>
  <si>
    <t>Accumulated Depreciation</t>
  </si>
  <si>
    <t>1602.01</t>
  </si>
  <si>
    <t>累计折旧_电子设备</t>
  </si>
  <si>
    <t>1602.02</t>
  </si>
  <si>
    <t>累计折旧_房屋建筑物</t>
  </si>
  <si>
    <t>1602.03</t>
  </si>
  <si>
    <t>累计折旧_机器设备</t>
  </si>
  <si>
    <t>1602.04</t>
  </si>
  <si>
    <t>累计折旧_家具设备</t>
  </si>
  <si>
    <t>1603</t>
  </si>
  <si>
    <t>固定资产减值准备</t>
  </si>
  <si>
    <t>Impairment Provision Of Fixed Assets</t>
  </si>
  <si>
    <t>1603.01</t>
  </si>
  <si>
    <t>固定资产减值准备_电子设备</t>
  </si>
  <si>
    <t>1603.02</t>
  </si>
  <si>
    <t>固定资产减值准备_房屋建筑物</t>
  </si>
  <si>
    <t>1603.03</t>
  </si>
  <si>
    <t>固定资产减值准备_机器设备</t>
  </si>
  <si>
    <t>1603.04</t>
  </si>
  <si>
    <t>固定资产减值准备_家具设备</t>
  </si>
  <si>
    <t>1604</t>
  </si>
  <si>
    <t>在建工程</t>
  </si>
  <si>
    <t>Construction In Progress</t>
  </si>
  <si>
    <t>1604.01</t>
  </si>
  <si>
    <t>建筑工程</t>
  </si>
  <si>
    <t>在建工程_建筑工程</t>
  </si>
  <si>
    <t>Construction Project</t>
  </si>
  <si>
    <t>1604.02</t>
  </si>
  <si>
    <t>安装工程</t>
  </si>
  <si>
    <t>在建工程_安装工程</t>
  </si>
  <si>
    <t>Installation Project</t>
  </si>
  <si>
    <t>1604.03</t>
  </si>
  <si>
    <t>预付工程款重分类</t>
  </si>
  <si>
    <t>在建工程_预付工程款重分类</t>
  </si>
  <si>
    <t xml:space="preserve">Reclassification of Prepayment Project </t>
  </si>
  <si>
    <t>1605</t>
  </si>
  <si>
    <t>工程物资</t>
  </si>
  <si>
    <t>Project Materials</t>
  </si>
  <si>
    <t>1606</t>
  </si>
  <si>
    <t>固定资产清理</t>
  </si>
  <si>
    <t>Fixed Assets Clearance</t>
  </si>
  <si>
    <t>1606.01</t>
  </si>
  <si>
    <t>固定资产清理_电子设备</t>
  </si>
  <si>
    <t>1606.02</t>
  </si>
  <si>
    <t>固定资产清理_房屋建筑物</t>
  </si>
  <si>
    <t>1606.03</t>
  </si>
  <si>
    <t>固定资产清理_机器设备</t>
  </si>
  <si>
    <t>1606.04</t>
  </si>
  <si>
    <t>固定资产清理_家具设备</t>
  </si>
  <si>
    <t>1621</t>
  </si>
  <si>
    <t>生产性生物资产</t>
  </si>
  <si>
    <t>Productive Biological Assets</t>
  </si>
  <si>
    <t>1622</t>
  </si>
  <si>
    <t>生产性生物资产累计折旧</t>
  </si>
  <si>
    <t>Accumulated Depreciation Of Productive Biological Assets</t>
  </si>
  <si>
    <t>1623</t>
  </si>
  <si>
    <t>公益性生物资产</t>
  </si>
  <si>
    <t>Public Wealfare Biological Assets</t>
  </si>
  <si>
    <t>1631</t>
  </si>
  <si>
    <t>油气资产</t>
  </si>
  <si>
    <t>Oil And Gas Assets</t>
  </si>
  <si>
    <t>1632</t>
  </si>
  <si>
    <t>累计折耗</t>
  </si>
  <si>
    <t>Accumulated Depletion</t>
  </si>
  <si>
    <t>1641</t>
  </si>
  <si>
    <t>使用权资产</t>
  </si>
  <si>
    <t>Right-Of-Use Assets</t>
  </si>
  <si>
    <t>1641.01</t>
  </si>
  <si>
    <t>打印机租赁</t>
  </si>
  <si>
    <t>使用权资产_打印机租赁</t>
  </si>
  <si>
    <t>Printer Leasing</t>
  </si>
  <si>
    <t>1641.02</t>
  </si>
  <si>
    <t>办公地址</t>
  </si>
  <si>
    <t>使用权资产_办公地址</t>
  </si>
  <si>
    <t>Office Address</t>
  </si>
  <si>
    <t>1641.02.01</t>
  </si>
  <si>
    <t>旭智咨询--鼎和大厦1606</t>
  </si>
  <si>
    <t>使用权资产_办公地址_旭智咨询--鼎和大厦1606</t>
  </si>
  <si>
    <t>ACPLSZ--Dinghe 1606</t>
  </si>
  <si>
    <t>1641.02.02</t>
  </si>
  <si>
    <t>旭智资本（香港）--冯氏大厦</t>
  </si>
  <si>
    <t>使用权资产_办公地址_旭智资本（香港）--冯氏大厦</t>
  </si>
  <si>
    <t>ACPL(HK)--Fung House</t>
  </si>
  <si>
    <t>1641.03</t>
  </si>
  <si>
    <t>注册地址</t>
  </si>
  <si>
    <t>使用权资产_注册地址</t>
  </si>
  <si>
    <t>Registered Address</t>
  </si>
  <si>
    <t>1641.03.01</t>
  </si>
  <si>
    <t>旭智私募--前海壹号B座701E</t>
  </si>
  <si>
    <t>使用权资产_注册地址_旭智私募--前海壹号B座701E</t>
  </si>
  <si>
    <t>ACPSZL--Qianhai TowerB,701E</t>
  </si>
  <si>
    <t>1641.03.02</t>
  </si>
  <si>
    <t>广州旭智--802房F028</t>
  </si>
  <si>
    <t>使用权资产_注册地址_广州旭智--802房F028</t>
  </si>
  <si>
    <t>ACPLGZ-- Room 802, F028</t>
  </si>
  <si>
    <t>1642</t>
  </si>
  <si>
    <t>使用权资产累计折旧</t>
  </si>
  <si>
    <t>Accumulated Depreciation Of Right-Of-Use Assets</t>
  </si>
  <si>
    <t>1642.01</t>
  </si>
  <si>
    <t>使用权资产累计折旧_打印机租赁</t>
  </si>
  <si>
    <t>1642.02</t>
  </si>
  <si>
    <t>使用权资产累计折旧_办公地址</t>
  </si>
  <si>
    <t>1642.02.01</t>
  </si>
  <si>
    <t>使用权资产累计折旧_办公地址_旭智咨询--鼎和大厦1606</t>
  </si>
  <si>
    <t>1642.02.02</t>
  </si>
  <si>
    <t>使用权资产累计折旧_办公地址_旭智资本（香港）--冯氏大厦</t>
  </si>
  <si>
    <t>1642.03</t>
  </si>
  <si>
    <t>使用权资产累计折旧_注册地址</t>
  </si>
  <si>
    <t>1642.03.01</t>
  </si>
  <si>
    <t>使用权资产累计折旧_注册地址_旭智私募--前海壹号B座701E</t>
  </si>
  <si>
    <t>1642.03.02</t>
  </si>
  <si>
    <t>使用权资产累计折旧_注册地址_广州旭智--802房F028</t>
  </si>
  <si>
    <t>1643</t>
  </si>
  <si>
    <t>使用权资产减值准备</t>
  </si>
  <si>
    <t>Provision For Impairment Of Right-Of-Use Assets</t>
  </si>
  <si>
    <t>1701</t>
  </si>
  <si>
    <t>无形资产</t>
  </si>
  <si>
    <t>Intangible Assets</t>
  </si>
  <si>
    <t>1701.01</t>
  </si>
  <si>
    <t>土地使用权</t>
  </si>
  <si>
    <t>无形资产_土地使用权</t>
  </si>
  <si>
    <t>Land Use Right</t>
  </si>
  <si>
    <t>1701.02</t>
  </si>
  <si>
    <t xml:space="preserve"> 商业材料许可证</t>
  </si>
  <si>
    <t>无形资产_ 商业材料许可证</t>
  </si>
  <si>
    <t>Business Material License</t>
  </si>
  <si>
    <t>1702</t>
  </si>
  <si>
    <t>累计摊销</t>
  </si>
  <si>
    <t>Accumulated Amortization</t>
  </si>
  <si>
    <t>1702.01</t>
  </si>
  <si>
    <t>累计摊销_土地使用权</t>
  </si>
  <si>
    <t>1702.02</t>
  </si>
  <si>
    <t xml:space="preserve">  商业材料许可证</t>
  </si>
  <si>
    <t>累计摊销_  商业材料许可证</t>
  </si>
  <si>
    <t>1703</t>
  </si>
  <si>
    <t>无形资产减值准备</t>
  </si>
  <si>
    <t>Provision For Impairment Of Intangible Assets</t>
  </si>
  <si>
    <t>1711</t>
  </si>
  <si>
    <t>商誉</t>
  </si>
  <si>
    <t>Goodwill</t>
  </si>
  <si>
    <t>1801</t>
  </si>
  <si>
    <t>长期待摊费用</t>
  </si>
  <si>
    <t>Long-Term Deferred Expenses</t>
  </si>
  <si>
    <t>1801.01</t>
  </si>
  <si>
    <t>装修费</t>
  </si>
  <si>
    <t>长期待摊费用_装修费</t>
  </si>
  <si>
    <t>Renovation Expense</t>
  </si>
  <si>
    <t>1801.02</t>
  </si>
  <si>
    <t>物业管理费</t>
  </si>
  <si>
    <t>长期待摊费用_物业管理费</t>
  </si>
  <si>
    <t>Property Management Fee</t>
  </si>
  <si>
    <t>1811</t>
  </si>
  <si>
    <t>递延所得税资产</t>
  </si>
  <si>
    <t>Deferred Tax Assets</t>
  </si>
  <si>
    <t>1821</t>
  </si>
  <si>
    <t>其他非流动资产</t>
  </si>
  <si>
    <t>Other Non-current Assets</t>
  </si>
  <si>
    <t>1901</t>
  </si>
  <si>
    <t>待处理财产损溢</t>
  </si>
  <si>
    <t>Pending Property Gains And Losses</t>
  </si>
  <si>
    <t>2001</t>
  </si>
  <si>
    <t>短期借款</t>
  </si>
  <si>
    <t>Short-Term Borrowing</t>
  </si>
  <si>
    <t>流动负债</t>
  </si>
  <si>
    <t>2101</t>
  </si>
  <si>
    <t>交易性金融负债</t>
  </si>
  <si>
    <t>Financial Liabilities Held For Trading</t>
  </si>
  <si>
    <t>2101.01</t>
  </si>
  <si>
    <t>交易性金融负债_投资成本</t>
  </si>
  <si>
    <t>2101.02</t>
  </si>
  <si>
    <t>交易性金融负债_公允价值变动</t>
  </si>
  <si>
    <t>2201</t>
  </si>
  <si>
    <t>应付票据</t>
  </si>
  <si>
    <t>Notes Payable</t>
  </si>
  <si>
    <t>2202</t>
  </si>
  <si>
    <t>应付账款</t>
  </si>
  <si>
    <t>Accounts Payables</t>
  </si>
  <si>
    <t>2202.01</t>
  </si>
  <si>
    <t>应付账款_单位</t>
  </si>
  <si>
    <t>2202.02</t>
  </si>
  <si>
    <t>应付账款_个人</t>
  </si>
  <si>
    <t>2203</t>
  </si>
  <si>
    <t>预收账款</t>
  </si>
  <si>
    <t>Receipt In Advance</t>
  </si>
  <si>
    <t>2203.01</t>
  </si>
  <si>
    <t>预收账款_单位</t>
  </si>
  <si>
    <t>2203.02</t>
  </si>
  <si>
    <t>预收账款_个人</t>
  </si>
  <si>
    <t>2204</t>
  </si>
  <si>
    <t>合同负债</t>
  </si>
  <si>
    <t>Contract Liabilities</t>
  </si>
  <si>
    <t>2211</t>
  </si>
  <si>
    <t>应付职工薪酬</t>
  </si>
  <si>
    <t>Employee Compensation Payable</t>
  </si>
  <si>
    <t>2211.01</t>
  </si>
  <si>
    <t>职工工资</t>
  </si>
  <si>
    <t>应付职工薪酬_职工工资</t>
  </si>
  <si>
    <t>Employee Wages</t>
  </si>
  <si>
    <t>2211.02</t>
  </si>
  <si>
    <t>职工奖金</t>
  </si>
  <si>
    <t>应付职工薪酬_职工奖金</t>
  </si>
  <si>
    <t>Employee Bonuses</t>
  </si>
  <si>
    <t>2211.03</t>
  </si>
  <si>
    <t>劳务报酬</t>
  </si>
  <si>
    <t>应付职工薪酬_劳务报酬</t>
  </si>
  <si>
    <t>Remuneration For Services</t>
  </si>
  <si>
    <t>2211.04</t>
  </si>
  <si>
    <t>职工福利</t>
  </si>
  <si>
    <t>应付职工薪酬_职工福利</t>
  </si>
  <si>
    <t>Employee Welfare</t>
  </si>
  <si>
    <t>2211.05</t>
  </si>
  <si>
    <t>社会保险费</t>
  </si>
  <si>
    <t>应付职工薪酬_社会保险费</t>
  </si>
  <si>
    <t>Social Insurance Premiums</t>
  </si>
  <si>
    <t>2211.06</t>
  </si>
  <si>
    <t>住房公积金</t>
  </si>
  <si>
    <t>应付职工薪酬_住房公积金</t>
  </si>
  <si>
    <t>Housing Provident Fund</t>
  </si>
  <si>
    <t>2211.07</t>
  </si>
  <si>
    <t>工会经费</t>
  </si>
  <si>
    <t>应付职工薪酬_工会经费</t>
  </si>
  <si>
    <t>Union Funding</t>
  </si>
  <si>
    <t>2211.08</t>
  </si>
  <si>
    <t>职工教育经费</t>
  </si>
  <si>
    <t>应付职工薪酬_职工教育经费</t>
  </si>
  <si>
    <t>Employee Education Expenses</t>
  </si>
  <si>
    <t>2211.09</t>
  </si>
  <si>
    <t>非货币性福利</t>
  </si>
  <si>
    <t>应付职工薪酬_非货币性福利</t>
  </si>
  <si>
    <t>Non-Monetary Benefits</t>
  </si>
  <si>
    <t>2211.10</t>
  </si>
  <si>
    <t>辞退福利</t>
  </si>
  <si>
    <t>应付职工薪酬_辞退福利</t>
  </si>
  <si>
    <t>Severance Benefits</t>
  </si>
  <si>
    <t>2211.11</t>
  </si>
  <si>
    <t>应付强制性公积金</t>
  </si>
  <si>
    <t>应付职工薪酬_应付强制性公积金</t>
  </si>
  <si>
    <t>MPF Payable</t>
  </si>
  <si>
    <t>2211.12</t>
  </si>
  <si>
    <t>应付长期服务金</t>
  </si>
  <si>
    <t>应付职工薪酬_应付长期服务金</t>
  </si>
  <si>
    <t>Long Service Pay Provision</t>
  </si>
  <si>
    <t>2211.13</t>
  </si>
  <si>
    <t>未使用假期负债</t>
  </si>
  <si>
    <t>应付职工薪酬_未使用假期负债</t>
  </si>
  <si>
    <t>Unused Leave Expense</t>
  </si>
  <si>
    <t>2221</t>
  </si>
  <si>
    <t>应交税费</t>
  </si>
  <si>
    <t>Taxes Payable</t>
  </si>
  <si>
    <t>2221.01</t>
  </si>
  <si>
    <t>应交增值税</t>
  </si>
  <si>
    <t>应交税费_应交增值税</t>
  </si>
  <si>
    <t>VAT Payable</t>
  </si>
  <si>
    <t>2221.01.01</t>
  </si>
  <si>
    <t>销项税额</t>
  </si>
  <si>
    <t>应交税费_应交增值税_销项税额</t>
  </si>
  <si>
    <t>Output Tax</t>
  </si>
  <si>
    <t>2221.01.02</t>
  </si>
  <si>
    <t>销项税额抵减</t>
  </si>
  <si>
    <t>应交税费_应交增值税_销项税额抵减</t>
  </si>
  <si>
    <t>Output Tax Deduction</t>
  </si>
  <si>
    <t>2221.01.03</t>
  </si>
  <si>
    <t>进项税额</t>
  </si>
  <si>
    <t>应交税费_应交增值税_进项税额</t>
  </si>
  <si>
    <t>Input Tax</t>
  </si>
  <si>
    <t>2221.01.04</t>
  </si>
  <si>
    <t>进项税额转出</t>
  </si>
  <si>
    <t>应交税费_应交增值税_进项税额转出</t>
  </si>
  <si>
    <t>Transferred Out Input Tax</t>
  </si>
  <si>
    <t>2221.01.05</t>
  </si>
  <si>
    <t>已交税金</t>
  </si>
  <si>
    <t>应交税费_应交增值税_已交税金</t>
  </si>
  <si>
    <t>Tax Paid</t>
  </si>
  <si>
    <t>2221.01.06</t>
  </si>
  <si>
    <t>转出未交增值税</t>
  </si>
  <si>
    <t>应交税费_应交增值税_转出未交增值税</t>
  </si>
  <si>
    <t>Transferred Out Unpaid VAT</t>
  </si>
  <si>
    <t>2221.01.07</t>
  </si>
  <si>
    <t>转出多交增值税</t>
  </si>
  <si>
    <t>应交税费_应交增值税_转出多交增值税</t>
  </si>
  <si>
    <t>Transferred Out And Overpaid VAT</t>
  </si>
  <si>
    <t>2221.01.08</t>
  </si>
  <si>
    <t>增值税调整</t>
  </si>
  <si>
    <t>应交税费_应交增值税_增值税调整</t>
  </si>
  <si>
    <t>VAT Adjustments</t>
  </si>
  <si>
    <t>2221.01.09</t>
  </si>
  <si>
    <t>减免税款</t>
  </si>
  <si>
    <t>应交税费_应交增值税_减免税款</t>
  </si>
  <si>
    <t>Tax Reduction And Exemption</t>
  </si>
  <si>
    <t>2221.02</t>
  </si>
  <si>
    <t>暂估销项税额</t>
  </si>
  <si>
    <t>应交税费_暂估销项税额</t>
  </si>
  <si>
    <t>Provisionally Estimated Output Tax</t>
  </si>
  <si>
    <t>2221.03</t>
  </si>
  <si>
    <t>暂估进项税额</t>
  </si>
  <si>
    <t>应交税费_暂估进项税额</t>
  </si>
  <si>
    <t>Provisionally Estimated Input Tax</t>
  </si>
  <si>
    <t>2221.04</t>
  </si>
  <si>
    <t>未交增值税</t>
  </si>
  <si>
    <t>应交税费_未交增值税</t>
  </si>
  <si>
    <t>Unpaid VAT</t>
  </si>
  <si>
    <t>2221.05</t>
  </si>
  <si>
    <t>预交增值税</t>
  </si>
  <si>
    <t>应交税费_预交增值税</t>
  </si>
  <si>
    <t>Prepaid VAT</t>
  </si>
  <si>
    <t>2221.06</t>
  </si>
  <si>
    <t>待认证进项税额</t>
  </si>
  <si>
    <t>应交税费_待认证进项税额</t>
  </si>
  <si>
    <t>Pending Certification Input Tax</t>
  </si>
  <si>
    <t>2221.07</t>
  </si>
  <si>
    <t>待抵扣进项税额</t>
  </si>
  <si>
    <t>应交税费_待抵扣进项税额</t>
  </si>
  <si>
    <t>Pending Deduction Input Tax</t>
  </si>
  <si>
    <t>2221.08</t>
  </si>
  <si>
    <t>待转销项税额</t>
  </si>
  <si>
    <t>应交税费_待转销项税额</t>
  </si>
  <si>
    <t>Pending Transfer Output Tax</t>
  </si>
  <si>
    <t>2221.09</t>
  </si>
  <si>
    <t>增值税留抵税额</t>
  </si>
  <si>
    <t>应交税费_增值税留抵税额</t>
  </si>
  <si>
    <t>VAT Credit Carry Forward</t>
  </si>
  <si>
    <t>2221.10</t>
  </si>
  <si>
    <t>增值税加计抵减额</t>
  </si>
  <si>
    <t>应交税费_增值税加计抵减额</t>
  </si>
  <si>
    <t>VAT Additional Deduction</t>
  </si>
  <si>
    <t>2221.11</t>
  </si>
  <si>
    <t>转让金融商品应交增值税</t>
  </si>
  <si>
    <t>应交税费_转让金融商品应交增值税</t>
  </si>
  <si>
    <t>VAT Payable On Transfer Of Financial Products</t>
  </si>
  <si>
    <t>2221.12</t>
  </si>
  <si>
    <t>应交城市维护建设税</t>
  </si>
  <si>
    <t>应交税费_应交城市维护建设税</t>
  </si>
  <si>
    <t>Urban Maintenance And Construction Tax Payable</t>
  </si>
  <si>
    <t>2221.13</t>
  </si>
  <si>
    <t>应交教育费附加</t>
  </si>
  <si>
    <t>应交税费_应交教育费附加</t>
  </si>
  <si>
    <t>Educational Surcharge Payable</t>
  </si>
  <si>
    <t>2221.14</t>
  </si>
  <si>
    <t>应交地方教育附加</t>
  </si>
  <si>
    <t>应交税费_应交地方教育附加</t>
  </si>
  <si>
    <t>Local Educational Surcharge Payable</t>
  </si>
  <si>
    <t>2221.15</t>
  </si>
  <si>
    <t>应交企业所得税</t>
  </si>
  <si>
    <t>应交税费_应交企业所得税</t>
  </si>
  <si>
    <t>Corporate Income Tax Payable</t>
  </si>
  <si>
    <t>2221.16</t>
  </si>
  <si>
    <t>应交个人所得税</t>
  </si>
  <si>
    <t>应交税费_应交个人所得税</t>
  </si>
  <si>
    <t>Individual Income Tax Payable</t>
  </si>
  <si>
    <t>2221.17</t>
  </si>
  <si>
    <t>应交印花税</t>
  </si>
  <si>
    <t>应交税费_应交印花税</t>
  </si>
  <si>
    <t>Stamp Duty Payable</t>
  </si>
  <si>
    <t>2221.18</t>
  </si>
  <si>
    <t>应交房产税</t>
  </si>
  <si>
    <t>应交税费_应交房产税</t>
  </si>
  <si>
    <t>Property Tax Payable</t>
  </si>
  <si>
    <t>2221.19</t>
  </si>
  <si>
    <t>应交土地增值税</t>
  </si>
  <si>
    <t>应交税费_应交土地增值税</t>
  </si>
  <si>
    <t>Land Value-Added Tax Payable</t>
  </si>
  <si>
    <t>2221.20</t>
  </si>
  <si>
    <t>应交资源税</t>
  </si>
  <si>
    <t>应交税费_应交资源税</t>
  </si>
  <si>
    <t>Resource Tax Payable</t>
  </si>
  <si>
    <t>2221.21</t>
  </si>
  <si>
    <t>应交土地使用税</t>
  </si>
  <si>
    <t>应交税费_应交土地使用税</t>
  </si>
  <si>
    <t>Land Use Tax Payable</t>
  </si>
  <si>
    <t>2221.22</t>
  </si>
  <si>
    <t>应交地方水利建设基金</t>
  </si>
  <si>
    <t>应交税费_应交地方水利建设基金</t>
  </si>
  <si>
    <t xml:space="preserve"> Local water Construction Fund Payable</t>
  </si>
  <si>
    <t>2221.99</t>
  </si>
  <si>
    <t>应交其他税费</t>
  </si>
  <si>
    <t>应交税费_应交其他税费</t>
  </si>
  <si>
    <t>Other Tax Payable</t>
  </si>
  <si>
    <t>2231</t>
  </si>
  <si>
    <t>应付利息</t>
  </si>
  <si>
    <t>Interest Payable</t>
  </si>
  <si>
    <t>2232</t>
  </si>
  <si>
    <t>应付股利</t>
  </si>
  <si>
    <t>Dividends Payable</t>
  </si>
  <si>
    <t>2241</t>
  </si>
  <si>
    <t>其他应付款</t>
  </si>
  <si>
    <t>Other Payables</t>
  </si>
  <si>
    <t>2241.01</t>
  </si>
  <si>
    <t>其他应付款_单位</t>
  </si>
  <si>
    <t>2241.02</t>
  </si>
  <si>
    <t>其他应付款_个人</t>
  </si>
  <si>
    <t>2245</t>
  </si>
  <si>
    <t>持有待售负债</t>
  </si>
  <si>
    <t>Liabilities Held For Sale</t>
  </si>
  <si>
    <t>2314</t>
  </si>
  <si>
    <t>代理业务负债</t>
  </si>
  <si>
    <t>Agency Business Liabilities</t>
  </si>
  <si>
    <t>2316</t>
  </si>
  <si>
    <t>一年内到期的长期借款</t>
  </si>
  <si>
    <t>Long-term Loans Matured Within One Year</t>
  </si>
  <si>
    <t>2304</t>
  </si>
  <si>
    <t>其他金融工具负债</t>
  </si>
  <si>
    <t>Financial liability</t>
  </si>
  <si>
    <t>非流动负债</t>
  </si>
  <si>
    <t>2304.01</t>
  </si>
  <si>
    <t>B类优先股</t>
  </si>
  <si>
    <t>其他金融工具负债_B类优先股</t>
  </si>
  <si>
    <t>Class B Preferred Share</t>
  </si>
  <si>
    <t>2401</t>
  </si>
  <si>
    <t>递延收益</t>
  </si>
  <si>
    <t>Deferred Income</t>
  </si>
  <si>
    <t>2501</t>
  </si>
  <si>
    <t>长期借款</t>
  </si>
  <si>
    <t>Long-Term Borrowing</t>
  </si>
  <si>
    <t>2501.01</t>
  </si>
  <si>
    <t>本金</t>
  </si>
  <si>
    <t>长期借款_本金</t>
  </si>
  <si>
    <t>Principal</t>
  </si>
  <si>
    <t>2501.02</t>
  </si>
  <si>
    <t>利息调整</t>
  </si>
  <si>
    <t>长期借款_利息调整</t>
  </si>
  <si>
    <t>Interest Adjustments</t>
  </si>
  <si>
    <t>2501.03</t>
  </si>
  <si>
    <t>一年内到期的非流动负债</t>
  </si>
  <si>
    <t>长期借款_一年内到期的非流动负债</t>
  </si>
  <si>
    <t xml:space="preserve"> Non-current Liability Matured Within One Year</t>
  </si>
  <si>
    <t>2502</t>
  </si>
  <si>
    <t>应付债券</t>
  </si>
  <si>
    <t>Bonds Payable</t>
  </si>
  <si>
    <t>2502.01</t>
  </si>
  <si>
    <t>优先股</t>
  </si>
  <si>
    <t>应付债券_优先股</t>
  </si>
  <si>
    <t>Preferred Stock</t>
  </si>
  <si>
    <t>2502.02</t>
  </si>
  <si>
    <t>永续债</t>
  </si>
  <si>
    <t>应付债券_永续债</t>
  </si>
  <si>
    <t>Perpetual Bond</t>
  </si>
  <si>
    <t>2502.03</t>
  </si>
  <si>
    <t>其他</t>
  </si>
  <si>
    <t>应付债券_其他</t>
  </si>
  <si>
    <t>Others</t>
  </si>
  <si>
    <t>2601</t>
  </si>
  <si>
    <t>租赁负债</t>
  </si>
  <si>
    <t>Lease Liabilities</t>
  </si>
  <si>
    <t>2601.01</t>
  </si>
  <si>
    <t>租赁付款额</t>
  </si>
  <si>
    <t>租赁负债_租赁付款额</t>
  </si>
  <si>
    <t>Lease Payments</t>
  </si>
  <si>
    <t>2601.01.01</t>
  </si>
  <si>
    <t>租赁负债_租赁付款额_打印机租赁</t>
  </si>
  <si>
    <t>2601.01.02</t>
  </si>
  <si>
    <t>租赁负债_租赁付款额_办公地址</t>
  </si>
  <si>
    <t>2601.01.02.01</t>
  </si>
  <si>
    <t>租赁负债_租赁付款额_办公地址_旭智咨询--鼎和大厦1606</t>
  </si>
  <si>
    <t>2601.01.02.02</t>
  </si>
  <si>
    <t>租赁负债_租赁付款额_办公地址_旭智资本（香港）--冯氏大厦</t>
  </si>
  <si>
    <t>2601.01.03</t>
  </si>
  <si>
    <t>租赁负债_租赁付款额_注册地址</t>
  </si>
  <si>
    <t>2601.01.03.01</t>
  </si>
  <si>
    <t>租赁负债_租赁付款额_注册地址_旭智私募--前海壹号B座701E</t>
  </si>
  <si>
    <t>2601.01.03.02</t>
  </si>
  <si>
    <t>租赁负债_租赁付款额_注册地址_广州旭智--802房F028</t>
  </si>
  <si>
    <t>2601.02</t>
  </si>
  <si>
    <t>未确认融资费用</t>
  </si>
  <si>
    <t>租赁负债_未确认融资费用</t>
  </si>
  <si>
    <t>Unrecognized Financing Expenses</t>
  </si>
  <si>
    <t>2601.02.01</t>
  </si>
  <si>
    <t>租赁负债_未确认融资费用_打印机租赁</t>
  </si>
  <si>
    <t>2601.02.02</t>
  </si>
  <si>
    <t>租赁负债_未确认融资费用_办公地址</t>
  </si>
  <si>
    <t>2601.02.02.01</t>
  </si>
  <si>
    <t>租赁负债_未确认融资费用_办公地址_旭智咨询--鼎和大厦1606</t>
  </si>
  <si>
    <t>2601.02.02.02</t>
  </si>
  <si>
    <t>租赁负债_未确认融资费用_办公地址_旭智资本（香港）--冯氏大厦</t>
  </si>
  <si>
    <t>2601.02.03</t>
  </si>
  <si>
    <t>租赁负债_未确认融资费用_注册地址</t>
  </si>
  <si>
    <t>2601.02.03.01</t>
  </si>
  <si>
    <t>租赁负债_未确认融资费用_注册地址_旭智私募--前海壹号B座701E</t>
  </si>
  <si>
    <t>2601.02.03.02</t>
  </si>
  <si>
    <t>租赁负债_未确认融资费用_注册地址_广州旭智--802房F028</t>
  </si>
  <si>
    <t>2601.03</t>
  </si>
  <si>
    <t>租赁负债_一年内到期的非流动负债</t>
  </si>
  <si>
    <t>Non-Current Liabilities Due Within One Year</t>
  </si>
  <si>
    <t>2602</t>
  </si>
  <si>
    <t>长期债券</t>
  </si>
  <si>
    <t>Long-Term Bonds</t>
  </si>
  <si>
    <t>2701</t>
  </si>
  <si>
    <t>长期应付款</t>
  </si>
  <si>
    <t>Long-Term Payables</t>
  </si>
  <si>
    <t>2701.01</t>
  </si>
  <si>
    <t>长期应付款_本金</t>
  </si>
  <si>
    <t xml:space="preserve"> Principal</t>
  </si>
  <si>
    <t>2701.02</t>
  </si>
  <si>
    <t>利息</t>
  </si>
  <si>
    <t>长期应付款_利息</t>
  </si>
  <si>
    <t xml:space="preserve"> Interest</t>
  </si>
  <si>
    <t>2701.03</t>
  </si>
  <si>
    <t>长期应付款_利息调整</t>
  </si>
  <si>
    <t xml:space="preserve"> Interest Adjustment</t>
  </si>
  <si>
    <t>2701.04</t>
  </si>
  <si>
    <t>一年到期非流动负债</t>
  </si>
  <si>
    <t>长期应付款_一年到期非流动负债</t>
  </si>
  <si>
    <t>2702</t>
  </si>
  <si>
    <t>Unrecognised Financing Expenses</t>
  </si>
  <si>
    <t>2711</t>
  </si>
  <si>
    <t>专项应付款</t>
  </si>
  <si>
    <t>Specific Payables</t>
  </si>
  <si>
    <t>2801</t>
  </si>
  <si>
    <t>预计负债</t>
  </si>
  <si>
    <t>Provisions</t>
  </si>
  <si>
    <t>2901</t>
  </si>
  <si>
    <t>递延所得税负债</t>
  </si>
  <si>
    <t>Deferred Tax Liabilities</t>
  </si>
  <si>
    <t>3101</t>
  </si>
  <si>
    <t>衍生工具</t>
  </si>
  <si>
    <t>Derivatives</t>
  </si>
  <si>
    <t>共同</t>
  </si>
  <si>
    <t>3201</t>
  </si>
  <si>
    <t>套期工具</t>
  </si>
  <si>
    <t>Hedging Instruments</t>
  </si>
  <si>
    <t>3202</t>
  </si>
  <si>
    <t>被套期项目</t>
  </si>
  <si>
    <t>Hedged Items</t>
  </si>
  <si>
    <t>4001</t>
  </si>
  <si>
    <t>实收资本（股本）</t>
  </si>
  <si>
    <t>Share Capital</t>
  </si>
  <si>
    <t>所有者权益</t>
  </si>
  <si>
    <t>4001.01</t>
  </si>
  <si>
    <t>可持续能源（香港）投资控股有限公司</t>
  </si>
  <si>
    <t>实收资本（股本）_可持续能源（香港）投资控股有限公司</t>
  </si>
  <si>
    <t>Sustainable Energy (Hong Kong) Investment Holding Limited</t>
  </si>
  <si>
    <t>4001.02</t>
  </si>
  <si>
    <t>香港绿能管理有限公司</t>
  </si>
  <si>
    <t>实收资本（股本）_香港绿能管理有限公司</t>
  </si>
  <si>
    <t>Hong Kong Green Energy Management Limited</t>
  </si>
  <si>
    <t>4001.03</t>
  </si>
  <si>
    <t>旭铂投资有限公司</t>
  </si>
  <si>
    <t>实收资本（股本）_旭铂投资有限公司</t>
  </si>
  <si>
    <t>Rising Son Investments Limited</t>
  </si>
  <si>
    <t>4001.04</t>
  </si>
  <si>
    <t>威力能源投资有限公司</t>
  </si>
  <si>
    <t>实收资本（股本）_威力能源投资有限公司</t>
  </si>
  <si>
    <t>Really Energy Investments Limited</t>
  </si>
  <si>
    <t>4001.05</t>
  </si>
  <si>
    <t>辉朗投资有限公司</t>
  </si>
  <si>
    <t>实收资本（股本）_辉朗投资有限公司</t>
  </si>
  <si>
    <t>Shine Power Investment Limited</t>
  </si>
  <si>
    <t>4001.06</t>
  </si>
  <si>
    <t>Pure Nice Limited</t>
  </si>
  <si>
    <t>实收资本（股本）_Pure Nice Limited</t>
  </si>
  <si>
    <t>4001.07</t>
  </si>
  <si>
    <t>智慧基建投资有限公司</t>
  </si>
  <si>
    <t>实收资本（股本）_智慧基建投资有限公司</t>
  </si>
  <si>
    <t>Knowledge Base Investment Limited</t>
  </si>
  <si>
    <t>4001.10</t>
  </si>
  <si>
    <t>实收资本（股本）_旭智资本有限公司</t>
  </si>
  <si>
    <t>Albamen Capital Partners Limited</t>
  </si>
  <si>
    <t>4001.11</t>
  </si>
  <si>
    <t>实收资本（股本）_旭智资本（香港）有限公司</t>
  </si>
  <si>
    <t>Albamen Capital Partners (Hong Kong) Limited</t>
  </si>
  <si>
    <t>4001.12</t>
  </si>
  <si>
    <t>实收资本（股本）_旭智咨询管理（深圳）有限责任公司</t>
  </si>
  <si>
    <t>Albamen Capital Partners (Shenzhen) Company Limited</t>
  </si>
  <si>
    <t>4001.13</t>
  </si>
  <si>
    <t>实收资本（股本）_广州旭智投资控股有限责任公司</t>
  </si>
  <si>
    <t>Albamen Capital Partners (Guangzhou) Company Limited</t>
  </si>
  <si>
    <t>4001.14</t>
  </si>
  <si>
    <t>实收资本（股本）_宜兴旭智投资咨询合伙企业（有限合伙）</t>
  </si>
  <si>
    <t>4001.15</t>
  </si>
  <si>
    <t>富泰华工业（深圳）有限公司</t>
  </si>
  <si>
    <t>实收资本（股本）_富泰华工业（深圳）有限公司</t>
  </si>
  <si>
    <t xml:space="preserve"> Futaihua Industrial (Shenzhen) Co., LTD</t>
  </si>
  <si>
    <t>4001.20</t>
  </si>
  <si>
    <t>冯冠邦</t>
  </si>
  <si>
    <t>实收资本（股本）_冯冠邦</t>
  </si>
  <si>
    <t>Ray Fung</t>
  </si>
  <si>
    <t>4001.30</t>
  </si>
  <si>
    <t>实收资本（股本）_旭智兴邦有限公司</t>
  </si>
  <si>
    <t>Areo Holdings Company Limited</t>
  </si>
  <si>
    <t>4001.31</t>
  </si>
  <si>
    <t>旭智兴邦（潍坊）农业高新技术有限公司</t>
  </si>
  <si>
    <t>实收资本（股本）_旭智兴邦（潍坊）农业高新技术有限公司</t>
  </si>
  <si>
    <t>Areo (Weifang) Company Limited</t>
  </si>
  <si>
    <t>4001.32</t>
  </si>
  <si>
    <t>寿光惠兴农业高新技术有限公司</t>
  </si>
  <si>
    <t>实收资本（股本）_寿光惠兴农业高新技术有限公司</t>
  </si>
  <si>
    <t>Shouguang Huixing Agricultural High-Tech Co., Ltd</t>
  </si>
  <si>
    <t>4001.40</t>
  </si>
  <si>
    <t>实收资本（股本）_旭智富能新能源（深圳）有限责任公司</t>
  </si>
  <si>
    <t>4001.41</t>
  </si>
  <si>
    <t>三一重能股份有限公司</t>
  </si>
  <si>
    <t>实收资本（股本）_三一重能股份有限公司</t>
  </si>
  <si>
    <t>Sany Renewable Energy Co.,Ltd</t>
  </si>
  <si>
    <t>4001.50</t>
  </si>
  <si>
    <t>普通股</t>
  </si>
  <si>
    <t>实收资本（股本）_普通股</t>
  </si>
  <si>
    <t>Ordinary Shares</t>
  </si>
  <si>
    <t>4001.50.01</t>
  </si>
  <si>
    <t>实收资本（股本）_普通股_威力能源投资有限公司</t>
  </si>
  <si>
    <t>4001.50.02</t>
  </si>
  <si>
    <t>实收资本（股本）_普通股_旭铂投资有限公司</t>
  </si>
  <si>
    <t xml:space="preserve">Rising Son Investments Limited </t>
  </si>
  <si>
    <t>4001.50.03</t>
  </si>
  <si>
    <t>实收资本（股本）_普通股_辉朗投资有限公司</t>
  </si>
  <si>
    <t>Shine Power Investment Ltd</t>
  </si>
  <si>
    <t>4001.50.04</t>
  </si>
  <si>
    <t>实收资本（股本）_普通股_智慧基建投资有限公司</t>
  </si>
  <si>
    <t>4001.50.05</t>
  </si>
  <si>
    <t>实收资本（股本）_普通股_Pure Nice Limited</t>
  </si>
  <si>
    <t>4001.50.06</t>
  </si>
  <si>
    <t>实收资本（股本）_普通股_可持续能源（香港）投资控股有限公司</t>
  </si>
  <si>
    <t>Sustainable Energy (Hong Kong)  Investment Holding Limited</t>
  </si>
  <si>
    <t>4001.50.07</t>
  </si>
  <si>
    <t>实收资本（股本）_普通股_旭智资本有限公司</t>
  </si>
  <si>
    <t>4001.51</t>
  </si>
  <si>
    <t>实收资本（股本）_优先股</t>
  </si>
  <si>
    <t>Preference Shares</t>
  </si>
  <si>
    <t>4001.51.01</t>
  </si>
  <si>
    <t>实收资本（股本）_优先股_旭铂投资有限公司</t>
  </si>
  <si>
    <t>4001.51.02</t>
  </si>
  <si>
    <t>实收资本（股本）_优先股_香港绿能管理有限公司</t>
  </si>
  <si>
    <t>4002</t>
  </si>
  <si>
    <t>资本公积</t>
  </si>
  <si>
    <t>Capital Reserve</t>
  </si>
  <si>
    <t>4002.01</t>
  </si>
  <si>
    <t>资本溢价</t>
  </si>
  <si>
    <t>资本公积_资本溢价</t>
  </si>
  <si>
    <t>Capital Premium</t>
  </si>
  <si>
    <t>4002.02</t>
  </si>
  <si>
    <t>股本溢价</t>
  </si>
  <si>
    <t>资本公积_股本溢价</t>
  </si>
  <si>
    <t>Share Premium</t>
  </si>
  <si>
    <t>4002.03</t>
  </si>
  <si>
    <t>其他资本公积</t>
  </si>
  <si>
    <t>资本公积_其他资本公积</t>
  </si>
  <si>
    <t>Other Capital Reserves</t>
  </si>
  <si>
    <t>4003</t>
  </si>
  <si>
    <t>其他综合收益</t>
  </si>
  <si>
    <t>Other Comprehensive Income</t>
  </si>
  <si>
    <t>4101</t>
  </si>
  <si>
    <t>盈余公积</t>
  </si>
  <si>
    <t>Surplus Reserve</t>
  </si>
  <si>
    <t>4101.01</t>
  </si>
  <si>
    <t>法定盈余公积</t>
  </si>
  <si>
    <t>盈余公积_法定盈余公积</t>
  </si>
  <si>
    <t>Statutory Surplus Reserve</t>
  </si>
  <si>
    <t>4101.02</t>
  </si>
  <si>
    <t>任意盈余公积</t>
  </si>
  <si>
    <t>盈余公积_任意盈余公积</t>
  </si>
  <si>
    <t>Discretionary Surplus Reserve</t>
  </si>
  <si>
    <t>4103</t>
  </si>
  <si>
    <t>本年利润</t>
  </si>
  <si>
    <t>Current Year Profit</t>
  </si>
  <si>
    <t>4104</t>
  </si>
  <si>
    <t>利润分配</t>
  </si>
  <si>
    <t>Profit Disribution</t>
  </si>
  <si>
    <t>4104.01</t>
  </si>
  <si>
    <t>提取法定盈余公积</t>
  </si>
  <si>
    <t>利润分配_提取法定盈余公积</t>
  </si>
  <si>
    <t>Appropriation To Statutory Surplus Reserve</t>
  </si>
  <si>
    <t>4104.02</t>
  </si>
  <si>
    <t>提取任意盈余公积</t>
  </si>
  <si>
    <t>利润分配_提取任意盈余公积</t>
  </si>
  <si>
    <t>Appropriation To Discretionary Surplus Reserve</t>
  </si>
  <si>
    <t>4104.03</t>
  </si>
  <si>
    <t>提取法定公益金</t>
  </si>
  <si>
    <t>利润分配_提取法定公益金</t>
  </si>
  <si>
    <t>Appropriation To Statutory Welfare Fund</t>
  </si>
  <si>
    <t>4104.04</t>
  </si>
  <si>
    <t>应付现金股利或利润</t>
  </si>
  <si>
    <t>利润分配_应付现金股利或利润</t>
  </si>
  <si>
    <t>Cash Dividends Payable</t>
  </si>
  <si>
    <t>4104.05</t>
  </si>
  <si>
    <t>转作股本的利润</t>
  </si>
  <si>
    <t>利润分配_转作股本的利润</t>
  </si>
  <si>
    <t>Profit Converted To Capital</t>
  </si>
  <si>
    <t>4104.06</t>
  </si>
  <si>
    <t>盈余公积补亏</t>
  </si>
  <si>
    <t>利润分配_盈余公积补亏</t>
  </si>
  <si>
    <t>Surplus Reserve To Cover Losses</t>
  </si>
  <si>
    <t>4104.07</t>
  </si>
  <si>
    <t>未分配利润</t>
  </si>
  <si>
    <t>利润分配_未分配利润</t>
  </si>
  <si>
    <t>Undistributed Profits</t>
  </si>
  <si>
    <t>4201</t>
  </si>
  <si>
    <t>库存股</t>
  </si>
  <si>
    <t>Treasury Shares</t>
  </si>
  <si>
    <t>4301</t>
  </si>
  <si>
    <t>专项储备</t>
  </si>
  <si>
    <t>Specific Reserve</t>
  </si>
  <si>
    <t>4401</t>
  </si>
  <si>
    <t>其他权益工具</t>
  </si>
  <si>
    <t>Other Equity Instruments</t>
  </si>
  <si>
    <t>4401.01</t>
  </si>
  <si>
    <t>其他权益工具_优先股</t>
  </si>
  <si>
    <t>4401.02</t>
  </si>
  <si>
    <t>其他权益工具_永续债</t>
  </si>
  <si>
    <t>Perpetual Bonds</t>
  </si>
  <si>
    <t>4401.03</t>
  </si>
  <si>
    <t>其他权益工具_其他</t>
  </si>
  <si>
    <t>5001</t>
  </si>
  <si>
    <t>生产成本</t>
  </si>
  <si>
    <t>Production Cost</t>
  </si>
  <si>
    <t>5001.01</t>
  </si>
  <si>
    <t>固定资产折旧</t>
  </si>
  <si>
    <t>生产成本_固定资产折旧</t>
  </si>
  <si>
    <t>Depreciation of Fixed Assets</t>
  </si>
  <si>
    <t>5001.02</t>
  </si>
  <si>
    <t>无形资产摊销</t>
  </si>
  <si>
    <t>生产成本_无形资产摊销</t>
  </si>
  <si>
    <t>Amortization of Intangible Assets</t>
  </si>
  <si>
    <t>5001.03</t>
  </si>
  <si>
    <t>使用权资产折旧</t>
  </si>
  <si>
    <t>生产成本_使用权资产折旧</t>
  </si>
  <si>
    <t>Depreciation of Right-of-use Assets</t>
  </si>
  <si>
    <t>5001.04</t>
  </si>
  <si>
    <t>日常运维费</t>
  </si>
  <si>
    <t>生产成本_日常运维费</t>
  </si>
  <si>
    <t>Daily Maintenance Fee</t>
  </si>
  <si>
    <t>5001.05</t>
  </si>
  <si>
    <t>租赁费</t>
  </si>
  <si>
    <t>生产成本_租赁费</t>
  </si>
  <si>
    <t>Rental Fee</t>
  </si>
  <si>
    <t>5001.06</t>
  </si>
  <si>
    <t>技术服务费</t>
  </si>
  <si>
    <t>生产成本_技术服务费</t>
  </si>
  <si>
    <t>Technical Service Fee</t>
  </si>
  <si>
    <t>5001.07</t>
  </si>
  <si>
    <t>下网电费</t>
  </si>
  <si>
    <t>生产成本_下网电费</t>
  </si>
  <si>
    <t>Grid Electricity Purchase Fee</t>
  </si>
  <si>
    <t>5001.08</t>
  </si>
  <si>
    <t>环保费用</t>
  </si>
  <si>
    <t>生产成本_环保费用</t>
  </si>
  <si>
    <t>Environmental Protection Fees</t>
  </si>
  <si>
    <t>5001.09</t>
  </si>
  <si>
    <t>土地相关费用</t>
  </si>
  <si>
    <t>生产成本_土地相关费用</t>
  </si>
  <si>
    <t>Land-related Costs</t>
  </si>
  <si>
    <t>5001.10</t>
  </si>
  <si>
    <t>安全生产费</t>
  </si>
  <si>
    <t>生产成本_安全生产费</t>
  </si>
  <si>
    <t>Work Safety Fee</t>
  </si>
  <si>
    <t>5001.11</t>
  </si>
  <si>
    <t>维修费</t>
  </si>
  <si>
    <t>生产成本_维修费</t>
  </si>
  <si>
    <t>Maintenance Fee</t>
  </si>
  <si>
    <t>5001.12</t>
  </si>
  <si>
    <t>低值易耗品</t>
  </si>
  <si>
    <t>生产成本_低值易耗品</t>
  </si>
  <si>
    <t>Low-value Consumables</t>
  </si>
  <si>
    <t>5001.13</t>
  </si>
  <si>
    <t>财产保险费</t>
  </si>
  <si>
    <t>生产成本_财产保险费</t>
  </si>
  <si>
    <t>Property Insurance Premium</t>
  </si>
  <si>
    <t>5101</t>
  </si>
  <si>
    <t>制造费用</t>
  </si>
  <si>
    <t>Manufacturing Expenses</t>
  </si>
  <si>
    <t>5201</t>
  </si>
  <si>
    <t>劳务成本</t>
  </si>
  <si>
    <t>Labor Costs</t>
  </si>
  <si>
    <t>5301</t>
  </si>
  <si>
    <t>研发支出</t>
  </si>
  <si>
    <t>R&amp;D Expenditures</t>
  </si>
  <si>
    <t>6001</t>
  </si>
  <si>
    <t>主营业务收入</t>
  </si>
  <si>
    <t>Main Business Revenue</t>
  </si>
  <si>
    <t>营业收入</t>
  </si>
  <si>
    <t>6001.01</t>
  </si>
  <si>
    <t>基金管理费收入</t>
  </si>
  <si>
    <t>Fund Management Fee</t>
  </si>
  <si>
    <t>主营业务收入_基金管理费收入</t>
  </si>
  <si>
    <t>Fund Management Fee Income</t>
  </si>
  <si>
    <t>6001.01.01</t>
  </si>
  <si>
    <t>已开票</t>
  </si>
  <si>
    <t>主营业务收入_基金管理费收入_已开票</t>
  </si>
  <si>
    <t>Invoiced</t>
  </si>
  <si>
    <t>6001.01.02</t>
  </si>
  <si>
    <t>未开票</t>
  </si>
  <si>
    <t>主营业务收入_基金管理费收入_未开票</t>
  </si>
  <si>
    <t>Not Invoiced</t>
  </si>
  <si>
    <t>6001.02</t>
  </si>
  <si>
    <t>咨询服务费收入</t>
  </si>
  <si>
    <t>Advisory Fee Income</t>
  </si>
  <si>
    <t>主营业务收入_咨询服务费收入</t>
  </si>
  <si>
    <t>Consulting Service Fee Income</t>
  </si>
  <si>
    <t>6001.02.01</t>
  </si>
  <si>
    <t>主营业务收入_咨询服务费收入_已开票</t>
  </si>
  <si>
    <t>6001.02.02</t>
  </si>
  <si>
    <t>主营业务收入_咨询服务费收入_未开票</t>
  </si>
  <si>
    <t>6001.03</t>
  </si>
  <si>
    <t>主营业务收入_售电收入</t>
  </si>
  <si>
    <t xml:space="preserve">  Electricity Sales Revenue</t>
  </si>
  <si>
    <t>6001.03.01</t>
  </si>
  <si>
    <t>主营业务收入_售电收入_暂估结算电费</t>
  </si>
  <si>
    <t xml:space="preserve">Estimated Electricity </t>
  </si>
  <si>
    <t>6001.03.02</t>
  </si>
  <si>
    <t>主营业务收入_售电收入_实际结算电费</t>
  </si>
  <si>
    <t>Actual Electricity</t>
  </si>
  <si>
    <t>6401</t>
  </si>
  <si>
    <t>主营业务成本</t>
  </si>
  <si>
    <t>Main Business Cost</t>
  </si>
  <si>
    <t>营业成本及税金</t>
  </si>
  <si>
    <t>6401.01</t>
  </si>
  <si>
    <t>咨询费</t>
  </si>
  <si>
    <t>主营业务成本_咨询费</t>
  </si>
  <si>
    <t xml:space="preserve"> Consulting Fee</t>
  </si>
  <si>
    <t>6401.02</t>
  </si>
  <si>
    <t>售电成本</t>
  </si>
  <si>
    <t>主营业务成本_售电成本</t>
  </si>
  <si>
    <t xml:space="preserve"> Electricity Sales Cost</t>
  </si>
  <si>
    <t>6405</t>
  </si>
  <si>
    <t>税金及附加</t>
  </si>
  <si>
    <t>Taxes And Surcharges</t>
  </si>
  <si>
    <t>6405.01</t>
  </si>
  <si>
    <t>印花税</t>
  </si>
  <si>
    <t>Stamp Duty</t>
  </si>
  <si>
    <t>税金及附加_印花税</t>
  </si>
  <si>
    <t>6405.02</t>
  </si>
  <si>
    <t>城市维护建设税</t>
  </si>
  <si>
    <t>VAT surcharge</t>
  </si>
  <si>
    <t>税金及附加_城市维护建设税</t>
  </si>
  <si>
    <t>Urban Maintenance And Construction Tax</t>
  </si>
  <si>
    <t>6405.03</t>
  </si>
  <si>
    <t>教育费附加</t>
  </si>
  <si>
    <t>税金及附加_教育费附加</t>
  </si>
  <si>
    <t>Educational Surcharge</t>
  </si>
  <si>
    <t>6405.04</t>
  </si>
  <si>
    <t>地方教育附加</t>
  </si>
  <si>
    <t>税金及附加_地方教育附加</t>
  </si>
  <si>
    <t>Local Educational Surcharge</t>
  </si>
  <si>
    <t>6405.05</t>
  </si>
  <si>
    <t>水利建设基金</t>
  </si>
  <si>
    <t>税金及附加_水利建设基金</t>
  </si>
  <si>
    <t xml:space="preserve"> Water Construction Fund</t>
  </si>
  <si>
    <t>6601</t>
  </si>
  <si>
    <t>销售费用</t>
  </si>
  <si>
    <t>Sales Expenses</t>
  </si>
  <si>
    <t>期间费用</t>
  </si>
  <si>
    <t>6602</t>
  </si>
  <si>
    <t>管理费用</t>
  </si>
  <si>
    <t>General And Administrative Expenses</t>
  </si>
  <si>
    <t>6602.01</t>
  </si>
  <si>
    <t>工资薪金</t>
  </si>
  <si>
    <t>管理费用_工资薪金</t>
  </si>
  <si>
    <t>Wages And Salaries</t>
  </si>
  <si>
    <t>6602.01.01</t>
  </si>
  <si>
    <t>基本工资（专业）</t>
  </si>
  <si>
    <t>Salary Professional</t>
  </si>
  <si>
    <t>管理费用_工资薪金_基本工资（专业）</t>
  </si>
  <si>
    <t>Basic Salary（Professional）</t>
  </si>
  <si>
    <t>6602.01.02</t>
  </si>
  <si>
    <t>加班费</t>
  </si>
  <si>
    <t>管理费用_工资薪金_加班费</t>
  </si>
  <si>
    <t>Overtime Pay</t>
  </si>
  <si>
    <t>6602.01.03</t>
  </si>
  <si>
    <t>员工奖金（专业）</t>
  </si>
  <si>
    <t>Bonus Expense - Professional</t>
  </si>
  <si>
    <t>管理费用_工资薪金_员工奖金（专业）</t>
  </si>
  <si>
    <t>Employee Bonuses(PRO）</t>
  </si>
  <si>
    <t>员工奖金</t>
  </si>
  <si>
    <t>Bonus Expense - Management</t>
  </si>
  <si>
    <t>管理费用_工资薪金_员工奖金</t>
  </si>
  <si>
    <t>6602.01.04</t>
  </si>
  <si>
    <t>员工遣散费</t>
  </si>
  <si>
    <t>管理费用_工资薪金_员工遣散费</t>
  </si>
  <si>
    <t>Severance Pay</t>
  </si>
  <si>
    <t>6602.01.05</t>
  </si>
  <si>
    <t>员工假期</t>
  </si>
  <si>
    <t>管理费用_工资薪金_员工假期</t>
  </si>
  <si>
    <t>Unused Leave</t>
  </si>
  <si>
    <t>6602.01.06</t>
  </si>
  <si>
    <t>管理费用_工资薪金_劳务报酬</t>
  </si>
  <si>
    <t>6602.01.07</t>
  </si>
  <si>
    <t>集团内分摊</t>
  </si>
  <si>
    <t>Mantime X Charge</t>
  </si>
  <si>
    <t>管理费用_工资薪金_集团内分摊</t>
  </si>
  <si>
    <t>Internal allocation</t>
  </si>
  <si>
    <t>6602.01.08</t>
  </si>
  <si>
    <t>基本工资（管理）</t>
  </si>
  <si>
    <t>Salary Management</t>
  </si>
  <si>
    <t>管理费用_工资薪金_基本工资（管理）</t>
  </si>
  <si>
    <t>Basic Salary（Management）</t>
  </si>
  <si>
    <t>6602.01.09</t>
  </si>
  <si>
    <t>员工奖金（管理）</t>
  </si>
  <si>
    <t>管理费用_工资薪金_员工奖金（管理）</t>
  </si>
  <si>
    <t>Employee Bonuses（Mag）</t>
  </si>
  <si>
    <t>6602.02</t>
  </si>
  <si>
    <t>管理费用_职工福利</t>
  </si>
  <si>
    <t>6602.02.01</t>
  </si>
  <si>
    <t>员工福利</t>
  </si>
  <si>
    <t>Fringe Other</t>
  </si>
  <si>
    <t>管理费用_职工福利_员工福利</t>
  </si>
  <si>
    <t>Employee Benefits</t>
  </si>
  <si>
    <t>6602.02.02</t>
  </si>
  <si>
    <t>团建活动</t>
  </si>
  <si>
    <t>EE Morale Expense</t>
  </si>
  <si>
    <t>管理费用_职工福利_团建活动</t>
  </si>
  <si>
    <t>Team Building Activities</t>
  </si>
  <si>
    <t>6602.02.03</t>
  </si>
  <si>
    <t>体检费</t>
  </si>
  <si>
    <t>管理费用_职工福利_体检费</t>
  </si>
  <si>
    <t>Medical Examination Fee</t>
  </si>
  <si>
    <t>6602.02.04</t>
  </si>
  <si>
    <t>商业保险 - 医疗</t>
  </si>
  <si>
    <t>管理费用_职工福利_商业保险 - 医疗</t>
  </si>
  <si>
    <t>Commercial Insurance - Medical</t>
  </si>
  <si>
    <t>6602.03</t>
  </si>
  <si>
    <t>社保公积金</t>
  </si>
  <si>
    <t>管理费用_社保公积金</t>
  </si>
  <si>
    <t>Social Security And Provident Fund</t>
  </si>
  <si>
    <t>6602.03.01</t>
  </si>
  <si>
    <t>员工社保福利</t>
  </si>
  <si>
    <t>Employee Insurance</t>
  </si>
  <si>
    <t>管理费用_社保公积金_员工社保福利</t>
  </si>
  <si>
    <t>Social Security Benefits</t>
  </si>
  <si>
    <t>6602.03.02</t>
  </si>
  <si>
    <t>员工公积金福利</t>
  </si>
  <si>
    <t>管理费用_社保公积金_员工公积金福利</t>
  </si>
  <si>
    <t>Provident Fund Benefits</t>
  </si>
  <si>
    <t>6602.03.03</t>
  </si>
  <si>
    <t>员工强制性公积金福利</t>
  </si>
  <si>
    <t>Pension Local/MPF</t>
  </si>
  <si>
    <t>管理费用_社保公积金_员工强制性公积金福利</t>
  </si>
  <si>
    <t>6602.04</t>
  </si>
  <si>
    <t>咨询及专业服务费</t>
  </si>
  <si>
    <t>管理费用_咨询及专业服务费</t>
  </si>
  <si>
    <t>Consultation And Professional Service Fee</t>
  </si>
  <si>
    <t>6602.04.01</t>
  </si>
  <si>
    <t>会计服务费</t>
  </si>
  <si>
    <t>Accounting/Payment Services</t>
  </si>
  <si>
    <t>管理费用_咨询及专业服务费_会计服务费</t>
  </si>
  <si>
    <t>Accounting Service Fee</t>
  </si>
  <si>
    <t>6602.04.02</t>
  </si>
  <si>
    <t>审计服务费</t>
  </si>
  <si>
    <t>Audit Fees</t>
  </si>
  <si>
    <t>管理费用_咨询及专业服务费_审计服务费</t>
  </si>
  <si>
    <t>Audit Service Fee</t>
  </si>
  <si>
    <t>6602.04.03</t>
  </si>
  <si>
    <t>顾问费</t>
  </si>
  <si>
    <t>Advisory fee</t>
  </si>
  <si>
    <t>管理费用_咨询及专业服务费_顾问费</t>
  </si>
  <si>
    <t>Consultancy Fee</t>
  </si>
  <si>
    <t>费用项目</t>
  </si>
  <si>
    <t>6602.04.04</t>
  </si>
  <si>
    <t>税务服务费</t>
  </si>
  <si>
    <t>管理费用_咨询及专业服务费_税务服务费</t>
  </si>
  <si>
    <t>Tax Service Fee</t>
  </si>
  <si>
    <t>6602.04.05</t>
  </si>
  <si>
    <t>招聘服务费</t>
  </si>
  <si>
    <t>Employment Agency Fee</t>
  </si>
  <si>
    <t>管理费用_咨询及专业服务费_招聘服务费</t>
  </si>
  <si>
    <t>Recruitment Service Fee</t>
  </si>
  <si>
    <t>6602.04.06</t>
  </si>
  <si>
    <t>法律服务费</t>
  </si>
  <si>
    <t>Legal Fees</t>
  </si>
  <si>
    <t>管理费用_咨询及专业服务费_法律服务费</t>
  </si>
  <si>
    <t>Legal Service Fee</t>
  </si>
  <si>
    <t>6602.04.07</t>
  </si>
  <si>
    <t>人力资源服务费</t>
  </si>
  <si>
    <t>Payroll Services</t>
  </si>
  <si>
    <t>管理费用_咨询及专业服务费_人力资源服务费</t>
  </si>
  <si>
    <t>Human Resources Service Fee</t>
  </si>
  <si>
    <t>6602.04.08</t>
  </si>
  <si>
    <t>背景调查费</t>
  </si>
  <si>
    <t>Employee Background Check</t>
  </si>
  <si>
    <t>管理费用_咨询及专业服务费_背景调查费</t>
  </si>
  <si>
    <t>Background Check Fee</t>
  </si>
  <si>
    <t>6602.04.09</t>
  </si>
  <si>
    <t>翻译服务费</t>
  </si>
  <si>
    <t>管理费用_咨询及专业服务费_翻译服务费</t>
  </si>
  <si>
    <t>Translation Service Fee</t>
  </si>
  <si>
    <t>6602.04.10</t>
  </si>
  <si>
    <t>评估费</t>
  </si>
  <si>
    <t>管理费用_咨询及专业服务费_评估费</t>
  </si>
  <si>
    <t>Assessment fee</t>
  </si>
  <si>
    <t>6602.04.11</t>
  </si>
  <si>
    <t>管理费用_咨询及专业服务费_技术服务费</t>
  </si>
  <si>
    <t>6602.04.12</t>
  </si>
  <si>
    <t>合规支持服务</t>
  </si>
  <si>
    <t xml:space="preserve">Compliance Support Services </t>
  </si>
  <si>
    <t>管理费用_咨询及专业服务费_合规支持服务</t>
  </si>
  <si>
    <t>Compliance Support Services</t>
  </si>
  <si>
    <t>6602.04.13</t>
  </si>
  <si>
    <t>Consulting fee</t>
  </si>
  <si>
    <t>管理费用_咨询及专业服务费_咨询费</t>
  </si>
  <si>
    <t>Consulting Fee</t>
  </si>
  <si>
    <t>6602.04.99</t>
  </si>
  <si>
    <t>管理费用_咨询及专业服务费_其他</t>
  </si>
  <si>
    <t>6602.05</t>
  </si>
  <si>
    <t>占用费</t>
  </si>
  <si>
    <t>管理费用_占用费</t>
  </si>
  <si>
    <t>Occupancy Fee</t>
  </si>
  <si>
    <t>6602.05.01</t>
  </si>
  <si>
    <t>办公室租赁费</t>
  </si>
  <si>
    <t>管理费用_占用费_办公室租赁费</t>
  </si>
  <si>
    <t>Office Rent</t>
  </si>
  <si>
    <t>6602.05.01.01</t>
  </si>
  <si>
    <t>管理费用_占用费_办公室租赁费_旭智咨询--鼎和大厦1606</t>
  </si>
  <si>
    <t>6602.05.01.02</t>
  </si>
  <si>
    <t>广州注册地址403房J015</t>
  </si>
  <si>
    <t>管理费用_占用费_办公室租赁费_广州注册地址403房J015</t>
  </si>
  <si>
    <t>Guangzhou Registered Address: Room 403, J015</t>
  </si>
  <si>
    <t>6602.05.01.03</t>
  </si>
  <si>
    <t>广州注册地址403房J016</t>
  </si>
  <si>
    <t>管理费用_占用费_办公室租赁费_广州注册地址403房J016</t>
  </si>
  <si>
    <t>Guangzhou Registered Address: Room 403, J016</t>
  </si>
  <si>
    <t>6602.05.02</t>
  </si>
  <si>
    <t>管理费</t>
  </si>
  <si>
    <t>Management fees</t>
  </si>
  <si>
    <t>管理费用_占用费_管理费</t>
  </si>
  <si>
    <t>Management Fee</t>
  </si>
  <si>
    <t>6602.05.03</t>
  </si>
  <si>
    <t>电费</t>
  </si>
  <si>
    <t>Utilities Electric</t>
  </si>
  <si>
    <t>管理费用_占用费_电费</t>
  </si>
  <si>
    <t>Electricity</t>
  </si>
  <si>
    <t>6602.05.04</t>
  </si>
  <si>
    <t>水费</t>
  </si>
  <si>
    <t>管理费用_占用费_水费</t>
  </si>
  <si>
    <t>Water Bill</t>
  </si>
  <si>
    <t>6602.05.05</t>
  </si>
  <si>
    <t>Office Maintenance &amp; Repair</t>
  </si>
  <si>
    <t>管理费用_占用费_维修费</t>
  </si>
  <si>
    <t>6602.05.06</t>
  </si>
  <si>
    <t>Depreciation_Leasehold Improvement</t>
  </si>
  <si>
    <t>管理费用_占用费_装修费</t>
  </si>
  <si>
    <t>Renovation Cost</t>
  </si>
  <si>
    <t>6602.05.07</t>
  </si>
  <si>
    <t>租金及物业费</t>
  </si>
  <si>
    <t>管理费用_占用费_租金及物业费</t>
  </si>
  <si>
    <t>Rent and Property Fees</t>
  </si>
  <si>
    <t>6602.05.08</t>
  </si>
  <si>
    <t>Space Rel X Charge</t>
  </si>
  <si>
    <t>管理费用_占用费_集团内分摊</t>
  </si>
  <si>
    <t>6602.05.99</t>
  </si>
  <si>
    <t>管理费用_占用费_其他</t>
  </si>
  <si>
    <t>6602.06</t>
  </si>
  <si>
    <t>业务招待费</t>
  </si>
  <si>
    <t>Client Entertainment</t>
  </si>
  <si>
    <t>管理费用_业务招待费</t>
  </si>
  <si>
    <t>Business Entertainment Expenses</t>
  </si>
  <si>
    <t>6602.07</t>
  </si>
  <si>
    <t>广告费和业务宣传费</t>
  </si>
  <si>
    <t>管理费用_广告费和业务宣传费</t>
  </si>
  <si>
    <t>Advertising And Promotion Expenses</t>
  </si>
  <si>
    <t>6602.08</t>
  </si>
  <si>
    <t>事务费用</t>
  </si>
  <si>
    <t>管理费用_事务费用</t>
  </si>
  <si>
    <t>Transaction Fee</t>
  </si>
  <si>
    <t>6602.08.01</t>
  </si>
  <si>
    <t>通信费</t>
  </si>
  <si>
    <t>Telephone Monthly/Base Charge</t>
  </si>
  <si>
    <t>管理费用_事务费用_通信费</t>
  </si>
  <si>
    <t>Communication Expenses</t>
  </si>
  <si>
    <t>6602.08.02</t>
  </si>
  <si>
    <t>电脑软件费</t>
  </si>
  <si>
    <t xml:space="preserve">PC Software </t>
  </si>
  <si>
    <t>管理费用_事务费用_互联网</t>
  </si>
  <si>
    <t>Internet</t>
  </si>
  <si>
    <t>6602.08.03</t>
  </si>
  <si>
    <t>办公用品</t>
  </si>
  <si>
    <t xml:space="preserve">Office Supplies </t>
  </si>
  <si>
    <t>管理费用_事务费用_办公用品</t>
  </si>
  <si>
    <t>Office Supplies</t>
  </si>
  <si>
    <t>Computer Supplies Other</t>
  </si>
  <si>
    <t>6602.08.04</t>
  </si>
  <si>
    <t>事务保金</t>
  </si>
  <si>
    <t>Other Insurance</t>
  </si>
  <si>
    <t>管理费用_事务费用_事务保金</t>
  </si>
  <si>
    <t>Transaction Deposit</t>
  </si>
  <si>
    <t>6602.08.05</t>
  </si>
  <si>
    <t>邮费/邮递费</t>
  </si>
  <si>
    <t>Postage / Freight / Delivery</t>
  </si>
  <si>
    <t>管理费用_事务费用_邮费/邮递费</t>
  </si>
  <si>
    <t>Postage</t>
  </si>
  <si>
    <t>6602.08.06</t>
  </si>
  <si>
    <t>IT专业人士及微软服务</t>
  </si>
  <si>
    <t xml:space="preserve">IT Professional &amp; MS Services </t>
  </si>
  <si>
    <t>管理费用_事务费用_电脑维修费</t>
  </si>
  <si>
    <t>IT Professional &amp; MS Services</t>
  </si>
  <si>
    <t>6602.08.07</t>
  </si>
  <si>
    <t>软件许可证费用</t>
  </si>
  <si>
    <t xml:space="preserve">Software Licence Fee Exp </t>
  </si>
  <si>
    <t>管理费用_事务费用_绿化费</t>
  </si>
  <si>
    <t>Software Licence Fee Exp</t>
  </si>
  <si>
    <t>6602.08.08</t>
  </si>
  <si>
    <t>软件使用费</t>
  </si>
  <si>
    <t>管理费用_事务费用_软件使用费</t>
  </si>
  <si>
    <t>Software Usage Fee</t>
  </si>
  <si>
    <t>6602.08.09</t>
  </si>
  <si>
    <t>清洁服务</t>
  </si>
  <si>
    <t>管理费用_事务费用_清洁服务</t>
  </si>
  <si>
    <t>Cleaning Service</t>
  </si>
  <si>
    <t>6602.08.10</t>
  </si>
  <si>
    <t>电话国际直拨/电话会议收费</t>
  </si>
  <si>
    <t>Telephone IDD/Teleconf Charge</t>
  </si>
  <si>
    <t>管理费用_事务费用_电话国际直拨/电话会议收费</t>
  </si>
  <si>
    <t>6602.08.99</t>
  </si>
  <si>
    <t>管理费用_事务费用_其他</t>
  </si>
  <si>
    <t>6602.09</t>
  </si>
  <si>
    <t>差旅费</t>
  </si>
  <si>
    <t>管理费用_差旅费</t>
  </si>
  <si>
    <t>Travel Expenses</t>
  </si>
  <si>
    <t>6602.09.01</t>
  </si>
  <si>
    <t>住宿费</t>
  </si>
  <si>
    <t>Travel Lodging</t>
  </si>
  <si>
    <t>管理费用_差旅费_住宿费</t>
  </si>
  <si>
    <t>Accommodation</t>
  </si>
  <si>
    <t>6602.09.02</t>
  </si>
  <si>
    <t>伙食费</t>
  </si>
  <si>
    <t>管理费用_差旅费_伙食费</t>
  </si>
  <si>
    <t>Meals</t>
  </si>
  <si>
    <t>6602.09.03</t>
  </si>
  <si>
    <t>地面交通费</t>
  </si>
  <si>
    <t>Travel Ground Transport - Outstation</t>
  </si>
  <si>
    <t>管理费用_差旅费_地面交通费</t>
  </si>
  <si>
    <t>Ground Transportation</t>
  </si>
  <si>
    <t>6602.09.04</t>
  </si>
  <si>
    <t>空中交通费</t>
  </si>
  <si>
    <t>Travel Air Transport</t>
  </si>
  <si>
    <t>管理费用_差旅费_空中交通费</t>
  </si>
  <si>
    <t>Air Transportation</t>
  </si>
  <si>
    <t>6602.09.05</t>
  </si>
  <si>
    <t>租车</t>
  </si>
  <si>
    <t>管理费用_差旅费_租车</t>
  </si>
  <si>
    <t>Car Rental</t>
  </si>
  <si>
    <t>6602.09.06</t>
  </si>
  <si>
    <t>其他汽车费用</t>
  </si>
  <si>
    <t>管理费用_差旅费_其他汽车费用</t>
  </si>
  <si>
    <t>Other Car Expenses</t>
  </si>
  <si>
    <t>6602.09.07</t>
  </si>
  <si>
    <t>检测费</t>
  </si>
  <si>
    <t>管理费用_差旅费_检测费</t>
  </si>
  <si>
    <t>Testing Fee</t>
  </si>
  <si>
    <t>6602.09.08</t>
  </si>
  <si>
    <t>退改费用（机票/火车等）</t>
  </si>
  <si>
    <t>管理费用_差旅费_退改费用（机票/火车等）</t>
  </si>
  <si>
    <t>Change And Cancellation Fees (Air/Train Tickets, Etc.)</t>
  </si>
  <si>
    <t>6602.09.09</t>
  </si>
  <si>
    <t>携程服务费</t>
  </si>
  <si>
    <t>管理费用_差旅费_携程服务费</t>
  </si>
  <si>
    <t xml:space="preserve"> Ctrip Service Fee</t>
  </si>
  <si>
    <t>6602.09.99</t>
  </si>
  <si>
    <t>Travel Other</t>
  </si>
  <si>
    <t>管理费用_差旅费_其他</t>
  </si>
  <si>
    <t>6602.10</t>
  </si>
  <si>
    <t>折旧费</t>
  </si>
  <si>
    <t>管理费用_折旧费</t>
  </si>
  <si>
    <t>Depreciation Expense</t>
  </si>
  <si>
    <t>6602.10.01</t>
  </si>
  <si>
    <t>Dep Exp  Computer Equip</t>
  </si>
  <si>
    <t>管理费用_折旧费_电子设备</t>
  </si>
  <si>
    <t>6602.10.02</t>
  </si>
  <si>
    <t>管理费用_折旧费_房屋建筑物</t>
  </si>
  <si>
    <t>6602.10.03</t>
  </si>
  <si>
    <t>管理费用_折旧费_机器设备</t>
  </si>
  <si>
    <t>6602.10.04</t>
  </si>
  <si>
    <t xml:space="preserve">Dep Exp - Other EQ &amp; Furn </t>
  </si>
  <si>
    <t>管理费用_折旧费_家具设备</t>
  </si>
  <si>
    <t>6602.11</t>
  </si>
  <si>
    <t>筹建费</t>
  </si>
  <si>
    <t>管理费用_筹建费</t>
  </si>
  <si>
    <t>Setup Cost</t>
  </si>
  <si>
    <t>6602.11.01</t>
  </si>
  <si>
    <t>管理费用_筹建费_咨询及专业服务费</t>
  </si>
  <si>
    <t>6602.11.01.01</t>
  </si>
  <si>
    <t>管理费用_筹建费_咨询及专业服务费_会计服务费</t>
  </si>
  <si>
    <t>6602.11.01.02</t>
  </si>
  <si>
    <t>管理费用_筹建费_咨询及专业服务费_审计服务费</t>
  </si>
  <si>
    <t>6602.11.01.03</t>
  </si>
  <si>
    <t>管理费用_筹建费_咨询及专业服务费_顾问费</t>
  </si>
  <si>
    <t>6602.11.01.04</t>
  </si>
  <si>
    <t>管理费用_筹建费_咨询及专业服务费_税务服务费</t>
  </si>
  <si>
    <t>6602.11.01.05</t>
  </si>
  <si>
    <t>招聘费</t>
  </si>
  <si>
    <t>管理费用_筹建费_咨询及专业服务费_招聘费</t>
  </si>
  <si>
    <t>6602.11.01.06</t>
  </si>
  <si>
    <t>管理费用_筹建费_咨询及专业服务费_法律服务费</t>
  </si>
  <si>
    <t>6602.11.01.07</t>
  </si>
  <si>
    <t>管理费用_筹建费_咨询及专业服务费_人力资源服务费</t>
  </si>
  <si>
    <t>6602.11.01.08</t>
  </si>
  <si>
    <t>管理费用_筹建费_咨询及专业服务费_背景调查费</t>
  </si>
  <si>
    <t>6602.11.01.09</t>
  </si>
  <si>
    <t>管理费用_筹建费_咨询及专业服务费_翻译服务费</t>
  </si>
  <si>
    <t>6602.11.01.10</t>
  </si>
  <si>
    <t>财务尽调费</t>
  </si>
  <si>
    <t>管理费用_筹建费_咨询及专业服务费_财务尽调费</t>
  </si>
  <si>
    <t>Financial Due Diligence Fee</t>
  </si>
  <si>
    <t>6602.11.01.99</t>
  </si>
  <si>
    <t>管理费用_筹建费_咨询及专业服务费_其他</t>
  </si>
  <si>
    <t>6602.11.02</t>
  </si>
  <si>
    <t>管理费用_筹建费_业务招待费</t>
  </si>
  <si>
    <t>6602.11.03</t>
  </si>
  <si>
    <t>管理费用_筹建费_广告费和业务宣传费</t>
  </si>
  <si>
    <t>6602.11.04</t>
  </si>
  <si>
    <t>管理费用_筹建费_事务费用</t>
  </si>
  <si>
    <t>6602.11.04.01</t>
  </si>
  <si>
    <t>管理费用_筹建费_事务费用_通信费</t>
  </si>
  <si>
    <t>6602.11.04.02</t>
  </si>
  <si>
    <t>互联网</t>
  </si>
  <si>
    <t>管理费用_筹建费_事务费用_互联网</t>
  </si>
  <si>
    <t>6602.11.04.03</t>
  </si>
  <si>
    <t>管理费用_筹建费_事务费用_办公用品</t>
  </si>
  <si>
    <t>6602.11.04.04</t>
  </si>
  <si>
    <t>管理费用_筹建费_事务费用_事务保金</t>
  </si>
  <si>
    <t>6602.11.04.05</t>
  </si>
  <si>
    <t>管理费用_筹建费_事务费用_邮费/邮递费</t>
  </si>
  <si>
    <t>6602.11.04.99</t>
  </si>
  <si>
    <t>管理费用_筹建费_事务费用_其他</t>
  </si>
  <si>
    <t>6602.11.05</t>
  </si>
  <si>
    <t>管理费用_筹建费_差旅费</t>
  </si>
  <si>
    <t>6602.11.05.01</t>
  </si>
  <si>
    <t>管理费用_筹建费_差旅费_住宿费</t>
  </si>
  <si>
    <t>6602.11.05.02</t>
  </si>
  <si>
    <t>管理费用_筹建费_差旅费_伙食费</t>
  </si>
  <si>
    <t>6602.11.05.03</t>
  </si>
  <si>
    <t>管理费用_筹建费_差旅费_地面交通费</t>
  </si>
  <si>
    <t>6602.11.05.04</t>
  </si>
  <si>
    <t>管理费用_筹建费_差旅费_空中交通费</t>
  </si>
  <si>
    <t>6602.11.05.05</t>
  </si>
  <si>
    <t>管理费用_筹建费_差旅费_租车</t>
  </si>
  <si>
    <t>6602.11.05.06</t>
  </si>
  <si>
    <t>管理费用_筹建费_差旅费_其他汽车费用</t>
  </si>
  <si>
    <t>6602.11.05.07</t>
  </si>
  <si>
    <t>管理费用_筹建费_差旅费_检测费</t>
  </si>
  <si>
    <t>6602.11.05.08</t>
  </si>
  <si>
    <t>管理费用_筹建费_差旅费_退改费用（机票/火车等）</t>
  </si>
  <si>
    <t>6602.11.05.09</t>
  </si>
  <si>
    <t>管理费用_筹建费_差旅费_携程服务费</t>
  </si>
  <si>
    <t>6602.11.05.99</t>
  </si>
  <si>
    <t>管理费用_筹建费_差旅费_其他</t>
  </si>
  <si>
    <t>6602.11.99</t>
  </si>
  <si>
    <t>管理费用_筹建费_其他</t>
  </si>
  <si>
    <t>6602.12</t>
  </si>
  <si>
    <t>Dep Exp - Right of Use Asset</t>
  </si>
  <si>
    <t>管理费用_使用权资产折旧</t>
  </si>
  <si>
    <t>Depreciation Expense Of Right-Of-Use Assets</t>
  </si>
  <si>
    <t>6602.12.01</t>
  </si>
  <si>
    <t>管理费用_使用权资产折旧_打印机租赁</t>
  </si>
  <si>
    <t>6602.12.02</t>
  </si>
  <si>
    <t>管理费用_使用权资产折旧_办公地址</t>
  </si>
  <si>
    <t>6602.12.02.01</t>
  </si>
  <si>
    <t>管理费用_使用权资产折旧_办公地址_旭智咨询--鼎和大厦1606</t>
  </si>
  <si>
    <t>6602.12.02.02</t>
  </si>
  <si>
    <t>管理费用_使用权资产折旧_办公地址_旭智资本（香港）--冯氏大厦</t>
  </si>
  <si>
    <t>6602.12.03</t>
  </si>
  <si>
    <t>管理费用_使用权资产折旧_注册地址</t>
  </si>
  <si>
    <t>6602.12.03.01</t>
  </si>
  <si>
    <t>管理费用_使用权资产折旧_注册地址_旭智私募--前海壹号B座701E</t>
  </si>
  <si>
    <t>6602.12.03.02</t>
  </si>
  <si>
    <t>管理费用_使用权资产折旧_注册地址_广州旭智--802房F028</t>
  </si>
  <si>
    <t>6602.13</t>
  </si>
  <si>
    <t>管理费用_物业管理费</t>
  </si>
  <si>
    <t>6602.14</t>
  </si>
  <si>
    <t>修理费</t>
  </si>
  <si>
    <t>管理费用_修理费</t>
  </si>
  <si>
    <t>Repair Fee</t>
  </si>
  <si>
    <t>6602.15</t>
  </si>
  <si>
    <t>服务费</t>
  </si>
  <si>
    <t>Professional Fee</t>
  </si>
  <si>
    <t>管理费用_服务费</t>
  </si>
  <si>
    <t>Service Charge</t>
  </si>
  <si>
    <t>6602.16</t>
  </si>
  <si>
    <t>董事会费</t>
  </si>
  <si>
    <t>Internal ACP Meeting</t>
  </si>
  <si>
    <t>管理费用_董事会费</t>
  </si>
  <si>
    <t>Board Of Directors Fee</t>
  </si>
  <si>
    <t>6602.17</t>
  </si>
  <si>
    <t>聘请中介机构费</t>
  </si>
  <si>
    <t>管理费用_聘请中介机构费</t>
  </si>
  <si>
    <t>Fee For Hiring Intermediaries</t>
  </si>
  <si>
    <t>6602.18</t>
  </si>
  <si>
    <t>存货盘亏或盘盈</t>
  </si>
  <si>
    <t>管理费用_存货盘亏或盘盈</t>
  </si>
  <si>
    <t>Inventory Gains Or Losses</t>
  </si>
  <si>
    <t>6602.19</t>
  </si>
  <si>
    <t>会费（公司）</t>
  </si>
  <si>
    <t>Membership Fee</t>
  </si>
  <si>
    <t>管理费用_会费（公司）</t>
  </si>
  <si>
    <t>Corporate Membership Fee</t>
  </si>
  <si>
    <t>6602.20</t>
  </si>
  <si>
    <t>Education Assistance</t>
  </si>
  <si>
    <t>管理费用_职工教育经费</t>
  </si>
  <si>
    <t xml:space="preserve"> Employee education funds</t>
  </si>
  <si>
    <t>6602.21</t>
  </si>
  <si>
    <t>公司秘书费</t>
  </si>
  <si>
    <t>Corporate Secretarial Fees</t>
  </si>
  <si>
    <t>管理费用_公司秘书费</t>
  </si>
  <si>
    <t xml:space="preserve"> Secretarial Services</t>
  </si>
  <si>
    <t>6602.22</t>
  </si>
  <si>
    <t>管理费用_工会经费</t>
  </si>
  <si>
    <t>Union funds</t>
  </si>
  <si>
    <t>6602.23</t>
  </si>
  <si>
    <t>Contract Intangibles - Amortization</t>
  </si>
  <si>
    <t>管理费用_无形资产摊销</t>
  </si>
  <si>
    <t>Intangibles Amortization</t>
  </si>
  <si>
    <t>6602.24</t>
  </si>
  <si>
    <t>监管费用</t>
  </si>
  <si>
    <t xml:space="preserve">Regulatory fees </t>
  </si>
  <si>
    <t>管理费用_监管费用</t>
  </si>
  <si>
    <t>Regulatory Fees</t>
  </si>
  <si>
    <t>6602.99</t>
  </si>
  <si>
    <t>Admin Other</t>
  </si>
  <si>
    <t>管理费用_其他</t>
  </si>
  <si>
    <t>6603</t>
  </si>
  <si>
    <t>财务费用</t>
  </si>
  <si>
    <t>Financial Expense</t>
  </si>
  <si>
    <t>6603.01</t>
  </si>
  <si>
    <t>汇兑损益</t>
  </si>
  <si>
    <t>FX Gain/Loss Net</t>
  </si>
  <si>
    <t>财务费用_汇兑损益</t>
  </si>
  <si>
    <t>Exchange Gains And Losses</t>
  </si>
  <si>
    <t>6603.02</t>
  </si>
  <si>
    <t>利息费用</t>
  </si>
  <si>
    <t>财务费用_利息费用</t>
  </si>
  <si>
    <t>Interest Expenses</t>
  </si>
  <si>
    <t>6603.02.01</t>
  </si>
  <si>
    <t>财务费用_利息费用_打印机租赁</t>
  </si>
  <si>
    <t>6603.02.02</t>
  </si>
  <si>
    <t>财务费用_利息费用_办公地址</t>
  </si>
  <si>
    <t>6603.02.02.01</t>
  </si>
  <si>
    <t>财务费用_利息费用_办公地址_旭智咨询--鼎和大厦1606</t>
  </si>
  <si>
    <t>6603.02.02.02</t>
  </si>
  <si>
    <t>Interest Expense Lease</t>
  </si>
  <si>
    <t>财务费用_利息费用_办公地址_旭智资本（香港）--冯氏大厦</t>
  </si>
  <si>
    <t>6603.02.03</t>
  </si>
  <si>
    <t>财务费用_利息费用_注册地址</t>
  </si>
  <si>
    <t>6603.02.03.01</t>
  </si>
  <si>
    <t>财务费用_利息费用_注册地址_旭智私募--前海壹号B座701E</t>
  </si>
  <si>
    <t>6603.02.03.02</t>
  </si>
  <si>
    <t>财务费用_利息费用_注册地址_广州旭智--802房F028</t>
  </si>
  <si>
    <t>6603.03</t>
  </si>
  <si>
    <t>银行手续费</t>
  </si>
  <si>
    <t>Bank Charges</t>
  </si>
  <si>
    <t>财务费用_银行手续费</t>
  </si>
  <si>
    <t>6603.04</t>
  </si>
  <si>
    <t>利息收入</t>
  </si>
  <si>
    <t>Bank Interest Income</t>
  </si>
  <si>
    <t>财务费用_利息收入</t>
  </si>
  <si>
    <t>Interest Income</t>
  </si>
  <si>
    <t>6603.05</t>
  </si>
  <si>
    <t>利息支出</t>
  </si>
  <si>
    <t>财务费用_利息支出</t>
  </si>
  <si>
    <t xml:space="preserve"> Interest expense</t>
  </si>
  <si>
    <t>6603.05.01</t>
  </si>
  <si>
    <t>兴业金融租赁有限责任公司</t>
  </si>
  <si>
    <t>财务费用_利息支出_兴业金融租赁有限责任公司</t>
  </si>
  <si>
    <t xml:space="preserve"> Industrial Bank Financial Leasing Co., Ltd.</t>
  </si>
  <si>
    <t>6603.05.02</t>
  </si>
  <si>
    <t>湖南三一智慧新能源设计有限公司</t>
  </si>
  <si>
    <t>财务费用_利息支出_湖南三一智慧新能源设计有限公司</t>
  </si>
  <si>
    <t xml:space="preserve"> Hunan SANY Smart New Energy Design Co., Ltd.</t>
  </si>
  <si>
    <t>6603.05.03</t>
  </si>
  <si>
    <t>和谐天明投资管理(北京)有限公司</t>
  </si>
  <si>
    <t>财务费用_利息支出_和谐天明投资管理(北京)有限公司</t>
  </si>
  <si>
    <t>6603.99</t>
  </si>
  <si>
    <t>财务费用_其他</t>
  </si>
  <si>
    <t>6051</t>
  </si>
  <si>
    <t>其他业务收入</t>
  </si>
  <si>
    <t>Other Business Income</t>
  </si>
  <si>
    <t>其他收益</t>
  </si>
  <si>
    <t>6101</t>
  </si>
  <si>
    <t>公允价值变动损益</t>
  </si>
  <si>
    <t>Gains And Losses From Changes In Fair Value</t>
  </si>
  <si>
    <t>6111</t>
  </si>
  <si>
    <t>投资收益</t>
  </si>
  <si>
    <t>Gain on investment</t>
  </si>
  <si>
    <t>Investment Income</t>
  </si>
  <si>
    <t>6115</t>
  </si>
  <si>
    <t>Other income</t>
  </si>
  <si>
    <t>Other Income</t>
  </si>
  <si>
    <t>6115.01</t>
  </si>
  <si>
    <t>政府补助</t>
  </si>
  <si>
    <t>其他收益_政府补助</t>
  </si>
  <si>
    <t>Government Grants</t>
  </si>
  <si>
    <t>6115.02</t>
  </si>
  <si>
    <t>个税手续费返还</t>
  </si>
  <si>
    <t>其他收益_个税手续费返还</t>
  </si>
  <si>
    <t>Refund Of Individual Income Tax Handling Fees</t>
  </si>
  <si>
    <t>6115.03</t>
  </si>
  <si>
    <t>公司间往来</t>
  </si>
  <si>
    <t xml:space="preserve">Other Income – Intercompany </t>
  </si>
  <si>
    <t>其他收益_公司间往来</t>
  </si>
  <si>
    <t>Intercompany</t>
  </si>
  <si>
    <t>6115.99</t>
  </si>
  <si>
    <t>其他收益_其他</t>
  </si>
  <si>
    <t>6117</t>
  </si>
  <si>
    <t>资产处置损益</t>
  </si>
  <si>
    <t>Gains And Losses From Asset Disposal</t>
  </si>
  <si>
    <t>6118</t>
  </si>
  <si>
    <t>净敞口套期损益</t>
  </si>
  <si>
    <t>Net Exposure Hedging Gains And Losses</t>
  </si>
  <si>
    <t>6301</t>
  </si>
  <si>
    <t>营业外收入</t>
  </si>
  <si>
    <t>Non-Operating Income</t>
  </si>
  <si>
    <t>6301.01</t>
  </si>
  <si>
    <t>非流动资产处置利得</t>
  </si>
  <si>
    <t>营业外收入_非流动资产处置利得</t>
  </si>
  <si>
    <t>Gains On Disposal Of Non-Current Assets</t>
  </si>
  <si>
    <t>6301.02</t>
  </si>
  <si>
    <t>债务重组利得</t>
  </si>
  <si>
    <t>营业外收入_债务重组利得</t>
  </si>
  <si>
    <t>Gains From Debt Restructuring</t>
  </si>
  <si>
    <t>6301.03</t>
  </si>
  <si>
    <t>盘盈利得</t>
  </si>
  <si>
    <t>营业外收入_盘盈利得</t>
  </si>
  <si>
    <t>Inventory Gains</t>
  </si>
  <si>
    <t>6301.04</t>
  </si>
  <si>
    <t>捐赠利得</t>
  </si>
  <si>
    <t>营业外收入_捐赠利得</t>
  </si>
  <si>
    <t>Donation Gains</t>
  </si>
  <si>
    <t>6301.99</t>
  </si>
  <si>
    <t>营业外收入_其他</t>
  </si>
  <si>
    <t>6402</t>
  </si>
  <si>
    <t>其他业务成本</t>
  </si>
  <si>
    <t>Other Operating Cost</t>
  </si>
  <si>
    <t>其他损失</t>
  </si>
  <si>
    <t>6701</t>
  </si>
  <si>
    <t>资产减值损失</t>
  </si>
  <si>
    <t>Impairment loss</t>
  </si>
  <si>
    <t>Impairment Losses On Assets</t>
  </si>
  <si>
    <t>6711</t>
  </si>
  <si>
    <t>营业外支出</t>
  </si>
  <si>
    <t>Non-Operating Expenses</t>
  </si>
  <si>
    <t>6711.01</t>
  </si>
  <si>
    <t>滞纳金</t>
  </si>
  <si>
    <t>营业外支出_滞纳金</t>
  </si>
  <si>
    <t>Tax Penalty</t>
  </si>
  <si>
    <t>6711.02</t>
  </si>
  <si>
    <t>非流动资产处置损失</t>
  </si>
  <si>
    <t>营业外支出_非流动资产处置损失</t>
  </si>
  <si>
    <t xml:space="preserve"> Loss on Disposal of Non-Current Assets</t>
  </si>
  <si>
    <t>6901</t>
  </si>
  <si>
    <t>以前年度损益调整</t>
  </si>
  <si>
    <t>Prior Years' Profit Or Loss Adjustment</t>
  </si>
  <si>
    <t>6801</t>
  </si>
  <si>
    <t>所得税费用</t>
  </si>
  <si>
    <t>Income Tax Expenses</t>
  </si>
  <si>
    <t>所得税</t>
  </si>
  <si>
    <t>6801.01</t>
  </si>
  <si>
    <t>当期所得税费用</t>
  </si>
  <si>
    <t>Enterprise Income Tax</t>
  </si>
  <si>
    <t>所得税费用_当期所得税费用</t>
  </si>
  <si>
    <t>Current Income Tax Expenses</t>
  </si>
  <si>
    <t>6801.02</t>
  </si>
  <si>
    <t>递延所得税费用</t>
  </si>
  <si>
    <t>所得税费用_递延所得税费用</t>
  </si>
  <si>
    <t>Deferred Income Tax Expenses</t>
  </si>
  <si>
    <t>6801.03</t>
  </si>
  <si>
    <t>以前年度所得税费用</t>
  </si>
  <si>
    <t>所得税费用_以前年度所得税费用</t>
  </si>
  <si>
    <t>Prior Years' Income Tax Expenses</t>
  </si>
  <si>
    <t>年底</t>
  </si>
  <si>
    <t>RF's base (-)/+</t>
  </si>
  <si>
    <t>RF's base in HKD</t>
  </si>
  <si>
    <t>2026拟招聘员工：</t>
  </si>
  <si>
    <t>月薪</t>
  </si>
  <si>
    <t>开始日期</t>
  </si>
  <si>
    <t>风资源工程师</t>
  </si>
  <si>
    <t>RMB</t>
  </si>
  <si>
    <t>电力交易员</t>
  </si>
  <si>
    <t>律师</t>
  </si>
  <si>
    <t>区域副总</t>
  </si>
  <si>
    <t>项目会计</t>
  </si>
  <si>
    <t>档案管理员</t>
  </si>
  <si>
    <t>RO HKD</t>
  </si>
  <si>
    <t>开始日</t>
  </si>
  <si>
    <t>终止日</t>
  </si>
  <si>
    <t>Head of Origination</t>
  </si>
  <si>
    <t>Op Partner - ZJX</t>
  </si>
  <si>
    <t>2026拟终止员工：</t>
  </si>
  <si>
    <t>终止日期</t>
  </si>
  <si>
    <t>DQ</t>
  </si>
  <si>
    <t>AC</t>
  </si>
  <si>
    <t>2026承担成本比例变化</t>
  </si>
  <si>
    <t>MG</t>
  </si>
  <si>
    <t>"1" Means has bonus, "0" means no</t>
  </si>
  <si>
    <t>员工奖金总额</t>
  </si>
  <si>
    <t>员工加薪</t>
  </si>
  <si>
    <t>"1" Means has payrise, "0" means no</t>
  </si>
  <si>
    <t>员工加薪总额</t>
  </si>
  <si>
    <t>富能基金总实缴金额</t>
  </si>
  <si>
    <t>对应GP总实缴金额</t>
  </si>
  <si>
    <t>项目数量</t>
  </si>
  <si>
    <t>区域数量</t>
  </si>
  <si>
    <t>基金激励管理费支付</t>
  </si>
  <si>
    <t>（1为支付，0为不支付）</t>
  </si>
  <si>
    <t>MAA基础管理费支付</t>
  </si>
  <si>
    <t>MAA激励管理费一支付</t>
  </si>
  <si>
    <t>MAA激励管理费二支付</t>
  </si>
  <si>
    <t>运维费率</t>
  </si>
  <si>
    <t>董监高保险</t>
  </si>
  <si>
    <t>（1为旭智承担，0为项目公司承担）</t>
  </si>
  <si>
    <t>输出 - 利润表</t>
  </si>
  <si>
    <t>人民币万元</t>
  </si>
  <si>
    <t>已扣除承担的项目公司费用</t>
  </si>
  <si>
    <t>总MAA收入（不含税，万元）</t>
  </si>
  <si>
    <t>运维费用（不含税，万元）</t>
  </si>
  <si>
    <t>其他费用合计（不含税，万元）</t>
  </si>
  <si>
    <t>WHT</t>
  </si>
  <si>
    <t>营业收入合计</t>
  </si>
  <si>
    <t>税金及附加小计</t>
  </si>
  <si>
    <t>管理人工费用小计</t>
  </si>
  <si>
    <t>管理费用合计</t>
  </si>
  <si>
    <t>财务费用合计</t>
  </si>
  <si>
    <t>其他收益合计</t>
  </si>
  <si>
    <t>营业利润</t>
  </si>
  <si>
    <t>营业外收入 (支-, 收+):</t>
  </si>
  <si>
    <t>利润总额 (税前利润)</t>
  </si>
  <si>
    <t>五  税后利润</t>
  </si>
  <si>
    <t>输出 - 现金流</t>
  </si>
  <si>
    <t>曦和基金股转款</t>
  </si>
  <si>
    <t>IDG借款</t>
  </si>
  <si>
    <t>旭智富能股权转让款</t>
  </si>
  <si>
    <t>曦和基金退伙</t>
  </si>
  <si>
    <t>归还IDG借款</t>
  </si>
  <si>
    <t>股东注资</t>
  </si>
  <si>
    <t>注资深圳曦和</t>
  </si>
  <si>
    <t>注资Albamen New Energy</t>
  </si>
  <si>
    <t>注资深圳曦风</t>
  </si>
  <si>
    <t>注资深圳新融</t>
  </si>
  <si>
    <t>费用支出</t>
  </si>
  <si>
    <t>ACPLHK</t>
  </si>
  <si>
    <t>ACPL</t>
  </si>
  <si>
    <t>ACPLSZ</t>
  </si>
  <si>
    <t>ACPLSZL</t>
  </si>
  <si>
    <t>ACPLGZ</t>
  </si>
  <si>
    <t>Yixing</t>
  </si>
  <si>
    <t>Total</t>
  </si>
  <si>
    <t>Albamen New Energy</t>
  </si>
  <si>
    <t>深圳曦风</t>
  </si>
  <si>
    <t>深圳新融</t>
  </si>
  <si>
    <t>Cash balance</t>
  </si>
  <si>
    <t>Transfer</t>
  </si>
  <si>
    <t>Jul 2025 expenses</t>
  </si>
  <si>
    <t>+657k:
ACPLSZ: 120k 鉴衡服务费; 普华22.5k咨询费；63k Q3深圳租金
ACPLHK: 82K IT服务; 62K 审计费；
ACPL: 218k HK SPV费用; 90K 审计费</t>
  </si>
  <si>
    <t>Estimated Cash balance</t>
  </si>
  <si>
    <t>injection</t>
  </si>
  <si>
    <t>Aug 2025 expenses</t>
  </si>
  <si>
    <t>ACPLSZ: 普华22.5k咨询费
ACPLHK: 145K IT服务(license + cloud storage)</t>
  </si>
  <si>
    <t>*** ACPLHK will breach the liquid cap requirement after settlement of Aug expenses without capital injection</t>
  </si>
  <si>
    <t>Sept 2025 expenses</t>
  </si>
  <si>
    <t>October 2025 expenses</t>
  </si>
  <si>
    <t>November 2025 expenses</t>
  </si>
  <si>
    <t>Dec expense payments</t>
  </si>
  <si>
    <t>实际现金余额</t>
  </si>
  <si>
    <t>Dec non-routine items:</t>
  </si>
  <si>
    <t>IT cloud storage for 2025</t>
  </si>
  <si>
    <t>现金分配</t>
  </si>
  <si>
    <t>Huw 7-12 2025 service fee</t>
  </si>
  <si>
    <t>内部调拨</t>
  </si>
  <si>
    <t>Cayman entity expenses</t>
  </si>
  <si>
    <t>减资款出境</t>
  </si>
  <si>
    <t>IDG Q1 service fee (Michael)</t>
  </si>
  <si>
    <t>Dec routine expense payments</t>
  </si>
  <si>
    <t>现金余额</t>
  </si>
  <si>
    <t>取得借款所收到的现金</t>
  </si>
  <si>
    <t>投资支付的现金</t>
  </si>
  <si>
    <t>注资宜兴旭智</t>
  </si>
  <si>
    <t>NA</t>
  </si>
  <si>
    <t>吸收投资所收到的现金</t>
  </si>
  <si>
    <t>收回投资所收到的现金</t>
  </si>
  <si>
    <t>支付的其他与筹资活动有关的现金</t>
  </si>
  <si>
    <t>偿还债务所支付的现金</t>
  </si>
  <si>
    <t>减资款分配</t>
  </si>
  <si>
    <t>注资旭智私募</t>
  </si>
  <si>
    <t>注资旭智咨询</t>
  </si>
  <si>
    <t>注资JV基金</t>
  </si>
  <si>
    <t>单位：人民币万元</t>
  </si>
  <si>
    <t>基金规模：</t>
  </si>
  <si>
    <t>基金备案实缴</t>
  </si>
  <si>
    <t>认缴注册资本</t>
  </si>
  <si>
    <t>认缴比例</t>
  </si>
  <si>
    <t>终关实缴比例</t>
  </si>
  <si>
    <t>成都光宜基金</t>
  </si>
  <si>
    <t>太保</t>
  </si>
  <si>
    <t>国能</t>
  </si>
  <si>
    <t>GP</t>
  </si>
  <si>
    <t>基金首期实缴</t>
  </si>
  <si>
    <t>实际对基金认缴</t>
  </si>
  <si>
    <t>对应基金比例</t>
  </si>
  <si>
    <t>基金累计实缴门槛需要再次call款</t>
  </si>
  <si>
    <t>GP首期实缴</t>
  </si>
  <si>
    <t>深圳新融（GP）</t>
  </si>
  <si>
    <t>LP</t>
  </si>
  <si>
    <t>珠海新融</t>
  </si>
  <si>
    <t>旭智咨询</t>
  </si>
  <si>
    <t>旭智新能源</t>
  </si>
  <si>
    <t>旭智私募</t>
  </si>
  <si>
    <t>剩余资金</t>
  </si>
  <si>
    <t>目前认购股份</t>
  </si>
  <si>
    <t>调整</t>
  </si>
  <si>
    <t>调整后认购股份</t>
  </si>
  <si>
    <t>目前已发股份</t>
  </si>
  <si>
    <t>调整后已发股份</t>
  </si>
  <si>
    <t>1st Capital call</t>
  </si>
  <si>
    <t>实际缴款total</t>
  </si>
  <si>
    <t>2nd Capital call</t>
  </si>
  <si>
    <t>Class A</t>
  </si>
  <si>
    <t>Class B</t>
  </si>
  <si>
    <t>Reil</t>
  </si>
  <si>
    <t>黄耀宗</t>
  </si>
  <si>
    <t>卢淑怡</t>
  </si>
  <si>
    <t>李琦</t>
  </si>
  <si>
    <t>冯淑欣</t>
  </si>
  <si>
    <t>梁国希</t>
  </si>
  <si>
    <t>资金需求</t>
  </si>
  <si>
    <t>以20251231测算</t>
  </si>
  <si>
    <t>注资至旭智新能源780+预留流动资金20</t>
  </si>
  <si>
    <t>预留流动资金350+360</t>
  </si>
  <si>
    <t>注：含Ray51%</t>
  </si>
  <si>
    <t>合计</t>
  </si>
  <si>
    <t>首笔借款</t>
  </si>
  <si>
    <t>后续资金</t>
  </si>
  <si>
    <t>曦和基金</t>
  </si>
  <si>
    <t>情况1：奇点与境外资金拼盘，作为GP-LP进基金</t>
  </si>
  <si>
    <t>首期实缴</t>
  </si>
  <si>
    <t>名义认缴 ￥</t>
  </si>
  <si>
    <t>实际认缴 ￥</t>
  </si>
  <si>
    <t>实际认缴 %</t>
  </si>
  <si>
    <t>以专项基金实缴2000</t>
  </si>
  <si>
    <t>以综合基金实缴1000</t>
  </si>
  <si>
    <t>奇点</t>
  </si>
  <si>
    <t>优势：1）一次性做大旭智私募规模，可满足2027年连续12月在管规模＞3000万的实控人转让监管要求；2）深圳曦风进行重大变更，申请资料相对新设较为简单</t>
  </si>
  <si>
    <r>
      <rPr>
        <sz val="11"/>
        <color theme="1"/>
        <rFont val="Calibri"/>
        <family val="2"/>
        <scheme val="minor"/>
      </rPr>
      <t>劣势：</t>
    </r>
    <r>
      <rPr>
        <sz val="11"/>
        <color rgb="FFFF0000"/>
        <rFont val="Calibri"/>
        <family val="2"/>
        <scheme val="minor"/>
      </rPr>
      <t>跟投人员可能须早于基金实缴首期出资</t>
    </r>
  </si>
  <si>
    <t>提醒事项：1）旭智私募需收取合理管理费（1-2%），可通过旭智咨询以其他形式返还；2）如奇点不参与carry分配，须做分级安排，容易引起审核关注，影响审批效率</t>
  </si>
  <si>
    <t>情况2：奇点作为单一LP设立基金，作为LP进基金</t>
  </si>
  <si>
    <t>优势：清晰</t>
  </si>
  <si>
    <r>
      <rPr>
        <sz val="11"/>
        <color theme="1"/>
        <rFont val="Calibri"/>
        <family val="2"/>
        <scheme val="minor"/>
      </rPr>
      <t>劣势：1）</t>
    </r>
    <r>
      <rPr>
        <sz val="11"/>
        <color rgb="FFFF0000"/>
        <rFont val="Calibri"/>
        <family val="2"/>
        <scheme val="minor"/>
      </rPr>
      <t>奇点须100%完成首期出资要求</t>
    </r>
    <r>
      <rPr>
        <sz val="11"/>
        <color theme="1"/>
        <rFont val="Calibri"/>
        <family val="2"/>
        <scheme val="minor"/>
      </rPr>
      <t>；2）旭智私募得再组一只基金以满足2027年底实控任转让的监管要求</t>
    </r>
  </si>
  <si>
    <t>提醒事项：旭智私募需收取合理管理费（1-2%），可通过旭智咨询以其他形式返还；</t>
  </si>
  <si>
    <t>MAA季度管理费支付期间</t>
  </si>
  <si>
    <t>MAA新增资本管理费支付期间</t>
  </si>
  <si>
    <t>天数</t>
  </si>
  <si>
    <t>新增装机（MW）</t>
  </si>
  <si>
    <t>累计装机（MW）</t>
  </si>
  <si>
    <t>累计装机（MW）- annual cumulative average</t>
  </si>
  <si>
    <t>平均单瓦股权价格（元/W)</t>
  </si>
  <si>
    <t>JV股权新增出资额（万元）</t>
  </si>
  <si>
    <t>JV股权累计出资额（万元）</t>
  </si>
  <si>
    <t>基金股权新增出资额（万元）</t>
  </si>
  <si>
    <t>基金股权累计出资额（万元）</t>
  </si>
  <si>
    <t>基金费用新增出资额（万元）</t>
  </si>
  <si>
    <t>基金费用累计出资额（万元）</t>
  </si>
  <si>
    <t>基金基础管理费出资额（含税，万元）</t>
  </si>
  <si>
    <t>基金激励管理费出资额（含税，万元）</t>
  </si>
  <si>
    <t>“1”为支付，"0"为不支付</t>
  </si>
  <si>
    <t>基金新增总出资额（万元）</t>
  </si>
  <si>
    <t>基金累计总出资额（万元）</t>
  </si>
  <si>
    <t>认缴资本</t>
  </si>
  <si>
    <t>基金累计总出资%</t>
  </si>
  <si>
    <t>ACPL新增出资额（万元）</t>
  </si>
  <si>
    <t>ACPL累计出资额（万元）</t>
  </si>
  <si>
    <t>ACPLSZ新增出资额（万元）</t>
  </si>
  <si>
    <t>ACPLSZ累计出资额（万元）</t>
  </si>
  <si>
    <t>ACPSZL新增出资额（万元）</t>
  </si>
  <si>
    <t>ACPSZL</t>
  </si>
  <si>
    <t>ACPSZL累计出资额（万元）</t>
  </si>
  <si>
    <t>深圳新融新增出资额（万元）</t>
  </si>
  <si>
    <t>深圳新融累计出资额（万元）</t>
  </si>
  <si>
    <t>MAA 基本收入（含税，万元）</t>
  </si>
  <si>
    <t>MAA 激励收入一（含税，万元）</t>
  </si>
  <si>
    <t>MAA 激励收入二（含税，万元）</t>
  </si>
  <si>
    <t>总MAA收入（含税，万元）</t>
  </si>
  <si>
    <t>MAA 基本收入（不含税，万元）</t>
  </si>
  <si>
    <t>VAT</t>
  </si>
  <si>
    <t>MAA 激励收入一（不含税，万元）</t>
  </si>
  <si>
    <t>MAA 激励收入二（不含税，万元）</t>
  </si>
  <si>
    <t>运维费用（含税，万元）</t>
  </si>
  <si>
    <t>单瓦成本</t>
  </si>
  <si>
    <t>第三方咨询顾问</t>
  </si>
  <si>
    <t>电力交易（含税，万/项目）</t>
  </si>
  <si>
    <t>电力研究数据库（含税，万/年）</t>
  </si>
  <si>
    <t>监控系统服务软件开发（含税，万/项目）</t>
  </si>
  <si>
    <t>发电能力（EBA）归因分析（含税，万/项目）</t>
  </si>
  <si>
    <t>项目公司财务经办人员工资及五险一金（含税，万/年）</t>
  </si>
  <si>
    <t>会计服务费（含税，万/年/项目）</t>
  </si>
  <si>
    <t>人力资源服务费（含税，万/年/项目）</t>
  </si>
  <si>
    <t>办公用品，差旅，其他（含税，万/年/项目）</t>
  </si>
  <si>
    <t>其他费用合计（含税，万元）</t>
  </si>
  <si>
    <t>总费用（含税，万元)</t>
  </si>
  <si>
    <t>电力交易（不含税，万/项目）</t>
  </si>
  <si>
    <t>电力研究数据库（不含税，万/年）</t>
  </si>
  <si>
    <t>监控系统服务软件开发（不含税，万/项目）</t>
  </si>
  <si>
    <t>发电能力（EBA）归因分析（不含税，万/项目）</t>
  </si>
  <si>
    <t>项目公司财务经办人员工资及五险一金（不含税，万/年）</t>
  </si>
  <si>
    <t>会计服务费（不含税，万/年/项目）</t>
  </si>
  <si>
    <t>人力资源服务费（不含税，万/年/项目）</t>
  </si>
  <si>
    <t>办公用品，差旅，其他（不含税，万/年/项目）</t>
  </si>
  <si>
    <t>总费用（不含税，万元)</t>
  </si>
  <si>
    <t>基金基础管理费收入（不含VAT，万元）</t>
  </si>
  <si>
    <t>扣除IDG 25% CIT</t>
  </si>
  <si>
    <t>基金激励管理费收入（不含VAT，万元）</t>
  </si>
  <si>
    <t>总基金管理费收入（不含VAT，万元）</t>
  </si>
  <si>
    <t>净MAA收入（不含税，万元）</t>
  </si>
  <si>
    <t>净MAA收入（不含税，万元，扣除5% WHT）</t>
  </si>
  <si>
    <t>C/A HKD</t>
  </si>
  <si>
    <t>Fixed deposit</t>
  </si>
  <si>
    <t>Feb payroll</t>
  </si>
  <si>
    <t>Feb expense</t>
  </si>
  <si>
    <t>Total expense in Feb</t>
  </si>
  <si>
    <t>surplus/(Deficit)</t>
  </si>
  <si>
    <t>Proposed transfer</t>
  </si>
  <si>
    <t>Cash balance after transfer</t>
  </si>
  <si>
    <t>HSBC MMF RMB</t>
  </si>
  <si>
    <t>IBKR</t>
  </si>
  <si>
    <t>Mar payroll</t>
  </si>
  <si>
    <t>Mar bonus</t>
  </si>
  <si>
    <t>Mar expense claim</t>
  </si>
  <si>
    <t>Guardian Property</t>
  </si>
  <si>
    <t>Rent</t>
  </si>
  <si>
    <t>IQ EQ</t>
  </si>
  <si>
    <t>SFC</t>
  </si>
  <si>
    <t>Lyreco</t>
  </si>
  <si>
    <t>HKT</t>
  </si>
  <si>
    <t>Shunfeng</t>
  </si>
  <si>
    <t>Tricor</t>
  </si>
  <si>
    <t>Cleaning</t>
  </si>
  <si>
    <t>Electric</t>
  </si>
  <si>
    <t>areo - boardroom</t>
  </si>
  <si>
    <t>areo - patrick wong cpa</t>
  </si>
  <si>
    <t>Total expense in Mar</t>
  </si>
  <si>
    <t>Proposed transfer IBKR</t>
  </si>
  <si>
    <t>Transfer from ACPLHK to ACPL</t>
  </si>
  <si>
    <t>AUD balance</t>
  </si>
  <si>
    <t xml:space="preserve">Huw </t>
  </si>
  <si>
    <t>Ending balance Mar 2025</t>
  </si>
  <si>
    <t>Actual Ending balance Mar 2025</t>
  </si>
  <si>
    <t>Ending balance Mar 2025 in HKD</t>
  </si>
  <si>
    <t>Apr payroll</t>
  </si>
  <si>
    <t>Apr expense claim</t>
  </si>
  <si>
    <t>PwC</t>
  </si>
  <si>
    <t>Buffer</t>
  </si>
  <si>
    <t xml:space="preserve">medical insurance </t>
  </si>
  <si>
    <t>Total expense in Apr</t>
  </si>
  <si>
    <t>FX of RMB into HKD</t>
  </si>
  <si>
    <t>Deficit in HKD</t>
  </si>
  <si>
    <t>Fujifilm</t>
  </si>
  <si>
    <t>Sun Hing</t>
  </si>
  <si>
    <t>deficit</t>
  </si>
  <si>
    <t>cash balance 5/26/2025</t>
  </si>
  <si>
    <t>HKD balance at HSBC 5/26/2025</t>
  </si>
  <si>
    <t>May payroll</t>
  </si>
  <si>
    <t>May expense claim</t>
  </si>
  <si>
    <t>IQ EQ Apr - May</t>
  </si>
  <si>
    <t>Master Concept</t>
  </si>
  <si>
    <t>Tricor Feb - Mar</t>
  </si>
  <si>
    <t>Sun Hing office package</t>
  </si>
  <si>
    <t>公证费</t>
  </si>
  <si>
    <t>transfer from IBKR</t>
  </si>
  <si>
    <t>transfer from ACPLHK to ACPL</t>
  </si>
  <si>
    <t>cash balance 5/31/2025</t>
  </si>
  <si>
    <t>AUD payment in May</t>
  </si>
  <si>
    <t>AUD balance 5/26/2025</t>
  </si>
  <si>
    <t>Deficit</t>
  </si>
  <si>
    <t>Jun payroll</t>
  </si>
  <si>
    <t>Jun expense claim</t>
  </si>
  <si>
    <t>IQ EQ Apr &amp; Jun</t>
  </si>
  <si>
    <t>Tricor Apr</t>
  </si>
  <si>
    <t>Jobs DB - job ad posting  fee</t>
  </si>
  <si>
    <t>AUD payment for May &amp; Jun service</t>
  </si>
  <si>
    <t>AUD balance 6/26/2025</t>
  </si>
  <si>
    <t>USD payment</t>
  </si>
  <si>
    <t>KWM invoice - ACPLNE</t>
  </si>
  <si>
    <t>USD balance 6/30/2025</t>
  </si>
  <si>
    <t>cash balance 6/30/2025</t>
  </si>
  <si>
    <t>transfer from IBKR and MPF refund</t>
  </si>
  <si>
    <t>per screenshot</t>
  </si>
  <si>
    <t>HSBC HKD balance</t>
  </si>
  <si>
    <t>Jul payroll</t>
  </si>
  <si>
    <t>Jul expense claim</t>
  </si>
  <si>
    <t>Rent &amp; Rates</t>
  </si>
  <si>
    <t>IQ EQ Jul</t>
  </si>
  <si>
    <t>Tricor Jun</t>
  </si>
  <si>
    <t>Sun Hing - travel insurance</t>
  </si>
  <si>
    <t>BoardRoom - New Energy Com Sec</t>
  </si>
  <si>
    <t xml:space="preserve">Grandall Zimmern - attestatiion </t>
  </si>
  <si>
    <t>(Deficit)/Surplus</t>
  </si>
  <si>
    <t>Balance</t>
  </si>
  <si>
    <t>AUD balance 6/30/2025</t>
  </si>
  <si>
    <t>Maples invocie - Cayman Entities</t>
  </si>
  <si>
    <t>Balanace</t>
  </si>
  <si>
    <t>HKD</t>
  </si>
  <si>
    <t>AUD</t>
  </si>
  <si>
    <t>Jul 31 2025 cash balance</t>
  </si>
  <si>
    <t>Aug payroll</t>
  </si>
  <si>
    <t>Aug expense claim</t>
  </si>
  <si>
    <t>RS, SE audit fee</t>
  </si>
  <si>
    <t>SF Express</t>
  </si>
  <si>
    <t>AUD payment for Jul &amp; Aug service</t>
  </si>
  <si>
    <t>Sep payroll</t>
  </si>
  <si>
    <t>Sep expense claim</t>
  </si>
  <si>
    <t>IQ EQ Sep</t>
  </si>
  <si>
    <t xml:space="preserve">Master Concept - MS Lic Add on </t>
  </si>
  <si>
    <t>Tricor Jul</t>
  </si>
  <si>
    <t>SEAL Consultancy Aug</t>
  </si>
  <si>
    <t>SEAL Consultancy Sept</t>
  </si>
  <si>
    <t>BR Fees 2025-26</t>
  </si>
  <si>
    <t>bank charges</t>
  </si>
  <si>
    <t>180K buffer to prevent bank charges</t>
  </si>
  <si>
    <t>AUD payment for Jul and Aug service</t>
  </si>
  <si>
    <t>Oct payroll</t>
  </si>
  <si>
    <t>SEAL</t>
  </si>
  <si>
    <t>Oct expense claim</t>
  </si>
  <si>
    <t xml:space="preserve">Tricor </t>
  </si>
  <si>
    <t>Bank charges</t>
  </si>
  <si>
    <t>Nov payroll</t>
  </si>
  <si>
    <t>Colin LSP</t>
  </si>
  <si>
    <t>Nov expense claim</t>
  </si>
  <si>
    <t>Rent &amp; Rates Nov</t>
  </si>
  <si>
    <t>IQ EQ Nov</t>
  </si>
  <si>
    <t>Tricor Sept</t>
  </si>
  <si>
    <t>ACPLHK to ACPL</t>
  </si>
  <si>
    <t>Dec payroll</t>
  </si>
  <si>
    <t>Dec expense claim</t>
  </si>
  <si>
    <t>Vendor</t>
  </si>
  <si>
    <t>Description</t>
  </si>
  <si>
    <t>Curr</t>
  </si>
  <si>
    <t>Amount</t>
  </si>
  <si>
    <t>FX</t>
  </si>
  <si>
    <t>IQ EQ Dec</t>
  </si>
  <si>
    <t>Maples</t>
  </si>
  <si>
    <t>Cayman Com Sec Fees 2026</t>
  </si>
  <si>
    <t>USD</t>
  </si>
  <si>
    <t>Cayman Fund Com Sec Fees 2026</t>
  </si>
  <si>
    <t>Backup storage -2026</t>
  </si>
  <si>
    <t>Tricor Oct &amp; Nov</t>
  </si>
  <si>
    <t>Medical 2026 ?</t>
  </si>
  <si>
    <t>BoardRoom</t>
  </si>
  <si>
    <t>Com Sec Fees  2026 for Rising Son</t>
  </si>
  <si>
    <t>Com Sec Fees 2026 for Sustainable Energy</t>
  </si>
  <si>
    <t>Audit</t>
  </si>
  <si>
    <t>Rising Son 2025 Audit Fee</t>
  </si>
  <si>
    <t xml:space="preserve">Audit </t>
  </si>
  <si>
    <t>Sustainable Energy 2025 Audit Fee</t>
  </si>
  <si>
    <t>AREO De-registration Fees</t>
  </si>
  <si>
    <t>Wiz Advisory</t>
  </si>
  <si>
    <t>Return funds to Emily</t>
  </si>
  <si>
    <t>Budget for other entities</t>
  </si>
  <si>
    <t>Com Sec Fees 2026 for ACPLNE</t>
  </si>
  <si>
    <t>Total cash outflow</t>
  </si>
  <si>
    <t>Jan payroll</t>
  </si>
  <si>
    <t>Jan expense claim</t>
  </si>
  <si>
    <t>Boardroom</t>
  </si>
  <si>
    <t>IQ EQ Jan</t>
  </si>
  <si>
    <t>Tricor Dec</t>
  </si>
  <si>
    <t>Wiz</t>
  </si>
  <si>
    <t>Feb expense claim</t>
  </si>
  <si>
    <t>IQ EQ Feb</t>
  </si>
  <si>
    <t>Tricor Jan</t>
  </si>
  <si>
    <t>广州旭智</t>
  </si>
  <si>
    <t>旭智咨询（北京分公司）</t>
  </si>
  <si>
    <t>备注</t>
  </si>
  <si>
    <t>项目</t>
  </si>
  <si>
    <t>一、现存资金</t>
  </si>
  <si>
    <t>通知存款</t>
  </si>
  <si>
    <t>结汇贷支付账户</t>
  </si>
  <si>
    <t>结汇贷支付账户购买结构性存款</t>
  </si>
  <si>
    <t>人民币资本金账户</t>
  </si>
  <si>
    <t>资本金账户购买结构性存款</t>
  </si>
  <si>
    <t>港币资本金账户</t>
  </si>
  <si>
    <t>小计</t>
  </si>
  <si>
    <t>可用资金期初余额</t>
  </si>
  <si>
    <t>二、收款计划</t>
  </si>
  <si>
    <t>咨询服务费收款(外部）</t>
  </si>
  <si>
    <t>咨询服务费收款(内部）</t>
  </si>
  <si>
    <t>基金管理费收款</t>
  </si>
  <si>
    <r>
      <rPr>
        <sz val="10"/>
        <rFont val="Arial"/>
        <family val="2"/>
      </rPr>
      <t>【旭智私募】收取【曦和私募】</t>
    </r>
    <r>
      <rPr>
        <sz val="10"/>
        <rFont val="Arial"/>
        <family val="2"/>
      </rPr>
      <t>2025-2026</t>
    </r>
    <r>
      <rPr>
        <sz val="10"/>
        <rFont val="宋体"/>
        <charset val="134"/>
      </rPr>
      <t>年管理费</t>
    </r>
  </si>
  <si>
    <t>【宜兴旭智】股转款</t>
  </si>
  <si>
    <t>收款小计</t>
  </si>
  <si>
    <t>三、付款计划</t>
  </si>
  <si>
    <t>日常运营费用</t>
  </si>
  <si>
    <t>应发工资（含奖金）</t>
  </si>
  <si>
    <t>办公场地费用</t>
  </si>
  <si>
    <t>办公室电信费</t>
  </si>
  <si>
    <t>快递费（顺丰月结）</t>
  </si>
  <si>
    <t>代理记账服务费（卓佳/何老师）</t>
  </si>
  <si>
    <t>采购办公用品费用</t>
  </si>
  <si>
    <t>背调费</t>
  </si>
  <si>
    <t>爱文服务费</t>
  </si>
  <si>
    <t>光伏协会&amp;再生能源学会会费（2025年）</t>
  </si>
  <si>
    <t>税费支出</t>
  </si>
  <si>
    <t xml:space="preserve">  携程月结</t>
  </si>
  <si>
    <t>转北京分公司调拨款</t>
  </si>
  <si>
    <t>其他费用支出</t>
  </si>
  <si>
    <t>金蝶系统实施费用尾款（金额按原来的计提，待与金蝶确认相关功能）</t>
  </si>
  <si>
    <t>团建费用</t>
  </si>
  <si>
    <t>IDG服务费</t>
  </si>
  <si>
    <t>员工报销</t>
  </si>
  <si>
    <t>归还往来款</t>
  </si>
  <si>
    <t>支付往来款</t>
  </si>
  <si>
    <t>支付投资款</t>
  </si>
  <si>
    <t>付款小计</t>
  </si>
  <si>
    <t>可用资金期末余额</t>
  </si>
  <si>
    <t>1个月运营资金</t>
  </si>
  <si>
    <t>收支净额</t>
  </si>
  <si>
    <t>Company Name</t>
  </si>
  <si>
    <t>ACPL合并</t>
  </si>
  <si>
    <t>Income Statement</t>
  </si>
  <si>
    <t xml:space="preserve">当月In-Month </t>
  </si>
  <si>
    <t>年累计YTD</t>
  </si>
  <si>
    <t>ACPL Yixing</t>
  </si>
  <si>
    <t>科目编码</t>
  </si>
  <si>
    <t>实际
Actual</t>
  </si>
  <si>
    <t>预算
Budget</t>
  </si>
  <si>
    <t>差异
Variance</t>
  </si>
  <si>
    <t>主要差异原因</t>
  </si>
  <si>
    <t xml:space="preserve">当月
In-Month </t>
  </si>
  <si>
    <t>年累计
YTD</t>
  </si>
  <si>
    <t>In-Mth(Budget)</t>
  </si>
  <si>
    <t>In-Mth(Actual)</t>
  </si>
  <si>
    <t>In-Mth</t>
  </si>
  <si>
    <t>YTD(Budget)</t>
  </si>
  <si>
    <t>YTD(Actual)</t>
  </si>
  <si>
    <t>YTD</t>
  </si>
  <si>
    <t>Budget</t>
  </si>
  <si>
    <t>Actual</t>
  </si>
  <si>
    <t>差异</t>
  </si>
  <si>
    <t>2026 Total</t>
  </si>
  <si>
    <t>2025 Total</t>
  </si>
  <si>
    <t xml:space="preserve">   辉飏咨询服务费</t>
  </si>
  <si>
    <t xml:space="preserve">  HYNE</t>
  </si>
  <si>
    <t xml:space="preserve">      MAA咨询管理费</t>
  </si>
  <si>
    <t xml:space="preserve">  MAA</t>
  </si>
  <si>
    <t xml:space="preserve">    公司主体01</t>
  </si>
  <si>
    <t xml:space="preserve">   Entity</t>
  </si>
  <si>
    <t xml:space="preserve">    旭智富能01</t>
  </si>
  <si>
    <t xml:space="preserve">   Foxpower</t>
  </si>
  <si>
    <t xml:space="preserve">    其他项目01</t>
  </si>
  <si>
    <t xml:space="preserve">   Other project</t>
  </si>
  <si>
    <t>实质为IDG办公室租金，以咨询费形式收取</t>
  </si>
  <si>
    <t xml:space="preserve">    公司主体02</t>
  </si>
  <si>
    <t xml:space="preserve">    旭智富能02</t>
  </si>
  <si>
    <t xml:space="preserve">    其他项目02</t>
  </si>
  <si>
    <t xml:space="preserve">    公司主体03</t>
  </si>
  <si>
    <t xml:space="preserve">    旭智富能03</t>
  </si>
  <si>
    <t xml:space="preserve">    其他项目03</t>
  </si>
  <si>
    <t xml:space="preserve">    公司主体04</t>
  </si>
  <si>
    <t xml:space="preserve">    旭智富能04</t>
  </si>
  <si>
    <t xml:space="preserve">    其他项目04</t>
  </si>
  <si>
    <t xml:space="preserve">    公司主体05</t>
  </si>
  <si>
    <t xml:space="preserve">    旭智富能05</t>
  </si>
  <si>
    <t xml:space="preserve">    其他项目05</t>
  </si>
  <si>
    <t xml:space="preserve">    公司主体06</t>
  </si>
  <si>
    <t xml:space="preserve">    旭智富能06</t>
  </si>
  <si>
    <t xml:space="preserve">    其他项目06</t>
  </si>
  <si>
    <t xml:space="preserve">    公司主体07</t>
  </si>
  <si>
    <t xml:space="preserve">    旭智富能07</t>
  </si>
  <si>
    <t xml:space="preserve">    其他项目07</t>
  </si>
  <si>
    <t xml:space="preserve">    公司主体08</t>
  </si>
  <si>
    <t xml:space="preserve">    旭智富能08</t>
  </si>
  <si>
    <t xml:space="preserve">    其他项目08</t>
  </si>
  <si>
    <t xml:space="preserve">    公司主体09</t>
  </si>
  <si>
    <t xml:space="preserve">    旭智富能09</t>
  </si>
  <si>
    <t xml:space="preserve">    其他项目09</t>
  </si>
  <si>
    <t xml:space="preserve">    公司主体10</t>
  </si>
  <si>
    <t xml:space="preserve">    旭智富能10</t>
  </si>
  <si>
    <t xml:space="preserve">    其他项目10</t>
  </si>
  <si>
    <t>bonus</t>
  </si>
  <si>
    <t>Business registration fees</t>
  </si>
  <si>
    <t>Professional Body Membership Fee</t>
  </si>
  <si>
    <t>权责发生制入账</t>
  </si>
  <si>
    <t>按照ACPLHK账面使用权资产折旧每月计提HKD80668.46，数据取自Lease Liability_RENEW(2)</t>
  </si>
  <si>
    <t>按照ACPLHK账面使用权资产利息费用，数据取自报表Lease Liability_RENEW(2)</t>
  </si>
  <si>
    <t>南山租金及IDG办公室费用（服务费形式收取）</t>
  </si>
  <si>
    <t>董监高保险费</t>
  </si>
  <si>
    <t>地址费用</t>
  </si>
  <si>
    <t>Yixing Albamen</t>
  </si>
  <si>
    <t>ACPL（合并）</t>
  </si>
  <si>
    <t>Forecast</t>
  </si>
  <si>
    <t>管理费收入标志</t>
  </si>
  <si>
    <t>审计费支付标志</t>
  </si>
  <si>
    <t>租金支付标志</t>
  </si>
  <si>
    <r>
      <rPr>
        <b/>
        <sz val="10"/>
        <rFont val="Arial"/>
        <family val="2"/>
      </rPr>
      <t>期初现金及现金等价物余额</t>
    </r>
  </si>
  <si>
    <t>经营活动现金流入小计</t>
  </si>
  <si>
    <t>咨询管理费收入收到的现金</t>
  </si>
  <si>
    <t>基金管理费收入收到的现金</t>
  </si>
  <si>
    <t>收到的税费返还</t>
  </si>
  <si>
    <t>其他收入收到的现金（备注）</t>
  </si>
  <si>
    <t>收到的其他与经营活动有关的现金</t>
  </si>
  <si>
    <t>经营活动现金流出小计</t>
  </si>
  <si>
    <t>购买商品/接受劳务支付的现金</t>
  </si>
  <si>
    <t>所得税支付的现金</t>
  </si>
  <si>
    <t>增值税及附加支付的现金</t>
  </si>
  <si>
    <t>咨询管理费用支付的现金</t>
  </si>
  <si>
    <t>支付给职工以及为职工支付的现金</t>
  </si>
  <si>
    <t>支付的其他与经营活动有关的现金（租金）</t>
  </si>
  <si>
    <t>支付的其他与经营活动有关的现金（专业服务费）</t>
  </si>
  <si>
    <t>支付的其他与经营活动有关的现金（员工报销）</t>
  </si>
  <si>
    <t>支付的其他与经营活动有关的现金（其他）</t>
  </si>
  <si>
    <r>
      <rPr>
        <b/>
        <sz val="10"/>
        <rFont val="Arial"/>
        <family val="2"/>
      </rPr>
      <t>经营活动产生的现金流量净额</t>
    </r>
  </si>
  <si>
    <t>投资活动现金流入小计</t>
  </si>
  <si>
    <t>取得投资收益所收到的现金</t>
  </si>
  <si>
    <t>处置固定资产、无形资产和其他长期资产而收到的现金净额</t>
  </si>
  <si>
    <t>处置子公司及其他营业单位收到的现金净额</t>
  </si>
  <si>
    <t>收到的其他与投资活动有关的现金</t>
  </si>
  <si>
    <t>投资活动现金流出小计</t>
  </si>
  <si>
    <t>购建固定资产、无形资产和其他长期资产支付的现金</t>
  </si>
  <si>
    <t>取得子公司及其他营业单位支付的现金净额</t>
  </si>
  <si>
    <t>支付的其他与投资活动有关的现金</t>
  </si>
  <si>
    <r>
      <rPr>
        <b/>
        <sz val="10"/>
        <rFont val="Arial"/>
        <family val="2"/>
      </rPr>
      <t>投资活动产生的现金流量净额</t>
    </r>
  </si>
  <si>
    <t>筹资活动现金流入小计</t>
  </si>
  <si>
    <t>收到的其他与筹资活动有关的现金</t>
  </si>
  <si>
    <t>筹资活动现金流出小计</t>
  </si>
  <si>
    <t>分配股利、利润或偿付利息支付的现金</t>
  </si>
  <si>
    <t>筹资活动产生的现金流量净额</t>
  </si>
  <si>
    <r>
      <rPr>
        <sz val="10"/>
        <rFont val="Arial"/>
        <family val="2"/>
      </rPr>
      <t>汇率变动对现金的影响额</t>
    </r>
  </si>
  <si>
    <r>
      <rPr>
        <b/>
        <sz val="10"/>
        <rFont val="Arial"/>
        <family val="2"/>
      </rPr>
      <t>现金及现金等价物净增加额</t>
    </r>
  </si>
  <si>
    <r>
      <rPr>
        <b/>
        <sz val="10"/>
        <rFont val="Arial"/>
        <family val="2"/>
      </rPr>
      <t>期末现金及现金等价物余额</t>
    </r>
  </si>
  <si>
    <t>CHECK</t>
  </si>
  <si>
    <t xml:space="preserve"> </t>
  </si>
  <si>
    <t>Input to the white area only</t>
  </si>
  <si>
    <t>Entity</t>
  </si>
  <si>
    <t>HK 
Account Code</t>
  </si>
  <si>
    <t>PRC
Account Code</t>
  </si>
  <si>
    <t>Category</t>
  </si>
  <si>
    <t>Cash Flow</t>
  </si>
  <si>
    <t>Details</t>
  </si>
  <si>
    <t>Basis</t>
  </si>
  <si>
    <t>% or $</t>
  </si>
  <si>
    <t>CURR</t>
  </si>
  <si>
    <t>Assump</t>
  </si>
  <si>
    <t>Start Date</t>
  </si>
  <si>
    <t>End Date</t>
  </si>
  <si>
    <t>Mths</t>
  </si>
  <si>
    <t>SPACE RELATED</t>
  </si>
  <si>
    <t>Telecomms - Data Comms Svcs</t>
  </si>
  <si>
    <t>ttl$pm</t>
  </si>
  <si>
    <t>$</t>
  </si>
  <si>
    <t>Telephone Monthly / Base Charge</t>
  </si>
  <si>
    <t>Telecomms Equipment (Small Purchases)</t>
  </si>
  <si>
    <t>Ad-Hoc</t>
  </si>
  <si>
    <t>Telephone IDD / Teleconference Charge</t>
  </si>
  <si>
    <t>Rental Office Space</t>
  </si>
  <si>
    <t>Management Fees &amp; Government Rates</t>
  </si>
  <si>
    <t>Management Fees</t>
  </si>
  <si>
    <t>Government Rates</t>
  </si>
  <si>
    <t>Office Maintenance and Repair</t>
  </si>
  <si>
    <t>ttl$py</t>
  </si>
  <si>
    <t>Office Relocation Expnse</t>
  </si>
  <si>
    <t>Offiste Storage Charges</t>
  </si>
  <si>
    <t>Office Renovation</t>
  </si>
  <si>
    <t>RIS</t>
  </si>
  <si>
    <t>Office Reinstatement</t>
  </si>
  <si>
    <t>Utilities Water</t>
  </si>
  <si>
    <t>SPACE RELATED - DEPREC / AMORT</t>
  </si>
  <si>
    <t>DEPR - Right of Ue Asset</t>
  </si>
  <si>
    <t>DEPR - Right of Use Asset</t>
  </si>
  <si>
    <t>$ttlpm</t>
  </si>
  <si>
    <t>DEPR - Leasehold Improvements</t>
  </si>
  <si>
    <t>DEPR - OTHER EQ &amp; FURN</t>
  </si>
  <si>
    <t>DEPR - COMM EQUIP - Premise Data Equip</t>
  </si>
  <si>
    <t>HW1</t>
  </si>
  <si>
    <t>Rental Office Space - HK</t>
  </si>
  <si>
    <t>HW2</t>
  </si>
  <si>
    <t>HW3</t>
  </si>
  <si>
    <t>Rental Office Space - IDG Shenzhen</t>
  </si>
  <si>
    <t>Rental Office Space - IDG Beijing</t>
  </si>
  <si>
    <t>Rental Office Space - Qianhai Office</t>
  </si>
  <si>
    <t>International trip</t>
  </si>
  <si>
    <t># trips</t>
  </si>
  <si>
    <t>cost/trip</t>
  </si>
  <si>
    <t>Deals sourcing</t>
  </si>
  <si>
    <t>Type 1</t>
  </si>
  <si>
    <t>Deals execution</t>
  </si>
  <si>
    <t>Type 2</t>
  </si>
  <si>
    <t>资产管理</t>
  </si>
  <si>
    <t>Type 3</t>
  </si>
  <si>
    <t>Finance</t>
  </si>
  <si>
    <t>Type 4</t>
  </si>
  <si>
    <t>Type 5</t>
  </si>
  <si>
    <t>Airfare - International</t>
  </si>
  <si>
    <t>Airfare - Domestic</t>
  </si>
  <si>
    <t>Ground transportation</t>
  </si>
  <si>
    <t>Hotels</t>
  </si>
  <si>
    <t>Employee</t>
  </si>
  <si>
    <t>入职日期</t>
  </si>
  <si>
    <t>截止日期</t>
  </si>
  <si>
    <t>Project related?</t>
  </si>
  <si>
    <t>Shenzhen/HK</t>
  </si>
  <si>
    <t>Total cost</t>
  </si>
  <si>
    <t>Short dist.</t>
  </si>
  <si>
    <t>Long dist.</t>
  </si>
  <si>
    <t>TOTAL</t>
  </si>
  <si>
    <t># international</t>
  </si>
  <si>
    <t>GRAND-TOTAL</t>
  </si>
  <si>
    <t>Jason</t>
  </si>
  <si>
    <t>Firm</t>
  </si>
  <si>
    <t>Danny</t>
  </si>
  <si>
    <t>Project</t>
  </si>
  <si>
    <t>Annie</t>
  </si>
  <si>
    <t>Ray</t>
  </si>
  <si>
    <t>Emily</t>
  </si>
  <si>
    <t>David</t>
  </si>
  <si>
    <t>高焙</t>
  </si>
  <si>
    <t>袁玉杰</t>
  </si>
  <si>
    <t>何梅春</t>
  </si>
  <si>
    <t>张乃文</t>
  </si>
  <si>
    <t>邓天卓</t>
  </si>
  <si>
    <t>王志强</t>
  </si>
  <si>
    <t>顾顺聪</t>
  </si>
  <si>
    <t>闫凯</t>
  </si>
  <si>
    <t>叶亚峰</t>
  </si>
  <si>
    <t>陈斌捷</t>
  </si>
  <si>
    <t>法务</t>
  </si>
  <si>
    <t>基金财务</t>
  </si>
  <si>
    <t>郭宗林</t>
  </si>
  <si>
    <t>陈灿</t>
  </si>
  <si>
    <t>李敏宽</t>
  </si>
  <si>
    <t>冷雨尘</t>
  </si>
  <si>
    <t>林秋蝶</t>
  </si>
  <si>
    <t>陈广华</t>
  </si>
  <si>
    <t>Travel and Entertainment</t>
  </si>
  <si>
    <t>汇兑差</t>
  </si>
  <si>
    <t>Entertainment</t>
  </si>
  <si>
    <t>Other personal reimbursement</t>
  </si>
  <si>
    <t>normal</t>
  </si>
  <si>
    <t>pwc</t>
  </si>
  <si>
    <t>PRC Code</t>
  </si>
  <si>
    <t>2025Total</t>
  </si>
  <si>
    <t>2026Total</t>
  </si>
  <si>
    <t>Accounting / Payment Services</t>
  </si>
  <si>
    <t>Annual statutory accounts</t>
  </si>
  <si>
    <t>Tax services</t>
  </si>
  <si>
    <t>tax services</t>
  </si>
  <si>
    <t>include $4K for employer's return, IR56M</t>
  </si>
  <si>
    <t>Audit Fee</t>
  </si>
  <si>
    <t>Compliance Support</t>
  </si>
  <si>
    <t>MasterConcept</t>
  </si>
  <si>
    <t>M365 Business Premium and Sumlogic License</t>
  </si>
  <si>
    <t xml:space="preserve">IT Managed Support Services </t>
  </si>
  <si>
    <t>Data storage</t>
  </si>
  <si>
    <t>Capital Verification Fees</t>
  </si>
  <si>
    <t>Industry Research Fee</t>
  </si>
  <si>
    <t>Project Due Diligence Fee</t>
  </si>
  <si>
    <t>add hoc</t>
  </si>
  <si>
    <t>Training expense</t>
  </si>
  <si>
    <t>IQEQ</t>
  </si>
  <si>
    <t>汇算清缴</t>
  </si>
  <si>
    <t>清算相关费用（清算审计等）</t>
  </si>
  <si>
    <t>2025 annual audit fee</t>
  </si>
  <si>
    <t>何老师</t>
  </si>
  <si>
    <t>汇算清缴税审</t>
  </si>
  <si>
    <t>爱文</t>
  </si>
  <si>
    <t>深圳注册地址&amp;北京分公司地址</t>
  </si>
  <si>
    <t>2025 audit fee</t>
  </si>
  <si>
    <t>猎聘</t>
  </si>
  <si>
    <t>汉坤</t>
  </si>
  <si>
    <t>AMAC备案</t>
  </si>
  <si>
    <t>前海百丰</t>
  </si>
  <si>
    <t>环球</t>
  </si>
  <si>
    <t>基金成立及转股</t>
  </si>
  <si>
    <t>税审</t>
  </si>
  <si>
    <t>清算注销费用</t>
  </si>
  <si>
    <t>注销审计</t>
  </si>
  <si>
    <t>Albamen KY</t>
  </si>
  <si>
    <t>2025 BUDGET</t>
  </si>
  <si>
    <t>Scenario 1</t>
  </si>
  <si>
    <t>Scenario 2</t>
  </si>
  <si>
    <t>Scenario 3</t>
  </si>
  <si>
    <t>Scenario 4</t>
  </si>
  <si>
    <t>Assumptions</t>
  </si>
  <si>
    <t>JV Fund initial closings</t>
  </si>
  <si>
    <t>Did not close in 2025</t>
  </si>
  <si>
    <t>RMB1.03b closed in Jul 2025</t>
  </si>
  <si>
    <t>RMB1.03b closed in May 2025</t>
  </si>
  <si>
    <t>JV Fund subsequent closings</t>
  </si>
  <si>
    <t>Nil</t>
  </si>
  <si>
    <t>RMB0.5b closed in Dec 2025</t>
  </si>
  <si>
    <t>JV Fund capital calls</t>
  </si>
  <si>
    <t>20% in Jul and another 10% in Dec</t>
  </si>
  <si>
    <t>20% in May and another 15% in Oct</t>
  </si>
  <si>
    <t>20% in May and another 20% in Sept</t>
  </si>
  <si>
    <t xml:space="preserve">AUM for MAA </t>
  </si>
  <si>
    <t>55MW</t>
  </si>
  <si>
    <t>255MW</t>
  </si>
  <si>
    <t>355MW</t>
  </si>
  <si>
    <t>455MW</t>
  </si>
  <si>
    <t>MAA Fee rate, net</t>
  </si>
  <si>
    <t>0.03/W</t>
  </si>
  <si>
    <t>0.05/W</t>
  </si>
  <si>
    <t>Risk</t>
  </si>
  <si>
    <t>Capital injection needed for 2H 2025</t>
  </si>
  <si>
    <t>RMB37M Funding of Chengdu project in Q1 2025</t>
  </si>
  <si>
    <t>No risk</t>
  </si>
  <si>
    <t>REVENUE</t>
  </si>
  <si>
    <t>Management Fee - HYNE</t>
  </si>
  <si>
    <t>Management Fee - Foxconn MAA, net</t>
  </si>
  <si>
    <t>Management Fee - JV Fund</t>
  </si>
  <si>
    <t>Revenue</t>
  </si>
  <si>
    <t>TOTAL REVENUE</t>
  </si>
  <si>
    <t>EXPENSES</t>
  </si>
  <si>
    <t>PERSONNEL COST</t>
  </si>
  <si>
    <t>Salaries &amp; MPF - Management HK</t>
  </si>
  <si>
    <t>Salaries &amp; MPF - Professional HK</t>
  </si>
  <si>
    <t>Salaries &amp; Social insurance Mainland</t>
  </si>
  <si>
    <t>Health Insurance</t>
  </si>
  <si>
    <t>SALARIES</t>
  </si>
  <si>
    <t>Severance Cost</t>
  </si>
  <si>
    <t>SALARIES - UNDEFINED / TRANS.</t>
  </si>
  <si>
    <t>Bonus - Management</t>
  </si>
  <si>
    <t>Bonus - Professionals</t>
  </si>
  <si>
    <t>Bonus - Contract Labour</t>
  </si>
  <si>
    <t>DISCRETIONARY BONUS</t>
  </si>
  <si>
    <t>Rental Office Space - Dinghe Office</t>
  </si>
  <si>
    <t>Rental Office Space - Guangzhou Office</t>
  </si>
  <si>
    <t>Management Fees and Government Rates</t>
  </si>
  <si>
    <t>Telephone IDD / Teleconf Charge</t>
  </si>
  <si>
    <t>Office Relocation Expense</t>
  </si>
  <si>
    <t>Offsite Storage Charges</t>
  </si>
  <si>
    <t xml:space="preserve">Office Renovation </t>
  </si>
  <si>
    <t>Office Reinstatement Fees</t>
  </si>
  <si>
    <t xml:space="preserve">TRAVEL &amp; ENTERTAINMENT </t>
  </si>
  <si>
    <t>T&amp;E to be borne by Foxpower</t>
  </si>
  <si>
    <t>PROFESSIONAL FEES</t>
  </si>
  <si>
    <t>Professional fees borne by Foxpower</t>
  </si>
  <si>
    <t>OTHER EXPENSE</t>
  </si>
  <si>
    <t>Printing</t>
  </si>
  <si>
    <t>Bank Handling Charges</t>
  </si>
  <si>
    <t>Corp. Membership Fee</t>
  </si>
  <si>
    <t>Cleaning service</t>
  </si>
  <si>
    <t>Water Dispenser Inspection Fee</t>
  </si>
  <si>
    <t>Office Package/Travel Insurance</t>
  </si>
  <si>
    <t>Company Activities</t>
  </si>
  <si>
    <t>Outside Seminars</t>
  </si>
  <si>
    <t>Subscription</t>
  </si>
  <si>
    <t>Training Fees</t>
  </si>
  <si>
    <t>Physical Security Systems</t>
  </si>
  <si>
    <t>FX Gain / Loss Net</t>
  </si>
  <si>
    <t>CAPEX</t>
  </si>
  <si>
    <t>Purchase Furniture</t>
  </si>
  <si>
    <t>Purchase system</t>
  </si>
  <si>
    <t>Purchase Equipment</t>
  </si>
  <si>
    <t>TOTAL EXPENSES</t>
  </si>
  <si>
    <t>OPERATING PROFITS/(LOSS)</t>
  </si>
  <si>
    <t>Opening Cash Balance</t>
  </si>
  <si>
    <t xml:space="preserve">Settlement of Operating Expenses, Net of Income </t>
  </si>
  <si>
    <t>Capital Activities</t>
  </si>
  <si>
    <t>Capital injection from shareholders</t>
  </si>
  <si>
    <t>Proceeds on Transfer of JV Equity Interest from Yixing to Fund</t>
  </si>
  <si>
    <t>Capital Call as SLP to Fund</t>
  </si>
  <si>
    <t>Consideration on Transfer of 51% interest in ACPSZL to Ray</t>
  </si>
  <si>
    <t>Cash Inflow/(Outflow) on Capital Activities</t>
  </si>
  <si>
    <t>Ending Cash Balance</t>
  </si>
  <si>
    <t>Include cash balance at ACPSZL 旭智私募</t>
  </si>
  <si>
    <t>Fund related</t>
  </si>
  <si>
    <t>Fund Est. - T&amp;E</t>
  </si>
  <si>
    <t>Fund Est. - Client Entertainment</t>
  </si>
  <si>
    <t>Fund Est. - Admin Others</t>
  </si>
  <si>
    <t>Fund Est. - Legal Prof Fee</t>
  </si>
  <si>
    <t>Fund Est. - Due Diligence Fee</t>
  </si>
  <si>
    <t>Fund Est. - Translation Fee</t>
  </si>
  <si>
    <t>Albamen Fund</t>
  </si>
  <si>
    <t>Fund Establishment Related</t>
  </si>
  <si>
    <t>JV related</t>
  </si>
  <si>
    <t>JV Est. - T&amp;E</t>
  </si>
  <si>
    <t>JV Est. - Admin Others</t>
  </si>
  <si>
    <t>JV Est. - Legal Prof Fee</t>
  </si>
  <si>
    <t>JV Est. - Due Diligence Fee</t>
  </si>
  <si>
    <t>JV Est. - Translation Fee</t>
  </si>
  <si>
    <t>NON-CASH P&amp;L ITEMS</t>
  </si>
  <si>
    <t>DEPR-COMP EQUIP-PC Equipment</t>
  </si>
  <si>
    <t>DEPR-Right of Use Asset</t>
  </si>
  <si>
    <t>DEPR-COMM EQUIP-PREMISE DATA EQUIP</t>
  </si>
  <si>
    <t>DEPR - Other EQ &amp; FURN.</t>
  </si>
  <si>
    <t>DEPRECIATION/AMORTIZATION</t>
  </si>
  <si>
    <t>STAMP DUTY</t>
  </si>
  <si>
    <t>PROFIT TAX</t>
  </si>
  <si>
    <t>TOTAL PROFIT TAX</t>
  </si>
  <si>
    <t>TAXES &amp; LEVIES</t>
  </si>
  <si>
    <t>NPAT / (LOSS)</t>
  </si>
  <si>
    <t>单位：元</t>
  </si>
  <si>
    <t>分配率</t>
  </si>
  <si>
    <r>
      <rPr>
        <sz val="10"/>
        <rFont val="Arial"/>
        <family val="2"/>
      </rPr>
      <t>25</t>
    </r>
    <r>
      <rPr>
        <sz val="11"/>
        <color theme="1"/>
        <rFont val="宋体"/>
        <charset val="134"/>
      </rPr>
      <t>年合计</t>
    </r>
  </si>
  <si>
    <t>MAA咨询管理费</t>
  </si>
  <si>
    <t>旭智香港-20%</t>
  </si>
  <si>
    <t>旭智深圳-80%</t>
  </si>
  <si>
    <t>基础服务费0.12元/W</t>
  </si>
  <si>
    <t>激励服务费0.01~0.03元/W
（&gt;5.5%;6%;6.5%；0.01;0.02;0.03))</t>
  </si>
  <si>
    <t>代垫费用-前期差旅费</t>
  </si>
  <si>
    <t>应付咨询管理费-不含税</t>
  </si>
  <si>
    <t>已更新实际数月份</t>
  </si>
  <si>
    <r>
      <rPr>
        <sz val="11"/>
        <color theme="1"/>
        <rFont val="宋体"/>
        <charset val="134"/>
      </rPr>
      <t>减：项目已</t>
    </r>
    <r>
      <rPr>
        <sz val="11"/>
        <color rgb="FFFF0000"/>
        <rFont val="宋体"/>
        <charset val="134"/>
      </rPr>
      <t>承担</t>
    </r>
    <r>
      <rPr>
        <sz val="11"/>
        <color theme="1"/>
        <rFont val="宋体"/>
        <charset val="134"/>
      </rPr>
      <t>服务费中包含费用</t>
    </r>
  </si>
  <si>
    <t>生产成本_技术服务费（电力交易）</t>
  </si>
  <si>
    <t>管理费用_工资</t>
  </si>
  <si>
    <t>管理费用_社保</t>
  </si>
  <si>
    <t>管理费用_公积金</t>
  </si>
  <si>
    <t>管理费用__会计服务费</t>
  </si>
  <si>
    <t>管理费用__人力资源服务费</t>
  </si>
  <si>
    <t>管理费用_办公用品费</t>
  </si>
  <si>
    <t>管理费用_邮费/邮递费</t>
  </si>
  <si>
    <t>管理费用_交通费</t>
  </si>
  <si>
    <r>
      <rPr>
        <sz val="11"/>
        <color theme="1"/>
        <rFont val="宋体"/>
        <charset val="134"/>
      </rPr>
      <t>减：项目已</t>
    </r>
    <r>
      <rPr>
        <sz val="11"/>
        <color rgb="FFFF0000"/>
        <rFont val="宋体"/>
        <charset val="134"/>
      </rPr>
      <t>支付</t>
    </r>
    <r>
      <rPr>
        <sz val="11"/>
        <color theme="1"/>
        <rFont val="宋体"/>
        <charset val="134"/>
      </rPr>
      <t>服务费中包含费用</t>
    </r>
  </si>
  <si>
    <t>项目支付承接负债</t>
  </si>
  <si>
    <t>水保监测验收</t>
  </si>
  <si>
    <t>监理费</t>
  </si>
  <si>
    <t>土地勘测合同</t>
  </si>
  <si>
    <t>外送线路工程监理服务合同</t>
  </si>
  <si>
    <t>水土保持方案报告书编制技术服务合同</t>
  </si>
  <si>
    <t>山东司南地理信息有限公司</t>
  </si>
  <si>
    <t>工器具采购订单</t>
  </si>
  <si>
    <t>临时用地勘探定界合同</t>
  </si>
  <si>
    <t>许家洞政府-征租地</t>
  </si>
  <si>
    <t>EPC补充协议</t>
  </si>
  <si>
    <t>职业健康三同时</t>
  </si>
  <si>
    <t>荷叶坪前期费用入账</t>
  </si>
  <si>
    <t>支付咨询管理费</t>
  </si>
  <si>
    <t>管理费税金</t>
  </si>
  <si>
    <t>应付增加</t>
  </si>
  <si>
    <r>
      <rPr>
        <sz val="11"/>
        <color theme="1"/>
        <rFont val="Arial"/>
        <family val="2"/>
      </rPr>
      <t>24</t>
    </r>
    <r>
      <rPr>
        <sz val="11"/>
        <color theme="1"/>
        <rFont val="宋体"/>
        <charset val="134"/>
      </rPr>
      <t>年管理费及差旅尽调</t>
    </r>
  </si>
  <si>
    <t>支付承接负债</t>
  </si>
  <si>
    <t>支付26年一季度管理费</t>
  </si>
  <si>
    <t>TOTAL PROFIT / (LOSS) FOR FY25</t>
  </si>
  <si>
    <t>2025 BUDGET (CASH VIEW)</t>
  </si>
  <si>
    <t>Year</t>
  </si>
  <si>
    <t>Jul 2025 - Dec 2026</t>
  </si>
  <si>
    <t>EOM</t>
  </si>
  <si>
    <t>Total (RMB)</t>
  </si>
  <si>
    <t>ALBAMEN CAPITAL PARTNERS GROUP</t>
  </si>
  <si>
    <t>Fund management fee</t>
  </si>
  <si>
    <t>Fund incentive management fee - withhold</t>
  </si>
  <si>
    <t>Fund incentive management fee - release</t>
  </si>
  <si>
    <t>Basic AM fee</t>
  </si>
  <si>
    <t>Incentive AM fee</t>
  </si>
  <si>
    <t>OPEARTING EXPENSES</t>
  </si>
  <si>
    <t>Salaries &amp; MPF &amp; Social insurance</t>
  </si>
  <si>
    <t>DC01</t>
  </si>
  <si>
    <t>DC02</t>
  </si>
  <si>
    <t>DC03</t>
  </si>
  <si>
    <t>DC04</t>
  </si>
  <si>
    <t>regular operation expense</t>
  </si>
  <si>
    <t>Project/Industry consulting fee</t>
  </si>
  <si>
    <t>AD2</t>
  </si>
  <si>
    <t>AD3</t>
  </si>
  <si>
    <t>other operating expenses</t>
  </si>
  <si>
    <t>AD5</t>
  </si>
  <si>
    <t xml:space="preserve">        CAPEX</t>
  </si>
  <si>
    <t>AD6</t>
  </si>
  <si>
    <t xml:space="preserve">Bridge financing </t>
  </si>
  <si>
    <t>Return of bridge financing</t>
  </si>
  <si>
    <t>Capital Contribution - Albamen</t>
  </si>
  <si>
    <t>Input to the white areas only</t>
  </si>
  <si>
    <t>Normal increment</t>
  </si>
  <si>
    <t>Insurance</t>
  </si>
  <si>
    <t>Other Expense</t>
  </si>
  <si>
    <t>IRD</t>
  </si>
  <si>
    <t>SF</t>
  </si>
  <si>
    <t>Group Travel Insurance</t>
  </si>
  <si>
    <t>PRI</t>
  </si>
  <si>
    <t>GBP</t>
  </si>
  <si>
    <t>Life Solutons</t>
  </si>
  <si>
    <t>FujiFilm</t>
  </si>
  <si>
    <t>BT Engineering</t>
  </si>
  <si>
    <t>Security System Maintenance for 4/F Fung House - 2024.10-2025.09.30</t>
  </si>
  <si>
    <t>Office Package Insurance &amp; Group Travel Insurance</t>
  </si>
  <si>
    <t>Exam fee for SFC</t>
  </si>
  <si>
    <t>Accounting &amp; OA system</t>
  </si>
  <si>
    <t>Set up SLP entity</t>
  </si>
  <si>
    <t>再生能源协会/光伏能源协会</t>
  </si>
  <si>
    <t>中国可再生能源学会,中国光伏协会</t>
  </si>
  <si>
    <t>Hebi Albamen</t>
  </si>
  <si>
    <t>Adjustment</t>
  </si>
  <si>
    <t>Group Medical</t>
  </si>
  <si>
    <t>2025-26</t>
  </si>
  <si>
    <t>E</t>
  </si>
  <si>
    <t>S</t>
  </si>
  <si>
    <t>C</t>
  </si>
  <si>
    <t>Per Person</t>
  </si>
  <si>
    <t>2026-27</t>
  </si>
  <si>
    <t>Annie Fung</t>
  </si>
  <si>
    <t>Danny Qi</t>
  </si>
  <si>
    <t>Jason Wong</t>
  </si>
  <si>
    <t>Danny's Spouse</t>
  </si>
  <si>
    <t>Jason's Spouse</t>
  </si>
  <si>
    <t>Danny's child</t>
  </si>
  <si>
    <t>Jason's child</t>
  </si>
  <si>
    <t>1 child out of coverage</t>
  </si>
  <si>
    <t>Emily Lo</t>
  </si>
  <si>
    <t>Emily's Spouse</t>
  </si>
  <si>
    <t xml:space="preserve">Emily's child </t>
  </si>
  <si>
    <t>Ray's Spouse</t>
  </si>
  <si>
    <t>Ray's child</t>
  </si>
  <si>
    <t>Conrad Yan</t>
  </si>
  <si>
    <t>Conrad's Spouse</t>
  </si>
  <si>
    <t>Conrad's child</t>
  </si>
  <si>
    <t>David's Spouse</t>
  </si>
  <si>
    <t>Colin Leung</t>
  </si>
  <si>
    <t>Colin's Spouse</t>
  </si>
  <si>
    <t>Colin's child</t>
  </si>
  <si>
    <t>Colin's child 1</t>
  </si>
  <si>
    <t>Colin's child 2</t>
  </si>
  <si>
    <t>David Li</t>
  </si>
  <si>
    <t>缴费地</t>
  </si>
  <si>
    <t>养老缴费
基数</t>
  </si>
  <si>
    <t>养老比例</t>
  </si>
  <si>
    <t>医疗生育缴费基数</t>
  </si>
  <si>
    <t>医疗比例</t>
  </si>
  <si>
    <t>生育比例</t>
  </si>
  <si>
    <t>失业缴费
基数</t>
  </si>
  <si>
    <t>失业比例</t>
  </si>
  <si>
    <t>工伤缴费
基数</t>
  </si>
  <si>
    <t>工伤比例</t>
  </si>
  <si>
    <t>公积金缴费
基数</t>
  </si>
  <si>
    <t>公积金比例</t>
  </si>
  <si>
    <t>残疾人就业保障金</t>
  </si>
  <si>
    <t>上限</t>
  </si>
  <si>
    <t>下限</t>
  </si>
  <si>
    <t>外地缴费</t>
  </si>
  <si>
    <t>北京</t>
  </si>
  <si>
    <t>天津</t>
  </si>
  <si>
    <t>深圳缴费</t>
  </si>
  <si>
    <t>深圳户籍（私募）</t>
  </si>
  <si>
    <t>base salary</t>
  </si>
  <si>
    <t>非深圳户籍</t>
  </si>
  <si>
    <t>深圳户籍（咨询）</t>
  </si>
  <si>
    <t>基本工资</t>
  </si>
  <si>
    <t>FTE</t>
  </si>
  <si>
    <t>2026COSTS</t>
  </si>
  <si>
    <t>2027COSTS</t>
  </si>
  <si>
    <t>Team</t>
  </si>
  <si>
    <t>Location</t>
  </si>
  <si>
    <t>Level</t>
  </si>
  <si>
    <t>Staff No.</t>
  </si>
  <si>
    <t>Base</t>
  </si>
  <si>
    <t>Bonus</t>
  </si>
  <si>
    <t>2026 Adj %</t>
  </si>
  <si>
    <t>Total 2026</t>
  </si>
  <si>
    <t>Total 2027</t>
  </si>
  <si>
    <t>深圳户籍</t>
  </si>
  <si>
    <t>Professional</t>
  </si>
  <si>
    <t>Onboard on 3 Jun 2025</t>
  </si>
  <si>
    <t>Onboarded on 16 December 2024</t>
  </si>
  <si>
    <t>Onboard on 6 May 2025</t>
  </si>
  <si>
    <t>Onboard on 24 Feb 2025</t>
  </si>
  <si>
    <t>北京户籍</t>
  </si>
  <si>
    <t>不用再计算五险一金</t>
  </si>
  <si>
    <t>上海户籍</t>
  </si>
  <si>
    <t xml:space="preserve">Total </t>
  </si>
  <si>
    <t>养老</t>
  </si>
  <si>
    <t>医疗生育</t>
  </si>
  <si>
    <t>2025COSTS</t>
  </si>
  <si>
    <t>失业</t>
  </si>
  <si>
    <t>工伤</t>
  </si>
  <si>
    <t>公积金</t>
  </si>
  <si>
    <t>社保合计</t>
  </si>
  <si>
    <t>工资+五险一金</t>
  </si>
  <si>
    <t>(Note 1)</t>
  </si>
  <si>
    <t>张歆将于2024年12月31日</t>
  </si>
  <si>
    <t>入职日</t>
  </si>
  <si>
    <t>离职日</t>
  </si>
  <si>
    <t>年限</t>
  </si>
  <si>
    <t>N+1</t>
  </si>
  <si>
    <t>市月平均</t>
  </si>
  <si>
    <t>市月平均 * 3</t>
  </si>
  <si>
    <t>每月赔偿金额</t>
  </si>
  <si>
    <t>赔偿总数</t>
  </si>
  <si>
    <t>照常计提五险一金</t>
  </si>
  <si>
    <t>N是劳动者在用人单位的工作年限，每满一年，补偿1个月的工资，不满半年的，算半个月，半年以上的，算1个月。+1就是指代通知金，根据《劳动合同法》第40条企业在解除劳动合同时应提前三十日以书面形式通知劳动者本人或者额外支付劳动者一个月工资。在计算经济补偿时，如果劳动者的月工资高于用人单位所在地上年度职工月平均工资的三倍，则计算经济补偿的标准按照职工月平均工资的三倍数额支付，支付经济补偿的年限最高不超过十二年。
2023年深圳市城镇非私营单位在岗职工年平均工资为174640元，折合成月平均工资为14553.33元 (深圳市统计局于2024年6月30日发布的数据)</t>
  </si>
  <si>
    <t>FX rate</t>
  </si>
  <si>
    <t>Cash balance as of Dec 31, 2025</t>
  </si>
  <si>
    <t>Entity Code</t>
  </si>
  <si>
    <t>Entity Name</t>
  </si>
  <si>
    <t>HK01</t>
  </si>
  <si>
    <t>ALBAMEN CAPITAL PARTNERS LTD</t>
  </si>
  <si>
    <t>HK02</t>
  </si>
  <si>
    <t>ALBAMEN CAPITAL PARTNERS (HK) LTD</t>
  </si>
  <si>
    <t>CN01</t>
  </si>
  <si>
    <t>ALBAMEN CAPITAL PARTNERS (GUANGZHOU) CO LTD</t>
  </si>
  <si>
    <t>广州旭智股权投资管理有限责任公司</t>
  </si>
  <si>
    <t>CN02</t>
  </si>
  <si>
    <t>ALBAMEN CAPITAL PARTNERS (SHENZHEN) CO LTD</t>
  </si>
  <si>
    <t>旭智咨询（深圳）管理有限责任公司</t>
  </si>
  <si>
    <t>CN03</t>
  </si>
  <si>
    <t>ALBAMEN CAPITAL PARTNERS (SHENZHEN) LTD</t>
  </si>
  <si>
    <t>CN04</t>
  </si>
  <si>
    <t>CN05</t>
  </si>
  <si>
    <t>Hebi</t>
  </si>
  <si>
    <t>KY01</t>
  </si>
  <si>
    <t>ALBAMEN CAPITAL PARTNERS (CAYMAN) CO LTD</t>
  </si>
  <si>
    <t>ALL</t>
  </si>
  <si>
    <t>ALBAMEN CAPITAL PARTNERS LTD (GROUP)</t>
  </si>
  <si>
    <t>现金余额实际</t>
  </si>
  <si>
    <t>SFC application fee</t>
  </si>
  <si>
    <t>Vertex Technology -Microsoft license</t>
  </si>
  <si>
    <t>SFC annual fee</t>
  </si>
  <si>
    <t>现金余额实际3/6</t>
  </si>
  <si>
    <t>第二次实缴</t>
  </si>
  <si>
    <t>对应旭智总实缴金额</t>
  </si>
  <si>
    <t>单价</t>
  </si>
  <si>
    <t>按项目</t>
  </si>
  <si>
    <t>业主</t>
  </si>
  <si>
    <t>所在省份</t>
  </si>
  <si>
    <t>项目规模（MW）</t>
  </si>
  <si>
    <t>项目类型</t>
  </si>
  <si>
    <t>交易确定性</t>
  </si>
  <si>
    <t>交易概率预测</t>
  </si>
  <si>
    <t>预估资本金出资（亿元）</t>
  </si>
  <si>
    <t>预估动钱时间</t>
  </si>
  <si>
    <t>JV类
(active deals only)</t>
  </si>
  <si>
    <t>三一重能</t>
  </si>
  <si>
    <t>湖南</t>
  </si>
  <si>
    <t>风电</t>
  </si>
  <si>
    <t>高</t>
  </si>
  <si>
    <t>26 Q3</t>
  </si>
  <si>
    <t>特变</t>
  </si>
  <si>
    <t>河南/湖南等</t>
  </si>
  <si>
    <t>阳光</t>
  </si>
  <si>
    <t>安徽、山东</t>
  </si>
  <si>
    <t>光伏、风电</t>
  </si>
  <si>
    <t>中</t>
  </si>
  <si>
    <t>26 Q4</t>
  </si>
  <si>
    <t>安徽</t>
  </si>
  <si>
    <t>格物 - 增量</t>
  </si>
  <si>
    <t>河北冀南</t>
  </si>
  <si>
    <t>首欣</t>
  </si>
  <si>
    <t>山东</t>
  </si>
  <si>
    <t>三一重能&amp;河南电建</t>
  </si>
  <si>
    <t>河南</t>
  </si>
  <si>
    <t>低</t>
  </si>
  <si>
    <t>格物 - 存量</t>
  </si>
  <si>
    <t>民海集团</t>
  </si>
  <si>
    <t>广西</t>
  </si>
  <si>
    <t>清电能源</t>
  </si>
  <si>
    <t>开发类</t>
  </si>
  <si>
    <t>富士康</t>
  </si>
  <si>
    <t>江西赣州</t>
  </si>
  <si>
    <t>27 H2</t>
  </si>
  <si>
    <t>河南港区</t>
  </si>
  <si>
    <t>河南鹤壁</t>
  </si>
  <si>
    <t>按出资时间（仅考虑中&amp;高确定性）</t>
  </si>
  <si>
    <t>预计资本金出资（亿元）</t>
  </si>
  <si>
    <t>26 Q1</t>
  </si>
  <si>
    <t>26 Q2</t>
  </si>
  <si>
    <t>总计</t>
  </si>
  <si>
    <t>按出资时间（全pipeline）</t>
  </si>
  <si>
    <t>输入 - 情形1</t>
  </si>
  <si>
    <t>输入 - 情形2</t>
  </si>
  <si>
    <t>2026平均累计装机</t>
  </si>
  <si>
    <t>2026累计装机</t>
  </si>
  <si>
    <t>2027平均累计装机</t>
  </si>
  <si>
    <t>2027累计装机</t>
  </si>
  <si>
    <t>2027 Total</t>
  </si>
  <si>
    <t>2027Total</t>
  </si>
  <si>
    <t>2026</t>
  </si>
  <si>
    <t>2027</t>
  </si>
  <si>
    <t>玉杰replacement</t>
  </si>
  <si>
    <t>年初现金余额</t>
  </si>
  <si>
    <t>年底现金余额</t>
  </si>
  <si>
    <t>新增装机（MW)</t>
  </si>
  <si>
    <t>张弛</t>
  </si>
  <si>
    <t>贾璇</t>
  </si>
  <si>
    <t>输入 - 情形3</t>
  </si>
  <si>
    <t>总费用</t>
  </si>
  <si>
    <t>JV基金注资</t>
  </si>
  <si>
    <t>注资特变新平台</t>
  </si>
  <si>
    <t>2028</t>
  </si>
  <si>
    <t>两个合资平台</t>
  </si>
  <si>
    <t>HX成本</t>
  </si>
  <si>
    <t>2028平均累计装机</t>
  </si>
  <si>
    <t>2028累计装机</t>
  </si>
  <si>
    <t>额外人力成本</t>
  </si>
  <si>
    <t>Huw</t>
  </si>
  <si>
    <t>以上人力成本仍为包含(人民币万元)</t>
  </si>
  <si>
    <t>Eric</t>
  </si>
  <si>
    <t>扣除基金管理费收入</t>
  </si>
  <si>
    <t>双马2023年出资</t>
  </si>
  <si>
    <t>2026新增出资</t>
  </si>
  <si>
    <t>总出资</t>
  </si>
  <si>
    <t>新增装机</t>
  </si>
  <si>
    <t>累计</t>
  </si>
  <si>
    <t>原有</t>
  </si>
  <si>
    <t>基金累计实缴</t>
  </si>
  <si>
    <t>旭智主体累计实缴</t>
  </si>
  <si>
    <t>项目公司其他(电力交易，会计，人力等）</t>
  </si>
  <si>
    <t>基金基础管理费收入</t>
  </si>
  <si>
    <t>MAA基础收入</t>
  </si>
  <si>
    <t>基金激励管理费收入</t>
  </si>
  <si>
    <t>MAA激励服务费1</t>
  </si>
  <si>
    <t>激励管理费</t>
  </si>
  <si>
    <t>融资方式：增资，working capital facility，奇点基金2000万（先投资两个开发平台）</t>
  </si>
  <si>
    <t>200万buffer</t>
  </si>
  <si>
    <t>250万buffer</t>
  </si>
  <si>
    <t>奇点基金先投？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</si>
</sst>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1">
    <numFmt numFmtId="6" formatCode="&quot;$&quot;#,##0_);[Red]\(&quot;$&quot;#,##0\)"/>
    <numFmt numFmtId="44" formatCode="_(&quot;$&quot;* #,##0.00_);_(&quot;$&quot;* \(#,##0.00\);_(&quot;$&quot;* &quot;-&quot;??_);_(@_)"/>
    <numFmt numFmtId="43" formatCode="_(* #,##0.00_);_(* \(#,##0.00\);_(* &quot;-&quot;??_);_(@_)"/>
    <numFmt numFmtId="164" formatCode="_ * #,##0.00_ ;_ * \-#,##0.00_ ;_ * &quot;-&quot;??_ ;_ @_ "/>
    <numFmt numFmtId="165" formatCode="_-* #,##0.00_-;\-* #,##0.00_-;_-* &quot;-&quot;??_-;_-@_-"/>
    <numFmt numFmtId="166" formatCode="_(* #,##0.0_);_(* \(#,##0.0\);_(* &quot;-&quot;?_);@_)"/>
    <numFmt numFmtId="167" formatCode="_-* #,##0.00_-;\(#,##0.00\);_-* &quot;-&quot;_-"/>
    <numFmt numFmtId="168" formatCode="&quot;$&quot;\ #,##0;\-&quot;$&quot;\ #,##0;&quot;$&quot;\ 0;@"/>
    <numFmt numFmtId="169" formatCode="&quot;$&quot;\ #,##0.00;\-&quot;$&quot;\ #,##0.00;&quot;$&quot;\ 0.00;@"/>
    <numFmt numFmtId="170" formatCode="_-&quot;$&quot;* #,##0.00_-;\-&quot;$&quot;* #,##0.00_-;_-&quot;$&quot;* &quot;-&quot;??_-;_-@_-"/>
    <numFmt numFmtId="171" formatCode="d\ mmm\ yy"/>
    <numFmt numFmtId="172" formatCode="mmm\ yy"/>
    <numFmt numFmtId="173" formatCode="#,##0;\-#,##0;0"/>
    <numFmt numFmtId="174" formatCode="#,##0.00;\-#,##0.00;0.00"/>
    <numFmt numFmtId="175" formatCode="#,##0.0000;\-#,##0.0000;0.0000"/>
    <numFmt numFmtId="176" formatCode="#,##0;\(#,##0\)"/>
    <numFmt numFmtId="177" formatCode="_([$HKD]\ * #,##0.00_);_([$HKD]\ * \(#,##0.00\);_([$HKD]\ * &quot;-&quot;??_);_(@_)"/>
    <numFmt numFmtId="178" formatCode="0.0%"/>
    <numFmt numFmtId="179" formatCode="&quot;Yes&quot;;[Red]&quot;Error&quot;;&quot;No&quot;;[Red]&quot;Error&quot;"/>
    <numFmt numFmtId="180" formatCode="[$-409]mmm/yy;@"/>
    <numFmt numFmtId="181" formatCode="_-* #,##0_-;\-* #,##0_-;_-* &quot;-&quot;??_-;_-@_-"/>
    <numFmt numFmtId="182" formatCode="0.00;[Red]0.00"/>
    <numFmt numFmtId="183" formatCode="#,##0\ ;\(#,##0\)"/>
    <numFmt numFmtId="184" formatCode="#,##0.00\ ;\(#,##0.00\)"/>
    <numFmt numFmtId="185" formatCode="dd\-mmm\-yy"/>
    <numFmt numFmtId="186" formatCode="_(* #,##0_);_(* \(#,##0\);_(* &quot;-&quot;??_);_(@_)"/>
    <numFmt numFmtId="187" formatCode="#,##0;[Red]\(#,##0\)"/>
    <numFmt numFmtId="188" formatCode="0.0000%"/>
    <numFmt numFmtId="189" formatCode="[$USD:HKD:      ]\ #,##0.00_);[Red]\([$USD:HKD:      ]\ #,##0.00\)"/>
    <numFmt numFmtId="190" formatCode="mmm"/>
    <numFmt numFmtId="191" formatCode="[$HKD:RMB:      ]\ #,##0.000_);[Red]\([$HKD:RMB:      ]\ #,##0.000\)"/>
    <numFmt numFmtId="192" formatCode="yyyy&quot;年&quot;m&quot;月&quot;;@"/>
    <numFmt numFmtId="193" formatCode="#,##0.00_);[Red]\(#,##0.00\);\-"/>
    <numFmt numFmtId="194" formatCode="_ * #,##0_ ;_ * \-#,##0_ ;_ * &quot;-&quot;??_ ;_ @_ "/>
    <numFmt numFmtId="195" formatCode="#,##0_);[Red]\(#,##0\);\-??"/>
    <numFmt numFmtId="196" formatCode="[$-409]mmm\-yy;@"/>
    <numFmt numFmtId="197" formatCode="_ * #,##0.00_ ;[Red]\(#,##0.00\)\ ;_ * &quot;-&quot;??_ ;_ @_ "/>
    <numFmt numFmtId="198" formatCode="0.00_ ;[Red]\-0.00\ "/>
    <numFmt numFmtId="199" formatCode="000000"/>
    <numFmt numFmtId="200" formatCode="#,##0.00000_);[Red]\(#,##0.00000\)"/>
    <numFmt numFmtId="201" formatCode="yyyy/m/d;@"/>
    <numFmt numFmtId="202" formatCode="#,##0.00_ "/>
    <numFmt numFmtId="203" formatCode="#,##0.0000"/>
    <numFmt numFmtId="204" formatCode="#,##0.000"/>
    <numFmt numFmtId="205" formatCode="_ * #,##0.0000_ ;_ * \-#,##0.0000_ ;_ * &quot;-&quot;??_ ;_ @_ "/>
    <numFmt numFmtId="206" formatCode="0.000%"/>
    <numFmt numFmtId="207" formatCode="_ * #,##0.000_ ;_ * \-#,##0.000_ ;_ * &quot;-&quot;???_ ;_ @_ "/>
    <numFmt numFmtId="208" formatCode="0.00000%"/>
    <numFmt numFmtId="209" formatCode="_ * #,##0.0_ ;_ * \-#,##0.0_ ;_ * &quot;-&quot;??_ ;_ @_ "/>
    <numFmt numFmtId="210" formatCode="_ * #,##0.0_ ;_ * \-#,##0.0_ ;_ * &quot;-&quot;?_ ;_ @_ "/>
    <numFmt numFmtId="211" formatCode="#,##0.0000_);[Red]\(#,##0.0000\)"/>
  </numFmts>
  <fonts count="96">
    <font>
      <sz val="12"/>
      <color theme="1"/>
      <name val="Calibri"/>
      <charset val="134"/>
      <scheme val="minor"/>
    </font>
    <font>
      <sz val="11"/>
      <color theme="1"/>
      <name val="Calibri"/>
      <family val="2"/>
      <scheme val="minor"/>
    </font>
    <font>
      <sz val="11"/>
      <color theme="1"/>
      <name val="Calibri"/>
      <family val="2"/>
      <scheme val="minor"/>
    </font>
    <font>
      <b/>
      <sz val="9"/>
      <color theme="1"/>
      <name val="Arial"/>
      <family val="2"/>
    </font>
    <font>
      <sz val="9"/>
      <color theme="1"/>
      <name val="Arial"/>
      <family val="2"/>
    </font>
    <font>
      <sz val="10"/>
      <color theme="1"/>
      <name val="Arial"/>
      <family val="2"/>
    </font>
    <font>
      <b/>
      <sz val="10"/>
      <color theme="1"/>
      <name val="Arial"/>
      <family val="2"/>
    </font>
    <font>
      <b/>
      <sz val="10"/>
      <name val="Arial"/>
      <family val="2"/>
    </font>
    <font>
      <sz val="10"/>
      <name val="Arial"/>
      <family val="2"/>
    </font>
    <font>
      <sz val="10"/>
      <color rgb="FFFF0000"/>
      <name val="Arial"/>
      <family val="2"/>
    </font>
    <font>
      <b/>
      <sz val="10"/>
      <color rgb="FFFF0000"/>
      <name val="Arial"/>
      <family val="2"/>
    </font>
    <font>
      <sz val="10"/>
      <color rgb="FF000000"/>
      <name val="Arial"/>
      <family val="2"/>
    </font>
    <font>
      <b/>
      <sz val="10"/>
      <color indexed="20"/>
      <name val="Arial"/>
      <family val="2"/>
    </font>
    <font>
      <i/>
      <sz val="10"/>
      <color indexed="12"/>
      <name val="Arial"/>
      <family val="2"/>
    </font>
    <font>
      <sz val="11"/>
      <color theme="1"/>
      <name val="Arial"/>
      <family val="2"/>
    </font>
    <font>
      <b/>
      <sz val="11"/>
      <color theme="1"/>
      <name val="Arial"/>
      <family val="2"/>
    </font>
    <font>
      <sz val="11"/>
      <name val="Arial"/>
      <family val="2"/>
    </font>
    <font>
      <b/>
      <sz val="11"/>
      <color rgb="FF000000"/>
      <name val="Arial"/>
      <family val="2"/>
    </font>
    <font>
      <b/>
      <u/>
      <sz val="11"/>
      <color theme="1"/>
      <name val="Arial"/>
      <family val="2"/>
    </font>
    <font>
      <b/>
      <sz val="11"/>
      <color rgb="FFFF0000"/>
      <name val="Arial"/>
      <family val="2"/>
    </font>
    <font>
      <b/>
      <sz val="11"/>
      <name val="Arial"/>
      <family val="2"/>
    </font>
    <font>
      <sz val="11"/>
      <color rgb="FF000000"/>
      <name val="Arial"/>
      <family val="2"/>
    </font>
    <font>
      <sz val="11"/>
      <color theme="0"/>
      <name val="Arial"/>
      <family val="2"/>
    </font>
    <font>
      <b/>
      <sz val="11"/>
      <color theme="0"/>
      <name val="Arial"/>
      <family val="2"/>
    </font>
    <font>
      <sz val="11"/>
      <color rgb="FF0033CC"/>
      <name val="Arial"/>
      <family val="2"/>
    </font>
    <font>
      <b/>
      <sz val="11"/>
      <color rgb="FF0033CC"/>
      <name val="Arial"/>
      <family val="2"/>
    </font>
    <font>
      <sz val="11"/>
      <color theme="1"/>
      <name val="宋体"/>
      <charset val="134"/>
    </font>
    <font>
      <u/>
      <sz val="11"/>
      <color theme="1"/>
      <name val="宋体"/>
      <charset val="134"/>
    </font>
    <font>
      <sz val="11"/>
      <color rgb="FFFF0000"/>
      <name val="Arial"/>
      <family val="2"/>
    </font>
    <font>
      <b/>
      <i/>
      <sz val="10"/>
      <color rgb="FF0033CC"/>
      <name val="Arial"/>
      <family val="2"/>
    </font>
    <font>
      <sz val="10"/>
      <color theme="0"/>
      <name val="Arial"/>
      <family val="2"/>
    </font>
    <font>
      <sz val="10"/>
      <color rgb="FF986B34"/>
      <name val="Arial"/>
      <family val="2"/>
    </font>
    <font>
      <b/>
      <sz val="10"/>
      <color theme="0"/>
      <name val="Arial"/>
      <family val="2"/>
    </font>
    <font>
      <sz val="12"/>
      <name val="Arial"/>
      <family val="2"/>
    </font>
    <font>
      <b/>
      <sz val="10"/>
      <color indexed="12"/>
      <name val="Arial"/>
      <family val="2"/>
    </font>
    <font>
      <sz val="11"/>
      <color theme="1"/>
      <name val="Calibri"/>
      <family val="2"/>
      <scheme val="minor"/>
    </font>
    <font>
      <b/>
      <sz val="12"/>
      <color indexed="12"/>
      <name val="Arial"/>
      <family val="2"/>
    </font>
    <font>
      <b/>
      <sz val="12"/>
      <name val="Arial"/>
      <family val="2"/>
    </font>
    <font>
      <b/>
      <sz val="10"/>
      <color indexed="12"/>
      <name val="Arial Unicode MS"/>
      <charset val="134"/>
    </font>
    <font>
      <sz val="10"/>
      <name val="宋体"/>
      <charset val="134"/>
    </font>
    <font>
      <b/>
      <sz val="10"/>
      <name val="宋体"/>
      <charset val="134"/>
    </font>
    <font>
      <b/>
      <sz val="10"/>
      <name val="宋体"/>
      <charset val="134"/>
    </font>
    <font>
      <sz val="10"/>
      <color indexed="8"/>
      <name val="Arial"/>
      <family val="2"/>
    </font>
    <font>
      <b/>
      <sz val="10"/>
      <color rgb="FF0000FF"/>
      <name val="Arial"/>
      <family val="2"/>
    </font>
    <font>
      <b/>
      <sz val="10"/>
      <color indexed="9"/>
      <name val="Arial"/>
      <family val="2"/>
    </font>
    <font>
      <sz val="10"/>
      <color rgb="FF0F1115"/>
      <name val="Arial"/>
      <family val="2"/>
    </font>
    <font>
      <sz val="10"/>
      <name val="MS Sans Serif"/>
      <charset val="134"/>
    </font>
    <font>
      <sz val="10"/>
      <color rgb="FF080A0D"/>
      <name val="Arial"/>
      <family val="2"/>
    </font>
    <font>
      <sz val="10.5"/>
      <color rgb="FF080A0D"/>
      <name val="Helvetica"/>
      <charset val="134"/>
    </font>
    <font>
      <b/>
      <u/>
      <sz val="10"/>
      <color theme="1"/>
      <name val="Arial"/>
      <family val="2"/>
    </font>
    <font>
      <sz val="10"/>
      <color theme="1"/>
      <name val="楷体"/>
      <family val="3"/>
      <charset val="134"/>
    </font>
    <font>
      <sz val="10"/>
      <color theme="1"/>
      <name val="宋体"/>
      <charset val="134"/>
    </font>
    <font>
      <sz val="10"/>
      <color theme="0" tint="-0.34998626667073579"/>
      <name val="Arial"/>
      <family val="2"/>
    </font>
    <font>
      <b/>
      <sz val="11"/>
      <color theme="1"/>
      <name val="Calibri"/>
      <family val="2"/>
      <scheme val="minor"/>
    </font>
    <font>
      <b/>
      <u/>
      <sz val="11"/>
      <color theme="1"/>
      <name val="Calibri"/>
      <family val="2"/>
      <scheme val="minor"/>
    </font>
    <font>
      <sz val="11"/>
      <color rgb="FFFF0000"/>
      <name val="Calibri"/>
      <family val="2"/>
      <scheme val="minor"/>
    </font>
    <font>
      <sz val="9"/>
      <color theme="1"/>
      <name val="Calibri"/>
      <family val="2"/>
      <scheme val="minor"/>
    </font>
    <font>
      <sz val="12"/>
      <color theme="1"/>
      <name val="Calibri"/>
      <family val="2"/>
      <scheme val="minor"/>
    </font>
    <font>
      <sz val="9"/>
      <name val="Arial"/>
      <family val="2"/>
    </font>
    <font>
      <sz val="11"/>
      <color indexed="8"/>
      <name val="Calibri"/>
      <family val="2"/>
      <scheme val="minor"/>
    </font>
    <font>
      <sz val="10"/>
      <color indexed="12"/>
      <name val="Arial"/>
      <family val="2"/>
    </font>
    <font>
      <sz val="12"/>
      <name val="宋体"/>
      <charset val="134"/>
    </font>
    <font>
      <sz val="12"/>
      <name val="新細明體"/>
      <charset val="136"/>
    </font>
    <font>
      <sz val="11"/>
      <name val="Gill Sans"/>
      <charset val="134"/>
    </font>
    <font>
      <sz val="11"/>
      <color theme="1"/>
      <name val="Gill Sans"/>
      <charset val="134"/>
    </font>
    <font>
      <sz val="10"/>
      <name val="Times New Roman"/>
      <family val="1"/>
    </font>
    <font>
      <sz val="10"/>
      <name val="Helvetica"/>
      <charset val="134"/>
    </font>
    <font>
      <sz val="10"/>
      <name val="Palatino"/>
      <charset val="134"/>
    </font>
    <font>
      <b/>
      <sz val="14"/>
      <color indexed="18"/>
      <name val="Arial"/>
      <family val="2"/>
    </font>
    <font>
      <b/>
      <sz val="10"/>
      <color indexed="18"/>
      <name val="Arial"/>
      <family val="2"/>
    </font>
    <font>
      <b/>
      <sz val="10"/>
      <color indexed="8"/>
      <name val="Arial"/>
      <family val="2"/>
    </font>
    <font>
      <u/>
      <sz val="11"/>
      <color indexed="12"/>
      <name val="Calibri"/>
      <family val="2"/>
    </font>
    <font>
      <u/>
      <sz val="12"/>
      <color theme="10"/>
      <name val="Calibri"/>
      <family val="2"/>
      <scheme val="minor"/>
    </font>
    <font>
      <sz val="10"/>
      <color indexed="59"/>
      <name val="Arial MT Std Light"/>
      <charset val="134"/>
    </font>
    <font>
      <sz val="10"/>
      <color indexed="10"/>
      <name val="Arial"/>
      <family val="2"/>
    </font>
    <font>
      <sz val="10"/>
      <color theme="1"/>
      <name val="Calibri"/>
      <family val="2"/>
      <scheme val="minor"/>
    </font>
    <font>
      <sz val="12"/>
      <color indexed="8"/>
      <name val="Calibri"/>
      <family val="2"/>
      <scheme val="minor"/>
    </font>
    <font>
      <sz val="11"/>
      <color theme="1"/>
      <name val="Calibri"/>
      <family val="2"/>
    </font>
    <font>
      <sz val="11"/>
      <color rgb="FFFF0000"/>
      <name val="宋体"/>
      <charset val="134"/>
    </font>
    <font>
      <b/>
      <sz val="9"/>
      <name val="Tahoma"/>
      <family val="2"/>
    </font>
    <font>
      <sz val="9"/>
      <name val="Tahoma"/>
      <family val="2"/>
    </font>
    <font>
      <b/>
      <sz val="9"/>
      <name val="宋体"/>
      <charset val="134"/>
    </font>
    <font>
      <sz val="9"/>
      <name val="宋体"/>
      <charset val="134"/>
    </font>
    <font>
      <sz val="9"/>
      <color indexed="81"/>
      <name val="Tahoma"/>
      <family val="2"/>
    </font>
    <font>
      <b/>
      <sz val="9"/>
      <color indexed="81"/>
      <name val="Tahoma"/>
      <family val="2"/>
    </font>
    <font>
      <sz val="11"/>
      <color theme="1"/>
      <name val="Calibri"/>
      <family val="2"/>
      <scheme val="minor"/>
    </font>
    <font>
      <sz val="11"/>
      <color theme="1"/>
      <name val="楷体"/>
      <family val="3"/>
      <charset val="134"/>
    </font>
    <font>
      <sz val="11"/>
      <color theme="1"/>
      <name val="Calibri"/>
      <family val="3"/>
      <charset val="134"/>
      <scheme val="minor"/>
    </font>
    <font>
      <sz val="11"/>
      <color theme="0" tint="-0.34998626667073579"/>
      <name val="楷体"/>
      <family val="3"/>
      <charset val="134"/>
    </font>
    <font>
      <b/>
      <sz val="11"/>
      <color theme="0"/>
      <name val="楷体"/>
      <family val="3"/>
      <charset val="134"/>
    </font>
    <font>
      <b/>
      <sz val="11"/>
      <color theme="1"/>
      <name val="楷体"/>
      <family val="3"/>
      <charset val="134"/>
    </font>
    <font>
      <b/>
      <sz val="9"/>
      <color indexed="81"/>
      <name val="宋体"/>
      <family val="3"/>
      <charset val="134"/>
    </font>
    <font>
      <sz val="9"/>
      <color indexed="81"/>
      <name val="宋体"/>
      <family val="3"/>
      <charset val="134"/>
    </font>
    <font>
      <sz val="10"/>
      <color theme="0" tint="-0.14999847407452621"/>
      <name val="Arial"/>
      <family val="2"/>
    </font>
    <font>
      <i/>
      <sz val="10"/>
      <color rgb="FFFF00FF"/>
      <name val="Arial"/>
      <family val="2"/>
    </font>
    <font>
      <sz val="10"/>
      <color theme="0" tint="-0.249977111117893"/>
      <name val="Arial"/>
      <family val="2"/>
    </font>
  </fonts>
  <fills count="55">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4" tint="0.79967650379955446"/>
        <bgColor indexed="64"/>
      </patternFill>
    </fill>
    <fill>
      <patternFill patternType="solid">
        <fgColor rgb="FFFFFF00"/>
        <bgColor indexed="64"/>
      </patternFill>
    </fill>
    <fill>
      <patternFill patternType="solid">
        <fgColor rgb="FFFFC89B"/>
        <bgColor indexed="64"/>
      </patternFill>
    </fill>
    <fill>
      <patternFill patternType="solid">
        <fgColor theme="5" tint="0.79964598529007846"/>
        <bgColor indexed="64"/>
      </patternFill>
    </fill>
    <fill>
      <patternFill patternType="solid">
        <fgColor theme="5" tint="0.79970702230903046"/>
        <bgColor indexed="64"/>
      </patternFill>
    </fill>
    <fill>
      <patternFill patternType="solid">
        <fgColor rgb="FFFFF1E5"/>
        <bgColor indexed="64"/>
      </patternFill>
    </fill>
    <fill>
      <patternFill patternType="solid">
        <fgColor rgb="FF7030A0"/>
        <bgColor indexed="64"/>
      </patternFill>
    </fill>
    <fill>
      <patternFill patternType="solid">
        <fgColor theme="5" tint="0.59999389629810485"/>
        <bgColor indexed="64"/>
      </patternFill>
    </fill>
    <fill>
      <patternFill patternType="solid">
        <fgColor theme="9" tint="0.79967650379955446"/>
        <bgColor indexed="64"/>
      </patternFill>
    </fill>
    <fill>
      <patternFill patternType="solid">
        <fgColor indexed="9"/>
        <bgColor indexed="64"/>
      </patternFill>
    </fill>
    <fill>
      <patternFill patternType="solid">
        <fgColor theme="7" tint="0.79964598529007846"/>
        <bgColor indexed="64"/>
      </patternFill>
    </fill>
    <fill>
      <patternFill patternType="solid">
        <fgColor rgb="FF92D050"/>
        <bgColor indexed="64"/>
      </patternFill>
    </fill>
    <fill>
      <patternFill patternType="solid">
        <fgColor theme="9" tint="0.79964598529007846"/>
        <bgColor indexed="64"/>
      </patternFill>
    </fill>
    <fill>
      <patternFill patternType="solid">
        <fgColor rgb="FFFFC000"/>
        <bgColor indexed="64"/>
      </patternFill>
    </fill>
    <fill>
      <patternFill patternType="solid">
        <fgColor theme="0" tint="-4.9653614917447429E-2"/>
        <bgColor indexed="64"/>
      </patternFill>
    </fill>
    <fill>
      <patternFill patternType="solid">
        <fgColor theme="0" tint="-0.14969328897976622"/>
        <bgColor indexed="64"/>
      </patternFill>
    </fill>
    <fill>
      <patternFill patternType="solid">
        <fgColor rgb="FF533A1C"/>
        <bgColor indexed="64"/>
      </patternFill>
    </fill>
    <fill>
      <patternFill patternType="solid">
        <fgColor theme="1" tint="4.9989318521683403E-2"/>
        <bgColor indexed="64"/>
      </patternFill>
    </fill>
    <fill>
      <patternFill patternType="solid">
        <fgColor theme="1"/>
        <bgColor indexed="64"/>
      </patternFill>
    </fill>
    <fill>
      <patternFill patternType="solid">
        <fgColor rgb="FFCCECFF"/>
        <bgColor indexed="64"/>
      </patternFill>
    </fill>
    <fill>
      <patternFill patternType="solid">
        <fgColor rgb="FF986B34"/>
        <bgColor indexed="64"/>
      </patternFill>
    </fill>
    <fill>
      <patternFill patternType="solid">
        <fgColor theme="9" tint="0.79970702230903046"/>
        <bgColor indexed="64"/>
      </patternFill>
    </fill>
    <fill>
      <patternFill patternType="solid">
        <fgColor theme="0" tint="-0.14972380748924222"/>
        <bgColor indexed="64"/>
      </patternFill>
    </fill>
    <fill>
      <patternFill patternType="solid">
        <fgColor theme="8" tint="0.79970702230903046"/>
        <bgColor indexed="64"/>
      </patternFill>
    </fill>
    <fill>
      <patternFill patternType="solid">
        <fgColor theme="7" tint="0.59999389629810485"/>
        <bgColor indexed="64"/>
      </patternFill>
    </fill>
    <fill>
      <patternFill patternType="solid">
        <fgColor theme="4" tint="0.39967040009765925"/>
        <bgColor indexed="64"/>
      </patternFill>
    </fill>
    <fill>
      <patternFill patternType="solid">
        <fgColor theme="0" tint="-0.14978484450819421"/>
        <bgColor indexed="64"/>
      </patternFill>
    </fill>
    <fill>
      <patternFill patternType="solid">
        <fgColor theme="8" tint="0.79964598529007846"/>
        <bgColor indexed="64"/>
      </patternFill>
    </fill>
    <fill>
      <patternFill patternType="solid">
        <fgColor rgb="FF00B050"/>
        <bgColor indexed="64"/>
      </patternFill>
    </fill>
    <fill>
      <patternFill patternType="solid">
        <fgColor theme="0" tint="-4.9989318521683403E-2"/>
        <bgColor indexed="64"/>
      </patternFill>
    </fill>
    <fill>
      <patternFill patternType="solid">
        <fgColor indexed="43"/>
        <bgColor indexed="64"/>
      </patternFill>
    </fill>
    <fill>
      <patternFill patternType="solid">
        <fgColor theme="3"/>
        <bgColor indexed="64"/>
      </patternFill>
    </fill>
    <fill>
      <patternFill patternType="solid">
        <fgColor indexed="47"/>
        <bgColor indexed="64"/>
      </patternFill>
    </fill>
    <fill>
      <patternFill patternType="solid">
        <fgColor rgb="FFFF0000"/>
        <bgColor indexed="64"/>
      </patternFill>
    </fill>
    <fill>
      <patternFill patternType="solid">
        <fgColor indexed="15"/>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8458815271462"/>
        <bgColor indexed="64"/>
      </patternFill>
    </fill>
    <fill>
      <patternFill patternType="solid">
        <fgColor theme="5" tint="0.79985961485641044"/>
        <bgColor indexed="64"/>
      </patternFill>
    </fill>
    <fill>
      <patternFill patternType="solid">
        <fgColor theme="5" tint="0.39982299264503923"/>
        <bgColor indexed="64"/>
      </patternFill>
    </fill>
    <fill>
      <patternFill patternType="solid">
        <fgColor rgb="FF00B0F0"/>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4" tint="0.59999389629810485"/>
        <bgColor indexed="64"/>
      </patternFill>
    </fill>
    <fill>
      <patternFill patternType="solid">
        <fgColor theme="5" tint="0.79992065187536243"/>
        <bgColor indexed="64"/>
      </patternFill>
    </fill>
    <fill>
      <patternFill patternType="solid">
        <fgColor theme="4" tint="0.79985961485641044"/>
        <bgColor indexed="64"/>
      </patternFill>
    </fill>
    <fill>
      <patternFill patternType="solid">
        <fgColor indexed="46"/>
        <bgColor indexed="64"/>
      </patternFill>
    </fill>
    <fill>
      <patternFill patternType="solid">
        <fgColor theme="6" tint="0.39997558519241921"/>
        <bgColor indexed="64"/>
      </patternFill>
    </fill>
    <fill>
      <patternFill patternType="solid">
        <fgColor theme="0" tint="-0.34998626667073579"/>
        <bgColor indexed="64"/>
      </patternFill>
    </fill>
    <fill>
      <patternFill patternType="solid">
        <fgColor rgb="FFFFFFCC"/>
        <bgColor indexed="64"/>
      </patternFill>
    </fill>
    <fill>
      <patternFill patternType="solid">
        <fgColor theme="0" tint="-0.14999847407452621"/>
        <bgColor indexed="64"/>
      </patternFill>
    </fill>
  </fills>
  <borders count="96">
    <border>
      <left/>
      <right/>
      <top/>
      <bottom/>
      <diagonal/>
    </border>
    <border>
      <left/>
      <right/>
      <top style="thin">
        <color auto="1"/>
      </top>
      <bottom style="double">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thick">
        <color auto="1"/>
      </right>
      <top/>
      <bottom/>
      <diagonal/>
    </border>
    <border>
      <left style="medium">
        <color auto="1"/>
      </left>
      <right style="medium">
        <color auto="1"/>
      </right>
      <top style="thin">
        <color auto="1"/>
      </top>
      <bottom/>
      <diagonal/>
    </border>
    <border>
      <left/>
      <right/>
      <top style="double">
        <color auto="1"/>
      </top>
      <bottom style="double">
        <color auto="1"/>
      </bottom>
      <diagonal/>
    </border>
    <border>
      <left/>
      <right style="thick">
        <color auto="1"/>
      </right>
      <top style="double">
        <color auto="1"/>
      </top>
      <bottom style="double">
        <color auto="1"/>
      </bottom>
      <diagonal/>
    </border>
    <border>
      <left style="medium">
        <color auto="1"/>
      </left>
      <right style="medium">
        <color auto="1"/>
      </right>
      <top style="double">
        <color auto="1"/>
      </top>
      <bottom style="double">
        <color auto="1"/>
      </bottom>
      <diagonal/>
    </border>
    <border>
      <left/>
      <right style="thick">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rgb="FFFF0000"/>
      </left>
      <right/>
      <top style="medium">
        <color rgb="FFFF0000"/>
      </top>
      <bottom/>
      <diagonal/>
    </border>
    <border>
      <left/>
      <right/>
      <top style="medium">
        <color rgb="FFFF0000"/>
      </top>
      <bottom/>
      <diagonal/>
    </border>
    <border>
      <left style="thin">
        <color auto="1"/>
      </left>
      <right/>
      <top style="medium">
        <color rgb="FFFF0000"/>
      </top>
      <bottom/>
      <diagonal/>
    </border>
    <border>
      <left style="medium">
        <color auto="1"/>
      </left>
      <right/>
      <top style="medium">
        <color rgb="FFFF0000"/>
      </top>
      <bottom/>
      <diagonal/>
    </border>
    <border>
      <left/>
      <right style="thick">
        <color auto="1"/>
      </right>
      <top style="medium">
        <color rgb="FFFF0000"/>
      </top>
      <bottom/>
      <diagonal/>
    </border>
    <border>
      <left style="medium">
        <color auto="1"/>
      </left>
      <right style="medium">
        <color rgb="FFFF0000"/>
      </right>
      <top style="medium">
        <color rgb="FFFF0000"/>
      </top>
      <bottom/>
      <diagonal/>
    </border>
    <border>
      <left style="medium">
        <color rgb="FFFF0000"/>
      </left>
      <right/>
      <top/>
      <bottom/>
      <diagonal/>
    </border>
    <border>
      <left style="medium">
        <color auto="1"/>
      </left>
      <right/>
      <top/>
      <bottom/>
      <diagonal/>
    </border>
    <border>
      <left style="medium">
        <color auto="1"/>
      </left>
      <right style="medium">
        <color rgb="FFFF0000"/>
      </right>
      <top/>
      <bottom/>
      <diagonal/>
    </border>
    <border>
      <left style="medium">
        <color auto="1"/>
      </left>
      <right style="medium">
        <color auto="1"/>
      </right>
      <top/>
      <bottom style="medium">
        <color auto="1"/>
      </bottom>
      <diagonal/>
    </border>
    <border>
      <left style="medium">
        <color auto="1"/>
      </left>
      <right/>
      <top style="thin">
        <color auto="1"/>
      </top>
      <bottom style="thin">
        <color auto="1"/>
      </bottom>
      <diagonal/>
    </border>
    <border>
      <left style="medium">
        <color auto="1"/>
      </left>
      <right style="medium">
        <color rgb="FFFF0000"/>
      </right>
      <top style="thin">
        <color auto="1"/>
      </top>
      <bottom style="thin">
        <color auto="1"/>
      </bottom>
      <diagonal/>
    </border>
    <border>
      <left style="medium">
        <color rgb="FFFF0000"/>
      </left>
      <right/>
      <top/>
      <bottom style="medium">
        <color rgb="FFFF0000"/>
      </bottom>
      <diagonal/>
    </border>
    <border>
      <left/>
      <right/>
      <top/>
      <bottom style="medium">
        <color rgb="FFFF0000"/>
      </bottom>
      <diagonal/>
    </border>
    <border>
      <left style="thin">
        <color auto="1"/>
      </left>
      <right/>
      <top/>
      <bottom style="medium">
        <color rgb="FFFF0000"/>
      </bottom>
      <diagonal/>
    </border>
    <border>
      <left style="medium">
        <color auto="1"/>
      </left>
      <right/>
      <top/>
      <bottom style="medium">
        <color rgb="FFFF0000"/>
      </bottom>
      <diagonal/>
    </border>
    <border>
      <left/>
      <right style="thick">
        <color auto="1"/>
      </right>
      <top/>
      <bottom style="medium">
        <color rgb="FFFF0000"/>
      </bottom>
      <diagonal/>
    </border>
    <border>
      <left style="medium">
        <color auto="1"/>
      </left>
      <right style="medium">
        <color rgb="FFFF0000"/>
      </right>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diagonal/>
    </border>
    <border>
      <left style="medium">
        <color rgb="FFFF0000"/>
      </left>
      <right style="medium">
        <color rgb="FFFF0000"/>
      </right>
      <top style="thin">
        <color auto="1"/>
      </top>
      <bottom/>
      <diagonal/>
    </border>
    <border>
      <left style="medium">
        <color rgb="FFFF0000"/>
      </left>
      <right style="medium">
        <color rgb="FFFF0000"/>
      </right>
      <top style="double">
        <color auto="1"/>
      </top>
      <bottom style="double">
        <color auto="1"/>
      </bottom>
      <diagonal/>
    </border>
    <border>
      <left style="medium">
        <color rgb="FFFF0000"/>
      </left>
      <right style="medium">
        <color rgb="FFFF0000"/>
      </right>
      <top style="thin">
        <color auto="1"/>
      </top>
      <bottom style="thin">
        <color auto="1"/>
      </bottom>
      <diagonal/>
    </border>
    <border>
      <left/>
      <right style="medium">
        <color rgb="FFFF0000"/>
      </right>
      <top style="medium">
        <color rgb="FFFF0000"/>
      </top>
      <bottom/>
      <diagonal/>
    </border>
    <border>
      <left/>
      <right style="medium">
        <color rgb="FFFF0000"/>
      </right>
      <top/>
      <bottom/>
      <diagonal/>
    </border>
    <border>
      <left style="medium">
        <color rgb="FFFF0000"/>
      </left>
      <right/>
      <top style="thin">
        <color auto="1"/>
      </top>
      <bottom style="thin">
        <color auto="1"/>
      </bottom>
      <diagonal/>
    </border>
    <border>
      <left/>
      <right style="medium">
        <color rgb="FFFF0000"/>
      </right>
      <top style="thin">
        <color auto="1"/>
      </top>
      <bottom style="thin">
        <color auto="1"/>
      </bottom>
      <diagonal/>
    </border>
    <border>
      <left style="medium">
        <color rgb="FFFF0000"/>
      </left>
      <right style="medium">
        <color rgb="FFFF0000"/>
      </right>
      <top/>
      <bottom style="medium">
        <color rgb="FFFF0000"/>
      </bottom>
      <diagonal/>
    </border>
    <border>
      <left/>
      <right style="medium">
        <color rgb="FFFF0000"/>
      </right>
      <top/>
      <bottom style="medium">
        <color rgb="FFFF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thin">
        <color auto="1"/>
      </top>
      <bottom/>
      <diagonal/>
    </border>
    <border>
      <left style="thick">
        <color rgb="FFFF0000"/>
      </left>
      <right style="thin">
        <color auto="1"/>
      </right>
      <top style="thick">
        <color rgb="FFFF0000"/>
      </top>
      <bottom style="thin">
        <color auto="1"/>
      </bottom>
      <diagonal/>
    </border>
    <border>
      <left style="thin">
        <color auto="1"/>
      </left>
      <right style="thin">
        <color auto="1"/>
      </right>
      <top style="thick">
        <color rgb="FFFF0000"/>
      </top>
      <bottom style="thin">
        <color auto="1"/>
      </bottom>
      <diagonal/>
    </border>
    <border>
      <left style="thick">
        <color rgb="FFFF0000"/>
      </left>
      <right style="thin">
        <color auto="1"/>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ck">
        <color rgb="FFFF0000"/>
      </top>
      <bottom style="thin">
        <color auto="1"/>
      </bottom>
      <diagonal/>
    </border>
    <border>
      <left/>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right/>
      <top/>
      <bottom style="double">
        <color auto="1"/>
      </bottom>
      <diagonal/>
    </border>
    <border>
      <left style="thin">
        <color auto="1"/>
      </left>
      <right/>
      <top/>
      <bottom style="double">
        <color auto="1"/>
      </bottom>
      <diagonal/>
    </border>
    <border>
      <left/>
      <right style="thin">
        <color auto="1"/>
      </right>
      <top/>
      <bottom style="double">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style="medium">
        <color indexed="64"/>
      </right>
      <top style="thin">
        <color auto="1"/>
      </top>
      <bottom/>
      <diagonal/>
    </border>
    <border>
      <left/>
      <right style="medium">
        <color indexed="64"/>
      </right>
      <top/>
      <bottom style="thin">
        <color auto="1"/>
      </bottom>
      <diagonal/>
    </border>
  </borders>
  <cellStyleXfs count="273">
    <xf numFmtId="0" fontId="0" fillId="0" borderId="0">
      <alignment vertical="center"/>
    </xf>
    <xf numFmtId="165" fontId="57" fillId="0" borderId="0" applyFont="0" applyFill="0" applyBorder="0" applyAlignment="0" applyProtection="0"/>
    <xf numFmtId="9" fontId="57" fillId="0" borderId="0" applyFont="0" applyFill="0" applyBorder="0" applyAlignment="0" applyProtection="0"/>
    <xf numFmtId="0" fontId="8" fillId="0" borderId="0"/>
    <xf numFmtId="0" fontId="60" fillId="50" borderId="0" applyNumberFormat="0" applyBorder="0" applyAlignment="0" applyProtection="0"/>
    <xf numFmtId="0" fontId="8" fillId="50" borderId="0" applyNumberFormat="0" applyBorder="0" applyAlignment="0" applyProtection="0"/>
    <xf numFmtId="166" fontId="58" fillId="0" borderId="0" applyAlignment="0" applyProtection="0"/>
    <xf numFmtId="167" fontId="8" fillId="0" borderId="0" applyFill="0" applyBorder="0" applyAlignment="0" applyProtection="0"/>
    <xf numFmtId="164" fontId="57" fillId="0" borderId="0" applyFont="0" applyFill="0" applyBorder="0" applyProtection="0"/>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61" fillId="0" borderId="0" applyFont="0" applyFill="0" applyBorder="0" applyProtection="0"/>
    <xf numFmtId="165" fontId="61" fillId="0" borderId="0" applyFont="0" applyFill="0" applyBorder="0" applyProtection="0"/>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43" fontId="35" fillId="0" borderId="0" applyFont="0" applyFill="0" applyBorder="0" applyAlignment="0" applyProtection="0"/>
    <xf numFmtId="165" fontId="62" fillId="0" borderId="0" applyFont="0" applyFill="0" applyBorder="0" applyAlignment="0" applyProtection="0"/>
    <xf numFmtId="165" fontId="62" fillId="0" borderId="0" applyFont="0" applyFill="0" applyBorder="0" applyProtection="0"/>
    <xf numFmtId="165" fontId="62" fillId="0" borderId="0" applyFont="0" applyFill="0" applyBorder="0" applyProtection="0"/>
    <xf numFmtId="165" fontId="62" fillId="0" borderId="0" applyFont="0" applyFill="0" applyBorder="0" applyProtection="0"/>
    <xf numFmtId="165" fontId="63" fillId="0" borderId="0" applyFont="0" applyFill="0" applyBorder="0" applyAlignment="0" applyProtection="0"/>
    <xf numFmtId="165" fontId="57" fillId="0" borderId="0" applyFont="0" applyFill="0" applyBorder="0" applyAlignment="0" applyProtection="0"/>
    <xf numFmtId="165" fontId="57" fillId="0" borderId="0" applyFont="0" applyFill="0" applyBorder="0" applyAlignment="0" applyProtection="0"/>
    <xf numFmtId="164" fontId="57" fillId="0" borderId="0" applyFont="0" applyFill="0" applyBorder="0" applyProtection="0"/>
    <xf numFmtId="165" fontId="35" fillId="0" borderId="0" applyFont="0" applyFill="0" applyBorder="0" applyAlignment="0" applyProtection="0"/>
    <xf numFmtId="165" fontId="57" fillId="0" borderId="0" applyFont="0" applyFill="0" applyBorder="0" applyAlignment="0" applyProtection="0"/>
    <xf numFmtId="165" fontId="57" fillId="0" borderId="0" applyFont="0" applyFill="0" applyBorder="0" applyAlignment="0" applyProtection="0"/>
    <xf numFmtId="165" fontId="57" fillId="0" borderId="0" applyFont="0" applyFill="0" applyBorder="0" applyAlignment="0" applyProtection="0"/>
    <xf numFmtId="43"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43" fontId="35"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64" fillId="0" borderId="0" applyFont="0" applyFill="0" applyBorder="0" applyAlignment="0" applyProtection="0"/>
    <xf numFmtId="165" fontId="57" fillId="0" borderId="0" applyFont="0" applyFill="0" applyBorder="0" applyAlignment="0" applyProtection="0"/>
    <xf numFmtId="165" fontId="57"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43" fontId="6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4" fontId="66" fillId="0" borderId="0" applyFont="0" applyFill="0" applyBorder="0" applyAlignment="0" applyProtection="0">
      <alignment vertical="center"/>
    </xf>
    <xf numFmtId="164" fontId="35" fillId="0" borderId="0" applyFont="0" applyFill="0" applyBorder="0" applyAlignment="0" applyProtection="0">
      <alignment vertical="center"/>
    </xf>
    <xf numFmtId="164" fontId="35" fillId="0" borderId="0" applyFont="0" applyFill="0" applyBorder="0" applyAlignment="0" applyProtection="0">
      <alignment vertical="center"/>
    </xf>
    <xf numFmtId="164" fontId="35" fillId="0" borderId="0" applyFont="0" applyFill="0" applyBorder="0" applyAlignment="0" applyProtection="0">
      <alignment vertical="center"/>
    </xf>
    <xf numFmtId="164" fontId="35" fillId="0" borderId="0" applyFont="0" applyFill="0" applyBorder="0" applyAlignment="0" applyProtection="0">
      <alignment vertical="center"/>
    </xf>
    <xf numFmtId="165" fontId="35" fillId="0" borderId="0" applyFont="0" applyFill="0" applyBorder="0" applyProtection="0"/>
    <xf numFmtId="164" fontId="66" fillId="0" borderId="0" applyFont="0" applyFill="0" applyBorder="0" applyProtection="0"/>
    <xf numFmtId="164" fontId="46" fillId="0" borderId="0" applyFont="0" applyFill="0" applyBorder="0" applyAlignment="0" applyProtection="0"/>
    <xf numFmtId="164" fontId="35" fillId="0" borderId="0" applyFont="0" applyFill="0" applyBorder="0" applyAlignment="0" applyProtection="0">
      <alignment vertical="center"/>
    </xf>
    <xf numFmtId="165" fontId="57" fillId="0" borderId="0" applyFont="0" applyFill="0" applyBorder="0" applyAlignment="0" applyProtection="0"/>
    <xf numFmtId="164" fontId="35" fillId="0" borderId="0" applyFont="0" applyFill="0" applyBorder="0" applyAlignment="0" applyProtection="0">
      <alignment vertical="center"/>
    </xf>
    <xf numFmtId="165" fontId="61" fillId="0" borderId="0" applyFont="0" applyFill="0" applyBorder="0" applyProtection="0"/>
    <xf numFmtId="43" fontId="42" fillId="0" borderId="0" applyFont="0" applyFill="0" applyBorder="0" applyAlignment="0" applyProtection="0"/>
    <xf numFmtId="165" fontId="35"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8" fontId="8" fillId="0" borderId="0" applyFont="0" applyFill="0" applyBorder="0" applyAlignment="0" applyProtection="0"/>
    <xf numFmtId="169"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44" fontId="42"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0" fontId="8" fillId="0" borderId="0" applyFont="0" applyFill="0" applyBorder="0" applyAlignment="0" applyProtection="0"/>
    <xf numFmtId="171" fontId="66" fillId="0" borderId="0" applyFont="0" applyFill="0" applyBorder="0" applyAlignment="0" applyProtection="0"/>
    <xf numFmtId="14" fontId="8" fillId="0" borderId="0" applyFont="0" applyFill="0" applyBorder="0" applyAlignment="0" applyProtection="0"/>
    <xf numFmtId="172" fontId="67" fillId="0" borderId="0" applyFont="0" applyFill="0" applyBorder="0" applyAlignment="0" applyProtection="0"/>
    <xf numFmtId="173" fontId="8" fillId="0" borderId="0" applyFont="0" applyFill="0" applyBorder="0" applyAlignment="0"/>
    <xf numFmtId="174" fontId="8" fillId="0" borderId="0" applyFont="0" applyFill="0" applyBorder="0" applyAlignment="0"/>
    <xf numFmtId="175" fontId="8" fillId="0" borderId="0" applyFont="0" applyFill="0" applyBorder="0" applyAlignment="0" applyProtection="0"/>
    <xf numFmtId="0" fontId="68" fillId="0" borderId="0" applyNumberFormat="0" applyFill="0" applyBorder="0"/>
    <xf numFmtId="0" fontId="69" fillId="0" borderId="0" applyNumberFormat="0" applyFill="0" applyBorder="0"/>
    <xf numFmtId="176" fontId="70" fillId="0" borderId="0" applyFill="0" applyBorder="0"/>
    <xf numFmtId="176" fontId="8" fillId="0" borderId="0" applyFill="0" applyBorder="0"/>
    <xf numFmtId="0" fontId="71" fillId="0" borderId="0" applyNumberFormat="0" applyFill="0" applyBorder="0" applyAlignment="0" applyProtection="0"/>
    <xf numFmtId="0" fontId="72" fillId="0" borderId="0" applyNumberFormat="0" applyFill="0" applyBorder="0" applyAlignment="0" applyProtection="0"/>
    <xf numFmtId="177" fontId="8" fillId="0" borderId="0"/>
    <xf numFmtId="177" fontId="8" fillId="0" borderId="0"/>
    <xf numFmtId="177" fontId="8" fillId="0" borderId="0"/>
    <xf numFmtId="177" fontId="62" fillId="0" borderId="0">
      <alignment vertical="center"/>
    </xf>
    <xf numFmtId="177" fontId="8" fillId="0" borderId="0"/>
    <xf numFmtId="0" fontId="8" fillId="0" borderId="0"/>
    <xf numFmtId="0" fontId="8" fillId="0" borderId="0"/>
    <xf numFmtId="0" fontId="8" fillId="0" borderId="0"/>
    <xf numFmtId="0" fontId="8" fillId="0" borderId="0"/>
    <xf numFmtId="177" fontId="35" fillId="0" borderId="0"/>
    <xf numFmtId="0" fontId="8" fillId="0" borderId="0"/>
    <xf numFmtId="0" fontId="14" fillId="0" borderId="0"/>
    <xf numFmtId="0" fontId="8" fillId="0" borderId="0"/>
    <xf numFmtId="0" fontId="64" fillId="0" borderId="0"/>
    <xf numFmtId="0" fontId="8" fillId="0" borderId="0"/>
    <xf numFmtId="0" fontId="63" fillId="0" borderId="0"/>
    <xf numFmtId="0" fontId="57" fillId="0" borderId="0">
      <alignment vertical="center"/>
    </xf>
    <xf numFmtId="0" fontId="64" fillId="0" borderId="0"/>
    <xf numFmtId="0" fontId="57" fillId="0" borderId="0">
      <alignment vertical="center"/>
    </xf>
    <xf numFmtId="177" fontId="62" fillId="0" borderId="0">
      <alignment vertical="center"/>
    </xf>
    <xf numFmtId="177" fontId="57" fillId="0" borderId="0">
      <alignment vertical="center"/>
    </xf>
    <xf numFmtId="0" fontId="57" fillId="0" borderId="0">
      <alignment vertical="center"/>
    </xf>
    <xf numFmtId="0" fontId="35" fillId="0" borderId="0"/>
    <xf numFmtId="0" fontId="57" fillId="0" borderId="0">
      <alignment vertical="center"/>
    </xf>
    <xf numFmtId="0" fontId="8" fillId="0" borderId="0"/>
    <xf numFmtId="177" fontId="35" fillId="0" borderId="0"/>
    <xf numFmtId="0" fontId="8" fillId="0" borderId="0"/>
    <xf numFmtId="0" fontId="35" fillId="0" borderId="0"/>
    <xf numFmtId="0" fontId="8" fillId="0" borderId="0"/>
    <xf numFmtId="0" fontId="8" fillId="0" borderId="0"/>
    <xf numFmtId="0" fontId="8" fillId="0" borderId="0"/>
    <xf numFmtId="0" fontId="8" fillId="0" borderId="0" applyNumberFormat="0" applyFont="0" applyFill="0" applyBorder="0" applyAlignment="0" applyProtection="0"/>
    <xf numFmtId="0" fontId="8" fillId="0" borderId="0"/>
    <xf numFmtId="0" fontId="46" fillId="0" borderId="0"/>
    <xf numFmtId="177" fontId="35" fillId="0" borderId="0"/>
    <xf numFmtId="177" fontId="35" fillId="0" borderId="0"/>
    <xf numFmtId="177" fontId="35" fillId="0" borderId="0"/>
    <xf numFmtId="177" fontId="35" fillId="0" borderId="0"/>
    <xf numFmtId="0" fontId="35" fillId="0" borderId="0"/>
    <xf numFmtId="0" fontId="62" fillId="0" borderId="0"/>
    <xf numFmtId="177" fontId="8" fillId="0" borderId="0"/>
    <xf numFmtId="0" fontId="8" fillId="0" borderId="0"/>
    <xf numFmtId="177" fontId="8" fillId="0" borderId="0"/>
    <xf numFmtId="0" fontId="35" fillId="0" borderId="0"/>
    <xf numFmtId="0" fontId="57" fillId="0" borderId="0"/>
    <xf numFmtId="177" fontId="35" fillId="0" borderId="0"/>
    <xf numFmtId="177" fontId="35" fillId="0" borderId="0"/>
    <xf numFmtId="177" fontId="35" fillId="0" borderId="0"/>
    <xf numFmtId="177" fontId="35" fillId="0" borderId="0"/>
    <xf numFmtId="177" fontId="35" fillId="0" borderId="0"/>
    <xf numFmtId="177" fontId="35" fillId="0" borderId="0"/>
    <xf numFmtId="0" fontId="35" fillId="0" borderId="0"/>
    <xf numFmtId="0" fontId="35" fillId="0" borderId="0"/>
    <xf numFmtId="0" fontId="65" fillId="0" borderId="0"/>
    <xf numFmtId="0" fontId="35" fillId="0" borderId="0"/>
    <xf numFmtId="0" fontId="35" fillId="0" borderId="0"/>
    <xf numFmtId="0" fontId="35" fillId="0" borderId="0"/>
    <xf numFmtId="0" fontId="35" fillId="0" borderId="0"/>
    <xf numFmtId="0" fontId="35" fillId="0" borderId="0"/>
    <xf numFmtId="177" fontId="8" fillId="0" borderId="0"/>
    <xf numFmtId="0" fontId="66" fillId="0" borderId="0" applyFont="0" applyFill="0" applyBorder="0" applyAlignment="0"/>
    <xf numFmtId="0" fontId="8" fillId="0" borderId="0" applyNumberFormat="0" applyFont="0" applyFill="0" applyBorder="0" applyAlignment="0" applyProtection="0"/>
    <xf numFmtId="0" fontId="35" fillId="0" borderId="0"/>
    <xf numFmtId="0" fontId="57" fillId="0" borderId="0">
      <alignment vertical="center"/>
    </xf>
    <xf numFmtId="0" fontId="35" fillId="0" borderId="0"/>
    <xf numFmtId="177" fontId="8" fillId="0" borderId="0"/>
    <xf numFmtId="0" fontId="61" fillId="0" borderId="0">
      <alignment vertical="center"/>
    </xf>
    <xf numFmtId="177" fontId="8" fillId="0" borderId="0"/>
    <xf numFmtId="0" fontId="42" fillId="0" borderId="0" applyNumberFormat="0" applyFill="0" applyBorder="0" applyAlignment="0" applyProtection="0"/>
    <xf numFmtId="177" fontId="8" fillId="0" borderId="0"/>
    <xf numFmtId="177" fontId="8" fillId="0" borderId="0"/>
    <xf numFmtId="177" fontId="8" fillId="0" borderId="0"/>
    <xf numFmtId="9" fontId="8" fillId="0" borderId="0" applyFont="0" applyFill="0" applyBorder="0" applyAlignment="0" applyProtection="0"/>
    <xf numFmtId="178" fontId="8" fillId="0" borderId="0" applyFont="0" applyFill="0" applyBorder="0" applyAlignment="0" applyProtection="0"/>
    <xf numFmtId="10" fontId="8"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42" fillId="0" borderId="0" applyFont="0" applyFill="0" applyBorder="0" applyAlignment="0" applyProtection="0"/>
    <xf numFmtId="9" fontId="66" fillId="0" borderId="0" applyFont="0" applyFill="0" applyBorder="0" applyProtection="0"/>
    <xf numFmtId="9" fontId="73" fillId="0" borderId="0" applyFont="0" applyFill="0" applyBorder="0" applyAlignment="0" applyProtection="0"/>
    <xf numFmtId="9" fontId="65" fillId="0" borderId="0" applyFont="0" applyFill="0" applyBorder="0" applyAlignment="0" applyProtection="0"/>
    <xf numFmtId="9" fontId="35" fillId="0" borderId="0" applyFont="0" applyFill="0" applyBorder="0" applyAlignment="0" applyProtection="0"/>
    <xf numFmtId="9" fontId="66" fillId="0" borderId="0" applyFont="0" applyFill="0" applyBorder="0" applyAlignment="0" applyProtection="0">
      <alignment vertical="center"/>
    </xf>
    <xf numFmtId="9" fontId="35" fillId="0" borderId="0" applyFont="0" applyFill="0" applyBorder="0" applyAlignment="0" applyProtection="0">
      <alignment vertical="center"/>
    </xf>
    <xf numFmtId="9" fontId="35" fillId="0" borderId="0" applyFont="0" applyFill="0" applyBorder="0" applyAlignment="0" applyProtection="0">
      <alignment vertical="center"/>
    </xf>
    <xf numFmtId="9" fontId="35" fillId="0" borderId="0" applyFont="0" applyFill="0" applyBorder="0" applyAlignment="0" applyProtection="0"/>
    <xf numFmtId="9" fontId="35" fillId="0" borderId="0" applyFont="0" applyFill="0" applyBorder="0" applyAlignment="0" applyProtection="0">
      <alignment vertical="center"/>
    </xf>
    <xf numFmtId="9" fontId="35"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0" fontId="74" fillId="0" borderId="0" applyNumberFormat="0" applyFill="0" applyBorder="0"/>
    <xf numFmtId="179" fontId="8" fillId="0" borderId="0" applyFont="0" applyFill="0" applyBorder="0" applyAlignment="0" applyProtection="0"/>
    <xf numFmtId="0" fontId="57" fillId="0" borderId="0">
      <alignment vertical="center"/>
    </xf>
    <xf numFmtId="0" fontId="14" fillId="0" borderId="0"/>
    <xf numFmtId="0" fontId="46" fillId="0" borderId="0"/>
    <xf numFmtId="0" fontId="46" fillId="0" borderId="0"/>
    <xf numFmtId="0" fontId="14" fillId="0" borderId="0"/>
    <xf numFmtId="0" fontId="46" fillId="0" borderId="0"/>
    <xf numFmtId="0" fontId="75" fillId="0" borderId="0"/>
    <xf numFmtId="0" fontId="75" fillId="0" borderId="0"/>
    <xf numFmtId="177" fontId="62" fillId="0" borderId="0"/>
    <xf numFmtId="164" fontId="35" fillId="0" borderId="0" applyFont="0" applyFill="0" applyBorder="0" applyAlignment="0" applyProtection="0">
      <alignment vertical="center"/>
    </xf>
    <xf numFmtId="43" fontId="14" fillId="0" borderId="0" applyFont="0" applyFill="0" applyBorder="0" applyAlignment="0" applyProtection="0"/>
    <xf numFmtId="164" fontId="46" fillId="0" borderId="0" applyFont="0" applyFill="0" applyBorder="0" applyAlignment="0" applyProtection="0"/>
    <xf numFmtId="164" fontId="76" fillId="0" borderId="0" applyFont="0" applyFill="0" applyBorder="0" applyProtection="0"/>
    <xf numFmtId="164" fontId="57" fillId="0" borderId="0" applyFont="0" applyFill="0" applyBorder="0" applyProtection="0"/>
    <xf numFmtId="165" fontId="75" fillId="0" borderId="0" applyFont="0" applyFill="0" applyBorder="0" applyAlignment="0" applyProtection="0"/>
    <xf numFmtId="165" fontId="75" fillId="0" borderId="0" applyFont="0" applyFill="0" applyBorder="0" applyAlignment="0" applyProtection="0"/>
    <xf numFmtId="165" fontId="14" fillId="0" borderId="0" applyFont="0" applyFill="0" applyBorder="0" applyAlignment="0" applyProtection="0"/>
    <xf numFmtId="164" fontId="57" fillId="0" borderId="0" applyFont="0" applyFill="0" applyBorder="0" applyProtection="0"/>
    <xf numFmtId="165" fontId="75" fillId="0" borderId="0" applyFont="0" applyFill="0" applyBorder="0" applyAlignment="0" applyProtection="0"/>
    <xf numFmtId="165" fontId="75" fillId="0" borderId="0" applyFont="0" applyFill="0" applyBorder="0" applyAlignment="0" applyProtection="0"/>
    <xf numFmtId="164" fontId="57" fillId="0" borderId="0" applyFont="0" applyFill="0" applyBorder="0" applyProtection="0"/>
    <xf numFmtId="165" fontId="62" fillId="0" borderId="0" applyFont="0" applyFill="0" applyBorder="0" applyAlignment="0" applyProtection="0"/>
    <xf numFmtId="0" fontId="7" fillId="0" borderId="0"/>
    <xf numFmtId="0" fontId="61" fillId="0" borderId="0"/>
    <xf numFmtId="0" fontId="35" fillId="0" borderId="0">
      <alignment vertical="center"/>
    </xf>
    <xf numFmtId="0" fontId="61" fillId="0" borderId="0">
      <alignment vertical="center"/>
    </xf>
    <xf numFmtId="0" fontId="61" fillId="0" borderId="0">
      <alignment vertical="center"/>
    </xf>
    <xf numFmtId="0" fontId="66" fillId="0" borderId="0" applyFont="0" applyFill="0" applyBorder="0" applyAlignment="0"/>
    <xf numFmtId="180" fontId="35" fillId="0" borderId="0">
      <alignment vertical="center"/>
    </xf>
    <xf numFmtId="0" fontId="35" fillId="0" borderId="0"/>
    <xf numFmtId="0" fontId="66" fillId="0" borderId="0" applyFont="0" applyFill="0" applyBorder="0" applyAlignment="0"/>
    <xf numFmtId="0" fontId="77" fillId="0" borderId="0">
      <alignment vertical="center"/>
    </xf>
    <xf numFmtId="0" fontId="35" fillId="0" borderId="0">
      <alignment vertical="center"/>
    </xf>
    <xf numFmtId="9" fontId="35" fillId="0" borderId="0" applyFont="0" applyFill="0" applyBorder="0" applyAlignment="0" applyProtection="0">
      <alignment vertical="center"/>
    </xf>
    <xf numFmtId="0" fontId="85" fillId="0" borderId="0"/>
    <xf numFmtId="164" fontId="87" fillId="0" borderId="0" applyFont="0" applyFill="0" applyBorder="0" applyAlignment="0" applyProtection="0"/>
  </cellStyleXfs>
  <cellXfs count="1226">
    <xf numFmtId="0" fontId="0" fillId="0" borderId="0" xfId="0">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38" fontId="7" fillId="0" borderId="0" xfId="0" applyNumberFormat="1" applyFont="1">
      <alignment vertical="center"/>
    </xf>
    <xf numFmtId="38" fontId="5" fillId="0" borderId="0" xfId="0" applyNumberFormat="1" applyFont="1">
      <alignment vertical="center"/>
    </xf>
    <xf numFmtId="0" fontId="5" fillId="0" borderId="1" xfId="0" applyFont="1" applyBorder="1">
      <alignment vertical="center"/>
    </xf>
    <xf numFmtId="3" fontId="5" fillId="0" borderId="1" xfId="0" applyNumberFormat="1" applyFont="1" applyBorder="1">
      <alignment vertical="center"/>
    </xf>
    <xf numFmtId="3" fontId="8" fillId="0" borderId="0" xfId="0" applyNumberFormat="1" applyFont="1" applyAlignment="1">
      <alignment wrapText="1"/>
    </xf>
    <xf numFmtId="3" fontId="8" fillId="0" borderId="0" xfId="0" applyNumberFormat="1" applyFont="1" applyAlignment="1"/>
    <xf numFmtId="17" fontId="6" fillId="2" borderId="2" xfId="0" applyNumberFormat="1" applyFont="1" applyFill="1" applyBorder="1" applyAlignment="1">
      <alignment horizontal="center" vertical="center"/>
    </xf>
    <xf numFmtId="165" fontId="8" fillId="0" borderId="0" xfId="1" applyFont="1"/>
    <xf numFmtId="0" fontId="6" fillId="2" borderId="0" xfId="0" applyFont="1" applyFill="1">
      <alignment vertical="center"/>
    </xf>
    <xf numFmtId="17" fontId="5" fillId="2" borderId="0" xfId="0" applyNumberFormat="1" applyFont="1" applyFill="1">
      <alignment vertical="center"/>
    </xf>
    <xf numFmtId="0" fontId="5" fillId="3" borderId="0" xfId="0" applyFont="1" applyFill="1">
      <alignment vertical="center"/>
    </xf>
    <xf numFmtId="0" fontId="6" fillId="2" borderId="0" xfId="0" applyFont="1" applyFill="1" applyAlignment="1">
      <alignment horizontal="center" vertical="center"/>
    </xf>
    <xf numFmtId="0" fontId="5" fillId="2" borderId="0" xfId="0" applyFont="1" applyFill="1">
      <alignment vertical="center"/>
    </xf>
    <xf numFmtId="181" fontId="5" fillId="2" borderId="0" xfId="1" applyNumberFormat="1" applyFont="1" applyFill="1" applyAlignment="1">
      <alignment vertical="center"/>
    </xf>
    <xf numFmtId="9" fontId="5" fillId="2" borderId="0" xfId="2" applyFont="1" applyFill="1" applyAlignment="1">
      <alignment vertical="center"/>
    </xf>
    <xf numFmtId="181" fontId="9" fillId="2" borderId="0" xfId="1" applyNumberFormat="1" applyFont="1" applyFill="1" applyAlignment="1">
      <alignment vertical="center"/>
    </xf>
    <xf numFmtId="181" fontId="6" fillId="2" borderId="0" xfId="1" applyNumberFormat="1" applyFont="1" applyFill="1" applyAlignment="1">
      <alignment vertical="center"/>
    </xf>
    <xf numFmtId="9" fontId="6" fillId="2" borderId="0" xfId="2" applyFont="1" applyFill="1" applyAlignment="1">
      <alignment vertical="center"/>
    </xf>
    <xf numFmtId="181" fontId="6" fillId="2" borderId="3" xfId="1" applyNumberFormat="1" applyFont="1" applyFill="1" applyBorder="1" applyAlignment="1">
      <alignment vertical="center" wrapText="1"/>
    </xf>
    <xf numFmtId="181" fontId="6" fillId="2" borderId="3" xfId="1" applyNumberFormat="1" applyFont="1" applyFill="1" applyBorder="1" applyAlignment="1">
      <alignment horizontal="center" vertical="center" wrapText="1"/>
    </xf>
    <xf numFmtId="181" fontId="7" fillId="4" borderId="3" xfId="1" applyNumberFormat="1" applyFont="1" applyFill="1" applyBorder="1" applyAlignment="1">
      <alignment vertical="center" wrapText="1"/>
    </xf>
    <xf numFmtId="10" fontId="7" fillId="4" borderId="3" xfId="2" applyNumberFormat="1" applyFont="1" applyFill="1" applyBorder="1" applyAlignment="1">
      <alignment horizontal="right" vertical="center" wrapText="1"/>
    </xf>
    <xf numFmtId="181" fontId="7" fillId="2" borderId="3" xfId="1" applyNumberFormat="1" applyFont="1" applyFill="1" applyBorder="1" applyAlignment="1">
      <alignment vertical="center" wrapText="1"/>
    </xf>
    <xf numFmtId="10" fontId="7" fillId="2" borderId="3" xfId="2" applyNumberFormat="1" applyFont="1" applyFill="1" applyBorder="1" applyAlignment="1">
      <alignment horizontal="right" vertical="center" wrapText="1"/>
    </xf>
    <xf numFmtId="181" fontId="6" fillId="4" borderId="3" xfId="1" applyNumberFormat="1" applyFont="1" applyFill="1" applyBorder="1" applyAlignment="1">
      <alignment horizontal="right" vertical="center" wrapText="1"/>
    </xf>
    <xf numFmtId="10" fontId="6" fillId="4" borderId="3" xfId="2" applyNumberFormat="1" applyFont="1" applyFill="1" applyBorder="1" applyAlignment="1">
      <alignment horizontal="right" vertical="center" wrapText="1"/>
    </xf>
    <xf numFmtId="0" fontId="6" fillId="2" borderId="3" xfId="0" applyFont="1" applyFill="1" applyBorder="1" applyAlignment="1">
      <alignment vertical="center" wrapText="1"/>
    </xf>
    <xf numFmtId="181" fontId="10" fillId="0" borderId="0" xfId="1" applyNumberFormat="1" applyFont="1" applyFill="1" applyBorder="1" applyAlignment="1">
      <alignment horizontal="center" vertical="center" wrapText="1"/>
    </xf>
    <xf numFmtId="181" fontId="7" fillId="0" borderId="0" xfId="1" applyNumberFormat="1" applyFont="1" applyFill="1" applyBorder="1" applyAlignment="1">
      <alignment horizontal="center" vertical="center" wrapText="1"/>
    </xf>
    <xf numFmtId="181" fontId="6" fillId="0" borderId="0" xfId="1" applyNumberFormat="1" applyFont="1" applyFill="1" applyBorder="1" applyAlignment="1">
      <alignment vertical="center" wrapText="1"/>
    </xf>
    <xf numFmtId="10" fontId="6" fillId="0" borderId="0" xfId="2" applyNumberFormat="1" applyFont="1" applyFill="1" applyBorder="1" applyAlignment="1">
      <alignment horizontal="right" vertical="center" wrapText="1"/>
    </xf>
    <xf numFmtId="0" fontId="6" fillId="0" borderId="0" xfId="0" applyFont="1" applyAlignment="1">
      <alignment vertical="center" wrapText="1"/>
    </xf>
    <xf numFmtId="182" fontId="7" fillId="0" borderId="0" xfId="260" applyNumberFormat="1" applyFont="1" applyAlignment="1">
      <alignment horizontal="center" vertical="center" wrapText="1"/>
    </xf>
    <xf numFmtId="181" fontId="6" fillId="4" borderId="3" xfId="1" applyNumberFormat="1" applyFont="1" applyFill="1" applyBorder="1" applyAlignment="1">
      <alignment vertical="center" wrapText="1"/>
    </xf>
    <xf numFmtId="181" fontId="7" fillId="0" borderId="0" xfId="1" applyNumberFormat="1" applyFont="1" applyFill="1" applyBorder="1" applyAlignment="1">
      <alignment vertical="center" wrapText="1"/>
    </xf>
    <xf numFmtId="181" fontId="5" fillId="2" borderId="3" xfId="1" applyNumberFormat="1" applyFont="1" applyFill="1" applyBorder="1" applyAlignment="1">
      <alignment vertical="center" wrapText="1"/>
    </xf>
    <xf numFmtId="181" fontId="8" fillId="4" borderId="3" xfId="1" applyNumberFormat="1" applyFont="1" applyFill="1" applyBorder="1" applyAlignment="1">
      <alignment vertical="center" wrapText="1"/>
    </xf>
    <xf numFmtId="181" fontId="5" fillId="4" borderId="3" xfId="1" applyNumberFormat="1" applyFont="1" applyFill="1" applyBorder="1" applyAlignment="1">
      <alignment vertical="center" wrapText="1"/>
    </xf>
    <xf numFmtId="10" fontId="5" fillId="4" borderId="3" xfId="2" applyNumberFormat="1" applyFont="1" applyFill="1" applyBorder="1" applyAlignment="1">
      <alignment horizontal="right" vertical="center" wrapText="1"/>
    </xf>
    <xf numFmtId="181" fontId="8" fillId="2" borderId="3" xfId="1" applyNumberFormat="1" applyFont="1" applyFill="1" applyBorder="1" applyAlignment="1">
      <alignment vertical="center" wrapText="1"/>
    </xf>
    <xf numFmtId="10" fontId="5" fillId="2" borderId="3" xfId="2" applyNumberFormat="1" applyFont="1" applyFill="1" applyBorder="1" applyAlignment="1">
      <alignment horizontal="right" vertical="center" wrapText="1"/>
    </xf>
    <xf numFmtId="181" fontId="9" fillId="0" borderId="0" xfId="1" applyNumberFormat="1" applyFont="1" applyFill="1" applyBorder="1" applyAlignment="1">
      <alignment vertical="center" wrapText="1"/>
    </xf>
    <xf numFmtId="181" fontId="5" fillId="0" borderId="0" xfId="1" applyNumberFormat="1" applyFont="1" applyFill="1" applyBorder="1" applyAlignment="1">
      <alignment vertical="center" wrapText="1"/>
    </xf>
    <xf numFmtId="10" fontId="5" fillId="0" borderId="0" xfId="2" applyNumberFormat="1" applyFont="1" applyFill="1" applyBorder="1" applyAlignment="1">
      <alignment horizontal="right" vertical="center" wrapText="1"/>
    </xf>
    <xf numFmtId="0" fontId="5" fillId="0" borderId="0" xfId="0" applyFont="1" applyAlignment="1">
      <alignment vertical="center" wrapText="1"/>
    </xf>
    <xf numFmtId="181" fontId="5" fillId="2" borderId="3" xfId="1" applyNumberFormat="1" applyFont="1" applyFill="1" applyBorder="1" applyAlignment="1">
      <alignment horizontal="center" vertical="center" wrapText="1"/>
    </xf>
    <xf numFmtId="181" fontId="5" fillId="0" borderId="3" xfId="1" applyNumberFormat="1" applyFont="1" applyFill="1" applyBorder="1" applyAlignment="1">
      <alignment vertical="center" wrapText="1"/>
    </xf>
    <xf numFmtId="10" fontId="8" fillId="0" borderId="3" xfId="2" applyNumberFormat="1" applyFont="1" applyFill="1" applyBorder="1" applyAlignment="1">
      <alignment horizontal="right" vertical="center" wrapText="1"/>
    </xf>
    <xf numFmtId="164" fontId="8" fillId="0" borderId="3" xfId="2" applyNumberFormat="1" applyFont="1" applyFill="1" applyBorder="1" applyAlignment="1">
      <alignment horizontal="right" vertical="center" wrapText="1"/>
    </xf>
    <xf numFmtId="178" fontId="9" fillId="0" borderId="3" xfId="2" applyNumberFormat="1" applyFont="1" applyFill="1" applyBorder="1" applyAlignment="1">
      <alignment horizontal="center" vertical="center" wrapText="1"/>
    </xf>
    <xf numFmtId="10" fontId="8" fillId="4" borderId="3" xfId="2" applyNumberFormat="1" applyFont="1" applyFill="1" applyBorder="1" applyAlignment="1">
      <alignment horizontal="right" vertical="center" wrapText="1"/>
    </xf>
    <xf numFmtId="0" fontId="5" fillId="2" borderId="3" xfId="0" applyFont="1" applyFill="1" applyBorder="1" applyAlignment="1">
      <alignment vertical="center" wrapText="1"/>
    </xf>
    <xf numFmtId="178" fontId="9" fillId="0" borderId="0" xfId="2" applyNumberFormat="1" applyFont="1" applyFill="1" applyBorder="1" applyAlignment="1">
      <alignment horizontal="center" vertical="center" wrapText="1"/>
    </xf>
    <xf numFmtId="178" fontId="8" fillId="0" borderId="0" xfId="2" applyNumberFormat="1" applyFont="1" applyFill="1" applyBorder="1" applyAlignment="1">
      <alignment horizontal="center" vertical="center" wrapText="1"/>
    </xf>
    <xf numFmtId="10" fontId="8" fillId="0" borderId="0" xfId="2" applyNumberFormat="1" applyFont="1" applyFill="1" applyBorder="1" applyAlignment="1">
      <alignment horizontal="right" vertical="center" wrapText="1"/>
    </xf>
    <xf numFmtId="9" fontId="5" fillId="0" borderId="0" xfId="0" applyNumberFormat="1" applyFont="1">
      <alignment vertical="center"/>
    </xf>
    <xf numFmtId="10" fontId="5" fillId="0" borderId="3" xfId="2" applyNumberFormat="1" applyFont="1" applyFill="1" applyBorder="1" applyAlignment="1">
      <alignment horizontal="right" vertical="center" wrapText="1"/>
    </xf>
    <xf numFmtId="10" fontId="5" fillId="4" borderId="3" xfId="2" applyNumberFormat="1" applyFont="1" applyFill="1" applyBorder="1" applyAlignment="1">
      <alignment horizontal="center" vertical="center" wrapText="1"/>
    </xf>
    <xf numFmtId="181" fontId="5" fillId="2" borderId="0" xfId="1" applyNumberFormat="1" applyFont="1" applyFill="1" applyBorder="1" applyAlignment="1">
      <alignment vertical="center"/>
    </xf>
    <xf numFmtId="9" fontId="5" fillId="5" borderId="0" xfId="2" applyFont="1" applyFill="1" applyAlignment="1">
      <alignment vertical="center"/>
    </xf>
    <xf numFmtId="0" fontId="10" fillId="2" borderId="0" xfId="0" applyFont="1" applyFill="1">
      <alignment vertical="center"/>
    </xf>
    <xf numFmtId="0" fontId="6" fillId="2" borderId="4" xfId="0" applyFont="1" applyFill="1" applyBorder="1" applyAlignment="1">
      <alignment horizontal="center" vertical="center"/>
    </xf>
    <xf numFmtId="17" fontId="6" fillId="2" borderId="3" xfId="0" applyNumberFormat="1" applyFont="1" applyFill="1" applyBorder="1">
      <alignment vertical="center"/>
    </xf>
    <xf numFmtId="17" fontId="6" fillId="2" borderId="3" xfId="1" applyNumberFormat="1" applyFont="1" applyFill="1" applyBorder="1" applyAlignment="1">
      <alignment horizontal="center" vertical="center"/>
    </xf>
    <xf numFmtId="17" fontId="6" fillId="2" borderId="3" xfId="0" applyNumberFormat="1" applyFont="1" applyFill="1" applyBorder="1" applyAlignment="1">
      <alignment horizontal="center" vertical="center"/>
    </xf>
    <xf numFmtId="17" fontId="6" fillId="2" borderId="3" xfId="2" applyNumberFormat="1" applyFont="1" applyFill="1" applyBorder="1" applyAlignment="1">
      <alignment horizontal="center" vertical="center"/>
    </xf>
    <xf numFmtId="17" fontId="6" fillId="7" borderId="3" xfId="1" applyNumberFormat="1" applyFont="1" applyFill="1" applyBorder="1" applyAlignment="1">
      <alignment horizontal="center" vertical="center"/>
    </xf>
    <xf numFmtId="17" fontId="6" fillId="8" borderId="3" xfId="1" applyNumberFormat="1" applyFont="1" applyFill="1" applyBorder="1" applyAlignment="1">
      <alignment horizontal="center" vertical="center"/>
    </xf>
    <xf numFmtId="17" fontId="6" fillId="7" borderId="3" xfId="1" applyNumberFormat="1" applyFont="1" applyFill="1" applyBorder="1" applyAlignment="1" applyProtection="1">
      <alignment horizontal="center" vertical="center"/>
      <protection locked="0" hidden="1"/>
    </xf>
    <xf numFmtId="17" fontId="9" fillId="2" borderId="0" xfId="1" applyNumberFormat="1" applyFont="1" applyFill="1" applyAlignment="1">
      <alignment vertical="center"/>
    </xf>
    <xf numFmtId="17" fontId="5" fillId="2" borderId="0" xfId="1" applyNumberFormat="1" applyFont="1" applyFill="1" applyAlignment="1">
      <alignment vertical="center"/>
    </xf>
    <xf numFmtId="0" fontId="5" fillId="2" borderId="3" xfId="0" applyFont="1" applyFill="1" applyBorder="1">
      <alignment vertical="center"/>
    </xf>
    <xf numFmtId="181" fontId="5" fillId="2" borderId="3" xfId="1" applyNumberFormat="1" applyFont="1" applyFill="1" applyBorder="1" applyAlignment="1">
      <alignment vertical="center"/>
    </xf>
    <xf numFmtId="181" fontId="5" fillId="8" borderId="3" xfId="1" applyNumberFormat="1" applyFont="1" applyFill="1" applyBorder="1" applyAlignment="1">
      <alignment vertical="center"/>
    </xf>
    <xf numFmtId="0" fontId="10" fillId="2" borderId="0" xfId="0" applyFont="1" applyFill="1" applyProtection="1">
      <alignment vertical="center"/>
      <protection locked="0" hidden="1"/>
    </xf>
    <xf numFmtId="0" fontId="5" fillId="2" borderId="3" xfId="0" applyFont="1" applyFill="1" applyBorder="1" applyProtection="1">
      <alignment vertical="center"/>
      <protection locked="0" hidden="1"/>
    </xf>
    <xf numFmtId="181" fontId="8" fillId="2" borderId="3" xfId="1" applyNumberFormat="1" applyFont="1" applyFill="1" applyBorder="1" applyAlignment="1" applyProtection="1">
      <alignment vertical="center"/>
      <protection locked="0" hidden="1"/>
    </xf>
    <xf numFmtId="181" fontId="5" fillId="2" borderId="3" xfId="1" applyNumberFormat="1" applyFont="1" applyFill="1" applyBorder="1" applyAlignment="1" applyProtection="1">
      <alignment vertical="center"/>
      <protection locked="0" hidden="1"/>
    </xf>
    <xf numFmtId="178" fontId="5" fillId="2" borderId="3" xfId="2" applyNumberFormat="1" applyFont="1" applyFill="1" applyBorder="1" applyAlignment="1" applyProtection="1">
      <alignment horizontal="center" vertical="center"/>
      <protection locked="0" hidden="1"/>
    </xf>
    <xf numFmtId="165" fontId="5" fillId="2" borderId="3" xfId="1" applyFont="1" applyFill="1" applyBorder="1" applyAlignment="1" applyProtection="1">
      <alignment vertical="center"/>
      <protection locked="0" hidden="1"/>
    </xf>
    <xf numFmtId="181" fontId="5" fillId="9" borderId="3" xfId="1" applyNumberFormat="1" applyFont="1" applyFill="1" applyBorder="1" applyAlignment="1" applyProtection="1">
      <alignment vertical="center"/>
      <protection locked="0" hidden="1"/>
    </xf>
    <xf numFmtId="181" fontId="5" fillId="8" borderId="3" xfId="1" applyNumberFormat="1" applyFont="1" applyFill="1" applyBorder="1" applyAlignment="1" applyProtection="1">
      <alignment vertical="center"/>
      <protection locked="0" hidden="1"/>
    </xf>
    <xf numFmtId="181" fontId="9" fillId="2" borderId="0" xfId="1" applyNumberFormat="1" applyFont="1" applyFill="1" applyAlignment="1" applyProtection="1">
      <alignment vertical="center"/>
      <protection locked="0" hidden="1"/>
    </xf>
    <xf numFmtId="181" fontId="5" fillId="2" borderId="0" xfId="1" applyNumberFormat="1" applyFont="1" applyFill="1" applyAlignment="1" applyProtection="1">
      <alignment vertical="center"/>
      <protection locked="0" hidden="1"/>
    </xf>
    <xf numFmtId="181" fontId="9" fillId="10" borderId="0" xfId="1" applyNumberFormat="1" applyFont="1" applyFill="1" applyAlignment="1" applyProtection="1">
      <alignment vertical="center"/>
      <protection locked="0" hidden="1"/>
    </xf>
    <xf numFmtId="181" fontId="5" fillId="5" borderId="3" xfId="1" applyNumberFormat="1" applyFont="1" applyFill="1" applyBorder="1" applyAlignment="1" applyProtection="1">
      <alignment vertical="center"/>
      <protection locked="0" hidden="1"/>
    </xf>
    <xf numFmtId="0" fontId="5" fillId="0" borderId="3" xfId="0" applyFont="1" applyBorder="1" applyProtection="1">
      <alignment vertical="center"/>
      <protection locked="0" hidden="1"/>
    </xf>
    <xf numFmtId="181" fontId="8" fillId="11" borderId="3" xfId="1" applyNumberFormat="1" applyFont="1" applyFill="1" applyBorder="1" applyAlignment="1" applyProtection="1">
      <alignment vertical="center"/>
      <protection locked="0" hidden="1"/>
    </xf>
    <xf numFmtId="0" fontId="5" fillId="2" borderId="0" xfId="0" applyFont="1" applyFill="1" applyProtection="1">
      <alignment vertical="center"/>
      <protection locked="0" hidden="1"/>
    </xf>
    <xf numFmtId="9" fontId="5" fillId="2" borderId="0" xfId="2" applyFont="1" applyFill="1" applyAlignment="1" applyProtection="1">
      <alignment vertical="center"/>
      <protection locked="0" hidden="1"/>
    </xf>
    <xf numFmtId="181" fontId="5" fillId="0" borderId="0" xfId="1" applyNumberFormat="1" applyFont="1" applyFill="1" applyAlignment="1" applyProtection="1">
      <alignment vertical="center"/>
      <protection locked="0" hidden="1"/>
    </xf>
    <xf numFmtId="181" fontId="5" fillId="2" borderId="0" xfId="1" applyNumberFormat="1" applyFont="1" applyFill="1" applyAlignment="1" applyProtection="1">
      <alignment horizontal="center" vertical="center"/>
      <protection locked="0" hidden="1"/>
    </xf>
    <xf numFmtId="181" fontId="6" fillId="2" borderId="0" xfId="1" applyNumberFormat="1" applyFont="1" applyFill="1" applyAlignment="1" applyProtection="1">
      <alignment vertical="center"/>
      <protection locked="0" hidden="1"/>
    </xf>
    <xf numFmtId="181" fontId="5" fillId="9" borderId="1" xfId="0" applyNumberFormat="1" applyFont="1" applyFill="1" applyBorder="1" applyProtection="1">
      <alignment vertical="center"/>
      <protection locked="0" hidden="1"/>
    </xf>
    <xf numFmtId="165" fontId="5" fillId="2" borderId="1" xfId="0" applyNumberFormat="1" applyFont="1" applyFill="1" applyBorder="1" applyProtection="1">
      <alignment vertical="center"/>
      <protection locked="0" hidden="1"/>
    </xf>
    <xf numFmtId="181" fontId="5" fillId="9" borderId="1" xfId="1" applyNumberFormat="1" applyFont="1" applyFill="1" applyBorder="1" applyAlignment="1" applyProtection="1">
      <alignment vertical="center"/>
      <protection locked="0" hidden="1"/>
    </xf>
    <xf numFmtId="0" fontId="6" fillId="2" borderId="0" xfId="0" applyFont="1" applyFill="1" applyProtection="1">
      <alignment vertical="center"/>
      <protection locked="0" hidden="1"/>
    </xf>
    <xf numFmtId="181" fontId="5" fillId="2" borderId="0" xfId="0" applyNumberFormat="1" applyFont="1" applyFill="1" applyProtection="1">
      <alignment vertical="center"/>
      <protection locked="0" hidden="1"/>
    </xf>
    <xf numFmtId="0" fontId="6" fillId="2" borderId="4" xfId="0" applyFont="1" applyFill="1" applyBorder="1" applyAlignment="1" applyProtection="1">
      <alignment horizontal="center" vertical="center"/>
      <protection locked="0" hidden="1"/>
    </xf>
    <xf numFmtId="17" fontId="5" fillId="2" borderId="0" xfId="0" applyNumberFormat="1" applyFont="1" applyFill="1" applyProtection="1">
      <alignment vertical="center"/>
      <protection locked="0" hidden="1"/>
    </xf>
    <xf numFmtId="17" fontId="6" fillId="2" borderId="3" xfId="0" applyNumberFormat="1" applyFont="1" applyFill="1" applyBorder="1" applyProtection="1">
      <alignment vertical="center"/>
      <protection locked="0" hidden="1"/>
    </xf>
    <xf numFmtId="17" fontId="6" fillId="2" borderId="3" xfId="1" applyNumberFormat="1" applyFont="1" applyFill="1" applyBorder="1" applyAlignment="1" applyProtection="1">
      <alignment horizontal="center" vertical="center"/>
      <protection locked="0" hidden="1"/>
    </xf>
    <xf numFmtId="17" fontId="6" fillId="2" borderId="3" xfId="0" applyNumberFormat="1" applyFont="1" applyFill="1" applyBorder="1" applyAlignment="1" applyProtection="1">
      <alignment horizontal="center" vertical="center"/>
      <protection locked="0" hidden="1"/>
    </xf>
    <xf numFmtId="17" fontId="6" fillId="2" borderId="3" xfId="2" applyNumberFormat="1" applyFont="1" applyFill="1" applyBorder="1" applyAlignment="1" applyProtection="1">
      <alignment horizontal="center" vertical="center"/>
      <protection locked="0" hidden="1"/>
    </xf>
    <xf numFmtId="17" fontId="6" fillId="8" borderId="3" xfId="1" applyNumberFormat="1" applyFont="1" applyFill="1" applyBorder="1" applyAlignment="1" applyProtection="1">
      <alignment horizontal="center" vertical="center"/>
      <protection locked="0" hidden="1"/>
    </xf>
    <xf numFmtId="17" fontId="9" fillId="2" borderId="0" xfId="1" applyNumberFormat="1" applyFont="1" applyFill="1" applyAlignment="1" applyProtection="1">
      <alignment vertical="center"/>
      <protection locked="0" hidden="1"/>
    </xf>
    <xf numFmtId="17" fontId="5" fillId="2" borderId="0" xfId="1" applyNumberFormat="1" applyFont="1" applyFill="1" applyAlignment="1" applyProtection="1">
      <alignment vertical="center"/>
      <protection locked="0" hidden="1"/>
    </xf>
    <xf numFmtId="9" fontId="5" fillId="2" borderId="3" xfId="2" applyFont="1" applyFill="1" applyBorder="1" applyAlignment="1" applyProtection="1">
      <alignment vertical="center"/>
      <protection locked="0" hidden="1"/>
    </xf>
    <xf numFmtId="181" fontId="5" fillId="2" borderId="0" xfId="1" applyNumberFormat="1" applyFont="1" applyFill="1" applyBorder="1" applyAlignment="1" applyProtection="1">
      <alignment vertical="center"/>
      <protection locked="0" hidden="1"/>
    </xf>
    <xf numFmtId="178" fontId="5" fillId="2" borderId="0" xfId="2" applyNumberFormat="1" applyFont="1" applyFill="1" applyBorder="1" applyAlignment="1" applyProtection="1">
      <alignment horizontal="center" vertical="center"/>
      <protection locked="0" hidden="1"/>
    </xf>
    <xf numFmtId="165" fontId="5" fillId="2" borderId="0" xfId="1" applyFont="1" applyFill="1" applyBorder="1" applyAlignment="1" applyProtection="1">
      <alignment vertical="center"/>
      <protection locked="0" hidden="1"/>
    </xf>
    <xf numFmtId="181" fontId="9" fillId="2" borderId="0" xfId="1" applyNumberFormat="1" applyFont="1" applyFill="1" applyBorder="1" applyAlignment="1" applyProtection="1">
      <alignment vertical="center"/>
      <protection locked="0" hidden="1"/>
    </xf>
    <xf numFmtId="17" fontId="10" fillId="2" borderId="0" xfId="0" applyNumberFormat="1" applyFont="1" applyFill="1" applyProtection="1">
      <alignment vertical="center"/>
      <protection locked="0" hidden="1"/>
    </xf>
    <xf numFmtId="17" fontId="9" fillId="2" borderId="0" xfId="1" applyNumberFormat="1" applyFont="1" applyFill="1" applyBorder="1" applyAlignment="1" applyProtection="1">
      <alignment vertical="center"/>
      <protection locked="0" hidden="1"/>
    </xf>
    <xf numFmtId="165" fontId="5" fillId="2" borderId="0" xfId="1" applyFont="1" applyFill="1" applyAlignment="1" applyProtection="1">
      <alignment vertical="center"/>
      <protection locked="0" hidden="1"/>
    </xf>
    <xf numFmtId="9" fontId="5" fillId="2" borderId="0" xfId="2" applyFont="1" applyFill="1" applyBorder="1" applyAlignment="1" applyProtection="1">
      <alignment vertical="center"/>
      <protection locked="0" hidden="1"/>
    </xf>
    <xf numFmtId="181" fontId="5" fillId="0" borderId="3" xfId="1" applyNumberFormat="1" applyFont="1" applyFill="1" applyBorder="1" applyAlignment="1" applyProtection="1">
      <alignment vertical="center"/>
      <protection locked="0" hidden="1"/>
    </xf>
    <xf numFmtId="178" fontId="5" fillId="2" borderId="0" xfId="2" applyNumberFormat="1" applyFont="1" applyFill="1" applyAlignment="1" applyProtection="1">
      <alignment horizontal="center" vertical="center"/>
      <protection locked="0" hidden="1"/>
    </xf>
    <xf numFmtId="181" fontId="5" fillId="9" borderId="0" xfId="0" applyNumberFormat="1" applyFont="1" applyFill="1" applyProtection="1">
      <alignment vertical="center"/>
      <protection locked="0" hidden="1"/>
    </xf>
    <xf numFmtId="165" fontId="5" fillId="2" borderId="0" xfId="0" applyNumberFormat="1" applyFont="1" applyFill="1" applyProtection="1">
      <alignment vertical="center"/>
      <protection locked="0" hidden="1"/>
    </xf>
    <xf numFmtId="181" fontId="5" fillId="9" borderId="0" xfId="1" applyNumberFormat="1" applyFont="1" applyFill="1" applyAlignment="1" applyProtection="1">
      <alignment vertical="center"/>
      <protection locked="0" hidden="1"/>
    </xf>
    <xf numFmtId="181" fontId="5" fillId="9" borderId="4" xfId="0" applyNumberFormat="1" applyFont="1" applyFill="1" applyBorder="1" applyProtection="1">
      <alignment vertical="center"/>
      <protection locked="0" hidden="1"/>
    </xf>
    <xf numFmtId="165" fontId="5" fillId="2" borderId="4" xfId="0" applyNumberFormat="1" applyFont="1" applyFill="1" applyBorder="1" applyProtection="1">
      <alignment vertical="center"/>
      <protection locked="0" hidden="1"/>
    </xf>
    <xf numFmtId="181" fontId="5" fillId="9" borderId="0" xfId="1" applyNumberFormat="1" applyFont="1" applyFill="1" applyBorder="1" applyAlignment="1" applyProtection="1">
      <alignment vertical="center"/>
      <protection locked="0" hidden="1"/>
    </xf>
    <xf numFmtId="17" fontId="6" fillId="2" borderId="5" xfId="0" applyNumberFormat="1" applyFont="1" applyFill="1" applyBorder="1" applyProtection="1">
      <alignment vertical="center"/>
      <protection locked="0" hidden="1"/>
    </xf>
    <xf numFmtId="0" fontId="5" fillId="2" borderId="7" xfId="0" applyFont="1" applyFill="1" applyBorder="1" applyProtection="1">
      <alignment vertical="center"/>
      <protection locked="0" hidden="1"/>
    </xf>
    <xf numFmtId="9" fontId="9" fillId="2" borderId="0" xfId="1" applyNumberFormat="1" applyFont="1" applyFill="1" applyAlignment="1" applyProtection="1">
      <alignment vertical="center"/>
      <protection locked="0" hidden="1"/>
    </xf>
    <xf numFmtId="49" fontId="11" fillId="2" borderId="0" xfId="146" applyNumberFormat="1" applyFont="1" applyFill="1" applyAlignment="1" applyProtection="1">
      <alignment horizontal="left" indent="2"/>
      <protection locked="0" hidden="1"/>
    </xf>
    <xf numFmtId="0" fontId="6" fillId="2" borderId="0" xfId="0" applyFont="1" applyFill="1" applyAlignment="1" applyProtection="1">
      <alignment horizontal="center" vertical="center"/>
      <protection locked="0" hidden="1"/>
    </xf>
    <xf numFmtId="181" fontId="6" fillId="2" borderId="0" xfId="1" applyNumberFormat="1" applyFont="1" applyFill="1" applyAlignment="1" applyProtection="1">
      <alignment horizontal="center" vertical="center"/>
      <protection locked="0" hidden="1"/>
    </xf>
    <xf numFmtId="9" fontId="6" fillId="2" borderId="0" xfId="2" applyFont="1" applyFill="1" applyAlignment="1" applyProtection="1">
      <alignment horizontal="center" vertical="center"/>
      <protection locked="0" hidden="1"/>
    </xf>
    <xf numFmtId="181" fontId="10" fillId="2" borderId="0" xfId="1" applyNumberFormat="1" applyFont="1" applyFill="1" applyAlignment="1" applyProtection="1">
      <alignment horizontal="center" vertical="center"/>
      <protection locked="0" hidden="1"/>
    </xf>
    <xf numFmtId="15" fontId="5" fillId="2" borderId="0" xfId="0" applyNumberFormat="1" applyFont="1" applyFill="1" applyProtection="1">
      <alignment vertical="center"/>
      <protection locked="0" hidden="1"/>
    </xf>
    <xf numFmtId="4" fontId="5" fillId="2" borderId="0" xfId="0" applyNumberFormat="1" applyFont="1" applyFill="1" applyProtection="1">
      <alignment vertical="center"/>
      <protection locked="0" hidden="1"/>
    </xf>
    <xf numFmtId="43" fontId="5" fillId="2" borderId="0" xfId="0" applyNumberFormat="1" applyFont="1" applyFill="1" applyProtection="1">
      <alignment vertical="center"/>
      <protection locked="0" hidden="1"/>
    </xf>
    <xf numFmtId="181" fontId="5" fillId="2" borderId="0" xfId="2" applyNumberFormat="1" applyFont="1" applyFill="1" applyAlignment="1" applyProtection="1">
      <alignment vertical="center"/>
      <protection locked="0" hidden="1"/>
    </xf>
    <xf numFmtId="0" fontId="5" fillId="2" borderId="0" xfId="0" applyFont="1" applyFill="1" applyAlignment="1" applyProtection="1">
      <alignment vertical="center" wrapText="1"/>
      <protection locked="0" hidden="1"/>
    </xf>
    <xf numFmtId="0" fontId="6" fillId="0" borderId="0" xfId="0" applyFont="1" applyAlignment="1">
      <alignment horizontal="center" vertical="center"/>
    </xf>
    <xf numFmtId="165" fontId="5" fillId="5" borderId="0" xfId="1" applyFont="1" applyFill="1" applyAlignment="1">
      <alignment vertical="center"/>
    </xf>
    <xf numFmtId="165" fontId="5" fillId="0" borderId="0" xfId="1" applyFont="1" applyAlignment="1">
      <alignment vertical="center"/>
    </xf>
    <xf numFmtId="165" fontId="5" fillId="0" borderId="0" xfId="1" applyFont="1" applyFill="1" applyBorder="1" applyAlignment="1">
      <alignment vertical="center"/>
    </xf>
    <xf numFmtId="165" fontId="5" fillId="0" borderId="1" xfId="0" applyNumberFormat="1" applyFont="1" applyBorder="1">
      <alignment vertical="center"/>
    </xf>
    <xf numFmtId="165" fontId="5" fillId="0" borderId="0" xfId="0" applyNumberFormat="1" applyFont="1">
      <alignment vertical="center"/>
    </xf>
    <xf numFmtId="165" fontId="5" fillId="12" borderId="0" xfId="1" applyFont="1" applyFill="1" applyAlignment="1">
      <alignment vertical="center"/>
    </xf>
    <xf numFmtId="43" fontId="5" fillId="0" borderId="0" xfId="0" applyNumberFormat="1" applyFont="1">
      <alignment vertical="center"/>
    </xf>
    <xf numFmtId="0" fontId="7" fillId="0" borderId="0" xfId="186" applyFont="1"/>
    <xf numFmtId="0" fontId="12" fillId="0" borderId="0" xfId="3" applyFont="1"/>
    <xf numFmtId="0" fontId="8" fillId="0" borderId="0" xfId="186" applyFont="1"/>
    <xf numFmtId="0" fontId="8" fillId="2" borderId="0" xfId="186" applyFont="1" applyFill="1"/>
    <xf numFmtId="183" fontId="8" fillId="0" borderId="0" xfId="3" applyNumberFormat="1"/>
    <xf numFmtId="183" fontId="13" fillId="0" borderId="0" xfId="3" applyNumberFormat="1" applyFont="1"/>
    <xf numFmtId="9" fontId="13" fillId="0" borderId="0" xfId="3" applyNumberFormat="1" applyFont="1"/>
    <xf numFmtId="183" fontId="13" fillId="2" borderId="0" xfId="3" applyNumberFormat="1" applyFont="1" applyFill="1"/>
    <xf numFmtId="184" fontId="8" fillId="0" borderId="0" xfId="3" applyNumberFormat="1"/>
    <xf numFmtId="183" fontId="13" fillId="0" borderId="0" xfId="3" applyNumberFormat="1" applyFont="1" applyAlignment="1">
      <alignment horizontal="right"/>
    </xf>
    <xf numFmtId="183" fontId="8" fillId="2" borderId="0" xfId="3" applyNumberFormat="1" applyFill="1"/>
    <xf numFmtId="183" fontId="8" fillId="0" borderId="0" xfId="3" applyNumberFormat="1" applyAlignment="1">
      <alignment horizontal="right"/>
    </xf>
    <xf numFmtId="183" fontId="7" fillId="0" borderId="3" xfId="3" applyNumberFormat="1" applyFont="1" applyBorder="1" applyAlignment="1">
      <alignment horizontal="center"/>
    </xf>
    <xf numFmtId="183" fontId="6" fillId="13" borderId="3" xfId="3" applyNumberFormat="1" applyFont="1" applyFill="1" applyBorder="1" applyAlignment="1">
      <alignment horizontal="center" wrapText="1"/>
    </xf>
    <xf numFmtId="0" fontId="6" fillId="2" borderId="3" xfId="0" applyFont="1" applyFill="1" applyBorder="1" applyAlignment="1">
      <alignment horizontal="center" vertical="center"/>
    </xf>
    <xf numFmtId="181" fontId="6" fillId="2" borderId="3" xfId="1" applyNumberFormat="1" applyFont="1" applyFill="1" applyBorder="1" applyAlignment="1">
      <alignment horizontal="center" vertical="center"/>
    </xf>
    <xf numFmtId="17" fontId="6" fillId="2" borderId="3" xfId="0" applyNumberFormat="1" applyFont="1" applyFill="1" applyBorder="1" applyAlignment="1">
      <alignment horizontal="center" vertical="center" wrapText="1"/>
    </xf>
    <xf numFmtId="185" fontId="6" fillId="2" borderId="3" xfId="0" applyNumberFormat="1" applyFont="1" applyFill="1" applyBorder="1" applyAlignment="1">
      <alignment horizontal="center" vertical="center" wrapText="1"/>
    </xf>
    <xf numFmtId="17" fontId="6" fillId="13" borderId="3" xfId="3" applyNumberFormat="1" applyFont="1" applyFill="1" applyBorder="1" applyAlignment="1">
      <alignment horizontal="center"/>
    </xf>
    <xf numFmtId="183" fontId="5" fillId="13" borderId="3" xfId="3" applyNumberFormat="1" applyFont="1" applyFill="1" applyBorder="1" applyAlignment="1">
      <alignment horizontal="center" wrapText="1"/>
    </xf>
    <xf numFmtId="183" fontId="5" fillId="2" borderId="3" xfId="3" applyNumberFormat="1" applyFont="1" applyFill="1" applyBorder="1" applyAlignment="1">
      <alignment horizontal="center" wrapText="1"/>
    </xf>
    <xf numFmtId="183" fontId="8" fillId="14" borderId="3" xfId="3" applyNumberFormat="1" applyFill="1" applyBorder="1"/>
    <xf numFmtId="183" fontId="5" fillId="14" borderId="3" xfId="3" applyNumberFormat="1" applyFont="1" applyFill="1" applyBorder="1" applyProtection="1">
      <protection locked="0"/>
    </xf>
    <xf numFmtId="181" fontId="5" fillId="2" borderId="3" xfId="1" applyNumberFormat="1" applyFont="1" applyFill="1" applyBorder="1" applyAlignment="1">
      <alignment horizontal="center" vertical="center"/>
    </xf>
    <xf numFmtId="181" fontId="5" fillId="15" borderId="3" xfId="1" applyNumberFormat="1" applyFont="1" applyFill="1" applyBorder="1" applyAlignment="1">
      <alignment vertical="center"/>
    </xf>
    <xf numFmtId="185" fontId="8" fillId="2" borderId="3" xfId="0" applyNumberFormat="1" applyFont="1" applyFill="1" applyBorder="1">
      <alignment vertical="center"/>
    </xf>
    <xf numFmtId="0" fontId="5" fillId="2" borderId="3" xfId="1" applyNumberFormat="1" applyFont="1" applyFill="1" applyBorder="1" applyAlignment="1">
      <alignment horizontal="center" vertical="center"/>
    </xf>
    <xf numFmtId="181" fontId="5" fillId="16" borderId="3" xfId="1" applyNumberFormat="1" applyFont="1" applyFill="1" applyBorder="1" applyAlignment="1">
      <alignment vertical="center"/>
    </xf>
    <xf numFmtId="186" fontId="5" fillId="14" borderId="3" xfId="54" applyNumberFormat="1" applyFont="1" applyFill="1" applyBorder="1" applyProtection="1"/>
    <xf numFmtId="186" fontId="5" fillId="0" borderId="0" xfId="54" applyNumberFormat="1" applyFont="1"/>
    <xf numFmtId="0" fontId="12" fillId="2" borderId="0" xfId="3" applyFont="1" applyFill="1"/>
    <xf numFmtId="186" fontId="12" fillId="0" borderId="1" xfId="54" applyNumberFormat="1" applyFont="1" applyBorder="1"/>
    <xf numFmtId="186" fontId="12" fillId="2" borderId="1" xfId="54" applyNumberFormat="1" applyFont="1" applyFill="1" applyBorder="1"/>
    <xf numFmtId="181" fontId="5" fillId="10" borderId="3" xfId="1" applyNumberFormat="1" applyFont="1" applyFill="1" applyBorder="1" applyAlignment="1">
      <alignment vertical="center"/>
    </xf>
    <xf numFmtId="181" fontId="5" fillId="0" borderId="3" xfId="1" applyNumberFormat="1" applyFont="1" applyFill="1" applyBorder="1" applyAlignment="1">
      <alignment vertical="center"/>
    </xf>
    <xf numFmtId="187" fontId="12" fillId="0" borderId="1" xfId="3" applyNumberFormat="1" applyFont="1" applyBorder="1"/>
    <xf numFmtId="181" fontId="5" fillId="17" borderId="3" xfId="1" applyNumberFormat="1" applyFont="1" applyFill="1" applyBorder="1" applyAlignment="1">
      <alignment vertical="center"/>
    </xf>
    <xf numFmtId="181" fontId="5" fillId="5" borderId="3" xfId="1" applyNumberFormat="1" applyFont="1" applyFill="1" applyBorder="1" applyAlignment="1">
      <alignment vertical="center"/>
    </xf>
    <xf numFmtId="185" fontId="8" fillId="10" borderId="3" xfId="0" applyNumberFormat="1" applyFont="1" applyFill="1" applyBorder="1">
      <alignment vertical="center"/>
    </xf>
    <xf numFmtId="0" fontId="14" fillId="2" borderId="0" xfId="0" applyFont="1" applyFill="1">
      <alignment vertical="center"/>
    </xf>
    <xf numFmtId="181" fontId="15" fillId="0" borderId="0" xfId="1" applyNumberFormat="1" applyFont="1" applyAlignment="1">
      <alignment vertical="center"/>
    </xf>
    <xf numFmtId="0" fontId="15" fillId="0" borderId="0" xfId="0" applyFont="1">
      <alignment vertical="center"/>
    </xf>
    <xf numFmtId="0" fontId="16" fillId="0" borderId="0" xfId="0" applyFont="1" applyAlignment="1">
      <alignment horizontal="center" vertical="center"/>
    </xf>
    <xf numFmtId="0" fontId="14" fillId="0" borderId="0" xfId="0" applyFont="1">
      <alignment vertical="center"/>
    </xf>
    <xf numFmtId="0" fontId="16" fillId="2" borderId="0" xfId="0" applyFont="1" applyFill="1" applyAlignment="1">
      <alignment horizontal="center" vertical="center"/>
    </xf>
    <xf numFmtId="188" fontId="15" fillId="0" borderId="0" xfId="2" applyNumberFormat="1" applyFont="1" applyAlignment="1">
      <alignment vertical="center"/>
    </xf>
    <xf numFmtId="38" fontId="17" fillId="0" borderId="0" xfId="146" applyNumberFormat="1" applyFont="1" applyAlignment="1">
      <alignment horizontal="right"/>
    </xf>
    <xf numFmtId="38" fontId="15" fillId="18" borderId="0" xfId="0" applyNumberFormat="1" applyFont="1" applyFill="1">
      <alignment vertical="center"/>
    </xf>
    <xf numFmtId="0" fontId="15" fillId="2" borderId="0" xfId="0" applyFont="1" applyFill="1">
      <alignment vertical="center"/>
    </xf>
    <xf numFmtId="186" fontId="14" fillId="2" borderId="0" xfId="0" applyNumberFormat="1" applyFont="1" applyFill="1">
      <alignment vertical="center"/>
    </xf>
    <xf numFmtId="6" fontId="14" fillId="2" borderId="0" xfId="0" applyNumberFormat="1" applyFont="1" applyFill="1">
      <alignment vertical="center"/>
    </xf>
    <xf numFmtId="181" fontId="14" fillId="2" borderId="0" xfId="0" applyNumberFormat="1" applyFont="1" applyFill="1">
      <alignment vertical="center"/>
    </xf>
    <xf numFmtId="0" fontId="18" fillId="2" borderId="0" xfId="0" applyFont="1" applyFill="1">
      <alignment vertical="center"/>
    </xf>
    <xf numFmtId="188" fontId="15" fillId="2" borderId="0" xfId="2" applyNumberFormat="1" applyFont="1" applyFill="1" applyAlignment="1">
      <alignment vertical="center"/>
    </xf>
    <xf numFmtId="38" fontId="17" fillId="2" borderId="0" xfId="146" applyNumberFormat="1" applyFont="1" applyFill="1" applyAlignment="1">
      <alignment horizontal="right"/>
    </xf>
    <xf numFmtId="0" fontId="18" fillId="2" borderId="0" xfId="0" applyFont="1" applyFill="1" applyAlignment="1">
      <alignment horizontal="center" vertical="center"/>
    </xf>
    <xf numFmtId="38" fontId="15" fillId="18" borderId="5" xfId="0" applyNumberFormat="1" applyFont="1" applyFill="1" applyBorder="1">
      <alignment vertical="center"/>
    </xf>
    <xf numFmtId="38" fontId="15" fillId="18" borderId="4" xfId="0" applyNumberFormat="1" applyFont="1" applyFill="1" applyBorder="1">
      <alignment vertical="center"/>
    </xf>
    <xf numFmtId="38" fontId="15" fillId="18" borderId="6" xfId="0" applyNumberFormat="1" applyFont="1" applyFill="1" applyBorder="1">
      <alignment vertical="center"/>
    </xf>
    <xf numFmtId="38" fontId="15" fillId="18" borderId="9" xfId="0" applyNumberFormat="1" applyFont="1" applyFill="1" applyBorder="1">
      <alignment vertical="center"/>
    </xf>
    <xf numFmtId="38" fontId="15" fillId="18" borderId="10" xfId="0" applyNumberFormat="1" applyFont="1" applyFill="1" applyBorder="1">
      <alignment vertical="center"/>
    </xf>
    <xf numFmtId="38" fontId="15" fillId="18" borderId="11" xfId="0" applyNumberFormat="1" applyFont="1" applyFill="1" applyBorder="1">
      <alignment vertical="center"/>
    </xf>
    <xf numFmtId="0" fontId="15" fillId="2" borderId="5" xfId="0" applyFont="1" applyFill="1" applyBorder="1">
      <alignment vertical="center"/>
    </xf>
    <xf numFmtId="0" fontId="14" fillId="2" borderId="4" xfId="0" applyFont="1" applyFill="1" applyBorder="1">
      <alignment vertical="center"/>
    </xf>
    <xf numFmtId="181" fontId="14" fillId="2" borderId="4" xfId="1" applyNumberFormat="1" applyFont="1" applyFill="1" applyBorder="1" applyAlignment="1">
      <alignment vertical="center"/>
    </xf>
    <xf numFmtId="0" fontId="15" fillId="2" borderId="6" xfId="0" applyFont="1" applyFill="1" applyBorder="1">
      <alignment vertical="center"/>
    </xf>
    <xf numFmtId="0" fontId="17" fillId="2" borderId="7" xfId="146" applyFont="1" applyFill="1" applyBorder="1"/>
    <xf numFmtId="189" fontId="16" fillId="2" borderId="0" xfId="247" applyNumberFormat="1" applyFont="1" applyFill="1" applyBorder="1" applyAlignment="1">
      <alignment horizontal="left"/>
    </xf>
    <xf numFmtId="180" fontId="17" fillId="2" borderId="0" xfId="146" applyNumberFormat="1" applyFont="1" applyFill="1" applyAlignment="1">
      <alignment horizontal="center"/>
    </xf>
    <xf numFmtId="0" fontId="20" fillId="2" borderId="0" xfId="146" applyFont="1" applyFill="1" applyAlignment="1">
      <alignment horizontal="center"/>
    </xf>
    <xf numFmtId="190" fontId="17" fillId="0" borderId="0" xfId="146" applyNumberFormat="1" applyFont="1" applyAlignment="1">
      <alignment horizontal="center" vertical="center"/>
    </xf>
    <xf numFmtId="0" fontId="21" fillId="2" borderId="7" xfId="146" applyFont="1" applyFill="1" applyBorder="1"/>
    <xf numFmtId="191" fontId="16" fillId="2" borderId="0" xfId="247" applyNumberFormat="1" applyFont="1" applyFill="1" applyBorder="1" applyAlignment="1">
      <alignment horizontal="left"/>
    </xf>
    <xf numFmtId="190" fontId="20" fillId="2" borderId="0" xfId="146" applyNumberFormat="1" applyFont="1" applyFill="1" applyAlignment="1">
      <alignment horizontal="center"/>
    </xf>
    <xf numFmtId="190" fontId="17" fillId="2" borderId="0" xfId="146" applyNumberFormat="1" applyFont="1" applyFill="1" applyAlignment="1">
      <alignment horizontal="center"/>
    </xf>
    <xf numFmtId="17" fontId="15" fillId="2" borderId="2" xfId="0" applyNumberFormat="1" applyFont="1" applyFill="1" applyBorder="1" applyAlignment="1">
      <alignment horizontal="center" vertical="center"/>
    </xf>
    <xf numFmtId="190" fontId="17" fillId="19" borderId="14" xfId="146" applyNumberFormat="1" applyFont="1" applyFill="1" applyBorder="1" applyAlignment="1">
      <alignment horizontal="center" vertical="center"/>
    </xf>
    <xf numFmtId="181" fontId="20" fillId="0" borderId="0" xfId="1" applyNumberFormat="1" applyFont="1" applyAlignment="1">
      <alignment horizontal="center" vertical="center"/>
    </xf>
    <xf numFmtId="181" fontId="17" fillId="2" borderId="7" xfId="1" applyNumberFormat="1" applyFont="1" applyFill="1" applyBorder="1"/>
    <xf numFmtId="181" fontId="22" fillId="2" borderId="0" xfId="1" applyNumberFormat="1" applyFont="1" applyFill="1" applyBorder="1" applyAlignment="1">
      <alignment horizontal="left"/>
    </xf>
    <xf numFmtId="181" fontId="22" fillId="2" borderId="0" xfId="1" applyNumberFormat="1" applyFont="1" applyFill="1" applyAlignment="1">
      <alignment horizontal="center"/>
    </xf>
    <xf numFmtId="181" fontId="22" fillId="19" borderId="15" xfId="1" applyNumberFormat="1" applyFont="1" applyFill="1" applyBorder="1" applyAlignment="1">
      <alignment horizontal="right"/>
    </xf>
    <xf numFmtId="181" fontId="22" fillId="0" borderId="0" xfId="1" applyNumberFormat="1" applyFont="1" applyFill="1" applyBorder="1" applyAlignment="1">
      <alignment horizontal="right"/>
    </xf>
    <xf numFmtId="38" fontId="17" fillId="19" borderId="15" xfId="247" applyNumberFormat="1" applyFont="1" applyFill="1" applyBorder="1" applyAlignment="1">
      <alignment horizontal="right"/>
    </xf>
    <xf numFmtId="38" fontId="17" fillId="0" borderId="0" xfId="247" applyNumberFormat="1" applyFont="1" applyFill="1" applyBorder="1" applyAlignment="1">
      <alignment horizontal="right"/>
    </xf>
    <xf numFmtId="0" fontId="23" fillId="20" borderId="0" xfId="146" applyFont="1" applyFill="1"/>
    <xf numFmtId="180" fontId="23" fillId="20" borderId="16" xfId="146" applyNumberFormat="1" applyFont="1" applyFill="1" applyBorder="1" applyAlignment="1">
      <alignment horizontal="center"/>
    </xf>
    <xf numFmtId="180" fontId="23" fillId="21" borderId="0" xfId="146" applyNumberFormat="1" applyFont="1" applyFill="1" applyAlignment="1">
      <alignment horizontal="center"/>
    </xf>
    <xf numFmtId="180" fontId="23" fillId="20" borderId="0" xfId="146" applyNumberFormat="1" applyFont="1" applyFill="1" applyAlignment="1">
      <alignment horizontal="center"/>
    </xf>
    <xf numFmtId="180" fontId="23" fillId="19" borderId="15" xfId="146" applyNumberFormat="1" applyFont="1" applyFill="1" applyBorder="1" applyAlignment="1">
      <alignment horizontal="center"/>
    </xf>
    <xf numFmtId="180" fontId="23" fillId="0" borderId="0" xfId="146" applyNumberFormat="1" applyFont="1" applyAlignment="1">
      <alignment horizontal="center"/>
    </xf>
    <xf numFmtId="0" fontId="17" fillId="2" borderId="0" xfId="146" applyFont="1" applyFill="1"/>
    <xf numFmtId="180" fontId="17" fillId="2" borderId="16" xfId="146" applyNumberFormat="1" applyFont="1" applyFill="1" applyBorder="1" applyAlignment="1">
      <alignment horizontal="center"/>
    </xf>
    <xf numFmtId="38" fontId="17" fillId="22" borderId="0" xfId="146" applyNumberFormat="1" applyFont="1" applyFill="1" applyAlignment="1">
      <alignment horizontal="center"/>
    </xf>
    <xf numFmtId="38" fontId="21" fillId="2" borderId="0" xfId="247" applyNumberFormat="1" applyFont="1" applyFill="1" applyBorder="1" applyAlignment="1">
      <alignment horizontal="right"/>
    </xf>
    <xf numFmtId="38" fontId="14" fillId="0" borderId="0" xfId="0" applyNumberFormat="1" applyFont="1">
      <alignment vertical="center"/>
    </xf>
    <xf numFmtId="49" fontId="21" fillId="2" borderId="0" xfId="146" applyNumberFormat="1" applyFont="1" applyFill="1" applyAlignment="1">
      <alignment horizontal="left" indent="2"/>
    </xf>
    <xf numFmtId="186" fontId="24" fillId="23" borderId="0" xfId="0" applyNumberFormat="1" applyFont="1" applyFill="1">
      <alignment vertical="center"/>
    </xf>
    <xf numFmtId="186" fontId="17" fillId="19" borderId="15" xfId="247" applyNumberFormat="1" applyFont="1" applyFill="1" applyBorder="1" applyAlignment="1">
      <alignment horizontal="right"/>
    </xf>
    <xf numFmtId="186" fontId="21" fillId="0" borderId="0" xfId="247" applyNumberFormat="1" applyFont="1" applyFill="1" applyBorder="1" applyAlignment="1">
      <alignment horizontal="right"/>
    </xf>
    <xf numFmtId="0" fontId="21" fillId="2" borderId="0" xfId="146" applyFont="1" applyFill="1" applyAlignment="1">
      <alignment horizontal="left" indent="2"/>
    </xf>
    <xf numFmtId="186" fontId="25" fillId="19" borderId="15" xfId="0" applyNumberFormat="1" applyFont="1" applyFill="1" applyBorder="1">
      <alignment vertical="center"/>
    </xf>
    <xf numFmtId="186" fontId="24" fillId="0" borderId="0" xfId="0" applyNumberFormat="1" applyFont="1">
      <alignment vertical="center"/>
    </xf>
    <xf numFmtId="0" fontId="21" fillId="2" borderId="0" xfId="146" applyFont="1" applyFill="1" applyAlignment="1">
      <alignment horizontal="left" indent="1"/>
    </xf>
    <xf numFmtId="186" fontId="16" fillId="2" borderId="4" xfId="146" applyNumberFormat="1" applyFont="1" applyFill="1" applyBorder="1" applyAlignment="1">
      <alignment horizontal="right"/>
    </xf>
    <xf numFmtId="186" fontId="20" fillId="19" borderId="17" xfId="146" applyNumberFormat="1" applyFont="1" applyFill="1" applyBorder="1" applyAlignment="1">
      <alignment horizontal="right"/>
    </xf>
    <xf numFmtId="186" fontId="16" fillId="0" borderId="0" xfId="146" applyNumberFormat="1" applyFont="1" applyAlignment="1">
      <alignment horizontal="right"/>
    </xf>
    <xf numFmtId="186" fontId="24" fillId="2" borderId="0" xfId="146" applyNumberFormat="1" applyFont="1" applyFill="1" applyAlignment="1">
      <alignment horizontal="right"/>
    </xf>
    <xf numFmtId="186" fontId="25" fillId="19" borderId="15" xfId="146" applyNumberFormat="1" applyFont="1" applyFill="1" applyBorder="1" applyAlignment="1">
      <alignment horizontal="right"/>
    </xf>
    <xf numFmtId="186" fontId="24" fillId="0" borderId="0" xfId="146" applyNumberFormat="1" applyFont="1" applyAlignment="1">
      <alignment horizontal="right"/>
    </xf>
    <xf numFmtId="186" fontId="21" fillId="2" borderId="0" xfId="247" applyNumberFormat="1" applyFont="1" applyFill="1" applyBorder="1" applyAlignment="1">
      <alignment horizontal="right"/>
    </xf>
    <xf numFmtId="0" fontId="14" fillId="2" borderId="0" xfId="0" applyFont="1" applyFill="1" applyAlignment="1">
      <alignment horizontal="right" vertical="center"/>
    </xf>
    <xf numFmtId="0" fontId="15" fillId="19" borderId="15" xfId="0" applyFont="1" applyFill="1" applyBorder="1" applyAlignment="1">
      <alignment horizontal="right" vertical="center"/>
    </xf>
    <xf numFmtId="0" fontId="14" fillId="0" borderId="0" xfId="0" applyFont="1" applyAlignment="1">
      <alignment horizontal="right" vertical="center"/>
    </xf>
    <xf numFmtId="0" fontId="20" fillId="0" borderId="0" xfId="0" applyFont="1" applyAlignment="1">
      <alignment horizontal="center" vertical="center"/>
    </xf>
    <xf numFmtId="49" fontId="17" fillId="2" borderId="18" xfId="238" applyNumberFormat="1" applyFont="1" applyFill="1" applyBorder="1" applyAlignment="1">
      <alignment horizontal="left"/>
    </xf>
    <xf numFmtId="180" fontId="17" fillId="2" borderId="19" xfId="146" applyNumberFormat="1" applyFont="1" applyFill="1" applyBorder="1" applyAlignment="1">
      <alignment horizontal="center"/>
    </xf>
    <xf numFmtId="186" fontId="17" fillId="2" borderId="18" xfId="247" applyNumberFormat="1" applyFont="1" applyFill="1" applyBorder="1" applyAlignment="1">
      <alignment horizontal="right"/>
    </xf>
    <xf numFmtId="186" fontId="17" fillId="19" borderId="20" xfId="247" applyNumberFormat="1" applyFont="1" applyFill="1" applyBorder="1" applyAlignment="1">
      <alignment horizontal="right"/>
    </xf>
    <xf numFmtId="186" fontId="17" fillId="0" borderId="0" xfId="247" applyNumberFormat="1" applyFont="1" applyFill="1" applyBorder="1" applyAlignment="1">
      <alignment horizontal="right"/>
    </xf>
    <xf numFmtId="38" fontId="15" fillId="0" borderId="0" xfId="0" applyNumberFormat="1" applyFont="1">
      <alignment vertical="center"/>
    </xf>
    <xf numFmtId="49" fontId="17" fillId="2" borderId="0" xfId="238" applyNumberFormat="1" applyFont="1" applyFill="1" applyAlignment="1">
      <alignment horizontal="right" indent="1"/>
    </xf>
    <xf numFmtId="186" fontId="17" fillId="2" borderId="0" xfId="247" applyNumberFormat="1" applyFont="1" applyFill="1" applyBorder="1" applyAlignment="1">
      <alignment horizontal="right"/>
    </xf>
    <xf numFmtId="0" fontId="21" fillId="2" borderId="0" xfId="146" applyFont="1" applyFill="1" applyAlignment="1">
      <alignment horizontal="center"/>
    </xf>
    <xf numFmtId="0" fontId="23" fillId="24" borderId="0" xfId="146" applyFont="1" applyFill="1"/>
    <xf numFmtId="180" fontId="23" fillId="24" borderId="16" xfId="146" applyNumberFormat="1" applyFont="1" applyFill="1" applyBorder="1" applyAlignment="1">
      <alignment horizontal="center"/>
    </xf>
    <xf numFmtId="186" fontId="22" fillId="24" borderId="0" xfId="247" applyNumberFormat="1" applyFont="1" applyFill="1" applyBorder="1" applyAlignment="1">
      <alignment horizontal="right"/>
    </xf>
    <xf numFmtId="186" fontId="23" fillId="19" borderId="15" xfId="247" applyNumberFormat="1" applyFont="1" applyFill="1" applyBorder="1" applyAlignment="1">
      <alignment horizontal="right"/>
    </xf>
    <xf numFmtId="186" fontId="22" fillId="0" borderId="0" xfId="247" applyNumberFormat="1" applyFont="1" applyFill="1" applyBorder="1" applyAlignment="1">
      <alignment horizontal="right"/>
    </xf>
    <xf numFmtId="0" fontId="23" fillId="2" borderId="7" xfId="146" applyFont="1" applyFill="1" applyBorder="1"/>
    <xf numFmtId="0" fontId="22" fillId="2" borderId="0" xfId="146" applyFont="1" applyFill="1"/>
    <xf numFmtId="186" fontId="22" fillId="2" borderId="0" xfId="247" applyNumberFormat="1" applyFont="1" applyFill="1" applyBorder="1" applyAlignment="1">
      <alignment horizontal="right"/>
    </xf>
    <xf numFmtId="0" fontId="15" fillId="2" borderId="0" xfId="0" applyFont="1" applyFill="1" applyAlignment="1">
      <alignment horizontal="left" vertical="center"/>
    </xf>
    <xf numFmtId="0" fontId="14" fillId="2" borderId="16" xfId="0" applyFont="1" applyFill="1" applyBorder="1">
      <alignment vertical="center"/>
    </xf>
    <xf numFmtId="186" fontId="14" fillId="2" borderId="0" xfId="1" applyNumberFormat="1" applyFont="1" applyFill="1" applyBorder="1" applyAlignment="1">
      <alignment horizontal="right"/>
    </xf>
    <xf numFmtId="186" fontId="21" fillId="2" borderId="0" xfId="1" applyNumberFormat="1" applyFont="1" applyFill="1" applyBorder="1" applyAlignment="1">
      <alignment horizontal="right"/>
    </xf>
    <xf numFmtId="186" fontId="17" fillId="19" borderId="15" xfId="1" applyNumberFormat="1" applyFont="1" applyFill="1" applyBorder="1" applyAlignment="1">
      <alignment horizontal="right"/>
    </xf>
    <xf numFmtId="186" fontId="21" fillId="0" borderId="0" xfId="1" applyNumberFormat="1" applyFont="1" applyFill="1" applyBorder="1" applyAlignment="1">
      <alignment horizontal="right"/>
    </xf>
    <xf numFmtId="0" fontId="15" fillId="2" borderId="0" xfId="0" applyFont="1" applyFill="1" applyAlignment="1">
      <alignment horizontal="left" vertical="center" indent="1"/>
    </xf>
    <xf numFmtId="186" fontId="25" fillId="2" borderId="4" xfId="0" applyNumberFormat="1" applyFont="1" applyFill="1" applyBorder="1">
      <alignment vertical="center"/>
    </xf>
    <xf numFmtId="186" fontId="25" fillId="19" borderId="17" xfId="0" applyNumberFormat="1" applyFont="1" applyFill="1" applyBorder="1">
      <alignment vertical="center"/>
    </xf>
    <xf numFmtId="186" fontId="25" fillId="0" borderId="0" xfId="0" applyNumberFormat="1" applyFont="1">
      <alignment vertical="center"/>
    </xf>
    <xf numFmtId="0" fontId="15" fillId="19" borderId="15" xfId="0" applyFont="1" applyFill="1" applyBorder="1">
      <alignment vertical="center"/>
    </xf>
    <xf numFmtId="186" fontId="15" fillId="2" borderId="4" xfId="0" applyNumberFormat="1" applyFont="1" applyFill="1" applyBorder="1">
      <alignment vertical="center"/>
    </xf>
    <xf numFmtId="186" fontId="15" fillId="19" borderId="17" xfId="0" applyNumberFormat="1" applyFont="1" applyFill="1" applyBorder="1">
      <alignment vertical="center"/>
    </xf>
    <xf numFmtId="186" fontId="15" fillId="0" borderId="0" xfId="0" applyNumberFormat="1" applyFont="1">
      <alignment vertical="center"/>
    </xf>
    <xf numFmtId="0" fontId="14" fillId="2" borderId="0" xfId="0" applyFont="1" applyFill="1" applyAlignment="1">
      <alignment horizontal="left" vertical="center" indent="1"/>
    </xf>
    <xf numFmtId="186" fontId="15" fillId="19" borderId="15" xfId="0" applyNumberFormat="1" applyFont="1" applyFill="1" applyBorder="1">
      <alignment vertical="center"/>
    </xf>
    <xf numFmtId="186" fontId="14" fillId="0" borderId="0" xfId="0" applyNumberFormat="1" applyFont="1">
      <alignment vertical="center"/>
    </xf>
    <xf numFmtId="0" fontId="15" fillId="2" borderId="2" xfId="0" applyFont="1" applyFill="1" applyBorder="1" applyAlignment="1">
      <alignment horizontal="left" vertical="center"/>
    </xf>
    <xf numFmtId="180" fontId="17" fillId="2" borderId="21" xfId="146" applyNumberFormat="1" applyFont="1" applyFill="1" applyBorder="1" applyAlignment="1">
      <alignment horizontal="center"/>
    </xf>
    <xf numFmtId="186" fontId="15" fillId="2" borderId="2" xfId="0" applyNumberFormat="1" applyFont="1" applyFill="1" applyBorder="1">
      <alignment vertical="center"/>
    </xf>
    <xf numFmtId="186" fontId="15" fillId="19" borderId="22" xfId="0" applyNumberFormat="1" applyFont="1" applyFill="1" applyBorder="1">
      <alignment vertical="center"/>
    </xf>
    <xf numFmtId="1" fontId="16" fillId="0" borderId="0" xfId="0" applyNumberFormat="1" applyFont="1" applyAlignment="1">
      <alignment horizontal="center" vertical="center"/>
    </xf>
    <xf numFmtId="0" fontId="14" fillId="2" borderId="7" xfId="0" applyFont="1" applyFill="1" applyBorder="1">
      <alignment vertical="center"/>
    </xf>
    <xf numFmtId="186" fontId="15" fillId="2" borderId="0" xfId="0" applyNumberFormat="1" applyFont="1" applyFill="1">
      <alignment vertical="center"/>
    </xf>
    <xf numFmtId="0" fontId="21" fillId="2" borderId="0" xfId="146" applyFont="1" applyFill="1"/>
    <xf numFmtId="0" fontId="17" fillId="2" borderId="7" xfId="146" applyFont="1" applyFill="1" applyBorder="1" applyAlignment="1">
      <alignment horizontal="left"/>
    </xf>
    <xf numFmtId="49" fontId="21" fillId="2" borderId="0" xfId="146" applyNumberFormat="1" applyFont="1" applyFill="1" applyAlignment="1">
      <alignment horizontal="left" indent="1"/>
    </xf>
    <xf numFmtId="38" fontId="17" fillId="2" borderId="0" xfId="146" applyNumberFormat="1" applyFont="1" applyFill="1" applyAlignment="1">
      <alignment horizontal="center"/>
    </xf>
    <xf numFmtId="186" fontId="15" fillId="2" borderId="0" xfId="247" applyNumberFormat="1" applyFont="1" applyFill="1" applyBorder="1" applyAlignment="1">
      <alignment horizontal="right"/>
    </xf>
    <xf numFmtId="186" fontId="15" fillId="0" borderId="0" xfId="247" applyNumberFormat="1" applyFont="1" applyFill="1" applyBorder="1" applyAlignment="1">
      <alignment horizontal="right"/>
    </xf>
    <xf numFmtId="49" fontId="17" fillId="2" borderId="0" xfId="146" applyNumberFormat="1" applyFont="1" applyFill="1"/>
    <xf numFmtId="49" fontId="17" fillId="2" borderId="0" xfId="238" applyNumberFormat="1" applyFont="1" applyFill="1" applyAlignment="1">
      <alignment horizontal="left"/>
    </xf>
    <xf numFmtId="0" fontId="20" fillId="0" borderId="23" xfId="0" applyFont="1" applyBorder="1" applyAlignment="1">
      <alignment horizontal="center" vertical="center"/>
    </xf>
    <xf numFmtId="0" fontId="20" fillId="0" borderId="24" xfId="0" applyFont="1" applyBorder="1" applyAlignment="1">
      <alignment horizontal="center" vertical="center"/>
    </xf>
    <xf numFmtId="0" fontId="17" fillId="2" borderId="25" xfId="146" applyFont="1" applyFill="1" applyBorder="1"/>
    <xf numFmtId="49" fontId="17" fillId="2" borderId="26" xfId="238" applyNumberFormat="1" applyFont="1" applyFill="1" applyBorder="1" applyAlignment="1">
      <alignment horizontal="left"/>
    </xf>
    <xf numFmtId="180" fontId="17" fillId="2" borderId="27" xfId="146" applyNumberFormat="1" applyFont="1" applyFill="1" applyBorder="1" applyAlignment="1">
      <alignment horizontal="center"/>
    </xf>
    <xf numFmtId="38" fontId="17" fillId="22" borderId="24" xfId="146" applyNumberFormat="1" applyFont="1" applyFill="1" applyBorder="1" applyAlignment="1">
      <alignment horizontal="center"/>
    </xf>
    <xf numFmtId="186" fontId="17" fillId="5" borderId="24" xfId="247" applyNumberFormat="1" applyFont="1" applyFill="1" applyBorder="1" applyAlignment="1">
      <alignment horizontal="right"/>
    </xf>
    <xf numFmtId="186" fontId="17" fillId="2" borderId="24" xfId="247" applyNumberFormat="1" applyFont="1" applyFill="1" applyBorder="1" applyAlignment="1">
      <alignment horizontal="right"/>
    </xf>
    <xf numFmtId="186" fontId="17" fillId="19" borderId="28" xfId="247" applyNumberFormat="1" applyFont="1" applyFill="1" applyBorder="1" applyAlignment="1">
      <alignment horizontal="right"/>
    </xf>
    <xf numFmtId="0" fontId="20" fillId="0" borderId="29" xfId="0" applyFont="1" applyBorder="1" applyAlignment="1">
      <alignment horizontal="center" vertical="center"/>
    </xf>
    <xf numFmtId="49" fontId="17" fillId="2" borderId="30" xfId="238" applyNumberFormat="1" applyFont="1" applyFill="1" applyBorder="1" applyAlignment="1">
      <alignment horizontal="left"/>
    </xf>
    <xf numFmtId="186" fontId="17" fillId="19" borderId="31" xfId="247" applyNumberFormat="1" applyFont="1" applyFill="1" applyBorder="1" applyAlignment="1">
      <alignment horizontal="right"/>
    </xf>
    <xf numFmtId="49" fontId="17" fillId="2" borderId="0" xfId="146" applyNumberFormat="1" applyFont="1" applyFill="1" applyAlignment="1">
      <alignment horizontal="left" indent="1"/>
    </xf>
    <xf numFmtId="186" fontId="17" fillId="19" borderId="15" xfId="146" applyNumberFormat="1" applyFont="1" applyFill="1" applyBorder="1"/>
    <xf numFmtId="186" fontId="17" fillId="0" borderId="0" xfId="146" applyNumberFormat="1" applyFont="1"/>
    <xf numFmtId="186" fontId="17" fillId="2" borderId="2" xfId="247" applyNumberFormat="1" applyFont="1" applyFill="1" applyBorder="1" applyAlignment="1">
      <alignment horizontal="right"/>
    </xf>
    <xf numFmtId="49" fontId="17" fillId="2" borderId="2" xfId="146" applyNumberFormat="1" applyFont="1" applyFill="1" applyBorder="1" applyAlignment="1">
      <alignment horizontal="left"/>
    </xf>
    <xf numFmtId="38" fontId="17" fillId="22" borderId="2" xfId="146" applyNumberFormat="1" applyFont="1" applyFill="1" applyBorder="1" applyAlignment="1">
      <alignment horizontal="center"/>
    </xf>
    <xf numFmtId="186" fontId="25" fillId="23" borderId="2" xfId="0" applyNumberFormat="1" applyFont="1" applyFill="1" applyBorder="1">
      <alignment vertical="center"/>
    </xf>
    <xf numFmtId="186" fontId="21" fillId="0" borderId="0" xfId="146" applyNumberFormat="1" applyFont="1"/>
    <xf numFmtId="49" fontId="21" fillId="2" borderId="0" xfId="146" applyNumberFormat="1" applyFont="1" applyFill="1"/>
    <xf numFmtId="186" fontId="23" fillId="2" borderId="0" xfId="247" applyNumberFormat="1" applyFont="1" applyFill="1" applyBorder="1" applyAlignment="1">
      <alignment horizontal="right"/>
    </xf>
    <xf numFmtId="186" fontId="17" fillId="19" borderId="32" xfId="146" applyNumberFormat="1" applyFont="1" applyFill="1" applyBorder="1"/>
    <xf numFmtId="165" fontId="14" fillId="0" borderId="0" xfId="1" applyFont="1" applyAlignment="1">
      <alignment vertical="center"/>
    </xf>
    <xf numFmtId="38" fontId="21" fillId="0" borderId="0" xfId="146" applyNumberFormat="1" applyFont="1"/>
    <xf numFmtId="38" fontId="17" fillId="0" borderId="0" xfId="146" applyNumberFormat="1" applyFont="1"/>
    <xf numFmtId="49" fontId="21" fillId="5" borderId="30" xfId="238" applyNumberFormat="1" applyFont="1" applyFill="1" applyBorder="1" applyAlignment="1">
      <alignment horizontal="left"/>
    </xf>
    <xf numFmtId="180" fontId="17" fillId="5" borderId="16" xfId="146" applyNumberFormat="1" applyFont="1" applyFill="1" applyBorder="1" applyAlignment="1">
      <alignment horizontal="center"/>
    </xf>
    <xf numFmtId="186" fontId="17" fillId="5" borderId="0" xfId="247" applyNumberFormat="1" applyFont="1" applyFill="1" applyBorder="1" applyAlignment="1">
      <alignment horizontal="right"/>
    </xf>
    <xf numFmtId="49" fontId="21" fillId="2" borderId="30" xfId="238" applyNumberFormat="1" applyFont="1" applyFill="1" applyBorder="1" applyAlignment="1">
      <alignment horizontal="left"/>
    </xf>
    <xf numFmtId="0" fontId="16" fillId="0" borderId="29" xfId="0" applyFont="1" applyBorder="1" applyAlignment="1">
      <alignment horizontal="center" vertical="center"/>
    </xf>
    <xf numFmtId="0" fontId="15" fillId="2" borderId="33" xfId="0" applyFont="1" applyFill="1" applyBorder="1" applyAlignment="1">
      <alignment horizontal="left" vertical="center"/>
    </xf>
    <xf numFmtId="186" fontId="15" fillId="19" borderId="34" xfId="0" applyNumberFormat="1" applyFont="1" applyFill="1" applyBorder="1">
      <alignment vertical="center"/>
    </xf>
    <xf numFmtId="0" fontId="15" fillId="2" borderId="30" xfId="0" applyFont="1" applyFill="1" applyBorder="1" applyAlignment="1">
      <alignment horizontal="left" vertical="center"/>
    </xf>
    <xf numFmtId="186" fontId="15" fillId="19" borderId="31" xfId="0" applyNumberFormat="1" applyFont="1" applyFill="1" applyBorder="1">
      <alignment vertical="center"/>
    </xf>
    <xf numFmtId="0" fontId="16" fillId="0" borderId="35" xfId="0" applyFont="1" applyBorder="1" applyAlignment="1">
      <alignment horizontal="center" vertical="center"/>
    </xf>
    <xf numFmtId="0" fontId="16" fillId="0" borderId="36" xfId="0" applyFont="1" applyBorder="1" applyAlignment="1">
      <alignment horizontal="center" vertical="center"/>
    </xf>
    <xf numFmtId="0" fontId="14" fillId="2" borderId="37" xfId="0" applyFont="1" applyFill="1" applyBorder="1">
      <alignment vertical="center"/>
    </xf>
    <xf numFmtId="49" fontId="17" fillId="2" borderId="38" xfId="238" applyNumberFormat="1" applyFont="1" applyFill="1" applyBorder="1" applyAlignment="1">
      <alignment horizontal="left"/>
    </xf>
    <xf numFmtId="180" fontId="17" fillId="2" borderId="39" xfId="146" applyNumberFormat="1" applyFont="1" applyFill="1" applyBorder="1" applyAlignment="1">
      <alignment horizontal="center"/>
    </xf>
    <xf numFmtId="38" fontId="17" fillId="22" borderId="36" xfId="146" applyNumberFormat="1" applyFont="1" applyFill="1" applyBorder="1" applyAlignment="1">
      <alignment horizontal="center"/>
    </xf>
    <xf numFmtId="186" fontId="15" fillId="2" borderId="36" xfId="0" applyNumberFormat="1" applyFont="1" applyFill="1" applyBorder="1">
      <alignment vertical="center"/>
    </xf>
    <xf numFmtId="186" fontId="15" fillId="19" borderId="40" xfId="0" applyNumberFormat="1" applyFont="1" applyFill="1" applyBorder="1">
      <alignment vertical="center"/>
    </xf>
    <xf numFmtId="165" fontId="14" fillId="0" borderId="0" xfId="0" applyNumberFormat="1" applyFont="1">
      <alignment vertical="center"/>
    </xf>
    <xf numFmtId="0" fontId="14" fillId="0" borderId="0" xfId="189" applyFont="1" applyAlignment="1">
      <alignment horizontal="center"/>
    </xf>
    <xf numFmtId="0" fontId="14" fillId="0" borderId="0" xfId="189" applyFont="1"/>
    <xf numFmtId="0" fontId="26" fillId="0" borderId="0" xfId="189" applyFont="1"/>
    <xf numFmtId="0" fontId="26" fillId="0" borderId="3" xfId="189" applyFont="1" applyBorder="1" applyAlignment="1">
      <alignment horizontal="center"/>
    </xf>
    <xf numFmtId="0" fontId="14" fillId="0" borderId="3" xfId="189" applyFont="1" applyBorder="1" applyAlignment="1">
      <alignment horizontal="center"/>
    </xf>
    <xf numFmtId="192" fontId="8" fillId="0" borderId="3" xfId="264" applyNumberFormat="1" applyFont="1" applyBorder="1" applyAlignment="1">
      <alignment horizontal="center"/>
    </xf>
    <xf numFmtId="0" fontId="26" fillId="25" borderId="3" xfId="189" applyFont="1" applyFill="1" applyBorder="1"/>
    <xf numFmtId="164" fontId="14" fillId="25" borderId="3" xfId="59" applyFont="1" applyFill="1" applyBorder="1" applyAlignment="1"/>
    <xf numFmtId="164" fontId="14" fillId="0" borderId="3" xfId="59" applyFont="1" applyBorder="1" applyAlignment="1"/>
    <xf numFmtId="164" fontId="14" fillId="0" borderId="0" xfId="59" applyFont="1" applyAlignment="1"/>
    <xf numFmtId="0" fontId="26" fillId="25" borderId="3" xfId="189" applyFont="1" applyFill="1" applyBorder="1" applyAlignment="1">
      <alignment horizontal="left" indent="7"/>
    </xf>
    <xf numFmtId="0" fontId="26" fillId="0" borderId="3" xfId="189" applyFont="1" applyBorder="1" applyAlignment="1">
      <alignment horizontal="left" indent="1"/>
    </xf>
    <xf numFmtId="164" fontId="14" fillId="0" borderId="3" xfId="59" applyFont="1" applyBorder="1" applyAlignment="1">
      <alignment horizontal="left" indent="1"/>
    </xf>
    <xf numFmtId="0" fontId="26" fillId="0" borderId="3" xfId="189" applyFont="1" applyBorder="1" applyAlignment="1">
      <alignment horizontal="left" wrapText="1" indent="1"/>
    </xf>
    <xf numFmtId="178" fontId="14" fillId="0" borderId="3" xfId="224" applyNumberFormat="1" applyFont="1" applyBorder="1" applyAlignment="1">
      <alignment horizontal="center"/>
    </xf>
    <xf numFmtId="0" fontId="27" fillId="26" borderId="3" xfId="189" applyFont="1" applyFill="1" applyBorder="1" applyAlignment="1">
      <alignment horizontal="left" indent="1"/>
    </xf>
    <xf numFmtId="164" fontId="14" fillId="26" borderId="3" xfId="59" applyFont="1" applyFill="1" applyBorder="1" applyAlignment="1">
      <alignment horizontal="left" indent="1"/>
    </xf>
    <xf numFmtId="164" fontId="14" fillId="26" borderId="3" xfId="59" applyFont="1" applyFill="1" applyBorder="1" applyAlignment="1"/>
    <xf numFmtId="0" fontId="26" fillId="25" borderId="3" xfId="189" applyFont="1" applyFill="1" applyBorder="1" applyAlignment="1">
      <alignment horizontal="center"/>
    </xf>
    <xf numFmtId="192" fontId="8" fillId="25" borderId="3" xfId="264" applyNumberFormat="1" applyFont="1" applyFill="1" applyBorder="1" applyAlignment="1">
      <alignment horizontal="center"/>
    </xf>
    <xf numFmtId="164" fontId="14" fillId="0" borderId="0" xfId="59" applyFont="1" applyAlignment="1">
      <alignment horizontal="center"/>
    </xf>
    <xf numFmtId="0" fontId="26" fillId="27" borderId="3" xfId="189" applyFont="1" applyFill="1" applyBorder="1" applyAlignment="1">
      <alignment horizontal="left"/>
    </xf>
    <xf numFmtId="193" fontId="14" fillId="27" borderId="3" xfId="189" applyNumberFormat="1" applyFont="1" applyFill="1" applyBorder="1" applyAlignment="1">
      <alignment horizontal="left"/>
    </xf>
    <xf numFmtId="193" fontId="14" fillId="27" borderId="3" xfId="59" applyNumberFormat="1" applyFont="1" applyFill="1" applyBorder="1" applyAlignment="1"/>
    <xf numFmtId="164" fontId="14" fillId="0" borderId="0" xfId="189" applyNumberFormat="1" applyFont="1"/>
    <xf numFmtId="193" fontId="14" fillId="0" borderId="3" xfId="189" applyNumberFormat="1" applyFont="1" applyBorder="1" applyAlignment="1">
      <alignment horizontal="left" indent="1"/>
    </xf>
    <xf numFmtId="193" fontId="14" fillId="0" borderId="3" xfId="59" applyNumberFormat="1" applyFont="1" applyBorder="1" applyAlignment="1"/>
    <xf numFmtId="193" fontId="14" fillId="0" borderId="3" xfId="189" applyNumberFormat="1" applyFont="1" applyBorder="1"/>
    <xf numFmtId="0" fontId="26" fillId="0" borderId="0" xfId="189" applyFont="1" applyAlignment="1">
      <alignment horizontal="left" indent="1"/>
    </xf>
    <xf numFmtId="193" fontId="14" fillId="0" borderId="0" xfId="189" applyNumberFormat="1" applyFont="1" applyAlignment="1">
      <alignment horizontal="left" indent="1"/>
    </xf>
    <xf numFmtId="193" fontId="14" fillId="0" borderId="0" xfId="59" applyNumberFormat="1" applyFont="1" applyBorder="1" applyAlignment="1"/>
    <xf numFmtId="0" fontId="14" fillId="25" borderId="3" xfId="189" applyFont="1" applyFill="1" applyBorder="1" applyAlignment="1">
      <alignment horizontal="center"/>
    </xf>
    <xf numFmtId="0" fontId="26" fillId="28" borderId="3" xfId="189" applyFont="1" applyFill="1" applyBorder="1" applyAlignment="1">
      <alignment horizontal="left"/>
    </xf>
    <xf numFmtId="193" fontId="14" fillId="28" borderId="3" xfId="189" applyNumberFormat="1" applyFont="1" applyFill="1" applyBorder="1" applyAlignment="1">
      <alignment horizontal="left"/>
    </xf>
    <xf numFmtId="193" fontId="14" fillId="28" borderId="3" xfId="59" applyNumberFormat="1" applyFont="1" applyFill="1" applyBorder="1" applyAlignment="1"/>
    <xf numFmtId="193" fontId="14" fillId="28" borderId="3" xfId="189" applyNumberFormat="1" applyFont="1" applyFill="1" applyBorder="1"/>
    <xf numFmtId="193" fontId="14" fillId="25" borderId="3" xfId="59" applyNumberFormat="1" applyFont="1" applyFill="1" applyBorder="1" applyAlignment="1"/>
    <xf numFmtId="193" fontId="14" fillId="0" borderId="3" xfId="59" applyNumberFormat="1" applyFont="1" applyFill="1" applyBorder="1" applyAlignment="1"/>
    <xf numFmtId="40" fontId="14" fillId="0" borderId="0" xfId="59" applyNumberFormat="1" applyFont="1" applyAlignment="1"/>
    <xf numFmtId="164" fontId="26" fillId="0" borderId="0" xfId="189" applyNumberFormat="1" applyFont="1"/>
    <xf numFmtId="193" fontId="14" fillId="0" borderId="0" xfId="189" applyNumberFormat="1" applyFont="1"/>
    <xf numFmtId="0" fontId="15" fillId="2" borderId="0" xfId="0" applyFont="1" applyFill="1" applyAlignment="1">
      <alignment horizontal="center" vertical="center"/>
    </xf>
    <xf numFmtId="0" fontId="14" fillId="2" borderId="0" xfId="0" applyFont="1" applyFill="1" applyAlignment="1">
      <alignment vertical="center" wrapText="1"/>
    </xf>
    <xf numFmtId="0" fontId="28" fillId="2" borderId="0" xfId="0" applyFont="1" applyFill="1" applyAlignment="1">
      <alignment vertical="center" wrapText="1"/>
    </xf>
    <xf numFmtId="0" fontId="19" fillId="2" borderId="0" xfId="0" applyFont="1" applyFill="1" applyAlignment="1">
      <alignment horizontal="left" vertical="center"/>
    </xf>
    <xf numFmtId="0" fontId="15" fillId="2" borderId="41" xfId="0" applyFont="1" applyFill="1" applyBorder="1" applyAlignment="1">
      <alignment horizontal="center" vertical="center"/>
    </xf>
    <xf numFmtId="0" fontId="15" fillId="2" borderId="42" xfId="0" applyFont="1" applyFill="1" applyBorder="1" applyAlignment="1">
      <alignment horizontal="center" vertical="center"/>
    </xf>
    <xf numFmtId="180" fontId="23" fillId="20" borderId="42" xfId="146" applyNumberFormat="1" applyFont="1" applyFill="1" applyBorder="1" applyAlignment="1">
      <alignment horizontal="center"/>
    </xf>
    <xf numFmtId="191" fontId="20" fillId="2" borderId="0" xfId="247" applyNumberFormat="1" applyFont="1" applyFill="1" applyBorder="1" applyAlignment="1">
      <alignment horizontal="left"/>
    </xf>
    <xf numFmtId="0" fontId="14" fillId="2" borderId="42" xfId="0" applyFont="1" applyFill="1" applyBorder="1">
      <alignment vertical="center"/>
    </xf>
    <xf numFmtId="191" fontId="20" fillId="2" borderId="0" xfId="247" applyNumberFormat="1" applyFont="1" applyFill="1" applyBorder="1" applyAlignment="1">
      <alignment horizontal="left" wrapText="1"/>
    </xf>
    <xf numFmtId="0" fontId="14" fillId="2" borderId="42" xfId="0" applyFont="1" applyFill="1" applyBorder="1" applyAlignment="1">
      <alignment vertical="center" wrapText="1"/>
    </xf>
    <xf numFmtId="0" fontId="5" fillId="2" borderId="0" xfId="0" applyFont="1" applyFill="1" applyAlignment="1">
      <alignment vertical="center" wrapText="1"/>
    </xf>
    <xf numFmtId="191" fontId="19" fillId="2" borderId="0" xfId="247" applyNumberFormat="1" applyFont="1" applyFill="1" applyBorder="1" applyAlignment="1">
      <alignment horizontal="left" wrapText="1"/>
    </xf>
    <xf numFmtId="0" fontId="28" fillId="2" borderId="42" xfId="0" applyFont="1" applyFill="1" applyBorder="1" applyAlignment="1">
      <alignment vertical="center" wrapText="1"/>
    </xf>
    <xf numFmtId="38" fontId="21" fillId="2" borderId="42" xfId="247" applyNumberFormat="1" applyFont="1" applyFill="1" applyBorder="1" applyAlignment="1">
      <alignment horizontal="right"/>
    </xf>
    <xf numFmtId="186" fontId="24" fillId="23" borderId="42" xfId="0" applyNumberFormat="1" applyFont="1" applyFill="1" applyBorder="1">
      <alignment vertical="center"/>
    </xf>
    <xf numFmtId="186" fontId="16" fillId="2" borderId="43" xfId="146" applyNumberFormat="1" applyFont="1" applyFill="1" applyBorder="1" applyAlignment="1">
      <alignment horizontal="right"/>
    </xf>
    <xf numFmtId="186" fontId="24" fillId="2" borderId="42" xfId="146" applyNumberFormat="1" applyFont="1" applyFill="1" applyBorder="1" applyAlignment="1">
      <alignment horizontal="right"/>
    </xf>
    <xf numFmtId="186" fontId="21" fillId="2" borderId="42" xfId="247" applyNumberFormat="1" applyFont="1" applyFill="1" applyBorder="1" applyAlignment="1">
      <alignment horizontal="right"/>
    </xf>
    <xf numFmtId="186" fontId="17" fillId="2" borderId="44" xfId="247" applyNumberFormat="1" applyFont="1" applyFill="1" applyBorder="1" applyAlignment="1">
      <alignment horizontal="right"/>
    </xf>
    <xf numFmtId="186" fontId="17" fillId="2" borderId="42" xfId="247" applyNumberFormat="1" applyFont="1" applyFill="1" applyBorder="1" applyAlignment="1">
      <alignment horizontal="right"/>
    </xf>
    <xf numFmtId="186" fontId="22" fillId="24" borderId="42" xfId="247" applyNumberFormat="1" applyFont="1" applyFill="1" applyBorder="1" applyAlignment="1">
      <alignment horizontal="right"/>
    </xf>
    <xf numFmtId="186" fontId="14" fillId="2" borderId="42" xfId="1" applyNumberFormat="1" applyFont="1" applyFill="1" applyBorder="1" applyAlignment="1">
      <alignment horizontal="right"/>
    </xf>
    <xf numFmtId="186" fontId="25" fillId="2" borderId="43" xfId="0" applyNumberFormat="1" applyFont="1" applyFill="1" applyBorder="1">
      <alignment vertical="center"/>
    </xf>
    <xf numFmtId="186" fontId="15" fillId="2" borderId="43" xfId="0" applyNumberFormat="1" applyFont="1" applyFill="1" applyBorder="1">
      <alignment vertical="center"/>
    </xf>
    <xf numFmtId="186" fontId="14" fillId="2" borderId="42" xfId="0" applyNumberFormat="1" applyFont="1" applyFill="1" applyBorder="1">
      <alignment vertical="center"/>
    </xf>
    <xf numFmtId="186" fontId="15" fillId="2" borderId="45" xfId="0" applyNumberFormat="1" applyFont="1" applyFill="1" applyBorder="1">
      <alignment vertical="center"/>
    </xf>
    <xf numFmtId="186" fontId="15" fillId="2" borderId="42" xfId="0" applyNumberFormat="1" applyFont="1" applyFill="1" applyBorder="1">
      <alignment vertical="center"/>
    </xf>
    <xf numFmtId="186" fontId="15" fillId="2" borderId="42" xfId="247" applyNumberFormat="1" applyFont="1" applyFill="1" applyBorder="1" applyAlignment="1">
      <alignment horizontal="right"/>
    </xf>
    <xf numFmtId="49" fontId="17" fillId="4" borderId="23" xfId="238" applyNumberFormat="1" applyFont="1" applyFill="1" applyBorder="1" applyAlignment="1">
      <alignment horizontal="left"/>
    </xf>
    <xf numFmtId="186" fontId="17" fillId="4" borderId="24" xfId="247" applyNumberFormat="1" applyFont="1" applyFill="1" applyBorder="1" applyAlignment="1">
      <alignment horizontal="right"/>
    </xf>
    <xf numFmtId="186" fontId="17" fillId="4" borderId="41" xfId="247" applyNumberFormat="1" applyFont="1" applyFill="1" applyBorder="1" applyAlignment="1">
      <alignment horizontal="right"/>
    </xf>
    <xf numFmtId="186" fontId="17" fillId="4" borderId="46" xfId="247" applyNumberFormat="1" applyFont="1" applyFill="1" applyBorder="1" applyAlignment="1">
      <alignment horizontal="right"/>
    </xf>
    <xf numFmtId="49" fontId="17" fillId="4" borderId="29" xfId="238" applyNumberFormat="1" applyFont="1" applyFill="1" applyBorder="1" applyAlignment="1">
      <alignment horizontal="left"/>
    </xf>
    <xf numFmtId="186" fontId="17" fillId="4" borderId="0" xfId="247" applyNumberFormat="1" applyFont="1" applyFill="1" applyBorder="1" applyAlignment="1">
      <alignment horizontal="right"/>
    </xf>
    <xf numFmtId="186" fontId="17" fillId="4" borderId="42" xfId="247" applyNumberFormat="1" applyFont="1" applyFill="1" applyBorder="1" applyAlignment="1">
      <alignment horizontal="right"/>
    </xf>
    <xf numFmtId="186" fontId="17" fillId="4" borderId="47" xfId="247" applyNumberFormat="1" applyFont="1" applyFill="1" applyBorder="1" applyAlignment="1">
      <alignment horizontal="right"/>
    </xf>
    <xf numFmtId="49" fontId="21" fillId="4" borderId="29" xfId="238" applyNumberFormat="1" applyFont="1" applyFill="1" applyBorder="1" applyAlignment="1">
      <alignment horizontal="left"/>
    </xf>
    <xf numFmtId="0" fontId="15" fillId="4" borderId="48" xfId="0" applyFont="1" applyFill="1" applyBorder="1" applyAlignment="1">
      <alignment horizontal="left" vertical="center"/>
    </xf>
    <xf numFmtId="186" fontId="15" fillId="4" borderId="2" xfId="0" applyNumberFormat="1" applyFont="1" applyFill="1" applyBorder="1">
      <alignment vertical="center"/>
    </xf>
    <xf numFmtId="186" fontId="15" fillId="4" borderId="45" xfId="0" applyNumberFormat="1" applyFont="1" applyFill="1" applyBorder="1">
      <alignment vertical="center"/>
    </xf>
    <xf numFmtId="186" fontId="15" fillId="4" borderId="49" xfId="0" applyNumberFormat="1" applyFont="1" applyFill="1" applyBorder="1">
      <alignment vertical="center"/>
    </xf>
    <xf numFmtId="0" fontId="15" fillId="4" borderId="29" xfId="0" applyFont="1" applyFill="1" applyBorder="1" applyAlignment="1">
      <alignment horizontal="left" vertical="center"/>
    </xf>
    <xf numFmtId="186" fontId="15" fillId="4" borderId="0" xfId="0" applyNumberFormat="1" applyFont="1" applyFill="1">
      <alignment vertical="center"/>
    </xf>
    <xf numFmtId="186" fontId="15" fillId="4" borderId="42" xfId="0" applyNumberFormat="1" applyFont="1" applyFill="1" applyBorder="1">
      <alignment vertical="center"/>
    </xf>
    <xf numFmtId="186" fontId="15" fillId="4" borderId="47" xfId="0" applyNumberFormat="1" applyFont="1" applyFill="1" applyBorder="1">
      <alignment vertical="center"/>
    </xf>
    <xf numFmtId="49" fontId="17" fillId="4" borderId="35" xfId="238" applyNumberFormat="1" applyFont="1" applyFill="1" applyBorder="1" applyAlignment="1">
      <alignment horizontal="left"/>
    </xf>
    <xf numFmtId="186" fontId="15" fillId="4" borderId="36" xfId="0" applyNumberFormat="1" applyFont="1" applyFill="1" applyBorder="1">
      <alignment vertical="center"/>
    </xf>
    <xf numFmtId="186" fontId="15" fillId="4" borderId="50" xfId="0" applyNumberFormat="1" applyFont="1" applyFill="1" applyBorder="1">
      <alignment vertical="center"/>
    </xf>
    <xf numFmtId="186" fontId="15" fillId="4" borderId="51" xfId="0" applyNumberFormat="1" applyFont="1" applyFill="1" applyBorder="1">
      <alignment vertical="center"/>
    </xf>
    <xf numFmtId="49" fontId="16" fillId="2" borderId="0" xfId="146" applyNumberFormat="1" applyFont="1" applyFill="1" applyAlignment="1">
      <alignment horizontal="left" indent="2"/>
    </xf>
    <xf numFmtId="49" fontId="22" fillId="2" borderId="0" xfId="146" applyNumberFormat="1" applyFont="1" applyFill="1" applyAlignment="1">
      <alignment horizontal="left" indent="2"/>
    </xf>
    <xf numFmtId="49" fontId="23" fillId="2" borderId="0" xfId="146" applyNumberFormat="1" applyFont="1" applyFill="1" applyAlignment="1">
      <alignment horizontal="left" indent="1"/>
    </xf>
    <xf numFmtId="186" fontId="17" fillId="2" borderId="45" xfId="247" applyNumberFormat="1" applyFont="1" applyFill="1" applyBorder="1" applyAlignment="1">
      <alignment horizontal="right"/>
    </xf>
    <xf numFmtId="186" fontId="25" fillId="23" borderId="45" xfId="0" applyNumberFormat="1" applyFont="1" applyFill="1" applyBorder="1">
      <alignment vertical="center"/>
    </xf>
    <xf numFmtId="186" fontId="23" fillId="2" borderId="50" xfId="247" applyNumberFormat="1" applyFont="1" applyFill="1" applyBorder="1" applyAlignment="1">
      <alignment horizontal="right"/>
    </xf>
    <xf numFmtId="9" fontId="8" fillId="0" borderId="0" xfId="3" applyNumberFormat="1"/>
    <xf numFmtId="185" fontId="8" fillId="0" borderId="3" xfId="0" applyNumberFormat="1" applyFont="1" applyBorder="1">
      <alignment vertical="center"/>
    </xf>
    <xf numFmtId="181" fontId="5" fillId="2" borderId="0" xfId="1" applyNumberFormat="1" applyFont="1" applyFill="1" applyAlignment="1">
      <alignment horizontal="center" vertical="center"/>
    </xf>
    <xf numFmtId="181" fontId="5" fillId="0" borderId="0" xfId="1" applyNumberFormat="1" applyFont="1" applyFill="1" applyAlignment="1">
      <alignment vertical="center"/>
    </xf>
    <xf numFmtId="185" fontId="8" fillId="0" borderId="0" xfId="0" applyNumberFormat="1" applyFont="1">
      <alignment vertical="center"/>
    </xf>
    <xf numFmtId="0" fontId="5" fillId="2" borderId="0" xfId="1" applyNumberFormat="1" applyFont="1" applyFill="1" applyAlignment="1">
      <alignment horizontal="center" vertical="center"/>
    </xf>
    <xf numFmtId="187" fontId="12" fillId="0" borderId="1" xfId="54" applyNumberFormat="1" applyFont="1" applyBorder="1"/>
    <xf numFmtId="0" fontId="5" fillId="0" borderId="3" xfId="1" applyNumberFormat="1" applyFont="1" applyFill="1" applyBorder="1" applyAlignment="1">
      <alignment horizontal="center" vertical="center"/>
    </xf>
    <xf numFmtId="183" fontId="8" fillId="5" borderId="3" xfId="3" applyNumberFormat="1" applyFill="1" applyBorder="1"/>
    <xf numFmtId="17" fontId="6" fillId="0" borderId="3" xfId="0" applyNumberFormat="1" applyFont="1" applyBorder="1" applyAlignment="1">
      <alignment horizontal="center" vertical="center" wrapText="1"/>
    </xf>
    <xf numFmtId="185" fontId="6" fillId="0" borderId="3" xfId="0" applyNumberFormat="1" applyFont="1" applyBorder="1" applyAlignment="1">
      <alignment horizontal="center" vertical="center" wrapText="1"/>
    </xf>
    <xf numFmtId="164" fontId="8" fillId="0" borderId="0" xfId="186" applyNumberFormat="1" applyFont="1"/>
    <xf numFmtId="181" fontId="8" fillId="0" borderId="0" xfId="1" applyNumberFormat="1" applyFont="1"/>
    <xf numFmtId="0" fontId="8" fillId="0" borderId="52" xfId="186" applyFont="1" applyBorder="1"/>
    <xf numFmtId="0" fontId="8" fillId="0" borderId="56" xfId="186" applyFont="1" applyBorder="1"/>
    <xf numFmtId="181" fontId="8" fillId="0" borderId="3" xfId="186" applyNumberFormat="1" applyFont="1" applyBorder="1"/>
    <xf numFmtId="0" fontId="8" fillId="0" borderId="3" xfId="186" applyFont="1" applyBorder="1"/>
    <xf numFmtId="0" fontId="8" fillId="0" borderId="57" xfId="186" applyFont="1" applyBorder="1"/>
    <xf numFmtId="0" fontId="8" fillId="0" borderId="0" xfId="186" applyFont="1" applyAlignment="1">
      <alignment horizontal="right"/>
    </xf>
    <xf numFmtId="0" fontId="8" fillId="10" borderId="3" xfId="186" applyFont="1" applyFill="1" applyBorder="1"/>
    <xf numFmtId="0" fontId="8" fillId="0" borderId="58" xfId="186" applyFont="1" applyBorder="1"/>
    <xf numFmtId="0" fontId="8" fillId="0" borderId="59" xfId="186" applyFont="1" applyBorder="1"/>
    <xf numFmtId="0" fontId="8" fillId="0" borderId="60" xfId="186" applyFont="1" applyBorder="1"/>
    <xf numFmtId="9" fontId="8" fillId="0" borderId="0" xfId="1" applyNumberFormat="1" applyFont="1"/>
    <xf numFmtId="9" fontId="8" fillId="10" borderId="0" xfId="1" applyNumberFormat="1" applyFont="1" applyFill="1"/>
    <xf numFmtId="181" fontId="7" fillId="0" borderId="0" xfId="1" applyNumberFormat="1" applyFont="1"/>
    <xf numFmtId="0" fontId="7" fillId="0" borderId="52" xfId="186" applyFont="1" applyBorder="1"/>
    <xf numFmtId="0" fontId="7" fillId="0" borderId="53" xfId="186" applyFont="1" applyBorder="1"/>
    <xf numFmtId="0" fontId="6" fillId="2" borderId="54" xfId="0" applyFont="1" applyFill="1" applyBorder="1">
      <alignment vertical="center"/>
    </xf>
    <xf numFmtId="181" fontId="6" fillId="2" borderId="52" xfId="1" applyNumberFormat="1" applyFont="1" applyFill="1" applyBorder="1" applyAlignment="1">
      <alignment vertical="center"/>
    </xf>
    <xf numFmtId="181" fontId="6" fillId="2" borderId="53" xfId="1" applyNumberFormat="1" applyFont="1" applyFill="1" applyBorder="1" applyAlignment="1">
      <alignment vertical="center"/>
    </xf>
    <xf numFmtId="181" fontId="6" fillId="2" borderId="61" xfId="1" applyNumberFormat="1" applyFont="1" applyFill="1" applyBorder="1" applyAlignment="1">
      <alignment vertical="center"/>
    </xf>
    <xf numFmtId="181" fontId="6" fillId="29" borderId="62" xfId="1" applyNumberFormat="1" applyFont="1" applyFill="1" applyBorder="1" applyAlignment="1">
      <alignment vertical="center"/>
    </xf>
    <xf numFmtId="181" fontId="6" fillId="29" borderId="53" xfId="1" applyNumberFormat="1" applyFont="1" applyFill="1" applyBorder="1" applyAlignment="1">
      <alignment vertical="center"/>
    </xf>
    <xf numFmtId="181" fontId="7" fillId="0" borderId="61" xfId="1" applyNumberFormat="1" applyFont="1" applyBorder="1"/>
    <xf numFmtId="14" fontId="5" fillId="2" borderId="3" xfId="0" applyNumberFormat="1" applyFont="1" applyFill="1" applyBorder="1">
      <alignment vertical="center"/>
    </xf>
    <xf numFmtId="0" fontId="5" fillId="2" borderId="63" xfId="0" applyFont="1" applyFill="1" applyBorder="1">
      <alignment vertical="center"/>
    </xf>
    <xf numFmtId="181" fontId="5" fillId="2" borderId="56" xfId="1" applyNumberFormat="1" applyFont="1" applyFill="1" applyBorder="1" applyAlignment="1">
      <alignment vertical="center"/>
    </xf>
    <xf numFmtId="181" fontId="8" fillId="0" borderId="3" xfId="1" applyNumberFormat="1" applyFont="1" applyBorder="1"/>
    <xf numFmtId="181" fontId="7" fillId="0" borderId="57" xfId="1" applyNumberFormat="1" applyFont="1" applyBorder="1"/>
    <xf numFmtId="181" fontId="7" fillId="29" borderId="64" xfId="1" applyNumberFormat="1" applyFont="1" applyFill="1" applyBorder="1"/>
    <xf numFmtId="181" fontId="7" fillId="29" borderId="3" xfId="1" applyNumberFormat="1" applyFont="1" applyFill="1" applyBorder="1"/>
    <xf numFmtId="0" fontId="5" fillId="10" borderId="63" xfId="0" applyFont="1" applyFill="1" applyBorder="1">
      <alignment vertical="center"/>
    </xf>
    <xf numFmtId="0" fontId="8" fillId="30" borderId="56" xfId="186" applyFont="1" applyFill="1" applyBorder="1"/>
    <xf numFmtId="14" fontId="5" fillId="30" borderId="3" xfId="0" applyNumberFormat="1" applyFont="1" applyFill="1" applyBorder="1">
      <alignment vertical="center"/>
    </xf>
    <xf numFmtId="0" fontId="5" fillId="30" borderId="63" xfId="0" applyFont="1" applyFill="1" applyBorder="1">
      <alignment vertical="center"/>
    </xf>
    <xf numFmtId="181" fontId="7" fillId="30" borderId="57" xfId="1" applyNumberFormat="1" applyFont="1" applyFill="1" applyBorder="1"/>
    <xf numFmtId="181" fontId="7" fillId="30" borderId="64" xfId="1" applyNumberFormat="1" applyFont="1" applyFill="1" applyBorder="1"/>
    <xf numFmtId="181" fontId="5" fillId="30" borderId="3" xfId="1" applyNumberFormat="1" applyFont="1" applyFill="1" applyBorder="1" applyAlignment="1">
      <alignment vertical="center"/>
    </xf>
    <xf numFmtId="181" fontId="8" fillId="30" borderId="3" xfId="1" applyNumberFormat="1" applyFont="1" applyFill="1" applyBorder="1"/>
    <xf numFmtId="181" fontId="7" fillId="30" borderId="3" xfId="1" applyNumberFormat="1" applyFont="1" applyFill="1" applyBorder="1"/>
    <xf numFmtId="14" fontId="5" fillId="0" borderId="3" xfId="0" applyNumberFormat="1" applyFont="1" applyBorder="1">
      <alignment vertical="center"/>
    </xf>
    <xf numFmtId="10" fontId="8" fillId="0" borderId="0" xfId="2" applyNumberFormat="1" applyFont="1" applyFill="1" applyBorder="1" applyAlignment="1" applyProtection="1"/>
    <xf numFmtId="0" fontId="8" fillId="0" borderId="13" xfId="186" applyFont="1" applyBorder="1"/>
    <xf numFmtId="0" fontId="5" fillId="2" borderId="65" xfId="0" applyFont="1" applyFill="1" applyBorder="1">
      <alignment vertical="center"/>
    </xf>
    <xf numFmtId="14" fontId="5" fillId="0" borderId="65" xfId="0" applyNumberFormat="1" applyFont="1" applyBorder="1">
      <alignment vertical="center"/>
    </xf>
    <xf numFmtId="0" fontId="5" fillId="2" borderId="7" xfId="0" applyFont="1" applyFill="1" applyBorder="1">
      <alignment vertical="center"/>
    </xf>
    <xf numFmtId="181" fontId="5" fillId="2" borderId="13" xfId="1" applyNumberFormat="1" applyFont="1" applyFill="1" applyBorder="1" applyAlignment="1">
      <alignment vertical="center"/>
    </xf>
    <xf numFmtId="181" fontId="8" fillId="0" borderId="65" xfId="1" applyNumberFormat="1" applyFont="1" applyBorder="1"/>
    <xf numFmtId="181" fontId="7" fillId="0" borderId="0" xfId="1" applyNumberFormat="1" applyFont="1" applyBorder="1"/>
    <xf numFmtId="181" fontId="7" fillId="29" borderId="8" xfId="1" applyNumberFormat="1" applyFont="1" applyFill="1" applyBorder="1"/>
    <xf numFmtId="181" fontId="5" fillId="2" borderId="65" xfId="1" applyNumberFormat="1" applyFont="1" applyFill="1" applyBorder="1" applyAlignment="1">
      <alignment vertical="center"/>
    </xf>
    <xf numFmtId="181" fontId="7" fillId="0" borderId="3" xfId="1" applyNumberFormat="1" applyFont="1" applyBorder="1"/>
    <xf numFmtId="0" fontId="8" fillId="0" borderId="66" xfId="186" applyFont="1" applyBorder="1"/>
    <xf numFmtId="0" fontId="8" fillId="0" borderId="67" xfId="186" applyFont="1" applyBorder="1"/>
    <xf numFmtId="0" fontId="5" fillId="2" borderId="68" xfId="0" applyFont="1" applyFill="1" applyBorder="1">
      <alignment vertical="center"/>
    </xf>
    <xf numFmtId="181" fontId="7" fillId="0" borderId="66" xfId="1" applyNumberFormat="1" applyFont="1" applyBorder="1"/>
    <xf numFmtId="181" fontId="5" fillId="2" borderId="67" xfId="1" applyNumberFormat="1" applyFont="1" applyFill="1" applyBorder="1" applyAlignment="1">
      <alignment vertical="center"/>
    </xf>
    <xf numFmtId="181" fontId="8" fillId="0" borderId="67" xfId="1" applyNumberFormat="1" applyFont="1" applyBorder="1"/>
    <xf numFmtId="181" fontId="7" fillId="0" borderId="69" xfId="1" applyNumberFormat="1" applyFont="1" applyBorder="1"/>
    <xf numFmtId="164" fontId="8" fillId="0" borderId="0" xfId="3" applyNumberFormat="1"/>
    <xf numFmtId="183" fontId="7" fillId="0" borderId="3" xfId="3" applyNumberFormat="1" applyFont="1" applyBorder="1" applyAlignment="1">
      <alignment horizontal="center" vertical="center"/>
    </xf>
    <xf numFmtId="183" fontId="7" fillId="0" borderId="3" xfId="3" applyNumberFormat="1" applyFont="1" applyBorder="1" applyAlignment="1">
      <alignment horizontal="center" vertical="center" wrapText="1"/>
    </xf>
    <xf numFmtId="183" fontId="6" fillId="13" borderId="3" xfId="3" applyNumberFormat="1" applyFont="1" applyFill="1" applyBorder="1" applyAlignment="1">
      <alignment horizontal="center" vertical="center" wrapText="1"/>
    </xf>
    <xf numFmtId="164" fontId="7" fillId="0" borderId="0" xfId="186" applyNumberFormat="1" applyFont="1"/>
    <xf numFmtId="164" fontId="7" fillId="0" borderId="0" xfId="186" applyNumberFormat="1" applyFont="1" applyAlignment="1">
      <alignment horizontal="center"/>
    </xf>
    <xf numFmtId="183" fontId="8" fillId="14" borderId="70" xfId="3" applyNumberFormat="1" applyFill="1" applyBorder="1"/>
    <xf numFmtId="183" fontId="5" fillId="14" borderId="70" xfId="3" applyNumberFormat="1" applyFont="1" applyFill="1" applyBorder="1" applyProtection="1">
      <protection locked="0"/>
    </xf>
    <xf numFmtId="181" fontId="5" fillId="2" borderId="70" xfId="1" applyNumberFormat="1" applyFont="1" applyFill="1" applyBorder="1" applyAlignment="1">
      <alignment vertical="center"/>
    </xf>
    <xf numFmtId="181" fontId="5" fillId="2" borderId="70" xfId="1" applyNumberFormat="1" applyFont="1" applyFill="1" applyBorder="1" applyAlignment="1">
      <alignment horizontal="center" vertical="center"/>
    </xf>
    <xf numFmtId="181" fontId="5" fillId="0" borderId="70" xfId="1" applyNumberFormat="1" applyFont="1" applyFill="1" applyBorder="1" applyAlignment="1">
      <alignment vertical="center"/>
    </xf>
    <xf numFmtId="185" fontId="8" fillId="0" borderId="70" xfId="0" applyNumberFormat="1" applyFont="1" applyBorder="1">
      <alignment vertical="center"/>
    </xf>
    <xf numFmtId="0" fontId="5" fillId="2" borderId="70" xfId="1" applyNumberFormat="1" applyFont="1" applyFill="1" applyBorder="1" applyAlignment="1">
      <alignment horizontal="center" vertical="center"/>
    </xf>
    <xf numFmtId="183" fontId="8" fillId="14" borderId="71" xfId="3" applyNumberFormat="1" applyFill="1" applyBorder="1"/>
    <xf numFmtId="183" fontId="8" fillId="14" borderId="72" xfId="3" applyNumberFormat="1" applyFill="1" applyBorder="1"/>
    <xf numFmtId="183" fontId="5" fillId="14" borderId="72" xfId="3" applyNumberFormat="1" applyFont="1" applyFill="1" applyBorder="1" applyProtection="1">
      <protection locked="0"/>
    </xf>
    <xf numFmtId="183" fontId="5" fillId="14" borderId="72" xfId="3" applyNumberFormat="1" applyFont="1" applyFill="1" applyBorder="1" applyAlignment="1" applyProtection="1">
      <alignment vertical="center" wrapText="1"/>
      <protection locked="0"/>
    </xf>
    <xf numFmtId="181" fontId="5" fillId="2" borderId="72" xfId="1" applyNumberFormat="1" applyFont="1" applyFill="1" applyBorder="1" applyAlignment="1">
      <alignment vertical="center"/>
    </xf>
    <xf numFmtId="181" fontId="5" fillId="2" borderId="72" xfId="1" applyNumberFormat="1" applyFont="1" applyFill="1" applyBorder="1" applyAlignment="1">
      <alignment horizontal="center" vertical="center"/>
    </xf>
    <xf numFmtId="181" fontId="5" fillId="0" borderId="72" xfId="1" applyNumberFormat="1" applyFont="1" applyFill="1" applyBorder="1" applyAlignment="1">
      <alignment vertical="center"/>
    </xf>
    <xf numFmtId="185" fontId="8" fillId="0" borderId="72" xfId="0" applyNumberFormat="1" applyFont="1" applyBorder="1">
      <alignment vertical="center"/>
    </xf>
    <xf numFmtId="0" fontId="5" fillId="2" borderId="72" xfId="1" applyNumberFormat="1" applyFont="1" applyFill="1" applyBorder="1" applyAlignment="1">
      <alignment horizontal="center" vertical="center"/>
    </xf>
    <xf numFmtId="181" fontId="5" fillId="16" borderId="72" xfId="1" applyNumberFormat="1" applyFont="1" applyFill="1" applyBorder="1" applyAlignment="1">
      <alignment vertical="center"/>
    </xf>
    <xf numFmtId="183" fontId="8" fillId="14" borderId="73" xfId="3" applyNumberFormat="1" applyFill="1" applyBorder="1"/>
    <xf numFmtId="9" fontId="5" fillId="14" borderId="3" xfId="2" applyFont="1" applyFill="1" applyBorder="1" applyAlignment="1" applyProtection="1">
      <protection locked="0"/>
    </xf>
    <xf numFmtId="183" fontId="8" fillId="14" borderId="74" xfId="3" applyNumberFormat="1" applyFill="1" applyBorder="1"/>
    <xf numFmtId="183" fontId="8" fillId="14" borderId="75" xfId="3" applyNumberFormat="1" applyFill="1" applyBorder="1"/>
    <xf numFmtId="183" fontId="5" fillId="14" borderId="75" xfId="3" applyNumberFormat="1" applyFont="1" applyFill="1" applyBorder="1" applyProtection="1">
      <protection locked="0"/>
    </xf>
    <xf numFmtId="181" fontId="5" fillId="2" borderId="75" xfId="1" applyNumberFormat="1" applyFont="1" applyFill="1" applyBorder="1" applyAlignment="1">
      <alignment vertical="center"/>
    </xf>
    <xf numFmtId="181" fontId="5" fillId="2" borderId="75" xfId="1" applyNumberFormat="1" applyFont="1" applyFill="1" applyBorder="1" applyAlignment="1">
      <alignment horizontal="center" vertical="center"/>
    </xf>
    <xf numFmtId="181" fontId="5" fillId="0" borderId="75" xfId="1" applyNumberFormat="1" applyFont="1" applyFill="1" applyBorder="1" applyAlignment="1">
      <alignment vertical="center"/>
    </xf>
    <xf numFmtId="185" fontId="8" fillId="0" borderId="75" xfId="0" applyNumberFormat="1" applyFont="1" applyBorder="1">
      <alignment vertical="center"/>
    </xf>
    <xf numFmtId="0" fontId="5" fillId="2" borderId="75" xfId="1" applyNumberFormat="1" applyFont="1" applyFill="1" applyBorder="1" applyAlignment="1">
      <alignment horizontal="center" vertical="center"/>
    </xf>
    <xf numFmtId="186" fontId="5" fillId="14" borderId="3" xfId="54" applyNumberFormat="1" applyFont="1" applyFill="1" applyBorder="1" applyAlignment="1" applyProtection="1">
      <alignment vertical="center"/>
    </xf>
    <xf numFmtId="181" fontId="8" fillId="0" borderId="0" xfId="1" applyNumberFormat="1" applyFont="1" applyBorder="1"/>
    <xf numFmtId="181" fontId="5" fillId="16" borderId="70" xfId="1" applyNumberFormat="1" applyFont="1" applyFill="1" applyBorder="1" applyAlignment="1">
      <alignment vertical="center"/>
    </xf>
    <xf numFmtId="181" fontId="5" fillId="16" borderId="75" xfId="1" applyNumberFormat="1" applyFont="1" applyFill="1" applyBorder="1" applyAlignment="1">
      <alignment vertical="center"/>
    </xf>
    <xf numFmtId="181" fontId="6" fillId="2" borderId="0" xfId="1" applyNumberFormat="1" applyFont="1" applyFill="1" applyBorder="1" applyAlignment="1">
      <alignment vertical="center"/>
    </xf>
    <xf numFmtId="186" fontId="5" fillId="14" borderId="3" xfId="54" applyNumberFormat="1" applyFont="1" applyFill="1" applyBorder="1" applyAlignment="1" applyProtection="1">
      <alignment horizontal="center" vertical="center"/>
    </xf>
    <xf numFmtId="186" fontId="5" fillId="14" borderId="76" xfId="54" applyNumberFormat="1" applyFont="1" applyFill="1" applyBorder="1" applyProtection="1"/>
    <xf numFmtId="181" fontId="8" fillId="0" borderId="0" xfId="186" applyNumberFormat="1" applyFont="1"/>
    <xf numFmtId="194" fontId="8" fillId="0" borderId="0" xfId="186" applyNumberFormat="1" applyFont="1"/>
    <xf numFmtId="0" fontId="5" fillId="2" borderId="0" xfId="0" applyFont="1" applyFill="1" applyAlignment="1">
      <alignment horizontal="center" vertical="center"/>
    </xf>
    <xf numFmtId="185" fontId="5" fillId="2" borderId="0" xfId="1" applyNumberFormat="1" applyFont="1" applyFill="1" applyAlignment="1">
      <alignment vertical="center"/>
    </xf>
    <xf numFmtId="9" fontId="5" fillId="2" borderId="0" xfId="1" applyNumberFormat="1" applyFont="1" applyFill="1" applyAlignment="1">
      <alignment vertical="center"/>
    </xf>
    <xf numFmtId="0" fontId="29" fillId="2" borderId="0" xfId="0" applyFont="1" applyFill="1">
      <alignment vertical="center"/>
    </xf>
    <xf numFmtId="0" fontId="29" fillId="2" borderId="0" xfId="0" applyFont="1" applyFill="1" applyAlignment="1">
      <alignment horizontal="center" vertical="center"/>
    </xf>
    <xf numFmtId="0" fontId="30" fillId="2" borderId="0" xfId="0" applyFont="1" applyFill="1">
      <alignment vertical="center"/>
    </xf>
    <xf numFmtId="0" fontId="6" fillId="2" borderId="5" xfId="0" applyFont="1" applyFill="1" applyBorder="1">
      <alignment vertical="center"/>
    </xf>
    <xf numFmtId="0" fontId="6" fillId="2" borderId="4" xfId="0" applyFont="1" applyFill="1" applyBorder="1" applyAlignment="1">
      <alignment horizontal="center" vertical="center" wrapText="1"/>
    </xf>
    <xf numFmtId="0" fontId="6" fillId="2" borderId="4" xfId="0" applyFont="1" applyFill="1" applyBorder="1">
      <alignment vertical="center"/>
    </xf>
    <xf numFmtId="0" fontId="6" fillId="2" borderId="2" xfId="0" applyFont="1" applyFill="1" applyBorder="1" applyAlignment="1">
      <alignment horizontal="center" vertical="center"/>
    </xf>
    <xf numFmtId="181" fontId="6" fillId="2" borderId="2" xfId="1" applyNumberFormat="1" applyFont="1" applyFill="1" applyBorder="1" applyAlignment="1">
      <alignment horizontal="center" vertical="center"/>
    </xf>
    <xf numFmtId="17" fontId="6" fillId="2" borderId="2" xfId="0" applyNumberFormat="1" applyFont="1" applyFill="1" applyBorder="1" applyAlignment="1">
      <alignment horizontal="center" vertical="center" wrapText="1"/>
    </xf>
    <xf numFmtId="185" fontId="6" fillId="2" borderId="2" xfId="0" applyNumberFormat="1" applyFont="1" applyFill="1" applyBorder="1" applyAlignment="1">
      <alignment horizontal="center" vertical="center" wrapText="1"/>
    </xf>
    <xf numFmtId="17" fontId="6" fillId="2" borderId="63" xfId="0" applyNumberFormat="1" applyFont="1" applyFill="1" applyBorder="1" applyAlignment="1">
      <alignment horizontal="center" vertical="center"/>
    </xf>
    <xf numFmtId="0" fontId="6" fillId="2" borderId="7" xfId="0" applyFont="1" applyFill="1" applyBorder="1">
      <alignment vertical="center"/>
    </xf>
    <xf numFmtId="181" fontId="6" fillId="2" borderId="0" xfId="1" applyNumberFormat="1" applyFont="1" applyFill="1" applyBorder="1" applyAlignment="1">
      <alignment horizontal="center" vertical="center"/>
    </xf>
    <xf numFmtId="17" fontId="6" fillId="2" borderId="0" xfId="0" applyNumberFormat="1" applyFont="1" applyFill="1" applyAlignment="1">
      <alignment horizontal="center" vertical="center" wrapText="1"/>
    </xf>
    <xf numFmtId="185" fontId="6" fillId="2" borderId="0" xfId="0" applyNumberFormat="1" applyFont="1" applyFill="1" applyAlignment="1">
      <alignment horizontal="center" vertical="center" wrapText="1"/>
    </xf>
    <xf numFmtId="0" fontId="6" fillId="2" borderId="63" xfId="0" applyFont="1" applyFill="1" applyBorder="1" applyAlignment="1">
      <alignment horizontal="center" vertical="center"/>
    </xf>
    <xf numFmtId="185" fontId="8" fillId="2" borderId="0" xfId="0" applyNumberFormat="1" applyFont="1" applyFill="1">
      <alignment vertical="center"/>
    </xf>
    <xf numFmtId="181" fontId="5" fillId="31" borderId="7" xfId="1" applyNumberFormat="1" applyFont="1" applyFill="1" applyBorder="1" applyAlignment="1">
      <alignment vertical="center"/>
    </xf>
    <xf numFmtId="181" fontId="5" fillId="31" borderId="0" xfId="1" applyNumberFormat="1" applyFont="1" applyFill="1" applyBorder="1" applyAlignment="1">
      <alignment vertical="center"/>
    </xf>
    <xf numFmtId="181" fontId="5" fillId="15" borderId="0" xfId="1" applyNumberFormat="1" applyFont="1" applyFill="1" applyAlignment="1">
      <alignment vertical="center"/>
    </xf>
    <xf numFmtId="9" fontId="5" fillId="2" borderId="0" xfId="2" applyFont="1" applyFill="1" applyAlignment="1">
      <alignment horizontal="center" vertical="center"/>
    </xf>
    <xf numFmtId="0" fontId="9" fillId="2" borderId="0" xfId="0" applyFont="1" applyFill="1" applyAlignment="1">
      <alignment horizontal="center" vertical="center"/>
    </xf>
    <xf numFmtId="0" fontId="31" fillId="2" borderId="7" xfId="0" applyFont="1" applyFill="1" applyBorder="1">
      <alignment vertical="center"/>
    </xf>
    <xf numFmtId="181" fontId="5" fillId="2" borderId="0" xfId="0" applyNumberFormat="1" applyFont="1" applyFill="1">
      <alignment vertical="center"/>
    </xf>
    <xf numFmtId="181" fontId="5" fillId="15" borderId="0" xfId="1" applyNumberFormat="1" applyFont="1" applyFill="1"/>
    <xf numFmtId="15" fontId="5" fillId="2" borderId="0" xfId="0" applyNumberFormat="1" applyFont="1" applyFill="1" applyAlignment="1"/>
    <xf numFmtId="0" fontId="8" fillId="2" borderId="7" xfId="0" applyFont="1" applyFill="1" applyBorder="1">
      <alignment vertical="center"/>
    </xf>
    <xf numFmtId="181" fontId="8" fillId="2" borderId="0" xfId="1" applyNumberFormat="1" applyFont="1" applyFill="1" applyAlignment="1">
      <alignment vertical="center"/>
    </xf>
    <xf numFmtId="181" fontId="5" fillId="10" borderId="0" xfId="1" applyNumberFormat="1" applyFont="1" applyFill="1" applyAlignment="1">
      <alignment vertical="center"/>
    </xf>
    <xf numFmtId="0" fontId="8" fillId="0" borderId="0" xfId="190" applyFont="1" applyAlignment="1">
      <alignment vertical="center"/>
    </xf>
    <xf numFmtId="181" fontId="8" fillId="0" borderId="0" xfId="1" applyNumberFormat="1" applyFont="1" applyFill="1" applyAlignment="1">
      <alignment vertical="center"/>
    </xf>
    <xf numFmtId="0" fontId="6" fillId="0" borderId="0" xfId="190" applyFont="1" applyAlignment="1">
      <alignment vertical="center"/>
    </xf>
    <xf numFmtId="0" fontId="5" fillId="0" borderId="0" xfId="190" applyFont="1"/>
    <xf numFmtId="0" fontId="6" fillId="5" borderId="0" xfId="190" applyFont="1" applyFill="1" applyAlignment="1">
      <alignment vertical="center"/>
    </xf>
    <xf numFmtId="0" fontId="6" fillId="15" borderId="0" xfId="190" applyFont="1" applyFill="1" applyAlignment="1">
      <alignment vertical="center"/>
    </xf>
    <xf numFmtId="0" fontId="6" fillId="32" borderId="0" xfId="190" applyFont="1" applyFill="1" applyAlignment="1">
      <alignment vertical="center"/>
    </xf>
    <xf numFmtId="195" fontId="6" fillId="33" borderId="0" xfId="225" applyNumberFormat="1" applyFont="1" applyFill="1" applyAlignment="1">
      <alignment vertical="center"/>
    </xf>
    <xf numFmtId="0" fontId="5" fillId="33" borderId="0" xfId="190" applyFont="1" applyFill="1" applyAlignment="1">
      <alignment vertical="center"/>
    </xf>
    <xf numFmtId="0" fontId="6" fillId="33" borderId="0" xfId="190" applyFont="1" applyFill="1" applyAlignment="1">
      <alignment vertical="center"/>
    </xf>
    <xf numFmtId="0" fontId="9" fillId="0" borderId="0" xfId="190" applyFont="1" applyAlignment="1">
      <alignment vertical="center"/>
    </xf>
    <xf numFmtId="0" fontId="5" fillId="0" borderId="0" xfId="190" applyFont="1" applyAlignment="1">
      <alignment vertical="center"/>
    </xf>
    <xf numFmtId="164" fontId="5" fillId="0" borderId="0" xfId="190" applyNumberFormat="1" applyFont="1" applyAlignment="1">
      <alignment vertical="center"/>
    </xf>
    <xf numFmtId="38" fontId="7" fillId="32" borderId="0" xfId="0" applyNumberFormat="1" applyFont="1" applyFill="1">
      <alignment vertical="center"/>
    </xf>
    <xf numFmtId="196" fontId="5" fillId="0" borderId="0" xfId="190" applyNumberFormat="1" applyFont="1" applyAlignment="1">
      <alignment vertical="center"/>
    </xf>
    <xf numFmtId="38" fontId="7" fillId="34" borderId="0" xfId="190" applyNumberFormat="1" applyFont="1" applyFill="1" applyAlignment="1" applyProtection="1">
      <alignment horizontal="right"/>
      <protection locked="0"/>
    </xf>
    <xf numFmtId="38" fontId="7" fillId="0" borderId="0" xfId="190" applyNumberFormat="1" applyFont="1" applyAlignment="1" applyProtection="1">
      <alignment horizontal="right"/>
      <protection locked="0"/>
    </xf>
    <xf numFmtId="0" fontId="6" fillId="0" borderId="0" xfId="190" applyFont="1" applyAlignment="1">
      <alignment horizontal="center" vertical="center"/>
    </xf>
    <xf numFmtId="17" fontId="32" fillId="35" borderId="0" xfId="190" applyNumberFormat="1" applyFont="1" applyFill="1" applyAlignment="1">
      <alignment horizontal="left" vertical="center"/>
    </xf>
    <xf numFmtId="17" fontId="32" fillId="0" borderId="0" xfId="190" applyNumberFormat="1" applyFont="1" applyAlignment="1">
      <alignment horizontal="left" vertical="center"/>
    </xf>
    <xf numFmtId="17" fontId="32" fillId="0" borderId="0" xfId="190" applyNumberFormat="1" applyFont="1" applyAlignment="1">
      <alignment horizontal="center" vertical="center"/>
    </xf>
    <xf numFmtId="181" fontId="7" fillId="0" borderId="0" xfId="1" applyNumberFormat="1" applyFont="1" applyFill="1" applyAlignment="1">
      <alignment horizontal="left" vertical="center"/>
    </xf>
    <xf numFmtId="181" fontId="7" fillId="0" borderId="0" xfId="1" applyNumberFormat="1" applyFont="1" applyFill="1" applyAlignment="1">
      <alignment horizontal="center" vertical="center"/>
    </xf>
    <xf numFmtId="197" fontId="6" fillId="33" borderId="0" xfId="60" applyNumberFormat="1" applyFont="1" applyFill="1" applyAlignment="1">
      <alignment vertical="center"/>
    </xf>
    <xf numFmtId="197" fontId="6" fillId="0" borderId="0" xfId="60" applyNumberFormat="1" applyFont="1" applyFill="1" applyAlignment="1">
      <alignment vertical="center"/>
    </xf>
    <xf numFmtId="43" fontId="6" fillId="33" borderId="0" xfId="60" applyNumberFormat="1" applyFont="1" applyFill="1" applyAlignment="1">
      <alignment vertical="center"/>
    </xf>
    <xf numFmtId="197" fontId="5" fillId="0" borderId="0" xfId="190" applyNumberFormat="1" applyFont="1" applyAlignment="1">
      <alignment vertical="center"/>
    </xf>
    <xf numFmtId="197" fontId="5" fillId="0" borderId="0" xfId="60" applyNumberFormat="1" applyFont="1" applyFill="1" applyAlignment="1">
      <alignment vertical="center"/>
    </xf>
    <xf numFmtId="0" fontId="7" fillId="5" borderId="0" xfId="190" applyFont="1" applyFill="1" applyAlignment="1">
      <alignment vertical="center"/>
    </xf>
    <xf numFmtId="197" fontId="6" fillId="5" borderId="0" xfId="60" applyNumberFormat="1" applyFont="1" applyFill="1" applyAlignment="1">
      <alignment vertical="center"/>
    </xf>
    <xf numFmtId="0" fontId="5" fillId="0" borderId="0" xfId="190" applyFont="1" applyAlignment="1">
      <alignment horizontal="left" vertical="center" indent="1"/>
    </xf>
    <xf numFmtId="197" fontId="5" fillId="0" borderId="0" xfId="60" applyNumberFormat="1" applyFont="1" applyAlignment="1">
      <alignment vertical="center"/>
    </xf>
    <xf numFmtId="0" fontId="7" fillId="15" borderId="0" xfId="190" applyFont="1" applyFill="1" applyAlignment="1">
      <alignment vertical="center"/>
    </xf>
    <xf numFmtId="197" fontId="6" fillId="15" borderId="0" xfId="60" applyNumberFormat="1" applyFont="1" applyFill="1" applyAlignment="1">
      <alignment vertical="center"/>
    </xf>
    <xf numFmtId="197" fontId="5" fillId="0" borderId="0" xfId="190" applyNumberFormat="1" applyFont="1" applyAlignment="1">
      <alignment horizontal="left" vertical="center" indent="1"/>
    </xf>
    <xf numFmtId="197" fontId="6" fillId="33" borderId="0" xfId="225" applyNumberFormat="1" applyFont="1" applyFill="1" applyAlignment="1">
      <alignment vertical="center"/>
    </xf>
    <xf numFmtId="0" fontId="7" fillId="32" borderId="0" xfId="190" applyFont="1" applyFill="1" applyAlignment="1">
      <alignment vertical="center"/>
    </xf>
    <xf numFmtId="197" fontId="6" fillId="32" borderId="0" xfId="60" applyNumberFormat="1" applyFont="1" applyFill="1" applyAlignment="1">
      <alignment vertical="center"/>
    </xf>
    <xf numFmtId="197" fontId="6" fillId="0" borderId="0" xfId="225" applyNumberFormat="1" applyFont="1" applyFill="1" applyAlignment="1">
      <alignment vertical="center"/>
    </xf>
    <xf numFmtId="195" fontId="5" fillId="33" borderId="0" xfId="225" applyNumberFormat="1" applyFont="1" applyFill="1" applyAlignment="1">
      <alignment vertical="center"/>
    </xf>
    <xf numFmtId="195" fontId="6" fillId="33" borderId="0" xfId="190" applyNumberFormat="1" applyFont="1" applyFill="1" applyAlignment="1">
      <alignment vertical="center"/>
    </xf>
    <xf numFmtId="197" fontId="5" fillId="33" borderId="0" xfId="60" applyNumberFormat="1" applyFont="1" applyFill="1" applyAlignment="1">
      <alignment vertical="center"/>
    </xf>
    <xf numFmtId="43" fontId="5" fillId="0" borderId="0" xfId="60" applyNumberFormat="1" applyFont="1" applyFill="1" applyAlignment="1">
      <alignment vertical="center"/>
    </xf>
    <xf numFmtId="164" fontId="9" fillId="0" borderId="0" xfId="190" applyNumberFormat="1" applyFont="1" applyAlignment="1">
      <alignment vertical="center"/>
    </xf>
    <xf numFmtId="43" fontId="9" fillId="0" borderId="0" xfId="60" applyNumberFormat="1" applyFont="1" applyAlignment="1">
      <alignment vertical="center"/>
    </xf>
    <xf numFmtId="43" fontId="9" fillId="0" borderId="0" xfId="60" applyNumberFormat="1" applyFont="1" applyFill="1" applyAlignment="1">
      <alignment vertical="center"/>
    </xf>
    <xf numFmtId="43" fontId="5" fillId="0" borderId="0" xfId="60" applyNumberFormat="1" applyFont="1" applyAlignment="1">
      <alignment vertical="center"/>
    </xf>
    <xf numFmtId="4" fontId="5" fillId="0" borderId="0" xfId="190" applyNumberFormat="1" applyFont="1" applyAlignment="1">
      <alignment vertical="center"/>
    </xf>
    <xf numFmtId="0" fontId="33" fillId="0" borderId="0" xfId="0" applyFont="1">
      <alignment vertical="center"/>
    </xf>
    <xf numFmtId="180" fontId="8" fillId="0" borderId="0" xfId="0" applyNumberFormat="1" applyFont="1">
      <alignment vertical="center"/>
    </xf>
    <xf numFmtId="0" fontId="34" fillId="0" borderId="0" xfId="0" applyFont="1">
      <alignment vertical="center"/>
    </xf>
    <xf numFmtId="0" fontId="35" fillId="0" borderId="0" xfId="0" applyFont="1" applyAlignment="1"/>
    <xf numFmtId="0" fontId="36" fillId="0" borderId="0" xfId="0" applyFont="1">
      <alignment vertical="center"/>
    </xf>
    <xf numFmtId="0" fontId="8" fillId="0" borderId="0" xfId="0" applyFont="1">
      <alignment vertical="center"/>
    </xf>
    <xf numFmtId="0" fontId="8" fillId="0" borderId="0" xfId="0" applyFont="1" applyAlignment="1">
      <alignment horizontal="left" vertical="center"/>
    </xf>
    <xf numFmtId="38" fontId="8" fillId="0" borderId="0" xfId="0" applyNumberFormat="1" applyFont="1">
      <alignment vertical="center"/>
    </xf>
    <xf numFmtId="38" fontId="37" fillId="0" borderId="0" xfId="0" applyNumberFormat="1" applyFont="1" applyAlignment="1">
      <alignment horizontal="left" vertical="center"/>
    </xf>
    <xf numFmtId="38" fontId="37" fillId="0" borderId="0" xfId="0" applyNumberFormat="1" applyFont="1">
      <alignment vertical="center"/>
    </xf>
    <xf numFmtId="38" fontId="37" fillId="32" borderId="0" xfId="0" applyNumberFormat="1" applyFont="1" applyFill="1">
      <alignment vertical="center"/>
    </xf>
    <xf numFmtId="38" fontId="33" fillId="0" borderId="0" xfId="0" applyNumberFormat="1" applyFont="1">
      <alignment vertical="center"/>
    </xf>
    <xf numFmtId="0" fontId="33" fillId="0" borderId="0" xfId="0" applyFont="1" applyAlignment="1">
      <alignment horizontal="left" vertical="center"/>
    </xf>
    <xf numFmtId="0" fontId="37" fillId="0" borderId="0" xfId="0" applyFont="1" applyAlignment="1">
      <alignment horizontal="left" vertical="center"/>
    </xf>
    <xf numFmtId="0" fontId="37" fillId="0" borderId="0" xfId="0" applyFont="1">
      <alignment vertical="center"/>
    </xf>
    <xf numFmtId="9" fontId="8" fillId="0" borderId="0" xfId="0" applyNumberFormat="1" applyFont="1">
      <alignment vertical="center"/>
    </xf>
    <xf numFmtId="0" fontId="7" fillId="0" borderId="0" xfId="0" applyFont="1" applyAlignment="1">
      <alignment horizontal="left" vertical="center"/>
    </xf>
    <xf numFmtId="38" fontId="7" fillId="0" borderId="3" xfId="0" applyNumberFormat="1" applyFont="1" applyBorder="1" applyAlignment="1" applyProtection="1">
      <alignment horizontal="right"/>
      <protection locked="0"/>
    </xf>
    <xf numFmtId="38" fontId="7" fillId="0" borderId="0" xfId="0" applyNumberFormat="1" applyFont="1" applyAlignment="1" applyProtection="1">
      <alignment horizontal="right"/>
      <protection locked="0"/>
    </xf>
    <xf numFmtId="38" fontId="7" fillId="34" borderId="3" xfId="0" applyNumberFormat="1" applyFont="1" applyFill="1" applyBorder="1" applyAlignment="1" applyProtection="1">
      <alignment horizontal="right"/>
      <protection locked="0"/>
    </xf>
    <xf numFmtId="180" fontId="8" fillId="0" borderId="0" xfId="0" applyNumberFormat="1" applyFont="1" applyAlignment="1">
      <alignment horizontal="left" vertical="center"/>
    </xf>
    <xf numFmtId="180" fontId="7" fillId="34" borderId="70" xfId="0" applyNumberFormat="1" applyFont="1" applyFill="1" applyBorder="1" applyAlignment="1">
      <alignment horizontal="right"/>
    </xf>
    <xf numFmtId="180" fontId="7" fillId="0" borderId="0" xfId="0" applyNumberFormat="1" applyFont="1" applyAlignment="1">
      <alignment horizontal="right"/>
    </xf>
    <xf numFmtId="17" fontId="6" fillId="7" borderId="70" xfId="1" applyNumberFormat="1" applyFont="1" applyFill="1" applyBorder="1" applyAlignment="1">
      <alignment horizontal="center" vertical="center"/>
    </xf>
    <xf numFmtId="180" fontId="7" fillId="36" borderId="70" xfId="0" applyNumberFormat="1" applyFont="1" applyFill="1" applyBorder="1" applyAlignment="1">
      <alignment horizontal="right"/>
    </xf>
    <xf numFmtId="0" fontId="38" fillId="0" borderId="0" xfId="0" applyFont="1" applyAlignment="1">
      <alignment horizontal="left" vertical="center"/>
    </xf>
    <xf numFmtId="0" fontId="39" fillId="0" borderId="0" xfId="0" applyFont="1" applyAlignment="1">
      <alignment horizontal="left" vertical="center" indent="1"/>
    </xf>
    <xf numFmtId="38" fontId="34" fillId="0" borderId="0" xfId="0" applyNumberFormat="1" applyFont="1">
      <alignment vertical="center"/>
    </xf>
    <xf numFmtId="0" fontId="39" fillId="0" borderId="0" xfId="0" applyFont="1" applyAlignment="1">
      <alignment horizontal="left" vertical="center"/>
    </xf>
    <xf numFmtId="38" fontId="8" fillId="0" borderId="3" xfId="0" applyNumberFormat="1" applyFont="1" applyBorder="1">
      <alignment vertical="center"/>
    </xf>
    <xf numFmtId="38" fontId="34" fillId="0" borderId="0" xfId="0" applyNumberFormat="1" applyFont="1" applyAlignment="1">
      <alignment horizontal="right" vertical="center"/>
    </xf>
    <xf numFmtId="0" fontId="40" fillId="0" borderId="0" xfId="0" applyFont="1" applyAlignment="1">
      <alignment horizontal="left" vertical="center"/>
    </xf>
    <xf numFmtId="38" fontId="8" fillId="0" borderId="3" xfId="0" applyNumberFormat="1" applyFont="1" applyBorder="1" applyProtection="1">
      <alignment vertical="center"/>
      <protection locked="0"/>
    </xf>
    <xf numFmtId="0" fontId="5" fillId="0" borderId="0" xfId="0" applyFont="1" applyAlignment="1"/>
    <xf numFmtId="38" fontId="7" fillId="0" borderId="0" xfId="0" applyNumberFormat="1" applyFont="1" applyAlignment="1">
      <alignment horizontal="left" vertical="center"/>
    </xf>
    <xf numFmtId="0" fontId="7" fillId="0" borderId="0" xfId="0" applyFont="1">
      <alignment vertical="center"/>
    </xf>
    <xf numFmtId="180" fontId="41" fillId="34" borderId="70" xfId="0" applyNumberFormat="1" applyFont="1" applyFill="1" applyBorder="1" applyAlignment="1">
      <alignment horizontal="right"/>
    </xf>
    <xf numFmtId="180" fontId="7" fillId="17" borderId="70" xfId="0" applyNumberFormat="1" applyFont="1" applyFill="1" applyBorder="1" applyAlignment="1">
      <alignment horizontal="right"/>
    </xf>
    <xf numFmtId="180" fontId="41" fillId="17" borderId="70" xfId="0" applyNumberFormat="1" applyFont="1" applyFill="1" applyBorder="1" applyAlignment="1">
      <alignment horizontal="right"/>
    </xf>
    <xf numFmtId="0" fontId="34" fillId="0" borderId="0" xfId="0" applyFont="1" applyAlignment="1">
      <alignment horizontal="left" vertical="center"/>
    </xf>
    <xf numFmtId="0" fontId="8" fillId="0" borderId="0" xfId="0" applyFont="1" applyAlignment="1">
      <alignment horizontal="left" vertical="center" indent="1"/>
    </xf>
    <xf numFmtId="194" fontId="8" fillId="0" borderId="3" xfId="0" applyNumberFormat="1" applyFont="1" applyBorder="1">
      <alignment vertical="center"/>
    </xf>
    <xf numFmtId="38" fontId="7" fillId="0" borderId="0" xfId="0" applyNumberFormat="1" applyFont="1" applyAlignment="1">
      <alignment horizontal="right"/>
    </xf>
    <xf numFmtId="38" fontId="7" fillId="34" borderId="3" xfId="0" applyNumberFormat="1" applyFont="1" applyFill="1" applyBorder="1" applyAlignment="1">
      <alignment horizontal="right"/>
    </xf>
    <xf numFmtId="17" fontId="6" fillId="7" borderId="70" xfId="1" applyNumberFormat="1" applyFont="1" applyFill="1" applyBorder="1" applyAlignment="1" applyProtection="1">
      <alignment horizontal="center" vertical="center"/>
    </xf>
    <xf numFmtId="9" fontId="10" fillId="0" borderId="0" xfId="2" applyFont="1" applyAlignment="1" applyProtection="1">
      <alignment horizontal="center" vertical="center"/>
    </xf>
    <xf numFmtId="9" fontId="9" fillId="0" borderId="0" xfId="2" applyFont="1" applyAlignment="1" applyProtection="1">
      <alignment horizontal="center" vertical="center"/>
    </xf>
    <xf numFmtId="9" fontId="8" fillId="0" borderId="0" xfId="2" applyFont="1" applyAlignment="1" applyProtection="1">
      <alignment horizontal="left" vertical="center"/>
    </xf>
    <xf numFmtId="9" fontId="8" fillId="0" borderId="0" xfId="2" applyFont="1" applyAlignment="1">
      <alignment horizontal="left" vertical="center"/>
    </xf>
    <xf numFmtId="10" fontId="9" fillId="0" borderId="0" xfId="2" applyNumberFormat="1" applyFont="1" applyAlignment="1">
      <alignment horizontal="center" vertical="center"/>
    </xf>
    <xf numFmtId="10" fontId="8" fillId="0" borderId="0" xfId="2" applyNumberFormat="1" applyFont="1" applyAlignment="1">
      <alignment horizontal="left" vertical="center"/>
    </xf>
    <xf numFmtId="40" fontId="8" fillId="0" borderId="0" xfId="0" applyNumberFormat="1" applyFont="1">
      <alignment vertical="center"/>
    </xf>
    <xf numFmtId="198" fontId="8" fillId="0" borderId="0" xfId="0" applyNumberFormat="1" applyFont="1">
      <alignment vertical="center"/>
    </xf>
    <xf numFmtId="164" fontId="34" fillId="0" borderId="0" xfId="0" applyNumberFormat="1" applyFont="1" applyAlignment="1">
      <alignment horizontal="right" vertical="center"/>
    </xf>
    <xf numFmtId="164" fontId="8" fillId="0" borderId="0" xfId="0" applyNumberFormat="1" applyFont="1">
      <alignment vertical="center"/>
    </xf>
    <xf numFmtId="194" fontId="8" fillId="0" borderId="0" xfId="0" applyNumberFormat="1" applyFont="1">
      <alignment vertical="center"/>
    </xf>
    <xf numFmtId="0" fontId="7" fillId="15" borderId="0" xfId="0" applyFont="1" applyFill="1" applyAlignment="1">
      <alignment horizontal="left" vertical="center"/>
    </xf>
    <xf numFmtId="164" fontId="8" fillId="0" borderId="3" xfId="0" applyNumberFormat="1" applyFont="1" applyBorder="1">
      <alignment vertical="center"/>
    </xf>
    <xf numFmtId="0" fontId="8" fillId="15" borderId="0" xfId="0" applyFont="1" applyFill="1" applyAlignment="1">
      <alignment horizontal="left" vertical="center"/>
    </xf>
    <xf numFmtId="164" fontId="8" fillId="0" borderId="3" xfId="0" applyNumberFormat="1" applyFont="1" applyBorder="1" applyProtection="1">
      <alignment vertical="center"/>
      <protection locked="0"/>
    </xf>
    <xf numFmtId="9" fontId="9" fillId="0" borderId="0" xfId="2" applyFont="1" applyAlignment="1">
      <alignment horizontal="left" vertical="center"/>
    </xf>
    <xf numFmtId="198" fontId="34" fillId="0" borderId="0" xfId="0" applyNumberFormat="1" applyFont="1" applyAlignment="1">
      <alignment horizontal="left" vertical="center"/>
    </xf>
    <xf numFmtId="198" fontId="8" fillId="0" borderId="0" xfId="0" applyNumberFormat="1" applyFont="1" applyAlignment="1">
      <alignment horizontal="left" vertical="center" indent="1"/>
    </xf>
    <xf numFmtId="4" fontId="8" fillId="0" borderId="0" xfId="0" applyNumberFormat="1" applyFont="1">
      <alignment vertical="center"/>
    </xf>
    <xf numFmtId="10" fontId="9" fillId="0" borderId="0" xfId="2" applyNumberFormat="1" applyFont="1" applyFill="1" applyAlignment="1">
      <alignment horizontal="left" vertical="center"/>
    </xf>
    <xf numFmtId="49" fontId="8" fillId="0" borderId="0" xfId="0" applyNumberFormat="1" applyFont="1" applyAlignment="1">
      <alignment horizontal="left" vertical="center"/>
    </xf>
    <xf numFmtId="199" fontId="8" fillId="0" borderId="0" xfId="0" applyNumberFormat="1" applyFont="1" applyAlignment="1">
      <alignment horizontal="left" vertical="center"/>
    </xf>
    <xf numFmtId="178" fontId="7" fillId="0" borderId="0" xfId="0" applyNumberFormat="1" applyFont="1">
      <alignment vertical="center"/>
    </xf>
    <xf numFmtId="0" fontId="42" fillId="0" borderId="0" xfId="0" applyFont="1">
      <alignment vertical="center"/>
    </xf>
    <xf numFmtId="199" fontId="7" fillId="0" borderId="0" xfId="0" applyNumberFormat="1" applyFont="1" applyAlignment="1">
      <alignment horizontal="left" vertical="center"/>
    </xf>
    <xf numFmtId="0" fontId="7" fillId="0" borderId="0" xfId="0" applyFont="1" applyAlignment="1">
      <alignment horizontal="left" vertical="center" indent="1"/>
    </xf>
    <xf numFmtId="9" fontId="9" fillId="0" borderId="0" xfId="2" applyFont="1" applyFill="1" applyAlignment="1">
      <alignment horizontal="center" vertical="center"/>
    </xf>
    <xf numFmtId="38" fontId="34" fillId="0" borderId="4" xfId="0" applyNumberFormat="1" applyFont="1" applyBorder="1">
      <alignment vertical="center"/>
    </xf>
    <xf numFmtId="0" fontId="43" fillId="0" borderId="0" xfId="0" applyFont="1">
      <alignment vertical="center"/>
    </xf>
    <xf numFmtId="0" fontId="44" fillId="0" borderId="0" xfId="0" applyFont="1">
      <alignment vertical="center"/>
    </xf>
    <xf numFmtId="38" fontId="44" fillId="0" borderId="0" xfId="0" applyNumberFormat="1" applyFont="1">
      <alignment vertical="center"/>
    </xf>
    <xf numFmtId="49" fontId="8" fillId="0" borderId="0" xfId="0" applyNumberFormat="1" applyFont="1">
      <alignment vertical="center"/>
    </xf>
    <xf numFmtId="38" fontId="8" fillId="0" borderId="0" xfId="0" applyNumberFormat="1" applyFont="1" applyAlignment="1">
      <alignment vertical="center" wrapText="1"/>
    </xf>
    <xf numFmtId="180" fontId="8" fillId="5" borderId="0" xfId="0" applyNumberFormat="1" applyFont="1" applyFill="1">
      <alignment vertical="center"/>
    </xf>
    <xf numFmtId="180" fontId="9" fillId="0" borderId="0" xfId="0" applyNumberFormat="1" applyFont="1">
      <alignment vertical="center"/>
    </xf>
    <xf numFmtId="200" fontId="8" fillId="0" borderId="0" xfId="0" applyNumberFormat="1" applyFont="1">
      <alignment vertical="center"/>
    </xf>
    <xf numFmtId="38" fontId="8" fillId="0" borderId="0" xfId="0" applyNumberFormat="1" applyFont="1" applyAlignment="1">
      <alignment horizontal="right" vertical="center" wrapText="1"/>
    </xf>
    <xf numFmtId="38" fontId="8" fillId="37" borderId="0" xfId="0" applyNumberFormat="1" applyFont="1" applyFill="1">
      <alignment vertical="center"/>
    </xf>
    <xf numFmtId="49" fontId="34" fillId="0" borderId="0" xfId="0" applyNumberFormat="1" applyFont="1">
      <alignment vertical="center"/>
    </xf>
    <xf numFmtId="38" fontId="7" fillId="34" borderId="3" xfId="0" applyNumberFormat="1" applyFont="1" applyFill="1" applyBorder="1" applyAlignment="1" applyProtection="1">
      <alignment horizontal="right" vertical="center" wrapText="1"/>
      <protection locked="0"/>
    </xf>
    <xf numFmtId="38" fontId="7" fillId="38" borderId="70" xfId="0" applyNumberFormat="1" applyFont="1" applyFill="1" applyBorder="1" applyAlignment="1" applyProtection="1">
      <alignment horizontal="right" vertical="center" wrapText="1"/>
      <protection locked="0"/>
    </xf>
    <xf numFmtId="38" fontId="7" fillId="38" borderId="3" xfId="0" applyNumberFormat="1" applyFont="1" applyFill="1" applyBorder="1" applyAlignment="1" applyProtection="1">
      <alignment horizontal="right" vertical="center" wrapText="1"/>
      <protection locked="0"/>
    </xf>
    <xf numFmtId="38" fontId="7" fillId="0" borderId="3" xfId="0" applyNumberFormat="1" applyFont="1" applyBorder="1" applyAlignment="1" applyProtection="1">
      <alignment horizontal="center" vertical="center" wrapText="1"/>
      <protection locked="0"/>
    </xf>
    <xf numFmtId="38" fontId="7" fillId="0" borderId="0" xfId="0" applyNumberFormat="1" applyFont="1" applyAlignment="1" applyProtection="1">
      <alignment horizontal="center" vertical="center" wrapText="1"/>
      <protection locked="0"/>
    </xf>
    <xf numFmtId="38" fontId="7" fillId="38" borderId="6" xfId="0" applyNumberFormat="1" applyFont="1" applyFill="1" applyBorder="1" applyAlignment="1" applyProtection="1">
      <alignment horizontal="right" vertical="center" wrapText="1"/>
      <protection locked="0"/>
    </xf>
    <xf numFmtId="0" fontId="7" fillId="0" borderId="3" xfId="0" applyFont="1" applyBorder="1" applyAlignment="1" applyProtection="1">
      <alignment horizontal="center" vertical="center" wrapText="1"/>
      <protection locked="0"/>
    </xf>
    <xf numFmtId="0" fontId="7" fillId="0" borderId="0" xfId="0" applyFont="1" applyAlignment="1" applyProtection="1">
      <alignment horizontal="center" vertical="center" wrapText="1"/>
      <protection locked="0"/>
    </xf>
    <xf numFmtId="38" fontId="7" fillId="0" borderId="3" xfId="0" applyNumberFormat="1" applyFont="1" applyBorder="1" applyAlignment="1" applyProtection="1">
      <alignment horizontal="right" vertical="center" wrapText="1"/>
      <protection locked="0"/>
    </xf>
    <xf numFmtId="38" fontId="7" fillId="0" borderId="0" xfId="0" applyNumberFormat="1" applyFont="1" applyAlignment="1" applyProtection="1">
      <alignment horizontal="right" vertical="center" wrapText="1"/>
      <protection locked="0"/>
    </xf>
    <xf numFmtId="38" fontId="7" fillId="0" borderId="64" xfId="0" applyNumberFormat="1" applyFont="1" applyBorder="1" applyAlignment="1" applyProtection="1">
      <alignment horizontal="right" vertical="center" wrapText="1"/>
      <protection locked="0"/>
    </xf>
    <xf numFmtId="180" fontId="7" fillId="36" borderId="70" xfId="0" applyNumberFormat="1" applyFont="1" applyFill="1" applyBorder="1" applyAlignment="1">
      <alignment horizontal="right" vertical="center"/>
    </xf>
    <xf numFmtId="180" fontId="7" fillId="0" borderId="0" xfId="0" applyNumberFormat="1" applyFont="1" applyAlignment="1">
      <alignment horizontal="right" vertical="center" wrapText="1"/>
    </xf>
    <xf numFmtId="180" fontId="7" fillId="36" borderId="6" xfId="0" applyNumberFormat="1" applyFont="1" applyFill="1" applyBorder="1" applyAlignment="1">
      <alignment horizontal="right" vertical="center"/>
    </xf>
    <xf numFmtId="180" fontId="7" fillId="0" borderId="70" xfId="0" applyNumberFormat="1" applyFont="1" applyBorder="1" applyAlignment="1">
      <alignment horizontal="right" vertical="center" wrapText="1"/>
    </xf>
    <xf numFmtId="38" fontId="8" fillId="0" borderId="8" xfId="0" applyNumberFormat="1" applyFont="1" applyBorder="1">
      <alignment vertical="center"/>
    </xf>
    <xf numFmtId="38" fontId="7" fillId="0" borderId="8" xfId="0" applyNumberFormat="1" applyFont="1" applyBorder="1">
      <alignment vertical="center"/>
    </xf>
    <xf numFmtId="38" fontId="8" fillId="0" borderId="65" xfId="0" applyNumberFormat="1" applyFont="1" applyBorder="1" applyAlignment="1">
      <alignment vertical="center" wrapText="1"/>
    </xf>
    <xf numFmtId="38" fontId="8" fillId="0" borderId="65" xfId="0" applyNumberFormat="1" applyFont="1" applyBorder="1">
      <alignment vertical="center"/>
    </xf>
    <xf numFmtId="38" fontId="7" fillId="0" borderId="65" xfId="0" applyNumberFormat="1" applyFont="1" applyBorder="1">
      <alignment vertical="center"/>
    </xf>
    <xf numFmtId="0" fontId="45" fillId="0" borderId="65" xfId="0" applyFont="1" applyBorder="1">
      <alignment vertical="center"/>
    </xf>
    <xf numFmtId="38" fontId="8" fillId="0" borderId="8" xfId="0" applyNumberFormat="1" applyFont="1" applyBorder="1" applyAlignment="1">
      <alignment vertical="center" wrapText="1"/>
    </xf>
    <xf numFmtId="38" fontId="34" fillId="0" borderId="8" xfId="0" applyNumberFormat="1" applyFont="1" applyBorder="1">
      <alignment vertical="center"/>
    </xf>
    <xf numFmtId="38" fontId="34" fillId="0" borderId="65" xfId="0" applyNumberFormat="1" applyFont="1" applyBorder="1">
      <alignment vertical="center"/>
    </xf>
    <xf numFmtId="38" fontId="8" fillId="0" borderId="8" xfId="0" applyNumberFormat="1" applyFont="1" applyBorder="1" applyAlignment="1">
      <alignment horizontal="left" wrapText="1"/>
    </xf>
    <xf numFmtId="38" fontId="8" fillId="0" borderId="0" xfId="0" applyNumberFormat="1" applyFont="1" applyAlignment="1">
      <alignment horizontal="left" wrapText="1"/>
    </xf>
    <xf numFmtId="38" fontId="8" fillId="0" borderId="65" xfId="0" applyNumberFormat="1" applyFont="1" applyBorder="1" applyAlignment="1">
      <alignment horizontal="left" wrapText="1"/>
    </xf>
    <xf numFmtId="0" fontId="8" fillId="0" borderId="0" xfId="0" applyFont="1" applyAlignment="1">
      <alignment vertical="center" wrapText="1"/>
    </xf>
    <xf numFmtId="0" fontId="8" fillId="0" borderId="65" xfId="0" applyFont="1" applyBorder="1" applyAlignment="1">
      <alignment vertical="center" wrapText="1"/>
    </xf>
    <xf numFmtId="0" fontId="46" fillId="0" borderId="0" xfId="166"/>
    <xf numFmtId="0" fontId="8" fillId="0" borderId="0" xfId="166" applyFont="1" applyAlignment="1">
      <alignment horizontal="center"/>
    </xf>
    <xf numFmtId="0" fontId="8" fillId="0" borderId="0" xfId="166" applyFont="1"/>
    <xf numFmtId="0" fontId="8" fillId="0" borderId="7" xfId="166" applyFont="1" applyBorder="1" applyAlignment="1">
      <alignment horizontal="center"/>
    </xf>
    <xf numFmtId="0" fontId="8" fillId="0" borderId="8" xfId="166" applyFont="1" applyBorder="1" applyAlignment="1">
      <alignment horizontal="center"/>
    </xf>
    <xf numFmtId="14" fontId="8" fillId="0" borderId="0" xfId="166" applyNumberFormat="1" applyFont="1" applyAlignment="1">
      <alignment horizontal="center" vertical="center"/>
    </xf>
    <xf numFmtId="14" fontId="8" fillId="0" borderId="7" xfId="166" applyNumberFormat="1" applyFont="1" applyBorder="1" applyAlignment="1">
      <alignment horizontal="center" vertical="center"/>
    </xf>
    <xf numFmtId="14" fontId="8" fillId="0" borderId="8" xfId="166" applyNumberFormat="1" applyFont="1" applyBorder="1" applyAlignment="1">
      <alignment horizontal="center" vertical="center"/>
    </xf>
    <xf numFmtId="0" fontId="8" fillId="0" borderId="0" xfId="166" applyFont="1" applyAlignment="1">
      <alignment horizontal="center" vertical="center"/>
    </xf>
    <xf numFmtId="0" fontId="6" fillId="0" borderId="0" xfId="166" applyFont="1" applyAlignment="1">
      <alignment horizontal="center"/>
    </xf>
    <xf numFmtId="0" fontId="7" fillId="0" borderId="0" xfId="166" applyFont="1"/>
    <xf numFmtId="0" fontId="6" fillId="0" borderId="7" xfId="166" applyFont="1" applyBorder="1" applyAlignment="1">
      <alignment horizontal="center"/>
    </xf>
    <xf numFmtId="4" fontId="5" fillId="0" borderId="0" xfId="166" applyNumberFormat="1" applyFont="1" applyAlignment="1">
      <alignment horizontal="center"/>
    </xf>
    <xf numFmtId="4" fontId="5" fillId="0" borderId="7" xfId="166" applyNumberFormat="1" applyFont="1" applyBorder="1" applyAlignment="1">
      <alignment horizontal="center"/>
    </xf>
    <xf numFmtId="4" fontId="5" fillId="0" borderId="8" xfId="166" applyNumberFormat="1" applyFont="1" applyBorder="1" applyAlignment="1">
      <alignment horizontal="center"/>
    </xf>
    <xf numFmtId="202" fontId="5" fillId="0" borderId="0" xfId="166" applyNumberFormat="1" applyFont="1" applyAlignment="1">
      <alignment horizontal="center"/>
    </xf>
    <xf numFmtId="0" fontId="5" fillId="0" borderId="0" xfId="166" applyFont="1" applyAlignment="1">
      <alignment horizontal="left" indent="1"/>
    </xf>
    <xf numFmtId="4" fontId="47" fillId="0" borderId="0" xfId="196" applyNumberFormat="1" applyFont="1" applyAlignment="1">
      <alignment horizontal="center" vertical="center"/>
    </xf>
    <xf numFmtId="202" fontId="5" fillId="0" borderId="7" xfId="0" applyNumberFormat="1" applyFont="1" applyBorder="1" applyAlignment="1"/>
    <xf numFmtId="202" fontId="5" fillId="0" borderId="7" xfId="166" applyNumberFormat="1" applyFont="1" applyBorder="1" applyAlignment="1">
      <alignment horizontal="center"/>
    </xf>
    <xf numFmtId="202" fontId="5" fillId="0" borderId="8" xfId="166" applyNumberFormat="1" applyFont="1" applyBorder="1" applyAlignment="1">
      <alignment horizontal="center"/>
    </xf>
    <xf numFmtId="4" fontId="48" fillId="0" borderId="7" xfId="0" applyNumberFormat="1" applyFont="1" applyBorder="1" applyAlignment="1">
      <alignment horizontal="center" vertical="center"/>
    </xf>
    <xf numFmtId="0" fontId="6" fillId="12" borderId="0" xfId="166" applyFont="1" applyFill="1" applyAlignment="1">
      <alignment horizontal="center"/>
    </xf>
    <xf numFmtId="0" fontId="8" fillId="12" borderId="0" xfId="166" applyFont="1" applyFill="1"/>
    <xf numFmtId="202" fontId="49" fillId="12" borderId="77" xfId="166" applyNumberFormat="1" applyFont="1" applyFill="1" applyBorder="1"/>
    <xf numFmtId="202" fontId="6" fillId="12" borderId="77" xfId="166" applyNumberFormat="1" applyFont="1" applyFill="1" applyBorder="1" applyAlignment="1">
      <alignment horizontal="center"/>
    </xf>
    <xf numFmtId="202" fontId="6" fillId="12" borderId="78" xfId="166" applyNumberFormat="1" applyFont="1" applyFill="1" applyBorder="1" applyAlignment="1">
      <alignment horizontal="center"/>
    </xf>
    <xf numFmtId="202" fontId="6" fillId="12" borderId="79" xfId="166" applyNumberFormat="1" applyFont="1" applyFill="1" applyBorder="1" applyAlignment="1">
      <alignment horizontal="center"/>
    </xf>
    <xf numFmtId="0" fontId="8" fillId="0" borderId="77" xfId="166" applyFont="1" applyBorder="1"/>
    <xf numFmtId="0" fontId="5" fillId="0" borderId="0" xfId="166" applyFont="1"/>
    <xf numFmtId="4" fontId="8" fillId="0" borderId="0" xfId="166" applyNumberFormat="1" applyFont="1"/>
    <xf numFmtId="202" fontId="6" fillId="0" borderId="80" xfId="166" applyNumberFormat="1" applyFont="1" applyBorder="1" applyAlignment="1">
      <alignment horizontal="center"/>
    </xf>
    <xf numFmtId="202" fontId="6" fillId="0" borderId="81" xfId="166" applyNumberFormat="1" applyFont="1" applyBorder="1" applyAlignment="1">
      <alignment horizontal="center"/>
    </xf>
    <xf numFmtId="202" fontId="6" fillId="0" borderId="82" xfId="166" applyNumberFormat="1" applyFont="1" applyBorder="1" applyAlignment="1">
      <alignment horizontal="center"/>
    </xf>
    <xf numFmtId="0" fontId="8" fillId="0" borderId="80" xfId="166" applyFont="1" applyBorder="1"/>
    <xf numFmtId="202" fontId="6" fillId="0" borderId="0" xfId="166" applyNumberFormat="1" applyFont="1" applyAlignment="1">
      <alignment horizontal="center"/>
    </xf>
    <xf numFmtId="202" fontId="6" fillId="0" borderId="7" xfId="166" applyNumberFormat="1" applyFont="1" applyBorder="1" applyAlignment="1">
      <alignment horizontal="center"/>
    </xf>
    <xf numFmtId="202" fontId="6" fillId="0" borderId="8" xfId="166" applyNumberFormat="1" applyFont="1" applyBorder="1" applyAlignment="1">
      <alignment horizontal="center"/>
    </xf>
    <xf numFmtId="0" fontId="6" fillId="0" borderId="0" xfId="166" applyFont="1"/>
    <xf numFmtId="0" fontId="5" fillId="0" borderId="0" xfId="166" applyFont="1" applyAlignment="1">
      <alignment horizontal="left"/>
    </xf>
    <xf numFmtId="0" fontId="5" fillId="0" borderId="0" xfId="166" applyFont="1" applyAlignment="1">
      <alignment horizontal="center"/>
    </xf>
    <xf numFmtId="202" fontId="5" fillId="5" borderId="7" xfId="166" applyNumberFormat="1" applyFont="1" applyFill="1" applyBorder="1" applyAlignment="1">
      <alignment horizontal="center"/>
    </xf>
    <xf numFmtId="202" fontId="5" fillId="5" borderId="0" xfId="166" applyNumberFormat="1" applyFont="1" applyFill="1" applyAlignment="1">
      <alignment horizontal="center"/>
    </xf>
    <xf numFmtId="0" fontId="50" fillId="0" borderId="0" xfId="166" applyFont="1" applyAlignment="1">
      <alignment horizontal="center"/>
    </xf>
    <xf numFmtId="0" fontId="50" fillId="0" borderId="0" xfId="166" applyFont="1" applyAlignment="1">
      <alignment horizontal="left"/>
    </xf>
    <xf numFmtId="0" fontId="5" fillId="0" borderId="0" xfId="166" applyFont="1" applyAlignment="1">
      <alignment horizontal="left" indent="2"/>
    </xf>
    <xf numFmtId="0" fontId="50" fillId="0" borderId="0" xfId="166" applyFont="1" applyAlignment="1">
      <alignment horizontal="right" wrapText="1"/>
    </xf>
    <xf numFmtId="202" fontId="5" fillId="0" borderId="7" xfId="166" applyNumberFormat="1" applyFont="1" applyBorder="1" applyAlignment="1">
      <alignment horizontal="center" vertical="center"/>
    </xf>
    <xf numFmtId="202" fontId="5" fillId="0" borderId="0" xfId="166" applyNumberFormat="1" applyFont="1" applyAlignment="1">
      <alignment horizontal="center" vertical="center"/>
    </xf>
    <xf numFmtId="0" fontId="50" fillId="0" borderId="0" xfId="166" applyFont="1" applyAlignment="1">
      <alignment horizontal="left" indent="2"/>
    </xf>
    <xf numFmtId="164" fontId="5" fillId="0" borderId="0" xfId="166" applyNumberFormat="1" applyFont="1" applyAlignment="1">
      <alignment horizontal="center"/>
    </xf>
    <xf numFmtId="0" fontId="51" fillId="0" borderId="0" xfId="166" applyFont="1" applyAlignment="1">
      <alignment horizontal="left" indent="2"/>
    </xf>
    <xf numFmtId="202" fontId="6" fillId="5" borderId="0" xfId="166" applyNumberFormat="1" applyFont="1" applyFill="1" applyAlignment="1">
      <alignment horizontal="center"/>
    </xf>
    <xf numFmtId="202" fontId="6" fillId="5" borderId="7" xfId="166" applyNumberFormat="1" applyFont="1" applyFill="1" applyBorder="1" applyAlignment="1">
      <alignment horizontal="center"/>
    </xf>
    <xf numFmtId="202" fontId="6" fillId="37" borderId="0" xfId="166" applyNumberFormat="1" applyFont="1" applyFill="1" applyAlignment="1">
      <alignment horizontal="center"/>
    </xf>
    <xf numFmtId="0" fontId="6" fillId="15" borderId="0" xfId="166" applyFont="1" applyFill="1" applyAlignment="1">
      <alignment horizontal="center"/>
    </xf>
    <xf numFmtId="0" fontId="8" fillId="15" borderId="0" xfId="166" applyFont="1" applyFill="1"/>
    <xf numFmtId="202" fontId="5" fillId="15" borderId="0" xfId="166" applyNumberFormat="1" applyFont="1" applyFill="1" applyAlignment="1">
      <alignment horizontal="center"/>
    </xf>
    <xf numFmtId="202" fontId="5" fillId="15" borderId="7" xfId="166" applyNumberFormat="1" applyFont="1" applyFill="1" applyBorder="1" applyAlignment="1">
      <alignment horizontal="center"/>
    </xf>
    <xf numFmtId="202" fontId="5" fillId="15" borderId="8" xfId="166" applyNumberFormat="1" applyFont="1" applyFill="1" applyBorder="1" applyAlignment="1">
      <alignment horizontal="center"/>
    </xf>
    <xf numFmtId="0" fontId="5" fillId="0" borderId="0" xfId="155" applyFont="1"/>
    <xf numFmtId="0" fontId="6" fillId="0" borderId="0" xfId="155" applyFont="1" applyAlignment="1">
      <alignment horizontal="center"/>
    </xf>
    <xf numFmtId="186" fontId="5" fillId="0" borderId="0" xfId="32" applyNumberFormat="1" applyFont="1" applyFill="1"/>
    <xf numFmtId="186" fontId="5" fillId="0" borderId="0" xfId="32" applyNumberFormat="1" applyFont="1"/>
    <xf numFmtId="186" fontId="5" fillId="0" borderId="4" xfId="32" applyNumberFormat="1" applyFont="1" applyFill="1" applyBorder="1"/>
    <xf numFmtId="186" fontId="5" fillId="0" borderId="5" xfId="32" applyNumberFormat="1" applyFont="1" applyFill="1" applyBorder="1"/>
    <xf numFmtId="186" fontId="5" fillId="0" borderId="6" xfId="32" applyNumberFormat="1" applyFont="1" applyFill="1" applyBorder="1"/>
    <xf numFmtId="186" fontId="5" fillId="0" borderId="9" xfId="32" applyNumberFormat="1" applyFont="1" applyFill="1" applyBorder="1"/>
    <xf numFmtId="186" fontId="5" fillId="0" borderId="11" xfId="32" applyNumberFormat="1" applyFont="1" applyFill="1" applyBorder="1"/>
    <xf numFmtId="186" fontId="5" fillId="0" borderId="1" xfId="32" applyNumberFormat="1" applyFont="1" applyFill="1" applyBorder="1"/>
    <xf numFmtId="186" fontId="5" fillId="0" borderId="7" xfId="32" applyNumberFormat="1" applyFont="1" applyFill="1" applyBorder="1"/>
    <xf numFmtId="186" fontId="5" fillId="0" borderId="8" xfId="32" applyNumberFormat="1" applyFont="1" applyFill="1" applyBorder="1"/>
    <xf numFmtId="186" fontId="5" fillId="0" borderId="0" xfId="32" applyNumberFormat="1" applyFont="1" applyFill="1" applyBorder="1"/>
    <xf numFmtId="3" fontId="5" fillId="0" borderId="0" xfId="155" applyNumberFormat="1" applyFont="1"/>
    <xf numFmtId="186" fontId="5" fillId="0" borderId="0" xfId="155" applyNumberFormat="1" applyFont="1"/>
    <xf numFmtId="186" fontId="5" fillId="0" borderId="1" xfId="155" applyNumberFormat="1" applyFont="1" applyBorder="1"/>
    <xf numFmtId="14" fontId="5" fillId="0" borderId="0" xfId="155" applyNumberFormat="1" applyFont="1"/>
    <xf numFmtId="0" fontId="6" fillId="0" borderId="0" xfId="155" applyFont="1"/>
    <xf numFmtId="186" fontId="6" fillId="0" borderId="0" xfId="155" applyNumberFormat="1" applyFont="1"/>
    <xf numFmtId="4" fontId="5" fillId="0" borderId="0" xfId="155" applyNumberFormat="1" applyFont="1"/>
    <xf numFmtId="43" fontId="5" fillId="0" borderId="0" xfId="155" applyNumberFormat="1" applyFont="1"/>
    <xf numFmtId="43" fontId="5" fillId="0" borderId="0" xfId="32" applyFont="1" applyFill="1"/>
    <xf numFmtId="0" fontId="9" fillId="0" borderId="0" xfId="155" applyFont="1"/>
    <xf numFmtId="186" fontId="9" fillId="0" borderId="7" xfId="32" applyNumberFormat="1" applyFont="1" applyFill="1" applyBorder="1"/>
    <xf numFmtId="186" fontId="9" fillId="0" borderId="8" xfId="32" applyNumberFormat="1" applyFont="1" applyFill="1" applyBorder="1"/>
    <xf numFmtId="38" fontId="5" fillId="0" borderId="0" xfId="61" applyNumberFormat="1" applyFont="1" applyFill="1" applyBorder="1" applyAlignment="1">
      <alignment vertical="center"/>
    </xf>
    <xf numFmtId="0" fontId="5" fillId="0" borderId="0" xfId="196" applyFont="1" applyAlignment="1"/>
    <xf numFmtId="186" fontId="5" fillId="0" borderId="5" xfId="66" applyNumberFormat="1" applyFont="1" applyFill="1" applyBorder="1"/>
    <xf numFmtId="186" fontId="5" fillId="0" borderId="6" xfId="66" applyNumberFormat="1" applyFont="1" applyFill="1" applyBorder="1"/>
    <xf numFmtId="186" fontId="5" fillId="0" borderId="7" xfId="66" applyNumberFormat="1" applyFont="1" applyFill="1" applyBorder="1"/>
    <xf numFmtId="186" fontId="5" fillId="0" borderId="8" xfId="66" applyNumberFormat="1" applyFont="1" applyFill="1" applyBorder="1"/>
    <xf numFmtId="0" fontId="8" fillId="0" borderId="0" xfId="196" applyFont="1" applyAlignment="1"/>
    <xf numFmtId="186" fontId="8" fillId="0" borderId="7" xfId="66" applyNumberFormat="1" applyFont="1" applyFill="1" applyBorder="1"/>
    <xf numFmtId="186" fontId="8" fillId="0" borderId="8" xfId="66" applyNumberFormat="1" applyFont="1" applyFill="1" applyBorder="1"/>
    <xf numFmtId="186" fontId="5" fillId="39" borderId="7" xfId="32" applyNumberFormat="1" applyFont="1" applyFill="1" applyBorder="1"/>
    <xf numFmtId="0" fontId="6" fillId="0" borderId="0" xfId="0" applyFont="1" applyAlignment="1"/>
    <xf numFmtId="165" fontId="6" fillId="0" borderId="0" xfId="1" applyFont="1"/>
    <xf numFmtId="165" fontId="5" fillId="0" borderId="0" xfId="1" applyFont="1"/>
    <xf numFmtId="165" fontId="5" fillId="40" borderId="0" xfId="1" applyFont="1" applyFill="1"/>
    <xf numFmtId="14" fontId="5" fillId="0" borderId="0" xfId="0" applyNumberFormat="1" applyFont="1" applyAlignment="1"/>
    <xf numFmtId="186" fontId="5" fillId="39" borderId="8" xfId="32" applyNumberFormat="1" applyFont="1" applyFill="1" applyBorder="1"/>
    <xf numFmtId="186" fontId="5" fillId="40" borderId="0" xfId="155" applyNumberFormat="1" applyFont="1" applyFill="1"/>
    <xf numFmtId="0" fontId="6" fillId="0" borderId="1" xfId="155" applyFont="1" applyBorder="1"/>
    <xf numFmtId="186" fontId="6" fillId="0" borderId="1" xfId="155" applyNumberFormat="1" applyFont="1" applyBorder="1"/>
    <xf numFmtId="165" fontId="5" fillId="2" borderId="0" xfId="1" applyFont="1" applyFill="1" applyAlignment="1">
      <alignment vertical="center"/>
    </xf>
    <xf numFmtId="0" fontId="52" fillId="2" borderId="0" xfId="0" applyFont="1" applyFill="1">
      <alignment vertical="center"/>
    </xf>
    <xf numFmtId="4" fontId="5" fillId="2" borderId="0" xfId="0" applyNumberFormat="1" applyFont="1" applyFill="1">
      <alignment vertical="center"/>
    </xf>
    <xf numFmtId="0" fontId="5" fillId="0" borderId="3" xfId="195" applyFont="1" applyBorder="1"/>
    <xf numFmtId="165" fontId="5" fillId="2" borderId="3" xfId="1" applyFont="1" applyFill="1" applyBorder="1" applyAlignment="1">
      <alignment vertical="center"/>
    </xf>
    <xf numFmtId="165" fontId="5" fillId="0" borderId="3" xfId="1" applyFont="1" applyBorder="1"/>
    <xf numFmtId="0" fontId="5" fillId="0" borderId="0" xfId="195" applyFont="1"/>
    <xf numFmtId="0" fontId="5" fillId="2" borderId="3" xfId="195" applyFont="1" applyFill="1" applyBorder="1"/>
    <xf numFmtId="9" fontId="5" fillId="2" borderId="3" xfId="1" applyNumberFormat="1" applyFont="1" applyFill="1" applyBorder="1" applyAlignment="1">
      <alignment vertical="center"/>
    </xf>
    <xf numFmtId="181" fontId="8" fillId="2" borderId="3" xfId="1" applyNumberFormat="1" applyFont="1" applyFill="1" applyBorder="1" applyAlignment="1">
      <alignment vertical="center"/>
    </xf>
    <xf numFmtId="9" fontId="8" fillId="2" borderId="3" xfId="1" applyNumberFormat="1" applyFont="1" applyFill="1" applyBorder="1" applyAlignment="1">
      <alignment vertical="center"/>
    </xf>
    <xf numFmtId="0" fontId="5" fillId="2" borderId="3" xfId="0" applyFont="1" applyFill="1" applyBorder="1" applyAlignment="1">
      <alignment horizontal="right" vertical="center"/>
    </xf>
    <xf numFmtId="181" fontId="8" fillId="2" borderId="0" xfId="1" applyNumberFormat="1" applyFont="1" applyFill="1" applyBorder="1" applyAlignment="1">
      <alignment vertical="center"/>
    </xf>
    <xf numFmtId="10" fontId="5" fillId="0" borderId="3" xfId="1" applyNumberFormat="1" applyFont="1" applyFill="1" applyBorder="1" applyAlignment="1">
      <alignment vertical="center"/>
    </xf>
    <xf numFmtId="181" fontId="5" fillId="9" borderId="3" xfId="1" applyNumberFormat="1" applyFont="1" applyFill="1" applyBorder="1" applyAlignment="1">
      <alignment vertical="center"/>
    </xf>
    <xf numFmtId="181" fontId="5" fillId="37" borderId="3" xfId="1" applyNumberFormat="1" applyFont="1" applyFill="1" applyBorder="1" applyAlignment="1">
      <alignment vertical="center"/>
    </xf>
    <xf numFmtId="203" fontId="5" fillId="2" borderId="3" xfId="1" applyNumberFormat="1" applyFont="1" applyFill="1" applyBorder="1" applyAlignment="1">
      <alignment vertical="center"/>
    </xf>
    <xf numFmtId="203" fontId="5" fillId="2" borderId="0" xfId="1" applyNumberFormat="1" applyFont="1" applyFill="1" applyBorder="1" applyAlignment="1">
      <alignment vertical="center"/>
    </xf>
    <xf numFmtId="9" fontId="5" fillId="2" borderId="3" xfId="0" applyNumberFormat="1" applyFont="1" applyFill="1" applyBorder="1">
      <alignment vertical="center"/>
    </xf>
    <xf numFmtId="204" fontId="5" fillId="2" borderId="3" xfId="1" applyNumberFormat="1" applyFont="1" applyFill="1" applyBorder="1" applyAlignment="1">
      <alignment vertical="center"/>
    </xf>
    <xf numFmtId="4" fontId="5" fillId="2" borderId="3" xfId="1" applyNumberFormat="1" applyFont="1" applyFill="1" applyBorder="1" applyAlignment="1">
      <alignment vertical="center"/>
    </xf>
    <xf numFmtId="0" fontId="5" fillId="2" borderId="3" xfId="0" applyFont="1" applyFill="1" applyBorder="1" applyAlignment="1">
      <alignment horizontal="left" vertical="center" indent="2"/>
    </xf>
    <xf numFmtId="9" fontId="5" fillId="2" borderId="3" xfId="2" applyFont="1" applyFill="1" applyBorder="1" applyAlignment="1">
      <alignment vertical="center"/>
    </xf>
    <xf numFmtId="181" fontId="5" fillId="41" borderId="3" xfId="1" applyNumberFormat="1" applyFont="1" applyFill="1" applyBorder="1" applyAlignment="1">
      <alignment vertical="center"/>
    </xf>
    <xf numFmtId="0" fontId="53" fillId="2" borderId="0" xfId="155" applyFont="1" applyFill="1"/>
    <xf numFmtId="0" fontId="35" fillId="2" borderId="0" xfId="155" applyFill="1"/>
    <xf numFmtId="0" fontId="35" fillId="28" borderId="0" xfId="155" applyFill="1" applyAlignment="1">
      <alignment horizontal="right"/>
    </xf>
    <xf numFmtId="194" fontId="35" fillId="28" borderId="0" xfId="67" applyNumberFormat="1" applyFont="1" applyFill="1" applyAlignment="1"/>
    <xf numFmtId="0" fontId="35" fillId="2" borderId="0" xfId="155" applyFill="1" applyAlignment="1">
      <alignment horizontal="center"/>
    </xf>
    <xf numFmtId="0" fontId="54" fillId="2" borderId="0" xfId="155" applyFont="1" applyFill="1"/>
    <xf numFmtId="0" fontId="35" fillId="2" borderId="0" xfId="155" applyFill="1" applyAlignment="1">
      <alignment vertical="center" wrapText="1"/>
    </xf>
    <xf numFmtId="0" fontId="35" fillId="2" borderId="0" xfId="155" applyFill="1" applyAlignment="1">
      <alignment horizontal="center" vertical="center" wrapText="1"/>
    </xf>
    <xf numFmtId="0" fontId="35" fillId="2" borderId="0" xfId="155" applyFill="1" applyAlignment="1">
      <alignment horizontal="center" vertical="center"/>
    </xf>
    <xf numFmtId="0" fontId="35" fillId="2" borderId="0" xfId="155" applyFill="1" applyAlignment="1">
      <alignment horizontal="left" vertical="center"/>
    </xf>
    <xf numFmtId="164" fontId="35" fillId="2" borderId="0" xfId="155" applyNumberFormat="1" applyFill="1"/>
    <xf numFmtId="0" fontId="53" fillId="42" borderId="83" xfId="155" applyFont="1" applyFill="1" applyBorder="1"/>
    <xf numFmtId="0" fontId="53" fillId="42" borderId="83" xfId="155" applyFont="1" applyFill="1" applyBorder="1" applyAlignment="1">
      <alignment vertical="center" wrapText="1"/>
    </xf>
    <xf numFmtId="205" fontId="53" fillId="42" borderId="83" xfId="67" applyNumberFormat="1" applyFont="1" applyFill="1" applyBorder="1" applyAlignment="1"/>
    <xf numFmtId="178" fontId="53" fillId="42" borderId="83" xfId="227" applyNumberFormat="1" applyFont="1" applyFill="1" applyBorder="1" applyAlignment="1"/>
    <xf numFmtId="178" fontId="53" fillId="42" borderId="0" xfId="227" applyNumberFormat="1" applyFont="1" applyFill="1" applyBorder="1" applyAlignment="1"/>
    <xf numFmtId="206" fontId="53" fillId="2" borderId="0" xfId="227" applyNumberFormat="1" applyFont="1" applyFill="1" applyBorder="1" applyAlignment="1"/>
    <xf numFmtId="164" fontId="53" fillId="2" borderId="0" xfId="67" applyFont="1" applyFill="1" applyBorder="1" applyAlignment="1"/>
    <xf numFmtId="14" fontId="53" fillId="2" borderId="0" xfId="155" applyNumberFormat="1" applyFont="1" applyFill="1"/>
    <xf numFmtId="205" fontId="35" fillId="2" borderId="0" xfId="67" applyNumberFormat="1" applyFont="1" applyFill="1" applyAlignment="1"/>
    <xf numFmtId="178" fontId="35" fillId="2" borderId="0" xfId="227" applyNumberFormat="1" applyFont="1" applyFill="1" applyAlignment="1"/>
    <xf numFmtId="10" fontId="35" fillId="2" borderId="0" xfId="155" applyNumberFormat="1" applyFill="1"/>
    <xf numFmtId="206" fontId="35" fillId="2" borderId="0" xfId="227" applyNumberFormat="1" applyFont="1" applyFill="1" applyBorder="1" applyAlignment="1"/>
    <xf numFmtId="164" fontId="35" fillId="2" borderId="0" xfId="67" applyFont="1" applyFill="1" applyBorder="1" applyAlignment="1"/>
    <xf numFmtId="10" fontId="35" fillId="2" borderId="0" xfId="227" applyNumberFormat="1" applyFont="1" applyFill="1" applyBorder="1" applyAlignment="1"/>
    <xf numFmtId="188" fontId="35" fillId="2" borderId="0" xfId="227" applyNumberFormat="1" applyFont="1" applyFill="1" applyBorder="1" applyAlignment="1"/>
    <xf numFmtId="205" fontId="35" fillId="2" borderId="0" xfId="67" applyNumberFormat="1" applyFont="1" applyFill="1" applyAlignment="1">
      <alignment vertical="center"/>
    </xf>
    <xf numFmtId="205" fontId="0" fillId="2" borderId="0" xfId="67" applyNumberFormat="1" applyFont="1" applyFill="1" applyAlignment="1">
      <alignment vertical="center"/>
    </xf>
    <xf numFmtId="178" fontId="35" fillId="2" borderId="0" xfId="155" applyNumberFormat="1" applyFill="1"/>
    <xf numFmtId="205" fontId="0" fillId="2" borderId="0" xfId="67" applyNumberFormat="1" applyFont="1" applyFill="1" applyBorder="1" applyAlignment="1"/>
    <xf numFmtId="0" fontId="35" fillId="2" borderId="0" xfId="155" applyFill="1" applyAlignment="1">
      <alignment vertical="center"/>
    </xf>
    <xf numFmtId="206" fontId="53" fillId="42" borderId="83" xfId="227" applyNumberFormat="1" applyFont="1" applyFill="1" applyBorder="1" applyAlignment="1"/>
    <xf numFmtId="164" fontId="53" fillId="42" borderId="83" xfId="67" applyFont="1" applyFill="1" applyBorder="1" applyAlignment="1"/>
    <xf numFmtId="206" fontId="35" fillId="2" borderId="0" xfId="227" applyNumberFormat="1" applyFont="1" applyFill="1" applyAlignment="1"/>
    <xf numFmtId="164" fontId="35" fillId="2" borderId="0" xfId="67" applyFont="1" applyFill="1" applyAlignment="1"/>
    <xf numFmtId="10" fontId="35" fillId="2" borderId="0" xfId="227" applyNumberFormat="1" applyFont="1" applyFill="1" applyAlignment="1"/>
    <xf numFmtId="188" fontId="35" fillId="2" borderId="0" xfId="227" applyNumberFormat="1" applyFont="1" applyFill="1" applyAlignment="1"/>
    <xf numFmtId="205" fontId="0" fillId="2" borderId="0" xfId="67" applyNumberFormat="1" applyFont="1" applyFill="1" applyAlignment="1"/>
    <xf numFmtId="0" fontId="35" fillId="42" borderId="77" xfId="155" applyFill="1" applyBorder="1" applyAlignment="1">
      <alignment horizontal="right" vertical="center"/>
    </xf>
    <xf numFmtId="205" fontId="35" fillId="42" borderId="77" xfId="67" applyNumberFormat="1" applyFont="1" applyFill="1" applyBorder="1" applyAlignment="1">
      <alignment vertical="center"/>
    </xf>
    <xf numFmtId="164" fontId="53" fillId="42" borderId="86" xfId="67" applyFont="1" applyFill="1" applyBorder="1" applyAlignment="1"/>
    <xf numFmtId="164" fontId="53" fillId="42" borderId="87" xfId="67" applyFont="1" applyFill="1" applyBorder="1" applyAlignment="1"/>
    <xf numFmtId="194" fontId="35" fillId="2" borderId="30" xfId="67" applyNumberFormat="1" applyFont="1" applyFill="1" applyBorder="1" applyAlignment="1"/>
    <xf numFmtId="194" fontId="35" fillId="2" borderId="88" xfId="67" applyNumberFormat="1" applyFont="1" applyFill="1" applyBorder="1" applyAlignment="1"/>
    <xf numFmtId="194" fontId="35" fillId="5" borderId="30" xfId="67" applyNumberFormat="1" applyFont="1" applyFill="1" applyBorder="1" applyAlignment="1"/>
    <xf numFmtId="194" fontId="35" fillId="5" borderId="88" xfId="67" applyNumberFormat="1" applyFont="1" applyFill="1" applyBorder="1" applyAlignment="1"/>
    <xf numFmtId="194" fontId="35" fillId="2" borderId="86" xfId="67" applyNumberFormat="1" applyFont="1" applyFill="1" applyBorder="1" applyAlignment="1"/>
    <xf numFmtId="194" fontId="35" fillId="2" borderId="87" xfId="67" applyNumberFormat="1" applyFont="1" applyFill="1" applyBorder="1" applyAlignment="1"/>
    <xf numFmtId="164" fontId="35" fillId="2" borderId="33" xfId="155" applyNumberFormat="1" applyFill="1" applyBorder="1"/>
    <xf numFmtId="194" fontId="35" fillId="2" borderId="0" xfId="67" applyNumberFormat="1" applyFont="1" applyFill="1" applyAlignment="1"/>
    <xf numFmtId="0" fontId="53" fillId="42" borderId="83" xfId="155" applyFont="1" applyFill="1" applyBorder="1" applyAlignment="1">
      <alignment horizontal="center"/>
    </xf>
    <xf numFmtId="164" fontId="0" fillId="2" borderId="0" xfId="67" applyFont="1" applyFill="1" applyAlignment="1"/>
    <xf numFmtId="164" fontId="35" fillId="42" borderId="77" xfId="67" applyFont="1" applyFill="1" applyBorder="1" applyAlignment="1">
      <alignment vertical="center"/>
    </xf>
    <xf numFmtId="194" fontId="55" fillId="2" borderId="0" xfId="67" applyNumberFormat="1" applyFont="1" applyFill="1" applyAlignment="1"/>
    <xf numFmtId="0" fontId="53" fillId="42" borderId="77" xfId="155" applyFont="1" applyFill="1" applyBorder="1" applyAlignment="1">
      <alignment horizontal="left" vertical="center"/>
    </xf>
    <xf numFmtId="164" fontId="53" fillId="42" borderId="77" xfId="67" applyFont="1" applyFill="1" applyBorder="1" applyAlignment="1">
      <alignment vertical="center"/>
    </xf>
    <xf numFmtId="4" fontId="35" fillId="2" borderId="0" xfId="67" applyNumberFormat="1" applyFont="1" applyFill="1" applyAlignment="1"/>
    <xf numFmtId="207" fontId="35" fillId="2" borderId="0" xfId="155" applyNumberFormat="1" applyFill="1"/>
    <xf numFmtId="205" fontId="53" fillId="2" borderId="0" xfId="155" applyNumberFormat="1" applyFont="1" applyFill="1"/>
    <xf numFmtId="0" fontId="56" fillId="2" borderId="0" xfId="155" applyFont="1" applyFill="1" applyAlignment="1">
      <alignment horizontal="center"/>
    </xf>
    <xf numFmtId="164" fontId="56" fillId="2" borderId="0" xfId="67" applyFont="1" applyFill="1" applyAlignment="1"/>
    <xf numFmtId="10" fontId="56" fillId="2" borderId="0" xfId="227" applyNumberFormat="1" applyFont="1" applyFill="1" applyAlignment="1"/>
    <xf numFmtId="10" fontId="0" fillId="2" borderId="0" xfId="227" applyNumberFormat="1" applyFont="1" applyFill="1" applyAlignment="1"/>
    <xf numFmtId="0" fontId="53" fillId="2" borderId="2" xfId="155" applyFont="1" applyFill="1" applyBorder="1"/>
    <xf numFmtId="164" fontId="53" fillId="2" borderId="2" xfId="67" applyFont="1" applyFill="1" applyBorder="1" applyAlignment="1">
      <alignment vertical="center" wrapText="1"/>
    </xf>
    <xf numFmtId="10" fontId="0" fillId="2" borderId="2" xfId="227" applyNumberFormat="1" applyFont="1" applyFill="1" applyBorder="1" applyAlignment="1"/>
    <xf numFmtId="10" fontId="0" fillId="2" borderId="0" xfId="227" applyNumberFormat="1" applyFont="1" applyFill="1" applyBorder="1" applyAlignment="1"/>
    <xf numFmtId="0" fontId="6" fillId="0" borderId="0" xfId="196" applyFont="1" applyAlignment="1">
      <alignment horizontal="center" vertical="center"/>
    </xf>
    <xf numFmtId="0" fontId="6" fillId="0" borderId="0" xfId="196" applyFont="1">
      <alignment vertical="center"/>
    </xf>
    <xf numFmtId="0" fontId="5" fillId="5" borderId="4" xfId="196" applyFont="1" applyFill="1" applyBorder="1">
      <alignment vertical="center"/>
    </xf>
    <xf numFmtId="0" fontId="5" fillId="0" borderId="0" xfId="196" applyFont="1">
      <alignment vertical="center"/>
    </xf>
    <xf numFmtId="196" fontId="5" fillId="0" borderId="0" xfId="196" applyNumberFormat="1" applyFont="1">
      <alignment vertical="center"/>
    </xf>
    <xf numFmtId="38" fontId="5" fillId="0" borderId="0" xfId="66" applyNumberFormat="1" applyFont="1" applyFill="1" applyAlignment="1">
      <alignment vertical="center"/>
    </xf>
    <xf numFmtId="38" fontId="5" fillId="0" borderId="0" xfId="196" applyNumberFormat="1" applyFont="1">
      <alignment vertical="center"/>
    </xf>
    <xf numFmtId="38" fontId="5" fillId="22" borderId="0" xfId="196" applyNumberFormat="1" applyFont="1" applyFill="1">
      <alignment vertical="center"/>
    </xf>
    <xf numFmtId="196" fontId="6" fillId="0" borderId="0" xfId="196" applyNumberFormat="1" applyFont="1" applyAlignment="1">
      <alignment horizontal="center" vertical="center"/>
    </xf>
    <xf numFmtId="38" fontId="6" fillId="0" borderId="0" xfId="66" applyNumberFormat="1" applyFont="1" applyFill="1" applyAlignment="1">
      <alignment horizontal="center" vertical="center"/>
    </xf>
    <xf numFmtId="38" fontId="6" fillId="0" borderId="0" xfId="196" applyNumberFormat="1" applyFont="1" applyAlignment="1">
      <alignment horizontal="center" vertical="center"/>
    </xf>
    <xf numFmtId="38" fontId="6" fillId="22" borderId="0" xfId="196" applyNumberFormat="1" applyFont="1" applyFill="1" applyAlignment="1">
      <alignment horizontal="center" vertical="center"/>
    </xf>
    <xf numFmtId="38" fontId="6" fillId="0" borderId="0" xfId="196" applyNumberFormat="1" applyFont="1" applyAlignment="1">
      <alignment horizontal="center" vertical="center" wrapText="1"/>
    </xf>
    <xf numFmtId="38" fontId="6" fillId="22" borderId="0" xfId="66" applyNumberFormat="1" applyFont="1" applyFill="1" applyAlignment="1">
      <alignment horizontal="center" vertical="center"/>
    </xf>
    <xf numFmtId="38" fontId="5" fillId="0" borderId="4" xfId="66" applyNumberFormat="1" applyFont="1" applyFill="1" applyBorder="1" applyAlignment="1">
      <alignment vertical="center"/>
    </xf>
    <xf numFmtId="38" fontId="5" fillId="0" borderId="4" xfId="196" applyNumberFormat="1" applyFont="1" applyBorder="1">
      <alignment vertical="center"/>
    </xf>
    <xf numFmtId="38" fontId="5" fillId="22" borderId="4" xfId="196" applyNumberFormat="1" applyFont="1" applyFill="1" applyBorder="1">
      <alignment vertical="center"/>
    </xf>
    <xf numFmtId="38" fontId="5" fillId="0" borderId="0" xfId="66" applyNumberFormat="1" applyFont="1" applyFill="1" applyBorder="1" applyAlignment="1">
      <alignment vertical="center"/>
    </xf>
    <xf numFmtId="38" fontId="5" fillId="22" borderId="4" xfId="66" applyNumberFormat="1" applyFont="1" applyFill="1" applyBorder="1" applyAlignment="1">
      <alignment vertical="center"/>
    </xf>
    <xf numFmtId="38" fontId="5" fillId="22" borderId="0" xfId="66" applyNumberFormat="1" applyFont="1" applyFill="1" applyBorder="1" applyAlignment="1">
      <alignment vertical="center"/>
    </xf>
    <xf numFmtId="196" fontId="5" fillId="0" borderId="0" xfId="196" applyNumberFormat="1" applyFont="1" applyAlignment="1">
      <alignment horizontal="right" vertical="center"/>
    </xf>
    <xf numFmtId="38" fontId="6" fillId="0" borderId="0" xfId="196" applyNumberFormat="1" applyFont="1">
      <alignment vertical="center"/>
    </xf>
    <xf numFmtId="0" fontId="51" fillId="15" borderId="0" xfId="196" applyFont="1" applyFill="1">
      <alignment vertical="center"/>
    </xf>
    <xf numFmtId="38" fontId="6" fillId="0" borderId="1" xfId="196" applyNumberFormat="1" applyFont="1" applyBorder="1">
      <alignment vertical="center"/>
    </xf>
    <xf numFmtId="196" fontId="6" fillId="0" borderId="0" xfId="196" applyNumberFormat="1" applyFont="1" applyAlignment="1">
      <alignment horizontal="right" vertical="center"/>
    </xf>
    <xf numFmtId="38" fontId="6" fillId="0" borderId="4" xfId="66" applyNumberFormat="1" applyFont="1" applyFill="1" applyBorder="1" applyAlignment="1">
      <alignment vertical="center"/>
    </xf>
    <xf numFmtId="38" fontId="6" fillId="22" borderId="0" xfId="66" applyNumberFormat="1" applyFont="1" applyFill="1" applyBorder="1" applyAlignment="1">
      <alignment vertical="center"/>
    </xf>
    <xf numFmtId="0" fontId="6" fillId="43" borderId="0" xfId="196" applyFont="1" applyFill="1">
      <alignment vertical="center"/>
    </xf>
    <xf numFmtId="196" fontId="6" fillId="43" borderId="0" xfId="196" applyNumberFormat="1" applyFont="1" applyFill="1" applyAlignment="1">
      <alignment horizontal="right" vertical="center"/>
    </xf>
    <xf numFmtId="38" fontId="6" fillId="43" borderId="0" xfId="66" applyNumberFormat="1" applyFont="1" applyFill="1" applyBorder="1" applyAlignment="1">
      <alignment vertical="center"/>
    </xf>
    <xf numFmtId="0" fontId="6" fillId="5" borderId="4" xfId="196" applyFont="1" applyFill="1" applyBorder="1">
      <alignment vertical="center"/>
    </xf>
    <xf numFmtId="196" fontId="5" fillId="5" borderId="4" xfId="196" applyNumberFormat="1" applyFont="1" applyFill="1" applyBorder="1">
      <alignment vertical="center"/>
    </xf>
    <xf numFmtId="38" fontId="5" fillId="5" borderId="4" xfId="66" applyNumberFormat="1" applyFont="1" applyFill="1" applyBorder="1" applyAlignment="1">
      <alignment vertical="center"/>
    </xf>
    <xf numFmtId="38" fontId="5" fillId="5" borderId="4" xfId="196" applyNumberFormat="1" applyFont="1" applyFill="1" applyBorder="1">
      <alignment vertical="center"/>
    </xf>
    <xf numFmtId="38" fontId="5" fillId="44" borderId="0" xfId="66" applyNumberFormat="1" applyFont="1" applyFill="1" applyAlignment="1">
      <alignment vertical="center"/>
    </xf>
    <xf numFmtId="38" fontId="6" fillId="43" borderId="4" xfId="196" applyNumberFormat="1" applyFont="1" applyFill="1" applyBorder="1">
      <alignment vertical="center"/>
    </xf>
    <xf numFmtId="38" fontId="6" fillId="22" borderId="4" xfId="196" applyNumberFormat="1" applyFont="1" applyFill="1" applyBorder="1">
      <alignment vertical="center"/>
    </xf>
    <xf numFmtId="38" fontId="5" fillId="45" borderId="0" xfId="66" applyNumberFormat="1" applyFont="1" applyFill="1" applyAlignment="1">
      <alignment vertical="center"/>
    </xf>
    <xf numFmtId="38" fontId="5" fillId="46" borderId="0" xfId="196" applyNumberFormat="1" applyFont="1" applyFill="1">
      <alignment vertical="center"/>
    </xf>
    <xf numFmtId="206" fontId="5" fillId="0" borderId="0" xfId="196" applyNumberFormat="1" applyFont="1">
      <alignment vertical="center"/>
    </xf>
    <xf numFmtId="38" fontId="5" fillId="46" borderId="0" xfId="66" applyNumberFormat="1" applyFont="1" applyFill="1" applyAlignment="1">
      <alignment vertical="center"/>
    </xf>
    <xf numFmtId="38" fontId="5" fillId="5" borderId="0" xfId="196" applyNumberFormat="1" applyFont="1" applyFill="1">
      <alignment vertical="center"/>
    </xf>
    <xf numFmtId="38" fontId="6" fillId="43" borderId="4" xfId="66" applyNumberFormat="1" applyFont="1" applyFill="1" applyBorder="1" applyAlignment="1">
      <alignment vertical="center"/>
    </xf>
    <xf numFmtId="38" fontId="6" fillId="0" borderId="0" xfId="66" applyNumberFormat="1" applyFont="1" applyFill="1" applyBorder="1" applyAlignment="1">
      <alignment vertical="center"/>
    </xf>
    <xf numFmtId="38" fontId="6" fillId="22" borderId="0" xfId="196" applyNumberFormat="1" applyFont="1" applyFill="1">
      <alignment vertical="center"/>
    </xf>
    <xf numFmtId="0" fontId="5" fillId="22" borderId="0" xfId="0" applyFont="1" applyFill="1">
      <alignment vertical="center"/>
    </xf>
    <xf numFmtId="0" fontId="6" fillId="17" borderId="0" xfId="0" applyFont="1" applyFill="1">
      <alignment vertical="center"/>
    </xf>
    <xf numFmtId="0" fontId="5" fillId="17" borderId="0" xfId="0" applyFont="1" applyFill="1">
      <alignment vertical="center"/>
    </xf>
    <xf numFmtId="0" fontId="5" fillId="0" borderId="89" xfId="0" applyFont="1" applyBorder="1">
      <alignment vertical="center"/>
    </xf>
    <xf numFmtId="0" fontId="5" fillId="0" borderId="90" xfId="0" applyFont="1" applyBorder="1">
      <alignment vertical="center"/>
    </xf>
    <xf numFmtId="17" fontId="5" fillId="0" borderId="90" xfId="1" applyNumberFormat="1" applyFont="1" applyFill="1" applyBorder="1" applyAlignment="1">
      <alignment horizontal="right" vertical="center"/>
    </xf>
    <xf numFmtId="0" fontId="5" fillId="0" borderId="91" xfId="0" applyFont="1" applyBorder="1">
      <alignment vertical="center"/>
    </xf>
    <xf numFmtId="0" fontId="5" fillId="0" borderId="30" xfId="0" applyFont="1" applyBorder="1">
      <alignment vertical="center"/>
    </xf>
    <xf numFmtId="9" fontId="5" fillId="47" borderId="0" xfId="0" applyNumberFormat="1" applyFont="1" applyFill="1">
      <alignment vertical="center"/>
    </xf>
    <xf numFmtId="0" fontId="5" fillId="0" borderId="88" xfId="0" applyFont="1" applyBorder="1">
      <alignment vertical="center"/>
    </xf>
    <xf numFmtId="3" fontId="5" fillId="0" borderId="0" xfId="0" applyNumberFormat="1" applyFont="1">
      <alignment vertical="center"/>
    </xf>
    <xf numFmtId="3" fontId="5" fillId="0" borderId="0" xfId="0" applyNumberFormat="1" applyFont="1" applyAlignment="1">
      <alignment horizontal="right" vertical="center"/>
    </xf>
    <xf numFmtId="0" fontId="5" fillId="0" borderId="0" xfId="0" applyFont="1" applyAlignment="1">
      <alignment horizontal="right" vertical="center"/>
    </xf>
    <xf numFmtId="0" fontId="5" fillId="0" borderId="5" xfId="0" applyFont="1" applyBorder="1" applyAlignment="1">
      <alignment horizontal="left" vertical="center" indent="2"/>
    </xf>
    <xf numFmtId="3" fontId="5" fillId="0" borderId="4" xfId="0" applyNumberFormat="1" applyFont="1" applyBorder="1">
      <alignment vertical="center"/>
    </xf>
    <xf numFmtId="15" fontId="5" fillId="0" borderId="6" xfId="0" applyNumberFormat="1" applyFont="1" applyBorder="1">
      <alignment vertical="center"/>
    </xf>
    <xf numFmtId="0" fontId="5" fillId="0" borderId="7" xfId="0" applyFont="1" applyBorder="1" applyAlignment="1">
      <alignment horizontal="left" vertical="center" indent="2"/>
    </xf>
    <xf numFmtId="15" fontId="5" fillId="0" borderId="8" xfId="0" applyNumberFormat="1" applyFont="1" applyBorder="1">
      <alignment vertical="center"/>
    </xf>
    <xf numFmtId="0" fontId="5" fillId="48" borderId="7" xfId="0" applyFont="1" applyFill="1" applyBorder="1" applyAlignment="1">
      <alignment horizontal="left" vertical="center" indent="2"/>
    </xf>
    <xf numFmtId="3" fontId="5" fillId="48" borderId="0" xfId="0" applyNumberFormat="1" applyFont="1" applyFill="1">
      <alignment vertical="center"/>
    </xf>
    <xf numFmtId="15" fontId="5" fillId="48" borderId="8" xfId="0" applyNumberFormat="1" applyFont="1" applyFill="1" applyBorder="1">
      <alignment vertical="center"/>
    </xf>
    <xf numFmtId="0" fontId="5" fillId="48" borderId="9" xfId="0" applyFont="1" applyFill="1" applyBorder="1" applyAlignment="1">
      <alignment horizontal="left" vertical="center" indent="2"/>
    </xf>
    <xf numFmtId="3" fontId="5" fillId="48" borderId="10" xfId="0" applyNumberFormat="1" applyFont="1" applyFill="1" applyBorder="1">
      <alignment vertical="center"/>
    </xf>
    <xf numFmtId="15" fontId="5" fillId="48" borderId="11" xfId="0" applyNumberFormat="1" applyFont="1" applyFill="1" applyBorder="1">
      <alignment vertical="center"/>
    </xf>
    <xf numFmtId="0" fontId="5" fillId="0" borderId="0" xfId="0" applyFont="1" applyAlignment="1">
      <alignment horizontal="left" vertical="center" indent="2"/>
    </xf>
    <xf numFmtId="15" fontId="5" fillId="0" borderId="0" xfId="0" applyNumberFormat="1" applyFont="1">
      <alignment vertical="center"/>
    </xf>
    <xf numFmtId="0" fontId="5" fillId="0" borderId="9" xfId="0" applyFont="1" applyBorder="1" applyAlignment="1">
      <alignment horizontal="left" vertical="center" indent="2"/>
    </xf>
    <xf numFmtId="3" fontId="5" fillId="0" borderId="10" xfId="0" applyNumberFormat="1" applyFont="1" applyBorder="1">
      <alignment vertical="center"/>
    </xf>
    <xf numFmtId="15" fontId="5" fillId="0" borderId="11" xfId="0" applyNumberFormat="1" applyFont="1" applyBorder="1">
      <alignment vertical="center"/>
    </xf>
    <xf numFmtId="9" fontId="5" fillId="47" borderId="0" xfId="2" applyFont="1" applyFill="1" applyBorder="1" applyAlignment="1">
      <alignment vertical="center"/>
    </xf>
    <xf numFmtId="3" fontId="5" fillId="49" borderId="0" xfId="0" applyNumberFormat="1" applyFont="1" applyFill="1">
      <alignment vertical="center"/>
    </xf>
    <xf numFmtId="0" fontId="57" fillId="0" borderId="0" xfId="0" applyFont="1">
      <alignment vertical="center"/>
    </xf>
    <xf numFmtId="178" fontId="5" fillId="0" borderId="0" xfId="0" applyNumberFormat="1" applyFont="1">
      <alignment vertical="center"/>
    </xf>
    <xf numFmtId="15" fontId="5" fillId="0" borderId="5" xfId="0" applyNumberFormat="1" applyFont="1" applyBorder="1" applyAlignment="1">
      <alignment horizontal="left" vertical="center" indent="2"/>
    </xf>
    <xf numFmtId="15" fontId="5" fillId="0" borderId="7" xfId="0" applyNumberFormat="1" applyFont="1" applyBorder="1" applyAlignment="1">
      <alignment horizontal="left" vertical="center" indent="2"/>
    </xf>
    <xf numFmtId="14" fontId="5" fillId="0" borderId="7" xfId="0" applyNumberFormat="1" applyFont="1" applyBorder="1" applyAlignment="1">
      <alignment horizontal="left" vertical="center" indent="2"/>
    </xf>
    <xf numFmtId="1" fontId="5" fillId="0" borderId="8" xfId="0" applyNumberFormat="1" applyFont="1" applyBorder="1">
      <alignment vertical="center"/>
    </xf>
    <xf numFmtId="14" fontId="5" fillId="0" borderId="9" xfId="0" applyNumberFormat="1" applyFont="1" applyBorder="1" applyAlignment="1">
      <alignment horizontal="left" vertical="center" indent="2"/>
    </xf>
    <xf numFmtId="1" fontId="5" fillId="0" borderId="11" xfId="0" applyNumberFormat="1" applyFont="1" applyBorder="1">
      <alignment vertical="center"/>
    </xf>
    <xf numFmtId="14" fontId="5" fillId="0" borderId="0" xfId="0" applyNumberFormat="1" applyFont="1">
      <alignment vertical="center"/>
    </xf>
    <xf numFmtId="2" fontId="5" fillId="0" borderId="0" xfId="0" applyNumberFormat="1" applyFont="1">
      <alignment vertical="center"/>
    </xf>
    <xf numFmtId="0" fontId="5" fillId="0" borderId="92" xfId="0" applyFont="1" applyBorder="1">
      <alignment vertical="center"/>
    </xf>
    <xf numFmtId="0" fontId="5" fillId="0" borderId="77" xfId="0" applyFont="1" applyBorder="1">
      <alignment vertical="center"/>
    </xf>
    <xf numFmtId="0" fontId="5" fillId="0" borderId="93" xfId="0" applyFont="1" applyBorder="1">
      <alignment vertical="center"/>
    </xf>
    <xf numFmtId="0" fontId="6" fillId="17" borderId="0" xfId="0" applyFont="1" applyFill="1" applyAlignment="1">
      <alignment horizontal="center" vertical="center"/>
    </xf>
    <xf numFmtId="3" fontId="5" fillId="17" borderId="0" xfId="0" applyNumberFormat="1" applyFont="1" applyFill="1">
      <alignment vertical="center"/>
    </xf>
    <xf numFmtId="0" fontId="6" fillId="0" borderId="89" xfId="0" applyFont="1" applyBorder="1">
      <alignment vertical="center"/>
    </xf>
    <xf numFmtId="0" fontId="6" fillId="0" borderId="90" xfId="0" applyFont="1" applyBorder="1">
      <alignment vertical="center"/>
    </xf>
    <xf numFmtId="3" fontId="5" fillId="0" borderId="91" xfId="0" applyNumberFormat="1" applyFont="1" applyBorder="1" applyAlignment="1">
      <alignment horizontal="center" vertical="center"/>
    </xf>
    <xf numFmtId="38" fontId="5" fillId="0" borderId="0" xfId="1" applyNumberFormat="1" applyFont="1" applyBorder="1" applyAlignment="1">
      <alignment vertical="center"/>
    </xf>
    <xf numFmtId="0" fontId="5" fillId="0" borderId="88" xfId="0" applyFont="1" applyBorder="1" applyAlignment="1">
      <alignment horizontal="center" vertical="center"/>
    </xf>
    <xf numFmtId="0" fontId="58" fillId="41" borderId="5" xfId="0" applyFont="1" applyFill="1" applyBorder="1" applyAlignment="1">
      <alignment horizontal="left" vertical="center" indent="1"/>
    </xf>
    <xf numFmtId="38" fontId="5" fillId="41" borderId="6" xfId="1" applyNumberFormat="1" applyFont="1" applyFill="1" applyBorder="1" applyAlignment="1">
      <alignment vertical="center"/>
    </xf>
    <xf numFmtId="0" fontId="58" fillId="41" borderId="7" xfId="0" applyFont="1" applyFill="1" applyBorder="1" applyAlignment="1">
      <alignment horizontal="left" vertical="center" indent="1"/>
    </xf>
    <xf numFmtId="38" fontId="5" fillId="41" borderId="8" xfId="1" applyNumberFormat="1" applyFont="1" applyFill="1" applyBorder="1" applyAlignment="1">
      <alignment vertical="center"/>
    </xf>
    <xf numFmtId="0" fontId="8" fillId="41" borderId="9" xfId="0" applyFont="1" applyFill="1" applyBorder="1" applyAlignment="1">
      <alignment horizontal="left" vertical="center" indent="1"/>
    </xf>
    <xf numFmtId="38" fontId="5" fillId="41" borderId="11" xfId="1" applyNumberFormat="1" applyFont="1" applyFill="1" applyBorder="1" applyAlignment="1">
      <alignment vertical="center"/>
    </xf>
    <xf numFmtId="38" fontId="5" fillId="0" borderId="0" xfId="1" applyNumberFormat="1" applyFont="1" applyBorder="1" applyAlignment="1">
      <alignment horizontal="left" vertical="center"/>
    </xf>
    <xf numFmtId="0" fontId="5" fillId="0" borderId="0" xfId="0" applyFont="1" applyAlignment="1">
      <alignment horizontal="left" vertical="center"/>
    </xf>
    <xf numFmtId="0" fontId="8" fillId="0" borderId="77" xfId="0" applyFont="1" applyBorder="1" applyAlignment="1">
      <alignment horizontal="left" vertical="center" indent="1"/>
    </xf>
    <xf numFmtId="38" fontId="5" fillId="0" borderId="77" xfId="1" applyNumberFormat="1" applyFont="1" applyBorder="1" applyAlignment="1">
      <alignment vertical="center"/>
    </xf>
    <xf numFmtId="38" fontId="5" fillId="0" borderId="90" xfId="0" applyNumberFormat="1" applyFont="1" applyBorder="1">
      <alignment vertical="center"/>
    </xf>
    <xf numFmtId="0" fontId="5" fillId="22" borderId="90" xfId="0" applyFont="1" applyFill="1" applyBorder="1">
      <alignment vertical="center"/>
    </xf>
    <xf numFmtId="38" fontId="5" fillId="0" borderId="1" xfId="0" applyNumberFormat="1" applyFont="1" applyBorder="1">
      <alignment vertical="center"/>
    </xf>
    <xf numFmtId="0" fontId="5" fillId="22" borderId="77" xfId="0" applyFont="1" applyFill="1" applyBorder="1">
      <alignment vertical="center"/>
    </xf>
    <xf numFmtId="0" fontId="59" fillId="5" borderId="0" xfId="0" applyFont="1" applyFill="1">
      <alignment vertical="center"/>
    </xf>
    <xf numFmtId="0" fontId="59" fillId="0" borderId="0" xfId="0" applyFont="1">
      <alignment vertical="center"/>
    </xf>
    <xf numFmtId="0" fontId="5" fillId="2" borderId="3" xfId="0" quotePrefix="1" applyFont="1" applyFill="1" applyBorder="1">
      <alignment vertical="center"/>
    </xf>
    <xf numFmtId="0" fontId="5" fillId="30" borderId="3" xfId="0" quotePrefix="1" applyFont="1" applyFill="1" applyBorder="1">
      <alignment vertical="center"/>
    </xf>
    <xf numFmtId="0" fontId="19" fillId="2" borderId="0" xfId="0" quotePrefix="1" applyFont="1" applyFill="1" applyAlignment="1">
      <alignment horizontal="left" vertical="center"/>
    </xf>
    <xf numFmtId="0" fontId="19" fillId="2" borderId="4" xfId="0" quotePrefix="1" applyFont="1" applyFill="1" applyBorder="1">
      <alignment vertical="center"/>
    </xf>
    <xf numFmtId="194" fontId="35" fillId="2" borderId="0" xfId="155" applyNumberFormat="1" applyFill="1"/>
    <xf numFmtId="208" fontId="35" fillId="2" borderId="0" xfId="227" applyNumberFormat="1" applyFont="1" applyFill="1" applyAlignment="1"/>
    <xf numFmtId="208" fontId="35" fillId="2" borderId="0" xfId="155" applyNumberFormat="1" applyFill="1"/>
    <xf numFmtId="205" fontId="53" fillId="37" borderId="83" xfId="67" applyNumberFormat="1" applyFont="1" applyFill="1" applyBorder="1" applyAlignment="1"/>
    <xf numFmtId="43" fontId="35" fillId="2" borderId="0" xfId="155" applyNumberFormat="1" applyFill="1"/>
    <xf numFmtId="38" fontId="5" fillId="51" borderId="0" xfId="66" applyNumberFormat="1" applyFont="1" applyFill="1" applyAlignment="1">
      <alignment vertical="center"/>
    </xf>
    <xf numFmtId="186" fontId="6" fillId="0" borderId="7" xfId="32" applyNumberFormat="1" applyFont="1" applyFill="1" applyBorder="1"/>
    <xf numFmtId="186" fontId="10" fillId="0" borderId="7" xfId="32" applyNumberFormat="1" applyFont="1" applyFill="1" applyBorder="1"/>
    <xf numFmtId="186" fontId="6" fillId="0" borderId="7" xfId="66" applyNumberFormat="1" applyFont="1" applyFill="1" applyBorder="1"/>
    <xf numFmtId="186" fontId="6" fillId="0" borderId="8" xfId="66" applyNumberFormat="1" applyFont="1" applyFill="1" applyBorder="1"/>
    <xf numFmtId="186" fontId="6" fillId="0" borderId="8" xfId="32" applyNumberFormat="1" applyFont="1" applyFill="1" applyBorder="1"/>
    <xf numFmtId="0" fontId="2" fillId="2" borderId="0" xfId="155" applyFont="1" applyFill="1" applyAlignment="1">
      <alignment horizontal="center" vertical="center" wrapText="1"/>
    </xf>
    <xf numFmtId="0" fontId="86" fillId="0" borderId="0" xfId="271" applyFont="1" applyAlignment="1">
      <alignment horizontal="right" vertical="center"/>
    </xf>
    <xf numFmtId="209" fontId="88" fillId="0" borderId="0" xfId="272" applyNumberFormat="1" applyFont="1" applyFill="1" applyAlignment="1">
      <alignment horizontal="right" vertical="center"/>
    </xf>
    <xf numFmtId="0" fontId="89" fillId="52" borderId="0" xfId="271" applyFont="1" applyFill="1" applyAlignment="1">
      <alignment horizontal="left" vertical="center"/>
    </xf>
    <xf numFmtId="0" fontId="86" fillId="52" borderId="0" xfId="271" applyFont="1" applyFill="1" applyAlignment="1">
      <alignment horizontal="right" vertical="center"/>
    </xf>
    <xf numFmtId="209" fontId="88" fillId="52" borderId="0" xfId="272" applyNumberFormat="1" applyFont="1" applyFill="1" applyAlignment="1">
      <alignment horizontal="right" vertical="center"/>
    </xf>
    <xf numFmtId="0" fontId="86" fillId="0" borderId="10" xfId="271" applyFont="1" applyBorder="1" applyAlignment="1">
      <alignment horizontal="center" vertical="center"/>
    </xf>
    <xf numFmtId="0" fontId="90" fillId="0" borderId="10" xfId="271" applyFont="1" applyBorder="1" applyAlignment="1">
      <alignment horizontal="center" vertical="center"/>
    </xf>
    <xf numFmtId="209" fontId="88" fillId="0" borderId="10" xfId="272" applyNumberFormat="1" applyFont="1" applyBorder="1" applyAlignment="1">
      <alignment horizontal="right" vertical="center"/>
    </xf>
    <xf numFmtId="0" fontId="86" fillId="0" borderId="0" xfId="271" applyFont="1" applyAlignment="1">
      <alignment horizontal="center" vertical="center"/>
    </xf>
    <xf numFmtId="194" fontId="86" fillId="53" borderId="0" xfId="272" applyNumberFormat="1" applyFont="1" applyFill="1" applyAlignment="1">
      <alignment horizontal="center" vertical="center"/>
    </xf>
    <xf numFmtId="9" fontId="86" fillId="0" borderId="0" xfId="271" applyNumberFormat="1" applyFont="1" applyAlignment="1">
      <alignment horizontal="center" vertical="center"/>
    </xf>
    <xf numFmtId="210" fontId="86" fillId="0" borderId="0" xfId="271" applyNumberFormat="1" applyFont="1" applyAlignment="1">
      <alignment horizontal="center" vertical="center"/>
    </xf>
    <xf numFmtId="17" fontId="86" fillId="0" borderId="0" xfId="271" applyNumberFormat="1" applyFont="1" applyAlignment="1">
      <alignment horizontal="center" vertical="center"/>
    </xf>
    <xf numFmtId="209" fontId="88" fillId="0" borderId="0" xfId="272" applyNumberFormat="1" applyFont="1" applyAlignment="1">
      <alignment horizontal="center" vertical="center"/>
    </xf>
    <xf numFmtId="210" fontId="86" fillId="0" borderId="0" xfId="272" applyNumberFormat="1" applyFont="1" applyFill="1" applyAlignment="1">
      <alignment horizontal="center" vertical="center"/>
    </xf>
    <xf numFmtId="194" fontId="86" fillId="0" borderId="0" xfId="272" applyNumberFormat="1" applyFont="1" applyAlignment="1">
      <alignment horizontal="center" vertical="center"/>
    </xf>
    <xf numFmtId="209" fontId="88" fillId="0" borderId="0" xfId="272" applyNumberFormat="1" applyFont="1" applyFill="1" applyAlignment="1">
      <alignment horizontal="center" vertical="center"/>
    </xf>
    <xf numFmtId="194" fontId="86" fillId="0" borderId="0" xfId="272" applyNumberFormat="1" applyFont="1" applyFill="1" applyAlignment="1">
      <alignment horizontal="center" vertical="center"/>
    </xf>
    <xf numFmtId="210" fontId="86" fillId="0" borderId="0" xfId="272" applyNumberFormat="1" applyFont="1" applyAlignment="1">
      <alignment horizontal="center" vertical="center"/>
    </xf>
    <xf numFmtId="17" fontId="86" fillId="0" borderId="10" xfId="271" applyNumberFormat="1" applyFont="1" applyBorder="1" applyAlignment="1">
      <alignment horizontal="center" vertical="center"/>
    </xf>
    <xf numFmtId="0" fontId="86" fillId="0" borderId="4" xfId="271" applyFont="1" applyBorder="1" applyAlignment="1">
      <alignment horizontal="center" vertical="center"/>
    </xf>
    <xf numFmtId="194" fontId="86" fillId="0" borderId="4" xfId="272" applyNumberFormat="1" applyFont="1" applyFill="1" applyBorder="1" applyAlignment="1">
      <alignment horizontal="center" vertical="center"/>
    </xf>
    <xf numFmtId="9" fontId="86" fillId="0" borderId="4" xfId="271" applyNumberFormat="1" applyFont="1" applyBorder="1" applyAlignment="1">
      <alignment horizontal="center" vertical="center"/>
    </xf>
    <xf numFmtId="210" fontId="86" fillId="0" borderId="4" xfId="271" applyNumberFormat="1" applyFont="1" applyBorder="1" applyAlignment="1">
      <alignment horizontal="center" vertical="center"/>
    </xf>
    <xf numFmtId="209" fontId="88" fillId="0" borderId="4" xfId="272" applyNumberFormat="1" applyFont="1" applyFill="1" applyBorder="1" applyAlignment="1">
      <alignment horizontal="center" vertical="center"/>
    </xf>
    <xf numFmtId="194" fontId="86" fillId="0" borderId="0" xfId="272" applyNumberFormat="1" applyFont="1" applyFill="1" applyBorder="1" applyAlignment="1">
      <alignment horizontal="center" vertical="center"/>
    </xf>
    <xf numFmtId="194" fontId="86" fillId="0" borderId="10" xfId="272" applyNumberFormat="1" applyFont="1" applyFill="1" applyBorder="1" applyAlignment="1">
      <alignment horizontal="center" vertical="center"/>
    </xf>
    <xf numFmtId="9" fontId="86" fillId="0" borderId="10" xfId="271" applyNumberFormat="1" applyFont="1" applyBorder="1" applyAlignment="1">
      <alignment horizontal="center" vertical="center"/>
    </xf>
    <xf numFmtId="210" fontId="86" fillId="0" borderId="10" xfId="271" applyNumberFormat="1" applyFont="1" applyBorder="1" applyAlignment="1">
      <alignment horizontal="center" vertical="center"/>
    </xf>
    <xf numFmtId="209" fontId="88" fillId="0" borderId="10" xfId="272" applyNumberFormat="1" applyFont="1" applyFill="1" applyBorder="1" applyAlignment="1">
      <alignment horizontal="center" vertical="center"/>
    </xf>
    <xf numFmtId="0" fontId="86" fillId="0" borderId="0" xfId="271" applyFont="1" applyAlignment="1">
      <alignment vertical="center"/>
    </xf>
    <xf numFmtId="209" fontId="88" fillId="0" borderId="0" xfId="272" applyNumberFormat="1" applyFont="1" applyAlignment="1">
      <alignment horizontal="right" vertical="center"/>
    </xf>
    <xf numFmtId="209" fontId="86" fillId="0" borderId="0" xfId="272" applyNumberFormat="1" applyFont="1" applyAlignment="1">
      <alignment horizontal="right" vertical="center"/>
    </xf>
    <xf numFmtId="0" fontId="86" fillId="0" borderId="4" xfId="271" applyFont="1" applyBorder="1" applyAlignment="1">
      <alignment horizontal="right" vertical="center"/>
    </xf>
    <xf numFmtId="209" fontId="86" fillId="0" borderId="4" xfId="272" applyNumberFormat="1" applyFont="1" applyBorder="1" applyAlignment="1">
      <alignment horizontal="right" vertical="center"/>
    </xf>
    <xf numFmtId="15" fontId="5" fillId="0" borderId="9" xfId="0" applyNumberFormat="1" applyFont="1" applyBorder="1" applyAlignment="1">
      <alignment horizontal="left" vertical="center" indent="2"/>
    </xf>
    <xf numFmtId="9" fontId="9" fillId="2" borderId="0" xfId="0" applyNumberFormat="1" applyFont="1" applyFill="1">
      <alignment vertical="center"/>
    </xf>
    <xf numFmtId="183" fontId="8" fillId="14" borderId="0" xfId="3" applyNumberFormat="1" applyFill="1"/>
    <xf numFmtId="183" fontId="5" fillId="14" borderId="0" xfId="3" applyNumberFormat="1" applyFont="1" applyFill="1" applyProtection="1">
      <protection locked="0"/>
    </xf>
    <xf numFmtId="9" fontId="5" fillId="14" borderId="0" xfId="2" applyFont="1" applyFill="1" applyBorder="1" applyAlignment="1" applyProtection="1">
      <protection locked="0"/>
    </xf>
    <xf numFmtId="181" fontId="5" fillId="2" borderId="0" xfId="1" applyNumberFormat="1" applyFont="1" applyFill="1" applyBorder="1" applyAlignment="1">
      <alignment horizontal="center" vertical="center"/>
    </xf>
    <xf numFmtId="181" fontId="5" fillId="0" borderId="0" xfId="1" applyNumberFormat="1" applyFont="1" applyFill="1" applyBorder="1" applyAlignment="1">
      <alignment vertical="center"/>
    </xf>
    <xf numFmtId="0" fontId="5" fillId="2" borderId="0" xfId="1" applyNumberFormat="1" applyFont="1" applyFill="1" applyBorder="1" applyAlignment="1">
      <alignment horizontal="center" vertical="center"/>
    </xf>
    <xf numFmtId="181" fontId="5" fillId="16" borderId="0" xfId="1" applyNumberFormat="1" applyFont="1" applyFill="1" applyBorder="1" applyAlignment="1">
      <alignment vertical="center"/>
    </xf>
    <xf numFmtId="186" fontId="5" fillId="14" borderId="0" xfId="54" applyNumberFormat="1" applyFont="1" applyFill="1" applyBorder="1" applyProtection="1"/>
    <xf numFmtId="183" fontId="8" fillId="14" borderId="6" xfId="3" applyNumberFormat="1" applyFill="1" applyBorder="1"/>
    <xf numFmtId="186" fontId="5" fillId="14" borderId="0" xfId="54" applyNumberFormat="1" applyFont="1" applyFill="1" applyBorder="1" applyAlignment="1" applyProtection="1">
      <alignment vertical="center"/>
    </xf>
    <xf numFmtId="9" fontId="8" fillId="0" borderId="0" xfId="186" applyNumberFormat="1" applyFont="1"/>
    <xf numFmtId="186" fontId="5" fillId="14" borderId="0" xfId="54" applyNumberFormat="1" applyFont="1" applyFill="1" applyBorder="1" applyAlignment="1" applyProtection="1">
      <alignment horizontal="center" vertical="center"/>
    </xf>
    <xf numFmtId="16" fontId="6" fillId="2" borderId="3" xfId="0" applyNumberFormat="1" applyFont="1" applyFill="1" applyBorder="1" applyAlignment="1">
      <alignment horizontal="center" vertical="center"/>
    </xf>
    <xf numFmtId="9" fontId="6" fillId="0" borderId="0" xfId="196" applyNumberFormat="1" applyFont="1" applyAlignment="1">
      <alignment horizontal="center" vertical="center"/>
    </xf>
    <xf numFmtId="15" fontId="6" fillId="2" borderId="3" xfId="0" applyNumberFormat="1" applyFont="1" applyFill="1" applyBorder="1" applyAlignment="1">
      <alignment horizontal="center" vertical="center"/>
    </xf>
    <xf numFmtId="0" fontId="6" fillId="0" borderId="90" xfId="0" quotePrefix="1" applyFont="1" applyBorder="1" applyAlignment="1">
      <alignment horizontal="center" vertical="center"/>
    </xf>
    <xf numFmtId="0" fontId="5" fillId="48" borderId="0" xfId="0" applyFont="1" applyFill="1" applyAlignment="1">
      <alignment horizontal="left" vertical="center" indent="2"/>
    </xf>
    <xf numFmtId="15" fontId="5" fillId="48" borderId="0" xfId="0" applyNumberFormat="1" applyFont="1" applyFill="1">
      <alignment vertical="center"/>
    </xf>
    <xf numFmtId="17" fontId="5" fillId="0" borderId="0" xfId="1" applyNumberFormat="1" applyFont="1" applyFill="1" applyBorder="1" applyAlignment="1">
      <alignment horizontal="right" vertical="center"/>
    </xf>
    <xf numFmtId="181" fontId="5" fillId="0" borderId="0" xfId="1" applyNumberFormat="1" applyFont="1" applyBorder="1" applyAlignment="1">
      <alignment vertical="center"/>
    </xf>
    <xf numFmtId="181" fontId="5" fillId="0" borderId="88" xfId="1" applyNumberFormat="1" applyFont="1" applyBorder="1" applyAlignment="1">
      <alignment vertical="center"/>
    </xf>
    <xf numFmtId="38" fontId="5" fillId="0" borderId="0" xfId="1" applyNumberFormat="1" applyFont="1" applyFill="1" applyBorder="1" applyAlignment="1">
      <alignment horizontal="left" vertical="center"/>
    </xf>
    <xf numFmtId="0" fontId="5" fillId="37" borderId="0" xfId="0" applyFont="1" applyFill="1">
      <alignment vertical="center"/>
    </xf>
    <xf numFmtId="0" fontId="93" fillId="0" borderId="0" xfId="0" applyFont="1" applyAlignment="1">
      <alignment horizontal="left" vertical="center"/>
    </xf>
    <xf numFmtId="0" fontId="93" fillId="0" borderId="0" xfId="0" applyFont="1">
      <alignment vertical="center"/>
    </xf>
    <xf numFmtId="38" fontId="93" fillId="0" borderId="0" xfId="1" applyNumberFormat="1" applyFont="1" applyBorder="1" applyAlignment="1">
      <alignment horizontal="left" vertical="center"/>
    </xf>
    <xf numFmtId="38" fontId="93" fillId="0" borderId="0" xfId="1" applyNumberFormat="1" applyFont="1" applyFill="1" applyBorder="1" applyAlignment="1">
      <alignment horizontal="left" vertical="center"/>
    </xf>
    <xf numFmtId="3" fontId="6" fillId="0" borderId="0" xfId="0" quotePrefix="1" applyNumberFormat="1" applyFont="1" applyAlignment="1">
      <alignment horizontal="center" vertical="center"/>
    </xf>
    <xf numFmtId="0" fontId="6" fillId="0" borderId="0" xfId="0" quotePrefix="1" applyFont="1" applyAlignment="1">
      <alignment horizontal="center" vertical="center"/>
    </xf>
    <xf numFmtId="38" fontId="5" fillId="0" borderId="10" xfId="1" applyNumberFormat="1" applyFont="1" applyBorder="1" applyAlignment="1">
      <alignment vertical="center"/>
    </xf>
    <xf numFmtId="38" fontId="5" fillId="54" borderId="5" xfId="1" applyNumberFormat="1" applyFont="1" applyFill="1" applyBorder="1" applyAlignment="1">
      <alignment vertical="center"/>
    </xf>
    <xf numFmtId="38" fontId="5" fillId="54" borderId="6" xfId="1" applyNumberFormat="1" applyFont="1" applyFill="1" applyBorder="1" applyAlignment="1">
      <alignment vertical="center"/>
    </xf>
    <xf numFmtId="38" fontId="5" fillId="54" borderId="7" xfId="1" applyNumberFormat="1" applyFont="1" applyFill="1" applyBorder="1" applyAlignment="1">
      <alignment vertical="center"/>
    </xf>
    <xf numFmtId="38" fontId="5" fillId="54" borderId="8" xfId="1" applyNumberFormat="1" applyFont="1" applyFill="1" applyBorder="1" applyAlignment="1">
      <alignment vertical="center"/>
    </xf>
    <xf numFmtId="38" fontId="5" fillId="54" borderId="9" xfId="1" applyNumberFormat="1" applyFont="1" applyFill="1" applyBorder="1" applyAlignment="1">
      <alignment vertical="center"/>
    </xf>
    <xf numFmtId="38" fontId="5" fillId="54" borderId="11" xfId="1" applyNumberFormat="1" applyFont="1" applyFill="1" applyBorder="1" applyAlignment="1">
      <alignment vertical="center"/>
    </xf>
    <xf numFmtId="38" fontId="5" fillId="54" borderId="5" xfId="0" applyNumberFormat="1" applyFont="1" applyFill="1" applyBorder="1">
      <alignment vertical="center"/>
    </xf>
    <xf numFmtId="38" fontId="5" fillId="54" borderId="6" xfId="0" applyNumberFormat="1" applyFont="1" applyFill="1" applyBorder="1">
      <alignment vertical="center"/>
    </xf>
    <xf numFmtId="38" fontId="5" fillId="54" borderId="7" xfId="0" applyNumberFormat="1" applyFont="1" applyFill="1" applyBorder="1">
      <alignment vertical="center"/>
    </xf>
    <xf numFmtId="38" fontId="5" fillId="54" borderId="8" xfId="0" applyNumberFormat="1" applyFont="1" applyFill="1" applyBorder="1">
      <alignment vertical="center"/>
    </xf>
    <xf numFmtId="38" fontId="5" fillId="54" borderId="9" xfId="0" applyNumberFormat="1" applyFont="1" applyFill="1" applyBorder="1">
      <alignment vertical="center"/>
    </xf>
    <xf numFmtId="38" fontId="5" fillId="54" borderId="11" xfId="0" applyNumberFormat="1" applyFont="1" applyFill="1" applyBorder="1">
      <alignment vertical="center"/>
    </xf>
    <xf numFmtId="0" fontId="5" fillId="0" borderId="6" xfId="0" applyFont="1" applyBorder="1">
      <alignment vertical="center"/>
    </xf>
    <xf numFmtId="0" fontId="5" fillId="0" borderId="8" xfId="0" applyFont="1" applyBorder="1">
      <alignment vertical="center"/>
    </xf>
    <xf numFmtId="0" fontId="5" fillId="0" borderId="11" xfId="0" applyFont="1" applyBorder="1">
      <alignment vertical="center"/>
    </xf>
    <xf numFmtId="14" fontId="5" fillId="0" borderId="0" xfId="0" applyNumberFormat="1" applyFont="1" applyAlignment="1">
      <alignment horizontal="left" vertical="center" indent="2"/>
    </xf>
    <xf numFmtId="1" fontId="5" fillId="0" borderId="0" xfId="0" applyNumberFormat="1" applyFont="1">
      <alignment vertical="center"/>
    </xf>
    <xf numFmtId="1" fontId="5" fillId="0" borderId="6" xfId="0" applyNumberFormat="1" applyFont="1" applyBorder="1">
      <alignment vertical="center"/>
    </xf>
    <xf numFmtId="1" fontId="5" fillId="2" borderId="3" xfId="0" applyNumberFormat="1" applyFont="1" applyFill="1" applyBorder="1">
      <alignment vertical="center"/>
    </xf>
    <xf numFmtId="4" fontId="5" fillId="0" borderId="0" xfId="0" applyNumberFormat="1" applyFont="1">
      <alignment vertical="center"/>
    </xf>
    <xf numFmtId="4" fontId="5" fillId="0" borderId="88" xfId="0" applyNumberFormat="1" applyFont="1" applyBorder="1">
      <alignment vertical="center"/>
    </xf>
    <xf numFmtId="3" fontId="5" fillId="0" borderId="88" xfId="0" applyNumberFormat="1" applyFont="1" applyBorder="1">
      <alignment vertical="center"/>
    </xf>
    <xf numFmtId="0" fontId="6" fillId="0" borderId="0" xfId="0" applyFont="1" applyAlignment="1">
      <alignment horizontal="center" vertical="center" wrapText="1"/>
    </xf>
    <xf numFmtId="0" fontId="6" fillId="0" borderId="0" xfId="0" applyFont="1" applyAlignment="1">
      <alignment horizontal="left" vertical="center"/>
    </xf>
    <xf numFmtId="178" fontId="94" fillId="0" borderId="0" xfId="2" applyNumberFormat="1" applyFont="1" applyBorder="1" applyAlignment="1">
      <alignment vertical="center"/>
    </xf>
    <xf numFmtId="38" fontId="5" fillId="0" borderId="1" xfId="1" applyNumberFormat="1" applyFont="1" applyBorder="1" applyAlignment="1">
      <alignment vertical="center"/>
    </xf>
    <xf numFmtId="181" fontId="5" fillId="37" borderId="3" xfId="1" applyNumberFormat="1" applyFont="1" applyFill="1" applyBorder="1" applyAlignment="1" applyProtection="1">
      <alignment vertical="center"/>
      <protection locked="0" hidden="1"/>
    </xf>
    <xf numFmtId="40" fontId="5" fillId="0" borderId="88" xfId="1" applyNumberFormat="1" applyFont="1" applyBorder="1" applyAlignment="1">
      <alignment vertical="center"/>
    </xf>
    <xf numFmtId="211" fontId="5" fillId="0" borderId="88" xfId="1" applyNumberFormat="1" applyFont="1" applyBorder="1" applyAlignment="1">
      <alignment vertical="center"/>
    </xf>
    <xf numFmtId="40" fontId="5" fillId="0" borderId="88" xfId="0" applyNumberFormat="1" applyFont="1" applyBorder="1">
      <alignment vertical="center"/>
    </xf>
    <xf numFmtId="165" fontId="5" fillId="0" borderId="88" xfId="1" applyFont="1" applyBorder="1" applyAlignment="1">
      <alignment vertical="center"/>
    </xf>
    <xf numFmtId="38" fontId="5" fillId="0" borderId="77" xfId="0" applyNumberFormat="1" applyFont="1" applyBorder="1">
      <alignment vertical="center"/>
    </xf>
    <xf numFmtId="38" fontId="5" fillId="0" borderId="91" xfId="0" applyNumberFormat="1" applyFont="1" applyBorder="1">
      <alignment vertical="center"/>
    </xf>
    <xf numFmtId="38" fontId="5" fillId="0" borderId="88" xfId="0" applyNumberFormat="1" applyFont="1" applyBorder="1">
      <alignment vertical="center"/>
    </xf>
    <xf numFmtId="0" fontId="5" fillId="49" borderId="0" xfId="196" applyFont="1" applyFill="1">
      <alignment vertical="center"/>
    </xf>
    <xf numFmtId="38" fontId="5" fillId="49" borderId="0" xfId="0" applyNumberFormat="1" applyFont="1" applyFill="1">
      <alignment vertical="center"/>
    </xf>
    <xf numFmtId="38" fontId="5" fillId="49" borderId="88" xfId="0" applyNumberFormat="1" applyFont="1" applyFill="1" applyBorder="1">
      <alignment vertical="center"/>
    </xf>
    <xf numFmtId="38" fontId="5" fillId="54" borderId="94" xfId="0" applyNumberFormat="1" applyFont="1" applyFill="1" applyBorder="1">
      <alignment vertical="center"/>
    </xf>
    <xf numFmtId="38" fontId="5" fillId="54" borderId="88" xfId="0" applyNumberFormat="1" applyFont="1" applyFill="1" applyBorder="1">
      <alignment vertical="center"/>
    </xf>
    <xf numFmtId="38" fontId="5" fillId="54" borderId="95" xfId="0" applyNumberFormat="1" applyFont="1" applyFill="1" applyBorder="1">
      <alignment vertical="center"/>
    </xf>
    <xf numFmtId="0" fontId="95" fillId="0" borderId="88" xfId="0" applyFont="1" applyBorder="1">
      <alignment vertical="center"/>
    </xf>
    <xf numFmtId="0" fontId="95" fillId="0" borderId="0" xfId="0" applyFont="1">
      <alignment vertical="center"/>
    </xf>
    <xf numFmtId="0" fontId="9" fillId="0" borderId="88" xfId="0" applyFont="1" applyBorder="1">
      <alignment vertical="center"/>
    </xf>
    <xf numFmtId="0" fontId="8" fillId="54" borderId="0" xfId="0" applyFont="1" applyFill="1" applyAlignment="1">
      <alignment horizontal="left" vertical="center" indent="1"/>
    </xf>
    <xf numFmtId="0" fontId="86" fillId="0" borderId="4" xfId="271" applyFont="1" applyBorder="1" applyAlignment="1">
      <alignment horizontal="center" vertical="center" wrapText="1"/>
    </xf>
    <xf numFmtId="0" fontId="86" fillId="0" borderId="0" xfId="271" applyFont="1" applyAlignment="1">
      <alignment horizontal="center" vertical="center" wrapText="1"/>
    </xf>
    <xf numFmtId="0" fontId="86" fillId="0" borderId="4" xfId="271" applyFont="1" applyBorder="1" applyAlignment="1">
      <alignment horizontal="center" vertical="center"/>
    </xf>
    <xf numFmtId="0" fontId="86" fillId="0" borderId="0" xfId="271" applyFont="1" applyAlignment="1">
      <alignment horizontal="center" vertical="center"/>
    </xf>
    <xf numFmtId="0" fontId="86" fillId="0" borderId="10" xfId="271" applyFont="1" applyBorder="1" applyAlignment="1">
      <alignment horizontal="center" vertical="center"/>
    </xf>
    <xf numFmtId="164" fontId="53" fillId="42" borderId="84" xfId="67" applyFont="1" applyFill="1" applyBorder="1" applyAlignment="1">
      <alignment horizontal="center"/>
    </xf>
    <xf numFmtId="164" fontId="53" fillId="42" borderId="85" xfId="67" applyFont="1" applyFill="1" applyBorder="1" applyAlignment="1">
      <alignment horizontal="center"/>
    </xf>
    <xf numFmtId="0" fontId="53" fillId="2" borderId="0" xfId="155" applyFont="1" applyFill="1" applyAlignment="1">
      <alignment horizontal="center"/>
    </xf>
    <xf numFmtId="201" fontId="7" fillId="0" borderId="0" xfId="166" applyNumberFormat="1" applyFont="1" applyAlignment="1">
      <alignment horizontal="center" vertical="center"/>
    </xf>
    <xf numFmtId="201" fontId="7" fillId="0" borderId="7" xfId="166" applyNumberFormat="1" applyFont="1" applyBorder="1" applyAlignment="1">
      <alignment horizontal="center" vertical="center"/>
    </xf>
    <xf numFmtId="201" fontId="7" fillId="0" borderId="7" xfId="166" applyNumberFormat="1" applyFont="1" applyBorder="1" applyAlignment="1">
      <alignment horizontal="center" vertical="center" wrapText="1"/>
    </xf>
    <xf numFmtId="201" fontId="7" fillId="0" borderId="0" xfId="166" applyNumberFormat="1" applyFont="1" applyAlignment="1">
      <alignment horizontal="center" vertical="center" wrapText="1"/>
    </xf>
    <xf numFmtId="201" fontId="7" fillId="0" borderId="8" xfId="166" applyNumberFormat="1" applyFont="1" applyBorder="1" applyAlignment="1">
      <alignment horizontal="center" vertical="center" wrapText="1"/>
    </xf>
    <xf numFmtId="181" fontId="8" fillId="0" borderId="53" xfId="186" applyNumberFormat="1" applyFont="1" applyBorder="1" applyAlignment="1">
      <alignment horizontal="center"/>
    </xf>
    <xf numFmtId="0" fontId="8" fillId="0" borderId="53" xfId="186" applyFont="1" applyBorder="1" applyAlignment="1">
      <alignment horizontal="center"/>
    </xf>
    <xf numFmtId="181" fontId="8" fillId="0" borderId="54" xfId="186" applyNumberFormat="1" applyFont="1" applyBorder="1" applyAlignment="1">
      <alignment horizontal="center"/>
    </xf>
    <xf numFmtId="181" fontId="8" fillId="0" borderId="55" xfId="186" applyNumberFormat="1" applyFont="1" applyBorder="1" applyAlignment="1">
      <alignment horizontal="center"/>
    </xf>
    <xf numFmtId="190" fontId="17" fillId="18" borderId="12" xfId="146" applyNumberFormat="1" applyFont="1" applyFill="1" applyBorder="1" applyAlignment="1">
      <alignment horizontal="center" vertical="center"/>
    </xf>
    <xf numFmtId="190" fontId="17" fillId="18" borderId="13" xfId="146" applyNumberFormat="1" applyFont="1" applyFill="1" applyBorder="1" applyAlignment="1">
      <alignment horizontal="center" vertical="center"/>
    </xf>
    <xf numFmtId="0" fontId="6" fillId="2" borderId="5"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6" xfId="0" applyFont="1" applyFill="1" applyBorder="1" applyAlignment="1">
      <alignment horizontal="center" vertical="center"/>
    </xf>
    <xf numFmtId="181" fontId="6" fillId="6" borderId="7" xfId="1" applyNumberFormat="1" applyFont="1" applyFill="1" applyBorder="1" applyAlignment="1">
      <alignment horizontal="center" vertical="center"/>
    </xf>
    <xf numFmtId="181" fontId="6" fillId="6" borderId="0" xfId="1" applyNumberFormat="1" applyFont="1" applyFill="1" applyBorder="1" applyAlignment="1">
      <alignment horizontal="center" vertical="center"/>
    </xf>
    <xf numFmtId="181" fontId="6" fillId="6" borderId="8" xfId="1" applyNumberFormat="1" applyFont="1" applyFill="1" applyBorder="1" applyAlignment="1">
      <alignment horizontal="center" vertical="center"/>
    </xf>
    <xf numFmtId="0" fontId="6" fillId="2" borderId="5" xfId="0" applyFont="1" applyFill="1" applyBorder="1" applyAlignment="1" applyProtection="1">
      <alignment horizontal="center" vertical="center"/>
      <protection locked="0" hidden="1"/>
    </xf>
    <xf numFmtId="0" fontId="6" fillId="2" borderId="4" xfId="0" applyFont="1" applyFill="1" applyBorder="1" applyAlignment="1" applyProtection="1">
      <alignment horizontal="center" vertical="center"/>
      <protection locked="0" hidden="1"/>
    </xf>
    <xf numFmtId="0" fontId="6" fillId="2" borderId="6" xfId="0" applyFont="1" applyFill="1" applyBorder="1" applyAlignment="1" applyProtection="1">
      <alignment horizontal="center" vertical="center"/>
      <protection locked="0" hidden="1"/>
    </xf>
    <xf numFmtId="181" fontId="6" fillId="6" borderId="7" xfId="1" applyNumberFormat="1" applyFont="1" applyFill="1" applyBorder="1" applyAlignment="1" applyProtection="1">
      <alignment horizontal="center" vertical="center"/>
      <protection locked="0" hidden="1"/>
    </xf>
    <xf numFmtId="181" fontId="6" fillId="6" borderId="0" xfId="1" applyNumberFormat="1" applyFont="1" applyFill="1" applyBorder="1" applyAlignment="1" applyProtection="1">
      <alignment horizontal="center" vertical="center"/>
      <protection locked="0" hidden="1"/>
    </xf>
    <xf numFmtId="181" fontId="6" fillId="6" borderId="8" xfId="1" applyNumberFormat="1" applyFont="1" applyFill="1" applyBorder="1" applyAlignment="1" applyProtection="1">
      <alignment horizontal="center" vertical="center"/>
      <protection locked="0" hidden="1"/>
    </xf>
    <xf numFmtId="0" fontId="5" fillId="2" borderId="0" xfId="0" applyFont="1" applyFill="1" applyAlignment="1" applyProtection="1">
      <alignment horizontal="left" vertical="center" wrapText="1"/>
      <protection locked="0" hidden="1"/>
    </xf>
  </cellXfs>
  <cellStyles count="273">
    <cellStyle name="%" xfId="3" xr:uid="{00000000-0005-0000-0000-000031000000}"/>
    <cellStyle name="BB-Input" xfId="4" xr:uid="{00000000-0005-0000-0000-000032000000}"/>
    <cellStyle name="BB-InputSoft" xfId="5" xr:uid="{00000000-0005-0000-0000-000033000000}"/>
    <cellStyle name="Brand Default" xfId="6" xr:uid="{00000000-0005-0000-0000-000034000000}"/>
    <cellStyle name="Comma" xfId="1" builtinId="3"/>
    <cellStyle name="Comma [2]" xfId="7" xr:uid="{00000000-0005-0000-0000-000035000000}"/>
    <cellStyle name="Comma 10" xfId="8" xr:uid="{00000000-0005-0000-0000-000036000000}"/>
    <cellStyle name="Comma 11" xfId="9" xr:uid="{00000000-0005-0000-0000-000037000000}"/>
    <cellStyle name="Comma 12" xfId="10" xr:uid="{00000000-0005-0000-0000-000038000000}"/>
    <cellStyle name="Comma 13" xfId="11" xr:uid="{00000000-0005-0000-0000-000039000000}"/>
    <cellStyle name="Comma 14" xfId="12" xr:uid="{00000000-0005-0000-0000-00003A000000}"/>
    <cellStyle name="Comma 14 2" xfId="13" xr:uid="{00000000-0005-0000-0000-00003B000000}"/>
    <cellStyle name="Comma 15" xfId="14" xr:uid="{00000000-0005-0000-0000-00003C000000}"/>
    <cellStyle name="Comma 16" xfId="15" xr:uid="{00000000-0005-0000-0000-00003D000000}"/>
    <cellStyle name="Comma 17" xfId="16" xr:uid="{00000000-0005-0000-0000-00003E000000}"/>
    <cellStyle name="Comma 18" xfId="17" xr:uid="{00000000-0005-0000-0000-00003F000000}"/>
    <cellStyle name="Comma 19" xfId="18" xr:uid="{00000000-0005-0000-0000-000040000000}"/>
    <cellStyle name="Comma 2" xfId="19" xr:uid="{00000000-0005-0000-0000-000041000000}"/>
    <cellStyle name="Comma 2 2" xfId="20" xr:uid="{00000000-0005-0000-0000-000042000000}"/>
    <cellStyle name="Comma 2 2 2" xfId="21" xr:uid="{00000000-0005-0000-0000-000043000000}"/>
    <cellStyle name="Comma 2 2 2 2" xfId="22" xr:uid="{00000000-0005-0000-0000-000044000000}"/>
    <cellStyle name="Comma 2 2 2 3" xfId="23" xr:uid="{00000000-0005-0000-0000-000045000000}"/>
    <cellStyle name="Comma 2 2 3" xfId="24" xr:uid="{00000000-0005-0000-0000-000046000000}"/>
    <cellStyle name="Comma 2 2 4" xfId="25" xr:uid="{00000000-0005-0000-0000-000047000000}"/>
    <cellStyle name="Comma 2 2 5" xfId="26" xr:uid="{00000000-0005-0000-0000-000048000000}"/>
    <cellStyle name="Comma 2 3" xfId="27" xr:uid="{00000000-0005-0000-0000-000049000000}"/>
    <cellStyle name="Comma 2 4" xfId="28" xr:uid="{00000000-0005-0000-0000-00004A000000}"/>
    <cellStyle name="Comma 2 4 2" xfId="29" xr:uid="{00000000-0005-0000-0000-00004B000000}"/>
    <cellStyle name="Comma 2 4 3" xfId="30" xr:uid="{00000000-0005-0000-0000-00004C000000}"/>
    <cellStyle name="Comma 2 5" xfId="31" xr:uid="{00000000-0005-0000-0000-00004D000000}"/>
    <cellStyle name="Comma 2 6" xfId="32" xr:uid="{00000000-0005-0000-0000-00004E000000}"/>
    <cellStyle name="Comma 20" xfId="33" xr:uid="{00000000-0005-0000-0000-00004F000000}"/>
    <cellStyle name="Comma 21" xfId="34" xr:uid="{00000000-0005-0000-0000-000050000000}"/>
    <cellStyle name="Comma 22" xfId="35" xr:uid="{00000000-0005-0000-0000-000051000000}"/>
    <cellStyle name="Comma 23" xfId="36" xr:uid="{00000000-0005-0000-0000-000052000000}"/>
    <cellStyle name="Comma 24" xfId="37" xr:uid="{00000000-0005-0000-0000-000053000000}"/>
    <cellStyle name="Comma 25" xfId="38" xr:uid="{00000000-0005-0000-0000-000054000000}"/>
    <cellStyle name="Comma 26" xfId="39" xr:uid="{00000000-0005-0000-0000-000055000000}"/>
    <cellStyle name="Comma 27" xfId="40" xr:uid="{00000000-0005-0000-0000-000056000000}"/>
    <cellStyle name="Comma 28" xfId="41" xr:uid="{00000000-0005-0000-0000-000057000000}"/>
    <cellStyle name="Comma 29" xfId="42" xr:uid="{00000000-0005-0000-0000-000058000000}"/>
    <cellStyle name="Comma 3" xfId="43" xr:uid="{00000000-0005-0000-0000-000059000000}"/>
    <cellStyle name="Comma 3 2" xfId="44" xr:uid="{00000000-0005-0000-0000-00005A000000}"/>
    <cellStyle name="Comma 3 2 2" xfId="45" xr:uid="{00000000-0005-0000-0000-00005B000000}"/>
    <cellStyle name="Comma 3 2 3" xfId="46" xr:uid="{00000000-0005-0000-0000-00005C000000}"/>
    <cellStyle name="Comma 3 3" xfId="47" xr:uid="{00000000-0005-0000-0000-00005D000000}"/>
    <cellStyle name="Comma 3 4" xfId="48" xr:uid="{00000000-0005-0000-0000-00005E000000}"/>
    <cellStyle name="Comma 3 5" xfId="49" xr:uid="{00000000-0005-0000-0000-00005F000000}"/>
    <cellStyle name="Comma 30" xfId="50" xr:uid="{00000000-0005-0000-0000-000060000000}"/>
    <cellStyle name="Comma 31" xfId="51" xr:uid="{00000000-0005-0000-0000-000061000000}"/>
    <cellStyle name="Comma 32" xfId="52" xr:uid="{00000000-0005-0000-0000-000062000000}"/>
    <cellStyle name="Comma 33" xfId="53" xr:uid="{00000000-0005-0000-0000-000063000000}"/>
    <cellStyle name="Comma 34" xfId="54" xr:uid="{00000000-0005-0000-0000-000064000000}"/>
    <cellStyle name="Comma 35" xfId="55" xr:uid="{00000000-0005-0000-0000-000065000000}"/>
    <cellStyle name="Comma 36" xfId="56" xr:uid="{00000000-0005-0000-0000-000066000000}"/>
    <cellStyle name="Comma 37" xfId="57" xr:uid="{00000000-0005-0000-0000-000067000000}"/>
    <cellStyle name="Comma 37 2" xfId="58" xr:uid="{00000000-0005-0000-0000-000068000000}"/>
    <cellStyle name="Comma 38" xfId="59" xr:uid="{00000000-0005-0000-0000-000069000000}"/>
    <cellStyle name="Comma 39" xfId="60" xr:uid="{00000000-0005-0000-0000-00006A000000}"/>
    <cellStyle name="Comma 39 2" xfId="61" xr:uid="{00000000-0005-0000-0000-00006B000000}"/>
    <cellStyle name="Comma 4" xfId="62" xr:uid="{00000000-0005-0000-0000-00006C000000}"/>
    <cellStyle name="Comma 4 2" xfId="63" xr:uid="{00000000-0005-0000-0000-00006D000000}"/>
    <cellStyle name="Comma 4 3" xfId="64" xr:uid="{00000000-0005-0000-0000-00006E000000}"/>
    <cellStyle name="Comma 40" xfId="65" xr:uid="{00000000-0005-0000-0000-00006F000000}"/>
    <cellStyle name="Comma 41" xfId="66" xr:uid="{00000000-0005-0000-0000-000070000000}"/>
    <cellStyle name="Comma 42" xfId="67" xr:uid="{00000000-0005-0000-0000-000071000000}"/>
    <cellStyle name="Comma 43" xfId="272" xr:uid="{821B6059-0C16-4E47-A0F1-95FF28D135DF}"/>
    <cellStyle name="Comma 5" xfId="68" xr:uid="{00000000-0005-0000-0000-000072000000}"/>
    <cellStyle name="Comma 6" xfId="69" xr:uid="{00000000-0005-0000-0000-000073000000}"/>
    <cellStyle name="Comma 7" xfId="70" xr:uid="{00000000-0005-0000-0000-000074000000}"/>
    <cellStyle name="Comma 8" xfId="71" xr:uid="{00000000-0005-0000-0000-000075000000}"/>
    <cellStyle name="Comma 9" xfId="72" xr:uid="{00000000-0005-0000-0000-000076000000}"/>
    <cellStyle name="Currency [0] 2" xfId="73" xr:uid="{00000000-0005-0000-0000-000077000000}"/>
    <cellStyle name="Currency [2]" xfId="74" xr:uid="{00000000-0005-0000-0000-000078000000}"/>
    <cellStyle name="Currency 10" xfId="75" xr:uid="{00000000-0005-0000-0000-000079000000}"/>
    <cellStyle name="Currency 10 2" xfId="76" xr:uid="{00000000-0005-0000-0000-00007A000000}"/>
    <cellStyle name="Currency 10 3" xfId="77" xr:uid="{00000000-0005-0000-0000-00007B000000}"/>
    <cellStyle name="Currency 10 4" xfId="78" xr:uid="{00000000-0005-0000-0000-00007C000000}"/>
    <cellStyle name="Currency 11" xfId="79" xr:uid="{00000000-0005-0000-0000-00007D000000}"/>
    <cellStyle name="Currency 11 2" xfId="80" xr:uid="{00000000-0005-0000-0000-00007E000000}"/>
    <cellStyle name="Currency 11 3" xfId="81" xr:uid="{00000000-0005-0000-0000-00007F000000}"/>
    <cellStyle name="Currency 12" xfId="82" xr:uid="{00000000-0005-0000-0000-000080000000}"/>
    <cellStyle name="Currency 12 2" xfId="83" xr:uid="{00000000-0005-0000-0000-000081000000}"/>
    <cellStyle name="Currency 12 3" xfId="84" xr:uid="{00000000-0005-0000-0000-000082000000}"/>
    <cellStyle name="Currency 13" xfId="85" xr:uid="{00000000-0005-0000-0000-000083000000}"/>
    <cellStyle name="Currency 13 2" xfId="86" xr:uid="{00000000-0005-0000-0000-000084000000}"/>
    <cellStyle name="Currency 13 3" xfId="87" xr:uid="{00000000-0005-0000-0000-000085000000}"/>
    <cellStyle name="Currency 14" xfId="88" xr:uid="{00000000-0005-0000-0000-000086000000}"/>
    <cellStyle name="Currency 14 2" xfId="89" xr:uid="{00000000-0005-0000-0000-000087000000}"/>
    <cellStyle name="Currency 15" xfId="90" xr:uid="{00000000-0005-0000-0000-000088000000}"/>
    <cellStyle name="Currency 15 2" xfId="91" xr:uid="{00000000-0005-0000-0000-000089000000}"/>
    <cellStyle name="Currency 16" xfId="92" xr:uid="{00000000-0005-0000-0000-00008A000000}"/>
    <cellStyle name="Currency 16 2" xfId="93" xr:uid="{00000000-0005-0000-0000-00008B000000}"/>
    <cellStyle name="Currency 17" xfId="94" xr:uid="{00000000-0005-0000-0000-00008C000000}"/>
    <cellStyle name="Currency 17 2" xfId="95" xr:uid="{00000000-0005-0000-0000-00008D000000}"/>
    <cellStyle name="Currency 2" xfId="96" xr:uid="{00000000-0005-0000-0000-00008E000000}"/>
    <cellStyle name="Currency 2 2" xfId="97" xr:uid="{00000000-0005-0000-0000-00008F000000}"/>
    <cellStyle name="Currency 2 3" xfId="98" xr:uid="{00000000-0005-0000-0000-000090000000}"/>
    <cellStyle name="Currency 2 4" xfId="99" xr:uid="{00000000-0005-0000-0000-000091000000}"/>
    <cellStyle name="Currency 3" xfId="100" xr:uid="{00000000-0005-0000-0000-000092000000}"/>
    <cellStyle name="Currency 3 2" xfId="101" xr:uid="{00000000-0005-0000-0000-000093000000}"/>
    <cellStyle name="Currency 3 3" xfId="102" xr:uid="{00000000-0005-0000-0000-000094000000}"/>
    <cellStyle name="Currency 4" xfId="103" xr:uid="{00000000-0005-0000-0000-000095000000}"/>
    <cellStyle name="Currency 4 2" xfId="104" xr:uid="{00000000-0005-0000-0000-000096000000}"/>
    <cellStyle name="Currency 4 3" xfId="105" xr:uid="{00000000-0005-0000-0000-000097000000}"/>
    <cellStyle name="Currency 5" xfId="106" xr:uid="{00000000-0005-0000-0000-000098000000}"/>
    <cellStyle name="Currency 5 2" xfId="107" xr:uid="{00000000-0005-0000-0000-000099000000}"/>
    <cellStyle name="Currency 5 3" xfId="108" xr:uid="{00000000-0005-0000-0000-00009A000000}"/>
    <cellStyle name="Currency 6" xfId="109" xr:uid="{00000000-0005-0000-0000-00009B000000}"/>
    <cellStyle name="Currency 6 2" xfId="110" xr:uid="{00000000-0005-0000-0000-00009C000000}"/>
    <cellStyle name="Currency 6 3" xfId="111" xr:uid="{00000000-0005-0000-0000-00009D000000}"/>
    <cellStyle name="Currency 7" xfId="112" xr:uid="{00000000-0005-0000-0000-00009E000000}"/>
    <cellStyle name="Currency 7 2" xfId="113" xr:uid="{00000000-0005-0000-0000-00009F000000}"/>
    <cellStyle name="Currency 7 3" xfId="114" xr:uid="{00000000-0005-0000-0000-0000A0000000}"/>
    <cellStyle name="Currency 8" xfId="115" xr:uid="{00000000-0005-0000-0000-0000A1000000}"/>
    <cellStyle name="Currency 8 2" xfId="116" xr:uid="{00000000-0005-0000-0000-0000A2000000}"/>
    <cellStyle name="Currency 8 3" xfId="117" xr:uid="{00000000-0005-0000-0000-0000A3000000}"/>
    <cellStyle name="Currency 9" xfId="118" xr:uid="{00000000-0005-0000-0000-0000A4000000}"/>
    <cellStyle name="Currency 9 2" xfId="119" xr:uid="{00000000-0005-0000-0000-0000A5000000}"/>
    <cellStyle name="Currency 9 3" xfId="120" xr:uid="{00000000-0005-0000-0000-0000A6000000}"/>
    <cellStyle name="Date [1 Dec 01]" xfId="121" xr:uid="{00000000-0005-0000-0000-0000A7000000}"/>
    <cellStyle name="Date [31/12/02]" xfId="122" xr:uid="{00000000-0005-0000-0000-0000A8000000}"/>
    <cellStyle name="Date [Dec 00]" xfId="123" xr:uid="{00000000-0005-0000-0000-0000A9000000}"/>
    <cellStyle name="Decimal [0]" xfId="124" xr:uid="{00000000-0005-0000-0000-0000AA000000}"/>
    <cellStyle name="Decimal [2]" xfId="125" xr:uid="{00000000-0005-0000-0000-0000AB000000}"/>
    <cellStyle name="Decimal [4]" xfId="126" xr:uid="{00000000-0005-0000-0000-0000AC000000}"/>
    <cellStyle name="Heading 1 2" xfId="127" xr:uid="{00000000-0005-0000-0000-0000AD000000}"/>
    <cellStyle name="Heading 2 2" xfId="128" xr:uid="{00000000-0005-0000-0000-0000AE000000}"/>
    <cellStyle name="Heading 3 2" xfId="129" xr:uid="{00000000-0005-0000-0000-0000AF000000}"/>
    <cellStyle name="Heading 4 2" xfId="130" xr:uid="{00000000-0005-0000-0000-0000B0000000}"/>
    <cellStyle name="Hyperlink 2" xfId="131" xr:uid="{00000000-0005-0000-0000-0000B1000000}"/>
    <cellStyle name="Hyperlink 3" xfId="132" xr:uid="{00000000-0005-0000-0000-0000B2000000}"/>
    <cellStyle name="Normal" xfId="0" builtinId="0"/>
    <cellStyle name="Normal 10" xfId="133" xr:uid="{00000000-0005-0000-0000-0000B3000000}"/>
    <cellStyle name="Normal 11" xfId="134" xr:uid="{00000000-0005-0000-0000-0000B4000000}"/>
    <cellStyle name="Normal 12" xfId="135" xr:uid="{00000000-0005-0000-0000-0000B5000000}"/>
    <cellStyle name="Normal 13" xfId="136" xr:uid="{00000000-0005-0000-0000-0000B6000000}"/>
    <cellStyle name="Normal 14" xfId="137" xr:uid="{00000000-0005-0000-0000-0000B7000000}"/>
    <cellStyle name="Normal 15" xfId="138" xr:uid="{00000000-0005-0000-0000-0000B8000000}"/>
    <cellStyle name="Normal 16" xfId="139" xr:uid="{00000000-0005-0000-0000-0000B9000000}"/>
    <cellStyle name="Normal 17" xfId="140" xr:uid="{00000000-0005-0000-0000-0000BA000000}"/>
    <cellStyle name="Normal 17 2" xfId="141" xr:uid="{00000000-0005-0000-0000-0000BB000000}"/>
    <cellStyle name="Normal 18" xfId="142" xr:uid="{00000000-0005-0000-0000-0000BC000000}"/>
    <cellStyle name="Normal 18 2" xfId="143" xr:uid="{00000000-0005-0000-0000-0000BD000000}"/>
    <cellStyle name="Normal 19" xfId="144" xr:uid="{00000000-0005-0000-0000-0000BE000000}"/>
    <cellStyle name="Normal 19 2" xfId="145" xr:uid="{00000000-0005-0000-0000-0000BF000000}"/>
    <cellStyle name="Normal 2" xfId="146" xr:uid="{00000000-0005-0000-0000-0000C0000000}"/>
    <cellStyle name="Normal 2 2" xfId="147" xr:uid="{00000000-0005-0000-0000-0000C1000000}"/>
    <cellStyle name="Normal 2 2 2" xfId="148" xr:uid="{00000000-0005-0000-0000-0000C2000000}"/>
    <cellStyle name="Normal 2 2 2 2" xfId="149" xr:uid="{00000000-0005-0000-0000-0000C3000000}"/>
    <cellStyle name="Normal 2 2 3" xfId="150" xr:uid="{00000000-0005-0000-0000-0000C4000000}"/>
    <cellStyle name="Normal 2 2 4" xfId="151" xr:uid="{00000000-0005-0000-0000-0000C5000000}"/>
    <cellStyle name="Normal 2 3" xfId="152" xr:uid="{00000000-0005-0000-0000-0000C6000000}"/>
    <cellStyle name="Normal 2 4" xfId="153" xr:uid="{00000000-0005-0000-0000-0000C7000000}"/>
    <cellStyle name="Normal 2 5" xfId="154" xr:uid="{00000000-0005-0000-0000-0000C8000000}"/>
    <cellStyle name="Normal 2 6" xfId="155" xr:uid="{00000000-0005-0000-0000-0000C9000000}"/>
    <cellStyle name="Normal 20" xfId="156" xr:uid="{00000000-0005-0000-0000-0000CA000000}"/>
    <cellStyle name="Normal 20 2" xfId="157" xr:uid="{00000000-0005-0000-0000-0000CB000000}"/>
    <cellStyle name="Normal 21" xfId="158" xr:uid="{00000000-0005-0000-0000-0000CC000000}"/>
    <cellStyle name="Normal 21 2" xfId="159" xr:uid="{00000000-0005-0000-0000-0000CD000000}"/>
    <cellStyle name="Normal 22" xfId="160" xr:uid="{00000000-0005-0000-0000-0000CE000000}"/>
    <cellStyle name="Normal 22 2" xfId="161" xr:uid="{00000000-0005-0000-0000-0000CF000000}"/>
    <cellStyle name="Normal 23" xfId="162" xr:uid="{00000000-0005-0000-0000-0000D0000000}"/>
    <cellStyle name="Normal 24" xfId="163" xr:uid="{00000000-0005-0000-0000-0000D1000000}"/>
    <cellStyle name="Normal 25" xfId="164" xr:uid="{00000000-0005-0000-0000-0000D2000000}"/>
    <cellStyle name="Normal 26" xfId="165" xr:uid="{00000000-0005-0000-0000-0000D3000000}"/>
    <cellStyle name="Normal 27" xfId="166" xr:uid="{00000000-0005-0000-0000-0000D4000000}"/>
    <cellStyle name="Normal 28" xfId="167" xr:uid="{00000000-0005-0000-0000-0000D5000000}"/>
    <cellStyle name="Normal 28 2" xfId="168" xr:uid="{00000000-0005-0000-0000-0000D6000000}"/>
    <cellStyle name="Normal 29" xfId="169" xr:uid="{00000000-0005-0000-0000-0000D7000000}"/>
    <cellStyle name="Normal 29 2" xfId="170" xr:uid="{00000000-0005-0000-0000-0000D8000000}"/>
    <cellStyle name="Normal 3" xfId="171" xr:uid="{00000000-0005-0000-0000-0000D9000000}"/>
    <cellStyle name="Normal 3 2" xfId="172" xr:uid="{00000000-0005-0000-0000-0000DA000000}"/>
    <cellStyle name="Normal 3 2 2" xfId="173" xr:uid="{00000000-0005-0000-0000-0000DB000000}"/>
    <cellStyle name="Normal 3 2 3" xfId="174" xr:uid="{00000000-0005-0000-0000-0000DC000000}"/>
    <cellStyle name="Normal 3 3" xfId="175" xr:uid="{00000000-0005-0000-0000-0000DD000000}"/>
    <cellStyle name="Normal 3 4" xfId="176" xr:uid="{00000000-0005-0000-0000-0000DE000000}"/>
    <cellStyle name="Normal 3 5" xfId="177" xr:uid="{00000000-0005-0000-0000-0000DF000000}"/>
    <cellStyle name="Normal 30" xfId="178" xr:uid="{00000000-0005-0000-0000-0000E0000000}"/>
    <cellStyle name="Normal 30 2" xfId="179" xr:uid="{00000000-0005-0000-0000-0000E1000000}"/>
    <cellStyle name="Normal 31" xfId="180" xr:uid="{00000000-0005-0000-0000-0000E2000000}"/>
    <cellStyle name="Normal 31 2" xfId="181" xr:uid="{00000000-0005-0000-0000-0000E3000000}"/>
    <cellStyle name="Normal 32" xfId="182" xr:uid="{00000000-0005-0000-0000-0000E4000000}"/>
    <cellStyle name="Normal 32 2" xfId="183" xr:uid="{00000000-0005-0000-0000-0000E5000000}"/>
    <cellStyle name="Normal 33" xfId="184" xr:uid="{00000000-0005-0000-0000-0000E6000000}"/>
    <cellStyle name="Normal 34" xfId="185" xr:uid="{00000000-0005-0000-0000-0000E7000000}"/>
    <cellStyle name="Normal 35" xfId="186" xr:uid="{00000000-0005-0000-0000-0000E8000000}"/>
    <cellStyle name="Normal 36" xfId="187" xr:uid="{00000000-0005-0000-0000-0000E9000000}"/>
    <cellStyle name="Normal 37" xfId="188" xr:uid="{00000000-0005-0000-0000-0000EA000000}"/>
    <cellStyle name="Normal 38" xfId="189" xr:uid="{00000000-0005-0000-0000-0000EB000000}"/>
    <cellStyle name="Normal 39" xfId="190" xr:uid="{00000000-0005-0000-0000-0000EC000000}"/>
    <cellStyle name="Normal 4" xfId="191" xr:uid="{00000000-0005-0000-0000-0000ED000000}"/>
    <cellStyle name="Normal 4 2" xfId="192" xr:uid="{00000000-0005-0000-0000-0000EE000000}"/>
    <cellStyle name="Normal 4 3" xfId="193" xr:uid="{00000000-0005-0000-0000-0000EF000000}"/>
    <cellStyle name="Normal 4 4" xfId="194" xr:uid="{00000000-0005-0000-0000-0000F0000000}"/>
    <cellStyle name="Normal 40" xfId="195" xr:uid="{00000000-0005-0000-0000-0000F1000000}"/>
    <cellStyle name="Normal 41" xfId="196" xr:uid="{00000000-0005-0000-0000-0000F2000000}"/>
    <cellStyle name="Normal 42" xfId="271" xr:uid="{B7B869E5-D451-492F-86F3-F98C161E7921}"/>
    <cellStyle name="Normal 5" xfId="197" xr:uid="{00000000-0005-0000-0000-0000F3000000}"/>
    <cellStyle name="Normal 5 2" xfId="198" xr:uid="{00000000-0005-0000-0000-0000F4000000}"/>
    <cellStyle name="Normal 6" xfId="199" xr:uid="{00000000-0005-0000-0000-0000F5000000}"/>
    <cellStyle name="Normal 6 2" xfId="200" xr:uid="{00000000-0005-0000-0000-0000F6000000}"/>
    <cellStyle name="Normal 7" xfId="201" xr:uid="{00000000-0005-0000-0000-0000F7000000}"/>
    <cellStyle name="Normal 7 2" xfId="202" xr:uid="{00000000-0005-0000-0000-0000F8000000}"/>
    <cellStyle name="Normal 8" xfId="203" xr:uid="{00000000-0005-0000-0000-0000F9000000}"/>
    <cellStyle name="Normal 9" xfId="204" xr:uid="{00000000-0005-0000-0000-0000FA000000}"/>
    <cellStyle name="Percent" xfId="2" builtinId="5"/>
    <cellStyle name="Percent [0]" xfId="205" xr:uid="{00000000-0005-0000-0000-0000FB000000}"/>
    <cellStyle name="Percent [1]" xfId="206" xr:uid="{00000000-0005-0000-0000-0000FC000000}"/>
    <cellStyle name="Percent [2]" xfId="207" xr:uid="{00000000-0005-0000-0000-0000FD000000}"/>
    <cellStyle name="Percent 10" xfId="208" xr:uid="{00000000-0005-0000-0000-0000FE000000}"/>
    <cellStyle name="Percent 11" xfId="209" xr:uid="{00000000-0005-0000-0000-0000FF000000}"/>
    <cellStyle name="Percent 12" xfId="210" xr:uid="{00000000-0005-0000-0000-000000010000}"/>
    <cellStyle name="Percent 13" xfId="211" xr:uid="{00000000-0005-0000-0000-000001010000}"/>
    <cellStyle name="Percent 14" xfId="212" xr:uid="{00000000-0005-0000-0000-000002010000}"/>
    <cellStyle name="Percent 15" xfId="213" xr:uid="{00000000-0005-0000-0000-000003010000}"/>
    <cellStyle name="Percent 16" xfId="214" xr:uid="{00000000-0005-0000-0000-000004010000}"/>
    <cellStyle name="Percent 17" xfId="215" xr:uid="{00000000-0005-0000-0000-000005010000}"/>
    <cellStyle name="Percent 18" xfId="216" xr:uid="{00000000-0005-0000-0000-000006010000}"/>
    <cellStyle name="Percent 19" xfId="217" xr:uid="{00000000-0005-0000-0000-000007010000}"/>
    <cellStyle name="Percent 2" xfId="218" xr:uid="{00000000-0005-0000-0000-000008010000}"/>
    <cellStyle name="Percent 2 2" xfId="219" xr:uid="{00000000-0005-0000-0000-000009010000}"/>
    <cellStyle name="Percent 2 3" xfId="220" xr:uid="{00000000-0005-0000-0000-00000A010000}"/>
    <cellStyle name="Percent 20" xfId="221" xr:uid="{00000000-0005-0000-0000-00000B010000}"/>
    <cellStyle name="Percent 21" xfId="222" xr:uid="{00000000-0005-0000-0000-00000C010000}"/>
    <cellStyle name="Percent 22" xfId="223" xr:uid="{00000000-0005-0000-0000-00000D010000}"/>
    <cellStyle name="Percent 23" xfId="224" xr:uid="{00000000-0005-0000-0000-00000E010000}"/>
    <cellStyle name="Percent 24" xfId="225" xr:uid="{00000000-0005-0000-0000-00000F010000}"/>
    <cellStyle name="Percent 25" xfId="226" xr:uid="{00000000-0005-0000-0000-000010010000}"/>
    <cellStyle name="Percent 26" xfId="227" xr:uid="{00000000-0005-0000-0000-000011010000}"/>
    <cellStyle name="Percent 3" xfId="228" xr:uid="{00000000-0005-0000-0000-000012010000}"/>
    <cellStyle name="Percent 4" xfId="229" xr:uid="{00000000-0005-0000-0000-000013010000}"/>
    <cellStyle name="Percent 5" xfId="230" xr:uid="{00000000-0005-0000-0000-000014010000}"/>
    <cellStyle name="Percent 6" xfId="231" xr:uid="{00000000-0005-0000-0000-000015010000}"/>
    <cellStyle name="Percent 7" xfId="232" xr:uid="{00000000-0005-0000-0000-000016010000}"/>
    <cellStyle name="Percent 8" xfId="233" xr:uid="{00000000-0005-0000-0000-000017010000}"/>
    <cellStyle name="Percent 9" xfId="234" xr:uid="{00000000-0005-0000-0000-000018010000}"/>
    <cellStyle name="Warning" xfId="235" xr:uid="{00000000-0005-0000-0000-000019010000}"/>
    <cellStyle name="Yes/No" xfId="236" xr:uid="{00000000-0005-0000-0000-00001A010000}"/>
    <cellStyle name="一般" xfId="237" xr:uid="{00000000-0005-0000-0000-00001B010000}"/>
    <cellStyle name="一般 2" xfId="238" xr:uid="{00000000-0005-0000-0000-00001C010000}"/>
    <cellStyle name="一般 2 2" xfId="239" xr:uid="{00000000-0005-0000-0000-00001D010000}"/>
    <cellStyle name="一般 2 2 2" xfId="240" xr:uid="{00000000-0005-0000-0000-00001E010000}"/>
    <cellStyle name="一般 2 2 3" xfId="241" xr:uid="{00000000-0005-0000-0000-00001F010000}"/>
    <cellStyle name="一般 2 3" xfId="242" xr:uid="{00000000-0005-0000-0000-000020010000}"/>
    <cellStyle name="一般 2 3 2" xfId="243" xr:uid="{00000000-0005-0000-0000-000021010000}"/>
    <cellStyle name="一般 2 4" xfId="244" xr:uid="{00000000-0005-0000-0000-000022010000}"/>
    <cellStyle name="一般_Children Potential Fixed Assets" xfId="245" xr:uid="{00000000-0005-0000-0000-000023010000}"/>
    <cellStyle name="千位分隔 3 10" xfId="246" xr:uid="{00000000-0005-0000-0000-000024010000}"/>
    <cellStyle name="千分位 2" xfId="247" xr:uid="{00000000-0005-0000-0000-000025010000}"/>
    <cellStyle name="千分位 2 2" xfId="248" xr:uid="{00000000-0005-0000-0000-000026010000}"/>
    <cellStyle name="千分位 2 2 2" xfId="249" xr:uid="{00000000-0005-0000-0000-000027010000}"/>
    <cellStyle name="千分位 2 3" xfId="250" xr:uid="{00000000-0005-0000-0000-000028010000}"/>
    <cellStyle name="千分位 2 3 2" xfId="251" xr:uid="{00000000-0005-0000-0000-000029010000}"/>
    <cellStyle name="千分位 2 3 3" xfId="252" xr:uid="{00000000-0005-0000-0000-00002A010000}"/>
    <cellStyle name="千分位 2 4" xfId="253" xr:uid="{00000000-0005-0000-0000-00002B010000}"/>
    <cellStyle name="千分位 2 4 2" xfId="254" xr:uid="{00000000-0005-0000-0000-00002C010000}"/>
    <cellStyle name="千分位 2 5" xfId="255" xr:uid="{00000000-0005-0000-0000-00002D010000}"/>
    <cellStyle name="千分位 2 5 2" xfId="256" xr:uid="{00000000-0005-0000-0000-00002E010000}"/>
    <cellStyle name="千分位 3" xfId="257" xr:uid="{00000000-0005-0000-0000-00002F010000}"/>
    <cellStyle name="千分位_F F Addition" xfId="258" xr:uid="{00000000-0005-0000-0000-000030010000}"/>
    <cellStyle name="常规 2" xfId="259" xr:uid="{00000000-0005-0000-0000-000031010000}"/>
    <cellStyle name="常规 2 2" xfId="260" xr:uid="{00000000-0005-0000-0000-000032010000}"/>
    <cellStyle name="常规 3" xfId="261" xr:uid="{00000000-0005-0000-0000-000033010000}"/>
    <cellStyle name="常规 4" xfId="262" xr:uid="{00000000-0005-0000-0000-000034010000}"/>
    <cellStyle name="常规 4 2" xfId="263" xr:uid="{00000000-0005-0000-0000-000035010000}"/>
    <cellStyle name="常规 4 3" xfId="264" xr:uid="{00000000-0005-0000-0000-000036010000}"/>
    <cellStyle name="常规 4 6" xfId="265" xr:uid="{00000000-0005-0000-0000-000037010000}"/>
    <cellStyle name="常规 5 10" xfId="266" xr:uid="{00000000-0005-0000-0000-000038010000}"/>
    <cellStyle name="常规 5 5" xfId="267" xr:uid="{00000000-0005-0000-0000-000039010000}"/>
    <cellStyle name="常规 6" xfId="268" xr:uid="{00000000-0005-0000-0000-00003A010000}"/>
    <cellStyle name="常规 7" xfId="269" xr:uid="{00000000-0005-0000-0000-00003B010000}"/>
    <cellStyle name="百分比 2 10" xfId="270" xr:uid="{00000000-0005-0000-0000-00003C010000}"/>
  </cellStyles>
  <dxfs count="244">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theme="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theme="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ont>
        <color auto="1"/>
      </font>
      <fill>
        <patternFill patternType="solid">
          <bgColor theme="2" tint="-9.9612414929654836E-2"/>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44"/>
        </patternFill>
      </fill>
    </dxf>
    <dxf>
      <fill>
        <patternFill patternType="solid">
          <fgColor indexed="10"/>
          <bgColor indexed="35"/>
        </patternFill>
      </fill>
    </dxf>
    <dxf>
      <fill>
        <patternFill patternType="solid">
          <fgColor indexed="10"/>
          <bgColor indexed="29"/>
        </patternFill>
      </fill>
    </dxf>
    <dxf>
      <fill>
        <patternFill patternType="solid">
          <fgColor indexed="10"/>
          <bgColor indexed="44"/>
        </patternFill>
      </fill>
    </dxf>
    <dxf>
      <fill>
        <patternFill patternType="solid">
          <fgColor indexed="10"/>
          <bgColor indexed="3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29"/>
        </patternFill>
      </fill>
    </dxf>
    <dxf>
      <fill>
        <patternFill patternType="solid">
          <fgColor indexed="10"/>
          <bgColor indexed="55"/>
        </patternFill>
      </fill>
    </dxf>
    <dxf>
      <fill>
        <patternFill patternType="solid">
          <fgColor indexed="10"/>
          <bgColor indexed="44"/>
        </patternFill>
      </fill>
    </dxf>
    <dxf>
      <fill>
        <patternFill patternType="solid">
          <fgColor indexed="10"/>
          <bgColor indexed="35"/>
        </patternFill>
      </fill>
    </dxf>
    <dxf>
      <fill>
        <patternFill patternType="solid">
          <fgColor indexed="10"/>
          <bgColor indexed="29"/>
        </patternFill>
      </fill>
    </dxf>
    <dxf>
      <fill>
        <patternFill patternType="solid">
          <fgColor indexed="10"/>
          <bgColor indexed="44"/>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44"/>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44"/>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35"/>
        </patternFill>
      </fill>
    </dxf>
    <dxf>
      <fill>
        <patternFill patternType="solid">
          <fgColor indexed="10"/>
          <bgColor indexed="29"/>
        </patternFill>
      </fill>
    </dxf>
    <dxf>
      <fill>
        <patternFill patternType="solid">
          <fgColor indexed="10"/>
          <bgColor indexed="44"/>
        </patternFill>
      </fill>
    </dxf>
    <dxf>
      <fill>
        <patternFill patternType="solid">
          <fgColor indexed="10"/>
          <bgColor indexed="35"/>
        </patternFill>
      </fill>
    </dxf>
    <dxf>
      <fill>
        <patternFill patternType="solid">
          <fgColor indexed="10"/>
          <bgColor indexed="29"/>
        </patternFill>
      </fill>
    </dxf>
    <dxf>
      <fill>
        <patternFill patternType="solid">
          <fgColor indexed="10"/>
          <bgColor indexed="44"/>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44"/>
        </patternFill>
      </fill>
    </dxf>
    <dxf>
      <fill>
        <patternFill patternType="solid">
          <fgColor indexed="10"/>
          <bgColor indexed="29"/>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44"/>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44"/>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44"/>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35"/>
        </patternFill>
      </fill>
    </dxf>
    <dxf>
      <fill>
        <patternFill patternType="solid">
          <fgColor indexed="10"/>
          <bgColor indexed="44"/>
        </patternFill>
      </fill>
    </dxf>
    <dxf>
      <fill>
        <patternFill patternType="solid">
          <fgColor indexed="10"/>
          <bgColor indexed="29"/>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44"/>
        </patternFill>
      </fill>
    </dxf>
    <dxf>
      <fill>
        <patternFill patternType="solid">
          <fgColor indexed="10"/>
          <bgColor indexed="55"/>
        </patternFill>
      </fill>
    </dxf>
    <dxf>
      <fill>
        <patternFill patternType="solid">
          <fgColor indexed="10"/>
          <bgColor indexed="35"/>
        </patternFill>
      </fill>
    </dxf>
    <dxf>
      <fill>
        <patternFill patternType="solid">
          <fgColor indexed="10"/>
          <bgColor indexed="29"/>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44"/>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44"/>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
      <fill>
        <patternFill patternType="solid">
          <fgColor indexed="10"/>
          <bgColor indexed="44"/>
        </patternFill>
      </fill>
    </dxf>
    <dxf>
      <fill>
        <patternFill patternType="solid">
          <fgColor indexed="10"/>
          <bgColor indexed="35"/>
        </patternFill>
      </fill>
    </dxf>
    <dxf>
      <fill>
        <patternFill patternType="solid">
          <fgColor indexed="10"/>
          <bgColor indexed="29"/>
        </patternFill>
      </fill>
    </dxf>
    <dxf>
      <fill>
        <patternFill patternType="solid">
          <fgColor indexed="10"/>
          <bgColor indexed="44"/>
        </patternFill>
      </fill>
    </dxf>
    <dxf>
      <fill>
        <patternFill patternType="solid">
          <fgColor indexed="10"/>
          <bgColor indexed="35"/>
        </patternFill>
      </fill>
    </dxf>
    <dxf>
      <fill>
        <patternFill patternType="solid">
          <fgColor indexed="10"/>
          <bgColor indexed="29"/>
        </patternFill>
      </fill>
    </dxf>
    <dxf>
      <fill>
        <patternFill patternType="solid">
          <fgColor indexed="10"/>
          <bgColor indexed="55"/>
        </patternFill>
      </fill>
    </dxf>
    <dxf>
      <fill>
        <patternFill patternType="solid">
          <fgColor indexed="10"/>
          <bgColor indexed="35"/>
        </patternFill>
      </fill>
    </dxf>
    <dxf>
      <fill>
        <patternFill patternType="solid">
          <fgColor indexed="10"/>
          <bgColor indexed="29"/>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44"/>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44"/>
        </patternFill>
      </fill>
    </dxf>
    <dxf>
      <fill>
        <patternFill patternType="solid">
          <fgColor indexed="10"/>
          <bgColor indexed="55"/>
        </patternFill>
      </fill>
    </dxf>
    <dxf>
      <fill>
        <patternFill patternType="solid">
          <fgColor indexed="10"/>
          <bgColor indexed="35"/>
        </patternFill>
      </fill>
    </dxf>
    <dxf>
      <fill>
        <patternFill patternType="solid">
          <fgColor indexed="10"/>
          <bgColor indexed="29"/>
        </patternFill>
      </fill>
    </dxf>
    <dxf>
      <fill>
        <patternFill patternType="solid">
          <fgColor indexed="10"/>
          <bgColor indexed="44"/>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35"/>
        </patternFill>
      </fill>
    </dxf>
    <dxf>
      <fill>
        <patternFill patternType="solid">
          <fgColor indexed="10"/>
          <bgColor indexed="44"/>
        </patternFill>
      </fill>
    </dxf>
    <dxf>
      <fill>
        <patternFill patternType="solid">
          <fgColor indexed="10"/>
          <bgColor indexed="29"/>
        </patternFill>
      </fill>
    </dxf>
    <dxf>
      <fill>
        <patternFill patternType="solid">
          <fgColor indexed="10"/>
          <bgColor indexed="29"/>
        </patternFill>
      </fill>
    </dxf>
    <dxf>
      <fill>
        <patternFill patternType="solid">
          <fgColor indexed="10"/>
          <bgColor indexed="35"/>
        </patternFill>
      </fill>
    </dxf>
    <dxf>
      <fill>
        <patternFill patternType="solid">
          <fgColor indexed="10"/>
          <bgColor indexed="55"/>
        </patternFill>
      </fill>
    </dxf>
  </dxfs>
  <tableStyles count="0" defaultTableStyle="TableStyleMedium2" defaultPivotStyle="PivotStyleLight16"/>
  <colors>
    <mruColors>
      <color rgb="FFFF00FF"/>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73.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externalLink" Target="externalLinks/externalLink19.xml"/><Relationship Id="rId84" Type="http://schemas.openxmlformats.org/officeDocument/2006/relationships/externalLink" Target="externalLinks/externalLink40.xml"/><Relationship Id="rId138" Type="http://schemas.openxmlformats.org/officeDocument/2006/relationships/externalLink" Target="externalLinks/externalLink94.xml"/><Relationship Id="rId107" Type="http://schemas.openxmlformats.org/officeDocument/2006/relationships/externalLink" Target="externalLinks/externalLink63.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externalLink" Target="externalLinks/externalLink9.xml"/><Relationship Id="rId74" Type="http://schemas.openxmlformats.org/officeDocument/2006/relationships/externalLink" Target="externalLinks/externalLink30.xml"/><Relationship Id="rId128" Type="http://schemas.openxmlformats.org/officeDocument/2006/relationships/externalLink" Target="externalLinks/externalLink84.xml"/><Relationship Id="rId149" Type="http://schemas.openxmlformats.org/officeDocument/2006/relationships/calcChain" Target="calcChain.xml"/><Relationship Id="rId5" Type="http://schemas.openxmlformats.org/officeDocument/2006/relationships/worksheet" Target="worksheets/sheet5.xml"/><Relationship Id="rId95" Type="http://schemas.openxmlformats.org/officeDocument/2006/relationships/externalLink" Target="externalLinks/externalLink5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externalLink" Target="externalLinks/externalLink4.xml"/><Relationship Id="rId64" Type="http://schemas.openxmlformats.org/officeDocument/2006/relationships/externalLink" Target="externalLinks/externalLink20.xml"/><Relationship Id="rId69" Type="http://schemas.openxmlformats.org/officeDocument/2006/relationships/externalLink" Target="externalLinks/externalLink25.xml"/><Relationship Id="rId113" Type="http://schemas.openxmlformats.org/officeDocument/2006/relationships/externalLink" Target="externalLinks/externalLink69.xml"/><Relationship Id="rId118" Type="http://schemas.openxmlformats.org/officeDocument/2006/relationships/externalLink" Target="externalLinks/externalLink74.xml"/><Relationship Id="rId134" Type="http://schemas.openxmlformats.org/officeDocument/2006/relationships/externalLink" Target="externalLinks/externalLink90.xml"/><Relationship Id="rId139" Type="http://schemas.openxmlformats.org/officeDocument/2006/relationships/externalLink" Target="externalLinks/externalLink95.xml"/><Relationship Id="rId80" Type="http://schemas.openxmlformats.org/officeDocument/2006/relationships/externalLink" Target="externalLinks/externalLink36.xml"/><Relationship Id="rId85" Type="http://schemas.openxmlformats.org/officeDocument/2006/relationships/externalLink" Target="externalLinks/externalLink41.xml"/><Relationship Id="rId150" Type="http://schemas.openxmlformats.org/officeDocument/2006/relationships/customXml" Target="../customXml/item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15.xml"/><Relationship Id="rId103" Type="http://schemas.openxmlformats.org/officeDocument/2006/relationships/externalLink" Target="externalLinks/externalLink59.xml"/><Relationship Id="rId108" Type="http://schemas.openxmlformats.org/officeDocument/2006/relationships/externalLink" Target="externalLinks/externalLink64.xml"/><Relationship Id="rId124" Type="http://schemas.openxmlformats.org/officeDocument/2006/relationships/externalLink" Target="externalLinks/externalLink80.xml"/><Relationship Id="rId129" Type="http://schemas.openxmlformats.org/officeDocument/2006/relationships/externalLink" Target="externalLinks/externalLink85.xml"/><Relationship Id="rId54" Type="http://schemas.openxmlformats.org/officeDocument/2006/relationships/externalLink" Target="externalLinks/externalLink10.xml"/><Relationship Id="rId70" Type="http://schemas.openxmlformats.org/officeDocument/2006/relationships/externalLink" Target="externalLinks/externalLink26.xml"/><Relationship Id="rId75" Type="http://schemas.openxmlformats.org/officeDocument/2006/relationships/externalLink" Target="externalLinks/externalLink31.xml"/><Relationship Id="rId91" Type="http://schemas.openxmlformats.org/officeDocument/2006/relationships/externalLink" Target="externalLinks/externalLink47.xml"/><Relationship Id="rId96" Type="http://schemas.openxmlformats.org/officeDocument/2006/relationships/externalLink" Target="externalLinks/externalLink52.xml"/><Relationship Id="rId140" Type="http://schemas.openxmlformats.org/officeDocument/2006/relationships/externalLink" Target="externalLinks/externalLink96.xml"/><Relationship Id="rId14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externalLink" Target="externalLinks/externalLink5.xml"/><Relationship Id="rId114" Type="http://schemas.openxmlformats.org/officeDocument/2006/relationships/externalLink" Target="externalLinks/externalLink70.xml"/><Relationship Id="rId119" Type="http://schemas.openxmlformats.org/officeDocument/2006/relationships/externalLink" Target="externalLinks/externalLink75.xml"/><Relationship Id="rId44" Type="http://schemas.openxmlformats.org/officeDocument/2006/relationships/worksheet" Target="worksheets/sheet44.xml"/><Relationship Id="rId60" Type="http://schemas.openxmlformats.org/officeDocument/2006/relationships/externalLink" Target="externalLinks/externalLink16.xml"/><Relationship Id="rId65" Type="http://schemas.openxmlformats.org/officeDocument/2006/relationships/externalLink" Target="externalLinks/externalLink21.xml"/><Relationship Id="rId81" Type="http://schemas.openxmlformats.org/officeDocument/2006/relationships/externalLink" Target="externalLinks/externalLink37.xml"/><Relationship Id="rId86" Type="http://schemas.openxmlformats.org/officeDocument/2006/relationships/externalLink" Target="externalLinks/externalLink42.xml"/><Relationship Id="rId130" Type="http://schemas.openxmlformats.org/officeDocument/2006/relationships/externalLink" Target="externalLinks/externalLink86.xml"/><Relationship Id="rId135" Type="http://schemas.openxmlformats.org/officeDocument/2006/relationships/externalLink" Target="externalLinks/externalLink91.xml"/><Relationship Id="rId151" Type="http://schemas.openxmlformats.org/officeDocument/2006/relationships/customXml" Target="../customXml/item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65.xml"/><Relationship Id="rId34" Type="http://schemas.openxmlformats.org/officeDocument/2006/relationships/worksheet" Target="worksheets/sheet34.xml"/><Relationship Id="rId50" Type="http://schemas.openxmlformats.org/officeDocument/2006/relationships/externalLink" Target="externalLinks/externalLink6.xml"/><Relationship Id="rId55" Type="http://schemas.openxmlformats.org/officeDocument/2006/relationships/externalLink" Target="externalLinks/externalLink11.xml"/><Relationship Id="rId76" Type="http://schemas.openxmlformats.org/officeDocument/2006/relationships/externalLink" Target="externalLinks/externalLink32.xml"/><Relationship Id="rId97" Type="http://schemas.openxmlformats.org/officeDocument/2006/relationships/externalLink" Target="externalLinks/externalLink53.xml"/><Relationship Id="rId104" Type="http://schemas.openxmlformats.org/officeDocument/2006/relationships/externalLink" Target="externalLinks/externalLink60.xml"/><Relationship Id="rId120" Type="http://schemas.openxmlformats.org/officeDocument/2006/relationships/externalLink" Target="externalLinks/externalLink76.xml"/><Relationship Id="rId125" Type="http://schemas.openxmlformats.org/officeDocument/2006/relationships/externalLink" Target="externalLinks/externalLink81.xml"/><Relationship Id="rId141" Type="http://schemas.openxmlformats.org/officeDocument/2006/relationships/externalLink" Target="externalLinks/externalLink97.xml"/><Relationship Id="rId14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27.xml"/><Relationship Id="rId92" Type="http://schemas.openxmlformats.org/officeDocument/2006/relationships/externalLink" Target="externalLinks/externalLink4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1.xml"/><Relationship Id="rId66" Type="http://schemas.openxmlformats.org/officeDocument/2006/relationships/externalLink" Target="externalLinks/externalLink22.xml"/><Relationship Id="rId87" Type="http://schemas.openxmlformats.org/officeDocument/2006/relationships/externalLink" Target="externalLinks/externalLink43.xml"/><Relationship Id="rId110" Type="http://schemas.openxmlformats.org/officeDocument/2006/relationships/externalLink" Target="externalLinks/externalLink66.xml"/><Relationship Id="rId115" Type="http://schemas.openxmlformats.org/officeDocument/2006/relationships/externalLink" Target="externalLinks/externalLink71.xml"/><Relationship Id="rId131" Type="http://schemas.openxmlformats.org/officeDocument/2006/relationships/externalLink" Target="externalLinks/externalLink87.xml"/><Relationship Id="rId136" Type="http://schemas.openxmlformats.org/officeDocument/2006/relationships/externalLink" Target="externalLinks/externalLink92.xml"/><Relationship Id="rId61" Type="http://schemas.openxmlformats.org/officeDocument/2006/relationships/externalLink" Target="externalLinks/externalLink17.xml"/><Relationship Id="rId82" Type="http://schemas.openxmlformats.org/officeDocument/2006/relationships/externalLink" Target="externalLinks/externalLink38.xml"/><Relationship Id="rId152"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12.xml"/><Relationship Id="rId77" Type="http://schemas.openxmlformats.org/officeDocument/2006/relationships/externalLink" Target="externalLinks/externalLink33.xml"/><Relationship Id="rId100" Type="http://schemas.openxmlformats.org/officeDocument/2006/relationships/externalLink" Target="externalLinks/externalLink56.xml"/><Relationship Id="rId105" Type="http://schemas.openxmlformats.org/officeDocument/2006/relationships/externalLink" Target="externalLinks/externalLink61.xml"/><Relationship Id="rId126" Type="http://schemas.openxmlformats.org/officeDocument/2006/relationships/externalLink" Target="externalLinks/externalLink82.xml"/><Relationship Id="rId14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7.xml"/><Relationship Id="rId72" Type="http://schemas.openxmlformats.org/officeDocument/2006/relationships/externalLink" Target="externalLinks/externalLink28.xml"/><Relationship Id="rId93" Type="http://schemas.openxmlformats.org/officeDocument/2006/relationships/externalLink" Target="externalLinks/externalLink49.xml"/><Relationship Id="rId98" Type="http://schemas.openxmlformats.org/officeDocument/2006/relationships/externalLink" Target="externalLinks/externalLink54.xml"/><Relationship Id="rId121" Type="http://schemas.openxmlformats.org/officeDocument/2006/relationships/externalLink" Target="externalLinks/externalLink77.xml"/><Relationship Id="rId142" Type="http://schemas.openxmlformats.org/officeDocument/2006/relationships/externalLink" Target="externalLinks/externalLink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2.xml"/><Relationship Id="rId67" Type="http://schemas.openxmlformats.org/officeDocument/2006/relationships/externalLink" Target="externalLinks/externalLink23.xml"/><Relationship Id="rId116" Type="http://schemas.openxmlformats.org/officeDocument/2006/relationships/externalLink" Target="externalLinks/externalLink72.xml"/><Relationship Id="rId137" Type="http://schemas.openxmlformats.org/officeDocument/2006/relationships/externalLink" Target="externalLinks/externalLink93.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18.xml"/><Relationship Id="rId83" Type="http://schemas.openxmlformats.org/officeDocument/2006/relationships/externalLink" Target="externalLinks/externalLink39.xml"/><Relationship Id="rId88" Type="http://schemas.openxmlformats.org/officeDocument/2006/relationships/externalLink" Target="externalLinks/externalLink44.xml"/><Relationship Id="rId111" Type="http://schemas.openxmlformats.org/officeDocument/2006/relationships/externalLink" Target="externalLinks/externalLink67.xml"/><Relationship Id="rId132" Type="http://schemas.openxmlformats.org/officeDocument/2006/relationships/externalLink" Target="externalLinks/externalLink88.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3.xml"/><Relationship Id="rId106" Type="http://schemas.openxmlformats.org/officeDocument/2006/relationships/externalLink" Target="externalLinks/externalLink62.xml"/><Relationship Id="rId127" Type="http://schemas.openxmlformats.org/officeDocument/2006/relationships/externalLink" Target="externalLinks/externalLink8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externalLink" Target="externalLinks/externalLink8.xml"/><Relationship Id="rId73" Type="http://schemas.openxmlformats.org/officeDocument/2006/relationships/externalLink" Target="externalLinks/externalLink29.xml"/><Relationship Id="rId78" Type="http://schemas.openxmlformats.org/officeDocument/2006/relationships/externalLink" Target="externalLinks/externalLink34.xml"/><Relationship Id="rId94" Type="http://schemas.openxmlformats.org/officeDocument/2006/relationships/externalLink" Target="externalLinks/externalLink50.xml"/><Relationship Id="rId99" Type="http://schemas.openxmlformats.org/officeDocument/2006/relationships/externalLink" Target="externalLinks/externalLink55.xml"/><Relationship Id="rId101" Type="http://schemas.openxmlformats.org/officeDocument/2006/relationships/externalLink" Target="externalLinks/externalLink57.xml"/><Relationship Id="rId122" Type="http://schemas.openxmlformats.org/officeDocument/2006/relationships/externalLink" Target="externalLinks/externalLink78.xml"/><Relationship Id="rId143" Type="http://schemas.openxmlformats.org/officeDocument/2006/relationships/externalLink" Target="externalLinks/externalLink99.xml"/><Relationship Id="rId148"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externalLink" Target="externalLinks/externalLink3.xml"/><Relationship Id="rId68" Type="http://schemas.openxmlformats.org/officeDocument/2006/relationships/externalLink" Target="externalLinks/externalLink24.xml"/><Relationship Id="rId89" Type="http://schemas.openxmlformats.org/officeDocument/2006/relationships/externalLink" Target="externalLinks/externalLink45.xml"/><Relationship Id="rId112" Type="http://schemas.openxmlformats.org/officeDocument/2006/relationships/externalLink" Target="externalLinks/externalLink68.xml"/><Relationship Id="rId133" Type="http://schemas.openxmlformats.org/officeDocument/2006/relationships/externalLink" Target="externalLinks/externalLink89.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externalLink" Target="externalLinks/externalLink14.xml"/><Relationship Id="rId79" Type="http://schemas.openxmlformats.org/officeDocument/2006/relationships/externalLink" Target="externalLinks/externalLink35.xml"/><Relationship Id="rId102" Type="http://schemas.openxmlformats.org/officeDocument/2006/relationships/externalLink" Target="externalLinks/externalLink58.xml"/><Relationship Id="rId123" Type="http://schemas.openxmlformats.org/officeDocument/2006/relationships/externalLink" Target="externalLinks/externalLink79.xml"/><Relationship Id="rId144" Type="http://schemas.openxmlformats.org/officeDocument/2006/relationships/externalLink" Target="externalLinks/externalLink100.xml"/><Relationship Id="rId90" Type="http://schemas.openxmlformats.org/officeDocument/2006/relationships/externalLink" Target="externalLinks/externalLink46.xml"/></Relationships>
</file>

<file path=xl/drawings/_rels/drawing1.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7.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163549</xdr:colOff>
      <xdr:row>0</xdr:row>
      <xdr:rowOff>0</xdr:rowOff>
    </xdr:from>
    <xdr:ext cx="13156548" cy="3016250"/>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5906770" y="0"/>
          <a:ext cx="13156565" cy="3016250"/>
        </a:xfrm>
        <a:prstGeom prst="rect">
          <a:avLst/>
        </a:prstGeom>
      </xdr:spPr>
    </xdr:pic>
    <xdr:clientData/>
  </xdr:oneCellAnchor>
  <xdr:oneCellAnchor>
    <xdr:from>
      <xdr:col>5</xdr:col>
      <xdr:colOff>133350</xdr:colOff>
      <xdr:row>20</xdr:row>
      <xdr:rowOff>123825</xdr:rowOff>
    </xdr:from>
    <xdr:ext cx="9956718" cy="3549951"/>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5876925" y="3324225"/>
          <a:ext cx="9956165" cy="3549650"/>
        </a:xfrm>
        <a:prstGeom prst="rect">
          <a:avLst/>
        </a:prstGeom>
      </xdr:spPr>
    </xdr:pic>
    <xdr:clientData/>
  </xdr:oneCellAnchor>
  <xdr:oneCellAnchor>
    <xdr:from>
      <xdr:col>5</xdr:col>
      <xdr:colOff>119859</xdr:colOff>
      <xdr:row>46</xdr:row>
      <xdr:rowOff>0</xdr:rowOff>
    </xdr:from>
    <xdr:ext cx="10098616" cy="2716078"/>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5862955" y="7356475"/>
          <a:ext cx="10099040" cy="2715895"/>
        </a:xfrm>
        <a:prstGeom prst="rect">
          <a:avLst/>
        </a:prstGeom>
      </xdr:spPr>
    </xdr:pic>
    <xdr:clientData/>
  </xdr:oneCellAnchor>
  <xdr:oneCellAnchor>
    <xdr:from>
      <xdr:col>5</xdr:col>
      <xdr:colOff>198182</xdr:colOff>
      <xdr:row>68</xdr:row>
      <xdr:rowOff>76200</xdr:rowOff>
    </xdr:from>
    <xdr:ext cx="7684208" cy="2754089"/>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4"/>
        <a:stretch>
          <a:fillRect/>
        </a:stretch>
      </xdr:blipFill>
      <xdr:spPr>
        <a:xfrm>
          <a:off x="5941695" y="10934700"/>
          <a:ext cx="7684135" cy="2753995"/>
        </a:xfrm>
        <a:prstGeom prst="rect">
          <a:avLst/>
        </a:prstGeom>
      </xdr:spPr>
    </xdr:pic>
    <xdr:clientData/>
  </xdr:oneCellAnchor>
  <xdr:oneCellAnchor>
    <xdr:from>
      <xdr:col>5</xdr:col>
      <xdr:colOff>66675</xdr:colOff>
      <xdr:row>88</xdr:row>
      <xdr:rowOff>103150</xdr:rowOff>
    </xdr:from>
    <xdr:ext cx="6706234" cy="1835867"/>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5"/>
        <a:stretch>
          <a:fillRect/>
        </a:stretch>
      </xdr:blipFill>
      <xdr:spPr>
        <a:xfrm>
          <a:off x="5810250" y="14155420"/>
          <a:ext cx="6705600" cy="1835785"/>
        </a:xfrm>
        <a:prstGeom prst="rect">
          <a:avLst/>
        </a:prstGeom>
      </xdr:spPr>
    </xdr:pic>
    <xdr:clientData/>
  </xdr:oneCellAnchor>
  <xdr:oneCellAnchor>
    <xdr:from>
      <xdr:col>5</xdr:col>
      <xdr:colOff>114301</xdr:colOff>
      <xdr:row>101</xdr:row>
      <xdr:rowOff>3359</xdr:rowOff>
    </xdr:from>
    <xdr:ext cx="6638218" cy="1755089"/>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6"/>
        <a:stretch>
          <a:fillRect/>
        </a:stretch>
      </xdr:blipFill>
      <xdr:spPr>
        <a:xfrm>
          <a:off x="5857875" y="16144875"/>
          <a:ext cx="6637655" cy="1755140"/>
        </a:xfrm>
        <a:prstGeom prst="rect">
          <a:avLst/>
        </a:prstGeom>
      </xdr:spPr>
    </xdr:pic>
    <xdr:clientData/>
  </xdr:oneCellAnchor>
  <xdr:oneCellAnchor>
    <xdr:from>
      <xdr:col>7</xdr:col>
      <xdr:colOff>568523</xdr:colOff>
      <xdr:row>121</xdr:row>
      <xdr:rowOff>57150</xdr:rowOff>
    </xdr:from>
    <xdr:ext cx="7225313" cy="1976419"/>
    <xdr:pic>
      <xdr:nvPicPr>
        <xdr:cNvPr id="8" name="Picture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7"/>
        <a:stretch>
          <a:fillRect/>
        </a:stretch>
      </xdr:blipFill>
      <xdr:spPr>
        <a:xfrm>
          <a:off x="8159750" y="19424650"/>
          <a:ext cx="7225030" cy="1976120"/>
        </a:xfrm>
        <a:prstGeom prst="rect">
          <a:avLst/>
        </a:prstGeom>
      </xdr:spPr>
    </xdr:pic>
    <xdr:clientData/>
  </xdr:oneCellAnchor>
  <xdr:oneCellAnchor>
    <xdr:from>
      <xdr:col>6</xdr:col>
      <xdr:colOff>163660</xdr:colOff>
      <xdr:row>150</xdr:row>
      <xdr:rowOff>149225</xdr:rowOff>
    </xdr:from>
    <xdr:ext cx="6702369" cy="1676135"/>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8"/>
        <a:stretch>
          <a:fillRect/>
        </a:stretch>
      </xdr:blipFill>
      <xdr:spPr>
        <a:xfrm>
          <a:off x="6830695" y="24177625"/>
          <a:ext cx="6702425" cy="1675765"/>
        </a:xfrm>
        <a:prstGeom prst="rect">
          <a:avLst/>
        </a:prstGeom>
      </xdr:spPr>
    </xdr:pic>
    <xdr:clientData/>
  </xdr:oneCellAnchor>
  <xdr:oneCellAnchor>
    <xdr:from>
      <xdr:col>6</xdr:col>
      <xdr:colOff>76201</xdr:colOff>
      <xdr:row>165</xdr:row>
      <xdr:rowOff>113116</xdr:rowOff>
    </xdr:from>
    <xdr:ext cx="6750402" cy="1717706"/>
    <xdr:pic>
      <xdr:nvPicPr>
        <xdr:cNvPr id="10" name="Picture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9"/>
        <a:stretch>
          <a:fillRect/>
        </a:stretch>
      </xdr:blipFill>
      <xdr:spPr>
        <a:xfrm>
          <a:off x="6743700" y="26382980"/>
          <a:ext cx="6750050" cy="1717675"/>
        </a:xfrm>
        <a:prstGeom prst="rect">
          <a:avLst/>
        </a:prstGeom>
      </xdr:spPr>
    </xdr:pic>
    <xdr:clientData/>
  </xdr:oneCellAnchor>
  <xdr:twoCellAnchor editAs="oneCell">
    <xdr:from>
      <xdr:col>5</xdr:col>
      <xdr:colOff>63500</xdr:colOff>
      <xdr:row>194</xdr:row>
      <xdr:rowOff>90488</xdr:rowOff>
    </xdr:from>
    <xdr:to>
      <xdr:col>12</xdr:col>
      <xdr:colOff>132574</xdr:colOff>
      <xdr:row>206</xdr:row>
      <xdr:rowOff>66061</xdr:rowOff>
    </xdr:to>
    <xdr:pic>
      <xdr:nvPicPr>
        <xdr:cNvPr id="11" name="Picture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10"/>
        <a:stretch>
          <a:fillRect/>
        </a:stretch>
      </xdr:blipFill>
      <xdr:spPr>
        <a:xfrm>
          <a:off x="5807075" y="30208220"/>
          <a:ext cx="6050280" cy="1884045"/>
        </a:xfrm>
        <a:prstGeom prst="rect">
          <a:avLst/>
        </a:prstGeom>
      </xdr:spPr>
    </xdr:pic>
    <xdr:clientData/>
  </xdr:twoCellAnchor>
  <xdr:twoCellAnchor editAs="oneCell">
    <xdr:from>
      <xdr:col>13</xdr:col>
      <xdr:colOff>433915</xdr:colOff>
      <xdr:row>194</xdr:row>
      <xdr:rowOff>130527</xdr:rowOff>
    </xdr:from>
    <xdr:to>
      <xdr:col>22</xdr:col>
      <xdr:colOff>359277</xdr:colOff>
      <xdr:row>207</xdr:row>
      <xdr:rowOff>92075</xdr:rowOff>
    </xdr:to>
    <xdr:pic>
      <xdr:nvPicPr>
        <xdr:cNvPr id="12" name="Picture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11"/>
        <a:stretch>
          <a:fillRect/>
        </a:stretch>
      </xdr:blipFill>
      <xdr:spPr>
        <a:xfrm>
          <a:off x="12797155" y="30248225"/>
          <a:ext cx="5687695" cy="2025650"/>
        </a:xfrm>
        <a:prstGeom prst="rect">
          <a:avLst/>
        </a:prstGeom>
      </xdr:spPr>
    </xdr:pic>
    <xdr:clientData/>
  </xdr:twoCellAnchor>
  <xdr:twoCellAnchor editAs="oneCell">
    <xdr:from>
      <xdr:col>4</xdr:col>
      <xdr:colOff>465666</xdr:colOff>
      <xdr:row>212</xdr:row>
      <xdr:rowOff>53705</xdr:rowOff>
    </xdr:from>
    <xdr:to>
      <xdr:col>13</xdr:col>
      <xdr:colOff>37866</xdr:colOff>
      <xdr:row>231</xdr:row>
      <xdr:rowOff>123826</xdr:rowOff>
    </xdr:to>
    <xdr:pic>
      <xdr:nvPicPr>
        <xdr:cNvPr id="13" name="Picture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12"/>
        <a:stretch>
          <a:fillRect/>
        </a:stretch>
      </xdr:blipFill>
      <xdr:spPr>
        <a:xfrm>
          <a:off x="5285105" y="33028890"/>
          <a:ext cx="7115810" cy="3083560"/>
        </a:xfrm>
        <a:prstGeom prst="rect">
          <a:avLst/>
        </a:prstGeom>
      </xdr:spPr>
    </xdr:pic>
    <xdr:clientData/>
  </xdr:twoCellAnchor>
  <xdr:twoCellAnchor editAs="oneCell">
    <xdr:from>
      <xdr:col>4</xdr:col>
      <xdr:colOff>628649</xdr:colOff>
      <xdr:row>298</xdr:row>
      <xdr:rowOff>32353</xdr:rowOff>
    </xdr:from>
    <xdr:to>
      <xdr:col>13</xdr:col>
      <xdr:colOff>355599</xdr:colOff>
      <xdr:row>315</xdr:row>
      <xdr:rowOff>3148</xdr:rowOff>
    </xdr:to>
    <xdr:pic>
      <xdr:nvPicPr>
        <xdr:cNvPr id="14" name="Picture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3"/>
        <a:stretch>
          <a:fillRect/>
        </a:stretch>
      </xdr:blipFill>
      <xdr:spPr>
        <a:xfrm>
          <a:off x="5447665" y="46691550"/>
          <a:ext cx="7267575" cy="2669540"/>
        </a:xfrm>
        <a:prstGeom prst="rect">
          <a:avLst/>
        </a:prstGeom>
      </xdr:spPr>
    </xdr:pic>
    <xdr:clientData/>
  </xdr:twoCellAnchor>
  <xdr:twoCellAnchor editAs="oneCell">
    <xdr:from>
      <xdr:col>4</xdr:col>
      <xdr:colOff>549270</xdr:colOff>
      <xdr:row>315</xdr:row>
      <xdr:rowOff>57150</xdr:rowOff>
    </xdr:from>
    <xdr:to>
      <xdr:col>14</xdr:col>
      <xdr:colOff>369897</xdr:colOff>
      <xdr:row>334</xdr:row>
      <xdr:rowOff>63500</xdr:rowOff>
    </xdr:to>
    <xdr:pic>
      <xdr:nvPicPr>
        <xdr:cNvPr id="15" name="Picture 14">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14"/>
        <a:stretch>
          <a:fillRect/>
        </a:stretch>
      </xdr:blipFill>
      <xdr:spPr>
        <a:xfrm>
          <a:off x="5368290" y="49415700"/>
          <a:ext cx="7999730" cy="3051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1588</xdr:colOff>
      <xdr:row>4</xdr:row>
      <xdr:rowOff>129419</xdr:rowOff>
    </xdr:to>
    <xdr:pic>
      <xdr:nvPicPr>
        <xdr:cNvPr id="2" name="Picture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0" y="0"/>
          <a:ext cx="2544445" cy="8401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9</xdr:col>
      <xdr:colOff>610876</xdr:colOff>
      <xdr:row>80</xdr:row>
      <xdr:rowOff>118114</xdr:rowOff>
    </xdr:to>
    <xdr:pic>
      <xdr:nvPicPr>
        <xdr:cNvPr id="2" name="Pictur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228600" y="12909550"/>
          <a:ext cx="9126220" cy="44361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15871</xdr:colOff>
      <xdr:row>0</xdr:row>
      <xdr:rowOff>15871</xdr:rowOff>
    </xdr:from>
    <xdr:to>
      <xdr:col>6</xdr:col>
      <xdr:colOff>15871</xdr:colOff>
      <xdr:row>9</xdr:row>
      <xdr:rowOff>53215</xdr:rowOff>
    </xdr:to>
    <xdr:pic>
      <xdr:nvPicPr>
        <xdr:cNvPr id="2" name="Picture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15240" y="15240"/>
          <a:ext cx="2543175" cy="895350"/>
        </a:xfrm>
        <a:prstGeom prst="rect">
          <a:avLst/>
        </a:prstGeom>
      </xdr:spPr>
    </xdr:pic>
    <xdr:clientData/>
  </xdr:twoCellAnchor>
  <xdr:twoCellAnchor editAs="oneCell">
    <xdr:from>
      <xdr:col>5</xdr:col>
      <xdr:colOff>15871</xdr:colOff>
      <xdr:row>0</xdr:row>
      <xdr:rowOff>15871</xdr:rowOff>
    </xdr:from>
    <xdr:to>
      <xdr:col>6</xdr:col>
      <xdr:colOff>15871</xdr:colOff>
      <xdr:row>9</xdr:row>
      <xdr:rowOff>53215</xdr:rowOff>
    </xdr:to>
    <xdr:pic>
      <xdr:nvPicPr>
        <xdr:cNvPr id="3" name="Picture 1">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1"/>
        <a:stretch>
          <a:fillRect/>
        </a:stretch>
      </xdr:blipFill>
      <xdr:spPr>
        <a:xfrm>
          <a:off x="15240" y="15240"/>
          <a:ext cx="2543175" cy="8953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9.1.224\Dept\NJ%202008\Commen%20Documents\Budget\3Q%20Forecast\NSS_3Q\SCU%20China%202006\NSS\NSS-Mid-Year%20Review\&#9733;NSS%20060602-final\NSS-mid-year%20review%202006(Tot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NJ%202008\Commen%20Documents\Budget\3Q%20Forecast\NSS_3Q\SCU%20China%202006\NSS\NSS-Mid-Year%20Review\&#9733;NSS%20060602-final\NSS-mid-year%20review%202006(Tot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sembcorp-my.sharepoint.com\NJ%202008\Commen%20Documents\Budget\3Q%20Forecast\NSS_3Q\SCU%20China%202006\NSS\NSS-Mid-Year%20Review\&#9733;NSS%20060602-final\NSS-mid-year%20review%202006(Tot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hfp\Dept\My%20Documents\CSK\OSA%20Utility%20Rates%20-%20CI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20840;&#37096;&#25991;&#20214;0411\a&#36130;&#21153;&#25253;&#21578;\2012&#36130;&#21153;&#25253;&#21578;\2012&#24180;3&#26376;\NJ%202008\Commen%20Documents\Budget\3Q%20Forecast\NSS_3Q\SCU%20China%202006\NSS\NSS-Mid-Year%20Review\&#9733;NSS%20060602-final\NSS-mid-year%20review%202006(Tot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ttps:\sembcorp-my.sharepoint.com\&#20840;&#37096;&#25991;&#20214;0411\a&#36130;&#21153;&#25253;&#21578;\2012&#36130;&#21153;&#25253;&#21578;\2012&#24180;3&#26376;\NJ%202008\Commen%20Documents\Budget\3Q%20Forecast\NSS_3Q\SCU%20China%202006\NSS\NSS-Mid-Year%20Review\&#9733;NSS%20060602-final\NSS-mid-year%20review%202006(Tot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hfp\Dept\Budget%202000\Finalised%20Budget%202000%20-%202005%20070100\WINDOWS\TEMP\Case%201%20utility%20rates%20for%20Kalama%20Chemical%20rev%20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wxz&#25991;&#20214;&#22841;1230\&#20840;&#37096;&#25991;&#20214;0411\&#39044;&#31639;&amp;&#39044;&#27979;\2014&#24180;&#20108;&#23395;&#24230;&#39044;&#27979;\2014&#24180;2Q&#39044;&#27979;_&#36816;&#34892;&#29992;&#20302;&#20540;&#26131;&#32791;&#21697;&#8212;&#8212;&#24503;&#21496;&#36798;.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albamen.sharepoint.com/sites/00ALBAMEN/00Management/Shared%20Documents/!!!MANAGEMENT%20-%20NEW/z-outlook/2026/Budget%20FY2026/&#26093;&#26234;&#28378;&#21160;&#39044;&#31639;--202506~20261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G:\Documents%20and%20Settings\jamesluo\Local%20Settings\Temporary%20Internet%20Files\OLK5\SCU%20China%202006\NSS\3Q%20reivew-NSS\NSS%203Q%20review%20200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NJ%202008\Commen%20Documents\Budget\3Q%20Forecast\NSS_3Q\Documents%20and%20Settings\james.luo\Desktop\2007%20Budget%20templat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ttps:\sembcorp-my.sharepoint.com\NJ%202008\Commen%20Documents\Budget\3Q%20Forecast\NSS_3Q\Documents%20and%20Settings\james.luo\Desktop\2007%20Budget%20templat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Corpfin\Grpmis_2006\Sep%202006\MIS\90D\SCI%20Group_90D-Mar%200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ttps:\sembcorp-my.sharepoint.com\Corpfin\Grpmis_2006\Sep%202006\MIS\90D\SCI%20Group_90D-Mar%200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nshavapfl63\DATA\Users\Leo-C.Liu\AppData\Local\Microsoft\Windows\Temporary%20Internet%20Files\Content.Outlook\NOSQ3T3Z\WACC-VISTA.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albamen.sharepoint.com/Users/MeichunHe/Documents/WeChat%20Files/wxid_o88obdi3gsyq21/FileStorage/File/2025-06/testing&#12304;&#21247;&#21160;&#12305;4.1%20Model%20-%20&#19977;&#19968;&#37325;&#33021;%20-%20&#37233;&#26495;&#40493;%20-%20&#28246;&#21335;&#37108;&#24030;&#33655;&#21494;&#22378;55MW&#39118;&#30005;%2020241127%20-%20IAR.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albamen.sharepoint.com/Users/EmilyLo/Desktop/fundraising/&#65281;&#22826;&#20445;open%20issue/Model%20-%20&#22522;&#37329;+&#33655;&#21494;&#22378;V4.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albamen.sharepoint.com/EY%20SZ/VME/Engagement/2019/C2%20Engagement/Project%20Frost/Working%20Paper/Market%20Approach/Clean_Market%20Approach%20Template_EVEBTIDA.xlsm"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hftp\Dept\LW\2Q%20review\QTH\&#26376;&#24230;&#36130;&#21153;&#25253;&#21578;2012&#24180;4&#26376;(&#19971;&#21488;&#27827;&#32988;&#31185;&#27700;&#21153;&#26377;&#38480;&#20844;&#2149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20840;&#37096;&#25991;&#20214;0411\&#39044;&#31639;&amp;&#39044;&#27979;\2011&#24180;&#39044;&#31639;\Budget%202011+4yrs%20FC_NSS_2010009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ttps:\sembcorp-my.sharepoint.com\&#20840;&#37096;&#25991;&#20214;0411\&#39044;&#31639;&amp;&#39044;&#27979;\2011&#24180;&#39044;&#31639;\Budget%202011+4yrs%20FC_NSS_20100090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20840;&#37096;&#25991;&#20214;0411\&#39044;&#31639;&amp;&#39044;&#27979;\2010&#24180;&#20108;&#23395;&#24230;&#39044;&#27979;\NSS_2Q%20FC_20100603_Draf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ttps:\sembcorp-my.sharepoint.com\&#20840;&#37096;&#25991;&#20214;0411\&#39044;&#31639;&amp;&#39044;&#27979;\2010&#24180;&#20108;&#23395;&#24230;&#39044;&#27979;\NSS_2Q%20FC_20100603_Draf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NJ%202008\Commen%20Documents\Budget\2009%20Budget\NSS_2009%20Budget\P1B%20forecast(08050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ttps:\sembcorp-my.sharepoint.com\NJ%202008\Commen%20Documents\Budget\2009%20Budget\NSS_2009%20Budget\P1B%20forecast(08050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20840;&#37096;&#25991;&#20214;0411\a&#36130;&#21153;&#25253;&#21578;\2012&#36130;&#21153;&#25253;&#21578;\2012&#24180;3&#26376;\NSS%20Financial%20Monthly%20Report_Jun_070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ttps:\sembcorp-my.sharepoint.com\&#20840;&#37096;&#25991;&#20214;0411\a&#36130;&#21153;&#25253;&#21578;\2012&#36130;&#21153;&#25253;&#21578;\2012&#24180;3&#26376;\NSS%20Financial%20Monthly%20Report_Jun_07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Users\GuanghuaChen\Desktop\&#20449;&#24687;&#30331;&#35760;&#34920;--&#38472;&#24191;&#21326;\WeChat%20Files\wxid_ei4v7hwwuv8422\FileStorage\File\2025-07\https:\albamen-my.sharepoint.com\Users\X1\Desktop\AB\&#22522;&#37329;\&#22826;&#20445;\&#21333;&#20307;&#39033;&#30446;&#27169;&#22411;\Model%20-%20&#22522;&#37329;&#21450;&#26464;&#26438;&#27604;&#20363;.xlsm"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ttps:\albamen-my.sharepoint.com\Users\X1\Desktop\AB\&#22522;&#37329;\&#22826;&#20445;\&#21333;&#20307;&#39033;&#30446;&#27169;&#22411;\Model%20-%20&#22522;&#37329;&#21450;&#26464;&#26438;&#27604;&#20363;.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I:\Chris%20Mapping%20file%20for%20Cognos\Consol0809%20(V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hftp\Dept\&#24037;&#20316;&#25991;&#20214;&#22791;&#20221;20190806\&#24037;&#20316;&#25991;&#20214;&#22841;\&#36130;&#21153;&#25253;&#21578;\2020&#24180;&#24230;\1&#26376;&#20221;&#36130;&#25253;\2020.01&#36130;&#21153;&#26376;&#25253;&#34920;_NCIP_&#36130;&#21153;&#20840;&#25253;.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albamen.sharepoint.com/Users/JennyChan/Desktop/Master%20File/&#39033;&#30446;/Data%20Center/&#31435;&#39033;&#27169;&#26495;/projection%20model/5&#12289;&#22825;&#27941;%20-%20&#39640;&#36895;&#20998;&#25955;&#24335;%20-%20&#22825;&#30524;&#31108;%20-%20&#36130;&#21153;&#27169;&#22411;%20-%2020190612&#65288;285MW&#65289;.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72.19.65.224\Departments\CQ\Reporting\201010\SSW%20'10%20Oct%20report%20final.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20840;&#37096;&#25991;&#20214;0411\a&#36130;&#21153;&#25253;&#21578;\2012&#36130;&#21153;&#25253;&#21578;\2012&#24180;3&#26376;\Documents%20and%20Settings\WeiZhong\Local%20Settings\Temporary%20Internet%20Files\Content.Outlook\UACYYQQC\NCIP%20Monthly%20report%20201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ttps:\sembcorp-my.sharepoint.com\&#20840;&#37096;&#25991;&#20214;0411\a&#36130;&#21153;&#25253;&#21578;\2012&#36130;&#21153;&#25253;&#21578;\2012&#24180;3&#26376;\Documents%20and%20Settings\WeiZhong\Local%20Settings\Temporary%20Internet%20Files\Content.Outlook\UACYYQQC\NCIP%20Monthly%20report%20201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9733;SCU%20China%202011\&#9734;7.SSW\MFCM\SSW%202011-07\SSW%20'11%20Jul%20repor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ttps:\sembcorp-my.sharepoint.com\&#9733;SCU%20China%202011\&#9734;7.SSW\MFCM\SSW%202011-07\SSW%20'11%20Jul%20repor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Users\GuanghuaChen\Desktop\&#20449;&#24687;&#30331;&#35760;&#34920;--&#38472;&#24191;&#21326;\WeChat%20Files\wxid_ei4v7hwwuv8422\FileStorage\File\2025-07\https:\share.ey.net\Users\gaurav.jain3\Desktop\UTC%20Model\!DRAFT_UTC_M&amp;A_08Mar17_v28_GJ.xlsb"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https:\share.ey.net\Users\gaurav.jain3\Desktop\UTC%20Model\!DRAFT_UTC_M&amp;A_08Mar17_v28_GJ.xlsb"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ftp\Dept\Users\angelina.chua\AppData\Roaming\Microsoft\Excel\GHR%20Budget%20Pack\FY%202012%20Personnel%20&amp;%20Related%20Cost%20-%2019%20Aug%20201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72.19.1.224\Dept\Documents%20and%20Settings\chen.qi\Local%20Settings\Temporary%20Internet%20Files\Content.Outlook\NSIQGFGM\IT_Budget_FY12_China_%20260811_byEntity_wRMB%20(2).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Finance(Tax&amp;Account)\&#9733;Finance%20Report\4.Monthly%20Financial%20Report(MFCM%20Excel%20report+Legal%20Entities%20report%20submission)\2006-04\QSC\MFCM%20ForApr%2006%20Qianan.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shfp\Dept\Documents%20and%20Settings\mlchua\Local%20Settings\Temporary%20Internet%20Files\Content.IE5\GNYB9GFX\Budget%202000\Finalised%20Budget%202000%20-%202005%20070100\WINDOWS\TEMP\Case%201%20utility%20rates%20for%20Kalama%20Chemical%20rev%20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shfp\Dept\Documents%20and%20Settings\mlchua\Local%20Settings\Temporary%20Internet%20Files\Content.IE5\GNYB9GFX\Existing%20Clients\Mitsui%20Chemicals\MBS\utility%20rates%20for%20MBS%20Demin%20water.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20840;&#37096;&#25991;&#20214;0411\a&#36130;&#21153;&#25253;&#21578;\2012&#36130;&#21153;&#25253;&#21578;\2012&#24180;3&#26376;\NSS%20Financial%20Monthly%20Report_Mar_0409.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https:\sembcorp-my.sharepoint.com\&#20840;&#37096;&#25991;&#20214;0411\a&#36130;&#21153;&#25253;&#21578;\2012&#36130;&#21153;&#25253;&#21578;\2012&#24180;3&#26376;\NSS%20Financial%20Monthly%20Report_Mar_040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albamen.sharepoint.com/Users/Robin/Downloads/7&#26376;&#20221;&#25253;&#38144;-&#32918;&#32769;&#24072;/&#24352;&#26149;&#38451;201705-06%20&#19977;&#26399;&#22522;&#37329;%20RMB%203568.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albamen.sharepoint.com/D/&#26093;&#26234;/&#26093;&#26234;&#23500;&#33021;/&#39033;&#30446;&#36164;&#26009;/&#19977;&#19968;&#33655;&#21494;&#22378;/&#36816;&#33829;&#29983;&#20135;/4.1%20Model%20-%20&#19977;&#19968;&#37325;&#33021;%20-%20&#37233;&#26495;&#40493;%20-%20&#28246;&#21335;&#37108;&#24030;&#33655;&#21494;&#22378;55MW&#39118;&#30005;%2020241127.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Users/EmilyLo/Desktop/naiwen/JV%20MAA&#20154;&#21592;&#23433;&#25490;-&#25237;&#36164;&#33410;&#22863;&#35843;&#25972;%2020251016.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albamen.sharepoint.com/Users/EmilyLo/Desktop/Albamen/2025%20cashflow%20forecast%20breakdown%20to%20work%20on.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Users\GuanghuaChen\Desktop\&#20449;&#24687;&#30331;&#35760;&#34920;--&#38472;&#24191;&#21326;\WeChat%20Files\wxid_ei4v7hwwuv8422\FileStorage\File\2025-07\https:\share.ey.net\Users\gaurav.jain3\Desktop\!DRAFT_UTC_M&amp;A_08Mar17_v28.2.xlsb"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ttps:\share.ey.net\Users\gaurav.jain3\Desktop\!DRAFT_UTC_M&amp;A_08Mar17_v28.2.xlsb"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Documents%20and%20Settings\tan.huangjoo\Desktop\budget%202006-2007\NSS\NSS-Mid-Year%20Review\060606answer\NSS-mid-year%20review%202007-2009(J).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ttps:\sembcorp-my.sharepoint.com\Documents%20and%20Settings\tan.huangjoo\Desktop\budget%202006-2007\NSS\NSS-Mid-Year%20Review\060606answer\NSS-mid-year%20review%202007-2009(J).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ocuments%20and%20Settings\tan.huangjoo\Desktop\budget%202006-2007\NSS%203Q%20review%202006.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https:\sembcorp-my.sharepoint.com\Documents%20and%20Settings\tan.huangjoo\Desktop\budget%202006-2007\NSS%203Q%20review%202006.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NJ%202008\Commen%20Documents\Budget\3Q%20Forecast\NSS_3Q\Documents%20and%20Settings\tan.huangjoo\Desktop\budget%202006-2007\NSS\NSS-Mid-Year%20Review\060606answer\NSS-mid-year%20review%202007-2009(J).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E:\NCIP%20Water\budget&amp;forecast\2Q%20review\Water%20Review(29-May%20final%20versio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ttps:\sembcorp-my.sharepoint.com\NCIP%20Water\budget&amp;forecast\2Q%20review\Water%20Review(29-May%20final%20version).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E:\&#39044;&#31639;&amp;&#39044;&#27979;\08&#24180;&#39044;&#27979;\080907\NSS%20Budget%202009(08090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ttps:\sembcorp-my.sharepoint.com\&#39044;&#31639;&amp;&#39044;&#27979;\08&#24180;&#39044;&#27979;\080907\NSS%20Budget%202009(08090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E:\&#20840;&#37096;&#25991;&#20214;0511\&#39044;&#31639;&amp;&#39044;&#27979;\3Q&#39044;&#27979;\NSS_3Q_Foracast_20090831&#26368;&#32456;&#29256;.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https:\sembcorp-my.sharepoint.com\&#20840;&#37096;&#25991;&#20214;0511\&#39044;&#31639;&amp;&#39044;&#27979;\3Q&#39044;&#27979;\NSS_3Q_Foracast_20090831&#26368;&#32456;&#29256;.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E:\NJ%202008\Commen%20Documents\Budget\3Q%20Forecast\NSS_3Q\2005TrainingVASt.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ttps:\sembcorp-my.sharepoint.com\NJ%202008\Commen%20Documents\Budget\3Q%20Forecast\NSS_3Q\2005TrainingVASt.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wxz&#25991;&#20214;&#22841;1230\&#20840;&#37096;&#25991;&#20214;0411\&#39044;&#31639;&amp;&#39044;&#27979;\2014&#24180;&#20108;&#23395;&#24230;&#39044;&#27979;\2014&#24180;2Q&#39044;&#27979;_&#36816;&#34892;&#29992;&#20302;&#20540;&#26131;&#32791;&#21697;.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s://albamen.sharepoint.com/Users/37056/Albamen%20Capital/Projects%20-%20&#25991;&#26723;/01%20Renewable%20Projects/&#19977;&#19968;&#37325;&#33021;%20&#33655;&#21494;&#22378;/07%20Operation/Financials/&#36130;&#21153;&#25253;&#34920;/2025&#24180;/202505/PL-G"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albamen.sharepoint.com/Users/37056/Albamen%20Capital/Projects%20-%20&#25991;&#26723;/01%20Renewable%20Projects/&#19977;&#19968;&#37325;&#33021;%20&#33655;&#21494;&#22378;/07%20Operation/Weekly%20meeting/PL-G"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https:\sembcorp-my.sharepoint.com\&#36745;&#39119;&#21150;&#20844;&#25991;&#20214;\&#32988;&#31185;&#25253;&#34920;\&#36164;&#37329;&#31867;-Chloe%20and%20Shaolu\HYNE-&#29616;&#37329;&#27969;&#27719;&#25253;\202206\202206\PL-G"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E:\sl\SCCC\FM%20&amp;%20Board%20Paper\&#22797;&#20214;%20SCIP-CCGT-FM%20Updated%20020506----revised%20by%20SL--Dec13,2007.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https:\sembcorp-my.sharepoint.com\sl\SCCC\FM%20&amp;%20Board%20Paper\&#22797;&#20214;%20SCIP-CCGT-FM%20Updated%20020506----revised%20by%20SL--Dec13,2007.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albamen.sharepoint.com/Users/JennyChan/Desktop/&#24213;&#31295;/CGN%20Valuation_&#26395;&#26085;&#33714;_20201231_@0129v2.xlsx"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E:\&#9733;SCU%20China%202008\2008%203Q%20Reivew(BU+FCT)\&#9733;3Q%20Review%20BU09+FCT%204yrs%20final\&#9733;&#9733;Sembcorp%20China%20Revised%20SRS(&#26368;&#21518;&#29256;&#65292;&#35201;&#25972;&#29702;)%2020080916.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ttps:\sembcorp-my.sharepoint.com\&#9733;SCU%20China%202008\2008%203Q%20Reivew(BU+FCT)\&#9733;3Q%20Review%20BU09+FCT%204yrs%20final\&#9733;&#9733;Sembcorp%20China%20Revised%20SRS(&#26368;&#21518;&#29256;&#65292;&#35201;&#25972;&#29702;)%2020080916.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E:\Documents%20and%20Settings\uesr\Local%20Settings\Temporary%20Internet%20Files\OLK98\NCIP%20Water\budget&amp;forecast\2Q%20review\Water%20Review(29-May%20final%20version).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ttps:\sembcorp-my.sharepoint.com\Documents%20and%20Settings\uesr\Local%20Settings\Temporary%20Internet%20Files\OLK98\NCIP%20Water\budget&amp;forecast\2Q%20review\Water%20Review(29-May%20final%20version).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E:\NJ%202008\Commen%20Documents\Budget\2009%20Budget\NSS_2009%20Budget\NSS%20Budget%202009(080918).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https:\sembcorp-my.sharepoint.com\NJ%202008\Commen%20Documents\Budget\2009%20Budget\NSS_2009%20Budget\NSS%20Budget%202009(080918).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E:\NJ%202008\Commen%20Documents\Budget\3Q%20Forecast\NSS_3Q\NSS%203Q%20forecast(20080818).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https:\sembcorp-my.sharepoint.com\NJ%202008\Commen%20Documents\Budget\3Q%20Forecast\NSS_3Q\NSS%203Q%20forecast(2008081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s://albamen.sharepoint.com/Users/DannyQi/Albamen%20Capital/03%20Projects%20-%20Menzies%20&#20117;&#20872;&#23665;/PIAR/&#36130;&#21153;&#27169;&#22411;/Distributed%20Solar%20-%20Menzies%20-%20Model-Portfolio%20PIAR-%20Leasing%202023-5-17%20-%20sensitivities.xlsm"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20840;&#37096;&#25991;&#20214;0511\&#39044;&#31639;&amp;&#39044;&#27979;\3Q&#39044;&#27979;\11&#26376;&#20221;\&#25240;&#26087;&#24046;&#24322;&#35745;&#31639;(081207)&#26356;&#26032;.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https:\sembcorp-my.sharepoint.com\&#20840;&#37096;&#25991;&#20214;0511\&#39044;&#31639;&amp;&#39044;&#27979;\3Q&#39044;&#27979;\11&#26376;&#20221;\&#25240;&#26087;&#24046;&#24322;&#35745;&#31639;(081207)&#26356;&#26032;.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E:\SCU%20China%202007\NSS\NSS%20Budget%202007\2008-2011\manpower(2008-2011).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https:\sembcorp-my.sharepoint.com\SCU%20China%202007\NSS\NSS%20Budget%202007\2008-2011\manpower(2008-201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E:\SembCorp&#32988;&#31185;&#27700;&#21153;\&#22266;&#23450;&#36164;&#20135;\2009&#24180;&#22266;&#23450;&#36164;&#20135;&#19982;&#25240;&#26087;\2009&#24180;&#25240;&#26087;&#35745;&#31639;.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https:\sembcorp-my.sharepoint.com\SembCorp&#32988;&#31185;&#27700;&#21153;\&#22266;&#23450;&#36164;&#20135;\2009&#24180;&#22266;&#23450;&#36164;&#20135;&#19982;&#25240;&#26087;\2009&#24180;&#25240;&#26087;&#35745;&#31639;.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E:\SCU%20China%202007\NSS\NSS%203Q%20Review%20&amp;%20budget%202008\&#9733;Budget%202008(20071101)\&#9733;NSS%20Budget2008(NSS20071101%20TOTAL)-Most%20likely-final(&#21033;&#28070;&#24179;&#22343;).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https:\sembcorp-my.sharepoint.com\SCU%20China%202007\NSS\NSS%203Q%20Review%20&amp;%20budget%202008\&#9733;Budget%202008(20071101)\&#9733;NSS%20Budget2008(NSS20071101%20TOTAL)-Most%20likely-final(&#21033;&#28070;&#24179;&#22343;).xls" TargetMode="External"/></Relationships>
</file>

<file path=xl/externalLinks/_rels/externalLink90.xml.rels><?xml version="1.0" encoding="UTF-8" standalone="yes"?>
<Relationships xmlns="http://schemas.openxmlformats.org/package/2006/relationships"><Relationship Id="rId2" Type="http://schemas.openxmlformats.org/officeDocument/2006/relationships/externalLinkPath" Target="https://albamen.sharepoint.com/sites/00ALBAMEN/00Management/Shared%20Documents/!!!MANAGEMENT%20-%20NEW/z-outlook/2025/Payroll%202025.xlsx" TargetMode="External"/><Relationship Id="rId1" Type="http://schemas.openxmlformats.org/officeDocument/2006/relationships/externalLinkPath" Target="https://albamen.sharepoint.com/sites/00ALBAMEN/00Management/Shared%20Documents/!!!MANAGEMENT%20-%20NEW/z-outlook/2025/Payroll%202025.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s://albamen.sharepoint.com/Users/GuanghuaChen/OneDrive%20-%20Albamen%20Capital/!!!MANAGEMENT%20-%20NEW/z-outlook/2026/Budget%20FY2026/&#21508;&#20027;&#20307;2025&#24180;&#24230;&#31185;&#30446;&#20313;&#39069;&#34920;/ACPL&#31185;&#30446;&#20313;&#39069;&#34920;--2025&#24180;.xlsx"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https://albamen.sharepoint.com/Users/GuanghuaChen/OneDrive%20-%20Albamen%20Capital/!!!MANAGEMENT%20-%20NEW/z-outlook/2026/Budget%20FY2026/&#21508;&#20027;&#20307;2025&#24180;&#24230;&#31185;&#30446;&#20313;&#39069;&#34920;/ACPLHK&#31185;&#30446;&#20313;&#39069;&#34920;--2025&#24180;.xlsx"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albamen.sharepoint.com/Users/GuanghuaChen/OneDrive%20-%20Albamen%20Capital/!!!MANAGEMENT%20-%20NEW/z-outlook/2026/Budget%20FY2026/&#21508;&#20027;&#20307;2025&#24180;&#24230;&#31185;&#30446;&#20313;&#39069;&#34920;/&#12304;&#26093;&#26234;&#31169;&#21215;&#12305;&#31185;&#30446;&#20313;&#39069;&#34920;--2025&#24180;.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albamen.sharepoint.com/Users/GuanghuaChen/OneDrive%20-%20Albamen%20Capital/!!!MANAGEMENT%20-%20NEW/z-outlook/2026/Budget%20FY2026/&#21508;&#20027;&#20307;2025&#24180;&#24230;&#31185;&#30446;&#20313;&#39069;&#34920;/&#12304;&#26093;&#26234;&#21672;&#35810;&#12305;&#31185;&#30446;&#20313;&#39069;&#34920;--2025&#24180;.xlsx"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albamen.sharepoint.com/Users/GuanghuaChen/OneDrive%20-%20Albamen%20Capital/!!!MANAGEMENT%20-%20NEW/z-outlook/2026/Budget%20FY2026/&#21508;&#20027;&#20307;2025&#24180;&#24230;&#31185;&#30446;&#20313;&#39069;&#34920;/&#12304;&#24191;&#24030;&#26093;&#26234;&#12305;&#31185;&#30446;&#20313;&#39069;&#34920;--2025&#24180;.xlsx"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albamen.sharepoint.com/Users/GuanghuaChen/OneDrive%20-%20Albamen%20Capital/!!!MANAGEMENT%20-%20NEW/z-outlook/2026/Budget%20FY2026/&#21508;&#20027;&#20307;2025&#24180;&#24230;&#31185;&#30446;&#20313;&#39069;&#34920;/&#12304;&#23452;&#20852;&#26093;&#26234;&#12305;&#31185;&#30446;&#20313;&#39069;&#34920;--2025&#24180;.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https://albamen.sharepoint.com/Users/GuanghuaChen/OneDrive%20-%20Albamen%20Capital/!!!MANAGEMENT%20-%20NEW/z-ACPL&#39044;&#31639;/ACPL%20Budget%20for%20FY2026_V1.xlsx"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https://albamen.sharepoint.com/sites/00ALBAMEN/03Projects/Shared%20Documents/01%20Renewable%20Projects/&#19977;&#19968;&#37325;&#33021;%20&#33655;&#21494;&#22378;/07%20Operation/Budget/&#33655;&#21494;&#22378;&#39033;&#30446;&#39044;&#31639;&#34920;-&#25353;1.2&#27979;&#31639;0702.xlsx"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https://albamen.sharepoint.com/Users/GuanghuaChen/OneDrive%20-%20Albamen%20Capital/!!!MANAGEMENT%20-%20NEW/z-outlook/ACPL&#39044;&#31639;--NC/Staff%20payroll%2020261H.xlsx" TargetMode="External"/></Relationships>
</file>

<file path=xl/externalLinks/_rels/externalLink100.xml.rels><?xml version="1.0" encoding="UTF-8" standalone="yes"?>
<Relationships xmlns="http://schemas.openxmlformats.org/package/2006/relationships"><Relationship Id="rId2" Type="http://schemas.openxmlformats.org/officeDocument/2006/relationships/externalLinkPath" Target="file:///V:\02%20Albamen\04.%20Analysis\Budget\Budget%20ACPL%20FY24%20Budget%2020230618%20(Lean)%20-&#20154;&#21592;&#35843;&#25972;&#21518;.xlsx" TargetMode="External"/><Relationship Id="rId1" Type="http://schemas.openxmlformats.org/officeDocument/2006/relationships/externalLinkPath" Target="file:///V:\02%20Albamen\04.%20Analysis\Budget\Budget%20ACPL%20FY24%20Budget%2020230618%20(Lean)%20-&#20154;&#21592;&#35843;&#25972;&#215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
      <sheetName val="Paramter"/>
      <sheetName val="YTD COD"/>
      <sheetName val="salesbreakdown"/>
      <sheetName val="损益表"/>
      <sheetName val="P&amp;L"/>
      <sheetName val="BS"/>
      <sheetName val="CashFlow"/>
      <sheetName val="FA-Cost"/>
      <sheetName val="FA-Depr"/>
      <sheetName val="Comment&amp;FP"/>
      <sheetName val="Sales&amp;CM(FullYear)"/>
      <sheetName val="运行成本表"/>
      <sheetName val="Sale &amp; CM"/>
      <sheetName val="Other Inc &amp; Exp"/>
      <sheetName val="Schedule A"/>
      <sheetName val="Schedule B"/>
      <sheetName val="Prov (Gen)"/>
      <sheetName val="Prov (Spec)"/>
      <sheetName val="Due to&amp;from"/>
      <sheetName val="(Not required)2YR PL"/>
      <sheetName val="(Not required)2YR BS"/>
      <sheetName val="(Not required)Sales Growth"/>
      <sheetName val="(Not required)CM Growth"/>
      <sheetName val="Sheet 1"/>
      <sheetName val="Sheet 3"/>
      <sheetName val="F1.0 Assumptions"/>
      <sheetName val="Sensitivity"/>
      <sheetName val="Settings"/>
      <sheetName val="WACC and TIC Inputs"/>
      <sheetName val="DATA GPC"/>
      <sheetName val="EBIT Reconciliation"/>
      <sheetName val="START"/>
      <sheetName val="DCF"/>
      <sheetName val="Ranking"/>
      <sheetName val="Depreciation and Tax Benefit"/>
      <sheetName val="INC STAT Hist Input"/>
      <sheetName val="PFI Inputs"/>
      <sheetName val="Reference"/>
      <sheetName val="Error Check"/>
      <sheetName val="NOL Tax Benefit"/>
      <sheetName val="Segment Information"/>
      <sheetName val="PFI Inc Stat Common Size"/>
      <sheetName val="PFI Inc Stat"/>
      <sheetName val="Tax Amortization Benefit"/>
      <sheetName val="TIC"/>
      <sheetName val="Gen_Inp"/>
      <sheetName val="假设 Inputs"/>
      <sheetName val="表3.2"/>
      <sheetName val="hidden_3"/>
      <sheetName val="hidden_4"/>
      <sheetName val="COVER"/>
      <sheetName val="资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
      <sheetName val="Paramter"/>
      <sheetName val="YTD COD"/>
      <sheetName val="salesbreakdown"/>
      <sheetName val="损益表"/>
      <sheetName val="P&amp;L"/>
      <sheetName val="BS"/>
      <sheetName val="CashFlow"/>
      <sheetName val="FA-Cost"/>
      <sheetName val="FA-Depr"/>
      <sheetName val="Comment&amp;FP"/>
      <sheetName val="Sales&amp;CM(FullYear)"/>
      <sheetName val="运行成本表"/>
      <sheetName val="Sale &amp; CM"/>
      <sheetName val="Other Inc &amp; Exp"/>
      <sheetName val="Schedule A"/>
      <sheetName val="Schedule B"/>
      <sheetName val="Prov (Gen)"/>
      <sheetName val="Prov (Spec)"/>
      <sheetName val="Due to&amp;from"/>
      <sheetName val="(Not required)2YR PL"/>
      <sheetName val="(Not required)2YR BS"/>
      <sheetName val="(Not required)Sales Growth"/>
      <sheetName val="(Not required)CM Growth"/>
      <sheetName val="Sheet 1"/>
      <sheetName val="Sheet 3"/>
      <sheetName val="封面"/>
      <sheetName val="预算利润表分月"/>
      <sheetName val="一期"/>
      <sheetName val="去年合并"/>
      <sheetName val="二期"/>
      <sheetName val="DATA GPC"/>
      <sheetName val="WACC and TIC Inputs"/>
      <sheetName val="Gen_Inp"/>
      <sheetName val="Detail Loan Move. &amp; Listing"/>
      <sheetName val="假设 Inputs"/>
      <sheetName val="假设情景 Inputs - Scenarios"/>
      <sheetName val="cost center "/>
      <sheetName val="enth"/>
      <sheetName val="Borrow"/>
      <sheetName val="Log"/>
      <sheetName val="Key assum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
      <sheetName val="Paramter"/>
      <sheetName val="YTD COD"/>
      <sheetName val="salesbreakdown"/>
      <sheetName val="损益表"/>
      <sheetName val="P&amp;L"/>
      <sheetName val="BS"/>
      <sheetName val="CashFlow"/>
      <sheetName val="FA-Cost"/>
      <sheetName val="FA-Depr"/>
      <sheetName val="Comment&amp;FP"/>
      <sheetName val="Sales&amp;CM(FullYear)"/>
      <sheetName val="运行成本表"/>
      <sheetName val="Sale &amp; CM"/>
      <sheetName val="Other Inc &amp; Exp"/>
      <sheetName val="Schedule A"/>
      <sheetName val="Schedule B"/>
      <sheetName val="Prov (Gen)"/>
      <sheetName val="Prov (Spec)"/>
      <sheetName val="Due to&amp;from"/>
      <sheetName val="(Not required)2YR PL"/>
      <sheetName val="(Not required)2YR BS"/>
      <sheetName val="(Not required)Sales Growth"/>
      <sheetName val="(Not required)CM Growth"/>
      <sheetName val="Sheet 1"/>
      <sheetName val="Sheet 3"/>
      <sheetName val="封面"/>
      <sheetName val="预算利润表分月"/>
      <sheetName val="一期"/>
      <sheetName val="去年合并"/>
      <sheetName val="二期"/>
      <sheetName val="假设 Inputs"/>
      <sheetName val="假设情景 Inputs - Scenarios"/>
      <sheetName val="DATA GPC"/>
      <sheetName val="WACC and TIC Inputs"/>
      <sheetName val="INSTRUCTIONS (填表指引)"/>
      <sheetName val="B"/>
      <sheetName val="Phase 1B"/>
      <sheetName val="费用"/>
      <sheetName val="GP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c"/>
      <sheetName val="fw"/>
      <sheetName val="Assumption"/>
      <sheetName val="Para"/>
      <sheetName val="人工费用"/>
      <sheetName val="假设 Input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
      <sheetName val="Paramter"/>
      <sheetName val="YTD COD"/>
      <sheetName val="salesbreakdown"/>
      <sheetName val="损益表"/>
      <sheetName val="P&amp;L"/>
      <sheetName val="BS"/>
      <sheetName val="CashFlow"/>
      <sheetName val="FA-Cost"/>
      <sheetName val="FA-Depr"/>
      <sheetName val="Comment&amp;FP"/>
      <sheetName val="Sales&amp;CM(FullYear)"/>
      <sheetName val="运行成本表"/>
      <sheetName val="Sale &amp; CM"/>
      <sheetName val="Other Inc &amp; Exp"/>
      <sheetName val="Schedule A"/>
      <sheetName val="Schedule B"/>
      <sheetName val="Prov (Gen)"/>
      <sheetName val="Prov (Spec)"/>
      <sheetName val="Due to&amp;from"/>
      <sheetName val="(Not required)2YR PL"/>
      <sheetName val="(Not required)2YR BS"/>
      <sheetName val="(Not required)Sales Growth"/>
      <sheetName val="(Not required)CM Growth"/>
      <sheetName val="Sheet 1"/>
      <sheetName val="Sheet 3"/>
      <sheetName val="封面"/>
      <sheetName val="DATA GPC"/>
      <sheetName val="WACC and TIC Inputs"/>
      <sheetName val="Main"/>
      <sheetName val="Key_Inputs"/>
      <sheetName val="1_ShortName_Calculation_Meta"/>
      <sheetName val="1.2_CoCo_Financials_Meta"/>
      <sheetName val="START"/>
      <sheetName val="coding"/>
      <sheetName val="ut"/>
      <sheetName val="Borrow"/>
      <sheetName val="Key assum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
      <sheetName val="Paramter"/>
      <sheetName val="YTD COD"/>
      <sheetName val="salesbreakdown"/>
      <sheetName val="损益表"/>
      <sheetName val="P&amp;L"/>
      <sheetName val="BS"/>
      <sheetName val="CashFlow"/>
      <sheetName val="FA-Cost"/>
      <sheetName val="FA-Depr"/>
      <sheetName val="Comment&amp;FP"/>
      <sheetName val="Sales&amp;CM(FullYear)"/>
      <sheetName val="运行成本表"/>
      <sheetName val="Sale &amp; CM"/>
      <sheetName val="Other Inc &amp; Exp"/>
      <sheetName val="Schedule A"/>
      <sheetName val="Schedule B"/>
      <sheetName val="Prov (Gen)"/>
      <sheetName val="Prov (Spec)"/>
      <sheetName val="Due to&amp;from"/>
      <sheetName val="(Not required)2YR PL"/>
      <sheetName val="(Not required)2YR BS"/>
      <sheetName val="(Not required)Sales Growth"/>
      <sheetName val="(Not required)CM Growth"/>
      <sheetName val="Sheet 1"/>
      <sheetName val="Sheet 3"/>
      <sheetName val="封面"/>
      <sheetName val="Key_Inputs"/>
      <sheetName val="1_ShortName_Calculation_Meta"/>
      <sheetName val="1.2_CoCo_Financials_Meta"/>
      <sheetName val="DATA GPC"/>
      <sheetName val="WACC and TIC Inputs"/>
      <sheetName val="费用"/>
      <sheetName val="Assumption"/>
      <sheetName val="Premium Dec 03"/>
      <sheetName val="Premium Sep 03"/>
      <sheetName val="ST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SUT Financial Model"/>
      <sheetName val="uts"/>
      <sheetName val="mps"/>
      <sheetName val="tar"/>
      <sheetName val="tar (trucking)"/>
      <sheetName val="benz"/>
      <sheetName val="Chart1"/>
      <sheetName val="cond"/>
      <sheetName val="hgiw"/>
      <sheetName val="fw"/>
      <sheetName val="wwt"/>
      <sheetName val="wwt (DS)"/>
      <sheetName val="enth"/>
      <sheetName val="epc"/>
      <sheetName val="BFG FM"/>
      <sheetName val="Para"/>
      <sheetName val="Param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w Value Assets"/>
      <sheetName val="cost center "/>
      <sheetName val="Key assumption"/>
      <sheetName val="water orgnization"/>
      <sheetName val="Paramter"/>
      <sheetName val="EV"/>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预算表 (3)"/>
      <sheetName val="预算表 (旧)"/>
      <sheetName val="Flash Report"/>
      <sheetName val="Actual&amp;Forecast-PL"/>
      <sheetName val="科目余额表2025.01"/>
      <sheetName val="科目余额表2025.02"/>
      <sheetName val="科目余额表2025.03"/>
      <sheetName val="科目余额表2025.04"/>
      <sheetName val="科目余额表2025.05"/>
      <sheetName val="Budget-PL"/>
      <sheetName val="Forecast-CF直接法"/>
      <sheetName val="Sub-Ledger"/>
      <sheetName val="预算表-按0.13"/>
      <sheetName val="预测数-滚动5月"/>
      <sheetName val="发电收入 v2"/>
      <sheetName val="发电收入"/>
      <sheetName val="利息明细"/>
      <sheetName val="折旧明细"/>
      <sheetName val="工资"/>
      <sheetName val="咨询管理费计算"/>
      <sheetName val="咨询管理费计算 (2)"/>
      <sheetName val="New"/>
      <sheetName val="E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ter"/>
      <sheetName val="封面"/>
      <sheetName val="损益表新格式"/>
      <sheetName val="salesbreakdown"/>
      <sheetName val="Variable Cost"/>
      <sheetName val="损益表"/>
      <sheetName val="运行成本表"/>
      <sheetName val="Overview1"/>
      <sheetName val="Overview2"/>
      <sheetName val="P&amp;L"/>
      <sheetName val="Summary"/>
      <sheetName val="Progress report"/>
      <sheetName val="B Sheet"/>
      <sheetName val="Debtors"/>
      <sheetName val="outlook-breakdown"/>
      <sheetName val="Outlook(3906K loss)"/>
      <sheetName val="P &amp; L (frango) "/>
      <sheetName val="B Sheet (Frango)"/>
      <sheetName val="Borrow"/>
      <sheetName val="YTDCOD"/>
      <sheetName val="资产负债表"/>
      <sheetName val="应收账款明细及帐龄分析"/>
      <sheetName val="营业收入及增值税"/>
      <sheetName val="cashflow(2006)"/>
      <sheetName val="现金流量表"/>
      <sheetName val="应交增值税"/>
      <sheetName val="outlook(new link)"/>
      <sheetName val="Assum"/>
      <sheetName val="DATA GPC"/>
      <sheetName val="START"/>
      <sheetName val="Key_Inputs"/>
      <sheetName val="1_ShortName_Calculation_Meta"/>
      <sheetName val="1.2_CoCo_Financials_Meta"/>
      <sheetName val="F1"/>
      <sheetName val="YTD (Source)"/>
      <sheetName val="2-1问题归类表"/>
      <sheetName val="f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ngo input "/>
      <sheetName val="损益表"/>
      <sheetName val="salesbreakdown"/>
      <sheetName val="cashflow(2007)"/>
      <sheetName val="Variable Cost "/>
      <sheetName val="cashflow"/>
      <sheetName val="BS"/>
      <sheetName val="P&amp;L"/>
      <sheetName val="FA-Cost"/>
      <sheetName val="FA-Depr"/>
      <sheetName val="YTD COD"/>
      <sheetName val="Paramter"/>
      <sheetName val="Comment&amp;FP"/>
      <sheetName val="Sales&amp;CM(FullYear)"/>
      <sheetName val="Schedule A"/>
      <sheetName val="Schedule B"/>
      <sheetName val="START"/>
      <sheetName val="B"/>
      <sheetName val="Assum"/>
      <sheetName val="GenAssm"/>
      <sheetName val="cost center "/>
      <sheetName val="封面"/>
      <sheetName val="Overview"/>
      <sheetName val="enth"/>
      <sheetName val="Key Assumptio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ngo input "/>
      <sheetName val="损益表"/>
      <sheetName val="salesbreakdown"/>
      <sheetName val="cashflow(2007)"/>
      <sheetName val="Variable Cost "/>
      <sheetName val="cashflow"/>
      <sheetName val="BS"/>
      <sheetName val="P&amp;L"/>
      <sheetName val="FA-Cost"/>
      <sheetName val="FA-Depr"/>
      <sheetName val="YTD COD"/>
      <sheetName val="Paramter"/>
      <sheetName val="Comment&amp;FP"/>
      <sheetName val="Sales&amp;CM(FullYear)"/>
      <sheetName val="Schedule A"/>
      <sheetName val="Schedule B"/>
      <sheetName val="GenAssm"/>
      <sheetName val="START"/>
      <sheetName val="Assum"/>
      <sheetName val="费用"/>
      <sheetName val="封面"/>
      <sheetName val="B"/>
      <sheetName val="YTD (Source)"/>
      <sheetName val="PL-G"/>
      <sheetName val="f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s lim"/>
      <sheetName val="YTD (Source)"/>
      <sheetName val="STPL (DO NOT delete)"/>
      <sheetName val="Customer"/>
      <sheetName val="Main"/>
      <sheetName val="Assum"/>
      <sheetName val="Assumption"/>
      <sheetName val="Paramter"/>
      <sheetName val="Rate lookup"/>
      <sheetName val="预算表-按0.13"/>
      <sheetName val="ut"/>
      <sheetName val="Key Assumptio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s lim"/>
      <sheetName val="YTD (Source)"/>
      <sheetName val="STPL (DO NOT delete)"/>
      <sheetName val="Customer"/>
      <sheetName val="Assum"/>
      <sheetName val="Paramter"/>
      <sheetName val="费用"/>
      <sheetName val="封面"/>
      <sheetName val="loan database"/>
      <sheetName val="cost center "/>
      <sheetName val="PL-G"/>
      <sheetName val="Phase 1B"/>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ror Check"/>
      <sheetName val="Cover"/>
      <sheetName val="START"/>
      <sheetName val="DATA GPC"/>
      <sheetName val="Conclusion of Value"/>
      <sheetName val="Market Cap Reconciliation"/>
      <sheetName val="INC STAT Hist Input"/>
      <sheetName val="PFI Inputs"/>
      <sheetName val="BAL SHEET Hist Input"/>
      <sheetName val="NOL Tax Benefit"/>
      <sheetName val="WACC and TIC Inputs"/>
      <sheetName val="DCF"/>
      <sheetName val="WACC"/>
      <sheetName val="PFI Inc Stat"/>
      <sheetName val="PFI Inc Stat Common Size"/>
      <sheetName val="PFI Balance Sheet"/>
      <sheetName val="PFI Cash Flow"/>
      <sheetName val="_CIQHiddenCacheSheet"/>
      <sheetName val="TIC"/>
      <sheetName val="TIC Multiples"/>
      <sheetName val="Growth&amp;Margins"/>
      <sheetName val="Equity Multiples"/>
      <sheetName val="Guideline Public Company Method"/>
      <sheetName val="Guideline Transactions Input"/>
      <sheetName val="Guideline Transactions Method"/>
      <sheetName val="TOC Print from here&gt;&gt;"/>
      <sheetName val="&lt;&lt;to this bookend"/>
      <sheetName val="Workpapers-&gt;&gt;"/>
      <sheetName val="Tax Amortization Benefit"/>
      <sheetName val="Depreciation and Tax Benefit"/>
      <sheetName val="Depreciation%Sales"/>
      <sheetName val="Working Capital"/>
      <sheetName val="GPC WACC"/>
      <sheetName val="Segment Information"/>
      <sheetName val="GPC Business Descriptions"/>
      <sheetName val="Ranking"/>
      <sheetName val="EBIT Reconciliation"/>
      <sheetName val="Hist Debt Mkt Equity"/>
      <sheetName val="DuPont ROA"/>
      <sheetName val="DuPont ROE"/>
      <sheetName val="Guideline Public Co Estimates"/>
      <sheetName val="Other tools-&gt;&gt;"/>
      <sheetName val="ValueBridge"/>
      <sheetName val="Reference"/>
      <sheetName val="BarChart"/>
      <sheetName val="PieChart"/>
      <sheetName val="User's Guide"/>
      <sheetName val="Settings"/>
      <sheetName val="Update notes"/>
      <sheetName val="Notes"/>
      <sheetName val="Blank Template"/>
      <sheetName val="Paramter"/>
      <sheetName val="en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Cover"/>
      <sheetName val="Log"/>
      <sheetName val="总投成本 Capex"/>
      <sheetName val="运维费用O&amp;M Cost"/>
      <sheetName val="敏感性分析-Sensitivity"/>
      <sheetName val="组合假设情景 Inputs - Portfolio"/>
      <sheetName val="假设 Inputs"/>
      <sheetName val="New"/>
      <sheetName val="6.5% 测算"/>
      <sheetName val="经营期 Operation Period"/>
      <sheetName val="贷款、现金、税 Debt, Cash, Tax"/>
      <sheetName val="财务报表 Fin Stmt"/>
      <sheetName val="输出 Export"/>
      <sheetName val="输出综合 Export - Yearly"/>
      <sheetName val="估值 Valuation"/>
      <sheetName val="report"/>
      <sheetName val="Tables"/>
      <sheetName val="现金流总结"/>
      <sheetName val="Chart Data"/>
      <sheetName val="sensitivities"/>
      <sheetName val="Return_calc"/>
      <sheetName val="Return report"/>
      <sheetName val="定价合理依据"/>
      <sheetName val="pricing"/>
      <sheetName val="Teaser"/>
      <sheetName val="Paramter"/>
      <sheetName val="enth"/>
      <sheetName val="cost center "/>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 for LP"/>
      <sheetName val="核心假设及输出"/>
      <sheetName val="假设 Inputs"/>
      <sheetName val="JV分配&gt;&gt;"/>
      <sheetName val="基金层面"/>
      <sheetName val="JV Level-新分配方案"/>
      <sheetName val="资产UE（以风电为例）"/>
      <sheetName val="Yield"/>
      <sheetName val="封面 Cover"/>
      <sheetName val="运维费用O&amp;M Cost"/>
      <sheetName val="敏感性分析-Sensitivity"/>
      <sheetName val="组合假设情景 Inputs - Portfolio"/>
      <sheetName val="经营期 Operation Period"/>
      <sheetName val="贷款、现金、税 Debt, Cash, Tax"/>
      <sheetName val="财务报表 Fin Stmt"/>
      <sheetName val="输出 Export"/>
      <sheetName val="输出综合 Export - Yearly"/>
      <sheetName val="估值 Valuation"/>
      <sheetName val="JV层面分配"/>
      <sheetName val="退出IRR测算"/>
      <sheetName val="report"/>
      <sheetName val="Tables"/>
      <sheetName val="现金流总结"/>
      <sheetName val="Chart Data"/>
      <sheetName val="sensitivities"/>
      <sheetName val="Return_calc"/>
      <sheetName val="Return report"/>
      <sheetName val="定价合理依据"/>
      <sheetName val="pricing"/>
      <sheetName val="Teaser"/>
      <sheetName val="Settings"/>
      <sheetName val="WACC and TIC Inputs"/>
      <sheetName val="DATA GPC"/>
      <sheetName val="EBIT Reconciliation"/>
      <sheetName val="START"/>
      <sheetName val="DCF"/>
      <sheetName val="Ranking"/>
      <sheetName val="Depreciation and Tax Benefit"/>
      <sheetName val="INC STAT Hist Input"/>
      <sheetName val="PFI Inputs"/>
      <sheetName val="Reference"/>
      <sheetName val="Error Check"/>
      <sheetName val="NOL Tax Benefit"/>
      <sheetName val="Segment Information"/>
      <sheetName val="PFI Inc Stat Common Size"/>
      <sheetName val="PFI Inc Stat"/>
      <sheetName val="Tax Amortization Benefit"/>
      <sheetName val="TIC"/>
      <sheetName val="Paramter"/>
      <sheetName val="Key_Inputs"/>
      <sheetName val="1_ShortName_Calculation_Meta"/>
      <sheetName val="1.2_CoCo_Financials_Meta"/>
      <sheetName val="预算表-按0.13"/>
    </sheetNames>
    <sheetDataSet>
      <sheetData sheetId="0"/>
      <sheetData sheetId="1" refreshError="1"/>
      <sheetData sheetId="2"/>
      <sheetData sheetId="3" refreshError="1"/>
      <sheetData sheetId="4"/>
      <sheetData sheetId="5"/>
      <sheetData sheetId="6"/>
      <sheetData sheetId="7"/>
      <sheetData sheetId="8" refreshError="1"/>
      <sheetData sheetId="9" refreshError="1"/>
      <sheetData sheetId="10"/>
      <sheetData sheetId="11" refreshError="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Co_DataBase"/>
      <sheetName val="Summary"/>
      <sheetName val="Key_Inputs"/>
      <sheetName val="1_ShortName_Calculation_Meta"/>
      <sheetName val="1.1_CoCo_Description_Meta"/>
      <sheetName val="1.2_CoCo_Financials_Meta"/>
      <sheetName val="1.3_Equity_Multiples_Meta"/>
      <sheetName val="1.3.1_PE_Multiple_Meta"/>
      <sheetName val="1.3.2_PB_Multiple_Meta"/>
      <sheetName val="1.3.3_PS_Multiple_Meta"/>
      <sheetName val="1.4_EV_Multiples_Meta"/>
      <sheetName val="1.4.1_EV_EBITDA_Meta"/>
      <sheetName val="1.4.2_EV_EBIT_Meta"/>
      <sheetName val="1.4.3_EV_Sales_Meta"/>
      <sheetName val="_CIQHiddenCacheSheet"/>
      <sheetName val="EY"/>
      <sheetName val="1_FROS_Calculation"/>
      <sheetName val="1.1_CoCo_Description"/>
      <sheetName val="1.2_CoCo_Financials"/>
      <sheetName val="1.3_Equity_Multiples"/>
      <sheetName val="1.3.1_PE_Multiple"/>
      <sheetName val="1.3.2_PB_Multiple"/>
      <sheetName val="1.3.3_PS_Multiple"/>
      <sheetName val="1.4_EV_Multiples"/>
      <sheetName val="1.4.1_EV_EBITDA"/>
      <sheetName val="1.4.2_EV_EBIT"/>
      <sheetName val="1.4.3_EV_Sales"/>
      <sheetName val="YTD (Source)"/>
      <sheetName val="封面"/>
      <sheetName val="Param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埴写说明"/>
      <sheetName val="封面"/>
      <sheetName val="GONGOS"/>
      <sheetName val="Flash Report 财务快报"/>
      <sheetName val="水量水价明细表"/>
      <sheetName val="利润表"/>
      <sheetName val="资产负债表"/>
      <sheetName val="现金流量表"/>
      <sheetName val="长期资产"/>
      <sheetName val="Sheet1"/>
      <sheetName val="waterfall New"/>
      <sheetName val="Overview2量价分析"/>
      <sheetName val="Parameters指标"/>
      <sheetName val="Overview概况"/>
      <sheetName val="Outlook实际与预测"/>
      <sheetName val="EBIT Waterfall"/>
      <sheetName val="B Sheet "/>
      <sheetName val="Cash and Debts货币资金和应收账款 "/>
      <sheetName val="Borrowings &amp; Interest贷款"/>
      <sheetName val="Performance Monitor"/>
      <sheetName val="预算资产负债表2012"/>
      <sheetName val="季度预测-汇总1- Yr12vsYr1 &amp;Yr10"/>
      <sheetName val="季度预测-汇总2-预算按季度"/>
      <sheetName val="季度预测-分析图"/>
      <sheetName val="revenue chart"/>
      <sheetName val="standard Char-SSW"/>
      <sheetName val="standard Char-SSW (reformat)"/>
      <sheetName val="预算利润表2012"/>
      <sheetName val="DATA GPC"/>
      <sheetName val="WACC and TIC Inputs"/>
      <sheetName val="GenAssm"/>
      <sheetName val="以前年度损益调整"/>
      <sheetName val="Paramter"/>
      <sheetName val="cost center "/>
      <sheetName val="假设 Inputs"/>
      <sheetName val="Settings"/>
      <sheetName val="EBIT Reconciliation"/>
      <sheetName val="START"/>
      <sheetName val="DCF"/>
      <sheetName val="Ranking"/>
      <sheetName val="Depreciation and Tax Benefit"/>
      <sheetName val="INC STAT Hist Input"/>
      <sheetName val="PFI Inputs"/>
      <sheetName val="Reference"/>
      <sheetName val="Error Check"/>
      <sheetName val="NOL Tax Benefit"/>
      <sheetName val="Segment Information"/>
      <sheetName val="PFI Inc Stat Common Size"/>
      <sheetName val="PFI Inc Stat"/>
      <sheetName val="Tax Amortization Benefit"/>
      <sheetName val="T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填写说明"/>
      <sheetName val="Cover"/>
      <sheetName val="Summary(1)"/>
      <sheetName val="Revenue Summary2011"/>
      <sheetName val="Summary (2)"/>
      <sheetName val="Summary(3)"/>
      <sheetName val="Major Customers"/>
      <sheetName val="Variance Analysis"/>
      <sheetName val="Labor Cost"/>
      <sheetName val="Maintenance2011 "/>
      <sheetName val="CAPEX summary"/>
      <sheetName val="Y2011 Capex_Dept BU"/>
      <sheetName val="TTL investment"/>
      <sheetName val="Action Plan"/>
      <sheetName val="Chart- PAT"/>
      <sheetName val="Chart- Volume"/>
      <sheetName val="Revenue Summary 2012-2015"/>
      <sheetName val="Tendency Analysis"/>
      <sheetName val="PL-Total"/>
      <sheetName val="PL-P1A"/>
      <sheetName val="PL-Dystar"/>
      <sheetName val="PL-P2"/>
      <sheetName val="PL-P1B"/>
      <sheetName val="Misc Expenses"/>
      <sheetName val="Manpower Summary"/>
      <sheetName val="CF 2011"/>
      <sheetName val="BS 2011"/>
      <sheetName val="PL 2009~2015"/>
      <sheetName val="BS 2009~2015"/>
      <sheetName val="PL P1A2009~2015"/>
      <sheetName val="PL Dystar2009~2015"/>
      <sheetName val="PL P2 2009~2015"/>
      <sheetName val="PL P1B 2009~2015"/>
      <sheetName val="VC_Summary2011"/>
      <sheetName val="VC_Summary2012-2015"/>
      <sheetName val="Sales_Y11BU"/>
      <sheetName val="Sales_FC2012-2015"/>
      <sheetName val="P1A_Assumption_VC"/>
      <sheetName val="Dystar_Assuption_VC"/>
      <sheetName val="P2_Assumption_VC"/>
      <sheetName val="P1B_Assumption_VC(L)"/>
      <sheetName val="P1B_Assumption_VC (H)"/>
      <sheetName val="HSE2011"/>
      <sheetName val="Low value asset2011"/>
      <sheetName val="Lab"/>
      <sheetName val="Capex"/>
      <sheetName val="Interest"/>
      <sheetName val="Cashflow statement "/>
      <sheetName val="Indicator EVA Borrowing"/>
      <sheetName val="Sales_3Q"/>
      <sheetName val="Sales_Y10BU"/>
      <sheetName val="COA MAPPING"/>
      <sheetName val="cost center "/>
      <sheetName val="折算表"/>
      <sheetName val="F1"/>
      <sheetName val="DATA GPC"/>
      <sheetName val="WACC and TIC Inputs"/>
      <sheetName val="封面"/>
      <sheetName val="Paramter"/>
      <sheetName val="enth"/>
      <sheetName val="Key assumption"/>
      <sheetName val="water orgnization"/>
      <sheetName val="Assumption(Manpow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填写说明"/>
      <sheetName val="Cover"/>
      <sheetName val="Summary(1)"/>
      <sheetName val="Revenue Summary2011"/>
      <sheetName val="Summary (2)"/>
      <sheetName val="Summary(3)"/>
      <sheetName val="Major Customers"/>
      <sheetName val="Variance Analysis"/>
      <sheetName val="Labor Cost"/>
      <sheetName val="Maintenance2011 "/>
      <sheetName val="CAPEX summary"/>
      <sheetName val="Y2011 Capex_Dept BU"/>
      <sheetName val="TTL investment"/>
      <sheetName val="Action Plan"/>
      <sheetName val="Chart- PAT"/>
      <sheetName val="Chart- Volume"/>
      <sheetName val="Revenue Summary 2012-2015"/>
      <sheetName val="Tendency Analysis"/>
      <sheetName val="PL-Total"/>
      <sheetName val="PL-P1A"/>
      <sheetName val="PL-Dystar"/>
      <sheetName val="PL-P2"/>
      <sheetName val="PL-P1B"/>
      <sheetName val="Misc Expenses"/>
      <sheetName val="Manpower Summary"/>
      <sheetName val="CF 2011"/>
      <sheetName val="BS 2011"/>
      <sheetName val="PL 2009~2015"/>
      <sheetName val="BS 2009~2015"/>
      <sheetName val="PL P1A2009~2015"/>
      <sheetName val="PL Dystar2009~2015"/>
      <sheetName val="PL P2 2009~2015"/>
      <sheetName val="PL P1B 2009~2015"/>
      <sheetName val="VC_Summary2011"/>
      <sheetName val="VC_Summary2012-2015"/>
      <sheetName val="Sales_Y11BU"/>
      <sheetName val="Sales_FC2012-2015"/>
      <sheetName val="P1A_Assumption_VC"/>
      <sheetName val="Dystar_Assuption_VC"/>
      <sheetName val="P2_Assumption_VC"/>
      <sheetName val="P1B_Assumption_VC(L)"/>
      <sheetName val="P1B_Assumption_VC (H)"/>
      <sheetName val="HSE2011"/>
      <sheetName val="Low value asset2011"/>
      <sheetName val="Lab"/>
      <sheetName val="Capex"/>
      <sheetName val="Interest"/>
      <sheetName val="Cashflow statement "/>
      <sheetName val="Indicator EVA Borrowing"/>
      <sheetName val="Sales_3Q"/>
      <sheetName val="Sales_Y10BU"/>
      <sheetName val="COA MAPPING"/>
      <sheetName val="cost center "/>
      <sheetName val="折算表"/>
      <sheetName val="DATA GPC"/>
      <sheetName val="WACC and TIC Inputs"/>
      <sheetName val="假设 Inputs"/>
      <sheetName val="Phase 1B"/>
      <sheetName val="loan database"/>
      <sheetName val="revenue chart"/>
      <sheetName val="费用"/>
      <sheetName val="Paramter"/>
      <sheetName val="YTD (Source)"/>
      <sheetName val="封面"/>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refreshError="1"/>
      <sheetData sheetId="6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120043 GONGOS"/>
      <sheetName val="PPT-Summary1"/>
      <sheetName val="PPT-Summary2"/>
      <sheetName val="PPT-4Yr"/>
      <sheetName val="PPT_1A"/>
      <sheetName val="PPT-Dystar"/>
      <sheetName val="PPT-Phase2"/>
      <sheetName val="PPT-1B"/>
      <sheetName val="PAT Analysis"/>
      <sheetName val="PPT-Indicators"/>
      <sheetName val="PPT-Loan&amp;Capex"/>
      <sheetName val="BMW Analysis"/>
      <sheetName val="PPT-Cash flow"/>
      <sheetName val="BMW"/>
      <sheetName val="资产负债表2010"/>
      <sheetName val="现金流量表2010"/>
      <sheetName val="keyAssumption"/>
      <sheetName val="Revenue Analysis"/>
      <sheetName val="Gross Margin Analysis"/>
      <sheetName val="EBIT analysis"/>
      <sheetName val="PATMI analysis"/>
      <sheetName val="损益表2010(total)"/>
      <sheetName val="损益表2010(NWWT)"/>
      <sheetName val="损益表2010(Dystar)"/>
      <sheetName val="损益表2010(P2)"/>
      <sheetName val="损益表2010(P1B)"/>
      <sheetName val="Sales Breakdown"/>
      <sheetName val="Admin"/>
      <sheetName val="Revenue"/>
      <sheetName val="Key customers Volume"/>
      <sheetName val="P1A_Assumption_VC"/>
      <sheetName val="Dystar_Assumption_VC"/>
      <sheetName val="P2_Assumption_VC"/>
      <sheetName val="Phase 1B"/>
      <sheetName val="Varialbe Cost_NSS"/>
      <sheetName val="Assumption"/>
      <sheetName val="Allocation"/>
      <sheetName val="summary"/>
      <sheetName val="Lab"/>
      <sheetName val="维修费用"/>
      <sheetName val="Maintenance"/>
      <sheetName val="维修耗材"/>
      <sheetName val="设备维护"/>
      <sheetName val="低值易耗品NSS"/>
      <sheetName val="Interest"/>
      <sheetName val="HSE"/>
      <sheetName val="二期固定费用计算"/>
      <sheetName val="CAPEX"/>
      <sheetName val="Depreciation"/>
      <sheetName val="P1B 折旧"/>
      <sheetName val="折算表"/>
      <sheetName val="折旧年限"/>
      <sheetName val="一期扩建EPC"/>
      <sheetName val="水务二期EPC"/>
      <sheetName val="Sheet3"/>
      <sheetName val="DATA GPC"/>
      <sheetName val="WACC and TIC Inputs"/>
      <sheetName val="IT Budget"/>
      <sheetName val="YTD (Source)"/>
      <sheetName val="ut"/>
      <sheetName val="Assumption(Manpow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120043 GONGOS"/>
      <sheetName val="PPT-Summary1"/>
      <sheetName val="PPT-Summary2"/>
      <sheetName val="PPT-4Yr"/>
      <sheetName val="PPT_1A"/>
      <sheetName val="PPT-Dystar"/>
      <sheetName val="PPT-Phase2"/>
      <sheetName val="PPT-1B"/>
      <sheetName val="PAT Analysis"/>
      <sheetName val="PPT-Indicators"/>
      <sheetName val="PPT-Loan&amp;Capex"/>
      <sheetName val="BMW Analysis"/>
      <sheetName val="PPT-Cash flow"/>
      <sheetName val="BMW"/>
      <sheetName val="资产负债表2010"/>
      <sheetName val="现金流量表2010"/>
      <sheetName val="keyAssumption"/>
      <sheetName val="Revenue Analysis"/>
      <sheetName val="Gross Margin Analysis"/>
      <sheetName val="EBIT analysis"/>
      <sheetName val="PATMI analysis"/>
      <sheetName val="损益表2010(total)"/>
      <sheetName val="损益表2010(NWWT)"/>
      <sheetName val="损益表2010(Dystar)"/>
      <sheetName val="损益表2010(P2)"/>
      <sheetName val="损益表2010(P1B)"/>
      <sheetName val="Sales Breakdown"/>
      <sheetName val="Admin"/>
      <sheetName val="Revenue"/>
      <sheetName val="Key customers Volume"/>
      <sheetName val="P1A_Assumption_VC"/>
      <sheetName val="Dystar_Assumption_VC"/>
      <sheetName val="P2_Assumption_VC"/>
      <sheetName val="Phase 1B"/>
      <sheetName val="Varialbe Cost_NSS"/>
      <sheetName val="Assumption"/>
      <sheetName val="Allocation"/>
      <sheetName val="summary"/>
      <sheetName val="Lab"/>
      <sheetName val="维修费用"/>
      <sheetName val="Maintenance"/>
      <sheetName val="维修耗材"/>
      <sheetName val="设备维护"/>
      <sheetName val="低值易耗品NSS"/>
      <sheetName val="Interest"/>
      <sheetName val="HSE"/>
      <sheetName val="二期固定费用计算"/>
      <sheetName val="CAPEX"/>
      <sheetName val="Depreciation"/>
      <sheetName val="P1B 折旧"/>
      <sheetName val="折算表"/>
      <sheetName val="折旧年限"/>
      <sheetName val="一期扩建EPC"/>
      <sheetName val="水务二期EPC"/>
      <sheetName val="DATA GPC"/>
      <sheetName val="WACC and TIC Inputs"/>
      <sheetName val="Key_Inputs"/>
      <sheetName val="1_ShortName_Calculation_Meta"/>
      <sheetName val="1.2_CoCo_Financials_Meta"/>
      <sheetName val="费用"/>
      <sheetName val="Paramter"/>
      <sheetName val="revenue chart"/>
      <sheetName val="YTD (Source)"/>
      <sheetName val="cost center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PL_NWWT(M)"/>
      <sheetName val="Sheet3"/>
      <sheetName val="Sales"/>
      <sheetName val="Viariable cost08(NWWT)"/>
      <sheetName val="Assumption"/>
      <sheetName val="opex(NWWT)"/>
      <sheetName val="G&amp;A"/>
      <sheetName val="差旅估算"/>
      <sheetName val="Finance(08)"/>
      <sheetName val="Premium Dec 03"/>
      <sheetName val="DATA GPC"/>
      <sheetName val="START"/>
      <sheetName val="YTD (Source)"/>
      <sheetName val="cost center "/>
      <sheetName val="Paramter"/>
      <sheetName val="Key Assumption1"/>
      <sheetName val="V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PL_NWWT(M)"/>
      <sheetName val="Sheet3"/>
      <sheetName val="Sales"/>
      <sheetName val="Viariable cost08(NWWT)"/>
      <sheetName val="Assumption"/>
      <sheetName val="opex(NWWT)"/>
      <sheetName val="G&amp;A"/>
      <sheetName val="差旅估算"/>
      <sheetName val="Finance(08)"/>
      <sheetName val="START"/>
      <sheetName val="DATA GPC"/>
      <sheetName val="费用"/>
      <sheetName val="Paramter"/>
      <sheetName val="loan database"/>
      <sheetName val="YTD (Source)"/>
      <sheetName val="Borrow"/>
      <sheetName val="cost center "/>
      <sheetName val="Phase 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Content"/>
      <sheetName val="EBIT Waterfall"/>
      <sheetName val="Performance Monitor"/>
      <sheetName val="Sheet1"/>
      <sheetName val="Overview "/>
      <sheetName val="outlook"/>
      <sheetName val="Parameters"/>
      <sheetName val="Gross margin breakdown"/>
      <sheetName val="B Sheet (Cognos)"/>
      <sheetName val="Cash and Debts"/>
      <sheetName val="Borrowings &amp; Interest"/>
      <sheetName val="Forex"/>
      <sheetName val="other Expense Breakdown "/>
      <sheetName val="YTD"/>
      <sheetName val="Overview 2"/>
      <sheetName val="120043 GONGOS"/>
      <sheetName val="ROE and ROTA"/>
      <sheetName val="AC VS FC&amp;BU"/>
      <sheetName val="Balance Sheet"/>
      <sheetName val="损益表2011(total)"/>
      <sheetName val="损益表2011(NWWT)"/>
      <sheetName val="损益表2011(Dystar)"/>
      <sheetName val="损益表2011(P2)"/>
      <sheetName val="损益表2011(P1B)"/>
      <sheetName val="损益表2011(O&amp;M)"/>
      <sheetName val="Cash flow"/>
      <sheetName val="销售明细"/>
      <sheetName val="BU-BS"/>
      <sheetName val="BU-PL (Total)"/>
      <sheetName val="BU-PL(NWWT)"/>
      <sheetName val="BU-PL(Dystar)"/>
      <sheetName val="BU-PL(P2)"/>
      <sheetName val="BU-PL(P1B)"/>
      <sheetName val="B"/>
      <sheetName val="START"/>
      <sheetName val="EV"/>
      <sheetName val="Paramter"/>
      <sheetName val="预算表-按0.13"/>
      <sheetName val="cost center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Content"/>
      <sheetName val="EBIT Waterfall"/>
      <sheetName val="Performance Monitor"/>
      <sheetName val="Sheet1"/>
      <sheetName val="Overview "/>
      <sheetName val="outlook"/>
      <sheetName val="Parameters"/>
      <sheetName val="Gross margin breakdown"/>
      <sheetName val="B Sheet (Cognos)"/>
      <sheetName val="Cash and Debts"/>
      <sheetName val="Borrowings &amp; Interest"/>
      <sheetName val="Forex"/>
      <sheetName val="other Expense Breakdown "/>
      <sheetName val="YTD"/>
      <sheetName val="Overview 2"/>
      <sheetName val="120043 GONGOS"/>
      <sheetName val="ROE and ROTA"/>
      <sheetName val="AC VS FC&amp;BU"/>
      <sheetName val="Balance Sheet"/>
      <sheetName val="损益表2011(total)"/>
      <sheetName val="损益表2011(NWWT)"/>
      <sheetName val="损益表2011(Dystar)"/>
      <sheetName val="损益表2011(P2)"/>
      <sheetName val="损益表2011(P1B)"/>
      <sheetName val="损益表2011(O&amp;M)"/>
      <sheetName val="Cash flow"/>
      <sheetName val="销售明细"/>
      <sheetName val="BU-BS"/>
      <sheetName val="BU-PL (Total)"/>
      <sheetName val="BU-PL(NWWT)"/>
      <sheetName val="BU-PL(Dystar)"/>
      <sheetName val="BU-PL(P2)"/>
      <sheetName val="BU-PL(P1B)"/>
      <sheetName val="EV"/>
      <sheetName val="START"/>
      <sheetName val="cost center "/>
      <sheetName val="假设 Inputs"/>
      <sheetName val="费用"/>
      <sheetName val="Paramter"/>
      <sheetName val="YTD (Source)"/>
      <sheetName val="Assumption"/>
      <sheetName val="Settings"/>
      <sheetName val="WACC and TIC Inputs"/>
      <sheetName val="DATA GPC"/>
      <sheetName val="EBIT Reconciliation"/>
      <sheetName val="DCF"/>
      <sheetName val="Ranking"/>
      <sheetName val="Depreciation and Tax Benefit"/>
      <sheetName val="INC STAT Hist Input"/>
      <sheetName val="PFI Inputs"/>
      <sheetName val="Reference"/>
      <sheetName val="Error Check"/>
      <sheetName val="NOL Tax Benefit"/>
      <sheetName val="Segment Information"/>
      <sheetName val="PFI Inc Stat Common Size"/>
      <sheetName val="PFI Inc Stat"/>
      <sheetName val="Tax Amortization Benefit"/>
      <sheetName val="T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核心假设及输出"/>
      <sheetName val="JV分配&gt;&gt;"/>
      <sheetName val="基金层面"/>
      <sheetName val="JV Level-新分配方案"/>
      <sheetName val="资产UE（以风电为例）"/>
      <sheetName val="Yield"/>
      <sheetName val="单体项目&gt;&gt;"/>
      <sheetName val="封面 Cover"/>
      <sheetName val="组合假设情景 Inputs - Portfolio"/>
      <sheetName val="假设 Inputs"/>
      <sheetName val="经营期 Operation Period"/>
      <sheetName val="贷款、现金、税 Debt, Cash, Tax"/>
      <sheetName val="财务报表 Fin Stmt"/>
      <sheetName val="输出 Export"/>
      <sheetName val="输出综合 Export - Yearly"/>
      <sheetName val="敏感性分析-Sensitivity"/>
      <sheetName val="估值 Valuation"/>
      <sheetName val="定价合理依据"/>
      <sheetName val="Assum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核心假设及输出"/>
      <sheetName val="JV分配&gt;&gt;"/>
      <sheetName val="基金层面"/>
      <sheetName val="JV Level-新分配方案"/>
      <sheetName val="资产UE（以风电为例）"/>
      <sheetName val="Yield"/>
      <sheetName val="单体项目&gt;&gt;"/>
      <sheetName val="封面 Cover"/>
      <sheetName val="组合假设情景 Inputs - Portfolio"/>
      <sheetName val="假设 Inputs"/>
      <sheetName val="经营期 Operation Period"/>
      <sheetName val="贷款、现金、税 Debt, Cash, Tax"/>
      <sheetName val="财务报表 Fin Stmt"/>
      <sheetName val="输出 Export"/>
      <sheetName val="输出综合 Export - Yearly"/>
      <sheetName val="敏感性分析-Sensitivity"/>
      <sheetName val="估值 Valuation"/>
      <sheetName val="定价合理依据"/>
      <sheetName val="Phase 1B"/>
      <sheetName val="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8 Con BS"/>
      <sheetName val="2.8a Con PL"/>
      <sheetName val="2.8b Con PL (Apr-Mar)"/>
      <sheetName val="2.3 Con PL (31Mar08) Ref. only"/>
      <sheetName val="2.9 Company level BS"/>
      <sheetName val="2.9a Company level PL"/>
      <sheetName val="2.5 Co. PL (31Mar08) Ref only "/>
      <sheetName val="2.9b Company level PL (Apr-Mar"/>
      <sheetName val="Subcon BS"/>
      <sheetName val="Subcon PL"/>
      <sheetName val="Consolidated (US) Ref. Only"/>
      <sheetName val="Sheet1"/>
      <sheetName val="intercompany"/>
      <sheetName val="Consolidated April to Mar09"/>
      <sheetName val="Consolidated (Apr-Jan09)"/>
      <sheetName val="Consolidated Cognos"/>
      <sheetName val="Consolidated (includeYC)"/>
      <sheetName val="Consolidated (exYC)"/>
      <sheetName val="Consolidated-IM"/>
      <sheetName val="Consolidated-LM"/>
      <sheetName val="Consolidated -LY"/>
      <sheetName val="Consolidated"/>
      <sheetName val="coding"/>
      <sheetName val="PRC and IFRS"/>
      <sheetName val="Consolidated (31Mar08)"/>
      <sheetName val="Consolidated (Apr-Dec)-value"/>
      <sheetName val="Consolidated (Apr-Dec)"/>
      <sheetName val="MI (USD)"/>
      <sheetName val="MI (USD) -Dec08"/>
      <sheetName val="MI (USD) April to Mar09"/>
      <sheetName val="MI(RMB)"/>
      <sheetName val="MI(RMB) (Dec 07)"/>
      <sheetName val="MI(RMB) (Mar 07)"/>
      <sheetName val="CW"/>
      <sheetName val="XM BVI"/>
      <sheetName val="WM BVI"/>
      <sheetName val="FZ BVI"/>
      <sheetName val="YJ BVI"/>
      <sheetName val="QTH BVI"/>
      <sheetName val="Mau"/>
      <sheetName val="SH HC (For Ref. only)"/>
      <sheetName val="FZ HKC"/>
      <sheetName val="YJ HKC"/>
      <sheetName val="ZMD HKC"/>
      <sheetName val="YC HKC"/>
      <sheetName val="SH RO"/>
      <sheetName val="FZ JV"/>
      <sheetName val="YJ JV"/>
      <sheetName val="QTH JV"/>
      <sheetName val="XM JV"/>
      <sheetName val="ZMD JV"/>
      <sheetName val="YCJV-infull"/>
      <sheetName val="YCJV"/>
      <sheetName val="YCJV-infull (2)"/>
      <sheetName val="CWC+SH RO"/>
      <sheetName val="Intercompany Recon"/>
      <sheetName val="CWC + Rep P-9"/>
      <sheetName val="Mau P-9"/>
      <sheetName val="FZ P-9"/>
      <sheetName val="FZ BVI P-9"/>
      <sheetName val="FZ HKC P-9"/>
      <sheetName val="QTH P-9"/>
      <sheetName val="QTH BVI P-9"/>
      <sheetName val="XM P-9"/>
      <sheetName val="XM BVI P-9"/>
      <sheetName val="YJ P-9"/>
      <sheetName val="YJ HKC P-9"/>
      <sheetName val="YJ BVI P-9"/>
      <sheetName val="ZMD HKC P-9"/>
      <sheetName val="YC HKC P-9"/>
      <sheetName val="Bank"/>
      <sheetName val="Sheet2"/>
      <sheetName val="Summary"/>
      <sheetName val="Adjustment checking"/>
      <sheetName val="Opening checking"/>
      <sheetName val="Opening-Difference"/>
      <sheetName val="opening-dec08"/>
      <sheetName val="Inmth"/>
      <sheetName val="Lastmth"/>
      <sheetName val="tax checking"/>
      <sheetName val="Key Assumption1"/>
      <sheetName val="Param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埴写说明 Instruction"/>
      <sheetName val="封面"/>
      <sheetName val="Overview"/>
      <sheetName val="Return&amp;Turnover"/>
      <sheetName val="Chart_PAT"/>
      <sheetName val="Chart_YTDPAT"/>
      <sheetName val="12mths RF"/>
      <sheetName val="waterfall New"/>
      <sheetName val="Flash Report 财务快报"/>
      <sheetName val="水量水价明细表Rev analysis"/>
      <sheetName val="利润表P&amp;L"/>
      <sheetName val="资产负债表 B&amp;S"/>
      <sheetName val="单位成本分析(MW)Peer Comparison"/>
      <sheetName val="现金流量表 C&amp;F"/>
      <sheetName val="LY-PL"/>
      <sheetName val="LY-BS"/>
      <sheetName val="未入账工程Unsettled Engineering"/>
      <sheetName val="其他应付款 Accrual&amp;Others"/>
      <sheetName val="应收账款分析AR&amp;NR"/>
      <sheetName val="Borrowings &amp; Interest贷款"/>
      <sheetName val="BU-BS"/>
      <sheetName val="BU-PL"/>
      <sheetName val="BU-CF"/>
      <sheetName val="Key Assumption1"/>
      <sheetName val="YTD (Source)"/>
      <sheetName val="Param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se"/>
      <sheetName val="Cover&amp;Statement"/>
      <sheetName val="EPCOM"/>
      <sheetName val="Loanschedule"/>
      <sheetName val="Bridge"/>
      <sheetName val="Assum"/>
      <sheetName val="Inputs"/>
      <sheetName val="投资收益测算"/>
      <sheetName val="经营期"/>
      <sheetName val="建设期"/>
      <sheetName val="财务报表"/>
      <sheetName val="SHL"/>
      <sheetName val="Sheet1"/>
      <sheetName val="贷款、现金、税"/>
      <sheetName val="测算总结"/>
      <sheetName val="EXP"/>
      <sheetName val="Valuation"/>
      <sheetName val="Tornado"/>
      <sheetName val="Combined"/>
      <sheetName val="Return_calc"/>
      <sheetName val="Sens_paste"/>
      <sheetName val="Check"/>
      <sheetName val="Output&gt;&gt;"/>
      <sheetName val="7.4. IRR NPV 分析"/>
      <sheetName val="Tables"/>
      <sheetName val="4.2 现金流量总结"/>
      <sheetName val="Chart Data"/>
      <sheetName val="Pricing"/>
      <sheetName val="Database&gt;&gt;&gt;"/>
      <sheetName val="定价合理论据"/>
      <sheetName val="假设 Inputs"/>
      <sheetName val="Assumption"/>
      <sheetName val="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EBIT Waterfall"/>
      <sheetName val="Overview (2)"/>
      <sheetName val="Overview"/>
      <sheetName val="Parameters"/>
      <sheetName val="B Sheet (SSW)"/>
      <sheetName val="Outlook"/>
      <sheetName val="Cash and Debts "/>
      <sheetName val="Borrowings &amp; Interest"/>
      <sheetName val="Flash P&amp;L"/>
      <sheetName val="Highlights"/>
      <sheetName val="Overview2"/>
      <sheetName val="revenue chart"/>
      <sheetName val="Revenue vs. BU"/>
      <sheetName val="standard Char-SSW"/>
      <sheetName val="COGNOS"/>
      <sheetName val="Revenue"/>
      <sheetName val="损益表2010"/>
      <sheetName val="资产负债表"/>
      <sheetName val="CF"/>
      <sheetName val="BS-SAP vs. UFIDA"/>
      <sheetName val="standard Char-SSW (reformat)"/>
      <sheetName val="PL-SAP"/>
      <sheetName val="BS-SAP"/>
      <sheetName val="CF-SAP"/>
      <sheetName val="UF Report"/>
      <sheetName val="UF FA"/>
      <sheetName val="FC"/>
      <sheetName val="P&amp;L(BU)"/>
      <sheetName val="Assum"/>
      <sheetName val="EV"/>
      <sheetName val="main"/>
      <sheetName val="Paramter"/>
      <sheetName val="cost center "/>
      <sheetName val="YTD (Source)"/>
      <sheetName val="Assumption"/>
      <sheetName val="封面"/>
      <sheetName val="Key_Inputs"/>
      <sheetName val="1_ShortName_Calculation_Meta"/>
      <sheetName val="1.2_CoCo_Financials_Me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Waterfall chart (可以正负)"/>
      <sheetName val="Content"/>
      <sheetName val="Overview (2)"/>
      <sheetName val="Overview"/>
      <sheetName val="outlook "/>
      <sheetName val="Parameters"/>
      <sheetName val="B Sheet (Cognos)"/>
      <sheetName val="Cash and Debts"/>
      <sheetName val="Borrowings &amp; Interest"/>
      <sheetName val="Forex"/>
      <sheetName val="120053 GONGOS "/>
      <sheetName val="YTD "/>
      <sheetName val="Overview 2"/>
      <sheetName val="AC VS3Q&amp;BU"/>
      <sheetName val="ROE and ROTA"/>
      <sheetName val="间接法"/>
      <sheetName val="other Expense Breakdown "/>
      <sheetName val="Balance Sheet"/>
      <sheetName val="P&amp;L"/>
      <sheetName val="Cash flow"/>
      <sheetName val="Sales Breakdown(M)"/>
      <sheetName val="Variable Cost"/>
      <sheetName val="BS 2011（预算）"/>
      <sheetName val="P&amp;L (预算)"/>
      <sheetName val="B"/>
      <sheetName val="假设 Inputs"/>
      <sheetName val="Key Assumption1"/>
      <sheetName val="cost center "/>
      <sheetName val="Paramter"/>
      <sheetName val="PL-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Waterfall chart (可以正负)"/>
      <sheetName val="Content"/>
      <sheetName val="Overview (2)"/>
      <sheetName val="Overview"/>
      <sheetName val="outlook "/>
      <sheetName val="Parameters"/>
      <sheetName val="B Sheet (Cognos)"/>
      <sheetName val="Cash and Debts"/>
      <sheetName val="Borrowings &amp; Interest"/>
      <sheetName val="Forex"/>
      <sheetName val="120053 GONGOS "/>
      <sheetName val="YTD "/>
      <sheetName val="Overview 2"/>
      <sheetName val="AC VS3Q&amp;BU"/>
      <sheetName val="ROE and ROTA"/>
      <sheetName val="间接法"/>
      <sheetName val="other Expense Breakdown "/>
      <sheetName val="Balance Sheet"/>
      <sheetName val="P&amp;L"/>
      <sheetName val="Cash flow"/>
      <sheetName val="Sales Breakdown(M)"/>
      <sheetName val="Variable Cost"/>
      <sheetName val="BS 2011（预算）"/>
      <sheetName val="P&amp;L (预算)"/>
      <sheetName val="假设 Inputs"/>
      <sheetName val="revenue chart"/>
      <sheetName val="费用"/>
      <sheetName val="Paramter"/>
      <sheetName val="cost center "/>
      <sheetName val="Phase 1B"/>
      <sheetName val="Key assumption"/>
      <sheetName val="YTD (Source)"/>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refreshError="1"/>
      <sheetData sheetId="3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Overview(old)"/>
      <sheetName val="EBIT Waterfall"/>
      <sheetName val="Overview"/>
      <sheetName val="Outlook"/>
      <sheetName val="Parameters"/>
      <sheetName val="Performance Monitor"/>
      <sheetName val="B Sheet (SSW)"/>
      <sheetName val="Cash and Debts "/>
      <sheetName val="Borrowings &amp; Interest"/>
      <sheetName val="Overview2"/>
      <sheetName val="revenue chart"/>
      <sheetName val="Revenue vs. BU"/>
      <sheetName val="Revenue"/>
      <sheetName val="COGNOS"/>
      <sheetName val="预算损益表"/>
      <sheetName val="standard Char-SSW"/>
      <sheetName val="Highlights"/>
      <sheetName val="损益表2011"/>
      <sheetName val="资产负债表"/>
      <sheetName val="CF"/>
      <sheetName val="BS-SAP vs. UFIDA"/>
      <sheetName val="standard Char-SSW (reformat)"/>
      <sheetName val="Flash P&amp;L"/>
      <sheetName val="GP explaination"/>
      <sheetName val="PL-SAP"/>
      <sheetName val="BS-SAP"/>
      <sheetName val="CF-SAP"/>
      <sheetName val="FC"/>
      <sheetName val="P&amp;L BU"/>
      <sheetName val="UF Report"/>
      <sheetName val="UF FA"/>
      <sheetName val="VAS"/>
      <sheetName val="Phase 1B"/>
      <sheetName val="Paramter"/>
      <sheetName val="GPRO"/>
      <sheetName val="PL-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Overview(old)"/>
      <sheetName val="EBIT Waterfall"/>
      <sheetName val="Overview"/>
      <sheetName val="Outlook"/>
      <sheetName val="Parameters"/>
      <sheetName val="Performance Monitor"/>
      <sheetName val="B Sheet (SSW)"/>
      <sheetName val="Cash and Debts "/>
      <sheetName val="Borrowings &amp; Interest"/>
      <sheetName val="Overview2"/>
      <sheetName val="revenue chart"/>
      <sheetName val="Revenue vs. BU"/>
      <sheetName val="Revenue"/>
      <sheetName val="COGNOS"/>
      <sheetName val="预算损益表"/>
      <sheetName val="standard Char-SSW"/>
      <sheetName val="Highlights"/>
      <sheetName val="损益表2011"/>
      <sheetName val="资产负债表"/>
      <sheetName val="CF"/>
      <sheetName val="BS-SAP vs. UFIDA"/>
      <sheetName val="standard Char-SSW (reformat)"/>
      <sheetName val="Flash P&amp;L"/>
      <sheetName val="GP explaination"/>
      <sheetName val="PL-SAP"/>
      <sheetName val="BS-SAP"/>
      <sheetName val="CF-SAP"/>
      <sheetName val="FC"/>
      <sheetName val="P&amp;L BU"/>
      <sheetName val="UF Report"/>
      <sheetName val="UF FA"/>
      <sheetName val="Assum"/>
      <sheetName val="GenAssm"/>
      <sheetName val="费用"/>
      <sheetName val="Key assumption"/>
      <sheetName val="封面"/>
      <sheetName val="Phase 1B"/>
      <sheetName val="Assumption"/>
      <sheetName val="Assumption(Manpower)"/>
      <sheetName val="cost center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ModelInfo"/>
      <sheetName val="GenAssm"/>
      <sheetName val="WACC"/>
      <sheetName val="MgmtFcst"/>
      <sheetName val="SYN_IntCost"/>
      <sheetName val="PPA"/>
      <sheetName val="Dashboard"/>
      <sheetName val="FinancialSum"/>
      <sheetName val="SynergyBridge"/>
      <sheetName val="10YPnL"/>
      <sheetName val="Sensitivities"/>
      <sheetName val="EPSImpact"/>
      <sheetName val="FootballChart"/>
      <sheetName val="PriceAnalysis"/>
      <sheetName val="Synergysum"/>
      <sheetName val="MgmtFS"/>
      <sheetName val="EV"/>
      <sheetName val="ValDetail"/>
      <sheetName val="人工费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ModelInfo"/>
      <sheetName val="GenAssm"/>
      <sheetName val="WACC"/>
      <sheetName val="MgmtFcst"/>
      <sheetName val="SYN_IntCost"/>
      <sheetName val="PPA"/>
      <sheetName val="Dashboard"/>
      <sheetName val="FinancialSum"/>
      <sheetName val="SynergyBridge"/>
      <sheetName val="10YPnL"/>
      <sheetName val="Sensitivities"/>
      <sheetName val="EPSImpact"/>
      <sheetName val="FootballChart"/>
      <sheetName val="PriceAnalysis"/>
      <sheetName val="Synergysum"/>
      <sheetName val="MgmtFS"/>
      <sheetName val="EV"/>
      <sheetName val="ValDetail"/>
      <sheetName val="Cover"/>
      <sheetName val="IT Budget"/>
      <sheetName val="cost center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Recovery"/>
      <sheetName val="Personnel Related Costs-CR"/>
      <sheetName val="SUM-CR"/>
      <sheetName val="Add Car allowance-CR"/>
      <sheetName val="Ben Rate details"/>
      <sheetName val="Ben Rate pivot"/>
      <sheetName val="Rate lookup"/>
      <sheetName val="Budget Namelist"/>
      <sheetName val="2011 Budget Namelist "/>
      <sheetName val="2012 Budget Namelist "/>
      <sheetName val="Salary Data"/>
      <sheetName val="Current (2011) HC"/>
      <sheetName val="Indv Dept HC"/>
      <sheetName val="Personnel Related Costs"/>
      <sheetName val="Total (Update)"/>
      <sheetName val="Headcount Variance Summary (U)"/>
      <sheetName val="Personnel Related Costs-Depost"/>
      <sheetName val="Summary-Depost"/>
      <sheetName val="Average Salary"/>
      <sheetName val="Recruitment"/>
      <sheetName val="Sum Recruit"/>
      <sheetName val="OT"/>
      <sheetName val="EVA Bonus"/>
      <sheetName val="Add Club"/>
      <sheetName val="Add Despatch Allowance"/>
      <sheetName val="Add EAP"/>
      <sheetName val="Modify Insurance"/>
      <sheetName val="Sheet1"/>
      <sheetName val="Key Assumption1"/>
      <sheetName val="cost center "/>
      <sheetName val="Param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 Budget"/>
      <sheetName val="breakdown"/>
      <sheetName val="IT Budget CHC"/>
      <sheetName val="IT Budget NSS"/>
      <sheetName val="IT Budget NCIP"/>
      <sheetName val="IT Budget ZJG"/>
      <sheetName val="IT Budget ZJGWR"/>
      <sheetName val="IT Budget TLIA"/>
      <sheetName val="IT Budget SSW"/>
      <sheetName val="IT Budget QSW"/>
      <sheetName val="IT Budget FZ"/>
      <sheetName val="IT Budget YJ"/>
      <sheetName val="IT Budget XM"/>
      <sheetName val="IT Budget QTH"/>
      <sheetName val="IT Budget (RMB)"/>
      <sheetName val="IT Budget CHC (RMB)"/>
      <sheetName val="IT Budget NSS (RMB)"/>
      <sheetName val="IT Budget NCIP (RMB)"/>
      <sheetName val="IT Budget ZJG (RMB)"/>
      <sheetName val="IT Budget ZJGWR (RMB)"/>
      <sheetName val="IT Budget TLIA (RMB)"/>
      <sheetName val="IT Budget SSW (RMB)"/>
      <sheetName val="IT Budget QSW (RMB)"/>
      <sheetName val="IT Budget FZ (RMB)"/>
      <sheetName val="IT Budget YJ (RMB)"/>
      <sheetName val="IT Budget XM (RMB)"/>
      <sheetName val="IT Budget QTH (RMB)"/>
      <sheetName val="ARP"/>
      <sheetName val="PL-G"/>
      <sheetName val="Phase 1B"/>
      <sheetName val="封面"/>
      <sheetName val="revenue chart"/>
      <sheetName val="Borr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ummary"/>
      <sheetName val="P &amp; L"/>
      <sheetName val="B Sheet"/>
      <sheetName val="Borrow"/>
      <sheetName val="Debtors"/>
      <sheetName val="Outlook"/>
      <sheetName val="Main"/>
      <sheetName val="Log"/>
      <sheetName val="Assumption"/>
      <sheetName val="cost center "/>
      <sheetName val="封面"/>
      <sheetName val="IT Budget"/>
      <sheetName val="revenue chart"/>
      <sheetName val="Phase 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SUT Financial Model"/>
      <sheetName val="uts"/>
      <sheetName val="mps"/>
      <sheetName val="tar"/>
      <sheetName val="tar (trucking)"/>
      <sheetName val="benz"/>
      <sheetName val="Chart1"/>
      <sheetName val="cond"/>
      <sheetName val="hgiw"/>
      <sheetName val="fw"/>
      <sheetName val="wwt"/>
      <sheetName val="wwt (DS)"/>
      <sheetName val="enth"/>
      <sheetName val="epc"/>
      <sheetName val="BFG FM"/>
      <sheetName val="Tembusu Cogen Capex"/>
      <sheetName val="Utilities FUC Summary for 5 yrs"/>
      <sheetName val="Assumption"/>
      <sheetName val="Phase 1B"/>
      <sheetName val="Param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ut"/>
      <sheetName val="dw"/>
      <sheetName val="Assumption"/>
      <sheetName val="Paramter"/>
    </sheetNames>
    <sheetDataSet>
      <sheetData sheetId="0" refreshError="1"/>
      <sheetData sheetId="1" refreshError="1"/>
      <sheetData sheetId="2" refreshError="1"/>
      <sheetData sheetId="3" refreshError="1"/>
      <sheetData sheetId="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Content"/>
      <sheetName val="waterfall New"/>
      <sheetName val="EBIT Waterfall"/>
      <sheetName val="Performance Monitor"/>
      <sheetName val="Sheet1"/>
      <sheetName val="Overview "/>
      <sheetName val="outlook"/>
      <sheetName val="Parameters"/>
      <sheetName val="B Sheet (Cognos)"/>
      <sheetName val="Cash and Debts"/>
      <sheetName val="Borrowings &amp; Interest"/>
      <sheetName val="Forex"/>
      <sheetName val="Gross margin breakdown"/>
      <sheetName val="other Expense Breakdown "/>
      <sheetName val="120043 GONGOS"/>
      <sheetName val="YTD"/>
      <sheetName val="Overview 2"/>
      <sheetName val="ROE and ROTA"/>
      <sheetName val="AC VS FC&amp;BU"/>
      <sheetName val="Balance Sheet"/>
      <sheetName val="损益表2011(total)"/>
      <sheetName val="损益表2011(NWWT)"/>
      <sheetName val="损益表2011(Dystar)"/>
      <sheetName val="损益表2011(P2)"/>
      <sheetName val="损益表2011(P1B)"/>
      <sheetName val="损益表2011(O&amp;M)"/>
      <sheetName val="Cash flow"/>
      <sheetName val="销售明细表"/>
      <sheetName val="BU-BS"/>
      <sheetName val="BU-PL (Total)"/>
      <sheetName val="BU-PL(NWWT)"/>
      <sheetName val="BU-PL(Dystar)"/>
      <sheetName val="BU-PL(P2)"/>
      <sheetName val="BU-PL(P1B)"/>
      <sheetName val="BU-PL(O&amp;M)"/>
      <sheetName val="Key assumption"/>
      <sheetName val="water orgnization"/>
      <sheetName val="Assumption"/>
      <sheetName val="费用"/>
      <sheetName val="Key Assumption1"/>
      <sheetName val="Paramter"/>
      <sheetName val="Para"/>
      <sheetName val="L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Content"/>
      <sheetName val="waterfall New"/>
      <sheetName val="EBIT Waterfall"/>
      <sheetName val="Performance Monitor"/>
      <sheetName val="Sheet1"/>
      <sheetName val="Overview "/>
      <sheetName val="outlook"/>
      <sheetName val="Parameters"/>
      <sheetName val="B Sheet (Cognos)"/>
      <sheetName val="Cash and Debts"/>
      <sheetName val="Borrowings &amp; Interest"/>
      <sheetName val="Forex"/>
      <sheetName val="Gross margin breakdown"/>
      <sheetName val="other Expense Breakdown "/>
      <sheetName val="120043 GONGOS"/>
      <sheetName val="YTD"/>
      <sheetName val="Overview 2"/>
      <sheetName val="ROE and ROTA"/>
      <sheetName val="AC VS FC&amp;BU"/>
      <sheetName val="Balance Sheet"/>
      <sheetName val="损益表2011(total)"/>
      <sheetName val="损益表2011(NWWT)"/>
      <sheetName val="损益表2011(Dystar)"/>
      <sheetName val="损益表2011(P2)"/>
      <sheetName val="损益表2011(P1B)"/>
      <sheetName val="损益表2011(O&amp;M)"/>
      <sheetName val="Cash flow"/>
      <sheetName val="销售明细表"/>
      <sheetName val="BU-BS"/>
      <sheetName val="BU-PL (Total)"/>
      <sheetName val="BU-PL(NWWT)"/>
      <sheetName val="BU-PL(Dystar)"/>
      <sheetName val="BU-PL(P2)"/>
      <sheetName val="BU-PL(P1B)"/>
      <sheetName val="BU-PL(O&amp;M)"/>
      <sheetName val="GenAssm"/>
      <sheetName val="EV"/>
      <sheetName val="费用"/>
      <sheetName val="Key Assumption1"/>
      <sheetName val="Paramter"/>
      <sheetName val="Assumption"/>
      <sheetName val="Para"/>
      <sheetName val="cost center "/>
      <sheetName val="Borr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refreshError="1"/>
      <sheetData sheetId="4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填表指引)"/>
      <sheetName val="PROJECT LIST (項目表)"/>
      <sheetName val="EXPENSE CLAIM FORM  (费用报销表）"/>
      <sheetName val="Logo"/>
      <sheetName val="Staff List (职员表)"/>
    </sheetNames>
    <sheetDataSet>
      <sheetData sheetId="0" refreshError="1"/>
      <sheetData sheetId="1" refreshError="1"/>
      <sheetData sheetId="2" refreshError="1"/>
      <sheetData sheetId="3" refreshError="1"/>
      <sheetData sheetId="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Cover"/>
      <sheetName val="Log"/>
      <sheetName val="总投成本 Capex"/>
      <sheetName val="运维费用O&amp;M Cost"/>
      <sheetName val="敏感性分析-Sensitivity"/>
      <sheetName val="组合假设情景 Inputs - Portfolio"/>
      <sheetName val="假设 Inputs"/>
      <sheetName val="经营期 Operation Period"/>
      <sheetName val="贷款、现金、税 Debt, Cash, Tax"/>
      <sheetName val="财务报表 Fin Stmt"/>
      <sheetName val="输出 Export"/>
      <sheetName val="输出综合 Export - Yearly"/>
      <sheetName val="估值 Valuation"/>
      <sheetName val="report"/>
      <sheetName val="Tables"/>
      <sheetName val="现金流总结"/>
      <sheetName val="Chart Data"/>
      <sheetName val="sensitivities"/>
      <sheetName val="Return_calc"/>
      <sheetName val="Return report"/>
      <sheetName val="定价合理依据"/>
      <sheetName val="pricing"/>
      <sheetName val="Teaser"/>
      <sheetName val="INSTRUCTIONS (填表指引)"/>
      <sheetName val="IT Budget"/>
      <sheetName val="Paramter"/>
      <sheetName val="Phase 1B"/>
      <sheetName val="封面"/>
      <sheetName val="Assump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A Cost Buildup"/>
      <sheetName val="人员配置及工资成本"/>
      <sheetName val="人员配置-外部"/>
      <sheetName val="收入成本估算"/>
      <sheetName val="Internal&gt;&gt;"/>
      <sheetName val="MAA Cost Buildup (2)"/>
      <sheetName val="Summary"/>
      <sheetName val="收入成本估算 一"/>
      <sheetName val="人员配置及工资成本 一"/>
      <sheetName val="收入成本估算二"/>
      <sheetName val="人员配置及工资成本二"/>
      <sheetName val="收入成本估算三"/>
      <sheetName val="人员配置及工资成本三"/>
      <sheetName val="收入成本估算三 (2)"/>
      <sheetName val="人员配置及工资成本三 (2)"/>
      <sheetName val="人员配置及工资成本 (2)"/>
      <sheetName val="收入成本估算 (2)"/>
      <sheetName val="人员配置及工资成本 -old"/>
      <sheetName val="收入成本估算 -old"/>
      <sheetName val="人员rampup"/>
      <sheetName val="横向对比"/>
      <sheetName val="人员配置"/>
      <sheetName val="拟收购资产布局"/>
      <sheetName val="基金"/>
      <sheetName val="辉飏"/>
      <sheetName val="REITs对比"/>
      <sheetName val="问题回复"/>
      <sheetName val="运维费"/>
      <sheetName val="特变"/>
      <sheetName val="三一"/>
      <sheetName val="国电投"/>
      <sheetName val="金风"/>
      <sheetName val="Sheet2"/>
      <sheetName val="假设 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breakdown S.3"/>
      <sheetName val="2025 cashflow forecast breakdow"/>
      <sheetName val="假设 Inputs"/>
      <sheetName val="Borrow"/>
      <sheetName val="Paramter"/>
      <sheetName val="封面"/>
      <sheetName val="EV"/>
    </sheetNames>
    <definedNames>
      <definedName name="data"/>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ModelInfo"/>
      <sheetName val="GenAssm"/>
      <sheetName val="WACC"/>
      <sheetName val="MgmtFcst"/>
      <sheetName val="SYN_IntCost"/>
      <sheetName val="PPA"/>
      <sheetName val="Dashboard"/>
      <sheetName val="FinancialSum"/>
      <sheetName val="SynergyBridge"/>
      <sheetName val="10YPnL"/>
      <sheetName val="Sensitivities"/>
      <sheetName val="EPSImpact"/>
      <sheetName val="FootballChart"/>
      <sheetName val="PriceAnalysis"/>
      <sheetName val="Synergysum"/>
      <sheetName val="MgmtFS"/>
      <sheetName val="EV"/>
      <sheetName val="ValDetail"/>
      <sheetName val="人工费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ModelInfo"/>
      <sheetName val="GenAssm"/>
      <sheetName val="WACC"/>
      <sheetName val="MgmtFcst"/>
      <sheetName val="SYN_IntCost"/>
      <sheetName val="PPA"/>
      <sheetName val="Dashboard"/>
      <sheetName val="FinancialSum"/>
      <sheetName val="SynergyBridge"/>
      <sheetName val="10YPnL"/>
      <sheetName val="Sensitivities"/>
      <sheetName val="EPSImpact"/>
      <sheetName val="FootballChart"/>
      <sheetName val="PriceAnalysis"/>
      <sheetName val="Synergysum"/>
      <sheetName val="MgmtFS"/>
      <sheetName val="EV"/>
      <sheetName val="ValDetail"/>
      <sheetName val="!DRAFT_UTC_M&amp;A_08Mar17_v28.2"/>
      <sheetName val="封面"/>
      <sheetName val="Param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
      <sheetName val="Paramter"/>
      <sheetName val="损益表"/>
      <sheetName val="CashFlow"/>
      <sheetName val="P&amp;L"/>
      <sheetName val="运行成本表"/>
      <sheetName val="BS"/>
      <sheetName val="FA-Cost"/>
      <sheetName val="FA-Depr"/>
      <sheetName val="Comment&amp;FP"/>
      <sheetName val="Sales&amp;CM(FullYear)"/>
      <sheetName val="Sale &amp; CM"/>
      <sheetName val="Other Inc &amp; Exp"/>
      <sheetName val="Schedule A"/>
      <sheetName val="Schedule B"/>
      <sheetName val="Prov (Gen)"/>
      <sheetName val="Prov (Spec)"/>
      <sheetName val="Due to&amp;from"/>
      <sheetName val="Sheet3"/>
      <sheetName val="Key Assumption1"/>
      <sheetName val="5月科目余额表"/>
      <sheetName val="封面"/>
      <sheetName val="General_info"/>
      <sheetName val="Sale_&amp;_CM"/>
      <sheetName val="Other_Inc_&amp;_Exp"/>
      <sheetName val="Schedule_A"/>
      <sheetName val="Schedule_B"/>
      <sheetName val="Prov_(Gen)"/>
      <sheetName val="Prov_(Spec)"/>
      <sheetName val="Due_to&amp;from"/>
      <sheetName val="Key_Assumption1"/>
      <sheetName val="人工费用"/>
      <sheetName val="L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
      <sheetName val="Paramter"/>
      <sheetName val="损益表"/>
      <sheetName val="CashFlow"/>
      <sheetName val="P&amp;L"/>
      <sheetName val="运行成本表"/>
      <sheetName val="BS"/>
      <sheetName val="FA-Cost"/>
      <sheetName val="FA-Depr"/>
      <sheetName val="Comment&amp;FP"/>
      <sheetName val="Sales&amp;CM(FullYear)"/>
      <sheetName val="Sale &amp; CM"/>
      <sheetName val="Other Inc &amp; Exp"/>
      <sheetName val="Schedule A"/>
      <sheetName val="Schedule B"/>
      <sheetName val="Prov (Gen)"/>
      <sheetName val="Prov (Spec)"/>
      <sheetName val="Due to&amp;from"/>
      <sheetName val="EV"/>
      <sheetName val="Key assumption"/>
      <sheetName val="费用"/>
      <sheetName val="Assumption(Manpower)"/>
      <sheetName val="封面"/>
      <sheetName val="Key Assumption1"/>
      <sheetName val="5月余额表"/>
      <sheetName val="UFPrn20220610090423"/>
      <sheetName val="Phase 1B"/>
      <sheetName val="假设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refreshError="1"/>
      <sheetData sheetId="2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ter"/>
      <sheetName val="封面"/>
      <sheetName val="损益表新格式"/>
      <sheetName val="salesbreakdown"/>
      <sheetName val="Variable Cost"/>
      <sheetName val="损益表"/>
      <sheetName val="运行成本表"/>
      <sheetName val="Overview1"/>
      <sheetName val="Overview2"/>
      <sheetName val="P&amp;L"/>
      <sheetName val="Summary"/>
      <sheetName val="Progress report"/>
      <sheetName val="B Sheet"/>
      <sheetName val="Debtors"/>
      <sheetName val="outlook-breakdown"/>
      <sheetName val="Outlook(3906K loss)"/>
      <sheetName val="P &amp; L (frango) "/>
      <sheetName val="B Sheet (Frango)"/>
      <sheetName val="Borrow"/>
      <sheetName val="YTDCOD"/>
      <sheetName val="资产负债表"/>
      <sheetName val="应收账款明细及帐龄分析"/>
      <sheetName val="营业收入及增值税"/>
      <sheetName val="cashflow(2006)"/>
      <sheetName val="现金流量表"/>
      <sheetName val="应交增值税"/>
      <sheetName val="outlook(new link)"/>
      <sheetName val="Collateral"/>
      <sheetName val="Disposition"/>
      <sheetName val="人工费用"/>
      <sheetName val="Assumption"/>
      <sheetName val="Key Assumption1"/>
      <sheetName val="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ter"/>
      <sheetName val="封面"/>
      <sheetName val="损益表新格式"/>
      <sheetName val="salesbreakdown"/>
      <sheetName val="Variable Cost"/>
      <sheetName val="损益表"/>
      <sheetName val="运行成本表"/>
      <sheetName val="Overview1"/>
      <sheetName val="Overview2"/>
      <sheetName val="P&amp;L"/>
      <sheetName val="Summary"/>
      <sheetName val="Progress report"/>
      <sheetName val="B Sheet"/>
      <sheetName val="Debtors"/>
      <sheetName val="outlook-breakdown"/>
      <sheetName val="Outlook(3906K loss)"/>
      <sheetName val="P &amp; L (frango) "/>
      <sheetName val="B Sheet (Frango)"/>
      <sheetName val="Borrow"/>
      <sheetName val="YTDCOD"/>
      <sheetName val="资产负债表"/>
      <sheetName val="应收账款明细及帐龄分析"/>
      <sheetName val="营业收入及增值税"/>
      <sheetName val="cashflow(2006)"/>
      <sheetName val="现金流量表"/>
      <sheetName val="应交增值税"/>
      <sheetName val="outlook(new link)"/>
      <sheetName val="Key Assumption1"/>
      <sheetName val="费用"/>
      <sheetName val="VAS"/>
      <sheetName val="revenue chart"/>
      <sheetName val="Assumption"/>
      <sheetName val="Phase 1B"/>
      <sheetName val="假设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refreshError="1"/>
      <sheetData sheetId="33"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
      <sheetName val="Paramter"/>
      <sheetName val="损益表"/>
      <sheetName val="CashFlow"/>
      <sheetName val="P&amp;L"/>
      <sheetName val="运行成本表"/>
      <sheetName val="BS"/>
      <sheetName val="FA-Cost"/>
      <sheetName val="FA-Depr"/>
      <sheetName val="Comment&amp;FP"/>
      <sheetName val="Sales&amp;CM(FullYear)"/>
      <sheetName val="Sale &amp; CM"/>
      <sheetName val="Other Inc &amp; Exp"/>
      <sheetName val="Schedule A"/>
      <sheetName val="Schedule B"/>
      <sheetName val="Prov (Gen)"/>
      <sheetName val="Prov (Spec)"/>
      <sheetName val="Due to&amp;from"/>
      <sheetName val="U320-TreatyBreakdown_财产险"/>
      <sheetName val="U340-TreatyBreakdown_船舶险"/>
      <sheetName val="GPRO"/>
      <sheetName val="Assumption"/>
      <sheetName val="人工费用"/>
      <sheetName val="Cover"/>
      <sheetName val="Key assumption"/>
      <sheetName val="Pa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表2007"/>
      <sheetName val="现金流量表(2007)"/>
      <sheetName val="Key assumption"/>
      <sheetName val="P&amp;L"/>
      <sheetName val="Salesbreakdown"/>
      <sheetName val="viariable cost"/>
      <sheetName val="FA"/>
      <sheetName val="FA-Cost"/>
      <sheetName val="FA-Depr"/>
      <sheetName val="operation expenses"/>
      <sheetName val="water orgnization"/>
      <sheetName val="G&amp;A"/>
      <sheetName val="Financing"/>
      <sheetName val="Audit program"/>
      <sheetName val="Paramter"/>
      <sheetName val="GPRO"/>
      <sheetName val="封面"/>
      <sheetName val="Pa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表2007"/>
      <sheetName val="现金流量表(2007)"/>
      <sheetName val="Key assumption"/>
      <sheetName val="P&amp;L"/>
      <sheetName val="Salesbreakdown"/>
      <sheetName val="viariable cost"/>
      <sheetName val="FA"/>
      <sheetName val="FA-Cost"/>
      <sheetName val="FA-Depr"/>
      <sheetName val="operation expenses"/>
      <sheetName val="water orgnization"/>
      <sheetName val="G&amp;A"/>
      <sheetName val="Financing"/>
      <sheetName val="Paramter"/>
      <sheetName val="VAS"/>
      <sheetName val="费用"/>
      <sheetName val="Para"/>
      <sheetName val="Key Assumption1"/>
      <sheetName val="封面"/>
      <sheetName val="GPRO"/>
      <sheetName val="Assumption"/>
      <sheetName val="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120043 GONGOS"/>
      <sheetName val="Content"/>
      <sheetName val="Overview"/>
      <sheetName val="Parameters"/>
      <sheetName val="outlook"/>
      <sheetName val="Gross margin breakdown"/>
      <sheetName val="B Sheet (Cognos)"/>
      <sheetName val="Cash and Debts"/>
      <sheetName val="Borrowings"/>
      <sheetName val="YTD"/>
      <sheetName val="Overview 2"/>
      <sheetName val="other Expense Breakdown "/>
      <sheetName val="ROE and ROTA"/>
      <sheetName val="Key Assumption1"/>
      <sheetName val="Key Assumption(Phase1A)"/>
      <sheetName val="Key Assumption(Pre Treatment)"/>
      <sheetName val="Key Assumption(P2)"/>
      <sheetName val="Key Assumption(P1B)"/>
      <sheetName val="Water Volume"/>
      <sheetName val="费用比例"/>
      <sheetName val="损益表(total_excluding P1B)"/>
      <sheetName val="损益表(NWWT)"/>
      <sheetName val="损益表 (Dystar)"/>
      <sheetName val="损益表(二期)"/>
      <sheetName val="损益表(Phase 1B)"/>
      <sheetName val="资产负债表"/>
      <sheetName val="现金流量表"/>
      <sheetName val="过渡表09"/>
      <sheetName val="Sales Breakdown"/>
      <sheetName val="Variable cost(P2)"/>
      <sheetName val="Variable Cost(P1&amp;Dystar)"/>
      <sheetName val="Viariable cost08(Phase1B)"/>
      <sheetName val="GPRO"/>
      <sheetName val="折旧09"/>
      <sheetName val="折旧对比09"/>
      <sheetName val="CAPEX"/>
      <sheetName val="Capex(Phase1b)"/>
      <sheetName val="损益表(total)"/>
      <sheetName val="Financing cost"/>
      <sheetName val="Financing cost (3)"/>
      <sheetName val="Financing(Phase1b)"/>
      <sheetName val="汇兑损益"/>
      <sheetName val="Sheet2"/>
      <sheetName val="YTD (Source)"/>
      <sheetName val="Paramter"/>
      <sheetName val="Key assumption"/>
      <sheetName val="water orgniz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120043 GONGOS"/>
      <sheetName val="Content"/>
      <sheetName val="Overview"/>
      <sheetName val="Parameters"/>
      <sheetName val="outlook"/>
      <sheetName val="Gross margin breakdown"/>
      <sheetName val="B Sheet (Cognos)"/>
      <sheetName val="Cash and Debts"/>
      <sheetName val="Borrowings"/>
      <sheetName val="YTD"/>
      <sheetName val="Overview 2"/>
      <sheetName val="other Expense Breakdown "/>
      <sheetName val="ROE and ROTA"/>
      <sheetName val="Key Assumption1"/>
      <sheetName val="Key Assumption(Phase1A)"/>
      <sheetName val="Key Assumption(Pre Treatment)"/>
      <sheetName val="Key Assumption(P2)"/>
      <sheetName val="Key Assumption(P1B)"/>
      <sheetName val="Water Volume"/>
      <sheetName val="费用比例"/>
      <sheetName val="损益表(total_excluding P1B)"/>
      <sheetName val="损益表(NWWT)"/>
      <sheetName val="损益表 (Dystar)"/>
      <sheetName val="损益表(二期)"/>
      <sheetName val="损益表(Phase 1B)"/>
      <sheetName val="资产负债表"/>
      <sheetName val="现金流量表"/>
      <sheetName val="过渡表09"/>
      <sheetName val="Sales Breakdown"/>
      <sheetName val="Variable cost(P2)"/>
      <sheetName val="Variable Cost(P1&amp;Dystar)"/>
      <sheetName val="Viariable cost08(Phase1B)"/>
      <sheetName val="GPRO"/>
      <sheetName val="折旧09"/>
      <sheetName val="折旧对比09"/>
      <sheetName val="CAPEX"/>
      <sheetName val="Capex(Phase1b)"/>
      <sheetName val="损益表(total)"/>
      <sheetName val="Financing cost"/>
      <sheetName val="Financing cost (3)"/>
      <sheetName val="Financing(Phase1b)"/>
      <sheetName val="汇兑损益"/>
      <sheetName val="Key assumption"/>
      <sheetName val="PL-G"/>
      <sheetName val="费用"/>
      <sheetName val="water orgnization"/>
      <sheetName val="Assumption(Manpower)"/>
      <sheetName val="Paramter"/>
      <sheetName val="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Cash and Debts"/>
      <sheetName val="Sales Breakdown(P1&amp;Pre)"/>
      <sheetName val="120043 GONGOS"/>
      <sheetName val="Borrowings &amp; Interest"/>
      <sheetName val="资产负债表2009"/>
      <sheetName val="BMW"/>
      <sheetName val="现金流量表2009"/>
      <sheetName val="损益表2009(total)"/>
      <sheetName val="损益表2009(NWWT)"/>
      <sheetName val="损益表2009(Dystar)"/>
      <sheetName val="损益表2009(P2)"/>
      <sheetName val="NSS-HR&amp;Admin Expenses"/>
      <sheetName val="Sales Breakdown"/>
      <sheetName val="Key customers Volume"/>
      <sheetName val="Revenue Comparison"/>
      <sheetName val="P1A_Assumption_VC"/>
      <sheetName val="Dystar_Assumption_VC"/>
      <sheetName val="P2_Assumption_VC"/>
      <sheetName val="Varialbe Cost_NSS"/>
      <sheetName val="Lab"/>
      <sheetName val="Maintenance"/>
      <sheetName val="Assumption(Manpower)"/>
      <sheetName val="Manpower Allocation"/>
      <sheetName val="G&amp;A(3Q)"/>
      <sheetName val="HSE费用(3Q)"/>
      <sheetName val="贷款计划及利息计算"/>
      <sheetName val="CAPEX "/>
      <sheetName val="折旧计算（3Q)"/>
      <sheetName val="折旧年限（3Q)"/>
      <sheetName val="一期扩建EPC"/>
      <sheetName val="二期固定费用计算"/>
      <sheetName val="水务二期EPC"/>
      <sheetName val="Dystar Project"/>
      <sheetName val="待报废资产"/>
      <sheetName val="EVA Summary"/>
      <sheetName val="EVA Nopat"/>
      <sheetName val="EVA Capital"/>
      <sheetName val="Sales Breakdown (2)"/>
      <sheetName val="折算表"/>
      <sheetName val="损益表2009(P1B)"/>
      <sheetName val="BU-BS"/>
      <sheetName val="BU-P&amp;L(Total)"/>
      <sheetName val="BU-PL(NWWT)"/>
      <sheetName val="BU-PL (Dystar)"/>
      <sheetName val="BU-PL(P2)"/>
      <sheetName val="BU-PL(P1B)"/>
      <sheetName val="AFEMAI"/>
      <sheetName val="KEY"/>
      <sheetName val="Phase 1B"/>
      <sheetName val="cost center "/>
      <sheetName val="YTD (Source)"/>
      <sheetName val="revenue chart"/>
      <sheetName val="Key Assumption1"/>
      <sheetName val="Key assumption"/>
      <sheetName val="water orgniz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Cash and Debts"/>
      <sheetName val="Sales Breakdown(P1&amp;Pre)"/>
      <sheetName val="120043 GONGOS"/>
      <sheetName val="Borrowings &amp; Interest"/>
      <sheetName val="资产负债表2009"/>
      <sheetName val="BMW"/>
      <sheetName val="现金流量表2009"/>
      <sheetName val="损益表2009(total)"/>
      <sheetName val="损益表2009(NWWT)"/>
      <sheetName val="损益表2009(Dystar)"/>
      <sheetName val="损益表2009(P2)"/>
      <sheetName val="NSS-HR&amp;Admin Expenses"/>
      <sheetName val="Sales Breakdown"/>
      <sheetName val="Key customers Volume"/>
      <sheetName val="Revenue Comparison"/>
      <sheetName val="P1A_Assumption_VC"/>
      <sheetName val="Dystar_Assumption_VC"/>
      <sheetName val="P2_Assumption_VC"/>
      <sheetName val="Varialbe Cost_NSS"/>
      <sheetName val="Lab"/>
      <sheetName val="Maintenance"/>
      <sheetName val="Assumption(Manpower)"/>
      <sheetName val="Manpower Allocation"/>
      <sheetName val="G&amp;A(3Q)"/>
      <sheetName val="HSE费用(3Q)"/>
      <sheetName val="贷款计划及利息计算"/>
      <sheetName val="CAPEX "/>
      <sheetName val="折旧计算（3Q)"/>
      <sheetName val="折旧年限（3Q)"/>
      <sheetName val="一期扩建EPC"/>
      <sheetName val="二期固定费用计算"/>
      <sheetName val="水务二期EPC"/>
      <sheetName val="Dystar Project"/>
      <sheetName val="待报废资产"/>
      <sheetName val="EVA Summary"/>
      <sheetName val="EVA Nopat"/>
      <sheetName val="EVA Capital"/>
      <sheetName val="Sales Breakdown (2)"/>
      <sheetName val="折算表"/>
      <sheetName val="损益表2009(P1B)"/>
      <sheetName val="BU-BS"/>
      <sheetName val="BU-P&amp;L(Total)"/>
      <sheetName val="BU-PL(NWWT)"/>
      <sheetName val="BU-PL (Dystar)"/>
      <sheetName val="BU-PL(P2)"/>
      <sheetName val="BU-PL(P1B)"/>
      <sheetName val="Key Assumption1"/>
      <sheetName val="Log"/>
      <sheetName val="费用"/>
      <sheetName val="VAS"/>
      <sheetName val="Paramter"/>
      <sheetName val="cost center "/>
      <sheetName val="YTD (Source)"/>
      <sheetName val="revenue chart"/>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porting"/>
      <sheetName val="VAS"/>
      <sheetName val="Sheet1"/>
      <sheetName val="Sheet2"/>
      <sheetName val="Sheet3"/>
      <sheetName val="B"/>
      <sheetName val="封面"/>
      <sheetName val="Assumption"/>
      <sheetName val="Phase 1B"/>
      <sheetName val="revenue chart"/>
      <sheetName val="GPRO"/>
      <sheetName val="cost center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porting"/>
      <sheetName val="VAS"/>
      <sheetName val="Sheet1"/>
      <sheetName val="Sheet2"/>
      <sheetName val="Sheet3"/>
      <sheetName val="Assumption(Manpower)"/>
      <sheetName val="Assum"/>
      <sheetName val="费用"/>
      <sheetName val="Key Assumption1"/>
      <sheetName val="Log"/>
      <sheetName val="Paramter"/>
      <sheetName val="Key assumption"/>
      <sheetName val="Assumption"/>
      <sheetName val="Phase 1B"/>
      <sheetName val="cost center "/>
      <sheetName val="revenue chart"/>
      <sheetName val="coding"/>
      <sheetName val="封面"/>
      <sheetName val="PL-G"/>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w Value Assets"/>
      <sheetName val="cost center "/>
      <sheetName val="Assumption"/>
      <sheetName val="封面"/>
      <sheetName val="Paramter"/>
      <sheetName val="PL-G"/>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G"/>
      <sheetName val="Key Assumption1"/>
      <sheetName val="B"/>
      <sheetName val="费用"/>
      <sheetName val="Premium Dec 03"/>
      <sheetName val="Premium Sep 03"/>
      <sheetName val="Datasource"/>
      <sheetName val="cost center "/>
      <sheetName val="Paramter"/>
      <sheetName val="Para"/>
      <sheetName val="Key assumption"/>
      <sheetName val="VAS"/>
      <sheetName val="封面"/>
      <sheetName val="Assumption"/>
      <sheetName val="IT Budget"/>
      <sheetName val="L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G"/>
      <sheetName val="Key Assumption1"/>
      <sheetName val="B"/>
      <sheetName val="费用"/>
      <sheetName val="Premium Dec 03"/>
      <sheetName val="Premium Sep 03"/>
      <sheetName val="Datasource"/>
      <sheetName val="cost center "/>
      <sheetName val="Paramter"/>
      <sheetName val="Para"/>
      <sheetName val="Key assumption"/>
      <sheetName val="VAS"/>
      <sheetName val="封面"/>
      <sheetName val="Assumption"/>
      <sheetName val="IT Budget"/>
      <sheetName val="5月余额表"/>
      <sheetName val="UFPrn20220610090423"/>
      <sheetName val="CAPEX (Addition)"/>
      <sheetName val="L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G"/>
      <sheetName val="Key Assumption1"/>
      <sheetName val="VAS"/>
      <sheetName val="Para"/>
      <sheetName val="封面"/>
      <sheetName val="Overview"/>
      <sheetName val="Assum"/>
      <sheetName val="B"/>
      <sheetName val="费用"/>
      <sheetName val="Premium Dec 03"/>
      <sheetName val="Premium Sep 03"/>
      <sheetName val="Datasource"/>
      <sheetName val="cost center "/>
      <sheetName val="Paramter"/>
      <sheetName val="Key assumption"/>
      <sheetName val="Assumption"/>
      <sheetName val="IT Budg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int-out"/>
      <sheetName val="Summary"/>
      <sheetName val="View"/>
      <sheetName val="Sensitivity"/>
      <sheetName val="Log"/>
      <sheetName val="ASS"/>
      <sheetName val="Revenue"/>
      <sheetName val="Expenses"/>
      <sheetName val="CF"/>
      <sheetName val="EVA"/>
      <sheetName val="RETURNS"/>
      <sheetName val="DRAWDN"/>
      <sheetName val="IDC"/>
      <sheetName val="FIN"/>
      <sheetName val="TAXES_FEES"/>
      <sheetName val="DEPR"/>
      <sheetName val="BS_IS"/>
      <sheetName val="Charts @ SCCC level"/>
      <sheetName val="Charts @ SCU level"/>
      <sheetName val="BS_IS_S$"/>
      <sheetName val="2005-2010"/>
      <sheetName val="Chart1"/>
      <sheetName val="Dividend"/>
      <sheetName val="Module1"/>
      <sheetName val="Module2"/>
      <sheetName val="Module3"/>
      <sheetName val="Module4"/>
      <sheetName val="Module5"/>
      <sheetName val="Module6"/>
      <sheetName val="J&amp;Q"/>
      <sheetName val="封面"/>
      <sheetName val="revenue chart"/>
      <sheetName val="Borrow"/>
      <sheetName val="Assumption(Manpower)"/>
      <sheetName val="Key Assumption1"/>
      <sheetName val="Pa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int-out"/>
      <sheetName val="Summary"/>
      <sheetName val="View"/>
      <sheetName val="Sensitivity"/>
      <sheetName val="Log"/>
      <sheetName val="ASS"/>
      <sheetName val="Revenue"/>
      <sheetName val="Expenses"/>
      <sheetName val="CF"/>
      <sheetName val="EVA"/>
      <sheetName val="RETURNS"/>
      <sheetName val="DRAWDN"/>
      <sheetName val="IDC"/>
      <sheetName val="FIN"/>
      <sheetName val="TAXES_FEES"/>
      <sheetName val="DEPR"/>
      <sheetName val="BS_IS"/>
      <sheetName val="Charts @ SCCC level"/>
      <sheetName val="Charts @ SCU level"/>
      <sheetName val="BS_IS_S$"/>
      <sheetName val="2005-2010"/>
      <sheetName val="Chart1"/>
      <sheetName val="Dividend"/>
      <sheetName val="Module1"/>
      <sheetName val="Module2"/>
      <sheetName val="Module3"/>
      <sheetName val="Module4"/>
      <sheetName val="Module5"/>
      <sheetName val="Module6"/>
      <sheetName val="PL-G"/>
      <sheetName val="Key assumption"/>
      <sheetName val="water orgnization"/>
      <sheetName val="费用"/>
      <sheetName val="Assumption"/>
      <sheetName val="Key Assumption1"/>
      <sheetName val="Assumption(Manpower)"/>
      <sheetName val="Para"/>
      <sheetName val="revenue chart"/>
      <sheetName val="封面"/>
      <sheetName val="Borrow"/>
      <sheetName val="Cover"/>
      <sheetName val="Param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refreshError="1"/>
      <sheetData sheetId="4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 (2)"/>
      <sheetName val="Cover"/>
      <sheetName val="QL"/>
      <sheetName val="Summary"/>
      <sheetName val="惠永"/>
      <sheetName val="惠利"/>
      <sheetName val="惠永PL - 万"/>
      <sheetName val="惠利PL - 万"/>
      <sheetName val="惠永 - 万"/>
      <sheetName val="惠利 - 万"/>
      <sheetName val="Valuation"/>
      <sheetName val="WC"/>
      <sheetName val="FS&gt;&gt;"/>
      <sheetName val="BS-history-Pre"/>
      <sheetName val="BS-history"/>
      <sheetName val="PL-history"/>
      <sheetName val="惠永GL11"/>
      <sheetName val="惠利GL12"/>
      <sheetName val="惠永GL12"/>
      <sheetName val="惠利GL11"/>
      <sheetName val="For Report&gt;&gt;"/>
      <sheetName val="PL"/>
      <sheetName val="DCF"/>
      <sheetName val="PL-万"/>
      <sheetName val="PBC&gt;&gt;"/>
      <sheetName val="标题&amp;声明"/>
      <sheetName val="EPC breakdown"/>
      <sheetName val="Sens"/>
      <sheetName val="Assum"/>
      <sheetName val="经营期"/>
      <sheetName val="贷款、现金、税"/>
      <sheetName val="财务报表"/>
      <sheetName val="投资收益测算"/>
      <sheetName val="测算总结"/>
      <sheetName val="EXP"/>
      <sheetName val="电价溢价调整"/>
      <sheetName val="SPA"/>
      <sheetName val="假设依据表 (not used for now)"/>
      <sheetName val="Sheet1"/>
      <sheetName val="Log"/>
      <sheetName val="Key Assumption1"/>
      <sheetName val="revenue chart"/>
      <sheetName val="Key assumption"/>
      <sheetName val="water orgniz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p Analysis"/>
      <sheetName val="PATMI(Revised)"/>
      <sheetName val="PATMI-revised"/>
      <sheetName val="REVENUE"/>
      <sheetName val="CAPEX"/>
      <sheetName val="Classification"/>
      <sheetName val="CAPEX Breakdown"/>
      <sheetName val="East China(old)"/>
      <sheetName val="Assumption(East china)old"/>
      <sheetName val="Beachheads PAT"/>
      <sheetName val="Beachheads PATMI"/>
      <sheetName val="Final 1"/>
      <sheetName val="WW Water Capacity"/>
      <sheetName val="SCCIP (new)"/>
      <sheetName val="Nanjing"/>
      <sheetName val="ZJG"/>
      <sheetName val="Shenyang(old)"/>
      <sheetName val="Tianjin"/>
      <sheetName val="Shenyang (new)"/>
      <sheetName val="Assumption(shengyang)"/>
      <sheetName val="East China (new)"/>
      <sheetName val="Assumption(East china) (new)"/>
      <sheetName val="Qinzhou Quanggang"/>
      <sheetName val="Energy"/>
      <sheetName val="Assumption(Energy)"/>
      <sheetName val="segment PATMIChart"/>
      <sheetName val="project"/>
      <sheetName val="Group"/>
      <sheetName val="Para"/>
      <sheetName val="chart"/>
      <sheetName val="Capacity"/>
      <sheetName val="Paramter"/>
      <sheetName val="B"/>
      <sheetName val="封面"/>
      <sheetName val="Assumption(Manpower)"/>
      <sheetName val="Key Assumption1"/>
      <sheetName val="Key assumption"/>
      <sheetName val="water orgniz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p Analysis"/>
      <sheetName val="PATMI(Revised)"/>
      <sheetName val="PATMI-revised"/>
      <sheetName val="REVENUE"/>
      <sheetName val="CAPEX"/>
      <sheetName val="Classification"/>
      <sheetName val="CAPEX Breakdown"/>
      <sheetName val="East China(old)"/>
      <sheetName val="Assumption(East china)old"/>
      <sheetName val="Beachheads PAT"/>
      <sheetName val="Beachheads PATMI"/>
      <sheetName val="Final 1"/>
      <sheetName val="WW Water Capacity"/>
      <sheetName val="SCCIP (new)"/>
      <sheetName val="Nanjing"/>
      <sheetName val="ZJG"/>
      <sheetName val="Shenyang(old)"/>
      <sheetName val="Tianjin"/>
      <sheetName val="Shenyang (new)"/>
      <sheetName val="Assumption(shengyang)"/>
      <sheetName val="East China (new)"/>
      <sheetName val="Assumption(East china) (new)"/>
      <sheetName val="Qinzhou Quanggang"/>
      <sheetName val="Energy"/>
      <sheetName val="Assumption(Energy)"/>
      <sheetName val="segment PATMIChart"/>
      <sheetName val="project"/>
      <sheetName val="Group"/>
      <sheetName val="Para"/>
      <sheetName val="chart"/>
      <sheetName val="Capacity"/>
      <sheetName val="Paramter"/>
      <sheetName val="Assum"/>
      <sheetName val="Key Assumption1"/>
      <sheetName val="费用"/>
      <sheetName val="人工费用"/>
      <sheetName val="Assumption(Manpower)"/>
      <sheetName val="VAS"/>
      <sheetName val="Key assumption"/>
      <sheetName val="water orgnization"/>
      <sheetName val="Log"/>
      <sheetName val="封面"/>
      <sheetName val="revenue chart"/>
      <sheetName val="Cover"/>
      <sheetName val="GenAss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表2007"/>
      <sheetName val="现金流量表(2007)"/>
      <sheetName val="Key assumption"/>
      <sheetName val="P&amp;L"/>
      <sheetName val="Salesbreakdown"/>
      <sheetName val="viariable cost"/>
      <sheetName val="FA"/>
      <sheetName val="FA-Cost"/>
      <sheetName val="FA-Depr"/>
      <sheetName val="operation expenses"/>
      <sheetName val="water orgnization"/>
      <sheetName val="G&amp;A"/>
      <sheetName val="Financing"/>
      <sheetName val="费用"/>
      <sheetName val="Paramter"/>
      <sheetName val="封面"/>
      <sheetName val="Assumption(Manpower)"/>
      <sheetName val="Key Assumptio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表2007"/>
      <sheetName val="现金流量表(2007)"/>
      <sheetName val="Key assumption"/>
      <sheetName val="P&amp;L"/>
      <sheetName val="Salesbreakdown"/>
      <sheetName val="viariable cost"/>
      <sheetName val="FA"/>
      <sheetName val="FA-Cost"/>
      <sheetName val="FA-Depr"/>
      <sheetName val="operation expenses"/>
      <sheetName val="water orgnization"/>
      <sheetName val="G&amp;A"/>
      <sheetName val="Financing"/>
      <sheetName val="Para"/>
      <sheetName val="假设 Inputs"/>
      <sheetName val="费用"/>
      <sheetName val="Assumption"/>
      <sheetName val="Key Assumption1"/>
      <sheetName val="VAS"/>
      <sheetName val="Log"/>
      <sheetName val="Paramter"/>
      <sheetName val="封面"/>
      <sheetName val="GenAss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Content"/>
      <sheetName val="Overview"/>
      <sheetName val="Parameters"/>
      <sheetName val="outlook"/>
      <sheetName val="Gross margin breakdown"/>
      <sheetName val="B Sheet (Cognos)"/>
      <sheetName val="Cash and Debts"/>
      <sheetName val="Borrowings"/>
      <sheetName val="YTD"/>
      <sheetName val="Overview 2"/>
      <sheetName val="other Expense Breakdown "/>
      <sheetName val="ROE and ROTA"/>
      <sheetName val="120043 GONGOS"/>
      <sheetName val="资产负债表"/>
      <sheetName val="损益表(total)"/>
      <sheetName val="Financing cost"/>
      <sheetName val="Key Assumption1"/>
      <sheetName val="Key Assumption(Phase1A)"/>
      <sheetName val="Key Assumption(Pre Treatment)"/>
      <sheetName val="Key Assumption(P2)"/>
      <sheetName val="Key Assumption(P1B)"/>
      <sheetName val="Water Volume"/>
      <sheetName val="费用比例"/>
      <sheetName val="损益表(total_excluding P1B)"/>
      <sheetName val="损益表(NWWT)"/>
      <sheetName val="损益表 (Dystar)"/>
      <sheetName val="损益表(二期)"/>
      <sheetName val="损益表(Phase 1B)"/>
      <sheetName val="现金流量表"/>
      <sheetName val="过渡表09"/>
      <sheetName val="Sales Breakdown"/>
      <sheetName val="Variable cost(P2)"/>
      <sheetName val="Variable Cost(P1&amp;Dystar)"/>
      <sheetName val="Viariable cost08(Phase1B)"/>
      <sheetName val="GPRO"/>
      <sheetName val="折旧09"/>
      <sheetName val="折旧对比09"/>
      <sheetName val="CAPEX"/>
      <sheetName val="Capex(Phase1b)"/>
      <sheetName val="Financing(Phase1b)"/>
      <sheetName val="汇兑损益"/>
      <sheetName val="Consol"/>
      <sheetName val="BALANCE SHEET"/>
      <sheetName val="Assumption"/>
      <sheetName val="Main"/>
      <sheetName val="5月余额表"/>
      <sheetName val="UFPrn20220610090423"/>
      <sheetName val="PL-G"/>
      <sheetName val="Log"/>
      <sheetName val="VAS"/>
      <sheetName val="Assumption(Manpower)"/>
      <sheetName val="Paramter"/>
      <sheetName val="假设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Content"/>
      <sheetName val="Overview"/>
      <sheetName val="Parameters"/>
      <sheetName val="outlook"/>
      <sheetName val="Gross margin breakdown"/>
      <sheetName val="B Sheet (Cognos)"/>
      <sheetName val="Cash and Debts"/>
      <sheetName val="Borrowings"/>
      <sheetName val="YTD"/>
      <sheetName val="Overview 2"/>
      <sheetName val="other Expense Breakdown "/>
      <sheetName val="ROE and ROTA"/>
      <sheetName val="120043 GONGOS"/>
      <sheetName val="资产负债表"/>
      <sheetName val="损益表(total)"/>
      <sheetName val="Financing cost"/>
      <sheetName val="Key Assumption1"/>
      <sheetName val="Key Assumption(Phase1A)"/>
      <sheetName val="Key Assumption(Pre Treatment)"/>
      <sheetName val="Key Assumption(P2)"/>
      <sheetName val="Key Assumption(P1B)"/>
      <sheetName val="Water Volume"/>
      <sheetName val="费用比例"/>
      <sheetName val="损益表(total_excluding P1B)"/>
      <sheetName val="损益表(NWWT)"/>
      <sheetName val="损益表 (Dystar)"/>
      <sheetName val="损益表(二期)"/>
      <sheetName val="损益表(Phase 1B)"/>
      <sheetName val="现金流量表"/>
      <sheetName val="过渡表09"/>
      <sheetName val="Sales Breakdown"/>
      <sheetName val="Variable cost(P2)"/>
      <sheetName val="Variable Cost(P1&amp;Dystar)"/>
      <sheetName val="Viariable cost08(Phase1B)"/>
      <sheetName val="GPRO"/>
      <sheetName val="折旧09"/>
      <sheetName val="折旧对比09"/>
      <sheetName val="CAPEX"/>
      <sheetName val="Capex(Phase1b)"/>
      <sheetName val="Financing(Phase1b)"/>
      <sheetName val="汇兑损益"/>
      <sheetName val="Key assumption"/>
      <sheetName val="water orgnization"/>
      <sheetName val="Assumption"/>
      <sheetName val="费用"/>
      <sheetName val="5月余额表"/>
      <sheetName val="UFPrn20220610090423"/>
      <sheetName val="Log"/>
      <sheetName val="Para"/>
      <sheetName val="VAS"/>
      <sheetName val="Assumption(Manpower)"/>
      <sheetName val="Paramter"/>
      <sheetName val="Rate lookup"/>
      <sheetName val="假设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120043 GONGOS"/>
      <sheetName val="Content"/>
      <sheetName val="Overview"/>
      <sheetName val="Parameters"/>
      <sheetName val="outlook"/>
      <sheetName val="Gross margin breakdown"/>
      <sheetName val="B Sheet (Cognos)"/>
      <sheetName val="Cash and Debts"/>
      <sheetName val="Actual vs 1Q Review "/>
      <sheetName val="收入调整"/>
      <sheetName val="Borrowings"/>
      <sheetName val="YTD"/>
      <sheetName val="Overview 2"/>
      <sheetName val="other Expense Breakdown "/>
      <sheetName val="ROE and ROTA"/>
      <sheetName val="过渡"/>
      <sheetName val="Key assumption2"/>
      <sheetName val="Actual vs FC&amp;BU "/>
      <sheetName val="Key Assumption1"/>
      <sheetName val="资产负债表"/>
      <sheetName val="现金流量表"/>
      <sheetName val="计算表"/>
      <sheetName val="调整表"/>
      <sheetName val="cash flow(间接）"/>
      <sheetName val="GPRO Contract breakdown"/>
      <sheetName val="Lab cost"/>
      <sheetName val="Key Assumption(Phase1A)"/>
      <sheetName val="Key Assumption(Pre Treatment)"/>
      <sheetName val="损益表2008(total)"/>
      <sheetName val="损益表2008 (NWWT)"/>
      <sheetName val="损益表2008 (Dystar)"/>
      <sheetName val="损益表2008(二期)"/>
      <sheetName val="Contract"/>
      <sheetName val="GPRO"/>
      <sheetName val="Sales Breakdown(P1&amp;Pre)"/>
      <sheetName val="Variable Cost(P1&amp;Pre) "/>
      <sheetName val="Viariable cost08(Gpro)"/>
      <sheetName val="GPRO Volume"/>
      <sheetName val="Opex(Phase2)"/>
      <sheetName val="损益表2008(二期) (revenue)"/>
      <sheetName val="Opex(Phase2) (revenue)"/>
      <sheetName val="Viariable cost08(Gpro revenue)"/>
      <sheetName val="GPRO (revenue)"/>
      <sheetName val="Financing cost"/>
      <sheetName val="折旧08"/>
      <sheetName val="New CAPEX"/>
      <sheetName val="BU-P&amp;L(Total)"/>
      <sheetName val="BU-PL(NWWT)"/>
      <sheetName val="BU-PL(Dystar pre)"/>
      <sheetName val="BU-PL(Phase2)"/>
      <sheetName val="BU-BS(Total)"/>
      <sheetName val="2Q Forecast"/>
      <sheetName val="BU-Sales 2008"/>
      <sheetName val="BU-GPRO "/>
      <sheetName val="Interest Exp"/>
      <sheetName val="Loans "/>
      <sheetName val="收入比较分析-需完善"/>
      <sheetName val="PL Comparsion--需完善 "/>
      <sheetName val="Variable-working"/>
      <sheetName val="sale-working"/>
      <sheetName val="Sheet6"/>
      <sheetName val="BALANCE SHEET"/>
      <sheetName val="Main"/>
      <sheetName val="人工费用"/>
      <sheetName val="FC switches"/>
      <sheetName val="5月科目余额表"/>
      <sheetName val="Assumption"/>
      <sheetName val="Para"/>
      <sheetName val="Key assumption"/>
      <sheetName val="water orgnization"/>
      <sheetName val="Log"/>
      <sheetName val="PL-G"/>
      <sheetName val="Paramter"/>
      <sheetName val="V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120043 GONGOS"/>
      <sheetName val="Content"/>
      <sheetName val="Overview"/>
      <sheetName val="Parameters"/>
      <sheetName val="outlook"/>
      <sheetName val="Gross margin breakdown"/>
      <sheetName val="B Sheet (Cognos)"/>
      <sheetName val="Cash and Debts"/>
      <sheetName val="Actual vs 1Q Review "/>
      <sheetName val="收入调整"/>
      <sheetName val="Borrowings"/>
      <sheetName val="YTD"/>
      <sheetName val="Overview 2"/>
      <sheetName val="other Expense Breakdown "/>
      <sheetName val="ROE and ROTA"/>
      <sheetName val="过渡"/>
      <sheetName val="Key assumption2"/>
      <sheetName val="Actual vs FC&amp;BU "/>
      <sheetName val="Key Assumption1"/>
      <sheetName val="资产负债表"/>
      <sheetName val="现金流量表"/>
      <sheetName val="计算表"/>
      <sheetName val="调整表"/>
      <sheetName val="cash flow(间接）"/>
      <sheetName val="GPRO Contract breakdown"/>
      <sheetName val="Lab cost"/>
      <sheetName val="Key Assumption(Phase1A)"/>
      <sheetName val="Key Assumption(Pre Treatment)"/>
      <sheetName val="损益表2008(total)"/>
      <sheetName val="损益表2008 (NWWT)"/>
      <sheetName val="损益表2008 (Dystar)"/>
      <sheetName val="损益表2008(二期)"/>
      <sheetName val="Contract"/>
      <sheetName val="GPRO"/>
      <sheetName val="Sales Breakdown(P1&amp;Pre)"/>
      <sheetName val="Variable Cost(P1&amp;Pre) "/>
      <sheetName val="Viariable cost08(Gpro)"/>
      <sheetName val="GPRO Volume"/>
      <sheetName val="Opex(Phase2)"/>
      <sheetName val="损益表2008(二期) (revenue)"/>
      <sheetName val="Opex(Phase2) (revenue)"/>
      <sheetName val="Viariable cost08(Gpro revenue)"/>
      <sheetName val="GPRO (revenue)"/>
      <sheetName val="Financing cost"/>
      <sheetName val="折旧08"/>
      <sheetName val="New CAPEX"/>
      <sheetName val="BU-P&amp;L(Total)"/>
      <sheetName val="BU-PL(NWWT)"/>
      <sheetName val="BU-PL(Dystar pre)"/>
      <sheetName val="BU-PL(Phase2)"/>
      <sheetName val="BU-BS(Total)"/>
      <sheetName val="2Q Forecast"/>
      <sheetName val="BU-Sales 2008"/>
      <sheetName val="BU-GPRO "/>
      <sheetName val="Interest Exp"/>
      <sheetName val="Loans "/>
      <sheetName val="收入比较分析-需完善"/>
      <sheetName val="PL Comparsion--需完善 "/>
      <sheetName val="Variable-working"/>
      <sheetName val="sale-working"/>
      <sheetName val="Sheet6"/>
      <sheetName val="人工费用"/>
      <sheetName val="费用"/>
      <sheetName val="Para"/>
      <sheetName val="Key assumption"/>
      <sheetName val="water orgnization"/>
      <sheetName val="Assumption"/>
      <sheetName val="Log"/>
      <sheetName val="PL-G"/>
      <sheetName val="VAS"/>
      <sheetName val="Paramter"/>
      <sheetName val="revenue chart"/>
      <sheetName val="IT Budg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refreshError="1"/>
      <sheetData sheetId="7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Cover"/>
      <sheetName val="总投Capex"/>
      <sheetName val="电价"/>
      <sheetName val="分成比例"/>
      <sheetName val="组合假设情景 Inputs - Portfolio"/>
      <sheetName val="输出综合 Export - Yearly"/>
      <sheetName val="假设 Inputs"/>
      <sheetName val="经营期 Operation Period"/>
      <sheetName val="贷款、现金、税 Debt, Cash, Tax"/>
      <sheetName val="财务报表 Fin Stmt"/>
      <sheetName val="输出 Export"/>
      <sheetName val="估值 Valuation"/>
      <sheetName val="Tables"/>
      <sheetName val="现金流总结"/>
      <sheetName val="Sensitivities"/>
      <sheetName val="Chart Data"/>
      <sheetName val="信用评级"/>
      <sheetName val="Return_calc"/>
      <sheetName val="Return report"/>
      <sheetName val="Key Assumption1"/>
      <sheetName val="Assumption"/>
      <sheetName val="Borrow"/>
      <sheetName val="GPRO"/>
    </sheetNames>
    <sheetDataSet>
      <sheetData sheetId="0" refreshError="1"/>
      <sheetData sheetId="1" refreshError="1"/>
      <sheetData sheetId="2" refreshError="1"/>
      <sheetData sheetId="3" refreshError="1"/>
      <sheetData sheetId="4"/>
      <sheetData sheetId="5"/>
      <sheetData sheetId="6"/>
      <sheetData sheetId="7" refreshError="1"/>
      <sheetData sheetId="8" refreshError="1"/>
      <sheetData sheetId="9" refreshError="1"/>
      <sheetData sheetId="10"/>
      <sheetData sheetId="1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S折旧（账面数）原"/>
      <sheetName val="Assumption"/>
      <sheetName val="NSS summary"/>
      <sheetName val="NSS差异对比"/>
      <sheetName val="NSS折旧（新政策）"/>
      <sheetName val="水业summary"/>
      <sheetName val="NSS（old）"/>
      <sheetName val="NSS（new1）"/>
      <sheetName val="NSS (new2) (2)"/>
      <sheetName val="水业（old)"/>
      <sheetName val="水业(new1)"/>
      <sheetName val="NSS折旧（新政策） (2)"/>
      <sheetName val="NSS折旧（账面数）"/>
      <sheetName val="二期资产"/>
      <sheetName val="水业 summary"/>
      <sheetName val="水业差异对比"/>
      <sheetName val="水业折旧（新政策）"/>
      <sheetName val="水业折旧（账面数） (2)"/>
      <sheetName val="水业折旧（账面数）"/>
      <sheetName val="水业折旧（账面数原）"/>
      <sheetName val="Main"/>
      <sheetName val="FC switches"/>
      <sheetName val="Disposition"/>
      <sheetName val="Collateral"/>
      <sheetName val="Key Assumption1"/>
      <sheetName val="人工费用"/>
      <sheetName val="5月余额表"/>
      <sheetName val="UFPrn20220610090423"/>
      <sheetName val="Key assumption"/>
      <sheetName val="water orgnization"/>
      <sheetName val="Para"/>
      <sheetName val="Paramter"/>
      <sheetName val="cost center "/>
      <sheetName val="GP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S折旧（账面数）原"/>
      <sheetName val="Assumption"/>
      <sheetName val="NSS summary"/>
      <sheetName val="NSS差异对比"/>
      <sheetName val="NSS折旧（新政策）"/>
      <sheetName val="水业summary"/>
      <sheetName val="NSS（old）"/>
      <sheetName val="NSS（new1）"/>
      <sheetName val="NSS (new2) (2)"/>
      <sheetName val="水业（old)"/>
      <sheetName val="水业(new1)"/>
      <sheetName val="NSS折旧（新政策） (2)"/>
      <sheetName val="NSS折旧（账面数）"/>
      <sheetName val="二期资产"/>
      <sheetName val="水业 summary"/>
      <sheetName val="水业差异对比"/>
      <sheetName val="水业折旧（新政策）"/>
      <sheetName val="水业折旧（账面数） (2)"/>
      <sheetName val="水业折旧（账面数）"/>
      <sheetName val="水业折旧（账面数原）"/>
      <sheetName val="假设 Inputs"/>
      <sheetName val="GPRO"/>
      <sheetName val="费用"/>
      <sheetName val="A430"/>
      <sheetName val="Key Assumption1"/>
      <sheetName val="Key assumption"/>
      <sheetName val="water orgnization"/>
      <sheetName val="人工费用"/>
      <sheetName val="Para"/>
      <sheetName val="Log"/>
      <sheetName val="Paramter"/>
      <sheetName val="revenue chart"/>
      <sheetName val="en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人工费用"/>
      <sheetName val="GPRO"/>
      <sheetName val="FC switches"/>
      <sheetName val="Disposition"/>
      <sheetName val="Collateral"/>
      <sheetName val="E1020"/>
      <sheetName val="Assumption"/>
      <sheetName val="Key Assumption1"/>
      <sheetName val="Paramter"/>
      <sheetName val="PL-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人工费用"/>
      <sheetName val="GPRO"/>
      <sheetName val="Assumption"/>
      <sheetName val="fw"/>
      <sheetName val="Graph"/>
      <sheetName val="Holidays"/>
      <sheetName val="FC switches"/>
      <sheetName val="Q110"/>
      <sheetName val="AFEMAI"/>
      <sheetName val="PL-G"/>
      <sheetName val="5月科目余额表"/>
      <sheetName val="Key Assumption1"/>
      <sheetName val="Key assumption"/>
      <sheetName val="water orgnization"/>
      <sheetName val="Paramter"/>
      <sheetName val="IT Budget"/>
      <sheetName val="ut"/>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S折旧（账面数）原"/>
      <sheetName val="Assumption"/>
      <sheetName val="NSS summary"/>
      <sheetName val="NSS折旧（原计算）"/>
      <sheetName val="水业summary"/>
      <sheetName val="NSS（old）"/>
      <sheetName val="NSS（new1）"/>
      <sheetName val="NSS (new2) (2)"/>
      <sheetName val="水业（old)"/>
      <sheetName val="水业(new1)"/>
      <sheetName val="NSS折旧（新政策） (2)"/>
      <sheetName val="NSS折旧（重新计算)"/>
      <sheetName val="二期资产"/>
      <sheetName val="吴NSS折旧（2009)"/>
      <sheetName val="U8折旧清单20090122"/>
      <sheetName val="郭2009年元月折旧草稿"/>
      <sheetName val="水业折旧（账面数原）"/>
      <sheetName val="Disposition"/>
      <sheetName val="Collateral"/>
      <sheetName val="E1020"/>
      <sheetName val="Paramter"/>
      <sheetName val="U950-Facultative"/>
      <sheetName val="人工费用"/>
      <sheetName val="GPRO"/>
      <sheetName val="L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S折旧（账面数）原"/>
      <sheetName val="Assumption"/>
      <sheetName val="NSS summary"/>
      <sheetName val="NSS折旧（原计算）"/>
      <sheetName val="水业summary"/>
      <sheetName val="NSS（old）"/>
      <sheetName val="NSS（new1）"/>
      <sheetName val="NSS (new2) (2)"/>
      <sheetName val="水业（old)"/>
      <sheetName val="水业(new1)"/>
      <sheetName val="NSS折旧（新政策） (2)"/>
      <sheetName val="NSS折旧（重新计算)"/>
      <sheetName val="二期资产"/>
      <sheetName val="吴NSS折旧（2009)"/>
      <sheetName val="U8折旧清单20090122"/>
      <sheetName val="郭2009年元月折旧草稿"/>
      <sheetName val="水业折旧（账面数原）"/>
      <sheetName val="人工费用"/>
      <sheetName val="enth"/>
      <sheetName val="AFEMAI"/>
      <sheetName val="Graph"/>
      <sheetName val="Holidays"/>
      <sheetName val="FC switches"/>
      <sheetName val="A430"/>
      <sheetName val="Key Assumption1"/>
      <sheetName val="GPRO"/>
      <sheetName val="Paramter"/>
      <sheetName val="Rate lookup"/>
      <sheetName val="封面"/>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Sheet1"/>
      <sheetName val="120043 GONGOS"/>
      <sheetName val="PL-Total(M)"/>
      <sheetName val="Balance sheet（Total)"/>
      <sheetName val="Balance sheet（Excluding P1B)"/>
      <sheetName val="Balance sheet(P1B)"/>
      <sheetName val="Cash flow（Total)"/>
      <sheetName val="Cash flow（excluding P1B)"/>
      <sheetName val="Cash flow(P1B)"/>
      <sheetName val="间接法"/>
      <sheetName val="PL_NWWT(M)"/>
      <sheetName val="PL-Dystar pre(M)"/>
      <sheetName val="PL-Phase2(M)"/>
      <sheetName val="summary(Total)"/>
      <sheetName val="summary(total2)"/>
      <sheetName val="summary(NWWT)"/>
      <sheetName val="SUMMARY(Dystar)"/>
      <sheetName val="Summary(Phase2)"/>
      <sheetName val="过渡表"/>
      <sheetName val="unit cost(NWWT)"/>
      <sheetName val="Unit cost(Dystar)"/>
      <sheetName val="Unit Cost(Phase2)"/>
      <sheetName val="Viariable cost08(NWWT)"/>
      <sheetName val="Viariable cost08(Dystar)"/>
      <sheetName val="salesbreakdown(M)"/>
      <sheetName val="Viariable cost08(Gpro)"/>
      <sheetName val="opex(NWWT)"/>
      <sheetName val="Opex(Dystar)"/>
      <sheetName val="Opex(Phase2)"/>
      <sheetName val="G&amp;A"/>
      <sheetName val="差旅估算"/>
      <sheetName val="折旧08"/>
      <sheetName val="Capax2"/>
      <sheetName val="GPRO"/>
      <sheetName val="Finance(08)"/>
      <sheetName val="Salesbreakdown(B)"/>
      <sheetName val="Salesbreakdown(w)"/>
      <sheetName val="人工费用"/>
      <sheetName val="E1020"/>
      <sheetName val="U950-Facultative"/>
      <sheetName val="Paramter"/>
      <sheetName val="费用"/>
      <sheetName val="Key Assumption1"/>
      <sheetName val="Assumption"/>
      <sheetName val="5月科目余额表"/>
      <sheetName val="Key assumption"/>
      <sheetName val="L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Sheet1"/>
      <sheetName val="120043 GONGOS"/>
      <sheetName val="PL-Total(M)"/>
      <sheetName val="Balance sheet（Total)"/>
      <sheetName val="Balance sheet（Excluding P1B)"/>
      <sheetName val="Balance sheet(P1B)"/>
      <sheetName val="Cash flow（Total)"/>
      <sheetName val="Cash flow（excluding P1B)"/>
      <sheetName val="Cash flow(P1B)"/>
      <sheetName val="间接法"/>
      <sheetName val="PL_NWWT(M)"/>
      <sheetName val="PL-Dystar pre(M)"/>
      <sheetName val="PL-Phase2(M)"/>
      <sheetName val="summary(Total)"/>
      <sheetName val="summary(total2)"/>
      <sheetName val="summary(NWWT)"/>
      <sheetName val="SUMMARY(Dystar)"/>
      <sheetName val="Summary(Phase2)"/>
      <sheetName val="过渡表"/>
      <sheetName val="unit cost(NWWT)"/>
      <sheetName val="Unit cost(Dystar)"/>
      <sheetName val="Unit Cost(Phase2)"/>
      <sheetName val="Viariable cost08(NWWT)"/>
      <sheetName val="Viariable cost08(Dystar)"/>
      <sheetName val="salesbreakdown(M)"/>
      <sheetName val="Viariable cost08(Gpro)"/>
      <sheetName val="opex(NWWT)"/>
      <sheetName val="Opex(Dystar)"/>
      <sheetName val="Opex(Phase2)"/>
      <sheetName val="G&amp;A"/>
      <sheetName val="差旅估算"/>
      <sheetName val="折旧08"/>
      <sheetName val="Capax2"/>
      <sheetName val="GPRO"/>
      <sheetName val="Finance(08)"/>
      <sheetName val="Salesbreakdown(B)"/>
      <sheetName val="Salesbreakdown(w)"/>
      <sheetName val="人工费用"/>
      <sheetName val="Assumption"/>
      <sheetName val="cost center "/>
      <sheetName val="A430"/>
      <sheetName val="AFEMAI"/>
      <sheetName val="费用"/>
      <sheetName val="Key Assumption1"/>
      <sheetName val="5月余额表"/>
      <sheetName val="UFPrn20220610090423"/>
      <sheetName val="Paramter"/>
      <sheetName val="revenue 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cruals"/>
      <sheetName val="Personnel-HK 2026"/>
      <sheetName val="Personnel-HK 2025"/>
      <sheetName val="Personnel-CN"/>
      <sheetName val="Pay Forgone &amp; Kicker"/>
      <sheetName val="Personnel Var. Analysis"/>
      <sheetName val="Bonus 2026"/>
      <sheetName val="Bonus 2025"/>
      <sheetName val="Personnel-Project"/>
      <sheetName val="Staff titles"/>
    </sheetNames>
    <sheetDataSet>
      <sheetData sheetId="0"/>
      <sheetData sheetId="1">
        <row r="11">
          <cell r="U11">
            <v>180699.99999999985</v>
          </cell>
        </row>
        <row r="22">
          <cell r="B22" t="str">
            <v>Entity</v>
          </cell>
          <cell r="AG22" t="str">
            <v>Total 2026</v>
          </cell>
        </row>
        <row r="23">
          <cell r="B23">
            <v>2</v>
          </cell>
        </row>
        <row r="24">
          <cell r="B24" t="str">
            <v>ACPLHK</v>
          </cell>
          <cell r="U24">
            <v>7476</v>
          </cell>
          <cell r="V24">
            <v>7476</v>
          </cell>
          <cell r="W24">
            <v>7476</v>
          </cell>
          <cell r="X24">
            <v>7476</v>
          </cell>
          <cell r="Y24">
            <v>7476</v>
          </cell>
          <cell r="Z24">
            <v>7476</v>
          </cell>
          <cell r="AA24">
            <v>7476</v>
          </cell>
          <cell r="AB24">
            <v>7476</v>
          </cell>
          <cell r="AC24">
            <v>7476</v>
          </cell>
          <cell r="AD24">
            <v>7476</v>
          </cell>
          <cell r="AE24">
            <v>7476</v>
          </cell>
          <cell r="AF24">
            <v>7476</v>
          </cell>
          <cell r="AG24">
            <v>89712</v>
          </cell>
        </row>
        <row r="25">
          <cell r="B25" t="str">
            <v>ACPLHK</v>
          </cell>
          <cell r="U25">
            <v>1335</v>
          </cell>
          <cell r="V25">
            <v>1335</v>
          </cell>
          <cell r="W25">
            <v>54735</v>
          </cell>
          <cell r="X25">
            <v>54735</v>
          </cell>
          <cell r="Y25">
            <v>54735</v>
          </cell>
          <cell r="Z25">
            <v>54735</v>
          </cell>
          <cell r="AA25">
            <v>54735</v>
          </cell>
          <cell r="AB25">
            <v>54735</v>
          </cell>
          <cell r="AC25">
            <v>54735</v>
          </cell>
          <cell r="AD25">
            <v>54735</v>
          </cell>
          <cell r="AE25">
            <v>54735</v>
          </cell>
          <cell r="AF25">
            <v>54735</v>
          </cell>
          <cell r="AG25">
            <v>550020</v>
          </cell>
        </row>
        <row r="26">
          <cell r="B26" t="str">
            <v>ACPLHK</v>
          </cell>
          <cell r="U26">
            <v>94785</v>
          </cell>
          <cell r="V26">
            <v>94785</v>
          </cell>
          <cell r="W26">
            <v>94785</v>
          </cell>
          <cell r="X26">
            <v>94785</v>
          </cell>
          <cell r="Y26">
            <v>94785</v>
          </cell>
          <cell r="Z26">
            <v>94785</v>
          </cell>
          <cell r="AA26">
            <v>94785</v>
          </cell>
          <cell r="AB26">
            <v>94785</v>
          </cell>
          <cell r="AC26">
            <v>94785</v>
          </cell>
          <cell r="AD26">
            <v>94785</v>
          </cell>
          <cell r="AE26">
            <v>94785</v>
          </cell>
          <cell r="AF26">
            <v>94785</v>
          </cell>
          <cell r="AG26">
            <v>1137420</v>
          </cell>
        </row>
        <row r="27">
          <cell r="B27" t="str">
            <v>ACPLHK</v>
          </cell>
          <cell r="U27">
            <v>90335</v>
          </cell>
          <cell r="V27">
            <v>108135</v>
          </cell>
          <cell r="W27">
            <v>108135</v>
          </cell>
          <cell r="X27">
            <v>108135</v>
          </cell>
          <cell r="Y27">
            <v>108135</v>
          </cell>
          <cell r="Z27">
            <v>108135</v>
          </cell>
          <cell r="AA27">
            <v>108135</v>
          </cell>
          <cell r="AB27">
            <v>108135</v>
          </cell>
          <cell r="AC27">
            <v>108135</v>
          </cell>
          <cell r="AD27">
            <v>108135</v>
          </cell>
          <cell r="AE27">
            <v>108135</v>
          </cell>
          <cell r="AF27">
            <v>108135</v>
          </cell>
          <cell r="AG27">
            <v>1279820</v>
          </cell>
        </row>
        <row r="28">
          <cell r="B28" t="str">
            <v>ACPLHK</v>
          </cell>
          <cell r="U28">
            <v>42815.764000000003</v>
          </cell>
          <cell r="V28">
            <v>42815.764000000003</v>
          </cell>
          <cell r="W28">
            <v>42815.764000000003</v>
          </cell>
          <cell r="X28">
            <v>42815.764000000003</v>
          </cell>
          <cell r="Y28">
            <v>42815.764000000003</v>
          </cell>
          <cell r="Z28">
            <v>42815.764000000003</v>
          </cell>
          <cell r="AA28">
            <v>42815.764000000003</v>
          </cell>
          <cell r="AB28">
            <v>42815.764000000003</v>
          </cell>
          <cell r="AC28">
            <v>42815.764000000003</v>
          </cell>
          <cell r="AD28">
            <v>42815.764000000003</v>
          </cell>
          <cell r="AE28">
            <v>42815.764000000003</v>
          </cell>
          <cell r="AF28">
            <v>42815.764000000003</v>
          </cell>
          <cell r="AG28">
            <v>513789.16800000012</v>
          </cell>
        </row>
        <row r="30">
          <cell r="B30" t="str">
            <v>ACPL</v>
          </cell>
          <cell r="U30">
            <v>160822.99999999988</v>
          </cell>
          <cell r="V30">
            <v>160822.99999999988</v>
          </cell>
          <cell r="W30">
            <v>160822.99999999988</v>
          </cell>
          <cell r="X30">
            <v>160822.99999999988</v>
          </cell>
          <cell r="Y30">
            <v>160822.99999999988</v>
          </cell>
          <cell r="Z30">
            <v>160822.99999999988</v>
          </cell>
          <cell r="AA30">
            <v>160822.99999999988</v>
          </cell>
          <cell r="AB30">
            <v>160822.99999999988</v>
          </cell>
          <cell r="AC30">
            <v>160822.99999999988</v>
          </cell>
          <cell r="AD30">
            <v>160822.99999999988</v>
          </cell>
          <cell r="AE30">
            <v>160822.99999999988</v>
          </cell>
          <cell r="AF30">
            <v>160822.99999999988</v>
          </cell>
          <cell r="AG30">
            <v>1929875.9999999991</v>
          </cell>
        </row>
        <row r="31">
          <cell r="B31" t="str">
            <v>ACPL</v>
          </cell>
          <cell r="U31">
            <v>95052</v>
          </cell>
          <cell r="V31">
            <v>95052</v>
          </cell>
          <cell r="W31">
            <v>95052</v>
          </cell>
          <cell r="X31">
            <v>95052</v>
          </cell>
          <cell r="Y31">
            <v>95052</v>
          </cell>
          <cell r="Z31">
            <v>95052</v>
          </cell>
          <cell r="AA31">
            <v>95052</v>
          </cell>
          <cell r="AB31">
            <v>95052</v>
          </cell>
          <cell r="AC31">
            <v>95052</v>
          </cell>
          <cell r="AD31">
            <v>95052</v>
          </cell>
          <cell r="AE31">
            <v>95052</v>
          </cell>
          <cell r="AF31">
            <v>95052</v>
          </cell>
          <cell r="AG31">
            <v>1140624</v>
          </cell>
        </row>
        <row r="32">
          <cell r="B32" t="str">
            <v>ACPL</v>
          </cell>
          <cell r="U32">
            <v>71200</v>
          </cell>
          <cell r="V32">
            <v>71200</v>
          </cell>
          <cell r="W32">
            <v>71200</v>
          </cell>
          <cell r="X32">
            <v>71200</v>
          </cell>
          <cell r="Y32">
            <v>71200</v>
          </cell>
          <cell r="Z32">
            <v>71200</v>
          </cell>
          <cell r="AA32">
            <v>71200</v>
          </cell>
          <cell r="AB32">
            <v>71200</v>
          </cell>
          <cell r="AC32">
            <v>71200</v>
          </cell>
          <cell r="AD32">
            <v>71200</v>
          </cell>
          <cell r="AE32">
            <v>71200</v>
          </cell>
          <cell r="AF32">
            <v>71200</v>
          </cell>
          <cell r="AG32">
            <v>854400</v>
          </cell>
        </row>
        <row r="33">
          <cell r="B33" t="str">
            <v>ACPL</v>
          </cell>
          <cell r="U33">
            <v>36935</v>
          </cell>
          <cell r="V33">
            <v>36935</v>
          </cell>
          <cell r="W33">
            <v>36935</v>
          </cell>
          <cell r="X33">
            <v>36935</v>
          </cell>
          <cell r="Y33">
            <v>36935</v>
          </cell>
          <cell r="Z33">
            <v>36935</v>
          </cell>
          <cell r="AA33">
            <v>36935</v>
          </cell>
          <cell r="AB33">
            <v>36935</v>
          </cell>
          <cell r="AC33">
            <v>36935</v>
          </cell>
          <cell r="AD33">
            <v>36935</v>
          </cell>
          <cell r="AE33">
            <v>36935</v>
          </cell>
          <cell r="AF33">
            <v>36935</v>
          </cell>
          <cell r="AG33">
            <v>443220</v>
          </cell>
        </row>
        <row r="35">
          <cell r="B35" t="str">
            <v>Total</v>
          </cell>
          <cell r="AG35">
            <v>3160211.9999999995</v>
          </cell>
        </row>
        <row r="36">
          <cell r="B36" t="str">
            <v>Total</v>
          </cell>
          <cell r="AG36">
            <v>4778669.1680000005</v>
          </cell>
        </row>
        <row r="38">
          <cell r="AU38">
            <v>7224704.7263999991</v>
          </cell>
        </row>
      </sheetData>
      <sheetData sheetId="2"/>
      <sheetData sheetId="3"/>
      <sheetData sheetId="4"/>
      <sheetData sheetId="5"/>
      <sheetData sheetId="6">
        <row r="19">
          <cell r="J19">
            <v>2317250</v>
          </cell>
        </row>
        <row r="22">
          <cell r="G22">
            <v>0.12994350282485878</v>
          </cell>
        </row>
        <row r="23">
          <cell r="G23">
            <v>0.21428571428571419</v>
          </cell>
        </row>
        <row r="24">
          <cell r="G24">
            <v>0.33333333333333326</v>
          </cell>
        </row>
        <row r="25">
          <cell r="G25">
            <v>8.8235294117646967E-2</v>
          </cell>
        </row>
        <row r="26">
          <cell r="G26">
            <v>0.14285714285714279</v>
          </cell>
        </row>
        <row r="31">
          <cell r="J31">
            <v>714000</v>
          </cell>
        </row>
      </sheetData>
      <sheetData sheetId="7"/>
      <sheetData sheetId="8"/>
      <sheetData sheetId="9"/>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月"/>
      <sheetName val="2月"/>
      <sheetName val="3月"/>
      <sheetName val="4月"/>
      <sheetName val="5月"/>
      <sheetName val="6月"/>
      <sheetName val="7月"/>
      <sheetName val="8月"/>
      <sheetName val="9月"/>
      <sheetName val="10月"/>
      <sheetName val="11月"/>
      <sheetName val="12月"/>
    </sheetNames>
    <sheetDataSet>
      <sheetData sheetId="0">
        <row r="1">
          <cell r="A1" t="str">
            <v>币别:香港元</v>
          </cell>
          <cell r="B1" t="str">
            <v>账簿:旭智资本有限公司</v>
          </cell>
          <cell r="C1" t="str">
            <v>期间:2025.1 -- 2025.1</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3511564.35</v>
          </cell>
          <cell r="G4">
            <v>4862269.58</v>
          </cell>
          <cell r="H4">
            <v>5424561.6500000004</v>
          </cell>
        </row>
        <row r="5">
          <cell r="A5" t="str">
            <v>1002.01</v>
          </cell>
          <cell r="B5" t="str">
            <v>　　【旭智资本】银行存款账户</v>
          </cell>
          <cell r="E5">
            <v>3511564.35</v>
          </cell>
          <cell r="G5">
            <v>4862269.58</v>
          </cell>
          <cell r="H5">
            <v>5424561.6500000004</v>
          </cell>
        </row>
        <row r="6">
          <cell r="A6" t="str">
            <v>1002.01.01</v>
          </cell>
          <cell r="B6" t="str">
            <v>　　　　汇丰银行-741-282-503-838</v>
          </cell>
          <cell r="E6">
            <v>3511564.35</v>
          </cell>
          <cell r="G6">
            <v>4862269.58</v>
          </cell>
          <cell r="H6">
            <v>5424561.6500000004</v>
          </cell>
        </row>
        <row r="7">
          <cell r="A7" t="str">
            <v>1002.01.01.01</v>
          </cell>
          <cell r="B7" t="str">
            <v>　　　　　　【旭智资本】汇丰港元储蓄账户 3838</v>
          </cell>
          <cell r="E7">
            <v>1582267.8</v>
          </cell>
          <cell r="G7">
            <v>78.38</v>
          </cell>
          <cell r="H7">
            <v>1581595.1</v>
          </cell>
        </row>
        <row r="8">
          <cell r="A8" t="str">
            <v>1002.01.01.03</v>
          </cell>
          <cell r="B8" t="str">
            <v>　　　　　　【旭智资本】汇丰外币储蓄账户 - 人民币 3838</v>
          </cell>
          <cell r="E8">
            <v>1914016.12</v>
          </cell>
          <cell r="G8">
            <v>349.59</v>
          </cell>
          <cell r="H8">
            <v>1914016.12</v>
          </cell>
        </row>
        <row r="9">
          <cell r="A9" t="str">
            <v>1002.01.01.04</v>
          </cell>
          <cell r="B9" t="str">
            <v>　　　　　　【旭智资本】汇丰外币储蓄账户 - 美元 3838</v>
          </cell>
          <cell r="E9">
            <v>15280.43</v>
          </cell>
          <cell r="G9">
            <v>15331.61</v>
          </cell>
          <cell r="H9">
            <v>15280.43</v>
          </cell>
        </row>
        <row r="10">
          <cell r="A10" t="str">
            <v>1002.01.01.05</v>
          </cell>
          <cell r="B10" t="str">
            <v>　　　　　　【旭智资本】汇丰港元定期存款</v>
          </cell>
          <cell r="G10">
            <v>1000000</v>
          </cell>
        </row>
        <row r="11">
          <cell r="A11" t="str">
            <v>1002.01.01.06</v>
          </cell>
          <cell r="B11" t="str">
            <v>　　　　　　【旭智资本】汇丰人民币定期存款</v>
          </cell>
          <cell r="G11">
            <v>3846510</v>
          </cell>
          <cell r="H11">
            <v>1913670</v>
          </cell>
        </row>
        <row r="12">
          <cell r="A12" t="str">
            <v>1123</v>
          </cell>
          <cell r="B12" t="str">
            <v>预付账款</v>
          </cell>
          <cell r="E12">
            <v>79021.440000000002</v>
          </cell>
          <cell r="G12">
            <v>18827.61</v>
          </cell>
          <cell r="H12">
            <v>29924.2</v>
          </cell>
        </row>
        <row r="13">
          <cell r="A13" t="str">
            <v>1123.01</v>
          </cell>
          <cell r="B13" t="str">
            <v>　　单位</v>
          </cell>
          <cell r="E13">
            <v>79021.440000000002</v>
          </cell>
          <cell r="G13">
            <v>18827.61</v>
          </cell>
          <cell r="H13">
            <v>29924.2</v>
          </cell>
        </row>
        <row r="14">
          <cell r="A14" t="str">
            <v>1123.01</v>
          </cell>
          <cell r="B14" t="str">
            <v>　　单位</v>
          </cell>
          <cell r="C14" t="str">
            <v>SU003001</v>
          </cell>
          <cell r="D14" t="str">
            <v>Boardroom Corporate Services (HK) Limited</v>
          </cell>
          <cell r="G14">
            <v>13543.01</v>
          </cell>
        </row>
        <row r="15">
          <cell r="A15" t="str">
            <v>1123.01</v>
          </cell>
          <cell r="B15" t="str">
            <v>　　单位</v>
          </cell>
          <cell r="C15" t="str">
            <v>SU003003</v>
          </cell>
          <cell r="D15" t="str">
            <v>SUN HING INSURANCE BROKERS LTD.</v>
          </cell>
          <cell r="E15">
            <v>65847.31</v>
          </cell>
          <cell r="H15">
            <v>22380.23</v>
          </cell>
        </row>
        <row r="16">
          <cell r="A16" t="str">
            <v>1123.01</v>
          </cell>
          <cell r="B16" t="str">
            <v>　　单位</v>
          </cell>
          <cell r="C16" t="str">
            <v>SU003024</v>
          </cell>
          <cell r="D16" t="str">
            <v>SiteGround Hosting Ltd</v>
          </cell>
          <cell r="E16">
            <v>2298.62</v>
          </cell>
          <cell r="H16">
            <v>242.37</v>
          </cell>
        </row>
        <row r="17">
          <cell r="A17" t="str">
            <v>1123.01</v>
          </cell>
          <cell r="B17" t="str">
            <v>　　单位</v>
          </cell>
          <cell r="C17" t="str">
            <v>SU003025</v>
          </cell>
          <cell r="D17" t="str">
            <v>Godaddy.Com,LLC</v>
          </cell>
          <cell r="E17">
            <v>821.54</v>
          </cell>
          <cell r="H17">
            <v>39.479999999999997</v>
          </cell>
        </row>
        <row r="18">
          <cell r="A18" t="str">
            <v>1123.01</v>
          </cell>
          <cell r="B18" t="str">
            <v>　　单位</v>
          </cell>
          <cell r="C18" t="str">
            <v>SU004011</v>
          </cell>
          <cell r="D18" t="str">
            <v>Master Concept (Hong Kong) Limited</v>
          </cell>
          <cell r="E18">
            <v>9714.58</v>
          </cell>
          <cell r="G18">
            <v>5284.6</v>
          </cell>
          <cell r="H18">
            <v>7262.12</v>
          </cell>
        </row>
        <row r="19">
          <cell r="A19" t="str">
            <v>1123.01</v>
          </cell>
          <cell r="B19" t="str">
            <v>　　单位</v>
          </cell>
          <cell r="C19" t="str">
            <v>SU011002</v>
          </cell>
          <cell r="D19" t="str">
            <v>TMF (Cayman) Ltd.</v>
          </cell>
          <cell r="E19">
            <v>339.39</v>
          </cell>
        </row>
        <row r="20">
          <cell r="A20" t="str">
            <v>1132</v>
          </cell>
          <cell r="B20" t="str">
            <v>应收利息</v>
          </cell>
          <cell r="G20">
            <v>183.65</v>
          </cell>
        </row>
        <row r="21">
          <cell r="A21" t="str">
            <v>1132</v>
          </cell>
          <cell r="B21" t="str">
            <v>应收利息</v>
          </cell>
          <cell r="C21" t="str">
            <v>OU004001</v>
          </cell>
          <cell r="D21" t="str">
            <v>香港上海汇丰银行有限公司</v>
          </cell>
          <cell r="G21">
            <v>183.65</v>
          </cell>
        </row>
        <row r="22">
          <cell r="A22" t="str">
            <v>1221</v>
          </cell>
          <cell r="B22" t="str">
            <v>其他应收款</v>
          </cell>
          <cell r="E22">
            <v>4714788.0999999996</v>
          </cell>
          <cell r="G22">
            <v>20897.64</v>
          </cell>
          <cell r="H22">
            <v>374.73</v>
          </cell>
        </row>
        <row r="23">
          <cell r="A23" t="str">
            <v>1221.01</v>
          </cell>
          <cell r="B23" t="str">
            <v>　　单位</v>
          </cell>
          <cell r="E23">
            <v>4714788.0999999996</v>
          </cell>
          <cell r="G23">
            <v>20897.64</v>
          </cell>
          <cell r="H23">
            <v>374.73</v>
          </cell>
        </row>
        <row r="24">
          <cell r="A24" t="str">
            <v>1221.01</v>
          </cell>
          <cell r="B24" t="str">
            <v>　　单位</v>
          </cell>
          <cell r="C24" t="str">
            <v>CU003003</v>
          </cell>
          <cell r="D24" t="str">
            <v>旭智资本（开曼）有限公司</v>
          </cell>
          <cell r="E24">
            <v>940184.83</v>
          </cell>
        </row>
        <row r="25">
          <cell r="A25" t="str">
            <v>1221.01</v>
          </cell>
          <cell r="B25" t="str">
            <v>　　单位</v>
          </cell>
          <cell r="C25" t="str">
            <v>CU003004</v>
          </cell>
          <cell r="D25" t="str">
            <v>广州旭智投资控股有限责任公司</v>
          </cell>
          <cell r="E25">
            <v>685369.85</v>
          </cell>
          <cell r="G25">
            <v>2420.58</v>
          </cell>
          <cell r="H25">
            <v>374.73</v>
          </cell>
        </row>
        <row r="26">
          <cell r="A26" t="str">
            <v>1221.01</v>
          </cell>
          <cell r="B26" t="str">
            <v>　　单位</v>
          </cell>
          <cell r="C26" t="str">
            <v>CU003005</v>
          </cell>
          <cell r="D26" t="str">
            <v>Albamen Cayman Fund II</v>
          </cell>
          <cell r="E26">
            <v>2848350.13</v>
          </cell>
        </row>
        <row r="27">
          <cell r="A27" t="str">
            <v>1221.01</v>
          </cell>
          <cell r="B27" t="str">
            <v>　　单位</v>
          </cell>
          <cell r="C27" t="str">
            <v>CU003006</v>
          </cell>
          <cell r="D27" t="str">
            <v>旭智咨询管理(深圳)有限责任公司</v>
          </cell>
          <cell r="E27">
            <v>72277.8</v>
          </cell>
          <cell r="G27">
            <v>242.06</v>
          </cell>
        </row>
        <row r="28">
          <cell r="A28" t="str">
            <v>1221.01</v>
          </cell>
          <cell r="B28" t="str">
            <v>　　单位</v>
          </cell>
          <cell r="C28" t="str">
            <v>CU003007</v>
          </cell>
          <cell r="D28" t="str">
            <v>旭智兴邦有限公司</v>
          </cell>
          <cell r="E28">
            <v>72081.13</v>
          </cell>
          <cell r="G28">
            <v>18235</v>
          </cell>
        </row>
        <row r="29">
          <cell r="A29" t="str">
            <v>1221.01</v>
          </cell>
          <cell r="B29" t="str">
            <v>　　单位</v>
          </cell>
          <cell r="C29" t="str">
            <v>CU003008</v>
          </cell>
          <cell r="D29" t="str">
            <v>Rising Son Invesments Limited</v>
          </cell>
          <cell r="E29">
            <v>10055</v>
          </cell>
        </row>
        <row r="30">
          <cell r="A30" t="str">
            <v>1221.01</v>
          </cell>
          <cell r="B30" t="str">
            <v>　　单位</v>
          </cell>
          <cell r="C30" t="str">
            <v>CU003009</v>
          </cell>
          <cell r="D30" t="str">
            <v>Sustainable Energy (HK) Investment Holding Ltd</v>
          </cell>
          <cell r="E30">
            <v>10000</v>
          </cell>
        </row>
        <row r="31">
          <cell r="A31" t="str">
            <v>1221.01</v>
          </cell>
          <cell r="B31" t="str">
            <v>　　单位</v>
          </cell>
          <cell r="C31" t="str">
            <v>CU003010</v>
          </cell>
          <cell r="D31" t="str">
            <v>旭智富能新能源（深圳）有限责任公司</v>
          </cell>
          <cell r="E31">
            <v>76419.360000000001</v>
          </cell>
        </row>
        <row r="32">
          <cell r="A32" t="str">
            <v>1221.01</v>
          </cell>
          <cell r="B32" t="str">
            <v>　　单位</v>
          </cell>
          <cell r="C32" t="str">
            <v>CU003011</v>
          </cell>
          <cell r="D32" t="str">
            <v>Manulife Investment Management (Hong Kong )Limited</v>
          </cell>
          <cell r="E32">
            <v>50</v>
          </cell>
        </row>
        <row r="33">
          <cell r="A33" t="str">
            <v>1511</v>
          </cell>
          <cell r="B33" t="str">
            <v>长期股权投资</v>
          </cell>
          <cell r="E33">
            <v>92467303.799999997</v>
          </cell>
        </row>
        <row r="34">
          <cell r="A34" t="str">
            <v>1511.02</v>
          </cell>
          <cell r="B34" t="str">
            <v>　　投资成本</v>
          </cell>
          <cell r="E34">
            <v>92467303.799999997</v>
          </cell>
        </row>
        <row r="35">
          <cell r="A35" t="str">
            <v>1511.02</v>
          </cell>
          <cell r="B35" t="str">
            <v>　　投资成本</v>
          </cell>
          <cell r="C35" t="str">
            <v>004</v>
          </cell>
          <cell r="D35" t="str">
            <v>旭智资本（香港）有限公司</v>
          </cell>
          <cell r="E35">
            <v>89799421</v>
          </cell>
        </row>
        <row r="36">
          <cell r="A36" t="str">
            <v>1511.02</v>
          </cell>
          <cell r="B36" t="str">
            <v>　　投资成本</v>
          </cell>
          <cell r="C36" t="str">
            <v>006</v>
          </cell>
          <cell r="D36" t="str">
            <v>旭智咨询管理（深圳）有限责任公司</v>
          </cell>
          <cell r="E36">
            <v>2657875</v>
          </cell>
        </row>
        <row r="37">
          <cell r="A37" t="str">
            <v>1511.02</v>
          </cell>
          <cell r="B37" t="str">
            <v>　　投资成本</v>
          </cell>
          <cell r="C37" t="str">
            <v>011</v>
          </cell>
          <cell r="D37" t="str">
            <v>旭智资本（开曼）有限公司</v>
          </cell>
          <cell r="E37">
            <v>7.8</v>
          </cell>
        </row>
        <row r="38">
          <cell r="A38" t="str">
            <v>1511.02</v>
          </cell>
          <cell r="B38" t="str">
            <v>　　投资成本</v>
          </cell>
          <cell r="C38" t="str">
            <v>012</v>
          </cell>
          <cell r="D38" t="str">
            <v>旭智兴邦有限公司</v>
          </cell>
          <cell r="E38">
            <v>10000</v>
          </cell>
        </row>
        <row r="39">
          <cell r="A39" t="str">
            <v>1601</v>
          </cell>
          <cell r="B39" t="str">
            <v>固定资产</v>
          </cell>
          <cell r="E39">
            <v>81529</v>
          </cell>
        </row>
        <row r="40">
          <cell r="A40" t="str">
            <v>1601.01</v>
          </cell>
          <cell r="B40" t="str">
            <v>　　电子设备</v>
          </cell>
          <cell r="E40">
            <v>81529</v>
          </cell>
        </row>
        <row r="41">
          <cell r="A41" t="str">
            <v>1602</v>
          </cell>
          <cell r="B41" t="str">
            <v>累计折旧</v>
          </cell>
          <cell r="F41">
            <v>70188.44</v>
          </cell>
          <cell r="H41">
            <v>729.44</v>
          </cell>
        </row>
        <row r="42">
          <cell r="A42" t="str">
            <v>1602.01</v>
          </cell>
          <cell r="B42" t="str">
            <v>　　电子设备</v>
          </cell>
          <cell r="F42">
            <v>70188.44</v>
          </cell>
          <cell r="H42">
            <v>729.44</v>
          </cell>
        </row>
        <row r="43">
          <cell r="A43" t="str">
            <v>1701</v>
          </cell>
          <cell r="B43" t="str">
            <v>无形资产</v>
          </cell>
          <cell r="E43">
            <v>18000000</v>
          </cell>
        </row>
        <row r="44">
          <cell r="A44" t="str">
            <v>1701.02</v>
          </cell>
          <cell r="B44" t="str">
            <v>　　 商业材料许可证</v>
          </cell>
          <cell r="E44">
            <v>18000000</v>
          </cell>
        </row>
        <row r="45">
          <cell r="A45" t="str">
            <v>1702</v>
          </cell>
          <cell r="B45" t="str">
            <v>累计摊销</v>
          </cell>
          <cell r="F45">
            <v>7950000</v>
          </cell>
          <cell r="H45">
            <v>150000</v>
          </cell>
        </row>
        <row r="46">
          <cell r="A46" t="str">
            <v>1702.02</v>
          </cell>
          <cell r="B46" t="str">
            <v>　　  商业材料许可证</v>
          </cell>
          <cell r="F46">
            <v>7950000</v>
          </cell>
          <cell r="H46">
            <v>150000</v>
          </cell>
        </row>
        <row r="47">
          <cell r="A47" t="str">
            <v>2211</v>
          </cell>
          <cell r="B47" t="str">
            <v>应付职工薪酬</v>
          </cell>
          <cell r="F47">
            <v>587406.12</v>
          </cell>
          <cell r="G47">
            <v>18000</v>
          </cell>
          <cell r="H47">
            <v>15000</v>
          </cell>
        </row>
        <row r="48">
          <cell r="A48" t="str">
            <v>2211.02</v>
          </cell>
          <cell r="B48" t="str">
            <v>　　职工奖金</v>
          </cell>
          <cell r="F48">
            <v>453000</v>
          </cell>
        </row>
        <row r="49">
          <cell r="A49" t="str">
            <v>2211.11</v>
          </cell>
          <cell r="B49" t="str">
            <v>　　应付强制性公积金</v>
          </cell>
          <cell r="F49">
            <v>18000</v>
          </cell>
          <cell r="G49">
            <v>18000</v>
          </cell>
          <cell r="H49">
            <v>15000</v>
          </cell>
        </row>
        <row r="50">
          <cell r="A50" t="str">
            <v>2211.12</v>
          </cell>
          <cell r="B50" t="str">
            <v>　　应付长期服务金</v>
          </cell>
          <cell r="F50">
            <v>87433.52</v>
          </cell>
        </row>
        <row r="51">
          <cell r="A51" t="str">
            <v>2211.13</v>
          </cell>
          <cell r="B51" t="str">
            <v>　　未使用假期负债</v>
          </cell>
          <cell r="F51">
            <v>28972.6</v>
          </cell>
        </row>
        <row r="52">
          <cell r="A52" t="str">
            <v>2241</v>
          </cell>
          <cell r="B52" t="str">
            <v>其他应付款</v>
          </cell>
          <cell r="F52">
            <v>2757305.37</v>
          </cell>
          <cell r="G52">
            <v>131235.5</v>
          </cell>
          <cell r="H52">
            <v>94952.66</v>
          </cell>
        </row>
        <row r="53">
          <cell r="A53" t="str">
            <v>2241.01</v>
          </cell>
          <cell r="B53" t="str">
            <v>　　单位</v>
          </cell>
          <cell r="F53">
            <v>2584005</v>
          </cell>
          <cell r="G53">
            <v>131235.5</v>
          </cell>
          <cell r="H53">
            <v>94952.66</v>
          </cell>
        </row>
        <row r="54">
          <cell r="A54" t="str">
            <v>2241.01</v>
          </cell>
          <cell r="B54" t="str">
            <v>　　单位</v>
          </cell>
          <cell r="C54" t="str">
            <v>SU003011</v>
          </cell>
          <cell r="D54" t="str">
            <v>Tricor Services Limited</v>
          </cell>
          <cell r="H54">
            <v>14736</v>
          </cell>
        </row>
        <row r="55">
          <cell r="A55" t="str">
            <v>2241.01</v>
          </cell>
          <cell r="B55" t="str">
            <v>　　单位</v>
          </cell>
          <cell r="C55" t="str">
            <v>SU004019</v>
          </cell>
          <cell r="D55" t="str">
            <v>PricewaterhouseCoopers Limited</v>
          </cell>
          <cell r="F55">
            <v>230000</v>
          </cell>
          <cell r="H55">
            <v>19166.66</v>
          </cell>
        </row>
        <row r="56">
          <cell r="A56" t="str">
            <v>2241.01</v>
          </cell>
          <cell r="B56" t="str">
            <v>　　单位</v>
          </cell>
          <cell r="C56" t="str">
            <v>SU005045</v>
          </cell>
          <cell r="D56" t="str">
            <v>旭智资本(香港)有限公司</v>
          </cell>
          <cell r="F56">
            <v>2354005</v>
          </cell>
          <cell r="G56">
            <v>131235.5</v>
          </cell>
          <cell r="H56">
            <v>61050</v>
          </cell>
        </row>
        <row r="57">
          <cell r="A57" t="str">
            <v>2241.02</v>
          </cell>
          <cell r="B57" t="str">
            <v>　　个人</v>
          </cell>
          <cell r="F57">
            <v>173300.37</v>
          </cell>
        </row>
        <row r="58">
          <cell r="A58" t="str">
            <v>2241.02</v>
          </cell>
          <cell r="B58" t="str">
            <v>　　个人</v>
          </cell>
          <cell r="C58" t="str">
            <v>SP003008</v>
          </cell>
          <cell r="D58" t="str">
            <v>卢淑怡</v>
          </cell>
          <cell r="F58">
            <v>10780</v>
          </cell>
        </row>
        <row r="59">
          <cell r="A59" t="str">
            <v>2241.02</v>
          </cell>
          <cell r="B59" t="str">
            <v>　　个人</v>
          </cell>
          <cell r="C59" t="str">
            <v>SP003010</v>
          </cell>
          <cell r="D59" t="str">
            <v>员工报销</v>
          </cell>
          <cell r="F59">
            <v>162520.37</v>
          </cell>
        </row>
        <row r="60">
          <cell r="A60" t="str">
            <v>2304</v>
          </cell>
          <cell r="B60" t="str">
            <v>其他金融工具负债</v>
          </cell>
          <cell r="F60">
            <v>23400000</v>
          </cell>
        </row>
        <row r="61">
          <cell r="A61" t="str">
            <v>2304.01</v>
          </cell>
          <cell r="B61" t="str">
            <v>　　B类优先股</v>
          </cell>
          <cell r="F61">
            <v>23400000</v>
          </cell>
        </row>
        <row r="62">
          <cell r="A62" t="str">
            <v>2304.01</v>
          </cell>
          <cell r="B62" t="str">
            <v>　　B类优先股</v>
          </cell>
          <cell r="C62" t="str">
            <v>QTWL0001</v>
          </cell>
          <cell r="D62" t="str">
            <v>辉朗投资有限公司</v>
          </cell>
          <cell r="F62">
            <v>1755000</v>
          </cell>
        </row>
        <row r="63">
          <cell r="A63" t="str">
            <v>2304.01</v>
          </cell>
          <cell r="B63" t="str">
            <v>　　B类优先股</v>
          </cell>
          <cell r="C63" t="str">
            <v>QTWL0002</v>
          </cell>
          <cell r="D63" t="str">
            <v>Pure Nice Limited</v>
          </cell>
          <cell r="F63">
            <v>1755000</v>
          </cell>
        </row>
        <row r="64">
          <cell r="A64" t="str">
            <v>2304.01</v>
          </cell>
          <cell r="B64" t="str">
            <v>　　B类优先股</v>
          </cell>
          <cell r="C64" t="str">
            <v>QTWL0003</v>
          </cell>
          <cell r="D64" t="str">
            <v>旭铂投资有限公司</v>
          </cell>
          <cell r="F64">
            <v>19305000</v>
          </cell>
        </row>
        <row r="65">
          <cell r="A65" t="str">
            <v>2304.01</v>
          </cell>
          <cell r="B65" t="str">
            <v>　　B类优先股</v>
          </cell>
          <cell r="C65" t="str">
            <v>QTWL0004</v>
          </cell>
          <cell r="D65" t="str">
            <v>智慧基建投资有限公司</v>
          </cell>
          <cell r="F65">
            <v>585000</v>
          </cell>
        </row>
        <row r="66">
          <cell r="A66" t="str">
            <v>4001</v>
          </cell>
          <cell r="B66" t="str">
            <v>实收资本（股本）</v>
          </cell>
          <cell r="F66">
            <v>156720000</v>
          </cell>
        </row>
        <row r="67">
          <cell r="A67" t="str">
            <v>4001.50</v>
          </cell>
          <cell r="B67" t="str">
            <v>　　普通股</v>
          </cell>
          <cell r="F67">
            <v>122917624</v>
          </cell>
        </row>
        <row r="68">
          <cell r="A68" t="str">
            <v>4001.50.01</v>
          </cell>
          <cell r="B68" t="str">
            <v>　　　　威力能源投资有限公司</v>
          </cell>
          <cell r="F68">
            <v>35262000</v>
          </cell>
        </row>
        <row r="69">
          <cell r="A69" t="str">
            <v>4001.50.02</v>
          </cell>
          <cell r="B69" t="str">
            <v>　　　　旭铂投资有限公司</v>
          </cell>
          <cell r="F69">
            <v>60229624</v>
          </cell>
        </row>
        <row r="70">
          <cell r="A70" t="str">
            <v>4001.50.03</v>
          </cell>
          <cell r="B70" t="str">
            <v>　　　　辉朗投资有限公司</v>
          </cell>
          <cell r="F70">
            <v>11754000</v>
          </cell>
        </row>
        <row r="71">
          <cell r="A71" t="str">
            <v>4001.50.04</v>
          </cell>
          <cell r="B71" t="str">
            <v>　　　　智慧基建投资有限公司</v>
          </cell>
          <cell r="F71">
            <v>3918000</v>
          </cell>
        </row>
        <row r="72">
          <cell r="A72" t="str">
            <v>4001.50.05</v>
          </cell>
          <cell r="B72" t="str">
            <v>　　　　Pure Nice Limited</v>
          </cell>
          <cell r="F72">
            <v>11754000</v>
          </cell>
        </row>
        <row r="73">
          <cell r="A73" t="str">
            <v>4001.51</v>
          </cell>
          <cell r="B73" t="str">
            <v>　　优先股</v>
          </cell>
          <cell r="F73">
            <v>33802376</v>
          </cell>
        </row>
        <row r="74">
          <cell r="A74" t="str">
            <v>4001.51.01</v>
          </cell>
          <cell r="B74" t="str">
            <v>　　　　旭铂投资有限公司</v>
          </cell>
          <cell r="F74">
            <v>33802376</v>
          </cell>
        </row>
        <row r="75">
          <cell r="A75" t="str">
            <v>4103</v>
          </cell>
          <cell r="B75" t="str">
            <v>本年利润</v>
          </cell>
          <cell r="G75">
            <v>795364.2</v>
          </cell>
          <cell r="H75">
            <v>131235.5</v>
          </cell>
        </row>
        <row r="76">
          <cell r="A76" t="str">
            <v>4104</v>
          </cell>
          <cell r="B76" t="str">
            <v>利润分配</v>
          </cell>
          <cell r="F76">
            <v>-72630693.239999995</v>
          </cell>
        </row>
        <row r="77">
          <cell r="A77" t="str">
            <v>4104.07</v>
          </cell>
          <cell r="B77" t="str">
            <v>　　未分配利润</v>
          </cell>
          <cell r="F77">
            <v>-72630693.239999995</v>
          </cell>
        </row>
        <row r="78">
          <cell r="A78" t="str">
            <v>6115</v>
          </cell>
          <cell r="B78" t="str">
            <v>其他收益</v>
          </cell>
          <cell r="G78">
            <v>131235.5</v>
          </cell>
          <cell r="H78">
            <v>131235.5</v>
          </cell>
        </row>
        <row r="79">
          <cell r="A79" t="str">
            <v>6115.03</v>
          </cell>
          <cell r="B79" t="str">
            <v>　　公司间往来</v>
          </cell>
          <cell r="G79">
            <v>131235.5</v>
          </cell>
          <cell r="H79">
            <v>131235.5</v>
          </cell>
        </row>
        <row r="80">
          <cell r="A80" t="str">
            <v>6602</v>
          </cell>
          <cell r="B80" t="str">
            <v>管理费用</v>
          </cell>
          <cell r="G80">
            <v>817126.69</v>
          </cell>
          <cell r="H80">
            <v>817126.69</v>
          </cell>
        </row>
        <row r="81">
          <cell r="A81" t="str">
            <v>6602.01</v>
          </cell>
          <cell r="B81" t="str">
            <v>　　工资薪金</v>
          </cell>
          <cell r="G81">
            <v>525500</v>
          </cell>
          <cell r="H81">
            <v>525500</v>
          </cell>
        </row>
        <row r="82">
          <cell r="A82" t="str">
            <v>6602.01.01</v>
          </cell>
          <cell r="B82" t="str">
            <v>　　　　基本工资（专业）</v>
          </cell>
          <cell r="G82">
            <v>241000</v>
          </cell>
          <cell r="H82">
            <v>241000</v>
          </cell>
        </row>
        <row r="83">
          <cell r="A83" t="str">
            <v>6602.01.08</v>
          </cell>
          <cell r="B83" t="str">
            <v>　　　　基本工资（管理）</v>
          </cell>
          <cell r="G83">
            <v>284500</v>
          </cell>
          <cell r="H83">
            <v>284500</v>
          </cell>
        </row>
        <row r="84">
          <cell r="A84" t="str">
            <v>6602.03</v>
          </cell>
          <cell r="B84" t="str">
            <v>　　社保公积金</v>
          </cell>
          <cell r="G84">
            <v>29470.46</v>
          </cell>
          <cell r="H84">
            <v>29470.46</v>
          </cell>
        </row>
        <row r="85">
          <cell r="A85" t="str">
            <v>6602.03.01</v>
          </cell>
          <cell r="B85" t="str">
            <v>　　　　员工社保福利</v>
          </cell>
          <cell r="G85">
            <v>21970.46</v>
          </cell>
          <cell r="H85">
            <v>21970.46</v>
          </cell>
        </row>
        <row r="86">
          <cell r="A86" t="str">
            <v>6602.03.03</v>
          </cell>
          <cell r="B86" t="str">
            <v>　　　　员工强制性公积金福利</v>
          </cell>
          <cell r="G86">
            <v>7500</v>
          </cell>
          <cell r="H86">
            <v>7500</v>
          </cell>
        </row>
        <row r="87">
          <cell r="A87" t="str">
            <v>6602.04</v>
          </cell>
          <cell r="B87" t="str">
            <v>　　咨询及专业服务费</v>
          </cell>
          <cell r="G87">
            <v>33666.660000000003</v>
          </cell>
          <cell r="H87">
            <v>33666.660000000003</v>
          </cell>
        </row>
        <row r="88">
          <cell r="A88" t="str">
            <v>6602.04.01</v>
          </cell>
          <cell r="B88" t="str">
            <v>　　　　会计服务费</v>
          </cell>
          <cell r="G88">
            <v>12000</v>
          </cell>
          <cell r="H88">
            <v>12000</v>
          </cell>
        </row>
        <row r="89">
          <cell r="A89" t="str">
            <v>6602.04.02</v>
          </cell>
          <cell r="B89" t="str">
            <v>　　　　审计服务费</v>
          </cell>
          <cell r="G89">
            <v>19166.66</v>
          </cell>
          <cell r="H89">
            <v>19166.66</v>
          </cell>
        </row>
        <row r="90">
          <cell r="A90" t="str">
            <v>6602.04.07</v>
          </cell>
          <cell r="B90" t="str">
            <v>　　　　人力资源服务费</v>
          </cell>
          <cell r="G90">
            <v>2500</v>
          </cell>
          <cell r="H90">
            <v>2500</v>
          </cell>
        </row>
        <row r="91">
          <cell r="A91" t="str">
            <v>6602.05</v>
          </cell>
          <cell r="B91" t="str">
            <v>　　占用费</v>
          </cell>
          <cell r="G91">
            <v>61050</v>
          </cell>
          <cell r="H91">
            <v>61050</v>
          </cell>
        </row>
        <row r="92">
          <cell r="A92" t="str">
            <v>6602.05.08</v>
          </cell>
          <cell r="B92" t="str">
            <v>　　　　集团内分摊</v>
          </cell>
          <cell r="G92">
            <v>61050</v>
          </cell>
          <cell r="H92">
            <v>61050</v>
          </cell>
        </row>
        <row r="93">
          <cell r="A93" t="str">
            <v>6602.08</v>
          </cell>
          <cell r="B93" t="str">
            <v>　　事务费用</v>
          </cell>
          <cell r="G93">
            <v>11462.14</v>
          </cell>
          <cell r="H93">
            <v>11462.14</v>
          </cell>
        </row>
        <row r="94">
          <cell r="A94" t="str">
            <v>6602.08.01</v>
          </cell>
          <cell r="B94" t="str">
            <v>　　　　通信费</v>
          </cell>
          <cell r="G94">
            <v>1140</v>
          </cell>
          <cell r="H94">
            <v>1140</v>
          </cell>
        </row>
        <row r="95">
          <cell r="A95" t="str">
            <v>6602.08.01</v>
          </cell>
          <cell r="B95" t="str">
            <v>　　　　通信费</v>
          </cell>
          <cell r="C95" t="str">
            <v>CI009</v>
          </cell>
          <cell r="D95" t="str">
            <v>旭智资本</v>
          </cell>
          <cell r="G95">
            <v>1140</v>
          </cell>
          <cell r="H95">
            <v>1140</v>
          </cell>
        </row>
        <row r="96">
          <cell r="A96" t="str">
            <v>6602.08.04</v>
          </cell>
          <cell r="B96" t="str">
            <v>　　　　事务保金</v>
          </cell>
          <cell r="G96">
            <v>409.77</v>
          </cell>
          <cell r="H96">
            <v>409.77</v>
          </cell>
        </row>
        <row r="97">
          <cell r="A97" t="str">
            <v>6602.08.04</v>
          </cell>
          <cell r="B97" t="str">
            <v>　　　　事务保金</v>
          </cell>
          <cell r="C97" t="str">
            <v>CI009</v>
          </cell>
          <cell r="D97" t="str">
            <v>旭智资本</v>
          </cell>
          <cell r="G97">
            <v>409.77</v>
          </cell>
          <cell r="H97">
            <v>409.77</v>
          </cell>
        </row>
        <row r="98">
          <cell r="A98" t="str">
            <v>6602.08.05</v>
          </cell>
          <cell r="B98" t="str">
            <v>　　　　邮费/邮递费</v>
          </cell>
          <cell r="G98">
            <v>459</v>
          </cell>
          <cell r="H98">
            <v>459</v>
          </cell>
        </row>
        <row r="99">
          <cell r="A99" t="str">
            <v>6602.08.05</v>
          </cell>
          <cell r="B99" t="str">
            <v>　　　　邮费/邮递费</v>
          </cell>
          <cell r="C99" t="str">
            <v>CI009</v>
          </cell>
          <cell r="D99" t="str">
            <v>旭智资本</v>
          </cell>
          <cell r="G99">
            <v>459</v>
          </cell>
          <cell r="H99">
            <v>459</v>
          </cell>
        </row>
        <row r="100">
          <cell r="A100" t="str">
            <v>6602.08.07</v>
          </cell>
          <cell r="B100" t="str">
            <v>　　　　软件许可证费用</v>
          </cell>
          <cell r="G100">
            <v>9105.3700000000008</v>
          </cell>
          <cell r="H100">
            <v>9105.3700000000008</v>
          </cell>
        </row>
        <row r="101">
          <cell r="A101" t="str">
            <v>6602.08.07</v>
          </cell>
          <cell r="B101" t="str">
            <v>　　　　软件许可证费用</v>
          </cell>
          <cell r="C101" t="str">
            <v>CI009</v>
          </cell>
          <cell r="D101" t="str">
            <v>旭智资本</v>
          </cell>
          <cell r="G101">
            <v>9105.3700000000008</v>
          </cell>
          <cell r="H101">
            <v>9105.3700000000008</v>
          </cell>
        </row>
        <row r="102">
          <cell r="A102" t="str">
            <v>6602.08.10</v>
          </cell>
          <cell r="B102" t="str">
            <v>　　　　电话国际直拨/电话会议收费</v>
          </cell>
          <cell r="G102">
            <v>348</v>
          </cell>
          <cell r="H102">
            <v>348</v>
          </cell>
        </row>
        <row r="103">
          <cell r="A103" t="str">
            <v>6602.08.10</v>
          </cell>
          <cell r="B103" t="str">
            <v>　　　　电话国际直拨/电话会议收费</v>
          </cell>
          <cell r="C103" t="str">
            <v>CI009</v>
          </cell>
          <cell r="D103" t="str">
            <v>旭智资本</v>
          </cell>
          <cell r="G103">
            <v>348</v>
          </cell>
          <cell r="H103">
            <v>348</v>
          </cell>
        </row>
        <row r="104">
          <cell r="A104" t="str">
            <v>6602.10</v>
          </cell>
          <cell r="B104" t="str">
            <v>　　折旧费</v>
          </cell>
          <cell r="G104">
            <v>729.44</v>
          </cell>
          <cell r="H104">
            <v>729.44</v>
          </cell>
        </row>
        <row r="105">
          <cell r="A105" t="str">
            <v>6602.10.01</v>
          </cell>
          <cell r="B105" t="str">
            <v>　　　　电子设备</v>
          </cell>
          <cell r="G105">
            <v>729.44</v>
          </cell>
          <cell r="H105">
            <v>729.44</v>
          </cell>
        </row>
        <row r="106">
          <cell r="A106" t="str">
            <v>6602.21</v>
          </cell>
          <cell r="B106" t="str">
            <v>　　公司秘书费</v>
          </cell>
          <cell r="G106">
            <v>1256.99</v>
          </cell>
          <cell r="H106">
            <v>1256.99</v>
          </cell>
        </row>
        <row r="107">
          <cell r="A107" t="str">
            <v>6602.23</v>
          </cell>
          <cell r="B107" t="str">
            <v>　　无形资产摊销</v>
          </cell>
          <cell r="G107">
            <v>150000</v>
          </cell>
          <cell r="H107">
            <v>150000</v>
          </cell>
        </row>
        <row r="108">
          <cell r="A108" t="str">
            <v>6602.99</v>
          </cell>
          <cell r="B108" t="str">
            <v>　　其他</v>
          </cell>
          <cell r="G108">
            <v>3991</v>
          </cell>
          <cell r="H108">
            <v>3991</v>
          </cell>
        </row>
        <row r="109">
          <cell r="A109" t="str">
            <v>6603</v>
          </cell>
          <cell r="B109" t="str">
            <v>财务费用</v>
          </cell>
          <cell r="G109">
            <v>-21762.49</v>
          </cell>
          <cell r="H109">
            <v>-21762.49</v>
          </cell>
        </row>
        <row r="110">
          <cell r="A110" t="str">
            <v>6603.01</v>
          </cell>
          <cell r="B110" t="str">
            <v>　　汇兑损益</v>
          </cell>
          <cell r="G110">
            <v>-21512.560000000001</v>
          </cell>
          <cell r="H110">
            <v>-21512.560000000001</v>
          </cell>
        </row>
        <row r="111">
          <cell r="A111" t="str">
            <v>6603.03</v>
          </cell>
          <cell r="B111" t="str">
            <v>　　银行手续费</v>
          </cell>
          <cell r="G111">
            <v>12.1</v>
          </cell>
          <cell r="H111">
            <v>12.1</v>
          </cell>
        </row>
        <row r="112">
          <cell r="A112" t="str">
            <v>6603.04</v>
          </cell>
          <cell r="B112" t="str">
            <v>　　利息收入</v>
          </cell>
          <cell r="G112">
            <v>-262.02999999999997</v>
          </cell>
          <cell r="H112">
            <v>-262.02999999999997</v>
          </cell>
        </row>
        <row r="113">
          <cell r="B113" t="str">
            <v>合计</v>
          </cell>
          <cell r="E113">
            <v>118854206.69</v>
          </cell>
          <cell r="F113">
            <v>118854206.69</v>
          </cell>
          <cell r="G113">
            <v>6773377.8799999999</v>
          </cell>
          <cell r="H113">
            <v>6773377.8799999999</v>
          </cell>
        </row>
      </sheetData>
      <sheetData sheetId="1">
        <row r="1">
          <cell r="A1" t="str">
            <v>币别:香港元</v>
          </cell>
          <cell r="B1" t="str">
            <v>账簿:旭智资本有限公司</v>
          </cell>
          <cell r="C1" t="str">
            <v>期间:2025.2 -- 2025.2</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2949272.28</v>
          </cell>
          <cell r="G4">
            <v>8447467.5700000003</v>
          </cell>
          <cell r="H4">
            <v>11277041.880000001</v>
          </cell>
        </row>
        <row r="5">
          <cell r="A5" t="str">
            <v>1002.01</v>
          </cell>
          <cell r="B5" t="str">
            <v>　　【旭智资本】银行存款账户</v>
          </cell>
          <cell r="E5">
            <v>2949272.28</v>
          </cell>
          <cell r="G5">
            <v>8447467.5700000003</v>
          </cell>
          <cell r="H5">
            <v>11277041.880000001</v>
          </cell>
        </row>
        <row r="6">
          <cell r="A6" t="str">
            <v>1002.01.01</v>
          </cell>
          <cell r="B6" t="str">
            <v>　　　　汇丰银行-741-282-503-838</v>
          </cell>
          <cell r="E6">
            <v>2949272.28</v>
          </cell>
          <cell r="G6">
            <v>8447467.5700000003</v>
          </cell>
          <cell r="H6">
            <v>11277041.880000001</v>
          </cell>
        </row>
        <row r="7">
          <cell r="A7" t="str">
            <v>1002.01.01.01</v>
          </cell>
          <cell r="B7" t="str">
            <v>　　　　　　【旭智资本】汇丰港元储蓄账户 3838</v>
          </cell>
          <cell r="E7">
            <v>751.08</v>
          </cell>
          <cell r="G7">
            <v>2020204.41</v>
          </cell>
          <cell r="H7">
            <v>1917423.03</v>
          </cell>
        </row>
        <row r="8">
          <cell r="A8" t="str">
            <v>1002.01.01.03</v>
          </cell>
          <cell r="B8" t="str">
            <v>　　　　　　【旭智资本】汇丰外币储蓄账户 - 人民币 3838</v>
          </cell>
          <cell r="E8">
            <v>349.59</v>
          </cell>
          <cell r="G8">
            <v>5441957.1399999997</v>
          </cell>
          <cell r="H8">
            <v>5441447.2400000002</v>
          </cell>
        </row>
        <row r="9">
          <cell r="A9" t="str">
            <v>1002.01.01.04</v>
          </cell>
          <cell r="B9" t="str">
            <v>　　　　　　【旭智资本】汇丰外币储蓄账户 - 美元 3838</v>
          </cell>
          <cell r="E9">
            <v>15331.61</v>
          </cell>
          <cell r="G9">
            <v>15306.02</v>
          </cell>
          <cell r="H9">
            <v>15331.61</v>
          </cell>
        </row>
        <row r="10">
          <cell r="A10" t="str">
            <v>1002.01.01.05</v>
          </cell>
          <cell r="B10" t="str">
            <v>　　　　　　【旭智资本】汇丰港元定期存款</v>
          </cell>
          <cell r="E10">
            <v>1000000</v>
          </cell>
          <cell r="G10">
            <v>970000</v>
          </cell>
          <cell r="H10">
            <v>1970000</v>
          </cell>
        </row>
        <row r="11">
          <cell r="A11" t="str">
            <v>1002.01.01.06</v>
          </cell>
          <cell r="B11" t="str">
            <v>　　　　　　【旭智资本】汇丰人民币定期存款</v>
          </cell>
          <cell r="E11">
            <v>1932840</v>
          </cell>
          <cell r="H11">
            <v>1932840</v>
          </cell>
        </row>
        <row r="12">
          <cell r="A12" t="str">
            <v>1123</v>
          </cell>
          <cell r="B12" t="str">
            <v>预付账款</v>
          </cell>
          <cell r="E12">
            <v>67924.850000000006</v>
          </cell>
          <cell r="G12">
            <v>5441445</v>
          </cell>
          <cell r="H12">
            <v>24575.98</v>
          </cell>
        </row>
        <row r="13">
          <cell r="A13" t="str">
            <v>1123.01</v>
          </cell>
          <cell r="B13" t="str">
            <v>　　单位</v>
          </cell>
          <cell r="E13">
            <v>67924.850000000006</v>
          </cell>
          <cell r="H13">
            <v>24575.98</v>
          </cell>
        </row>
        <row r="14">
          <cell r="A14" t="str">
            <v>1123.01</v>
          </cell>
          <cell r="B14" t="str">
            <v>　　单位</v>
          </cell>
          <cell r="C14" t="str">
            <v>SU003001</v>
          </cell>
          <cell r="D14" t="str">
            <v>Boardroom Corporate Services (HK) Limited</v>
          </cell>
          <cell r="E14">
            <v>13543.01</v>
          </cell>
          <cell r="H14">
            <v>1135.3399999999999</v>
          </cell>
        </row>
        <row r="15">
          <cell r="A15" t="str">
            <v>1123.01</v>
          </cell>
          <cell r="B15" t="str">
            <v>　　单位</v>
          </cell>
          <cell r="C15" t="str">
            <v>SU003003</v>
          </cell>
          <cell r="D15" t="str">
            <v>SUN HING INSURANCE BROKERS LTD.</v>
          </cell>
          <cell r="E15">
            <v>43467.08</v>
          </cell>
          <cell r="H15">
            <v>20214.41</v>
          </cell>
        </row>
        <row r="16">
          <cell r="A16" t="str">
            <v>1123.01</v>
          </cell>
          <cell r="B16" t="str">
            <v>　　单位</v>
          </cell>
          <cell r="C16" t="str">
            <v>SU003024</v>
          </cell>
          <cell r="D16" t="str">
            <v>SiteGround Hosting Ltd</v>
          </cell>
          <cell r="E16">
            <v>2056.25</v>
          </cell>
          <cell r="H16">
            <v>218.92</v>
          </cell>
        </row>
        <row r="17">
          <cell r="A17" t="str">
            <v>1123.01</v>
          </cell>
          <cell r="B17" t="str">
            <v>　　单位</v>
          </cell>
          <cell r="C17" t="str">
            <v>SU003025</v>
          </cell>
          <cell r="D17" t="str">
            <v>Godaddy.Com,LLC</v>
          </cell>
          <cell r="E17">
            <v>782.06</v>
          </cell>
          <cell r="H17">
            <v>35.659999999999997</v>
          </cell>
        </row>
        <row r="18">
          <cell r="A18" t="str">
            <v>1123.01</v>
          </cell>
          <cell r="B18" t="str">
            <v>　　单位</v>
          </cell>
          <cell r="C18" t="str">
            <v>SU004011</v>
          </cell>
          <cell r="D18" t="str">
            <v>Master Concept (Hong Kong) Limited</v>
          </cell>
          <cell r="E18">
            <v>7737.06</v>
          </cell>
          <cell r="H18">
            <v>2971.65</v>
          </cell>
        </row>
        <row r="19">
          <cell r="A19" t="str">
            <v>1123.01</v>
          </cell>
          <cell r="B19" t="str">
            <v>　　单位</v>
          </cell>
          <cell r="C19" t="str">
            <v>SU011002</v>
          </cell>
          <cell r="D19" t="str">
            <v>TMF (Cayman) Ltd.</v>
          </cell>
          <cell r="E19">
            <v>339.39</v>
          </cell>
        </row>
        <row r="20">
          <cell r="A20" t="str">
            <v>1123.02</v>
          </cell>
          <cell r="B20" t="str">
            <v>　　个人</v>
          </cell>
          <cell r="G20">
            <v>5441445</v>
          </cell>
        </row>
        <row r="21">
          <cell r="A21" t="str">
            <v>1123.02</v>
          </cell>
          <cell r="B21" t="str">
            <v>　　个人</v>
          </cell>
          <cell r="C21" t="str">
            <v>SP005001</v>
          </cell>
          <cell r="D21" t="str">
            <v>冯冠邦</v>
          </cell>
          <cell r="G21">
            <v>5441445</v>
          </cell>
        </row>
        <row r="22">
          <cell r="A22" t="str">
            <v>1132</v>
          </cell>
          <cell r="B22" t="str">
            <v>应收利息</v>
          </cell>
          <cell r="E22">
            <v>183.65</v>
          </cell>
          <cell r="G22">
            <v>-128.86000000000001</v>
          </cell>
          <cell r="H22">
            <v>54.79</v>
          </cell>
        </row>
        <row r="23">
          <cell r="A23" t="str">
            <v>1132</v>
          </cell>
          <cell r="B23" t="str">
            <v>应收利息</v>
          </cell>
          <cell r="C23" t="str">
            <v>OU004001</v>
          </cell>
          <cell r="D23" t="str">
            <v>香港上海汇丰银行有限公司</v>
          </cell>
          <cell r="E23">
            <v>183.65</v>
          </cell>
          <cell r="G23">
            <v>-128.86000000000001</v>
          </cell>
          <cell r="H23">
            <v>54.79</v>
          </cell>
        </row>
        <row r="24">
          <cell r="A24" t="str">
            <v>1221</v>
          </cell>
          <cell r="B24" t="str">
            <v>其他应收款</v>
          </cell>
          <cell r="E24">
            <v>4735311.01</v>
          </cell>
          <cell r="G24">
            <v>241.02</v>
          </cell>
          <cell r="H24">
            <v>1331.32</v>
          </cell>
        </row>
        <row r="25">
          <cell r="A25" t="str">
            <v>1221.01</v>
          </cell>
          <cell r="B25" t="str">
            <v>　　单位</v>
          </cell>
          <cell r="E25">
            <v>4735311.01</v>
          </cell>
          <cell r="G25">
            <v>241.02</v>
          </cell>
          <cell r="H25">
            <v>1331.32</v>
          </cell>
        </row>
        <row r="26">
          <cell r="A26" t="str">
            <v>1221.01</v>
          </cell>
          <cell r="B26" t="str">
            <v>　　单位</v>
          </cell>
          <cell r="C26" t="str">
            <v>CU003003</v>
          </cell>
          <cell r="D26" t="str">
            <v>旭智资本（开曼）有限公司</v>
          </cell>
          <cell r="E26">
            <v>940184.83</v>
          </cell>
        </row>
        <row r="27">
          <cell r="A27" t="str">
            <v>1221.01</v>
          </cell>
          <cell r="B27" t="str">
            <v>　　单位</v>
          </cell>
          <cell r="C27" t="str">
            <v>CU003004</v>
          </cell>
          <cell r="D27" t="str">
            <v>广州旭智投资控股有限责任公司</v>
          </cell>
          <cell r="E27">
            <v>687415.7</v>
          </cell>
          <cell r="G27">
            <v>241.02</v>
          </cell>
          <cell r="H27">
            <v>1210.29</v>
          </cell>
        </row>
        <row r="28">
          <cell r="A28" t="str">
            <v>1221.01</v>
          </cell>
          <cell r="B28" t="str">
            <v>　　单位</v>
          </cell>
          <cell r="C28" t="str">
            <v>CU003005</v>
          </cell>
          <cell r="D28" t="str">
            <v>Albamen Cayman Fund II</v>
          </cell>
          <cell r="E28">
            <v>2848350.13</v>
          </cell>
        </row>
        <row r="29">
          <cell r="A29" t="str">
            <v>1221.01</v>
          </cell>
          <cell r="B29" t="str">
            <v>　　单位</v>
          </cell>
          <cell r="C29" t="str">
            <v>CU003006</v>
          </cell>
          <cell r="D29" t="str">
            <v>旭智咨询管理(深圳)有限责任公司</v>
          </cell>
          <cell r="E29">
            <v>72519.86</v>
          </cell>
          <cell r="H29">
            <v>121.03</v>
          </cell>
        </row>
        <row r="30">
          <cell r="A30" t="str">
            <v>1221.01</v>
          </cell>
          <cell r="B30" t="str">
            <v>　　单位</v>
          </cell>
          <cell r="C30" t="str">
            <v>CU003007</v>
          </cell>
          <cell r="D30" t="str">
            <v>旭智兴邦有限公司</v>
          </cell>
          <cell r="E30">
            <v>90316.13</v>
          </cell>
        </row>
        <row r="31">
          <cell r="A31" t="str">
            <v>1221.01</v>
          </cell>
          <cell r="B31" t="str">
            <v>　　单位</v>
          </cell>
          <cell r="C31" t="str">
            <v>CU003008</v>
          </cell>
          <cell r="D31" t="str">
            <v>Rising Son Invesments Limited</v>
          </cell>
          <cell r="E31">
            <v>10055</v>
          </cell>
        </row>
        <row r="32">
          <cell r="A32" t="str">
            <v>1221.01</v>
          </cell>
          <cell r="B32" t="str">
            <v>　　单位</v>
          </cell>
          <cell r="C32" t="str">
            <v>CU003009</v>
          </cell>
          <cell r="D32" t="str">
            <v>Sustainable Energy (HK) Investment Holding Ltd</v>
          </cell>
          <cell r="E32">
            <v>10000</v>
          </cell>
        </row>
        <row r="33">
          <cell r="A33" t="str">
            <v>1221.01</v>
          </cell>
          <cell r="B33" t="str">
            <v>　　单位</v>
          </cell>
          <cell r="C33" t="str">
            <v>CU003010</v>
          </cell>
          <cell r="D33" t="str">
            <v>旭智富能新能源（深圳）有限责任公司</v>
          </cell>
          <cell r="E33">
            <v>76419.360000000001</v>
          </cell>
        </row>
        <row r="34">
          <cell r="A34" t="str">
            <v>1221.01</v>
          </cell>
          <cell r="B34" t="str">
            <v>　　单位</v>
          </cell>
          <cell r="C34" t="str">
            <v>CU003011</v>
          </cell>
          <cell r="D34" t="str">
            <v>Manulife Investment Management (Hong Kong )Limited</v>
          </cell>
          <cell r="E34">
            <v>50</v>
          </cell>
        </row>
        <row r="35">
          <cell r="A35" t="str">
            <v>1511</v>
          </cell>
          <cell r="B35" t="str">
            <v>长期股权投资</v>
          </cell>
          <cell r="E35">
            <v>92467303.799999997</v>
          </cell>
        </row>
        <row r="36">
          <cell r="A36" t="str">
            <v>1511.02</v>
          </cell>
          <cell r="B36" t="str">
            <v>　　投资成本</v>
          </cell>
          <cell r="E36">
            <v>92467303.799999997</v>
          </cell>
        </row>
        <row r="37">
          <cell r="A37" t="str">
            <v>1511.02</v>
          </cell>
          <cell r="B37" t="str">
            <v>　　投资成本</v>
          </cell>
          <cell r="C37" t="str">
            <v>004</v>
          </cell>
          <cell r="D37" t="str">
            <v>旭智资本（香港）有限公司</v>
          </cell>
          <cell r="E37">
            <v>89799421</v>
          </cell>
        </row>
        <row r="38">
          <cell r="A38" t="str">
            <v>1511.02</v>
          </cell>
          <cell r="B38" t="str">
            <v>　　投资成本</v>
          </cell>
          <cell r="C38" t="str">
            <v>006</v>
          </cell>
          <cell r="D38" t="str">
            <v>旭智咨询管理（深圳）有限责任公司</v>
          </cell>
          <cell r="E38">
            <v>2657875</v>
          </cell>
        </row>
        <row r="39">
          <cell r="A39" t="str">
            <v>1511.02</v>
          </cell>
          <cell r="B39" t="str">
            <v>　　投资成本</v>
          </cell>
          <cell r="C39" t="str">
            <v>011</v>
          </cell>
          <cell r="D39" t="str">
            <v>旭智资本（开曼）有限公司</v>
          </cell>
          <cell r="E39">
            <v>7.8</v>
          </cell>
        </row>
        <row r="40">
          <cell r="A40" t="str">
            <v>1511.02</v>
          </cell>
          <cell r="B40" t="str">
            <v>　　投资成本</v>
          </cell>
          <cell r="C40" t="str">
            <v>012</v>
          </cell>
          <cell r="D40" t="str">
            <v>旭智兴邦有限公司</v>
          </cell>
          <cell r="E40">
            <v>10000</v>
          </cell>
        </row>
        <row r="41">
          <cell r="A41" t="str">
            <v>1601</v>
          </cell>
          <cell r="B41" t="str">
            <v>固定资产</v>
          </cell>
          <cell r="E41">
            <v>81529</v>
          </cell>
        </row>
        <row r="42">
          <cell r="A42" t="str">
            <v>1601.01</v>
          </cell>
          <cell r="B42" t="str">
            <v>　　电子设备</v>
          </cell>
          <cell r="E42">
            <v>81529</v>
          </cell>
        </row>
        <row r="43">
          <cell r="A43" t="str">
            <v>1602</v>
          </cell>
          <cell r="B43" t="str">
            <v>累计折旧</v>
          </cell>
          <cell r="F43">
            <v>70917.88</v>
          </cell>
          <cell r="H43">
            <v>729.44</v>
          </cell>
        </row>
        <row r="44">
          <cell r="A44" t="str">
            <v>1602.01</v>
          </cell>
          <cell r="B44" t="str">
            <v>　　电子设备</v>
          </cell>
          <cell r="F44">
            <v>70917.88</v>
          </cell>
          <cell r="H44">
            <v>729.44</v>
          </cell>
        </row>
        <row r="45">
          <cell r="A45" t="str">
            <v>1701</v>
          </cell>
          <cell r="B45" t="str">
            <v>无形资产</v>
          </cell>
          <cell r="E45">
            <v>18000000</v>
          </cell>
        </row>
        <row r="46">
          <cell r="A46" t="str">
            <v>1701.02</v>
          </cell>
          <cell r="B46" t="str">
            <v>　　 商业材料许可证</v>
          </cell>
          <cell r="E46">
            <v>18000000</v>
          </cell>
        </row>
        <row r="47">
          <cell r="A47" t="str">
            <v>1702</v>
          </cell>
          <cell r="B47" t="str">
            <v>累计摊销</v>
          </cell>
          <cell r="F47">
            <v>8100000</v>
          </cell>
          <cell r="H47">
            <v>150000</v>
          </cell>
        </row>
        <row r="48">
          <cell r="A48" t="str">
            <v>1702.02</v>
          </cell>
          <cell r="B48" t="str">
            <v>　　  商业材料许可证</v>
          </cell>
          <cell r="F48">
            <v>8100000</v>
          </cell>
          <cell r="H48">
            <v>150000</v>
          </cell>
        </row>
        <row r="49">
          <cell r="A49" t="str">
            <v>2211</v>
          </cell>
          <cell r="B49" t="str">
            <v>应付职工薪酬</v>
          </cell>
          <cell r="F49">
            <v>584406.12</v>
          </cell>
          <cell r="G49">
            <v>15000</v>
          </cell>
          <cell r="H49">
            <v>15000</v>
          </cell>
        </row>
        <row r="50">
          <cell r="A50" t="str">
            <v>2211.02</v>
          </cell>
          <cell r="B50" t="str">
            <v>　　职工奖金</v>
          </cell>
          <cell r="F50">
            <v>453000</v>
          </cell>
        </row>
        <row r="51">
          <cell r="A51" t="str">
            <v>2211.11</v>
          </cell>
          <cell r="B51" t="str">
            <v>　　应付强制性公积金</v>
          </cell>
          <cell r="F51">
            <v>15000</v>
          </cell>
          <cell r="G51">
            <v>15000</v>
          </cell>
          <cell r="H51">
            <v>15000</v>
          </cell>
        </row>
        <row r="52">
          <cell r="A52" t="str">
            <v>2211.12</v>
          </cell>
          <cell r="B52" t="str">
            <v>　　应付长期服务金</v>
          </cell>
          <cell r="F52">
            <v>87433.52</v>
          </cell>
        </row>
        <row r="53">
          <cell r="A53" t="str">
            <v>2211.13</v>
          </cell>
          <cell r="B53" t="str">
            <v>　　未使用假期负债</v>
          </cell>
          <cell r="F53">
            <v>28972.6</v>
          </cell>
        </row>
        <row r="54">
          <cell r="A54" t="str">
            <v>2241</v>
          </cell>
          <cell r="B54" t="str">
            <v>其他应付款</v>
          </cell>
          <cell r="F54">
            <v>2721022.53</v>
          </cell>
          <cell r="G54">
            <v>487366.76</v>
          </cell>
          <cell r="H54">
            <v>3665827.66</v>
          </cell>
        </row>
        <row r="55">
          <cell r="A55" t="str">
            <v>2241.01</v>
          </cell>
          <cell r="B55" t="str">
            <v>　　单位</v>
          </cell>
          <cell r="F55">
            <v>2547722.16</v>
          </cell>
          <cell r="G55">
            <v>445971.5</v>
          </cell>
          <cell r="H55">
            <v>3665827.66</v>
          </cell>
        </row>
        <row r="56">
          <cell r="A56" t="str">
            <v>2241.01</v>
          </cell>
          <cell r="B56" t="str">
            <v>　　单位</v>
          </cell>
          <cell r="C56" t="str">
            <v>SU003011</v>
          </cell>
          <cell r="D56" t="str">
            <v>Tricor Services Limited</v>
          </cell>
          <cell r="F56">
            <v>14736</v>
          </cell>
          <cell r="G56">
            <v>14736</v>
          </cell>
          <cell r="H56">
            <v>14676</v>
          </cell>
        </row>
        <row r="57">
          <cell r="A57" t="str">
            <v>2241.01</v>
          </cell>
          <cell r="B57" t="str">
            <v>　　单位</v>
          </cell>
          <cell r="C57" t="str">
            <v>SU004019</v>
          </cell>
          <cell r="D57" t="str">
            <v>PricewaterhouseCoopers Limited</v>
          </cell>
          <cell r="F57">
            <v>249166.66</v>
          </cell>
          <cell r="H57">
            <v>19166.66</v>
          </cell>
        </row>
        <row r="58">
          <cell r="A58" t="str">
            <v>2241.01</v>
          </cell>
          <cell r="B58" t="str">
            <v>　　单位</v>
          </cell>
          <cell r="C58" t="str">
            <v>SU005045</v>
          </cell>
          <cell r="D58" t="str">
            <v>旭智资本(香港)有限公司</v>
          </cell>
          <cell r="F58">
            <v>2283819.5</v>
          </cell>
          <cell r="G58">
            <v>431235.5</v>
          </cell>
          <cell r="H58">
            <v>3631985</v>
          </cell>
        </row>
        <row r="59">
          <cell r="A59" t="str">
            <v>2241.02</v>
          </cell>
          <cell r="B59" t="str">
            <v>　　个人</v>
          </cell>
          <cell r="F59">
            <v>173300.37</v>
          </cell>
          <cell r="G59">
            <v>41395.26</v>
          </cell>
        </row>
        <row r="60">
          <cell r="A60" t="str">
            <v>2241.02</v>
          </cell>
          <cell r="B60" t="str">
            <v>　　个人</v>
          </cell>
          <cell r="C60" t="str">
            <v>SP003008</v>
          </cell>
          <cell r="D60" t="str">
            <v>卢淑怡</v>
          </cell>
          <cell r="F60">
            <v>10780</v>
          </cell>
          <cell r="G60">
            <v>10780</v>
          </cell>
        </row>
        <row r="61">
          <cell r="A61" t="str">
            <v>2241.02</v>
          </cell>
          <cell r="B61" t="str">
            <v>　　个人</v>
          </cell>
          <cell r="C61" t="str">
            <v>SP003010</v>
          </cell>
          <cell r="D61" t="str">
            <v>员工报销</v>
          </cell>
          <cell r="F61">
            <v>162520.37</v>
          </cell>
          <cell r="G61">
            <v>30615.26</v>
          </cell>
        </row>
        <row r="62">
          <cell r="A62" t="str">
            <v>2304</v>
          </cell>
          <cell r="B62" t="str">
            <v>其他金融工具负债</v>
          </cell>
          <cell r="F62">
            <v>23400000</v>
          </cell>
        </row>
        <row r="63">
          <cell r="A63" t="str">
            <v>2304.01</v>
          </cell>
          <cell r="B63" t="str">
            <v>　　B类优先股</v>
          </cell>
          <cell r="F63">
            <v>23400000</v>
          </cell>
        </row>
        <row r="64">
          <cell r="A64" t="str">
            <v>2304.01</v>
          </cell>
          <cell r="B64" t="str">
            <v>　　B类优先股</v>
          </cell>
          <cell r="C64" t="str">
            <v>QTWL0001</v>
          </cell>
          <cell r="D64" t="str">
            <v>辉朗投资有限公司</v>
          </cell>
          <cell r="F64">
            <v>1755000</v>
          </cell>
        </row>
        <row r="65">
          <cell r="A65" t="str">
            <v>2304.01</v>
          </cell>
          <cell r="B65" t="str">
            <v>　　B类优先股</v>
          </cell>
          <cell r="C65" t="str">
            <v>QTWL0002</v>
          </cell>
          <cell r="D65" t="str">
            <v>Pure Nice Limited</v>
          </cell>
          <cell r="F65">
            <v>1755000</v>
          </cell>
        </row>
        <row r="66">
          <cell r="A66" t="str">
            <v>2304.01</v>
          </cell>
          <cell r="B66" t="str">
            <v>　　B类优先股</v>
          </cell>
          <cell r="C66" t="str">
            <v>QTWL0003</v>
          </cell>
          <cell r="D66" t="str">
            <v>旭铂投资有限公司</v>
          </cell>
          <cell r="F66">
            <v>19305000</v>
          </cell>
        </row>
        <row r="67">
          <cell r="A67" t="str">
            <v>2304.01</v>
          </cell>
          <cell r="B67" t="str">
            <v>　　B类优先股</v>
          </cell>
          <cell r="C67" t="str">
            <v>QTWL0004</v>
          </cell>
          <cell r="D67" t="str">
            <v>智慧基建投资有限公司</v>
          </cell>
          <cell r="F67">
            <v>585000</v>
          </cell>
        </row>
        <row r="68">
          <cell r="A68" t="str">
            <v>4001</v>
          </cell>
          <cell r="B68" t="str">
            <v>实收资本（股本）</v>
          </cell>
          <cell r="F68">
            <v>156720000</v>
          </cell>
        </row>
        <row r="69">
          <cell r="A69" t="str">
            <v>4001.50</v>
          </cell>
          <cell r="B69" t="str">
            <v>　　普通股</v>
          </cell>
          <cell r="F69">
            <v>122917624</v>
          </cell>
        </row>
        <row r="70">
          <cell r="A70" t="str">
            <v>4001.50.01</v>
          </cell>
          <cell r="B70" t="str">
            <v>　　　　威力能源投资有限公司</v>
          </cell>
          <cell r="F70">
            <v>35262000</v>
          </cell>
        </row>
        <row r="71">
          <cell r="A71" t="str">
            <v>4001.50.02</v>
          </cell>
          <cell r="B71" t="str">
            <v>　　　　旭铂投资有限公司</v>
          </cell>
          <cell r="F71">
            <v>60229624</v>
          </cell>
        </row>
        <row r="72">
          <cell r="A72" t="str">
            <v>4001.50.03</v>
          </cell>
          <cell r="B72" t="str">
            <v>　　　　辉朗投资有限公司</v>
          </cell>
          <cell r="F72">
            <v>11754000</v>
          </cell>
        </row>
        <row r="73">
          <cell r="A73" t="str">
            <v>4001.50.04</v>
          </cell>
          <cell r="B73" t="str">
            <v>　　　　智慧基建投资有限公司</v>
          </cell>
          <cell r="F73">
            <v>3918000</v>
          </cell>
        </row>
        <row r="74">
          <cell r="A74" t="str">
            <v>4001.50.05</v>
          </cell>
          <cell r="B74" t="str">
            <v>　　　　Pure Nice Limited</v>
          </cell>
          <cell r="F74">
            <v>11754000</v>
          </cell>
        </row>
        <row r="75">
          <cell r="A75" t="str">
            <v>4001.51</v>
          </cell>
          <cell r="B75" t="str">
            <v>　　优先股</v>
          </cell>
          <cell r="F75">
            <v>33802376</v>
          </cell>
        </row>
        <row r="76">
          <cell r="A76" t="str">
            <v>4001.51.01</v>
          </cell>
          <cell r="B76" t="str">
            <v>　　　　旭铂投资有限公司</v>
          </cell>
          <cell r="F76">
            <v>33802376</v>
          </cell>
        </row>
        <row r="77">
          <cell r="A77" t="str">
            <v>4103</v>
          </cell>
          <cell r="B77" t="str">
            <v>本年利润</v>
          </cell>
          <cell r="F77">
            <v>-664128.69999999995</v>
          </cell>
          <cell r="G77">
            <v>874405.08</v>
          </cell>
          <cell r="H77">
            <v>131235.5</v>
          </cell>
        </row>
        <row r="78">
          <cell r="A78" t="str">
            <v>4104</v>
          </cell>
          <cell r="B78" t="str">
            <v>利润分配</v>
          </cell>
          <cell r="F78">
            <v>-72630693.239999995</v>
          </cell>
        </row>
        <row r="79">
          <cell r="A79" t="str">
            <v>4104.07</v>
          </cell>
          <cell r="B79" t="str">
            <v>　　未分配利润</v>
          </cell>
          <cell r="F79">
            <v>-72630693.239999995</v>
          </cell>
        </row>
        <row r="80">
          <cell r="A80" t="str">
            <v>6115</v>
          </cell>
          <cell r="B80" t="str">
            <v>其他收益</v>
          </cell>
          <cell r="G80">
            <v>131235.5</v>
          </cell>
          <cell r="H80">
            <v>131235.5</v>
          </cell>
        </row>
        <row r="81">
          <cell r="A81" t="str">
            <v>6115.03</v>
          </cell>
          <cell r="B81" t="str">
            <v>　　公司间往来</v>
          </cell>
          <cell r="G81">
            <v>131235.5</v>
          </cell>
          <cell r="H81">
            <v>131235.5</v>
          </cell>
        </row>
        <row r="82">
          <cell r="A82" t="str">
            <v>6602</v>
          </cell>
          <cell r="B82" t="str">
            <v>管理费用</v>
          </cell>
          <cell r="G82">
            <v>860838.25</v>
          </cell>
          <cell r="H82">
            <v>860838.25</v>
          </cell>
        </row>
        <row r="83">
          <cell r="A83" t="str">
            <v>6602.01</v>
          </cell>
          <cell r="B83" t="str">
            <v>　　工资薪金</v>
          </cell>
          <cell r="G83">
            <v>525500</v>
          </cell>
          <cell r="H83">
            <v>525500</v>
          </cell>
        </row>
        <row r="84">
          <cell r="A84" t="str">
            <v>6602.01.01</v>
          </cell>
          <cell r="B84" t="str">
            <v>　　　　基本工资（专业）</v>
          </cell>
          <cell r="G84">
            <v>241000</v>
          </cell>
          <cell r="H84">
            <v>241000</v>
          </cell>
        </row>
        <row r="85">
          <cell r="A85" t="str">
            <v>6602.01.08</v>
          </cell>
          <cell r="B85" t="str">
            <v>　　　　基本工资（管理）</v>
          </cell>
          <cell r="G85">
            <v>284500</v>
          </cell>
          <cell r="H85">
            <v>284500</v>
          </cell>
        </row>
        <row r="86">
          <cell r="A86" t="str">
            <v>6602.02</v>
          </cell>
          <cell r="B86" t="str">
            <v>　　职工福利</v>
          </cell>
          <cell r="G86">
            <v>5695.45</v>
          </cell>
          <cell r="H86">
            <v>5695.45</v>
          </cell>
        </row>
        <row r="87">
          <cell r="A87" t="str">
            <v>6602.02.02</v>
          </cell>
          <cell r="B87" t="str">
            <v>　　　　团建活动</v>
          </cell>
          <cell r="G87">
            <v>5695.45</v>
          </cell>
          <cell r="H87">
            <v>5695.45</v>
          </cell>
        </row>
        <row r="88">
          <cell r="A88" t="str">
            <v>6602.03</v>
          </cell>
          <cell r="B88" t="str">
            <v>　　社保公积金</v>
          </cell>
          <cell r="G88">
            <v>27344.28</v>
          </cell>
          <cell r="H88">
            <v>27344.28</v>
          </cell>
        </row>
        <row r="89">
          <cell r="A89" t="str">
            <v>6602.03.01</v>
          </cell>
          <cell r="B89" t="str">
            <v>　　　　员工社保福利</v>
          </cell>
          <cell r="G89">
            <v>19844.28</v>
          </cell>
          <cell r="H89">
            <v>19844.28</v>
          </cell>
        </row>
        <row r="90">
          <cell r="A90" t="str">
            <v>6602.03.03</v>
          </cell>
          <cell r="B90" t="str">
            <v>　　　　员工强制性公积金福利</v>
          </cell>
          <cell r="G90">
            <v>7500</v>
          </cell>
          <cell r="H90">
            <v>7500</v>
          </cell>
        </row>
        <row r="91">
          <cell r="A91" t="str">
            <v>6602.04</v>
          </cell>
          <cell r="B91" t="str">
            <v>　　咨询及专业服务费</v>
          </cell>
          <cell r="G91">
            <v>33666.660000000003</v>
          </cell>
          <cell r="H91">
            <v>33666.660000000003</v>
          </cell>
        </row>
        <row r="92">
          <cell r="A92" t="str">
            <v>6602.04.01</v>
          </cell>
          <cell r="B92" t="str">
            <v>　　　　会计服务费</v>
          </cell>
          <cell r="G92">
            <v>12000</v>
          </cell>
          <cell r="H92">
            <v>12000</v>
          </cell>
        </row>
        <row r="93">
          <cell r="A93" t="str">
            <v>6602.04.02</v>
          </cell>
          <cell r="B93" t="str">
            <v>　　　　审计服务费</v>
          </cell>
          <cell r="G93">
            <v>19166.66</v>
          </cell>
          <cell r="H93">
            <v>19166.66</v>
          </cell>
        </row>
        <row r="94">
          <cell r="A94" t="str">
            <v>6602.04.07</v>
          </cell>
          <cell r="B94" t="str">
            <v>　　　　人力资源服务费</v>
          </cell>
          <cell r="G94">
            <v>2500</v>
          </cell>
          <cell r="H94">
            <v>2500</v>
          </cell>
        </row>
        <row r="95">
          <cell r="A95" t="str">
            <v>6602.05</v>
          </cell>
          <cell r="B95" t="str">
            <v>　　占用费</v>
          </cell>
          <cell r="G95">
            <v>61050</v>
          </cell>
          <cell r="H95">
            <v>61050</v>
          </cell>
        </row>
        <row r="96">
          <cell r="A96" t="str">
            <v>6602.05.08</v>
          </cell>
          <cell r="B96" t="str">
            <v>　　　　集团内分摊</v>
          </cell>
          <cell r="G96">
            <v>61050</v>
          </cell>
          <cell r="H96">
            <v>61050</v>
          </cell>
        </row>
        <row r="97">
          <cell r="A97" t="str">
            <v>6602.06</v>
          </cell>
          <cell r="B97" t="str">
            <v>　　业务招待费</v>
          </cell>
          <cell r="G97">
            <v>-481.03</v>
          </cell>
          <cell r="H97">
            <v>-481.03</v>
          </cell>
        </row>
        <row r="98">
          <cell r="A98" t="str">
            <v>6602.06</v>
          </cell>
          <cell r="B98" t="str">
            <v>　　业务招待费</v>
          </cell>
          <cell r="C98" t="str">
            <v>CI009</v>
          </cell>
          <cell r="D98" t="str">
            <v>旭智资本</v>
          </cell>
          <cell r="G98">
            <v>-481.03</v>
          </cell>
          <cell r="H98">
            <v>-481.03</v>
          </cell>
        </row>
        <row r="99">
          <cell r="A99" t="str">
            <v>6602.08</v>
          </cell>
          <cell r="B99" t="str">
            <v>　　事务费用</v>
          </cell>
          <cell r="G99">
            <v>4923.41</v>
          </cell>
          <cell r="H99">
            <v>4923.41</v>
          </cell>
        </row>
        <row r="100">
          <cell r="A100" t="str">
            <v>6602.08.01</v>
          </cell>
          <cell r="B100" t="str">
            <v>　　　　通信费</v>
          </cell>
          <cell r="G100">
            <v>1205.8900000000001</v>
          </cell>
          <cell r="H100">
            <v>1205.8900000000001</v>
          </cell>
        </row>
        <row r="101">
          <cell r="A101" t="str">
            <v>6602.08.01</v>
          </cell>
          <cell r="B101" t="str">
            <v>　　　　通信费</v>
          </cell>
          <cell r="C101" t="str">
            <v>CI009</v>
          </cell>
          <cell r="D101" t="str">
            <v>旭智资本</v>
          </cell>
          <cell r="G101">
            <v>1205.8900000000001</v>
          </cell>
          <cell r="H101">
            <v>1205.8900000000001</v>
          </cell>
        </row>
        <row r="102">
          <cell r="A102" t="str">
            <v>6602.08.03</v>
          </cell>
          <cell r="B102" t="str">
            <v>　　　　办公用品</v>
          </cell>
          <cell r="G102">
            <v>57</v>
          </cell>
          <cell r="H102">
            <v>57</v>
          </cell>
        </row>
        <row r="103">
          <cell r="A103" t="str">
            <v>6602.08.03</v>
          </cell>
          <cell r="B103" t="str">
            <v>　　　　办公用品</v>
          </cell>
          <cell r="C103" t="str">
            <v>CI009</v>
          </cell>
          <cell r="D103" t="str">
            <v>旭智资本</v>
          </cell>
          <cell r="G103">
            <v>57</v>
          </cell>
          <cell r="H103">
            <v>57</v>
          </cell>
        </row>
        <row r="104">
          <cell r="A104" t="str">
            <v>6602.08.04</v>
          </cell>
          <cell r="B104" t="str">
            <v>　　　　事务保金</v>
          </cell>
          <cell r="G104">
            <v>370.13</v>
          </cell>
          <cell r="H104">
            <v>370.13</v>
          </cell>
        </row>
        <row r="105">
          <cell r="A105" t="str">
            <v>6602.08.04</v>
          </cell>
          <cell r="B105" t="str">
            <v>　　　　事务保金</v>
          </cell>
          <cell r="C105" t="str">
            <v>CI009</v>
          </cell>
          <cell r="D105" t="str">
            <v>旭智资本</v>
          </cell>
          <cell r="G105">
            <v>370.13</v>
          </cell>
          <cell r="H105">
            <v>370.13</v>
          </cell>
        </row>
        <row r="106">
          <cell r="A106" t="str">
            <v>6602.08.05</v>
          </cell>
          <cell r="B106" t="str">
            <v>　　　　邮费/邮递费</v>
          </cell>
          <cell r="G106">
            <v>583</v>
          </cell>
          <cell r="H106">
            <v>583</v>
          </cell>
        </row>
        <row r="107">
          <cell r="A107" t="str">
            <v>6602.08.05</v>
          </cell>
          <cell r="B107" t="str">
            <v>　　　　邮费/邮递费</v>
          </cell>
          <cell r="C107" t="str">
            <v>CI009</v>
          </cell>
          <cell r="D107" t="str">
            <v>旭智资本</v>
          </cell>
          <cell r="G107">
            <v>583</v>
          </cell>
          <cell r="H107">
            <v>583</v>
          </cell>
        </row>
        <row r="108">
          <cell r="A108" t="str">
            <v>6602.08.07</v>
          </cell>
          <cell r="B108" t="str">
            <v>　　　　软件许可证费用</v>
          </cell>
          <cell r="G108">
            <v>2359.39</v>
          </cell>
          <cell r="H108">
            <v>2359.39</v>
          </cell>
        </row>
        <row r="109">
          <cell r="A109" t="str">
            <v>6602.08.07</v>
          </cell>
          <cell r="B109" t="str">
            <v>　　　　软件许可证费用</v>
          </cell>
          <cell r="C109" t="str">
            <v>CI009</v>
          </cell>
          <cell r="D109" t="str">
            <v>旭智资本</v>
          </cell>
          <cell r="G109">
            <v>2359.39</v>
          </cell>
          <cell r="H109">
            <v>2359.39</v>
          </cell>
        </row>
        <row r="110">
          <cell r="A110" t="str">
            <v>6602.08.10</v>
          </cell>
          <cell r="B110" t="str">
            <v>　　　　电话国际直拨/电话会议收费</v>
          </cell>
          <cell r="G110">
            <v>348</v>
          </cell>
          <cell r="H110">
            <v>348</v>
          </cell>
        </row>
        <row r="111">
          <cell r="A111" t="str">
            <v>6602.08.10</v>
          </cell>
          <cell r="B111" t="str">
            <v>　　　　电话国际直拨/电话会议收费</v>
          </cell>
          <cell r="C111" t="str">
            <v>CI009</v>
          </cell>
          <cell r="D111" t="str">
            <v>旭智资本</v>
          </cell>
          <cell r="G111">
            <v>348</v>
          </cell>
          <cell r="H111">
            <v>348</v>
          </cell>
        </row>
        <row r="112">
          <cell r="A112" t="str">
            <v>6602.09</v>
          </cell>
          <cell r="B112" t="str">
            <v>　　差旅费</v>
          </cell>
          <cell r="G112">
            <v>37962.699999999997</v>
          </cell>
          <cell r="H112">
            <v>37962.699999999997</v>
          </cell>
        </row>
        <row r="113">
          <cell r="A113" t="str">
            <v>6602.09.04</v>
          </cell>
          <cell r="B113" t="str">
            <v>　　　　空中交通费</v>
          </cell>
          <cell r="G113">
            <v>30052.14</v>
          </cell>
          <cell r="H113">
            <v>30052.14</v>
          </cell>
        </row>
        <row r="114">
          <cell r="A114" t="str">
            <v>6602.09.04</v>
          </cell>
          <cell r="B114" t="str">
            <v>　　　　空中交通费</v>
          </cell>
          <cell r="C114" t="str">
            <v>CI009</v>
          </cell>
          <cell r="D114" t="str">
            <v>旭智资本</v>
          </cell>
          <cell r="G114">
            <v>30052.14</v>
          </cell>
          <cell r="H114">
            <v>30052.14</v>
          </cell>
        </row>
        <row r="115">
          <cell r="A115" t="str">
            <v>6602.09.99</v>
          </cell>
          <cell r="B115" t="str">
            <v>　　　　其他</v>
          </cell>
          <cell r="G115">
            <v>7910.56</v>
          </cell>
          <cell r="H115">
            <v>7910.56</v>
          </cell>
        </row>
        <row r="116">
          <cell r="A116" t="str">
            <v>6602.09.99</v>
          </cell>
          <cell r="B116" t="str">
            <v>　　　　其他</v>
          </cell>
          <cell r="C116" t="str">
            <v>CI009</v>
          </cell>
          <cell r="D116" t="str">
            <v>旭智资本</v>
          </cell>
          <cell r="G116">
            <v>7910.56</v>
          </cell>
          <cell r="H116">
            <v>7910.56</v>
          </cell>
        </row>
        <row r="117">
          <cell r="A117" t="str">
            <v>6602.10</v>
          </cell>
          <cell r="B117" t="str">
            <v>　　折旧费</v>
          </cell>
          <cell r="G117">
            <v>729.44</v>
          </cell>
          <cell r="H117">
            <v>729.44</v>
          </cell>
        </row>
        <row r="118">
          <cell r="A118" t="str">
            <v>6602.10.01</v>
          </cell>
          <cell r="B118" t="str">
            <v>　　　　电子设备</v>
          </cell>
          <cell r="G118">
            <v>729.44</v>
          </cell>
          <cell r="H118">
            <v>729.44</v>
          </cell>
        </row>
        <row r="119">
          <cell r="A119" t="str">
            <v>6602.19</v>
          </cell>
          <cell r="B119" t="str">
            <v>　　会费（公司）</v>
          </cell>
          <cell r="G119">
            <v>7180</v>
          </cell>
          <cell r="H119">
            <v>7180</v>
          </cell>
        </row>
        <row r="120">
          <cell r="A120" t="str">
            <v>6602.21</v>
          </cell>
          <cell r="B120" t="str">
            <v>　　公司秘书费</v>
          </cell>
          <cell r="G120">
            <v>1135.3399999999999</v>
          </cell>
          <cell r="H120">
            <v>1135.3399999999999</v>
          </cell>
        </row>
        <row r="121">
          <cell r="A121" t="str">
            <v>6602.23</v>
          </cell>
          <cell r="B121" t="str">
            <v>　　无形资产摊销</v>
          </cell>
          <cell r="G121">
            <v>150000</v>
          </cell>
          <cell r="H121">
            <v>150000</v>
          </cell>
        </row>
        <row r="122">
          <cell r="A122" t="str">
            <v>6602.99</v>
          </cell>
          <cell r="B122" t="str">
            <v>　　其他</v>
          </cell>
          <cell r="G122">
            <v>6132</v>
          </cell>
          <cell r="H122">
            <v>6132</v>
          </cell>
        </row>
        <row r="123">
          <cell r="A123" t="str">
            <v>6603</v>
          </cell>
          <cell r="B123" t="str">
            <v>财务费用</v>
          </cell>
          <cell r="G123">
            <v>13566.83</v>
          </cell>
          <cell r="H123">
            <v>13566.83</v>
          </cell>
        </row>
        <row r="124">
          <cell r="A124" t="str">
            <v>6603.01</v>
          </cell>
          <cell r="B124" t="str">
            <v>　　汇兑损益</v>
          </cell>
          <cell r="G124">
            <v>13448.95</v>
          </cell>
          <cell r="H124">
            <v>13448.95</v>
          </cell>
        </row>
        <row r="125">
          <cell r="A125" t="str">
            <v>6603.03</v>
          </cell>
          <cell r="B125" t="str">
            <v>　　银行手续费</v>
          </cell>
          <cell r="G125">
            <v>651.6</v>
          </cell>
          <cell r="H125">
            <v>651.6</v>
          </cell>
        </row>
        <row r="126">
          <cell r="A126" t="str">
            <v>6603.04</v>
          </cell>
          <cell r="B126" t="str">
            <v>　　利息收入</v>
          </cell>
          <cell r="G126">
            <v>-533.72</v>
          </cell>
          <cell r="H126">
            <v>-533.72</v>
          </cell>
        </row>
        <row r="127">
          <cell r="B127" t="str">
            <v>合计</v>
          </cell>
          <cell r="E127">
            <v>118301524.59</v>
          </cell>
          <cell r="F127">
            <v>118301524.59</v>
          </cell>
          <cell r="G127">
            <v>16271437.15</v>
          </cell>
          <cell r="H127">
            <v>16271437.15</v>
          </cell>
        </row>
      </sheetData>
      <sheetData sheetId="2">
        <row r="1">
          <cell r="A1" t="str">
            <v>币别:香港元</v>
          </cell>
          <cell r="B1" t="str">
            <v>账簿:旭智资本有限公司</v>
          </cell>
          <cell r="C1" t="str">
            <v>期间:2025.3 -- 2025.3</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119697.97</v>
          </cell>
          <cell r="G4">
            <v>1016179.2</v>
          </cell>
          <cell r="H4">
            <v>1036308.21</v>
          </cell>
        </row>
        <row r="5">
          <cell r="A5" t="str">
            <v>1002.01</v>
          </cell>
          <cell r="B5" t="str">
            <v>　　【旭智资本】银行存款账户</v>
          </cell>
          <cell r="E5">
            <v>119697.97</v>
          </cell>
          <cell r="G5">
            <v>1016179.2</v>
          </cell>
          <cell r="H5">
            <v>1036308.21</v>
          </cell>
        </row>
        <row r="6">
          <cell r="A6" t="str">
            <v>1002.01.01</v>
          </cell>
          <cell r="B6" t="str">
            <v>　　　　汇丰银行-741-282-503-838</v>
          </cell>
          <cell r="E6">
            <v>119697.97</v>
          </cell>
          <cell r="G6">
            <v>1016179.2</v>
          </cell>
          <cell r="H6">
            <v>1036308.21</v>
          </cell>
        </row>
        <row r="7">
          <cell r="A7" t="str">
            <v>1002.01.01.01</v>
          </cell>
          <cell r="B7" t="str">
            <v>　　　　　　【旭智资本】汇丰港元储蓄账户 3838</v>
          </cell>
          <cell r="E7">
            <v>103532.46</v>
          </cell>
          <cell r="G7">
            <v>1000007.92</v>
          </cell>
          <cell r="H7">
            <v>1020142.7</v>
          </cell>
        </row>
        <row r="8">
          <cell r="A8" t="str">
            <v>1002.01.01.03</v>
          </cell>
          <cell r="B8" t="str">
            <v>　　　　　　【旭智资本】汇丰外币储蓄账户 - 人民币 3838</v>
          </cell>
          <cell r="E8">
            <v>859.49</v>
          </cell>
          <cell r="G8">
            <v>862.31</v>
          </cell>
          <cell r="H8">
            <v>859.49</v>
          </cell>
        </row>
        <row r="9">
          <cell r="A9" t="str">
            <v>1002.01.01.04</v>
          </cell>
          <cell r="B9" t="str">
            <v>　　　　　　【旭智资本】汇丰外币储蓄账户 - 美元 3838</v>
          </cell>
          <cell r="E9">
            <v>15306.02</v>
          </cell>
          <cell r="G9">
            <v>15308.97</v>
          </cell>
          <cell r="H9">
            <v>15306.02</v>
          </cell>
        </row>
        <row r="10">
          <cell r="A10" t="str">
            <v>1002.01.01.05</v>
          </cell>
          <cell r="B10" t="str">
            <v>　　　　　　【旭智资本】汇丰港元定期存款</v>
          </cell>
        </row>
        <row r="11">
          <cell r="A11" t="str">
            <v>1002.01.01.06</v>
          </cell>
          <cell r="B11" t="str">
            <v>　　　　　　【旭智资本】汇丰人民币定期存款</v>
          </cell>
        </row>
        <row r="12">
          <cell r="A12" t="str">
            <v>1123</v>
          </cell>
          <cell r="B12" t="str">
            <v>预付账款</v>
          </cell>
          <cell r="E12">
            <v>5484793.8700000001</v>
          </cell>
          <cell r="H12">
            <v>24493.9</v>
          </cell>
        </row>
        <row r="13">
          <cell r="A13" t="str">
            <v>1123.01</v>
          </cell>
          <cell r="B13" t="str">
            <v>　　单位</v>
          </cell>
          <cell r="E13">
            <v>43348.87</v>
          </cell>
          <cell r="H13">
            <v>24493.9</v>
          </cell>
        </row>
        <row r="14">
          <cell r="A14" t="str">
            <v>1123.01</v>
          </cell>
          <cell r="B14" t="str">
            <v>　　单位</v>
          </cell>
          <cell r="C14" t="str">
            <v>SU003001</v>
          </cell>
          <cell r="D14" t="str">
            <v>Boardroom Corporate Services (HK) Limited</v>
          </cell>
          <cell r="E14">
            <v>12407.67</v>
          </cell>
          <cell r="H14">
            <v>1256.99</v>
          </cell>
        </row>
        <row r="15">
          <cell r="A15" t="str">
            <v>1123.01</v>
          </cell>
          <cell r="B15" t="str">
            <v>　　单位</v>
          </cell>
          <cell r="C15" t="str">
            <v>SU003003</v>
          </cell>
          <cell r="D15" t="str">
            <v>SUN HING INSURANCE BROKERS LTD.</v>
          </cell>
          <cell r="E15">
            <v>23252.67</v>
          </cell>
          <cell r="H15">
            <v>22380.240000000002</v>
          </cell>
        </row>
        <row r="16">
          <cell r="A16" t="str">
            <v>1123.01</v>
          </cell>
          <cell r="B16" t="str">
            <v>　　单位</v>
          </cell>
          <cell r="C16" t="str">
            <v>SU003024</v>
          </cell>
          <cell r="D16" t="str">
            <v>SiteGround Hosting Ltd</v>
          </cell>
          <cell r="E16">
            <v>1837.33</v>
          </cell>
          <cell r="H16">
            <v>242.37</v>
          </cell>
        </row>
        <row r="17">
          <cell r="A17" t="str">
            <v>1123.01</v>
          </cell>
          <cell r="B17" t="str">
            <v>　　单位</v>
          </cell>
          <cell r="C17" t="str">
            <v>SU003025</v>
          </cell>
          <cell r="D17" t="str">
            <v>Godaddy.Com,LLC</v>
          </cell>
          <cell r="E17">
            <v>746.4</v>
          </cell>
          <cell r="H17">
            <v>39.49</v>
          </cell>
        </row>
        <row r="18">
          <cell r="A18" t="str">
            <v>1123.01</v>
          </cell>
          <cell r="B18" t="str">
            <v>　　单位</v>
          </cell>
          <cell r="C18" t="str">
            <v>SU004011</v>
          </cell>
          <cell r="D18" t="str">
            <v>Master Concept (Hong Kong) Limited</v>
          </cell>
          <cell r="E18">
            <v>4765.41</v>
          </cell>
          <cell r="H18">
            <v>574.80999999999995</v>
          </cell>
        </row>
        <row r="19">
          <cell r="A19" t="str">
            <v>1123.01</v>
          </cell>
          <cell r="B19" t="str">
            <v>　　单位</v>
          </cell>
          <cell r="C19" t="str">
            <v>SU011002</v>
          </cell>
          <cell r="D19" t="str">
            <v>TMF (Cayman) Ltd.</v>
          </cell>
          <cell r="E19">
            <v>339.39</v>
          </cell>
        </row>
        <row r="20">
          <cell r="A20" t="str">
            <v>1123.02</v>
          </cell>
          <cell r="B20" t="str">
            <v>　　个人</v>
          </cell>
          <cell r="E20">
            <v>5441445</v>
          </cell>
        </row>
        <row r="21">
          <cell r="A21" t="str">
            <v>1123.02</v>
          </cell>
          <cell r="B21" t="str">
            <v>　　个人</v>
          </cell>
          <cell r="C21" t="str">
            <v>SP005001</v>
          </cell>
          <cell r="D21" t="str">
            <v>冯冠邦</v>
          </cell>
          <cell r="E21">
            <v>5441445</v>
          </cell>
        </row>
        <row r="22">
          <cell r="A22" t="str">
            <v>1132</v>
          </cell>
          <cell r="B22" t="str">
            <v>应收利息</v>
          </cell>
        </row>
        <row r="23">
          <cell r="A23" t="str">
            <v>1132</v>
          </cell>
          <cell r="B23" t="str">
            <v>应收利息</v>
          </cell>
          <cell r="C23" t="str">
            <v>OU004001</v>
          </cell>
          <cell r="D23" t="str">
            <v>香港上海汇丰银行有限公司</v>
          </cell>
        </row>
        <row r="24">
          <cell r="A24" t="str">
            <v>1221</v>
          </cell>
          <cell r="B24" t="str">
            <v>其他应收款</v>
          </cell>
          <cell r="E24">
            <v>4734220.71</v>
          </cell>
          <cell r="G24">
            <v>13153.61</v>
          </cell>
          <cell r="H24">
            <v>123.15</v>
          </cell>
        </row>
        <row r="25">
          <cell r="A25" t="str">
            <v>1221.01</v>
          </cell>
          <cell r="B25" t="str">
            <v>　　单位</v>
          </cell>
          <cell r="E25">
            <v>4734220.71</v>
          </cell>
          <cell r="G25">
            <v>13153.61</v>
          </cell>
          <cell r="H25">
            <v>123.15</v>
          </cell>
        </row>
        <row r="26">
          <cell r="A26" t="str">
            <v>1221.01</v>
          </cell>
          <cell r="B26" t="str">
            <v>　　单位</v>
          </cell>
          <cell r="C26" t="str">
            <v>CU003003</v>
          </cell>
          <cell r="D26" t="str">
            <v>旭智资本（开曼）有限公司</v>
          </cell>
          <cell r="E26">
            <v>940184.83</v>
          </cell>
        </row>
        <row r="27">
          <cell r="A27" t="str">
            <v>1221.01</v>
          </cell>
          <cell r="B27" t="str">
            <v>　　单位</v>
          </cell>
          <cell r="C27" t="str">
            <v>CU003004</v>
          </cell>
          <cell r="D27" t="str">
            <v>广州旭智投资控股有限责任公司</v>
          </cell>
          <cell r="E27">
            <v>686446.43</v>
          </cell>
          <cell r="G27">
            <v>139.65</v>
          </cell>
          <cell r="H27">
            <v>123.15</v>
          </cell>
        </row>
        <row r="28">
          <cell r="A28" t="str">
            <v>1221.01</v>
          </cell>
          <cell r="B28" t="str">
            <v>　　单位</v>
          </cell>
          <cell r="C28" t="str">
            <v>CU003005</v>
          </cell>
          <cell r="D28" t="str">
            <v>Albamen Cayman Fund II</v>
          </cell>
          <cell r="E28">
            <v>2848350.13</v>
          </cell>
        </row>
        <row r="29">
          <cell r="A29" t="str">
            <v>1221.01</v>
          </cell>
          <cell r="B29" t="str">
            <v>　　单位</v>
          </cell>
          <cell r="C29" t="str">
            <v>CU003006</v>
          </cell>
          <cell r="D29" t="str">
            <v>旭智咨询管理(深圳)有限责任公司</v>
          </cell>
          <cell r="E29">
            <v>72398.83</v>
          </cell>
          <cell r="G29">
            <v>13.96</v>
          </cell>
        </row>
        <row r="30">
          <cell r="A30" t="str">
            <v>1221.01</v>
          </cell>
          <cell r="B30" t="str">
            <v>　　单位</v>
          </cell>
          <cell r="C30" t="str">
            <v>CU003007</v>
          </cell>
          <cell r="D30" t="str">
            <v>旭智兴邦有限公司</v>
          </cell>
          <cell r="E30">
            <v>90316.13</v>
          </cell>
          <cell r="G30">
            <v>13000</v>
          </cell>
        </row>
        <row r="31">
          <cell r="A31" t="str">
            <v>1221.01</v>
          </cell>
          <cell r="B31" t="str">
            <v>　　单位</v>
          </cell>
          <cell r="C31" t="str">
            <v>CU003008</v>
          </cell>
          <cell r="D31" t="str">
            <v>Rising Son Invesments Limited</v>
          </cell>
          <cell r="E31">
            <v>10055</v>
          </cell>
        </row>
        <row r="32">
          <cell r="A32" t="str">
            <v>1221.01</v>
          </cell>
          <cell r="B32" t="str">
            <v>　　单位</v>
          </cell>
          <cell r="C32" t="str">
            <v>CU003009</v>
          </cell>
          <cell r="D32" t="str">
            <v>Sustainable Energy (HK) Investment Holding Ltd</v>
          </cell>
          <cell r="E32">
            <v>10000</v>
          </cell>
        </row>
        <row r="33">
          <cell r="A33" t="str">
            <v>1221.01</v>
          </cell>
          <cell r="B33" t="str">
            <v>　　单位</v>
          </cell>
          <cell r="C33" t="str">
            <v>CU003010</v>
          </cell>
          <cell r="D33" t="str">
            <v>旭智富能新能源（深圳）有限责任公司</v>
          </cell>
          <cell r="E33">
            <v>76419.360000000001</v>
          </cell>
        </row>
        <row r="34">
          <cell r="A34" t="str">
            <v>1221.01</v>
          </cell>
          <cell r="B34" t="str">
            <v>　　单位</v>
          </cell>
          <cell r="C34" t="str">
            <v>CU003011</v>
          </cell>
          <cell r="D34" t="str">
            <v>Manulife Investment Management (Hong Kong )Limited</v>
          </cell>
          <cell r="E34">
            <v>50</v>
          </cell>
        </row>
        <row r="35">
          <cell r="A35" t="str">
            <v>1511</v>
          </cell>
          <cell r="B35" t="str">
            <v>长期股权投资</v>
          </cell>
          <cell r="E35">
            <v>92467303.799999997</v>
          </cell>
        </row>
        <row r="36">
          <cell r="A36" t="str">
            <v>1511.02</v>
          </cell>
          <cell r="B36" t="str">
            <v>　　投资成本</v>
          </cell>
          <cell r="E36">
            <v>92467303.799999997</v>
          </cell>
        </row>
        <row r="37">
          <cell r="A37" t="str">
            <v>1511.02</v>
          </cell>
          <cell r="B37" t="str">
            <v>　　投资成本</v>
          </cell>
          <cell r="C37" t="str">
            <v>004</v>
          </cell>
          <cell r="D37" t="str">
            <v>旭智资本（香港）有限公司</v>
          </cell>
          <cell r="E37">
            <v>89799421</v>
          </cell>
        </row>
        <row r="38">
          <cell r="A38" t="str">
            <v>1511.02</v>
          </cell>
          <cell r="B38" t="str">
            <v>　　投资成本</v>
          </cell>
          <cell r="C38" t="str">
            <v>006</v>
          </cell>
          <cell r="D38" t="str">
            <v>旭智咨询管理（深圳）有限责任公司</v>
          </cell>
          <cell r="E38">
            <v>2657875</v>
          </cell>
        </row>
        <row r="39">
          <cell r="A39" t="str">
            <v>1511.02</v>
          </cell>
          <cell r="B39" t="str">
            <v>　　投资成本</v>
          </cell>
          <cell r="C39" t="str">
            <v>011</v>
          </cell>
          <cell r="D39" t="str">
            <v>旭智资本（开曼）有限公司</v>
          </cell>
          <cell r="E39">
            <v>7.8</v>
          </cell>
        </row>
        <row r="40">
          <cell r="A40" t="str">
            <v>1511.02</v>
          </cell>
          <cell r="B40" t="str">
            <v>　　投资成本</v>
          </cell>
          <cell r="C40" t="str">
            <v>012</v>
          </cell>
          <cell r="D40" t="str">
            <v>旭智兴邦有限公司</v>
          </cell>
          <cell r="E40">
            <v>10000</v>
          </cell>
        </row>
        <row r="41">
          <cell r="A41" t="str">
            <v>1601</v>
          </cell>
          <cell r="B41" t="str">
            <v>固定资产</v>
          </cell>
          <cell r="E41">
            <v>81529</v>
          </cell>
        </row>
        <row r="42">
          <cell r="A42" t="str">
            <v>1601.01</v>
          </cell>
          <cell r="B42" t="str">
            <v>　　电子设备</v>
          </cell>
          <cell r="E42">
            <v>81529</v>
          </cell>
        </row>
        <row r="43">
          <cell r="A43" t="str">
            <v>1602</v>
          </cell>
          <cell r="B43" t="str">
            <v>累计折旧</v>
          </cell>
          <cell r="F43">
            <v>71647.320000000007</v>
          </cell>
          <cell r="H43">
            <v>299.44</v>
          </cell>
        </row>
        <row r="44">
          <cell r="A44" t="str">
            <v>1602.01</v>
          </cell>
          <cell r="B44" t="str">
            <v>　　电子设备</v>
          </cell>
          <cell r="F44">
            <v>71647.320000000007</v>
          </cell>
          <cell r="H44">
            <v>299.44</v>
          </cell>
        </row>
        <row r="45">
          <cell r="A45" t="str">
            <v>1701</v>
          </cell>
          <cell r="B45" t="str">
            <v>无形资产</v>
          </cell>
          <cell r="E45">
            <v>18000000</v>
          </cell>
        </row>
        <row r="46">
          <cell r="A46" t="str">
            <v>1701.02</v>
          </cell>
          <cell r="B46" t="str">
            <v>　　 商业材料许可证</v>
          </cell>
          <cell r="E46">
            <v>18000000</v>
          </cell>
        </row>
        <row r="47">
          <cell r="A47" t="str">
            <v>1702</v>
          </cell>
          <cell r="B47" t="str">
            <v>累计摊销</v>
          </cell>
          <cell r="F47">
            <v>8250000</v>
          </cell>
          <cell r="H47">
            <v>150000</v>
          </cell>
        </row>
        <row r="48">
          <cell r="A48" t="str">
            <v>1702.02</v>
          </cell>
          <cell r="B48" t="str">
            <v>　　  商业材料许可证</v>
          </cell>
          <cell r="F48">
            <v>8250000</v>
          </cell>
          <cell r="H48">
            <v>150000</v>
          </cell>
        </row>
        <row r="49">
          <cell r="A49" t="str">
            <v>2211</v>
          </cell>
          <cell r="B49" t="str">
            <v>应付职工薪酬</v>
          </cell>
          <cell r="F49">
            <v>584406.12</v>
          </cell>
          <cell r="G49">
            <v>496972.6</v>
          </cell>
          <cell r="H49">
            <v>15000</v>
          </cell>
        </row>
        <row r="50">
          <cell r="A50" t="str">
            <v>2211.02</v>
          </cell>
          <cell r="B50" t="str">
            <v>　　职工奖金</v>
          </cell>
          <cell r="F50">
            <v>453000</v>
          </cell>
          <cell r="G50">
            <v>453000</v>
          </cell>
        </row>
        <row r="51">
          <cell r="A51" t="str">
            <v>2211.11</v>
          </cell>
          <cell r="B51" t="str">
            <v>　　应付强制性公积金</v>
          </cell>
          <cell r="F51">
            <v>15000</v>
          </cell>
          <cell r="G51">
            <v>15000</v>
          </cell>
          <cell r="H51">
            <v>15000</v>
          </cell>
        </row>
        <row r="52">
          <cell r="A52" t="str">
            <v>2211.12</v>
          </cell>
          <cell r="B52" t="str">
            <v>　　应付长期服务金</v>
          </cell>
          <cell r="F52">
            <v>87433.52</v>
          </cell>
        </row>
        <row r="53">
          <cell r="A53" t="str">
            <v>2211.13</v>
          </cell>
          <cell r="B53" t="str">
            <v>　　未使用假期负债</v>
          </cell>
          <cell r="F53">
            <v>28972.6</v>
          </cell>
          <cell r="G53">
            <v>28972.6</v>
          </cell>
        </row>
        <row r="54">
          <cell r="A54" t="str">
            <v>2241</v>
          </cell>
          <cell r="B54" t="str">
            <v>其他应付款</v>
          </cell>
          <cell r="F54">
            <v>5899483.4299999997</v>
          </cell>
          <cell r="G54">
            <v>206235.5</v>
          </cell>
          <cell r="H54">
            <v>1094916.6599999999</v>
          </cell>
        </row>
        <row r="55">
          <cell r="A55" t="str">
            <v>2241.01</v>
          </cell>
          <cell r="B55" t="str">
            <v>　　单位</v>
          </cell>
          <cell r="F55">
            <v>5767578.3200000003</v>
          </cell>
          <cell r="G55">
            <v>206235.5</v>
          </cell>
          <cell r="H55">
            <v>1094916.6599999999</v>
          </cell>
        </row>
        <row r="56">
          <cell r="A56" t="str">
            <v>2241.01</v>
          </cell>
          <cell r="B56" t="str">
            <v>　　单位</v>
          </cell>
          <cell r="C56" t="str">
            <v>SU003011</v>
          </cell>
          <cell r="D56" t="str">
            <v>Tricor Services Limited</v>
          </cell>
          <cell r="F56">
            <v>14676</v>
          </cell>
          <cell r="H56">
            <v>14700</v>
          </cell>
        </row>
        <row r="57">
          <cell r="A57" t="str">
            <v>2241.01</v>
          </cell>
          <cell r="B57" t="str">
            <v>　　单位</v>
          </cell>
          <cell r="C57" t="str">
            <v>SU004019</v>
          </cell>
          <cell r="D57" t="str">
            <v>PricewaterhouseCoopers Limited</v>
          </cell>
          <cell r="F57">
            <v>268333.32</v>
          </cell>
          <cell r="H57">
            <v>19166.66</v>
          </cell>
        </row>
        <row r="58">
          <cell r="A58" t="str">
            <v>2241.01</v>
          </cell>
          <cell r="B58" t="str">
            <v>　　单位</v>
          </cell>
          <cell r="C58" t="str">
            <v>SU005045</v>
          </cell>
          <cell r="D58" t="str">
            <v>旭智资本(香港)有限公司</v>
          </cell>
          <cell r="F58">
            <v>5484569</v>
          </cell>
          <cell r="G58">
            <v>206235.5</v>
          </cell>
          <cell r="H58">
            <v>1061050</v>
          </cell>
        </row>
        <row r="59">
          <cell r="A59" t="str">
            <v>2241.02</v>
          </cell>
          <cell r="B59" t="str">
            <v>　　个人</v>
          </cell>
          <cell r="F59">
            <v>131905.10999999999</v>
          </cell>
        </row>
        <row r="60">
          <cell r="A60" t="str">
            <v>2241.02</v>
          </cell>
          <cell r="B60" t="str">
            <v>　　个人</v>
          </cell>
          <cell r="C60" t="str">
            <v>SP003008</v>
          </cell>
          <cell r="D60" t="str">
            <v>卢淑怡</v>
          </cell>
        </row>
        <row r="61">
          <cell r="A61" t="str">
            <v>2241.02</v>
          </cell>
          <cell r="B61" t="str">
            <v>　　个人</v>
          </cell>
          <cell r="C61" t="str">
            <v>SP003010</v>
          </cell>
          <cell r="D61" t="str">
            <v>员工报销</v>
          </cell>
          <cell r="F61">
            <v>131905.10999999999</v>
          </cell>
        </row>
        <row r="62">
          <cell r="A62" t="str">
            <v>2304</v>
          </cell>
          <cell r="B62" t="str">
            <v>其他金融工具负债</v>
          </cell>
          <cell r="F62">
            <v>23400000</v>
          </cell>
        </row>
        <row r="63">
          <cell r="A63" t="str">
            <v>2304.01</v>
          </cell>
          <cell r="B63" t="str">
            <v>　　B类优先股</v>
          </cell>
          <cell r="F63">
            <v>23400000</v>
          </cell>
        </row>
        <row r="64">
          <cell r="A64" t="str">
            <v>2304.01</v>
          </cell>
          <cell r="B64" t="str">
            <v>　　B类优先股</v>
          </cell>
          <cell r="C64" t="str">
            <v>QTWL0001</v>
          </cell>
          <cell r="D64" t="str">
            <v>辉朗投资有限公司</v>
          </cell>
          <cell r="F64">
            <v>1755000</v>
          </cell>
        </row>
        <row r="65">
          <cell r="A65" t="str">
            <v>2304.01</v>
          </cell>
          <cell r="B65" t="str">
            <v>　　B类优先股</v>
          </cell>
          <cell r="C65" t="str">
            <v>QTWL0002</v>
          </cell>
          <cell r="D65" t="str">
            <v>Pure Nice Limited</v>
          </cell>
          <cell r="F65">
            <v>1755000</v>
          </cell>
        </row>
        <row r="66">
          <cell r="A66" t="str">
            <v>2304.01</v>
          </cell>
          <cell r="B66" t="str">
            <v>　　B类优先股</v>
          </cell>
          <cell r="C66" t="str">
            <v>QTWL0003</v>
          </cell>
          <cell r="D66" t="str">
            <v>旭铂投资有限公司</v>
          </cell>
          <cell r="F66">
            <v>19305000</v>
          </cell>
        </row>
        <row r="67">
          <cell r="A67" t="str">
            <v>2304.01</v>
          </cell>
          <cell r="B67" t="str">
            <v>　　B类优先股</v>
          </cell>
          <cell r="C67" t="str">
            <v>QTWL0004</v>
          </cell>
          <cell r="D67" t="str">
            <v>智慧基建投资有限公司</v>
          </cell>
          <cell r="F67">
            <v>585000</v>
          </cell>
        </row>
        <row r="68">
          <cell r="A68" t="str">
            <v>4001</v>
          </cell>
          <cell r="B68" t="str">
            <v>实收资本（股本）</v>
          </cell>
          <cell r="F68">
            <v>156720000</v>
          </cell>
        </row>
        <row r="69">
          <cell r="A69" t="str">
            <v>4001.50</v>
          </cell>
          <cell r="B69" t="str">
            <v>　　普通股</v>
          </cell>
          <cell r="F69">
            <v>122917624</v>
          </cell>
        </row>
        <row r="70">
          <cell r="A70" t="str">
            <v>4001.50.01</v>
          </cell>
          <cell r="B70" t="str">
            <v>　　　　威力能源投资有限公司</v>
          </cell>
          <cell r="F70">
            <v>35262000</v>
          </cell>
        </row>
        <row r="71">
          <cell r="A71" t="str">
            <v>4001.50.02</v>
          </cell>
          <cell r="B71" t="str">
            <v>　　　　旭铂投资有限公司</v>
          </cell>
          <cell r="F71">
            <v>60229624</v>
          </cell>
        </row>
        <row r="72">
          <cell r="A72" t="str">
            <v>4001.50.03</v>
          </cell>
          <cell r="B72" t="str">
            <v>　　　　辉朗投资有限公司</v>
          </cell>
          <cell r="F72">
            <v>11754000</v>
          </cell>
        </row>
        <row r="73">
          <cell r="A73" t="str">
            <v>4001.50.04</v>
          </cell>
          <cell r="B73" t="str">
            <v>　　　　智慧基建投资有限公司</v>
          </cell>
          <cell r="F73">
            <v>3918000</v>
          </cell>
        </row>
        <row r="74">
          <cell r="A74" t="str">
            <v>4001.50.05</v>
          </cell>
          <cell r="B74" t="str">
            <v>　　　　Pure Nice Limited</v>
          </cell>
          <cell r="F74">
            <v>11754000</v>
          </cell>
        </row>
        <row r="75">
          <cell r="A75" t="str">
            <v>4001.51</v>
          </cell>
          <cell r="B75" t="str">
            <v>　　优先股</v>
          </cell>
          <cell r="F75">
            <v>33802376</v>
          </cell>
        </row>
        <row r="76">
          <cell r="A76" t="str">
            <v>4001.51.01</v>
          </cell>
          <cell r="B76" t="str">
            <v>　　　　旭铂投资有限公司</v>
          </cell>
          <cell r="F76">
            <v>33802376</v>
          </cell>
        </row>
        <row r="77">
          <cell r="A77" t="str">
            <v>4103</v>
          </cell>
          <cell r="B77" t="str">
            <v>本年利润</v>
          </cell>
          <cell r="F77">
            <v>-1407298.28</v>
          </cell>
          <cell r="G77">
            <v>794835.95</v>
          </cell>
          <cell r="H77">
            <v>206235.5</v>
          </cell>
        </row>
        <row r="78">
          <cell r="A78" t="str">
            <v>4104</v>
          </cell>
          <cell r="B78" t="str">
            <v>利润分配</v>
          </cell>
          <cell r="F78">
            <v>-72630693.239999995</v>
          </cell>
        </row>
        <row r="79">
          <cell r="A79" t="str">
            <v>4104.07</v>
          </cell>
          <cell r="B79" t="str">
            <v>　　未分配利润</v>
          </cell>
          <cell r="F79">
            <v>-72630693.239999995</v>
          </cell>
        </row>
        <row r="80">
          <cell r="A80" t="str">
            <v>6115</v>
          </cell>
          <cell r="B80" t="str">
            <v>其他收益</v>
          </cell>
          <cell r="G80">
            <v>206235.5</v>
          </cell>
          <cell r="H80">
            <v>206235.5</v>
          </cell>
        </row>
        <row r="81">
          <cell r="A81" t="str">
            <v>6115.03</v>
          </cell>
          <cell r="B81" t="str">
            <v>　　公司间往来</v>
          </cell>
          <cell r="G81">
            <v>206235.5</v>
          </cell>
          <cell r="H81">
            <v>206235.5</v>
          </cell>
        </row>
        <row r="82">
          <cell r="A82" t="str">
            <v>6602</v>
          </cell>
          <cell r="B82" t="str">
            <v>管理费用</v>
          </cell>
          <cell r="G82">
            <v>794869.6</v>
          </cell>
          <cell r="H82">
            <v>794869.6</v>
          </cell>
        </row>
        <row r="83">
          <cell r="A83" t="str">
            <v>6602.01</v>
          </cell>
          <cell r="B83" t="str">
            <v>　　工资薪金</v>
          </cell>
          <cell r="G83">
            <v>496527.4</v>
          </cell>
          <cell r="H83">
            <v>496527.4</v>
          </cell>
        </row>
        <row r="84">
          <cell r="A84" t="str">
            <v>6602.01.01</v>
          </cell>
          <cell r="B84" t="str">
            <v>　　　　基本工资（专业）</v>
          </cell>
          <cell r="G84">
            <v>241000</v>
          </cell>
          <cell r="H84">
            <v>241000</v>
          </cell>
        </row>
        <row r="85">
          <cell r="A85" t="str">
            <v>6602.01.05</v>
          </cell>
          <cell r="B85" t="str">
            <v>　　　　员工假期</v>
          </cell>
          <cell r="G85">
            <v>-28972.6</v>
          </cell>
          <cell r="H85">
            <v>-28972.6</v>
          </cell>
        </row>
        <row r="86">
          <cell r="A86" t="str">
            <v>6602.01.08</v>
          </cell>
          <cell r="B86" t="str">
            <v>　　　　基本工资（管理）</v>
          </cell>
          <cell r="G86">
            <v>284500</v>
          </cell>
          <cell r="H86">
            <v>284500</v>
          </cell>
        </row>
        <row r="87">
          <cell r="A87" t="str">
            <v>6602.02</v>
          </cell>
          <cell r="B87" t="str">
            <v>　　职工福利</v>
          </cell>
          <cell r="G87">
            <v>736.89</v>
          </cell>
          <cell r="H87">
            <v>736.89</v>
          </cell>
        </row>
        <row r="88">
          <cell r="A88" t="str">
            <v>6602.02.02</v>
          </cell>
          <cell r="B88" t="str">
            <v>　　　　团建活动</v>
          </cell>
          <cell r="G88">
            <v>736.89</v>
          </cell>
          <cell r="H88">
            <v>736.89</v>
          </cell>
        </row>
        <row r="89">
          <cell r="A89" t="str">
            <v>6602.03</v>
          </cell>
          <cell r="B89" t="str">
            <v>　　社保公积金</v>
          </cell>
          <cell r="G89">
            <v>29470.46</v>
          </cell>
          <cell r="H89">
            <v>29470.46</v>
          </cell>
        </row>
        <row r="90">
          <cell r="A90" t="str">
            <v>6602.03.01</v>
          </cell>
          <cell r="B90" t="str">
            <v>　　　　员工社保福利</v>
          </cell>
          <cell r="G90">
            <v>21970.46</v>
          </cell>
          <cell r="H90">
            <v>21970.46</v>
          </cell>
        </row>
        <row r="91">
          <cell r="A91" t="str">
            <v>6602.03.03</v>
          </cell>
          <cell r="B91" t="str">
            <v>　　　　员工强制性公积金福利</v>
          </cell>
          <cell r="G91">
            <v>7500</v>
          </cell>
          <cell r="H91">
            <v>7500</v>
          </cell>
        </row>
        <row r="92">
          <cell r="A92" t="str">
            <v>6602.04</v>
          </cell>
          <cell r="B92" t="str">
            <v>　　咨询及专业服务费</v>
          </cell>
          <cell r="G92">
            <v>33666.660000000003</v>
          </cell>
          <cell r="H92">
            <v>33666.660000000003</v>
          </cell>
        </row>
        <row r="93">
          <cell r="A93" t="str">
            <v>6602.04.01</v>
          </cell>
          <cell r="B93" t="str">
            <v>　　　　会计服务费</v>
          </cell>
          <cell r="G93">
            <v>12000</v>
          </cell>
          <cell r="H93">
            <v>12000</v>
          </cell>
        </row>
        <row r="94">
          <cell r="A94" t="str">
            <v>6602.04.02</v>
          </cell>
          <cell r="B94" t="str">
            <v>　　　　审计服务费</v>
          </cell>
          <cell r="G94">
            <v>19166.66</v>
          </cell>
          <cell r="H94">
            <v>19166.66</v>
          </cell>
        </row>
        <row r="95">
          <cell r="A95" t="str">
            <v>6602.04.07</v>
          </cell>
          <cell r="B95" t="str">
            <v>　　　　人力资源服务费</v>
          </cell>
          <cell r="G95">
            <v>2500</v>
          </cell>
          <cell r="H95">
            <v>2500</v>
          </cell>
        </row>
        <row r="96">
          <cell r="A96" t="str">
            <v>6602.05</v>
          </cell>
          <cell r="B96" t="str">
            <v>　　占用费</v>
          </cell>
          <cell r="G96">
            <v>61050</v>
          </cell>
          <cell r="H96">
            <v>61050</v>
          </cell>
        </row>
        <row r="97">
          <cell r="A97" t="str">
            <v>6602.05.08</v>
          </cell>
          <cell r="B97" t="str">
            <v>　　　　集团内分摊</v>
          </cell>
          <cell r="G97">
            <v>61050</v>
          </cell>
          <cell r="H97">
            <v>61050</v>
          </cell>
        </row>
        <row r="98">
          <cell r="A98" t="str">
            <v>6602.06</v>
          </cell>
          <cell r="B98" t="str">
            <v>　　业务招待费</v>
          </cell>
          <cell r="G98">
            <v>2408.5700000000002</v>
          </cell>
          <cell r="H98">
            <v>2408.5700000000002</v>
          </cell>
        </row>
        <row r="99">
          <cell r="A99" t="str">
            <v>6602.06</v>
          </cell>
          <cell r="B99" t="str">
            <v>　　业务招待费</v>
          </cell>
          <cell r="C99" t="str">
            <v>CI009</v>
          </cell>
          <cell r="D99" t="str">
            <v>旭智资本</v>
          </cell>
          <cell r="G99">
            <v>2408.5700000000002</v>
          </cell>
          <cell r="H99">
            <v>2408.5700000000002</v>
          </cell>
        </row>
        <row r="100">
          <cell r="A100" t="str">
            <v>6602.08</v>
          </cell>
          <cell r="B100" t="str">
            <v>　　事务费用</v>
          </cell>
          <cell r="G100">
            <v>6286.35</v>
          </cell>
          <cell r="H100">
            <v>6286.35</v>
          </cell>
        </row>
        <row r="101">
          <cell r="A101" t="str">
            <v>6602.08.01</v>
          </cell>
          <cell r="B101" t="str">
            <v>　　　　通信费</v>
          </cell>
          <cell r="G101">
            <v>1724</v>
          </cell>
          <cell r="H101">
            <v>1724</v>
          </cell>
        </row>
        <row r="102">
          <cell r="A102" t="str">
            <v>6602.08.01</v>
          </cell>
          <cell r="B102" t="str">
            <v>　　　　通信费</v>
          </cell>
          <cell r="C102" t="str">
            <v>CI009</v>
          </cell>
          <cell r="D102" t="str">
            <v>旭智资本</v>
          </cell>
          <cell r="G102">
            <v>1724</v>
          </cell>
          <cell r="H102">
            <v>1724</v>
          </cell>
        </row>
        <row r="103">
          <cell r="A103" t="str">
            <v>6602.08.03</v>
          </cell>
          <cell r="B103" t="str">
            <v>　　　　办公用品</v>
          </cell>
          <cell r="G103">
            <v>2021.9</v>
          </cell>
          <cell r="H103">
            <v>2021.9</v>
          </cell>
        </row>
        <row r="104">
          <cell r="A104" t="str">
            <v>6602.08.03</v>
          </cell>
          <cell r="B104" t="str">
            <v>　　　　办公用品</v>
          </cell>
          <cell r="C104" t="str">
            <v>CI009</v>
          </cell>
          <cell r="D104" t="str">
            <v>旭智资本</v>
          </cell>
          <cell r="G104">
            <v>2021.9</v>
          </cell>
          <cell r="H104">
            <v>2021.9</v>
          </cell>
        </row>
        <row r="105">
          <cell r="A105" t="str">
            <v>6602.08.04</v>
          </cell>
          <cell r="B105" t="str">
            <v>　　　　事务保金</v>
          </cell>
          <cell r="G105">
            <v>409.78</v>
          </cell>
          <cell r="H105">
            <v>409.78</v>
          </cell>
        </row>
        <row r="106">
          <cell r="A106" t="str">
            <v>6602.08.04</v>
          </cell>
          <cell r="B106" t="str">
            <v>　　　　事务保金</v>
          </cell>
          <cell r="C106" t="str">
            <v>CI009</v>
          </cell>
          <cell r="D106" t="str">
            <v>旭智资本</v>
          </cell>
          <cell r="G106">
            <v>409.78</v>
          </cell>
          <cell r="H106">
            <v>409.78</v>
          </cell>
        </row>
        <row r="107">
          <cell r="A107" t="str">
            <v>6602.08.05</v>
          </cell>
          <cell r="B107" t="str">
            <v>　　　　邮费/邮递费</v>
          </cell>
          <cell r="G107">
            <v>848</v>
          </cell>
          <cell r="H107">
            <v>848</v>
          </cell>
        </row>
        <row r="108">
          <cell r="A108" t="str">
            <v>6602.08.05</v>
          </cell>
          <cell r="B108" t="str">
            <v>　　　　邮费/邮递费</v>
          </cell>
          <cell r="C108" t="str">
            <v>CI009</v>
          </cell>
          <cell r="D108" t="str">
            <v>旭智资本</v>
          </cell>
          <cell r="G108">
            <v>848</v>
          </cell>
          <cell r="H108">
            <v>848</v>
          </cell>
        </row>
        <row r="109">
          <cell r="A109" t="str">
            <v>6602.08.07</v>
          </cell>
          <cell r="B109" t="str">
            <v>　　　　软件许可证费用</v>
          </cell>
          <cell r="G109">
            <v>934.67</v>
          </cell>
          <cell r="H109">
            <v>934.67</v>
          </cell>
        </row>
        <row r="110">
          <cell r="A110" t="str">
            <v>6602.08.07</v>
          </cell>
          <cell r="B110" t="str">
            <v>　　　　软件许可证费用</v>
          </cell>
          <cell r="C110" t="str">
            <v>CI009</v>
          </cell>
          <cell r="D110" t="str">
            <v>旭智资本</v>
          </cell>
          <cell r="G110">
            <v>934.67</v>
          </cell>
          <cell r="H110">
            <v>934.67</v>
          </cell>
        </row>
        <row r="111">
          <cell r="A111" t="str">
            <v>6602.08.10</v>
          </cell>
          <cell r="B111" t="str">
            <v>　　　　电话国际直拨/电话会议收费</v>
          </cell>
          <cell r="G111">
            <v>348</v>
          </cell>
          <cell r="H111">
            <v>348</v>
          </cell>
        </row>
        <row r="112">
          <cell r="A112" t="str">
            <v>6602.08.10</v>
          </cell>
          <cell r="B112" t="str">
            <v>　　　　电话国际直拨/电话会议收费</v>
          </cell>
          <cell r="C112" t="str">
            <v>CI009</v>
          </cell>
          <cell r="D112" t="str">
            <v>旭智资本</v>
          </cell>
          <cell r="G112">
            <v>348</v>
          </cell>
          <cell r="H112">
            <v>348</v>
          </cell>
        </row>
        <row r="113">
          <cell r="A113" t="str">
            <v>6602.09</v>
          </cell>
          <cell r="B113" t="str">
            <v>　　差旅费</v>
          </cell>
          <cell r="G113">
            <v>3937.17</v>
          </cell>
          <cell r="H113">
            <v>3937.17</v>
          </cell>
        </row>
        <row r="114">
          <cell r="A114" t="str">
            <v>6602.09.04</v>
          </cell>
          <cell r="B114" t="str">
            <v>　　　　空中交通费</v>
          </cell>
        </row>
        <row r="115">
          <cell r="A115" t="str">
            <v>6602.09.04</v>
          </cell>
          <cell r="B115" t="str">
            <v>　　　　空中交通费</v>
          </cell>
          <cell r="C115" t="str">
            <v>CI009</v>
          </cell>
          <cell r="D115" t="str">
            <v>旭智资本</v>
          </cell>
        </row>
        <row r="116">
          <cell r="A116" t="str">
            <v>6602.09.99</v>
          </cell>
          <cell r="B116" t="str">
            <v>　　　　其他</v>
          </cell>
          <cell r="G116">
            <v>3937.17</v>
          </cell>
          <cell r="H116">
            <v>3937.17</v>
          </cell>
        </row>
        <row r="117">
          <cell r="A117" t="str">
            <v>6602.09.99</v>
          </cell>
          <cell r="B117" t="str">
            <v>　　　　其他</v>
          </cell>
          <cell r="C117" t="str">
            <v>CI009</v>
          </cell>
          <cell r="D117" t="str">
            <v>旭智资本</v>
          </cell>
          <cell r="G117">
            <v>3937.17</v>
          </cell>
          <cell r="H117">
            <v>3937.17</v>
          </cell>
        </row>
        <row r="118">
          <cell r="A118" t="str">
            <v>6602.10</v>
          </cell>
          <cell r="B118" t="str">
            <v>　　折旧费</v>
          </cell>
          <cell r="G118">
            <v>299.44</v>
          </cell>
          <cell r="H118">
            <v>299.44</v>
          </cell>
        </row>
        <row r="119">
          <cell r="A119" t="str">
            <v>6602.10.01</v>
          </cell>
          <cell r="B119" t="str">
            <v>　　　　电子设备</v>
          </cell>
          <cell r="G119">
            <v>299.44</v>
          </cell>
          <cell r="H119">
            <v>299.44</v>
          </cell>
        </row>
        <row r="120">
          <cell r="A120" t="str">
            <v>6602.15</v>
          </cell>
          <cell r="B120" t="str">
            <v>　　服务费</v>
          </cell>
          <cell r="G120">
            <v>4800</v>
          </cell>
          <cell r="H120">
            <v>4800</v>
          </cell>
        </row>
        <row r="121">
          <cell r="A121" t="str">
            <v>6602.19</v>
          </cell>
          <cell r="B121" t="str">
            <v>　　会费（公司）</v>
          </cell>
        </row>
        <row r="122">
          <cell r="A122" t="str">
            <v>6602.21</v>
          </cell>
          <cell r="B122" t="str">
            <v>　　公司秘书费</v>
          </cell>
          <cell r="G122">
            <v>1256.99</v>
          </cell>
          <cell r="H122">
            <v>1256.99</v>
          </cell>
        </row>
        <row r="123">
          <cell r="A123" t="str">
            <v>6602.23</v>
          </cell>
          <cell r="B123" t="str">
            <v>　　无形资产摊销</v>
          </cell>
          <cell r="G123">
            <v>150000</v>
          </cell>
          <cell r="H123">
            <v>150000</v>
          </cell>
        </row>
        <row r="124">
          <cell r="A124" t="str">
            <v>6602.99</v>
          </cell>
          <cell r="B124" t="str">
            <v>　　其他</v>
          </cell>
          <cell r="G124">
            <v>4429.67</v>
          </cell>
          <cell r="H124">
            <v>4429.67</v>
          </cell>
        </row>
        <row r="125">
          <cell r="A125" t="str">
            <v>6603</v>
          </cell>
          <cell r="B125" t="str">
            <v>财务费用</v>
          </cell>
          <cell r="G125">
            <v>-33.65</v>
          </cell>
          <cell r="H125">
            <v>-33.65</v>
          </cell>
        </row>
        <row r="126">
          <cell r="A126" t="str">
            <v>6603.01</v>
          </cell>
          <cell r="B126" t="str">
            <v>　　汇兑损益</v>
          </cell>
          <cell r="G126">
            <v>-36.229999999999997</v>
          </cell>
          <cell r="H126">
            <v>-36.229999999999997</v>
          </cell>
        </row>
        <row r="127">
          <cell r="A127" t="str">
            <v>6603.03</v>
          </cell>
          <cell r="B127" t="str">
            <v>　　银行手续费</v>
          </cell>
          <cell r="G127">
            <v>10.5</v>
          </cell>
          <cell r="H127">
            <v>10.5</v>
          </cell>
        </row>
        <row r="128">
          <cell r="A128" t="str">
            <v>6603.04</v>
          </cell>
          <cell r="B128" t="str">
            <v>　　利息收入</v>
          </cell>
          <cell r="G128">
            <v>-7.92</v>
          </cell>
          <cell r="H128">
            <v>-7.92</v>
          </cell>
        </row>
        <row r="129">
          <cell r="B129" t="str">
            <v>合计</v>
          </cell>
          <cell r="E129">
            <v>120887545.34999999</v>
          </cell>
          <cell r="F129">
            <v>120887545.34999999</v>
          </cell>
          <cell r="G129">
            <v>3528448.31</v>
          </cell>
          <cell r="H129">
            <v>3528448.31</v>
          </cell>
        </row>
      </sheetData>
      <sheetData sheetId="3">
        <row r="1">
          <cell r="A1" t="str">
            <v>币别:香港元</v>
          </cell>
          <cell r="B1" t="str">
            <v>账簿:旭智资本有限公司</v>
          </cell>
          <cell r="C1" t="str">
            <v>期间:2025.4 -- 2025.4</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99568.960000000006</v>
          </cell>
          <cell r="G4">
            <v>766139.9</v>
          </cell>
          <cell r="H4">
            <v>787537.42</v>
          </cell>
        </row>
        <row r="5">
          <cell r="A5" t="str">
            <v>1002.01</v>
          </cell>
          <cell r="B5" t="str">
            <v>　　【旭智资本】银行存款账户</v>
          </cell>
          <cell r="E5">
            <v>99568.960000000006</v>
          </cell>
          <cell r="G5">
            <v>766139.9</v>
          </cell>
          <cell r="H5">
            <v>787537.42</v>
          </cell>
        </row>
        <row r="6">
          <cell r="A6" t="str">
            <v>1002.01.01</v>
          </cell>
          <cell r="B6" t="str">
            <v>　　　　汇丰银行-741-282-503-838</v>
          </cell>
          <cell r="E6">
            <v>99568.960000000006</v>
          </cell>
          <cell r="G6">
            <v>766139.9</v>
          </cell>
          <cell r="H6">
            <v>787537.42</v>
          </cell>
        </row>
        <row r="7">
          <cell r="A7" t="str">
            <v>1002.01.01.01</v>
          </cell>
          <cell r="B7" t="str">
            <v>　　　　　　【旭智资本】汇丰港元储蓄账户 3838</v>
          </cell>
          <cell r="E7">
            <v>83397.679999999993</v>
          </cell>
          <cell r="G7">
            <v>750008.84</v>
          </cell>
          <cell r="H7">
            <v>771366.14</v>
          </cell>
        </row>
        <row r="8">
          <cell r="A8" t="str">
            <v>1002.01.01.03</v>
          </cell>
          <cell r="B8" t="str">
            <v>　　　　　　【旭智资本】汇丰外币储蓄账户 - 人民币 3838</v>
          </cell>
          <cell r="E8">
            <v>862.31</v>
          </cell>
          <cell r="G8">
            <v>859.49</v>
          </cell>
          <cell r="H8">
            <v>862.31</v>
          </cell>
        </row>
        <row r="9">
          <cell r="A9" t="str">
            <v>1002.01.01.04</v>
          </cell>
          <cell r="B9" t="str">
            <v>　　　　　　【旭智资本】汇丰外币储蓄账户 - 美元 3838</v>
          </cell>
          <cell r="E9">
            <v>15308.97</v>
          </cell>
          <cell r="G9">
            <v>15271.57</v>
          </cell>
          <cell r="H9">
            <v>15308.97</v>
          </cell>
        </row>
        <row r="10">
          <cell r="A10" t="str">
            <v>1002.01.01.05</v>
          </cell>
          <cell r="B10" t="str">
            <v>　　　　　　【旭智资本】汇丰港元定期存款</v>
          </cell>
        </row>
        <row r="11">
          <cell r="A11" t="str">
            <v>1002.01.01.06</v>
          </cell>
          <cell r="B11" t="str">
            <v>　　　　　　【旭智资本】汇丰人民币定期存款</v>
          </cell>
        </row>
        <row r="12">
          <cell r="A12" t="str">
            <v>1123</v>
          </cell>
          <cell r="B12" t="str">
            <v>预付账款</v>
          </cell>
          <cell r="E12">
            <v>5460299.9699999997</v>
          </cell>
          <cell r="G12">
            <v>268335.98</v>
          </cell>
          <cell r="H12">
            <v>2442.0300000000002</v>
          </cell>
        </row>
        <row r="13">
          <cell r="A13" t="str">
            <v>1123.01</v>
          </cell>
          <cell r="B13" t="str">
            <v>　　单位</v>
          </cell>
          <cell r="E13">
            <v>18854.97</v>
          </cell>
          <cell r="G13">
            <v>268335.98</v>
          </cell>
          <cell r="H13">
            <v>2442.0300000000002</v>
          </cell>
        </row>
        <row r="14">
          <cell r="A14" t="str">
            <v>1123.01</v>
          </cell>
          <cell r="B14" t="str">
            <v>　　单位</v>
          </cell>
          <cell r="C14" t="str">
            <v>SU003001</v>
          </cell>
          <cell r="D14" t="str">
            <v>Boardroom Corporate Services (HK) Limited</v>
          </cell>
          <cell r="E14">
            <v>11150.68</v>
          </cell>
          <cell r="H14">
            <v>1216.43</v>
          </cell>
        </row>
        <row r="15">
          <cell r="A15" t="str">
            <v>1123.01</v>
          </cell>
          <cell r="B15" t="str">
            <v>　　单位</v>
          </cell>
          <cell r="C15" t="str">
            <v>SU003003</v>
          </cell>
          <cell r="D15" t="str">
            <v>SUN HING INSURANCE BROKERS LTD.</v>
          </cell>
          <cell r="E15">
            <v>872.43</v>
          </cell>
          <cell r="G15">
            <v>268335.98</v>
          </cell>
          <cell r="H15">
            <v>396.56</v>
          </cell>
        </row>
        <row r="16">
          <cell r="A16" t="str">
            <v>1123.01</v>
          </cell>
          <cell r="B16" t="str">
            <v>　　单位</v>
          </cell>
          <cell r="C16" t="str">
            <v>SU003024</v>
          </cell>
          <cell r="D16" t="str">
            <v>SiteGround Hosting Ltd</v>
          </cell>
          <cell r="E16">
            <v>1594.96</v>
          </cell>
          <cell r="H16">
            <v>234.55</v>
          </cell>
        </row>
        <row r="17">
          <cell r="A17" t="str">
            <v>1123.01</v>
          </cell>
          <cell r="B17" t="str">
            <v>　　单位</v>
          </cell>
          <cell r="C17" t="str">
            <v>SU003025</v>
          </cell>
          <cell r="D17" t="str">
            <v>Godaddy.Com,LLC</v>
          </cell>
          <cell r="E17">
            <v>706.91</v>
          </cell>
          <cell r="H17">
            <v>38.21</v>
          </cell>
        </row>
        <row r="18">
          <cell r="A18" t="str">
            <v>1123.01</v>
          </cell>
          <cell r="B18" t="str">
            <v>　　单位</v>
          </cell>
          <cell r="C18" t="str">
            <v>SU004011</v>
          </cell>
          <cell r="D18" t="str">
            <v>Master Concept (Hong Kong) Limited</v>
          </cell>
          <cell r="E18">
            <v>4190.6000000000004</v>
          </cell>
          <cell r="H18">
            <v>556.28</v>
          </cell>
        </row>
        <row r="19">
          <cell r="A19" t="str">
            <v>1123.01</v>
          </cell>
          <cell r="B19" t="str">
            <v>　　单位</v>
          </cell>
          <cell r="C19" t="str">
            <v>SU011002</v>
          </cell>
          <cell r="D19" t="str">
            <v>TMF (Cayman) Ltd.</v>
          </cell>
          <cell r="E19">
            <v>339.39</v>
          </cell>
        </row>
        <row r="20">
          <cell r="A20" t="str">
            <v>1123.02</v>
          </cell>
          <cell r="B20" t="str">
            <v>　　个人</v>
          </cell>
          <cell r="E20">
            <v>5441445</v>
          </cell>
        </row>
        <row r="21">
          <cell r="A21" t="str">
            <v>1123.02</v>
          </cell>
          <cell r="B21" t="str">
            <v>　　个人</v>
          </cell>
          <cell r="C21" t="str">
            <v>SP005001</v>
          </cell>
          <cell r="D21" t="str">
            <v>冯冠邦</v>
          </cell>
          <cell r="E21">
            <v>5441445</v>
          </cell>
        </row>
        <row r="22">
          <cell r="A22" t="str">
            <v>1132</v>
          </cell>
          <cell r="B22" t="str">
            <v>应收利息</v>
          </cell>
        </row>
        <row r="23">
          <cell r="A23" t="str">
            <v>1132</v>
          </cell>
          <cell r="B23" t="str">
            <v>应收利息</v>
          </cell>
          <cell r="C23" t="str">
            <v>OU004001</v>
          </cell>
          <cell r="D23" t="str">
            <v>香港上海汇丰银行有限公司</v>
          </cell>
        </row>
        <row r="24">
          <cell r="A24" t="str">
            <v>1221</v>
          </cell>
          <cell r="B24" t="str">
            <v>其他应收款</v>
          </cell>
          <cell r="E24">
            <v>4747251.17</v>
          </cell>
          <cell r="G24">
            <v>123.15</v>
          </cell>
          <cell r="H24">
            <v>1945.78</v>
          </cell>
        </row>
        <row r="25">
          <cell r="A25" t="str">
            <v>1221.01</v>
          </cell>
          <cell r="B25" t="str">
            <v>　　单位</v>
          </cell>
          <cell r="E25">
            <v>4747251.17</v>
          </cell>
          <cell r="G25">
            <v>123.15</v>
          </cell>
          <cell r="H25">
            <v>1945.78</v>
          </cell>
        </row>
        <row r="26">
          <cell r="A26" t="str">
            <v>1221.01</v>
          </cell>
          <cell r="B26" t="str">
            <v>　　单位</v>
          </cell>
          <cell r="C26" t="str">
            <v>CU003003</v>
          </cell>
          <cell r="D26" t="str">
            <v>旭智资本（开曼）有限公司</v>
          </cell>
          <cell r="E26">
            <v>940184.83</v>
          </cell>
        </row>
        <row r="27">
          <cell r="A27" t="str">
            <v>1221.01</v>
          </cell>
          <cell r="B27" t="str">
            <v>　　单位</v>
          </cell>
          <cell r="C27" t="str">
            <v>CU003004</v>
          </cell>
          <cell r="D27" t="str">
            <v>广州旭智投资控股有限责任公司</v>
          </cell>
          <cell r="E27">
            <v>686462.93</v>
          </cell>
          <cell r="G27">
            <v>123.15</v>
          </cell>
          <cell r="H27">
            <v>1768.89</v>
          </cell>
        </row>
        <row r="28">
          <cell r="A28" t="str">
            <v>1221.01</v>
          </cell>
          <cell r="B28" t="str">
            <v>　　单位</v>
          </cell>
          <cell r="C28" t="str">
            <v>CU003005</v>
          </cell>
          <cell r="D28" t="str">
            <v>Albamen Cayman Fund II</v>
          </cell>
          <cell r="E28">
            <v>2848350.13</v>
          </cell>
        </row>
        <row r="29">
          <cell r="A29" t="str">
            <v>1221.01</v>
          </cell>
          <cell r="B29" t="str">
            <v>　　单位</v>
          </cell>
          <cell r="C29" t="str">
            <v>CU003006</v>
          </cell>
          <cell r="D29" t="str">
            <v>旭智咨询管理(深圳)有限责任公司</v>
          </cell>
          <cell r="E29">
            <v>72412.789999999994</v>
          </cell>
          <cell r="H29">
            <v>176.89</v>
          </cell>
        </row>
        <row r="30">
          <cell r="A30" t="str">
            <v>1221.01</v>
          </cell>
          <cell r="B30" t="str">
            <v>　　单位</v>
          </cell>
          <cell r="C30" t="str">
            <v>CU003007</v>
          </cell>
          <cell r="D30" t="str">
            <v>旭智兴邦有限公司</v>
          </cell>
          <cell r="E30">
            <v>103316.13</v>
          </cell>
        </row>
        <row r="31">
          <cell r="A31" t="str">
            <v>1221.01</v>
          </cell>
          <cell r="B31" t="str">
            <v>　　单位</v>
          </cell>
          <cell r="C31" t="str">
            <v>CU003008</v>
          </cell>
          <cell r="D31" t="str">
            <v>Rising Son Invesments Limited</v>
          </cell>
          <cell r="E31">
            <v>10055</v>
          </cell>
        </row>
        <row r="32">
          <cell r="A32" t="str">
            <v>1221.01</v>
          </cell>
          <cell r="B32" t="str">
            <v>　　单位</v>
          </cell>
          <cell r="C32" t="str">
            <v>CU003009</v>
          </cell>
          <cell r="D32" t="str">
            <v>Sustainable Energy (HK) Investment Holding Ltd</v>
          </cell>
          <cell r="E32">
            <v>10000</v>
          </cell>
        </row>
        <row r="33">
          <cell r="A33" t="str">
            <v>1221.01</v>
          </cell>
          <cell r="B33" t="str">
            <v>　　单位</v>
          </cell>
          <cell r="C33" t="str">
            <v>CU003010</v>
          </cell>
          <cell r="D33" t="str">
            <v>旭智富能新能源（深圳）有限责任公司</v>
          </cell>
          <cell r="E33">
            <v>76419.360000000001</v>
          </cell>
        </row>
        <row r="34">
          <cell r="A34" t="str">
            <v>1221.01</v>
          </cell>
          <cell r="B34" t="str">
            <v>　　单位</v>
          </cell>
          <cell r="C34" t="str">
            <v>CU003011</v>
          </cell>
          <cell r="D34" t="str">
            <v>Manulife Investment Management (Hong Kong )Limited</v>
          </cell>
          <cell r="E34">
            <v>50</v>
          </cell>
        </row>
        <row r="35">
          <cell r="A35" t="str">
            <v>1511</v>
          </cell>
          <cell r="B35" t="str">
            <v>长期股权投资</v>
          </cell>
          <cell r="E35">
            <v>92467303.799999997</v>
          </cell>
        </row>
        <row r="36">
          <cell r="A36" t="str">
            <v>1511.02</v>
          </cell>
          <cell r="B36" t="str">
            <v>　　投资成本</v>
          </cell>
          <cell r="E36">
            <v>92467303.799999997</v>
          </cell>
        </row>
        <row r="37">
          <cell r="A37" t="str">
            <v>1511.02</v>
          </cell>
          <cell r="B37" t="str">
            <v>　　投资成本</v>
          </cell>
          <cell r="C37" t="str">
            <v>004</v>
          </cell>
          <cell r="D37" t="str">
            <v>旭智资本（香港）有限公司</v>
          </cell>
          <cell r="E37">
            <v>89799421</v>
          </cell>
        </row>
        <row r="38">
          <cell r="A38" t="str">
            <v>1511.02</v>
          </cell>
          <cell r="B38" t="str">
            <v>　　投资成本</v>
          </cell>
          <cell r="C38" t="str">
            <v>006</v>
          </cell>
          <cell r="D38" t="str">
            <v>旭智咨询管理（深圳）有限责任公司</v>
          </cell>
          <cell r="E38">
            <v>2657875</v>
          </cell>
        </row>
        <row r="39">
          <cell r="A39" t="str">
            <v>1511.02</v>
          </cell>
          <cell r="B39" t="str">
            <v>　　投资成本</v>
          </cell>
          <cell r="C39" t="str">
            <v>011</v>
          </cell>
          <cell r="D39" t="str">
            <v>旭智资本（开曼）有限公司</v>
          </cell>
          <cell r="E39">
            <v>7.8</v>
          </cell>
        </row>
        <row r="40">
          <cell r="A40" t="str">
            <v>1511.02</v>
          </cell>
          <cell r="B40" t="str">
            <v>　　投资成本</v>
          </cell>
          <cell r="C40" t="str">
            <v>012</v>
          </cell>
          <cell r="D40" t="str">
            <v>旭智兴邦有限公司</v>
          </cell>
          <cell r="E40">
            <v>10000</v>
          </cell>
        </row>
        <row r="41">
          <cell r="A41" t="str">
            <v>1601</v>
          </cell>
          <cell r="B41" t="str">
            <v>固定资产</v>
          </cell>
          <cell r="E41">
            <v>81529</v>
          </cell>
        </row>
        <row r="42">
          <cell r="A42" t="str">
            <v>1601.01</v>
          </cell>
          <cell r="B42" t="str">
            <v>　　电子设备</v>
          </cell>
          <cell r="E42">
            <v>81529</v>
          </cell>
        </row>
        <row r="43">
          <cell r="A43" t="str">
            <v>1602</v>
          </cell>
          <cell r="B43" t="str">
            <v>累计折旧</v>
          </cell>
          <cell r="F43">
            <v>71946.759999999995</v>
          </cell>
          <cell r="H43">
            <v>299.44</v>
          </cell>
        </row>
        <row r="44">
          <cell r="A44" t="str">
            <v>1602.01</v>
          </cell>
          <cell r="B44" t="str">
            <v>　　电子设备</v>
          </cell>
          <cell r="F44">
            <v>71946.759999999995</v>
          </cell>
          <cell r="H44">
            <v>299.44</v>
          </cell>
        </row>
        <row r="45">
          <cell r="A45" t="str">
            <v>1701</v>
          </cell>
          <cell r="B45" t="str">
            <v>无形资产</v>
          </cell>
          <cell r="E45">
            <v>18000000</v>
          </cell>
        </row>
        <row r="46">
          <cell r="A46" t="str">
            <v>1701.02</v>
          </cell>
          <cell r="B46" t="str">
            <v>　　 商业材料许可证</v>
          </cell>
          <cell r="E46">
            <v>18000000</v>
          </cell>
        </row>
        <row r="47">
          <cell r="A47" t="str">
            <v>1702</v>
          </cell>
          <cell r="B47" t="str">
            <v>累计摊销</v>
          </cell>
          <cell r="F47">
            <v>8400000</v>
          </cell>
          <cell r="H47">
            <v>150000</v>
          </cell>
        </row>
        <row r="48">
          <cell r="A48" t="str">
            <v>1702.02</v>
          </cell>
          <cell r="B48" t="str">
            <v>　　  商业材料许可证</v>
          </cell>
          <cell r="F48">
            <v>8400000</v>
          </cell>
          <cell r="H48">
            <v>150000</v>
          </cell>
        </row>
        <row r="49">
          <cell r="A49" t="str">
            <v>2211</v>
          </cell>
          <cell r="B49" t="str">
            <v>应付职工薪酬</v>
          </cell>
          <cell r="F49">
            <v>102433.52</v>
          </cell>
          <cell r="G49">
            <v>15000</v>
          </cell>
          <cell r="H49">
            <v>12000</v>
          </cell>
        </row>
        <row r="50">
          <cell r="A50" t="str">
            <v>2211.02</v>
          </cell>
          <cell r="B50" t="str">
            <v>　　职工奖金</v>
          </cell>
        </row>
        <row r="51">
          <cell r="A51" t="str">
            <v>2211.11</v>
          </cell>
          <cell r="B51" t="str">
            <v>　　应付强制性公积金</v>
          </cell>
          <cell r="F51">
            <v>15000</v>
          </cell>
          <cell r="G51">
            <v>15000</v>
          </cell>
          <cell r="H51">
            <v>12000</v>
          </cell>
        </row>
        <row r="52">
          <cell r="A52" t="str">
            <v>2211.12</v>
          </cell>
          <cell r="B52" t="str">
            <v>　　应付长期服务金</v>
          </cell>
          <cell r="F52">
            <v>87433.52</v>
          </cell>
        </row>
        <row r="53">
          <cell r="A53" t="str">
            <v>2211.13</v>
          </cell>
          <cell r="B53" t="str">
            <v>　　未使用假期负债</v>
          </cell>
        </row>
        <row r="54">
          <cell r="A54" t="str">
            <v>2241</v>
          </cell>
          <cell r="B54" t="str">
            <v>其他应付款</v>
          </cell>
          <cell r="F54">
            <v>6788164.5899999999</v>
          </cell>
          <cell r="G54">
            <v>77735.5</v>
          </cell>
          <cell r="H54">
            <v>839516.66</v>
          </cell>
        </row>
        <row r="55">
          <cell r="A55" t="str">
            <v>2241.01</v>
          </cell>
          <cell r="B55" t="str">
            <v>　　单位</v>
          </cell>
          <cell r="F55">
            <v>6656259.4800000004</v>
          </cell>
          <cell r="G55">
            <v>77735.5</v>
          </cell>
          <cell r="H55">
            <v>839516.66</v>
          </cell>
        </row>
        <row r="56">
          <cell r="A56" t="str">
            <v>2241.01</v>
          </cell>
          <cell r="B56" t="str">
            <v>　　单位</v>
          </cell>
          <cell r="C56" t="str">
            <v>SU003011</v>
          </cell>
          <cell r="D56" t="str">
            <v>Tricor Services Limited</v>
          </cell>
          <cell r="F56">
            <v>29376</v>
          </cell>
          <cell r="H56">
            <v>14700</v>
          </cell>
        </row>
        <row r="57">
          <cell r="A57" t="str">
            <v>2241.01</v>
          </cell>
          <cell r="B57" t="str">
            <v>　　单位</v>
          </cell>
          <cell r="C57" t="str">
            <v>SU004019</v>
          </cell>
          <cell r="D57" t="str">
            <v>PricewaterhouseCoopers Limited</v>
          </cell>
          <cell r="F57">
            <v>287499.98</v>
          </cell>
          <cell r="H57">
            <v>19166.66</v>
          </cell>
        </row>
        <row r="58">
          <cell r="A58" t="str">
            <v>2241.01</v>
          </cell>
          <cell r="B58" t="str">
            <v>　　单位</v>
          </cell>
          <cell r="C58" t="str">
            <v>SU005045</v>
          </cell>
          <cell r="D58" t="str">
            <v>旭智资本(香港)有限公司</v>
          </cell>
          <cell r="F58">
            <v>6339383.5</v>
          </cell>
          <cell r="G58">
            <v>77735.5</v>
          </cell>
          <cell r="H58">
            <v>805650</v>
          </cell>
        </row>
        <row r="59">
          <cell r="A59" t="str">
            <v>2241.02</v>
          </cell>
          <cell r="B59" t="str">
            <v>　　个人</v>
          </cell>
          <cell r="F59">
            <v>131905.10999999999</v>
          </cell>
        </row>
        <row r="60">
          <cell r="A60" t="str">
            <v>2241.02</v>
          </cell>
          <cell r="B60" t="str">
            <v>　　个人</v>
          </cell>
          <cell r="C60" t="str">
            <v>SP003008</v>
          </cell>
          <cell r="D60" t="str">
            <v>卢淑怡</v>
          </cell>
        </row>
        <row r="61">
          <cell r="A61" t="str">
            <v>2241.02</v>
          </cell>
          <cell r="B61" t="str">
            <v>　　个人</v>
          </cell>
          <cell r="C61" t="str">
            <v>SP003010</v>
          </cell>
          <cell r="D61" t="str">
            <v>员工报销</v>
          </cell>
          <cell r="F61">
            <v>131905.10999999999</v>
          </cell>
        </row>
        <row r="62">
          <cell r="A62" t="str">
            <v>2304</v>
          </cell>
          <cell r="B62" t="str">
            <v>其他金融工具负债</v>
          </cell>
          <cell r="F62">
            <v>23400000</v>
          </cell>
        </row>
        <row r="63">
          <cell r="A63" t="str">
            <v>2304.01</v>
          </cell>
          <cell r="B63" t="str">
            <v>　　B类优先股</v>
          </cell>
          <cell r="F63">
            <v>23400000</v>
          </cell>
        </row>
        <row r="64">
          <cell r="A64" t="str">
            <v>2304.01</v>
          </cell>
          <cell r="B64" t="str">
            <v>　　B类优先股</v>
          </cell>
          <cell r="C64" t="str">
            <v>QTWL0001</v>
          </cell>
          <cell r="D64" t="str">
            <v>辉朗投资有限公司</v>
          </cell>
          <cell r="F64">
            <v>1755000</v>
          </cell>
        </row>
        <row r="65">
          <cell r="A65" t="str">
            <v>2304.01</v>
          </cell>
          <cell r="B65" t="str">
            <v>　　B类优先股</v>
          </cell>
          <cell r="C65" t="str">
            <v>QTWL0002</v>
          </cell>
          <cell r="D65" t="str">
            <v>Pure Nice Limited</v>
          </cell>
          <cell r="F65">
            <v>1755000</v>
          </cell>
        </row>
        <row r="66">
          <cell r="A66" t="str">
            <v>2304.01</v>
          </cell>
          <cell r="B66" t="str">
            <v>　　B类优先股</v>
          </cell>
          <cell r="C66" t="str">
            <v>QTWL0003</v>
          </cell>
          <cell r="D66" t="str">
            <v>旭铂投资有限公司</v>
          </cell>
          <cell r="F66">
            <v>19305000</v>
          </cell>
        </row>
        <row r="67">
          <cell r="A67" t="str">
            <v>2304.01</v>
          </cell>
          <cell r="B67" t="str">
            <v>　　B类优先股</v>
          </cell>
          <cell r="C67" t="str">
            <v>QTWL0004</v>
          </cell>
          <cell r="D67" t="str">
            <v>智慧基建投资有限公司</v>
          </cell>
          <cell r="F67">
            <v>585000</v>
          </cell>
        </row>
        <row r="68">
          <cell r="A68" t="str">
            <v>4001</v>
          </cell>
          <cell r="B68" t="str">
            <v>实收资本（股本）</v>
          </cell>
          <cell r="F68">
            <v>156720000</v>
          </cell>
        </row>
        <row r="69">
          <cell r="A69" t="str">
            <v>4001.50</v>
          </cell>
          <cell r="B69" t="str">
            <v>　　普通股</v>
          </cell>
          <cell r="F69">
            <v>122917624</v>
          </cell>
        </row>
        <row r="70">
          <cell r="A70" t="str">
            <v>4001.50.01</v>
          </cell>
          <cell r="B70" t="str">
            <v>　　　　威力能源投资有限公司</v>
          </cell>
          <cell r="F70">
            <v>35262000</v>
          </cell>
        </row>
        <row r="71">
          <cell r="A71" t="str">
            <v>4001.50.02</v>
          </cell>
          <cell r="B71" t="str">
            <v>　　　　旭铂投资有限公司</v>
          </cell>
          <cell r="F71">
            <v>60229624</v>
          </cell>
        </row>
        <row r="72">
          <cell r="A72" t="str">
            <v>4001.50.03</v>
          </cell>
          <cell r="B72" t="str">
            <v>　　　　辉朗投资有限公司</v>
          </cell>
          <cell r="F72">
            <v>11754000</v>
          </cell>
        </row>
        <row r="73">
          <cell r="A73" t="str">
            <v>4001.50.04</v>
          </cell>
          <cell r="B73" t="str">
            <v>　　　　智慧基建投资有限公司</v>
          </cell>
          <cell r="F73">
            <v>3918000</v>
          </cell>
        </row>
        <row r="74">
          <cell r="A74" t="str">
            <v>4001.50.05</v>
          </cell>
          <cell r="B74" t="str">
            <v>　　　　Pure Nice Limited</v>
          </cell>
          <cell r="F74">
            <v>11754000</v>
          </cell>
        </row>
        <row r="75">
          <cell r="A75" t="str">
            <v>4001.51</v>
          </cell>
          <cell r="B75" t="str">
            <v>　　优先股</v>
          </cell>
          <cell r="F75">
            <v>33802376</v>
          </cell>
        </row>
        <row r="76">
          <cell r="A76" t="str">
            <v>4001.51.01</v>
          </cell>
          <cell r="B76" t="str">
            <v>　　　　旭铂投资有限公司</v>
          </cell>
          <cell r="F76">
            <v>33802376</v>
          </cell>
        </row>
        <row r="77">
          <cell r="A77" t="str">
            <v>4103</v>
          </cell>
          <cell r="B77" t="str">
            <v>本年利润</v>
          </cell>
          <cell r="F77">
            <v>-1995898.73</v>
          </cell>
          <cell r="G77">
            <v>744142.3</v>
          </cell>
          <cell r="H77">
            <v>77735.5</v>
          </cell>
        </row>
        <row r="78">
          <cell r="A78" t="str">
            <v>4104</v>
          </cell>
          <cell r="B78" t="str">
            <v>利润分配</v>
          </cell>
          <cell r="F78">
            <v>-72630693.239999995</v>
          </cell>
        </row>
        <row r="79">
          <cell r="A79" t="str">
            <v>4104.07</v>
          </cell>
          <cell r="B79" t="str">
            <v>　　未分配利润</v>
          </cell>
          <cell r="F79">
            <v>-72630693.239999995</v>
          </cell>
        </row>
        <row r="80">
          <cell r="A80" t="str">
            <v>6115</v>
          </cell>
          <cell r="B80" t="str">
            <v>其他收益</v>
          </cell>
          <cell r="G80">
            <v>77735.5</v>
          </cell>
          <cell r="H80">
            <v>77735.5</v>
          </cell>
        </row>
        <row r="81">
          <cell r="A81" t="str">
            <v>6115.03</v>
          </cell>
          <cell r="B81" t="str">
            <v>　　公司间往来</v>
          </cell>
          <cell r="G81">
            <v>77735.5</v>
          </cell>
          <cell r="H81">
            <v>77735.5</v>
          </cell>
        </row>
        <row r="82">
          <cell r="A82" t="str">
            <v>6602</v>
          </cell>
          <cell r="B82" t="str">
            <v>管理费用</v>
          </cell>
          <cell r="G82">
            <v>742279.49</v>
          </cell>
          <cell r="H82">
            <v>742279.49</v>
          </cell>
        </row>
        <row r="83">
          <cell r="A83" t="str">
            <v>6602.01</v>
          </cell>
          <cell r="B83" t="str">
            <v>　　工资薪金</v>
          </cell>
          <cell r="G83">
            <v>425500</v>
          </cell>
          <cell r="H83">
            <v>425500</v>
          </cell>
        </row>
        <row r="84">
          <cell r="A84" t="str">
            <v>6602.01.01</v>
          </cell>
          <cell r="B84" t="str">
            <v>　　　　基本工资（专业）</v>
          </cell>
          <cell r="G84">
            <v>141000</v>
          </cell>
          <cell r="H84">
            <v>141000</v>
          </cell>
        </row>
        <row r="85">
          <cell r="A85" t="str">
            <v>6602.01.05</v>
          </cell>
          <cell r="B85" t="str">
            <v>　　　　员工假期</v>
          </cell>
        </row>
        <row r="86">
          <cell r="A86" t="str">
            <v>6602.01.08</v>
          </cell>
          <cell r="B86" t="str">
            <v>　　　　基本工资（管理）</v>
          </cell>
          <cell r="G86">
            <v>284500</v>
          </cell>
          <cell r="H86">
            <v>284500</v>
          </cell>
        </row>
        <row r="87">
          <cell r="A87" t="str">
            <v>6602.02</v>
          </cell>
          <cell r="B87" t="str">
            <v>　　职工福利</v>
          </cell>
        </row>
        <row r="88">
          <cell r="A88" t="str">
            <v>6602.02.02</v>
          </cell>
          <cell r="B88" t="str">
            <v>　　　　团建活动</v>
          </cell>
        </row>
        <row r="89">
          <cell r="A89" t="str">
            <v>6602.03</v>
          </cell>
          <cell r="B89" t="str">
            <v>　　社保公积金</v>
          </cell>
          <cell r="G89">
            <v>59481.36</v>
          </cell>
          <cell r="H89">
            <v>59481.36</v>
          </cell>
        </row>
        <row r="90">
          <cell r="A90" t="str">
            <v>6602.03.01</v>
          </cell>
          <cell r="B90" t="str">
            <v>　　　　员工社保福利</v>
          </cell>
          <cell r="G90">
            <v>53481.36</v>
          </cell>
          <cell r="H90">
            <v>53481.36</v>
          </cell>
        </row>
        <row r="91">
          <cell r="A91" t="str">
            <v>6602.03.03</v>
          </cell>
          <cell r="B91" t="str">
            <v>　　　　员工强制性公积金福利</v>
          </cell>
          <cell r="G91">
            <v>6000</v>
          </cell>
          <cell r="H91">
            <v>6000</v>
          </cell>
        </row>
        <row r="92">
          <cell r="A92" t="str">
            <v>6602.04</v>
          </cell>
          <cell r="B92" t="str">
            <v>　　咨询及专业服务费</v>
          </cell>
          <cell r="G92">
            <v>33666.660000000003</v>
          </cell>
          <cell r="H92">
            <v>33666.660000000003</v>
          </cell>
        </row>
        <row r="93">
          <cell r="A93" t="str">
            <v>6602.04.01</v>
          </cell>
          <cell r="B93" t="str">
            <v>　　　　会计服务费</v>
          </cell>
          <cell r="G93">
            <v>12000</v>
          </cell>
          <cell r="H93">
            <v>12000</v>
          </cell>
        </row>
        <row r="94">
          <cell r="A94" t="str">
            <v>6602.04.02</v>
          </cell>
          <cell r="B94" t="str">
            <v>　　　　审计服务费</v>
          </cell>
          <cell r="G94">
            <v>19166.66</v>
          </cell>
          <cell r="H94">
            <v>19166.66</v>
          </cell>
        </row>
        <row r="95">
          <cell r="A95" t="str">
            <v>6602.04.07</v>
          </cell>
          <cell r="B95" t="str">
            <v>　　　　人力资源服务费</v>
          </cell>
          <cell r="G95">
            <v>2500</v>
          </cell>
          <cell r="H95">
            <v>2500</v>
          </cell>
        </row>
        <row r="96">
          <cell r="A96" t="str">
            <v>6602.05</v>
          </cell>
          <cell r="B96" t="str">
            <v>　　占用费</v>
          </cell>
          <cell r="G96">
            <v>55650</v>
          </cell>
          <cell r="H96">
            <v>55650</v>
          </cell>
        </row>
        <row r="97">
          <cell r="A97" t="str">
            <v>6602.05.08</v>
          </cell>
          <cell r="B97" t="str">
            <v>　　　　集团内分摊</v>
          </cell>
          <cell r="G97">
            <v>55650</v>
          </cell>
          <cell r="H97">
            <v>55650</v>
          </cell>
        </row>
        <row r="98">
          <cell r="A98" t="str">
            <v>6602.06</v>
          </cell>
          <cell r="B98" t="str">
            <v>　　业务招待费</v>
          </cell>
        </row>
        <row r="99">
          <cell r="A99" t="str">
            <v>6602.06</v>
          </cell>
          <cell r="B99" t="str">
            <v>　　业务招待费</v>
          </cell>
          <cell r="C99" t="str">
            <v>CI009</v>
          </cell>
          <cell r="D99" t="str">
            <v>旭智资本</v>
          </cell>
        </row>
        <row r="100">
          <cell r="A100" t="str">
            <v>6602.08</v>
          </cell>
          <cell r="B100" t="str">
            <v>　　事务费用</v>
          </cell>
          <cell r="G100">
            <v>3265.6</v>
          </cell>
          <cell r="H100">
            <v>3265.6</v>
          </cell>
        </row>
        <row r="101">
          <cell r="A101" t="str">
            <v>6602.08.01</v>
          </cell>
          <cell r="B101" t="str">
            <v>　　　　通信费</v>
          </cell>
          <cell r="G101">
            <v>1140</v>
          </cell>
          <cell r="H101">
            <v>1140</v>
          </cell>
        </row>
        <row r="102">
          <cell r="A102" t="str">
            <v>6602.08.01</v>
          </cell>
          <cell r="B102" t="str">
            <v>　　　　通信费</v>
          </cell>
          <cell r="C102" t="str">
            <v>CI009</v>
          </cell>
          <cell r="D102" t="str">
            <v>旭智资本</v>
          </cell>
          <cell r="G102">
            <v>1140</v>
          </cell>
          <cell r="H102">
            <v>1140</v>
          </cell>
        </row>
        <row r="103">
          <cell r="A103" t="str">
            <v>6602.08.03</v>
          </cell>
          <cell r="B103" t="str">
            <v>　　　　办公用品</v>
          </cell>
        </row>
        <row r="104">
          <cell r="A104" t="str">
            <v>6602.08.03</v>
          </cell>
          <cell r="B104" t="str">
            <v>　　　　办公用品</v>
          </cell>
          <cell r="C104" t="str">
            <v>CI009</v>
          </cell>
          <cell r="D104" t="str">
            <v>旭智资本</v>
          </cell>
        </row>
        <row r="105">
          <cell r="A105" t="str">
            <v>6602.08.04</v>
          </cell>
          <cell r="B105" t="str">
            <v>　　　　事务保金</v>
          </cell>
          <cell r="G105">
            <v>396.56</v>
          </cell>
          <cell r="H105">
            <v>396.56</v>
          </cell>
        </row>
        <row r="106">
          <cell r="A106" t="str">
            <v>6602.08.04</v>
          </cell>
          <cell r="B106" t="str">
            <v>　　　　事务保金</v>
          </cell>
          <cell r="C106" t="str">
            <v>CI009</v>
          </cell>
          <cell r="D106" t="str">
            <v>旭智资本</v>
          </cell>
          <cell r="G106">
            <v>396.56</v>
          </cell>
          <cell r="H106">
            <v>396.56</v>
          </cell>
        </row>
        <row r="107">
          <cell r="A107" t="str">
            <v>6602.08.05</v>
          </cell>
          <cell r="B107" t="str">
            <v>　　　　邮费/邮递费</v>
          </cell>
          <cell r="G107">
            <v>474</v>
          </cell>
          <cell r="H107">
            <v>474</v>
          </cell>
        </row>
        <row r="108">
          <cell r="A108" t="str">
            <v>6602.08.05</v>
          </cell>
          <cell r="B108" t="str">
            <v>　　　　邮费/邮递费</v>
          </cell>
          <cell r="C108" t="str">
            <v>CI009</v>
          </cell>
          <cell r="D108" t="str">
            <v>旭智资本</v>
          </cell>
          <cell r="G108">
            <v>474</v>
          </cell>
          <cell r="H108">
            <v>474</v>
          </cell>
        </row>
        <row r="109">
          <cell r="A109" t="str">
            <v>6602.08.07</v>
          </cell>
          <cell r="B109" t="str">
            <v>　　　　软件许可证费用</v>
          </cell>
          <cell r="G109">
            <v>907.04</v>
          </cell>
          <cell r="H109">
            <v>907.04</v>
          </cell>
        </row>
        <row r="110">
          <cell r="A110" t="str">
            <v>6602.08.07</v>
          </cell>
          <cell r="B110" t="str">
            <v>　　　　软件许可证费用</v>
          </cell>
          <cell r="C110" t="str">
            <v>CI009</v>
          </cell>
          <cell r="D110" t="str">
            <v>旭智资本</v>
          </cell>
          <cell r="G110">
            <v>907.04</v>
          </cell>
          <cell r="H110">
            <v>907.04</v>
          </cell>
        </row>
        <row r="111">
          <cell r="A111" t="str">
            <v>6602.08.10</v>
          </cell>
          <cell r="B111" t="str">
            <v>　　　　电话国际直拨/电话会议收费</v>
          </cell>
          <cell r="G111">
            <v>348</v>
          </cell>
          <cell r="H111">
            <v>348</v>
          </cell>
        </row>
        <row r="112">
          <cell r="A112" t="str">
            <v>6602.08.10</v>
          </cell>
          <cell r="B112" t="str">
            <v>　　　　电话国际直拨/电话会议收费</v>
          </cell>
          <cell r="C112" t="str">
            <v>CI009</v>
          </cell>
          <cell r="D112" t="str">
            <v>旭智资本</v>
          </cell>
          <cell r="G112">
            <v>348</v>
          </cell>
          <cell r="H112">
            <v>348</v>
          </cell>
        </row>
        <row r="113">
          <cell r="A113" t="str">
            <v>6602.09</v>
          </cell>
          <cell r="B113" t="str">
            <v>　　差旅费</v>
          </cell>
        </row>
        <row r="114">
          <cell r="A114" t="str">
            <v>6602.09.04</v>
          </cell>
          <cell r="B114" t="str">
            <v>　　　　空中交通费</v>
          </cell>
        </row>
        <row r="115">
          <cell r="A115" t="str">
            <v>6602.09.04</v>
          </cell>
          <cell r="B115" t="str">
            <v>　　　　空中交通费</v>
          </cell>
          <cell r="C115" t="str">
            <v>CI009</v>
          </cell>
          <cell r="D115" t="str">
            <v>旭智资本</v>
          </cell>
        </row>
        <row r="116">
          <cell r="A116" t="str">
            <v>6602.09.99</v>
          </cell>
          <cell r="B116" t="str">
            <v>　　　　其他</v>
          </cell>
        </row>
        <row r="117">
          <cell r="A117" t="str">
            <v>6602.09.99</v>
          </cell>
          <cell r="B117" t="str">
            <v>　　　　其他</v>
          </cell>
          <cell r="C117" t="str">
            <v>CI009</v>
          </cell>
          <cell r="D117" t="str">
            <v>旭智资本</v>
          </cell>
        </row>
        <row r="118">
          <cell r="A118" t="str">
            <v>6602.10</v>
          </cell>
          <cell r="B118" t="str">
            <v>　　折旧费</v>
          </cell>
          <cell r="G118">
            <v>299.44</v>
          </cell>
          <cell r="H118">
            <v>299.44</v>
          </cell>
        </row>
        <row r="119">
          <cell r="A119" t="str">
            <v>6602.10.01</v>
          </cell>
          <cell r="B119" t="str">
            <v>　　　　电子设备</v>
          </cell>
          <cell r="G119">
            <v>299.44</v>
          </cell>
          <cell r="H119">
            <v>299.44</v>
          </cell>
        </row>
        <row r="120">
          <cell r="A120" t="str">
            <v>6602.15</v>
          </cell>
          <cell r="B120" t="str">
            <v>　　服务费</v>
          </cell>
        </row>
        <row r="121">
          <cell r="A121" t="str">
            <v>6602.19</v>
          </cell>
          <cell r="B121" t="str">
            <v>　　会费（公司）</v>
          </cell>
        </row>
        <row r="122">
          <cell r="A122" t="str">
            <v>6602.21</v>
          </cell>
          <cell r="B122" t="str">
            <v>　　公司秘书费</v>
          </cell>
          <cell r="G122">
            <v>11216.43</v>
          </cell>
          <cell r="H122">
            <v>11216.43</v>
          </cell>
        </row>
        <row r="123">
          <cell r="A123" t="str">
            <v>6602.23</v>
          </cell>
          <cell r="B123" t="str">
            <v>　　无形资产摊销</v>
          </cell>
          <cell r="G123">
            <v>150000</v>
          </cell>
          <cell r="H123">
            <v>150000</v>
          </cell>
        </row>
        <row r="124">
          <cell r="A124" t="str">
            <v>6602.99</v>
          </cell>
          <cell r="B124" t="str">
            <v>　　其他</v>
          </cell>
          <cell r="G124">
            <v>3200</v>
          </cell>
          <cell r="H124">
            <v>3200</v>
          </cell>
        </row>
        <row r="125">
          <cell r="A125" t="str">
            <v>6603</v>
          </cell>
          <cell r="B125" t="str">
            <v>财务费用</v>
          </cell>
          <cell r="G125">
            <v>1862.81</v>
          </cell>
          <cell r="H125">
            <v>1862.81</v>
          </cell>
        </row>
        <row r="126">
          <cell r="A126" t="str">
            <v>6603.01</v>
          </cell>
          <cell r="B126" t="str">
            <v>　　汇兑损益</v>
          </cell>
          <cell r="G126">
            <v>1862.85</v>
          </cell>
          <cell r="H126">
            <v>1862.85</v>
          </cell>
        </row>
        <row r="127">
          <cell r="A127" t="str">
            <v>6603.03</v>
          </cell>
          <cell r="B127" t="str">
            <v>　　银行手续费</v>
          </cell>
          <cell r="G127">
            <v>8.8000000000000007</v>
          </cell>
          <cell r="H127">
            <v>8.8000000000000007</v>
          </cell>
        </row>
        <row r="128">
          <cell r="A128" t="str">
            <v>6603.04</v>
          </cell>
          <cell r="B128" t="str">
            <v>　　利息收入</v>
          </cell>
          <cell r="G128">
            <v>-8.84</v>
          </cell>
          <cell r="H128">
            <v>-8.84</v>
          </cell>
        </row>
        <row r="129">
          <cell r="B129" t="str">
            <v>合计</v>
          </cell>
          <cell r="E129">
            <v>120855952.90000001</v>
          </cell>
          <cell r="F129">
            <v>120855952.90000001</v>
          </cell>
          <cell r="G129">
            <v>2693354.63</v>
          </cell>
          <cell r="H129">
            <v>2693354.63</v>
          </cell>
        </row>
      </sheetData>
      <sheetData sheetId="4">
        <row r="1">
          <cell r="A1" t="str">
            <v>币别:香港元</v>
          </cell>
          <cell r="B1" t="str">
            <v>账簿:旭智资本有限公司</v>
          </cell>
          <cell r="C1" t="str">
            <v>期间:2025.5 -- 2025.5</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78171.44</v>
          </cell>
          <cell r="G4">
            <v>796314.14</v>
          </cell>
          <cell r="H4">
            <v>796534.49</v>
          </cell>
        </row>
        <row r="5">
          <cell r="A5" t="str">
            <v>1002.01</v>
          </cell>
          <cell r="B5" t="str">
            <v>　　【旭智资本】银行存款账户</v>
          </cell>
          <cell r="E5">
            <v>78171.44</v>
          </cell>
          <cell r="G5">
            <v>796314.14</v>
          </cell>
          <cell r="H5">
            <v>796534.49</v>
          </cell>
        </row>
        <row r="6">
          <cell r="A6" t="str">
            <v>1002.01.01</v>
          </cell>
          <cell r="B6" t="str">
            <v>　　　　汇丰银行-741-282-503-838</v>
          </cell>
          <cell r="E6">
            <v>78171.44</v>
          </cell>
          <cell r="G6">
            <v>796314.14</v>
          </cell>
          <cell r="H6">
            <v>796534.49</v>
          </cell>
        </row>
        <row r="7">
          <cell r="A7" t="str">
            <v>1002.01.01.01</v>
          </cell>
          <cell r="B7" t="str">
            <v>　　　　　　【旭智资本】汇丰港元储蓄账户 3838</v>
          </cell>
          <cell r="E7">
            <v>62040.38</v>
          </cell>
          <cell r="G7">
            <v>780004.12</v>
          </cell>
          <cell r="H7">
            <v>780403.43</v>
          </cell>
        </row>
        <row r="8">
          <cell r="A8" t="str">
            <v>1002.01.01.03</v>
          </cell>
          <cell r="B8" t="str">
            <v>　　　　　　【旭智资本】汇丰外币储蓄账户 - 人民币 3838</v>
          </cell>
          <cell r="E8">
            <v>859.49</v>
          </cell>
          <cell r="G8">
            <v>877.05</v>
          </cell>
          <cell r="H8">
            <v>859.49</v>
          </cell>
        </row>
        <row r="9">
          <cell r="A9" t="str">
            <v>1002.01.01.04</v>
          </cell>
          <cell r="B9" t="str">
            <v>　　　　　　【旭智资本】汇丰外币储蓄账户 - 美元 3838</v>
          </cell>
          <cell r="E9">
            <v>15271.57</v>
          </cell>
          <cell r="G9">
            <v>15432.97</v>
          </cell>
          <cell r="H9">
            <v>15271.57</v>
          </cell>
        </row>
        <row r="10">
          <cell r="A10" t="str">
            <v>1002.01.01.05</v>
          </cell>
          <cell r="B10" t="str">
            <v>　　　　　　【旭智资本】汇丰港元定期存款</v>
          </cell>
        </row>
        <row r="11">
          <cell r="A11" t="str">
            <v>1002.01.01.06</v>
          </cell>
          <cell r="B11" t="str">
            <v>　　　　　　【旭智资本】汇丰人民币定期存款</v>
          </cell>
        </row>
        <row r="12">
          <cell r="A12" t="str">
            <v>1123</v>
          </cell>
          <cell r="B12" t="str">
            <v>预付账款</v>
          </cell>
          <cell r="E12">
            <v>5726193.9199999999</v>
          </cell>
          <cell r="G12">
            <v>121745.82</v>
          </cell>
          <cell r="H12">
            <v>27354.53</v>
          </cell>
        </row>
        <row r="13">
          <cell r="A13" t="str">
            <v>1123.01</v>
          </cell>
          <cell r="B13" t="str">
            <v>　　单位</v>
          </cell>
          <cell r="E13">
            <v>284748.92</v>
          </cell>
          <cell r="G13">
            <v>121745.82</v>
          </cell>
          <cell r="H13">
            <v>27354.53</v>
          </cell>
        </row>
        <row r="14">
          <cell r="A14" t="str">
            <v>1123.01</v>
          </cell>
          <cell r="B14" t="str">
            <v>　　单位</v>
          </cell>
          <cell r="C14" t="str">
            <v>SU003001</v>
          </cell>
          <cell r="D14" t="str">
            <v>Boardroom Corporate Services (HK) Limited</v>
          </cell>
          <cell r="E14">
            <v>9934.25</v>
          </cell>
          <cell r="H14">
            <v>1256.99</v>
          </cell>
        </row>
        <row r="15">
          <cell r="A15" t="str">
            <v>1123.01</v>
          </cell>
          <cell r="B15" t="str">
            <v>　　单位</v>
          </cell>
          <cell r="C15" t="str">
            <v>SU003003</v>
          </cell>
          <cell r="D15" t="str">
            <v>SUN HING INSURANCE BROKERS LTD.</v>
          </cell>
          <cell r="E15">
            <v>268811.84999999998</v>
          </cell>
          <cell r="H15">
            <v>25240.87</v>
          </cell>
        </row>
        <row r="16">
          <cell r="A16" t="str">
            <v>1123.01</v>
          </cell>
          <cell r="B16" t="str">
            <v>　　单位</v>
          </cell>
          <cell r="C16" t="str">
            <v>SU003024</v>
          </cell>
          <cell r="D16" t="str">
            <v>SiteGround Hosting Ltd</v>
          </cell>
          <cell r="E16">
            <v>1360.41</v>
          </cell>
          <cell r="H16">
            <v>242.37</v>
          </cell>
        </row>
        <row r="17">
          <cell r="A17" t="str">
            <v>1123.01</v>
          </cell>
          <cell r="B17" t="str">
            <v>　　单位</v>
          </cell>
          <cell r="C17" t="str">
            <v>SU003025</v>
          </cell>
          <cell r="D17" t="str">
            <v>Godaddy.Com,LLC</v>
          </cell>
          <cell r="E17">
            <v>668.7</v>
          </cell>
          <cell r="H17">
            <v>39.49</v>
          </cell>
        </row>
        <row r="18">
          <cell r="A18" t="str">
            <v>1123.01</v>
          </cell>
          <cell r="B18" t="str">
            <v>　　单位</v>
          </cell>
          <cell r="C18" t="str">
            <v>SU004011</v>
          </cell>
          <cell r="D18" t="str">
            <v>Master Concept (Hong Kong) Limited</v>
          </cell>
          <cell r="E18">
            <v>3634.32</v>
          </cell>
          <cell r="G18">
            <v>121745.82</v>
          </cell>
          <cell r="H18">
            <v>574.80999999999995</v>
          </cell>
        </row>
        <row r="19">
          <cell r="A19" t="str">
            <v>1123.01</v>
          </cell>
          <cell r="B19" t="str">
            <v>　　单位</v>
          </cell>
          <cell r="C19" t="str">
            <v>SU011002</v>
          </cell>
          <cell r="D19" t="str">
            <v>TMF (Cayman) Ltd.</v>
          </cell>
          <cell r="E19">
            <v>339.39</v>
          </cell>
        </row>
        <row r="20">
          <cell r="A20" t="str">
            <v>1123.02</v>
          </cell>
          <cell r="B20" t="str">
            <v>　　个人</v>
          </cell>
          <cell r="E20">
            <v>5441445</v>
          </cell>
        </row>
        <row r="21">
          <cell r="A21" t="str">
            <v>1123.02</v>
          </cell>
          <cell r="B21" t="str">
            <v>　　个人</v>
          </cell>
          <cell r="C21" t="str">
            <v>SP005001</v>
          </cell>
          <cell r="D21" t="str">
            <v>冯冠邦</v>
          </cell>
          <cell r="E21">
            <v>5441445</v>
          </cell>
        </row>
        <row r="22">
          <cell r="A22" t="str">
            <v>1132</v>
          </cell>
          <cell r="B22" t="str">
            <v>应收利息</v>
          </cell>
        </row>
        <row r="23">
          <cell r="A23" t="str">
            <v>1132</v>
          </cell>
          <cell r="B23" t="str">
            <v>应收利息</v>
          </cell>
          <cell r="C23" t="str">
            <v>OU004001</v>
          </cell>
          <cell r="D23" t="str">
            <v>香港上海汇丰银行有限公司</v>
          </cell>
        </row>
        <row r="24">
          <cell r="A24" t="str">
            <v>1221</v>
          </cell>
          <cell r="B24" t="str">
            <v>其他应收款</v>
          </cell>
          <cell r="E24">
            <v>4745428.54</v>
          </cell>
          <cell r="G24">
            <v>9597.58</v>
          </cell>
          <cell r="H24">
            <v>767.06</v>
          </cell>
        </row>
        <row r="25">
          <cell r="A25" t="str">
            <v>1221.01</v>
          </cell>
          <cell r="B25" t="str">
            <v>　　单位</v>
          </cell>
          <cell r="E25">
            <v>4745428.54</v>
          </cell>
          <cell r="G25">
            <v>9597.58</v>
          </cell>
          <cell r="H25">
            <v>767.06</v>
          </cell>
        </row>
        <row r="26">
          <cell r="A26" t="str">
            <v>1221.01</v>
          </cell>
          <cell r="B26" t="str">
            <v>　　单位</v>
          </cell>
          <cell r="C26" t="str">
            <v>CU003003</v>
          </cell>
          <cell r="D26" t="str">
            <v>旭智资本（开曼）有限公司</v>
          </cell>
          <cell r="E26">
            <v>940184.83</v>
          </cell>
        </row>
        <row r="27">
          <cell r="A27" t="str">
            <v>1221.01</v>
          </cell>
          <cell r="B27" t="str">
            <v>　　单位</v>
          </cell>
          <cell r="C27" t="str">
            <v>CU003004</v>
          </cell>
          <cell r="D27" t="str">
            <v>广州旭智投资控股有限责任公司</v>
          </cell>
          <cell r="E27">
            <v>684817.19</v>
          </cell>
          <cell r="G27">
            <v>7634.16</v>
          </cell>
          <cell r="H27">
            <v>767.06</v>
          </cell>
        </row>
        <row r="28">
          <cell r="A28" t="str">
            <v>1221.01</v>
          </cell>
          <cell r="B28" t="str">
            <v>　　单位</v>
          </cell>
          <cell r="C28" t="str">
            <v>CU003005</v>
          </cell>
          <cell r="D28" t="str">
            <v>Albamen Cayman Fund II</v>
          </cell>
          <cell r="E28">
            <v>2848350.13</v>
          </cell>
        </row>
        <row r="29">
          <cell r="A29" t="str">
            <v>1221.01</v>
          </cell>
          <cell r="B29" t="str">
            <v>　　单位</v>
          </cell>
          <cell r="C29" t="str">
            <v>CU003006</v>
          </cell>
          <cell r="D29" t="str">
            <v>旭智咨询管理(深圳)有限责任公司</v>
          </cell>
          <cell r="E29">
            <v>72235.899999999994</v>
          </cell>
          <cell r="G29">
            <v>763.42</v>
          </cell>
        </row>
        <row r="30">
          <cell r="A30" t="str">
            <v>1221.01</v>
          </cell>
          <cell r="B30" t="str">
            <v>　　单位</v>
          </cell>
          <cell r="C30" t="str">
            <v>CU003007</v>
          </cell>
          <cell r="D30" t="str">
            <v>旭智兴邦有限公司</v>
          </cell>
          <cell r="E30">
            <v>103316.13</v>
          </cell>
          <cell r="G30">
            <v>1200</v>
          </cell>
        </row>
        <row r="31">
          <cell r="A31" t="str">
            <v>1221.01</v>
          </cell>
          <cell r="B31" t="str">
            <v>　　单位</v>
          </cell>
          <cell r="C31" t="str">
            <v>CU003008</v>
          </cell>
          <cell r="D31" t="str">
            <v>Rising Son Invesments Limited</v>
          </cell>
          <cell r="E31">
            <v>10055</v>
          </cell>
        </row>
        <row r="32">
          <cell r="A32" t="str">
            <v>1221.01</v>
          </cell>
          <cell r="B32" t="str">
            <v>　　单位</v>
          </cell>
          <cell r="C32" t="str">
            <v>CU003009</v>
          </cell>
          <cell r="D32" t="str">
            <v>Sustainable Energy (HK) Investment Holding Ltd</v>
          </cell>
          <cell r="E32">
            <v>10000</v>
          </cell>
        </row>
        <row r="33">
          <cell r="A33" t="str">
            <v>1221.01</v>
          </cell>
          <cell r="B33" t="str">
            <v>　　单位</v>
          </cell>
          <cell r="C33" t="str">
            <v>CU003010</v>
          </cell>
          <cell r="D33" t="str">
            <v>旭智富能新能源（深圳）有限责任公司</v>
          </cell>
          <cell r="E33">
            <v>76419.360000000001</v>
          </cell>
        </row>
        <row r="34">
          <cell r="A34" t="str">
            <v>1221.01</v>
          </cell>
          <cell r="B34" t="str">
            <v>　　单位</v>
          </cell>
          <cell r="C34" t="str">
            <v>CU003011</v>
          </cell>
          <cell r="D34" t="str">
            <v>Manulife Investment Management (Hong Kong )Limited</v>
          </cell>
          <cell r="E34">
            <v>50</v>
          </cell>
        </row>
        <row r="35">
          <cell r="A35" t="str">
            <v>1511</v>
          </cell>
          <cell r="B35" t="str">
            <v>长期股权投资</v>
          </cell>
          <cell r="E35">
            <v>92467303.799999997</v>
          </cell>
        </row>
        <row r="36">
          <cell r="A36" t="str">
            <v>1511.02</v>
          </cell>
          <cell r="B36" t="str">
            <v>　　投资成本</v>
          </cell>
          <cell r="E36">
            <v>92467303.799999997</v>
          </cell>
        </row>
        <row r="37">
          <cell r="A37" t="str">
            <v>1511.02</v>
          </cell>
          <cell r="B37" t="str">
            <v>　　投资成本</v>
          </cell>
          <cell r="C37" t="str">
            <v>004</v>
          </cell>
          <cell r="D37" t="str">
            <v>旭智资本（香港）有限公司</v>
          </cell>
          <cell r="E37">
            <v>89799421</v>
          </cell>
        </row>
        <row r="38">
          <cell r="A38" t="str">
            <v>1511.02</v>
          </cell>
          <cell r="B38" t="str">
            <v>　　投资成本</v>
          </cell>
          <cell r="C38" t="str">
            <v>006</v>
          </cell>
          <cell r="D38" t="str">
            <v>旭智咨询管理（深圳）有限责任公司</v>
          </cell>
          <cell r="E38">
            <v>2657875</v>
          </cell>
        </row>
        <row r="39">
          <cell r="A39" t="str">
            <v>1511.02</v>
          </cell>
          <cell r="B39" t="str">
            <v>　　投资成本</v>
          </cell>
          <cell r="C39" t="str">
            <v>011</v>
          </cell>
          <cell r="D39" t="str">
            <v>旭智资本（开曼）有限公司</v>
          </cell>
          <cell r="E39">
            <v>7.8</v>
          </cell>
        </row>
        <row r="40">
          <cell r="A40" t="str">
            <v>1511.02</v>
          </cell>
          <cell r="B40" t="str">
            <v>　　投资成本</v>
          </cell>
          <cell r="C40" t="str">
            <v>012</v>
          </cell>
          <cell r="D40" t="str">
            <v>旭智兴邦有限公司</v>
          </cell>
          <cell r="E40">
            <v>10000</v>
          </cell>
        </row>
        <row r="41">
          <cell r="A41" t="str">
            <v>1601</v>
          </cell>
          <cell r="B41" t="str">
            <v>固定资产</v>
          </cell>
          <cell r="E41">
            <v>81529</v>
          </cell>
        </row>
        <row r="42">
          <cell r="A42" t="str">
            <v>1601.01</v>
          </cell>
          <cell r="B42" t="str">
            <v>　　电子设备</v>
          </cell>
          <cell r="E42">
            <v>81529</v>
          </cell>
        </row>
        <row r="43">
          <cell r="A43" t="str">
            <v>1602</v>
          </cell>
          <cell r="B43" t="str">
            <v>累计折旧</v>
          </cell>
          <cell r="F43">
            <v>72246.2</v>
          </cell>
          <cell r="H43">
            <v>299.44</v>
          </cell>
        </row>
        <row r="44">
          <cell r="A44" t="str">
            <v>1602.01</v>
          </cell>
          <cell r="B44" t="str">
            <v>　　电子设备</v>
          </cell>
          <cell r="F44">
            <v>72246.2</v>
          </cell>
          <cell r="H44">
            <v>299.44</v>
          </cell>
        </row>
        <row r="45">
          <cell r="A45" t="str">
            <v>1701</v>
          </cell>
          <cell r="B45" t="str">
            <v>无形资产</v>
          </cell>
          <cell r="E45">
            <v>18000000</v>
          </cell>
        </row>
        <row r="46">
          <cell r="A46" t="str">
            <v>1701.02</v>
          </cell>
          <cell r="B46" t="str">
            <v>　　 商业材料许可证</v>
          </cell>
          <cell r="E46">
            <v>18000000</v>
          </cell>
        </row>
        <row r="47">
          <cell r="A47" t="str">
            <v>1702</v>
          </cell>
          <cell r="B47" t="str">
            <v>累计摊销</v>
          </cell>
          <cell r="F47">
            <v>8550000</v>
          </cell>
          <cell r="H47">
            <v>150000</v>
          </cell>
        </row>
        <row r="48">
          <cell r="A48" t="str">
            <v>1702.02</v>
          </cell>
          <cell r="B48" t="str">
            <v>　　  商业材料许可证</v>
          </cell>
          <cell r="F48">
            <v>8550000</v>
          </cell>
          <cell r="H48">
            <v>150000</v>
          </cell>
        </row>
        <row r="49">
          <cell r="A49" t="str">
            <v>2211</v>
          </cell>
          <cell r="B49" t="str">
            <v>应付职工薪酬</v>
          </cell>
          <cell r="F49">
            <v>99433.52</v>
          </cell>
          <cell r="G49">
            <v>12000</v>
          </cell>
          <cell r="H49">
            <v>12000</v>
          </cell>
        </row>
        <row r="50">
          <cell r="A50" t="str">
            <v>2211.02</v>
          </cell>
          <cell r="B50" t="str">
            <v>　　职工奖金</v>
          </cell>
        </row>
        <row r="51">
          <cell r="A51" t="str">
            <v>2211.11</v>
          </cell>
          <cell r="B51" t="str">
            <v>　　应付强制性公积金</v>
          </cell>
          <cell r="F51">
            <v>12000</v>
          </cell>
          <cell r="G51">
            <v>12000</v>
          </cell>
          <cell r="H51">
            <v>12000</v>
          </cell>
        </row>
        <row r="52">
          <cell r="A52" t="str">
            <v>2211.12</v>
          </cell>
          <cell r="B52" t="str">
            <v>　　应付长期服务金</v>
          </cell>
          <cell r="F52">
            <v>87433.52</v>
          </cell>
        </row>
        <row r="53">
          <cell r="A53" t="str">
            <v>2211.13</v>
          </cell>
          <cell r="B53" t="str">
            <v>　　未使用假期负债</v>
          </cell>
        </row>
        <row r="54">
          <cell r="A54" t="str">
            <v>2241</v>
          </cell>
          <cell r="B54" t="str">
            <v>其他应付款</v>
          </cell>
          <cell r="F54">
            <v>7549945.75</v>
          </cell>
          <cell r="G54">
            <v>215735.5</v>
          </cell>
          <cell r="H54">
            <v>873516.66</v>
          </cell>
        </row>
        <row r="55">
          <cell r="A55" t="str">
            <v>2241.01</v>
          </cell>
          <cell r="B55" t="str">
            <v>　　单位</v>
          </cell>
          <cell r="F55">
            <v>7418040.6399999997</v>
          </cell>
          <cell r="G55">
            <v>215735.5</v>
          </cell>
          <cell r="H55">
            <v>873516.66</v>
          </cell>
        </row>
        <row r="56">
          <cell r="A56" t="str">
            <v>2241.01</v>
          </cell>
          <cell r="B56" t="str">
            <v>　　单位</v>
          </cell>
          <cell r="C56" t="str">
            <v>SU003011</v>
          </cell>
          <cell r="D56" t="str">
            <v>Tricor Services Limited</v>
          </cell>
          <cell r="F56">
            <v>44076</v>
          </cell>
          <cell r="H56">
            <v>18700</v>
          </cell>
        </row>
        <row r="57">
          <cell r="A57" t="str">
            <v>2241.01</v>
          </cell>
          <cell r="B57" t="str">
            <v>　　单位</v>
          </cell>
          <cell r="C57" t="str">
            <v>SU004019</v>
          </cell>
          <cell r="D57" t="str">
            <v>PricewaterhouseCoopers Limited</v>
          </cell>
          <cell r="F57">
            <v>306666.64</v>
          </cell>
          <cell r="G57">
            <v>138000</v>
          </cell>
          <cell r="H57">
            <v>19166.66</v>
          </cell>
        </row>
        <row r="58">
          <cell r="A58" t="str">
            <v>2241.01</v>
          </cell>
          <cell r="B58" t="str">
            <v>　　单位</v>
          </cell>
          <cell r="C58" t="str">
            <v>SU005045</v>
          </cell>
          <cell r="D58" t="str">
            <v>旭智资本(香港)有限公司</v>
          </cell>
          <cell r="F58">
            <v>7067298</v>
          </cell>
          <cell r="G58">
            <v>77735.5</v>
          </cell>
          <cell r="H58">
            <v>835650</v>
          </cell>
        </row>
        <row r="59">
          <cell r="A59" t="str">
            <v>2241.02</v>
          </cell>
          <cell r="B59" t="str">
            <v>　　个人</v>
          </cell>
          <cell r="F59">
            <v>131905.10999999999</v>
          </cell>
        </row>
        <row r="60">
          <cell r="A60" t="str">
            <v>2241.02</v>
          </cell>
          <cell r="B60" t="str">
            <v>　　个人</v>
          </cell>
          <cell r="C60" t="str">
            <v>SP003008</v>
          </cell>
          <cell r="D60" t="str">
            <v>卢淑怡</v>
          </cell>
        </row>
        <row r="61">
          <cell r="A61" t="str">
            <v>2241.02</v>
          </cell>
          <cell r="B61" t="str">
            <v>　　个人</v>
          </cell>
          <cell r="C61" t="str">
            <v>SP003010</v>
          </cell>
          <cell r="D61" t="str">
            <v>员工报销</v>
          </cell>
          <cell r="F61">
            <v>131905.10999999999</v>
          </cell>
        </row>
        <row r="62">
          <cell r="A62" t="str">
            <v>2304</v>
          </cell>
          <cell r="B62" t="str">
            <v>其他金融工具负债</v>
          </cell>
          <cell r="F62">
            <v>23400000</v>
          </cell>
        </row>
        <row r="63">
          <cell r="A63" t="str">
            <v>2304.01</v>
          </cell>
          <cell r="B63" t="str">
            <v>　　B类优先股</v>
          </cell>
          <cell r="F63">
            <v>23400000</v>
          </cell>
        </row>
        <row r="64">
          <cell r="A64" t="str">
            <v>2304.01</v>
          </cell>
          <cell r="B64" t="str">
            <v>　　B类优先股</v>
          </cell>
          <cell r="C64" t="str">
            <v>QTWL0001</v>
          </cell>
          <cell r="D64" t="str">
            <v>辉朗投资有限公司</v>
          </cell>
          <cell r="F64">
            <v>1755000</v>
          </cell>
        </row>
        <row r="65">
          <cell r="A65" t="str">
            <v>2304.01</v>
          </cell>
          <cell r="B65" t="str">
            <v>　　B类优先股</v>
          </cell>
          <cell r="C65" t="str">
            <v>QTWL0002</v>
          </cell>
          <cell r="D65" t="str">
            <v>Pure Nice Limited</v>
          </cell>
          <cell r="F65">
            <v>1755000</v>
          </cell>
        </row>
        <row r="66">
          <cell r="A66" t="str">
            <v>2304.01</v>
          </cell>
          <cell r="B66" t="str">
            <v>　　B类优先股</v>
          </cell>
          <cell r="C66" t="str">
            <v>QTWL0003</v>
          </cell>
          <cell r="D66" t="str">
            <v>旭铂投资有限公司</v>
          </cell>
          <cell r="F66">
            <v>19305000</v>
          </cell>
        </row>
        <row r="67">
          <cell r="A67" t="str">
            <v>2304.01</v>
          </cell>
          <cell r="B67" t="str">
            <v>　　B类优先股</v>
          </cell>
          <cell r="C67" t="str">
            <v>QTWL0004</v>
          </cell>
          <cell r="D67" t="str">
            <v>智慧基建投资有限公司</v>
          </cell>
          <cell r="F67">
            <v>585000</v>
          </cell>
        </row>
        <row r="68">
          <cell r="A68" t="str">
            <v>4001</v>
          </cell>
          <cell r="B68" t="str">
            <v>实收资本（股本）</v>
          </cell>
          <cell r="F68">
            <v>156720000</v>
          </cell>
        </row>
        <row r="69">
          <cell r="A69" t="str">
            <v>4001.50</v>
          </cell>
          <cell r="B69" t="str">
            <v>　　普通股</v>
          </cell>
          <cell r="F69">
            <v>122917624</v>
          </cell>
        </row>
        <row r="70">
          <cell r="A70" t="str">
            <v>4001.50.01</v>
          </cell>
          <cell r="B70" t="str">
            <v>　　　　威力能源投资有限公司</v>
          </cell>
          <cell r="F70">
            <v>35262000</v>
          </cell>
        </row>
        <row r="71">
          <cell r="A71" t="str">
            <v>4001.50.02</v>
          </cell>
          <cell r="B71" t="str">
            <v>　　　　旭铂投资有限公司</v>
          </cell>
          <cell r="F71">
            <v>60229624</v>
          </cell>
        </row>
        <row r="72">
          <cell r="A72" t="str">
            <v>4001.50.03</v>
          </cell>
          <cell r="B72" t="str">
            <v>　　　　辉朗投资有限公司</v>
          </cell>
          <cell r="F72">
            <v>11754000</v>
          </cell>
        </row>
        <row r="73">
          <cell r="A73" t="str">
            <v>4001.50.04</v>
          </cell>
          <cell r="B73" t="str">
            <v>　　　　智慧基建投资有限公司</v>
          </cell>
          <cell r="F73">
            <v>3918000</v>
          </cell>
        </row>
        <row r="74">
          <cell r="A74" t="str">
            <v>4001.50.05</v>
          </cell>
          <cell r="B74" t="str">
            <v>　　　　Pure Nice Limited</v>
          </cell>
          <cell r="F74">
            <v>11754000</v>
          </cell>
        </row>
        <row r="75">
          <cell r="A75" t="str">
            <v>4001.51</v>
          </cell>
          <cell r="B75" t="str">
            <v>　　优先股</v>
          </cell>
          <cell r="F75">
            <v>33802376</v>
          </cell>
        </row>
        <row r="76">
          <cell r="A76" t="str">
            <v>4001.51.01</v>
          </cell>
          <cell r="B76" t="str">
            <v>　　　　旭铂投资有限公司</v>
          </cell>
          <cell r="F76">
            <v>33802376</v>
          </cell>
        </row>
        <row r="77">
          <cell r="A77" t="str">
            <v>4103</v>
          </cell>
          <cell r="B77" t="str">
            <v>本年利润</v>
          </cell>
          <cell r="F77">
            <v>-2662305.5299999998</v>
          </cell>
          <cell r="G77">
            <v>782814.64</v>
          </cell>
          <cell r="H77">
            <v>77735.5</v>
          </cell>
        </row>
        <row r="78">
          <cell r="A78" t="str">
            <v>4104</v>
          </cell>
          <cell r="B78" t="str">
            <v>利润分配</v>
          </cell>
          <cell r="F78">
            <v>-72630693.239999995</v>
          </cell>
        </row>
        <row r="79">
          <cell r="A79" t="str">
            <v>4104.07</v>
          </cell>
          <cell r="B79" t="str">
            <v>　　未分配利润</v>
          </cell>
          <cell r="F79">
            <v>-72630693.239999995</v>
          </cell>
        </row>
        <row r="80">
          <cell r="A80" t="str">
            <v>6115</v>
          </cell>
          <cell r="B80" t="str">
            <v>其他收益</v>
          </cell>
          <cell r="G80">
            <v>77735.5</v>
          </cell>
          <cell r="H80">
            <v>77735.5</v>
          </cell>
        </row>
        <row r="81">
          <cell r="A81" t="str">
            <v>6115.03</v>
          </cell>
          <cell r="B81" t="str">
            <v>　　公司间往来</v>
          </cell>
          <cell r="G81">
            <v>77735.5</v>
          </cell>
          <cell r="H81">
            <v>77735.5</v>
          </cell>
        </row>
        <row r="82">
          <cell r="A82" t="str">
            <v>6602</v>
          </cell>
          <cell r="B82" t="str">
            <v>管理费用</v>
          </cell>
          <cell r="G82">
            <v>790623.84</v>
          </cell>
          <cell r="H82">
            <v>790623.84</v>
          </cell>
        </row>
        <row r="83">
          <cell r="A83" t="str">
            <v>6602.01</v>
          </cell>
          <cell r="B83" t="str">
            <v>　　工资薪金</v>
          </cell>
          <cell r="G83">
            <v>425500</v>
          </cell>
          <cell r="H83">
            <v>425500</v>
          </cell>
        </row>
        <row r="84">
          <cell r="A84" t="str">
            <v>6602.01.01</v>
          </cell>
          <cell r="B84" t="str">
            <v>　　　　基本工资（专业）</v>
          </cell>
          <cell r="G84">
            <v>141000</v>
          </cell>
          <cell r="H84">
            <v>141000</v>
          </cell>
        </row>
        <row r="85">
          <cell r="A85" t="str">
            <v>6602.01.05</v>
          </cell>
          <cell r="B85" t="str">
            <v>　　　　员工假期</v>
          </cell>
        </row>
        <row r="86">
          <cell r="A86" t="str">
            <v>6602.01.08</v>
          </cell>
          <cell r="B86" t="str">
            <v>　　　　基本工资（管理）</v>
          </cell>
          <cell r="G86">
            <v>284500</v>
          </cell>
          <cell r="H86">
            <v>284500</v>
          </cell>
        </row>
        <row r="87">
          <cell r="A87" t="str">
            <v>6602.02</v>
          </cell>
          <cell r="B87" t="str">
            <v>　　职工福利</v>
          </cell>
        </row>
        <row r="88">
          <cell r="A88" t="str">
            <v>6602.02.02</v>
          </cell>
          <cell r="B88" t="str">
            <v>　　　　团建活动</v>
          </cell>
        </row>
        <row r="89">
          <cell r="A89" t="str">
            <v>6602.03</v>
          </cell>
          <cell r="B89" t="str">
            <v>　　社保公积金</v>
          </cell>
          <cell r="G89">
            <v>30831.09</v>
          </cell>
          <cell r="H89">
            <v>30831.09</v>
          </cell>
        </row>
        <row r="90">
          <cell r="A90" t="str">
            <v>6602.03.01</v>
          </cell>
          <cell r="B90" t="str">
            <v>　　　　员工社保福利</v>
          </cell>
          <cell r="G90">
            <v>24831.09</v>
          </cell>
          <cell r="H90">
            <v>24831.09</v>
          </cell>
        </row>
        <row r="91">
          <cell r="A91" t="str">
            <v>6602.03.03</v>
          </cell>
          <cell r="B91" t="str">
            <v>　　　　员工强制性公积金福利</v>
          </cell>
          <cell r="G91">
            <v>6000</v>
          </cell>
          <cell r="H91">
            <v>6000</v>
          </cell>
        </row>
        <row r="92">
          <cell r="A92" t="str">
            <v>6602.04</v>
          </cell>
          <cell r="B92" t="str">
            <v>　　咨询及专业服务费</v>
          </cell>
          <cell r="G92">
            <v>37666.660000000003</v>
          </cell>
          <cell r="H92">
            <v>37666.660000000003</v>
          </cell>
        </row>
        <row r="93">
          <cell r="A93" t="str">
            <v>6602.04.01</v>
          </cell>
          <cell r="B93" t="str">
            <v>　　　　会计服务费</v>
          </cell>
          <cell r="G93">
            <v>12000</v>
          </cell>
          <cell r="H93">
            <v>12000</v>
          </cell>
        </row>
        <row r="94">
          <cell r="A94" t="str">
            <v>6602.04.02</v>
          </cell>
          <cell r="B94" t="str">
            <v>　　　　审计服务费</v>
          </cell>
          <cell r="G94">
            <v>19166.66</v>
          </cell>
          <cell r="H94">
            <v>19166.66</v>
          </cell>
        </row>
        <row r="95">
          <cell r="A95" t="str">
            <v>6602.04.07</v>
          </cell>
          <cell r="B95" t="str">
            <v>　　　　人力资源服务费</v>
          </cell>
          <cell r="G95">
            <v>6500</v>
          </cell>
          <cell r="H95">
            <v>6500</v>
          </cell>
        </row>
        <row r="96">
          <cell r="A96" t="str">
            <v>6602.05</v>
          </cell>
          <cell r="B96" t="str">
            <v>　　占用费</v>
          </cell>
          <cell r="G96">
            <v>55650</v>
          </cell>
          <cell r="H96">
            <v>55650</v>
          </cell>
        </row>
        <row r="97">
          <cell r="A97" t="str">
            <v>6602.05.08</v>
          </cell>
          <cell r="B97" t="str">
            <v>　　　　集团内分摊</v>
          </cell>
          <cell r="G97">
            <v>55650</v>
          </cell>
          <cell r="H97">
            <v>55650</v>
          </cell>
        </row>
        <row r="98">
          <cell r="A98" t="str">
            <v>6602.06</v>
          </cell>
          <cell r="B98" t="str">
            <v>　　业务招待费</v>
          </cell>
        </row>
        <row r="99">
          <cell r="A99" t="str">
            <v>6602.06</v>
          </cell>
          <cell r="B99" t="str">
            <v>　　业务招待费</v>
          </cell>
          <cell r="C99" t="str">
            <v>CI009</v>
          </cell>
          <cell r="D99" t="str">
            <v>旭智资本</v>
          </cell>
        </row>
        <row r="100">
          <cell r="A100" t="str">
            <v>6602.08</v>
          </cell>
          <cell r="B100" t="str">
            <v>　　事务费用</v>
          </cell>
          <cell r="G100">
            <v>71928.929999999993</v>
          </cell>
          <cell r="H100">
            <v>71928.929999999993</v>
          </cell>
        </row>
        <row r="101">
          <cell r="A101" t="str">
            <v>6602.08.01</v>
          </cell>
          <cell r="B101" t="str">
            <v>　　　　通信费</v>
          </cell>
          <cell r="G101">
            <v>1140</v>
          </cell>
          <cell r="H101">
            <v>1140</v>
          </cell>
        </row>
        <row r="102">
          <cell r="A102" t="str">
            <v>6602.08.01</v>
          </cell>
          <cell r="B102" t="str">
            <v>　　　　通信费</v>
          </cell>
          <cell r="C102" t="str">
            <v>CI009</v>
          </cell>
          <cell r="D102" t="str">
            <v>旭智资本</v>
          </cell>
          <cell r="G102">
            <v>1140</v>
          </cell>
          <cell r="H102">
            <v>1140</v>
          </cell>
        </row>
        <row r="103">
          <cell r="A103" t="str">
            <v>6602.08.03</v>
          </cell>
          <cell r="B103" t="str">
            <v>　　　　办公用品</v>
          </cell>
        </row>
        <row r="104">
          <cell r="A104" t="str">
            <v>6602.08.03</v>
          </cell>
          <cell r="B104" t="str">
            <v>　　　　办公用品</v>
          </cell>
          <cell r="C104" t="str">
            <v>CI009</v>
          </cell>
          <cell r="D104" t="str">
            <v>旭智资本</v>
          </cell>
        </row>
        <row r="105">
          <cell r="A105" t="str">
            <v>6602.08.04</v>
          </cell>
          <cell r="B105" t="str">
            <v>　　　　事务保金</v>
          </cell>
          <cell r="G105">
            <v>409.78</v>
          </cell>
          <cell r="H105">
            <v>409.78</v>
          </cell>
        </row>
        <row r="106">
          <cell r="A106" t="str">
            <v>6602.08.04</v>
          </cell>
          <cell r="B106" t="str">
            <v>　　　　事务保金</v>
          </cell>
          <cell r="C106" t="str">
            <v>CI009</v>
          </cell>
          <cell r="D106" t="str">
            <v>旭智资本</v>
          </cell>
          <cell r="G106">
            <v>409.78</v>
          </cell>
          <cell r="H106">
            <v>409.78</v>
          </cell>
        </row>
        <row r="107">
          <cell r="A107" t="str">
            <v>6602.08.05</v>
          </cell>
          <cell r="B107" t="str">
            <v>　　　　邮费/邮递费</v>
          </cell>
          <cell r="G107">
            <v>297</v>
          </cell>
          <cell r="H107">
            <v>297</v>
          </cell>
        </row>
        <row r="108">
          <cell r="A108" t="str">
            <v>6602.08.05</v>
          </cell>
          <cell r="B108" t="str">
            <v>　　　　邮费/邮递费</v>
          </cell>
          <cell r="C108" t="str">
            <v>CI009</v>
          </cell>
          <cell r="D108" t="str">
            <v>旭智资本</v>
          </cell>
          <cell r="G108">
            <v>297</v>
          </cell>
          <cell r="H108">
            <v>297</v>
          </cell>
        </row>
        <row r="109">
          <cell r="A109" t="str">
            <v>6602.08.06</v>
          </cell>
          <cell r="B109" t="str">
            <v>　　　　IT专业人士及微软服务</v>
          </cell>
          <cell r="G109">
            <v>31504.74</v>
          </cell>
          <cell r="H109">
            <v>31504.74</v>
          </cell>
        </row>
        <row r="110">
          <cell r="A110" t="str">
            <v>6602.08.06</v>
          </cell>
          <cell r="B110" t="str">
            <v>　　　　IT专业人士及微软服务</v>
          </cell>
          <cell r="C110" t="str">
            <v>CI009</v>
          </cell>
          <cell r="D110" t="str">
            <v>旭智资本</v>
          </cell>
          <cell r="G110">
            <v>31504.74</v>
          </cell>
          <cell r="H110">
            <v>31504.74</v>
          </cell>
        </row>
        <row r="111">
          <cell r="A111" t="str">
            <v>6602.08.07</v>
          </cell>
          <cell r="B111" t="str">
            <v>　　　　软件许可证费用</v>
          </cell>
          <cell r="G111">
            <v>38229.410000000003</v>
          </cell>
          <cell r="H111">
            <v>38229.410000000003</v>
          </cell>
        </row>
        <row r="112">
          <cell r="A112" t="str">
            <v>6602.08.07</v>
          </cell>
          <cell r="B112" t="str">
            <v>　　　　软件许可证费用</v>
          </cell>
          <cell r="C112" t="str">
            <v>CI009</v>
          </cell>
          <cell r="D112" t="str">
            <v>旭智资本</v>
          </cell>
          <cell r="G112">
            <v>38229.410000000003</v>
          </cell>
          <cell r="H112">
            <v>38229.410000000003</v>
          </cell>
        </row>
        <row r="113">
          <cell r="A113" t="str">
            <v>6602.08.10</v>
          </cell>
          <cell r="B113" t="str">
            <v>　　　　电话国际直拨/电话会议收费</v>
          </cell>
          <cell r="G113">
            <v>348</v>
          </cell>
          <cell r="H113">
            <v>348</v>
          </cell>
        </row>
        <row r="114">
          <cell r="A114" t="str">
            <v>6602.08.10</v>
          </cell>
          <cell r="B114" t="str">
            <v>　　　　电话国际直拨/电话会议收费</v>
          </cell>
          <cell r="C114" t="str">
            <v>CI009</v>
          </cell>
          <cell r="D114" t="str">
            <v>旭智资本</v>
          </cell>
          <cell r="G114">
            <v>348</v>
          </cell>
          <cell r="H114">
            <v>348</v>
          </cell>
        </row>
        <row r="115">
          <cell r="A115" t="str">
            <v>6602.09</v>
          </cell>
          <cell r="B115" t="str">
            <v>　　差旅费</v>
          </cell>
          <cell r="G115">
            <v>14290.73</v>
          </cell>
          <cell r="H115">
            <v>14290.73</v>
          </cell>
        </row>
        <row r="116">
          <cell r="A116" t="str">
            <v>6602.09.04</v>
          </cell>
          <cell r="B116" t="str">
            <v>　　　　空中交通费</v>
          </cell>
          <cell r="G116">
            <v>8610.73</v>
          </cell>
          <cell r="H116">
            <v>8610.73</v>
          </cell>
        </row>
        <row r="117">
          <cell r="A117" t="str">
            <v>6602.09.04</v>
          </cell>
          <cell r="B117" t="str">
            <v>　　　　空中交通费</v>
          </cell>
          <cell r="C117" t="str">
            <v>CI009</v>
          </cell>
          <cell r="D117" t="str">
            <v>旭智资本</v>
          </cell>
          <cell r="G117">
            <v>8610.73</v>
          </cell>
          <cell r="H117">
            <v>8610.73</v>
          </cell>
        </row>
        <row r="118">
          <cell r="A118" t="str">
            <v>6602.09.99</v>
          </cell>
          <cell r="B118" t="str">
            <v>　　　　其他</v>
          </cell>
          <cell r="G118">
            <v>5680</v>
          </cell>
          <cell r="H118">
            <v>5680</v>
          </cell>
        </row>
        <row r="119">
          <cell r="A119" t="str">
            <v>6602.09.99</v>
          </cell>
          <cell r="B119" t="str">
            <v>　　　　其他</v>
          </cell>
          <cell r="C119" t="str">
            <v>CI009</v>
          </cell>
          <cell r="D119" t="str">
            <v>旭智资本</v>
          </cell>
          <cell r="G119">
            <v>5680</v>
          </cell>
          <cell r="H119">
            <v>5680</v>
          </cell>
        </row>
        <row r="120">
          <cell r="A120" t="str">
            <v>6602.10</v>
          </cell>
          <cell r="B120" t="str">
            <v>　　折旧费</v>
          </cell>
          <cell r="G120">
            <v>299.44</v>
          </cell>
          <cell r="H120">
            <v>299.44</v>
          </cell>
        </row>
        <row r="121">
          <cell r="A121" t="str">
            <v>6602.10.01</v>
          </cell>
          <cell r="B121" t="str">
            <v>　　　　电子设备</v>
          </cell>
          <cell r="G121">
            <v>299.44</v>
          </cell>
          <cell r="H121">
            <v>299.44</v>
          </cell>
        </row>
        <row r="122">
          <cell r="A122" t="str">
            <v>6602.15</v>
          </cell>
          <cell r="B122" t="str">
            <v>　　服务费</v>
          </cell>
        </row>
        <row r="123">
          <cell r="A123" t="str">
            <v>6602.19</v>
          </cell>
          <cell r="B123" t="str">
            <v>　　会费（公司）</v>
          </cell>
        </row>
        <row r="124">
          <cell r="A124" t="str">
            <v>6602.21</v>
          </cell>
          <cell r="B124" t="str">
            <v>　　公司秘书费</v>
          </cell>
          <cell r="G124">
            <v>1256.99</v>
          </cell>
          <cell r="H124">
            <v>1256.99</v>
          </cell>
        </row>
        <row r="125">
          <cell r="A125" t="str">
            <v>6602.23</v>
          </cell>
          <cell r="B125" t="str">
            <v>　　无形资产摊销</v>
          </cell>
          <cell r="G125">
            <v>150000</v>
          </cell>
          <cell r="H125">
            <v>150000</v>
          </cell>
        </row>
        <row r="126">
          <cell r="A126" t="str">
            <v>6602.99</v>
          </cell>
          <cell r="B126" t="str">
            <v>　　其他</v>
          </cell>
          <cell r="G126">
            <v>3200</v>
          </cell>
          <cell r="H126">
            <v>3200</v>
          </cell>
        </row>
        <row r="127">
          <cell r="A127" t="str">
            <v>6603</v>
          </cell>
          <cell r="B127" t="str">
            <v>财务费用</v>
          </cell>
          <cell r="G127">
            <v>-7809.2</v>
          </cell>
          <cell r="H127">
            <v>-7809.2</v>
          </cell>
        </row>
        <row r="128">
          <cell r="A128" t="str">
            <v>6603.01</v>
          </cell>
          <cell r="B128" t="str">
            <v>　　汇兑损益</v>
          </cell>
          <cell r="G128">
            <v>-7809.48</v>
          </cell>
          <cell r="H128">
            <v>-7809.48</v>
          </cell>
        </row>
        <row r="129">
          <cell r="A129" t="str">
            <v>6603.03</v>
          </cell>
          <cell r="B129" t="str">
            <v>　　银行手续费</v>
          </cell>
          <cell r="G129">
            <v>4.4000000000000004</v>
          </cell>
          <cell r="H129">
            <v>4.4000000000000004</v>
          </cell>
        </row>
        <row r="130">
          <cell r="A130" t="str">
            <v>6603.04</v>
          </cell>
          <cell r="B130" t="str">
            <v>　　利息收入</v>
          </cell>
          <cell r="G130">
            <v>-4.12</v>
          </cell>
          <cell r="H130">
            <v>-4.12</v>
          </cell>
        </row>
        <row r="131">
          <cell r="B131" t="str">
            <v>合计</v>
          </cell>
          <cell r="E131">
            <v>121098626.7</v>
          </cell>
          <cell r="F131">
            <v>121098626.7</v>
          </cell>
          <cell r="G131">
            <v>2798757.82</v>
          </cell>
          <cell r="H131">
            <v>2798757.82</v>
          </cell>
        </row>
      </sheetData>
      <sheetData sheetId="5">
        <row r="1">
          <cell r="A1" t="str">
            <v>币别:香港元</v>
          </cell>
          <cell r="B1" t="str">
            <v>账簿:旭智资本有限公司</v>
          </cell>
          <cell r="C1" t="str">
            <v>期间:2025.6 -- 2025.6</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77951.09</v>
          </cell>
          <cell r="G4">
            <v>486525.53</v>
          </cell>
          <cell r="H4">
            <v>500028.07</v>
          </cell>
        </row>
        <row r="5">
          <cell r="A5" t="str">
            <v>1002.01</v>
          </cell>
          <cell r="B5" t="str">
            <v>　　【旭智资本】银行存款账户</v>
          </cell>
          <cell r="E5">
            <v>77951.09</v>
          </cell>
          <cell r="G5">
            <v>486525.53</v>
          </cell>
          <cell r="H5">
            <v>500028.07</v>
          </cell>
        </row>
        <row r="6">
          <cell r="A6" t="str">
            <v>1002.01.01</v>
          </cell>
          <cell r="B6" t="str">
            <v>　　　　汇丰银行-741-282-503-838</v>
          </cell>
          <cell r="E6">
            <v>77951.09</v>
          </cell>
          <cell r="G6">
            <v>486525.53</v>
          </cell>
          <cell r="H6">
            <v>500028.07</v>
          </cell>
        </row>
        <row r="7">
          <cell r="A7" t="str">
            <v>1002.01.01.01</v>
          </cell>
          <cell r="B7" t="str">
            <v>　　　　　　【旭智资本】汇丰港元储蓄账户 3838</v>
          </cell>
          <cell r="E7">
            <v>61641.07</v>
          </cell>
          <cell r="G7">
            <v>470001.69</v>
          </cell>
          <cell r="H7">
            <v>483718.05</v>
          </cell>
        </row>
        <row r="8">
          <cell r="A8" t="str">
            <v>1002.01.01.03</v>
          </cell>
          <cell r="B8" t="str">
            <v>　　　　　　【旭智资本】汇丰外币储蓄账户 - 人民币 3838</v>
          </cell>
          <cell r="E8">
            <v>877.05</v>
          </cell>
          <cell r="G8">
            <v>1065.8599999999999</v>
          </cell>
          <cell r="H8">
            <v>877.05</v>
          </cell>
        </row>
        <row r="9">
          <cell r="A9" t="str">
            <v>1002.01.01.04</v>
          </cell>
          <cell r="B9" t="str">
            <v>　　　　　　【旭智资本】汇丰外币储蓄账户 - 美元 3838</v>
          </cell>
          <cell r="E9">
            <v>15432.97</v>
          </cell>
          <cell r="G9">
            <v>15457.98</v>
          </cell>
          <cell r="H9">
            <v>15432.97</v>
          </cell>
        </row>
        <row r="10">
          <cell r="A10" t="str">
            <v>1002.01.01.05</v>
          </cell>
          <cell r="B10" t="str">
            <v>　　　　　　【旭智资本】汇丰港元定期存款</v>
          </cell>
        </row>
        <row r="11">
          <cell r="A11" t="str">
            <v>1002.01.01.06</v>
          </cell>
          <cell r="B11" t="str">
            <v>　　　　　　【旭智资本】汇丰人民币定期存款</v>
          </cell>
        </row>
        <row r="12">
          <cell r="A12" t="str">
            <v>1123</v>
          </cell>
          <cell r="B12" t="str">
            <v>预付账款</v>
          </cell>
          <cell r="E12">
            <v>5820585.21</v>
          </cell>
          <cell r="H12">
            <v>41802.94</v>
          </cell>
        </row>
        <row r="13">
          <cell r="A13" t="str">
            <v>1123.01</v>
          </cell>
          <cell r="B13" t="str">
            <v>　　单位</v>
          </cell>
          <cell r="E13">
            <v>379140.21</v>
          </cell>
          <cell r="H13">
            <v>41802.94</v>
          </cell>
        </row>
        <row r="14">
          <cell r="A14" t="str">
            <v>1123.01</v>
          </cell>
          <cell r="B14" t="str">
            <v>　　单位</v>
          </cell>
          <cell r="C14" t="str">
            <v>SU003001</v>
          </cell>
          <cell r="D14" t="str">
            <v>Boardroom Corporate Services (HK) Limited</v>
          </cell>
          <cell r="E14">
            <v>8677.26</v>
          </cell>
          <cell r="H14">
            <v>1216.44</v>
          </cell>
        </row>
        <row r="15">
          <cell r="A15" t="str">
            <v>1123.01</v>
          </cell>
          <cell r="B15" t="str">
            <v>　　单位</v>
          </cell>
          <cell r="C15" t="str">
            <v>SU003003</v>
          </cell>
          <cell r="D15" t="str">
            <v>SUN HING INSURANCE BROKERS LTD.</v>
          </cell>
          <cell r="E15">
            <v>243570.98</v>
          </cell>
          <cell r="H15">
            <v>24096.18</v>
          </cell>
        </row>
        <row r="16">
          <cell r="A16" t="str">
            <v>1123.01</v>
          </cell>
          <cell r="B16" t="str">
            <v>　　单位</v>
          </cell>
          <cell r="C16" t="str">
            <v>SU003024</v>
          </cell>
          <cell r="D16" t="str">
            <v>SiteGround Hosting Ltd</v>
          </cell>
          <cell r="E16">
            <v>1118.04</v>
          </cell>
          <cell r="H16">
            <v>234.56</v>
          </cell>
        </row>
        <row r="17">
          <cell r="A17" t="str">
            <v>1123.01</v>
          </cell>
          <cell r="B17" t="str">
            <v>　　单位</v>
          </cell>
          <cell r="C17" t="str">
            <v>SU003025</v>
          </cell>
          <cell r="D17" t="str">
            <v>Godaddy.Com,LLC</v>
          </cell>
          <cell r="E17">
            <v>629.21</v>
          </cell>
          <cell r="H17">
            <v>38.21</v>
          </cell>
        </row>
        <row r="18">
          <cell r="A18" t="str">
            <v>1123.01</v>
          </cell>
          <cell r="B18" t="str">
            <v>　　单位</v>
          </cell>
          <cell r="C18" t="str">
            <v>SU004011</v>
          </cell>
          <cell r="D18" t="str">
            <v>Master Concept (Hong Kong) Limited</v>
          </cell>
          <cell r="E18">
            <v>124805.33</v>
          </cell>
          <cell r="H18">
            <v>16217.55</v>
          </cell>
        </row>
        <row r="19">
          <cell r="A19" t="str">
            <v>1123.01</v>
          </cell>
          <cell r="B19" t="str">
            <v>　　单位</v>
          </cell>
          <cell r="C19" t="str">
            <v>SU011002</v>
          </cell>
          <cell r="D19" t="str">
            <v>TMF (Cayman) Ltd.</v>
          </cell>
          <cell r="E19">
            <v>339.39</v>
          </cell>
        </row>
        <row r="20">
          <cell r="A20" t="str">
            <v>1123.02</v>
          </cell>
          <cell r="B20" t="str">
            <v>　　个人</v>
          </cell>
          <cell r="E20">
            <v>5441445</v>
          </cell>
        </row>
        <row r="21">
          <cell r="A21" t="str">
            <v>1123.02</v>
          </cell>
          <cell r="B21" t="str">
            <v>　　个人</v>
          </cell>
          <cell r="C21" t="str">
            <v>SP005001</v>
          </cell>
          <cell r="D21" t="str">
            <v>冯冠邦</v>
          </cell>
          <cell r="E21">
            <v>5441445</v>
          </cell>
        </row>
        <row r="22">
          <cell r="A22" t="str">
            <v>1132</v>
          </cell>
          <cell r="B22" t="str">
            <v>应收利息</v>
          </cell>
        </row>
        <row r="23">
          <cell r="A23" t="str">
            <v>1132</v>
          </cell>
          <cell r="B23" t="str">
            <v>应收利息</v>
          </cell>
          <cell r="C23" t="str">
            <v>OU004001</v>
          </cell>
          <cell r="D23" t="str">
            <v>香港上海汇丰银行有限公司</v>
          </cell>
        </row>
        <row r="24">
          <cell r="A24" t="str">
            <v>1221</v>
          </cell>
          <cell r="B24" t="str">
            <v>其他应收款</v>
          </cell>
          <cell r="E24">
            <v>4754259.0599999996</v>
          </cell>
          <cell r="G24">
            <v>921.69</v>
          </cell>
          <cell r="H24">
            <v>184.73</v>
          </cell>
        </row>
        <row r="25">
          <cell r="A25" t="str">
            <v>1221.01</v>
          </cell>
          <cell r="B25" t="str">
            <v>　　单位</v>
          </cell>
          <cell r="E25">
            <v>4754259.0599999996</v>
          </cell>
          <cell r="G25">
            <v>921.69</v>
          </cell>
          <cell r="H25">
            <v>184.73</v>
          </cell>
        </row>
        <row r="26">
          <cell r="A26" t="str">
            <v>1221.01</v>
          </cell>
          <cell r="B26" t="str">
            <v>　　单位</v>
          </cell>
          <cell r="C26" t="str">
            <v>CU003003</v>
          </cell>
          <cell r="D26" t="str">
            <v>旭智资本（开曼）有限公司</v>
          </cell>
          <cell r="E26">
            <v>940184.83</v>
          </cell>
        </row>
        <row r="27">
          <cell r="A27" t="str">
            <v>1221.01</v>
          </cell>
          <cell r="B27" t="str">
            <v>　　单位</v>
          </cell>
          <cell r="C27" t="str">
            <v>CU003004</v>
          </cell>
          <cell r="D27" t="str">
            <v>广州旭智投资控股有限责任公司</v>
          </cell>
          <cell r="E27">
            <v>691684.29</v>
          </cell>
          <cell r="G27">
            <v>837.9</v>
          </cell>
          <cell r="H27">
            <v>184.73</v>
          </cell>
        </row>
        <row r="28">
          <cell r="A28" t="str">
            <v>1221.01</v>
          </cell>
          <cell r="B28" t="str">
            <v>　　单位</v>
          </cell>
          <cell r="C28" t="str">
            <v>CU003005</v>
          </cell>
          <cell r="D28" t="str">
            <v>Albamen Cayman Fund II</v>
          </cell>
          <cell r="E28">
            <v>2848350.13</v>
          </cell>
        </row>
        <row r="29">
          <cell r="A29" t="str">
            <v>1221.01</v>
          </cell>
          <cell r="B29" t="str">
            <v>　　单位</v>
          </cell>
          <cell r="C29" t="str">
            <v>CU003006</v>
          </cell>
          <cell r="D29" t="str">
            <v>旭智咨询管理(深圳)有限责任公司</v>
          </cell>
          <cell r="E29">
            <v>72999.320000000007</v>
          </cell>
          <cell r="G29">
            <v>83.79</v>
          </cell>
        </row>
        <row r="30">
          <cell r="A30" t="str">
            <v>1221.01</v>
          </cell>
          <cell r="B30" t="str">
            <v>　　单位</v>
          </cell>
          <cell r="C30" t="str">
            <v>CU003007</v>
          </cell>
          <cell r="D30" t="str">
            <v>旭智兴邦有限公司</v>
          </cell>
          <cell r="E30">
            <v>104516.13</v>
          </cell>
        </row>
        <row r="31">
          <cell r="A31" t="str">
            <v>1221.01</v>
          </cell>
          <cell r="B31" t="str">
            <v>　　单位</v>
          </cell>
          <cell r="C31" t="str">
            <v>CU003008</v>
          </cell>
          <cell r="D31" t="str">
            <v>Rising Son Invesments Limited</v>
          </cell>
          <cell r="E31">
            <v>10055</v>
          </cell>
        </row>
        <row r="32">
          <cell r="A32" t="str">
            <v>1221.01</v>
          </cell>
          <cell r="B32" t="str">
            <v>　　单位</v>
          </cell>
          <cell r="C32" t="str">
            <v>CU003009</v>
          </cell>
          <cell r="D32" t="str">
            <v>Sustainable Energy (HK) Investment Holding Ltd</v>
          </cell>
          <cell r="E32">
            <v>10000</v>
          </cell>
        </row>
        <row r="33">
          <cell r="A33" t="str">
            <v>1221.01</v>
          </cell>
          <cell r="B33" t="str">
            <v>　　单位</v>
          </cell>
          <cell r="C33" t="str">
            <v>CU003010</v>
          </cell>
          <cell r="D33" t="str">
            <v>旭智富能新能源（深圳）有限责任公司</v>
          </cell>
          <cell r="E33">
            <v>76419.360000000001</v>
          </cell>
        </row>
        <row r="34">
          <cell r="A34" t="str">
            <v>1221.01</v>
          </cell>
          <cell r="B34" t="str">
            <v>　　单位</v>
          </cell>
          <cell r="C34" t="str">
            <v>CU003011</v>
          </cell>
          <cell r="D34" t="str">
            <v>Manulife Investment Management (Hong Kong )Limited</v>
          </cell>
          <cell r="E34">
            <v>50</v>
          </cell>
        </row>
        <row r="35">
          <cell r="A35" t="str">
            <v>1511</v>
          </cell>
          <cell r="B35" t="str">
            <v>长期股权投资</v>
          </cell>
          <cell r="E35">
            <v>92467303.799999997</v>
          </cell>
        </row>
        <row r="36">
          <cell r="A36" t="str">
            <v>1511.02</v>
          </cell>
          <cell r="B36" t="str">
            <v>　　投资成本</v>
          </cell>
          <cell r="E36">
            <v>92467303.799999997</v>
          </cell>
        </row>
        <row r="37">
          <cell r="A37" t="str">
            <v>1511.02</v>
          </cell>
          <cell r="B37" t="str">
            <v>　　投资成本</v>
          </cell>
          <cell r="C37" t="str">
            <v>004</v>
          </cell>
          <cell r="D37" t="str">
            <v>旭智资本（香港）有限公司</v>
          </cell>
          <cell r="E37">
            <v>89799421</v>
          </cell>
        </row>
        <row r="38">
          <cell r="A38" t="str">
            <v>1511.02</v>
          </cell>
          <cell r="B38" t="str">
            <v>　　投资成本</v>
          </cell>
          <cell r="C38" t="str">
            <v>006</v>
          </cell>
          <cell r="D38" t="str">
            <v>旭智咨询管理（深圳）有限责任公司</v>
          </cell>
          <cell r="E38">
            <v>2657875</v>
          </cell>
        </row>
        <row r="39">
          <cell r="A39" t="str">
            <v>1511.02</v>
          </cell>
          <cell r="B39" t="str">
            <v>　　投资成本</v>
          </cell>
          <cell r="C39" t="str">
            <v>011</v>
          </cell>
          <cell r="D39" t="str">
            <v>旭智资本（开曼）有限公司</v>
          </cell>
          <cell r="E39">
            <v>7.8</v>
          </cell>
        </row>
        <row r="40">
          <cell r="A40" t="str">
            <v>1511.02</v>
          </cell>
          <cell r="B40" t="str">
            <v>　　投资成本</v>
          </cell>
          <cell r="C40" t="str">
            <v>012</v>
          </cell>
          <cell r="D40" t="str">
            <v>旭智兴邦有限公司</v>
          </cell>
          <cell r="E40">
            <v>10000</v>
          </cell>
        </row>
        <row r="41">
          <cell r="A41" t="str">
            <v>1601</v>
          </cell>
          <cell r="B41" t="str">
            <v>固定资产</v>
          </cell>
          <cell r="E41">
            <v>81529</v>
          </cell>
        </row>
        <row r="42">
          <cell r="A42" t="str">
            <v>1601.01</v>
          </cell>
          <cell r="B42" t="str">
            <v>　　电子设备</v>
          </cell>
          <cell r="E42">
            <v>81529</v>
          </cell>
        </row>
        <row r="43">
          <cell r="A43" t="str">
            <v>1602</v>
          </cell>
          <cell r="B43" t="str">
            <v>累计折旧</v>
          </cell>
          <cell r="F43">
            <v>72545.64</v>
          </cell>
          <cell r="H43">
            <v>299.44</v>
          </cell>
        </row>
        <row r="44">
          <cell r="A44" t="str">
            <v>1602.01</v>
          </cell>
          <cell r="B44" t="str">
            <v>　　电子设备</v>
          </cell>
          <cell r="F44">
            <v>72545.64</v>
          </cell>
          <cell r="H44">
            <v>299.44</v>
          </cell>
        </row>
        <row r="45">
          <cell r="A45" t="str">
            <v>1701</v>
          </cell>
          <cell r="B45" t="str">
            <v>无形资产</v>
          </cell>
          <cell r="E45">
            <v>18000000</v>
          </cell>
        </row>
        <row r="46">
          <cell r="A46" t="str">
            <v>1701.02</v>
          </cell>
          <cell r="B46" t="str">
            <v>　　 商业材料许可证</v>
          </cell>
          <cell r="E46">
            <v>18000000</v>
          </cell>
        </row>
        <row r="47">
          <cell r="A47" t="str">
            <v>1702</v>
          </cell>
          <cell r="B47" t="str">
            <v>累计摊销</v>
          </cell>
          <cell r="F47">
            <v>8700000</v>
          </cell>
          <cell r="H47">
            <v>150000</v>
          </cell>
        </row>
        <row r="48">
          <cell r="A48" t="str">
            <v>1702.02</v>
          </cell>
          <cell r="B48" t="str">
            <v>　　  商业材料许可证</v>
          </cell>
          <cell r="F48">
            <v>8700000</v>
          </cell>
          <cell r="H48">
            <v>150000</v>
          </cell>
        </row>
        <row r="49">
          <cell r="A49" t="str">
            <v>2211</v>
          </cell>
          <cell r="B49" t="str">
            <v>应付职工薪酬</v>
          </cell>
          <cell r="F49">
            <v>99433.52</v>
          </cell>
          <cell r="G49">
            <v>12600</v>
          </cell>
          <cell r="H49">
            <v>12000</v>
          </cell>
        </row>
        <row r="50">
          <cell r="A50" t="str">
            <v>2211.02</v>
          </cell>
          <cell r="B50" t="str">
            <v>　　职工奖金</v>
          </cell>
        </row>
        <row r="51">
          <cell r="A51" t="str">
            <v>2211.11</v>
          </cell>
          <cell r="B51" t="str">
            <v>　　应付强制性公积金</v>
          </cell>
          <cell r="F51">
            <v>12000</v>
          </cell>
          <cell r="G51">
            <v>12600</v>
          </cell>
          <cell r="H51">
            <v>12000</v>
          </cell>
        </row>
        <row r="52">
          <cell r="A52" t="str">
            <v>2211.12</v>
          </cell>
          <cell r="B52" t="str">
            <v>　　应付长期服务金</v>
          </cell>
          <cell r="F52">
            <v>87433.52</v>
          </cell>
        </row>
        <row r="53">
          <cell r="A53" t="str">
            <v>2211.13</v>
          </cell>
          <cell r="B53" t="str">
            <v>　　未使用假期负债</v>
          </cell>
        </row>
        <row r="54">
          <cell r="A54" t="str">
            <v>2241</v>
          </cell>
          <cell r="B54" t="str">
            <v>其他应付款</v>
          </cell>
          <cell r="F54">
            <v>8207726.9100000001</v>
          </cell>
          <cell r="G54">
            <v>121811.5</v>
          </cell>
          <cell r="H54">
            <v>559516.66</v>
          </cell>
        </row>
        <row r="55">
          <cell r="A55" t="str">
            <v>2241.01</v>
          </cell>
          <cell r="B55" t="str">
            <v>　　单位</v>
          </cell>
          <cell r="F55">
            <v>8075821.7999999998</v>
          </cell>
          <cell r="G55">
            <v>121811.5</v>
          </cell>
          <cell r="H55">
            <v>559516.66</v>
          </cell>
        </row>
        <row r="56">
          <cell r="A56" t="str">
            <v>2241.01</v>
          </cell>
          <cell r="B56" t="str">
            <v>　　单位</v>
          </cell>
          <cell r="C56" t="str">
            <v>SU003011</v>
          </cell>
          <cell r="D56" t="str">
            <v>Tricor Services Limited</v>
          </cell>
          <cell r="F56">
            <v>62776</v>
          </cell>
          <cell r="G56">
            <v>44076</v>
          </cell>
          <cell r="H56">
            <v>14700</v>
          </cell>
        </row>
        <row r="57">
          <cell r="A57" t="str">
            <v>2241.01</v>
          </cell>
          <cell r="B57" t="str">
            <v>　　单位</v>
          </cell>
          <cell r="C57" t="str">
            <v>SU004019</v>
          </cell>
          <cell r="D57" t="str">
            <v>PricewaterhouseCoopers Limited</v>
          </cell>
          <cell r="F57">
            <v>187833.3</v>
          </cell>
          <cell r="H57">
            <v>19166.66</v>
          </cell>
        </row>
        <row r="58">
          <cell r="A58" t="str">
            <v>2241.01</v>
          </cell>
          <cell r="B58" t="str">
            <v>　　单位</v>
          </cell>
          <cell r="C58" t="str">
            <v>SU005045</v>
          </cell>
          <cell r="D58" t="str">
            <v>旭智资本(香港)有限公司</v>
          </cell>
          <cell r="F58">
            <v>7825212.5</v>
          </cell>
          <cell r="G58">
            <v>77735.5</v>
          </cell>
          <cell r="H58">
            <v>525650</v>
          </cell>
        </row>
        <row r="59">
          <cell r="A59" t="str">
            <v>2241.02</v>
          </cell>
          <cell r="B59" t="str">
            <v>　　个人</v>
          </cell>
          <cell r="F59">
            <v>131905.10999999999</v>
          </cell>
        </row>
        <row r="60">
          <cell r="A60" t="str">
            <v>2241.02</v>
          </cell>
          <cell r="B60" t="str">
            <v>　　个人</v>
          </cell>
          <cell r="C60" t="str">
            <v>SP003008</v>
          </cell>
          <cell r="D60" t="str">
            <v>卢淑怡</v>
          </cell>
        </row>
        <row r="61">
          <cell r="A61" t="str">
            <v>2241.02</v>
          </cell>
          <cell r="B61" t="str">
            <v>　　个人</v>
          </cell>
          <cell r="C61" t="str">
            <v>SP003010</v>
          </cell>
          <cell r="D61" t="str">
            <v>员工报销</v>
          </cell>
          <cell r="F61">
            <v>131905.10999999999</v>
          </cell>
        </row>
        <row r="62">
          <cell r="A62" t="str">
            <v>2304</v>
          </cell>
          <cell r="B62" t="str">
            <v>其他金融工具负债</v>
          </cell>
          <cell r="F62">
            <v>23400000</v>
          </cell>
        </row>
        <row r="63">
          <cell r="A63" t="str">
            <v>2304.01</v>
          </cell>
          <cell r="B63" t="str">
            <v>　　B类优先股</v>
          </cell>
          <cell r="F63">
            <v>23400000</v>
          </cell>
        </row>
        <row r="64">
          <cell r="A64" t="str">
            <v>2304.01</v>
          </cell>
          <cell r="B64" t="str">
            <v>　　B类优先股</v>
          </cell>
          <cell r="C64" t="str">
            <v>QTWL0001</v>
          </cell>
          <cell r="D64" t="str">
            <v>辉朗投资有限公司</v>
          </cell>
          <cell r="F64">
            <v>1755000</v>
          </cell>
        </row>
        <row r="65">
          <cell r="A65" t="str">
            <v>2304.01</v>
          </cell>
          <cell r="B65" t="str">
            <v>　　B类优先股</v>
          </cell>
          <cell r="C65" t="str">
            <v>QTWL0002</v>
          </cell>
          <cell r="D65" t="str">
            <v>Pure Nice Limited</v>
          </cell>
          <cell r="F65">
            <v>1755000</v>
          </cell>
        </row>
        <row r="66">
          <cell r="A66" t="str">
            <v>2304.01</v>
          </cell>
          <cell r="B66" t="str">
            <v>　　B类优先股</v>
          </cell>
          <cell r="C66" t="str">
            <v>QTWL0003</v>
          </cell>
          <cell r="D66" t="str">
            <v>旭铂投资有限公司</v>
          </cell>
          <cell r="F66">
            <v>19305000</v>
          </cell>
        </row>
        <row r="67">
          <cell r="A67" t="str">
            <v>2304.01</v>
          </cell>
          <cell r="B67" t="str">
            <v>　　B类优先股</v>
          </cell>
          <cell r="C67" t="str">
            <v>QTWL0004</v>
          </cell>
          <cell r="D67" t="str">
            <v>智慧基建投资有限公司</v>
          </cell>
          <cell r="F67">
            <v>585000</v>
          </cell>
        </row>
        <row r="68">
          <cell r="A68" t="str">
            <v>4001</v>
          </cell>
          <cell r="B68" t="str">
            <v>实收资本（股本）</v>
          </cell>
          <cell r="F68">
            <v>156720000</v>
          </cell>
        </row>
        <row r="69">
          <cell r="A69" t="str">
            <v>4001.50</v>
          </cell>
          <cell r="B69" t="str">
            <v>　　普通股</v>
          </cell>
          <cell r="F69">
            <v>122917624</v>
          </cell>
        </row>
        <row r="70">
          <cell r="A70" t="str">
            <v>4001.50.01</v>
          </cell>
          <cell r="B70" t="str">
            <v>　　　　威力能源投资有限公司</v>
          </cell>
          <cell r="F70">
            <v>35262000</v>
          </cell>
        </row>
        <row r="71">
          <cell r="A71" t="str">
            <v>4001.50.02</v>
          </cell>
          <cell r="B71" t="str">
            <v>　　　　旭铂投资有限公司</v>
          </cell>
          <cell r="F71">
            <v>60229624</v>
          </cell>
        </row>
        <row r="72">
          <cell r="A72" t="str">
            <v>4001.50.03</v>
          </cell>
          <cell r="B72" t="str">
            <v>　　　　辉朗投资有限公司</v>
          </cell>
          <cell r="F72">
            <v>11754000</v>
          </cell>
        </row>
        <row r="73">
          <cell r="A73" t="str">
            <v>4001.50.04</v>
          </cell>
          <cell r="B73" t="str">
            <v>　　　　智慧基建投资有限公司</v>
          </cell>
          <cell r="F73">
            <v>3918000</v>
          </cell>
        </row>
        <row r="74">
          <cell r="A74" t="str">
            <v>4001.50.05</v>
          </cell>
          <cell r="B74" t="str">
            <v>　　　　Pure Nice Limited</v>
          </cell>
          <cell r="F74">
            <v>11754000</v>
          </cell>
        </row>
        <row r="75">
          <cell r="A75" t="str">
            <v>4001.51</v>
          </cell>
          <cell r="B75" t="str">
            <v>　　优先股</v>
          </cell>
          <cell r="F75">
            <v>33802376</v>
          </cell>
        </row>
        <row r="76">
          <cell r="A76" t="str">
            <v>4001.51.01</v>
          </cell>
          <cell r="B76" t="str">
            <v>　　　　旭铂投资有限公司</v>
          </cell>
          <cell r="F76">
            <v>33802376</v>
          </cell>
        </row>
        <row r="77">
          <cell r="A77" t="str">
            <v>4103</v>
          </cell>
          <cell r="B77" t="str">
            <v>本年利润</v>
          </cell>
          <cell r="F77">
            <v>-3367384.67</v>
          </cell>
          <cell r="G77">
            <v>719708.62</v>
          </cell>
          <cell r="H77">
            <v>77735.5</v>
          </cell>
        </row>
        <row r="78">
          <cell r="A78" t="str">
            <v>4104</v>
          </cell>
          <cell r="B78" t="str">
            <v>利润分配</v>
          </cell>
          <cell r="F78">
            <v>-72630693.239999995</v>
          </cell>
        </row>
        <row r="79">
          <cell r="A79" t="str">
            <v>4104.07</v>
          </cell>
          <cell r="B79" t="str">
            <v>　　未分配利润</v>
          </cell>
          <cell r="F79">
            <v>-72630693.239999995</v>
          </cell>
        </row>
        <row r="80">
          <cell r="A80" t="str">
            <v>6115</v>
          </cell>
          <cell r="B80" t="str">
            <v>其他收益</v>
          </cell>
          <cell r="G80">
            <v>77735.5</v>
          </cell>
          <cell r="H80">
            <v>77735.5</v>
          </cell>
        </row>
        <row r="81">
          <cell r="A81" t="str">
            <v>6115.03</v>
          </cell>
          <cell r="B81" t="str">
            <v>　　公司间往来</v>
          </cell>
          <cell r="G81">
            <v>77735.5</v>
          </cell>
          <cell r="H81">
            <v>77735.5</v>
          </cell>
        </row>
        <row r="82">
          <cell r="A82" t="str">
            <v>6602</v>
          </cell>
          <cell r="B82" t="str">
            <v>管理费用</v>
          </cell>
          <cell r="G82">
            <v>720652.29</v>
          </cell>
          <cell r="H82">
            <v>720652.29</v>
          </cell>
        </row>
        <row r="83">
          <cell r="A83" t="str">
            <v>6602.01</v>
          </cell>
          <cell r="B83" t="str">
            <v>　　工资薪金</v>
          </cell>
          <cell r="G83">
            <v>425500</v>
          </cell>
          <cell r="H83">
            <v>425500</v>
          </cell>
        </row>
        <row r="84">
          <cell r="A84" t="str">
            <v>6602.01.01</v>
          </cell>
          <cell r="B84" t="str">
            <v>　　　　基本工资（专业）</v>
          </cell>
          <cell r="G84">
            <v>141000</v>
          </cell>
          <cell r="H84">
            <v>141000</v>
          </cell>
        </row>
        <row r="85">
          <cell r="A85" t="str">
            <v>6602.01.05</v>
          </cell>
          <cell r="B85" t="str">
            <v>　　　　员工假期</v>
          </cell>
        </row>
        <row r="86">
          <cell r="A86" t="str">
            <v>6602.01.08</v>
          </cell>
          <cell r="B86" t="str">
            <v>　　　　基本工资（管理）</v>
          </cell>
          <cell r="G86">
            <v>284500</v>
          </cell>
          <cell r="H86">
            <v>284500</v>
          </cell>
        </row>
        <row r="87">
          <cell r="A87" t="str">
            <v>6602.02</v>
          </cell>
          <cell r="B87" t="str">
            <v>　　职工福利</v>
          </cell>
        </row>
        <row r="88">
          <cell r="A88" t="str">
            <v>6602.02.02</v>
          </cell>
          <cell r="B88" t="str">
            <v>　　　　团建活动</v>
          </cell>
        </row>
        <row r="89">
          <cell r="A89" t="str">
            <v>6602.03</v>
          </cell>
          <cell r="B89" t="str">
            <v>　　社保公积金</v>
          </cell>
          <cell r="G89">
            <v>30030.09</v>
          </cell>
          <cell r="H89">
            <v>30030.09</v>
          </cell>
        </row>
        <row r="90">
          <cell r="A90" t="str">
            <v>6602.03.01</v>
          </cell>
          <cell r="B90" t="str">
            <v>　　　　员工社保福利</v>
          </cell>
          <cell r="G90">
            <v>24030.09</v>
          </cell>
          <cell r="H90">
            <v>24030.09</v>
          </cell>
        </row>
        <row r="91">
          <cell r="A91" t="str">
            <v>6602.03.03</v>
          </cell>
          <cell r="B91" t="str">
            <v>　　　　员工强制性公积金福利</v>
          </cell>
          <cell r="G91">
            <v>6000</v>
          </cell>
          <cell r="H91">
            <v>6000</v>
          </cell>
        </row>
        <row r="92">
          <cell r="A92" t="str">
            <v>6602.04</v>
          </cell>
          <cell r="B92" t="str">
            <v>　　咨询及专业服务费</v>
          </cell>
          <cell r="G92">
            <v>33666.660000000003</v>
          </cell>
          <cell r="H92">
            <v>33666.660000000003</v>
          </cell>
        </row>
        <row r="93">
          <cell r="A93" t="str">
            <v>6602.04.01</v>
          </cell>
          <cell r="B93" t="str">
            <v>　　　　会计服务费</v>
          </cell>
          <cell r="G93">
            <v>12000</v>
          </cell>
          <cell r="H93">
            <v>12000</v>
          </cell>
        </row>
        <row r="94">
          <cell r="A94" t="str">
            <v>6602.04.02</v>
          </cell>
          <cell r="B94" t="str">
            <v>　　　　审计服务费</v>
          </cell>
          <cell r="G94">
            <v>19166.66</v>
          </cell>
          <cell r="H94">
            <v>19166.66</v>
          </cell>
        </row>
        <row r="95">
          <cell r="A95" t="str">
            <v>6602.04.07</v>
          </cell>
          <cell r="B95" t="str">
            <v>　　　　人力资源服务费</v>
          </cell>
          <cell r="G95">
            <v>2500</v>
          </cell>
          <cell r="H95">
            <v>2500</v>
          </cell>
        </row>
        <row r="96">
          <cell r="A96" t="str">
            <v>6602.05</v>
          </cell>
          <cell r="B96" t="str">
            <v>　　占用费</v>
          </cell>
          <cell r="G96">
            <v>55650</v>
          </cell>
          <cell r="H96">
            <v>55650</v>
          </cell>
        </row>
        <row r="97">
          <cell r="A97" t="str">
            <v>6602.05.08</v>
          </cell>
          <cell r="B97" t="str">
            <v>　　　　集团内分摊</v>
          </cell>
          <cell r="G97">
            <v>55650</v>
          </cell>
          <cell r="H97">
            <v>55650</v>
          </cell>
        </row>
        <row r="98">
          <cell r="A98" t="str">
            <v>6602.06</v>
          </cell>
          <cell r="B98" t="str">
            <v>　　业务招待费</v>
          </cell>
          <cell r="G98">
            <v>-973.5</v>
          </cell>
          <cell r="H98">
            <v>-973.5</v>
          </cell>
        </row>
        <row r="99">
          <cell r="A99" t="str">
            <v>6602.06</v>
          </cell>
          <cell r="B99" t="str">
            <v>　　业务招待费</v>
          </cell>
          <cell r="C99" t="str">
            <v>CI009</v>
          </cell>
          <cell r="D99" t="str">
            <v>旭智资本</v>
          </cell>
          <cell r="G99">
            <v>-973.5</v>
          </cell>
          <cell r="H99">
            <v>-973.5</v>
          </cell>
        </row>
        <row r="100">
          <cell r="A100" t="str">
            <v>6602.08</v>
          </cell>
          <cell r="B100" t="str">
            <v>　　事务费用</v>
          </cell>
          <cell r="G100">
            <v>18281.41</v>
          </cell>
          <cell r="H100">
            <v>18281.41</v>
          </cell>
        </row>
        <row r="101">
          <cell r="A101" t="str">
            <v>6602.08.01</v>
          </cell>
          <cell r="B101" t="str">
            <v>　　　　通信费</v>
          </cell>
          <cell r="G101">
            <v>1140</v>
          </cell>
          <cell r="H101">
            <v>1140</v>
          </cell>
        </row>
        <row r="102">
          <cell r="A102" t="str">
            <v>6602.08.01</v>
          </cell>
          <cell r="B102" t="str">
            <v>　　　　通信费</v>
          </cell>
          <cell r="C102" t="str">
            <v>CI009</v>
          </cell>
          <cell r="D102" t="str">
            <v>旭智资本</v>
          </cell>
          <cell r="G102">
            <v>1140</v>
          </cell>
          <cell r="H102">
            <v>1140</v>
          </cell>
        </row>
        <row r="103">
          <cell r="A103" t="str">
            <v>6602.08.03</v>
          </cell>
          <cell r="B103" t="str">
            <v>　　　　办公用品</v>
          </cell>
        </row>
        <row r="104">
          <cell r="A104" t="str">
            <v>6602.08.03</v>
          </cell>
          <cell r="B104" t="str">
            <v>　　　　办公用品</v>
          </cell>
          <cell r="C104" t="str">
            <v>CI009</v>
          </cell>
          <cell r="D104" t="str">
            <v>旭智资本</v>
          </cell>
        </row>
        <row r="105">
          <cell r="A105" t="str">
            <v>6602.08.04</v>
          </cell>
          <cell r="B105" t="str">
            <v>　　　　事务保金</v>
          </cell>
          <cell r="G105">
            <v>66.09</v>
          </cell>
          <cell r="H105">
            <v>66.09</v>
          </cell>
        </row>
        <row r="106">
          <cell r="A106" t="str">
            <v>6602.08.04</v>
          </cell>
          <cell r="B106" t="str">
            <v>　　　　事务保金</v>
          </cell>
          <cell r="C106" t="str">
            <v>CI009</v>
          </cell>
          <cell r="D106" t="str">
            <v>旭智资本</v>
          </cell>
          <cell r="G106">
            <v>66.09</v>
          </cell>
          <cell r="H106">
            <v>66.09</v>
          </cell>
        </row>
        <row r="107">
          <cell r="A107" t="str">
            <v>6602.08.05</v>
          </cell>
          <cell r="B107" t="str">
            <v>　　　　邮费/邮递费</v>
          </cell>
          <cell r="G107">
            <v>159</v>
          </cell>
          <cell r="H107">
            <v>159</v>
          </cell>
        </row>
        <row r="108">
          <cell r="A108" t="str">
            <v>6602.08.05</v>
          </cell>
          <cell r="B108" t="str">
            <v>　　　　邮费/邮递费</v>
          </cell>
          <cell r="C108" t="str">
            <v>CI009</v>
          </cell>
          <cell r="D108" t="str">
            <v>旭智资本</v>
          </cell>
          <cell r="G108">
            <v>159</v>
          </cell>
          <cell r="H108">
            <v>159</v>
          </cell>
        </row>
        <row r="109">
          <cell r="A109" t="str">
            <v>6602.08.06</v>
          </cell>
          <cell r="B109" t="str">
            <v>　　　　IT专业人士及微软服务</v>
          </cell>
          <cell r="G109">
            <v>6259.22</v>
          </cell>
          <cell r="H109">
            <v>6259.22</v>
          </cell>
        </row>
        <row r="110">
          <cell r="A110" t="str">
            <v>6602.08.06</v>
          </cell>
          <cell r="B110" t="str">
            <v>　　　　IT专业人士及微软服务</v>
          </cell>
          <cell r="C110" t="str">
            <v>CI009</v>
          </cell>
          <cell r="D110" t="str">
            <v>旭智资本</v>
          </cell>
          <cell r="G110">
            <v>6259.22</v>
          </cell>
          <cell r="H110">
            <v>6259.22</v>
          </cell>
        </row>
        <row r="111">
          <cell r="A111" t="str">
            <v>6602.08.07</v>
          </cell>
          <cell r="B111" t="str">
            <v>　　　　软件许可证费用</v>
          </cell>
          <cell r="G111">
            <v>10309.1</v>
          </cell>
          <cell r="H111">
            <v>10309.1</v>
          </cell>
        </row>
        <row r="112">
          <cell r="A112" t="str">
            <v>6602.08.07</v>
          </cell>
          <cell r="B112" t="str">
            <v>　　　　软件许可证费用</v>
          </cell>
          <cell r="C112" t="str">
            <v>CI009</v>
          </cell>
          <cell r="D112" t="str">
            <v>旭智资本</v>
          </cell>
          <cell r="G112">
            <v>10309.1</v>
          </cell>
          <cell r="H112">
            <v>10309.1</v>
          </cell>
        </row>
        <row r="113">
          <cell r="A113" t="str">
            <v>6602.08.10</v>
          </cell>
          <cell r="B113" t="str">
            <v>　　　　电话国际直拨/电话会议收费</v>
          </cell>
          <cell r="G113">
            <v>348</v>
          </cell>
          <cell r="H113">
            <v>348</v>
          </cell>
        </row>
        <row r="114">
          <cell r="A114" t="str">
            <v>6602.08.10</v>
          </cell>
          <cell r="B114" t="str">
            <v>　　　　电话国际直拨/电话会议收费</v>
          </cell>
          <cell r="C114" t="str">
            <v>CI009</v>
          </cell>
          <cell r="D114" t="str">
            <v>旭智资本</v>
          </cell>
          <cell r="G114">
            <v>348</v>
          </cell>
          <cell r="H114">
            <v>348</v>
          </cell>
        </row>
        <row r="115">
          <cell r="A115" t="str">
            <v>6602.09</v>
          </cell>
          <cell r="B115" t="str">
            <v>　　差旅费</v>
          </cell>
          <cell r="G115">
            <v>3481.75</v>
          </cell>
          <cell r="H115">
            <v>3481.75</v>
          </cell>
        </row>
        <row r="116">
          <cell r="A116" t="str">
            <v>6602.09.04</v>
          </cell>
          <cell r="B116" t="str">
            <v>　　　　空中交通费</v>
          </cell>
          <cell r="G116">
            <v>3897.67</v>
          </cell>
          <cell r="H116">
            <v>3897.67</v>
          </cell>
        </row>
        <row r="117">
          <cell r="A117" t="str">
            <v>6602.09.04</v>
          </cell>
          <cell r="B117" t="str">
            <v>　　　　空中交通费</v>
          </cell>
          <cell r="C117" t="str">
            <v>CI009</v>
          </cell>
          <cell r="D117" t="str">
            <v>旭智资本</v>
          </cell>
          <cell r="G117">
            <v>3897.67</v>
          </cell>
          <cell r="H117">
            <v>3897.67</v>
          </cell>
        </row>
        <row r="118">
          <cell r="A118" t="str">
            <v>6602.09.99</v>
          </cell>
          <cell r="B118" t="str">
            <v>　　　　其他</v>
          </cell>
          <cell r="G118">
            <v>-415.92</v>
          </cell>
          <cell r="H118">
            <v>-415.92</v>
          </cell>
        </row>
        <row r="119">
          <cell r="A119" t="str">
            <v>6602.09.99</v>
          </cell>
          <cell r="B119" t="str">
            <v>　　　　其他</v>
          </cell>
          <cell r="C119" t="str">
            <v>CI009</v>
          </cell>
          <cell r="D119" t="str">
            <v>旭智资本</v>
          </cell>
          <cell r="G119">
            <v>-415.92</v>
          </cell>
          <cell r="H119">
            <v>-415.92</v>
          </cell>
        </row>
        <row r="120">
          <cell r="A120" t="str">
            <v>6602.10</v>
          </cell>
          <cell r="B120" t="str">
            <v>　　折旧费</v>
          </cell>
          <cell r="G120">
            <v>299.44</v>
          </cell>
          <cell r="H120">
            <v>299.44</v>
          </cell>
        </row>
        <row r="121">
          <cell r="A121" t="str">
            <v>6602.10.01</v>
          </cell>
          <cell r="B121" t="str">
            <v>　　　　电子设备</v>
          </cell>
          <cell r="G121">
            <v>299.44</v>
          </cell>
          <cell r="H121">
            <v>299.44</v>
          </cell>
        </row>
        <row r="122">
          <cell r="A122" t="str">
            <v>6602.15</v>
          </cell>
          <cell r="B122" t="str">
            <v>　　服务费</v>
          </cell>
        </row>
        <row r="123">
          <cell r="A123" t="str">
            <v>6602.19</v>
          </cell>
          <cell r="B123" t="str">
            <v>　　会费（公司）</v>
          </cell>
        </row>
        <row r="124">
          <cell r="A124" t="str">
            <v>6602.21</v>
          </cell>
          <cell r="B124" t="str">
            <v>　　公司秘书费</v>
          </cell>
          <cell r="G124">
            <v>1216.44</v>
          </cell>
          <cell r="H124">
            <v>1216.44</v>
          </cell>
        </row>
        <row r="125">
          <cell r="A125" t="str">
            <v>6602.23</v>
          </cell>
          <cell r="B125" t="str">
            <v>　　无形资产摊销</v>
          </cell>
          <cell r="G125">
            <v>150000</v>
          </cell>
          <cell r="H125">
            <v>150000</v>
          </cell>
        </row>
        <row r="126">
          <cell r="A126" t="str">
            <v>6602.99</v>
          </cell>
          <cell r="B126" t="str">
            <v>　　其他</v>
          </cell>
          <cell r="G126">
            <v>3500</v>
          </cell>
          <cell r="H126">
            <v>3500</v>
          </cell>
        </row>
        <row r="127">
          <cell r="A127" t="str">
            <v>6603</v>
          </cell>
          <cell r="B127" t="str">
            <v>财务费用</v>
          </cell>
          <cell r="G127">
            <v>-943.67</v>
          </cell>
          <cell r="H127">
            <v>-943.67</v>
          </cell>
        </row>
        <row r="128">
          <cell r="A128" t="str">
            <v>6603.01</v>
          </cell>
          <cell r="B128" t="str">
            <v>　　汇兑损益</v>
          </cell>
          <cell r="G128">
            <v>-758.9</v>
          </cell>
          <cell r="H128">
            <v>-758.9</v>
          </cell>
        </row>
        <row r="129">
          <cell r="A129" t="str">
            <v>6603.03</v>
          </cell>
          <cell r="B129" t="str">
            <v>　　银行手续费</v>
          </cell>
          <cell r="G129">
            <v>8.8000000000000007</v>
          </cell>
          <cell r="H129">
            <v>8.8000000000000007</v>
          </cell>
        </row>
        <row r="130">
          <cell r="A130" t="str">
            <v>6603.04</v>
          </cell>
          <cell r="B130" t="str">
            <v>　　利息收入</v>
          </cell>
          <cell r="G130">
            <v>-193.57</v>
          </cell>
          <cell r="H130">
            <v>-193.57</v>
          </cell>
        </row>
        <row r="131">
          <cell r="B131" t="str">
            <v>合计</v>
          </cell>
          <cell r="E131">
            <v>121201628.16</v>
          </cell>
          <cell r="F131">
            <v>121201628.16</v>
          </cell>
          <cell r="G131">
            <v>2139011.46</v>
          </cell>
          <cell r="H131">
            <v>2139011.46</v>
          </cell>
        </row>
      </sheetData>
      <sheetData sheetId="6">
        <row r="1">
          <cell r="A1" t="str">
            <v>币别:香港元</v>
          </cell>
          <cell r="B1" t="str">
            <v>账簿:旭智资本有限公司</v>
          </cell>
          <cell r="C1" t="str">
            <v>期间:2025.7 -- 2025.7</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64448.55</v>
          </cell>
          <cell r="G4">
            <v>689464.47</v>
          </cell>
          <cell r="H4">
            <v>701564.94</v>
          </cell>
        </row>
        <row r="5">
          <cell r="A5" t="str">
            <v>1002.01</v>
          </cell>
          <cell r="B5" t="str">
            <v>　　【旭智资本】银行存款账户</v>
          </cell>
          <cell r="E5">
            <v>64448.55</v>
          </cell>
          <cell r="G5">
            <v>689464.47</v>
          </cell>
          <cell r="H5">
            <v>701564.94</v>
          </cell>
        </row>
        <row r="6">
          <cell r="A6" t="str">
            <v>1002.01.01</v>
          </cell>
          <cell r="B6" t="str">
            <v>　　　　汇丰银行-741-282-503-838</v>
          </cell>
          <cell r="E6">
            <v>64448.55</v>
          </cell>
          <cell r="G6">
            <v>689464.47</v>
          </cell>
          <cell r="H6">
            <v>701564.94</v>
          </cell>
        </row>
        <row r="7">
          <cell r="A7" t="str">
            <v>1002.01.01.01</v>
          </cell>
          <cell r="B7" t="str">
            <v>　　　　　　【旭智资本】汇丰港元储蓄账户 3838</v>
          </cell>
          <cell r="E7">
            <v>47924.71</v>
          </cell>
          <cell r="G7">
            <v>500001.77</v>
          </cell>
          <cell r="H7">
            <v>512099.08</v>
          </cell>
        </row>
        <row r="8">
          <cell r="A8" t="str">
            <v>1002.01.01.03</v>
          </cell>
          <cell r="B8" t="str">
            <v>　　　　　　【旭智资本】汇丰外币储蓄账户 - 人民币 3838</v>
          </cell>
          <cell r="E8">
            <v>1065.8599999999999</v>
          </cell>
          <cell r="G8">
            <v>1062.7</v>
          </cell>
          <cell r="H8">
            <v>1065.8599999999999</v>
          </cell>
        </row>
        <row r="9">
          <cell r="A9" t="str">
            <v>1002.01.01.04</v>
          </cell>
          <cell r="B9" t="str">
            <v>　　　　　　【旭智资本】汇丰外币储蓄账户 - 美元 3838</v>
          </cell>
          <cell r="E9">
            <v>15457.98</v>
          </cell>
          <cell r="G9">
            <v>188400</v>
          </cell>
          <cell r="H9">
            <v>188400</v>
          </cell>
        </row>
        <row r="10">
          <cell r="A10" t="str">
            <v>1002.01.01.05</v>
          </cell>
          <cell r="B10" t="str">
            <v>　　　　　　【旭智资本】汇丰港元定期存款</v>
          </cell>
        </row>
        <row r="11">
          <cell r="A11" t="str">
            <v>1002.01.01.06</v>
          </cell>
          <cell r="B11" t="str">
            <v>　　　　　　【旭智资本】汇丰人民币定期存款</v>
          </cell>
        </row>
        <row r="12">
          <cell r="A12" t="str">
            <v>1123</v>
          </cell>
          <cell r="B12" t="str">
            <v>预付账款</v>
          </cell>
          <cell r="E12">
            <v>5778782.2699999996</v>
          </cell>
          <cell r="G12">
            <v>4084.57</v>
          </cell>
          <cell r="H12">
            <v>43128.03</v>
          </cell>
        </row>
        <row r="13">
          <cell r="A13" t="str">
            <v>1123.01</v>
          </cell>
          <cell r="B13" t="str">
            <v>　　单位</v>
          </cell>
          <cell r="E13">
            <v>337337.27</v>
          </cell>
          <cell r="G13">
            <v>4084.57</v>
          </cell>
          <cell r="H13">
            <v>43128.03</v>
          </cell>
        </row>
        <row r="14">
          <cell r="A14" t="str">
            <v>1123.01</v>
          </cell>
          <cell r="B14" t="str">
            <v>　　单位</v>
          </cell>
          <cell r="C14" t="str">
            <v>SU003001</v>
          </cell>
          <cell r="D14" t="str">
            <v>Boardroom Corporate Services (HK) Limited</v>
          </cell>
          <cell r="E14">
            <v>7460.82</v>
          </cell>
          <cell r="H14">
            <v>1256.98</v>
          </cell>
        </row>
        <row r="15">
          <cell r="A15" t="str">
            <v>1123.01</v>
          </cell>
          <cell r="B15" t="str">
            <v>　　单位</v>
          </cell>
          <cell r="C15" t="str">
            <v>SU003003</v>
          </cell>
          <cell r="D15" t="str">
            <v>SUN HING INSURANCE BROKERS LTD.</v>
          </cell>
          <cell r="E15">
            <v>219474.8</v>
          </cell>
          <cell r="G15">
            <v>4084.57</v>
          </cell>
          <cell r="H15">
            <v>24831.09</v>
          </cell>
        </row>
        <row r="16">
          <cell r="A16" t="str">
            <v>1123.01</v>
          </cell>
          <cell r="B16" t="str">
            <v>　　单位</v>
          </cell>
          <cell r="C16" t="str">
            <v>SU003024</v>
          </cell>
          <cell r="D16" t="str">
            <v>SiteGround Hosting Ltd</v>
          </cell>
          <cell r="E16">
            <v>883.48</v>
          </cell>
          <cell r="H16">
            <v>242.37</v>
          </cell>
        </row>
        <row r="17">
          <cell r="A17" t="str">
            <v>1123.01</v>
          </cell>
          <cell r="B17" t="str">
            <v>　　单位</v>
          </cell>
          <cell r="C17" t="str">
            <v>SU003025</v>
          </cell>
          <cell r="D17" t="str">
            <v>Godaddy.Com,LLC</v>
          </cell>
          <cell r="E17">
            <v>591</v>
          </cell>
          <cell r="H17">
            <v>39.479999999999997</v>
          </cell>
        </row>
        <row r="18">
          <cell r="A18" t="str">
            <v>1123.01</v>
          </cell>
          <cell r="B18" t="str">
            <v>　　单位</v>
          </cell>
          <cell r="C18" t="str">
            <v>SU004011</v>
          </cell>
          <cell r="D18" t="str">
            <v>Master Concept (Hong Kong) Limited</v>
          </cell>
          <cell r="E18">
            <v>108587.78</v>
          </cell>
          <cell r="H18">
            <v>16758.11</v>
          </cell>
        </row>
        <row r="19">
          <cell r="A19" t="str">
            <v>1123.01</v>
          </cell>
          <cell r="B19" t="str">
            <v>　　单位</v>
          </cell>
          <cell r="C19" t="str">
            <v>SU011002</v>
          </cell>
          <cell r="D19" t="str">
            <v>TMF (Cayman) Ltd.</v>
          </cell>
          <cell r="E19">
            <v>339.39</v>
          </cell>
        </row>
        <row r="20">
          <cell r="A20" t="str">
            <v>1123.02</v>
          </cell>
          <cell r="B20" t="str">
            <v>　　个人</v>
          </cell>
          <cell r="E20">
            <v>5441445</v>
          </cell>
        </row>
        <row r="21">
          <cell r="A21" t="str">
            <v>1123.02</v>
          </cell>
          <cell r="B21" t="str">
            <v>　　个人</v>
          </cell>
          <cell r="C21" t="str">
            <v>SP005001</v>
          </cell>
          <cell r="D21" t="str">
            <v>冯冠邦</v>
          </cell>
          <cell r="E21">
            <v>5441445</v>
          </cell>
        </row>
        <row r="22">
          <cell r="A22" t="str">
            <v>1132</v>
          </cell>
          <cell r="B22" t="str">
            <v>应收利息</v>
          </cell>
        </row>
        <row r="23">
          <cell r="A23" t="str">
            <v>1132</v>
          </cell>
          <cell r="B23" t="str">
            <v>应收利息</v>
          </cell>
          <cell r="C23" t="str">
            <v>OU004001</v>
          </cell>
          <cell r="D23" t="str">
            <v>香港上海汇丰银行有限公司</v>
          </cell>
        </row>
        <row r="24">
          <cell r="A24" t="str">
            <v>1221</v>
          </cell>
          <cell r="B24" t="str">
            <v>其他应收款</v>
          </cell>
          <cell r="E24">
            <v>4754996.0199999996</v>
          </cell>
          <cell r="G24">
            <v>51180.35</v>
          </cell>
        </row>
        <row r="25">
          <cell r="A25" t="str">
            <v>1221.01</v>
          </cell>
          <cell r="B25" t="str">
            <v>　　单位</v>
          </cell>
          <cell r="E25">
            <v>4754996.0199999996</v>
          </cell>
          <cell r="G25">
            <v>51180.35</v>
          </cell>
        </row>
        <row r="26">
          <cell r="A26" t="str">
            <v>1221.01</v>
          </cell>
          <cell r="B26" t="str">
            <v>　　单位</v>
          </cell>
          <cell r="C26" t="str">
            <v>CU003003</v>
          </cell>
          <cell r="D26" t="str">
            <v>旭智资本（开曼）有限公司</v>
          </cell>
          <cell r="E26">
            <v>940184.83</v>
          </cell>
        </row>
        <row r="27">
          <cell r="A27" t="str">
            <v>1221.01</v>
          </cell>
          <cell r="B27" t="str">
            <v>　　单位</v>
          </cell>
          <cell r="C27" t="str">
            <v>CU003004</v>
          </cell>
          <cell r="D27" t="str">
            <v>广州旭智投资控股有限责任公司</v>
          </cell>
          <cell r="E27">
            <v>692337.46</v>
          </cell>
          <cell r="G27">
            <v>114.35</v>
          </cell>
        </row>
        <row r="28">
          <cell r="A28" t="str">
            <v>1221.01</v>
          </cell>
          <cell r="B28" t="str">
            <v>　　单位</v>
          </cell>
          <cell r="C28" t="str">
            <v>CU003005</v>
          </cell>
          <cell r="D28" t="str">
            <v>Albamen Cayman Fund II</v>
          </cell>
          <cell r="E28">
            <v>2848350.13</v>
          </cell>
        </row>
        <row r="29">
          <cell r="A29" t="str">
            <v>1221.01</v>
          </cell>
          <cell r="B29" t="str">
            <v>　　单位</v>
          </cell>
          <cell r="C29" t="str">
            <v>CU003006</v>
          </cell>
          <cell r="D29" t="str">
            <v>旭智咨询管理(深圳)有限责任公司</v>
          </cell>
          <cell r="E29">
            <v>73083.11</v>
          </cell>
        </row>
        <row r="30">
          <cell r="A30" t="str">
            <v>1221.01</v>
          </cell>
          <cell r="B30" t="str">
            <v>　　单位</v>
          </cell>
          <cell r="C30" t="str">
            <v>CU003007</v>
          </cell>
          <cell r="D30" t="str">
            <v>旭智兴邦有限公司</v>
          </cell>
          <cell r="E30">
            <v>104516.13</v>
          </cell>
        </row>
        <row r="31">
          <cell r="A31" t="str">
            <v>1221.01</v>
          </cell>
          <cell r="B31" t="str">
            <v>　　单位</v>
          </cell>
          <cell r="C31" t="str">
            <v>CU003008</v>
          </cell>
          <cell r="D31" t="str">
            <v>Rising Son Invesments Limited</v>
          </cell>
          <cell r="E31">
            <v>10055</v>
          </cell>
        </row>
        <row r="32">
          <cell r="A32" t="str">
            <v>1221.01</v>
          </cell>
          <cell r="B32" t="str">
            <v>　　单位</v>
          </cell>
          <cell r="C32" t="str">
            <v>CU003009</v>
          </cell>
          <cell r="D32" t="str">
            <v>Sustainable Energy (HK) Investment Holding Ltd</v>
          </cell>
          <cell r="E32">
            <v>10000</v>
          </cell>
        </row>
        <row r="33">
          <cell r="A33" t="str">
            <v>1221.01</v>
          </cell>
          <cell r="B33" t="str">
            <v>　　单位</v>
          </cell>
          <cell r="C33" t="str">
            <v>CU003010</v>
          </cell>
          <cell r="D33" t="str">
            <v>旭智富能新能源（深圳）有限责任公司</v>
          </cell>
          <cell r="E33">
            <v>76419.360000000001</v>
          </cell>
        </row>
        <row r="34">
          <cell r="A34" t="str">
            <v>1221.01</v>
          </cell>
          <cell r="B34" t="str">
            <v>　　单位</v>
          </cell>
          <cell r="C34" t="str">
            <v>CU003011</v>
          </cell>
          <cell r="D34" t="str">
            <v>Manulife Investment Management (Hong Kong )Limited</v>
          </cell>
          <cell r="E34">
            <v>50</v>
          </cell>
        </row>
        <row r="35">
          <cell r="A35" t="str">
            <v>1221.01</v>
          </cell>
          <cell r="B35" t="str">
            <v>　　单位</v>
          </cell>
          <cell r="C35" t="str">
            <v>CU003012</v>
          </cell>
          <cell r="D35" t="str">
            <v>旭智新能源共同投资有限公司</v>
          </cell>
          <cell r="G35">
            <v>51066</v>
          </cell>
        </row>
        <row r="36">
          <cell r="A36" t="str">
            <v>1511</v>
          </cell>
          <cell r="B36" t="str">
            <v>长期股权投资</v>
          </cell>
          <cell r="E36">
            <v>92467303.799999997</v>
          </cell>
        </row>
        <row r="37">
          <cell r="A37" t="str">
            <v>1511.02</v>
          </cell>
          <cell r="B37" t="str">
            <v>　　投资成本</v>
          </cell>
          <cell r="E37">
            <v>92467303.799999997</v>
          </cell>
        </row>
        <row r="38">
          <cell r="A38" t="str">
            <v>1511.02</v>
          </cell>
          <cell r="B38" t="str">
            <v>　　投资成本</v>
          </cell>
          <cell r="C38" t="str">
            <v>004</v>
          </cell>
          <cell r="D38" t="str">
            <v>旭智资本（香港）有限公司</v>
          </cell>
          <cell r="E38">
            <v>89799421</v>
          </cell>
        </row>
        <row r="39">
          <cell r="A39" t="str">
            <v>1511.02</v>
          </cell>
          <cell r="B39" t="str">
            <v>　　投资成本</v>
          </cell>
          <cell r="C39" t="str">
            <v>006</v>
          </cell>
          <cell r="D39" t="str">
            <v>旭智咨询管理（深圳）有限责任公司</v>
          </cell>
          <cell r="E39">
            <v>2657875</v>
          </cell>
        </row>
        <row r="40">
          <cell r="A40" t="str">
            <v>1511.02</v>
          </cell>
          <cell r="B40" t="str">
            <v>　　投资成本</v>
          </cell>
          <cell r="C40" t="str">
            <v>011</v>
          </cell>
          <cell r="D40" t="str">
            <v>旭智资本（开曼）有限公司</v>
          </cell>
          <cell r="E40">
            <v>7.8</v>
          </cell>
        </row>
        <row r="41">
          <cell r="A41" t="str">
            <v>1511.02</v>
          </cell>
          <cell r="B41" t="str">
            <v>　　投资成本</v>
          </cell>
          <cell r="C41" t="str">
            <v>012</v>
          </cell>
          <cell r="D41" t="str">
            <v>旭智兴邦有限公司</v>
          </cell>
          <cell r="E41">
            <v>10000</v>
          </cell>
        </row>
        <row r="42">
          <cell r="A42" t="str">
            <v>1601</v>
          </cell>
          <cell r="B42" t="str">
            <v>固定资产</v>
          </cell>
          <cell r="E42">
            <v>81529</v>
          </cell>
        </row>
        <row r="43">
          <cell r="A43" t="str">
            <v>1601.01</v>
          </cell>
          <cell r="B43" t="str">
            <v>　　电子设备</v>
          </cell>
          <cell r="E43">
            <v>81529</v>
          </cell>
        </row>
        <row r="44">
          <cell r="A44" t="str">
            <v>1602</v>
          </cell>
          <cell r="B44" t="str">
            <v>累计折旧</v>
          </cell>
          <cell r="F44">
            <v>72845.08</v>
          </cell>
          <cell r="H44">
            <v>299.44</v>
          </cell>
        </row>
        <row r="45">
          <cell r="A45" t="str">
            <v>1602.01</v>
          </cell>
          <cell r="B45" t="str">
            <v>　　电子设备</v>
          </cell>
          <cell r="F45">
            <v>72845.08</v>
          </cell>
          <cell r="H45">
            <v>299.44</v>
          </cell>
        </row>
        <row r="46">
          <cell r="A46" t="str">
            <v>1701</v>
          </cell>
          <cell r="B46" t="str">
            <v>无形资产</v>
          </cell>
          <cell r="E46">
            <v>18000000</v>
          </cell>
        </row>
        <row r="47">
          <cell r="A47" t="str">
            <v>1701.02</v>
          </cell>
          <cell r="B47" t="str">
            <v>　　 商业材料许可证</v>
          </cell>
          <cell r="E47">
            <v>18000000</v>
          </cell>
        </row>
        <row r="48">
          <cell r="A48" t="str">
            <v>1702</v>
          </cell>
          <cell r="B48" t="str">
            <v>累计摊销</v>
          </cell>
          <cell r="F48">
            <v>8850000</v>
          </cell>
          <cell r="H48">
            <v>150000</v>
          </cell>
        </row>
        <row r="49">
          <cell r="A49" t="str">
            <v>1702.02</v>
          </cell>
          <cell r="B49" t="str">
            <v>　　  商业材料许可证</v>
          </cell>
          <cell r="F49">
            <v>8850000</v>
          </cell>
          <cell r="H49">
            <v>150000</v>
          </cell>
        </row>
        <row r="50">
          <cell r="A50" t="str">
            <v>2211</v>
          </cell>
          <cell r="B50" t="str">
            <v>应付职工薪酬</v>
          </cell>
          <cell r="F50">
            <v>98833.52</v>
          </cell>
          <cell r="G50">
            <v>12000</v>
          </cell>
          <cell r="H50">
            <v>9000</v>
          </cell>
        </row>
        <row r="51">
          <cell r="A51" t="str">
            <v>2211.02</v>
          </cell>
          <cell r="B51" t="str">
            <v>　　职工奖金</v>
          </cell>
        </row>
        <row r="52">
          <cell r="A52" t="str">
            <v>2211.11</v>
          </cell>
          <cell r="B52" t="str">
            <v>　　应付强制性公积金</v>
          </cell>
          <cell r="F52">
            <v>11400</v>
          </cell>
          <cell r="G52">
            <v>12000</v>
          </cell>
          <cell r="H52">
            <v>9000</v>
          </cell>
        </row>
        <row r="53">
          <cell r="A53" t="str">
            <v>2211.12</v>
          </cell>
          <cell r="B53" t="str">
            <v>　　应付长期服务金</v>
          </cell>
          <cell r="F53">
            <v>87433.52</v>
          </cell>
        </row>
        <row r="54">
          <cell r="A54" t="str">
            <v>2211.13</v>
          </cell>
          <cell r="B54" t="str">
            <v>　　未使用假期负债</v>
          </cell>
        </row>
        <row r="55">
          <cell r="A55" t="str">
            <v>2241</v>
          </cell>
          <cell r="B55" t="str">
            <v>其他应付款</v>
          </cell>
          <cell r="F55">
            <v>8645432.0700000003</v>
          </cell>
          <cell r="G55">
            <v>188435.5</v>
          </cell>
          <cell r="H55">
            <v>777916.66</v>
          </cell>
        </row>
        <row r="56">
          <cell r="A56" t="str">
            <v>2241.01</v>
          </cell>
          <cell r="B56" t="str">
            <v>　　单位</v>
          </cell>
          <cell r="F56">
            <v>8513526.9600000009</v>
          </cell>
          <cell r="G56">
            <v>188435.5</v>
          </cell>
          <cell r="H56">
            <v>777916.66</v>
          </cell>
        </row>
        <row r="57">
          <cell r="A57" t="str">
            <v>2241.01</v>
          </cell>
          <cell r="B57" t="str">
            <v>　　单位</v>
          </cell>
          <cell r="C57" t="str">
            <v>SU003011</v>
          </cell>
          <cell r="D57" t="str">
            <v>Tricor Services Limited</v>
          </cell>
          <cell r="F57">
            <v>33400</v>
          </cell>
          <cell r="G57">
            <v>18700</v>
          </cell>
          <cell r="H57">
            <v>14700</v>
          </cell>
        </row>
        <row r="58">
          <cell r="A58" t="str">
            <v>2241.01</v>
          </cell>
          <cell r="B58" t="str">
            <v>　　单位</v>
          </cell>
          <cell r="C58" t="str">
            <v>SU004019</v>
          </cell>
          <cell r="D58" t="str">
            <v>PricewaterhouseCoopers Limited</v>
          </cell>
          <cell r="F58">
            <v>206999.96</v>
          </cell>
          <cell r="G58">
            <v>92000</v>
          </cell>
          <cell r="H58">
            <v>19166.66</v>
          </cell>
        </row>
        <row r="59">
          <cell r="A59" t="str">
            <v>2241.01</v>
          </cell>
          <cell r="B59" t="str">
            <v>　　单位</v>
          </cell>
          <cell r="C59" t="str">
            <v>SU005045</v>
          </cell>
          <cell r="D59" t="str">
            <v>旭智资本(香港)有限公司</v>
          </cell>
          <cell r="F59">
            <v>8273127</v>
          </cell>
          <cell r="G59">
            <v>77735.5</v>
          </cell>
          <cell r="H59">
            <v>744050</v>
          </cell>
        </row>
        <row r="60">
          <cell r="A60" t="str">
            <v>2241.02</v>
          </cell>
          <cell r="B60" t="str">
            <v>　　个人</v>
          </cell>
          <cell r="F60">
            <v>131905.10999999999</v>
          </cell>
        </row>
        <row r="61">
          <cell r="A61" t="str">
            <v>2241.02</v>
          </cell>
          <cell r="B61" t="str">
            <v>　　个人</v>
          </cell>
          <cell r="C61" t="str">
            <v>SP003008</v>
          </cell>
          <cell r="D61" t="str">
            <v>卢淑怡</v>
          </cell>
        </row>
        <row r="62">
          <cell r="A62" t="str">
            <v>2241.02</v>
          </cell>
          <cell r="B62" t="str">
            <v>　　个人</v>
          </cell>
          <cell r="C62" t="str">
            <v>SP003010</v>
          </cell>
          <cell r="D62" t="str">
            <v>员工报销</v>
          </cell>
          <cell r="F62">
            <v>131905.10999999999</v>
          </cell>
        </row>
        <row r="63">
          <cell r="A63" t="str">
            <v>2304</v>
          </cell>
          <cell r="B63" t="str">
            <v>其他金融工具负债</v>
          </cell>
          <cell r="F63">
            <v>23400000</v>
          </cell>
        </row>
        <row r="64">
          <cell r="A64" t="str">
            <v>2304.01</v>
          </cell>
          <cell r="B64" t="str">
            <v>　　B类优先股</v>
          </cell>
          <cell r="F64">
            <v>23400000</v>
          </cell>
        </row>
        <row r="65">
          <cell r="A65" t="str">
            <v>2304.01</v>
          </cell>
          <cell r="B65" t="str">
            <v>　　B类优先股</v>
          </cell>
          <cell r="C65" t="str">
            <v>QTWL0001</v>
          </cell>
          <cell r="D65" t="str">
            <v>辉朗投资有限公司</v>
          </cell>
          <cell r="F65">
            <v>1755000</v>
          </cell>
        </row>
        <row r="66">
          <cell r="A66" t="str">
            <v>2304.01</v>
          </cell>
          <cell r="B66" t="str">
            <v>　　B类优先股</v>
          </cell>
          <cell r="C66" t="str">
            <v>QTWL0002</v>
          </cell>
          <cell r="D66" t="str">
            <v>Pure Nice Limited</v>
          </cell>
          <cell r="F66">
            <v>1755000</v>
          </cell>
        </row>
        <row r="67">
          <cell r="A67" t="str">
            <v>2304.01</v>
          </cell>
          <cell r="B67" t="str">
            <v>　　B类优先股</v>
          </cell>
          <cell r="C67" t="str">
            <v>QTWL0003</v>
          </cell>
          <cell r="D67" t="str">
            <v>旭铂投资有限公司</v>
          </cell>
          <cell r="F67">
            <v>19305000</v>
          </cell>
        </row>
        <row r="68">
          <cell r="A68" t="str">
            <v>2304.01</v>
          </cell>
          <cell r="B68" t="str">
            <v>　　B类优先股</v>
          </cell>
          <cell r="C68" t="str">
            <v>QTWL0004</v>
          </cell>
          <cell r="D68" t="str">
            <v>智慧基建投资有限公司</v>
          </cell>
          <cell r="F68">
            <v>585000</v>
          </cell>
        </row>
        <row r="69">
          <cell r="A69" t="str">
            <v>4001</v>
          </cell>
          <cell r="B69" t="str">
            <v>实收资本（股本）</v>
          </cell>
          <cell r="F69">
            <v>156720000</v>
          </cell>
        </row>
        <row r="70">
          <cell r="A70" t="str">
            <v>4001.50</v>
          </cell>
          <cell r="B70" t="str">
            <v>　　普通股</v>
          </cell>
          <cell r="F70">
            <v>122917624</v>
          </cell>
        </row>
        <row r="71">
          <cell r="A71" t="str">
            <v>4001.50.01</v>
          </cell>
          <cell r="B71" t="str">
            <v>　　　　威力能源投资有限公司</v>
          </cell>
          <cell r="F71">
            <v>35262000</v>
          </cell>
        </row>
        <row r="72">
          <cell r="A72" t="str">
            <v>4001.50.02</v>
          </cell>
          <cell r="B72" t="str">
            <v>　　　　旭铂投资有限公司</v>
          </cell>
          <cell r="F72">
            <v>60229624</v>
          </cell>
        </row>
        <row r="73">
          <cell r="A73" t="str">
            <v>4001.50.03</v>
          </cell>
          <cell r="B73" t="str">
            <v>　　　　辉朗投资有限公司</v>
          </cell>
          <cell r="F73">
            <v>11754000</v>
          </cell>
        </row>
        <row r="74">
          <cell r="A74" t="str">
            <v>4001.50.04</v>
          </cell>
          <cell r="B74" t="str">
            <v>　　　　智慧基建投资有限公司</v>
          </cell>
          <cell r="F74">
            <v>3918000</v>
          </cell>
        </row>
        <row r="75">
          <cell r="A75" t="str">
            <v>4001.50.05</v>
          </cell>
          <cell r="B75" t="str">
            <v>　　　　Pure Nice Limited</v>
          </cell>
          <cell r="F75">
            <v>11754000</v>
          </cell>
        </row>
        <row r="76">
          <cell r="A76" t="str">
            <v>4001.51</v>
          </cell>
          <cell r="B76" t="str">
            <v>　　优先股</v>
          </cell>
          <cell r="F76">
            <v>33802376</v>
          </cell>
        </row>
        <row r="77">
          <cell r="A77" t="str">
            <v>4001.51.01</v>
          </cell>
          <cell r="B77" t="str">
            <v>　　　　旭铂投资有限公司</v>
          </cell>
          <cell r="F77">
            <v>33802376</v>
          </cell>
        </row>
        <row r="78">
          <cell r="A78" t="str">
            <v>4103</v>
          </cell>
          <cell r="B78" t="str">
            <v>本年利润</v>
          </cell>
          <cell r="F78">
            <v>-4009357.79</v>
          </cell>
          <cell r="G78">
            <v>814479.68</v>
          </cell>
          <cell r="H78">
            <v>77735.5</v>
          </cell>
        </row>
        <row r="79">
          <cell r="A79" t="str">
            <v>4104</v>
          </cell>
          <cell r="B79" t="str">
            <v>利润分配</v>
          </cell>
          <cell r="F79">
            <v>-72630693.239999995</v>
          </cell>
        </row>
        <row r="80">
          <cell r="A80" t="str">
            <v>4104.07</v>
          </cell>
          <cell r="B80" t="str">
            <v>　　未分配利润</v>
          </cell>
          <cell r="F80">
            <v>-72630693.239999995</v>
          </cell>
        </row>
        <row r="81">
          <cell r="A81" t="str">
            <v>6115</v>
          </cell>
          <cell r="B81" t="str">
            <v>其他收益</v>
          </cell>
          <cell r="G81">
            <v>77735.5</v>
          </cell>
          <cell r="H81">
            <v>77735.5</v>
          </cell>
        </row>
        <row r="82">
          <cell r="A82" t="str">
            <v>6115.03</v>
          </cell>
          <cell r="B82" t="str">
            <v>　　公司间往来</v>
          </cell>
          <cell r="G82">
            <v>77735.5</v>
          </cell>
          <cell r="H82">
            <v>77735.5</v>
          </cell>
        </row>
        <row r="83">
          <cell r="A83" t="str">
            <v>6602</v>
          </cell>
          <cell r="B83" t="str">
            <v>管理费用</v>
          </cell>
          <cell r="G83">
            <v>814382.74</v>
          </cell>
          <cell r="H83">
            <v>814382.74</v>
          </cell>
        </row>
        <row r="84">
          <cell r="A84" t="str">
            <v>6602.01</v>
          </cell>
          <cell r="B84" t="str">
            <v>　　工资薪金</v>
          </cell>
          <cell r="G84">
            <v>324500</v>
          </cell>
          <cell r="H84">
            <v>324500</v>
          </cell>
        </row>
        <row r="85">
          <cell r="A85" t="str">
            <v>6602.01.01</v>
          </cell>
          <cell r="B85" t="str">
            <v>　　　　基本工资（专业）</v>
          </cell>
          <cell r="G85">
            <v>40000</v>
          </cell>
          <cell r="H85">
            <v>40000</v>
          </cell>
        </row>
        <row r="86">
          <cell r="A86" t="str">
            <v>6602.01.05</v>
          </cell>
          <cell r="B86" t="str">
            <v>　　　　员工假期</v>
          </cell>
        </row>
        <row r="87">
          <cell r="A87" t="str">
            <v>6602.01.08</v>
          </cell>
          <cell r="B87" t="str">
            <v>　　　　基本工资（管理）</v>
          </cell>
          <cell r="G87">
            <v>284500</v>
          </cell>
          <cell r="H87">
            <v>284500</v>
          </cell>
        </row>
        <row r="88">
          <cell r="A88" t="str">
            <v>6602.02</v>
          </cell>
          <cell r="B88" t="str">
            <v>　　职工福利</v>
          </cell>
        </row>
        <row r="89">
          <cell r="A89" t="str">
            <v>6602.02.02</v>
          </cell>
          <cell r="B89" t="str">
            <v>　　　　团建活动</v>
          </cell>
        </row>
        <row r="90">
          <cell r="A90" t="str">
            <v>6602.03</v>
          </cell>
          <cell r="B90" t="str">
            <v>　　社保公积金</v>
          </cell>
          <cell r="G90">
            <v>29331.09</v>
          </cell>
          <cell r="H90">
            <v>29331.09</v>
          </cell>
        </row>
        <row r="91">
          <cell r="A91" t="str">
            <v>6602.03.01</v>
          </cell>
          <cell r="B91" t="str">
            <v>　　　　员工社保福利</v>
          </cell>
          <cell r="G91">
            <v>24831.09</v>
          </cell>
          <cell r="H91">
            <v>24831.09</v>
          </cell>
        </row>
        <row r="92">
          <cell r="A92" t="str">
            <v>6602.03.03</v>
          </cell>
          <cell r="B92" t="str">
            <v>　　　　员工强制性公积金福利</v>
          </cell>
          <cell r="G92">
            <v>4500</v>
          </cell>
          <cell r="H92">
            <v>4500</v>
          </cell>
        </row>
        <row r="93">
          <cell r="A93" t="str">
            <v>6602.04</v>
          </cell>
          <cell r="B93" t="str">
            <v>　　咨询及专业服务费</v>
          </cell>
          <cell r="G93">
            <v>222066.66</v>
          </cell>
          <cell r="H93">
            <v>222066.66</v>
          </cell>
        </row>
        <row r="94">
          <cell r="A94" t="str">
            <v>6602.04.01</v>
          </cell>
          <cell r="B94" t="str">
            <v>　　　　会计服务费</v>
          </cell>
          <cell r="G94">
            <v>12000</v>
          </cell>
          <cell r="H94">
            <v>12000</v>
          </cell>
        </row>
        <row r="95">
          <cell r="A95" t="str">
            <v>6602.04.02</v>
          </cell>
          <cell r="B95" t="str">
            <v>　　　　审计服务费</v>
          </cell>
          <cell r="G95">
            <v>19166.66</v>
          </cell>
          <cell r="H95">
            <v>19166.66</v>
          </cell>
        </row>
        <row r="96">
          <cell r="A96" t="str">
            <v>6602.04.06</v>
          </cell>
          <cell r="B96" t="str">
            <v>　　　　法律服务费</v>
          </cell>
          <cell r="G96">
            <v>188400</v>
          </cell>
          <cell r="H96">
            <v>188400</v>
          </cell>
        </row>
        <row r="97">
          <cell r="A97" t="str">
            <v>6602.04.06</v>
          </cell>
          <cell r="B97" t="str">
            <v>　　　　法律服务费</v>
          </cell>
          <cell r="C97" t="str">
            <v>CI009</v>
          </cell>
          <cell r="D97" t="str">
            <v>旭智资本</v>
          </cell>
          <cell r="G97">
            <v>188400</v>
          </cell>
          <cell r="H97">
            <v>188400</v>
          </cell>
        </row>
        <row r="98">
          <cell r="A98" t="str">
            <v>6602.04.07</v>
          </cell>
          <cell r="B98" t="str">
            <v>　　　　人力资源服务费</v>
          </cell>
          <cell r="G98">
            <v>2500</v>
          </cell>
          <cell r="H98">
            <v>2500</v>
          </cell>
        </row>
        <row r="99">
          <cell r="A99" t="str">
            <v>6602.05</v>
          </cell>
          <cell r="B99" t="str">
            <v>　　占用费</v>
          </cell>
          <cell r="G99">
            <v>55650</v>
          </cell>
          <cell r="H99">
            <v>55650</v>
          </cell>
        </row>
        <row r="100">
          <cell r="A100" t="str">
            <v>6602.05.08</v>
          </cell>
          <cell r="B100" t="str">
            <v>　　　　集团内分摊</v>
          </cell>
          <cell r="G100">
            <v>55650</v>
          </cell>
          <cell r="H100">
            <v>55650</v>
          </cell>
        </row>
        <row r="101">
          <cell r="A101" t="str">
            <v>6602.06</v>
          </cell>
          <cell r="B101" t="str">
            <v>　　业务招待费</v>
          </cell>
        </row>
        <row r="102">
          <cell r="A102" t="str">
            <v>6602.06</v>
          </cell>
          <cell r="B102" t="str">
            <v>　　业务招待费</v>
          </cell>
          <cell r="C102" t="str">
            <v>CI009</v>
          </cell>
          <cell r="D102" t="str">
            <v>旭智资本</v>
          </cell>
        </row>
        <row r="103">
          <cell r="A103" t="str">
            <v>6602.08</v>
          </cell>
          <cell r="B103" t="str">
            <v>　　事务费用</v>
          </cell>
          <cell r="G103">
            <v>20671.21</v>
          </cell>
          <cell r="H103">
            <v>20671.21</v>
          </cell>
        </row>
        <row r="104">
          <cell r="A104" t="str">
            <v>6602.08.01</v>
          </cell>
          <cell r="B104" t="str">
            <v>　　　　通信费</v>
          </cell>
          <cell r="G104">
            <v>1140</v>
          </cell>
          <cell r="H104">
            <v>1140</v>
          </cell>
        </row>
        <row r="105">
          <cell r="A105" t="str">
            <v>6602.08.01</v>
          </cell>
          <cell r="B105" t="str">
            <v>　　　　通信费</v>
          </cell>
          <cell r="C105" t="str">
            <v>CI009</v>
          </cell>
          <cell r="D105" t="str">
            <v>旭智资本</v>
          </cell>
          <cell r="G105">
            <v>1140</v>
          </cell>
          <cell r="H105">
            <v>1140</v>
          </cell>
        </row>
        <row r="106">
          <cell r="A106" t="str">
            <v>6602.08.03</v>
          </cell>
          <cell r="B106" t="str">
            <v>　　　　办公用品</v>
          </cell>
        </row>
        <row r="107">
          <cell r="A107" t="str">
            <v>6602.08.03</v>
          </cell>
          <cell r="B107" t="str">
            <v>　　　　办公用品</v>
          </cell>
          <cell r="C107" t="str">
            <v>CI009</v>
          </cell>
          <cell r="D107" t="str">
            <v>旭智资本</v>
          </cell>
        </row>
        <row r="108">
          <cell r="A108" t="str">
            <v>6602.08.04</v>
          </cell>
          <cell r="B108" t="str">
            <v>　　　　事务保金</v>
          </cell>
          <cell r="G108">
            <v>740.25</v>
          </cell>
          <cell r="H108">
            <v>740.25</v>
          </cell>
        </row>
        <row r="109">
          <cell r="A109" t="str">
            <v>6602.08.04</v>
          </cell>
          <cell r="B109" t="str">
            <v>　　　　事务保金</v>
          </cell>
          <cell r="C109" t="str">
            <v>CI009</v>
          </cell>
          <cell r="D109" t="str">
            <v>旭智资本</v>
          </cell>
          <cell r="G109">
            <v>740.25</v>
          </cell>
          <cell r="H109">
            <v>740.25</v>
          </cell>
        </row>
        <row r="110">
          <cell r="A110" t="str">
            <v>6602.08.05</v>
          </cell>
          <cell r="B110" t="str">
            <v>　　　　邮费/邮递费</v>
          </cell>
          <cell r="G110">
            <v>456</v>
          </cell>
          <cell r="H110">
            <v>456</v>
          </cell>
        </row>
        <row r="111">
          <cell r="A111" t="str">
            <v>6602.08.05</v>
          </cell>
          <cell r="B111" t="str">
            <v>　　　　邮费/邮递费</v>
          </cell>
          <cell r="C111" t="str">
            <v>CI009</v>
          </cell>
          <cell r="D111" t="str">
            <v>旭智资本</v>
          </cell>
          <cell r="G111">
            <v>456</v>
          </cell>
          <cell r="H111">
            <v>456</v>
          </cell>
        </row>
        <row r="112">
          <cell r="A112" t="str">
            <v>6602.08.06</v>
          </cell>
          <cell r="B112" t="str">
            <v>　　　　IT专业人士及微软服务</v>
          </cell>
          <cell r="G112">
            <v>6467.87</v>
          </cell>
          <cell r="H112">
            <v>6467.87</v>
          </cell>
        </row>
        <row r="113">
          <cell r="A113" t="str">
            <v>6602.08.06</v>
          </cell>
          <cell r="B113" t="str">
            <v>　　　　IT专业人士及微软服务</v>
          </cell>
          <cell r="C113" t="str">
            <v>CI009</v>
          </cell>
          <cell r="D113" t="str">
            <v>旭智资本</v>
          </cell>
          <cell r="G113">
            <v>6467.87</v>
          </cell>
          <cell r="H113">
            <v>6467.87</v>
          </cell>
        </row>
        <row r="114">
          <cell r="A114" t="str">
            <v>6602.08.07</v>
          </cell>
          <cell r="B114" t="str">
            <v>　　　　软件许可证费用</v>
          </cell>
          <cell r="G114">
            <v>11519.09</v>
          </cell>
          <cell r="H114">
            <v>11519.09</v>
          </cell>
        </row>
        <row r="115">
          <cell r="A115" t="str">
            <v>6602.08.07</v>
          </cell>
          <cell r="B115" t="str">
            <v>　　　　软件许可证费用</v>
          </cell>
          <cell r="C115" t="str">
            <v>CI009</v>
          </cell>
          <cell r="D115" t="str">
            <v>旭智资本</v>
          </cell>
          <cell r="G115">
            <v>11519.09</v>
          </cell>
          <cell r="H115">
            <v>11519.09</v>
          </cell>
        </row>
        <row r="116">
          <cell r="A116" t="str">
            <v>6602.08.10</v>
          </cell>
          <cell r="B116" t="str">
            <v>　　　　电话国际直拨/电话会议收费</v>
          </cell>
          <cell r="G116">
            <v>348</v>
          </cell>
          <cell r="H116">
            <v>348</v>
          </cell>
        </row>
        <row r="117">
          <cell r="A117" t="str">
            <v>6602.08.10</v>
          </cell>
          <cell r="B117" t="str">
            <v>　　　　电话国际直拨/电话会议收费</v>
          </cell>
          <cell r="C117" t="str">
            <v>CI009</v>
          </cell>
          <cell r="D117" t="str">
            <v>旭智资本</v>
          </cell>
          <cell r="G117">
            <v>348</v>
          </cell>
          <cell r="H117">
            <v>348</v>
          </cell>
        </row>
        <row r="118">
          <cell r="A118" t="str">
            <v>6602.09</v>
          </cell>
          <cell r="B118" t="str">
            <v>　　差旅费</v>
          </cell>
          <cell r="G118">
            <v>407.36</v>
          </cell>
          <cell r="H118">
            <v>407.36</v>
          </cell>
        </row>
        <row r="119">
          <cell r="A119" t="str">
            <v>6602.09.04</v>
          </cell>
          <cell r="B119" t="str">
            <v>　　　　空中交通费</v>
          </cell>
        </row>
        <row r="120">
          <cell r="A120" t="str">
            <v>6602.09.04</v>
          </cell>
          <cell r="B120" t="str">
            <v>　　　　空中交通费</v>
          </cell>
          <cell r="C120" t="str">
            <v>CI009</v>
          </cell>
          <cell r="D120" t="str">
            <v>旭智资本</v>
          </cell>
        </row>
        <row r="121">
          <cell r="A121" t="str">
            <v>6602.09.99</v>
          </cell>
          <cell r="B121" t="str">
            <v>　　　　其他</v>
          </cell>
          <cell r="G121">
            <v>407.36</v>
          </cell>
          <cell r="H121">
            <v>407.36</v>
          </cell>
        </row>
        <row r="122">
          <cell r="A122" t="str">
            <v>6602.09.99</v>
          </cell>
          <cell r="B122" t="str">
            <v>　　　　其他</v>
          </cell>
          <cell r="C122" t="str">
            <v>CI009</v>
          </cell>
          <cell r="D122" t="str">
            <v>旭智资本</v>
          </cell>
          <cell r="G122">
            <v>407.36</v>
          </cell>
          <cell r="H122">
            <v>407.36</v>
          </cell>
        </row>
        <row r="123">
          <cell r="A123" t="str">
            <v>6602.10</v>
          </cell>
          <cell r="B123" t="str">
            <v>　　折旧费</v>
          </cell>
          <cell r="G123">
            <v>299.44</v>
          </cell>
          <cell r="H123">
            <v>299.44</v>
          </cell>
        </row>
        <row r="124">
          <cell r="A124" t="str">
            <v>6602.10.01</v>
          </cell>
          <cell r="B124" t="str">
            <v>　　　　电子设备</v>
          </cell>
          <cell r="G124">
            <v>299.44</v>
          </cell>
          <cell r="H124">
            <v>299.44</v>
          </cell>
        </row>
        <row r="125">
          <cell r="A125" t="str">
            <v>6602.15</v>
          </cell>
          <cell r="B125" t="str">
            <v>　　服务费</v>
          </cell>
        </row>
        <row r="126">
          <cell r="A126" t="str">
            <v>6602.19</v>
          </cell>
          <cell r="B126" t="str">
            <v>　　会费（公司）</v>
          </cell>
        </row>
        <row r="127">
          <cell r="A127" t="str">
            <v>6602.21</v>
          </cell>
          <cell r="B127" t="str">
            <v>　　公司秘书费</v>
          </cell>
          <cell r="G127">
            <v>1256.98</v>
          </cell>
          <cell r="H127">
            <v>1256.98</v>
          </cell>
        </row>
        <row r="128">
          <cell r="A128" t="str">
            <v>6602.23</v>
          </cell>
          <cell r="B128" t="str">
            <v>　　无形资产摊销</v>
          </cell>
          <cell r="G128">
            <v>150000</v>
          </cell>
          <cell r="H128">
            <v>150000</v>
          </cell>
        </row>
        <row r="129">
          <cell r="A129" t="str">
            <v>6602.99</v>
          </cell>
          <cell r="B129" t="str">
            <v>　　其他</v>
          </cell>
          <cell r="G129">
            <v>10200</v>
          </cell>
          <cell r="H129">
            <v>10200</v>
          </cell>
        </row>
        <row r="130">
          <cell r="A130" t="str">
            <v>6603</v>
          </cell>
          <cell r="B130" t="str">
            <v>财务费用</v>
          </cell>
          <cell r="G130">
            <v>96.94</v>
          </cell>
          <cell r="H130">
            <v>96.94</v>
          </cell>
        </row>
        <row r="131">
          <cell r="A131" t="str">
            <v>6603.01</v>
          </cell>
          <cell r="B131" t="str">
            <v>　　汇兑损益</v>
          </cell>
          <cell r="G131">
            <v>-111.19</v>
          </cell>
          <cell r="H131">
            <v>-111.19</v>
          </cell>
        </row>
        <row r="132">
          <cell r="A132" t="str">
            <v>6603.03</v>
          </cell>
          <cell r="B132" t="str">
            <v>　　银行手续费</v>
          </cell>
          <cell r="G132">
            <v>209.9</v>
          </cell>
          <cell r="H132">
            <v>209.9</v>
          </cell>
        </row>
        <row r="133">
          <cell r="A133" t="str">
            <v>6603.04</v>
          </cell>
          <cell r="B133" t="str">
            <v>　　利息收入</v>
          </cell>
          <cell r="G133">
            <v>-1.77</v>
          </cell>
          <cell r="H133">
            <v>-1.77</v>
          </cell>
        </row>
        <row r="134">
          <cell r="B134" t="str">
            <v>合计</v>
          </cell>
          <cell r="E134">
            <v>121147059.64</v>
          </cell>
          <cell r="F134">
            <v>121147059.64</v>
          </cell>
          <cell r="G134">
            <v>2651859.75</v>
          </cell>
          <cell r="H134">
            <v>2651859.75</v>
          </cell>
        </row>
      </sheetData>
      <sheetData sheetId="7">
        <row r="1">
          <cell r="A1" t="str">
            <v>币别:香港元</v>
          </cell>
          <cell r="B1" t="str">
            <v>账簿:旭智资本有限公司</v>
          </cell>
          <cell r="C1" t="str">
            <v>期间:2025.8 -- 2025.8</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52348.08</v>
          </cell>
          <cell r="G4">
            <v>428493.36</v>
          </cell>
          <cell r="H4">
            <v>402788.37</v>
          </cell>
        </row>
        <row r="5">
          <cell r="A5" t="str">
            <v>1002.01</v>
          </cell>
          <cell r="B5" t="str">
            <v>　　【旭智资本】银行存款账户</v>
          </cell>
          <cell r="E5">
            <v>52348.08</v>
          </cell>
          <cell r="G5">
            <v>428493.36</v>
          </cell>
          <cell r="H5">
            <v>402788.37</v>
          </cell>
        </row>
        <row r="6">
          <cell r="A6" t="str">
            <v>1002.01.01</v>
          </cell>
          <cell r="B6" t="str">
            <v>　　　　汇丰银行-741-282-503-838</v>
          </cell>
          <cell r="E6">
            <v>52348.08</v>
          </cell>
          <cell r="G6">
            <v>428493.36</v>
          </cell>
          <cell r="H6">
            <v>402788.37</v>
          </cell>
        </row>
        <row r="7">
          <cell r="A7" t="str">
            <v>1002.01.01.01</v>
          </cell>
          <cell r="B7" t="str">
            <v>　　　　　　【旭智资本】汇丰港元储蓄账户 3838</v>
          </cell>
          <cell r="E7">
            <v>35827.4</v>
          </cell>
          <cell r="G7">
            <v>400002.2</v>
          </cell>
          <cell r="H7">
            <v>374196.12</v>
          </cell>
        </row>
        <row r="8">
          <cell r="A8" t="str">
            <v>1002.01.01.02</v>
          </cell>
          <cell r="B8" t="str">
            <v>　　　　　　【旭智资本】汇丰港元往来账户 3838</v>
          </cell>
          <cell r="G8">
            <v>12071.57</v>
          </cell>
          <cell r="H8">
            <v>12071.57</v>
          </cell>
        </row>
        <row r="9">
          <cell r="A9" t="str">
            <v>1002.01.01.03</v>
          </cell>
          <cell r="B9" t="str">
            <v>　　　　　　【旭智资本】汇丰外币储蓄账户 - 人民币 3838</v>
          </cell>
          <cell r="E9">
            <v>1062.7</v>
          </cell>
          <cell r="G9">
            <v>1064.99</v>
          </cell>
          <cell r="H9">
            <v>1062.7</v>
          </cell>
        </row>
        <row r="10">
          <cell r="A10" t="str">
            <v>1002.01.01.04</v>
          </cell>
          <cell r="B10" t="str">
            <v>　　　　　　【旭智资本】汇丰外币储蓄账户 - 美元 3838</v>
          </cell>
          <cell r="E10">
            <v>15457.98</v>
          </cell>
          <cell r="G10">
            <v>15354.6</v>
          </cell>
          <cell r="H10">
            <v>15457.98</v>
          </cell>
        </row>
        <row r="11">
          <cell r="A11" t="str">
            <v>1002.01.01.05</v>
          </cell>
          <cell r="B11" t="str">
            <v>　　　　　　【旭智资本】汇丰港元定期存款</v>
          </cell>
        </row>
        <row r="12">
          <cell r="A12" t="str">
            <v>1002.01.01.06</v>
          </cell>
          <cell r="B12" t="str">
            <v>　　　　　　【旭智资本】汇丰人民币定期存款</v>
          </cell>
        </row>
        <row r="13">
          <cell r="A13" t="str">
            <v>1123</v>
          </cell>
          <cell r="B13" t="str">
            <v>预付账款</v>
          </cell>
          <cell r="E13">
            <v>5739738.8099999996</v>
          </cell>
          <cell r="G13">
            <v>4628.03</v>
          </cell>
          <cell r="H13">
            <v>43877.23</v>
          </cell>
        </row>
        <row r="14">
          <cell r="A14" t="str">
            <v>1123.01</v>
          </cell>
          <cell r="B14" t="str">
            <v>　　单位</v>
          </cell>
          <cell r="E14">
            <v>298293.81</v>
          </cell>
          <cell r="G14">
            <v>4628.03</v>
          </cell>
          <cell r="H14">
            <v>43877.23</v>
          </cell>
        </row>
        <row r="15">
          <cell r="A15" t="str">
            <v>1123.01</v>
          </cell>
          <cell r="B15" t="str">
            <v>　　单位</v>
          </cell>
          <cell r="C15" t="str">
            <v>SU003001</v>
          </cell>
          <cell r="D15" t="str">
            <v>Boardroom Corporate Services (HK) Limited</v>
          </cell>
          <cell r="E15">
            <v>6203.84</v>
          </cell>
          <cell r="H15">
            <v>1256.99</v>
          </cell>
        </row>
        <row r="16">
          <cell r="A16" t="str">
            <v>1123.01</v>
          </cell>
          <cell r="B16" t="str">
            <v>　　单位</v>
          </cell>
          <cell r="C16" t="str">
            <v>SU003003</v>
          </cell>
          <cell r="D16" t="str">
            <v>SUN HING INSURANCE BROKERS LTD.</v>
          </cell>
          <cell r="E16">
            <v>198728.28</v>
          </cell>
          <cell r="H16">
            <v>25240.87</v>
          </cell>
        </row>
        <row r="17">
          <cell r="A17" t="str">
            <v>1123.01</v>
          </cell>
          <cell r="B17" t="str">
            <v>　　单位</v>
          </cell>
          <cell r="C17" t="str">
            <v>SU003024</v>
          </cell>
          <cell r="D17" t="str">
            <v>SiteGround Hosting Ltd</v>
          </cell>
          <cell r="E17">
            <v>641.11</v>
          </cell>
          <cell r="H17">
            <v>242.37</v>
          </cell>
        </row>
        <row r="18">
          <cell r="A18" t="str">
            <v>1123.01</v>
          </cell>
          <cell r="B18" t="str">
            <v>　　单位</v>
          </cell>
          <cell r="C18" t="str">
            <v>SU003025</v>
          </cell>
          <cell r="D18" t="str">
            <v>Godaddy.Com,LLC</v>
          </cell>
          <cell r="E18">
            <v>551.52</v>
          </cell>
          <cell r="H18">
            <v>39.49</v>
          </cell>
        </row>
        <row r="19">
          <cell r="A19" t="str">
            <v>1123.01</v>
          </cell>
          <cell r="B19" t="str">
            <v>　　单位</v>
          </cell>
          <cell r="C19" t="str">
            <v>SU004011</v>
          </cell>
          <cell r="D19" t="str">
            <v>Master Concept (Hong Kong) Limited</v>
          </cell>
          <cell r="E19">
            <v>91829.67</v>
          </cell>
          <cell r="G19">
            <v>4628.03</v>
          </cell>
          <cell r="H19">
            <v>16758.12</v>
          </cell>
        </row>
        <row r="20">
          <cell r="A20" t="str">
            <v>1123.01</v>
          </cell>
          <cell r="B20" t="str">
            <v>　　单位</v>
          </cell>
          <cell r="C20" t="str">
            <v>SU011002</v>
          </cell>
          <cell r="D20" t="str">
            <v>TMF (Cayman) Ltd.</v>
          </cell>
          <cell r="E20">
            <v>339.39</v>
          </cell>
          <cell r="H20">
            <v>339.39</v>
          </cell>
        </row>
        <row r="21">
          <cell r="A21" t="str">
            <v>1123.02</v>
          </cell>
          <cell r="B21" t="str">
            <v>　　个人</v>
          </cell>
          <cell r="E21">
            <v>5441445</v>
          </cell>
        </row>
        <row r="22">
          <cell r="A22" t="str">
            <v>1123.02</v>
          </cell>
          <cell r="B22" t="str">
            <v>　　个人</v>
          </cell>
          <cell r="C22" t="str">
            <v>SP005001</v>
          </cell>
          <cell r="D22" t="str">
            <v>冯冠邦</v>
          </cell>
          <cell r="E22">
            <v>5441445</v>
          </cell>
        </row>
        <row r="23">
          <cell r="A23" t="str">
            <v>1132</v>
          </cell>
          <cell r="B23" t="str">
            <v>应收利息</v>
          </cell>
        </row>
        <row r="24">
          <cell r="A24" t="str">
            <v>1132</v>
          </cell>
          <cell r="B24" t="str">
            <v>应收利息</v>
          </cell>
          <cell r="C24" t="str">
            <v>OU004001</v>
          </cell>
          <cell r="D24" t="str">
            <v>香港上海汇丰银行有限公司</v>
          </cell>
        </row>
        <row r="25">
          <cell r="A25" t="str">
            <v>1221</v>
          </cell>
          <cell r="B25" t="str">
            <v>其他应收款</v>
          </cell>
          <cell r="E25">
            <v>4806176.37</v>
          </cell>
          <cell r="G25">
            <v>12146.79</v>
          </cell>
          <cell r="H25">
            <v>56575.18</v>
          </cell>
        </row>
        <row r="26">
          <cell r="A26" t="str">
            <v>1221.01</v>
          </cell>
          <cell r="B26" t="str">
            <v>　　单位</v>
          </cell>
          <cell r="E26">
            <v>4806176.37</v>
          </cell>
          <cell r="G26">
            <v>12146.79</v>
          </cell>
          <cell r="H26">
            <v>56575.18</v>
          </cell>
        </row>
        <row r="27">
          <cell r="A27" t="str">
            <v>1221.01</v>
          </cell>
          <cell r="B27" t="str">
            <v>　　单位</v>
          </cell>
          <cell r="C27" t="str">
            <v>CU003003</v>
          </cell>
          <cell r="D27" t="str">
            <v>旭智资本（开曼）有限公司</v>
          </cell>
          <cell r="E27">
            <v>940184.83</v>
          </cell>
          <cell r="G27">
            <v>3182.71</v>
          </cell>
        </row>
        <row r="28">
          <cell r="A28" t="str">
            <v>1221.01</v>
          </cell>
          <cell r="B28" t="str">
            <v>　　单位</v>
          </cell>
          <cell r="C28" t="str">
            <v>CU003004</v>
          </cell>
          <cell r="D28" t="str">
            <v>广州旭智投资控股有限责任公司</v>
          </cell>
          <cell r="E28">
            <v>692451.81</v>
          </cell>
          <cell r="H28">
            <v>4970.41</v>
          </cell>
        </row>
        <row r="29">
          <cell r="A29" t="str">
            <v>1221.01</v>
          </cell>
          <cell r="B29" t="str">
            <v>　　单位</v>
          </cell>
          <cell r="C29" t="str">
            <v>CU003005</v>
          </cell>
          <cell r="D29" t="str">
            <v>Albamen Cayman Fund II</v>
          </cell>
          <cell r="E29">
            <v>2848350.13</v>
          </cell>
          <cell r="G29">
            <v>8964.08</v>
          </cell>
        </row>
        <row r="30">
          <cell r="A30" t="str">
            <v>1221.01</v>
          </cell>
          <cell r="B30" t="str">
            <v>　　单位</v>
          </cell>
          <cell r="C30" t="str">
            <v>CU003006</v>
          </cell>
          <cell r="D30" t="str">
            <v>旭智咨询管理(深圳)有限责任公司</v>
          </cell>
          <cell r="E30">
            <v>73083.11</v>
          </cell>
          <cell r="H30">
            <v>488.77</v>
          </cell>
        </row>
        <row r="31">
          <cell r="A31" t="str">
            <v>1221.01</v>
          </cell>
          <cell r="B31" t="str">
            <v>　　单位</v>
          </cell>
          <cell r="C31" t="str">
            <v>CU003007</v>
          </cell>
          <cell r="D31" t="str">
            <v>旭智兴邦有限公司</v>
          </cell>
          <cell r="E31">
            <v>104516.13</v>
          </cell>
        </row>
        <row r="32">
          <cell r="A32" t="str">
            <v>1221.01</v>
          </cell>
          <cell r="B32" t="str">
            <v>　　单位</v>
          </cell>
          <cell r="C32" t="str">
            <v>CU003008</v>
          </cell>
          <cell r="D32" t="str">
            <v>Rising Son Invesments Limited</v>
          </cell>
          <cell r="E32">
            <v>10055</v>
          </cell>
        </row>
        <row r="33">
          <cell r="A33" t="str">
            <v>1221.01</v>
          </cell>
          <cell r="B33" t="str">
            <v>　　单位</v>
          </cell>
          <cell r="C33" t="str">
            <v>CU003009</v>
          </cell>
          <cell r="D33" t="str">
            <v>Sustainable Energy (HK) Investment Holding Ltd</v>
          </cell>
          <cell r="E33">
            <v>10000</v>
          </cell>
        </row>
        <row r="34">
          <cell r="A34" t="str">
            <v>1221.01</v>
          </cell>
          <cell r="B34" t="str">
            <v>　　单位</v>
          </cell>
          <cell r="C34" t="str">
            <v>CU003010</v>
          </cell>
          <cell r="D34" t="str">
            <v>旭智富能新能源（深圳）有限责任公司</v>
          </cell>
          <cell r="E34">
            <v>76419.360000000001</v>
          </cell>
        </row>
        <row r="35">
          <cell r="A35" t="str">
            <v>1221.01</v>
          </cell>
          <cell r="B35" t="str">
            <v>　　单位</v>
          </cell>
          <cell r="C35" t="str">
            <v>CU003011</v>
          </cell>
          <cell r="D35" t="str">
            <v>Manulife Investment Management (Hong Kong )Limited</v>
          </cell>
          <cell r="E35">
            <v>50</v>
          </cell>
          <cell r="H35">
            <v>50</v>
          </cell>
        </row>
        <row r="36">
          <cell r="A36" t="str">
            <v>1221.01</v>
          </cell>
          <cell r="B36" t="str">
            <v>　　单位</v>
          </cell>
          <cell r="C36" t="str">
            <v>CU003012</v>
          </cell>
          <cell r="D36" t="str">
            <v>旭智新能源共同投资有限公司</v>
          </cell>
          <cell r="E36">
            <v>51066</v>
          </cell>
          <cell r="H36">
            <v>51066</v>
          </cell>
        </row>
        <row r="37">
          <cell r="A37" t="str">
            <v>1511</v>
          </cell>
          <cell r="B37" t="str">
            <v>长期股权投资</v>
          </cell>
          <cell r="E37">
            <v>92467303.799999997</v>
          </cell>
        </row>
        <row r="38">
          <cell r="A38" t="str">
            <v>1511.02</v>
          </cell>
          <cell r="B38" t="str">
            <v>　　投资成本</v>
          </cell>
          <cell r="E38">
            <v>92467303.799999997</v>
          </cell>
        </row>
        <row r="39">
          <cell r="A39" t="str">
            <v>1511.02</v>
          </cell>
          <cell r="B39" t="str">
            <v>　　投资成本</v>
          </cell>
          <cell r="C39" t="str">
            <v>004</v>
          </cell>
          <cell r="D39" t="str">
            <v>旭智资本（香港）有限公司</v>
          </cell>
          <cell r="E39">
            <v>89799421</v>
          </cell>
        </row>
        <row r="40">
          <cell r="A40" t="str">
            <v>1511.02</v>
          </cell>
          <cell r="B40" t="str">
            <v>　　投资成本</v>
          </cell>
          <cell r="C40" t="str">
            <v>006</v>
          </cell>
          <cell r="D40" t="str">
            <v>旭智咨询管理（深圳）有限责任公司</v>
          </cell>
          <cell r="E40">
            <v>2657875</v>
          </cell>
        </row>
        <row r="41">
          <cell r="A41" t="str">
            <v>1511.02</v>
          </cell>
          <cell r="B41" t="str">
            <v>　　投资成本</v>
          </cell>
          <cell r="C41" t="str">
            <v>011</v>
          </cell>
          <cell r="D41" t="str">
            <v>旭智资本（开曼）有限公司</v>
          </cell>
          <cell r="E41">
            <v>7.8</v>
          </cell>
        </row>
        <row r="42">
          <cell r="A42" t="str">
            <v>1511.02</v>
          </cell>
          <cell r="B42" t="str">
            <v>　　投资成本</v>
          </cell>
          <cell r="C42" t="str">
            <v>012</v>
          </cell>
          <cell r="D42" t="str">
            <v>旭智兴邦有限公司</v>
          </cell>
          <cell r="E42">
            <v>10000</v>
          </cell>
        </row>
        <row r="43">
          <cell r="A43" t="str">
            <v>1601</v>
          </cell>
          <cell r="B43" t="str">
            <v>固定资产</v>
          </cell>
          <cell r="E43">
            <v>81529</v>
          </cell>
        </row>
        <row r="44">
          <cell r="A44" t="str">
            <v>1601.01</v>
          </cell>
          <cell r="B44" t="str">
            <v>　　电子设备</v>
          </cell>
          <cell r="E44">
            <v>81529</v>
          </cell>
        </row>
        <row r="45">
          <cell r="A45" t="str">
            <v>1602</v>
          </cell>
          <cell r="B45" t="str">
            <v>累计折旧</v>
          </cell>
          <cell r="F45">
            <v>73144.52</v>
          </cell>
          <cell r="H45">
            <v>299.44</v>
          </cell>
        </row>
        <row r="46">
          <cell r="A46" t="str">
            <v>1602.01</v>
          </cell>
          <cell r="B46" t="str">
            <v>　　电子设备</v>
          </cell>
          <cell r="F46">
            <v>73144.52</v>
          </cell>
          <cell r="H46">
            <v>299.44</v>
          </cell>
        </row>
        <row r="47">
          <cell r="A47" t="str">
            <v>1701</v>
          </cell>
          <cell r="B47" t="str">
            <v>无形资产</v>
          </cell>
          <cell r="E47">
            <v>18000000</v>
          </cell>
        </row>
        <row r="48">
          <cell r="A48" t="str">
            <v>1701.02</v>
          </cell>
          <cell r="B48" t="str">
            <v>　　 商业材料许可证</v>
          </cell>
          <cell r="E48">
            <v>18000000</v>
          </cell>
        </row>
        <row r="49">
          <cell r="A49" t="str">
            <v>1702</v>
          </cell>
          <cell r="B49" t="str">
            <v>累计摊销</v>
          </cell>
          <cell r="F49">
            <v>9000000</v>
          </cell>
          <cell r="H49">
            <v>150000</v>
          </cell>
        </row>
        <row r="50">
          <cell r="A50" t="str">
            <v>1702.02</v>
          </cell>
          <cell r="B50" t="str">
            <v>　　  商业材料许可证</v>
          </cell>
          <cell r="F50">
            <v>9000000</v>
          </cell>
          <cell r="H50">
            <v>150000</v>
          </cell>
        </row>
        <row r="51">
          <cell r="A51" t="str">
            <v>2211</v>
          </cell>
          <cell r="B51" t="str">
            <v>应付职工薪酬</v>
          </cell>
          <cell r="F51">
            <v>95833.52</v>
          </cell>
          <cell r="G51">
            <v>9000</v>
          </cell>
          <cell r="H51">
            <v>9000</v>
          </cell>
        </row>
        <row r="52">
          <cell r="A52" t="str">
            <v>2211.02</v>
          </cell>
          <cell r="B52" t="str">
            <v>　　职工奖金</v>
          </cell>
        </row>
        <row r="53">
          <cell r="A53" t="str">
            <v>2211.11</v>
          </cell>
          <cell r="B53" t="str">
            <v>　　应付强制性公积金</v>
          </cell>
          <cell r="F53">
            <v>8400</v>
          </cell>
          <cell r="G53">
            <v>9000</v>
          </cell>
          <cell r="H53">
            <v>9000</v>
          </cell>
        </row>
        <row r="54">
          <cell r="A54" t="str">
            <v>2211.12</v>
          </cell>
          <cell r="B54" t="str">
            <v>　　应付长期服务金</v>
          </cell>
          <cell r="F54">
            <v>87433.52</v>
          </cell>
        </row>
        <row r="55">
          <cell r="A55" t="str">
            <v>2211.13</v>
          </cell>
          <cell r="B55" t="str">
            <v>　　未使用假期负债</v>
          </cell>
        </row>
        <row r="56">
          <cell r="A56" t="str">
            <v>2241</v>
          </cell>
          <cell r="B56" t="str">
            <v>其他应付款</v>
          </cell>
          <cell r="F56">
            <v>9234913.2300000004</v>
          </cell>
          <cell r="G56">
            <v>91835.5</v>
          </cell>
          <cell r="H56">
            <v>489516.66</v>
          </cell>
        </row>
        <row r="57">
          <cell r="A57" t="str">
            <v>2241.01</v>
          </cell>
          <cell r="B57" t="str">
            <v>　　单位</v>
          </cell>
          <cell r="F57">
            <v>9103008.1199999992</v>
          </cell>
          <cell r="G57">
            <v>91835.5</v>
          </cell>
          <cell r="H57">
            <v>489516.66</v>
          </cell>
        </row>
        <row r="58">
          <cell r="A58" t="str">
            <v>2241.01</v>
          </cell>
          <cell r="B58" t="str">
            <v>　　单位</v>
          </cell>
          <cell r="C58" t="str">
            <v>SU003011</v>
          </cell>
          <cell r="D58" t="str">
            <v>Tricor Services Limited</v>
          </cell>
          <cell r="F58">
            <v>29400</v>
          </cell>
          <cell r="G58">
            <v>14100</v>
          </cell>
          <cell r="H58">
            <v>14700</v>
          </cell>
        </row>
        <row r="59">
          <cell r="A59" t="str">
            <v>2241.01</v>
          </cell>
          <cell r="B59" t="str">
            <v>　　单位</v>
          </cell>
          <cell r="C59" t="str">
            <v>SU004019</v>
          </cell>
          <cell r="D59" t="str">
            <v>PricewaterhouseCoopers Limited</v>
          </cell>
          <cell r="F59">
            <v>134166.62</v>
          </cell>
          <cell r="H59">
            <v>19166.66</v>
          </cell>
        </row>
        <row r="60">
          <cell r="A60" t="str">
            <v>2241.01</v>
          </cell>
          <cell r="B60" t="str">
            <v>　　单位</v>
          </cell>
          <cell r="C60" t="str">
            <v>SU005045</v>
          </cell>
          <cell r="D60" t="str">
            <v>旭智资本(香港)有限公司</v>
          </cell>
          <cell r="F60">
            <v>8939441.5</v>
          </cell>
          <cell r="G60">
            <v>77735.5</v>
          </cell>
          <cell r="H60">
            <v>455650</v>
          </cell>
        </row>
        <row r="61">
          <cell r="A61" t="str">
            <v>2241.02</v>
          </cell>
          <cell r="B61" t="str">
            <v>　　个人</v>
          </cell>
          <cell r="F61">
            <v>131905.10999999999</v>
          </cell>
        </row>
        <row r="62">
          <cell r="A62" t="str">
            <v>2241.02</v>
          </cell>
          <cell r="B62" t="str">
            <v>　　个人</v>
          </cell>
          <cell r="C62" t="str">
            <v>SP003008</v>
          </cell>
          <cell r="D62" t="str">
            <v>卢淑怡</v>
          </cell>
        </row>
        <row r="63">
          <cell r="A63" t="str">
            <v>2241.02</v>
          </cell>
          <cell r="B63" t="str">
            <v>　　个人</v>
          </cell>
          <cell r="C63" t="str">
            <v>SP003010</v>
          </cell>
          <cell r="D63" t="str">
            <v>员工报销</v>
          </cell>
          <cell r="F63">
            <v>131905.10999999999</v>
          </cell>
        </row>
        <row r="64">
          <cell r="A64" t="str">
            <v>2304</v>
          </cell>
          <cell r="B64" t="str">
            <v>其他金融工具负债</v>
          </cell>
          <cell r="F64">
            <v>23400000</v>
          </cell>
        </row>
        <row r="65">
          <cell r="A65" t="str">
            <v>2304.01</v>
          </cell>
          <cell r="B65" t="str">
            <v>　　B类优先股</v>
          </cell>
          <cell r="F65">
            <v>23400000</v>
          </cell>
        </row>
        <row r="66">
          <cell r="A66" t="str">
            <v>2304.01</v>
          </cell>
          <cell r="B66" t="str">
            <v>　　B类优先股</v>
          </cell>
          <cell r="C66" t="str">
            <v>QTWL0001</v>
          </cell>
          <cell r="D66" t="str">
            <v>辉朗投资有限公司</v>
          </cell>
          <cell r="F66">
            <v>1755000</v>
          </cell>
        </row>
        <row r="67">
          <cell r="A67" t="str">
            <v>2304.01</v>
          </cell>
          <cell r="B67" t="str">
            <v>　　B类优先股</v>
          </cell>
          <cell r="C67" t="str">
            <v>QTWL0002</v>
          </cell>
          <cell r="D67" t="str">
            <v>Pure Nice Limited</v>
          </cell>
          <cell r="F67">
            <v>1755000</v>
          </cell>
        </row>
        <row r="68">
          <cell r="A68" t="str">
            <v>2304.01</v>
          </cell>
          <cell r="B68" t="str">
            <v>　　B类优先股</v>
          </cell>
          <cell r="C68" t="str">
            <v>QTWL0003</v>
          </cell>
          <cell r="D68" t="str">
            <v>旭铂投资有限公司</v>
          </cell>
          <cell r="F68">
            <v>19305000</v>
          </cell>
        </row>
        <row r="69">
          <cell r="A69" t="str">
            <v>2304.01</v>
          </cell>
          <cell r="B69" t="str">
            <v>　　B类优先股</v>
          </cell>
          <cell r="C69" t="str">
            <v>QTWL0004</v>
          </cell>
          <cell r="D69" t="str">
            <v>智慧基建投资有限公司</v>
          </cell>
          <cell r="F69">
            <v>585000</v>
          </cell>
        </row>
        <row r="70">
          <cell r="A70" t="str">
            <v>4001</v>
          </cell>
          <cell r="B70" t="str">
            <v>实收资本（股本）</v>
          </cell>
          <cell r="F70">
            <v>156720000</v>
          </cell>
          <cell r="G70">
            <v>33802376</v>
          </cell>
          <cell r="H70">
            <v>33802376</v>
          </cell>
        </row>
        <row r="71">
          <cell r="A71" t="str">
            <v>4001.50</v>
          </cell>
          <cell r="B71" t="str">
            <v>　　普通股</v>
          </cell>
          <cell r="F71">
            <v>122917624</v>
          </cell>
          <cell r="H71">
            <v>33802376</v>
          </cell>
        </row>
        <row r="72">
          <cell r="A72" t="str">
            <v>4001.50.01</v>
          </cell>
          <cell r="B72" t="str">
            <v>　　　　威力能源投资有限公司</v>
          </cell>
          <cell r="F72">
            <v>35262000</v>
          </cell>
        </row>
        <row r="73">
          <cell r="A73" t="str">
            <v>4001.50.02</v>
          </cell>
          <cell r="B73" t="str">
            <v>　　　　旭铂投资有限公司</v>
          </cell>
          <cell r="F73">
            <v>60229624</v>
          </cell>
          <cell r="H73">
            <v>33802376</v>
          </cell>
        </row>
        <row r="74">
          <cell r="A74" t="str">
            <v>4001.50.03</v>
          </cell>
          <cell r="B74" t="str">
            <v>　　　　辉朗投资有限公司</v>
          </cell>
          <cell r="F74">
            <v>11754000</v>
          </cell>
        </row>
        <row r="75">
          <cell r="A75" t="str">
            <v>4001.50.04</v>
          </cell>
          <cell r="B75" t="str">
            <v>　　　　智慧基建投资有限公司</v>
          </cell>
          <cell r="F75">
            <v>3918000</v>
          </cell>
        </row>
        <row r="76">
          <cell r="A76" t="str">
            <v>4001.50.05</v>
          </cell>
          <cell r="B76" t="str">
            <v>　　　　Pure Nice Limited</v>
          </cell>
          <cell r="F76">
            <v>11754000</v>
          </cell>
        </row>
        <row r="77">
          <cell r="A77" t="str">
            <v>4001.51</v>
          </cell>
          <cell r="B77" t="str">
            <v>　　优先股</v>
          </cell>
          <cell r="F77">
            <v>33802376</v>
          </cell>
          <cell r="G77">
            <v>33802376</v>
          </cell>
        </row>
        <row r="78">
          <cell r="A78" t="str">
            <v>4001.51.01</v>
          </cell>
          <cell r="B78" t="str">
            <v>　　　　旭铂投资有限公司</v>
          </cell>
          <cell r="F78">
            <v>33802376</v>
          </cell>
          <cell r="G78">
            <v>33802376</v>
          </cell>
        </row>
        <row r="79">
          <cell r="A79" t="str">
            <v>4103</v>
          </cell>
          <cell r="B79" t="str">
            <v>本年利润</v>
          </cell>
          <cell r="F79">
            <v>-4746101.97</v>
          </cell>
          <cell r="G79">
            <v>683688.7</v>
          </cell>
          <cell r="H79">
            <v>77735.5</v>
          </cell>
        </row>
        <row r="80">
          <cell r="A80" t="str">
            <v>4104</v>
          </cell>
          <cell r="B80" t="str">
            <v>利润分配</v>
          </cell>
          <cell r="F80">
            <v>-72630693.239999995</v>
          </cell>
        </row>
        <row r="81">
          <cell r="A81" t="str">
            <v>4104.07</v>
          </cell>
          <cell r="B81" t="str">
            <v>　　未分配利润</v>
          </cell>
          <cell r="F81">
            <v>-72630693.239999995</v>
          </cell>
        </row>
        <row r="82">
          <cell r="A82" t="str">
            <v>6115</v>
          </cell>
          <cell r="B82" t="str">
            <v>其他收益</v>
          </cell>
          <cell r="G82">
            <v>77735.5</v>
          </cell>
          <cell r="H82">
            <v>77735.5</v>
          </cell>
        </row>
        <row r="83">
          <cell r="A83" t="str">
            <v>6115.03</v>
          </cell>
          <cell r="B83" t="str">
            <v>　　公司间往来</v>
          </cell>
          <cell r="G83">
            <v>77735.5</v>
          </cell>
          <cell r="H83">
            <v>77735.5</v>
          </cell>
        </row>
        <row r="84">
          <cell r="A84" t="str">
            <v>6602</v>
          </cell>
          <cell r="B84" t="str">
            <v>管理费用</v>
          </cell>
          <cell r="G84">
            <v>678001.45</v>
          </cell>
          <cell r="H84">
            <v>678001.45</v>
          </cell>
        </row>
        <row r="85">
          <cell r="A85" t="str">
            <v>6602.01</v>
          </cell>
          <cell r="B85" t="str">
            <v>　　工资薪金</v>
          </cell>
          <cell r="G85">
            <v>324500</v>
          </cell>
          <cell r="H85">
            <v>324500</v>
          </cell>
        </row>
        <row r="86">
          <cell r="A86" t="str">
            <v>6602.01.01</v>
          </cell>
          <cell r="B86" t="str">
            <v>　　　　基本工资（专业）</v>
          </cell>
          <cell r="G86">
            <v>40000</v>
          </cell>
          <cell r="H86">
            <v>40000</v>
          </cell>
        </row>
        <row r="87">
          <cell r="A87" t="str">
            <v>6602.01.05</v>
          </cell>
          <cell r="B87" t="str">
            <v>　　　　员工假期</v>
          </cell>
        </row>
        <row r="88">
          <cell r="A88" t="str">
            <v>6602.01.08</v>
          </cell>
          <cell r="B88" t="str">
            <v>　　　　基本工资（管理）</v>
          </cell>
          <cell r="G88">
            <v>284500</v>
          </cell>
          <cell r="H88">
            <v>284500</v>
          </cell>
        </row>
        <row r="89">
          <cell r="A89" t="str">
            <v>6602.02</v>
          </cell>
          <cell r="B89" t="str">
            <v>　　职工福利</v>
          </cell>
        </row>
        <row r="90">
          <cell r="A90" t="str">
            <v>6602.02.02</v>
          </cell>
          <cell r="B90" t="str">
            <v>　　　　团建活动</v>
          </cell>
        </row>
        <row r="91">
          <cell r="A91" t="str">
            <v>6602.03</v>
          </cell>
          <cell r="B91" t="str">
            <v>　　社保公积金</v>
          </cell>
          <cell r="G91">
            <v>29331.09</v>
          </cell>
          <cell r="H91">
            <v>29331.09</v>
          </cell>
        </row>
        <row r="92">
          <cell r="A92" t="str">
            <v>6602.03.01</v>
          </cell>
          <cell r="B92" t="str">
            <v>　　　　员工社保福利</v>
          </cell>
          <cell r="G92">
            <v>24831.09</v>
          </cell>
          <cell r="H92">
            <v>24831.09</v>
          </cell>
        </row>
        <row r="93">
          <cell r="A93" t="str">
            <v>6602.03.03</v>
          </cell>
          <cell r="B93" t="str">
            <v>　　　　员工强制性公积金福利</v>
          </cell>
          <cell r="G93">
            <v>4500</v>
          </cell>
          <cell r="H93">
            <v>4500</v>
          </cell>
        </row>
        <row r="94">
          <cell r="A94" t="str">
            <v>6602.04</v>
          </cell>
          <cell r="B94" t="str">
            <v>　　咨询及专业服务费</v>
          </cell>
          <cell r="G94">
            <v>40736.660000000003</v>
          </cell>
          <cell r="H94">
            <v>40736.660000000003</v>
          </cell>
        </row>
        <row r="95">
          <cell r="A95" t="str">
            <v>6602.04.01</v>
          </cell>
          <cell r="B95" t="str">
            <v>　　　　会计服务费</v>
          </cell>
          <cell r="G95">
            <v>12000</v>
          </cell>
          <cell r="H95">
            <v>12000</v>
          </cell>
        </row>
        <row r="96">
          <cell r="A96" t="str">
            <v>6602.04.02</v>
          </cell>
          <cell r="B96" t="str">
            <v>　　　　审计服务费</v>
          </cell>
          <cell r="G96">
            <v>19166.66</v>
          </cell>
          <cell r="H96">
            <v>19166.66</v>
          </cell>
        </row>
        <row r="97">
          <cell r="A97" t="str">
            <v>6602.04.06</v>
          </cell>
          <cell r="B97" t="str">
            <v>　　　　法律服务费</v>
          </cell>
          <cell r="G97">
            <v>7070</v>
          </cell>
          <cell r="H97">
            <v>7070</v>
          </cell>
        </row>
        <row r="98">
          <cell r="A98" t="str">
            <v>6602.04.06</v>
          </cell>
          <cell r="B98" t="str">
            <v>　　　　法律服务费</v>
          </cell>
          <cell r="C98" t="str">
            <v>CI009</v>
          </cell>
          <cell r="D98" t="str">
            <v>旭智资本</v>
          </cell>
          <cell r="G98">
            <v>7070</v>
          </cell>
          <cell r="H98">
            <v>7070</v>
          </cell>
        </row>
        <row r="99">
          <cell r="A99" t="str">
            <v>6602.04.07</v>
          </cell>
          <cell r="B99" t="str">
            <v>　　　　人力资源服务费</v>
          </cell>
          <cell r="G99">
            <v>2500</v>
          </cell>
          <cell r="H99">
            <v>2500</v>
          </cell>
        </row>
        <row r="100">
          <cell r="A100" t="str">
            <v>6602.05</v>
          </cell>
          <cell r="B100" t="str">
            <v>　　占用费</v>
          </cell>
          <cell r="G100">
            <v>55650</v>
          </cell>
          <cell r="H100">
            <v>55650</v>
          </cell>
        </row>
        <row r="101">
          <cell r="A101" t="str">
            <v>6602.05.08</v>
          </cell>
          <cell r="B101" t="str">
            <v>　　　　集团内分摊</v>
          </cell>
          <cell r="G101">
            <v>55650</v>
          </cell>
          <cell r="H101">
            <v>55650</v>
          </cell>
        </row>
        <row r="102">
          <cell r="A102" t="str">
            <v>6602.06</v>
          </cell>
          <cell r="B102" t="str">
            <v>　　业务招待费</v>
          </cell>
        </row>
        <row r="103">
          <cell r="A103" t="str">
            <v>6602.06</v>
          </cell>
          <cell r="B103" t="str">
            <v>　　业务招待费</v>
          </cell>
          <cell r="C103" t="str">
            <v>CI009</v>
          </cell>
          <cell r="D103" t="str">
            <v>旭智资本</v>
          </cell>
        </row>
        <row r="104">
          <cell r="A104" t="str">
            <v>6602.08</v>
          </cell>
          <cell r="B104" t="str">
            <v>　　事务费用</v>
          </cell>
          <cell r="G104">
            <v>28641.88</v>
          </cell>
          <cell r="H104">
            <v>28641.88</v>
          </cell>
        </row>
        <row r="105">
          <cell r="A105" t="str">
            <v>6602.08.01</v>
          </cell>
          <cell r="B105" t="str">
            <v>　　　　通信费</v>
          </cell>
          <cell r="G105">
            <v>1140</v>
          </cell>
          <cell r="H105">
            <v>1140</v>
          </cell>
        </row>
        <row r="106">
          <cell r="A106" t="str">
            <v>6602.08.01</v>
          </cell>
          <cell r="B106" t="str">
            <v>　　　　通信费</v>
          </cell>
          <cell r="C106" t="str">
            <v>CI009</v>
          </cell>
          <cell r="D106" t="str">
            <v>旭智资本</v>
          </cell>
          <cell r="G106">
            <v>1140</v>
          </cell>
          <cell r="H106">
            <v>1140</v>
          </cell>
        </row>
        <row r="107">
          <cell r="A107" t="str">
            <v>6602.08.03</v>
          </cell>
          <cell r="B107" t="str">
            <v>　　　　办公用品</v>
          </cell>
        </row>
        <row r="108">
          <cell r="A108" t="str">
            <v>6602.08.03</v>
          </cell>
          <cell r="B108" t="str">
            <v>　　　　办公用品</v>
          </cell>
          <cell r="C108" t="str">
            <v>CI009</v>
          </cell>
          <cell r="D108" t="str">
            <v>旭智资本</v>
          </cell>
        </row>
        <row r="109">
          <cell r="A109" t="str">
            <v>6602.08.04</v>
          </cell>
          <cell r="B109" t="str">
            <v>　　　　事务保金</v>
          </cell>
          <cell r="G109">
            <v>409.78</v>
          </cell>
          <cell r="H109">
            <v>409.78</v>
          </cell>
        </row>
        <row r="110">
          <cell r="A110" t="str">
            <v>6602.08.04</v>
          </cell>
          <cell r="B110" t="str">
            <v>　　　　事务保金</v>
          </cell>
          <cell r="C110" t="str">
            <v>CI009</v>
          </cell>
          <cell r="D110" t="str">
            <v>旭智资本</v>
          </cell>
          <cell r="G110">
            <v>409.78</v>
          </cell>
          <cell r="H110">
            <v>409.78</v>
          </cell>
        </row>
        <row r="111">
          <cell r="A111" t="str">
            <v>6602.08.05</v>
          </cell>
          <cell r="B111" t="str">
            <v>　　　　邮费/邮递费</v>
          </cell>
          <cell r="G111">
            <v>408</v>
          </cell>
          <cell r="H111">
            <v>408</v>
          </cell>
        </row>
        <row r="112">
          <cell r="A112" t="str">
            <v>6602.08.05</v>
          </cell>
          <cell r="B112" t="str">
            <v>　　　　邮费/邮递费</v>
          </cell>
          <cell r="C112" t="str">
            <v>CI009</v>
          </cell>
          <cell r="D112" t="str">
            <v>旭智资本</v>
          </cell>
          <cell r="G112">
            <v>408</v>
          </cell>
          <cell r="H112">
            <v>408</v>
          </cell>
        </row>
        <row r="113">
          <cell r="A113" t="str">
            <v>6602.08.06</v>
          </cell>
          <cell r="B113" t="str">
            <v>　　　　IT专业人士及微软服务</v>
          </cell>
          <cell r="G113">
            <v>15685.98</v>
          </cell>
          <cell r="H113">
            <v>15685.98</v>
          </cell>
        </row>
        <row r="114">
          <cell r="A114" t="str">
            <v>6602.08.06</v>
          </cell>
          <cell r="B114" t="str">
            <v>　　　　IT专业人士及微软服务</v>
          </cell>
          <cell r="C114" t="str">
            <v>CI009</v>
          </cell>
          <cell r="D114" t="str">
            <v>旭智资本</v>
          </cell>
          <cell r="G114">
            <v>15685.98</v>
          </cell>
          <cell r="H114">
            <v>15685.98</v>
          </cell>
        </row>
        <row r="115">
          <cell r="A115" t="str">
            <v>6602.08.07</v>
          </cell>
          <cell r="B115" t="str">
            <v>　　　　软件许可证费用</v>
          </cell>
          <cell r="G115">
            <v>10650.12</v>
          </cell>
          <cell r="H115">
            <v>10650.12</v>
          </cell>
        </row>
        <row r="116">
          <cell r="A116" t="str">
            <v>6602.08.07</v>
          </cell>
          <cell r="B116" t="str">
            <v>　　　　软件许可证费用</v>
          </cell>
          <cell r="C116" t="str">
            <v>CI009</v>
          </cell>
          <cell r="D116" t="str">
            <v>旭智资本</v>
          </cell>
          <cell r="G116">
            <v>10650.12</v>
          </cell>
          <cell r="H116">
            <v>10650.12</v>
          </cell>
        </row>
        <row r="117">
          <cell r="A117" t="str">
            <v>6602.08.10</v>
          </cell>
          <cell r="B117" t="str">
            <v>　　　　电话国际直拨/电话会议收费</v>
          </cell>
          <cell r="G117">
            <v>348</v>
          </cell>
          <cell r="H117">
            <v>348</v>
          </cell>
        </row>
        <row r="118">
          <cell r="A118" t="str">
            <v>6602.08.10</v>
          </cell>
          <cell r="B118" t="str">
            <v>　　　　电话国际直拨/电话会议收费</v>
          </cell>
          <cell r="C118" t="str">
            <v>CI009</v>
          </cell>
          <cell r="D118" t="str">
            <v>旭智资本</v>
          </cell>
          <cell r="G118">
            <v>348</v>
          </cell>
          <cell r="H118">
            <v>348</v>
          </cell>
        </row>
        <row r="119">
          <cell r="A119" t="str">
            <v>6602.09</v>
          </cell>
          <cell r="B119" t="str">
            <v>　　差旅费</v>
          </cell>
        </row>
        <row r="120">
          <cell r="A120" t="str">
            <v>6602.09.04</v>
          </cell>
          <cell r="B120" t="str">
            <v>　　　　空中交通费</v>
          </cell>
        </row>
        <row r="121">
          <cell r="A121" t="str">
            <v>6602.09.04</v>
          </cell>
          <cell r="B121" t="str">
            <v>　　　　空中交通费</v>
          </cell>
          <cell r="C121" t="str">
            <v>CI009</v>
          </cell>
          <cell r="D121" t="str">
            <v>旭智资本</v>
          </cell>
        </row>
        <row r="122">
          <cell r="A122" t="str">
            <v>6602.09.99</v>
          </cell>
          <cell r="B122" t="str">
            <v>　　　　其他</v>
          </cell>
        </row>
        <row r="123">
          <cell r="A123" t="str">
            <v>6602.09.99</v>
          </cell>
          <cell r="B123" t="str">
            <v>　　　　其他</v>
          </cell>
          <cell r="C123" t="str">
            <v>CI009</v>
          </cell>
          <cell r="D123" t="str">
            <v>旭智资本</v>
          </cell>
        </row>
        <row r="124">
          <cell r="A124" t="str">
            <v>6602.10</v>
          </cell>
          <cell r="B124" t="str">
            <v>　　折旧费</v>
          </cell>
          <cell r="G124">
            <v>299.44</v>
          </cell>
          <cell r="H124">
            <v>299.44</v>
          </cell>
        </row>
        <row r="125">
          <cell r="A125" t="str">
            <v>6602.10.01</v>
          </cell>
          <cell r="B125" t="str">
            <v>　　　　电子设备</v>
          </cell>
          <cell r="G125">
            <v>299.44</v>
          </cell>
          <cell r="H125">
            <v>299.44</v>
          </cell>
        </row>
        <row r="126">
          <cell r="A126" t="str">
            <v>6602.15</v>
          </cell>
          <cell r="B126" t="str">
            <v>　　服务费</v>
          </cell>
        </row>
        <row r="127">
          <cell r="A127" t="str">
            <v>6602.19</v>
          </cell>
          <cell r="B127" t="str">
            <v>　　会费（公司）</v>
          </cell>
        </row>
        <row r="128">
          <cell r="A128" t="str">
            <v>6602.21</v>
          </cell>
          <cell r="B128" t="str">
            <v>　　公司秘书费</v>
          </cell>
          <cell r="G128">
            <v>45252.99</v>
          </cell>
          <cell r="H128">
            <v>45252.99</v>
          </cell>
        </row>
        <row r="129">
          <cell r="A129" t="str">
            <v>6602.23</v>
          </cell>
          <cell r="B129" t="str">
            <v>　　无形资产摊销</v>
          </cell>
          <cell r="G129">
            <v>150000</v>
          </cell>
          <cell r="H129">
            <v>150000</v>
          </cell>
        </row>
        <row r="130">
          <cell r="A130" t="str">
            <v>6602.99</v>
          </cell>
          <cell r="B130" t="str">
            <v>　　其他</v>
          </cell>
          <cell r="G130">
            <v>3589.39</v>
          </cell>
          <cell r="H130">
            <v>3589.39</v>
          </cell>
        </row>
        <row r="131">
          <cell r="A131" t="str">
            <v>6603</v>
          </cell>
          <cell r="B131" t="str">
            <v>财务费用</v>
          </cell>
          <cell r="G131">
            <v>5687.25</v>
          </cell>
          <cell r="H131">
            <v>5687.25</v>
          </cell>
        </row>
        <row r="132">
          <cell r="A132" t="str">
            <v>6603.01</v>
          </cell>
          <cell r="B132" t="str">
            <v>　　汇兑损益</v>
          </cell>
          <cell r="G132">
            <v>5485.05</v>
          </cell>
          <cell r="H132">
            <v>5485.05</v>
          </cell>
        </row>
        <row r="133">
          <cell r="A133" t="str">
            <v>6603.03</v>
          </cell>
          <cell r="B133" t="str">
            <v>　　银行手续费</v>
          </cell>
          <cell r="G133">
            <v>204.4</v>
          </cell>
          <cell r="H133">
            <v>204.4</v>
          </cell>
        </row>
        <row r="134">
          <cell r="A134" t="str">
            <v>6603.04</v>
          </cell>
          <cell r="B134" t="str">
            <v>　　利息收入</v>
          </cell>
          <cell r="G134">
            <v>-2.2000000000000002</v>
          </cell>
          <cell r="H134">
            <v>-2.2000000000000002</v>
          </cell>
        </row>
        <row r="135">
          <cell r="B135" t="str">
            <v>合计</v>
          </cell>
          <cell r="E135">
            <v>121147096.06</v>
          </cell>
          <cell r="F135">
            <v>121147096.06</v>
          </cell>
          <cell r="G135">
            <v>35793592.579999998</v>
          </cell>
          <cell r="H135">
            <v>35793592.579999998</v>
          </cell>
        </row>
      </sheetData>
      <sheetData sheetId="8">
        <row r="1">
          <cell r="A1" t="str">
            <v>币别:香港元</v>
          </cell>
          <cell r="B1" t="str">
            <v>账簿:旭智资本有限公司</v>
          </cell>
          <cell r="C1" t="str">
            <v>期间:2025.9 -- 2025.9</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78053.070000000007</v>
          </cell>
          <cell r="G4">
            <v>691394.5</v>
          </cell>
          <cell r="H4">
            <v>473796.17</v>
          </cell>
        </row>
        <row r="5">
          <cell r="A5" t="str">
            <v>1002.01</v>
          </cell>
          <cell r="B5" t="str">
            <v>　　【旭智资本】银行存款账户</v>
          </cell>
          <cell r="E5">
            <v>78053.070000000007</v>
          </cell>
          <cell r="G5">
            <v>691394.5</v>
          </cell>
          <cell r="H5">
            <v>473796.17</v>
          </cell>
        </row>
        <row r="6">
          <cell r="A6" t="str">
            <v>1002.01.01</v>
          </cell>
          <cell r="B6" t="str">
            <v>　　　　汇丰银行-741-282-503-838</v>
          </cell>
          <cell r="E6">
            <v>78053.070000000007</v>
          </cell>
          <cell r="G6">
            <v>691394.5</v>
          </cell>
          <cell r="H6">
            <v>473796.17</v>
          </cell>
        </row>
        <row r="7">
          <cell r="A7" t="str">
            <v>1002.01.01.01</v>
          </cell>
          <cell r="B7" t="str">
            <v>　　　　　　【旭智资本】汇丰港元储蓄账户 3838</v>
          </cell>
          <cell r="E7">
            <v>61633.48</v>
          </cell>
          <cell r="G7">
            <v>675001.74</v>
          </cell>
          <cell r="H7">
            <v>457376.58</v>
          </cell>
        </row>
        <row r="8">
          <cell r="A8" t="str">
            <v>1002.01.01.02</v>
          </cell>
          <cell r="B8" t="str">
            <v>　　　　　　【旭智资本】汇丰港元往来账户 3838</v>
          </cell>
        </row>
        <row r="9">
          <cell r="A9" t="str">
            <v>1002.01.01.03</v>
          </cell>
          <cell r="B9" t="str">
            <v>　　　　　　【旭智资本】汇丰外币储蓄账户 - 人民币 3838</v>
          </cell>
          <cell r="E9">
            <v>1064.99</v>
          </cell>
          <cell r="G9">
            <v>1064.74</v>
          </cell>
          <cell r="H9">
            <v>1064.99</v>
          </cell>
        </row>
        <row r="10">
          <cell r="A10" t="str">
            <v>1002.01.01.04</v>
          </cell>
          <cell r="B10" t="str">
            <v>　　　　　　【旭智资本】汇丰外币储蓄账户 - 美元 3838</v>
          </cell>
          <cell r="E10">
            <v>15354.6</v>
          </cell>
          <cell r="G10">
            <v>15328.02</v>
          </cell>
          <cell r="H10">
            <v>15354.6</v>
          </cell>
        </row>
        <row r="11">
          <cell r="A11" t="str">
            <v>1002.01.01.05</v>
          </cell>
          <cell r="B11" t="str">
            <v>　　　　　　【旭智资本】汇丰港元定期存款</v>
          </cell>
        </row>
        <row r="12">
          <cell r="A12" t="str">
            <v>1002.01.01.06</v>
          </cell>
          <cell r="B12" t="str">
            <v>　　　　　　【旭智资本】汇丰人民币定期存款</v>
          </cell>
        </row>
        <row r="13">
          <cell r="A13" t="str">
            <v>1123</v>
          </cell>
          <cell r="B13" t="str">
            <v>预付账款</v>
          </cell>
          <cell r="E13">
            <v>5700489.6100000003</v>
          </cell>
          <cell r="G13">
            <v>574.25</v>
          </cell>
          <cell r="H13">
            <v>43271.42</v>
          </cell>
        </row>
        <row r="14">
          <cell r="A14" t="str">
            <v>1123.01</v>
          </cell>
          <cell r="B14" t="str">
            <v>　　单位</v>
          </cell>
          <cell r="E14">
            <v>259044.61</v>
          </cell>
          <cell r="G14">
            <v>574.25</v>
          </cell>
          <cell r="H14">
            <v>43271.42</v>
          </cell>
        </row>
        <row r="15">
          <cell r="A15" t="str">
            <v>1123.01</v>
          </cell>
          <cell r="B15" t="str">
            <v>　　单位</v>
          </cell>
          <cell r="C15" t="str">
            <v>SU003001</v>
          </cell>
          <cell r="D15" t="str">
            <v>Boardroom Corporate Services (HK) Limited</v>
          </cell>
          <cell r="E15">
            <v>4946.8500000000004</v>
          </cell>
          <cell r="H15">
            <v>1216.44</v>
          </cell>
        </row>
        <row r="16">
          <cell r="A16" t="str">
            <v>1123.01</v>
          </cell>
          <cell r="B16" t="str">
            <v>　　单位</v>
          </cell>
          <cell r="C16" t="str">
            <v>SU003003</v>
          </cell>
          <cell r="D16" t="str">
            <v>SUN HING INSURANCE BROKERS LTD.</v>
          </cell>
          <cell r="E16">
            <v>173487.41</v>
          </cell>
          <cell r="H16">
            <v>24426.65</v>
          </cell>
        </row>
        <row r="17">
          <cell r="A17" t="str">
            <v>1123.01</v>
          </cell>
          <cell r="B17" t="str">
            <v>　　单位</v>
          </cell>
          <cell r="C17" t="str">
            <v>SU003024</v>
          </cell>
          <cell r="D17" t="str">
            <v>SiteGround Hosting Ltd</v>
          </cell>
          <cell r="E17">
            <v>398.74</v>
          </cell>
          <cell r="H17">
            <v>234.55</v>
          </cell>
        </row>
        <row r="18">
          <cell r="A18" t="str">
            <v>1123.01</v>
          </cell>
          <cell r="B18" t="str">
            <v>　　单位</v>
          </cell>
          <cell r="C18" t="str">
            <v>SU003025</v>
          </cell>
          <cell r="D18" t="str">
            <v>Godaddy.Com,LLC</v>
          </cell>
          <cell r="E18">
            <v>512.03</v>
          </cell>
          <cell r="H18">
            <v>38.21</v>
          </cell>
        </row>
        <row r="19">
          <cell r="A19" t="str">
            <v>1123.01</v>
          </cell>
          <cell r="B19" t="str">
            <v>　　单位</v>
          </cell>
          <cell r="C19" t="str">
            <v>SU004011</v>
          </cell>
          <cell r="D19" t="str">
            <v>Master Concept (Hong Kong) Limited</v>
          </cell>
          <cell r="E19">
            <v>79699.58</v>
          </cell>
          <cell r="G19">
            <v>574.25</v>
          </cell>
          <cell r="H19">
            <v>17355.57</v>
          </cell>
        </row>
        <row r="20">
          <cell r="A20" t="str">
            <v>1123.01</v>
          </cell>
          <cell r="B20" t="str">
            <v>　　单位</v>
          </cell>
          <cell r="C20" t="str">
            <v>SU011002</v>
          </cell>
          <cell r="D20" t="str">
            <v>TMF (Cayman) Ltd.</v>
          </cell>
        </row>
        <row r="21">
          <cell r="A21" t="str">
            <v>1123.02</v>
          </cell>
          <cell r="B21" t="str">
            <v>　　个人</v>
          </cell>
          <cell r="E21">
            <v>5441445</v>
          </cell>
        </row>
        <row r="22">
          <cell r="A22" t="str">
            <v>1123.02</v>
          </cell>
          <cell r="B22" t="str">
            <v>　　个人</v>
          </cell>
          <cell r="C22" t="str">
            <v>SP005001</v>
          </cell>
          <cell r="D22" t="str">
            <v>冯冠邦</v>
          </cell>
          <cell r="E22">
            <v>5441445</v>
          </cell>
        </row>
        <row r="23">
          <cell r="A23" t="str">
            <v>1132</v>
          </cell>
          <cell r="B23" t="str">
            <v>应收利息</v>
          </cell>
        </row>
        <row r="24">
          <cell r="A24" t="str">
            <v>1132</v>
          </cell>
          <cell r="B24" t="str">
            <v>应收利息</v>
          </cell>
          <cell r="C24" t="str">
            <v>OU004001</v>
          </cell>
          <cell r="D24" t="str">
            <v>香港上海汇丰银行有限公司</v>
          </cell>
        </row>
        <row r="25">
          <cell r="A25" t="str">
            <v>1221</v>
          </cell>
          <cell r="B25" t="str">
            <v>其他应收款</v>
          </cell>
          <cell r="E25">
            <v>4761747.9800000004</v>
          </cell>
          <cell r="G25">
            <v>8.82</v>
          </cell>
          <cell r="H25">
            <v>1382.55</v>
          </cell>
        </row>
        <row r="26">
          <cell r="A26" t="str">
            <v>1221.01</v>
          </cell>
          <cell r="B26" t="str">
            <v>　　单位</v>
          </cell>
          <cell r="E26">
            <v>4761747.9800000004</v>
          </cell>
          <cell r="G26">
            <v>8.82</v>
          </cell>
          <cell r="H26">
            <v>1382.55</v>
          </cell>
        </row>
        <row r="27">
          <cell r="A27" t="str">
            <v>1221.01</v>
          </cell>
          <cell r="B27" t="str">
            <v>　　单位</v>
          </cell>
          <cell r="C27" t="str">
            <v>CU003003</v>
          </cell>
          <cell r="D27" t="str">
            <v>旭智资本（开曼）有限公司</v>
          </cell>
          <cell r="E27">
            <v>943367.54</v>
          </cell>
        </row>
        <row r="28">
          <cell r="A28" t="str">
            <v>1221.01</v>
          </cell>
          <cell r="B28" t="str">
            <v>　　单位</v>
          </cell>
          <cell r="C28" t="str">
            <v>CU003004</v>
          </cell>
          <cell r="D28" t="str">
            <v>广州旭智投资控股有限责任公司</v>
          </cell>
          <cell r="E28">
            <v>687481.4</v>
          </cell>
          <cell r="G28">
            <v>8.82</v>
          </cell>
          <cell r="H28">
            <v>1256.8599999999999</v>
          </cell>
        </row>
        <row r="29">
          <cell r="A29" t="str">
            <v>1221.01</v>
          </cell>
          <cell r="B29" t="str">
            <v>　　单位</v>
          </cell>
          <cell r="C29" t="str">
            <v>CU003005</v>
          </cell>
          <cell r="D29" t="str">
            <v>Albamen Cayman Fund II</v>
          </cell>
          <cell r="E29">
            <v>2857314.21</v>
          </cell>
        </row>
        <row r="30">
          <cell r="A30" t="str">
            <v>1221.01</v>
          </cell>
          <cell r="B30" t="str">
            <v>　　单位</v>
          </cell>
          <cell r="C30" t="str">
            <v>CU003006</v>
          </cell>
          <cell r="D30" t="str">
            <v>旭智咨询管理(深圳)有限责任公司</v>
          </cell>
          <cell r="E30">
            <v>72594.34</v>
          </cell>
          <cell r="H30">
            <v>125.69</v>
          </cell>
        </row>
        <row r="31">
          <cell r="A31" t="str">
            <v>1221.01</v>
          </cell>
          <cell r="B31" t="str">
            <v>　　单位</v>
          </cell>
          <cell r="C31" t="str">
            <v>CU003007</v>
          </cell>
          <cell r="D31" t="str">
            <v>旭智兴邦有限公司</v>
          </cell>
          <cell r="E31">
            <v>104516.13</v>
          </cell>
        </row>
        <row r="32">
          <cell r="A32" t="str">
            <v>1221.01</v>
          </cell>
          <cell r="B32" t="str">
            <v>　　单位</v>
          </cell>
          <cell r="C32" t="str">
            <v>CU003008</v>
          </cell>
          <cell r="D32" t="str">
            <v>Rising Son Invesments Limited</v>
          </cell>
          <cell r="E32">
            <v>10055</v>
          </cell>
        </row>
        <row r="33">
          <cell r="A33" t="str">
            <v>1221.01</v>
          </cell>
          <cell r="B33" t="str">
            <v>　　单位</v>
          </cell>
          <cell r="C33" t="str">
            <v>CU003009</v>
          </cell>
          <cell r="D33" t="str">
            <v>Sustainable Energy (HK) Investment Holding Ltd</v>
          </cell>
          <cell r="E33">
            <v>10000</v>
          </cell>
        </row>
        <row r="34">
          <cell r="A34" t="str">
            <v>1221.01</v>
          </cell>
          <cell r="B34" t="str">
            <v>　　单位</v>
          </cell>
          <cell r="C34" t="str">
            <v>CU003010</v>
          </cell>
          <cell r="D34" t="str">
            <v>旭智富能新能源（深圳）有限责任公司</v>
          </cell>
          <cell r="E34">
            <v>76419.360000000001</v>
          </cell>
        </row>
        <row r="35">
          <cell r="A35" t="str">
            <v>1221.01</v>
          </cell>
          <cell r="B35" t="str">
            <v>　　单位</v>
          </cell>
          <cell r="C35" t="str">
            <v>CU003011</v>
          </cell>
          <cell r="D35" t="str">
            <v>Manulife Investment Management (Hong Kong )Limited</v>
          </cell>
        </row>
        <row r="36">
          <cell r="A36" t="str">
            <v>1221.01</v>
          </cell>
          <cell r="B36" t="str">
            <v>　　单位</v>
          </cell>
          <cell r="C36" t="str">
            <v>CU003012</v>
          </cell>
          <cell r="D36" t="str">
            <v>旭智新能源共同投资有限公司</v>
          </cell>
        </row>
        <row r="37">
          <cell r="A37" t="str">
            <v>1511</v>
          </cell>
          <cell r="B37" t="str">
            <v>长期股权投资</v>
          </cell>
          <cell r="E37">
            <v>92467303.799999997</v>
          </cell>
        </row>
        <row r="38">
          <cell r="A38" t="str">
            <v>1511.02</v>
          </cell>
          <cell r="B38" t="str">
            <v>　　投资成本</v>
          </cell>
          <cell r="E38">
            <v>92467303.799999997</v>
          </cell>
        </row>
        <row r="39">
          <cell r="A39" t="str">
            <v>1511.02</v>
          </cell>
          <cell r="B39" t="str">
            <v>　　投资成本</v>
          </cell>
          <cell r="C39" t="str">
            <v>004</v>
          </cell>
          <cell r="D39" t="str">
            <v>旭智资本（香港）有限公司</v>
          </cell>
          <cell r="E39">
            <v>89799421</v>
          </cell>
        </row>
        <row r="40">
          <cell r="A40" t="str">
            <v>1511.02</v>
          </cell>
          <cell r="B40" t="str">
            <v>　　投资成本</v>
          </cell>
          <cell r="C40" t="str">
            <v>006</v>
          </cell>
          <cell r="D40" t="str">
            <v>旭智咨询管理（深圳）有限责任公司</v>
          </cell>
          <cell r="E40">
            <v>2657875</v>
          </cell>
        </row>
        <row r="41">
          <cell r="A41" t="str">
            <v>1511.02</v>
          </cell>
          <cell r="B41" t="str">
            <v>　　投资成本</v>
          </cell>
          <cell r="C41" t="str">
            <v>011</v>
          </cell>
          <cell r="D41" t="str">
            <v>旭智资本（开曼）有限公司</v>
          </cell>
          <cell r="E41">
            <v>7.8</v>
          </cell>
        </row>
        <row r="42">
          <cell r="A42" t="str">
            <v>1511.02</v>
          </cell>
          <cell r="B42" t="str">
            <v>　　投资成本</v>
          </cell>
          <cell r="C42" t="str">
            <v>012</v>
          </cell>
          <cell r="D42" t="str">
            <v>旭智兴邦有限公司</v>
          </cell>
          <cell r="E42">
            <v>10000</v>
          </cell>
        </row>
        <row r="43">
          <cell r="A43" t="str">
            <v>1601</v>
          </cell>
          <cell r="B43" t="str">
            <v>固定资产</v>
          </cell>
          <cell r="E43">
            <v>81529</v>
          </cell>
        </row>
        <row r="44">
          <cell r="A44" t="str">
            <v>1601.01</v>
          </cell>
          <cell r="B44" t="str">
            <v>　　电子设备</v>
          </cell>
          <cell r="E44">
            <v>81529</v>
          </cell>
        </row>
        <row r="45">
          <cell r="A45" t="str">
            <v>1602</v>
          </cell>
          <cell r="B45" t="str">
            <v>累计折旧</v>
          </cell>
          <cell r="F45">
            <v>73443.960000000006</v>
          </cell>
          <cell r="H45">
            <v>299.44</v>
          </cell>
        </row>
        <row r="46">
          <cell r="A46" t="str">
            <v>1602.01</v>
          </cell>
          <cell r="B46" t="str">
            <v>　　电子设备</v>
          </cell>
          <cell r="F46">
            <v>73443.960000000006</v>
          </cell>
          <cell r="H46">
            <v>299.44</v>
          </cell>
        </row>
        <row r="47">
          <cell r="A47" t="str">
            <v>1701</v>
          </cell>
          <cell r="B47" t="str">
            <v>无形资产</v>
          </cell>
          <cell r="E47">
            <v>18000000</v>
          </cell>
        </row>
        <row r="48">
          <cell r="A48" t="str">
            <v>1701.02</v>
          </cell>
          <cell r="B48" t="str">
            <v>　　 商业材料许可证</v>
          </cell>
          <cell r="E48">
            <v>18000000</v>
          </cell>
        </row>
        <row r="49">
          <cell r="A49" t="str">
            <v>1702</v>
          </cell>
          <cell r="B49" t="str">
            <v>累计摊销</v>
          </cell>
          <cell r="F49">
            <v>9150000</v>
          </cell>
          <cell r="H49">
            <v>150000</v>
          </cell>
        </row>
        <row r="50">
          <cell r="A50" t="str">
            <v>1702.02</v>
          </cell>
          <cell r="B50" t="str">
            <v>　　  商业材料许可证</v>
          </cell>
          <cell r="F50">
            <v>9150000</v>
          </cell>
          <cell r="H50">
            <v>150000</v>
          </cell>
        </row>
        <row r="51">
          <cell r="A51" t="str">
            <v>2211</v>
          </cell>
          <cell r="B51" t="str">
            <v>应付职工薪酬</v>
          </cell>
          <cell r="F51">
            <v>95833.52</v>
          </cell>
          <cell r="G51">
            <v>9000</v>
          </cell>
          <cell r="H51">
            <v>9000</v>
          </cell>
        </row>
        <row r="52">
          <cell r="A52" t="str">
            <v>2211.02</v>
          </cell>
          <cell r="B52" t="str">
            <v>　　职工奖金</v>
          </cell>
        </row>
        <row r="53">
          <cell r="A53" t="str">
            <v>2211.11</v>
          </cell>
          <cell r="B53" t="str">
            <v>　　应付强制性公积金</v>
          </cell>
          <cell r="F53">
            <v>8400</v>
          </cell>
          <cell r="G53">
            <v>9000</v>
          </cell>
          <cell r="H53">
            <v>9000</v>
          </cell>
        </row>
        <row r="54">
          <cell r="A54" t="str">
            <v>2211.12</v>
          </cell>
          <cell r="B54" t="str">
            <v>　　应付长期服务金</v>
          </cell>
          <cell r="F54">
            <v>87433.52</v>
          </cell>
        </row>
        <row r="55">
          <cell r="A55" t="str">
            <v>2211.13</v>
          </cell>
          <cell r="B55" t="str">
            <v>　　未使用假期负债</v>
          </cell>
        </row>
        <row r="56">
          <cell r="A56" t="str">
            <v>2241</v>
          </cell>
          <cell r="B56" t="str">
            <v>其他应付款</v>
          </cell>
          <cell r="F56">
            <v>9632594.3900000006</v>
          </cell>
          <cell r="G56">
            <v>92435.5</v>
          </cell>
          <cell r="H56">
            <v>844516.66</v>
          </cell>
        </row>
        <row r="57">
          <cell r="A57" t="str">
            <v>2241.01</v>
          </cell>
          <cell r="B57" t="str">
            <v>　　单位</v>
          </cell>
          <cell r="F57">
            <v>9500689.2799999993</v>
          </cell>
          <cell r="G57">
            <v>92435.5</v>
          </cell>
          <cell r="H57">
            <v>844516.66</v>
          </cell>
        </row>
        <row r="58">
          <cell r="A58" t="str">
            <v>2241.01</v>
          </cell>
          <cell r="B58" t="str">
            <v>　　单位</v>
          </cell>
          <cell r="C58" t="str">
            <v>SU003011</v>
          </cell>
          <cell r="D58" t="str">
            <v>Tricor Services Limited</v>
          </cell>
          <cell r="F58">
            <v>30000</v>
          </cell>
          <cell r="G58">
            <v>14700</v>
          </cell>
          <cell r="H58">
            <v>14700</v>
          </cell>
        </row>
        <row r="59">
          <cell r="A59" t="str">
            <v>2241.01</v>
          </cell>
          <cell r="B59" t="str">
            <v>　　单位</v>
          </cell>
          <cell r="C59" t="str">
            <v>SU003027</v>
          </cell>
          <cell r="D59" t="str">
            <v>SWIFT ENERGY ADVISORY LTD</v>
          </cell>
          <cell r="H59">
            <v>80000</v>
          </cell>
        </row>
        <row r="60">
          <cell r="A60" t="str">
            <v>2241.01</v>
          </cell>
          <cell r="B60" t="str">
            <v>　　单位</v>
          </cell>
          <cell r="C60" t="str">
            <v>SU004019</v>
          </cell>
          <cell r="D60" t="str">
            <v>PricewaterhouseCoopers Limited</v>
          </cell>
          <cell r="F60">
            <v>153333.28</v>
          </cell>
          <cell r="H60">
            <v>19166.66</v>
          </cell>
        </row>
        <row r="61">
          <cell r="A61" t="str">
            <v>2241.01</v>
          </cell>
          <cell r="B61" t="str">
            <v>　　单位</v>
          </cell>
          <cell r="C61" t="str">
            <v>SU005045</v>
          </cell>
          <cell r="D61" t="str">
            <v>旭智资本(香港)有限公司</v>
          </cell>
          <cell r="F61">
            <v>9317356</v>
          </cell>
          <cell r="G61">
            <v>77735.5</v>
          </cell>
          <cell r="H61">
            <v>730650</v>
          </cell>
        </row>
        <row r="62">
          <cell r="A62" t="str">
            <v>2241.02</v>
          </cell>
          <cell r="B62" t="str">
            <v>　　个人</v>
          </cell>
          <cell r="F62">
            <v>131905.10999999999</v>
          </cell>
        </row>
        <row r="63">
          <cell r="A63" t="str">
            <v>2241.02</v>
          </cell>
          <cell r="B63" t="str">
            <v>　　个人</v>
          </cell>
          <cell r="C63" t="str">
            <v>SP003008</v>
          </cell>
          <cell r="D63" t="str">
            <v>卢淑怡</v>
          </cell>
        </row>
        <row r="64">
          <cell r="A64" t="str">
            <v>2241.02</v>
          </cell>
          <cell r="B64" t="str">
            <v>　　个人</v>
          </cell>
          <cell r="C64" t="str">
            <v>SP003010</v>
          </cell>
          <cell r="D64" t="str">
            <v>员工报销</v>
          </cell>
          <cell r="F64">
            <v>131905.10999999999</v>
          </cell>
        </row>
        <row r="65">
          <cell r="A65" t="str">
            <v>2304</v>
          </cell>
          <cell r="B65" t="str">
            <v>其他金融工具负债</v>
          </cell>
          <cell r="F65">
            <v>23400000</v>
          </cell>
        </row>
        <row r="66">
          <cell r="A66" t="str">
            <v>2304.01</v>
          </cell>
          <cell r="B66" t="str">
            <v>　　B类优先股</v>
          </cell>
          <cell r="F66">
            <v>23400000</v>
          </cell>
        </row>
        <row r="67">
          <cell r="A67" t="str">
            <v>2304.01</v>
          </cell>
          <cell r="B67" t="str">
            <v>　　B类优先股</v>
          </cell>
          <cell r="C67" t="str">
            <v>QTWL0001</v>
          </cell>
          <cell r="D67" t="str">
            <v>辉朗投资有限公司</v>
          </cell>
          <cell r="F67">
            <v>1755000</v>
          </cell>
        </row>
        <row r="68">
          <cell r="A68" t="str">
            <v>2304.01</v>
          </cell>
          <cell r="B68" t="str">
            <v>　　B类优先股</v>
          </cell>
          <cell r="C68" t="str">
            <v>QTWL0002</v>
          </cell>
          <cell r="D68" t="str">
            <v>Pure Nice Limited</v>
          </cell>
          <cell r="F68">
            <v>1755000</v>
          </cell>
        </row>
        <row r="69">
          <cell r="A69" t="str">
            <v>2304.01</v>
          </cell>
          <cell r="B69" t="str">
            <v>　　B类优先股</v>
          </cell>
          <cell r="C69" t="str">
            <v>QTWL0003</v>
          </cell>
          <cell r="D69" t="str">
            <v>旭铂投资有限公司</v>
          </cell>
          <cell r="F69">
            <v>19305000</v>
          </cell>
        </row>
        <row r="70">
          <cell r="A70" t="str">
            <v>2304.01</v>
          </cell>
          <cell r="B70" t="str">
            <v>　　B类优先股</v>
          </cell>
          <cell r="C70" t="str">
            <v>QTWL0004</v>
          </cell>
          <cell r="D70" t="str">
            <v>智慧基建投资有限公司</v>
          </cell>
          <cell r="F70">
            <v>585000</v>
          </cell>
        </row>
        <row r="71">
          <cell r="A71" t="str">
            <v>4001</v>
          </cell>
          <cell r="B71" t="str">
            <v>实收资本（股本）</v>
          </cell>
          <cell r="F71">
            <v>156720000</v>
          </cell>
        </row>
        <row r="72">
          <cell r="A72" t="str">
            <v>4001.50</v>
          </cell>
          <cell r="B72" t="str">
            <v>　　普通股</v>
          </cell>
          <cell r="F72">
            <v>156720000</v>
          </cell>
        </row>
        <row r="73">
          <cell r="A73" t="str">
            <v>4001.50.01</v>
          </cell>
          <cell r="B73" t="str">
            <v>　　　　威力能源投资有限公司</v>
          </cell>
          <cell r="F73">
            <v>35262000</v>
          </cell>
        </row>
        <row r="74">
          <cell r="A74" t="str">
            <v>4001.50.02</v>
          </cell>
          <cell r="B74" t="str">
            <v>　　　　旭铂投资有限公司</v>
          </cell>
          <cell r="F74">
            <v>94032000</v>
          </cell>
        </row>
        <row r="75">
          <cell r="A75" t="str">
            <v>4001.50.03</v>
          </cell>
          <cell r="B75" t="str">
            <v>　　　　辉朗投资有限公司</v>
          </cell>
          <cell r="F75">
            <v>11754000</v>
          </cell>
        </row>
        <row r="76">
          <cell r="A76" t="str">
            <v>4001.50.04</v>
          </cell>
          <cell r="B76" t="str">
            <v>　　　　智慧基建投资有限公司</v>
          </cell>
          <cell r="F76">
            <v>3918000</v>
          </cell>
        </row>
        <row r="77">
          <cell r="A77" t="str">
            <v>4001.50.05</v>
          </cell>
          <cell r="B77" t="str">
            <v>　　　　Pure Nice Limited</v>
          </cell>
          <cell r="F77">
            <v>11754000</v>
          </cell>
        </row>
        <row r="78">
          <cell r="A78" t="str">
            <v>4001.51</v>
          </cell>
          <cell r="B78" t="str">
            <v>　　优先股</v>
          </cell>
        </row>
        <row r="79">
          <cell r="A79" t="str">
            <v>4001.51.01</v>
          </cell>
          <cell r="B79" t="str">
            <v>　　　　旭铂投资有限公司</v>
          </cell>
        </row>
        <row r="80">
          <cell r="A80" t="str">
            <v>4103</v>
          </cell>
          <cell r="B80" t="str">
            <v>本年利润</v>
          </cell>
          <cell r="F80">
            <v>-5352055.17</v>
          </cell>
          <cell r="G80">
            <v>806588.67</v>
          </cell>
          <cell r="H80">
            <v>77735.5</v>
          </cell>
        </row>
        <row r="81">
          <cell r="A81" t="str">
            <v>4104</v>
          </cell>
          <cell r="B81" t="str">
            <v>利润分配</v>
          </cell>
          <cell r="F81">
            <v>-72630693.239999995</v>
          </cell>
        </row>
        <row r="82">
          <cell r="A82" t="str">
            <v>4104.07</v>
          </cell>
          <cell r="B82" t="str">
            <v>　　未分配利润</v>
          </cell>
          <cell r="F82">
            <v>-72630693.239999995</v>
          </cell>
        </row>
        <row r="83">
          <cell r="A83" t="str">
            <v>6115</v>
          </cell>
          <cell r="B83" t="str">
            <v>其他收益</v>
          </cell>
          <cell r="G83">
            <v>77735.5</v>
          </cell>
          <cell r="H83">
            <v>77735.5</v>
          </cell>
        </row>
        <row r="84">
          <cell r="A84" t="str">
            <v>6115.03</v>
          </cell>
          <cell r="B84" t="str">
            <v>　　公司间往来</v>
          </cell>
          <cell r="G84">
            <v>77735.5</v>
          </cell>
          <cell r="H84">
            <v>77735.5</v>
          </cell>
        </row>
        <row r="85">
          <cell r="A85" t="str">
            <v>6602</v>
          </cell>
          <cell r="B85" t="str">
            <v>管理费用</v>
          </cell>
          <cell r="G85">
            <v>804980.45</v>
          </cell>
          <cell r="H85">
            <v>804980.45</v>
          </cell>
        </row>
        <row r="86">
          <cell r="A86" t="str">
            <v>6602.01</v>
          </cell>
          <cell r="B86" t="str">
            <v>　　工资薪金</v>
          </cell>
          <cell r="G86">
            <v>324500</v>
          </cell>
          <cell r="H86">
            <v>324500</v>
          </cell>
        </row>
        <row r="87">
          <cell r="A87" t="str">
            <v>6602.01.01</v>
          </cell>
          <cell r="B87" t="str">
            <v>　　　　基本工资（专业）</v>
          </cell>
          <cell r="G87">
            <v>40000</v>
          </cell>
          <cell r="H87">
            <v>40000</v>
          </cell>
        </row>
        <row r="88">
          <cell r="A88" t="str">
            <v>6602.01.05</v>
          </cell>
          <cell r="B88" t="str">
            <v>　　　　员工假期</v>
          </cell>
        </row>
        <row r="89">
          <cell r="A89" t="str">
            <v>6602.01.08</v>
          </cell>
          <cell r="B89" t="str">
            <v>　　　　基本工资（管理）</v>
          </cell>
          <cell r="G89">
            <v>284500</v>
          </cell>
          <cell r="H89">
            <v>284500</v>
          </cell>
        </row>
        <row r="90">
          <cell r="A90" t="str">
            <v>6602.02</v>
          </cell>
          <cell r="B90" t="str">
            <v>　　职工福利</v>
          </cell>
          <cell r="G90">
            <v>984.54</v>
          </cell>
          <cell r="H90">
            <v>984.54</v>
          </cell>
        </row>
        <row r="91">
          <cell r="A91" t="str">
            <v>6602.02.02</v>
          </cell>
          <cell r="B91" t="str">
            <v>　　　　团建活动</v>
          </cell>
          <cell r="G91">
            <v>984.54</v>
          </cell>
          <cell r="H91">
            <v>984.54</v>
          </cell>
        </row>
        <row r="92">
          <cell r="A92" t="str">
            <v>6602.03</v>
          </cell>
          <cell r="B92" t="str">
            <v>　　社保公积金</v>
          </cell>
          <cell r="G92">
            <v>28530.09</v>
          </cell>
          <cell r="H92">
            <v>28530.09</v>
          </cell>
        </row>
        <row r="93">
          <cell r="A93" t="str">
            <v>6602.03.01</v>
          </cell>
          <cell r="B93" t="str">
            <v>　　　　员工社保福利</v>
          </cell>
          <cell r="G93">
            <v>24030.09</v>
          </cell>
          <cell r="H93">
            <v>24030.09</v>
          </cell>
        </row>
        <row r="94">
          <cell r="A94" t="str">
            <v>6602.03.03</v>
          </cell>
          <cell r="B94" t="str">
            <v>　　　　员工强制性公积金福利</v>
          </cell>
          <cell r="G94">
            <v>4500</v>
          </cell>
          <cell r="H94">
            <v>4500</v>
          </cell>
        </row>
        <row r="95">
          <cell r="A95" t="str">
            <v>6602.04</v>
          </cell>
          <cell r="B95" t="str">
            <v>　　咨询及专业服务费</v>
          </cell>
          <cell r="G95">
            <v>33666.660000000003</v>
          </cell>
          <cell r="H95">
            <v>33666.660000000003</v>
          </cell>
        </row>
        <row r="96">
          <cell r="A96" t="str">
            <v>6602.04.01</v>
          </cell>
          <cell r="B96" t="str">
            <v>　　　　会计服务费</v>
          </cell>
          <cell r="G96">
            <v>12000</v>
          </cell>
          <cell r="H96">
            <v>12000</v>
          </cell>
        </row>
        <row r="97">
          <cell r="A97" t="str">
            <v>6602.04.02</v>
          </cell>
          <cell r="B97" t="str">
            <v>　　　　审计服务费</v>
          </cell>
          <cell r="G97">
            <v>19166.66</v>
          </cell>
          <cell r="H97">
            <v>19166.66</v>
          </cell>
        </row>
        <row r="98">
          <cell r="A98" t="str">
            <v>6602.04.06</v>
          </cell>
          <cell r="B98" t="str">
            <v>　　　　法律服务费</v>
          </cell>
        </row>
        <row r="99">
          <cell r="A99" t="str">
            <v>6602.04.06</v>
          </cell>
          <cell r="B99" t="str">
            <v>　　　　法律服务费</v>
          </cell>
          <cell r="C99" t="str">
            <v>CI009</v>
          </cell>
          <cell r="D99" t="str">
            <v>旭智资本</v>
          </cell>
        </row>
        <row r="100">
          <cell r="A100" t="str">
            <v>6602.04.07</v>
          </cell>
          <cell r="B100" t="str">
            <v>　　　　人力资源服务费</v>
          </cell>
          <cell r="G100">
            <v>2500</v>
          </cell>
          <cell r="H100">
            <v>2500</v>
          </cell>
        </row>
        <row r="101">
          <cell r="A101" t="str">
            <v>6602.05</v>
          </cell>
          <cell r="B101" t="str">
            <v>　　占用费</v>
          </cell>
          <cell r="G101">
            <v>55650</v>
          </cell>
          <cell r="H101">
            <v>55650</v>
          </cell>
        </row>
        <row r="102">
          <cell r="A102" t="str">
            <v>6602.05.08</v>
          </cell>
          <cell r="B102" t="str">
            <v>　　　　集团内分摊</v>
          </cell>
          <cell r="G102">
            <v>55650</v>
          </cell>
          <cell r="H102">
            <v>55650</v>
          </cell>
        </row>
        <row r="103">
          <cell r="A103" t="str">
            <v>6602.06</v>
          </cell>
          <cell r="B103" t="str">
            <v>　　业务招待费</v>
          </cell>
          <cell r="G103">
            <v>1878.85</v>
          </cell>
          <cell r="H103">
            <v>1878.85</v>
          </cell>
        </row>
        <row r="104">
          <cell r="A104" t="str">
            <v>6602.06</v>
          </cell>
          <cell r="B104" t="str">
            <v>　　业务招待费</v>
          </cell>
          <cell r="C104" t="str">
            <v>CI009</v>
          </cell>
          <cell r="D104" t="str">
            <v>旭智资本</v>
          </cell>
          <cell r="G104">
            <v>1878.85</v>
          </cell>
          <cell r="H104">
            <v>1878.85</v>
          </cell>
        </row>
        <row r="105">
          <cell r="A105" t="str">
            <v>6602.08</v>
          </cell>
          <cell r="B105" t="str">
            <v>　　事务费用</v>
          </cell>
          <cell r="G105">
            <v>25012.3</v>
          </cell>
          <cell r="H105">
            <v>25012.3</v>
          </cell>
        </row>
        <row r="106">
          <cell r="A106" t="str">
            <v>6602.08.01</v>
          </cell>
          <cell r="B106" t="str">
            <v>　　　　通信费</v>
          </cell>
          <cell r="G106">
            <v>5838.66</v>
          </cell>
          <cell r="H106">
            <v>5838.66</v>
          </cell>
        </row>
        <row r="107">
          <cell r="A107" t="str">
            <v>6602.08.01</v>
          </cell>
          <cell r="B107" t="str">
            <v>　　　　通信费</v>
          </cell>
          <cell r="C107" t="str">
            <v>CI009</v>
          </cell>
          <cell r="D107" t="str">
            <v>旭智资本</v>
          </cell>
          <cell r="G107">
            <v>5838.66</v>
          </cell>
          <cell r="H107">
            <v>5838.66</v>
          </cell>
        </row>
        <row r="108">
          <cell r="A108" t="str">
            <v>6602.08.03</v>
          </cell>
          <cell r="B108" t="str">
            <v>　　　　办公用品</v>
          </cell>
        </row>
        <row r="109">
          <cell r="A109" t="str">
            <v>6602.08.03</v>
          </cell>
          <cell r="B109" t="str">
            <v>　　　　办公用品</v>
          </cell>
          <cell r="C109" t="str">
            <v>CI009</v>
          </cell>
          <cell r="D109" t="str">
            <v>旭智资本</v>
          </cell>
        </row>
        <row r="110">
          <cell r="A110" t="str">
            <v>6602.08.04</v>
          </cell>
          <cell r="B110" t="str">
            <v>　　　　事务保金</v>
          </cell>
          <cell r="G110">
            <v>396.56</v>
          </cell>
          <cell r="H110">
            <v>396.56</v>
          </cell>
        </row>
        <row r="111">
          <cell r="A111" t="str">
            <v>6602.08.04</v>
          </cell>
          <cell r="B111" t="str">
            <v>　　　　事务保金</v>
          </cell>
          <cell r="C111" t="str">
            <v>CI009</v>
          </cell>
          <cell r="D111" t="str">
            <v>旭智资本</v>
          </cell>
          <cell r="G111">
            <v>396.56</v>
          </cell>
          <cell r="H111">
            <v>396.56</v>
          </cell>
        </row>
        <row r="112">
          <cell r="A112" t="str">
            <v>6602.08.05</v>
          </cell>
          <cell r="B112" t="str">
            <v>　　　　邮费/邮递费</v>
          </cell>
          <cell r="G112">
            <v>497</v>
          </cell>
          <cell r="H112">
            <v>497</v>
          </cell>
        </row>
        <row r="113">
          <cell r="A113" t="str">
            <v>6602.08.05</v>
          </cell>
          <cell r="B113" t="str">
            <v>　　　　邮费/邮递费</v>
          </cell>
          <cell r="C113" t="str">
            <v>CI009</v>
          </cell>
          <cell r="D113" t="str">
            <v>旭智资本</v>
          </cell>
          <cell r="G113">
            <v>497</v>
          </cell>
          <cell r="H113">
            <v>497</v>
          </cell>
        </row>
        <row r="114">
          <cell r="A114" t="str">
            <v>6602.08.06</v>
          </cell>
          <cell r="B114" t="str">
            <v>　　　　IT专业人士及微软服务</v>
          </cell>
          <cell r="G114">
            <v>7397.26</v>
          </cell>
          <cell r="H114">
            <v>7397.26</v>
          </cell>
        </row>
        <row r="115">
          <cell r="A115" t="str">
            <v>6602.08.06</v>
          </cell>
          <cell r="B115" t="str">
            <v>　　　　IT专业人士及微软服务</v>
          </cell>
          <cell r="C115" t="str">
            <v>CI009</v>
          </cell>
          <cell r="D115" t="str">
            <v>旭智资本</v>
          </cell>
          <cell r="G115">
            <v>7397.26</v>
          </cell>
          <cell r="H115">
            <v>7397.26</v>
          </cell>
        </row>
        <row r="116">
          <cell r="A116" t="str">
            <v>6602.08.07</v>
          </cell>
          <cell r="B116" t="str">
            <v>　　　　软件许可证费用</v>
          </cell>
          <cell r="G116">
            <v>10534.82</v>
          </cell>
          <cell r="H116">
            <v>10534.82</v>
          </cell>
        </row>
        <row r="117">
          <cell r="A117" t="str">
            <v>6602.08.07</v>
          </cell>
          <cell r="B117" t="str">
            <v>　　　　软件许可证费用</v>
          </cell>
          <cell r="C117" t="str">
            <v>CI009</v>
          </cell>
          <cell r="D117" t="str">
            <v>旭智资本</v>
          </cell>
          <cell r="G117">
            <v>10534.82</v>
          </cell>
          <cell r="H117">
            <v>10534.82</v>
          </cell>
        </row>
        <row r="118">
          <cell r="A118" t="str">
            <v>6602.08.10</v>
          </cell>
          <cell r="B118" t="str">
            <v>　　　　电话国际直拨/电话会议收费</v>
          </cell>
          <cell r="G118">
            <v>348</v>
          </cell>
          <cell r="H118">
            <v>348</v>
          </cell>
        </row>
        <row r="119">
          <cell r="A119" t="str">
            <v>6602.08.10</v>
          </cell>
          <cell r="B119" t="str">
            <v>　　　　电话国际直拨/电话会议收费</v>
          </cell>
          <cell r="C119" t="str">
            <v>CI009</v>
          </cell>
          <cell r="D119" t="str">
            <v>旭智资本</v>
          </cell>
          <cell r="G119">
            <v>348</v>
          </cell>
          <cell r="H119">
            <v>348</v>
          </cell>
        </row>
        <row r="120">
          <cell r="A120" t="str">
            <v>6602.09</v>
          </cell>
          <cell r="B120" t="str">
            <v>　　差旅费</v>
          </cell>
          <cell r="G120">
            <v>57842.13</v>
          </cell>
          <cell r="H120">
            <v>57842.13</v>
          </cell>
        </row>
        <row r="121">
          <cell r="A121" t="str">
            <v>6602.09.04</v>
          </cell>
          <cell r="B121" t="str">
            <v>　　　　空中交通费</v>
          </cell>
          <cell r="G121">
            <v>44464.35</v>
          </cell>
          <cell r="H121">
            <v>44464.35</v>
          </cell>
        </row>
        <row r="122">
          <cell r="A122" t="str">
            <v>6602.09.04</v>
          </cell>
          <cell r="B122" t="str">
            <v>　　　　空中交通费</v>
          </cell>
          <cell r="C122" t="str">
            <v>CI009</v>
          </cell>
          <cell r="D122" t="str">
            <v>旭智资本</v>
          </cell>
          <cell r="G122">
            <v>44464.35</v>
          </cell>
          <cell r="H122">
            <v>44464.35</v>
          </cell>
        </row>
        <row r="123">
          <cell r="A123" t="str">
            <v>6602.09.99</v>
          </cell>
          <cell r="B123" t="str">
            <v>　　　　其他</v>
          </cell>
          <cell r="G123">
            <v>13377.78</v>
          </cell>
          <cell r="H123">
            <v>13377.78</v>
          </cell>
        </row>
        <row r="124">
          <cell r="A124" t="str">
            <v>6602.09.99</v>
          </cell>
          <cell r="B124" t="str">
            <v>　　　　其他</v>
          </cell>
          <cell r="C124" t="str">
            <v>CI009</v>
          </cell>
          <cell r="D124" t="str">
            <v>旭智资本</v>
          </cell>
          <cell r="G124">
            <v>13377.78</v>
          </cell>
          <cell r="H124">
            <v>13377.78</v>
          </cell>
        </row>
        <row r="125">
          <cell r="A125" t="str">
            <v>6602.10</v>
          </cell>
          <cell r="B125" t="str">
            <v>　　折旧费</v>
          </cell>
          <cell r="G125">
            <v>299.44</v>
          </cell>
          <cell r="H125">
            <v>299.44</v>
          </cell>
        </row>
        <row r="126">
          <cell r="A126" t="str">
            <v>6602.10.01</v>
          </cell>
          <cell r="B126" t="str">
            <v>　　　　电子设备</v>
          </cell>
          <cell r="G126">
            <v>299.44</v>
          </cell>
          <cell r="H126">
            <v>299.44</v>
          </cell>
        </row>
        <row r="127">
          <cell r="A127" t="str">
            <v>6602.15</v>
          </cell>
          <cell r="B127" t="str">
            <v>　　服务费</v>
          </cell>
          <cell r="G127">
            <v>120000</v>
          </cell>
          <cell r="H127">
            <v>120000</v>
          </cell>
        </row>
        <row r="128">
          <cell r="A128" t="str">
            <v>6602.19</v>
          </cell>
          <cell r="B128" t="str">
            <v>　　会费（公司）</v>
          </cell>
        </row>
        <row r="129">
          <cell r="A129" t="str">
            <v>6602.21</v>
          </cell>
          <cell r="B129" t="str">
            <v>　　公司秘书费</v>
          </cell>
          <cell r="G129">
            <v>1216.44</v>
          </cell>
          <cell r="H129">
            <v>1216.44</v>
          </cell>
        </row>
        <row r="130">
          <cell r="A130" t="str">
            <v>6602.23</v>
          </cell>
          <cell r="B130" t="str">
            <v>　　无形资产摊销</v>
          </cell>
          <cell r="G130">
            <v>150000</v>
          </cell>
          <cell r="H130">
            <v>150000</v>
          </cell>
        </row>
        <row r="131">
          <cell r="A131" t="str">
            <v>6602.24</v>
          </cell>
          <cell r="B131" t="str">
            <v>　　监管费用</v>
          </cell>
          <cell r="G131">
            <v>2200</v>
          </cell>
          <cell r="H131">
            <v>2200</v>
          </cell>
        </row>
        <row r="132">
          <cell r="A132" t="str">
            <v>6602.99</v>
          </cell>
          <cell r="B132" t="str">
            <v>　　其他</v>
          </cell>
          <cell r="G132">
            <v>3200</v>
          </cell>
          <cell r="H132">
            <v>3200</v>
          </cell>
        </row>
        <row r="133">
          <cell r="A133" t="str">
            <v>6603</v>
          </cell>
          <cell r="B133" t="str">
            <v>财务费用</v>
          </cell>
          <cell r="G133">
            <v>1608.22</v>
          </cell>
          <cell r="H133">
            <v>1608.22</v>
          </cell>
        </row>
        <row r="134">
          <cell r="A134" t="str">
            <v>6603.01</v>
          </cell>
          <cell r="B134" t="str">
            <v>　　汇兑损益</v>
          </cell>
          <cell r="G134">
            <v>1400.56</v>
          </cell>
          <cell r="H134">
            <v>1400.56</v>
          </cell>
        </row>
        <row r="135">
          <cell r="A135" t="str">
            <v>6603.03</v>
          </cell>
          <cell r="B135" t="str">
            <v>　　银行手续费</v>
          </cell>
          <cell r="G135">
            <v>209.4</v>
          </cell>
          <cell r="H135">
            <v>209.4</v>
          </cell>
        </row>
        <row r="136">
          <cell r="A136" t="str">
            <v>6603.04</v>
          </cell>
          <cell r="B136" t="str">
            <v>　　利息收入</v>
          </cell>
          <cell r="G136">
            <v>-1.74</v>
          </cell>
          <cell r="H136">
            <v>-1.74</v>
          </cell>
        </row>
        <row r="137">
          <cell r="B137" t="str">
            <v>合计</v>
          </cell>
          <cell r="E137">
            <v>121089123.45999999</v>
          </cell>
          <cell r="F137">
            <v>121089123.45999999</v>
          </cell>
          <cell r="G137">
            <v>2484325.91</v>
          </cell>
          <cell r="H137">
            <v>2484325.91</v>
          </cell>
        </row>
      </sheetData>
      <sheetData sheetId="9">
        <row r="1">
          <cell r="A1" t="str">
            <v>币别:香港元</v>
          </cell>
          <cell r="B1" t="str">
            <v>账簿:旭智资本有限公司</v>
          </cell>
          <cell r="C1" t="str">
            <v>期间:2025.10 -- 2025.10</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295651.40000000002</v>
          </cell>
          <cell r="G4">
            <v>316369.07</v>
          </cell>
          <cell r="H4">
            <v>456159.16</v>
          </cell>
        </row>
        <row r="5">
          <cell r="A5" t="str">
            <v>1002.01</v>
          </cell>
          <cell r="B5" t="str">
            <v>　　【旭智资本】银行存款账户</v>
          </cell>
          <cell r="E5">
            <v>295651.40000000002</v>
          </cell>
          <cell r="G5">
            <v>316369.07</v>
          </cell>
          <cell r="H5">
            <v>456159.16</v>
          </cell>
        </row>
        <row r="6">
          <cell r="A6" t="str">
            <v>1002.01.01</v>
          </cell>
          <cell r="B6" t="str">
            <v>　　　　汇丰银行-741-282-503-838</v>
          </cell>
          <cell r="E6">
            <v>295651.40000000002</v>
          </cell>
          <cell r="G6">
            <v>316369.07</v>
          </cell>
          <cell r="H6">
            <v>456159.16</v>
          </cell>
        </row>
        <row r="7">
          <cell r="A7" t="str">
            <v>1002.01.01.01</v>
          </cell>
          <cell r="B7" t="str">
            <v>　　　　　　【旭智资本】汇丰港元储蓄账户 3838</v>
          </cell>
          <cell r="E7">
            <v>279258.64</v>
          </cell>
          <cell r="G7">
            <v>300005.34999999998</v>
          </cell>
          <cell r="H7">
            <v>439766.4</v>
          </cell>
        </row>
        <row r="8">
          <cell r="A8" t="str">
            <v>1002.01.01.02</v>
          </cell>
          <cell r="B8" t="str">
            <v>　　　　　　【旭智资本】汇丰港元往来账户 3838</v>
          </cell>
        </row>
        <row r="9">
          <cell r="A9" t="str">
            <v>1002.01.01.03</v>
          </cell>
          <cell r="B9" t="str">
            <v>　　　　　　【旭智资本】汇丰外币储蓄账户 - 人民币 3838</v>
          </cell>
          <cell r="E9">
            <v>1064.74</v>
          </cell>
          <cell r="G9">
            <v>1064.25</v>
          </cell>
          <cell r="H9">
            <v>1064.74</v>
          </cell>
        </row>
        <row r="10">
          <cell r="A10" t="str">
            <v>1002.01.01.04</v>
          </cell>
          <cell r="B10" t="str">
            <v>　　　　　　【旭智资本】汇丰外币储蓄账户 - 美元 3838</v>
          </cell>
          <cell r="E10">
            <v>15328.02</v>
          </cell>
          <cell r="G10">
            <v>15299.47</v>
          </cell>
          <cell r="H10">
            <v>15328.02</v>
          </cell>
        </row>
        <row r="11">
          <cell r="A11" t="str">
            <v>1002.01.01.05</v>
          </cell>
          <cell r="B11" t="str">
            <v>　　　　　　【旭智资本】汇丰港元定期存款</v>
          </cell>
        </row>
        <row r="12">
          <cell r="A12" t="str">
            <v>1002.01.01.06</v>
          </cell>
          <cell r="B12" t="str">
            <v>　　　　　　【旭智资本】汇丰人民币定期存款</v>
          </cell>
        </row>
        <row r="13">
          <cell r="A13" t="str">
            <v>1123</v>
          </cell>
          <cell r="B13" t="str">
            <v>预付账款</v>
          </cell>
          <cell r="E13">
            <v>5657792.4400000004</v>
          </cell>
          <cell r="G13">
            <v>601.14</v>
          </cell>
          <cell r="H13">
            <v>44703.58</v>
          </cell>
        </row>
        <row r="14">
          <cell r="A14" t="str">
            <v>1123.01</v>
          </cell>
          <cell r="B14" t="str">
            <v>　　单位</v>
          </cell>
          <cell r="E14">
            <v>216347.44</v>
          </cell>
          <cell r="G14">
            <v>601.14</v>
          </cell>
          <cell r="H14">
            <v>44703.58</v>
          </cell>
        </row>
        <row r="15">
          <cell r="A15" t="str">
            <v>1123.01</v>
          </cell>
          <cell r="B15" t="str">
            <v>　　单位</v>
          </cell>
          <cell r="C15" t="str">
            <v>SU003001</v>
          </cell>
          <cell r="D15" t="str">
            <v>Boardroom Corporate Services (HK) Limited</v>
          </cell>
          <cell r="E15">
            <v>3730.41</v>
          </cell>
          <cell r="H15">
            <v>1256.99</v>
          </cell>
        </row>
        <row r="16">
          <cell r="A16" t="str">
            <v>1123.01</v>
          </cell>
          <cell r="B16" t="str">
            <v>　　单位</v>
          </cell>
          <cell r="C16" t="str">
            <v>SU003003</v>
          </cell>
          <cell r="D16" t="str">
            <v>SUN HING INSURANCE BROKERS LTD.</v>
          </cell>
          <cell r="E16">
            <v>149060.76</v>
          </cell>
          <cell r="H16">
            <v>25240.87</v>
          </cell>
        </row>
        <row r="17">
          <cell r="A17" t="str">
            <v>1123.01</v>
          </cell>
          <cell r="B17" t="str">
            <v>　　单位</v>
          </cell>
          <cell r="C17" t="str">
            <v>SU003024</v>
          </cell>
          <cell r="D17" t="str">
            <v>SiteGround Hosting Ltd</v>
          </cell>
          <cell r="E17">
            <v>164.19</v>
          </cell>
          <cell r="H17">
            <v>164.19</v>
          </cell>
        </row>
        <row r="18">
          <cell r="A18" t="str">
            <v>1123.01</v>
          </cell>
          <cell r="B18" t="str">
            <v>　　单位</v>
          </cell>
          <cell r="C18" t="str">
            <v>SU003025</v>
          </cell>
          <cell r="D18" t="str">
            <v>Godaddy.Com,LLC</v>
          </cell>
          <cell r="E18">
            <v>473.82</v>
          </cell>
          <cell r="G18">
            <v>601.14</v>
          </cell>
          <cell r="H18">
            <v>39.479999999999997</v>
          </cell>
        </row>
        <row r="19">
          <cell r="A19" t="str">
            <v>1123.01</v>
          </cell>
          <cell r="B19" t="str">
            <v>　　单位</v>
          </cell>
          <cell r="C19" t="str">
            <v>SU004011</v>
          </cell>
          <cell r="D19" t="str">
            <v>Master Concept (Hong Kong) Limited</v>
          </cell>
          <cell r="E19">
            <v>62918.26</v>
          </cell>
          <cell r="H19">
            <v>18002.05</v>
          </cell>
        </row>
        <row r="20">
          <cell r="A20" t="str">
            <v>1123.01</v>
          </cell>
          <cell r="B20" t="str">
            <v>　　单位</v>
          </cell>
          <cell r="C20" t="str">
            <v>SU011002</v>
          </cell>
          <cell r="D20" t="str">
            <v>TMF (Cayman) Ltd.</v>
          </cell>
        </row>
        <row r="21">
          <cell r="A21" t="str">
            <v>1123.02</v>
          </cell>
          <cell r="B21" t="str">
            <v>　　个人</v>
          </cell>
          <cell r="E21">
            <v>5441445</v>
          </cell>
        </row>
        <row r="22">
          <cell r="A22" t="str">
            <v>1123.02</v>
          </cell>
          <cell r="B22" t="str">
            <v>　　个人</v>
          </cell>
          <cell r="C22" t="str">
            <v>SP005001</v>
          </cell>
          <cell r="D22" t="str">
            <v>冯冠邦</v>
          </cell>
          <cell r="E22">
            <v>5441445</v>
          </cell>
        </row>
        <row r="23">
          <cell r="A23" t="str">
            <v>1132</v>
          </cell>
          <cell r="B23" t="str">
            <v>应收利息</v>
          </cell>
        </row>
        <row r="24">
          <cell r="A24" t="str">
            <v>1132</v>
          </cell>
          <cell r="B24" t="str">
            <v>应收利息</v>
          </cell>
          <cell r="C24" t="str">
            <v>OU004001</v>
          </cell>
          <cell r="D24" t="str">
            <v>香港上海汇丰银行有限公司</v>
          </cell>
        </row>
        <row r="25">
          <cell r="A25" t="str">
            <v>1221</v>
          </cell>
          <cell r="B25" t="str">
            <v>其他应收款</v>
          </cell>
          <cell r="E25">
            <v>4760374.25</v>
          </cell>
          <cell r="G25">
            <v>17.59</v>
          </cell>
          <cell r="H25">
            <v>1484.93</v>
          </cell>
        </row>
        <row r="26">
          <cell r="A26" t="str">
            <v>1221.01</v>
          </cell>
          <cell r="B26" t="str">
            <v>　　单位</v>
          </cell>
          <cell r="E26">
            <v>4760374.25</v>
          </cell>
          <cell r="G26">
            <v>17.59</v>
          </cell>
          <cell r="H26">
            <v>1484.93</v>
          </cell>
        </row>
        <row r="27">
          <cell r="A27" t="str">
            <v>1221.01</v>
          </cell>
          <cell r="B27" t="str">
            <v>　　单位</v>
          </cell>
          <cell r="C27" t="str">
            <v>CU003003</v>
          </cell>
          <cell r="D27" t="str">
            <v>旭智资本（开曼）有限公司</v>
          </cell>
          <cell r="E27">
            <v>943367.54</v>
          </cell>
        </row>
        <row r="28">
          <cell r="A28" t="str">
            <v>1221.01</v>
          </cell>
          <cell r="B28" t="str">
            <v>　　单位</v>
          </cell>
          <cell r="C28" t="str">
            <v>CU003004</v>
          </cell>
          <cell r="D28" t="str">
            <v>广州旭智投资控股有限责任公司</v>
          </cell>
          <cell r="E28">
            <v>686233.36</v>
          </cell>
          <cell r="G28">
            <v>17.59</v>
          </cell>
          <cell r="H28">
            <v>1349.94</v>
          </cell>
        </row>
        <row r="29">
          <cell r="A29" t="str">
            <v>1221.01</v>
          </cell>
          <cell r="B29" t="str">
            <v>　　单位</v>
          </cell>
          <cell r="C29" t="str">
            <v>CU003005</v>
          </cell>
          <cell r="D29" t="str">
            <v>Albamen Cayman Fund II</v>
          </cell>
          <cell r="E29">
            <v>2857314.21</v>
          </cell>
        </row>
        <row r="30">
          <cell r="A30" t="str">
            <v>1221.01</v>
          </cell>
          <cell r="B30" t="str">
            <v>　　单位</v>
          </cell>
          <cell r="C30" t="str">
            <v>CU003006</v>
          </cell>
          <cell r="D30" t="str">
            <v>旭智咨询管理(深圳)有限责任公司</v>
          </cell>
          <cell r="E30">
            <v>72468.649999999994</v>
          </cell>
          <cell r="H30">
            <v>134.99</v>
          </cell>
        </row>
        <row r="31">
          <cell r="A31" t="str">
            <v>1221.01</v>
          </cell>
          <cell r="B31" t="str">
            <v>　　单位</v>
          </cell>
          <cell r="C31" t="str">
            <v>CU003007</v>
          </cell>
          <cell r="D31" t="str">
            <v>旭智兴邦有限公司</v>
          </cell>
          <cell r="E31">
            <v>104516.13</v>
          </cell>
        </row>
        <row r="32">
          <cell r="A32" t="str">
            <v>1221.01</v>
          </cell>
          <cell r="B32" t="str">
            <v>　　单位</v>
          </cell>
          <cell r="C32" t="str">
            <v>CU003008</v>
          </cell>
          <cell r="D32" t="str">
            <v>Rising Son Invesments Limited</v>
          </cell>
          <cell r="E32">
            <v>10055</v>
          </cell>
        </row>
        <row r="33">
          <cell r="A33" t="str">
            <v>1221.01</v>
          </cell>
          <cell r="B33" t="str">
            <v>　　单位</v>
          </cell>
          <cell r="C33" t="str">
            <v>CU003009</v>
          </cell>
          <cell r="D33" t="str">
            <v>Sustainable Energy (HK) Investment Holding Ltd</v>
          </cell>
          <cell r="E33">
            <v>10000</v>
          </cell>
        </row>
        <row r="34">
          <cell r="A34" t="str">
            <v>1221.01</v>
          </cell>
          <cell r="B34" t="str">
            <v>　　单位</v>
          </cell>
          <cell r="C34" t="str">
            <v>CU003010</v>
          </cell>
          <cell r="D34" t="str">
            <v>旭智富能新能源（深圳）有限责任公司</v>
          </cell>
          <cell r="E34">
            <v>76419.360000000001</v>
          </cell>
        </row>
        <row r="35">
          <cell r="A35" t="str">
            <v>1221.01</v>
          </cell>
          <cell r="B35" t="str">
            <v>　　单位</v>
          </cell>
          <cell r="C35" t="str">
            <v>CU003011</v>
          </cell>
          <cell r="D35" t="str">
            <v>Manulife Investment Management (Hong Kong )Limited</v>
          </cell>
        </row>
        <row r="36">
          <cell r="A36" t="str">
            <v>1221.01</v>
          </cell>
          <cell r="B36" t="str">
            <v>　　单位</v>
          </cell>
          <cell r="C36" t="str">
            <v>CU003012</v>
          </cell>
          <cell r="D36" t="str">
            <v>旭智新能源共同投资有限公司</v>
          </cell>
        </row>
        <row r="37">
          <cell r="A37" t="str">
            <v>1511</v>
          </cell>
          <cell r="B37" t="str">
            <v>长期股权投资</v>
          </cell>
          <cell r="E37">
            <v>92467303.799999997</v>
          </cell>
        </row>
        <row r="38">
          <cell r="A38" t="str">
            <v>1511.02</v>
          </cell>
          <cell r="B38" t="str">
            <v>　　投资成本</v>
          </cell>
          <cell r="E38">
            <v>92467303.799999997</v>
          </cell>
        </row>
        <row r="39">
          <cell r="A39" t="str">
            <v>1511.02</v>
          </cell>
          <cell r="B39" t="str">
            <v>　　投资成本</v>
          </cell>
          <cell r="C39" t="str">
            <v>004</v>
          </cell>
          <cell r="D39" t="str">
            <v>旭智资本（香港）有限公司</v>
          </cell>
          <cell r="E39">
            <v>89799421</v>
          </cell>
        </row>
        <row r="40">
          <cell r="A40" t="str">
            <v>1511.02</v>
          </cell>
          <cell r="B40" t="str">
            <v>　　投资成本</v>
          </cell>
          <cell r="C40" t="str">
            <v>006</v>
          </cell>
          <cell r="D40" t="str">
            <v>旭智咨询管理（深圳）有限责任公司</v>
          </cell>
          <cell r="E40">
            <v>2657875</v>
          </cell>
        </row>
        <row r="41">
          <cell r="A41" t="str">
            <v>1511.02</v>
          </cell>
          <cell r="B41" t="str">
            <v>　　投资成本</v>
          </cell>
          <cell r="C41" t="str">
            <v>011</v>
          </cell>
          <cell r="D41" t="str">
            <v>旭智资本（开曼）有限公司</v>
          </cell>
          <cell r="E41">
            <v>7.8</v>
          </cell>
        </row>
        <row r="42">
          <cell r="A42" t="str">
            <v>1511.02</v>
          </cell>
          <cell r="B42" t="str">
            <v>　　投资成本</v>
          </cell>
          <cell r="C42" t="str">
            <v>012</v>
          </cell>
          <cell r="D42" t="str">
            <v>旭智兴邦有限公司</v>
          </cell>
          <cell r="E42">
            <v>10000</v>
          </cell>
        </row>
        <row r="43">
          <cell r="A43" t="str">
            <v>1601</v>
          </cell>
          <cell r="B43" t="str">
            <v>固定资产</v>
          </cell>
          <cell r="E43">
            <v>81529</v>
          </cell>
        </row>
        <row r="44">
          <cell r="A44" t="str">
            <v>1601.01</v>
          </cell>
          <cell r="B44" t="str">
            <v>　　电子设备</v>
          </cell>
          <cell r="E44">
            <v>81529</v>
          </cell>
        </row>
        <row r="45">
          <cell r="A45" t="str">
            <v>1602</v>
          </cell>
          <cell r="B45" t="str">
            <v>累计折旧</v>
          </cell>
          <cell r="F45">
            <v>73743.399999999994</v>
          </cell>
          <cell r="H45">
            <v>299.44</v>
          </cell>
        </row>
        <row r="46">
          <cell r="A46" t="str">
            <v>1602.01</v>
          </cell>
          <cell r="B46" t="str">
            <v>　　电子设备</v>
          </cell>
          <cell r="F46">
            <v>73743.399999999994</v>
          </cell>
          <cell r="H46">
            <v>299.44</v>
          </cell>
        </row>
        <row r="47">
          <cell r="A47" t="str">
            <v>1701</v>
          </cell>
          <cell r="B47" t="str">
            <v>无形资产</v>
          </cell>
          <cell r="E47">
            <v>18000000</v>
          </cell>
        </row>
        <row r="48">
          <cell r="A48" t="str">
            <v>1701.02</v>
          </cell>
          <cell r="B48" t="str">
            <v>　　 商业材料许可证</v>
          </cell>
          <cell r="E48">
            <v>18000000</v>
          </cell>
        </row>
        <row r="49">
          <cell r="A49" t="str">
            <v>1702</v>
          </cell>
          <cell r="B49" t="str">
            <v>累计摊销</v>
          </cell>
          <cell r="F49">
            <v>9300000</v>
          </cell>
          <cell r="H49">
            <v>150000</v>
          </cell>
        </row>
        <row r="50">
          <cell r="A50" t="str">
            <v>1702.02</v>
          </cell>
          <cell r="B50" t="str">
            <v>　　  商业材料许可证</v>
          </cell>
          <cell r="F50">
            <v>9300000</v>
          </cell>
          <cell r="H50">
            <v>150000</v>
          </cell>
        </row>
        <row r="51">
          <cell r="A51" t="str">
            <v>2211</v>
          </cell>
          <cell r="B51" t="str">
            <v>应付职工薪酬</v>
          </cell>
          <cell r="F51">
            <v>95833.52</v>
          </cell>
          <cell r="G51">
            <v>9000</v>
          </cell>
          <cell r="H51">
            <v>9000</v>
          </cell>
        </row>
        <row r="52">
          <cell r="A52" t="str">
            <v>2211.02</v>
          </cell>
          <cell r="B52" t="str">
            <v>　　职工奖金</v>
          </cell>
        </row>
        <row r="53">
          <cell r="A53" t="str">
            <v>2211.11</v>
          </cell>
          <cell r="B53" t="str">
            <v>　　应付强制性公积金</v>
          </cell>
          <cell r="F53">
            <v>8400</v>
          </cell>
          <cell r="G53">
            <v>9000</v>
          </cell>
          <cell r="H53">
            <v>9000</v>
          </cell>
        </row>
        <row r="54">
          <cell r="A54" t="str">
            <v>2211.12</v>
          </cell>
          <cell r="B54" t="str">
            <v>　　应付长期服务金</v>
          </cell>
          <cell r="F54">
            <v>87433.52</v>
          </cell>
        </row>
        <row r="55">
          <cell r="A55" t="str">
            <v>2211.13</v>
          </cell>
          <cell r="B55" t="str">
            <v>　　未使用假期负债</v>
          </cell>
        </row>
        <row r="56">
          <cell r="A56" t="str">
            <v>2241</v>
          </cell>
          <cell r="B56" t="str">
            <v>其他应付款</v>
          </cell>
          <cell r="F56">
            <v>10384675.550000001</v>
          </cell>
          <cell r="G56">
            <v>172435.5</v>
          </cell>
          <cell r="H56">
            <v>469516.66</v>
          </cell>
        </row>
        <row r="57">
          <cell r="A57" t="str">
            <v>2241.01</v>
          </cell>
          <cell r="B57" t="str">
            <v>　　单位</v>
          </cell>
          <cell r="F57">
            <v>10252770.439999999</v>
          </cell>
          <cell r="G57">
            <v>172435.5</v>
          </cell>
          <cell r="H57">
            <v>469516.66</v>
          </cell>
        </row>
        <row r="58">
          <cell r="A58" t="str">
            <v>2241.01</v>
          </cell>
          <cell r="B58" t="str">
            <v>　　单位</v>
          </cell>
          <cell r="C58" t="str">
            <v>SU003011</v>
          </cell>
          <cell r="D58" t="str">
            <v>Tricor Services Limited</v>
          </cell>
          <cell r="F58">
            <v>30000</v>
          </cell>
          <cell r="G58">
            <v>14700</v>
          </cell>
          <cell r="H58">
            <v>14700</v>
          </cell>
        </row>
        <row r="59">
          <cell r="A59" t="str">
            <v>2241.01</v>
          </cell>
          <cell r="B59" t="str">
            <v>　　单位</v>
          </cell>
          <cell r="C59" t="str">
            <v>SU003027</v>
          </cell>
          <cell r="D59" t="str">
            <v>SWIFT ENERGY ADVISORY LTD</v>
          </cell>
          <cell r="F59">
            <v>80000</v>
          </cell>
          <cell r="G59">
            <v>80000</v>
          </cell>
          <cell r="H59">
            <v>80000</v>
          </cell>
        </row>
        <row r="60">
          <cell r="A60" t="str">
            <v>2241.01</v>
          </cell>
          <cell r="B60" t="str">
            <v>　　单位</v>
          </cell>
          <cell r="C60" t="str">
            <v>SU004019</v>
          </cell>
          <cell r="D60" t="str">
            <v>PricewaterhouseCoopers Limited</v>
          </cell>
          <cell r="F60">
            <v>172499.94</v>
          </cell>
          <cell r="H60">
            <v>19166.66</v>
          </cell>
        </row>
        <row r="61">
          <cell r="A61" t="str">
            <v>2241.01</v>
          </cell>
          <cell r="B61" t="str">
            <v>　　单位</v>
          </cell>
          <cell r="C61" t="str">
            <v>SU005045</v>
          </cell>
          <cell r="D61" t="str">
            <v>旭智资本(香港)有限公司</v>
          </cell>
          <cell r="F61">
            <v>9970270.5</v>
          </cell>
          <cell r="G61">
            <v>77735.5</v>
          </cell>
          <cell r="H61">
            <v>355650</v>
          </cell>
        </row>
        <row r="62">
          <cell r="A62" t="str">
            <v>2241.02</v>
          </cell>
          <cell r="B62" t="str">
            <v>　　个人</v>
          </cell>
          <cell r="F62">
            <v>131905.10999999999</v>
          </cell>
        </row>
        <row r="63">
          <cell r="A63" t="str">
            <v>2241.02</v>
          </cell>
          <cell r="B63" t="str">
            <v>　　个人</v>
          </cell>
          <cell r="C63" t="str">
            <v>SP003008</v>
          </cell>
          <cell r="D63" t="str">
            <v>卢淑怡</v>
          </cell>
        </row>
        <row r="64">
          <cell r="A64" t="str">
            <v>2241.02</v>
          </cell>
          <cell r="B64" t="str">
            <v>　　个人</v>
          </cell>
          <cell r="C64" t="str">
            <v>SP003010</v>
          </cell>
          <cell r="D64" t="str">
            <v>员工报销</v>
          </cell>
          <cell r="F64">
            <v>131905.10999999999</v>
          </cell>
        </row>
        <row r="65">
          <cell r="A65" t="str">
            <v>2304</v>
          </cell>
          <cell r="B65" t="str">
            <v>其他金融工具负债</v>
          </cell>
          <cell r="F65">
            <v>23400000</v>
          </cell>
        </row>
        <row r="66">
          <cell r="A66" t="str">
            <v>2304.01</v>
          </cell>
          <cell r="B66" t="str">
            <v>　　B类优先股</v>
          </cell>
          <cell r="F66">
            <v>23400000</v>
          </cell>
        </row>
        <row r="67">
          <cell r="A67" t="str">
            <v>2304.01</v>
          </cell>
          <cell r="B67" t="str">
            <v>　　B类优先股</v>
          </cell>
          <cell r="C67" t="str">
            <v>QTWL0001</v>
          </cell>
          <cell r="D67" t="str">
            <v>辉朗投资有限公司</v>
          </cell>
          <cell r="F67">
            <v>1755000</v>
          </cell>
        </row>
        <row r="68">
          <cell r="A68" t="str">
            <v>2304.01</v>
          </cell>
          <cell r="B68" t="str">
            <v>　　B类优先股</v>
          </cell>
          <cell r="C68" t="str">
            <v>QTWL0002</v>
          </cell>
          <cell r="D68" t="str">
            <v>Pure Nice Limited</v>
          </cell>
          <cell r="F68">
            <v>1755000</v>
          </cell>
        </row>
        <row r="69">
          <cell r="A69" t="str">
            <v>2304.01</v>
          </cell>
          <cell r="B69" t="str">
            <v>　　B类优先股</v>
          </cell>
          <cell r="C69" t="str">
            <v>QTWL0003</v>
          </cell>
          <cell r="D69" t="str">
            <v>旭铂投资有限公司</v>
          </cell>
          <cell r="F69">
            <v>19305000</v>
          </cell>
        </row>
        <row r="70">
          <cell r="A70" t="str">
            <v>2304.01</v>
          </cell>
          <cell r="B70" t="str">
            <v>　　B类优先股</v>
          </cell>
          <cell r="C70" t="str">
            <v>QTWL0004</v>
          </cell>
          <cell r="D70" t="str">
            <v>智慧基建投资有限公司</v>
          </cell>
          <cell r="F70">
            <v>585000</v>
          </cell>
        </row>
        <row r="71">
          <cell r="A71" t="str">
            <v>4001</v>
          </cell>
          <cell r="B71" t="str">
            <v>实收资本（股本）</v>
          </cell>
          <cell r="F71">
            <v>156720000</v>
          </cell>
        </row>
        <row r="72">
          <cell r="A72" t="str">
            <v>4001.50</v>
          </cell>
          <cell r="B72" t="str">
            <v>　　普通股</v>
          </cell>
          <cell r="F72">
            <v>156720000</v>
          </cell>
        </row>
        <row r="73">
          <cell r="A73" t="str">
            <v>4001.50.01</v>
          </cell>
          <cell r="B73" t="str">
            <v>　　　　威力能源投资有限公司</v>
          </cell>
          <cell r="F73">
            <v>35262000</v>
          </cell>
        </row>
        <row r="74">
          <cell r="A74" t="str">
            <v>4001.50.02</v>
          </cell>
          <cell r="B74" t="str">
            <v>　　　　旭铂投资有限公司</v>
          </cell>
          <cell r="F74">
            <v>94032000</v>
          </cell>
        </row>
        <row r="75">
          <cell r="A75" t="str">
            <v>4001.50.03</v>
          </cell>
          <cell r="B75" t="str">
            <v>　　　　辉朗投资有限公司</v>
          </cell>
          <cell r="F75">
            <v>11754000</v>
          </cell>
        </row>
        <row r="76">
          <cell r="A76" t="str">
            <v>4001.50.04</v>
          </cell>
          <cell r="B76" t="str">
            <v>　　　　智慧基建投资有限公司</v>
          </cell>
          <cell r="F76">
            <v>3918000</v>
          </cell>
        </row>
        <row r="77">
          <cell r="A77" t="str">
            <v>4001.50.05</v>
          </cell>
          <cell r="B77" t="str">
            <v>　　　　Pure Nice Limited</v>
          </cell>
          <cell r="F77">
            <v>11754000</v>
          </cell>
        </row>
        <row r="78">
          <cell r="A78" t="str">
            <v>4001.51</v>
          </cell>
          <cell r="B78" t="str">
            <v>　　优先股</v>
          </cell>
        </row>
        <row r="79">
          <cell r="A79" t="str">
            <v>4001.51.01</v>
          </cell>
          <cell r="B79" t="str">
            <v>　　　　旭铂投资有限公司</v>
          </cell>
        </row>
        <row r="80">
          <cell r="A80" t="str">
            <v>4103</v>
          </cell>
          <cell r="B80" t="str">
            <v>本年利润</v>
          </cell>
          <cell r="F80">
            <v>-6080908.3399999999</v>
          </cell>
          <cell r="G80">
            <v>710475.97</v>
          </cell>
          <cell r="H80">
            <v>77735.5</v>
          </cell>
        </row>
        <row r="81">
          <cell r="A81" t="str">
            <v>4104</v>
          </cell>
          <cell r="B81" t="str">
            <v>利润分配</v>
          </cell>
          <cell r="F81">
            <v>-72630693.239999995</v>
          </cell>
        </row>
        <row r="82">
          <cell r="A82" t="str">
            <v>4104.07</v>
          </cell>
          <cell r="B82" t="str">
            <v>　　未分配利润</v>
          </cell>
          <cell r="F82">
            <v>-72630693.239999995</v>
          </cell>
        </row>
        <row r="83">
          <cell r="A83" t="str">
            <v>6115</v>
          </cell>
          <cell r="B83" t="str">
            <v>其他收益</v>
          </cell>
          <cell r="G83">
            <v>77735.5</v>
          </cell>
          <cell r="H83">
            <v>77735.5</v>
          </cell>
        </row>
        <row r="84">
          <cell r="A84" t="str">
            <v>6115.03</v>
          </cell>
          <cell r="B84" t="str">
            <v>　　公司间往来</v>
          </cell>
          <cell r="G84">
            <v>77735.5</v>
          </cell>
          <cell r="H84">
            <v>77735.5</v>
          </cell>
        </row>
        <row r="85">
          <cell r="A85" t="str">
            <v>6602</v>
          </cell>
          <cell r="B85" t="str">
            <v>管理费用</v>
          </cell>
          <cell r="G85">
            <v>708770.04</v>
          </cell>
          <cell r="H85">
            <v>708770.04</v>
          </cell>
        </row>
        <row r="86">
          <cell r="A86" t="str">
            <v>6602.01</v>
          </cell>
          <cell r="B86" t="str">
            <v>　　工资薪金</v>
          </cell>
          <cell r="G86">
            <v>324500</v>
          </cell>
          <cell r="H86">
            <v>324500</v>
          </cell>
        </row>
        <row r="87">
          <cell r="A87" t="str">
            <v>6602.01.01</v>
          </cell>
          <cell r="B87" t="str">
            <v>　　　　基本工资（专业）</v>
          </cell>
          <cell r="G87">
            <v>40000</v>
          </cell>
          <cell r="H87">
            <v>40000</v>
          </cell>
        </row>
        <row r="88">
          <cell r="A88" t="str">
            <v>6602.01.05</v>
          </cell>
          <cell r="B88" t="str">
            <v>　　　　员工假期</v>
          </cell>
        </row>
        <row r="89">
          <cell r="A89" t="str">
            <v>6602.01.08</v>
          </cell>
          <cell r="B89" t="str">
            <v>　　　　基本工资（管理）</v>
          </cell>
          <cell r="G89">
            <v>284500</v>
          </cell>
          <cell r="H89">
            <v>284500</v>
          </cell>
        </row>
        <row r="90">
          <cell r="A90" t="str">
            <v>6602.02</v>
          </cell>
          <cell r="B90" t="str">
            <v>　　职工福利</v>
          </cell>
          <cell r="G90">
            <v>6567.2</v>
          </cell>
          <cell r="H90">
            <v>6567.2</v>
          </cell>
        </row>
        <row r="91">
          <cell r="A91" t="str">
            <v>6602.02.02</v>
          </cell>
          <cell r="B91" t="str">
            <v>　　　　团建活动</v>
          </cell>
          <cell r="G91">
            <v>6567.2</v>
          </cell>
          <cell r="H91">
            <v>6567.2</v>
          </cell>
        </row>
        <row r="92">
          <cell r="A92" t="str">
            <v>6602.03</v>
          </cell>
          <cell r="B92" t="str">
            <v>　　社保公积金</v>
          </cell>
          <cell r="G92">
            <v>29331.09</v>
          </cell>
          <cell r="H92">
            <v>29331.09</v>
          </cell>
        </row>
        <row r="93">
          <cell r="A93" t="str">
            <v>6602.03.01</v>
          </cell>
          <cell r="B93" t="str">
            <v>　　　　员工社保福利</v>
          </cell>
          <cell r="G93">
            <v>24831.09</v>
          </cell>
          <cell r="H93">
            <v>24831.09</v>
          </cell>
        </row>
        <row r="94">
          <cell r="A94" t="str">
            <v>6602.03.03</v>
          </cell>
          <cell r="B94" t="str">
            <v>　　　　员工强制性公积金福利</v>
          </cell>
          <cell r="G94">
            <v>4500</v>
          </cell>
          <cell r="H94">
            <v>4500</v>
          </cell>
        </row>
        <row r="95">
          <cell r="A95" t="str">
            <v>6602.04</v>
          </cell>
          <cell r="B95" t="str">
            <v>　　咨询及专业服务费</v>
          </cell>
          <cell r="G95">
            <v>33666.660000000003</v>
          </cell>
          <cell r="H95">
            <v>33666.660000000003</v>
          </cell>
        </row>
        <row r="96">
          <cell r="A96" t="str">
            <v>6602.04.01</v>
          </cell>
          <cell r="B96" t="str">
            <v>　　　　会计服务费</v>
          </cell>
          <cell r="G96">
            <v>12000</v>
          </cell>
          <cell r="H96">
            <v>12000</v>
          </cell>
        </row>
        <row r="97">
          <cell r="A97" t="str">
            <v>6602.04.02</v>
          </cell>
          <cell r="B97" t="str">
            <v>　　　　审计服务费</v>
          </cell>
          <cell r="G97">
            <v>19166.66</v>
          </cell>
          <cell r="H97">
            <v>19166.66</v>
          </cell>
        </row>
        <row r="98">
          <cell r="A98" t="str">
            <v>6602.04.06</v>
          </cell>
          <cell r="B98" t="str">
            <v>　　　　法律服务费</v>
          </cell>
        </row>
        <row r="99">
          <cell r="A99" t="str">
            <v>6602.04.06</v>
          </cell>
          <cell r="B99" t="str">
            <v>　　　　法律服务费</v>
          </cell>
          <cell r="C99" t="str">
            <v>CI009</v>
          </cell>
          <cell r="D99" t="str">
            <v>旭智资本</v>
          </cell>
        </row>
        <row r="100">
          <cell r="A100" t="str">
            <v>6602.04.07</v>
          </cell>
          <cell r="B100" t="str">
            <v>　　　　人力资源服务费</v>
          </cell>
          <cell r="G100">
            <v>2500</v>
          </cell>
          <cell r="H100">
            <v>2500</v>
          </cell>
        </row>
        <row r="101">
          <cell r="A101" t="str">
            <v>6602.05</v>
          </cell>
          <cell r="B101" t="str">
            <v>　　占用费</v>
          </cell>
          <cell r="G101">
            <v>55650</v>
          </cell>
          <cell r="H101">
            <v>55650</v>
          </cell>
        </row>
        <row r="102">
          <cell r="A102" t="str">
            <v>6602.05.08</v>
          </cell>
          <cell r="B102" t="str">
            <v>　　　　集团内分摊</v>
          </cell>
          <cell r="G102">
            <v>55650</v>
          </cell>
          <cell r="H102">
            <v>55650</v>
          </cell>
        </row>
        <row r="103">
          <cell r="A103" t="str">
            <v>6602.06</v>
          </cell>
          <cell r="B103" t="str">
            <v>　　业务招待费</v>
          </cell>
          <cell r="G103">
            <v>3490.9</v>
          </cell>
          <cell r="H103">
            <v>3490.9</v>
          </cell>
        </row>
        <row r="104">
          <cell r="A104" t="str">
            <v>6602.06</v>
          </cell>
          <cell r="B104" t="str">
            <v>　　业务招待费</v>
          </cell>
          <cell r="C104" t="str">
            <v>CI009</v>
          </cell>
          <cell r="D104" t="str">
            <v>旭智资本</v>
          </cell>
          <cell r="G104">
            <v>3490.9</v>
          </cell>
          <cell r="H104">
            <v>3490.9</v>
          </cell>
        </row>
        <row r="105">
          <cell r="A105" t="str">
            <v>6602.08</v>
          </cell>
          <cell r="B105" t="str">
            <v>　　事务费用</v>
          </cell>
          <cell r="G105">
            <v>20807.759999999998</v>
          </cell>
          <cell r="H105">
            <v>20807.759999999998</v>
          </cell>
        </row>
        <row r="106">
          <cell r="A106" t="str">
            <v>6602.08.01</v>
          </cell>
          <cell r="B106" t="str">
            <v>　　　　通信费</v>
          </cell>
          <cell r="G106">
            <v>1140</v>
          </cell>
          <cell r="H106">
            <v>1140</v>
          </cell>
        </row>
        <row r="107">
          <cell r="A107" t="str">
            <v>6602.08.01</v>
          </cell>
          <cell r="B107" t="str">
            <v>　　　　通信费</v>
          </cell>
          <cell r="C107" t="str">
            <v>CI009</v>
          </cell>
          <cell r="D107" t="str">
            <v>旭智资本</v>
          </cell>
          <cell r="G107">
            <v>1140</v>
          </cell>
          <cell r="H107">
            <v>1140</v>
          </cell>
        </row>
        <row r="108">
          <cell r="A108" t="str">
            <v>6602.08.03</v>
          </cell>
          <cell r="B108" t="str">
            <v>　　　　办公用品</v>
          </cell>
          <cell r="G108">
            <v>346.7</v>
          </cell>
          <cell r="H108">
            <v>346.7</v>
          </cell>
        </row>
        <row r="109">
          <cell r="A109" t="str">
            <v>6602.08.03</v>
          </cell>
          <cell r="B109" t="str">
            <v>　　　　办公用品</v>
          </cell>
          <cell r="C109" t="str">
            <v>CI009</v>
          </cell>
          <cell r="D109" t="str">
            <v>旭智资本</v>
          </cell>
          <cell r="G109">
            <v>346.7</v>
          </cell>
          <cell r="H109">
            <v>346.7</v>
          </cell>
        </row>
        <row r="110">
          <cell r="A110" t="str">
            <v>6602.08.04</v>
          </cell>
          <cell r="B110" t="str">
            <v>　　　　事务保金</v>
          </cell>
          <cell r="G110">
            <v>409.78</v>
          </cell>
          <cell r="H110">
            <v>409.78</v>
          </cell>
        </row>
        <row r="111">
          <cell r="A111" t="str">
            <v>6602.08.04</v>
          </cell>
          <cell r="B111" t="str">
            <v>　　　　事务保金</v>
          </cell>
          <cell r="C111" t="str">
            <v>CI009</v>
          </cell>
          <cell r="D111" t="str">
            <v>旭智资本</v>
          </cell>
          <cell r="G111">
            <v>409.78</v>
          </cell>
          <cell r="H111">
            <v>409.78</v>
          </cell>
        </row>
        <row r="112">
          <cell r="A112" t="str">
            <v>6602.08.05</v>
          </cell>
          <cell r="B112" t="str">
            <v>　　　　邮费/邮递费</v>
          </cell>
          <cell r="G112">
            <v>241</v>
          </cell>
          <cell r="H112">
            <v>241</v>
          </cell>
        </row>
        <row r="113">
          <cell r="A113" t="str">
            <v>6602.08.05</v>
          </cell>
          <cell r="B113" t="str">
            <v>　　　　邮费/邮递费</v>
          </cell>
          <cell r="C113" t="str">
            <v>CI009</v>
          </cell>
          <cell r="D113" t="str">
            <v>旭智资本</v>
          </cell>
          <cell r="G113">
            <v>241</v>
          </cell>
          <cell r="H113">
            <v>241</v>
          </cell>
        </row>
        <row r="114">
          <cell r="A114" t="str">
            <v>6602.08.06</v>
          </cell>
          <cell r="B114" t="str">
            <v>　　　　IT专业人士及微软服务</v>
          </cell>
          <cell r="G114">
            <v>7682.4</v>
          </cell>
          <cell r="H114">
            <v>7682.4</v>
          </cell>
        </row>
        <row r="115">
          <cell r="A115" t="str">
            <v>6602.08.06</v>
          </cell>
          <cell r="B115" t="str">
            <v>　　　　IT专业人士及微软服务</v>
          </cell>
          <cell r="C115" t="str">
            <v>CI009</v>
          </cell>
          <cell r="D115" t="str">
            <v>旭智资本</v>
          </cell>
          <cell r="G115">
            <v>7682.4</v>
          </cell>
          <cell r="H115">
            <v>7682.4</v>
          </cell>
        </row>
        <row r="116">
          <cell r="A116" t="str">
            <v>6602.08.07</v>
          </cell>
          <cell r="B116" t="str">
            <v>　　　　软件许可证费用</v>
          </cell>
          <cell r="G116">
            <v>10639.88</v>
          </cell>
          <cell r="H116">
            <v>10639.88</v>
          </cell>
        </row>
        <row r="117">
          <cell r="A117" t="str">
            <v>6602.08.07</v>
          </cell>
          <cell r="B117" t="str">
            <v>　　　　软件许可证费用</v>
          </cell>
          <cell r="C117" t="str">
            <v>CI009</v>
          </cell>
          <cell r="D117" t="str">
            <v>旭智资本</v>
          </cell>
          <cell r="G117">
            <v>10639.88</v>
          </cell>
          <cell r="H117">
            <v>10639.88</v>
          </cell>
        </row>
        <row r="118">
          <cell r="A118" t="str">
            <v>6602.08.10</v>
          </cell>
          <cell r="B118" t="str">
            <v>　　　　电话国际直拨/电话会议收费</v>
          </cell>
          <cell r="G118">
            <v>348</v>
          </cell>
          <cell r="H118">
            <v>348</v>
          </cell>
        </row>
        <row r="119">
          <cell r="A119" t="str">
            <v>6602.08.10</v>
          </cell>
          <cell r="B119" t="str">
            <v>　　　　电话国际直拨/电话会议收费</v>
          </cell>
          <cell r="C119" t="str">
            <v>CI009</v>
          </cell>
          <cell r="D119" t="str">
            <v>旭智资本</v>
          </cell>
          <cell r="G119">
            <v>348</v>
          </cell>
          <cell r="H119">
            <v>348</v>
          </cell>
        </row>
        <row r="120">
          <cell r="A120" t="str">
            <v>6602.09</v>
          </cell>
          <cell r="B120" t="str">
            <v>　　差旅费</v>
          </cell>
        </row>
        <row r="121">
          <cell r="A121" t="str">
            <v>6602.09.04</v>
          </cell>
          <cell r="B121" t="str">
            <v>　　　　空中交通费</v>
          </cell>
        </row>
        <row r="122">
          <cell r="A122" t="str">
            <v>6602.09.04</v>
          </cell>
          <cell r="B122" t="str">
            <v>　　　　空中交通费</v>
          </cell>
          <cell r="C122" t="str">
            <v>CI009</v>
          </cell>
          <cell r="D122" t="str">
            <v>旭智资本</v>
          </cell>
        </row>
        <row r="123">
          <cell r="A123" t="str">
            <v>6602.09.99</v>
          </cell>
          <cell r="B123" t="str">
            <v>　　　　其他</v>
          </cell>
        </row>
        <row r="124">
          <cell r="A124" t="str">
            <v>6602.09.99</v>
          </cell>
          <cell r="B124" t="str">
            <v>　　　　其他</v>
          </cell>
          <cell r="C124" t="str">
            <v>CI009</v>
          </cell>
          <cell r="D124" t="str">
            <v>旭智资本</v>
          </cell>
        </row>
        <row r="125">
          <cell r="A125" t="str">
            <v>6602.10</v>
          </cell>
          <cell r="B125" t="str">
            <v>　　折旧费</v>
          </cell>
          <cell r="G125">
            <v>299.44</v>
          </cell>
          <cell r="H125">
            <v>299.44</v>
          </cell>
        </row>
        <row r="126">
          <cell r="A126" t="str">
            <v>6602.10.01</v>
          </cell>
          <cell r="B126" t="str">
            <v>　　　　电子设备</v>
          </cell>
          <cell r="G126">
            <v>299.44</v>
          </cell>
          <cell r="H126">
            <v>299.44</v>
          </cell>
        </row>
        <row r="127">
          <cell r="A127" t="str">
            <v>6602.15</v>
          </cell>
          <cell r="B127" t="str">
            <v>　　服务费</v>
          </cell>
          <cell r="G127">
            <v>80000</v>
          </cell>
          <cell r="H127">
            <v>80000</v>
          </cell>
        </row>
        <row r="128">
          <cell r="A128" t="str">
            <v>6602.19</v>
          </cell>
          <cell r="B128" t="str">
            <v>　　会费（公司）</v>
          </cell>
        </row>
        <row r="129">
          <cell r="A129" t="str">
            <v>6602.21</v>
          </cell>
          <cell r="B129" t="str">
            <v>　　公司秘书费</v>
          </cell>
          <cell r="G129">
            <v>1256.99</v>
          </cell>
          <cell r="H129">
            <v>1256.99</v>
          </cell>
        </row>
        <row r="130">
          <cell r="A130" t="str">
            <v>6602.23</v>
          </cell>
          <cell r="B130" t="str">
            <v>　　无形资产摊销</v>
          </cell>
          <cell r="G130">
            <v>150000</v>
          </cell>
          <cell r="H130">
            <v>150000</v>
          </cell>
        </row>
        <row r="131">
          <cell r="A131" t="str">
            <v>6602.24</v>
          </cell>
          <cell r="B131" t="str">
            <v>　　监管费用</v>
          </cell>
        </row>
        <row r="132">
          <cell r="A132" t="str">
            <v>6602.99</v>
          </cell>
          <cell r="B132" t="str">
            <v>　　其他</v>
          </cell>
          <cell r="G132">
            <v>3200</v>
          </cell>
          <cell r="H132">
            <v>3200</v>
          </cell>
        </row>
        <row r="133">
          <cell r="A133" t="str">
            <v>6603</v>
          </cell>
          <cell r="B133" t="str">
            <v>财务费用</v>
          </cell>
          <cell r="G133">
            <v>1705.93</v>
          </cell>
          <cell r="H133">
            <v>1705.93</v>
          </cell>
        </row>
        <row r="134">
          <cell r="A134" t="str">
            <v>6603.01</v>
          </cell>
          <cell r="B134" t="str">
            <v>　　汇兑损益</v>
          </cell>
          <cell r="G134">
            <v>1496.38</v>
          </cell>
          <cell r="H134">
            <v>1496.38</v>
          </cell>
        </row>
        <row r="135">
          <cell r="A135" t="str">
            <v>6603.03</v>
          </cell>
          <cell r="B135" t="str">
            <v>　　银行手续费</v>
          </cell>
          <cell r="G135">
            <v>214.9</v>
          </cell>
          <cell r="H135">
            <v>214.9</v>
          </cell>
        </row>
        <row r="136">
          <cell r="A136" t="str">
            <v>6603.04</v>
          </cell>
          <cell r="B136" t="str">
            <v>　　利息收入</v>
          </cell>
          <cell r="G136">
            <v>-5.35</v>
          </cell>
          <cell r="H136">
            <v>-5.35</v>
          </cell>
        </row>
        <row r="137">
          <cell r="B137" t="str">
            <v>合计</v>
          </cell>
          <cell r="E137">
            <v>121262650.89</v>
          </cell>
          <cell r="F137">
            <v>121262650.89</v>
          </cell>
          <cell r="G137">
            <v>1997110.74</v>
          </cell>
          <cell r="H137">
            <v>1997110.74</v>
          </cell>
        </row>
      </sheetData>
      <sheetData sheetId="10">
        <row r="1">
          <cell r="A1" t="str">
            <v>币别:香港元</v>
          </cell>
          <cell r="B1" t="str">
            <v>账簿:旭智资本有限公司</v>
          </cell>
          <cell r="C1" t="str">
            <v>期间:2025.11 -- 2025.11</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155861.31</v>
          </cell>
          <cell r="G4">
            <v>531803.54</v>
          </cell>
          <cell r="H4">
            <v>636500.78</v>
          </cell>
        </row>
        <row r="5">
          <cell r="A5" t="str">
            <v>1002.01</v>
          </cell>
          <cell r="B5" t="str">
            <v>　　【旭智资本】银行存款账户</v>
          </cell>
          <cell r="E5">
            <v>155861.31</v>
          </cell>
          <cell r="G5">
            <v>531803.54</v>
          </cell>
          <cell r="H5">
            <v>636500.78</v>
          </cell>
        </row>
        <row r="6">
          <cell r="A6" t="str">
            <v>1002.01.01</v>
          </cell>
          <cell r="B6" t="str">
            <v>　　　　汇丰银行-741-282-503-838</v>
          </cell>
          <cell r="E6">
            <v>155861.31</v>
          </cell>
          <cell r="G6">
            <v>531803.54</v>
          </cell>
          <cell r="H6">
            <v>636500.78</v>
          </cell>
        </row>
        <row r="7">
          <cell r="A7" t="str">
            <v>1002.01.01.01</v>
          </cell>
          <cell r="B7" t="str">
            <v>　　　　　　【旭智资本】汇丰港元储蓄账户 3838</v>
          </cell>
          <cell r="E7">
            <v>139497.59</v>
          </cell>
          <cell r="G7">
            <v>320001.28000000003</v>
          </cell>
          <cell r="H7">
            <v>430234.5</v>
          </cell>
        </row>
        <row r="8">
          <cell r="A8" t="str">
            <v>1002.01.01.02</v>
          </cell>
          <cell r="B8" t="str">
            <v>　　　　　　【旭智资本】汇丰港元往来账户 3838</v>
          </cell>
        </row>
        <row r="9">
          <cell r="A9" t="str">
            <v>1002.01.01.03</v>
          </cell>
          <cell r="B9" t="str">
            <v>　　　　　　【旭智资本】汇丰外币储蓄账户 - 人民币 3838</v>
          </cell>
          <cell r="E9">
            <v>1064.25</v>
          </cell>
          <cell r="G9">
            <v>1071.76</v>
          </cell>
          <cell r="H9">
            <v>1064.25</v>
          </cell>
        </row>
        <row r="10">
          <cell r="A10" t="str">
            <v>1002.01.01.04</v>
          </cell>
          <cell r="B10" t="str">
            <v>　　　　　　【旭智资本】汇丰外币储蓄账户 - 美元 3838</v>
          </cell>
          <cell r="E10">
            <v>15299.47</v>
          </cell>
          <cell r="G10">
            <v>210730.5</v>
          </cell>
          <cell r="H10">
            <v>205202.03</v>
          </cell>
        </row>
        <row r="11">
          <cell r="A11" t="str">
            <v>1002.01.01.05</v>
          </cell>
          <cell r="B11" t="str">
            <v>　　　　　　【旭智资本】汇丰港元定期存款</v>
          </cell>
        </row>
        <row r="12">
          <cell r="A12" t="str">
            <v>1002.01.01.06</v>
          </cell>
          <cell r="B12" t="str">
            <v>　　　　　　【旭智资本】汇丰人民币定期存款</v>
          </cell>
        </row>
        <row r="13">
          <cell r="A13" t="str">
            <v>1123</v>
          </cell>
          <cell r="B13" t="str">
            <v>预付账款</v>
          </cell>
          <cell r="E13">
            <v>5613690</v>
          </cell>
          <cell r="H13">
            <v>42795.14</v>
          </cell>
        </row>
        <row r="14">
          <cell r="A14" t="str">
            <v>1123.01</v>
          </cell>
          <cell r="B14" t="str">
            <v>　　单位</v>
          </cell>
          <cell r="E14">
            <v>172245</v>
          </cell>
          <cell r="H14">
            <v>42795.14</v>
          </cell>
        </row>
        <row r="15">
          <cell r="A15" t="str">
            <v>1123.01</v>
          </cell>
          <cell r="B15" t="str">
            <v>　　单位</v>
          </cell>
          <cell r="C15" t="str">
            <v>SU003001</v>
          </cell>
          <cell r="D15" t="str">
            <v>Boardroom Corporate Services (HK) Limited</v>
          </cell>
          <cell r="E15">
            <v>2473.42</v>
          </cell>
          <cell r="H15">
            <v>1216.43</v>
          </cell>
        </row>
        <row r="16">
          <cell r="A16" t="str">
            <v>1123.01</v>
          </cell>
          <cell r="B16" t="str">
            <v>　　单位</v>
          </cell>
          <cell r="C16" t="str">
            <v>SU003003</v>
          </cell>
          <cell r="D16" t="str">
            <v>SUN HING INSURANCE BROKERS LTD.</v>
          </cell>
          <cell r="E16">
            <v>123819.89</v>
          </cell>
          <cell r="H16">
            <v>24426.65</v>
          </cell>
        </row>
        <row r="17">
          <cell r="A17" t="str">
            <v>1123.01</v>
          </cell>
          <cell r="B17" t="str">
            <v>　　单位</v>
          </cell>
          <cell r="C17" t="str">
            <v>SU003024</v>
          </cell>
          <cell r="D17" t="str">
            <v>SiteGround Hosting Ltd</v>
          </cell>
        </row>
        <row r="18">
          <cell r="A18" t="str">
            <v>1123.01</v>
          </cell>
          <cell r="B18" t="str">
            <v>　　单位</v>
          </cell>
          <cell r="C18" t="str">
            <v>SU003025</v>
          </cell>
          <cell r="D18" t="str">
            <v>Godaddy.Com,LLC</v>
          </cell>
          <cell r="E18">
            <v>1035.48</v>
          </cell>
          <cell r="H18">
            <v>64.510000000000005</v>
          </cell>
        </row>
        <row r="19">
          <cell r="A19" t="str">
            <v>1123.01</v>
          </cell>
          <cell r="B19" t="str">
            <v>　　单位</v>
          </cell>
          <cell r="C19" t="str">
            <v>SU004011</v>
          </cell>
          <cell r="D19" t="str">
            <v>Master Concept (Hong Kong) Limited</v>
          </cell>
          <cell r="E19">
            <v>44916.21</v>
          </cell>
          <cell r="H19">
            <v>17087.55</v>
          </cell>
        </row>
        <row r="20">
          <cell r="A20" t="str">
            <v>1123.01</v>
          </cell>
          <cell r="B20" t="str">
            <v>　　单位</v>
          </cell>
          <cell r="C20" t="str">
            <v>SU011002</v>
          </cell>
          <cell r="D20" t="str">
            <v>TMF (Cayman) Ltd.</v>
          </cell>
        </row>
        <row r="21">
          <cell r="A21" t="str">
            <v>1123.02</v>
          </cell>
          <cell r="B21" t="str">
            <v>　　个人</v>
          </cell>
          <cell r="E21">
            <v>5441445</v>
          </cell>
        </row>
        <row r="22">
          <cell r="A22" t="str">
            <v>1123.02</v>
          </cell>
          <cell r="B22" t="str">
            <v>　　个人</v>
          </cell>
          <cell r="C22" t="str">
            <v>SP005001</v>
          </cell>
          <cell r="D22" t="str">
            <v>冯冠邦</v>
          </cell>
          <cell r="E22">
            <v>5441445</v>
          </cell>
        </row>
        <row r="23">
          <cell r="A23" t="str">
            <v>1132</v>
          </cell>
          <cell r="B23" t="str">
            <v>应收利息</v>
          </cell>
        </row>
        <row r="24">
          <cell r="A24" t="str">
            <v>1132</v>
          </cell>
          <cell r="B24" t="str">
            <v>应收利息</v>
          </cell>
          <cell r="C24" t="str">
            <v>OU004001</v>
          </cell>
          <cell r="D24" t="str">
            <v>香港上海汇丰银行有限公司</v>
          </cell>
        </row>
        <row r="25">
          <cell r="A25" t="str">
            <v>1221</v>
          </cell>
          <cell r="B25" t="str">
            <v>其他应收款</v>
          </cell>
          <cell r="E25">
            <v>4758906.91</v>
          </cell>
          <cell r="G25">
            <v>191592.31</v>
          </cell>
          <cell r="H25">
            <v>270.93</v>
          </cell>
        </row>
        <row r="26">
          <cell r="A26" t="str">
            <v>1221.01</v>
          </cell>
          <cell r="B26" t="str">
            <v>　　单位</v>
          </cell>
          <cell r="E26">
            <v>4758906.91</v>
          </cell>
          <cell r="G26">
            <v>191592.31</v>
          </cell>
          <cell r="H26">
            <v>270.93</v>
          </cell>
        </row>
        <row r="27">
          <cell r="A27" t="str">
            <v>1221.01</v>
          </cell>
          <cell r="B27" t="str">
            <v>　　单位</v>
          </cell>
          <cell r="C27" t="str">
            <v>CU003003</v>
          </cell>
          <cell r="D27" t="str">
            <v>旭智资本（开曼）有限公司</v>
          </cell>
          <cell r="E27">
            <v>943367.54</v>
          </cell>
          <cell r="G27">
            <v>94951.28</v>
          </cell>
        </row>
        <row r="28">
          <cell r="A28" t="str">
            <v>1221.01</v>
          </cell>
          <cell r="B28" t="str">
            <v>　　单位</v>
          </cell>
          <cell r="C28" t="str">
            <v>CU003004</v>
          </cell>
          <cell r="D28" t="str">
            <v>广州旭智投资控股有限责任公司</v>
          </cell>
          <cell r="E28">
            <v>684901.01</v>
          </cell>
          <cell r="G28">
            <v>1536.14</v>
          </cell>
          <cell r="H28">
            <v>270.93</v>
          </cell>
        </row>
        <row r="29">
          <cell r="A29" t="str">
            <v>1221.01</v>
          </cell>
          <cell r="B29" t="str">
            <v>　　单位</v>
          </cell>
          <cell r="C29" t="str">
            <v>CU003005</v>
          </cell>
          <cell r="D29" t="str">
            <v>Albamen Cayman Fund II</v>
          </cell>
          <cell r="E29">
            <v>2857314.21</v>
          </cell>
          <cell r="G29">
            <v>94951.28</v>
          </cell>
        </row>
        <row r="30">
          <cell r="A30" t="str">
            <v>1221.01</v>
          </cell>
          <cell r="B30" t="str">
            <v>　　单位</v>
          </cell>
          <cell r="C30" t="str">
            <v>CU003006</v>
          </cell>
          <cell r="D30" t="str">
            <v>旭智咨询管理(深圳)有限责任公司</v>
          </cell>
          <cell r="E30">
            <v>72333.66</v>
          </cell>
          <cell r="G30">
            <v>153.61000000000001</v>
          </cell>
        </row>
        <row r="31">
          <cell r="A31" t="str">
            <v>1221.01</v>
          </cell>
          <cell r="B31" t="str">
            <v>　　单位</v>
          </cell>
          <cell r="C31" t="str">
            <v>CU003007</v>
          </cell>
          <cell r="D31" t="str">
            <v>旭智兴邦有限公司</v>
          </cell>
          <cell r="E31">
            <v>104516.13</v>
          </cell>
        </row>
        <row r="32">
          <cell r="A32" t="str">
            <v>1221.01</v>
          </cell>
          <cell r="B32" t="str">
            <v>　　单位</v>
          </cell>
          <cell r="C32" t="str">
            <v>CU003008</v>
          </cell>
          <cell r="D32" t="str">
            <v>Rising Son Invesments Limited</v>
          </cell>
          <cell r="E32">
            <v>10055</v>
          </cell>
        </row>
        <row r="33">
          <cell r="A33" t="str">
            <v>1221.01</v>
          </cell>
          <cell r="B33" t="str">
            <v>　　单位</v>
          </cell>
          <cell r="C33" t="str">
            <v>CU003009</v>
          </cell>
          <cell r="D33" t="str">
            <v>Sustainable Energy (HK) Investment Holding Ltd</v>
          </cell>
          <cell r="E33">
            <v>10000</v>
          </cell>
        </row>
        <row r="34">
          <cell r="A34" t="str">
            <v>1221.01</v>
          </cell>
          <cell r="B34" t="str">
            <v>　　单位</v>
          </cell>
          <cell r="C34" t="str">
            <v>CU003010</v>
          </cell>
          <cell r="D34" t="str">
            <v>旭智富能新能源（深圳）有限责任公司</v>
          </cell>
          <cell r="E34">
            <v>76419.360000000001</v>
          </cell>
        </row>
        <row r="35">
          <cell r="A35" t="str">
            <v>1221.01</v>
          </cell>
          <cell r="B35" t="str">
            <v>　　单位</v>
          </cell>
          <cell r="C35" t="str">
            <v>CU003011</v>
          </cell>
          <cell r="D35" t="str">
            <v>Manulife Investment Management (Hong Kong )Limited</v>
          </cell>
        </row>
        <row r="36">
          <cell r="A36" t="str">
            <v>1221.01</v>
          </cell>
          <cell r="B36" t="str">
            <v>　　单位</v>
          </cell>
          <cell r="C36" t="str">
            <v>CU003012</v>
          </cell>
          <cell r="D36" t="str">
            <v>旭智新能源共同投资有限公司</v>
          </cell>
        </row>
        <row r="37">
          <cell r="A37" t="str">
            <v>1511</v>
          </cell>
          <cell r="B37" t="str">
            <v>长期股权投资</v>
          </cell>
          <cell r="E37">
            <v>92467303.799999997</v>
          </cell>
        </row>
        <row r="38">
          <cell r="A38" t="str">
            <v>1511.02</v>
          </cell>
          <cell r="B38" t="str">
            <v>　　投资成本</v>
          </cell>
          <cell r="E38">
            <v>92467303.799999997</v>
          </cell>
        </row>
        <row r="39">
          <cell r="A39" t="str">
            <v>1511.02</v>
          </cell>
          <cell r="B39" t="str">
            <v>　　投资成本</v>
          </cell>
          <cell r="C39" t="str">
            <v>004</v>
          </cell>
          <cell r="D39" t="str">
            <v>旭智资本（香港）有限公司</v>
          </cell>
          <cell r="E39">
            <v>89799421</v>
          </cell>
        </row>
        <row r="40">
          <cell r="A40" t="str">
            <v>1511.02</v>
          </cell>
          <cell r="B40" t="str">
            <v>　　投资成本</v>
          </cell>
          <cell r="C40" t="str">
            <v>006</v>
          </cell>
          <cell r="D40" t="str">
            <v>旭智咨询管理（深圳）有限责任公司</v>
          </cell>
          <cell r="E40">
            <v>2657875</v>
          </cell>
        </row>
        <row r="41">
          <cell r="A41" t="str">
            <v>1511.02</v>
          </cell>
          <cell r="B41" t="str">
            <v>　　投资成本</v>
          </cell>
          <cell r="C41" t="str">
            <v>011</v>
          </cell>
          <cell r="D41" t="str">
            <v>旭智资本（开曼）有限公司</v>
          </cell>
          <cell r="E41">
            <v>7.8</v>
          </cell>
        </row>
        <row r="42">
          <cell r="A42" t="str">
            <v>1511.02</v>
          </cell>
          <cell r="B42" t="str">
            <v>　　投资成本</v>
          </cell>
          <cell r="C42" t="str">
            <v>012</v>
          </cell>
          <cell r="D42" t="str">
            <v>旭智兴邦有限公司</v>
          </cell>
          <cell r="E42">
            <v>10000</v>
          </cell>
        </row>
        <row r="43">
          <cell r="A43" t="str">
            <v>1601</v>
          </cell>
          <cell r="B43" t="str">
            <v>固定资产</v>
          </cell>
          <cell r="E43">
            <v>81529</v>
          </cell>
        </row>
        <row r="44">
          <cell r="A44" t="str">
            <v>1601.01</v>
          </cell>
          <cell r="B44" t="str">
            <v>　　电子设备</v>
          </cell>
          <cell r="E44">
            <v>81529</v>
          </cell>
        </row>
        <row r="45">
          <cell r="A45" t="str">
            <v>1602</v>
          </cell>
          <cell r="B45" t="str">
            <v>累计折旧</v>
          </cell>
          <cell r="F45">
            <v>74042.84</v>
          </cell>
          <cell r="H45">
            <v>299.44</v>
          </cell>
        </row>
        <row r="46">
          <cell r="A46" t="str">
            <v>1602.01</v>
          </cell>
          <cell r="B46" t="str">
            <v>　　电子设备</v>
          </cell>
          <cell r="F46">
            <v>74042.84</v>
          </cell>
          <cell r="H46">
            <v>299.44</v>
          </cell>
        </row>
        <row r="47">
          <cell r="A47" t="str">
            <v>1701</v>
          </cell>
          <cell r="B47" t="str">
            <v>无形资产</v>
          </cell>
          <cell r="E47">
            <v>18000000</v>
          </cell>
        </row>
        <row r="48">
          <cell r="A48" t="str">
            <v>1701.02</v>
          </cell>
          <cell r="B48" t="str">
            <v>　　 商业材料许可证</v>
          </cell>
          <cell r="E48">
            <v>18000000</v>
          </cell>
        </row>
        <row r="49">
          <cell r="A49" t="str">
            <v>1702</v>
          </cell>
          <cell r="B49" t="str">
            <v>累计摊销</v>
          </cell>
          <cell r="F49">
            <v>9450000</v>
          </cell>
          <cell r="H49">
            <v>150000</v>
          </cell>
        </row>
        <row r="50">
          <cell r="A50" t="str">
            <v>1702.02</v>
          </cell>
          <cell r="B50" t="str">
            <v>　　  商业材料许可证</v>
          </cell>
          <cell r="F50">
            <v>9450000</v>
          </cell>
          <cell r="H50">
            <v>150000</v>
          </cell>
        </row>
        <row r="51">
          <cell r="A51" t="str">
            <v>2211</v>
          </cell>
          <cell r="B51" t="str">
            <v>应付职工薪酬</v>
          </cell>
          <cell r="F51">
            <v>95833.52</v>
          </cell>
          <cell r="G51">
            <v>96433.52</v>
          </cell>
          <cell r="H51">
            <v>67940.53</v>
          </cell>
        </row>
        <row r="52">
          <cell r="A52" t="str">
            <v>2211.02</v>
          </cell>
          <cell r="B52" t="str">
            <v>　　职工奖金</v>
          </cell>
        </row>
        <row r="53">
          <cell r="A53" t="str">
            <v>2211.11</v>
          </cell>
          <cell r="B53" t="str">
            <v>　　应付强制性公积金</v>
          </cell>
          <cell r="F53">
            <v>8400</v>
          </cell>
          <cell r="G53">
            <v>9000</v>
          </cell>
          <cell r="H53">
            <v>9000</v>
          </cell>
        </row>
        <row r="54">
          <cell r="A54" t="str">
            <v>2211.12</v>
          </cell>
          <cell r="B54" t="str">
            <v>　　应付长期服务金</v>
          </cell>
          <cell r="F54">
            <v>87433.52</v>
          </cell>
          <cell r="G54">
            <v>87433.52</v>
          </cell>
          <cell r="H54">
            <v>58940.53</v>
          </cell>
        </row>
        <row r="55">
          <cell r="A55" t="str">
            <v>2211.13</v>
          </cell>
          <cell r="B55" t="str">
            <v>　　未使用假期负债</v>
          </cell>
        </row>
        <row r="56">
          <cell r="A56" t="str">
            <v>2241</v>
          </cell>
          <cell r="B56" t="str">
            <v>其他应付款</v>
          </cell>
          <cell r="F56">
            <v>10681756.710000001</v>
          </cell>
          <cell r="G56">
            <v>172435.5</v>
          </cell>
          <cell r="H56">
            <v>688945.26</v>
          </cell>
        </row>
        <row r="57">
          <cell r="A57" t="str">
            <v>2241.01</v>
          </cell>
          <cell r="B57" t="str">
            <v>　　单位</v>
          </cell>
          <cell r="F57">
            <v>10549851.6</v>
          </cell>
          <cell r="G57">
            <v>172435.5</v>
          </cell>
          <cell r="H57">
            <v>493516.66</v>
          </cell>
        </row>
        <row r="58">
          <cell r="A58" t="str">
            <v>2241.01</v>
          </cell>
          <cell r="B58" t="str">
            <v>　　单位</v>
          </cell>
          <cell r="C58" t="str">
            <v>SU003011</v>
          </cell>
          <cell r="D58" t="str">
            <v>Tricor Services Limited</v>
          </cell>
          <cell r="F58">
            <v>30000</v>
          </cell>
          <cell r="G58">
            <v>14700</v>
          </cell>
          <cell r="H58">
            <v>18700</v>
          </cell>
        </row>
        <row r="59">
          <cell r="A59" t="str">
            <v>2241.01</v>
          </cell>
          <cell r="B59" t="str">
            <v>　　单位</v>
          </cell>
          <cell r="C59" t="str">
            <v>SU003027</v>
          </cell>
          <cell r="D59" t="str">
            <v>SWIFT ENERGY ADVISORY LTD</v>
          </cell>
          <cell r="F59">
            <v>80000</v>
          </cell>
          <cell r="G59">
            <v>80000</v>
          </cell>
          <cell r="H59">
            <v>80000</v>
          </cell>
        </row>
        <row r="60">
          <cell r="A60" t="str">
            <v>2241.01</v>
          </cell>
          <cell r="B60" t="str">
            <v>　　单位</v>
          </cell>
          <cell r="C60" t="str">
            <v>SU004019</v>
          </cell>
          <cell r="D60" t="str">
            <v>PricewaterhouseCoopers Limited</v>
          </cell>
          <cell r="F60">
            <v>191666.6</v>
          </cell>
          <cell r="H60">
            <v>19166.66</v>
          </cell>
        </row>
        <row r="61">
          <cell r="A61" t="str">
            <v>2241.01</v>
          </cell>
          <cell r="B61" t="str">
            <v>　　单位</v>
          </cell>
          <cell r="C61" t="str">
            <v>SU005045</v>
          </cell>
          <cell r="D61" t="str">
            <v>旭智资本(香港)有限公司</v>
          </cell>
          <cell r="F61">
            <v>10248185</v>
          </cell>
          <cell r="G61">
            <v>77735.5</v>
          </cell>
          <cell r="H61">
            <v>375650</v>
          </cell>
        </row>
        <row r="62">
          <cell r="A62" t="str">
            <v>2241.02</v>
          </cell>
          <cell r="B62" t="str">
            <v>　　个人</v>
          </cell>
          <cell r="F62">
            <v>131905.10999999999</v>
          </cell>
          <cell r="H62">
            <v>195428.6</v>
          </cell>
        </row>
        <row r="63">
          <cell r="A63" t="str">
            <v>2241.02</v>
          </cell>
          <cell r="B63" t="str">
            <v>　　个人</v>
          </cell>
          <cell r="C63" t="str">
            <v>SP003008</v>
          </cell>
          <cell r="D63" t="str">
            <v>卢淑怡</v>
          </cell>
          <cell r="H63">
            <v>195428.6</v>
          </cell>
        </row>
        <row r="64">
          <cell r="A64" t="str">
            <v>2241.02</v>
          </cell>
          <cell r="B64" t="str">
            <v>　　个人</v>
          </cell>
          <cell r="C64" t="str">
            <v>SP003010</v>
          </cell>
          <cell r="D64" t="str">
            <v>员工报销</v>
          </cell>
          <cell r="F64">
            <v>131905.10999999999</v>
          </cell>
        </row>
        <row r="65">
          <cell r="A65" t="str">
            <v>2304</v>
          </cell>
          <cell r="B65" t="str">
            <v>其他金融工具负债</v>
          </cell>
          <cell r="F65">
            <v>23400000</v>
          </cell>
        </row>
        <row r="66">
          <cell r="A66" t="str">
            <v>2304.01</v>
          </cell>
          <cell r="B66" t="str">
            <v>　　B类优先股</v>
          </cell>
          <cell r="F66">
            <v>23400000</v>
          </cell>
        </row>
        <row r="67">
          <cell r="A67" t="str">
            <v>2304.01</v>
          </cell>
          <cell r="B67" t="str">
            <v>　　B类优先股</v>
          </cell>
          <cell r="C67" t="str">
            <v>QTWL0001</v>
          </cell>
          <cell r="D67" t="str">
            <v>辉朗投资有限公司</v>
          </cell>
          <cell r="F67">
            <v>1755000</v>
          </cell>
        </row>
        <row r="68">
          <cell r="A68" t="str">
            <v>2304.01</v>
          </cell>
          <cell r="B68" t="str">
            <v>　　B类优先股</v>
          </cell>
          <cell r="C68" t="str">
            <v>QTWL0002</v>
          </cell>
          <cell r="D68" t="str">
            <v>Pure Nice Limited</v>
          </cell>
          <cell r="F68">
            <v>1755000</v>
          </cell>
        </row>
        <row r="69">
          <cell r="A69" t="str">
            <v>2304.01</v>
          </cell>
          <cell r="B69" t="str">
            <v>　　B类优先股</v>
          </cell>
          <cell r="C69" t="str">
            <v>QTWL0003</v>
          </cell>
          <cell r="D69" t="str">
            <v>旭铂投资有限公司</v>
          </cell>
          <cell r="F69">
            <v>19305000</v>
          </cell>
        </row>
        <row r="70">
          <cell r="A70" t="str">
            <v>2304.01</v>
          </cell>
          <cell r="B70" t="str">
            <v>　　B类优先股</v>
          </cell>
          <cell r="C70" t="str">
            <v>QTWL0004</v>
          </cell>
          <cell r="D70" t="str">
            <v>智慧基建投资有限公司</v>
          </cell>
          <cell r="F70">
            <v>585000</v>
          </cell>
        </row>
        <row r="71">
          <cell r="A71" t="str">
            <v>4001</v>
          </cell>
          <cell r="B71" t="str">
            <v>实收资本（股本）</v>
          </cell>
          <cell r="F71">
            <v>156720000</v>
          </cell>
        </row>
        <row r="72">
          <cell r="A72" t="str">
            <v>4001.50</v>
          </cell>
          <cell r="B72" t="str">
            <v>　　普通股</v>
          </cell>
          <cell r="F72">
            <v>156720000</v>
          </cell>
        </row>
        <row r="73">
          <cell r="A73" t="str">
            <v>4001.50.01</v>
          </cell>
          <cell r="B73" t="str">
            <v>　　　　威力能源投资有限公司</v>
          </cell>
          <cell r="F73">
            <v>35262000</v>
          </cell>
        </row>
        <row r="74">
          <cell r="A74" t="str">
            <v>4001.50.02</v>
          </cell>
          <cell r="B74" t="str">
            <v>　　　　旭铂投资有限公司</v>
          </cell>
          <cell r="F74">
            <v>94032000</v>
          </cell>
        </row>
        <row r="75">
          <cell r="A75" t="str">
            <v>4001.50.03</v>
          </cell>
          <cell r="B75" t="str">
            <v>　　　　辉朗投资有限公司</v>
          </cell>
          <cell r="F75">
            <v>11754000</v>
          </cell>
        </row>
        <row r="76">
          <cell r="A76" t="str">
            <v>4001.50.04</v>
          </cell>
          <cell r="B76" t="str">
            <v>　　　　智慧基建投资有限公司</v>
          </cell>
          <cell r="F76">
            <v>3918000</v>
          </cell>
        </row>
        <row r="77">
          <cell r="A77" t="str">
            <v>4001.50.05</v>
          </cell>
          <cell r="B77" t="str">
            <v>　　　　Pure Nice Limited</v>
          </cell>
          <cell r="F77">
            <v>11754000</v>
          </cell>
        </row>
        <row r="78">
          <cell r="A78" t="str">
            <v>4001.51</v>
          </cell>
          <cell r="B78" t="str">
            <v>　　优先股</v>
          </cell>
        </row>
        <row r="79">
          <cell r="A79" t="str">
            <v>4001.51.01</v>
          </cell>
          <cell r="B79" t="str">
            <v>　　　　旭铂投资有限公司</v>
          </cell>
        </row>
        <row r="80">
          <cell r="A80" t="str">
            <v>4103</v>
          </cell>
          <cell r="B80" t="str">
            <v>本年利润</v>
          </cell>
          <cell r="F80">
            <v>-6713648.8099999996</v>
          </cell>
          <cell r="G80">
            <v>672222.71</v>
          </cell>
          <cell r="H80">
            <v>77735.5</v>
          </cell>
        </row>
        <row r="81">
          <cell r="A81" t="str">
            <v>4104</v>
          </cell>
          <cell r="B81" t="str">
            <v>利润分配</v>
          </cell>
          <cell r="F81">
            <v>-72630693.239999995</v>
          </cell>
        </row>
        <row r="82">
          <cell r="A82" t="str">
            <v>4104.07</v>
          </cell>
          <cell r="B82" t="str">
            <v>　　未分配利润</v>
          </cell>
          <cell r="F82">
            <v>-72630693.239999995</v>
          </cell>
        </row>
        <row r="83">
          <cell r="A83" t="str">
            <v>6115</v>
          </cell>
          <cell r="B83" t="str">
            <v>其他收益</v>
          </cell>
          <cell r="G83">
            <v>77735.5</v>
          </cell>
          <cell r="H83">
            <v>77735.5</v>
          </cell>
        </row>
        <row r="84">
          <cell r="A84" t="str">
            <v>6115.03</v>
          </cell>
          <cell r="B84" t="str">
            <v>　　公司间往来</v>
          </cell>
          <cell r="G84">
            <v>77735.5</v>
          </cell>
          <cell r="H84">
            <v>77735.5</v>
          </cell>
        </row>
        <row r="85">
          <cell r="A85" t="str">
            <v>6602</v>
          </cell>
          <cell r="B85" t="str">
            <v>管理费用</v>
          </cell>
          <cell r="G85">
            <v>672892.25</v>
          </cell>
          <cell r="H85">
            <v>672892.25</v>
          </cell>
        </row>
        <row r="86">
          <cell r="A86" t="str">
            <v>6602.01</v>
          </cell>
          <cell r="B86" t="str">
            <v>　　工资薪金</v>
          </cell>
          <cell r="G86">
            <v>296007.01</v>
          </cell>
          <cell r="H86">
            <v>296007.01</v>
          </cell>
        </row>
        <row r="87">
          <cell r="A87" t="str">
            <v>6602.01.01</v>
          </cell>
          <cell r="B87" t="str">
            <v>　　　　基本工资（专业）</v>
          </cell>
          <cell r="G87">
            <v>40000</v>
          </cell>
          <cell r="H87">
            <v>40000</v>
          </cell>
        </row>
        <row r="88">
          <cell r="A88" t="str">
            <v>6602.01.05</v>
          </cell>
          <cell r="B88" t="str">
            <v>　　　　员工假期</v>
          </cell>
        </row>
        <row r="89">
          <cell r="A89" t="str">
            <v>6602.01.08</v>
          </cell>
          <cell r="B89" t="str">
            <v>　　　　基本工资（管理）</v>
          </cell>
          <cell r="G89">
            <v>284500</v>
          </cell>
          <cell r="H89">
            <v>284500</v>
          </cell>
        </row>
        <row r="90">
          <cell r="A90" t="str">
            <v>6602.01.10</v>
          </cell>
          <cell r="B90" t="str">
            <v>　　　　长期服务金</v>
          </cell>
          <cell r="G90">
            <v>-28492.99</v>
          </cell>
          <cell r="H90">
            <v>-28492.99</v>
          </cell>
        </row>
        <row r="91">
          <cell r="A91" t="str">
            <v>6602.02</v>
          </cell>
          <cell r="B91" t="str">
            <v>　　职工福利</v>
          </cell>
          <cell r="G91">
            <v>1009</v>
          </cell>
          <cell r="H91">
            <v>1009</v>
          </cell>
        </row>
        <row r="92">
          <cell r="A92" t="str">
            <v>6602.02.02</v>
          </cell>
          <cell r="B92" t="str">
            <v>　　　　团建活动</v>
          </cell>
          <cell r="G92">
            <v>1009</v>
          </cell>
          <cell r="H92">
            <v>1009</v>
          </cell>
        </row>
        <row r="93">
          <cell r="A93" t="str">
            <v>6602.03</v>
          </cell>
          <cell r="B93" t="str">
            <v>　　社保公积金</v>
          </cell>
          <cell r="G93">
            <v>28530.09</v>
          </cell>
          <cell r="H93">
            <v>28530.09</v>
          </cell>
        </row>
        <row r="94">
          <cell r="A94" t="str">
            <v>6602.03.01</v>
          </cell>
          <cell r="B94" t="str">
            <v>　　　　员工社保福利</v>
          </cell>
          <cell r="G94">
            <v>24030.09</v>
          </cell>
          <cell r="H94">
            <v>24030.09</v>
          </cell>
        </row>
        <row r="95">
          <cell r="A95" t="str">
            <v>6602.03.03</v>
          </cell>
          <cell r="B95" t="str">
            <v>　　　　员工强制性公积金福利</v>
          </cell>
          <cell r="G95">
            <v>4500</v>
          </cell>
          <cell r="H95">
            <v>4500</v>
          </cell>
        </row>
        <row r="96">
          <cell r="A96" t="str">
            <v>6602.04</v>
          </cell>
          <cell r="B96" t="str">
            <v>　　咨询及专业服务费</v>
          </cell>
          <cell r="G96">
            <v>37666.660000000003</v>
          </cell>
          <cell r="H96">
            <v>37666.660000000003</v>
          </cell>
        </row>
        <row r="97">
          <cell r="A97" t="str">
            <v>6602.04.01</v>
          </cell>
          <cell r="B97" t="str">
            <v>　　　　会计服务费</v>
          </cell>
          <cell r="G97">
            <v>12000</v>
          </cell>
          <cell r="H97">
            <v>12000</v>
          </cell>
        </row>
        <row r="98">
          <cell r="A98" t="str">
            <v>6602.04.02</v>
          </cell>
          <cell r="B98" t="str">
            <v>　　　　审计服务费</v>
          </cell>
          <cell r="G98">
            <v>19166.66</v>
          </cell>
          <cell r="H98">
            <v>19166.66</v>
          </cell>
        </row>
        <row r="99">
          <cell r="A99" t="str">
            <v>6602.04.06</v>
          </cell>
          <cell r="B99" t="str">
            <v>　　　　法律服务费</v>
          </cell>
        </row>
        <row r="100">
          <cell r="A100" t="str">
            <v>6602.04.06</v>
          </cell>
          <cell r="B100" t="str">
            <v>　　　　法律服务费</v>
          </cell>
          <cell r="C100" t="str">
            <v>CI009</v>
          </cell>
          <cell r="D100" t="str">
            <v>旭智资本</v>
          </cell>
        </row>
        <row r="101">
          <cell r="A101" t="str">
            <v>6602.04.07</v>
          </cell>
          <cell r="B101" t="str">
            <v>　　　　人力资源服务费</v>
          </cell>
          <cell r="G101">
            <v>6500</v>
          </cell>
          <cell r="H101">
            <v>6500</v>
          </cell>
        </row>
        <row r="102">
          <cell r="A102" t="str">
            <v>6602.05</v>
          </cell>
          <cell r="B102" t="str">
            <v>　　占用费</v>
          </cell>
          <cell r="G102">
            <v>55650</v>
          </cell>
          <cell r="H102">
            <v>55650</v>
          </cell>
        </row>
        <row r="103">
          <cell r="A103" t="str">
            <v>6602.05.08</v>
          </cell>
          <cell r="B103" t="str">
            <v>　　　　集团内分摊</v>
          </cell>
          <cell r="G103">
            <v>55650</v>
          </cell>
          <cell r="H103">
            <v>55650</v>
          </cell>
        </row>
        <row r="104">
          <cell r="A104" t="str">
            <v>6602.06</v>
          </cell>
          <cell r="B104" t="str">
            <v>　　业务招待费</v>
          </cell>
        </row>
        <row r="105">
          <cell r="A105" t="str">
            <v>6602.06</v>
          </cell>
          <cell r="B105" t="str">
            <v>　　业务招待费</v>
          </cell>
          <cell r="C105" t="str">
            <v>CI009</v>
          </cell>
          <cell r="D105" t="str">
            <v>旭智资本</v>
          </cell>
        </row>
        <row r="106">
          <cell r="A106" t="str">
            <v>6602.08</v>
          </cell>
          <cell r="B106" t="str">
            <v>　　事务费用</v>
          </cell>
          <cell r="G106">
            <v>19313.62</v>
          </cell>
          <cell r="H106">
            <v>19313.62</v>
          </cell>
        </row>
        <row r="107">
          <cell r="A107" t="str">
            <v>6602.08.01</v>
          </cell>
          <cell r="B107" t="str">
            <v>　　　　通信费</v>
          </cell>
          <cell r="G107">
            <v>1140</v>
          </cell>
          <cell r="H107">
            <v>1140</v>
          </cell>
        </row>
        <row r="108">
          <cell r="A108" t="str">
            <v>6602.08.01</v>
          </cell>
          <cell r="B108" t="str">
            <v>　　　　通信费</v>
          </cell>
          <cell r="C108" t="str">
            <v>CI009</v>
          </cell>
          <cell r="D108" t="str">
            <v>旭智资本</v>
          </cell>
          <cell r="G108">
            <v>1140</v>
          </cell>
          <cell r="H108">
            <v>1140</v>
          </cell>
        </row>
        <row r="109">
          <cell r="A109" t="str">
            <v>6602.08.03</v>
          </cell>
          <cell r="B109" t="str">
            <v>　　　　办公用品</v>
          </cell>
        </row>
        <row r="110">
          <cell r="A110" t="str">
            <v>6602.08.03</v>
          </cell>
          <cell r="B110" t="str">
            <v>　　　　办公用品</v>
          </cell>
          <cell r="C110" t="str">
            <v>CI009</v>
          </cell>
          <cell r="D110" t="str">
            <v>旭智资本</v>
          </cell>
        </row>
        <row r="111">
          <cell r="A111" t="str">
            <v>6602.08.04</v>
          </cell>
          <cell r="B111" t="str">
            <v>　　　　事务保金</v>
          </cell>
          <cell r="G111">
            <v>396.56</v>
          </cell>
          <cell r="H111">
            <v>396.56</v>
          </cell>
        </row>
        <row r="112">
          <cell r="A112" t="str">
            <v>6602.08.04</v>
          </cell>
          <cell r="B112" t="str">
            <v>　　　　事务保金</v>
          </cell>
          <cell r="C112" t="str">
            <v>CI009</v>
          </cell>
          <cell r="D112" t="str">
            <v>旭智资本</v>
          </cell>
          <cell r="G112">
            <v>396.56</v>
          </cell>
          <cell r="H112">
            <v>396.56</v>
          </cell>
        </row>
        <row r="113">
          <cell r="A113" t="str">
            <v>6602.08.05</v>
          </cell>
          <cell r="B113" t="str">
            <v>　　　　邮费/邮递费</v>
          </cell>
          <cell r="G113">
            <v>199</v>
          </cell>
          <cell r="H113">
            <v>199</v>
          </cell>
        </row>
        <row r="114">
          <cell r="A114" t="str">
            <v>6602.08.05</v>
          </cell>
          <cell r="B114" t="str">
            <v>　　　　邮费/邮递费</v>
          </cell>
          <cell r="C114" t="str">
            <v>CI009</v>
          </cell>
          <cell r="D114" t="str">
            <v>旭智资本</v>
          </cell>
          <cell r="G114">
            <v>199</v>
          </cell>
          <cell r="H114">
            <v>199</v>
          </cell>
        </row>
        <row r="115">
          <cell r="A115" t="str">
            <v>6602.08.06</v>
          </cell>
          <cell r="B115" t="str">
            <v>　　　　IT专业人士及微软服务</v>
          </cell>
          <cell r="G115">
            <v>7423.55</v>
          </cell>
          <cell r="H115">
            <v>7423.55</v>
          </cell>
        </row>
        <row r="116">
          <cell r="A116" t="str">
            <v>6602.08.06</v>
          </cell>
          <cell r="B116" t="str">
            <v>　　　　IT专业人士及微软服务</v>
          </cell>
          <cell r="C116" t="str">
            <v>CI009</v>
          </cell>
          <cell r="D116" t="str">
            <v>旭智资本</v>
          </cell>
          <cell r="G116">
            <v>7423.55</v>
          </cell>
          <cell r="H116">
            <v>7423.55</v>
          </cell>
        </row>
        <row r="117">
          <cell r="A117" t="str">
            <v>6602.08.07</v>
          </cell>
          <cell r="B117" t="str">
            <v>　　　　软件许可证费用</v>
          </cell>
          <cell r="G117">
            <v>9806.51</v>
          </cell>
          <cell r="H117">
            <v>9806.51</v>
          </cell>
        </row>
        <row r="118">
          <cell r="A118" t="str">
            <v>6602.08.07</v>
          </cell>
          <cell r="B118" t="str">
            <v>　　　　软件许可证费用</v>
          </cell>
          <cell r="C118" t="str">
            <v>CI009</v>
          </cell>
          <cell r="D118" t="str">
            <v>旭智资本</v>
          </cell>
          <cell r="G118">
            <v>9806.51</v>
          </cell>
          <cell r="H118">
            <v>9806.51</v>
          </cell>
        </row>
        <row r="119">
          <cell r="A119" t="str">
            <v>6602.08.10</v>
          </cell>
          <cell r="B119" t="str">
            <v>　　　　电话国际直拨/电话会议收费</v>
          </cell>
          <cell r="G119">
            <v>348</v>
          </cell>
          <cell r="H119">
            <v>348</v>
          </cell>
        </row>
        <row r="120">
          <cell r="A120" t="str">
            <v>6602.08.10</v>
          </cell>
          <cell r="B120" t="str">
            <v>　　　　电话国际直拨/电话会议收费</v>
          </cell>
          <cell r="C120" t="str">
            <v>CI009</v>
          </cell>
          <cell r="D120" t="str">
            <v>旭智资本</v>
          </cell>
          <cell r="G120">
            <v>348</v>
          </cell>
          <cell r="H120">
            <v>348</v>
          </cell>
        </row>
        <row r="121">
          <cell r="A121" t="str">
            <v>6602.09</v>
          </cell>
          <cell r="B121" t="str">
            <v>　　差旅费</v>
          </cell>
        </row>
        <row r="122">
          <cell r="A122" t="str">
            <v>6602.09.04</v>
          </cell>
          <cell r="B122" t="str">
            <v>　　　　空中交通费</v>
          </cell>
        </row>
        <row r="123">
          <cell r="A123" t="str">
            <v>6602.09.04</v>
          </cell>
          <cell r="B123" t="str">
            <v>　　　　空中交通费</v>
          </cell>
          <cell r="C123" t="str">
            <v>CI009</v>
          </cell>
          <cell r="D123" t="str">
            <v>旭智资本</v>
          </cell>
        </row>
        <row r="124">
          <cell r="A124" t="str">
            <v>6602.09.99</v>
          </cell>
          <cell r="B124" t="str">
            <v>　　　　其他</v>
          </cell>
        </row>
        <row r="125">
          <cell r="A125" t="str">
            <v>6602.09.99</v>
          </cell>
          <cell r="B125" t="str">
            <v>　　　　其他</v>
          </cell>
          <cell r="C125" t="str">
            <v>CI009</v>
          </cell>
          <cell r="D125" t="str">
            <v>旭智资本</v>
          </cell>
        </row>
        <row r="126">
          <cell r="A126" t="str">
            <v>6602.10</v>
          </cell>
          <cell r="B126" t="str">
            <v>　　折旧费</v>
          </cell>
          <cell r="G126">
            <v>299.44</v>
          </cell>
          <cell r="H126">
            <v>299.44</v>
          </cell>
        </row>
        <row r="127">
          <cell r="A127" t="str">
            <v>6602.10.01</v>
          </cell>
          <cell r="B127" t="str">
            <v>　　　　电子设备</v>
          </cell>
          <cell r="G127">
            <v>299.44</v>
          </cell>
          <cell r="H127">
            <v>299.44</v>
          </cell>
        </row>
        <row r="128">
          <cell r="A128" t="str">
            <v>6602.15</v>
          </cell>
          <cell r="B128" t="str">
            <v>　　服务费</v>
          </cell>
          <cell r="G128">
            <v>80000</v>
          </cell>
          <cell r="H128">
            <v>80000</v>
          </cell>
        </row>
        <row r="129">
          <cell r="A129" t="str">
            <v>6602.19</v>
          </cell>
          <cell r="B129" t="str">
            <v>　　会费（公司）</v>
          </cell>
        </row>
        <row r="130">
          <cell r="A130" t="str">
            <v>6602.21</v>
          </cell>
          <cell r="B130" t="str">
            <v>　　公司秘书费</v>
          </cell>
          <cell r="G130">
            <v>1216.43</v>
          </cell>
          <cell r="H130">
            <v>1216.43</v>
          </cell>
        </row>
        <row r="131">
          <cell r="A131" t="str">
            <v>6602.23</v>
          </cell>
          <cell r="B131" t="str">
            <v>　　无形资产摊销</v>
          </cell>
          <cell r="G131">
            <v>150000</v>
          </cell>
          <cell r="H131">
            <v>150000</v>
          </cell>
        </row>
        <row r="132">
          <cell r="A132" t="str">
            <v>6602.24</v>
          </cell>
          <cell r="B132" t="str">
            <v>　　监管费用</v>
          </cell>
        </row>
        <row r="133">
          <cell r="A133" t="str">
            <v>6602.99</v>
          </cell>
          <cell r="B133" t="str">
            <v>　　其他</v>
          </cell>
          <cell r="G133">
            <v>3200</v>
          </cell>
          <cell r="H133">
            <v>3200</v>
          </cell>
        </row>
        <row r="134">
          <cell r="A134" t="str">
            <v>6603</v>
          </cell>
          <cell r="B134" t="str">
            <v>财务费用</v>
          </cell>
          <cell r="G134">
            <v>-669.54</v>
          </cell>
          <cell r="H134">
            <v>-669.54</v>
          </cell>
        </row>
        <row r="135">
          <cell r="A135" t="str">
            <v>6603.01</v>
          </cell>
          <cell r="B135" t="str">
            <v>　　汇兑损益</v>
          </cell>
          <cell r="G135">
            <v>-1458.82</v>
          </cell>
          <cell r="H135">
            <v>-1458.82</v>
          </cell>
        </row>
        <row r="136">
          <cell r="A136" t="str">
            <v>6603.03</v>
          </cell>
          <cell r="B136" t="str">
            <v>　　银行手续费</v>
          </cell>
          <cell r="G136">
            <v>790.56</v>
          </cell>
          <cell r="H136">
            <v>790.56</v>
          </cell>
        </row>
        <row r="137">
          <cell r="A137" t="str">
            <v>6603.04</v>
          </cell>
          <cell r="B137" t="str">
            <v>　　利息收入</v>
          </cell>
          <cell r="G137">
            <v>-1.28</v>
          </cell>
          <cell r="H137">
            <v>-1.28</v>
          </cell>
        </row>
        <row r="138">
          <cell r="B138" t="str">
            <v>合计</v>
          </cell>
          <cell r="E138">
            <v>121077291.02</v>
          </cell>
          <cell r="F138">
            <v>121077291.02</v>
          </cell>
          <cell r="G138">
            <v>2414445.79</v>
          </cell>
          <cell r="H138">
            <v>2414445.79</v>
          </cell>
        </row>
      </sheetData>
      <sheetData sheetId="11">
        <row r="1">
          <cell r="A1" t="str">
            <v>币别:香港元</v>
          </cell>
          <cell r="B1" t="str">
            <v>账簿:旭智资本有限公司</v>
          </cell>
          <cell r="C1" t="str">
            <v>期间:2025.12 -- 2025.12</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51164.07</v>
          </cell>
          <cell r="G4">
            <v>2205626.71</v>
          </cell>
          <cell r="H4">
            <v>1634502.13</v>
          </cell>
        </row>
        <row r="5">
          <cell r="A5" t="str">
            <v>1002.01</v>
          </cell>
          <cell r="B5" t="str">
            <v>　　【旭智资本】银行存款账户</v>
          </cell>
          <cell r="E5">
            <v>51164.07</v>
          </cell>
          <cell r="G5">
            <v>2205626.71</v>
          </cell>
          <cell r="H5">
            <v>1634502.13</v>
          </cell>
        </row>
        <row r="6">
          <cell r="A6" t="str">
            <v>1002.01.01</v>
          </cell>
          <cell r="B6" t="str">
            <v>　　　　汇丰银行-741-282-503-838</v>
          </cell>
          <cell r="E6">
            <v>51164.07</v>
          </cell>
          <cell r="G6">
            <v>2205626.71</v>
          </cell>
          <cell r="H6">
            <v>1634502.13</v>
          </cell>
        </row>
        <row r="7">
          <cell r="A7" t="str">
            <v>1002.01.01.01</v>
          </cell>
          <cell r="B7" t="str">
            <v>　　　　　　【旭智资本】汇丰港元储蓄账户 3838</v>
          </cell>
          <cell r="E7">
            <v>29264.37</v>
          </cell>
          <cell r="G7">
            <v>2080000.07</v>
          </cell>
          <cell r="H7">
            <v>1612602.43</v>
          </cell>
        </row>
        <row r="8">
          <cell r="A8" t="str">
            <v>1002.01.01.02</v>
          </cell>
          <cell r="B8" t="str">
            <v>　　　　　　【旭智资本】汇丰港元往来账户 3838</v>
          </cell>
          <cell r="G8">
            <v>103720.55</v>
          </cell>
        </row>
        <row r="9">
          <cell r="A9" t="str">
            <v>1002.01.01.03</v>
          </cell>
          <cell r="B9" t="str">
            <v>　　　　　　【旭智资本】汇丰外币储蓄账户 - 人民币 3838</v>
          </cell>
          <cell r="E9">
            <v>1071.76</v>
          </cell>
          <cell r="G9">
            <v>1083.25</v>
          </cell>
          <cell r="H9">
            <v>1071.76</v>
          </cell>
        </row>
        <row r="10">
          <cell r="A10" t="str">
            <v>1002.01.01.04</v>
          </cell>
          <cell r="B10" t="str">
            <v>　　　　　　【旭智资本】汇丰外币储蓄账户 - 美元 3838</v>
          </cell>
          <cell r="E10">
            <v>20827.939999999999</v>
          </cell>
          <cell r="G10">
            <v>20822.84</v>
          </cell>
          <cell r="H10">
            <v>20827.939999999999</v>
          </cell>
        </row>
        <row r="11">
          <cell r="A11" t="str">
            <v>1002.01.01.05</v>
          </cell>
          <cell r="B11" t="str">
            <v>　　　　　　【旭智资本】汇丰港元定期存款</v>
          </cell>
        </row>
        <row r="12">
          <cell r="A12" t="str">
            <v>1002.01.01.06</v>
          </cell>
          <cell r="B12" t="str">
            <v>　　　　　　【旭智资本】汇丰人民币定期存款</v>
          </cell>
        </row>
        <row r="13">
          <cell r="A13" t="str">
            <v>1123</v>
          </cell>
          <cell r="B13" t="str">
            <v>预付账款</v>
          </cell>
          <cell r="E13">
            <v>5570894.8600000003</v>
          </cell>
          <cell r="G13">
            <v>1959.32</v>
          </cell>
          <cell r="H13">
            <v>43991.72</v>
          </cell>
        </row>
        <row r="14">
          <cell r="A14" t="str">
            <v>1123.01</v>
          </cell>
          <cell r="B14" t="str">
            <v>　　单位</v>
          </cell>
          <cell r="E14">
            <v>129449.86</v>
          </cell>
          <cell r="G14">
            <v>1959.32</v>
          </cell>
          <cell r="H14">
            <v>43991.72</v>
          </cell>
        </row>
        <row r="15">
          <cell r="A15" t="str">
            <v>1123.01</v>
          </cell>
          <cell r="B15" t="str">
            <v>　　单位</v>
          </cell>
          <cell r="C15" t="str">
            <v>SU003001</v>
          </cell>
          <cell r="D15" t="str">
            <v>Boardroom Corporate Services (HK) Limited</v>
          </cell>
          <cell r="E15">
            <v>1256.99</v>
          </cell>
          <cell r="H15">
            <v>1256.99</v>
          </cell>
        </row>
        <row r="16">
          <cell r="A16" t="str">
            <v>1123.01</v>
          </cell>
          <cell r="B16" t="str">
            <v>　　单位</v>
          </cell>
          <cell r="C16" t="str">
            <v>SU003003</v>
          </cell>
          <cell r="D16" t="str">
            <v>SUN HING INSURANCE BROKERS LTD.</v>
          </cell>
          <cell r="E16">
            <v>99393.24</v>
          </cell>
          <cell r="H16">
            <v>25240.87</v>
          </cell>
        </row>
        <row r="17">
          <cell r="A17" t="str">
            <v>1123.01</v>
          </cell>
          <cell r="B17" t="str">
            <v>　　单位</v>
          </cell>
          <cell r="C17" t="str">
            <v>SU003024</v>
          </cell>
          <cell r="D17" t="str">
            <v>SiteGround Hosting Ltd</v>
          </cell>
        </row>
        <row r="18">
          <cell r="A18" t="str">
            <v>1123.01</v>
          </cell>
          <cell r="B18" t="str">
            <v>　　单位</v>
          </cell>
          <cell r="C18" t="str">
            <v>SU003025</v>
          </cell>
          <cell r="D18" t="str">
            <v>Godaddy.Com,LLC</v>
          </cell>
          <cell r="E18">
            <v>970.97</v>
          </cell>
          <cell r="H18">
            <v>66.64</v>
          </cell>
        </row>
        <row r="19">
          <cell r="A19" t="str">
            <v>1123.01</v>
          </cell>
          <cell r="B19" t="str">
            <v>　　单位</v>
          </cell>
          <cell r="C19" t="str">
            <v>SU004011</v>
          </cell>
          <cell r="D19" t="str">
            <v>Master Concept (Hong Kong) Limited</v>
          </cell>
          <cell r="E19">
            <v>27828.66</v>
          </cell>
          <cell r="G19">
            <v>1959.32</v>
          </cell>
          <cell r="H19">
            <v>17427.22</v>
          </cell>
        </row>
        <row r="20">
          <cell r="A20" t="str">
            <v>1123.01</v>
          </cell>
          <cell r="B20" t="str">
            <v>　　单位</v>
          </cell>
          <cell r="C20" t="str">
            <v>SU011002</v>
          </cell>
          <cell r="D20" t="str">
            <v>TMF (Cayman) Ltd.</v>
          </cell>
        </row>
        <row r="21">
          <cell r="A21" t="str">
            <v>1123.02</v>
          </cell>
          <cell r="B21" t="str">
            <v>　　个人</v>
          </cell>
          <cell r="E21">
            <v>5441445</v>
          </cell>
        </row>
        <row r="22">
          <cell r="A22" t="str">
            <v>1123.02</v>
          </cell>
          <cell r="B22" t="str">
            <v>　　个人</v>
          </cell>
          <cell r="C22" t="str">
            <v>SP005001</v>
          </cell>
          <cell r="D22" t="str">
            <v>冯冠邦</v>
          </cell>
          <cell r="E22">
            <v>5441445</v>
          </cell>
        </row>
        <row r="23">
          <cell r="A23" t="str">
            <v>1132</v>
          </cell>
          <cell r="B23" t="str">
            <v>应收利息</v>
          </cell>
        </row>
        <row r="24">
          <cell r="A24" t="str">
            <v>1132</v>
          </cell>
          <cell r="B24" t="str">
            <v>应收利息</v>
          </cell>
          <cell r="C24" t="str">
            <v>OU004001</v>
          </cell>
          <cell r="D24" t="str">
            <v>香港上海汇丰银行有限公司</v>
          </cell>
        </row>
        <row r="25">
          <cell r="A25" t="str">
            <v>1221</v>
          </cell>
          <cell r="B25" t="str">
            <v>其他应收款</v>
          </cell>
          <cell r="E25">
            <v>4950228.29</v>
          </cell>
          <cell r="G25">
            <v>102822.09</v>
          </cell>
          <cell r="H25">
            <v>824.84</v>
          </cell>
        </row>
        <row r="26">
          <cell r="A26" t="str">
            <v>1221.01</v>
          </cell>
          <cell r="B26" t="str">
            <v>　　单位</v>
          </cell>
          <cell r="E26">
            <v>4950228.29</v>
          </cell>
          <cell r="G26">
            <v>102822.09</v>
          </cell>
          <cell r="H26">
            <v>824.84</v>
          </cell>
        </row>
        <row r="27">
          <cell r="A27" t="str">
            <v>1221.01</v>
          </cell>
          <cell r="B27" t="str">
            <v>　　单位</v>
          </cell>
          <cell r="C27" t="str">
            <v>CU003003</v>
          </cell>
          <cell r="D27" t="str">
            <v>旭智资本（开曼）有限公司</v>
          </cell>
          <cell r="E27">
            <v>1038318.82</v>
          </cell>
          <cell r="G27">
            <v>28793.4</v>
          </cell>
        </row>
        <row r="28">
          <cell r="A28" t="str">
            <v>1221.01</v>
          </cell>
          <cell r="B28" t="str">
            <v>　　单位</v>
          </cell>
          <cell r="C28" t="str">
            <v>CU003004</v>
          </cell>
          <cell r="D28" t="str">
            <v>广州旭智投资控股有限责任公司</v>
          </cell>
          <cell r="E28">
            <v>686166.22</v>
          </cell>
          <cell r="H28">
            <v>787.6</v>
          </cell>
        </row>
        <row r="29">
          <cell r="A29" t="str">
            <v>1221.01</v>
          </cell>
          <cell r="B29" t="str">
            <v>　　单位</v>
          </cell>
          <cell r="C29" t="str">
            <v>CU003005</v>
          </cell>
          <cell r="D29" t="str">
            <v>Albamen Cayman Fund II</v>
          </cell>
          <cell r="E29">
            <v>2952265.49</v>
          </cell>
          <cell r="G29">
            <v>74028.69</v>
          </cell>
        </row>
        <row r="30">
          <cell r="A30" t="str">
            <v>1221.01</v>
          </cell>
          <cell r="B30" t="str">
            <v>　　单位</v>
          </cell>
          <cell r="C30" t="str">
            <v>CU003006</v>
          </cell>
          <cell r="D30" t="str">
            <v>旭智咨询管理(深圳)有限责任公司</v>
          </cell>
          <cell r="E30">
            <v>72487.27</v>
          </cell>
          <cell r="H30">
            <v>37.24</v>
          </cell>
        </row>
        <row r="31">
          <cell r="A31" t="str">
            <v>1221.01</v>
          </cell>
          <cell r="B31" t="str">
            <v>　　单位</v>
          </cell>
          <cell r="C31" t="str">
            <v>CU003007</v>
          </cell>
          <cell r="D31" t="str">
            <v>旭智兴邦有限公司</v>
          </cell>
          <cell r="E31">
            <v>104516.13</v>
          </cell>
        </row>
        <row r="32">
          <cell r="A32" t="str">
            <v>1221.01</v>
          </cell>
          <cell r="B32" t="str">
            <v>　　单位</v>
          </cell>
          <cell r="C32" t="str">
            <v>CU003008</v>
          </cell>
          <cell r="D32" t="str">
            <v>Rising Son Invesments Limited</v>
          </cell>
          <cell r="E32">
            <v>10055</v>
          </cell>
        </row>
        <row r="33">
          <cell r="A33" t="str">
            <v>1221.01</v>
          </cell>
          <cell r="B33" t="str">
            <v>　　单位</v>
          </cell>
          <cell r="C33" t="str">
            <v>CU003009</v>
          </cell>
          <cell r="D33" t="str">
            <v>Sustainable Energy (HK) Investment Holding Ltd</v>
          </cell>
          <cell r="E33">
            <v>10000</v>
          </cell>
        </row>
        <row r="34">
          <cell r="A34" t="str">
            <v>1221.01</v>
          </cell>
          <cell r="B34" t="str">
            <v>　　单位</v>
          </cell>
          <cell r="C34" t="str">
            <v>CU003010</v>
          </cell>
          <cell r="D34" t="str">
            <v>旭智富能新能源（深圳）有限责任公司</v>
          </cell>
          <cell r="E34">
            <v>76419.360000000001</v>
          </cell>
        </row>
        <row r="35">
          <cell r="A35" t="str">
            <v>1221.01</v>
          </cell>
          <cell r="B35" t="str">
            <v>　　单位</v>
          </cell>
          <cell r="C35" t="str">
            <v>CU003011</v>
          </cell>
          <cell r="D35" t="str">
            <v>Manulife Investment Management (Hong Kong )Limited</v>
          </cell>
        </row>
        <row r="36">
          <cell r="A36" t="str">
            <v>1221.01</v>
          </cell>
          <cell r="B36" t="str">
            <v>　　单位</v>
          </cell>
          <cell r="C36" t="str">
            <v>CU003012</v>
          </cell>
          <cell r="D36" t="str">
            <v>旭智新能源共同投资有限公司</v>
          </cell>
        </row>
        <row r="37">
          <cell r="A37" t="str">
            <v>1511</v>
          </cell>
          <cell r="B37" t="str">
            <v>长期股权投资</v>
          </cell>
          <cell r="E37">
            <v>92467303.799999997</v>
          </cell>
        </row>
        <row r="38">
          <cell r="A38" t="str">
            <v>1511.02</v>
          </cell>
          <cell r="B38" t="str">
            <v>　　投资成本</v>
          </cell>
          <cell r="E38">
            <v>92467303.799999997</v>
          </cell>
        </row>
        <row r="39">
          <cell r="A39" t="str">
            <v>1511.02</v>
          </cell>
          <cell r="B39" t="str">
            <v>　　投资成本</v>
          </cell>
          <cell r="C39" t="str">
            <v>004</v>
          </cell>
          <cell r="D39" t="str">
            <v>旭智资本（香港）有限公司</v>
          </cell>
          <cell r="E39">
            <v>89799421</v>
          </cell>
        </row>
        <row r="40">
          <cell r="A40" t="str">
            <v>1511.02</v>
          </cell>
          <cell r="B40" t="str">
            <v>　　投资成本</v>
          </cell>
          <cell r="C40" t="str">
            <v>006</v>
          </cell>
          <cell r="D40" t="str">
            <v>旭智咨询管理（深圳）有限责任公司</v>
          </cell>
          <cell r="E40">
            <v>2657875</v>
          </cell>
        </row>
        <row r="41">
          <cell r="A41" t="str">
            <v>1511.02</v>
          </cell>
          <cell r="B41" t="str">
            <v>　　投资成本</v>
          </cell>
          <cell r="C41" t="str">
            <v>011</v>
          </cell>
          <cell r="D41" t="str">
            <v>旭智资本（开曼）有限公司</v>
          </cell>
          <cell r="E41">
            <v>7.8</v>
          </cell>
        </row>
        <row r="42">
          <cell r="A42" t="str">
            <v>1511.02</v>
          </cell>
          <cell r="B42" t="str">
            <v>　　投资成本</v>
          </cell>
          <cell r="C42" t="str">
            <v>012</v>
          </cell>
          <cell r="D42" t="str">
            <v>旭智兴邦有限公司</v>
          </cell>
          <cell r="E42">
            <v>10000</v>
          </cell>
        </row>
        <row r="43">
          <cell r="A43" t="str">
            <v>1601</v>
          </cell>
          <cell r="B43" t="str">
            <v>固定资产</v>
          </cell>
          <cell r="E43">
            <v>81529</v>
          </cell>
        </row>
        <row r="44">
          <cell r="A44" t="str">
            <v>1601.01</v>
          </cell>
          <cell r="B44" t="str">
            <v>　　电子设备</v>
          </cell>
          <cell r="E44">
            <v>81529</v>
          </cell>
        </row>
        <row r="45">
          <cell r="A45" t="str">
            <v>1602</v>
          </cell>
          <cell r="B45" t="str">
            <v>累计折旧</v>
          </cell>
          <cell r="F45">
            <v>74342.28</v>
          </cell>
          <cell r="H45">
            <v>299.44</v>
          </cell>
        </row>
        <row r="46">
          <cell r="A46" t="str">
            <v>1602.01</v>
          </cell>
          <cell r="B46" t="str">
            <v>　　电子设备</v>
          </cell>
          <cell r="F46">
            <v>74342.28</v>
          </cell>
          <cell r="H46">
            <v>299.44</v>
          </cell>
        </row>
        <row r="47">
          <cell r="A47" t="str">
            <v>1701</v>
          </cell>
          <cell r="B47" t="str">
            <v>无形资产</v>
          </cell>
          <cell r="E47">
            <v>18000000</v>
          </cell>
        </row>
        <row r="48">
          <cell r="A48" t="str">
            <v>1701.02</v>
          </cell>
          <cell r="B48" t="str">
            <v>　　 商业材料许可证</v>
          </cell>
          <cell r="E48">
            <v>18000000</v>
          </cell>
        </row>
        <row r="49">
          <cell r="A49" t="str">
            <v>1702</v>
          </cell>
          <cell r="B49" t="str">
            <v>累计摊销</v>
          </cell>
          <cell r="F49">
            <v>9600000</v>
          </cell>
          <cell r="H49">
            <v>150000</v>
          </cell>
        </row>
        <row r="50">
          <cell r="A50" t="str">
            <v>1702.02</v>
          </cell>
          <cell r="B50" t="str">
            <v>　　  商业材料许可证</v>
          </cell>
          <cell r="F50">
            <v>9600000</v>
          </cell>
          <cell r="H50">
            <v>150000</v>
          </cell>
        </row>
        <row r="51">
          <cell r="A51" t="str">
            <v>2211</v>
          </cell>
          <cell r="B51" t="str">
            <v>应付职工薪酬</v>
          </cell>
          <cell r="F51">
            <v>67340.53</v>
          </cell>
          <cell r="G51">
            <v>9000</v>
          </cell>
          <cell r="H51">
            <v>9000</v>
          </cell>
        </row>
        <row r="52">
          <cell r="A52" t="str">
            <v>2211.02</v>
          </cell>
          <cell r="B52" t="str">
            <v>　　职工奖金</v>
          </cell>
        </row>
        <row r="53">
          <cell r="A53" t="str">
            <v>2211.11</v>
          </cell>
          <cell r="B53" t="str">
            <v>　　应付强制性公积金</v>
          </cell>
          <cell r="F53">
            <v>8400</v>
          </cell>
          <cell r="G53">
            <v>9000</v>
          </cell>
          <cell r="H53">
            <v>9000</v>
          </cell>
        </row>
        <row r="54">
          <cell r="A54" t="str">
            <v>2211.12</v>
          </cell>
          <cell r="B54" t="str">
            <v>　　应付长期服务金</v>
          </cell>
          <cell r="F54">
            <v>58940.53</v>
          </cell>
        </row>
        <row r="55">
          <cell r="A55" t="str">
            <v>2211.13</v>
          </cell>
          <cell r="B55" t="str">
            <v>　　未使用假期负债</v>
          </cell>
        </row>
        <row r="56">
          <cell r="A56" t="str">
            <v>2241</v>
          </cell>
          <cell r="B56" t="str">
            <v>其他应付款</v>
          </cell>
          <cell r="F56">
            <v>11198266.470000001</v>
          </cell>
          <cell r="G56">
            <v>1167864.1000000001</v>
          </cell>
          <cell r="H56">
            <v>273237.28999999998</v>
          </cell>
        </row>
        <row r="57">
          <cell r="A57" t="str">
            <v>2241.01</v>
          </cell>
          <cell r="B57" t="str">
            <v>　　单位</v>
          </cell>
          <cell r="F57">
            <v>10870932.76</v>
          </cell>
          <cell r="G57">
            <v>972435.5</v>
          </cell>
          <cell r="H57">
            <v>273237.28999999998</v>
          </cell>
        </row>
        <row r="58">
          <cell r="A58" t="str">
            <v>2241.01</v>
          </cell>
          <cell r="B58" t="str">
            <v>　　单位</v>
          </cell>
          <cell r="C58" t="str">
            <v>SU003011</v>
          </cell>
          <cell r="D58" t="str">
            <v>Tricor Services Limited</v>
          </cell>
          <cell r="F58">
            <v>34000</v>
          </cell>
          <cell r="G58">
            <v>14700</v>
          </cell>
          <cell r="H58">
            <v>14700</v>
          </cell>
        </row>
        <row r="59">
          <cell r="A59" t="str">
            <v>2241.01</v>
          </cell>
          <cell r="B59" t="str">
            <v>　　单位</v>
          </cell>
          <cell r="C59" t="str">
            <v>SU003027</v>
          </cell>
          <cell r="D59" t="str">
            <v>SWIFT ENERGY ADVISORY LTD</v>
          </cell>
          <cell r="F59">
            <v>80000</v>
          </cell>
          <cell r="G59">
            <v>80000</v>
          </cell>
        </row>
        <row r="60">
          <cell r="A60" t="str">
            <v>2241.01</v>
          </cell>
          <cell r="B60" t="str">
            <v>　　单位</v>
          </cell>
          <cell r="C60" t="str">
            <v>SU003028</v>
          </cell>
          <cell r="D60" t="str">
            <v>Maples Group</v>
          </cell>
          <cell r="H60">
            <v>103720.55</v>
          </cell>
        </row>
        <row r="61">
          <cell r="A61" t="str">
            <v>2241.01</v>
          </cell>
          <cell r="B61" t="str">
            <v>　　单位</v>
          </cell>
          <cell r="C61" t="str">
            <v>SU004019</v>
          </cell>
          <cell r="D61" t="str">
            <v>PricewaterhouseCoopers Limited</v>
          </cell>
          <cell r="F61">
            <v>210833.26</v>
          </cell>
          <cell r="H61">
            <v>19166.740000000002</v>
          </cell>
        </row>
        <row r="62">
          <cell r="A62" t="str">
            <v>2241.01</v>
          </cell>
          <cell r="B62" t="str">
            <v>　　单位</v>
          </cell>
          <cell r="C62" t="str">
            <v>SU005045</v>
          </cell>
          <cell r="D62" t="str">
            <v>旭智资本(香港)有限公司</v>
          </cell>
          <cell r="F62">
            <v>10546099.5</v>
          </cell>
          <cell r="G62">
            <v>877735.5</v>
          </cell>
          <cell r="H62">
            <v>135650</v>
          </cell>
        </row>
        <row r="63">
          <cell r="A63" t="str">
            <v>2241.02</v>
          </cell>
          <cell r="B63" t="str">
            <v>　　个人</v>
          </cell>
          <cell r="F63">
            <v>327333.71000000002</v>
          </cell>
          <cell r="G63">
            <v>195428.6</v>
          </cell>
        </row>
        <row r="64">
          <cell r="A64" t="str">
            <v>2241.02</v>
          </cell>
          <cell r="B64" t="str">
            <v>　　个人</v>
          </cell>
          <cell r="C64" t="str">
            <v>SP003008</v>
          </cell>
          <cell r="D64" t="str">
            <v>卢淑怡</v>
          </cell>
          <cell r="F64">
            <v>195428.6</v>
          </cell>
          <cell r="G64">
            <v>195428.6</v>
          </cell>
        </row>
        <row r="65">
          <cell r="A65" t="str">
            <v>2241.02</v>
          </cell>
          <cell r="B65" t="str">
            <v>　　个人</v>
          </cell>
          <cell r="C65" t="str">
            <v>SP003010</v>
          </cell>
          <cell r="D65" t="str">
            <v>员工报销</v>
          </cell>
          <cell r="F65">
            <v>131905.10999999999</v>
          </cell>
        </row>
        <row r="66">
          <cell r="A66" t="str">
            <v>2304</v>
          </cell>
          <cell r="B66" t="str">
            <v>其他金融工具负债</v>
          </cell>
          <cell r="F66">
            <v>23400000</v>
          </cell>
          <cell r="H66">
            <v>2000690.41</v>
          </cell>
        </row>
        <row r="67">
          <cell r="A67" t="str">
            <v>2304.01</v>
          </cell>
          <cell r="B67" t="str">
            <v>　　B类优先股</v>
          </cell>
          <cell r="F67">
            <v>23400000</v>
          </cell>
          <cell r="H67">
            <v>2000690.41</v>
          </cell>
        </row>
        <row r="68">
          <cell r="A68" t="str">
            <v>2304.01</v>
          </cell>
          <cell r="B68" t="str">
            <v>　　B类优先股</v>
          </cell>
          <cell r="C68" t="str">
            <v>QTWL0001</v>
          </cell>
          <cell r="D68" t="str">
            <v>辉朗投资有限公司</v>
          </cell>
          <cell r="F68">
            <v>1755000</v>
          </cell>
        </row>
        <row r="69">
          <cell r="A69" t="str">
            <v>2304.01</v>
          </cell>
          <cell r="B69" t="str">
            <v>　　B类优先股</v>
          </cell>
          <cell r="C69" t="str">
            <v>QTWL0002</v>
          </cell>
          <cell r="D69" t="str">
            <v>Pure Nice Limited</v>
          </cell>
          <cell r="F69">
            <v>1755000</v>
          </cell>
        </row>
        <row r="70">
          <cell r="A70" t="str">
            <v>2304.01</v>
          </cell>
          <cell r="B70" t="str">
            <v>　　B类优先股</v>
          </cell>
          <cell r="C70" t="str">
            <v>QTWL0003</v>
          </cell>
          <cell r="D70" t="str">
            <v>旭铂投资有限公司</v>
          </cell>
          <cell r="F70">
            <v>19305000</v>
          </cell>
        </row>
        <row r="71">
          <cell r="A71" t="str">
            <v>2304.01</v>
          </cell>
          <cell r="B71" t="str">
            <v>　　B类优先股</v>
          </cell>
          <cell r="C71" t="str">
            <v>QTWL0004</v>
          </cell>
          <cell r="D71" t="str">
            <v>智慧基建投资有限公司</v>
          </cell>
          <cell r="F71">
            <v>585000</v>
          </cell>
        </row>
        <row r="72">
          <cell r="A72" t="str">
            <v>2304.01</v>
          </cell>
          <cell r="B72" t="str">
            <v>　　B类优先股</v>
          </cell>
          <cell r="C72" t="str">
            <v>QTWL0005</v>
          </cell>
          <cell r="D72" t="str">
            <v>Valuetop Investment Limited</v>
          </cell>
          <cell r="H72">
            <v>2000690.41</v>
          </cell>
        </row>
        <row r="73">
          <cell r="A73" t="str">
            <v>4001</v>
          </cell>
          <cell r="B73" t="str">
            <v>实收资本（股本）</v>
          </cell>
          <cell r="F73">
            <v>156720000</v>
          </cell>
        </row>
        <row r="74">
          <cell r="A74" t="str">
            <v>4001.50</v>
          </cell>
          <cell r="B74" t="str">
            <v>　　普通股</v>
          </cell>
          <cell r="F74">
            <v>156720000</v>
          </cell>
        </row>
        <row r="75">
          <cell r="A75" t="str">
            <v>4001.50.01</v>
          </cell>
          <cell r="B75" t="str">
            <v>　　　　威力能源投资有限公司</v>
          </cell>
          <cell r="F75">
            <v>35262000</v>
          </cell>
        </row>
        <row r="76">
          <cell r="A76" t="str">
            <v>4001.50.02</v>
          </cell>
          <cell r="B76" t="str">
            <v>　　　　旭铂投资有限公司</v>
          </cell>
          <cell r="F76">
            <v>94032000</v>
          </cell>
        </row>
        <row r="77">
          <cell r="A77" t="str">
            <v>4001.50.03</v>
          </cell>
          <cell r="B77" t="str">
            <v>　　　　辉朗投资有限公司</v>
          </cell>
          <cell r="F77">
            <v>11754000</v>
          </cell>
        </row>
        <row r="78">
          <cell r="A78" t="str">
            <v>4001.50.04</v>
          </cell>
          <cell r="B78" t="str">
            <v>　　　　智慧基建投资有限公司</v>
          </cell>
          <cell r="F78">
            <v>3918000</v>
          </cell>
        </row>
        <row r="79">
          <cell r="A79" t="str">
            <v>4001.50.05</v>
          </cell>
          <cell r="B79" t="str">
            <v>　　　　Pure Nice Limited</v>
          </cell>
          <cell r="F79">
            <v>11754000</v>
          </cell>
        </row>
        <row r="80">
          <cell r="A80" t="str">
            <v>4001.51</v>
          </cell>
          <cell r="B80" t="str">
            <v>　　优先股</v>
          </cell>
        </row>
        <row r="81">
          <cell r="A81" t="str">
            <v>4001.51.01</v>
          </cell>
          <cell r="B81" t="str">
            <v>　　　　旭铂投资有限公司</v>
          </cell>
        </row>
        <row r="82">
          <cell r="A82" t="str">
            <v>4103</v>
          </cell>
          <cell r="B82" t="str">
            <v>本年利润</v>
          </cell>
          <cell r="F82">
            <v>-7308136.0199999996</v>
          </cell>
          <cell r="G82">
            <v>-7230400.5199999996</v>
          </cell>
          <cell r="H82">
            <v>77735.5</v>
          </cell>
        </row>
        <row r="83">
          <cell r="A83" t="str">
            <v>4104</v>
          </cell>
          <cell r="B83" t="str">
            <v>利润分配</v>
          </cell>
          <cell r="F83">
            <v>-72630693.239999995</v>
          </cell>
          <cell r="H83">
            <v>-7933409.6299999999</v>
          </cell>
        </row>
        <row r="84">
          <cell r="A84" t="str">
            <v>4104.07</v>
          </cell>
          <cell r="B84" t="str">
            <v>　　未分配利润</v>
          </cell>
          <cell r="F84">
            <v>-72630693.239999995</v>
          </cell>
          <cell r="H84">
            <v>-7933409.6299999999</v>
          </cell>
        </row>
        <row r="85">
          <cell r="A85" t="str">
            <v>6115</v>
          </cell>
          <cell r="B85" t="str">
            <v>其他收益</v>
          </cell>
          <cell r="G85">
            <v>77735.5</v>
          </cell>
          <cell r="H85">
            <v>77735.5</v>
          </cell>
        </row>
        <row r="86">
          <cell r="A86" t="str">
            <v>6115.03</v>
          </cell>
          <cell r="B86" t="str">
            <v>　　公司间往来</v>
          </cell>
          <cell r="G86">
            <v>77735.5</v>
          </cell>
          <cell r="H86">
            <v>77735.5</v>
          </cell>
        </row>
        <row r="87">
          <cell r="A87" t="str">
            <v>6602</v>
          </cell>
          <cell r="B87" t="str">
            <v>管理费用</v>
          </cell>
          <cell r="G87">
            <v>700584.16</v>
          </cell>
          <cell r="H87">
            <v>700584.16</v>
          </cell>
        </row>
        <row r="88">
          <cell r="A88" t="str">
            <v>6602.01</v>
          </cell>
          <cell r="B88" t="str">
            <v>　　工资薪金</v>
          </cell>
          <cell r="G88">
            <v>324500</v>
          </cell>
          <cell r="H88">
            <v>324500</v>
          </cell>
        </row>
        <row r="89">
          <cell r="A89" t="str">
            <v>6602.01.01</v>
          </cell>
          <cell r="B89" t="str">
            <v>　　　　基本工资（专业）</v>
          </cell>
          <cell r="G89">
            <v>40000</v>
          </cell>
          <cell r="H89">
            <v>40000</v>
          </cell>
        </row>
        <row r="90">
          <cell r="A90" t="str">
            <v>6602.01.05</v>
          </cell>
          <cell r="B90" t="str">
            <v>　　　　员工假期</v>
          </cell>
        </row>
        <row r="91">
          <cell r="A91" t="str">
            <v>6602.01.08</v>
          </cell>
          <cell r="B91" t="str">
            <v>　　　　基本工资（管理）</v>
          </cell>
          <cell r="G91">
            <v>284500</v>
          </cell>
          <cell r="H91">
            <v>284500</v>
          </cell>
        </row>
        <row r="92">
          <cell r="A92" t="str">
            <v>6602.01.10</v>
          </cell>
          <cell r="B92" t="str">
            <v>　　　　长期服务金</v>
          </cell>
        </row>
        <row r="93">
          <cell r="A93" t="str">
            <v>6602.02</v>
          </cell>
          <cell r="B93" t="str">
            <v>　　职工福利</v>
          </cell>
          <cell r="G93">
            <v>1607.1</v>
          </cell>
          <cell r="H93">
            <v>1607.1</v>
          </cell>
        </row>
        <row r="94">
          <cell r="A94" t="str">
            <v>6602.02.02</v>
          </cell>
          <cell r="B94" t="str">
            <v>　　　　团建活动</v>
          </cell>
          <cell r="G94">
            <v>1607.1</v>
          </cell>
          <cell r="H94">
            <v>1607.1</v>
          </cell>
        </row>
        <row r="95">
          <cell r="A95" t="str">
            <v>6602.03</v>
          </cell>
          <cell r="B95" t="str">
            <v>　　社保公积金</v>
          </cell>
          <cell r="G95">
            <v>29331.09</v>
          </cell>
          <cell r="H95">
            <v>29331.09</v>
          </cell>
        </row>
        <row r="96">
          <cell r="A96" t="str">
            <v>6602.03.01</v>
          </cell>
          <cell r="B96" t="str">
            <v>　　　　员工社保福利</v>
          </cell>
          <cell r="G96">
            <v>24831.09</v>
          </cell>
          <cell r="H96">
            <v>24831.09</v>
          </cell>
        </row>
        <row r="97">
          <cell r="A97" t="str">
            <v>6602.03.03</v>
          </cell>
          <cell r="B97" t="str">
            <v>　　　　员工强制性公积金福利</v>
          </cell>
          <cell r="G97">
            <v>4500</v>
          </cell>
          <cell r="H97">
            <v>4500</v>
          </cell>
        </row>
        <row r="98">
          <cell r="A98" t="str">
            <v>6602.04</v>
          </cell>
          <cell r="B98" t="str">
            <v>　　咨询及专业服务费</v>
          </cell>
          <cell r="G98">
            <v>33666.74</v>
          </cell>
          <cell r="H98">
            <v>33666.74</v>
          </cell>
        </row>
        <row r="99">
          <cell r="A99" t="str">
            <v>6602.04.01</v>
          </cell>
          <cell r="B99" t="str">
            <v>　　　　会计服务费</v>
          </cell>
          <cell r="G99">
            <v>12000</v>
          </cell>
          <cell r="H99">
            <v>12000</v>
          </cell>
        </row>
        <row r="100">
          <cell r="A100" t="str">
            <v>6602.04.02</v>
          </cell>
          <cell r="B100" t="str">
            <v>　　　　审计服务费</v>
          </cell>
          <cell r="G100">
            <v>19166.740000000002</v>
          </cell>
          <cell r="H100">
            <v>19166.740000000002</v>
          </cell>
        </row>
        <row r="101">
          <cell r="A101" t="str">
            <v>6602.04.06</v>
          </cell>
          <cell r="B101" t="str">
            <v>　　　　法律服务费</v>
          </cell>
        </row>
        <row r="102">
          <cell r="A102" t="str">
            <v>6602.04.06</v>
          </cell>
          <cell r="B102" t="str">
            <v>　　　　法律服务费</v>
          </cell>
          <cell r="C102" t="str">
            <v>CI009</v>
          </cell>
          <cell r="D102" t="str">
            <v>旭智资本</v>
          </cell>
        </row>
        <row r="103">
          <cell r="A103" t="str">
            <v>6602.04.07</v>
          </cell>
          <cell r="B103" t="str">
            <v>　　　　人力资源服务费</v>
          </cell>
          <cell r="G103">
            <v>2500</v>
          </cell>
          <cell r="H103">
            <v>2500</v>
          </cell>
        </row>
        <row r="104">
          <cell r="A104" t="str">
            <v>6602.05</v>
          </cell>
          <cell r="B104" t="str">
            <v>　　占用费</v>
          </cell>
          <cell r="G104">
            <v>55650</v>
          </cell>
          <cell r="H104">
            <v>55650</v>
          </cell>
        </row>
        <row r="105">
          <cell r="A105" t="str">
            <v>6602.05.08</v>
          </cell>
          <cell r="B105" t="str">
            <v>　　　　集团内分摊</v>
          </cell>
          <cell r="G105">
            <v>55650</v>
          </cell>
          <cell r="H105">
            <v>55650</v>
          </cell>
        </row>
        <row r="106">
          <cell r="A106" t="str">
            <v>6602.06</v>
          </cell>
          <cell r="B106" t="str">
            <v>　　业务招待费</v>
          </cell>
        </row>
        <row r="107">
          <cell r="A107" t="str">
            <v>6602.06</v>
          </cell>
          <cell r="B107" t="str">
            <v>　　业务招待费</v>
          </cell>
          <cell r="C107" t="str">
            <v>CI009</v>
          </cell>
          <cell r="D107" t="str">
            <v>旭智资本</v>
          </cell>
        </row>
        <row r="108">
          <cell r="A108" t="str">
            <v>6602.08</v>
          </cell>
          <cell r="B108" t="str">
            <v>　　事务费用</v>
          </cell>
          <cell r="G108">
            <v>20756.8</v>
          </cell>
          <cell r="H108">
            <v>20756.8</v>
          </cell>
        </row>
        <row r="109">
          <cell r="A109" t="str">
            <v>6602.08.01</v>
          </cell>
          <cell r="B109" t="str">
            <v>　　　　通信费</v>
          </cell>
          <cell r="G109">
            <v>1140</v>
          </cell>
          <cell r="H109">
            <v>1140</v>
          </cell>
        </row>
        <row r="110">
          <cell r="A110" t="str">
            <v>6602.08.01</v>
          </cell>
          <cell r="B110" t="str">
            <v>　　　　通信费</v>
          </cell>
          <cell r="C110" t="str">
            <v>CI009</v>
          </cell>
          <cell r="D110" t="str">
            <v>旭智资本</v>
          </cell>
          <cell r="G110">
            <v>1140</v>
          </cell>
          <cell r="H110">
            <v>1140</v>
          </cell>
        </row>
        <row r="111">
          <cell r="A111" t="str">
            <v>6602.08.03</v>
          </cell>
          <cell r="B111" t="str">
            <v>　　　　办公用品</v>
          </cell>
          <cell r="G111">
            <v>833.9</v>
          </cell>
          <cell r="H111">
            <v>833.9</v>
          </cell>
        </row>
        <row r="112">
          <cell r="A112" t="str">
            <v>6602.08.03</v>
          </cell>
          <cell r="B112" t="str">
            <v>　　　　办公用品</v>
          </cell>
          <cell r="C112" t="str">
            <v>CI009</v>
          </cell>
          <cell r="D112" t="str">
            <v>旭智资本</v>
          </cell>
          <cell r="G112">
            <v>833.9</v>
          </cell>
          <cell r="H112">
            <v>833.9</v>
          </cell>
        </row>
        <row r="113">
          <cell r="A113" t="str">
            <v>6602.08.04</v>
          </cell>
          <cell r="B113" t="str">
            <v>　　　　事务保金</v>
          </cell>
          <cell r="G113">
            <v>409.78</v>
          </cell>
          <cell r="H113">
            <v>409.78</v>
          </cell>
        </row>
        <row r="114">
          <cell r="A114" t="str">
            <v>6602.08.04</v>
          </cell>
          <cell r="B114" t="str">
            <v>　　　　事务保金</v>
          </cell>
          <cell r="C114" t="str">
            <v>CI009</v>
          </cell>
          <cell r="D114" t="str">
            <v>旭智资本</v>
          </cell>
          <cell r="G114">
            <v>409.78</v>
          </cell>
          <cell r="H114">
            <v>409.78</v>
          </cell>
        </row>
        <row r="115">
          <cell r="A115" t="str">
            <v>6602.08.05</v>
          </cell>
          <cell r="B115" t="str">
            <v>　　　　邮费/邮递费</v>
          </cell>
          <cell r="G115">
            <v>367</v>
          </cell>
          <cell r="H115">
            <v>367</v>
          </cell>
        </row>
        <row r="116">
          <cell r="A116" t="str">
            <v>6602.08.05</v>
          </cell>
          <cell r="B116" t="str">
            <v>　　　　邮费/邮递费</v>
          </cell>
          <cell r="C116" t="str">
            <v>CI009</v>
          </cell>
          <cell r="D116" t="str">
            <v>旭智资本</v>
          </cell>
          <cell r="G116">
            <v>367</v>
          </cell>
          <cell r="H116">
            <v>367</v>
          </cell>
        </row>
        <row r="117">
          <cell r="A117" t="str">
            <v>6602.08.06</v>
          </cell>
          <cell r="B117" t="str">
            <v>　　　　IT专业人士及微软服务</v>
          </cell>
          <cell r="G117">
            <v>7670.99</v>
          </cell>
          <cell r="H117">
            <v>7670.99</v>
          </cell>
        </row>
        <row r="118">
          <cell r="A118" t="str">
            <v>6602.08.06</v>
          </cell>
          <cell r="B118" t="str">
            <v>　　　　IT专业人士及微软服务</v>
          </cell>
          <cell r="C118" t="str">
            <v>CI009</v>
          </cell>
          <cell r="D118" t="str">
            <v>旭智资本</v>
          </cell>
          <cell r="G118">
            <v>7670.99</v>
          </cell>
          <cell r="H118">
            <v>7670.99</v>
          </cell>
        </row>
        <row r="119">
          <cell r="A119" t="str">
            <v>6602.08.07</v>
          </cell>
          <cell r="B119" t="str">
            <v>　　　　软件许可证费用</v>
          </cell>
          <cell r="G119">
            <v>9987.1299999999992</v>
          </cell>
          <cell r="H119">
            <v>9987.1299999999992</v>
          </cell>
        </row>
        <row r="120">
          <cell r="A120" t="str">
            <v>6602.08.07</v>
          </cell>
          <cell r="B120" t="str">
            <v>　　　　软件许可证费用</v>
          </cell>
          <cell r="C120" t="str">
            <v>CI009</v>
          </cell>
          <cell r="D120" t="str">
            <v>旭智资本</v>
          </cell>
          <cell r="G120">
            <v>9987.1299999999992</v>
          </cell>
          <cell r="H120">
            <v>9987.1299999999992</v>
          </cell>
        </row>
        <row r="121">
          <cell r="A121" t="str">
            <v>6602.08.10</v>
          </cell>
          <cell r="B121" t="str">
            <v>　　　　电话国际直拨/电话会议收费</v>
          </cell>
          <cell r="G121">
            <v>348</v>
          </cell>
          <cell r="H121">
            <v>348</v>
          </cell>
        </row>
        <row r="122">
          <cell r="A122" t="str">
            <v>6602.08.10</v>
          </cell>
          <cell r="B122" t="str">
            <v>　　　　电话国际直拨/电话会议收费</v>
          </cell>
          <cell r="C122" t="str">
            <v>CI009</v>
          </cell>
          <cell r="D122" t="str">
            <v>旭智资本</v>
          </cell>
          <cell r="G122">
            <v>348</v>
          </cell>
          <cell r="H122">
            <v>348</v>
          </cell>
        </row>
        <row r="123">
          <cell r="A123" t="str">
            <v>6602.09</v>
          </cell>
          <cell r="B123" t="str">
            <v>　　差旅费</v>
          </cell>
          <cell r="G123">
            <v>166</v>
          </cell>
          <cell r="H123">
            <v>166</v>
          </cell>
        </row>
        <row r="124">
          <cell r="A124" t="str">
            <v>6602.09.04</v>
          </cell>
          <cell r="B124" t="str">
            <v>　　　　空中交通费</v>
          </cell>
        </row>
        <row r="125">
          <cell r="A125" t="str">
            <v>6602.09.04</v>
          </cell>
          <cell r="B125" t="str">
            <v>　　　　空中交通费</v>
          </cell>
          <cell r="C125" t="str">
            <v>CI009</v>
          </cell>
          <cell r="D125" t="str">
            <v>旭智资本</v>
          </cell>
        </row>
        <row r="126">
          <cell r="A126" t="str">
            <v>6602.09.99</v>
          </cell>
          <cell r="B126" t="str">
            <v>　　　　其他</v>
          </cell>
          <cell r="G126">
            <v>166</v>
          </cell>
          <cell r="H126">
            <v>166</v>
          </cell>
        </row>
        <row r="127">
          <cell r="A127" t="str">
            <v>6602.09.99</v>
          </cell>
          <cell r="B127" t="str">
            <v>　　　　其他</v>
          </cell>
          <cell r="C127" t="str">
            <v>CI009</v>
          </cell>
          <cell r="D127" t="str">
            <v>旭智资本</v>
          </cell>
          <cell r="G127">
            <v>166</v>
          </cell>
          <cell r="H127">
            <v>166</v>
          </cell>
        </row>
        <row r="128">
          <cell r="A128" t="str">
            <v>6602.10</v>
          </cell>
          <cell r="B128" t="str">
            <v>　　折旧费</v>
          </cell>
          <cell r="G128">
            <v>299.44</v>
          </cell>
          <cell r="H128">
            <v>299.44</v>
          </cell>
        </row>
        <row r="129">
          <cell r="A129" t="str">
            <v>6602.10.01</v>
          </cell>
          <cell r="B129" t="str">
            <v>　　　　电子设备</v>
          </cell>
          <cell r="G129">
            <v>299.44</v>
          </cell>
          <cell r="H129">
            <v>299.44</v>
          </cell>
        </row>
        <row r="130">
          <cell r="A130" t="str">
            <v>6602.15</v>
          </cell>
          <cell r="B130" t="str">
            <v>　　服务费</v>
          </cell>
          <cell r="G130">
            <v>80000</v>
          </cell>
          <cell r="H130">
            <v>80000</v>
          </cell>
        </row>
        <row r="131">
          <cell r="A131" t="str">
            <v>6602.19</v>
          </cell>
          <cell r="B131" t="str">
            <v>　　会费（公司）</v>
          </cell>
        </row>
        <row r="132">
          <cell r="A132" t="str">
            <v>6602.21</v>
          </cell>
          <cell r="B132" t="str">
            <v>　　公司秘书费</v>
          </cell>
          <cell r="G132">
            <v>1256.99</v>
          </cell>
          <cell r="H132">
            <v>1256.99</v>
          </cell>
        </row>
        <row r="133">
          <cell r="A133" t="str">
            <v>6602.23</v>
          </cell>
          <cell r="B133" t="str">
            <v>　　无形资产摊销</v>
          </cell>
          <cell r="G133">
            <v>150000</v>
          </cell>
          <cell r="H133">
            <v>150000</v>
          </cell>
        </row>
        <row r="134">
          <cell r="A134" t="str">
            <v>6602.24</v>
          </cell>
          <cell r="B134" t="str">
            <v>　　监管费用</v>
          </cell>
          <cell r="G134">
            <v>150</v>
          </cell>
          <cell r="H134">
            <v>150</v>
          </cell>
        </row>
        <row r="135">
          <cell r="A135" t="str">
            <v>6602.99</v>
          </cell>
          <cell r="B135" t="str">
            <v>　　其他</v>
          </cell>
          <cell r="G135">
            <v>3200</v>
          </cell>
          <cell r="H135">
            <v>3200</v>
          </cell>
        </row>
        <row r="136">
          <cell r="A136" t="str">
            <v>6603</v>
          </cell>
          <cell r="B136" t="str">
            <v>财务费用</v>
          </cell>
          <cell r="G136">
            <v>2424.9499999999998</v>
          </cell>
          <cell r="H136">
            <v>2424.9499999999998</v>
          </cell>
        </row>
        <row r="137">
          <cell r="A137" t="str">
            <v>6603.01</v>
          </cell>
          <cell r="B137" t="str">
            <v>　　汇兑损益</v>
          </cell>
          <cell r="G137">
            <v>1722.51</v>
          </cell>
          <cell r="H137">
            <v>1722.51</v>
          </cell>
        </row>
        <row r="138">
          <cell r="A138" t="str">
            <v>6603.03</v>
          </cell>
          <cell r="B138" t="str">
            <v>　　银行手续费</v>
          </cell>
          <cell r="G138">
            <v>17.7</v>
          </cell>
          <cell r="H138">
            <v>17.7</v>
          </cell>
        </row>
        <row r="139">
          <cell r="A139" t="str">
            <v>6603.04</v>
          </cell>
          <cell r="B139" t="str">
            <v>　　利息收入</v>
          </cell>
          <cell r="G139">
            <v>-5.67</v>
          </cell>
          <cell r="H139">
            <v>-5.67</v>
          </cell>
        </row>
        <row r="140">
          <cell r="A140" t="str">
            <v>6603.05</v>
          </cell>
          <cell r="B140" t="str">
            <v>　　利息支出</v>
          </cell>
          <cell r="G140">
            <v>690.41</v>
          </cell>
          <cell r="H140">
            <v>690.41</v>
          </cell>
        </row>
        <row r="141">
          <cell r="A141" t="str">
            <v>6603.05.04</v>
          </cell>
          <cell r="B141" t="str">
            <v>　　　　VALUETOP INVESTMENT LIMITED</v>
          </cell>
          <cell r="G141">
            <v>690.41</v>
          </cell>
          <cell r="H141">
            <v>690.41</v>
          </cell>
        </row>
        <row r="142">
          <cell r="B142" t="str">
            <v>合计</v>
          </cell>
          <cell r="E142">
            <v>121121120.02</v>
          </cell>
          <cell r="F142">
            <v>121121120.02</v>
          </cell>
          <cell r="G142">
            <v>-2962383.69</v>
          </cell>
          <cell r="H142">
            <v>-2962383.69</v>
          </cell>
        </row>
      </sheetData>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月"/>
      <sheetName val="2月"/>
      <sheetName val="3月"/>
      <sheetName val="4月"/>
      <sheetName val="5月"/>
      <sheetName val="6月"/>
      <sheetName val="7月"/>
      <sheetName val="8月"/>
      <sheetName val="9月"/>
      <sheetName val="10月"/>
      <sheetName val="11月"/>
      <sheetName val="12月"/>
    </sheetNames>
    <sheetDataSet>
      <sheetData sheetId="0">
        <row r="1">
          <cell r="A1" t="str">
            <v>币别:香港元</v>
          </cell>
          <cell r="B1" t="str">
            <v>账簿:旭智资本（香港）有限公司</v>
          </cell>
          <cell r="C1" t="str">
            <v>期间:2025.1 -- 2025.1</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14011478.029999999</v>
          </cell>
          <cell r="G4">
            <v>13580609.550000001</v>
          </cell>
          <cell r="H4">
            <v>13888895.59</v>
          </cell>
        </row>
        <row r="5">
          <cell r="A5" t="str">
            <v>1002.02</v>
          </cell>
          <cell r="B5" t="str">
            <v>　　【旭智资本（香港）】银行存款账户</v>
          </cell>
          <cell r="E5">
            <v>14011478.029999999</v>
          </cell>
          <cell r="G5">
            <v>13580609.550000001</v>
          </cell>
          <cell r="H5">
            <v>13888895.59</v>
          </cell>
        </row>
        <row r="6">
          <cell r="A6" t="str">
            <v>1002.02.01</v>
          </cell>
          <cell r="B6" t="str">
            <v>　　　　汇丰银行-741-269492-838</v>
          </cell>
          <cell r="E6">
            <v>14011478.029999999</v>
          </cell>
          <cell r="G6">
            <v>13580609.550000001</v>
          </cell>
          <cell r="H6">
            <v>13888895.59</v>
          </cell>
        </row>
        <row r="7">
          <cell r="A7" t="str">
            <v>1002.02.01.01</v>
          </cell>
          <cell r="B7" t="str">
            <v>　　　　　　【旭智资本（香港）】汇丰港元储蓄账户 2838</v>
          </cell>
          <cell r="E7">
            <v>697319.76</v>
          </cell>
          <cell r="G7">
            <v>38.89</v>
          </cell>
          <cell r="H7">
            <v>441698.19</v>
          </cell>
        </row>
        <row r="8">
          <cell r="A8" t="str">
            <v>1002.02.01.03</v>
          </cell>
          <cell r="B8" t="str">
            <v>　　　　　　【旭智资本（香港）】汇丰外币储蓄 - 人民币 2838</v>
          </cell>
          <cell r="E8">
            <v>13314158.27</v>
          </cell>
          <cell r="G8">
            <v>133373.26</v>
          </cell>
          <cell r="H8">
            <v>13447197.4</v>
          </cell>
        </row>
        <row r="9">
          <cell r="A9" t="str">
            <v>1002.02.01.07</v>
          </cell>
          <cell r="B9" t="str">
            <v>　　　　　　【旭智资本（香港）】汇丰人民币定期存款</v>
          </cell>
          <cell r="G9">
            <v>13447197.4</v>
          </cell>
        </row>
        <row r="10">
          <cell r="A10" t="str">
            <v>1123</v>
          </cell>
          <cell r="B10" t="str">
            <v>预付账款</v>
          </cell>
          <cell r="E10">
            <v>523796.73</v>
          </cell>
          <cell r="G10">
            <v>123803.81</v>
          </cell>
          <cell r="H10">
            <v>22881.86</v>
          </cell>
        </row>
        <row r="11">
          <cell r="A11" t="str">
            <v>1123.01</v>
          </cell>
          <cell r="B11" t="str">
            <v>　　单位</v>
          </cell>
          <cell r="E11">
            <v>523796.73</v>
          </cell>
          <cell r="G11">
            <v>123803.81</v>
          </cell>
          <cell r="H11">
            <v>22881.86</v>
          </cell>
        </row>
        <row r="12">
          <cell r="A12" t="str">
            <v>1123.01</v>
          </cell>
          <cell r="B12" t="str">
            <v>　　单位</v>
          </cell>
          <cell r="C12" t="str">
            <v>SU003001</v>
          </cell>
          <cell r="D12" t="str">
            <v>Boardroom Corporate Services (HK) Limited</v>
          </cell>
          <cell r="G12">
            <v>13085.48</v>
          </cell>
        </row>
        <row r="13">
          <cell r="A13" t="str">
            <v>1123.01</v>
          </cell>
          <cell r="B13" t="str">
            <v>　　单位</v>
          </cell>
          <cell r="C13" t="str">
            <v>SU003003</v>
          </cell>
          <cell r="D13" t="str">
            <v>SUN HING INSURANCE BROKERS LTD.</v>
          </cell>
          <cell r="E13">
            <v>59252.61</v>
          </cell>
          <cell r="H13">
            <v>20867.62</v>
          </cell>
        </row>
        <row r="14">
          <cell r="A14" t="str">
            <v>1123.01</v>
          </cell>
          <cell r="B14" t="str">
            <v>　　单位</v>
          </cell>
          <cell r="C14" t="str">
            <v>SU003022</v>
          </cell>
          <cell r="D14" t="str">
            <v>Supreme Honour Development Limited</v>
          </cell>
          <cell r="E14">
            <v>429663</v>
          </cell>
          <cell r="G14">
            <v>110718.33</v>
          </cell>
        </row>
        <row r="15">
          <cell r="A15" t="str">
            <v>1123.01</v>
          </cell>
          <cell r="B15" t="str">
            <v>　　单位</v>
          </cell>
          <cell r="C15" t="str">
            <v>SU004004</v>
          </cell>
          <cell r="D15" t="str">
            <v>Fuji Xerox （Hong Kong) Limited</v>
          </cell>
          <cell r="E15">
            <v>4590</v>
          </cell>
        </row>
        <row r="16">
          <cell r="A16" t="str">
            <v>1123.01</v>
          </cell>
          <cell r="B16" t="str">
            <v>　　单位</v>
          </cell>
          <cell r="C16" t="str">
            <v>SU004006</v>
          </cell>
          <cell r="D16" t="str">
            <v>The HongKong Electric Co.,Ltd.</v>
          </cell>
          <cell r="E16">
            <v>17000</v>
          </cell>
        </row>
        <row r="17">
          <cell r="A17" t="str">
            <v>1123.01</v>
          </cell>
          <cell r="B17" t="str">
            <v>　　单位</v>
          </cell>
          <cell r="C17" t="str">
            <v>SU004010</v>
          </cell>
          <cell r="D17" t="str">
            <v>Noble Spirit Limited T/A Life Solutions</v>
          </cell>
          <cell r="E17">
            <v>8392.7900000000009</v>
          </cell>
          <cell r="H17">
            <v>371.15</v>
          </cell>
        </row>
        <row r="18">
          <cell r="A18" t="str">
            <v>1123.01</v>
          </cell>
          <cell r="B18" t="str">
            <v>　　单位</v>
          </cell>
          <cell r="C18" t="str">
            <v>SU004011</v>
          </cell>
          <cell r="D18" t="str">
            <v>Master Concept (Hong Kong) Limited</v>
          </cell>
          <cell r="E18">
            <v>1714.33</v>
          </cell>
          <cell r="H18">
            <v>1281.54</v>
          </cell>
        </row>
        <row r="19">
          <cell r="A19" t="str">
            <v>1123.01</v>
          </cell>
          <cell r="B19" t="str">
            <v>　　单位</v>
          </cell>
          <cell r="C19" t="str">
            <v>SU004013</v>
          </cell>
          <cell r="D19" t="str">
            <v>B&amp;T Engineering Limited</v>
          </cell>
          <cell r="E19">
            <v>3184</v>
          </cell>
          <cell r="H19">
            <v>361.55</v>
          </cell>
        </row>
        <row r="20">
          <cell r="A20" t="str">
            <v>1132</v>
          </cell>
          <cell r="B20" t="str">
            <v>应收利息</v>
          </cell>
          <cell r="G20">
            <v>896.48</v>
          </cell>
        </row>
        <row r="21">
          <cell r="A21" t="str">
            <v>1132</v>
          </cell>
          <cell r="B21" t="str">
            <v>应收利息</v>
          </cell>
          <cell r="C21" t="str">
            <v>OU004001</v>
          </cell>
          <cell r="D21" t="str">
            <v>香港上海汇丰银行有限公司</v>
          </cell>
          <cell r="G21">
            <v>896.48</v>
          </cell>
        </row>
        <row r="22">
          <cell r="A22" t="str">
            <v>1221</v>
          </cell>
          <cell r="B22" t="str">
            <v>其他应收款</v>
          </cell>
          <cell r="E22">
            <v>55665767.539999999</v>
          </cell>
          <cell r="G22">
            <v>241686.27</v>
          </cell>
          <cell r="H22">
            <v>131235.5</v>
          </cell>
        </row>
        <row r="23">
          <cell r="A23" t="str">
            <v>1221.01</v>
          </cell>
          <cell r="B23" t="str">
            <v>　　单位</v>
          </cell>
          <cell r="E23">
            <v>55665767.539999999</v>
          </cell>
          <cell r="G23">
            <v>241686.27</v>
          </cell>
          <cell r="H23">
            <v>131235.5</v>
          </cell>
        </row>
        <row r="24">
          <cell r="A24" t="str">
            <v>1221.01</v>
          </cell>
          <cell r="B24" t="str">
            <v>　　单位</v>
          </cell>
          <cell r="C24" t="str">
            <v>CU003004</v>
          </cell>
          <cell r="D24" t="str">
            <v>广州旭智投资控股有限责任公司</v>
          </cell>
          <cell r="E24">
            <v>52946934.979999997</v>
          </cell>
          <cell r="G24">
            <v>177070.1</v>
          </cell>
        </row>
        <row r="25">
          <cell r="A25" t="str">
            <v>1221.01</v>
          </cell>
          <cell r="B25" t="str">
            <v>　　单位</v>
          </cell>
          <cell r="C25" t="str">
            <v>CU003010</v>
          </cell>
          <cell r="D25" t="str">
            <v>旭智富能新能源（深圳）有限责任公司</v>
          </cell>
          <cell r="E25">
            <v>364827.56</v>
          </cell>
          <cell r="G25">
            <v>3566.17</v>
          </cell>
        </row>
        <row r="26">
          <cell r="A26" t="str">
            <v>1221.01</v>
          </cell>
          <cell r="B26" t="str">
            <v>　　单位</v>
          </cell>
          <cell r="C26" t="str">
            <v>CU005009</v>
          </cell>
          <cell r="D26" t="str">
            <v>旭智资本有限公司</v>
          </cell>
          <cell r="E26">
            <v>2354005</v>
          </cell>
          <cell r="G26">
            <v>61050</v>
          </cell>
          <cell r="H26">
            <v>131235.5</v>
          </cell>
        </row>
        <row r="27">
          <cell r="A27" t="str">
            <v>1511</v>
          </cell>
          <cell r="B27" t="str">
            <v>长期股权投资</v>
          </cell>
          <cell r="E27">
            <v>5358013.7300000004</v>
          </cell>
        </row>
        <row r="28">
          <cell r="A28" t="str">
            <v>1511.01</v>
          </cell>
          <cell r="B28" t="str">
            <v>　　投资成本</v>
          </cell>
          <cell r="E28">
            <v>5358013.7300000004</v>
          </cell>
        </row>
        <row r="29">
          <cell r="A29" t="str">
            <v>1511.01.08</v>
          </cell>
          <cell r="B29" t="str">
            <v>　　　　深圳旭智私募股权基金管理有限公司</v>
          </cell>
          <cell r="E29">
            <v>5358013.7300000004</v>
          </cell>
        </row>
        <row r="30">
          <cell r="A30" t="str">
            <v>1641</v>
          </cell>
          <cell r="B30" t="str">
            <v>使用权资产</v>
          </cell>
          <cell r="E30">
            <v>7228737.71</v>
          </cell>
        </row>
        <row r="31">
          <cell r="A31" t="str">
            <v>1641.02</v>
          </cell>
          <cell r="B31" t="str">
            <v>　　办公地址</v>
          </cell>
          <cell r="E31">
            <v>7228737.71</v>
          </cell>
        </row>
        <row r="32">
          <cell r="A32" t="str">
            <v>1641.02.02</v>
          </cell>
          <cell r="B32" t="str">
            <v>　　　　旭智资本（香港）--冯氏大厦</v>
          </cell>
          <cell r="E32">
            <v>7228737.71</v>
          </cell>
        </row>
        <row r="33">
          <cell r="A33" t="str">
            <v>1642</v>
          </cell>
          <cell r="B33" t="str">
            <v>使用权资产累计折旧</v>
          </cell>
          <cell r="F33">
            <v>5374664.1200000001</v>
          </cell>
          <cell r="H33">
            <v>80668.460000000006</v>
          </cell>
        </row>
        <row r="34">
          <cell r="A34" t="str">
            <v>1642.02</v>
          </cell>
          <cell r="B34" t="str">
            <v>　　办公地址</v>
          </cell>
          <cell r="F34">
            <v>5374664.1200000001</v>
          </cell>
          <cell r="H34">
            <v>80668.460000000006</v>
          </cell>
        </row>
        <row r="35">
          <cell r="A35" t="str">
            <v>1642.02.02</v>
          </cell>
          <cell r="B35" t="str">
            <v>　　　　旭智资本（香港）--冯氏大厦</v>
          </cell>
          <cell r="F35">
            <v>5374664.1200000001</v>
          </cell>
          <cell r="H35">
            <v>80668.460000000006</v>
          </cell>
        </row>
        <row r="36">
          <cell r="A36" t="str">
            <v>2211</v>
          </cell>
          <cell r="B36" t="str">
            <v>应付职工薪酬</v>
          </cell>
          <cell r="F36">
            <v>415037.37</v>
          </cell>
          <cell r="G36">
            <v>9000</v>
          </cell>
          <cell r="H36">
            <v>6800</v>
          </cell>
        </row>
        <row r="37">
          <cell r="A37" t="str">
            <v>2211.02</v>
          </cell>
          <cell r="B37" t="str">
            <v>　　职工奖金</v>
          </cell>
          <cell r="F37">
            <v>300000</v>
          </cell>
        </row>
        <row r="38">
          <cell r="A38" t="str">
            <v>2211.11</v>
          </cell>
          <cell r="B38" t="str">
            <v>　　应付强制性公积金</v>
          </cell>
          <cell r="F38">
            <v>9000</v>
          </cell>
          <cell r="G38">
            <v>9000</v>
          </cell>
          <cell r="H38">
            <v>6800</v>
          </cell>
        </row>
        <row r="39">
          <cell r="A39" t="str">
            <v>2211.12</v>
          </cell>
          <cell r="B39" t="str">
            <v>　　应付长期服务金</v>
          </cell>
          <cell r="F39">
            <v>60283.95</v>
          </cell>
        </row>
        <row r="40">
          <cell r="A40" t="str">
            <v>2211.13</v>
          </cell>
          <cell r="B40" t="str">
            <v>　　未使用假期负债</v>
          </cell>
          <cell r="F40">
            <v>45753.42</v>
          </cell>
        </row>
        <row r="41">
          <cell r="A41" t="str">
            <v>2241</v>
          </cell>
          <cell r="B41" t="str">
            <v>其他应付款</v>
          </cell>
          <cell r="F41">
            <v>367813.26</v>
          </cell>
          <cell r="H41">
            <v>28717</v>
          </cell>
        </row>
        <row r="42">
          <cell r="A42" t="str">
            <v>2241.01</v>
          </cell>
          <cell r="B42" t="str">
            <v>　　单位</v>
          </cell>
          <cell r="F42">
            <v>200000</v>
          </cell>
          <cell r="H42">
            <v>28717</v>
          </cell>
        </row>
        <row r="43">
          <cell r="A43" t="str">
            <v>2241.01</v>
          </cell>
          <cell r="B43" t="str">
            <v>　　单位</v>
          </cell>
          <cell r="C43" t="str">
            <v>SU003011</v>
          </cell>
          <cell r="D43" t="str">
            <v>Tricor Services Limited</v>
          </cell>
          <cell r="H43">
            <v>11217</v>
          </cell>
        </row>
        <row r="44">
          <cell r="A44" t="str">
            <v>2241.01</v>
          </cell>
          <cell r="B44" t="str">
            <v>　　单位</v>
          </cell>
          <cell r="C44" t="str">
            <v>SU004019</v>
          </cell>
          <cell r="D44" t="str">
            <v>PricewaterhouseCoopers Limited</v>
          </cell>
          <cell r="F44">
            <v>200000</v>
          </cell>
          <cell r="H44">
            <v>17500</v>
          </cell>
        </row>
        <row r="45">
          <cell r="A45" t="str">
            <v>2241.02</v>
          </cell>
          <cell r="B45" t="str">
            <v>　　个人</v>
          </cell>
          <cell r="F45">
            <v>167813.26</v>
          </cell>
        </row>
        <row r="46">
          <cell r="A46" t="str">
            <v>2241.02</v>
          </cell>
          <cell r="B46" t="str">
            <v>　　个人</v>
          </cell>
          <cell r="C46" t="str">
            <v>SP003006</v>
          </cell>
          <cell r="D46" t="str">
            <v>甄伟杰</v>
          </cell>
          <cell r="F46">
            <v>164192.47</v>
          </cell>
        </row>
        <row r="47">
          <cell r="A47" t="str">
            <v>2241.02</v>
          </cell>
          <cell r="B47" t="str">
            <v>　　个人</v>
          </cell>
          <cell r="C47" t="str">
            <v>SP003007</v>
          </cell>
          <cell r="D47" t="str">
            <v>梁国希</v>
          </cell>
          <cell r="F47">
            <v>1251.1600000000001</v>
          </cell>
        </row>
        <row r="48">
          <cell r="A48" t="str">
            <v>2241.02</v>
          </cell>
          <cell r="B48" t="str">
            <v>　　个人</v>
          </cell>
          <cell r="C48" t="str">
            <v>SP003009</v>
          </cell>
          <cell r="D48" t="str">
            <v>李琦</v>
          </cell>
          <cell r="F48">
            <v>2369.63</v>
          </cell>
        </row>
        <row r="49">
          <cell r="A49" t="str">
            <v>2601</v>
          </cell>
          <cell r="B49" t="str">
            <v>租赁负债</v>
          </cell>
          <cell r="F49">
            <v>1929873.28</v>
          </cell>
        </row>
        <row r="50">
          <cell r="A50" t="str">
            <v>2601.01</v>
          </cell>
          <cell r="B50" t="str">
            <v>　　租赁付款额</v>
          </cell>
          <cell r="F50">
            <v>2000000</v>
          </cell>
        </row>
        <row r="51">
          <cell r="A51" t="str">
            <v>2601.01.02</v>
          </cell>
          <cell r="B51" t="str">
            <v>　　　　办公地址</v>
          </cell>
          <cell r="F51">
            <v>2000000</v>
          </cell>
        </row>
        <row r="52">
          <cell r="A52" t="str">
            <v>2601.01.02.02</v>
          </cell>
          <cell r="B52" t="str">
            <v>　　　　　　旭智资本（香港）--冯氏大厦</v>
          </cell>
          <cell r="F52">
            <v>2000000</v>
          </cell>
        </row>
        <row r="53">
          <cell r="A53" t="str">
            <v>2601.02</v>
          </cell>
          <cell r="B53" t="str">
            <v>　　未确认融资费用</v>
          </cell>
          <cell r="E53">
            <v>70126.720000000001</v>
          </cell>
        </row>
        <row r="54">
          <cell r="A54" t="str">
            <v>2601.02.02</v>
          </cell>
          <cell r="B54" t="str">
            <v>　　　　办公地址</v>
          </cell>
          <cell r="E54">
            <v>70126.720000000001</v>
          </cell>
        </row>
        <row r="55">
          <cell r="A55" t="str">
            <v>2601.02.02.02</v>
          </cell>
          <cell r="B55" t="str">
            <v>　　　　　　旭智资本（香港）--冯氏大厦</v>
          </cell>
          <cell r="E55">
            <v>70126.720000000001</v>
          </cell>
        </row>
        <row r="56">
          <cell r="A56" t="str">
            <v>2801</v>
          </cell>
          <cell r="B56" t="str">
            <v>预计负债</v>
          </cell>
          <cell r="F56">
            <v>245000</v>
          </cell>
        </row>
        <row r="57">
          <cell r="A57" t="str">
            <v>4001</v>
          </cell>
          <cell r="B57" t="str">
            <v>实收资本（股本）</v>
          </cell>
          <cell r="F57">
            <v>113887263</v>
          </cell>
        </row>
        <row r="58">
          <cell r="A58" t="str">
            <v>4001.50</v>
          </cell>
          <cell r="B58" t="str">
            <v>　　普通股</v>
          </cell>
          <cell r="F58">
            <v>113887263</v>
          </cell>
        </row>
        <row r="59">
          <cell r="A59" t="str">
            <v>4001.50.07</v>
          </cell>
          <cell r="B59" t="str">
            <v>　　　　旭智资本有限公司</v>
          </cell>
          <cell r="F59">
            <v>113887263</v>
          </cell>
        </row>
        <row r="60">
          <cell r="A60" t="str">
            <v>4103</v>
          </cell>
          <cell r="B60" t="str">
            <v>本年利润</v>
          </cell>
          <cell r="G60">
            <v>264252.3</v>
          </cell>
          <cell r="H60">
            <v>61050</v>
          </cell>
        </row>
        <row r="61">
          <cell r="A61" t="str">
            <v>4104</v>
          </cell>
          <cell r="B61" t="str">
            <v>利润分配</v>
          </cell>
          <cell r="E61">
            <v>39431857.289999999</v>
          </cell>
        </row>
        <row r="62">
          <cell r="A62" t="str">
            <v>4104.07</v>
          </cell>
          <cell r="B62" t="str">
            <v>　　未分配利润</v>
          </cell>
          <cell r="E62">
            <v>39431857.289999999</v>
          </cell>
        </row>
        <row r="63">
          <cell r="A63" t="str">
            <v>6115</v>
          </cell>
          <cell r="B63" t="str">
            <v>其他收益</v>
          </cell>
          <cell r="G63">
            <v>61050</v>
          </cell>
          <cell r="H63">
            <v>61050</v>
          </cell>
        </row>
        <row r="64">
          <cell r="A64" t="str">
            <v>6115.03</v>
          </cell>
          <cell r="B64" t="str">
            <v>　　公司间往来</v>
          </cell>
          <cell r="G64">
            <v>61050</v>
          </cell>
          <cell r="H64">
            <v>61050</v>
          </cell>
        </row>
        <row r="65">
          <cell r="A65" t="str">
            <v>6602</v>
          </cell>
          <cell r="B65" t="str">
            <v>管理费用</v>
          </cell>
          <cell r="G65">
            <v>579189.5</v>
          </cell>
          <cell r="H65">
            <v>579189.5</v>
          </cell>
        </row>
        <row r="66">
          <cell r="A66" t="str">
            <v>6602.01</v>
          </cell>
          <cell r="B66" t="str">
            <v>　　工资薪金</v>
          </cell>
          <cell r="G66">
            <v>414735.5</v>
          </cell>
          <cell r="H66">
            <v>414735.5</v>
          </cell>
        </row>
        <row r="67">
          <cell r="A67" t="str">
            <v>6602.01.01</v>
          </cell>
          <cell r="B67" t="str">
            <v>　　　　基本工资（专业）</v>
          </cell>
          <cell r="G67">
            <v>100000</v>
          </cell>
          <cell r="H67">
            <v>100000</v>
          </cell>
        </row>
        <row r="68">
          <cell r="A68" t="str">
            <v>6602.01.07</v>
          </cell>
          <cell r="B68" t="str">
            <v>　　　　集团内分摊</v>
          </cell>
          <cell r="G68">
            <v>131235.5</v>
          </cell>
          <cell r="H68">
            <v>131235.5</v>
          </cell>
        </row>
        <row r="69">
          <cell r="A69" t="str">
            <v>6602.01.08</v>
          </cell>
          <cell r="B69" t="str">
            <v>　　　　基本工资（管理）</v>
          </cell>
          <cell r="G69">
            <v>183500</v>
          </cell>
          <cell r="H69">
            <v>183500</v>
          </cell>
        </row>
        <row r="70">
          <cell r="A70" t="str">
            <v>6602.03</v>
          </cell>
          <cell r="B70" t="str">
            <v>　　社保公积金</v>
          </cell>
          <cell r="G70">
            <v>20303.650000000001</v>
          </cell>
          <cell r="H70">
            <v>20303.650000000001</v>
          </cell>
        </row>
        <row r="71">
          <cell r="A71" t="str">
            <v>6602.03.01</v>
          </cell>
          <cell r="B71" t="str">
            <v>　　　　员工社保福利</v>
          </cell>
          <cell r="G71">
            <v>16903.650000000001</v>
          </cell>
          <cell r="H71">
            <v>16903.650000000001</v>
          </cell>
        </row>
        <row r="72">
          <cell r="A72" t="str">
            <v>6602.03.03</v>
          </cell>
          <cell r="B72" t="str">
            <v>　　　　员工强制性公积金福利</v>
          </cell>
          <cell r="G72">
            <v>3400</v>
          </cell>
          <cell r="H72">
            <v>3400</v>
          </cell>
        </row>
        <row r="73">
          <cell r="A73" t="str">
            <v>6602.04</v>
          </cell>
          <cell r="B73" t="str">
            <v>　　咨询及专业服务费</v>
          </cell>
          <cell r="G73">
            <v>28500</v>
          </cell>
          <cell r="H73">
            <v>28500</v>
          </cell>
        </row>
        <row r="74">
          <cell r="A74" t="str">
            <v>6602.04.01</v>
          </cell>
          <cell r="B74" t="str">
            <v>　　　　会计服务费</v>
          </cell>
          <cell r="G74">
            <v>8500</v>
          </cell>
          <cell r="H74">
            <v>8500</v>
          </cell>
        </row>
        <row r="75">
          <cell r="A75" t="str">
            <v>6602.04.02</v>
          </cell>
          <cell r="B75" t="str">
            <v>　　　　审计服务费</v>
          </cell>
          <cell r="G75">
            <v>17500</v>
          </cell>
          <cell r="H75">
            <v>17500</v>
          </cell>
        </row>
        <row r="76">
          <cell r="A76" t="str">
            <v>6602.04.07</v>
          </cell>
          <cell r="B76" t="str">
            <v>　　　　人力资源服务费</v>
          </cell>
          <cell r="G76">
            <v>2500</v>
          </cell>
          <cell r="H76">
            <v>2500</v>
          </cell>
        </row>
        <row r="77">
          <cell r="A77" t="str">
            <v>6602.05</v>
          </cell>
          <cell r="B77" t="str">
            <v>　　占用费</v>
          </cell>
          <cell r="G77">
            <v>25465.37</v>
          </cell>
          <cell r="H77">
            <v>25465.37</v>
          </cell>
        </row>
        <row r="78">
          <cell r="A78" t="str">
            <v>6602.05.02</v>
          </cell>
          <cell r="B78" t="str">
            <v>　　　　管理费</v>
          </cell>
          <cell r="G78">
            <v>23952.67</v>
          </cell>
          <cell r="H78">
            <v>23952.67</v>
          </cell>
        </row>
        <row r="79">
          <cell r="A79" t="str">
            <v>6602.05.03</v>
          </cell>
          <cell r="B79" t="str">
            <v>　　　　电费</v>
          </cell>
          <cell r="G79">
            <v>780</v>
          </cell>
          <cell r="H79">
            <v>780</v>
          </cell>
        </row>
        <row r="80">
          <cell r="A80" t="str">
            <v>6602.05.05</v>
          </cell>
          <cell r="B80" t="str">
            <v>　　　　维修费</v>
          </cell>
          <cell r="G80">
            <v>732.7</v>
          </cell>
          <cell r="H80">
            <v>732.7</v>
          </cell>
        </row>
        <row r="81">
          <cell r="A81" t="str">
            <v>6602.08</v>
          </cell>
          <cell r="B81" t="str">
            <v>　　事务费用</v>
          </cell>
          <cell r="G81">
            <v>7330</v>
          </cell>
          <cell r="H81">
            <v>7330</v>
          </cell>
        </row>
        <row r="82">
          <cell r="A82" t="str">
            <v>6602.08.03</v>
          </cell>
          <cell r="B82" t="str">
            <v>　　　　办公用品</v>
          </cell>
          <cell r="G82">
            <v>2084.4899999999998</v>
          </cell>
          <cell r="H82">
            <v>2084.4899999999998</v>
          </cell>
        </row>
        <row r="83">
          <cell r="A83" t="str">
            <v>6602.08.03</v>
          </cell>
          <cell r="B83" t="str">
            <v>　　　　办公用品</v>
          </cell>
          <cell r="C83" t="str">
            <v>CI008</v>
          </cell>
          <cell r="D83" t="str">
            <v>旭智资本（香港）</v>
          </cell>
          <cell r="G83">
            <v>2084.4899999999998</v>
          </cell>
          <cell r="H83">
            <v>2084.4899999999998</v>
          </cell>
        </row>
        <row r="84">
          <cell r="A84" t="str">
            <v>6602.08.04</v>
          </cell>
          <cell r="B84" t="str">
            <v>　　　　事务保金</v>
          </cell>
          <cell r="G84">
            <v>3963.97</v>
          </cell>
          <cell r="H84">
            <v>3963.97</v>
          </cell>
        </row>
        <row r="85">
          <cell r="A85" t="str">
            <v>6602.08.04</v>
          </cell>
          <cell r="B85" t="str">
            <v>　　　　事务保金</v>
          </cell>
          <cell r="C85" t="str">
            <v>CI008</v>
          </cell>
          <cell r="D85" t="str">
            <v>旭智资本（香港）</v>
          </cell>
          <cell r="G85">
            <v>3963.97</v>
          </cell>
          <cell r="H85">
            <v>3963.97</v>
          </cell>
        </row>
        <row r="86">
          <cell r="A86" t="str">
            <v>6602.08.07</v>
          </cell>
          <cell r="B86" t="str">
            <v>　　　　软件许可证费用</v>
          </cell>
          <cell r="G86">
            <v>1281.54</v>
          </cell>
          <cell r="H86">
            <v>1281.54</v>
          </cell>
        </row>
        <row r="87">
          <cell r="A87" t="str">
            <v>6602.08.07</v>
          </cell>
          <cell r="B87" t="str">
            <v>　　　　软件许可证费用</v>
          </cell>
          <cell r="C87" t="str">
            <v>CI008</v>
          </cell>
          <cell r="D87" t="str">
            <v>旭智资本（香港）</v>
          </cell>
          <cell r="G87">
            <v>1281.54</v>
          </cell>
          <cell r="H87">
            <v>1281.54</v>
          </cell>
        </row>
        <row r="88">
          <cell r="A88" t="str">
            <v>6602.12</v>
          </cell>
          <cell r="B88" t="str">
            <v>　　使用权资产折旧</v>
          </cell>
          <cell r="G88">
            <v>80668.460000000006</v>
          </cell>
          <cell r="H88">
            <v>80668.460000000006</v>
          </cell>
        </row>
        <row r="89">
          <cell r="A89" t="str">
            <v>6602.12.02</v>
          </cell>
          <cell r="B89" t="str">
            <v>　　　　办公地址</v>
          </cell>
          <cell r="G89">
            <v>80668.460000000006</v>
          </cell>
          <cell r="H89">
            <v>80668.460000000006</v>
          </cell>
        </row>
        <row r="90">
          <cell r="A90" t="str">
            <v>6602.12.02.02</v>
          </cell>
          <cell r="B90" t="str">
            <v>　　　　　　旭智资本（香港）--冯氏大厦</v>
          </cell>
          <cell r="G90">
            <v>80668.460000000006</v>
          </cell>
          <cell r="H90">
            <v>80668.460000000006</v>
          </cell>
        </row>
        <row r="91">
          <cell r="A91" t="str">
            <v>6602.21</v>
          </cell>
          <cell r="B91" t="str">
            <v>　　公司秘书费</v>
          </cell>
          <cell r="G91">
            <v>1214.52</v>
          </cell>
          <cell r="H91">
            <v>1214.52</v>
          </cell>
        </row>
        <row r="92">
          <cell r="A92" t="str">
            <v>6602.99</v>
          </cell>
          <cell r="B92" t="str">
            <v>　　其他</v>
          </cell>
          <cell r="G92">
            <v>972</v>
          </cell>
          <cell r="H92">
            <v>972</v>
          </cell>
        </row>
        <row r="93">
          <cell r="A93" t="str">
            <v>6603</v>
          </cell>
          <cell r="B93" t="str">
            <v>财务费用</v>
          </cell>
          <cell r="G93">
            <v>-314937.2</v>
          </cell>
          <cell r="H93">
            <v>-314937.2</v>
          </cell>
        </row>
        <row r="94">
          <cell r="A94" t="str">
            <v>6603.01</v>
          </cell>
          <cell r="B94" t="str">
            <v>　　汇兑损益</v>
          </cell>
          <cell r="G94">
            <v>-314009.53000000003</v>
          </cell>
          <cell r="H94">
            <v>-314009.53000000003</v>
          </cell>
        </row>
        <row r="95">
          <cell r="A95" t="str">
            <v>6603.03</v>
          </cell>
          <cell r="B95" t="str">
            <v>　　银行手续费</v>
          </cell>
          <cell r="G95">
            <v>7.7</v>
          </cell>
          <cell r="H95">
            <v>7.7</v>
          </cell>
        </row>
        <row r="96">
          <cell r="A96" t="str">
            <v>6603.04</v>
          </cell>
          <cell r="B96" t="str">
            <v>　　利息收入</v>
          </cell>
          <cell r="G96">
            <v>-935.37</v>
          </cell>
          <cell r="H96">
            <v>-935.37</v>
          </cell>
        </row>
        <row r="97">
          <cell r="B97" t="str">
            <v>合计</v>
          </cell>
          <cell r="E97">
            <v>122289777.75</v>
          </cell>
          <cell r="F97">
            <v>122289777.75</v>
          </cell>
          <cell r="G97">
            <v>14545550.710000001</v>
          </cell>
          <cell r="H97">
            <v>14545550.710000001</v>
          </cell>
        </row>
      </sheetData>
      <sheetData sheetId="1">
        <row r="1">
          <cell r="A1" t="str">
            <v>币别:香港元</v>
          </cell>
          <cell r="B1" t="str">
            <v>账簿:旭智资本（香港）有限公司</v>
          </cell>
          <cell r="C1" t="str">
            <v>期间:2025.2 -- 2025.2</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13703191.99</v>
          </cell>
          <cell r="G4">
            <v>23535438.829999998</v>
          </cell>
          <cell r="H4">
            <v>27352399.789999999</v>
          </cell>
        </row>
        <row r="5">
          <cell r="A5" t="str">
            <v>1002.02</v>
          </cell>
          <cell r="B5" t="str">
            <v>　　【旭智资本（香港）】银行存款账户</v>
          </cell>
          <cell r="E5">
            <v>13703191.99</v>
          </cell>
          <cell r="G5">
            <v>23535438.829999998</v>
          </cell>
          <cell r="H5">
            <v>27352399.789999999</v>
          </cell>
        </row>
        <row r="6">
          <cell r="A6" t="str">
            <v>1002.02.01</v>
          </cell>
          <cell r="B6" t="str">
            <v>　　　　汇丰银行-741-269492-838</v>
          </cell>
          <cell r="E6">
            <v>13703191.99</v>
          </cell>
          <cell r="G6">
            <v>21347029.57</v>
          </cell>
          <cell r="H6">
            <v>27296356.52</v>
          </cell>
        </row>
        <row r="7">
          <cell r="A7" t="str">
            <v>1002.02.01.01</v>
          </cell>
          <cell r="B7" t="str">
            <v>　　　　　　【旭智资本（香港）】汇丰港元储蓄账户 2838</v>
          </cell>
          <cell r="E7">
            <v>255660.46</v>
          </cell>
          <cell r="G7">
            <v>300011.67</v>
          </cell>
          <cell r="H7">
            <v>512281.99</v>
          </cell>
        </row>
        <row r="8">
          <cell r="A8" t="str">
            <v>1002.02.01.03</v>
          </cell>
          <cell r="B8" t="str">
            <v>　　　　　　【旭智资本（香港）】汇丰外币储蓄 - 人民币 2838</v>
          </cell>
          <cell r="E8">
            <v>334.13</v>
          </cell>
          <cell r="G8">
            <v>13364977.9</v>
          </cell>
          <cell r="H8">
            <v>13336877.130000001</v>
          </cell>
        </row>
        <row r="9">
          <cell r="A9" t="str">
            <v>1002.02.01.07</v>
          </cell>
          <cell r="B9" t="str">
            <v>　　　　　　【旭智资本（香港）】汇丰人民币定期存款</v>
          </cell>
          <cell r="E9">
            <v>13447197.4</v>
          </cell>
          <cell r="H9">
            <v>13447197.4</v>
          </cell>
        </row>
        <row r="10">
          <cell r="A10" t="str">
            <v>1002.02.01.08</v>
          </cell>
          <cell r="B10" t="str">
            <v>　　　　　　【旭智资本（香港）】汇丰全球货币基金</v>
          </cell>
          <cell r="G10">
            <v>7682040</v>
          </cell>
        </row>
        <row r="11">
          <cell r="A11" t="str">
            <v>1002.02.02</v>
          </cell>
          <cell r="B11" t="str">
            <v>　　　　盈透证券-U13828206</v>
          </cell>
          <cell r="G11">
            <v>2188409.2599999998</v>
          </cell>
          <cell r="H11">
            <v>56043.27</v>
          </cell>
        </row>
        <row r="12">
          <cell r="A12" t="str">
            <v>1002.02.02.02</v>
          </cell>
          <cell r="B12" t="str">
            <v>　　　　　　【旭智资本（香港）】盈透证券人民币账户 8206</v>
          </cell>
          <cell r="G12">
            <v>2140057.1800000002</v>
          </cell>
          <cell r="H12">
            <v>55983.19</v>
          </cell>
        </row>
        <row r="13">
          <cell r="A13" t="str">
            <v>1002.02.02.03</v>
          </cell>
          <cell r="B13" t="str">
            <v>　　　　　　【旭智资本（香港）】盈透证券澳币账户 8206</v>
          </cell>
          <cell r="G13">
            <v>48352.08</v>
          </cell>
          <cell r="H13">
            <v>60.08</v>
          </cell>
        </row>
        <row r="14">
          <cell r="A14" t="str">
            <v>1123</v>
          </cell>
          <cell r="B14" t="str">
            <v>预付账款</v>
          </cell>
          <cell r="E14">
            <v>624718.68000000005</v>
          </cell>
          <cell r="G14">
            <v>100000</v>
          </cell>
          <cell r="H14">
            <v>126126.41</v>
          </cell>
        </row>
        <row r="15">
          <cell r="A15" t="str">
            <v>1123.01</v>
          </cell>
          <cell r="B15" t="str">
            <v>　　单位</v>
          </cell>
          <cell r="E15">
            <v>624718.68000000005</v>
          </cell>
          <cell r="G15">
            <v>100000</v>
          </cell>
          <cell r="H15">
            <v>126126.41</v>
          </cell>
        </row>
        <row r="16">
          <cell r="A16" t="str">
            <v>1123.01</v>
          </cell>
          <cell r="B16" t="str">
            <v>　　单位</v>
          </cell>
          <cell r="C16" t="str">
            <v>SU003001</v>
          </cell>
          <cell r="D16" t="str">
            <v>Boardroom Corporate Services (HK) Limited</v>
          </cell>
          <cell r="E16">
            <v>13085.48</v>
          </cell>
          <cell r="H16">
            <v>1096.99</v>
          </cell>
        </row>
        <row r="17">
          <cell r="A17" t="str">
            <v>1123.01</v>
          </cell>
          <cell r="B17" t="str">
            <v>　　单位</v>
          </cell>
          <cell r="C17" t="str">
            <v>SU003003</v>
          </cell>
          <cell r="D17" t="str">
            <v>SUN HING INSURANCE BROKERS LTD.</v>
          </cell>
          <cell r="E17">
            <v>38384.99</v>
          </cell>
          <cell r="H17">
            <v>18848.169999999998</v>
          </cell>
        </row>
        <row r="18">
          <cell r="A18" t="str">
            <v>1123.01</v>
          </cell>
          <cell r="B18" t="str">
            <v>　　单位</v>
          </cell>
          <cell r="C18" t="str">
            <v>SU003022</v>
          </cell>
          <cell r="D18" t="str">
            <v>Supreme Honour Development Limited</v>
          </cell>
          <cell r="E18">
            <v>540381.32999999996</v>
          </cell>
          <cell r="G18">
            <v>100000</v>
          </cell>
          <cell r="H18">
            <v>105086.66</v>
          </cell>
        </row>
        <row r="19">
          <cell r="A19" t="str">
            <v>1123.01</v>
          </cell>
          <cell r="B19" t="str">
            <v>　　单位</v>
          </cell>
          <cell r="C19" t="str">
            <v>SU004004</v>
          </cell>
          <cell r="D19" t="str">
            <v>Fuji Xerox （Hong Kong) Limited</v>
          </cell>
          <cell r="E19">
            <v>4590</v>
          </cell>
        </row>
        <row r="20">
          <cell r="A20" t="str">
            <v>1123.01</v>
          </cell>
          <cell r="B20" t="str">
            <v>　　单位</v>
          </cell>
          <cell r="C20" t="str">
            <v>SU004006</v>
          </cell>
          <cell r="D20" t="str">
            <v>The HongKong Electric Co.,Ltd.</v>
          </cell>
          <cell r="E20">
            <v>17000</v>
          </cell>
        </row>
        <row r="21">
          <cell r="A21" t="str">
            <v>1123.01</v>
          </cell>
          <cell r="B21" t="str">
            <v>　　单位</v>
          </cell>
          <cell r="C21" t="str">
            <v>SU004010</v>
          </cell>
          <cell r="D21" t="str">
            <v>Noble Spirit Limited T/A Life Solutions</v>
          </cell>
          <cell r="E21">
            <v>8021.64</v>
          </cell>
          <cell r="H21">
            <v>335.23</v>
          </cell>
        </row>
        <row r="22">
          <cell r="A22" t="str">
            <v>1123.01</v>
          </cell>
          <cell r="B22" t="str">
            <v>　　单位</v>
          </cell>
          <cell r="C22" t="str">
            <v>SU004011</v>
          </cell>
          <cell r="D22" t="str">
            <v>Master Concept (Hong Kong) Limited</v>
          </cell>
          <cell r="E22">
            <v>432.79</v>
          </cell>
          <cell r="H22">
            <v>432.79</v>
          </cell>
        </row>
        <row r="23">
          <cell r="A23" t="str">
            <v>1123.01</v>
          </cell>
          <cell r="B23" t="str">
            <v>　　单位</v>
          </cell>
          <cell r="C23" t="str">
            <v>SU004013</v>
          </cell>
          <cell r="D23" t="str">
            <v>B&amp;T Engineering Limited</v>
          </cell>
          <cell r="E23">
            <v>2822.45</v>
          </cell>
          <cell r="H23">
            <v>326.57</v>
          </cell>
        </row>
        <row r="24">
          <cell r="A24" t="str">
            <v>1132</v>
          </cell>
          <cell r="B24" t="str">
            <v>应收利息</v>
          </cell>
          <cell r="E24">
            <v>896.48</v>
          </cell>
          <cell r="H24">
            <v>896.48</v>
          </cell>
        </row>
        <row r="25">
          <cell r="A25" t="str">
            <v>1132</v>
          </cell>
          <cell r="B25" t="str">
            <v>应收利息</v>
          </cell>
          <cell r="C25" t="str">
            <v>OU004001</v>
          </cell>
          <cell r="D25" t="str">
            <v>香港上海汇丰银行有限公司</v>
          </cell>
          <cell r="E25">
            <v>896.48</v>
          </cell>
          <cell r="H25">
            <v>896.48</v>
          </cell>
        </row>
        <row r="26">
          <cell r="A26" t="str">
            <v>1221</v>
          </cell>
          <cell r="B26" t="str">
            <v>其他应收款</v>
          </cell>
          <cell r="E26">
            <v>55776218.310000002</v>
          </cell>
          <cell r="G26">
            <v>3631985</v>
          </cell>
          <cell r="H26">
            <v>522010.63</v>
          </cell>
        </row>
        <row r="27">
          <cell r="A27" t="str">
            <v>1221.01</v>
          </cell>
          <cell r="B27" t="str">
            <v>　　单位</v>
          </cell>
          <cell r="E27">
            <v>55776218.310000002</v>
          </cell>
          <cell r="G27">
            <v>3631985</v>
          </cell>
          <cell r="H27">
            <v>522010.63</v>
          </cell>
        </row>
        <row r="28">
          <cell r="A28" t="str">
            <v>1221.01</v>
          </cell>
          <cell r="B28" t="str">
            <v>　　单位</v>
          </cell>
          <cell r="C28" t="str">
            <v>CU003004</v>
          </cell>
          <cell r="D28" t="str">
            <v>广州旭智投资控股有限责任公司</v>
          </cell>
          <cell r="E28">
            <v>53124005.079999998</v>
          </cell>
          <cell r="H28">
            <v>88481.39</v>
          </cell>
        </row>
        <row r="29">
          <cell r="A29" t="str">
            <v>1221.01</v>
          </cell>
          <cell r="B29" t="str">
            <v>　　单位</v>
          </cell>
          <cell r="C29" t="str">
            <v>CU003010</v>
          </cell>
          <cell r="D29" t="str">
            <v>旭智富能新能源（深圳）有限责任公司</v>
          </cell>
          <cell r="E29">
            <v>368393.73</v>
          </cell>
          <cell r="H29">
            <v>2293.7399999999998</v>
          </cell>
        </row>
        <row r="30">
          <cell r="A30" t="str">
            <v>1221.01</v>
          </cell>
          <cell r="B30" t="str">
            <v>　　单位</v>
          </cell>
          <cell r="C30" t="str">
            <v>CU005009</v>
          </cell>
          <cell r="D30" t="str">
            <v>旭智资本有限公司</v>
          </cell>
          <cell r="E30">
            <v>2283819.5</v>
          </cell>
          <cell r="G30">
            <v>3631985</v>
          </cell>
          <cell r="H30">
            <v>431235.5</v>
          </cell>
        </row>
        <row r="31">
          <cell r="A31" t="str">
            <v>1511</v>
          </cell>
          <cell r="B31" t="str">
            <v>长期股权投资</v>
          </cell>
          <cell r="E31">
            <v>5358013.7300000004</v>
          </cell>
        </row>
        <row r="32">
          <cell r="A32" t="str">
            <v>1511.01</v>
          </cell>
          <cell r="B32" t="str">
            <v>　　投资成本</v>
          </cell>
          <cell r="E32">
            <v>5358013.7300000004</v>
          </cell>
        </row>
        <row r="33">
          <cell r="A33" t="str">
            <v>1511.01.08</v>
          </cell>
          <cell r="B33" t="str">
            <v>　　　　深圳旭智私募股权基金管理有限公司</v>
          </cell>
          <cell r="E33">
            <v>5358013.7300000004</v>
          </cell>
        </row>
        <row r="34">
          <cell r="A34" t="str">
            <v>1641</v>
          </cell>
          <cell r="B34" t="str">
            <v>使用权资产</v>
          </cell>
          <cell r="E34">
            <v>7228737.71</v>
          </cell>
        </row>
        <row r="35">
          <cell r="A35" t="str">
            <v>1641.02</v>
          </cell>
          <cell r="B35" t="str">
            <v>　　办公地址</v>
          </cell>
          <cell r="E35">
            <v>7228737.71</v>
          </cell>
        </row>
        <row r="36">
          <cell r="A36" t="str">
            <v>1641.02.02</v>
          </cell>
          <cell r="B36" t="str">
            <v>　　　　旭智资本（香港）--冯氏大厦</v>
          </cell>
          <cell r="E36">
            <v>7228737.71</v>
          </cell>
        </row>
        <row r="37">
          <cell r="A37" t="str">
            <v>1642</v>
          </cell>
          <cell r="B37" t="str">
            <v>使用权资产累计折旧</v>
          </cell>
          <cell r="F37">
            <v>5455332.5800000001</v>
          </cell>
          <cell r="H37">
            <v>80668.460000000006</v>
          </cell>
        </row>
        <row r="38">
          <cell r="A38" t="str">
            <v>1642.02</v>
          </cell>
          <cell r="B38" t="str">
            <v>　　办公地址</v>
          </cell>
          <cell r="F38">
            <v>5455332.5800000001</v>
          </cell>
          <cell r="H38">
            <v>80668.460000000006</v>
          </cell>
        </row>
        <row r="39">
          <cell r="A39" t="str">
            <v>1642.02.02</v>
          </cell>
          <cell r="B39" t="str">
            <v>　　　　旭智资本（香港）--冯氏大厦</v>
          </cell>
          <cell r="F39">
            <v>5455332.5800000001</v>
          </cell>
          <cell r="H39">
            <v>80668.460000000006</v>
          </cell>
        </row>
        <row r="40">
          <cell r="A40" t="str">
            <v>2211</v>
          </cell>
          <cell r="B40" t="str">
            <v>应付职工薪酬</v>
          </cell>
          <cell r="F40">
            <v>412837.37</v>
          </cell>
          <cell r="G40">
            <v>6800</v>
          </cell>
          <cell r="H40">
            <v>6800</v>
          </cell>
        </row>
        <row r="41">
          <cell r="A41" t="str">
            <v>2211.02</v>
          </cell>
          <cell r="B41" t="str">
            <v>　　职工奖金</v>
          </cell>
          <cell r="F41">
            <v>300000</v>
          </cell>
        </row>
        <row r="42">
          <cell r="A42" t="str">
            <v>2211.11</v>
          </cell>
          <cell r="B42" t="str">
            <v>　　应付强制性公积金</v>
          </cell>
          <cell r="F42">
            <v>6800</v>
          </cell>
          <cell r="G42">
            <v>6800</v>
          </cell>
          <cell r="H42">
            <v>6800</v>
          </cell>
        </row>
        <row r="43">
          <cell r="A43" t="str">
            <v>2211.12</v>
          </cell>
          <cell r="B43" t="str">
            <v>　　应付长期服务金</v>
          </cell>
          <cell r="F43">
            <v>60283.95</v>
          </cell>
        </row>
        <row r="44">
          <cell r="A44" t="str">
            <v>2211.13</v>
          </cell>
          <cell r="B44" t="str">
            <v>　　未使用假期负债</v>
          </cell>
          <cell r="F44">
            <v>45753.42</v>
          </cell>
        </row>
        <row r="45">
          <cell r="A45" t="str">
            <v>2241</v>
          </cell>
          <cell r="B45" t="str">
            <v>其他应付款</v>
          </cell>
          <cell r="F45">
            <v>396530.26</v>
          </cell>
          <cell r="G45">
            <v>38222.18</v>
          </cell>
          <cell r="H45">
            <v>28657</v>
          </cell>
        </row>
        <row r="46">
          <cell r="A46" t="str">
            <v>2241.01</v>
          </cell>
          <cell r="B46" t="str">
            <v>　　单位</v>
          </cell>
          <cell r="F46">
            <v>228717</v>
          </cell>
          <cell r="G46">
            <v>11217</v>
          </cell>
          <cell r="H46">
            <v>28657</v>
          </cell>
        </row>
        <row r="47">
          <cell r="A47" t="str">
            <v>2241.01</v>
          </cell>
          <cell r="B47" t="str">
            <v>　　单位</v>
          </cell>
          <cell r="C47" t="str">
            <v>SU003011</v>
          </cell>
          <cell r="D47" t="str">
            <v>Tricor Services Limited</v>
          </cell>
          <cell r="F47">
            <v>11217</v>
          </cell>
          <cell r="G47">
            <v>11217</v>
          </cell>
          <cell r="H47">
            <v>11157</v>
          </cell>
        </row>
        <row r="48">
          <cell r="A48" t="str">
            <v>2241.01</v>
          </cell>
          <cell r="B48" t="str">
            <v>　　单位</v>
          </cell>
          <cell r="C48" t="str">
            <v>SU004019</v>
          </cell>
          <cell r="D48" t="str">
            <v>PricewaterhouseCoopers Limited</v>
          </cell>
          <cell r="F48">
            <v>217500</v>
          </cell>
          <cell r="H48">
            <v>17500</v>
          </cell>
        </row>
        <row r="49">
          <cell r="A49" t="str">
            <v>2241.02</v>
          </cell>
          <cell r="B49" t="str">
            <v>　　个人</v>
          </cell>
          <cell r="F49">
            <v>167813.26</v>
          </cell>
          <cell r="G49">
            <v>27005.18</v>
          </cell>
        </row>
        <row r="50">
          <cell r="A50" t="str">
            <v>2241.02</v>
          </cell>
          <cell r="B50" t="str">
            <v>　　个人</v>
          </cell>
          <cell r="C50" t="str">
            <v>SP003006</v>
          </cell>
          <cell r="D50" t="str">
            <v>甄伟杰</v>
          </cell>
          <cell r="F50">
            <v>164192.47</v>
          </cell>
          <cell r="G50">
            <v>23384.39</v>
          </cell>
        </row>
        <row r="51">
          <cell r="A51" t="str">
            <v>2241.02</v>
          </cell>
          <cell r="B51" t="str">
            <v>　　个人</v>
          </cell>
          <cell r="C51" t="str">
            <v>SP003007</v>
          </cell>
          <cell r="D51" t="str">
            <v>梁国希</v>
          </cell>
          <cell r="F51">
            <v>1251.1600000000001</v>
          </cell>
          <cell r="G51">
            <v>1251.1600000000001</v>
          </cell>
        </row>
        <row r="52">
          <cell r="A52" t="str">
            <v>2241.02</v>
          </cell>
          <cell r="B52" t="str">
            <v>　　个人</v>
          </cell>
          <cell r="C52" t="str">
            <v>SP003009</v>
          </cell>
          <cell r="D52" t="str">
            <v>李琦</v>
          </cell>
          <cell r="F52">
            <v>2369.63</v>
          </cell>
          <cell r="G52">
            <v>2369.63</v>
          </cell>
        </row>
        <row r="53">
          <cell r="A53" t="str">
            <v>2601</v>
          </cell>
          <cell r="B53" t="str">
            <v>租赁负债</v>
          </cell>
          <cell r="F53">
            <v>1929873.28</v>
          </cell>
          <cell r="G53">
            <v>93386.07</v>
          </cell>
        </row>
        <row r="54">
          <cell r="A54" t="str">
            <v>2601.01</v>
          </cell>
          <cell r="B54" t="str">
            <v>　　租赁付款额</v>
          </cell>
          <cell r="F54">
            <v>2000000</v>
          </cell>
          <cell r="G54">
            <v>93386.07</v>
          </cell>
        </row>
        <row r="55">
          <cell r="A55" t="str">
            <v>2601.01.02</v>
          </cell>
          <cell r="B55" t="str">
            <v>　　　　办公地址</v>
          </cell>
          <cell r="F55">
            <v>2000000</v>
          </cell>
          <cell r="G55">
            <v>93386.07</v>
          </cell>
        </row>
        <row r="56">
          <cell r="A56" t="str">
            <v>2601.01.02.02</v>
          </cell>
          <cell r="B56" t="str">
            <v>　　　　　　旭智资本（香港）--冯氏大厦</v>
          </cell>
          <cell r="F56">
            <v>2000000</v>
          </cell>
          <cell r="G56">
            <v>93386.07</v>
          </cell>
        </row>
        <row r="57">
          <cell r="A57" t="str">
            <v>2601.02</v>
          </cell>
          <cell r="B57" t="str">
            <v>　　未确认融资费用</v>
          </cell>
          <cell r="E57">
            <v>70126.720000000001</v>
          </cell>
        </row>
        <row r="58">
          <cell r="A58" t="str">
            <v>2601.02.02</v>
          </cell>
          <cell r="B58" t="str">
            <v>　　　　办公地址</v>
          </cell>
          <cell r="E58">
            <v>70126.720000000001</v>
          </cell>
        </row>
        <row r="59">
          <cell r="A59" t="str">
            <v>2601.02.02.02</v>
          </cell>
          <cell r="B59" t="str">
            <v>　　　　　　旭智资本（香港）--冯氏大厦</v>
          </cell>
          <cell r="E59">
            <v>70126.720000000001</v>
          </cell>
        </row>
        <row r="60">
          <cell r="A60" t="str">
            <v>2801</v>
          </cell>
          <cell r="B60" t="str">
            <v>预计负债</v>
          </cell>
          <cell r="F60">
            <v>245000</v>
          </cell>
        </row>
        <row r="61">
          <cell r="A61" t="str">
            <v>4001</v>
          </cell>
          <cell r="B61" t="str">
            <v>实收资本（股本）</v>
          </cell>
          <cell r="F61">
            <v>113887263</v>
          </cell>
        </row>
        <row r="62">
          <cell r="A62" t="str">
            <v>4001.50</v>
          </cell>
          <cell r="B62" t="str">
            <v>　　普通股</v>
          </cell>
          <cell r="F62">
            <v>113887263</v>
          </cell>
        </row>
        <row r="63">
          <cell r="A63" t="str">
            <v>4001.50.07</v>
          </cell>
          <cell r="B63" t="str">
            <v>　　　　旭智资本有限公司</v>
          </cell>
          <cell r="F63">
            <v>113887263</v>
          </cell>
        </row>
        <row r="64">
          <cell r="A64" t="str">
            <v>4103</v>
          </cell>
          <cell r="B64" t="str">
            <v>本年利润</v>
          </cell>
          <cell r="E64">
            <v>203202.3</v>
          </cell>
          <cell r="G64">
            <v>772776.69</v>
          </cell>
          <cell r="H64">
            <v>61050</v>
          </cell>
        </row>
        <row r="65">
          <cell r="A65" t="str">
            <v>4104</v>
          </cell>
          <cell r="B65" t="str">
            <v>利润分配</v>
          </cell>
          <cell r="E65">
            <v>39431857.289999999</v>
          </cell>
        </row>
        <row r="66">
          <cell r="A66" t="str">
            <v>4104.07</v>
          </cell>
          <cell r="B66" t="str">
            <v>　　未分配利润</v>
          </cell>
          <cell r="E66">
            <v>39431857.289999999</v>
          </cell>
        </row>
        <row r="67">
          <cell r="A67" t="str">
            <v>6115</v>
          </cell>
          <cell r="B67" t="str">
            <v>其他收益</v>
          </cell>
          <cell r="G67">
            <v>61050</v>
          </cell>
          <cell r="H67">
            <v>61050</v>
          </cell>
        </row>
        <row r="68">
          <cell r="A68" t="str">
            <v>6115.03</v>
          </cell>
          <cell r="B68" t="str">
            <v>　　公司间往来</v>
          </cell>
          <cell r="G68">
            <v>61050</v>
          </cell>
          <cell r="H68">
            <v>61050</v>
          </cell>
        </row>
        <row r="69">
          <cell r="A69" t="str">
            <v>6602</v>
          </cell>
          <cell r="B69" t="str">
            <v>管理费用</v>
          </cell>
          <cell r="G69">
            <v>589788.38</v>
          </cell>
          <cell r="H69">
            <v>589788.38</v>
          </cell>
        </row>
        <row r="70">
          <cell r="A70" t="str">
            <v>6602.01</v>
          </cell>
          <cell r="B70" t="str">
            <v>　　工资薪金</v>
          </cell>
          <cell r="G70">
            <v>414735.5</v>
          </cell>
          <cell r="H70">
            <v>414735.5</v>
          </cell>
        </row>
        <row r="71">
          <cell r="A71" t="str">
            <v>6602.01.01</v>
          </cell>
          <cell r="B71" t="str">
            <v>　　　　基本工资（专业）</v>
          </cell>
          <cell r="G71">
            <v>100000</v>
          </cell>
          <cell r="H71">
            <v>100000</v>
          </cell>
        </row>
        <row r="72">
          <cell r="A72" t="str">
            <v>6602.01.07</v>
          </cell>
          <cell r="B72" t="str">
            <v>　　　　集团内分摊</v>
          </cell>
          <cell r="G72">
            <v>131235.5</v>
          </cell>
          <cell r="H72">
            <v>131235.5</v>
          </cell>
        </row>
        <row r="73">
          <cell r="A73" t="str">
            <v>6602.01.08</v>
          </cell>
          <cell r="B73" t="str">
            <v>　　　　基本工资（管理）</v>
          </cell>
          <cell r="G73">
            <v>183500</v>
          </cell>
          <cell r="H73">
            <v>183500</v>
          </cell>
        </row>
        <row r="74">
          <cell r="A74" t="str">
            <v>6602.03</v>
          </cell>
          <cell r="B74" t="str">
            <v>　　社保公积金</v>
          </cell>
          <cell r="G74">
            <v>18667.810000000001</v>
          </cell>
          <cell r="H74">
            <v>18667.810000000001</v>
          </cell>
        </row>
        <row r="75">
          <cell r="A75" t="str">
            <v>6602.03.01</v>
          </cell>
          <cell r="B75" t="str">
            <v>　　　　员工社保福利</v>
          </cell>
          <cell r="G75">
            <v>15267.81</v>
          </cell>
          <cell r="H75">
            <v>15267.81</v>
          </cell>
        </row>
        <row r="76">
          <cell r="A76" t="str">
            <v>6602.03.03</v>
          </cell>
          <cell r="B76" t="str">
            <v>　　　　员工强制性公积金福利</v>
          </cell>
          <cell r="G76">
            <v>3400</v>
          </cell>
          <cell r="H76">
            <v>3400</v>
          </cell>
        </row>
        <row r="77">
          <cell r="A77" t="str">
            <v>6602.04</v>
          </cell>
          <cell r="B77" t="str">
            <v>　　咨询及专业服务费</v>
          </cell>
          <cell r="G77">
            <v>44100</v>
          </cell>
          <cell r="H77">
            <v>44100</v>
          </cell>
        </row>
        <row r="78">
          <cell r="A78" t="str">
            <v>6602.04.01</v>
          </cell>
          <cell r="B78" t="str">
            <v>　　　　会计服务费</v>
          </cell>
          <cell r="G78">
            <v>8500</v>
          </cell>
          <cell r="H78">
            <v>8500</v>
          </cell>
        </row>
        <row r="79">
          <cell r="A79" t="str">
            <v>6602.04.02</v>
          </cell>
          <cell r="B79" t="str">
            <v>　　　　审计服务费</v>
          </cell>
          <cell r="G79">
            <v>17500</v>
          </cell>
          <cell r="H79">
            <v>17500</v>
          </cell>
        </row>
        <row r="80">
          <cell r="A80" t="str">
            <v>6602.04.07</v>
          </cell>
          <cell r="B80" t="str">
            <v>　　　　人力资源服务费</v>
          </cell>
          <cell r="G80">
            <v>2500</v>
          </cell>
          <cell r="H80">
            <v>2500</v>
          </cell>
        </row>
        <row r="81">
          <cell r="A81" t="str">
            <v>6602.04.12</v>
          </cell>
          <cell r="B81" t="str">
            <v>　　　　合规支持服务</v>
          </cell>
          <cell r="G81">
            <v>15600</v>
          </cell>
          <cell r="H81">
            <v>15600</v>
          </cell>
        </row>
        <row r="82">
          <cell r="A82" t="str">
            <v>6602.04.12</v>
          </cell>
          <cell r="B82" t="str">
            <v>　　　　合规支持服务</v>
          </cell>
          <cell r="C82" t="str">
            <v>CI008</v>
          </cell>
          <cell r="D82" t="str">
            <v>旭智资本（香港）</v>
          </cell>
          <cell r="G82">
            <v>15600</v>
          </cell>
          <cell r="H82">
            <v>15600</v>
          </cell>
        </row>
        <row r="83">
          <cell r="A83" t="str">
            <v>6602.05</v>
          </cell>
          <cell r="B83" t="str">
            <v>　　占用费</v>
          </cell>
          <cell r="G83">
            <v>24741.46</v>
          </cell>
          <cell r="H83">
            <v>24741.46</v>
          </cell>
        </row>
        <row r="84">
          <cell r="A84" t="str">
            <v>6602.05.02</v>
          </cell>
          <cell r="B84" t="str">
            <v>　　　　管理费</v>
          </cell>
          <cell r="G84">
            <v>23407.66</v>
          </cell>
          <cell r="H84">
            <v>23407.66</v>
          </cell>
        </row>
        <row r="85">
          <cell r="A85" t="str">
            <v>6602.05.03</v>
          </cell>
          <cell r="B85" t="str">
            <v>　　　　电费</v>
          </cell>
          <cell r="G85">
            <v>672</v>
          </cell>
          <cell r="H85">
            <v>672</v>
          </cell>
        </row>
        <row r="86">
          <cell r="A86" t="str">
            <v>6602.05.05</v>
          </cell>
          <cell r="B86" t="str">
            <v>　　　　维修费</v>
          </cell>
          <cell r="G86">
            <v>661.8</v>
          </cell>
          <cell r="H86">
            <v>661.8</v>
          </cell>
        </row>
        <row r="87">
          <cell r="A87" t="str">
            <v>6602.08</v>
          </cell>
          <cell r="B87" t="str">
            <v>　　事务费用</v>
          </cell>
          <cell r="G87">
            <v>5621.16</v>
          </cell>
          <cell r="H87">
            <v>5621.16</v>
          </cell>
        </row>
        <row r="88">
          <cell r="A88" t="str">
            <v>6602.08.03</v>
          </cell>
          <cell r="B88" t="str">
            <v>　　　　办公用品</v>
          </cell>
          <cell r="G88">
            <v>1608.01</v>
          </cell>
          <cell r="H88">
            <v>1608.01</v>
          </cell>
        </row>
        <row r="89">
          <cell r="A89" t="str">
            <v>6602.08.03</v>
          </cell>
          <cell r="B89" t="str">
            <v>　　　　办公用品</v>
          </cell>
          <cell r="C89" t="str">
            <v>CI008</v>
          </cell>
          <cell r="D89" t="str">
            <v>旭智资本（香港）</v>
          </cell>
          <cell r="G89">
            <v>1608.01</v>
          </cell>
          <cell r="H89">
            <v>1608.01</v>
          </cell>
        </row>
        <row r="90">
          <cell r="A90" t="str">
            <v>6602.08.04</v>
          </cell>
          <cell r="B90" t="str">
            <v>　　　　事务保金</v>
          </cell>
          <cell r="G90">
            <v>3580.36</v>
          </cell>
          <cell r="H90">
            <v>3580.36</v>
          </cell>
        </row>
        <row r="91">
          <cell r="A91" t="str">
            <v>6602.08.04</v>
          </cell>
          <cell r="B91" t="str">
            <v>　　　　事务保金</v>
          </cell>
          <cell r="C91" t="str">
            <v>CI008</v>
          </cell>
          <cell r="D91" t="str">
            <v>旭智资本（香港）</v>
          </cell>
          <cell r="G91">
            <v>3580.36</v>
          </cell>
          <cell r="H91">
            <v>3580.36</v>
          </cell>
        </row>
        <row r="92">
          <cell r="A92" t="str">
            <v>6602.08.07</v>
          </cell>
          <cell r="B92" t="str">
            <v>　　　　软件许可证费用</v>
          </cell>
          <cell r="G92">
            <v>432.79</v>
          </cell>
          <cell r="H92">
            <v>432.79</v>
          </cell>
        </row>
        <row r="93">
          <cell r="A93" t="str">
            <v>6602.08.07</v>
          </cell>
          <cell r="B93" t="str">
            <v>　　　　软件许可证费用</v>
          </cell>
          <cell r="C93" t="str">
            <v>CI008</v>
          </cell>
          <cell r="D93" t="str">
            <v>旭智资本（香港）</v>
          </cell>
          <cell r="G93">
            <v>432.79</v>
          </cell>
          <cell r="H93">
            <v>432.79</v>
          </cell>
        </row>
        <row r="94">
          <cell r="A94" t="str">
            <v>6602.12</v>
          </cell>
          <cell r="B94" t="str">
            <v>　　使用权资产折旧</v>
          </cell>
          <cell r="G94">
            <v>80668.460000000006</v>
          </cell>
          <cell r="H94">
            <v>80668.460000000006</v>
          </cell>
        </row>
        <row r="95">
          <cell r="A95" t="str">
            <v>6602.12.02</v>
          </cell>
          <cell r="B95" t="str">
            <v>　　　　办公地址</v>
          </cell>
          <cell r="G95">
            <v>80668.460000000006</v>
          </cell>
          <cell r="H95">
            <v>80668.460000000006</v>
          </cell>
        </row>
        <row r="96">
          <cell r="A96" t="str">
            <v>6602.12.02.02</v>
          </cell>
          <cell r="B96" t="str">
            <v>　　　　　　旭智资本（香港）--冯氏大厦</v>
          </cell>
          <cell r="G96">
            <v>80668.460000000006</v>
          </cell>
          <cell r="H96">
            <v>80668.460000000006</v>
          </cell>
        </row>
        <row r="97">
          <cell r="A97" t="str">
            <v>6602.21</v>
          </cell>
          <cell r="B97" t="str">
            <v>　　公司秘书费</v>
          </cell>
          <cell r="G97">
            <v>1096.99</v>
          </cell>
          <cell r="H97">
            <v>1096.99</v>
          </cell>
        </row>
        <row r="98">
          <cell r="A98" t="str">
            <v>6602.99</v>
          </cell>
          <cell r="B98" t="str">
            <v>　　其他</v>
          </cell>
          <cell r="G98">
            <v>157</v>
          </cell>
          <cell r="H98">
            <v>157</v>
          </cell>
        </row>
        <row r="99">
          <cell r="A99" t="str">
            <v>6603</v>
          </cell>
          <cell r="B99" t="str">
            <v>财务费用</v>
          </cell>
          <cell r="G99">
            <v>182988.31</v>
          </cell>
          <cell r="H99">
            <v>182988.31</v>
          </cell>
        </row>
        <row r="100">
          <cell r="A100" t="str">
            <v>6603.01</v>
          </cell>
          <cell r="B100" t="str">
            <v>　　汇兑损益</v>
          </cell>
          <cell r="G100">
            <v>178141.17</v>
          </cell>
          <cell r="H100">
            <v>178141.17</v>
          </cell>
        </row>
        <row r="101">
          <cell r="A101" t="str">
            <v>6603.02</v>
          </cell>
          <cell r="B101" t="str">
            <v>　　利息费用</v>
          </cell>
          <cell r="G101">
            <v>6613.93</v>
          </cell>
          <cell r="H101">
            <v>6613.93</v>
          </cell>
        </row>
        <row r="102">
          <cell r="A102" t="str">
            <v>6603.02.02</v>
          </cell>
          <cell r="B102" t="str">
            <v>　　　　办公地址</v>
          </cell>
          <cell r="G102">
            <v>6613.93</v>
          </cell>
          <cell r="H102">
            <v>6613.93</v>
          </cell>
        </row>
        <row r="103">
          <cell r="A103" t="str">
            <v>6603.02.02.02</v>
          </cell>
          <cell r="B103" t="str">
            <v>　　　　　　旭智资本（香港）--冯氏大厦</v>
          </cell>
          <cell r="G103">
            <v>6613.93</v>
          </cell>
          <cell r="H103">
            <v>6613.93</v>
          </cell>
        </row>
        <row r="104">
          <cell r="A104" t="str">
            <v>6603.03</v>
          </cell>
          <cell r="B104" t="str">
            <v>　　银行手续费</v>
          </cell>
          <cell r="G104">
            <v>974.35</v>
          </cell>
          <cell r="H104">
            <v>974.35</v>
          </cell>
        </row>
        <row r="105">
          <cell r="A105" t="str">
            <v>6603.04</v>
          </cell>
          <cell r="B105" t="str">
            <v>　　利息收入</v>
          </cell>
          <cell r="G105">
            <v>-2741.14</v>
          </cell>
          <cell r="H105">
            <v>-2741.14</v>
          </cell>
        </row>
        <row r="106">
          <cell r="B106" t="str">
            <v>合计</v>
          </cell>
          <cell r="E106">
            <v>122396963.20999999</v>
          </cell>
          <cell r="F106">
            <v>122396963.20999999</v>
          </cell>
          <cell r="G106">
            <v>29012435.460000001</v>
          </cell>
          <cell r="H106">
            <v>29012435.460000001</v>
          </cell>
        </row>
      </sheetData>
      <sheetData sheetId="2">
        <row r="1">
          <cell r="A1" t="str">
            <v>币别:香港元</v>
          </cell>
          <cell r="B1" t="str">
            <v>账簿:旭智资本（香港）有限公司</v>
          </cell>
          <cell r="C1" t="str">
            <v>期间:2025.3 -- 2025.3</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9886231.0299999993</v>
          </cell>
          <cell r="G4">
            <v>4019197.12</v>
          </cell>
          <cell r="H4">
            <v>5784162.8499999996</v>
          </cell>
        </row>
        <row r="5">
          <cell r="A5" t="str">
            <v>1002.02</v>
          </cell>
          <cell r="B5" t="str">
            <v>　　【旭智资本（香港）】银行存款账户</v>
          </cell>
          <cell r="E5">
            <v>9886231.0299999993</v>
          </cell>
          <cell r="G5">
            <v>4019197.12</v>
          </cell>
          <cell r="H5">
            <v>5784162.8499999996</v>
          </cell>
        </row>
        <row r="6">
          <cell r="A6" t="str">
            <v>1002.02.01</v>
          </cell>
          <cell r="B6" t="str">
            <v>　　　　汇丰银行-741-269492-838</v>
          </cell>
          <cell r="E6">
            <v>7753865.04</v>
          </cell>
          <cell r="G6">
            <v>1899298.53</v>
          </cell>
          <cell r="H6">
            <v>1785207.09</v>
          </cell>
        </row>
        <row r="7">
          <cell r="A7" t="str">
            <v>1002.02.01.01</v>
          </cell>
          <cell r="B7" t="str">
            <v>　　　　　　【旭智资本（香港）】汇丰港元储蓄账户 2838</v>
          </cell>
          <cell r="E7">
            <v>43390.14</v>
          </cell>
          <cell r="G7">
            <v>1800007.67</v>
          </cell>
          <cell r="H7">
            <v>1726461.8</v>
          </cell>
        </row>
        <row r="8">
          <cell r="A8" t="str">
            <v>1002.02.01.03</v>
          </cell>
          <cell r="B8" t="str">
            <v>　　　　　　【旭智资本（香港）】汇丰外币储蓄 - 人民币 2838</v>
          </cell>
          <cell r="E8">
            <v>28434.9</v>
          </cell>
          <cell r="G8">
            <v>93.28</v>
          </cell>
        </row>
        <row r="9">
          <cell r="A9" t="str">
            <v>1002.02.01.06</v>
          </cell>
          <cell r="B9" t="str">
            <v>　　　　　　【旭智资本（香港）】汇丰外币储蓄账户 - 澳币 2838</v>
          </cell>
          <cell r="G9">
            <v>97672.66</v>
          </cell>
          <cell r="H9">
            <v>36785.29</v>
          </cell>
        </row>
        <row r="10">
          <cell r="A10" t="str">
            <v>1002.02.01.07</v>
          </cell>
          <cell r="B10" t="str">
            <v>　　　　　　【旭智资本（香港）】汇丰人民币定期存款</v>
          </cell>
        </row>
        <row r="11">
          <cell r="A11" t="str">
            <v>1002.02.01.08</v>
          </cell>
          <cell r="B11" t="str">
            <v>　　　　　　【旭智资本（香港）】汇丰全球货币基金</v>
          </cell>
          <cell r="E11">
            <v>7682040</v>
          </cell>
          <cell r="G11">
            <v>1524.92</v>
          </cell>
          <cell r="H11">
            <v>21960</v>
          </cell>
        </row>
        <row r="12">
          <cell r="A12" t="str">
            <v>1002.02.02</v>
          </cell>
          <cell r="B12" t="str">
            <v>　　　　盈透证券-U13828206</v>
          </cell>
          <cell r="E12">
            <v>2132365.9900000002</v>
          </cell>
          <cell r="G12">
            <v>2119898.59</v>
          </cell>
          <cell r="H12">
            <v>3998955.76</v>
          </cell>
        </row>
        <row r="13">
          <cell r="A13" t="str">
            <v>1002.02.02.01</v>
          </cell>
          <cell r="B13" t="str">
            <v>　　　　　　【旭智资本（香港）】盈透证券港元账户 8206</v>
          </cell>
          <cell r="G13">
            <v>2052941.6</v>
          </cell>
          <cell r="H13">
            <v>1800085.7</v>
          </cell>
        </row>
        <row r="14">
          <cell r="A14" t="str">
            <v>1002.02.02.02</v>
          </cell>
          <cell r="B14" t="str">
            <v>　　　　　　【旭智资本（香港）】盈透证券人民币账户 8206</v>
          </cell>
          <cell r="E14">
            <v>2084073.99</v>
          </cell>
          <cell r="G14">
            <v>17491.3</v>
          </cell>
          <cell r="H14">
            <v>2101132.06</v>
          </cell>
        </row>
        <row r="15">
          <cell r="A15" t="str">
            <v>1002.02.02.03</v>
          </cell>
          <cell r="B15" t="str">
            <v>　　　　　　【旭智资本（香港）】盈透证券澳币账户 8206</v>
          </cell>
          <cell r="E15">
            <v>48292</v>
          </cell>
          <cell r="G15">
            <v>49465.69</v>
          </cell>
          <cell r="H15">
            <v>97738</v>
          </cell>
        </row>
        <row r="16">
          <cell r="A16" t="str">
            <v>1123</v>
          </cell>
          <cell r="B16" t="str">
            <v>预付账款</v>
          </cell>
          <cell r="E16">
            <v>598592.27</v>
          </cell>
          <cell r="G16">
            <v>100000</v>
          </cell>
          <cell r="H16">
            <v>126540.12</v>
          </cell>
        </row>
        <row r="17">
          <cell r="A17" t="str">
            <v>1123.01</v>
          </cell>
          <cell r="B17" t="str">
            <v>　　单位</v>
          </cell>
          <cell r="E17">
            <v>598592.27</v>
          </cell>
          <cell r="G17">
            <v>100000</v>
          </cell>
          <cell r="H17">
            <v>126540.12</v>
          </cell>
        </row>
        <row r="18">
          <cell r="A18" t="str">
            <v>1123.01</v>
          </cell>
          <cell r="B18" t="str">
            <v>　　单位</v>
          </cell>
          <cell r="C18" t="str">
            <v>SU003001</v>
          </cell>
          <cell r="D18" t="str">
            <v>Boardroom Corporate Services (HK) Limited</v>
          </cell>
          <cell r="E18">
            <v>11988.49</v>
          </cell>
          <cell r="H18">
            <v>1214.52</v>
          </cell>
        </row>
        <row r="19">
          <cell r="A19" t="str">
            <v>1123.01</v>
          </cell>
          <cell r="B19" t="str">
            <v>　　单位</v>
          </cell>
          <cell r="C19" t="str">
            <v>SU003003</v>
          </cell>
          <cell r="D19" t="str">
            <v>SUN HING INSURANCE BROKERS LTD.</v>
          </cell>
          <cell r="E19">
            <v>19536.82</v>
          </cell>
          <cell r="H19">
            <v>18961.23</v>
          </cell>
        </row>
        <row r="20">
          <cell r="A20" t="str">
            <v>1123.01</v>
          </cell>
          <cell r="B20" t="str">
            <v>　　单位</v>
          </cell>
          <cell r="C20" t="str">
            <v>SU003022</v>
          </cell>
          <cell r="D20" t="str">
            <v>Supreme Honour Development Limited</v>
          </cell>
          <cell r="E20">
            <v>535294.67000000004</v>
          </cell>
          <cell r="G20">
            <v>100000</v>
          </cell>
          <cell r="H20">
            <v>105631.67</v>
          </cell>
        </row>
        <row r="21">
          <cell r="A21" t="str">
            <v>1123.01</v>
          </cell>
          <cell r="B21" t="str">
            <v>　　单位</v>
          </cell>
          <cell r="C21" t="str">
            <v>SU004004</v>
          </cell>
          <cell r="D21" t="str">
            <v>Fuji Xerox （Hong Kong) Limited</v>
          </cell>
          <cell r="E21">
            <v>4590</v>
          </cell>
        </row>
        <row r="22">
          <cell r="A22" t="str">
            <v>1123.01</v>
          </cell>
          <cell r="B22" t="str">
            <v>　　单位</v>
          </cell>
          <cell r="C22" t="str">
            <v>SU004006</v>
          </cell>
          <cell r="D22" t="str">
            <v>The HongKong Electric Co.,Ltd.</v>
          </cell>
          <cell r="E22">
            <v>17000</v>
          </cell>
        </row>
        <row r="23">
          <cell r="A23" t="str">
            <v>1123.01</v>
          </cell>
          <cell r="B23" t="str">
            <v>　　单位</v>
          </cell>
          <cell r="C23" t="str">
            <v>SU004010</v>
          </cell>
          <cell r="D23" t="str">
            <v>Noble Spirit Limited T/A Life Solutions</v>
          </cell>
          <cell r="E23">
            <v>7686.41</v>
          </cell>
          <cell r="H23">
            <v>371.15</v>
          </cell>
        </row>
        <row r="24">
          <cell r="A24" t="str">
            <v>1123.01</v>
          </cell>
          <cell r="B24" t="str">
            <v>　　单位</v>
          </cell>
          <cell r="C24" t="str">
            <v>SU004011</v>
          </cell>
          <cell r="D24" t="str">
            <v>Master Concept (Hong Kong) Limited</v>
          </cell>
        </row>
        <row r="25">
          <cell r="A25" t="str">
            <v>1123.01</v>
          </cell>
          <cell r="B25" t="str">
            <v>　　单位</v>
          </cell>
          <cell r="C25" t="str">
            <v>SU004013</v>
          </cell>
          <cell r="D25" t="str">
            <v>B&amp;T Engineering Limited</v>
          </cell>
          <cell r="E25">
            <v>2495.88</v>
          </cell>
          <cell r="H25">
            <v>361.55</v>
          </cell>
        </row>
        <row r="26">
          <cell r="A26" t="str">
            <v>1132</v>
          </cell>
          <cell r="B26" t="str">
            <v>应收利息</v>
          </cell>
        </row>
        <row r="27">
          <cell r="A27" t="str">
            <v>1132</v>
          </cell>
          <cell r="B27" t="str">
            <v>应收利息</v>
          </cell>
          <cell r="C27" t="str">
            <v>OU004001</v>
          </cell>
          <cell r="D27" t="str">
            <v>香港上海汇丰银行有限公司</v>
          </cell>
        </row>
        <row r="28">
          <cell r="A28" t="str">
            <v>1221</v>
          </cell>
          <cell r="B28" t="str">
            <v>其他应收款</v>
          </cell>
          <cell r="E28">
            <v>58886192.68</v>
          </cell>
          <cell r="G28">
            <v>1217177.81</v>
          </cell>
          <cell r="H28">
            <v>206235.5</v>
          </cell>
        </row>
        <row r="29">
          <cell r="A29" t="str">
            <v>1221.01</v>
          </cell>
          <cell r="B29" t="str">
            <v>　　单位</v>
          </cell>
          <cell r="E29">
            <v>58886192.68</v>
          </cell>
          <cell r="G29">
            <v>1217177.81</v>
          </cell>
          <cell r="H29">
            <v>206235.5</v>
          </cell>
        </row>
        <row r="30">
          <cell r="A30" t="str">
            <v>1221.01</v>
          </cell>
          <cell r="B30" t="str">
            <v>　　单位</v>
          </cell>
          <cell r="C30" t="str">
            <v>CU003004</v>
          </cell>
          <cell r="D30" t="str">
            <v>广州旭智投资控股有限责任公司</v>
          </cell>
          <cell r="E30">
            <v>53035523.689999998</v>
          </cell>
          <cell r="G30">
            <v>10114.049999999999</v>
          </cell>
        </row>
        <row r="31">
          <cell r="A31" t="str">
            <v>1221.01</v>
          </cell>
          <cell r="B31" t="str">
            <v>　　单位</v>
          </cell>
          <cell r="C31" t="str">
            <v>CU003010</v>
          </cell>
          <cell r="D31" t="str">
            <v>旭智富能新能源（深圳）有限责任公司</v>
          </cell>
          <cell r="E31">
            <v>366099.99</v>
          </cell>
          <cell r="G31">
            <v>146013.76000000001</v>
          </cell>
        </row>
        <row r="32">
          <cell r="A32" t="str">
            <v>1221.01</v>
          </cell>
          <cell r="B32" t="str">
            <v>　　单位</v>
          </cell>
          <cell r="C32" t="str">
            <v>CU005009</v>
          </cell>
          <cell r="D32" t="str">
            <v>旭智资本有限公司</v>
          </cell>
          <cell r="E32">
            <v>5484569</v>
          </cell>
          <cell r="G32">
            <v>1061050</v>
          </cell>
          <cell r="H32">
            <v>206235.5</v>
          </cell>
        </row>
        <row r="33">
          <cell r="A33" t="str">
            <v>1511</v>
          </cell>
          <cell r="B33" t="str">
            <v>长期股权投资</v>
          </cell>
          <cell r="E33">
            <v>5358013.7300000004</v>
          </cell>
        </row>
        <row r="34">
          <cell r="A34" t="str">
            <v>1511.01</v>
          </cell>
          <cell r="B34" t="str">
            <v>　　投资成本</v>
          </cell>
          <cell r="E34">
            <v>5358013.7300000004</v>
          </cell>
        </row>
        <row r="35">
          <cell r="A35" t="str">
            <v>1511.01.08</v>
          </cell>
          <cell r="B35" t="str">
            <v>　　　　深圳旭智私募股权基金管理有限公司</v>
          </cell>
          <cell r="E35">
            <v>5358013.7300000004</v>
          </cell>
        </row>
        <row r="36">
          <cell r="A36" t="str">
            <v>1641</v>
          </cell>
          <cell r="B36" t="str">
            <v>使用权资产</v>
          </cell>
          <cell r="E36">
            <v>7228737.71</v>
          </cell>
        </row>
        <row r="37">
          <cell r="A37" t="str">
            <v>1641.02</v>
          </cell>
          <cell r="B37" t="str">
            <v>　　办公地址</v>
          </cell>
          <cell r="E37">
            <v>7228737.71</v>
          </cell>
        </row>
        <row r="38">
          <cell r="A38" t="str">
            <v>1641.02.02</v>
          </cell>
          <cell r="B38" t="str">
            <v>　　　　旭智资本（香港）--冯氏大厦</v>
          </cell>
          <cell r="E38">
            <v>7228737.71</v>
          </cell>
        </row>
        <row r="39">
          <cell r="A39" t="str">
            <v>1642</v>
          </cell>
          <cell r="B39" t="str">
            <v>使用权资产累计折旧</v>
          </cell>
          <cell r="F39">
            <v>5536001.04</v>
          </cell>
          <cell r="H39">
            <v>80668.460000000006</v>
          </cell>
        </row>
        <row r="40">
          <cell r="A40" t="str">
            <v>1642.02</v>
          </cell>
          <cell r="B40" t="str">
            <v>　　办公地址</v>
          </cell>
          <cell r="F40">
            <v>5536001.04</v>
          </cell>
          <cell r="H40">
            <v>80668.460000000006</v>
          </cell>
        </row>
        <row r="41">
          <cell r="A41" t="str">
            <v>1642.02.02</v>
          </cell>
          <cell r="B41" t="str">
            <v>　　　　旭智资本（香港）--冯氏大厦</v>
          </cell>
          <cell r="F41">
            <v>5536001.04</v>
          </cell>
          <cell r="H41">
            <v>80668.460000000006</v>
          </cell>
        </row>
        <row r="42">
          <cell r="A42" t="str">
            <v>2211</v>
          </cell>
          <cell r="B42" t="str">
            <v>应付职工薪酬</v>
          </cell>
          <cell r="F42">
            <v>412837.37</v>
          </cell>
          <cell r="G42">
            <v>352553.42</v>
          </cell>
          <cell r="H42">
            <v>6800</v>
          </cell>
        </row>
        <row r="43">
          <cell r="A43" t="str">
            <v>2211.02</v>
          </cell>
          <cell r="B43" t="str">
            <v>　　职工奖金</v>
          </cell>
          <cell r="F43">
            <v>300000</v>
          </cell>
          <cell r="G43">
            <v>300000</v>
          </cell>
        </row>
        <row r="44">
          <cell r="A44" t="str">
            <v>2211.11</v>
          </cell>
          <cell r="B44" t="str">
            <v>　　应付强制性公积金</v>
          </cell>
          <cell r="F44">
            <v>6800</v>
          </cell>
          <cell r="G44">
            <v>6800</v>
          </cell>
          <cell r="H44">
            <v>6800</v>
          </cell>
        </row>
        <row r="45">
          <cell r="A45" t="str">
            <v>2211.12</v>
          </cell>
          <cell r="B45" t="str">
            <v>　　应付长期服务金</v>
          </cell>
          <cell r="F45">
            <v>60283.95</v>
          </cell>
        </row>
        <row r="46">
          <cell r="A46" t="str">
            <v>2211.13</v>
          </cell>
          <cell r="B46" t="str">
            <v>　　未使用假期负债</v>
          </cell>
          <cell r="F46">
            <v>45753.42</v>
          </cell>
          <cell r="G46">
            <v>45753.42</v>
          </cell>
        </row>
        <row r="47">
          <cell r="A47" t="str">
            <v>2241</v>
          </cell>
          <cell r="B47" t="str">
            <v>其他应付款</v>
          </cell>
          <cell r="F47">
            <v>386965.08</v>
          </cell>
          <cell r="H47">
            <v>28700</v>
          </cell>
        </row>
        <row r="48">
          <cell r="A48" t="str">
            <v>2241.01</v>
          </cell>
          <cell r="B48" t="str">
            <v>　　单位</v>
          </cell>
          <cell r="F48">
            <v>246157</v>
          </cell>
          <cell r="H48">
            <v>28700</v>
          </cell>
        </row>
        <row r="49">
          <cell r="A49" t="str">
            <v>2241.01</v>
          </cell>
          <cell r="B49" t="str">
            <v>　　单位</v>
          </cell>
          <cell r="C49" t="str">
            <v>SU003011</v>
          </cell>
          <cell r="D49" t="str">
            <v>Tricor Services Limited</v>
          </cell>
          <cell r="F49">
            <v>11157</v>
          </cell>
          <cell r="H49">
            <v>11200</v>
          </cell>
        </row>
        <row r="50">
          <cell r="A50" t="str">
            <v>2241.01</v>
          </cell>
          <cell r="B50" t="str">
            <v>　　单位</v>
          </cell>
          <cell r="C50" t="str">
            <v>SU004019</v>
          </cell>
          <cell r="D50" t="str">
            <v>PricewaterhouseCoopers Limited</v>
          </cell>
          <cell r="F50">
            <v>235000</v>
          </cell>
          <cell r="H50">
            <v>17500</v>
          </cell>
        </row>
        <row r="51">
          <cell r="A51" t="str">
            <v>2241.02</v>
          </cell>
          <cell r="B51" t="str">
            <v>　　个人</v>
          </cell>
          <cell r="F51">
            <v>140808.07999999999</v>
          </cell>
        </row>
        <row r="52">
          <cell r="A52" t="str">
            <v>2241.02</v>
          </cell>
          <cell r="B52" t="str">
            <v>　　个人</v>
          </cell>
          <cell r="C52" t="str">
            <v>SP003006</v>
          </cell>
          <cell r="D52" t="str">
            <v>甄伟杰</v>
          </cell>
          <cell r="F52">
            <v>140808.07999999999</v>
          </cell>
        </row>
        <row r="53">
          <cell r="A53" t="str">
            <v>2241.02</v>
          </cell>
          <cell r="B53" t="str">
            <v>　　个人</v>
          </cell>
          <cell r="C53" t="str">
            <v>SP003007</v>
          </cell>
          <cell r="D53" t="str">
            <v>梁国希</v>
          </cell>
        </row>
        <row r="54">
          <cell r="A54" t="str">
            <v>2241.02</v>
          </cell>
          <cell r="B54" t="str">
            <v>　　个人</v>
          </cell>
          <cell r="C54" t="str">
            <v>SP003009</v>
          </cell>
          <cell r="D54" t="str">
            <v>李琦</v>
          </cell>
        </row>
        <row r="55">
          <cell r="A55" t="str">
            <v>2601</v>
          </cell>
          <cell r="B55" t="str">
            <v>租赁负债</v>
          </cell>
          <cell r="F55">
            <v>1836487.21</v>
          </cell>
          <cell r="G55">
            <v>93706.11</v>
          </cell>
        </row>
        <row r="56">
          <cell r="A56" t="str">
            <v>2601.01</v>
          </cell>
          <cell r="B56" t="str">
            <v>　　租赁付款额</v>
          </cell>
          <cell r="F56">
            <v>1906613.93</v>
          </cell>
          <cell r="G56">
            <v>93706.11</v>
          </cell>
        </row>
        <row r="57">
          <cell r="A57" t="str">
            <v>2601.01.02</v>
          </cell>
          <cell r="B57" t="str">
            <v>　　　　办公地址</v>
          </cell>
          <cell r="F57">
            <v>1906613.93</v>
          </cell>
          <cell r="G57">
            <v>93706.11</v>
          </cell>
        </row>
        <row r="58">
          <cell r="A58" t="str">
            <v>2601.01.02.02</v>
          </cell>
          <cell r="B58" t="str">
            <v>　　　　　　旭智资本（香港）--冯氏大厦</v>
          </cell>
          <cell r="F58">
            <v>1906613.93</v>
          </cell>
          <cell r="G58">
            <v>93706.11</v>
          </cell>
        </row>
        <row r="59">
          <cell r="A59" t="str">
            <v>2601.02</v>
          </cell>
          <cell r="B59" t="str">
            <v>　　未确认融资费用</v>
          </cell>
          <cell r="E59">
            <v>70126.720000000001</v>
          </cell>
        </row>
        <row r="60">
          <cell r="A60" t="str">
            <v>2601.02.02</v>
          </cell>
          <cell r="B60" t="str">
            <v>　　　　办公地址</v>
          </cell>
          <cell r="E60">
            <v>70126.720000000001</v>
          </cell>
        </row>
        <row r="61">
          <cell r="A61" t="str">
            <v>2601.02.02.02</v>
          </cell>
          <cell r="B61" t="str">
            <v>　　　　　　旭智资本（香港）--冯氏大厦</v>
          </cell>
          <cell r="E61">
            <v>70126.720000000001</v>
          </cell>
        </row>
        <row r="62">
          <cell r="A62" t="str">
            <v>2801</v>
          </cell>
          <cell r="B62" t="str">
            <v>预计负债</v>
          </cell>
          <cell r="F62">
            <v>245000</v>
          </cell>
        </row>
        <row r="63">
          <cell r="A63" t="str">
            <v>4001</v>
          </cell>
          <cell r="B63" t="str">
            <v>实收资本（股本）</v>
          </cell>
          <cell r="F63">
            <v>113887263</v>
          </cell>
        </row>
        <row r="64">
          <cell r="A64" t="str">
            <v>4001.50</v>
          </cell>
          <cell r="B64" t="str">
            <v>　　普通股</v>
          </cell>
          <cell r="F64">
            <v>113887263</v>
          </cell>
        </row>
        <row r="65">
          <cell r="A65" t="str">
            <v>4001.50.07</v>
          </cell>
          <cell r="B65" t="str">
            <v>　　　　旭智资本有限公司</v>
          </cell>
          <cell r="F65">
            <v>113887263</v>
          </cell>
        </row>
        <row r="66">
          <cell r="A66" t="str">
            <v>4103</v>
          </cell>
          <cell r="B66" t="str">
            <v>本年利润</v>
          </cell>
          <cell r="E66">
            <v>914928.99</v>
          </cell>
          <cell r="G66">
            <v>656364.25</v>
          </cell>
          <cell r="H66">
            <v>205891.78</v>
          </cell>
        </row>
        <row r="67">
          <cell r="A67" t="str">
            <v>4104</v>
          </cell>
          <cell r="B67" t="str">
            <v>利润分配</v>
          </cell>
          <cell r="E67">
            <v>39431857.289999999</v>
          </cell>
        </row>
        <row r="68">
          <cell r="A68" t="str">
            <v>4104.07</v>
          </cell>
          <cell r="B68" t="str">
            <v>　　未分配利润</v>
          </cell>
          <cell r="E68">
            <v>39431857.289999999</v>
          </cell>
        </row>
        <row r="69">
          <cell r="A69" t="str">
            <v>6001</v>
          </cell>
          <cell r="B69" t="str">
            <v>主营业务收入</v>
          </cell>
          <cell r="G69">
            <v>144841.78</v>
          </cell>
          <cell r="H69">
            <v>144841.78</v>
          </cell>
        </row>
        <row r="70">
          <cell r="A70" t="str">
            <v>6001.02</v>
          </cell>
          <cell r="B70" t="str">
            <v>　　咨询服务费收入</v>
          </cell>
          <cell r="G70">
            <v>144841.78</v>
          </cell>
          <cell r="H70">
            <v>144841.78</v>
          </cell>
        </row>
        <row r="71">
          <cell r="A71" t="str">
            <v>6001.02.02</v>
          </cell>
          <cell r="B71" t="str">
            <v>　　　　未开票</v>
          </cell>
          <cell r="G71">
            <v>144841.78</v>
          </cell>
          <cell r="H71">
            <v>144841.78</v>
          </cell>
        </row>
        <row r="72">
          <cell r="A72" t="str">
            <v>6001.02.02</v>
          </cell>
          <cell r="B72" t="str">
            <v>　　　　未开票</v>
          </cell>
          <cell r="C72" t="str">
            <v>CU003010</v>
          </cell>
          <cell r="D72" t="str">
            <v>旭智富能新能源（深圳）有限责任公司</v>
          </cell>
          <cell r="G72">
            <v>144841.78</v>
          </cell>
          <cell r="H72">
            <v>144841.78</v>
          </cell>
        </row>
        <row r="73">
          <cell r="A73" t="str">
            <v>6115</v>
          </cell>
          <cell r="B73" t="str">
            <v>其他收益</v>
          </cell>
          <cell r="G73">
            <v>61050</v>
          </cell>
          <cell r="H73">
            <v>61050</v>
          </cell>
        </row>
        <row r="74">
          <cell r="A74" t="str">
            <v>6115.03</v>
          </cell>
          <cell r="B74" t="str">
            <v>　　公司间往来</v>
          </cell>
          <cell r="G74">
            <v>61050</v>
          </cell>
          <cell r="H74">
            <v>61050</v>
          </cell>
        </row>
        <row r="75">
          <cell r="A75" t="str">
            <v>6602</v>
          </cell>
          <cell r="B75" t="str">
            <v>管理费用</v>
          </cell>
          <cell r="G75">
            <v>659494.93999999994</v>
          </cell>
          <cell r="H75">
            <v>659494.93999999994</v>
          </cell>
        </row>
        <row r="76">
          <cell r="A76" t="str">
            <v>6602.01</v>
          </cell>
          <cell r="B76" t="str">
            <v>　　工资薪金</v>
          </cell>
          <cell r="G76">
            <v>443982.08000000002</v>
          </cell>
          <cell r="H76">
            <v>443982.08000000002</v>
          </cell>
        </row>
        <row r="77">
          <cell r="A77" t="str">
            <v>6602.01.01</v>
          </cell>
          <cell r="B77" t="str">
            <v>　　　　基本工资（专业）</v>
          </cell>
          <cell r="G77">
            <v>100000</v>
          </cell>
          <cell r="H77">
            <v>100000</v>
          </cell>
        </row>
        <row r="78">
          <cell r="A78" t="str">
            <v>6602.01.05</v>
          </cell>
          <cell r="B78" t="str">
            <v>　　　　员工假期</v>
          </cell>
          <cell r="G78">
            <v>-45753.42</v>
          </cell>
          <cell r="H78">
            <v>-45753.42</v>
          </cell>
        </row>
        <row r="79">
          <cell r="A79" t="str">
            <v>6602.01.07</v>
          </cell>
          <cell r="B79" t="str">
            <v>　　　　集团内分摊</v>
          </cell>
          <cell r="G79">
            <v>206235.5</v>
          </cell>
          <cell r="H79">
            <v>206235.5</v>
          </cell>
        </row>
        <row r="80">
          <cell r="A80" t="str">
            <v>6602.01.08</v>
          </cell>
          <cell r="B80" t="str">
            <v>　　　　基本工资（管理）</v>
          </cell>
          <cell r="G80">
            <v>183500</v>
          </cell>
          <cell r="H80">
            <v>183500</v>
          </cell>
        </row>
        <row r="81">
          <cell r="A81" t="str">
            <v>6602.03</v>
          </cell>
          <cell r="B81" t="str">
            <v>　　社保公积金</v>
          </cell>
          <cell r="G81">
            <v>20303.650000000001</v>
          </cell>
          <cell r="H81">
            <v>20303.650000000001</v>
          </cell>
        </row>
        <row r="82">
          <cell r="A82" t="str">
            <v>6602.03.01</v>
          </cell>
          <cell r="B82" t="str">
            <v>　　　　员工社保福利</v>
          </cell>
          <cell r="G82">
            <v>16903.650000000001</v>
          </cell>
          <cell r="H82">
            <v>16903.650000000001</v>
          </cell>
        </row>
        <row r="83">
          <cell r="A83" t="str">
            <v>6602.03.03</v>
          </cell>
          <cell r="B83" t="str">
            <v>　　　　员工强制性公积金福利</v>
          </cell>
          <cell r="G83">
            <v>3400</v>
          </cell>
          <cell r="H83">
            <v>3400</v>
          </cell>
        </row>
        <row r="84">
          <cell r="A84" t="str">
            <v>6602.04</v>
          </cell>
          <cell r="B84" t="str">
            <v>　　咨询及专业服务费</v>
          </cell>
          <cell r="G84">
            <v>80746.880000000005</v>
          </cell>
          <cell r="H84">
            <v>80746.880000000005</v>
          </cell>
        </row>
        <row r="85">
          <cell r="A85" t="str">
            <v>6602.04.01</v>
          </cell>
          <cell r="B85" t="str">
            <v>　　　　会计服务费</v>
          </cell>
          <cell r="G85">
            <v>8500</v>
          </cell>
          <cell r="H85">
            <v>8500</v>
          </cell>
        </row>
        <row r="86">
          <cell r="A86" t="str">
            <v>6602.04.02</v>
          </cell>
          <cell r="B86" t="str">
            <v>　　　　审计服务费</v>
          </cell>
          <cell r="G86">
            <v>17500</v>
          </cell>
          <cell r="H86">
            <v>17500</v>
          </cell>
        </row>
        <row r="87">
          <cell r="A87" t="str">
            <v>6602.04.03</v>
          </cell>
          <cell r="B87" t="str">
            <v>　　　　顾问费</v>
          </cell>
          <cell r="G87">
            <v>36646.879999999997</v>
          </cell>
          <cell r="H87">
            <v>36646.879999999997</v>
          </cell>
        </row>
        <row r="88">
          <cell r="A88" t="str">
            <v>6602.04.03</v>
          </cell>
          <cell r="B88" t="str">
            <v>　　　　顾问费</v>
          </cell>
          <cell r="C88" t="str">
            <v>CI008</v>
          </cell>
          <cell r="D88" t="str">
            <v>旭智资本（香港）</v>
          </cell>
          <cell r="G88">
            <v>36646.879999999997</v>
          </cell>
          <cell r="H88">
            <v>36646.879999999997</v>
          </cell>
        </row>
        <row r="89">
          <cell r="A89" t="str">
            <v>6602.04.07</v>
          </cell>
          <cell r="B89" t="str">
            <v>　　　　人力资源服务费</v>
          </cell>
          <cell r="G89">
            <v>2500</v>
          </cell>
          <cell r="H89">
            <v>2500</v>
          </cell>
        </row>
        <row r="90">
          <cell r="A90" t="str">
            <v>6602.04.12</v>
          </cell>
          <cell r="B90" t="str">
            <v>　　　　合规支持服务</v>
          </cell>
          <cell r="G90">
            <v>15600</v>
          </cell>
          <cell r="H90">
            <v>15600</v>
          </cell>
        </row>
        <row r="91">
          <cell r="A91" t="str">
            <v>6602.04.12</v>
          </cell>
          <cell r="B91" t="str">
            <v>　　　　合规支持服务</v>
          </cell>
          <cell r="C91" t="str">
            <v>CI008</v>
          </cell>
          <cell r="D91" t="str">
            <v>旭智资本（香港）</v>
          </cell>
          <cell r="G91">
            <v>15600</v>
          </cell>
          <cell r="H91">
            <v>15600</v>
          </cell>
        </row>
        <row r="92">
          <cell r="A92" t="str">
            <v>6602.05</v>
          </cell>
          <cell r="B92" t="str">
            <v>　　占用费</v>
          </cell>
          <cell r="G92">
            <v>25413.37</v>
          </cell>
          <cell r="H92">
            <v>25413.37</v>
          </cell>
        </row>
        <row r="93">
          <cell r="A93" t="str">
            <v>6602.05.02</v>
          </cell>
          <cell r="B93" t="str">
            <v>　　　　管理费</v>
          </cell>
          <cell r="G93">
            <v>23952.67</v>
          </cell>
          <cell r="H93">
            <v>23952.67</v>
          </cell>
        </row>
        <row r="94">
          <cell r="A94" t="str">
            <v>6602.05.03</v>
          </cell>
          <cell r="B94" t="str">
            <v>　　　　电费</v>
          </cell>
          <cell r="G94">
            <v>728</v>
          </cell>
          <cell r="H94">
            <v>728</v>
          </cell>
        </row>
        <row r="95">
          <cell r="A95" t="str">
            <v>6602.05.05</v>
          </cell>
          <cell r="B95" t="str">
            <v>　　　　维修费</v>
          </cell>
          <cell r="G95">
            <v>732.7</v>
          </cell>
          <cell r="H95">
            <v>732.7</v>
          </cell>
        </row>
        <row r="96">
          <cell r="A96" t="str">
            <v>6602.08</v>
          </cell>
          <cell r="B96" t="str">
            <v>　　事务费用</v>
          </cell>
          <cell r="G96">
            <v>2560.58</v>
          </cell>
          <cell r="H96">
            <v>2560.58</v>
          </cell>
        </row>
        <row r="97">
          <cell r="A97" t="str">
            <v>6602.08.01</v>
          </cell>
          <cell r="B97" t="str">
            <v>　　　　通信费</v>
          </cell>
          <cell r="G97">
            <v>503</v>
          </cell>
          <cell r="H97">
            <v>503</v>
          </cell>
        </row>
        <row r="98">
          <cell r="A98" t="str">
            <v>6602.08.01</v>
          </cell>
          <cell r="B98" t="str">
            <v>　　　　通信费</v>
          </cell>
          <cell r="C98" t="str">
            <v>CI008</v>
          </cell>
          <cell r="D98" t="str">
            <v>旭智资本（香港）</v>
          </cell>
          <cell r="G98">
            <v>503</v>
          </cell>
          <cell r="H98">
            <v>503</v>
          </cell>
        </row>
        <row r="99">
          <cell r="A99" t="str">
            <v>6602.08.03</v>
          </cell>
          <cell r="B99" t="str">
            <v>　　　　办公用品</v>
          </cell>
        </row>
        <row r="100">
          <cell r="A100" t="str">
            <v>6602.08.03</v>
          </cell>
          <cell r="B100" t="str">
            <v>　　　　办公用品</v>
          </cell>
          <cell r="C100" t="str">
            <v>CI008</v>
          </cell>
          <cell r="D100" t="str">
            <v>旭智资本（香港）</v>
          </cell>
        </row>
        <row r="101">
          <cell r="A101" t="str">
            <v>6602.08.04</v>
          </cell>
          <cell r="B101" t="str">
            <v>　　　　事务保金</v>
          </cell>
          <cell r="G101">
            <v>2057.58</v>
          </cell>
          <cell r="H101">
            <v>2057.58</v>
          </cell>
        </row>
        <row r="102">
          <cell r="A102" t="str">
            <v>6602.08.04</v>
          </cell>
          <cell r="B102" t="str">
            <v>　　　　事务保金</v>
          </cell>
          <cell r="C102" t="str">
            <v>CI008</v>
          </cell>
          <cell r="D102" t="str">
            <v>旭智资本（香港）</v>
          </cell>
          <cell r="G102">
            <v>2057.58</v>
          </cell>
          <cell r="H102">
            <v>2057.58</v>
          </cell>
        </row>
        <row r="103">
          <cell r="A103" t="str">
            <v>6602.08.07</v>
          </cell>
          <cell r="B103" t="str">
            <v>　　　　软件许可证费用</v>
          </cell>
        </row>
        <row r="104">
          <cell r="A104" t="str">
            <v>6602.08.07</v>
          </cell>
          <cell r="B104" t="str">
            <v>　　　　软件许可证费用</v>
          </cell>
          <cell r="C104" t="str">
            <v>CI008</v>
          </cell>
          <cell r="D104" t="str">
            <v>旭智资本（香港）</v>
          </cell>
        </row>
        <row r="105">
          <cell r="A105" t="str">
            <v>6602.09</v>
          </cell>
          <cell r="B105" t="str">
            <v>　　差旅费</v>
          </cell>
          <cell r="G105">
            <v>25.4</v>
          </cell>
          <cell r="H105">
            <v>25.4</v>
          </cell>
        </row>
        <row r="106">
          <cell r="A106" t="str">
            <v>6602.09.01</v>
          </cell>
          <cell r="B106" t="str">
            <v>　　　　住宿费</v>
          </cell>
          <cell r="G106">
            <v>25.4</v>
          </cell>
          <cell r="H106">
            <v>25.4</v>
          </cell>
        </row>
        <row r="107">
          <cell r="A107" t="str">
            <v>6602.09.01</v>
          </cell>
          <cell r="B107" t="str">
            <v>　　　　住宿费</v>
          </cell>
          <cell r="C107" t="str">
            <v>CI008</v>
          </cell>
          <cell r="D107" t="str">
            <v>旭智资本（香港）</v>
          </cell>
          <cell r="G107">
            <v>25.4</v>
          </cell>
          <cell r="H107">
            <v>25.4</v>
          </cell>
        </row>
        <row r="108">
          <cell r="A108" t="str">
            <v>6602.12</v>
          </cell>
          <cell r="B108" t="str">
            <v>　　使用权资产折旧</v>
          </cell>
          <cell r="G108">
            <v>80668.460000000006</v>
          </cell>
          <cell r="H108">
            <v>80668.460000000006</v>
          </cell>
        </row>
        <row r="109">
          <cell r="A109" t="str">
            <v>6602.12.02</v>
          </cell>
          <cell r="B109" t="str">
            <v>　　　　办公地址</v>
          </cell>
          <cell r="G109">
            <v>80668.460000000006</v>
          </cell>
          <cell r="H109">
            <v>80668.460000000006</v>
          </cell>
        </row>
        <row r="110">
          <cell r="A110" t="str">
            <v>6602.12.02.02</v>
          </cell>
          <cell r="B110" t="str">
            <v>　　　　　　旭智资本（香港）--冯氏大厦</v>
          </cell>
          <cell r="G110">
            <v>80668.460000000006</v>
          </cell>
          <cell r="H110">
            <v>80668.460000000006</v>
          </cell>
        </row>
        <row r="111">
          <cell r="A111" t="str">
            <v>6602.21</v>
          </cell>
          <cell r="B111" t="str">
            <v>　　公司秘书费</v>
          </cell>
          <cell r="G111">
            <v>1214.52</v>
          </cell>
          <cell r="H111">
            <v>1214.52</v>
          </cell>
        </row>
        <row r="112">
          <cell r="A112" t="str">
            <v>6602.24</v>
          </cell>
          <cell r="B112" t="str">
            <v>　　监管费用</v>
          </cell>
          <cell r="G112">
            <v>4380</v>
          </cell>
          <cell r="H112">
            <v>4380</v>
          </cell>
        </row>
        <row r="113">
          <cell r="A113" t="str">
            <v>6602.99</v>
          </cell>
          <cell r="B113" t="str">
            <v>　　其他</v>
          </cell>
          <cell r="G113">
            <v>200</v>
          </cell>
          <cell r="H113">
            <v>200</v>
          </cell>
        </row>
        <row r="114">
          <cell r="A114" t="str">
            <v>6603</v>
          </cell>
          <cell r="B114" t="str">
            <v>财务费用</v>
          </cell>
          <cell r="G114">
            <v>-3130.69</v>
          </cell>
          <cell r="H114">
            <v>-3130.69</v>
          </cell>
        </row>
        <row r="115">
          <cell r="A115" t="str">
            <v>6603.01</v>
          </cell>
          <cell r="B115" t="str">
            <v>　　汇兑损益</v>
          </cell>
          <cell r="G115">
            <v>-6867.81</v>
          </cell>
          <cell r="H115">
            <v>-6867.81</v>
          </cell>
        </row>
        <row r="116">
          <cell r="A116" t="str">
            <v>6603.02</v>
          </cell>
          <cell r="B116" t="str">
            <v>　　利息费用</v>
          </cell>
          <cell r="G116">
            <v>6293.89</v>
          </cell>
          <cell r="H116">
            <v>6293.89</v>
          </cell>
        </row>
        <row r="117">
          <cell r="A117" t="str">
            <v>6603.02.02</v>
          </cell>
          <cell r="B117" t="str">
            <v>　　　　办公地址</v>
          </cell>
          <cell r="G117">
            <v>6293.89</v>
          </cell>
          <cell r="H117">
            <v>6293.89</v>
          </cell>
        </row>
        <row r="118">
          <cell r="A118" t="str">
            <v>6603.02.02.02</v>
          </cell>
          <cell r="B118" t="str">
            <v>　　　　　　旭智资本（香港）--冯氏大厦</v>
          </cell>
          <cell r="G118">
            <v>6293.89</v>
          </cell>
          <cell r="H118">
            <v>6293.89</v>
          </cell>
        </row>
        <row r="119">
          <cell r="A119" t="str">
            <v>6603.03</v>
          </cell>
          <cell r="B119" t="str">
            <v>　　银行手续费</v>
          </cell>
          <cell r="G119">
            <v>280.87</v>
          </cell>
          <cell r="H119">
            <v>280.87</v>
          </cell>
        </row>
        <row r="120">
          <cell r="A120" t="str">
            <v>6603.04</v>
          </cell>
          <cell r="B120" t="str">
            <v>　　利息收入</v>
          </cell>
          <cell r="G120">
            <v>-2837.64</v>
          </cell>
          <cell r="H120">
            <v>-2837.64</v>
          </cell>
        </row>
        <row r="121">
          <cell r="B121" t="str">
            <v>合计</v>
          </cell>
          <cell r="E121">
            <v>122374680.42</v>
          </cell>
          <cell r="F121">
            <v>122374680.42</v>
          </cell>
          <cell r="G121">
            <v>7301254.7400000002</v>
          </cell>
          <cell r="H121">
            <v>7301254.7400000002</v>
          </cell>
        </row>
      </sheetData>
      <sheetData sheetId="3">
        <row r="1">
          <cell r="A1" t="str">
            <v>币别:香港元</v>
          </cell>
          <cell r="B1" t="str">
            <v>账簿:旭智资本（香港）有限公司</v>
          </cell>
          <cell r="C1" t="str">
            <v>期间:2025.4 -- 2025.4</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8121265.2999999998</v>
          </cell>
          <cell r="G4">
            <v>19006583.25</v>
          </cell>
          <cell r="H4">
            <v>20578311</v>
          </cell>
        </row>
        <row r="5">
          <cell r="A5" t="str">
            <v>1002.02</v>
          </cell>
          <cell r="B5" t="str">
            <v>　　【旭智资本（香港）】银行存款账户</v>
          </cell>
          <cell r="E5">
            <v>8121265.2999999998</v>
          </cell>
          <cell r="G5">
            <v>19006583.25</v>
          </cell>
          <cell r="H5">
            <v>20578311</v>
          </cell>
        </row>
        <row r="6">
          <cell r="A6" t="str">
            <v>1002.02.01</v>
          </cell>
          <cell r="B6" t="str">
            <v>　　　　汇丰银行-741-269492-838</v>
          </cell>
          <cell r="E6">
            <v>7867956.4800000004</v>
          </cell>
          <cell r="G6">
            <v>9632259.2799999993</v>
          </cell>
          <cell r="H6">
            <v>17027647.789999999</v>
          </cell>
        </row>
        <row r="7">
          <cell r="A7" t="str">
            <v>1002.02.01.01</v>
          </cell>
          <cell r="B7" t="str">
            <v>　　　　　　【旭智资本（香港）】汇丰港元储蓄账户 2838</v>
          </cell>
          <cell r="E7">
            <v>116936.01</v>
          </cell>
          <cell r="G7">
            <v>1900009.79</v>
          </cell>
          <cell r="H7">
            <v>1606137.46</v>
          </cell>
        </row>
        <row r="8">
          <cell r="A8" t="str">
            <v>1002.02.01.03</v>
          </cell>
          <cell r="B8" t="str">
            <v>　　　　　　【旭智资本（香港）】汇丰外币储蓄 - 人民币 2838</v>
          </cell>
          <cell r="E8">
            <v>28528.18</v>
          </cell>
          <cell r="G8">
            <v>7698225.6100000003</v>
          </cell>
          <cell r="H8">
            <v>7726753.79</v>
          </cell>
        </row>
        <row r="9">
          <cell r="A9" t="str">
            <v>1002.02.01.06</v>
          </cell>
          <cell r="B9" t="str">
            <v>　　　　　　【旭智资本（香港）】汇丰外币储蓄账户 - 澳币 2838</v>
          </cell>
          <cell r="E9">
            <v>60887.37</v>
          </cell>
          <cell r="G9">
            <v>872.26</v>
          </cell>
        </row>
        <row r="10">
          <cell r="A10" t="str">
            <v>1002.02.01.07</v>
          </cell>
          <cell r="B10" t="str">
            <v>　　　　　　【旭智资本（香港）】汇丰人民币定期存款</v>
          </cell>
        </row>
        <row r="11">
          <cell r="A11" t="str">
            <v>1002.02.01.08</v>
          </cell>
          <cell r="B11" t="str">
            <v>　　　　　　【旭智资本（香港）】汇丰全球货币基金</v>
          </cell>
          <cell r="E11">
            <v>7661604.9199999999</v>
          </cell>
          <cell r="G11">
            <v>33151.620000000003</v>
          </cell>
          <cell r="H11">
            <v>7694756.54</v>
          </cell>
        </row>
        <row r="12">
          <cell r="A12" t="str">
            <v>1002.02.02</v>
          </cell>
          <cell r="B12" t="str">
            <v>　　　　盈透证券-U13828206</v>
          </cell>
          <cell r="E12">
            <v>253308.82</v>
          </cell>
          <cell r="G12">
            <v>9374323.9700000007</v>
          </cell>
          <cell r="H12">
            <v>3550663.21</v>
          </cell>
        </row>
        <row r="13">
          <cell r="A13" t="str">
            <v>1002.02.02.01</v>
          </cell>
          <cell r="B13" t="str">
            <v>　　　　　　【旭智资本（香港）】盈透证券港元账户 8206</v>
          </cell>
          <cell r="E13">
            <v>252855.9</v>
          </cell>
          <cell r="G13">
            <v>1650775.1</v>
          </cell>
          <cell r="H13">
            <v>1900714.54</v>
          </cell>
        </row>
        <row r="14">
          <cell r="A14" t="str">
            <v>1002.02.02.02</v>
          </cell>
          <cell r="B14" t="str">
            <v>　　　　　　【旭智资本（香港）】盈透证券人民币账户 8206</v>
          </cell>
          <cell r="E14">
            <v>433.23</v>
          </cell>
          <cell r="G14">
            <v>7723541.3899999997</v>
          </cell>
          <cell r="H14">
            <v>1649921.5</v>
          </cell>
        </row>
        <row r="15">
          <cell r="A15" t="str">
            <v>1002.02.02.03</v>
          </cell>
          <cell r="B15" t="str">
            <v>　　　　　　【旭智资本（香港）】盈透证券澳币账户 8206</v>
          </cell>
          <cell r="E15">
            <v>19.690000000000001</v>
          </cell>
          <cell r="G15">
            <v>7.48</v>
          </cell>
          <cell r="H15">
            <v>27.17</v>
          </cell>
        </row>
        <row r="16">
          <cell r="A16" t="str">
            <v>1123</v>
          </cell>
          <cell r="B16" t="str">
            <v>预付账款</v>
          </cell>
          <cell r="E16">
            <v>572052.15</v>
          </cell>
          <cell r="G16">
            <v>402258.38</v>
          </cell>
          <cell r="H16">
            <v>102146.04</v>
          </cell>
        </row>
        <row r="17">
          <cell r="A17" t="str">
            <v>1123.01</v>
          </cell>
          <cell r="B17" t="str">
            <v>　　单位</v>
          </cell>
          <cell r="E17">
            <v>572052.15</v>
          </cell>
          <cell r="G17">
            <v>402258.38</v>
          </cell>
          <cell r="H17">
            <v>102146.04</v>
          </cell>
        </row>
        <row r="18">
          <cell r="A18" t="str">
            <v>1123.01</v>
          </cell>
          <cell r="B18" t="str">
            <v>　　单位</v>
          </cell>
          <cell r="C18" t="str">
            <v>SU003001</v>
          </cell>
          <cell r="D18" t="str">
            <v>Boardroom Corporate Services (HK) Limited</v>
          </cell>
          <cell r="E18">
            <v>10773.97</v>
          </cell>
          <cell r="H18">
            <v>1175.3399999999999</v>
          </cell>
        </row>
        <row r="19">
          <cell r="A19" t="str">
            <v>1123.01</v>
          </cell>
          <cell r="B19" t="str">
            <v>　　单位</v>
          </cell>
          <cell r="C19" t="str">
            <v>SU003003</v>
          </cell>
          <cell r="D19" t="str">
            <v>SUN HING INSURANCE BROKERS LTD.</v>
          </cell>
          <cell r="E19">
            <v>575.59</v>
          </cell>
          <cell r="G19">
            <v>291030.36</v>
          </cell>
          <cell r="H19">
            <v>261.63</v>
          </cell>
        </row>
        <row r="20">
          <cell r="A20" t="str">
            <v>1123.01</v>
          </cell>
          <cell r="B20" t="str">
            <v>　　单位</v>
          </cell>
          <cell r="C20" t="str">
            <v>SU003022</v>
          </cell>
          <cell r="D20" t="str">
            <v>Supreme Honour Development Limited</v>
          </cell>
          <cell r="E20">
            <v>529663</v>
          </cell>
          <cell r="G20">
            <v>111228.02</v>
          </cell>
          <cell r="H20">
            <v>100000</v>
          </cell>
        </row>
        <row r="21">
          <cell r="A21" t="str">
            <v>1123.01</v>
          </cell>
          <cell r="B21" t="str">
            <v>　　单位</v>
          </cell>
          <cell r="C21" t="str">
            <v>SU004004</v>
          </cell>
          <cell r="D21" t="str">
            <v>Fuji Xerox （Hong Kong) Limited</v>
          </cell>
          <cell r="E21">
            <v>4590</v>
          </cell>
        </row>
        <row r="22">
          <cell r="A22" t="str">
            <v>1123.01</v>
          </cell>
          <cell r="B22" t="str">
            <v>　　单位</v>
          </cell>
          <cell r="C22" t="str">
            <v>SU004006</v>
          </cell>
          <cell r="D22" t="str">
            <v>The HongKong Electric Co.,Ltd.</v>
          </cell>
          <cell r="E22">
            <v>17000</v>
          </cell>
        </row>
        <row r="23">
          <cell r="A23" t="str">
            <v>1123.01</v>
          </cell>
          <cell r="B23" t="str">
            <v>　　单位</v>
          </cell>
          <cell r="C23" t="str">
            <v>SU004010</v>
          </cell>
          <cell r="D23" t="str">
            <v>Noble Spirit Limited T/A Life Solutions</v>
          </cell>
          <cell r="E23">
            <v>7315.26</v>
          </cell>
          <cell r="H23">
            <v>359.18</v>
          </cell>
        </row>
        <row r="24">
          <cell r="A24" t="str">
            <v>1123.01</v>
          </cell>
          <cell r="B24" t="str">
            <v>　　单位</v>
          </cell>
          <cell r="C24" t="str">
            <v>SU004011</v>
          </cell>
          <cell r="D24" t="str">
            <v>Master Concept (Hong Kong) Limited</v>
          </cell>
        </row>
        <row r="25">
          <cell r="A25" t="str">
            <v>1123.01</v>
          </cell>
          <cell r="B25" t="str">
            <v>　　单位</v>
          </cell>
          <cell r="C25" t="str">
            <v>SU004013</v>
          </cell>
          <cell r="D25" t="str">
            <v>B&amp;T Engineering Limited</v>
          </cell>
          <cell r="E25">
            <v>2134.33</v>
          </cell>
          <cell r="H25">
            <v>349.89</v>
          </cell>
        </row>
        <row r="26">
          <cell r="A26" t="str">
            <v>1132</v>
          </cell>
          <cell r="B26" t="str">
            <v>应收利息</v>
          </cell>
        </row>
        <row r="27">
          <cell r="A27" t="str">
            <v>1132</v>
          </cell>
          <cell r="B27" t="str">
            <v>应收利息</v>
          </cell>
          <cell r="C27" t="str">
            <v>OU004001</v>
          </cell>
          <cell r="D27" t="str">
            <v>香港上海汇丰银行有限公司</v>
          </cell>
        </row>
        <row r="28">
          <cell r="A28" t="str">
            <v>1221</v>
          </cell>
          <cell r="B28" t="str">
            <v>其他应收款</v>
          </cell>
          <cell r="E28">
            <v>59897134.990000002</v>
          </cell>
          <cell r="G28">
            <v>952355.63</v>
          </cell>
          <cell r="H28">
            <v>208929.13</v>
          </cell>
        </row>
        <row r="29">
          <cell r="A29" t="str">
            <v>1221.01</v>
          </cell>
          <cell r="B29" t="str">
            <v>　　单位</v>
          </cell>
          <cell r="E29">
            <v>59897134.990000002</v>
          </cell>
          <cell r="G29">
            <v>952355.63</v>
          </cell>
          <cell r="H29">
            <v>208929.13</v>
          </cell>
        </row>
        <row r="30">
          <cell r="A30" t="str">
            <v>1221.01</v>
          </cell>
          <cell r="B30" t="str">
            <v>　　单位</v>
          </cell>
          <cell r="C30" t="str">
            <v>CU003004</v>
          </cell>
          <cell r="D30" t="str">
            <v>广州旭智投资控股有限责任公司</v>
          </cell>
          <cell r="E30">
            <v>53045637.740000002</v>
          </cell>
          <cell r="H30">
            <v>129548.07</v>
          </cell>
        </row>
        <row r="31">
          <cell r="A31" t="str">
            <v>1221.01</v>
          </cell>
          <cell r="B31" t="str">
            <v>　　单位</v>
          </cell>
          <cell r="C31" t="str">
            <v>CU003010</v>
          </cell>
          <cell r="D31" t="str">
            <v>旭智富能新能源（深圳）有限责任公司</v>
          </cell>
          <cell r="E31">
            <v>512113.75</v>
          </cell>
          <cell r="G31">
            <v>146705.63</v>
          </cell>
          <cell r="H31">
            <v>1645.56</v>
          </cell>
        </row>
        <row r="32">
          <cell r="A32" t="str">
            <v>1221.01</v>
          </cell>
          <cell r="B32" t="str">
            <v>　　单位</v>
          </cell>
          <cell r="C32" t="str">
            <v>CU005009</v>
          </cell>
          <cell r="D32" t="str">
            <v>旭智资本有限公司</v>
          </cell>
          <cell r="E32">
            <v>6339383.5</v>
          </cell>
          <cell r="G32">
            <v>805650</v>
          </cell>
          <cell r="H32">
            <v>77735.5</v>
          </cell>
        </row>
        <row r="33">
          <cell r="A33" t="str">
            <v>1511</v>
          </cell>
          <cell r="B33" t="str">
            <v>长期股权投资</v>
          </cell>
          <cell r="E33">
            <v>5358013.7300000004</v>
          </cell>
        </row>
        <row r="34">
          <cell r="A34" t="str">
            <v>1511.01</v>
          </cell>
          <cell r="B34" t="str">
            <v>　　投资成本</v>
          </cell>
          <cell r="E34">
            <v>5358013.7300000004</v>
          </cell>
        </row>
        <row r="35">
          <cell r="A35" t="str">
            <v>1511.01.08</v>
          </cell>
          <cell r="B35" t="str">
            <v>　　　　深圳旭智私募股权基金管理有限公司</v>
          </cell>
          <cell r="E35">
            <v>5358013.7300000004</v>
          </cell>
        </row>
        <row r="36">
          <cell r="A36" t="str">
            <v>1641</v>
          </cell>
          <cell r="B36" t="str">
            <v>使用权资产</v>
          </cell>
          <cell r="E36">
            <v>7228737.71</v>
          </cell>
        </row>
        <row r="37">
          <cell r="A37" t="str">
            <v>1641.02</v>
          </cell>
          <cell r="B37" t="str">
            <v>　　办公地址</v>
          </cell>
          <cell r="E37">
            <v>7228737.71</v>
          </cell>
        </row>
        <row r="38">
          <cell r="A38" t="str">
            <v>1641.02.02</v>
          </cell>
          <cell r="B38" t="str">
            <v>　　　　旭智资本（香港）--冯氏大厦</v>
          </cell>
          <cell r="E38">
            <v>7228737.71</v>
          </cell>
        </row>
        <row r="39">
          <cell r="A39" t="str">
            <v>1642</v>
          </cell>
          <cell r="B39" t="str">
            <v>使用权资产累计折旧</v>
          </cell>
          <cell r="F39">
            <v>5616669.5</v>
          </cell>
          <cell r="H39">
            <v>80668.460000000006</v>
          </cell>
        </row>
        <row r="40">
          <cell r="A40" t="str">
            <v>1642.02</v>
          </cell>
          <cell r="B40" t="str">
            <v>　　办公地址</v>
          </cell>
          <cell r="F40">
            <v>5616669.5</v>
          </cell>
          <cell r="H40">
            <v>80668.460000000006</v>
          </cell>
        </row>
        <row r="41">
          <cell r="A41" t="str">
            <v>1642.02.02</v>
          </cell>
          <cell r="B41" t="str">
            <v>　　　　旭智资本（香港）--冯氏大厦</v>
          </cell>
          <cell r="F41">
            <v>5616669.5</v>
          </cell>
          <cell r="H41">
            <v>80668.460000000006</v>
          </cell>
        </row>
        <row r="42">
          <cell r="A42" t="str">
            <v>2211</v>
          </cell>
          <cell r="B42" t="str">
            <v>应付职工薪酬</v>
          </cell>
          <cell r="F42">
            <v>67083.95</v>
          </cell>
          <cell r="G42">
            <v>6800</v>
          </cell>
          <cell r="H42">
            <v>9800</v>
          </cell>
        </row>
        <row r="43">
          <cell r="A43" t="str">
            <v>2211.02</v>
          </cell>
          <cell r="B43" t="str">
            <v>　　职工奖金</v>
          </cell>
        </row>
        <row r="44">
          <cell r="A44" t="str">
            <v>2211.11</v>
          </cell>
          <cell r="B44" t="str">
            <v>　　应付强制性公积金</v>
          </cell>
          <cell r="F44">
            <v>6800</v>
          </cell>
          <cell r="G44">
            <v>6800</v>
          </cell>
          <cell r="H44">
            <v>9800</v>
          </cell>
        </row>
        <row r="45">
          <cell r="A45" t="str">
            <v>2211.12</v>
          </cell>
          <cell r="B45" t="str">
            <v>　　应付长期服务金</v>
          </cell>
          <cell r="F45">
            <v>60283.95</v>
          </cell>
        </row>
        <row r="46">
          <cell r="A46" t="str">
            <v>2211.13</v>
          </cell>
          <cell r="B46" t="str">
            <v>　　未使用假期负债</v>
          </cell>
        </row>
        <row r="47">
          <cell r="A47" t="str">
            <v>2241</v>
          </cell>
          <cell r="B47" t="str">
            <v>其他应付款</v>
          </cell>
          <cell r="F47">
            <v>415665.08</v>
          </cell>
          <cell r="H47">
            <v>28700</v>
          </cell>
        </row>
        <row r="48">
          <cell r="A48" t="str">
            <v>2241.01</v>
          </cell>
          <cell r="B48" t="str">
            <v>　　单位</v>
          </cell>
          <cell r="F48">
            <v>274857</v>
          </cell>
          <cell r="H48">
            <v>28700</v>
          </cell>
        </row>
        <row r="49">
          <cell r="A49" t="str">
            <v>2241.01</v>
          </cell>
          <cell r="B49" t="str">
            <v>　　单位</v>
          </cell>
          <cell r="C49" t="str">
            <v>SU003011</v>
          </cell>
          <cell r="D49" t="str">
            <v>Tricor Services Limited</v>
          </cell>
          <cell r="F49">
            <v>22357</v>
          </cell>
          <cell r="H49">
            <v>11200</v>
          </cell>
        </row>
        <row r="50">
          <cell r="A50" t="str">
            <v>2241.01</v>
          </cell>
          <cell r="B50" t="str">
            <v>　　单位</v>
          </cell>
          <cell r="C50" t="str">
            <v>SU004019</v>
          </cell>
          <cell r="D50" t="str">
            <v>PricewaterhouseCoopers Limited</v>
          </cell>
          <cell r="F50">
            <v>252500</v>
          </cell>
          <cell r="H50">
            <v>17500</v>
          </cell>
        </row>
        <row r="51">
          <cell r="A51" t="str">
            <v>2241.02</v>
          </cell>
          <cell r="B51" t="str">
            <v>　　个人</v>
          </cell>
          <cell r="F51">
            <v>140808.07999999999</v>
          </cell>
        </row>
        <row r="52">
          <cell r="A52" t="str">
            <v>2241.02</v>
          </cell>
          <cell r="B52" t="str">
            <v>　　个人</v>
          </cell>
          <cell r="C52" t="str">
            <v>SP003006</v>
          </cell>
          <cell r="D52" t="str">
            <v>甄伟杰</v>
          </cell>
          <cell r="F52">
            <v>140808.07999999999</v>
          </cell>
        </row>
        <row r="53">
          <cell r="A53" t="str">
            <v>2241.02</v>
          </cell>
          <cell r="B53" t="str">
            <v>　　个人</v>
          </cell>
          <cell r="C53" t="str">
            <v>SP003007</v>
          </cell>
          <cell r="D53" t="str">
            <v>梁国希</v>
          </cell>
        </row>
        <row r="54">
          <cell r="A54" t="str">
            <v>2241.02</v>
          </cell>
          <cell r="B54" t="str">
            <v>　　个人</v>
          </cell>
          <cell r="C54" t="str">
            <v>SP003009</v>
          </cell>
          <cell r="D54" t="str">
            <v>李琦</v>
          </cell>
        </row>
        <row r="55">
          <cell r="A55" t="str">
            <v>2601</v>
          </cell>
          <cell r="B55" t="str">
            <v>租赁负债</v>
          </cell>
          <cell r="F55">
            <v>1742781.1</v>
          </cell>
          <cell r="G55">
            <v>94027.26</v>
          </cell>
        </row>
        <row r="56">
          <cell r="A56" t="str">
            <v>2601.01</v>
          </cell>
          <cell r="B56" t="str">
            <v>　　租赁付款额</v>
          </cell>
          <cell r="F56">
            <v>1812907.82</v>
          </cell>
          <cell r="G56">
            <v>94027.26</v>
          </cell>
        </row>
        <row r="57">
          <cell r="A57" t="str">
            <v>2601.01.02</v>
          </cell>
          <cell r="B57" t="str">
            <v>　　　　办公地址</v>
          </cell>
          <cell r="F57">
            <v>1812907.82</v>
          </cell>
          <cell r="G57">
            <v>94027.26</v>
          </cell>
        </row>
        <row r="58">
          <cell r="A58" t="str">
            <v>2601.01.02.02</v>
          </cell>
          <cell r="B58" t="str">
            <v>　　　　　　旭智资本（香港）--冯氏大厦</v>
          </cell>
          <cell r="F58">
            <v>1812907.82</v>
          </cell>
          <cell r="G58">
            <v>94027.26</v>
          </cell>
        </row>
        <row r="59">
          <cell r="A59" t="str">
            <v>2601.02</v>
          </cell>
          <cell r="B59" t="str">
            <v>　　未确认融资费用</v>
          </cell>
          <cell r="E59">
            <v>70126.720000000001</v>
          </cell>
        </row>
        <row r="60">
          <cell r="A60" t="str">
            <v>2601.02.02</v>
          </cell>
          <cell r="B60" t="str">
            <v>　　　　办公地址</v>
          </cell>
          <cell r="E60">
            <v>70126.720000000001</v>
          </cell>
        </row>
        <row r="61">
          <cell r="A61" t="str">
            <v>2601.02.02.02</v>
          </cell>
          <cell r="B61" t="str">
            <v>　　　　　　旭智资本（香港）--冯氏大厦</v>
          </cell>
          <cell r="E61">
            <v>70126.720000000001</v>
          </cell>
        </row>
        <row r="62">
          <cell r="A62" t="str">
            <v>2801</v>
          </cell>
          <cell r="B62" t="str">
            <v>预计负债</v>
          </cell>
          <cell r="F62">
            <v>245000</v>
          </cell>
        </row>
        <row r="63">
          <cell r="A63" t="str">
            <v>4001</v>
          </cell>
          <cell r="B63" t="str">
            <v>实收资本（股本）</v>
          </cell>
          <cell r="F63">
            <v>113887263</v>
          </cell>
        </row>
        <row r="64">
          <cell r="A64" t="str">
            <v>4001.50</v>
          </cell>
          <cell r="B64" t="str">
            <v>　　普通股</v>
          </cell>
          <cell r="F64">
            <v>113887263</v>
          </cell>
        </row>
        <row r="65">
          <cell r="A65" t="str">
            <v>4001.50.07</v>
          </cell>
          <cell r="B65" t="str">
            <v>　　　　旭智资本有限公司</v>
          </cell>
          <cell r="F65">
            <v>113887263</v>
          </cell>
        </row>
        <row r="66">
          <cell r="A66" t="str">
            <v>4103</v>
          </cell>
          <cell r="B66" t="str">
            <v>本年利润</v>
          </cell>
          <cell r="E66">
            <v>1365401.46</v>
          </cell>
          <cell r="G66">
            <v>748885.74</v>
          </cell>
          <cell r="H66">
            <v>202355.63</v>
          </cell>
        </row>
        <row r="67">
          <cell r="A67" t="str">
            <v>4104</v>
          </cell>
          <cell r="B67" t="str">
            <v>利润分配</v>
          </cell>
          <cell r="E67">
            <v>39431857.289999999</v>
          </cell>
        </row>
        <row r="68">
          <cell r="A68" t="str">
            <v>4104.07</v>
          </cell>
          <cell r="B68" t="str">
            <v>　　未分配利润</v>
          </cell>
          <cell r="E68">
            <v>39431857.289999999</v>
          </cell>
        </row>
        <row r="69">
          <cell r="A69" t="str">
            <v>6001</v>
          </cell>
          <cell r="B69" t="str">
            <v>主营业务收入</v>
          </cell>
          <cell r="G69">
            <v>146705.63</v>
          </cell>
          <cell r="H69">
            <v>146705.63</v>
          </cell>
        </row>
        <row r="70">
          <cell r="A70" t="str">
            <v>6001.02</v>
          </cell>
          <cell r="B70" t="str">
            <v>　　咨询服务费收入</v>
          </cell>
          <cell r="G70">
            <v>146705.63</v>
          </cell>
          <cell r="H70">
            <v>146705.63</v>
          </cell>
        </row>
        <row r="71">
          <cell r="A71" t="str">
            <v>6001.02.02</v>
          </cell>
          <cell r="B71" t="str">
            <v>　　　　未开票</v>
          </cell>
          <cell r="G71">
            <v>146705.63</v>
          </cell>
          <cell r="H71">
            <v>146705.63</v>
          </cell>
        </row>
        <row r="72">
          <cell r="A72" t="str">
            <v>6001.02.02</v>
          </cell>
          <cell r="B72" t="str">
            <v>　　　　未开票</v>
          </cell>
          <cell r="C72" t="str">
            <v>CU003010</v>
          </cell>
          <cell r="D72" t="str">
            <v>旭智富能新能源（深圳）有限责任公司</v>
          </cell>
          <cell r="G72">
            <v>146705.63</v>
          </cell>
          <cell r="H72">
            <v>146705.63</v>
          </cell>
        </row>
        <row r="73">
          <cell r="A73" t="str">
            <v>6115</v>
          </cell>
          <cell r="B73" t="str">
            <v>其他收益</v>
          </cell>
          <cell r="G73">
            <v>55650</v>
          </cell>
          <cell r="H73">
            <v>55650</v>
          </cell>
        </row>
        <row r="74">
          <cell r="A74" t="str">
            <v>6115.03</v>
          </cell>
          <cell r="B74" t="str">
            <v>　　公司间往来</v>
          </cell>
          <cell r="G74">
            <v>55650</v>
          </cell>
          <cell r="H74">
            <v>55650</v>
          </cell>
        </row>
        <row r="75">
          <cell r="A75" t="str">
            <v>6602</v>
          </cell>
          <cell r="B75" t="str">
            <v>管理费用</v>
          </cell>
          <cell r="G75">
            <v>645502.48</v>
          </cell>
          <cell r="H75">
            <v>645502.48</v>
          </cell>
        </row>
        <row r="76">
          <cell r="A76" t="str">
            <v>6602.01</v>
          </cell>
          <cell r="B76" t="str">
            <v>　　工资薪金</v>
          </cell>
          <cell r="G76">
            <v>461235.5</v>
          </cell>
          <cell r="H76">
            <v>461235.5</v>
          </cell>
        </row>
        <row r="77">
          <cell r="A77" t="str">
            <v>6602.01.01</v>
          </cell>
          <cell r="B77" t="str">
            <v>　　　　基本工资（专业）</v>
          </cell>
          <cell r="G77">
            <v>200000</v>
          </cell>
          <cell r="H77">
            <v>200000</v>
          </cell>
        </row>
        <row r="78">
          <cell r="A78" t="str">
            <v>6602.01.05</v>
          </cell>
          <cell r="B78" t="str">
            <v>　　　　员工假期</v>
          </cell>
        </row>
        <row r="79">
          <cell r="A79" t="str">
            <v>6602.01.07</v>
          </cell>
          <cell r="B79" t="str">
            <v>　　　　集团内分摊</v>
          </cell>
          <cell r="G79">
            <v>77735.5</v>
          </cell>
          <cell r="H79">
            <v>77735.5</v>
          </cell>
        </row>
        <row r="80">
          <cell r="A80" t="str">
            <v>6602.01.08</v>
          </cell>
          <cell r="B80" t="str">
            <v>　　　　基本工资（管理）</v>
          </cell>
          <cell r="G80">
            <v>183500</v>
          </cell>
          <cell r="H80">
            <v>183500</v>
          </cell>
        </row>
        <row r="81">
          <cell r="A81" t="str">
            <v>6602.03</v>
          </cell>
          <cell r="B81" t="str">
            <v>　　社保公积金</v>
          </cell>
          <cell r="G81">
            <v>30962.42</v>
          </cell>
          <cell r="H81">
            <v>30962.42</v>
          </cell>
        </row>
        <row r="82">
          <cell r="A82" t="str">
            <v>6602.03.01</v>
          </cell>
          <cell r="B82" t="str">
            <v>　　　　员工社保福利</v>
          </cell>
          <cell r="G82">
            <v>26062.42</v>
          </cell>
          <cell r="H82">
            <v>26062.42</v>
          </cell>
        </row>
        <row r="83">
          <cell r="A83" t="str">
            <v>6602.03.03</v>
          </cell>
          <cell r="B83" t="str">
            <v>　　　　员工强制性公积金福利</v>
          </cell>
          <cell r="G83">
            <v>4900</v>
          </cell>
          <cell r="H83">
            <v>4900</v>
          </cell>
        </row>
        <row r="84">
          <cell r="A84" t="str">
            <v>6602.04</v>
          </cell>
          <cell r="B84" t="str">
            <v>　　咨询及专业服务费</v>
          </cell>
          <cell r="G84">
            <v>44100</v>
          </cell>
          <cell r="H84">
            <v>44100</v>
          </cell>
        </row>
        <row r="85">
          <cell r="A85" t="str">
            <v>6602.04.01</v>
          </cell>
          <cell r="B85" t="str">
            <v>　　　　会计服务费</v>
          </cell>
          <cell r="G85">
            <v>8500</v>
          </cell>
          <cell r="H85">
            <v>8500</v>
          </cell>
        </row>
        <row r="86">
          <cell r="A86" t="str">
            <v>6602.04.02</v>
          </cell>
          <cell r="B86" t="str">
            <v>　　　　审计服务费</v>
          </cell>
          <cell r="G86">
            <v>17500</v>
          </cell>
          <cell r="H86">
            <v>17500</v>
          </cell>
        </row>
        <row r="87">
          <cell r="A87" t="str">
            <v>6602.04.03</v>
          </cell>
          <cell r="B87" t="str">
            <v>　　　　顾问费</v>
          </cell>
        </row>
        <row r="88">
          <cell r="A88" t="str">
            <v>6602.04.03</v>
          </cell>
          <cell r="B88" t="str">
            <v>　　　　顾问费</v>
          </cell>
          <cell r="C88" t="str">
            <v>CI008</v>
          </cell>
          <cell r="D88" t="str">
            <v>旭智资本（香港）</v>
          </cell>
        </row>
        <row r="89">
          <cell r="A89" t="str">
            <v>6602.04.07</v>
          </cell>
          <cell r="B89" t="str">
            <v>　　　　人力资源服务费</v>
          </cell>
          <cell r="G89">
            <v>2500</v>
          </cell>
          <cell r="H89">
            <v>2500</v>
          </cell>
        </row>
        <row r="90">
          <cell r="A90" t="str">
            <v>6602.04.12</v>
          </cell>
          <cell r="B90" t="str">
            <v>　　　　合规支持服务</v>
          </cell>
          <cell r="G90">
            <v>15600</v>
          </cell>
          <cell r="H90">
            <v>15600</v>
          </cell>
        </row>
        <row r="91">
          <cell r="A91" t="str">
            <v>6602.04.12</v>
          </cell>
          <cell r="B91" t="str">
            <v>　　　　合规支持服务</v>
          </cell>
          <cell r="C91" t="str">
            <v>CI008</v>
          </cell>
          <cell r="D91" t="str">
            <v>旭智资本（香港）</v>
          </cell>
          <cell r="G91">
            <v>15600</v>
          </cell>
          <cell r="H91">
            <v>15600</v>
          </cell>
        </row>
        <row r="92">
          <cell r="A92" t="str">
            <v>6602.05</v>
          </cell>
          <cell r="B92" t="str">
            <v>　　占用费</v>
          </cell>
          <cell r="G92">
            <v>25409.05</v>
          </cell>
          <cell r="H92">
            <v>25409.05</v>
          </cell>
        </row>
        <row r="93">
          <cell r="A93" t="str">
            <v>6602.05.02</v>
          </cell>
          <cell r="B93" t="str">
            <v>　　　　管理费</v>
          </cell>
          <cell r="G93">
            <v>23842.98</v>
          </cell>
          <cell r="H93">
            <v>23842.98</v>
          </cell>
        </row>
        <row r="94">
          <cell r="A94" t="str">
            <v>6602.05.03</v>
          </cell>
          <cell r="B94" t="str">
            <v>　　　　电费</v>
          </cell>
          <cell r="G94">
            <v>857</v>
          </cell>
          <cell r="H94">
            <v>857</v>
          </cell>
        </row>
        <row r="95">
          <cell r="A95" t="str">
            <v>6602.05.05</v>
          </cell>
          <cell r="B95" t="str">
            <v>　　　　维修费</v>
          </cell>
          <cell r="G95">
            <v>709.07</v>
          </cell>
          <cell r="H95">
            <v>709.07</v>
          </cell>
        </row>
        <row r="96">
          <cell r="A96" t="str">
            <v>6602.08</v>
          </cell>
          <cell r="B96" t="str">
            <v>　　事务费用</v>
          </cell>
          <cell r="G96">
            <v>1751.71</v>
          </cell>
          <cell r="H96">
            <v>1751.71</v>
          </cell>
        </row>
        <row r="97">
          <cell r="A97" t="str">
            <v>6602.08.01</v>
          </cell>
          <cell r="B97" t="str">
            <v>　　　　通信费</v>
          </cell>
        </row>
        <row r="98">
          <cell r="A98" t="str">
            <v>6602.08.01</v>
          </cell>
          <cell r="B98" t="str">
            <v>　　　　通信费</v>
          </cell>
          <cell r="C98" t="str">
            <v>CI008</v>
          </cell>
          <cell r="D98" t="str">
            <v>旭智资本（香港）</v>
          </cell>
        </row>
        <row r="99">
          <cell r="A99" t="str">
            <v>6602.08.03</v>
          </cell>
          <cell r="B99" t="str">
            <v>　　　　办公用品</v>
          </cell>
          <cell r="G99">
            <v>1490.08</v>
          </cell>
          <cell r="H99">
            <v>1490.08</v>
          </cell>
        </row>
        <row r="100">
          <cell r="A100" t="str">
            <v>6602.08.03</v>
          </cell>
          <cell r="B100" t="str">
            <v>　　　　办公用品</v>
          </cell>
          <cell r="C100" t="str">
            <v>CI008</v>
          </cell>
          <cell r="D100" t="str">
            <v>旭智资本（香港）</v>
          </cell>
          <cell r="G100">
            <v>1490.08</v>
          </cell>
          <cell r="H100">
            <v>1490.08</v>
          </cell>
        </row>
        <row r="101">
          <cell r="A101" t="str">
            <v>6602.08.04</v>
          </cell>
          <cell r="B101" t="str">
            <v>　　　　事务保金</v>
          </cell>
          <cell r="G101">
            <v>261.63</v>
          </cell>
          <cell r="H101">
            <v>261.63</v>
          </cell>
        </row>
        <row r="102">
          <cell r="A102" t="str">
            <v>6602.08.04</v>
          </cell>
          <cell r="B102" t="str">
            <v>　　　　事务保金</v>
          </cell>
          <cell r="C102" t="str">
            <v>CI008</v>
          </cell>
          <cell r="D102" t="str">
            <v>旭智资本（香港）</v>
          </cell>
          <cell r="G102">
            <v>261.63</v>
          </cell>
          <cell r="H102">
            <v>261.63</v>
          </cell>
        </row>
        <row r="103">
          <cell r="A103" t="str">
            <v>6602.08.07</v>
          </cell>
          <cell r="B103" t="str">
            <v>　　　　软件许可证费用</v>
          </cell>
        </row>
        <row r="104">
          <cell r="A104" t="str">
            <v>6602.08.07</v>
          </cell>
          <cell r="B104" t="str">
            <v>　　　　软件许可证费用</v>
          </cell>
          <cell r="C104" t="str">
            <v>CI008</v>
          </cell>
          <cell r="D104" t="str">
            <v>旭智资本（香港）</v>
          </cell>
        </row>
        <row r="105">
          <cell r="A105" t="str">
            <v>6602.09</v>
          </cell>
          <cell r="B105" t="str">
            <v>　　差旅费</v>
          </cell>
        </row>
        <row r="106">
          <cell r="A106" t="str">
            <v>6602.09.01</v>
          </cell>
          <cell r="B106" t="str">
            <v>　　　　住宿费</v>
          </cell>
        </row>
        <row r="107">
          <cell r="A107" t="str">
            <v>6602.09.01</v>
          </cell>
          <cell r="B107" t="str">
            <v>　　　　住宿费</v>
          </cell>
          <cell r="C107" t="str">
            <v>CI008</v>
          </cell>
          <cell r="D107" t="str">
            <v>旭智资本（香港）</v>
          </cell>
        </row>
        <row r="108">
          <cell r="A108" t="str">
            <v>6602.12</v>
          </cell>
          <cell r="B108" t="str">
            <v>　　使用权资产折旧</v>
          </cell>
          <cell r="G108">
            <v>80668.460000000006</v>
          </cell>
          <cell r="H108">
            <v>80668.460000000006</v>
          </cell>
        </row>
        <row r="109">
          <cell r="A109" t="str">
            <v>6602.12.02</v>
          </cell>
          <cell r="B109" t="str">
            <v>　　　　办公地址</v>
          </cell>
          <cell r="G109">
            <v>80668.460000000006</v>
          </cell>
          <cell r="H109">
            <v>80668.460000000006</v>
          </cell>
        </row>
        <row r="110">
          <cell r="A110" t="str">
            <v>6602.12.02.02</v>
          </cell>
          <cell r="B110" t="str">
            <v>　　　　　　旭智资本（香港）--冯氏大厦</v>
          </cell>
          <cell r="G110">
            <v>80668.460000000006</v>
          </cell>
          <cell r="H110">
            <v>80668.460000000006</v>
          </cell>
        </row>
        <row r="111">
          <cell r="A111" t="str">
            <v>6602.21</v>
          </cell>
          <cell r="B111" t="str">
            <v>　　公司秘书费</v>
          </cell>
          <cell r="G111">
            <v>1175.3399999999999</v>
          </cell>
          <cell r="H111">
            <v>1175.3399999999999</v>
          </cell>
        </row>
        <row r="112">
          <cell r="A112" t="str">
            <v>6602.24</v>
          </cell>
          <cell r="B112" t="str">
            <v>　　监管费用</v>
          </cell>
        </row>
        <row r="113">
          <cell r="A113" t="str">
            <v>6602.99</v>
          </cell>
          <cell r="B113" t="str">
            <v>　　其他</v>
          </cell>
          <cell r="G113">
            <v>200</v>
          </cell>
          <cell r="H113">
            <v>200</v>
          </cell>
        </row>
        <row r="114">
          <cell r="A114" t="str">
            <v>6603</v>
          </cell>
          <cell r="B114" t="str">
            <v>财务费用</v>
          </cell>
          <cell r="G114">
            <v>103383.26</v>
          </cell>
          <cell r="H114">
            <v>103383.26</v>
          </cell>
        </row>
        <row r="115">
          <cell r="A115" t="str">
            <v>6603.01</v>
          </cell>
          <cell r="B115" t="str">
            <v>　　汇兑损益</v>
          </cell>
          <cell r="G115">
            <v>112569.06</v>
          </cell>
          <cell r="H115">
            <v>112569.06</v>
          </cell>
        </row>
        <row r="116">
          <cell r="A116" t="str">
            <v>6603.02</v>
          </cell>
          <cell r="B116" t="str">
            <v>　　利息费用</v>
          </cell>
          <cell r="G116">
            <v>5972.74</v>
          </cell>
          <cell r="H116">
            <v>5972.74</v>
          </cell>
        </row>
        <row r="117">
          <cell r="A117" t="str">
            <v>6603.02.02</v>
          </cell>
          <cell r="B117" t="str">
            <v>　　　　办公地址</v>
          </cell>
          <cell r="G117">
            <v>5972.74</v>
          </cell>
          <cell r="H117">
            <v>5972.74</v>
          </cell>
        </row>
        <row r="118">
          <cell r="A118" t="str">
            <v>6603.02.02.02</v>
          </cell>
          <cell r="B118" t="str">
            <v>　　　　　　旭智资本（香港）--冯氏大厦</v>
          </cell>
          <cell r="G118">
            <v>5972.74</v>
          </cell>
          <cell r="H118">
            <v>5972.74</v>
          </cell>
        </row>
        <row r="119">
          <cell r="A119" t="str">
            <v>6603.03</v>
          </cell>
          <cell r="B119" t="str">
            <v>　　银行手续费</v>
          </cell>
          <cell r="G119">
            <v>673.16</v>
          </cell>
          <cell r="H119">
            <v>673.16</v>
          </cell>
        </row>
        <row r="120">
          <cell r="A120" t="str">
            <v>6603.04</v>
          </cell>
          <cell r="B120" t="str">
            <v>　　利息收入</v>
          </cell>
          <cell r="G120">
            <v>-15831.7</v>
          </cell>
          <cell r="H120">
            <v>-15831.7</v>
          </cell>
        </row>
        <row r="121">
          <cell r="B121" t="str">
            <v>合计</v>
          </cell>
          <cell r="E121">
            <v>122044589.34999999</v>
          </cell>
          <cell r="F121">
            <v>122044589.34999999</v>
          </cell>
          <cell r="G121">
            <v>22162151.629999999</v>
          </cell>
          <cell r="H121">
            <v>22162151.629999999</v>
          </cell>
        </row>
      </sheetData>
      <sheetData sheetId="4">
        <row r="1">
          <cell r="A1" t="str">
            <v>币别:香港元</v>
          </cell>
          <cell r="B1" t="str">
            <v>账簿:旭智资本（香港）有限公司</v>
          </cell>
          <cell r="C1" t="str">
            <v>期间:2025.5 -- 2025.5</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6549537.5499999998</v>
          </cell>
          <cell r="G4">
            <v>4254448.9400000004</v>
          </cell>
          <cell r="H4">
            <v>5767140.9900000002</v>
          </cell>
        </row>
        <row r="5">
          <cell r="A5" t="str">
            <v>1002.02</v>
          </cell>
          <cell r="B5" t="str">
            <v>　　【旭智资本（香港）】银行存款账户</v>
          </cell>
          <cell r="E5">
            <v>6549537.5499999998</v>
          </cell>
          <cell r="G5">
            <v>4254448.9400000004</v>
          </cell>
          <cell r="H5">
            <v>5767140.9900000002</v>
          </cell>
        </row>
        <row r="6">
          <cell r="A6" t="str">
            <v>1002.02.01</v>
          </cell>
          <cell r="B6" t="str">
            <v>　　　　汇丰银行-741-269492-838</v>
          </cell>
          <cell r="E6">
            <v>472567.97</v>
          </cell>
          <cell r="G6">
            <v>1276261.03</v>
          </cell>
          <cell r="H6">
            <v>1634265.14</v>
          </cell>
        </row>
        <row r="7">
          <cell r="A7" t="str">
            <v>1002.02.01.01</v>
          </cell>
          <cell r="B7" t="str">
            <v>　　　　　　【旭智资本（香港）】汇丰港元储蓄账户 2838</v>
          </cell>
          <cell r="E7">
            <v>410808.34</v>
          </cell>
          <cell r="G7">
            <v>1250025.47</v>
          </cell>
          <cell r="H7">
            <v>1551656.7</v>
          </cell>
        </row>
        <row r="8">
          <cell r="A8" t="str">
            <v>1002.02.01.03</v>
          </cell>
          <cell r="B8" t="str">
            <v>　　　　　　【旭智资本（香港）】汇丰外币储蓄 - 人民币 2838</v>
          </cell>
        </row>
        <row r="9">
          <cell r="A9" t="str">
            <v>1002.02.01.06</v>
          </cell>
          <cell r="B9" t="str">
            <v>　　　　　　【旭智资本（香港）】汇丰外币储蓄账户 - 澳币 2838</v>
          </cell>
          <cell r="E9">
            <v>61759.63</v>
          </cell>
          <cell r="G9">
            <v>26235.56</v>
          </cell>
          <cell r="H9">
            <v>82608.44</v>
          </cell>
        </row>
        <row r="10">
          <cell r="A10" t="str">
            <v>1002.02.01.07</v>
          </cell>
          <cell r="B10" t="str">
            <v>　　　　　　【旭智资本（香港）】汇丰人民币定期存款</v>
          </cell>
        </row>
        <row r="11">
          <cell r="A11" t="str">
            <v>1002.02.01.08</v>
          </cell>
          <cell r="B11" t="str">
            <v>　　　　　　【旭智资本（香港）】汇丰全球货币基金</v>
          </cell>
        </row>
        <row r="12">
          <cell r="A12" t="str">
            <v>1002.02.02</v>
          </cell>
          <cell r="B12" t="str">
            <v>　　　　盈透证券-U13828206</v>
          </cell>
          <cell r="E12">
            <v>6076969.5800000001</v>
          </cell>
          <cell r="G12">
            <v>2978187.91</v>
          </cell>
          <cell r="H12">
            <v>4132875.85</v>
          </cell>
        </row>
        <row r="13">
          <cell r="A13" t="str">
            <v>1002.02.02.01</v>
          </cell>
          <cell r="B13" t="str">
            <v>　　　　　　【旭智资本（香港）】盈透证券港元账户 8206</v>
          </cell>
          <cell r="E13">
            <v>2916.46</v>
          </cell>
          <cell r="G13">
            <v>2116786.5</v>
          </cell>
          <cell r="H13">
            <v>1738466.28</v>
          </cell>
        </row>
        <row r="14">
          <cell r="A14" t="str">
            <v>1002.02.02.02</v>
          </cell>
          <cell r="B14" t="str">
            <v>　　　　　　【旭智资本（香港）】盈透证券人民币账户 8206</v>
          </cell>
          <cell r="E14">
            <v>6074053.1200000001</v>
          </cell>
          <cell r="G14">
            <v>609020.25</v>
          </cell>
          <cell r="H14">
            <v>2368996.0699999998</v>
          </cell>
        </row>
        <row r="15">
          <cell r="A15" t="str">
            <v>1002.02.02.03</v>
          </cell>
          <cell r="B15" t="str">
            <v>　　　　　　【旭智资本（香港）】盈透证券澳币账户 8206</v>
          </cell>
          <cell r="G15">
            <v>252381.16</v>
          </cell>
          <cell r="H15">
            <v>25413.5</v>
          </cell>
        </row>
        <row r="16">
          <cell r="A16" t="str">
            <v>1123</v>
          </cell>
          <cell r="B16" t="str">
            <v>预付账款</v>
          </cell>
          <cell r="E16">
            <v>872164.49</v>
          </cell>
          <cell r="G16">
            <v>164890.51999999999</v>
          </cell>
          <cell r="H16">
            <v>134854.78</v>
          </cell>
        </row>
        <row r="17">
          <cell r="A17" t="str">
            <v>1123.01</v>
          </cell>
          <cell r="B17" t="str">
            <v>　　单位</v>
          </cell>
          <cell r="E17">
            <v>872164.49</v>
          </cell>
          <cell r="G17">
            <v>164890.51999999999</v>
          </cell>
          <cell r="H17">
            <v>134854.78</v>
          </cell>
        </row>
        <row r="18">
          <cell r="A18" t="str">
            <v>1123.01</v>
          </cell>
          <cell r="B18" t="str">
            <v>　　单位</v>
          </cell>
          <cell r="C18" t="str">
            <v>SU003001</v>
          </cell>
          <cell r="D18" t="str">
            <v>Boardroom Corporate Services (HK) Limited</v>
          </cell>
          <cell r="E18">
            <v>9598.6299999999992</v>
          </cell>
          <cell r="H18">
            <v>1214.52</v>
          </cell>
        </row>
        <row r="19">
          <cell r="A19" t="str">
            <v>1123.01</v>
          </cell>
          <cell r="B19" t="str">
            <v>　　单位</v>
          </cell>
          <cell r="C19" t="str">
            <v>SU003003</v>
          </cell>
          <cell r="D19" t="str">
            <v>SUN HING INSURANCE BROKERS LTD.</v>
          </cell>
          <cell r="E19">
            <v>291344.32</v>
          </cell>
          <cell r="G19">
            <v>43602.43</v>
          </cell>
          <cell r="H19">
            <v>27201.52</v>
          </cell>
        </row>
        <row r="20">
          <cell r="A20" t="str">
            <v>1123.01</v>
          </cell>
          <cell r="B20" t="str">
            <v>　　单位</v>
          </cell>
          <cell r="C20" t="str">
            <v>SU003022</v>
          </cell>
          <cell r="D20" t="str">
            <v>Supreme Honour Development Limited</v>
          </cell>
          <cell r="E20">
            <v>540891.02</v>
          </cell>
          <cell r="G20">
            <v>100000</v>
          </cell>
          <cell r="H20">
            <v>105706.04</v>
          </cell>
        </row>
        <row r="21">
          <cell r="A21" t="str">
            <v>1123.01</v>
          </cell>
          <cell r="B21" t="str">
            <v>　　单位</v>
          </cell>
          <cell r="C21" t="str">
            <v>SU004004</v>
          </cell>
          <cell r="D21" t="str">
            <v>Fuji Xerox （Hong Kong) Limited</v>
          </cell>
          <cell r="E21">
            <v>4590</v>
          </cell>
        </row>
        <row r="22">
          <cell r="A22" t="str">
            <v>1123.01</v>
          </cell>
          <cell r="B22" t="str">
            <v>　　单位</v>
          </cell>
          <cell r="C22" t="str">
            <v>SU004006</v>
          </cell>
          <cell r="D22" t="str">
            <v>The HongKong Electric Co.,Ltd.</v>
          </cell>
          <cell r="E22">
            <v>17000</v>
          </cell>
        </row>
        <row r="23">
          <cell r="A23" t="str">
            <v>1123.01</v>
          </cell>
          <cell r="B23" t="str">
            <v>　　单位</v>
          </cell>
          <cell r="C23" t="str">
            <v>SU004010</v>
          </cell>
          <cell r="D23" t="str">
            <v>Noble Spirit Limited T/A Life Solutions</v>
          </cell>
          <cell r="E23">
            <v>6956.08</v>
          </cell>
          <cell r="H23">
            <v>371.15</v>
          </cell>
        </row>
        <row r="24">
          <cell r="A24" t="str">
            <v>1123.01</v>
          </cell>
          <cell r="B24" t="str">
            <v>　　单位</v>
          </cell>
          <cell r="C24" t="str">
            <v>SU004011</v>
          </cell>
          <cell r="D24" t="str">
            <v>Master Concept (Hong Kong) Limited</v>
          </cell>
          <cell r="G24">
            <v>21288.09</v>
          </cell>
        </row>
        <row r="25">
          <cell r="A25" t="str">
            <v>1123.01</v>
          </cell>
          <cell r="B25" t="str">
            <v>　　单位</v>
          </cell>
          <cell r="C25" t="str">
            <v>SU004013</v>
          </cell>
          <cell r="D25" t="str">
            <v>B&amp;T Engineering Limited</v>
          </cell>
          <cell r="E25">
            <v>1784.44</v>
          </cell>
          <cell r="H25">
            <v>361.55</v>
          </cell>
        </row>
        <row r="26">
          <cell r="A26" t="str">
            <v>1132</v>
          </cell>
          <cell r="B26" t="str">
            <v>应收利息</v>
          </cell>
        </row>
        <row r="27">
          <cell r="A27" t="str">
            <v>1132</v>
          </cell>
          <cell r="B27" t="str">
            <v>应收利息</v>
          </cell>
          <cell r="C27" t="str">
            <v>OU004001</v>
          </cell>
          <cell r="D27" t="str">
            <v>香港上海汇丰银行有限公司</v>
          </cell>
        </row>
        <row r="28">
          <cell r="A28" t="str">
            <v>1221</v>
          </cell>
          <cell r="B28" t="str">
            <v>其他应收款</v>
          </cell>
          <cell r="E28">
            <v>60640561.490000002</v>
          </cell>
          <cell r="G28">
            <v>1557466.77</v>
          </cell>
          <cell r="H28">
            <v>77735.5</v>
          </cell>
        </row>
        <row r="29">
          <cell r="A29" t="str">
            <v>1221.01</v>
          </cell>
          <cell r="B29" t="str">
            <v>　　单位</v>
          </cell>
          <cell r="E29">
            <v>60640561.490000002</v>
          </cell>
          <cell r="G29">
            <v>1557466.77</v>
          </cell>
          <cell r="H29">
            <v>77735.5</v>
          </cell>
        </row>
        <row r="30">
          <cell r="A30" t="str">
            <v>1221.01</v>
          </cell>
          <cell r="B30" t="str">
            <v>　　单位</v>
          </cell>
          <cell r="C30" t="str">
            <v>CU003004</v>
          </cell>
          <cell r="D30" t="str">
            <v>广州旭智投资控股有限责任公司</v>
          </cell>
          <cell r="E30">
            <v>52916089.670000002</v>
          </cell>
          <cell r="G30">
            <v>558866.63</v>
          </cell>
        </row>
        <row r="31">
          <cell r="A31" t="str">
            <v>1221.01</v>
          </cell>
          <cell r="B31" t="str">
            <v>　　单位</v>
          </cell>
          <cell r="C31" t="str">
            <v>CU003010</v>
          </cell>
          <cell r="D31" t="str">
            <v>旭智富能新能源（深圳）有限责任公司</v>
          </cell>
          <cell r="E31">
            <v>657173.81999999995</v>
          </cell>
          <cell r="G31">
            <v>162950.14000000001</v>
          </cell>
        </row>
        <row r="32">
          <cell r="A32" t="str">
            <v>1221.01</v>
          </cell>
          <cell r="B32" t="str">
            <v>　　单位</v>
          </cell>
          <cell r="C32" t="str">
            <v>CU005009</v>
          </cell>
          <cell r="D32" t="str">
            <v>旭智资本有限公司</v>
          </cell>
          <cell r="E32">
            <v>7067298</v>
          </cell>
          <cell r="G32">
            <v>835650</v>
          </cell>
          <cell r="H32">
            <v>77735.5</v>
          </cell>
        </row>
        <row r="33">
          <cell r="A33" t="str">
            <v>1511</v>
          </cell>
          <cell r="B33" t="str">
            <v>长期股权投资</v>
          </cell>
          <cell r="E33">
            <v>5358013.7300000004</v>
          </cell>
        </row>
        <row r="34">
          <cell r="A34" t="str">
            <v>1511.01</v>
          </cell>
          <cell r="B34" t="str">
            <v>　　投资成本</v>
          </cell>
          <cell r="E34">
            <v>5358013.7300000004</v>
          </cell>
        </row>
        <row r="35">
          <cell r="A35" t="str">
            <v>1511.01.08</v>
          </cell>
          <cell r="B35" t="str">
            <v>　　　　深圳旭智私募股权基金管理有限公司</v>
          </cell>
          <cell r="E35">
            <v>5358013.7300000004</v>
          </cell>
        </row>
        <row r="36">
          <cell r="A36" t="str">
            <v>1641</v>
          </cell>
          <cell r="B36" t="str">
            <v>使用权资产</v>
          </cell>
          <cell r="E36">
            <v>7228737.71</v>
          </cell>
        </row>
        <row r="37">
          <cell r="A37" t="str">
            <v>1641.02</v>
          </cell>
          <cell r="B37" t="str">
            <v>　　办公地址</v>
          </cell>
          <cell r="E37">
            <v>7228737.71</v>
          </cell>
        </row>
        <row r="38">
          <cell r="A38" t="str">
            <v>1641.02.02</v>
          </cell>
          <cell r="B38" t="str">
            <v>　　　　旭智资本（香港）--冯氏大厦</v>
          </cell>
          <cell r="E38">
            <v>7228737.71</v>
          </cell>
        </row>
        <row r="39">
          <cell r="A39" t="str">
            <v>1642</v>
          </cell>
          <cell r="B39" t="str">
            <v>使用权资产累计折旧</v>
          </cell>
          <cell r="F39">
            <v>5697337.96</v>
          </cell>
          <cell r="H39">
            <v>80668.460000000006</v>
          </cell>
        </row>
        <row r="40">
          <cell r="A40" t="str">
            <v>1642.02</v>
          </cell>
          <cell r="B40" t="str">
            <v>　　办公地址</v>
          </cell>
          <cell r="F40">
            <v>5697337.96</v>
          </cell>
          <cell r="H40">
            <v>80668.460000000006</v>
          </cell>
        </row>
        <row r="41">
          <cell r="A41" t="str">
            <v>1642.02.02</v>
          </cell>
          <cell r="B41" t="str">
            <v>　　　　旭智资本（香港）--冯氏大厦</v>
          </cell>
          <cell r="F41">
            <v>5697337.96</v>
          </cell>
          <cell r="H41">
            <v>80668.460000000006</v>
          </cell>
        </row>
        <row r="42">
          <cell r="A42" t="str">
            <v>2211</v>
          </cell>
          <cell r="B42" t="str">
            <v>应付职工薪酬</v>
          </cell>
          <cell r="F42">
            <v>70083.95</v>
          </cell>
          <cell r="G42">
            <v>9800</v>
          </cell>
          <cell r="H42">
            <v>9800</v>
          </cell>
        </row>
        <row r="43">
          <cell r="A43" t="str">
            <v>2211.02</v>
          </cell>
          <cell r="B43" t="str">
            <v>　　职工奖金</v>
          </cell>
        </row>
        <row r="44">
          <cell r="A44" t="str">
            <v>2211.11</v>
          </cell>
          <cell r="B44" t="str">
            <v>　　应付强制性公积金</v>
          </cell>
          <cell r="F44">
            <v>9800</v>
          </cell>
          <cell r="G44">
            <v>9800</v>
          </cell>
          <cell r="H44">
            <v>9800</v>
          </cell>
        </row>
        <row r="45">
          <cell r="A45" t="str">
            <v>2211.12</v>
          </cell>
          <cell r="B45" t="str">
            <v>　　应付长期服务金</v>
          </cell>
          <cell r="F45">
            <v>60283.95</v>
          </cell>
        </row>
        <row r="46">
          <cell r="A46" t="str">
            <v>2211.13</v>
          </cell>
          <cell r="B46" t="str">
            <v>　　未使用假期负债</v>
          </cell>
        </row>
        <row r="47">
          <cell r="A47" t="str">
            <v>2241</v>
          </cell>
          <cell r="B47" t="str">
            <v>其他应付款</v>
          </cell>
          <cell r="F47">
            <v>444365.08</v>
          </cell>
          <cell r="G47">
            <v>120000</v>
          </cell>
          <cell r="H47">
            <v>38200</v>
          </cell>
        </row>
        <row r="48">
          <cell r="A48" t="str">
            <v>2241.01</v>
          </cell>
          <cell r="B48" t="str">
            <v>　　单位</v>
          </cell>
          <cell r="F48">
            <v>303557</v>
          </cell>
          <cell r="G48">
            <v>120000</v>
          </cell>
          <cell r="H48">
            <v>38200</v>
          </cell>
        </row>
        <row r="49">
          <cell r="A49" t="str">
            <v>2241.01</v>
          </cell>
          <cell r="B49" t="str">
            <v>　　单位</v>
          </cell>
          <cell r="C49" t="str">
            <v>SU003011</v>
          </cell>
          <cell r="D49" t="str">
            <v>Tricor Services Limited</v>
          </cell>
          <cell r="F49">
            <v>33557</v>
          </cell>
          <cell r="H49">
            <v>20700</v>
          </cell>
        </row>
        <row r="50">
          <cell r="A50" t="str">
            <v>2241.01</v>
          </cell>
          <cell r="B50" t="str">
            <v>　　单位</v>
          </cell>
          <cell r="C50" t="str">
            <v>SU004019</v>
          </cell>
          <cell r="D50" t="str">
            <v>PricewaterhouseCoopers Limited</v>
          </cell>
          <cell r="F50">
            <v>270000</v>
          </cell>
          <cell r="G50">
            <v>120000</v>
          </cell>
          <cell r="H50">
            <v>17500</v>
          </cell>
        </row>
        <row r="51">
          <cell r="A51" t="str">
            <v>2241.02</v>
          </cell>
          <cell r="B51" t="str">
            <v>　　个人</v>
          </cell>
          <cell r="F51">
            <v>140808.07999999999</v>
          </cell>
        </row>
        <row r="52">
          <cell r="A52" t="str">
            <v>2241.02</v>
          </cell>
          <cell r="B52" t="str">
            <v>　　个人</v>
          </cell>
          <cell r="C52" t="str">
            <v>SP003006</v>
          </cell>
          <cell r="D52" t="str">
            <v>甄伟杰</v>
          </cell>
          <cell r="F52">
            <v>140808.07999999999</v>
          </cell>
        </row>
        <row r="53">
          <cell r="A53" t="str">
            <v>2241.02</v>
          </cell>
          <cell r="B53" t="str">
            <v>　　个人</v>
          </cell>
          <cell r="C53" t="str">
            <v>SP003007</v>
          </cell>
          <cell r="D53" t="str">
            <v>梁国希</v>
          </cell>
        </row>
        <row r="54">
          <cell r="A54" t="str">
            <v>2241.02</v>
          </cell>
          <cell r="B54" t="str">
            <v>　　个人</v>
          </cell>
          <cell r="C54" t="str">
            <v>SP003009</v>
          </cell>
          <cell r="D54" t="str">
            <v>李琦</v>
          </cell>
        </row>
        <row r="55">
          <cell r="A55" t="str">
            <v>2601</v>
          </cell>
          <cell r="B55" t="str">
            <v>租赁负债</v>
          </cell>
          <cell r="F55">
            <v>1648753.84</v>
          </cell>
          <cell r="G55">
            <v>94349.5</v>
          </cell>
        </row>
        <row r="56">
          <cell r="A56" t="str">
            <v>2601.01</v>
          </cell>
          <cell r="B56" t="str">
            <v>　　租赁付款额</v>
          </cell>
          <cell r="F56">
            <v>1718880.56</v>
          </cell>
          <cell r="G56">
            <v>94349.5</v>
          </cell>
        </row>
        <row r="57">
          <cell r="A57" t="str">
            <v>2601.01.02</v>
          </cell>
          <cell r="B57" t="str">
            <v>　　　　办公地址</v>
          </cell>
          <cell r="F57">
            <v>1718880.56</v>
          </cell>
          <cell r="G57">
            <v>94349.5</v>
          </cell>
        </row>
        <row r="58">
          <cell r="A58" t="str">
            <v>2601.01.02.02</v>
          </cell>
          <cell r="B58" t="str">
            <v>　　　　　　旭智资本（香港）--冯氏大厦</v>
          </cell>
          <cell r="F58">
            <v>1718880.56</v>
          </cell>
          <cell r="G58">
            <v>94349.5</v>
          </cell>
        </row>
        <row r="59">
          <cell r="A59" t="str">
            <v>2601.02</v>
          </cell>
          <cell r="B59" t="str">
            <v>　　未确认融资费用</v>
          </cell>
          <cell r="E59">
            <v>70126.720000000001</v>
          </cell>
        </row>
        <row r="60">
          <cell r="A60" t="str">
            <v>2601.02.02</v>
          </cell>
          <cell r="B60" t="str">
            <v>　　　　办公地址</v>
          </cell>
          <cell r="E60">
            <v>70126.720000000001</v>
          </cell>
        </row>
        <row r="61">
          <cell r="A61" t="str">
            <v>2601.02.02.02</v>
          </cell>
          <cell r="B61" t="str">
            <v>　　　　　　旭智资本（香港）--冯氏大厦</v>
          </cell>
          <cell r="E61">
            <v>70126.720000000001</v>
          </cell>
        </row>
        <row r="62">
          <cell r="A62" t="str">
            <v>2801</v>
          </cell>
          <cell r="B62" t="str">
            <v>预计负债</v>
          </cell>
          <cell r="F62">
            <v>245000</v>
          </cell>
        </row>
        <row r="63">
          <cell r="A63" t="str">
            <v>4001</v>
          </cell>
          <cell r="B63" t="str">
            <v>实收资本（股本）</v>
          </cell>
          <cell r="F63">
            <v>113887263</v>
          </cell>
        </row>
        <row r="64">
          <cell r="A64" t="str">
            <v>4001.50</v>
          </cell>
          <cell r="B64" t="str">
            <v>　　普通股</v>
          </cell>
          <cell r="F64">
            <v>113887263</v>
          </cell>
        </row>
        <row r="65">
          <cell r="A65" t="str">
            <v>4001.50.07</v>
          </cell>
          <cell r="B65" t="str">
            <v>　　　　旭智资本有限公司</v>
          </cell>
          <cell r="F65">
            <v>113887263</v>
          </cell>
        </row>
        <row r="66">
          <cell r="A66" t="str">
            <v>4103</v>
          </cell>
          <cell r="B66" t="str">
            <v>本年利润</v>
          </cell>
          <cell r="E66">
            <v>1911931.57</v>
          </cell>
          <cell r="G66">
            <v>112797.13</v>
          </cell>
          <cell r="H66">
            <v>205353.13</v>
          </cell>
        </row>
        <row r="67">
          <cell r="A67" t="str">
            <v>4104</v>
          </cell>
          <cell r="B67" t="str">
            <v>利润分配</v>
          </cell>
          <cell r="E67">
            <v>39431857.289999999</v>
          </cell>
        </row>
        <row r="68">
          <cell r="A68" t="str">
            <v>4104.07</v>
          </cell>
          <cell r="B68" t="str">
            <v>　　未分配利润</v>
          </cell>
          <cell r="E68">
            <v>39431857.289999999</v>
          </cell>
        </row>
        <row r="69">
          <cell r="A69" t="str">
            <v>6001</v>
          </cell>
          <cell r="B69" t="str">
            <v>主营业务收入</v>
          </cell>
          <cell r="G69">
            <v>149703.13</v>
          </cell>
          <cell r="H69">
            <v>149703.13</v>
          </cell>
        </row>
        <row r="70">
          <cell r="A70" t="str">
            <v>6001.02</v>
          </cell>
          <cell r="B70" t="str">
            <v>　　咨询服务费收入</v>
          </cell>
          <cell r="G70">
            <v>149703.13</v>
          </cell>
          <cell r="H70">
            <v>149703.13</v>
          </cell>
        </row>
        <row r="71">
          <cell r="A71" t="str">
            <v>6001.02.02</v>
          </cell>
          <cell r="B71" t="str">
            <v>　　　　未开票</v>
          </cell>
          <cell r="G71">
            <v>149703.13</v>
          </cell>
          <cell r="H71">
            <v>149703.13</v>
          </cell>
        </row>
        <row r="72">
          <cell r="A72" t="str">
            <v>6001.02.02</v>
          </cell>
          <cell r="B72" t="str">
            <v>　　　　未开票</v>
          </cell>
          <cell r="C72" t="str">
            <v>CU003010</v>
          </cell>
          <cell r="D72" t="str">
            <v>旭智富能新能源（深圳）有限责任公司</v>
          </cell>
          <cell r="G72">
            <v>149703.13</v>
          </cell>
          <cell r="H72">
            <v>149703.13</v>
          </cell>
        </row>
        <row r="73">
          <cell r="A73" t="str">
            <v>6115</v>
          </cell>
          <cell r="B73" t="str">
            <v>其他收益</v>
          </cell>
          <cell r="G73">
            <v>55650</v>
          </cell>
          <cell r="H73">
            <v>55650</v>
          </cell>
        </row>
        <row r="74">
          <cell r="A74" t="str">
            <v>6115.03</v>
          </cell>
          <cell r="B74" t="str">
            <v>　　公司间往来</v>
          </cell>
          <cell r="G74">
            <v>55650</v>
          </cell>
          <cell r="H74">
            <v>55650</v>
          </cell>
        </row>
        <row r="75">
          <cell r="A75" t="str">
            <v>6602</v>
          </cell>
          <cell r="B75" t="str">
            <v>管理费用</v>
          </cell>
          <cell r="G75">
            <v>800701.76</v>
          </cell>
          <cell r="H75">
            <v>800701.76</v>
          </cell>
        </row>
        <row r="76">
          <cell r="A76" t="str">
            <v>6602.01</v>
          </cell>
          <cell r="B76" t="str">
            <v>　　工资薪金</v>
          </cell>
          <cell r="G76">
            <v>461235.5</v>
          </cell>
          <cell r="H76">
            <v>461235.5</v>
          </cell>
        </row>
        <row r="77">
          <cell r="A77" t="str">
            <v>6602.01.01</v>
          </cell>
          <cell r="B77" t="str">
            <v>　　　　基本工资（专业）</v>
          </cell>
          <cell r="G77">
            <v>200000</v>
          </cell>
          <cell r="H77">
            <v>200000</v>
          </cell>
        </row>
        <row r="78">
          <cell r="A78" t="str">
            <v>6602.01.05</v>
          </cell>
          <cell r="B78" t="str">
            <v>　　　　员工假期</v>
          </cell>
        </row>
        <row r="79">
          <cell r="A79" t="str">
            <v>6602.01.07</v>
          </cell>
          <cell r="B79" t="str">
            <v>　　　　集团内分摊</v>
          </cell>
          <cell r="G79">
            <v>77735.5</v>
          </cell>
          <cell r="H79">
            <v>77735.5</v>
          </cell>
        </row>
        <row r="80">
          <cell r="A80" t="str">
            <v>6602.01.08</v>
          </cell>
          <cell r="B80" t="str">
            <v>　　　　基本工资（管理）</v>
          </cell>
          <cell r="G80">
            <v>183500</v>
          </cell>
          <cell r="H80">
            <v>183500</v>
          </cell>
        </row>
        <row r="81">
          <cell r="A81" t="str">
            <v>6602.03</v>
          </cell>
          <cell r="B81" t="str">
            <v>　　社保公积金</v>
          </cell>
          <cell r="G81">
            <v>31831.17</v>
          </cell>
          <cell r="H81">
            <v>31831.17</v>
          </cell>
        </row>
        <row r="82">
          <cell r="A82" t="str">
            <v>6602.03.01</v>
          </cell>
          <cell r="B82" t="str">
            <v>　　　　员工社保福利</v>
          </cell>
          <cell r="G82">
            <v>26931.17</v>
          </cell>
          <cell r="H82">
            <v>26931.17</v>
          </cell>
        </row>
        <row r="83">
          <cell r="A83" t="str">
            <v>6602.03.03</v>
          </cell>
          <cell r="B83" t="str">
            <v>　　　　员工强制性公积金福利</v>
          </cell>
          <cell r="G83">
            <v>4900</v>
          </cell>
          <cell r="H83">
            <v>4900</v>
          </cell>
        </row>
        <row r="84">
          <cell r="A84" t="str">
            <v>6602.04</v>
          </cell>
          <cell r="B84" t="str">
            <v>　　咨询及专业服务费</v>
          </cell>
          <cell r="G84">
            <v>142388.44</v>
          </cell>
          <cell r="H84">
            <v>142388.44</v>
          </cell>
        </row>
        <row r="85">
          <cell r="A85" t="str">
            <v>6602.04.01</v>
          </cell>
          <cell r="B85" t="str">
            <v>　　　　会计服务费</v>
          </cell>
          <cell r="G85">
            <v>14500</v>
          </cell>
          <cell r="H85">
            <v>14500</v>
          </cell>
        </row>
        <row r="86">
          <cell r="A86" t="str">
            <v>6602.04.02</v>
          </cell>
          <cell r="B86" t="str">
            <v>　　　　审计服务费</v>
          </cell>
          <cell r="G86">
            <v>17500</v>
          </cell>
          <cell r="H86">
            <v>17500</v>
          </cell>
        </row>
        <row r="87">
          <cell r="A87" t="str">
            <v>6602.04.03</v>
          </cell>
          <cell r="B87" t="str">
            <v>　　　　顾问费</v>
          </cell>
          <cell r="G87">
            <v>82608.44</v>
          </cell>
          <cell r="H87">
            <v>82608.44</v>
          </cell>
        </row>
        <row r="88">
          <cell r="A88" t="str">
            <v>6602.04.03</v>
          </cell>
          <cell r="B88" t="str">
            <v>　　　　顾问费</v>
          </cell>
          <cell r="C88" t="str">
            <v>CI008</v>
          </cell>
          <cell r="D88" t="str">
            <v>旭智资本（香港）</v>
          </cell>
          <cell r="G88">
            <v>82608.44</v>
          </cell>
          <cell r="H88">
            <v>82608.44</v>
          </cell>
        </row>
        <row r="89">
          <cell r="A89" t="str">
            <v>6602.04.06</v>
          </cell>
          <cell r="B89" t="str">
            <v>　　　　法律服务费</v>
          </cell>
          <cell r="G89">
            <v>6180</v>
          </cell>
          <cell r="H89">
            <v>6180</v>
          </cell>
        </row>
        <row r="90">
          <cell r="A90" t="str">
            <v>6602.04.06</v>
          </cell>
          <cell r="B90" t="str">
            <v>　　　　法律服务费</v>
          </cell>
          <cell r="C90" t="str">
            <v>CI008</v>
          </cell>
          <cell r="D90" t="str">
            <v>旭智资本（香港）</v>
          </cell>
          <cell r="G90">
            <v>6180</v>
          </cell>
          <cell r="H90">
            <v>6180</v>
          </cell>
        </row>
        <row r="91">
          <cell r="A91" t="str">
            <v>6602.04.07</v>
          </cell>
          <cell r="B91" t="str">
            <v>　　　　人力资源服务费</v>
          </cell>
          <cell r="G91">
            <v>6000</v>
          </cell>
          <cell r="H91">
            <v>6000</v>
          </cell>
        </row>
        <row r="92">
          <cell r="A92" t="str">
            <v>6602.04.12</v>
          </cell>
          <cell r="B92" t="str">
            <v>　　　　合规支持服务</v>
          </cell>
          <cell r="G92">
            <v>15600</v>
          </cell>
          <cell r="H92">
            <v>15600</v>
          </cell>
        </row>
        <row r="93">
          <cell r="A93" t="str">
            <v>6602.04.12</v>
          </cell>
          <cell r="B93" t="str">
            <v>　　　　合规支持服务</v>
          </cell>
          <cell r="C93" t="str">
            <v>CI008</v>
          </cell>
          <cell r="D93" t="str">
            <v>旭智资本（香港）</v>
          </cell>
          <cell r="G93">
            <v>15600</v>
          </cell>
          <cell r="H93">
            <v>15600</v>
          </cell>
        </row>
        <row r="94">
          <cell r="A94" t="str">
            <v>6602.05</v>
          </cell>
          <cell r="B94" t="str">
            <v>　　占用费</v>
          </cell>
          <cell r="G94">
            <v>25597.74</v>
          </cell>
          <cell r="H94">
            <v>25597.74</v>
          </cell>
        </row>
        <row r="95">
          <cell r="A95" t="str">
            <v>6602.05.02</v>
          </cell>
          <cell r="B95" t="str">
            <v>　　　　管理费</v>
          </cell>
          <cell r="G95">
            <v>24027.040000000001</v>
          </cell>
          <cell r="H95">
            <v>24027.040000000001</v>
          </cell>
        </row>
        <row r="96">
          <cell r="A96" t="str">
            <v>6602.05.03</v>
          </cell>
          <cell r="B96" t="str">
            <v>　　　　电费</v>
          </cell>
          <cell r="G96">
            <v>838</v>
          </cell>
          <cell r="H96">
            <v>838</v>
          </cell>
        </row>
        <row r="97">
          <cell r="A97" t="str">
            <v>6602.05.05</v>
          </cell>
          <cell r="B97" t="str">
            <v>　　　　维修费</v>
          </cell>
          <cell r="G97">
            <v>732.7</v>
          </cell>
          <cell r="H97">
            <v>732.7</v>
          </cell>
        </row>
        <row r="98">
          <cell r="A98" t="str">
            <v>6602.06</v>
          </cell>
          <cell r="B98" t="str">
            <v>　　业务招待费</v>
          </cell>
          <cell r="G98">
            <v>94</v>
          </cell>
          <cell r="H98">
            <v>94</v>
          </cell>
        </row>
        <row r="99">
          <cell r="A99" t="str">
            <v>6602.06</v>
          </cell>
          <cell r="B99" t="str">
            <v>　　业务招待费</v>
          </cell>
          <cell r="C99" t="str">
            <v>CI008</v>
          </cell>
          <cell r="D99" t="str">
            <v>旭智资本（香港）</v>
          </cell>
          <cell r="G99">
            <v>94</v>
          </cell>
          <cell r="H99">
            <v>94</v>
          </cell>
        </row>
        <row r="100">
          <cell r="A100" t="str">
            <v>6602.08</v>
          </cell>
          <cell r="B100" t="str">
            <v>　　事务费用</v>
          </cell>
          <cell r="G100">
            <v>30612.41</v>
          </cell>
          <cell r="H100">
            <v>30612.41</v>
          </cell>
        </row>
        <row r="101">
          <cell r="A101" t="str">
            <v>6602.08.01</v>
          </cell>
          <cell r="B101" t="str">
            <v>　　　　通信费</v>
          </cell>
        </row>
        <row r="102">
          <cell r="A102" t="str">
            <v>6602.08.01</v>
          </cell>
          <cell r="B102" t="str">
            <v>　　　　通信费</v>
          </cell>
          <cell r="C102" t="str">
            <v>CI008</v>
          </cell>
          <cell r="D102" t="str">
            <v>旭智资本（香港）</v>
          </cell>
        </row>
        <row r="103">
          <cell r="A103" t="str">
            <v>6602.08.03</v>
          </cell>
          <cell r="B103" t="str">
            <v>　　　　办公用品</v>
          </cell>
          <cell r="G103">
            <v>3038.51</v>
          </cell>
          <cell r="H103">
            <v>3038.51</v>
          </cell>
        </row>
        <row r="104">
          <cell r="A104" t="str">
            <v>6602.08.03</v>
          </cell>
          <cell r="B104" t="str">
            <v>　　　　办公用品</v>
          </cell>
          <cell r="C104" t="str">
            <v>CI008</v>
          </cell>
          <cell r="D104" t="str">
            <v>旭智资本（香港）</v>
          </cell>
          <cell r="G104">
            <v>3038.51</v>
          </cell>
          <cell r="H104">
            <v>3038.51</v>
          </cell>
        </row>
        <row r="105">
          <cell r="A105" t="str">
            <v>6602.08.04</v>
          </cell>
          <cell r="B105" t="str">
            <v>　　　　事务保金</v>
          </cell>
          <cell r="G105">
            <v>14504.88</v>
          </cell>
          <cell r="H105">
            <v>14504.88</v>
          </cell>
        </row>
        <row r="106">
          <cell r="A106" t="str">
            <v>6602.08.04</v>
          </cell>
          <cell r="B106" t="str">
            <v>　　　　事务保金</v>
          </cell>
          <cell r="C106" t="str">
            <v>CI008</v>
          </cell>
          <cell r="D106" t="str">
            <v>旭智资本（香港）</v>
          </cell>
          <cell r="G106">
            <v>14504.88</v>
          </cell>
          <cell r="H106">
            <v>14504.88</v>
          </cell>
        </row>
        <row r="107">
          <cell r="A107" t="str">
            <v>6602.08.06</v>
          </cell>
          <cell r="B107" t="str">
            <v>　　　　IT专业人士及微软服务</v>
          </cell>
          <cell r="G107">
            <v>5728.13</v>
          </cell>
          <cell r="H107">
            <v>5728.13</v>
          </cell>
        </row>
        <row r="108">
          <cell r="A108" t="str">
            <v>6602.08.06</v>
          </cell>
          <cell r="B108" t="str">
            <v>　　　　IT专业人士及微软服务</v>
          </cell>
          <cell r="C108" t="str">
            <v>CI008</v>
          </cell>
          <cell r="D108" t="str">
            <v>旭智资本（香港）</v>
          </cell>
          <cell r="G108">
            <v>5728.13</v>
          </cell>
          <cell r="H108">
            <v>5728.13</v>
          </cell>
        </row>
        <row r="109">
          <cell r="A109" t="str">
            <v>6602.08.07</v>
          </cell>
          <cell r="B109" t="str">
            <v>　　　　软件许可证费用</v>
          </cell>
          <cell r="G109">
            <v>6370.89</v>
          </cell>
          <cell r="H109">
            <v>6370.89</v>
          </cell>
        </row>
        <row r="110">
          <cell r="A110" t="str">
            <v>6602.08.07</v>
          </cell>
          <cell r="B110" t="str">
            <v>　　　　软件许可证费用</v>
          </cell>
          <cell r="C110" t="str">
            <v>CI008</v>
          </cell>
          <cell r="D110" t="str">
            <v>旭智资本（香港）</v>
          </cell>
          <cell r="G110">
            <v>6370.89</v>
          </cell>
          <cell r="H110">
            <v>6370.89</v>
          </cell>
        </row>
        <row r="111">
          <cell r="A111" t="str">
            <v>6602.08.10</v>
          </cell>
          <cell r="B111" t="str">
            <v>　　　　电话国际直拨/电话会议收费</v>
          </cell>
          <cell r="G111">
            <v>970</v>
          </cell>
          <cell r="H111">
            <v>970</v>
          </cell>
        </row>
        <row r="112">
          <cell r="A112" t="str">
            <v>6602.08.10</v>
          </cell>
          <cell r="B112" t="str">
            <v>　　　　电话国际直拨/电话会议收费</v>
          </cell>
          <cell r="C112" t="str">
            <v>CI008</v>
          </cell>
          <cell r="D112" t="str">
            <v>旭智资本（香港）</v>
          </cell>
          <cell r="G112">
            <v>970</v>
          </cell>
          <cell r="H112">
            <v>970</v>
          </cell>
        </row>
        <row r="113">
          <cell r="A113" t="str">
            <v>6602.09</v>
          </cell>
          <cell r="B113" t="str">
            <v>　　差旅费</v>
          </cell>
          <cell r="G113">
            <v>21439.05</v>
          </cell>
          <cell r="H113">
            <v>21439.05</v>
          </cell>
        </row>
        <row r="114">
          <cell r="A114" t="str">
            <v>6602.09.01</v>
          </cell>
          <cell r="B114" t="str">
            <v>　　　　住宿费</v>
          </cell>
          <cell r="G114">
            <v>6739.05</v>
          </cell>
          <cell r="H114">
            <v>6739.05</v>
          </cell>
        </row>
        <row r="115">
          <cell r="A115" t="str">
            <v>6602.09.01</v>
          </cell>
          <cell r="B115" t="str">
            <v>　　　　住宿费</v>
          </cell>
          <cell r="C115" t="str">
            <v>CI008</v>
          </cell>
          <cell r="D115" t="str">
            <v>旭智资本（香港）</v>
          </cell>
          <cell r="G115">
            <v>6739.05</v>
          </cell>
          <cell r="H115">
            <v>6739.05</v>
          </cell>
        </row>
        <row r="116">
          <cell r="A116" t="str">
            <v>6602.09.04</v>
          </cell>
          <cell r="B116" t="str">
            <v>　　　　空中交通费</v>
          </cell>
          <cell r="G116">
            <v>14700</v>
          </cell>
          <cell r="H116">
            <v>14700</v>
          </cell>
        </row>
        <row r="117">
          <cell r="A117" t="str">
            <v>6602.09.04</v>
          </cell>
          <cell r="B117" t="str">
            <v>　　　　空中交通费</v>
          </cell>
          <cell r="C117" t="str">
            <v>CI008</v>
          </cell>
          <cell r="D117" t="str">
            <v>旭智资本（香港）</v>
          </cell>
          <cell r="G117">
            <v>14700</v>
          </cell>
          <cell r="H117">
            <v>14700</v>
          </cell>
        </row>
        <row r="118">
          <cell r="A118" t="str">
            <v>6602.12</v>
          </cell>
          <cell r="B118" t="str">
            <v>　　使用权资产折旧</v>
          </cell>
          <cell r="G118">
            <v>80668.460000000006</v>
          </cell>
          <cell r="H118">
            <v>80668.460000000006</v>
          </cell>
        </row>
        <row r="119">
          <cell r="A119" t="str">
            <v>6602.12.02</v>
          </cell>
          <cell r="B119" t="str">
            <v>　　　　办公地址</v>
          </cell>
          <cell r="G119">
            <v>80668.460000000006</v>
          </cell>
          <cell r="H119">
            <v>80668.460000000006</v>
          </cell>
        </row>
        <row r="120">
          <cell r="A120" t="str">
            <v>6602.12.02.02</v>
          </cell>
          <cell r="B120" t="str">
            <v>　　　　　　旭智资本（香港）--冯氏大厦</v>
          </cell>
          <cell r="G120">
            <v>80668.460000000006</v>
          </cell>
          <cell r="H120">
            <v>80668.460000000006</v>
          </cell>
        </row>
        <row r="121">
          <cell r="A121" t="str">
            <v>6602.21</v>
          </cell>
          <cell r="B121" t="str">
            <v>　　公司秘书费</v>
          </cell>
          <cell r="G121">
            <v>1214.52</v>
          </cell>
          <cell r="H121">
            <v>1214.52</v>
          </cell>
        </row>
        <row r="122">
          <cell r="A122" t="str">
            <v>6602.24</v>
          </cell>
          <cell r="B122" t="str">
            <v>　　监管费用</v>
          </cell>
        </row>
        <row r="123">
          <cell r="A123" t="str">
            <v>6602.99</v>
          </cell>
          <cell r="B123" t="str">
            <v>　　其他</v>
          </cell>
          <cell r="G123">
            <v>5620.47</v>
          </cell>
          <cell r="H123">
            <v>5620.47</v>
          </cell>
        </row>
        <row r="124">
          <cell r="A124" t="str">
            <v>6603</v>
          </cell>
          <cell r="B124" t="str">
            <v>财务费用</v>
          </cell>
          <cell r="G124">
            <v>-687904.63</v>
          </cell>
          <cell r="H124">
            <v>-687904.63</v>
          </cell>
        </row>
        <row r="125">
          <cell r="A125" t="str">
            <v>6603.01</v>
          </cell>
          <cell r="B125" t="str">
            <v>　　汇兑损益</v>
          </cell>
          <cell r="G125">
            <v>-692558.45</v>
          </cell>
          <cell r="H125">
            <v>-692558.45</v>
          </cell>
        </row>
        <row r="126">
          <cell r="A126" t="str">
            <v>6603.02</v>
          </cell>
          <cell r="B126" t="str">
            <v>　　利息费用</v>
          </cell>
          <cell r="G126">
            <v>5650.5</v>
          </cell>
          <cell r="H126">
            <v>5650.5</v>
          </cell>
        </row>
        <row r="127">
          <cell r="A127" t="str">
            <v>6603.02.02</v>
          </cell>
          <cell r="B127" t="str">
            <v>　　　　办公地址</v>
          </cell>
          <cell r="G127">
            <v>5650.5</v>
          </cell>
          <cell r="H127">
            <v>5650.5</v>
          </cell>
        </row>
        <row r="128">
          <cell r="A128" t="str">
            <v>6603.02.02.02</v>
          </cell>
          <cell r="B128" t="str">
            <v>　　　　　　旭智资本（香港）--冯氏大厦</v>
          </cell>
          <cell r="G128">
            <v>5650.5</v>
          </cell>
          <cell r="H128">
            <v>5650.5</v>
          </cell>
        </row>
        <row r="129">
          <cell r="A129" t="str">
            <v>6603.03</v>
          </cell>
          <cell r="B129" t="str">
            <v>　　银行手续费</v>
          </cell>
          <cell r="G129">
            <v>345.69</v>
          </cell>
          <cell r="H129">
            <v>345.69</v>
          </cell>
        </row>
        <row r="130">
          <cell r="A130" t="str">
            <v>6603.04</v>
          </cell>
          <cell r="B130" t="str">
            <v>　　利息收入</v>
          </cell>
          <cell r="G130">
            <v>-1342.37</v>
          </cell>
          <cell r="H130">
            <v>-1342.37</v>
          </cell>
        </row>
        <row r="131">
          <cell r="B131" t="str">
            <v>合计</v>
          </cell>
          <cell r="E131">
            <v>122062930.55</v>
          </cell>
          <cell r="F131">
            <v>122062930.55</v>
          </cell>
          <cell r="G131">
            <v>6631903.1200000001</v>
          </cell>
          <cell r="H131">
            <v>6631903.1200000001</v>
          </cell>
        </row>
      </sheetData>
      <sheetData sheetId="5">
        <row r="1">
          <cell r="A1" t="str">
            <v>币别:香港元</v>
          </cell>
          <cell r="B1" t="str">
            <v>账簿:旭智资本（香港）有限公司</v>
          </cell>
          <cell r="C1" t="str">
            <v>期间:2025.6 -- 2025.6</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5036845.5</v>
          </cell>
          <cell r="G4">
            <v>2402341.3199999998</v>
          </cell>
          <cell r="H4">
            <v>3345188.1</v>
          </cell>
        </row>
        <row r="5">
          <cell r="A5" t="str">
            <v>1002.02</v>
          </cell>
          <cell r="B5" t="str">
            <v>　　【旭智资本（香港）】银行存款账户</v>
          </cell>
          <cell r="E5">
            <v>5036845.5</v>
          </cell>
          <cell r="G5">
            <v>2402341.3199999998</v>
          </cell>
          <cell r="H5">
            <v>3345188.1</v>
          </cell>
        </row>
        <row r="6">
          <cell r="A6" t="str">
            <v>1002.02.01</v>
          </cell>
          <cell r="B6" t="str">
            <v>　　　　汇丰银行-741-269492-838</v>
          </cell>
          <cell r="E6">
            <v>114563.86</v>
          </cell>
          <cell r="G6">
            <v>1051507.3500000001</v>
          </cell>
          <cell r="H6">
            <v>982198.56</v>
          </cell>
        </row>
        <row r="7">
          <cell r="A7" t="str">
            <v>1002.02.01.01</v>
          </cell>
          <cell r="B7" t="str">
            <v>　　　　　　【旭智资本（香港）】汇丰港元储蓄账户 2838</v>
          </cell>
          <cell r="E7">
            <v>109177.11</v>
          </cell>
          <cell r="G7">
            <v>1050010.06</v>
          </cell>
          <cell r="H7">
            <v>982198.56</v>
          </cell>
        </row>
        <row r="8">
          <cell r="A8" t="str">
            <v>1002.02.01.03</v>
          </cell>
          <cell r="B8" t="str">
            <v>　　　　　　【旭智资本（香港）】汇丰外币储蓄 - 人民币 2838</v>
          </cell>
          <cell r="G8">
            <v>1389.22</v>
          </cell>
        </row>
        <row r="9">
          <cell r="A9" t="str">
            <v>1002.02.01.06</v>
          </cell>
          <cell r="B9" t="str">
            <v>　　　　　　【旭智资本（香港）】汇丰外币储蓄账户 - 澳币 2838</v>
          </cell>
          <cell r="E9">
            <v>5386.75</v>
          </cell>
          <cell r="G9">
            <v>108.07</v>
          </cell>
        </row>
        <row r="10">
          <cell r="A10" t="str">
            <v>1002.02.01.07</v>
          </cell>
          <cell r="B10" t="str">
            <v>　　　　　　【旭智资本（香港）】汇丰人民币定期存款</v>
          </cell>
        </row>
        <row r="11">
          <cell r="A11" t="str">
            <v>1002.02.01.08</v>
          </cell>
          <cell r="B11" t="str">
            <v>　　　　　　【旭智资本（香港）】汇丰全球货币基金</v>
          </cell>
        </row>
        <row r="12">
          <cell r="A12" t="str">
            <v>1002.02.02</v>
          </cell>
          <cell r="B12" t="str">
            <v>　　　　盈透证券-U13828206</v>
          </cell>
          <cell r="E12">
            <v>4922281.6399999997</v>
          </cell>
          <cell r="G12">
            <v>1350833.97</v>
          </cell>
          <cell r="H12">
            <v>2362989.54</v>
          </cell>
        </row>
        <row r="13">
          <cell r="A13" t="str">
            <v>1002.02.02.01</v>
          </cell>
          <cell r="B13" t="str">
            <v>　　　　　　【旭智资本（香港）】盈透证券港元账户 8206</v>
          </cell>
          <cell r="E13">
            <v>381236.68</v>
          </cell>
          <cell r="G13">
            <v>1312254</v>
          </cell>
          <cell r="H13">
            <v>1050062.8</v>
          </cell>
        </row>
        <row r="14">
          <cell r="A14" t="str">
            <v>1002.02.02.02</v>
          </cell>
          <cell r="B14" t="str">
            <v>　　　　　　【旭智资本（香港）】盈透证券人民币账户 8206</v>
          </cell>
          <cell r="E14">
            <v>4314077.3</v>
          </cell>
          <cell r="G14">
            <v>32589.96</v>
          </cell>
          <cell r="H14">
            <v>1312926.74</v>
          </cell>
        </row>
        <row r="15">
          <cell r="A15" t="str">
            <v>1002.02.02.03</v>
          </cell>
          <cell r="B15" t="str">
            <v>　　　　　　【旭智资本（香港）】盈透证券澳币账户 8206</v>
          </cell>
          <cell r="E15">
            <v>226967.66</v>
          </cell>
          <cell r="G15">
            <v>5990.01</v>
          </cell>
        </row>
        <row r="16">
          <cell r="A16" t="str">
            <v>1123</v>
          </cell>
          <cell r="B16" t="str">
            <v>预付账款</v>
          </cell>
          <cell r="E16">
            <v>902200.23</v>
          </cell>
          <cell r="G16">
            <v>100000</v>
          </cell>
          <cell r="H16">
            <v>140798.48000000001</v>
          </cell>
        </row>
        <row r="17">
          <cell r="A17" t="str">
            <v>1123.01</v>
          </cell>
          <cell r="B17" t="str">
            <v>　　单位</v>
          </cell>
          <cell r="E17">
            <v>902200.23</v>
          </cell>
          <cell r="G17">
            <v>100000</v>
          </cell>
          <cell r="H17">
            <v>140798.48000000001</v>
          </cell>
        </row>
        <row r="18">
          <cell r="A18" t="str">
            <v>1123.01</v>
          </cell>
          <cell r="B18" t="str">
            <v>　　单位</v>
          </cell>
          <cell r="C18" t="str">
            <v>SU003001</v>
          </cell>
          <cell r="D18" t="str">
            <v>Boardroom Corporate Services (HK) Limited</v>
          </cell>
          <cell r="E18">
            <v>8384.11</v>
          </cell>
          <cell r="H18">
            <v>1175.3399999999999</v>
          </cell>
        </row>
        <row r="19">
          <cell r="A19" t="str">
            <v>1123.01</v>
          </cell>
          <cell r="B19" t="str">
            <v>　　单位</v>
          </cell>
          <cell r="C19" t="str">
            <v>SU003003</v>
          </cell>
          <cell r="D19" t="str">
            <v>SUN HING INSURANCE BROKERS LTD.</v>
          </cell>
          <cell r="E19">
            <v>307745.23</v>
          </cell>
          <cell r="H19">
            <v>30647.95</v>
          </cell>
        </row>
        <row r="20">
          <cell r="A20" t="str">
            <v>1123.01</v>
          </cell>
          <cell r="B20" t="str">
            <v>　　单位</v>
          </cell>
          <cell r="C20" t="str">
            <v>SU003022</v>
          </cell>
          <cell r="D20" t="str">
            <v>Supreme Honour Development Limited</v>
          </cell>
          <cell r="E20">
            <v>535184.98</v>
          </cell>
          <cell r="G20">
            <v>100000</v>
          </cell>
          <cell r="H20">
            <v>105521.98</v>
          </cell>
        </row>
        <row r="21">
          <cell r="A21" t="str">
            <v>1123.01</v>
          </cell>
          <cell r="B21" t="str">
            <v>　　单位</v>
          </cell>
          <cell r="C21" t="str">
            <v>SU004004</v>
          </cell>
          <cell r="D21" t="str">
            <v>Fuji Xerox （Hong Kong) Limited</v>
          </cell>
          <cell r="E21">
            <v>4590</v>
          </cell>
        </row>
        <row r="22">
          <cell r="A22" t="str">
            <v>1123.01</v>
          </cell>
          <cell r="B22" t="str">
            <v>　　单位</v>
          </cell>
          <cell r="C22" t="str">
            <v>SU004006</v>
          </cell>
          <cell r="D22" t="str">
            <v>The HongKong Electric Co.,Ltd.</v>
          </cell>
          <cell r="E22">
            <v>17000</v>
          </cell>
        </row>
        <row r="23">
          <cell r="A23" t="str">
            <v>1123.01</v>
          </cell>
          <cell r="B23" t="str">
            <v>　　单位</v>
          </cell>
          <cell r="C23" t="str">
            <v>SU004010</v>
          </cell>
          <cell r="D23" t="str">
            <v>Noble Spirit Limited T/A Life Solutions</v>
          </cell>
          <cell r="E23">
            <v>6584.93</v>
          </cell>
          <cell r="H23">
            <v>359.18</v>
          </cell>
        </row>
        <row r="24">
          <cell r="A24" t="str">
            <v>1123.01</v>
          </cell>
          <cell r="B24" t="str">
            <v>　　单位</v>
          </cell>
          <cell r="C24" t="str">
            <v>SU004011</v>
          </cell>
          <cell r="D24" t="str">
            <v>Master Concept (Hong Kong) Limited</v>
          </cell>
          <cell r="E24">
            <v>21288.09</v>
          </cell>
          <cell r="H24">
            <v>2744.14</v>
          </cell>
        </row>
        <row r="25">
          <cell r="A25" t="str">
            <v>1123.01</v>
          </cell>
          <cell r="B25" t="str">
            <v>　　单位</v>
          </cell>
          <cell r="C25" t="str">
            <v>SU004013</v>
          </cell>
          <cell r="D25" t="str">
            <v>B&amp;T Engineering Limited</v>
          </cell>
          <cell r="E25">
            <v>1422.89</v>
          </cell>
          <cell r="H25">
            <v>349.89</v>
          </cell>
        </row>
        <row r="26">
          <cell r="A26" t="str">
            <v>1132</v>
          </cell>
          <cell r="B26" t="str">
            <v>应收利息</v>
          </cell>
        </row>
        <row r="27">
          <cell r="A27" t="str">
            <v>1132</v>
          </cell>
          <cell r="B27" t="str">
            <v>应收利息</v>
          </cell>
          <cell r="C27" t="str">
            <v>OU004001</v>
          </cell>
          <cell r="D27" t="str">
            <v>香港上海汇丰银行有限公司</v>
          </cell>
        </row>
        <row r="28">
          <cell r="A28" t="str">
            <v>1221</v>
          </cell>
          <cell r="B28" t="str">
            <v>其他应收款</v>
          </cell>
          <cell r="E28">
            <v>62120292.759999998</v>
          </cell>
          <cell r="G28">
            <v>741225.56</v>
          </cell>
          <cell r="H28">
            <v>77735.5</v>
          </cell>
        </row>
        <row r="29">
          <cell r="A29" t="str">
            <v>1221.01</v>
          </cell>
          <cell r="B29" t="str">
            <v>　　单位</v>
          </cell>
          <cell r="E29">
            <v>62120292.759999998</v>
          </cell>
          <cell r="G29">
            <v>741225.56</v>
          </cell>
          <cell r="H29">
            <v>77735.5</v>
          </cell>
        </row>
        <row r="30">
          <cell r="A30" t="str">
            <v>1221.01</v>
          </cell>
          <cell r="B30" t="str">
            <v>　　单位</v>
          </cell>
          <cell r="C30" t="str">
            <v>CU003004</v>
          </cell>
          <cell r="D30" t="str">
            <v>广州旭智投资控股有限责任公司</v>
          </cell>
          <cell r="E30">
            <v>53474956.299999997</v>
          </cell>
          <cell r="G30">
            <v>61238.48</v>
          </cell>
        </row>
        <row r="31">
          <cell r="A31" t="str">
            <v>1221.01</v>
          </cell>
          <cell r="B31" t="str">
            <v>　　单位</v>
          </cell>
          <cell r="C31" t="str">
            <v>CU003010</v>
          </cell>
          <cell r="D31" t="str">
            <v>旭智富能新能源（深圳）有限责任公司</v>
          </cell>
          <cell r="E31">
            <v>820123.96</v>
          </cell>
          <cell r="G31">
            <v>154337.07999999999</v>
          </cell>
        </row>
        <row r="32">
          <cell r="A32" t="str">
            <v>1221.01</v>
          </cell>
          <cell r="B32" t="str">
            <v>　　单位</v>
          </cell>
          <cell r="C32" t="str">
            <v>CU005009</v>
          </cell>
          <cell r="D32" t="str">
            <v>旭智资本有限公司</v>
          </cell>
          <cell r="E32">
            <v>7825212.5</v>
          </cell>
          <cell r="G32">
            <v>525650</v>
          </cell>
          <cell r="H32">
            <v>77735.5</v>
          </cell>
        </row>
        <row r="33">
          <cell r="A33" t="str">
            <v>1511</v>
          </cell>
          <cell r="B33" t="str">
            <v>长期股权投资</v>
          </cell>
          <cell r="E33">
            <v>5358013.7300000004</v>
          </cell>
        </row>
        <row r="34">
          <cell r="A34" t="str">
            <v>1511.01</v>
          </cell>
          <cell r="B34" t="str">
            <v>　　投资成本</v>
          </cell>
          <cell r="E34">
            <v>5358013.7300000004</v>
          </cell>
        </row>
        <row r="35">
          <cell r="A35" t="str">
            <v>1511.01.08</v>
          </cell>
          <cell r="B35" t="str">
            <v>　　　　深圳旭智私募股权基金管理有限公司</v>
          </cell>
          <cell r="E35">
            <v>5358013.7300000004</v>
          </cell>
        </row>
        <row r="36">
          <cell r="A36" t="str">
            <v>1641</v>
          </cell>
          <cell r="B36" t="str">
            <v>使用权资产</v>
          </cell>
          <cell r="E36">
            <v>7228737.71</v>
          </cell>
        </row>
        <row r="37">
          <cell r="A37" t="str">
            <v>1641.02</v>
          </cell>
          <cell r="B37" t="str">
            <v>　　办公地址</v>
          </cell>
          <cell r="E37">
            <v>7228737.71</v>
          </cell>
        </row>
        <row r="38">
          <cell r="A38" t="str">
            <v>1641.02.02</v>
          </cell>
          <cell r="B38" t="str">
            <v>　　　　旭智资本（香港）--冯氏大厦</v>
          </cell>
          <cell r="E38">
            <v>7228737.71</v>
          </cell>
        </row>
        <row r="39">
          <cell r="A39" t="str">
            <v>1642</v>
          </cell>
          <cell r="B39" t="str">
            <v>使用权资产累计折旧</v>
          </cell>
          <cell r="F39">
            <v>5778006.4199999999</v>
          </cell>
          <cell r="H39">
            <v>80668.460000000006</v>
          </cell>
        </row>
        <row r="40">
          <cell r="A40" t="str">
            <v>1642.02</v>
          </cell>
          <cell r="B40" t="str">
            <v>　　办公地址</v>
          </cell>
          <cell r="F40">
            <v>5778006.4199999999</v>
          </cell>
          <cell r="H40">
            <v>80668.460000000006</v>
          </cell>
        </row>
        <row r="41">
          <cell r="A41" t="str">
            <v>1642.02.02</v>
          </cell>
          <cell r="B41" t="str">
            <v>　　　　旭智资本（香港）--冯氏大厦</v>
          </cell>
          <cell r="F41">
            <v>5778006.4199999999</v>
          </cell>
          <cell r="H41">
            <v>80668.460000000006</v>
          </cell>
        </row>
        <row r="42">
          <cell r="A42" t="str">
            <v>2211</v>
          </cell>
          <cell r="B42" t="str">
            <v>应付职工薪酬</v>
          </cell>
          <cell r="F42">
            <v>70083.95</v>
          </cell>
          <cell r="G42">
            <v>9800</v>
          </cell>
          <cell r="H42">
            <v>9800</v>
          </cell>
        </row>
        <row r="43">
          <cell r="A43" t="str">
            <v>2211.02</v>
          </cell>
          <cell r="B43" t="str">
            <v>　　职工奖金</v>
          </cell>
        </row>
        <row r="44">
          <cell r="A44" t="str">
            <v>2211.11</v>
          </cell>
          <cell r="B44" t="str">
            <v>　　应付强制性公积金</v>
          </cell>
          <cell r="F44">
            <v>9800</v>
          </cell>
          <cell r="G44">
            <v>9800</v>
          </cell>
          <cell r="H44">
            <v>9800</v>
          </cell>
        </row>
        <row r="45">
          <cell r="A45" t="str">
            <v>2211.12</v>
          </cell>
          <cell r="B45" t="str">
            <v>　　应付长期服务金</v>
          </cell>
          <cell r="F45">
            <v>60283.95</v>
          </cell>
        </row>
        <row r="46">
          <cell r="A46" t="str">
            <v>2211.13</v>
          </cell>
          <cell r="B46" t="str">
            <v>　　未使用假期负债</v>
          </cell>
        </row>
        <row r="47">
          <cell r="A47" t="str">
            <v>2241</v>
          </cell>
          <cell r="B47" t="str">
            <v>其他应付款</v>
          </cell>
          <cell r="F47">
            <v>362565.08</v>
          </cell>
          <cell r="G47">
            <v>34047</v>
          </cell>
          <cell r="H47">
            <v>144063.29999999999</v>
          </cell>
        </row>
        <row r="48">
          <cell r="A48" t="str">
            <v>2241.01</v>
          </cell>
          <cell r="B48" t="str">
            <v>　　单位</v>
          </cell>
          <cell r="F48">
            <v>221757</v>
          </cell>
          <cell r="G48">
            <v>34047</v>
          </cell>
          <cell r="H48">
            <v>144063.29999999999</v>
          </cell>
        </row>
        <row r="49">
          <cell r="A49" t="str">
            <v>2241.01</v>
          </cell>
          <cell r="B49" t="str">
            <v>　　单位</v>
          </cell>
          <cell r="C49" t="str">
            <v>SU003003</v>
          </cell>
          <cell r="D49" t="str">
            <v>SUN HING INSURANCE BROKERS LTD.</v>
          </cell>
          <cell r="G49">
            <v>490</v>
          </cell>
        </row>
        <row r="50">
          <cell r="A50" t="str">
            <v>2241.01</v>
          </cell>
          <cell r="B50" t="str">
            <v>　　单位</v>
          </cell>
          <cell r="C50" t="str">
            <v>SU003011</v>
          </cell>
          <cell r="D50" t="str">
            <v>Tricor Services Limited</v>
          </cell>
          <cell r="F50">
            <v>54257</v>
          </cell>
          <cell r="G50">
            <v>33557</v>
          </cell>
          <cell r="H50">
            <v>11200</v>
          </cell>
        </row>
        <row r="51">
          <cell r="A51" t="str">
            <v>2241.01</v>
          </cell>
          <cell r="B51" t="str">
            <v>　　单位</v>
          </cell>
          <cell r="C51" t="str">
            <v>SU004019</v>
          </cell>
          <cell r="D51" t="str">
            <v>PricewaterhouseCoopers Limited</v>
          </cell>
          <cell r="F51">
            <v>167500</v>
          </cell>
          <cell r="H51">
            <v>17500</v>
          </cell>
        </row>
        <row r="52">
          <cell r="A52" t="str">
            <v>2241.01</v>
          </cell>
          <cell r="B52" t="str">
            <v>　　单位</v>
          </cell>
          <cell r="C52" t="str">
            <v>SU004022</v>
          </cell>
          <cell r="D52" t="str">
            <v>WIZ ADVISORY PTY LTD</v>
          </cell>
          <cell r="H52">
            <v>115363.3</v>
          </cell>
        </row>
        <row r="53">
          <cell r="A53" t="str">
            <v>2241.02</v>
          </cell>
          <cell r="B53" t="str">
            <v>　　个人</v>
          </cell>
          <cell r="F53">
            <v>140808.07999999999</v>
          </cell>
        </row>
        <row r="54">
          <cell r="A54" t="str">
            <v>2241.02</v>
          </cell>
          <cell r="B54" t="str">
            <v>　　个人</v>
          </cell>
          <cell r="C54" t="str">
            <v>SP003006</v>
          </cell>
          <cell r="D54" t="str">
            <v>甄伟杰</v>
          </cell>
          <cell r="F54">
            <v>140808.07999999999</v>
          </cell>
        </row>
        <row r="55">
          <cell r="A55" t="str">
            <v>2241.02</v>
          </cell>
          <cell r="B55" t="str">
            <v>　　个人</v>
          </cell>
          <cell r="C55" t="str">
            <v>SP003007</v>
          </cell>
          <cell r="D55" t="str">
            <v>梁国希</v>
          </cell>
        </row>
        <row r="56">
          <cell r="A56" t="str">
            <v>2241.02</v>
          </cell>
          <cell r="B56" t="str">
            <v>　　个人</v>
          </cell>
          <cell r="C56" t="str">
            <v>SP003009</v>
          </cell>
          <cell r="D56" t="str">
            <v>李琦</v>
          </cell>
        </row>
        <row r="57">
          <cell r="A57" t="str">
            <v>2601</v>
          </cell>
          <cell r="B57" t="str">
            <v>租赁负债</v>
          </cell>
          <cell r="F57">
            <v>1554404.34</v>
          </cell>
          <cell r="G57">
            <v>94672.85</v>
          </cell>
        </row>
        <row r="58">
          <cell r="A58" t="str">
            <v>2601.01</v>
          </cell>
          <cell r="B58" t="str">
            <v>　　租赁付款额</v>
          </cell>
          <cell r="F58">
            <v>1624531.06</v>
          </cell>
          <cell r="G58">
            <v>94672.85</v>
          </cell>
        </row>
        <row r="59">
          <cell r="A59" t="str">
            <v>2601.01.02</v>
          </cell>
          <cell r="B59" t="str">
            <v>　　　　办公地址</v>
          </cell>
          <cell r="F59">
            <v>1624531.06</v>
          </cell>
          <cell r="G59">
            <v>94672.85</v>
          </cell>
        </row>
        <row r="60">
          <cell r="A60" t="str">
            <v>2601.01.02.02</v>
          </cell>
          <cell r="B60" t="str">
            <v>　　　　　　旭智资本（香港）--冯氏大厦</v>
          </cell>
          <cell r="F60">
            <v>1624531.06</v>
          </cell>
          <cell r="G60">
            <v>94672.85</v>
          </cell>
        </row>
        <row r="61">
          <cell r="A61" t="str">
            <v>2601.02</v>
          </cell>
          <cell r="B61" t="str">
            <v>　　未确认融资费用</v>
          </cell>
          <cell r="E61">
            <v>70126.720000000001</v>
          </cell>
        </row>
        <row r="62">
          <cell r="A62" t="str">
            <v>2601.02.02</v>
          </cell>
          <cell r="B62" t="str">
            <v>　　　　办公地址</v>
          </cell>
          <cell r="E62">
            <v>70126.720000000001</v>
          </cell>
        </row>
        <row r="63">
          <cell r="A63" t="str">
            <v>2601.02.02.02</v>
          </cell>
          <cell r="B63" t="str">
            <v>　　　　　　旭智资本（香港）--冯氏大厦</v>
          </cell>
          <cell r="E63">
            <v>70126.720000000001</v>
          </cell>
        </row>
        <row r="64">
          <cell r="A64" t="str">
            <v>2801</v>
          </cell>
          <cell r="B64" t="str">
            <v>预计负债</v>
          </cell>
          <cell r="F64">
            <v>245000</v>
          </cell>
        </row>
        <row r="65">
          <cell r="A65" t="str">
            <v>4001</v>
          </cell>
          <cell r="B65" t="str">
            <v>实收资本（股本）</v>
          </cell>
          <cell r="F65">
            <v>113887263</v>
          </cell>
        </row>
        <row r="66">
          <cell r="A66" t="str">
            <v>4001.50</v>
          </cell>
          <cell r="B66" t="str">
            <v>　　普通股</v>
          </cell>
          <cell r="F66">
            <v>113887263</v>
          </cell>
        </row>
        <row r="67">
          <cell r="A67" t="str">
            <v>4001.50.07</v>
          </cell>
          <cell r="B67" t="str">
            <v>　　　　旭智资本有限公司</v>
          </cell>
          <cell r="F67">
            <v>113887263</v>
          </cell>
        </row>
        <row r="68">
          <cell r="A68" t="str">
            <v>4103</v>
          </cell>
          <cell r="B68" t="str">
            <v>本年利润</v>
          </cell>
          <cell r="E68">
            <v>1819375.57</v>
          </cell>
          <cell r="G68">
            <v>622242.11</v>
          </cell>
          <cell r="H68">
            <v>206075</v>
          </cell>
        </row>
        <row r="69">
          <cell r="A69" t="str">
            <v>4104</v>
          </cell>
          <cell r="B69" t="str">
            <v>利润分配</v>
          </cell>
          <cell r="E69">
            <v>39431857.289999999</v>
          </cell>
        </row>
        <row r="70">
          <cell r="A70" t="str">
            <v>4104.07</v>
          </cell>
          <cell r="B70" t="str">
            <v>　　未分配利润</v>
          </cell>
          <cell r="E70">
            <v>39431857.289999999</v>
          </cell>
        </row>
        <row r="71">
          <cell r="A71" t="str">
            <v>6001</v>
          </cell>
          <cell r="B71" t="str">
            <v>主营业务收入</v>
          </cell>
          <cell r="G71">
            <v>150425</v>
          </cell>
          <cell r="H71">
            <v>150425</v>
          </cell>
        </row>
        <row r="72">
          <cell r="A72" t="str">
            <v>6001.02</v>
          </cell>
          <cell r="B72" t="str">
            <v>　　咨询服务费收入</v>
          </cell>
          <cell r="G72">
            <v>150425</v>
          </cell>
          <cell r="H72">
            <v>150425</v>
          </cell>
        </row>
        <row r="73">
          <cell r="A73" t="str">
            <v>6001.02.02</v>
          </cell>
          <cell r="B73" t="str">
            <v>　　　　未开票</v>
          </cell>
          <cell r="G73">
            <v>150425</v>
          </cell>
          <cell r="H73">
            <v>150425</v>
          </cell>
        </row>
        <row r="74">
          <cell r="A74" t="str">
            <v>6001.02.02</v>
          </cell>
          <cell r="B74" t="str">
            <v>　　　　未开票</v>
          </cell>
          <cell r="C74" t="str">
            <v>CU003010</v>
          </cell>
          <cell r="D74" t="str">
            <v>旭智富能新能源（深圳）有限责任公司</v>
          </cell>
          <cell r="G74">
            <v>150425</v>
          </cell>
          <cell r="H74">
            <v>150425</v>
          </cell>
        </row>
        <row r="75">
          <cell r="A75" t="str">
            <v>6115</v>
          </cell>
          <cell r="B75" t="str">
            <v>其他收益</v>
          </cell>
          <cell r="G75">
            <v>55650</v>
          </cell>
          <cell r="H75">
            <v>55650</v>
          </cell>
        </row>
        <row r="76">
          <cell r="A76" t="str">
            <v>6115.03</v>
          </cell>
          <cell r="B76" t="str">
            <v>　　公司间往来</v>
          </cell>
          <cell r="G76">
            <v>55650</v>
          </cell>
          <cell r="H76">
            <v>55650</v>
          </cell>
        </row>
        <row r="77">
          <cell r="A77" t="str">
            <v>6602</v>
          </cell>
          <cell r="B77" t="str">
            <v>管理费用</v>
          </cell>
          <cell r="G77">
            <v>721406.3</v>
          </cell>
          <cell r="H77">
            <v>721406.3</v>
          </cell>
        </row>
        <row r="78">
          <cell r="A78" t="str">
            <v>6602.01</v>
          </cell>
          <cell r="B78" t="str">
            <v>　　工资薪金</v>
          </cell>
          <cell r="G78">
            <v>397286.3</v>
          </cell>
          <cell r="H78">
            <v>397286.3</v>
          </cell>
        </row>
        <row r="79">
          <cell r="A79" t="str">
            <v>6602.01.01</v>
          </cell>
          <cell r="B79" t="str">
            <v>　　　　基本工资（专业）</v>
          </cell>
          <cell r="G79">
            <v>200000</v>
          </cell>
          <cell r="H79">
            <v>200000</v>
          </cell>
        </row>
        <row r="80">
          <cell r="A80" t="str">
            <v>6602.01.05</v>
          </cell>
          <cell r="B80" t="str">
            <v>　　　　员工假期</v>
          </cell>
        </row>
        <row r="81">
          <cell r="A81" t="str">
            <v>6602.01.07</v>
          </cell>
          <cell r="B81" t="str">
            <v>　　　　集团内分摊</v>
          </cell>
          <cell r="G81">
            <v>77735.5</v>
          </cell>
          <cell r="H81">
            <v>77735.5</v>
          </cell>
        </row>
        <row r="82">
          <cell r="A82" t="str">
            <v>6602.01.08</v>
          </cell>
          <cell r="B82" t="str">
            <v>　　　　基本工资（管理）</v>
          </cell>
          <cell r="G82">
            <v>119550.8</v>
          </cell>
          <cell r="H82">
            <v>119550.8</v>
          </cell>
        </row>
        <row r="83">
          <cell r="A83" t="str">
            <v>6602.03</v>
          </cell>
          <cell r="B83" t="str">
            <v>　　社保公积金</v>
          </cell>
          <cell r="G83">
            <v>30962.42</v>
          </cell>
          <cell r="H83">
            <v>30962.42</v>
          </cell>
        </row>
        <row r="84">
          <cell r="A84" t="str">
            <v>6602.03.01</v>
          </cell>
          <cell r="B84" t="str">
            <v>　　　　员工社保福利</v>
          </cell>
          <cell r="G84">
            <v>26062.42</v>
          </cell>
          <cell r="H84">
            <v>26062.42</v>
          </cell>
        </row>
        <row r="85">
          <cell r="A85" t="str">
            <v>6602.03.03</v>
          </cell>
          <cell r="B85" t="str">
            <v>　　　　员工强制性公积金福利</v>
          </cell>
          <cell r="G85">
            <v>4900</v>
          </cell>
          <cell r="H85">
            <v>4900</v>
          </cell>
        </row>
        <row r="86">
          <cell r="A86" t="str">
            <v>6602.04</v>
          </cell>
          <cell r="B86" t="str">
            <v>　　咨询及专业服务费</v>
          </cell>
          <cell r="G86">
            <v>175063.3</v>
          </cell>
          <cell r="H86">
            <v>175063.3</v>
          </cell>
        </row>
        <row r="87">
          <cell r="A87" t="str">
            <v>6602.04.01</v>
          </cell>
          <cell r="B87" t="str">
            <v>　　　　会计服务费</v>
          </cell>
          <cell r="G87">
            <v>8500</v>
          </cell>
          <cell r="H87">
            <v>8500</v>
          </cell>
        </row>
        <row r="88">
          <cell r="A88" t="str">
            <v>6602.04.02</v>
          </cell>
          <cell r="B88" t="str">
            <v>　　　　审计服务费</v>
          </cell>
          <cell r="G88">
            <v>17500</v>
          </cell>
          <cell r="H88">
            <v>17500</v>
          </cell>
        </row>
        <row r="89">
          <cell r="A89" t="str">
            <v>6602.04.03</v>
          </cell>
          <cell r="B89" t="str">
            <v>　　　　顾问费</v>
          </cell>
          <cell r="G89">
            <v>115363.3</v>
          </cell>
          <cell r="H89">
            <v>115363.3</v>
          </cell>
        </row>
        <row r="90">
          <cell r="A90" t="str">
            <v>6602.04.03</v>
          </cell>
          <cell r="B90" t="str">
            <v>　　　　顾问费</v>
          </cell>
          <cell r="C90" t="str">
            <v>CI008</v>
          </cell>
          <cell r="D90" t="str">
            <v>旭智资本（香港）</v>
          </cell>
          <cell r="G90">
            <v>115363.3</v>
          </cell>
          <cell r="H90">
            <v>115363.3</v>
          </cell>
        </row>
        <row r="91">
          <cell r="A91" t="str">
            <v>6602.04.06</v>
          </cell>
          <cell r="B91" t="str">
            <v>　　　　法律服务费</v>
          </cell>
        </row>
        <row r="92">
          <cell r="A92" t="str">
            <v>6602.04.06</v>
          </cell>
          <cell r="B92" t="str">
            <v>　　　　法律服务费</v>
          </cell>
          <cell r="C92" t="str">
            <v>CI008</v>
          </cell>
          <cell r="D92" t="str">
            <v>旭智资本（香港）</v>
          </cell>
        </row>
        <row r="93">
          <cell r="A93" t="str">
            <v>6602.04.07</v>
          </cell>
          <cell r="B93" t="str">
            <v>　　　　人力资源服务费</v>
          </cell>
          <cell r="G93">
            <v>2500</v>
          </cell>
          <cell r="H93">
            <v>2500</v>
          </cell>
        </row>
        <row r="94">
          <cell r="A94" t="str">
            <v>6602.04.12</v>
          </cell>
          <cell r="B94" t="str">
            <v>　　　　合规支持服务</v>
          </cell>
          <cell r="G94">
            <v>31200</v>
          </cell>
          <cell r="H94">
            <v>31200</v>
          </cell>
        </row>
        <row r="95">
          <cell r="A95" t="str">
            <v>6602.04.12</v>
          </cell>
          <cell r="B95" t="str">
            <v>　　　　合规支持服务</v>
          </cell>
          <cell r="C95" t="str">
            <v>CI008</v>
          </cell>
          <cell r="D95" t="str">
            <v>旭智资本（香港）</v>
          </cell>
          <cell r="G95">
            <v>31200</v>
          </cell>
          <cell r="H95">
            <v>31200</v>
          </cell>
        </row>
        <row r="96">
          <cell r="A96" t="str">
            <v>6602.05</v>
          </cell>
          <cell r="B96" t="str">
            <v>　　占用费</v>
          </cell>
          <cell r="G96">
            <v>25253.05</v>
          </cell>
          <cell r="H96">
            <v>25253.05</v>
          </cell>
        </row>
        <row r="97">
          <cell r="A97" t="str">
            <v>6602.05.02</v>
          </cell>
          <cell r="B97" t="str">
            <v>　　　　管理费</v>
          </cell>
          <cell r="G97">
            <v>23842.98</v>
          </cell>
          <cell r="H97">
            <v>23842.98</v>
          </cell>
        </row>
        <row r="98">
          <cell r="A98" t="str">
            <v>6602.05.03</v>
          </cell>
          <cell r="B98" t="str">
            <v>　　　　电费</v>
          </cell>
          <cell r="G98">
            <v>701</v>
          </cell>
          <cell r="H98">
            <v>701</v>
          </cell>
        </row>
        <row r="99">
          <cell r="A99" t="str">
            <v>6602.05.05</v>
          </cell>
          <cell r="B99" t="str">
            <v>　　　　维修费</v>
          </cell>
          <cell r="G99">
            <v>709.07</v>
          </cell>
          <cell r="H99">
            <v>709.07</v>
          </cell>
        </row>
        <row r="100">
          <cell r="A100" t="str">
            <v>6602.06</v>
          </cell>
          <cell r="B100" t="str">
            <v>　　业务招待费</v>
          </cell>
        </row>
        <row r="101">
          <cell r="A101" t="str">
            <v>6602.06</v>
          </cell>
          <cell r="B101" t="str">
            <v>　　业务招待费</v>
          </cell>
          <cell r="C101" t="str">
            <v>CI008</v>
          </cell>
          <cell r="D101" t="str">
            <v>旭智资本（香港）</v>
          </cell>
        </row>
        <row r="102">
          <cell r="A102" t="str">
            <v>6602.08</v>
          </cell>
          <cell r="B102" t="str">
            <v>　　事务费用</v>
          </cell>
          <cell r="G102">
            <v>10797.43</v>
          </cell>
          <cell r="H102">
            <v>10797.43</v>
          </cell>
        </row>
        <row r="103">
          <cell r="A103" t="str">
            <v>6602.08.01</v>
          </cell>
          <cell r="B103" t="str">
            <v>　　　　通信费</v>
          </cell>
        </row>
        <row r="104">
          <cell r="A104" t="str">
            <v>6602.08.01</v>
          </cell>
          <cell r="B104" t="str">
            <v>　　　　通信费</v>
          </cell>
          <cell r="C104" t="str">
            <v>CI008</v>
          </cell>
          <cell r="D104" t="str">
            <v>旭智资本（香港）</v>
          </cell>
        </row>
        <row r="105">
          <cell r="A105" t="str">
            <v>6602.08.03</v>
          </cell>
          <cell r="B105" t="str">
            <v>　　　　办公用品</v>
          </cell>
          <cell r="G105">
            <v>3467.76</v>
          </cell>
          <cell r="H105">
            <v>3467.76</v>
          </cell>
        </row>
        <row r="106">
          <cell r="A106" t="str">
            <v>6602.08.03</v>
          </cell>
          <cell r="B106" t="str">
            <v>　　　　办公用品</v>
          </cell>
          <cell r="C106" t="str">
            <v>CI008</v>
          </cell>
          <cell r="D106" t="str">
            <v>旭智资本（香港）</v>
          </cell>
          <cell r="G106">
            <v>3467.76</v>
          </cell>
          <cell r="H106">
            <v>3467.76</v>
          </cell>
        </row>
        <row r="107">
          <cell r="A107" t="str">
            <v>6602.08.04</v>
          </cell>
          <cell r="B107" t="str">
            <v>　　　　事务保金</v>
          </cell>
          <cell r="G107">
            <v>4585.53</v>
          </cell>
          <cell r="H107">
            <v>4585.53</v>
          </cell>
        </row>
        <row r="108">
          <cell r="A108" t="str">
            <v>6602.08.04</v>
          </cell>
          <cell r="B108" t="str">
            <v>　　　　事务保金</v>
          </cell>
          <cell r="C108" t="str">
            <v>CI008</v>
          </cell>
          <cell r="D108" t="str">
            <v>旭智资本（香港）</v>
          </cell>
          <cell r="G108">
            <v>4585.53</v>
          </cell>
          <cell r="H108">
            <v>4585.53</v>
          </cell>
        </row>
        <row r="109">
          <cell r="A109" t="str">
            <v>6602.08.06</v>
          </cell>
          <cell r="B109" t="str">
            <v>　　　　IT专业人士及微软服务</v>
          </cell>
          <cell r="G109">
            <v>1138.04</v>
          </cell>
          <cell r="H109">
            <v>1138.04</v>
          </cell>
        </row>
        <row r="110">
          <cell r="A110" t="str">
            <v>6602.08.06</v>
          </cell>
          <cell r="B110" t="str">
            <v>　　　　IT专业人士及微软服务</v>
          </cell>
          <cell r="C110" t="str">
            <v>CI008</v>
          </cell>
          <cell r="D110" t="str">
            <v>旭智资本（香港）</v>
          </cell>
          <cell r="G110">
            <v>1138.04</v>
          </cell>
          <cell r="H110">
            <v>1138.04</v>
          </cell>
        </row>
        <row r="111">
          <cell r="A111" t="str">
            <v>6602.08.07</v>
          </cell>
          <cell r="B111" t="str">
            <v>　　　　软件许可证费用</v>
          </cell>
          <cell r="G111">
            <v>1606.1</v>
          </cell>
          <cell r="H111">
            <v>1606.1</v>
          </cell>
        </row>
        <row r="112">
          <cell r="A112" t="str">
            <v>6602.08.07</v>
          </cell>
          <cell r="B112" t="str">
            <v>　　　　软件许可证费用</v>
          </cell>
          <cell r="C112" t="str">
            <v>CI008</v>
          </cell>
          <cell r="D112" t="str">
            <v>旭智资本（香港）</v>
          </cell>
          <cell r="G112">
            <v>1606.1</v>
          </cell>
          <cell r="H112">
            <v>1606.1</v>
          </cell>
        </row>
        <row r="113">
          <cell r="A113" t="str">
            <v>6602.08.10</v>
          </cell>
          <cell r="B113" t="str">
            <v>　　　　电话国际直拨/电话会议收费</v>
          </cell>
        </row>
        <row r="114">
          <cell r="A114" t="str">
            <v>6602.08.10</v>
          </cell>
          <cell r="B114" t="str">
            <v>　　　　电话国际直拨/电话会议收费</v>
          </cell>
          <cell r="C114" t="str">
            <v>CI008</v>
          </cell>
          <cell r="D114" t="str">
            <v>旭智资本（香港）</v>
          </cell>
        </row>
        <row r="115">
          <cell r="A115" t="str">
            <v>6602.09</v>
          </cell>
          <cell r="B115" t="str">
            <v>　　差旅费</v>
          </cell>
        </row>
        <row r="116">
          <cell r="A116" t="str">
            <v>6602.09.01</v>
          </cell>
          <cell r="B116" t="str">
            <v>　　　　住宿费</v>
          </cell>
        </row>
        <row r="117">
          <cell r="A117" t="str">
            <v>6602.09.01</v>
          </cell>
          <cell r="B117" t="str">
            <v>　　　　住宿费</v>
          </cell>
          <cell r="C117" t="str">
            <v>CI008</v>
          </cell>
          <cell r="D117" t="str">
            <v>旭智资本（香港）</v>
          </cell>
        </row>
        <row r="118">
          <cell r="A118" t="str">
            <v>6602.09.04</v>
          </cell>
          <cell r="B118" t="str">
            <v>　　　　空中交通费</v>
          </cell>
        </row>
        <row r="119">
          <cell r="A119" t="str">
            <v>6602.09.04</v>
          </cell>
          <cell r="B119" t="str">
            <v>　　　　空中交通费</v>
          </cell>
          <cell r="C119" t="str">
            <v>CI008</v>
          </cell>
          <cell r="D119" t="str">
            <v>旭智资本（香港）</v>
          </cell>
        </row>
        <row r="120">
          <cell r="A120" t="str">
            <v>6602.12</v>
          </cell>
          <cell r="B120" t="str">
            <v>　　使用权资产折旧</v>
          </cell>
          <cell r="G120">
            <v>80668.460000000006</v>
          </cell>
          <cell r="H120">
            <v>80668.460000000006</v>
          </cell>
        </row>
        <row r="121">
          <cell r="A121" t="str">
            <v>6602.12.02</v>
          </cell>
          <cell r="B121" t="str">
            <v>　　　　办公地址</v>
          </cell>
          <cell r="G121">
            <v>80668.460000000006</v>
          </cell>
          <cell r="H121">
            <v>80668.460000000006</v>
          </cell>
        </row>
        <row r="122">
          <cell r="A122" t="str">
            <v>6602.12.02.02</v>
          </cell>
          <cell r="B122" t="str">
            <v>　　　　　　旭智资本（香港）--冯氏大厦</v>
          </cell>
          <cell r="G122">
            <v>80668.460000000006</v>
          </cell>
          <cell r="H122">
            <v>80668.460000000006</v>
          </cell>
        </row>
        <row r="123">
          <cell r="A123" t="str">
            <v>6602.21</v>
          </cell>
          <cell r="B123" t="str">
            <v>　　公司秘书费</v>
          </cell>
          <cell r="G123">
            <v>1175.3399999999999</v>
          </cell>
          <cell r="H123">
            <v>1175.3399999999999</v>
          </cell>
        </row>
        <row r="124">
          <cell r="A124" t="str">
            <v>6602.24</v>
          </cell>
          <cell r="B124" t="str">
            <v>　　监管费用</v>
          </cell>
        </row>
        <row r="125">
          <cell r="A125" t="str">
            <v>6602.99</v>
          </cell>
          <cell r="B125" t="str">
            <v>　　其他</v>
          </cell>
          <cell r="G125">
            <v>200</v>
          </cell>
          <cell r="H125">
            <v>200</v>
          </cell>
        </row>
        <row r="126">
          <cell r="A126" t="str">
            <v>6603</v>
          </cell>
          <cell r="B126" t="str">
            <v>财务费用</v>
          </cell>
          <cell r="G126">
            <v>-99164.19</v>
          </cell>
          <cell r="H126">
            <v>-99164.19</v>
          </cell>
        </row>
        <row r="127">
          <cell r="A127" t="str">
            <v>6603.01</v>
          </cell>
          <cell r="B127" t="str">
            <v>　　汇兑损益</v>
          </cell>
          <cell r="G127">
            <v>-103447.88</v>
          </cell>
          <cell r="H127">
            <v>-103447.88</v>
          </cell>
        </row>
        <row r="128">
          <cell r="A128" t="str">
            <v>6603.02</v>
          </cell>
          <cell r="B128" t="str">
            <v>　　利息费用</v>
          </cell>
          <cell r="G128">
            <v>5327.15</v>
          </cell>
          <cell r="H128">
            <v>5327.15</v>
          </cell>
        </row>
        <row r="129">
          <cell r="A129" t="str">
            <v>6603.02.02</v>
          </cell>
          <cell r="B129" t="str">
            <v>　　　　办公地址</v>
          </cell>
          <cell r="G129">
            <v>5327.15</v>
          </cell>
          <cell r="H129">
            <v>5327.15</v>
          </cell>
        </row>
        <row r="130">
          <cell r="A130" t="str">
            <v>6603.02.02.02</v>
          </cell>
          <cell r="B130" t="str">
            <v>　　　　　　旭智资本（香港）--冯氏大厦</v>
          </cell>
          <cell r="G130">
            <v>5327.15</v>
          </cell>
          <cell r="H130">
            <v>5327.15</v>
          </cell>
        </row>
        <row r="131">
          <cell r="A131" t="str">
            <v>6603.03</v>
          </cell>
          <cell r="B131" t="str">
            <v>　　银行手续费</v>
          </cell>
          <cell r="G131">
            <v>73.8</v>
          </cell>
          <cell r="H131">
            <v>73.8</v>
          </cell>
        </row>
        <row r="132">
          <cell r="A132" t="str">
            <v>6603.04</v>
          </cell>
          <cell r="B132" t="str">
            <v>　　利息收入</v>
          </cell>
          <cell r="G132">
            <v>-1117.26</v>
          </cell>
          <cell r="H132">
            <v>-1117.26</v>
          </cell>
        </row>
        <row r="133">
          <cell r="B133" t="str">
            <v>合计</v>
          </cell>
          <cell r="E133">
            <v>121967449.51000001</v>
          </cell>
          <cell r="F133">
            <v>121967449.51000001</v>
          </cell>
          <cell r="G133">
            <v>4832645.95</v>
          </cell>
          <cell r="H133">
            <v>4832645.95</v>
          </cell>
        </row>
      </sheetData>
      <sheetData sheetId="6">
        <row r="1">
          <cell r="A1" t="str">
            <v>币别:香港元</v>
          </cell>
          <cell r="B1" t="str">
            <v>账簿:旭智资本（香港）有限公司</v>
          </cell>
          <cell r="C1" t="str">
            <v>期间:2025.7 -- 2025.7</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4093998.72</v>
          </cell>
          <cell r="G4">
            <v>5183267.88</v>
          </cell>
          <cell r="H4">
            <v>6615107.1299999999</v>
          </cell>
        </row>
        <row r="5">
          <cell r="A5" t="str">
            <v>1002.02</v>
          </cell>
          <cell r="B5" t="str">
            <v>　　【旭智资本（香港）】银行存款账户</v>
          </cell>
          <cell r="E5">
            <v>4093998.72</v>
          </cell>
          <cell r="G5">
            <v>5183267.88</v>
          </cell>
          <cell r="H5">
            <v>6615107.1299999999</v>
          </cell>
        </row>
        <row r="6">
          <cell r="A6" t="str">
            <v>1002.02.01</v>
          </cell>
          <cell r="B6" t="str">
            <v>　　　　汇丰银行-741-269492-838</v>
          </cell>
          <cell r="E6">
            <v>183872.65</v>
          </cell>
          <cell r="G6">
            <v>5182743.5</v>
          </cell>
          <cell r="H6">
            <v>2706783.18</v>
          </cell>
        </row>
        <row r="7">
          <cell r="A7" t="str">
            <v>1002.02.01.01</v>
          </cell>
          <cell r="B7" t="str">
            <v>　　　　　　【旭智资本（香港）】汇丰港元储蓄账户 2838</v>
          </cell>
          <cell r="E7">
            <v>176988.61</v>
          </cell>
          <cell r="G7">
            <v>1731788.27</v>
          </cell>
          <cell r="H7">
            <v>1113803.57</v>
          </cell>
        </row>
        <row r="8">
          <cell r="A8" t="str">
            <v>1002.02.01.03</v>
          </cell>
          <cell r="B8" t="str">
            <v>　　　　　　【旭智资本（香港）】汇丰外币储蓄 - 人民币 2838</v>
          </cell>
          <cell r="E8">
            <v>1389.22</v>
          </cell>
          <cell r="G8">
            <v>3029975.48</v>
          </cell>
          <cell r="H8">
            <v>1294592.48</v>
          </cell>
        </row>
        <row r="9">
          <cell r="A9" t="str">
            <v>1002.02.01.04</v>
          </cell>
          <cell r="B9" t="str">
            <v>　　　　　　【旭智资本（香港）】汇丰外币储蓄账户 - 美元 2838</v>
          </cell>
          <cell r="G9">
            <v>188400</v>
          </cell>
          <cell r="H9">
            <v>188400</v>
          </cell>
        </row>
        <row r="10">
          <cell r="A10" t="str">
            <v>1002.02.01.06</v>
          </cell>
          <cell r="B10" t="str">
            <v>　　　　　　【旭智资本（香港）】汇丰外币储蓄账户 - 澳币 2838</v>
          </cell>
          <cell r="E10">
            <v>5494.82</v>
          </cell>
          <cell r="G10">
            <v>232579.75</v>
          </cell>
          <cell r="H10">
            <v>109987.13</v>
          </cell>
        </row>
        <row r="11">
          <cell r="A11" t="str">
            <v>1002.02.01.07</v>
          </cell>
          <cell r="B11" t="str">
            <v>　　　　　　【旭智资本（香港）】汇丰人民币定期存款</v>
          </cell>
        </row>
        <row r="12">
          <cell r="A12" t="str">
            <v>1002.02.01.08</v>
          </cell>
          <cell r="B12" t="str">
            <v>　　　　　　【旭智资本（香港）】汇丰全球货币基金</v>
          </cell>
        </row>
        <row r="13">
          <cell r="A13" t="str">
            <v>1002.02.02</v>
          </cell>
          <cell r="B13" t="str">
            <v>　　　　盈透证券-U13828206</v>
          </cell>
          <cell r="E13">
            <v>3910126.07</v>
          </cell>
          <cell r="G13">
            <v>524.38</v>
          </cell>
          <cell r="H13">
            <v>3908323.95</v>
          </cell>
        </row>
        <row r="14">
          <cell r="A14" t="str">
            <v>1002.02.02.01</v>
          </cell>
          <cell r="B14" t="str">
            <v>　　　　　　【旭智资本（香港）】盈透证券港元账户 8206</v>
          </cell>
          <cell r="E14">
            <v>643427.88</v>
          </cell>
          <cell r="H14">
            <v>643427.88</v>
          </cell>
        </row>
        <row r="15">
          <cell r="A15" t="str">
            <v>1002.02.02.02</v>
          </cell>
          <cell r="B15" t="str">
            <v>　　　　　　【旭智资本（香港）】盈透证券人民币账户 8206</v>
          </cell>
          <cell r="E15">
            <v>3033740.52</v>
          </cell>
          <cell r="H15">
            <v>3031850</v>
          </cell>
        </row>
        <row r="16">
          <cell r="A16" t="str">
            <v>1002.02.02.03</v>
          </cell>
          <cell r="B16" t="str">
            <v>　　　　　　【旭智资本（香港）】盈透证券澳币账户 8206</v>
          </cell>
          <cell r="E16">
            <v>232957.67</v>
          </cell>
          <cell r="G16">
            <v>524.38</v>
          </cell>
          <cell r="H16">
            <v>233046.07</v>
          </cell>
        </row>
        <row r="17">
          <cell r="A17" t="str">
            <v>1123</v>
          </cell>
          <cell r="B17" t="str">
            <v>预付账款</v>
          </cell>
          <cell r="E17">
            <v>861401.75</v>
          </cell>
          <cell r="G17">
            <v>114132.3</v>
          </cell>
          <cell r="H17">
            <v>136407.35</v>
          </cell>
        </row>
        <row r="18">
          <cell r="A18" t="str">
            <v>1123.01</v>
          </cell>
          <cell r="B18" t="str">
            <v>　　单位</v>
          </cell>
          <cell r="E18">
            <v>861401.75</v>
          </cell>
          <cell r="G18">
            <v>114132.3</v>
          </cell>
          <cell r="H18">
            <v>136407.35</v>
          </cell>
        </row>
        <row r="19">
          <cell r="A19" t="str">
            <v>1123.01</v>
          </cell>
          <cell r="B19" t="str">
            <v>　　单位</v>
          </cell>
          <cell r="C19" t="str">
            <v>SU003001</v>
          </cell>
          <cell r="D19" t="str">
            <v>Boardroom Corporate Services (HK) Limited</v>
          </cell>
          <cell r="E19">
            <v>7208.77</v>
          </cell>
          <cell r="H19">
            <v>1214.52</v>
          </cell>
        </row>
        <row r="20">
          <cell r="A20" t="str">
            <v>1123.01</v>
          </cell>
          <cell r="B20" t="str">
            <v>　　单位</v>
          </cell>
          <cell r="C20" t="str">
            <v>SU003003</v>
          </cell>
          <cell r="D20" t="str">
            <v>SUN HING INSURANCE BROKERS LTD.</v>
          </cell>
          <cell r="E20">
            <v>277097.28000000003</v>
          </cell>
          <cell r="G20">
            <v>2694.8</v>
          </cell>
          <cell r="H20">
            <v>31624.49</v>
          </cell>
        </row>
        <row r="21">
          <cell r="A21" t="str">
            <v>1123.01</v>
          </cell>
          <cell r="B21" t="str">
            <v>　　单位</v>
          </cell>
          <cell r="C21" t="str">
            <v>SU003022</v>
          </cell>
          <cell r="D21" t="str">
            <v>Supreme Honour Development Limited</v>
          </cell>
          <cell r="E21">
            <v>529663</v>
          </cell>
          <cell r="G21">
            <v>111437.5</v>
          </cell>
          <cell r="H21">
            <v>100000</v>
          </cell>
        </row>
        <row r="22">
          <cell r="A22" t="str">
            <v>1123.01</v>
          </cell>
          <cell r="B22" t="str">
            <v>　　单位</v>
          </cell>
          <cell r="C22" t="str">
            <v>SU004004</v>
          </cell>
          <cell r="D22" t="str">
            <v>Fuji Xerox （Hong Kong) Limited</v>
          </cell>
          <cell r="E22">
            <v>4590</v>
          </cell>
        </row>
        <row r="23">
          <cell r="A23" t="str">
            <v>1123.01</v>
          </cell>
          <cell r="B23" t="str">
            <v>　　单位</v>
          </cell>
          <cell r="C23" t="str">
            <v>SU004006</v>
          </cell>
          <cell r="D23" t="str">
            <v>The HongKong Electric Co.,Ltd.</v>
          </cell>
          <cell r="E23">
            <v>17000</v>
          </cell>
        </row>
        <row r="24">
          <cell r="A24" t="str">
            <v>1123.01</v>
          </cell>
          <cell r="B24" t="str">
            <v>　　单位</v>
          </cell>
          <cell r="C24" t="str">
            <v>SU004010</v>
          </cell>
          <cell r="D24" t="str">
            <v>Noble Spirit Limited T/A Life Solutions</v>
          </cell>
          <cell r="E24">
            <v>6225.75</v>
          </cell>
          <cell r="H24">
            <v>371.15</v>
          </cell>
        </row>
        <row r="25">
          <cell r="A25" t="str">
            <v>1123.01</v>
          </cell>
          <cell r="B25" t="str">
            <v>　　单位</v>
          </cell>
          <cell r="C25" t="str">
            <v>SU004011</v>
          </cell>
          <cell r="D25" t="str">
            <v>Master Concept (Hong Kong) Limited</v>
          </cell>
          <cell r="E25">
            <v>18543.95</v>
          </cell>
          <cell r="H25">
            <v>2835.63</v>
          </cell>
        </row>
        <row r="26">
          <cell r="A26" t="str">
            <v>1123.01</v>
          </cell>
          <cell r="B26" t="str">
            <v>　　单位</v>
          </cell>
          <cell r="C26" t="str">
            <v>SU004013</v>
          </cell>
          <cell r="D26" t="str">
            <v>B&amp;T Engineering Limited</v>
          </cell>
          <cell r="E26">
            <v>1073</v>
          </cell>
          <cell r="H26">
            <v>361.56</v>
          </cell>
        </row>
        <row r="27">
          <cell r="A27" t="str">
            <v>1132</v>
          </cell>
          <cell r="B27" t="str">
            <v>应收利息</v>
          </cell>
        </row>
        <row r="28">
          <cell r="A28" t="str">
            <v>1132</v>
          </cell>
          <cell r="B28" t="str">
            <v>应收利息</v>
          </cell>
          <cell r="C28" t="str">
            <v>OU004001</v>
          </cell>
          <cell r="D28" t="str">
            <v>香港上海汇丰银行有限公司</v>
          </cell>
        </row>
        <row r="29">
          <cell r="A29" t="str">
            <v>1221</v>
          </cell>
          <cell r="B29" t="str">
            <v>其他应收款</v>
          </cell>
          <cell r="E29">
            <v>62783782.82</v>
          </cell>
          <cell r="G29">
            <v>891273.84</v>
          </cell>
          <cell r="H29">
            <v>77735.5</v>
          </cell>
        </row>
        <row r="30">
          <cell r="A30" t="str">
            <v>1221.01</v>
          </cell>
          <cell r="B30" t="str">
            <v>　　单位</v>
          </cell>
          <cell r="E30">
            <v>62783782.82</v>
          </cell>
          <cell r="G30">
            <v>891273.84</v>
          </cell>
          <cell r="H30">
            <v>77735.5</v>
          </cell>
        </row>
        <row r="31">
          <cell r="A31" t="str">
            <v>1221.01</v>
          </cell>
          <cell r="B31" t="str">
            <v>　　单位</v>
          </cell>
          <cell r="C31" t="str">
            <v>CU003004</v>
          </cell>
          <cell r="D31" t="str">
            <v>广州旭智投资控股有限责任公司</v>
          </cell>
          <cell r="E31">
            <v>53536194.780000001</v>
          </cell>
          <cell r="G31">
            <v>114.35</v>
          </cell>
        </row>
        <row r="32">
          <cell r="A32" t="str">
            <v>1221.01</v>
          </cell>
          <cell r="B32" t="str">
            <v>　　单位</v>
          </cell>
          <cell r="C32" t="str">
            <v>CU003010</v>
          </cell>
          <cell r="D32" t="str">
            <v>旭智富能新能源（深圳）有限责任公司</v>
          </cell>
          <cell r="E32">
            <v>974461.04</v>
          </cell>
          <cell r="G32">
            <v>147109.49</v>
          </cell>
        </row>
        <row r="33">
          <cell r="A33" t="str">
            <v>1221.01</v>
          </cell>
          <cell r="B33" t="str">
            <v>　　单位</v>
          </cell>
          <cell r="C33" t="str">
            <v>CU005009</v>
          </cell>
          <cell r="D33" t="str">
            <v>旭智资本有限公司</v>
          </cell>
          <cell r="E33">
            <v>8273127</v>
          </cell>
          <cell r="G33">
            <v>744050</v>
          </cell>
          <cell r="H33">
            <v>77735.5</v>
          </cell>
        </row>
        <row r="34">
          <cell r="A34" t="str">
            <v>1511</v>
          </cell>
          <cell r="B34" t="str">
            <v>长期股权投资</v>
          </cell>
          <cell r="E34">
            <v>5358013.7300000004</v>
          </cell>
        </row>
        <row r="35">
          <cell r="A35" t="str">
            <v>1511.01</v>
          </cell>
          <cell r="B35" t="str">
            <v>　　投资成本</v>
          </cell>
          <cell r="E35">
            <v>5358013.7300000004</v>
          </cell>
        </row>
        <row r="36">
          <cell r="A36" t="str">
            <v>1511.01.08</v>
          </cell>
          <cell r="B36" t="str">
            <v>　　　　深圳旭智私募股权基金管理有限公司</v>
          </cell>
          <cell r="E36">
            <v>5358013.7300000004</v>
          </cell>
        </row>
        <row r="37">
          <cell r="A37" t="str">
            <v>1641</v>
          </cell>
          <cell r="B37" t="str">
            <v>使用权资产</v>
          </cell>
          <cell r="E37">
            <v>7228737.71</v>
          </cell>
        </row>
        <row r="38">
          <cell r="A38" t="str">
            <v>1641.02</v>
          </cell>
          <cell r="B38" t="str">
            <v>　　办公地址</v>
          </cell>
          <cell r="E38">
            <v>7228737.71</v>
          </cell>
        </row>
        <row r="39">
          <cell r="A39" t="str">
            <v>1641.02.02</v>
          </cell>
          <cell r="B39" t="str">
            <v>　　　　旭智资本（香港）--冯氏大厦</v>
          </cell>
          <cell r="E39">
            <v>7228737.71</v>
          </cell>
        </row>
        <row r="40">
          <cell r="A40" t="str">
            <v>1642</v>
          </cell>
          <cell r="B40" t="str">
            <v>使用权资产累计折旧</v>
          </cell>
          <cell r="F40">
            <v>5858674.8799999999</v>
          </cell>
          <cell r="H40">
            <v>80668.460000000006</v>
          </cell>
        </row>
        <row r="41">
          <cell r="A41" t="str">
            <v>1642.02</v>
          </cell>
          <cell r="B41" t="str">
            <v>　　办公地址</v>
          </cell>
          <cell r="F41">
            <v>5858674.8799999999</v>
          </cell>
          <cell r="H41">
            <v>80668.460000000006</v>
          </cell>
        </row>
        <row r="42">
          <cell r="A42" t="str">
            <v>1642.02.02</v>
          </cell>
          <cell r="B42" t="str">
            <v>　　　　旭智资本（香港）--冯氏大厦</v>
          </cell>
          <cell r="F42">
            <v>5858674.8799999999</v>
          </cell>
          <cell r="H42">
            <v>80668.460000000006</v>
          </cell>
        </row>
        <row r="43">
          <cell r="A43" t="str">
            <v>2211</v>
          </cell>
          <cell r="B43" t="str">
            <v>应付职工薪酬</v>
          </cell>
          <cell r="F43">
            <v>70083.95</v>
          </cell>
          <cell r="G43">
            <v>9800</v>
          </cell>
          <cell r="H43">
            <v>9800</v>
          </cell>
        </row>
        <row r="44">
          <cell r="A44" t="str">
            <v>2211.02</v>
          </cell>
          <cell r="B44" t="str">
            <v>　　职工奖金</v>
          </cell>
        </row>
        <row r="45">
          <cell r="A45" t="str">
            <v>2211.11</v>
          </cell>
          <cell r="B45" t="str">
            <v>　　应付强制性公积金</v>
          </cell>
          <cell r="F45">
            <v>9800</v>
          </cell>
          <cell r="G45">
            <v>9800</v>
          </cell>
          <cell r="H45">
            <v>9800</v>
          </cell>
        </row>
        <row r="46">
          <cell r="A46" t="str">
            <v>2211.12</v>
          </cell>
          <cell r="B46" t="str">
            <v>　　应付长期服务金</v>
          </cell>
          <cell r="F46">
            <v>60283.95</v>
          </cell>
        </row>
        <row r="47">
          <cell r="A47" t="str">
            <v>2211.13</v>
          </cell>
          <cell r="B47" t="str">
            <v>　　未使用假期负债</v>
          </cell>
        </row>
        <row r="48">
          <cell r="A48" t="str">
            <v>2241</v>
          </cell>
          <cell r="B48" t="str">
            <v>其他应付款</v>
          </cell>
          <cell r="F48">
            <v>472581.38</v>
          </cell>
          <cell r="G48">
            <v>207131.94</v>
          </cell>
          <cell r="H48">
            <v>34700</v>
          </cell>
        </row>
        <row r="49">
          <cell r="A49" t="str">
            <v>2241.01</v>
          </cell>
          <cell r="B49" t="str">
            <v>　　单位</v>
          </cell>
          <cell r="F49">
            <v>331773.3</v>
          </cell>
          <cell r="G49">
            <v>207131.94</v>
          </cell>
          <cell r="H49">
            <v>34700</v>
          </cell>
        </row>
        <row r="50">
          <cell r="A50" t="str">
            <v>2241.01</v>
          </cell>
          <cell r="B50" t="str">
            <v>　　单位</v>
          </cell>
          <cell r="C50" t="str">
            <v>SU003003</v>
          </cell>
          <cell r="D50" t="str">
            <v>SUN HING INSURANCE BROKERS LTD.</v>
          </cell>
          <cell r="E50">
            <v>490</v>
          </cell>
        </row>
        <row r="51">
          <cell r="A51" t="str">
            <v>2241.01</v>
          </cell>
          <cell r="B51" t="str">
            <v>　　单位</v>
          </cell>
          <cell r="C51" t="str">
            <v>SU003011</v>
          </cell>
          <cell r="D51" t="str">
            <v>Tricor Services Limited</v>
          </cell>
          <cell r="F51">
            <v>31900</v>
          </cell>
          <cell r="G51">
            <v>20700</v>
          </cell>
          <cell r="H51">
            <v>17200</v>
          </cell>
        </row>
        <row r="52">
          <cell r="A52" t="str">
            <v>2241.01</v>
          </cell>
          <cell r="B52" t="str">
            <v>　　单位</v>
          </cell>
          <cell r="C52" t="str">
            <v>SU004019</v>
          </cell>
          <cell r="D52" t="str">
            <v>PricewaterhouseCoopers Limited</v>
          </cell>
          <cell r="F52">
            <v>185000</v>
          </cell>
          <cell r="G52">
            <v>80000</v>
          </cell>
          <cell r="H52">
            <v>17500</v>
          </cell>
        </row>
        <row r="53">
          <cell r="A53" t="str">
            <v>2241.01</v>
          </cell>
          <cell r="B53" t="str">
            <v>　　单位</v>
          </cell>
          <cell r="C53" t="str">
            <v>SU004022</v>
          </cell>
          <cell r="D53" t="str">
            <v>WIZ ADVISORY PTY LTD</v>
          </cell>
          <cell r="F53">
            <v>115363.3</v>
          </cell>
          <cell r="G53">
            <v>106431.94</v>
          </cell>
        </row>
        <row r="54">
          <cell r="A54" t="str">
            <v>2241.02</v>
          </cell>
          <cell r="B54" t="str">
            <v>　　个人</v>
          </cell>
          <cell r="F54">
            <v>140808.07999999999</v>
          </cell>
        </row>
        <row r="55">
          <cell r="A55" t="str">
            <v>2241.02</v>
          </cell>
          <cell r="B55" t="str">
            <v>　　个人</v>
          </cell>
          <cell r="C55" t="str">
            <v>SP003006</v>
          </cell>
          <cell r="D55" t="str">
            <v>甄伟杰</v>
          </cell>
          <cell r="F55">
            <v>140808.07999999999</v>
          </cell>
        </row>
        <row r="56">
          <cell r="A56" t="str">
            <v>2241.02</v>
          </cell>
          <cell r="B56" t="str">
            <v>　　个人</v>
          </cell>
          <cell r="C56" t="str">
            <v>SP003007</v>
          </cell>
          <cell r="D56" t="str">
            <v>梁国希</v>
          </cell>
        </row>
        <row r="57">
          <cell r="A57" t="str">
            <v>2241.02</v>
          </cell>
          <cell r="B57" t="str">
            <v>　　个人</v>
          </cell>
          <cell r="C57" t="str">
            <v>SP003009</v>
          </cell>
          <cell r="D57" t="str">
            <v>李琦</v>
          </cell>
        </row>
        <row r="58">
          <cell r="A58" t="str">
            <v>2601</v>
          </cell>
          <cell r="B58" t="str">
            <v>租赁负债</v>
          </cell>
          <cell r="F58">
            <v>1459731.49</v>
          </cell>
          <cell r="G58">
            <v>94997.31</v>
          </cell>
        </row>
        <row r="59">
          <cell r="A59" t="str">
            <v>2601.01</v>
          </cell>
          <cell r="B59" t="str">
            <v>　　租赁付款额</v>
          </cell>
          <cell r="F59">
            <v>1529858.21</v>
          </cell>
          <cell r="G59">
            <v>94997.31</v>
          </cell>
        </row>
        <row r="60">
          <cell r="A60" t="str">
            <v>2601.01.02</v>
          </cell>
          <cell r="B60" t="str">
            <v>　　　　办公地址</v>
          </cell>
          <cell r="F60">
            <v>1529858.21</v>
          </cell>
          <cell r="G60">
            <v>94997.31</v>
          </cell>
        </row>
        <row r="61">
          <cell r="A61" t="str">
            <v>2601.01.02.02</v>
          </cell>
          <cell r="B61" t="str">
            <v>　　　　　　旭智资本（香港）--冯氏大厦</v>
          </cell>
          <cell r="F61">
            <v>1529858.21</v>
          </cell>
          <cell r="G61">
            <v>94997.31</v>
          </cell>
        </row>
        <row r="62">
          <cell r="A62" t="str">
            <v>2601.02</v>
          </cell>
          <cell r="B62" t="str">
            <v>　　未确认融资费用</v>
          </cell>
          <cell r="E62">
            <v>70126.720000000001</v>
          </cell>
        </row>
        <row r="63">
          <cell r="A63" t="str">
            <v>2601.02.02</v>
          </cell>
          <cell r="B63" t="str">
            <v>　　　　办公地址</v>
          </cell>
          <cell r="E63">
            <v>70126.720000000001</v>
          </cell>
        </row>
        <row r="64">
          <cell r="A64" t="str">
            <v>2601.02.02.02</v>
          </cell>
          <cell r="B64" t="str">
            <v>　　　　　　旭智资本（香港）--冯氏大厦</v>
          </cell>
          <cell r="E64">
            <v>70126.720000000001</v>
          </cell>
        </row>
        <row r="65">
          <cell r="A65" t="str">
            <v>2801</v>
          </cell>
          <cell r="B65" t="str">
            <v>预计负债</v>
          </cell>
          <cell r="F65">
            <v>245000</v>
          </cell>
        </row>
        <row r="66">
          <cell r="A66" t="str">
            <v>4001</v>
          </cell>
          <cell r="B66" t="str">
            <v>实收资本（股本）</v>
          </cell>
          <cell r="F66">
            <v>113887263</v>
          </cell>
        </row>
        <row r="67">
          <cell r="A67" t="str">
            <v>4001.50</v>
          </cell>
          <cell r="B67" t="str">
            <v>　　普通股</v>
          </cell>
          <cell r="F67">
            <v>113887263</v>
          </cell>
        </row>
        <row r="68">
          <cell r="A68" t="str">
            <v>4001.50.07</v>
          </cell>
          <cell r="B68" t="str">
            <v>　　　　旭智资本有限公司</v>
          </cell>
          <cell r="F68">
            <v>113887263</v>
          </cell>
        </row>
        <row r="69">
          <cell r="A69" t="str">
            <v>4103</v>
          </cell>
          <cell r="B69" t="str">
            <v>本年利润</v>
          </cell>
          <cell r="E69">
            <v>2235542.6800000002</v>
          </cell>
          <cell r="G69">
            <v>659443.30000000005</v>
          </cell>
          <cell r="H69">
            <v>205628.13</v>
          </cell>
        </row>
        <row r="70">
          <cell r="A70" t="str">
            <v>4104</v>
          </cell>
          <cell r="B70" t="str">
            <v>利润分配</v>
          </cell>
          <cell r="E70">
            <v>39431857.289999999</v>
          </cell>
        </row>
        <row r="71">
          <cell r="A71" t="str">
            <v>4104.07</v>
          </cell>
          <cell r="B71" t="str">
            <v>　　未分配利润</v>
          </cell>
          <cell r="E71">
            <v>39431857.289999999</v>
          </cell>
        </row>
        <row r="72">
          <cell r="A72" t="str">
            <v>6001</v>
          </cell>
          <cell r="B72" t="str">
            <v>主营业务收入</v>
          </cell>
          <cell r="G72">
            <v>149978.13</v>
          </cell>
          <cell r="H72">
            <v>149978.13</v>
          </cell>
        </row>
        <row r="73">
          <cell r="A73" t="str">
            <v>6001.02</v>
          </cell>
          <cell r="B73" t="str">
            <v>　　咨询服务费收入</v>
          </cell>
          <cell r="G73">
            <v>149978.13</v>
          </cell>
          <cell r="H73">
            <v>149978.13</v>
          </cell>
        </row>
        <row r="74">
          <cell r="A74" t="str">
            <v>6001.02.02</v>
          </cell>
          <cell r="B74" t="str">
            <v>　　　　未开票</v>
          </cell>
          <cell r="G74">
            <v>149978.13</v>
          </cell>
          <cell r="H74">
            <v>149978.13</v>
          </cell>
        </row>
        <row r="75">
          <cell r="A75" t="str">
            <v>6001.02.02</v>
          </cell>
          <cell r="B75" t="str">
            <v>　　　　未开票</v>
          </cell>
          <cell r="C75" t="str">
            <v>CU003010</v>
          </cell>
          <cell r="D75" t="str">
            <v>旭智富能新能源（深圳）有限责任公司</v>
          </cell>
          <cell r="G75">
            <v>149978.13</v>
          </cell>
          <cell r="H75">
            <v>149978.13</v>
          </cell>
        </row>
        <row r="76">
          <cell r="A76" t="str">
            <v>6115</v>
          </cell>
          <cell r="B76" t="str">
            <v>其他收益</v>
          </cell>
          <cell r="G76">
            <v>55650</v>
          </cell>
          <cell r="H76">
            <v>55650</v>
          </cell>
        </row>
        <row r="77">
          <cell r="A77" t="str">
            <v>6115.03</v>
          </cell>
          <cell r="B77" t="str">
            <v>　　公司间往来</v>
          </cell>
          <cell r="G77">
            <v>55650</v>
          </cell>
          <cell r="H77">
            <v>55650</v>
          </cell>
        </row>
        <row r="78">
          <cell r="A78" t="str">
            <v>6602</v>
          </cell>
          <cell r="B78" t="str">
            <v>管理费用</v>
          </cell>
          <cell r="G78">
            <v>628342.18000000005</v>
          </cell>
          <cell r="H78">
            <v>628342.18000000005</v>
          </cell>
        </row>
        <row r="79">
          <cell r="A79" t="str">
            <v>6602.01</v>
          </cell>
          <cell r="B79" t="str">
            <v>　　工资薪金</v>
          </cell>
          <cell r="G79">
            <v>402947.59</v>
          </cell>
          <cell r="H79">
            <v>402947.59</v>
          </cell>
        </row>
        <row r="80">
          <cell r="A80" t="str">
            <v>6602.01.01</v>
          </cell>
          <cell r="B80" t="str">
            <v>　　　　基本工资（专业）</v>
          </cell>
          <cell r="G80">
            <v>200000</v>
          </cell>
          <cell r="H80">
            <v>200000</v>
          </cell>
        </row>
        <row r="81">
          <cell r="A81" t="str">
            <v>6602.01.05</v>
          </cell>
          <cell r="B81" t="str">
            <v>　　　　员工假期</v>
          </cell>
        </row>
        <row r="82">
          <cell r="A82" t="str">
            <v>6602.01.07</v>
          </cell>
          <cell r="B82" t="str">
            <v>　　　　集团内分摊</v>
          </cell>
          <cell r="G82">
            <v>77735.5</v>
          </cell>
          <cell r="H82">
            <v>77735.5</v>
          </cell>
        </row>
        <row r="83">
          <cell r="A83" t="str">
            <v>6602.01.08</v>
          </cell>
          <cell r="B83" t="str">
            <v>　　　　基本工资（管理）</v>
          </cell>
          <cell r="G83">
            <v>125212.09</v>
          </cell>
          <cell r="H83">
            <v>125212.09</v>
          </cell>
        </row>
        <row r="84">
          <cell r="A84" t="str">
            <v>6602.02</v>
          </cell>
          <cell r="B84" t="str">
            <v>　　职工福利</v>
          </cell>
          <cell r="G84">
            <v>2642.54</v>
          </cell>
          <cell r="H84">
            <v>2642.54</v>
          </cell>
        </row>
        <row r="85">
          <cell r="A85" t="str">
            <v>6602.02.02</v>
          </cell>
          <cell r="B85" t="str">
            <v>　　　　团建活动</v>
          </cell>
          <cell r="G85">
            <v>2642.54</v>
          </cell>
          <cell r="H85">
            <v>2642.54</v>
          </cell>
        </row>
        <row r="86">
          <cell r="A86" t="str">
            <v>6602.03</v>
          </cell>
          <cell r="B86" t="str">
            <v>　　社保公积金</v>
          </cell>
          <cell r="G86">
            <v>31831.17</v>
          </cell>
          <cell r="H86">
            <v>31831.17</v>
          </cell>
        </row>
        <row r="87">
          <cell r="A87" t="str">
            <v>6602.03.01</v>
          </cell>
          <cell r="B87" t="str">
            <v>　　　　员工社保福利</v>
          </cell>
          <cell r="G87">
            <v>26931.17</v>
          </cell>
          <cell r="H87">
            <v>26931.17</v>
          </cell>
        </row>
        <row r="88">
          <cell r="A88" t="str">
            <v>6602.03.03</v>
          </cell>
          <cell r="B88" t="str">
            <v>　　　　员工强制性公积金福利</v>
          </cell>
          <cell r="G88">
            <v>4900</v>
          </cell>
          <cell r="H88">
            <v>4900</v>
          </cell>
        </row>
        <row r="89">
          <cell r="A89" t="str">
            <v>6602.04</v>
          </cell>
          <cell r="B89" t="str">
            <v>　　咨询及专业服务费</v>
          </cell>
          <cell r="G89">
            <v>50100</v>
          </cell>
          <cell r="H89">
            <v>50100</v>
          </cell>
        </row>
        <row r="90">
          <cell r="A90" t="str">
            <v>6602.04.01</v>
          </cell>
          <cell r="B90" t="str">
            <v>　　　　会计服务费</v>
          </cell>
          <cell r="G90">
            <v>14500</v>
          </cell>
          <cell r="H90">
            <v>14500</v>
          </cell>
        </row>
        <row r="91">
          <cell r="A91" t="str">
            <v>6602.04.02</v>
          </cell>
          <cell r="B91" t="str">
            <v>　　　　审计服务费</v>
          </cell>
          <cell r="G91">
            <v>17500</v>
          </cell>
          <cell r="H91">
            <v>17500</v>
          </cell>
        </row>
        <row r="92">
          <cell r="A92" t="str">
            <v>6602.04.03</v>
          </cell>
          <cell r="B92" t="str">
            <v>　　　　顾问费</v>
          </cell>
        </row>
        <row r="93">
          <cell r="A93" t="str">
            <v>6602.04.03</v>
          </cell>
          <cell r="B93" t="str">
            <v>　　　　顾问费</v>
          </cell>
          <cell r="C93" t="str">
            <v>CI008</v>
          </cell>
          <cell r="D93" t="str">
            <v>旭智资本（香港）</v>
          </cell>
        </row>
        <row r="94">
          <cell r="A94" t="str">
            <v>6602.04.06</v>
          </cell>
          <cell r="B94" t="str">
            <v>　　　　法律服务费</v>
          </cell>
        </row>
        <row r="95">
          <cell r="A95" t="str">
            <v>6602.04.06</v>
          </cell>
          <cell r="B95" t="str">
            <v>　　　　法律服务费</v>
          </cell>
          <cell r="C95" t="str">
            <v>CI008</v>
          </cell>
          <cell r="D95" t="str">
            <v>旭智资本（香港）</v>
          </cell>
        </row>
        <row r="96">
          <cell r="A96" t="str">
            <v>6602.04.07</v>
          </cell>
          <cell r="B96" t="str">
            <v>　　　　人力资源服务费</v>
          </cell>
          <cell r="G96">
            <v>2500</v>
          </cell>
          <cell r="H96">
            <v>2500</v>
          </cell>
        </row>
        <row r="97">
          <cell r="A97" t="str">
            <v>6602.04.12</v>
          </cell>
          <cell r="B97" t="str">
            <v>　　　　合规支持服务</v>
          </cell>
          <cell r="G97">
            <v>15600</v>
          </cell>
          <cell r="H97">
            <v>15600</v>
          </cell>
        </row>
        <row r="98">
          <cell r="A98" t="str">
            <v>6602.04.12</v>
          </cell>
          <cell r="B98" t="str">
            <v>　　　　合规支持服务</v>
          </cell>
          <cell r="C98" t="str">
            <v>CI008</v>
          </cell>
          <cell r="D98" t="str">
            <v>旭智资本（香港）</v>
          </cell>
          <cell r="G98">
            <v>15600</v>
          </cell>
          <cell r="H98">
            <v>15600</v>
          </cell>
        </row>
        <row r="99">
          <cell r="A99" t="str">
            <v>6602.05</v>
          </cell>
          <cell r="B99" t="str">
            <v>　　占用费</v>
          </cell>
          <cell r="G99">
            <v>27769.77</v>
          </cell>
          <cell r="H99">
            <v>27769.77</v>
          </cell>
        </row>
        <row r="100">
          <cell r="A100" t="str">
            <v>6602.05.02</v>
          </cell>
          <cell r="B100" t="str">
            <v>　　　　管理费</v>
          </cell>
          <cell r="G100">
            <v>24133.5</v>
          </cell>
          <cell r="H100">
            <v>24133.5</v>
          </cell>
        </row>
        <row r="101">
          <cell r="A101" t="str">
            <v>6602.05.03</v>
          </cell>
          <cell r="B101" t="str">
            <v>　　　　电费</v>
          </cell>
          <cell r="G101">
            <v>865</v>
          </cell>
          <cell r="H101">
            <v>865</v>
          </cell>
        </row>
        <row r="102">
          <cell r="A102" t="str">
            <v>6602.05.05</v>
          </cell>
          <cell r="B102" t="str">
            <v>　　　　维修费</v>
          </cell>
          <cell r="G102">
            <v>2771.27</v>
          </cell>
          <cell r="H102">
            <v>2771.27</v>
          </cell>
        </row>
        <row r="103">
          <cell r="A103" t="str">
            <v>6602.06</v>
          </cell>
          <cell r="B103" t="str">
            <v>　　业务招待费</v>
          </cell>
        </row>
        <row r="104">
          <cell r="A104" t="str">
            <v>6602.06</v>
          </cell>
          <cell r="B104" t="str">
            <v>　　业务招待费</v>
          </cell>
          <cell r="C104" t="str">
            <v>CI008</v>
          </cell>
          <cell r="D104" t="str">
            <v>旭智资本（香港）</v>
          </cell>
        </row>
        <row r="105">
          <cell r="A105" t="str">
            <v>6602.08</v>
          </cell>
          <cell r="B105" t="str">
            <v>　　事务费用</v>
          </cell>
          <cell r="G105">
            <v>10523.69</v>
          </cell>
          <cell r="H105">
            <v>10523.69</v>
          </cell>
        </row>
        <row r="106">
          <cell r="A106" t="str">
            <v>6602.08.01</v>
          </cell>
          <cell r="B106" t="str">
            <v>　　　　通信费</v>
          </cell>
        </row>
        <row r="107">
          <cell r="A107" t="str">
            <v>6602.08.01</v>
          </cell>
          <cell r="B107" t="str">
            <v>　　　　通信费</v>
          </cell>
          <cell r="C107" t="str">
            <v>CI008</v>
          </cell>
          <cell r="D107" t="str">
            <v>旭智资本（香港）</v>
          </cell>
        </row>
        <row r="108">
          <cell r="A108" t="str">
            <v>6602.08.03</v>
          </cell>
          <cell r="B108" t="str">
            <v>　　　　办公用品</v>
          </cell>
          <cell r="G108">
            <v>2398.36</v>
          </cell>
          <cell r="H108">
            <v>2398.36</v>
          </cell>
        </row>
        <row r="109">
          <cell r="A109" t="str">
            <v>6602.08.03</v>
          </cell>
          <cell r="B109" t="str">
            <v>　　　　办公用品</v>
          </cell>
          <cell r="C109" t="str">
            <v>CI008</v>
          </cell>
          <cell r="D109" t="str">
            <v>旭智资本（香港）</v>
          </cell>
          <cell r="G109">
            <v>2398.36</v>
          </cell>
          <cell r="H109">
            <v>2398.36</v>
          </cell>
        </row>
        <row r="110">
          <cell r="A110" t="str">
            <v>6602.08.04</v>
          </cell>
          <cell r="B110" t="str">
            <v>　　　　事务保金</v>
          </cell>
          <cell r="G110">
            <v>5181.7</v>
          </cell>
          <cell r="H110">
            <v>5181.7</v>
          </cell>
        </row>
        <row r="111">
          <cell r="A111" t="str">
            <v>6602.08.04</v>
          </cell>
          <cell r="B111" t="str">
            <v>　　　　事务保金</v>
          </cell>
          <cell r="C111" t="str">
            <v>CI008</v>
          </cell>
          <cell r="D111" t="str">
            <v>旭智资本（香港）</v>
          </cell>
          <cell r="G111">
            <v>5181.7</v>
          </cell>
          <cell r="H111">
            <v>5181.7</v>
          </cell>
        </row>
        <row r="112">
          <cell r="A112" t="str">
            <v>6602.08.05</v>
          </cell>
          <cell r="B112" t="str">
            <v>　　　　邮费/邮递费</v>
          </cell>
          <cell r="G112">
            <v>108</v>
          </cell>
          <cell r="H112">
            <v>108</v>
          </cell>
        </row>
        <row r="113">
          <cell r="A113" t="str">
            <v>6602.08.05</v>
          </cell>
          <cell r="B113" t="str">
            <v>　　　　邮费/邮递费</v>
          </cell>
          <cell r="C113" t="str">
            <v>CI008</v>
          </cell>
          <cell r="D113" t="str">
            <v>旭智资本（香港）</v>
          </cell>
          <cell r="G113">
            <v>108</v>
          </cell>
          <cell r="H113">
            <v>108</v>
          </cell>
        </row>
        <row r="114">
          <cell r="A114" t="str">
            <v>6602.08.06</v>
          </cell>
          <cell r="B114" t="str">
            <v>　　　　IT专业人士及微软服务</v>
          </cell>
          <cell r="G114">
            <v>1175.98</v>
          </cell>
          <cell r="H114">
            <v>1175.98</v>
          </cell>
        </row>
        <row r="115">
          <cell r="A115" t="str">
            <v>6602.08.06</v>
          </cell>
          <cell r="B115" t="str">
            <v>　　　　IT专业人士及微软服务</v>
          </cell>
          <cell r="C115" t="str">
            <v>CI008</v>
          </cell>
          <cell r="D115" t="str">
            <v>旭智资本（香港）</v>
          </cell>
          <cell r="G115">
            <v>1175.98</v>
          </cell>
          <cell r="H115">
            <v>1175.98</v>
          </cell>
        </row>
        <row r="116">
          <cell r="A116" t="str">
            <v>6602.08.07</v>
          </cell>
          <cell r="B116" t="str">
            <v>　　　　软件许可证费用</v>
          </cell>
          <cell r="G116">
            <v>1659.65</v>
          </cell>
          <cell r="H116">
            <v>1659.65</v>
          </cell>
        </row>
        <row r="117">
          <cell r="A117" t="str">
            <v>6602.08.07</v>
          </cell>
          <cell r="B117" t="str">
            <v>　　　　软件许可证费用</v>
          </cell>
          <cell r="C117" t="str">
            <v>CI008</v>
          </cell>
          <cell r="D117" t="str">
            <v>旭智资本（香港）</v>
          </cell>
          <cell r="G117">
            <v>1659.65</v>
          </cell>
          <cell r="H117">
            <v>1659.65</v>
          </cell>
        </row>
        <row r="118">
          <cell r="A118" t="str">
            <v>6602.08.10</v>
          </cell>
          <cell r="B118" t="str">
            <v>　　　　电话国际直拨/电话会议收费</v>
          </cell>
        </row>
        <row r="119">
          <cell r="A119" t="str">
            <v>6602.08.10</v>
          </cell>
          <cell r="B119" t="str">
            <v>　　　　电话国际直拨/电话会议收费</v>
          </cell>
          <cell r="C119" t="str">
            <v>CI008</v>
          </cell>
          <cell r="D119" t="str">
            <v>旭智资本（香港）</v>
          </cell>
        </row>
        <row r="120">
          <cell r="A120" t="str">
            <v>6602.09</v>
          </cell>
          <cell r="B120" t="str">
            <v>　　差旅费</v>
          </cell>
          <cell r="G120">
            <v>14444.44</v>
          </cell>
          <cell r="H120">
            <v>14444.44</v>
          </cell>
        </row>
        <row r="121">
          <cell r="A121" t="str">
            <v>6602.09.01</v>
          </cell>
          <cell r="B121" t="str">
            <v>　　　　住宿费</v>
          </cell>
        </row>
        <row r="122">
          <cell r="A122" t="str">
            <v>6602.09.01</v>
          </cell>
          <cell r="B122" t="str">
            <v>　　　　住宿费</v>
          </cell>
          <cell r="C122" t="str">
            <v>CI008</v>
          </cell>
          <cell r="D122" t="str">
            <v>旭智资本（香港）</v>
          </cell>
        </row>
        <row r="123">
          <cell r="A123" t="str">
            <v>6602.09.04</v>
          </cell>
          <cell r="B123" t="str">
            <v>　　　　空中交通费</v>
          </cell>
        </row>
        <row r="124">
          <cell r="A124" t="str">
            <v>6602.09.04</v>
          </cell>
          <cell r="B124" t="str">
            <v>　　　　空中交通费</v>
          </cell>
          <cell r="C124" t="str">
            <v>CI008</v>
          </cell>
          <cell r="D124" t="str">
            <v>旭智资本（香港）</v>
          </cell>
        </row>
        <row r="125">
          <cell r="A125" t="str">
            <v>6602.09.99</v>
          </cell>
          <cell r="B125" t="str">
            <v>　　　　其他</v>
          </cell>
          <cell r="G125">
            <v>14444.44</v>
          </cell>
          <cell r="H125">
            <v>14444.44</v>
          </cell>
        </row>
        <row r="126">
          <cell r="A126" t="str">
            <v>6602.09.99</v>
          </cell>
          <cell r="B126" t="str">
            <v>　　　　其他</v>
          </cell>
          <cell r="C126" t="str">
            <v>CI008</v>
          </cell>
          <cell r="D126" t="str">
            <v>旭智资本（香港）</v>
          </cell>
          <cell r="G126">
            <v>14444.44</v>
          </cell>
          <cell r="H126">
            <v>14444.44</v>
          </cell>
        </row>
        <row r="127">
          <cell r="A127" t="str">
            <v>6602.12</v>
          </cell>
          <cell r="B127" t="str">
            <v>　　使用权资产折旧</v>
          </cell>
          <cell r="G127">
            <v>80668.460000000006</v>
          </cell>
          <cell r="H127">
            <v>80668.460000000006</v>
          </cell>
        </row>
        <row r="128">
          <cell r="A128" t="str">
            <v>6602.12.02</v>
          </cell>
          <cell r="B128" t="str">
            <v>　　　　办公地址</v>
          </cell>
          <cell r="G128">
            <v>80668.460000000006</v>
          </cell>
          <cell r="H128">
            <v>80668.460000000006</v>
          </cell>
        </row>
        <row r="129">
          <cell r="A129" t="str">
            <v>6602.12.02.02</v>
          </cell>
          <cell r="B129" t="str">
            <v>　　　　　　旭智资本（香港）--冯氏大厦</v>
          </cell>
          <cell r="G129">
            <v>80668.460000000006</v>
          </cell>
          <cell r="H129">
            <v>80668.460000000006</v>
          </cell>
        </row>
        <row r="130">
          <cell r="A130" t="str">
            <v>6602.21</v>
          </cell>
          <cell r="B130" t="str">
            <v>　　公司秘书费</v>
          </cell>
          <cell r="G130">
            <v>1214.52</v>
          </cell>
          <cell r="H130">
            <v>1214.52</v>
          </cell>
        </row>
        <row r="131">
          <cell r="A131" t="str">
            <v>6602.24</v>
          </cell>
          <cell r="B131" t="str">
            <v>　　监管费用</v>
          </cell>
        </row>
        <row r="132">
          <cell r="A132" t="str">
            <v>6602.99</v>
          </cell>
          <cell r="B132" t="str">
            <v>　　其他</v>
          </cell>
          <cell r="G132">
            <v>6200</v>
          </cell>
          <cell r="H132">
            <v>6200</v>
          </cell>
        </row>
        <row r="133">
          <cell r="A133" t="str">
            <v>6603</v>
          </cell>
          <cell r="B133" t="str">
            <v>财务费用</v>
          </cell>
          <cell r="G133">
            <v>31101.119999999999</v>
          </cell>
          <cell r="H133">
            <v>31101.119999999999</v>
          </cell>
        </row>
        <row r="134">
          <cell r="A134" t="str">
            <v>6603.01</v>
          </cell>
          <cell r="B134" t="str">
            <v>　　汇兑损益</v>
          </cell>
          <cell r="G134">
            <v>23942.52</v>
          </cell>
          <cell r="H134">
            <v>23942.52</v>
          </cell>
        </row>
        <row r="135">
          <cell r="A135" t="str">
            <v>6603.02</v>
          </cell>
          <cell r="B135" t="str">
            <v>　　利息费用</v>
          </cell>
          <cell r="G135">
            <v>5002.6899999999996</v>
          </cell>
          <cell r="H135">
            <v>5002.6899999999996</v>
          </cell>
        </row>
        <row r="136">
          <cell r="A136" t="str">
            <v>6603.02.02</v>
          </cell>
          <cell r="B136" t="str">
            <v>　　　　办公地址</v>
          </cell>
          <cell r="G136">
            <v>5002.6899999999996</v>
          </cell>
          <cell r="H136">
            <v>5002.6899999999996</v>
          </cell>
        </row>
        <row r="137">
          <cell r="A137" t="str">
            <v>6603.02.02.02</v>
          </cell>
          <cell r="B137" t="str">
            <v>　　　　　　旭智资本（香港）--冯氏大厦</v>
          </cell>
          <cell r="G137">
            <v>5002.6899999999996</v>
          </cell>
          <cell r="H137">
            <v>5002.6899999999996</v>
          </cell>
        </row>
        <row r="138">
          <cell r="A138" t="str">
            <v>6603.03</v>
          </cell>
          <cell r="B138" t="str">
            <v>　　银行手续费</v>
          </cell>
          <cell r="G138">
            <v>221.35</v>
          </cell>
          <cell r="H138">
            <v>221.35</v>
          </cell>
        </row>
        <row r="139">
          <cell r="A139" t="str">
            <v>6603.04</v>
          </cell>
          <cell r="B139" t="str">
            <v>　　利息收入</v>
          </cell>
          <cell r="G139">
            <v>1934.56</v>
          </cell>
          <cell r="H139">
            <v>1934.56</v>
          </cell>
        </row>
        <row r="140">
          <cell r="B140" t="str">
            <v>合计</v>
          </cell>
          <cell r="E140">
            <v>122063951.42</v>
          </cell>
          <cell r="F140">
            <v>122063951.42</v>
          </cell>
          <cell r="G140">
            <v>8025118</v>
          </cell>
          <cell r="H140">
            <v>8025118</v>
          </cell>
        </row>
      </sheetData>
      <sheetData sheetId="7">
        <row r="1">
          <cell r="A1" t="str">
            <v>币别:香港元</v>
          </cell>
          <cell r="B1" t="str">
            <v>账簿:旭智资本（香港）有限公司</v>
          </cell>
          <cell r="C1" t="str">
            <v>期间:2025.8 -- 2025.8</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2662159.4700000002</v>
          </cell>
          <cell r="G4">
            <v>6610197.4000000004</v>
          </cell>
          <cell r="H4">
            <v>4034487.35</v>
          </cell>
        </row>
        <row r="5">
          <cell r="A5" t="str">
            <v>1002.02</v>
          </cell>
          <cell r="B5" t="str">
            <v>　　【旭智资本（香港）】银行存款账户</v>
          </cell>
          <cell r="E5">
            <v>2662159.4700000002</v>
          </cell>
          <cell r="G5">
            <v>6610197.4000000004</v>
          </cell>
          <cell r="H5">
            <v>4034487.35</v>
          </cell>
        </row>
        <row r="6">
          <cell r="A6" t="str">
            <v>1002.02.01</v>
          </cell>
          <cell r="B6" t="str">
            <v>　　　　汇丰银行-741-269492-838</v>
          </cell>
          <cell r="E6">
            <v>2659832.9700000002</v>
          </cell>
          <cell r="G6">
            <v>4098783.33</v>
          </cell>
          <cell r="H6">
            <v>2946500.96</v>
          </cell>
        </row>
        <row r="7">
          <cell r="A7" t="str">
            <v>1002.02.01.01</v>
          </cell>
          <cell r="B7" t="str">
            <v>　　　　　　【旭智资本（香港）】汇丰港元储蓄账户 2838</v>
          </cell>
          <cell r="E7">
            <v>794973.31</v>
          </cell>
          <cell r="G7">
            <v>544016.88</v>
          </cell>
          <cell r="H7">
            <v>982607.17</v>
          </cell>
        </row>
        <row r="8">
          <cell r="A8" t="str">
            <v>1002.02.01.02</v>
          </cell>
          <cell r="B8" t="str">
            <v>　　　　　　【旭智资本（香港）】汇丰港元活期账户 2838</v>
          </cell>
          <cell r="G8">
            <v>12071.57</v>
          </cell>
        </row>
        <row r="9">
          <cell r="A9" t="str">
            <v>1002.02.01.03</v>
          </cell>
          <cell r="B9" t="str">
            <v>　　　　　　【旭智资本（香港）】汇丰外币储蓄 - 人民币 2838</v>
          </cell>
          <cell r="E9">
            <v>1736772.22</v>
          </cell>
          <cell r="G9">
            <v>3541644</v>
          </cell>
          <cell r="H9">
            <v>1963893.79</v>
          </cell>
        </row>
        <row r="10">
          <cell r="A10" t="str">
            <v>1002.02.01.04</v>
          </cell>
          <cell r="B10" t="str">
            <v>　　　　　　【旭智资本（香港）】汇丰外币储蓄账户 - 美元 2838</v>
          </cell>
        </row>
        <row r="11">
          <cell r="A11" t="str">
            <v>1002.02.01.06</v>
          </cell>
          <cell r="B11" t="str">
            <v>　　　　　　【旭智资本（香港）】汇丰外币储蓄账户 - 澳币 2838</v>
          </cell>
          <cell r="E11">
            <v>128087.44</v>
          </cell>
          <cell r="G11">
            <v>1050.8800000000001</v>
          </cell>
        </row>
        <row r="12">
          <cell r="A12" t="str">
            <v>1002.02.01.07</v>
          </cell>
          <cell r="B12" t="str">
            <v>　　　　　　【旭智资本（香港）】汇丰人民币定期存款</v>
          </cell>
        </row>
        <row r="13">
          <cell r="A13" t="str">
            <v>1002.02.01.08</v>
          </cell>
          <cell r="B13" t="str">
            <v>　　　　　　【旭智资本（香港）】汇丰全球货币基金</v>
          </cell>
        </row>
        <row r="14">
          <cell r="A14" t="str">
            <v>1002.02.02</v>
          </cell>
          <cell r="B14" t="str">
            <v>　　　　盈透证券-U13828206</v>
          </cell>
          <cell r="E14">
            <v>2326.5</v>
          </cell>
          <cell r="G14">
            <v>2511414.0699999998</v>
          </cell>
          <cell r="H14">
            <v>1087986.3899999999</v>
          </cell>
        </row>
        <row r="15">
          <cell r="A15" t="str">
            <v>1002.02.02.01</v>
          </cell>
          <cell r="B15" t="str">
            <v>　　　　　　【旭智资本（香港）】盈透证券港元账户 8206</v>
          </cell>
          <cell r="G15">
            <v>543985.63</v>
          </cell>
          <cell r="H15">
            <v>543985.63</v>
          </cell>
        </row>
        <row r="16">
          <cell r="A16" t="str">
            <v>1002.02.02.02</v>
          </cell>
          <cell r="B16" t="str">
            <v>　　　　　　【旭智资本（香港）】盈透证券人民币账户 8206</v>
          </cell>
          <cell r="E16">
            <v>1890.52</v>
          </cell>
          <cell r="G16">
            <v>1967408.41</v>
          </cell>
          <cell r="H16">
            <v>543985.63</v>
          </cell>
        </row>
        <row r="17">
          <cell r="A17" t="str">
            <v>1002.02.02.03</v>
          </cell>
          <cell r="B17" t="str">
            <v>　　　　　　【旭智资本（香港）】盈透证券澳币账户 8206</v>
          </cell>
          <cell r="E17">
            <v>435.98</v>
          </cell>
          <cell r="G17">
            <v>20.03</v>
          </cell>
          <cell r="H17">
            <v>15.13</v>
          </cell>
        </row>
        <row r="18">
          <cell r="A18" t="str">
            <v>1123</v>
          </cell>
          <cell r="B18" t="str">
            <v>预付账款</v>
          </cell>
          <cell r="E18">
            <v>839126.7</v>
          </cell>
          <cell r="G18">
            <v>125454.16</v>
          </cell>
          <cell r="H18">
            <v>142490.16</v>
          </cell>
        </row>
        <row r="19">
          <cell r="A19" t="str">
            <v>1123.01</v>
          </cell>
          <cell r="B19" t="str">
            <v>　　单位</v>
          </cell>
          <cell r="E19">
            <v>839126.7</v>
          </cell>
          <cell r="G19">
            <v>125454.16</v>
          </cell>
          <cell r="H19">
            <v>142490.16</v>
          </cell>
        </row>
        <row r="20">
          <cell r="A20" t="str">
            <v>1123.01</v>
          </cell>
          <cell r="B20" t="str">
            <v>　　单位</v>
          </cell>
          <cell r="C20" t="str">
            <v>SU003001</v>
          </cell>
          <cell r="D20" t="str">
            <v>Boardroom Corporate Services (HK) Limited</v>
          </cell>
          <cell r="E20">
            <v>5994.25</v>
          </cell>
          <cell r="H20">
            <v>1214.52</v>
          </cell>
        </row>
        <row r="21">
          <cell r="A21" t="str">
            <v>1123.01</v>
          </cell>
          <cell r="B21" t="str">
            <v>　　单位</v>
          </cell>
          <cell r="C21" t="str">
            <v>SU003003</v>
          </cell>
          <cell r="D21" t="str">
            <v>SUN HING INSURANCE BROKERS LTD.</v>
          </cell>
          <cell r="E21">
            <v>248167.59</v>
          </cell>
          <cell r="H21">
            <v>31894.83</v>
          </cell>
        </row>
        <row r="22">
          <cell r="A22" t="str">
            <v>1123.01</v>
          </cell>
          <cell r="B22" t="str">
            <v>　　单位</v>
          </cell>
          <cell r="C22" t="str">
            <v>SU003022</v>
          </cell>
          <cell r="D22" t="str">
            <v>Supreme Honour Development Limited</v>
          </cell>
          <cell r="E22">
            <v>541100.5</v>
          </cell>
          <cell r="G22">
            <v>100000</v>
          </cell>
          <cell r="H22">
            <v>105812.5</v>
          </cell>
        </row>
        <row r="23">
          <cell r="A23" t="str">
            <v>1123.01</v>
          </cell>
          <cell r="B23" t="str">
            <v>　　单位</v>
          </cell>
          <cell r="C23" t="str">
            <v>SU004004</v>
          </cell>
          <cell r="D23" t="str">
            <v>Fuji Xerox （Hong Kong) Limited</v>
          </cell>
          <cell r="E23">
            <v>4590</v>
          </cell>
        </row>
        <row r="24">
          <cell r="A24" t="str">
            <v>1123.01</v>
          </cell>
          <cell r="B24" t="str">
            <v>　　单位</v>
          </cell>
          <cell r="C24" t="str">
            <v>SU004006</v>
          </cell>
          <cell r="D24" t="str">
            <v>The HongKong Electric Co.,Ltd.</v>
          </cell>
          <cell r="E24">
            <v>17000</v>
          </cell>
        </row>
        <row r="25">
          <cell r="A25" t="str">
            <v>1123.01</v>
          </cell>
          <cell r="B25" t="str">
            <v>　　单位</v>
          </cell>
          <cell r="C25" t="str">
            <v>SU004010</v>
          </cell>
          <cell r="D25" t="str">
            <v>Noble Spirit Limited T/A Life Solutions</v>
          </cell>
          <cell r="E25">
            <v>5854.6</v>
          </cell>
          <cell r="H25">
            <v>371.15</v>
          </cell>
        </row>
        <row r="26">
          <cell r="A26" t="str">
            <v>1123.01</v>
          </cell>
          <cell r="B26" t="str">
            <v>　　单位</v>
          </cell>
          <cell r="C26" t="str">
            <v>SU004011</v>
          </cell>
          <cell r="D26" t="str">
            <v>Master Concept (Hong Kong) Limited</v>
          </cell>
          <cell r="E26">
            <v>15708.32</v>
          </cell>
          <cell r="G26">
            <v>25454.16</v>
          </cell>
          <cell r="H26">
            <v>2835.61</v>
          </cell>
        </row>
        <row r="27">
          <cell r="A27" t="str">
            <v>1123.01</v>
          </cell>
          <cell r="B27" t="str">
            <v>　　单位</v>
          </cell>
          <cell r="C27" t="str">
            <v>SU004013</v>
          </cell>
          <cell r="D27" t="str">
            <v>B&amp;T Engineering Limited</v>
          </cell>
          <cell r="E27">
            <v>711.44</v>
          </cell>
          <cell r="H27">
            <v>361.55</v>
          </cell>
        </row>
        <row r="28">
          <cell r="A28" t="str">
            <v>1132</v>
          </cell>
          <cell r="B28" t="str">
            <v>应收利息</v>
          </cell>
        </row>
        <row r="29">
          <cell r="A29" t="str">
            <v>1132</v>
          </cell>
          <cell r="B29" t="str">
            <v>应收利息</v>
          </cell>
          <cell r="C29" t="str">
            <v>OU004001</v>
          </cell>
          <cell r="D29" t="str">
            <v>香港上海汇丰银行有限公司</v>
          </cell>
        </row>
        <row r="30">
          <cell r="A30" t="str">
            <v>1221</v>
          </cell>
          <cell r="B30" t="str">
            <v>其他应收款</v>
          </cell>
          <cell r="E30">
            <v>63597321.159999996</v>
          </cell>
          <cell r="G30">
            <v>608348.62</v>
          </cell>
          <cell r="H30">
            <v>3977358.21</v>
          </cell>
        </row>
        <row r="31">
          <cell r="A31" t="str">
            <v>1221.01</v>
          </cell>
          <cell r="B31" t="str">
            <v>　　单位</v>
          </cell>
          <cell r="E31">
            <v>63597321.159999996</v>
          </cell>
          <cell r="G31">
            <v>608348.62</v>
          </cell>
          <cell r="H31">
            <v>3977358.21</v>
          </cell>
        </row>
        <row r="32">
          <cell r="A32" t="str">
            <v>1221.01</v>
          </cell>
          <cell r="B32" t="str">
            <v>　　单位</v>
          </cell>
          <cell r="C32" t="str">
            <v>CU003004</v>
          </cell>
          <cell r="D32" t="str">
            <v>广州旭智投资控股有限责任公司</v>
          </cell>
          <cell r="E32">
            <v>53536309.130000003</v>
          </cell>
          <cell r="H32">
            <v>3899622.71</v>
          </cell>
        </row>
        <row r="33">
          <cell r="A33" t="str">
            <v>1221.01</v>
          </cell>
          <cell r="B33" t="str">
            <v>　　单位</v>
          </cell>
          <cell r="C33" t="str">
            <v>CU003010</v>
          </cell>
          <cell r="D33" t="str">
            <v>旭智富能新能源（深圳）有限责任公司</v>
          </cell>
          <cell r="E33">
            <v>1121570.53</v>
          </cell>
          <cell r="G33">
            <v>152698.62</v>
          </cell>
        </row>
        <row r="34">
          <cell r="A34" t="str">
            <v>1221.01</v>
          </cell>
          <cell r="B34" t="str">
            <v>　　单位</v>
          </cell>
          <cell r="C34" t="str">
            <v>CU005009</v>
          </cell>
          <cell r="D34" t="str">
            <v>旭智资本有限公司</v>
          </cell>
          <cell r="E34">
            <v>8939441.5</v>
          </cell>
          <cell r="G34">
            <v>455650</v>
          </cell>
          <cell r="H34">
            <v>77735.5</v>
          </cell>
        </row>
        <row r="35">
          <cell r="A35" t="str">
            <v>1511</v>
          </cell>
          <cell r="B35" t="str">
            <v>长期股权投资</v>
          </cell>
          <cell r="E35">
            <v>5358013.7300000004</v>
          </cell>
        </row>
        <row r="36">
          <cell r="A36" t="str">
            <v>1511.01</v>
          </cell>
          <cell r="B36" t="str">
            <v>　　投资成本</v>
          </cell>
          <cell r="E36">
            <v>5358013.7300000004</v>
          </cell>
        </row>
        <row r="37">
          <cell r="A37" t="str">
            <v>1511.01.08</v>
          </cell>
          <cell r="B37" t="str">
            <v>　　　　深圳旭智私募股权基金管理有限公司</v>
          </cell>
          <cell r="E37">
            <v>5358013.7300000004</v>
          </cell>
        </row>
        <row r="38">
          <cell r="A38" t="str">
            <v>1641</v>
          </cell>
          <cell r="B38" t="str">
            <v>使用权资产</v>
          </cell>
          <cell r="E38">
            <v>7228737.71</v>
          </cell>
        </row>
        <row r="39">
          <cell r="A39" t="str">
            <v>1641.02</v>
          </cell>
          <cell r="B39" t="str">
            <v>　　办公地址</v>
          </cell>
          <cell r="E39">
            <v>7228737.71</v>
          </cell>
        </row>
        <row r="40">
          <cell r="A40" t="str">
            <v>1641.02.02</v>
          </cell>
          <cell r="B40" t="str">
            <v>　　　　旭智资本（香港）--冯氏大厦</v>
          </cell>
          <cell r="E40">
            <v>7228737.71</v>
          </cell>
        </row>
        <row r="41">
          <cell r="A41" t="str">
            <v>1642</v>
          </cell>
          <cell r="B41" t="str">
            <v>使用权资产累计折旧</v>
          </cell>
          <cell r="F41">
            <v>5939343.3399999999</v>
          </cell>
          <cell r="H41">
            <v>80668.460000000006</v>
          </cell>
        </row>
        <row r="42">
          <cell r="A42" t="str">
            <v>1642.02</v>
          </cell>
          <cell r="B42" t="str">
            <v>　　办公地址</v>
          </cell>
          <cell r="F42">
            <v>5939343.3399999999</v>
          </cell>
          <cell r="H42">
            <v>80668.460000000006</v>
          </cell>
        </row>
        <row r="43">
          <cell r="A43" t="str">
            <v>1642.02.02</v>
          </cell>
          <cell r="B43" t="str">
            <v>　　　　旭智资本（香港）--冯氏大厦</v>
          </cell>
          <cell r="F43">
            <v>5939343.3399999999</v>
          </cell>
          <cell r="H43">
            <v>80668.460000000006</v>
          </cell>
        </row>
        <row r="44">
          <cell r="A44" t="str">
            <v>2211</v>
          </cell>
          <cell r="B44" t="str">
            <v>应付职工薪酬</v>
          </cell>
          <cell r="F44">
            <v>70083.95</v>
          </cell>
          <cell r="G44">
            <v>9800</v>
          </cell>
          <cell r="H44">
            <v>9800</v>
          </cell>
        </row>
        <row r="45">
          <cell r="A45" t="str">
            <v>2211.02</v>
          </cell>
          <cell r="B45" t="str">
            <v>　　职工奖金</v>
          </cell>
        </row>
        <row r="46">
          <cell r="A46" t="str">
            <v>2211.11</v>
          </cell>
          <cell r="B46" t="str">
            <v>　　应付强制性公积金</v>
          </cell>
          <cell r="F46">
            <v>9800</v>
          </cell>
          <cell r="G46">
            <v>9800</v>
          </cell>
          <cell r="H46">
            <v>9800</v>
          </cell>
        </row>
        <row r="47">
          <cell r="A47" t="str">
            <v>2211.12</v>
          </cell>
          <cell r="B47" t="str">
            <v>　　应付长期服务金</v>
          </cell>
          <cell r="F47">
            <v>60283.95</v>
          </cell>
        </row>
        <row r="48">
          <cell r="A48" t="str">
            <v>2211.13</v>
          </cell>
          <cell r="B48" t="str">
            <v>　　未使用假期负债</v>
          </cell>
        </row>
        <row r="49">
          <cell r="A49" t="str">
            <v>2241</v>
          </cell>
          <cell r="B49" t="str">
            <v>其他应付款</v>
          </cell>
          <cell r="F49">
            <v>300149.44</v>
          </cell>
          <cell r="G49">
            <v>10710</v>
          </cell>
          <cell r="H49">
            <v>28700</v>
          </cell>
        </row>
        <row r="50">
          <cell r="A50" t="str">
            <v>2241.01</v>
          </cell>
          <cell r="B50" t="str">
            <v>　　单位</v>
          </cell>
          <cell r="F50">
            <v>159341.35999999999</v>
          </cell>
          <cell r="G50">
            <v>10710</v>
          </cell>
          <cell r="H50">
            <v>28700</v>
          </cell>
        </row>
        <row r="51">
          <cell r="A51" t="str">
            <v>2241.01</v>
          </cell>
          <cell r="B51" t="str">
            <v>　　单位</v>
          </cell>
          <cell r="C51" t="str">
            <v>SU003003</v>
          </cell>
          <cell r="D51" t="str">
            <v>SUN HING INSURANCE BROKERS LTD.</v>
          </cell>
          <cell r="E51">
            <v>490</v>
          </cell>
        </row>
        <row r="52">
          <cell r="A52" t="str">
            <v>2241.01</v>
          </cell>
          <cell r="B52" t="str">
            <v>　　单位</v>
          </cell>
          <cell r="C52" t="str">
            <v>SU003011</v>
          </cell>
          <cell r="D52" t="str">
            <v>Tricor Services Limited</v>
          </cell>
          <cell r="F52">
            <v>28400</v>
          </cell>
          <cell r="G52">
            <v>10710</v>
          </cell>
          <cell r="H52">
            <v>11200</v>
          </cell>
        </row>
        <row r="53">
          <cell r="A53" t="str">
            <v>2241.01</v>
          </cell>
          <cell r="B53" t="str">
            <v>　　单位</v>
          </cell>
          <cell r="C53" t="str">
            <v>SU004019</v>
          </cell>
          <cell r="D53" t="str">
            <v>PricewaterhouseCoopers Limited</v>
          </cell>
          <cell r="F53">
            <v>122500</v>
          </cell>
          <cell r="H53">
            <v>17500</v>
          </cell>
        </row>
        <row r="54">
          <cell r="A54" t="str">
            <v>2241.01</v>
          </cell>
          <cell r="B54" t="str">
            <v>　　单位</v>
          </cell>
          <cell r="C54" t="str">
            <v>SU004022</v>
          </cell>
          <cell r="D54" t="str">
            <v>WIZ ADVISORY PTY LTD</v>
          </cell>
          <cell r="F54">
            <v>8931.36</v>
          </cell>
        </row>
        <row r="55">
          <cell r="A55" t="str">
            <v>2241.02</v>
          </cell>
          <cell r="B55" t="str">
            <v>　　个人</v>
          </cell>
          <cell r="F55">
            <v>140808.07999999999</v>
          </cell>
        </row>
        <row r="56">
          <cell r="A56" t="str">
            <v>2241.02</v>
          </cell>
          <cell r="B56" t="str">
            <v>　　个人</v>
          </cell>
          <cell r="C56" t="str">
            <v>SP003006</v>
          </cell>
          <cell r="D56" t="str">
            <v>甄伟杰</v>
          </cell>
          <cell r="F56">
            <v>140808.07999999999</v>
          </cell>
        </row>
        <row r="57">
          <cell r="A57" t="str">
            <v>2241.02</v>
          </cell>
          <cell r="B57" t="str">
            <v>　　个人</v>
          </cell>
          <cell r="C57" t="str">
            <v>SP003007</v>
          </cell>
          <cell r="D57" t="str">
            <v>梁国希</v>
          </cell>
        </row>
        <row r="58">
          <cell r="A58" t="str">
            <v>2241.02</v>
          </cell>
          <cell r="B58" t="str">
            <v>　　个人</v>
          </cell>
          <cell r="C58" t="str">
            <v>SP003009</v>
          </cell>
          <cell r="D58" t="str">
            <v>李琦</v>
          </cell>
        </row>
        <row r="59">
          <cell r="A59" t="str">
            <v>2601</v>
          </cell>
          <cell r="B59" t="str">
            <v>租赁负债</v>
          </cell>
          <cell r="F59">
            <v>1364734.18</v>
          </cell>
          <cell r="G59">
            <v>95322.87</v>
          </cell>
        </row>
        <row r="60">
          <cell r="A60" t="str">
            <v>2601.01</v>
          </cell>
          <cell r="B60" t="str">
            <v>　　租赁付款额</v>
          </cell>
          <cell r="F60">
            <v>1434860.9</v>
          </cell>
        </row>
        <row r="61">
          <cell r="A61" t="str">
            <v>2601.01.02</v>
          </cell>
          <cell r="B61" t="str">
            <v>　　　　办公地址</v>
          </cell>
          <cell r="F61">
            <v>1434860.9</v>
          </cell>
        </row>
        <row r="62">
          <cell r="A62" t="str">
            <v>2601.01.02.02</v>
          </cell>
          <cell r="B62" t="str">
            <v>　　　　　　旭智资本（香港）--冯氏大厦</v>
          </cell>
          <cell r="F62">
            <v>1434860.9</v>
          </cell>
        </row>
        <row r="63">
          <cell r="A63" t="str">
            <v>2601.02</v>
          </cell>
          <cell r="B63" t="str">
            <v>　　未确认融资费用</v>
          </cell>
          <cell r="E63">
            <v>70126.720000000001</v>
          </cell>
          <cell r="G63">
            <v>95322.87</v>
          </cell>
        </row>
        <row r="64">
          <cell r="A64" t="str">
            <v>2601.02.02</v>
          </cell>
          <cell r="B64" t="str">
            <v>　　　　办公地址</v>
          </cell>
          <cell r="E64">
            <v>70126.720000000001</v>
          </cell>
          <cell r="G64">
            <v>95322.87</v>
          </cell>
        </row>
        <row r="65">
          <cell r="A65" t="str">
            <v>2601.02.02.02</v>
          </cell>
          <cell r="B65" t="str">
            <v>　　　　　　旭智资本（香港）--冯氏大厦</v>
          </cell>
          <cell r="E65">
            <v>70126.720000000001</v>
          </cell>
          <cell r="G65">
            <v>95322.87</v>
          </cell>
        </row>
        <row r="66">
          <cell r="A66" t="str">
            <v>2801</v>
          </cell>
          <cell r="B66" t="str">
            <v>预计负债</v>
          </cell>
          <cell r="F66">
            <v>245000</v>
          </cell>
        </row>
        <row r="67">
          <cell r="A67" t="str">
            <v>4001</v>
          </cell>
          <cell r="B67" t="str">
            <v>实收资本（股本）</v>
          </cell>
          <cell r="F67">
            <v>113887263</v>
          </cell>
        </row>
        <row r="68">
          <cell r="A68" t="str">
            <v>4001.50</v>
          </cell>
          <cell r="B68" t="str">
            <v>　　普通股</v>
          </cell>
          <cell r="F68">
            <v>113887263</v>
          </cell>
        </row>
        <row r="69">
          <cell r="A69" t="str">
            <v>4001.50.07</v>
          </cell>
          <cell r="B69" t="str">
            <v>　　　　旭智资本有限公司</v>
          </cell>
          <cell r="F69">
            <v>113887263</v>
          </cell>
        </row>
        <row r="70">
          <cell r="A70" t="str">
            <v>4103</v>
          </cell>
          <cell r="B70" t="str">
            <v>本年利润</v>
          </cell>
          <cell r="E70">
            <v>2689357.85</v>
          </cell>
          <cell r="G70">
            <v>1019622.38</v>
          </cell>
          <cell r="H70">
            <v>205951.25</v>
          </cell>
        </row>
        <row r="71">
          <cell r="A71" t="str">
            <v>4104</v>
          </cell>
          <cell r="B71" t="str">
            <v>利润分配</v>
          </cell>
          <cell r="E71">
            <v>39431857.289999999</v>
          </cell>
        </row>
        <row r="72">
          <cell r="A72" t="str">
            <v>4104.07</v>
          </cell>
          <cell r="B72" t="str">
            <v>　　未分配利润</v>
          </cell>
          <cell r="E72">
            <v>39431857.289999999</v>
          </cell>
        </row>
        <row r="73">
          <cell r="A73" t="str">
            <v>6001</v>
          </cell>
          <cell r="B73" t="str">
            <v>主营业务收入</v>
          </cell>
          <cell r="G73">
            <v>150301.25</v>
          </cell>
          <cell r="H73">
            <v>150301.25</v>
          </cell>
        </row>
        <row r="74">
          <cell r="A74" t="str">
            <v>6001.02</v>
          </cell>
          <cell r="B74" t="str">
            <v>　　咨询服务费收入</v>
          </cell>
          <cell r="G74">
            <v>150301.25</v>
          </cell>
          <cell r="H74">
            <v>150301.25</v>
          </cell>
        </row>
        <row r="75">
          <cell r="A75" t="str">
            <v>6001.02.02</v>
          </cell>
          <cell r="B75" t="str">
            <v>　　　　未开票</v>
          </cell>
          <cell r="G75">
            <v>150301.25</v>
          </cell>
          <cell r="H75">
            <v>150301.25</v>
          </cell>
        </row>
        <row r="76">
          <cell r="A76" t="str">
            <v>6001.02.02</v>
          </cell>
          <cell r="B76" t="str">
            <v>　　　　未开票</v>
          </cell>
          <cell r="C76" t="str">
            <v>CU003010</v>
          </cell>
          <cell r="D76" t="str">
            <v>旭智富能新能源（深圳）有限责任公司</v>
          </cell>
          <cell r="G76">
            <v>150301.25</v>
          </cell>
          <cell r="H76">
            <v>150301.25</v>
          </cell>
        </row>
        <row r="77">
          <cell r="A77" t="str">
            <v>6115</v>
          </cell>
          <cell r="B77" t="str">
            <v>其他收益</v>
          </cell>
          <cell r="G77">
            <v>55650</v>
          </cell>
          <cell r="H77">
            <v>55650</v>
          </cell>
        </row>
        <row r="78">
          <cell r="A78" t="str">
            <v>6115.03</v>
          </cell>
          <cell r="B78" t="str">
            <v>　　公司间往来</v>
          </cell>
          <cell r="G78">
            <v>55650</v>
          </cell>
          <cell r="H78">
            <v>55650</v>
          </cell>
        </row>
        <row r="79">
          <cell r="A79" t="str">
            <v>6602</v>
          </cell>
          <cell r="B79" t="str">
            <v>管理费用</v>
          </cell>
          <cell r="G79">
            <v>663960.06000000006</v>
          </cell>
          <cell r="H79">
            <v>663960.06000000006</v>
          </cell>
        </row>
        <row r="80">
          <cell r="A80" t="str">
            <v>6602.01</v>
          </cell>
          <cell r="B80" t="str">
            <v>　　工资薪金</v>
          </cell>
          <cell r="G80">
            <v>401004.66</v>
          </cell>
          <cell r="H80">
            <v>401004.66</v>
          </cell>
        </row>
        <row r="81">
          <cell r="A81" t="str">
            <v>6602.01.01</v>
          </cell>
          <cell r="B81" t="str">
            <v>　　　　基本工资（专业）</v>
          </cell>
          <cell r="G81">
            <v>200000</v>
          </cell>
          <cell r="H81">
            <v>200000</v>
          </cell>
        </row>
        <row r="82">
          <cell r="A82" t="str">
            <v>6602.01.05</v>
          </cell>
          <cell r="B82" t="str">
            <v>　　　　员工假期</v>
          </cell>
        </row>
        <row r="83">
          <cell r="A83" t="str">
            <v>6602.01.07</v>
          </cell>
          <cell r="B83" t="str">
            <v>　　　　集团内分摊</v>
          </cell>
          <cell r="G83">
            <v>77735.5</v>
          </cell>
          <cell r="H83">
            <v>77735.5</v>
          </cell>
        </row>
        <row r="84">
          <cell r="A84" t="str">
            <v>6602.01.08</v>
          </cell>
          <cell r="B84" t="str">
            <v>　　　　基本工资（管理）</v>
          </cell>
          <cell r="G84">
            <v>123269.16</v>
          </cell>
          <cell r="H84">
            <v>123269.16</v>
          </cell>
        </row>
        <row r="85">
          <cell r="A85" t="str">
            <v>6602.02</v>
          </cell>
          <cell r="B85" t="str">
            <v>　　职工福利</v>
          </cell>
          <cell r="G85">
            <v>155.63</v>
          </cell>
          <cell r="H85">
            <v>155.63</v>
          </cell>
        </row>
        <row r="86">
          <cell r="A86" t="str">
            <v>6602.02.02</v>
          </cell>
          <cell r="B86" t="str">
            <v>　　　　团建活动</v>
          </cell>
          <cell r="G86">
            <v>155.63</v>
          </cell>
          <cell r="H86">
            <v>155.63</v>
          </cell>
        </row>
        <row r="87">
          <cell r="A87" t="str">
            <v>6602.03</v>
          </cell>
          <cell r="B87" t="str">
            <v>　　社保公积金</v>
          </cell>
          <cell r="G87">
            <v>31831.16</v>
          </cell>
          <cell r="H87">
            <v>31831.16</v>
          </cell>
        </row>
        <row r="88">
          <cell r="A88" t="str">
            <v>6602.03.01</v>
          </cell>
          <cell r="B88" t="str">
            <v>　　　　员工社保福利</v>
          </cell>
          <cell r="G88">
            <v>26931.16</v>
          </cell>
          <cell r="H88">
            <v>26931.16</v>
          </cell>
        </row>
        <row r="89">
          <cell r="A89" t="str">
            <v>6602.03.03</v>
          </cell>
          <cell r="B89" t="str">
            <v>　　　　员工强制性公积金福利</v>
          </cell>
          <cell r="G89">
            <v>4900</v>
          </cell>
          <cell r="H89">
            <v>4900</v>
          </cell>
        </row>
        <row r="90">
          <cell r="A90" t="str">
            <v>6602.04</v>
          </cell>
          <cell r="B90" t="str">
            <v>　　咨询及专业服务费</v>
          </cell>
          <cell r="G90">
            <v>44100</v>
          </cell>
          <cell r="H90">
            <v>44100</v>
          </cell>
        </row>
        <row r="91">
          <cell r="A91" t="str">
            <v>6602.04.01</v>
          </cell>
          <cell r="B91" t="str">
            <v>　　　　会计服务费</v>
          </cell>
          <cell r="G91">
            <v>8500</v>
          </cell>
          <cell r="H91">
            <v>8500</v>
          </cell>
        </row>
        <row r="92">
          <cell r="A92" t="str">
            <v>6602.04.02</v>
          </cell>
          <cell r="B92" t="str">
            <v>　　　　审计服务费</v>
          </cell>
          <cell r="G92">
            <v>17500</v>
          </cell>
          <cell r="H92">
            <v>17500</v>
          </cell>
        </row>
        <row r="93">
          <cell r="A93" t="str">
            <v>6602.04.03</v>
          </cell>
          <cell r="B93" t="str">
            <v>　　　　顾问费</v>
          </cell>
        </row>
        <row r="94">
          <cell r="A94" t="str">
            <v>6602.04.03</v>
          </cell>
          <cell r="B94" t="str">
            <v>　　　　顾问费</v>
          </cell>
          <cell r="C94" t="str">
            <v>CI008</v>
          </cell>
          <cell r="D94" t="str">
            <v>旭智资本（香港）</v>
          </cell>
        </row>
        <row r="95">
          <cell r="A95" t="str">
            <v>6602.04.06</v>
          </cell>
          <cell r="B95" t="str">
            <v>　　　　法律服务费</v>
          </cell>
        </row>
        <row r="96">
          <cell r="A96" t="str">
            <v>6602.04.06</v>
          </cell>
          <cell r="B96" t="str">
            <v>　　　　法律服务费</v>
          </cell>
          <cell r="C96" t="str">
            <v>CI008</v>
          </cell>
          <cell r="D96" t="str">
            <v>旭智资本（香港）</v>
          </cell>
        </row>
        <row r="97">
          <cell r="A97" t="str">
            <v>6602.04.07</v>
          </cell>
          <cell r="B97" t="str">
            <v>　　　　人力资源服务费</v>
          </cell>
          <cell r="G97">
            <v>2500</v>
          </cell>
          <cell r="H97">
            <v>2500</v>
          </cell>
        </row>
        <row r="98">
          <cell r="A98" t="str">
            <v>6602.04.12</v>
          </cell>
          <cell r="B98" t="str">
            <v>　　　　合规支持服务</v>
          </cell>
          <cell r="G98">
            <v>15600</v>
          </cell>
          <cell r="H98">
            <v>15600</v>
          </cell>
        </row>
        <row r="99">
          <cell r="A99" t="str">
            <v>6602.04.12</v>
          </cell>
          <cell r="B99" t="str">
            <v>　　　　合规支持服务</v>
          </cell>
          <cell r="C99" t="str">
            <v>CI008</v>
          </cell>
          <cell r="D99" t="str">
            <v>旭智资本（香港）</v>
          </cell>
          <cell r="G99">
            <v>15600</v>
          </cell>
          <cell r="H99">
            <v>15600</v>
          </cell>
        </row>
        <row r="100">
          <cell r="A100" t="str">
            <v>6602.05</v>
          </cell>
          <cell r="B100" t="str">
            <v>　　占用费</v>
          </cell>
          <cell r="G100">
            <v>25693.200000000001</v>
          </cell>
          <cell r="H100">
            <v>25693.200000000001</v>
          </cell>
        </row>
        <row r="101">
          <cell r="A101" t="str">
            <v>6602.05.02</v>
          </cell>
          <cell r="B101" t="str">
            <v>　　　　管理费</v>
          </cell>
          <cell r="G101">
            <v>24133.5</v>
          </cell>
          <cell r="H101">
            <v>24133.5</v>
          </cell>
        </row>
        <row r="102">
          <cell r="A102" t="str">
            <v>6602.05.03</v>
          </cell>
          <cell r="B102" t="str">
            <v>　　　　电费</v>
          </cell>
          <cell r="G102">
            <v>827</v>
          </cell>
          <cell r="H102">
            <v>827</v>
          </cell>
        </row>
        <row r="103">
          <cell r="A103" t="str">
            <v>6602.05.05</v>
          </cell>
          <cell r="B103" t="str">
            <v>　　　　维修费</v>
          </cell>
          <cell r="G103">
            <v>732.7</v>
          </cell>
          <cell r="H103">
            <v>732.7</v>
          </cell>
        </row>
        <row r="104">
          <cell r="A104" t="str">
            <v>6602.06</v>
          </cell>
          <cell r="B104" t="str">
            <v>　　业务招待费</v>
          </cell>
        </row>
        <row r="105">
          <cell r="A105" t="str">
            <v>6602.06</v>
          </cell>
          <cell r="B105" t="str">
            <v>　　业务招待费</v>
          </cell>
          <cell r="C105" t="str">
            <v>CI008</v>
          </cell>
          <cell r="D105" t="str">
            <v>旭智资本（香港）</v>
          </cell>
        </row>
        <row r="106">
          <cell r="A106" t="str">
            <v>6602.08</v>
          </cell>
          <cell r="B106" t="str">
            <v>　　事务费用</v>
          </cell>
          <cell r="G106">
            <v>62170.28</v>
          </cell>
          <cell r="H106">
            <v>62170.28</v>
          </cell>
        </row>
        <row r="107">
          <cell r="A107" t="str">
            <v>6602.08.01</v>
          </cell>
          <cell r="B107" t="str">
            <v>　　　　通信费</v>
          </cell>
          <cell r="G107">
            <v>1320</v>
          </cell>
          <cell r="H107">
            <v>1320</v>
          </cell>
        </row>
        <row r="108">
          <cell r="A108" t="str">
            <v>6602.08.01</v>
          </cell>
          <cell r="B108" t="str">
            <v>　　　　通信费</v>
          </cell>
          <cell r="C108" t="str">
            <v>CI008</v>
          </cell>
          <cell r="D108" t="str">
            <v>旭智资本（香港）</v>
          </cell>
          <cell r="G108">
            <v>1320</v>
          </cell>
          <cell r="H108">
            <v>1320</v>
          </cell>
        </row>
        <row r="109">
          <cell r="A109" t="str">
            <v>6602.08.03</v>
          </cell>
          <cell r="B109" t="str">
            <v>　　　　办公用品</v>
          </cell>
          <cell r="G109">
            <v>1691.31</v>
          </cell>
          <cell r="H109">
            <v>1691.31</v>
          </cell>
        </row>
        <row r="110">
          <cell r="A110" t="str">
            <v>6602.08.03</v>
          </cell>
          <cell r="B110" t="str">
            <v>　　　　办公用品</v>
          </cell>
          <cell r="C110" t="str">
            <v>CI008</v>
          </cell>
          <cell r="D110" t="str">
            <v>旭智资本（香港）</v>
          </cell>
          <cell r="G110">
            <v>1691.31</v>
          </cell>
          <cell r="H110">
            <v>1691.31</v>
          </cell>
        </row>
        <row r="111">
          <cell r="A111" t="str">
            <v>6602.08.04</v>
          </cell>
          <cell r="B111" t="str">
            <v>　　　　事务保金</v>
          </cell>
          <cell r="G111">
            <v>4963.67</v>
          </cell>
          <cell r="H111">
            <v>4963.67</v>
          </cell>
        </row>
        <row r="112">
          <cell r="A112" t="str">
            <v>6602.08.04</v>
          </cell>
          <cell r="B112" t="str">
            <v>　　　　事务保金</v>
          </cell>
          <cell r="C112" t="str">
            <v>CI008</v>
          </cell>
          <cell r="D112" t="str">
            <v>旭智资本（香港）</v>
          </cell>
          <cell r="G112">
            <v>4963.67</v>
          </cell>
          <cell r="H112">
            <v>4963.67</v>
          </cell>
        </row>
        <row r="113">
          <cell r="A113" t="str">
            <v>6602.08.05</v>
          </cell>
          <cell r="B113" t="str">
            <v>　　　　邮费/邮递费</v>
          </cell>
        </row>
        <row r="114">
          <cell r="A114" t="str">
            <v>6602.08.05</v>
          </cell>
          <cell r="B114" t="str">
            <v>　　　　邮费/邮递费</v>
          </cell>
          <cell r="C114" t="str">
            <v>CI008</v>
          </cell>
          <cell r="D114" t="str">
            <v>旭智资本（香港）</v>
          </cell>
        </row>
        <row r="115">
          <cell r="A115" t="str">
            <v>6602.08.06</v>
          </cell>
          <cell r="B115" t="str">
            <v>　　　　IT专业人士及微软服务</v>
          </cell>
          <cell r="G115">
            <v>51875.66</v>
          </cell>
          <cell r="H115">
            <v>51875.66</v>
          </cell>
        </row>
        <row r="116">
          <cell r="A116" t="str">
            <v>6602.08.06</v>
          </cell>
          <cell r="B116" t="str">
            <v>　　　　IT专业人士及微软服务</v>
          </cell>
          <cell r="C116" t="str">
            <v>CI008</v>
          </cell>
          <cell r="D116" t="str">
            <v>旭智资本（香港）</v>
          </cell>
          <cell r="G116">
            <v>51875.66</v>
          </cell>
          <cell r="H116">
            <v>51875.66</v>
          </cell>
        </row>
        <row r="117">
          <cell r="A117" t="str">
            <v>6602.08.07</v>
          </cell>
          <cell r="B117" t="str">
            <v>　　　　软件许可证费用</v>
          </cell>
          <cell r="G117">
            <v>1659.64</v>
          </cell>
          <cell r="H117">
            <v>1659.64</v>
          </cell>
        </row>
        <row r="118">
          <cell r="A118" t="str">
            <v>6602.08.07</v>
          </cell>
          <cell r="B118" t="str">
            <v>　　　　软件许可证费用</v>
          </cell>
          <cell r="C118" t="str">
            <v>CI008</v>
          </cell>
          <cell r="D118" t="str">
            <v>旭智资本（香港）</v>
          </cell>
          <cell r="G118">
            <v>1659.64</v>
          </cell>
          <cell r="H118">
            <v>1659.64</v>
          </cell>
        </row>
        <row r="119">
          <cell r="A119" t="str">
            <v>6602.08.10</v>
          </cell>
          <cell r="B119" t="str">
            <v>　　　　电话国际直拨/电话会议收费</v>
          </cell>
          <cell r="G119">
            <v>660</v>
          </cell>
          <cell r="H119">
            <v>660</v>
          </cell>
        </row>
        <row r="120">
          <cell r="A120" t="str">
            <v>6602.08.10</v>
          </cell>
          <cell r="B120" t="str">
            <v>　　　　电话国际直拨/电话会议收费</v>
          </cell>
          <cell r="C120" t="str">
            <v>CI008</v>
          </cell>
          <cell r="D120" t="str">
            <v>旭智资本（香港）</v>
          </cell>
          <cell r="G120">
            <v>660</v>
          </cell>
          <cell r="H120">
            <v>660</v>
          </cell>
        </row>
        <row r="121">
          <cell r="A121" t="str">
            <v>6602.09</v>
          </cell>
          <cell r="B121" t="str">
            <v>　　差旅费</v>
          </cell>
          <cell r="G121">
            <v>15292.15</v>
          </cell>
          <cell r="H121">
            <v>15292.15</v>
          </cell>
        </row>
        <row r="122">
          <cell r="A122" t="str">
            <v>6602.09.01</v>
          </cell>
          <cell r="B122" t="str">
            <v>　　　　住宿费</v>
          </cell>
          <cell r="G122">
            <v>3292.43</v>
          </cell>
          <cell r="H122">
            <v>3292.43</v>
          </cell>
        </row>
        <row r="123">
          <cell r="A123" t="str">
            <v>6602.09.01</v>
          </cell>
          <cell r="B123" t="str">
            <v>　　　　住宿费</v>
          </cell>
          <cell r="C123" t="str">
            <v>CI008</v>
          </cell>
          <cell r="D123" t="str">
            <v>旭智资本（香港）</v>
          </cell>
          <cell r="G123">
            <v>3292.43</v>
          </cell>
          <cell r="H123">
            <v>3292.43</v>
          </cell>
        </row>
        <row r="124">
          <cell r="A124" t="str">
            <v>6602.09.04</v>
          </cell>
          <cell r="B124" t="str">
            <v>　　　　空中交通费</v>
          </cell>
          <cell r="G124">
            <v>8858.76</v>
          </cell>
          <cell r="H124">
            <v>8858.76</v>
          </cell>
        </row>
        <row r="125">
          <cell r="A125" t="str">
            <v>6602.09.04</v>
          </cell>
          <cell r="B125" t="str">
            <v>　　　　空中交通费</v>
          </cell>
          <cell r="C125" t="str">
            <v>CI008</v>
          </cell>
          <cell r="D125" t="str">
            <v>旭智资本（香港）</v>
          </cell>
          <cell r="G125">
            <v>8858.76</v>
          </cell>
          <cell r="H125">
            <v>8858.76</v>
          </cell>
        </row>
        <row r="126">
          <cell r="A126" t="str">
            <v>6602.09.99</v>
          </cell>
          <cell r="B126" t="str">
            <v>　　　　其他</v>
          </cell>
          <cell r="G126">
            <v>3140.96</v>
          </cell>
          <cell r="H126">
            <v>3140.96</v>
          </cell>
        </row>
        <row r="127">
          <cell r="A127" t="str">
            <v>6602.09.99</v>
          </cell>
          <cell r="B127" t="str">
            <v>　　　　其他</v>
          </cell>
          <cell r="C127" t="str">
            <v>CI008</v>
          </cell>
          <cell r="D127" t="str">
            <v>旭智资本（香港）</v>
          </cell>
          <cell r="G127">
            <v>3140.96</v>
          </cell>
          <cell r="H127">
            <v>3140.96</v>
          </cell>
        </row>
        <row r="128">
          <cell r="A128" t="str">
            <v>6602.12</v>
          </cell>
          <cell r="B128" t="str">
            <v>　　使用权资产折旧</v>
          </cell>
          <cell r="G128">
            <v>80668.460000000006</v>
          </cell>
          <cell r="H128">
            <v>80668.460000000006</v>
          </cell>
        </row>
        <row r="129">
          <cell r="A129" t="str">
            <v>6602.12.02</v>
          </cell>
          <cell r="B129" t="str">
            <v>　　　　办公地址</v>
          </cell>
          <cell r="G129">
            <v>80668.460000000006</v>
          </cell>
          <cell r="H129">
            <v>80668.460000000006</v>
          </cell>
        </row>
        <row r="130">
          <cell r="A130" t="str">
            <v>6602.12.02.02</v>
          </cell>
          <cell r="B130" t="str">
            <v>　　　　　　旭智资本（香港）--冯氏大厦</v>
          </cell>
          <cell r="G130">
            <v>80668.460000000006</v>
          </cell>
          <cell r="H130">
            <v>80668.460000000006</v>
          </cell>
        </row>
        <row r="131">
          <cell r="A131" t="str">
            <v>6602.20</v>
          </cell>
          <cell r="B131" t="str">
            <v>　　职工教育经费</v>
          </cell>
          <cell r="G131">
            <v>1630</v>
          </cell>
          <cell r="H131">
            <v>1630</v>
          </cell>
        </row>
        <row r="132">
          <cell r="A132" t="str">
            <v>6602.21</v>
          </cell>
          <cell r="B132" t="str">
            <v>　　公司秘书费</v>
          </cell>
          <cell r="G132">
            <v>1214.52</v>
          </cell>
          <cell r="H132">
            <v>1214.52</v>
          </cell>
        </row>
        <row r="133">
          <cell r="A133" t="str">
            <v>6602.24</v>
          </cell>
          <cell r="B133" t="str">
            <v>　　监管费用</v>
          </cell>
        </row>
        <row r="134">
          <cell r="A134" t="str">
            <v>6602.99</v>
          </cell>
          <cell r="B134" t="str">
            <v>　　其他</v>
          </cell>
          <cell r="G134">
            <v>200</v>
          </cell>
          <cell r="H134">
            <v>200</v>
          </cell>
        </row>
        <row r="135">
          <cell r="A135" t="str">
            <v>6603</v>
          </cell>
          <cell r="B135" t="str">
            <v>财务费用</v>
          </cell>
          <cell r="G135">
            <v>355662.32</v>
          </cell>
          <cell r="H135">
            <v>355662.32</v>
          </cell>
        </row>
        <row r="136">
          <cell r="A136" t="str">
            <v>6603.01</v>
          </cell>
          <cell r="B136" t="str">
            <v>　　汇兑损益</v>
          </cell>
          <cell r="G136">
            <v>351087.29</v>
          </cell>
          <cell r="H136">
            <v>351087.29</v>
          </cell>
        </row>
        <row r="137">
          <cell r="A137" t="str">
            <v>6603.02</v>
          </cell>
          <cell r="B137" t="str">
            <v>　　利息费用</v>
          </cell>
          <cell r="G137">
            <v>4677.13</v>
          </cell>
          <cell r="H137">
            <v>4677.13</v>
          </cell>
        </row>
        <row r="138">
          <cell r="A138" t="str">
            <v>6603.02.02</v>
          </cell>
          <cell r="B138" t="str">
            <v>　　　　办公地址</v>
          </cell>
          <cell r="G138">
            <v>4677.13</v>
          </cell>
          <cell r="H138">
            <v>4677.13</v>
          </cell>
        </row>
        <row r="139">
          <cell r="A139" t="str">
            <v>6603.02.02.02</v>
          </cell>
          <cell r="B139" t="str">
            <v>　　　　　　旭智资本（香港）--冯氏大厦</v>
          </cell>
          <cell r="G139">
            <v>4677.13</v>
          </cell>
          <cell r="H139">
            <v>4677.13</v>
          </cell>
        </row>
        <row r="140">
          <cell r="A140" t="str">
            <v>6603.03</v>
          </cell>
          <cell r="B140" t="str">
            <v>　　银行手续费</v>
          </cell>
          <cell r="G140">
            <v>76.760000000000005</v>
          </cell>
          <cell r="H140">
            <v>76.760000000000005</v>
          </cell>
        </row>
        <row r="141">
          <cell r="A141" t="str">
            <v>6603.04</v>
          </cell>
          <cell r="B141" t="str">
            <v>　　利息收入</v>
          </cell>
          <cell r="G141">
            <v>-178.86</v>
          </cell>
          <cell r="H141">
            <v>-178.86</v>
          </cell>
        </row>
        <row r="142">
          <cell r="B142" t="str">
            <v>合计</v>
          </cell>
          <cell r="E142">
            <v>121877190.63</v>
          </cell>
          <cell r="F142">
            <v>121877190.63</v>
          </cell>
          <cell r="G142">
            <v>9705029.0600000005</v>
          </cell>
          <cell r="H142">
            <v>9705029.0600000005</v>
          </cell>
        </row>
      </sheetData>
      <sheetData sheetId="8">
        <row r="1">
          <cell r="A1" t="str">
            <v>币别:香港元</v>
          </cell>
          <cell r="B1" t="str">
            <v>账簿:旭智资本（香港）有限公司</v>
          </cell>
          <cell r="C1" t="str">
            <v>期间:2025.9 -- 2025.9</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5237869.5199999996</v>
          </cell>
          <cell r="G4">
            <v>8121627.7699999996</v>
          </cell>
          <cell r="H4">
            <v>9296445.5899999999</v>
          </cell>
        </row>
        <row r="5">
          <cell r="A5" t="str">
            <v>1002.02</v>
          </cell>
          <cell r="B5" t="str">
            <v>　　【旭智资本（香港）】银行存款账户</v>
          </cell>
          <cell r="E5">
            <v>5237869.5199999996</v>
          </cell>
          <cell r="G5">
            <v>8121627.7699999996</v>
          </cell>
          <cell r="H5">
            <v>9296445.5899999999</v>
          </cell>
        </row>
        <row r="6">
          <cell r="A6" t="str">
            <v>1002.02.01</v>
          </cell>
          <cell r="B6" t="str">
            <v>　　　　汇丰银行-741-269492-838</v>
          </cell>
          <cell r="E6">
            <v>3812115.34</v>
          </cell>
          <cell r="G6">
            <v>3192260.37</v>
          </cell>
          <cell r="H6">
            <v>2942372.6</v>
          </cell>
        </row>
        <row r="7">
          <cell r="A7" t="str">
            <v>1002.02.01.01</v>
          </cell>
          <cell r="B7" t="str">
            <v>　　　　　　【旭智资本（香港）】汇丰港元储蓄账户 2838</v>
          </cell>
          <cell r="E7">
            <v>356383.02</v>
          </cell>
          <cell r="G7">
            <v>3188701.34</v>
          </cell>
          <cell r="H7">
            <v>1177925.71</v>
          </cell>
        </row>
        <row r="8">
          <cell r="A8" t="str">
            <v>1002.02.01.02</v>
          </cell>
          <cell r="B8" t="str">
            <v>　　　　　　【旭智资本（香港）】汇丰港元活期账户 2838</v>
          </cell>
          <cell r="E8">
            <v>12071.57</v>
          </cell>
          <cell r="H8">
            <v>12071.57</v>
          </cell>
        </row>
        <row r="9">
          <cell r="A9" t="str">
            <v>1002.02.01.03</v>
          </cell>
          <cell r="B9" t="str">
            <v>　　　　　　【旭智资本（香港）】汇丰外币储蓄 - 人民币 2838</v>
          </cell>
          <cell r="E9">
            <v>3314522.43</v>
          </cell>
          <cell r="G9">
            <v>3001.94</v>
          </cell>
          <cell r="H9">
            <v>1752375.32</v>
          </cell>
        </row>
        <row r="10">
          <cell r="A10" t="str">
            <v>1002.02.01.04</v>
          </cell>
          <cell r="B10" t="str">
            <v>　　　　　　【旭智资本（香港）】汇丰外币储蓄账户 - 美元 2838</v>
          </cell>
        </row>
        <row r="11">
          <cell r="A11" t="str">
            <v>1002.02.01.06</v>
          </cell>
          <cell r="B11" t="str">
            <v>　　　　　　【旭智资本（香港）】汇丰外币储蓄账户 - 澳币 2838</v>
          </cell>
          <cell r="E11">
            <v>129138.32</v>
          </cell>
          <cell r="G11">
            <v>557.09</v>
          </cell>
        </row>
        <row r="12">
          <cell r="A12" t="str">
            <v>1002.02.01.07</v>
          </cell>
          <cell r="B12" t="str">
            <v>　　　　　　【旭智资本（香港）】汇丰人民币定期存款</v>
          </cell>
        </row>
        <row r="13">
          <cell r="A13" t="str">
            <v>1002.02.01.08</v>
          </cell>
          <cell r="B13" t="str">
            <v>　　　　　　【旭智资本（香港）】汇丰全球货币基金</v>
          </cell>
        </row>
        <row r="14">
          <cell r="A14" t="str">
            <v>1002.02.02</v>
          </cell>
          <cell r="B14" t="str">
            <v>　　　　盈透证券-U13828206</v>
          </cell>
          <cell r="E14">
            <v>1425754.18</v>
          </cell>
          <cell r="G14">
            <v>4929367.4000000004</v>
          </cell>
          <cell r="H14">
            <v>6354072.9900000002</v>
          </cell>
        </row>
        <row r="15">
          <cell r="A15" t="str">
            <v>1002.02.02.01</v>
          </cell>
          <cell r="B15" t="str">
            <v>　　　　　　【旭智资本（香港）】盈透证券港元账户 8206</v>
          </cell>
          <cell r="G15">
            <v>3176953.41</v>
          </cell>
          <cell r="H15">
            <v>3176690.1</v>
          </cell>
        </row>
        <row r="16">
          <cell r="A16" t="str">
            <v>1002.02.02.02</v>
          </cell>
          <cell r="B16" t="str">
            <v>　　　　　　【旭智资本（香港）】盈透证券人民币账户 8206</v>
          </cell>
          <cell r="E16">
            <v>1425313.3</v>
          </cell>
          <cell r="G16">
            <v>1752409.77</v>
          </cell>
          <cell r="H16">
            <v>3177367.31</v>
          </cell>
        </row>
        <row r="17">
          <cell r="A17" t="str">
            <v>1002.02.02.03</v>
          </cell>
          <cell r="B17" t="str">
            <v>　　　　　　【旭智资本（香港）】盈透证券澳币账户 8206</v>
          </cell>
          <cell r="E17">
            <v>440.88</v>
          </cell>
          <cell r="G17">
            <v>4.22</v>
          </cell>
          <cell r="H17">
            <v>15.58</v>
          </cell>
        </row>
        <row r="18">
          <cell r="A18" t="str">
            <v>1123</v>
          </cell>
          <cell r="B18" t="str">
            <v>预付账款</v>
          </cell>
          <cell r="E18">
            <v>822090.7</v>
          </cell>
          <cell r="G18">
            <v>105882.21</v>
          </cell>
          <cell r="H18">
            <v>147378.76</v>
          </cell>
        </row>
        <row r="19">
          <cell r="A19" t="str">
            <v>1123.01</v>
          </cell>
          <cell r="B19" t="str">
            <v>　　单位</v>
          </cell>
          <cell r="E19">
            <v>822090.7</v>
          </cell>
          <cell r="G19">
            <v>105882.21</v>
          </cell>
          <cell r="H19">
            <v>147378.76</v>
          </cell>
        </row>
        <row r="20">
          <cell r="A20" t="str">
            <v>1123.01</v>
          </cell>
          <cell r="B20" t="str">
            <v>　　单位</v>
          </cell>
          <cell r="C20" t="str">
            <v>SU003001</v>
          </cell>
          <cell r="D20" t="str">
            <v>Boardroom Corporate Services (HK) Limited</v>
          </cell>
          <cell r="E20">
            <v>4779.7299999999996</v>
          </cell>
          <cell r="H20">
            <v>1175.3499999999999</v>
          </cell>
        </row>
        <row r="21">
          <cell r="A21" t="str">
            <v>1123.01</v>
          </cell>
          <cell r="B21" t="str">
            <v>　　单位</v>
          </cell>
          <cell r="C21" t="str">
            <v>SU003003</v>
          </cell>
          <cell r="D21" t="str">
            <v>SUN HING INSURANCE BROKERS LTD.</v>
          </cell>
          <cell r="E21">
            <v>216272.76</v>
          </cell>
          <cell r="H21">
            <v>30865.97</v>
          </cell>
        </row>
        <row r="22">
          <cell r="A22" t="str">
            <v>1123.01</v>
          </cell>
          <cell r="B22" t="str">
            <v>　　单位</v>
          </cell>
          <cell r="C22" t="str">
            <v>SU003022</v>
          </cell>
          <cell r="D22" t="str">
            <v>Supreme Honour Development Limited</v>
          </cell>
          <cell r="E22">
            <v>535288</v>
          </cell>
          <cell r="G22">
            <v>100000</v>
          </cell>
          <cell r="H22">
            <v>105625</v>
          </cell>
        </row>
        <row r="23">
          <cell r="A23" t="str">
            <v>1123.01</v>
          </cell>
          <cell r="B23" t="str">
            <v>　　单位</v>
          </cell>
          <cell r="C23" t="str">
            <v>SU004004</v>
          </cell>
          <cell r="D23" t="str">
            <v>Fuji Xerox （Hong Kong) Limited</v>
          </cell>
          <cell r="E23">
            <v>4590</v>
          </cell>
        </row>
        <row r="24">
          <cell r="A24" t="str">
            <v>1123.01</v>
          </cell>
          <cell r="B24" t="str">
            <v>　　单位</v>
          </cell>
          <cell r="C24" t="str">
            <v>SU004006</v>
          </cell>
          <cell r="D24" t="str">
            <v>The HongKong Electric Co.,Ltd.</v>
          </cell>
          <cell r="E24">
            <v>17000</v>
          </cell>
        </row>
        <row r="25">
          <cell r="A25" t="str">
            <v>1123.01</v>
          </cell>
          <cell r="B25" t="str">
            <v>　　单位</v>
          </cell>
          <cell r="C25" t="str">
            <v>SU004010</v>
          </cell>
          <cell r="D25" t="str">
            <v>Noble Spirit Limited T/A Life Solutions</v>
          </cell>
          <cell r="E25">
            <v>5483.45</v>
          </cell>
          <cell r="H25">
            <v>359.18</v>
          </cell>
        </row>
        <row r="26">
          <cell r="A26" t="str">
            <v>1123.01</v>
          </cell>
          <cell r="B26" t="str">
            <v>　　单位</v>
          </cell>
          <cell r="C26" t="str">
            <v>SU004011</v>
          </cell>
          <cell r="D26" t="str">
            <v>Master Concept (Hong Kong) Limited</v>
          </cell>
          <cell r="E26">
            <v>38326.870000000003</v>
          </cell>
          <cell r="G26">
            <v>5882.21</v>
          </cell>
          <cell r="H26">
            <v>9003.3700000000008</v>
          </cell>
        </row>
        <row r="27">
          <cell r="A27" t="str">
            <v>1123.01</v>
          </cell>
          <cell r="B27" t="str">
            <v>　　单位</v>
          </cell>
          <cell r="C27" t="str">
            <v>SU004013</v>
          </cell>
          <cell r="D27" t="str">
            <v>B&amp;T Engineering Limited</v>
          </cell>
          <cell r="E27">
            <v>349.89</v>
          </cell>
          <cell r="H27">
            <v>349.89</v>
          </cell>
        </row>
        <row r="28">
          <cell r="A28" t="str">
            <v>1132</v>
          </cell>
          <cell r="B28" t="str">
            <v>应收利息</v>
          </cell>
        </row>
        <row r="29">
          <cell r="A29" t="str">
            <v>1132</v>
          </cell>
          <cell r="B29" t="str">
            <v>应收利息</v>
          </cell>
          <cell r="C29" t="str">
            <v>OU004001</v>
          </cell>
          <cell r="D29" t="str">
            <v>香港上海汇丰银行有限公司</v>
          </cell>
        </row>
        <row r="30">
          <cell r="A30" t="str">
            <v>1221</v>
          </cell>
          <cell r="B30" t="str">
            <v>其他应收款</v>
          </cell>
          <cell r="E30">
            <v>60228311.57</v>
          </cell>
          <cell r="G30">
            <v>880916.88</v>
          </cell>
          <cell r="H30">
            <v>164019.9</v>
          </cell>
        </row>
        <row r="31">
          <cell r="A31" t="str">
            <v>1221.01</v>
          </cell>
          <cell r="B31" t="str">
            <v>　　单位</v>
          </cell>
          <cell r="E31">
            <v>60228311.57</v>
          </cell>
          <cell r="G31">
            <v>880916.88</v>
          </cell>
          <cell r="H31">
            <v>164019.9</v>
          </cell>
        </row>
        <row r="32">
          <cell r="A32" t="str">
            <v>1221.01</v>
          </cell>
          <cell r="B32" t="str">
            <v>　　单位</v>
          </cell>
          <cell r="C32" t="str">
            <v>CU003004</v>
          </cell>
          <cell r="D32" t="str">
            <v>广州旭智投资控股有限责任公司</v>
          </cell>
          <cell r="E32">
            <v>49636686.420000002</v>
          </cell>
          <cell r="H32">
            <v>85994.99</v>
          </cell>
        </row>
        <row r="33">
          <cell r="A33" t="str">
            <v>1221.01</v>
          </cell>
          <cell r="B33" t="str">
            <v>　　单位</v>
          </cell>
          <cell r="C33" t="str">
            <v>CU003010</v>
          </cell>
          <cell r="D33" t="str">
            <v>旭智富能新能源（深圳）有限责任公司</v>
          </cell>
          <cell r="E33">
            <v>1274269.1499999999</v>
          </cell>
          <cell r="G33">
            <v>150266.88</v>
          </cell>
          <cell r="H33">
            <v>289.41000000000003</v>
          </cell>
        </row>
        <row r="34">
          <cell r="A34" t="str">
            <v>1221.01</v>
          </cell>
          <cell r="B34" t="str">
            <v>　　单位</v>
          </cell>
          <cell r="C34" t="str">
            <v>CU005009</v>
          </cell>
          <cell r="D34" t="str">
            <v>旭智资本有限公司</v>
          </cell>
          <cell r="E34">
            <v>9317356</v>
          </cell>
          <cell r="G34">
            <v>730650</v>
          </cell>
          <cell r="H34">
            <v>77735.5</v>
          </cell>
        </row>
        <row r="35">
          <cell r="A35" t="str">
            <v>1511</v>
          </cell>
          <cell r="B35" t="str">
            <v>长期股权投资</v>
          </cell>
          <cell r="E35">
            <v>5358013.7300000004</v>
          </cell>
        </row>
        <row r="36">
          <cell r="A36" t="str">
            <v>1511.01</v>
          </cell>
          <cell r="B36" t="str">
            <v>　　投资成本</v>
          </cell>
          <cell r="E36">
            <v>5358013.7300000004</v>
          </cell>
        </row>
        <row r="37">
          <cell r="A37" t="str">
            <v>1511.01.08</v>
          </cell>
          <cell r="B37" t="str">
            <v>　　　　深圳旭智私募股权基金管理有限公司</v>
          </cell>
          <cell r="E37">
            <v>5358013.7300000004</v>
          </cell>
        </row>
        <row r="38">
          <cell r="A38" t="str">
            <v>1641</v>
          </cell>
          <cell r="B38" t="str">
            <v>使用权资产</v>
          </cell>
          <cell r="E38">
            <v>7228737.71</v>
          </cell>
        </row>
        <row r="39">
          <cell r="A39" t="str">
            <v>1641.02</v>
          </cell>
          <cell r="B39" t="str">
            <v>　　办公地址</v>
          </cell>
          <cell r="E39">
            <v>7228737.71</v>
          </cell>
        </row>
        <row r="40">
          <cell r="A40" t="str">
            <v>1641.02.02</v>
          </cell>
          <cell r="B40" t="str">
            <v>　　　　旭智资本（香港）--冯氏大厦</v>
          </cell>
          <cell r="E40">
            <v>7228737.71</v>
          </cell>
        </row>
        <row r="41">
          <cell r="A41" t="str">
            <v>1642</v>
          </cell>
          <cell r="B41" t="str">
            <v>使用权资产累计折旧</v>
          </cell>
          <cell r="F41">
            <v>6020011.7999999998</v>
          </cell>
          <cell r="H41">
            <v>80668.460000000006</v>
          </cell>
        </row>
        <row r="42">
          <cell r="A42" t="str">
            <v>1642.02</v>
          </cell>
          <cell r="B42" t="str">
            <v>　　办公地址</v>
          </cell>
          <cell r="F42">
            <v>6020011.7999999998</v>
          </cell>
          <cell r="H42">
            <v>80668.460000000006</v>
          </cell>
        </row>
        <row r="43">
          <cell r="A43" t="str">
            <v>1642.02.02</v>
          </cell>
          <cell r="B43" t="str">
            <v>　　　　旭智资本（香港）--冯氏大厦</v>
          </cell>
          <cell r="F43">
            <v>6020011.7999999998</v>
          </cell>
          <cell r="H43">
            <v>80668.460000000006</v>
          </cell>
        </row>
        <row r="44">
          <cell r="A44" t="str">
            <v>2211</v>
          </cell>
          <cell r="B44" t="str">
            <v>应付职工薪酬</v>
          </cell>
          <cell r="F44">
            <v>70083.95</v>
          </cell>
          <cell r="G44">
            <v>9800</v>
          </cell>
          <cell r="H44">
            <v>9800</v>
          </cell>
        </row>
        <row r="45">
          <cell r="A45" t="str">
            <v>2211.02</v>
          </cell>
          <cell r="B45" t="str">
            <v>　　职工奖金</v>
          </cell>
        </row>
        <row r="46">
          <cell r="A46" t="str">
            <v>2211.11</v>
          </cell>
          <cell r="B46" t="str">
            <v>　　应付强制性公积金</v>
          </cell>
          <cell r="F46">
            <v>9800</v>
          </cell>
          <cell r="G46">
            <v>9800</v>
          </cell>
          <cell r="H46">
            <v>9800</v>
          </cell>
        </row>
        <row r="47">
          <cell r="A47" t="str">
            <v>2211.12</v>
          </cell>
          <cell r="B47" t="str">
            <v>　　应付长期服务金</v>
          </cell>
          <cell r="F47">
            <v>60283.95</v>
          </cell>
        </row>
        <row r="48">
          <cell r="A48" t="str">
            <v>2211.13</v>
          </cell>
          <cell r="B48" t="str">
            <v>　　未使用假期负债</v>
          </cell>
        </row>
        <row r="49">
          <cell r="A49" t="str">
            <v>2241</v>
          </cell>
          <cell r="B49" t="str">
            <v>其他应付款</v>
          </cell>
          <cell r="F49">
            <v>318139.44</v>
          </cell>
          <cell r="G49">
            <v>17200</v>
          </cell>
          <cell r="H49">
            <v>28700</v>
          </cell>
        </row>
        <row r="50">
          <cell r="A50" t="str">
            <v>2241.01</v>
          </cell>
          <cell r="B50" t="str">
            <v>　　单位</v>
          </cell>
          <cell r="F50">
            <v>177331.36</v>
          </cell>
          <cell r="G50">
            <v>17200</v>
          </cell>
          <cell r="H50">
            <v>28700</v>
          </cell>
        </row>
        <row r="51">
          <cell r="A51" t="str">
            <v>2241.01</v>
          </cell>
          <cell r="B51" t="str">
            <v>　　单位</v>
          </cell>
          <cell r="C51" t="str">
            <v>SU003003</v>
          </cell>
          <cell r="D51" t="str">
            <v>SUN HING INSURANCE BROKERS LTD.</v>
          </cell>
          <cell r="E51">
            <v>490</v>
          </cell>
        </row>
        <row r="52">
          <cell r="A52" t="str">
            <v>2241.01</v>
          </cell>
          <cell r="B52" t="str">
            <v>　　单位</v>
          </cell>
          <cell r="C52" t="str">
            <v>SU003011</v>
          </cell>
          <cell r="D52" t="str">
            <v>Tricor Services Limited</v>
          </cell>
          <cell r="F52">
            <v>28890</v>
          </cell>
          <cell r="G52">
            <v>17200</v>
          </cell>
          <cell r="H52">
            <v>11200</v>
          </cell>
        </row>
        <row r="53">
          <cell r="A53" t="str">
            <v>2241.01</v>
          </cell>
          <cell r="B53" t="str">
            <v>　　单位</v>
          </cell>
          <cell r="C53" t="str">
            <v>SU004019</v>
          </cell>
          <cell r="D53" t="str">
            <v>PricewaterhouseCoopers Limited</v>
          </cell>
          <cell r="F53">
            <v>140000</v>
          </cell>
          <cell r="H53">
            <v>17500</v>
          </cell>
        </row>
        <row r="54">
          <cell r="A54" t="str">
            <v>2241.01</v>
          </cell>
          <cell r="B54" t="str">
            <v>　　单位</v>
          </cell>
          <cell r="C54" t="str">
            <v>SU004022</v>
          </cell>
          <cell r="D54" t="str">
            <v>WIZ ADVISORY PTY LTD</v>
          </cell>
          <cell r="F54">
            <v>8931.36</v>
          </cell>
        </row>
        <row r="55">
          <cell r="A55" t="str">
            <v>2241.02</v>
          </cell>
          <cell r="B55" t="str">
            <v>　　个人</v>
          </cell>
          <cell r="F55">
            <v>140808.07999999999</v>
          </cell>
        </row>
        <row r="56">
          <cell r="A56" t="str">
            <v>2241.02</v>
          </cell>
          <cell r="B56" t="str">
            <v>　　个人</v>
          </cell>
          <cell r="C56" t="str">
            <v>SP003006</v>
          </cell>
          <cell r="D56" t="str">
            <v>甄伟杰</v>
          </cell>
          <cell r="F56">
            <v>140808.07999999999</v>
          </cell>
        </row>
        <row r="57">
          <cell r="A57" t="str">
            <v>2241.02</v>
          </cell>
          <cell r="B57" t="str">
            <v>　　个人</v>
          </cell>
          <cell r="C57" t="str">
            <v>SP003007</v>
          </cell>
          <cell r="D57" t="str">
            <v>梁国希</v>
          </cell>
        </row>
        <row r="58">
          <cell r="A58" t="str">
            <v>2241.02</v>
          </cell>
          <cell r="B58" t="str">
            <v>　　个人</v>
          </cell>
          <cell r="C58" t="str">
            <v>SP003009</v>
          </cell>
          <cell r="D58" t="str">
            <v>李琦</v>
          </cell>
        </row>
        <row r="59">
          <cell r="A59" t="str">
            <v>2601</v>
          </cell>
          <cell r="B59" t="str">
            <v>租赁负债</v>
          </cell>
          <cell r="F59">
            <v>1269411.31</v>
          </cell>
          <cell r="G59">
            <v>95649.56</v>
          </cell>
        </row>
        <row r="60">
          <cell r="A60" t="str">
            <v>2601.01</v>
          </cell>
          <cell r="B60" t="str">
            <v>　　租赁付款额</v>
          </cell>
          <cell r="F60">
            <v>1434860.9</v>
          </cell>
        </row>
        <row r="61">
          <cell r="A61" t="str">
            <v>2601.01.02</v>
          </cell>
          <cell r="B61" t="str">
            <v>　　　　办公地址</v>
          </cell>
          <cell r="F61">
            <v>1434860.9</v>
          </cell>
        </row>
        <row r="62">
          <cell r="A62" t="str">
            <v>2601.01.02.02</v>
          </cell>
          <cell r="B62" t="str">
            <v>　　　　　　旭智资本（香港）--冯氏大厦</v>
          </cell>
          <cell r="F62">
            <v>1434860.9</v>
          </cell>
        </row>
        <row r="63">
          <cell r="A63" t="str">
            <v>2601.02</v>
          </cell>
          <cell r="B63" t="str">
            <v>　　未确认融资费用</v>
          </cell>
          <cell r="E63">
            <v>165449.59</v>
          </cell>
          <cell r="G63">
            <v>95649.56</v>
          </cell>
        </row>
        <row r="64">
          <cell r="A64" t="str">
            <v>2601.02.02</v>
          </cell>
          <cell r="B64" t="str">
            <v>　　　　办公地址</v>
          </cell>
          <cell r="E64">
            <v>165449.59</v>
          </cell>
          <cell r="G64">
            <v>95649.56</v>
          </cell>
        </row>
        <row r="65">
          <cell r="A65" t="str">
            <v>2601.02.02.02</v>
          </cell>
          <cell r="B65" t="str">
            <v>　　　　　　旭智资本（香港）--冯氏大厦</v>
          </cell>
          <cell r="E65">
            <v>165449.59</v>
          </cell>
          <cell r="G65">
            <v>95649.56</v>
          </cell>
        </row>
        <row r="66">
          <cell r="A66" t="str">
            <v>2801</v>
          </cell>
          <cell r="B66" t="str">
            <v>预计负债</v>
          </cell>
          <cell r="F66">
            <v>245000</v>
          </cell>
        </row>
        <row r="67">
          <cell r="A67" t="str">
            <v>4001</v>
          </cell>
          <cell r="B67" t="str">
            <v>实收资本（股本）</v>
          </cell>
          <cell r="F67">
            <v>113887263</v>
          </cell>
        </row>
        <row r="68">
          <cell r="A68" t="str">
            <v>4001.50</v>
          </cell>
          <cell r="B68" t="str">
            <v>　　普通股</v>
          </cell>
          <cell r="F68">
            <v>113887263</v>
          </cell>
        </row>
        <row r="69">
          <cell r="A69" t="str">
            <v>4001.50.07</v>
          </cell>
          <cell r="B69" t="str">
            <v>　　　　旭智资本有限公司</v>
          </cell>
          <cell r="F69">
            <v>113887263</v>
          </cell>
        </row>
        <row r="70">
          <cell r="A70" t="str">
            <v>4103</v>
          </cell>
          <cell r="B70" t="str">
            <v>本年利润</v>
          </cell>
          <cell r="E70">
            <v>3503028.98</v>
          </cell>
          <cell r="G70">
            <v>701853.17</v>
          </cell>
          <cell r="H70">
            <v>205916.88</v>
          </cell>
        </row>
        <row r="71">
          <cell r="A71" t="str">
            <v>4104</v>
          </cell>
          <cell r="B71" t="str">
            <v>利润分配</v>
          </cell>
          <cell r="E71">
            <v>39431857.289999999</v>
          </cell>
        </row>
        <row r="72">
          <cell r="A72" t="str">
            <v>4104.07</v>
          </cell>
          <cell r="B72" t="str">
            <v>　　未分配利润</v>
          </cell>
          <cell r="E72">
            <v>39431857.289999999</v>
          </cell>
        </row>
        <row r="73">
          <cell r="A73" t="str">
            <v>6001</v>
          </cell>
          <cell r="B73" t="str">
            <v>主营业务收入</v>
          </cell>
          <cell r="G73">
            <v>150266.88</v>
          </cell>
          <cell r="H73">
            <v>150266.88</v>
          </cell>
        </row>
        <row r="74">
          <cell r="A74" t="str">
            <v>6001.02</v>
          </cell>
          <cell r="B74" t="str">
            <v>　　咨询服务费收入</v>
          </cell>
          <cell r="G74">
            <v>150266.88</v>
          </cell>
          <cell r="H74">
            <v>150266.88</v>
          </cell>
        </row>
        <row r="75">
          <cell r="A75" t="str">
            <v>6001.02.02</v>
          </cell>
          <cell r="B75" t="str">
            <v>　　　　未开票</v>
          </cell>
          <cell r="G75">
            <v>150266.88</v>
          </cell>
          <cell r="H75">
            <v>150266.88</v>
          </cell>
        </row>
        <row r="76">
          <cell r="A76" t="str">
            <v>6001.02.02</v>
          </cell>
          <cell r="B76" t="str">
            <v>　　　　未开票</v>
          </cell>
          <cell r="C76" t="str">
            <v>CU003010</v>
          </cell>
          <cell r="D76" t="str">
            <v>旭智富能新能源（深圳）有限责任公司</v>
          </cell>
          <cell r="G76">
            <v>150266.88</v>
          </cell>
          <cell r="H76">
            <v>150266.88</v>
          </cell>
        </row>
        <row r="77">
          <cell r="A77" t="str">
            <v>6115</v>
          </cell>
          <cell r="B77" t="str">
            <v>其他收益</v>
          </cell>
          <cell r="G77">
            <v>55650</v>
          </cell>
          <cell r="H77">
            <v>55650</v>
          </cell>
        </row>
        <row r="78">
          <cell r="A78" t="str">
            <v>6115.03</v>
          </cell>
          <cell r="B78" t="str">
            <v>　　公司间往来</v>
          </cell>
          <cell r="G78">
            <v>55650</v>
          </cell>
          <cell r="H78">
            <v>55650</v>
          </cell>
        </row>
        <row r="79">
          <cell r="A79" t="str">
            <v>6602</v>
          </cell>
          <cell r="B79" t="str">
            <v>管理费用</v>
          </cell>
          <cell r="G79">
            <v>614309.72</v>
          </cell>
          <cell r="H79">
            <v>614309.72</v>
          </cell>
        </row>
        <row r="80">
          <cell r="A80" t="str">
            <v>6602.01</v>
          </cell>
          <cell r="B80" t="str">
            <v>　　工资薪金</v>
          </cell>
          <cell r="G80">
            <v>393567.94</v>
          </cell>
          <cell r="H80">
            <v>393567.94</v>
          </cell>
        </row>
        <row r="81">
          <cell r="A81" t="str">
            <v>6602.01.01</v>
          </cell>
          <cell r="B81" t="str">
            <v>　　　　基本工资（专业）</v>
          </cell>
          <cell r="G81">
            <v>200000</v>
          </cell>
          <cell r="H81">
            <v>200000</v>
          </cell>
        </row>
        <row r="82">
          <cell r="A82" t="str">
            <v>6602.01.05</v>
          </cell>
          <cell r="B82" t="str">
            <v>　　　　员工假期</v>
          </cell>
        </row>
        <row r="83">
          <cell r="A83" t="str">
            <v>6602.01.07</v>
          </cell>
          <cell r="B83" t="str">
            <v>　　　　集团内分摊</v>
          </cell>
          <cell r="G83">
            <v>77735.5</v>
          </cell>
          <cell r="H83">
            <v>77735.5</v>
          </cell>
        </row>
        <row r="84">
          <cell r="A84" t="str">
            <v>6602.01.08</v>
          </cell>
          <cell r="B84" t="str">
            <v>　　　　基本工资（管理）</v>
          </cell>
          <cell r="G84">
            <v>115832.44</v>
          </cell>
          <cell r="H84">
            <v>115832.44</v>
          </cell>
        </row>
        <row r="85">
          <cell r="A85" t="str">
            <v>6602.02</v>
          </cell>
          <cell r="B85" t="str">
            <v>　　职工福利</v>
          </cell>
          <cell r="G85">
            <v>1791.3</v>
          </cell>
          <cell r="H85">
            <v>1791.3</v>
          </cell>
        </row>
        <row r="86">
          <cell r="A86" t="str">
            <v>6602.02.02</v>
          </cell>
          <cell r="B86" t="str">
            <v>　　　　团建活动</v>
          </cell>
          <cell r="G86">
            <v>1791.3</v>
          </cell>
          <cell r="H86">
            <v>1791.3</v>
          </cell>
        </row>
        <row r="87">
          <cell r="A87" t="str">
            <v>6602.03</v>
          </cell>
          <cell r="B87" t="str">
            <v>　　社保公积金</v>
          </cell>
          <cell r="G87">
            <v>30962.42</v>
          </cell>
          <cell r="H87">
            <v>30962.42</v>
          </cell>
        </row>
        <row r="88">
          <cell r="A88" t="str">
            <v>6602.03.01</v>
          </cell>
          <cell r="B88" t="str">
            <v>　　　　员工社保福利</v>
          </cell>
          <cell r="G88">
            <v>26062.42</v>
          </cell>
          <cell r="H88">
            <v>26062.42</v>
          </cell>
        </row>
        <row r="89">
          <cell r="A89" t="str">
            <v>6602.03.03</v>
          </cell>
          <cell r="B89" t="str">
            <v>　　　　员工强制性公积金福利</v>
          </cell>
          <cell r="G89">
            <v>4900</v>
          </cell>
          <cell r="H89">
            <v>4900</v>
          </cell>
        </row>
        <row r="90">
          <cell r="A90" t="str">
            <v>6602.04</v>
          </cell>
          <cell r="B90" t="str">
            <v>　　咨询及专业服务费</v>
          </cell>
          <cell r="G90">
            <v>44100</v>
          </cell>
          <cell r="H90">
            <v>44100</v>
          </cell>
        </row>
        <row r="91">
          <cell r="A91" t="str">
            <v>6602.04.01</v>
          </cell>
          <cell r="B91" t="str">
            <v>　　　　会计服务费</v>
          </cell>
          <cell r="G91">
            <v>8500</v>
          </cell>
          <cell r="H91">
            <v>8500</v>
          </cell>
        </row>
        <row r="92">
          <cell r="A92" t="str">
            <v>6602.04.02</v>
          </cell>
          <cell r="B92" t="str">
            <v>　　　　审计服务费</v>
          </cell>
          <cell r="G92">
            <v>17500</v>
          </cell>
          <cell r="H92">
            <v>17500</v>
          </cell>
        </row>
        <row r="93">
          <cell r="A93" t="str">
            <v>6602.04.03</v>
          </cell>
          <cell r="B93" t="str">
            <v>　　　　顾问费</v>
          </cell>
        </row>
        <row r="94">
          <cell r="A94" t="str">
            <v>6602.04.03</v>
          </cell>
          <cell r="B94" t="str">
            <v>　　　　顾问费</v>
          </cell>
          <cell r="C94" t="str">
            <v>CI008</v>
          </cell>
          <cell r="D94" t="str">
            <v>旭智资本（香港）</v>
          </cell>
        </row>
        <row r="95">
          <cell r="A95" t="str">
            <v>6602.04.06</v>
          </cell>
          <cell r="B95" t="str">
            <v>　　　　法律服务费</v>
          </cell>
        </row>
        <row r="96">
          <cell r="A96" t="str">
            <v>6602.04.06</v>
          </cell>
          <cell r="B96" t="str">
            <v>　　　　法律服务费</v>
          </cell>
          <cell r="C96" t="str">
            <v>CI008</v>
          </cell>
          <cell r="D96" t="str">
            <v>旭智资本（香港）</v>
          </cell>
        </row>
        <row r="97">
          <cell r="A97" t="str">
            <v>6602.04.07</v>
          </cell>
          <cell r="B97" t="str">
            <v>　　　　人力资源服务费</v>
          </cell>
          <cell r="G97">
            <v>2500</v>
          </cell>
          <cell r="H97">
            <v>2500</v>
          </cell>
        </row>
        <row r="98">
          <cell r="A98" t="str">
            <v>6602.04.12</v>
          </cell>
          <cell r="B98" t="str">
            <v>　　　　合规支持服务</v>
          </cell>
          <cell r="G98">
            <v>15600</v>
          </cell>
          <cell r="H98">
            <v>15600</v>
          </cell>
        </row>
        <row r="99">
          <cell r="A99" t="str">
            <v>6602.04.12</v>
          </cell>
          <cell r="B99" t="str">
            <v>　　　　合规支持服务</v>
          </cell>
          <cell r="C99" t="str">
            <v>CI008</v>
          </cell>
          <cell r="D99" t="str">
            <v>旭智资本（香港）</v>
          </cell>
          <cell r="G99">
            <v>15600</v>
          </cell>
          <cell r="H99">
            <v>15600</v>
          </cell>
        </row>
        <row r="100">
          <cell r="A100" t="str">
            <v>6602.05</v>
          </cell>
          <cell r="B100" t="str">
            <v>　　占用费</v>
          </cell>
          <cell r="G100">
            <v>25483.07</v>
          </cell>
          <cell r="H100">
            <v>25483.07</v>
          </cell>
        </row>
        <row r="101">
          <cell r="A101" t="str">
            <v>6602.05.02</v>
          </cell>
          <cell r="B101" t="str">
            <v>　　　　管理费</v>
          </cell>
          <cell r="G101">
            <v>23946</v>
          </cell>
          <cell r="H101">
            <v>23946</v>
          </cell>
        </row>
        <row r="102">
          <cell r="A102" t="str">
            <v>6602.05.03</v>
          </cell>
          <cell r="B102" t="str">
            <v>　　　　电费</v>
          </cell>
          <cell r="G102">
            <v>828</v>
          </cell>
          <cell r="H102">
            <v>828</v>
          </cell>
        </row>
        <row r="103">
          <cell r="A103" t="str">
            <v>6602.05.05</v>
          </cell>
          <cell r="B103" t="str">
            <v>　　　　维修费</v>
          </cell>
          <cell r="G103">
            <v>709.07</v>
          </cell>
          <cell r="H103">
            <v>709.07</v>
          </cell>
        </row>
        <row r="104">
          <cell r="A104" t="str">
            <v>6602.06</v>
          </cell>
          <cell r="B104" t="str">
            <v>　　业务招待费</v>
          </cell>
          <cell r="G104">
            <v>279</v>
          </cell>
          <cell r="H104">
            <v>279</v>
          </cell>
        </row>
        <row r="105">
          <cell r="A105" t="str">
            <v>6602.06</v>
          </cell>
          <cell r="B105" t="str">
            <v>　　业务招待费</v>
          </cell>
          <cell r="C105" t="str">
            <v>CI008</v>
          </cell>
          <cell r="D105" t="str">
            <v>旭智资本（香港）</v>
          </cell>
          <cell r="G105">
            <v>279</v>
          </cell>
          <cell r="H105">
            <v>279</v>
          </cell>
        </row>
        <row r="106">
          <cell r="A106" t="str">
            <v>6602.08</v>
          </cell>
          <cell r="B106" t="str">
            <v>　　事务费用</v>
          </cell>
          <cell r="G106">
            <v>22440.09</v>
          </cell>
          <cell r="H106">
            <v>22440.09</v>
          </cell>
        </row>
        <row r="107">
          <cell r="A107" t="str">
            <v>6602.08.01</v>
          </cell>
          <cell r="B107" t="str">
            <v>　　　　通信费</v>
          </cell>
          <cell r="G107">
            <v>2055</v>
          </cell>
          <cell r="H107">
            <v>2055</v>
          </cell>
        </row>
        <row r="108">
          <cell r="A108" t="str">
            <v>6602.08.01</v>
          </cell>
          <cell r="B108" t="str">
            <v>　　　　通信费</v>
          </cell>
          <cell r="C108" t="str">
            <v>CI008</v>
          </cell>
          <cell r="D108" t="str">
            <v>旭智资本（香港）</v>
          </cell>
          <cell r="G108">
            <v>2055</v>
          </cell>
          <cell r="H108">
            <v>2055</v>
          </cell>
        </row>
        <row r="109">
          <cell r="A109" t="str">
            <v>6602.08.03</v>
          </cell>
          <cell r="B109" t="str">
            <v>　　　　办公用品</v>
          </cell>
          <cell r="G109">
            <v>3392.75</v>
          </cell>
          <cell r="H109">
            <v>3392.75</v>
          </cell>
        </row>
        <row r="110">
          <cell r="A110" t="str">
            <v>6602.08.03</v>
          </cell>
          <cell r="B110" t="str">
            <v>　　　　办公用品</v>
          </cell>
          <cell r="C110" t="str">
            <v>CI008</v>
          </cell>
          <cell r="D110" t="str">
            <v>旭智资本（香港）</v>
          </cell>
          <cell r="G110">
            <v>3392.75</v>
          </cell>
          <cell r="H110">
            <v>3392.75</v>
          </cell>
        </row>
        <row r="111">
          <cell r="A111" t="str">
            <v>6602.08.04</v>
          </cell>
          <cell r="B111" t="str">
            <v>　　　　事务保金</v>
          </cell>
          <cell r="G111">
            <v>4803.55</v>
          </cell>
          <cell r="H111">
            <v>4803.55</v>
          </cell>
        </row>
        <row r="112">
          <cell r="A112" t="str">
            <v>6602.08.04</v>
          </cell>
          <cell r="B112" t="str">
            <v>　　　　事务保金</v>
          </cell>
          <cell r="C112" t="str">
            <v>CI008</v>
          </cell>
          <cell r="D112" t="str">
            <v>旭智资本（香港）</v>
          </cell>
          <cell r="G112">
            <v>4803.55</v>
          </cell>
          <cell r="H112">
            <v>4803.55</v>
          </cell>
        </row>
        <row r="113">
          <cell r="A113" t="str">
            <v>6602.08.05</v>
          </cell>
          <cell r="B113" t="str">
            <v>　　　　邮费/邮递费</v>
          </cell>
        </row>
        <row r="114">
          <cell r="A114" t="str">
            <v>6602.08.05</v>
          </cell>
          <cell r="B114" t="str">
            <v>　　　　邮费/邮递费</v>
          </cell>
          <cell r="C114" t="str">
            <v>CI008</v>
          </cell>
          <cell r="D114" t="str">
            <v>旭智资本（香港）</v>
          </cell>
        </row>
        <row r="115">
          <cell r="A115" t="str">
            <v>6602.08.06</v>
          </cell>
          <cell r="B115" t="str">
            <v>　　　　IT专业人士及微软服务</v>
          </cell>
          <cell r="G115">
            <v>7397.26</v>
          </cell>
          <cell r="H115">
            <v>7397.26</v>
          </cell>
        </row>
        <row r="116">
          <cell r="A116" t="str">
            <v>6602.08.06</v>
          </cell>
          <cell r="B116" t="str">
            <v>　　　　IT专业人士及微软服务</v>
          </cell>
          <cell r="C116" t="str">
            <v>CI008</v>
          </cell>
          <cell r="D116" t="str">
            <v>旭智资本（香港）</v>
          </cell>
          <cell r="G116">
            <v>7397.26</v>
          </cell>
          <cell r="H116">
            <v>7397.26</v>
          </cell>
        </row>
        <row r="117">
          <cell r="A117" t="str">
            <v>6602.08.07</v>
          </cell>
          <cell r="B117" t="str">
            <v>　　　　软件许可证费用</v>
          </cell>
          <cell r="G117">
            <v>4791.53</v>
          </cell>
          <cell r="H117">
            <v>4791.53</v>
          </cell>
        </row>
        <row r="118">
          <cell r="A118" t="str">
            <v>6602.08.07</v>
          </cell>
          <cell r="B118" t="str">
            <v>　　　　软件许可证费用</v>
          </cell>
          <cell r="C118" t="str">
            <v>CI008</v>
          </cell>
          <cell r="D118" t="str">
            <v>旭智资本（香港）</v>
          </cell>
          <cell r="G118">
            <v>4791.53</v>
          </cell>
          <cell r="H118">
            <v>4791.53</v>
          </cell>
        </row>
        <row r="119">
          <cell r="A119" t="str">
            <v>6602.08.10</v>
          </cell>
          <cell r="B119" t="str">
            <v>　　　　电话国际直拨/电话会议收费</v>
          </cell>
        </row>
        <row r="120">
          <cell r="A120" t="str">
            <v>6602.08.10</v>
          </cell>
          <cell r="B120" t="str">
            <v>　　　　电话国际直拨/电话会议收费</v>
          </cell>
          <cell r="C120" t="str">
            <v>CI008</v>
          </cell>
          <cell r="D120" t="str">
            <v>旭智资本（香港）</v>
          </cell>
        </row>
        <row r="121">
          <cell r="A121" t="str">
            <v>6602.09</v>
          </cell>
          <cell r="B121" t="str">
            <v>　　差旅费</v>
          </cell>
          <cell r="G121">
            <v>8864.5400000000009</v>
          </cell>
          <cell r="H121">
            <v>8864.5400000000009</v>
          </cell>
        </row>
        <row r="122">
          <cell r="A122" t="str">
            <v>6602.09.01</v>
          </cell>
          <cell r="B122" t="str">
            <v>　　　　住宿费</v>
          </cell>
        </row>
        <row r="123">
          <cell r="A123" t="str">
            <v>6602.09.01</v>
          </cell>
          <cell r="B123" t="str">
            <v>　　　　住宿费</v>
          </cell>
          <cell r="C123" t="str">
            <v>CI008</v>
          </cell>
          <cell r="D123" t="str">
            <v>旭智资本（香港）</v>
          </cell>
        </row>
        <row r="124">
          <cell r="A124" t="str">
            <v>6602.09.04</v>
          </cell>
          <cell r="B124" t="str">
            <v>　　　　空中交通费</v>
          </cell>
          <cell r="G124">
            <v>6351.76</v>
          </cell>
          <cell r="H124">
            <v>6351.76</v>
          </cell>
        </row>
        <row r="125">
          <cell r="A125" t="str">
            <v>6602.09.04</v>
          </cell>
          <cell r="B125" t="str">
            <v>　　　　空中交通费</v>
          </cell>
          <cell r="C125" t="str">
            <v>CI008</v>
          </cell>
          <cell r="D125" t="str">
            <v>旭智资本（香港）</v>
          </cell>
          <cell r="G125">
            <v>6351.76</v>
          </cell>
          <cell r="H125">
            <v>6351.76</v>
          </cell>
        </row>
        <row r="126">
          <cell r="A126" t="str">
            <v>6602.09.99</v>
          </cell>
          <cell r="B126" t="str">
            <v>　　　　其他</v>
          </cell>
          <cell r="G126">
            <v>2512.7800000000002</v>
          </cell>
          <cell r="H126">
            <v>2512.7800000000002</v>
          </cell>
        </row>
        <row r="127">
          <cell r="A127" t="str">
            <v>6602.09.99</v>
          </cell>
          <cell r="B127" t="str">
            <v>　　　　其他</v>
          </cell>
          <cell r="C127" t="str">
            <v>CI008</v>
          </cell>
          <cell r="D127" t="str">
            <v>旭智资本（香港）</v>
          </cell>
          <cell r="G127">
            <v>2512.7800000000002</v>
          </cell>
          <cell r="H127">
            <v>2512.7800000000002</v>
          </cell>
        </row>
        <row r="128">
          <cell r="A128" t="str">
            <v>6602.12</v>
          </cell>
          <cell r="B128" t="str">
            <v>　　使用权资产折旧</v>
          </cell>
          <cell r="G128">
            <v>80668.460000000006</v>
          </cell>
          <cell r="H128">
            <v>80668.460000000006</v>
          </cell>
        </row>
        <row r="129">
          <cell r="A129" t="str">
            <v>6602.12.02</v>
          </cell>
          <cell r="B129" t="str">
            <v>　　　　办公地址</v>
          </cell>
          <cell r="G129">
            <v>80668.460000000006</v>
          </cell>
          <cell r="H129">
            <v>80668.460000000006</v>
          </cell>
        </row>
        <row r="130">
          <cell r="A130" t="str">
            <v>6602.12.02.02</v>
          </cell>
          <cell r="B130" t="str">
            <v>　　　　　　旭智资本（香港）--冯氏大厦</v>
          </cell>
          <cell r="G130">
            <v>80668.460000000006</v>
          </cell>
          <cell r="H130">
            <v>80668.460000000006</v>
          </cell>
        </row>
        <row r="131">
          <cell r="A131" t="str">
            <v>6602.20</v>
          </cell>
          <cell r="B131" t="str">
            <v>　　职工教育经费</v>
          </cell>
          <cell r="G131">
            <v>2577.5500000000002</v>
          </cell>
          <cell r="H131">
            <v>2577.5500000000002</v>
          </cell>
        </row>
        <row r="132">
          <cell r="A132" t="str">
            <v>6602.21</v>
          </cell>
          <cell r="B132" t="str">
            <v>　　公司秘书费</v>
          </cell>
          <cell r="G132">
            <v>1175.3499999999999</v>
          </cell>
          <cell r="H132">
            <v>1175.3499999999999</v>
          </cell>
        </row>
        <row r="133">
          <cell r="A133" t="str">
            <v>6602.24</v>
          </cell>
          <cell r="B133" t="str">
            <v>　　监管费用</v>
          </cell>
          <cell r="G133">
            <v>2200</v>
          </cell>
          <cell r="H133">
            <v>2200</v>
          </cell>
        </row>
        <row r="134">
          <cell r="A134" t="str">
            <v>6602.99</v>
          </cell>
          <cell r="B134" t="str">
            <v>　　其他</v>
          </cell>
          <cell r="G134">
            <v>200</v>
          </cell>
          <cell r="H134">
            <v>200</v>
          </cell>
        </row>
        <row r="135">
          <cell r="A135" t="str">
            <v>6603</v>
          </cell>
          <cell r="B135" t="str">
            <v>财务费用</v>
          </cell>
          <cell r="G135">
            <v>87543.45</v>
          </cell>
          <cell r="H135">
            <v>87543.45</v>
          </cell>
        </row>
        <row r="136">
          <cell r="A136" t="str">
            <v>6603.01</v>
          </cell>
          <cell r="B136" t="str">
            <v>　　汇兑损益</v>
          </cell>
          <cell r="G136">
            <v>83336.41</v>
          </cell>
          <cell r="H136">
            <v>83336.41</v>
          </cell>
        </row>
        <row r="137">
          <cell r="A137" t="str">
            <v>6603.02</v>
          </cell>
          <cell r="B137" t="str">
            <v>　　利息费用</v>
          </cell>
          <cell r="G137">
            <v>4350.4399999999996</v>
          </cell>
          <cell r="H137">
            <v>4350.4399999999996</v>
          </cell>
        </row>
        <row r="138">
          <cell r="A138" t="str">
            <v>6603.02.02</v>
          </cell>
          <cell r="B138" t="str">
            <v>　　　　办公地址</v>
          </cell>
          <cell r="G138">
            <v>4350.4399999999996</v>
          </cell>
          <cell r="H138">
            <v>4350.4399999999996</v>
          </cell>
        </row>
        <row r="139">
          <cell r="A139" t="str">
            <v>6603.02.02.02</v>
          </cell>
          <cell r="B139" t="str">
            <v>　　　　　　旭智资本（香港）--冯氏大厦</v>
          </cell>
          <cell r="G139">
            <v>4350.4399999999996</v>
          </cell>
          <cell r="H139">
            <v>4350.4399999999996</v>
          </cell>
        </row>
        <row r="140">
          <cell r="A140" t="str">
            <v>6603.03</v>
          </cell>
          <cell r="B140" t="str">
            <v>　　银行手续费</v>
          </cell>
          <cell r="G140">
            <v>173.25</v>
          </cell>
          <cell r="H140">
            <v>173.25</v>
          </cell>
        </row>
        <row r="141">
          <cell r="A141" t="str">
            <v>6603.04</v>
          </cell>
          <cell r="B141" t="str">
            <v>　　利息收入</v>
          </cell>
          <cell r="G141">
            <v>-316.64999999999998</v>
          </cell>
          <cell r="H141">
            <v>-316.64999999999998</v>
          </cell>
        </row>
        <row r="142">
          <cell r="B142" t="str">
            <v>合计</v>
          </cell>
          <cell r="E142">
            <v>121975849.09</v>
          </cell>
          <cell r="F142">
            <v>121975849.09</v>
          </cell>
          <cell r="G142">
            <v>10840699.640000001</v>
          </cell>
          <cell r="H142">
            <v>10840699.640000001</v>
          </cell>
        </row>
      </sheetData>
      <sheetData sheetId="9">
        <row r="1">
          <cell r="A1" t="str">
            <v>币别:香港元</v>
          </cell>
          <cell r="B1" t="str">
            <v>账簿:旭智资本（香港）有限公司</v>
          </cell>
          <cell r="C1" t="str">
            <v>期间:2025.10 -- 2025.10</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4063051.7</v>
          </cell>
          <cell r="G4">
            <v>4687927.97</v>
          </cell>
          <cell r="H4">
            <v>5489826.79</v>
          </cell>
        </row>
        <row r="5">
          <cell r="A5" t="str">
            <v>1002.02</v>
          </cell>
          <cell r="B5" t="str">
            <v>　　【旭智资本（香港）】银行存款账户</v>
          </cell>
          <cell r="E5">
            <v>4063051.7</v>
          </cell>
          <cell r="G5">
            <v>4687927.97</v>
          </cell>
          <cell r="H5">
            <v>5489826.79</v>
          </cell>
        </row>
        <row r="6">
          <cell r="A6" t="str">
            <v>1002.02.01</v>
          </cell>
          <cell r="B6" t="str">
            <v>　　　　汇丰银行-741-269492-838</v>
          </cell>
          <cell r="E6">
            <v>4062003.11</v>
          </cell>
          <cell r="G6">
            <v>1562854.15</v>
          </cell>
          <cell r="H6">
            <v>2364417.77</v>
          </cell>
        </row>
        <row r="7">
          <cell r="A7" t="str">
            <v>1002.02.01.01</v>
          </cell>
          <cell r="B7" t="str">
            <v>　　　　　　【旭智资本（香港）】汇丰港元储蓄账户 2838</v>
          </cell>
          <cell r="E7">
            <v>2367158.65</v>
          </cell>
          <cell r="G7">
            <v>1562854.15</v>
          </cell>
          <cell r="H7">
            <v>798704.64000000001</v>
          </cell>
        </row>
        <row r="8">
          <cell r="A8" t="str">
            <v>1002.02.01.02</v>
          </cell>
          <cell r="B8" t="str">
            <v>　　　　　　【旭智资本（香港）】汇丰港元活期账户 2838</v>
          </cell>
        </row>
        <row r="9">
          <cell r="A9" t="str">
            <v>1002.02.01.03</v>
          </cell>
          <cell r="B9" t="str">
            <v>　　　　　　【旭智资本（香港）】汇丰外币储蓄 - 人民币 2838</v>
          </cell>
          <cell r="E9">
            <v>1565149.05</v>
          </cell>
          <cell r="H9">
            <v>1565016.76</v>
          </cell>
        </row>
        <row r="10">
          <cell r="A10" t="str">
            <v>1002.02.01.04</v>
          </cell>
          <cell r="B10" t="str">
            <v>　　　　　　【旭智资本（香港）】汇丰外币储蓄账户 - 美元 2838</v>
          </cell>
        </row>
        <row r="11">
          <cell r="A11" t="str">
            <v>1002.02.01.06</v>
          </cell>
          <cell r="B11" t="str">
            <v>　　　　　　【旭智资本（香港）】汇丰外币储蓄账户 - 澳币 2838</v>
          </cell>
          <cell r="E11">
            <v>129695.41</v>
          </cell>
          <cell r="H11">
            <v>696.37</v>
          </cell>
        </row>
        <row r="12">
          <cell r="A12" t="str">
            <v>1002.02.01.07</v>
          </cell>
          <cell r="B12" t="str">
            <v>　　　　　　【旭智资本（香港）】汇丰人民币定期存款</v>
          </cell>
        </row>
        <row r="13">
          <cell r="A13" t="str">
            <v>1002.02.01.08</v>
          </cell>
          <cell r="B13" t="str">
            <v>　　　　　　【旭智资本（香港）】汇丰全球货币基金</v>
          </cell>
        </row>
        <row r="14">
          <cell r="A14" t="str">
            <v>1002.02.02</v>
          </cell>
          <cell r="B14" t="str">
            <v>　　　　盈透证券-U13828206</v>
          </cell>
          <cell r="E14">
            <v>1048.5899999999999</v>
          </cell>
          <cell r="G14">
            <v>3125073.82</v>
          </cell>
          <cell r="H14">
            <v>3125409.02</v>
          </cell>
        </row>
        <row r="15">
          <cell r="A15" t="str">
            <v>1002.02.02.01</v>
          </cell>
          <cell r="B15" t="str">
            <v>　　　　　　【旭智资本（香港）】盈透证券港元账户 8206</v>
          </cell>
          <cell r="E15">
            <v>263.31</v>
          </cell>
          <cell r="G15">
            <v>1562570.54</v>
          </cell>
          <cell r="H15">
            <v>1562833.85</v>
          </cell>
        </row>
        <row r="16">
          <cell r="A16" t="str">
            <v>1002.02.02.02</v>
          </cell>
          <cell r="B16" t="str">
            <v>　　　　　　【旭智资本（香港）】盈透证券人民币账户 8206</v>
          </cell>
          <cell r="E16">
            <v>355.76</v>
          </cell>
          <cell r="G16">
            <v>1562503.28</v>
          </cell>
          <cell r="H16">
            <v>1562570.06</v>
          </cell>
        </row>
        <row r="17">
          <cell r="A17" t="str">
            <v>1002.02.02.03</v>
          </cell>
          <cell r="B17" t="str">
            <v>　　　　　　【旭智资本（香港）】盈透证券澳币账户 8206</v>
          </cell>
          <cell r="E17">
            <v>429.52</v>
          </cell>
          <cell r="H17">
            <v>5.1100000000000003</v>
          </cell>
        </row>
        <row r="18">
          <cell r="A18" t="str">
            <v>1123</v>
          </cell>
          <cell r="B18" t="str">
            <v>预付账款</v>
          </cell>
          <cell r="E18">
            <v>780594.15</v>
          </cell>
          <cell r="G18">
            <v>111437.5</v>
          </cell>
          <cell r="H18">
            <v>143758.73000000001</v>
          </cell>
        </row>
        <row r="19">
          <cell r="A19" t="str">
            <v>1123.01</v>
          </cell>
          <cell r="B19" t="str">
            <v>　　单位</v>
          </cell>
          <cell r="E19">
            <v>780594.15</v>
          </cell>
          <cell r="G19">
            <v>111437.5</v>
          </cell>
          <cell r="H19">
            <v>143758.73000000001</v>
          </cell>
        </row>
        <row r="20">
          <cell r="A20" t="str">
            <v>1123.01</v>
          </cell>
          <cell r="B20" t="str">
            <v>　　单位</v>
          </cell>
          <cell r="C20" t="str">
            <v>SU003001</v>
          </cell>
          <cell r="D20" t="str">
            <v>Boardroom Corporate Services (HK) Limited</v>
          </cell>
          <cell r="E20">
            <v>3604.38</v>
          </cell>
          <cell r="H20">
            <v>1214.52</v>
          </cell>
        </row>
        <row r="21">
          <cell r="A21" t="str">
            <v>1123.01</v>
          </cell>
          <cell r="B21" t="str">
            <v>　　单位</v>
          </cell>
          <cell r="C21" t="str">
            <v>SU003003</v>
          </cell>
          <cell r="D21" t="str">
            <v>SUN HING INSURANCE BROKERS LTD.</v>
          </cell>
          <cell r="E21">
            <v>185406.79</v>
          </cell>
          <cell r="H21">
            <v>31894.83</v>
          </cell>
        </row>
        <row r="22">
          <cell r="A22" t="str">
            <v>1123.01</v>
          </cell>
          <cell r="B22" t="str">
            <v>　　单位</v>
          </cell>
          <cell r="C22" t="str">
            <v>SU003022</v>
          </cell>
          <cell r="D22" t="str">
            <v>Supreme Honour Development Limited</v>
          </cell>
          <cell r="E22">
            <v>529663</v>
          </cell>
          <cell r="G22">
            <v>111437.5</v>
          </cell>
          <cell r="H22">
            <v>100000</v>
          </cell>
        </row>
        <row r="23">
          <cell r="A23" t="str">
            <v>1123.01</v>
          </cell>
          <cell r="B23" t="str">
            <v>　　单位</v>
          </cell>
          <cell r="C23" t="str">
            <v>SU004004</v>
          </cell>
          <cell r="D23" t="str">
            <v>Fuji Xerox （Hong Kong) Limited</v>
          </cell>
          <cell r="E23">
            <v>4590</v>
          </cell>
        </row>
        <row r="24">
          <cell r="A24" t="str">
            <v>1123.01</v>
          </cell>
          <cell r="B24" t="str">
            <v>　　单位</v>
          </cell>
          <cell r="C24" t="str">
            <v>SU004006</v>
          </cell>
          <cell r="D24" t="str">
            <v>The HongKong Electric Co.,Ltd.</v>
          </cell>
          <cell r="E24">
            <v>17000</v>
          </cell>
        </row>
        <row r="25">
          <cell r="A25" t="str">
            <v>1123.01</v>
          </cell>
          <cell r="B25" t="str">
            <v>　　单位</v>
          </cell>
          <cell r="C25" t="str">
            <v>SU004010</v>
          </cell>
          <cell r="D25" t="str">
            <v>Noble Spirit Limited T/A Life Solutions</v>
          </cell>
          <cell r="E25">
            <v>5124.2700000000004</v>
          </cell>
          <cell r="H25">
            <v>371.15</v>
          </cell>
        </row>
        <row r="26">
          <cell r="A26" t="str">
            <v>1123.01</v>
          </cell>
          <cell r="B26" t="str">
            <v>　　单位</v>
          </cell>
          <cell r="C26" t="str">
            <v>SU004011</v>
          </cell>
          <cell r="D26" t="str">
            <v>Master Concept (Hong Kong) Limited</v>
          </cell>
          <cell r="E26">
            <v>35205.71</v>
          </cell>
          <cell r="H26">
            <v>10278.23</v>
          </cell>
        </row>
        <row r="27">
          <cell r="A27" t="str">
            <v>1123.01</v>
          </cell>
          <cell r="B27" t="str">
            <v>　　单位</v>
          </cell>
          <cell r="C27" t="str">
            <v>SU004013</v>
          </cell>
          <cell r="D27" t="str">
            <v>B&amp;T Engineering Limited</v>
          </cell>
        </row>
        <row r="28">
          <cell r="A28" t="str">
            <v>1132</v>
          </cell>
          <cell r="B28" t="str">
            <v>应收利息</v>
          </cell>
        </row>
        <row r="29">
          <cell r="A29" t="str">
            <v>1132</v>
          </cell>
          <cell r="B29" t="str">
            <v>应收利息</v>
          </cell>
          <cell r="C29" t="str">
            <v>OU004001</v>
          </cell>
          <cell r="D29" t="str">
            <v>香港上海汇丰银行有限公司</v>
          </cell>
        </row>
        <row r="30">
          <cell r="A30" t="str">
            <v>1221</v>
          </cell>
          <cell r="B30" t="str">
            <v>其他应收款</v>
          </cell>
          <cell r="E30">
            <v>60945208.549999997</v>
          </cell>
          <cell r="G30">
            <v>514677.73</v>
          </cell>
          <cell r="H30">
            <v>1744537.09</v>
          </cell>
        </row>
        <row r="31">
          <cell r="A31" t="str">
            <v>1221.01</v>
          </cell>
          <cell r="B31" t="str">
            <v>　　单位</v>
          </cell>
          <cell r="E31">
            <v>60945208.549999997</v>
          </cell>
          <cell r="G31">
            <v>514677.73</v>
          </cell>
          <cell r="H31">
            <v>1744537.09</v>
          </cell>
        </row>
        <row r="32">
          <cell r="A32" t="str">
            <v>1221.01</v>
          </cell>
          <cell r="B32" t="str">
            <v>　　单位</v>
          </cell>
          <cell r="C32" t="str">
            <v>CU003004</v>
          </cell>
          <cell r="D32" t="str">
            <v>广州旭智投资控股有限责任公司</v>
          </cell>
          <cell r="E32">
            <v>49550691.43</v>
          </cell>
          <cell r="H32">
            <v>92356.84</v>
          </cell>
        </row>
        <row r="33">
          <cell r="A33" t="str">
            <v>1221.01</v>
          </cell>
          <cell r="B33" t="str">
            <v>　　单位</v>
          </cell>
          <cell r="C33" t="str">
            <v>CU003006</v>
          </cell>
          <cell r="D33" t="str">
            <v>旭智咨询管理(深圳)有限责任公司</v>
          </cell>
          <cell r="G33">
            <v>8829.6</v>
          </cell>
        </row>
        <row r="34">
          <cell r="A34" t="str">
            <v>1221.01</v>
          </cell>
          <cell r="B34" t="str">
            <v>　　单位</v>
          </cell>
          <cell r="C34" t="str">
            <v>CU003010</v>
          </cell>
          <cell r="D34" t="str">
            <v>旭智富能新能源（深圳）有限责任公司</v>
          </cell>
          <cell r="E34">
            <v>1424246.62</v>
          </cell>
          <cell r="G34">
            <v>150198.13</v>
          </cell>
          <cell r="H34">
            <v>1574444.75</v>
          </cell>
        </row>
        <row r="35">
          <cell r="A35" t="str">
            <v>1221.01</v>
          </cell>
          <cell r="B35" t="str">
            <v>　　单位</v>
          </cell>
          <cell r="C35" t="str">
            <v>CU005009</v>
          </cell>
          <cell r="D35" t="str">
            <v>旭智资本有限公司</v>
          </cell>
          <cell r="E35">
            <v>9970270.5</v>
          </cell>
          <cell r="G35">
            <v>355650</v>
          </cell>
          <cell r="H35">
            <v>77735.5</v>
          </cell>
        </row>
        <row r="36">
          <cell r="A36" t="str">
            <v>1511</v>
          </cell>
          <cell r="B36" t="str">
            <v>长期股权投资</v>
          </cell>
          <cell r="E36">
            <v>5358013.7300000004</v>
          </cell>
        </row>
        <row r="37">
          <cell r="A37" t="str">
            <v>1511.01</v>
          </cell>
          <cell r="B37" t="str">
            <v>　　投资成本</v>
          </cell>
          <cell r="E37">
            <v>5358013.7300000004</v>
          </cell>
        </row>
        <row r="38">
          <cell r="A38" t="str">
            <v>1511.01.08</v>
          </cell>
          <cell r="B38" t="str">
            <v>　　　　深圳旭智私募股权基金管理有限公司</v>
          </cell>
          <cell r="E38">
            <v>5358013.7300000004</v>
          </cell>
        </row>
        <row r="39">
          <cell r="A39" t="str">
            <v>1641</v>
          </cell>
          <cell r="B39" t="str">
            <v>使用权资产</v>
          </cell>
          <cell r="E39">
            <v>7228737.71</v>
          </cell>
        </row>
        <row r="40">
          <cell r="A40" t="str">
            <v>1641.02</v>
          </cell>
          <cell r="B40" t="str">
            <v>　　办公地址</v>
          </cell>
          <cell r="E40">
            <v>7228737.71</v>
          </cell>
        </row>
        <row r="41">
          <cell r="A41" t="str">
            <v>1641.02.02</v>
          </cell>
          <cell r="B41" t="str">
            <v>　　　　旭智资本（香港）--冯氏大厦</v>
          </cell>
          <cell r="E41">
            <v>7228737.71</v>
          </cell>
        </row>
        <row r="42">
          <cell r="A42" t="str">
            <v>1642</v>
          </cell>
          <cell r="B42" t="str">
            <v>使用权资产累计折旧</v>
          </cell>
          <cell r="F42">
            <v>6100680.2599999998</v>
          </cell>
          <cell r="H42">
            <v>80668.460000000006</v>
          </cell>
        </row>
        <row r="43">
          <cell r="A43" t="str">
            <v>1642.02</v>
          </cell>
          <cell r="B43" t="str">
            <v>　　办公地址</v>
          </cell>
          <cell r="F43">
            <v>6100680.2599999998</v>
          </cell>
          <cell r="H43">
            <v>80668.460000000006</v>
          </cell>
        </row>
        <row r="44">
          <cell r="A44" t="str">
            <v>1642.02.02</v>
          </cell>
          <cell r="B44" t="str">
            <v>　　　　旭智资本（香港）--冯氏大厦</v>
          </cell>
          <cell r="F44">
            <v>6100680.2599999998</v>
          </cell>
          <cell r="H44">
            <v>80668.460000000006</v>
          </cell>
        </row>
        <row r="45">
          <cell r="A45" t="str">
            <v>2211</v>
          </cell>
          <cell r="B45" t="str">
            <v>应付职工薪酬</v>
          </cell>
          <cell r="F45">
            <v>70083.95</v>
          </cell>
          <cell r="G45">
            <v>33593</v>
          </cell>
          <cell r="H45">
            <v>86580.57</v>
          </cell>
        </row>
        <row r="46">
          <cell r="A46" t="str">
            <v>2211.02</v>
          </cell>
          <cell r="B46" t="str">
            <v>　　职工奖金</v>
          </cell>
        </row>
        <row r="47">
          <cell r="A47" t="str">
            <v>2211.11</v>
          </cell>
          <cell r="B47" t="str">
            <v>　　应付强制性公积金</v>
          </cell>
          <cell r="F47">
            <v>9800</v>
          </cell>
          <cell r="G47">
            <v>9800</v>
          </cell>
          <cell r="H47">
            <v>8498.3799999999992</v>
          </cell>
        </row>
        <row r="48">
          <cell r="A48" t="str">
            <v>2211.12</v>
          </cell>
          <cell r="B48" t="str">
            <v>　　应付长期服务金</v>
          </cell>
          <cell r="F48">
            <v>60283.95</v>
          </cell>
          <cell r="G48">
            <v>23793</v>
          </cell>
          <cell r="H48">
            <v>78082.19</v>
          </cell>
        </row>
        <row r="49">
          <cell r="A49" t="str">
            <v>2211.13</v>
          </cell>
          <cell r="B49" t="str">
            <v>　　未使用假期负债</v>
          </cell>
        </row>
        <row r="50">
          <cell r="A50" t="str">
            <v>2241</v>
          </cell>
          <cell r="B50" t="str">
            <v>其他应付款</v>
          </cell>
          <cell r="F50">
            <v>329639.44</v>
          </cell>
          <cell r="G50">
            <v>100533.32</v>
          </cell>
          <cell r="H50">
            <v>28700</v>
          </cell>
        </row>
        <row r="51">
          <cell r="A51" t="str">
            <v>2241.01</v>
          </cell>
          <cell r="B51" t="str">
            <v>　　单位</v>
          </cell>
          <cell r="F51">
            <v>188831.35999999999</v>
          </cell>
          <cell r="G51">
            <v>11200</v>
          </cell>
          <cell r="H51">
            <v>28700</v>
          </cell>
        </row>
        <row r="52">
          <cell r="A52" t="str">
            <v>2241.01</v>
          </cell>
          <cell r="B52" t="str">
            <v>　　单位</v>
          </cell>
          <cell r="C52" t="str">
            <v>SU003003</v>
          </cell>
          <cell r="D52" t="str">
            <v>SUN HING INSURANCE BROKERS LTD.</v>
          </cell>
          <cell r="E52">
            <v>490</v>
          </cell>
        </row>
        <row r="53">
          <cell r="A53" t="str">
            <v>2241.01</v>
          </cell>
          <cell r="B53" t="str">
            <v>　　单位</v>
          </cell>
          <cell r="C53" t="str">
            <v>SU003011</v>
          </cell>
          <cell r="D53" t="str">
            <v>Tricor Services Limited</v>
          </cell>
          <cell r="F53">
            <v>22890</v>
          </cell>
          <cell r="G53">
            <v>11200</v>
          </cell>
          <cell r="H53">
            <v>11200</v>
          </cell>
        </row>
        <row r="54">
          <cell r="A54" t="str">
            <v>2241.01</v>
          </cell>
          <cell r="B54" t="str">
            <v>　　单位</v>
          </cell>
          <cell r="C54" t="str">
            <v>SU004019</v>
          </cell>
          <cell r="D54" t="str">
            <v>PricewaterhouseCoopers Limited</v>
          </cell>
          <cell r="F54">
            <v>157500</v>
          </cell>
          <cell r="H54">
            <v>17500</v>
          </cell>
        </row>
        <row r="55">
          <cell r="A55" t="str">
            <v>2241.01</v>
          </cell>
          <cell r="B55" t="str">
            <v>　　单位</v>
          </cell>
          <cell r="C55" t="str">
            <v>SU004022</v>
          </cell>
          <cell r="D55" t="str">
            <v>WIZ ADVISORY PTY LTD</v>
          </cell>
          <cell r="F55">
            <v>8931.36</v>
          </cell>
        </row>
        <row r="56">
          <cell r="A56" t="str">
            <v>2241.02</v>
          </cell>
          <cell r="B56" t="str">
            <v>　　个人</v>
          </cell>
          <cell r="F56">
            <v>140808.07999999999</v>
          </cell>
          <cell r="G56">
            <v>89333.32</v>
          </cell>
        </row>
        <row r="57">
          <cell r="A57" t="str">
            <v>2241.02</v>
          </cell>
          <cell r="B57" t="str">
            <v>　　个人</v>
          </cell>
          <cell r="C57" t="str">
            <v>SP003006</v>
          </cell>
          <cell r="D57" t="str">
            <v>甄伟杰</v>
          </cell>
          <cell r="F57">
            <v>140808.07999999999</v>
          </cell>
          <cell r="G57">
            <v>89333.32</v>
          </cell>
        </row>
        <row r="58">
          <cell r="A58" t="str">
            <v>2241.02</v>
          </cell>
          <cell r="B58" t="str">
            <v>　　个人</v>
          </cell>
          <cell r="C58" t="str">
            <v>SP003007</v>
          </cell>
          <cell r="D58" t="str">
            <v>梁国希</v>
          </cell>
        </row>
        <row r="59">
          <cell r="A59" t="str">
            <v>2241.02</v>
          </cell>
          <cell r="B59" t="str">
            <v>　　个人</v>
          </cell>
          <cell r="C59" t="str">
            <v>SP003009</v>
          </cell>
          <cell r="D59" t="str">
            <v>李琦</v>
          </cell>
        </row>
        <row r="60">
          <cell r="A60" t="str">
            <v>2601</v>
          </cell>
          <cell r="B60" t="str">
            <v>租赁负债</v>
          </cell>
          <cell r="F60">
            <v>1173761.75</v>
          </cell>
          <cell r="G60">
            <v>95977.36</v>
          </cell>
        </row>
        <row r="61">
          <cell r="A61" t="str">
            <v>2601.01</v>
          </cell>
          <cell r="B61" t="str">
            <v>　　租赁付款额</v>
          </cell>
          <cell r="F61">
            <v>1434860.9</v>
          </cell>
        </row>
        <row r="62">
          <cell r="A62" t="str">
            <v>2601.01.02</v>
          </cell>
          <cell r="B62" t="str">
            <v>　　　　办公地址</v>
          </cell>
          <cell r="F62">
            <v>1434860.9</v>
          </cell>
        </row>
        <row r="63">
          <cell r="A63" t="str">
            <v>2601.01.02.02</v>
          </cell>
          <cell r="B63" t="str">
            <v>　　　　　　旭智资本（香港）--冯氏大厦</v>
          </cell>
          <cell r="F63">
            <v>1434860.9</v>
          </cell>
        </row>
        <row r="64">
          <cell r="A64" t="str">
            <v>2601.02</v>
          </cell>
          <cell r="B64" t="str">
            <v>　　未确认融资费用</v>
          </cell>
          <cell r="E64">
            <v>261099.15</v>
          </cell>
          <cell r="G64">
            <v>95977.36</v>
          </cell>
        </row>
        <row r="65">
          <cell r="A65" t="str">
            <v>2601.02.02</v>
          </cell>
          <cell r="B65" t="str">
            <v>　　　　办公地址</v>
          </cell>
          <cell r="E65">
            <v>261099.15</v>
          </cell>
          <cell r="G65">
            <v>95977.36</v>
          </cell>
        </row>
        <row r="66">
          <cell r="A66" t="str">
            <v>2601.02.02.02</v>
          </cell>
          <cell r="B66" t="str">
            <v>　　　　　　旭智资本（香港）--冯氏大厦</v>
          </cell>
          <cell r="E66">
            <v>261099.15</v>
          </cell>
          <cell r="G66">
            <v>95977.36</v>
          </cell>
        </row>
        <row r="67">
          <cell r="A67" t="str">
            <v>2801</v>
          </cell>
          <cell r="B67" t="str">
            <v>预计负债</v>
          </cell>
          <cell r="F67">
            <v>245000</v>
          </cell>
        </row>
        <row r="68">
          <cell r="A68" t="str">
            <v>4001</v>
          </cell>
          <cell r="B68" t="str">
            <v>实收资本（股本）</v>
          </cell>
          <cell r="F68">
            <v>113887263</v>
          </cell>
        </row>
        <row r="69">
          <cell r="A69" t="str">
            <v>4001.50</v>
          </cell>
          <cell r="B69" t="str">
            <v>　　普通股</v>
          </cell>
          <cell r="F69">
            <v>113887263</v>
          </cell>
        </row>
        <row r="70">
          <cell r="A70" t="str">
            <v>4001.50.07</v>
          </cell>
          <cell r="B70" t="str">
            <v>　　　　旭智资本有限公司</v>
          </cell>
          <cell r="F70">
            <v>113887263</v>
          </cell>
        </row>
        <row r="71">
          <cell r="A71" t="str">
            <v>4103</v>
          </cell>
          <cell r="B71" t="str">
            <v>本年利润</v>
          </cell>
          <cell r="E71">
            <v>3998965.27</v>
          </cell>
          <cell r="G71">
            <v>687355</v>
          </cell>
          <cell r="H71">
            <v>-1342569.76</v>
          </cell>
        </row>
        <row r="72">
          <cell r="A72" t="str">
            <v>4104</v>
          </cell>
          <cell r="B72" t="str">
            <v>利润分配</v>
          </cell>
          <cell r="E72">
            <v>39431857.289999999</v>
          </cell>
        </row>
        <row r="73">
          <cell r="A73" t="str">
            <v>4104.07</v>
          </cell>
          <cell r="B73" t="str">
            <v>　　未分配利润</v>
          </cell>
          <cell r="E73">
            <v>39431857.289999999</v>
          </cell>
        </row>
        <row r="74">
          <cell r="A74" t="str">
            <v>6001</v>
          </cell>
          <cell r="B74" t="str">
            <v>主营业务收入</v>
          </cell>
          <cell r="G74">
            <v>-1398219.76</v>
          </cell>
          <cell r="H74">
            <v>-1398219.76</v>
          </cell>
        </row>
        <row r="75">
          <cell r="A75" t="str">
            <v>6001.02</v>
          </cell>
          <cell r="B75" t="str">
            <v>　　咨询服务费收入</v>
          </cell>
          <cell r="G75">
            <v>-1398219.76</v>
          </cell>
          <cell r="H75">
            <v>-1398219.76</v>
          </cell>
        </row>
        <row r="76">
          <cell r="A76" t="str">
            <v>6001.02.02</v>
          </cell>
          <cell r="B76" t="str">
            <v>　　　　未开票</v>
          </cell>
          <cell r="G76">
            <v>-1398219.76</v>
          </cell>
          <cell r="H76">
            <v>-1398219.76</v>
          </cell>
        </row>
        <row r="77">
          <cell r="A77" t="str">
            <v>6001.02.02</v>
          </cell>
          <cell r="B77" t="str">
            <v>　　　　未开票</v>
          </cell>
          <cell r="C77" t="str">
            <v>CU003010</v>
          </cell>
          <cell r="D77" t="str">
            <v>旭智富能新能源（深圳）有限责任公司</v>
          </cell>
          <cell r="G77">
            <v>-1398219.76</v>
          </cell>
          <cell r="H77">
            <v>-1398219.76</v>
          </cell>
        </row>
        <row r="78">
          <cell r="A78" t="str">
            <v>6115</v>
          </cell>
          <cell r="B78" t="str">
            <v>其他收益</v>
          </cell>
          <cell r="G78">
            <v>55650</v>
          </cell>
          <cell r="H78">
            <v>55650</v>
          </cell>
        </row>
        <row r="79">
          <cell r="A79" t="str">
            <v>6115.03</v>
          </cell>
          <cell r="B79" t="str">
            <v>　　公司间往来</v>
          </cell>
          <cell r="G79">
            <v>55650</v>
          </cell>
          <cell r="H79">
            <v>55650</v>
          </cell>
        </row>
        <row r="80">
          <cell r="A80" t="str">
            <v>6602</v>
          </cell>
          <cell r="B80" t="str">
            <v>管理费用</v>
          </cell>
          <cell r="G80">
            <v>570573.07999999996</v>
          </cell>
          <cell r="H80">
            <v>570573.07999999996</v>
          </cell>
        </row>
        <row r="81">
          <cell r="A81" t="str">
            <v>6602.01</v>
          </cell>
          <cell r="B81" t="str">
            <v>　　工资薪金</v>
          </cell>
          <cell r="G81">
            <v>357008.56</v>
          </cell>
          <cell r="H81">
            <v>357008.56</v>
          </cell>
        </row>
        <row r="82">
          <cell r="A82" t="str">
            <v>6602.01.01</v>
          </cell>
          <cell r="B82" t="str">
            <v>　　　　基本工资（专业）</v>
          </cell>
          <cell r="G82">
            <v>200000</v>
          </cell>
          <cell r="H82">
            <v>200000</v>
          </cell>
        </row>
        <row r="83">
          <cell r="A83" t="str">
            <v>6602.01.05</v>
          </cell>
          <cell r="B83" t="str">
            <v>　　　　员工假期</v>
          </cell>
        </row>
        <row r="84">
          <cell r="A84" t="str">
            <v>6602.01.07</v>
          </cell>
          <cell r="B84" t="str">
            <v>　　　　集团内分摊</v>
          </cell>
          <cell r="G84">
            <v>77735.5</v>
          </cell>
          <cell r="H84">
            <v>77735.5</v>
          </cell>
        </row>
        <row r="85">
          <cell r="A85" t="str">
            <v>6602.01.08</v>
          </cell>
          <cell r="B85" t="str">
            <v>　　　　基本工资（管理）</v>
          </cell>
          <cell r="G85">
            <v>24983.87</v>
          </cell>
          <cell r="H85">
            <v>24983.87</v>
          </cell>
        </row>
        <row r="86">
          <cell r="A86" t="str">
            <v>6602.01.10</v>
          </cell>
          <cell r="B86" t="str">
            <v>　　　　长期服务金</v>
          </cell>
          <cell r="G86">
            <v>54289.19</v>
          </cell>
          <cell r="H86">
            <v>54289.19</v>
          </cell>
        </row>
        <row r="87">
          <cell r="A87" t="str">
            <v>6602.02</v>
          </cell>
          <cell r="B87" t="str">
            <v>　　职工福利</v>
          </cell>
          <cell r="G87">
            <v>1325.46</v>
          </cell>
          <cell r="H87">
            <v>1325.46</v>
          </cell>
        </row>
        <row r="88">
          <cell r="A88" t="str">
            <v>6602.02.02</v>
          </cell>
          <cell r="B88" t="str">
            <v>　　　　团建活动</v>
          </cell>
          <cell r="G88">
            <v>1325.46</v>
          </cell>
          <cell r="H88">
            <v>1325.46</v>
          </cell>
        </row>
        <row r="89">
          <cell r="A89" t="str">
            <v>6602.03</v>
          </cell>
          <cell r="B89" t="str">
            <v>　　社保公积金</v>
          </cell>
          <cell r="G89">
            <v>31180.36</v>
          </cell>
          <cell r="H89">
            <v>31180.36</v>
          </cell>
        </row>
        <row r="90">
          <cell r="A90" t="str">
            <v>6602.03.01</v>
          </cell>
          <cell r="B90" t="str">
            <v>　　　　员工社保福利</v>
          </cell>
          <cell r="G90">
            <v>26931.17</v>
          </cell>
          <cell r="H90">
            <v>26931.17</v>
          </cell>
        </row>
        <row r="91">
          <cell r="A91" t="str">
            <v>6602.03.03</v>
          </cell>
          <cell r="B91" t="str">
            <v>　　　　员工强制性公积金福利</v>
          </cell>
          <cell r="G91">
            <v>4249.1899999999996</v>
          </cell>
          <cell r="H91">
            <v>4249.1899999999996</v>
          </cell>
        </row>
        <row r="92">
          <cell r="A92" t="str">
            <v>6602.04</v>
          </cell>
          <cell r="B92" t="str">
            <v>　　咨询及专业服务费</v>
          </cell>
          <cell r="G92">
            <v>44100</v>
          </cell>
          <cell r="H92">
            <v>44100</v>
          </cell>
        </row>
        <row r="93">
          <cell r="A93" t="str">
            <v>6602.04.01</v>
          </cell>
          <cell r="B93" t="str">
            <v>　　　　会计服务费</v>
          </cell>
          <cell r="G93">
            <v>8500</v>
          </cell>
          <cell r="H93">
            <v>8500</v>
          </cell>
        </row>
        <row r="94">
          <cell r="A94" t="str">
            <v>6602.04.02</v>
          </cell>
          <cell r="B94" t="str">
            <v>　　　　审计服务费</v>
          </cell>
          <cell r="G94">
            <v>17500</v>
          </cell>
          <cell r="H94">
            <v>17500</v>
          </cell>
        </row>
        <row r="95">
          <cell r="A95" t="str">
            <v>6602.04.03</v>
          </cell>
          <cell r="B95" t="str">
            <v>　　　　顾问费</v>
          </cell>
        </row>
        <row r="96">
          <cell r="A96" t="str">
            <v>6602.04.03</v>
          </cell>
          <cell r="B96" t="str">
            <v>　　　　顾问费</v>
          </cell>
          <cell r="C96" t="str">
            <v>CI008</v>
          </cell>
          <cell r="D96" t="str">
            <v>旭智资本（香港）</v>
          </cell>
        </row>
        <row r="97">
          <cell r="A97" t="str">
            <v>6602.04.06</v>
          </cell>
          <cell r="B97" t="str">
            <v>　　　　法律服务费</v>
          </cell>
        </row>
        <row r="98">
          <cell r="A98" t="str">
            <v>6602.04.06</v>
          </cell>
          <cell r="B98" t="str">
            <v>　　　　法律服务费</v>
          </cell>
          <cell r="C98" t="str">
            <v>CI008</v>
          </cell>
          <cell r="D98" t="str">
            <v>旭智资本（香港）</v>
          </cell>
        </row>
        <row r="99">
          <cell r="A99" t="str">
            <v>6602.04.07</v>
          </cell>
          <cell r="B99" t="str">
            <v>　　　　人力资源服务费</v>
          </cell>
          <cell r="G99">
            <v>2500</v>
          </cell>
          <cell r="H99">
            <v>2500</v>
          </cell>
        </row>
        <row r="100">
          <cell r="A100" t="str">
            <v>6602.04.12</v>
          </cell>
          <cell r="B100" t="str">
            <v>　　　　合规支持服务</v>
          </cell>
          <cell r="G100">
            <v>15600</v>
          </cell>
          <cell r="H100">
            <v>15600</v>
          </cell>
        </row>
        <row r="101">
          <cell r="A101" t="str">
            <v>6602.04.12</v>
          </cell>
          <cell r="B101" t="str">
            <v>　　　　合规支持服务</v>
          </cell>
          <cell r="C101" t="str">
            <v>CI008</v>
          </cell>
          <cell r="D101" t="str">
            <v>旭智资本（香港）</v>
          </cell>
          <cell r="G101">
            <v>15600</v>
          </cell>
          <cell r="H101">
            <v>15600</v>
          </cell>
        </row>
        <row r="102">
          <cell r="A102" t="str">
            <v>6602.05</v>
          </cell>
          <cell r="B102" t="str">
            <v>　　占用费</v>
          </cell>
          <cell r="G102">
            <v>25345.65</v>
          </cell>
          <cell r="H102">
            <v>25345.65</v>
          </cell>
        </row>
        <row r="103">
          <cell r="A103" t="str">
            <v>6602.05.02</v>
          </cell>
          <cell r="B103" t="str">
            <v>　　　　管理费</v>
          </cell>
          <cell r="G103">
            <v>24133.5</v>
          </cell>
          <cell r="H103">
            <v>24133.5</v>
          </cell>
        </row>
        <row r="104">
          <cell r="A104" t="str">
            <v>6602.05.03</v>
          </cell>
          <cell r="B104" t="str">
            <v>　　　　电费</v>
          </cell>
          <cell r="G104">
            <v>841</v>
          </cell>
          <cell r="H104">
            <v>841</v>
          </cell>
        </row>
        <row r="105">
          <cell r="A105" t="str">
            <v>6602.05.05</v>
          </cell>
          <cell r="B105" t="str">
            <v>　　　　维修费</v>
          </cell>
          <cell r="G105">
            <v>371.15</v>
          </cell>
          <cell r="H105">
            <v>371.15</v>
          </cell>
        </row>
        <row r="106">
          <cell r="A106" t="str">
            <v>6602.06</v>
          </cell>
          <cell r="B106" t="str">
            <v>　　业务招待费</v>
          </cell>
          <cell r="G106">
            <v>128</v>
          </cell>
          <cell r="H106">
            <v>128</v>
          </cell>
        </row>
        <row r="107">
          <cell r="A107" t="str">
            <v>6602.06</v>
          </cell>
          <cell r="B107" t="str">
            <v>　　业务招待费</v>
          </cell>
          <cell r="C107" t="str">
            <v>CI008</v>
          </cell>
          <cell r="D107" t="str">
            <v>旭智资本（香港）</v>
          </cell>
          <cell r="G107">
            <v>128</v>
          </cell>
          <cell r="H107">
            <v>128</v>
          </cell>
        </row>
        <row r="108">
          <cell r="A108" t="str">
            <v>6602.08</v>
          </cell>
          <cell r="B108" t="str">
            <v>　　事务费用</v>
          </cell>
          <cell r="G108">
            <v>17189.66</v>
          </cell>
          <cell r="H108">
            <v>17189.66</v>
          </cell>
        </row>
        <row r="109">
          <cell r="A109" t="str">
            <v>6602.08.01</v>
          </cell>
          <cell r="B109" t="str">
            <v>　　　　通信费</v>
          </cell>
          <cell r="G109">
            <v>330</v>
          </cell>
          <cell r="H109">
            <v>330</v>
          </cell>
        </row>
        <row r="110">
          <cell r="A110" t="str">
            <v>6602.08.01</v>
          </cell>
          <cell r="B110" t="str">
            <v>　　　　通信费</v>
          </cell>
          <cell r="C110" t="str">
            <v>CI008</v>
          </cell>
          <cell r="D110" t="str">
            <v>旭智资本（香港）</v>
          </cell>
          <cell r="G110">
            <v>330</v>
          </cell>
          <cell r="H110">
            <v>330</v>
          </cell>
        </row>
        <row r="111">
          <cell r="A111" t="str">
            <v>6602.08.03</v>
          </cell>
          <cell r="B111" t="str">
            <v>　　　　办公用品</v>
          </cell>
          <cell r="G111">
            <v>1617.77</v>
          </cell>
          <cell r="H111">
            <v>1617.77</v>
          </cell>
        </row>
        <row r="112">
          <cell r="A112" t="str">
            <v>6602.08.03</v>
          </cell>
          <cell r="B112" t="str">
            <v>　　　　办公用品</v>
          </cell>
          <cell r="C112" t="str">
            <v>CI008</v>
          </cell>
          <cell r="D112" t="str">
            <v>旭智资本（香港）</v>
          </cell>
          <cell r="G112">
            <v>1617.77</v>
          </cell>
          <cell r="H112">
            <v>1617.77</v>
          </cell>
        </row>
        <row r="113">
          <cell r="A113" t="str">
            <v>6602.08.04</v>
          </cell>
          <cell r="B113" t="str">
            <v>　　　　事务保金</v>
          </cell>
          <cell r="G113">
            <v>4963.66</v>
          </cell>
          <cell r="H113">
            <v>4963.66</v>
          </cell>
        </row>
        <row r="114">
          <cell r="A114" t="str">
            <v>6602.08.04</v>
          </cell>
          <cell r="B114" t="str">
            <v>　　　　事务保金</v>
          </cell>
          <cell r="C114" t="str">
            <v>CI008</v>
          </cell>
          <cell r="D114" t="str">
            <v>旭智资本（香港）</v>
          </cell>
          <cell r="G114">
            <v>4963.66</v>
          </cell>
          <cell r="H114">
            <v>4963.66</v>
          </cell>
        </row>
        <row r="115">
          <cell r="A115" t="str">
            <v>6602.08.05</v>
          </cell>
          <cell r="B115" t="str">
            <v>　　　　邮费/邮递费</v>
          </cell>
        </row>
        <row r="116">
          <cell r="A116" t="str">
            <v>6602.08.05</v>
          </cell>
          <cell r="B116" t="str">
            <v>　　　　邮费/邮递费</v>
          </cell>
          <cell r="C116" t="str">
            <v>CI008</v>
          </cell>
          <cell r="D116" t="str">
            <v>旭智资本（香港）</v>
          </cell>
        </row>
        <row r="117">
          <cell r="A117" t="str">
            <v>6602.08.06</v>
          </cell>
          <cell r="B117" t="str">
            <v>　　　　IT专业人士及微软服务</v>
          </cell>
          <cell r="G117">
            <v>7643.84</v>
          </cell>
          <cell r="H117">
            <v>7643.84</v>
          </cell>
        </row>
        <row r="118">
          <cell r="A118" t="str">
            <v>6602.08.06</v>
          </cell>
          <cell r="B118" t="str">
            <v>　　　　IT专业人士及微软服务</v>
          </cell>
          <cell r="C118" t="str">
            <v>CI008</v>
          </cell>
          <cell r="D118" t="str">
            <v>旭智资本（香港）</v>
          </cell>
          <cell r="G118">
            <v>7643.84</v>
          </cell>
          <cell r="H118">
            <v>7643.84</v>
          </cell>
        </row>
        <row r="119">
          <cell r="A119" t="str">
            <v>6602.08.07</v>
          </cell>
          <cell r="B119" t="str">
            <v>　　　　软件许可证费用</v>
          </cell>
          <cell r="G119">
            <v>2634.39</v>
          </cell>
          <cell r="H119">
            <v>2634.39</v>
          </cell>
        </row>
        <row r="120">
          <cell r="A120" t="str">
            <v>6602.08.07</v>
          </cell>
          <cell r="B120" t="str">
            <v>　　　　软件许可证费用</v>
          </cell>
          <cell r="C120" t="str">
            <v>CI008</v>
          </cell>
          <cell r="D120" t="str">
            <v>旭智资本（香港）</v>
          </cell>
          <cell r="G120">
            <v>2634.39</v>
          </cell>
          <cell r="H120">
            <v>2634.39</v>
          </cell>
        </row>
        <row r="121">
          <cell r="A121" t="str">
            <v>6602.08.10</v>
          </cell>
          <cell r="B121" t="str">
            <v>　　　　电话国际直拨/电话会议收费</v>
          </cell>
        </row>
        <row r="122">
          <cell r="A122" t="str">
            <v>6602.08.10</v>
          </cell>
          <cell r="B122" t="str">
            <v>　　　　电话国际直拨/电话会议收费</v>
          </cell>
          <cell r="C122" t="str">
            <v>CI008</v>
          </cell>
          <cell r="D122" t="str">
            <v>旭智资本（香港）</v>
          </cell>
        </row>
        <row r="123">
          <cell r="A123" t="str">
            <v>6602.09</v>
          </cell>
          <cell r="B123" t="str">
            <v>　　差旅费</v>
          </cell>
          <cell r="G123">
            <v>2732.41</v>
          </cell>
          <cell r="H123">
            <v>2732.41</v>
          </cell>
        </row>
        <row r="124">
          <cell r="A124" t="str">
            <v>6602.09.01</v>
          </cell>
          <cell r="B124" t="str">
            <v>　　　　住宿费</v>
          </cell>
          <cell r="G124">
            <v>14736.63</v>
          </cell>
          <cell r="H124">
            <v>14736.63</v>
          </cell>
        </row>
        <row r="125">
          <cell r="A125" t="str">
            <v>6602.09.01</v>
          </cell>
          <cell r="B125" t="str">
            <v>　　　　住宿费</v>
          </cell>
          <cell r="C125" t="str">
            <v>CI008</v>
          </cell>
          <cell r="D125" t="str">
            <v>旭智资本（香港）</v>
          </cell>
          <cell r="G125">
            <v>14736.63</v>
          </cell>
          <cell r="H125">
            <v>14736.63</v>
          </cell>
        </row>
        <row r="126">
          <cell r="A126" t="str">
            <v>6602.09.04</v>
          </cell>
          <cell r="B126" t="str">
            <v>　　　　空中交通费</v>
          </cell>
          <cell r="G126">
            <v>69841.789999999994</v>
          </cell>
          <cell r="H126">
            <v>69841.789999999994</v>
          </cell>
        </row>
        <row r="127">
          <cell r="A127" t="str">
            <v>6602.09.04</v>
          </cell>
          <cell r="B127" t="str">
            <v>　　　　空中交通费</v>
          </cell>
          <cell r="C127" t="str">
            <v>CI008</v>
          </cell>
          <cell r="D127" t="str">
            <v>旭智资本（香港）</v>
          </cell>
          <cell r="G127">
            <v>69841.789999999994</v>
          </cell>
          <cell r="H127">
            <v>69841.789999999994</v>
          </cell>
        </row>
        <row r="128">
          <cell r="A128" t="str">
            <v>6602.09.99</v>
          </cell>
          <cell r="B128" t="str">
            <v>　　　　其他</v>
          </cell>
          <cell r="G128">
            <v>-81846.009999999995</v>
          </cell>
          <cell r="H128">
            <v>-81846.009999999995</v>
          </cell>
        </row>
        <row r="129">
          <cell r="A129" t="str">
            <v>6602.09.99</v>
          </cell>
          <cell r="B129" t="str">
            <v>　　　　其他</v>
          </cell>
          <cell r="C129" t="str">
            <v>CI008</v>
          </cell>
          <cell r="D129" t="str">
            <v>旭智资本（香港）</v>
          </cell>
          <cell r="G129">
            <v>-81846.009999999995</v>
          </cell>
          <cell r="H129">
            <v>-81846.009999999995</v>
          </cell>
        </row>
        <row r="130">
          <cell r="A130" t="str">
            <v>6602.12</v>
          </cell>
          <cell r="B130" t="str">
            <v>　　使用权资产折旧</v>
          </cell>
          <cell r="G130">
            <v>80668.460000000006</v>
          </cell>
          <cell r="H130">
            <v>80668.460000000006</v>
          </cell>
        </row>
        <row r="131">
          <cell r="A131" t="str">
            <v>6602.12.02</v>
          </cell>
          <cell r="B131" t="str">
            <v>　　　　办公地址</v>
          </cell>
          <cell r="G131">
            <v>80668.460000000006</v>
          </cell>
          <cell r="H131">
            <v>80668.460000000006</v>
          </cell>
        </row>
        <row r="132">
          <cell r="A132" t="str">
            <v>6602.12.02.02</v>
          </cell>
          <cell r="B132" t="str">
            <v>　　　　　　旭智资本（香港）--冯氏大厦</v>
          </cell>
          <cell r="G132">
            <v>80668.460000000006</v>
          </cell>
          <cell r="H132">
            <v>80668.460000000006</v>
          </cell>
        </row>
        <row r="133">
          <cell r="A133" t="str">
            <v>6602.20</v>
          </cell>
          <cell r="B133" t="str">
            <v>　　职工教育经费</v>
          </cell>
        </row>
        <row r="134">
          <cell r="A134" t="str">
            <v>6602.21</v>
          </cell>
          <cell r="B134" t="str">
            <v>　　公司秘书费</v>
          </cell>
          <cell r="G134">
            <v>1214.52</v>
          </cell>
          <cell r="H134">
            <v>1214.52</v>
          </cell>
        </row>
        <row r="135">
          <cell r="A135" t="str">
            <v>6602.24</v>
          </cell>
          <cell r="B135" t="str">
            <v>　　监管费用</v>
          </cell>
          <cell r="G135">
            <v>9480</v>
          </cell>
          <cell r="H135">
            <v>9480</v>
          </cell>
        </row>
        <row r="136">
          <cell r="A136" t="str">
            <v>6602.99</v>
          </cell>
          <cell r="B136" t="str">
            <v>　　其他</v>
          </cell>
          <cell r="G136">
            <v>200</v>
          </cell>
          <cell r="H136">
            <v>200</v>
          </cell>
        </row>
        <row r="137">
          <cell r="A137" t="str">
            <v>6603</v>
          </cell>
          <cell r="B137" t="str">
            <v>财务费用</v>
          </cell>
          <cell r="G137">
            <v>116781.92</v>
          </cell>
          <cell r="H137">
            <v>116781.92</v>
          </cell>
        </row>
        <row r="138">
          <cell r="A138" t="str">
            <v>6603.01</v>
          </cell>
          <cell r="B138" t="str">
            <v>　　汇兑损益</v>
          </cell>
          <cell r="G138">
            <v>113001.89</v>
          </cell>
          <cell r="H138">
            <v>113001.89</v>
          </cell>
        </row>
        <row r="139">
          <cell r="A139" t="str">
            <v>6603.02</v>
          </cell>
          <cell r="B139" t="str">
            <v>　　利息费用</v>
          </cell>
          <cell r="G139">
            <v>4022.64</v>
          </cell>
          <cell r="H139">
            <v>4022.64</v>
          </cell>
        </row>
        <row r="140">
          <cell r="A140" t="str">
            <v>6603.02.02</v>
          </cell>
          <cell r="B140" t="str">
            <v>　　　　办公地址</v>
          </cell>
          <cell r="G140">
            <v>4022.64</v>
          </cell>
          <cell r="H140">
            <v>4022.64</v>
          </cell>
        </row>
        <row r="141">
          <cell r="A141" t="str">
            <v>6603.02.02.02</v>
          </cell>
          <cell r="B141" t="str">
            <v>　　　　　　旭智资本（香港）--冯氏大厦</v>
          </cell>
          <cell r="G141">
            <v>4022.64</v>
          </cell>
          <cell r="H141">
            <v>4022.64</v>
          </cell>
        </row>
        <row r="142">
          <cell r="A142" t="str">
            <v>6603.03</v>
          </cell>
          <cell r="B142" t="str">
            <v>　　银行手续费</v>
          </cell>
          <cell r="G142">
            <v>113.09</v>
          </cell>
          <cell r="H142">
            <v>113.09</v>
          </cell>
        </row>
        <row r="143">
          <cell r="A143" t="str">
            <v>6603.04</v>
          </cell>
          <cell r="B143" t="str">
            <v>　　利息收入</v>
          </cell>
          <cell r="G143">
            <v>-355.7</v>
          </cell>
          <cell r="H143">
            <v>-355.7</v>
          </cell>
        </row>
        <row r="144">
          <cell r="B144" t="str">
            <v>合计</v>
          </cell>
          <cell r="E144">
            <v>122068017.55</v>
          </cell>
          <cell r="F144">
            <v>122068017.55</v>
          </cell>
          <cell r="G144">
            <v>5576287.1200000001</v>
          </cell>
          <cell r="H144">
            <v>5576287.1200000001</v>
          </cell>
        </row>
      </sheetData>
      <sheetData sheetId="10">
        <row r="1">
          <cell r="A1" t="str">
            <v>币别:香港元</v>
          </cell>
          <cell r="B1" t="str">
            <v>账簿:旭智资本（香港）有限公司</v>
          </cell>
          <cell r="C1" t="str">
            <v>期间:2025.11 -- 2025.11</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3261152.88</v>
          </cell>
          <cell r="G4">
            <v>157.81</v>
          </cell>
          <cell r="H4">
            <v>683920.3</v>
          </cell>
        </row>
        <row r="5">
          <cell r="A5" t="str">
            <v>1002.02</v>
          </cell>
          <cell r="B5" t="str">
            <v>　　【旭智资本（香港）】银行存款账户</v>
          </cell>
          <cell r="E5">
            <v>3261152.88</v>
          </cell>
          <cell r="G5">
            <v>157.81</v>
          </cell>
          <cell r="H5">
            <v>683920.3</v>
          </cell>
        </row>
        <row r="6">
          <cell r="A6" t="str">
            <v>1002.02.01</v>
          </cell>
          <cell r="B6" t="str">
            <v>　　　　汇丰银行-741-269492-838</v>
          </cell>
          <cell r="E6">
            <v>3260439.49</v>
          </cell>
          <cell r="G6">
            <v>153.86000000000001</v>
          </cell>
          <cell r="H6">
            <v>683920.3</v>
          </cell>
        </row>
        <row r="7">
          <cell r="A7" t="str">
            <v>1002.02.01.01</v>
          </cell>
          <cell r="B7" t="str">
            <v>　　　　　　【旭智资本（香港）】汇丰港元储蓄账户 2838</v>
          </cell>
          <cell r="E7">
            <v>3131308.16</v>
          </cell>
          <cell r="G7">
            <v>13.64</v>
          </cell>
          <cell r="H7">
            <v>683920.3</v>
          </cell>
        </row>
        <row r="8">
          <cell r="A8" t="str">
            <v>1002.02.01.02</v>
          </cell>
          <cell r="B8" t="str">
            <v>　　　　　　【旭智资本（香港）】汇丰港元活期账户 2838</v>
          </cell>
        </row>
        <row r="9">
          <cell r="A9" t="str">
            <v>1002.02.01.03</v>
          </cell>
          <cell r="B9" t="str">
            <v>　　　　　　【旭智资本（香港）】汇丰外币储蓄 - 人民币 2838</v>
          </cell>
          <cell r="E9">
            <v>132.29</v>
          </cell>
          <cell r="G9">
            <v>0.94</v>
          </cell>
        </row>
        <row r="10">
          <cell r="A10" t="str">
            <v>1002.02.01.04</v>
          </cell>
          <cell r="B10" t="str">
            <v>　　　　　　【旭智资本（香港）】汇丰外币储蓄账户 - 美元 2838</v>
          </cell>
        </row>
        <row r="11">
          <cell r="A11" t="str">
            <v>1002.02.01.06</v>
          </cell>
          <cell r="B11" t="str">
            <v>　　　　　　【旭智资本（香港）】汇丰外币储蓄账户 - 澳币 2838</v>
          </cell>
          <cell r="E11">
            <v>128999.03999999999</v>
          </cell>
          <cell r="G11">
            <v>139.28</v>
          </cell>
        </row>
        <row r="12">
          <cell r="A12" t="str">
            <v>1002.02.01.07</v>
          </cell>
          <cell r="B12" t="str">
            <v>　　　　　　【旭智资本（香港）】汇丰人民币定期存款</v>
          </cell>
        </row>
        <row r="13">
          <cell r="A13" t="str">
            <v>1002.02.01.08</v>
          </cell>
          <cell r="B13" t="str">
            <v>　　　　　　【旭智资本（香港）】汇丰全球货币基金</v>
          </cell>
        </row>
        <row r="14">
          <cell r="A14" t="str">
            <v>1002.02.02</v>
          </cell>
          <cell r="B14" t="str">
            <v>　　　　盈透证券-U13828206</v>
          </cell>
          <cell r="E14">
            <v>713.39</v>
          </cell>
          <cell r="G14">
            <v>3.95</v>
          </cell>
        </row>
        <row r="15">
          <cell r="A15" t="str">
            <v>1002.02.02.01</v>
          </cell>
          <cell r="B15" t="str">
            <v>　　　　　　【旭智资本（香港）】盈透证券港元账户 8206</v>
          </cell>
          <cell r="G15">
            <v>7.0000000000000007E-2</v>
          </cell>
        </row>
        <row r="16">
          <cell r="A16" t="str">
            <v>1002.02.02.02</v>
          </cell>
          <cell r="B16" t="str">
            <v>　　　　　　【旭智资本（香港）】盈透证券人民币账户 8206</v>
          </cell>
          <cell r="E16">
            <v>288.98</v>
          </cell>
          <cell r="G16">
            <v>2.63</v>
          </cell>
        </row>
        <row r="17">
          <cell r="A17" t="str">
            <v>1002.02.02.03</v>
          </cell>
          <cell r="B17" t="str">
            <v>　　　　　　【旭智资本（香港）】盈透证券澳币账户 8206</v>
          </cell>
          <cell r="E17">
            <v>424.41</v>
          </cell>
          <cell r="G17">
            <v>1.25</v>
          </cell>
        </row>
        <row r="18">
          <cell r="A18" t="str">
            <v>1123</v>
          </cell>
          <cell r="B18" t="str">
            <v>预付账款</v>
          </cell>
          <cell r="E18">
            <v>748272.92</v>
          </cell>
          <cell r="G18">
            <v>102540.34</v>
          </cell>
          <cell r="H18">
            <v>147972.16</v>
          </cell>
        </row>
        <row r="19">
          <cell r="A19" t="str">
            <v>1123.01</v>
          </cell>
          <cell r="B19" t="str">
            <v>　　单位</v>
          </cell>
          <cell r="E19">
            <v>748272.92</v>
          </cell>
          <cell r="G19">
            <v>102540.34</v>
          </cell>
          <cell r="H19">
            <v>147972.16</v>
          </cell>
        </row>
        <row r="20">
          <cell r="A20" t="str">
            <v>1123.01</v>
          </cell>
          <cell r="B20" t="str">
            <v>　　单位</v>
          </cell>
          <cell r="C20" t="str">
            <v>SU003001</v>
          </cell>
          <cell r="D20" t="str">
            <v>Boardroom Corporate Services (HK) Limited</v>
          </cell>
          <cell r="E20">
            <v>2389.86</v>
          </cell>
          <cell r="H20">
            <v>1175.3399999999999</v>
          </cell>
        </row>
        <row r="21">
          <cell r="A21" t="str">
            <v>1123.01</v>
          </cell>
          <cell r="B21" t="str">
            <v>　　单位</v>
          </cell>
          <cell r="C21" t="str">
            <v>SU003003</v>
          </cell>
          <cell r="D21" t="str">
            <v>SUN HING INSURANCE BROKERS LTD.</v>
          </cell>
          <cell r="E21">
            <v>153511.96</v>
          </cell>
          <cell r="H21">
            <v>30865.98</v>
          </cell>
        </row>
        <row r="22">
          <cell r="A22" t="str">
            <v>1123.01</v>
          </cell>
          <cell r="B22" t="str">
            <v>　　单位</v>
          </cell>
          <cell r="C22" t="str">
            <v>SU003022</v>
          </cell>
          <cell r="D22" t="str">
            <v>Supreme Honour Development Limited</v>
          </cell>
          <cell r="E22">
            <v>541100.5</v>
          </cell>
          <cell r="G22">
            <v>100000</v>
          </cell>
          <cell r="H22">
            <v>105625</v>
          </cell>
        </row>
        <row r="23">
          <cell r="A23" t="str">
            <v>1123.01</v>
          </cell>
          <cell r="B23" t="str">
            <v>　　单位</v>
          </cell>
          <cell r="C23" t="str">
            <v>SU003024</v>
          </cell>
          <cell r="D23" t="str">
            <v>SiteGround Hosting Ltd</v>
          </cell>
          <cell r="G23">
            <v>2540.34</v>
          </cell>
        </row>
        <row r="24">
          <cell r="A24" t="str">
            <v>1123.01</v>
          </cell>
          <cell r="B24" t="str">
            <v>　　单位</v>
          </cell>
          <cell r="C24" t="str">
            <v>SU004004</v>
          </cell>
          <cell r="D24" t="str">
            <v>Fuji Xerox （Hong Kong) Limited</v>
          </cell>
          <cell r="E24">
            <v>4590</v>
          </cell>
        </row>
        <row r="25">
          <cell r="A25" t="str">
            <v>1123.01</v>
          </cell>
          <cell r="B25" t="str">
            <v>　　单位</v>
          </cell>
          <cell r="C25" t="str">
            <v>SU004006</v>
          </cell>
          <cell r="D25" t="str">
            <v>The HongKong Electric Co.,Ltd.</v>
          </cell>
          <cell r="E25">
            <v>17000</v>
          </cell>
        </row>
        <row r="26">
          <cell r="A26" t="str">
            <v>1123.01</v>
          </cell>
          <cell r="B26" t="str">
            <v>　　单位</v>
          </cell>
          <cell r="C26" t="str">
            <v>SU004010</v>
          </cell>
          <cell r="D26" t="str">
            <v>Noble Spirit Limited T/A Life Solutions</v>
          </cell>
          <cell r="E26">
            <v>4753.12</v>
          </cell>
          <cell r="H26">
            <v>359.17</v>
          </cell>
        </row>
        <row r="27">
          <cell r="A27" t="str">
            <v>1123.01</v>
          </cell>
          <cell r="B27" t="str">
            <v>　　单位</v>
          </cell>
          <cell r="C27" t="str">
            <v>SU004011</v>
          </cell>
          <cell r="D27" t="str">
            <v>Master Concept (Hong Kong) Limited</v>
          </cell>
          <cell r="E27">
            <v>24927.48</v>
          </cell>
          <cell r="H27">
            <v>9946.67</v>
          </cell>
        </row>
        <row r="28">
          <cell r="A28" t="str">
            <v>1123.01</v>
          </cell>
          <cell r="B28" t="str">
            <v>　　单位</v>
          </cell>
          <cell r="C28" t="str">
            <v>SU004013</v>
          </cell>
          <cell r="D28" t="str">
            <v>B&amp;T Engineering Limited</v>
          </cell>
        </row>
        <row r="29">
          <cell r="A29" t="str">
            <v>1132</v>
          </cell>
          <cell r="B29" t="str">
            <v>应收利息</v>
          </cell>
        </row>
        <row r="30">
          <cell r="A30" t="str">
            <v>1132</v>
          </cell>
          <cell r="B30" t="str">
            <v>应收利息</v>
          </cell>
          <cell r="C30" t="str">
            <v>OU004001</v>
          </cell>
          <cell r="D30" t="str">
            <v>香港上海汇丰银行有限公司</v>
          </cell>
        </row>
        <row r="31">
          <cell r="A31" t="str">
            <v>1221</v>
          </cell>
          <cell r="B31" t="str">
            <v>其他应收款</v>
          </cell>
          <cell r="E31">
            <v>59715349.189999998</v>
          </cell>
          <cell r="G31">
            <v>480494.8</v>
          </cell>
          <cell r="H31">
            <v>77735.5</v>
          </cell>
        </row>
        <row r="32">
          <cell r="A32" t="str">
            <v>1221.01</v>
          </cell>
          <cell r="B32" t="str">
            <v>　　单位</v>
          </cell>
          <cell r="E32">
            <v>59715349.189999998</v>
          </cell>
          <cell r="G32">
            <v>480494.8</v>
          </cell>
          <cell r="H32">
            <v>77735.5</v>
          </cell>
        </row>
        <row r="33">
          <cell r="A33" t="str">
            <v>1221.01</v>
          </cell>
          <cell r="B33" t="str">
            <v>　　单位</v>
          </cell>
          <cell r="C33" t="str">
            <v>CU003004</v>
          </cell>
          <cell r="D33" t="str">
            <v>广州旭智投资控股有限责任公司</v>
          </cell>
          <cell r="E33">
            <v>49458334.590000004</v>
          </cell>
          <cell r="G33">
            <v>104844.8</v>
          </cell>
        </row>
        <row r="34">
          <cell r="A34" t="str">
            <v>1221.01</v>
          </cell>
          <cell r="B34" t="str">
            <v>　　单位</v>
          </cell>
          <cell r="C34" t="str">
            <v>CU003006</v>
          </cell>
          <cell r="D34" t="str">
            <v>旭智咨询管理(深圳)有限责任公司</v>
          </cell>
          <cell r="E34">
            <v>8829.6</v>
          </cell>
        </row>
        <row r="35">
          <cell r="A35" t="str">
            <v>1221.01</v>
          </cell>
          <cell r="B35" t="str">
            <v>　　单位</v>
          </cell>
          <cell r="C35" t="str">
            <v>CU003010</v>
          </cell>
          <cell r="D35" t="str">
            <v>旭智富能新能源（深圳）有限责任公司</v>
          </cell>
        </row>
        <row r="36">
          <cell r="A36" t="str">
            <v>1221.01</v>
          </cell>
          <cell r="B36" t="str">
            <v>　　单位</v>
          </cell>
          <cell r="C36" t="str">
            <v>CU005009</v>
          </cell>
          <cell r="D36" t="str">
            <v>旭智资本有限公司</v>
          </cell>
          <cell r="E36">
            <v>10248185</v>
          </cell>
          <cell r="G36">
            <v>375650</v>
          </cell>
          <cell r="H36">
            <v>77735.5</v>
          </cell>
        </row>
        <row r="37">
          <cell r="A37" t="str">
            <v>1511</v>
          </cell>
          <cell r="B37" t="str">
            <v>长期股权投资</v>
          </cell>
          <cell r="E37">
            <v>5358013.7300000004</v>
          </cell>
        </row>
        <row r="38">
          <cell r="A38" t="str">
            <v>1511.01</v>
          </cell>
          <cell r="B38" t="str">
            <v>　　投资成本</v>
          </cell>
          <cell r="E38">
            <v>5358013.7300000004</v>
          </cell>
        </row>
        <row r="39">
          <cell r="A39" t="str">
            <v>1511.01.08</v>
          </cell>
          <cell r="B39" t="str">
            <v>　　　　深圳旭智私募股权基金管理有限公司</v>
          </cell>
          <cell r="E39">
            <v>5358013.7300000004</v>
          </cell>
        </row>
        <row r="40">
          <cell r="A40" t="str">
            <v>1641</v>
          </cell>
          <cell r="B40" t="str">
            <v>使用权资产</v>
          </cell>
          <cell r="E40">
            <v>7228737.71</v>
          </cell>
        </row>
        <row r="41">
          <cell r="A41" t="str">
            <v>1641.02</v>
          </cell>
          <cell r="B41" t="str">
            <v>　　办公地址</v>
          </cell>
          <cell r="E41">
            <v>7228737.71</v>
          </cell>
        </row>
        <row r="42">
          <cell r="A42" t="str">
            <v>1641.02.02</v>
          </cell>
          <cell r="B42" t="str">
            <v>　　　　旭智资本（香港）--冯氏大厦</v>
          </cell>
          <cell r="E42">
            <v>7228737.71</v>
          </cell>
        </row>
        <row r="43">
          <cell r="A43" t="str">
            <v>1642</v>
          </cell>
          <cell r="B43" t="str">
            <v>使用权资产累计折旧</v>
          </cell>
          <cell r="F43">
            <v>6181348.7199999997</v>
          </cell>
          <cell r="H43">
            <v>80668.460000000006</v>
          </cell>
        </row>
        <row r="44">
          <cell r="A44" t="str">
            <v>1642.02</v>
          </cell>
          <cell r="B44" t="str">
            <v>　　办公地址</v>
          </cell>
          <cell r="F44">
            <v>6181348.7199999997</v>
          </cell>
          <cell r="H44">
            <v>80668.460000000006</v>
          </cell>
        </row>
        <row r="45">
          <cell r="A45" t="str">
            <v>1642.02.02</v>
          </cell>
          <cell r="B45" t="str">
            <v>　　　　旭智资本（香港）--冯氏大厦</v>
          </cell>
          <cell r="F45">
            <v>6181348.7199999997</v>
          </cell>
          <cell r="H45">
            <v>80668.460000000006</v>
          </cell>
        </row>
        <row r="46">
          <cell r="A46" t="str">
            <v>2211</v>
          </cell>
          <cell r="B46" t="str">
            <v>应付职工薪酬</v>
          </cell>
          <cell r="F46">
            <v>123071.52</v>
          </cell>
          <cell r="G46">
            <v>44989.33</v>
          </cell>
          <cell r="H46">
            <v>31323.15</v>
          </cell>
        </row>
        <row r="47">
          <cell r="A47" t="str">
            <v>2211.02</v>
          </cell>
          <cell r="B47" t="str">
            <v>　　职工奖金</v>
          </cell>
        </row>
        <row r="48">
          <cell r="A48" t="str">
            <v>2211.11</v>
          </cell>
          <cell r="B48" t="str">
            <v>　　应付强制性公积金</v>
          </cell>
          <cell r="F48">
            <v>8498.3799999999992</v>
          </cell>
          <cell r="G48">
            <v>8498.3799999999992</v>
          </cell>
          <cell r="H48">
            <v>6800</v>
          </cell>
        </row>
        <row r="49">
          <cell r="A49" t="str">
            <v>2211.12</v>
          </cell>
          <cell r="B49" t="str">
            <v>　　应付长期服务金</v>
          </cell>
          <cell r="F49">
            <v>114573.14</v>
          </cell>
          <cell r="G49">
            <v>36490.949999999997</v>
          </cell>
          <cell r="H49">
            <v>24523.15</v>
          </cell>
        </row>
        <row r="50">
          <cell r="A50" t="str">
            <v>2211.13</v>
          </cell>
          <cell r="B50" t="str">
            <v>　　未使用假期负债</v>
          </cell>
        </row>
        <row r="51">
          <cell r="A51" t="str">
            <v>2241</v>
          </cell>
          <cell r="B51" t="str">
            <v>其他应付款</v>
          </cell>
          <cell r="F51">
            <v>257806.12</v>
          </cell>
          <cell r="G51">
            <v>11200</v>
          </cell>
          <cell r="H51">
            <v>32700</v>
          </cell>
        </row>
        <row r="52">
          <cell r="A52" t="str">
            <v>2241.01</v>
          </cell>
          <cell r="B52" t="str">
            <v>　　单位</v>
          </cell>
          <cell r="F52">
            <v>206331.36</v>
          </cell>
          <cell r="G52">
            <v>11200</v>
          </cell>
          <cell r="H52">
            <v>32700</v>
          </cell>
        </row>
        <row r="53">
          <cell r="A53" t="str">
            <v>2241.01</v>
          </cell>
          <cell r="B53" t="str">
            <v>　　单位</v>
          </cell>
          <cell r="C53" t="str">
            <v>SU003003</v>
          </cell>
          <cell r="D53" t="str">
            <v>SUN HING INSURANCE BROKERS LTD.</v>
          </cell>
          <cell r="E53">
            <v>490</v>
          </cell>
        </row>
        <row r="54">
          <cell r="A54" t="str">
            <v>2241.01</v>
          </cell>
          <cell r="B54" t="str">
            <v>　　单位</v>
          </cell>
          <cell r="C54" t="str">
            <v>SU003011</v>
          </cell>
          <cell r="D54" t="str">
            <v>Tricor Services Limited</v>
          </cell>
          <cell r="F54">
            <v>22890</v>
          </cell>
          <cell r="G54">
            <v>11200</v>
          </cell>
          <cell r="H54">
            <v>15200</v>
          </cell>
        </row>
        <row r="55">
          <cell r="A55" t="str">
            <v>2241.01</v>
          </cell>
          <cell r="B55" t="str">
            <v>　　单位</v>
          </cell>
          <cell r="C55" t="str">
            <v>SU004019</v>
          </cell>
          <cell r="D55" t="str">
            <v>PricewaterhouseCoopers Limited</v>
          </cell>
          <cell r="F55">
            <v>175000</v>
          </cell>
          <cell r="H55">
            <v>17500</v>
          </cell>
        </row>
        <row r="56">
          <cell r="A56" t="str">
            <v>2241.01</v>
          </cell>
          <cell r="B56" t="str">
            <v>　　单位</v>
          </cell>
          <cell r="C56" t="str">
            <v>SU004022</v>
          </cell>
          <cell r="D56" t="str">
            <v>WIZ ADVISORY PTY LTD</v>
          </cell>
          <cell r="F56">
            <v>8931.36</v>
          </cell>
        </row>
        <row r="57">
          <cell r="A57" t="str">
            <v>2241.02</v>
          </cell>
          <cell r="B57" t="str">
            <v>　　个人</v>
          </cell>
          <cell r="F57">
            <v>51474.76</v>
          </cell>
        </row>
        <row r="58">
          <cell r="A58" t="str">
            <v>2241.02</v>
          </cell>
          <cell r="B58" t="str">
            <v>　　个人</v>
          </cell>
          <cell r="C58" t="str">
            <v>SP003006</v>
          </cell>
          <cell r="D58" t="str">
            <v>甄伟杰</v>
          </cell>
          <cell r="F58">
            <v>51474.76</v>
          </cell>
        </row>
        <row r="59">
          <cell r="A59" t="str">
            <v>2241.02</v>
          </cell>
          <cell r="B59" t="str">
            <v>　　个人</v>
          </cell>
          <cell r="C59" t="str">
            <v>SP003007</v>
          </cell>
          <cell r="D59" t="str">
            <v>梁国希</v>
          </cell>
        </row>
        <row r="60">
          <cell r="A60" t="str">
            <v>2241.02</v>
          </cell>
          <cell r="B60" t="str">
            <v>　　个人</v>
          </cell>
          <cell r="C60" t="str">
            <v>SP003009</v>
          </cell>
          <cell r="D60" t="str">
            <v>李琦</v>
          </cell>
        </row>
        <row r="61">
          <cell r="A61" t="str">
            <v>2601</v>
          </cell>
          <cell r="B61" t="str">
            <v>租赁负债</v>
          </cell>
          <cell r="F61">
            <v>1077784.3899999999</v>
          </cell>
          <cell r="G61">
            <v>96306.29</v>
          </cell>
        </row>
        <row r="62">
          <cell r="A62" t="str">
            <v>2601.01</v>
          </cell>
          <cell r="B62" t="str">
            <v>　　租赁付款额</v>
          </cell>
          <cell r="F62">
            <v>1434860.9</v>
          </cell>
        </row>
        <row r="63">
          <cell r="A63" t="str">
            <v>2601.01.02</v>
          </cell>
          <cell r="B63" t="str">
            <v>　　　　办公地址</v>
          </cell>
          <cell r="F63">
            <v>1434860.9</v>
          </cell>
        </row>
        <row r="64">
          <cell r="A64" t="str">
            <v>2601.01.02.02</v>
          </cell>
          <cell r="B64" t="str">
            <v>　　　　　　旭智资本（香港）--冯氏大厦</v>
          </cell>
          <cell r="F64">
            <v>1434860.9</v>
          </cell>
        </row>
        <row r="65">
          <cell r="A65" t="str">
            <v>2601.02</v>
          </cell>
          <cell r="B65" t="str">
            <v>　　未确认融资费用</v>
          </cell>
          <cell r="E65">
            <v>357076.51</v>
          </cell>
          <cell r="G65">
            <v>96306.29</v>
          </cell>
        </row>
        <row r="66">
          <cell r="A66" t="str">
            <v>2601.02.02</v>
          </cell>
          <cell r="B66" t="str">
            <v>　　　　办公地址</v>
          </cell>
          <cell r="E66">
            <v>357076.51</v>
          </cell>
          <cell r="G66">
            <v>96306.29</v>
          </cell>
        </row>
        <row r="67">
          <cell r="A67" t="str">
            <v>2601.02.02.02</v>
          </cell>
          <cell r="B67" t="str">
            <v>　　　　　　旭智资本（香港）--冯氏大厦</v>
          </cell>
          <cell r="E67">
            <v>357076.51</v>
          </cell>
          <cell r="G67">
            <v>96306.29</v>
          </cell>
        </row>
        <row r="68">
          <cell r="A68" t="str">
            <v>2801</v>
          </cell>
          <cell r="B68" t="str">
            <v>预计负债</v>
          </cell>
          <cell r="F68">
            <v>245000</v>
          </cell>
        </row>
        <row r="69">
          <cell r="A69" t="str">
            <v>4001</v>
          </cell>
          <cell r="B69" t="str">
            <v>实收资本（股本）</v>
          </cell>
          <cell r="F69">
            <v>113887263</v>
          </cell>
        </row>
        <row r="70">
          <cell r="A70" t="str">
            <v>4001.50</v>
          </cell>
          <cell r="B70" t="str">
            <v>　　普通股</v>
          </cell>
          <cell r="F70">
            <v>113887263</v>
          </cell>
        </row>
        <row r="71">
          <cell r="A71" t="str">
            <v>4001.50.07</v>
          </cell>
          <cell r="B71" t="str">
            <v>　　　　旭智资本有限公司</v>
          </cell>
          <cell r="F71">
            <v>113887263</v>
          </cell>
        </row>
        <row r="72">
          <cell r="A72" t="str">
            <v>4103</v>
          </cell>
          <cell r="B72" t="str">
            <v>本年利润</v>
          </cell>
          <cell r="E72">
            <v>6028890.0300000003</v>
          </cell>
          <cell r="G72">
            <v>374281</v>
          </cell>
          <cell r="H72">
            <v>55650</v>
          </cell>
        </row>
        <row r="73">
          <cell r="A73" t="str">
            <v>4104</v>
          </cell>
          <cell r="B73" t="str">
            <v>利润分配</v>
          </cell>
          <cell r="E73">
            <v>39431857.289999999</v>
          </cell>
        </row>
        <row r="74">
          <cell r="A74" t="str">
            <v>4104.07</v>
          </cell>
          <cell r="B74" t="str">
            <v>　　未分配利润</v>
          </cell>
          <cell r="E74">
            <v>39431857.289999999</v>
          </cell>
        </row>
        <row r="75">
          <cell r="A75" t="str">
            <v>6001</v>
          </cell>
          <cell r="B75" t="str">
            <v>主营业务收入</v>
          </cell>
        </row>
        <row r="76">
          <cell r="A76" t="str">
            <v>6001.02</v>
          </cell>
          <cell r="B76" t="str">
            <v>　　咨询服务费收入</v>
          </cell>
        </row>
        <row r="77">
          <cell r="A77" t="str">
            <v>6001.02.02</v>
          </cell>
          <cell r="B77" t="str">
            <v>　　　　未开票</v>
          </cell>
        </row>
        <row r="78">
          <cell r="A78" t="str">
            <v>6001.02.02</v>
          </cell>
          <cell r="B78" t="str">
            <v>　　　　未开票</v>
          </cell>
          <cell r="C78" t="str">
            <v>CU003010</v>
          </cell>
          <cell r="D78" t="str">
            <v>旭智富能新能源（深圳）有限责任公司</v>
          </cell>
        </row>
        <row r="79">
          <cell r="A79" t="str">
            <v>6115</v>
          </cell>
          <cell r="B79" t="str">
            <v>其他收益</v>
          </cell>
          <cell r="G79">
            <v>55650</v>
          </cell>
          <cell r="H79">
            <v>55650</v>
          </cell>
        </row>
        <row r="80">
          <cell r="A80" t="str">
            <v>6115.03</v>
          </cell>
          <cell r="B80" t="str">
            <v>　　公司间往来</v>
          </cell>
          <cell r="G80">
            <v>55650</v>
          </cell>
          <cell r="H80">
            <v>55650</v>
          </cell>
        </row>
        <row r="81">
          <cell r="A81" t="str">
            <v>6602</v>
          </cell>
          <cell r="B81" t="str">
            <v>管理费用</v>
          </cell>
          <cell r="G81">
            <v>475580</v>
          </cell>
          <cell r="H81">
            <v>475580</v>
          </cell>
        </row>
        <row r="82">
          <cell r="A82" t="str">
            <v>6602.01</v>
          </cell>
          <cell r="B82" t="str">
            <v>　　工资薪金</v>
          </cell>
          <cell r="G82">
            <v>273767.7</v>
          </cell>
          <cell r="H82">
            <v>273767.7</v>
          </cell>
        </row>
        <row r="83">
          <cell r="A83" t="str">
            <v>6602.01.01</v>
          </cell>
          <cell r="B83" t="str">
            <v>　　　　基本工资（专业）</v>
          </cell>
          <cell r="G83">
            <v>200000</v>
          </cell>
          <cell r="H83">
            <v>200000</v>
          </cell>
        </row>
        <row r="84">
          <cell r="A84" t="str">
            <v>6602.01.05</v>
          </cell>
          <cell r="B84" t="str">
            <v>　　　　员工假期</v>
          </cell>
        </row>
        <row r="85">
          <cell r="A85" t="str">
            <v>6602.01.07</v>
          </cell>
          <cell r="B85" t="str">
            <v>　　　　集团内分摊</v>
          </cell>
          <cell r="G85">
            <v>77735.5</v>
          </cell>
          <cell r="H85">
            <v>77735.5</v>
          </cell>
        </row>
        <row r="86">
          <cell r="A86" t="str">
            <v>6602.01.08</v>
          </cell>
          <cell r="B86" t="str">
            <v>　　　　基本工资（管理）</v>
          </cell>
          <cell r="G86">
            <v>8000</v>
          </cell>
          <cell r="H86">
            <v>8000</v>
          </cell>
        </row>
        <row r="87">
          <cell r="A87" t="str">
            <v>6602.01.10</v>
          </cell>
          <cell r="B87" t="str">
            <v>　　　　长期服务金</v>
          </cell>
          <cell r="G87">
            <v>-11967.8</v>
          </cell>
          <cell r="H87">
            <v>-11967.8</v>
          </cell>
        </row>
        <row r="88">
          <cell r="A88" t="str">
            <v>6602.02</v>
          </cell>
          <cell r="B88" t="str">
            <v>　　职工福利</v>
          </cell>
          <cell r="G88">
            <v>1630</v>
          </cell>
          <cell r="H88">
            <v>1630</v>
          </cell>
        </row>
        <row r="89">
          <cell r="A89" t="str">
            <v>6602.02.02</v>
          </cell>
          <cell r="B89" t="str">
            <v>　　　　团建活动</v>
          </cell>
          <cell r="G89">
            <v>1630</v>
          </cell>
          <cell r="H89">
            <v>1630</v>
          </cell>
        </row>
        <row r="90">
          <cell r="A90" t="str">
            <v>6602.03</v>
          </cell>
          <cell r="B90" t="str">
            <v>　　社保公积金</v>
          </cell>
          <cell r="G90">
            <v>29462.42</v>
          </cell>
          <cell r="H90">
            <v>29462.42</v>
          </cell>
        </row>
        <row r="91">
          <cell r="A91" t="str">
            <v>6602.03.01</v>
          </cell>
          <cell r="B91" t="str">
            <v>　　　　员工社保福利</v>
          </cell>
          <cell r="G91">
            <v>26062.42</v>
          </cell>
          <cell r="H91">
            <v>26062.42</v>
          </cell>
        </row>
        <row r="92">
          <cell r="A92" t="str">
            <v>6602.03.03</v>
          </cell>
          <cell r="B92" t="str">
            <v>　　　　员工强制性公积金福利</v>
          </cell>
          <cell r="G92">
            <v>3400</v>
          </cell>
          <cell r="H92">
            <v>3400</v>
          </cell>
        </row>
        <row r="93">
          <cell r="A93" t="str">
            <v>6602.04</v>
          </cell>
          <cell r="B93" t="str">
            <v>　　咨询及专业服务费</v>
          </cell>
          <cell r="G93">
            <v>48100</v>
          </cell>
          <cell r="H93">
            <v>48100</v>
          </cell>
        </row>
        <row r="94">
          <cell r="A94" t="str">
            <v>6602.04.01</v>
          </cell>
          <cell r="B94" t="str">
            <v>　　　　会计服务费</v>
          </cell>
          <cell r="G94">
            <v>8500</v>
          </cell>
          <cell r="H94">
            <v>8500</v>
          </cell>
        </row>
        <row r="95">
          <cell r="A95" t="str">
            <v>6602.04.02</v>
          </cell>
          <cell r="B95" t="str">
            <v>　　　　审计服务费</v>
          </cell>
          <cell r="G95">
            <v>17500</v>
          </cell>
          <cell r="H95">
            <v>17500</v>
          </cell>
        </row>
        <row r="96">
          <cell r="A96" t="str">
            <v>6602.04.03</v>
          </cell>
          <cell r="B96" t="str">
            <v>　　　　顾问费</v>
          </cell>
        </row>
        <row r="97">
          <cell r="A97" t="str">
            <v>6602.04.03</v>
          </cell>
          <cell r="B97" t="str">
            <v>　　　　顾问费</v>
          </cell>
          <cell r="C97" t="str">
            <v>CI008</v>
          </cell>
          <cell r="D97" t="str">
            <v>旭智资本（香港）</v>
          </cell>
        </row>
        <row r="98">
          <cell r="A98" t="str">
            <v>6602.04.06</v>
          </cell>
          <cell r="B98" t="str">
            <v>　　　　法律服务费</v>
          </cell>
        </row>
        <row r="99">
          <cell r="A99" t="str">
            <v>6602.04.06</v>
          </cell>
          <cell r="B99" t="str">
            <v>　　　　法律服务费</v>
          </cell>
          <cell r="C99" t="str">
            <v>CI008</v>
          </cell>
          <cell r="D99" t="str">
            <v>旭智资本（香港）</v>
          </cell>
        </row>
        <row r="100">
          <cell r="A100" t="str">
            <v>6602.04.07</v>
          </cell>
          <cell r="B100" t="str">
            <v>　　　　人力资源服务费</v>
          </cell>
          <cell r="G100">
            <v>6500</v>
          </cell>
          <cell r="H100">
            <v>6500</v>
          </cell>
        </row>
        <row r="101">
          <cell r="A101" t="str">
            <v>6602.04.12</v>
          </cell>
          <cell r="B101" t="str">
            <v>　　　　合规支持服务</v>
          </cell>
          <cell r="G101">
            <v>15600</v>
          </cell>
          <cell r="H101">
            <v>15600</v>
          </cell>
        </row>
        <row r="102">
          <cell r="A102" t="str">
            <v>6602.04.12</v>
          </cell>
          <cell r="B102" t="str">
            <v>　　　　合规支持服务</v>
          </cell>
          <cell r="C102" t="str">
            <v>CI008</v>
          </cell>
          <cell r="D102" t="str">
            <v>旭智资本（香港）</v>
          </cell>
          <cell r="G102">
            <v>15600</v>
          </cell>
          <cell r="H102">
            <v>15600</v>
          </cell>
        </row>
        <row r="103">
          <cell r="A103" t="str">
            <v>6602.05</v>
          </cell>
          <cell r="B103" t="str">
            <v>　　占用费</v>
          </cell>
          <cell r="G103">
            <v>25050.17</v>
          </cell>
          <cell r="H103">
            <v>25050.17</v>
          </cell>
        </row>
        <row r="104">
          <cell r="A104" t="str">
            <v>6602.05.02</v>
          </cell>
          <cell r="B104" t="str">
            <v>　　　　管理费</v>
          </cell>
          <cell r="G104">
            <v>23946</v>
          </cell>
          <cell r="H104">
            <v>23946</v>
          </cell>
        </row>
        <row r="105">
          <cell r="A105" t="str">
            <v>6602.05.03</v>
          </cell>
          <cell r="B105" t="str">
            <v>　　　　电费</v>
          </cell>
          <cell r="G105">
            <v>745</v>
          </cell>
          <cell r="H105">
            <v>745</v>
          </cell>
        </row>
        <row r="106">
          <cell r="A106" t="str">
            <v>6602.05.05</v>
          </cell>
          <cell r="B106" t="str">
            <v>　　　　维修费</v>
          </cell>
          <cell r="G106">
            <v>359.17</v>
          </cell>
          <cell r="H106">
            <v>359.17</v>
          </cell>
        </row>
        <row r="107">
          <cell r="A107" t="str">
            <v>6602.06</v>
          </cell>
          <cell r="B107" t="str">
            <v>　　业务招待费</v>
          </cell>
        </row>
        <row r="108">
          <cell r="A108" t="str">
            <v>6602.06</v>
          </cell>
          <cell r="B108" t="str">
            <v>　　业务招待费</v>
          </cell>
          <cell r="C108" t="str">
            <v>CI008</v>
          </cell>
          <cell r="D108" t="str">
            <v>旭智资本（香港）</v>
          </cell>
        </row>
        <row r="109">
          <cell r="A109" t="str">
            <v>6602.08</v>
          </cell>
          <cell r="B109" t="str">
            <v>　　事务费用</v>
          </cell>
          <cell r="G109">
            <v>15525.91</v>
          </cell>
          <cell r="H109">
            <v>15525.91</v>
          </cell>
        </row>
        <row r="110">
          <cell r="A110" t="str">
            <v>6602.08.01</v>
          </cell>
          <cell r="B110" t="str">
            <v>　　　　通信费</v>
          </cell>
          <cell r="G110">
            <v>330</v>
          </cell>
          <cell r="H110">
            <v>330</v>
          </cell>
        </row>
        <row r="111">
          <cell r="A111" t="str">
            <v>6602.08.01</v>
          </cell>
          <cell r="B111" t="str">
            <v>　　　　通信费</v>
          </cell>
          <cell r="C111" t="str">
            <v>CI008</v>
          </cell>
          <cell r="D111" t="str">
            <v>旭智资本（香港）</v>
          </cell>
          <cell r="G111">
            <v>330</v>
          </cell>
          <cell r="H111">
            <v>330</v>
          </cell>
        </row>
        <row r="112">
          <cell r="A112" t="str">
            <v>6602.08.03</v>
          </cell>
          <cell r="B112" t="str">
            <v>　　　　办公用品</v>
          </cell>
          <cell r="G112">
            <v>133.02000000000001</v>
          </cell>
          <cell r="H112">
            <v>133.02000000000001</v>
          </cell>
        </row>
        <row r="113">
          <cell r="A113" t="str">
            <v>6602.08.03</v>
          </cell>
          <cell r="B113" t="str">
            <v>　　　　办公用品</v>
          </cell>
          <cell r="C113" t="str">
            <v>CI008</v>
          </cell>
          <cell r="D113" t="str">
            <v>旭智资本（香港）</v>
          </cell>
          <cell r="G113">
            <v>133.02000000000001</v>
          </cell>
          <cell r="H113">
            <v>133.02000000000001</v>
          </cell>
        </row>
        <row r="114">
          <cell r="A114" t="str">
            <v>6602.08.04</v>
          </cell>
          <cell r="B114" t="str">
            <v>　　　　事务保金</v>
          </cell>
          <cell r="G114">
            <v>4803.5600000000004</v>
          </cell>
          <cell r="H114">
            <v>4803.5600000000004</v>
          </cell>
        </row>
        <row r="115">
          <cell r="A115" t="str">
            <v>6602.08.04</v>
          </cell>
          <cell r="B115" t="str">
            <v>　　　　事务保金</v>
          </cell>
          <cell r="C115" t="str">
            <v>CI008</v>
          </cell>
          <cell r="D115" t="str">
            <v>旭智资本（香港）</v>
          </cell>
          <cell r="G115">
            <v>4803.5600000000004</v>
          </cell>
          <cell r="H115">
            <v>4803.5600000000004</v>
          </cell>
        </row>
        <row r="116">
          <cell r="A116" t="str">
            <v>6602.08.05</v>
          </cell>
          <cell r="B116" t="str">
            <v>　　　　邮费/邮递费</v>
          </cell>
        </row>
        <row r="117">
          <cell r="A117" t="str">
            <v>6602.08.05</v>
          </cell>
          <cell r="B117" t="str">
            <v>　　　　邮费/邮递费</v>
          </cell>
          <cell r="C117" t="str">
            <v>CI008</v>
          </cell>
          <cell r="D117" t="str">
            <v>旭智资本（香港）</v>
          </cell>
        </row>
        <row r="118">
          <cell r="A118" t="str">
            <v>6602.08.06</v>
          </cell>
          <cell r="B118" t="str">
            <v>　　　　IT专业人士及微软服务</v>
          </cell>
          <cell r="G118">
            <v>7397.26</v>
          </cell>
          <cell r="H118">
            <v>7397.26</v>
          </cell>
        </row>
        <row r="119">
          <cell r="A119" t="str">
            <v>6602.08.06</v>
          </cell>
          <cell r="B119" t="str">
            <v>　　　　IT专业人士及微软服务</v>
          </cell>
          <cell r="C119" t="str">
            <v>CI008</v>
          </cell>
          <cell r="D119" t="str">
            <v>旭智资本（香港）</v>
          </cell>
          <cell r="G119">
            <v>7397.26</v>
          </cell>
          <cell r="H119">
            <v>7397.26</v>
          </cell>
        </row>
        <row r="120">
          <cell r="A120" t="str">
            <v>6602.08.07</v>
          </cell>
          <cell r="B120" t="str">
            <v>　　　　软件许可证费用</v>
          </cell>
          <cell r="G120">
            <v>2862.07</v>
          </cell>
          <cell r="H120">
            <v>2862.07</v>
          </cell>
        </row>
        <row r="121">
          <cell r="A121" t="str">
            <v>6602.08.07</v>
          </cell>
          <cell r="B121" t="str">
            <v>　　　　软件许可证费用</v>
          </cell>
          <cell r="C121" t="str">
            <v>CI008</v>
          </cell>
          <cell r="D121" t="str">
            <v>旭智资本（香港）</v>
          </cell>
          <cell r="G121">
            <v>2862.07</v>
          </cell>
          <cell r="H121">
            <v>2862.07</v>
          </cell>
        </row>
        <row r="122">
          <cell r="A122" t="str">
            <v>6602.08.10</v>
          </cell>
          <cell r="B122" t="str">
            <v>　　　　电话国际直拨/电话会议收费</v>
          </cell>
        </row>
        <row r="123">
          <cell r="A123" t="str">
            <v>6602.08.10</v>
          </cell>
          <cell r="B123" t="str">
            <v>　　　　电话国际直拨/电话会议收费</v>
          </cell>
          <cell r="C123" t="str">
            <v>CI008</v>
          </cell>
          <cell r="D123" t="str">
            <v>旭智资本（香港）</v>
          </cell>
        </row>
        <row r="124">
          <cell r="A124" t="str">
            <v>6602.09</v>
          </cell>
          <cell r="B124" t="str">
            <v>　　差旅费</v>
          </cell>
        </row>
        <row r="125">
          <cell r="A125" t="str">
            <v>6602.09.01</v>
          </cell>
          <cell r="B125" t="str">
            <v>　　　　住宿费</v>
          </cell>
        </row>
        <row r="126">
          <cell r="A126" t="str">
            <v>6602.09.01</v>
          </cell>
          <cell r="B126" t="str">
            <v>　　　　住宿费</v>
          </cell>
          <cell r="C126" t="str">
            <v>CI008</v>
          </cell>
          <cell r="D126" t="str">
            <v>旭智资本（香港）</v>
          </cell>
        </row>
        <row r="127">
          <cell r="A127" t="str">
            <v>6602.09.04</v>
          </cell>
          <cell r="B127" t="str">
            <v>　　　　空中交通费</v>
          </cell>
        </row>
        <row r="128">
          <cell r="A128" t="str">
            <v>6602.09.04</v>
          </cell>
          <cell r="B128" t="str">
            <v>　　　　空中交通费</v>
          </cell>
          <cell r="C128" t="str">
            <v>CI008</v>
          </cell>
          <cell r="D128" t="str">
            <v>旭智资本（香港）</v>
          </cell>
        </row>
        <row r="129">
          <cell r="A129" t="str">
            <v>6602.09.99</v>
          </cell>
          <cell r="B129" t="str">
            <v>　　　　其他</v>
          </cell>
        </row>
        <row r="130">
          <cell r="A130" t="str">
            <v>6602.09.99</v>
          </cell>
          <cell r="B130" t="str">
            <v>　　　　其他</v>
          </cell>
          <cell r="C130" t="str">
            <v>CI008</v>
          </cell>
          <cell r="D130" t="str">
            <v>旭智资本（香港）</v>
          </cell>
        </row>
        <row r="131">
          <cell r="A131" t="str">
            <v>6602.12</v>
          </cell>
          <cell r="B131" t="str">
            <v>　　使用权资产折旧</v>
          </cell>
          <cell r="G131">
            <v>80668.460000000006</v>
          </cell>
          <cell r="H131">
            <v>80668.460000000006</v>
          </cell>
        </row>
        <row r="132">
          <cell r="A132" t="str">
            <v>6602.12.02</v>
          </cell>
          <cell r="B132" t="str">
            <v>　　　　办公地址</v>
          </cell>
          <cell r="G132">
            <v>80668.460000000006</v>
          </cell>
          <cell r="H132">
            <v>80668.460000000006</v>
          </cell>
        </row>
        <row r="133">
          <cell r="A133" t="str">
            <v>6602.12.02.02</v>
          </cell>
          <cell r="B133" t="str">
            <v>　　　　　　旭智资本（香港）--冯氏大厦</v>
          </cell>
          <cell r="G133">
            <v>80668.460000000006</v>
          </cell>
          <cell r="H133">
            <v>80668.460000000006</v>
          </cell>
        </row>
        <row r="134">
          <cell r="A134" t="str">
            <v>6602.20</v>
          </cell>
          <cell r="B134" t="str">
            <v>　　职工教育经费</v>
          </cell>
        </row>
        <row r="135">
          <cell r="A135" t="str">
            <v>6602.21</v>
          </cell>
          <cell r="B135" t="str">
            <v>　　公司秘书费</v>
          </cell>
          <cell r="G135">
            <v>1175.3399999999999</v>
          </cell>
          <cell r="H135">
            <v>1175.3399999999999</v>
          </cell>
        </row>
        <row r="136">
          <cell r="A136" t="str">
            <v>6602.24</v>
          </cell>
          <cell r="B136" t="str">
            <v>　　监管费用</v>
          </cell>
        </row>
        <row r="137">
          <cell r="A137" t="str">
            <v>6602.99</v>
          </cell>
          <cell r="B137" t="str">
            <v>　　其他</v>
          </cell>
          <cell r="G137">
            <v>200</v>
          </cell>
          <cell r="H137">
            <v>200</v>
          </cell>
        </row>
        <row r="138">
          <cell r="A138" t="str">
            <v>6603</v>
          </cell>
          <cell r="B138" t="str">
            <v>财务费用</v>
          </cell>
          <cell r="G138">
            <v>-101299</v>
          </cell>
          <cell r="H138">
            <v>-101299</v>
          </cell>
        </row>
        <row r="139">
          <cell r="A139" t="str">
            <v>6603.01</v>
          </cell>
          <cell r="B139" t="str">
            <v>　　汇兑损益</v>
          </cell>
          <cell r="G139">
            <v>-104988.9</v>
          </cell>
          <cell r="H139">
            <v>-104988.9</v>
          </cell>
        </row>
        <row r="140">
          <cell r="A140" t="str">
            <v>6603.02</v>
          </cell>
          <cell r="B140" t="str">
            <v>　　利息费用</v>
          </cell>
          <cell r="G140">
            <v>3693.71</v>
          </cell>
          <cell r="H140">
            <v>3693.71</v>
          </cell>
        </row>
        <row r="141">
          <cell r="A141" t="str">
            <v>6603.02.02</v>
          </cell>
          <cell r="B141" t="str">
            <v>　　　　办公地址</v>
          </cell>
          <cell r="G141">
            <v>3693.71</v>
          </cell>
          <cell r="H141">
            <v>3693.71</v>
          </cell>
        </row>
        <row r="142">
          <cell r="A142" t="str">
            <v>6603.02.02.02</v>
          </cell>
          <cell r="B142" t="str">
            <v>　　　　　　旭智资本（香港）--冯氏大厦</v>
          </cell>
          <cell r="G142">
            <v>3693.71</v>
          </cell>
          <cell r="H142">
            <v>3693.71</v>
          </cell>
        </row>
        <row r="143">
          <cell r="A143" t="str">
            <v>6603.03</v>
          </cell>
          <cell r="B143" t="str">
            <v>　　银行手续费</v>
          </cell>
          <cell r="G143">
            <v>9.9</v>
          </cell>
          <cell r="H143">
            <v>9.9</v>
          </cell>
        </row>
        <row r="144">
          <cell r="A144" t="str">
            <v>6603.04</v>
          </cell>
          <cell r="B144" t="str">
            <v>　　利息收入</v>
          </cell>
          <cell r="G144">
            <v>-13.71</v>
          </cell>
          <cell r="H144">
            <v>-13.71</v>
          </cell>
        </row>
        <row r="145">
          <cell r="B145" t="str">
            <v>合计</v>
          </cell>
          <cell r="E145">
            <v>122129840.26000001</v>
          </cell>
          <cell r="F145">
            <v>122129840.26000001</v>
          </cell>
          <cell r="G145">
            <v>1539900.57</v>
          </cell>
          <cell r="H145">
            <v>1539900.57</v>
          </cell>
        </row>
      </sheetData>
      <sheetData sheetId="11">
        <row r="1">
          <cell r="A1" t="str">
            <v>币别:香港元</v>
          </cell>
          <cell r="B1" t="str">
            <v>账簿:旭智资本（香港）有限公司</v>
          </cell>
          <cell r="C1" t="str">
            <v>期间:2025.12 -- 2025.12</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2577390.39</v>
          </cell>
          <cell r="G4">
            <v>803687.2</v>
          </cell>
          <cell r="H4">
            <v>519855.38</v>
          </cell>
        </row>
        <row r="5">
          <cell r="A5" t="str">
            <v>1002.02</v>
          </cell>
          <cell r="B5" t="str">
            <v>　　【旭智资本（香港）】银行存款账户</v>
          </cell>
          <cell r="E5">
            <v>2577390.39</v>
          </cell>
          <cell r="G5">
            <v>803687.2</v>
          </cell>
          <cell r="H5">
            <v>519855.38</v>
          </cell>
        </row>
        <row r="6">
          <cell r="A6" t="str">
            <v>1002.02.01</v>
          </cell>
          <cell r="B6" t="str">
            <v>　　　　汇丰银行-741-269492-838</v>
          </cell>
          <cell r="E6">
            <v>2576673.0499999998</v>
          </cell>
          <cell r="G6">
            <v>803675.56</v>
          </cell>
          <cell r="H6">
            <v>519855.38</v>
          </cell>
        </row>
        <row r="7">
          <cell r="A7" t="str">
            <v>1002.02.01.01</v>
          </cell>
          <cell r="B7" t="str">
            <v>　　　　　　【旭智资本（香港）】汇丰港元储蓄账户 2838</v>
          </cell>
          <cell r="E7">
            <v>2447401.5</v>
          </cell>
          <cell r="G7">
            <v>800003.71</v>
          </cell>
          <cell r="H7">
            <v>519855.38</v>
          </cell>
        </row>
        <row r="8">
          <cell r="A8" t="str">
            <v>1002.02.01.02</v>
          </cell>
          <cell r="B8" t="str">
            <v>　　　　　　【旭智资本（香港）】汇丰港元活期账户 2838</v>
          </cell>
        </row>
        <row r="9">
          <cell r="A9" t="str">
            <v>1002.02.01.03</v>
          </cell>
          <cell r="B9" t="str">
            <v>　　　　　　【旭智资本（香港）】汇丰外币储蓄 - 人民币 2838</v>
          </cell>
          <cell r="E9">
            <v>133.22999999999999</v>
          </cell>
          <cell r="G9">
            <v>781.96</v>
          </cell>
        </row>
        <row r="10">
          <cell r="A10" t="str">
            <v>1002.02.01.04</v>
          </cell>
          <cell r="B10" t="str">
            <v>　　　　　　【旭智资本（香港）】汇丰外币储蓄账户 - 美元 2838</v>
          </cell>
          <cell r="G10">
            <v>0.47</v>
          </cell>
        </row>
        <row r="11">
          <cell r="A11" t="str">
            <v>1002.02.01.06</v>
          </cell>
          <cell r="B11" t="str">
            <v>　　　　　　【旭智资本（香港）】汇丰外币储蓄账户 - 澳币 2838</v>
          </cell>
          <cell r="E11">
            <v>129138.32</v>
          </cell>
          <cell r="G11">
            <v>2889.42</v>
          </cell>
        </row>
        <row r="12">
          <cell r="A12" t="str">
            <v>1002.02.01.07</v>
          </cell>
          <cell r="B12" t="str">
            <v>　　　　　　【旭智资本（香港）】汇丰人民币定期存款</v>
          </cell>
        </row>
        <row r="13">
          <cell r="A13" t="str">
            <v>1002.02.01.08</v>
          </cell>
          <cell r="B13" t="str">
            <v>　　　　　　【旭智资本（香港）】汇丰全球货币基金</v>
          </cell>
        </row>
        <row r="14">
          <cell r="A14" t="str">
            <v>1002.02.02</v>
          </cell>
          <cell r="B14" t="str">
            <v>　　　　盈透证券-U13828206</v>
          </cell>
          <cell r="E14">
            <v>717.34</v>
          </cell>
          <cell r="G14">
            <v>11.64</v>
          </cell>
        </row>
        <row r="15">
          <cell r="A15" t="str">
            <v>1002.02.02.01</v>
          </cell>
          <cell r="B15" t="str">
            <v>　　　　　　【旭智资本（香港）】盈透证券港元账户 8206</v>
          </cell>
          <cell r="E15">
            <v>7.0000000000000007E-2</v>
          </cell>
        </row>
        <row r="16">
          <cell r="A16" t="str">
            <v>1002.02.02.02</v>
          </cell>
          <cell r="B16" t="str">
            <v>　　　　　　【旭智资本（香港）】盈透证券人民币账户 8206</v>
          </cell>
          <cell r="E16">
            <v>291.61</v>
          </cell>
          <cell r="G16">
            <v>3.89</v>
          </cell>
        </row>
        <row r="17">
          <cell r="A17" t="str">
            <v>1002.02.02.03</v>
          </cell>
          <cell r="B17" t="str">
            <v>　　　　　　【旭智资本（香港）】盈透证券澳币账户 8206</v>
          </cell>
          <cell r="E17">
            <v>425.66</v>
          </cell>
          <cell r="G17">
            <v>7.75</v>
          </cell>
        </row>
        <row r="18">
          <cell r="A18" t="str">
            <v>1123</v>
          </cell>
          <cell r="B18" t="str">
            <v>预付账款</v>
          </cell>
          <cell r="E18">
            <v>702841.1</v>
          </cell>
          <cell r="G18">
            <v>103918.64</v>
          </cell>
          <cell r="H18">
            <v>149813.54</v>
          </cell>
        </row>
        <row r="19">
          <cell r="A19" t="str">
            <v>1123.01</v>
          </cell>
          <cell r="B19" t="str">
            <v>　　单位</v>
          </cell>
          <cell r="E19">
            <v>702841.1</v>
          </cell>
          <cell r="G19">
            <v>103918.64</v>
          </cell>
          <cell r="H19">
            <v>149813.54</v>
          </cell>
        </row>
        <row r="20">
          <cell r="A20" t="str">
            <v>1123.01</v>
          </cell>
          <cell r="B20" t="str">
            <v>　　单位</v>
          </cell>
          <cell r="C20" t="str">
            <v>SU003001</v>
          </cell>
          <cell r="D20" t="str">
            <v>Boardroom Corporate Services (HK) Limited</v>
          </cell>
          <cell r="E20">
            <v>1214.52</v>
          </cell>
          <cell r="H20">
            <v>1214.52</v>
          </cell>
        </row>
        <row r="21">
          <cell r="A21" t="str">
            <v>1123.01</v>
          </cell>
          <cell r="B21" t="str">
            <v>　　单位</v>
          </cell>
          <cell r="C21" t="str">
            <v>SU003003</v>
          </cell>
          <cell r="D21" t="str">
            <v>SUN HING INSURANCE BROKERS LTD.</v>
          </cell>
          <cell r="E21">
            <v>122645.98</v>
          </cell>
          <cell r="H21">
            <v>31894.84</v>
          </cell>
        </row>
        <row r="22">
          <cell r="A22" t="str">
            <v>1123.01</v>
          </cell>
          <cell r="B22" t="str">
            <v>　　单位</v>
          </cell>
          <cell r="C22" t="str">
            <v>SU003022</v>
          </cell>
          <cell r="D22" t="str">
            <v>Supreme Honour Development Limited</v>
          </cell>
          <cell r="E22">
            <v>535475.5</v>
          </cell>
          <cell r="G22">
            <v>100000</v>
          </cell>
          <cell r="H22">
            <v>105812.5</v>
          </cell>
        </row>
        <row r="23">
          <cell r="A23" t="str">
            <v>1123.01</v>
          </cell>
          <cell r="B23" t="str">
            <v>　　单位</v>
          </cell>
          <cell r="C23" t="str">
            <v>SU003024</v>
          </cell>
          <cell r="D23" t="str">
            <v>SiteGround Hosting Ltd</v>
          </cell>
          <cell r="E23">
            <v>2540.34</v>
          </cell>
          <cell r="H23">
            <v>242.31</v>
          </cell>
        </row>
        <row r="24">
          <cell r="A24" t="str">
            <v>1123.01</v>
          </cell>
          <cell r="B24" t="str">
            <v>　　单位</v>
          </cell>
          <cell r="C24" t="str">
            <v>SU004004</v>
          </cell>
          <cell r="D24" t="str">
            <v>Fuji Xerox （Hong Kong) Limited</v>
          </cell>
          <cell r="E24">
            <v>4590</v>
          </cell>
        </row>
        <row r="25">
          <cell r="A25" t="str">
            <v>1123.01</v>
          </cell>
          <cell r="B25" t="str">
            <v>　　单位</v>
          </cell>
          <cell r="C25" t="str">
            <v>SU004006</v>
          </cell>
          <cell r="D25" t="str">
            <v>The HongKong Electric Co.,Ltd.</v>
          </cell>
          <cell r="E25">
            <v>17000</v>
          </cell>
        </row>
        <row r="26">
          <cell r="A26" t="str">
            <v>1123.01</v>
          </cell>
          <cell r="B26" t="str">
            <v>　　单位</v>
          </cell>
          <cell r="C26" t="str">
            <v>SU004010</v>
          </cell>
          <cell r="D26" t="str">
            <v>Noble Spirit Limited T/A Life Solutions</v>
          </cell>
          <cell r="E26">
            <v>4393.95</v>
          </cell>
          <cell r="H26">
            <v>371.16</v>
          </cell>
        </row>
        <row r="27">
          <cell r="A27" t="str">
            <v>1123.01</v>
          </cell>
          <cell r="B27" t="str">
            <v>　　单位</v>
          </cell>
          <cell r="C27" t="str">
            <v>SU004011</v>
          </cell>
          <cell r="D27" t="str">
            <v>Master Concept (Hong Kong) Limited</v>
          </cell>
          <cell r="E27">
            <v>14980.81</v>
          </cell>
          <cell r="G27">
            <v>3918.64</v>
          </cell>
          <cell r="H27">
            <v>10278.209999999999</v>
          </cell>
        </row>
        <row r="28">
          <cell r="A28" t="str">
            <v>1123.01</v>
          </cell>
          <cell r="B28" t="str">
            <v>　　单位</v>
          </cell>
          <cell r="C28" t="str">
            <v>SU004013</v>
          </cell>
          <cell r="D28" t="str">
            <v>B&amp;T Engineering Limited</v>
          </cell>
        </row>
        <row r="29">
          <cell r="A29" t="str">
            <v>1132</v>
          </cell>
          <cell r="B29" t="str">
            <v>应收利息</v>
          </cell>
        </row>
        <row r="30">
          <cell r="A30" t="str">
            <v>1132</v>
          </cell>
          <cell r="B30" t="str">
            <v>应收利息</v>
          </cell>
          <cell r="C30" t="str">
            <v>OU004001</v>
          </cell>
          <cell r="D30" t="str">
            <v>香港上海汇丰银行有限公司</v>
          </cell>
        </row>
        <row r="31">
          <cell r="A31" t="str">
            <v>1221</v>
          </cell>
          <cell r="B31" t="str">
            <v>其他应收款</v>
          </cell>
          <cell r="E31">
            <v>60118108.490000002</v>
          </cell>
          <cell r="G31">
            <v>135650</v>
          </cell>
          <cell r="H31">
            <v>903633.3</v>
          </cell>
        </row>
        <row r="32">
          <cell r="A32" t="str">
            <v>1221.01</v>
          </cell>
          <cell r="B32" t="str">
            <v>　　单位</v>
          </cell>
          <cell r="E32">
            <v>60118108.490000002</v>
          </cell>
          <cell r="G32">
            <v>135650</v>
          </cell>
          <cell r="H32">
            <v>903633.3</v>
          </cell>
        </row>
        <row r="33">
          <cell r="A33" t="str">
            <v>1221.01</v>
          </cell>
          <cell r="B33" t="str">
            <v>　　单位</v>
          </cell>
          <cell r="C33" t="str">
            <v>CU003004</v>
          </cell>
          <cell r="D33" t="str">
            <v>广州旭智投资控股有限责任公司</v>
          </cell>
          <cell r="E33">
            <v>49563179.390000001</v>
          </cell>
          <cell r="H33">
            <v>25897.8</v>
          </cell>
        </row>
        <row r="34">
          <cell r="A34" t="str">
            <v>1221.01</v>
          </cell>
          <cell r="B34" t="str">
            <v>　　单位</v>
          </cell>
          <cell r="C34" t="str">
            <v>CU003006</v>
          </cell>
          <cell r="D34" t="str">
            <v>旭智咨询管理(深圳)有限责任公司</v>
          </cell>
          <cell r="E34">
            <v>8829.6</v>
          </cell>
        </row>
        <row r="35">
          <cell r="A35" t="str">
            <v>1221.01</v>
          </cell>
          <cell r="B35" t="str">
            <v>　　单位</v>
          </cell>
          <cell r="C35" t="str">
            <v>CU003010</v>
          </cell>
          <cell r="D35" t="str">
            <v>旭智富能新能源（深圳）有限责任公司</v>
          </cell>
        </row>
        <row r="36">
          <cell r="A36" t="str">
            <v>1221.01</v>
          </cell>
          <cell r="B36" t="str">
            <v>　　单位</v>
          </cell>
          <cell r="C36" t="str">
            <v>CU005009</v>
          </cell>
          <cell r="D36" t="str">
            <v>旭智资本有限公司</v>
          </cell>
          <cell r="E36">
            <v>10546099.5</v>
          </cell>
          <cell r="G36">
            <v>135650</v>
          </cell>
          <cell r="H36">
            <v>877735.5</v>
          </cell>
        </row>
        <row r="37">
          <cell r="A37" t="str">
            <v>1511</v>
          </cell>
          <cell r="B37" t="str">
            <v>长期股权投资</v>
          </cell>
          <cell r="E37">
            <v>5358013.7300000004</v>
          </cell>
        </row>
        <row r="38">
          <cell r="A38" t="str">
            <v>1511.01</v>
          </cell>
          <cell r="B38" t="str">
            <v>　　投资成本</v>
          </cell>
          <cell r="E38">
            <v>5358013.7300000004</v>
          </cell>
        </row>
        <row r="39">
          <cell r="A39" t="str">
            <v>1511.01.08</v>
          </cell>
          <cell r="B39" t="str">
            <v>　　　　深圳旭智私募股权基金管理有限公司</v>
          </cell>
          <cell r="E39">
            <v>5358013.7300000004</v>
          </cell>
        </row>
        <row r="40">
          <cell r="A40" t="str">
            <v>1641</v>
          </cell>
          <cell r="B40" t="str">
            <v>使用权资产</v>
          </cell>
          <cell r="E40">
            <v>7228737.71</v>
          </cell>
        </row>
        <row r="41">
          <cell r="A41" t="str">
            <v>1641.02</v>
          </cell>
          <cell r="B41" t="str">
            <v>　　办公地址</v>
          </cell>
          <cell r="E41">
            <v>7228737.71</v>
          </cell>
        </row>
        <row r="42">
          <cell r="A42" t="str">
            <v>1641.02.02</v>
          </cell>
          <cell r="B42" t="str">
            <v>　　　　旭智资本（香港）--冯氏大厦</v>
          </cell>
          <cell r="E42">
            <v>7228737.71</v>
          </cell>
        </row>
        <row r="43">
          <cell r="A43" t="str">
            <v>1642</v>
          </cell>
          <cell r="B43" t="str">
            <v>使用权资产累计折旧</v>
          </cell>
          <cell r="F43">
            <v>6262017.1799999997</v>
          </cell>
          <cell r="H43">
            <v>80668.460000000006</v>
          </cell>
        </row>
        <row r="44">
          <cell r="A44" t="str">
            <v>1642.02</v>
          </cell>
          <cell r="B44" t="str">
            <v>　　办公地址</v>
          </cell>
          <cell r="F44">
            <v>6262017.1799999997</v>
          </cell>
          <cell r="H44">
            <v>80668.460000000006</v>
          </cell>
        </row>
        <row r="45">
          <cell r="A45" t="str">
            <v>1642.02.02</v>
          </cell>
          <cell r="B45" t="str">
            <v>　　　　旭智资本（香港）--冯氏大厦</v>
          </cell>
          <cell r="F45">
            <v>6262017.1799999997</v>
          </cell>
          <cell r="H45">
            <v>80668.460000000006</v>
          </cell>
        </row>
        <row r="46">
          <cell r="A46" t="str">
            <v>2211</v>
          </cell>
          <cell r="B46" t="str">
            <v>应付职工薪酬</v>
          </cell>
          <cell r="F46">
            <v>109405.34</v>
          </cell>
          <cell r="G46">
            <v>84882.19</v>
          </cell>
          <cell r="H46">
            <v>6800</v>
          </cell>
        </row>
        <row r="47">
          <cell r="A47" t="str">
            <v>2211.02</v>
          </cell>
          <cell r="B47" t="str">
            <v>　　职工奖金</v>
          </cell>
        </row>
        <row r="48">
          <cell r="A48" t="str">
            <v>2211.11</v>
          </cell>
          <cell r="B48" t="str">
            <v>　　应付强制性公积金</v>
          </cell>
          <cell r="F48">
            <v>6800</v>
          </cell>
          <cell r="G48">
            <v>6800</v>
          </cell>
          <cell r="H48">
            <v>6800</v>
          </cell>
        </row>
        <row r="49">
          <cell r="A49" t="str">
            <v>2211.12</v>
          </cell>
          <cell r="B49" t="str">
            <v>　　应付长期服务金</v>
          </cell>
          <cell r="F49">
            <v>102605.34</v>
          </cell>
          <cell r="G49">
            <v>78082.19</v>
          </cell>
        </row>
        <row r="50">
          <cell r="A50" t="str">
            <v>2211.13</v>
          </cell>
          <cell r="B50" t="str">
            <v>　　未使用假期负债</v>
          </cell>
        </row>
        <row r="51">
          <cell r="A51" t="str">
            <v>2241</v>
          </cell>
          <cell r="B51" t="str">
            <v>其他应付款</v>
          </cell>
          <cell r="F51">
            <v>279306.12</v>
          </cell>
          <cell r="G51">
            <v>62674.76</v>
          </cell>
          <cell r="H51">
            <v>476098.08</v>
          </cell>
        </row>
        <row r="52">
          <cell r="A52" t="str">
            <v>2241.01</v>
          </cell>
          <cell r="B52" t="str">
            <v>　　单位</v>
          </cell>
          <cell r="F52">
            <v>227831.36</v>
          </cell>
          <cell r="G52">
            <v>11200</v>
          </cell>
          <cell r="H52">
            <v>377335.9</v>
          </cell>
        </row>
        <row r="53">
          <cell r="A53" t="str">
            <v>2241.01</v>
          </cell>
          <cell r="B53" t="str">
            <v>　　单位</v>
          </cell>
          <cell r="C53" t="str">
            <v>SU003003</v>
          </cell>
          <cell r="D53" t="str">
            <v>SUN HING INSURANCE BROKERS LTD.</v>
          </cell>
          <cell r="E53">
            <v>490</v>
          </cell>
        </row>
        <row r="54">
          <cell r="A54" t="str">
            <v>2241.01</v>
          </cell>
          <cell r="B54" t="str">
            <v>　　单位</v>
          </cell>
          <cell r="C54" t="str">
            <v>SU003011</v>
          </cell>
          <cell r="D54" t="str">
            <v>Tricor Services Limited</v>
          </cell>
          <cell r="F54">
            <v>26890</v>
          </cell>
          <cell r="G54">
            <v>11200</v>
          </cell>
          <cell r="H54">
            <v>11200</v>
          </cell>
        </row>
        <row r="55">
          <cell r="A55" t="str">
            <v>2241.01</v>
          </cell>
          <cell r="B55" t="str">
            <v>　　单位</v>
          </cell>
          <cell r="C55" t="str">
            <v>SU004011</v>
          </cell>
          <cell r="D55" t="str">
            <v>Master Concept (Hong Kong) Limited</v>
          </cell>
          <cell r="H55">
            <v>102500</v>
          </cell>
        </row>
        <row r="56">
          <cell r="A56" t="str">
            <v>2241.01</v>
          </cell>
          <cell r="B56" t="str">
            <v>　　单位</v>
          </cell>
          <cell r="C56" t="str">
            <v>SU004019</v>
          </cell>
          <cell r="D56" t="str">
            <v>PricewaterhouseCoopers Limited</v>
          </cell>
          <cell r="F56">
            <v>192500</v>
          </cell>
          <cell r="H56">
            <v>7500</v>
          </cell>
        </row>
        <row r="57">
          <cell r="A57" t="str">
            <v>2241.01</v>
          </cell>
          <cell r="B57" t="str">
            <v>　　单位</v>
          </cell>
          <cell r="C57" t="str">
            <v>SU004022</v>
          </cell>
          <cell r="D57" t="str">
            <v>WIZ ADVISORY PTY LTD</v>
          </cell>
          <cell r="F57">
            <v>8931.36</v>
          </cell>
          <cell r="H57">
            <v>256135.9</v>
          </cell>
        </row>
        <row r="58">
          <cell r="A58" t="str">
            <v>2241.02</v>
          </cell>
          <cell r="B58" t="str">
            <v>　　个人</v>
          </cell>
          <cell r="F58">
            <v>51474.76</v>
          </cell>
          <cell r="G58">
            <v>51474.76</v>
          </cell>
          <cell r="H58">
            <v>98762.18</v>
          </cell>
        </row>
        <row r="59">
          <cell r="A59" t="str">
            <v>2241.02</v>
          </cell>
          <cell r="B59" t="str">
            <v>　　个人</v>
          </cell>
          <cell r="C59" t="str">
            <v>SP003003</v>
          </cell>
          <cell r="D59" t="str">
            <v>冯淑欣</v>
          </cell>
          <cell r="H59">
            <v>2000</v>
          </cell>
        </row>
        <row r="60">
          <cell r="A60" t="str">
            <v>2241.02</v>
          </cell>
          <cell r="B60" t="str">
            <v>　　个人</v>
          </cell>
          <cell r="C60" t="str">
            <v>SP003006</v>
          </cell>
          <cell r="D60" t="str">
            <v>甄伟杰</v>
          </cell>
          <cell r="F60">
            <v>51474.76</v>
          </cell>
          <cell r="G60">
            <v>51474.76</v>
          </cell>
          <cell r="H60">
            <v>76762.179999999993</v>
          </cell>
        </row>
        <row r="61">
          <cell r="A61" t="str">
            <v>2241.02</v>
          </cell>
          <cell r="B61" t="str">
            <v>　　个人</v>
          </cell>
          <cell r="C61" t="str">
            <v>SP003007</v>
          </cell>
          <cell r="D61" t="str">
            <v>梁国希</v>
          </cell>
        </row>
        <row r="62">
          <cell r="A62" t="str">
            <v>2241.02</v>
          </cell>
          <cell r="B62" t="str">
            <v>　　个人</v>
          </cell>
          <cell r="C62" t="str">
            <v>SP003008</v>
          </cell>
          <cell r="D62" t="str">
            <v>卢淑怡</v>
          </cell>
          <cell r="H62">
            <v>20000</v>
          </cell>
        </row>
        <row r="63">
          <cell r="A63" t="str">
            <v>2241.02</v>
          </cell>
          <cell r="B63" t="str">
            <v>　　个人</v>
          </cell>
          <cell r="C63" t="str">
            <v>SP003009</v>
          </cell>
          <cell r="D63" t="str">
            <v>李琦</v>
          </cell>
        </row>
        <row r="64">
          <cell r="A64" t="str">
            <v>2601</v>
          </cell>
          <cell r="B64" t="str">
            <v>租赁负债</v>
          </cell>
          <cell r="F64">
            <v>981478.1</v>
          </cell>
          <cell r="G64">
            <v>96636.34</v>
          </cell>
        </row>
        <row r="65">
          <cell r="A65" t="str">
            <v>2601.01</v>
          </cell>
          <cell r="B65" t="str">
            <v>　　租赁付款额</v>
          </cell>
          <cell r="F65">
            <v>1434860.9</v>
          </cell>
        </row>
        <row r="66">
          <cell r="A66" t="str">
            <v>2601.01.02</v>
          </cell>
          <cell r="B66" t="str">
            <v>　　　　办公地址</v>
          </cell>
          <cell r="F66">
            <v>1434860.9</v>
          </cell>
        </row>
        <row r="67">
          <cell r="A67" t="str">
            <v>2601.01.02.02</v>
          </cell>
          <cell r="B67" t="str">
            <v>　　　　　　旭智资本（香港）--冯氏大厦</v>
          </cell>
          <cell r="F67">
            <v>1434860.9</v>
          </cell>
        </row>
        <row r="68">
          <cell r="A68" t="str">
            <v>2601.02</v>
          </cell>
          <cell r="B68" t="str">
            <v>　　未确认融资费用</v>
          </cell>
          <cell r="E68">
            <v>453382.8</v>
          </cell>
          <cell r="G68">
            <v>96636.34</v>
          </cell>
        </row>
        <row r="69">
          <cell r="A69" t="str">
            <v>2601.02.02</v>
          </cell>
          <cell r="B69" t="str">
            <v>　　　　办公地址</v>
          </cell>
          <cell r="E69">
            <v>453382.8</v>
          </cell>
          <cell r="G69">
            <v>96636.34</v>
          </cell>
        </row>
        <row r="70">
          <cell r="A70" t="str">
            <v>2601.02.02.02</v>
          </cell>
          <cell r="B70" t="str">
            <v>　　　　　　旭智资本（香港）--冯氏大厦</v>
          </cell>
          <cell r="E70">
            <v>453382.8</v>
          </cell>
          <cell r="G70">
            <v>96636.34</v>
          </cell>
        </row>
        <row r="71">
          <cell r="A71" t="str">
            <v>2801</v>
          </cell>
          <cell r="B71" t="str">
            <v>预计负债</v>
          </cell>
          <cell r="F71">
            <v>245000</v>
          </cell>
        </row>
        <row r="72">
          <cell r="A72" t="str">
            <v>4001</v>
          </cell>
          <cell r="B72" t="str">
            <v>实收资本（股本）</v>
          </cell>
          <cell r="F72">
            <v>113887263</v>
          </cell>
        </row>
        <row r="73">
          <cell r="A73" t="str">
            <v>4001.50</v>
          </cell>
          <cell r="B73" t="str">
            <v>　　普通股</v>
          </cell>
          <cell r="F73">
            <v>113887263</v>
          </cell>
        </row>
        <row r="74">
          <cell r="A74" t="str">
            <v>4001.50.07</v>
          </cell>
          <cell r="B74" t="str">
            <v>　　　　旭智资本有限公司</v>
          </cell>
          <cell r="F74">
            <v>113887263</v>
          </cell>
        </row>
        <row r="75">
          <cell r="A75" t="str">
            <v>4103</v>
          </cell>
          <cell r="B75" t="str">
            <v>本年利润</v>
          </cell>
          <cell r="E75">
            <v>6347521.0300000003</v>
          </cell>
          <cell r="G75">
            <v>-6291871.0300000003</v>
          </cell>
          <cell r="H75">
            <v>55650</v>
          </cell>
        </row>
        <row r="76">
          <cell r="A76" t="str">
            <v>4104</v>
          </cell>
          <cell r="B76" t="str">
            <v>利润分配</v>
          </cell>
          <cell r="E76">
            <v>39431857.289999999</v>
          </cell>
          <cell r="H76">
            <v>-7196940.6600000001</v>
          </cell>
        </row>
        <row r="77">
          <cell r="A77" t="str">
            <v>4104.07</v>
          </cell>
          <cell r="B77" t="str">
            <v>　　未分配利润</v>
          </cell>
          <cell r="E77">
            <v>39431857.289999999</v>
          </cell>
          <cell r="H77">
            <v>-7196940.6600000001</v>
          </cell>
        </row>
        <row r="78">
          <cell r="A78" t="str">
            <v>6001</v>
          </cell>
          <cell r="B78" t="str">
            <v>主营业务收入</v>
          </cell>
        </row>
        <row r="79">
          <cell r="A79" t="str">
            <v>6001.02</v>
          </cell>
          <cell r="B79" t="str">
            <v>　　咨询服务费收入</v>
          </cell>
        </row>
        <row r="80">
          <cell r="A80" t="str">
            <v>6001.02.02</v>
          </cell>
          <cell r="B80" t="str">
            <v>　　　　未开票</v>
          </cell>
        </row>
        <row r="81">
          <cell r="A81" t="str">
            <v>6001.02.02</v>
          </cell>
          <cell r="B81" t="str">
            <v>　　　　未开票</v>
          </cell>
          <cell r="C81" t="str">
            <v>CU003010</v>
          </cell>
          <cell r="D81" t="str">
            <v>旭智富能新能源（深圳）有限责任公司</v>
          </cell>
        </row>
        <row r="82">
          <cell r="A82" t="str">
            <v>6115</v>
          </cell>
          <cell r="B82" t="str">
            <v>其他收益</v>
          </cell>
          <cell r="G82">
            <v>55650</v>
          </cell>
          <cell r="H82">
            <v>55650</v>
          </cell>
        </row>
        <row r="83">
          <cell r="A83" t="str">
            <v>6115.03</v>
          </cell>
          <cell r="B83" t="str">
            <v>　　公司间往来</v>
          </cell>
          <cell r="G83">
            <v>55650</v>
          </cell>
          <cell r="H83">
            <v>55650</v>
          </cell>
        </row>
        <row r="84">
          <cell r="A84" t="str">
            <v>6602</v>
          </cell>
          <cell r="B84" t="str">
            <v>管理费用</v>
          </cell>
          <cell r="G84">
            <v>879487.67</v>
          </cell>
          <cell r="H84">
            <v>879487.67</v>
          </cell>
        </row>
        <row r="85">
          <cell r="A85" t="str">
            <v>6602.01</v>
          </cell>
          <cell r="B85" t="str">
            <v>　　工资薪金</v>
          </cell>
          <cell r="G85">
            <v>285735.5</v>
          </cell>
          <cell r="H85">
            <v>285735.5</v>
          </cell>
        </row>
        <row r="86">
          <cell r="A86" t="str">
            <v>6602.01.01</v>
          </cell>
          <cell r="B86" t="str">
            <v>　　　　基本工资（专业）</v>
          </cell>
          <cell r="G86">
            <v>200000</v>
          </cell>
          <cell r="H86">
            <v>200000</v>
          </cell>
        </row>
        <row r="87">
          <cell r="A87" t="str">
            <v>6602.01.05</v>
          </cell>
          <cell r="B87" t="str">
            <v>　　　　员工假期</v>
          </cell>
        </row>
        <row r="88">
          <cell r="A88" t="str">
            <v>6602.01.07</v>
          </cell>
          <cell r="B88" t="str">
            <v>　　　　集团内分摊</v>
          </cell>
          <cell r="G88">
            <v>77735.5</v>
          </cell>
          <cell r="H88">
            <v>77735.5</v>
          </cell>
        </row>
        <row r="89">
          <cell r="A89" t="str">
            <v>6602.01.08</v>
          </cell>
          <cell r="B89" t="str">
            <v>　　　　基本工资（管理）</v>
          </cell>
          <cell r="G89">
            <v>8000</v>
          </cell>
          <cell r="H89">
            <v>8000</v>
          </cell>
        </row>
        <row r="90">
          <cell r="A90" t="str">
            <v>6602.01.10</v>
          </cell>
          <cell r="B90" t="str">
            <v>　　　　长期服务金</v>
          </cell>
        </row>
        <row r="91">
          <cell r="A91" t="str">
            <v>6602.02</v>
          </cell>
          <cell r="B91" t="str">
            <v>　　职工福利</v>
          </cell>
        </row>
        <row r="92">
          <cell r="A92" t="str">
            <v>6602.02.02</v>
          </cell>
          <cell r="B92" t="str">
            <v>　　　　团建活动</v>
          </cell>
        </row>
        <row r="93">
          <cell r="A93" t="str">
            <v>6602.03</v>
          </cell>
          <cell r="B93" t="str">
            <v>　　社保公积金</v>
          </cell>
          <cell r="G93">
            <v>30331.17</v>
          </cell>
          <cell r="H93">
            <v>30331.17</v>
          </cell>
        </row>
        <row r="94">
          <cell r="A94" t="str">
            <v>6602.03.01</v>
          </cell>
          <cell r="B94" t="str">
            <v>　　　　员工社保福利</v>
          </cell>
          <cell r="G94">
            <v>26931.17</v>
          </cell>
          <cell r="H94">
            <v>26931.17</v>
          </cell>
        </row>
        <row r="95">
          <cell r="A95" t="str">
            <v>6602.03.03</v>
          </cell>
          <cell r="B95" t="str">
            <v>　　　　员工强制性公积金福利</v>
          </cell>
          <cell r="G95">
            <v>3400</v>
          </cell>
          <cell r="H95">
            <v>3400</v>
          </cell>
        </row>
        <row r="96">
          <cell r="A96" t="str">
            <v>6602.04</v>
          </cell>
          <cell r="B96" t="str">
            <v>　　咨询及专业服务费</v>
          </cell>
          <cell r="G96">
            <v>290235.90000000002</v>
          </cell>
          <cell r="H96">
            <v>290235.90000000002</v>
          </cell>
        </row>
        <row r="97">
          <cell r="A97" t="str">
            <v>6602.04.01</v>
          </cell>
          <cell r="B97" t="str">
            <v>　　　　会计服务费</v>
          </cell>
          <cell r="G97">
            <v>8500</v>
          </cell>
          <cell r="H97">
            <v>8500</v>
          </cell>
        </row>
        <row r="98">
          <cell r="A98" t="str">
            <v>6602.04.02</v>
          </cell>
          <cell r="B98" t="str">
            <v>　　　　审计服务费</v>
          </cell>
          <cell r="G98">
            <v>7500</v>
          </cell>
          <cell r="H98">
            <v>7500</v>
          </cell>
        </row>
        <row r="99">
          <cell r="A99" t="str">
            <v>6602.04.03</v>
          </cell>
          <cell r="B99" t="str">
            <v>　　　　顾问费</v>
          </cell>
          <cell r="G99">
            <v>256135.9</v>
          </cell>
          <cell r="H99">
            <v>256135.9</v>
          </cell>
        </row>
        <row r="100">
          <cell r="A100" t="str">
            <v>6602.04.03</v>
          </cell>
          <cell r="B100" t="str">
            <v>　　　　顾问费</v>
          </cell>
          <cell r="C100" t="str">
            <v>CI008</v>
          </cell>
          <cell r="D100" t="str">
            <v>旭智资本（香港）</v>
          </cell>
          <cell r="G100">
            <v>256135.9</v>
          </cell>
          <cell r="H100">
            <v>256135.9</v>
          </cell>
        </row>
        <row r="101">
          <cell r="A101" t="str">
            <v>6602.04.06</v>
          </cell>
          <cell r="B101" t="str">
            <v>　　　　法律服务费</v>
          </cell>
        </row>
        <row r="102">
          <cell r="A102" t="str">
            <v>6602.04.06</v>
          </cell>
          <cell r="B102" t="str">
            <v>　　　　法律服务费</v>
          </cell>
          <cell r="C102" t="str">
            <v>CI008</v>
          </cell>
          <cell r="D102" t="str">
            <v>旭智资本（香港）</v>
          </cell>
        </row>
        <row r="103">
          <cell r="A103" t="str">
            <v>6602.04.07</v>
          </cell>
          <cell r="B103" t="str">
            <v>　　　　人力资源服务费</v>
          </cell>
          <cell r="G103">
            <v>2500</v>
          </cell>
          <cell r="H103">
            <v>2500</v>
          </cell>
        </row>
        <row r="104">
          <cell r="A104" t="str">
            <v>6602.04.12</v>
          </cell>
          <cell r="B104" t="str">
            <v>　　　　合规支持服务</v>
          </cell>
          <cell r="G104">
            <v>15600</v>
          </cell>
          <cell r="H104">
            <v>15600</v>
          </cell>
        </row>
        <row r="105">
          <cell r="A105" t="str">
            <v>6602.04.12</v>
          </cell>
          <cell r="B105" t="str">
            <v>　　　　合规支持服务</v>
          </cell>
          <cell r="C105" t="str">
            <v>CI008</v>
          </cell>
          <cell r="D105" t="str">
            <v>旭智资本（香港）</v>
          </cell>
          <cell r="G105">
            <v>15600</v>
          </cell>
          <cell r="H105">
            <v>15600</v>
          </cell>
        </row>
        <row r="106">
          <cell r="A106" t="str">
            <v>6602.05</v>
          </cell>
          <cell r="B106" t="str">
            <v>　　占用费</v>
          </cell>
          <cell r="G106">
            <v>23760.66</v>
          </cell>
          <cell r="H106">
            <v>23760.66</v>
          </cell>
        </row>
        <row r="107">
          <cell r="A107" t="str">
            <v>6602.05.02</v>
          </cell>
          <cell r="B107" t="str">
            <v>　　　　管理费</v>
          </cell>
          <cell r="G107">
            <v>24133.5</v>
          </cell>
          <cell r="H107">
            <v>24133.5</v>
          </cell>
        </row>
        <row r="108">
          <cell r="A108" t="str">
            <v>6602.05.03</v>
          </cell>
          <cell r="B108" t="str">
            <v>　　　　电费</v>
          </cell>
          <cell r="G108">
            <v>756</v>
          </cell>
          <cell r="H108">
            <v>756</v>
          </cell>
        </row>
        <row r="109">
          <cell r="A109" t="str">
            <v>6602.05.05</v>
          </cell>
          <cell r="B109" t="str">
            <v>　　　　维修费</v>
          </cell>
          <cell r="G109">
            <v>-1128.8399999999999</v>
          </cell>
          <cell r="H109">
            <v>-1128.8399999999999</v>
          </cell>
        </row>
        <row r="110">
          <cell r="A110" t="str">
            <v>6602.06</v>
          </cell>
          <cell r="B110" t="str">
            <v>　　业务招待费</v>
          </cell>
          <cell r="G110">
            <v>4826.6499999999996</v>
          </cell>
          <cell r="H110">
            <v>4826.6499999999996</v>
          </cell>
        </row>
        <row r="111">
          <cell r="A111" t="str">
            <v>6602.06</v>
          </cell>
          <cell r="B111" t="str">
            <v>　　业务招待费</v>
          </cell>
          <cell r="C111" t="str">
            <v>CI008</v>
          </cell>
          <cell r="D111" t="str">
            <v>旭智资本（香港）</v>
          </cell>
          <cell r="G111">
            <v>4826.6499999999996</v>
          </cell>
          <cell r="H111">
            <v>4826.6499999999996</v>
          </cell>
        </row>
        <row r="112">
          <cell r="A112" t="str">
            <v>6602.08</v>
          </cell>
          <cell r="B112" t="str">
            <v>　　事务费用</v>
          </cell>
          <cell r="G112">
            <v>118036.48</v>
          </cell>
          <cell r="H112">
            <v>118036.48</v>
          </cell>
        </row>
        <row r="113">
          <cell r="A113" t="str">
            <v>6602.08.01</v>
          </cell>
          <cell r="B113" t="str">
            <v>　　　　通信费</v>
          </cell>
          <cell r="G113">
            <v>-187.56</v>
          </cell>
          <cell r="H113">
            <v>-187.56</v>
          </cell>
        </row>
        <row r="114">
          <cell r="A114" t="str">
            <v>6602.08.01</v>
          </cell>
          <cell r="B114" t="str">
            <v>　　　　通信费</v>
          </cell>
          <cell r="C114" t="str">
            <v>CI008</v>
          </cell>
          <cell r="D114" t="str">
            <v>旭智资本（香港）</v>
          </cell>
          <cell r="G114">
            <v>-187.56</v>
          </cell>
          <cell r="H114">
            <v>-187.56</v>
          </cell>
        </row>
        <row r="115">
          <cell r="A115" t="str">
            <v>6602.08.03</v>
          </cell>
          <cell r="B115" t="str">
            <v>　　　　办公用品</v>
          </cell>
          <cell r="G115">
            <v>67.33</v>
          </cell>
          <cell r="H115">
            <v>67.33</v>
          </cell>
        </row>
        <row r="116">
          <cell r="A116" t="str">
            <v>6602.08.03</v>
          </cell>
          <cell r="B116" t="str">
            <v>　　　　办公用品</v>
          </cell>
          <cell r="C116" t="str">
            <v>CI008</v>
          </cell>
          <cell r="D116" t="str">
            <v>旭智资本（香港）</v>
          </cell>
          <cell r="G116">
            <v>67.33</v>
          </cell>
          <cell r="H116">
            <v>67.33</v>
          </cell>
        </row>
        <row r="117">
          <cell r="A117" t="str">
            <v>6602.08.04</v>
          </cell>
          <cell r="B117" t="str">
            <v>　　　　事务保金</v>
          </cell>
          <cell r="G117">
            <v>4963.67</v>
          </cell>
          <cell r="H117">
            <v>4963.67</v>
          </cell>
        </row>
        <row r="118">
          <cell r="A118" t="str">
            <v>6602.08.04</v>
          </cell>
          <cell r="B118" t="str">
            <v>　　　　事务保金</v>
          </cell>
          <cell r="C118" t="str">
            <v>CI008</v>
          </cell>
          <cell r="D118" t="str">
            <v>旭智资本（香港）</v>
          </cell>
          <cell r="G118">
            <v>4963.67</v>
          </cell>
          <cell r="H118">
            <v>4963.67</v>
          </cell>
        </row>
        <row r="119">
          <cell r="A119" t="str">
            <v>6602.08.05</v>
          </cell>
          <cell r="B119" t="str">
            <v>　　　　邮费/邮递费</v>
          </cell>
        </row>
        <row r="120">
          <cell r="A120" t="str">
            <v>6602.08.05</v>
          </cell>
          <cell r="B120" t="str">
            <v>　　　　邮费/邮递费</v>
          </cell>
          <cell r="C120" t="str">
            <v>CI008</v>
          </cell>
          <cell r="D120" t="str">
            <v>旭智资本（香港）</v>
          </cell>
        </row>
        <row r="121">
          <cell r="A121" t="str">
            <v>6602.08.06</v>
          </cell>
          <cell r="B121" t="str">
            <v>　　　　IT专业人士及微软服务</v>
          </cell>
          <cell r="G121">
            <v>110143.83</v>
          </cell>
          <cell r="H121">
            <v>110143.83</v>
          </cell>
        </row>
        <row r="122">
          <cell r="A122" t="str">
            <v>6602.08.06</v>
          </cell>
          <cell r="B122" t="str">
            <v>　　　　IT专业人士及微软服务</v>
          </cell>
          <cell r="C122" t="str">
            <v>CI008</v>
          </cell>
          <cell r="D122" t="str">
            <v>旭智资本（香港）</v>
          </cell>
          <cell r="G122">
            <v>110143.83</v>
          </cell>
          <cell r="H122">
            <v>110143.83</v>
          </cell>
        </row>
        <row r="123">
          <cell r="A123" t="str">
            <v>6602.08.07</v>
          </cell>
          <cell r="B123" t="str">
            <v>　　　　软件许可证费用</v>
          </cell>
          <cell r="G123">
            <v>3049.21</v>
          </cell>
          <cell r="H123">
            <v>3049.21</v>
          </cell>
        </row>
        <row r="124">
          <cell r="A124" t="str">
            <v>6602.08.07</v>
          </cell>
          <cell r="B124" t="str">
            <v>　　　　软件许可证费用</v>
          </cell>
          <cell r="C124" t="str">
            <v>CI008</v>
          </cell>
          <cell r="D124" t="str">
            <v>旭智资本（香港）</v>
          </cell>
          <cell r="G124">
            <v>3049.21</v>
          </cell>
          <cell r="H124">
            <v>3049.21</v>
          </cell>
        </row>
        <row r="125">
          <cell r="A125" t="str">
            <v>6602.08.10</v>
          </cell>
          <cell r="B125" t="str">
            <v>　　　　电话国际直拨/电话会议收费</v>
          </cell>
        </row>
        <row r="126">
          <cell r="A126" t="str">
            <v>6602.08.10</v>
          </cell>
          <cell r="B126" t="str">
            <v>　　　　电话国际直拨/电话会议收费</v>
          </cell>
          <cell r="C126" t="str">
            <v>CI008</v>
          </cell>
          <cell r="D126" t="str">
            <v>旭智资本（香港）</v>
          </cell>
        </row>
        <row r="127">
          <cell r="A127" t="str">
            <v>6602.09</v>
          </cell>
          <cell r="B127" t="str">
            <v>　　差旅费</v>
          </cell>
          <cell r="G127">
            <v>45956.52</v>
          </cell>
          <cell r="H127">
            <v>45956.52</v>
          </cell>
        </row>
        <row r="128">
          <cell r="A128" t="str">
            <v>6602.09.01</v>
          </cell>
          <cell r="B128" t="str">
            <v>　　　　住宿费</v>
          </cell>
          <cell r="G128">
            <v>9469.08</v>
          </cell>
          <cell r="H128">
            <v>9469.08</v>
          </cell>
        </row>
        <row r="129">
          <cell r="A129" t="str">
            <v>6602.09.01</v>
          </cell>
          <cell r="B129" t="str">
            <v>　　　　住宿费</v>
          </cell>
          <cell r="C129" t="str">
            <v>CI008</v>
          </cell>
          <cell r="D129" t="str">
            <v>旭智资本（香港）</v>
          </cell>
          <cell r="G129">
            <v>9469.08</v>
          </cell>
          <cell r="H129">
            <v>9469.08</v>
          </cell>
        </row>
        <row r="130">
          <cell r="A130" t="str">
            <v>6602.09.04</v>
          </cell>
          <cell r="B130" t="str">
            <v>　　　　空中交通费</v>
          </cell>
          <cell r="G130">
            <v>27150</v>
          </cell>
          <cell r="H130">
            <v>27150</v>
          </cell>
        </row>
        <row r="131">
          <cell r="A131" t="str">
            <v>6602.09.04</v>
          </cell>
          <cell r="B131" t="str">
            <v>　　　　空中交通费</v>
          </cell>
          <cell r="C131" t="str">
            <v>CI008</v>
          </cell>
          <cell r="D131" t="str">
            <v>旭智资本（香港）</v>
          </cell>
          <cell r="G131">
            <v>27150</v>
          </cell>
          <cell r="H131">
            <v>27150</v>
          </cell>
        </row>
        <row r="132">
          <cell r="A132" t="str">
            <v>6602.09.99</v>
          </cell>
          <cell r="B132" t="str">
            <v>　　　　其他</v>
          </cell>
          <cell r="G132">
            <v>9337.44</v>
          </cell>
          <cell r="H132">
            <v>9337.44</v>
          </cell>
        </row>
        <row r="133">
          <cell r="A133" t="str">
            <v>6602.09.99</v>
          </cell>
          <cell r="B133" t="str">
            <v>　　　　其他</v>
          </cell>
          <cell r="C133" t="str">
            <v>CI008</v>
          </cell>
          <cell r="D133" t="str">
            <v>旭智资本（香港）</v>
          </cell>
          <cell r="G133">
            <v>9337.44</v>
          </cell>
          <cell r="H133">
            <v>9337.44</v>
          </cell>
        </row>
        <row r="134">
          <cell r="A134" t="str">
            <v>6602.12</v>
          </cell>
          <cell r="B134" t="str">
            <v>　　使用权资产折旧</v>
          </cell>
          <cell r="G134">
            <v>80668.460000000006</v>
          </cell>
          <cell r="H134">
            <v>80668.460000000006</v>
          </cell>
        </row>
        <row r="135">
          <cell r="A135" t="str">
            <v>6602.12.02</v>
          </cell>
          <cell r="B135" t="str">
            <v>　　　　办公地址</v>
          </cell>
          <cell r="G135">
            <v>80668.460000000006</v>
          </cell>
          <cell r="H135">
            <v>80668.460000000006</v>
          </cell>
        </row>
        <row r="136">
          <cell r="A136" t="str">
            <v>6602.12.02.02</v>
          </cell>
          <cell r="B136" t="str">
            <v>　　　　　　旭智资本（香港）--冯氏大厦</v>
          </cell>
          <cell r="G136">
            <v>80668.460000000006</v>
          </cell>
          <cell r="H136">
            <v>80668.460000000006</v>
          </cell>
        </row>
        <row r="137">
          <cell r="A137" t="str">
            <v>6602.19</v>
          </cell>
          <cell r="B137" t="str">
            <v>　　会费（公司）</v>
          </cell>
          <cell r="G137">
            <v>-14807.19</v>
          </cell>
          <cell r="H137">
            <v>-14807.19</v>
          </cell>
        </row>
        <row r="138">
          <cell r="A138" t="str">
            <v>6602.20</v>
          </cell>
          <cell r="B138" t="str">
            <v>　　职工教育经费</v>
          </cell>
          <cell r="G138">
            <v>11685</v>
          </cell>
          <cell r="H138">
            <v>11685</v>
          </cell>
        </row>
        <row r="139">
          <cell r="A139" t="str">
            <v>6602.21</v>
          </cell>
          <cell r="B139" t="str">
            <v>　　公司秘书费</v>
          </cell>
          <cell r="G139">
            <v>1214.52</v>
          </cell>
          <cell r="H139">
            <v>1214.52</v>
          </cell>
        </row>
        <row r="140">
          <cell r="A140" t="str">
            <v>6602.24</v>
          </cell>
          <cell r="B140" t="str">
            <v>　　监管费用</v>
          </cell>
        </row>
        <row r="141">
          <cell r="A141" t="str">
            <v>6602.99</v>
          </cell>
          <cell r="B141" t="str">
            <v>　　其他</v>
          </cell>
          <cell r="G141">
            <v>1844</v>
          </cell>
          <cell r="H141">
            <v>1844</v>
          </cell>
        </row>
        <row r="142">
          <cell r="A142" t="str">
            <v>6603</v>
          </cell>
          <cell r="B142" t="str">
            <v>财务费用</v>
          </cell>
          <cell r="G142">
            <v>25581.96</v>
          </cell>
          <cell r="H142">
            <v>25581.96</v>
          </cell>
        </row>
        <row r="143">
          <cell r="A143" t="str">
            <v>6603.01</v>
          </cell>
          <cell r="B143" t="str">
            <v>　　汇兑损益</v>
          </cell>
          <cell r="G143">
            <v>23086.59</v>
          </cell>
          <cell r="H143">
            <v>23086.59</v>
          </cell>
        </row>
        <row r="144">
          <cell r="A144" t="str">
            <v>6603.02</v>
          </cell>
          <cell r="B144" t="str">
            <v>　　利息费用</v>
          </cell>
          <cell r="G144">
            <v>3363.66</v>
          </cell>
          <cell r="H144">
            <v>3363.66</v>
          </cell>
        </row>
        <row r="145">
          <cell r="A145" t="str">
            <v>6603.02.02</v>
          </cell>
          <cell r="B145" t="str">
            <v>　　　　办公地址</v>
          </cell>
          <cell r="G145">
            <v>3363.66</v>
          </cell>
          <cell r="H145">
            <v>3363.66</v>
          </cell>
        </row>
        <row r="146">
          <cell r="A146" t="str">
            <v>6603.02.02.02</v>
          </cell>
          <cell r="B146" t="str">
            <v>　　　　　　旭智资本（香港）--冯氏大厦</v>
          </cell>
          <cell r="G146">
            <v>3363.66</v>
          </cell>
          <cell r="H146">
            <v>3363.66</v>
          </cell>
        </row>
        <row r="147">
          <cell r="A147" t="str">
            <v>6603.03</v>
          </cell>
          <cell r="B147" t="str">
            <v>　　银行手续费</v>
          </cell>
          <cell r="G147">
            <v>7.7</v>
          </cell>
          <cell r="H147">
            <v>7.7</v>
          </cell>
        </row>
        <row r="148">
          <cell r="A148" t="str">
            <v>6603.04</v>
          </cell>
          <cell r="B148" t="str">
            <v>　　利息收入</v>
          </cell>
          <cell r="G148">
            <v>-875.99</v>
          </cell>
          <cell r="H148">
            <v>-875.99</v>
          </cell>
        </row>
        <row r="149">
          <cell r="B149" t="str">
            <v>合计</v>
          </cell>
          <cell r="E149">
            <v>122218342.54000001</v>
          </cell>
          <cell r="F149">
            <v>122218342.54000001</v>
          </cell>
          <cell r="G149">
            <v>-4043702.27</v>
          </cell>
          <cell r="H149">
            <v>-4043702.27</v>
          </cell>
        </row>
      </sheetData>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月"/>
      <sheetName val="2月"/>
      <sheetName val="3月"/>
      <sheetName val="4月"/>
      <sheetName val="5月"/>
      <sheetName val="6月"/>
      <sheetName val="7月"/>
      <sheetName val="8月"/>
      <sheetName val="9月"/>
      <sheetName val="10月"/>
      <sheetName val="11月"/>
      <sheetName val="12月"/>
    </sheetNames>
    <sheetDataSet>
      <sheetData sheetId="0">
        <row r="1">
          <cell r="A1" t="str">
            <v>币别:人民币</v>
          </cell>
          <cell r="B1" t="str">
            <v>账簿:深圳旭智私募股权基金管理有限公司</v>
          </cell>
          <cell r="C1" t="str">
            <v>期间:2025.1 -- 2025.1</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8029133.2999999998</v>
          </cell>
          <cell r="G4">
            <v>301118.73</v>
          </cell>
          <cell r="H4">
            <v>631587.1</v>
          </cell>
        </row>
        <row r="5">
          <cell r="A5" t="str">
            <v>1002.23</v>
          </cell>
          <cell r="B5" t="str">
            <v>　　【旭智私募】银行存款账户</v>
          </cell>
          <cell r="E5">
            <v>8029133.2999999998</v>
          </cell>
          <cell r="G5">
            <v>301118.73</v>
          </cell>
          <cell r="H5">
            <v>631587.1</v>
          </cell>
        </row>
        <row r="6">
          <cell r="A6" t="str">
            <v>1002.23.01</v>
          </cell>
          <cell r="B6" t="str">
            <v>　　　　农业银行账户</v>
          </cell>
          <cell r="E6">
            <v>8029133.2999999998</v>
          </cell>
          <cell r="G6">
            <v>301118.73</v>
          </cell>
          <cell r="H6">
            <v>631587.1</v>
          </cell>
        </row>
        <row r="7">
          <cell r="A7" t="str">
            <v>1002.23.01.01</v>
          </cell>
          <cell r="B7" t="str">
            <v>　　　　　　【旭智私募】农行 人民币基本户 6018</v>
          </cell>
          <cell r="E7">
            <v>994969.72</v>
          </cell>
          <cell r="G7">
            <v>300427.5</v>
          </cell>
          <cell r="H7">
            <v>630891.75</v>
          </cell>
        </row>
        <row r="8">
          <cell r="A8" t="str">
            <v>1002.23.01.01.01</v>
          </cell>
          <cell r="B8" t="str">
            <v>　　　　　　　　【旭智私募】农行 人民币基本户 6018 活期存款</v>
          </cell>
          <cell r="E8">
            <v>44969.72</v>
          </cell>
          <cell r="G8">
            <v>300427.5</v>
          </cell>
          <cell r="H8">
            <v>330891.75</v>
          </cell>
        </row>
        <row r="9">
          <cell r="A9" t="str">
            <v>1002.23.01.01.02</v>
          </cell>
          <cell r="B9" t="str">
            <v>　　　　　　　　【旭智私募】农行 人民币基本户 6018 七天通知存款</v>
          </cell>
          <cell r="E9">
            <v>950000</v>
          </cell>
          <cell r="H9">
            <v>300000</v>
          </cell>
        </row>
        <row r="10">
          <cell r="A10" t="str">
            <v>1002.23.01.02</v>
          </cell>
          <cell r="B10" t="str">
            <v>　　　　　　【旭智私募】农行 人民币资本金账户 6026</v>
          </cell>
          <cell r="E10">
            <v>1866762.86</v>
          </cell>
        </row>
        <row r="11">
          <cell r="A11" t="str">
            <v>1002.23.01.02.01</v>
          </cell>
          <cell r="B11" t="str">
            <v>　　　　　　　　【旭智私募】农行 人民币资本金账户 6026 活期存款</v>
          </cell>
          <cell r="E11">
            <v>6762.86</v>
          </cell>
        </row>
        <row r="12">
          <cell r="A12" t="str">
            <v>1002.23.01.02.02</v>
          </cell>
          <cell r="B12" t="str">
            <v>　　　　　　　　【旭智私募】农行 人民币资本金账户 6026 七天通知存款</v>
          </cell>
          <cell r="E12">
            <v>1860000</v>
          </cell>
        </row>
        <row r="13">
          <cell r="A13" t="str">
            <v>1002.23.01.03</v>
          </cell>
          <cell r="B13" t="str">
            <v>　　　　　　【旭智私募】农行 港元资本金账户 7230</v>
          </cell>
          <cell r="E13">
            <v>695.35</v>
          </cell>
          <cell r="G13">
            <v>691.23</v>
          </cell>
          <cell r="H13">
            <v>695.35</v>
          </cell>
        </row>
        <row r="14">
          <cell r="A14" t="str">
            <v>1002.23.01.04</v>
          </cell>
          <cell r="B14" t="str">
            <v>　　　　　　【旭智私募】农行 人民币结汇待支付账户 7248</v>
          </cell>
          <cell r="E14">
            <v>5166705.37</v>
          </cell>
        </row>
        <row r="15">
          <cell r="A15" t="str">
            <v>1002.23.01.04.01</v>
          </cell>
          <cell r="B15" t="str">
            <v>　　　　　　　　【旭智私募】农行 人民币结汇待支付账户 7248 活期存款</v>
          </cell>
          <cell r="E15">
            <v>186.57</v>
          </cell>
        </row>
        <row r="16">
          <cell r="A16" t="str">
            <v>1002.23.01.04.02</v>
          </cell>
          <cell r="B16" t="str">
            <v>　　　　　　　　【旭智私募】农行 人民币结汇待支付账户 7248 定期存款</v>
          </cell>
          <cell r="E16">
            <v>5166518.8</v>
          </cell>
        </row>
        <row r="17">
          <cell r="A17" t="str">
            <v>1123</v>
          </cell>
          <cell r="B17" t="str">
            <v>预付账款</v>
          </cell>
          <cell r="E17">
            <v>10000</v>
          </cell>
        </row>
        <row r="18">
          <cell r="A18" t="str">
            <v>1123.01</v>
          </cell>
          <cell r="B18" t="str">
            <v>　　单位</v>
          </cell>
          <cell r="E18">
            <v>10000</v>
          </cell>
        </row>
        <row r="19">
          <cell r="A19" t="str">
            <v>1123.01</v>
          </cell>
          <cell r="B19" t="str">
            <v>　　单位</v>
          </cell>
          <cell r="C19" t="str">
            <v>SU007002</v>
          </cell>
          <cell r="D19" t="str">
            <v>中国再生能源学会</v>
          </cell>
          <cell r="E19">
            <v>10000</v>
          </cell>
        </row>
        <row r="20">
          <cell r="A20" t="str">
            <v>1221</v>
          </cell>
          <cell r="B20" t="str">
            <v>其他应收款</v>
          </cell>
          <cell r="E20">
            <v>13000</v>
          </cell>
        </row>
        <row r="21">
          <cell r="A21" t="str">
            <v>1221.01</v>
          </cell>
          <cell r="B21" t="str">
            <v>　　单位</v>
          </cell>
          <cell r="E21">
            <v>13000</v>
          </cell>
        </row>
        <row r="22">
          <cell r="A22" t="str">
            <v>1221.01</v>
          </cell>
          <cell r="B22" t="str">
            <v>　　单位</v>
          </cell>
          <cell r="C22" t="str">
            <v>CU006005</v>
          </cell>
          <cell r="D22" t="str">
            <v>长峻物业管理(深圳)有限公司</v>
          </cell>
          <cell r="E22">
            <v>13000</v>
          </cell>
        </row>
        <row r="23">
          <cell r="A23" t="str">
            <v>1601</v>
          </cell>
          <cell r="B23" t="str">
            <v>固定资产</v>
          </cell>
          <cell r="E23">
            <v>2585</v>
          </cell>
        </row>
        <row r="24">
          <cell r="A24" t="str">
            <v>1601.04</v>
          </cell>
          <cell r="B24" t="str">
            <v>　　家具设备</v>
          </cell>
          <cell r="E24">
            <v>2585</v>
          </cell>
        </row>
        <row r="25">
          <cell r="A25" t="str">
            <v>1602</v>
          </cell>
          <cell r="B25" t="str">
            <v>累计折旧</v>
          </cell>
          <cell r="F25">
            <v>245.58</v>
          </cell>
          <cell r="H25">
            <v>40.93</v>
          </cell>
        </row>
        <row r="26">
          <cell r="A26" t="str">
            <v>1602.04</v>
          </cell>
          <cell r="B26" t="str">
            <v>　　家具设备</v>
          </cell>
          <cell r="F26">
            <v>245.58</v>
          </cell>
          <cell r="H26">
            <v>40.93</v>
          </cell>
        </row>
        <row r="27">
          <cell r="A27" t="str">
            <v>1641</v>
          </cell>
          <cell r="B27" t="str">
            <v>使用权资产</v>
          </cell>
          <cell r="E27">
            <v>125696.44</v>
          </cell>
        </row>
        <row r="28">
          <cell r="A28" t="str">
            <v>1641.03</v>
          </cell>
          <cell r="B28" t="str">
            <v>　　注册地址</v>
          </cell>
          <cell r="E28">
            <v>125696.44</v>
          </cell>
        </row>
        <row r="29">
          <cell r="A29" t="str">
            <v>1641.03.01</v>
          </cell>
          <cell r="B29" t="str">
            <v>　　　　旭智私募--前海壹号B座701E</v>
          </cell>
          <cell r="E29">
            <v>125696.44</v>
          </cell>
        </row>
        <row r="30">
          <cell r="A30" t="str">
            <v>1642</v>
          </cell>
          <cell r="B30" t="str">
            <v>使用权资产累计折旧</v>
          </cell>
          <cell r="F30">
            <v>50278.57</v>
          </cell>
          <cell r="H30">
            <v>6284.82</v>
          </cell>
        </row>
        <row r="31">
          <cell r="A31" t="str">
            <v>1642.03</v>
          </cell>
          <cell r="B31" t="str">
            <v>　　注册地址</v>
          </cell>
          <cell r="F31">
            <v>50278.57</v>
          </cell>
          <cell r="H31">
            <v>6284.82</v>
          </cell>
        </row>
        <row r="32">
          <cell r="A32" t="str">
            <v>1642.03.01</v>
          </cell>
          <cell r="B32" t="str">
            <v>　　　　旭智私募--前海壹号B座701E</v>
          </cell>
          <cell r="F32">
            <v>50278.57</v>
          </cell>
          <cell r="H32">
            <v>6284.82</v>
          </cell>
        </row>
        <row r="33">
          <cell r="A33" t="str">
            <v>2211</v>
          </cell>
          <cell r="B33" t="str">
            <v>应付职工薪酬</v>
          </cell>
          <cell r="F33">
            <v>54000</v>
          </cell>
          <cell r="G33">
            <v>230325.18</v>
          </cell>
          <cell r="H33">
            <v>230325.18</v>
          </cell>
        </row>
        <row r="34">
          <cell r="A34" t="str">
            <v>2211.01</v>
          </cell>
          <cell r="B34" t="str">
            <v>　　职工工资</v>
          </cell>
          <cell r="G34">
            <v>199460.03</v>
          </cell>
          <cell r="H34">
            <v>199460.03</v>
          </cell>
        </row>
        <row r="35">
          <cell r="A35" t="str">
            <v>2211.02</v>
          </cell>
          <cell r="B35" t="str">
            <v>　　职工奖金</v>
          </cell>
          <cell r="F35">
            <v>54000</v>
          </cell>
        </row>
        <row r="36">
          <cell r="A36" t="str">
            <v>2211.05</v>
          </cell>
          <cell r="B36" t="str">
            <v>　　社会保险费</v>
          </cell>
          <cell r="G36">
            <v>13159.99</v>
          </cell>
          <cell r="H36">
            <v>13159.99</v>
          </cell>
        </row>
        <row r="37">
          <cell r="A37" t="str">
            <v>2211.06</v>
          </cell>
          <cell r="B37" t="str">
            <v>　　住房公积金</v>
          </cell>
          <cell r="G37">
            <v>17705.16</v>
          </cell>
          <cell r="H37">
            <v>17705.16</v>
          </cell>
        </row>
        <row r="38">
          <cell r="A38" t="str">
            <v>2221</v>
          </cell>
          <cell r="B38" t="str">
            <v>应交税费</v>
          </cell>
          <cell r="F38">
            <v>42918.76</v>
          </cell>
          <cell r="G38">
            <v>45958.66</v>
          </cell>
          <cell r="H38">
            <v>9174.24</v>
          </cell>
        </row>
        <row r="39">
          <cell r="A39" t="str">
            <v>2221.01</v>
          </cell>
          <cell r="B39" t="str">
            <v>　　应交增值税</v>
          </cell>
          <cell r="G39">
            <v>318.48</v>
          </cell>
          <cell r="H39">
            <v>318.48</v>
          </cell>
        </row>
        <row r="40">
          <cell r="A40" t="str">
            <v>2221.01.03</v>
          </cell>
          <cell r="B40" t="str">
            <v>　　　　进项税额</v>
          </cell>
          <cell r="G40">
            <v>318.48</v>
          </cell>
          <cell r="H40">
            <v>318.48</v>
          </cell>
        </row>
        <row r="41">
          <cell r="A41" t="str">
            <v>2221.03</v>
          </cell>
          <cell r="B41" t="str">
            <v>　　暂估进项税额</v>
          </cell>
          <cell r="G41">
            <v>317.45999999999998</v>
          </cell>
          <cell r="H41">
            <v>317.45999999999998</v>
          </cell>
        </row>
        <row r="42">
          <cell r="A42" t="str">
            <v>2221.06</v>
          </cell>
          <cell r="B42" t="str">
            <v>　　待认证进项税额</v>
          </cell>
          <cell r="G42">
            <v>318.48</v>
          </cell>
          <cell r="H42">
            <v>318.48</v>
          </cell>
        </row>
        <row r="43">
          <cell r="A43" t="str">
            <v>2221.07</v>
          </cell>
          <cell r="B43" t="str">
            <v>　　待抵扣进项税额</v>
          </cell>
          <cell r="F43">
            <v>-1767</v>
          </cell>
          <cell r="G43">
            <v>318.48</v>
          </cell>
        </row>
        <row r="44">
          <cell r="A44" t="str">
            <v>2221.16</v>
          </cell>
          <cell r="B44" t="str">
            <v>　　应交个人所得税</v>
          </cell>
          <cell r="F44">
            <v>44685.760000000002</v>
          </cell>
          <cell r="G44">
            <v>44685.760000000002</v>
          </cell>
          <cell r="H44">
            <v>8219.82</v>
          </cell>
        </row>
        <row r="45">
          <cell r="A45" t="str">
            <v>2241</v>
          </cell>
          <cell r="B45" t="str">
            <v>其他应付款</v>
          </cell>
          <cell r="F45">
            <v>54587.3</v>
          </cell>
          <cell r="G45">
            <v>7866.6</v>
          </cell>
          <cell r="H45">
            <v>8928.6</v>
          </cell>
        </row>
        <row r="46">
          <cell r="A46" t="str">
            <v>2241.01</v>
          </cell>
          <cell r="B46" t="str">
            <v>　　单位</v>
          </cell>
          <cell r="F46">
            <v>43280</v>
          </cell>
          <cell r="G46">
            <v>7866.6</v>
          </cell>
          <cell r="H46">
            <v>7866.6</v>
          </cell>
        </row>
        <row r="47">
          <cell r="A47" t="str">
            <v>2241.01</v>
          </cell>
          <cell r="B47" t="str">
            <v>　　单位</v>
          </cell>
          <cell r="C47" t="str">
            <v>SU005004</v>
          </cell>
          <cell r="D47" t="str">
            <v>上海爱文人才服务有限公司</v>
          </cell>
          <cell r="G47">
            <v>1200</v>
          </cell>
          <cell r="H47">
            <v>1200</v>
          </cell>
        </row>
        <row r="48">
          <cell r="A48" t="str">
            <v>2241.01</v>
          </cell>
          <cell r="B48" t="str">
            <v>　　单位</v>
          </cell>
          <cell r="C48" t="str">
            <v>SU005007</v>
          </cell>
          <cell r="D48" t="str">
            <v>普华永道中天会计师事务所（特殊普通合伙）</v>
          </cell>
          <cell r="F48">
            <v>40000</v>
          </cell>
        </row>
        <row r="49">
          <cell r="A49" t="str">
            <v>2241.01</v>
          </cell>
          <cell r="B49" t="str">
            <v>　　单位</v>
          </cell>
          <cell r="C49" t="str">
            <v>SU005044</v>
          </cell>
          <cell r="D49" t="str">
            <v>旭智咨询管理（深圳）有限责任公司</v>
          </cell>
          <cell r="F49">
            <v>2400</v>
          </cell>
        </row>
        <row r="50">
          <cell r="A50" t="str">
            <v>2241.01</v>
          </cell>
          <cell r="B50" t="str">
            <v>　　单位</v>
          </cell>
          <cell r="C50" t="str">
            <v>SU006025</v>
          </cell>
          <cell r="D50" t="str">
            <v>全景求是管理顾问（北京）有限公司</v>
          </cell>
          <cell r="F50">
            <v>880</v>
          </cell>
        </row>
        <row r="51">
          <cell r="A51" t="str">
            <v>2241.01</v>
          </cell>
          <cell r="B51" t="str">
            <v>　　单位</v>
          </cell>
          <cell r="C51" t="str">
            <v>SU007003</v>
          </cell>
          <cell r="D51" t="str">
            <v>长峻物业管理（深圳）有限公司</v>
          </cell>
          <cell r="G51">
            <v>6666.6</v>
          </cell>
          <cell r="H51">
            <v>6666.6</v>
          </cell>
        </row>
        <row r="52">
          <cell r="A52" t="str">
            <v>2241.02</v>
          </cell>
          <cell r="B52" t="str">
            <v>　　个人</v>
          </cell>
          <cell r="F52">
            <v>11307.3</v>
          </cell>
          <cell r="H52">
            <v>1062</v>
          </cell>
        </row>
        <row r="53">
          <cell r="A53" t="str">
            <v>2241.02</v>
          </cell>
          <cell r="B53" t="str">
            <v>　　个人</v>
          </cell>
          <cell r="C53" t="str">
            <v>SP005001</v>
          </cell>
          <cell r="D53" t="str">
            <v>冯冠邦</v>
          </cell>
          <cell r="F53">
            <v>832.86</v>
          </cell>
        </row>
        <row r="54">
          <cell r="A54" t="str">
            <v>2241.02</v>
          </cell>
          <cell r="B54" t="str">
            <v>　　个人</v>
          </cell>
          <cell r="C54" t="str">
            <v>SP005011</v>
          </cell>
          <cell r="D54" t="str">
            <v>郭宗林</v>
          </cell>
          <cell r="F54">
            <v>7113.76</v>
          </cell>
        </row>
        <row r="55">
          <cell r="A55" t="str">
            <v>2241.02</v>
          </cell>
          <cell r="B55" t="str">
            <v>　　个人</v>
          </cell>
          <cell r="C55" t="str">
            <v>SP006002</v>
          </cell>
          <cell r="D55" t="str">
            <v>陈灿</v>
          </cell>
          <cell r="F55">
            <v>1331.48</v>
          </cell>
          <cell r="H55">
            <v>848.75</v>
          </cell>
        </row>
        <row r="56">
          <cell r="A56" t="str">
            <v>2241.02</v>
          </cell>
          <cell r="B56" t="str">
            <v>　　个人</v>
          </cell>
          <cell r="C56" t="str">
            <v>SP006009</v>
          </cell>
          <cell r="D56" t="str">
            <v>林秋蝶</v>
          </cell>
          <cell r="F56">
            <v>2029.2</v>
          </cell>
          <cell r="H56">
            <v>133</v>
          </cell>
        </row>
        <row r="57">
          <cell r="A57" t="str">
            <v>2241.02</v>
          </cell>
          <cell r="B57" t="str">
            <v>　　个人</v>
          </cell>
          <cell r="C57" t="str">
            <v>SP006010</v>
          </cell>
          <cell r="D57" t="str">
            <v>陈广华</v>
          </cell>
          <cell r="H57">
            <v>80.25</v>
          </cell>
        </row>
        <row r="58">
          <cell r="A58" t="str">
            <v>2601</v>
          </cell>
          <cell r="B58" t="str">
            <v>租赁负债</v>
          </cell>
          <cell r="F58">
            <v>74650.899999999994</v>
          </cell>
          <cell r="G58">
            <v>6349.14</v>
          </cell>
          <cell r="H58">
            <v>235.38</v>
          </cell>
        </row>
        <row r="59">
          <cell r="A59" t="str">
            <v>2601.01</v>
          </cell>
          <cell r="B59" t="str">
            <v>　　租赁付款额</v>
          </cell>
          <cell r="F59">
            <v>76189.679999999993</v>
          </cell>
          <cell r="G59">
            <v>6349.14</v>
          </cell>
        </row>
        <row r="60">
          <cell r="A60" t="str">
            <v>2601.01.03</v>
          </cell>
          <cell r="B60" t="str">
            <v>　　　　注册地址</v>
          </cell>
          <cell r="F60">
            <v>76189.679999999993</v>
          </cell>
          <cell r="G60">
            <v>6349.14</v>
          </cell>
        </row>
        <row r="61">
          <cell r="A61" t="str">
            <v>2601.01.03.01</v>
          </cell>
          <cell r="B61" t="str">
            <v>　　　　　　旭智私募--前海壹号B座701E</v>
          </cell>
          <cell r="F61">
            <v>76189.679999999993</v>
          </cell>
          <cell r="G61">
            <v>6349.14</v>
          </cell>
        </row>
        <row r="62">
          <cell r="A62" t="str">
            <v>2601.02</v>
          </cell>
          <cell r="B62" t="str">
            <v>　　未确认融资费用</v>
          </cell>
          <cell r="F62">
            <v>-1538.78</v>
          </cell>
          <cell r="H62">
            <v>235.38</v>
          </cell>
        </row>
        <row r="63">
          <cell r="A63" t="str">
            <v>2601.02.03</v>
          </cell>
          <cell r="B63" t="str">
            <v>　　　　注册地址</v>
          </cell>
          <cell r="F63">
            <v>-1538.78</v>
          </cell>
          <cell r="H63">
            <v>235.38</v>
          </cell>
        </row>
        <row r="64">
          <cell r="A64" t="str">
            <v>2601.02.03.01</v>
          </cell>
          <cell r="B64" t="str">
            <v>　　　　　　旭智私募--前海壹号B座701E</v>
          </cell>
          <cell r="F64">
            <v>-1538.78</v>
          </cell>
          <cell r="H64">
            <v>235.38</v>
          </cell>
        </row>
        <row r="65">
          <cell r="A65" t="str">
            <v>4001</v>
          </cell>
          <cell r="B65" t="str">
            <v>实收资本（股本）</v>
          </cell>
          <cell r="F65">
            <v>10000000</v>
          </cell>
        </row>
        <row r="66">
          <cell r="A66" t="str">
            <v>4001.11</v>
          </cell>
          <cell r="B66" t="str">
            <v>　　旭智资本（香港）有限公司</v>
          </cell>
          <cell r="F66">
            <v>4900000</v>
          </cell>
        </row>
        <row r="67">
          <cell r="A67" t="str">
            <v>4001.20</v>
          </cell>
          <cell r="B67" t="str">
            <v>　　冯冠邦</v>
          </cell>
          <cell r="F67">
            <v>5100000</v>
          </cell>
        </row>
        <row r="68">
          <cell r="A68" t="str">
            <v>4103</v>
          </cell>
          <cell r="B68" t="str">
            <v>本年利润</v>
          </cell>
          <cell r="G68">
            <v>294957.94</v>
          </cell>
        </row>
        <row r="69">
          <cell r="A69" t="str">
            <v>4104</v>
          </cell>
          <cell r="B69" t="str">
            <v>利润分配</v>
          </cell>
          <cell r="F69">
            <v>-2096266.37</v>
          </cell>
        </row>
        <row r="70">
          <cell r="A70" t="str">
            <v>4104.07</v>
          </cell>
          <cell r="B70" t="str">
            <v>　　未分配利润</v>
          </cell>
          <cell r="F70">
            <v>-2096266.37</v>
          </cell>
        </row>
        <row r="71">
          <cell r="A71" t="str">
            <v>6602</v>
          </cell>
          <cell r="B71" t="str">
            <v>管理费用</v>
          </cell>
          <cell r="G71">
            <v>295141.44</v>
          </cell>
          <cell r="H71">
            <v>295141.44</v>
          </cell>
        </row>
        <row r="72">
          <cell r="A72" t="str">
            <v>6602.01</v>
          </cell>
          <cell r="B72" t="str">
            <v>　　工资薪金</v>
          </cell>
          <cell r="G72">
            <v>238500</v>
          </cell>
          <cell r="H72">
            <v>238500</v>
          </cell>
        </row>
        <row r="73">
          <cell r="A73" t="str">
            <v>6602.01.01</v>
          </cell>
          <cell r="B73" t="str">
            <v>　　　　基本工资（专业）</v>
          </cell>
          <cell r="G73">
            <v>238500</v>
          </cell>
          <cell r="H73">
            <v>238500</v>
          </cell>
        </row>
        <row r="74">
          <cell r="A74" t="str">
            <v>6602.03</v>
          </cell>
          <cell r="B74" t="str">
            <v>　　社保公积金</v>
          </cell>
          <cell r="G74">
            <v>48054.71</v>
          </cell>
          <cell r="H74">
            <v>48054.71</v>
          </cell>
        </row>
        <row r="75">
          <cell r="A75" t="str">
            <v>6602.03.01</v>
          </cell>
          <cell r="B75" t="str">
            <v>　　　　员工社保福利</v>
          </cell>
          <cell r="G75">
            <v>30349.55</v>
          </cell>
          <cell r="H75">
            <v>30349.55</v>
          </cell>
        </row>
        <row r="76">
          <cell r="A76" t="str">
            <v>6602.03.02</v>
          </cell>
          <cell r="B76" t="str">
            <v>　　　　员工公积金福利</v>
          </cell>
          <cell r="G76">
            <v>17705.16</v>
          </cell>
          <cell r="H76">
            <v>17705.16</v>
          </cell>
        </row>
        <row r="77">
          <cell r="A77" t="str">
            <v>6602.04</v>
          </cell>
          <cell r="B77" t="str">
            <v>　　咨询及专业服务费</v>
          </cell>
          <cell r="G77">
            <v>1200</v>
          </cell>
          <cell r="H77">
            <v>1200</v>
          </cell>
        </row>
        <row r="78">
          <cell r="A78" t="str">
            <v>6602.04.07</v>
          </cell>
          <cell r="B78" t="str">
            <v>　　　　人力资源服务费</v>
          </cell>
          <cell r="G78">
            <v>1200</v>
          </cell>
          <cell r="H78">
            <v>1200</v>
          </cell>
        </row>
        <row r="79">
          <cell r="A79" t="str">
            <v>6602.08</v>
          </cell>
          <cell r="B79" t="str">
            <v>　　事务费用</v>
          </cell>
          <cell r="G79">
            <v>16.98</v>
          </cell>
          <cell r="H79">
            <v>16.98</v>
          </cell>
        </row>
        <row r="80">
          <cell r="A80" t="str">
            <v>6602.08.05</v>
          </cell>
          <cell r="B80" t="str">
            <v>　　　　邮费/邮递费</v>
          </cell>
          <cell r="G80">
            <v>16.98</v>
          </cell>
          <cell r="H80">
            <v>16.98</v>
          </cell>
        </row>
        <row r="81">
          <cell r="A81" t="str">
            <v>6602.08.05</v>
          </cell>
          <cell r="B81" t="str">
            <v>　　　　邮费/邮递费</v>
          </cell>
          <cell r="C81" t="str">
            <v>CI005</v>
          </cell>
          <cell r="D81" t="str">
            <v>旭智私募</v>
          </cell>
          <cell r="G81">
            <v>16.98</v>
          </cell>
          <cell r="H81">
            <v>16.98</v>
          </cell>
        </row>
        <row r="82">
          <cell r="A82" t="str">
            <v>6602.09</v>
          </cell>
          <cell r="B82" t="str">
            <v>　　差旅费</v>
          </cell>
          <cell r="G82">
            <v>1044</v>
          </cell>
          <cell r="H82">
            <v>1044</v>
          </cell>
        </row>
        <row r="83">
          <cell r="A83" t="str">
            <v>6602.09.03</v>
          </cell>
          <cell r="B83" t="str">
            <v>　　　　地面交通费</v>
          </cell>
          <cell r="G83">
            <v>1044</v>
          </cell>
          <cell r="H83">
            <v>1044</v>
          </cell>
        </row>
        <row r="84">
          <cell r="A84" t="str">
            <v>6602.09.03</v>
          </cell>
          <cell r="B84" t="str">
            <v>　　　　地面交通费</v>
          </cell>
          <cell r="C84" t="str">
            <v>CI002</v>
          </cell>
          <cell r="D84" t="str">
            <v>旭智富能</v>
          </cell>
          <cell r="G84">
            <v>177.6</v>
          </cell>
          <cell r="H84">
            <v>177.6</v>
          </cell>
        </row>
        <row r="85">
          <cell r="A85" t="str">
            <v>6602.09.03</v>
          </cell>
          <cell r="B85" t="str">
            <v>　　　　地面交通费</v>
          </cell>
          <cell r="C85" t="str">
            <v>CI005</v>
          </cell>
          <cell r="D85" t="str">
            <v>旭智私募</v>
          </cell>
          <cell r="G85">
            <v>866.4</v>
          </cell>
          <cell r="H85">
            <v>866.4</v>
          </cell>
        </row>
        <row r="86">
          <cell r="A86" t="str">
            <v>6602.10</v>
          </cell>
          <cell r="B86" t="str">
            <v>　　折旧费</v>
          </cell>
          <cell r="G86">
            <v>40.93</v>
          </cell>
          <cell r="H86">
            <v>40.93</v>
          </cell>
        </row>
        <row r="87">
          <cell r="A87" t="str">
            <v>6602.10.04</v>
          </cell>
          <cell r="B87" t="str">
            <v>　　　　家具设备</v>
          </cell>
          <cell r="G87">
            <v>40.93</v>
          </cell>
          <cell r="H87">
            <v>40.93</v>
          </cell>
        </row>
        <row r="88">
          <cell r="A88" t="str">
            <v>6602.12</v>
          </cell>
          <cell r="B88" t="str">
            <v>　　使用权资产折旧</v>
          </cell>
          <cell r="G88">
            <v>6284.82</v>
          </cell>
          <cell r="H88">
            <v>6284.82</v>
          </cell>
        </row>
        <row r="89">
          <cell r="A89" t="str">
            <v>6602.12.03</v>
          </cell>
          <cell r="B89" t="str">
            <v>　　　　注册地址</v>
          </cell>
          <cell r="G89">
            <v>6284.82</v>
          </cell>
          <cell r="H89">
            <v>6284.82</v>
          </cell>
        </row>
        <row r="90">
          <cell r="A90" t="str">
            <v>6602.12.03.01</v>
          </cell>
          <cell r="B90" t="str">
            <v>　　　　　　旭智私募--前海壹号B座701E</v>
          </cell>
          <cell r="G90">
            <v>6284.82</v>
          </cell>
          <cell r="H90">
            <v>6284.82</v>
          </cell>
        </row>
        <row r="91">
          <cell r="A91" t="str">
            <v>6603</v>
          </cell>
          <cell r="B91" t="str">
            <v>财务费用</v>
          </cell>
          <cell r="G91">
            <v>-183.5</v>
          </cell>
          <cell r="H91">
            <v>-183.5</v>
          </cell>
        </row>
        <row r="92">
          <cell r="A92" t="str">
            <v>6603.01</v>
          </cell>
          <cell r="B92" t="str">
            <v>　　汇兑损益</v>
          </cell>
          <cell r="G92">
            <v>4.12</v>
          </cell>
          <cell r="H92">
            <v>4.12</v>
          </cell>
        </row>
        <row r="93">
          <cell r="A93" t="str">
            <v>6603.02</v>
          </cell>
          <cell r="B93" t="str">
            <v>　　利息费用</v>
          </cell>
          <cell r="G93">
            <v>235.38</v>
          </cell>
          <cell r="H93">
            <v>235.38</v>
          </cell>
        </row>
        <row r="94">
          <cell r="A94" t="str">
            <v>6603.02.03</v>
          </cell>
          <cell r="B94" t="str">
            <v>　　　　注册地址</v>
          </cell>
          <cell r="G94">
            <v>235.38</v>
          </cell>
          <cell r="H94">
            <v>235.38</v>
          </cell>
        </row>
        <row r="95">
          <cell r="A95" t="str">
            <v>6603.02.03.01</v>
          </cell>
          <cell r="B95" t="str">
            <v>　　　　　　旭智私募--前海壹号B座701E</v>
          </cell>
          <cell r="G95">
            <v>235.38</v>
          </cell>
          <cell r="H95">
            <v>235.38</v>
          </cell>
        </row>
        <row r="96">
          <cell r="A96" t="str">
            <v>6603.03</v>
          </cell>
          <cell r="B96" t="str">
            <v>　　银行手续费</v>
          </cell>
          <cell r="G96">
            <v>4.5</v>
          </cell>
          <cell r="H96">
            <v>4.5</v>
          </cell>
        </row>
        <row r="97">
          <cell r="A97" t="str">
            <v>6603.04</v>
          </cell>
          <cell r="B97" t="str">
            <v>　　利息收入</v>
          </cell>
          <cell r="G97">
            <v>-427.5</v>
          </cell>
          <cell r="H97">
            <v>-427.5</v>
          </cell>
        </row>
        <row r="98">
          <cell r="B98" t="str">
            <v>合计</v>
          </cell>
          <cell r="E98">
            <v>8180414.7400000002</v>
          </cell>
          <cell r="F98">
            <v>8180414.7400000002</v>
          </cell>
          <cell r="G98">
            <v>1181534.19</v>
          </cell>
          <cell r="H98">
            <v>1181534.19</v>
          </cell>
        </row>
      </sheetData>
      <sheetData sheetId="1">
        <row r="1">
          <cell r="A1" t="str">
            <v>币别:人民币</v>
          </cell>
          <cell r="B1" t="str">
            <v>账簿:深圳旭智私募股权基金管理有限公司</v>
          </cell>
          <cell r="C1" t="str">
            <v>期间:2025.2 -- 2025.2</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7698664.9299999997</v>
          </cell>
          <cell r="G4">
            <v>652139.02</v>
          </cell>
          <cell r="H4">
            <v>971232.29</v>
          </cell>
        </row>
        <row r="5">
          <cell r="A5" t="str">
            <v>1002.23</v>
          </cell>
          <cell r="B5" t="str">
            <v>　　【旭智私募】银行存款账户</v>
          </cell>
          <cell r="E5">
            <v>7698664.9299999997</v>
          </cell>
          <cell r="G5">
            <v>652139.02</v>
          </cell>
          <cell r="H5">
            <v>971232.29</v>
          </cell>
        </row>
        <row r="6">
          <cell r="A6" t="str">
            <v>1002.23.01</v>
          </cell>
          <cell r="B6" t="str">
            <v>　　　　农业银行账户</v>
          </cell>
          <cell r="E6">
            <v>7698664.9299999997</v>
          </cell>
          <cell r="G6">
            <v>652139.02</v>
          </cell>
          <cell r="H6">
            <v>971232.29</v>
          </cell>
        </row>
        <row r="7">
          <cell r="A7" t="str">
            <v>1002.23.01.01</v>
          </cell>
          <cell r="B7" t="str">
            <v>　　　　　　【旭智私募】农行 人民币基本户 6018</v>
          </cell>
          <cell r="E7">
            <v>664505.47</v>
          </cell>
          <cell r="G7">
            <v>651446.25</v>
          </cell>
          <cell r="H7">
            <v>970541.06</v>
          </cell>
        </row>
        <row r="8">
          <cell r="A8" t="str">
            <v>1002.23.01.01.01</v>
          </cell>
          <cell r="B8" t="str">
            <v>　　　　　　　　【旭智私募】农行 人民币基本户 6018 活期存款</v>
          </cell>
          <cell r="E8">
            <v>14505.47</v>
          </cell>
          <cell r="G8">
            <v>651446.25</v>
          </cell>
          <cell r="H8">
            <v>320541.06</v>
          </cell>
        </row>
        <row r="9">
          <cell r="A9" t="str">
            <v>1002.23.01.01.02</v>
          </cell>
          <cell r="B9" t="str">
            <v>　　　　　　　　【旭智私募】农行 人民币基本户 6018 七天通知存款</v>
          </cell>
          <cell r="E9">
            <v>650000</v>
          </cell>
          <cell r="H9">
            <v>650000</v>
          </cell>
        </row>
        <row r="10">
          <cell r="A10" t="str">
            <v>1002.23.01.02</v>
          </cell>
          <cell r="B10" t="str">
            <v>　　　　　　【旭智私募】农行 人民币资本金账户 6026</v>
          </cell>
          <cell r="E10">
            <v>1866762.86</v>
          </cell>
        </row>
        <row r="11">
          <cell r="A11" t="str">
            <v>1002.23.01.02.01</v>
          </cell>
          <cell r="B11" t="str">
            <v>　　　　　　　　【旭智私募】农行 人民币资本金账户 6026 活期存款</v>
          </cell>
          <cell r="E11">
            <v>6762.86</v>
          </cell>
        </row>
        <row r="12">
          <cell r="A12" t="str">
            <v>1002.23.01.02.02</v>
          </cell>
          <cell r="B12" t="str">
            <v>　　　　　　　　【旭智私募】农行 人民币资本金账户 6026 七天通知存款</v>
          </cell>
          <cell r="E12">
            <v>1860000</v>
          </cell>
        </row>
        <row r="13">
          <cell r="A13" t="str">
            <v>1002.23.01.03</v>
          </cell>
          <cell r="B13" t="str">
            <v>　　　　　　【旭智私募】农行 港元资本金账户 7230</v>
          </cell>
          <cell r="E13">
            <v>691.23</v>
          </cell>
          <cell r="G13">
            <v>692.77</v>
          </cell>
          <cell r="H13">
            <v>691.23</v>
          </cell>
        </row>
        <row r="14">
          <cell r="A14" t="str">
            <v>1002.23.01.04</v>
          </cell>
          <cell r="B14" t="str">
            <v>　　　　　　【旭智私募】农行 人民币结汇待支付账户 7248</v>
          </cell>
          <cell r="E14">
            <v>5166705.37</v>
          </cell>
        </row>
        <row r="15">
          <cell r="A15" t="str">
            <v>1002.23.01.04.01</v>
          </cell>
          <cell r="B15" t="str">
            <v>　　　　　　　　【旭智私募】农行 人民币结汇待支付账户 7248 活期存款</v>
          </cell>
          <cell r="E15">
            <v>186.57</v>
          </cell>
        </row>
        <row r="16">
          <cell r="A16" t="str">
            <v>1002.23.01.04.02</v>
          </cell>
          <cell r="B16" t="str">
            <v>　　　　　　　　【旭智私募】农行 人民币结汇待支付账户 7248 定期存款</v>
          </cell>
          <cell r="E16">
            <v>5166518.8</v>
          </cell>
        </row>
        <row r="17">
          <cell r="A17" t="str">
            <v>1123</v>
          </cell>
          <cell r="B17" t="str">
            <v>预付账款</v>
          </cell>
          <cell r="E17">
            <v>10000</v>
          </cell>
        </row>
        <row r="18">
          <cell r="A18" t="str">
            <v>1123.01</v>
          </cell>
          <cell r="B18" t="str">
            <v>　　单位</v>
          </cell>
          <cell r="E18">
            <v>10000</v>
          </cell>
        </row>
        <row r="19">
          <cell r="A19" t="str">
            <v>1123.01</v>
          </cell>
          <cell r="B19" t="str">
            <v>　　单位</v>
          </cell>
          <cell r="C19" t="str">
            <v>SU007002</v>
          </cell>
          <cell r="D19" t="str">
            <v>中国再生能源学会</v>
          </cell>
          <cell r="E19">
            <v>10000</v>
          </cell>
        </row>
        <row r="20">
          <cell r="A20" t="str">
            <v>1221</v>
          </cell>
          <cell r="B20" t="str">
            <v>其他应收款</v>
          </cell>
          <cell r="E20">
            <v>13000</v>
          </cell>
        </row>
        <row r="21">
          <cell r="A21" t="str">
            <v>1221.01</v>
          </cell>
          <cell r="B21" t="str">
            <v>　　单位</v>
          </cell>
          <cell r="E21">
            <v>13000</v>
          </cell>
        </row>
        <row r="22">
          <cell r="A22" t="str">
            <v>1221.01</v>
          </cell>
          <cell r="B22" t="str">
            <v>　　单位</v>
          </cell>
          <cell r="C22" t="str">
            <v>CU006005</v>
          </cell>
          <cell r="D22" t="str">
            <v>长峻物业管理(深圳)有限公司</v>
          </cell>
          <cell r="E22">
            <v>13000</v>
          </cell>
        </row>
        <row r="23">
          <cell r="A23" t="str">
            <v>1601</v>
          </cell>
          <cell r="B23" t="str">
            <v>固定资产</v>
          </cell>
          <cell r="E23">
            <v>2585</v>
          </cell>
        </row>
        <row r="24">
          <cell r="A24" t="str">
            <v>1601.04</v>
          </cell>
          <cell r="B24" t="str">
            <v>　　家具设备</v>
          </cell>
          <cell r="E24">
            <v>2585</v>
          </cell>
        </row>
        <row r="25">
          <cell r="A25" t="str">
            <v>1602</v>
          </cell>
          <cell r="B25" t="str">
            <v>累计折旧</v>
          </cell>
          <cell r="F25">
            <v>286.51</v>
          </cell>
          <cell r="H25">
            <v>40.93</v>
          </cell>
        </row>
        <row r="26">
          <cell r="A26" t="str">
            <v>1602.04</v>
          </cell>
          <cell r="B26" t="str">
            <v>　　家具设备</v>
          </cell>
          <cell r="F26">
            <v>286.51</v>
          </cell>
          <cell r="H26">
            <v>40.93</v>
          </cell>
        </row>
        <row r="27">
          <cell r="A27" t="str">
            <v>1641</v>
          </cell>
          <cell r="B27" t="str">
            <v>使用权资产</v>
          </cell>
          <cell r="E27">
            <v>125696.44</v>
          </cell>
        </row>
        <row r="28">
          <cell r="A28" t="str">
            <v>1641.03</v>
          </cell>
          <cell r="B28" t="str">
            <v>　　注册地址</v>
          </cell>
          <cell r="E28">
            <v>125696.44</v>
          </cell>
        </row>
        <row r="29">
          <cell r="A29" t="str">
            <v>1641.03.01</v>
          </cell>
          <cell r="B29" t="str">
            <v>　　　　旭智私募--前海壹号B座701E</v>
          </cell>
          <cell r="E29">
            <v>125696.44</v>
          </cell>
        </row>
        <row r="30">
          <cell r="A30" t="str">
            <v>1642</v>
          </cell>
          <cell r="B30" t="str">
            <v>使用权资产累计折旧</v>
          </cell>
          <cell r="F30">
            <v>56563.39</v>
          </cell>
          <cell r="H30">
            <v>6284.82</v>
          </cell>
        </row>
        <row r="31">
          <cell r="A31" t="str">
            <v>1642.03</v>
          </cell>
          <cell r="B31" t="str">
            <v>　　注册地址</v>
          </cell>
          <cell r="F31">
            <v>56563.39</v>
          </cell>
          <cell r="H31">
            <v>6284.82</v>
          </cell>
        </row>
        <row r="32">
          <cell r="A32" t="str">
            <v>1642.03.01</v>
          </cell>
          <cell r="B32" t="str">
            <v>　　　　旭智私募--前海壹号B座701E</v>
          </cell>
          <cell r="F32">
            <v>56563.39</v>
          </cell>
          <cell r="H32">
            <v>6284.82</v>
          </cell>
        </row>
        <row r="33">
          <cell r="A33" t="str">
            <v>2211</v>
          </cell>
          <cell r="B33" t="str">
            <v>应付职工薪酬</v>
          </cell>
          <cell r="F33">
            <v>54000</v>
          </cell>
          <cell r="G33">
            <v>230118.19</v>
          </cell>
          <cell r="H33">
            <v>230118.19</v>
          </cell>
        </row>
        <row r="34">
          <cell r="A34" t="str">
            <v>2211.01</v>
          </cell>
          <cell r="B34" t="str">
            <v>　　职工工资</v>
          </cell>
          <cell r="G34">
            <v>197405.24</v>
          </cell>
          <cell r="H34">
            <v>197405.24</v>
          </cell>
        </row>
        <row r="35">
          <cell r="A35" t="str">
            <v>2211.02</v>
          </cell>
          <cell r="B35" t="str">
            <v>　　职工奖金</v>
          </cell>
          <cell r="F35">
            <v>54000</v>
          </cell>
        </row>
        <row r="36">
          <cell r="A36" t="str">
            <v>2211.05</v>
          </cell>
          <cell r="B36" t="str">
            <v>　　社会保险费</v>
          </cell>
          <cell r="G36">
            <v>15007.79</v>
          </cell>
          <cell r="H36">
            <v>15007.79</v>
          </cell>
        </row>
        <row r="37">
          <cell r="A37" t="str">
            <v>2211.06</v>
          </cell>
          <cell r="B37" t="str">
            <v>　　住房公积金</v>
          </cell>
          <cell r="G37">
            <v>17705.16</v>
          </cell>
          <cell r="H37">
            <v>17705.16</v>
          </cell>
        </row>
        <row r="38">
          <cell r="A38" t="str">
            <v>2221</v>
          </cell>
          <cell r="B38" t="str">
            <v>应交税费</v>
          </cell>
          <cell r="F38">
            <v>6134.34</v>
          </cell>
          <cell r="G38">
            <v>9172.2000000000007</v>
          </cell>
          <cell r="H38">
            <v>17062.71</v>
          </cell>
        </row>
        <row r="39">
          <cell r="A39" t="str">
            <v>2221.01</v>
          </cell>
          <cell r="B39" t="str">
            <v>　　应交增值税</v>
          </cell>
          <cell r="G39">
            <v>317.45999999999998</v>
          </cell>
          <cell r="H39">
            <v>317.45999999999998</v>
          </cell>
        </row>
        <row r="40">
          <cell r="A40" t="str">
            <v>2221.01.03</v>
          </cell>
          <cell r="B40" t="str">
            <v>　　　　进项税额</v>
          </cell>
          <cell r="G40">
            <v>317.45999999999998</v>
          </cell>
          <cell r="H40">
            <v>317.45999999999998</v>
          </cell>
        </row>
        <row r="41">
          <cell r="A41" t="str">
            <v>2221.03</v>
          </cell>
          <cell r="B41" t="str">
            <v>　　暂估进项税额</v>
          </cell>
        </row>
        <row r="42">
          <cell r="A42" t="str">
            <v>2221.06</v>
          </cell>
          <cell r="B42" t="str">
            <v>　　待认证进项税额</v>
          </cell>
          <cell r="G42">
            <v>317.45999999999998</v>
          </cell>
          <cell r="H42">
            <v>317.45999999999998</v>
          </cell>
        </row>
        <row r="43">
          <cell r="A43" t="str">
            <v>2221.07</v>
          </cell>
          <cell r="B43" t="str">
            <v>　　待抵扣进项税额</v>
          </cell>
          <cell r="F43">
            <v>-2085.48</v>
          </cell>
          <cell r="G43">
            <v>317.45999999999998</v>
          </cell>
        </row>
        <row r="44">
          <cell r="A44" t="str">
            <v>2221.16</v>
          </cell>
          <cell r="B44" t="str">
            <v>　　应交个人所得税</v>
          </cell>
          <cell r="F44">
            <v>8219.82</v>
          </cell>
          <cell r="G44">
            <v>8219.82</v>
          </cell>
          <cell r="H44">
            <v>16427.79</v>
          </cell>
        </row>
        <row r="45">
          <cell r="A45" t="str">
            <v>2241</v>
          </cell>
          <cell r="B45" t="str">
            <v>其他应付款</v>
          </cell>
          <cell r="F45">
            <v>55649.3</v>
          </cell>
          <cell r="G45">
            <v>19445.740000000002</v>
          </cell>
          <cell r="H45">
            <v>8606.1</v>
          </cell>
        </row>
        <row r="46">
          <cell r="A46" t="str">
            <v>2241.01</v>
          </cell>
          <cell r="B46" t="str">
            <v>　　单位</v>
          </cell>
          <cell r="F46">
            <v>43280</v>
          </cell>
          <cell r="G46">
            <v>8066.6</v>
          </cell>
          <cell r="H46">
            <v>8066.6</v>
          </cell>
        </row>
        <row r="47">
          <cell r="A47" t="str">
            <v>2241.01</v>
          </cell>
          <cell r="B47" t="str">
            <v>　　单位</v>
          </cell>
          <cell r="C47" t="str">
            <v>SU005004</v>
          </cell>
          <cell r="D47" t="str">
            <v>上海爱文人才服务有限公司</v>
          </cell>
          <cell r="G47">
            <v>1400</v>
          </cell>
          <cell r="H47">
            <v>1400</v>
          </cell>
        </row>
        <row r="48">
          <cell r="A48" t="str">
            <v>2241.01</v>
          </cell>
          <cell r="B48" t="str">
            <v>　　单位</v>
          </cell>
          <cell r="C48" t="str">
            <v>SU005007</v>
          </cell>
          <cell r="D48" t="str">
            <v>普华永道中天会计师事务所（特殊普通合伙）</v>
          </cell>
          <cell r="F48">
            <v>40000</v>
          </cell>
        </row>
        <row r="49">
          <cell r="A49" t="str">
            <v>2241.01</v>
          </cell>
          <cell r="B49" t="str">
            <v>　　单位</v>
          </cell>
          <cell r="C49" t="str">
            <v>SU005044</v>
          </cell>
          <cell r="D49" t="str">
            <v>旭智咨询管理（深圳）有限责任公司</v>
          </cell>
          <cell r="F49">
            <v>2400</v>
          </cell>
        </row>
        <row r="50">
          <cell r="A50" t="str">
            <v>2241.01</v>
          </cell>
          <cell r="B50" t="str">
            <v>　　单位</v>
          </cell>
          <cell r="C50" t="str">
            <v>SU006025</v>
          </cell>
          <cell r="D50" t="str">
            <v>全景求是管理顾问（北京）有限公司</v>
          </cell>
          <cell r="F50">
            <v>880</v>
          </cell>
        </row>
        <row r="51">
          <cell r="A51" t="str">
            <v>2241.01</v>
          </cell>
          <cell r="B51" t="str">
            <v>　　单位</v>
          </cell>
          <cell r="C51" t="str">
            <v>SU007003</v>
          </cell>
          <cell r="D51" t="str">
            <v>长峻物业管理（深圳）有限公司</v>
          </cell>
          <cell r="G51">
            <v>6666.6</v>
          </cell>
          <cell r="H51">
            <v>6666.6</v>
          </cell>
        </row>
        <row r="52">
          <cell r="A52" t="str">
            <v>2241.02</v>
          </cell>
          <cell r="B52" t="str">
            <v>　　个人</v>
          </cell>
          <cell r="F52">
            <v>12369.3</v>
          </cell>
          <cell r="G52">
            <v>11379.14</v>
          </cell>
          <cell r="H52">
            <v>539.5</v>
          </cell>
        </row>
        <row r="53">
          <cell r="A53" t="str">
            <v>2241.02</v>
          </cell>
          <cell r="B53" t="str">
            <v>　　个人</v>
          </cell>
          <cell r="C53" t="str">
            <v>SP005001</v>
          </cell>
          <cell r="D53" t="str">
            <v>冯冠邦</v>
          </cell>
          <cell r="F53">
            <v>832.86</v>
          </cell>
        </row>
        <row r="54">
          <cell r="A54" t="str">
            <v>2241.02</v>
          </cell>
          <cell r="B54" t="str">
            <v>　　个人</v>
          </cell>
          <cell r="C54" t="str">
            <v>SP005011</v>
          </cell>
          <cell r="D54" t="str">
            <v>郭宗林</v>
          </cell>
          <cell r="F54">
            <v>7113.76</v>
          </cell>
          <cell r="G54">
            <v>7000.45</v>
          </cell>
          <cell r="H54">
            <v>539.5</v>
          </cell>
        </row>
        <row r="55">
          <cell r="A55" t="str">
            <v>2241.02</v>
          </cell>
          <cell r="B55" t="str">
            <v>　　个人</v>
          </cell>
          <cell r="C55" t="str">
            <v>SP006002</v>
          </cell>
          <cell r="D55" t="str">
            <v>陈灿</v>
          </cell>
          <cell r="F55">
            <v>2180.23</v>
          </cell>
          <cell r="G55">
            <v>2180.23</v>
          </cell>
        </row>
        <row r="56">
          <cell r="A56" t="str">
            <v>2241.02</v>
          </cell>
          <cell r="B56" t="str">
            <v>　　个人</v>
          </cell>
          <cell r="C56" t="str">
            <v>SP006009</v>
          </cell>
          <cell r="D56" t="str">
            <v>林秋蝶</v>
          </cell>
          <cell r="F56">
            <v>2162.1999999999998</v>
          </cell>
          <cell r="G56">
            <v>2118.21</v>
          </cell>
        </row>
        <row r="57">
          <cell r="A57" t="str">
            <v>2241.02</v>
          </cell>
          <cell r="B57" t="str">
            <v>　　个人</v>
          </cell>
          <cell r="C57" t="str">
            <v>SP006010</v>
          </cell>
          <cell r="D57" t="str">
            <v>陈广华</v>
          </cell>
          <cell r="F57">
            <v>80.25</v>
          </cell>
          <cell r="G57">
            <v>80.25</v>
          </cell>
        </row>
        <row r="58">
          <cell r="A58" t="str">
            <v>2601</v>
          </cell>
          <cell r="B58" t="str">
            <v>租赁负债</v>
          </cell>
          <cell r="F58">
            <v>68537.14</v>
          </cell>
          <cell r="G58">
            <v>6349.14</v>
          </cell>
          <cell r="H58">
            <v>216.1</v>
          </cell>
        </row>
        <row r="59">
          <cell r="A59" t="str">
            <v>2601.01</v>
          </cell>
          <cell r="B59" t="str">
            <v>　　租赁付款额</v>
          </cell>
          <cell r="F59">
            <v>69840.539999999994</v>
          </cell>
          <cell r="G59">
            <v>6349.14</v>
          </cell>
        </row>
        <row r="60">
          <cell r="A60" t="str">
            <v>2601.01.03</v>
          </cell>
          <cell r="B60" t="str">
            <v>　　　　注册地址</v>
          </cell>
          <cell r="F60">
            <v>69840.539999999994</v>
          </cell>
          <cell r="G60">
            <v>6349.14</v>
          </cell>
        </row>
        <row r="61">
          <cell r="A61" t="str">
            <v>2601.01.03.01</v>
          </cell>
          <cell r="B61" t="str">
            <v>　　　　　　旭智私募--前海壹号B座701E</v>
          </cell>
          <cell r="F61">
            <v>69840.539999999994</v>
          </cell>
          <cell r="G61">
            <v>6349.14</v>
          </cell>
        </row>
        <row r="62">
          <cell r="A62" t="str">
            <v>2601.02</v>
          </cell>
          <cell r="B62" t="str">
            <v>　　未确认融资费用</v>
          </cell>
          <cell r="F62">
            <v>-1303.4000000000001</v>
          </cell>
          <cell r="H62">
            <v>216.1</v>
          </cell>
        </row>
        <row r="63">
          <cell r="A63" t="str">
            <v>2601.02.03</v>
          </cell>
          <cell r="B63" t="str">
            <v>　　　　注册地址</v>
          </cell>
          <cell r="F63">
            <v>-1303.4000000000001</v>
          </cell>
          <cell r="H63">
            <v>216.1</v>
          </cell>
        </row>
        <row r="64">
          <cell r="A64" t="str">
            <v>2601.02.03.01</v>
          </cell>
          <cell r="B64" t="str">
            <v>　　　　　　旭智私募--前海壹号B座701E</v>
          </cell>
          <cell r="F64">
            <v>-1303.4000000000001</v>
          </cell>
          <cell r="H64">
            <v>216.1</v>
          </cell>
        </row>
        <row r="65">
          <cell r="A65" t="str">
            <v>4001</v>
          </cell>
          <cell r="B65" t="str">
            <v>实收资本（股本）</v>
          </cell>
          <cell r="F65">
            <v>10000000</v>
          </cell>
        </row>
        <row r="66">
          <cell r="A66" t="str">
            <v>4001.11</v>
          </cell>
          <cell r="B66" t="str">
            <v>　　旭智资本（香港）有限公司</v>
          </cell>
          <cell r="F66">
            <v>4900000</v>
          </cell>
        </row>
        <row r="67">
          <cell r="A67" t="str">
            <v>4001.20</v>
          </cell>
          <cell r="B67" t="str">
            <v>　　冯冠邦</v>
          </cell>
          <cell r="F67">
            <v>5100000</v>
          </cell>
        </row>
        <row r="68">
          <cell r="A68" t="str">
            <v>4103</v>
          </cell>
          <cell r="B68" t="str">
            <v>本年利润</v>
          </cell>
          <cell r="F68">
            <v>-294957.94</v>
          </cell>
          <cell r="G68">
            <v>316336.84999999998</v>
          </cell>
        </row>
        <row r="69">
          <cell r="A69" t="str">
            <v>4104</v>
          </cell>
          <cell r="B69" t="str">
            <v>利润分配</v>
          </cell>
          <cell r="F69">
            <v>-2096266.37</v>
          </cell>
        </row>
        <row r="70">
          <cell r="A70" t="str">
            <v>4104.07</v>
          </cell>
          <cell r="B70" t="str">
            <v>　　未分配利润</v>
          </cell>
          <cell r="F70">
            <v>-2096266.37</v>
          </cell>
        </row>
        <row r="71">
          <cell r="A71" t="str">
            <v>6602</v>
          </cell>
          <cell r="B71" t="str">
            <v>管理费用</v>
          </cell>
          <cell r="G71">
            <v>317551.53999999998</v>
          </cell>
          <cell r="H71">
            <v>317551.53999999998</v>
          </cell>
        </row>
        <row r="72">
          <cell r="A72" t="str">
            <v>6602.01</v>
          </cell>
          <cell r="B72" t="str">
            <v>　　工资薪金</v>
          </cell>
          <cell r="G72">
            <v>246545.98</v>
          </cell>
          <cell r="H72">
            <v>246545.98</v>
          </cell>
        </row>
        <row r="73">
          <cell r="A73" t="str">
            <v>6602.01.01</v>
          </cell>
          <cell r="B73" t="str">
            <v>　　　　基本工资（专业）</v>
          </cell>
          <cell r="G73">
            <v>246545.98</v>
          </cell>
          <cell r="H73">
            <v>246545.98</v>
          </cell>
        </row>
        <row r="74">
          <cell r="A74" t="str">
            <v>6602.03</v>
          </cell>
          <cell r="B74" t="str">
            <v>　　社保公积金</v>
          </cell>
          <cell r="G74">
            <v>52740.31</v>
          </cell>
          <cell r="H74">
            <v>52740.31</v>
          </cell>
        </row>
        <row r="75">
          <cell r="A75" t="str">
            <v>6602.03.01</v>
          </cell>
          <cell r="B75" t="str">
            <v>　　　　员工社保福利</v>
          </cell>
          <cell r="G75">
            <v>35035.15</v>
          </cell>
          <cell r="H75">
            <v>35035.15</v>
          </cell>
        </row>
        <row r="76">
          <cell r="A76" t="str">
            <v>6602.03.02</v>
          </cell>
          <cell r="B76" t="str">
            <v>　　　　员工公积金福利</v>
          </cell>
          <cell r="G76">
            <v>17705.16</v>
          </cell>
          <cell r="H76">
            <v>17705.16</v>
          </cell>
        </row>
        <row r="77">
          <cell r="A77" t="str">
            <v>6602.04</v>
          </cell>
          <cell r="B77" t="str">
            <v>　　咨询及专业服务费</v>
          </cell>
          <cell r="G77">
            <v>1400</v>
          </cell>
          <cell r="H77">
            <v>1400</v>
          </cell>
        </row>
        <row r="78">
          <cell r="A78" t="str">
            <v>6602.04.07</v>
          </cell>
          <cell r="B78" t="str">
            <v>　　　　人力资源服务费</v>
          </cell>
          <cell r="G78">
            <v>1400</v>
          </cell>
          <cell r="H78">
            <v>1400</v>
          </cell>
        </row>
        <row r="79">
          <cell r="A79" t="str">
            <v>6602.08</v>
          </cell>
          <cell r="B79" t="str">
            <v>　　事务费用</v>
          </cell>
        </row>
        <row r="80">
          <cell r="A80" t="str">
            <v>6602.08.05</v>
          </cell>
          <cell r="B80" t="str">
            <v>　　　　邮费/邮递费</v>
          </cell>
        </row>
        <row r="81">
          <cell r="A81" t="str">
            <v>6602.08.05</v>
          </cell>
          <cell r="B81" t="str">
            <v>　　　　邮费/邮递费</v>
          </cell>
          <cell r="C81" t="str">
            <v>CI005</v>
          </cell>
          <cell r="D81" t="str">
            <v>旭智私募</v>
          </cell>
        </row>
        <row r="82">
          <cell r="A82" t="str">
            <v>6602.09</v>
          </cell>
          <cell r="B82" t="str">
            <v>　　差旅费</v>
          </cell>
          <cell r="G82">
            <v>539.5</v>
          </cell>
          <cell r="H82">
            <v>539.5</v>
          </cell>
        </row>
        <row r="83">
          <cell r="A83" t="str">
            <v>6602.09.02</v>
          </cell>
          <cell r="B83" t="str">
            <v>　　　　伙食费</v>
          </cell>
          <cell r="G83">
            <v>336</v>
          </cell>
          <cell r="H83">
            <v>336</v>
          </cell>
        </row>
        <row r="84">
          <cell r="A84" t="str">
            <v>6602.09.02</v>
          </cell>
          <cell r="B84" t="str">
            <v>　　　　伙食费</v>
          </cell>
          <cell r="C84" t="str">
            <v>CI002</v>
          </cell>
          <cell r="D84" t="str">
            <v>旭智富能</v>
          </cell>
          <cell r="G84">
            <v>336</v>
          </cell>
          <cell r="H84">
            <v>336</v>
          </cell>
        </row>
        <row r="85">
          <cell r="A85" t="str">
            <v>6602.09.03</v>
          </cell>
          <cell r="B85" t="str">
            <v>　　　　地面交通费</v>
          </cell>
          <cell r="G85">
            <v>203.5</v>
          </cell>
          <cell r="H85">
            <v>203.5</v>
          </cell>
        </row>
        <row r="86">
          <cell r="A86" t="str">
            <v>6602.09.03</v>
          </cell>
          <cell r="B86" t="str">
            <v>　　　　地面交通费</v>
          </cell>
          <cell r="C86" t="str">
            <v>CI002</v>
          </cell>
          <cell r="D86" t="str">
            <v>旭智富能</v>
          </cell>
          <cell r="G86">
            <v>203.5</v>
          </cell>
          <cell r="H86">
            <v>203.5</v>
          </cell>
        </row>
        <row r="87">
          <cell r="A87" t="str">
            <v>6602.09.03</v>
          </cell>
          <cell r="B87" t="str">
            <v>　　　　地面交通费</v>
          </cell>
          <cell r="C87" t="str">
            <v>CI005</v>
          </cell>
          <cell r="D87" t="str">
            <v>旭智私募</v>
          </cell>
        </row>
        <row r="88">
          <cell r="A88" t="str">
            <v>6602.10</v>
          </cell>
          <cell r="B88" t="str">
            <v>　　折旧费</v>
          </cell>
          <cell r="G88">
            <v>40.93</v>
          </cell>
          <cell r="H88">
            <v>40.93</v>
          </cell>
        </row>
        <row r="89">
          <cell r="A89" t="str">
            <v>6602.10.04</v>
          </cell>
          <cell r="B89" t="str">
            <v>　　　　家具设备</v>
          </cell>
          <cell r="G89">
            <v>40.93</v>
          </cell>
          <cell r="H89">
            <v>40.93</v>
          </cell>
        </row>
        <row r="90">
          <cell r="A90" t="str">
            <v>6602.12</v>
          </cell>
          <cell r="B90" t="str">
            <v>　　使用权资产折旧</v>
          </cell>
          <cell r="G90">
            <v>6284.82</v>
          </cell>
          <cell r="H90">
            <v>6284.82</v>
          </cell>
        </row>
        <row r="91">
          <cell r="A91" t="str">
            <v>6602.12.03</v>
          </cell>
          <cell r="B91" t="str">
            <v>　　　　注册地址</v>
          </cell>
          <cell r="G91">
            <v>6284.82</v>
          </cell>
          <cell r="H91">
            <v>6284.82</v>
          </cell>
        </row>
        <row r="92">
          <cell r="A92" t="str">
            <v>6602.12.03.01</v>
          </cell>
          <cell r="B92" t="str">
            <v>　　　　　　旭智私募--前海壹号B座701E</v>
          </cell>
          <cell r="G92">
            <v>6284.82</v>
          </cell>
          <cell r="H92">
            <v>6284.82</v>
          </cell>
        </row>
        <row r="93">
          <cell r="A93" t="str">
            <v>6602.19</v>
          </cell>
          <cell r="B93" t="str">
            <v>　　会费（公司）</v>
          </cell>
          <cell r="G93">
            <v>10000</v>
          </cell>
          <cell r="H93">
            <v>10000</v>
          </cell>
        </row>
        <row r="94">
          <cell r="A94" t="str">
            <v>6603</v>
          </cell>
          <cell r="B94" t="str">
            <v>财务费用</v>
          </cell>
          <cell r="G94">
            <v>-1214.69</v>
          </cell>
          <cell r="H94">
            <v>-1214.69</v>
          </cell>
        </row>
        <row r="95">
          <cell r="A95" t="str">
            <v>6603.01</v>
          </cell>
          <cell r="B95" t="str">
            <v>　　汇兑损益</v>
          </cell>
          <cell r="G95">
            <v>-1.54</v>
          </cell>
          <cell r="H95">
            <v>-1.54</v>
          </cell>
        </row>
        <row r="96">
          <cell r="A96" t="str">
            <v>6603.02</v>
          </cell>
          <cell r="B96" t="str">
            <v>　　利息费用</v>
          </cell>
          <cell r="G96">
            <v>216.1</v>
          </cell>
          <cell r="H96">
            <v>216.1</v>
          </cell>
        </row>
        <row r="97">
          <cell r="A97" t="str">
            <v>6603.02.03</v>
          </cell>
          <cell r="B97" t="str">
            <v>　　　　注册地址</v>
          </cell>
          <cell r="G97">
            <v>216.1</v>
          </cell>
          <cell r="H97">
            <v>216.1</v>
          </cell>
        </row>
        <row r="98">
          <cell r="A98" t="str">
            <v>6603.02.03.01</v>
          </cell>
          <cell r="B98" t="str">
            <v>　　　　　　旭智私募--前海壹号B座701E</v>
          </cell>
          <cell r="G98">
            <v>216.1</v>
          </cell>
          <cell r="H98">
            <v>216.1</v>
          </cell>
        </row>
        <row r="99">
          <cell r="A99" t="str">
            <v>6603.03</v>
          </cell>
          <cell r="B99" t="str">
            <v>　　银行手续费</v>
          </cell>
          <cell r="G99">
            <v>17</v>
          </cell>
          <cell r="H99">
            <v>17</v>
          </cell>
        </row>
        <row r="100">
          <cell r="A100" t="str">
            <v>6603.04</v>
          </cell>
          <cell r="B100" t="str">
            <v>　　利息收入</v>
          </cell>
          <cell r="G100">
            <v>-1446.25</v>
          </cell>
          <cell r="H100">
            <v>-1446.25</v>
          </cell>
        </row>
        <row r="101">
          <cell r="B101" t="str">
            <v>合计</v>
          </cell>
          <cell r="E101">
            <v>7849946.3700000001</v>
          </cell>
          <cell r="F101">
            <v>7849946.3700000001</v>
          </cell>
          <cell r="G101">
            <v>1549897.99</v>
          </cell>
          <cell r="H101">
            <v>1549897.99</v>
          </cell>
        </row>
      </sheetData>
      <sheetData sheetId="2">
        <row r="1">
          <cell r="A1" t="str">
            <v>币别:人民币</v>
          </cell>
          <cell r="B1" t="str">
            <v>账簿:深圳旭智私募股权基金管理有限公司</v>
          </cell>
          <cell r="C1" t="str">
            <v>期间:2025.3 -- 2025.3</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7379571.6600000001</v>
          </cell>
          <cell r="G4">
            <v>7944966.4199999999</v>
          </cell>
          <cell r="H4">
            <v>13324232.85</v>
          </cell>
        </row>
        <row r="5">
          <cell r="A5" t="str">
            <v>1002.23</v>
          </cell>
          <cell r="B5" t="str">
            <v>　　【旭智私募】银行存款账户</v>
          </cell>
          <cell r="E5">
            <v>7379571.6600000001</v>
          </cell>
          <cell r="G5">
            <v>7944966.4199999999</v>
          </cell>
          <cell r="H5">
            <v>13324232.85</v>
          </cell>
        </row>
        <row r="6">
          <cell r="A6" t="str">
            <v>1002.23.01</v>
          </cell>
          <cell r="B6" t="str">
            <v>　　　　农业银行账户</v>
          </cell>
          <cell r="E6">
            <v>7379571.6600000001</v>
          </cell>
          <cell r="G6">
            <v>7944966.4199999999</v>
          </cell>
          <cell r="H6">
            <v>13324232.85</v>
          </cell>
        </row>
        <row r="7">
          <cell r="A7" t="str">
            <v>1002.23.01.01</v>
          </cell>
          <cell r="B7" t="str">
            <v>　　　　　　【旭智私募】农行 人民币基本户 6018</v>
          </cell>
          <cell r="E7">
            <v>345410.66</v>
          </cell>
          <cell r="G7">
            <v>1400037.55</v>
          </cell>
          <cell r="H7">
            <v>397021.26</v>
          </cell>
        </row>
        <row r="8">
          <cell r="A8" t="str">
            <v>1002.23.01.01.01</v>
          </cell>
          <cell r="B8" t="str">
            <v>　　　　　　　　【旭智私募】农行 人民币基本户 6018 活期存款</v>
          </cell>
          <cell r="E8">
            <v>345410.66</v>
          </cell>
          <cell r="G8">
            <v>1400037.55</v>
          </cell>
          <cell r="H8">
            <v>397021.26</v>
          </cell>
        </row>
        <row r="9">
          <cell r="A9" t="str">
            <v>1002.23.01.01.02</v>
          </cell>
          <cell r="B9" t="str">
            <v>　　　　　　　　【旭智私募】农行 人民币基本户 6018 七天通知存款</v>
          </cell>
        </row>
        <row r="10">
          <cell r="A10" t="str">
            <v>1002.23.01.02</v>
          </cell>
          <cell r="B10" t="str">
            <v>　　　　　　【旭智私募】农行 人民币资本金账户 6026</v>
          </cell>
          <cell r="E10">
            <v>1866762.86</v>
          </cell>
          <cell r="G10">
            <v>1865350.48</v>
          </cell>
          <cell r="H10">
            <v>3660000</v>
          </cell>
        </row>
        <row r="11">
          <cell r="A11" t="str">
            <v>1002.23.01.02.01</v>
          </cell>
          <cell r="B11" t="str">
            <v>　　　　　　　　【旭智私募】农行 人民币资本金账户 6026 活期存款</v>
          </cell>
          <cell r="E11">
            <v>6762.86</v>
          </cell>
          <cell r="G11">
            <v>1865350.48</v>
          </cell>
          <cell r="H11">
            <v>1800000</v>
          </cell>
        </row>
        <row r="12">
          <cell r="A12" t="str">
            <v>1002.23.01.02.02</v>
          </cell>
          <cell r="B12" t="str">
            <v>　　　　　　　　【旭智私募】农行 人民币资本金账户 6026 七天通知存款</v>
          </cell>
          <cell r="E12">
            <v>1860000</v>
          </cell>
          <cell r="H12">
            <v>1860000</v>
          </cell>
        </row>
        <row r="13">
          <cell r="A13" t="str">
            <v>1002.23.01.03</v>
          </cell>
          <cell r="B13" t="str">
            <v>　　　　　　【旭智私募】农行 港元资本金账户 7230</v>
          </cell>
          <cell r="E13">
            <v>692.77</v>
          </cell>
          <cell r="G13">
            <v>692.98</v>
          </cell>
          <cell r="H13">
            <v>692.79</v>
          </cell>
        </row>
        <row r="14">
          <cell r="A14" t="str">
            <v>1002.23.01.04</v>
          </cell>
          <cell r="B14" t="str">
            <v>　　　　　　【旭智私募】农行 人民币结汇待支付账户 7248</v>
          </cell>
          <cell r="E14">
            <v>5166705.37</v>
          </cell>
          <cell r="G14">
            <v>4678885.41</v>
          </cell>
          <cell r="H14">
            <v>9266518.8000000007</v>
          </cell>
        </row>
        <row r="15">
          <cell r="A15" t="str">
            <v>1002.23.01.04.01</v>
          </cell>
          <cell r="B15" t="str">
            <v>　　　　　　　　【旭智私募】农行 人民币结汇待支付账户 7248 活期存款</v>
          </cell>
          <cell r="E15">
            <v>186.57</v>
          </cell>
          <cell r="G15">
            <v>4678885.41</v>
          </cell>
          <cell r="H15">
            <v>4600000</v>
          </cell>
        </row>
        <row r="16">
          <cell r="A16" t="str">
            <v>1002.23.01.04.02</v>
          </cell>
          <cell r="B16" t="str">
            <v>　　　　　　　　【旭智私募】农行 人民币结汇待支付账户 7248 定期存款</v>
          </cell>
          <cell r="E16">
            <v>5166518.8</v>
          </cell>
          <cell r="H16">
            <v>4666518.8</v>
          </cell>
        </row>
        <row r="17">
          <cell r="A17" t="str">
            <v>1101</v>
          </cell>
          <cell r="B17" t="str">
            <v>交易性金融资产</v>
          </cell>
          <cell r="G17">
            <v>5000000</v>
          </cell>
        </row>
        <row r="18">
          <cell r="A18" t="str">
            <v>1101.01</v>
          </cell>
          <cell r="B18" t="str">
            <v>　　投资成本</v>
          </cell>
          <cell r="G18">
            <v>5000000</v>
          </cell>
        </row>
        <row r="19">
          <cell r="A19" t="str">
            <v>1101.01.03</v>
          </cell>
          <cell r="B19" t="str">
            <v>　　　　银行理财</v>
          </cell>
          <cell r="G19">
            <v>5000000</v>
          </cell>
        </row>
        <row r="20">
          <cell r="A20" t="str">
            <v>1123</v>
          </cell>
          <cell r="B20" t="str">
            <v>预付账款</v>
          </cell>
          <cell r="E20">
            <v>10000</v>
          </cell>
        </row>
        <row r="21">
          <cell r="A21" t="str">
            <v>1123.01</v>
          </cell>
          <cell r="B21" t="str">
            <v>　　单位</v>
          </cell>
          <cell r="E21">
            <v>10000</v>
          </cell>
        </row>
        <row r="22">
          <cell r="A22" t="str">
            <v>1123.01</v>
          </cell>
          <cell r="B22" t="str">
            <v>　　单位</v>
          </cell>
          <cell r="C22" t="str">
            <v>SU007002</v>
          </cell>
          <cell r="D22" t="str">
            <v>中国再生能源学会</v>
          </cell>
          <cell r="E22">
            <v>10000</v>
          </cell>
        </row>
        <row r="23">
          <cell r="A23" t="str">
            <v>1221</v>
          </cell>
          <cell r="B23" t="str">
            <v>其他应收款</v>
          </cell>
          <cell r="E23">
            <v>13000</v>
          </cell>
        </row>
        <row r="24">
          <cell r="A24" t="str">
            <v>1221.01</v>
          </cell>
          <cell r="B24" t="str">
            <v>　　单位</v>
          </cell>
          <cell r="E24">
            <v>13000</v>
          </cell>
        </row>
        <row r="25">
          <cell r="A25" t="str">
            <v>1221.01</v>
          </cell>
          <cell r="B25" t="str">
            <v>　　单位</v>
          </cell>
          <cell r="C25" t="str">
            <v>CU006005</v>
          </cell>
          <cell r="D25" t="str">
            <v>长峻物业管理(深圳)有限公司</v>
          </cell>
          <cell r="E25">
            <v>13000</v>
          </cell>
        </row>
        <row r="26">
          <cell r="A26" t="str">
            <v>1601</v>
          </cell>
          <cell r="B26" t="str">
            <v>固定资产</v>
          </cell>
          <cell r="E26">
            <v>2585</v>
          </cell>
        </row>
        <row r="27">
          <cell r="A27" t="str">
            <v>1601.04</v>
          </cell>
          <cell r="B27" t="str">
            <v>　　家具设备</v>
          </cell>
          <cell r="E27">
            <v>2585</v>
          </cell>
        </row>
        <row r="28">
          <cell r="A28" t="str">
            <v>1602</v>
          </cell>
          <cell r="B28" t="str">
            <v>累计折旧</v>
          </cell>
          <cell r="F28">
            <v>327.44</v>
          </cell>
          <cell r="H28">
            <v>40.93</v>
          </cell>
        </row>
        <row r="29">
          <cell r="A29" t="str">
            <v>1602.04</v>
          </cell>
          <cell r="B29" t="str">
            <v>　　家具设备</v>
          </cell>
          <cell r="F29">
            <v>327.44</v>
          </cell>
          <cell r="H29">
            <v>40.93</v>
          </cell>
        </row>
        <row r="30">
          <cell r="A30" t="str">
            <v>1641</v>
          </cell>
          <cell r="B30" t="str">
            <v>使用权资产</v>
          </cell>
          <cell r="E30">
            <v>125696.44</v>
          </cell>
        </row>
        <row r="31">
          <cell r="A31" t="str">
            <v>1641.03</v>
          </cell>
          <cell r="B31" t="str">
            <v>　　注册地址</v>
          </cell>
          <cell r="E31">
            <v>125696.44</v>
          </cell>
        </row>
        <row r="32">
          <cell r="A32" t="str">
            <v>1641.03.01</v>
          </cell>
          <cell r="B32" t="str">
            <v>　　　　旭智私募--前海壹号B座701E</v>
          </cell>
          <cell r="E32">
            <v>125696.44</v>
          </cell>
        </row>
        <row r="33">
          <cell r="A33" t="str">
            <v>1642</v>
          </cell>
          <cell r="B33" t="str">
            <v>使用权资产累计折旧</v>
          </cell>
          <cell r="F33">
            <v>62848.21</v>
          </cell>
          <cell r="H33">
            <v>6284.82</v>
          </cell>
        </row>
        <row r="34">
          <cell r="A34" t="str">
            <v>1642.03</v>
          </cell>
          <cell r="B34" t="str">
            <v>　　注册地址</v>
          </cell>
          <cell r="F34">
            <v>62848.21</v>
          </cell>
          <cell r="H34">
            <v>6284.82</v>
          </cell>
        </row>
        <row r="35">
          <cell r="A35" t="str">
            <v>1642.03.01</v>
          </cell>
          <cell r="B35" t="str">
            <v>　　　　旭智私募--前海壹号B座701E</v>
          </cell>
          <cell r="F35">
            <v>62848.21</v>
          </cell>
          <cell r="H35">
            <v>6284.82</v>
          </cell>
        </row>
        <row r="36">
          <cell r="A36" t="str">
            <v>2211</v>
          </cell>
          <cell r="B36" t="str">
            <v>应付职工薪酬</v>
          </cell>
          <cell r="F36">
            <v>54000</v>
          </cell>
          <cell r="G36">
            <v>308650.31</v>
          </cell>
          <cell r="H36">
            <v>254650.31</v>
          </cell>
        </row>
        <row r="37">
          <cell r="A37" t="str">
            <v>2211.01</v>
          </cell>
          <cell r="B37" t="str">
            <v>　　职工工资</v>
          </cell>
          <cell r="G37">
            <v>211937.36</v>
          </cell>
          <cell r="H37">
            <v>211937.36</v>
          </cell>
        </row>
        <row r="38">
          <cell r="A38" t="str">
            <v>2211.02</v>
          </cell>
          <cell r="B38" t="str">
            <v>　　职工奖金</v>
          </cell>
          <cell r="F38">
            <v>54000</v>
          </cell>
          <cell r="G38">
            <v>54000</v>
          </cell>
        </row>
        <row r="39">
          <cell r="A39" t="str">
            <v>2211.05</v>
          </cell>
          <cell r="B39" t="str">
            <v>　　社会保险费</v>
          </cell>
          <cell r="G39">
            <v>15007.79</v>
          </cell>
          <cell r="H39">
            <v>15007.79</v>
          </cell>
        </row>
        <row r="40">
          <cell r="A40" t="str">
            <v>2211.06</v>
          </cell>
          <cell r="B40" t="str">
            <v>　　住房公积金</v>
          </cell>
          <cell r="G40">
            <v>21905.16</v>
          </cell>
          <cell r="H40">
            <v>21905.16</v>
          </cell>
        </row>
        <row r="41">
          <cell r="A41" t="str">
            <v>2211.08</v>
          </cell>
          <cell r="B41" t="str">
            <v>　　职工教育经费</v>
          </cell>
          <cell r="G41">
            <v>5800</v>
          </cell>
          <cell r="H41">
            <v>5800</v>
          </cell>
        </row>
        <row r="42">
          <cell r="A42" t="str">
            <v>2221</v>
          </cell>
          <cell r="B42" t="str">
            <v>应交税费</v>
          </cell>
          <cell r="F42">
            <v>14024.85</v>
          </cell>
          <cell r="G42">
            <v>18721.68</v>
          </cell>
          <cell r="H42">
            <v>31368.95</v>
          </cell>
        </row>
        <row r="43">
          <cell r="A43" t="str">
            <v>2221.01</v>
          </cell>
          <cell r="B43" t="str">
            <v>　　应交增值税</v>
          </cell>
          <cell r="G43">
            <v>764.63</v>
          </cell>
          <cell r="H43">
            <v>764.63</v>
          </cell>
        </row>
        <row r="44">
          <cell r="A44" t="str">
            <v>2221.01.03</v>
          </cell>
          <cell r="B44" t="str">
            <v>　　　　进项税额</v>
          </cell>
          <cell r="G44">
            <v>764.63</v>
          </cell>
          <cell r="H44">
            <v>764.63</v>
          </cell>
        </row>
        <row r="45">
          <cell r="A45" t="str">
            <v>2221.03</v>
          </cell>
          <cell r="B45" t="str">
            <v>　　暂估进项税额</v>
          </cell>
        </row>
        <row r="46">
          <cell r="A46" t="str">
            <v>2221.06</v>
          </cell>
          <cell r="B46" t="str">
            <v>　　待认证进项税额</v>
          </cell>
          <cell r="G46">
            <v>764.63</v>
          </cell>
          <cell r="H46">
            <v>764.63</v>
          </cell>
        </row>
        <row r="47">
          <cell r="A47" t="str">
            <v>2221.07</v>
          </cell>
          <cell r="B47" t="str">
            <v>　　待抵扣进项税额</v>
          </cell>
          <cell r="F47">
            <v>-2402.94</v>
          </cell>
          <cell r="G47">
            <v>764.63</v>
          </cell>
        </row>
        <row r="48">
          <cell r="A48" t="str">
            <v>2221.16</v>
          </cell>
          <cell r="B48" t="str">
            <v>　　应交个人所得税</v>
          </cell>
          <cell r="F48">
            <v>16427.79</v>
          </cell>
          <cell r="G48">
            <v>16427.79</v>
          </cell>
          <cell r="H48">
            <v>29839.69</v>
          </cell>
        </row>
        <row r="49">
          <cell r="A49" t="str">
            <v>2241</v>
          </cell>
          <cell r="B49" t="str">
            <v>其他应付款</v>
          </cell>
          <cell r="F49">
            <v>44809.66</v>
          </cell>
          <cell r="G49">
            <v>20477.650000000001</v>
          </cell>
          <cell r="H49">
            <v>17380.849999999999</v>
          </cell>
        </row>
        <row r="50">
          <cell r="A50" t="str">
            <v>2241.01</v>
          </cell>
          <cell r="B50" t="str">
            <v>　　单位</v>
          </cell>
          <cell r="F50">
            <v>43280</v>
          </cell>
          <cell r="G50">
            <v>10466.6</v>
          </cell>
          <cell r="H50">
            <v>8066.6</v>
          </cell>
        </row>
        <row r="51">
          <cell r="A51" t="str">
            <v>2241.01</v>
          </cell>
          <cell r="B51" t="str">
            <v>　　单位</v>
          </cell>
          <cell r="C51" t="str">
            <v>SU005004</v>
          </cell>
          <cell r="D51" t="str">
            <v>上海爱文人才服务有限公司</v>
          </cell>
          <cell r="G51">
            <v>1400</v>
          </cell>
          <cell r="H51">
            <v>1400</v>
          </cell>
        </row>
        <row r="52">
          <cell r="A52" t="str">
            <v>2241.01</v>
          </cell>
          <cell r="B52" t="str">
            <v>　　单位</v>
          </cell>
          <cell r="C52" t="str">
            <v>SU005007</v>
          </cell>
          <cell r="D52" t="str">
            <v>普华永道中天会计师事务所（特殊普通合伙）</v>
          </cell>
          <cell r="F52">
            <v>40000</v>
          </cell>
        </row>
        <row r="53">
          <cell r="A53" t="str">
            <v>2241.01</v>
          </cell>
          <cell r="B53" t="str">
            <v>　　单位</v>
          </cell>
          <cell r="C53" t="str">
            <v>SU005044</v>
          </cell>
          <cell r="D53" t="str">
            <v>旭智咨询管理（深圳）有限责任公司</v>
          </cell>
          <cell r="F53">
            <v>2400</v>
          </cell>
          <cell r="G53">
            <v>2400</v>
          </cell>
        </row>
        <row r="54">
          <cell r="A54" t="str">
            <v>2241.01</v>
          </cell>
          <cell r="B54" t="str">
            <v>　　单位</v>
          </cell>
          <cell r="C54" t="str">
            <v>SU006025</v>
          </cell>
          <cell r="D54" t="str">
            <v>全景求是管理顾问（北京）有限公司</v>
          </cell>
          <cell r="F54">
            <v>880</v>
          </cell>
        </row>
        <row r="55">
          <cell r="A55" t="str">
            <v>2241.01</v>
          </cell>
          <cell r="B55" t="str">
            <v>　　单位</v>
          </cell>
          <cell r="C55" t="str">
            <v>SU007003</v>
          </cell>
          <cell r="D55" t="str">
            <v>长峻物业管理（深圳）有限公司</v>
          </cell>
          <cell r="G55">
            <v>6666.6</v>
          </cell>
          <cell r="H55">
            <v>6666.6</v>
          </cell>
        </row>
        <row r="56">
          <cell r="A56" t="str">
            <v>2241.02</v>
          </cell>
          <cell r="B56" t="str">
            <v>　　个人</v>
          </cell>
          <cell r="F56">
            <v>1529.66</v>
          </cell>
          <cell r="G56">
            <v>10011.049999999999</v>
          </cell>
          <cell r="H56">
            <v>9314.25</v>
          </cell>
        </row>
        <row r="57">
          <cell r="A57" t="str">
            <v>2241.02</v>
          </cell>
          <cell r="B57" t="str">
            <v>　　个人</v>
          </cell>
          <cell r="C57" t="str">
            <v>SP005001</v>
          </cell>
          <cell r="D57" t="str">
            <v>冯冠邦</v>
          </cell>
          <cell r="F57">
            <v>832.86</v>
          </cell>
        </row>
        <row r="58">
          <cell r="A58" t="str">
            <v>2241.02</v>
          </cell>
          <cell r="B58" t="str">
            <v>　　个人</v>
          </cell>
          <cell r="C58" t="str">
            <v>SP005006</v>
          </cell>
          <cell r="D58" t="str">
            <v>张歆</v>
          </cell>
          <cell r="G58">
            <v>8928.92</v>
          </cell>
          <cell r="H58">
            <v>8928.92</v>
          </cell>
        </row>
        <row r="59">
          <cell r="A59" t="str">
            <v>2241.02</v>
          </cell>
          <cell r="B59" t="str">
            <v>　　个人</v>
          </cell>
          <cell r="C59" t="str">
            <v>SP005011</v>
          </cell>
          <cell r="D59" t="str">
            <v>郭宗林</v>
          </cell>
          <cell r="F59">
            <v>652.80999999999995</v>
          </cell>
          <cell r="G59">
            <v>702.81</v>
          </cell>
          <cell r="H59">
            <v>50</v>
          </cell>
        </row>
        <row r="60">
          <cell r="A60" t="str">
            <v>2241.02</v>
          </cell>
          <cell r="B60" t="str">
            <v>　　个人</v>
          </cell>
          <cell r="C60" t="str">
            <v>SP006002</v>
          </cell>
          <cell r="D60" t="str">
            <v>陈灿</v>
          </cell>
        </row>
        <row r="61">
          <cell r="A61" t="str">
            <v>2241.02</v>
          </cell>
          <cell r="B61" t="str">
            <v>　　个人</v>
          </cell>
          <cell r="C61" t="str">
            <v>SP006009</v>
          </cell>
          <cell r="D61" t="str">
            <v>林秋蝶</v>
          </cell>
          <cell r="F61">
            <v>43.99</v>
          </cell>
          <cell r="G61">
            <v>379.32</v>
          </cell>
          <cell r="H61">
            <v>335.33</v>
          </cell>
        </row>
        <row r="62">
          <cell r="A62" t="str">
            <v>2241.02</v>
          </cell>
          <cell r="B62" t="str">
            <v>　　个人</v>
          </cell>
          <cell r="C62" t="str">
            <v>SP006010</v>
          </cell>
          <cell r="D62" t="str">
            <v>陈广华</v>
          </cell>
        </row>
        <row r="63">
          <cell r="A63" t="str">
            <v>2601</v>
          </cell>
          <cell r="B63" t="str">
            <v>租赁负债</v>
          </cell>
          <cell r="F63">
            <v>62404.1</v>
          </cell>
          <cell r="G63">
            <v>6349.14</v>
          </cell>
          <cell r="H63">
            <v>196.76</v>
          </cell>
        </row>
        <row r="64">
          <cell r="A64" t="str">
            <v>2601.01</v>
          </cell>
          <cell r="B64" t="str">
            <v>　　租赁付款额</v>
          </cell>
          <cell r="F64">
            <v>63491.4</v>
          </cell>
          <cell r="G64">
            <v>6349.14</v>
          </cell>
        </row>
        <row r="65">
          <cell r="A65" t="str">
            <v>2601.01.03</v>
          </cell>
          <cell r="B65" t="str">
            <v>　　　　注册地址</v>
          </cell>
          <cell r="F65">
            <v>63491.4</v>
          </cell>
          <cell r="G65">
            <v>6349.14</v>
          </cell>
        </row>
        <row r="66">
          <cell r="A66" t="str">
            <v>2601.01.03.01</v>
          </cell>
          <cell r="B66" t="str">
            <v>　　　　　　旭智私募--前海壹号B座701E</v>
          </cell>
          <cell r="F66">
            <v>63491.4</v>
          </cell>
          <cell r="G66">
            <v>6349.14</v>
          </cell>
        </row>
        <row r="67">
          <cell r="A67" t="str">
            <v>2601.02</v>
          </cell>
          <cell r="B67" t="str">
            <v>　　未确认融资费用</v>
          </cell>
          <cell r="F67">
            <v>-1087.3</v>
          </cell>
          <cell r="H67">
            <v>196.76</v>
          </cell>
        </row>
        <row r="68">
          <cell r="A68" t="str">
            <v>2601.02.03</v>
          </cell>
          <cell r="B68" t="str">
            <v>　　　　注册地址</v>
          </cell>
          <cell r="F68">
            <v>-1087.3</v>
          </cell>
          <cell r="H68">
            <v>196.76</v>
          </cell>
        </row>
        <row r="69">
          <cell r="A69" t="str">
            <v>2601.02.03.01</v>
          </cell>
          <cell r="B69" t="str">
            <v>　　　　　　旭智私募--前海壹号B座701E</v>
          </cell>
          <cell r="F69">
            <v>-1087.3</v>
          </cell>
          <cell r="H69">
            <v>196.76</v>
          </cell>
        </row>
        <row r="70">
          <cell r="A70" t="str">
            <v>4001</v>
          </cell>
          <cell r="B70" t="str">
            <v>实收资本（股本）</v>
          </cell>
          <cell r="F70">
            <v>10000000</v>
          </cell>
        </row>
        <row r="71">
          <cell r="A71" t="str">
            <v>4001.11</v>
          </cell>
          <cell r="B71" t="str">
            <v>　　旭智资本（香港）有限公司</v>
          </cell>
          <cell r="F71">
            <v>4900000</v>
          </cell>
        </row>
        <row r="72">
          <cell r="A72" t="str">
            <v>4001.20</v>
          </cell>
          <cell r="B72" t="str">
            <v>　　冯冠邦</v>
          </cell>
          <cell r="F72">
            <v>5100000</v>
          </cell>
        </row>
        <row r="73">
          <cell r="A73" t="str">
            <v>4103</v>
          </cell>
          <cell r="B73" t="str">
            <v>本年利润</v>
          </cell>
          <cell r="F73">
            <v>-611294.79</v>
          </cell>
          <cell r="G73">
            <v>334990.27</v>
          </cell>
        </row>
        <row r="74">
          <cell r="A74" t="str">
            <v>4104</v>
          </cell>
          <cell r="B74" t="str">
            <v>利润分配</v>
          </cell>
          <cell r="F74">
            <v>-2096266.37</v>
          </cell>
        </row>
        <row r="75">
          <cell r="A75" t="str">
            <v>4104.07</v>
          </cell>
          <cell r="B75" t="str">
            <v>　　未分配利润</v>
          </cell>
          <cell r="F75">
            <v>-2096266.37</v>
          </cell>
        </row>
        <row r="76">
          <cell r="A76" t="str">
            <v>6602</v>
          </cell>
          <cell r="B76" t="str">
            <v>管理费用</v>
          </cell>
          <cell r="G76">
            <v>352536.34</v>
          </cell>
          <cell r="H76">
            <v>352536.34</v>
          </cell>
        </row>
        <row r="77">
          <cell r="A77" t="str">
            <v>6602.01</v>
          </cell>
          <cell r="B77" t="str">
            <v>　　工资薪金</v>
          </cell>
          <cell r="G77">
            <v>273500</v>
          </cell>
          <cell r="H77">
            <v>273500</v>
          </cell>
        </row>
        <row r="78">
          <cell r="A78" t="str">
            <v>6602.01.01</v>
          </cell>
          <cell r="B78" t="str">
            <v>　　　　基本工资（专业）</v>
          </cell>
          <cell r="G78">
            <v>273500</v>
          </cell>
          <cell r="H78">
            <v>273500</v>
          </cell>
        </row>
        <row r="79">
          <cell r="A79" t="str">
            <v>6602.03</v>
          </cell>
          <cell r="B79" t="str">
            <v>　　社保公积金</v>
          </cell>
          <cell r="G79">
            <v>56940.31</v>
          </cell>
          <cell r="H79">
            <v>56940.31</v>
          </cell>
        </row>
        <row r="80">
          <cell r="A80" t="str">
            <v>6602.03.01</v>
          </cell>
          <cell r="B80" t="str">
            <v>　　　　员工社保福利</v>
          </cell>
          <cell r="G80">
            <v>35035.15</v>
          </cell>
          <cell r="H80">
            <v>35035.15</v>
          </cell>
        </row>
        <row r="81">
          <cell r="A81" t="str">
            <v>6602.03.02</v>
          </cell>
          <cell r="B81" t="str">
            <v>　　　　员工公积金福利</v>
          </cell>
          <cell r="G81">
            <v>21905.16</v>
          </cell>
          <cell r="H81">
            <v>21905.16</v>
          </cell>
        </row>
        <row r="82">
          <cell r="A82" t="str">
            <v>6602.04</v>
          </cell>
          <cell r="B82" t="str">
            <v>　　咨询及专业服务费</v>
          </cell>
          <cell r="G82">
            <v>1400</v>
          </cell>
          <cell r="H82">
            <v>1400</v>
          </cell>
        </row>
        <row r="83">
          <cell r="A83" t="str">
            <v>6602.04.07</v>
          </cell>
          <cell r="B83" t="str">
            <v>　　　　人力资源服务费</v>
          </cell>
          <cell r="G83">
            <v>1400</v>
          </cell>
          <cell r="H83">
            <v>1400</v>
          </cell>
        </row>
        <row r="84">
          <cell r="A84" t="str">
            <v>6602.08</v>
          </cell>
          <cell r="B84" t="str">
            <v>　　事务费用</v>
          </cell>
          <cell r="G84">
            <v>-99.44</v>
          </cell>
          <cell r="H84">
            <v>-99.44</v>
          </cell>
        </row>
        <row r="85">
          <cell r="A85" t="str">
            <v>6602.08.01</v>
          </cell>
          <cell r="B85" t="str">
            <v>　　　　通信费</v>
          </cell>
          <cell r="G85">
            <v>-99.44</v>
          </cell>
          <cell r="H85">
            <v>-99.44</v>
          </cell>
        </row>
        <row r="86">
          <cell r="A86" t="str">
            <v>6602.08.01</v>
          </cell>
          <cell r="B86" t="str">
            <v>　　　　通信费</v>
          </cell>
          <cell r="C86" t="str">
            <v>CI005</v>
          </cell>
          <cell r="D86" t="str">
            <v>旭智私募</v>
          </cell>
          <cell r="G86">
            <v>-99.44</v>
          </cell>
          <cell r="H86">
            <v>-99.44</v>
          </cell>
        </row>
        <row r="87">
          <cell r="A87" t="str">
            <v>6602.08.05</v>
          </cell>
          <cell r="B87" t="str">
            <v>　　　　邮费/邮递费</v>
          </cell>
        </row>
        <row r="88">
          <cell r="A88" t="str">
            <v>6602.08.05</v>
          </cell>
          <cell r="B88" t="str">
            <v>　　　　邮费/邮递费</v>
          </cell>
          <cell r="C88" t="str">
            <v>CI005</v>
          </cell>
          <cell r="D88" t="str">
            <v>旭智私募</v>
          </cell>
        </row>
        <row r="89">
          <cell r="A89" t="str">
            <v>6602.09</v>
          </cell>
          <cell r="B89" t="str">
            <v>　　差旅费</v>
          </cell>
          <cell r="G89">
            <v>8998.02</v>
          </cell>
          <cell r="H89">
            <v>8998.02</v>
          </cell>
        </row>
        <row r="90">
          <cell r="A90" t="str">
            <v>6602.09.01</v>
          </cell>
          <cell r="B90" t="str">
            <v>　　　　住宿费</v>
          </cell>
          <cell r="G90">
            <v>1246.1300000000001</v>
          </cell>
          <cell r="H90">
            <v>1246.1300000000001</v>
          </cell>
        </row>
        <row r="91">
          <cell r="A91" t="str">
            <v>6602.09.01</v>
          </cell>
          <cell r="B91" t="str">
            <v>　　　　住宿费</v>
          </cell>
          <cell r="C91" t="str">
            <v>CI005</v>
          </cell>
          <cell r="D91" t="str">
            <v>旭智私募</v>
          </cell>
          <cell r="G91">
            <v>-118.87</v>
          </cell>
          <cell r="H91">
            <v>-118.87</v>
          </cell>
        </row>
        <row r="92">
          <cell r="A92" t="str">
            <v>6602.09.01</v>
          </cell>
          <cell r="B92" t="str">
            <v>　　　　住宿费</v>
          </cell>
          <cell r="C92" t="str">
            <v>CI007</v>
          </cell>
          <cell r="D92" t="str">
            <v>其他项目</v>
          </cell>
          <cell r="G92">
            <v>1365</v>
          </cell>
          <cell r="H92">
            <v>1365</v>
          </cell>
        </row>
        <row r="93">
          <cell r="A93" t="str">
            <v>6602.09.02</v>
          </cell>
          <cell r="B93" t="str">
            <v>　　　　伙食费</v>
          </cell>
        </row>
        <row r="94">
          <cell r="A94" t="str">
            <v>6602.09.02</v>
          </cell>
          <cell r="B94" t="str">
            <v>　　　　伙食费</v>
          </cell>
          <cell r="C94" t="str">
            <v>CI002</v>
          </cell>
          <cell r="D94" t="str">
            <v>旭智富能</v>
          </cell>
        </row>
        <row r="95">
          <cell r="A95" t="str">
            <v>6602.09.03</v>
          </cell>
          <cell r="B95" t="str">
            <v>　　　　地面交通费</v>
          </cell>
          <cell r="G95">
            <v>754.89</v>
          </cell>
          <cell r="H95">
            <v>754.89</v>
          </cell>
        </row>
        <row r="96">
          <cell r="A96" t="str">
            <v>6602.09.03</v>
          </cell>
          <cell r="B96" t="str">
            <v>　　　　地面交通费</v>
          </cell>
          <cell r="C96" t="str">
            <v>CI002</v>
          </cell>
          <cell r="D96" t="str">
            <v>旭智富能</v>
          </cell>
        </row>
        <row r="97">
          <cell r="A97" t="str">
            <v>6602.09.03</v>
          </cell>
          <cell r="B97" t="str">
            <v>　　　　地面交通费</v>
          </cell>
          <cell r="C97" t="str">
            <v>CI005</v>
          </cell>
          <cell r="D97" t="str">
            <v>旭智私募</v>
          </cell>
          <cell r="G97">
            <v>187.97</v>
          </cell>
          <cell r="H97">
            <v>187.97</v>
          </cell>
        </row>
        <row r="98">
          <cell r="A98" t="str">
            <v>6602.09.03</v>
          </cell>
          <cell r="B98" t="str">
            <v>　　　　地面交通费</v>
          </cell>
          <cell r="C98" t="str">
            <v>CI007</v>
          </cell>
          <cell r="D98" t="str">
            <v>其他项目</v>
          </cell>
          <cell r="G98">
            <v>566.91999999999996</v>
          </cell>
          <cell r="H98">
            <v>566.91999999999996</v>
          </cell>
        </row>
        <row r="99">
          <cell r="A99" t="str">
            <v>6602.09.04</v>
          </cell>
          <cell r="B99" t="str">
            <v>　　　　空中交通费</v>
          </cell>
          <cell r="G99">
            <v>6997</v>
          </cell>
          <cell r="H99">
            <v>6997</v>
          </cell>
        </row>
        <row r="100">
          <cell r="A100" t="str">
            <v>6602.09.04</v>
          </cell>
          <cell r="B100" t="str">
            <v>　　　　空中交通费</v>
          </cell>
          <cell r="C100" t="str">
            <v>CI007</v>
          </cell>
          <cell r="D100" t="str">
            <v>其他项目</v>
          </cell>
          <cell r="G100">
            <v>6997</v>
          </cell>
          <cell r="H100">
            <v>6997</v>
          </cell>
        </row>
        <row r="101">
          <cell r="A101" t="str">
            <v>6602.10</v>
          </cell>
          <cell r="B101" t="str">
            <v>　　折旧费</v>
          </cell>
          <cell r="G101">
            <v>40.93</v>
          </cell>
          <cell r="H101">
            <v>40.93</v>
          </cell>
        </row>
        <row r="102">
          <cell r="A102" t="str">
            <v>6602.10.04</v>
          </cell>
          <cell r="B102" t="str">
            <v>　　　　家具设备</v>
          </cell>
          <cell r="G102">
            <v>40.93</v>
          </cell>
          <cell r="H102">
            <v>40.93</v>
          </cell>
        </row>
        <row r="103">
          <cell r="A103" t="str">
            <v>6602.12</v>
          </cell>
          <cell r="B103" t="str">
            <v>　　使用权资产折旧</v>
          </cell>
          <cell r="G103">
            <v>6284.82</v>
          </cell>
          <cell r="H103">
            <v>6284.82</v>
          </cell>
        </row>
        <row r="104">
          <cell r="A104" t="str">
            <v>6602.12.03</v>
          </cell>
          <cell r="B104" t="str">
            <v>　　　　注册地址</v>
          </cell>
          <cell r="G104">
            <v>6284.82</v>
          </cell>
          <cell r="H104">
            <v>6284.82</v>
          </cell>
        </row>
        <row r="105">
          <cell r="A105" t="str">
            <v>6602.12.03.01</v>
          </cell>
          <cell r="B105" t="str">
            <v>　　　　　　旭智私募--前海壹号B座701E</v>
          </cell>
          <cell r="G105">
            <v>6284.82</v>
          </cell>
          <cell r="H105">
            <v>6284.82</v>
          </cell>
        </row>
        <row r="106">
          <cell r="A106" t="str">
            <v>6602.19</v>
          </cell>
          <cell r="B106" t="str">
            <v>　　会费（公司）</v>
          </cell>
        </row>
        <row r="107">
          <cell r="A107" t="str">
            <v>6602.20</v>
          </cell>
          <cell r="B107" t="str">
            <v>　　职工教育经费</v>
          </cell>
          <cell r="G107">
            <v>5471.7</v>
          </cell>
          <cell r="H107">
            <v>5471.7</v>
          </cell>
        </row>
        <row r="108">
          <cell r="A108" t="str">
            <v>6603</v>
          </cell>
          <cell r="B108" t="str">
            <v>财务费用</v>
          </cell>
          <cell r="G108">
            <v>-17546.07</v>
          </cell>
          <cell r="H108">
            <v>-17546.07</v>
          </cell>
        </row>
        <row r="109">
          <cell r="A109" t="str">
            <v>6603.01</v>
          </cell>
          <cell r="B109" t="str">
            <v>　　汇兑损益</v>
          </cell>
          <cell r="G109">
            <v>-0.17</v>
          </cell>
          <cell r="H109">
            <v>-0.17</v>
          </cell>
        </row>
        <row r="110">
          <cell r="A110" t="str">
            <v>6603.02</v>
          </cell>
          <cell r="B110" t="str">
            <v>　　利息费用</v>
          </cell>
          <cell r="G110">
            <v>196.76</v>
          </cell>
          <cell r="H110">
            <v>196.76</v>
          </cell>
        </row>
        <row r="111">
          <cell r="A111" t="str">
            <v>6603.02.03</v>
          </cell>
          <cell r="B111" t="str">
            <v>　　　　注册地址</v>
          </cell>
          <cell r="G111">
            <v>196.76</v>
          </cell>
          <cell r="H111">
            <v>196.76</v>
          </cell>
        </row>
        <row r="112">
          <cell r="A112" t="str">
            <v>6603.02.03.01</v>
          </cell>
          <cell r="B112" t="str">
            <v>　　　　　　旭智私募--前海壹号B座701E</v>
          </cell>
          <cell r="G112">
            <v>196.76</v>
          </cell>
          <cell r="H112">
            <v>196.76</v>
          </cell>
        </row>
        <row r="113">
          <cell r="A113" t="str">
            <v>6603.03</v>
          </cell>
          <cell r="B113" t="str">
            <v>　　银行手续费</v>
          </cell>
          <cell r="G113">
            <v>12</v>
          </cell>
          <cell r="H113">
            <v>12</v>
          </cell>
        </row>
        <row r="114">
          <cell r="A114" t="str">
            <v>6603.04</v>
          </cell>
          <cell r="B114" t="str">
            <v>　　利息收入</v>
          </cell>
          <cell r="G114">
            <v>-17754.66</v>
          </cell>
          <cell r="H114">
            <v>-17754.66</v>
          </cell>
        </row>
        <row r="115">
          <cell r="B115" t="str">
            <v>合计</v>
          </cell>
          <cell r="E115">
            <v>7530853.0999999996</v>
          </cell>
          <cell r="F115">
            <v>7530853.0999999996</v>
          </cell>
          <cell r="G115">
            <v>13969145.74</v>
          </cell>
          <cell r="H115">
            <v>13969145.74</v>
          </cell>
        </row>
      </sheetData>
      <sheetData sheetId="3">
        <row r="1">
          <cell r="A1" t="str">
            <v>币别:人民币</v>
          </cell>
          <cell r="B1" t="str">
            <v>账簿:深圳旭智私募股权基金管理有限公司</v>
          </cell>
          <cell r="C1" t="str">
            <v>期间:2025.4 -- 2025.4</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2000305.23</v>
          </cell>
          <cell r="G4">
            <v>1704225.03</v>
          </cell>
          <cell r="H4">
            <v>2042378.21</v>
          </cell>
        </row>
        <row r="5">
          <cell r="A5" t="str">
            <v>1002.23</v>
          </cell>
          <cell r="B5" t="str">
            <v>　　【旭智私募】银行存款账户</v>
          </cell>
          <cell r="E5">
            <v>2000305.23</v>
          </cell>
          <cell r="G5">
            <v>1704225.03</v>
          </cell>
          <cell r="H5">
            <v>2042378.21</v>
          </cell>
        </row>
        <row r="6">
          <cell r="A6" t="str">
            <v>1002.23.01</v>
          </cell>
          <cell r="B6" t="str">
            <v>　　　　农业银行账户</v>
          </cell>
          <cell r="E6">
            <v>2000305.23</v>
          </cell>
          <cell r="G6">
            <v>1704225.03</v>
          </cell>
          <cell r="H6">
            <v>2042378.21</v>
          </cell>
        </row>
        <row r="7">
          <cell r="A7" t="str">
            <v>1002.23.01.01</v>
          </cell>
          <cell r="B7" t="str">
            <v>　　　　　　【旭智私募】农行 人民币基本户 6018</v>
          </cell>
          <cell r="E7">
            <v>1348426.95</v>
          </cell>
          <cell r="G7">
            <v>1703528.09</v>
          </cell>
          <cell r="H7">
            <v>2041685.25</v>
          </cell>
        </row>
        <row r="8">
          <cell r="A8" t="str">
            <v>1002.23.01.01.01</v>
          </cell>
          <cell r="B8" t="str">
            <v>　　　　　　　　【旭智私募】农行 人民币基本户 6018 活期存款</v>
          </cell>
          <cell r="E8">
            <v>1348426.95</v>
          </cell>
          <cell r="G8">
            <v>403528.09</v>
          </cell>
          <cell r="H8">
            <v>1641685.25</v>
          </cell>
        </row>
        <row r="9">
          <cell r="A9" t="str">
            <v>1002.23.01.01.02</v>
          </cell>
          <cell r="B9" t="str">
            <v>　　　　　　　　【旭智私募】农行 人民币基本户 6018 七天通知存款</v>
          </cell>
          <cell r="G9">
            <v>1300000</v>
          </cell>
          <cell r="H9">
            <v>400000</v>
          </cell>
        </row>
        <row r="10">
          <cell r="A10" t="str">
            <v>1002.23.01.02</v>
          </cell>
          <cell r="B10" t="str">
            <v>　　　　　　【旭智私募】农行 人民币资本金账户 6026</v>
          </cell>
          <cell r="E10">
            <v>72113.34</v>
          </cell>
        </row>
        <row r="11">
          <cell r="A11" t="str">
            <v>1002.23.01.02.01</v>
          </cell>
          <cell r="B11" t="str">
            <v>　　　　　　　　【旭智私募】农行 人民币资本金账户 6026 活期存款</v>
          </cell>
          <cell r="E11">
            <v>72113.34</v>
          </cell>
        </row>
        <row r="12">
          <cell r="A12" t="str">
            <v>1002.23.01.02.02</v>
          </cell>
          <cell r="B12" t="str">
            <v>　　　　　　　　【旭智私募】农行 人民币资本金账户 6026 七天通知存款</v>
          </cell>
        </row>
        <row r="13">
          <cell r="A13" t="str">
            <v>1002.23.01.03</v>
          </cell>
          <cell r="B13" t="str">
            <v>　　　　　　【旭智私募】农行 港元资本金账户 7230</v>
          </cell>
          <cell r="E13">
            <v>692.96</v>
          </cell>
          <cell r="G13">
            <v>696.94</v>
          </cell>
          <cell r="H13">
            <v>692.96</v>
          </cell>
        </row>
        <row r="14">
          <cell r="A14" t="str">
            <v>1002.23.01.04</v>
          </cell>
          <cell r="B14" t="str">
            <v>　　　　　　【旭智私募】农行 人民币结汇待支付账户 7248</v>
          </cell>
          <cell r="E14">
            <v>579071.98</v>
          </cell>
        </row>
        <row r="15">
          <cell r="A15" t="str">
            <v>1002.23.01.04.01</v>
          </cell>
          <cell r="B15" t="str">
            <v>　　　　　　　　【旭智私募】农行 人民币结汇待支付账户 7248 活期存款</v>
          </cell>
          <cell r="E15">
            <v>79071.98</v>
          </cell>
        </row>
        <row r="16">
          <cell r="A16" t="str">
            <v>1002.23.01.04.02</v>
          </cell>
          <cell r="B16" t="str">
            <v>　　　　　　　　【旭智私募】农行 人民币结汇待支付账户 7248 定期存款</v>
          </cell>
          <cell r="E16">
            <v>500000</v>
          </cell>
        </row>
        <row r="17">
          <cell r="A17" t="str">
            <v>1101</v>
          </cell>
          <cell r="B17" t="str">
            <v>交易性金融资产</v>
          </cell>
          <cell r="E17">
            <v>5000000</v>
          </cell>
        </row>
        <row r="18">
          <cell r="A18" t="str">
            <v>1101.01</v>
          </cell>
          <cell r="B18" t="str">
            <v>　　投资成本</v>
          </cell>
          <cell r="E18">
            <v>5000000</v>
          </cell>
        </row>
        <row r="19">
          <cell r="A19" t="str">
            <v>1101.01.03</v>
          </cell>
          <cell r="B19" t="str">
            <v>　　　　银行理财</v>
          </cell>
          <cell r="E19">
            <v>5000000</v>
          </cell>
        </row>
        <row r="20">
          <cell r="A20" t="str">
            <v>1123</v>
          </cell>
          <cell r="B20" t="str">
            <v>预付账款</v>
          </cell>
          <cell r="E20">
            <v>10000</v>
          </cell>
        </row>
        <row r="21">
          <cell r="A21" t="str">
            <v>1123.01</v>
          </cell>
          <cell r="B21" t="str">
            <v>　　单位</v>
          </cell>
          <cell r="E21">
            <v>10000</v>
          </cell>
        </row>
        <row r="22">
          <cell r="A22" t="str">
            <v>1123.01</v>
          </cell>
          <cell r="B22" t="str">
            <v>　　单位</v>
          </cell>
          <cell r="C22" t="str">
            <v>SU007002</v>
          </cell>
          <cell r="D22" t="str">
            <v>中国再生能源学会</v>
          </cell>
          <cell r="E22">
            <v>10000</v>
          </cell>
        </row>
        <row r="23">
          <cell r="A23" t="str">
            <v>1221</v>
          </cell>
          <cell r="B23" t="str">
            <v>其他应收款</v>
          </cell>
          <cell r="E23">
            <v>13000</v>
          </cell>
        </row>
        <row r="24">
          <cell r="A24" t="str">
            <v>1221.01</v>
          </cell>
          <cell r="B24" t="str">
            <v>　　单位</v>
          </cell>
          <cell r="E24">
            <v>13000</v>
          </cell>
        </row>
        <row r="25">
          <cell r="A25" t="str">
            <v>1221.01</v>
          </cell>
          <cell r="B25" t="str">
            <v>　　单位</v>
          </cell>
          <cell r="C25" t="str">
            <v>CU006005</v>
          </cell>
          <cell r="D25" t="str">
            <v>长峻物业管理(深圳)有限公司</v>
          </cell>
          <cell r="E25">
            <v>13000</v>
          </cell>
        </row>
        <row r="26">
          <cell r="A26" t="str">
            <v>1601</v>
          </cell>
          <cell r="B26" t="str">
            <v>固定资产</v>
          </cell>
          <cell r="E26">
            <v>2585</v>
          </cell>
        </row>
        <row r="27">
          <cell r="A27" t="str">
            <v>1601.04</v>
          </cell>
          <cell r="B27" t="str">
            <v>　　家具设备</v>
          </cell>
          <cell r="E27">
            <v>2585</v>
          </cell>
        </row>
        <row r="28">
          <cell r="A28" t="str">
            <v>1602</v>
          </cell>
          <cell r="B28" t="str">
            <v>累计折旧</v>
          </cell>
          <cell r="F28">
            <v>368.37</v>
          </cell>
          <cell r="H28">
            <v>40.93</v>
          </cell>
        </row>
        <row r="29">
          <cell r="A29" t="str">
            <v>1602.04</v>
          </cell>
          <cell r="B29" t="str">
            <v>　　家具设备</v>
          </cell>
          <cell r="F29">
            <v>368.37</v>
          </cell>
          <cell r="H29">
            <v>40.93</v>
          </cell>
        </row>
        <row r="30">
          <cell r="A30" t="str">
            <v>1641</v>
          </cell>
          <cell r="B30" t="str">
            <v>使用权资产</v>
          </cell>
          <cell r="E30">
            <v>125696.44</v>
          </cell>
        </row>
        <row r="31">
          <cell r="A31" t="str">
            <v>1641.03</v>
          </cell>
          <cell r="B31" t="str">
            <v>　　注册地址</v>
          </cell>
          <cell r="E31">
            <v>125696.44</v>
          </cell>
        </row>
        <row r="32">
          <cell r="A32" t="str">
            <v>1641.03.01</v>
          </cell>
          <cell r="B32" t="str">
            <v>　　　　旭智私募--前海壹号B座701E</v>
          </cell>
          <cell r="E32">
            <v>125696.44</v>
          </cell>
        </row>
        <row r="33">
          <cell r="A33" t="str">
            <v>1642</v>
          </cell>
          <cell r="B33" t="str">
            <v>使用权资产累计折旧</v>
          </cell>
          <cell r="F33">
            <v>69133.03</v>
          </cell>
          <cell r="H33">
            <v>6284.82</v>
          </cell>
        </row>
        <row r="34">
          <cell r="A34" t="str">
            <v>1642.03</v>
          </cell>
          <cell r="B34" t="str">
            <v>　　注册地址</v>
          </cell>
          <cell r="F34">
            <v>69133.03</v>
          </cell>
          <cell r="H34">
            <v>6284.82</v>
          </cell>
        </row>
        <row r="35">
          <cell r="A35" t="str">
            <v>1642.03.01</v>
          </cell>
          <cell r="B35" t="str">
            <v>　　　　旭智私募--前海壹号B座701E</v>
          </cell>
          <cell r="F35">
            <v>69133.03</v>
          </cell>
          <cell r="H35">
            <v>6284.82</v>
          </cell>
        </row>
        <row r="36">
          <cell r="A36" t="str">
            <v>2211</v>
          </cell>
          <cell r="B36" t="str">
            <v>应付职工薪酬</v>
          </cell>
          <cell r="G36">
            <v>246834.15</v>
          </cell>
          <cell r="H36">
            <v>246834.15</v>
          </cell>
        </row>
        <row r="37">
          <cell r="A37" t="str">
            <v>2211.01</v>
          </cell>
          <cell r="B37" t="str">
            <v>　　职工工资</v>
          </cell>
          <cell r="G37">
            <v>209921.2</v>
          </cell>
          <cell r="H37">
            <v>209921.2</v>
          </cell>
        </row>
        <row r="38">
          <cell r="A38" t="str">
            <v>2211.02</v>
          </cell>
          <cell r="B38" t="str">
            <v>　　职工奖金</v>
          </cell>
        </row>
        <row r="39">
          <cell r="A39" t="str">
            <v>2211.05</v>
          </cell>
          <cell r="B39" t="str">
            <v>　　社会保险费</v>
          </cell>
          <cell r="G39">
            <v>15007.79</v>
          </cell>
          <cell r="H39">
            <v>15007.79</v>
          </cell>
        </row>
        <row r="40">
          <cell r="A40" t="str">
            <v>2211.06</v>
          </cell>
          <cell r="B40" t="str">
            <v>　　住房公积金</v>
          </cell>
          <cell r="G40">
            <v>21905.16</v>
          </cell>
          <cell r="H40">
            <v>21905.16</v>
          </cell>
        </row>
        <row r="41">
          <cell r="A41" t="str">
            <v>2211.08</v>
          </cell>
          <cell r="B41" t="str">
            <v>　　职工教育经费</v>
          </cell>
        </row>
        <row r="42">
          <cell r="A42" t="str">
            <v>2221</v>
          </cell>
          <cell r="B42" t="str">
            <v>应交税费</v>
          </cell>
          <cell r="F42">
            <v>26672.12</v>
          </cell>
          <cell r="G42">
            <v>30792.07</v>
          </cell>
          <cell r="H42">
            <v>27488.59</v>
          </cell>
        </row>
        <row r="43">
          <cell r="A43" t="str">
            <v>2221.01</v>
          </cell>
          <cell r="B43" t="str">
            <v>　　应交增值税</v>
          </cell>
          <cell r="G43">
            <v>505.28</v>
          </cell>
          <cell r="H43">
            <v>505.28</v>
          </cell>
        </row>
        <row r="44">
          <cell r="A44" t="str">
            <v>2221.01.01</v>
          </cell>
          <cell r="B44" t="str">
            <v>　　　　销项税额</v>
          </cell>
          <cell r="G44">
            <v>187.82</v>
          </cell>
          <cell r="H44">
            <v>187.82</v>
          </cell>
        </row>
        <row r="45">
          <cell r="A45" t="str">
            <v>2221.01.03</v>
          </cell>
          <cell r="B45" t="str">
            <v>　　　　进项税额</v>
          </cell>
          <cell r="G45">
            <v>317.45999999999998</v>
          </cell>
          <cell r="H45">
            <v>317.45999999999998</v>
          </cell>
        </row>
        <row r="46">
          <cell r="A46" t="str">
            <v>2221.03</v>
          </cell>
          <cell r="B46" t="str">
            <v>　　暂估进项税额</v>
          </cell>
        </row>
        <row r="47">
          <cell r="A47" t="str">
            <v>2221.06</v>
          </cell>
          <cell r="B47" t="str">
            <v>　　待认证进项税额</v>
          </cell>
          <cell r="G47">
            <v>317.45999999999998</v>
          </cell>
          <cell r="H47">
            <v>317.45999999999998</v>
          </cell>
        </row>
        <row r="48">
          <cell r="A48" t="str">
            <v>2221.07</v>
          </cell>
          <cell r="B48" t="str">
            <v>　　待抵扣进项税额</v>
          </cell>
          <cell r="F48">
            <v>-3167.57</v>
          </cell>
          <cell r="G48">
            <v>129.63999999999999</v>
          </cell>
        </row>
        <row r="49">
          <cell r="A49" t="str">
            <v>2221.16</v>
          </cell>
          <cell r="B49" t="str">
            <v>　　应交个人所得税</v>
          </cell>
          <cell r="F49">
            <v>29839.69</v>
          </cell>
          <cell r="G49">
            <v>29839.69</v>
          </cell>
          <cell r="H49">
            <v>26665.85</v>
          </cell>
        </row>
        <row r="50">
          <cell r="A50" t="str">
            <v>2241</v>
          </cell>
          <cell r="B50" t="str">
            <v>其他应付款</v>
          </cell>
          <cell r="F50">
            <v>41712.86</v>
          </cell>
          <cell r="G50">
            <v>8066.6</v>
          </cell>
          <cell r="H50">
            <v>8066.6</v>
          </cell>
        </row>
        <row r="51">
          <cell r="A51" t="str">
            <v>2241.01</v>
          </cell>
          <cell r="B51" t="str">
            <v>　　单位</v>
          </cell>
          <cell r="F51">
            <v>40880</v>
          </cell>
          <cell r="G51">
            <v>8066.6</v>
          </cell>
          <cell r="H51">
            <v>8066.6</v>
          </cell>
        </row>
        <row r="52">
          <cell r="A52" t="str">
            <v>2241.01</v>
          </cell>
          <cell r="B52" t="str">
            <v>　　单位</v>
          </cell>
          <cell r="C52" t="str">
            <v>SU005004</v>
          </cell>
          <cell r="D52" t="str">
            <v>上海爱文人才服务有限公司</v>
          </cell>
          <cell r="G52">
            <v>1400</v>
          </cell>
          <cell r="H52">
            <v>1400</v>
          </cell>
        </row>
        <row r="53">
          <cell r="A53" t="str">
            <v>2241.01</v>
          </cell>
          <cell r="B53" t="str">
            <v>　　单位</v>
          </cell>
          <cell r="C53" t="str">
            <v>SU005007</v>
          </cell>
          <cell r="D53" t="str">
            <v>普华永道中天会计师事务所（特殊普通合伙）</v>
          </cell>
          <cell r="F53">
            <v>40000</v>
          </cell>
        </row>
        <row r="54">
          <cell r="A54" t="str">
            <v>2241.01</v>
          </cell>
          <cell r="B54" t="str">
            <v>　　单位</v>
          </cell>
          <cell r="C54" t="str">
            <v>SU005044</v>
          </cell>
          <cell r="D54" t="str">
            <v>旭智咨询管理（深圳）有限责任公司</v>
          </cell>
        </row>
        <row r="55">
          <cell r="A55" t="str">
            <v>2241.01</v>
          </cell>
          <cell r="B55" t="str">
            <v>　　单位</v>
          </cell>
          <cell r="C55" t="str">
            <v>SU006025</v>
          </cell>
          <cell r="D55" t="str">
            <v>全景求是管理顾问（北京）有限公司</v>
          </cell>
          <cell r="F55">
            <v>880</v>
          </cell>
        </row>
        <row r="56">
          <cell r="A56" t="str">
            <v>2241.01</v>
          </cell>
          <cell r="B56" t="str">
            <v>　　单位</v>
          </cell>
          <cell r="C56" t="str">
            <v>SU007003</v>
          </cell>
          <cell r="D56" t="str">
            <v>长峻物业管理（深圳）有限公司</v>
          </cell>
          <cell r="G56">
            <v>6666.6</v>
          </cell>
          <cell r="H56">
            <v>6666.6</v>
          </cell>
        </row>
        <row r="57">
          <cell r="A57" t="str">
            <v>2241.02</v>
          </cell>
          <cell r="B57" t="str">
            <v>　　个人</v>
          </cell>
          <cell r="F57">
            <v>832.86</v>
          </cell>
        </row>
        <row r="58">
          <cell r="A58" t="str">
            <v>2241.02</v>
          </cell>
          <cell r="B58" t="str">
            <v>　　个人</v>
          </cell>
          <cell r="C58" t="str">
            <v>SP005001</v>
          </cell>
          <cell r="D58" t="str">
            <v>冯冠邦</v>
          </cell>
          <cell r="F58">
            <v>832.86</v>
          </cell>
        </row>
        <row r="59">
          <cell r="A59" t="str">
            <v>2241.02</v>
          </cell>
          <cell r="B59" t="str">
            <v>　　个人</v>
          </cell>
          <cell r="C59" t="str">
            <v>SP005006</v>
          </cell>
          <cell r="D59" t="str">
            <v>张歆</v>
          </cell>
        </row>
        <row r="60">
          <cell r="A60" t="str">
            <v>2241.02</v>
          </cell>
          <cell r="B60" t="str">
            <v>　　个人</v>
          </cell>
          <cell r="C60" t="str">
            <v>SP005011</v>
          </cell>
          <cell r="D60" t="str">
            <v>郭宗林</v>
          </cell>
        </row>
        <row r="61">
          <cell r="A61" t="str">
            <v>2241.02</v>
          </cell>
          <cell r="B61" t="str">
            <v>　　个人</v>
          </cell>
          <cell r="C61" t="str">
            <v>SP006002</v>
          </cell>
          <cell r="D61" t="str">
            <v>陈灿</v>
          </cell>
        </row>
        <row r="62">
          <cell r="A62" t="str">
            <v>2241.02</v>
          </cell>
          <cell r="B62" t="str">
            <v>　　个人</v>
          </cell>
          <cell r="C62" t="str">
            <v>SP006009</v>
          </cell>
          <cell r="D62" t="str">
            <v>林秋蝶</v>
          </cell>
        </row>
        <row r="63">
          <cell r="A63" t="str">
            <v>2241.02</v>
          </cell>
          <cell r="B63" t="str">
            <v>　　个人</v>
          </cell>
          <cell r="C63" t="str">
            <v>SP006010</v>
          </cell>
          <cell r="D63" t="str">
            <v>陈广华</v>
          </cell>
        </row>
        <row r="64">
          <cell r="A64" t="str">
            <v>2601</v>
          </cell>
          <cell r="B64" t="str">
            <v>租赁负债</v>
          </cell>
          <cell r="F64">
            <v>56251.72</v>
          </cell>
          <cell r="G64">
            <v>6349.14</v>
          </cell>
          <cell r="H64">
            <v>177.37</v>
          </cell>
        </row>
        <row r="65">
          <cell r="A65" t="str">
            <v>2601.01</v>
          </cell>
          <cell r="B65" t="str">
            <v>　　租赁付款额</v>
          </cell>
          <cell r="F65">
            <v>57142.26</v>
          </cell>
          <cell r="G65">
            <v>6349.14</v>
          </cell>
        </row>
        <row r="66">
          <cell r="A66" t="str">
            <v>2601.01.03</v>
          </cell>
          <cell r="B66" t="str">
            <v>　　　　注册地址</v>
          </cell>
          <cell r="F66">
            <v>57142.26</v>
          </cell>
          <cell r="G66">
            <v>6349.14</v>
          </cell>
        </row>
        <row r="67">
          <cell r="A67" t="str">
            <v>2601.01.03.01</v>
          </cell>
          <cell r="B67" t="str">
            <v>　　　　　　旭智私募--前海壹号B座701E</v>
          </cell>
          <cell r="F67">
            <v>57142.26</v>
          </cell>
          <cell r="G67">
            <v>6349.14</v>
          </cell>
        </row>
        <row r="68">
          <cell r="A68" t="str">
            <v>2601.02</v>
          </cell>
          <cell r="B68" t="str">
            <v>　　未确认融资费用</v>
          </cell>
          <cell r="F68">
            <v>-890.54</v>
          </cell>
          <cell r="H68">
            <v>177.37</v>
          </cell>
        </row>
        <row r="69">
          <cell r="A69" t="str">
            <v>2601.02.03</v>
          </cell>
          <cell r="B69" t="str">
            <v>　　　　注册地址</v>
          </cell>
          <cell r="F69">
            <v>-890.54</v>
          </cell>
          <cell r="H69">
            <v>177.37</v>
          </cell>
        </row>
        <row r="70">
          <cell r="A70" t="str">
            <v>2601.02.03.01</v>
          </cell>
          <cell r="B70" t="str">
            <v>　　　　　　旭智私募--前海壹号B座701E</v>
          </cell>
          <cell r="F70">
            <v>-890.54</v>
          </cell>
          <cell r="H70">
            <v>177.37</v>
          </cell>
        </row>
        <row r="71">
          <cell r="A71" t="str">
            <v>4001</v>
          </cell>
          <cell r="B71" t="str">
            <v>实收资本（股本）</v>
          </cell>
          <cell r="F71">
            <v>10000000</v>
          </cell>
        </row>
        <row r="72">
          <cell r="A72" t="str">
            <v>4001.11</v>
          </cell>
          <cell r="B72" t="str">
            <v>　　旭智资本（香港）有限公司</v>
          </cell>
          <cell r="F72">
            <v>4900000</v>
          </cell>
        </row>
        <row r="73">
          <cell r="A73" t="str">
            <v>4001.20</v>
          </cell>
          <cell r="B73" t="str">
            <v>　　冯冠邦</v>
          </cell>
          <cell r="F73">
            <v>5100000</v>
          </cell>
        </row>
        <row r="74">
          <cell r="A74" t="str">
            <v>4103</v>
          </cell>
          <cell r="B74" t="str">
            <v>本年利润</v>
          </cell>
          <cell r="F74">
            <v>-946285.06</v>
          </cell>
          <cell r="G74">
            <v>338133.95</v>
          </cell>
          <cell r="H74">
            <v>3130.27</v>
          </cell>
        </row>
        <row r="75">
          <cell r="A75" t="str">
            <v>4104</v>
          </cell>
          <cell r="B75" t="str">
            <v>利润分配</v>
          </cell>
          <cell r="F75">
            <v>-2096266.37</v>
          </cell>
        </row>
        <row r="76">
          <cell r="A76" t="str">
            <v>4104.07</v>
          </cell>
          <cell r="B76" t="str">
            <v>　　未分配利润</v>
          </cell>
          <cell r="F76">
            <v>-2096266.37</v>
          </cell>
        </row>
        <row r="77">
          <cell r="A77" t="str">
            <v>6115</v>
          </cell>
          <cell r="B77" t="str">
            <v>其他收益</v>
          </cell>
          <cell r="G77">
            <v>3130.27</v>
          </cell>
          <cell r="H77">
            <v>3130.27</v>
          </cell>
        </row>
        <row r="78">
          <cell r="A78" t="str">
            <v>6115.02</v>
          </cell>
          <cell r="B78" t="str">
            <v>　　个税手续费返还</v>
          </cell>
          <cell r="G78">
            <v>3130.27</v>
          </cell>
          <cell r="H78">
            <v>3130.27</v>
          </cell>
        </row>
        <row r="79">
          <cell r="A79" t="str">
            <v>6602</v>
          </cell>
          <cell r="B79" t="str">
            <v>管理费用</v>
          </cell>
          <cell r="G79">
            <v>338166.06</v>
          </cell>
          <cell r="H79">
            <v>338166.06</v>
          </cell>
        </row>
        <row r="80">
          <cell r="A80" t="str">
            <v>6602.01</v>
          </cell>
          <cell r="B80" t="str">
            <v>　　工资薪金</v>
          </cell>
          <cell r="G80">
            <v>273500</v>
          </cell>
          <cell r="H80">
            <v>273500</v>
          </cell>
        </row>
        <row r="81">
          <cell r="A81" t="str">
            <v>6602.01.01</v>
          </cell>
          <cell r="B81" t="str">
            <v>　　　　基本工资（专业）</v>
          </cell>
          <cell r="G81">
            <v>273500</v>
          </cell>
          <cell r="H81">
            <v>273500</v>
          </cell>
        </row>
        <row r="82">
          <cell r="A82" t="str">
            <v>6602.03</v>
          </cell>
          <cell r="B82" t="str">
            <v>　　社保公积金</v>
          </cell>
          <cell r="G82">
            <v>56940.31</v>
          </cell>
          <cell r="H82">
            <v>56940.31</v>
          </cell>
        </row>
        <row r="83">
          <cell r="A83" t="str">
            <v>6602.03.01</v>
          </cell>
          <cell r="B83" t="str">
            <v>　　　　员工社保福利</v>
          </cell>
          <cell r="G83">
            <v>35035.15</v>
          </cell>
          <cell r="H83">
            <v>35035.15</v>
          </cell>
        </row>
        <row r="84">
          <cell r="A84" t="str">
            <v>6602.03.02</v>
          </cell>
          <cell r="B84" t="str">
            <v>　　　　员工公积金福利</v>
          </cell>
          <cell r="G84">
            <v>21905.16</v>
          </cell>
          <cell r="H84">
            <v>21905.16</v>
          </cell>
        </row>
        <row r="85">
          <cell r="A85" t="str">
            <v>6602.04</v>
          </cell>
          <cell r="B85" t="str">
            <v>　　咨询及专业服务费</v>
          </cell>
          <cell r="G85">
            <v>1400</v>
          </cell>
          <cell r="H85">
            <v>1400</v>
          </cell>
        </row>
        <row r="86">
          <cell r="A86" t="str">
            <v>6602.04.07</v>
          </cell>
          <cell r="B86" t="str">
            <v>　　　　人力资源服务费</v>
          </cell>
          <cell r="G86">
            <v>1400</v>
          </cell>
          <cell r="H86">
            <v>1400</v>
          </cell>
        </row>
        <row r="87">
          <cell r="A87" t="str">
            <v>6602.08</v>
          </cell>
          <cell r="B87" t="str">
            <v>　　事务费用</v>
          </cell>
        </row>
        <row r="88">
          <cell r="A88" t="str">
            <v>6602.08.01</v>
          </cell>
          <cell r="B88" t="str">
            <v>　　　　通信费</v>
          </cell>
        </row>
        <row r="89">
          <cell r="A89" t="str">
            <v>6602.08.01</v>
          </cell>
          <cell r="B89" t="str">
            <v>　　　　通信费</v>
          </cell>
          <cell r="C89" t="str">
            <v>CI005</v>
          </cell>
          <cell r="D89" t="str">
            <v>旭智私募</v>
          </cell>
        </row>
        <row r="90">
          <cell r="A90" t="str">
            <v>6602.08.05</v>
          </cell>
          <cell r="B90" t="str">
            <v>　　　　邮费/邮递费</v>
          </cell>
        </row>
        <row r="91">
          <cell r="A91" t="str">
            <v>6602.08.05</v>
          </cell>
          <cell r="B91" t="str">
            <v>　　　　邮费/邮递费</v>
          </cell>
          <cell r="C91" t="str">
            <v>CI005</v>
          </cell>
          <cell r="D91" t="str">
            <v>旭智私募</v>
          </cell>
        </row>
        <row r="92">
          <cell r="A92" t="str">
            <v>6602.09</v>
          </cell>
          <cell r="B92" t="str">
            <v>　　差旅费</v>
          </cell>
        </row>
        <row r="93">
          <cell r="A93" t="str">
            <v>6602.09.01</v>
          </cell>
          <cell r="B93" t="str">
            <v>　　　　住宿费</v>
          </cell>
        </row>
        <row r="94">
          <cell r="A94" t="str">
            <v>6602.09.01</v>
          </cell>
          <cell r="B94" t="str">
            <v>　　　　住宿费</v>
          </cell>
          <cell r="C94" t="str">
            <v>CI005</v>
          </cell>
          <cell r="D94" t="str">
            <v>旭智私募</v>
          </cell>
        </row>
        <row r="95">
          <cell r="A95" t="str">
            <v>6602.09.01</v>
          </cell>
          <cell r="B95" t="str">
            <v>　　　　住宿费</v>
          </cell>
          <cell r="C95" t="str">
            <v>CI007</v>
          </cell>
          <cell r="D95" t="str">
            <v>其他项目</v>
          </cell>
        </row>
        <row r="96">
          <cell r="A96" t="str">
            <v>6602.09.02</v>
          </cell>
          <cell r="B96" t="str">
            <v>　　　　伙食费</v>
          </cell>
        </row>
        <row r="97">
          <cell r="A97" t="str">
            <v>6602.09.02</v>
          </cell>
          <cell r="B97" t="str">
            <v>　　　　伙食费</v>
          </cell>
          <cell r="C97" t="str">
            <v>CI002</v>
          </cell>
          <cell r="D97" t="str">
            <v>旭智富能</v>
          </cell>
        </row>
        <row r="98">
          <cell r="A98" t="str">
            <v>6602.09.03</v>
          </cell>
          <cell r="B98" t="str">
            <v>　　　　地面交通费</v>
          </cell>
        </row>
        <row r="99">
          <cell r="A99" t="str">
            <v>6602.09.03</v>
          </cell>
          <cell r="B99" t="str">
            <v>　　　　地面交通费</v>
          </cell>
          <cell r="C99" t="str">
            <v>CI002</v>
          </cell>
          <cell r="D99" t="str">
            <v>旭智富能</v>
          </cell>
        </row>
        <row r="100">
          <cell r="A100" t="str">
            <v>6602.09.03</v>
          </cell>
          <cell r="B100" t="str">
            <v>　　　　地面交通费</v>
          </cell>
          <cell r="C100" t="str">
            <v>CI005</v>
          </cell>
          <cell r="D100" t="str">
            <v>旭智私募</v>
          </cell>
        </row>
        <row r="101">
          <cell r="A101" t="str">
            <v>6602.09.03</v>
          </cell>
          <cell r="B101" t="str">
            <v>　　　　地面交通费</v>
          </cell>
          <cell r="C101" t="str">
            <v>CI007</v>
          </cell>
          <cell r="D101" t="str">
            <v>其他项目</v>
          </cell>
        </row>
        <row r="102">
          <cell r="A102" t="str">
            <v>6602.09.04</v>
          </cell>
          <cell r="B102" t="str">
            <v>　　　　空中交通费</v>
          </cell>
        </row>
        <row r="103">
          <cell r="A103" t="str">
            <v>6602.09.04</v>
          </cell>
          <cell r="B103" t="str">
            <v>　　　　空中交通费</v>
          </cell>
          <cell r="C103" t="str">
            <v>CI007</v>
          </cell>
          <cell r="D103" t="str">
            <v>其他项目</v>
          </cell>
        </row>
        <row r="104">
          <cell r="A104" t="str">
            <v>6602.10</v>
          </cell>
          <cell r="B104" t="str">
            <v>　　折旧费</v>
          </cell>
          <cell r="G104">
            <v>40.93</v>
          </cell>
          <cell r="H104">
            <v>40.93</v>
          </cell>
        </row>
        <row r="105">
          <cell r="A105" t="str">
            <v>6602.10.04</v>
          </cell>
          <cell r="B105" t="str">
            <v>　　　　家具设备</v>
          </cell>
          <cell r="G105">
            <v>40.93</v>
          </cell>
          <cell r="H105">
            <v>40.93</v>
          </cell>
        </row>
        <row r="106">
          <cell r="A106" t="str">
            <v>6602.12</v>
          </cell>
          <cell r="B106" t="str">
            <v>　　使用权资产折旧</v>
          </cell>
          <cell r="G106">
            <v>6284.82</v>
          </cell>
          <cell r="H106">
            <v>6284.82</v>
          </cell>
        </row>
        <row r="107">
          <cell r="A107" t="str">
            <v>6602.12.03</v>
          </cell>
          <cell r="B107" t="str">
            <v>　　　　注册地址</v>
          </cell>
          <cell r="G107">
            <v>6284.82</v>
          </cell>
          <cell r="H107">
            <v>6284.82</v>
          </cell>
        </row>
        <row r="108">
          <cell r="A108" t="str">
            <v>6602.12.03.01</v>
          </cell>
          <cell r="B108" t="str">
            <v>　　　　　　旭智私募--前海壹号B座701E</v>
          </cell>
          <cell r="G108">
            <v>6284.82</v>
          </cell>
          <cell r="H108">
            <v>6284.82</v>
          </cell>
        </row>
        <row r="109">
          <cell r="A109" t="str">
            <v>6602.19</v>
          </cell>
          <cell r="B109" t="str">
            <v>　　会费（公司）</v>
          </cell>
        </row>
        <row r="110">
          <cell r="A110" t="str">
            <v>6602.20</v>
          </cell>
          <cell r="B110" t="str">
            <v>　　职工教育经费</v>
          </cell>
        </row>
        <row r="111">
          <cell r="A111" t="str">
            <v>6603</v>
          </cell>
          <cell r="B111" t="str">
            <v>财务费用</v>
          </cell>
          <cell r="G111">
            <v>-32.11</v>
          </cell>
          <cell r="H111">
            <v>-32.11</v>
          </cell>
        </row>
        <row r="112">
          <cell r="A112" t="str">
            <v>6603.01</v>
          </cell>
          <cell r="B112" t="str">
            <v>　　汇兑损益</v>
          </cell>
          <cell r="G112">
            <v>-3.98</v>
          </cell>
          <cell r="H112">
            <v>-3.98</v>
          </cell>
        </row>
        <row r="113">
          <cell r="A113" t="str">
            <v>6603.02</v>
          </cell>
          <cell r="B113" t="str">
            <v>　　利息费用</v>
          </cell>
          <cell r="G113">
            <v>177.37</v>
          </cell>
          <cell r="H113">
            <v>177.37</v>
          </cell>
        </row>
        <row r="114">
          <cell r="A114" t="str">
            <v>6603.02.03</v>
          </cell>
          <cell r="B114" t="str">
            <v>　　　　注册地址</v>
          </cell>
          <cell r="G114">
            <v>177.37</v>
          </cell>
          <cell r="H114">
            <v>177.37</v>
          </cell>
        </row>
        <row r="115">
          <cell r="A115" t="str">
            <v>6603.02.03.01</v>
          </cell>
          <cell r="B115" t="str">
            <v>　　　　　　旭智私募--前海壹号B座701E</v>
          </cell>
          <cell r="G115">
            <v>177.37</v>
          </cell>
          <cell r="H115">
            <v>177.37</v>
          </cell>
        </row>
        <row r="116">
          <cell r="A116" t="str">
            <v>6603.03</v>
          </cell>
          <cell r="B116" t="str">
            <v>　　银行手续费</v>
          </cell>
          <cell r="G116">
            <v>4.5</v>
          </cell>
          <cell r="H116">
            <v>4.5</v>
          </cell>
        </row>
        <row r="117">
          <cell r="A117" t="str">
            <v>6603.04</v>
          </cell>
          <cell r="B117" t="str">
            <v>　　利息收入</v>
          </cell>
          <cell r="G117">
            <v>-210</v>
          </cell>
          <cell r="H117">
            <v>-210</v>
          </cell>
        </row>
        <row r="118">
          <cell r="B118" t="str">
            <v>合计</v>
          </cell>
          <cell r="E118">
            <v>7151586.6699999999</v>
          </cell>
          <cell r="F118">
            <v>7151586.6699999999</v>
          </cell>
          <cell r="G118">
            <v>2675665.16</v>
          </cell>
          <cell r="H118">
            <v>2675665.16</v>
          </cell>
        </row>
      </sheetData>
      <sheetData sheetId="4">
        <row r="1">
          <cell r="A1" t="str">
            <v>币别:人民币</v>
          </cell>
          <cell r="B1" t="str">
            <v>账簿:深圳旭智私募股权基金管理有限公司</v>
          </cell>
          <cell r="C1" t="str">
            <v>期间:2025.5 -- 2025.5</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1662152.05</v>
          </cell>
          <cell r="G4">
            <v>5405284.0499999998</v>
          </cell>
          <cell r="H4">
            <v>869308.96</v>
          </cell>
        </row>
        <row r="5">
          <cell r="A5" t="str">
            <v>1002.23</v>
          </cell>
          <cell r="B5" t="str">
            <v>　　【旭智私募】银行存款账户</v>
          </cell>
          <cell r="E5">
            <v>1662152.05</v>
          </cell>
          <cell r="G5">
            <v>5405284.0499999998</v>
          </cell>
          <cell r="H5">
            <v>869308.96</v>
          </cell>
        </row>
        <row r="6">
          <cell r="A6" t="str">
            <v>1002.23.01</v>
          </cell>
          <cell r="B6" t="str">
            <v>　　　　农业银行账户</v>
          </cell>
          <cell r="E6">
            <v>1662152.05</v>
          </cell>
          <cell r="G6">
            <v>5405284.0499999998</v>
          </cell>
          <cell r="H6">
            <v>869308.96</v>
          </cell>
        </row>
        <row r="7">
          <cell r="A7" t="str">
            <v>1002.23.01.01</v>
          </cell>
          <cell r="B7" t="str">
            <v>　　　　　　【旭智私募】农行 人民币基本户 6018</v>
          </cell>
          <cell r="E7">
            <v>1010269.79</v>
          </cell>
          <cell r="G7">
            <v>400490</v>
          </cell>
          <cell r="H7">
            <v>868612.02</v>
          </cell>
        </row>
        <row r="8">
          <cell r="A8" t="str">
            <v>1002.23.01.01.01</v>
          </cell>
          <cell r="B8" t="str">
            <v>　　　　　　　　【旭智私募】农行 人民币基本户 6018 活期存款</v>
          </cell>
          <cell r="E8">
            <v>110269.79</v>
          </cell>
          <cell r="G8">
            <v>400490</v>
          </cell>
          <cell r="H8">
            <v>468612.02</v>
          </cell>
        </row>
        <row r="9">
          <cell r="A9" t="str">
            <v>1002.23.01.01.02</v>
          </cell>
          <cell r="B9" t="str">
            <v>　　　　　　　　【旭智私募】农行 人民币基本户 6018 七天通知存款</v>
          </cell>
          <cell r="E9">
            <v>900000</v>
          </cell>
          <cell r="H9">
            <v>400000</v>
          </cell>
        </row>
        <row r="10">
          <cell r="A10" t="str">
            <v>1002.23.01.02</v>
          </cell>
          <cell r="B10" t="str">
            <v>　　　　　　【旭智私募】农行 人民币资本金账户 6026</v>
          </cell>
          <cell r="E10">
            <v>72113.34</v>
          </cell>
          <cell r="G10">
            <v>400187.65</v>
          </cell>
        </row>
        <row r="11">
          <cell r="A11" t="str">
            <v>1002.23.01.02.01</v>
          </cell>
          <cell r="B11" t="str">
            <v>　　　　　　　　【旭智私募】农行 人民币资本金账户 6026 活期存款</v>
          </cell>
          <cell r="E11">
            <v>72113.34</v>
          </cell>
          <cell r="G11">
            <v>400187.65</v>
          </cell>
        </row>
        <row r="12">
          <cell r="A12" t="str">
            <v>1002.23.01.02.02</v>
          </cell>
          <cell r="B12" t="str">
            <v>　　　　　　　　【旭智私募】农行 人民币资本金账户 6026 七天通知存款</v>
          </cell>
        </row>
        <row r="13">
          <cell r="A13" t="str">
            <v>1002.23.01.03</v>
          </cell>
          <cell r="B13" t="str">
            <v>　　　　　　【旭智私募】农行 港元资本金账户 7230</v>
          </cell>
          <cell r="E13">
            <v>696.94</v>
          </cell>
          <cell r="G13">
            <v>688.15</v>
          </cell>
          <cell r="H13">
            <v>696.94</v>
          </cell>
        </row>
        <row r="14">
          <cell r="A14" t="str">
            <v>1002.23.01.04</v>
          </cell>
          <cell r="B14" t="str">
            <v>　　　　　　【旭智私募】农行 人民币结汇待支付账户 7248</v>
          </cell>
          <cell r="E14">
            <v>579071.98</v>
          </cell>
          <cell r="G14">
            <v>4603918.25</v>
          </cell>
        </row>
        <row r="15">
          <cell r="A15" t="str">
            <v>1002.23.01.04.01</v>
          </cell>
          <cell r="B15" t="str">
            <v>　　　　　　　　【旭智私募】农行 人民币结汇待支付账户 7248 活期存款</v>
          </cell>
          <cell r="E15">
            <v>79071.98</v>
          </cell>
          <cell r="G15">
            <v>4603918.25</v>
          </cell>
        </row>
        <row r="16">
          <cell r="A16" t="str">
            <v>1002.23.01.04.02</v>
          </cell>
          <cell r="B16" t="str">
            <v>　　　　　　　　【旭智私募】农行 人民币结汇待支付账户 7248 定期存款</v>
          </cell>
          <cell r="E16">
            <v>500000</v>
          </cell>
        </row>
        <row r="17">
          <cell r="A17" t="str">
            <v>1101</v>
          </cell>
          <cell r="B17" t="str">
            <v>交易性金融资产</v>
          </cell>
          <cell r="E17">
            <v>5000000</v>
          </cell>
          <cell r="H17">
            <v>5000000</v>
          </cell>
        </row>
        <row r="18">
          <cell r="A18" t="str">
            <v>1101.01</v>
          </cell>
          <cell r="B18" t="str">
            <v>　　投资成本</v>
          </cell>
          <cell r="E18">
            <v>5000000</v>
          </cell>
          <cell r="H18">
            <v>5000000</v>
          </cell>
        </row>
        <row r="19">
          <cell r="A19" t="str">
            <v>1101.01.03</v>
          </cell>
          <cell r="B19" t="str">
            <v>　　　　银行理财</v>
          </cell>
          <cell r="E19">
            <v>5000000</v>
          </cell>
          <cell r="H19">
            <v>5000000</v>
          </cell>
        </row>
        <row r="20">
          <cell r="A20" t="str">
            <v>1123</v>
          </cell>
          <cell r="B20" t="str">
            <v>预付账款</v>
          </cell>
          <cell r="E20">
            <v>10000</v>
          </cell>
        </row>
        <row r="21">
          <cell r="A21" t="str">
            <v>1123.01</v>
          </cell>
          <cell r="B21" t="str">
            <v>　　单位</v>
          </cell>
          <cell r="E21">
            <v>10000</v>
          </cell>
        </row>
        <row r="22">
          <cell r="A22" t="str">
            <v>1123.01</v>
          </cell>
          <cell r="B22" t="str">
            <v>　　单位</v>
          </cell>
          <cell r="C22" t="str">
            <v>SU007002</v>
          </cell>
          <cell r="D22" t="str">
            <v>中国再生能源学会</v>
          </cell>
          <cell r="E22">
            <v>10000</v>
          </cell>
        </row>
        <row r="23">
          <cell r="A23" t="str">
            <v>1221</v>
          </cell>
          <cell r="B23" t="str">
            <v>其他应收款</v>
          </cell>
          <cell r="E23">
            <v>13000</v>
          </cell>
        </row>
        <row r="24">
          <cell r="A24" t="str">
            <v>1221.01</v>
          </cell>
          <cell r="B24" t="str">
            <v>　　单位</v>
          </cell>
          <cell r="E24">
            <v>13000</v>
          </cell>
        </row>
        <row r="25">
          <cell r="A25" t="str">
            <v>1221.01</v>
          </cell>
          <cell r="B25" t="str">
            <v>　　单位</v>
          </cell>
          <cell r="C25" t="str">
            <v>CU006005</v>
          </cell>
          <cell r="D25" t="str">
            <v>长峻物业管理(深圳)有限公司</v>
          </cell>
          <cell r="E25">
            <v>13000</v>
          </cell>
        </row>
        <row r="26">
          <cell r="A26" t="str">
            <v>1601</v>
          </cell>
          <cell r="B26" t="str">
            <v>固定资产</v>
          </cell>
          <cell r="E26">
            <v>2585</v>
          </cell>
        </row>
        <row r="27">
          <cell r="A27" t="str">
            <v>1601.04</v>
          </cell>
          <cell r="B27" t="str">
            <v>　　家具设备</v>
          </cell>
          <cell r="E27">
            <v>2585</v>
          </cell>
        </row>
        <row r="28">
          <cell r="A28" t="str">
            <v>1602</v>
          </cell>
          <cell r="B28" t="str">
            <v>累计折旧</v>
          </cell>
          <cell r="F28">
            <v>409.3</v>
          </cell>
          <cell r="H28">
            <v>40.93</v>
          </cell>
        </row>
        <row r="29">
          <cell r="A29" t="str">
            <v>1602.04</v>
          </cell>
          <cell r="B29" t="str">
            <v>　　家具设备</v>
          </cell>
          <cell r="F29">
            <v>409.3</v>
          </cell>
          <cell r="H29">
            <v>40.93</v>
          </cell>
        </row>
        <row r="30">
          <cell r="A30" t="str">
            <v>1641</v>
          </cell>
          <cell r="B30" t="str">
            <v>使用权资产</v>
          </cell>
          <cell r="E30">
            <v>125696.44</v>
          </cell>
        </row>
        <row r="31">
          <cell r="A31" t="str">
            <v>1641.03</v>
          </cell>
          <cell r="B31" t="str">
            <v>　　注册地址</v>
          </cell>
          <cell r="E31">
            <v>125696.44</v>
          </cell>
        </row>
        <row r="32">
          <cell r="A32" t="str">
            <v>1641.03.01</v>
          </cell>
          <cell r="B32" t="str">
            <v>　　　　旭智私募--前海壹号B座701E</v>
          </cell>
          <cell r="E32">
            <v>125696.44</v>
          </cell>
        </row>
        <row r="33">
          <cell r="A33" t="str">
            <v>1642</v>
          </cell>
          <cell r="B33" t="str">
            <v>使用权资产累计折旧</v>
          </cell>
          <cell r="F33">
            <v>75417.850000000006</v>
          </cell>
          <cell r="H33">
            <v>6284.82</v>
          </cell>
        </row>
        <row r="34">
          <cell r="A34" t="str">
            <v>1642.03</v>
          </cell>
          <cell r="B34" t="str">
            <v>　　注册地址</v>
          </cell>
          <cell r="F34">
            <v>75417.850000000006</v>
          </cell>
          <cell r="H34">
            <v>6284.82</v>
          </cell>
        </row>
        <row r="35">
          <cell r="A35" t="str">
            <v>1642.03.01</v>
          </cell>
          <cell r="B35" t="str">
            <v>　　　　旭智私募--前海壹号B座701E</v>
          </cell>
          <cell r="F35">
            <v>75417.850000000006</v>
          </cell>
          <cell r="H35">
            <v>6284.82</v>
          </cell>
        </row>
        <row r="36">
          <cell r="A36" t="str">
            <v>2211</v>
          </cell>
          <cell r="B36" t="str">
            <v>应付职工薪酬</v>
          </cell>
          <cell r="G36">
            <v>296459.40000000002</v>
          </cell>
          <cell r="H36">
            <v>296459.40000000002</v>
          </cell>
        </row>
        <row r="37">
          <cell r="A37" t="str">
            <v>2211.01</v>
          </cell>
          <cell r="B37" t="str">
            <v>　　职工工资</v>
          </cell>
          <cell r="G37">
            <v>251346.65</v>
          </cell>
          <cell r="H37">
            <v>251346.65</v>
          </cell>
        </row>
        <row r="38">
          <cell r="A38" t="str">
            <v>2211.02</v>
          </cell>
          <cell r="B38" t="str">
            <v>　　职工奖金</v>
          </cell>
        </row>
        <row r="39">
          <cell r="A39" t="str">
            <v>2211.05</v>
          </cell>
          <cell r="B39" t="str">
            <v>　　社会保险费</v>
          </cell>
          <cell r="G39">
            <v>17968.509999999998</v>
          </cell>
          <cell r="H39">
            <v>17968.509999999998</v>
          </cell>
        </row>
        <row r="40">
          <cell r="A40" t="str">
            <v>2211.06</v>
          </cell>
          <cell r="B40" t="str">
            <v>　　住房公积金</v>
          </cell>
          <cell r="G40">
            <v>27144.240000000002</v>
          </cell>
          <cell r="H40">
            <v>27144.240000000002</v>
          </cell>
        </row>
        <row r="41">
          <cell r="A41" t="str">
            <v>2211.08</v>
          </cell>
          <cell r="B41" t="str">
            <v>　　职工教育经费</v>
          </cell>
        </row>
        <row r="42">
          <cell r="A42" t="str">
            <v>2221</v>
          </cell>
          <cell r="B42" t="str">
            <v>应交税费</v>
          </cell>
          <cell r="F42">
            <v>23368.639999999999</v>
          </cell>
          <cell r="G42">
            <v>36809.11</v>
          </cell>
          <cell r="H42">
            <v>47865.35</v>
          </cell>
        </row>
        <row r="43">
          <cell r="A43" t="str">
            <v>2221.01</v>
          </cell>
          <cell r="B43" t="str">
            <v>　　应交增值税</v>
          </cell>
          <cell r="G43">
            <v>3344.67</v>
          </cell>
          <cell r="H43">
            <v>3344.67</v>
          </cell>
        </row>
        <row r="44">
          <cell r="A44" t="str">
            <v>2221.01.01</v>
          </cell>
          <cell r="B44" t="str">
            <v>　　　　销项税额</v>
          </cell>
          <cell r="G44">
            <v>232.41</v>
          </cell>
          <cell r="H44">
            <v>232.41</v>
          </cell>
        </row>
        <row r="45">
          <cell r="A45" t="str">
            <v>2221.01.03</v>
          </cell>
          <cell r="B45" t="str">
            <v>　　　　进项税额</v>
          </cell>
          <cell r="G45">
            <v>3112.26</v>
          </cell>
          <cell r="H45">
            <v>3112.26</v>
          </cell>
        </row>
        <row r="46">
          <cell r="A46" t="str">
            <v>2221.03</v>
          </cell>
          <cell r="B46" t="str">
            <v>　　暂估进项税额</v>
          </cell>
          <cell r="G46">
            <v>806.48</v>
          </cell>
        </row>
        <row r="47">
          <cell r="A47" t="str">
            <v>2221.06</v>
          </cell>
          <cell r="B47" t="str">
            <v>　　待认证进项税额</v>
          </cell>
          <cell r="G47">
            <v>3112.26</v>
          </cell>
          <cell r="H47">
            <v>3112.26</v>
          </cell>
        </row>
        <row r="48">
          <cell r="A48" t="str">
            <v>2221.07</v>
          </cell>
          <cell r="B48" t="str">
            <v>　　待抵扣进项税额</v>
          </cell>
          <cell r="F48">
            <v>-3297.21</v>
          </cell>
          <cell r="G48">
            <v>2879.85</v>
          </cell>
        </row>
        <row r="49">
          <cell r="A49" t="str">
            <v>2221.16</v>
          </cell>
          <cell r="B49" t="str">
            <v>　　应交个人所得税</v>
          </cell>
          <cell r="F49">
            <v>26665.85</v>
          </cell>
          <cell r="G49">
            <v>26665.85</v>
          </cell>
          <cell r="H49">
            <v>41408.42</v>
          </cell>
        </row>
        <row r="50">
          <cell r="A50" t="str">
            <v>2241</v>
          </cell>
          <cell r="B50" t="str">
            <v>其他应付款</v>
          </cell>
          <cell r="F50">
            <v>41712.86</v>
          </cell>
          <cell r="G50">
            <v>77459.320000000007</v>
          </cell>
          <cell r="H50">
            <v>67321.2</v>
          </cell>
        </row>
        <row r="51">
          <cell r="A51" t="str">
            <v>2241.01</v>
          </cell>
          <cell r="B51" t="str">
            <v>　　单位</v>
          </cell>
          <cell r="F51">
            <v>40880</v>
          </cell>
          <cell r="G51">
            <v>55134.7</v>
          </cell>
          <cell r="H51">
            <v>44996.58</v>
          </cell>
        </row>
        <row r="52">
          <cell r="A52" t="str">
            <v>2241.01</v>
          </cell>
          <cell r="B52" t="str">
            <v>　　单位</v>
          </cell>
          <cell r="C52" t="str">
            <v>SU005004</v>
          </cell>
          <cell r="D52" t="str">
            <v>上海爱文人才服务有限公司</v>
          </cell>
          <cell r="G52">
            <v>1600</v>
          </cell>
          <cell r="H52">
            <v>1600</v>
          </cell>
        </row>
        <row r="53">
          <cell r="A53" t="str">
            <v>2241.01</v>
          </cell>
          <cell r="B53" t="str">
            <v>　　单位</v>
          </cell>
          <cell r="C53" t="str">
            <v>SU005007</v>
          </cell>
          <cell r="D53" t="str">
            <v>普华永道中天会计师事务所（特殊普通合伙）</v>
          </cell>
          <cell r="F53">
            <v>40000</v>
          </cell>
          <cell r="G53">
            <v>43348.1</v>
          </cell>
          <cell r="H53">
            <v>3348.1</v>
          </cell>
        </row>
        <row r="54">
          <cell r="A54" t="str">
            <v>2241.01</v>
          </cell>
          <cell r="B54" t="str">
            <v>　　单位</v>
          </cell>
          <cell r="C54" t="str">
            <v>SU005044</v>
          </cell>
          <cell r="D54" t="str">
            <v>旭智咨询管理（深圳）有限责任公司</v>
          </cell>
        </row>
        <row r="55">
          <cell r="A55" t="str">
            <v>2241.01</v>
          </cell>
          <cell r="B55" t="str">
            <v>　　单位</v>
          </cell>
          <cell r="C55" t="str">
            <v>SU006012</v>
          </cell>
          <cell r="D55" t="str">
            <v>上海携程宏睿国际旅行社有限公司</v>
          </cell>
          <cell r="H55">
            <v>30741.88</v>
          </cell>
        </row>
        <row r="56">
          <cell r="A56" t="str">
            <v>2241.01</v>
          </cell>
          <cell r="B56" t="str">
            <v>　　单位</v>
          </cell>
          <cell r="C56" t="str">
            <v>SU006025</v>
          </cell>
          <cell r="D56" t="str">
            <v>全景求是管理顾问（北京）有限公司</v>
          </cell>
          <cell r="F56">
            <v>880</v>
          </cell>
          <cell r="G56">
            <v>3520</v>
          </cell>
          <cell r="H56">
            <v>2640</v>
          </cell>
        </row>
        <row r="57">
          <cell r="A57" t="str">
            <v>2241.01</v>
          </cell>
          <cell r="B57" t="str">
            <v>　　单位</v>
          </cell>
          <cell r="C57" t="str">
            <v>SU007003</v>
          </cell>
          <cell r="D57" t="str">
            <v>长峻物业管理（深圳）有限公司</v>
          </cell>
          <cell r="G57">
            <v>6666.6</v>
          </cell>
          <cell r="H57">
            <v>6666.6</v>
          </cell>
        </row>
        <row r="58">
          <cell r="A58" t="str">
            <v>2241.02</v>
          </cell>
          <cell r="B58" t="str">
            <v>　　个人</v>
          </cell>
          <cell r="F58">
            <v>832.86</v>
          </cell>
          <cell r="G58">
            <v>22324.62</v>
          </cell>
          <cell r="H58">
            <v>22324.62</v>
          </cell>
        </row>
        <row r="59">
          <cell r="A59" t="str">
            <v>2241.02</v>
          </cell>
          <cell r="B59" t="str">
            <v>　　个人</v>
          </cell>
          <cell r="C59" t="str">
            <v>SP005001</v>
          </cell>
          <cell r="D59" t="str">
            <v>冯冠邦</v>
          </cell>
          <cell r="F59">
            <v>832.86</v>
          </cell>
        </row>
        <row r="60">
          <cell r="A60" t="str">
            <v>2241.02</v>
          </cell>
          <cell r="B60" t="str">
            <v>　　个人</v>
          </cell>
          <cell r="C60" t="str">
            <v>SP005006</v>
          </cell>
          <cell r="D60" t="str">
            <v>张歆</v>
          </cell>
        </row>
        <row r="61">
          <cell r="A61" t="str">
            <v>2241.02</v>
          </cell>
          <cell r="B61" t="str">
            <v>　　个人</v>
          </cell>
          <cell r="C61" t="str">
            <v>SP005011</v>
          </cell>
          <cell r="D61" t="str">
            <v>郭宗林</v>
          </cell>
          <cell r="G61">
            <v>6844.99</v>
          </cell>
          <cell r="H61">
            <v>6844.99</v>
          </cell>
        </row>
        <row r="62">
          <cell r="A62" t="str">
            <v>2241.02</v>
          </cell>
          <cell r="B62" t="str">
            <v>　　个人</v>
          </cell>
          <cell r="C62" t="str">
            <v>SP006002</v>
          </cell>
          <cell r="D62" t="str">
            <v>陈灿</v>
          </cell>
        </row>
        <row r="63">
          <cell r="A63" t="str">
            <v>2241.02</v>
          </cell>
          <cell r="B63" t="str">
            <v>　　个人</v>
          </cell>
          <cell r="C63" t="str">
            <v>SP006009</v>
          </cell>
          <cell r="D63" t="str">
            <v>林秋蝶</v>
          </cell>
          <cell r="G63">
            <v>692.22</v>
          </cell>
          <cell r="H63">
            <v>692.22</v>
          </cell>
        </row>
        <row r="64">
          <cell r="A64" t="str">
            <v>2241.02</v>
          </cell>
          <cell r="B64" t="str">
            <v>　　个人</v>
          </cell>
          <cell r="C64" t="str">
            <v>SP006010</v>
          </cell>
          <cell r="D64" t="str">
            <v>陈广华</v>
          </cell>
          <cell r="G64">
            <v>2160.91</v>
          </cell>
          <cell r="H64">
            <v>2160.91</v>
          </cell>
        </row>
        <row r="65">
          <cell r="A65" t="str">
            <v>2241.02</v>
          </cell>
          <cell r="B65" t="str">
            <v>　　个人</v>
          </cell>
          <cell r="C65" t="str">
            <v>SP006011</v>
          </cell>
          <cell r="D65" t="str">
            <v>李敏宽</v>
          </cell>
          <cell r="G65">
            <v>12626.5</v>
          </cell>
          <cell r="H65">
            <v>12626.5</v>
          </cell>
        </row>
        <row r="66">
          <cell r="A66" t="str">
            <v>2601</v>
          </cell>
          <cell r="B66" t="str">
            <v>租赁负债</v>
          </cell>
          <cell r="F66">
            <v>50079.95</v>
          </cell>
          <cell r="G66">
            <v>6349.14</v>
          </cell>
          <cell r="H66">
            <v>157.91</v>
          </cell>
        </row>
        <row r="67">
          <cell r="A67" t="str">
            <v>2601.01</v>
          </cell>
          <cell r="B67" t="str">
            <v>　　租赁付款额</v>
          </cell>
          <cell r="F67">
            <v>50793.120000000003</v>
          </cell>
          <cell r="G67">
            <v>6349.14</v>
          </cell>
        </row>
        <row r="68">
          <cell r="A68" t="str">
            <v>2601.01.03</v>
          </cell>
          <cell r="B68" t="str">
            <v>　　　　注册地址</v>
          </cell>
          <cell r="F68">
            <v>50793.120000000003</v>
          </cell>
          <cell r="G68">
            <v>6349.14</v>
          </cell>
        </row>
        <row r="69">
          <cell r="A69" t="str">
            <v>2601.01.03.01</v>
          </cell>
          <cell r="B69" t="str">
            <v>　　　　　　旭智私募--前海壹号B座701E</v>
          </cell>
          <cell r="F69">
            <v>50793.120000000003</v>
          </cell>
          <cell r="G69">
            <v>6349.14</v>
          </cell>
        </row>
        <row r="70">
          <cell r="A70" t="str">
            <v>2601.02</v>
          </cell>
          <cell r="B70" t="str">
            <v>　　未确认融资费用</v>
          </cell>
          <cell r="F70">
            <v>-713.17</v>
          </cell>
          <cell r="H70">
            <v>157.91</v>
          </cell>
        </row>
        <row r="71">
          <cell r="A71" t="str">
            <v>2601.02.03</v>
          </cell>
          <cell r="B71" t="str">
            <v>　　　　注册地址</v>
          </cell>
          <cell r="F71">
            <v>-713.17</v>
          </cell>
          <cell r="H71">
            <v>157.91</v>
          </cell>
        </row>
        <row r="72">
          <cell r="A72" t="str">
            <v>2601.02.03.01</v>
          </cell>
          <cell r="B72" t="str">
            <v>　　　　　　旭智私募--前海壹号B座701E</v>
          </cell>
          <cell r="F72">
            <v>-713.17</v>
          </cell>
          <cell r="H72">
            <v>157.91</v>
          </cell>
        </row>
        <row r="73">
          <cell r="A73" t="str">
            <v>4001</v>
          </cell>
          <cell r="B73" t="str">
            <v>实收资本（股本）</v>
          </cell>
          <cell r="F73">
            <v>10000000</v>
          </cell>
        </row>
        <row r="74">
          <cell r="A74" t="str">
            <v>4001.11</v>
          </cell>
          <cell r="B74" t="str">
            <v>　　旭智资本（香港）有限公司</v>
          </cell>
          <cell r="F74">
            <v>4900000</v>
          </cell>
        </row>
        <row r="75">
          <cell r="A75" t="str">
            <v>4001.20</v>
          </cell>
          <cell r="B75" t="str">
            <v>　　冯冠邦</v>
          </cell>
          <cell r="F75">
            <v>5100000</v>
          </cell>
        </row>
        <row r="76">
          <cell r="A76" t="str">
            <v>4103</v>
          </cell>
          <cell r="B76" t="str">
            <v>本年利润</v>
          </cell>
          <cell r="F76">
            <v>-1281288.74</v>
          </cell>
          <cell r="G76">
            <v>468951.03999999998</v>
          </cell>
          <cell r="H76">
            <v>3873.49</v>
          </cell>
        </row>
        <row r="77">
          <cell r="A77" t="str">
            <v>4104</v>
          </cell>
          <cell r="B77" t="str">
            <v>利润分配</v>
          </cell>
          <cell r="F77">
            <v>-2096266.37</v>
          </cell>
        </row>
        <row r="78">
          <cell r="A78" t="str">
            <v>4104.07</v>
          </cell>
          <cell r="B78" t="str">
            <v>　　未分配利润</v>
          </cell>
          <cell r="F78">
            <v>-2096266.37</v>
          </cell>
        </row>
        <row r="79">
          <cell r="A79" t="str">
            <v>6111</v>
          </cell>
          <cell r="B79" t="str">
            <v>投资收益</v>
          </cell>
          <cell r="G79">
            <v>3873.49</v>
          </cell>
          <cell r="H79">
            <v>3873.49</v>
          </cell>
        </row>
        <row r="80">
          <cell r="A80" t="str">
            <v>6115</v>
          </cell>
          <cell r="B80" t="str">
            <v>其他收益</v>
          </cell>
        </row>
        <row r="81">
          <cell r="A81" t="str">
            <v>6115.02</v>
          </cell>
          <cell r="B81" t="str">
            <v>　　个税手续费返还</v>
          </cell>
        </row>
        <row r="82">
          <cell r="A82" t="str">
            <v>6602</v>
          </cell>
          <cell r="B82" t="str">
            <v>管理费用</v>
          </cell>
          <cell r="G82">
            <v>469247.34</v>
          </cell>
          <cell r="H82">
            <v>469247.34</v>
          </cell>
        </row>
        <row r="83">
          <cell r="A83" t="str">
            <v>6602.01</v>
          </cell>
          <cell r="B83" t="str">
            <v>　　工资薪金</v>
          </cell>
          <cell r="G83">
            <v>337867.82</v>
          </cell>
          <cell r="H83">
            <v>337867.82</v>
          </cell>
        </row>
        <row r="84">
          <cell r="A84" t="str">
            <v>6602.01.01</v>
          </cell>
          <cell r="B84" t="str">
            <v>　　　　基本工资（专业）</v>
          </cell>
          <cell r="G84">
            <v>337867.82</v>
          </cell>
          <cell r="H84">
            <v>337867.82</v>
          </cell>
        </row>
        <row r="85">
          <cell r="A85" t="str">
            <v>6602.03</v>
          </cell>
          <cell r="B85" t="str">
            <v>　　社保公积金</v>
          </cell>
          <cell r="G85">
            <v>68880.45</v>
          </cell>
          <cell r="H85">
            <v>68880.45</v>
          </cell>
        </row>
        <row r="86">
          <cell r="A86" t="str">
            <v>6602.03.01</v>
          </cell>
          <cell r="B86" t="str">
            <v>　　　　员工社保福利</v>
          </cell>
          <cell r="G86">
            <v>41736.21</v>
          </cell>
          <cell r="H86">
            <v>41736.21</v>
          </cell>
        </row>
        <row r="87">
          <cell r="A87" t="str">
            <v>6602.03.02</v>
          </cell>
          <cell r="B87" t="str">
            <v>　　　　员工公积金福利</v>
          </cell>
          <cell r="G87">
            <v>27144.240000000002</v>
          </cell>
          <cell r="H87">
            <v>27144.240000000002</v>
          </cell>
        </row>
        <row r="88">
          <cell r="A88" t="str">
            <v>6602.04</v>
          </cell>
          <cell r="B88" t="str">
            <v>　　咨询及专业服务费</v>
          </cell>
          <cell r="G88">
            <v>4105</v>
          </cell>
          <cell r="H88">
            <v>4105</v>
          </cell>
        </row>
        <row r="89">
          <cell r="A89" t="str">
            <v>6602.04.02</v>
          </cell>
          <cell r="B89" t="str">
            <v>　　　　审计服务费</v>
          </cell>
          <cell r="G89">
            <v>894.43</v>
          </cell>
          <cell r="H89">
            <v>894.43</v>
          </cell>
        </row>
        <row r="90">
          <cell r="A90" t="str">
            <v>6602.04.07</v>
          </cell>
          <cell r="B90" t="str">
            <v>　　　　人力资源服务费</v>
          </cell>
          <cell r="G90">
            <v>1600</v>
          </cell>
          <cell r="H90">
            <v>1600</v>
          </cell>
        </row>
        <row r="91">
          <cell r="A91" t="str">
            <v>6602.04.08</v>
          </cell>
          <cell r="B91" t="str">
            <v>　　　　背景调查费</v>
          </cell>
          <cell r="G91">
            <v>1610.57</v>
          </cell>
          <cell r="H91">
            <v>1610.57</v>
          </cell>
        </row>
        <row r="92">
          <cell r="A92" t="str">
            <v>6602.06</v>
          </cell>
          <cell r="B92" t="str">
            <v>　　业务招待费</v>
          </cell>
          <cell r="G92">
            <v>948</v>
          </cell>
          <cell r="H92">
            <v>948</v>
          </cell>
        </row>
        <row r="93">
          <cell r="A93" t="str">
            <v>6602.06</v>
          </cell>
          <cell r="B93" t="str">
            <v>　　业务招待费</v>
          </cell>
          <cell r="C93" t="str">
            <v>CI002</v>
          </cell>
          <cell r="D93" t="str">
            <v>旭智富能</v>
          </cell>
          <cell r="G93">
            <v>948</v>
          </cell>
          <cell r="H93">
            <v>948</v>
          </cell>
        </row>
        <row r="94">
          <cell r="A94" t="str">
            <v>6602.08</v>
          </cell>
          <cell r="B94" t="str">
            <v>　　事务费用</v>
          </cell>
          <cell r="G94">
            <v>997.45</v>
          </cell>
          <cell r="H94">
            <v>997.45</v>
          </cell>
        </row>
        <row r="95">
          <cell r="A95" t="str">
            <v>6602.08.01</v>
          </cell>
          <cell r="B95" t="str">
            <v>　　　　通信费</v>
          </cell>
          <cell r="G95">
            <v>932.2</v>
          </cell>
          <cell r="H95">
            <v>932.2</v>
          </cell>
        </row>
        <row r="96">
          <cell r="A96" t="str">
            <v>6602.08.01</v>
          </cell>
          <cell r="B96" t="str">
            <v>　　　　通信费</v>
          </cell>
          <cell r="C96" t="str">
            <v>CI005</v>
          </cell>
          <cell r="D96" t="str">
            <v>旭智私募</v>
          </cell>
          <cell r="G96">
            <v>932.2</v>
          </cell>
          <cell r="H96">
            <v>932.2</v>
          </cell>
        </row>
        <row r="97">
          <cell r="A97" t="str">
            <v>6602.08.05</v>
          </cell>
          <cell r="B97" t="str">
            <v>　　　　邮费/邮递费</v>
          </cell>
          <cell r="G97">
            <v>65.25</v>
          </cell>
          <cell r="H97">
            <v>65.25</v>
          </cell>
        </row>
        <row r="98">
          <cell r="A98" t="str">
            <v>6602.08.05</v>
          </cell>
          <cell r="B98" t="str">
            <v>　　　　邮费/邮递费</v>
          </cell>
          <cell r="C98" t="str">
            <v>CI005</v>
          </cell>
          <cell r="D98" t="str">
            <v>旭智私募</v>
          </cell>
          <cell r="G98">
            <v>65.25</v>
          </cell>
          <cell r="H98">
            <v>65.25</v>
          </cell>
        </row>
        <row r="99">
          <cell r="A99" t="str">
            <v>6602.09</v>
          </cell>
          <cell r="B99" t="str">
            <v>　　差旅费</v>
          </cell>
          <cell r="G99">
            <v>50122.87</v>
          </cell>
          <cell r="H99">
            <v>50122.87</v>
          </cell>
        </row>
        <row r="100">
          <cell r="A100" t="str">
            <v>6602.09.01</v>
          </cell>
          <cell r="B100" t="str">
            <v>　　　　住宿费</v>
          </cell>
          <cell r="G100">
            <v>16631.060000000001</v>
          </cell>
          <cell r="H100">
            <v>16631.060000000001</v>
          </cell>
        </row>
        <row r="101">
          <cell r="A101" t="str">
            <v>6602.09.01</v>
          </cell>
          <cell r="B101" t="str">
            <v>　　　　住宿费</v>
          </cell>
          <cell r="C101" t="str">
            <v>CI002</v>
          </cell>
          <cell r="D101" t="str">
            <v>旭智富能</v>
          </cell>
          <cell r="G101">
            <v>10813.21</v>
          </cell>
          <cell r="H101">
            <v>10813.21</v>
          </cell>
        </row>
        <row r="102">
          <cell r="A102" t="str">
            <v>6602.09.01</v>
          </cell>
          <cell r="B102" t="str">
            <v>　　　　住宿费</v>
          </cell>
          <cell r="C102" t="str">
            <v>CI005</v>
          </cell>
          <cell r="D102" t="str">
            <v>旭智私募</v>
          </cell>
          <cell r="G102">
            <v>1470.75</v>
          </cell>
          <cell r="H102">
            <v>1470.75</v>
          </cell>
        </row>
        <row r="103">
          <cell r="A103" t="str">
            <v>6602.09.01</v>
          </cell>
          <cell r="B103" t="str">
            <v>　　　　住宿费</v>
          </cell>
          <cell r="C103" t="str">
            <v>CI007</v>
          </cell>
          <cell r="D103" t="str">
            <v>其他项目</v>
          </cell>
          <cell r="G103">
            <v>4347.1000000000004</v>
          </cell>
          <cell r="H103">
            <v>4347.1000000000004</v>
          </cell>
        </row>
        <row r="104">
          <cell r="A104" t="str">
            <v>6602.09.02</v>
          </cell>
          <cell r="B104" t="str">
            <v>　　　　伙食费</v>
          </cell>
          <cell r="G104">
            <v>1203.8900000000001</v>
          </cell>
          <cell r="H104">
            <v>1203.8900000000001</v>
          </cell>
        </row>
        <row r="105">
          <cell r="A105" t="str">
            <v>6602.09.02</v>
          </cell>
          <cell r="B105" t="str">
            <v>　　　　伙食费</v>
          </cell>
          <cell r="C105" t="str">
            <v>CI002</v>
          </cell>
          <cell r="D105" t="str">
            <v>旭智富能</v>
          </cell>
          <cell r="G105">
            <v>749</v>
          </cell>
          <cell r="H105">
            <v>749</v>
          </cell>
        </row>
        <row r="106">
          <cell r="A106" t="str">
            <v>6602.09.02</v>
          </cell>
          <cell r="B106" t="str">
            <v>　　　　伙食费</v>
          </cell>
          <cell r="C106" t="str">
            <v>CI005</v>
          </cell>
          <cell r="D106" t="str">
            <v>旭智私募</v>
          </cell>
          <cell r="G106">
            <v>275.10000000000002</v>
          </cell>
          <cell r="H106">
            <v>275.10000000000002</v>
          </cell>
        </row>
        <row r="107">
          <cell r="A107" t="str">
            <v>6602.09.02</v>
          </cell>
          <cell r="B107" t="str">
            <v>　　　　伙食费</v>
          </cell>
          <cell r="C107" t="str">
            <v>CI007</v>
          </cell>
          <cell r="D107" t="str">
            <v>其他项目</v>
          </cell>
          <cell r="G107">
            <v>179.79</v>
          </cell>
          <cell r="H107">
            <v>179.79</v>
          </cell>
        </row>
        <row r="108">
          <cell r="A108" t="str">
            <v>6602.09.03</v>
          </cell>
          <cell r="B108" t="str">
            <v>　　　　地面交通费</v>
          </cell>
          <cell r="G108">
            <v>9987.91</v>
          </cell>
          <cell r="H108">
            <v>9987.91</v>
          </cell>
        </row>
        <row r="109">
          <cell r="A109" t="str">
            <v>6602.09.03</v>
          </cell>
          <cell r="B109" t="str">
            <v>　　　　地面交通费</v>
          </cell>
          <cell r="C109" t="str">
            <v>CI002</v>
          </cell>
          <cell r="D109" t="str">
            <v>旭智富能</v>
          </cell>
          <cell r="G109">
            <v>4071.31</v>
          </cell>
          <cell r="H109">
            <v>4071.31</v>
          </cell>
        </row>
        <row r="110">
          <cell r="A110" t="str">
            <v>6602.09.03</v>
          </cell>
          <cell r="B110" t="str">
            <v>　　　　地面交通费</v>
          </cell>
          <cell r="C110" t="str">
            <v>CI005</v>
          </cell>
          <cell r="D110" t="str">
            <v>旭智私募</v>
          </cell>
          <cell r="G110">
            <v>1998.24</v>
          </cell>
          <cell r="H110">
            <v>1998.24</v>
          </cell>
        </row>
        <row r="111">
          <cell r="A111" t="str">
            <v>6602.09.03</v>
          </cell>
          <cell r="B111" t="str">
            <v>　　　　地面交通费</v>
          </cell>
          <cell r="C111" t="str">
            <v>CI007</v>
          </cell>
          <cell r="D111" t="str">
            <v>其他项目</v>
          </cell>
          <cell r="G111">
            <v>3918.36</v>
          </cell>
          <cell r="H111">
            <v>3918.36</v>
          </cell>
        </row>
        <row r="112">
          <cell r="A112" t="str">
            <v>6602.09.04</v>
          </cell>
          <cell r="B112" t="str">
            <v>　　　　空中交通费</v>
          </cell>
          <cell r="G112">
            <v>20533.04</v>
          </cell>
          <cell r="H112">
            <v>20533.04</v>
          </cell>
        </row>
        <row r="113">
          <cell r="A113" t="str">
            <v>6602.09.04</v>
          </cell>
          <cell r="B113" t="str">
            <v>　　　　空中交通费</v>
          </cell>
          <cell r="C113" t="str">
            <v>CI002</v>
          </cell>
          <cell r="D113" t="str">
            <v>旭智富能</v>
          </cell>
          <cell r="G113">
            <v>10549.04</v>
          </cell>
          <cell r="H113">
            <v>10549.04</v>
          </cell>
        </row>
        <row r="114">
          <cell r="A114" t="str">
            <v>6602.09.04</v>
          </cell>
          <cell r="B114" t="str">
            <v>　　　　空中交通费</v>
          </cell>
          <cell r="C114" t="str">
            <v>CI005</v>
          </cell>
          <cell r="D114" t="str">
            <v>旭智私募</v>
          </cell>
          <cell r="G114">
            <v>4140</v>
          </cell>
          <cell r="H114">
            <v>4140</v>
          </cell>
        </row>
        <row r="115">
          <cell r="A115" t="str">
            <v>6602.09.04</v>
          </cell>
          <cell r="B115" t="str">
            <v>　　　　空中交通费</v>
          </cell>
          <cell r="C115" t="str">
            <v>CI007</v>
          </cell>
          <cell r="D115" t="str">
            <v>其他项目</v>
          </cell>
          <cell r="G115">
            <v>5844</v>
          </cell>
          <cell r="H115">
            <v>5844</v>
          </cell>
        </row>
        <row r="116">
          <cell r="A116" t="str">
            <v>6602.09.08</v>
          </cell>
          <cell r="B116" t="str">
            <v>　　　　退改费用（机票/火车等）</v>
          </cell>
          <cell r="G116">
            <v>333</v>
          </cell>
          <cell r="H116">
            <v>333</v>
          </cell>
        </row>
        <row r="117">
          <cell r="A117" t="str">
            <v>6602.09.08</v>
          </cell>
          <cell r="B117" t="str">
            <v>　　　　退改费用（机票/火车等）</v>
          </cell>
          <cell r="C117" t="str">
            <v>CI005</v>
          </cell>
          <cell r="D117" t="str">
            <v>旭智私募</v>
          </cell>
          <cell r="G117">
            <v>333</v>
          </cell>
          <cell r="H117">
            <v>333</v>
          </cell>
        </row>
        <row r="118">
          <cell r="A118" t="str">
            <v>6602.09.09</v>
          </cell>
          <cell r="B118" t="str">
            <v>　　　　携程服务费</v>
          </cell>
          <cell r="G118">
            <v>633.97</v>
          </cell>
          <cell r="H118">
            <v>633.97</v>
          </cell>
        </row>
        <row r="119">
          <cell r="A119" t="str">
            <v>6602.09.09</v>
          </cell>
          <cell r="B119" t="str">
            <v>　　　　携程服务费</v>
          </cell>
          <cell r="C119" t="str">
            <v>CI002</v>
          </cell>
          <cell r="D119" t="str">
            <v>旭智富能</v>
          </cell>
          <cell r="G119">
            <v>426.42</v>
          </cell>
          <cell r="H119">
            <v>426.42</v>
          </cell>
        </row>
        <row r="120">
          <cell r="A120" t="str">
            <v>6602.09.09</v>
          </cell>
          <cell r="B120" t="str">
            <v>　　　　携程服务费</v>
          </cell>
          <cell r="C120" t="str">
            <v>CI005</v>
          </cell>
          <cell r="D120" t="str">
            <v>旭智私募</v>
          </cell>
          <cell r="G120">
            <v>173.58</v>
          </cell>
          <cell r="H120">
            <v>173.58</v>
          </cell>
        </row>
        <row r="121">
          <cell r="A121" t="str">
            <v>6602.09.09</v>
          </cell>
          <cell r="B121" t="str">
            <v>　　　　携程服务费</v>
          </cell>
          <cell r="C121" t="str">
            <v>CI007</v>
          </cell>
          <cell r="D121" t="str">
            <v>其他项目</v>
          </cell>
          <cell r="G121">
            <v>33.97</v>
          </cell>
          <cell r="H121">
            <v>33.97</v>
          </cell>
        </row>
        <row r="122">
          <cell r="A122" t="str">
            <v>6602.09.99</v>
          </cell>
          <cell r="B122" t="str">
            <v>　　　　其他</v>
          </cell>
          <cell r="G122">
            <v>800</v>
          </cell>
          <cell r="H122">
            <v>800</v>
          </cell>
        </row>
        <row r="123">
          <cell r="A123" t="str">
            <v>6602.09.99</v>
          </cell>
          <cell r="B123" t="str">
            <v>　　　　其他</v>
          </cell>
          <cell r="C123" t="str">
            <v>CI002</v>
          </cell>
          <cell r="D123" t="str">
            <v>旭智富能</v>
          </cell>
          <cell r="G123">
            <v>800</v>
          </cell>
          <cell r="H123">
            <v>800</v>
          </cell>
        </row>
        <row r="124">
          <cell r="A124" t="str">
            <v>6602.10</v>
          </cell>
          <cell r="B124" t="str">
            <v>　　折旧费</v>
          </cell>
          <cell r="G124">
            <v>40.93</v>
          </cell>
          <cell r="H124">
            <v>40.93</v>
          </cell>
        </row>
        <row r="125">
          <cell r="A125" t="str">
            <v>6602.10.04</v>
          </cell>
          <cell r="B125" t="str">
            <v>　　　　家具设备</v>
          </cell>
          <cell r="G125">
            <v>40.93</v>
          </cell>
          <cell r="H125">
            <v>40.93</v>
          </cell>
        </row>
        <row r="126">
          <cell r="A126" t="str">
            <v>6602.12</v>
          </cell>
          <cell r="B126" t="str">
            <v>　　使用权资产折旧</v>
          </cell>
          <cell r="G126">
            <v>6284.82</v>
          </cell>
          <cell r="H126">
            <v>6284.82</v>
          </cell>
        </row>
        <row r="127">
          <cell r="A127" t="str">
            <v>6602.12.03</v>
          </cell>
          <cell r="B127" t="str">
            <v>　　　　注册地址</v>
          </cell>
          <cell r="G127">
            <v>6284.82</v>
          </cell>
          <cell r="H127">
            <v>6284.82</v>
          </cell>
        </row>
        <row r="128">
          <cell r="A128" t="str">
            <v>6602.12.03.01</v>
          </cell>
          <cell r="B128" t="str">
            <v>　　　　　　旭智私募--前海壹号B座701E</v>
          </cell>
          <cell r="G128">
            <v>6284.82</v>
          </cell>
          <cell r="H128">
            <v>6284.82</v>
          </cell>
        </row>
        <row r="129">
          <cell r="A129" t="str">
            <v>6602.19</v>
          </cell>
          <cell r="B129" t="str">
            <v>　　会费（公司）</v>
          </cell>
        </row>
        <row r="130">
          <cell r="A130" t="str">
            <v>6602.20</v>
          </cell>
          <cell r="B130" t="str">
            <v>　　职工教育经费</v>
          </cell>
        </row>
        <row r="131">
          <cell r="A131" t="str">
            <v>6603</v>
          </cell>
          <cell r="B131" t="str">
            <v>财务费用</v>
          </cell>
          <cell r="G131">
            <v>-296.3</v>
          </cell>
          <cell r="H131">
            <v>-296.3</v>
          </cell>
        </row>
        <row r="132">
          <cell r="A132" t="str">
            <v>6603.01</v>
          </cell>
          <cell r="B132" t="str">
            <v>　　汇兑损益</v>
          </cell>
          <cell r="G132">
            <v>8.7899999999999991</v>
          </cell>
          <cell r="H132">
            <v>8.7899999999999991</v>
          </cell>
        </row>
        <row r="133">
          <cell r="A133" t="str">
            <v>6603.02</v>
          </cell>
          <cell r="B133" t="str">
            <v>　　利息费用</v>
          </cell>
          <cell r="G133">
            <v>157.91</v>
          </cell>
          <cell r="H133">
            <v>157.91</v>
          </cell>
        </row>
        <row r="134">
          <cell r="A134" t="str">
            <v>6603.02.03</v>
          </cell>
          <cell r="B134" t="str">
            <v>　　　　注册地址</v>
          </cell>
          <cell r="G134">
            <v>157.91</v>
          </cell>
          <cell r="H134">
            <v>157.91</v>
          </cell>
        </row>
        <row r="135">
          <cell r="A135" t="str">
            <v>6603.02.03.01</v>
          </cell>
          <cell r="B135" t="str">
            <v>　　　　　　旭智私募--前海壹号B座701E</v>
          </cell>
          <cell r="G135">
            <v>157.91</v>
          </cell>
          <cell r="H135">
            <v>157.91</v>
          </cell>
        </row>
        <row r="136">
          <cell r="A136" t="str">
            <v>6603.03</v>
          </cell>
          <cell r="B136" t="str">
            <v>　　银行手续费</v>
          </cell>
          <cell r="G136">
            <v>27</v>
          </cell>
          <cell r="H136">
            <v>27</v>
          </cell>
        </row>
        <row r="137">
          <cell r="A137" t="str">
            <v>6603.04</v>
          </cell>
          <cell r="B137" t="str">
            <v>　　利息收入</v>
          </cell>
          <cell r="G137">
            <v>-490</v>
          </cell>
          <cell r="H137">
            <v>-490</v>
          </cell>
        </row>
        <row r="138">
          <cell r="B138" t="str">
            <v>合计</v>
          </cell>
          <cell r="E138">
            <v>6813433.4900000002</v>
          </cell>
          <cell r="F138">
            <v>6813433.4900000002</v>
          </cell>
          <cell r="G138">
            <v>6764136.5899999999</v>
          </cell>
          <cell r="H138">
            <v>6764136.5899999999</v>
          </cell>
        </row>
      </sheetData>
      <sheetData sheetId="5">
        <row r="1">
          <cell r="A1" t="str">
            <v>币别:人民币</v>
          </cell>
          <cell r="B1" t="str">
            <v>账簿:深圳旭智私募股权基金管理有限公司</v>
          </cell>
          <cell r="C1" t="str">
            <v>期间:2025.6 -- 2025.6</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6198127.1399999997</v>
          </cell>
          <cell r="G4">
            <v>975689.58</v>
          </cell>
          <cell r="H4">
            <v>5952546.8399999999</v>
          </cell>
        </row>
        <row r="5">
          <cell r="A5" t="str">
            <v>1002.23</v>
          </cell>
          <cell r="B5" t="str">
            <v>　　【旭智私募】银行存款账户</v>
          </cell>
          <cell r="E5">
            <v>6198127.1399999997</v>
          </cell>
          <cell r="G5">
            <v>975689.58</v>
          </cell>
          <cell r="H5">
            <v>5952546.8399999999</v>
          </cell>
        </row>
        <row r="6">
          <cell r="A6" t="str">
            <v>1002.23.01</v>
          </cell>
          <cell r="B6" t="str">
            <v>　　　　农业银行账户</v>
          </cell>
          <cell r="E6">
            <v>6198127.1399999997</v>
          </cell>
          <cell r="G6">
            <v>975689.58</v>
          </cell>
          <cell r="H6">
            <v>5952546.8399999999</v>
          </cell>
        </row>
        <row r="7">
          <cell r="A7" t="str">
            <v>1002.23.01.01</v>
          </cell>
          <cell r="B7" t="str">
            <v>　　　　　　【旭智私募】农行 人民币基本户 6018</v>
          </cell>
          <cell r="E7">
            <v>542147.77</v>
          </cell>
          <cell r="G7">
            <v>472390.46</v>
          </cell>
          <cell r="H7">
            <v>380242.49</v>
          </cell>
        </row>
        <row r="8">
          <cell r="A8" t="str">
            <v>1002.23.01.01.01</v>
          </cell>
          <cell r="B8" t="str">
            <v>　　　　　　　　【旭智私募】农行 人民币基本户 6018 活期存款</v>
          </cell>
          <cell r="E8">
            <v>42147.77</v>
          </cell>
          <cell r="G8">
            <v>472390.46</v>
          </cell>
          <cell r="H8">
            <v>380242.49</v>
          </cell>
        </row>
        <row r="9">
          <cell r="A9" t="str">
            <v>1002.23.01.01.02</v>
          </cell>
          <cell r="B9" t="str">
            <v>　　　　　　　　【旭智私募】农行 人民币基本户 6018 七天通知存款</v>
          </cell>
          <cell r="E9">
            <v>500000</v>
          </cell>
        </row>
        <row r="10">
          <cell r="A10" t="str">
            <v>1002.23.01.02</v>
          </cell>
          <cell r="B10" t="str">
            <v>　　　　　　【旭智私募】农行 人民币资本金账户 6026</v>
          </cell>
          <cell r="E10">
            <v>472300.99</v>
          </cell>
          <cell r="G10">
            <v>28.88</v>
          </cell>
          <cell r="H10">
            <v>472300.99</v>
          </cell>
        </row>
        <row r="11">
          <cell r="A11" t="str">
            <v>1002.23.01.02.01</v>
          </cell>
          <cell r="B11" t="str">
            <v>　　　　　　　　【旭智私募】农行 人民币资本金账户 6026 活期存款</v>
          </cell>
          <cell r="E11">
            <v>472300.99</v>
          </cell>
          <cell r="G11">
            <v>28.88</v>
          </cell>
          <cell r="H11">
            <v>472300.99</v>
          </cell>
        </row>
        <row r="12">
          <cell r="A12" t="str">
            <v>1002.23.01.02.02</v>
          </cell>
          <cell r="B12" t="str">
            <v>　　　　　　　　【旭智私募】农行 人民币资本金账户 6026 七天通知存款</v>
          </cell>
        </row>
        <row r="13">
          <cell r="A13" t="str">
            <v>1002.23.01.03</v>
          </cell>
          <cell r="B13" t="str">
            <v>　　　　　　【旭智私募】农行 港元资本金账户 7230</v>
          </cell>
          <cell r="E13">
            <v>688.15</v>
          </cell>
          <cell r="G13">
            <v>0.02</v>
          </cell>
          <cell r="H13">
            <v>3.36</v>
          </cell>
        </row>
        <row r="14">
          <cell r="A14" t="str">
            <v>1002.23.01.04</v>
          </cell>
          <cell r="B14" t="str">
            <v>　　　　　　【旭智私募】农行 人民币结汇待支付账户 7248</v>
          </cell>
          <cell r="E14">
            <v>5182990.2300000004</v>
          </cell>
          <cell r="G14">
            <v>503270.22</v>
          </cell>
          <cell r="H14">
            <v>5100000</v>
          </cell>
        </row>
        <row r="15">
          <cell r="A15" t="str">
            <v>1002.23.01.04.01</v>
          </cell>
          <cell r="B15" t="str">
            <v>　　　　　　　　【旭智私募】农行 人民币结汇待支付账户 7248 活期存款</v>
          </cell>
          <cell r="E15">
            <v>4682990.2300000004</v>
          </cell>
          <cell r="G15">
            <v>503270.22</v>
          </cell>
          <cell r="H15">
            <v>4600000</v>
          </cell>
        </row>
        <row r="16">
          <cell r="A16" t="str">
            <v>1002.23.01.04.02</v>
          </cell>
          <cell r="B16" t="str">
            <v>　　　　　　　　【旭智私募】农行 人民币结汇待支付账户 7248 定期存款</v>
          </cell>
          <cell r="E16">
            <v>500000</v>
          </cell>
          <cell r="H16">
            <v>500000</v>
          </cell>
        </row>
        <row r="17">
          <cell r="A17" t="str">
            <v>1101</v>
          </cell>
          <cell r="B17" t="str">
            <v>交易性金融资产</v>
          </cell>
          <cell r="G17">
            <v>4600000</v>
          </cell>
        </row>
        <row r="18">
          <cell r="A18" t="str">
            <v>1101.01</v>
          </cell>
          <cell r="B18" t="str">
            <v>　　投资成本</v>
          </cell>
          <cell r="G18">
            <v>4600000</v>
          </cell>
        </row>
        <row r="19">
          <cell r="A19" t="str">
            <v>1101.01.03</v>
          </cell>
          <cell r="B19" t="str">
            <v>　　　　银行理财</v>
          </cell>
          <cell r="G19">
            <v>4600000</v>
          </cell>
        </row>
        <row r="20">
          <cell r="A20" t="str">
            <v>1123</v>
          </cell>
          <cell r="B20" t="str">
            <v>预付账款</v>
          </cell>
          <cell r="E20">
            <v>10000</v>
          </cell>
        </row>
        <row r="21">
          <cell r="A21" t="str">
            <v>1123.01</v>
          </cell>
          <cell r="B21" t="str">
            <v>　　单位</v>
          </cell>
          <cell r="E21">
            <v>10000</v>
          </cell>
        </row>
        <row r="22">
          <cell r="A22" t="str">
            <v>1123.01</v>
          </cell>
          <cell r="B22" t="str">
            <v>　　单位</v>
          </cell>
          <cell r="C22" t="str">
            <v>SU007002</v>
          </cell>
          <cell r="D22" t="str">
            <v>中国再生能源学会</v>
          </cell>
          <cell r="E22">
            <v>10000</v>
          </cell>
        </row>
        <row r="23">
          <cell r="A23" t="str">
            <v>1221</v>
          </cell>
          <cell r="B23" t="str">
            <v>其他应收款</v>
          </cell>
          <cell r="E23">
            <v>13000</v>
          </cell>
        </row>
        <row r="24">
          <cell r="A24" t="str">
            <v>1221.01</v>
          </cell>
          <cell r="B24" t="str">
            <v>　　单位</v>
          </cell>
          <cell r="E24">
            <v>13000</v>
          </cell>
        </row>
        <row r="25">
          <cell r="A25" t="str">
            <v>1221.01</v>
          </cell>
          <cell r="B25" t="str">
            <v>　　单位</v>
          </cell>
          <cell r="C25" t="str">
            <v>CU006005</v>
          </cell>
          <cell r="D25" t="str">
            <v>长峻物业管理(深圳)有限公司</v>
          </cell>
          <cell r="E25">
            <v>13000</v>
          </cell>
        </row>
        <row r="26">
          <cell r="A26" t="str">
            <v>1601</v>
          </cell>
          <cell r="B26" t="str">
            <v>固定资产</v>
          </cell>
          <cell r="E26">
            <v>2585</v>
          </cell>
        </row>
        <row r="27">
          <cell r="A27" t="str">
            <v>1601.04</v>
          </cell>
          <cell r="B27" t="str">
            <v>　　家具设备</v>
          </cell>
          <cell r="E27">
            <v>2585</v>
          </cell>
        </row>
        <row r="28">
          <cell r="A28" t="str">
            <v>1602</v>
          </cell>
          <cell r="B28" t="str">
            <v>累计折旧</v>
          </cell>
          <cell r="F28">
            <v>450.23</v>
          </cell>
          <cell r="H28">
            <v>40.93</v>
          </cell>
        </row>
        <row r="29">
          <cell r="A29" t="str">
            <v>1602.04</v>
          </cell>
          <cell r="B29" t="str">
            <v>　　家具设备</v>
          </cell>
          <cell r="F29">
            <v>450.23</v>
          </cell>
          <cell r="H29">
            <v>40.93</v>
          </cell>
        </row>
        <row r="30">
          <cell r="A30" t="str">
            <v>1641</v>
          </cell>
          <cell r="B30" t="str">
            <v>使用权资产</v>
          </cell>
          <cell r="E30">
            <v>125696.44</v>
          </cell>
        </row>
        <row r="31">
          <cell r="A31" t="str">
            <v>1641.03</v>
          </cell>
          <cell r="B31" t="str">
            <v>　　注册地址</v>
          </cell>
          <cell r="E31">
            <v>125696.44</v>
          </cell>
        </row>
        <row r="32">
          <cell r="A32" t="str">
            <v>1641.03.01</v>
          </cell>
          <cell r="B32" t="str">
            <v>　　　　旭智私募--前海壹号B座701E</v>
          </cell>
          <cell r="E32">
            <v>125696.44</v>
          </cell>
        </row>
        <row r="33">
          <cell r="A33" t="str">
            <v>1642</v>
          </cell>
          <cell r="B33" t="str">
            <v>使用权资产累计折旧</v>
          </cell>
          <cell r="F33">
            <v>81702.67</v>
          </cell>
          <cell r="H33">
            <v>6284.82</v>
          </cell>
        </row>
        <row r="34">
          <cell r="A34" t="str">
            <v>1642.03</v>
          </cell>
          <cell r="B34" t="str">
            <v>　　注册地址</v>
          </cell>
          <cell r="F34">
            <v>81702.67</v>
          </cell>
          <cell r="H34">
            <v>6284.82</v>
          </cell>
        </row>
        <row r="35">
          <cell r="A35" t="str">
            <v>1642.03.01</v>
          </cell>
          <cell r="B35" t="str">
            <v>　　　　旭智私募--前海壹号B座701E</v>
          </cell>
          <cell r="F35">
            <v>81702.67</v>
          </cell>
          <cell r="H35">
            <v>6284.82</v>
          </cell>
        </row>
        <row r="36">
          <cell r="A36" t="str">
            <v>2211</v>
          </cell>
          <cell r="B36" t="str">
            <v>应付职工薪酬</v>
          </cell>
          <cell r="G36">
            <v>241087.27</v>
          </cell>
          <cell r="H36">
            <v>241087.27</v>
          </cell>
        </row>
        <row r="37">
          <cell r="A37" t="str">
            <v>2211.01</v>
          </cell>
          <cell r="B37" t="str">
            <v>　　职工工资</v>
          </cell>
          <cell r="G37">
            <v>204174.32</v>
          </cell>
          <cell r="H37">
            <v>204174.32</v>
          </cell>
        </row>
        <row r="38">
          <cell r="A38" t="str">
            <v>2211.02</v>
          </cell>
          <cell r="B38" t="str">
            <v>　　职工奖金</v>
          </cell>
        </row>
        <row r="39">
          <cell r="A39" t="str">
            <v>2211.05</v>
          </cell>
          <cell r="B39" t="str">
            <v>　　社会保险费</v>
          </cell>
          <cell r="G39">
            <v>15007.79</v>
          </cell>
          <cell r="H39">
            <v>15007.79</v>
          </cell>
        </row>
        <row r="40">
          <cell r="A40" t="str">
            <v>2211.06</v>
          </cell>
          <cell r="B40" t="str">
            <v>　　住房公积金</v>
          </cell>
          <cell r="G40">
            <v>21905.16</v>
          </cell>
          <cell r="H40">
            <v>21905.16</v>
          </cell>
        </row>
        <row r="41">
          <cell r="A41" t="str">
            <v>2211.08</v>
          </cell>
          <cell r="B41" t="str">
            <v>　　职工教育经费</v>
          </cell>
        </row>
        <row r="42">
          <cell r="A42" t="str">
            <v>2221</v>
          </cell>
          <cell r="B42" t="str">
            <v>应交税费</v>
          </cell>
          <cell r="F42">
            <v>34424.879999999997</v>
          </cell>
          <cell r="G42">
            <v>44716.06</v>
          </cell>
          <cell r="H42">
            <v>39660.61</v>
          </cell>
        </row>
        <row r="43">
          <cell r="A43" t="str">
            <v>2221.01</v>
          </cell>
          <cell r="B43" t="str">
            <v>　　应交增值税</v>
          </cell>
          <cell r="G43">
            <v>1123.94</v>
          </cell>
          <cell r="H43">
            <v>1123.94</v>
          </cell>
        </row>
        <row r="44">
          <cell r="A44" t="str">
            <v>2221.01.01</v>
          </cell>
          <cell r="B44" t="str">
            <v>　　　　销项税额</v>
          </cell>
        </row>
        <row r="45">
          <cell r="A45" t="str">
            <v>2221.01.03</v>
          </cell>
          <cell r="B45" t="str">
            <v>　　　　进项税额</v>
          </cell>
          <cell r="G45">
            <v>1123.94</v>
          </cell>
          <cell r="H45">
            <v>1123.94</v>
          </cell>
        </row>
        <row r="46">
          <cell r="A46" t="str">
            <v>2221.03</v>
          </cell>
          <cell r="B46" t="str">
            <v>　　暂估进项税额</v>
          </cell>
          <cell r="F46">
            <v>-806.48</v>
          </cell>
          <cell r="G46">
            <v>742.3</v>
          </cell>
          <cell r="H46">
            <v>806.48</v>
          </cell>
        </row>
        <row r="47">
          <cell r="A47" t="str">
            <v>2221.06</v>
          </cell>
          <cell r="B47" t="str">
            <v>　　待认证进项税额</v>
          </cell>
          <cell r="G47">
            <v>317.45999999999998</v>
          </cell>
          <cell r="H47">
            <v>317.45999999999998</v>
          </cell>
        </row>
        <row r="48">
          <cell r="A48" t="str">
            <v>2221.07</v>
          </cell>
          <cell r="B48" t="str">
            <v>　　待抵扣进项税额</v>
          </cell>
          <cell r="F48">
            <v>-6177.06</v>
          </cell>
          <cell r="G48">
            <v>1123.94</v>
          </cell>
        </row>
        <row r="49">
          <cell r="A49" t="str">
            <v>2221.16</v>
          </cell>
          <cell r="B49" t="str">
            <v>　　应交个人所得税</v>
          </cell>
          <cell r="F49">
            <v>41408.42</v>
          </cell>
          <cell r="G49">
            <v>41408.42</v>
          </cell>
          <cell r="H49">
            <v>37412.730000000003</v>
          </cell>
        </row>
        <row r="50">
          <cell r="A50" t="str">
            <v>2241</v>
          </cell>
          <cell r="B50" t="str">
            <v>其他应付款</v>
          </cell>
          <cell r="F50">
            <v>31574.74</v>
          </cell>
          <cell r="G50">
            <v>41073.5</v>
          </cell>
          <cell r="H50">
            <v>44894.61</v>
          </cell>
        </row>
        <row r="51">
          <cell r="A51" t="str">
            <v>2241.01</v>
          </cell>
          <cell r="B51" t="str">
            <v>　　单位</v>
          </cell>
          <cell r="F51">
            <v>30741.88</v>
          </cell>
          <cell r="G51">
            <v>38808.480000000003</v>
          </cell>
          <cell r="H51">
            <v>42629.59</v>
          </cell>
        </row>
        <row r="52">
          <cell r="A52" t="str">
            <v>2241.01</v>
          </cell>
          <cell r="B52" t="str">
            <v>　　单位</v>
          </cell>
          <cell r="C52" t="str">
            <v>SU005004</v>
          </cell>
          <cell r="D52" t="str">
            <v>上海爱文人才服务有限公司</v>
          </cell>
          <cell r="G52">
            <v>1400</v>
          </cell>
          <cell r="H52">
            <v>1400</v>
          </cell>
        </row>
        <row r="53">
          <cell r="A53" t="str">
            <v>2241.01</v>
          </cell>
          <cell r="B53" t="str">
            <v>　　单位</v>
          </cell>
          <cell r="C53" t="str">
            <v>SU005007</v>
          </cell>
          <cell r="D53" t="str">
            <v>普华永道中天会计师事务所（特殊普通合伙）</v>
          </cell>
        </row>
        <row r="54">
          <cell r="A54" t="str">
            <v>2241.01</v>
          </cell>
          <cell r="B54" t="str">
            <v>　　单位</v>
          </cell>
          <cell r="C54" t="str">
            <v>SU005044</v>
          </cell>
          <cell r="D54" t="str">
            <v>旭智咨询管理（深圳）有限责任公司</v>
          </cell>
        </row>
        <row r="55">
          <cell r="A55" t="str">
            <v>2241.01</v>
          </cell>
          <cell r="B55" t="str">
            <v>　　单位</v>
          </cell>
          <cell r="C55" t="str">
            <v>SU006012</v>
          </cell>
          <cell r="D55" t="str">
            <v>上海携程宏睿国际旅行社有限公司</v>
          </cell>
          <cell r="F55">
            <v>30741.88</v>
          </cell>
          <cell r="G55">
            <v>30741.88</v>
          </cell>
          <cell r="H55">
            <v>34562.99</v>
          </cell>
        </row>
        <row r="56">
          <cell r="A56" t="str">
            <v>2241.01</v>
          </cell>
          <cell r="B56" t="str">
            <v>　　单位</v>
          </cell>
          <cell r="C56" t="str">
            <v>SU006025</v>
          </cell>
          <cell r="D56" t="str">
            <v>全景求是管理顾问（北京）有限公司</v>
          </cell>
        </row>
        <row r="57">
          <cell r="A57" t="str">
            <v>2241.01</v>
          </cell>
          <cell r="B57" t="str">
            <v>　　单位</v>
          </cell>
          <cell r="C57" t="str">
            <v>SU007003</v>
          </cell>
          <cell r="D57" t="str">
            <v>长峻物业管理（深圳）有限公司</v>
          </cell>
          <cell r="G57">
            <v>6666.6</v>
          </cell>
          <cell r="H57">
            <v>6666.6</v>
          </cell>
        </row>
        <row r="58">
          <cell r="A58" t="str">
            <v>2241.02</v>
          </cell>
          <cell r="B58" t="str">
            <v>　　个人</v>
          </cell>
          <cell r="F58">
            <v>832.86</v>
          </cell>
          <cell r="G58">
            <v>2265.02</v>
          </cell>
          <cell r="H58">
            <v>2265.02</v>
          </cell>
        </row>
        <row r="59">
          <cell r="A59" t="str">
            <v>2241.02</v>
          </cell>
          <cell r="B59" t="str">
            <v>　　个人</v>
          </cell>
          <cell r="C59" t="str">
            <v>SP005001</v>
          </cell>
          <cell r="D59" t="str">
            <v>冯冠邦</v>
          </cell>
          <cell r="F59">
            <v>832.86</v>
          </cell>
        </row>
        <row r="60">
          <cell r="A60" t="str">
            <v>2241.02</v>
          </cell>
          <cell r="B60" t="str">
            <v>　　个人</v>
          </cell>
          <cell r="C60" t="str">
            <v>SP005006</v>
          </cell>
          <cell r="D60" t="str">
            <v>张歆</v>
          </cell>
        </row>
        <row r="61">
          <cell r="A61" t="str">
            <v>2241.02</v>
          </cell>
          <cell r="B61" t="str">
            <v>　　个人</v>
          </cell>
          <cell r="C61" t="str">
            <v>SP005011</v>
          </cell>
          <cell r="D61" t="str">
            <v>郭宗林</v>
          </cell>
        </row>
        <row r="62">
          <cell r="A62" t="str">
            <v>2241.02</v>
          </cell>
          <cell r="B62" t="str">
            <v>　　个人</v>
          </cell>
          <cell r="C62" t="str">
            <v>SP006002</v>
          </cell>
          <cell r="D62" t="str">
            <v>陈灿</v>
          </cell>
        </row>
        <row r="63">
          <cell r="A63" t="str">
            <v>2241.02</v>
          </cell>
          <cell r="B63" t="str">
            <v>　　个人</v>
          </cell>
          <cell r="C63" t="str">
            <v>SP006009</v>
          </cell>
          <cell r="D63" t="str">
            <v>林秋蝶</v>
          </cell>
          <cell r="G63">
            <v>357.81</v>
          </cell>
          <cell r="H63">
            <v>357.81</v>
          </cell>
        </row>
        <row r="64">
          <cell r="A64" t="str">
            <v>2241.02</v>
          </cell>
          <cell r="B64" t="str">
            <v>　　个人</v>
          </cell>
          <cell r="C64" t="str">
            <v>SP006010</v>
          </cell>
          <cell r="D64" t="str">
            <v>陈广华</v>
          </cell>
          <cell r="G64">
            <v>585.83000000000004</v>
          </cell>
          <cell r="H64">
            <v>585.83000000000004</v>
          </cell>
        </row>
        <row r="65">
          <cell r="A65" t="str">
            <v>2241.02</v>
          </cell>
          <cell r="B65" t="str">
            <v>　　个人</v>
          </cell>
          <cell r="C65" t="str">
            <v>SP006011</v>
          </cell>
          <cell r="D65" t="str">
            <v>李敏宽</v>
          </cell>
          <cell r="G65">
            <v>1321.38</v>
          </cell>
          <cell r="H65">
            <v>1321.38</v>
          </cell>
        </row>
        <row r="66">
          <cell r="A66" t="str">
            <v>2601</v>
          </cell>
          <cell r="B66" t="str">
            <v>租赁负债</v>
          </cell>
          <cell r="F66">
            <v>43888.72</v>
          </cell>
          <cell r="G66">
            <v>6349.14</v>
          </cell>
          <cell r="H66">
            <v>138.38</v>
          </cell>
        </row>
        <row r="67">
          <cell r="A67" t="str">
            <v>2601.01</v>
          </cell>
          <cell r="B67" t="str">
            <v>　　租赁付款额</v>
          </cell>
          <cell r="F67">
            <v>44443.98</v>
          </cell>
          <cell r="G67">
            <v>6349.14</v>
          </cell>
        </row>
        <row r="68">
          <cell r="A68" t="str">
            <v>2601.01.03</v>
          </cell>
          <cell r="B68" t="str">
            <v>　　　　注册地址</v>
          </cell>
          <cell r="F68">
            <v>44443.98</v>
          </cell>
          <cell r="G68">
            <v>6349.14</v>
          </cell>
        </row>
        <row r="69">
          <cell r="A69" t="str">
            <v>2601.01.03.01</v>
          </cell>
          <cell r="B69" t="str">
            <v>　　　　　　旭智私募--前海壹号B座701E</v>
          </cell>
          <cell r="F69">
            <v>44443.98</v>
          </cell>
          <cell r="G69">
            <v>6349.14</v>
          </cell>
        </row>
        <row r="70">
          <cell r="A70" t="str">
            <v>2601.02</v>
          </cell>
          <cell r="B70" t="str">
            <v>　　未确认融资费用</v>
          </cell>
          <cell r="F70">
            <v>-555.26</v>
          </cell>
          <cell r="H70">
            <v>138.38</v>
          </cell>
        </row>
        <row r="71">
          <cell r="A71" t="str">
            <v>2601.02.03</v>
          </cell>
          <cell r="B71" t="str">
            <v>　　　　注册地址</v>
          </cell>
          <cell r="F71">
            <v>-555.26</v>
          </cell>
          <cell r="H71">
            <v>138.38</v>
          </cell>
        </row>
        <row r="72">
          <cell r="A72" t="str">
            <v>2601.02.03.01</v>
          </cell>
          <cell r="B72" t="str">
            <v>　　　　　　旭智私募--前海壹号B座701E</v>
          </cell>
          <cell r="F72">
            <v>-555.26</v>
          </cell>
          <cell r="H72">
            <v>138.38</v>
          </cell>
        </row>
        <row r="73">
          <cell r="A73" t="str">
            <v>4001</v>
          </cell>
          <cell r="B73" t="str">
            <v>实收资本（股本）</v>
          </cell>
          <cell r="F73">
            <v>10000000</v>
          </cell>
        </row>
        <row r="74">
          <cell r="A74" t="str">
            <v>4001.11</v>
          </cell>
          <cell r="B74" t="str">
            <v>　　旭智资本（香港）有限公司</v>
          </cell>
          <cell r="F74">
            <v>4900000</v>
          </cell>
        </row>
        <row r="75">
          <cell r="A75" t="str">
            <v>4001.20</v>
          </cell>
          <cell r="B75" t="str">
            <v>　　冯冠邦</v>
          </cell>
          <cell r="F75">
            <v>5100000</v>
          </cell>
        </row>
        <row r="76">
          <cell r="A76" t="str">
            <v>4103</v>
          </cell>
          <cell r="B76" t="str">
            <v>本年利润</v>
          </cell>
          <cell r="F76">
            <v>-1746366.29</v>
          </cell>
          <cell r="G76">
            <v>375737.91</v>
          </cell>
        </row>
        <row r="77">
          <cell r="A77" t="str">
            <v>4104</v>
          </cell>
          <cell r="B77" t="str">
            <v>利润分配</v>
          </cell>
          <cell r="F77">
            <v>-2096266.37</v>
          </cell>
        </row>
        <row r="78">
          <cell r="A78" t="str">
            <v>4104.07</v>
          </cell>
          <cell r="B78" t="str">
            <v>　　未分配利润</v>
          </cell>
          <cell r="F78">
            <v>-2096266.37</v>
          </cell>
        </row>
        <row r="79">
          <cell r="A79" t="str">
            <v>6111</v>
          </cell>
          <cell r="B79" t="str">
            <v>投资收益</v>
          </cell>
        </row>
        <row r="80">
          <cell r="A80" t="str">
            <v>6115</v>
          </cell>
          <cell r="B80" t="str">
            <v>其他收益</v>
          </cell>
        </row>
        <row r="81">
          <cell r="A81" t="str">
            <v>6115.02</v>
          </cell>
          <cell r="B81" t="str">
            <v>　　个税手续费返还</v>
          </cell>
        </row>
        <row r="82">
          <cell r="A82" t="str">
            <v>6602</v>
          </cell>
          <cell r="B82" t="str">
            <v>管理费用</v>
          </cell>
          <cell r="G82">
            <v>378964.26</v>
          </cell>
          <cell r="H82">
            <v>378964.26</v>
          </cell>
        </row>
        <row r="83">
          <cell r="A83" t="str">
            <v>6602.01</v>
          </cell>
          <cell r="B83" t="str">
            <v>　　工资薪金</v>
          </cell>
          <cell r="G83">
            <v>278500</v>
          </cell>
          <cell r="H83">
            <v>278500</v>
          </cell>
        </row>
        <row r="84">
          <cell r="A84" t="str">
            <v>6602.01.01</v>
          </cell>
          <cell r="B84" t="str">
            <v>　　　　基本工资（专业）</v>
          </cell>
          <cell r="G84">
            <v>278500</v>
          </cell>
          <cell r="H84">
            <v>278500</v>
          </cell>
        </row>
        <row r="85">
          <cell r="A85" t="str">
            <v>6602.03</v>
          </cell>
          <cell r="B85" t="str">
            <v>　　社保公积金</v>
          </cell>
          <cell r="G85">
            <v>56652.800000000003</v>
          </cell>
          <cell r="H85">
            <v>56652.800000000003</v>
          </cell>
        </row>
        <row r="86">
          <cell r="A86" t="str">
            <v>6602.03.01</v>
          </cell>
          <cell r="B86" t="str">
            <v>　　　　员工社保福利</v>
          </cell>
          <cell r="G86">
            <v>34747.64</v>
          </cell>
          <cell r="H86">
            <v>34747.64</v>
          </cell>
        </row>
        <row r="87">
          <cell r="A87" t="str">
            <v>6602.03.02</v>
          </cell>
          <cell r="B87" t="str">
            <v>　　　　员工公积金福利</v>
          </cell>
          <cell r="G87">
            <v>21905.16</v>
          </cell>
          <cell r="H87">
            <v>21905.16</v>
          </cell>
        </row>
        <row r="88">
          <cell r="A88" t="str">
            <v>6602.04</v>
          </cell>
          <cell r="B88" t="str">
            <v>　　咨询及专业服务费</v>
          </cell>
          <cell r="G88">
            <v>1400</v>
          </cell>
          <cell r="H88">
            <v>1400</v>
          </cell>
        </row>
        <row r="89">
          <cell r="A89" t="str">
            <v>6602.04.02</v>
          </cell>
          <cell r="B89" t="str">
            <v>　　　　审计服务费</v>
          </cell>
        </row>
        <row r="90">
          <cell r="A90" t="str">
            <v>6602.04.07</v>
          </cell>
          <cell r="B90" t="str">
            <v>　　　　人力资源服务费</v>
          </cell>
          <cell r="G90">
            <v>1400</v>
          </cell>
          <cell r="H90">
            <v>1400</v>
          </cell>
        </row>
        <row r="91">
          <cell r="A91" t="str">
            <v>6602.04.08</v>
          </cell>
          <cell r="B91" t="str">
            <v>　　　　背景调查费</v>
          </cell>
        </row>
        <row r="92">
          <cell r="A92" t="str">
            <v>6602.06</v>
          </cell>
          <cell r="B92" t="str">
            <v>　　业务招待费</v>
          </cell>
        </row>
        <row r="93">
          <cell r="A93" t="str">
            <v>6602.06</v>
          </cell>
          <cell r="B93" t="str">
            <v>　　业务招待费</v>
          </cell>
          <cell r="C93" t="str">
            <v>CI002</v>
          </cell>
          <cell r="D93" t="str">
            <v>旭智富能</v>
          </cell>
        </row>
        <row r="94">
          <cell r="A94" t="str">
            <v>6602.08</v>
          </cell>
          <cell r="B94" t="str">
            <v>　　事务费用</v>
          </cell>
          <cell r="G94">
            <v>184.8</v>
          </cell>
          <cell r="H94">
            <v>184.8</v>
          </cell>
        </row>
        <row r="95">
          <cell r="A95" t="str">
            <v>6602.08.01</v>
          </cell>
          <cell r="B95" t="str">
            <v>　　　　通信费</v>
          </cell>
          <cell r="G95">
            <v>157.80000000000001</v>
          </cell>
          <cell r="H95">
            <v>157.80000000000001</v>
          </cell>
        </row>
        <row r="96">
          <cell r="A96" t="str">
            <v>6602.08.01</v>
          </cell>
          <cell r="B96" t="str">
            <v>　　　　通信费</v>
          </cell>
          <cell r="C96" t="str">
            <v>CI005</v>
          </cell>
          <cell r="D96" t="str">
            <v>旭智私募</v>
          </cell>
          <cell r="G96">
            <v>157.80000000000001</v>
          </cell>
          <cell r="H96">
            <v>157.80000000000001</v>
          </cell>
        </row>
        <row r="97">
          <cell r="A97" t="str">
            <v>6602.08.03</v>
          </cell>
          <cell r="B97" t="str">
            <v>　　　　办公用品</v>
          </cell>
          <cell r="G97">
            <v>27</v>
          </cell>
          <cell r="H97">
            <v>27</v>
          </cell>
        </row>
        <row r="98">
          <cell r="A98" t="str">
            <v>6602.08.03</v>
          </cell>
          <cell r="B98" t="str">
            <v>　　　　办公用品</v>
          </cell>
          <cell r="C98" t="str">
            <v>CI005</v>
          </cell>
          <cell r="D98" t="str">
            <v>旭智私募</v>
          </cell>
          <cell r="G98">
            <v>27</v>
          </cell>
          <cell r="H98">
            <v>27</v>
          </cell>
        </row>
        <row r="99">
          <cell r="A99" t="str">
            <v>6602.08.05</v>
          </cell>
          <cell r="B99" t="str">
            <v>　　　　邮费/邮递费</v>
          </cell>
        </row>
        <row r="100">
          <cell r="A100" t="str">
            <v>6602.08.05</v>
          </cell>
          <cell r="B100" t="str">
            <v>　　　　邮费/邮递费</v>
          </cell>
          <cell r="C100" t="str">
            <v>CI005</v>
          </cell>
          <cell r="D100" t="str">
            <v>旭智私募</v>
          </cell>
        </row>
        <row r="101">
          <cell r="A101" t="str">
            <v>6602.09</v>
          </cell>
          <cell r="B101" t="str">
            <v>　　差旅费</v>
          </cell>
          <cell r="G101">
            <v>35900.910000000003</v>
          </cell>
          <cell r="H101">
            <v>35900.910000000003</v>
          </cell>
        </row>
        <row r="102">
          <cell r="A102" t="str">
            <v>6602.09.01</v>
          </cell>
          <cell r="B102" t="str">
            <v>　　　　住宿费</v>
          </cell>
          <cell r="G102">
            <v>11471.69</v>
          </cell>
          <cell r="H102">
            <v>11471.69</v>
          </cell>
        </row>
        <row r="103">
          <cell r="A103" t="str">
            <v>6602.09.01</v>
          </cell>
          <cell r="B103" t="str">
            <v>　　　　住宿费</v>
          </cell>
          <cell r="C103" t="str">
            <v>CI002</v>
          </cell>
          <cell r="D103" t="str">
            <v>旭智富能</v>
          </cell>
          <cell r="G103">
            <v>7426.41</v>
          </cell>
          <cell r="H103">
            <v>7426.41</v>
          </cell>
        </row>
        <row r="104">
          <cell r="A104" t="str">
            <v>6602.09.01</v>
          </cell>
          <cell r="B104" t="str">
            <v>　　　　住宿费</v>
          </cell>
          <cell r="C104" t="str">
            <v>CI005</v>
          </cell>
          <cell r="D104" t="str">
            <v>旭智私募</v>
          </cell>
          <cell r="G104">
            <v>2494.34</v>
          </cell>
          <cell r="H104">
            <v>2494.34</v>
          </cell>
        </row>
        <row r="105">
          <cell r="A105" t="str">
            <v>6602.09.01</v>
          </cell>
          <cell r="B105" t="str">
            <v>　　　　住宿费</v>
          </cell>
          <cell r="C105" t="str">
            <v>CI007</v>
          </cell>
          <cell r="D105" t="str">
            <v>其他项目</v>
          </cell>
          <cell r="G105">
            <v>1550.94</v>
          </cell>
          <cell r="H105">
            <v>1550.94</v>
          </cell>
        </row>
        <row r="106">
          <cell r="A106" t="str">
            <v>6602.09.02</v>
          </cell>
          <cell r="B106" t="str">
            <v>　　　　伙食费</v>
          </cell>
          <cell r="G106">
            <v>185.44</v>
          </cell>
          <cell r="H106">
            <v>185.44</v>
          </cell>
        </row>
        <row r="107">
          <cell r="A107" t="str">
            <v>6602.09.02</v>
          </cell>
          <cell r="B107" t="str">
            <v>　　　　伙食费</v>
          </cell>
          <cell r="C107" t="str">
            <v>CI002</v>
          </cell>
          <cell r="D107" t="str">
            <v>旭智富能</v>
          </cell>
        </row>
        <row r="108">
          <cell r="A108" t="str">
            <v>6602.09.02</v>
          </cell>
          <cell r="B108" t="str">
            <v>　　　　伙食费</v>
          </cell>
          <cell r="C108" t="str">
            <v>CI005</v>
          </cell>
          <cell r="D108" t="str">
            <v>旭智私募</v>
          </cell>
          <cell r="G108">
            <v>97.84</v>
          </cell>
          <cell r="H108">
            <v>97.84</v>
          </cell>
        </row>
        <row r="109">
          <cell r="A109" t="str">
            <v>6602.09.02</v>
          </cell>
          <cell r="B109" t="str">
            <v>　　　　伙食费</v>
          </cell>
          <cell r="C109" t="str">
            <v>CI007</v>
          </cell>
          <cell r="D109" t="str">
            <v>其他项目</v>
          </cell>
          <cell r="G109">
            <v>87.6</v>
          </cell>
          <cell r="H109">
            <v>87.6</v>
          </cell>
        </row>
        <row r="110">
          <cell r="A110" t="str">
            <v>6602.09.03</v>
          </cell>
          <cell r="B110" t="str">
            <v>　　　　地面交通费</v>
          </cell>
          <cell r="G110">
            <v>3663.78</v>
          </cell>
          <cell r="H110">
            <v>3663.78</v>
          </cell>
        </row>
        <row r="111">
          <cell r="A111" t="str">
            <v>6602.09.03</v>
          </cell>
          <cell r="B111" t="str">
            <v>　　　　地面交通费</v>
          </cell>
          <cell r="C111" t="str">
            <v>CI002</v>
          </cell>
          <cell r="D111" t="str">
            <v>旭智富能</v>
          </cell>
          <cell r="G111">
            <v>903</v>
          </cell>
          <cell r="H111">
            <v>903</v>
          </cell>
        </row>
        <row r="112">
          <cell r="A112" t="str">
            <v>6602.09.03</v>
          </cell>
          <cell r="B112" t="str">
            <v>　　　　地面交通费</v>
          </cell>
          <cell r="C112" t="str">
            <v>CI005</v>
          </cell>
          <cell r="D112" t="str">
            <v>旭智私募</v>
          </cell>
          <cell r="G112">
            <v>1595</v>
          </cell>
          <cell r="H112">
            <v>1595</v>
          </cell>
        </row>
        <row r="113">
          <cell r="A113" t="str">
            <v>6602.09.03</v>
          </cell>
          <cell r="B113" t="str">
            <v>　　　　地面交通费</v>
          </cell>
          <cell r="C113" t="str">
            <v>CI007</v>
          </cell>
          <cell r="D113" t="str">
            <v>其他项目</v>
          </cell>
          <cell r="G113">
            <v>1165.78</v>
          </cell>
          <cell r="H113">
            <v>1165.78</v>
          </cell>
        </row>
        <row r="114">
          <cell r="A114" t="str">
            <v>6602.09.04</v>
          </cell>
          <cell r="B114" t="str">
            <v>　　　　空中交通费</v>
          </cell>
          <cell r="G114">
            <v>19680</v>
          </cell>
          <cell r="H114">
            <v>19680</v>
          </cell>
        </row>
        <row r="115">
          <cell r="A115" t="str">
            <v>6602.09.04</v>
          </cell>
          <cell r="B115" t="str">
            <v>　　　　空中交通费</v>
          </cell>
          <cell r="C115" t="str">
            <v>CI002</v>
          </cell>
          <cell r="D115" t="str">
            <v>旭智富能</v>
          </cell>
          <cell r="G115">
            <v>14050</v>
          </cell>
          <cell r="H115">
            <v>14050</v>
          </cell>
        </row>
        <row r="116">
          <cell r="A116" t="str">
            <v>6602.09.04</v>
          </cell>
          <cell r="B116" t="str">
            <v>　　　　空中交通费</v>
          </cell>
          <cell r="C116" t="str">
            <v>CI005</v>
          </cell>
          <cell r="D116" t="str">
            <v>旭智私募</v>
          </cell>
          <cell r="G116">
            <v>3260</v>
          </cell>
          <cell r="H116">
            <v>3260</v>
          </cell>
        </row>
        <row r="117">
          <cell r="A117" t="str">
            <v>6602.09.04</v>
          </cell>
          <cell r="B117" t="str">
            <v>　　　　空中交通费</v>
          </cell>
          <cell r="C117" t="str">
            <v>CI007</v>
          </cell>
          <cell r="D117" t="str">
            <v>其他项目</v>
          </cell>
          <cell r="G117">
            <v>2370</v>
          </cell>
          <cell r="H117">
            <v>2370</v>
          </cell>
        </row>
        <row r="118">
          <cell r="A118" t="str">
            <v>6602.09.08</v>
          </cell>
          <cell r="B118" t="str">
            <v>　　　　退改费用（机票/火车等）</v>
          </cell>
        </row>
        <row r="119">
          <cell r="A119" t="str">
            <v>6602.09.08</v>
          </cell>
          <cell r="B119" t="str">
            <v>　　　　退改费用（机票/火车等）</v>
          </cell>
          <cell r="C119" t="str">
            <v>CI005</v>
          </cell>
          <cell r="D119" t="str">
            <v>旭智私募</v>
          </cell>
        </row>
        <row r="120">
          <cell r="A120" t="str">
            <v>6602.09.09</v>
          </cell>
          <cell r="B120" t="str">
            <v>　　　　携程服务费</v>
          </cell>
          <cell r="G120">
            <v>900</v>
          </cell>
          <cell r="H120">
            <v>900</v>
          </cell>
        </row>
        <row r="121">
          <cell r="A121" t="str">
            <v>6602.09.09</v>
          </cell>
          <cell r="B121" t="str">
            <v>　　　　携程服务费</v>
          </cell>
          <cell r="C121" t="str">
            <v>CI002</v>
          </cell>
          <cell r="D121" t="str">
            <v>旭智富能</v>
          </cell>
          <cell r="G121">
            <v>507.55</v>
          </cell>
          <cell r="H121">
            <v>507.55</v>
          </cell>
        </row>
        <row r="122">
          <cell r="A122" t="str">
            <v>6602.09.09</v>
          </cell>
          <cell r="B122" t="str">
            <v>　　　　携程服务费</v>
          </cell>
          <cell r="C122" t="str">
            <v>CI005</v>
          </cell>
          <cell r="D122" t="str">
            <v>旭智私募</v>
          </cell>
          <cell r="G122">
            <v>205.66</v>
          </cell>
          <cell r="H122">
            <v>205.66</v>
          </cell>
        </row>
        <row r="123">
          <cell r="A123" t="str">
            <v>6602.09.09</v>
          </cell>
          <cell r="B123" t="str">
            <v>　　　　携程服务费</v>
          </cell>
          <cell r="C123" t="str">
            <v>CI007</v>
          </cell>
          <cell r="D123" t="str">
            <v>其他项目</v>
          </cell>
          <cell r="G123">
            <v>186.79</v>
          </cell>
          <cell r="H123">
            <v>186.79</v>
          </cell>
        </row>
        <row r="124">
          <cell r="A124" t="str">
            <v>6602.09.99</v>
          </cell>
          <cell r="B124" t="str">
            <v>　　　　其他</v>
          </cell>
        </row>
        <row r="125">
          <cell r="A125" t="str">
            <v>6602.09.99</v>
          </cell>
          <cell r="B125" t="str">
            <v>　　　　其他</v>
          </cell>
          <cell r="C125" t="str">
            <v>CI002</v>
          </cell>
          <cell r="D125" t="str">
            <v>旭智富能</v>
          </cell>
        </row>
        <row r="126">
          <cell r="A126" t="str">
            <v>6602.10</v>
          </cell>
          <cell r="B126" t="str">
            <v>　　折旧费</v>
          </cell>
          <cell r="G126">
            <v>40.93</v>
          </cell>
          <cell r="H126">
            <v>40.93</v>
          </cell>
        </row>
        <row r="127">
          <cell r="A127" t="str">
            <v>6602.10.04</v>
          </cell>
          <cell r="B127" t="str">
            <v>　　　　家具设备</v>
          </cell>
          <cell r="G127">
            <v>40.93</v>
          </cell>
          <cell r="H127">
            <v>40.93</v>
          </cell>
        </row>
        <row r="128">
          <cell r="A128" t="str">
            <v>6602.12</v>
          </cell>
          <cell r="B128" t="str">
            <v>　　使用权资产折旧</v>
          </cell>
          <cell r="G128">
            <v>6284.82</v>
          </cell>
          <cell r="H128">
            <v>6284.82</v>
          </cell>
        </row>
        <row r="129">
          <cell r="A129" t="str">
            <v>6602.12.03</v>
          </cell>
          <cell r="B129" t="str">
            <v>　　　　注册地址</v>
          </cell>
          <cell r="G129">
            <v>6284.82</v>
          </cell>
          <cell r="H129">
            <v>6284.82</v>
          </cell>
        </row>
        <row r="130">
          <cell r="A130" t="str">
            <v>6602.12.03.01</v>
          </cell>
          <cell r="B130" t="str">
            <v>　　　　　　旭智私募--前海壹号B座701E</v>
          </cell>
          <cell r="G130">
            <v>6284.82</v>
          </cell>
          <cell r="H130">
            <v>6284.82</v>
          </cell>
        </row>
        <row r="131">
          <cell r="A131" t="str">
            <v>6602.19</v>
          </cell>
          <cell r="B131" t="str">
            <v>　　会费（公司）</v>
          </cell>
        </row>
        <row r="132">
          <cell r="A132" t="str">
            <v>6602.20</v>
          </cell>
          <cell r="B132" t="str">
            <v>　　职工教育经费</v>
          </cell>
        </row>
        <row r="133">
          <cell r="A133" t="str">
            <v>6603</v>
          </cell>
          <cell r="B133" t="str">
            <v>财务费用</v>
          </cell>
          <cell r="G133">
            <v>-3226.35</v>
          </cell>
          <cell r="H133">
            <v>-3226.35</v>
          </cell>
        </row>
        <row r="134">
          <cell r="A134" t="str">
            <v>6603.01</v>
          </cell>
          <cell r="B134" t="str">
            <v>　　汇兑损益</v>
          </cell>
          <cell r="G134">
            <v>3.36</v>
          </cell>
          <cell r="H134">
            <v>3.36</v>
          </cell>
        </row>
        <row r="135">
          <cell r="A135" t="str">
            <v>6603.02</v>
          </cell>
          <cell r="B135" t="str">
            <v>　　利息费用</v>
          </cell>
          <cell r="G135">
            <v>138.38</v>
          </cell>
          <cell r="H135">
            <v>138.38</v>
          </cell>
        </row>
        <row r="136">
          <cell r="A136" t="str">
            <v>6603.02.03</v>
          </cell>
          <cell r="B136" t="str">
            <v>　　　　注册地址</v>
          </cell>
          <cell r="G136">
            <v>138.38</v>
          </cell>
          <cell r="H136">
            <v>138.38</v>
          </cell>
        </row>
        <row r="137">
          <cell r="A137" t="str">
            <v>6603.02.03.01</v>
          </cell>
          <cell r="B137" t="str">
            <v>　　　　　　旭智私募--前海壹号B座701E</v>
          </cell>
          <cell r="G137">
            <v>138.38</v>
          </cell>
          <cell r="H137">
            <v>138.38</v>
          </cell>
        </row>
        <row r="138">
          <cell r="A138" t="str">
            <v>6603.03</v>
          </cell>
          <cell r="B138" t="str">
            <v>　　银行手续费</v>
          </cell>
          <cell r="G138">
            <v>20.5</v>
          </cell>
          <cell r="H138">
            <v>20.5</v>
          </cell>
        </row>
        <row r="139">
          <cell r="A139" t="str">
            <v>6603.04</v>
          </cell>
          <cell r="B139" t="str">
            <v>　　利息收入</v>
          </cell>
          <cell r="G139">
            <v>-3388.59</v>
          </cell>
          <cell r="H139">
            <v>-3388.59</v>
          </cell>
        </row>
        <row r="140">
          <cell r="B140" t="str">
            <v>合计</v>
          </cell>
          <cell r="E140">
            <v>6349408.5800000001</v>
          </cell>
          <cell r="F140">
            <v>6349408.5800000001</v>
          </cell>
          <cell r="G140">
            <v>6660391.3700000001</v>
          </cell>
          <cell r="H140">
            <v>6660391.3700000001</v>
          </cell>
        </row>
      </sheetData>
      <sheetData sheetId="6">
        <row r="1">
          <cell r="A1" t="str">
            <v>币别:人民币</v>
          </cell>
          <cell r="B1" t="str">
            <v>账簿:深圳旭智私募股权基金管理有限公司</v>
          </cell>
          <cell r="C1" t="str">
            <v>期间:2025.7 -- 2025.7</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1221269.8799999999</v>
          </cell>
          <cell r="G4">
            <v>6102615.4100000001</v>
          </cell>
          <cell r="H4">
            <v>1878899.42</v>
          </cell>
        </row>
        <row r="5">
          <cell r="A5" t="str">
            <v>1002.23</v>
          </cell>
          <cell r="B5" t="str">
            <v>　　【旭智私募】银行存款账户</v>
          </cell>
          <cell r="E5">
            <v>1221269.8799999999</v>
          </cell>
          <cell r="G5">
            <v>6102615.4100000001</v>
          </cell>
          <cell r="H5">
            <v>1878899.42</v>
          </cell>
        </row>
        <row r="6">
          <cell r="A6" t="str">
            <v>1002.23.01</v>
          </cell>
          <cell r="B6" t="str">
            <v>　　　　农业银行账户</v>
          </cell>
          <cell r="E6">
            <v>1221269.8799999999</v>
          </cell>
          <cell r="G6">
            <v>6102615.4100000001</v>
          </cell>
          <cell r="H6">
            <v>1878899.42</v>
          </cell>
        </row>
        <row r="7">
          <cell r="A7" t="str">
            <v>1002.23.01.01</v>
          </cell>
          <cell r="B7" t="str">
            <v>　　　　　　【旭智私募】农行 人民币基本户 6018</v>
          </cell>
          <cell r="E7">
            <v>634295.74</v>
          </cell>
          <cell r="G7">
            <v>1500180.56</v>
          </cell>
          <cell r="H7">
            <v>1378898.55</v>
          </cell>
        </row>
        <row r="8">
          <cell r="A8" t="str">
            <v>1002.23.01.01.01</v>
          </cell>
          <cell r="B8" t="str">
            <v>　　　　　　　　【旭智私募】农行 人民币基本户 6018 活期存款</v>
          </cell>
          <cell r="E8">
            <v>134295.74</v>
          </cell>
          <cell r="G8">
            <v>1000180.56</v>
          </cell>
          <cell r="H8">
            <v>878898.55</v>
          </cell>
        </row>
        <row r="9">
          <cell r="A9" t="str">
            <v>1002.23.01.01.02</v>
          </cell>
          <cell r="B9" t="str">
            <v>　　　　　　　　【旭智私募】农行 人民币基本户 6018 七天通知存款</v>
          </cell>
          <cell r="E9">
            <v>500000</v>
          </cell>
          <cell r="G9">
            <v>500000</v>
          </cell>
          <cell r="H9">
            <v>500000</v>
          </cell>
        </row>
        <row r="10">
          <cell r="A10" t="str">
            <v>1002.23.01.02</v>
          </cell>
          <cell r="B10" t="str">
            <v>　　　　　　【旭智私募】农行 人民币资本金账户 6026</v>
          </cell>
          <cell r="E10">
            <v>28.88</v>
          </cell>
        </row>
        <row r="11">
          <cell r="A11" t="str">
            <v>1002.23.01.02.01</v>
          </cell>
          <cell r="B11" t="str">
            <v>　　　　　　　　【旭智私募】农行 人民币资本金账户 6026 活期存款</v>
          </cell>
          <cell r="E11">
            <v>28.88</v>
          </cell>
        </row>
        <row r="12">
          <cell r="A12" t="str">
            <v>1002.23.01.02.02</v>
          </cell>
          <cell r="B12" t="str">
            <v>　　　　　　　　【旭智私募】农行 人民币资本金账户 6026 七天通知存款</v>
          </cell>
        </row>
        <row r="13">
          <cell r="A13" t="str">
            <v>1002.23.01.03</v>
          </cell>
          <cell r="B13" t="str">
            <v>　　　　　　【旭智私募】农行 港元资本金账户 7230</v>
          </cell>
          <cell r="E13">
            <v>684.81</v>
          </cell>
          <cell r="H13">
            <v>0.87</v>
          </cell>
        </row>
        <row r="14">
          <cell r="A14" t="str">
            <v>1002.23.01.04</v>
          </cell>
          <cell r="B14" t="str">
            <v>　　　　　　【旭智私募】农行 人民币结汇待支付账户 7248</v>
          </cell>
          <cell r="E14">
            <v>586260.44999999995</v>
          </cell>
          <cell r="G14">
            <v>4602434.8499999996</v>
          </cell>
          <cell r="H14">
            <v>500000</v>
          </cell>
        </row>
        <row r="15">
          <cell r="A15" t="str">
            <v>1002.23.01.04.01</v>
          </cell>
          <cell r="B15" t="str">
            <v>　　　　　　　　【旭智私募】农行 人民币结汇待支付账户 7248 活期存款</v>
          </cell>
          <cell r="E15">
            <v>586260.44999999995</v>
          </cell>
          <cell r="G15">
            <v>4602434.8499999996</v>
          </cell>
          <cell r="H15">
            <v>500000</v>
          </cell>
        </row>
        <row r="16">
          <cell r="A16" t="str">
            <v>1002.23.01.04.02</v>
          </cell>
          <cell r="B16" t="str">
            <v>　　　　　　　　【旭智私募】农行 人民币结汇待支付账户 7248 定期存款</v>
          </cell>
        </row>
        <row r="17">
          <cell r="A17" t="str">
            <v>1101</v>
          </cell>
          <cell r="B17" t="str">
            <v>交易性金融资产</v>
          </cell>
          <cell r="E17">
            <v>4600000</v>
          </cell>
          <cell r="H17">
            <v>4600000</v>
          </cell>
        </row>
        <row r="18">
          <cell r="A18" t="str">
            <v>1101.01</v>
          </cell>
          <cell r="B18" t="str">
            <v>　　投资成本</v>
          </cell>
          <cell r="E18">
            <v>4600000</v>
          </cell>
          <cell r="H18">
            <v>4600000</v>
          </cell>
        </row>
        <row r="19">
          <cell r="A19" t="str">
            <v>1101.01.03</v>
          </cell>
          <cell r="B19" t="str">
            <v>　　　　银行理财</v>
          </cell>
          <cell r="E19">
            <v>4600000</v>
          </cell>
          <cell r="H19">
            <v>4600000</v>
          </cell>
        </row>
        <row r="20">
          <cell r="A20" t="str">
            <v>1123</v>
          </cell>
          <cell r="B20" t="str">
            <v>预付账款</v>
          </cell>
          <cell r="E20">
            <v>10000</v>
          </cell>
        </row>
        <row r="21">
          <cell r="A21" t="str">
            <v>1123.01</v>
          </cell>
          <cell r="B21" t="str">
            <v>　　单位</v>
          </cell>
          <cell r="E21">
            <v>10000</v>
          </cell>
        </row>
        <row r="22">
          <cell r="A22" t="str">
            <v>1123.01</v>
          </cell>
          <cell r="B22" t="str">
            <v>　　单位</v>
          </cell>
          <cell r="C22" t="str">
            <v>SU007002</v>
          </cell>
          <cell r="D22" t="str">
            <v>中国再生能源学会</v>
          </cell>
          <cell r="E22">
            <v>10000</v>
          </cell>
        </row>
        <row r="23">
          <cell r="A23" t="str">
            <v>1221</v>
          </cell>
          <cell r="B23" t="str">
            <v>其他应收款</v>
          </cell>
          <cell r="E23">
            <v>13000</v>
          </cell>
        </row>
        <row r="24">
          <cell r="A24" t="str">
            <v>1221.01</v>
          </cell>
          <cell r="B24" t="str">
            <v>　　单位</v>
          </cell>
          <cell r="E24">
            <v>13000</v>
          </cell>
        </row>
        <row r="25">
          <cell r="A25" t="str">
            <v>1221.01</v>
          </cell>
          <cell r="B25" t="str">
            <v>　　单位</v>
          </cell>
          <cell r="C25" t="str">
            <v>CU006005</v>
          </cell>
          <cell r="D25" t="str">
            <v>长峻物业管理(深圳)有限公司</v>
          </cell>
          <cell r="E25">
            <v>13000</v>
          </cell>
        </row>
        <row r="26">
          <cell r="A26" t="str">
            <v>1601</v>
          </cell>
          <cell r="B26" t="str">
            <v>固定资产</v>
          </cell>
          <cell r="E26">
            <v>2585</v>
          </cell>
        </row>
        <row r="27">
          <cell r="A27" t="str">
            <v>1601.04</v>
          </cell>
          <cell r="B27" t="str">
            <v>　　家具设备</v>
          </cell>
          <cell r="E27">
            <v>2585</v>
          </cell>
        </row>
        <row r="28">
          <cell r="A28" t="str">
            <v>1602</v>
          </cell>
          <cell r="B28" t="str">
            <v>累计折旧</v>
          </cell>
          <cell r="F28">
            <v>491.16</v>
          </cell>
          <cell r="H28">
            <v>40.93</v>
          </cell>
        </row>
        <row r="29">
          <cell r="A29" t="str">
            <v>1602.04</v>
          </cell>
          <cell r="B29" t="str">
            <v>　　家具设备</v>
          </cell>
          <cell r="F29">
            <v>491.16</v>
          </cell>
          <cell r="H29">
            <v>40.93</v>
          </cell>
        </row>
        <row r="30">
          <cell r="A30" t="str">
            <v>1641</v>
          </cell>
          <cell r="B30" t="str">
            <v>使用权资产</v>
          </cell>
          <cell r="E30">
            <v>125696.44</v>
          </cell>
        </row>
        <row r="31">
          <cell r="A31" t="str">
            <v>1641.03</v>
          </cell>
          <cell r="B31" t="str">
            <v>　　注册地址</v>
          </cell>
          <cell r="E31">
            <v>125696.44</v>
          </cell>
        </row>
        <row r="32">
          <cell r="A32" t="str">
            <v>1641.03.01</v>
          </cell>
          <cell r="B32" t="str">
            <v>　　　　旭智私募--前海壹号B座701E</v>
          </cell>
          <cell r="E32">
            <v>125696.44</v>
          </cell>
        </row>
        <row r="33">
          <cell r="A33" t="str">
            <v>1642</v>
          </cell>
          <cell r="B33" t="str">
            <v>使用权资产累计折旧</v>
          </cell>
          <cell r="F33">
            <v>87987.49</v>
          </cell>
          <cell r="H33">
            <v>6284.82</v>
          </cell>
        </row>
        <row r="34">
          <cell r="A34" t="str">
            <v>1642.03</v>
          </cell>
          <cell r="B34" t="str">
            <v>　　注册地址</v>
          </cell>
          <cell r="F34">
            <v>87987.49</v>
          </cell>
          <cell r="H34">
            <v>6284.82</v>
          </cell>
        </row>
        <row r="35">
          <cell r="A35" t="str">
            <v>1642.03.01</v>
          </cell>
          <cell r="B35" t="str">
            <v>　　　　旭智私募--前海壹号B座701E</v>
          </cell>
          <cell r="F35">
            <v>87987.49</v>
          </cell>
          <cell r="H35">
            <v>6284.82</v>
          </cell>
        </row>
        <row r="36">
          <cell r="A36" t="str">
            <v>2211</v>
          </cell>
          <cell r="B36" t="str">
            <v>应付职工薪酬</v>
          </cell>
          <cell r="G36">
            <v>241889.87</v>
          </cell>
          <cell r="H36">
            <v>241889.87</v>
          </cell>
        </row>
        <row r="37">
          <cell r="A37" t="str">
            <v>2211.01</v>
          </cell>
          <cell r="B37" t="str">
            <v>　　职工工资</v>
          </cell>
          <cell r="G37">
            <v>207765.01</v>
          </cell>
          <cell r="H37">
            <v>207765.01</v>
          </cell>
        </row>
        <row r="38">
          <cell r="A38" t="str">
            <v>2211.02</v>
          </cell>
          <cell r="B38" t="str">
            <v>　　职工奖金</v>
          </cell>
        </row>
        <row r="39">
          <cell r="A39" t="str">
            <v>2211.05</v>
          </cell>
          <cell r="B39" t="str">
            <v>　　社会保险费</v>
          </cell>
          <cell r="G39">
            <v>13661.26</v>
          </cell>
          <cell r="H39">
            <v>13661.26</v>
          </cell>
        </row>
        <row r="40">
          <cell r="A40" t="str">
            <v>2211.06</v>
          </cell>
          <cell r="B40" t="str">
            <v>　　住房公积金</v>
          </cell>
          <cell r="G40">
            <v>20463.599999999999</v>
          </cell>
          <cell r="H40">
            <v>20463.599999999999</v>
          </cell>
        </row>
        <row r="41">
          <cell r="A41" t="str">
            <v>2211.08</v>
          </cell>
          <cell r="B41" t="str">
            <v>　　职工教育经费</v>
          </cell>
        </row>
        <row r="42">
          <cell r="A42" t="str">
            <v>2221</v>
          </cell>
          <cell r="B42" t="str">
            <v>应交税费</v>
          </cell>
          <cell r="F42">
            <v>29369.43</v>
          </cell>
          <cell r="G42">
            <v>40587.120000000003</v>
          </cell>
          <cell r="H42">
            <v>45403.11</v>
          </cell>
        </row>
        <row r="43">
          <cell r="A43" t="str">
            <v>2221.01</v>
          </cell>
          <cell r="B43" t="str">
            <v>　　应交增值税</v>
          </cell>
          <cell r="G43">
            <v>1215.4000000000001</v>
          </cell>
          <cell r="H43">
            <v>1215.4000000000001</v>
          </cell>
        </row>
        <row r="44">
          <cell r="A44" t="str">
            <v>2221.01.01</v>
          </cell>
          <cell r="B44" t="str">
            <v>　　　　销项税额</v>
          </cell>
          <cell r="G44">
            <v>137.82</v>
          </cell>
          <cell r="H44">
            <v>137.82</v>
          </cell>
        </row>
        <row r="45">
          <cell r="A45" t="str">
            <v>2221.01.03</v>
          </cell>
          <cell r="B45" t="str">
            <v>　　　　进项税额</v>
          </cell>
          <cell r="G45">
            <v>1077.58</v>
          </cell>
          <cell r="H45">
            <v>1077.58</v>
          </cell>
        </row>
        <row r="46">
          <cell r="A46" t="str">
            <v>2221.03</v>
          </cell>
          <cell r="B46" t="str">
            <v>　　暂估进项税额</v>
          </cell>
          <cell r="F46">
            <v>-742.3</v>
          </cell>
          <cell r="G46">
            <v>683.95</v>
          </cell>
          <cell r="H46">
            <v>742.3</v>
          </cell>
        </row>
        <row r="47">
          <cell r="A47" t="str">
            <v>2221.06</v>
          </cell>
          <cell r="B47" t="str">
            <v>　　待认证进项税额</v>
          </cell>
          <cell r="G47">
            <v>335.28</v>
          </cell>
          <cell r="H47">
            <v>335.28</v>
          </cell>
        </row>
        <row r="48">
          <cell r="A48" t="str">
            <v>2221.07</v>
          </cell>
          <cell r="B48" t="str">
            <v>　　待抵扣进项税额</v>
          </cell>
          <cell r="F48">
            <v>-7301</v>
          </cell>
          <cell r="G48">
            <v>939.76</v>
          </cell>
        </row>
        <row r="49">
          <cell r="A49" t="str">
            <v>2221.16</v>
          </cell>
          <cell r="B49" t="str">
            <v>　　应交个人所得税</v>
          </cell>
          <cell r="F49">
            <v>37412.730000000003</v>
          </cell>
          <cell r="G49">
            <v>37412.730000000003</v>
          </cell>
          <cell r="H49">
            <v>43110.13</v>
          </cell>
        </row>
        <row r="50">
          <cell r="A50" t="str">
            <v>2241</v>
          </cell>
          <cell r="B50" t="str">
            <v>其他应付款</v>
          </cell>
          <cell r="F50">
            <v>35395.85</v>
          </cell>
          <cell r="G50">
            <v>47296.72</v>
          </cell>
          <cell r="H50">
            <v>40647.730000000003</v>
          </cell>
        </row>
        <row r="51">
          <cell r="A51" t="str">
            <v>2241.01</v>
          </cell>
          <cell r="B51" t="str">
            <v>　　单位</v>
          </cell>
          <cell r="F51">
            <v>34562.99</v>
          </cell>
          <cell r="G51">
            <v>44229.59</v>
          </cell>
          <cell r="H51">
            <v>37580.6</v>
          </cell>
        </row>
        <row r="52">
          <cell r="A52" t="str">
            <v>2241.01</v>
          </cell>
          <cell r="B52" t="str">
            <v>　　单位</v>
          </cell>
          <cell r="C52" t="str">
            <v>SU005004</v>
          </cell>
          <cell r="D52" t="str">
            <v>上海爱文人才服务有限公司</v>
          </cell>
          <cell r="G52">
            <v>1200</v>
          </cell>
          <cell r="H52">
            <v>1200</v>
          </cell>
        </row>
        <row r="53">
          <cell r="A53" t="str">
            <v>2241.01</v>
          </cell>
          <cell r="B53" t="str">
            <v>　　单位</v>
          </cell>
          <cell r="C53" t="str">
            <v>SU005007</v>
          </cell>
          <cell r="D53" t="str">
            <v>普华永道中天会计师事务所（特殊普通合伙）</v>
          </cell>
        </row>
        <row r="54">
          <cell r="A54" t="str">
            <v>2241.01</v>
          </cell>
          <cell r="B54" t="str">
            <v>　　单位</v>
          </cell>
          <cell r="C54" t="str">
            <v>SU005044</v>
          </cell>
          <cell r="D54" t="str">
            <v>旭智咨询管理（深圳）有限责任公司</v>
          </cell>
        </row>
        <row r="55">
          <cell r="A55" t="str">
            <v>2241.01</v>
          </cell>
          <cell r="B55" t="str">
            <v>　　单位</v>
          </cell>
          <cell r="C55" t="str">
            <v>SU006012</v>
          </cell>
          <cell r="D55" t="str">
            <v>上海携程宏睿国际旅行社有限公司</v>
          </cell>
          <cell r="F55">
            <v>34562.99</v>
          </cell>
          <cell r="G55">
            <v>34562.99</v>
          </cell>
          <cell r="H55">
            <v>27914</v>
          </cell>
        </row>
        <row r="56">
          <cell r="A56" t="str">
            <v>2241.01</v>
          </cell>
          <cell r="B56" t="str">
            <v>　　单位</v>
          </cell>
          <cell r="C56" t="str">
            <v>SU006025</v>
          </cell>
          <cell r="D56" t="str">
            <v>全景求是管理顾问（北京）有限公司</v>
          </cell>
        </row>
        <row r="57">
          <cell r="A57" t="str">
            <v>2241.01</v>
          </cell>
          <cell r="B57" t="str">
            <v>　　单位</v>
          </cell>
          <cell r="C57" t="str">
            <v>SU007003</v>
          </cell>
          <cell r="D57" t="str">
            <v>长峻物业管理（深圳）有限公司</v>
          </cell>
          <cell r="G57">
            <v>6666.6</v>
          </cell>
          <cell r="H57">
            <v>6666.6</v>
          </cell>
        </row>
        <row r="58">
          <cell r="A58" t="str">
            <v>2241.01</v>
          </cell>
          <cell r="B58" t="str">
            <v>　　单位</v>
          </cell>
          <cell r="C58" t="str">
            <v>SU007005</v>
          </cell>
          <cell r="D58" t="str">
            <v>深圳前海百丰外企咨询服务有限公司</v>
          </cell>
          <cell r="G58">
            <v>1800</v>
          </cell>
          <cell r="H58">
            <v>1800</v>
          </cell>
        </row>
        <row r="59">
          <cell r="A59" t="str">
            <v>2241.02</v>
          </cell>
          <cell r="B59" t="str">
            <v>　　个人</v>
          </cell>
          <cell r="F59">
            <v>832.86</v>
          </cell>
          <cell r="G59">
            <v>3067.13</v>
          </cell>
          <cell r="H59">
            <v>3067.13</v>
          </cell>
        </row>
        <row r="60">
          <cell r="A60" t="str">
            <v>2241.02</v>
          </cell>
          <cell r="B60" t="str">
            <v>　　个人</v>
          </cell>
          <cell r="C60" t="str">
            <v>SP005001</v>
          </cell>
          <cell r="D60" t="str">
            <v>冯冠邦</v>
          </cell>
          <cell r="F60">
            <v>832.86</v>
          </cell>
        </row>
        <row r="61">
          <cell r="A61" t="str">
            <v>2241.02</v>
          </cell>
          <cell r="B61" t="str">
            <v>　　个人</v>
          </cell>
          <cell r="C61" t="str">
            <v>SP005006</v>
          </cell>
          <cell r="D61" t="str">
            <v>张歆</v>
          </cell>
        </row>
        <row r="62">
          <cell r="A62" t="str">
            <v>2241.02</v>
          </cell>
          <cell r="B62" t="str">
            <v>　　个人</v>
          </cell>
          <cell r="C62" t="str">
            <v>SP005011</v>
          </cell>
          <cell r="D62" t="str">
            <v>郭宗林</v>
          </cell>
          <cell r="G62">
            <v>2469.9899999999998</v>
          </cell>
          <cell r="H62">
            <v>2469.9899999999998</v>
          </cell>
        </row>
        <row r="63">
          <cell r="A63" t="str">
            <v>2241.02</v>
          </cell>
          <cell r="B63" t="str">
            <v>　　个人</v>
          </cell>
          <cell r="C63" t="str">
            <v>SP006002</v>
          </cell>
          <cell r="D63" t="str">
            <v>陈灿</v>
          </cell>
        </row>
        <row r="64">
          <cell r="A64" t="str">
            <v>2241.02</v>
          </cell>
          <cell r="B64" t="str">
            <v>　　个人</v>
          </cell>
          <cell r="C64" t="str">
            <v>SP006009</v>
          </cell>
          <cell r="D64" t="str">
            <v>林秋蝶</v>
          </cell>
        </row>
        <row r="65">
          <cell r="A65" t="str">
            <v>2241.02</v>
          </cell>
          <cell r="B65" t="str">
            <v>　　个人</v>
          </cell>
          <cell r="C65" t="str">
            <v>SP006010</v>
          </cell>
          <cell r="D65" t="str">
            <v>陈广华</v>
          </cell>
          <cell r="G65">
            <v>597.14</v>
          </cell>
          <cell r="H65">
            <v>597.14</v>
          </cell>
        </row>
        <row r="66">
          <cell r="A66" t="str">
            <v>2241.02</v>
          </cell>
          <cell r="B66" t="str">
            <v>　　个人</v>
          </cell>
          <cell r="C66" t="str">
            <v>SP006011</v>
          </cell>
          <cell r="D66" t="str">
            <v>李敏宽</v>
          </cell>
        </row>
        <row r="67">
          <cell r="A67" t="str">
            <v>2601</v>
          </cell>
          <cell r="B67" t="str">
            <v>租赁负债</v>
          </cell>
          <cell r="F67">
            <v>37677.96</v>
          </cell>
          <cell r="G67">
            <v>6349.14</v>
          </cell>
          <cell r="H67">
            <v>118.8</v>
          </cell>
        </row>
        <row r="68">
          <cell r="A68" t="str">
            <v>2601.01</v>
          </cell>
          <cell r="B68" t="str">
            <v>　　租赁付款额</v>
          </cell>
          <cell r="F68">
            <v>38094.839999999997</v>
          </cell>
          <cell r="G68">
            <v>6349.14</v>
          </cell>
        </row>
        <row r="69">
          <cell r="A69" t="str">
            <v>2601.01.03</v>
          </cell>
          <cell r="B69" t="str">
            <v>　　　　注册地址</v>
          </cell>
          <cell r="F69">
            <v>38094.839999999997</v>
          </cell>
          <cell r="G69">
            <v>6349.14</v>
          </cell>
        </row>
        <row r="70">
          <cell r="A70" t="str">
            <v>2601.01.03.01</v>
          </cell>
          <cell r="B70" t="str">
            <v>　　　　　　旭智私募--前海壹号B座701E</v>
          </cell>
          <cell r="F70">
            <v>38094.839999999997</v>
          </cell>
          <cell r="G70">
            <v>6349.14</v>
          </cell>
        </row>
        <row r="71">
          <cell r="A71" t="str">
            <v>2601.02</v>
          </cell>
          <cell r="B71" t="str">
            <v>　　未确认融资费用</v>
          </cell>
          <cell r="F71">
            <v>-416.88</v>
          </cell>
          <cell r="H71">
            <v>118.8</v>
          </cell>
        </row>
        <row r="72">
          <cell r="A72" t="str">
            <v>2601.02.03</v>
          </cell>
          <cell r="B72" t="str">
            <v>　　　　注册地址</v>
          </cell>
          <cell r="F72">
            <v>-416.88</v>
          </cell>
          <cell r="H72">
            <v>118.8</v>
          </cell>
        </row>
        <row r="73">
          <cell r="A73" t="str">
            <v>2601.02.03.01</v>
          </cell>
          <cell r="B73" t="str">
            <v>　　　　　　旭智私募--前海壹号B座701E</v>
          </cell>
          <cell r="F73">
            <v>-416.88</v>
          </cell>
          <cell r="H73">
            <v>118.8</v>
          </cell>
        </row>
        <row r="74">
          <cell r="A74" t="str">
            <v>4001</v>
          </cell>
          <cell r="B74" t="str">
            <v>实收资本（股本）</v>
          </cell>
          <cell r="F74">
            <v>10000000</v>
          </cell>
        </row>
        <row r="75">
          <cell r="A75" t="str">
            <v>4001.11</v>
          </cell>
          <cell r="B75" t="str">
            <v>　　旭智资本（香港）有限公司</v>
          </cell>
          <cell r="F75">
            <v>4900000</v>
          </cell>
        </row>
        <row r="76">
          <cell r="A76" t="str">
            <v>4001.20</v>
          </cell>
          <cell r="B76" t="str">
            <v>　　冯冠邦</v>
          </cell>
          <cell r="F76">
            <v>5100000</v>
          </cell>
        </row>
        <row r="77">
          <cell r="A77" t="str">
            <v>4103</v>
          </cell>
          <cell r="B77" t="str">
            <v>本年利润</v>
          </cell>
          <cell r="F77">
            <v>-2122104.2000000002</v>
          </cell>
          <cell r="G77">
            <v>376843.45</v>
          </cell>
          <cell r="H77">
            <v>2297.0300000000002</v>
          </cell>
        </row>
        <row r="78">
          <cell r="A78" t="str">
            <v>4104</v>
          </cell>
          <cell r="B78" t="str">
            <v>利润分配</v>
          </cell>
          <cell r="F78">
            <v>-2096266.37</v>
          </cell>
        </row>
        <row r="79">
          <cell r="A79" t="str">
            <v>4104.07</v>
          </cell>
          <cell r="B79" t="str">
            <v>　　未分配利润</v>
          </cell>
          <cell r="F79">
            <v>-2096266.37</v>
          </cell>
        </row>
        <row r="80">
          <cell r="A80" t="str">
            <v>6111</v>
          </cell>
          <cell r="B80" t="str">
            <v>投资收益</v>
          </cell>
          <cell r="G80">
            <v>2297.0300000000002</v>
          </cell>
          <cell r="H80">
            <v>2297.0300000000002</v>
          </cell>
        </row>
        <row r="81">
          <cell r="A81" t="str">
            <v>6115</v>
          </cell>
          <cell r="B81" t="str">
            <v>其他收益</v>
          </cell>
        </row>
        <row r="82">
          <cell r="A82" t="str">
            <v>6115.02</v>
          </cell>
          <cell r="B82" t="str">
            <v>　　个税手续费返还</v>
          </cell>
        </row>
        <row r="83">
          <cell r="A83" t="str">
            <v>6602</v>
          </cell>
          <cell r="B83" t="str">
            <v>管理费用</v>
          </cell>
          <cell r="G83">
            <v>376707.34</v>
          </cell>
          <cell r="H83">
            <v>376707.34</v>
          </cell>
        </row>
        <row r="84">
          <cell r="A84" t="str">
            <v>6602.01</v>
          </cell>
          <cell r="B84" t="str">
            <v>　　工资薪金</v>
          </cell>
          <cell r="G84">
            <v>285000</v>
          </cell>
          <cell r="H84">
            <v>285000</v>
          </cell>
        </row>
        <row r="85">
          <cell r="A85" t="str">
            <v>6602.01.01</v>
          </cell>
          <cell r="B85" t="str">
            <v>　　　　基本工资（专业）</v>
          </cell>
          <cell r="G85">
            <v>285000</v>
          </cell>
          <cell r="H85">
            <v>285000</v>
          </cell>
        </row>
        <row r="86">
          <cell r="A86" t="str">
            <v>6602.03</v>
          </cell>
          <cell r="B86" t="str">
            <v>　　社保公积金</v>
          </cell>
          <cell r="G86">
            <v>52102.23</v>
          </cell>
          <cell r="H86">
            <v>52102.23</v>
          </cell>
        </row>
        <row r="87">
          <cell r="A87" t="str">
            <v>6602.03.01</v>
          </cell>
          <cell r="B87" t="str">
            <v>　　　　员工社保福利</v>
          </cell>
          <cell r="G87">
            <v>31638.63</v>
          </cell>
          <cell r="H87">
            <v>31638.63</v>
          </cell>
        </row>
        <row r="88">
          <cell r="A88" t="str">
            <v>6602.03.02</v>
          </cell>
          <cell r="B88" t="str">
            <v>　　　　员工公积金福利</v>
          </cell>
          <cell r="G88">
            <v>20463.599999999999</v>
          </cell>
          <cell r="H88">
            <v>20463.599999999999</v>
          </cell>
        </row>
        <row r="89">
          <cell r="A89" t="str">
            <v>6602.04</v>
          </cell>
          <cell r="B89" t="str">
            <v>　　咨询及专业服务费</v>
          </cell>
          <cell r="G89">
            <v>1200</v>
          </cell>
          <cell r="H89">
            <v>1200</v>
          </cell>
        </row>
        <row r="90">
          <cell r="A90" t="str">
            <v>6602.04.02</v>
          </cell>
          <cell r="B90" t="str">
            <v>　　　　审计服务费</v>
          </cell>
        </row>
        <row r="91">
          <cell r="A91" t="str">
            <v>6602.04.07</v>
          </cell>
          <cell r="B91" t="str">
            <v>　　　　人力资源服务费</v>
          </cell>
          <cell r="G91">
            <v>1200</v>
          </cell>
          <cell r="H91">
            <v>1200</v>
          </cell>
        </row>
        <row r="92">
          <cell r="A92" t="str">
            <v>6602.04.08</v>
          </cell>
          <cell r="B92" t="str">
            <v>　　　　背景调查费</v>
          </cell>
        </row>
        <row r="93">
          <cell r="A93" t="str">
            <v>6602.06</v>
          </cell>
          <cell r="B93" t="str">
            <v>　　业务招待费</v>
          </cell>
        </row>
        <row r="94">
          <cell r="A94" t="str">
            <v>6602.06</v>
          </cell>
          <cell r="B94" t="str">
            <v>　　业务招待费</v>
          </cell>
          <cell r="C94" t="str">
            <v>CI002</v>
          </cell>
          <cell r="D94" t="str">
            <v>旭智富能</v>
          </cell>
        </row>
        <row r="95">
          <cell r="A95" t="str">
            <v>6602.08</v>
          </cell>
          <cell r="B95" t="str">
            <v>　　事务费用</v>
          </cell>
          <cell r="G95">
            <v>25.8</v>
          </cell>
          <cell r="H95">
            <v>25.8</v>
          </cell>
        </row>
        <row r="96">
          <cell r="A96" t="str">
            <v>6602.08.01</v>
          </cell>
          <cell r="B96" t="str">
            <v>　　　　通信费</v>
          </cell>
          <cell r="G96">
            <v>25.8</v>
          </cell>
          <cell r="H96">
            <v>25.8</v>
          </cell>
        </row>
        <row r="97">
          <cell r="A97" t="str">
            <v>6602.08.01</v>
          </cell>
          <cell r="B97" t="str">
            <v>　　　　通信费</v>
          </cell>
          <cell r="C97" t="str">
            <v>CI005</v>
          </cell>
          <cell r="D97" t="str">
            <v>旭智私募</v>
          </cell>
          <cell r="G97">
            <v>25.8</v>
          </cell>
          <cell r="H97">
            <v>25.8</v>
          </cell>
        </row>
        <row r="98">
          <cell r="A98" t="str">
            <v>6602.08.03</v>
          </cell>
          <cell r="B98" t="str">
            <v>　　　　办公用品</v>
          </cell>
        </row>
        <row r="99">
          <cell r="A99" t="str">
            <v>6602.08.03</v>
          </cell>
          <cell r="B99" t="str">
            <v>　　　　办公用品</v>
          </cell>
          <cell r="C99" t="str">
            <v>CI005</v>
          </cell>
          <cell r="D99" t="str">
            <v>旭智私募</v>
          </cell>
        </row>
        <row r="100">
          <cell r="A100" t="str">
            <v>6602.08.05</v>
          </cell>
          <cell r="B100" t="str">
            <v>　　　　邮费/邮递费</v>
          </cell>
        </row>
        <row r="101">
          <cell r="A101" t="str">
            <v>6602.08.05</v>
          </cell>
          <cell r="B101" t="str">
            <v>　　　　邮费/邮递费</v>
          </cell>
          <cell r="C101" t="str">
            <v>CI005</v>
          </cell>
          <cell r="D101" t="str">
            <v>旭智私募</v>
          </cell>
        </row>
        <row r="102">
          <cell r="A102" t="str">
            <v>6602.09</v>
          </cell>
          <cell r="B102" t="str">
            <v>　　差旅费</v>
          </cell>
          <cell r="G102">
            <v>30271.38</v>
          </cell>
          <cell r="H102">
            <v>30271.38</v>
          </cell>
        </row>
        <row r="103">
          <cell r="A103" t="str">
            <v>6602.09.01</v>
          </cell>
          <cell r="B103" t="str">
            <v>　　　　住宿费</v>
          </cell>
          <cell r="G103">
            <v>10871.69</v>
          </cell>
          <cell r="H103">
            <v>10871.69</v>
          </cell>
        </row>
        <row r="104">
          <cell r="A104" t="str">
            <v>6602.09.01</v>
          </cell>
          <cell r="B104" t="str">
            <v>　　　　住宿费</v>
          </cell>
          <cell r="C104" t="str">
            <v>CI002</v>
          </cell>
          <cell r="D104" t="str">
            <v>旭智富能</v>
          </cell>
          <cell r="G104">
            <v>7233.96</v>
          </cell>
          <cell r="H104">
            <v>7233.96</v>
          </cell>
        </row>
        <row r="105">
          <cell r="A105" t="str">
            <v>6602.09.01</v>
          </cell>
          <cell r="B105" t="str">
            <v>　　　　住宿费</v>
          </cell>
          <cell r="C105" t="str">
            <v>CI005</v>
          </cell>
          <cell r="D105" t="str">
            <v>旭智私募</v>
          </cell>
          <cell r="G105">
            <v>1886.79</v>
          </cell>
          <cell r="H105">
            <v>1886.79</v>
          </cell>
        </row>
        <row r="106">
          <cell r="A106" t="str">
            <v>6602.09.01</v>
          </cell>
          <cell r="B106" t="str">
            <v>　　　　住宿费</v>
          </cell>
          <cell r="C106" t="str">
            <v>CI007</v>
          </cell>
          <cell r="D106" t="str">
            <v>其他项目</v>
          </cell>
          <cell r="G106">
            <v>1750.94</v>
          </cell>
          <cell r="H106">
            <v>1750.94</v>
          </cell>
        </row>
        <row r="107">
          <cell r="A107" t="str">
            <v>6602.09.02</v>
          </cell>
          <cell r="B107" t="str">
            <v>　　　　伙食费</v>
          </cell>
          <cell r="G107">
            <v>982.9</v>
          </cell>
          <cell r="H107">
            <v>982.9</v>
          </cell>
        </row>
        <row r="108">
          <cell r="A108" t="str">
            <v>6602.09.02</v>
          </cell>
          <cell r="B108" t="str">
            <v>　　　　伙食费</v>
          </cell>
          <cell r="C108" t="str">
            <v>CI002</v>
          </cell>
          <cell r="D108" t="str">
            <v>旭智富能</v>
          </cell>
          <cell r="G108">
            <v>788</v>
          </cell>
          <cell r="H108">
            <v>788</v>
          </cell>
        </row>
        <row r="109">
          <cell r="A109" t="str">
            <v>6602.09.02</v>
          </cell>
          <cell r="B109" t="str">
            <v>　　　　伙食费</v>
          </cell>
          <cell r="C109" t="str">
            <v>CI005</v>
          </cell>
          <cell r="D109" t="str">
            <v>旭智私募</v>
          </cell>
          <cell r="G109">
            <v>194.9</v>
          </cell>
          <cell r="H109">
            <v>194.9</v>
          </cell>
        </row>
        <row r="110">
          <cell r="A110" t="str">
            <v>6602.09.02</v>
          </cell>
          <cell r="B110" t="str">
            <v>　　　　伙食费</v>
          </cell>
          <cell r="C110" t="str">
            <v>CI007</v>
          </cell>
          <cell r="D110" t="str">
            <v>其他项目</v>
          </cell>
        </row>
        <row r="111">
          <cell r="A111" t="str">
            <v>6602.09.03</v>
          </cell>
          <cell r="B111" t="str">
            <v>　　　　地面交通费</v>
          </cell>
          <cell r="G111">
            <v>8782.43</v>
          </cell>
          <cell r="H111">
            <v>8782.43</v>
          </cell>
        </row>
        <row r="112">
          <cell r="A112" t="str">
            <v>6602.09.03</v>
          </cell>
          <cell r="B112" t="str">
            <v>　　　　地面交通费</v>
          </cell>
          <cell r="C112" t="str">
            <v>CI002</v>
          </cell>
          <cell r="D112" t="str">
            <v>旭智富能</v>
          </cell>
          <cell r="G112">
            <v>8119.99</v>
          </cell>
          <cell r="H112">
            <v>8119.99</v>
          </cell>
        </row>
        <row r="113">
          <cell r="A113" t="str">
            <v>6602.09.03</v>
          </cell>
          <cell r="B113" t="str">
            <v>　　　　地面交通费</v>
          </cell>
          <cell r="C113" t="str">
            <v>CI005</v>
          </cell>
          <cell r="D113" t="str">
            <v>旭智私募</v>
          </cell>
          <cell r="G113">
            <v>662.44</v>
          </cell>
          <cell r="H113">
            <v>662.44</v>
          </cell>
        </row>
        <row r="114">
          <cell r="A114" t="str">
            <v>6602.09.03</v>
          </cell>
          <cell r="B114" t="str">
            <v>　　　　地面交通费</v>
          </cell>
          <cell r="C114" t="str">
            <v>CI007</v>
          </cell>
          <cell r="D114" t="str">
            <v>其他项目</v>
          </cell>
        </row>
        <row r="115">
          <cell r="A115" t="str">
            <v>6602.09.04</v>
          </cell>
          <cell r="B115" t="str">
            <v>　　　　空中交通费</v>
          </cell>
          <cell r="G115">
            <v>8940</v>
          </cell>
          <cell r="H115">
            <v>8940</v>
          </cell>
        </row>
        <row r="116">
          <cell r="A116" t="str">
            <v>6602.09.04</v>
          </cell>
          <cell r="B116" t="str">
            <v>　　　　空中交通费</v>
          </cell>
          <cell r="C116" t="str">
            <v>CI002</v>
          </cell>
          <cell r="D116" t="str">
            <v>旭智富能</v>
          </cell>
          <cell r="G116">
            <v>3470</v>
          </cell>
          <cell r="H116">
            <v>3470</v>
          </cell>
        </row>
        <row r="117">
          <cell r="A117" t="str">
            <v>6602.09.04</v>
          </cell>
          <cell r="B117" t="str">
            <v>　　　　空中交通费</v>
          </cell>
          <cell r="C117" t="str">
            <v>CI005</v>
          </cell>
          <cell r="D117" t="str">
            <v>旭智私募</v>
          </cell>
          <cell r="G117">
            <v>2430</v>
          </cell>
          <cell r="H117">
            <v>2430</v>
          </cell>
        </row>
        <row r="118">
          <cell r="A118" t="str">
            <v>6602.09.04</v>
          </cell>
          <cell r="B118" t="str">
            <v>　　　　空中交通费</v>
          </cell>
          <cell r="C118" t="str">
            <v>CI007</v>
          </cell>
          <cell r="D118" t="str">
            <v>其他项目</v>
          </cell>
          <cell r="G118">
            <v>3040</v>
          </cell>
          <cell r="H118">
            <v>3040</v>
          </cell>
        </row>
        <row r="119">
          <cell r="A119" t="str">
            <v>6602.09.08</v>
          </cell>
          <cell r="B119" t="str">
            <v>　　　　退改费用（机票/火车等）</v>
          </cell>
          <cell r="G119">
            <v>167</v>
          </cell>
          <cell r="H119">
            <v>167</v>
          </cell>
        </row>
        <row r="120">
          <cell r="A120" t="str">
            <v>6602.09.08</v>
          </cell>
          <cell r="B120" t="str">
            <v>　　　　退改费用（机票/火车等）</v>
          </cell>
          <cell r="C120" t="str">
            <v>CI002</v>
          </cell>
          <cell r="D120" t="str">
            <v>旭智富能</v>
          </cell>
          <cell r="G120">
            <v>167</v>
          </cell>
          <cell r="H120">
            <v>167</v>
          </cell>
        </row>
        <row r="121">
          <cell r="A121" t="str">
            <v>6602.09.08</v>
          </cell>
          <cell r="B121" t="str">
            <v>　　　　退改费用（机票/火车等）</v>
          </cell>
          <cell r="C121" t="str">
            <v>CI005</v>
          </cell>
          <cell r="D121" t="str">
            <v>旭智私募</v>
          </cell>
        </row>
        <row r="122">
          <cell r="A122" t="str">
            <v>6602.09.09</v>
          </cell>
          <cell r="B122" t="str">
            <v>　　　　携程服务费</v>
          </cell>
          <cell r="G122">
            <v>527.36</v>
          </cell>
          <cell r="H122">
            <v>527.36</v>
          </cell>
        </row>
        <row r="123">
          <cell r="A123" t="str">
            <v>6602.09.09</v>
          </cell>
          <cell r="B123" t="str">
            <v>　　　　携程服务费</v>
          </cell>
          <cell r="C123" t="str">
            <v>CI002</v>
          </cell>
          <cell r="D123" t="str">
            <v>旭智富能</v>
          </cell>
          <cell r="G123">
            <v>297.16000000000003</v>
          </cell>
          <cell r="H123">
            <v>297.16000000000003</v>
          </cell>
        </row>
        <row r="124">
          <cell r="A124" t="str">
            <v>6602.09.09</v>
          </cell>
          <cell r="B124" t="str">
            <v>　　　　携程服务费</v>
          </cell>
          <cell r="C124" t="str">
            <v>CI005</v>
          </cell>
          <cell r="D124" t="str">
            <v>旭智私募</v>
          </cell>
          <cell r="G124">
            <v>143.4</v>
          </cell>
          <cell r="H124">
            <v>143.4</v>
          </cell>
        </row>
        <row r="125">
          <cell r="A125" t="str">
            <v>6602.09.09</v>
          </cell>
          <cell r="B125" t="str">
            <v>　　　　携程服务费</v>
          </cell>
          <cell r="C125" t="str">
            <v>CI007</v>
          </cell>
          <cell r="D125" t="str">
            <v>其他项目</v>
          </cell>
          <cell r="G125">
            <v>86.8</v>
          </cell>
          <cell r="H125">
            <v>86.8</v>
          </cell>
        </row>
        <row r="126">
          <cell r="A126" t="str">
            <v>6602.09.99</v>
          </cell>
          <cell r="B126" t="str">
            <v>　　　　其他</v>
          </cell>
        </row>
        <row r="127">
          <cell r="A127" t="str">
            <v>6602.09.99</v>
          </cell>
          <cell r="B127" t="str">
            <v>　　　　其他</v>
          </cell>
          <cell r="C127" t="str">
            <v>CI002</v>
          </cell>
          <cell r="D127" t="str">
            <v>旭智富能</v>
          </cell>
        </row>
        <row r="128">
          <cell r="A128" t="str">
            <v>6602.10</v>
          </cell>
          <cell r="B128" t="str">
            <v>　　折旧费</v>
          </cell>
          <cell r="G128">
            <v>40.93</v>
          </cell>
          <cell r="H128">
            <v>40.93</v>
          </cell>
        </row>
        <row r="129">
          <cell r="A129" t="str">
            <v>6602.10.04</v>
          </cell>
          <cell r="B129" t="str">
            <v>　　　　家具设备</v>
          </cell>
          <cell r="G129">
            <v>40.93</v>
          </cell>
          <cell r="H129">
            <v>40.93</v>
          </cell>
        </row>
        <row r="130">
          <cell r="A130" t="str">
            <v>6602.12</v>
          </cell>
          <cell r="B130" t="str">
            <v>　　使用权资产折旧</v>
          </cell>
          <cell r="G130">
            <v>6284.82</v>
          </cell>
          <cell r="H130">
            <v>6284.82</v>
          </cell>
        </row>
        <row r="131">
          <cell r="A131" t="str">
            <v>6602.12.03</v>
          </cell>
          <cell r="B131" t="str">
            <v>　　　　注册地址</v>
          </cell>
          <cell r="G131">
            <v>6284.82</v>
          </cell>
          <cell r="H131">
            <v>6284.82</v>
          </cell>
        </row>
        <row r="132">
          <cell r="A132" t="str">
            <v>6602.12.03.01</v>
          </cell>
          <cell r="B132" t="str">
            <v>　　　　　　旭智私募--前海壹号B座701E</v>
          </cell>
          <cell r="G132">
            <v>6284.82</v>
          </cell>
          <cell r="H132">
            <v>6284.82</v>
          </cell>
        </row>
        <row r="133">
          <cell r="A133" t="str">
            <v>6602.15</v>
          </cell>
          <cell r="B133" t="str">
            <v>　　服务费</v>
          </cell>
          <cell r="G133">
            <v>1782.18</v>
          </cell>
          <cell r="H133">
            <v>1782.18</v>
          </cell>
        </row>
        <row r="134">
          <cell r="A134" t="str">
            <v>6602.19</v>
          </cell>
          <cell r="B134" t="str">
            <v>　　会费（公司）</v>
          </cell>
        </row>
        <row r="135">
          <cell r="A135" t="str">
            <v>6602.20</v>
          </cell>
          <cell r="B135" t="str">
            <v>　　职工教育经费</v>
          </cell>
        </row>
        <row r="136">
          <cell r="A136" t="str">
            <v>6603</v>
          </cell>
          <cell r="B136" t="str">
            <v>财务费用</v>
          </cell>
          <cell r="G136">
            <v>136.11000000000001</v>
          </cell>
          <cell r="H136">
            <v>136.11000000000001</v>
          </cell>
        </row>
        <row r="137">
          <cell r="A137" t="str">
            <v>6603.01</v>
          </cell>
          <cell r="B137" t="str">
            <v>　　汇兑损益</v>
          </cell>
          <cell r="G137">
            <v>0.87</v>
          </cell>
          <cell r="H137">
            <v>0.87</v>
          </cell>
        </row>
        <row r="138">
          <cell r="A138" t="str">
            <v>6603.02</v>
          </cell>
          <cell r="B138" t="str">
            <v>　　利息费用</v>
          </cell>
          <cell r="G138">
            <v>118.8</v>
          </cell>
          <cell r="H138">
            <v>118.8</v>
          </cell>
        </row>
        <row r="139">
          <cell r="A139" t="str">
            <v>6603.02.03</v>
          </cell>
          <cell r="B139" t="str">
            <v>　　　　注册地址</v>
          </cell>
          <cell r="G139">
            <v>118.8</v>
          </cell>
          <cell r="H139">
            <v>118.8</v>
          </cell>
        </row>
        <row r="140">
          <cell r="A140" t="str">
            <v>6603.02.03.01</v>
          </cell>
          <cell r="B140" t="str">
            <v>　　　　　　旭智私募--前海壹号B座701E</v>
          </cell>
          <cell r="G140">
            <v>118.8</v>
          </cell>
          <cell r="H140">
            <v>118.8</v>
          </cell>
        </row>
        <row r="141">
          <cell r="A141" t="str">
            <v>6603.03</v>
          </cell>
          <cell r="B141" t="str">
            <v>　　银行手续费</v>
          </cell>
          <cell r="G141">
            <v>197</v>
          </cell>
          <cell r="H141">
            <v>197</v>
          </cell>
        </row>
        <row r="142">
          <cell r="A142" t="str">
            <v>6603.04</v>
          </cell>
          <cell r="B142" t="str">
            <v>　　利息收入</v>
          </cell>
          <cell r="G142">
            <v>-180.56</v>
          </cell>
          <cell r="H142">
            <v>-180.56</v>
          </cell>
        </row>
        <row r="143">
          <cell r="B143" t="str">
            <v>合计</v>
          </cell>
          <cell r="E143">
            <v>5972551.3200000003</v>
          </cell>
          <cell r="F143">
            <v>5972551.3200000003</v>
          </cell>
          <cell r="G143">
            <v>7194722.1900000004</v>
          </cell>
          <cell r="H143">
            <v>7194722.1900000004</v>
          </cell>
        </row>
      </sheetData>
      <sheetData sheetId="7">
        <row r="1">
          <cell r="A1" t="str">
            <v>币别:人民币</v>
          </cell>
          <cell r="B1" t="str">
            <v>账簿:深圳旭智私募股权基金管理有限公司</v>
          </cell>
          <cell r="C1" t="str">
            <v>期间:2025.8 -- 2025.8</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5444985.8700000001</v>
          </cell>
          <cell r="G4">
            <v>1650000.59</v>
          </cell>
          <cell r="H4">
            <v>5626398.8300000001</v>
          </cell>
        </row>
        <row r="5">
          <cell r="A5" t="str">
            <v>1002.23</v>
          </cell>
          <cell r="B5" t="str">
            <v>　　【旭智私募】银行存款账户</v>
          </cell>
          <cell r="E5">
            <v>5444985.8700000001</v>
          </cell>
          <cell r="G5">
            <v>1650000.59</v>
          </cell>
          <cell r="H5">
            <v>5626398.8300000001</v>
          </cell>
        </row>
        <row r="6">
          <cell r="A6" t="str">
            <v>1002.23.01</v>
          </cell>
          <cell r="B6" t="str">
            <v>　　　　农业银行账户</v>
          </cell>
          <cell r="E6">
            <v>5444985.8700000001</v>
          </cell>
          <cell r="G6">
            <v>1650000.59</v>
          </cell>
          <cell r="H6">
            <v>5626398.8300000001</v>
          </cell>
        </row>
        <row r="7">
          <cell r="A7" t="str">
            <v>1002.23.01.01</v>
          </cell>
          <cell r="B7" t="str">
            <v>　　　　　　【旭智私募】农行 人民币基本户 6018</v>
          </cell>
          <cell r="E7">
            <v>755577.75</v>
          </cell>
          <cell r="G7">
            <v>1650000</v>
          </cell>
          <cell r="H7">
            <v>1026398.83</v>
          </cell>
        </row>
        <row r="8">
          <cell r="A8" t="str">
            <v>1002.23.01.01.01</v>
          </cell>
          <cell r="B8" t="str">
            <v>　　　　　　　　【旭智私募】农行 人民币基本户 6018 活期存款</v>
          </cell>
          <cell r="E8">
            <v>255577.75</v>
          </cell>
          <cell r="G8">
            <v>1000000</v>
          </cell>
          <cell r="H8">
            <v>1026398.83</v>
          </cell>
        </row>
        <row r="9">
          <cell r="A9" t="str">
            <v>1002.23.01.01.02</v>
          </cell>
          <cell r="B9" t="str">
            <v>　　　　　　　　【旭智私募】农行 人民币基本户 6018 七天通知存款</v>
          </cell>
          <cell r="E9">
            <v>500000</v>
          </cell>
          <cell r="G9">
            <v>650000</v>
          </cell>
        </row>
        <row r="10">
          <cell r="A10" t="str">
            <v>1002.23.01.02</v>
          </cell>
          <cell r="B10" t="str">
            <v>　　　　　　【旭智私募】农行 人民币资本金账户 6026</v>
          </cell>
          <cell r="E10">
            <v>28.88</v>
          </cell>
        </row>
        <row r="11">
          <cell r="A11" t="str">
            <v>1002.23.01.02.01</v>
          </cell>
          <cell r="B11" t="str">
            <v>　　　　　　　　【旭智私募】农行 人民币资本金账户 6026 活期存款</v>
          </cell>
          <cell r="E11">
            <v>28.88</v>
          </cell>
        </row>
        <row r="12">
          <cell r="A12" t="str">
            <v>1002.23.01.02.02</v>
          </cell>
          <cell r="B12" t="str">
            <v>　　　　　　　　【旭智私募】农行 人民币资本金账户 6026 七天通知存款</v>
          </cell>
        </row>
        <row r="13">
          <cell r="A13" t="str">
            <v>1002.23.01.03</v>
          </cell>
          <cell r="B13" t="str">
            <v>　　　　　　【旭智私募】农行 港元资本金账户 7230</v>
          </cell>
          <cell r="E13">
            <v>683.94</v>
          </cell>
          <cell r="G13">
            <v>0.59</v>
          </cell>
        </row>
        <row r="14">
          <cell r="A14" t="str">
            <v>1002.23.01.04</v>
          </cell>
          <cell r="B14" t="str">
            <v>　　　　　　【旭智私募】农行 人民币结汇待支付账户 7248</v>
          </cell>
          <cell r="E14">
            <v>4688695.3</v>
          </cell>
          <cell r="H14">
            <v>4600000</v>
          </cell>
        </row>
        <row r="15">
          <cell r="A15" t="str">
            <v>1002.23.01.04.01</v>
          </cell>
          <cell r="B15" t="str">
            <v>　　　　　　　　【旭智私募】农行 人民币结汇待支付账户 7248 活期存款</v>
          </cell>
          <cell r="E15">
            <v>4688695.3</v>
          </cell>
          <cell r="H15">
            <v>4600000</v>
          </cell>
        </row>
        <row r="16">
          <cell r="A16" t="str">
            <v>1002.23.01.04.02</v>
          </cell>
          <cell r="B16" t="str">
            <v>　　　　　　　　【旭智私募】农行 人民币结汇待支付账户 7248 定期存款</v>
          </cell>
        </row>
        <row r="17">
          <cell r="A17" t="str">
            <v>1101</v>
          </cell>
          <cell r="B17" t="str">
            <v>交易性金融资产</v>
          </cell>
          <cell r="G17">
            <v>3600000</v>
          </cell>
        </row>
        <row r="18">
          <cell r="A18" t="str">
            <v>1101.01</v>
          </cell>
          <cell r="B18" t="str">
            <v>　　投资成本</v>
          </cell>
          <cell r="G18">
            <v>3600000</v>
          </cell>
        </row>
        <row r="19">
          <cell r="A19" t="str">
            <v>1101.01.03</v>
          </cell>
          <cell r="B19" t="str">
            <v>　　　　银行理财</v>
          </cell>
          <cell r="G19">
            <v>3600000</v>
          </cell>
        </row>
        <row r="20">
          <cell r="A20" t="str">
            <v>1123</v>
          </cell>
          <cell r="B20" t="str">
            <v>预付账款</v>
          </cell>
          <cell r="E20">
            <v>10000</v>
          </cell>
        </row>
        <row r="21">
          <cell r="A21" t="str">
            <v>1123.01</v>
          </cell>
          <cell r="B21" t="str">
            <v>　　单位</v>
          </cell>
          <cell r="E21">
            <v>10000</v>
          </cell>
        </row>
        <row r="22">
          <cell r="A22" t="str">
            <v>1123.01</v>
          </cell>
          <cell r="B22" t="str">
            <v>　　单位</v>
          </cell>
          <cell r="C22" t="str">
            <v>SU007002</v>
          </cell>
          <cell r="D22" t="str">
            <v>中国再生能源学会</v>
          </cell>
          <cell r="E22">
            <v>10000</v>
          </cell>
        </row>
        <row r="23">
          <cell r="A23" t="str">
            <v>1221</v>
          </cell>
          <cell r="B23" t="str">
            <v>其他应收款</v>
          </cell>
          <cell r="E23">
            <v>13000</v>
          </cell>
        </row>
        <row r="24">
          <cell r="A24" t="str">
            <v>1221.01</v>
          </cell>
          <cell r="B24" t="str">
            <v>　　单位</v>
          </cell>
          <cell r="E24">
            <v>13000</v>
          </cell>
        </row>
        <row r="25">
          <cell r="A25" t="str">
            <v>1221.01</v>
          </cell>
          <cell r="B25" t="str">
            <v>　　单位</v>
          </cell>
          <cell r="C25" t="str">
            <v>CU006005</v>
          </cell>
          <cell r="D25" t="str">
            <v>长峻物业管理(深圳)有限公司</v>
          </cell>
          <cell r="E25">
            <v>13000</v>
          </cell>
        </row>
        <row r="26">
          <cell r="A26" t="str">
            <v>1601</v>
          </cell>
          <cell r="B26" t="str">
            <v>固定资产</v>
          </cell>
          <cell r="E26">
            <v>2585</v>
          </cell>
        </row>
        <row r="27">
          <cell r="A27" t="str">
            <v>1601.04</v>
          </cell>
          <cell r="B27" t="str">
            <v>　　家具设备</v>
          </cell>
          <cell r="E27">
            <v>2585</v>
          </cell>
        </row>
        <row r="28">
          <cell r="A28" t="str">
            <v>1602</v>
          </cell>
          <cell r="B28" t="str">
            <v>累计折旧</v>
          </cell>
          <cell r="F28">
            <v>532.09</v>
          </cell>
          <cell r="H28">
            <v>40.93</v>
          </cell>
        </row>
        <row r="29">
          <cell r="A29" t="str">
            <v>1602.04</v>
          </cell>
          <cell r="B29" t="str">
            <v>　　家具设备</v>
          </cell>
          <cell r="F29">
            <v>532.09</v>
          </cell>
          <cell r="H29">
            <v>40.93</v>
          </cell>
        </row>
        <row r="30">
          <cell r="A30" t="str">
            <v>1641</v>
          </cell>
          <cell r="B30" t="str">
            <v>使用权资产</v>
          </cell>
          <cell r="E30">
            <v>125696.44</v>
          </cell>
        </row>
        <row r="31">
          <cell r="A31" t="str">
            <v>1641.03</v>
          </cell>
          <cell r="B31" t="str">
            <v>　　注册地址</v>
          </cell>
          <cell r="E31">
            <v>125696.44</v>
          </cell>
        </row>
        <row r="32">
          <cell r="A32" t="str">
            <v>1641.03.01</v>
          </cell>
          <cell r="B32" t="str">
            <v>　　　　旭智私募--前海壹号B座701E</v>
          </cell>
          <cell r="E32">
            <v>125696.44</v>
          </cell>
        </row>
        <row r="33">
          <cell r="A33" t="str">
            <v>1642</v>
          </cell>
          <cell r="B33" t="str">
            <v>使用权资产累计折旧</v>
          </cell>
          <cell r="F33">
            <v>94272.31</v>
          </cell>
          <cell r="H33">
            <v>6284.82</v>
          </cell>
        </row>
        <row r="34">
          <cell r="A34" t="str">
            <v>1642.03</v>
          </cell>
          <cell r="B34" t="str">
            <v>　　注册地址</v>
          </cell>
          <cell r="F34">
            <v>94272.31</v>
          </cell>
          <cell r="H34">
            <v>6284.82</v>
          </cell>
        </row>
        <row r="35">
          <cell r="A35" t="str">
            <v>1642.03.01</v>
          </cell>
          <cell r="B35" t="str">
            <v>　　　　旭智私募--前海壹号B座701E</v>
          </cell>
          <cell r="F35">
            <v>94272.31</v>
          </cell>
          <cell r="H35">
            <v>6284.82</v>
          </cell>
        </row>
        <row r="36">
          <cell r="A36" t="str">
            <v>2211</v>
          </cell>
          <cell r="B36" t="str">
            <v>应付职工薪酬</v>
          </cell>
          <cell r="G36">
            <v>240198.76</v>
          </cell>
          <cell r="H36">
            <v>240198.76</v>
          </cell>
        </row>
        <row r="37">
          <cell r="A37" t="str">
            <v>2211.01</v>
          </cell>
          <cell r="B37" t="str">
            <v>　　职工工资</v>
          </cell>
          <cell r="G37">
            <v>206073.9</v>
          </cell>
          <cell r="H37">
            <v>206073.9</v>
          </cell>
        </row>
        <row r="38">
          <cell r="A38" t="str">
            <v>2211.02</v>
          </cell>
          <cell r="B38" t="str">
            <v>　　职工奖金</v>
          </cell>
        </row>
        <row r="39">
          <cell r="A39" t="str">
            <v>2211.05</v>
          </cell>
          <cell r="B39" t="str">
            <v>　　社会保险费</v>
          </cell>
          <cell r="G39">
            <v>13661.26</v>
          </cell>
          <cell r="H39">
            <v>13661.26</v>
          </cell>
        </row>
        <row r="40">
          <cell r="A40" t="str">
            <v>2211.06</v>
          </cell>
          <cell r="B40" t="str">
            <v>　　住房公积金</v>
          </cell>
          <cell r="G40">
            <v>20463.599999999999</v>
          </cell>
          <cell r="H40">
            <v>20463.599999999999</v>
          </cell>
        </row>
        <row r="41">
          <cell r="A41" t="str">
            <v>2211.08</v>
          </cell>
          <cell r="B41" t="str">
            <v>　　职工教育经费</v>
          </cell>
        </row>
        <row r="42">
          <cell r="A42" t="str">
            <v>2221</v>
          </cell>
          <cell r="B42" t="str">
            <v>应交税费</v>
          </cell>
          <cell r="F42">
            <v>34185.42</v>
          </cell>
          <cell r="G42">
            <v>55300.04</v>
          </cell>
          <cell r="H42">
            <v>54603.199999999997</v>
          </cell>
        </row>
        <row r="43">
          <cell r="A43" t="str">
            <v>2221.01</v>
          </cell>
          <cell r="B43" t="str">
            <v>　　应交增值税</v>
          </cell>
          <cell r="G43">
            <v>10533.79</v>
          </cell>
          <cell r="H43">
            <v>558.04999999999995</v>
          </cell>
        </row>
        <row r="44">
          <cell r="A44" t="str">
            <v>2221.01.01</v>
          </cell>
          <cell r="B44" t="str">
            <v>　　　　销项税额</v>
          </cell>
          <cell r="H44">
            <v>558.04999999999995</v>
          </cell>
        </row>
        <row r="45">
          <cell r="A45" t="str">
            <v>2221.01.03</v>
          </cell>
          <cell r="B45" t="str">
            <v>　　　　进项税额</v>
          </cell>
          <cell r="G45">
            <v>10533.79</v>
          </cell>
        </row>
        <row r="46">
          <cell r="A46" t="str">
            <v>2221.03</v>
          </cell>
          <cell r="B46" t="str">
            <v>　　暂估进项税额</v>
          </cell>
          <cell r="F46">
            <v>-683.95</v>
          </cell>
          <cell r="G46">
            <v>1336.92</v>
          </cell>
          <cell r="H46">
            <v>683.95</v>
          </cell>
        </row>
        <row r="47">
          <cell r="A47" t="str">
            <v>2221.06</v>
          </cell>
          <cell r="B47" t="str">
            <v>　　待认证进项税额</v>
          </cell>
          <cell r="G47">
            <v>319.2</v>
          </cell>
          <cell r="H47">
            <v>319.2</v>
          </cell>
        </row>
        <row r="48">
          <cell r="A48" t="str">
            <v>2221.07</v>
          </cell>
          <cell r="B48" t="str">
            <v>　　待抵扣进项税额</v>
          </cell>
          <cell r="F48">
            <v>-8240.76</v>
          </cell>
          <cell r="H48">
            <v>8240.76</v>
          </cell>
        </row>
        <row r="49">
          <cell r="A49" t="str">
            <v>2221.16</v>
          </cell>
          <cell r="B49" t="str">
            <v>　　应交个人所得税</v>
          </cell>
          <cell r="F49">
            <v>43110.13</v>
          </cell>
          <cell r="G49">
            <v>43110.13</v>
          </cell>
          <cell r="H49">
            <v>44801.24</v>
          </cell>
        </row>
        <row r="50">
          <cell r="A50" t="str">
            <v>2241</v>
          </cell>
          <cell r="B50" t="str">
            <v>其他应付款</v>
          </cell>
          <cell r="F50">
            <v>28746.86</v>
          </cell>
          <cell r="G50">
            <v>40959.71</v>
          </cell>
          <cell r="H50">
            <v>53139.54</v>
          </cell>
        </row>
        <row r="51">
          <cell r="A51" t="str">
            <v>2241.01</v>
          </cell>
          <cell r="B51" t="str">
            <v>　　单位</v>
          </cell>
          <cell r="F51">
            <v>27914</v>
          </cell>
          <cell r="G51">
            <v>35780.6</v>
          </cell>
          <cell r="H51">
            <v>47960.43</v>
          </cell>
        </row>
        <row r="52">
          <cell r="A52" t="str">
            <v>2241.01</v>
          </cell>
          <cell r="B52" t="str">
            <v>　　单位</v>
          </cell>
          <cell r="C52" t="str">
            <v>SU005004</v>
          </cell>
          <cell r="D52" t="str">
            <v>上海爱文人才服务有限公司</v>
          </cell>
          <cell r="G52">
            <v>1200</v>
          </cell>
          <cell r="H52">
            <v>1200</v>
          </cell>
        </row>
        <row r="53">
          <cell r="A53" t="str">
            <v>2241.01</v>
          </cell>
          <cell r="B53" t="str">
            <v>　　单位</v>
          </cell>
          <cell r="C53" t="str">
            <v>SU005007</v>
          </cell>
          <cell r="D53" t="str">
            <v>普华永道中天会计师事务所（特殊普通合伙）</v>
          </cell>
        </row>
        <row r="54">
          <cell r="A54" t="str">
            <v>2241.01</v>
          </cell>
          <cell r="B54" t="str">
            <v>　　单位</v>
          </cell>
          <cell r="C54" t="str">
            <v>SU005044</v>
          </cell>
          <cell r="D54" t="str">
            <v>旭智咨询管理（深圳）有限责任公司</v>
          </cell>
        </row>
        <row r="55">
          <cell r="A55" t="str">
            <v>2241.01</v>
          </cell>
          <cell r="B55" t="str">
            <v>　　单位</v>
          </cell>
          <cell r="C55" t="str">
            <v>SU006012</v>
          </cell>
          <cell r="D55" t="str">
            <v>上海携程宏睿国际旅行社有限公司</v>
          </cell>
          <cell r="F55">
            <v>27914</v>
          </cell>
          <cell r="G55">
            <v>27914</v>
          </cell>
          <cell r="H55">
            <v>40093.83</v>
          </cell>
        </row>
        <row r="56">
          <cell r="A56" t="str">
            <v>2241.01</v>
          </cell>
          <cell r="B56" t="str">
            <v>　　单位</v>
          </cell>
          <cell r="C56" t="str">
            <v>SU006025</v>
          </cell>
          <cell r="D56" t="str">
            <v>全景求是管理顾问（北京）有限公司</v>
          </cell>
        </row>
        <row r="57">
          <cell r="A57" t="str">
            <v>2241.01</v>
          </cell>
          <cell r="B57" t="str">
            <v>　　单位</v>
          </cell>
          <cell r="C57" t="str">
            <v>SU007003</v>
          </cell>
          <cell r="D57" t="str">
            <v>长峻物业管理（深圳）有限公司</v>
          </cell>
          <cell r="G57">
            <v>6666.6</v>
          </cell>
          <cell r="H57">
            <v>6666.6</v>
          </cell>
        </row>
        <row r="58">
          <cell r="A58" t="str">
            <v>2241.01</v>
          </cell>
          <cell r="B58" t="str">
            <v>　　单位</v>
          </cell>
          <cell r="C58" t="str">
            <v>SU007005</v>
          </cell>
          <cell r="D58" t="str">
            <v>深圳前海百丰外企咨询服务有限公司</v>
          </cell>
        </row>
        <row r="59">
          <cell r="A59" t="str">
            <v>2241.02</v>
          </cell>
          <cell r="B59" t="str">
            <v>　　个人</v>
          </cell>
          <cell r="F59">
            <v>832.86</v>
          </cell>
          <cell r="G59">
            <v>5179.1099999999997</v>
          </cell>
          <cell r="H59">
            <v>5179.1099999999997</v>
          </cell>
        </row>
        <row r="60">
          <cell r="A60" t="str">
            <v>2241.02</v>
          </cell>
          <cell r="B60" t="str">
            <v>　　个人</v>
          </cell>
          <cell r="C60" t="str">
            <v>SP005001</v>
          </cell>
          <cell r="D60" t="str">
            <v>冯冠邦</v>
          </cell>
          <cell r="F60">
            <v>832.86</v>
          </cell>
        </row>
        <row r="61">
          <cell r="A61" t="str">
            <v>2241.02</v>
          </cell>
          <cell r="B61" t="str">
            <v>　　个人</v>
          </cell>
          <cell r="C61" t="str">
            <v>SP005006</v>
          </cell>
          <cell r="D61" t="str">
            <v>张歆</v>
          </cell>
        </row>
        <row r="62">
          <cell r="A62" t="str">
            <v>2241.02</v>
          </cell>
          <cell r="B62" t="str">
            <v>　　个人</v>
          </cell>
          <cell r="C62" t="str">
            <v>SP005011</v>
          </cell>
          <cell r="D62" t="str">
            <v>郭宗林</v>
          </cell>
          <cell r="G62">
            <v>1479.28</v>
          </cell>
          <cell r="H62">
            <v>1479.28</v>
          </cell>
        </row>
        <row r="63">
          <cell r="A63" t="str">
            <v>2241.02</v>
          </cell>
          <cell r="B63" t="str">
            <v>　　个人</v>
          </cell>
          <cell r="C63" t="str">
            <v>SP006002</v>
          </cell>
          <cell r="D63" t="str">
            <v>陈灿</v>
          </cell>
        </row>
        <row r="64">
          <cell r="A64" t="str">
            <v>2241.02</v>
          </cell>
          <cell r="B64" t="str">
            <v>　　个人</v>
          </cell>
          <cell r="C64" t="str">
            <v>SP006009</v>
          </cell>
          <cell r="D64" t="str">
            <v>林秋蝶</v>
          </cell>
          <cell r="G64">
            <v>1011.46</v>
          </cell>
          <cell r="H64">
            <v>1011.46</v>
          </cell>
        </row>
        <row r="65">
          <cell r="A65" t="str">
            <v>2241.02</v>
          </cell>
          <cell r="B65" t="str">
            <v>　　个人</v>
          </cell>
          <cell r="C65" t="str">
            <v>SP006010</v>
          </cell>
          <cell r="D65" t="str">
            <v>陈广华</v>
          </cell>
          <cell r="G65">
            <v>1061.3800000000001</v>
          </cell>
          <cell r="H65">
            <v>1061.3800000000001</v>
          </cell>
        </row>
        <row r="66">
          <cell r="A66" t="str">
            <v>2241.02</v>
          </cell>
          <cell r="B66" t="str">
            <v>　　个人</v>
          </cell>
          <cell r="C66" t="str">
            <v>SP006011</v>
          </cell>
          <cell r="D66" t="str">
            <v>李敏宽</v>
          </cell>
          <cell r="G66">
            <v>1626.99</v>
          </cell>
          <cell r="H66">
            <v>1626.99</v>
          </cell>
        </row>
        <row r="67">
          <cell r="A67" t="str">
            <v>2601</v>
          </cell>
          <cell r="B67" t="str">
            <v>租赁负债</v>
          </cell>
          <cell r="F67">
            <v>31447.62</v>
          </cell>
          <cell r="G67">
            <v>6349.14</v>
          </cell>
          <cell r="H67">
            <v>99.16</v>
          </cell>
        </row>
        <row r="68">
          <cell r="A68" t="str">
            <v>2601.01</v>
          </cell>
          <cell r="B68" t="str">
            <v>　　租赁付款额</v>
          </cell>
          <cell r="F68">
            <v>31745.7</v>
          </cell>
          <cell r="G68">
            <v>6349.14</v>
          </cell>
        </row>
        <row r="69">
          <cell r="A69" t="str">
            <v>2601.01.03</v>
          </cell>
          <cell r="B69" t="str">
            <v>　　　　注册地址</v>
          </cell>
          <cell r="F69">
            <v>31745.7</v>
          </cell>
          <cell r="G69">
            <v>6349.14</v>
          </cell>
        </row>
        <row r="70">
          <cell r="A70" t="str">
            <v>2601.01.03.01</v>
          </cell>
          <cell r="B70" t="str">
            <v>　　　　　　旭智私募--前海壹号B座701E</v>
          </cell>
          <cell r="F70">
            <v>31745.7</v>
          </cell>
          <cell r="G70">
            <v>6349.14</v>
          </cell>
        </row>
        <row r="71">
          <cell r="A71" t="str">
            <v>2601.02</v>
          </cell>
          <cell r="B71" t="str">
            <v>　　未确认融资费用</v>
          </cell>
          <cell r="F71">
            <v>-298.08</v>
          </cell>
          <cell r="H71">
            <v>99.16</v>
          </cell>
        </row>
        <row r="72">
          <cell r="A72" t="str">
            <v>2601.02.03</v>
          </cell>
          <cell r="B72" t="str">
            <v>　　　　注册地址</v>
          </cell>
          <cell r="F72">
            <v>-298.08</v>
          </cell>
          <cell r="H72">
            <v>99.16</v>
          </cell>
        </row>
        <row r="73">
          <cell r="A73" t="str">
            <v>2601.02.03.01</v>
          </cell>
          <cell r="B73" t="str">
            <v>　　　　　　旭智私募--前海壹号B座701E</v>
          </cell>
          <cell r="F73">
            <v>-298.08</v>
          </cell>
          <cell r="H73">
            <v>99.16</v>
          </cell>
        </row>
        <row r="74">
          <cell r="A74" t="str">
            <v>4001</v>
          </cell>
          <cell r="B74" t="str">
            <v>实收资本（股本）</v>
          </cell>
          <cell r="F74">
            <v>10000000</v>
          </cell>
        </row>
        <row r="75">
          <cell r="A75" t="str">
            <v>4001.11</v>
          </cell>
          <cell r="B75" t="str">
            <v>　　旭智资本（香港）有限公司</v>
          </cell>
          <cell r="F75">
            <v>4900000</v>
          </cell>
        </row>
        <row r="76">
          <cell r="A76" t="str">
            <v>4001.20</v>
          </cell>
          <cell r="B76" t="str">
            <v>　　冯冠邦</v>
          </cell>
          <cell r="F76">
            <v>5100000</v>
          </cell>
        </row>
        <row r="77">
          <cell r="A77" t="str">
            <v>4103</v>
          </cell>
          <cell r="B77" t="str">
            <v>本年利润</v>
          </cell>
          <cell r="F77">
            <v>-2496650.62</v>
          </cell>
          <cell r="G77">
            <v>387957</v>
          </cell>
        </row>
        <row r="78">
          <cell r="A78" t="str">
            <v>4104</v>
          </cell>
          <cell r="B78" t="str">
            <v>利润分配</v>
          </cell>
          <cell r="F78">
            <v>-2096266.37</v>
          </cell>
        </row>
        <row r="79">
          <cell r="A79" t="str">
            <v>4104.07</v>
          </cell>
          <cell r="B79" t="str">
            <v>　　未分配利润</v>
          </cell>
          <cell r="F79">
            <v>-2096266.37</v>
          </cell>
        </row>
        <row r="80">
          <cell r="A80" t="str">
            <v>6111</v>
          </cell>
          <cell r="B80" t="str">
            <v>投资收益</v>
          </cell>
        </row>
        <row r="81">
          <cell r="A81" t="str">
            <v>6115</v>
          </cell>
          <cell r="B81" t="str">
            <v>其他收益</v>
          </cell>
        </row>
        <row r="82">
          <cell r="A82" t="str">
            <v>6115.02</v>
          </cell>
          <cell r="B82" t="str">
            <v>　　个税手续费返还</v>
          </cell>
        </row>
        <row r="83">
          <cell r="A83" t="str">
            <v>6602</v>
          </cell>
          <cell r="B83" t="str">
            <v>管理费用</v>
          </cell>
          <cell r="G83">
            <v>387830.43</v>
          </cell>
          <cell r="H83">
            <v>387830.43</v>
          </cell>
        </row>
        <row r="84">
          <cell r="A84" t="str">
            <v>6602.01</v>
          </cell>
          <cell r="B84" t="str">
            <v>　　工资薪金</v>
          </cell>
          <cell r="G84">
            <v>285000</v>
          </cell>
          <cell r="H84">
            <v>285000</v>
          </cell>
        </row>
        <row r="85">
          <cell r="A85" t="str">
            <v>6602.01.01</v>
          </cell>
          <cell r="B85" t="str">
            <v>　　　　基本工资（专业）</v>
          </cell>
          <cell r="G85">
            <v>285000</v>
          </cell>
          <cell r="H85">
            <v>285000</v>
          </cell>
        </row>
        <row r="86">
          <cell r="A86" t="str">
            <v>6602.03</v>
          </cell>
          <cell r="B86" t="str">
            <v>　　社保公积金</v>
          </cell>
          <cell r="G86">
            <v>52102.23</v>
          </cell>
          <cell r="H86">
            <v>52102.23</v>
          </cell>
        </row>
        <row r="87">
          <cell r="A87" t="str">
            <v>6602.03.01</v>
          </cell>
          <cell r="B87" t="str">
            <v>　　　　员工社保福利</v>
          </cell>
          <cell r="G87">
            <v>31638.63</v>
          </cell>
          <cell r="H87">
            <v>31638.63</v>
          </cell>
        </row>
        <row r="88">
          <cell r="A88" t="str">
            <v>6602.03.02</v>
          </cell>
          <cell r="B88" t="str">
            <v>　　　　员工公积金福利</v>
          </cell>
          <cell r="G88">
            <v>20463.599999999999</v>
          </cell>
          <cell r="H88">
            <v>20463.599999999999</v>
          </cell>
        </row>
        <row r="89">
          <cell r="A89" t="str">
            <v>6602.04</v>
          </cell>
          <cell r="B89" t="str">
            <v>　　咨询及专业服务费</v>
          </cell>
          <cell r="G89">
            <v>1200</v>
          </cell>
          <cell r="H89">
            <v>1200</v>
          </cell>
        </row>
        <row r="90">
          <cell r="A90" t="str">
            <v>6602.04.02</v>
          </cell>
          <cell r="B90" t="str">
            <v>　　　　审计服务费</v>
          </cell>
        </row>
        <row r="91">
          <cell r="A91" t="str">
            <v>6602.04.07</v>
          </cell>
          <cell r="B91" t="str">
            <v>　　　　人力资源服务费</v>
          </cell>
          <cell r="G91">
            <v>1200</v>
          </cell>
          <cell r="H91">
            <v>1200</v>
          </cell>
        </row>
        <row r="92">
          <cell r="A92" t="str">
            <v>6602.04.08</v>
          </cell>
          <cell r="B92" t="str">
            <v>　　　　背景调查费</v>
          </cell>
        </row>
        <row r="93">
          <cell r="A93" t="str">
            <v>6602.06</v>
          </cell>
          <cell r="B93" t="str">
            <v>　　业务招待费</v>
          </cell>
        </row>
        <row r="94">
          <cell r="A94" t="str">
            <v>6602.06</v>
          </cell>
          <cell r="B94" t="str">
            <v>　　业务招待费</v>
          </cell>
          <cell r="C94" t="str">
            <v>CI002</v>
          </cell>
          <cell r="D94" t="str">
            <v>旭智富能</v>
          </cell>
        </row>
        <row r="95">
          <cell r="A95" t="str">
            <v>6602.08</v>
          </cell>
          <cell r="B95" t="str">
            <v>　　事务费用</v>
          </cell>
          <cell r="G95">
            <v>1076.82</v>
          </cell>
          <cell r="H95">
            <v>1076.82</v>
          </cell>
        </row>
        <row r="96">
          <cell r="A96" t="str">
            <v>6602.08.01</v>
          </cell>
          <cell r="B96" t="str">
            <v>　　　　通信费</v>
          </cell>
          <cell r="G96">
            <v>949.86</v>
          </cell>
          <cell r="H96">
            <v>949.86</v>
          </cell>
        </row>
        <row r="97">
          <cell r="A97" t="str">
            <v>6602.08.01</v>
          </cell>
          <cell r="B97" t="str">
            <v>　　　　通信费</v>
          </cell>
          <cell r="C97" t="str">
            <v>CI005</v>
          </cell>
          <cell r="D97" t="str">
            <v>旭智私募</v>
          </cell>
          <cell r="G97">
            <v>949.86</v>
          </cell>
          <cell r="H97">
            <v>949.86</v>
          </cell>
        </row>
        <row r="98">
          <cell r="A98" t="str">
            <v>6602.08.03</v>
          </cell>
          <cell r="B98" t="str">
            <v>　　　　办公用品</v>
          </cell>
          <cell r="G98">
            <v>80</v>
          </cell>
          <cell r="H98">
            <v>80</v>
          </cell>
        </row>
        <row r="99">
          <cell r="A99" t="str">
            <v>6602.08.03</v>
          </cell>
          <cell r="B99" t="str">
            <v>　　　　办公用品</v>
          </cell>
          <cell r="C99" t="str">
            <v>CI005</v>
          </cell>
          <cell r="D99" t="str">
            <v>旭智私募</v>
          </cell>
          <cell r="G99">
            <v>80</v>
          </cell>
          <cell r="H99">
            <v>80</v>
          </cell>
        </row>
        <row r="100">
          <cell r="A100" t="str">
            <v>6602.08.05</v>
          </cell>
          <cell r="B100" t="str">
            <v>　　　　邮费/邮递费</v>
          </cell>
          <cell r="G100">
            <v>46.96</v>
          </cell>
          <cell r="H100">
            <v>46.96</v>
          </cell>
        </row>
        <row r="101">
          <cell r="A101" t="str">
            <v>6602.08.05</v>
          </cell>
          <cell r="B101" t="str">
            <v>　　　　邮费/邮递费</v>
          </cell>
          <cell r="C101" t="str">
            <v>CI005</v>
          </cell>
          <cell r="D101" t="str">
            <v>旭智私募</v>
          </cell>
          <cell r="G101">
            <v>46.96</v>
          </cell>
          <cell r="H101">
            <v>46.96</v>
          </cell>
        </row>
        <row r="102">
          <cell r="A102" t="str">
            <v>6602.09</v>
          </cell>
          <cell r="B102" t="str">
            <v>　　差旅费</v>
          </cell>
          <cell r="G102">
            <v>42125.63</v>
          </cell>
          <cell r="H102">
            <v>42125.63</v>
          </cell>
        </row>
        <row r="103">
          <cell r="A103" t="str">
            <v>6602.09.01</v>
          </cell>
          <cell r="B103" t="str">
            <v>　　　　住宿费</v>
          </cell>
          <cell r="G103">
            <v>16905.849999999999</v>
          </cell>
          <cell r="H103">
            <v>16905.849999999999</v>
          </cell>
        </row>
        <row r="104">
          <cell r="A104" t="str">
            <v>6602.09.01</v>
          </cell>
          <cell r="B104" t="str">
            <v>　　　　住宿费</v>
          </cell>
          <cell r="C104" t="str">
            <v>CI002</v>
          </cell>
          <cell r="D104" t="str">
            <v>旭智富能</v>
          </cell>
          <cell r="G104">
            <v>6457.55</v>
          </cell>
          <cell r="H104">
            <v>6457.55</v>
          </cell>
        </row>
        <row r="105">
          <cell r="A105" t="str">
            <v>6602.09.01</v>
          </cell>
          <cell r="B105" t="str">
            <v>　　　　住宿费</v>
          </cell>
          <cell r="C105" t="str">
            <v>CI005</v>
          </cell>
          <cell r="D105" t="str">
            <v>旭智私募</v>
          </cell>
          <cell r="G105">
            <v>5155.66</v>
          </cell>
          <cell r="H105">
            <v>5155.66</v>
          </cell>
        </row>
        <row r="106">
          <cell r="A106" t="str">
            <v>6602.09.01</v>
          </cell>
          <cell r="B106" t="str">
            <v>　　　　住宿费</v>
          </cell>
          <cell r="C106" t="str">
            <v>CI007</v>
          </cell>
          <cell r="D106" t="str">
            <v>其他项目</v>
          </cell>
          <cell r="G106">
            <v>5292.64</v>
          </cell>
          <cell r="H106">
            <v>5292.64</v>
          </cell>
        </row>
        <row r="107">
          <cell r="A107" t="str">
            <v>6602.09.02</v>
          </cell>
          <cell r="B107" t="str">
            <v>　　　　伙食费</v>
          </cell>
          <cell r="G107">
            <v>833.16</v>
          </cell>
          <cell r="H107">
            <v>833.16</v>
          </cell>
        </row>
        <row r="108">
          <cell r="A108" t="str">
            <v>6602.09.02</v>
          </cell>
          <cell r="B108" t="str">
            <v>　　　　伙食费</v>
          </cell>
          <cell r="C108" t="str">
            <v>CI002</v>
          </cell>
          <cell r="D108" t="str">
            <v>旭智富能</v>
          </cell>
          <cell r="G108">
            <v>197</v>
          </cell>
          <cell r="H108">
            <v>197</v>
          </cell>
        </row>
        <row r="109">
          <cell r="A109" t="str">
            <v>6602.09.02</v>
          </cell>
          <cell r="B109" t="str">
            <v>　　　　伙食费</v>
          </cell>
          <cell r="C109" t="str">
            <v>CI005</v>
          </cell>
          <cell r="D109" t="str">
            <v>旭智私募</v>
          </cell>
          <cell r="G109">
            <v>211.16</v>
          </cell>
          <cell r="H109">
            <v>211.16</v>
          </cell>
        </row>
        <row r="110">
          <cell r="A110" t="str">
            <v>6602.09.02</v>
          </cell>
          <cell r="B110" t="str">
            <v>　　　　伙食费</v>
          </cell>
          <cell r="C110" t="str">
            <v>CI007</v>
          </cell>
          <cell r="D110" t="str">
            <v>其他项目</v>
          </cell>
          <cell r="G110">
            <v>425</v>
          </cell>
          <cell r="H110">
            <v>425</v>
          </cell>
        </row>
        <row r="111">
          <cell r="A111" t="str">
            <v>6602.09.03</v>
          </cell>
          <cell r="B111" t="str">
            <v>　　　　地面交通费</v>
          </cell>
          <cell r="G111">
            <v>5704.64</v>
          </cell>
          <cell r="H111">
            <v>5704.64</v>
          </cell>
        </row>
        <row r="112">
          <cell r="A112" t="str">
            <v>6602.09.03</v>
          </cell>
          <cell r="B112" t="str">
            <v>　　　　地面交通费</v>
          </cell>
          <cell r="C112" t="str">
            <v>CI002</v>
          </cell>
          <cell r="D112" t="str">
            <v>旭智富能</v>
          </cell>
          <cell r="G112">
            <v>2073.1</v>
          </cell>
          <cell r="H112">
            <v>2073.1</v>
          </cell>
        </row>
        <row r="113">
          <cell r="A113" t="str">
            <v>6602.09.03</v>
          </cell>
          <cell r="B113" t="str">
            <v>　　　　地面交通费</v>
          </cell>
          <cell r="C113" t="str">
            <v>CI005</v>
          </cell>
          <cell r="D113" t="str">
            <v>旭智私募</v>
          </cell>
          <cell r="G113">
            <v>1537.7</v>
          </cell>
          <cell r="H113">
            <v>1537.7</v>
          </cell>
        </row>
        <row r="114">
          <cell r="A114" t="str">
            <v>6602.09.03</v>
          </cell>
          <cell r="B114" t="str">
            <v>　　　　地面交通费</v>
          </cell>
          <cell r="C114" t="str">
            <v>CI007</v>
          </cell>
          <cell r="D114" t="str">
            <v>其他项目</v>
          </cell>
          <cell r="G114">
            <v>2093.84</v>
          </cell>
          <cell r="H114">
            <v>2093.84</v>
          </cell>
        </row>
        <row r="115">
          <cell r="A115" t="str">
            <v>6602.09.04</v>
          </cell>
          <cell r="B115" t="str">
            <v>　　　　空中交通费</v>
          </cell>
          <cell r="G115">
            <v>18040</v>
          </cell>
          <cell r="H115">
            <v>18040</v>
          </cell>
        </row>
        <row r="116">
          <cell r="A116" t="str">
            <v>6602.09.04</v>
          </cell>
          <cell r="B116" t="str">
            <v>　　　　空中交通费</v>
          </cell>
          <cell r="C116" t="str">
            <v>CI002</v>
          </cell>
          <cell r="D116" t="str">
            <v>旭智富能</v>
          </cell>
          <cell r="G116">
            <v>5220</v>
          </cell>
          <cell r="H116">
            <v>5220</v>
          </cell>
        </row>
        <row r="117">
          <cell r="A117" t="str">
            <v>6602.09.04</v>
          </cell>
          <cell r="B117" t="str">
            <v>　　　　空中交通费</v>
          </cell>
          <cell r="C117" t="str">
            <v>CI005</v>
          </cell>
          <cell r="D117" t="str">
            <v>旭智私募</v>
          </cell>
          <cell r="G117">
            <v>8250</v>
          </cell>
          <cell r="H117">
            <v>8250</v>
          </cell>
        </row>
        <row r="118">
          <cell r="A118" t="str">
            <v>6602.09.04</v>
          </cell>
          <cell r="B118" t="str">
            <v>　　　　空中交通费</v>
          </cell>
          <cell r="C118" t="str">
            <v>CI007</v>
          </cell>
          <cell r="D118" t="str">
            <v>其他项目</v>
          </cell>
          <cell r="G118">
            <v>4570</v>
          </cell>
          <cell r="H118">
            <v>4570</v>
          </cell>
        </row>
        <row r="119">
          <cell r="A119" t="str">
            <v>6602.09.08</v>
          </cell>
          <cell r="B119" t="str">
            <v>　　　　退改费用（机票/火车等）</v>
          </cell>
          <cell r="G119">
            <v>8.9600000000000009</v>
          </cell>
          <cell r="H119">
            <v>8.9600000000000009</v>
          </cell>
        </row>
        <row r="120">
          <cell r="A120" t="str">
            <v>6602.09.08</v>
          </cell>
          <cell r="B120" t="str">
            <v>　　　　退改费用（机票/火车等）</v>
          </cell>
          <cell r="C120" t="str">
            <v>CI002</v>
          </cell>
          <cell r="D120" t="str">
            <v>旭智富能</v>
          </cell>
          <cell r="G120">
            <v>8.9600000000000009</v>
          </cell>
          <cell r="H120">
            <v>8.9600000000000009</v>
          </cell>
        </row>
        <row r="121">
          <cell r="A121" t="str">
            <v>6602.09.08</v>
          </cell>
          <cell r="B121" t="str">
            <v>　　　　退改费用（机票/火车等）</v>
          </cell>
          <cell r="C121" t="str">
            <v>CI005</v>
          </cell>
          <cell r="D121" t="str">
            <v>旭智私募</v>
          </cell>
        </row>
        <row r="122">
          <cell r="A122" t="str">
            <v>6602.09.09</v>
          </cell>
          <cell r="B122" t="str">
            <v>　　　　携程服务费</v>
          </cell>
          <cell r="G122">
            <v>633.02</v>
          </cell>
          <cell r="H122">
            <v>633.02</v>
          </cell>
        </row>
        <row r="123">
          <cell r="A123" t="str">
            <v>6602.09.09</v>
          </cell>
          <cell r="B123" t="str">
            <v>　　　　携程服务费</v>
          </cell>
          <cell r="C123" t="str">
            <v>CI002</v>
          </cell>
          <cell r="D123" t="str">
            <v>旭智富能</v>
          </cell>
          <cell r="G123">
            <v>172.64</v>
          </cell>
          <cell r="H123">
            <v>172.64</v>
          </cell>
        </row>
        <row r="124">
          <cell r="A124" t="str">
            <v>6602.09.09</v>
          </cell>
          <cell r="B124" t="str">
            <v>　　　　携程服务费</v>
          </cell>
          <cell r="C124" t="str">
            <v>CI005</v>
          </cell>
          <cell r="D124" t="str">
            <v>旭智私募</v>
          </cell>
          <cell r="G124">
            <v>272.64999999999998</v>
          </cell>
          <cell r="H124">
            <v>272.64999999999998</v>
          </cell>
        </row>
        <row r="125">
          <cell r="A125" t="str">
            <v>6602.09.09</v>
          </cell>
          <cell r="B125" t="str">
            <v>　　　　携程服务费</v>
          </cell>
          <cell r="C125" t="str">
            <v>CI007</v>
          </cell>
          <cell r="D125" t="str">
            <v>其他项目</v>
          </cell>
          <cell r="G125">
            <v>187.73</v>
          </cell>
          <cell r="H125">
            <v>187.73</v>
          </cell>
        </row>
        <row r="126">
          <cell r="A126" t="str">
            <v>6602.09.99</v>
          </cell>
          <cell r="B126" t="str">
            <v>　　　　其他</v>
          </cell>
        </row>
        <row r="127">
          <cell r="A127" t="str">
            <v>6602.09.99</v>
          </cell>
          <cell r="B127" t="str">
            <v>　　　　其他</v>
          </cell>
          <cell r="C127" t="str">
            <v>CI002</v>
          </cell>
          <cell r="D127" t="str">
            <v>旭智富能</v>
          </cell>
        </row>
        <row r="128">
          <cell r="A128" t="str">
            <v>6602.10</v>
          </cell>
          <cell r="B128" t="str">
            <v>　　折旧费</v>
          </cell>
          <cell r="G128">
            <v>40.93</v>
          </cell>
          <cell r="H128">
            <v>40.93</v>
          </cell>
        </row>
        <row r="129">
          <cell r="A129" t="str">
            <v>6602.10.04</v>
          </cell>
          <cell r="B129" t="str">
            <v>　　　　家具设备</v>
          </cell>
          <cell r="G129">
            <v>40.93</v>
          </cell>
          <cell r="H129">
            <v>40.93</v>
          </cell>
        </row>
        <row r="130">
          <cell r="A130" t="str">
            <v>6602.12</v>
          </cell>
          <cell r="B130" t="str">
            <v>　　使用权资产折旧</v>
          </cell>
          <cell r="G130">
            <v>6284.82</v>
          </cell>
          <cell r="H130">
            <v>6284.82</v>
          </cell>
        </row>
        <row r="131">
          <cell r="A131" t="str">
            <v>6602.12.03</v>
          </cell>
          <cell r="B131" t="str">
            <v>　　　　注册地址</v>
          </cell>
          <cell r="G131">
            <v>6284.82</v>
          </cell>
          <cell r="H131">
            <v>6284.82</v>
          </cell>
        </row>
        <row r="132">
          <cell r="A132" t="str">
            <v>6602.12.03.01</v>
          </cell>
          <cell r="B132" t="str">
            <v>　　　　　　旭智私募--前海壹号B座701E</v>
          </cell>
          <cell r="G132">
            <v>6284.82</v>
          </cell>
          <cell r="H132">
            <v>6284.82</v>
          </cell>
        </row>
        <row r="133">
          <cell r="A133" t="str">
            <v>6602.15</v>
          </cell>
          <cell r="B133" t="str">
            <v>　　服务费</v>
          </cell>
        </row>
        <row r="134">
          <cell r="A134" t="str">
            <v>6602.19</v>
          </cell>
          <cell r="B134" t="str">
            <v>　　会费（公司）</v>
          </cell>
        </row>
        <row r="135">
          <cell r="A135" t="str">
            <v>6602.20</v>
          </cell>
          <cell r="B135" t="str">
            <v>　　职工教育经费</v>
          </cell>
        </row>
        <row r="136">
          <cell r="A136" t="str">
            <v>6603</v>
          </cell>
          <cell r="B136" t="str">
            <v>财务费用</v>
          </cell>
          <cell r="G136">
            <v>126.57</v>
          </cell>
          <cell r="H136">
            <v>126.57</v>
          </cell>
        </row>
        <row r="137">
          <cell r="A137" t="str">
            <v>6603.01</v>
          </cell>
          <cell r="B137" t="str">
            <v>　　汇兑损益</v>
          </cell>
          <cell r="G137">
            <v>-0.59</v>
          </cell>
          <cell r="H137">
            <v>-0.59</v>
          </cell>
        </row>
        <row r="138">
          <cell r="A138" t="str">
            <v>6603.02</v>
          </cell>
          <cell r="B138" t="str">
            <v>　　利息费用</v>
          </cell>
          <cell r="G138">
            <v>99.16</v>
          </cell>
          <cell r="H138">
            <v>99.16</v>
          </cell>
        </row>
        <row r="139">
          <cell r="A139" t="str">
            <v>6603.02.03</v>
          </cell>
          <cell r="B139" t="str">
            <v>　　　　注册地址</v>
          </cell>
          <cell r="G139">
            <v>99.16</v>
          </cell>
          <cell r="H139">
            <v>99.16</v>
          </cell>
        </row>
        <row r="140">
          <cell r="A140" t="str">
            <v>6603.02.03.01</v>
          </cell>
          <cell r="B140" t="str">
            <v>　　　　　　旭智私募--前海壹号B座701E</v>
          </cell>
          <cell r="G140">
            <v>99.16</v>
          </cell>
          <cell r="H140">
            <v>99.16</v>
          </cell>
        </row>
        <row r="141">
          <cell r="A141" t="str">
            <v>6603.03</v>
          </cell>
          <cell r="B141" t="str">
            <v>　　银行手续费</v>
          </cell>
          <cell r="G141">
            <v>28</v>
          </cell>
          <cell r="H141">
            <v>28</v>
          </cell>
        </row>
        <row r="142">
          <cell r="A142" t="str">
            <v>6603.04</v>
          </cell>
          <cell r="B142" t="str">
            <v>　　利息收入</v>
          </cell>
        </row>
        <row r="143">
          <cell r="B143" t="str">
            <v>合计</v>
          </cell>
          <cell r="E143">
            <v>5596267.3099999996</v>
          </cell>
          <cell r="F143">
            <v>5596267.3099999996</v>
          </cell>
          <cell r="G143">
            <v>6368722.2400000002</v>
          </cell>
          <cell r="H143">
            <v>6368722.2400000002</v>
          </cell>
        </row>
      </sheetData>
      <sheetData sheetId="8">
        <row r="1">
          <cell r="A1" t="str">
            <v>币别:人民币</v>
          </cell>
          <cell r="B1" t="str">
            <v>账簿:深圳旭智私募股权基金管理有限公司</v>
          </cell>
          <cell r="C1" t="str">
            <v>期间:2025.9 -- 2025.9</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1468587.63</v>
          </cell>
          <cell r="G4">
            <v>4253138.53</v>
          </cell>
          <cell r="H4">
            <v>4629858.7</v>
          </cell>
        </row>
        <row r="5">
          <cell r="A5" t="str">
            <v>1002.23</v>
          </cell>
          <cell r="B5" t="str">
            <v>　　【旭智私募】银行存款账户</v>
          </cell>
          <cell r="E5">
            <v>1468587.63</v>
          </cell>
          <cell r="G5">
            <v>4253138.53</v>
          </cell>
          <cell r="H5">
            <v>4629858.7</v>
          </cell>
        </row>
        <row r="6">
          <cell r="A6" t="str">
            <v>1002.23.01</v>
          </cell>
          <cell r="B6" t="str">
            <v>　　　　农业银行账户</v>
          </cell>
          <cell r="E6">
            <v>1468587.63</v>
          </cell>
          <cell r="G6">
            <v>4253138.53</v>
          </cell>
          <cell r="H6">
            <v>4629858.7</v>
          </cell>
        </row>
        <row r="7">
          <cell r="A7" t="str">
            <v>1002.23.01.01</v>
          </cell>
          <cell r="B7" t="str">
            <v>　　　　　　【旭智私募】农行 人民币基本户 6018</v>
          </cell>
          <cell r="E7">
            <v>1379178.92</v>
          </cell>
          <cell r="G7">
            <v>650410.93000000005</v>
          </cell>
          <cell r="H7">
            <v>1029858.7</v>
          </cell>
        </row>
        <row r="8">
          <cell r="A8" t="str">
            <v>1002.23.01.01.01</v>
          </cell>
          <cell r="B8" t="str">
            <v>　　　　　　　　【旭智私募】农行 人民币基本户 6018 活期存款</v>
          </cell>
          <cell r="E8">
            <v>229178.92</v>
          </cell>
          <cell r="G8">
            <v>650410.93000000005</v>
          </cell>
          <cell r="H8">
            <v>379858.7</v>
          </cell>
        </row>
        <row r="9">
          <cell r="A9" t="str">
            <v>1002.23.01.01.02</v>
          </cell>
          <cell r="B9" t="str">
            <v>　　　　　　　　【旭智私募】农行 人民币基本户 6018 七天通知存款</v>
          </cell>
          <cell r="E9">
            <v>1150000</v>
          </cell>
          <cell r="H9">
            <v>650000</v>
          </cell>
        </row>
        <row r="10">
          <cell r="A10" t="str">
            <v>1002.23.01.02</v>
          </cell>
          <cell r="B10" t="str">
            <v>　　　　　　【旭智私募】农行 人民币资本金账户 6026</v>
          </cell>
          <cell r="E10">
            <v>28.88</v>
          </cell>
        </row>
        <row r="11">
          <cell r="A11" t="str">
            <v>1002.23.01.02.01</v>
          </cell>
          <cell r="B11" t="str">
            <v>　　　　　　　　【旭智私募】农行 人民币资本金账户 6026 活期存款</v>
          </cell>
          <cell r="E11">
            <v>28.88</v>
          </cell>
        </row>
        <row r="12">
          <cell r="A12" t="str">
            <v>1002.23.01.02.02</v>
          </cell>
          <cell r="B12" t="str">
            <v>　　　　　　　　【旭智私募】农行 人民币资本金账户 6026 七天通知存款</v>
          </cell>
        </row>
        <row r="13">
          <cell r="A13" t="str">
            <v>1002.23.01.03</v>
          </cell>
          <cell r="B13" t="str">
            <v>　　　　　　【旭智私募】农行 港元资本金账户 7230</v>
          </cell>
          <cell r="E13">
            <v>684.53</v>
          </cell>
          <cell r="G13">
            <v>1.07</v>
          </cell>
        </row>
        <row r="14">
          <cell r="A14" t="str">
            <v>1002.23.01.04</v>
          </cell>
          <cell r="B14" t="str">
            <v>　　　　　　【旭智私募】农行 人民币结汇待支付账户 7248</v>
          </cell>
          <cell r="E14">
            <v>88695.3</v>
          </cell>
          <cell r="G14">
            <v>3602726.53</v>
          </cell>
          <cell r="H14">
            <v>3600000</v>
          </cell>
        </row>
        <row r="15">
          <cell r="A15" t="str">
            <v>1002.23.01.04.01</v>
          </cell>
          <cell r="B15" t="str">
            <v>　　　　　　　　【旭智私募】农行 人民币结汇待支付账户 7248 活期存款</v>
          </cell>
          <cell r="E15">
            <v>88695.3</v>
          </cell>
          <cell r="G15">
            <v>3602726.53</v>
          </cell>
          <cell r="H15">
            <v>3600000</v>
          </cell>
        </row>
        <row r="16">
          <cell r="A16" t="str">
            <v>1002.23.01.04.02</v>
          </cell>
          <cell r="B16" t="str">
            <v>　　　　　　　　【旭智私募】农行 人民币结汇待支付账户 7248 定期存款</v>
          </cell>
        </row>
        <row r="17">
          <cell r="A17" t="str">
            <v>1101</v>
          </cell>
          <cell r="B17" t="str">
            <v>交易性金融资产</v>
          </cell>
          <cell r="E17">
            <v>3600000</v>
          </cell>
          <cell r="G17">
            <v>3600000</v>
          </cell>
          <cell r="H17">
            <v>3600000</v>
          </cell>
        </row>
        <row r="18">
          <cell r="A18" t="str">
            <v>1101.01</v>
          </cell>
          <cell r="B18" t="str">
            <v>　　投资成本</v>
          </cell>
          <cell r="E18">
            <v>3600000</v>
          </cell>
          <cell r="G18">
            <v>3600000</v>
          </cell>
          <cell r="H18">
            <v>3600000</v>
          </cell>
        </row>
        <row r="19">
          <cell r="A19" t="str">
            <v>1101.01.03</v>
          </cell>
          <cell r="B19" t="str">
            <v>　　　　银行理财</v>
          </cell>
          <cell r="E19">
            <v>3600000</v>
          </cell>
          <cell r="G19">
            <v>3600000</v>
          </cell>
          <cell r="H19">
            <v>3600000</v>
          </cell>
        </row>
        <row r="20">
          <cell r="A20" t="str">
            <v>1123</v>
          </cell>
          <cell r="B20" t="str">
            <v>预付账款</v>
          </cell>
          <cell r="E20">
            <v>10000</v>
          </cell>
        </row>
        <row r="21">
          <cell r="A21" t="str">
            <v>1123.01</v>
          </cell>
          <cell r="B21" t="str">
            <v>　　单位</v>
          </cell>
          <cell r="E21">
            <v>10000</v>
          </cell>
        </row>
        <row r="22">
          <cell r="A22" t="str">
            <v>1123.01</v>
          </cell>
          <cell r="B22" t="str">
            <v>　　单位</v>
          </cell>
          <cell r="C22" t="str">
            <v>SU007002</v>
          </cell>
          <cell r="D22" t="str">
            <v>中国再生能源学会</v>
          </cell>
          <cell r="E22">
            <v>10000</v>
          </cell>
        </row>
        <row r="23">
          <cell r="A23" t="str">
            <v>1221</v>
          </cell>
          <cell r="B23" t="str">
            <v>其他应收款</v>
          </cell>
          <cell r="E23">
            <v>13000</v>
          </cell>
        </row>
        <row r="24">
          <cell r="A24" t="str">
            <v>1221.01</v>
          </cell>
          <cell r="B24" t="str">
            <v>　　单位</v>
          </cell>
          <cell r="E24">
            <v>13000</v>
          </cell>
        </row>
        <row r="25">
          <cell r="A25" t="str">
            <v>1221.01</v>
          </cell>
          <cell r="B25" t="str">
            <v>　　单位</v>
          </cell>
          <cell r="C25" t="str">
            <v>CU006005</v>
          </cell>
          <cell r="D25" t="str">
            <v>长峻物业管理(深圳)有限公司</v>
          </cell>
          <cell r="E25">
            <v>13000</v>
          </cell>
        </row>
        <row r="26">
          <cell r="A26" t="str">
            <v>1601</v>
          </cell>
          <cell r="B26" t="str">
            <v>固定资产</v>
          </cell>
          <cell r="E26">
            <v>2585</v>
          </cell>
        </row>
        <row r="27">
          <cell r="A27" t="str">
            <v>1601.04</v>
          </cell>
          <cell r="B27" t="str">
            <v>　　家具设备</v>
          </cell>
          <cell r="E27">
            <v>2585</v>
          </cell>
        </row>
        <row r="28">
          <cell r="A28" t="str">
            <v>1602</v>
          </cell>
          <cell r="B28" t="str">
            <v>累计折旧</v>
          </cell>
          <cell r="F28">
            <v>573.02</v>
          </cell>
          <cell r="H28">
            <v>40.93</v>
          </cell>
        </row>
        <row r="29">
          <cell r="A29" t="str">
            <v>1602.04</v>
          </cell>
          <cell r="B29" t="str">
            <v>　　家具设备</v>
          </cell>
          <cell r="F29">
            <v>573.02</v>
          </cell>
          <cell r="H29">
            <v>40.93</v>
          </cell>
        </row>
        <row r="30">
          <cell r="A30" t="str">
            <v>1641</v>
          </cell>
          <cell r="B30" t="str">
            <v>使用权资产</v>
          </cell>
          <cell r="E30">
            <v>125696.44</v>
          </cell>
        </row>
        <row r="31">
          <cell r="A31" t="str">
            <v>1641.03</v>
          </cell>
          <cell r="B31" t="str">
            <v>　　注册地址</v>
          </cell>
          <cell r="E31">
            <v>125696.44</v>
          </cell>
        </row>
        <row r="32">
          <cell r="A32" t="str">
            <v>1641.03.01</v>
          </cell>
          <cell r="B32" t="str">
            <v>　　　　旭智私募--前海壹号B座701E</v>
          </cell>
          <cell r="E32">
            <v>125696.44</v>
          </cell>
        </row>
        <row r="33">
          <cell r="A33" t="str">
            <v>1642</v>
          </cell>
          <cell r="B33" t="str">
            <v>使用权资产累计折旧</v>
          </cell>
          <cell r="F33">
            <v>100557.13</v>
          </cell>
          <cell r="H33">
            <v>6284.82</v>
          </cell>
        </row>
        <row r="34">
          <cell r="A34" t="str">
            <v>1642.03</v>
          </cell>
          <cell r="B34" t="str">
            <v>　　注册地址</v>
          </cell>
          <cell r="F34">
            <v>100557.13</v>
          </cell>
          <cell r="H34">
            <v>6284.82</v>
          </cell>
        </row>
        <row r="35">
          <cell r="A35" t="str">
            <v>1642.03.01</v>
          </cell>
          <cell r="B35" t="str">
            <v>　　　　旭智私募--前海壹号B座701E</v>
          </cell>
          <cell r="F35">
            <v>100557.13</v>
          </cell>
          <cell r="H35">
            <v>6284.82</v>
          </cell>
        </row>
        <row r="36">
          <cell r="A36" t="str">
            <v>2211</v>
          </cell>
          <cell r="B36" t="str">
            <v>应付职工薪酬</v>
          </cell>
          <cell r="G36">
            <v>231997.94</v>
          </cell>
          <cell r="H36">
            <v>231997.94</v>
          </cell>
        </row>
        <row r="37">
          <cell r="A37" t="str">
            <v>2211.01</v>
          </cell>
          <cell r="B37" t="str">
            <v>　　职工工资</v>
          </cell>
          <cell r="G37">
            <v>197873.08</v>
          </cell>
          <cell r="H37">
            <v>197873.08</v>
          </cell>
        </row>
        <row r="38">
          <cell r="A38" t="str">
            <v>2211.02</v>
          </cell>
          <cell r="B38" t="str">
            <v>　　职工奖金</v>
          </cell>
        </row>
        <row r="39">
          <cell r="A39" t="str">
            <v>2211.05</v>
          </cell>
          <cell r="B39" t="str">
            <v>　　社会保险费</v>
          </cell>
          <cell r="G39">
            <v>13661.26</v>
          </cell>
          <cell r="H39">
            <v>13661.26</v>
          </cell>
        </row>
        <row r="40">
          <cell r="A40" t="str">
            <v>2211.06</v>
          </cell>
          <cell r="B40" t="str">
            <v>　　住房公积金</v>
          </cell>
          <cell r="G40">
            <v>20463.599999999999</v>
          </cell>
          <cell r="H40">
            <v>20463.599999999999</v>
          </cell>
        </row>
        <row r="41">
          <cell r="A41" t="str">
            <v>2211.08</v>
          </cell>
          <cell r="B41" t="str">
            <v>　　职工教育经费</v>
          </cell>
        </row>
        <row r="42">
          <cell r="A42" t="str">
            <v>2221</v>
          </cell>
          <cell r="B42" t="str">
            <v>应交税费</v>
          </cell>
          <cell r="F42">
            <v>33488.58</v>
          </cell>
          <cell r="G42">
            <v>47827.83</v>
          </cell>
          <cell r="H42">
            <v>54712.92</v>
          </cell>
        </row>
        <row r="43">
          <cell r="A43" t="str">
            <v>2221.01</v>
          </cell>
          <cell r="B43" t="str">
            <v>　　应交增值税</v>
          </cell>
          <cell r="F43">
            <v>-9975.74</v>
          </cell>
          <cell r="G43">
            <v>1552.24</v>
          </cell>
          <cell r="H43">
            <v>135.01</v>
          </cell>
        </row>
        <row r="44">
          <cell r="A44" t="str">
            <v>2221.01.01</v>
          </cell>
          <cell r="B44" t="str">
            <v>　　　　销项税额</v>
          </cell>
          <cell r="F44">
            <v>558.04999999999995</v>
          </cell>
          <cell r="H44">
            <v>135.01</v>
          </cell>
        </row>
        <row r="45">
          <cell r="A45" t="str">
            <v>2221.01.03</v>
          </cell>
          <cell r="B45" t="str">
            <v>　　　　进项税额</v>
          </cell>
          <cell r="F45">
            <v>-10533.79</v>
          </cell>
          <cell r="G45">
            <v>1552.24</v>
          </cell>
        </row>
        <row r="46">
          <cell r="A46" t="str">
            <v>2221.03</v>
          </cell>
          <cell r="B46" t="str">
            <v>　　暂估进项税额</v>
          </cell>
          <cell r="F46">
            <v>-1336.92</v>
          </cell>
          <cell r="G46">
            <v>1156.8900000000001</v>
          </cell>
          <cell r="H46">
            <v>1258.3900000000001</v>
          </cell>
        </row>
        <row r="47">
          <cell r="A47" t="str">
            <v>2221.06</v>
          </cell>
          <cell r="B47" t="str">
            <v>　　待认证进项税额</v>
          </cell>
          <cell r="G47">
            <v>317.45999999999998</v>
          </cell>
          <cell r="H47">
            <v>317.45999999999998</v>
          </cell>
        </row>
        <row r="48">
          <cell r="A48" t="str">
            <v>2221.07</v>
          </cell>
          <cell r="B48" t="str">
            <v>　　待抵扣进项税额</v>
          </cell>
        </row>
        <row r="49">
          <cell r="A49" t="str">
            <v>2221.16</v>
          </cell>
          <cell r="B49" t="str">
            <v>　　应交个人所得税</v>
          </cell>
          <cell r="F49">
            <v>44801.24</v>
          </cell>
          <cell r="G49">
            <v>44801.24</v>
          </cell>
          <cell r="H49">
            <v>53002.06</v>
          </cell>
        </row>
        <row r="50">
          <cell r="A50" t="str">
            <v>2241</v>
          </cell>
          <cell r="B50" t="str">
            <v>其他应付款</v>
          </cell>
          <cell r="F50">
            <v>40926.69</v>
          </cell>
          <cell r="G50">
            <v>50932.29</v>
          </cell>
          <cell r="H50">
            <v>44572.44</v>
          </cell>
        </row>
        <row r="51">
          <cell r="A51" t="str">
            <v>2241.01</v>
          </cell>
          <cell r="B51" t="str">
            <v>　　单位</v>
          </cell>
          <cell r="F51">
            <v>40093.83</v>
          </cell>
          <cell r="G51">
            <v>47960.43</v>
          </cell>
          <cell r="H51">
            <v>41600.58</v>
          </cell>
        </row>
        <row r="52">
          <cell r="A52" t="str">
            <v>2241.01</v>
          </cell>
          <cell r="B52" t="str">
            <v>　　单位</v>
          </cell>
          <cell r="C52" t="str">
            <v>SU005004</v>
          </cell>
          <cell r="D52" t="str">
            <v>上海爱文人才服务有限公司</v>
          </cell>
          <cell r="G52">
            <v>1200</v>
          </cell>
          <cell r="H52">
            <v>1200</v>
          </cell>
        </row>
        <row r="53">
          <cell r="A53" t="str">
            <v>2241.01</v>
          </cell>
          <cell r="B53" t="str">
            <v>　　单位</v>
          </cell>
          <cell r="C53" t="str">
            <v>SU005007</v>
          </cell>
          <cell r="D53" t="str">
            <v>普华永道中天会计师事务所（特殊普通合伙）</v>
          </cell>
        </row>
        <row r="54">
          <cell r="A54" t="str">
            <v>2241.01</v>
          </cell>
          <cell r="B54" t="str">
            <v>　　单位</v>
          </cell>
          <cell r="C54" t="str">
            <v>SU005044</v>
          </cell>
          <cell r="D54" t="str">
            <v>旭智咨询管理（深圳）有限责任公司</v>
          </cell>
        </row>
        <row r="55">
          <cell r="A55" t="str">
            <v>2241.01</v>
          </cell>
          <cell r="B55" t="str">
            <v>　　单位</v>
          </cell>
          <cell r="C55" t="str">
            <v>SU006012</v>
          </cell>
          <cell r="D55" t="str">
            <v>上海携程宏睿国际旅行社有限公司</v>
          </cell>
          <cell r="F55">
            <v>40093.83</v>
          </cell>
          <cell r="G55">
            <v>40093.83</v>
          </cell>
          <cell r="H55">
            <v>33733.980000000003</v>
          </cell>
        </row>
        <row r="56">
          <cell r="A56" t="str">
            <v>2241.01</v>
          </cell>
          <cell r="B56" t="str">
            <v>　　单位</v>
          </cell>
          <cell r="C56" t="str">
            <v>SU006025</v>
          </cell>
          <cell r="D56" t="str">
            <v>全景求是管理顾问（北京）有限公司</v>
          </cell>
        </row>
        <row r="57">
          <cell r="A57" t="str">
            <v>2241.01</v>
          </cell>
          <cell r="B57" t="str">
            <v>　　单位</v>
          </cell>
          <cell r="C57" t="str">
            <v>SU007003</v>
          </cell>
          <cell r="D57" t="str">
            <v>长峻物业管理（深圳）有限公司</v>
          </cell>
          <cell r="G57">
            <v>6666.6</v>
          </cell>
          <cell r="H57">
            <v>6666.6</v>
          </cell>
        </row>
        <row r="58">
          <cell r="A58" t="str">
            <v>2241.01</v>
          </cell>
          <cell r="B58" t="str">
            <v>　　单位</v>
          </cell>
          <cell r="C58" t="str">
            <v>SU007005</v>
          </cell>
          <cell r="D58" t="str">
            <v>深圳前海百丰外企咨询服务有限公司</v>
          </cell>
        </row>
        <row r="59">
          <cell r="A59" t="str">
            <v>2241.02</v>
          </cell>
          <cell r="B59" t="str">
            <v>　　个人</v>
          </cell>
          <cell r="F59">
            <v>832.86</v>
          </cell>
          <cell r="G59">
            <v>2971.86</v>
          </cell>
          <cell r="H59">
            <v>2971.86</v>
          </cell>
        </row>
        <row r="60">
          <cell r="A60" t="str">
            <v>2241.02</v>
          </cell>
          <cell r="B60" t="str">
            <v>　　个人</v>
          </cell>
          <cell r="C60" t="str">
            <v>SP005001</v>
          </cell>
          <cell r="D60" t="str">
            <v>冯冠邦</v>
          </cell>
          <cell r="F60">
            <v>832.86</v>
          </cell>
          <cell r="G60">
            <v>168.61</v>
          </cell>
          <cell r="H60">
            <v>168.61</v>
          </cell>
        </row>
        <row r="61">
          <cell r="A61" t="str">
            <v>2241.02</v>
          </cell>
          <cell r="B61" t="str">
            <v>　　个人</v>
          </cell>
          <cell r="C61" t="str">
            <v>SP005006</v>
          </cell>
          <cell r="D61" t="str">
            <v>张歆</v>
          </cell>
        </row>
        <row r="62">
          <cell r="A62" t="str">
            <v>2241.02</v>
          </cell>
          <cell r="B62" t="str">
            <v>　　个人</v>
          </cell>
          <cell r="C62" t="str">
            <v>SP005011</v>
          </cell>
          <cell r="D62" t="str">
            <v>郭宗林</v>
          </cell>
          <cell r="G62">
            <v>2079.5500000000002</v>
          </cell>
          <cell r="H62">
            <v>2079.5500000000002</v>
          </cell>
        </row>
        <row r="63">
          <cell r="A63" t="str">
            <v>2241.02</v>
          </cell>
          <cell r="B63" t="str">
            <v>　　个人</v>
          </cell>
          <cell r="C63" t="str">
            <v>SP006002</v>
          </cell>
          <cell r="D63" t="str">
            <v>陈灿</v>
          </cell>
        </row>
        <row r="64">
          <cell r="A64" t="str">
            <v>2241.02</v>
          </cell>
          <cell r="B64" t="str">
            <v>　　个人</v>
          </cell>
          <cell r="C64" t="str">
            <v>SP006009</v>
          </cell>
          <cell r="D64" t="str">
            <v>林秋蝶</v>
          </cell>
        </row>
        <row r="65">
          <cell r="A65" t="str">
            <v>2241.02</v>
          </cell>
          <cell r="B65" t="str">
            <v>　　个人</v>
          </cell>
          <cell r="C65" t="str">
            <v>SP006010</v>
          </cell>
          <cell r="D65" t="str">
            <v>陈广华</v>
          </cell>
          <cell r="G65">
            <v>723.7</v>
          </cell>
          <cell r="H65">
            <v>723.7</v>
          </cell>
        </row>
        <row r="66">
          <cell r="A66" t="str">
            <v>2241.02</v>
          </cell>
          <cell r="B66" t="str">
            <v>　　个人</v>
          </cell>
          <cell r="C66" t="str">
            <v>SP006011</v>
          </cell>
          <cell r="D66" t="str">
            <v>李敏宽</v>
          </cell>
        </row>
        <row r="67">
          <cell r="A67" t="str">
            <v>2601</v>
          </cell>
          <cell r="B67" t="str">
            <v>租赁负债</v>
          </cell>
          <cell r="F67">
            <v>25197.64</v>
          </cell>
          <cell r="G67">
            <v>6349.14</v>
          </cell>
          <cell r="H67">
            <v>79.45</v>
          </cell>
        </row>
        <row r="68">
          <cell r="A68" t="str">
            <v>2601.01</v>
          </cell>
          <cell r="B68" t="str">
            <v>　　租赁付款额</v>
          </cell>
          <cell r="F68">
            <v>25396.560000000001</v>
          </cell>
          <cell r="G68">
            <v>6349.14</v>
          </cell>
        </row>
        <row r="69">
          <cell r="A69" t="str">
            <v>2601.01.03</v>
          </cell>
          <cell r="B69" t="str">
            <v>　　　　注册地址</v>
          </cell>
          <cell r="F69">
            <v>25396.560000000001</v>
          </cell>
          <cell r="G69">
            <v>6349.14</v>
          </cell>
        </row>
        <row r="70">
          <cell r="A70" t="str">
            <v>2601.01.03.01</v>
          </cell>
          <cell r="B70" t="str">
            <v>　　　　　　旭智私募--前海壹号B座701E</v>
          </cell>
          <cell r="F70">
            <v>25396.560000000001</v>
          </cell>
          <cell r="G70">
            <v>6349.14</v>
          </cell>
        </row>
        <row r="71">
          <cell r="A71" t="str">
            <v>2601.02</v>
          </cell>
          <cell r="B71" t="str">
            <v>　　未确认融资费用</v>
          </cell>
          <cell r="F71">
            <v>-198.92</v>
          </cell>
          <cell r="H71">
            <v>79.45</v>
          </cell>
        </row>
        <row r="72">
          <cell r="A72" t="str">
            <v>2601.02.03</v>
          </cell>
          <cell r="B72" t="str">
            <v>　　　　注册地址</v>
          </cell>
          <cell r="F72">
            <v>-198.92</v>
          </cell>
          <cell r="H72">
            <v>79.45</v>
          </cell>
        </row>
        <row r="73">
          <cell r="A73" t="str">
            <v>2601.02.03.01</v>
          </cell>
          <cell r="B73" t="str">
            <v>　　　　　　旭智私募--前海壹号B座701E</v>
          </cell>
          <cell r="F73">
            <v>-198.92</v>
          </cell>
          <cell r="H73">
            <v>79.45</v>
          </cell>
        </row>
        <row r="74">
          <cell r="A74" t="str">
            <v>4001</v>
          </cell>
          <cell r="B74" t="str">
            <v>实收资本（股本）</v>
          </cell>
          <cell r="F74">
            <v>10000000</v>
          </cell>
        </row>
        <row r="75">
          <cell r="A75" t="str">
            <v>4001.11</v>
          </cell>
          <cell r="B75" t="str">
            <v>　　旭智资本（香港）有限公司</v>
          </cell>
          <cell r="F75">
            <v>4900000</v>
          </cell>
        </row>
        <row r="76">
          <cell r="A76" t="str">
            <v>4001.20</v>
          </cell>
          <cell r="B76" t="str">
            <v>　　冯冠邦</v>
          </cell>
          <cell r="F76">
            <v>5100000</v>
          </cell>
        </row>
        <row r="77">
          <cell r="A77" t="str">
            <v>4103</v>
          </cell>
          <cell r="B77" t="str">
            <v>本年利润</v>
          </cell>
          <cell r="F77">
            <v>-2884607.62</v>
          </cell>
          <cell r="G77">
            <v>379551.69</v>
          </cell>
          <cell r="H77">
            <v>2250.2199999999998</v>
          </cell>
        </row>
        <row r="78">
          <cell r="A78" t="str">
            <v>4104</v>
          </cell>
          <cell r="B78" t="str">
            <v>利润分配</v>
          </cell>
          <cell r="F78">
            <v>-2096266.37</v>
          </cell>
        </row>
        <row r="79">
          <cell r="A79" t="str">
            <v>4104.07</v>
          </cell>
          <cell r="B79" t="str">
            <v>　　未分配利润</v>
          </cell>
          <cell r="F79">
            <v>-2096266.37</v>
          </cell>
        </row>
        <row r="80">
          <cell r="A80" t="str">
            <v>6111</v>
          </cell>
          <cell r="B80" t="str">
            <v>投资收益</v>
          </cell>
          <cell r="G80">
            <v>2250.2199999999998</v>
          </cell>
          <cell r="H80">
            <v>2250.2199999999998</v>
          </cell>
        </row>
        <row r="81">
          <cell r="A81" t="str">
            <v>6115</v>
          </cell>
          <cell r="B81" t="str">
            <v>其他收益</v>
          </cell>
        </row>
        <row r="82">
          <cell r="A82" t="str">
            <v>6115.02</v>
          </cell>
          <cell r="B82" t="str">
            <v>　　个税手续费返还</v>
          </cell>
        </row>
        <row r="83">
          <cell r="A83" t="str">
            <v>6602</v>
          </cell>
          <cell r="B83" t="str">
            <v>管理费用</v>
          </cell>
          <cell r="G83">
            <v>380200.54</v>
          </cell>
          <cell r="H83">
            <v>380200.54</v>
          </cell>
        </row>
        <row r="84">
          <cell r="A84" t="str">
            <v>6602.01</v>
          </cell>
          <cell r="B84" t="str">
            <v>　　工资薪金</v>
          </cell>
          <cell r="G84">
            <v>285000</v>
          </cell>
          <cell r="H84">
            <v>285000</v>
          </cell>
        </row>
        <row r="85">
          <cell r="A85" t="str">
            <v>6602.01.01</v>
          </cell>
          <cell r="B85" t="str">
            <v>　　　　基本工资（专业）</v>
          </cell>
          <cell r="G85">
            <v>285000</v>
          </cell>
          <cell r="H85">
            <v>285000</v>
          </cell>
        </row>
        <row r="86">
          <cell r="A86" t="str">
            <v>6602.03</v>
          </cell>
          <cell r="B86" t="str">
            <v>　　社保公积金</v>
          </cell>
          <cell r="G86">
            <v>52102.23</v>
          </cell>
          <cell r="H86">
            <v>52102.23</v>
          </cell>
        </row>
        <row r="87">
          <cell r="A87" t="str">
            <v>6602.03.01</v>
          </cell>
          <cell r="B87" t="str">
            <v>　　　　员工社保福利</v>
          </cell>
          <cell r="G87">
            <v>31638.63</v>
          </cell>
          <cell r="H87">
            <v>31638.63</v>
          </cell>
        </row>
        <row r="88">
          <cell r="A88" t="str">
            <v>6602.03.02</v>
          </cell>
          <cell r="B88" t="str">
            <v>　　　　员工公积金福利</v>
          </cell>
          <cell r="G88">
            <v>20463.599999999999</v>
          </cell>
          <cell r="H88">
            <v>20463.599999999999</v>
          </cell>
        </row>
        <row r="89">
          <cell r="A89" t="str">
            <v>6602.04</v>
          </cell>
          <cell r="B89" t="str">
            <v>　　咨询及专业服务费</v>
          </cell>
          <cell r="G89">
            <v>1200</v>
          </cell>
          <cell r="H89">
            <v>1200</v>
          </cell>
        </row>
        <row r="90">
          <cell r="A90" t="str">
            <v>6602.04.02</v>
          </cell>
          <cell r="B90" t="str">
            <v>　　　　审计服务费</v>
          </cell>
        </row>
        <row r="91">
          <cell r="A91" t="str">
            <v>6602.04.07</v>
          </cell>
          <cell r="B91" t="str">
            <v>　　　　人力资源服务费</v>
          </cell>
          <cell r="G91">
            <v>1200</v>
          </cell>
          <cell r="H91">
            <v>1200</v>
          </cell>
        </row>
        <row r="92">
          <cell r="A92" t="str">
            <v>6602.04.08</v>
          </cell>
          <cell r="B92" t="str">
            <v>　　　　背景调查费</v>
          </cell>
        </row>
        <row r="93">
          <cell r="A93" t="str">
            <v>6602.06</v>
          </cell>
          <cell r="B93" t="str">
            <v>　　业务招待费</v>
          </cell>
        </row>
        <row r="94">
          <cell r="A94" t="str">
            <v>6602.06</v>
          </cell>
          <cell r="B94" t="str">
            <v>　　业务招待费</v>
          </cell>
          <cell r="C94" t="str">
            <v>CI002</v>
          </cell>
          <cell r="D94" t="str">
            <v>旭智富能</v>
          </cell>
        </row>
        <row r="95">
          <cell r="A95" t="str">
            <v>6602.08</v>
          </cell>
          <cell r="B95" t="str">
            <v>　　事务费用</v>
          </cell>
          <cell r="G95">
            <v>55.9</v>
          </cell>
          <cell r="H95">
            <v>55.9</v>
          </cell>
        </row>
        <row r="96">
          <cell r="A96" t="str">
            <v>6602.08.01</v>
          </cell>
          <cell r="B96" t="str">
            <v>　　　　通信费</v>
          </cell>
          <cell r="G96">
            <v>12.9</v>
          </cell>
          <cell r="H96">
            <v>12.9</v>
          </cell>
        </row>
        <row r="97">
          <cell r="A97" t="str">
            <v>6602.08.01</v>
          </cell>
          <cell r="B97" t="str">
            <v>　　　　通信费</v>
          </cell>
          <cell r="C97" t="str">
            <v>CI005</v>
          </cell>
          <cell r="D97" t="str">
            <v>旭智私募</v>
          </cell>
          <cell r="G97">
            <v>12.9</v>
          </cell>
          <cell r="H97">
            <v>12.9</v>
          </cell>
        </row>
        <row r="98">
          <cell r="A98" t="str">
            <v>6602.08.03</v>
          </cell>
          <cell r="B98" t="str">
            <v>　　　　办公用品</v>
          </cell>
        </row>
        <row r="99">
          <cell r="A99" t="str">
            <v>6602.08.03</v>
          </cell>
          <cell r="B99" t="str">
            <v>　　　　办公用品</v>
          </cell>
          <cell r="C99" t="str">
            <v>CI005</v>
          </cell>
          <cell r="D99" t="str">
            <v>旭智私募</v>
          </cell>
        </row>
        <row r="100">
          <cell r="A100" t="str">
            <v>6602.08.05</v>
          </cell>
          <cell r="B100" t="str">
            <v>　　　　邮费/邮递费</v>
          </cell>
          <cell r="G100">
            <v>43</v>
          </cell>
          <cell r="H100">
            <v>43</v>
          </cell>
        </row>
        <row r="101">
          <cell r="A101" t="str">
            <v>6602.08.05</v>
          </cell>
          <cell r="B101" t="str">
            <v>　　　　邮费/邮递费</v>
          </cell>
          <cell r="C101" t="str">
            <v>CI005</v>
          </cell>
          <cell r="D101" t="str">
            <v>旭智私募</v>
          </cell>
          <cell r="G101">
            <v>43</v>
          </cell>
          <cell r="H101">
            <v>43</v>
          </cell>
        </row>
        <row r="102">
          <cell r="A102" t="str">
            <v>6602.09</v>
          </cell>
          <cell r="B102" t="str">
            <v>　　差旅费</v>
          </cell>
          <cell r="G102">
            <v>35516.660000000003</v>
          </cell>
          <cell r="H102">
            <v>35516.660000000003</v>
          </cell>
        </row>
        <row r="103">
          <cell r="A103" t="str">
            <v>6602.09.01</v>
          </cell>
          <cell r="B103" t="str">
            <v>　　　　住宿费</v>
          </cell>
          <cell r="G103">
            <v>14292.43</v>
          </cell>
          <cell r="H103">
            <v>14292.43</v>
          </cell>
        </row>
        <row r="104">
          <cell r="A104" t="str">
            <v>6602.09.01</v>
          </cell>
          <cell r="B104" t="str">
            <v>　　　　住宿费</v>
          </cell>
          <cell r="C104" t="str">
            <v>CI002</v>
          </cell>
          <cell r="D104" t="str">
            <v>旭智富能</v>
          </cell>
          <cell r="G104">
            <v>9449.0400000000009</v>
          </cell>
          <cell r="H104">
            <v>9449.0400000000009</v>
          </cell>
        </row>
        <row r="105">
          <cell r="A105" t="str">
            <v>6602.09.01</v>
          </cell>
          <cell r="B105" t="str">
            <v>　　　　住宿费</v>
          </cell>
          <cell r="C105" t="str">
            <v>CI005</v>
          </cell>
          <cell r="D105" t="str">
            <v>旭智私募</v>
          </cell>
          <cell r="G105">
            <v>1694.34</v>
          </cell>
          <cell r="H105">
            <v>1694.34</v>
          </cell>
        </row>
        <row r="106">
          <cell r="A106" t="str">
            <v>6602.09.01</v>
          </cell>
          <cell r="B106" t="str">
            <v>　　　　住宿费</v>
          </cell>
          <cell r="C106" t="str">
            <v>CI007</v>
          </cell>
          <cell r="D106" t="str">
            <v>其他项目</v>
          </cell>
          <cell r="G106">
            <v>3149.05</v>
          </cell>
          <cell r="H106">
            <v>3149.05</v>
          </cell>
        </row>
        <row r="107">
          <cell r="A107" t="str">
            <v>6602.09.02</v>
          </cell>
          <cell r="B107" t="str">
            <v>　　　　伙食费</v>
          </cell>
          <cell r="G107">
            <v>772.9</v>
          </cell>
          <cell r="H107">
            <v>772.9</v>
          </cell>
        </row>
        <row r="108">
          <cell r="A108" t="str">
            <v>6602.09.02</v>
          </cell>
          <cell r="B108" t="str">
            <v>　　　　伙食费</v>
          </cell>
          <cell r="C108" t="str">
            <v>CI002</v>
          </cell>
          <cell r="D108" t="str">
            <v>旭智富能</v>
          </cell>
          <cell r="G108">
            <v>683.4</v>
          </cell>
          <cell r="H108">
            <v>683.4</v>
          </cell>
        </row>
        <row r="109">
          <cell r="A109" t="str">
            <v>6602.09.02</v>
          </cell>
          <cell r="B109" t="str">
            <v>　　　　伙食费</v>
          </cell>
          <cell r="C109" t="str">
            <v>CI005</v>
          </cell>
          <cell r="D109" t="str">
            <v>旭智私募</v>
          </cell>
          <cell r="G109">
            <v>89.5</v>
          </cell>
          <cell r="H109">
            <v>89.5</v>
          </cell>
        </row>
        <row r="110">
          <cell r="A110" t="str">
            <v>6602.09.02</v>
          </cell>
          <cell r="B110" t="str">
            <v>　　　　伙食费</v>
          </cell>
          <cell r="C110" t="str">
            <v>CI007</v>
          </cell>
          <cell r="D110" t="str">
            <v>其他项目</v>
          </cell>
        </row>
        <row r="111">
          <cell r="A111" t="str">
            <v>6602.09.03</v>
          </cell>
          <cell r="B111" t="str">
            <v>　　　　地面交通费</v>
          </cell>
          <cell r="G111">
            <v>5135.4799999999996</v>
          </cell>
          <cell r="H111">
            <v>5135.4799999999996</v>
          </cell>
        </row>
        <row r="112">
          <cell r="A112" t="str">
            <v>6602.09.03</v>
          </cell>
          <cell r="B112" t="str">
            <v>　　　　地面交通费</v>
          </cell>
          <cell r="C112" t="str">
            <v>CI002</v>
          </cell>
          <cell r="D112" t="str">
            <v>旭智富能</v>
          </cell>
          <cell r="G112">
            <v>3771.38</v>
          </cell>
          <cell r="H112">
            <v>3771.38</v>
          </cell>
        </row>
        <row r="113">
          <cell r="A113" t="str">
            <v>6602.09.03</v>
          </cell>
          <cell r="B113" t="str">
            <v>　　　　地面交通费</v>
          </cell>
          <cell r="C113" t="str">
            <v>CI005</v>
          </cell>
          <cell r="D113" t="str">
            <v>旭智私募</v>
          </cell>
          <cell r="G113">
            <v>839.33</v>
          </cell>
          <cell r="H113">
            <v>839.33</v>
          </cell>
        </row>
        <row r="114">
          <cell r="A114" t="str">
            <v>6602.09.03</v>
          </cell>
          <cell r="B114" t="str">
            <v>　　　　地面交通费</v>
          </cell>
          <cell r="C114" t="str">
            <v>CI007</v>
          </cell>
          <cell r="D114" t="str">
            <v>其他项目</v>
          </cell>
          <cell r="G114">
            <v>524.77</v>
          </cell>
          <cell r="H114">
            <v>524.77</v>
          </cell>
        </row>
        <row r="115">
          <cell r="A115" t="str">
            <v>6602.09.04</v>
          </cell>
          <cell r="B115" t="str">
            <v>　　　　空中交通费</v>
          </cell>
          <cell r="G115">
            <v>14780</v>
          </cell>
          <cell r="H115">
            <v>14780</v>
          </cell>
        </row>
        <row r="116">
          <cell r="A116" t="str">
            <v>6602.09.04</v>
          </cell>
          <cell r="B116" t="str">
            <v>　　　　空中交通费</v>
          </cell>
          <cell r="C116" t="str">
            <v>CI002</v>
          </cell>
          <cell r="D116" t="str">
            <v>旭智富能</v>
          </cell>
          <cell r="G116">
            <v>7490</v>
          </cell>
          <cell r="H116">
            <v>7490</v>
          </cell>
        </row>
        <row r="117">
          <cell r="A117" t="str">
            <v>6602.09.04</v>
          </cell>
          <cell r="B117" t="str">
            <v>　　　　空中交通费</v>
          </cell>
          <cell r="C117" t="str">
            <v>CI005</v>
          </cell>
          <cell r="D117" t="str">
            <v>旭智私募</v>
          </cell>
          <cell r="G117">
            <v>1740</v>
          </cell>
          <cell r="H117">
            <v>1740</v>
          </cell>
        </row>
        <row r="118">
          <cell r="A118" t="str">
            <v>6602.09.04</v>
          </cell>
          <cell r="B118" t="str">
            <v>　　　　空中交通费</v>
          </cell>
          <cell r="C118" t="str">
            <v>CI007</v>
          </cell>
          <cell r="D118" t="str">
            <v>其他项目</v>
          </cell>
          <cell r="G118">
            <v>5550</v>
          </cell>
          <cell r="H118">
            <v>5550</v>
          </cell>
        </row>
        <row r="119">
          <cell r="A119" t="str">
            <v>6602.09.08</v>
          </cell>
          <cell r="B119" t="str">
            <v>　　　　退改费用（机票/火车等）</v>
          </cell>
        </row>
        <row r="120">
          <cell r="A120" t="str">
            <v>6602.09.08</v>
          </cell>
          <cell r="B120" t="str">
            <v>　　　　退改费用（机票/火车等）</v>
          </cell>
          <cell r="C120" t="str">
            <v>CI002</v>
          </cell>
          <cell r="D120" t="str">
            <v>旭智富能</v>
          </cell>
        </row>
        <row r="121">
          <cell r="A121" t="str">
            <v>6602.09.08</v>
          </cell>
          <cell r="B121" t="str">
            <v>　　　　退改费用（机票/火车等）</v>
          </cell>
          <cell r="C121" t="str">
            <v>CI005</v>
          </cell>
          <cell r="D121" t="str">
            <v>旭智私募</v>
          </cell>
        </row>
        <row r="122">
          <cell r="A122" t="str">
            <v>6602.09.09</v>
          </cell>
          <cell r="B122" t="str">
            <v>　　　　携程服务费</v>
          </cell>
          <cell r="G122">
            <v>535.85</v>
          </cell>
          <cell r="H122">
            <v>535.85</v>
          </cell>
        </row>
        <row r="123">
          <cell r="A123" t="str">
            <v>6602.09.09</v>
          </cell>
          <cell r="B123" t="str">
            <v>　　　　携程服务费</v>
          </cell>
          <cell r="C123" t="str">
            <v>CI002</v>
          </cell>
          <cell r="D123" t="str">
            <v>旭智富能</v>
          </cell>
          <cell r="G123">
            <v>341.5</v>
          </cell>
          <cell r="H123">
            <v>341.5</v>
          </cell>
        </row>
        <row r="124">
          <cell r="A124" t="str">
            <v>6602.09.09</v>
          </cell>
          <cell r="B124" t="str">
            <v>　　　　携程服务费</v>
          </cell>
          <cell r="C124" t="str">
            <v>CI005</v>
          </cell>
          <cell r="D124" t="str">
            <v>旭智私募</v>
          </cell>
          <cell r="G124">
            <v>53.78</v>
          </cell>
          <cell r="H124">
            <v>53.78</v>
          </cell>
        </row>
        <row r="125">
          <cell r="A125" t="str">
            <v>6602.09.09</v>
          </cell>
          <cell r="B125" t="str">
            <v>　　　　携程服务费</v>
          </cell>
          <cell r="C125" t="str">
            <v>CI007</v>
          </cell>
          <cell r="D125" t="str">
            <v>其他项目</v>
          </cell>
          <cell r="G125">
            <v>140.57</v>
          </cell>
          <cell r="H125">
            <v>140.57</v>
          </cell>
        </row>
        <row r="126">
          <cell r="A126" t="str">
            <v>6602.09.99</v>
          </cell>
          <cell r="B126" t="str">
            <v>　　　　其他</v>
          </cell>
        </row>
        <row r="127">
          <cell r="A127" t="str">
            <v>6602.09.99</v>
          </cell>
          <cell r="B127" t="str">
            <v>　　　　其他</v>
          </cell>
          <cell r="C127" t="str">
            <v>CI002</v>
          </cell>
          <cell r="D127" t="str">
            <v>旭智富能</v>
          </cell>
        </row>
        <row r="128">
          <cell r="A128" t="str">
            <v>6602.10</v>
          </cell>
          <cell r="B128" t="str">
            <v>　　折旧费</v>
          </cell>
          <cell r="G128">
            <v>40.93</v>
          </cell>
          <cell r="H128">
            <v>40.93</v>
          </cell>
        </row>
        <row r="129">
          <cell r="A129" t="str">
            <v>6602.10.04</v>
          </cell>
          <cell r="B129" t="str">
            <v>　　　　家具设备</v>
          </cell>
          <cell r="G129">
            <v>40.93</v>
          </cell>
          <cell r="H129">
            <v>40.93</v>
          </cell>
        </row>
        <row r="130">
          <cell r="A130" t="str">
            <v>6602.12</v>
          </cell>
          <cell r="B130" t="str">
            <v>　　使用权资产折旧</v>
          </cell>
          <cell r="G130">
            <v>6284.82</v>
          </cell>
          <cell r="H130">
            <v>6284.82</v>
          </cell>
        </row>
        <row r="131">
          <cell r="A131" t="str">
            <v>6602.12.03</v>
          </cell>
          <cell r="B131" t="str">
            <v>　　　　注册地址</v>
          </cell>
          <cell r="G131">
            <v>6284.82</v>
          </cell>
          <cell r="H131">
            <v>6284.82</v>
          </cell>
        </row>
        <row r="132">
          <cell r="A132" t="str">
            <v>6602.12.03.01</v>
          </cell>
          <cell r="B132" t="str">
            <v>　　　　　　旭智私募--前海壹号B座701E</v>
          </cell>
          <cell r="G132">
            <v>6284.82</v>
          </cell>
          <cell r="H132">
            <v>6284.82</v>
          </cell>
        </row>
        <row r="133">
          <cell r="A133" t="str">
            <v>6602.15</v>
          </cell>
          <cell r="B133" t="str">
            <v>　　服务费</v>
          </cell>
        </row>
        <row r="134">
          <cell r="A134" t="str">
            <v>6602.19</v>
          </cell>
          <cell r="B134" t="str">
            <v>　　会费（公司）</v>
          </cell>
        </row>
        <row r="135">
          <cell r="A135" t="str">
            <v>6602.20</v>
          </cell>
          <cell r="B135" t="str">
            <v>　　职工教育经费</v>
          </cell>
        </row>
        <row r="136">
          <cell r="A136" t="str">
            <v>6603</v>
          </cell>
          <cell r="B136" t="str">
            <v>财务费用</v>
          </cell>
          <cell r="G136">
            <v>-648.85</v>
          </cell>
          <cell r="H136">
            <v>-648.85</v>
          </cell>
        </row>
        <row r="137">
          <cell r="A137" t="str">
            <v>6603.01</v>
          </cell>
          <cell r="B137" t="str">
            <v>　　汇兑损益</v>
          </cell>
          <cell r="G137">
            <v>-1.05</v>
          </cell>
          <cell r="H137">
            <v>-1.05</v>
          </cell>
        </row>
        <row r="138">
          <cell r="A138" t="str">
            <v>6603.02</v>
          </cell>
          <cell r="B138" t="str">
            <v>　　利息费用</v>
          </cell>
          <cell r="G138">
            <v>79.45</v>
          </cell>
          <cell r="H138">
            <v>79.45</v>
          </cell>
        </row>
        <row r="139">
          <cell r="A139" t="str">
            <v>6603.02.03</v>
          </cell>
          <cell r="B139" t="str">
            <v>　　　　注册地址</v>
          </cell>
          <cell r="G139">
            <v>79.45</v>
          </cell>
          <cell r="H139">
            <v>79.45</v>
          </cell>
        </row>
        <row r="140">
          <cell r="A140" t="str">
            <v>6603.02.03.01</v>
          </cell>
          <cell r="B140" t="str">
            <v>　　　　　　旭智私募--前海壹号B座701E</v>
          </cell>
          <cell r="G140">
            <v>79.45</v>
          </cell>
          <cell r="H140">
            <v>79.45</v>
          </cell>
        </row>
        <row r="141">
          <cell r="A141" t="str">
            <v>6603.03</v>
          </cell>
          <cell r="B141" t="str">
            <v>　　银行手续费</v>
          </cell>
          <cell r="G141">
            <v>25</v>
          </cell>
          <cell r="H141">
            <v>25</v>
          </cell>
        </row>
        <row r="142">
          <cell r="A142" t="str">
            <v>6603.04</v>
          </cell>
          <cell r="B142" t="str">
            <v>　　利息收入</v>
          </cell>
          <cell r="G142">
            <v>-752.25</v>
          </cell>
          <cell r="H142">
            <v>-752.25</v>
          </cell>
        </row>
        <row r="143">
          <cell r="B143" t="str">
            <v>合计</v>
          </cell>
          <cell r="E143">
            <v>5219869.07</v>
          </cell>
          <cell r="F143">
            <v>5219869.07</v>
          </cell>
          <cell r="G143">
            <v>8951599.3300000001</v>
          </cell>
          <cell r="H143">
            <v>8951599.3300000001</v>
          </cell>
        </row>
      </sheetData>
      <sheetData sheetId="9">
        <row r="1">
          <cell r="A1" t="str">
            <v>币别:人民币</v>
          </cell>
          <cell r="B1" t="str">
            <v>账簿:深圳旭智私募股权基金管理有限公司</v>
          </cell>
          <cell r="C1" t="str">
            <v>期间:2025.10 -- 2025.10</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1091867.46</v>
          </cell>
          <cell r="G4">
            <v>3602231.41</v>
          </cell>
          <cell r="H4">
            <v>376824.31</v>
          </cell>
        </row>
        <row r="5">
          <cell r="A5" t="str">
            <v>1002.23</v>
          </cell>
          <cell r="B5" t="str">
            <v>　　【旭智私募】银行存款账户</v>
          </cell>
          <cell r="E5">
            <v>1091867.46</v>
          </cell>
          <cell r="G5">
            <v>3602231.41</v>
          </cell>
          <cell r="H5">
            <v>376824.31</v>
          </cell>
        </row>
        <row r="6">
          <cell r="A6" t="str">
            <v>1002.23.01</v>
          </cell>
          <cell r="B6" t="str">
            <v>　　　　农业银行账户</v>
          </cell>
          <cell r="E6">
            <v>1091867.46</v>
          </cell>
          <cell r="G6">
            <v>3602231.41</v>
          </cell>
          <cell r="H6">
            <v>376824.31</v>
          </cell>
        </row>
        <row r="7">
          <cell r="A7" t="str">
            <v>1002.23.01.01</v>
          </cell>
          <cell r="B7" t="str">
            <v>　　　　　　【旭智私募】农行 人民币基本户 6018</v>
          </cell>
          <cell r="E7">
            <v>999731.15</v>
          </cell>
          <cell r="H7">
            <v>376823.78</v>
          </cell>
        </row>
        <row r="8">
          <cell r="A8" t="str">
            <v>1002.23.01.01.01</v>
          </cell>
          <cell r="B8" t="str">
            <v>　　　　　　　　【旭智私募】农行 人民币基本户 6018 活期存款</v>
          </cell>
          <cell r="E8">
            <v>499731.15</v>
          </cell>
          <cell r="H8">
            <v>376823.78</v>
          </cell>
        </row>
        <row r="9">
          <cell r="A9" t="str">
            <v>1002.23.01.01.02</v>
          </cell>
          <cell r="B9" t="str">
            <v>　　　　　　　　【旭智私募】农行 人民币基本户 6018 七天通知存款</v>
          </cell>
          <cell r="E9">
            <v>500000</v>
          </cell>
        </row>
        <row r="10">
          <cell r="A10" t="str">
            <v>1002.23.01.02</v>
          </cell>
          <cell r="B10" t="str">
            <v>　　　　　　【旭智私募】农行 人民币资本金账户 6026</v>
          </cell>
          <cell r="E10">
            <v>28.88</v>
          </cell>
        </row>
        <row r="11">
          <cell r="A11" t="str">
            <v>1002.23.01.02.01</v>
          </cell>
          <cell r="B11" t="str">
            <v>　　　　　　　　【旭智私募】农行 人民币资本金账户 6026 活期存款</v>
          </cell>
          <cell r="E11">
            <v>28.88</v>
          </cell>
        </row>
        <row r="12">
          <cell r="A12" t="str">
            <v>1002.23.01.02.02</v>
          </cell>
          <cell r="B12" t="str">
            <v>　　　　　　　　【旭智私募】农行 人民币资本金账户 6026 七天通知存款</v>
          </cell>
        </row>
        <row r="13">
          <cell r="A13" t="str">
            <v>1002.23.01.03</v>
          </cell>
          <cell r="B13" t="str">
            <v>　　　　　　【旭智私募】农行 港元资本金账户 7230</v>
          </cell>
          <cell r="E13">
            <v>685.6</v>
          </cell>
          <cell r="H13">
            <v>0.53</v>
          </cell>
        </row>
        <row r="14">
          <cell r="A14" t="str">
            <v>1002.23.01.04</v>
          </cell>
          <cell r="B14" t="str">
            <v>　　　　　　【旭智私募】农行 人民币结汇待支付账户 7248</v>
          </cell>
          <cell r="E14">
            <v>91421.83</v>
          </cell>
          <cell r="G14">
            <v>3602231.41</v>
          </cell>
        </row>
        <row r="15">
          <cell r="A15" t="str">
            <v>1002.23.01.04.01</v>
          </cell>
          <cell r="B15" t="str">
            <v>　　　　　　　　【旭智私募】农行 人民币结汇待支付账户 7248 活期存款</v>
          </cell>
          <cell r="E15">
            <v>91421.83</v>
          </cell>
          <cell r="G15">
            <v>3602231.41</v>
          </cell>
        </row>
        <row r="16">
          <cell r="A16" t="str">
            <v>1002.23.01.04.02</v>
          </cell>
          <cell r="B16" t="str">
            <v>　　　　　　　　【旭智私募】农行 人民币结汇待支付账户 7248 定期存款</v>
          </cell>
        </row>
        <row r="17">
          <cell r="A17" t="str">
            <v>1101</v>
          </cell>
          <cell r="B17" t="str">
            <v>交易性金融资产</v>
          </cell>
          <cell r="E17">
            <v>3600000</v>
          </cell>
          <cell r="H17">
            <v>3600000</v>
          </cell>
        </row>
        <row r="18">
          <cell r="A18" t="str">
            <v>1101.01</v>
          </cell>
          <cell r="B18" t="str">
            <v>　　投资成本</v>
          </cell>
          <cell r="E18">
            <v>3600000</v>
          </cell>
          <cell r="H18">
            <v>3600000</v>
          </cell>
        </row>
        <row r="19">
          <cell r="A19" t="str">
            <v>1101.01.03</v>
          </cell>
          <cell r="B19" t="str">
            <v>　　　　银行理财</v>
          </cell>
          <cell r="E19">
            <v>3600000</v>
          </cell>
          <cell r="H19">
            <v>3600000</v>
          </cell>
        </row>
        <row r="20">
          <cell r="A20" t="str">
            <v>1123</v>
          </cell>
          <cell r="B20" t="str">
            <v>预付账款</v>
          </cell>
          <cell r="E20">
            <v>10000</v>
          </cell>
        </row>
        <row r="21">
          <cell r="A21" t="str">
            <v>1123.01</v>
          </cell>
          <cell r="B21" t="str">
            <v>　　单位</v>
          </cell>
          <cell r="E21">
            <v>10000</v>
          </cell>
        </row>
        <row r="22">
          <cell r="A22" t="str">
            <v>1123.01</v>
          </cell>
          <cell r="B22" t="str">
            <v>　　单位</v>
          </cell>
          <cell r="C22" t="str">
            <v>SU007002</v>
          </cell>
          <cell r="D22" t="str">
            <v>中国再生能源学会</v>
          </cell>
          <cell r="E22">
            <v>10000</v>
          </cell>
        </row>
        <row r="23">
          <cell r="A23" t="str">
            <v>1221</v>
          </cell>
          <cell r="B23" t="str">
            <v>其他应收款</v>
          </cell>
          <cell r="E23">
            <v>13000</v>
          </cell>
        </row>
        <row r="24">
          <cell r="A24" t="str">
            <v>1221.01</v>
          </cell>
          <cell r="B24" t="str">
            <v>　　单位</v>
          </cell>
          <cell r="E24">
            <v>13000</v>
          </cell>
        </row>
        <row r="25">
          <cell r="A25" t="str">
            <v>1221.01</v>
          </cell>
          <cell r="B25" t="str">
            <v>　　单位</v>
          </cell>
          <cell r="C25" t="str">
            <v>CU006005</v>
          </cell>
          <cell r="D25" t="str">
            <v>长峻物业管理(深圳)有限公司</v>
          </cell>
          <cell r="E25">
            <v>13000</v>
          </cell>
        </row>
        <row r="26">
          <cell r="A26" t="str">
            <v>1601</v>
          </cell>
          <cell r="B26" t="str">
            <v>固定资产</v>
          </cell>
          <cell r="E26">
            <v>2585</v>
          </cell>
        </row>
        <row r="27">
          <cell r="A27" t="str">
            <v>1601.04</v>
          </cell>
          <cell r="B27" t="str">
            <v>　　家具设备</v>
          </cell>
          <cell r="E27">
            <v>2585</v>
          </cell>
        </row>
        <row r="28">
          <cell r="A28" t="str">
            <v>1602</v>
          </cell>
          <cell r="B28" t="str">
            <v>累计折旧</v>
          </cell>
          <cell r="F28">
            <v>613.95000000000005</v>
          </cell>
          <cell r="H28">
            <v>40.93</v>
          </cell>
        </row>
        <row r="29">
          <cell r="A29" t="str">
            <v>1602.04</v>
          </cell>
          <cell r="B29" t="str">
            <v>　　家具设备</v>
          </cell>
          <cell r="F29">
            <v>613.95000000000005</v>
          </cell>
          <cell r="H29">
            <v>40.93</v>
          </cell>
        </row>
        <row r="30">
          <cell r="A30" t="str">
            <v>1641</v>
          </cell>
          <cell r="B30" t="str">
            <v>使用权资产</v>
          </cell>
          <cell r="E30">
            <v>125696.44</v>
          </cell>
        </row>
        <row r="31">
          <cell r="A31" t="str">
            <v>1641.03</v>
          </cell>
          <cell r="B31" t="str">
            <v>　　注册地址</v>
          </cell>
          <cell r="E31">
            <v>125696.44</v>
          </cell>
        </row>
        <row r="32">
          <cell r="A32" t="str">
            <v>1641.03.01</v>
          </cell>
          <cell r="B32" t="str">
            <v>　　　　旭智私募--前海壹号B座701E</v>
          </cell>
          <cell r="E32">
            <v>125696.44</v>
          </cell>
        </row>
        <row r="33">
          <cell r="A33" t="str">
            <v>1642</v>
          </cell>
          <cell r="B33" t="str">
            <v>使用权资产累计折旧</v>
          </cell>
          <cell r="F33">
            <v>106841.95</v>
          </cell>
          <cell r="H33">
            <v>6284.82</v>
          </cell>
        </row>
        <row r="34">
          <cell r="A34" t="str">
            <v>1642.03</v>
          </cell>
          <cell r="B34" t="str">
            <v>　　注册地址</v>
          </cell>
          <cell r="F34">
            <v>106841.95</v>
          </cell>
          <cell r="H34">
            <v>6284.82</v>
          </cell>
        </row>
        <row r="35">
          <cell r="A35" t="str">
            <v>1642.03.01</v>
          </cell>
          <cell r="B35" t="str">
            <v>　　　　旭智私募--前海壹号B座701E</v>
          </cell>
          <cell r="F35">
            <v>106841.95</v>
          </cell>
          <cell r="H35">
            <v>6284.82</v>
          </cell>
        </row>
        <row r="36">
          <cell r="A36" t="str">
            <v>2211</v>
          </cell>
          <cell r="B36" t="str">
            <v>应付职工薪酬</v>
          </cell>
          <cell r="G36">
            <v>227248.7</v>
          </cell>
          <cell r="H36">
            <v>227248.7</v>
          </cell>
        </row>
        <row r="37">
          <cell r="A37" t="str">
            <v>2211.01</v>
          </cell>
          <cell r="B37" t="str">
            <v>　　职工工资</v>
          </cell>
          <cell r="G37">
            <v>193123.84</v>
          </cell>
          <cell r="H37">
            <v>193123.84</v>
          </cell>
        </row>
        <row r="38">
          <cell r="A38" t="str">
            <v>2211.02</v>
          </cell>
          <cell r="B38" t="str">
            <v>　　职工奖金</v>
          </cell>
        </row>
        <row r="39">
          <cell r="A39" t="str">
            <v>2211.05</v>
          </cell>
          <cell r="B39" t="str">
            <v>　　社会保险费</v>
          </cell>
          <cell r="G39">
            <v>13661.26</v>
          </cell>
          <cell r="H39">
            <v>13661.26</v>
          </cell>
        </row>
        <row r="40">
          <cell r="A40" t="str">
            <v>2211.06</v>
          </cell>
          <cell r="B40" t="str">
            <v>　　住房公积金</v>
          </cell>
          <cell r="G40">
            <v>20463.599999999999</v>
          </cell>
          <cell r="H40">
            <v>20463.599999999999</v>
          </cell>
        </row>
        <row r="41">
          <cell r="A41" t="str">
            <v>2211.08</v>
          </cell>
          <cell r="B41" t="str">
            <v>　　职工教育经费</v>
          </cell>
        </row>
        <row r="42">
          <cell r="A42" t="str">
            <v>2221</v>
          </cell>
          <cell r="B42" t="str">
            <v>应交税费</v>
          </cell>
          <cell r="F42">
            <v>40373.67</v>
          </cell>
          <cell r="G42">
            <v>56848.959999999999</v>
          </cell>
          <cell r="H42">
            <v>59321.33</v>
          </cell>
        </row>
        <row r="43">
          <cell r="A43" t="str">
            <v>2221.01</v>
          </cell>
          <cell r="B43" t="str">
            <v>　　应交增值税</v>
          </cell>
          <cell r="F43">
            <v>-11392.97</v>
          </cell>
          <cell r="G43">
            <v>2604.1999999999998</v>
          </cell>
          <cell r="H43">
            <v>126.31</v>
          </cell>
        </row>
        <row r="44">
          <cell r="A44" t="str">
            <v>2221.01.01</v>
          </cell>
          <cell r="B44" t="str">
            <v>　　　　销项税额</v>
          </cell>
          <cell r="F44">
            <v>693.06</v>
          </cell>
          <cell r="H44">
            <v>126.31</v>
          </cell>
        </row>
        <row r="45">
          <cell r="A45" t="str">
            <v>2221.01.03</v>
          </cell>
          <cell r="B45" t="str">
            <v>　　　　进项税额</v>
          </cell>
          <cell r="F45">
            <v>-12086.03</v>
          </cell>
          <cell r="G45">
            <v>2604.1999999999998</v>
          </cell>
        </row>
        <row r="46">
          <cell r="A46" t="str">
            <v>2221.03</v>
          </cell>
          <cell r="B46" t="str">
            <v>　　暂估进项税额</v>
          </cell>
          <cell r="F46">
            <v>-1235.42</v>
          </cell>
          <cell r="G46">
            <v>925.24</v>
          </cell>
          <cell r="H46">
            <v>1126.26</v>
          </cell>
        </row>
        <row r="47">
          <cell r="A47" t="str">
            <v>2221.06</v>
          </cell>
          <cell r="B47" t="str">
            <v>　　待认证进项税额</v>
          </cell>
          <cell r="G47">
            <v>317.45999999999998</v>
          </cell>
          <cell r="H47">
            <v>317.45999999999998</v>
          </cell>
        </row>
        <row r="48">
          <cell r="A48" t="str">
            <v>2221.07</v>
          </cell>
          <cell r="B48" t="str">
            <v>　　待抵扣进项税额</v>
          </cell>
        </row>
        <row r="49">
          <cell r="A49" t="str">
            <v>2221.16</v>
          </cell>
          <cell r="B49" t="str">
            <v>　　应交个人所得税</v>
          </cell>
          <cell r="F49">
            <v>53002.06</v>
          </cell>
          <cell r="G49">
            <v>53002.06</v>
          </cell>
          <cell r="H49">
            <v>57751.3</v>
          </cell>
        </row>
        <row r="50">
          <cell r="A50" t="str">
            <v>2241</v>
          </cell>
          <cell r="B50" t="str">
            <v>其他应付款</v>
          </cell>
          <cell r="F50">
            <v>34566.839999999997</v>
          </cell>
          <cell r="G50">
            <v>44452.79</v>
          </cell>
          <cell r="H50">
            <v>24516.81</v>
          </cell>
        </row>
        <row r="51">
          <cell r="A51" t="str">
            <v>2241.01</v>
          </cell>
          <cell r="B51" t="str">
            <v>　　单位</v>
          </cell>
          <cell r="F51">
            <v>33733.980000000003</v>
          </cell>
          <cell r="G51">
            <v>41600.58</v>
          </cell>
          <cell r="H51">
            <v>21664.6</v>
          </cell>
        </row>
        <row r="52">
          <cell r="A52" t="str">
            <v>2241.01</v>
          </cell>
          <cell r="B52" t="str">
            <v>　　单位</v>
          </cell>
          <cell r="C52" t="str">
            <v>SU005004</v>
          </cell>
          <cell r="D52" t="str">
            <v>上海爱文人才服务有限公司</v>
          </cell>
          <cell r="G52">
            <v>1200</v>
          </cell>
          <cell r="H52">
            <v>1200</v>
          </cell>
        </row>
        <row r="53">
          <cell r="A53" t="str">
            <v>2241.01</v>
          </cell>
          <cell r="B53" t="str">
            <v>　　单位</v>
          </cell>
          <cell r="C53" t="str">
            <v>SU005007</v>
          </cell>
          <cell r="D53" t="str">
            <v>普华永道中天会计师事务所（特殊普通合伙）</v>
          </cell>
        </row>
        <row r="54">
          <cell r="A54" t="str">
            <v>2241.01</v>
          </cell>
          <cell r="B54" t="str">
            <v>　　单位</v>
          </cell>
          <cell r="C54" t="str">
            <v>SU005044</v>
          </cell>
          <cell r="D54" t="str">
            <v>旭智咨询管理（深圳）有限责任公司</v>
          </cell>
        </row>
        <row r="55">
          <cell r="A55" t="str">
            <v>2241.01</v>
          </cell>
          <cell r="B55" t="str">
            <v>　　单位</v>
          </cell>
          <cell r="C55" t="str">
            <v>SU006012</v>
          </cell>
          <cell r="D55" t="str">
            <v>上海携程宏睿国际旅行社有限公司</v>
          </cell>
          <cell r="F55">
            <v>33733.980000000003</v>
          </cell>
          <cell r="G55">
            <v>33733.980000000003</v>
          </cell>
          <cell r="H55">
            <v>13798</v>
          </cell>
        </row>
        <row r="56">
          <cell r="A56" t="str">
            <v>2241.01</v>
          </cell>
          <cell r="B56" t="str">
            <v>　　单位</v>
          </cell>
          <cell r="C56" t="str">
            <v>SU006025</v>
          </cell>
          <cell r="D56" t="str">
            <v>全景求是管理顾问（北京）有限公司</v>
          </cell>
        </row>
        <row r="57">
          <cell r="A57" t="str">
            <v>2241.01</v>
          </cell>
          <cell r="B57" t="str">
            <v>　　单位</v>
          </cell>
          <cell r="C57" t="str">
            <v>SU007003</v>
          </cell>
          <cell r="D57" t="str">
            <v>长峻物业管理（深圳）有限公司</v>
          </cell>
          <cell r="G57">
            <v>6666.6</v>
          </cell>
          <cell r="H57">
            <v>6666.6</v>
          </cell>
        </row>
        <row r="58">
          <cell r="A58" t="str">
            <v>2241.01</v>
          </cell>
          <cell r="B58" t="str">
            <v>　　单位</v>
          </cell>
          <cell r="C58" t="str">
            <v>SU007005</v>
          </cell>
          <cell r="D58" t="str">
            <v>深圳前海百丰外企咨询服务有限公司</v>
          </cell>
        </row>
        <row r="59">
          <cell r="A59" t="str">
            <v>2241.02</v>
          </cell>
          <cell r="B59" t="str">
            <v>　　个人</v>
          </cell>
          <cell r="F59">
            <v>832.86</v>
          </cell>
          <cell r="G59">
            <v>2852.21</v>
          </cell>
          <cell r="H59">
            <v>2852.21</v>
          </cell>
        </row>
        <row r="60">
          <cell r="A60" t="str">
            <v>2241.02</v>
          </cell>
          <cell r="B60" t="str">
            <v>　　个人</v>
          </cell>
          <cell r="C60" t="str">
            <v>SP005001</v>
          </cell>
          <cell r="D60" t="str">
            <v>冯冠邦</v>
          </cell>
          <cell r="F60">
            <v>832.86</v>
          </cell>
        </row>
        <row r="61">
          <cell r="A61" t="str">
            <v>2241.02</v>
          </cell>
          <cell r="B61" t="str">
            <v>　　个人</v>
          </cell>
          <cell r="C61" t="str">
            <v>SP005006</v>
          </cell>
          <cell r="D61" t="str">
            <v>张歆</v>
          </cell>
        </row>
        <row r="62">
          <cell r="A62" t="str">
            <v>2241.02</v>
          </cell>
          <cell r="B62" t="str">
            <v>　　个人</v>
          </cell>
          <cell r="C62" t="str">
            <v>SP005011</v>
          </cell>
          <cell r="D62" t="str">
            <v>郭宗林</v>
          </cell>
        </row>
        <row r="63">
          <cell r="A63" t="str">
            <v>2241.02</v>
          </cell>
          <cell r="B63" t="str">
            <v>　　个人</v>
          </cell>
          <cell r="C63" t="str">
            <v>SP006002</v>
          </cell>
          <cell r="D63" t="str">
            <v>陈灿</v>
          </cell>
        </row>
        <row r="64">
          <cell r="A64" t="str">
            <v>2241.02</v>
          </cell>
          <cell r="B64" t="str">
            <v>　　个人</v>
          </cell>
          <cell r="C64" t="str">
            <v>SP006009</v>
          </cell>
          <cell r="D64" t="str">
            <v>林秋蝶</v>
          </cell>
        </row>
        <row r="65">
          <cell r="A65" t="str">
            <v>2241.02</v>
          </cell>
          <cell r="B65" t="str">
            <v>　　个人</v>
          </cell>
          <cell r="C65" t="str">
            <v>SP006010</v>
          </cell>
          <cell r="D65" t="str">
            <v>陈广华</v>
          </cell>
        </row>
        <row r="66">
          <cell r="A66" t="str">
            <v>2241.02</v>
          </cell>
          <cell r="B66" t="str">
            <v>　　个人</v>
          </cell>
          <cell r="C66" t="str">
            <v>SP006011</v>
          </cell>
          <cell r="D66" t="str">
            <v>李敏宽</v>
          </cell>
          <cell r="G66">
            <v>2852.21</v>
          </cell>
          <cell r="H66">
            <v>2852.21</v>
          </cell>
        </row>
        <row r="67">
          <cell r="A67" t="str">
            <v>2601</v>
          </cell>
          <cell r="B67" t="str">
            <v>租赁负债</v>
          </cell>
          <cell r="F67">
            <v>18927.95</v>
          </cell>
          <cell r="G67">
            <v>6349.14</v>
          </cell>
          <cell r="H67">
            <v>59.68</v>
          </cell>
        </row>
        <row r="68">
          <cell r="A68" t="str">
            <v>2601.01</v>
          </cell>
          <cell r="B68" t="str">
            <v>　　租赁付款额</v>
          </cell>
          <cell r="F68">
            <v>19047.419999999998</v>
          </cell>
          <cell r="G68">
            <v>6349.14</v>
          </cell>
        </row>
        <row r="69">
          <cell r="A69" t="str">
            <v>2601.01.03</v>
          </cell>
          <cell r="B69" t="str">
            <v>　　　　注册地址</v>
          </cell>
          <cell r="F69">
            <v>19047.419999999998</v>
          </cell>
          <cell r="G69">
            <v>6349.14</v>
          </cell>
        </row>
        <row r="70">
          <cell r="A70" t="str">
            <v>2601.01.03.01</v>
          </cell>
          <cell r="B70" t="str">
            <v>　　　　　　旭智私募--前海壹号B座701E</v>
          </cell>
          <cell r="F70">
            <v>19047.419999999998</v>
          </cell>
          <cell r="G70">
            <v>6349.14</v>
          </cell>
        </row>
        <row r="71">
          <cell r="A71" t="str">
            <v>2601.02</v>
          </cell>
          <cell r="B71" t="str">
            <v>　　未确认融资费用</v>
          </cell>
          <cell r="F71">
            <v>-119.47</v>
          </cell>
          <cell r="H71">
            <v>59.68</v>
          </cell>
        </row>
        <row r="72">
          <cell r="A72" t="str">
            <v>2601.02.03</v>
          </cell>
          <cell r="B72" t="str">
            <v>　　　　注册地址</v>
          </cell>
          <cell r="F72">
            <v>-119.47</v>
          </cell>
          <cell r="H72">
            <v>59.68</v>
          </cell>
        </row>
        <row r="73">
          <cell r="A73" t="str">
            <v>2601.02.03.01</v>
          </cell>
          <cell r="B73" t="str">
            <v>　　　　　　旭智私募--前海壹号B座701E</v>
          </cell>
          <cell r="F73">
            <v>-119.47</v>
          </cell>
          <cell r="H73">
            <v>59.68</v>
          </cell>
        </row>
        <row r="74">
          <cell r="A74" t="str">
            <v>4001</v>
          </cell>
          <cell r="B74" t="str">
            <v>实收资本（股本）</v>
          </cell>
          <cell r="F74">
            <v>10000000</v>
          </cell>
        </row>
        <row r="75">
          <cell r="A75" t="str">
            <v>4001.11</v>
          </cell>
          <cell r="B75" t="str">
            <v>　　旭智资本（香港）有限公司</v>
          </cell>
          <cell r="F75">
            <v>4900000</v>
          </cell>
        </row>
        <row r="76">
          <cell r="A76" t="str">
            <v>4001.20</v>
          </cell>
          <cell r="B76" t="str">
            <v>　　冯冠邦</v>
          </cell>
          <cell r="F76">
            <v>5100000</v>
          </cell>
        </row>
        <row r="77">
          <cell r="A77" t="str">
            <v>4103</v>
          </cell>
          <cell r="B77" t="str">
            <v>本年利润</v>
          </cell>
          <cell r="F77">
            <v>-3261909.09</v>
          </cell>
          <cell r="G77">
            <v>359270.68</v>
          </cell>
          <cell r="H77">
            <v>2105.1</v>
          </cell>
        </row>
        <row r="78">
          <cell r="A78" t="str">
            <v>4104</v>
          </cell>
          <cell r="B78" t="str">
            <v>利润分配</v>
          </cell>
          <cell r="F78">
            <v>-2096266.37</v>
          </cell>
        </row>
        <row r="79">
          <cell r="A79" t="str">
            <v>4104.07</v>
          </cell>
          <cell r="B79" t="str">
            <v>　　未分配利润</v>
          </cell>
          <cell r="F79">
            <v>-2096266.37</v>
          </cell>
        </row>
        <row r="80">
          <cell r="A80" t="str">
            <v>6111</v>
          </cell>
          <cell r="B80" t="str">
            <v>投资收益</v>
          </cell>
          <cell r="G80">
            <v>2105.1</v>
          </cell>
          <cell r="H80">
            <v>2105.1</v>
          </cell>
        </row>
        <row r="81">
          <cell r="A81" t="str">
            <v>6115</v>
          </cell>
          <cell r="B81" t="str">
            <v>其他收益</v>
          </cell>
        </row>
        <row r="82">
          <cell r="A82" t="str">
            <v>6115.02</v>
          </cell>
          <cell r="B82" t="str">
            <v>　　个税手续费返还</v>
          </cell>
        </row>
        <row r="83">
          <cell r="A83" t="str">
            <v>6602</v>
          </cell>
          <cell r="B83" t="str">
            <v>管理费用</v>
          </cell>
          <cell r="G83">
            <v>359192.47</v>
          </cell>
          <cell r="H83">
            <v>359192.47</v>
          </cell>
        </row>
        <row r="84">
          <cell r="A84" t="str">
            <v>6602.01</v>
          </cell>
          <cell r="B84" t="str">
            <v>　　工资薪金</v>
          </cell>
          <cell r="G84">
            <v>285000</v>
          </cell>
          <cell r="H84">
            <v>285000</v>
          </cell>
        </row>
        <row r="85">
          <cell r="A85" t="str">
            <v>6602.01.01</v>
          </cell>
          <cell r="B85" t="str">
            <v>　　　　基本工资（专业）</v>
          </cell>
          <cell r="G85">
            <v>285000</v>
          </cell>
          <cell r="H85">
            <v>285000</v>
          </cell>
        </row>
        <row r="86">
          <cell r="A86" t="str">
            <v>6602.03</v>
          </cell>
          <cell r="B86" t="str">
            <v>　　社保公积金</v>
          </cell>
          <cell r="G86">
            <v>52102.23</v>
          </cell>
          <cell r="H86">
            <v>52102.23</v>
          </cell>
        </row>
        <row r="87">
          <cell r="A87" t="str">
            <v>6602.03.01</v>
          </cell>
          <cell r="B87" t="str">
            <v>　　　　员工社保福利</v>
          </cell>
          <cell r="G87">
            <v>31638.63</v>
          </cell>
          <cell r="H87">
            <v>31638.63</v>
          </cell>
        </row>
        <row r="88">
          <cell r="A88" t="str">
            <v>6602.03.02</v>
          </cell>
          <cell r="B88" t="str">
            <v>　　　　员工公积金福利</v>
          </cell>
          <cell r="G88">
            <v>20463.599999999999</v>
          </cell>
          <cell r="H88">
            <v>20463.599999999999</v>
          </cell>
        </row>
        <row r="89">
          <cell r="A89" t="str">
            <v>6602.04</v>
          </cell>
          <cell r="B89" t="str">
            <v>　　咨询及专业服务费</v>
          </cell>
          <cell r="G89">
            <v>1200</v>
          </cell>
          <cell r="H89">
            <v>1200</v>
          </cell>
        </row>
        <row r="90">
          <cell r="A90" t="str">
            <v>6602.04.02</v>
          </cell>
          <cell r="B90" t="str">
            <v>　　　　审计服务费</v>
          </cell>
        </row>
        <row r="91">
          <cell r="A91" t="str">
            <v>6602.04.07</v>
          </cell>
          <cell r="B91" t="str">
            <v>　　　　人力资源服务费</v>
          </cell>
          <cell r="G91">
            <v>1200</v>
          </cell>
          <cell r="H91">
            <v>1200</v>
          </cell>
        </row>
        <row r="92">
          <cell r="A92" t="str">
            <v>6602.04.08</v>
          </cell>
          <cell r="B92" t="str">
            <v>　　　　背景调查费</v>
          </cell>
        </row>
        <row r="93">
          <cell r="A93" t="str">
            <v>6602.06</v>
          </cell>
          <cell r="B93" t="str">
            <v>　　业务招待费</v>
          </cell>
        </row>
        <row r="94">
          <cell r="A94" t="str">
            <v>6602.06</v>
          </cell>
          <cell r="B94" t="str">
            <v>　　业务招待费</v>
          </cell>
          <cell r="C94" t="str">
            <v>CI002</v>
          </cell>
          <cell r="D94" t="str">
            <v>旭智富能</v>
          </cell>
        </row>
        <row r="95">
          <cell r="A95" t="str">
            <v>6602.08</v>
          </cell>
          <cell r="B95" t="str">
            <v>　　事务费用</v>
          </cell>
          <cell r="G95">
            <v>68</v>
          </cell>
          <cell r="H95">
            <v>68</v>
          </cell>
        </row>
        <row r="96">
          <cell r="A96" t="str">
            <v>6602.08.01</v>
          </cell>
          <cell r="B96" t="str">
            <v>　　　　通信费</v>
          </cell>
          <cell r="G96">
            <v>68</v>
          </cell>
          <cell r="H96">
            <v>68</v>
          </cell>
        </row>
        <row r="97">
          <cell r="A97" t="str">
            <v>6602.08.01</v>
          </cell>
          <cell r="B97" t="str">
            <v>　　　　通信费</v>
          </cell>
          <cell r="C97" t="str">
            <v>CI005</v>
          </cell>
          <cell r="D97" t="str">
            <v>旭智私募</v>
          </cell>
          <cell r="G97">
            <v>68</v>
          </cell>
          <cell r="H97">
            <v>68</v>
          </cell>
        </row>
        <row r="98">
          <cell r="A98" t="str">
            <v>6602.08.03</v>
          </cell>
          <cell r="B98" t="str">
            <v>　　　　办公用品</v>
          </cell>
        </row>
        <row r="99">
          <cell r="A99" t="str">
            <v>6602.08.03</v>
          </cell>
          <cell r="B99" t="str">
            <v>　　　　办公用品</v>
          </cell>
          <cell r="C99" t="str">
            <v>CI005</v>
          </cell>
          <cell r="D99" t="str">
            <v>旭智私募</v>
          </cell>
        </row>
        <row r="100">
          <cell r="A100" t="str">
            <v>6602.08.05</v>
          </cell>
          <cell r="B100" t="str">
            <v>　　　　邮费/邮递费</v>
          </cell>
        </row>
        <row r="101">
          <cell r="A101" t="str">
            <v>6602.08.05</v>
          </cell>
          <cell r="B101" t="str">
            <v>　　　　邮费/邮递费</v>
          </cell>
          <cell r="C101" t="str">
            <v>CI005</v>
          </cell>
          <cell r="D101" t="str">
            <v>旭智私募</v>
          </cell>
        </row>
        <row r="102">
          <cell r="A102" t="str">
            <v>6602.09</v>
          </cell>
          <cell r="B102" t="str">
            <v>　　差旅费</v>
          </cell>
          <cell r="G102">
            <v>14496.49</v>
          </cell>
          <cell r="H102">
            <v>14496.49</v>
          </cell>
        </row>
        <row r="103">
          <cell r="A103" t="str">
            <v>6602.09.01</v>
          </cell>
          <cell r="B103" t="str">
            <v>　　　　住宿费</v>
          </cell>
          <cell r="G103">
            <v>5699.06</v>
          </cell>
          <cell r="H103">
            <v>5699.06</v>
          </cell>
        </row>
        <row r="104">
          <cell r="A104" t="str">
            <v>6602.09.01</v>
          </cell>
          <cell r="B104" t="str">
            <v>　　　　住宿费</v>
          </cell>
          <cell r="C104" t="str">
            <v>CI002</v>
          </cell>
          <cell r="D104" t="str">
            <v>旭智富能</v>
          </cell>
          <cell r="G104">
            <v>5699.06</v>
          </cell>
          <cell r="H104">
            <v>5699.06</v>
          </cell>
        </row>
        <row r="105">
          <cell r="A105" t="str">
            <v>6602.09.01</v>
          </cell>
          <cell r="B105" t="str">
            <v>　　　　住宿费</v>
          </cell>
          <cell r="C105" t="str">
            <v>CI005</v>
          </cell>
          <cell r="D105" t="str">
            <v>旭智私募</v>
          </cell>
        </row>
        <row r="106">
          <cell r="A106" t="str">
            <v>6602.09.01</v>
          </cell>
          <cell r="B106" t="str">
            <v>　　　　住宿费</v>
          </cell>
          <cell r="C106" t="str">
            <v>CI007</v>
          </cell>
          <cell r="D106" t="str">
            <v>其他项目</v>
          </cell>
        </row>
        <row r="107">
          <cell r="A107" t="str">
            <v>6602.09.02</v>
          </cell>
          <cell r="B107" t="str">
            <v>　　　　伙食费</v>
          </cell>
          <cell r="G107">
            <v>1042.2</v>
          </cell>
          <cell r="H107">
            <v>1042.2</v>
          </cell>
        </row>
        <row r="108">
          <cell r="A108" t="str">
            <v>6602.09.02</v>
          </cell>
          <cell r="B108" t="str">
            <v>　　　　伙食费</v>
          </cell>
          <cell r="C108" t="str">
            <v>CI002</v>
          </cell>
          <cell r="D108" t="str">
            <v>旭智富能</v>
          </cell>
          <cell r="G108">
            <v>298</v>
          </cell>
          <cell r="H108">
            <v>298</v>
          </cell>
        </row>
        <row r="109">
          <cell r="A109" t="str">
            <v>6602.09.02</v>
          </cell>
          <cell r="B109" t="str">
            <v>　　　　伙食费</v>
          </cell>
          <cell r="C109" t="str">
            <v>CI005</v>
          </cell>
          <cell r="D109" t="str">
            <v>旭智私募</v>
          </cell>
        </row>
        <row r="110">
          <cell r="A110" t="str">
            <v>6602.09.02</v>
          </cell>
          <cell r="B110" t="str">
            <v>　　　　伙食费</v>
          </cell>
          <cell r="C110" t="str">
            <v>CI007</v>
          </cell>
          <cell r="D110" t="str">
            <v>其他项目</v>
          </cell>
          <cell r="G110">
            <v>744.2</v>
          </cell>
          <cell r="H110">
            <v>744.2</v>
          </cell>
        </row>
        <row r="111">
          <cell r="A111" t="str">
            <v>6602.09.03</v>
          </cell>
          <cell r="B111" t="str">
            <v>　　　　地面交通费</v>
          </cell>
          <cell r="G111">
            <v>3211.26</v>
          </cell>
          <cell r="H111">
            <v>3211.26</v>
          </cell>
        </row>
        <row r="112">
          <cell r="A112" t="str">
            <v>6602.09.03</v>
          </cell>
          <cell r="B112" t="str">
            <v>　　　　地面交通费</v>
          </cell>
          <cell r="C112" t="str">
            <v>CI002</v>
          </cell>
          <cell r="D112" t="str">
            <v>旭智富能</v>
          </cell>
          <cell r="G112">
            <v>1180.6500000000001</v>
          </cell>
          <cell r="H112">
            <v>1180.6500000000001</v>
          </cell>
        </row>
        <row r="113">
          <cell r="A113" t="str">
            <v>6602.09.03</v>
          </cell>
          <cell r="B113" t="str">
            <v>　　　　地面交通费</v>
          </cell>
          <cell r="C113" t="str">
            <v>CI005</v>
          </cell>
          <cell r="D113" t="str">
            <v>旭智私募</v>
          </cell>
          <cell r="G113">
            <v>414.2</v>
          </cell>
          <cell r="H113">
            <v>414.2</v>
          </cell>
        </row>
        <row r="114">
          <cell r="A114" t="str">
            <v>6602.09.03</v>
          </cell>
          <cell r="B114" t="str">
            <v>　　　　地面交通费</v>
          </cell>
          <cell r="C114" t="str">
            <v>CI007</v>
          </cell>
          <cell r="D114" t="str">
            <v>其他项目</v>
          </cell>
          <cell r="G114">
            <v>1616.41</v>
          </cell>
          <cell r="H114">
            <v>1616.41</v>
          </cell>
        </row>
        <row r="115">
          <cell r="A115" t="str">
            <v>6602.09.04</v>
          </cell>
          <cell r="B115" t="str">
            <v>　　　　空中交通费</v>
          </cell>
          <cell r="G115">
            <v>4290.2</v>
          </cell>
          <cell r="H115">
            <v>4290.2</v>
          </cell>
        </row>
        <row r="116">
          <cell r="A116" t="str">
            <v>6602.09.04</v>
          </cell>
          <cell r="B116" t="str">
            <v>　　　　空中交通费</v>
          </cell>
          <cell r="C116" t="str">
            <v>CI002</v>
          </cell>
          <cell r="D116" t="str">
            <v>旭智富能</v>
          </cell>
          <cell r="G116">
            <v>4867.3500000000004</v>
          </cell>
          <cell r="H116">
            <v>4867.3500000000004</v>
          </cell>
        </row>
        <row r="117">
          <cell r="A117" t="str">
            <v>6602.09.04</v>
          </cell>
          <cell r="B117" t="str">
            <v>　　　　空中交通费</v>
          </cell>
          <cell r="C117" t="str">
            <v>CI005</v>
          </cell>
          <cell r="D117" t="str">
            <v>旭智私募</v>
          </cell>
          <cell r="G117">
            <v>-135.41</v>
          </cell>
          <cell r="H117">
            <v>-135.41</v>
          </cell>
        </row>
        <row r="118">
          <cell r="A118" t="str">
            <v>6602.09.04</v>
          </cell>
          <cell r="B118" t="str">
            <v>　　　　空中交通费</v>
          </cell>
          <cell r="C118" t="str">
            <v>CI007</v>
          </cell>
          <cell r="D118" t="str">
            <v>其他项目</v>
          </cell>
          <cell r="G118">
            <v>-441.74</v>
          </cell>
          <cell r="H118">
            <v>-441.74</v>
          </cell>
        </row>
        <row r="119">
          <cell r="A119" t="str">
            <v>6602.09.08</v>
          </cell>
          <cell r="B119" t="str">
            <v>　　　　退改费用（机票/火车等）</v>
          </cell>
        </row>
        <row r="120">
          <cell r="A120" t="str">
            <v>6602.09.08</v>
          </cell>
          <cell r="B120" t="str">
            <v>　　　　退改费用（机票/火车等）</v>
          </cell>
          <cell r="C120" t="str">
            <v>CI002</v>
          </cell>
          <cell r="D120" t="str">
            <v>旭智富能</v>
          </cell>
        </row>
        <row r="121">
          <cell r="A121" t="str">
            <v>6602.09.08</v>
          </cell>
          <cell r="B121" t="str">
            <v>　　　　退改费用（机票/火车等）</v>
          </cell>
          <cell r="C121" t="str">
            <v>CI005</v>
          </cell>
          <cell r="D121" t="str">
            <v>旭智私募</v>
          </cell>
        </row>
        <row r="122">
          <cell r="A122" t="str">
            <v>6602.09.09</v>
          </cell>
          <cell r="B122" t="str">
            <v>　　　　携程服务费</v>
          </cell>
          <cell r="G122">
            <v>253.77</v>
          </cell>
          <cell r="H122">
            <v>253.77</v>
          </cell>
        </row>
        <row r="123">
          <cell r="A123" t="str">
            <v>6602.09.09</v>
          </cell>
          <cell r="B123" t="str">
            <v>　　　　携程服务费</v>
          </cell>
          <cell r="C123" t="str">
            <v>CI002</v>
          </cell>
          <cell r="D123" t="str">
            <v>旭智富能</v>
          </cell>
          <cell r="G123">
            <v>225.47</v>
          </cell>
          <cell r="H123">
            <v>225.47</v>
          </cell>
        </row>
        <row r="124">
          <cell r="A124" t="str">
            <v>6602.09.09</v>
          </cell>
          <cell r="B124" t="str">
            <v>　　　　携程服务费</v>
          </cell>
          <cell r="C124" t="str">
            <v>CI005</v>
          </cell>
          <cell r="D124" t="str">
            <v>旭智私募</v>
          </cell>
          <cell r="G124">
            <v>28.3</v>
          </cell>
          <cell r="H124">
            <v>28.3</v>
          </cell>
        </row>
        <row r="125">
          <cell r="A125" t="str">
            <v>6602.09.09</v>
          </cell>
          <cell r="B125" t="str">
            <v>　　　　携程服务费</v>
          </cell>
          <cell r="C125" t="str">
            <v>CI007</v>
          </cell>
          <cell r="D125" t="str">
            <v>其他项目</v>
          </cell>
        </row>
        <row r="126">
          <cell r="A126" t="str">
            <v>6602.09.99</v>
          </cell>
          <cell r="B126" t="str">
            <v>　　　　其他</v>
          </cell>
        </row>
        <row r="127">
          <cell r="A127" t="str">
            <v>6602.09.99</v>
          </cell>
          <cell r="B127" t="str">
            <v>　　　　其他</v>
          </cell>
          <cell r="C127" t="str">
            <v>CI002</v>
          </cell>
          <cell r="D127" t="str">
            <v>旭智富能</v>
          </cell>
        </row>
        <row r="128">
          <cell r="A128" t="str">
            <v>6602.10</v>
          </cell>
          <cell r="B128" t="str">
            <v>　　折旧费</v>
          </cell>
          <cell r="G128">
            <v>40.93</v>
          </cell>
          <cell r="H128">
            <v>40.93</v>
          </cell>
        </row>
        <row r="129">
          <cell r="A129" t="str">
            <v>6602.10.04</v>
          </cell>
          <cell r="B129" t="str">
            <v>　　　　家具设备</v>
          </cell>
          <cell r="G129">
            <v>40.93</v>
          </cell>
          <cell r="H129">
            <v>40.93</v>
          </cell>
        </row>
        <row r="130">
          <cell r="A130" t="str">
            <v>6602.12</v>
          </cell>
          <cell r="B130" t="str">
            <v>　　使用权资产折旧</v>
          </cell>
          <cell r="G130">
            <v>6284.82</v>
          </cell>
          <cell r="H130">
            <v>6284.82</v>
          </cell>
        </row>
        <row r="131">
          <cell r="A131" t="str">
            <v>6602.12.03</v>
          </cell>
          <cell r="B131" t="str">
            <v>　　　　注册地址</v>
          </cell>
          <cell r="G131">
            <v>6284.82</v>
          </cell>
          <cell r="H131">
            <v>6284.82</v>
          </cell>
        </row>
        <row r="132">
          <cell r="A132" t="str">
            <v>6602.12.03.01</v>
          </cell>
          <cell r="B132" t="str">
            <v>　　　　　　旭智私募--前海壹号B座701E</v>
          </cell>
          <cell r="G132">
            <v>6284.82</v>
          </cell>
          <cell r="H132">
            <v>6284.82</v>
          </cell>
        </row>
        <row r="133">
          <cell r="A133" t="str">
            <v>6602.15</v>
          </cell>
          <cell r="B133" t="str">
            <v>　　服务费</v>
          </cell>
        </row>
        <row r="134">
          <cell r="A134" t="str">
            <v>6602.19</v>
          </cell>
          <cell r="B134" t="str">
            <v>　　会费（公司）</v>
          </cell>
        </row>
        <row r="135">
          <cell r="A135" t="str">
            <v>6602.20</v>
          </cell>
          <cell r="B135" t="str">
            <v>　　职工教育经费</v>
          </cell>
        </row>
        <row r="136">
          <cell r="A136" t="str">
            <v>6603</v>
          </cell>
          <cell r="B136" t="str">
            <v>财务费用</v>
          </cell>
          <cell r="G136">
            <v>78.209999999999994</v>
          </cell>
          <cell r="H136">
            <v>78.209999999999994</v>
          </cell>
        </row>
        <row r="137">
          <cell r="A137" t="str">
            <v>6603.01</v>
          </cell>
          <cell r="B137" t="str">
            <v>　　汇兑损益</v>
          </cell>
          <cell r="G137">
            <v>0.53</v>
          </cell>
          <cell r="H137">
            <v>0.53</v>
          </cell>
        </row>
        <row r="138">
          <cell r="A138" t="str">
            <v>6603.02</v>
          </cell>
          <cell r="B138" t="str">
            <v>　　利息费用</v>
          </cell>
          <cell r="G138">
            <v>59.68</v>
          </cell>
          <cell r="H138">
            <v>59.68</v>
          </cell>
        </row>
        <row r="139">
          <cell r="A139" t="str">
            <v>6603.02.03</v>
          </cell>
          <cell r="B139" t="str">
            <v>　　　　注册地址</v>
          </cell>
          <cell r="G139">
            <v>59.68</v>
          </cell>
          <cell r="H139">
            <v>59.68</v>
          </cell>
        </row>
        <row r="140">
          <cell r="A140" t="str">
            <v>6603.02.03.01</v>
          </cell>
          <cell r="B140" t="str">
            <v>　　　　　　旭智私募--前海壹号B座701E</v>
          </cell>
          <cell r="G140">
            <v>59.68</v>
          </cell>
          <cell r="H140">
            <v>59.68</v>
          </cell>
        </row>
        <row r="141">
          <cell r="A141" t="str">
            <v>6603.03</v>
          </cell>
          <cell r="B141" t="str">
            <v>　　银行手续费</v>
          </cell>
          <cell r="G141">
            <v>18</v>
          </cell>
          <cell r="H141">
            <v>18</v>
          </cell>
        </row>
        <row r="142">
          <cell r="A142" t="str">
            <v>6603.04</v>
          </cell>
          <cell r="B142" t="str">
            <v>　　利息收入</v>
          </cell>
        </row>
        <row r="143">
          <cell r="B143" t="str">
            <v>合计</v>
          </cell>
          <cell r="E143">
            <v>4843148.9000000004</v>
          </cell>
          <cell r="F143">
            <v>4843148.9000000004</v>
          </cell>
          <cell r="G143">
            <v>4657777.46</v>
          </cell>
          <cell r="H143">
            <v>4657777.46</v>
          </cell>
        </row>
      </sheetData>
      <sheetData sheetId="10">
        <row r="1">
          <cell r="A1" t="str">
            <v>币别:人民币</v>
          </cell>
          <cell r="B1" t="str">
            <v>账簿:深圳旭智私募股权基金管理有限公司</v>
          </cell>
          <cell r="C1" t="str">
            <v>期间:2025.11 -- 2025.11</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4317274.5599999996</v>
          </cell>
          <cell r="G4">
            <v>1400000</v>
          </cell>
          <cell r="H4">
            <v>2256544.69</v>
          </cell>
        </row>
        <row r="5">
          <cell r="A5" t="str">
            <v>1002.23</v>
          </cell>
          <cell r="B5" t="str">
            <v>　　【旭智私募】银行存款账户</v>
          </cell>
          <cell r="E5">
            <v>4317274.5599999996</v>
          </cell>
          <cell r="G5">
            <v>1400000</v>
          </cell>
          <cell r="H5">
            <v>2256544.69</v>
          </cell>
        </row>
        <row r="6">
          <cell r="A6" t="str">
            <v>1002.23.01</v>
          </cell>
          <cell r="B6" t="str">
            <v>　　　　农业银行账户</v>
          </cell>
          <cell r="E6">
            <v>4317274.5599999996</v>
          </cell>
          <cell r="G6">
            <v>1400000</v>
          </cell>
          <cell r="H6">
            <v>2256544.69</v>
          </cell>
        </row>
        <row r="7">
          <cell r="A7" t="str">
            <v>1002.23.01.01</v>
          </cell>
          <cell r="B7" t="str">
            <v>　　　　　　【旭智私募】农行 人民币基本户 6018</v>
          </cell>
          <cell r="E7">
            <v>622907.37</v>
          </cell>
          <cell r="G7">
            <v>1400000</v>
          </cell>
          <cell r="H7">
            <v>856542.91</v>
          </cell>
        </row>
        <row r="8">
          <cell r="A8" t="str">
            <v>1002.23.01.01.01</v>
          </cell>
          <cell r="B8" t="str">
            <v>　　　　　　　　【旭智私募】农行 人民币基本户 6018 活期存款</v>
          </cell>
          <cell r="E8">
            <v>122907.37</v>
          </cell>
          <cell r="G8">
            <v>1400000</v>
          </cell>
          <cell r="H8">
            <v>856542.91</v>
          </cell>
        </row>
        <row r="9">
          <cell r="A9" t="str">
            <v>1002.23.01.01.02</v>
          </cell>
          <cell r="B9" t="str">
            <v>　　　　　　　　【旭智私募】农行 人民币基本户 6018 七天通知存款</v>
          </cell>
          <cell r="E9">
            <v>500000</v>
          </cell>
        </row>
        <row r="10">
          <cell r="A10" t="str">
            <v>1002.23.01.02</v>
          </cell>
          <cell r="B10" t="str">
            <v>　　　　　　【旭智私募】农行 人民币资本金账户 6026</v>
          </cell>
          <cell r="E10">
            <v>28.88</v>
          </cell>
        </row>
        <row r="11">
          <cell r="A11" t="str">
            <v>1002.23.01.02.01</v>
          </cell>
          <cell r="B11" t="str">
            <v>　　　　　　　　【旭智私募】农行 人民币资本金账户 6026 活期存款</v>
          </cell>
          <cell r="E11">
            <v>28.88</v>
          </cell>
        </row>
        <row r="12">
          <cell r="A12" t="str">
            <v>1002.23.01.02.02</v>
          </cell>
          <cell r="B12" t="str">
            <v>　　　　　　　　【旭智私募】农行 人民币资本金账户 6026 七天通知存款</v>
          </cell>
        </row>
        <row r="13">
          <cell r="A13" t="str">
            <v>1002.23.01.03</v>
          </cell>
          <cell r="B13" t="str">
            <v>　　　　　　【旭智私募】农行 港元资本金账户 7230</v>
          </cell>
          <cell r="E13">
            <v>685.07</v>
          </cell>
          <cell r="H13">
            <v>1.78</v>
          </cell>
        </row>
        <row r="14">
          <cell r="A14" t="str">
            <v>1002.23.01.04</v>
          </cell>
          <cell r="B14" t="str">
            <v>　　　　　　【旭智私募】农行 人民币结汇待支付账户 7248</v>
          </cell>
          <cell r="E14">
            <v>3693653.24</v>
          </cell>
          <cell r="H14">
            <v>1400000</v>
          </cell>
        </row>
        <row r="15">
          <cell r="A15" t="str">
            <v>1002.23.01.04.01</v>
          </cell>
          <cell r="B15" t="str">
            <v>　　　　　　　　【旭智私募】农行 人民币结汇待支付账户 7248 活期存款</v>
          </cell>
          <cell r="E15">
            <v>3693653.24</v>
          </cell>
          <cell r="H15">
            <v>1400000</v>
          </cell>
        </row>
        <row r="16">
          <cell r="A16" t="str">
            <v>1002.23.01.04.02</v>
          </cell>
          <cell r="B16" t="str">
            <v>　　　　　　　　【旭智私募】农行 人民币结汇待支付账户 7248 定期存款</v>
          </cell>
        </row>
        <row r="17">
          <cell r="A17" t="str">
            <v>1101</v>
          </cell>
          <cell r="B17" t="str">
            <v>交易性金融资产</v>
          </cell>
        </row>
        <row r="18">
          <cell r="A18" t="str">
            <v>1101.01</v>
          </cell>
          <cell r="B18" t="str">
            <v>　　投资成本</v>
          </cell>
        </row>
        <row r="19">
          <cell r="A19" t="str">
            <v>1101.01.03</v>
          </cell>
          <cell r="B19" t="str">
            <v>　　　　银行理财</v>
          </cell>
        </row>
        <row r="20">
          <cell r="A20" t="str">
            <v>1123</v>
          </cell>
          <cell r="B20" t="str">
            <v>预付账款</v>
          </cell>
          <cell r="E20">
            <v>10000</v>
          </cell>
        </row>
        <row r="21">
          <cell r="A21" t="str">
            <v>1123.01</v>
          </cell>
          <cell r="B21" t="str">
            <v>　　单位</v>
          </cell>
          <cell r="E21">
            <v>10000</v>
          </cell>
        </row>
        <row r="22">
          <cell r="A22" t="str">
            <v>1123.01</v>
          </cell>
          <cell r="B22" t="str">
            <v>　　单位</v>
          </cell>
          <cell r="C22" t="str">
            <v>SU007002</v>
          </cell>
          <cell r="D22" t="str">
            <v>中国再生能源学会</v>
          </cell>
          <cell r="E22">
            <v>10000</v>
          </cell>
        </row>
        <row r="23">
          <cell r="A23" t="str">
            <v>1221</v>
          </cell>
          <cell r="B23" t="str">
            <v>其他应收款</v>
          </cell>
          <cell r="E23">
            <v>13000</v>
          </cell>
          <cell r="G23">
            <v>500000</v>
          </cell>
        </row>
        <row r="24">
          <cell r="A24" t="str">
            <v>1221.01</v>
          </cell>
          <cell r="B24" t="str">
            <v>　　单位</v>
          </cell>
          <cell r="E24">
            <v>13000</v>
          </cell>
          <cell r="G24">
            <v>500000</v>
          </cell>
        </row>
        <row r="25">
          <cell r="A25" t="str">
            <v>1221.01</v>
          </cell>
          <cell r="B25" t="str">
            <v>　　单位</v>
          </cell>
          <cell r="C25" t="str">
            <v>CU003006</v>
          </cell>
          <cell r="D25" t="str">
            <v>旭智咨询管理(深圳)有限责任公司</v>
          </cell>
          <cell r="G25">
            <v>500000</v>
          </cell>
        </row>
        <row r="26">
          <cell r="A26" t="str">
            <v>1221.01</v>
          </cell>
          <cell r="B26" t="str">
            <v>　　单位</v>
          </cell>
          <cell r="C26" t="str">
            <v>CU006005</v>
          </cell>
          <cell r="D26" t="str">
            <v>长峻物业管理(深圳)有限公司</v>
          </cell>
          <cell r="E26">
            <v>13000</v>
          </cell>
        </row>
        <row r="27">
          <cell r="A27" t="str">
            <v>1601</v>
          </cell>
          <cell r="B27" t="str">
            <v>固定资产</v>
          </cell>
          <cell r="E27">
            <v>2585</v>
          </cell>
        </row>
        <row r="28">
          <cell r="A28" t="str">
            <v>1601.04</v>
          </cell>
          <cell r="B28" t="str">
            <v>　　家具设备</v>
          </cell>
          <cell r="E28">
            <v>2585</v>
          </cell>
        </row>
        <row r="29">
          <cell r="A29" t="str">
            <v>1602</v>
          </cell>
          <cell r="B29" t="str">
            <v>累计折旧</v>
          </cell>
          <cell r="F29">
            <v>654.88</v>
          </cell>
          <cell r="H29">
            <v>40.93</v>
          </cell>
        </row>
        <row r="30">
          <cell r="A30" t="str">
            <v>1602.04</v>
          </cell>
          <cell r="B30" t="str">
            <v>　　家具设备</v>
          </cell>
          <cell r="F30">
            <v>654.88</v>
          </cell>
          <cell r="H30">
            <v>40.93</v>
          </cell>
        </row>
        <row r="31">
          <cell r="A31" t="str">
            <v>1641</v>
          </cell>
          <cell r="B31" t="str">
            <v>使用权资产</v>
          </cell>
          <cell r="E31">
            <v>125696.44</v>
          </cell>
        </row>
        <row r="32">
          <cell r="A32" t="str">
            <v>1641.03</v>
          </cell>
          <cell r="B32" t="str">
            <v>　　注册地址</v>
          </cell>
          <cell r="E32">
            <v>125696.44</v>
          </cell>
        </row>
        <row r="33">
          <cell r="A33" t="str">
            <v>1641.03.01</v>
          </cell>
          <cell r="B33" t="str">
            <v>　　　　旭智私募--前海壹号B座701E</v>
          </cell>
          <cell r="E33">
            <v>125696.44</v>
          </cell>
        </row>
        <row r="34">
          <cell r="A34" t="str">
            <v>1642</v>
          </cell>
          <cell r="B34" t="str">
            <v>使用权资产累计折旧</v>
          </cell>
          <cell r="F34">
            <v>113126.77</v>
          </cell>
          <cell r="H34">
            <v>6284.82</v>
          </cell>
        </row>
        <row r="35">
          <cell r="A35" t="str">
            <v>1642.03</v>
          </cell>
          <cell r="B35" t="str">
            <v>　　注册地址</v>
          </cell>
          <cell r="F35">
            <v>113126.77</v>
          </cell>
          <cell r="H35">
            <v>6284.82</v>
          </cell>
        </row>
        <row r="36">
          <cell r="A36" t="str">
            <v>1642.03.01</v>
          </cell>
          <cell r="B36" t="str">
            <v>　　　　旭智私募--前海壹号B座701E</v>
          </cell>
          <cell r="F36">
            <v>113126.77</v>
          </cell>
          <cell r="H36">
            <v>6284.82</v>
          </cell>
        </row>
        <row r="37">
          <cell r="A37" t="str">
            <v>2211</v>
          </cell>
          <cell r="B37" t="str">
            <v>应付职工薪酬</v>
          </cell>
          <cell r="G37">
            <v>224871.78</v>
          </cell>
          <cell r="H37">
            <v>224871.78</v>
          </cell>
        </row>
        <row r="38">
          <cell r="A38" t="str">
            <v>2211.01</v>
          </cell>
          <cell r="B38" t="str">
            <v>　　职工工资</v>
          </cell>
          <cell r="G38">
            <v>190689.32</v>
          </cell>
          <cell r="H38">
            <v>190689.32</v>
          </cell>
        </row>
        <row r="39">
          <cell r="A39" t="str">
            <v>2211.02</v>
          </cell>
          <cell r="B39" t="str">
            <v>　　职工奖金</v>
          </cell>
        </row>
        <row r="40">
          <cell r="A40" t="str">
            <v>2211.05</v>
          </cell>
          <cell r="B40" t="str">
            <v>　　社会保险费</v>
          </cell>
          <cell r="G40">
            <v>13718.86</v>
          </cell>
          <cell r="H40">
            <v>13718.86</v>
          </cell>
        </row>
        <row r="41">
          <cell r="A41" t="str">
            <v>2211.06</v>
          </cell>
          <cell r="B41" t="str">
            <v>　　住房公积金</v>
          </cell>
          <cell r="G41">
            <v>20463.599999999999</v>
          </cell>
          <cell r="H41">
            <v>20463.599999999999</v>
          </cell>
        </row>
        <row r="42">
          <cell r="A42" t="str">
            <v>2211.08</v>
          </cell>
          <cell r="B42" t="str">
            <v>　　职工教育经费</v>
          </cell>
        </row>
        <row r="43">
          <cell r="A43" t="str">
            <v>2221</v>
          </cell>
          <cell r="B43" t="str">
            <v>应交税费</v>
          </cell>
          <cell r="F43">
            <v>42846.04</v>
          </cell>
          <cell r="G43">
            <v>61347.22</v>
          </cell>
          <cell r="H43">
            <v>61275.96</v>
          </cell>
        </row>
        <row r="44">
          <cell r="A44" t="str">
            <v>2221.01</v>
          </cell>
          <cell r="B44" t="str">
            <v>　　应交增值税</v>
          </cell>
          <cell r="F44">
            <v>-13870.86</v>
          </cell>
          <cell r="G44">
            <v>1147.74</v>
          </cell>
        </row>
        <row r="45">
          <cell r="A45" t="str">
            <v>2221.01.01</v>
          </cell>
          <cell r="B45" t="str">
            <v>　　　　销项税额</v>
          </cell>
          <cell r="F45">
            <v>819.37</v>
          </cell>
        </row>
        <row r="46">
          <cell r="A46" t="str">
            <v>2221.01.03</v>
          </cell>
          <cell r="B46" t="str">
            <v>　　　　进项税额</v>
          </cell>
          <cell r="F46">
            <v>-14690.23</v>
          </cell>
          <cell r="G46">
            <v>1147.74</v>
          </cell>
        </row>
        <row r="47">
          <cell r="A47" t="str">
            <v>2221.03</v>
          </cell>
          <cell r="B47" t="str">
            <v>　　暂估进项税额</v>
          </cell>
          <cell r="F47">
            <v>-1034.4000000000001</v>
          </cell>
          <cell r="G47">
            <v>2130.7199999999998</v>
          </cell>
          <cell r="H47">
            <v>830.28</v>
          </cell>
        </row>
        <row r="48">
          <cell r="A48" t="str">
            <v>2221.06</v>
          </cell>
          <cell r="B48" t="str">
            <v>　　待认证进项税额</v>
          </cell>
          <cell r="G48">
            <v>317.45999999999998</v>
          </cell>
          <cell r="H48">
            <v>317.45999999999998</v>
          </cell>
        </row>
        <row r="49">
          <cell r="A49" t="str">
            <v>2221.07</v>
          </cell>
          <cell r="B49" t="str">
            <v>　　待抵扣进项税额</v>
          </cell>
        </row>
        <row r="50">
          <cell r="A50" t="str">
            <v>2221.16</v>
          </cell>
          <cell r="B50" t="str">
            <v>　　应交个人所得税</v>
          </cell>
          <cell r="F50">
            <v>57751.3</v>
          </cell>
          <cell r="G50">
            <v>57751.3</v>
          </cell>
          <cell r="H50">
            <v>60128.22</v>
          </cell>
        </row>
        <row r="51">
          <cell r="A51" t="str">
            <v>2241</v>
          </cell>
          <cell r="B51" t="str">
            <v>其他应付款</v>
          </cell>
          <cell r="F51">
            <v>14630.86</v>
          </cell>
          <cell r="G51">
            <v>21664.6</v>
          </cell>
          <cell r="H51">
            <v>39815.72</v>
          </cell>
        </row>
        <row r="52">
          <cell r="A52" t="str">
            <v>2241.01</v>
          </cell>
          <cell r="B52" t="str">
            <v>　　单位</v>
          </cell>
          <cell r="F52">
            <v>13798</v>
          </cell>
          <cell r="G52">
            <v>21664.6</v>
          </cell>
          <cell r="H52">
            <v>39815.72</v>
          </cell>
        </row>
        <row r="53">
          <cell r="A53" t="str">
            <v>2241.01</v>
          </cell>
          <cell r="B53" t="str">
            <v>　　单位</v>
          </cell>
          <cell r="C53" t="str">
            <v>SU005004</v>
          </cell>
          <cell r="D53" t="str">
            <v>上海爱文人才服务有限公司</v>
          </cell>
          <cell r="G53">
            <v>1200</v>
          </cell>
          <cell r="H53">
            <v>1200</v>
          </cell>
        </row>
        <row r="54">
          <cell r="A54" t="str">
            <v>2241.01</v>
          </cell>
          <cell r="B54" t="str">
            <v>　　单位</v>
          </cell>
          <cell r="C54" t="str">
            <v>SU005007</v>
          </cell>
          <cell r="D54" t="str">
            <v>普华永道中天会计师事务所（特殊普通合伙）</v>
          </cell>
        </row>
        <row r="55">
          <cell r="A55" t="str">
            <v>2241.01</v>
          </cell>
          <cell r="B55" t="str">
            <v>　　单位</v>
          </cell>
          <cell r="C55" t="str">
            <v>SU005044</v>
          </cell>
          <cell r="D55" t="str">
            <v>旭智咨询管理（深圳）有限责任公司</v>
          </cell>
        </row>
        <row r="56">
          <cell r="A56" t="str">
            <v>2241.01</v>
          </cell>
          <cell r="B56" t="str">
            <v>　　单位</v>
          </cell>
          <cell r="C56" t="str">
            <v>SU006012</v>
          </cell>
          <cell r="D56" t="str">
            <v>上海携程宏睿国际旅行社有限公司</v>
          </cell>
          <cell r="F56">
            <v>13798</v>
          </cell>
          <cell r="G56">
            <v>13798</v>
          </cell>
          <cell r="H56">
            <v>31949.119999999999</v>
          </cell>
        </row>
        <row r="57">
          <cell r="A57" t="str">
            <v>2241.01</v>
          </cell>
          <cell r="B57" t="str">
            <v>　　单位</v>
          </cell>
          <cell r="C57" t="str">
            <v>SU006025</v>
          </cell>
          <cell r="D57" t="str">
            <v>全景求是管理顾问（北京）有限公司</v>
          </cell>
        </row>
        <row r="58">
          <cell r="A58" t="str">
            <v>2241.01</v>
          </cell>
          <cell r="B58" t="str">
            <v>　　单位</v>
          </cell>
          <cell r="C58" t="str">
            <v>SU007003</v>
          </cell>
          <cell r="D58" t="str">
            <v>长峻物业管理（深圳）有限公司</v>
          </cell>
          <cell r="G58">
            <v>6666.6</v>
          </cell>
          <cell r="H58">
            <v>6666.6</v>
          </cell>
        </row>
        <row r="59">
          <cell r="A59" t="str">
            <v>2241.01</v>
          </cell>
          <cell r="B59" t="str">
            <v>　　单位</v>
          </cell>
          <cell r="C59" t="str">
            <v>SU007005</v>
          </cell>
          <cell r="D59" t="str">
            <v>深圳前海百丰外企咨询服务有限公司</v>
          </cell>
        </row>
        <row r="60">
          <cell r="A60" t="str">
            <v>2241.02</v>
          </cell>
          <cell r="B60" t="str">
            <v>　　个人</v>
          </cell>
          <cell r="F60">
            <v>832.86</v>
          </cell>
        </row>
        <row r="61">
          <cell r="A61" t="str">
            <v>2241.02</v>
          </cell>
          <cell r="B61" t="str">
            <v>　　个人</v>
          </cell>
          <cell r="C61" t="str">
            <v>SP005001</v>
          </cell>
          <cell r="D61" t="str">
            <v>冯冠邦</v>
          </cell>
          <cell r="F61">
            <v>832.86</v>
          </cell>
        </row>
        <row r="62">
          <cell r="A62" t="str">
            <v>2241.02</v>
          </cell>
          <cell r="B62" t="str">
            <v>　　个人</v>
          </cell>
          <cell r="C62" t="str">
            <v>SP005006</v>
          </cell>
          <cell r="D62" t="str">
            <v>张歆</v>
          </cell>
        </row>
        <row r="63">
          <cell r="A63" t="str">
            <v>2241.02</v>
          </cell>
          <cell r="B63" t="str">
            <v>　　个人</v>
          </cell>
          <cell r="C63" t="str">
            <v>SP005011</v>
          </cell>
          <cell r="D63" t="str">
            <v>郭宗林</v>
          </cell>
        </row>
        <row r="64">
          <cell r="A64" t="str">
            <v>2241.02</v>
          </cell>
          <cell r="B64" t="str">
            <v>　　个人</v>
          </cell>
          <cell r="C64" t="str">
            <v>SP006002</v>
          </cell>
          <cell r="D64" t="str">
            <v>陈灿</v>
          </cell>
        </row>
        <row r="65">
          <cell r="A65" t="str">
            <v>2241.02</v>
          </cell>
          <cell r="B65" t="str">
            <v>　　个人</v>
          </cell>
          <cell r="C65" t="str">
            <v>SP006009</v>
          </cell>
          <cell r="D65" t="str">
            <v>林秋蝶</v>
          </cell>
        </row>
        <row r="66">
          <cell r="A66" t="str">
            <v>2241.02</v>
          </cell>
          <cell r="B66" t="str">
            <v>　　个人</v>
          </cell>
          <cell r="C66" t="str">
            <v>SP006010</v>
          </cell>
          <cell r="D66" t="str">
            <v>陈广华</v>
          </cell>
        </row>
        <row r="67">
          <cell r="A67" t="str">
            <v>2241.02</v>
          </cell>
          <cell r="B67" t="str">
            <v>　　个人</v>
          </cell>
          <cell r="C67" t="str">
            <v>SP006011</v>
          </cell>
          <cell r="D67" t="str">
            <v>李敏宽</v>
          </cell>
        </row>
        <row r="68">
          <cell r="A68" t="str">
            <v>2601</v>
          </cell>
          <cell r="B68" t="str">
            <v>租赁负债</v>
          </cell>
          <cell r="F68">
            <v>12638.49</v>
          </cell>
          <cell r="G68">
            <v>6349.14</v>
          </cell>
          <cell r="H68">
            <v>39.85</v>
          </cell>
        </row>
        <row r="69">
          <cell r="A69" t="str">
            <v>2601.01</v>
          </cell>
          <cell r="B69" t="str">
            <v>　　租赁付款额</v>
          </cell>
          <cell r="F69">
            <v>12698.28</v>
          </cell>
          <cell r="G69">
            <v>6349.14</v>
          </cell>
        </row>
        <row r="70">
          <cell r="A70" t="str">
            <v>2601.01.03</v>
          </cell>
          <cell r="B70" t="str">
            <v>　　　　注册地址</v>
          </cell>
          <cell r="F70">
            <v>12698.28</v>
          </cell>
          <cell r="G70">
            <v>6349.14</v>
          </cell>
        </row>
        <row r="71">
          <cell r="A71" t="str">
            <v>2601.01.03.01</v>
          </cell>
          <cell r="B71" t="str">
            <v>　　　　　　旭智私募--前海壹号B座701E</v>
          </cell>
          <cell r="F71">
            <v>12698.28</v>
          </cell>
          <cell r="G71">
            <v>6349.14</v>
          </cell>
        </row>
        <row r="72">
          <cell r="A72" t="str">
            <v>2601.02</v>
          </cell>
          <cell r="B72" t="str">
            <v>　　未确认融资费用</v>
          </cell>
          <cell r="F72">
            <v>-59.79</v>
          </cell>
          <cell r="H72">
            <v>39.85</v>
          </cell>
        </row>
        <row r="73">
          <cell r="A73" t="str">
            <v>2601.02.03</v>
          </cell>
          <cell r="B73" t="str">
            <v>　　　　注册地址</v>
          </cell>
          <cell r="F73">
            <v>-59.79</v>
          </cell>
          <cell r="H73">
            <v>39.85</v>
          </cell>
        </row>
        <row r="74">
          <cell r="A74" t="str">
            <v>2601.02.03.01</v>
          </cell>
          <cell r="B74" t="str">
            <v>　　　　　　旭智私募--前海壹号B座701E</v>
          </cell>
          <cell r="F74">
            <v>-59.79</v>
          </cell>
          <cell r="H74">
            <v>39.85</v>
          </cell>
        </row>
        <row r="75">
          <cell r="A75" t="str">
            <v>4001</v>
          </cell>
          <cell r="B75" t="str">
            <v>实收资本（股本）</v>
          </cell>
          <cell r="F75">
            <v>10000000</v>
          </cell>
        </row>
        <row r="76">
          <cell r="A76" t="str">
            <v>4001.11</v>
          </cell>
          <cell r="B76" t="str">
            <v>　　旭智资本（香港）有限公司</v>
          </cell>
          <cell r="F76">
            <v>4900000</v>
          </cell>
        </row>
        <row r="77">
          <cell r="A77" t="str">
            <v>4001.20</v>
          </cell>
          <cell r="B77" t="str">
            <v>　　冯冠邦</v>
          </cell>
          <cell r="F77">
            <v>5100000</v>
          </cell>
        </row>
        <row r="78">
          <cell r="A78" t="str">
            <v>4103</v>
          </cell>
          <cell r="B78" t="str">
            <v>本年利润</v>
          </cell>
          <cell r="F78">
            <v>-3619074.67</v>
          </cell>
          <cell r="G78">
            <v>374641.01</v>
          </cell>
        </row>
        <row r="79">
          <cell r="A79" t="str">
            <v>4104</v>
          </cell>
          <cell r="B79" t="str">
            <v>利润分配</v>
          </cell>
          <cell r="F79">
            <v>-2096266.37</v>
          </cell>
        </row>
        <row r="80">
          <cell r="A80" t="str">
            <v>4104.07</v>
          </cell>
          <cell r="B80" t="str">
            <v>　　未分配利润</v>
          </cell>
          <cell r="F80">
            <v>-2096266.37</v>
          </cell>
        </row>
        <row r="81">
          <cell r="A81" t="str">
            <v>6111</v>
          </cell>
          <cell r="B81" t="str">
            <v>投资收益</v>
          </cell>
        </row>
        <row r="82">
          <cell r="A82" t="str">
            <v>6115</v>
          </cell>
          <cell r="B82" t="str">
            <v>其他收益</v>
          </cell>
        </row>
        <row r="83">
          <cell r="A83" t="str">
            <v>6115.02</v>
          </cell>
          <cell r="B83" t="str">
            <v>　　个税手续费返还</v>
          </cell>
        </row>
        <row r="84">
          <cell r="A84" t="str">
            <v>6602</v>
          </cell>
          <cell r="B84" t="str">
            <v>管理费用</v>
          </cell>
          <cell r="G84">
            <v>374566.38</v>
          </cell>
          <cell r="H84">
            <v>374566.38</v>
          </cell>
        </row>
        <row r="85">
          <cell r="A85" t="str">
            <v>6602.01</v>
          </cell>
          <cell r="B85" t="str">
            <v>　　工资薪金</v>
          </cell>
          <cell r="G85">
            <v>285000</v>
          </cell>
          <cell r="H85">
            <v>285000</v>
          </cell>
        </row>
        <row r="86">
          <cell r="A86" t="str">
            <v>6602.01.01</v>
          </cell>
          <cell r="B86" t="str">
            <v>　　　　基本工资（专业）</v>
          </cell>
          <cell r="G86">
            <v>285000</v>
          </cell>
          <cell r="H86">
            <v>285000</v>
          </cell>
        </row>
        <row r="87">
          <cell r="A87" t="str">
            <v>6602.03</v>
          </cell>
          <cell r="B87" t="str">
            <v>　　社保公积金</v>
          </cell>
          <cell r="G87">
            <v>52222.23</v>
          </cell>
          <cell r="H87">
            <v>52222.23</v>
          </cell>
        </row>
        <row r="88">
          <cell r="A88" t="str">
            <v>6602.03.01</v>
          </cell>
          <cell r="B88" t="str">
            <v>　　　　员工社保福利</v>
          </cell>
          <cell r="G88">
            <v>31758.63</v>
          </cell>
          <cell r="H88">
            <v>31758.63</v>
          </cell>
        </row>
        <row r="89">
          <cell r="A89" t="str">
            <v>6602.03.02</v>
          </cell>
          <cell r="B89" t="str">
            <v>　　　　员工公积金福利</v>
          </cell>
          <cell r="G89">
            <v>20463.599999999999</v>
          </cell>
          <cell r="H89">
            <v>20463.599999999999</v>
          </cell>
        </row>
        <row r="90">
          <cell r="A90" t="str">
            <v>6602.04</v>
          </cell>
          <cell r="B90" t="str">
            <v>　　咨询及专业服务费</v>
          </cell>
          <cell r="G90">
            <v>1200</v>
          </cell>
          <cell r="H90">
            <v>1200</v>
          </cell>
        </row>
        <row r="91">
          <cell r="A91" t="str">
            <v>6602.04.02</v>
          </cell>
          <cell r="B91" t="str">
            <v>　　　　审计服务费</v>
          </cell>
        </row>
        <row r="92">
          <cell r="A92" t="str">
            <v>6602.04.07</v>
          </cell>
          <cell r="B92" t="str">
            <v>　　　　人力资源服务费</v>
          </cell>
          <cell r="G92">
            <v>1200</v>
          </cell>
          <cell r="H92">
            <v>1200</v>
          </cell>
        </row>
        <row r="93">
          <cell r="A93" t="str">
            <v>6602.04.08</v>
          </cell>
          <cell r="B93" t="str">
            <v>　　　　背景调查费</v>
          </cell>
        </row>
        <row r="94">
          <cell r="A94" t="str">
            <v>6602.06</v>
          </cell>
          <cell r="B94" t="str">
            <v>　　业务招待费</v>
          </cell>
        </row>
        <row r="95">
          <cell r="A95" t="str">
            <v>6602.06</v>
          </cell>
          <cell r="B95" t="str">
            <v>　　业务招待费</v>
          </cell>
          <cell r="C95" t="str">
            <v>CI002</v>
          </cell>
          <cell r="D95" t="str">
            <v>旭智富能</v>
          </cell>
        </row>
        <row r="96">
          <cell r="A96" t="str">
            <v>6602.08</v>
          </cell>
          <cell r="B96" t="str">
            <v>　　事务费用</v>
          </cell>
        </row>
        <row r="97">
          <cell r="A97" t="str">
            <v>6602.08.01</v>
          </cell>
          <cell r="B97" t="str">
            <v>　　　　通信费</v>
          </cell>
        </row>
        <row r="98">
          <cell r="A98" t="str">
            <v>6602.08.01</v>
          </cell>
          <cell r="B98" t="str">
            <v>　　　　通信费</v>
          </cell>
          <cell r="C98" t="str">
            <v>CI005</v>
          </cell>
          <cell r="D98" t="str">
            <v>旭智私募</v>
          </cell>
        </row>
        <row r="99">
          <cell r="A99" t="str">
            <v>6602.08.03</v>
          </cell>
          <cell r="B99" t="str">
            <v>　　　　办公用品</v>
          </cell>
        </row>
        <row r="100">
          <cell r="A100" t="str">
            <v>6602.08.03</v>
          </cell>
          <cell r="B100" t="str">
            <v>　　　　办公用品</v>
          </cell>
          <cell r="C100" t="str">
            <v>CI005</v>
          </cell>
          <cell r="D100" t="str">
            <v>旭智私募</v>
          </cell>
        </row>
        <row r="101">
          <cell r="A101" t="str">
            <v>6602.08.05</v>
          </cell>
          <cell r="B101" t="str">
            <v>　　　　邮费/邮递费</v>
          </cell>
        </row>
        <row r="102">
          <cell r="A102" t="str">
            <v>6602.08.05</v>
          </cell>
          <cell r="B102" t="str">
            <v>　　　　邮费/邮递费</v>
          </cell>
          <cell r="C102" t="str">
            <v>CI005</v>
          </cell>
          <cell r="D102" t="str">
            <v>旭智私募</v>
          </cell>
        </row>
        <row r="103">
          <cell r="A103" t="str">
            <v>6602.09</v>
          </cell>
          <cell r="B103" t="str">
            <v>　　差旅费</v>
          </cell>
          <cell r="G103">
            <v>29818.400000000001</v>
          </cell>
          <cell r="H103">
            <v>29818.400000000001</v>
          </cell>
        </row>
        <row r="104">
          <cell r="A104" t="str">
            <v>6602.09.01</v>
          </cell>
          <cell r="B104" t="str">
            <v>　　　　住宿费</v>
          </cell>
          <cell r="G104">
            <v>11559.08</v>
          </cell>
          <cell r="H104">
            <v>11559.08</v>
          </cell>
        </row>
        <row r="105">
          <cell r="A105" t="str">
            <v>6602.09.01</v>
          </cell>
          <cell r="B105" t="str">
            <v>　　　　住宿费</v>
          </cell>
          <cell r="C105" t="str">
            <v>CI002</v>
          </cell>
          <cell r="D105" t="str">
            <v>旭智富能</v>
          </cell>
          <cell r="G105">
            <v>8125.85</v>
          </cell>
          <cell r="H105">
            <v>8125.85</v>
          </cell>
        </row>
        <row r="106">
          <cell r="A106" t="str">
            <v>6602.09.01</v>
          </cell>
          <cell r="B106" t="str">
            <v>　　　　住宿费</v>
          </cell>
          <cell r="C106" t="str">
            <v>CI005</v>
          </cell>
          <cell r="D106" t="str">
            <v>旭智私募</v>
          </cell>
        </row>
        <row r="107">
          <cell r="A107" t="str">
            <v>6602.09.01</v>
          </cell>
          <cell r="B107" t="str">
            <v>　　　　住宿费</v>
          </cell>
          <cell r="C107" t="str">
            <v>CI007</v>
          </cell>
          <cell r="D107" t="str">
            <v>其他项目</v>
          </cell>
          <cell r="G107">
            <v>3433.23</v>
          </cell>
          <cell r="H107">
            <v>3433.23</v>
          </cell>
        </row>
        <row r="108">
          <cell r="A108" t="str">
            <v>6602.09.02</v>
          </cell>
          <cell r="B108" t="str">
            <v>　　　　伙食费</v>
          </cell>
        </row>
        <row r="109">
          <cell r="A109" t="str">
            <v>6602.09.02</v>
          </cell>
          <cell r="B109" t="str">
            <v>　　　　伙食费</v>
          </cell>
          <cell r="C109" t="str">
            <v>CI002</v>
          </cell>
          <cell r="D109" t="str">
            <v>旭智富能</v>
          </cell>
        </row>
        <row r="110">
          <cell r="A110" t="str">
            <v>6602.09.02</v>
          </cell>
          <cell r="B110" t="str">
            <v>　　　　伙食费</v>
          </cell>
          <cell r="C110" t="str">
            <v>CI005</v>
          </cell>
          <cell r="D110" t="str">
            <v>旭智私募</v>
          </cell>
        </row>
        <row r="111">
          <cell r="A111" t="str">
            <v>6602.09.02</v>
          </cell>
          <cell r="B111" t="str">
            <v>　　　　伙食费</v>
          </cell>
          <cell r="C111" t="str">
            <v>CI007</v>
          </cell>
          <cell r="D111" t="str">
            <v>其他项目</v>
          </cell>
        </row>
        <row r="112">
          <cell r="A112" t="str">
            <v>6602.09.03</v>
          </cell>
          <cell r="B112" t="str">
            <v>　　　　地面交通费</v>
          </cell>
          <cell r="G112">
            <v>3184.5</v>
          </cell>
          <cell r="H112">
            <v>3184.5</v>
          </cell>
        </row>
        <row r="113">
          <cell r="A113" t="str">
            <v>6602.09.03</v>
          </cell>
          <cell r="B113" t="str">
            <v>　　　　地面交通费</v>
          </cell>
          <cell r="C113" t="str">
            <v>CI002</v>
          </cell>
          <cell r="D113" t="str">
            <v>旭智富能</v>
          </cell>
          <cell r="G113">
            <v>2685.78</v>
          </cell>
          <cell r="H113">
            <v>2685.78</v>
          </cell>
        </row>
        <row r="114">
          <cell r="A114" t="str">
            <v>6602.09.03</v>
          </cell>
          <cell r="B114" t="str">
            <v>　　　　地面交通费</v>
          </cell>
          <cell r="C114" t="str">
            <v>CI005</v>
          </cell>
          <cell r="D114" t="str">
            <v>旭智私募</v>
          </cell>
          <cell r="G114">
            <v>340</v>
          </cell>
          <cell r="H114">
            <v>340</v>
          </cell>
        </row>
        <row r="115">
          <cell r="A115" t="str">
            <v>6602.09.03</v>
          </cell>
          <cell r="B115" t="str">
            <v>　　　　地面交通费</v>
          </cell>
          <cell r="C115" t="str">
            <v>CI007</v>
          </cell>
          <cell r="D115" t="str">
            <v>其他项目</v>
          </cell>
          <cell r="G115">
            <v>158.72</v>
          </cell>
          <cell r="H115">
            <v>158.72</v>
          </cell>
        </row>
        <row r="116">
          <cell r="A116" t="str">
            <v>6602.09.04</v>
          </cell>
          <cell r="B116" t="str">
            <v>　　　　空中交通费</v>
          </cell>
          <cell r="G116">
            <v>14241.81</v>
          </cell>
          <cell r="H116">
            <v>14241.81</v>
          </cell>
        </row>
        <row r="117">
          <cell r="A117" t="str">
            <v>6602.09.04</v>
          </cell>
          <cell r="B117" t="str">
            <v>　　　　空中交通费</v>
          </cell>
          <cell r="C117" t="str">
            <v>CI002</v>
          </cell>
          <cell r="D117" t="str">
            <v>旭智富能</v>
          </cell>
          <cell r="G117">
            <v>9744.1</v>
          </cell>
          <cell r="H117">
            <v>9744.1</v>
          </cell>
        </row>
        <row r="118">
          <cell r="A118" t="str">
            <v>6602.09.04</v>
          </cell>
          <cell r="B118" t="str">
            <v>　　　　空中交通费</v>
          </cell>
          <cell r="C118" t="str">
            <v>CI005</v>
          </cell>
          <cell r="D118" t="str">
            <v>旭智私募</v>
          </cell>
        </row>
        <row r="119">
          <cell r="A119" t="str">
            <v>6602.09.04</v>
          </cell>
          <cell r="B119" t="str">
            <v>　　　　空中交通费</v>
          </cell>
          <cell r="C119" t="str">
            <v>CI007</v>
          </cell>
          <cell r="D119" t="str">
            <v>其他项目</v>
          </cell>
          <cell r="G119">
            <v>4497.71</v>
          </cell>
          <cell r="H119">
            <v>4497.71</v>
          </cell>
        </row>
        <row r="120">
          <cell r="A120" t="str">
            <v>6602.09.08</v>
          </cell>
          <cell r="B120" t="str">
            <v>　　　　退改费用（机票/火车等）</v>
          </cell>
        </row>
        <row r="121">
          <cell r="A121" t="str">
            <v>6602.09.08</v>
          </cell>
          <cell r="B121" t="str">
            <v>　　　　退改费用（机票/火车等）</v>
          </cell>
          <cell r="C121" t="str">
            <v>CI002</v>
          </cell>
          <cell r="D121" t="str">
            <v>旭智富能</v>
          </cell>
        </row>
        <row r="122">
          <cell r="A122" t="str">
            <v>6602.09.08</v>
          </cell>
          <cell r="B122" t="str">
            <v>　　　　退改费用（机票/火车等）</v>
          </cell>
          <cell r="C122" t="str">
            <v>CI005</v>
          </cell>
          <cell r="D122" t="str">
            <v>旭智私募</v>
          </cell>
        </row>
        <row r="123">
          <cell r="A123" t="str">
            <v>6602.09.09</v>
          </cell>
          <cell r="B123" t="str">
            <v>　　　　携程服务费</v>
          </cell>
          <cell r="G123">
            <v>833.01</v>
          </cell>
          <cell r="H123">
            <v>833.01</v>
          </cell>
        </row>
        <row r="124">
          <cell r="A124" t="str">
            <v>6602.09.09</v>
          </cell>
          <cell r="B124" t="str">
            <v>　　　　携程服务费</v>
          </cell>
          <cell r="C124" t="str">
            <v>CI002</v>
          </cell>
          <cell r="D124" t="str">
            <v>旭智富能</v>
          </cell>
          <cell r="G124">
            <v>639.62</v>
          </cell>
          <cell r="H124">
            <v>639.62</v>
          </cell>
        </row>
        <row r="125">
          <cell r="A125" t="str">
            <v>6602.09.09</v>
          </cell>
          <cell r="B125" t="str">
            <v>　　　　携程服务费</v>
          </cell>
          <cell r="C125" t="str">
            <v>CI005</v>
          </cell>
          <cell r="D125" t="str">
            <v>旭智私募</v>
          </cell>
          <cell r="G125">
            <v>23.58</v>
          </cell>
          <cell r="H125">
            <v>23.58</v>
          </cell>
        </row>
        <row r="126">
          <cell r="A126" t="str">
            <v>6602.09.09</v>
          </cell>
          <cell r="B126" t="str">
            <v>　　　　携程服务费</v>
          </cell>
          <cell r="C126" t="str">
            <v>CI007</v>
          </cell>
          <cell r="D126" t="str">
            <v>其他项目</v>
          </cell>
          <cell r="G126">
            <v>169.81</v>
          </cell>
          <cell r="H126">
            <v>169.81</v>
          </cell>
        </row>
        <row r="127">
          <cell r="A127" t="str">
            <v>6602.09.99</v>
          </cell>
          <cell r="B127" t="str">
            <v>　　　　其他</v>
          </cell>
        </row>
        <row r="128">
          <cell r="A128" t="str">
            <v>6602.09.99</v>
          </cell>
          <cell r="B128" t="str">
            <v>　　　　其他</v>
          </cell>
          <cell r="C128" t="str">
            <v>CI002</v>
          </cell>
          <cell r="D128" t="str">
            <v>旭智富能</v>
          </cell>
        </row>
        <row r="129">
          <cell r="A129" t="str">
            <v>6602.10</v>
          </cell>
          <cell r="B129" t="str">
            <v>　　折旧费</v>
          </cell>
          <cell r="G129">
            <v>40.93</v>
          </cell>
          <cell r="H129">
            <v>40.93</v>
          </cell>
        </row>
        <row r="130">
          <cell r="A130" t="str">
            <v>6602.10.04</v>
          </cell>
          <cell r="B130" t="str">
            <v>　　　　家具设备</v>
          </cell>
          <cell r="G130">
            <v>40.93</v>
          </cell>
          <cell r="H130">
            <v>40.93</v>
          </cell>
        </row>
        <row r="131">
          <cell r="A131" t="str">
            <v>6602.12</v>
          </cell>
          <cell r="B131" t="str">
            <v>　　使用权资产折旧</v>
          </cell>
          <cell r="G131">
            <v>6284.82</v>
          </cell>
          <cell r="H131">
            <v>6284.82</v>
          </cell>
        </row>
        <row r="132">
          <cell r="A132" t="str">
            <v>6602.12.03</v>
          </cell>
          <cell r="B132" t="str">
            <v>　　　　注册地址</v>
          </cell>
          <cell r="G132">
            <v>6284.82</v>
          </cell>
          <cell r="H132">
            <v>6284.82</v>
          </cell>
        </row>
        <row r="133">
          <cell r="A133" t="str">
            <v>6602.12.03.01</v>
          </cell>
          <cell r="B133" t="str">
            <v>　　　　　　旭智私募--前海壹号B座701E</v>
          </cell>
          <cell r="G133">
            <v>6284.82</v>
          </cell>
          <cell r="H133">
            <v>6284.82</v>
          </cell>
        </row>
        <row r="134">
          <cell r="A134" t="str">
            <v>6602.15</v>
          </cell>
          <cell r="B134" t="str">
            <v>　　服务费</v>
          </cell>
        </row>
        <row r="135">
          <cell r="A135" t="str">
            <v>6602.19</v>
          </cell>
          <cell r="B135" t="str">
            <v>　　会费（公司）</v>
          </cell>
        </row>
        <row r="136">
          <cell r="A136" t="str">
            <v>6602.20</v>
          </cell>
          <cell r="B136" t="str">
            <v>　　职工教育经费</v>
          </cell>
        </row>
        <row r="137">
          <cell r="A137" t="str">
            <v>6603</v>
          </cell>
          <cell r="B137" t="str">
            <v>财务费用</v>
          </cell>
          <cell r="G137">
            <v>74.63</v>
          </cell>
          <cell r="H137">
            <v>74.63</v>
          </cell>
        </row>
        <row r="138">
          <cell r="A138" t="str">
            <v>6603.01</v>
          </cell>
          <cell r="B138" t="str">
            <v>　　汇兑损益</v>
          </cell>
          <cell r="G138">
            <v>1.78</v>
          </cell>
          <cell r="H138">
            <v>1.78</v>
          </cell>
        </row>
        <row r="139">
          <cell r="A139" t="str">
            <v>6603.02</v>
          </cell>
          <cell r="B139" t="str">
            <v>　　利息费用</v>
          </cell>
          <cell r="G139">
            <v>39.85</v>
          </cell>
          <cell r="H139">
            <v>39.85</v>
          </cell>
        </row>
        <row r="140">
          <cell r="A140" t="str">
            <v>6603.02.03</v>
          </cell>
          <cell r="B140" t="str">
            <v>　　　　注册地址</v>
          </cell>
          <cell r="G140">
            <v>39.85</v>
          </cell>
          <cell r="H140">
            <v>39.85</v>
          </cell>
        </row>
        <row r="141">
          <cell r="A141" t="str">
            <v>6603.02.03.01</v>
          </cell>
          <cell r="B141" t="str">
            <v>　　　　　　旭智私募--前海壹号B座701E</v>
          </cell>
          <cell r="G141">
            <v>39.85</v>
          </cell>
          <cell r="H141">
            <v>39.85</v>
          </cell>
        </row>
        <row r="142">
          <cell r="A142" t="str">
            <v>6603.03</v>
          </cell>
          <cell r="B142" t="str">
            <v>　　银行手续费</v>
          </cell>
          <cell r="G142">
            <v>33</v>
          </cell>
          <cell r="H142">
            <v>33</v>
          </cell>
        </row>
        <row r="143">
          <cell r="A143" t="str">
            <v>6603.04</v>
          </cell>
          <cell r="B143" t="str">
            <v>　　利息收入</v>
          </cell>
        </row>
        <row r="144">
          <cell r="B144" t="str">
            <v>合计</v>
          </cell>
          <cell r="E144">
            <v>4468556</v>
          </cell>
          <cell r="F144">
            <v>4468556</v>
          </cell>
          <cell r="G144">
            <v>2963514.76</v>
          </cell>
          <cell r="H144">
            <v>2963514.76</v>
          </cell>
        </row>
      </sheetData>
      <sheetData sheetId="11">
        <row r="1">
          <cell r="A1" t="str">
            <v>币别:人民币</v>
          </cell>
          <cell r="B1" t="str">
            <v>账簿:深圳旭智私募股权基金管理有限公司</v>
          </cell>
          <cell r="C1" t="str">
            <v>期间:2025.12 -- 2025.12</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3460729.87</v>
          </cell>
          <cell r="G4">
            <v>503577.09</v>
          </cell>
          <cell r="H4">
            <v>1554471.83</v>
          </cell>
        </row>
        <row r="5">
          <cell r="A5" t="str">
            <v>1002.23</v>
          </cell>
          <cell r="B5" t="str">
            <v>　　【旭智私募】银行存款账户</v>
          </cell>
          <cell r="E5">
            <v>3460729.87</v>
          </cell>
          <cell r="G5">
            <v>503577.09</v>
          </cell>
          <cell r="H5">
            <v>1554471.83</v>
          </cell>
        </row>
        <row r="6">
          <cell r="A6" t="str">
            <v>1002.23.01</v>
          </cell>
          <cell r="B6" t="str">
            <v>　　　　农业银行账户</v>
          </cell>
          <cell r="E6">
            <v>3460729.87</v>
          </cell>
          <cell r="G6">
            <v>503577.09</v>
          </cell>
          <cell r="H6">
            <v>1554471.83</v>
          </cell>
        </row>
        <row r="7">
          <cell r="A7" t="str">
            <v>1002.23.01.01</v>
          </cell>
          <cell r="B7" t="str">
            <v>　　　　　　【旭智私募】农行 人民币基本户 6018</v>
          </cell>
          <cell r="E7">
            <v>1166364.46</v>
          </cell>
          <cell r="G7">
            <v>503329.24</v>
          </cell>
          <cell r="H7">
            <v>1554466.81</v>
          </cell>
        </row>
        <row r="8">
          <cell r="A8" t="str">
            <v>1002.23.01.01.01</v>
          </cell>
          <cell r="B8" t="str">
            <v>　　　　　　　　【旭智私募】农行 人民币基本户 6018 活期存款</v>
          </cell>
          <cell r="E8">
            <v>666364.46</v>
          </cell>
          <cell r="G8">
            <v>503329.24</v>
          </cell>
          <cell r="H8">
            <v>1054466.81</v>
          </cell>
        </row>
        <row r="9">
          <cell r="A9" t="str">
            <v>1002.23.01.01.02</v>
          </cell>
          <cell r="B9" t="str">
            <v>　　　　　　　　【旭智私募】农行 人民币基本户 6018 七天通知存款</v>
          </cell>
          <cell r="E9">
            <v>500000</v>
          </cell>
          <cell r="H9">
            <v>500000</v>
          </cell>
        </row>
        <row r="10">
          <cell r="A10" t="str">
            <v>1002.23.01.02</v>
          </cell>
          <cell r="B10" t="str">
            <v>　　　　　　【旭智私募】农行 人民币资本金账户 6026</v>
          </cell>
          <cell r="E10">
            <v>28.88</v>
          </cell>
        </row>
        <row r="11">
          <cell r="A11" t="str">
            <v>1002.23.01.02.01</v>
          </cell>
          <cell r="B11" t="str">
            <v>　　　　　　　　【旭智私募】农行 人民币资本金账户 6026 活期存款</v>
          </cell>
          <cell r="E11">
            <v>28.88</v>
          </cell>
        </row>
        <row r="12">
          <cell r="A12" t="str">
            <v>1002.23.01.02.02</v>
          </cell>
          <cell r="B12" t="str">
            <v>　　　　　　　　【旭智私募】农行 人民币资本金账户 6026 七天通知存款</v>
          </cell>
        </row>
        <row r="13">
          <cell r="A13" t="str">
            <v>1002.23.01.03</v>
          </cell>
          <cell r="B13" t="str">
            <v>　　　　　　【旭智私募】农行 港元资本金账户 7230</v>
          </cell>
          <cell r="E13">
            <v>683.29</v>
          </cell>
          <cell r="G13">
            <v>0.02</v>
          </cell>
          <cell r="H13">
            <v>5.0199999999999996</v>
          </cell>
        </row>
        <row r="14">
          <cell r="A14" t="str">
            <v>1002.23.01.04</v>
          </cell>
          <cell r="B14" t="str">
            <v>　　　　　　【旭智私募】农行 人民币结汇待支付账户 7248</v>
          </cell>
          <cell r="E14">
            <v>2293653.2400000002</v>
          </cell>
          <cell r="G14">
            <v>247.83</v>
          </cell>
        </row>
        <row r="15">
          <cell r="A15" t="str">
            <v>1002.23.01.04.01</v>
          </cell>
          <cell r="B15" t="str">
            <v>　　　　　　　　【旭智私募】农行 人民币结汇待支付账户 7248 活期存款</v>
          </cell>
          <cell r="E15">
            <v>2293653.2400000002</v>
          </cell>
          <cell r="G15">
            <v>247.83</v>
          </cell>
        </row>
        <row r="16">
          <cell r="A16" t="str">
            <v>1002.23.01.04.02</v>
          </cell>
          <cell r="B16" t="str">
            <v>　　　　　　　　【旭智私募】农行 人民币结汇待支付账户 7248 定期存款</v>
          </cell>
        </row>
        <row r="17">
          <cell r="A17" t="str">
            <v>1101</v>
          </cell>
          <cell r="B17" t="str">
            <v>交易性金融资产</v>
          </cell>
          <cell r="G17">
            <v>400000</v>
          </cell>
        </row>
        <row r="18">
          <cell r="A18" t="str">
            <v>1101.01</v>
          </cell>
          <cell r="B18" t="str">
            <v>　　投资成本</v>
          </cell>
          <cell r="G18">
            <v>400000</v>
          </cell>
        </row>
        <row r="19">
          <cell r="A19" t="str">
            <v>1101.01.01</v>
          </cell>
          <cell r="B19" t="str">
            <v>　　　　基金</v>
          </cell>
          <cell r="G19">
            <v>400000</v>
          </cell>
        </row>
        <row r="20">
          <cell r="A20" t="str">
            <v>1101.01.01</v>
          </cell>
          <cell r="B20" t="str">
            <v>　　　　基金</v>
          </cell>
          <cell r="C20" t="str">
            <v>020</v>
          </cell>
          <cell r="D20" t="str">
            <v>深圳曦和私募股权投资基金合伙企业（有限合伙）</v>
          </cell>
          <cell r="G20">
            <v>400000</v>
          </cell>
        </row>
        <row r="21">
          <cell r="A21" t="str">
            <v>1101.01.03</v>
          </cell>
          <cell r="B21" t="str">
            <v>　　　　银行理财</v>
          </cell>
        </row>
        <row r="22">
          <cell r="A22" t="str">
            <v>1122</v>
          </cell>
          <cell r="B22" t="str">
            <v>应收账款</v>
          </cell>
          <cell r="G22">
            <v>5523.29</v>
          </cell>
        </row>
        <row r="23">
          <cell r="A23" t="str">
            <v>1122.02</v>
          </cell>
          <cell r="B23" t="str">
            <v>　　管理费收入</v>
          </cell>
          <cell r="G23">
            <v>5523.29</v>
          </cell>
        </row>
        <row r="24">
          <cell r="A24" t="str">
            <v>1122.02</v>
          </cell>
          <cell r="B24" t="str">
            <v>　　管理费收入</v>
          </cell>
          <cell r="C24" t="str">
            <v>CU007001</v>
          </cell>
          <cell r="D24" t="str">
            <v>深圳曦和私募股权投资基金合伙企业（有限合伙）</v>
          </cell>
          <cell r="G24">
            <v>5523.29</v>
          </cell>
        </row>
        <row r="25">
          <cell r="A25" t="str">
            <v>1123</v>
          </cell>
          <cell r="B25" t="str">
            <v>预付账款</v>
          </cell>
          <cell r="E25">
            <v>10000</v>
          </cell>
          <cell r="H25">
            <v>10000</v>
          </cell>
        </row>
        <row r="26">
          <cell r="A26" t="str">
            <v>1123.01</v>
          </cell>
          <cell r="B26" t="str">
            <v>　　单位</v>
          </cell>
          <cell r="E26">
            <v>10000</v>
          </cell>
          <cell r="H26">
            <v>10000</v>
          </cell>
        </row>
        <row r="27">
          <cell r="A27" t="str">
            <v>1123.01</v>
          </cell>
          <cell r="B27" t="str">
            <v>　　单位</v>
          </cell>
          <cell r="C27" t="str">
            <v>SU007002</v>
          </cell>
          <cell r="D27" t="str">
            <v>中国再生能源学会</v>
          </cell>
          <cell r="E27">
            <v>10000</v>
          </cell>
          <cell r="H27">
            <v>10000</v>
          </cell>
        </row>
        <row r="28">
          <cell r="A28" t="str">
            <v>1221</v>
          </cell>
          <cell r="B28" t="str">
            <v>其他应收款</v>
          </cell>
          <cell r="E28">
            <v>513000</v>
          </cell>
          <cell r="G28">
            <v>280000</v>
          </cell>
        </row>
        <row r="29">
          <cell r="A29" t="str">
            <v>1221.01</v>
          </cell>
          <cell r="B29" t="str">
            <v>　　单位</v>
          </cell>
          <cell r="E29">
            <v>513000</v>
          </cell>
          <cell r="G29">
            <v>280000</v>
          </cell>
        </row>
        <row r="30">
          <cell r="A30" t="str">
            <v>1221.01</v>
          </cell>
          <cell r="B30" t="str">
            <v>　　单位</v>
          </cell>
          <cell r="C30" t="str">
            <v>CU003006</v>
          </cell>
          <cell r="D30" t="str">
            <v>旭智咨询管理(深圳)有限责任公司</v>
          </cell>
          <cell r="E30">
            <v>500000</v>
          </cell>
          <cell r="G30">
            <v>280000</v>
          </cell>
        </row>
        <row r="31">
          <cell r="A31" t="str">
            <v>1221.01</v>
          </cell>
          <cell r="B31" t="str">
            <v>　　单位</v>
          </cell>
          <cell r="C31" t="str">
            <v>CU006005</v>
          </cell>
          <cell r="D31" t="str">
            <v>长峻物业管理(深圳)有限公司</v>
          </cell>
          <cell r="E31">
            <v>13000</v>
          </cell>
        </row>
        <row r="32">
          <cell r="A32" t="str">
            <v>1601</v>
          </cell>
          <cell r="B32" t="str">
            <v>固定资产</v>
          </cell>
          <cell r="E32">
            <v>2585</v>
          </cell>
        </row>
        <row r="33">
          <cell r="A33" t="str">
            <v>1601.04</v>
          </cell>
          <cell r="B33" t="str">
            <v>　　家具设备</v>
          </cell>
          <cell r="E33">
            <v>2585</v>
          </cell>
        </row>
        <row r="34">
          <cell r="A34" t="str">
            <v>1602</v>
          </cell>
          <cell r="B34" t="str">
            <v>累计折旧</v>
          </cell>
          <cell r="F34">
            <v>695.81</v>
          </cell>
          <cell r="H34">
            <v>40.93</v>
          </cell>
        </row>
        <row r="35">
          <cell r="A35" t="str">
            <v>1602.04</v>
          </cell>
          <cell r="B35" t="str">
            <v>　　家具设备</v>
          </cell>
          <cell r="F35">
            <v>695.81</v>
          </cell>
          <cell r="H35">
            <v>40.93</v>
          </cell>
        </row>
        <row r="36">
          <cell r="A36" t="str">
            <v>1641</v>
          </cell>
          <cell r="B36" t="str">
            <v>使用权资产</v>
          </cell>
          <cell r="E36">
            <v>125696.44</v>
          </cell>
        </row>
        <row r="37">
          <cell r="A37" t="str">
            <v>1641.03</v>
          </cell>
          <cell r="B37" t="str">
            <v>　　注册地址</v>
          </cell>
          <cell r="E37">
            <v>125696.44</v>
          </cell>
        </row>
        <row r="38">
          <cell r="A38" t="str">
            <v>1641.03.01</v>
          </cell>
          <cell r="B38" t="str">
            <v>　　　　旭智私募--前海壹号B座701E</v>
          </cell>
          <cell r="E38">
            <v>125696.44</v>
          </cell>
        </row>
        <row r="39">
          <cell r="A39" t="str">
            <v>1642</v>
          </cell>
          <cell r="B39" t="str">
            <v>使用权资产累计折旧</v>
          </cell>
          <cell r="F39">
            <v>119411.59</v>
          </cell>
          <cell r="H39">
            <v>6284.85</v>
          </cell>
        </row>
        <row r="40">
          <cell r="A40" t="str">
            <v>1642.03</v>
          </cell>
          <cell r="B40" t="str">
            <v>　　注册地址</v>
          </cell>
          <cell r="F40">
            <v>119411.59</v>
          </cell>
          <cell r="H40">
            <v>6284.85</v>
          </cell>
        </row>
        <row r="41">
          <cell r="A41" t="str">
            <v>1642.03.01</v>
          </cell>
          <cell r="B41" t="str">
            <v>　　　　旭智私募--前海壹号B座701E</v>
          </cell>
          <cell r="F41">
            <v>119411.59</v>
          </cell>
          <cell r="H41">
            <v>6284.85</v>
          </cell>
        </row>
        <row r="42">
          <cell r="A42" t="str">
            <v>2211</v>
          </cell>
          <cell r="B42" t="str">
            <v>应付职工薪酬</v>
          </cell>
          <cell r="G42">
            <v>218665.64</v>
          </cell>
          <cell r="H42">
            <v>218665.64</v>
          </cell>
        </row>
        <row r="43">
          <cell r="A43" t="str">
            <v>2211.01</v>
          </cell>
          <cell r="B43" t="str">
            <v>　　职工工资</v>
          </cell>
          <cell r="G43">
            <v>184529.26</v>
          </cell>
          <cell r="H43">
            <v>184529.26</v>
          </cell>
        </row>
        <row r="44">
          <cell r="A44" t="str">
            <v>2211.02</v>
          </cell>
          <cell r="B44" t="str">
            <v>　　职工奖金</v>
          </cell>
        </row>
        <row r="45">
          <cell r="A45" t="str">
            <v>2211.05</v>
          </cell>
          <cell r="B45" t="str">
            <v>　　社会保险费</v>
          </cell>
          <cell r="G45">
            <v>13672.78</v>
          </cell>
          <cell r="H45">
            <v>13672.78</v>
          </cell>
        </row>
        <row r="46">
          <cell r="A46" t="str">
            <v>2211.06</v>
          </cell>
          <cell r="B46" t="str">
            <v>　　住房公积金</v>
          </cell>
          <cell r="G46">
            <v>20463.599999999999</v>
          </cell>
          <cell r="H46">
            <v>20463.599999999999</v>
          </cell>
        </row>
        <row r="47">
          <cell r="A47" t="str">
            <v>2211.08</v>
          </cell>
          <cell r="B47" t="str">
            <v>　　职工教育经费</v>
          </cell>
        </row>
        <row r="48">
          <cell r="A48" t="str">
            <v>2221</v>
          </cell>
          <cell r="B48" t="str">
            <v>应交税费</v>
          </cell>
          <cell r="F48">
            <v>42774.78</v>
          </cell>
          <cell r="G48">
            <v>66358.58</v>
          </cell>
          <cell r="H48">
            <v>60878.09</v>
          </cell>
        </row>
        <row r="49">
          <cell r="A49" t="str">
            <v>2221.01</v>
          </cell>
          <cell r="B49" t="str">
            <v>　　应交增值税</v>
          </cell>
          <cell r="F49">
            <v>-15018.6</v>
          </cell>
          <cell r="G49">
            <v>3081.64</v>
          </cell>
          <cell r="H49">
            <v>385.63</v>
          </cell>
        </row>
        <row r="50">
          <cell r="A50" t="str">
            <v>2221.01.01</v>
          </cell>
          <cell r="B50" t="str">
            <v>　　　　销项税额</v>
          </cell>
          <cell r="F50">
            <v>819.37</v>
          </cell>
          <cell r="H50">
            <v>312.64</v>
          </cell>
        </row>
        <row r="51">
          <cell r="A51" t="str">
            <v>2221.01.03</v>
          </cell>
          <cell r="B51" t="str">
            <v>　　　　进项税额</v>
          </cell>
          <cell r="F51">
            <v>-15837.97</v>
          </cell>
          <cell r="G51">
            <v>3081.64</v>
          </cell>
        </row>
        <row r="52">
          <cell r="A52" t="str">
            <v>2221.01.04</v>
          </cell>
          <cell r="B52" t="str">
            <v>　　　　进项税额转出</v>
          </cell>
          <cell r="H52">
            <v>72.989999999999995</v>
          </cell>
        </row>
        <row r="53">
          <cell r="A53" t="str">
            <v>2221.03</v>
          </cell>
          <cell r="B53" t="str">
            <v>　　暂估进项税额</v>
          </cell>
          <cell r="F53">
            <v>-2334.84</v>
          </cell>
          <cell r="G53">
            <v>3148.72</v>
          </cell>
          <cell r="H53">
            <v>3008.67</v>
          </cell>
        </row>
        <row r="54">
          <cell r="A54" t="str">
            <v>2221.06</v>
          </cell>
          <cell r="B54" t="str">
            <v>　　待认证进项税额</v>
          </cell>
        </row>
        <row r="55">
          <cell r="A55" t="str">
            <v>2221.07</v>
          </cell>
          <cell r="B55" t="str">
            <v>　　待抵扣进项税额</v>
          </cell>
        </row>
        <row r="56">
          <cell r="A56" t="str">
            <v>2221.16</v>
          </cell>
          <cell r="B56" t="str">
            <v>　　应交个人所得税</v>
          </cell>
          <cell r="F56">
            <v>60128.22</v>
          </cell>
          <cell r="G56">
            <v>60128.22</v>
          </cell>
          <cell r="H56">
            <v>57483.79</v>
          </cell>
        </row>
        <row r="57">
          <cell r="A57" t="str">
            <v>2241</v>
          </cell>
          <cell r="B57" t="str">
            <v>其他应付款</v>
          </cell>
          <cell r="F57">
            <v>32781.980000000003</v>
          </cell>
          <cell r="G57">
            <v>43496.72</v>
          </cell>
          <cell r="H57">
            <v>140046.87</v>
          </cell>
        </row>
        <row r="58">
          <cell r="A58" t="str">
            <v>2241.01</v>
          </cell>
          <cell r="B58" t="str">
            <v>　　单位</v>
          </cell>
          <cell r="F58">
            <v>31949.119999999999</v>
          </cell>
          <cell r="G58">
            <v>39815.72</v>
          </cell>
          <cell r="H58">
            <v>85856.88</v>
          </cell>
        </row>
        <row r="59">
          <cell r="A59" t="str">
            <v>2241.01</v>
          </cell>
          <cell r="B59" t="str">
            <v>　　单位</v>
          </cell>
          <cell r="C59" t="str">
            <v>SU005004</v>
          </cell>
          <cell r="D59" t="str">
            <v>上海爱文人才服务有限公司</v>
          </cell>
          <cell r="G59">
            <v>1200</v>
          </cell>
          <cell r="H59">
            <v>1200</v>
          </cell>
        </row>
        <row r="60">
          <cell r="A60" t="str">
            <v>2241.01</v>
          </cell>
          <cell r="B60" t="str">
            <v>　　单位</v>
          </cell>
          <cell r="C60" t="str">
            <v>SU005007</v>
          </cell>
          <cell r="D60" t="str">
            <v>普华永道中天会计师事务所（特殊普通合伙）</v>
          </cell>
          <cell r="H60">
            <v>40000</v>
          </cell>
        </row>
        <row r="61">
          <cell r="A61" t="str">
            <v>2241.01</v>
          </cell>
          <cell r="B61" t="str">
            <v>　　单位</v>
          </cell>
          <cell r="C61" t="str">
            <v>SU005044</v>
          </cell>
          <cell r="D61" t="str">
            <v>旭智咨询管理（深圳）有限责任公司</v>
          </cell>
        </row>
        <row r="62">
          <cell r="A62" t="str">
            <v>2241.01</v>
          </cell>
          <cell r="B62" t="str">
            <v>　　单位</v>
          </cell>
          <cell r="C62" t="str">
            <v>SU006012</v>
          </cell>
          <cell r="D62" t="str">
            <v>上海携程宏睿国际旅行社有限公司</v>
          </cell>
          <cell r="F62">
            <v>31949.119999999999</v>
          </cell>
          <cell r="G62">
            <v>31949.119999999999</v>
          </cell>
          <cell r="H62">
            <v>37990.28</v>
          </cell>
        </row>
        <row r="63">
          <cell r="A63" t="str">
            <v>2241.01</v>
          </cell>
          <cell r="B63" t="str">
            <v>　　单位</v>
          </cell>
          <cell r="C63" t="str">
            <v>SU006025</v>
          </cell>
          <cell r="D63" t="str">
            <v>全景求是管理顾问（北京）有限公司</v>
          </cell>
        </row>
        <row r="64">
          <cell r="A64" t="str">
            <v>2241.01</v>
          </cell>
          <cell r="B64" t="str">
            <v>　　单位</v>
          </cell>
          <cell r="C64" t="str">
            <v>SU007003</v>
          </cell>
          <cell r="D64" t="str">
            <v>长峻物业管理（深圳）有限公司</v>
          </cell>
          <cell r="G64">
            <v>6666.6</v>
          </cell>
          <cell r="H64">
            <v>6666.6</v>
          </cell>
        </row>
        <row r="65">
          <cell r="A65" t="str">
            <v>2241.01</v>
          </cell>
          <cell r="B65" t="str">
            <v>　　单位</v>
          </cell>
          <cell r="C65" t="str">
            <v>SU007005</v>
          </cell>
          <cell r="D65" t="str">
            <v>深圳前海百丰外企咨询服务有限公司</v>
          </cell>
        </row>
        <row r="66">
          <cell r="A66" t="str">
            <v>2241.02</v>
          </cell>
          <cell r="B66" t="str">
            <v>　　个人</v>
          </cell>
          <cell r="F66">
            <v>832.86</v>
          </cell>
          <cell r="G66">
            <v>3681</v>
          </cell>
          <cell r="H66">
            <v>54189.99</v>
          </cell>
        </row>
        <row r="67">
          <cell r="A67" t="str">
            <v>2241.02</v>
          </cell>
          <cell r="B67" t="str">
            <v>　　个人</v>
          </cell>
          <cell r="C67" t="str">
            <v>SP005001</v>
          </cell>
          <cell r="D67" t="str">
            <v>冯冠邦</v>
          </cell>
          <cell r="F67">
            <v>832.86</v>
          </cell>
          <cell r="H67">
            <v>5278.5</v>
          </cell>
        </row>
        <row r="68">
          <cell r="A68" t="str">
            <v>2241.02</v>
          </cell>
          <cell r="B68" t="str">
            <v>　　个人</v>
          </cell>
          <cell r="C68" t="str">
            <v>SP005006</v>
          </cell>
          <cell r="D68" t="str">
            <v>张歆</v>
          </cell>
        </row>
        <row r="69">
          <cell r="A69" t="str">
            <v>2241.02</v>
          </cell>
          <cell r="B69" t="str">
            <v>　　个人</v>
          </cell>
          <cell r="C69" t="str">
            <v>SP005011</v>
          </cell>
          <cell r="D69" t="str">
            <v>郭宗林</v>
          </cell>
          <cell r="H69">
            <v>4386.7700000000004</v>
          </cell>
        </row>
        <row r="70">
          <cell r="A70" t="str">
            <v>2241.02</v>
          </cell>
          <cell r="B70" t="str">
            <v>　　个人</v>
          </cell>
          <cell r="C70" t="str">
            <v>SP006002</v>
          </cell>
          <cell r="D70" t="str">
            <v>陈灿</v>
          </cell>
          <cell r="G70">
            <v>3681</v>
          </cell>
          <cell r="H70">
            <v>14492.84</v>
          </cell>
        </row>
        <row r="71">
          <cell r="A71" t="str">
            <v>2241.02</v>
          </cell>
          <cell r="B71" t="str">
            <v>　　个人</v>
          </cell>
          <cell r="C71" t="str">
            <v>SP006009</v>
          </cell>
          <cell r="D71" t="str">
            <v>林秋蝶</v>
          </cell>
          <cell r="H71">
            <v>1939.43</v>
          </cell>
        </row>
        <row r="72">
          <cell r="A72" t="str">
            <v>2241.02</v>
          </cell>
          <cell r="B72" t="str">
            <v>　　个人</v>
          </cell>
          <cell r="C72" t="str">
            <v>SP006010</v>
          </cell>
          <cell r="D72" t="str">
            <v>陈广华</v>
          </cell>
          <cell r="H72">
            <v>4485.76</v>
          </cell>
        </row>
        <row r="73">
          <cell r="A73" t="str">
            <v>2241.02</v>
          </cell>
          <cell r="B73" t="str">
            <v>　　个人</v>
          </cell>
          <cell r="C73" t="str">
            <v>SP006011</v>
          </cell>
          <cell r="D73" t="str">
            <v>李敏宽</v>
          </cell>
          <cell r="H73">
            <v>5955.71</v>
          </cell>
        </row>
        <row r="74">
          <cell r="A74" t="str">
            <v>2241.02</v>
          </cell>
          <cell r="B74" t="str">
            <v>　　个人</v>
          </cell>
          <cell r="C74" t="str">
            <v>SP007001</v>
          </cell>
          <cell r="D74" t="str">
            <v>冷雨尘</v>
          </cell>
          <cell r="H74">
            <v>17650.98</v>
          </cell>
        </row>
        <row r="75">
          <cell r="A75" t="str">
            <v>2601</v>
          </cell>
          <cell r="B75" t="str">
            <v>租赁负债</v>
          </cell>
          <cell r="F75">
            <v>6329.2</v>
          </cell>
          <cell r="G75">
            <v>6349.14</v>
          </cell>
          <cell r="H75">
            <v>19.940000000000001</v>
          </cell>
        </row>
        <row r="76">
          <cell r="A76" t="str">
            <v>2601.01</v>
          </cell>
          <cell r="B76" t="str">
            <v>　　租赁付款额</v>
          </cell>
          <cell r="F76">
            <v>6349.14</v>
          </cell>
          <cell r="G76">
            <v>6349.14</v>
          </cell>
        </row>
        <row r="77">
          <cell r="A77" t="str">
            <v>2601.01.03</v>
          </cell>
          <cell r="B77" t="str">
            <v>　　　　注册地址</v>
          </cell>
          <cell r="F77">
            <v>6349.14</v>
          </cell>
          <cell r="G77">
            <v>6349.14</v>
          </cell>
        </row>
        <row r="78">
          <cell r="A78" t="str">
            <v>2601.01.03.01</v>
          </cell>
          <cell r="B78" t="str">
            <v>　　　　　　旭智私募--前海壹号B座701E</v>
          </cell>
          <cell r="F78">
            <v>6349.14</v>
          </cell>
          <cell r="G78">
            <v>6349.14</v>
          </cell>
        </row>
        <row r="79">
          <cell r="A79" t="str">
            <v>2601.02</v>
          </cell>
          <cell r="B79" t="str">
            <v>　　未确认融资费用</v>
          </cell>
          <cell r="F79">
            <v>-19.940000000000001</v>
          </cell>
          <cell r="H79">
            <v>19.940000000000001</v>
          </cell>
        </row>
        <row r="80">
          <cell r="A80" t="str">
            <v>2601.02.03</v>
          </cell>
          <cell r="B80" t="str">
            <v>　　　　注册地址</v>
          </cell>
          <cell r="F80">
            <v>-19.940000000000001</v>
          </cell>
          <cell r="H80">
            <v>19.940000000000001</v>
          </cell>
        </row>
        <row r="81">
          <cell r="A81" t="str">
            <v>2601.02.03.01</v>
          </cell>
          <cell r="B81" t="str">
            <v>　　　　　　旭智私募--前海壹号B座701E</v>
          </cell>
          <cell r="F81">
            <v>-19.940000000000001</v>
          </cell>
          <cell r="H81">
            <v>19.940000000000001</v>
          </cell>
        </row>
        <row r="82">
          <cell r="A82" t="str">
            <v>4001</v>
          </cell>
          <cell r="B82" t="str">
            <v>实收资本（股本）</v>
          </cell>
          <cell r="F82">
            <v>10000000</v>
          </cell>
        </row>
        <row r="83">
          <cell r="A83" t="str">
            <v>4001.11</v>
          </cell>
          <cell r="B83" t="str">
            <v>　　旭智资本（香港）有限公司</v>
          </cell>
          <cell r="F83">
            <v>4900000</v>
          </cell>
        </row>
        <row r="84">
          <cell r="A84" t="str">
            <v>4001.20</v>
          </cell>
          <cell r="B84" t="str">
            <v>　　冯冠邦</v>
          </cell>
          <cell r="F84">
            <v>5100000</v>
          </cell>
        </row>
        <row r="85">
          <cell r="A85" t="str">
            <v>4103</v>
          </cell>
          <cell r="B85" t="str">
            <v>本年利润</v>
          </cell>
          <cell r="F85">
            <v>-3993715.68</v>
          </cell>
          <cell r="G85">
            <v>-3988505.03</v>
          </cell>
          <cell r="H85">
            <v>5210.6499999999996</v>
          </cell>
        </row>
        <row r="86">
          <cell r="A86" t="str">
            <v>4104</v>
          </cell>
          <cell r="B86" t="str">
            <v>利润分配</v>
          </cell>
          <cell r="F86">
            <v>-2096266.37</v>
          </cell>
          <cell r="H86">
            <v>-4460153.37</v>
          </cell>
        </row>
        <row r="87">
          <cell r="A87" t="str">
            <v>4104.07</v>
          </cell>
          <cell r="B87" t="str">
            <v>　　未分配利润</v>
          </cell>
          <cell r="F87">
            <v>-2096266.37</v>
          </cell>
          <cell r="H87">
            <v>-4460153.37</v>
          </cell>
        </row>
        <row r="88">
          <cell r="A88" t="str">
            <v>6001</v>
          </cell>
          <cell r="B88" t="str">
            <v>主营业务收入</v>
          </cell>
          <cell r="G88">
            <v>5210.6499999999996</v>
          </cell>
          <cell r="H88">
            <v>5210.6499999999996</v>
          </cell>
        </row>
        <row r="89">
          <cell r="A89" t="str">
            <v>6001.01</v>
          </cell>
          <cell r="B89" t="str">
            <v>　　基金管理费收入</v>
          </cell>
          <cell r="G89">
            <v>5210.6499999999996</v>
          </cell>
          <cell r="H89">
            <v>5210.6499999999996</v>
          </cell>
        </row>
        <row r="90">
          <cell r="A90" t="str">
            <v>6001.01.02</v>
          </cell>
          <cell r="B90" t="str">
            <v>　　　　未开票</v>
          </cell>
          <cell r="G90">
            <v>5210.6499999999996</v>
          </cell>
          <cell r="H90">
            <v>5210.6499999999996</v>
          </cell>
        </row>
        <row r="91">
          <cell r="A91" t="str">
            <v>6001.01.02</v>
          </cell>
          <cell r="B91" t="str">
            <v>　　　　未开票</v>
          </cell>
          <cell r="C91" t="str">
            <v>CU007001</v>
          </cell>
          <cell r="D91" t="str">
            <v>深圳曦和私募股权投资基金合伙企业（有限合伙）</v>
          </cell>
          <cell r="G91">
            <v>5210.6499999999996</v>
          </cell>
          <cell r="H91">
            <v>5210.6499999999996</v>
          </cell>
        </row>
        <row r="92">
          <cell r="A92" t="str">
            <v>6111</v>
          </cell>
          <cell r="B92" t="str">
            <v>投资收益</v>
          </cell>
        </row>
        <row r="93">
          <cell r="A93" t="str">
            <v>6115</v>
          </cell>
          <cell r="B93" t="str">
            <v>其他收益</v>
          </cell>
        </row>
        <row r="94">
          <cell r="A94" t="str">
            <v>6115.02</v>
          </cell>
          <cell r="B94" t="str">
            <v>　　个税手续费返还</v>
          </cell>
        </row>
        <row r="95">
          <cell r="A95" t="str">
            <v>6602</v>
          </cell>
          <cell r="B95" t="str">
            <v>管理费用</v>
          </cell>
          <cell r="G95">
            <v>475150.47</v>
          </cell>
          <cell r="H95">
            <v>475150.47</v>
          </cell>
        </row>
        <row r="96">
          <cell r="A96" t="str">
            <v>6602.01</v>
          </cell>
          <cell r="B96" t="str">
            <v>　　工资薪金</v>
          </cell>
          <cell r="G96">
            <v>276149.43</v>
          </cell>
          <cell r="H96">
            <v>276149.43</v>
          </cell>
        </row>
        <row r="97">
          <cell r="A97" t="str">
            <v>6602.01.01</v>
          </cell>
          <cell r="B97" t="str">
            <v>　　　　基本工资（专业）</v>
          </cell>
          <cell r="G97">
            <v>276149.43</v>
          </cell>
          <cell r="H97">
            <v>276149.43</v>
          </cell>
        </row>
        <row r="98">
          <cell r="A98" t="str">
            <v>6602.02</v>
          </cell>
          <cell r="B98" t="str">
            <v>　　职工福利</v>
          </cell>
          <cell r="G98">
            <v>2000</v>
          </cell>
          <cell r="H98">
            <v>2000</v>
          </cell>
        </row>
        <row r="99">
          <cell r="A99" t="str">
            <v>6602.02.03</v>
          </cell>
          <cell r="B99" t="str">
            <v>　　　　体检费</v>
          </cell>
          <cell r="G99">
            <v>2000</v>
          </cell>
          <cell r="H99">
            <v>2000</v>
          </cell>
        </row>
        <row r="100">
          <cell r="A100" t="str">
            <v>6602.03</v>
          </cell>
          <cell r="B100" t="str">
            <v>　　社保公积金</v>
          </cell>
          <cell r="G100">
            <v>52126.23</v>
          </cell>
          <cell r="H100">
            <v>52126.23</v>
          </cell>
        </row>
        <row r="101">
          <cell r="A101" t="str">
            <v>6602.03.01</v>
          </cell>
          <cell r="B101" t="str">
            <v>　　　　员工社保福利</v>
          </cell>
          <cell r="G101">
            <v>31662.63</v>
          </cell>
          <cell r="H101">
            <v>31662.63</v>
          </cell>
        </row>
        <row r="102">
          <cell r="A102" t="str">
            <v>6602.03.02</v>
          </cell>
          <cell r="B102" t="str">
            <v>　　　　员工公积金福利</v>
          </cell>
          <cell r="G102">
            <v>20463.599999999999</v>
          </cell>
          <cell r="H102">
            <v>20463.599999999999</v>
          </cell>
        </row>
        <row r="103">
          <cell r="A103" t="str">
            <v>6602.04</v>
          </cell>
          <cell r="B103" t="str">
            <v>　　咨询及专业服务费</v>
          </cell>
          <cell r="G103">
            <v>41200</v>
          </cell>
          <cell r="H103">
            <v>41200</v>
          </cell>
        </row>
        <row r="104">
          <cell r="A104" t="str">
            <v>6602.04.02</v>
          </cell>
          <cell r="B104" t="str">
            <v>　　　　审计服务费</v>
          </cell>
          <cell r="G104">
            <v>40000</v>
          </cell>
          <cell r="H104">
            <v>40000</v>
          </cell>
        </row>
        <row r="105">
          <cell r="A105" t="str">
            <v>6602.04.07</v>
          </cell>
          <cell r="B105" t="str">
            <v>　　　　人力资源服务费</v>
          </cell>
          <cell r="G105">
            <v>1200</v>
          </cell>
          <cell r="H105">
            <v>1200</v>
          </cell>
        </row>
        <row r="106">
          <cell r="A106" t="str">
            <v>6602.04.08</v>
          </cell>
          <cell r="B106" t="str">
            <v>　　　　背景调查费</v>
          </cell>
        </row>
        <row r="107">
          <cell r="A107" t="str">
            <v>6602.06</v>
          </cell>
          <cell r="B107" t="str">
            <v>　　业务招待费</v>
          </cell>
          <cell r="G107">
            <v>6378</v>
          </cell>
          <cell r="H107">
            <v>6378</v>
          </cell>
        </row>
        <row r="108">
          <cell r="A108" t="str">
            <v>6602.06</v>
          </cell>
          <cell r="B108" t="str">
            <v>　　业务招待费</v>
          </cell>
          <cell r="C108" t="str">
            <v>CI002</v>
          </cell>
          <cell r="D108" t="str">
            <v>旭智富能</v>
          </cell>
          <cell r="G108">
            <v>4278</v>
          </cell>
          <cell r="H108">
            <v>4278</v>
          </cell>
        </row>
        <row r="109">
          <cell r="A109" t="str">
            <v>6602.06</v>
          </cell>
          <cell r="B109" t="str">
            <v>　　业务招待费</v>
          </cell>
          <cell r="C109" t="str">
            <v>CI005</v>
          </cell>
          <cell r="D109" t="str">
            <v>旭智私募</v>
          </cell>
          <cell r="G109">
            <v>2100</v>
          </cell>
          <cell r="H109">
            <v>2100</v>
          </cell>
        </row>
        <row r="110">
          <cell r="A110" t="str">
            <v>6602.08</v>
          </cell>
          <cell r="B110" t="str">
            <v>　　事务费用</v>
          </cell>
          <cell r="G110">
            <v>1686.79</v>
          </cell>
          <cell r="H110">
            <v>1686.79</v>
          </cell>
        </row>
        <row r="111">
          <cell r="A111" t="str">
            <v>6602.08.01</v>
          </cell>
          <cell r="B111" t="str">
            <v>　　　　通信费</v>
          </cell>
          <cell r="G111">
            <v>1588.29</v>
          </cell>
          <cell r="H111">
            <v>1588.29</v>
          </cell>
        </row>
        <row r="112">
          <cell r="A112" t="str">
            <v>6602.08.01</v>
          </cell>
          <cell r="B112" t="str">
            <v>　　　　通信费</v>
          </cell>
          <cell r="C112" t="str">
            <v>CI005</v>
          </cell>
          <cell r="D112" t="str">
            <v>旭智私募</v>
          </cell>
          <cell r="G112">
            <v>1588.29</v>
          </cell>
          <cell r="H112">
            <v>1588.29</v>
          </cell>
        </row>
        <row r="113">
          <cell r="A113" t="str">
            <v>6602.08.03</v>
          </cell>
          <cell r="B113" t="str">
            <v>　　　　办公用品</v>
          </cell>
          <cell r="G113">
            <v>40</v>
          </cell>
          <cell r="H113">
            <v>40</v>
          </cell>
        </row>
        <row r="114">
          <cell r="A114" t="str">
            <v>6602.08.03</v>
          </cell>
          <cell r="B114" t="str">
            <v>　　　　办公用品</v>
          </cell>
          <cell r="C114" t="str">
            <v>CI005</v>
          </cell>
          <cell r="D114" t="str">
            <v>旭智私募</v>
          </cell>
          <cell r="G114">
            <v>40</v>
          </cell>
          <cell r="H114">
            <v>40</v>
          </cell>
        </row>
        <row r="115">
          <cell r="A115" t="str">
            <v>6602.08.05</v>
          </cell>
          <cell r="B115" t="str">
            <v>　　　　邮费/邮递费</v>
          </cell>
          <cell r="G115">
            <v>58.5</v>
          </cell>
          <cell r="H115">
            <v>58.5</v>
          </cell>
        </row>
        <row r="116">
          <cell r="A116" t="str">
            <v>6602.08.05</v>
          </cell>
          <cell r="B116" t="str">
            <v>　　　　邮费/邮递费</v>
          </cell>
          <cell r="C116" t="str">
            <v>CI005</v>
          </cell>
          <cell r="D116" t="str">
            <v>旭智私募</v>
          </cell>
          <cell r="G116">
            <v>58.5</v>
          </cell>
          <cell r="H116">
            <v>58.5</v>
          </cell>
        </row>
        <row r="117">
          <cell r="A117" t="str">
            <v>6602.09</v>
          </cell>
          <cell r="B117" t="str">
            <v>　　差旅费</v>
          </cell>
          <cell r="G117">
            <v>79159.240000000005</v>
          </cell>
          <cell r="H117">
            <v>79159.240000000005</v>
          </cell>
        </row>
        <row r="118">
          <cell r="A118" t="str">
            <v>6602.09.01</v>
          </cell>
          <cell r="B118" t="str">
            <v>　　　　住宿费</v>
          </cell>
          <cell r="G118">
            <v>15953.56</v>
          </cell>
          <cell r="H118">
            <v>15953.56</v>
          </cell>
        </row>
        <row r="119">
          <cell r="A119" t="str">
            <v>6602.09.01</v>
          </cell>
          <cell r="B119" t="str">
            <v>　　　　住宿费</v>
          </cell>
          <cell r="C119" t="str">
            <v>CI002</v>
          </cell>
          <cell r="D119" t="str">
            <v>旭智富能</v>
          </cell>
          <cell r="G119">
            <v>9975.9599999999991</v>
          </cell>
          <cell r="H119">
            <v>9975.9599999999991</v>
          </cell>
        </row>
        <row r="120">
          <cell r="A120" t="str">
            <v>6602.09.01</v>
          </cell>
          <cell r="B120" t="str">
            <v>　　　　住宿费</v>
          </cell>
          <cell r="C120" t="str">
            <v>CI005</v>
          </cell>
          <cell r="D120" t="str">
            <v>旭智私募</v>
          </cell>
        </row>
        <row r="121">
          <cell r="A121" t="str">
            <v>6602.09.01</v>
          </cell>
          <cell r="B121" t="str">
            <v>　　　　住宿费</v>
          </cell>
          <cell r="C121" t="str">
            <v>CI007</v>
          </cell>
          <cell r="D121" t="str">
            <v>其他项目</v>
          </cell>
          <cell r="G121">
            <v>5977.6</v>
          </cell>
          <cell r="H121">
            <v>5977.6</v>
          </cell>
        </row>
        <row r="122">
          <cell r="A122" t="str">
            <v>6602.09.02</v>
          </cell>
          <cell r="B122" t="str">
            <v>　　　　伙食费</v>
          </cell>
          <cell r="G122">
            <v>4817.1899999999996</v>
          </cell>
          <cell r="H122">
            <v>4817.1899999999996</v>
          </cell>
        </row>
        <row r="123">
          <cell r="A123" t="str">
            <v>6602.09.02</v>
          </cell>
          <cell r="B123" t="str">
            <v>　　　　伙食费</v>
          </cell>
          <cell r="C123" t="str">
            <v>CI002</v>
          </cell>
          <cell r="D123" t="str">
            <v>旭智富能</v>
          </cell>
          <cell r="G123">
            <v>2477.1999999999998</v>
          </cell>
          <cell r="H123">
            <v>2477.1999999999998</v>
          </cell>
        </row>
        <row r="124">
          <cell r="A124" t="str">
            <v>6602.09.02</v>
          </cell>
          <cell r="B124" t="str">
            <v>　　　　伙食费</v>
          </cell>
          <cell r="C124" t="str">
            <v>CI005</v>
          </cell>
          <cell r="D124" t="str">
            <v>旭智私募</v>
          </cell>
          <cell r="G124">
            <v>1006.21</v>
          </cell>
          <cell r="H124">
            <v>1006.21</v>
          </cell>
        </row>
        <row r="125">
          <cell r="A125" t="str">
            <v>6602.09.02</v>
          </cell>
          <cell r="B125" t="str">
            <v>　　　　伙食费</v>
          </cell>
          <cell r="C125" t="str">
            <v>CI007</v>
          </cell>
          <cell r="D125" t="str">
            <v>其他项目</v>
          </cell>
          <cell r="G125">
            <v>1333.78</v>
          </cell>
          <cell r="H125">
            <v>1333.78</v>
          </cell>
        </row>
        <row r="126">
          <cell r="A126" t="str">
            <v>6602.09.03</v>
          </cell>
          <cell r="B126" t="str">
            <v>　　　　地面交通费</v>
          </cell>
          <cell r="G126">
            <v>41397.199999999997</v>
          </cell>
          <cell r="H126">
            <v>41397.199999999997</v>
          </cell>
        </row>
        <row r="127">
          <cell r="A127" t="str">
            <v>6602.09.03</v>
          </cell>
          <cell r="B127" t="str">
            <v>　　　　地面交通费</v>
          </cell>
          <cell r="C127" t="str">
            <v>CI002</v>
          </cell>
          <cell r="D127" t="str">
            <v>旭智富能</v>
          </cell>
          <cell r="G127">
            <v>24355.54</v>
          </cell>
          <cell r="H127">
            <v>24355.54</v>
          </cell>
        </row>
        <row r="128">
          <cell r="A128" t="str">
            <v>6602.09.03</v>
          </cell>
          <cell r="B128" t="str">
            <v>　　　　地面交通费</v>
          </cell>
          <cell r="C128" t="str">
            <v>CI005</v>
          </cell>
          <cell r="D128" t="str">
            <v>旭智私募</v>
          </cell>
          <cell r="G128">
            <v>12104.07</v>
          </cell>
          <cell r="H128">
            <v>12104.07</v>
          </cell>
        </row>
        <row r="129">
          <cell r="A129" t="str">
            <v>6602.09.03</v>
          </cell>
          <cell r="B129" t="str">
            <v>　　　　地面交通费</v>
          </cell>
          <cell r="C129" t="str">
            <v>CI007</v>
          </cell>
          <cell r="D129" t="str">
            <v>其他项目</v>
          </cell>
          <cell r="G129">
            <v>4937.59</v>
          </cell>
          <cell r="H129">
            <v>4937.59</v>
          </cell>
        </row>
        <row r="130">
          <cell r="A130" t="str">
            <v>6602.09.04</v>
          </cell>
          <cell r="B130" t="str">
            <v>　　　　空中交通费</v>
          </cell>
          <cell r="G130">
            <v>16294.11</v>
          </cell>
          <cell r="H130">
            <v>16294.11</v>
          </cell>
        </row>
        <row r="131">
          <cell r="A131" t="str">
            <v>6602.09.04</v>
          </cell>
          <cell r="B131" t="str">
            <v>　　　　空中交通费</v>
          </cell>
          <cell r="C131" t="str">
            <v>CI002</v>
          </cell>
          <cell r="D131" t="str">
            <v>旭智富能</v>
          </cell>
          <cell r="G131">
            <v>10117.49</v>
          </cell>
          <cell r="H131">
            <v>10117.49</v>
          </cell>
        </row>
        <row r="132">
          <cell r="A132" t="str">
            <v>6602.09.04</v>
          </cell>
          <cell r="B132" t="str">
            <v>　　　　空中交通费</v>
          </cell>
          <cell r="C132" t="str">
            <v>CI005</v>
          </cell>
          <cell r="D132" t="str">
            <v>旭智私募</v>
          </cell>
        </row>
        <row r="133">
          <cell r="A133" t="str">
            <v>6602.09.04</v>
          </cell>
          <cell r="B133" t="str">
            <v>　　　　空中交通费</v>
          </cell>
          <cell r="C133" t="str">
            <v>CI007</v>
          </cell>
          <cell r="D133" t="str">
            <v>其他项目</v>
          </cell>
          <cell r="G133">
            <v>6176.62</v>
          </cell>
          <cell r="H133">
            <v>6176.62</v>
          </cell>
        </row>
        <row r="134">
          <cell r="A134" t="str">
            <v>6602.09.08</v>
          </cell>
          <cell r="B134" t="str">
            <v>　　　　退改费用（机票/火车等）</v>
          </cell>
        </row>
        <row r="135">
          <cell r="A135" t="str">
            <v>6602.09.08</v>
          </cell>
          <cell r="B135" t="str">
            <v>　　　　退改费用（机票/火车等）</v>
          </cell>
          <cell r="C135" t="str">
            <v>CI002</v>
          </cell>
          <cell r="D135" t="str">
            <v>旭智富能</v>
          </cell>
        </row>
        <row r="136">
          <cell r="A136" t="str">
            <v>6602.09.08</v>
          </cell>
          <cell r="B136" t="str">
            <v>　　　　退改费用（机票/火车等）</v>
          </cell>
          <cell r="C136" t="str">
            <v>CI005</v>
          </cell>
          <cell r="D136" t="str">
            <v>旭智私募</v>
          </cell>
        </row>
        <row r="137">
          <cell r="A137" t="str">
            <v>6602.09.09</v>
          </cell>
          <cell r="B137" t="str">
            <v>　　　　携程服务费</v>
          </cell>
          <cell r="G137">
            <v>697.18</v>
          </cell>
          <cell r="H137">
            <v>697.18</v>
          </cell>
        </row>
        <row r="138">
          <cell r="A138" t="str">
            <v>6602.09.09</v>
          </cell>
          <cell r="B138" t="str">
            <v>　　　　携程服务费</v>
          </cell>
          <cell r="C138" t="str">
            <v>CI002</v>
          </cell>
          <cell r="D138" t="str">
            <v>旭智富能</v>
          </cell>
          <cell r="G138">
            <v>513.21</v>
          </cell>
          <cell r="H138">
            <v>513.21</v>
          </cell>
        </row>
        <row r="139">
          <cell r="A139" t="str">
            <v>6602.09.09</v>
          </cell>
          <cell r="B139" t="str">
            <v>　　　　携程服务费</v>
          </cell>
          <cell r="C139" t="str">
            <v>CI005</v>
          </cell>
          <cell r="D139" t="str">
            <v>旭智私募</v>
          </cell>
          <cell r="G139">
            <v>18.87</v>
          </cell>
          <cell r="H139">
            <v>18.87</v>
          </cell>
        </row>
        <row r="140">
          <cell r="A140" t="str">
            <v>6602.09.09</v>
          </cell>
          <cell r="B140" t="str">
            <v>　　　　携程服务费</v>
          </cell>
          <cell r="C140" t="str">
            <v>CI007</v>
          </cell>
          <cell r="D140" t="str">
            <v>其他项目</v>
          </cell>
          <cell r="G140">
            <v>165.1</v>
          </cell>
          <cell r="H140">
            <v>165.1</v>
          </cell>
        </row>
        <row r="141">
          <cell r="A141" t="str">
            <v>6602.09.99</v>
          </cell>
          <cell r="B141" t="str">
            <v>　　　　其他</v>
          </cell>
        </row>
        <row r="142">
          <cell r="A142" t="str">
            <v>6602.09.99</v>
          </cell>
          <cell r="B142" t="str">
            <v>　　　　其他</v>
          </cell>
          <cell r="C142" t="str">
            <v>CI002</v>
          </cell>
          <cell r="D142" t="str">
            <v>旭智富能</v>
          </cell>
        </row>
        <row r="143">
          <cell r="A143" t="str">
            <v>6602.10</v>
          </cell>
          <cell r="B143" t="str">
            <v>　　折旧费</v>
          </cell>
          <cell r="G143">
            <v>40.93</v>
          </cell>
          <cell r="H143">
            <v>40.93</v>
          </cell>
        </row>
        <row r="144">
          <cell r="A144" t="str">
            <v>6602.10.04</v>
          </cell>
          <cell r="B144" t="str">
            <v>　　　　家具设备</v>
          </cell>
          <cell r="G144">
            <v>40.93</v>
          </cell>
          <cell r="H144">
            <v>40.93</v>
          </cell>
        </row>
        <row r="145">
          <cell r="A145" t="str">
            <v>6602.12</v>
          </cell>
          <cell r="B145" t="str">
            <v>　　使用权资产折旧</v>
          </cell>
          <cell r="G145">
            <v>6284.85</v>
          </cell>
          <cell r="H145">
            <v>6284.85</v>
          </cell>
        </row>
        <row r="146">
          <cell r="A146" t="str">
            <v>6602.12.03</v>
          </cell>
          <cell r="B146" t="str">
            <v>　　　　注册地址</v>
          </cell>
          <cell r="G146">
            <v>6284.85</v>
          </cell>
          <cell r="H146">
            <v>6284.85</v>
          </cell>
        </row>
        <row r="147">
          <cell r="A147" t="str">
            <v>6602.12.03.01</v>
          </cell>
          <cell r="B147" t="str">
            <v>　　　　　　旭智私募--前海壹号B座701E</v>
          </cell>
          <cell r="G147">
            <v>6284.85</v>
          </cell>
          <cell r="H147">
            <v>6284.85</v>
          </cell>
        </row>
        <row r="148">
          <cell r="A148" t="str">
            <v>6602.15</v>
          </cell>
          <cell r="B148" t="str">
            <v>　　服务费</v>
          </cell>
        </row>
        <row r="149">
          <cell r="A149" t="str">
            <v>6602.19</v>
          </cell>
          <cell r="B149" t="str">
            <v>　　会费（公司）</v>
          </cell>
          <cell r="G149">
            <v>10000</v>
          </cell>
          <cell r="H149">
            <v>10000</v>
          </cell>
        </row>
        <row r="150">
          <cell r="A150" t="str">
            <v>6602.20</v>
          </cell>
          <cell r="B150" t="str">
            <v>　　职工教育经费</v>
          </cell>
          <cell r="G150">
            <v>125</v>
          </cell>
          <cell r="H150">
            <v>125</v>
          </cell>
        </row>
        <row r="151">
          <cell r="A151" t="str">
            <v>6603</v>
          </cell>
          <cell r="B151" t="str">
            <v>财务费用</v>
          </cell>
          <cell r="G151">
            <v>-3502.13</v>
          </cell>
          <cell r="H151">
            <v>-3502.13</v>
          </cell>
        </row>
        <row r="152">
          <cell r="A152" t="str">
            <v>6603.01</v>
          </cell>
          <cell r="B152" t="str">
            <v>　　汇兑损益</v>
          </cell>
          <cell r="G152">
            <v>5.0199999999999996</v>
          </cell>
          <cell r="H152">
            <v>5.0199999999999996</v>
          </cell>
        </row>
        <row r="153">
          <cell r="A153" t="str">
            <v>6603.02</v>
          </cell>
          <cell r="B153" t="str">
            <v>　　利息费用</v>
          </cell>
          <cell r="G153">
            <v>19.940000000000001</v>
          </cell>
          <cell r="H153">
            <v>19.940000000000001</v>
          </cell>
        </row>
        <row r="154">
          <cell r="A154" t="str">
            <v>6603.02.03</v>
          </cell>
          <cell r="B154" t="str">
            <v>　　　　注册地址</v>
          </cell>
          <cell r="G154">
            <v>19.940000000000001</v>
          </cell>
          <cell r="H154">
            <v>19.940000000000001</v>
          </cell>
        </row>
        <row r="155">
          <cell r="A155" t="str">
            <v>6603.02.03.01</v>
          </cell>
          <cell r="B155" t="str">
            <v>　　　　　　旭智私募--前海壹号B座701E</v>
          </cell>
          <cell r="G155">
            <v>19.940000000000001</v>
          </cell>
          <cell r="H155">
            <v>19.940000000000001</v>
          </cell>
        </row>
        <row r="156">
          <cell r="A156" t="str">
            <v>6603.03</v>
          </cell>
          <cell r="B156" t="str">
            <v>　　银行手续费</v>
          </cell>
          <cell r="G156">
            <v>50</v>
          </cell>
          <cell r="H156">
            <v>50</v>
          </cell>
        </row>
        <row r="157">
          <cell r="A157" t="str">
            <v>6603.04</v>
          </cell>
          <cell r="B157" t="str">
            <v>　　利息收入</v>
          </cell>
          <cell r="G157">
            <v>-3577.09</v>
          </cell>
          <cell r="H157">
            <v>-3577.09</v>
          </cell>
        </row>
        <row r="158">
          <cell r="B158" t="str">
            <v>合计</v>
          </cell>
          <cell r="E158">
            <v>4112011.31</v>
          </cell>
          <cell r="F158">
            <v>4112011.31</v>
          </cell>
          <cell r="G158">
            <v>-1987675.58</v>
          </cell>
          <cell r="H158">
            <v>-1987675.58</v>
          </cell>
        </row>
      </sheetData>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月"/>
      <sheetName val="2月"/>
      <sheetName val="3月"/>
      <sheetName val="4月"/>
      <sheetName val="5月"/>
      <sheetName val="6月"/>
      <sheetName val="7月"/>
      <sheetName val="8月"/>
      <sheetName val="9月"/>
      <sheetName val="10月"/>
      <sheetName val="11月"/>
      <sheetName val="12月"/>
    </sheetNames>
    <sheetDataSet>
      <sheetData sheetId="0">
        <row r="1">
          <cell r="A1" t="str">
            <v>币别:人民币</v>
          </cell>
          <cell r="B1" t="str">
            <v>账簿:旭智咨询管理（深圳）有限责任公司</v>
          </cell>
          <cell r="C1" t="str">
            <v>期间:2025.1 -- 2025.1</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1948049.69</v>
          </cell>
          <cell r="G4">
            <v>2356571.38</v>
          </cell>
          <cell r="H4">
            <v>424800.74</v>
          </cell>
        </row>
        <row r="5">
          <cell r="A5" t="str">
            <v>1002.21</v>
          </cell>
          <cell r="B5" t="str">
            <v>　　【旭智咨询】银行存款账户</v>
          </cell>
          <cell r="E5">
            <v>1940981.18</v>
          </cell>
          <cell r="G5">
            <v>2291571.38</v>
          </cell>
          <cell r="H5">
            <v>383923.91</v>
          </cell>
        </row>
        <row r="6">
          <cell r="A6" t="str">
            <v>1002.21.01</v>
          </cell>
          <cell r="B6" t="str">
            <v>　　　　招商银行账户</v>
          </cell>
          <cell r="E6">
            <v>1940981.18</v>
          </cell>
          <cell r="G6">
            <v>2291571.38</v>
          </cell>
          <cell r="H6">
            <v>383923.91</v>
          </cell>
        </row>
        <row r="7">
          <cell r="A7" t="str">
            <v>1002.21.01.01</v>
          </cell>
          <cell r="B7" t="str">
            <v>　　　　　　【旭智咨询】招商 人民币基本户 0108</v>
          </cell>
          <cell r="E7">
            <v>923665.1</v>
          </cell>
          <cell r="G7">
            <v>2291571.38</v>
          </cell>
          <cell r="H7">
            <v>383923.91</v>
          </cell>
        </row>
        <row r="8">
          <cell r="A8" t="str">
            <v>1002.21.01.02</v>
          </cell>
          <cell r="B8" t="str">
            <v>　　　　　　【旭智咨询】招商 人民币资本金账户 0202</v>
          </cell>
          <cell r="E8">
            <v>1017316.08</v>
          </cell>
        </row>
        <row r="9">
          <cell r="A9" t="str">
            <v>1002.22</v>
          </cell>
          <cell r="B9" t="str">
            <v>　　【旭智咨询北京】银行存款账户</v>
          </cell>
          <cell r="E9">
            <v>7068.51</v>
          </cell>
          <cell r="G9">
            <v>65000</v>
          </cell>
          <cell r="H9">
            <v>40876.83</v>
          </cell>
        </row>
        <row r="10">
          <cell r="A10" t="str">
            <v>1002.22.01</v>
          </cell>
          <cell r="B10" t="str">
            <v>　　　　招商银行账户</v>
          </cell>
          <cell r="E10">
            <v>7068.51</v>
          </cell>
          <cell r="G10">
            <v>65000</v>
          </cell>
          <cell r="H10">
            <v>40876.83</v>
          </cell>
        </row>
        <row r="11">
          <cell r="A11" t="str">
            <v>1002.22.01.01</v>
          </cell>
          <cell r="B11" t="str">
            <v>　　　　　　【旭智咨询北京】人民币基本户 0001</v>
          </cell>
          <cell r="E11">
            <v>7068.51</v>
          </cell>
          <cell r="G11">
            <v>65000</v>
          </cell>
          <cell r="H11">
            <v>40876.83</v>
          </cell>
        </row>
        <row r="12">
          <cell r="A12" t="str">
            <v>1122</v>
          </cell>
          <cell r="B12" t="str">
            <v>应收账款</v>
          </cell>
          <cell r="E12">
            <v>223234.7</v>
          </cell>
        </row>
        <row r="13">
          <cell r="A13" t="str">
            <v>1122.01</v>
          </cell>
          <cell r="B13" t="str">
            <v>　　咨询费收入</v>
          </cell>
          <cell r="E13">
            <v>223234.7</v>
          </cell>
        </row>
        <row r="14">
          <cell r="A14" t="str">
            <v>1122.01</v>
          </cell>
          <cell r="B14" t="str">
            <v>　　咨询费收入</v>
          </cell>
          <cell r="C14" t="str">
            <v>CU003010</v>
          </cell>
          <cell r="D14" t="str">
            <v>旭智富能新能源（深圳）有限责任公司</v>
          </cell>
          <cell r="E14">
            <v>223234.7</v>
          </cell>
        </row>
        <row r="15">
          <cell r="A15" t="str">
            <v>1123</v>
          </cell>
          <cell r="B15" t="str">
            <v>预付账款</v>
          </cell>
          <cell r="E15">
            <v>94393.57</v>
          </cell>
          <cell r="G15">
            <v>64790.96</v>
          </cell>
          <cell r="H15">
            <v>45514.17</v>
          </cell>
        </row>
        <row r="16">
          <cell r="A16" t="str">
            <v>1123.01</v>
          </cell>
          <cell r="B16" t="str">
            <v>　　单位</v>
          </cell>
          <cell r="E16">
            <v>94393.57</v>
          </cell>
          <cell r="G16">
            <v>64790.96</v>
          </cell>
          <cell r="H16">
            <v>45514.17</v>
          </cell>
        </row>
        <row r="17">
          <cell r="A17" t="str">
            <v>1123.01</v>
          </cell>
          <cell r="B17" t="str">
            <v>　　单位</v>
          </cell>
          <cell r="C17" t="str">
            <v>SU006011</v>
          </cell>
          <cell r="D17" t="str">
            <v>广州晶东贸易有限公司</v>
          </cell>
          <cell r="G17">
            <v>857</v>
          </cell>
        </row>
        <row r="18">
          <cell r="A18" t="str">
            <v>1123.01</v>
          </cell>
          <cell r="B18" t="str">
            <v>　　单位</v>
          </cell>
          <cell r="C18" t="str">
            <v>SU006012</v>
          </cell>
          <cell r="D18" t="str">
            <v>上海携程宏睿国际旅行社有限公司</v>
          </cell>
          <cell r="E18">
            <v>94393.57</v>
          </cell>
          <cell r="H18">
            <v>45514.17</v>
          </cell>
        </row>
        <row r="19">
          <cell r="A19" t="str">
            <v>1123.01</v>
          </cell>
          <cell r="B19" t="str">
            <v>　　单位</v>
          </cell>
          <cell r="C19" t="str">
            <v>SU006015</v>
          </cell>
          <cell r="D19" t="str">
            <v>成都协企兴企业管理咨询服务有限公司</v>
          </cell>
          <cell r="G19">
            <v>500</v>
          </cell>
        </row>
        <row r="20">
          <cell r="A20" t="str">
            <v>1123.01</v>
          </cell>
          <cell r="B20" t="str">
            <v>　　单位</v>
          </cell>
          <cell r="C20" t="str">
            <v>SU006016</v>
          </cell>
          <cell r="D20" t="str">
            <v>爱奇创新投资研究（深圳）有限公司</v>
          </cell>
          <cell r="G20">
            <v>54000</v>
          </cell>
        </row>
        <row r="21">
          <cell r="A21" t="str">
            <v>1123.01</v>
          </cell>
          <cell r="B21" t="str">
            <v>　　单位</v>
          </cell>
          <cell r="C21" t="str">
            <v>SU006031</v>
          </cell>
          <cell r="D21" t="str">
            <v>深圳市金纳维科技有限公司</v>
          </cell>
          <cell r="G21">
            <v>9433.9599999999991</v>
          </cell>
        </row>
        <row r="22">
          <cell r="A22" t="str">
            <v>1221</v>
          </cell>
          <cell r="B22" t="str">
            <v>其他应收款</v>
          </cell>
          <cell r="E22">
            <v>9380</v>
          </cell>
          <cell r="G22">
            <v>10000</v>
          </cell>
        </row>
        <row r="23">
          <cell r="A23" t="str">
            <v>1221.01</v>
          </cell>
          <cell r="B23" t="str">
            <v>　　单位</v>
          </cell>
          <cell r="E23">
            <v>9380</v>
          </cell>
          <cell r="G23">
            <v>10000</v>
          </cell>
        </row>
        <row r="24">
          <cell r="A24" t="str">
            <v>1221.01</v>
          </cell>
          <cell r="B24" t="str">
            <v>　　单位</v>
          </cell>
          <cell r="C24" t="str">
            <v>CU003010</v>
          </cell>
          <cell r="D24" t="str">
            <v>旭智富能新能源（深圳）有限责任公司</v>
          </cell>
          <cell r="E24">
            <v>4800</v>
          </cell>
        </row>
        <row r="25">
          <cell r="A25" t="str">
            <v>1221.01</v>
          </cell>
          <cell r="B25" t="str">
            <v>　　单位</v>
          </cell>
          <cell r="C25" t="str">
            <v>CU006006</v>
          </cell>
          <cell r="D25" t="str">
            <v>爱奇创新投资研究（深圳）有限公司</v>
          </cell>
          <cell r="G25">
            <v>10000</v>
          </cell>
        </row>
        <row r="26">
          <cell r="A26" t="str">
            <v>1221.01</v>
          </cell>
          <cell r="B26" t="str">
            <v>　　单位</v>
          </cell>
          <cell r="C26" t="str">
            <v>CU006007</v>
          </cell>
          <cell r="D26" t="str">
            <v>深圳旭智私募股权基金管理有限公司</v>
          </cell>
          <cell r="E26">
            <v>2400</v>
          </cell>
        </row>
        <row r="27">
          <cell r="A27" t="str">
            <v>1221.01</v>
          </cell>
          <cell r="B27" t="str">
            <v>　　单位</v>
          </cell>
          <cell r="C27" t="str">
            <v>CU006008</v>
          </cell>
          <cell r="D27" t="str">
            <v>旭智富联（鹤壁）新能源有限责任公司</v>
          </cell>
          <cell r="E27">
            <v>2180</v>
          </cell>
        </row>
        <row r="28">
          <cell r="A28" t="str">
            <v>1511</v>
          </cell>
          <cell r="B28" t="str">
            <v>长期股权投资</v>
          </cell>
          <cell r="E28">
            <v>4356000</v>
          </cell>
        </row>
        <row r="29">
          <cell r="A29" t="str">
            <v>1511.01</v>
          </cell>
          <cell r="B29" t="str">
            <v>　　投资成本</v>
          </cell>
          <cell r="E29">
            <v>4356000</v>
          </cell>
        </row>
        <row r="30">
          <cell r="A30" t="str">
            <v>1511.01.01</v>
          </cell>
          <cell r="B30" t="str">
            <v>　　　　宜兴旭智投资咨询合伙企业（有限合伙）</v>
          </cell>
          <cell r="E30">
            <v>4356000</v>
          </cell>
        </row>
        <row r="31">
          <cell r="A31" t="str">
            <v>1601</v>
          </cell>
          <cell r="B31" t="str">
            <v>固定资产</v>
          </cell>
          <cell r="E31">
            <v>145892.37</v>
          </cell>
        </row>
        <row r="32">
          <cell r="A32" t="str">
            <v>1601.01</v>
          </cell>
          <cell r="B32" t="str">
            <v>　　电子设备</v>
          </cell>
          <cell r="E32">
            <v>36596</v>
          </cell>
        </row>
        <row r="33">
          <cell r="A33" t="str">
            <v>1601.04</v>
          </cell>
          <cell r="B33" t="str">
            <v>　　家具设备</v>
          </cell>
          <cell r="E33">
            <v>109296.37</v>
          </cell>
        </row>
        <row r="34">
          <cell r="A34" t="str">
            <v>1602</v>
          </cell>
          <cell r="B34" t="str">
            <v>累计折旧</v>
          </cell>
          <cell r="F34">
            <v>50422.34</v>
          </cell>
          <cell r="H34">
            <v>2696.13</v>
          </cell>
        </row>
        <row r="35">
          <cell r="A35" t="str">
            <v>1602.01</v>
          </cell>
          <cell r="B35" t="str">
            <v>　　电子设备</v>
          </cell>
          <cell r="F35">
            <v>5485.6</v>
          </cell>
          <cell r="H35">
            <v>965.72</v>
          </cell>
        </row>
        <row r="36">
          <cell r="A36" t="str">
            <v>1602.04</v>
          </cell>
          <cell r="B36" t="str">
            <v>　　家具设备</v>
          </cell>
          <cell r="F36">
            <v>44936.74</v>
          </cell>
          <cell r="H36">
            <v>1730.41</v>
          </cell>
        </row>
        <row r="37">
          <cell r="A37" t="str">
            <v>1641</v>
          </cell>
          <cell r="B37" t="str">
            <v>使用权资产</v>
          </cell>
          <cell r="E37">
            <v>2222124.77</v>
          </cell>
          <cell r="H37">
            <v>2222124.77</v>
          </cell>
        </row>
        <row r="38">
          <cell r="A38" t="str">
            <v>1641.01</v>
          </cell>
          <cell r="B38" t="str">
            <v>　　打印机租赁</v>
          </cell>
          <cell r="E38">
            <v>47142.13</v>
          </cell>
          <cell r="H38">
            <v>47142.13</v>
          </cell>
        </row>
        <row r="39">
          <cell r="A39" t="str">
            <v>1641.02</v>
          </cell>
          <cell r="B39" t="str">
            <v>　　办公地址</v>
          </cell>
          <cell r="E39">
            <v>2174982.64</v>
          </cell>
          <cell r="H39">
            <v>2174982.64</v>
          </cell>
        </row>
        <row r="40">
          <cell r="A40" t="str">
            <v>1641.02.01</v>
          </cell>
          <cell r="B40" t="str">
            <v>　　　　旭智咨询--鼎和大厦1606</v>
          </cell>
          <cell r="E40">
            <v>2174982.64</v>
          </cell>
          <cell r="H40">
            <v>2174982.64</v>
          </cell>
        </row>
        <row r="41">
          <cell r="A41" t="str">
            <v>1642</v>
          </cell>
          <cell r="B41" t="str">
            <v>使用权资产累计折旧</v>
          </cell>
          <cell r="F41">
            <v>1235525.57</v>
          </cell>
          <cell r="G41">
            <v>1271775.28</v>
          </cell>
          <cell r="H41">
            <v>36249.71</v>
          </cell>
        </row>
        <row r="42">
          <cell r="A42" t="str">
            <v>1642.01</v>
          </cell>
          <cell r="B42" t="str">
            <v>　　打印机租赁</v>
          </cell>
          <cell r="F42">
            <v>39285.120000000003</v>
          </cell>
          <cell r="G42">
            <v>39285.120000000003</v>
          </cell>
        </row>
        <row r="43">
          <cell r="A43" t="str">
            <v>1642.02</v>
          </cell>
          <cell r="B43" t="str">
            <v>　　办公地址</v>
          </cell>
          <cell r="F43">
            <v>1196240.45</v>
          </cell>
          <cell r="G43">
            <v>1232490.1599999999</v>
          </cell>
          <cell r="H43">
            <v>36249.71</v>
          </cell>
        </row>
        <row r="44">
          <cell r="A44" t="str">
            <v>1642.02.01</v>
          </cell>
          <cell r="B44" t="str">
            <v>　　　　旭智咨询--鼎和大厦1606</v>
          </cell>
          <cell r="F44">
            <v>1196240.45</v>
          </cell>
          <cell r="G44">
            <v>1232490.1599999999</v>
          </cell>
          <cell r="H44">
            <v>36249.71</v>
          </cell>
        </row>
        <row r="45">
          <cell r="A45" t="str">
            <v>1801</v>
          </cell>
          <cell r="B45" t="str">
            <v>长期待摊费用</v>
          </cell>
          <cell r="E45">
            <v>277145.49</v>
          </cell>
          <cell r="H45">
            <v>277145.49</v>
          </cell>
        </row>
        <row r="46">
          <cell r="A46" t="str">
            <v>1801.01</v>
          </cell>
          <cell r="B46" t="str">
            <v>　　装修费</v>
          </cell>
          <cell r="E46">
            <v>277145.49</v>
          </cell>
          <cell r="H46">
            <v>277145.49</v>
          </cell>
        </row>
        <row r="47">
          <cell r="A47" t="str">
            <v>2203</v>
          </cell>
          <cell r="B47" t="str">
            <v>预收账款</v>
          </cell>
          <cell r="G47">
            <v>763857.13</v>
          </cell>
          <cell r="H47">
            <v>2291571.38</v>
          </cell>
        </row>
        <row r="48">
          <cell r="A48" t="str">
            <v>2203.01</v>
          </cell>
          <cell r="B48" t="str">
            <v>　　单位</v>
          </cell>
          <cell r="G48">
            <v>763857.13</v>
          </cell>
          <cell r="H48">
            <v>2291571.38</v>
          </cell>
        </row>
        <row r="49">
          <cell r="A49" t="str">
            <v>2203.01</v>
          </cell>
          <cell r="B49" t="str">
            <v>　　单位</v>
          </cell>
          <cell r="C49" t="str">
            <v>CU006001</v>
          </cell>
          <cell r="D49" t="str">
            <v>胜科辉飏新能源（深圳）有限公司</v>
          </cell>
          <cell r="G49">
            <v>763857.13</v>
          </cell>
          <cell r="H49">
            <v>2291571.38</v>
          </cell>
        </row>
        <row r="50">
          <cell r="A50" t="str">
            <v>2211</v>
          </cell>
          <cell r="B50" t="str">
            <v>应付职工薪酬</v>
          </cell>
          <cell r="F50">
            <v>373500</v>
          </cell>
          <cell r="G50">
            <v>306153.96999999997</v>
          </cell>
          <cell r="H50">
            <v>300190.25</v>
          </cell>
        </row>
        <row r="51">
          <cell r="A51" t="str">
            <v>2211.01</v>
          </cell>
          <cell r="B51" t="str">
            <v>　　职工工资</v>
          </cell>
          <cell r="G51">
            <v>145596.94</v>
          </cell>
          <cell r="H51">
            <v>145596.94</v>
          </cell>
        </row>
        <row r="52">
          <cell r="A52" t="str">
            <v>2211.02</v>
          </cell>
          <cell r="B52" t="str">
            <v>　　职工奖金</v>
          </cell>
          <cell r="F52">
            <v>265500</v>
          </cell>
        </row>
        <row r="53">
          <cell r="A53" t="str">
            <v>2211.03</v>
          </cell>
          <cell r="B53" t="str">
            <v>　　劳务报酬</v>
          </cell>
          <cell r="F53">
            <v>108000</v>
          </cell>
          <cell r="G53">
            <v>108000</v>
          </cell>
          <cell r="H53">
            <v>80440</v>
          </cell>
        </row>
        <row r="54">
          <cell r="A54" t="str">
            <v>2211.05</v>
          </cell>
          <cell r="B54" t="str">
            <v>　　社会保险费</v>
          </cell>
          <cell r="G54">
            <v>28822.87</v>
          </cell>
          <cell r="H54">
            <v>41951.15</v>
          </cell>
        </row>
        <row r="55">
          <cell r="A55" t="str">
            <v>2211.06</v>
          </cell>
          <cell r="B55" t="str">
            <v>　　住房公积金</v>
          </cell>
          <cell r="G55">
            <v>23734.16</v>
          </cell>
          <cell r="H55">
            <v>32202.16</v>
          </cell>
        </row>
        <row r="56">
          <cell r="A56" t="str">
            <v>2221</v>
          </cell>
          <cell r="B56" t="str">
            <v>应交税费</v>
          </cell>
          <cell r="F56">
            <v>94140.9</v>
          </cell>
          <cell r="G56">
            <v>152282.43</v>
          </cell>
          <cell r="H56">
            <v>163400.54999999999</v>
          </cell>
        </row>
        <row r="57">
          <cell r="A57" t="str">
            <v>2221.01</v>
          </cell>
          <cell r="B57" t="str">
            <v>　　应交增值税</v>
          </cell>
          <cell r="G57">
            <v>86474.4</v>
          </cell>
          <cell r="H57">
            <v>86474.4</v>
          </cell>
        </row>
        <row r="58">
          <cell r="A58" t="str">
            <v>2221.01.01</v>
          </cell>
          <cell r="B58" t="str">
            <v>　　　　销项税额</v>
          </cell>
          <cell r="G58">
            <v>43237.2</v>
          </cell>
          <cell r="H58">
            <v>43237.2</v>
          </cell>
        </row>
        <row r="59">
          <cell r="A59" t="str">
            <v>2221.01.03</v>
          </cell>
          <cell r="B59" t="str">
            <v>　　　　进项税额</v>
          </cell>
          <cell r="G59">
            <v>1431.67</v>
          </cell>
          <cell r="H59">
            <v>1431.67</v>
          </cell>
        </row>
        <row r="60">
          <cell r="A60" t="str">
            <v>2221.01.06</v>
          </cell>
          <cell r="B60" t="str">
            <v>　　　　转出未交增值税</v>
          </cell>
          <cell r="G60">
            <v>41805.53</v>
          </cell>
          <cell r="H60">
            <v>41805.53</v>
          </cell>
        </row>
        <row r="61">
          <cell r="A61" t="str">
            <v>2221.04</v>
          </cell>
          <cell r="B61" t="str">
            <v>　　未交增值税</v>
          </cell>
          <cell r="F61">
            <v>31476.77</v>
          </cell>
          <cell r="G61">
            <v>31476.77</v>
          </cell>
          <cell r="H61">
            <v>41805.53</v>
          </cell>
        </row>
        <row r="62">
          <cell r="A62" t="str">
            <v>2221.06</v>
          </cell>
          <cell r="B62" t="str">
            <v>　　待认证进项税额</v>
          </cell>
          <cell r="E62">
            <v>191.89</v>
          </cell>
          <cell r="G62">
            <v>1239.78</v>
          </cell>
          <cell r="H62">
            <v>1431.67</v>
          </cell>
        </row>
        <row r="63">
          <cell r="A63" t="str">
            <v>2221.08</v>
          </cell>
          <cell r="B63" t="str">
            <v>　　待转销项税额</v>
          </cell>
          <cell r="F63">
            <v>12635.93</v>
          </cell>
        </row>
        <row r="64">
          <cell r="A64" t="str">
            <v>2221.12</v>
          </cell>
          <cell r="B64" t="str">
            <v>　　应交城市维护建设税</v>
          </cell>
          <cell r="F64">
            <v>1101.68</v>
          </cell>
          <cell r="G64">
            <v>1101.68</v>
          </cell>
          <cell r="H64">
            <v>1463.19</v>
          </cell>
        </row>
        <row r="65">
          <cell r="A65" t="str">
            <v>2221.13</v>
          </cell>
          <cell r="B65" t="str">
            <v>　　应交教育费附加</v>
          </cell>
          <cell r="F65">
            <v>472.15</v>
          </cell>
          <cell r="G65">
            <v>472.15</v>
          </cell>
          <cell r="H65">
            <v>627.08000000000004</v>
          </cell>
        </row>
        <row r="66">
          <cell r="A66" t="str">
            <v>2221.14</v>
          </cell>
          <cell r="B66" t="str">
            <v>　　应交地方教育附加</v>
          </cell>
          <cell r="F66">
            <v>314.77</v>
          </cell>
          <cell r="G66">
            <v>314.77</v>
          </cell>
          <cell r="H66">
            <v>418.05</v>
          </cell>
        </row>
        <row r="67">
          <cell r="A67" t="str">
            <v>2221.15</v>
          </cell>
          <cell r="B67" t="str">
            <v>　　应交企业所得税</v>
          </cell>
          <cell r="F67">
            <v>31880.59</v>
          </cell>
          <cell r="G67">
            <v>14751.97</v>
          </cell>
        </row>
        <row r="68">
          <cell r="A68" t="str">
            <v>2221.16</v>
          </cell>
          <cell r="B68" t="str">
            <v>　　应交个人所得税</v>
          </cell>
          <cell r="F68">
            <v>16450.900000000001</v>
          </cell>
          <cell r="G68">
            <v>16450.91</v>
          </cell>
          <cell r="H68">
            <v>31180.63</v>
          </cell>
        </row>
        <row r="69">
          <cell r="A69" t="str">
            <v>2241</v>
          </cell>
          <cell r="B69" t="str">
            <v>其他应付款</v>
          </cell>
          <cell r="F69">
            <v>2396529.64</v>
          </cell>
          <cell r="G69">
            <v>18130.45</v>
          </cell>
          <cell r="H69">
            <v>70964.88</v>
          </cell>
        </row>
        <row r="70">
          <cell r="A70" t="str">
            <v>2241.01</v>
          </cell>
          <cell r="B70" t="str">
            <v>　　单位</v>
          </cell>
          <cell r="F70">
            <v>2222427.19</v>
          </cell>
          <cell r="G70">
            <v>6896.98</v>
          </cell>
          <cell r="H70">
            <v>57252.58</v>
          </cell>
        </row>
        <row r="71">
          <cell r="A71" t="str">
            <v>2241.01</v>
          </cell>
          <cell r="B71" t="str">
            <v>　　单位</v>
          </cell>
          <cell r="C71" t="str">
            <v>SU005004</v>
          </cell>
          <cell r="D71" t="str">
            <v>上海爱文人才服务有限公司</v>
          </cell>
          <cell r="F71">
            <v>2000</v>
          </cell>
          <cell r="G71">
            <v>2000</v>
          </cell>
        </row>
        <row r="72">
          <cell r="A72" t="str">
            <v>2241.01</v>
          </cell>
          <cell r="B72" t="str">
            <v>　　单位</v>
          </cell>
          <cell r="C72" t="str">
            <v>SU005007</v>
          </cell>
          <cell r="D72" t="str">
            <v>普华永道中天会计师事务所（特殊普通合伙）</v>
          </cell>
          <cell r="F72">
            <v>55000</v>
          </cell>
        </row>
        <row r="73">
          <cell r="A73" t="str">
            <v>2241.01</v>
          </cell>
          <cell r="B73" t="str">
            <v>　　单位</v>
          </cell>
          <cell r="C73" t="str">
            <v>SU005043</v>
          </cell>
          <cell r="D73" t="str">
            <v>旭智资本有限公司</v>
          </cell>
          <cell r="F73">
            <v>67984.570000000007</v>
          </cell>
          <cell r="H73">
            <v>-448.85</v>
          </cell>
        </row>
        <row r="74">
          <cell r="A74" t="str">
            <v>2241.01</v>
          </cell>
          <cell r="B74" t="str">
            <v>　　单位</v>
          </cell>
          <cell r="C74" t="str">
            <v>SU006006</v>
          </cell>
          <cell r="D74" t="str">
            <v>深圳市新趋势科技有限公司</v>
          </cell>
          <cell r="G74">
            <v>4572.9799999999996</v>
          </cell>
          <cell r="H74">
            <v>4572.9799999999996</v>
          </cell>
        </row>
        <row r="75">
          <cell r="A75" t="str">
            <v>2241.01</v>
          </cell>
          <cell r="B75" t="str">
            <v>　　单位</v>
          </cell>
          <cell r="C75" t="str">
            <v>SU006018</v>
          </cell>
          <cell r="D75" t="str">
            <v>深圳辉飏新能源投资咨询有限责任公司</v>
          </cell>
          <cell r="F75">
            <v>212679.47</v>
          </cell>
          <cell r="H75">
            <v>53128.45</v>
          </cell>
        </row>
        <row r="76">
          <cell r="A76" t="str">
            <v>2241.01</v>
          </cell>
          <cell r="B76" t="str">
            <v>　　单位</v>
          </cell>
          <cell r="C76" t="str">
            <v>SU006021</v>
          </cell>
          <cell r="D76" t="str">
            <v>北京市汉坤律师事务所</v>
          </cell>
          <cell r="F76">
            <v>40000</v>
          </cell>
        </row>
        <row r="77">
          <cell r="A77" t="str">
            <v>2241.01</v>
          </cell>
          <cell r="B77" t="str">
            <v>　　单位</v>
          </cell>
          <cell r="C77" t="str">
            <v>SU006023</v>
          </cell>
          <cell r="D77" t="str">
            <v>顺丰速运有限公司</v>
          </cell>
          <cell r="F77">
            <v>324</v>
          </cell>
          <cell r="G77">
            <v>324</v>
          </cell>
        </row>
        <row r="78">
          <cell r="A78" t="str">
            <v>2241.01</v>
          </cell>
          <cell r="B78" t="str">
            <v>　　单位</v>
          </cell>
          <cell r="C78" t="str">
            <v>SU006026</v>
          </cell>
          <cell r="D78" t="str">
            <v>和谐汇股权投资管理（北京）有限公司</v>
          </cell>
          <cell r="F78">
            <v>280000</v>
          </cell>
        </row>
        <row r="79">
          <cell r="A79" t="str">
            <v>2241.01</v>
          </cell>
          <cell r="B79" t="str">
            <v>　　单位</v>
          </cell>
          <cell r="C79" t="str">
            <v>SU006027</v>
          </cell>
          <cell r="D79" t="str">
            <v>南德认证检测（中国）有限公司</v>
          </cell>
          <cell r="F79">
            <v>55000</v>
          </cell>
        </row>
        <row r="80">
          <cell r="A80" t="str">
            <v>2241.01</v>
          </cell>
          <cell r="B80" t="str">
            <v>　　单位</v>
          </cell>
          <cell r="C80" t="str">
            <v>SU006032</v>
          </cell>
          <cell r="D80" t="str">
            <v>广州旭智投资控股有限责任公司</v>
          </cell>
          <cell r="F80">
            <v>1509439.15</v>
          </cell>
        </row>
        <row r="81">
          <cell r="A81" t="str">
            <v>2241.02</v>
          </cell>
          <cell r="B81" t="str">
            <v>　　个人</v>
          </cell>
          <cell r="F81">
            <v>174102.45</v>
          </cell>
          <cell r="G81">
            <v>11233.47</v>
          </cell>
          <cell r="H81">
            <v>13712.3</v>
          </cell>
        </row>
        <row r="82">
          <cell r="A82" t="str">
            <v>2241.02</v>
          </cell>
          <cell r="B82" t="str">
            <v>　　个人</v>
          </cell>
          <cell r="C82" t="str">
            <v>SP005001</v>
          </cell>
          <cell r="D82" t="str">
            <v>冯冠邦</v>
          </cell>
          <cell r="F82">
            <v>11233.47</v>
          </cell>
          <cell r="G82">
            <v>11233.47</v>
          </cell>
        </row>
        <row r="83">
          <cell r="A83" t="str">
            <v>2241.02</v>
          </cell>
          <cell r="B83" t="str">
            <v>　　个人</v>
          </cell>
          <cell r="C83" t="str">
            <v>SP005011</v>
          </cell>
          <cell r="D83" t="str">
            <v>郭宗林</v>
          </cell>
          <cell r="F83">
            <v>3124</v>
          </cell>
        </row>
        <row r="84">
          <cell r="A84" t="str">
            <v>2241.02</v>
          </cell>
          <cell r="B84" t="str">
            <v>　　个人</v>
          </cell>
          <cell r="C84" t="str">
            <v>SP005012</v>
          </cell>
          <cell r="D84" t="str">
            <v>吴雅薇</v>
          </cell>
          <cell r="F84">
            <v>2300</v>
          </cell>
        </row>
        <row r="85">
          <cell r="A85" t="str">
            <v>2241.02</v>
          </cell>
          <cell r="B85" t="str">
            <v>　　个人</v>
          </cell>
          <cell r="C85" t="str">
            <v>SP006003</v>
          </cell>
          <cell r="D85" t="str">
            <v>袁玉杰</v>
          </cell>
          <cell r="F85">
            <v>14517.5</v>
          </cell>
        </row>
        <row r="86">
          <cell r="A86" t="str">
            <v>2241.02</v>
          </cell>
          <cell r="B86" t="str">
            <v>　　个人</v>
          </cell>
          <cell r="C86" t="str">
            <v>SP006004</v>
          </cell>
          <cell r="D86" t="str">
            <v>高焙</v>
          </cell>
          <cell r="F86">
            <v>1486.19</v>
          </cell>
        </row>
        <row r="87">
          <cell r="A87" t="str">
            <v>2241.02</v>
          </cell>
          <cell r="B87" t="str">
            <v>　　个人</v>
          </cell>
          <cell r="C87" t="str">
            <v>SP006006</v>
          </cell>
          <cell r="D87" t="str">
            <v>王志强</v>
          </cell>
          <cell r="F87">
            <v>133739</v>
          </cell>
        </row>
        <row r="88">
          <cell r="A88" t="str">
            <v>2241.02</v>
          </cell>
          <cell r="B88" t="str">
            <v>　　个人</v>
          </cell>
          <cell r="C88" t="str">
            <v>SP006007</v>
          </cell>
          <cell r="D88" t="str">
            <v>徐彬</v>
          </cell>
          <cell r="F88">
            <v>6054.35</v>
          </cell>
        </row>
        <row r="89">
          <cell r="A89" t="str">
            <v>2241.02</v>
          </cell>
          <cell r="B89" t="str">
            <v>　　个人</v>
          </cell>
          <cell r="C89" t="str">
            <v>SP006008</v>
          </cell>
          <cell r="D89" t="str">
            <v>何梅春</v>
          </cell>
          <cell r="F89">
            <v>1647.94</v>
          </cell>
        </row>
        <row r="90">
          <cell r="A90" t="str">
            <v>2241.02</v>
          </cell>
          <cell r="B90" t="str">
            <v>　　个人</v>
          </cell>
          <cell r="C90" t="str">
            <v>SP006009</v>
          </cell>
          <cell r="D90" t="str">
            <v>林秋蝶</v>
          </cell>
          <cell r="H90">
            <v>13712.3</v>
          </cell>
        </row>
        <row r="91">
          <cell r="A91" t="str">
            <v>2601</v>
          </cell>
          <cell r="B91" t="str">
            <v>租赁负债</v>
          </cell>
          <cell r="F91">
            <v>1220963.8600000001</v>
          </cell>
          <cell r="G91">
            <v>1779918.59</v>
          </cell>
          <cell r="H91">
            <v>558954.73</v>
          </cell>
        </row>
        <row r="92">
          <cell r="A92" t="str">
            <v>2601.01</v>
          </cell>
          <cell r="B92" t="str">
            <v>　　租赁付款额</v>
          </cell>
          <cell r="F92">
            <v>736972.17</v>
          </cell>
          <cell r="G92">
            <v>1291093.92</v>
          </cell>
          <cell r="H92">
            <v>554121.75</v>
          </cell>
        </row>
        <row r="93">
          <cell r="A93" t="str">
            <v>2601.01.02</v>
          </cell>
          <cell r="B93" t="str">
            <v>　　　　办公地址</v>
          </cell>
          <cell r="F93">
            <v>736972.17</v>
          </cell>
          <cell r="G93">
            <v>1291093.92</v>
          </cell>
          <cell r="H93">
            <v>554121.75</v>
          </cell>
        </row>
        <row r="94">
          <cell r="A94" t="str">
            <v>2601.01.02.01</v>
          </cell>
          <cell r="B94" t="str">
            <v>　　　　　　旭智咨询--鼎和大厦1606</v>
          </cell>
          <cell r="F94">
            <v>736972.17</v>
          </cell>
          <cell r="G94">
            <v>1291093.92</v>
          </cell>
          <cell r="H94">
            <v>554121.75</v>
          </cell>
        </row>
        <row r="95">
          <cell r="A95" t="str">
            <v>2601.02</v>
          </cell>
          <cell r="B95" t="str">
            <v>　　未确认融资费用</v>
          </cell>
          <cell r="E95">
            <v>70130.06</v>
          </cell>
          <cell r="G95">
            <v>-65297.08</v>
          </cell>
          <cell r="H95">
            <v>4832.9799999999996</v>
          </cell>
        </row>
        <row r="96">
          <cell r="A96" t="str">
            <v>2601.02.02</v>
          </cell>
          <cell r="B96" t="str">
            <v>　　　　办公地址</v>
          </cell>
          <cell r="E96">
            <v>70130.06</v>
          </cell>
          <cell r="G96">
            <v>-65297.08</v>
          </cell>
          <cell r="H96">
            <v>4832.9799999999996</v>
          </cell>
        </row>
        <row r="97">
          <cell r="A97" t="str">
            <v>2601.02.02.01</v>
          </cell>
          <cell r="B97" t="str">
            <v>　　　　　　旭智咨询--鼎和大厦1606</v>
          </cell>
          <cell r="E97">
            <v>70130.06</v>
          </cell>
          <cell r="G97">
            <v>-65297.08</v>
          </cell>
          <cell r="H97">
            <v>4832.9799999999996</v>
          </cell>
        </row>
        <row r="98">
          <cell r="A98" t="str">
            <v>2601.03</v>
          </cell>
          <cell r="B98" t="str">
            <v>　　一年内到期的非流动负债</v>
          </cell>
          <cell r="F98">
            <v>554121.75</v>
          </cell>
          <cell r="G98">
            <v>554121.75</v>
          </cell>
        </row>
        <row r="99">
          <cell r="A99" t="str">
            <v>4001</v>
          </cell>
          <cell r="B99" t="str">
            <v>实收资本（股本）</v>
          </cell>
          <cell r="F99">
            <v>2500000</v>
          </cell>
        </row>
        <row r="100">
          <cell r="A100" t="str">
            <v>4001.10</v>
          </cell>
          <cell r="B100" t="str">
            <v>　　旭智资本有限公司</v>
          </cell>
          <cell r="F100">
            <v>2500000</v>
          </cell>
        </row>
        <row r="101">
          <cell r="A101" t="str">
            <v>4101</v>
          </cell>
          <cell r="B101" t="str">
            <v>盈余公积</v>
          </cell>
          <cell r="F101">
            <v>140513.82</v>
          </cell>
        </row>
        <row r="102">
          <cell r="A102" t="str">
            <v>4101.01</v>
          </cell>
          <cell r="B102" t="str">
            <v>　　法定盈余公积</v>
          </cell>
          <cell r="F102">
            <v>140513.82</v>
          </cell>
        </row>
        <row r="103">
          <cell r="A103" t="str">
            <v>4103</v>
          </cell>
          <cell r="B103" t="str">
            <v>本年利润</v>
          </cell>
          <cell r="G103">
            <v>615450.1</v>
          </cell>
          <cell r="H103">
            <v>945317.49</v>
          </cell>
        </row>
        <row r="104">
          <cell r="A104" t="str">
            <v>4104</v>
          </cell>
          <cell r="B104" t="str">
            <v>利润分配</v>
          </cell>
          <cell r="F104">
            <v>1264624.46</v>
          </cell>
        </row>
        <row r="105">
          <cell r="A105" t="str">
            <v>4104.07</v>
          </cell>
          <cell r="B105" t="str">
            <v>　　未分配利润</v>
          </cell>
          <cell r="F105">
            <v>1264624.46</v>
          </cell>
        </row>
        <row r="106">
          <cell r="A106" t="str">
            <v>6001</v>
          </cell>
          <cell r="B106" t="str">
            <v>主营业务收入</v>
          </cell>
          <cell r="G106">
            <v>720619.93</v>
          </cell>
          <cell r="H106">
            <v>720619.93</v>
          </cell>
        </row>
        <row r="107">
          <cell r="A107" t="str">
            <v>6001.02</v>
          </cell>
          <cell r="B107" t="str">
            <v>　　咨询服务费收入</v>
          </cell>
          <cell r="G107">
            <v>720619.93</v>
          </cell>
          <cell r="H107">
            <v>720619.93</v>
          </cell>
        </row>
        <row r="108">
          <cell r="A108" t="str">
            <v>6001.02.01</v>
          </cell>
          <cell r="B108" t="str">
            <v>　　　　已开票</v>
          </cell>
          <cell r="G108">
            <v>720619.93</v>
          </cell>
          <cell r="H108">
            <v>720619.93</v>
          </cell>
        </row>
        <row r="109">
          <cell r="A109" t="str">
            <v>6001.02.01</v>
          </cell>
          <cell r="B109" t="str">
            <v>　　　　已开票</v>
          </cell>
          <cell r="C109" t="str">
            <v>【未录入】</v>
          </cell>
          <cell r="D109" t="str">
            <v>【未录入】</v>
          </cell>
          <cell r="G109">
            <v>720619.93</v>
          </cell>
          <cell r="H109">
            <v>720619.93</v>
          </cell>
        </row>
        <row r="110">
          <cell r="A110" t="str">
            <v>6117</v>
          </cell>
          <cell r="B110" t="str">
            <v>资产处置损益</v>
          </cell>
          <cell r="G110">
            <v>224697.56</v>
          </cell>
          <cell r="H110">
            <v>224697.56</v>
          </cell>
        </row>
        <row r="111">
          <cell r="A111" t="str">
            <v>6405</v>
          </cell>
          <cell r="B111" t="str">
            <v>税金及附加</v>
          </cell>
          <cell r="G111">
            <v>2508.3200000000002</v>
          </cell>
          <cell r="H111">
            <v>2508.3200000000002</v>
          </cell>
        </row>
        <row r="112">
          <cell r="A112" t="str">
            <v>6405.02</v>
          </cell>
          <cell r="B112" t="str">
            <v>　　城市维护建设税</v>
          </cell>
          <cell r="G112">
            <v>1463.19</v>
          </cell>
          <cell r="H112">
            <v>1463.19</v>
          </cell>
        </row>
        <row r="113">
          <cell r="A113" t="str">
            <v>6405.03</v>
          </cell>
          <cell r="B113" t="str">
            <v>　　教育费附加</v>
          </cell>
          <cell r="G113">
            <v>627.08000000000004</v>
          </cell>
          <cell r="H113">
            <v>627.08000000000004</v>
          </cell>
        </row>
        <row r="114">
          <cell r="A114" t="str">
            <v>6405.04</v>
          </cell>
          <cell r="B114" t="str">
            <v>　　地方教育附加</v>
          </cell>
          <cell r="G114">
            <v>418.05</v>
          </cell>
          <cell r="H114">
            <v>418.05</v>
          </cell>
        </row>
        <row r="115">
          <cell r="A115" t="str">
            <v>6602</v>
          </cell>
          <cell r="B115" t="str">
            <v>管理费用</v>
          </cell>
          <cell r="G115">
            <v>608375.06999999995</v>
          </cell>
          <cell r="H115">
            <v>608375.06999999995</v>
          </cell>
        </row>
        <row r="116">
          <cell r="A116" t="str">
            <v>6602.01</v>
          </cell>
          <cell r="B116" t="str">
            <v>　　工资薪金</v>
          </cell>
          <cell r="G116">
            <v>177500</v>
          </cell>
          <cell r="H116">
            <v>177500</v>
          </cell>
        </row>
        <row r="117">
          <cell r="A117" t="str">
            <v>6602.01.01</v>
          </cell>
          <cell r="B117" t="str">
            <v>　　　　基本工资（专业）</v>
          </cell>
          <cell r="G117">
            <v>177500</v>
          </cell>
          <cell r="H117">
            <v>177500</v>
          </cell>
        </row>
        <row r="118">
          <cell r="A118" t="str">
            <v>6602.02</v>
          </cell>
          <cell r="B118" t="str">
            <v>　　职工福利</v>
          </cell>
          <cell r="G118">
            <v>9184</v>
          </cell>
          <cell r="H118">
            <v>9184</v>
          </cell>
        </row>
        <row r="119">
          <cell r="A119" t="str">
            <v>6602.02.02</v>
          </cell>
          <cell r="B119" t="str">
            <v>　　　　团建活动</v>
          </cell>
          <cell r="G119">
            <v>9184</v>
          </cell>
          <cell r="H119">
            <v>9184</v>
          </cell>
        </row>
        <row r="120">
          <cell r="A120" t="str">
            <v>6602.03</v>
          </cell>
          <cell r="B120" t="str">
            <v>　　社保公积金</v>
          </cell>
          <cell r="G120">
            <v>45870.879999999997</v>
          </cell>
          <cell r="H120">
            <v>45870.879999999997</v>
          </cell>
        </row>
        <row r="121">
          <cell r="A121" t="str">
            <v>6602.03.01</v>
          </cell>
          <cell r="B121" t="str">
            <v>　　　　员工社保福利</v>
          </cell>
          <cell r="G121">
            <v>29769.8</v>
          </cell>
          <cell r="H121">
            <v>29769.8</v>
          </cell>
        </row>
        <row r="122">
          <cell r="A122" t="str">
            <v>6602.03.02</v>
          </cell>
          <cell r="B122" t="str">
            <v>　　　　员工公积金福利</v>
          </cell>
          <cell r="G122">
            <v>16101.08</v>
          </cell>
          <cell r="H122">
            <v>16101.08</v>
          </cell>
        </row>
        <row r="123">
          <cell r="A123" t="str">
            <v>6602.04</v>
          </cell>
          <cell r="B123" t="str">
            <v>　　咨询及专业服务费</v>
          </cell>
          <cell r="G123">
            <v>1100</v>
          </cell>
          <cell r="H123">
            <v>1100</v>
          </cell>
        </row>
        <row r="124">
          <cell r="A124" t="str">
            <v>6602.04.07</v>
          </cell>
          <cell r="B124" t="str">
            <v>　　　　人力资源服务费</v>
          </cell>
          <cell r="G124">
            <v>1100</v>
          </cell>
          <cell r="H124">
            <v>1100</v>
          </cell>
        </row>
        <row r="125">
          <cell r="A125" t="str">
            <v>6602.05</v>
          </cell>
          <cell r="B125" t="str">
            <v>　　占用费</v>
          </cell>
          <cell r="G125">
            <v>277145.49</v>
          </cell>
          <cell r="H125">
            <v>277145.49</v>
          </cell>
        </row>
        <row r="126">
          <cell r="A126" t="str">
            <v>6602.05.06</v>
          </cell>
          <cell r="B126" t="str">
            <v>　　　　装修费</v>
          </cell>
          <cell r="G126">
            <v>277145.49</v>
          </cell>
          <cell r="H126">
            <v>277145.49</v>
          </cell>
        </row>
        <row r="127">
          <cell r="A127" t="str">
            <v>6602.08</v>
          </cell>
          <cell r="B127" t="str">
            <v>　　事务费用</v>
          </cell>
          <cell r="G127">
            <v>2234.75</v>
          </cell>
          <cell r="H127">
            <v>2234.75</v>
          </cell>
        </row>
        <row r="128">
          <cell r="A128" t="str">
            <v>6602.08.03</v>
          </cell>
          <cell r="B128" t="str">
            <v>　　　　办公用品</v>
          </cell>
          <cell r="G128">
            <v>734</v>
          </cell>
          <cell r="H128">
            <v>734</v>
          </cell>
        </row>
        <row r="129">
          <cell r="A129" t="str">
            <v>6602.08.03</v>
          </cell>
          <cell r="B129" t="str">
            <v>　　　　办公用品</v>
          </cell>
          <cell r="C129" t="str">
            <v>【未录入】</v>
          </cell>
          <cell r="D129" t="str">
            <v>【未录入】</v>
          </cell>
          <cell r="G129">
            <v>734</v>
          </cell>
          <cell r="H129">
            <v>734</v>
          </cell>
        </row>
        <row r="130">
          <cell r="A130" t="str">
            <v>6602.08.99</v>
          </cell>
          <cell r="B130" t="str">
            <v>　　　　其他</v>
          </cell>
          <cell r="G130">
            <v>1500.75</v>
          </cell>
          <cell r="H130">
            <v>1500.75</v>
          </cell>
        </row>
        <row r="131">
          <cell r="A131" t="str">
            <v>6602.08.99</v>
          </cell>
          <cell r="B131" t="str">
            <v>　　　　其他</v>
          </cell>
          <cell r="C131" t="str">
            <v>【未录入】</v>
          </cell>
          <cell r="D131" t="str">
            <v>【未录入】</v>
          </cell>
          <cell r="G131">
            <v>1500.75</v>
          </cell>
          <cell r="H131">
            <v>1500.75</v>
          </cell>
        </row>
        <row r="132">
          <cell r="A132" t="str">
            <v>6602.09</v>
          </cell>
          <cell r="B132" t="str">
            <v>　　差旅费</v>
          </cell>
          <cell r="G132">
            <v>2948.3</v>
          </cell>
          <cell r="H132">
            <v>2948.3</v>
          </cell>
        </row>
        <row r="133">
          <cell r="A133" t="str">
            <v>6602.09.01</v>
          </cell>
          <cell r="B133" t="str">
            <v>　　　　住宿费</v>
          </cell>
          <cell r="G133">
            <v>1238.3</v>
          </cell>
          <cell r="H133">
            <v>1238.3</v>
          </cell>
        </row>
        <row r="134">
          <cell r="A134" t="str">
            <v>6602.09.01</v>
          </cell>
          <cell r="B134" t="str">
            <v>　　　　住宿费</v>
          </cell>
          <cell r="C134" t="str">
            <v>【未录入】</v>
          </cell>
          <cell r="D134" t="str">
            <v>【未录入】</v>
          </cell>
          <cell r="G134">
            <v>1238.3</v>
          </cell>
          <cell r="H134">
            <v>1238.3</v>
          </cell>
        </row>
        <row r="135">
          <cell r="A135" t="str">
            <v>6602.09.04</v>
          </cell>
          <cell r="B135" t="str">
            <v>　　　　空中交通费</v>
          </cell>
          <cell r="G135">
            <v>1710</v>
          </cell>
          <cell r="H135">
            <v>1710</v>
          </cell>
        </row>
        <row r="136">
          <cell r="A136" t="str">
            <v>6602.09.04</v>
          </cell>
          <cell r="B136" t="str">
            <v>　　　　空中交通费</v>
          </cell>
          <cell r="C136" t="str">
            <v>【未录入】</v>
          </cell>
          <cell r="D136" t="str">
            <v>【未录入】</v>
          </cell>
          <cell r="G136">
            <v>1710</v>
          </cell>
          <cell r="H136">
            <v>1710</v>
          </cell>
        </row>
        <row r="137">
          <cell r="A137" t="str">
            <v>6602.10</v>
          </cell>
          <cell r="B137" t="str">
            <v>　　折旧费</v>
          </cell>
          <cell r="G137">
            <v>2696.13</v>
          </cell>
          <cell r="H137">
            <v>2696.13</v>
          </cell>
        </row>
        <row r="138">
          <cell r="A138" t="str">
            <v>6602.10.01</v>
          </cell>
          <cell r="B138" t="str">
            <v>　　　　电子设备</v>
          </cell>
          <cell r="G138">
            <v>965.72</v>
          </cell>
          <cell r="H138">
            <v>965.72</v>
          </cell>
        </row>
        <row r="139">
          <cell r="A139" t="str">
            <v>6602.10.04</v>
          </cell>
          <cell r="B139" t="str">
            <v>　　　　家具设备</v>
          </cell>
          <cell r="G139">
            <v>1730.41</v>
          </cell>
          <cell r="H139">
            <v>1730.41</v>
          </cell>
        </row>
        <row r="140">
          <cell r="A140" t="str">
            <v>6602.11</v>
          </cell>
          <cell r="B140" t="str">
            <v>　　筹建费</v>
          </cell>
          <cell r="G140">
            <v>46494.17</v>
          </cell>
          <cell r="H140">
            <v>46494.17</v>
          </cell>
        </row>
        <row r="141">
          <cell r="A141" t="str">
            <v>6602.11.05</v>
          </cell>
          <cell r="B141" t="str">
            <v>　　　　差旅费</v>
          </cell>
          <cell r="G141">
            <v>46494.17</v>
          </cell>
          <cell r="H141">
            <v>46494.17</v>
          </cell>
        </row>
        <row r="142">
          <cell r="A142" t="str">
            <v>6602.11.05.01</v>
          </cell>
          <cell r="B142" t="str">
            <v>　　　　　　住宿费</v>
          </cell>
          <cell r="G142">
            <v>18414.669999999998</v>
          </cell>
          <cell r="H142">
            <v>18414.669999999998</v>
          </cell>
        </row>
        <row r="143">
          <cell r="A143" t="str">
            <v>6602.11.05.01</v>
          </cell>
          <cell r="B143" t="str">
            <v>　　　　　　住宿费</v>
          </cell>
          <cell r="C143" t="str">
            <v>CI002</v>
          </cell>
          <cell r="D143" t="str">
            <v>旭智富能</v>
          </cell>
          <cell r="G143">
            <v>17599.53</v>
          </cell>
          <cell r="H143">
            <v>17599.53</v>
          </cell>
        </row>
        <row r="144">
          <cell r="A144" t="str">
            <v>6602.11.05.01</v>
          </cell>
          <cell r="B144" t="str">
            <v>　　　　　　住宿费</v>
          </cell>
          <cell r="C144" t="str">
            <v>CI005</v>
          </cell>
          <cell r="D144" t="str">
            <v>旭智私募</v>
          </cell>
          <cell r="G144">
            <v>815.14</v>
          </cell>
          <cell r="H144">
            <v>815.14</v>
          </cell>
        </row>
        <row r="145">
          <cell r="A145" t="str">
            <v>6602.11.05.03</v>
          </cell>
          <cell r="B145" t="str">
            <v>　　　　　　地面交通费</v>
          </cell>
          <cell r="G145">
            <v>6520.5</v>
          </cell>
          <cell r="H145">
            <v>6520.5</v>
          </cell>
        </row>
        <row r="146">
          <cell r="A146" t="str">
            <v>6602.11.05.03</v>
          </cell>
          <cell r="B146" t="str">
            <v>　　　　　　地面交通费</v>
          </cell>
          <cell r="C146" t="str">
            <v>CI002</v>
          </cell>
          <cell r="D146" t="str">
            <v>旭智富能</v>
          </cell>
          <cell r="G146">
            <v>6374.5</v>
          </cell>
          <cell r="H146">
            <v>6374.5</v>
          </cell>
        </row>
        <row r="147">
          <cell r="A147" t="str">
            <v>6602.11.05.03</v>
          </cell>
          <cell r="B147" t="str">
            <v>　　　　　　地面交通费</v>
          </cell>
          <cell r="C147" t="str">
            <v>CI005</v>
          </cell>
          <cell r="D147" t="str">
            <v>旭智私募</v>
          </cell>
          <cell r="G147">
            <v>146</v>
          </cell>
          <cell r="H147">
            <v>146</v>
          </cell>
        </row>
        <row r="148">
          <cell r="A148" t="str">
            <v>6602.11.05.04</v>
          </cell>
          <cell r="B148" t="str">
            <v>　　　　　　空中交通费</v>
          </cell>
          <cell r="G148">
            <v>20579</v>
          </cell>
          <cell r="H148">
            <v>20579</v>
          </cell>
        </row>
        <row r="149">
          <cell r="A149" t="str">
            <v>6602.11.05.04</v>
          </cell>
          <cell r="B149" t="str">
            <v>　　　　　　空中交通费</v>
          </cell>
          <cell r="C149" t="str">
            <v>CI002</v>
          </cell>
          <cell r="D149" t="str">
            <v>旭智富能</v>
          </cell>
          <cell r="G149">
            <v>17604</v>
          </cell>
          <cell r="H149">
            <v>17604</v>
          </cell>
        </row>
        <row r="150">
          <cell r="A150" t="str">
            <v>6602.11.05.04</v>
          </cell>
          <cell r="B150" t="str">
            <v>　　　　　　空中交通费</v>
          </cell>
          <cell r="C150" t="str">
            <v>CI005</v>
          </cell>
          <cell r="D150" t="str">
            <v>旭智私募</v>
          </cell>
          <cell r="G150">
            <v>2975</v>
          </cell>
          <cell r="H150">
            <v>2975</v>
          </cell>
        </row>
        <row r="151">
          <cell r="A151" t="str">
            <v>6602.11.05.05</v>
          </cell>
          <cell r="B151" t="str">
            <v>　　　　　　租车</v>
          </cell>
          <cell r="G151">
            <v>980</v>
          </cell>
          <cell r="H151">
            <v>980</v>
          </cell>
        </row>
        <row r="152">
          <cell r="A152" t="str">
            <v>6602.11.05.05</v>
          </cell>
          <cell r="B152" t="str">
            <v>　　　　　　租车</v>
          </cell>
          <cell r="C152" t="str">
            <v>CI002</v>
          </cell>
          <cell r="D152" t="str">
            <v>旭智富能</v>
          </cell>
          <cell r="G152">
            <v>980</v>
          </cell>
          <cell r="H152">
            <v>980</v>
          </cell>
        </row>
        <row r="153">
          <cell r="A153" t="str">
            <v>6602.12</v>
          </cell>
          <cell r="B153" t="str">
            <v>　　使用权资产折旧</v>
          </cell>
          <cell r="G153">
            <v>36249.71</v>
          </cell>
          <cell r="H153">
            <v>36249.71</v>
          </cell>
        </row>
        <row r="154">
          <cell r="A154" t="str">
            <v>6602.12.02</v>
          </cell>
          <cell r="B154" t="str">
            <v>　　　　办公地址</v>
          </cell>
          <cell r="G154">
            <v>36249.71</v>
          </cell>
          <cell r="H154">
            <v>36249.71</v>
          </cell>
        </row>
        <row r="155">
          <cell r="A155" t="str">
            <v>6602.12.02.01</v>
          </cell>
          <cell r="B155" t="str">
            <v>　　　　　　旭智咨询--鼎和大厦1606</v>
          </cell>
          <cell r="G155">
            <v>36249.71</v>
          </cell>
          <cell r="H155">
            <v>36249.71</v>
          </cell>
        </row>
        <row r="156">
          <cell r="A156" t="str">
            <v>6602.13</v>
          </cell>
          <cell r="B156" t="str">
            <v>　　物业管理费</v>
          </cell>
          <cell r="G156">
            <v>6951.64</v>
          </cell>
          <cell r="H156">
            <v>6951.64</v>
          </cell>
        </row>
        <row r="157">
          <cell r="A157" t="str">
            <v>6603</v>
          </cell>
          <cell r="B157" t="str">
            <v>财务费用</v>
          </cell>
          <cell r="G157">
            <v>4566.71</v>
          </cell>
          <cell r="H157">
            <v>4566.71</v>
          </cell>
        </row>
        <row r="158">
          <cell r="A158" t="str">
            <v>6603.01</v>
          </cell>
          <cell r="B158" t="str">
            <v>　　汇兑损益</v>
          </cell>
          <cell r="G158">
            <v>-448.85</v>
          </cell>
          <cell r="H158">
            <v>-448.85</v>
          </cell>
        </row>
        <row r="159">
          <cell r="A159" t="str">
            <v>6603.02</v>
          </cell>
          <cell r="B159" t="str">
            <v>　　利息费用</v>
          </cell>
          <cell r="G159">
            <v>4832.9799999999996</v>
          </cell>
          <cell r="H159">
            <v>4832.9799999999996</v>
          </cell>
        </row>
        <row r="160">
          <cell r="A160" t="str">
            <v>6603.02.02</v>
          </cell>
          <cell r="B160" t="str">
            <v>　　　　办公地址</v>
          </cell>
          <cell r="G160">
            <v>4832.9799999999996</v>
          </cell>
          <cell r="H160">
            <v>4832.9799999999996</v>
          </cell>
        </row>
        <row r="161">
          <cell r="A161" t="str">
            <v>6603.02.02.01</v>
          </cell>
          <cell r="B161" t="str">
            <v>　　　　　　旭智咨询--鼎和大厦1606</v>
          </cell>
          <cell r="G161">
            <v>4832.9799999999996</v>
          </cell>
          <cell r="H161">
            <v>4832.9799999999996</v>
          </cell>
        </row>
        <row r="162">
          <cell r="A162" t="str">
            <v>6603.03</v>
          </cell>
          <cell r="B162" t="str">
            <v>　　银行手续费</v>
          </cell>
          <cell r="G162">
            <v>182.58</v>
          </cell>
          <cell r="H162">
            <v>182.58</v>
          </cell>
        </row>
        <row r="163">
          <cell r="B163" t="str">
            <v>合计</v>
          </cell>
          <cell r="E163">
            <v>9346542.5399999991</v>
          </cell>
          <cell r="F163">
            <v>9346542.5399999991</v>
          </cell>
          <cell r="G163">
            <v>8899697.8800000008</v>
          </cell>
          <cell r="H163">
            <v>8899697.8800000008</v>
          </cell>
        </row>
      </sheetData>
      <sheetData sheetId="1">
        <row r="1">
          <cell r="A1" t="str">
            <v>币别:人民币</v>
          </cell>
          <cell r="B1" t="str">
            <v>账簿:旭智咨询管理（深圳）有限责任公司</v>
          </cell>
          <cell r="C1" t="str">
            <v>期间:2025.2 -- 2025.2</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3879820.33</v>
          </cell>
          <cell r="G4">
            <v>43546.239999999998</v>
          </cell>
          <cell r="H4">
            <v>513715.72</v>
          </cell>
        </row>
        <row r="5">
          <cell r="A5" t="str">
            <v>1002.21</v>
          </cell>
          <cell r="B5" t="str">
            <v>　　【旭智咨询】银行存款账户</v>
          </cell>
          <cell r="E5">
            <v>3848628.65</v>
          </cell>
          <cell r="G5">
            <v>3531.94</v>
          </cell>
          <cell r="H5">
            <v>450062.16</v>
          </cell>
        </row>
        <row r="6">
          <cell r="A6" t="str">
            <v>1002.21.01</v>
          </cell>
          <cell r="B6" t="str">
            <v>　　　　招商银行账户</v>
          </cell>
          <cell r="E6">
            <v>3848628.65</v>
          </cell>
          <cell r="G6">
            <v>3531.94</v>
          </cell>
          <cell r="H6">
            <v>450062.16</v>
          </cell>
        </row>
        <row r="7">
          <cell r="A7" t="str">
            <v>1002.21.01.01</v>
          </cell>
          <cell r="B7" t="str">
            <v>　　　　　　【旭智咨询】招商 人民币基本户 0108</v>
          </cell>
          <cell r="E7">
            <v>2831312.57</v>
          </cell>
          <cell r="G7">
            <v>3531.94</v>
          </cell>
          <cell r="H7">
            <v>450062.16</v>
          </cell>
        </row>
        <row r="8">
          <cell r="A8" t="str">
            <v>1002.21.01.02</v>
          </cell>
          <cell r="B8" t="str">
            <v>　　　　　　【旭智咨询】招商 人民币资本金账户 0202</v>
          </cell>
          <cell r="E8">
            <v>1017316.08</v>
          </cell>
        </row>
        <row r="9">
          <cell r="A9" t="str">
            <v>1002.22</v>
          </cell>
          <cell r="B9" t="str">
            <v>　　【旭智咨询北京】银行存款账户</v>
          </cell>
          <cell r="E9">
            <v>31191.68</v>
          </cell>
          <cell r="G9">
            <v>40014.300000000003</v>
          </cell>
          <cell r="H9">
            <v>63653.56</v>
          </cell>
        </row>
        <row r="10">
          <cell r="A10" t="str">
            <v>1002.22.01</v>
          </cell>
          <cell r="B10" t="str">
            <v>　　　　招商银行账户</v>
          </cell>
          <cell r="E10">
            <v>31191.68</v>
          </cell>
          <cell r="G10">
            <v>40014.300000000003</v>
          </cell>
          <cell r="H10">
            <v>63653.56</v>
          </cell>
        </row>
        <row r="11">
          <cell r="A11" t="str">
            <v>1002.22.01.01</v>
          </cell>
          <cell r="B11" t="str">
            <v>　　　　　　【旭智咨询北京】人民币基本户 0001</v>
          </cell>
          <cell r="E11">
            <v>31191.68</v>
          </cell>
          <cell r="G11">
            <v>40014.300000000003</v>
          </cell>
          <cell r="H11">
            <v>63653.56</v>
          </cell>
        </row>
        <row r="12">
          <cell r="A12" t="str">
            <v>1122</v>
          </cell>
          <cell r="B12" t="str">
            <v>应收账款</v>
          </cell>
          <cell r="E12">
            <v>223234.7</v>
          </cell>
        </row>
        <row r="13">
          <cell r="A13" t="str">
            <v>1122.01</v>
          </cell>
          <cell r="B13" t="str">
            <v>　　咨询费收入</v>
          </cell>
          <cell r="E13">
            <v>223234.7</v>
          </cell>
        </row>
        <row r="14">
          <cell r="A14" t="str">
            <v>1122.01</v>
          </cell>
          <cell r="B14" t="str">
            <v>　　咨询费收入</v>
          </cell>
          <cell r="C14" t="str">
            <v>CU003010</v>
          </cell>
          <cell r="D14" t="str">
            <v>旭智富能新能源（深圳）有限责任公司</v>
          </cell>
          <cell r="E14">
            <v>223234.7</v>
          </cell>
        </row>
        <row r="15">
          <cell r="A15" t="str">
            <v>1123</v>
          </cell>
          <cell r="B15" t="str">
            <v>预付账款</v>
          </cell>
          <cell r="E15">
            <v>113670.36</v>
          </cell>
          <cell r="G15">
            <v>16981.14</v>
          </cell>
          <cell r="H15">
            <v>72206.039999999994</v>
          </cell>
        </row>
        <row r="16">
          <cell r="A16" t="str">
            <v>1123.01</v>
          </cell>
          <cell r="B16" t="str">
            <v>　　单位</v>
          </cell>
          <cell r="E16">
            <v>113670.36</v>
          </cell>
          <cell r="G16">
            <v>16981.14</v>
          </cell>
          <cell r="H16">
            <v>72206.039999999994</v>
          </cell>
        </row>
        <row r="17">
          <cell r="A17" t="str">
            <v>1123.01</v>
          </cell>
          <cell r="B17" t="str">
            <v>　　单位</v>
          </cell>
          <cell r="C17" t="str">
            <v>SU006011</v>
          </cell>
          <cell r="D17" t="str">
            <v>广州晶东贸易有限公司</v>
          </cell>
          <cell r="E17">
            <v>857</v>
          </cell>
          <cell r="H17">
            <v>857</v>
          </cell>
        </row>
        <row r="18">
          <cell r="A18" t="str">
            <v>1123.01</v>
          </cell>
          <cell r="B18" t="str">
            <v>　　单位</v>
          </cell>
          <cell r="C18" t="str">
            <v>SU006012</v>
          </cell>
          <cell r="D18" t="str">
            <v>上海携程宏睿国际旅行社有限公司</v>
          </cell>
          <cell r="E18">
            <v>48879.4</v>
          </cell>
          <cell r="H18">
            <v>16849.04</v>
          </cell>
        </row>
        <row r="19">
          <cell r="A19" t="str">
            <v>1123.01</v>
          </cell>
          <cell r="B19" t="str">
            <v>　　单位</v>
          </cell>
          <cell r="C19" t="str">
            <v>SU006015</v>
          </cell>
          <cell r="D19" t="str">
            <v>成都协企兴企业管理咨询服务有限公司</v>
          </cell>
          <cell r="E19">
            <v>500</v>
          </cell>
          <cell r="H19">
            <v>500</v>
          </cell>
        </row>
        <row r="20">
          <cell r="A20" t="str">
            <v>1123.01</v>
          </cell>
          <cell r="B20" t="str">
            <v>　　单位</v>
          </cell>
          <cell r="C20" t="str">
            <v>SU006016</v>
          </cell>
          <cell r="D20" t="str">
            <v>爱奇创新投资研究（深圳）有限公司</v>
          </cell>
          <cell r="E20">
            <v>54000</v>
          </cell>
          <cell r="G20">
            <v>16981.14</v>
          </cell>
          <cell r="H20">
            <v>54000</v>
          </cell>
        </row>
        <row r="21">
          <cell r="A21" t="str">
            <v>1123.01</v>
          </cell>
          <cell r="B21" t="str">
            <v>　　单位</v>
          </cell>
          <cell r="C21" t="str">
            <v>SU006031</v>
          </cell>
          <cell r="D21" t="str">
            <v>深圳市金纳维科技有限公司</v>
          </cell>
          <cell r="E21">
            <v>9433.9599999999991</v>
          </cell>
        </row>
        <row r="22">
          <cell r="A22" t="str">
            <v>1221</v>
          </cell>
          <cell r="B22" t="str">
            <v>其他应收款</v>
          </cell>
          <cell r="E22">
            <v>19380</v>
          </cell>
        </row>
        <row r="23">
          <cell r="A23" t="str">
            <v>1221.01</v>
          </cell>
          <cell r="B23" t="str">
            <v>　　单位</v>
          </cell>
          <cell r="E23">
            <v>19380</v>
          </cell>
        </row>
        <row r="24">
          <cell r="A24" t="str">
            <v>1221.01</v>
          </cell>
          <cell r="B24" t="str">
            <v>　　单位</v>
          </cell>
          <cell r="C24" t="str">
            <v>CU003010</v>
          </cell>
          <cell r="D24" t="str">
            <v>旭智富能新能源（深圳）有限责任公司</v>
          </cell>
          <cell r="E24">
            <v>4800</v>
          </cell>
        </row>
        <row r="25">
          <cell r="A25" t="str">
            <v>1221.01</v>
          </cell>
          <cell r="B25" t="str">
            <v>　　单位</v>
          </cell>
          <cell r="C25" t="str">
            <v>CU006006</v>
          </cell>
          <cell r="D25" t="str">
            <v>爱奇创新投资研究（深圳）有限公司</v>
          </cell>
          <cell r="E25">
            <v>10000</v>
          </cell>
        </row>
        <row r="26">
          <cell r="A26" t="str">
            <v>1221.01</v>
          </cell>
          <cell r="B26" t="str">
            <v>　　单位</v>
          </cell>
          <cell r="C26" t="str">
            <v>CU006007</v>
          </cell>
          <cell r="D26" t="str">
            <v>深圳旭智私募股权基金管理有限公司</v>
          </cell>
          <cell r="E26">
            <v>2400</v>
          </cell>
        </row>
        <row r="27">
          <cell r="A27" t="str">
            <v>1221.01</v>
          </cell>
          <cell r="B27" t="str">
            <v>　　单位</v>
          </cell>
          <cell r="C27" t="str">
            <v>CU006008</v>
          </cell>
          <cell r="D27" t="str">
            <v>旭智富联（鹤壁）新能源有限责任公司</v>
          </cell>
          <cell r="E27">
            <v>2180</v>
          </cell>
        </row>
        <row r="28">
          <cell r="A28" t="str">
            <v>1511</v>
          </cell>
          <cell r="B28" t="str">
            <v>长期股权投资</v>
          </cell>
          <cell r="E28">
            <v>4356000</v>
          </cell>
        </row>
        <row r="29">
          <cell r="A29" t="str">
            <v>1511.01</v>
          </cell>
          <cell r="B29" t="str">
            <v>　　投资成本</v>
          </cell>
          <cell r="E29">
            <v>4356000</v>
          </cell>
        </row>
        <row r="30">
          <cell r="A30" t="str">
            <v>1511.01.01</v>
          </cell>
          <cell r="B30" t="str">
            <v>　　　　宜兴旭智投资咨询合伙企业（有限合伙）</v>
          </cell>
          <cell r="E30">
            <v>4356000</v>
          </cell>
        </row>
        <row r="31">
          <cell r="A31" t="str">
            <v>1601</v>
          </cell>
          <cell r="B31" t="str">
            <v>固定资产</v>
          </cell>
          <cell r="E31">
            <v>145892.37</v>
          </cell>
          <cell r="G31">
            <v>21854</v>
          </cell>
          <cell r="H31">
            <v>67321.33</v>
          </cell>
        </row>
        <row r="32">
          <cell r="A32" t="str">
            <v>1601.01</v>
          </cell>
          <cell r="B32" t="str">
            <v>　　电子设备</v>
          </cell>
          <cell r="E32">
            <v>36596</v>
          </cell>
          <cell r="G32">
            <v>20997</v>
          </cell>
        </row>
        <row r="33">
          <cell r="A33" t="str">
            <v>1601.04</v>
          </cell>
          <cell r="B33" t="str">
            <v>　　家具设备</v>
          </cell>
          <cell r="E33">
            <v>109296.37</v>
          </cell>
          <cell r="G33">
            <v>857</v>
          </cell>
          <cell r="H33">
            <v>67321.33</v>
          </cell>
        </row>
        <row r="34">
          <cell r="A34" t="str">
            <v>1602</v>
          </cell>
          <cell r="B34" t="str">
            <v>累计折旧</v>
          </cell>
          <cell r="F34">
            <v>53118.47</v>
          </cell>
          <cell r="G34">
            <v>30835.33</v>
          </cell>
          <cell r="H34">
            <v>2696.13</v>
          </cell>
        </row>
        <row r="35">
          <cell r="A35" t="str">
            <v>1602.01</v>
          </cell>
          <cell r="B35" t="str">
            <v>　　电子设备</v>
          </cell>
          <cell r="F35">
            <v>6451.32</v>
          </cell>
          <cell r="H35">
            <v>965.72</v>
          </cell>
        </row>
        <row r="36">
          <cell r="A36" t="str">
            <v>1602.04</v>
          </cell>
          <cell r="B36" t="str">
            <v>　　家具设备</v>
          </cell>
          <cell r="F36">
            <v>46667.15</v>
          </cell>
          <cell r="G36">
            <v>30835.33</v>
          </cell>
          <cell r="H36">
            <v>1730.41</v>
          </cell>
        </row>
        <row r="37">
          <cell r="A37" t="str">
            <v>1606</v>
          </cell>
          <cell r="B37" t="str">
            <v>固定资产清理</v>
          </cell>
          <cell r="G37">
            <v>36486</v>
          </cell>
          <cell r="H37">
            <v>36486</v>
          </cell>
        </row>
        <row r="38">
          <cell r="A38" t="str">
            <v>1606.04</v>
          </cell>
          <cell r="B38" t="str">
            <v>　　家具设备</v>
          </cell>
          <cell r="G38">
            <v>36486</v>
          </cell>
          <cell r="H38">
            <v>36486</v>
          </cell>
        </row>
        <row r="39">
          <cell r="A39" t="str">
            <v>1641</v>
          </cell>
          <cell r="B39" t="str">
            <v>使用权资产</v>
          </cell>
        </row>
        <row r="40">
          <cell r="A40" t="str">
            <v>1641.01</v>
          </cell>
          <cell r="B40" t="str">
            <v>　　打印机租赁</v>
          </cell>
        </row>
        <row r="41">
          <cell r="A41" t="str">
            <v>1641.02</v>
          </cell>
          <cell r="B41" t="str">
            <v>　　办公地址</v>
          </cell>
        </row>
        <row r="42">
          <cell r="A42" t="str">
            <v>1641.02.01</v>
          </cell>
          <cell r="B42" t="str">
            <v>　　　　旭智咨询--鼎和大厦1606</v>
          </cell>
        </row>
        <row r="43">
          <cell r="A43" t="str">
            <v>1642</v>
          </cell>
          <cell r="B43" t="str">
            <v>使用权资产累计折旧</v>
          </cell>
        </row>
        <row r="44">
          <cell r="A44" t="str">
            <v>1642.01</v>
          </cell>
          <cell r="B44" t="str">
            <v>　　打印机租赁</v>
          </cell>
        </row>
        <row r="45">
          <cell r="A45" t="str">
            <v>1642.02</v>
          </cell>
          <cell r="B45" t="str">
            <v>　　办公地址</v>
          </cell>
        </row>
        <row r="46">
          <cell r="A46" t="str">
            <v>1642.02.01</v>
          </cell>
          <cell r="B46" t="str">
            <v>　　　　旭智咨询--鼎和大厦1606</v>
          </cell>
        </row>
        <row r="47">
          <cell r="A47" t="str">
            <v>1801</v>
          </cell>
          <cell r="B47" t="str">
            <v>长期待摊费用</v>
          </cell>
        </row>
        <row r="48">
          <cell r="A48" t="str">
            <v>1801.01</v>
          </cell>
          <cell r="B48" t="str">
            <v>　　装修费</v>
          </cell>
        </row>
        <row r="49">
          <cell r="A49" t="str">
            <v>2203</v>
          </cell>
          <cell r="B49" t="str">
            <v>预收账款</v>
          </cell>
          <cell r="F49">
            <v>1527714.25</v>
          </cell>
          <cell r="G49">
            <v>763857.13</v>
          </cell>
        </row>
        <row r="50">
          <cell r="A50" t="str">
            <v>2203.01</v>
          </cell>
          <cell r="B50" t="str">
            <v>　　单位</v>
          </cell>
          <cell r="F50">
            <v>1527714.25</v>
          </cell>
          <cell r="G50">
            <v>763857.13</v>
          </cell>
        </row>
        <row r="51">
          <cell r="A51" t="str">
            <v>2203.01</v>
          </cell>
          <cell r="B51" t="str">
            <v>　　单位</v>
          </cell>
          <cell r="C51" t="str">
            <v>CU006001</v>
          </cell>
          <cell r="D51" t="str">
            <v>胜科辉飏新能源（深圳）有限公司</v>
          </cell>
          <cell r="F51">
            <v>1527714.25</v>
          </cell>
          <cell r="G51">
            <v>763857.13</v>
          </cell>
        </row>
        <row r="52">
          <cell r="A52" t="str">
            <v>2211</v>
          </cell>
          <cell r="B52" t="str">
            <v>应付职工薪酬</v>
          </cell>
          <cell r="F52">
            <v>367536.28</v>
          </cell>
          <cell r="G52">
            <v>297908.83</v>
          </cell>
          <cell r="H52">
            <v>217468.83</v>
          </cell>
        </row>
        <row r="53">
          <cell r="A53" t="str">
            <v>2211.01</v>
          </cell>
          <cell r="B53" t="str">
            <v>　　职工工资</v>
          </cell>
          <cell r="G53">
            <v>143063.88</v>
          </cell>
          <cell r="H53">
            <v>143063.88</v>
          </cell>
        </row>
        <row r="54">
          <cell r="A54" t="str">
            <v>2211.02</v>
          </cell>
          <cell r="B54" t="str">
            <v>　　职工奖金</v>
          </cell>
          <cell r="F54">
            <v>265500</v>
          </cell>
        </row>
        <row r="55">
          <cell r="A55" t="str">
            <v>2211.03</v>
          </cell>
          <cell r="B55" t="str">
            <v>　　劳务报酬</v>
          </cell>
          <cell r="F55">
            <v>80440</v>
          </cell>
          <cell r="G55">
            <v>80440</v>
          </cell>
        </row>
        <row r="56">
          <cell r="A56" t="str">
            <v>2211.05</v>
          </cell>
          <cell r="B56" t="str">
            <v>　　社会保险费</v>
          </cell>
          <cell r="F56">
            <v>13128.28</v>
          </cell>
          <cell r="G56">
            <v>42202.79</v>
          </cell>
          <cell r="H56">
            <v>42202.79</v>
          </cell>
        </row>
        <row r="57">
          <cell r="A57" t="str">
            <v>2211.06</v>
          </cell>
          <cell r="B57" t="str">
            <v>　　住房公积金</v>
          </cell>
          <cell r="F57">
            <v>8468</v>
          </cell>
          <cell r="G57">
            <v>32202.16</v>
          </cell>
          <cell r="H57">
            <v>32202.16</v>
          </cell>
        </row>
        <row r="58">
          <cell r="A58" t="str">
            <v>2221</v>
          </cell>
          <cell r="B58" t="str">
            <v>应交税费</v>
          </cell>
          <cell r="F58">
            <v>105259.02</v>
          </cell>
          <cell r="G58">
            <v>186831.11</v>
          </cell>
          <cell r="H58">
            <v>142425.85999999999</v>
          </cell>
        </row>
        <row r="59">
          <cell r="A59" t="str">
            <v>2221.01</v>
          </cell>
          <cell r="B59" t="str">
            <v>　　应交增值税</v>
          </cell>
          <cell r="G59">
            <v>86874.240000000005</v>
          </cell>
          <cell r="H59">
            <v>86874.240000000005</v>
          </cell>
        </row>
        <row r="60">
          <cell r="A60" t="str">
            <v>2221.01.01</v>
          </cell>
          <cell r="B60" t="str">
            <v>　　　　销项税额</v>
          </cell>
          <cell r="G60">
            <v>43437.120000000003</v>
          </cell>
          <cell r="H60">
            <v>43437.120000000003</v>
          </cell>
        </row>
        <row r="61">
          <cell r="A61" t="str">
            <v>2221.01.03</v>
          </cell>
          <cell r="B61" t="str">
            <v>　　　　进项税额</v>
          </cell>
          <cell r="G61">
            <v>23240.05</v>
          </cell>
          <cell r="H61">
            <v>23240.05</v>
          </cell>
        </row>
        <row r="62">
          <cell r="A62" t="str">
            <v>2221.01.06</v>
          </cell>
          <cell r="B62" t="str">
            <v>　　　　转出未交增值税</v>
          </cell>
          <cell r="G62">
            <v>20197.07</v>
          </cell>
          <cell r="H62">
            <v>20197.07</v>
          </cell>
        </row>
        <row r="63">
          <cell r="A63" t="str">
            <v>2221.03</v>
          </cell>
          <cell r="B63" t="str">
            <v>　　暂估进项税额</v>
          </cell>
          <cell r="G63">
            <v>1192.3499999999999</v>
          </cell>
        </row>
        <row r="64">
          <cell r="A64" t="str">
            <v>2221.04</v>
          </cell>
          <cell r="B64" t="str">
            <v>　　未交增值税</v>
          </cell>
          <cell r="F64">
            <v>41805.53</v>
          </cell>
          <cell r="G64">
            <v>41805.53</v>
          </cell>
          <cell r="H64">
            <v>20197.07</v>
          </cell>
        </row>
        <row r="65">
          <cell r="A65" t="str">
            <v>2221.06</v>
          </cell>
          <cell r="B65" t="str">
            <v>　　待认证进项税额</v>
          </cell>
          <cell r="G65">
            <v>23240.05</v>
          </cell>
          <cell r="H65">
            <v>23240.05</v>
          </cell>
        </row>
        <row r="66">
          <cell r="A66" t="str">
            <v>2221.08</v>
          </cell>
          <cell r="B66" t="str">
            <v>　　待转销项税额</v>
          </cell>
          <cell r="F66">
            <v>12635.93</v>
          </cell>
        </row>
        <row r="67">
          <cell r="A67" t="str">
            <v>2221.12</v>
          </cell>
          <cell r="B67" t="str">
            <v>　　应交城市维护建设税</v>
          </cell>
          <cell r="F67">
            <v>1463.19</v>
          </cell>
          <cell r="G67">
            <v>1463.19</v>
          </cell>
          <cell r="H67">
            <v>706.89</v>
          </cell>
        </row>
        <row r="68">
          <cell r="A68" t="str">
            <v>2221.13</v>
          </cell>
          <cell r="B68" t="str">
            <v>　　应交教育费附加</v>
          </cell>
          <cell r="F68">
            <v>627.08000000000004</v>
          </cell>
          <cell r="G68">
            <v>627.08000000000004</v>
          </cell>
          <cell r="H68">
            <v>302.95</v>
          </cell>
        </row>
        <row r="69">
          <cell r="A69" t="str">
            <v>2221.14</v>
          </cell>
          <cell r="B69" t="str">
            <v>　　应交地方教育附加</v>
          </cell>
          <cell r="F69">
            <v>418.05</v>
          </cell>
          <cell r="G69">
            <v>418.05</v>
          </cell>
          <cell r="H69">
            <v>201.97</v>
          </cell>
        </row>
        <row r="70">
          <cell r="A70" t="str">
            <v>2221.15</v>
          </cell>
          <cell r="B70" t="str">
            <v>　　应交企业所得税</v>
          </cell>
          <cell r="F70">
            <v>17128.62</v>
          </cell>
        </row>
        <row r="71">
          <cell r="A71" t="str">
            <v>2221.16</v>
          </cell>
          <cell r="B71" t="str">
            <v>　　应交个人所得税</v>
          </cell>
          <cell r="F71">
            <v>31180.62</v>
          </cell>
          <cell r="G71">
            <v>31210.62</v>
          </cell>
          <cell r="H71">
            <v>10902.69</v>
          </cell>
        </row>
        <row r="72">
          <cell r="A72" t="str">
            <v>2241</v>
          </cell>
          <cell r="B72" t="str">
            <v>其他应付款</v>
          </cell>
          <cell r="F72">
            <v>2449364.0699999998</v>
          </cell>
          <cell r="G72">
            <v>257902.27</v>
          </cell>
          <cell r="H72">
            <v>442801.94</v>
          </cell>
        </row>
        <row r="73">
          <cell r="A73" t="str">
            <v>2241.01</v>
          </cell>
          <cell r="B73" t="str">
            <v>　　单位</v>
          </cell>
          <cell r="F73">
            <v>2272782.79</v>
          </cell>
          <cell r="G73">
            <v>223414.34</v>
          </cell>
          <cell r="H73">
            <v>442801.94</v>
          </cell>
        </row>
        <row r="74">
          <cell r="A74" t="str">
            <v>2241.01</v>
          </cell>
          <cell r="B74" t="str">
            <v>　　单位</v>
          </cell>
          <cell r="C74" t="str">
            <v>SU005004</v>
          </cell>
          <cell r="D74" t="str">
            <v>上海爱文人才服务有限公司</v>
          </cell>
        </row>
        <row r="75">
          <cell r="A75" t="str">
            <v>2241.01</v>
          </cell>
          <cell r="B75" t="str">
            <v>　　单位</v>
          </cell>
          <cell r="C75" t="str">
            <v>SU005007</v>
          </cell>
          <cell r="D75" t="str">
            <v>普华永道中天会计师事务所（特殊普通合伙）</v>
          </cell>
          <cell r="F75">
            <v>55000</v>
          </cell>
        </row>
        <row r="76">
          <cell r="A76" t="str">
            <v>2241.01</v>
          </cell>
          <cell r="B76" t="str">
            <v>　　单位</v>
          </cell>
          <cell r="C76" t="str">
            <v>SU005037</v>
          </cell>
          <cell r="D76" t="str">
            <v>深圳点石新能源投资有限责任公司</v>
          </cell>
          <cell r="H76">
            <v>214285.71</v>
          </cell>
        </row>
        <row r="77">
          <cell r="A77" t="str">
            <v>2241.01</v>
          </cell>
          <cell r="B77" t="str">
            <v>　　单位</v>
          </cell>
          <cell r="C77" t="str">
            <v>SU005043</v>
          </cell>
          <cell r="D77" t="str">
            <v>旭智资本有限公司</v>
          </cell>
          <cell r="F77">
            <v>67535.72</v>
          </cell>
          <cell r="H77">
            <v>320.16000000000003</v>
          </cell>
        </row>
        <row r="78">
          <cell r="A78" t="str">
            <v>2241.01</v>
          </cell>
          <cell r="B78" t="str">
            <v>　　单位</v>
          </cell>
          <cell r="C78" t="str">
            <v>SU006006</v>
          </cell>
          <cell r="D78" t="str">
            <v>深圳市新趋势科技有限公司</v>
          </cell>
        </row>
        <row r="79">
          <cell r="A79" t="str">
            <v>2241.01</v>
          </cell>
          <cell r="B79" t="str">
            <v>　　单位</v>
          </cell>
          <cell r="C79" t="str">
            <v>SU006018</v>
          </cell>
          <cell r="D79" t="str">
            <v>深圳辉飏新能源投资咨询有限责任公司</v>
          </cell>
          <cell r="F79">
            <v>265807.92</v>
          </cell>
          <cell r="G79">
            <v>223414.34</v>
          </cell>
          <cell r="H79">
            <v>228196.07</v>
          </cell>
        </row>
        <row r="80">
          <cell r="A80" t="str">
            <v>2241.01</v>
          </cell>
          <cell r="B80" t="str">
            <v>　　单位</v>
          </cell>
          <cell r="C80" t="str">
            <v>SU006021</v>
          </cell>
          <cell r="D80" t="str">
            <v>北京市汉坤律师事务所</v>
          </cell>
          <cell r="F80">
            <v>40000</v>
          </cell>
        </row>
        <row r="81">
          <cell r="A81" t="str">
            <v>2241.01</v>
          </cell>
          <cell r="B81" t="str">
            <v>　　单位</v>
          </cell>
          <cell r="C81" t="str">
            <v>SU006023</v>
          </cell>
          <cell r="D81" t="str">
            <v>顺丰速运有限公司</v>
          </cell>
        </row>
        <row r="82">
          <cell r="A82" t="str">
            <v>2241.01</v>
          </cell>
          <cell r="B82" t="str">
            <v>　　单位</v>
          </cell>
          <cell r="C82" t="str">
            <v>SU006026</v>
          </cell>
          <cell r="D82" t="str">
            <v>和谐汇股权投资管理（北京）有限公司</v>
          </cell>
          <cell r="F82">
            <v>280000</v>
          </cell>
        </row>
        <row r="83">
          <cell r="A83" t="str">
            <v>2241.01</v>
          </cell>
          <cell r="B83" t="str">
            <v>　　单位</v>
          </cell>
          <cell r="C83" t="str">
            <v>SU006027</v>
          </cell>
          <cell r="D83" t="str">
            <v>南德认证检测（中国）有限公司</v>
          </cell>
          <cell r="F83">
            <v>55000</v>
          </cell>
        </row>
        <row r="84">
          <cell r="A84" t="str">
            <v>2241.01</v>
          </cell>
          <cell r="B84" t="str">
            <v>　　单位</v>
          </cell>
          <cell r="C84" t="str">
            <v>SU006032</v>
          </cell>
          <cell r="D84" t="str">
            <v>广州旭智投资控股有限责任公司</v>
          </cell>
          <cell r="F84">
            <v>1509439.15</v>
          </cell>
        </row>
        <row r="85">
          <cell r="A85" t="str">
            <v>2241.02</v>
          </cell>
          <cell r="B85" t="str">
            <v>　　个人</v>
          </cell>
          <cell r="F85">
            <v>176581.28</v>
          </cell>
          <cell r="G85">
            <v>34487.93</v>
          </cell>
        </row>
        <row r="86">
          <cell r="A86" t="str">
            <v>2241.02</v>
          </cell>
          <cell r="B86" t="str">
            <v>　　个人</v>
          </cell>
          <cell r="C86" t="str">
            <v>SP005001</v>
          </cell>
          <cell r="D86" t="str">
            <v>冯冠邦</v>
          </cell>
        </row>
        <row r="87">
          <cell r="A87" t="str">
            <v>2241.02</v>
          </cell>
          <cell r="B87" t="str">
            <v>　　个人</v>
          </cell>
          <cell r="C87" t="str">
            <v>SP005011</v>
          </cell>
          <cell r="D87" t="str">
            <v>郭宗林</v>
          </cell>
          <cell r="F87">
            <v>3124</v>
          </cell>
          <cell r="G87">
            <v>3124</v>
          </cell>
        </row>
        <row r="88">
          <cell r="A88" t="str">
            <v>2241.02</v>
          </cell>
          <cell r="B88" t="str">
            <v>　　个人</v>
          </cell>
          <cell r="C88" t="str">
            <v>SP005012</v>
          </cell>
          <cell r="D88" t="str">
            <v>吴雅薇</v>
          </cell>
          <cell r="F88">
            <v>2300</v>
          </cell>
        </row>
        <row r="89">
          <cell r="A89" t="str">
            <v>2241.02</v>
          </cell>
          <cell r="B89" t="str">
            <v>　　个人</v>
          </cell>
          <cell r="C89" t="str">
            <v>SP006003</v>
          </cell>
          <cell r="D89" t="str">
            <v>袁玉杰</v>
          </cell>
          <cell r="F89">
            <v>14517.5</v>
          </cell>
          <cell r="G89">
            <v>14517.5</v>
          </cell>
        </row>
        <row r="90">
          <cell r="A90" t="str">
            <v>2241.02</v>
          </cell>
          <cell r="B90" t="str">
            <v>　　个人</v>
          </cell>
          <cell r="C90" t="str">
            <v>SP006004</v>
          </cell>
          <cell r="D90" t="str">
            <v>高焙</v>
          </cell>
          <cell r="F90">
            <v>1486.19</v>
          </cell>
          <cell r="G90">
            <v>1486.19</v>
          </cell>
        </row>
        <row r="91">
          <cell r="A91" t="str">
            <v>2241.02</v>
          </cell>
          <cell r="B91" t="str">
            <v>　　个人</v>
          </cell>
          <cell r="C91" t="str">
            <v>SP006006</v>
          </cell>
          <cell r="D91" t="str">
            <v>王志强</v>
          </cell>
          <cell r="F91">
            <v>133739</v>
          </cell>
        </row>
        <row r="92">
          <cell r="A92" t="str">
            <v>2241.02</v>
          </cell>
          <cell r="B92" t="str">
            <v>　　个人</v>
          </cell>
          <cell r="C92" t="str">
            <v>SP006007</v>
          </cell>
          <cell r="D92" t="str">
            <v>徐彬</v>
          </cell>
          <cell r="F92">
            <v>6054.35</v>
          </cell>
        </row>
        <row r="93">
          <cell r="A93" t="str">
            <v>2241.02</v>
          </cell>
          <cell r="B93" t="str">
            <v>　　个人</v>
          </cell>
          <cell r="C93" t="str">
            <v>SP006008</v>
          </cell>
          <cell r="D93" t="str">
            <v>何梅春</v>
          </cell>
          <cell r="F93">
            <v>1647.94</v>
          </cell>
          <cell r="G93">
            <v>1647.94</v>
          </cell>
        </row>
        <row r="94">
          <cell r="A94" t="str">
            <v>2241.02</v>
          </cell>
          <cell r="B94" t="str">
            <v>　　个人</v>
          </cell>
          <cell r="C94" t="str">
            <v>SP006009</v>
          </cell>
          <cell r="D94" t="str">
            <v>林秋蝶</v>
          </cell>
          <cell r="F94">
            <v>13712.3</v>
          </cell>
          <cell r="G94">
            <v>13712.3</v>
          </cell>
        </row>
        <row r="95">
          <cell r="A95" t="str">
            <v>2601</v>
          </cell>
          <cell r="B95" t="str">
            <v>租赁负债</v>
          </cell>
        </row>
        <row r="96">
          <cell r="A96" t="str">
            <v>2601.01</v>
          </cell>
          <cell r="B96" t="str">
            <v>　　租赁付款额</v>
          </cell>
        </row>
        <row r="97">
          <cell r="A97" t="str">
            <v>2601.01.02</v>
          </cell>
          <cell r="B97" t="str">
            <v>　　　　办公地址</v>
          </cell>
        </row>
        <row r="98">
          <cell r="A98" t="str">
            <v>2601.01.02.01</v>
          </cell>
          <cell r="B98" t="str">
            <v>　　　　　　旭智咨询--鼎和大厦1606</v>
          </cell>
        </row>
        <row r="99">
          <cell r="A99" t="str">
            <v>2601.02</v>
          </cell>
          <cell r="B99" t="str">
            <v>　　未确认融资费用</v>
          </cell>
        </row>
        <row r="100">
          <cell r="A100" t="str">
            <v>2601.02.02</v>
          </cell>
          <cell r="B100" t="str">
            <v>　　　　办公地址</v>
          </cell>
        </row>
        <row r="101">
          <cell r="A101" t="str">
            <v>2601.02.02.01</v>
          </cell>
          <cell r="B101" t="str">
            <v>　　　　　　旭智咨询--鼎和大厦1606</v>
          </cell>
        </row>
        <row r="102">
          <cell r="A102" t="str">
            <v>2601.03</v>
          </cell>
          <cell r="B102" t="str">
            <v>　　一年内到期的非流动负债</v>
          </cell>
        </row>
        <row r="103">
          <cell r="A103" t="str">
            <v>4001</v>
          </cell>
          <cell r="B103" t="str">
            <v>实收资本（股本）</v>
          </cell>
          <cell r="F103">
            <v>2500000</v>
          </cell>
        </row>
        <row r="104">
          <cell r="A104" t="str">
            <v>4001.10</v>
          </cell>
          <cell r="B104" t="str">
            <v>　　旭智资本有限公司</v>
          </cell>
          <cell r="F104">
            <v>2500000</v>
          </cell>
        </row>
        <row r="105">
          <cell r="A105" t="str">
            <v>4101</v>
          </cell>
          <cell r="B105" t="str">
            <v>盈余公积</v>
          </cell>
          <cell r="F105">
            <v>140513.82</v>
          </cell>
        </row>
        <row r="106">
          <cell r="A106" t="str">
            <v>4101.01</v>
          </cell>
          <cell r="B106" t="str">
            <v>　　法定盈余公积</v>
          </cell>
          <cell r="F106">
            <v>140513.82</v>
          </cell>
        </row>
        <row r="107">
          <cell r="A107" t="str">
            <v>4103</v>
          </cell>
          <cell r="B107" t="str">
            <v>本年利润</v>
          </cell>
          <cell r="F107">
            <v>329867.39</v>
          </cell>
          <cell r="G107">
            <v>562886.05000000005</v>
          </cell>
          <cell r="H107">
            <v>723966.25</v>
          </cell>
        </row>
        <row r="108">
          <cell r="A108" t="str">
            <v>4104</v>
          </cell>
          <cell r="B108" t="str">
            <v>利润分配</v>
          </cell>
          <cell r="F108">
            <v>1264624.46</v>
          </cell>
        </row>
        <row r="109">
          <cell r="A109" t="str">
            <v>4104.07</v>
          </cell>
          <cell r="B109" t="str">
            <v>　　未分配利润</v>
          </cell>
          <cell r="F109">
            <v>1264624.46</v>
          </cell>
        </row>
        <row r="110">
          <cell r="A110" t="str">
            <v>6001</v>
          </cell>
          <cell r="B110" t="str">
            <v>主营业务收入</v>
          </cell>
          <cell r="G110">
            <v>720619.93</v>
          </cell>
          <cell r="H110">
            <v>720619.93</v>
          </cell>
        </row>
        <row r="111">
          <cell r="A111" t="str">
            <v>6001.02</v>
          </cell>
          <cell r="B111" t="str">
            <v>　　咨询服务费收入</v>
          </cell>
          <cell r="G111">
            <v>720619.93</v>
          </cell>
          <cell r="H111">
            <v>720619.93</v>
          </cell>
        </row>
        <row r="112">
          <cell r="A112" t="str">
            <v>6001.02.01</v>
          </cell>
          <cell r="B112" t="str">
            <v>　　　　已开票</v>
          </cell>
          <cell r="G112">
            <v>720619.93</v>
          </cell>
          <cell r="H112">
            <v>720619.93</v>
          </cell>
        </row>
        <row r="113">
          <cell r="A113" t="str">
            <v>6001.02.01</v>
          </cell>
          <cell r="B113" t="str">
            <v>　　　　已开票</v>
          </cell>
          <cell r="C113" t="str">
            <v>【未录入】</v>
          </cell>
          <cell r="D113" t="str">
            <v>【未录入】</v>
          </cell>
          <cell r="G113">
            <v>720619.93</v>
          </cell>
          <cell r="H113">
            <v>720619.93</v>
          </cell>
        </row>
        <row r="114">
          <cell r="A114" t="str">
            <v>6115</v>
          </cell>
          <cell r="B114" t="str">
            <v>其他收益</v>
          </cell>
          <cell r="G114">
            <v>3346.32</v>
          </cell>
          <cell r="H114">
            <v>3346.32</v>
          </cell>
        </row>
        <row r="115">
          <cell r="A115" t="str">
            <v>6115.02</v>
          </cell>
          <cell r="B115" t="str">
            <v>　　个税手续费返还</v>
          </cell>
          <cell r="G115">
            <v>3346.32</v>
          </cell>
          <cell r="H115">
            <v>3346.32</v>
          </cell>
        </row>
        <row r="116">
          <cell r="A116" t="str">
            <v>6117</v>
          </cell>
          <cell r="B116" t="str">
            <v>资产处置损益</v>
          </cell>
        </row>
        <row r="117">
          <cell r="A117" t="str">
            <v>6405</v>
          </cell>
          <cell r="B117" t="str">
            <v>税金及附加</v>
          </cell>
          <cell r="G117">
            <v>1211.81</v>
          </cell>
          <cell r="H117">
            <v>1211.81</v>
          </cell>
        </row>
        <row r="118">
          <cell r="A118" t="str">
            <v>6405.02</v>
          </cell>
          <cell r="B118" t="str">
            <v>　　城市维护建设税</v>
          </cell>
          <cell r="G118">
            <v>706.89</v>
          </cell>
          <cell r="H118">
            <v>706.89</v>
          </cell>
        </row>
        <row r="119">
          <cell r="A119" t="str">
            <v>6405.03</v>
          </cell>
          <cell r="B119" t="str">
            <v>　　教育费附加</v>
          </cell>
          <cell r="G119">
            <v>302.95</v>
          </cell>
          <cell r="H119">
            <v>302.95</v>
          </cell>
        </row>
        <row r="120">
          <cell r="A120" t="str">
            <v>6405.04</v>
          </cell>
          <cell r="B120" t="str">
            <v>　　地方教育附加</v>
          </cell>
          <cell r="G120">
            <v>201.97</v>
          </cell>
          <cell r="H120">
            <v>201.97</v>
          </cell>
        </row>
        <row r="121">
          <cell r="A121" t="str">
            <v>6602</v>
          </cell>
          <cell r="B121" t="str">
            <v>管理费用</v>
          </cell>
          <cell r="G121">
            <v>524777.43000000005</v>
          </cell>
          <cell r="H121">
            <v>524777.43000000005</v>
          </cell>
        </row>
        <row r="122">
          <cell r="A122" t="str">
            <v>6602.01</v>
          </cell>
          <cell r="B122" t="str">
            <v>　　工资薪金</v>
          </cell>
          <cell r="G122">
            <v>182250</v>
          </cell>
          <cell r="H122">
            <v>182250</v>
          </cell>
        </row>
        <row r="123">
          <cell r="A123" t="str">
            <v>6602.01.01</v>
          </cell>
          <cell r="B123" t="str">
            <v>　　　　基本工资（专业）</v>
          </cell>
          <cell r="G123">
            <v>182250</v>
          </cell>
          <cell r="H123">
            <v>182250</v>
          </cell>
        </row>
        <row r="124">
          <cell r="A124" t="str">
            <v>6602.02</v>
          </cell>
          <cell r="B124" t="str">
            <v>　　职工福利</v>
          </cell>
          <cell r="G124">
            <v>-1000</v>
          </cell>
          <cell r="H124">
            <v>-1000</v>
          </cell>
        </row>
        <row r="125">
          <cell r="A125" t="str">
            <v>6602.02.02</v>
          </cell>
          <cell r="B125" t="str">
            <v>　　　　团建活动</v>
          </cell>
        </row>
        <row r="126">
          <cell r="A126" t="str">
            <v>6602.02.03</v>
          </cell>
          <cell r="B126" t="str">
            <v>　　　　体检费</v>
          </cell>
          <cell r="G126">
            <v>-1000</v>
          </cell>
          <cell r="H126">
            <v>-1000</v>
          </cell>
        </row>
        <row r="127">
          <cell r="A127" t="str">
            <v>6602.03</v>
          </cell>
          <cell r="B127" t="str">
            <v>　　社保公积金</v>
          </cell>
          <cell r="G127">
            <v>46121.52</v>
          </cell>
          <cell r="H127">
            <v>46121.52</v>
          </cell>
        </row>
        <row r="128">
          <cell r="A128" t="str">
            <v>6602.03.01</v>
          </cell>
          <cell r="B128" t="str">
            <v>　　　　员工社保福利</v>
          </cell>
          <cell r="G128">
            <v>30020.44</v>
          </cell>
          <cell r="H128">
            <v>30020.44</v>
          </cell>
        </row>
        <row r="129">
          <cell r="A129" t="str">
            <v>6602.03.02</v>
          </cell>
          <cell r="B129" t="str">
            <v>　　　　员工公积金福利</v>
          </cell>
          <cell r="G129">
            <v>16101.08</v>
          </cell>
          <cell r="H129">
            <v>16101.08</v>
          </cell>
        </row>
        <row r="130">
          <cell r="A130" t="str">
            <v>6602.04</v>
          </cell>
          <cell r="B130" t="str">
            <v>　　咨询及专业服务费</v>
          </cell>
          <cell r="G130">
            <v>253828.17</v>
          </cell>
          <cell r="H130">
            <v>253828.17</v>
          </cell>
        </row>
        <row r="131">
          <cell r="A131" t="str">
            <v>6602.04.03</v>
          </cell>
          <cell r="B131" t="str">
            <v>　　　　顾问费</v>
          </cell>
          <cell r="G131">
            <v>214285.71</v>
          </cell>
          <cell r="H131">
            <v>214285.71</v>
          </cell>
        </row>
        <row r="132">
          <cell r="A132" t="str">
            <v>6602.04.03</v>
          </cell>
          <cell r="B132" t="str">
            <v>　　　　顾问费</v>
          </cell>
          <cell r="C132" t="str">
            <v>【未录入】</v>
          </cell>
          <cell r="D132" t="str">
            <v>【未录入】</v>
          </cell>
          <cell r="G132">
            <v>214285.71</v>
          </cell>
          <cell r="H132">
            <v>214285.71</v>
          </cell>
        </row>
        <row r="133">
          <cell r="A133" t="str">
            <v>6602.04.07</v>
          </cell>
          <cell r="B133" t="str">
            <v>　　　　人力资源服务费</v>
          </cell>
          <cell r="G133">
            <v>3600</v>
          </cell>
          <cell r="H133">
            <v>3600</v>
          </cell>
        </row>
        <row r="134">
          <cell r="A134" t="str">
            <v>6602.04.99</v>
          </cell>
          <cell r="B134" t="str">
            <v>　　　　其他</v>
          </cell>
          <cell r="G134">
            <v>35942.46</v>
          </cell>
          <cell r="H134">
            <v>35942.46</v>
          </cell>
        </row>
        <row r="135">
          <cell r="A135" t="str">
            <v>6602.04.99</v>
          </cell>
          <cell r="B135" t="str">
            <v>　　　　其他</v>
          </cell>
          <cell r="C135" t="str">
            <v>【未录入】</v>
          </cell>
          <cell r="D135" t="str">
            <v>【未录入】</v>
          </cell>
          <cell r="G135">
            <v>35942.46</v>
          </cell>
          <cell r="H135">
            <v>35942.46</v>
          </cell>
        </row>
        <row r="136">
          <cell r="A136" t="str">
            <v>6602.05</v>
          </cell>
          <cell r="B136" t="str">
            <v>　　占用费</v>
          </cell>
          <cell r="G136">
            <v>-6571.37</v>
          </cell>
          <cell r="H136">
            <v>-6571.37</v>
          </cell>
        </row>
        <row r="137">
          <cell r="A137" t="str">
            <v>6602.05.03</v>
          </cell>
          <cell r="B137" t="str">
            <v>　　　　电费</v>
          </cell>
          <cell r="G137">
            <v>1339.5</v>
          </cell>
          <cell r="H137">
            <v>1339.5</v>
          </cell>
        </row>
        <row r="138">
          <cell r="A138" t="str">
            <v>6602.05.06</v>
          </cell>
          <cell r="B138" t="str">
            <v>　　　　装修费</v>
          </cell>
        </row>
        <row r="139">
          <cell r="A139" t="str">
            <v>6602.05.99</v>
          </cell>
          <cell r="B139" t="str">
            <v>　　　　其他</v>
          </cell>
          <cell r="G139">
            <v>-7910.87</v>
          </cell>
          <cell r="H139">
            <v>-7910.87</v>
          </cell>
        </row>
        <row r="140">
          <cell r="A140" t="str">
            <v>6602.08</v>
          </cell>
          <cell r="B140" t="str">
            <v>　　事务费用</v>
          </cell>
          <cell r="G140">
            <v>7120</v>
          </cell>
          <cell r="H140">
            <v>7120</v>
          </cell>
        </row>
        <row r="141">
          <cell r="A141" t="str">
            <v>6602.08.01</v>
          </cell>
          <cell r="B141" t="str">
            <v>　　　　通信费</v>
          </cell>
          <cell r="G141">
            <v>399</v>
          </cell>
          <cell r="H141">
            <v>399</v>
          </cell>
        </row>
        <row r="142">
          <cell r="A142" t="str">
            <v>6602.08.01</v>
          </cell>
          <cell r="B142" t="str">
            <v>　　　　通信费</v>
          </cell>
          <cell r="C142" t="str">
            <v>【未录入】</v>
          </cell>
          <cell r="D142" t="str">
            <v>【未录入】</v>
          </cell>
          <cell r="G142">
            <v>399</v>
          </cell>
          <cell r="H142">
            <v>399</v>
          </cell>
        </row>
        <row r="143">
          <cell r="A143" t="str">
            <v>6602.08.03</v>
          </cell>
          <cell r="B143" t="str">
            <v>　　　　办公用品</v>
          </cell>
          <cell r="G143">
            <v>1122</v>
          </cell>
          <cell r="H143">
            <v>1122</v>
          </cell>
        </row>
        <row r="144">
          <cell r="A144" t="str">
            <v>6602.08.03</v>
          </cell>
          <cell r="B144" t="str">
            <v>　　　　办公用品</v>
          </cell>
          <cell r="C144" t="str">
            <v>【未录入】</v>
          </cell>
          <cell r="D144" t="str">
            <v>【未录入】</v>
          </cell>
          <cell r="G144">
            <v>1122</v>
          </cell>
          <cell r="H144">
            <v>1122</v>
          </cell>
        </row>
        <row r="145">
          <cell r="A145" t="str">
            <v>6602.08.05</v>
          </cell>
          <cell r="B145" t="str">
            <v>　　　　邮费/邮递费</v>
          </cell>
          <cell r="G145">
            <v>399</v>
          </cell>
          <cell r="H145">
            <v>399</v>
          </cell>
        </row>
        <row r="146">
          <cell r="A146" t="str">
            <v>6602.08.05</v>
          </cell>
          <cell r="B146" t="str">
            <v>　　　　邮费/邮递费</v>
          </cell>
          <cell r="C146" t="str">
            <v>【未录入】</v>
          </cell>
          <cell r="D146" t="str">
            <v>【未录入】</v>
          </cell>
          <cell r="G146">
            <v>399</v>
          </cell>
          <cell r="H146">
            <v>399</v>
          </cell>
        </row>
        <row r="147">
          <cell r="A147" t="str">
            <v>6602.08.99</v>
          </cell>
          <cell r="B147" t="str">
            <v>　　　　其他</v>
          </cell>
          <cell r="G147">
            <v>5200</v>
          </cell>
          <cell r="H147">
            <v>5200</v>
          </cell>
        </row>
        <row r="148">
          <cell r="A148" t="str">
            <v>6602.08.99</v>
          </cell>
          <cell r="B148" t="str">
            <v>　　　　其他</v>
          </cell>
          <cell r="C148" t="str">
            <v>【未录入】</v>
          </cell>
          <cell r="D148" t="str">
            <v>【未录入】</v>
          </cell>
          <cell r="G148">
            <v>5200</v>
          </cell>
          <cell r="H148">
            <v>5200</v>
          </cell>
        </row>
        <row r="149">
          <cell r="A149" t="str">
            <v>6602.09</v>
          </cell>
          <cell r="B149" t="str">
            <v>　　差旅费</v>
          </cell>
          <cell r="G149">
            <v>-658.81</v>
          </cell>
          <cell r="H149">
            <v>-658.81</v>
          </cell>
        </row>
        <row r="150">
          <cell r="A150" t="str">
            <v>6602.09.01</v>
          </cell>
          <cell r="B150" t="str">
            <v>　　　　住宿费</v>
          </cell>
          <cell r="G150">
            <v>-610.24</v>
          </cell>
          <cell r="H150">
            <v>-610.24</v>
          </cell>
        </row>
        <row r="151">
          <cell r="A151" t="str">
            <v>6602.09.01</v>
          </cell>
          <cell r="B151" t="str">
            <v>　　　　住宿费</v>
          </cell>
          <cell r="C151" t="str">
            <v>【未录入】</v>
          </cell>
          <cell r="D151" t="str">
            <v>【未录入】</v>
          </cell>
          <cell r="G151">
            <v>-610.24</v>
          </cell>
          <cell r="H151">
            <v>-610.24</v>
          </cell>
        </row>
        <row r="152">
          <cell r="A152" t="str">
            <v>6602.09.03</v>
          </cell>
          <cell r="B152" t="str">
            <v>　　　　地面交通费</v>
          </cell>
          <cell r="G152">
            <v>-1.7</v>
          </cell>
          <cell r="H152">
            <v>-1.7</v>
          </cell>
        </row>
        <row r="153">
          <cell r="A153" t="str">
            <v>6602.09.03</v>
          </cell>
          <cell r="B153" t="str">
            <v>　　　　地面交通费</v>
          </cell>
          <cell r="C153" t="str">
            <v>【未录入】</v>
          </cell>
          <cell r="D153" t="str">
            <v>【未录入】</v>
          </cell>
          <cell r="G153">
            <v>-1.7</v>
          </cell>
          <cell r="H153">
            <v>-1.7</v>
          </cell>
        </row>
        <row r="154">
          <cell r="A154" t="str">
            <v>6602.09.04</v>
          </cell>
          <cell r="B154" t="str">
            <v>　　　　空中交通费</v>
          </cell>
          <cell r="G154">
            <v>-46.87</v>
          </cell>
          <cell r="H154">
            <v>-46.87</v>
          </cell>
        </row>
        <row r="155">
          <cell r="A155" t="str">
            <v>6602.09.04</v>
          </cell>
          <cell r="B155" t="str">
            <v>　　　　空中交通费</v>
          </cell>
          <cell r="C155" t="str">
            <v>【未录入】</v>
          </cell>
          <cell r="D155" t="str">
            <v>【未录入】</v>
          </cell>
          <cell r="G155">
            <v>-46.87</v>
          </cell>
          <cell r="H155">
            <v>-46.87</v>
          </cell>
        </row>
        <row r="156">
          <cell r="A156" t="str">
            <v>6602.10</v>
          </cell>
          <cell r="B156" t="str">
            <v>　　折旧费</v>
          </cell>
          <cell r="G156">
            <v>2696.13</v>
          </cell>
          <cell r="H156">
            <v>2696.13</v>
          </cell>
        </row>
        <row r="157">
          <cell r="A157" t="str">
            <v>6602.10.01</v>
          </cell>
          <cell r="B157" t="str">
            <v>　　　　电子设备</v>
          </cell>
          <cell r="G157">
            <v>965.72</v>
          </cell>
          <cell r="H157">
            <v>965.72</v>
          </cell>
        </row>
        <row r="158">
          <cell r="A158" t="str">
            <v>6602.10.04</v>
          </cell>
          <cell r="B158" t="str">
            <v>　　　　家具设备</v>
          </cell>
          <cell r="G158">
            <v>1730.41</v>
          </cell>
          <cell r="H158">
            <v>1730.41</v>
          </cell>
        </row>
        <row r="159">
          <cell r="A159" t="str">
            <v>6602.11</v>
          </cell>
          <cell r="B159" t="str">
            <v>　　筹建费</v>
          </cell>
          <cell r="G159">
            <v>42555.45</v>
          </cell>
          <cell r="H159">
            <v>42555.45</v>
          </cell>
        </row>
        <row r="160">
          <cell r="A160" t="str">
            <v>6602.11.01</v>
          </cell>
          <cell r="B160" t="str">
            <v>　　　　咨询及专业服务费</v>
          </cell>
          <cell r="G160">
            <v>28301.89</v>
          </cell>
          <cell r="H160">
            <v>28301.89</v>
          </cell>
        </row>
        <row r="161">
          <cell r="A161" t="str">
            <v>6602.11.01.06</v>
          </cell>
          <cell r="B161" t="str">
            <v>　　　　　　法律服务费</v>
          </cell>
          <cell r="G161">
            <v>28301.89</v>
          </cell>
          <cell r="H161">
            <v>28301.89</v>
          </cell>
        </row>
        <row r="162">
          <cell r="A162" t="str">
            <v>6602.11.01.06</v>
          </cell>
          <cell r="B162" t="str">
            <v>　　　　　　法律服务费</v>
          </cell>
          <cell r="C162" t="str">
            <v>CI001</v>
          </cell>
          <cell r="D162" t="str">
            <v>旭智基金Ⅱ筹建费</v>
          </cell>
          <cell r="G162">
            <v>28301.89</v>
          </cell>
          <cell r="H162">
            <v>28301.89</v>
          </cell>
        </row>
        <row r="163">
          <cell r="A163" t="str">
            <v>6602.11.02</v>
          </cell>
          <cell r="B163" t="str">
            <v>　　　　业务招待费</v>
          </cell>
          <cell r="G163">
            <v>954</v>
          </cell>
          <cell r="H163">
            <v>954</v>
          </cell>
        </row>
        <row r="164">
          <cell r="A164" t="str">
            <v>6602.11.02</v>
          </cell>
          <cell r="B164" t="str">
            <v>　　　　业务招待费</v>
          </cell>
          <cell r="C164" t="str">
            <v>CI002</v>
          </cell>
          <cell r="D164" t="str">
            <v>旭智富能</v>
          </cell>
          <cell r="G164">
            <v>954</v>
          </cell>
          <cell r="H164">
            <v>954</v>
          </cell>
        </row>
        <row r="165">
          <cell r="A165" t="str">
            <v>6602.11.04</v>
          </cell>
          <cell r="B165" t="str">
            <v>　　　　事务费用</v>
          </cell>
          <cell r="G165">
            <v>1000</v>
          </cell>
          <cell r="H165">
            <v>1000</v>
          </cell>
        </row>
        <row r="166">
          <cell r="A166" t="str">
            <v>6602.11.04.99</v>
          </cell>
          <cell r="B166" t="str">
            <v>　　　　　　其他</v>
          </cell>
          <cell r="G166">
            <v>1000</v>
          </cell>
          <cell r="H166">
            <v>1000</v>
          </cell>
        </row>
        <row r="167">
          <cell r="A167" t="str">
            <v>6602.11.04.99</v>
          </cell>
          <cell r="B167" t="str">
            <v>　　　　　　其他</v>
          </cell>
          <cell r="C167" t="str">
            <v>CI002</v>
          </cell>
          <cell r="D167" t="str">
            <v>旭智富能</v>
          </cell>
          <cell r="G167">
            <v>1000</v>
          </cell>
          <cell r="H167">
            <v>1000</v>
          </cell>
        </row>
        <row r="168">
          <cell r="A168" t="str">
            <v>6602.11.05</v>
          </cell>
          <cell r="B168" t="str">
            <v>　　　　差旅费</v>
          </cell>
          <cell r="G168">
            <v>12299.56</v>
          </cell>
          <cell r="H168">
            <v>12299.56</v>
          </cell>
        </row>
        <row r="169">
          <cell r="A169" t="str">
            <v>6602.11.05.01</v>
          </cell>
          <cell r="B169" t="str">
            <v>　　　　　　住宿费</v>
          </cell>
          <cell r="G169">
            <v>4566.3</v>
          </cell>
          <cell r="H169">
            <v>4566.3</v>
          </cell>
        </row>
        <row r="170">
          <cell r="A170" t="str">
            <v>6602.11.05.01</v>
          </cell>
          <cell r="B170" t="str">
            <v>　　　　　　住宿费</v>
          </cell>
          <cell r="C170" t="str">
            <v>CI002</v>
          </cell>
          <cell r="D170" t="str">
            <v>旭智富能</v>
          </cell>
          <cell r="G170">
            <v>4612.4399999999996</v>
          </cell>
          <cell r="H170">
            <v>4612.4399999999996</v>
          </cell>
        </row>
        <row r="171">
          <cell r="A171" t="str">
            <v>6602.11.05.01</v>
          </cell>
          <cell r="B171" t="str">
            <v>　　　　　　住宿费</v>
          </cell>
          <cell r="C171" t="str">
            <v>CI005</v>
          </cell>
          <cell r="D171" t="str">
            <v>旭智私募</v>
          </cell>
          <cell r="G171">
            <v>-46.14</v>
          </cell>
          <cell r="H171">
            <v>-46.14</v>
          </cell>
        </row>
        <row r="172">
          <cell r="A172" t="str">
            <v>6602.11.05.03</v>
          </cell>
          <cell r="B172" t="str">
            <v>　　　　　　地面交通费</v>
          </cell>
          <cell r="G172">
            <v>5366.58</v>
          </cell>
          <cell r="H172">
            <v>5366.58</v>
          </cell>
        </row>
        <row r="173">
          <cell r="A173" t="str">
            <v>6602.11.05.03</v>
          </cell>
          <cell r="B173" t="str">
            <v>　　　　　　地面交通费</v>
          </cell>
          <cell r="C173" t="str">
            <v>CI002</v>
          </cell>
          <cell r="D173" t="str">
            <v>旭智富能</v>
          </cell>
          <cell r="G173">
            <v>5390.62</v>
          </cell>
          <cell r="H173">
            <v>5390.62</v>
          </cell>
        </row>
        <row r="174">
          <cell r="A174" t="str">
            <v>6602.11.05.03</v>
          </cell>
          <cell r="B174" t="str">
            <v>　　　　　　地面交通费</v>
          </cell>
          <cell r="C174" t="str">
            <v>CI005</v>
          </cell>
          <cell r="D174" t="str">
            <v>旭智私募</v>
          </cell>
          <cell r="G174">
            <v>-24.04</v>
          </cell>
          <cell r="H174">
            <v>-24.04</v>
          </cell>
        </row>
        <row r="175">
          <cell r="A175" t="str">
            <v>6602.11.05.04</v>
          </cell>
          <cell r="B175" t="str">
            <v>　　　　　　空中交通费</v>
          </cell>
          <cell r="G175">
            <v>2366.6799999999998</v>
          </cell>
          <cell r="H175">
            <v>2366.6799999999998</v>
          </cell>
        </row>
        <row r="176">
          <cell r="A176" t="str">
            <v>6602.11.05.04</v>
          </cell>
          <cell r="B176" t="str">
            <v>　　　　　　空中交通费</v>
          </cell>
          <cell r="C176" t="str">
            <v>CI002</v>
          </cell>
          <cell r="D176" t="str">
            <v>旭智富能</v>
          </cell>
          <cell r="G176">
            <v>2371.89</v>
          </cell>
          <cell r="H176">
            <v>2371.89</v>
          </cell>
        </row>
        <row r="177">
          <cell r="A177" t="str">
            <v>6602.11.05.04</v>
          </cell>
          <cell r="B177" t="str">
            <v>　　　　　　空中交通费</v>
          </cell>
          <cell r="C177" t="str">
            <v>CI005</v>
          </cell>
          <cell r="D177" t="str">
            <v>旭智私募</v>
          </cell>
          <cell r="G177">
            <v>-5.21</v>
          </cell>
          <cell r="H177">
            <v>-5.21</v>
          </cell>
        </row>
        <row r="178">
          <cell r="A178" t="str">
            <v>6602.11.05.05</v>
          </cell>
          <cell r="B178" t="str">
            <v>　　　　　　租车</v>
          </cell>
        </row>
        <row r="179">
          <cell r="A179" t="str">
            <v>6602.11.05.05</v>
          </cell>
          <cell r="B179" t="str">
            <v>　　　　　　租车</v>
          </cell>
          <cell r="C179" t="str">
            <v>CI002</v>
          </cell>
          <cell r="D179" t="str">
            <v>旭智富能</v>
          </cell>
        </row>
        <row r="180">
          <cell r="A180" t="str">
            <v>6602.12</v>
          </cell>
          <cell r="B180" t="str">
            <v>　　使用权资产折旧</v>
          </cell>
        </row>
        <row r="181">
          <cell r="A181" t="str">
            <v>6602.12.02</v>
          </cell>
          <cell r="B181" t="str">
            <v>　　　　办公地址</v>
          </cell>
        </row>
        <row r="182">
          <cell r="A182" t="str">
            <v>6602.12.02.01</v>
          </cell>
          <cell r="B182" t="str">
            <v>　　　　　　旭智咨询--鼎和大厦1606</v>
          </cell>
        </row>
        <row r="183">
          <cell r="A183" t="str">
            <v>6602.13</v>
          </cell>
          <cell r="B183" t="str">
            <v>　　物业管理费</v>
          </cell>
          <cell r="G183">
            <v>-1563.66</v>
          </cell>
          <cell r="H183">
            <v>-1563.66</v>
          </cell>
        </row>
        <row r="184">
          <cell r="A184" t="str">
            <v>6603</v>
          </cell>
          <cell r="B184" t="str">
            <v>财务费用</v>
          </cell>
          <cell r="G184">
            <v>410.81</v>
          </cell>
          <cell r="H184">
            <v>410.81</v>
          </cell>
        </row>
        <row r="185">
          <cell r="A185" t="str">
            <v>6603.01</v>
          </cell>
          <cell r="B185" t="str">
            <v>　　汇兑损益</v>
          </cell>
          <cell r="G185">
            <v>320.16000000000003</v>
          </cell>
          <cell r="H185">
            <v>320.16000000000003</v>
          </cell>
        </row>
        <row r="186">
          <cell r="A186" t="str">
            <v>6603.02</v>
          </cell>
          <cell r="B186" t="str">
            <v>　　利息费用</v>
          </cell>
        </row>
        <row r="187">
          <cell r="A187" t="str">
            <v>6603.02.02</v>
          </cell>
          <cell r="B187" t="str">
            <v>　　　　办公地址</v>
          </cell>
        </row>
        <row r="188">
          <cell r="A188" t="str">
            <v>6603.02.02.01</v>
          </cell>
          <cell r="B188" t="str">
            <v>　　　　　　旭智咨询--鼎和大厦1606</v>
          </cell>
        </row>
        <row r="189">
          <cell r="A189" t="str">
            <v>6603.03</v>
          </cell>
          <cell r="B189" t="str">
            <v>　　银行手续费</v>
          </cell>
          <cell r="G189">
            <v>90.65</v>
          </cell>
          <cell r="H189">
            <v>90.65</v>
          </cell>
        </row>
        <row r="190">
          <cell r="A190" t="str">
            <v>6711</v>
          </cell>
          <cell r="B190" t="str">
            <v>营业外支出</v>
          </cell>
          <cell r="G190">
            <v>36486</v>
          </cell>
          <cell r="H190">
            <v>36486</v>
          </cell>
        </row>
        <row r="191">
          <cell r="A191" t="str">
            <v>6711.02</v>
          </cell>
          <cell r="B191" t="str">
            <v>　　非流动资产处置损失</v>
          </cell>
          <cell r="G191">
            <v>36486</v>
          </cell>
          <cell r="H191">
            <v>36486</v>
          </cell>
        </row>
        <row r="192">
          <cell r="B192" t="str">
            <v>合计</v>
          </cell>
          <cell r="E192">
            <v>8737997.7599999998</v>
          </cell>
          <cell r="F192">
            <v>8737997.7599999998</v>
          </cell>
          <cell r="G192">
            <v>3505940.4</v>
          </cell>
          <cell r="H192">
            <v>3505940.4</v>
          </cell>
        </row>
      </sheetData>
      <sheetData sheetId="2">
        <row r="1">
          <cell r="A1" t="str">
            <v>币别:人民币</v>
          </cell>
          <cell r="B1" t="str">
            <v>账簿:旭智咨询管理（深圳）有限责任公司</v>
          </cell>
          <cell r="C1" t="str">
            <v>期间:2025.3 -- 2025.3</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3409650.85</v>
          </cell>
          <cell r="G4">
            <v>115974.17</v>
          </cell>
          <cell r="H4">
            <v>1194662.1299999999</v>
          </cell>
        </row>
        <row r="5">
          <cell r="A5" t="str">
            <v>1002.21</v>
          </cell>
          <cell r="B5" t="str">
            <v>　　【旭智咨询】银行存款账户</v>
          </cell>
          <cell r="E5">
            <v>3402098.43</v>
          </cell>
          <cell r="G5">
            <v>5970.1</v>
          </cell>
          <cell r="H5">
            <v>1121643.18</v>
          </cell>
        </row>
        <row r="6">
          <cell r="A6" t="str">
            <v>1002.21.01</v>
          </cell>
          <cell r="B6" t="str">
            <v>　　　　招商银行账户</v>
          </cell>
          <cell r="E6">
            <v>3402098.43</v>
          </cell>
          <cell r="G6">
            <v>5970.1</v>
          </cell>
          <cell r="H6">
            <v>1121643.18</v>
          </cell>
        </row>
        <row r="7">
          <cell r="A7" t="str">
            <v>1002.21.01.01</v>
          </cell>
          <cell r="B7" t="str">
            <v>　　　　　　【旭智咨询】招商 人民币基本户 0108</v>
          </cell>
          <cell r="E7">
            <v>2384782.35</v>
          </cell>
          <cell r="G7">
            <v>5705.69</v>
          </cell>
          <cell r="H7">
            <v>1121643.18</v>
          </cell>
        </row>
        <row r="8">
          <cell r="A8" t="str">
            <v>1002.21.01.02</v>
          </cell>
          <cell r="B8" t="str">
            <v>　　　　　　【旭智咨询】招商 人民币资本金账户 0202</v>
          </cell>
          <cell r="E8">
            <v>1017316.08</v>
          </cell>
          <cell r="G8">
            <v>264.41000000000003</v>
          </cell>
        </row>
        <row r="9">
          <cell r="A9" t="str">
            <v>1002.22</v>
          </cell>
          <cell r="B9" t="str">
            <v>　　【旭智咨询北京】银行存款账户</v>
          </cell>
          <cell r="E9">
            <v>7552.42</v>
          </cell>
          <cell r="G9">
            <v>110004.07</v>
          </cell>
          <cell r="H9">
            <v>73018.95</v>
          </cell>
        </row>
        <row r="10">
          <cell r="A10" t="str">
            <v>1002.22.01</v>
          </cell>
          <cell r="B10" t="str">
            <v>　　　　招商银行账户</v>
          </cell>
          <cell r="E10">
            <v>7552.42</v>
          </cell>
          <cell r="G10">
            <v>110004.07</v>
          </cell>
          <cell r="H10">
            <v>73018.95</v>
          </cell>
        </row>
        <row r="11">
          <cell r="A11" t="str">
            <v>1002.22.01.01</v>
          </cell>
          <cell r="B11" t="str">
            <v>　　　　　　【旭智咨询北京】人民币基本户 0001</v>
          </cell>
          <cell r="E11">
            <v>7552.42</v>
          </cell>
          <cell r="G11">
            <v>110004.07</v>
          </cell>
          <cell r="H11">
            <v>73018.95</v>
          </cell>
        </row>
        <row r="12">
          <cell r="A12" t="str">
            <v>1122</v>
          </cell>
          <cell r="B12" t="str">
            <v>应收账款</v>
          </cell>
          <cell r="E12">
            <v>223234.7</v>
          </cell>
          <cell r="G12">
            <v>50049.16</v>
          </cell>
        </row>
        <row r="13">
          <cell r="A13" t="str">
            <v>1122.01</v>
          </cell>
          <cell r="B13" t="str">
            <v>　　咨询费收入</v>
          </cell>
          <cell r="E13">
            <v>223234.7</v>
          </cell>
          <cell r="G13">
            <v>50049.16</v>
          </cell>
        </row>
        <row r="14">
          <cell r="A14" t="str">
            <v>1122.01</v>
          </cell>
          <cell r="B14" t="str">
            <v>　　咨询费收入</v>
          </cell>
          <cell r="C14" t="str">
            <v>CU003010</v>
          </cell>
          <cell r="D14" t="str">
            <v>旭智富能新能源（深圳）有限责任公司</v>
          </cell>
          <cell r="E14">
            <v>223234.7</v>
          </cell>
        </row>
        <row r="15">
          <cell r="A15" t="str">
            <v>1122.01</v>
          </cell>
          <cell r="B15" t="str">
            <v>　　咨询费收入</v>
          </cell>
          <cell r="C15" t="str">
            <v>CU006001</v>
          </cell>
          <cell r="D15" t="str">
            <v>胜科辉飏新能源（深圳）有限公司</v>
          </cell>
          <cell r="G15">
            <v>50049.16</v>
          </cell>
        </row>
        <row r="16">
          <cell r="A16" t="str">
            <v>1123</v>
          </cell>
          <cell r="B16" t="str">
            <v>预付账款</v>
          </cell>
          <cell r="E16">
            <v>58445.46</v>
          </cell>
          <cell r="G16">
            <v>20000</v>
          </cell>
          <cell r="H16">
            <v>60630.13</v>
          </cell>
        </row>
        <row r="17">
          <cell r="A17" t="str">
            <v>1123.01</v>
          </cell>
          <cell r="B17" t="str">
            <v>　　单位</v>
          </cell>
          <cell r="E17">
            <v>58445.46</v>
          </cell>
          <cell r="G17">
            <v>20000</v>
          </cell>
          <cell r="H17">
            <v>60630.13</v>
          </cell>
        </row>
        <row r="18">
          <cell r="A18" t="str">
            <v>1123.01</v>
          </cell>
          <cell r="B18" t="str">
            <v>　　单位</v>
          </cell>
          <cell r="C18" t="str">
            <v>SU006011</v>
          </cell>
          <cell r="D18" t="str">
            <v>广州晶东贸易有限公司</v>
          </cell>
        </row>
        <row r="19">
          <cell r="A19" t="str">
            <v>1123.01</v>
          </cell>
          <cell r="B19" t="str">
            <v>　　单位</v>
          </cell>
          <cell r="C19" t="str">
            <v>SU006012</v>
          </cell>
          <cell r="D19" t="str">
            <v>上海携程宏睿国际旅行社有限公司</v>
          </cell>
          <cell r="E19">
            <v>32030.36</v>
          </cell>
          <cell r="G19">
            <v>20000</v>
          </cell>
          <cell r="H19">
            <v>43648.99</v>
          </cell>
        </row>
        <row r="20">
          <cell r="A20" t="str">
            <v>1123.01</v>
          </cell>
          <cell r="B20" t="str">
            <v>　　单位</v>
          </cell>
          <cell r="C20" t="str">
            <v>SU006015</v>
          </cell>
          <cell r="D20" t="str">
            <v>成都协企兴企业管理咨询服务有限公司</v>
          </cell>
        </row>
        <row r="21">
          <cell r="A21" t="str">
            <v>1123.01</v>
          </cell>
          <cell r="B21" t="str">
            <v>　　单位</v>
          </cell>
          <cell r="C21" t="str">
            <v>SU006016</v>
          </cell>
          <cell r="D21" t="str">
            <v>爱奇创新投资研究（深圳）有限公司</v>
          </cell>
          <cell r="E21">
            <v>16981.14</v>
          </cell>
          <cell r="H21">
            <v>16981.14</v>
          </cell>
        </row>
        <row r="22">
          <cell r="A22" t="str">
            <v>1123.01</v>
          </cell>
          <cell r="B22" t="str">
            <v>　　单位</v>
          </cell>
          <cell r="C22" t="str">
            <v>SU006031</v>
          </cell>
          <cell r="D22" t="str">
            <v>深圳市金纳维科技有限公司</v>
          </cell>
          <cell r="E22">
            <v>9433.9599999999991</v>
          </cell>
        </row>
        <row r="23">
          <cell r="A23" t="str">
            <v>1221</v>
          </cell>
          <cell r="B23" t="str">
            <v>其他应收款</v>
          </cell>
          <cell r="E23">
            <v>19380</v>
          </cell>
          <cell r="H23">
            <v>2400</v>
          </cell>
        </row>
        <row r="24">
          <cell r="A24" t="str">
            <v>1221.01</v>
          </cell>
          <cell r="B24" t="str">
            <v>　　单位</v>
          </cell>
          <cell r="E24">
            <v>19380</v>
          </cell>
          <cell r="H24">
            <v>2400</v>
          </cell>
        </row>
        <row r="25">
          <cell r="A25" t="str">
            <v>1221.01</v>
          </cell>
          <cell r="B25" t="str">
            <v>　　单位</v>
          </cell>
          <cell r="C25" t="str">
            <v>CU003010</v>
          </cell>
          <cell r="D25" t="str">
            <v>旭智富能新能源（深圳）有限责任公司</v>
          </cell>
          <cell r="E25">
            <v>4800</v>
          </cell>
        </row>
        <row r="26">
          <cell r="A26" t="str">
            <v>1221.01</v>
          </cell>
          <cell r="B26" t="str">
            <v>　　单位</v>
          </cell>
          <cell r="C26" t="str">
            <v>CU006006</v>
          </cell>
          <cell r="D26" t="str">
            <v>爱奇创新投资研究（深圳）有限公司</v>
          </cell>
          <cell r="E26">
            <v>10000</v>
          </cell>
        </row>
        <row r="27">
          <cell r="A27" t="str">
            <v>1221.01</v>
          </cell>
          <cell r="B27" t="str">
            <v>　　单位</v>
          </cell>
          <cell r="C27" t="str">
            <v>CU006007</v>
          </cell>
          <cell r="D27" t="str">
            <v>深圳旭智私募股权基金管理有限公司</v>
          </cell>
          <cell r="E27">
            <v>2400</v>
          </cell>
          <cell r="H27">
            <v>2400</v>
          </cell>
        </row>
        <row r="28">
          <cell r="A28" t="str">
            <v>1221.01</v>
          </cell>
          <cell r="B28" t="str">
            <v>　　单位</v>
          </cell>
          <cell r="C28" t="str">
            <v>CU006008</v>
          </cell>
          <cell r="D28" t="str">
            <v>旭智富联（鹤壁）新能源有限责任公司</v>
          </cell>
          <cell r="E28">
            <v>2180</v>
          </cell>
        </row>
        <row r="29">
          <cell r="A29" t="str">
            <v>1511</v>
          </cell>
          <cell r="B29" t="str">
            <v>长期股权投资</v>
          </cell>
          <cell r="E29">
            <v>4356000</v>
          </cell>
        </row>
        <row r="30">
          <cell r="A30" t="str">
            <v>1511.01</v>
          </cell>
          <cell r="B30" t="str">
            <v>　　投资成本</v>
          </cell>
          <cell r="E30">
            <v>4356000</v>
          </cell>
        </row>
        <row r="31">
          <cell r="A31" t="str">
            <v>1511.01.01</v>
          </cell>
          <cell r="B31" t="str">
            <v>　　　　宜兴旭智投资咨询合伙企业（有限合伙）</v>
          </cell>
          <cell r="E31">
            <v>4356000</v>
          </cell>
        </row>
        <row r="32">
          <cell r="A32" t="str">
            <v>1601</v>
          </cell>
          <cell r="B32" t="str">
            <v>固定资产</v>
          </cell>
          <cell r="E32">
            <v>100425.04</v>
          </cell>
        </row>
        <row r="33">
          <cell r="A33" t="str">
            <v>1601.01</v>
          </cell>
          <cell r="B33" t="str">
            <v>　　电子设备</v>
          </cell>
          <cell r="E33">
            <v>57593</v>
          </cell>
        </row>
        <row r="34">
          <cell r="A34" t="str">
            <v>1601.04</v>
          </cell>
          <cell r="B34" t="str">
            <v>　　家具设备</v>
          </cell>
          <cell r="E34">
            <v>42832.04</v>
          </cell>
        </row>
        <row r="35">
          <cell r="A35" t="str">
            <v>1602</v>
          </cell>
          <cell r="B35" t="str">
            <v>累计折旧</v>
          </cell>
          <cell r="F35">
            <v>24979.27</v>
          </cell>
          <cell r="H35">
            <v>2197.91</v>
          </cell>
        </row>
        <row r="36">
          <cell r="A36" t="str">
            <v>1602.01</v>
          </cell>
          <cell r="B36" t="str">
            <v>　　电子设备</v>
          </cell>
          <cell r="F36">
            <v>7417.04</v>
          </cell>
          <cell r="H36">
            <v>678.09</v>
          </cell>
        </row>
        <row r="37">
          <cell r="A37" t="str">
            <v>1602.04</v>
          </cell>
          <cell r="B37" t="str">
            <v>　　家具设备</v>
          </cell>
          <cell r="F37">
            <v>17562.23</v>
          </cell>
          <cell r="H37">
            <v>1519.82</v>
          </cell>
        </row>
        <row r="38">
          <cell r="A38" t="str">
            <v>1606</v>
          </cell>
          <cell r="B38" t="str">
            <v>固定资产清理</v>
          </cell>
        </row>
        <row r="39">
          <cell r="A39" t="str">
            <v>1606.04</v>
          </cell>
          <cell r="B39" t="str">
            <v>　　家具设备</v>
          </cell>
        </row>
        <row r="40">
          <cell r="A40" t="str">
            <v>1641</v>
          </cell>
          <cell r="B40" t="str">
            <v>使用权资产</v>
          </cell>
        </row>
        <row r="41">
          <cell r="A41" t="str">
            <v>1641.01</v>
          </cell>
          <cell r="B41" t="str">
            <v>　　打印机租赁</v>
          </cell>
        </row>
        <row r="42">
          <cell r="A42" t="str">
            <v>1641.02</v>
          </cell>
          <cell r="B42" t="str">
            <v>　　办公地址</v>
          </cell>
        </row>
        <row r="43">
          <cell r="A43" t="str">
            <v>1641.02.01</v>
          </cell>
          <cell r="B43" t="str">
            <v>　　　　旭智咨询--鼎和大厦1606</v>
          </cell>
        </row>
        <row r="44">
          <cell r="A44" t="str">
            <v>1642</v>
          </cell>
          <cell r="B44" t="str">
            <v>使用权资产累计折旧</v>
          </cell>
        </row>
        <row r="45">
          <cell r="A45" t="str">
            <v>1642.01</v>
          </cell>
          <cell r="B45" t="str">
            <v>　　打印机租赁</v>
          </cell>
        </row>
        <row r="46">
          <cell r="A46" t="str">
            <v>1642.02</v>
          </cell>
          <cell r="B46" t="str">
            <v>　　办公地址</v>
          </cell>
        </row>
        <row r="47">
          <cell r="A47" t="str">
            <v>1642.02.01</v>
          </cell>
          <cell r="B47" t="str">
            <v>　　　　旭智咨询--鼎和大厦1606</v>
          </cell>
        </row>
        <row r="48">
          <cell r="A48" t="str">
            <v>1801</v>
          </cell>
          <cell r="B48" t="str">
            <v>长期待摊费用</v>
          </cell>
        </row>
        <row r="49">
          <cell r="A49" t="str">
            <v>1801.01</v>
          </cell>
          <cell r="B49" t="str">
            <v>　　装修费</v>
          </cell>
        </row>
        <row r="50">
          <cell r="A50" t="str">
            <v>2203</v>
          </cell>
          <cell r="B50" t="str">
            <v>预收账款</v>
          </cell>
          <cell r="F50">
            <v>763857.12</v>
          </cell>
          <cell r="G50">
            <v>763857.12</v>
          </cell>
        </row>
        <row r="51">
          <cell r="A51" t="str">
            <v>2203.01</v>
          </cell>
          <cell r="B51" t="str">
            <v>　　单位</v>
          </cell>
          <cell r="F51">
            <v>763857.12</v>
          </cell>
          <cell r="G51">
            <v>763857.12</v>
          </cell>
        </row>
        <row r="52">
          <cell r="A52" t="str">
            <v>2203.01</v>
          </cell>
          <cell r="B52" t="str">
            <v>　　单位</v>
          </cell>
          <cell r="C52" t="str">
            <v>CU006001</v>
          </cell>
          <cell r="D52" t="str">
            <v>胜科辉飏新能源（深圳）有限公司</v>
          </cell>
          <cell r="F52">
            <v>763857.12</v>
          </cell>
          <cell r="G52">
            <v>763857.12</v>
          </cell>
        </row>
        <row r="53">
          <cell r="A53" t="str">
            <v>2211</v>
          </cell>
          <cell r="B53" t="str">
            <v>应付职工薪酬</v>
          </cell>
          <cell r="F53">
            <v>287096.28000000003</v>
          </cell>
          <cell r="G53">
            <v>483834.54</v>
          </cell>
          <cell r="H53">
            <v>351459.54</v>
          </cell>
        </row>
        <row r="54">
          <cell r="A54" t="str">
            <v>2211.01</v>
          </cell>
          <cell r="B54" t="str">
            <v>　　职工工资</v>
          </cell>
          <cell r="G54">
            <v>137294.91</v>
          </cell>
          <cell r="H54">
            <v>137294.91</v>
          </cell>
        </row>
        <row r="55">
          <cell r="A55" t="str">
            <v>2211.02</v>
          </cell>
          <cell r="B55" t="str">
            <v>　　职工奖金</v>
          </cell>
          <cell r="F55">
            <v>265500</v>
          </cell>
          <cell r="G55">
            <v>265500</v>
          </cell>
          <cell r="H55">
            <v>133125</v>
          </cell>
        </row>
        <row r="56">
          <cell r="A56" t="str">
            <v>2211.03</v>
          </cell>
          <cell r="B56" t="str">
            <v>　　劳务报酬</v>
          </cell>
          <cell r="G56">
            <v>6760</v>
          </cell>
          <cell r="H56">
            <v>6760</v>
          </cell>
        </row>
        <row r="57">
          <cell r="A57" t="str">
            <v>2211.05</v>
          </cell>
          <cell r="B57" t="str">
            <v>　　社会保险费</v>
          </cell>
          <cell r="F57">
            <v>13128.28</v>
          </cell>
          <cell r="G57">
            <v>42077.47</v>
          </cell>
          <cell r="H57">
            <v>42077.47</v>
          </cell>
        </row>
        <row r="58">
          <cell r="A58" t="str">
            <v>2211.06</v>
          </cell>
          <cell r="B58" t="str">
            <v>　　住房公积金</v>
          </cell>
          <cell r="F58">
            <v>8468</v>
          </cell>
          <cell r="G58">
            <v>32202.16</v>
          </cell>
          <cell r="H58">
            <v>32202.16</v>
          </cell>
        </row>
        <row r="59">
          <cell r="A59" t="str">
            <v>2221</v>
          </cell>
          <cell r="B59" t="str">
            <v>应交税费</v>
          </cell>
          <cell r="F59">
            <v>60853.77</v>
          </cell>
          <cell r="G59">
            <v>127081.61</v>
          </cell>
          <cell r="H59">
            <v>184072.65</v>
          </cell>
        </row>
        <row r="60">
          <cell r="A60" t="str">
            <v>2221.01</v>
          </cell>
          <cell r="B60" t="str">
            <v>　　应交增值税</v>
          </cell>
          <cell r="G60">
            <v>92140.34</v>
          </cell>
          <cell r="H60">
            <v>92140.34</v>
          </cell>
        </row>
        <row r="61">
          <cell r="A61" t="str">
            <v>2221.01.01</v>
          </cell>
          <cell r="B61" t="str">
            <v>　　　　销项税额</v>
          </cell>
          <cell r="G61">
            <v>46070.17</v>
          </cell>
          <cell r="H61">
            <v>46070.17</v>
          </cell>
        </row>
        <row r="62">
          <cell r="A62" t="str">
            <v>2221.01.03</v>
          </cell>
          <cell r="B62" t="str">
            <v>　　　　进项税额</v>
          </cell>
          <cell r="G62">
            <v>1713.96</v>
          </cell>
          <cell r="H62">
            <v>1713.96</v>
          </cell>
        </row>
        <row r="63">
          <cell r="A63" t="str">
            <v>2221.01.06</v>
          </cell>
          <cell r="B63" t="str">
            <v>　　　　转出未交增值税</v>
          </cell>
          <cell r="G63">
            <v>44356.21</v>
          </cell>
          <cell r="H63">
            <v>44356.21</v>
          </cell>
        </row>
        <row r="64">
          <cell r="A64" t="str">
            <v>2221.03</v>
          </cell>
          <cell r="B64" t="str">
            <v>　　暂估进项税额</v>
          </cell>
          <cell r="E64">
            <v>1192.3499999999999</v>
          </cell>
          <cell r="G64">
            <v>945.74</v>
          </cell>
        </row>
        <row r="65">
          <cell r="A65" t="str">
            <v>2221.04</v>
          </cell>
          <cell r="B65" t="str">
            <v>　　未交增值税</v>
          </cell>
          <cell r="F65">
            <v>20197.07</v>
          </cell>
          <cell r="G65">
            <v>20197.07</v>
          </cell>
          <cell r="H65">
            <v>44356.21</v>
          </cell>
        </row>
        <row r="66">
          <cell r="A66" t="str">
            <v>2221.06</v>
          </cell>
          <cell r="B66" t="str">
            <v>　　待认证进项税额</v>
          </cell>
          <cell r="G66">
            <v>1713.96</v>
          </cell>
          <cell r="H66">
            <v>1713.96</v>
          </cell>
        </row>
        <row r="67">
          <cell r="A67" t="str">
            <v>2221.08</v>
          </cell>
          <cell r="B67" t="str">
            <v>　　待转销项税额</v>
          </cell>
          <cell r="F67">
            <v>12635.93</v>
          </cell>
        </row>
        <row r="68">
          <cell r="A68" t="str">
            <v>2221.12</v>
          </cell>
          <cell r="B68" t="str">
            <v>　　应交城市维护建设税</v>
          </cell>
          <cell r="F68">
            <v>706.89</v>
          </cell>
          <cell r="G68">
            <v>706.89</v>
          </cell>
          <cell r="H68">
            <v>1552.46</v>
          </cell>
        </row>
        <row r="69">
          <cell r="A69" t="str">
            <v>2221.13</v>
          </cell>
          <cell r="B69" t="str">
            <v>　　应交教育费附加</v>
          </cell>
          <cell r="F69">
            <v>302.95</v>
          </cell>
          <cell r="G69">
            <v>302.95</v>
          </cell>
          <cell r="H69">
            <v>665.34</v>
          </cell>
        </row>
        <row r="70">
          <cell r="A70" t="str">
            <v>2221.14</v>
          </cell>
          <cell r="B70" t="str">
            <v>　　应交地方教育附加</v>
          </cell>
          <cell r="F70">
            <v>201.97</v>
          </cell>
          <cell r="G70">
            <v>201.97</v>
          </cell>
          <cell r="H70">
            <v>443.56</v>
          </cell>
        </row>
        <row r="71">
          <cell r="A71" t="str">
            <v>2221.15</v>
          </cell>
          <cell r="B71" t="str">
            <v>　　应交企业所得税</v>
          </cell>
          <cell r="F71">
            <v>17128.62</v>
          </cell>
          <cell r="H71">
            <v>3909.12</v>
          </cell>
        </row>
        <row r="72">
          <cell r="A72" t="str">
            <v>2221.16</v>
          </cell>
          <cell r="B72" t="str">
            <v>　　应交个人所得税</v>
          </cell>
          <cell r="F72">
            <v>10872.69</v>
          </cell>
          <cell r="G72">
            <v>10872.69</v>
          </cell>
          <cell r="H72">
            <v>39291.660000000003</v>
          </cell>
        </row>
        <row r="73">
          <cell r="A73" t="str">
            <v>2241</v>
          </cell>
          <cell r="B73" t="str">
            <v>其他应付款</v>
          </cell>
          <cell r="F73">
            <v>2634263.7400000002</v>
          </cell>
          <cell r="G73">
            <v>540322.28</v>
          </cell>
          <cell r="H73">
            <v>722370.98</v>
          </cell>
        </row>
        <row r="74">
          <cell r="A74" t="str">
            <v>2241.01</v>
          </cell>
          <cell r="B74" t="str">
            <v>　　单位</v>
          </cell>
          <cell r="F74">
            <v>2492170.39</v>
          </cell>
          <cell r="G74">
            <v>442898.78</v>
          </cell>
          <cell r="H74">
            <v>716759.35</v>
          </cell>
        </row>
        <row r="75">
          <cell r="A75" t="str">
            <v>2241.01</v>
          </cell>
          <cell r="B75" t="str">
            <v>　　单位</v>
          </cell>
          <cell r="C75" t="str">
            <v>SU005004</v>
          </cell>
          <cell r="D75" t="str">
            <v>上海爱文人才服务有限公司</v>
          </cell>
          <cell r="H75">
            <v>2500</v>
          </cell>
        </row>
        <row r="76">
          <cell r="A76" t="str">
            <v>2241.01</v>
          </cell>
          <cell r="B76" t="str">
            <v>　　单位</v>
          </cell>
          <cell r="C76" t="str">
            <v>SU005007</v>
          </cell>
          <cell r="D76" t="str">
            <v>普华永道中天会计师事务所（特殊普通合伙）</v>
          </cell>
          <cell r="F76">
            <v>55000</v>
          </cell>
          <cell r="H76">
            <v>14051.17</v>
          </cell>
        </row>
        <row r="77">
          <cell r="A77" t="str">
            <v>2241.01</v>
          </cell>
          <cell r="B77" t="str">
            <v>　　单位</v>
          </cell>
          <cell r="C77" t="str">
            <v>SU005037</v>
          </cell>
          <cell r="D77" t="str">
            <v>深圳点石新能源投资有限责任公司</v>
          </cell>
          <cell r="F77">
            <v>214285.71</v>
          </cell>
          <cell r="G77">
            <v>214285.71</v>
          </cell>
        </row>
        <row r="78">
          <cell r="A78" t="str">
            <v>2241.01</v>
          </cell>
          <cell r="B78" t="str">
            <v>　　单位</v>
          </cell>
          <cell r="C78" t="str">
            <v>SU005043</v>
          </cell>
          <cell r="D78" t="str">
            <v>旭智资本有限公司</v>
          </cell>
          <cell r="F78">
            <v>67855.88</v>
          </cell>
          <cell r="H78">
            <v>-208.82</v>
          </cell>
        </row>
        <row r="79">
          <cell r="A79" t="str">
            <v>2241.01</v>
          </cell>
          <cell r="B79" t="str">
            <v>　　单位</v>
          </cell>
          <cell r="C79" t="str">
            <v>SU006006</v>
          </cell>
          <cell r="D79" t="str">
            <v>深圳市新趋势科技有限公司</v>
          </cell>
        </row>
        <row r="80">
          <cell r="A80" t="str">
            <v>2241.01</v>
          </cell>
          <cell r="B80" t="str">
            <v>　　单位</v>
          </cell>
          <cell r="C80" t="str">
            <v>SU006018</v>
          </cell>
          <cell r="D80" t="str">
            <v>深圳辉飏新能源投资咨询有限责任公司</v>
          </cell>
          <cell r="F80">
            <v>270589.65000000002</v>
          </cell>
          <cell r="G80">
            <v>228196.07</v>
          </cell>
        </row>
        <row r="81">
          <cell r="A81" t="str">
            <v>2241.01</v>
          </cell>
          <cell r="B81" t="str">
            <v>　　单位</v>
          </cell>
          <cell r="C81" t="str">
            <v>SU006021</v>
          </cell>
          <cell r="D81" t="str">
            <v>北京市汉坤律师事务所</v>
          </cell>
          <cell r="F81">
            <v>40000</v>
          </cell>
        </row>
        <row r="82">
          <cell r="A82" t="str">
            <v>2241.01</v>
          </cell>
          <cell r="B82" t="str">
            <v>　　单位</v>
          </cell>
          <cell r="C82" t="str">
            <v>SU006023</v>
          </cell>
          <cell r="D82" t="str">
            <v>顺丰速运有限公司</v>
          </cell>
          <cell r="G82">
            <v>417</v>
          </cell>
          <cell r="H82">
            <v>417</v>
          </cell>
        </row>
        <row r="83">
          <cell r="A83" t="str">
            <v>2241.01</v>
          </cell>
          <cell r="B83" t="str">
            <v>　　单位</v>
          </cell>
          <cell r="C83" t="str">
            <v>SU006026</v>
          </cell>
          <cell r="D83" t="str">
            <v>和谐汇股权投资管理（北京）有限公司</v>
          </cell>
          <cell r="F83">
            <v>280000</v>
          </cell>
          <cell r="H83">
            <v>350000</v>
          </cell>
        </row>
        <row r="84">
          <cell r="A84" t="str">
            <v>2241.01</v>
          </cell>
          <cell r="B84" t="str">
            <v>　　单位</v>
          </cell>
          <cell r="C84" t="str">
            <v>SU006027</v>
          </cell>
          <cell r="D84" t="str">
            <v>南德认证检测（中国）有限公司</v>
          </cell>
          <cell r="F84">
            <v>55000</v>
          </cell>
        </row>
        <row r="85">
          <cell r="A85" t="str">
            <v>2241.01</v>
          </cell>
          <cell r="B85" t="str">
            <v>　　单位</v>
          </cell>
          <cell r="C85" t="str">
            <v>SU006029</v>
          </cell>
          <cell r="D85" t="str">
            <v>宁波梅山保税港区爱奇观恒投资管理有限公司</v>
          </cell>
          <cell r="H85">
            <v>350000</v>
          </cell>
        </row>
        <row r="86">
          <cell r="A86" t="str">
            <v>2241.01</v>
          </cell>
          <cell r="B86" t="str">
            <v>　　单位</v>
          </cell>
          <cell r="C86" t="str">
            <v>SU006032</v>
          </cell>
          <cell r="D86" t="str">
            <v>广州旭智投资控股有限责任公司</v>
          </cell>
          <cell r="F86">
            <v>1509439.15</v>
          </cell>
        </row>
        <row r="87">
          <cell r="A87" t="str">
            <v>2241.02</v>
          </cell>
          <cell r="B87" t="str">
            <v>　　个人</v>
          </cell>
          <cell r="F87">
            <v>142093.35</v>
          </cell>
          <cell r="G87">
            <v>97423.5</v>
          </cell>
          <cell r="H87">
            <v>5611.63</v>
          </cell>
        </row>
        <row r="88">
          <cell r="A88" t="str">
            <v>2241.02</v>
          </cell>
          <cell r="B88" t="str">
            <v>　　个人</v>
          </cell>
          <cell r="C88" t="str">
            <v>SP005001</v>
          </cell>
          <cell r="D88" t="str">
            <v>冯冠邦</v>
          </cell>
        </row>
        <row r="89">
          <cell r="A89" t="str">
            <v>2241.02</v>
          </cell>
          <cell r="B89" t="str">
            <v>　　个人</v>
          </cell>
          <cell r="C89" t="str">
            <v>SP005011</v>
          </cell>
          <cell r="D89" t="str">
            <v>郭宗林</v>
          </cell>
        </row>
        <row r="90">
          <cell r="A90" t="str">
            <v>2241.02</v>
          </cell>
          <cell r="B90" t="str">
            <v>　　个人</v>
          </cell>
          <cell r="C90" t="str">
            <v>SP005012</v>
          </cell>
          <cell r="D90" t="str">
            <v>吴雅薇</v>
          </cell>
          <cell r="F90">
            <v>2300</v>
          </cell>
        </row>
        <row r="91">
          <cell r="A91" t="str">
            <v>2241.02</v>
          </cell>
          <cell r="B91" t="str">
            <v>　　个人</v>
          </cell>
          <cell r="C91" t="str">
            <v>SP006003</v>
          </cell>
          <cell r="D91" t="str">
            <v>袁玉杰</v>
          </cell>
        </row>
        <row r="92">
          <cell r="A92" t="str">
            <v>2241.02</v>
          </cell>
          <cell r="B92" t="str">
            <v>　　个人</v>
          </cell>
          <cell r="C92" t="str">
            <v>SP006004</v>
          </cell>
          <cell r="D92" t="str">
            <v>高焙</v>
          </cell>
          <cell r="G92">
            <v>3676.17</v>
          </cell>
          <cell r="H92">
            <v>3676.17</v>
          </cell>
        </row>
        <row r="93">
          <cell r="A93" t="str">
            <v>2241.02</v>
          </cell>
          <cell r="B93" t="str">
            <v>　　个人</v>
          </cell>
          <cell r="C93" t="str">
            <v>SP006006</v>
          </cell>
          <cell r="D93" t="str">
            <v>王志强</v>
          </cell>
          <cell r="F93">
            <v>133739</v>
          </cell>
          <cell r="G93">
            <v>85757.52</v>
          </cell>
        </row>
        <row r="94">
          <cell r="A94" t="str">
            <v>2241.02</v>
          </cell>
          <cell r="B94" t="str">
            <v>　　个人</v>
          </cell>
          <cell r="C94" t="str">
            <v>SP006007</v>
          </cell>
          <cell r="D94" t="str">
            <v>徐彬</v>
          </cell>
          <cell r="F94">
            <v>6054.35</v>
          </cell>
          <cell r="G94">
            <v>6776.88</v>
          </cell>
          <cell r="H94">
            <v>722.53</v>
          </cell>
        </row>
        <row r="95">
          <cell r="A95" t="str">
            <v>2241.02</v>
          </cell>
          <cell r="B95" t="str">
            <v>　　个人</v>
          </cell>
          <cell r="C95" t="str">
            <v>SP006008</v>
          </cell>
          <cell r="D95" t="str">
            <v>何梅春</v>
          </cell>
          <cell r="G95">
            <v>1212.93</v>
          </cell>
          <cell r="H95">
            <v>1212.93</v>
          </cell>
        </row>
        <row r="96">
          <cell r="A96" t="str">
            <v>2241.02</v>
          </cell>
          <cell r="B96" t="str">
            <v>　　个人</v>
          </cell>
          <cell r="C96" t="str">
            <v>SP006009</v>
          </cell>
          <cell r="D96" t="str">
            <v>林秋蝶</v>
          </cell>
        </row>
        <row r="97">
          <cell r="A97" t="str">
            <v>2601</v>
          </cell>
          <cell r="B97" t="str">
            <v>租赁负债</v>
          </cell>
        </row>
        <row r="98">
          <cell r="A98" t="str">
            <v>2601.01</v>
          </cell>
          <cell r="B98" t="str">
            <v>　　租赁付款额</v>
          </cell>
        </row>
        <row r="99">
          <cell r="A99" t="str">
            <v>2601.01.02</v>
          </cell>
          <cell r="B99" t="str">
            <v>　　　　办公地址</v>
          </cell>
        </row>
        <row r="100">
          <cell r="A100" t="str">
            <v>2601.01.02.01</v>
          </cell>
          <cell r="B100" t="str">
            <v>　　　　　　旭智咨询--鼎和大厦1606</v>
          </cell>
        </row>
        <row r="101">
          <cell r="A101" t="str">
            <v>2601.02</v>
          </cell>
          <cell r="B101" t="str">
            <v>　　未确认融资费用</v>
          </cell>
        </row>
        <row r="102">
          <cell r="A102" t="str">
            <v>2601.02.02</v>
          </cell>
          <cell r="B102" t="str">
            <v>　　　　办公地址</v>
          </cell>
        </row>
        <row r="103">
          <cell r="A103" t="str">
            <v>2601.02.02.01</v>
          </cell>
          <cell r="B103" t="str">
            <v>　　　　　　旭智咨询--鼎和大厦1606</v>
          </cell>
        </row>
        <row r="104">
          <cell r="A104" t="str">
            <v>2601.03</v>
          </cell>
          <cell r="B104" t="str">
            <v>　　一年内到期的非流动负债</v>
          </cell>
        </row>
        <row r="105">
          <cell r="A105" t="str">
            <v>4001</v>
          </cell>
          <cell r="B105" t="str">
            <v>实收资本（股本）</v>
          </cell>
          <cell r="F105">
            <v>2500000</v>
          </cell>
        </row>
        <row r="106">
          <cell r="A106" t="str">
            <v>4001.10</v>
          </cell>
          <cell r="B106" t="str">
            <v>　　旭智资本有限公司</v>
          </cell>
          <cell r="F106">
            <v>2500000</v>
          </cell>
        </row>
        <row r="107">
          <cell r="A107" t="str">
            <v>4101</v>
          </cell>
          <cell r="B107" t="str">
            <v>盈余公积</v>
          </cell>
          <cell r="F107">
            <v>140513.82</v>
          </cell>
        </row>
        <row r="108">
          <cell r="A108" t="str">
            <v>4101.01</v>
          </cell>
          <cell r="B108" t="str">
            <v>　　法定盈余公积</v>
          </cell>
          <cell r="F108">
            <v>140513.82</v>
          </cell>
        </row>
        <row r="109">
          <cell r="A109" t="str">
            <v>4103</v>
          </cell>
          <cell r="B109" t="str">
            <v>本年利润</v>
          </cell>
          <cell r="F109">
            <v>490947.59</v>
          </cell>
          <cell r="G109">
            <v>1184510.57</v>
          </cell>
          <cell r="H109">
            <v>767836.11</v>
          </cell>
        </row>
        <row r="110">
          <cell r="A110" t="str">
            <v>4104</v>
          </cell>
          <cell r="B110" t="str">
            <v>利润分配</v>
          </cell>
          <cell r="F110">
            <v>1264624.46</v>
          </cell>
        </row>
        <row r="111">
          <cell r="A111" t="str">
            <v>4104.07</v>
          </cell>
          <cell r="B111" t="str">
            <v>　　未分配利润</v>
          </cell>
          <cell r="F111">
            <v>1264624.46</v>
          </cell>
        </row>
        <row r="112">
          <cell r="A112" t="str">
            <v>6001</v>
          </cell>
          <cell r="B112" t="str">
            <v>主营业务收入</v>
          </cell>
          <cell r="G112">
            <v>767836.11</v>
          </cell>
          <cell r="H112">
            <v>767836.11</v>
          </cell>
        </row>
        <row r="113">
          <cell r="A113" t="str">
            <v>6001.02</v>
          </cell>
          <cell r="B113" t="str">
            <v>　　咨询服务费收入</v>
          </cell>
          <cell r="G113">
            <v>767836.11</v>
          </cell>
          <cell r="H113">
            <v>767836.11</v>
          </cell>
        </row>
        <row r="114">
          <cell r="A114" t="str">
            <v>6001.02.01</v>
          </cell>
          <cell r="B114" t="str">
            <v>　　　　已开票</v>
          </cell>
          <cell r="G114">
            <v>767836.11</v>
          </cell>
          <cell r="H114">
            <v>767836.11</v>
          </cell>
        </row>
        <row r="115">
          <cell r="A115" t="str">
            <v>6001.02.01</v>
          </cell>
          <cell r="B115" t="str">
            <v>　　　　已开票</v>
          </cell>
          <cell r="C115" t="str">
            <v>【未录入】</v>
          </cell>
          <cell r="D115" t="str">
            <v>【未录入】</v>
          </cell>
          <cell r="G115">
            <v>767836.11</v>
          </cell>
          <cell r="H115">
            <v>767836.11</v>
          </cell>
        </row>
        <row r="116">
          <cell r="A116" t="str">
            <v>6115</v>
          </cell>
          <cell r="B116" t="str">
            <v>其他收益</v>
          </cell>
        </row>
        <row r="117">
          <cell r="A117" t="str">
            <v>6115.02</v>
          </cell>
          <cell r="B117" t="str">
            <v>　　个税手续费返还</v>
          </cell>
        </row>
        <row r="118">
          <cell r="A118" t="str">
            <v>6117</v>
          </cell>
          <cell r="B118" t="str">
            <v>资产处置损益</v>
          </cell>
        </row>
        <row r="119">
          <cell r="A119" t="str">
            <v>6405</v>
          </cell>
          <cell r="B119" t="str">
            <v>税金及附加</v>
          </cell>
          <cell r="G119">
            <v>2661.36</v>
          </cell>
          <cell r="H119">
            <v>2661.36</v>
          </cell>
        </row>
        <row r="120">
          <cell r="A120" t="str">
            <v>6405.02</v>
          </cell>
          <cell r="B120" t="str">
            <v>　　城市维护建设税</v>
          </cell>
          <cell r="G120">
            <v>1552.46</v>
          </cell>
          <cell r="H120">
            <v>1552.46</v>
          </cell>
        </row>
        <row r="121">
          <cell r="A121" t="str">
            <v>6405.03</v>
          </cell>
          <cell r="B121" t="str">
            <v>　　教育费附加</v>
          </cell>
          <cell r="G121">
            <v>665.34</v>
          </cell>
          <cell r="H121">
            <v>665.34</v>
          </cell>
        </row>
        <row r="122">
          <cell r="A122" t="str">
            <v>6405.04</v>
          </cell>
          <cell r="B122" t="str">
            <v>　　地方教育附加</v>
          </cell>
          <cell r="G122">
            <v>443.56</v>
          </cell>
          <cell r="H122">
            <v>443.56</v>
          </cell>
        </row>
        <row r="123">
          <cell r="A123" t="str">
            <v>6602</v>
          </cell>
          <cell r="B123" t="str">
            <v>管理费用</v>
          </cell>
          <cell r="G123">
            <v>1181648.44</v>
          </cell>
          <cell r="H123">
            <v>1181648.44</v>
          </cell>
        </row>
        <row r="124">
          <cell r="A124" t="str">
            <v>6602.01</v>
          </cell>
          <cell r="B124" t="str">
            <v>　　工资薪金</v>
          </cell>
          <cell r="G124">
            <v>318625.09999999998</v>
          </cell>
          <cell r="H124">
            <v>318625.09999999998</v>
          </cell>
        </row>
        <row r="125">
          <cell r="A125" t="str">
            <v>6602.01.01</v>
          </cell>
          <cell r="B125" t="str">
            <v>　　　　基本工资（专业）</v>
          </cell>
          <cell r="G125">
            <v>177500.1</v>
          </cell>
          <cell r="H125">
            <v>177500.1</v>
          </cell>
        </row>
        <row r="126">
          <cell r="A126" t="str">
            <v>6602.01.03</v>
          </cell>
          <cell r="B126" t="str">
            <v>　　　　员工奖金（专业）</v>
          </cell>
          <cell r="G126">
            <v>133125</v>
          </cell>
          <cell r="H126">
            <v>133125</v>
          </cell>
        </row>
        <row r="127">
          <cell r="A127" t="str">
            <v>6602.01.06</v>
          </cell>
          <cell r="B127" t="str">
            <v>　　　　劳务报酬</v>
          </cell>
          <cell r="G127">
            <v>8000</v>
          </cell>
          <cell r="H127">
            <v>8000</v>
          </cell>
        </row>
        <row r="128">
          <cell r="A128" t="str">
            <v>6602.02</v>
          </cell>
          <cell r="B128" t="str">
            <v>　　职工福利</v>
          </cell>
          <cell r="G128">
            <v>5552</v>
          </cell>
          <cell r="H128">
            <v>5552</v>
          </cell>
        </row>
        <row r="129">
          <cell r="A129" t="str">
            <v>6602.02.02</v>
          </cell>
          <cell r="B129" t="str">
            <v>　　　　团建活动</v>
          </cell>
          <cell r="G129">
            <v>5552</v>
          </cell>
          <cell r="H129">
            <v>5552</v>
          </cell>
        </row>
        <row r="130">
          <cell r="A130" t="str">
            <v>6602.02.03</v>
          </cell>
          <cell r="B130" t="str">
            <v>　　　　体检费</v>
          </cell>
        </row>
        <row r="131">
          <cell r="A131" t="str">
            <v>6602.03</v>
          </cell>
          <cell r="B131" t="str">
            <v>　　社保公积金</v>
          </cell>
          <cell r="G131">
            <v>45996.2</v>
          </cell>
          <cell r="H131">
            <v>45996.2</v>
          </cell>
        </row>
        <row r="132">
          <cell r="A132" t="str">
            <v>6602.03.01</v>
          </cell>
          <cell r="B132" t="str">
            <v>　　　　员工社保福利</v>
          </cell>
          <cell r="G132">
            <v>29895.119999999999</v>
          </cell>
          <cell r="H132">
            <v>29895.119999999999</v>
          </cell>
        </row>
        <row r="133">
          <cell r="A133" t="str">
            <v>6602.03.02</v>
          </cell>
          <cell r="B133" t="str">
            <v>　　　　员工公积金福利</v>
          </cell>
          <cell r="G133">
            <v>16101.08</v>
          </cell>
          <cell r="H133">
            <v>16101.08</v>
          </cell>
        </row>
        <row r="134">
          <cell r="A134" t="str">
            <v>6602.04</v>
          </cell>
          <cell r="B134" t="str">
            <v>　　咨询及专业服务费</v>
          </cell>
          <cell r="G134">
            <v>737132.31</v>
          </cell>
          <cell r="H134">
            <v>737132.31</v>
          </cell>
        </row>
        <row r="135">
          <cell r="A135" t="str">
            <v>6602.04.02</v>
          </cell>
          <cell r="B135" t="str">
            <v>　　　　审计服务费</v>
          </cell>
          <cell r="G135">
            <v>14051.17</v>
          </cell>
          <cell r="H135">
            <v>14051.17</v>
          </cell>
        </row>
        <row r="136">
          <cell r="A136" t="str">
            <v>6602.04.03</v>
          </cell>
          <cell r="B136" t="str">
            <v>　　　　顾问费</v>
          </cell>
          <cell r="G136">
            <v>700000</v>
          </cell>
          <cell r="H136">
            <v>700000</v>
          </cell>
        </row>
        <row r="137">
          <cell r="A137" t="str">
            <v>6602.04.03</v>
          </cell>
          <cell r="B137" t="str">
            <v>　　　　顾问费</v>
          </cell>
          <cell r="C137" t="str">
            <v>【未录入】</v>
          </cell>
          <cell r="D137" t="str">
            <v>【未录入】</v>
          </cell>
          <cell r="G137">
            <v>700000</v>
          </cell>
          <cell r="H137">
            <v>700000</v>
          </cell>
        </row>
        <row r="138">
          <cell r="A138" t="str">
            <v>6602.04.07</v>
          </cell>
          <cell r="B138" t="str">
            <v>　　　　人力资源服务费</v>
          </cell>
          <cell r="G138">
            <v>6100</v>
          </cell>
          <cell r="H138">
            <v>6100</v>
          </cell>
        </row>
        <row r="139">
          <cell r="A139" t="str">
            <v>6602.04.99</v>
          </cell>
          <cell r="B139" t="str">
            <v>　　　　其他</v>
          </cell>
          <cell r="G139">
            <v>16981.14</v>
          </cell>
          <cell r="H139">
            <v>16981.14</v>
          </cell>
        </row>
        <row r="140">
          <cell r="A140" t="str">
            <v>6602.04.99</v>
          </cell>
          <cell r="B140" t="str">
            <v>　　　　其他</v>
          </cell>
          <cell r="C140" t="str">
            <v>【未录入】</v>
          </cell>
          <cell r="D140" t="str">
            <v>【未录入】</v>
          </cell>
          <cell r="G140">
            <v>16981.14</v>
          </cell>
          <cell r="H140">
            <v>16981.14</v>
          </cell>
        </row>
        <row r="141">
          <cell r="A141" t="str">
            <v>6602.05</v>
          </cell>
          <cell r="B141" t="str">
            <v>　　占用费</v>
          </cell>
        </row>
        <row r="142">
          <cell r="A142" t="str">
            <v>6602.05.03</v>
          </cell>
          <cell r="B142" t="str">
            <v>　　　　电费</v>
          </cell>
        </row>
        <row r="143">
          <cell r="A143" t="str">
            <v>6602.05.06</v>
          </cell>
          <cell r="B143" t="str">
            <v>　　　　装修费</v>
          </cell>
        </row>
        <row r="144">
          <cell r="A144" t="str">
            <v>6602.05.99</v>
          </cell>
          <cell r="B144" t="str">
            <v>　　　　其他</v>
          </cell>
        </row>
        <row r="145">
          <cell r="A145" t="str">
            <v>6602.08</v>
          </cell>
          <cell r="B145" t="str">
            <v>　　事务费用</v>
          </cell>
          <cell r="G145">
            <v>3974.87</v>
          </cell>
          <cell r="H145">
            <v>3974.87</v>
          </cell>
        </row>
        <row r="146">
          <cell r="A146" t="str">
            <v>6602.08.01</v>
          </cell>
          <cell r="B146" t="str">
            <v>　　　　通信费</v>
          </cell>
          <cell r="G146">
            <v>3557.87</v>
          </cell>
          <cell r="H146">
            <v>3557.87</v>
          </cell>
        </row>
        <row r="147">
          <cell r="A147" t="str">
            <v>6602.08.01</v>
          </cell>
          <cell r="B147" t="str">
            <v>　　　　通信费</v>
          </cell>
          <cell r="C147" t="str">
            <v>【未录入】</v>
          </cell>
          <cell r="D147" t="str">
            <v>【未录入】</v>
          </cell>
          <cell r="G147">
            <v>3557.87</v>
          </cell>
          <cell r="H147">
            <v>3557.87</v>
          </cell>
        </row>
        <row r="148">
          <cell r="A148" t="str">
            <v>6602.08.03</v>
          </cell>
          <cell r="B148" t="str">
            <v>　　　　办公用品</v>
          </cell>
        </row>
        <row r="149">
          <cell r="A149" t="str">
            <v>6602.08.03</v>
          </cell>
          <cell r="B149" t="str">
            <v>　　　　办公用品</v>
          </cell>
          <cell r="C149" t="str">
            <v>【未录入】</v>
          </cell>
          <cell r="D149" t="str">
            <v>【未录入】</v>
          </cell>
        </row>
        <row r="150">
          <cell r="A150" t="str">
            <v>6602.08.05</v>
          </cell>
          <cell r="B150" t="str">
            <v>　　　　邮费/邮递费</v>
          </cell>
          <cell r="G150">
            <v>417</v>
          </cell>
          <cell r="H150">
            <v>417</v>
          </cell>
        </row>
        <row r="151">
          <cell r="A151" t="str">
            <v>6602.08.05</v>
          </cell>
          <cell r="B151" t="str">
            <v>　　　　邮费/邮递费</v>
          </cell>
          <cell r="C151" t="str">
            <v>【未录入】</v>
          </cell>
          <cell r="D151" t="str">
            <v>【未录入】</v>
          </cell>
          <cell r="G151">
            <v>417</v>
          </cell>
          <cell r="H151">
            <v>417</v>
          </cell>
        </row>
        <row r="152">
          <cell r="A152" t="str">
            <v>6602.08.99</v>
          </cell>
          <cell r="B152" t="str">
            <v>　　　　其他</v>
          </cell>
        </row>
        <row r="153">
          <cell r="A153" t="str">
            <v>6602.08.99</v>
          </cell>
          <cell r="B153" t="str">
            <v>　　　　其他</v>
          </cell>
          <cell r="C153" t="str">
            <v>【未录入】</v>
          </cell>
          <cell r="D153" t="str">
            <v>【未录入】</v>
          </cell>
        </row>
        <row r="154">
          <cell r="A154" t="str">
            <v>6602.09</v>
          </cell>
          <cell r="B154" t="str">
            <v>　　差旅费</v>
          </cell>
          <cell r="G154">
            <v>1190.93</v>
          </cell>
          <cell r="H154">
            <v>1190.93</v>
          </cell>
        </row>
        <row r="155">
          <cell r="A155" t="str">
            <v>6602.09.01</v>
          </cell>
          <cell r="B155" t="str">
            <v>　　　　住宿费</v>
          </cell>
        </row>
        <row r="156">
          <cell r="A156" t="str">
            <v>6602.09.01</v>
          </cell>
          <cell r="B156" t="str">
            <v>　　　　住宿费</v>
          </cell>
          <cell r="C156" t="str">
            <v>【未录入】</v>
          </cell>
          <cell r="D156" t="str">
            <v>【未录入】</v>
          </cell>
        </row>
        <row r="157">
          <cell r="A157" t="str">
            <v>6602.09.02</v>
          </cell>
          <cell r="B157" t="str">
            <v>　　　　伙食费</v>
          </cell>
          <cell r="G157">
            <v>620</v>
          </cell>
          <cell r="H157">
            <v>620</v>
          </cell>
        </row>
        <row r="158">
          <cell r="A158" t="str">
            <v>6602.09.02</v>
          </cell>
          <cell r="B158" t="str">
            <v>　　　　伙食费</v>
          </cell>
          <cell r="C158" t="str">
            <v>【未录入】</v>
          </cell>
          <cell r="D158" t="str">
            <v>【未录入】</v>
          </cell>
          <cell r="G158">
            <v>620</v>
          </cell>
          <cell r="H158">
            <v>620</v>
          </cell>
        </row>
        <row r="159">
          <cell r="A159" t="str">
            <v>6602.09.03</v>
          </cell>
          <cell r="B159" t="str">
            <v>　　　　地面交通费</v>
          </cell>
          <cell r="G159">
            <v>570.92999999999995</v>
          </cell>
          <cell r="H159">
            <v>570.92999999999995</v>
          </cell>
        </row>
        <row r="160">
          <cell r="A160" t="str">
            <v>6602.09.03</v>
          </cell>
          <cell r="B160" t="str">
            <v>　　　　地面交通费</v>
          </cell>
          <cell r="C160" t="str">
            <v>【未录入】</v>
          </cell>
          <cell r="D160" t="str">
            <v>【未录入】</v>
          </cell>
          <cell r="G160">
            <v>570.92999999999995</v>
          </cell>
          <cell r="H160">
            <v>570.92999999999995</v>
          </cell>
        </row>
        <row r="161">
          <cell r="A161" t="str">
            <v>6602.09.04</v>
          </cell>
          <cell r="B161" t="str">
            <v>　　　　空中交通费</v>
          </cell>
        </row>
        <row r="162">
          <cell r="A162" t="str">
            <v>6602.09.04</v>
          </cell>
          <cell r="B162" t="str">
            <v>　　　　空中交通费</v>
          </cell>
          <cell r="C162" t="str">
            <v>【未录入】</v>
          </cell>
          <cell r="D162" t="str">
            <v>【未录入】</v>
          </cell>
        </row>
        <row r="163">
          <cell r="A163" t="str">
            <v>6602.10</v>
          </cell>
          <cell r="B163" t="str">
            <v>　　折旧费</v>
          </cell>
          <cell r="G163">
            <v>2197.91</v>
          </cell>
          <cell r="H163">
            <v>2197.91</v>
          </cell>
        </row>
        <row r="164">
          <cell r="A164" t="str">
            <v>6602.10.01</v>
          </cell>
          <cell r="B164" t="str">
            <v>　　　　电子设备</v>
          </cell>
          <cell r="G164">
            <v>1519.82</v>
          </cell>
          <cell r="H164">
            <v>1519.82</v>
          </cell>
        </row>
        <row r="165">
          <cell r="A165" t="str">
            <v>6602.10.04</v>
          </cell>
          <cell r="B165" t="str">
            <v>　　　　家具设备</v>
          </cell>
          <cell r="G165">
            <v>678.09</v>
          </cell>
          <cell r="H165">
            <v>678.09</v>
          </cell>
        </row>
        <row r="166">
          <cell r="A166" t="str">
            <v>6602.11</v>
          </cell>
          <cell r="B166" t="str">
            <v>　　筹建费</v>
          </cell>
          <cell r="G166">
            <v>37690.550000000003</v>
          </cell>
          <cell r="H166">
            <v>37690.550000000003</v>
          </cell>
        </row>
        <row r="167">
          <cell r="A167" t="str">
            <v>6602.11.01</v>
          </cell>
          <cell r="B167" t="str">
            <v>　　　　咨询及专业服务费</v>
          </cell>
        </row>
        <row r="168">
          <cell r="A168" t="str">
            <v>6602.11.01.06</v>
          </cell>
          <cell r="B168" t="str">
            <v>　　　　　　法律服务费</v>
          </cell>
        </row>
        <row r="169">
          <cell r="A169" t="str">
            <v>6602.11.01.06</v>
          </cell>
          <cell r="B169" t="str">
            <v>　　　　　　法律服务费</v>
          </cell>
          <cell r="C169" t="str">
            <v>CI001</v>
          </cell>
          <cell r="D169" t="str">
            <v>旭智基金Ⅱ筹建费</v>
          </cell>
        </row>
        <row r="170">
          <cell r="A170" t="str">
            <v>6602.11.02</v>
          </cell>
          <cell r="B170" t="str">
            <v>　　　　业务招待费</v>
          </cell>
          <cell r="G170">
            <v>-4002</v>
          </cell>
          <cell r="H170">
            <v>-4002</v>
          </cell>
        </row>
        <row r="171">
          <cell r="A171" t="str">
            <v>6602.11.02</v>
          </cell>
          <cell r="B171" t="str">
            <v>　　　　业务招待费</v>
          </cell>
          <cell r="C171" t="str">
            <v>CI001</v>
          </cell>
          <cell r="D171" t="str">
            <v>旭智基金Ⅱ筹建费</v>
          </cell>
          <cell r="G171">
            <v>-12304.99</v>
          </cell>
          <cell r="H171">
            <v>-12304.99</v>
          </cell>
        </row>
        <row r="172">
          <cell r="A172" t="str">
            <v>6602.11.02</v>
          </cell>
          <cell r="B172" t="str">
            <v>　　　　业务招待费</v>
          </cell>
          <cell r="C172" t="str">
            <v>CI002</v>
          </cell>
          <cell r="D172" t="str">
            <v>旭智富能</v>
          </cell>
          <cell r="G172">
            <v>8302.99</v>
          </cell>
          <cell r="H172">
            <v>8302.99</v>
          </cell>
        </row>
        <row r="173">
          <cell r="A173" t="str">
            <v>6602.11.04</v>
          </cell>
          <cell r="B173" t="str">
            <v>　　　　事务费用</v>
          </cell>
        </row>
        <row r="174">
          <cell r="A174" t="str">
            <v>6602.11.04.99</v>
          </cell>
          <cell r="B174" t="str">
            <v>　　　　　　其他</v>
          </cell>
        </row>
        <row r="175">
          <cell r="A175" t="str">
            <v>6602.11.04.99</v>
          </cell>
          <cell r="B175" t="str">
            <v>　　　　　　其他</v>
          </cell>
          <cell r="C175" t="str">
            <v>CI002</v>
          </cell>
          <cell r="D175" t="str">
            <v>旭智富能</v>
          </cell>
        </row>
        <row r="176">
          <cell r="A176" t="str">
            <v>6602.11.05</v>
          </cell>
          <cell r="B176" t="str">
            <v>　　　　差旅费</v>
          </cell>
          <cell r="G176">
            <v>41692.550000000003</v>
          </cell>
          <cell r="H176">
            <v>41692.550000000003</v>
          </cell>
        </row>
        <row r="177">
          <cell r="A177" t="str">
            <v>6602.11.05.01</v>
          </cell>
          <cell r="B177" t="str">
            <v>　　　　　　住宿费</v>
          </cell>
          <cell r="G177">
            <v>14889.61</v>
          </cell>
          <cell r="H177">
            <v>14889.61</v>
          </cell>
        </row>
        <row r="178">
          <cell r="A178" t="str">
            <v>6602.11.05.01</v>
          </cell>
          <cell r="B178" t="str">
            <v>　　　　　　住宿费</v>
          </cell>
          <cell r="C178" t="str">
            <v>CI002</v>
          </cell>
          <cell r="D178" t="str">
            <v>旭智富能</v>
          </cell>
          <cell r="G178">
            <v>13394.33</v>
          </cell>
          <cell r="H178">
            <v>13394.33</v>
          </cell>
        </row>
        <row r="179">
          <cell r="A179" t="str">
            <v>6602.11.05.01</v>
          </cell>
          <cell r="B179" t="str">
            <v>　　　　　　住宿费</v>
          </cell>
          <cell r="C179" t="str">
            <v>CI005</v>
          </cell>
          <cell r="D179" t="str">
            <v>旭智私募</v>
          </cell>
          <cell r="G179">
            <v>1495.28</v>
          </cell>
          <cell r="H179">
            <v>1495.28</v>
          </cell>
        </row>
        <row r="180">
          <cell r="A180" t="str">
            <v>6602.11.05.02</v>
          </cell>
          <cell r="B180" t="str">
            <v>　　　　　　伙食费</v>
          </cell>
          <cell r="G180">
            <v>1940.37</v>
          </cell>
          <cell r="H180">
            <v>1940.37</v>
          </cell>
        </row>
        <row r="181">
          <cell r="A181" t="str">
            <v>6602.11.05.02</v>
          </cell>
          <cell r="B181" t="str">
            <v>　　　　　　伙食费</v>
          </cell>
          <cell r="C181" t="str">
            <v>CI002</v>
          </cell>
          <cell r="D181" t="str">
            <v>旭智富能</v>
          </cell>
          <cell r="G181">
            <v>1940.37</v>
          </cell>
          <cell r="H181">
            <v>1940.37</v>
          </cell>
        </row>
        <row r="182">
          <cell r="A182" t="str">
            <v>6602.11.05.03</v>
          </cell>
          <cell r="B182" t="str">
            <v>　　　　　　地面交通费</v>
          </cell>
          <cell r="G182">
            <v>5150.29</v>
          </cell>
          <cell r="H182">
            <v>5150.29</v>
          </cell>
        </row>
        <row r="183">
          <cell r="A183" t="str">
            <v>6602.11.05.03</v>
          </cell>
          <cell r="B183" t="str">
            <v>　　　　　　地面交通费</v>
          </cell>
          <cell r="C183" t="str">
            <v>CI002</v>
          </cell>
          <cell r="D183" t="str">
            <v>旭智富能</v>
          </cell>
          <cell r="G183">
            <v>4765.57</v>
          </cell>
          <cell r="H183">
            <v>4765.57</v>
          </cell>
        </row>
        <row r="184">
          <cell r="A184" t="str">
            <v>6602.11.05.03</v>
          </cell>
          <cell r="B184" t="str">
            <v>　　　　　　地面交通费</v>
          </cell>
          <cell r="C184" t="str">
            <v>CI005</v>
          </cell>
          <cell r="D184" t="str">
            <v>旭智私募</v>
          </cell>
          <cell r="G184">
            <v>384.72</v>
          </cell>
          <cell r="H184">
            <v>384.72</v>
          </cell>
        </row>
        <row r="185">
          <cell r="A185" t="str">
            <v>6602.11.05.04</v>
          </cell>
          <cell r="B185" t="str">
            <v>　　　　　　空中交通费</v>
          </cell>
          <cell r="G185">
            <v>22085.279999999999</v>
          </cell>
          <cell r="H185">
            <v>22085.279999999999</v>
          </cell>
        </row>
        <row r="186">
          <cell r="A186" t="str">
            <v>6602.11.05.04</v>
          </cell>
          <cell r="B186" t="str">
            <v>　　　　　　空中交通费</v>
          </cell>
          <cell r="C186" t="str">
            <v>CI002</v>
          </cell>
          <cell r="D186" t="str">
            <v>旭智富能</v>
          </cell>
          <cell r="G186">
            <v>19300.75</v>
          </cell>
          <cell r="H186">
            <v>19300.75</v>
          </cell>
        </row>
        <row r="187">
          <cell r="A187" t="str">
            <v>6602.11.05.04</v>
          </cell>
          <cell r="B187" t="str">
            <v>　　　　　　空中交通费</v>
          </cell>
          <cell r="C187" t="str">
            <v>CI005</v>
          </cell>
          <cell r="D187" t="str">
            <v>旭智私募</v>
          </cell>
          <cell r="G187">
            <v>2784.53</v>
          </cell>
          <cell r="H187">
            <v>2784.53</v>
          </cell>
        </row>
        <row r="188">
          <cell r="A188" t="str">
            <v>6602.11.05.05</v>
          </cell>
          <cell r="B188" t="str">
            <v>　　　　　　租车</v>
          </cell>
          <cell r="G188">
            <v>987</v>
          </cell>
          <cell r="H188">
            <v>987</v>
          </cell>
        </row>
        <row r="189">
          <cell r="A189" t="str">
            <v>6602.11.05.05</v>
          </cell>
          <cell r="B189" t="str">
            <v>　　　　　　租车</v>
          </cell>
          <cell r="C189" t="str">
            <v>CI002</v>
          </cell>
          <cell r="D189" t="str">
            <v>旭智富能</v>
          </cell>
          <cell r="G189">
            <v>987</v>
          </cell>
          <cell r="H189">
            <v>987</v>
          </cell>
        </row>
        <row r="190">
          <cell r="A190" t="str">
            <v>6602.11.05.99</v>
          </cell>
          <cell r="B190" t="str">
            <v>　　　　　　其他</v>
          </cell>
          <cell r="G190">
            <v>-3360</v>
          </cell>
          <cell r="H190">
            <v>-3360</v>
          </cell>
        </row>
        <row r="191">
          <cell r="A191" t="str">
            <v>6602.11.05.99</v>
          </cell>
          <cell r="B191" t="str">
            <v>　　　　　　其他</v>
          </cell>
          <cell r="C191" t="str">
            <v>CI005</v>
          </cell>
          <cell r="D191" t="str">
            <v>旭智私募</v>
          </cell>
          <cell r="G191">
            <v>-3360</v>
          </cell>
          <cell r="H191">
            <v>-3360</v>
          </cell>
        </row>
        <row r="192">
          <cell r="A192" t="str">
            <v>6602.12</v>
          </cell>
          <cell r="B192" t="str">
            <v>　　使用权资产折旧</v>
          </cell>
        </row>
        <row r="193">
          <cell r="A193" t="str">
            <v>6602.12.02</v>
          </cell>
          <cell r="B193" t="str">
            <v>　　　　办公地址</v>
          </cell>
        </row>
        <row r="194">
          <cell r="A194" t="str">
            <v>6602.12.02.01</v>
          </cell>
          <cell r="B194" t="str">
            <v>　　　　　　旭智咨询--鼎和大厦1606</v>
          </cell>
        </row>
        <row r="195">
          <cell r="A195" t="str">
            <v>6602.13</v>
          </cell>
          <cell r="B195" t="str">
            <v>　　物业管理费</v>
          </cell>
        </row>
        <row r="196">
          <cell r="A196" t="str">
            <v>6602.15</v>
          </cell>
          <cell r="B196" t="str">
            <v>　　服务费</v>
          </cell>
          <cell r="G196">
            <v>28566.04</v>
          </cell>
          <cell r="H196">
            <v>28566.04</v>
          </cell>
        </row>
        <row r="197">
          <cell r="A197" t="str">
            <v>6602.99</v>
          </cell>
          <cell r="B197" t="str">
            <v>　　其他</v>
          </cell>
          <cell r="G197">
            <v>722.53</v>
          </cell>
          <cell r="H197">
            <v>722.53</v>
          </cell>
        </row>
        <row r="198">
          <cell r="A198" t="str">
            <v>6603</v>
          </cell>
          <cell r="B198" t="str">
            <v>财务费用</v>
          </cell>
          <cell r="G198">
            <v>-3708.35</v>
          </cell>
          <cell r="H198">
            <v>-3708.35</v>
          </cell>
        </row>
        <row r="199">
          <cell r="A199" t="str">
            <v>6603.01</v>
          </cell>
          <cell r="B199" t="str">
            <v>　　汇兑损益</v>
          </cell>
          <cell r="G199">
            <v>-208.82</v>
          </cell>
          <cell r="H199">
            <v>-208.82</v>
          </cell>
        </row>
        <row r="200">
          <cell r="A200" t="str">
            <v>6603.02</v>
          </cell>
          <cell r="B200" t="str">
            <v>　　利息费用</v>
          </cell>
        </row>
        <row r="201">
          <cell r="A201" t="str">
            <v>6603.02.02</v>
          </cell>
          <cell r="B201" t="str">
            <v>　　　　办公地址</v>
          </cell>
        </row>
        <row r="202">
          <cell r="A202" t="str">
            <v>6603.02.02.01</v>
          </cell>
          <cell r="B202" t="str">
            <v>　　　　　　旭智咨询--鼎和大厦1606</v>
          </cell>
        </row>
        <row r="203">
          <cell r="A203" t="str">
            <v>6603.03</v>
          </cell>
          <cell r="B203" t="str">
            <v>　　银行手续费</v>
          </cell>
          <cell r="G203">
            <v>-225.36</v>
          </cell>
          <cell r="H203">
            <v>-225.36</v>
          </cell>
        </row>
        <row r="204">
          <cell r="A204" t="str">
            <v>6603.04</v>
          </cell>
          <cell r="B204" t="str">
            <v>　　利息收入</v>
          </cell>
          <cell r="G204">
            <v>-3274.17</v>
          </cell>
          <cell r="H204">
            <v>-3274.17</v>
          </cell>
        </row>
        <row r="205">
          <cell r="A205" t="str">
            <v>6711</v>
          </cell>
          <cell r="B205" t="str">
            <v>营业外支出</v>
          </cell>
        </row>
        <row r="206">
          <cell r="A206" t="str">
            <v>6711.02</v>
          </cell>
          <cell r="B206" t="str">
            <v>　　非流动资产处置损失</v>
          </cell>
        </row>
        <row r="207">
          <cell r="A207" t="str">
            <v>6801</v>
          </cell>
          <cell r="B207" t="str">
            <v>所得税费用</v>
          </cell>
          <cell r="G207">
            <v>3909.12</v>
          </cell>
          <cell r="H207">
            <v>3909.12</v>
          </cell>
        </row>
        <row r="208">
          <cell r="A208" t="str">
            <v>6801.01</v>
          </cell>
          <cell r="B208" t="str">
            <v>　　当期所得税费用</v>
          </cell>
          <cell r="G208">
            <v>3909.12</v>
          </cell>
          <cell r="H208">
            <v>3909.12</v>
          </cell>
        </row>
        <row r="209">
          <cell r="B209" t="str">
            <v>合计</v>
          </cell>
          <cell r="E209">
            <v>8168328.4000000004</v>
          </cell>
          <cell r="F209">
            <v>8168328.4000000004</v>
          </cell>
          <cell r="G209">
            <v>5237976.13</v>
          </cell>
          <cell r="H209">
            <v>5237976.13</v>
          </cell>
        </row>
      </sheetData>
      <sheetData sheetId="3">
        <row r="1">
          <cell r="A1" t="str">
            <v>币别:人民币</v>
          </cell>
          <cell r="B1" t="str">
            <v>账簿:旭智咨询管理（深圳）有限责任公司</v>
          </cell>
          <cell r="C1" t="str">
            <v>期间:2025.4 -- 2025.4</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2330962.89</v>
          </cell>
          <cell r="G4">
            <v>120049.16</v>
          </cell>
          <cell r="H4">
            <v>480744.07</v>
          </cell>
        </row>
        <row r="5">
          <cell r="A5" t="str">
            <v>1002.21</v>
          </cell>
          <cell r="B5" t="str">
            <v>　　【旭智咨询】银行存款账户</v>
          </cell>
          <cell r="E5">
            <v>2286425.35</v>
          </cell>
          <cell r="G5">
            <v>50049.16</v>
          </cell>
          <cell r="H5">
            <v>403928.45</v>
          </cell>
        </row>
        <row r="6">
          <cell r="A6" t="str">
            <v>1002.21.01</v>
          </cell>
          <cell r="B6" t="str">
            <v>　　　　招商银行账户</v>
          </cell>
          <cell r="E6">
            <v>2286425.35</v>
          </cell>
          <cell r="G6">
            <v>50049.16</v>
          </cell>
          <cell r="H6">
            <v>403928.45</v>
          </cell>
        </row>
        <row r="7">
          <cell r="A7" t="str">
            <v>1002.21.01.01</v>
          </cell>
          <cell r="B7" t="str">
            <v>　　　　　　【旭智咨询】招商 人民币基本户 0108</v>
          </cell>
          <cell r="E7">
            <v>1268844.8600000001</v>
          </cell>
          <cell r="G7">
            <v>50049.16</v>
          </cell>
          <cell r="H7">
            <v>403928.45</v>
          </cell>
        </row>
        <row r="8">
          <cell r="A8" t="str">
            <v>1002.21.01.02</v>
          </cell>
          <cell r="B8" t="str">
            <v>　　　　　　【旭智咨询】招商 人民币资本金账户 0202</v>
          </cell>
          <cell r="E8">
            <v>1017580.49</v>
          </cell>
        </row>
        <row r="9">
          <cell r="A9" t="str">
            <v>1002.22</v>
          </cell>
          <cell r="B9" t="str">
            <v>　　【旭智咨询北京】银行存款账户</v>
          </cell>
          <cell r="E9">
            <v>44537.54</v>
          </cell>
          <cell r="G9">
            <v>70000</v>
          </cell>
          <cell r="H9">
            <v>76815.62</v>
          </cell>
        </row>
        <row r="10">
          <cell r="A10" t="str">
            <v>1002.22.01</v>
          </cell>
          <cell r="B10" t="str">
            <v>　　　　招商银行账户</v>
          </cell>
          <cell r="E10">
            <v>44537.54</v>
          </cell>
          <cell r="G10">
            <v>70000</v>
          </cell>
          <cell r="H10">
            <v>76815.62</v>
          </cell>
        </row>
        <row r="11">
          <cell r="A11" t="str">
            <v>1002.22.01.01</v>
          </cell>
          <cell r="B11" t="str">
            <v>　　　　　　【旭智咨询北京】人民币基本户 0001</v>
          </cell>
          <cell r="E11">
            <v>44537.54</v>
          </cell>
          <cell r="G11">
            <v>70000</v>
          </cell>
          <cell r="H11">
            <v>76815.62</v>
          </cell>
        </row>
        <row r="12">
          <cell r="A12" t="str">
            <v>1122</v>
          </cell>
          <cell r="B12" t="str">
            <v>应收账款</v>
          </cell>
          <cell r="E12">
            <v>273283.86</v>
          </cell>
          <cell r="G12">
            <v>774705.21</v>
          </cell>
          <cell r="H12">
            <v>50049.16</v>
          </cell>
        </row>
        <row r="13">
          <cell r="A13" t="str">
            <v>1122.01</v>
          </cell>
          <cell r="B13" t="str">
            <v>　　咨询费收入</v>
          </cell>
          <cell r="E13">
            <v>273283.86</v>
          </cell>
          <cell r="G13">
            <v>774705.21</v>
          </cell>
          <cell r="H13">
            <v>50049.16</v>
          </cell>
        </row>
        <row r="14">
          <cell r="A14" t="str">
            <v>1122.01</v>
          </cell>
          <cell r="B14" t="str">
            <v>　　咨询费收入</v>
          </cell>
          <cell r="C14" t="str">
            <v>CU003010</v>
          </cell>
          <cell r="D14" t="str">
            <v>旭智富能新能源（深圳）有限责任公司</v>
          </cell>
          <cell r="E14">
            <v>223234.7</v>
          </cell>
        </row>
        <row r="15">
          <cell r="A15" t="str">
            <v>1122.01</v>
          </cell>
          <cell r="B15" t="str">
            <v>　　咨询费收入</v>
          </cell>
          <cell r="C15" t="str">
            <v>CU006001</v>
          </cell>
          <cell r="D15" t="str">
            <v>胜科辉飏新能源（深圳）有限公司</v>
          </cell>
          <cell r="E15">
            <v>50049.16</v>
          </cell>
          <cell r="G15">
            <v>774705.21</v>
          </cell>
          <cell r="H15">
            <v>50049.16</v>
          </cell>
        </row>
        <row r="16">
          <cell r="A16" t="str">
            <v>1123</v>
          </cell>
          <cell r="B16" t="str">
            <v>预付账款</v>
          </cell>
          <cell r="E16">
            <v>17815.330000000002</v>
          </cell>
          <cell r="G16">
            <v>40000</v>
          </cell>
          <cell r="H16">
            <v>26996.94</v>
          </cell>
        </row>
        <row r="17">
          <cell r="A17" t="str">
            <v>1123.01</v>
          </cell>
          <cell r="B17" t="str">
            <v>　　单位</v>
          </cell>
          <cell r="E17">
            <v>17815.330000000002</v>
          </cell>
          <cell r="G17">
            <v>40000</v>
          </cell>
          <cell r="H17">
            <v>26996.94</v>
          </cell>
        </row>
        <row r="18">
          <cell r="A18" t="str">
            <v>1123.01</v>
          </cell>
          <cell r="B18" t="str">
            <v>　　单位</v>
          </cell>
          <cell r="C18" t="str">
            <v>SU006011</v>
          </cell>
          <cell r="D18" t="str">
            <v>广州晶东贸易有限公司</v>
          </cell>
        </row>
        <row r="19">
          <cell r="A19" t="str">
            <v>1123.01</v>
          </cell>
          <cell r="B19" t="str">
            <v>　　单位</v>
          </cell>
          <cell r="C19" t="str">
            <v>SU006012</v>
          </cell>
          <cell r="D19" t="str">
            <v>上海携程宏睿国际旅行社有限公司</v>
          </cell>
          <cell r="E19">
            <v>8381.3700000000008</v>
          </cell>
          <cell r="G19">
            <v>40000</v>
          </cell>
          <cell r="H19">
            <v>26996.94</v>
          </cell>
        </row>
        <row r="20">
          <cell r="A20" t="str">
            <v>1123.01</v>
          </cell>
          <cell r="B20" t="str">
            <v>　　单位</v>
          </cell>
          <cell r="C20" t="str">
            <v>SU006015</v>
          </cell>
          <cell r="D20" t="str">
            <v>成都协企兴企业管理咨询服务有限公司</v>
          </cell>
        </row>
        <row r="21">
          <cell r="A21" t="str">
            <v>1123.01</v>
          </cell>
          <cell r="B21" t="str">
            <v>　　单位</v>
          </cell>
          <cell r="C21" t="str">
            <v>SU006016</v>
          </cell>
          <cell r="D21" t="str">
            <v>爱奇创新投资研究（深圳）有限公司</v>
          </cell>
        </row>
        <row r="22">
          <cell r="A22" t="str">
            <v>1123.01</v>
          </cell>
          <cell r="B22" t="str">
            <v>　　单位</v>
          </cell>
          <cell r="C22" t="str">
            <v>SU006031</v>
          </cell>
          <cell r="D22" t="str">
            <v>深圳市金纳维科技有限公司</v>
          </cell>
          <cell r="E22">
            <v>9433.9599999999991</v>
          </cell>
        </row>
        <row r="23">
          <cell r="A23" t="str">
            <v>1221</v>
          </cell>
          <cell r="B23" t="str">
            <v>其他应收款</v>
          </cell>
          <cell r="E23">
            <v>16980</v>
          </cell>
        </row>
        <row r="24">
          <cell r="A24" t="str">
            <v>1221.01</v>
          </cell>
          <cell r="B24" t="str">
            <v>　　单位</v>
          </cell>
          <cell r="E24">
            <v>16980</v>
          </cell>
        </row>
        <row r="25">
          <cell r="A25" t="str">
            <v>1221.01</v>
          </cell>
          <cell r="B25" t="str">
            <v>　　单位</v>
          </cell>
          <cell r="C25" t="str">
            <v>CU003010</v>
          </cell>
          <cell r="D25" t="str">
            <v>旭智富能新能源（深圳）有限责任公司</v>
          </cell>
          <cell r="E25">
            <v>4800</v>
          </cell>
        </row>
        <row r="26">
          <cell r="A26" t="str">
            <v>1221.01</v>
          </cell>
          <cell r="B26" t="str">
            <v>　　单位</v>
          </cell>
          <cell r="C26" t="str">
            <v>CU006006</v>
          </cell>
          <cell r="D26" t="str">
            <v>爱奇创新投资研究（深圳）有限公司</v>
          </cell>
          <cell r="E26">
            <v>10000</v>
          </cell>
        </row>
        <row r="27">
          <cell r="A27" t="str">
            <v>1221.01</v>
          </cell>
          <cell r="B27" t="str">
            <v>　　单位</v>
          </cell>
          <cell r="C27" t="str">
            <v>CU006007</v>
          </cell>
          <cell r="D27" t="str">
            <v>深圳旭智私募股权基金管理有限公司</v>
          </cell>
        </row>
        <row r="28">
          <cell r="A28" t="str">
            <v>1221.01</v>
          </cell>
          <cell r="B28" t="str">
            <v>　　单位</v>
          </cell>
          <cell r="C28" t="str">
            <v>CU006008</v>
          </cell>
          <cell r="D28" t="str">
            <v>旭智富联（鹤壁）新能源有限责任公司</v>
          </cell>
          <cell r="E28">
            <v>2180</v>
          </cell>
        </row>
        <row r="29">
          <cell r="A29" t="str">
            <v>1511</v>
          </cell>
          <cell r="B29" t="str">
            <v>长期股权投资</v>
          </cell>
          <cell r="E29">
            <v>4356000</v>
          </cell>
        </row>
        <row r="30">
          <cell r="A30" t="str">
            <v>1511.01</v>
          </cell>
          <cell r="B30" t="str">
            <v>　　投资成本</v>
          </cell>
          <cell r="E30">
            <v>4356000</v>
          </cell>
        </row>
        <row r="31">
          <cell r="A31" t="str">
            <v>1511.01.01</v>
          </cell>
          <cell r="B31" t="str">
            <v>　　　　宜兴旭智投资咨询合伙企业（有限合伙）</v>
          </cell>
          <cell r="E31">
            <v>4356000</v>
          </cell>
        </row>
        <row r="32">
          <cell r="A32" t="str">
            <v>1601</v>
          </cell>
          <cell r="B32" t="str">
            <v>固定资产</v>
          </cell>
          <cell r="E32">
            <v>100425.04</v>
          </cell>
        </row>
        <row r="33">
          <cell r="A33" t="str">
            <v>1601.01</v>
          </cell>
          <cell r="B33" t="str">
            <v>　　电子设备</v>
          </cell>
          <cell r="E33">
            <v>57593</v>
          </cell>
        </row>
        <row r="34">
          <cell r="A34" t="str">
            <v>1601.04</v>
          </cell>
          <cell r="B34" t="str">
            <v>　　家具设备</v>
          </cell>
          <cell r="E34">
            <v>42832.04</v>
          </cell>
        </row>
        <row r="35">
          <cell r="A35" t="str">
            <v>1602</v>
          </cell>
          <cell r="B35" t="str">
            <v>累计折旧</v>
          </cell>
          <cell r="F35">
            <v>27177.18</v>
          </cell>
          <cell r="H35">
            <v>2197.91</v>
          </cell>
        </row>
        <row r="36">
          <cell r="A36" t="str">
            <v>1602.01</v>
          </cell>
          <cell r="B36" t="str">
            <v>　　电子设备</v>
          </cell>
          <cell r="F36">
            <v>8095.13</v>
          </cell>
          <cell r="H36">
            <v>678.09</v>
          </cell>
        </row>
        <row r="37">
          <cell r="A37" t="str">
            <v>1602.04</v>
          </cell>
          <cell r="B37" t="str">
            <v>　　家具设备</v>
          </cell>
          <cell r="F37">
            <v>19082.05</v>
          </cell>
          <cell r="H37">
            <v>1519.82</v>
          </cell>
        </row>
        <row r="38">
          <cell r="A38" t="str">
            <v>1606</v>
          </cell>
          <cell r="B38" t="str">
            <v>固定资产清理</v>
          </cell>
        </row>
        <row r="39">
          <cell r="A39" t="str">
            <v>1606.04</v>
          </cell>
          <cell r="B39" t="str">
            <v>　　家具设备</v>
          </cell>
        </row>
        <row r="40">
          <cell r="A40" t="str">
            <v>1641</v>
          </cell>
          <cell r="B40" t="str">
            <v>使用权资产</v>
          </cell>
        </row>
        <row r="41">
          <cell r="A41" t="str">
            <v>1641.01</v>
          </cell>
          <cell r="B41" t="str">
            <v>　　打印机租赁</v>
          </cell>
        </row>
        <row r="42">
          <cell r="A42" t="str">
            <v>1641.02</v>
          </cell>
          <cell r="B42" t="str">
            <v>　　办公地址</v>
          </cell>
        </row>
        <row r="43">
          <cell r="A43" t="str">
            <v>1641.02.01</v>
          </cell>
          <cell r="B43" t="str">
            <v>　　　　旭智咨询--鼎和大厦1606</v>
          </cell>
        </row>
        <row r="44">
          <cell r="A44" t="str">
            <v>1642</v>
          </cell>
          <cell r="B44" t="str">
            <v>使用权资产累计折旧</v>
          </cell>
        </row>
        <row r="45">
          <cell r="A45" t="str">
            <v>1642.01</v>
          </cell>
          <cell r="B45" t="str">
            <v>　　打印机租赁</v>
          </cell>
        </row>
        <row r="46">
          <cell r="A46" t="str">
            <v>1642.02</v>
          </cell>
          <cell r="B46" t="str">
            <v>　　办公地址</v>
          </cell>
        </row>
        <row r="47">
          <cell r="A47" t="str">
            <v>1642.02.01</v>
          </cell>
          <cell r="B47" t="str">
            <v>　　　　旭智咨询--鼎和大厦1606</v>
          </cell>
        </row>
        <row r="48">
          <cell r="A48" t="str">
            <v>1801</v>
          </cell>
          <cell r="B48" t="str">
            <v>长期待摊费用</v>
          </cell>
        </row>
        <row r="49">
          <cell r="A49" t="str">
            <v>1801.01</v>
          </cell>
          <cell r="B49" t="str">
            <v>　　装修费</v>
          </cell>
        </row>
        <row r="50">
          <cell r="A50" t="str">
            <v>2203</v>
          </cell>
          <cell r="B50" t="str">
            <v>预收账款</v>
          </cell>
        </row>
        <row r="51">
          <cell r="A51" t="str">
            <v>2203.01</v>
          </cell>
          <cell r="B51" t="str">
            <v>　　单位</v>
          </cell>
        </row>
        <row r="52">
          <cell r="A52" t="str">
            <v>2203.01</v>
          </cell>
          <cell r="B52" t="str">
            <v>　　单位</v>
          </cell>
          <cell r="C52" t="str">
            <v>CU006001</v>
          </cell>
          <cell r="D52" t="str">
            <v>胜科辉飏新能源（深圳）有限公司</v>
          </cell>
        </row>
        <row r="53">
          <cell r="A53" t="str">
            <v>2211</v>
          </cell>
          <cell r="B53" t="str">
            <v>应付职工薪酬</v>
          </cell>
          <cell r="F53">
            <v>154721.28</v>
          </cell>
          <cell r="G53">
            <v>218461.32</v>
          </cell>
          <cell r="H53">
            <v>218461.32</v>
          </cell>
        </row>
        <row r="54">
          <cell r="A54" t="str">
            <v>2211.01</v>
          </cell>
          <cell r="B54" t="str">
            <v>　　职工工资</v>
          </cell>
          <cell r="G54">
            <v>136872.5</v>
          </cell>
          <cell r="H54">
            <v>136872.5</v>
          </cell>
        </row>
        <row r="55">
          <cell r="A55" t="str">
            <v>2211.02</v>
          </cell>
          <cell r="B55" t="str">
            <v>　　职工奖金</v>
          </cell>
          <cell r="F55">
            <v>133125</v>
          </cell>
        </row>
        <row r="56">
          <cell r="A56" t="str">
            <v>2211.03</v>
          </cell>
          <cell r="B56" t="str">
            <v>　　劳务报酬</v>
          </cell>
          <cell r="G56">
            <v>7240</v>
          </cell>
          <cell r="H56">
            <v>7240</v>
          </cell>
        </row>
        <row r="57">
          <cell r="A57" t="str">
            <v>2211.05</v>
          </cell>
          <cell r="B57" t="str">
            <v>　　社会保险费</v>
          </cell>
          <cell r="F57">
            <v>13128.28</v>
          </cell>
          <cell r="G57">
            <v>42146.66</v>
          </cell>
          <cell r="H57">
            <v>42146.66</v>
          </cell>
        </row>
        <row r="58">
          <cell r="A58" t="str">
            <v>2211.06</v>
          </cell>
          <cell r="B58" t="str">
            <v>　　住房公积金</v>
          </cell>
          <cell r="F58">
            <v>8468</v>
          </cell>
          <cell r="G58">
            <v>32202.16</v>
          </cell>
          <cell r="H58">
            <v>32202.16</v>
          </cell>
        </row>
        <row r="59">
          <cell r="A59" t="str">
            <v>2221</v>
          </cell>
          <cell r="B59" t="str">
            <v>应交税费</v>
          </cell>
          <cell r="F59">
            <v>117844.81</v>
          </cell>
          <cell r="G59">
            <v>91961.99</v>
          </cell>
          <cell r="H59">
            <v>58152.160000000003</v>
          </cell>
        </row>
        <row r="60">
          <cell r="A60" t="str">
            <v>2221.01</v>
          </cell>
          <cell r="B60" t="str">
            <v>　　应交增值税</v>
          </cell>
        </row>
        <row r="61">
          <cell r="A61" t="str">
            <v>2221.01.01</v>
          </cell>
          <cell r="B61" t="str">
            <v>　　　　销项税额</v>
          </cell>
        </row>
        <row r="62">
          <cell r="A62" t="str">
            <v>2221.01.03</v>
          </cell>
          <cell r="B62" t="str">
            <v>　　　　进项税额</v>
          </cell>
        </row>
        <row r="63">
          <cell r="A63" t="str">
            <v>2221.01.06</v>
          </cell>
          <cell r="B63" t="str">
            <v>　　　　转出未交增值税</v>
          </cell>
        </row>
        <row r="64">
          <cell r="A64" t="str">
            <v>2221.03</v>
          </cell>
          <cell r="B64" t="str">
            <v>　　暂估进项税额</v>
          </cell>
          <cell r="E64">
            <v>2138.09</v>
          </cell>
          <cell r="G64">
            <v>1147.79</v>
          </cell>
          <cell r="H64">
            <v>595.85</v>
          </cell>
        </row>
        <row r="65">
          <cell r="A65" t="str">
            <v>2221.04</v>
          </cell>
          <cell r="B65" t="str">
            <v>　　未交增值税</v>
          </cell>
          <cell r="F65">
            <v>44356.21</v>
          </cell>
          <cell r="G65">
            <v>44356.21</v>
          </cell>
        </row>
        <row r="66">
          <cell r="A66" t="str">
            <v>2221.06</v>
          </cell>
          <cell r="B66" t="str">
            <v>　　待认证进项税额</v>
          </cell>
          <cell r="G66">
            <v>595.85</v>
          </cell>
        </row>
        <row r="67">
          <cell r="A67" t="str">
            <v>2221.08</v>
          </cell>
          <cell r="B67" t="str">
            <v>　　待转销项税额</v>
          </cell>
          <cell r="F67">
            <v>12635.93</v>
          </cell>
          <cell r="H67">
            <v>43851.24</v>
          </cell>
        </row>
        <row r="68">
          <cell r="A68" t="str">
            <v>2221.12</v>
          </cell>
          <cell r="B68" t="str">
            <v>　　应交城市维护建设税</v>
          </cell>
          <cell r="F68">
            <v>1552.46</v>
          </cell>
          <cell r="G68">
            <v>1552.46</v>
          </cell>
        </row>
        <row r="69">
          <cell r="A69" t="str">
            <v>2221.13</v>
          </cell>
          <cell r="B69" t="str">
            <v>　　应交教育费附加</v>
          </cell>
          <cell r="F69">
            <v>665.34</v>
          </cell>
          <cell r="G69">
            <v>665.34</v>
          </cell>
        </row>
        <row r="70">
          <cell r="A70" t="str">
            <v>2221.14</v>
          </cell>
          <cell r="B70" t="str">
            <v>　　应交地方教育附加</v>
          </cell>
          <cell r="F70">
            <v>443.56</v>
          </cell>
          <cell r="G70">
            <v>443.56</v>
          </cell>
        </row>
        <row r="71">
          <cell r="A71" t="str">
            <v>2221.15</v>
          </cell>
          <cell r="B71" t="str">
            <v>　　应交企业所得税</v>
          </cell>
          <cell r="F71">
            <v>21037.74</v>
          </cell>
          <cell r="G71">
            <v>3909.12</v>
          </cell>
        </row>
        <row r="72">
          <cell r="A72" t="str">
            <v>2221.16</v>
          </cell>
          <cell r="B72" t="str">
            <v>　　应交个人所得税</v>
          </cell>
          <cell r="F72">
            <v>39291.660000000003</v>
          </cell>
          <cell r="G72">
            <v>39291.660000000003</v>
          </cell>
          <cell r="H72">
            <v>13705.07</v>
          </cell>
        </row>
        <row r="73">
          <cell r="A73" t="str">
            <v>2241</v>
          </cell>
          <cell r="B73" t="str">
            <v>其他应付款</v>
          </cell>
          <cell r="F73">
            <v>2816312.44</v>
          </cell>
          <cell r="G73">
            <v>167540.64000000001</v>
          </cell>
          <cell r="H73">
            <v>27306.14</v>
          </cell>
        </row>
        <row r="74">
          <cell r="A74" t="str">
            <v>2241.01</v>
          </cell>
          <cell r="B74" t="str">
            <v>　　单位</v>
          </cell>
          <cell r="F74">
            <v>2766030.96</v>
          </cell>
          <cell r="G74">
            <v>167540.64000000001</v>
          </cell>
          <cell r="H74">
            <v>27306.14</v>
          </cell>
        </row>
        <row r="75">
          <cell r="A75" t="str">
            <v>2241.01</v>
          </cell>
          <cell r="B75" t="str">
            <v>　　单位</v>
          </cell>
          <cell r="C75" t="str">
            <v>SU005004</v>
          </cell>
          <cell r="D75" t="str">
            <v>上海爱文人才服务有限公司</v>
          </cell>
          <cell r="F75">
            <v>2500</v>
          </cell>
          <cell r="G75">
            <v>2500</v>
          </cell>
        </row>
        <row r="76">
          <cell r="A76" t="str">
            <v>2241.01</v>
          </cell>
          <cell r="B76" t="str">
            <v>　　单位</v>
          </cell>
          <cell r="C76" t="str">
            <v>SU005007</v>
          </cell>
          <cell r="D76" t="str">
            <v>普华永道中天会计师事务所（特殊普通合伙）</v>
          </cell>
          <cell r="F76">
            <v>69051.17</v>
          </cell>
        </row>
        <row r="77">
          <cell r="A77" t="str">
            <v>2241.01</v>
          </cell>
          <cell r="B77" t="str">
            <v>　　单位</v>
          </cell>
          <cell r="C77" t="str">
            <v>SU005037</v>
          </cell>
          <cell r="D77" t="str">
            <v>深圳点石新能源投资有限责任公司</v>
          </cell>
        </row>
        <row r="78">
          <cell r="A78" t="str">
            <v>2241.01</v>
          </cell>
          <cell r="B78" t="str">
            <v>　　单位</v>
          </cell>
          <cell r="C78" t="str">
            <v>SU005043</v>
          </cell>
          <cell r="D78" t="str">
            <v>旭智资本有限公司</v>
          </cell>
          <cell r="F78">
            <v>67647.06</v>
          </cell>
          <cell r="G78">
            <v>67647.06</v>
          </cell>
        </row>
        <row r="79">
          <cell r="A79" t="str">
            <v>2241.01</v>
          </cell>
          <cell r="B79" t="str">
            <v>　　单位</v>
          </cell>
          <cell r="C79" t="str">
            <v>SU006006</v>
          </cell>
          <cell r="D79" t="str">
            <v>深圳市新趋势科技有限公司</v>
          </cell>
        </row>
        <row r="80">
          <cell r="A80" t="str">
            <v>2241.01</v>
          </cell>
          <cell r="B80" t="str">
            <v>　　单位</v>
          </cell>
          <cell r="C80" t="str">
            <v>SU006012</v>
          </cell>
          <cell r="D80" t="str">
            <v>上海携程宏睿国际旅行社有限公司</v>
          </cell>
          <cell r="H80">
            <v>10325</v>
          </cell>
        </row>
        <row r="81">
          <cell r="A81" t="str">
            <v>2241.01</v>
          </cell>
          <cell r="B81" t="str">
            <v>　　单位</v>
          </cell>
          <cell r="C81" t="str">
            <v>SU006016</v>
          </cell>
          <cell r="D81" t="str">
            <v>爱奇创新投资研究（深圳）有限公司</v>
          </cell>
          <cell r="H81">
            <v>16981.14</v>
          </cell>
        </row>
        <row r="82">
          <cell r="A82" t="str">
            <v>2241.01</v>
          </cell>
          <cell r="B82" t="str">
            <v>　　单位</v>
          </cell>
          <cell r="C82" t="str">
            <v>SU006018</v>
          </cell>
          <cell r="D82" t="str">
            <v>深圳辉飏新能源投资咨询有限责任公司</v>
          </cell>
          <cell r="F82">
            <v>42393.58</v>
          </cell>
          <cell r="G82">
            <v>42393.58</v>
          </cell>
        </row>
        <row r="83">
          <cell r="A83" t="str">
            <v>2241.01</v>
          </cell>
          <cell r="B83" t="str">
            <v>　　单位</v>
          </cell>
          <cell r="C83" t="str">
            <v>SU006021</v>
          </cell>
          <cell r="D83" t="str">
            <v>北京市汉坤律师事务所</v>
          </cell>
          <cell r="F83">
            <v>40000</v>
          </cell>
        </row>
        <row r="84">
          <cell r="A84" t="str">
            <v>2241.01</v>
          </cell>
          <cell r="B84" t="str">
            <v>　　单位</v>
          </cell>
          <cell r="C84" t="str">
            <v>SU006023</v>
          </cell>
          <cell r="D84" t="str">
            <v>顺丰速运有限公司</v>
          </cell>
        </row>
        <row r="85">
          <cell r="A85" t="str">
            <v>2241.01</v>
          </cell>
          <cell r="B85" t="str">
            <v>　　单位</v>
          </cell>
          <cell r="C85" t="str">
            <v>SU006026</v>
          </cell>
          <cell r="D85" t="str">
            <v>和谐汇股权投资管理（北京）有限公司</v>
          </cell>
          <cell r="F85">
            <v>630000</v>
          </cell>
        </row>
        <row r="86">
          <cell r="A86" t="str">
            <v>2241.01</v>
          </cell>
          <cell r="B86" t="str">
            <v>　　单位</v>
          </cell>
          <cell r="C86" t="str">
            <v>SU006027</v>
          </cell>
          <cell r="D86" t="str">
            <v>南德认证检测（中国）有限公司</v>
          </cell>
          <cell r="F86">
            <v>55000</v>
          </cell>
          <cell r="G86">
            <v>55000</v>
          </cell>
        </row>
        <row r="87">
          <cell r="A87" t="str">
            <v>2241.01</v>
          </cell>
          <cell r="B87" t="str">
            <v>　　单位</v>
          </cell>
          <cell r="C87" t="str">
            <v>SU006029</v>
          </cell>
          <cell r="D87" t="str">
            <v>宁波梅山保税港区爱奇观恒投资管理有限公司</v>
          </cell>
          <cell r="F87">
            <v>350000</v>
          </cell>
        </row>
        <row r="88">
          <cell r="A88" t="str">
            <v>2241.01</v>
          </cell>
          <cell r="B88" t="str">
            <v>　　单位</v>
          </cell>
          <cell r="C88" t="str">
            <v>SU006032</v>
          </cell>
          <cell r="D88" t="str">
            <v>广州旭智投资控股有限责任公司</v>
          </cell>
          <cell r="F88">
            <v>1509439.15</v>
          </cell>
        </row>
        <row r="89">
          <cell r="A89" t="str">
            <v>2241.02</v>
          </cell>
          <cell r="B89" t="str">
            <v>　　个人</v>
          </cell>
          <cell r="F89">
            <v>50281.48</v>
          </cell>
        </row>
        <row r="90">
          <cell r="A90" t="str">
            <v>2241.02</v>
          </cell>
          <cell r="B90" t="str">
            <v>　　个人</v>
          </cell>
          <cell r="C90" t="str">
            <v>SP005001</v>
          </cell>
          <cell r="D90" t="str">
            <v>冯冠邦</v>
          </cell>
        </row>
        <row r="91">
          <cell r="A91" t="str">
            <v>2241.02</v>
          </cell>
          <cell r="B91" t="str">
            <v>　　个人</v>
          </cell>
          <cell r="C91" t="str">
            <v>SP005011</v>
          </cell>
          <cell r="D91" t="str">
            <v>郭宗林</v>
          </cell>
        </row>
        <row r="92">
          <cell r="A92" t="str">
            <v>2241.02</v>
          </cell>
          <cell r="B92" t="str">
            <v>　　个人</v>
          </cell>
          <cell r="C92" t="str">
            <v>SP005012</v>
          </cell>
          <cell r="D92" t="str">
            <v>吴雅薇</v>
          </cell>
          <cell r="F92">
            <v>2300</v>
          </cell>
        </row>
        <row r="93">
          <cell r="A93" t="str">
            <v>2241.02</v>
          </cell>
          <cell r="B93" t="str">
            <v>　　个人</v>
          </cell>
          <cell r="C93" t="str">
            <v>SP006003</v>
          </cell>
          <cell r="D93" t="str">
            <v>袁玉杰</v>
          </cell>
        </row>
        <row r="94">
          <cell r="A94" t="str">
            <v>2241.02</v>
          </cell>
          <cell r="B94" t="str">
            <v>　　个人</v>
          </cell>
          <cell r="C94" t="str">
            <v>SP006004</v>
          </cell>
          <cell r="D94" t="str">
            <v>高焙</v>
          </cell>
        </row>
        <row r="95">
          <cell r="A95" t="str">
            <v>2241.02</v>
          </cell>
          <cell r="B95" t="str">
            <v>　　个人</v>
          </cell>
          <cell r="C95" t="str">
            <v>SP006006</v>
          </cell>
          <cell r="D95" t="str">
            <v>王志强</v>
          </cell>
          <cell r="F95">
            <v>47981.48</v>
          </cell>
        </row>
        <row r="96">
          <cell r="A96" t="str">
            <v>2241.02</v>
          </cell>
          <cell r="B96" t="str">
            <v>　　个人</v>
          </cell>
          <cell r="C96" t="str">
            <v>SP006007</v>
          </cell>
          <cell r="D96" t="str">
            <v>徐彬</v>
          </cell>
        </row>
        <row r="97">
          <cell r="A97" t="str">
            <v>2241.02</v>
          </cell>
          <cell r="B97" t="str">
            <v>　　个人</v>
          </cell>
          <cell r="C97" t="str">
            <v>SP006008</v>
          </cell>
          <cell r="D97" t="str">
            <v>何梅春</v>
          </cell>
        </row>
        <row r="98">
          <cell r="A98" t="str">
            <v>2241.02</v>
          </cell>
          <cell r="B98" t="str">
            <v>　　个人</v>
          </cell>
          <cell r="C98" t="str">
            <v>SP006009</v>
          </cell>
          <cell r="D98" t="str">
            <v>林秋蝶</v>
          </cell>
        </row>
        <row r="99">
          <cell r="A99" t="str">
            <v>2601</v>
          </cell>
          <cell r="B99" t="str">
            <v>租赁负债</v>
          </cell>
        </row>
        <row r="100">
          <cell r="A100" t="str">
            <v>2601.01</v>
          </cell>
          <cell r="B100" t="str">
            <v>　　租赁付款额</v>
          </cell>
        </row>
        <row r="101">
          <cell r="A101" t="str">
            <v>2601.01.02</v>
          </cell>
          <cell r="B101" t="str">
            <v>　　　　办公地址</v>
          </cell>
        </row>
        <row r="102">
          <cell r="A102" t="str">
            <v>2601.01.02.01</v>
          </cell>
          <cell r="B102" t="str">
            <v>　　　　　　旭智咨询--鼎和大厦1606</v>
          </cell>
        </row>
        <row r="103">
          <cell r="A103" t="str">
            <v>2601.02</v>
          </cell>
          <cell r="B103" t="str">
            <v>　　未确认融资费用</v>
          </cell>
        </row>
        <row r="104">
          <cell r="A104" t="str">
            <v>2601.02.02</v>
          </cell>
          <cell r="B104" t="str">
            <v>　　　　办公地址</v>
          </cell>
        </row>
        <row r="105">
          <cell r="A105" t="str">
            <v>2601.02.02.01</v>
          </cell>
          <cell r="B105" t="str">
            <v>　　　　　　旭智咨询--鼎和大厦1606</v>
          </cell>
        </row>
        <row r="106">
          <cell r="A106" t="str">
            <v>2601.03</v>
          </cell>
          <cell r="B106" t="str">
            <v>　　一年内到期的非流动负债</v>
          </cell>
        </row>
        <row r="107">
          <cell r="A107" t="str">
            <v>4001</v>
          </cell>
          <cell r="B107" t="str">
            <v>实收资本（股本）</v>
          </cell>
          <cell r="F107">
            <v>2500000</v>
          </cell>
        </row>
        <row r="108">
          <cell r="A108" t="str">
            <v>4001.10</v>
          </cell>
          <cell r="B108" t="str">
            <v>　　旭智资本有限公司</v>
          </cell>
          <cell r="F108">
            <v>2500000</v>
          </cell>
        </row>
        <row r="109">
          <cell r="A109" t="str">
            <v>4101</v>
          </cell>
          <cell r="B109" t="str">
            <v>盈余公积</v>
          </cell>
          <cell r="F109">
            <v>140513.82</v>
          </cell>
        </row>
        <row r="110">
          <cell r="A110" t="str">
            <v>4101.01</v>
          </cell>
          <cell r="B110" t="str">
            <v>　　法定盈余公积</v>
          </cell>
          <cell r="F110">
            <v>140513.82</v>
          </cell>
        </row>
        <row r="111">
          <cell r="A111" t="str">
            <v>4103</v>
          </cell>
          <cell r="B111" t="str">
            <v>本年利润</v>
          </cell>
          <cell r="F111">
            <v>74273.13</v>
          </cell>
          <cell r="G111">
            <v>249743.44</v>
          </cell>
          <cell r="H111">
            <v>730853.97</v>
          </cell>
        </row>
        <row r="112">
          <cell r="A112" t="str">
            <v>4104</v>
          </cell>
          <cell r="B112" t="str">
            <v>利润分配</v>
          </cell>
          <cell r="F112">
            <v>1264624.46</v>
          </cell>
        </row>
        <row r="113">
          <cell r="A113" t="str">
            <v>4104.07</v>
          </cell>
          <cell r="B113" t="str">
            <v>　　未分配利润</v>
          </cell>
          <cell r="F113">
            <v>1264624.46</v>
          </cell>
        </row>
        <row r="114">
          <cell r="A114" t="str">
            <v>6001</v>
          </cell>
          <cell r="B114" t="str">
            <v>主营业务收入</v>
          </cell>
          <cell r="G114">
            <v>730853.97</v>
          </cell>
          <cell r="H114">
            <v>730853.97</v>
          </cell>
        </row>
        <row r="115">
          <cell r="A115" t="str">
            <v>6001.02</v>
          </cell>
          <cell r="B115" t="str">
            <v>　　咨询服务费收入</v>
          </cell>
          <cell r="G115">
            <v>730853.97</v>
          </cell>
          <cell r="H115">
            <v>730853.97</v>
          </cell>
        </row>
        <row r="116">
          <cell r="A116" t="str">
            <v>6001.02.01</v>
          </cell>
          <cell r="B116" t="str">
            <v>　　　　已开票</v>
          </cell>
        </row>
        <row r="117">
          <cell r="A117" t="str">
            <v>6001.02.01</v>
          </cell>
          <cell r="B117" t="str">
            <v>　　　　已开票</v>
          </cell>
          <cell r="C117" t="str">
            <v>【未录入】</v>
          </cell>
          <cell r="D117" t="str">
            <v>【未录入】</v>
          </cell>
        </row>
        <row r="118">
          <cell r="A118" t="str">
            <v>6001.02.02</v>
          </cell>
          <cell r="B118" t="str">
            <v>　　　　未开票</v>
          </cell>
          <cell r="G118">
            <v>730853.97</v>
          </cell>
          <cell r="H118">
            <v>730853.97</v>
          </cell>
        </row>
        <row r="119">
          <cell r="A119" t="str">
            <v>6001.02.02</v>
          </cell>
          <cell r="B119" t="str">
            <v>　　　　未开票</v>
          </cell>
          <cell r="C119" t="str">
            <v>【未录入】</v>
          </cell>
          <cell r="D119" t="str">
            <v>【未录入】</v>
          </cell>
          <cell r="G119">
            <v>730853.97</v>
          </cell>
          <cell r="H119">
            <v>730853.97</v>
          </cell>
        </row>
        <row r="120">
          <cell r="A120" t="str">
            <v>6115</v>
          </cell>
          <cell r="B120" t="str">
            <v>其他收益</v>
          </cell>
        </row>
        <row r="121">
          <cell r="A121" t="str">
            <v>6115.02</v>
          </cell>
          <cell r="B121" t="str">
            <v>　　个税手续费返还</v>
          </cell>
        </row>
        <row r="122">
          <cell r="A122" t="str">
            <v>6117</v>
          </cell>
          <cell r="B122" t="str">
            <v>资产处置损益</v>
          </cell>
        </row>
        <row r="123">
          <cell r="A123" t="str">
            <v>6405</v>
          </cell>
          <cell r="B123" t="str">
            <v>税金及附加</v>
          </cell>
        </row>
        <row r="124">
          <cell r="A124" t="str">
            <v>6405.02</v>
          </cell>
          <cell r="B124" t="str">
            <v>　　城市维护建设税</v>
          </cell>
        </row>
        <row r="125">
          <cell r="A125" t="str">
            <v>6405.03</v>
          </cell>
          <cell r="B125" t="str">
            <v>　　教育费附加</v>
          </cell>
        </row>
        <row r="126">
          <cell r="A126" t="str">
            <v>6405.04</v>
          </cell>
          <cell r="B126" t="str">
            <v>　　地方教育附加</v>
          </cell>
        </row>
        <row r="127">
          <cell r="A127" t="str">
            <v>6602</v>
          </cell>
          <cell r="B127" t="str">
            <v>管理费用</v>
          </cell>
          <cell r="G127">
            <v>249631.01</v>
          </cell>
          <cell r="H127">
            <v>249631.01</v>
          </cell>
        </row>
        <row r="128">
          <cell r="A128" t="str">
            <v>6602.01</v>
          </cell>
          <cell r="B128" t="str">
            <v>　　工资薪金</v>
          </cell>
          <cell r="G128">
            <v>186100</v>
          </cell>
          <cell r="H128">
            <v>186100</v>
          </cell>
        </row>
        <row r="129">
          <cell r="A129" t="str">
            <v>6602.01.01</v>
          </cell>
          <cell r="B129" t="str">
            <v>　　　　基本工资（专业）</v>
          </cell>
          <cell r="G129">
            <v>177500</v>
          </cell>
          <cell r="H129">
            <v>177500</v>
          </cell>
        </row>
        <row r="130">
          <cell r="A130" t="str">
            <v>6602.01.03</v>
          </cell>
          <cell r="B130" t="str">
            <v>　　　　员工奖金（专业）</v>
          </cell>
        </row>
        <row r="131">
          <cell r="A131" t="str">
            <v>6602.01.06</v>
          </cell>
          <cell r="B131" t="str">
            <v>　　　　劳务报酬</v>
          </cell>
          <cell r="G131">
            <v>8600</v>
          </cell>
          <cell r="H131">
            <v>8600</v>
          </cell>
        </row>
        <row r="132">
          <cell r="A132" t="str">
            <v>6602.02</v>
          </cell>
          <cell r="B132" t="str">
            <v>　　职工福利</v>
          </cell>
        </row>
        <row r="133">
          <cell r="A133" t="str">
            <v>6602.02.02</v>
          </cell>
          <cell r="B133" t="str">
            <v>　　　　团建活动</v>
          </cell>
        </row>
        <row r="134">
          <cell r="A134" t="str">
            <v>6602.02.03</v>
          </cell>
          <cell r="B134" t="str">
            <v>　　　　体检费</v>
          </cell>
        </row>
        <row r="135">
          <cell r="A135" t="str">
            <v>6602.03</v>
          </cell>
          <cell r="B135" t="str">
            <v>　　社保公积金</v>
          </cell>
          <cell r="G135">
            <v>46066.39</v>
          </cell>
          <cell r="H135">
            <v>46066.39</v>
          </cell>
        </row>
        <row r="136">
          <cell r="A136" t="str">
            <v>6602.03.01</v>
          </cell>
          <cell r="B136" t="str">
            <v>　　　　员工社保福利</v>
          </cell>
          <cell r="G136">
            <v>29965.31</v>
          </cell>
          <cell r="H136">
            <v>29965.31</v>
          </cell>
        </row>
        <row r="137">
          <cell r="A137" t="str">
            <v>6602.03.02</v>
          </cell>
          <cell r="B137" t="str">
            <v>　　　　员工公积金福利</v>
          </cell>
          <cell r="G137">
            <v>16101.08</v>
          </cell>
          <cell r="H137">
            <v>16101.08</v>
          </cell>
        </row>
        <row r="138">
          <cell r="A138" t="str">
            <v>6602.04</v>
          </cell>
          <cell r="B138" t="str">
            <v>　　咨询及专业服务费</v>
          </cell>
          <cell r="G138">
            <v>20581.14</v>
          </cell>
          <cell r="H138">
            <v>20581.14</v>
          </cell>
        </row>
        <row r="139">
          <cell r="A139" t="str">
            <v>6602.04.02</v>
          </cell>
          <cell r="B139" t="str">
            <v>　　　　审计服务费</v>
          </cell>
        </row>
        <row r="140">
          <cell r="A140" t="str">
            <v>6602.04.03</v>
          </cell>
          <cell r="B140" t="str">
            <v>　　　　顾问费</v>
          </cell>
        </row>
        <row r="141">
          <cell r="A141" t="str">
            <v>6602.04.03</v>
          </cell>
          <cell r="B141" t="str">
            <v>　　　　顾问费</v>
          </cell>
          <cell r="C141" t="str">
            <v>【未录入】</v>
          </cell>
          <cell r="D141" t="str">
            <v>【未录入】</v>
          </cell>
        </row>
        <row r="142">
          <cell r="A142" t="str">
            <v>6602.04.07</v>
          </cell>
          <cell r="B142" t="str">
            <v>　　　　人力资源服务费</v>
          </cell>
          <cell r="G142">
            <v>3600</v>
          </cell>
          <cell r="H142">
            <v>3600</v>
          </cell>
        </row>
        <row r="143">
          <cell r="A143" t="str">
            <v>6602.04.99</v>
          </cell>
          <cell r="B143" t="str">
            <v>　　　　其他</v>
          </cell>
          <cell r="G143">
            <v>16981.14</v>
          </cell>
          <cell r="H143">
            <v>16981.14</v>
          </cell>
        </row>
        <row r="144">
          <cell r="A144" t="str">
            <v>6602.04.99</v>
          </cell>
          <cell r="B144" t="str">
            <v>　　　　其他</v>
          </cell>
          <cell r="C144" t="str">
            <v>【未录入】</v>
          </cell>
          <cell r="D144" t="str">
            <v>【未录入】</v>
          </cell>
          <cell r="G144">
            <v>16981.14</v>
          </cell>
          <cell r="H144">
            <v>16981.14</v>
          </cell>
        </row>
        <row r="145">
          <cell r="A145" t="str">
            <v>6602.05</v>
          </cell>
          <cell r="B145" t="str">
            <v>　　占用费</v>
          </cell>
          <cell r="G145">
            <v>-42393.58</v>
          </cell>
          <cell r="H145">
            <v>-42393.58</v>
          </cell>
        </row>
        <row r="146">
          <cell r="A146" t="str">
            <v>6602.05.03</v>
          </cell>
          <cell r="B146" t="str">
            <v>　　　　电费</v>
          </cell>
        </row>
        <row r="147">
          <cell r="A147" t="str">
            <v>6602.05.06</v>
          </cell>
          <cell r="B147" t="str">
            <v>　　　　装修费</v>
          </cell>
        </row>
        <row r="148">
          <cell r="A148" t="str">
            <v>6602.05.99</v>
          </cell>
          <cell r="B148" t="str">
            <v>　　　　其他</v>
          </cell>
          <cell r="G148">
            <v>-42393.58</v>
          </cell>
          <cell r="H148">
            <v>-42393.58</v>
          </cell>
        </row>
        <row r="149">
          <cell r="A149" t="str">
            <v>6602.08</v>
          </cell>
          <cell r="B149" t="str">
            <v>　　事务费用</v>
          </cell>
          <cell r="G149">
            <v>905</v>
          </cell>
          <cell r="H149">
            <v>905</v>
          </cell>
        </row>
        <row r="150">
          <cell r="A150" t="str">
            <v>6602.08.01</v>
          </cell>
          <cell r="B150" t="str">
            <v>　　　　通信费</v>
          </cell>
          <cell r="G150">
            <v>399</v>
          </cell>
          <cell r="H150">
            <v>399</v>
          </cell>
        </row>
        <row r="151">
          <cell r="A151" t="str">
            <v>6602.08.01</v>
          </cell>
          <cell r="B151" t="str">
            <v>　　　　通信费</v>
          </cell>
          <cell r="C151" t="str">
            <v>【未录入】</v>
          </cell>
          <cell r="D151" t="str">
            <v>【未录入】</v>
          </cell>
          <cell r="G151">
            <v>399</v>
          </cell>
          <cell r="H151">
            <v>399</v>
          </cell>
        </row>
        <row r="152">
          <cell r="A152" t="str">
            <v>6602.08.03</v>
          </cell>
          <cell r="B152" t="str">
            <v>　　　　办公用品</v>
          </cell>
        </row>
        <row r="153">
          <cell r="A153" t="str">
            <v>6602.08.03</v>
          </cell>
          <cell r="B153" t="str">
            <v>　　　　办公用品</v>
          </cell>
          <cell r="C153" t="str">
            <v>【未录入】</v>
          </cell>
          <cell r="D153" t="str">
            <v>【未录入】</v>
          </cell>
        </row>
        <row r="154">
          <cell r="A154" t="str">
            <v>6602.08.05</v>
          </cell>
          <cell r="B154" t="str">
            <v>　　　　邮费/邮递费</v>
          </cell>
          <cell r="G154">
            <v>506</v>
          </cell>
          <cell r="H154">
            <v>506</v>
          </cell>
        </row>
        <row r="155">
          <cell r="A155" t="str">
            <v>6602.08.05</v>
          </cell>
          <cell r="B155" t="str">
            <v>　　　　邮费/邮递费</v>
          </cell>
          <cell r="C155" t="str">
            <v>【未录入】</v>
          </cell>
          <cell r="D155" t="str">
            <v>【未录入】</v>
          </cell>
          <cell r="G155">
            <v>506</v>
          </cell>
          <cell r="H155">
            <v>506</v>
          </cell>
        </row>
        <row r="156">
          <cell r="A156" t="str">
            <v>6602.08.99</v>
          </cell>
          <cell r="B156" t="str">
            <v>　　　　其他</v>
          </cell>
        </row>
        <row r="157">
          <cell r="A157" t="str">
            <v>6602.08.99</v>
          </cell>
          <cell r="B157" t="str">
            <v>　　　　其他</v>
          </cell>
          <cell r="C157" t="str">
            <v>【未录入】</v>
          </cell>
          <cell r="D157" t="str">
            <v>【未录入】</v>
          </cell>
        </row>
        <row r="158">
          <cell r="A158" t="str">
            <v>6602.09</v>
          </cell>
          <cell r="B158" t="str">
            <v>　　差旅费</v>
          </cell>
          <cell r="G158">
            <v>1155.6600000000001</v>
          </cell>
          <cell r="H158">
            <v>1155.6600000000001</v>
          </cell>
        </row>
        <row r="159">
          <cell r="A159" t="str">
            <v>6602.09.01</v>
          </cell>
          <cell r="B159" t="str">
            <v>　　　　住宿费</v>
          </cell>
          <cell r="G159">
            <v>1155.6600000000001</v>
          </cell>
          <cell r="H159">
            <v>1155.6600000000001</v>
          </cell>
        </row>
        <row r="160">
          <cell r="A160" t="str">
            <v>6602.09.01</v>
          </cell>
          <cell r="B160" t="str">
            <v>　　　　住宿费</v>
          </cell>
          <cell r="C160" t="str">
            <v>【未录入】</v>
          </cell>
          <cell r="D160" t="str">
            <v>【未录入】</v>
          </cell>
          <cell r="G160">
            <v>1155.6600000000001</v>
          </cell>
          <cell r="H160">
            <v>1155.6600000000001</v>
          </cell>
        </row>
        <row r="161">
          <cell r="A161" t="str">
            <v>6602.09.02</v>
          </cell>
          <cell r="B161" t="str">
            <v>　　　　伙食费</v>
          </cell>
        </row>
        <row r="162">
          <cell r="A162" t="str">
            <v>6602.09.02</v>
          </cell>
          <cell r="B162" t="str">
            <v>　　　　伙食费</v>
          </cell>
          <cell r="C162" t="str">
            <v>【未录入】</v>
          </cell>
          <cell r="D162" t="str">
            <v>【未录入】</v>
          </cell>
        </row>
        <row r="163">
          <cell r="A163" t="str">
            <v>6602.09.03</v>
          </cell>
          <cell r="B163" t="str">
            <v>　　　　地面交通费</v>
          </cell>
        </row>
        <row r="164">
          <cell r="A164" t="str">
            <v>6602.09.03</v>
          </cell>
          <cell r="B164" t="str">
            <v>　　　　地面交通费</v>
          </cell>
          <cell r="C164" t="str">
            <v>【未录入】</v>
          </cell>
          <cell r="D164" t="str">
            <v>【未录入】</v>
          </cell>
        </row>
        <row r="165">
          <cell r="A165" t="str">
            <v>6602.09.04</v>
          </cell>
          <cell r="B165" t="str">
            <v>　　　　空中交通费</v>
          </cell>
        </row>
        <row r="166">
          <cell r="A166" t="str">
            <v>6602.09.04</v>
          </cell>
          <cell r="B166" t="str">
            <v>　　　　空中交通费</v>
          </cell>
          <cell r="C166" t="str">
            <v>【未录入】</v>
          </cell>
          <cell r="D166" t="str">
            <v>【未录入】</v>
          </cell>
        </row>
        <row r="167">
          <cell r="A167" t="str">
            <v>6602.10</v>
          </cell>
          <cell r="B167" t="str">
            <v>　　折旧费</v>
          </cell>
          <cell r="G167">
            <v>2197.91</v>
          </cell>
          <cell r="H167">
            <v>2197.91</v>
          </cell>
        </row>
        <row r="168">
          <cell r="A168" t="str">
            <v>6602.10.01</v>
          </cell>
          <cell r="B168" t="str">
            <v>　　　　电子设备</v>
          </cell>
          <cell r="G168">
            <v>1519.82</v>
          </cell>
          <cell r="H168">
            <v>1519.82</v>
          </cell>
        </row>
        <row r="169">
          <cell r="A169" t="str">
            <v>6602.10.04</v>
          </cell>
          <cell r="B169" t="str">
            <v>　　　　家具设备</v>
          </cell>
          <cell r="G169">
            <v>678.09</v>
          </cell>
          <cell r="H169">
            <v>678.09</v>
          </cell>
        </row>
        <row r="170">
          <cell r="A170" t="str">
            <v>6602.11</v>
          </cell>
          <cell r="B170" t="str">
            <v>　　筹建费</v>
          </cell>
          <cell r="G170">
            <v>35018.49</v>
          </cell>
          <cell r="H170">
            <v>35018.49</v>
          </cell>
        </row>
        <row r="171">
          <cell r="A171" t="str">
            <v>6602.11.01</v>
          </cell>
          <cell r="B171" t="str">
            <v>　　　　咨询及专业服务费</v>
          </cell>
        </row>
        <row r="172">
          <cell r="A172" t="str">
            <v>6602.11.01.06</v>
          </cell>
          <cell r="B172" t="str">
            <v>　　　　　　法律服务费</v>
          </cell>
        </row>
        <row r="173">
          <cell r="A173" t="str">
            <v>6602.11.01.06</v>
          </cell>
          <cell r="B173" t="str">
            <v>　　　　　　法律服务费</v>
          </cell>
          <cell r="C173" t="str">
            <v>CI001</v>
          </cell>
          <cell r="D173" t="str">
            <v>旭智基金Ⅱ筹建费</v>
          </cell>
        </row>
        <row r="174">
          <cell r="A174" t="str">
            <v>6602.11.02</v>
          </cell>
          <cell r="B174" t="str">
            <v>　　　　业务招待费</v>
          </cell>
        </row>
        <row r="175">
          <cell r="A175" t="str">
            <v>6602.11.02</v>
          </cell>
          <cell r="B175" t="str">
            <v>　　　　业务招待费</v>
          </cell>
          <cell r="C175" t="str">
            <v>CI001</v>
          </cell>
          <cell r="D175" t="str">
            <v>旭智基金Ⅱ筹建费</v>
          </cell>
        </row>
        <row r="176">
          <cell r="A176" t="str">
            <v>6602.11.02</v>
          </cell>
          <cell r="B176" t="str">
            <v>　　　　业务招待费</v>
          </cell>
          <cell r="C176" t="str">
            <v>CI002</v>
          </cell>
          <cell r="D176" t="str">
            <v>旭智富能</v>
          </cell>
        </row>
        <row r="177">
          <cell r="A177" t="str">
            <v>6602.11.04</v>
          </cell>
          <cell r="B177" t="str">
            <v>　　　　事务费用</v>
          </cell>
        </row>
        <row r="178">
          <cell r="A178" t="str">
            <v>6602.11.04.99</v>
          </cell>
          <cell r="B178" t="str">
            <v>　　　　　　其他</v>
          </cell>
        </row>
        <row r="179">
          <cell r="A179" t="str">
            <v>6602.11.04.99</v>
          </cell>
          <cell r="B179" t="str">
            <v>　　　　　　其他</v>
          </cell>
          <cell r="C179" t="str">
            <v>CI002</v>
          </cell>
          <cell r="D179" t="str">
            <v>旭智富能</v>
          </cell>
        </row>
        <row r="180">
          <cell r="A180" t="str">
            <v>6602.11.05</v>
          </cell>
          <cell r="B180" t="str">
            <v>　　　　差旅费</v>
          </cell>
          <cell r="G180">
            <v>35018.49</v>
          </cell>
          <cell r="H180">
            <v>35018.49</v>
          </cell>
        </row>
        <row r="181">
          <cell r="A181" t="str">
            <v>6602.11.05.01</v>
          </cell>
          <cell r="B181" t="str">
            <v>　　　　　　住宿费</v>
          </cell>
          <cell r="G181">
            <v>17509.84</v>
          </cell>
          <cell r="H181">
            <v>17509.84</v>
          </cell>
        </row>
        <row r="182">
          <cell r="A182" t="str">
            <v>6602.11.05.01</v>
          </cell>
          <cell r="B182" t="str">
            <v>　　　　　　住宿费</v>
          </cell>
          <cell r="C182" t="str">
            <v>CI002</v>
          </cell>
          <cell r="D182" t="str">
            <v>旭智富能</v>
          </cell>
          <cell r="G182">
            <v>14415.5</v>
          </cell>
          <cell r="H182">
            <v>14415.5</v>
          </cell>
        </row>
        <row r="183">
          <cell r="A183" t="str">
            <v>6602.11.05.01</v>
          </cell>
          <cell r="B183" t="str">
            <v>　　　　　　住宿费</v>
          </cell>
          <cell r="C183" t="str">
            <v>CI005</v>
          </cell>
          <cell r="D183" t="str">
            <v>旭智私募</v>
          </cell>
          <cell r="G183">
            <v>3094.34</v>
          </cell>
          <cell r="H183">
            <v>3094.34</v>
          </cell>
        </row>
        <row r="184">
          <cell r="A184" t="str">
            <v>6602.11.05.02</v>
          </cell>
          <cell r="B184" t="str">
            <v>　　　　　　伙食费</v>
          </cell>
        </row>
        <row r="185">
          <cell r="A185" t="str">
            <v>6602.11.05.02</v>
          </cell>
          <cell r="B185" t="str">
            <v>　　　　　　伙食费</v>
          </cell>
          <cell r="C185" t="str">
            <v>CI002</v>
          </cell>
          <cell r="D185" t="str">
            <v>旭智富能</v>
          </cell>
        </row>
        <row r="186">
          <cell r="A186" t="str">
            <v>6602.11.05.03</v>
          </cell>
          <cell r="B186" t="str">
            <v>　　　　　　地面交通费</v>
          </cell>
          <cell r="G186">
            <v>7526.01</v>
          </cell>
          <cell r="H186">
            <v>7526.01</v>
          </cell>
        </row>
        <row r="187">
          <cell r="A187" t="str">
            <v>6602.11.05.03</v>
          </cell>
          <cell r="B187" t="str">
            <v>　　　　　　地面交通费</v>
          </cell>
          <cell r="C187" t="str">
            <v>CI002</v>
          </cell>
          <cell r="D187" t="str">
            <v>旭智富能</v>
          </cell>
          <cell r="G187">
            <v>7526.01</v>
          </cell>
          <cell r="H187">
            <v>7526.01</v>
          </cell>
        </row>
        <row r="188">
          <cell r="A188" t="str">
            <v>6602.11.05.03</v>
          </cell>
          <cell r="B188" t="str">
            <v>　　　　　　地面交通费</v>
          </cell>
          <cell r="C188" t="str">
            <v>CI005</v>
          </cell>
          <cell r="D188" t="str">
            <v>旭智私募</v>
          </cell>
        </row>
        <row r="189">
          <cell r="A189" t="str">
            <v>6602.11.05.04</v>
          </cell>
          <cell r="B189" t="str">
            <v>　　　　　　空中交通费</v>
          </cell>
          <cell r="G189">
            <v>9982.64</v>
          </cell>
          <cell r="H189">
            <v>9982.64</v>
          </cell>
        </row>
        <row r="190">
          <cell r="A190" t="str">
            <v>6602.11.05.04</v>
          </cell>
          <cell r="B190" t="str">
            <v>　　　　　　空中交通费</v>
          </cell>
          <cell r="C190" t="str">
            <v>CI002</v>
          </cell>
          <cell r="D190" t="str">
            <v>旭智富能</v>
          </cell>
          <cell r="G190">
            <v>6718.12</v>
          </cell>
          <cell r="H190">
            <v>6718.12</v>
          </cell>
        </row>
        <row r="191">
          <cell r="A191" t="str">
            <v>6602.11.05.04</v>
          </cell>
          <cell r="B191" t="str">
            <v>　　　　　　空中交通费</v>
          </cell>
          <cell r="C191" t="str">
            <v>CI005</v>
          </cell>
          <cell r="D191" t="str">
            <v>旭智私募</v>
          </cell>
          <cell r="G191">
            <v>3264.52</v>
          </cell>
          <cell r="H191">
            <v>3264.52</v>
          </cell>
        </row>
        <row r="192">
          <cell r="A192" t="str">
            <v>6602.11.05.05</v>
          </cell>
          <cell r="B192" t="str">
            <v>　　　　　　租车</v>
          </cell>
        </row>
        <row r="193">
          <cell r="A193" t="str">
            <v>6602.11.05.05</v>
          </cell>
          <cell r="B193" t="str">
            <v>　　　　　　租车</v>
          </cell>
          <cell r="C193" t="str">
            <v>CI002</v>
          </cell>
          <cell r="D193" t="str">
            <v>旭智富能</v>
          </cell>
        </row>
        <row r="194">
          <cell r="A194" t="str">
            <v>6602.11.05.99</v>
          </cell>
          <cell r="B194" t="str">
            <v>　　　　　　其他</v>
          </cell>
        </row>
        <row r="195">
          <cell r="A195" t="str">
            <v>6602.11.05.99</v>
          </cell>
          <cell r="B195" t="str">
            <v>　　　　　　其他</v>
          </cell>
          <cell r="C195" t="str">
            <v>CI005</v>
          </cell>
          <cell r="D195" t="str">
            <v>旭智私募</v>
          </cell>
        </row>
        <row r="196">
          <cell r="A196" t="str">
            <v>6602.12</v>
          </cell>
          <cell r="B196" t="str">
            <v>　　使用权资产折旧</v>
          </cell>
        </row>
        <row r="197">
          <cell r="A197" t="str">
            <v>6602.12.02</v>
          </cell>
          <cell r="B197" t="str">
            <v>　　　　办公地址</v>
          </cell>
        </row>
        <row r="198">
          <cell r="A198" t="str">
            <v>6602.12.02.01</v>
          </cell>
          <cell r="B198" t="str">
            <v>　　　　　　旭智咨询--鼎和大厦1606</v>
          </cell>
        </row>
        <row r="199">
          <cell r="A199" t="str">
            <v>6602.13</v>
          </cell>
          <cell r="B199" t="str">
            <v>　　物业管理费</v>
          </cell>
        </row>
        <row r="200">
          <cell r="A200" t="str">
            <v>6602.15</v>
          </cell>
          <cell r="B200" t="str">
            <v>　　服务费</v>
          </cell>
        </row>
        <row r="201">
          <cell r="A201" t="str">
            <v>6602.99</v>
          </cell>
          <cell r="B201" t="str">
            <v>　　其他</v>
          </cell>
        </row>
        <row r="202">
          <cell r="A202" t="str">
            <v>6603</v>
          </cell>
          <cell r="B202" t="str">
            <v>财务费用</v>
          </cell>
          <cell r="G202">
            <v>112.43</v>
          </cell>
          <cell r="H202">
            <v>112.43</v>
          </cell>
        </row>
        <row r="203">
          <cell r="A203" t="str">
            <v>6603.01</v>
          </cell>
          <cell r="B203" t="str">
            <v>　　汇兑损益</v>
          </cell>
          <cell r="G203">
            <v>53.03</v>
          </cell>
          <cell r="H203">
            <v>53.03</v>
          </cell>
        </row>
        <row r="204">
          <cell r="A204" t="str">
            <v>6603.02</v>
          </cell>
          <cell r="B204" t="str">
            <v>　　利息费用</v>
          </cell>
        </row>
        <row r="205">
          <cell r="A205" t="str">
            <v>6603.02.02</v>
          </cell>
          <cell r="B205" t="str">
            <v>　　　　办公地址</v>
          </cell>
        </row>
        <row r="206">
          <cell r="A206" t="str">
            <v>6603.02.02.01</v>
          </cell>
          <cell r="B206" t="str">
            <v>　　　　　　旭智咨询--鼎和大厦1606</v>
          </cell>
        </row>
        <row r="207">
          <cell r="A207" t="str">
            <v>6603.03</v>
          </cell>
          <cell r="B207" t="str">
            <v>　　银行手续费</v>
          </cell>
          <cell r="G207">
            <v>59.4</v>
          </cell>
          <cell r="H207">
            <v>59.4</v>
          </cell>
        </row>
        <row r="208">
          <cell r="A208" t="str">
            <v>6603.04</v>
          </cell>
          <cell r="B208" t="str">
            <v>　　利息收入</v>
          </cell>
        </row>
        <row r="209">
          <cell r="A209" t="str">
            <v>6711</v>
          </cell>
          <cell r="B209" t="str">
            <v>营业外支出</v>
          </cell>
        </row>
        <row r="210">
          <cell r="A210" t="str">
            <v>6711.02</v>
          </cell>
          <cell r="B210" t="str">
            <v>　　非流动资产处置损失</v>
          </cell>
        </row>
        <row r="211">
          <cell r="A211" t="str">
            <v>6801</v>
          </cell>
          <cell r="B211" t="str">
            <v>所得税费用</v>
          </cell>
        </row>
        <row r="212">
          <cell r="A212" t="str">
            <v>6801.01</v>
          </cell>
          <cell r="B212" t="str">
            <v>　　当期所得税费用</v>
          </cell>
        </row>
        <row r="213">
          <cell r="B213" t="str">
            <v>合计</v>
          </cell>
          <cell r="E213">
            <v>7097605.21</v>
          </cell>
          <cell r="F213">
            <v>7097605.21</v>
          </cell>
          <cell r="G213">
            <v>2643059.17</v>
          </cell>
          <cell r="H213">
            <v>2575359.08</v>
          </cell>
        </row>
      </sheetData>
      <sheetData sheetId="4">
        <row r="1">
          <cell r="A1" t="str">
            <v>币别:人民币</v>
          </cell>
          <cell r="B1" t="str">
            <v>账簿:旭智咨询管理（深圳）有限责任公司</v>
          </cell>
          <cell r="C1" t="str">
            <v>期间:2025.5 -- 2025.5</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1970267.98</v>
          </cell>
          <cell r="G4">
            <v>1611066.24</v>
          </cell>
          <cell r="H4">
            <v>952151</v>
          </cell>
        </row>
        <row r="5">
          <cell r="A5" t="str">
            <v>1002.21</v>
          </cell>
          <cell r="B5" t="str">
            <v>　　【旭智咨询】银行存款账户</v>
          </cell>
          <cell r="E5">
            <v>1932546.06</v>
          </cell>
          <cell r="G5">
            <v>1536066.24</v>
          </cell>
          <cell r="H5">
            <v>878213.51</v>
          </cell>
        </row>
        <row r="6">
          <cell r="A6" t="str">
            <v>1002.21.01</v>
          </cell>
          <cell r="B6" t="str">
            <v>　　　　招商银行账户</v>
          </cell>
          <cell r="E6">
            <v>1932546.06</v>
          </cell>
          <cell r="G6">
            <v>1536066.24</v>
          </cell>
          <cell r="H6">
            <v>878213.51</v>
          </cell>
        </row>
        <row r="7">
          <cell r="A7" t="str">
            <v>1002.21.01.01</v>
          </cell>
          <cell r="B7" t="str">
            <v>　　　　　　【旭智咨询】招商 人民币基本户 0108</v>
          </cell>
          <cell r="E7">
            <v>914965.57</v>
          </cell>
          <cell r="G7">
            <v>1536066.24</v>
          </cell>
          <cell r="H7">
            <v>878213.51</v>
          </cell>
        </row>
        <row r="8">
          <cell r="A8" t="str">
            <v>1002.21.01.02</v>
          </cell>
          <cell r="B8" t="str">
            <v>　　　　　　【旭智咨询】招商 人民币资本金账户 0202</v>
          </cell>
          <cell r="E8">
            <v>1017580.49</v>
          </cell>
        </row>
        <row r="9">
          <cell r="A9" t="str">
            <v>1002.22</v>
          </cell>
          <cell r="B9" t="str">
            <v>　　【旭智咨询北京】银行存款账户</v>
          </cell>
          <cell r="E9">
            <v>37721.919999999998</v>
          </cell>
          <cell r="G9">
            <v>75000</v>
          </cell>
          <cell r="H9">
            <v>73937.490000000005</v>
          </cell>
        </row>
        <row r="10">
          <cell r="A10" t="str">
            <v>1002.22.01</v>
          </cell>
          <cell r="B10" t="str">
            <v>　　　　招商银行账户</v>
          </cell>
          <cell r="E10">
            <v>37721.919999999998</v>
          </cell>
          <cell r="G10">
            <v>75000</v>
          </cell>
          <cell r="H10">
            <v>73937.490000000005</v>
          </cell>
        </row>
        <row r="11">
          <cell r="A11" t="str">
            <v>1002.22.01.01</v>
          </cell>
          <cell r="B11" t="str">
            <v>　　　　　　【旭智咨询北京】人民币基本户 0001</v>
          </cell>
          <cell r="E11">
            <v>37721.919999999998</v>
          </cell>
          <cell r="G11">
            <v>75000</v>
          </cell>
          <cell r="H11">
            <v>73937.490000000005</v>
          </cell>
        </row>
        <row r="12">
          <cell r="A12" t="str">
            <v>1122</v>
          </cell>
          <cell r="B12" t="str">
            <v>应收账款</v>
          </cell>
          <cell r="E12">
            <v>997939.91</v>
          </cell>
          <cell r="G12">
            <v>761361.03</v>
          </cell>
          <cell r="H12">
            <v>1536066.24</v>
          </cell>
        </row>
        <row r="13">
          <cell r="A13" t="str">
            <v>1122.01</v>
          </cell>
          <cell r="B13" t="str">
            <v>　　咨询费收入</v>
          </cell>
          <cell r="E13">
            <v>997939.91</v>
          </cell>
          <cell r="G13">
            <v>761361.03</v>
          </cell>
          <cell r="H13">
            <v>1536066.24</v>
          </cell>
        </row>
        <row r="14">
          <cell r="A14" t="str">
            <v>1122.01</v>
          </cell>
          <cell r="B14" t="str">
            <v>　　咨询费收入</v>
          </cell>
          <cell r="C14" t="str">
            <v>CU003010</v>
          </cell>
          <cell r="D14" t="str">
            <v>旭智富能新能源（深圳）有限责任公司</v>
          </cell>
          <cell r="E14">
            <v>223234.7</v>
          </cell>
        </row>
        <row r="15">
          <cell r="A15" t="str">
            <v>1122.01</v>
          </cell>
          <cell r="B15" t="str">
            <v>　　咨询费收入</v>
          </cell>
          <cell r="C15" t="str">
            <v>CU006001</v>
          </cell>
          <cell r="D15" t="str">
            <v>胜科辉飏新能源（深圳）有限公司</v>
          </cell>
          <cell r="E15">
            <v>774705.21</v>
          </cell>
          <cell r="G15">
            <v>761361.03</v>
          </cell>
          <cell r="H15">
            <v>1536066.24</v>
          </cell>
        </row>
        <row r="16">
          <cell r="A16" t="str">
            <v>1123</v>
          </cell>
          <cell r="B16" t="str">
            <v>预付账款</v>
          </cell>
          <cell r="E16">
            <v>30818.39</v>
          </cell>
          <cell r="G16">
            <v>20287.32</v>
          </cell>
        </row>
        <row r="17">
          <cell r="A17" t="str">
            <v>1123.01</v>
          </cell>
          <cell r="B17" t="str">
            <v>　　单位</v>
          </cell>
          <cell r="E17">
            <v>30818.39</v>
          </cell>
          <cell r="G17">
            <v>20287.32</v>
          </cell>
        </row>
        <row r="18">
          <cell r="A18" t="str">
            <v>1123.01</v>
          </cell>
          <cell r="B18" t="str">
            <v>　　单位</v>
          </cell>
          <cell r="C18" t="str">
            <v>SU006011</v>
          </cell>
          <cell r="D18" t="str">
            <v>广州晶东贸易有限公司</v>
          </cell>
        </row>
        <row r="19">
          <cell r="A19" t="str">
            <v>1123.01</v>
          </cell>
          <cell r="B19" t="str">
            <v>　　单位</v>
          </cell>
          <cell r="C19" t="str">
            <v>SU006012</v>
          </cell>
          <cell r="D19" t="str">
            <v>上海携程宏睿国际旅行社有限公司</v>
          </cell>
          <cell r="E19">
            <v>21384.43</v>
          </cell>
          <cell r="G19">
            <v>476</v>
          </cell>
        </row>
        <row r="20">
          <cell r="A20" t="str">
            <v>1123.01</v>
          </cell>
          <cell r="B20" t="str">
            <v>　　单位</v>
          </cell>
          <cell r="C20" t="str">
            <v>SU006015</v>
          </cell>
          <cell r="D20" t="str">
            <v>成都协企兴企业管理咨询服务有限公司</v>
          </cell>
        </row>
        <row r="21">
          <cell r="A21" t="str">
            <v>1123.01</v>
          </cell>
          <cell r="B21" t="str">
            <v>　　单位</v>
          </cell>
          <cell r="C21" t="str">
            <v>SU006016</v>
          </cell>
          <cell r="D21" t="str">
            <v>爱奇创新投资研究（深圳）有限公司</v>
          </cell>
          <cell r="G21">
            <v>19811.32</v>
          </cell>
        </row>
        <row r="22">
          <cell r="A22" t="str">
            <v>1123.01</v>
          </cell>
          <cell r="B22" t="str">
            <v>　　单位</v>
          </cell>
          <cell r="C22" t="str">
            <v>SU006031</v>
          </cell>
          <cell r="D22" t="str">
            <v>深圳市金纳维科技有限公司</v>
          </cell>
          <cell r="E22">
            <v>9433.9599999999991</v>
          </cell>
        </row>
        <row r="23">
          <cell r="A23" t="str">
            <v>1221</v>
          </cell>
          <cell r="B23" t="str">
            <v>其他应收款</v>
          </cell>
          <cell r="E23">
            <v>16980</v>
          </cell>
          <cell r="G23">
            <v>8589.34</v>
          </cell>
        </row>
        <row r="24">
          <cell r="A24" t="str">
            <v>1221.01</v>
          </cell>
          <cell r="B24" t="str">
            <v>　　单位</v>
          </cell>
          <cell r="E24">
            <v>16980</v>
          </cell>
          <cell r="G24">
            <v>8589.34</v>
          </cell>
        </row>
        <row r="25">
          <cell r="A25" t="str">
            <v>1221.01</v>
          </cell>
          <cell r="B25" t="str">
            <v>　　单位</v>
          </cell>
          <cell r="C25" t="str">
            <v>CU003010</v>
          </cell>
          <cell r="D25" t="str">
            <v>旭智富能新能源（深圳）有限责任公司</v>
          </cell>
          <cell r="E25">
            <v>4800</v>
          </cell>
        </row>
        <row r="26">
          <cell r="A26" t="str">
            <v>1221.01</v>
          </cell>
          <cell r="B26" t="str">
            <v>　　单位</v>
          </cell>
          <cell r="C26" t="str">
            <v>CU006006</v>
          </cell>
          <cell r="D26" t="str">
            <v>爱奇创新投资研究（深圳）有限公司</v>
          </cell>
          <cell r="E26">
            <v>10000</v>
          </cell>
        </row>
        <row r="27">
          <cell r="A27" t="str">
            <v>1221.01</v>
          </cell>
          <cell r="B27" t="str">
            <v>　　单位</v>
          </cell>
          <cell r="C27" t="str">
            <v>CU006007</v>
          </cell>
          <cell r="D27" t="str">
            <v>深圳旭智私募股权基金管理有限公司</v>
          </cell>
        </row>
        <row r="28">
          <cell r="A28" t="str">
            <v>1221.01</v>
          </cell>
          <cell r="B28" t="str">
            <v>　　单位</v>
          </cell>
          <cell r="C28" t="str">
            <v>CU006008</v>
          </cell>
          <cell r="D28" t="str">
            <v>旭智富联（鹤壁）新能源有限责任公司</v>
          </cell>
          <cell r="E28">
            <v>2180</v>
          </cell>
        </row>
        <row r="29">
          <cell r="A29" t="str">
            <v>1221.01</v>
          </cell>
          <cell r="B29" t="str">
            <v>　　单位</v>
          </cell>
          <cell r="C29" t="str">
            <v>CU006009</v>
          </cell>
          <cell r="D29" t="str">
            <v>旭智兴邦（潍坊）农业高新科技有限公司</v>
          </cell>
          <cell r="G29">
            <v>3250</v>
          </cell>
        </row>
        <row r="30">
          <cell r="A30" t="str">
            <v>1221.01</v>
          </cell>
          <cell r="B30" t="str">
            <v>　　单位</v>
          </cell>
          <cell r="C30" t="str">
            <v>CU010001</v>
          </cell>
          <cell r="D30" t="str">
            <v>郴州市苏仙区景叶新能源有限责任公司</v>
          </cell>
          <cell r="G30">
            <v>5339.34</v>
          </cell>
        </row>
        <row r="31">
          <cell r="A31" t="str">
            <v>1511</v>
          </cell>
          <cell r="B31" t="str">
            <v>长期股权投资</v>
          </cell>
          <cell r="E31">
            <v>4356000</v>
          </cell>
        </row>
        <row r="32">
          <cell r="A32" t="str">
            <v>1511.01</v>
          </cell>
          <cell r="B32" t="str">
            <v>　　投资成本</v>
          </cell>
          <cell r="E32">
            <v>4356000</v>
          </cell>
        </row>
        <row r="33">
          <cell r="A33" t="str">
            <v>1511.01.01</v>
          </cell>
          <cell r="B33" t="str">
            <v>　　　　宜兴旭智投资咨询合伙企业（有限合伙）</v>
          </cell>
          <cell r="E33">
            <v>4356000</v>
          </cell>
        </row>
        <row r="34">
          <cell r="A34" t="str">
            <v>1601</v>
          </cell>
          <cell r="B34" t="str">
            <v>固定资产</v>
          </cell>
          <cell r="E34">
            <v>100425.04</v>
          </cell>
          <cell r="G34">
            <v>13998</v>
          </cell>
        </row>
        <row r="35">
          <cell r="A35" t="str">
            <v>1601.01</v>
          </cell>
          <cell r="B35" t="str">
            <v>　　电子设备</v>
          </cell>
          <cell r="E35">
            <v>57593</v>
          </cell>
          <cell r="G35">
            <v>13998</v>
          </cell>
        </row>
        <row r="36">
          <cell r="A36" t="str">
            <v>1601.04</v>
          </cell>
          <cell r="B36" t="str">
            <v>　　家具设备</v>
          </cell>
          <cell r="E36">
            <v>42832.04</v>
          </cell>
        </row>
        <row r="37">
          <cell r="A37" t="str">
            <v>1602</v>
          </cell>
          <cell r="B37" t="str">
            <v>累计折旧</v>
          </cell>
          <cell r="F37">
            <v>29375.09</v>
          </cell>
          <cell r="H37">
            <v>2197.91</v>
          </cell>
        </row>
        <row r="38">
          <cell r="A38" t="str">
            <v>1602.01</v>
          </cell>
          <cell r="B38" t="str">
            <v>　　电子设备</v>
          </cell>
          <cell r="F38">
            <v>8773.2199999999993</v>
          </cell>
          <cell r="H38">
            <v>678.09</v>
          </cell>
        </row>
        <row r="39">
          <cell r="A39" t="str">
            <v>1602.04</v>
          </cell>
          <cell r="B39" t="str">
            <v>　　家具设备</v>
          </cell>
          <cell r="F39">
            <v>20601.87</v>
          </cell>
          <cell r="H39">
            <v>1519.82</v>
          </cell>
        </row>
        <row r="40">
          <cell r="A40" t="str">
            <v>1606</v>
          </cell>
          <cell r="B40" t="str">
            <v>固定资产清理</v>
          </cell>
        </row>
        <row r="41">
          <cell r="A41" t="str">
            <v>1606.04</v>
          </cell>
          <cell r="B41" t="str">
            <v>　　家具设备</v>
          </cell>
        </row>
        <row r="42">
          <cell r="A42" t="str">
            <v>1641</v>
          </cell>
          <cell r="B42" t="str">
            <v>使用权资产</v>
          </cell>
        </row>
        <row r="43">
          <cell r="A43" t="str">
            <v>1641.01</v>
          </cell>
          <cell r="B43" t="str">
            <v>　　打印机租赁</v>
          </cell>
        </row>
        <row r="44">
          <cell r="A44" t="str">
            <v>1641.02</v>
          </cell>
          <cell r="B44" t="str">
            <v>　　办公地址</v>
          </cell>
        </row>
        <row r="45">
          <cell r="A45" t="str">
            <v>1641.02.01</v>
          </cell>
          <cell r="B45" t="str">
            <v>　　　　旭智咨询--鼎和大厦1606</v>
          </cell>
        </row>
        <row r="46">
          <cell r="A46" t="str">
            <v>1642</v>
          </cell>
          <cell r="B46" t="str">
            <v>使用权资产累计折旧</v>
          </cell>
        </row>
        <row r="47">
          <cell r="A47" t="str">
            <v>1642.01</v>
          </cell>
          <cell r="B47" t="str">
            <v>　　打印机租赁</v>
          </cell>
        </row>
        <row r="48">
          <cell r="A48" t="str">
            <v>1642.02</v>
          </cell>
          <cell r="B48" t="str">
            <v>　　办公地址</v>
          </cell>
        </row>
        <row r="49">
          <cell r="A49" t="str">
            <v>1642.02.01</v>
          </cell>
          <cell r="B49" t="str">
            <v>　　　　旭智咨询--鼎和大厦1606</v>
          </cell>
        </row>
        <row r="50">
          <cell r="A50" t="str">
            <v>1801</v>
          </cell>
          <cell r="B50" t="str">
            <v>长期待摊费用</v>
          </cell>
        </row>
        <row r="51">
          <cell r="A51" t="str">
            <v>1801.01</v>
          </cell>
          <cell r="B51" t="str">
            <v>　　装修费</v>
          </cell>
        </row>
        <row r="52">
          <cell r="A52" t="str">
            <v>2203</v>
          </cell>
          <cell r="B52" t="str">
            <v>预收账款</v>
          </cell>
        </row>
        <row r="53">
          <cell r="A53" t="str">
            <v>2203.01</v>
          </cell>
          <cell r="B53" t="str">
            <v>　　单位</v>
          </cell>
        </row>
        <row r="54">
          <cell r="A54" t="str">
            <v>2203.01</v>
          </cell>
          <cell r="B54" t="str">
            <v>　　单位</v>
          </cell>
          <cell r="C54" t="str">
            <v>CU006001</v>
          </cell>
          <cell r="D54" t="str">
            <v>胜科辉飏新能源（深圳）有限公司</v>
          </cell>
        </row>
        <row r="55">
          <cell r="A55" t="str">
            <v>2211</v>
          </cell>
          <cell r="B55" t="str">
            <v>应付职工薪酬</v>
          </cell>
          <cell r="F55">
            <v>154721.28</v>
          </cell>
          <cell r="G55">
            <v>308203.14</v>
          </cell>
          <cell r="H55">
            <v>308203.14</v>
          </cell>
        </row>
        <row r="56">
          <cell r="A56" t="str">
            <v>2211.01</v>
          </cell>
          <cell r="B56" t="str">
            <v>　　职工工资</v>
          </cell>
          <cell r="G56">
            <v>202527.79</v>
          </cell>
          <cell r="H56">
            <v>202527.79</v>
          </cell>
        </row>
        <row r="57">
          <cell r="A57" t="str">
            <v>2211.02</v>
          </cell>
          <cell r="B57" t="str">
            <v>　　职工奖金</v>
          </cell>
          <cell r="F57">
            <v>133125</v>
          </cell>
        </row>
        <row r="58">
          <cell r="A58" t="str">
            <v>2211.03</v>
          </cell>
          <cell r="B58" t="str">
            <v>　　劳务报酬</v>
          </cell>
          <cell r="G58">
            <v>6120</v>
          </cell>
          <cell r="H58">
            <v>6120</v>
          </cell>
        </row>
        <row r="59">
          <cell r="A59" t="str">
            <v>2211.05</v>
          </cell>
          <cell r="B59" t="str">
            <v>　　社会保险费</v>
          </cell>
          <cell r="F59">
            <v>13128.28</v>
          </cell>
          <cell r="G59">
            <v>50635.03</v>
          </cell>
          <cell r="H59">
            <v>50635.03</v>
          </cell>
        </row>
        <row r="60">
          <cell r="A60" t="str">
            <v>2211.06</v>
          </cell>
          <cell r="B60" t="str">
            <v>　　住房公积金</v>
          </cell>
          <cell r="F60">
            <v>8468</v>
          </cell>
          <cell r="G60">
            <v>48920.32</v>
          </cell>
          <cell r="H60">
            <v>48920.32</v>
          </cell>
        </row>
        <row r="61">
          <cell r="A61" t="str">
            <v>2221</v>
          </cell>
          <cell r="B61" t="str">
            <v>应交税费</v>
          </cell>
          <cell r="F61">
            <v>84034.98</v>
          </cell>
          <cell r="G61">
            <v>326094.90000000002</v>
          </cell>
          <cell r="H61">
            <v>325641.07</v>
          </cell>
        </row>
        <row r="62">
          <cell r="A62" t="str">
            <v>2221.01</v>
          </cell>
          <cell r="B62" t="str">
            <v>　　应交增值税</v>
          </cell>
          <cell r="G62">
            <v>173894.28</v>
          </cell>
          <cell r="H62">
            <v>173894.28</v>
          </cell>
        </row>
        <row r="63">
          <cell r="A63" t="str">
            <v>2221.01.01</v>
          </cell>
          <cell r="B63" t="str">
            <v>　　　　销项税额</v>
          </cell>
          <cell r="G63">
            <v>86947.14</v>
          </cell>
          <cell r="H63">
            <v>86947.14</v>
          </cell>
        </row>
        <row r="64">
          <cell r="A64" t="str">
            <v>2221.01.03</v>
          </cell>
          <cell r="B64" t="str">
            <v>　　　　进项税额</v>
          </cell>
          <cell r="G64">
            <v>35364.410000000003</v>
          </cell>
          <cell r="H64">
            <v>35364.410000000003</v>
          </cell>
        </row>
        <row r="65">
          <cell r="A65" t="str">
            <v>2221.01.06</v>
          </cell>
          <cell r="B65" t="str">
            <v>　　　　转出未交增值税</v>
          </cell>
          <cell r="G65">
            <v>51582.73</v>
          </cell>
          <cell r="H65">
            <v>51582.73</v>
          </cell>
        </row>
        <row r="66">
          <cell r="A66" t="str">
            <v>2221.03</v>
          </cell>
          <cell r="B66" t="str">
            <v>　　暂估进项税额</v>
          </cell>
          <cell r="E66">
            <v>2690.03</v>
          </cell>
          <cell r="G66">
            <v>674.54</v>
          </cell>
          <cell r="H66">
            <v>2651.1</v>
          </cell>
        </row>
        <row r="67">
          <cell r="A67" t="str">
            <v>2221.04</v>
          </cell>
          <cell r="B67" t="str">
            <v>　　未交增值税</v>
          </cell>
          <cell r="H67">
            <v>51582.73</v>
          </cell>
        </row>
        <row r="68">
          <cell r="A68" t="str">
            <v>2221.06</v>
          </cell>
          <cell r="B68" t="str">
            <v>　　待认证进项税额</v>
          </cell>
          <cell r="E68">
            <v>595.85</v>
          </cell>
          <cell r="G68">
            <v>34768.559999999998</v>
          </cell>
          <cell r="H68">
            <v>35364.410000000003</v>
          </cell>
        </row>
        <row r="69">
          <cell r="A69" t="str">
            <v>2221.08</v>
          </cell>
          <cell r="B69" t="str">
            <v>　　待转销项税额</v>
          </cell>
          <cell r="F69">
            <v>56487.17</v>
          </cell>
          <cell r="G69">
            <v>86947.14</v>
          </cell>
          <cell r="H69">
            <v>43095.9</v>
          </cell>
        </row>
        <row r="70">
          <cell r="A70" t="str">
            <v>2221.12</v>
          </cell>
          <cell r="B70" t="str">
            <v>　　应交城市维护建设税</v>
          </cell>
          <cell r="H70">
            <v>1805.39</v>
          </cell>
        </row>
        <row r="71">
          <cell r="A71" t="str">
            <v>2221.13</v>
          </cell>
          <cell r="B71" t="str">
            <v>　　应交教育费附加</v>
          </cell>
          <cell r="H71">
            <v>773.74</v>
          </cell>
        </row>
        <row r="72">
          <cell r="A72" t="str">
            <v>2221.14</v>
          </cell>
          <cell r="B72" t="str">
            <v>　　应交地方教育附加</v>
          </cell>
          <cell r="H72">
            <v>515.82000000000005</v>
          </cell>
        </row>
        <row r="73">
          <cell r="A73" t="str">
            <v>2221.15</v>
          </cell>
          <cell r="B73" t="str">
            <v>　　应交企业所得税</v>
          </cell>
          <cell r="F73">
            <v>17128.62</v>
          </cell>
          <cell r="G73">
            <v>19128.62</v>
          </cell>
          <cell r="H73">
            <v>2000</v>
          </cell>
        </row>
        <row r="74">
          <cell r="A74" t="str">
            <v>2221.16</v>
          </cell>
          <cell r="B74" t="str">
            <v>　　应交个人所得税</v>
          </cell>
          <cell r="F74">
            <v>13705.07</v>
          </cell>
          <cell r="G74">
            <v>10681.76</v>
          </cell>
          <cell r="H74">
            <v>13957.7</v>
          </cell>
        </row>
        <row r="75">
          <cell r="A75" t="str">
            <v>2241</v>
          </cell>
          <cell r="B75" t="str">
            <v>其他应付款</v>
          </cell>
          <cell r="F75">
            <v>2676077.94</v>
          </cell>
          <cell r="G75">
            <v>594366.56999999995</v>
          </cell>
          <cell r="H75">
            <v>118904.95</v>
          </cell>
        </row>
        <row r="76">
          <cell r="A76" t="str">
            <v>2241.01</v>
          </cell>
          <cell r="B76" t="str">
            <v>　　单位</v>
          </cell>
          <cell r="F76">
            <v>2625796.46</v>
          </cell>
          <cell r="G76">
            <v>481879.02</v>
          </cell>
          <cell r="H76">
            <v>56698.879999999997</v>
          </cell>
        </row>
        <row r="77">
          <cell r="A77" t="str">
            <v>2241.01</v>
          </cell>
          <cell r="B77" t="str">
            <v>　　单位</v>
          </cell>
          <cell r="C77" t="str">
            <v>SU005004</v>
          </cell>
          <cell r="D77" t="str">
            <v>上海爱文人才服务有限公司</v>
          </cell>
          <cell r="G77">
            <v>81859.070000000007</v>
          </cell>
          <cell r="H77">
            <v>81859.070000000007</v>
          </cell>
        </row>
        <row r="78">
          <cell r="A78" t="str">
            <v>2241.01</v>
          </cell>
          <cell r="B78" t="str">
            <v>　　单位</v>
          </cell>
          <cell r="C78" t="str">
            <v>SU005007</v>
          </cell>
          <cell r="D78" t="str">
            <v>普华永道中天会计师事务所（特殊普通合伙）</v>
          </cell>
          <cell r="F78">
            <v>69051.17</v>
          </cell>
          <cell r="G78">
            <v>59576.95</v>
          </cell>
          <cell r="H78">
            <v>4576.95</v>
          </cell>
        </row>
        <row r="79">
          <cell r="A79" t="str">
            <v>2241.01</v>
          </cell>
          <cell r="B79" t="str">
            <v>　　单位</v>
          </cell>
          <cell r="C79" t="str">
            <v>SU005026</v>
          </cell>
          <cell r="D79" t="str">
            <v>中国电信股份有限公司</v>
          </cell>
          <cell r="G79">
            <v>399</v>
          </cell>
          <cell r="H79">
            <v>399</v>
          </cell>
        </row>
        <row r="80">
          <cell r="A80" t="str">
            <v>2241.01</v>
          </cell>
          <cell r="B80" t="str">
            <v>　　单位</v>
          </cell>
          <cell r="C80" t="str">
            <v>SU005037</v>
          </cell>
          <cell r="D80" t="str">
            <v>深圳点石新能源投资有限责任公司</v>
          </cell>
        </row>
        <row r="81">
          <cell r="A81" t="str">
            <v>2241.01</v>
          </cell>
          <cell r="B81" t="str">
            <v>　　单位</v>
          </cell>
          <cell r="C81" t="str">
            <v>SU005043</v>
          </cell>
          <cell r="D81" t="str">
            <v>旭智资本有限公司</v>
          </cell>
        </row>
        <row r="82">
          <cell r="A82" t="str">
            <v>2241.01</v>
          </cell>
          <cell r="B82" t="str">
            <v>　　单位</v>
          </cell>
          <cell r="C82" t="str">
            <v>SU006006</v>
          </cell>
          <cell r="D82" t="str">
            <v>深圳市新趋势科技有限公司</v>
          </cell>
        </row>
        <row r="83">
          <cell r="A83" t="str">
            <v>2241.01</v>
          </cell>
          <cell r="B83" t="str">
            <v>　　单位</v>
          </cell>
          <cell r="C83" t="str">
            <v>SU006012</v>
          </cell>
          <cell r="D83" t="str">
            <v>上海携程宏睿国际旅行社有限公司</v>
          </cell>
          <cell r="F83">
            <v>10325</v>
          </cell>
          <cell r="H83">
            <v>16801</v>
          </cell>
        </row>
        <row r="84">
          <cell r="A84" t="str">
            <v>2241.01</v>
          </cell>
          <cell r="B84" t="str">
            <v>　　单位</v>
          </cell>
          <cell r="C84" t="str">
            <v>SU006016</v>
          </cell>
          <cell r="D84" t="str">
            <v>爱奇创新投资研究（深圳）有限公司</v>
          </cell>
          <cell r="F84">
            <v>16981.14</v>
          </cell>
          <cell r="G84">
            <v>59000</v>
          </cell>
          <cell r="H84">
            <v>42018.86</v>
          </cell>
        </row>
        <row r="85">
          <cell r="A85" t="str">
            <v>2241.01</v>
          </cell>
          <cell r="B85" t="str">
            <v>　　单位</v>
          </cell>
          <cell r="C85" t="str">
            <v>SU006018</v>
          </cell>
          <cell r="D85" t="str">
            <v>深圳辉飏新能源投资咨询有限责任公司</v>
          </cell>
        </row>
        <row r="86">
          <cell r="A86" t="str">
            <v>2241.01</v>
          </cell>
          <cell r="B86" t="str">
            <v>　　单位</v>
          </cell>
          <cell r="C86" t="str">
            <v>SU006021</v>
          </cell>
          <cell r="D86" t="str">
            <v>北京市汉坤律师事务所</v>
          </cell>
          <cell r="F86">
            <v>40000</v>
          </cell>
        </row>
        <row r="87">
          <cell r="A87" t="str">
            <v>2241.01</v>
          </cell>
          <cell r="B87" t="str">
            <v>　　单位</v>
          </cell>
          <cell r="C87" t="str">
            <v>SU006023</v>
          </cell>
          <cell r="D87" t="str">
            <v>顺丰速运有限公司</v>
          </cell>
          <cell r="G87">
            <v>1044</v>
          </cell>
          <cell r="H87">
            <v>1044</v>
          </cell>
        </row>
        <row r="88">
          <cell r="A88" t="str">
            <v>2241.01</v>
          </cell>
          <cell r="B88" t="str">
            <v>　　单位</v>
          </cell>
          <cell r="C88" t="str">
            <v>SU006026</v>
          </cell>
          <cell r="D88" t="str">
            <v>和谐汇股权投资管理（北京）有限公司</v>
          </cell>
          <cell r="F88">
            <v>630000</v>
          </cell>
          <cell r="H88">
            <v>-280000</v>
          </cell>
        </row>
        <row r="89">
          <cell r="A89" t="str">
            <v>2241.01</v>
          </cell>
          <cell r="B89" t="str">
            <v>　　单位</v>
          </cell>
          <cell r="C89" t="str">
            <v>SU006027</v>
          </cell>
          <cell r="D89" t="str">
            <v>南德认证检测（中国）有限公司</v>
          </cell>
        </row>
        <row r="90">
          <cell r="A90" t="str">
            <v>2241.01</v>
          </cell>
          <cell r="B90" t="str">
            <v>　　单位</v>
          </cell>
          <cell r="C90" t="str">
            <v>SU006029</v>
          </cell>
          <cell r="D90" t="str">
            <v>宁波梅山保税港区爱奇观恒投资管理有限公司</v>
          </cell>
          <cell r="F90">
            <v>350000</v>
          </cell>
          <cell r="G90">
            <v>280000</v>
          </cell>
          <cell r="H90">
            <v>-70000</v>
          </cell>
        </row>
        <row r="91">
          <cell r="A91" t="str">
            <v>2241.01</v>
          </cell>
          <cell r="B91" t="str">
            <v>　　单位</v>
          </cell>
          <cell r="C91" t="str">
            <v>SU006032</v>
          </cell>
          <cell r="D91" t="str">
            <v>广州旭智投资控股有限责任公司</v>
          </cell>
          <cell r="F91">
            <v>1509439.15</v>
          </cell>
        </row>
        <row r="92">
          <cell r="A92" t="str">
            <v>2241.01</v>
          </cell>
          <cell r="B92" t="str">
            <v>　　单位</v>
          </cell>
          <cell r="C92" t="str">
            <v>SU006033</v>
          </cell>
          <cell r="D92" t="str">
            <v>上海硕昉管理咨询有限公司</v>
          </cell>
          <cell r="H92">
            <v>260000</v>
          </cell>
        </row>
        <row r="93">
          <cell r="A93" t="str">
            <v>2241.02</v>
          </cell>
          <cell r="B93" t="str">
            <v>　　个人</v>
          </cell>
          <cell r="F93">
            <v>50281.48</v>
          </cell>
          <cell r="G93">
            <v>112487.55</v>
          </cell>
          <cell r="H93">
            <v>62206.07</v>
          </cell>
        </row>
        <row r="94">
          <cell r="A94" t="str">
            <v>2241.02</v>
          </cell>
          <cell r="B94" t="str">
            <v>　　个人</v>
          </cell>
          <cell r="C94" t="str">
            <v>SP005001</v>
          </cell>
          <cell r="D94" t="str">
            <v>冯冠邦</v>
          </cell>
        </row>
        <row r="95">
          <cell r="A95" t="str">
            <v>2241.02</v>
          </cell>
          <cell r="B95" t="str">
            <v>　　个人</v>
          </cell>
          <cell r="C95" t="str">
            <v>SP005011</v>
          </cell>
          <cell r="D95" t="str">
            <v>郭宗林</v>
          </cell>
        </row>
        <row r="96">
          <cell r="A96" t="str">
            <v>2241.02</v>
          </cell>
          <cell r="B96" t="str">
            <v>　　个人</v>
          </cell>
          <cell r="C96" t="str">
            <v>SP005012</v>
          </cell>
          <cell r="D96" t="str">
            <v>吴雅薇</v>
          </cell>
          <cell r="F96">
            <v>2300</v>
          </cell>
          <cell r="G96">
            <v>2300</v>
          </cell>
        </row>
        <row r="97">
          <cell r="A97" t="str">
            <v>2241.02</v>
          </cell>
          <cell r="B97" t="str">
            <v>　　个人</v>
          </cell>
          <cell r="C97" t="str">
            <v>SP006003</v>
          </cell>
          <cell r="D97" t="str">
            <v>袁玉杰</v>
          </cell>
          <cell r="G97">
            <v>20197.41</v>
          </cell>
          <cell r="H97">
            <v>20197.41</v>
          </cell>
        </row>
        <row r="98">
          <cell r="A98" t="str">
            <v>2241.02</v>
          </cell>
          <cell r="B98" t="str">
            <v>　　个人</v>
          </cell>
          <cell r="C98" t="str">
            <v>SP006004</v>
          </cell>
          <cell r="D98" t="str">
            <v>高焙</v>
          </cell>
          <cell r="G98">
            <v>18174.87</v>
          </cell>
          <cell r="H98">
            <v>18174.87</v>
          </cell>
        </row>
        <row r="99">
          <cell r="A99" t="str">
            <v>2241.02</v>
          </cell>
          <cell r="B99" t="str">
            <v>　　个人</v>
          </cell>
          <cell r="C99" t="str">
            <v>SP006006</v>
          </cell>
          <cell r="D99" t="str">
            <v>王志强</v>
          </cell>
          <cell r="F99">
            <v>47981.48</v>
          </cell>
          <cell r="G99">
            <v>65904.62</v>
          </cell>
          <cell r="H99">
            <v>17923.14</v>
          </cell>
        </row>
        <row r="100">
          <cell r="A100" t="str">
            <v>2241.02</v>
          </cell>
          <cell r="B100" t="str">
            <v>　　个人</v>
          </cell>
          <cell r="C100" t="str">
            <v>SP006007</v>
          </cell>
          <cell r="D100" t="str">
            <v>徐彬</v>
          </cell>
        </row>
        <row r="101">
          <cell r="A101" t="str">
            <v>2241.02</v>
          </cell>
          <cell r="B101" t="str">
            <v>　　个人</v>
          </cell>
          <cell r="C101" t="str">
            <v>SP006008</v>
          </cell>
          <cell r="D101" t="str">
            <v>何梅春</v>
          </cell>
          <cell r="G101">
            <v>3794.7</v>
          </cell>
          <cell r="H101">
            <v>3794.7</v>
          </cell>
        </row>
        <row r="102">
          <cell r="A102" t="str">
            <v>2241.02</v>
          </cell>
          <cell r="B102" t="str">
            <v>　　个人</v>
          </cell>
          <cell r="C102" t="str">
            <v>SP006009</v>
          </cell>
          <cell r="D102" t="str">
            <v>林秋蝶</v>
          </cell>
        </row>
        <row r="103">
          <cell r="A103" t="str">
            <v>2241.02</v>
          </cell>
          <cell r="B103" t="str">
            <v>　　个人</v>
          </cell>
          <cell r="C103" t="str">
            <v>SP006012</v>
          </cell>
          <cell r="D103" t="str">
            <v>闫凯</v>
          </cell>
          <cell r="G103">
            <v>2115.9499999999998</v>
          </cell>
          <cell r="H103">
            <v>2115.9499999999998</v>
          </cell>
        </row>
        <row r="104">
          <cell r="A104" t="str">
            <v>2601</v>
          </cell>
          <cell r="B104" t="str">
            <v>租赁负债</v>
          </cell>
        </row>
        <row r="105">
          <cell r="A105" t="str">
            <v>2601.01</v>
          </cell>
          <cell r="B105" t="str">
            <v>　　租赁付款额</v>
          </cell>
        </row>
        <row r="106">
          <cell r="A106" t="str">
            <v>2601.01.02</v>
          </cell>
          <cell r="B106" t="str">
            <v>　　　　办公地址</v>
          </cell>
        </row>
        <row r="107">
          <cell r="A107" t="str">
            <v>2601.01.02.01</v>
          </cell>
          <cell r="B107" t="str">
            <v>　　　　　　旭智咨询--鼎和大厦1606</v>
          </cell>
        </row>
        <row r="108">
          <cell r="A108" t="str">
            <v>2601.02</v>
          </cell>
          <cell r="B108" t="str">
            <v>　　未确认融资费用</v>
          </cell>
        </row>
        <row r="109">
          <cell r="A109" t="str">
            <v>2601.02.02</v>
          </cell>
          <cell r="B109" t="str">
            <v>　　　　办公地址</v>
          </cell>
        </row>
        <row r="110">
          <cell r="A110" t="str">
            <v>2601.02.02.01</v>
          </cell>
          <cell r="B110" t="str">
            <v>　　　　　　旭智咨询--鼎和大厦1606</v>
          </cell>
        </row>
        <row r="111">
          <cell r="A111" t="str">
            <v>2601.03</v>
          </cell>
          <cell r="B111" t="str">
            <v>　　一年内到期的非流动负债</v>
          </cell>
        </row>
        <row r="112">
          <cell r="A112" t="str">
            <v>4001</v>
          </cell>
          <cell r="B112" t="str">
            <v>实收资本（股本）</v>
          </cell>
          <cell r="F112">
            <v>2500000</v>
          </cell>
        </row>
        <row r="113">
          <cell r="A113" t="str">
            <v>4001.10</v>
          </cell>
          <cell r="B113" t="str">
            <v>　　旭智资本有限公司</v>
          </cell>
          <cell r="F113">
            <v>2500000</v>
          </cell>
        </row>
        <row r="114">
          <cell r="A114" t="str">
            <v>4101</v>
          </cell>
          <cell r="B114" t="str">
            <v>盈余公积</v>
          </cell>
          <cell r="F114">
            <v>140513.82</v>
          </cell>
        </row>
        <row r="115">
          <cell r="A115" t="str">
            <v>4101.01</v>
          </cell>
          <cell r="B115" t="str">
            <v>　　法定盈余公积</v>
          </cell>
          <cell r="F115">
            <v>140513.82</v>
          </cell>
        </row>
        <row r="116">
          <cell r="A116" t="str">
            <v>4103</v>
          </cell>
          <cell r="B116" t="str">
            <v>本年利润</v>
          </cell>
          <cell r="F116">
            <v>555383.66</v>
          </cell>
          <cell r="G116">
            <v>316808.40999999997</v>
          </cell>
          <cell r="H116">
            <v>718265.13</v>
          </cell>
        </row>
        <row r="117">
          <cell r="A117" t="str">
            <v>4104</v>
          </cell>
          <cell r="B117" t="str">
            <v>利润分配</v>
          </cell>
          <cell r="F117">
            <v>1264624.46</v>
          </cell>
        </row>
        <row r="118">
          <cell r="A118" t="str">
            <v>4104.07</v>
          </cell>
          <cell r="B118" t="str">
            <v>　　未分配利润</v>
          </cell>
          <cell r="F118">
            <v>1264624.46</v>
          </cell>
        </row>
        <row r="119">
          <cell r="A119" t="str">
            <v>6001</v>
          </cell>
          <cell r="B119" t="str">
            <v>主营业务收入</v>
          </cell>
          <cell r="G119">
            <v>718265.13</v>
          </cell>
          <cell r="H119">
            <v>718265.13</v>
          </cell>
        </row>
        <row r="120">
          <cell r="A120" t="str">
            <v>6001.02</v>
          </cell>
          <cell r="B120" t="str">
            <v>　　咨询服务费收入</v>
          </cell>
          <cell r="G120">
            <v>718265.13</v>
          </cell>
          <cell r="H120">
            <v>718265.13</v>
          </cell>
        </row>
        <row r="121">
          <cell r="A121" t="str">
            <v>6001.02.01</v>
          </cell>
          <cell r="B121" t="str">
            <v>　　　　已开票</v>
          </cell>
          <cell r="G121">
            <v>1449119.1</v>
          </cell>
          <cell r="H121">
            <v>1449119.1</v>
          </cell>
        </row>
        <row r="122">
          <cell r="A122" t="str">
            <v>6001.02.01</v>
          </cell>
          <cell r="B122" t="str">
            <v>　　　　已开票</v>
          </cell>
          <cell r="C122" t="str">
            <v>【未录入】</v>
          </cell>
          <cell r="D122" t="str">
            <v>【未录入】</v>
          </cell>
          <cell r="G122">
            <v>1449119.1</v>
          </cell>
          <cell r="H122">
            <v>1449119.1</v>
          </cell>
        </row>
        <row r="123">
          <cell r="A123" t="str">
            <v>6001.02.02</v>
          </cell>
          <cell r="B123" t="str">
            <v>　　　　未开票</v>
          </cell>
          <cell r="G123">
            <v>-730853.97</v>
          </cell>
          <cell r="H123">
            <v>-730853.97</v>
          </cell>
        </row>
        <row r="124">
          <cell r="A124" t="str">
            <v>6001.02.02</v>
          </cell>
          <cell r="B124" t="str">
            <v>　　　　未开票</v>
          </cell>
          <cell r="C124" t="str">
            <v>【未录入】</v>
          </cell>
          <cell r="D124" t="str">
            <v>【未录入】</v>
          </cell>
          <cell r="G124">
            <v>-730853.97</v>
          </cell>
          <cell r="H124">
            <v>-730853.97</v>
          </cell>
        </row>
        <row r="125">
          <cell r="A125" t="str">
            <v>6115</v>
          </cell>
          <cell r="B125" t="str">
            <v>其他收益</v>
          </cell>
        </row>
        <row r="126">
          <cell r="A126" t="str">
            <v>6115.02</v>
          </cell>
          <cell r="B126" t="str">
            <v>　　个税手续费返还</v>
          </cell>
        </row>
        <row r="127">
          <cell r="A127" t="str">
            <v>6117</v>
          </cell>
          <cell r="B127" t="str">
            <v>资产处置损益</v>
          </cell>
        </row>
        <row r="128">
          <cell r="A128" t="str">
            <v>6405</v>
          </cell>
          <cell r="B128" t="str">
            <v>税金及附加</v>
          </cell>
          <cell r="G128">
            <v>3094.95</v>
          </cell>
          <cell r="H128">
            <v>3094.95</v>
          </cell>
        </row>
        <row r="129">
          <cell r="A129" t="str">
            <v>6405.02</v>
          </cell>
          <cell r="B129" t="str">
            <v>　　城市维护建设税</v>
          </cell>
          <cell r="G129">
            <v>1805.39</v>
          </cell>
          <cell r="H129">
            <v>1805.39</v>
          </cell>
        </row>
        <row r="130">
          <cell r="A130" t="str">
            <v>6405.03</v>
          </cell>
          <cell r="B130" t="str">
            <v>　　教育费附加</v>
          </cell>
          <cell r="G130">
            <v>773.74</v>
          </cell>
          <cell r="H130">
            <v>773.74</v>
          </cell>
        </row>
        <row r="131">
          <cell r="A131" t="str">
            <v>6405.04</v>
          </cell>
          <cell r="B131" t="str">
            <v>　　地方教育附加</v>
          </cell>
          <cell r="G131">
            <v>515.82000000000005</v>
          </cell>
          <cell r="H131">
            <v>515.82000000000005</v>
          </cell>
        </row>
        <row r="132">
          <cell r="A132" t="str">
            <v>6602</v>
          </cell>
          <cell r="B132" t="str">
            <v>管理费用</v>
          </cell>
          <cell r="G132">
            <v>312225.31</v>
          </cell>
          <cell r="H132">
            <v>312225.31</v>
          </cell>
        </row>
        <row r="133">
          <cell r="A133" t="str">
            <v>6602.01</v>
          </cell>
          <cell r="B133" t="str">
            <v>　　工资薪金</v>
          </cell>
          <cell r="G133">
            <v>261900</v>
          </cell>
          <cell r="H133">
            <v>261900</v>
          </cell>
        </row>
        <row r="134">
          <cell r="A134" t="str">
            <v>6602.01.01</v>
          </cell>
          <cell r="B134" t="str">
            <v>　　　　基本工资（专业）</v>
          </cell>
          <cell r="G134">
            <v>254700</v>
          </cell>
          <cell r="H134">
            <v>254700</v>
          </cell>
        </row>
        <row r="135">
          <cell r="A135" t="str">
            <v>6602.01.03</v>
          </cell>
          <cell r="B135" t="str">
            <v>　　　　员工奖金（专业）</v>
          </cell>
        </row>
        <row r="136">
          <cell r="A136" t="str">
            <v>6602.01.06</v>
          </cell>
          <cell r="B136" t="str">
            <v>　　　　劳务报酬</v>
          </cell>
          <cell r="G136">
            <v>7200</v>
          </cell>
          <cell r="H136">
            <v>7200</v>
          </cell>
        </row>
        <row r="137">
          <cell r="A137" t="str">
            <v>6602.02</v>
          </cell>
          <cell r="B137" t="str">
            <v>　　职工福利</v>
          </cell>
          <cell r="G137">
            <v>1492</v>
          </cell>
          <cell r="H137">
            <v>1492</v>
          </cell>
        </row>
        <row r="138">
          <cell r="A138" t="str">
            <v>6602.02.02</v>
          </cell>
          <cell r="B138" t="str">
            <v>　　　　团建活动</v>
          </cell>
          <cell r="G138">
            <v>1492</v>
          </cell>
          <cell r="H138">
            <v>1492</v>
          </cell>
        </row>
        <row r="139">
          <cell r="A139" t="str">
            <v>6602.02.03</v>
          </cell>
          <cell r="B139" t="str">
            <v>　　　　体检费</v>
          </cell>
        </row>
        <row r="140">
          <cell r="A140" t="str">
            <v>6602.03</v>
          </cell>
          <cell r="B140" t="str">
            <v>　　社保公积金</v>
          </cell>
          <cell r="G140">
            <v>60260.84</v>
          </cell>
          <cell r="H140">
            <v>60260.84</v>
          </cell>
        </row>
        <row r="141">
          <cell r="A141" t="str">
            <v>6602.03.01</v>
          </cell>
          <cell r="B141" t="str">
            <v>　　　　员工社保福利</v>
          </cell>
          <cell r="G141">
            <v>35800.68</v>
          </cell>
          <cell r="H141">
            <v>35800.68</v>
          </cell>
        </row>
        <row r="142">
          <cell r="A142" t="str">
            <v>6602.03.02</v>
          </cell>
          <cell r="B142" t="str">
            <v>　　　　员工公积金福利</v>
          </cell>
          <cell r="G142">
            <v>24460.16</v>
          </cell>
          <cell r="H142">
            <v>24460.16</v>
          </cell>
        </row>
        <row r="143">
          <cell r="A143" t="str">
            <v>6602.04</v>
          </cell>
          <cell r="B143" t="str">
            <v>　　咨询及专业服务费</v>
          </cell>
          <cell r="G143">
            <v>-91185.27</v>
          </cell>
          <cell r="H143">
            <v>-91185.27</v>
          </cell>
        </row>
        <row r="144">
          <cell r="A144" t="str">
            <v>6602.04.02</v>
          </cell>
          <cell r="B144" t="str">
            <v>　　　　审计服务费</v>
          </cell>
          <cell r="G144">
            <v>1204.67</v>
          </cell>
          <cell r="H144">
            <v>1204.67</v>
          </cell>
        </row>
        <row r="145">
          <cell r="A145" t="str">
            <v>6602.04.03</v>
          </cell>
          <cell r="B145" t="str">
            <v>　　　　顾问费</v>
          </cell>
          <cell r="G145">
            <v>-115157.86</v>
          </cell>
          <cell r="H145">
            <v>-115157.86</v>
          </cell>
        </row>
        <row r="146">
          <cell r="A146" t="str">
            <v>6602.04.03</v>
          </cell>
          <cell r="B146" t="str">
            <v>　　　　顾问费</v>
          </cell>
          <cell r="C146" t="str">
            <v>【未录入】</v>
          </cell>
          <cell r="D146" t="str">
            <v>【未录入】</v>
          </cell>
          <cell r="G146">
            <v>-115157.86</v>
          </cell>
          <cell r="H146">
            <v>-115157.86</v>
          </cell>
        </row>
        <row r="147">
          <cell r="A147" t="str">
            <v>6602.04.07</v>
          </cell>
          <cell r="B147" t="str">
            <v>　　　　人力资源服务费</v>
          </cell>
          <cell r="G147">
            <v>3900</v>
          </cell>
          <cell r="H147">
            <v>3900</v>
          </cell>
        </row>
        <row r="148">
          <cell r="A148" t="str">
            <v>6602.04.99</v>
          </cell>
          <cell r="B148" t="str">
            <v>　　　　其他</v>
          </cell>
          <cell r="G148">
            <v>18867.919999999998</v>
          </cell>
          <cell r="H148">
            <v>18867.919999999998</v>
          </cell>
        </row>
        <row r="149">
          <cell r="A149" t="str">
            <v>6602.04.99</v>
          </cell>
          <cell r="B149" t="str">
            <v>　　　　其他</v>
          </cell>
          <cell r="C149" t="str">
            <v>【未录入】</v>
          </cell>
          <cell r="D149" t="str">
            <v>【未录入】</v>
          </cell>
          <cell r="G149">
            <v>18867.919999999998</v>
          </cell>
          <cell r="H149">
            <v>18867.919999999998</v>
          </cell>
        </row>
        <row r="150">
          <cell r="A150" t="str">
            <v>6602.05</v>
          </cell>
          <cell r="B150" t="str">
            <v>　　占用费</v>
          </cell>
        </row>
        <row r="151">
          <cell r="A151" t="str">
            <v>6602.05.03</v>
          </cell>
          <cell r="B151" t="str">
            <v>　　　　电费</v>
          </cell>
        </row>
        <row r="152">
          <cell r="A152" t="str">
            <v>6602.05.06</v>
          </cell>
          <cell r="B152" t="str">
            <v>　　　　装修费</v>
          </cell>
        </row>
        <row r="153">
          <cell r="A153" t="str">
            <v>6602.05.99</v>
          </cell>
          <cell r="B153" t="str">
            <v>　　　　其他</v>
          </cell>
        </row>
        <row r="154">
          <cell r="A154" t="str">
            <v>6602.08</v>
          </cell>
          <cell r="B154" t="str">
            <v>　　事务费用</v>
          </cell>
          <cell r="G154">
            <v>2693.34</v>
          </cell>
          <cell r="H154">
            <v>2693.34</v>
          </cell>
        </row>
        <row r="155">
          <cell r="A155" t="str">
            <v>6602.08.01</v>
          </cell>
          <cell r="B155" t="str">
            <v>　　　　通信费</v>
          </cell>
          <cell r="G155">
            <v>1649.34</v>
          </cell>
          <cell r="H155">
            <v>1649.34</v>
          </cell>
        </row>
        <row r="156">
          <cell r="A156" t="str">
            <v>6602.08.01</v>
          </cell>
          <cell r="B156" t="str">
            <v>　　　　通信费</v>
          </cell>
          <cell r="C156" t="str">
            <v>【未录入】</v>
          </cell>
          <cell r="D156" t="str">
            <v>【未录入】</v>
          </cell>
          <cell r="G156">
            <v>1649.34</v>
          </cell>
          <cell r="H156">
            <v>1649.34</v>
          </cell>
        </row>
        <row r="157">
          <cell r="A157" t="str">
            <v>6602.08.03</v>
          </cell>
          <cell r="B157" t="str">
            <v>　　　　办公用品</v>
          </cell>
        </row>
        <row r="158">
          <cell r="A158" t="str">
            <v>6602.08.03</v>
          </cell>
          <cell r="B158" t="str">
            <v>　　　　办公用品</v>
          </cell>
          <cell r="C158" t="str">
            <v>【未录入】</v>
          </cell>
          <cell r="D158" t="str">
            <v>【未录入】</v>
          </cell>
        </row>
        <row r="159">
          <cell r="A159" t="str">
            <v>6602.08.05</v>
          </cell>
          <cell r="B159" t="str">
            <v>　　　　邮费/邮递费</v>
          </cell>
          <cell r="G159">
            <v>1044</v>
          </cell>
          <cell r="H159">
            <v>1044</v>
          </cell>
        </row>
        <row r="160">
          <cell r="A160" t="str">
            <v>6602.08.05</v>
          </cell>
          <cell r="B160" t="str">
            <v>　　　　邮费/邮递费</v>
          </cell>
          <cell r="C160" t="str">
            <v>【未录入】</v>
          </cell>
          <cell r="D160" t="str">
            <v>【未录入】</v>
          </cell>
          <cell r="G160">
            <v>1044</v>
          </cell>
          <cell r="H160">
            <v>1044</v>
          </cell>
        </row>
        <row r="161">
          <cell r="A161" t="str">
            <v>6602.08.99</v>
          </cell>
          <cell r="B161" t="str">
            <v>　　　　其他</v>
          </cell>
        </row>
        <row r="162">
          <cell r="A162" t="str">
            <v>6602.08.99</v>
          </cell>
          <cell r="B162" t="str">
            <v>　　　　其他</v>
          </cell>
          <cell r="C162" t="str">
            <v>【未录入】</v>
          </cell>
          <cell r="D162" t="str">
            <v>【未录入】</v>
          </cell>
        </row>
        <row r="163">
          <cell r="A163" t="str">
            <v>6602.09</v>
          </cell>
          <cell r="B163" t="str">
            <v>　　差旅费</v>
          </cell>
          <cell r="G163">
            <v>721.42</v>
          </cell>
          <cell r="H163">
            <v>721.42</v>
          </cell>
        </row>
        <row r="164">
          <cell r="A164" t="str">
            <v>6602.09.01</v>
          </cell>
          <cell r="B164" t="str">
            <v>　　　　住宿费</v>
          </cell>
        </row>
        <row r="165">
          <cell r="A165" t="str">
            <v>6602.09.01</v>
          </cell>
          <cell r="B165" t="str">
            <v>　　　　住宿费</v>
          </cell>
          <cell r="C165" t="str">
            <v>【未录入】</v>
          </cell>
          <cell r="D165" t="str">
            <v>【未录入】</v>
          </cell>
        </row>
        <row r="166">
          <cell r="A166" t="str">
            <v>6602.09.02</v>
          </cell>
          <cell r="B166" t="str">
            <v>　　　　伙食费</v>
          </cell>
          <cell r="G166">
            <v>304</v>
          </cell>
          <cell r="H166">
            <v>304</v>
          </cell>
        </row>
        <row r="167">
          <cell r="A167" t="str">
            <v>6602.09.02</v>
          </cell>
          <cell r="B167" t="str">
            <v>　　　　伙食费</v>
          </cell>
          <cell r="C167" t="str">
            <v>【未录入】</v>
          </cell>
          <cell r="D167" t="str">
            <v>【未录入】</v>
          </cell>
          <cell r="G167">
            <v>304</v>
          </cell>
          <cell r="H167">
            <v>304</v>
          </cell>
        </row>
        <row r="168">
          <cell r="A168" t="str">
            <v>6602.09.03</v>
          </cell>
          <cell r="B168" t="str">
            <v>　　　　地面交通费</v>
          </cell>
          <cell r="G168">
            <v>417.42</v>
          </cell>
          <cell r="H168">
            <v>417.42</v>
          </cell>
        </row>
        <row r="169">
          <cell r="A169" t="str">
            <v>6602.09.03</v>
          </cell>
          <cell r="B169" t="str">
            <v>　　　　地面交通费</v>
          </cell>
          <cell r="C169" t="str">
            <v>【未录入】</v>
          </cell>
          <cell r="D169" t="str">
            <v>【未录入】</v>
          </cell>
          <cell r="G169">
            <v>417.42</v>
          </cell>
          <cell r="H169">
            <v>417.42</v>
          </cell>
        </row>
        <row r="170">
          <cell r="A170" t="str">
            <v>6602.09.04</v>
          </cell>
          <cell r="B170" t="str">
            <v>　　　　空中交通费</v>
          </cell>
        </row>
        <row r="171">
          <cell r="A171" t="str">
            <v>6602.09.04</v>
          </cell>
          <cell r="B171" t="str">
            <v>　　　　空中交通费</v>
          </cell>
          <cell r="C171" t="str">
            <v>【未录入】</v>
          </cell>
          <cell r="D171" t="str">
            <v>【未录入】</v>
          </cell>
        </row>
        <row r="172">
          <cell r="A172" t="str">
            <v>6602.10</v>
          </cell>
          <cell r="B172" t="str">
            <v>　　折旧费</v>
          </cell>
          <cell r="G172">
            <v>2197.91</v>
          </cell>
          <cell r="H172">
            <v>2197.91</v>
          </cell>
        </row>
        <row r="173">
          <cell r="A173" t="str">
            <v>6602.10.01</v>
          </cell>
          <cell r="B173" t="str">
            <v>　　　　电子设备</v>
          </cell>
          <cell r="G173">
            <v>1519.82</v>
          </cell>
          <cell r="H173">
            <v>1519.82</v>
          </cell>
        </row>
        <row r="174">
          <cell r="A174" t="str">
            <v>6602.10.04</v>
          </cell>
          <cell r="B174" t="str">
            <v>　　　　家具设备</v>
          </cell>
          <cell r="G174">
            <v>678.09</v>
          </cell>
          <cell r="H174">
            <v>678.09</v>
          </cell>
        </row>
        <row r="175">
          <cell r="A175" t="str">
            <v>6602.11</v>
          </cell>
          <cell r="B175" t="str">
            <v>　　筹建费</v>
          </cell>
          <cell r="G175">
            <v>74145.070000000007</v>
          </cell>
          <cell r="H175">
            <v>74145.070000000007</v>
          </cell>
        </row>
        <row r="176">
          <cell r="A176" t="str">
            <v>6602.11.01</v>
          </cell>
          <cell r="B176" t="str">
            <v>　　　　咨询及专业服务费</v>
          </cell>
        </row>
        <row r="177">
          <cell r="A177" t="str">
            <v>6602.11.01.06</v>
          </cell>
          <cell r="B177" t="str">
            <v>　　　　　　法律服务费</v>
          </cell>
        </row>
        <row r="178">
          <cell r="A178" t="str">
            <v>6602.11.01.06</v>
          </cell>
          <cell r="B178" t="str">
            <v>　　　　　　法律服务费</v>
          </cell>
          <cell r="C178" t="str">
            <v>CI001</v>
          </cell>
          <cell r="D178" t="str">
            <v>旭智基金Ⅱ筹建费</v>
          </cell>
        </row>
        <row r="179">
          <cell r="A179" t="str">
            <v>6602.11.02</v>
          </cell>
          <cell r="B179" t="str">
            <v>　　　　业务招待费</v>
          </cell>
          <cell r="G179">
            <v>28062.75</v>
          </cell>
          <cell r="H179">
            <v>28062.75</v>
          </cell>
        </row>
        <row r="180">
          <cell r="A180" t="str">
            <v>6602.11.02</v>
          </cell>
          <cell r="B180" t="str">
            <v>　　　　业务招待费</v>
          </cell>
          <cell r="C180" t="str">
            <v>CI001</v>
          </cell>
          <cell r="D180" t="str">
            <v>旭智基金Ⅱ筹建费</v>
          </cell>
          <cell r="G180">
            <v>-11091.01</v>
          </cell>
          <cell r="H180">
            <v>-11091.01</v>
          </cell>
        </row>
        <row r="181">
          <cell r="A181" t="str">
            <v>6602.11.02</v>
          </cell>
          <cell r="B181" t="str">
            <v>　　　　业务招待费</v>
          </cell>
          <cell r="C181" t="str">
            <v>CI002</v>
          </cell>
          <cell r="D181" t="str">
            <v>旭智富能</v>
          </cell>
          <cell r="G181">
            <v>39153.760000000002</v>
          </cell>
          <cell r="H181">
            <v>39153.760000000002</v>
          </cell>
        </row>
        <row r="182">
          <cell r="A182" t="str">
            <v>6602.11.04</v>
          </cell>
          <cell r="B182" t="str">
            <v>　　　　事务费用</v>
          </cell>
          <cell r="G182">
            <v>2068.36</v>
          </cell>
          <cell r="H182">
            <v>2068.36</v>
          </cell>
        </row>
        <row r="183">
          <cell r="A183" t="str">
            <v>6602.11.04.01</v>
          </cell>
          <cell r="B183" t="str">
            <v>　　　　　　通信费</v>
          </cell>
          <cell r="G183">
            <v>1931.9</v>
          </cell>
          <cell r="H183">
            <v>1931.9</v>
          </cell>
        </row>
        <row r="184">
          <cell r="A184" t="str">
            <v>6602.11.04.01</v>
          </cell>
          <cell r="B184" t="str">
            <v>　　　　　　通信费</v>
          </cell>
          <cell r="C184" t="str">
            <v>CI002</v>
          </cell>
          <cell r="D184" t="str">
            <v>旭智富能</v>
          </cell>
          <cell r="G184">
            <v>1931.9</v>
          </cell>
          <cell r="H184">
            <v>1931.9</v>
          </cell>
        </row>
        <row r="185">
          <cell r="A185" t="str">
            <v>6602.11.04.03</v>
          </cell>
          <cell r="B185" t="str">
            <v>　　　　　　办公用品</v>
          </cell>
          <cell r="G185">
            <v>136.46</v>
          </cell>
          <cell r="H185">
            <v>136.46</v>
          </cell>
        </row>
        <row r="186">
          <cell r="A186" t="str">
            <v>6602.11.04.03</v>
          </cell>
          <cell r="B186" t="str">
            <v>　　　　　　办公用品</v>
          </cell>
          <cell r="C186" t="str">
            <v>CI002</v>
          </cell>
          <cell r="D186" t="str">
            <v>旭智富能</v>
          </cell>
          <cell r="G186">
            <v>136.46</v>
          </cell>
          <cell r="H186">
            <v>136.46</v>
          </cell>
        </row>
        <row r="187">
          <cell r="A187" t="str">
            <v>6602.11.04.99</v>
          </cell>
          <cell r="B187" t="str">
            <v>　　　　　　其他</v>
          </cell>
        </row>
        <row r="188">
          <cell r="A188" t="str">
            <v>6602.11.04.99</v>
          </cell>
          <cell r="B188" t="str">
            <v>　　　　　　其他</v>
          </cell>
          <cell r="C188" t="str">
            <v>CI002</v>
          </cell>
          <cell r="D188" t="str">
            <v>旭智富能</v>
          </cell>
        </row>
        <row r="189">
          <cell r="A189" t="str">
            <v>6602.11.05</v>
          </cell>
          <cell r="B189" t="str">
            <v>　　　　差旅费</v>
          </cell>
          <cell r="G189">
            <v>44013.96</v>
          </cell>
          <cell r="H189">
            <v>44013.96</v>
          </cell>
        </row>
        <row r="190">
          <cell r="A190" t="str">
            <v>6602.11.05.01</v>
          </cell>
          <cell r="B190" t="str">
            <v>　　　　　　住宿费</v>
          </cell>
          <cell r="G190">
            <v>11116.1</v>
          </cell>
          <cell r="H190">
            <v>11116.1</v>
          </cell>
        </row>
        <row r="191">
          <cell r="A191" t="str">
            <v>6602.11.05.01</v>
          </cell>
          <cell r="B191" t="str">
            <v>　　　　　　住宿费</v>
          </cell>
          <cell r="C191" t="str">
            <v>CI002</v>
          </cell>
          <cell r="D191" t="str">
            <v>旭智富能</v>
          </cell>
          <cell r="G191">
            <v>11116.1</v>
          </cell>
          <cell r="H191">
            <v>11116.1</v>
          </cell>
        </row>
        <row r="192">
          <cell r="A192" t="str">
            <v>6602.11.05.01</v>
          </cell>
          <cell r="B192" t="str">
            <v>　　　　　　住宿费</v>
          </cell>
          <cell r="C192" t="str">
            <v>CI005</v>
          </cell>
          <cell r="D192" t="str">
            <v>旭智私募</v>
          </cell>
        </row>
        <row r="193">
          <cell r="A193" t="str">
            <v>6602.11.05.02</v>
          </cell>
          <cell r="B193" t="str">
            <v>　　　　　　伙食费</v>
          </cell>
          <cell r="G193">
            <v>8275.6</v>
          </cell>
          <cell r="H193">
            <v>8275.6</v>
          </cell>
        </row>
        <row r="194">
          <cell r="A194" t="str">
            <v>6602.11.05.02</v>
          </cell>
          <cell r="B194" t="str">
            <v>　　　　　　伙食费</v>
          </cell>
          <cell r="C194" t="str">
            <v>CI002</v>
          </cell>
          <cell r="D194" t="str">
            <v>旭智富能</v>
          </cell>
          <cell r="G194">
            <v>8275.6</v>
          </cell>
          <cell r="H194">
            <v>8275.6</v>
          </cell>
        </row>
        <row r="195">
          <cell r="A195" t="str">
            <v>6602.11.05.03</v>
          </cell>
          <cell r="B195" t="str">
            <v>　　　　　　地面交通费</v>
          </cell>
          <cell r="G195">
            <v>16231.77</v>
          </cell>
          <cell r="H195">
            <v>16231.77</v>
          </cell>
        </row>
        <row r="196">
          <cell r="A196" t="str">
            <v>6602.11.05.03</v>
          </cell>
          <cell r="B196" t="str">
            <v>　　　　　　地面交通费</v>
          </cell>
          <cell r="C196" t="str">
            <v>CI002</v>
          </cell>
          <cell r="D196" t="str">
            <v>旭智富能</v>
          </cell>
          <cell r="G196">
            <v>16231.77</v>
          </cell>
          <cell r="H196">
            <v>16231.77</v>
          </cell>
        </row>
        <row r="197">
          <cell r="A197" t="str">
            <v>6602.11.05.03</v>
          </cell>
          <cell r="B197" t="str">
            <v>　　　　　　地面交通费</v>
          </cell>
          <cell r="C197" t="str">
            <v>CI005</v>
          </cell>
          <cell r="D197" t="str">
            <v>旭智私募</v>
          </cell>
        </row>
        <row r="198">
          <cell r="A198" t="str">
            <v>6602.11.05.04</v>
          </cell>
          <cell r="B198" t="str">
            <v>　　　　　　空中交通费</v>
          </cell>
          <cell r="G198">
            <v>2679.27</v>
          </cell>
          <cell r="H198">
            <v>2679.27</v>
          </cell>
        </row>
        <row r="199">
          <cell r="A199" t="str">
            <v>6602.11.05.04</v>
          </cell>
          <cell r="B199" t="str">
            <v>　　　　　　空中交通费</v>
          </cell>
          <cell r="C199" t="str">
            <v>CI002</v>
          </cell>
          <cell r="D199" t="str">
            <v>旭智富能</v>
          </cell>
          <cell r="G199">
            <v>2679.27</v>
          </cell>
          <cell r="H199">
            <v>2679.27</v>
          </cell>
        </row>
        <row r="200">
          <cell r="A200" t="str">
            <v>6602.11.05.04</v>
          </cell>
          <cell r="B200" t="str">
            <v>　　　　　　空中交通费</v>
          </cell>
          <cell r="C200" t="str">
            <v>CI005</v>
          </cell>
          <cell r="D200" t="str">
            <v>旭智私募</v>
          </cell>
        </row>
        <row r="201">
          <cell r="A201" t="str">
            <v>6602.11.05.05</v>
          </cell>
          <cell r="B201" t="str">
            <v>　　　　　　租车</v>
          </cell>
          <cell r="G201">
            <v>4209.22</v>
          </cell>
          <cell r="H201">
            <v>4209.22</v>
          </cell>
        </row>
        <row r="202">
          <cell r="A202" t="str">
            <v>6602.11.05.05</v>
          </cell>
          <cell r="B202" t="str">
            <v>　　　　　　租车</v>
          </cell>
          <cell r="C202" t="str">
            <v>CI002</v>
          </cell>
          <cell r="D202" t="str">
            <v>旭智富能</v>
          </cell>
          <cell r="G202">
            <v>4209.22</v>
          </cell>
          <cell r="H202">
            <v>4209.22</v>
          </cell>
        </row>
        <row r="203">
          <cell r="A203" t="str">
            <v>6602.11.05.06</v>
          </cell>
          <cell r="B203" t="str">
            <v>　　　　　　其他汽车费用</v>
          </cell>
          <cell r="G203">
            <v>1502</v>
          </cell>
          <cell r="H203">
            <v>1502</v>
          </cell>
        </row>
        <row r="204">
          <cell r="A204" t="str">
            <v>6602.11.05.06</v>
          </cell>
          <cell r="B204" t="str">
            <v>　　　　　　其他汽车费用</v>
          </cell>
          <cell r="C204" t="str">
            <v>CI002</v>
          </cell>
          <cell r="D204" t="str">
            <v>旭智富能</v>
          </cell>
          <cell r="G204">
            <v>1502</v>
          </cell>
          <cell r="H204">
            <v>1502</v>
          </cell>
        </row>
        <row r="205">
          <cell r="A205" t="str">
            <v>6602.11.05.99</v>
          </cell>
          <cell r="B205" t="str">
            <v>　　　　　　其他</v>
          </cell>
        </row>
        <row r="206">
          <cell r="A206" t="str">
            <v>6602.11.05.99</v>
          </cell>
          <cell r="B206" t="str">
            <v>　　　　　　其他</v>
          </cell>
          <cell r="C206" t="str">
            <v>CI005</v>
          </cell>
          <cell r="D206" t="str">
            <v>旭智私募</v>
          </cell>
        </row>
        <row r="207">
          <cell r="A207" t="str">
            <v>6602.12</v>
          </cell>
          <cell r="B207" t="str">
            <v>　　使用权资产折旧</v>
          </cell>
        </row>
        <row r="208">
          <cell r="A208" t="str">
            <v>6602.12.02</v>
          </cell>
          <cell r="B208" t="str">
            <v>　　　　办公地址</v>
          </cell>
        </row>
        <row r="209">
          <cell r="A209" t="str">
            <v>6602.12.02.01</v>
          </cell>
          <cell r="B209" t="str">
            <v>　　　　　　旭智咨询--鼎和大厦1606</v>
          </cell>
        </row>
        <row r="210">
          <cell r="A210" t="str">
            <v>6602.13</v>
          </cell>
          <cell r="B210" t="str">
            <v>　　物业管理费</v>
          </cell>
        </row>
        <row r="211">
          <cell r="A211" t="str">
            <v>6602.15</v>
          </cell>
          <cell r="B211" t="str">
            <v>　　服务费</v>
          </cell>
        </row>
        <row r="212">
          <cell r="A212" t="str">
            <v>6602.99</v>
          </cell>
          <cell r="B212" t="str">
            <v>　　其他</v>
          </cell>
        </row>
        <row r="213">
          <cell r="A213" t="str">
            <v>6603</v>
          </cell>
          <cell r="B213" t="str">
            <v>财务费用</v>
          </cell>
          <cell r="G213">
            <v>-511.85</v>
          </cell>
          <cell r="H213">
            <v>-511.85</v>
          </cell>
        </row>
        <row r="214">
          <cell r="A214" t="str">
            <v>6603.01</v>
          </cell>
          <cell r="B214" t="str">
            <v>　　汇兑损益</v>
          </cell>
          <cell r="G214">
            <v>-654.49</v>
          </cell>
          <cell r="H214">
            <v>-654.49</v>
          </cell>
        </row>
        <row r="215">
          <cell r="A215" t="str">
            <v>6603.02</v>
          </cell>
          <cell r="B215" t="str">
            <v>　　利息费用</v>
          </cell>
        </row>
        <row r="216">
          <cell r="A216" t="str">
            <v>6603.02.02</v>
          </cell>
          <cell r="B216" t="str">
            <v>　　　　办公地址</v>
          </cell>
        </row>
        <row r="217">
          <cell r="A217" t="str">
            <v>6603.02.02.01</v>
          </cell>
          <cell r="B217" t="str">
            <v>　　　　　　旭智咨询--鼎和大厦1606</v>
          </cell>
        </row>
        <row r="218">
          <cell r="A218" t="str">
            <v>6603.03</v>
          </cell>
          <cell r="B218" t="str">
            <v>　　银行手续费</v>
          </cell>
          <cell r="G218">
            <v>142.63999999999999</v>
          </cell>
          <cell r="H218">
            <v>142.63999999999999</v>
          </cell>
        </row>
        <row r="219">
          <cell r="A219" t="str">
            <v>6603.04</v>
          </cell>
          <cell r="B219" t="str">
            <v>　　利息收入</v>
          </cell>
        </row>
        <row r="220">
          <cell r="A220" t="str">
            <v>6711</v>
          </cell>
          <cell r="B220" t="str">
            <v>营业外支出</v>
          </cell>
        </row>
        <row r="221">
          <cell r="A221" t="str">
            <v>6711.02</v>
          </cell>
          <cell r="B221" t="str">
            <v>　　非流动资产处置损失</v>
          </cell>
        </row>
        <row r="222">
          <cell r="A222" t="str">
            <v>6801</v>
          </cell>
          <cell r="B222" t="str">
            <v>所得税费用</v>
          </cell>
          <cell r="G222">
            <v>2000</v>
          </cell>
          <cell r="H222">
            <v>2000</v>
          </cell>
        </row>
        <row r="223">
          <cell r="A223" t="str">
            <v>6801.01</v>
          </cell>
          <cell r="B223" t="str">
            <v>　　当期所得税费用</v>
          </cell>
        </row>
        <row r="224">
          <cell r="A224" t="str">
            <v>6801.03</v>
          </cell>
          <cell r="B224" t="str">
            <v>　　以前年度所得税费用</v>
          </cell>
          <cell r="G224">
            <v>2000</v>
          </cell>
          <cell r="H224">
            <v>2000</v>
          </cell>
        </row>
        <row r="225">
          <cell r="B225" t="str">
            <v>合计</v>
          </cell>
          <cell r="E225">
            <v>7475717.2000000002</v>
          </cell>
          <cell r="F225">
            <v>7408017.1100000003</v>
          </cell>
          <cell r="G225">
            <v>4995848.49</v>
          </cell>
          <cell r="H225">
            <v>4996502.9800000004</v>
          </cell>
        </row>
      </sheetData>
      <sheetData sheetId="5">
        <row r="1">
          <cell r="A1" t="str">
            <v>币别:人民币</v>
          </cell>
          <cell r="B1" t="str">
            <v>账簿:旭智咨询管理（深圳）有限责任公司</v>
          </cell>
          <cell r="C1" t="str">
            <v>期间:2025.6 -- 2025.6</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2629183.2200000002</v>
          </cell>
          <cell r="G4">
            <v>72492.58</v>
          </cell>
          <cell r="H4">
            <v>854537.3</v>
          </cell>
        </row>
        <row r="5">
          <cell r="A5" t="str">
            <v>1002.21</v>
          </cell>
          <cell r="B5" t="str">
            <v>　　【旭智咨询】银行存款账户</v>
          </cell>
          <cell r="E5">
            <v>2590398.79</v>
          </cell>
          <cell r="G5">
            <v>2485.5100000000002</v>
          </cell>
          <cell r="H5">
            <v>787275.05</v>
          </cell>
        </row>
        <row r="6">
          <cell r="A6" t="str">
            <v>1002.21.01</v>
          </cell>
          <cell r="B6" t="str">
            <v>　　　　招商银行账户</v>
          </cell>
          <cell r="E6">
            <v>2590398.79</v>
          </cell>
          <cell r="G6">
            <v>2485.5100000000002</v>
          </cell>
          <cell r="H6">
            <v>787275.05</v>
          </cell>
        </row>
        <row r="7">
          <cell r="A7" t="str">
            <v>1002.21.01.01</v>
          </cell>
          <cell r="B7" t="str">
            <v>　　　　　　【旭智咨询】招商 人民币基本户 0108</v>
          </cell>
          <cell r="E7">
            <v>1572818.3</v>
          </cell>
          <cell r="G7">
            <v>2270.6799999999998</v>
          </cell>
          <cell r="H7">
            <v>787275.05</v>
          </cell>
        </row>
        <row r="8">
          <cell r="A8" t="str">
            <v>1002.21.01.02</v>
          </cell>
          <cell r="B8" t="str">
            <v>　　　　　　【旭智咨询】招商 人民币资本金账户 0202</v>
          </cell>
          <cell r="E8">
            <v>1017580.49</v>
          </cell>
          <cell r="G8">
            <v>214.83</v>
          </cell>
        </row>
        <row r="9">
          <cell r="A9" t="str">
            <v>1002.22</v>
          </cell>
          <cell r="B9" t="str">
            <v>　　【旭智咨询北京】银行存款账户</v>
          </cell>
          <cell r="E9">
            <v>38784.43</v>
          </cell>
          <cell r="G9">
            <v>70007.070000000007</v>
          </cell>
          <cell r="H9">
            <v>67262.25</v>
          </cell>
        </row>
        <row r="10">
          <cell r="A10" t="str">
            <v>1002.22.01</v>
          </cell>
          <cell r="B10" t="str">
            <v>　　　　招商银行账户</v>
          </cell>
          <cell r="E10">
            <v>38784.43</v>
          </cell>
          <cell r="G10">
            <v>70007.070000000007</v>
          </cell>
          <cell r="H10">
            <v>67262.25</v>
          </cell>
        </row>
        <row r="11">
          <cell r="A11" t="str">
            <v>1002.22.01.01</v>
          </cell>
          <cell r="B11" t="str">
            <v>　　　　　　【旭智咨询北京】人民币基本户 0001</v>
          </cell>
          <cell r="E11">
            <v>38784.43</v>
          </cell>
          <cell r="G11">
            <v>70007.070000000007</v>
          </cell>
          <cell r="H11">
            <v>67262.25</v>
          </cell>
        </row>
        <row r="12">
          <cell r="A12" t="str">
            <v>1122</v>
          </cell>
          <cell r="B12" t="str">
            <v>应收账款</v>
          </cell>
          <cell r="E12">
            <v>223234.7</v>
          </cell>
        </row>
        <row r="13">
          <cell r="A13" t="str">
            <v>1122.01</v>
          </cell>
          <cell r="B13" t="str">
            <v>　　咨询费收入</v>
          </cell>
          <cell r="E13">
            <v>223234.7</v>
          </cell>
        </row>
        <row r="14">
          <cell r="A14" t="str">
            <v>1122.01</v>
          </cell>
          <cell r="B14" t="str">
            <v>　　咨询费收入</v>
          </cell>
          <cell r="C14" t="str">
            <v>CU003010</v>
          </cell>
          <cell r="D14" t="str">
            <v>旭智富能新能源（深圳）有限责任公司</v>
          </cell>
          <cell r="E14">
            <v>223234.7</v>
          </cell>
        </row>
        <row r="15">
          <cell r="A15" t="str">
            <v>1122.01</v>
          </cell>
          <cell r="B15" t="str">
            <v>　　咨询费收入</v>
          </cell>
          <cell r="C15" t="str">
            <v>CU006001</v>
          </cell>
          <cell r="D15" t="str">
            <v>胜科辉飏新能源（深圳）有限公司</v>
          </cell>
        </row>
        <row r="16">
          <cell r="A16" t="str">
            <v>1123</v>
          </cell>
          <cell r="B16" t="str">
            <v>预付账款</v>
          </cell>
          <cell r="E16">
            <v>51105.71</v>
          </cell>
          <cell r="H16">
            <v>41671.75</v>
          </cell>
        </row>
        <row r="17">
          <cell r="A17" t="str">
            <v>1123.01</v>
          </cell>
          <cell r="B17" t="str">
            <v>　　单位</v>
          </cell>
          <cell r="E17">
            <v>51105.71</v>
          </cell>
          <cell r="H17">
            <v>41671.75</v>
          </cell>
        </row>
        <row r="18">
          <cell r="A18" t="str">
            <v>1123.01</v>
          </cell>
          <cell r="B18" t="str">
            <v>　　单位</v>
          </cell>
          <cell r="C18" t="str">
            <v>SU006011</v>
          </cell>
          <cell r="D18" t="str">
            <v>广州晶东贸易有限公司</v>
          </cell>
        </row>
        <row r="19">
          <cell r="A19" t="str">
            <v>1123.01</v>
          </cell>
          <cell r="B19" t="str">
            <v>　　单位</v>
          </cell>
          <cell r="C19" t="str">
            <v>SU006012</v>
          </cell>
          <cell r="D19" t="str">
            <v>上海携程宏睿国际旅行社有限公司</v>
          </cell>
          <cell r="E19">
            <v>21860.43</v>
          </cell>
          <cell r="H19">
            <v>21860.43</v>
          </cell>
        </row>
        <row r="20">
          <cell r="A20" t="str">
            <v>1123.01</v>
          </cell>
          <cell r="B20" t="str">
            <v>　　单位</v>
          </cell>
          <cell r="C20" t="str">
            <v>SU006015</v>
          </cell>
          <cell r="D20" t="str">
            <v>成都协企兴企业管理咨询服务有限公司</v>
          </cell>
        </row>
        <row r="21">
          <cell r="A21" t="str">
            <v>1123.01</v>
          </cell>
          <cell r="B21" t="str">
            <v>　　单位</v>
          </cell>
          <cell r="C21" t="str">
            <v>SU006016</v>
          </cell>
          <cell r="D21" t="str">
            <v>爱奇创新投资研究（深圳）有限公司</v>
          </cell>
          <cell r="E21">
            <v>19811.32</v>
          </cell>
          <cell r="H21">
            <v>19811.32</v>
          </cell>
        </row>
        <row r="22">
          <cell r="A22" t="str">
            <v>1123.01</v>
          </cell>
          <cell r="B22" t="str">
            <v>　　单位</v>
          </cell>
          <cell r="C22" t="str">
            <v>SU006031</v>
          </cell>
          <cell r="D22" t="str">
            <v>深圳市金纳维科技有限公司</v>
          </cell>
          <cell r="E22">
            <v>9433.9599999999991</v>
          </cell>
        </row>
        <row r="23">
          <cell r="A23" t="str">
            <v>1221</v>
          </cell>
          <cell r="B23" t="str">
            <v>其他应收款</v>
          </cell>
          <cell r="E23">
            <v>25569.34</v>
          </cell>
        </row>
        <row r="24">
          <cell r="A24" t="str">
            <v>1221.01</v>
          </cell>
          <cell r="B24" t="str">
            <v>　　单位</v>
          </cell>
          <cell r="E24">
            <v>25569.34</v>
          </cell>
        </row>
        <row r="25">
          <cell r="A25" t="str">
            <v>1221.01</v>
          </cell>
          <cell r="B25" t="str">
            <v>　　单位</v>
          </cell>
          <cell r="C25" t="str">
            <v>CU003010</v>
          </cell>
          <cell r="D25" t="str">
            <v>旭智富能新能源（深圳）有限责任公司</v>
          </cell>
          <cell r="E25">
            <v>4800</v>
          </cell>
        </row>
        <row r="26">
          <cell r="A26" t="str">
            <v>1221.01</v>
          </cell>
          <cell r="B26" t="str">
            <v>　　单位</v>
          </cell>
          <cell r="C26" t="str">
            <v>CU006006</v>
          </cell>
          <cell r="D26" t="str">
            <v>爱奇创新投资研究（深圳）有限公司</v>
          </cell>
          <cell r="E26">
            <v>10000</v>
          </cell>
        </row>
        <row r="27">
          <cell r="A27" t="str">
            <v>1221.01</v>
          </cell>
          <cell r="B27" t="str">
            <v>　　单位</v>
          </cell>
          <cell r="C27" t="str">
            <v>CU006007</v>
          </cell>
          <cell r="D27" t="str">
            <v>深圳旭智私募股权基金管理有限公司</v>
          </cell>
        </row>
        <row r="28">
          <cell r="A28" t="str">
            <v>1221.01</v>
          </cell>
          <cell r="B28" t="str">
            <v>　　单位</v>
          </cell>
          <cell r="C28" t="str">
            <v>CU006008</v>
          </cell>
          <cell r="D28" t="str">
            <v>旭智富联（鹤壁）新能源有限责任公司</v>
          </cell>
          <cell r="E28">
            <v>2180</v>
          </cell>
        </row>
        <row r="29">
          <cell r="A29" t="str">
            <v>1221.01</v>
          </cell>
          <cell r="B29" t="str">
            <v>　　单位</v>
          </cell>
          <cell r="C29" t="str">
            <v>CU006009</v>
          </cell>
          <cell r="D29" t="str">
            <v>旭智兴邦（潍坊）农业高新科技有限公司</v>
          </cell>
          <cell r="E29">
            <v>3250</v>
          </cell>
        </row>
        <row r="30">
          <cell r="A30" t="str">
            <v>1221.01</v>
          </cell>
          <cell r="B30" t="str">
            <v>　　单位</v>
          </cell>
          <cell r="C30" t="str">
            <v>CU010001</v>
          </cell>
          <cell r="D30" t="str">
            <v>郴州市苏仙区景叶新能源有限责任公司</v>
          </cell>
          <cell r="E30">
            <v>5339.34</v>
          </cell>
        </row>
        <row r="31">
          <cell r="A31" t="str">
            <v>1511</v>
          </cell>
          <cell r="B31" t="str">
            <v>长期股权投资</v>
          </cell>
          <cell r="E31">
            <v>4356000</v>
          </cell>
        </row>
        <row r="32">
          <cell r="A32" t="str">
            <v>1511.01</v>
          </cell>
          <cell r="B32" t="str">
            <v>　　投资成本</v>
          </cell>
          <cell r="E32">
            <v>4356000</v>
          </cell>
        </row>
        <row r="33">
          <cell r="A33" t="str">
            <v>1511.01.01</v>
          </cell>
          <cell r="B33" t="str">
            <v>　　　　宜兴旭智投资咨询合伙企业（有限合伙）</v>
          </cell>
          <cell r="E33">
            <v>4356000</v>
          </cell>
        </row>
        <row r="34">
          <cell r="A34" t="str">
            <v>1601</v>
          </cell>
          <cell r="B34" t="str">
            <v>固定资产</v>
          </cell>
          <cell r="E34">
            <v>114423.03999999999</v>
          </cell>
          <cell r="G34">
            <v>5424.62</v>
          </cell>
        </row>
        <row r="35">
          <cell r="A35" t="str">
            <v>1601.01</v>
          </cell>
          <cell r="B35" t="str">
            <v>　　电子设备</v>
          </cell>
          <cell r="E35">
            <v>71591</v>
          </cell>
          <cell r="G35">
            <v>5424.62</v>
          </cell>
        </row>
        <row r="36">
          <cell r="A36" t="str">
            <v>1601.04</v>
          </cell>
          <cell r="B36" t="str">
            <v>　　家具设备</v>
          </cell>
          <cell r="E36">
            <v>42832.04</v>
          </cell>
        </row>
        <row r="37">
          <cell r="A37" t="str">
            <v>1602</v>
          </cell>
          <cell r="B37" t="str">
            <v>累计折旧</v>
          </cell>
          <cell r="F37">
            <v>31573</v>
          </cell>
          <cell r="H37">
            <v>2567.31</v>
          </cell>
        </row>
        <row r="38">
          <cell r="A38" t="str">
            <v>1602.01</v>
          </cell>
          <cell r="B38" t="str">
            <v>　　电子设备</v>
          </cell>
          <cell r="F38">
            <v>9451.31</v>
          </cell>
          <cell r="H38">
            <v>678.09</v>
          </cell>
        </row>
        <row r="39">
          <cell r="A39" t="str">
            <v>1602.04</v>
          </cell>
          <cell r="B39" t="str">
            <v>　　家具设备</v>
          </cell>
          <cell r="F39">
            <v>22121.69</v>
          </cell>
          <cell r="H39">
            <v>1889.22</v>
          </cell>
        </row>
        <row r="40">
          <cell r="A40" t="str">
            <v>1606</v>
          </cell>
          <cell r="B40" t="str">
            <v>固定资产清理</v>
          </cell>
        </row>
        <row r="41">
          <cell r="A41" t="str">
            <v>1606.04</v>
          </cell>
          <cell r="B41" t="str">
            <v>　　家具设备</v>
          </cell>
        </row>
        <row r="42">
          <cell r="A42" t="str">
            <v>1641</v>
          </cell>
          <cell r="B42" t="str">
            <v>使用权资产</v>
          </cell>
        </row>
        <row r="43">
          <cell r="A43" t="str">
            <v>1641.01</v>
          </cell>
          <cell r="B43" t="str">
            <v>　　打印机租赁</v>
          </cell>
        </row>
        <row r="44">
          <cell r="A44" t="str">
            <v>1641.02</v>
          </cell>
          <cell r="B44" t="str">
            <v>　　办公地址</v>
          </cell>
        </row>
        <row r="45">
          <cell r="A45" t="str">
            <v>1641.02.01</v>
          </cell>
          <cell r="B45" t="str">
            <v>　　　　旭智咨询--鼎和大厦1606</v>
          </cell>
        </row>
        <row r="46">
          <cell r="A46" t="str">
            <v>1642</v>
          </cell>
          <cell r="B46" t="str">
            <v>使用权资产累计折旧</v>
          </cell>
        </row>
        <row r="47">
          <cell r="A47" t="str">
            <v>1642.01</v>
          </cell>
          <cell r="B47" t="str">
            <v>　　打印机租赁</v>
          </cell>
        </row>
        <row r="48">
          <cell r="A48" t="str">
            <v>1642.02</v>
          </cell>
          <cell r="B48" t="str">
            <v>　　办公地址</v>
          </cell>
        </row>
        <row r="49">
          <cell r="A49" t="str">
            <v>1642.02.01</v>
          </cell>
          <cell r="B49" t="str">
            <v>　　　　旭智咨询--鼎和大厦1606</v>
          </cell>
        </row>
        <row r="50">
          <cell r="A50" t="str">
            <v>1801</v>
          </cell>
          <cell r="B50" t="str">
            <v>长期待摊费用</v>
          </cell>
        </row>
        <row r="51">
          <cell r="A51" t="str">
            <v>1801.01</v>
          </cell>
          <cell r="B51" t="str">
            <v>　　装修费</v>
          </cell>
        </row>
        <row r="52">
          <cell r="A52" t="str">
            <v>2203</v>
          </cell>
          <cell r="B52" t="str">
            <v>预收账款</v>
          </cell>
        </row>
        <row r="53">
          <cell r="A53" t="str">
            <v>2203.01</v>
          </cell>
          <cell r="B53" t="str">
            <v>　　单位</v>
          </cell>
        </row>
        <row r="54">
          <cell r="A54" t="str">
            <v>2203.01</v>
          </cell>
          <cell r="B54" t="str">
            <v>　　单位</v>
          </cell>
          <cell r="C54" t="str">
            <v>CU006001</v>
          </cell>
          <cell r="D54" t="str">
            <v>胜科辉飏新能源（深圳）有限公司</v>
          </cell>
        </row>
        <row r="55">
          <cell r="A55" t="str">
            <v>2211</v>
          </cell>
          <cell r="B55" t="str">
            <v>应付职工薪酬</v>
          </cell>
          <cell r="F55">
            <v>154721.28</v>
          </cell>
          <cell r="G55">
            <v>321918.67</v>
          </cell>
          <cell r="H55">
            <v>321918.67</v>
          </cell>
        </row>
        <row r="56">
          <cell r="A56" t="str">
            <v>2211.01</v>
          </cell>
          <cell r="B56" t="str">
            <v>　　职工工资</v>
          </cell>
          <cell r="G56">
            <v>198320.82</v>
          </cell>
          <cell r="H56">
            <v>198320.82</v>
          </cell>
        </row>
        <row r="57">
          <cell r="A57" t="str">
            <v>2211.02</v>
          </cell>
          <cell r="B57" t="str">
            <v>　　职工奖金</v>
          </cell>
          <cell r="F57">
            <v>133125</v>
          </cell>
        </row>
        <row r="58">
          <cell r="A58" t="str">
            <v>2211.03</v>
          </cell>
          <cell r="B58" t="str">
            <v>　　劳务报酬</v>
          </cell>
          <cell r="G58">
            <v>4200</v>
          </cell>
          <cell r="H58">
            <v>4200</v>
          </cell>
        </row>
        <row r="59">
          <cell r="A59" t="str">
            <v>2211.05</v>
          </cell>
          <cell r="B59" t="str">
            <v>　　社会保险费</v>
          </cell>
          <cell r="F59">
            <v>13128.28</v>
          </cell>
          <cell r="G59">
            <v>66397.53</v>
          </cell>
          <cell r="H59">
            <v>66397.53</v>
          </cell>
        </row>
        <row r="60">
          <cell r="A60" t="str">
            <v>2211.06</v>
          </cell>
          <cell r="B60" t="str">
            <v>　　住房公积金</v>
          </cell>
          <cell r="F60">
            <v>8468</v>
          </cell>
          <cell r="G60">
            <v>53000.32</v>
          </cell>
          <cell r="H60">
            <v>53000.32</v>
          </cell>
        </row>
        <row r="61">
          <cell r="A61" t="str">
            <v>2221</v>
          </cell>
          <cell r="B61" t="str">
            <v>应交税费</v>
          </cell>
          <cell r="F61">
            <v>83581.149999999994</v>
          </cell>
          <cell r="G61">
            <v>79259.27</v>
          </cell>
          <cell r="H61">
            <v>31228.99</v>
          </cell>
        </row>
        <row r="62">
          <cell r="A62" t="str">
            <v>2221.01</v>
          </cell>
          <cell r="B62" t="str">
            <v>　　应交增值税</v>
          </cell>
          <cell r="G62">
            <v>3314.88</v>
          </cell>
          <cell r="H62">
            <v>3314.88</v>
          </cell>
        </row>
        <row r="63">
          <cell r="A63" t="str">
            <v>2221.01.01</v>
          </cell>
          <cell r="B63" t="str">
            <v>　　　　销项税额</v>
          </cell>
        </row>
        <row r="64">
          <cell r="A64" t="str">
            <v>2221.01.03</v>
          </cell>
          <cell r="B64" t="str">
            <v>　　　　进项税额</v>
          </cell>
          <cell r="G64">
            <v>1657.44</v>
          </cell>
          <cell r="H64">
            <v>1657.44</v>
          </cell>
        </row>
        <row r="65">
          <cell r="A65" t="str">
            <v>2221.01.06</v>
          </cell>
          <cell r="B65" t="str">
            <v>　　　　转出未交增值税</v>
          </cell>
          <cell r="G65">
            <v>1657.44</v>
          </cell>
          <cell r="H65">
            <v>1657.44</v>
          </cell>
        </row>
        <row r="66">
          <cell r="A66" t="str">
            <v>2221.03</v>
          </cell>
          <cell r="B66" t="str">
            <v>　　暂估进项税额</v>
          </cell>
          <cell r="E66">
            <v>713.47</v>
          </cell>
          <cell r="G66">
            <v>966</v>
          </cell>
          <cell r="H66">
            <v>674.54</v>
          </cell>
        </row>
        <row r="67">
          <cell r="A67" t="str">
            <v>2221.04</v>
          </cell>
          <cell r="B67" t="str">
            <v>　　未交增值税</v>
          </cell>
          <cell r="F67">
            <v>51582.73</v>
          </cell>
          <cell r="G67">
            <v>53240.17</v>
          </cell>
        </row>
        <row r="68">
          <cell r="A68" t="str">
            <v>2221.06</v>
          </cell>
          <cell r="B68" t="str">
            <v>　　待认证进项税额</v>
          </cell>
          <cell r="G68">
            <v>1662.16</v>
          </cell>
          <cell r="H68">
            <v>1657.44</v>
          </cell>
        </row>
        <row r="69">
          <cell r="A69" t="str">
            <v>2221.08</v>
          </cell>
          <cell r="B69" t="str">
            <v>　　待转销项税额</v>
          </cell>
          <cell r="F69">
            <v>12635.93</v>
          </cell>
        </row>
        <row r="70">
          <cell r="A70" t="str">
            <v>2221.12</v>
          </cell>
          <cell r="B70" t="str">
            <v>　　应交城市维护建设税</v>
          </cell>
          <cell r="F70">
            <v>1805.39</v>
          </cell>
          <cell r="G70">
            <v>1805.39</v>
          </cell>
        </row>
        <row r="71">
          <cell r="A71" t="str">
            <v>2221.13</v>
          </cell>
          <cell r="B71" t="str">
            <v>　　应交教育费附加</v>
          </cell>
          <cell r="F71">
            <v>773.74</v>
          </cell>
          <cell r="G71">
            <v>773.74</v>
          </cell>
        </row>
        <row r="72">
          <cell r="A72" t="str">
            <v>2221.14</v>
          </cell>
          <cell r="B72" t="str">
            <v>　　应交地方教育附加</v>
          </cell>
          <cell r="F72">
            <v>515.82000000000005</v>
          </cell>
          <cell r="G72">
            <v>515.82000000000005</v>
          </cell>
        </row>
        <row r="73">
          <cell r="A73" t="str">
            <v>2221.15</v>
          </cell>
          <cell r="B73" t="str">
            <v>　　应交企业所得税</v>
          </cell>
        </row>
        <row r="74">
          <cell r="A74" t="str">
            <v>2221.16</v>
          </cell>
          <cell r="B74" t="str">
            <v>　　应交个人所得税</v>
          </cell>
          <cell r="F74">
            <v>16981.009999999998</v>
          </cell>
          <cell r="G74">
            <v>16981.11</v>
          </cell>
          <cell r="H74">
            <v>25582.13</v>
          </cell>
        </row>
        <row r="75">
          <cell r="A75" t="str">
            <v>2241</v>
          </cell>
          <cell r="B75" t="str">
            <v>其他应付款</v>
          </cell>
          <cell r="F75">
            <v>2200616.3199999998</v>
          </cell>
          <cell r="G75">
            <v>503609.72</v>
          </cell>
          <cell r="H75">
            <v>973957.31</v>
          </cell>
        </row>
        <row r="76">
          <cell r="A76" t="str">
            <v>2241.01</v>
          </cell>
          <cell r="B76" t="str">
            <v>　　单位</v>
          </cell>
          <cell r="F76">
            <v>2200616.3199999998</v>
          </cell>
          <cell r="G76">
            <v>486710.57</v>
          </cell>
          <cell r="H76">
            <v>957058.16</v>
          </cell>
        </row>
        <row r="77">
          <cell r="A77" t="str">
            <v>2241.01</v>
          </cell>
          <cell r="B77" t="str">
            <v>　　单位</v>
          </cell>
          <cell r="C77" t="str">
            <v>SU005004</v>
          </cell>
          <cell r="D77" t="str">
            <v>上海爱文人才服务有限公司</v>
          </cell>
          <cell r="G77">
            <v>99801.57</v>
          </cell>
          <cell r="H77">
            <v>99801.57</v>
          </cell>
        </row>
        <row r="78">
          <cell r="A78" t="str">
            <v>2241.01</v>
          </cell>
          <cell r="B78" t="str">
            <v>　　单位</v>
          </cell>
          <cell r="C78" t="str">
            <v>SU005007</v>
          </cell>
          <cell r="D78" t="str">
            <v>普华永道中天会计师事务所（特殊普通合伙）</v>
          </cell>
          <cell r="F78">
            <v>14051.17</v>
          </cell>
          <cell r="H78">
            <v>14051.17</v>
          </cell>
        </row>
        <row r="79">
          <cell r="A79" t="str">
            <v>2241.01</v>
          </cell>
          <cell r="B79" t="str">
            <v>　　单位</v>
          </cell>
          <cell r="C79" t="str">
            <v>SU005026</v>
          </cell>
          <cell r="D79" t="str">
            <v>中国电信股份有限公司</v>
          </cell>
          <cell r="G79">
            <v>399</v>
          </cell>
          <cell r="H79">
            <v>399</v>
          </cell>
        </row>
        <row r="80">
          <cell r="A80" t="str">
            <v>2241.01</v>
          </cell>
          <cell r="B80" t="str">
            <v>　　单位</v>
          </cell>
          <cell r="C80" t="str">
            <v>SU005037</v>
          </cell>
          <cell r="D80" t="str">
            <v>深圳点石新能源投资有限责任公司</v>
          </cell>
        </row>
        <row r="81">
          <cell r="A81" t="str">
            <v>2241.01</v>
          </cell>
          <cell r="B81" t="str">
            <v>　　单位</v>
          </cell>
          <cell r="C81" t="str">
            <v>SU005039</v>
          </cell>
          <cell r="D81" t="str">
            <v>海华税务师事务所有限公司深圳分公司</v>
          </cell>
          <cell r="G81">
            <v>7000</v>
          </cell>
          <cell r="H81">
            <v>7000</v>
          </cell>
        </row>
        <row r="82">
          <cell r="A82" t="str">
            <v>2241.01</v>
          </cell>
          <cell r="B82" t="str">
            <v>　　单位</v>
          </cell>
          <cell r="C82" t="str">
            <v>SU005043</v>
          </cell>
          <cell r="D82" t="str">
            <v>旭智资本有限公司</v>
          </cell>
        </row>
        <row r="83">
          <cell r="A83" t="str">
            <v>2241.01</v>
          </cell>
          <cell r="B83" t="str">
            <v>　　单位</v>
          </cell>
          <cell r="C83" t="str">
            <v>SU006006</v>
          </cell>
          <cell r="D83" t="str">
            <v>深圳市新趋势科技有限公司</v>
          </cell>
        </row>
        <row r="84">
          <cell r="A84" t="str">
            <v>2241.01</v>
          </cell>
          <cell r="B84" t="str">
            <v>　　单位</v>
          </cell>
          <cell r="C84" t="str">
            <v>SU006012</v>
          </cell>
          <cell r="D84" t="str">
            <v>上海携程宏睿国际旅行社有限公司</v>
          </cell>
          <cell r="F84">
            <v>27126</v>
          </cell>
          <cell r="G84">
            <v>27126</v>
          </cell>
          <cell r="H84">
            <v>33422.42</v>
          </cell>
        </row>
        <row r="85">
          <cell r="A85" t="str">
            <v>2241.01</v>
          </cell>
          <cell r="B85" t="str">
            <v>　　单位</v>
          </cell>
          <cell r="C85" t="str">
            <v>SU006016</v>
          </cell>
          <cell r="D85" t="str">
            <v>爱奇创新投资研究（深圳）有限公司</v>
          </cell>
        </row>
        <row r="86">
          <cell r="A86" t="str">
            <v>2241.01</v>
          </cell>
          <cell r="B86" t="str">
            <v>　　单位</v>
          </cell>
          <cell r="C86" t="str">
            <v>SU006018</v>
          </cell>
          <cell r="D86" t="str">
            <v>深圳辉飏新能源投资咨询有限责任公司</v>
          </cell>
        </row>
        <row r="87">
          <cell r="A87" t="str">
            <v>2241.01</v>
          </cell>
          <cell r="B87" t="str">
            <v>　　单位</v>
          </cell>
          <cell r="C87" t="str">
            <v>SU006021</v>
          </cell>
          <cell r="D87" t="str">
            <v>北京市汉坤律师事务所</v>
          </cell>
          <cell r="F87">
            <v>40000</v>
          </cell>
        </row>
        <row r="88">
          <cell r="A88" t="str">
            <v>2241.01</v>
          </cell>
          <cell r="B88" t="str">
            <v>　　单位</v>
          </cell>
          <cell r="C88" t="str">
            <v>SU006023</v>
          </cell>
          <cell r="D88" t="str">
            <v>顺丰速运有限公司</v>
          </cell>
          <cell r="G88">
            <v>574</v>
          </cell>
          <cell r="H88">
            <v>574</v>
          </cell>
        </row>
        <row r="89">
          <cell r="A89" t="str">
            <v>2241.01</v>
          </cell>
          <cell r="B89" t="str">
            <v>　　单位</v>
          </cell>
          <cell r="C89" t="str">
            <v>SU006025</v>
          </cell>
          <cell r="D89" t="str">
            <v>全景求是管理顾问（北京）有限公司</v>
          </cell>
          <cell r="G89">
            <v>1810</v>
          </cell>
          <cell r="H89">
            <v>1810</v>
          </cell>
        </row>
        <row r="90">
          <cell r="A90" t="str">
            <v>2241.01</v>
          </cell>
          <cell r="B90" t="str">
            <v>　　单位</v>
          </cell>
          <cell r="C90" t="str">
            <v>SU006026</v>
          </cell>
          <cell r="D90" t="str">
            <v>和谐汇股权投资管理（北京）有限公司</v>
          </cell>
          <cell r="F90">
            <v>350000</v>
          </cell>
          <cell r="G90">
            <v>350000</v>
          </cell>
          <cell r="H90">
            <v>350000</v>
          </cell>
        </row>
        <row r="91">
          <cell r="A91" t="str">
            <v>2241.01</v>
          </cell>
          <cell r="B91" t="str">
            <v>　　单位</v>
          </cell>
          <cell r="C91" t="str">
            <v>SU006027</v>
          </cell>
          <cell r="D91" t="str">
            <v>南德认证检测（中国）有限公司</v>
          </cell>
        </row>
        <row r="92">
          <cell r="A92" t="str">
            <v>2241.01</v>
          </cell>
          <cell r="B92" t="str">
            <v>　　单位</v>
          </cell>
          <cell r="C92" t="str">
            <v>SU006029</v>
          </cell>
          <cell r="D92" t="str">
            <v>宁波梅山保税港区爱奇观恒投资管理有限公司</v>
          </cell>
          <cell r="H92">
            <v>190000</v>
          </cell>
        </row>
        <row r="93">
          <cell r="A93" t="str">
            <v>2241.01</v>
          </cell>
          <cell r="B93" t="str">
            <v>　　单位</v>
          </cell>
          <cell r="C93" t="str">
            <v>SU006032</v>
          </cell>
          <cell r="D93" t="str">
            <v>广州旭智投资控股有限责任公司</v>
          </cell>
          <cell r="F93">
            <v>1509439.15</v>
          </cell>
        </row>
        <row r="94">
          <cell r="A94" t="str">
            <v>2241.01</v>
          </cell>
          <cell r="B94" t="str">
            <v>　　单位</v>
          </cell>
          <cell r="C94" t="str">
            <v>SU006033</v>
          </cell>
          <cell r="D94" t="str">
            <v>上海硕昉管理咨询有限公司</v>
          </cell>
          <cell r="F94">
            <v>260000</v>
          </cell>
          <cell r="H94">
            <v>260000</v>
          </cell>
        </row>
        <row r="95">
          <cell r="A95" t="str">
            <v>2241.02</v>
          </cell>
          <cell r="B95" t="str">
            <v>　　个人</v>
          </cell>
          <cell r="G95">
            <v>16899.150000000001</v>
          </cell>
          <cell r="H95">
            <v>16899.150000000001</v>
          </cell>
        </row>
        <row r="96">
          <cell r="A96" t="str">
            <v>2241.02</v>
          </cell>
          <cell r="B96" t="str">
            <v>　　个人</v>
          </cell>
          <cell r="C96" t="str">
            <v>SP005001</v>
          </cell>
          <cell r="D96" t="str">
            <v>冯冠邦</v>
          </cell>
        </row>
        <row r="97">
          <cell r="A97" t="str">
            <v>2241.02</v>
          </cell>
          <cell r="B97" t="str">
            <v>　　个人</v>
          </cell>
          <cell r="C97" t="str">
            <v>SP005011</v>
          </cell>
          <cell r="D97" t="str">
            <v>郭宗林</v>
          </cell>
        </row>
        <row r="98">
          <cell r="A98" t="str">
            <v>2241.02</v>
          </cell>
          <cell r="B98" t="str">
            <v>　　个人</v>
          </cell>
          <cell r="C98" t="str">
            <v>SP005012</v>
          </cell>
          <cell r="D98" t="str">
            <v>吴雅薇</v>
          </cell>
        </row>
        <row r="99">
          <cell r="A99" t="str">
            <v>2241.02</v>
          </cell>
          <cell r="B99" t="str">
            <v>　　个人</v>
          </cell>
          <cell r="C99" t="str">
            <v>SP006003</v>
          </cell>
          <cell r="D99" t="str">
            <v>袁玉杰</v>
          </cell>
          <cell r="G99">
            <v>4262.3900000000003</v>
          </cell>
          <cell r="H99">
            <v>4262.3900000000003</v>
          </cell>
        </row>
        <row r="100">
          <cell r="A100" t="str">
            <v>2241.02</v>
          </cell>
          <cell r="B100" t="str">
            <v>　　个人</v>
          </cell>
          <cell r="C100" t="str">
            <v>SP006004</v>
          </cell>
          <cell r="D100" t="str">
            <v>高焙</v>
          </cell>
          <cell r="G100">
            <v>2052</v>
          </cell>
          <cell r="H100">
            <v>2052</v>
          </cell>
        </row>
        <row r="101">
          <cell r="A101" t="str">
            <v>2241.02</v>
          </cell>
          <cell r="B101" t="str">
            <v>　　个人</v>
          </cell>
          <cell r="C101" t="str">
            <v>SP006006</v>
          </cell>
          <cell r="D101" t="str">
            <v>王志强</v>
          </cell>
        </row>
        <row r="102">
          <cell r="A102" t="str">
            <v>2241.02</v>
          </cell>
          <cell r="B102" t="str">
            <v>　　个人</v>
          </cell>
          <cell r="C102" t="str">
            <v>SP006007</v>
          </cell>
          <cell r="D102" t="str">
            <v>徐彬</v>
          </cell>
        </row>
        <row r="103">
          <cell r="A103" t="str">
            <v>2241.02</v>
          </cell>
          <cell r="B103" t="str">
            <v>　　个人</v>
          </cell>
          <cell r="C103" t="str">
            <v>SP006008</v>
          </cell>
          <cell r="D103" t="str">
            <v>何梅春</v>
          </cell>
          <cell r="G103">
            <v>1912.98</v>
          </cell>
          <cell r="H103">
            <v>1912.98</v>
          </cell>
        </row>
        <row r="104">
          <cell r="A104" t="str">
            <v>2241.02</v>
          </cell>
          <cell r="B104" t="str">
            <v>　　个人</v>
          </cell>
          <cell r="C104" t="str">
            <v>SP006009</v>
          </cell>
          <cell r="D104" t="str">
            <v>林秋蝶</v>
          </cell>
        </row>
        <row r="105">
          <cell r="A105" t="str">
            <v>2241.02</v>
          </cell>
          <cell r="B105" t="str">
            <v>　　个人</v>
          </cell>
          <cell r="C105" t="str">
            <v>SP006012</v>
          </cell>
          <cell r="D105" t="str">
            <v>闫凯</v>
          </cell>
          <cell r="G105">
            <v>1469.68</v>
          </cell>
          <cell r="H105">
            <v>1469.68</v>
          </cell>
        </row>
        <row r="106">
          <cell r="A106" t="str">
            <v>2241.02</v>
          </cell>
          <cell r="B106" t="str">
            <v>　　个人</v>
          </cell>
          <cell r="C106" t="str">
            <v>SP006013</v>
          </cell>
          <cell r="D106" t="str">
            <v>叶亚峰</v>
          </cell>
          <cell r="G106">
            <v>7202.1</v>
          </cell>
          <cell r="H106">
            <v>7202.1</v>
          </cell>
        </row>
        <row r="107">
          <cell r="A107" t="str">
            <v>2601</v>
          </cell>
          <cell r="B107" t="str">
            <v>租赁负债</v>
          </cell>
        </row>
        <row r="108">
          <cell r="A108" t="str">
            <v>2601.01</v>
          </cell>
          <cell r="B108" t="str">
            <v>　　租赁付款额</v>
          </cell>
        </row>
        <row r="109">
          <cell r="A109" t="str">
            <v>2601.01.02</v>
          </cell>
          <cell r="B109" t="str">
            <v>　　　　办公地址</v>
          </cell>
        </row>
        <row r="110">
          <cell r="A110" t="str">
            <v>2601.01.02.01</v>
          </cell>
          <cell r="B110" t="str">
            <v>　　　　　　旭智咨询--鼎和大厦1606</v>
          </cell>
        </row>
        <row r="111">
          <cell r="A111" t="str">
            <v>2601.02</v>
          </cell>
          <cell r="B111" t="str">
            <v>　　未确认融资费用</v>
          </cell>
        </row>
        <row r="112">
          <cell r="A112" t="str">
            <v>2601.02.02</v>
          </cell>
          <cell r="B112" t="str">
            <v>　　　　办公地址</v>
          </cell>
        </row>
        <row r="113">
          <cell r="A113" t="str">
            <v>2601.02.02.01</v>
          </cell>
          <cell r="B113" t="str">
            <v>　　　　　　旭智咨询--鼎和大厦1606</v>
          </cell>
        </row>
        <row r="114">
          <cell r="A114" t="str">
            <v>2601.03</v>
          </cell>
          <cell r="B114" t="str">
            <v>　　一年内到期的非流动负债</v>
          </cell>
        </row>
        <row r="115">
          <cell r="A115" t="str">
            <v>4001</v>
          </cell>
          <cell r="B115" t="str">
            <v>实收资本（股本）</v>
          </cell>
          <cell r="F115">
            <v>2500000</v>
          </cell>
        </row>
        <row r="116">
          <cell r="A116" t="str">
            <v>4001.10</v>
          </cell>
          <cell r="B116" t="str">
            <v>　　旭智资本有限公司</v>
          </cell>
          <cell r="F116">
            <v>2500000</v>
          </cell>
        </row>
        <row r="117">
          <cell r="A117" t="str">
            <v>4101</v>
          </cell>
          <cell r="B117" t="str">
            <v>盈余公积</v>
          </cell>
          <cell r="F117">
            <v>140513.82</v>
          </cell>
        </row>
        <row r="118">
          <cell r="A118" t="str">
            <v>4101.01</v>
          </cell>
          <cell r="B118" t="str">
            <v>　　法定盈余公积</v>
          </cell>
          <cell r="F118">
            <v>140513.82</v>
          </cell>
        </row>
        <row r="119">
          <cell r="A119" t="str">
            <v>4103</v>
          </cell>
          <cell r="B119" t="str">
            <v>本年利润</v>
          </cell>
          <cell r="F119">
            <v>956840.38</v>
          </cell>
          <cell r="G119">
            <v>1242934.42</v>
          </cell>
        </row>
        <row r="120">
          <cell r="A120" t="str">
            <v>4104</v>
          </cell>
          <cell r="B120" t="str">
            <v>利润分配</v>
          </cell>
          <cell r="F120">
            <v>1264624.46</v>
          </cell>
        </row>
        <row r="121">
          <cell r="A121" t="str">
            <v>4104.07</v>
          </cell>
          <cell r="B121" t="str">
            <v>　　未分配利润</v>
          </cell>
          <cell r="F121">
            <v>1264624.46</v>
          </cell>
        </row>
        <row r="122">
          <cell r="A122" t="str">
            <v>6001</v>
          </cell>
          <cell r="B122" t="str">
            <v>主营业务收入</v>
          </cell>
        </row>
        <row r="123">
          <cell r="A123" t="str">
            <v>6001.02</v>
          </cell>
          <cell r="B123" t="str">
            <v>　　咨询服务费收入</v>
          </cell>
        </row>
        <row r="124">
          <cell r="A124" t="str">
            <v>6001.02.01</v>
          </cell>
          <cell r="B124" t="str">
            <v>　　　　已开票</v>
          </cell>
        </row>
        <row r="125">
          <cell r="A125" t="str">
            <v>6001.02.01</v>
          </cell>
          <cell r="B125" t="str">
            <v>　　　　已开票</v>
          </cell>
          <cell r="C125" t="str">
            <v>【未录入】</v>
          </cell>
          <cell r="D125" t="str">
            <v>【未录入】</v>
          </cell>
        </row>
        <row r="126">
          <cell r="A126" t="str">
            <v>6115</v>
          </cell>
          <cell r="B126" t="str">
            <v>其他收益</v>
          </cell>
        </row>
        <row r="127">
          <cell r="A127" t="str">
            <v>6115.02</v>
          </cell>
          <cell r="B127" t="str">
            <v>　　个税手续费返还</v>
          </cell>
        </row>
        <row r="128">
          <cell r="A128" t="str">
            <v>6117</v>
          </cell>
          <cell r="B128" t="str">
            <v>资产处置损益</v>
          </cell>
        </row>
        <row r="129">
          <cell r="A129" t="str">
            <v>6405</v>
          </cell>
          <cell r="B129" t="str">
            <v>税金及附加</v>
          </cell>
        </row>
        <row r="130">
          <cell r="A130" t="str">
            <v>6405.02</v>
          </cell>
          <cell r="B130" t="str">
            <v>　　城市维护建设税</v>
          </cell>
        </row>
        <row r="131">
          <cell r="A131" t="str">
            <v>6405.03</v>
          </cell>
          <cell r="B131" t="str">
            <v>　　教育费附加</v>
          </cell>
        </row>
        <row r="132">
          <cell r="A132" t="str">
            <v>6405.04</v>
          </cell>
          <cell r="B132" t="str">
            <v>　　地方教育附加</v>
          </cell>
        </row>
        <row r="133">
          <cell r="A133" t="str">
            <v>6602</v>
          </cell>
          <cell r="B133" t="str">
            <v>管理费用</v>
          </cell>
          <cell r="G133">
            <v>1245638.0900000001</v>
          </cell>
          <cell r="H133">
            <v>1245638.0900000001</v>
          </cell>
        </row>
        <row r="134">
          <cell r="A134" t="str">
            <v>6602.01</v>
          </cell>
          <cell r="B134" t="str">
            <v>　　工资薪金</v>
          </cell>
          <cell r="G134">
            <v>274132.18</v>
          </cell>
          <cell r="H134">
            <v>274132.18</v>
          </cell>
        </row>
        <row r="135">
          <cell r="A135" t="str">
            <v>6602.01.01</v>
          </cell>
          <cell r="B135" t="str">
            <v>　　　　基本工资（专业）</v>
          </cell>
          <cell r="G135">
            <v>269132.18</v>
          </cell>
          <cell r="H135">
            <v>269132.18</v>
          </cell>
        </row>
        <row r="136">
          <cell r="A136" t="str">
            <v>6602.01.03</v>
          </cell>
          <cell r="B136" t="str">
            <v>　　　　员工奖金（专业）</v>
          </cell>
        </row>
        <row r="137">
          <cell r="A137" t="str">
            <v>6602.01.06</v>
          </cell>
          <cell r="B137" t="str">
            <v>　　　　劳务报酬</v>
          </cell>
          <cell r="G137">
            <v>5000</v>
          </cell>
          <cell r="H137">
            <v>5000</v>
          </cell>
        </row>
        <row r="138">
          <cell r="A138" t="str">
            <v>6602.02</v>
          </cell>
          <cell r="B138" t="str">
            <v>　　职工福利</v>
          </cell>
        </row>
        <row r="139">
          <cell r="A139" t="str">
            <v>6602.02.02</v>
          </cell>
          <cell r="B139" t="str">
            <v>　　　　团建活动</v>
          </cell>
        </row>
        <row r="140">
          <cell r="A140" t="str">
            <v>6602.02.03</v>
          </cell>
          <cell r="B140" t="str">
            <v>　　　　体检费</v>
          </cell>
        </row>
        <row r="141">
          <cell r="A141" t="str">
            <v>6602.03</v>
          </cell>
          <cell r="B141" t="str">
            <v>　　社保公积金</v>
          </cell>
          <cell r="G141">
            <v>73368.62</v>
          </cell>
          <cell r="H141">
            <v>73368.62</v>
          </cell>
        </row>
        <row r="142">
          <cell r="A142" t="str">
            <v>6602.03.01</v>
          </cell>
          <cell r="B142" t="str">
            <v>　　　　员工社保福利</v>
          </cell>
          <cell r="G142">
            <v>46868.46</v>
          </cell>
          <cell r="H142">
            <v>46868.46</v>
          </cell>
        </row>
        <row r="143">
          <cell r="A143" t="str">
            <v>6602.03.02</v>
          </cell>
          <cell r="B143" t="str">
            <v>　　　　员工公积金福利</v>
          </cell>
          <cell r="G143">
            <v>26500.16</v>
          </cell>
          <cell r="H143">
            <v>26500.16</v>
          </cell>
        </row>
        <row r="144">
          <cell r="A144" t="str">
            <v>6602.04</v>
          </cell>
          <cell r="B144" t="str">
            <v>　　咨询及专业服务费</v>
          </cell>
          <cell r="G144">
            <v>844173.81</v>
          </cell>
          <cell r="H144">
            <v>844173.81</v>
          </cell>
        </row>
        <row r="145">
          <cell r="A145" t="str">
            <v>6602.04.02</v>
          </cell>
          <cell r="B145" t="str">
            <v>　　　　审计服务费</v>
          </cell>
          <cell r="G145">
            <v>14051.17</v>
          </cell>
          <cell r="H145">
            <v>14051.17</v>
          </cell>
        </row>
        <row r="146">
          <cell r="A146" t="str">
            <v>6602.04.03</v>
          </cell>
          <cell r="B146" t="str">
            <v>　　　　顾问费</v>
          </cell>
          <cell r="G146">
            <v>800000</v>
          </cell>
          <cell r="H146">
            <v>800000</v>
          </cell>
        </row>
        <row r="147">
          <cell r="A147" t="str">
            <v>6602.04.03</v>
          </cell>
          <cell r="B147" t="str">
            <v>　　　　顾问费</v>
          </cell>
          <cell r="C147" t="str">
            <v>【未录入】</v>
          </cell>
          <cell r="D147" t="str">
            <v>【未录入】</v>
          </cell>
        </row>
        <row r="148">
          <cell r="A148" t="str">
            <v>6602.04.03</v>
          </cell>
          <cell r="B148" t="str">
            <v>　　　　顾问费</v>
          </cell>
          <cell r="C148" t="str">
            <v>CI006</v>
          </cell>
          <cell r="D148" t="str">
            <v>旭智咨询</v>
          </cell>
          <cell r="G148">
            <v>800000</v>
          </cell>
          <cell r="H148">
            <v>800000</v>
          </cell>
        </row>
        <row r="149">
          <cell r="A149" t="str">
            <v>6602.04.04</v>
          </cell>
          <cell r="B149" t="str">
            <v>　　　　税务服务费</v>
          </cell>
          <cell r="G149">
            <v>6603.77</v>
          </cell>
          <cell r="H149">
            <v>6603.77</v>
          </cell>
        </row>
        <row r="150">
          <cell r="A150" t="str">
            <v>6602.04.07</v>
          </cell>
          <cell r="B150" t="str">
            <v>　　　　人力资源服务费</v>
          </cell>
          <cell r="G150">
            <v>2000</v>
          </cell>
          <cell r="H150">
            <v>2000</v>
          </cell>
        </row>
        <row r="151">
          <cell r="A151" t="str">
            <v>6602.04.08</v>
          </cell>
          <cell r="B151" t="str">
            <v>　　　　背景调查费</v>
          </cell>
          <cell r="G151">
            <v>1707.55</v>
          </cell>
          <cell r="H151">
            <v>1707.55</v>
          </cell>
        </row>
        <row r="152">
          <cell r="A152" t="str">
            <v>6602.04.99</v>
          </cell>
          <cell r="B152" t="str">
            <v>　　　　其他</v>
          </cell>
          <cell r="G152">
            <v>19811.32</v>
          </cell>
          <cell r="H152">
            <v>19811.32</v>
          </cell>
        </row>
        <row r="153">
          <cell r="A153" t="str">
            <v>6602.04.99</v>
          </cell>
          <cell r="B153" t="str">
            <v>　　　　其他</v>
          </cell>
          <cell r="C153" t="str">
            <v>【未录入】</v>
          </cell>
          <cell r="D153" t="str">
            <v>【未录入】</v>
          </cell>
          <cell r="G153">
            <v>19811.32</v>
          </cell>
          <cell r="H153">
            <v>19811.32</v>
          </cell>
        </row>
        <row r="154">
          <cell r="A154" t="str">
            <v>6602.05</v>
          </cell>
          <cell r="B154" t="str">
            <v>　　占用费</v>
          </cell>
        </row>
        <row r="155">
          <cell r="A155" t="str">
            <v>6602.05.03</v>
          </cell>
          <cell r="B155" t="str">
            <v>　　　　电费</v>
          </cell>
        </row>
        <row r="156">
          <cell r="A156" t="str">
            <v>6602.05.06</v>
          </cell>
          <cell r="B156" t="str">
            <v>　　　　装修费</v>
          </cell>
        </row>
        <row r="157">
          <cell r="A157" t="str">
            <v>6602.05.99</v>
          </cell>
          <cell r="B157" t="str">
            <v>　　　　其他</v>
          </cell>
        </row>
        <row r="158">
          <cell r="A158" t="str">
            <v>6602.08</v>
          </cell>
          <cell r="B158" t="str">
            <v>　　事务费用</v>
          </cell>
          <cell r="G158">
            <v>3184.6</v>
          </cell>
          <cell r="H158">
            <v>3184.6</v>
          </cell>
        </row>
        <row r="159">
          <cell r="A159" t="str">
            <v>6602.08.01</v>
          </cell>
          <cell r="B159" t="str">
            <v>　　　　通信费</v>
          </cell>
          <cell r="G159">
            <v>1543</v>
          </cell>
          <cell r="H159">
            <v>1543</v>
          </cell>
        </row>
        <row r="160">
          <cell r="A160" t="str">
            <v>6602.08.01</v>
          </cell>
          <cell r="B160" t="str">
            <v>　　　　通信费</v>
          </cell>
          <cell r="C160" t="str">
            <v>【未录入】</v>
          </cell>
          <cell r="D160" t="str">
            <v>【未录入】</v>
          </cell>
        </row>
        <row r="161">
          <cell r="A161" t="str">
            <v>6602.08.01</v>
          </cell>
          <cell r="B161" t="str">
            <v>　　　　通信费</v>
          </cell>
          <cell r="C161" t="str">
            <v>CI002</v>
          </cell>
          <cell r="D161" t="str">
            <v>旭智富能</v>
          </cell>
          <cell r="G161">
            <v>1144</v>
          </cell>
          <cell r="H161">
            <v>1144</v>
          </cell>
        </row>
        <row r="162">
          <cell r="A162" t="str">
            <v>6602.08.01</v>
          </cell>
          <cell r="B162" t="str">
            <v>　　　　通信费</v>
          </cell>
          <cell r="C162" t="str">
            <v>CI006</v>
          </cell>
          <cell r="D162" t="str">
            <v>旭智咨询</v>
          </cell>
          <cell r="G162">
            <v>399</v>
          </cell>
          <cell r="H162">
            <v>399</v>
          </cell>
        </row>
        <row r="163">
          <cell r="A163" t="str">
            <v>6602.08.03</v>
          </cell>
          <cell r="B163" t="str">
            <v>　　　　办公用品</v>
          </cell>
          <cell r="G163">
            <v>1067.5999999999999</v>
          </cell>
          <cell r="H163">
            <v>1067.5999999999999</v>
          </cell>
        </row>
        <row r="164">
          <cell r="A164" t="str">
            <v>6602.08.03</v>
          </cell>
          <cell r="B164" t="str">
            <v>　　　　办公用品</v>
          </cell>
          <cell r="C164" t="str">
            <v>【未录入】</v>
          </cell>
          <cell r="D164" t="str">
            <v>【未录入】</v>
          </cell>
        </row>
        <row r="165">
          <cell r="A165" t="str">
            <v>6602.08.03</v>
          </cell>
          <cell r="B165" t="str">
            <v>　　　　办公用品</v>
          </cell>
          <cell r="C165" t="str">
            <v>CI006</v>
          </cell>
          <cell r="D165" t="str">
            <v>旭智咨询</v>
          </cell>
          <cell r="G165">
            <v>1067.5999999999999</v>
          </cell>
          <cell r="H165">
            <v>1067.5999999999999</v>
          </cell>
        </row>
        <row r="166">
          <cell r="A166" t="str">
            <v>6602.08.05</v>
          </cell>
          <cell r="B166" t="str">
            <v>　　　　邮费/邮递费</v>
          </cell>
          <cell r="G166">
            <v>574</v>
          </cell>
          <cell r="H166">
            <v>574</v>
          </cell>
        </row>
        <row r="167">
          <cell r="A167" t="str">
            <v>6602.08.05</v>
          </cell>
          <cell r="B167" t="str">
            <v>　　　　邮费/邮递费</v>
          </cell>
          <cell r="C167" t="str">
            <v>【未录入】</v>
          </cell>
          <cell r="D167" t="str">
            <v>【未录入】</v>
          </cell>
        </row>
        <row r="168">
          <cell r="A168" t="str">
            <v>6602.08.05</v>
          </cell>
          <cell r="B168" t="str">
            <v>　　　　邮费/邮递费</v>
          </cell>
          <cell r="C168" t="str">
            <v>CI006</v>
          </cell>
          <cell r="D168" t="str">
            <v>旭智咨询</v>
          </cell>
          <cell r="G168">
            <v>574</v>
          </cell>
          <cell r="H168">
            <v>574</v>
          </cell>
        </row>
        <row r="169">
          <cell r="A169" t="str">
            <v>6602.08.99</v>
          </cell>
          <cell r="B169" t="str">
            <v>　　　　其他</v>
          </cell>
        </row>
        <row r="170">
          <cell r="A170" t="str">
            <v>6602.08.99</v>
          </cell>
          <cell r="B170" t="str">
            <v>　　　　其他</v>
          </cell>
          <cell r="C170" t="str">
            <v>【未录入】</v>
          </cell>
          <cell r="D170" t="str">
            <v>【未录入】</v>
          </cell>
        </row>
        <row r="171">
          <cell r="A171" t="str">
            <v>6602.09</v>
          </cell>
          <cell r="B171" t="str">
            <v>　　差旅费</v>
          </cell>
        </row>
        <row r="172">
          <cell r="A172" t="str">
            <v>6602.09.01</v>
          </cell>
          <cell r="B172" t="str">
            <v>　　　　住宿费</v>
          </cell>
        </row>
        <row r="173">
          <cell r="A173" t="str">
            <v>6602.09.01</v>
          </cell>
          <cell r="B173" t="str">
            <v>　　　　住宿费</v>
          </cell>
          <cell r="C173" t="str">
            <v>【未录入】</v>
          </cell>
          <cell r="D173" t="str">
            <v>【未录入】</v>
          </cell>
        </row>
        <row r="174">
          <cell r="A174" t="str">
            <v>6602.09.02</v>
          </cell>
          <cell r="B174" t="str">
            <v>　　　　伙食费</v>
          </cell>
        </row>
        <row r="175">
          <cell r="A175" t="str">
            <v>6602.09.02</v>
          </cell>
          <cell r="B175" t="str">
            <v>　　　　伙食费</v>
          </cell>
          <cell r="C175" t="str">
            <v>【未录入】</v>
          </cell>
          <cell r="D175" t="str">
            <v>【未录入】</v>
          </cell>
        </row>
        <row r="176">
          <cell r="A176" t="str">
            <v>6602.09.03</v>
          </cell>
          <cell r="B176" t="str">
            <v>　　　　地面交通费</v>
          </cell>
        </row>
        <row r="177">
          <cell r="A177" t="str">
            <v>6602.09.03</v>
          </cell>
          <cell r="B177" t="str">
            <v>　　　　地面交通费</v>
          </cell>
          <cell r="C177" t="str">
            <v>【未录入】</v>
          </cell>
          <cell r="D177" t="str">
            <v>【未录入】</v>
          </cell>
        </row>
        <row r="178">
          <cell r="A178" t="str">
            <v>6602.09.04</v>
          </cell>
          <cell r="B178" t="str">
            <v>　　　　空中交通费</v>
          </cell>
        </row>
        <row r="179">
          <cell r="A179" t="str">
            <v>6602.09.04</v>
          </cell>
          <cell r="B179" t="str">
            <v>　　　　空中交通费</v>
          </cell>
          <cell r="C179" t="str">
            <v>【未录入】</v>
          </cell>
          <cell r="D179" t="str">
            <v>【未录入】</v>
          </cell>
        </row>
        <row r="180">
          <cell r="A180" t="str">
            <v>6602.10</v>
          </cell>
          <cell r="B180" t="str">
            <v>　　折旧费</v>
          </cell>
          <cell r="G180">
            <v>2567.31</v>
          </cell>
          <cell r="H180">
            <v>2567.31</v>
          </cell>
        </row>
        <row r="181">
          <cell r="A181" t="str">
            <v>6602.10.01</v>
          </cell>
          <cell r="B181" t="str">
            <v>　　　　电子设备</v>
          </cell>
          <cell r="G181">
            <v>1889.22</v>
          </cell>
          <cell r="H181">
            <v>1889.22</v>
          </cell>
        </row>
        <row r="182">
          <cell r="A182" t="str">
            <v>6602.10.04</v>
          </cell>
          <cell r="B182" t="str">
            <v>　　　　家具设备</v>
          </cell>
          <cell r="G182">
            <v>678.09</v>
          </cell>
          <cell r="H182">
            <v>678.09</v>
          </cell>
        </row>
        <row r="183">
          <cell r="A183" t="str">
            <v>6602.11</v>
          </cell>
          <cell r="B183" t="str">
            <v>　　筹建费</v>
          </cell>
          <cell r="G183">
            <v>48211.57</v>
          </cell>
          <cell r="H183">
            <v>48211.57</v>
          </cell>
        </row>
        <row r="184">
          <cell r="A184" t="str">
            <v>6602.11.01</v>
          </cell>
          <cell r="B184" t="str">
            <v>　　　　咨询及专业服务费</v>
          </cell>
        </row>
        <row r="185">
          <cell r="A185" t="str">
            <v>6602.11.01.06</v>
          </cell>
          <cell r="B185" t="str">
            <v>　　　　　　法律服务费</v>
          </cell>
        </row>
        <row r="186">
          <cell r="A186" t="str">
            <v>6602.11.01.06</v>
          </cell>
          <cell r="B186" t="str">
            <v>　　　　　　法律服务费</v>
          </cell>
          <cell r="C186" t="str">
            <v>CI001</v>
          </cell>
          <cell r="D186" t="str">
            <v>旭智基金Ⅱ筹建费</v>
          </cell>
        </row>
        <row r="187">
          <cell r="A187" t="str">
            <v>6602.11.02</v>
          </cell>
          <cell r="B187" t="str">
            <v>　　　　业务招待费</v>
          </cell>
          <cell r="G187">
            <v>2626</v>
          </cell>
          <cell r="H187">
            <v>2626</v>
          </cell>
        </row>
        <row r="188">
          <cell r="A188" t="str">
            <v>6602.11.02</v>
          </cell>
          <cell r="B188" t="str">
            <v>　　　　业务招待费</v>
          </cell>
          <cell r="C188" t="str">
            <v>CI001</v>
          </cell>
          <cell r="D188" t="str">
            <v>旭智基金Ⅱ筹建费</v>
          </cell>
        </row>
        <row r="189">
          <cell r="A189" t="str">
            <v>6602.11.02</v>
          </cell>
          <cell r="B189" t="str">
            <v>　　　　业务招待费</v>
          </cell>
          <cell r="C189" t="str">
            <v>CI002</v>
          </cell>
          <cell r="D189" t="str">
            <v>旭智富能</v>
          </cell>
          <cell r="G189">
            <v>2626</v>
          </cell>
          <cell r="H189">
            <v>2626</v>
          </cell>
        </row>
        <row r="190">
          <cell r="A190" t="str">
            <v>6602.11.04</v>
          </cell>
          <cell r="B190" t="str">
            <v>　　　　事务费用</v>
          </cell>
        </row>
        <row r="191">
          <cell r="A191" t="str">
            <v>6602.11.04.01</v>
          </cell>
          <cell r="B191" t="str">
            <v>　　　　　　通信费</v>
          </cell>
        </row>
        <row r="192">
          <cell r="A192" t="str">
            <v>6602.11.04.01</v>
          </cell>
          <cell r="B192" t="str">
            <v>　　　　　　通信费</v>
          </cell>
          <cell r="C192" t="str">
            <v>CI002</v>
          </cell>
          <cell r="D192" t="str">
            <v>旭智富能</v>
          </cell>
        </row>
        <row r="193">
          <cell r="A193" t="str">
            <v>6602.11.04.03</v>
          </cell>
          <cell r="B193" t="str">
            <v>　　　　　　办公用品</v>
          </cell>
        </row>
        <row r="194">
          <cell r="A194" t="str">
            <v>6602.11.04.03</v>
          </cell>
          <cell r="B194" t="str">
            <v>　　　　　　办公用品</v>
          </cell>
          <cell r="C194" t="str">
            <v>CI002</v>
          </cell>
          <cell r="D194" t="str">
            <v>旭智富能</v>
          </cell>
        </row>
        <row r="195">
          <cell r="A195" t="str">
            <v>6602.11.04.99</v>
          </cell>
          <cell r="B195" t="str">
            <v>　　　　　　其他</v>
          </cell>
        </row>
        <row r="196">
          <cell r="A196" t="str">
            <v>6602.11.04.99</v>
          </cell>
          <cell r="B196" t="str">
            <v>　　　　　　其他</v>
          </cell>
          <cell r="C196" t="str">
            <v>CI002</v>
          </cell>
          <cell r="D196" t="str">
            <v>旭智富能</v>
          </cell>
        </row>
        <row r="197">
          <cell r="A197" t="str">
            <v>6602.11.05</v>
          </cell>
          <cell r="B197" t="str">
            <v>　　　　差旅费</v>
          </cell>
          <cell r="G197">
            <v>45585.57</v>
          </cell>
          <cell r="H197">
            <v>45585.57</v>
          </cell>
        </row>
        <row r="198">
          <cell r="A198" t="str">
            <v>6602.11.05.01</v>
          </cell>
          <cell r="B198" t="str">
            <v>　　　　　　住宿费</v>
          </cell>
          <cell r="G198">
            <v>16738.43</v>
          </cell>
          <cell r="H198">
            <v>16738.43</v>
          </cell>
        </row>
        <row r="199">
          <cell r="A199" t="str">
            <v>6602.11.05.01</v>
          </cell>
          <cell r="B199" t="str">
            <v>　　　　　　住宿费</v>
          </cell>
          <cell r="C199" t="str">
            <v>CI002</v>
          </cell>
          <cell r="D199" t="str">
            <v>旭智富能</v>
          </cell>
          <cell r="G199">
            <v>16738.43</v>
          </cell>
          <cell r="H199">
            <v>16738.43</v>
          </cell>
        </row>
        <row r="200">
          <cell r="A200" t="str">
            <v>6602.11.05.01</v>
          </cell>
          <cell r="B200" t="str">
            <v>　　　　　　住宿费</v>
          </cell>
          <cell r="C200" t="str">
            <v>CI005</v>
          </cell>
          <cell r="D200" t="str">
            <v>旭智私募</v>
          </cell>
        </row>
        <row r="201">
          <cell r="A201" t="str">
            <v>6602.11.05.02</v>
          </cell>
          <cell r="B201" t="str">
            <v>　　　　　　伙食费</v>
          </cell>
          <cell r="G201">
            <v>1175.9000000000001</v>
          </cell>
          <cell r="H201">
            <v>1175.9000000000001</v>
          </cell>
        </row>
        <row r="202">
          <cell r="A202" t="str">
            <v>6602.11.05.02</v>
          </cell>
          <cell r="B202" t="str">
            <v>　　　　　　伙食费</v>
          </cell>
          <cell r="C202" t="str">
            <v>CI002</v>
          </cell>
          <cell r="D202" t="str">
            <v>旭智富能</v>
          </cell>
          <cell r="G202">
            <v>1175.9000000000001</v>
          </cell>
          <cell r="H202">
            <v>1175.9000000000001</v>
          </cell>
        </row>
        <row r="203">
          <cell r="A203" t="str">
            <v>6602.11.05.03</v>
          </cell>
          <cell r="B203" t="str">
            <v>　　　　　　地面交通费</v>
          </cell>
          <cell r="G203">
            <v>9025.3799999999992</v>
          </cell>
          <cell r="H203">
            <v>9025.3799999999992</v>
          </cell>
        </row>
        <row r="204">
          <cell r="A204" t="str">
            <v>6602.11.05.03</v>
          </cell>
          <cell r="B204" t="str">
            <v>　　　　　　地面交通费</v>
          </cell>
          <cell r="C204" t="str">
            <v>CI002</v>
          </cell>
          <cell r="D204" t="str">
            <v>旭智富能</v>
          </cell>
          <cell r="G204">
            <v>9025.3799999999992</v>
          </cell>
          <cell r="H204">
            <v>9025.3799999999992</v>
          </cell>
        </row>
        <row r="205">
          <cell r="A205" t="str">
            <v>6602.11.05.03</v>
          </cell>
          <cell r="B205" t="str">
            <v>　　　　　　地面交通费</v>
          </cell>
          <cell r="C205" t="str">
            <v>CI005</v>
          </cell>
          <cell r="D205" t="str">
            <v>旭智私募</v>
          </cell>
        </row>
        <row r="206">
          <cell r="A206" t="str">
            <v>6602.11.05.04</v>
          </cell>
          <cell r="B206" t="str">
            <v>　　　　　　空中交通费</v>
          </cell>
          <cell r="G206">
            <v>18117.45</v>
          </cell>
          <cell r="H206">
            <v>18117.45</v>
          </cell>
        </row>
        <row r="207">
          <cell r="A207" t="str">
            <v>6602.11.05.04</v>
          </cell>
          <cell r="B207" t="str">
            <v>　　　　　　空中交通费</v>
          </cell>
          <cell r="C207" t="str">
            <v>CI002</v>
          </cell>
          <cell r="D207" t="str">
            <v>旭智富能</v>
          </cell>
          <cell r="G207">
            <v>18117.45</v>
          </cell>
          <cell r="H207">
            <v>18117.45</v>
          </cell>
        </row>
        <row r="208">
          <cell r="A208" t="str">
            <v>6602.11.05.04</v>
          </cell>
          <cell r="B208" t="str">
            <v>　　　　　　空中交通费</v>
          </cell>
          <cell r="C208" t="str">
            <v>CI005</v>
          </cell>
          <cell r="D208" t="str">
            <v>旭智私募</v>
          </cell>
        </row>
        <row r="209">
          <cell r="A209" t="str">
            <v>6602.11.05.05</v>
          </cell>
          <cell r="B209" t="str">
            <v>　　　　　　租车</v>
          </cell>
          <cell r="G209">
            <v>528.41</v>
          </cell>
          <cell r="H209">
            <v>528.41</v>
          </cell>
        </row>
        <row r="210">
          <cell r="A210" t="str">
            <v>6602.11.05.05</v>
          </cell>
          <cell r="B210" t="str">
            <v>　　　　　　租车</v>
          </cell>
          <cell r="C210" t="str">
            <v>CI002</v>
          </cell>
          <cell r="D210" t="str">
            <v>旭智富能</v>
          </cell>
          <cell r="G210">
            <v>528.41</v>
          </cell>
          <cell r="H210">
            <v>528.41</v>
          </cell>
        </row>
        <row r="211">
          <cell r="A211" t="str">
            <v>6602.11.05.06</v>
          </cell>
          <cell r="B211" t="str">
            <v>　　　　　　其他汽车费用</v>
          </cell>
        </row>
        <row r="212">
          <cell r="A212" t="str">
            <v>6602.11.05.06</v>
          </cell>
          <cell r="B212" t="str">
            <v>　　　　　　其他汽车费用</v>
          </cell>
          <cell r="C212" t="str">
            <v>CI002</v>
          </cell>
          <cell r="D212" t="str">
            <v>旭智富能</v>
          </cell>
        </row>
        <row r="213">
          <cell r="A213" t="str">
            <v>6602.11.05.99</v>
          </cell>
          <cell r="B213" t="str">
            <v>　　　　　　其他</v>
          </cell>
        </row>
        <row r="214">
          <cell r="A214" t="str">
            <v>6602.11.05.99</v>
          </cell>
          <cell r="B214" t="str">
            <v>　　　　　　其他</v>
          </cell>
          <cell r="C214" t="str">
            <v>CI005</v>
          </cell>
          <cell r="D214" t="str">
            <v>旭智私募</v>
          </cell>
        </row>
        <row r="215">
          <cell r="A215" t="str">
            <v>6602.12</v>
          </cell>
          <cell r="B215" t="str">
            <v>　　使用权资产折旧</v>
          </cell>
        </row>
        <row r="216">
          <cell r="A216" t="str">
            <v>6602.12.02</v>
          </cell>
          <cell r="B216" t="str">
            <v>　　　　办公地址</v>
          </cell>
        </row>
        <row r="217">
          <cell r="A217" t="str">
            <v>6602.12.02.01</v>
          </cell>
          <cell r="B217" t="str">
            <v>　　　　　　旭智咨询--鼎和大厦1606</v>
          </cell>
        </row>
        <row r="218">
          <cell r="A218" t="str">
            <v>6602.13</v>
          </cell>
          <cell r="B218" t="str">
            <v>　　物业管理费</v>
          </cell>
        </row>
        <row r="219">
          <cell r="A219" t="str">
            <v>6602.15</v>
          </cell>
          <cell r="B219" t="str">
            <v>　　服务费</v>
          </cell>
        </row>
        <row r="220">
          <cell r="A220" t="str">
            <v>6602.99</v>
          </cell>
          <cell r="B220" t="str">
            <v>　　其他</v>
          </cell>
        </row>
        <row r="221">
          <cell r="A221" t="str">
            <v>6603</v>
          </cell>
          <cell r="B221" t="str">
            <v>财务费用</v>
          </cell>
          <cell r="G221">
            <v>-2703.67</v>
          </cell>
          <cell r="H221">
            <v>-2703.67</v>
          </cell>
        </row>
        <row r="222">
          <cell r="A222" t="str">
            <v>6603.01</v>
          </cell>
          <cell r="B222" t="str">
            <v>　　汇兑损益</v>
          </cell>
          <cell r="G222">
            <v>-242.05</v>
          </cell>
          <cell r="H222">
            <v>-242.05</v>
          </cell>
        </row>
        <row r="223">
          <cell r="A223" t="str">
            <v>6603.02</v>
          </cell>
          <cell r="B223" t="str">
            <v>　　利息费用</v>
          </cell>
        </row>
        <row r="224">
          <cell r="A224" t="str">
            <v>6603.02.02</v>
          </cell>
          <cell r="B224" t="str">
            <v>　　　　办公地址</v>
          </cell>
        </row>
        <row r="225">
          <cell r="A225" t="str">
            <v>6603.02.02.01</v>
          </cell>
          <cell r="B225" t="str">
            <v>　　　　　　旭智咨询--鼎和大厦1606</v>
          </cell>
        </row>
        <row r="226">
          <cell r="A226" t="str">
            <v>6603.03</v>
          </cell>
          <cell r="B226" t="str">
            <v>　　银行手续费</v>
          </cell>
          <cell r="G226">
            <v>30.96</v>
          </cell>
          <cell r="H226">
            <v>30.96</v>
          </cell>
        </row>
        <row r="227">
          <cell r="A227" t="str">
            <v>6603.04</v>
          </cell>
          <cell r="B227" t="str">
            <v>　　利息收入</v>
          </cell>
          <cell r="G227">
            <v>-2492.58</v>
          </cell>
          <cell r="H227">
            <v>-2492.58</v>
          </cell>
        </row>
        <row r="228">
          <cell r="A228" t="str">
            <v>6711</v>
          </cell>
          <cell r="B228" t="str">
            <v>营业外支出</v>
          </cell>
        </row>
        <row r="229">
          <cell r="A229" t="str">
            <v>6711.02</v>
          </cell>
          <cell r="B229" t="str">
            <v>　　非流动资产处置损失</v>
          </cell>
        </row>
        <row r="230">
          <cell r="A230" t="str">
            <v>6801</v>
          </cell>
          <cell r="B230" t="str">
            <v>所得税费用</v>
          </cell>
        </row>
        <row r="231">
          <cell r="A231" t="str">
            <v>6801.01</v>
          </cell>
          <cell r="B231" t="str">
            <v>　　当期所得税费用</v>
          </cell>
        </row>
        <row r="232">
          <cell r="A232" t="str">
            <v>6801.03</v>
          </cell>
          <cell r="B232" t="str">
            <v>　　以前年度所得税费用</v>
          </cell>
        </row>
        <row r="233">
          <cell r="B233" t="str">
            <v>合计</v>
          </cell>
          <cell r="E233">
            <v>7400229.4800000004</v>
          </cell>
          <cell r="F233">
            <v>7333183.8799999999</v>
          </cell>
          <cell r="G233">
            <v>3468573.7</v>
          </cell>
          <cell r="H233">
            <v>3468815.75</v>
          </cell>
        </row>
      </sheetData>
      <sheetData sheetId="6">
        <row r="1">
          <cell r="A1" t="str">
            <v>币别:人民币</v>
          </cell>
          <cell r="B1" t="str">
            <v>账簿:旭智咨询管理（深圳）有限责任公司</v>
          </cell>
          <cell r="C1" t="str">
            <v>期间:2025.7 -- 2025.7</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1847138.5</v>
          </cell>
          <cell r="G4">
            <v>100000</v>
          </cell>
          <cell r="H4">
            <v>715449.17</v>
          </cell>
        </row>
        <row r="5">
          <cell r="A5" t="str">
            <v>1002.21</v>
          </cell>
          <cell r="B5" t="str">
            <v>　　【旭智咨询】银行存款账户</v>
          </cell>
          <cell r="E5">
            <v>1805609.25</v>
          </cell>
          <cell r="H5">
            <v>627790.63</v>
          </cell>
        </row>
        <row r="6">
          <cell r="A6" t="str">
            <v>1002.21.01</v>
          </cell>
          <cell r="B6" t="str">
            <v>　　　　招商银行账户</v>
          </cell>
          <cell r="E6">
            <v>1805609.25</v>
          </cell>
          <cell r="H6">
            <v>627790.63</v>
          </cell>
        </row>
        <row r="7">
          <cell r="A7" t="str">
            <v>1002.21.01.01</v>
          </cell>
          <cell r="B7" t="str">
            <v>　　　　　　【旭智咨询】招商 人民币基本户 0108</v>
          </cell>
          <cell r="E7">
            <v>787813.93</v>
          </cell>
          <cell r="H7">
            <v>627790.63</v>
          </cell>
        </row>
        <row r="8">
          <cell r="A8" t="str">
            <v>1002.21.01.02</v>
          </cell>
          <cell r="B8" t="str">
            <v>　　　　　　【旭智咨询】招商 人民币资本金账户 0202</v>
          </cell>
          <cell r="E8">
            <v>1017795.32</v>
          </cell>
        </row>
        <row r="9">
          <cell r="A9" t="str">
            <v>1002.22</v>
          </cell>
          <cell r="B9" t="str">
            <v>　　【旭智咨询北京】银行存款账户</v>
          </cell>
          <cell r="E9">
            <v>41529.25</v>
          </cell>
          <cell r="G9">
            <v>100000</v>
          </cell>
          <cell r="H9">
            <v>87658.54</v>
          </cell>
        </row>
        <row r="10">
          <cell r="A10" t="str">
            <v>1002.22.01</v>
          </cell>
          <cell r="B10" t="str">
            <v>　　　　招商银行账户</v>
          </cell>
          <cell r="E10">
            <v>41529.25</v>
          </cell>
          <cell r="G10">
            <v>100000</v>
          </cell>
          <cell r="H10">
            <v>87658.54</v>
          </cell>
        </row>
        <row r="11">
          <cell r="A11" t="str">
            <v>1002.22.01.01</v>
          </cell>
          <cell r="B11" t="str">
            <v>　　　　　　【旭智咨询北京】人民币基本户 0001</v>
          </cell>
          <cell r="E11">
            <v>41529.25</v>
          </cell>
          <cell r="G11">
            <v>100000</v>
          </cell>
          <cell r="H11">
            <v>87658.54</v>
          </cell>
        </row>
        <row r="12">
          <cell r="A12" t="str">
            <v>1122</v>
          </cell>
          <cell r="B12" t="str">
            <v>应收账款</v>
          </cell>
          <cell r="E12">
            <v>223234.7</v>
          </cell>
        </row>
        <row r="13">
          <cell r="A13" t="str">
            <v>1122.01</v>
          </cell>
          <cell r="B13" t="str">
            <v>　　咨询费收入</v>
          </cell>
          <cell r="E13">
            <v>223234.7</v>
          </cell>
        </row>
        <row r="14">
          <cell r="A14" t="str">
            <v>1122.01</v>
          </cell>
          <cell r="B14" t="str">
            <v>　　咨询费收入</v>
          </cell>
          <cell r="C14" t="str">
            <v>CU003010</v>
          </cell>
          <cell r="D14" t="str">
            <v>旭智富能新能源（深圳）有限责任公司</v>
          </cell>
          <cell r="E14">
            <v>223234.7</v>
          </cell>
        </row>
        <row r="15">
          <cell r="A15" t="str">
            <v>1122.01</v>
          </cell>
          <cell r="B15" t="str">
            <v>　　咨询费收入</v>
          </cell>
          <cell r="C15" t="str">
            <v>CU006001</v>
          </cell>
          <cell r="D15" t="str">
            <v>胜科辉飏新能源（深圳）有限公司</v>
          </cell>
        </row>
        <row r="16">
          <cell r="A16" t="str">
            <v>1123</v>
          </cell>
          <cell r="B16" t="str">
            <v>预付账款</v>
          </cell>
          <cell r="E16">
            <v>9433.9599999999991</v>
          </cell>
          <cell r="G16">
            <v>39622.639999999999</v>
          </cell>
        </row>
        <row r="17">
          <cell r="A17" t="str">
            <v>1123.01</v>
          </cell>
          <cell r="B17" t="str">
            <v>　　单位</v>
          </cell>
          <cell r="E17">
            <v>9433.9599999999991</v>
          </cell>
          <cell r="G17">
            <v>39622.639999999999</v>
          </cell>
        </row>
        <row r="18">
          <cell r="A18" t="str">
            <v>1123.01</v>
          </cell>
          <cell r="B18" t="str">
            <v>　　单位</v>
          </cell>
          <cell r="C18" t="str">
            <v>SU006011</v>
          </cell>
          <cell r="D18" t="str">
            <v>广州晶东贸易有限公司</v>
          </cell>
        </row>
        <row r="19">
          <cell r="A19" t="str">
            <v>1123.01</v>
          </cell>
          <cell r="B19" t="str">
            <v>　　单位</v>
          </cell>
          <cell r="C19" t="str">
            <v>SU006012</v>
          </cell>
          <cell r="D19" t="str">
            <v>上海携程宏睿国际旅行社有限公司</v>
          </cell>
        </row>
        <row r="20">
          <cell r="A20" t="str">
            <v>1123.01</v>
          </cell>
          <cell r="B20" t="str">
            <v>　　单位</v>
          </cell>
          <cell r="C20" t="str">
            <v>SU006015</v>
          </cell>
          <cell r="D20" t="str">
            <v>成都协企兴企业管理咨询服务有限公司</v>
          </cell>
        </row>
        <row r="21">
          <cell r="A21" t="str">
            <v>1123.01</v>
          </cell>
          <cell r="B21" t="str">
            <v>　　单位</v>
          </cell>
          <cell r="C21" t="str">
            <v>SU006016</v>
          </cell>
          <cell r="D21" t="str">
            <v>爱奇创新投资研究（深圳）有限公司</v>
          </cell>
          <cell r="G21">
            <v>39622.639999999999</v>
          </cell>
        </row>
        <row r="22">
          <cell r="A22" t="str">
            <v>1123.01</v>
          </cell>
          <cell r="B22" t="str">
            <v>　　单位</v>
          </cell>
          <cell r="C22" t="str">
            <v>SU006031</v>
          </cell>
          <cell r="D22" t="str">
            <v>深圳市金纳维科技有限公司</v>
          </cell>
          <cell r="E22">
            <v>9433.9599999999991</v>
          </cell>
        </row>
        <row r="23">
          <cell r="A23" t="str">
            <v>1221</v>
          </cell>
          <cell r="B23" t="str">
            <v>其他应收款</v>
          </cell>
          <cell r="E23">
            <v>25569.34</v>
          </cell>
        </row>
        <row r="24">
          <cell r="A24" t="str">
            <v>1221.01</v>
          </cell>
          <cell r="B24" t="str">
            <v>　　单位</v>
          </cell>
          <cell r="E24">
            <v>25569.34</v>
          </cell>
        </row>
        <row r="25">
          <cell r="A25" t="str">
            <v>1221.01</v>
          </cell>
          <cell r="B25" t="str">
            <v>　　单位</v>
          </cell>
          <cell r="C25" t="str">
            <v>CU003010</v>
          </cell>
          <cell r="D25" t="str">
            <v>旭智富能新能源（深圳）有限责任公司</v>
          </cell>
          <cell r="E25">
            <v>4800</v>
          </cell>
        </row>
        <row r="26">
          <cell r="A26" t="str">
            <v>1221.01</v>
          </cell>
          <cell r="B26" t="str">
            <v>　　单位</v>
          </cell>
          <cell r="C26" t="str">
            <v>CU006006</v>
          </cell>
          <cell r="D26" t="str">
            <v>爱奇创新投资研究（深圳）有限公司</v>
          </cell>
          <cell r="E26">
            <v>10000</v>
          </cell>
        </row>
        <row r="27">
          <cell r="A27" t="str">
            <v>1221.01</v>
          </cell>
          <cell r="B27" t="str">
            <v>　　单位</v>
          </cell>
          <cell r="C27" t="str">
            <v>CU006007</v>
          </cell>
          <cell r="D27" t="str">
            <v>深圳旭智私募股权基金管理有限公司</v>
          </cell>
        </row>
        <row r="28">
          <cell r="A28" t="str">
            <v>1221.01</v>
          </cell>
          <cell r="B28" t="str">
            <v>　　单位</v>
          </cell>
          <cell r="C28" t="str">
            <v>CU006008</v>
          </cell>
          <cell r="D28" t="str">
            <v>旭智富联（鹤壁）新能源有限责任公司</v>
          </cell>
          <cell r="E28">
            <v>2180</v>
          </cell>
        </row>
        <row r="29">
          <cell r="A29" t="str">
            <v>1221.01</v>
          </cell>
          <cell r="B29" t="str">
            <v>　　单位</v>
          </cell>
          <cell r="C29" t="str">
            <v>CU006009</v>
          </cell>
          <cell r="D29" t="str">
            <v>旭智兴邦（潍坊）农业高新科技有限公司</v>
          </cell>
          <cell r="E29">
            <v>3250</v>
          </cell>
        </row>
        <row r="30">
          <cell r="A30" t="str">
            <v>1221.01</v>
          </cell>
          <cell r="B30" t="str">
            <v>　　单位</v>
          </cell>
          <cell r="C30" t="str">
            <v>CU010001</v>
          </cell>
          <cell r="D30" t="str">
            <v>郴州市苏仙区景叶新能源有限责任公司</v>
          </cell>
          <cell r="E30">
            <v>5339.34</v>
          </cell>
        </row>
        <row r="31">
          <cell r="A31" t="str">
            <v>1511</v>
          </cell>
          <cell r="B31" t="str">
            <v>长期股权投资</v>
          </cell>
          <cell r="E31">
            <v>4356000</v>
          </cell>
        </row>
        <row r="32">
          <cell r="A32" t="str">
            <v>1511.01</v>
          </cell>
          <cell r="B32" t="str">
            <v>　　投资成本</v>
          </cell>
          <cell r="E32">
            <v>4356000</v>
          </cell>
        </row>
        <row r="33">
          <cell r="A33" t="str">
            <v>1511.01.01</v>
          </cell>
          <cell r="B33" t="str">
            <v>　　　　宜兴旭智投资咨询合伙企业（有限合伙）</v>
          </cell>
          <cell r="E33">
            <v>4356000</v>
          </cell>
        </row>
        <row r="34">
          <cell r="A34" t="str">
            <v>1601</v>
          </cell>
          <cell r="B34" t="str">
            <v>固定资产</v>
          </cell>
          <cell r="E34">
            <v>119847.66</v>
          </cell>
        </row>
        <row r="35">
          <cell r="A35" t="str">
            <v>1601.01</v>
          </cell>
          <cell r="B35" t="str">
            <v>　　电子设备</v>
          </cell>
          <cell r="E35">
            <v>77015.62</v>
          </cell>
        </row>
        <row r="36">
          <cell r="A36" t="str">
            <v>1601.04</v>
          </cell>
          <cell r="B36" t="str">
            <v>　　家具设备</v>
          </cell>
          <cell r="E36">
            <v>42832.04</v>
          </cell>
        </row>
        <row r="37">
          <cell r="A37" t="str">
            <v>1602</v>
          </cell>
          <cell r="B37" t="str">
            <v>累计折旧</v>
          </cell>
          <cell r="F37">
            <v>34140.31</v>
          </cell>
          <cell r="H37">
            <v>2710.46</v>
          </cell>
        </row>
        <row r="38">
          <cell r="A38" t="str">
            <v>1602.01</v>
          </cell>
          <cell r="B38" t="str">
            <v>　　电子设备</v>
          </cell>
          <cell r="F38">
            <v>10129.4</v>
          </cell>
          <cell r="H38">
            <v>678.09</v>
          </cell>
        </row>
        <row r="39">
          <cell r="A39" t="str">
            <v>1602.04</v>
          </cell>
          <cell r="B39" t="str">
            <v>　　家具设备</v>
          </cell>
          <cell r="F39">
            <v>24010.91</v>
          </cell>
          <cell r="H39">
            <v>2032.37</v>
          </cell>
        </row>
        <row r="40">
          <cell r="A40" t="str">
            <v>1606</v>
          </cell>
          <cell r="B40" t="str">
            <v>固定资产清理</v>
          </cell>
        </row>
        <row r="41">
          <cell r="A41" t="str">
            <v>1606.04</v>
          </cell>
          <cell r="B41" t="str">
            <v>　　家具设备</v>
          </cell>
        </row>
        <row r="42">
          <cell r="A42" t="str">
            <v>1641</v>
          </cell>
          <cell r="B42" t="str">
            <v>使用权资产</v>
          </cell>
        </row>
        <row r="43">
          <cell r="A43" t="str">
            <v>1641.01</v>
          </cell>
          <cell r="B43" t="str">
            <v>　　打印机租赁</v>
          </cell>
        </row>
        <row r="44">
          <cell r="A44" t="str">
            <v>1641.02</v>
          </cell>
          <cell r="B44" t="str">
            <v>　　办公地址</v>
          </cell>
        </row>
        <row r="45">
          <cell r="A45" t="str">
            <v>1641.02.01</v>
          </cell>
          <cell r="B45" t="str">
            <v>　　　　旭智咨询--鼎和大厦1606</v>
          </cell>
        </row>
        <row r="46">
          <cell r="A46" t="str">
            <v>1642</v>
          </cell>
          <cell r="B46" t="str">
            <v>使用权资产累计折旧</v>
          </cell>
        </row>
        <row r="47">
          <cell r="A47" t="str">
            <v>1642.01</v>
          </cell>
          <cell r="B47" t="str">
            <v>　　打印机租赁</v>
          </cell>
        </row>
        <row r="48">
          <cell r="A48" t="str">
            <v>1642.02</v>
          </cell>
          <cell r="B48" t="str">
            <v>　　办公地址</v>
          </cell>
        </row>
        <row r="49">
          <cell r="A49" t="str">
            <v>1642.02.01</v>
          </cell>
          <cell r="B49" t="str">
            <v>　　　　旭智咨询--鼎和大厦1606</v>
          </cell>
        </row>
        <row r="50">
          <cell r="A50" t="str">
            <v>1801</v>
          </cell>
          <cell r="B50" t="str">
            <v>长期待摊费用</v>
          </cell>
        </row>
        <row r="51">
          <cell r="A51" t="str">
            <v>1801.01</v>
          </cell>
          <cell r="B51" t="str">
            <v>　　装修费</v>
          </cell>
        </row>
        <row r="52">
          <cell r="A52" t="str">
            <v>2203</v>
          </cell>
          <cell r="B52" t="str">
            <v>预收账款</v>
          </cell>
        </row>
        <row r="53">
          <cell r="A53" t="str">
            <v>2203.01</v>
          </cell>
          <cell r="B53" t="str">
            <v>　　单位</v>
          </cell>
        </row>
        <row r="54">
          <cell r="A54" t="str">
            <v>2203.01</v>
          </cell>
          <cell r="B54" t="str">
            <v>　　单位</v>
          </cell>
          <cell r="C54" t="str">
            <v>CU006001</v>
          </cell>
          <cell r="D54" t="str">
            <v>胜科辉飏新能源（深圳）有限公司</v>
          </cell>
        </row>
        <row r="55">
          <cell r="A55" t="str">
            <v>2211</v>
          </cell>
          <cell r="B55" t="str">
            <v>应付职工薪酬</v>
          </cell>
          <cell r="F55">
            <v>154721.28</v>
          </cell>
          <cell r="G55">
            <v>348019.25</v>
          </cell>
          <cell r="H55">
            <v>366382.25</v>
          </cell>
        </row>
        <row r="56">
          <cell r="A56" t="str">
            <v>2211.01</v>
          </cell>
          <cell r="B56" t="str">
            <v>　　职工工资</v>
          </cell>
          <cell r="G56">
            <v>228142.05</v>
          </cell>
          <cell r="H56">
            <v>228142.05</v>
          </cell>
        </row>
        <row r="57">
          <cell r="A57" t="str">
            <v>2211.02</v>
          </cell>
          <cell r="B57" t="str">
            <v>　　职工奖金</v>
          </cell>
          <cell r="F57">
            <v>133125</v>
          </cell>
        </row>
        <row r="58">
          <cell r="A58" t="str">
            <v>2211.03</v>
          </cell>
          <cell r="B58" t="str">
            <v>　　劳务报酬</v>
          </cell>
        </row>
        <row r="59">
          <cell r="A59" t="str">
            <v>2211.05</v>
          </cell>
          <cell r="B59" t="str">
            <v>　　社会保险费</v>
          </cell>
          <cell r="F59">
            <v>13128.28</v>
          </cell>
          <cell r="G59">
            <v>66370.880000000005</v>
          </cell>
          <cell r="H59">
            <v>77533.88</v>
          </cell>
        </row>
        <row r="60">
          <cell r="A60" t="str">
            <v>2211.06</v>
          </cell>
          <cell r="B60" t="str">
            <v>　　住房公积金</v>
          </cell>
          <cell r="F60">
            <v>8468</v>
          </cell>
          <cell r="G60">
            <v>53506.32</v>
          </cell>
          <cell r="H60">
            <v>60706.32</v>
          </cell>
        </row>
        <row r="61">
          <cell r="A61" t="str">
            <v>2221</v>
          </cell>
          <cell r="B61" t="str">
            <v>应交税费</v>
          </cell>
          <cell r="F61">
            <v>35550.870000000003</v>
          </cell>
          <cell r="G61">
            <v>73568.63</v>
          </cell>
          <cell r="H61">
            <v>63967.26</v>
          </cell>
        </row>
        <row r="62">
          <cell r="A62" t="str">
            <v>2221.01</v>
          </cell>
          <cell r="B62" t="str">
            <v>　　应交增值税</v>
          </cell>
          <cell r="G62">
            <v>23528.799999999999</v>
          </cell>
          <cell r="H62">
            <v>23528.799999999999</v>
          </cell>
        </row>
        <row r="63">
          <cell r="A63" t="str">
            <v>2221.01.01</v>
          </cell>
          <cell r="B63" t="str">
            <v>　　　　销项税额</v>
          </cell>
        </row>
        <row r="64">
          <cell r="A64" t="str">
            <v>2221.01.03</v>
          </cell>
          <cell r="B64" t="str">
            <v>　　　　进项税额</v>
          </cell>
          <cell r="G64">
            <v>11764.4</v>
          </cell>
          <cell r="H64">
            <v>11764.4</v>
          </cell>
        </row>
        <row r="65">
          <cell r="A65" t="str">
            <v>2221.01.06</v>
          </cell>
          <cell r="B65" t="str">
            <v>　　　　转出未交增值税</v>
          </cell>
          <cell r="G65">
            <v>11764.4</v>
          </cell>
          <cell r="H65">
            <v>11764.4</v>
          </cell>
        </row>
        <row r="66">
          <cell r="A66" t="str">
            <v>2221.03</v>
          </cell>
          <cell r="B66" t="str">
            <v>　　暂估进项税额</v>
          </cell>
          <cell r="E66">
            <v>1004.93</v>
          </cell>
          <cell r="G66">
            <v>927.72</v>
          </cell>
          <cell r="H66">
            <v>966</v>
          </cell>
        </row>
        <row r="67">
          <cell r="A67" t="str">
            <v>2221.04</v>
          </cell>
          <cell r="B67" t="str">
            <v>　　未交增值税</v>
          </cell>
          <cell r="E67">
            <v>1657.44</v>
          </cell>
          <cell r="G67">
            <v>11764.4</v>
          </cell>
        </row>
        <row r="68">
          <cell r="A68" t="str">
            <v>2221.06</v>
          </cell>
          <cell r="B68" t="str">
            <v>　　待认证进项税额</v>
          </cell>
          <cell r="E68">
            <v>4.72</v>
          </cell>
          <cell r="G68">
            <v>11765.78</v>
          </cell>
          <cell r="H68">
            <v>11764.4</v>
          </cell>
        </row>
        <row r="69">
          <cell r="A69" t="str">
            <v>2221.08</v>
          </cell>
          <cell r="B69" t="str">
            <v>　　待转销项税额</v>
          </cell>
          <cell r="F69">
            <v>12635.93</v>
          </cell>
        </row>
        <row r="70">
          <cell r="A70" t="str">
            <v>2221.12</v>
          </cell>
          <cell r="B70" t="str">
            <v>　　应交城市维护建设税</v>
          </cell>
        </row>
        <row r="71">
          <cell r="A71" t="str">
            <v>2221.13</v>
          </cell>
          <cell r="B71" t="str">
            <v>　　应交教育费附加</v>
          </cell>
        </row>
        <row r="72">
          <cell r="A72" t="str">
            <v>2221.14</v>
          </cell>
          <cell r="B72" t="str">
            <v>　　应交地方教育附加</v>
          </cell>
        </row>
        <row r="73">
          <cell r="A73" t="str">
            <v>2221.15</v>
          </cell>
          <cell r="B73" t="str">
            <v>　　应交企业所得税</v>
          </cell>
        </row>
        <row r="74">
          <cell r="A74" t="str">
            <v>2221.16</v>
          </cell>
          <cell r="B74" t="str">
            <v>　　应交个人所得税</v>
          </cell>
          <cell r="F74">
            <v>25582.03</v>
          </cell>
          <cell r="G74">
            <v>25581.93</v>
          </cell>
          <cell r="H74">
            <v>27708.06</v>
          </cell>
        </row>
        <row r="75">
          <cell r="A75" t="str">
            <v>2241</v>
          </cell>
          <cell r="B75" t="str">
            <v>其他应付款</v>
          </cell>
          <cell r="F75">
            <v>2670963.91</v>
          </cell>
          <cell r="G75">
            <v>690003.89</v>
          </cell>
          <cell r="H75">
            <v>339651.55</v>
          </cell>
        </row>
        <row r="76">
          <cell r="A76" t="str">
            <v>2241.01</v>
          </cell>
          <cell r="B76" t="str">
            <v>　　单位</v>
          </cell>
          <cell r="F76">
            <v>2670963.91</v>
          </cell>
          <cell r="G76">
            <v>677372.44</v>
          </cell>
          <cell r="H76">
            <v>327020.09999999998</v>
          </cell>
        </row>
        <row r="77">
          <cell r="A77" t="str">
            <v>2241.01</v>
          </cell>
          <cell r="B77" t="str">
            <v>　　单位</v>
          </cell>
          <cell r="C77" t="str">
            <v>SU005004</v>
          </cell>
          <cell r="D77" t="str">
            <v>上海爱文人才服务有限公司</v>
          </cell>
          <cell r="G77">
            <v>100680.92</v>
          </cell>
          <cell r="H77">
            <v>100680.92</v>
          </cell>
        </row>
        <row r="78">
          <cell r="A78" t="str">
            <v>2241.01</v>
          </cell>
          <cell r="B78" t="str">
            <v>　　单位</v>
          </cell>
          <cell r="C78" t="str">
            <v>SU005007</v>
          </cell>
          <cell r="D78" t="str">
            <v>普华永道中天会计师事务所（特殊普通合伙）</v>
          </cell>
          <cell r="F78">
            <v>28102.34</v>
          </cell>
        </row>
        <row r="79">
          <cell r="A79" t="str">
            <v>2241.01</v>
          </cell>
          <cell r="B79" t="str">
            <v>　　单位</v>
          </cell>
          <cell r="C79" t="str">
            <v>SU005026</v>
          </cell>
          <cell r="D79" t="str">
            <v>中国电信股份有限公司</v>
          </cell>
          <cell r="G79">
            <v>578</v>
          </cell>
          <cell r="H79">
            <v>578</v>
          </cell>
        </row>
        <row r="80">
          <cell r="A80" t="str">
            <v>2241.01</v>
          </cell>
          <cell r="B80" t="str">
            <v>　　单位</v>
          </cell>
          <cell r="C80" t="str">
            <v>SU005037</v>
          </cell>
          <cell r="D80" t="str">
            <v>深圳点石新能源投资有限责任公司</v>
          </cell>
        </row>
        <row r="81">
          <cell r="A81" t="str">
            <v>2241.01</v>
          </cell>
          <cell r="B81" t="str">
            <v>　　单位</v>
          </cell>
          <cell r="C81" t="str">
            <v>SU005039</v>
          </cell>
          <cell r="D81" t="str">
            <v>海华税务师事务所有限公司深圳分公司</v>
          </cell>
        </row>
        <row r="82">
          <cell r="A82" t="str">
            <v>2241.01</v>
          </cell>
          <cell r="B82" t="str">
            <v>　　单位</v>
          </cell>
          <cell r="C82" t="str">
            <v>SU005043</v>
          </cell>
          <cell r="D82" t="str">
            <v>旭智资本有限公司</v>
          </cell>
        </row>
        <row r="83">
          <cell r="A83" t="str">
            <v>2241.01</v>
          </cell>
          <cell r="B83" t="str">
            <v>　　单位</v>
          </cell>
          <cell r="C83" t="str">
            <v>SU006006</v>
          </cell>
          <cell r="D83" t="str">
            <v>深圳市新趋势科技有限公司</v>
          </cell>
        </row>
        <row r="84">
          <cell r="A84" t="str">
            <v>2241.01</v>
          </cell>
          <cell r="B84" t="str">
            <v>　　单位</v>
          </cell>
          <cell r="C84" t="str">
            <v>SU006008</v>
          </cell>
          <cell r="D84" t="str">
            <v>深圳市前海创时代企业管理有限公司</v>
          </cell>
          <cell r="G84">
            <v>2400</v>
          </cell>
          <cell r="H84">
            <v>2400</v>
          </cell>
        </row>
        <row r="85">
          <cell r="A85" t="str">
            <v>2241.01</v>
          </cell>
          <cell r="B85" t="str">
            <v>　　单位</v>
          </cell>
          <cell r="C85" t="str">
            <v>SU006012</v>
          </cell>
          <cell r="D85" t="str">
            <v>上海携程宏睿国际旅行社有限公司</v>
          </cell>
          <cell r="F85">
            <v>33422.42</v>
          </cell>
          <cell r="G85">
            <v>33422.42</v>
          </cell>
          <cell r="H85">
            <v>33070.080000000002</v>
          </cell>
        </row>
        <row r="86">
          <cell r="A86" t="str">
            <v>2241.01</v>
          </cell>
          <cell r="B86" t="str">
            <v>　　单位</v>
          </cell>
          <cell r="C86" t="str">
            <v>SU006016</v>
          </cell>
          <cell r="D86" t="str">
            <v>爱奇创新投资研究（深圳）有限公司</v>
          </cell>
          <cell r="G86">
            <v>63000</v>
          </cell>
          <cell r="H86">
            <v>63000</v>
          </cell>
        </row>
        <row r="87">
          <cell r="A87" t="str">
            <v>2241.01</v>
          </cell>
          <cell r="B87" t="str">
            <v>　　单位</v>
          </cell>
          <cell r="C87" t="str">
            <v>SU006018</v>
          </cell>
          <cell r="D87" t="str">
            <v>深圳辉飏新能源投资咨询有限责任公司</v>
          </cell>
        </row>
        <row r="88">
          <cell r="A88" t="str">
            <v>2241.01</v>
          </cell>
          <cell r="B88" t="str">
            <v>　　单位</v>
          </cell>
          <cell r="C88" t="str">
            <v>SU006021</v>
          </cell>
          <cell r="D88" t="str">
            <v>北京市汉坤律师事务所</v>
          </cell>
          <cell r="F88">
            <v>40000</v>
          </cell>
        </row>
        <row r="89">
          <cell r="A89" t="str">
            <v>2241.01</v>
          </cell>
          <cell r="B89" t="str">
            <v>　　单位</v>
          </cell>
          <cell r="C89" t="str">
            <v>SU006023</v>
          </cell>
          <cell r="D89" t="str">
            <v>顺丰速运有限公司</v>
          </cell>
          <cell r="G89">
            <v>611.1</v>
          </cell>
          <cell r="H89">
            <v>611.1</v>
          </cell>
        </row>
        <row r="90">
          <cell r="A90" t="str">
            <v>2241.01</v>
          </cell>
          <cell r="B90" t="str">
            <v>　　单位</v>
          </cell>
          <cell r="C90" t="str">
            <v>SU006025</v>
          </cell>
          <cell r="D90" t="str">
            <v>全景求是管理顾问（北京）有限公司</v>
          </cell>
          <cell r="G90">
            <v>880</v>
          </cell>
          <cell r="H90">
            <v>880</v>
          </cell>
        </row>
        <row r="91">
          <cell r="A91" t="str">
            <v>2241.01</v>
          </cell>
          <cell r="B91" t="str">
            <v>　　单位</v>
          </cell>
          <cell r="C91" t="str">
            <v>SU006026</v>
          </cell>
          <cell r="D91" t="str">
            <v>和谐汇股权投资管理（北京）有限公司</v>
          </cell>
          <cell r="F91">
            <v>350000</v>
          </cell>
          <cell r="G91">
            <v>350000</v>
          </cell>
        </row>
        <row r="92">
          <cell r="A92" t="str">
            <v>2241.01</v>
          </cell>
          <cell r="B92" t="str">
            <v>　　单位</v>
          </cell>
          <cell r="C92" t="str">
            <v>SU006027</v>
          </cell>
          <cell r="D92" t="str">
            <v>南德认证检测（中国）有限公司</v>
          </cell>
        </row>
        <row r="93">
          <cell r="A93" t="str">
            <v>2241.01</v>
          </cell>
          <cell r="B93" t="str">
            <v>　　单位</v>
          </cell>
          <cell r="C93" t="str">
            <v>SU006029</v>
          </cell>
          <cell r="D93" t="str">
            <v>宁波梅山保税港区爱奇观恒投资管理有限公司</v>
          </cell>
          <cell r="F93">
            <v>190000</v>
          </cell>
        </row>
        <row r="94">
          <cell r="A94" t="str">
            <v>2241.01</v>
          </cell>
          <cell r="B94" t="str">
            <v>　　单位</v>
          </cell>
          <cell r="C94" t="str">
            <v>SU006032</v>
          </cell>
          <cell r="D94" t="str">
            <v>广州旭智投资控股有限责任公司</v>
          </cell>
          <cell r="F94">
            <v>1509439.15</v>
          </cell>
        </row>
        <row r="95">
          <cell r="A95" t="str">
            <v>2241.01</v>
          </cell>
          <cell r="B95" t="str">
            <v>　　单位</v>
          </cell>
          <cell r="C95" t="str">
            <v>SU006033</v>
          </cell>
          <cell r="D95" t="str">
            <v>上海硕昉管理咨询有限公司</v>
          </cell>
          <cell r="F95">
            <v>520000</v>
          </cell>
        </row>
        <row r="96">
          <cell r="A96" t="str">
            <v>2241.01</v>
          </cell>
          <cell r="B96" t="str">
            <v>　　单位</v>
          </cell>
          <cell r="C96" t="str">
            <v>SU006034</v>
          </cell>
          <cell r="D96" t="str">
            <v>北京鉴衡认证中心有限公司</v>
          </cell>
          <cell r="G96">
            <v>120000</v>
          </cell>
          <cell r="H96">
            <v>120000</v>
          </cell>
        </row>
        <row r="97">
          <cell r="A97" t="str">
            <v>2241.01</v>
          </cell>
          <cell r="B97" t="str">
            <v>　　单位</v>
          </cell>
          <cell r="C97" t="str">
            <v>SU006035</v>
          </cell>
          <cell r="D97" t="str">
            <v>同道精英（天津）信息技术有限公司</v>
          </cell>
          <cell r="G97">
            <v>5800</v>
          </cell>
          <cell r="H97">
            <v>5800</v>
          </cell>
        </row>
        <row r="98">
          <cell r="A98" t="str">
            <v>2241.02</v>
          </cell>
          <cell r="B98" t="str">
            <v>　　个人</v>
          </cell>
          <cell r="G98">
            <v>12631.45</v>
          </cell>
          <cell r="H98">
            <v>12631.45</v>
          </cell>
        </row>
        <row r="99">
          <cell r="A99" t="str">
            <v>2241.02</v>
          </cell>
          <cell r="B99" t="str">
            <v>　　个人</v>
          </cell>
          <cell r="C99" t="str">
            <v>SP005001</v>
          </cell>
          <cell r="D99" t="str">
            <v>冯冠邦</v>
          </cell>
          <cell r="G99">
            <v>4884.28</v>
          </cell>
          <cell r="H99">
            <v>4884.28</v>
          </cell>
        </row>
        <row r="100">
          <cell r="A100" t="str">
            <v>2241.02</v>
          </cell>
          <cell r="B100" t="str">
            <v>　　个人</v>
          </cell>
          <cell r="C100" t="str">
            <v>SP005011</v>
          </cell>
          <cell r="D100" t="str">
            <v>郭宗林</v>
          </cell>
        </row>
        <row r="101">
          <cell r="A101" t="str">
            <v>2241.02</v>
          </cell>
          <cell r="B101" t="str">
            <v>　　个人</v>
          </cell>
          <cell r="C101" t="str">
            <v>SP005012</v>
          </cell>
          <cell r="D101" t="str">
            <v>吴雅薇</v>
          </cell>
        </row>
        <row r="102">
          <cell r="A102" t="str">
            <v>2241.02</v>
          </cell>
          <cell r="B102" t="str">
            <v>　　个人</v>
          </cell>
          <cell r="C102" t="str">
            <v>SP006002</v>
          </cell>
          <cell r="D102" t="str">
            <v>陈灿</v>
          </cell>
          <cell r="G102">
            <v>5656</v>
          </cell>
          <cell r="H102">
            <v>5656</v>
          </cell>
        </row>
        <row r="103">
          <cell r="A103" t="str">
            <v>2241.02</v>
          </cell>
          <cell r="B103" t="str">
            <v>　　个人</v>
          </cell>
          <cell r="C103" t="str">
            <v>SP006003</v>
          </cell>
          <cell r="D103" t="str">
            <v>袁玉杰</v>
          </cell>
        </row>
        <row r="104">
          <cell r="A104" t="str">
            <v>2241.02</v>
          </cell>
          <cell r="B104" t="str">
            <v>　　个人</v>
          </cell>
          <cell r="C104" t="str">
            <v>SP006004</v>
          </cell>
          <cell r="D104" t="str">
            <v>高焙</v>
          </cell>
          <cell r="G104">
            <v>2091.17</v>
          </cell>
          <cell r="H104">
            <v>2091.17</v>
          </cell>
        </row>
        <row r="105">
          <cell r="A105" t="str">
            <v>2241.02</v>
          </cell>
          <cell r="B105" t="str">
            <v>　　个人</v>
          </cell>
          <cell r="C105" t="str">
            <v>SP006006</v>
          </cell>
          <cell r="D105" t="str">
            <v>王志强</v>
          </cell>
        </row>
        <row r="106">
          <cell r="A106" t="str">
            <v>2241.02</v>
          </cell>
          <cell r="B106" t="str">
            <v>　　个人</v>
          </cell>
          <cell r="C106" t="str">
            <v>SP006007</v>
          </cell>
          <cell r="D106" t="str">
            <v>徐彬</v>
          </cell>
        </row>
        <row r="107">
          <cell r="A107" t="str">
            <v>2241.02</v>
          </cell>
          <cell r="B107" t="str">
            <v>　　个人</v>
          </cell>
          <cell r="C107" t="str">
            <v>SP006008</v>
          </cell>
          <cell r="D107" t="str">
            <v>何梅春</v>
          </cell>
        </row>
        <row r="108">
          <cell r="A108" t="str">
            <v>2241.02</v>
          </cell>
          <cell r="B108" t="str">
            <v>　　个人</v>
          </cell>
          <cell r="C108" t="str">
            <v>SP006009</v>
          </cell>
          <cell r="D108" t="str">
            <v>林秋蝶</v>
          </cell>
        </row>
        <row r="109">
          <cell r="A109" t="str">
            <v>2241.02</v>
          </cell>
          <cell r="B109" t="str">
            <v>　　个人</v>
          </cell>
          <cell r="C109" t="str">
            <v>SP006012</v>
          </cell>
          <cell r="D109" t="str">
            <v>闫凯</v>
          </cell>
        </row>
        <row r="110">
          <cell r="A110" t="str">
            <v>2241.02</v>
          </cell>
          <cell r="B110" t="str">
            <v>　　个人</v>
          </cell>
          <cell r="C110" t="str">
            <v>SP006013</v>
          </cell>
          <cell r="D110" t="str">
            <v>叶亚峰</v>
          </cell>
        </row>
        <row r="111">
          <cell r="A111" t="str">
            <v>2601</v>
          </cell>
          <cell r="B111" t="str">
            <v>租赁负债</v>
          </cell>
        </row>
        <row r="112">
          <cell r="A112" t="str">
            <v>2601.01</v>
          </cell>
          <cell r="B112" t="str">
            <v>　　租赁付款额</v>
          </cell>
        </row>
        <row r="113">
          <cell r="A113" t="str">
            <v>2601.01.02</v>
          </cell>
          <cell r="B113" t="str">
            <v>　　　　办公地址</v>
          </cell>
        </row>
        <row r="114">
          <cell r="A114" t="str">
            <v>2601.01.02.01</v>
          </cell>
          <cell r="B114" t="str">
            <v>　　　　　　旭智咨询--鼎和大厦1606</v>
          </cell>
        </row>
        <row r="115">
          <cell r="A115" t="str">
            <v>2601.02</v>
          </cell>
          <cell r="B115" t="str">
            <v>　　未确认融资费用</v>
          </cell>
        </row>
        <row r="116">
          <cell r="A116" t="str">
            <v>2601.02.02</v>
          </cell>
          <cell r="B116" t="str">
            <v>　　　　办公地址</v>
          </cell>
        </row>
        <row r="117">
          <cell r="A117" t="str">
            <v>2601.02.02.01</v>
          </cell>
          <cell r="B117" t="str">
            <v>　　　　　　旭智咨询--鼎和大厦1606</v>
          </cell>
        </row>
        <row r="118">
          <cell r="A118" t="str">
            <v>2601.03</v>
          </cell>
          <cell r="B118" t="str">
            <v>　　一年内到期的非流动负债</v>
          </cell>
        </row>
        <row r="119">
          <cell r="A119" t="str">
            <v>4001</v>
          </cell>
          <cell r="B119" t="str">
            <v>实收资本（股本）</v>
          </cell>
          <cell r="F119">
            <v>2500000</v>
          </cell>
        </row>
        <row r="120">
          <cell r="A120" t="str">
            <v>4001.10</v>
          </cell>
          <cell r="B120" t="str">
            <v>　　旭智资本有限公司</v>
          </cell>
          <cell r="F120">
            <v>2500000</v>
          </cell>
        </row>
        <row r="121">
          <cell r="A121" t="str">
            <v>4101</v>
          </cell>
          <cell r="B121" t="str">
            <v>盈余公积</v>
          </cell>
          <cell r="F121">
            <v>140513.82</v>
          </cell>
        </row>
        <row r="122">
          <cell r="A122" t="str">
            <v>4101.01</v>
          </cell>
          <cell r="B122" t="str">
            <v>　　法定盈余公积</v>
          </cell>
          <cell r="F122">
            <v>140513.82</v>
          </cell>
        </row>
        <row r="123">
          <cell r="A123" t="str">
            <v>4103</v>
          </cell>
          <cell r="B123" t="str">
            <v>本年利润</v>
          </cell>
          <cell r="E123">
            <v>286094.03999999998</v>
          </cell>
          <cell r="G123">
            <v>237145.51</v>
          </cell>
        </row>
        <row r="124">
          <cell r="A124" t="str">
            <v>4104</v>
          </cell>
          <cell r="B124" t="str">
            <v>利润分配</v>
          </cell>
          <cell r="F124">
            <v>1264624.46</v>
          </cell>
        </row>
        <row r="125">
          <cell r="A125" t="str">
            <v>4104.07</v>
          </cell>
          <cell r="B125" t="str">
            <v>　　未分配利润</v>
          </cell>
          <cell r="F125">
            <v>1264624.46</v>
          </cell>
        </row>
        <row r="126">
          <cell r="A126" t="str">
            <v>6001</v>
          </cell>
          <cell r="B126" t="str">
            <v>主营业务收入</v>
          </cell>
        </row>
        <row r="127">
          <cell r="A127" t="str">
            <v>6001.02</v>
          </cell>
          <cell r="B127" t="str">
            <v>　　咨询服务费收入</v>
          </cell>
        </row>
        <row r="128">
          <cell r="A128" t="str">
            <v>6001.02.01</v>
          </cell>
          <cell r="B128" t="str">
            <v>　　　　已开票</v>
          </cell>
        </row>
        <row r="129">
          <cell r="A129" t="str">
            <v>6001.02.01</v>
          </cell>
          <cell r="B129" t="str">
            <v>　　　　已开票</v>
          </cell>
          <cell r="C129" t="str">
            <v>【未录入】</v>
          </cell>
          <cell r="D129" t="str">
            <v>【未录入】</v>
          </cell>
        </row>
        <row r="130">
          <cell r="A130" t="str">
            <v>6115</v>
          </cell>
          <cell r="B130" t="str">
            <v>其他收益</v>
          </cell>
        </row>
        <row r="131">
          <cell r="A131" t="str">
            <v>6115.02</v>
          </cell>
          <cell r="B131" t="str">
            <v>　　个税手续费返还</v>
          </cell>
        </row>
        <row r="132">
          <cell r="A132" t="str">
            <v>6117</v>
          </cell>
          <cell r="B132" t="str">
            <v>资产处置损益</v>
          </cell>
        </row>
        <row r="133">
          <cell r="A133" t="str">
            <v>6405</v>
          </cell>
          <cell r="B133" t="str">
            <v>税金及附加</v>
          </cell>
        </row>
        <row r="134">
          <cell r="A134" t="str">
            <v>6405.02</v>
          </cell>
          <cell r="B134" t="str">
            <v>　　城市维护建设税</v>
          </cell>
        </row>
        <row r="135">
          <cell r="A135" t="str">
            <v>6405.03</v>
          </cell>
          <cell r="B135" t="str">
            <v>　　教育费附加</v>
          </cell>
        </row>
        <row r="136">
          <cell r="A136" t="str">
            <v>6405.04</v>
          </cell>
          <cell r="B136" t="str">
            <v>　　地方教育附加</v>
          </cell>
        </row>
        <row r="137">
          <cell r="A137" t="str">
            <v>6602</v>
          </cell>
          <cell r="B137" t="str">
            <v>管理费用</v>
          </cell>
          <cell r="G137">
            <v>236827.36</v>
          </cell>
          <cell r="H137">
            <v>236827.36</v>
          </cell>
        </row>
        <row r="138">
          <cell r="A138" t="str">
            <v>6602.01</v>
          </cell>
          <cell r="B138" t="str">
            <v>　　工资薪金</v>
          </cell>
          <cell r="G138">
            <v>308900</v>
          </cell>
          <cell r="H138">
            <v>308900</v>
          </cell>
        </row>
        <row r="139">
          <cell r="A139" t="str">
            <v>6602.01.01</v>
          </cell>
          <cell r="B139" t="str">
            <v>　　　　基本工资（专业）</v>
          </cell>
          <cell r="G139">
            <v>308900</v>
          </cell>
          <cell r="H139">
            <v>308900</v>
          </cell>
        </row>
        <row r="140">
          <cell r="A140" t="str">
            <v>6602.01.03</v>
          </cell>
          <cell r="B140" t="str">
            <v>　　　　员工奖金（专业）</v>
          </cell>
        </row>
        <row r="141">
          <cell r="A141" t="str">
            <v>6602.01.06</v>
          </cell>
          <cell r="B141" t="str">
            <v>　　　　劳务报酬</v>
          </cell>
        </row>
        <row r="142">
          <cell r="A142" t="str">
            <v>6602.02</v>
          </cell>
          <cell r="B142" t="str">
            <v>　　职工福利</v>
          </cell>
          <cell r="G142">
            <v>5656</v>
          </cell>
          <cell r="H142">
            <v>5656</v>
          </cell>
        </row>
        <row r="143">
          <cell r="A143" t="str">
            <v>6602.02.02</v>
          </cell>
          <cell r="B143" t="str">
            <v>　　　　团建活动</v>
          </cell>
          <cell r="G143">
            <v>5656</v>
          </cell>
          <cell r="H143">
            <v>5656</v>
          </cell>
        </row>
        <row r="144">
          <cell r="A144" t="str">
            <v>6602.02.03</v>
          </cell>
          <cell r="B144" t="str">
            <v>　　　　体检费</v>
          </cell>
        </row>
        <row r="145">
          <cell r="A145" t="str">
            <v>6602.03</v>
          </cell>
          <cell r="B145" t="str">
            <v>　　社保公积金</v>
          </cell>
          <cell r="G145">
            <v>85190.31</v>
          </cell>
          <cell r="H145">
            <v>85190.31</v>
          </cell>
        </row>
        <row r="146">
          <cell r="A146" t="str">
            <v>6602.03.01</v>
          </cell>
          <cell r="B146" t="str">
            <v>　　　　员工社保福利</v>
          </cell>
          <cell r="G146">
            <v>54837.15</v>
          </cell>
          <cell r="H146">
            <v>54837.15</v>
          </cell>
        </row>
        <row r="147">
          <cell r="A147" t="str">
            <v>6602.03.02</v>
          </cell>
          <cell r="B147" t="str">
            <v>　　　　员工公积金福利</v>
          </cell>
          <cell r="G147">
            <v>30353.16</v>
          </cell>
          <cell r="H147">
            <v>30353.16</v>
          </cell>
        </row>
        <row r="148">
          <cell r="A148" t="str">
            <v>6602.04</v>
          </cell>
          <cell r="B148" t="str">
            <v>　　咨询及专业服务费</v>
          </cell>
          <cell r="G148">
            <v>-321486.78999999998</v>
          </cell>
          <cell r="H148">
            <v>-321486.78999999998</v>
          </cell>
        </row>
        <row r="149">
          <cell r="A149" t="str">
            <v>6602.04.02</v>
          </cell>
          <cell r="B149" t="str">
            <v>　　　　审计服务费</v>
          </cell>
        </row>
        <row r="150">
          <cell r="A150" t="str">
            <v>6602.04.03</v>
          </cell>
          <cell r="B150" t="str">
            <v>　　　　顾问费</v>
          </cell>
          <cell r="G150">
            <v>-350000</v>
          </cell>
          <cell r="H150">
            <v>-350000</v>
          </cell>
        </row>
        <row r="151">
          <cell r="A151" t="str">
            <v>6602.04.03</v>
          </cell>
          <cell r="B151" t="str">
            <v>　　　　顾问费</v>
          </cell>
          <cell r="C151" t="str">
            <v>【未录入】</v>
          </cell>
          <cell r="D151" t="str">
            <v>【未录入】</v>
          </cell>
        </row>
        <row r="152">
          <cell r="A152" t="str">
            <v>6602.04.03</v>
          </cell>
          <cell r="B152" t="str">
            <v>　　　　顾问费</v>
          </cell>
          <cell r="C152" t="str">
            <v>CI006</v>
          </cell>
          <cell r="D152" t="str">
            <v>旭智咨询</v>
          </cell>
          <cell r="G152">
            <v>-350000</v>
          </cell>
          <cell r="H152">
            <v>-350000</v>
          </cell>
        </row>
        <row r="153">
          <cell r="A153" t="str">
            <v>6602.04.04</v>
          </cell>
          <cell r="B153" t="str">
            <v>　　　　税务服务费</v>
          </cell>
        </row>
        <row r="154">
          <cell r="A154" t="str">
            <v>6602.04.05</v>
          </cell>
          <cell r="B154" t="str">
            <v>　　　　招聘服务费</v>
          </cell>
          <cell r="G154">
            <v>5471.7</v>
          </cell>
          <cell r="H154">
            <v>5471.7</v>
          </cell>
        </row>
        <row r="155">
          <cell r="A155" t="str">
            <v>6602.04.07</v>
          </cell>
          <cell r="B155" t="str">
            <v>　　　　人力资源服务费</v>
          </cell>
          <cell r="G155">
            <v>2400</v>
          </cell>
          <cell r="H155">
            <v>2400</v>
          </cell>
        </row>
        <row r="156">
          <cell r="A156" t="str">
            <v>6602.04.08</v>
          </cell>
          <cell r="B156" t="str">
            <v>　　　　背景调查费</v>
          </cell>
          <cell r="G156">
            <v>830.19</v>
          </cell>
          <cell r="H156">
            <v>830.19</v>
          </cell>
        </row>
        <row r="157">
          <cell r="A157" t="str">
            <v>6602.04.99</v>
          </cell>
          <cell r="B157" t="str">
            <v>　　　　其他</v>
          </cell>
          <cell r="G157">
            <v>19811.32</v>
          </cell>
          <cell r="H157">
            <v>19811.32</v>
          </cell>
        </row>
        <row r="158">
          <cell r="A158" t="str">
            <v>6602.04.99</v>
          </cell>
          <cell r="B158" t="str">
            <v>　　　　其他</v>
          </cell>
          <cell r="C158" t="str">
            <v>【未录入】</v>
          </cell>
          <cell r="D158" t="str">
            <v>【未录入】</v>
          </cell>
          <cell r="G158">
            <v>19811.32</v>
          </cell>
          <cell r="H158">
            <v>19811.32</v>
          </cell>
        </row>
        <row r="159">
          <cell r="A159" t="str">
            <v>6602.05</v>
          </cell>
          <cell r="B159" t="str">
            <v>　　占用费</v>
          </cell>
        </row>
        <row r="160">
          <cell r="A160" t="str">
            <v>6602.05.03</v>
          </cell>
          <cell r="B160" t="str">
            <v>　　　　电费</v>
          </cell>
        </row>
        <row r="161">
          <cell r="A161" t="str">
            <v>6602.05.06</v>
          </cell>
          <cell r="B161" t="str">
            <v>　　　　装修费</v>
          </cell>
        </row>
        <row r="162">
          <cell r="A162" t="str">
            <v>6602.05.99</v>
          </cell>
          <cell r="B162" t="str">
            <v>　　　　其他</v>
          </cell>
        </row>
        <row r="163">
          <cell r="A163" t="str">
            <v>6602.08</v>
          </cell>
          <cell r="B163" t="str">
            <v>　　事务费用</v>
          </cell>
          <cell r="G163">
            <v>3589.1</v>
          </cell>
          <cell r="H163">
            <v>3589.1</v>
          </cell>
        </row>
        <row r="164">
          <cell r="A164" t="str">
            <v>6602.08.01</v>
          </cell>
          <cell r="B164" t="str">
            <v>　　　　通信费</v>
          </cell>
          <cell r="G164">
            <v>578</v>
          </cell>
          <cell r="H164">
            <v>578</v>
          </cell>
        </row>
        <row r="165">
          <cell r="A165" t="str">
            <v>6602.08.01</v>
          </cell>
          <cell r="B165" t="str">
            <v>　　　　通信费</v>
          </cell>
          <cell r="C165" t="str">
            <v>【未录入】</v>
          </cell>
          <cell r="D165" t="str">
            <v>【未录入】</v>
          </cell>
        </row>
        <row r="166">
          <cell r="A166" t="str">
            <v>6602.08.01</v>
          </cell>
          <cell r="B166" t="str">
            <v>　　　　通信费</v>
          </cell>
          <cell r="C166" t="str">
            <v>CI002</v>
          </cell>
          <cell r="D166" t="str">
            <v>旭智富能</v>
          </cell>
        </row>
        <row r="167">
          <cell r="A167" t="str">
            <v>6602.08.01</v>
          </cell>
          <cell r="B167" t="str">
            <v>　　　　通信费</v>
          </cell>
          <cell r="C167" t="str">
            <v>CI006</v>
          </cell>
          <cell r="D167" t="str">
            <v>旭智咨询</v>
          </cell>
          <cell r="G167">
            <v>578</v>
          </cell>
          <cell r="H167">
            <v>578</v>
          </cell>
        </row>
        <row r="168">
          <cell r="A168" t="str">
            <v>6602.08.03</v>
          </cell>
          <cell r="B168" t="str">
            <v>　　　　办公用品</v>
          </cell>
        </row>
        <row r="169">
          <cell r="A169" t="str">
            <v>6602.08.03</v>
          </cell>
          <cell r="B169" t="str">
            <v>　　　　办公用品</v>
          </cell>
          <cell r="C169" t="str">
            <v>【未录入】</v>
          </cell>
          <cell r="D169" t="str">
            <v>【未录入】</v>
          </cell>
        </row>
        <row r="170">
          <cell r="A170" t="str">
            <v>6602.08.03</v>
          </cell>
          <cell r="B170" t="str">
            <v>　　　　办公用品</v>
          </cell>
          <cell r="C170" t="str">
            <v>CI006</v>
          </cell>
          <cell r="D170" t="str">
            <v>旭智咨询</v>
          </cell>
        </row>
        <row r="171">
          <cell r="A171" t="str">
            <v>6602.08.05</v>
          </cell>
          <cell r="B171" t="str">
            <v>　　　　邮费/邮递费</v>
          </cell>
          <cell r="G171">
            <v>611.1</v>
          </cell>
          <cell r="H171">
            <v>611.1</v>
          </cell>
        </row>
        <row r="172">
          <cell r="A172" t="str">
            <v>6602.08.05</v>
          </cell>
          <cell r="B172" t="str">
            <v>　　　　邮费/邮递费</v>
          </cell>
          <cell r="C172" t="str">
            <v>【未录入】</v>
          </cell>
          <cell r="D172" t="str">
            <v>【未录入】</v>
          </cell>
        </row>
        <row r="173">
          <cell r="A173" t="str">
            <v>6602.08.05</v>
          </cell>
          <cell r="B173" t="str">
            <v>　　　　邮费/邮递费</v>
          </cell>
          <cell r="C173" t="str">
            <v>CI006</v>
          </cell>
          <cell r="D173" t="str">
            <v>旭智咨询</v>
          </cell>
          <cell r="G173">
            <v>611.1</v>
          </cell>
          <cell r="H173">
            <v>611.1</v>
          </cell>
        </row>
        <row r="174">
          <cell r="A174" t="str">
            <v>6602.08.99</v>
          </cell>
          <cell r="B174" t="str">
            <v>　　　　其他</v>
          </cell>
          <cell r="G174">
            <v>2400</v>
          </cell>
          <cell r="H174">
            <v>2400</v>
          </cell>
        </row>
        <row r="175">
          <cell r="A175" t="str">
            <v>6602.08.99</v>
          </cell>
          <cell r="B175" t="str">
            <v>　　　　其他</v>
          </cell>
          <cell r="C175" t="str">
            <v>【未录入】</v>
          </cell>
          <cell r="D175" t="str">
            <v>【未录入】</v>
          </cell>
        </row>
        <row r="176">
          <cell r="A176" t="str">
            <v>6602.08.99</v>
          </cell>
          <cell r="B176" t="str">
            <v>　　　　其他</v>
          </cell>
          <cell r="C176" t="str">
            <v>CI006</v>
          </cell>
          <cell r="D176" t="str">
            <v>旭智咨询</v>
          </cell>
          <cell r="G176">
            <v>2400</v>
          </cell>
          <cell r="H176">
            <v>2400</v>
          </cell>
        </row>
        <row r="177">
          <cell r="A177" t="str">
            <v>6602.09</v>
          </cell>
          <cell r="B177" t="str">
            <v>　　差旅费</v>
          </cell>
        </row>
        <row r="178">
          <cell r="A178" t="str">
            <v>6602.09.01</v>
          </cell>
          <cell r="B178" t="str">
            <v>　　　　住宿费</v>
          </cell>
        </row>
        <row r="179">
          <cell r="A179" t="str">
            <v>6602.09.01</v>
          </cell>
          <cell r="B179" t="str">
            <v>　　　　住宿费</v>
          </cell>
          <cell r="C179" t="str">
            <v>【未录入】</v>
          </cell>
          <cell r="D179" t="str">
            <v>【未录入】</v>
          </cell>
        </row>
        <row r="180">
          <cell r="A180" t="str">
            <v>6602.09.02</v>
          </cell>
          <cell r="B180" t="str">
            <v>　　　　伙食费</v>
          </cell>
        </row>
        <row r="181">
          <cell r="A181" t="str">
            <v>6602.09.02</v>
          </cell>
          <cell r="B181" t="str">
            <v>　　　　伙食费</v>
          </cell>
          <cell r="C181" t="str">
            <v>【未录入】</v>
          </cell>
          <cell r="D181" t="str">
            <v>【未录入】</v>
          </cell>
        </row>
        <row r="182">
          <cell r="A182" t="str">
            <v>6602.09.03</v>
          </cell>
          <cell r="B182" t="str">
            <v>　　　　地面交通费</v>
          </cell>
        </row>
        <row r="183">
          <cell r="A183" t="str">
            <v>6602.09.03</v>
          </cell>
          <cell r="B183" t="str">
            <v>　　　　地面交通费</v>
          </cell>
          <cell r="C183" t="str">
            <v>【未录入】</v>
          </cell>
          <cell r="D183" t="str">
            <v>【未录入】</v>
          </cell>
        </row>
        <row r="184">
          <cell r="A184" t="str">
            <v>6602.09.04</v>
          </cell>
          <cell r="B184" t="str">
            <v>　　　　空中交通费</v>
          </cell>
        </row>
        <row r="185">
          <cell r="A185" t="str">
            <v>6602.09.04</v>
          </cell>
          <cell r="B185" t="str">
            <v>　　　　空中交通费</v>
          </cell>
          <cell r="C185" t="str">
            <v>【未录入】</v>
          </cell>
          <cell r="D185" t="str">
            <v>【未录入】</v>
          </cell>
        </row>
        <row r="186">
          <cell r="A186" t="str">
            <v>6602.10</v>
          </cell>
          <cell r="B186" t="str">
            <v>　　折旧费</v>
          </cell>
          <cell r="G186">
            <v>2710.46</v>
          </cell>
          <cell r="H186">
            <v>2710.46</v>
          </cell>
        </row>
        <row r="187">
          <cell r="A187" t="str">
            <v>6602.10.01</v>
          </cell>
          <cell r="B187" t="str">
            <v>　　　　电子设备</v>
          </cell>
          <cell r="G187">
            <v>2032.37</v>
          </cell>
          <cell r="H187">
            <v>2032.37</v>
          </cell>
        </row>
        <row r="188">
          <cell r="A188" t="str">
            <v>6602.10.04</v>
          </cell>
          <cell r="B188" t="str">
            <v>　　　　家具设备</v>
          </cell>
          <cell r="G188">
            <v>678.09</v>
          </cell>
          <cell r="H188">
            <v>678.09</v>
          </cell>
        </row>
        <row r="189">
          <cell r="A189" t="str">
            <v>6602.11</v>
          </cell>
          <cell r="B189" t="str">
            <v>　　筹建费</v>
          </cell>
          <cell r="G189">
            <v>152268.28</v>
          </cell>
          <cell r="H189">
            <v>152268.28</v>
          </cell>
        </row>
        <row r="190">
          <cell r="A190" t="str">
            <v>6602.11.01</v>
          </cell>
          <cell r="B190" t="str">
            <v>　　　　咨询及专业服务费</v>
          </cell>
          <cell r="G190">
            <v>113207.55</v>
          </cell>
          <cell r="H190">
            <v>113207.55</v>
          </cell>
        </row>
        <row r="191">
          <cell r="A191" t="str">
            <v>6602.11.01.06</v>
          </cell>
          <cell r="B191" t="str">
            <v>　　　　　　法律服务费</v>
          </cell>
        </row>
        <row r="192">
          <cell r="A192" t="str">
            <v>6602.11.01.06</v>
          </cell>
          <cell r="B192" t="str">
            <v>　　　　　　法律服务费</v>
          </cell>
          <cell r="C192" t="str">
            <v>CI001</v>
          </cell>
          <cell r="D192" t="str">
            <v>旭智基金Ⅱ筹建费</v>
          </cell>
        </row>
        <row r="193">
          <cell r="A193" t="str">
            <v>6602.11.01.11</v>
          </cell>
          <cell r="B193" t="str">
            <v>　　　　　　技术尽调费</v>
          </cell>
          <cell r="G193">
            <v>113207.55</v>
          </cell>
          <cell r="H193">
            <v>113207.55</v>
          </cell>
        </row>
        <row r="194">
          <cell r="A194" t="str">
            <v>6602.11.01.11</v>
          </cell>
          <cell r="B194" t="str">
            <v>　　　　　　技术尽调费</v>
          </cell>
          <cell r="C194" t="str">
            <v>CI002</v>
          </cell>
          <cell r="D194" t="str">
            <v>旭智富能</v>
          </cell>
          <cell r="G194">
            <v>113207.55</v>
          </cell>
          <cell r="H194">
            <v>113207.55</v>
          </cell>
        </row>
        <row r="195">
          <cell r="A195" t="str">
            <v>6602.11.02</v>
          </cell>
          <cell r="B195" t="str">
            <v>　　　　业务招待费</v>
          </cell>
        </row>
        <row r="196">
          <cell r="A196" t="str">
            <v>6602.11.02</v>
          </cell>
          <cell r="B196" t="str">
            <v>　　　　业务招待费</v>
          </cell>
          <cell r="C196" t="str">
            <v>CI001</v>
          </cell>
          <cell r="D196" t="str">
            <v>旭智基金Ⅱ筹建费</v>
          </cell>
        </row>
        <row r="197">
          <cell r="A197" t="str">
            <v>6602.11.02</v>
          </cell>
          <cell r="B197" t="str">
            <v>　　　　业务招待费</v>
          </cell>
          <cell r="C197" t="str">
            <v>CI002</v>
          </cell>
          <cell r="D197" t="str">
            <v>旭智富能</v>
          </cell>
        </row>
        <row r="198">
          <cell r="A198" t="str">
            <v>6602.11.04</v>
          </cell>
          <cell r="B198" t="str">
            <v>　　　　事务费用</v>
          </cell>
        </row>
        <row r="199">
          <cell r="A199" t="str">
            <v>6602.11.04.01</v>
          </cell>
          <cell r="B199" t="str">
            <v>　　　　　　通信费</v>
          </cell>
        </row>
        <row r="200">
          <cell r="A200" t="str">
            <v>6602.11.04.01</v>
          </cell>
          <cell r="B200" t="str">
            <v>　　　　　　通信费</v>
          </cell>
          <cell r="C200" t="str">
            <v>CI002</v>
          </cell>
          <cell r="D200" t="str">
            <v>旭智富能</v>
          </cell>
        </row>
        <row r="201">
          <cell r="A201" t="str">
            <v>6602.11.04.03</v>
          </cell>
          <cell r="B201" t="str">
            <v>　　　　　　办公用品</v>
          </cell>
        </row>
        <row r="202">
          <cell r="A202" t="str">
            <v>6602.11.04.03</v>
          </cell>
          <cell r="B202" t="str">
            <v>　　　　　　办公用品</v>
          </cell>
          <cell r="C202" t="str">
            <v>CI002</v>
          </cell>
          <cell r="D202" t="str">
            <v>旭智富能</v>
          </cell>
        </row>
        <row r="203">
          <cell r="A203" t="str">
            <v>6602.11.04.99</v>
          </cell>
          <cell r="B203" t="str">
            <v>　　　　　　其他</v>
          </cell>
        </row>
        <row r="204">
          <cell r="A204" t="str">
            <v>6602.11.04.99</v>
          </cell>
          <cell r="B204" t="str">
            <v>　　　　　　其他</v>
          </cell>
          <cell r="C204" t="str">
            <v>CI002</v>
          </cell>
          <cell r="D204" t="str">
            <v>旭智富能</v>
          </cell>
        </row>
        <row r="205">
          <cell r="A205" t="str">
            <v>6602.11.05</v>
          </cell>
          <cell r="B205" t="str">
            <v>　　　　差旅费</v>
          </cell>
          <cell r="G205">
            <v>39060.730000000003</v>
          </cell>
          <cell r="H205">
            <v>39060.730000000003</v>
          </cell>
        </row>
        <row r="206">
          <cell r="A206" t="str">
            <v>6602.11.05.01</v>
          </cell>
          <cell r="B206" t="str">
            <v>　　　　　　住宿费</v>
          </cell>
          <cell r="G206">
            <v>15906.07</v>
          </cell>
          <cell r="H206">
            <v>15906.07</v>
          </cell>
        </row>
        <row r="207">
          <cell r="A207" t="str">
            <v>6602.11.05.01</v>
          </cell>
          <cell r="B207" t="str">
            <v>　　　　　　住宿费</v>
          </cell>
          <cell r="C207" t="str">
            <v>CI002</v>
          </cell>
          <cell r="D207" t="str">
            <v>旭智富能</v>
          </cell>
          <cell r="G207">
            <v>15906.07</v>
          </cell>
          <cell r="H207">
            <v>15906.07</v>
          </cell>
        </row>
        <row r="208">
          <cell r="A208" t="str">
            <v>6602.11.05.01</v>
          </cell>
          <cell r="B208" t="str">
            <v>　　　　　　住宿费</v>
          </cell>
          <cell r="C208" t="str">
            <v>CI005</v>
          </cell>
          <cell r="D208" t="str">
            <v>旭智私募</v>
          </cell>
        </row>
        <row r="209">
          <cell r="A209" t="str">
            <v>6602.11.05.02</v>
          </cell>
          <cell r="B209" t="str">
            <v>　　　　　　伙食费</v>
          </cell>
          <cell r="G209">
            <v>1090</v>
          </cell>
          <cell r="H209">
            <v>1090</v>
          </cell>
        </row>
        <row r="210">
          <cell r="A210" t="str">
            <v>6602.11.05.02</v>
          </cell>
          <cell r="B210" t="str">
            <v>　　　　　　伙食费</v>
          </cell>
          <cell r="C210" t="str">
            <v>CI002</v>
          </cell>
          <cell r="D210" t="str">
            <v>旭智富能</v>
          </cell>
          <cell r="G210">
            <v>1090</v>
          </cell>
          <cell r="H210">
            <v>1090</v>
          </cell>
        </row>
        <row r="211">
          <cell r="A211" t="str">
            <v>6602.11.05.03</v>
          </cell>
          <cell r="B211" t="str">
            <v>　　　　　　地面交通费</v>
          </cell>
          <cell r="G211">
            <v>8668.3700000000008</v>
          </cell>
          <cell r="H211">
            <v>8668.3700000000008</v>
          </cell>
        </row>
        <row r="212">
          <cell r="A212" t="str">
            <v>6602.11.05.03</v>
          </cell>
          <cell r="B212" t="str">
            <v>　　　　　　地面交通费</v>
          </cell>
          <cell r="C212" t="str">
            <v>CI002</v>
          </cell>
          <cell r="D212" t="str">
            <v>旭智富能</v>
          </cell>
          <cell r="G212">
            <v>8668.3700000000008</v>
          </cell>
          <cell r="H212">
            <v>8668.3700000000008</v>
          </cell>
        </row>
        <row r="213">
          <cell r="A213" t="str">
            <v>6602.11.05.03</v>
          </cell>
          <cell r="B213" t="str">
            <v>　　　　　　地面交通费</v>
          </cell>
          <cell r="C213" t="str">
            <v>CI005</v>
          </cell>
          <cell r="D213" t="str">
            <v>旭智私募</v>
          </cell>
        </row>
        <row r="214">
          <cell r="A214" t="str">
            <v>6602.11.05.04</v>
          </cell>
          <cell r="B214" t="str">
            <v>　　　　　　空中交通费</v>
          </cell>
          <cell r="G214">
            <v>13170.47</v>
          </cell>
          <cell r="H214">
            <v>13170.47</v>
          </cell>
        </row>
        <row r="215">
          <cell r="A215" t="str">
            <v>6602.11.05.04</v>
          </cell>
          <cell r="B215" t="str">
            <v>　　　　　　空中交通费</v>
          </cell>
          <cell r="C215" t="str">
            <v>CI002</v>
          </cell>
          <cell r="D215" t="str">
            <v>旭智富能</v>
          </cell>
          <cell r="G215">
            <v>13170.47</v>
          </cell>
          <cell r="H215">
            <v>13170.47</v>
          </cell>
        </row>
        <row r="216">
          <cell r="A216" t="str">
            <v>6602.11.05.04</v>
          </cell>
          <cell r="B216" t="str">
            <v>　　　　　　空中交通费</v>
          </cell>
          <cell r="C216" t="str">
            <v>CI005</v>
          </cell>
          <cell r="D216" t="str">
            <v>旭智私募</v>
          </cell>
        </row>
        <row r="217">
          <cell r="A217" t="str">
            <v>6602.11.05.05</v>
          </cell>
          <cell r="B217" t="str">
            <v>　　　　　　租车</v>
          </cell>
          <cell r="G217">
            <v>170.82</v>
          </cell>
          <cell r="H217">
            <v>170.82</v>
          </cell>
        </row>
        <row r="218">
          <cell r="A218" t="str">
            <v>6602.11.05.05</v>
          </cell>
          <cell r="B218" t="str">
            <v>　　　　　　租车</v>
          </cell>
          <cell r="C218" t="str">
            <v>CI002</v>
          </cell>
          <cell r="D218" t="str">
            <v>旭智富能</v>
          </cell>
          <cell r="G218">
            <v>170.82</v>
          </cell>
          <cell r="H218">
            <v>170.82</v>
          </cell>
        </row>
        <row r="219">
          <cell r="A219" t="str">
            <v>6602.11.05.06</v>
          </cell>
          <cell r="B219" t="str">
            <v>　　　　　　其他汽车费用</v>
          </cell>
          <cell r="G219">
            <v>55</v>
          </cell>
          <cell r="H219">
            <v>55</v>
          </cell>
        </row>
        <row r="220">
          <cell r="A220" t="str">
            <v>6602.11.05.06</v>
          </cell>
          <cell r="B220" t="str">
            <v>　　　　　　其他汽车费用</v>
          </cell>
          <cell r="C220" t="str">
            <v>CI002</v>
          </cell>
          <cell r="D220" t="str">
            <v>旭智富能</v>
          </cell>
          <cell r="G220">
            <v>55</v>
          </cell>
          <cell r="H220">
            <v>55</v>
          </cell>
        </row>
        <row r="221">
          <cell r="A221" t="str">
            <v>6602.11.05.99</v>
          </cell>
          <cell r="B221" t="str">
            <v>　　　　　　其他</v>
          </cell>
        </row>
        <row r="222">
          <cell r="A222" t="str">
            <v>6602.11.05.99</v>
          </cell>
          <cell r="B222" t="str">
            <v>　　　　　　其他</v>
          </cell>
          <cell r="C222" t="str">
            <v>CI005</v>
          </cell>
          <cell r="D222" t="str">
            <v>旭智私募</v>
          </cell>
        </row>
        <row r="223">
          <cell r="A223" t="str">
            <v>6602.12</v>
          </cell>
          <cell r="B223" t="str">
            <v>　　使用权资产折旧</v>
          </cell>
        </row>
        <row r="224">
          <cell r="A224" t="str">
            <v>6602.12.02</v>
          </cell>
          <cell r="B224" t="str">
            <v>　　　　办公地址</v>
          </cell>
        </row>
        <row r="225">
          <cell r="A225" t="str">
            <v>6602.12.02.01</v>
          </cell>
          <cell r="B225" t="str">
            <v>　　　　　　旭智咨询--鼎和大厦1606</v>
          </cell>
        </row>
        <row r="226">
          <cell r="A226" t="str">
            <v>6602.13</v>
          </cell>
          <cell r="B226" t="str">
            <v>　　物业管理费</v>
          </cell>
        </row>
        <row r="227">
          <cell r="A227" t="str">
            <v>6602.15</v>
          </cell>
          <cell r="B227" t="str">
            <v>　　服务费</v>
          </cell>
        </row>
        <row r="228">
          <cell r="A228" t="str">
            <v>6602.99</v>
          </cell>
          <cell r="B228" t="str">
            <v>　　其他</v>
          </cell>
        </row>
        <row r="229">
          <cell r="A229" t="str">
            <v>6603</v>
          </cell>
          <cell r="B229" t="str">
            <v>财务费用</v>
          </cell>
          <cell r="G229">
            <v>318.14999999999998</v>
          </cell>
          <cell r="H229">
            <v>318.14999999999998</v>
          </cell>
        </row>
        <row r="230">
          <cell r="A230" t="str">
            <v>6603.01</v>
          </cell>
          <cell r="B230" t="str">
            <v>　　汇兑损益</v>
          </cell>
          <cell r="G230">
            <v>199.23</v>
          </cell>
          <cell r="H230">
            <v>199.23</v>
          </cell>
        </row>
        <row r="231">
          <cell r="A231" t="str">
            <v>6603.02</v>
          </cell>
          <cell r="B231" t="str">
            <v>　　利息费用</v>
          </cell>
        </row>
        <row r="232">
          <cell r="A232" t="str">
            <v>6603.02.02</v>
          </cell>
          <cell r="B232" t="str">
            <v>　　　　办公地址</v>
          </cell>
        </row>
        <row r="233">
          <cell r="A233" t="str">
            <v>6603.02.02.01</v>
          </cell>
          <cell r="B233" t="str">
            <v>　　　　　　旭智咨询--鼎和大厦1606</v>
          </cell>
        </row>
        <row r="234">
          <cell r="A234" t="str">
            <v>6603.03</v>
          </cell>
          <cell r="B234" t="str">
            <v>　　银行手续费</v>
          </cell>
          <cell r="G234">
            <v>118.92</v>
          </cell>
          <cell r="H234">
            <v>118.92</v>
          </cell>
        </row>
        <row r="235">
          <cell r="A235" t="str">
            <v>6603.04</v>
          </cell>
          <cell r="B235" t="str">
            <v>　　利息收入</v>
          </cell>
        </row>
        <row r="236">
          <cell r="A236" t="str">
            <v>6711</v>
          </cell>
          <cell r="B236" t="str">
            <v>营业外支出</v>
          </cell>
        </row>
        <row r="237">
          <cell r="A237" t="str">
            <v>6711.02</v>
          </cell>
          <cell r="B237" t="str">
            <v>　　非流动资产处置损失</v>
          </cell>
        </row>
        <row r="238">
          <cell r="A238" t="str">
            <v>6801</v>
          </cell>
          <cell r="B238" t="str">
            <v>所得税费用</v>
          </cell>
        </row>
        <row r="239">
          <cell r="A239" t="str">
            <v>6801.01</v>
          </cell>
          <cell r="B239" t="str">
            <v>　　当期所得税费用</v>
          </cell>
        </row>
        <row r="240">
          <cell r="A240" t="str">
            <v>6801.03</v>
          </cell>
          <cell r="B240" t="str">
            <v>　　以前年度所得税费用</v>
          </cell>
        </row>
        <row r="241">
          <cell r="B241" t="str">
            <v>合计</v>
          </cell>
          <cell r="E241">
            <v>6869985.29</v>
          </cell>
          <cell r="F241">
            <v>6803181.7400000002</v>
          </cell>
          <cell r="G241">
            <v>1725505.43</v>
          </cell>
          <cell r="H241">
            <v>1725306.2</v>
          </cell>
        </row>
      </sheetData>
      <sheetData sheetId="7">
        <row r="1">
          <cell r="A1" t="str">
            <v>币别:人民币</v>
          </cell>
          <cell r="B1" t="str">
            <v>账簿:旭智咨询管理（深圳）有限责任公司</v>
          </cell>
          <cell r="C1" t="str">
            <v>期间:2025.8 -- 2025.8</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1231689.33</v>
          </cell>
          <cell r="G4">
            <v>1470000</v>
          </cell>
          <cell r="H4">
            <v>1590400.14</v>
          </cell>
        </row>
        <row r="5">
          <cell r="A5" t="str">
            <v>1002.21</v>
          </cell>
          <cell r="B5" t="str">
            <v>　　【旭智咨询】银行存款账户</v>
          </cell>
          <cell r="E5">
            <v>1177818.6200000001</v>
          </cell>
          <cell r="G5">
            <v>1360000</v>
          </cell>
          <cell r="H5">
            <v>1480665.79</v>
          </cell>
        </row>
        <row r="6">
          <cell r="A6" t="str">
            <v>1002.21.01</v>
          </cell>
          <cell r="B6" t="str">
            <v>　　　　招商银行账户</v>
          </cell>
          <cell r="E6">
            <v>1177818.6200000001</v>
          </cell>
          <cell r="G6">
            <v>1360000</v>
          </cell>
          <cell r="H6">
            <v>1480665.79</v>
          </cell>
        </row>
        <row r="7">
          <cell r="A7" t="str">
            <v>1002.21.01.01</v>
          </cell>
          <cell r="B7" t="str">
            <v>　　　　　　【旭智咨询】招商 人民币基本户 0108</v>
          </cell>
          <cell r="E7">
            <v>160023.29999999999</v>
          </cell>
          <cell r="G7">
            <v>1360000</v>
          </cell>
          <cell r="H7">
            <v>480665.79</v>
          </cell>
        </row>
        <row r="8">
          <cell r="A8" t="str">
            <v>1002.21.01.02</v>
          </cell>
          <cell r="B8" t="str">
            <v>　　　　　　【旭智咨询】招商 人民币资本金账户 0202</v>
          </cell>
          <cell r="E8">
            <v>1017795.32</v>
          </cell>
          <cell r="H8">
            <v>1000000</v>
          </cell>
        </row>
        <row r="9">
          <cell r="A9" t="str">
            <v>1002.22</v>
          </cell>
          <cell r="B9" t="str">
            <v>　　【旭智咨询北京】银行存款账户</v>
          </cell>
          <cell r="E9">
            <v>53870.71</v>
          </cell>
          <cell r="G9">
            <v>110000</v>
          </cell>
          <cell r="H9">
            <v>109734.35</v>
          </cell>
        </row>
        <row r="10">
          <cell r="A10" t="str">
            <v>1002.22.01</v>
          </cell>
          <cell r="B10" t="str">
            <v>　　　　招商银行账户</v>
          </cell>
          <cell r="E10">
            <v>53870.71</v>
          </cell>
          <cell r="G10">
            <v>110000</v>
          </cell>
          <cell r="H10">
            <v>109734.35</v>
          </cell>
        </row>
        <row r="11">
          <cell r="A11" t="str">
            <v>1002.22.01.01</v>
          </cell>
          <cell r="B11" t="str">
            <v>　　　　　　【旭智咨询北京】人民币基本户 0001</v>
          </cell>
          <cell r="E11">
            <v>53870.71</v>
          </cell>
          <cell r="G11">
            <v>110000</v>
          </cell>
          <cell r="H11">
            <v>109734.35</v>
          </cell>
        </row>
        <row r="12">
          <cell r="A12" t="str">
            <v>1122</v>
          </cell>
          <cell r="B12" t="str">
            <v>应收账款</v>
          </cell>
          <cell r="E12">
            <v>223234.7</v>
          </cell>
        </row>
        <row r="13">
          <cell r="A13" t="str">
            <v>1122.01</v>
          </cell>
          <cell r="B13" t="str">
            <v>　　咨询费收入</v>
          </cell>
          <cell r="E13">
            <v>223234.7</v>
          </cell>
        </row>
        <row r="14">
          <cell r="A14" t="str">
            <v>1122.01</v>
          </cell>
          <cell r="B14" t="str">
            <v>　　咨询费收入</v>
          </cell>
          <cell r="C14" t="str">
            <v>CU003010</v>
          </cell>
          <cell r="D14" t="str">
            <v>旭智富能新能源（深圳）有限责任公司</v>
          </cell>
          <cell r="E14">
            <v>223234.7</v>
          </cell>
        </row>
        <row r="15">
          <cell r="A15" t="str">
            <v>1122.01</v>
          </cell>
          <cell r="B15" t="str">
            <v>　　咨询费收入</v>
          </cell>
          <cell r="C15" t="str">
            <v>CU006001</v>
          </cell>
          <cell r="D15" t="str">
            <v>胜科辉飏新能源（深圳）有限公司</v>
          </cell>
        </row>
        <row r="16">
          <cell r="A16" t="str">
            <v>1123</v>
          </cell>
          <cell r="B16" t="str">
            <v>预付账款</v>
          </cell>
          <cell r="E16">
            <v>49056.6</v>
          </cell>
          <cell r="H16">
            <v>19811.32</v>
          </cell>
        </row>
        <row r="17">
          <cell r="A17" t="str">
            <v>1123.01</v>
          </cell>
          <cell r="B17" t="str">
            <v>　　单位</v>
          </cell>
          <cell r="E17">
            <v>49056.6</v>
          </cell>
          <cell r="H17">
            <v>19811.32</v>
          </cell>
        </row>
        <row r="18">
          <cell r="A18" t="str">
            <v>1123.01</v>
          </cell>
          <cell r="B18" t="str">
            <v>　　单位</v>
          </cell>
          <cell r="C18" t="str">
            <v>SU006011</v>
          </cell>
          <cell r="D18" t="str">
            <v>广州晶东贸易有限公司</v>
          </cell>
        </row>
        <row r="19">
          <cell r="A19" t="str">
            <v>1123.01</v>
          </cell>
          <cell r="B19" t="str">
            <v>　　单位</v>
          </cell>
          <cell r="C19" t="str">
            <v>SU006012</v>
          </cell>
          <cell r="D19" t="str">
            <v>上海携程宏睿国际旅行社有限公司</v>
          </cell>
        </row>
        <row r="20">
          <cell r="A20" t="str">
            <v>1123.01</v>
          </cell>
          <cell r="B20" t="str">
            <v>　　单位</v>
          </cell>
          <cell r="C20" t="str">
            <v>SU006015</v>
          </cell>
          <cell r="D20" t="str">
            <v>成都协企兴企业管理咨询服务有限公司</v>
          </cell>
        </row>
        <row r="21">
          <cell r="A21" t="str">
            <v>1123.01</v>
          </cell>
          <cell r="B21" t="str">
            <v>　　单位</v>
          </cell>
          <cell r="C21" t="str">
            <v>SU006016</v>
          </cell>
          <cell r="D21" t="str">
            <v>爱奇创新投资研究（深圳）有限公司</v>
          </cell>
          <cell r="E21">
            <v>39622.639999999999</v>
          </cell>
          <cell r="H21">
            <v>19811.32</v>
          </cell>
        </row>
        <row r="22">
          <cell r="A22" t="str">
            <v>1123.01</v>
          </cell>
          <cell r="B22" t="str">
            <v>　　单位</v>
          </cell>
          <cell r="C22" t="str">
            <v>SU006031</v>
          </cell>
          <cell r="D22" t="str">
            <v>深圳市金纳维科技有限公司</v>
          </cell>
          <cell r="E22">
            <v>9433.9599999999991</v>
          </cell>
        </row>
        <row r="23">
          <cell r="A23" t="str">
            <v>1221</v>
          </cell>
          <cell r="B23" t="str">
            <v>其他应收款</v>
          </cell>
          <cell r="E23">
            <v>25569.34</v>
          </cell>
        </row>
        <row r="24">
          <cell r="A24" t="str">
            <v>1221.01</v>
          </cell>
          <cell r="B24" t="str">
            <v>　　单位</v>
          </cell>
          <cell r="E24">
            <v>25569.34</v>
          </cell>
        </row>
        <row r="25">
          <cell r="A25" t="str">
            <v>1221.01</v>
          </cell>
          <cell r="B25" t="str">
            <v>　　单位</v>
          </cell>
          <cell r="C25" t="str">
            <v>CU003010</v>
          </cell>
          <cell r="D25" t="str">
            <v>旭智富能新能源（深圳）有限责任公司</v>
          </cell>
          <cell r="E25">
            <v>4800</v>
          </cell>
        </row>
        <row r="26">
          <cell r="A26" t="str">
            <v>1221.01</v>
          </cell>
          <cell r="B26" t="str">
            <v>　　单位</v>
          </cell>
          <cell r="C26" t="str">
            <v>CU006006</v>
          </cell>
          <cell r="D26" t="str">
            <v>爱奇创新投资研究（深圳）有限公司</v>
          </cell>
          <cell r="E26">
            <v>10000</v>
          </cell>
        </row>
        <row r="27">
          <cell r="A27" t="str">
            <v>1221.01</v>
          </cell>
          <cell r="B27" t="str">
            <v>　　单位</v>
          </cell>
          <cell r="C27" t="str">
            <v>CU006007</v>
          </cell>
          <cell r="D27" t="str">
            <v>深圳旭智私募股权基金管理有限公司</v>
          </cell>
        </row>
        <row r="28">
          <cell r="A28" t="str">
            <v>1221.01</v>
          </cell>
          <cell r="B28" t="str">
            <v>　　单位</v>
          </cell>
          <cell r="C28" t="str">
            <v>CU006008</v>
          </cell>
          <cell r="D28" t="str">
            <v>旭智富联（鹤壁）新能源有限责任公司</v>
          </cell>
          <cell r="E28">
            <v>2180</v>
          </cell>
        </row>
        <row r="29">
          <cell r="A29" t="str">
            <v>1221.01</v>
          </cell>
          <cell r="B29" t="str">
            <v>　　单位</v>
          </cell>
          <cell r="C29" t="str">
            <v>CU006009</v>
          </cell>
          <cell r="D29" t="str">
            <v>旭智兴邦（潍坊）农业高新科技有限公司</v>
          </cell>
          <cell r="E29">
            <v>3250</v>
          </cell>
        </row>
        <row r="30">
          <cell r="A30" t="str">
            <v>1221.01</v>
          </cell>
          <cell r="B30" t="str">
            <v>　　单位</v>
          </cell>
          <cell r="C30" t="str">
            <v>CU010001</v>
          </cell>
          <cell r="D30" t="str">
            <v>郴州市苏仙区景叶新能源有限责任公司</v>
          </cell>
          <cell r="E30">
            <v>5339.34</v>
          </cell>
        </row>
        <row r="31">
          <cell r="A31" t="str">
            <v>1511</v>
          </cell>
          <cell r="B31" t="str">
            <v>长期股权投资</v>
          </cell>
          <cell r="E31">
            <v>4356000</v>
          </cell>
          <cell r="H31">
            <v>360000</v>
          </cell>
        </row>
        <row r="32">
          <cell r="A32" t="str">
            <v>1511.01</v>
          </cell>
          <cell r="B32" t="str">
            <v>　　投资成本</v>
          </cell>
          <cell r="E32">
            <v>4356000</v>
          </cell>
          <cell r="H32">
            <v>360000</v>
          </cell>
        </row>
        <row r="33">
          <cell r="A33" t="str">
            <v>1511.01.01</v>
          </cell>
          <cell r="B33" t="str">
            <v>　　　　宜兴旭智投资咨询合伙企业（有限合伙）</v>
          </cell>
          <cell r="E33">
            <v>4356000</v>
          </cell>
          <cell r="H33">
            <v>360000</v>
          </cell>
        </row>
        <row r="34">
          <cell r="A34" t="str">
            <v>1601</v>
          </cell>
          <cell r="B34" t="str">
            <v>固定资产</v>
          </cell>
          <cell r="E34">
            <v>119847.66</v>
          </cell>
        </row>
        <row r="35">
          <cell r="A35" t="str">
            <v>1601.01</v>
          </cell>
          <cell r="B35" t="str">
            <v>　　电子设备</v>
          </cell>
          <cell r="E35">
            <v>77015.62</v>
          </cell>
        </row>
        <row r="36">
          <cell r="A36" t="str">
            <v>1601.04</v>
          </cell>
          <cell r="B36" t="str">
            <v>　　家具设备</v>
          </cell>
          <cell r="E36">
            <v>42832.04</v>
          </cell>
        </row>
        <row r="37">
          <cell r="A37" t="str">
            <v>1602</v>
          </cell>
          <cell r="B37" t="str">
            <v>累计折旧</v>
          </cell>
          <cell r="F37">
            <v>36850.769999999997</v>
          </cell>
          <cell r="H37">
            <v>2710.46</v>
          </cell>
        </row>
        <row r="38">
          <cell r="A38" t="str">
            <v>1602.01</v>
          </cell>
          <cell r="B38" t="str">
            <v>　　电子设备</v>
          </cell>
          <cell r="F38">
            <v>10807.49</v>
          </cell>
          <cell r="H38">
            <v>678.09</v>
          </cell>
        </row>
        <row r="39">
          <cell r="A39" t="str">
            <v>1602.04</v>
          </cell>
          <cell r="B39" t="str">
            <v>　　家具设备</v>
          </cell>
          <cell r="F39">
            <v>26043.279999999999</v>
          </cell>
          <cell r="H39">
            <v>2032.37</v>
          </cell>
        </row>
        <row r="40">
          <cell r="A40" t="str">
            <v>1606</v>
          </cell>
          <cell r="B40" t="str">
            <v>固定资产清理</v>
          </cell>
        </row>
        <row r="41">
          <cell r="A41" t="str">
            <v>1606.04</v>
          </cell>
          <cell r="B41" t="str">
            <v>　　家具设备</v>
          </cell>
        </row>
        <row r="42">
          <cell r="A42" t="str">
            <v>1641</v>
          </cell>
          <cell r="B42" t="str">
            <v>使用权资产</v>
          </cell>
        </row>
        <row r="43">
          <cell r="A43" t="str">
            <v>1641.01</v>
          </cell>
          <cell r="B43" t="str">
            <v>　　打印机租赁</v>
          </cell>
        </row>
        <row r="44">
          <cell r="A44" t="str">
            <v>1641.02</v>
          </cell>
          <cell r="B44" t="str">
            <v>　　办公地址</v>
          </cell>
        </row>
        <row r="45">
          <cell r="A45" t="str">
            <v>1641.02.01</v>
          </cell>
          <cell r="B45" t="str">
            <v>　　　　旭智咨询--鼎和大厦1606</v>
          </cell>
        </row>
        <row r="46">
          <cell r="A46" t="str">
            <v>1642</v>
          </cell>
          <cell r="B46" t="str">
            <v>使用权资产累计折旧</v>
          </cell>
        </row>
        <row r="47">
          <cell r="A47" t="str">
            <v>1642.01</v>
          </cell>
          <cell r="B47" t="str">
            <v>　　打印机租赁</v>
          </cell>
        </row>
        <row r="48">
          <cell r="A48" t="str">
            <v>1642.02</v>
          </cell>
          <cell r="B48" t="str">
            <v>　　办公地址</v>
          </cell>
        </row>
        <row r="49">
          <cell r="A49" t="str">
            <v>1642.02.01</v>
          </cell>
          <cell r="B49" t="str">
            <v>　　　　旭智咨询--鼎和大厦1606</v>
          </cell>
        </row>
        <row r="50">
          <cell r="A50" t="str">
            <v>1801</v>
          </cell>
          <cell r="B50" t="str">
            <v>长期待摊费用</v>
          </cell>
        </row>
        <row r="51">
          <cell r="A51" t="str">
            <v>1801.01</v>
          </cell>
          <cell r="B51" t="str">
            <v>　　装修费</v>
          </cell>
        </row>
        <row r="52">
          <cell r="A52" t="str">
            <v>2203</v>
          </cell>
          <cell r="B52" t="str">
            <v>预收账款</v>
          </cell>
        </row>
        <row r="53">
          <cell r="A53" t="str">
            <v>2203.01</v>
          </cell>
          <cell r="B53" t="str">
            <v>　　单位</v>
          </cell>
        </row>
        <row r="54">
          <cell r="A54" t="str">
            <v>2203.01</v>
          </cell>
          <cell r="B54" t="str">
            <v>　　单位</v>
          </cell>
          <cell r="C54" t="str">
            <v>CU006001</v>
          </cell>
          <cell r="D54" t="str">
            <v>胜科辉飏新能源（深圳）有限公司</v>
          </cell>
        </row>
        <row r="55">
          <cell r="A55" t="str">
            <v>2211</v>
          </cell>
          <cell r="B55" t="str">
            <v>应付职工薪酬</v>
          </cell>
          <cell r="F55">
            <v>173084.28</v>
          </cell>
          <cell r="G55">
            <v>492345.38</v>
          </cell>
          <cell r="H55">
            <v>359220.38</v>
          </cell>
        </row>
        <row r="56">
          <cell r="A56" t="str">
            <v>2211.01</v>
          </cell>
          <cell r="B56" t="str">
            <v>　　职工工资</v>
          </cell>
          <cell r="G56">
            <v>218259.18</v>
          </cell>
          <cell r="H56">
            <v>218259.18</v>
          </cell>
        </row>
        <row r="57">
          <cell r="A57" t="str">
            <v>2211.02</v>
          </cell>
          <cell r="B57" t="str">
            <v>　　职工奖金</v>
          </cell>
          <cell r="F57">
            <v>133125</v>
          </cell>
          <cell r="G57">
            <v>133125</v>
          </cell>
        </row>
        <row r="58">
          <cell r="A58" t="str">
            <v>2211.03</v>
          </cell>
          <cell r="B58" t="str">
            <v>　　劳务报酬</v>
          </cell>
          <cell r="G58">
            <v>2720</v>
          </cell>
          <cell r="H58">
            <v>2720</v>
          </cell>
        </row>
        <row r="59">
          <cell r="A59" t="str">
            <v>2211.05</v>
          </cell>
          <cell r="B59" t="str">
            <v>　　社会保险费</v>
          </cell>
          <cell r="F59">
            <v>24291.279999999999</v>
          </cell>
          <cell r="G59">
            <v>77534.880000000005</v>
          </cell>
          <cell r="H59">
            <v>77534.880000000005</v>
          </cell>
        </row>
        <row r="60">
          <cell r="A60" t="str">
            <v>2211.06</v>
          </cell>
          <cell r="B60" t="str">
            <v>　　住房公积金</v>
          </cell>
          <cell r="F60">
            <v>15668</v>
          </cell>
          <cell r="G60">
            <v>60706.32</v>
          </cell>
          <cell r="H60">
            <v>60706.32</v>
          </cell>
        </row>
        <row r="61">
          <cell r="A61" t="str">
            <v>2221</v>
          </cell>
          <cell r="B61" t="str">
            <v>应交税费</v>
          </cell>
          <cell r="F61">
            <v>25949.5</v>
          </cell>
          <cell r="G61">
            <v>39860.51</v>
          </cell>
          <cell r="H61">
            <v>37736.339999999997</v>
          </cell>
        </row>
        <row r="62">
          <cell r="A62" t="str">
            <v>2221.01</v>
          </cell>
          <cell r="B62" t="str">
            <v>　　应交增值税</v>
          </cell>
          <cell r="G62">
            <v>5510.94</v>
          </cell>
          <cell r="H62">
            <v>5510.94</v>
          </cell>
        </row>
        <row r="63">
          <cell r="A63" t="str">
            <v>2221.01.01</v>
          </cell>
          <cell r="B63" t="str">
            <v>　　　　销项税额</v>
          </cell>
        </row>
        <row r="64">
          <cell r="A64" t="str">
            <v>2221.01.03</v>
          </cell>
          <cell r="B64" t="str">
            <v>　　　　进项税额</v>
          </cell>
          <cell r="G64">
            <v>2755.47</v>
          </cell>
          <cell r="H64">
            <v>2755.47</v>
          </cell>
        </row>
        <row r="65">
          <cell r="A65" t="str">
            <v>2221.01.06</v>
          </cell>
          <cell r="B65" t="str">
            <v>　　　　转出未交增值税</v>
          </cell>
          <cell r="G65">
            <v>2755.47</v>
          </cell>
          <cell r="H65">
            <v>2755.47</v>
          </cell>
        </row>
        <row r="66">
          <cell r="A66" t="str">
            <v>2221.03</v>
          </cell>
          <cell r="B66" t="str">
            <v>　　暂估进项税额</v>
          </cell>
          <cell r="E66">
            <v>966.65</v>
          </cell>
          <cell r="G66">
            <v>1088.9000000000001</v>
          </cell>
        </row>
        <row r="67">
          <cell r="A67" t="str">
            <v>2221.04</v>
          </cell>
          <cell r="B67" t="str">
            <v>　　未交增值税</v>
          </cell>
          <cell r="E67">
            <v>13421.84</v>
          </cell>
          <cell r="G67">
            <v>2755.47</v>
          </cell>
        </row>
        <row r="68">
          <cell r="A68" t="str">
            <v>2221.06</v>
          </cell>
          <cell r="B68" t="str">
            <v>　　待认证进项税额</v>
          </cell>
          <cell r="E68">
            <v>6.1</v>
          </cell>
          <cell r="G68">
            <v>2797.14</v>
          </cell>
          <cell r="H68">
            <v>2755.47</v>
          </cell>
        </row>
        <row r="69">
          <cell r="A69" t="str">
            <v>2221.08</v>
          </cell>
          <cell r="B69" t="str">
            <v>　　待转销项税额</v>
          </cell>
          <cell r="F69">
            <v>12635.93</v>
          </cell>
        </row>
        <row r="70">
          <cell r="A70" t="str">
            <v>2221.12</v>
          </cell>
          <cell r="B70" t="str">
            <v>　　应交城市维护建设税</v>
          </cell>
        </row>
        <row r="71">
          <cell r="A71" t="str">
            <v>2221.13</v>
          </cell>
          <cell r="B71" t="str">
            <v>　　应交教育费附加</v>
          </cell>
        </row>
        <row r="72">
          <cell r="A72" t="str">
            <v>2221.14</v>
          </cell>
          <cell r="B72" t="str">
            <v>　　应交地方教育附加</v>
          </cell>
        </row>
        <row r="73">
          <cell r="A73" t="str">
            <v>2221.15</v>
          </cell>
          <cell r="B73" t="str">
            <v>　　应交企业所得税</v>
          </cell>
        </row>
        <row r="74">
          <cell r="A74" t="str">
            <v>2221.16</v>
          </cell>
          <cell r="B74" t="str">
            <v>　　应交个人所得税</v>
          </cell>
          <cell r="F74">
            <v>27708.16</v>
          </cell>
          <cell r="G74">
            <v>27708.06</v>
          </cell>
          <cell r="H74">
            <v>29469.93</v>
          </cell>
        </row>
        <row r="75">
          <cell r="A75" t="str">
            <v>2241</v>
          </cell>
          <cell r="B75" t="str">
            <v>其他应付款</v>
          </cell>
          <cell r="F75">
            <v>2320611.5699999998</v>
          </cell>
          <cell r="G75">
            <v>191604.91</v>
          </cell>
          <cell r="H75">
            <v>199586.55</v>
          </cell>
        </row>
        <row r="76">
          <cell r="A76" t="str">
            <v>2241.01</v>
          </cell>
          <cell r="B76" t="str">
            <v>　　单位</v>
          </cell>
          <cell r="F76">
            <v>2320611.5699999998</v>
          </cell>
          <cell r="G76">
            <v>178511</v>
          </cell>
          <cell r="H76">
            <v>186492.64</v>
          </cell>
        </row>
        <row r="77">
          <cell r="A77" t="str">
            <v>2241.01</v>
          </cell>
          <cell r="B77" t="str">
            <v>　　单位</v>
          </cell>
          <cell r="C77" t="str">
            <v>SU005004</v>
          </cell>
          <cell r="D77" t="str">
            <v>上海爱文人才服务有限公司</v>
          </cell>
          <cell r="G77">
            <v>100681.92</v>
          </cell>
          <cell r="H77">
            <v>100681.92</v>
          </cell>
        </row>
        <row r="78">
          <cell r="A78" t="str">
            <v>2241.01</v>
          </cell>
          <cell r="B78" t="str">
            <v>　　单位</v>
          </cell>
          <cell r="C78" t="str">
            <v>SU005007</v>
          </cell>
          <cell r="D78" t="str">
            <v>普华永道中天会计师事务所（特殊普通合伙）</v>
          </cell>
          <cell r="F78">
            <v>28102.34</v>
          </cell>
        </row>
        <row r="79">
          <cell r="A79" t="str">
            <v>2241.01</v>
          </cell>
          <cell r="B79" t="str">
            <v>　　单位</v>
          </cell>
          <cell r="C79" t="str">
            <v>SU005026</v>
          </cell>
          <cell r="D79" t="str">
            <v>中国电信股份有限公司</v>
          </cell>
          <cell r="G79">
            <v>240</v>
          </cell>
          <cell r="H79">
            <v>240</v>
          </cell>
        </row>
        <row r="80">
          <cell r="A80" t="str">
            <v>2241.01</v>
          </cell>
          <cell r="B80" t="str">
            <v>　　单位</v>
          </cell>
          <cell r="C80" t="str">
            <v>SU005037</v>
          </cell>
          <cell r="D80" t="str">
            <v>深圳点石新能源投资有限责任公司</v>
          </cell>
        </row>
        <row r="81">
          <cell r="A81" t="str">
            <v>2241.01</v>
          </cell>
          <cell r="B81" t="str">
            <v>　　单位</v>
          </cell>
          <cell r="C81" t="str">
            <v>SU005039</v>
          </cell>
          <cell r="D81" t="str">
            <v>海华税务师事务所有限公司深圳分公司</v>
          </cell>
        </row>
        <row r="82">
          <cell r="A82" t="str">
            <v>2241.01</v>
          </cell>
          <cell r="B82" t="str">
            <v>　　单位</v>
          </cell>
          <cell r="C82" t="str">
            <v>SU005043</v>
          </cell>
          <cell r="D82" t="str">
            <v>旭智资本有限公司</v>
          </cell>
        </row>
        <row r="83">
          <cell r="A83" t="str">
            <v>2241.01</v>
          </cell>
          <cell r="B83" t="str">
            <v>　　单位</v>
          </cell>
          <cell r="C83" t="str">
            <v>SU006006</v>
          </cell>
          <cell r="D83" t="str">
            <v>深圳市新趋势科技有限公司</v>
          </cell>
        </row>
        <row r="84">
          <cell r="A84" t="str">
            <v>2241.01</v>
          </cell>
          <cell r="B84" t="str">
            <v>　　单位</v>
          </cell>
          <cell r="C84" t="str">
            <v>SU006008</v>
          </cell>
          <cell r="D84" t="str">
            <v>深圳市前海创时代企业管理有限公司</v>
          </cell>
          <cell r="G84">
            <v>4000</v>
          </cell>
          <cell r="H84">
            <v>4000</v>
          </cell>
        </row>
        <row r="85">
          <cell r="A85" t="str">
            <v>2241.01</v>
          </cell>
          <cell r="B85" t="str">
            <v>　　单位</v>
          </cell>
          <cell r="C85" t="str">
            <v>SU006012</v>
          </cell>
          <cell r="D85" t="str">
            <v>上海携程宏睿国际旅行社有限公司</v>
          </cell>
          <cell r="F85">
            <v>33070.080000000002</v>
          </cell>
          <cell r="G85">
            <v>33070.080000000002</v>
          </cell>
          <cell r="H85">
            <v>41051.72</v>
          </cell>
        </row>
        <row r="86">
          <cell r="A86" t="str">
            <v>2241.01</v>
          </cell>
          <cell r="B86" t="str">
            <v>　　单位</v>
          </cell>
          <cell r="C86" t="str">
            <v>SU006016</v>
          </cell>
          <cell r="D86" t="str">
            <v>爱奇创新投资研究（深圳）有限公司</v>
          </cell>
        </row>
        <row r="87">
          <cell r="A87" t="str">
            <v>2241.01</v>
          </cell>
          <cell r="B87" t="str">
            <v>　　单位</v>
          </cell>
          <cell r="C87" t="str">
            <v>SU006018</v>
          </cell>
          <cell r="D87" t="str">
            <v>深圳辉飏新能源投资咨询有限责任公司</v>
          </cell>
        </row>
        <row r="88">
          <cell r="A88" t="str">
            <v>2241.01</v>
          </cell>
          <cell r="B88" t="str">
            <v>　　单位</v>
          </cell>
          <cell r="C88" t="str">
            <v>SU006021</v>
          </cell>
          <cell r="D88" t="str">
            <v>北京市汉坤律师事务所</v>
          </cell>
          <cell r="F88">
            <v>40000</v>
          </cell>
        </row>
        <row r="89">
          <cell r="A89" t="str">
            <v>2241.01</v>
          </cell>
          <cell r="B89" t="str">
            <v>　　单位</v>
          </cell>
          <cell r="C89" t="str">
            <v>SU006023</v>
          </cell>
          <cell r="D89" t="str">
            <v>顺丰速运有限公司</v>
          </cell>
          <cell r="G89">
            <v>519</v>
          </cell>
          <cell r="H89">
            <v>519</v>
          </cell>
        </row>
        <row r="90">
          <cell r="A90" t="str">
            <v>2241.01</v>
          </cell>
          <cell r="B90" t="str">
            <v>　　单位</v>
          </cell>
          <cell r="C90" t="str">
            <v>SU006025</v>
          </cell>
          <cell r="D90" t="str">
            <v>全景求是管理顾问（北京）有限公司</v>
          </cell>
        </row>
        <row r="91">
          <cell r="A91" t="str">
            <v>2241.01</v>
          </cell>
          <cell r="B91" t="str">
            <v>　　单位</v>
          </cell>
          <cell r="C91" t="str">
            <v>SU006026</v>
          </cell>
          <cell r="D91" t="str">
            <v>和谐汇股权投资管理（北京）有限公司</v>
          </cell>
        </row>
        <row r="92">
          <cell r="A92" t="str">
            <v>2241.01</v>
          </cell>
          <cell r="B92" t="str">
            <v>　　单位</v>
          </cell>
          <cell r="C92" t="str">
            <v>SU006027</v>
          </cell>
          <cell r="D92" t="str">
            <v>南德认证检测（中国）有限公司</v>
          </cell>
        </row>
        <row r="93">
          <cell r="A93" t="str">
            <v>2241.01</v>
          </cell>
          <cell r="B93" t="str">
            <v>　　单位</v>
          </cell>
          <cell r="C93" t="str">
            <v>SU006029</v>
          </cell>
          <cell r="D93" t="str">
            <v>宁波梅山保税港区爱奇观恒投资管理有限公司</v>
          </cell>
          <cell r="F93">
            <v>190000</v>
          </cell>
        </row>
        <row r="94">
          <cell r="A94" t="str">
            <v>2241.01</v>
          </cell>
          <cell r="B94" t="str">
            <v>　　单位</v>
          </cell>
          <cell r="C94" t="str">
            <v>SU006032</v>
          </cell>
          <cell r="D94" t="str">
            <v>广州旭智投资控股有限责任公司</v>
          </cell>
          <cell r="F94">
            <v>1509439.15</v>
          </cell>
        </row>
        <row r="95">
          <cell r="A95" t="str">
            <v>2241.01</v>
          </cell>
          <cell r="B95" t="str">
            <v>　　单位</v>
          </cell>
          <cell r="C95" t="str">
            <v>SU006033</v>
          </cell>
          <cell r="D95" t="str">
            <v>上海硕昉管理咨询有限公司</v>
          </cell>
          <cell r="F95">
            <v>520000</v>
          </cell>
        </row>
        <row r="96">
          <cell r="A96" t="str">
            <v>2241.01</v>
          </cell>
          <cell r="B96" t="str">
            <v>　　单位</v>
          </cell>
          <cell r="C96" t="str">
            <v>SU006034</v>
          </cell>
          <cell r="D96" t="str">
            <v>北京鉴衡认证中心有限公司</v>
          </cell>
          <cell r="G96">
            <v>40000</v>
          </cell>
          <cell r="H96">
            <v>40000</v>
          </cell>
        </row>
        <row r="97">
          <cell r="A97" t="str">
            <v>2241.01</v>
          </cell>
          <cell r="B97" t="str">
            <v>　　单位</v>
          </cell>
          <cell r="C97" t="str">
            <v>SU006035</v>
          </cell>
          <cell r="D97" t="str">
            <v>同道精英（天津）信息技术有限公司</v>
          </cell>
        </row>
        <row r="98">
          <cell r="A98" t="str">
            <v>2241.02</v>
          </cell>
          <cell r="B98" t="str">
            <v>　　个人</v>
          </cell>
          <cell r="G98">
            <v>13093.91</v>
          </cell>
          <cell r="H98">
            <v>13093.91</v>
          </cell>
        </row>
        <row r="99">
          <cell r="A99" t="str">
            <v>2241.02</v>
          </cell>
          <cell r="B99" t="str">
            <v>　　个人</v>
          </cell>
          <cell r="C99" t="str">
            <v>SP005001</v>
          </cell>
          <cell r="D99" t="str">
            <v>冯冠邦</v>
          </cell>
        </row>
        <row r="100">
          <cell r="A100" t="str">
            <v>2241.02</v>
          </cell>
          <cell r="B100" t="str">
            <v>　　个人</v>
          </cell>
          <cell r="C100" t="str">
            <v>SP005011</v>
          </cell>
          <cell r="D100" t="str">
            <v>郭宗林</v>
          </cell>
        </row>
        <row r="101">
          <cell r="A101" t="str">
            <v>2241.02</v>
          </cell>
          <cell r="B101" t="str">
            <v>　　个人</v>
          </cell>
          <cell r="C101" t="str">
            <v>SP005012</v>
          </cell>
          <cell r="D101" t="str">
            <v>吴雅薇</v>
          </cell>
        </row>
        <row r="102">
          <cell r="A102" t="str">
            <v>2241.02</v>
          </cell>
          <cell r="B102" t="str">
            <v>　　个人</v>
          </cell>
          <cell r="C102" t="str">
            <v>SP006002</v>
          </cell>
          <cell r="D102" t="str">
            <v>陈灿</v>
          </cell>
        </row>
        <row r="103">
          <cell r="A103" t="str">
            <v>2241.02</v>
          </cell>
          <cell r="B103" t="str">
            <v>　　个人</v>
          </cell>
          <cell r="C103" t="str">
            <v>SP006003</v>
          </cell>
          <cell r="D103" t="str">
            <v>袁玉杰</v>
          </cell>
          <cell r="G103">
            <v>2731.66</v>
          </cell>
          <cell r="H103">
            <v>2731.66</v>
          </cell>
        </row>
        <row r="104">
          <cell r="A104" t="str">
            <v>2241.02</v>
          </cell>
          <cell r="B104" t="str">
            <v>　　个人</v>
          </cell>
          <cell r="C104" t="str">
            <v>SP006004</v>
          </cell>
          <cell r="D104" t="str">
            <v>高焙</v>
          </cell>
          <cell r="G104">
            <v>5373.4</v>
          </cell>
          <cell r="H104">
            <v>5373.4</v>
          </cell>
        </row>
        <row r="105">
          <cell r="A105" t="str">
            <v>2241.02</v>
          </cell>
          <cell r="B105" t="str">
            <v>　　个人</v>
          </cell>
          <cell r="C105" t="str">
            <v>SP006006</v>
          </cell>
          <cell r="D105" t="str">
            <v>王志强</v>
          </cell>
        </row>
        <row r="106">
          <cell r="A106" t="str">
            <v>2241.02</v>
          </cell>
          <cell r="B106" t="str">
            <v>　　个人</v>
          </cell>
          <cell r="C106" t="str">
            <v>SP006007</v>
          </cell>
          <cell r="D106" t="str">
            <v>徐彬</v>
          </cell>
        </row>
        <row r="107">
          <cell r="A107" t="str">
            <v>2241.02</v>
          </cell>
          <cell r="B107" t="str">
            <v>　　个人</v>
          </cell>
          <cell r="C107" t="str">
            <v>SP006008</v>
          </cell>
          <cell r="D107" t="str">
            <v>何梅春</v>
          </cell>
        </row>
        <row r="108">
          <cell r="A108" t="str">
            <v>2241.02</v>
          </cell>
          <cell r="B108" t="str">
            <v>　　个人</v>
          </cell>
          <cell r="C108" t="str">
            <v>SP006009</v>
          </cell>
          <cell r="D108" t="str">
            <v>林秋蝶</v>
          </cell>
        </row>
        <row r="109">
          <cell r="A109" t="str">
            <v>2241.02</v>
          </cell>
          <cell r="B109" t="str">
            <v>　　个人</v>
          </cell>
          <cell r="C109" t="str">
            <v>SP006012</v>
          </cell>
          <cell r="D109" t="str">
            <v>闫凯</v>
          </cell>
          <cell r="G109">
            <v>1965.71</v>
          </cell>
          <cell r="H109">
            <v>1965.71</v>
          </cell>
        </row>
        <row r="110">
          <cell r="A110" t="str">
            <v>2241.02</v>
          </cell>
          <cell r="B110" t="str">
            <v>　　个人</v>
          </cell>
          <cell r="C110" t="str">
            <v>SP006013</v>
          </cell>
          <cell r="D110" t="str">
            <v>叶亚峰</v>
          </cell>
          <cell r="G110">
            <v>3023.14</v>
          </cell>
          <cell r="H110">
            <v>3023.14</v>
          </cell>
        </row>
        <row r="111">
          <cell r="A111" t="str">
            <v>2601</v>
          </cell>
          <cell r="B111" t="str">
            <v>租赁负债</v>
          </cell>
        </row>
        <row r="112">
          <cell r="A112" t="str">
            <v>2601.01</v>
          </cell>
          <cell r="B112" t="str">
            <v>　　租赁付款额</v>
          </cell>
        </row>
        <row r="113">
          <cell r="A113" t="str">
            <v>2601.01.02</v>
          </cell>
          <cell r="B113" t="str">
            <v>　　　　办公地址</v>
          </cell>
        </row>
        <row r="114">
          <cell r="A114" t="str">
            <v>2601.01.02.01</v>
          </cell>
          <cell r="B114" t="str">
            <v>　　　　　　旭智咨询--鼎和大厦1606</v>
          </cell>
        </row>
        <row r="115">
          <cell r="A115" t="str">
            <v>2601.02</v>
          </cell>
          <cell r="B115" t="str">
            <v>　　未确认融资费用</v>
          </cell>
        </row>
        <row r="116">
          <cell r="A116" t="str">
            <v>2601.02.02</v>
          </cell>
          <cell r="B116" t="str">
            <v>　　　　办公地址</v>
          </cell>
        </row>
        <row r="117">
          <cell r="A117" t="str">
            <v>2601.02.02.01</v>
          </cell>
          <cell r="B117" t="str">
            <v>　　　　　　旭智咨询--鼎和大厦1606</v>
          </cell>
        </row>
        <row r="118">
          <cell r="A118" t="str">
            <v>2601.03</v>
          </cell>
          <cell r="B118" t="str">
            <v>　　一年内到期的非流动负债</v>
          </cell>
        </row>
        <row r="119">
          <cell r="A119" t="str">
            <v>4001</v>
          </cell>
          <cell r="B119" t="str">
            <v>实收资本（股本）</v>
          </cell>
          <cell r="F119">
            <v>2500000</v>
          </cell>
        </row>
        <row r="120">
          <cell r="A120" t="str">
            <v>4001.10</v>
          </cell>
          <cell r="B120" t="str">
            <v>　　旭智资本有限公司</v>
          </cell>
          <cell r="F120">
            <v>2500000</v>
          </cell>
        </row>
        <row r="121">
          <cell r="A121" t="str">
            <v>4101</v>
          </cell>
          <cell r="B121" t="str">
            <v>盈余公积</v>
          </cell>
          <cell r="F121">
            <v>140513.82</v>
          </cell>
        </row>
        <row r="122">
          <cell r="A122" t="str">
            <v>4101.01</v>
          </cell>
          <cell r="B122" t="str">
            <v>　　法定盈余公积</v>
          </cell>
          <cell r="F122">
            <v>140513.82</v>
          </cell>
        </row>
        <row r="123">
          <cell r="A123" t="str">
            <v>4103</v>
          </cell>
          <cell r="B123" t="str">
            <v>本年利润</v>
          </cell>
          <cell r="E123">
            <v>523239.55</v>
          </cell>
          <cell r="G123">
            <v>375056.69</v>
          </cell>
        </row>
        <row r="124">
          <cell r="A124" t="str">
            <v>4104</v>
          </cell>
          <cell r="B124" t="str">
            <v>利润分配</v>
          </cell>
          <cell r="F124">
            <v>1264624.46</v>
          </cell>
        </row>
        <row r="125">
          <cell r="A125" t="str">
            <v>4104.07</v>
          </cell>
          <cell r="B125" t="str">
            <v>　　未分配利润</v>
          </cell>
          <cell r="F125">
            <v>1264624.46</v>
          </cell>
        </row>
        <row r="126">
          <cell r="A126" t="str">
            <v>6001</v>
          </cell>
          <cell r="B126" t="str">
            <v>主营业务收入</v>
          </cell>
        </row>
        <row r="127">
          <cell r="A127" t="str">
            <v>6001.02</v>
          </cell>
          <cell r="B127" t="str">
            <v>　　咨询服务费收入</v>
          </cell>
        </row>
        <row r="128">
          <cell r="A128" t="str">
            <v>6001.02.01</v>
          </cell>
          <cell r="B128" t="str">
            <v>　　　　已开票</v>
          </cell>
        </row>
        <row r="129">
          <cell r="A129" t="str">
            <v>6001.02.01</v>
          </cell>
          <cell r="B129" t="str">
            <v>　　　　已开票</v>
          </cell>
          <cell r="C129" t="str">
            <v>【未录入】</v>
          </cell>
          <cell r="D129" t="str">
            <v>【未录入】</v>
          </cell>
        </row>
        <row r="130">
          <cell r="A130" t="str">
            <v>6115</v>
          </cell>
          <cell r="B130" t="str">
            <v>其他收益</v>
          </cell>
        </row>
        <row r="131">
          <cell r="A131" t="str">
            <v>6115.02</v>
          </cell>
          <cell r="B131" t="str">
            <v>　　个税手续费返还</v>
          </cell>
        </row>
        <row r="132">
          <cell r="A132" t="str">
            <v>6117</v>
          </cell>
          <cell r="B132" t="str">
            <v>资产处置损益</v>
          </cell>
        </row>
        <row r="133">
          <cell r="A133" t="str">
            <v>6405</v>
          </cell>
          <cell r="B133" t="str">
            <v>税金及附加</v>
          </cell>
        </row>
        <row r="134">
          <cell r="A134" t="str">
            <v>6405.02</v>
          </cell>
          <cell r="B134" t="str">
            <v>　　城市维护建设税</v>
          </cell>
        </row>
        <row r="135">
          <cell r="A135" t="str">
            <v>6405.03</v>
          </cell>
          <cell r="B135" t="str">
            <v>　　教育费附加</v>
          </cell>
        </row>
        <row r="136">
          <cell r="A136" t="str">
            <v>6405.04</v>
          </cell>
          <cell r="B136" t="str">
            <v>　　地方教育附加</v>
          </cell>
        </row>
        <row r="137">
          <cell r="A137" t="str">
            <v>6602</v>
          </cell>
          <cell r="B137" t="str">
            <v>管理费用</v>
          </cell>
          <cell r="G137">
            <v>375513.85</v>
          </cell>
          <cell r="H137">
            <v>375513.85</v>
          </cell>
        </row>
        <row r="138">
          <cell r="A138" t="str">
            <v>6602.01</v>
          </cell>
          <cell r="B138" t="str">
            <v>　　工资薪金</v>
          </cell>
          <cell r="G138">
            <v>170375</v>
          </cell>
          <cell r="H138">
            <v>170375</v>
          </cell>
        </row>
        <row r="139">
          <cell r="A139" t="str">
            <v>6602.01.01</v>
          </cell>
          <cell r="B139" t="str">
            <v>　　　　基本工资（专业）</v>
          </cell>
          <cell r="G139">
            <v>300500</v>
          </cell>
          <cell r="H139">
            <v>300500</v>
          </cell>
        </row>
        <row r="140">
          <cell r="A140" t="str">
            <v>6602.01.03</v>
          </cell>
          <cell r="B140" t="str">
            <v>　　　　员工奖金（专业）</v>
          </cell>
          <cell r="G140">
            <v>-133125</v>
          </cell>
          <cell r="H140">
            <v>-133125</v>
          </cell>
        </row>
        <row r="141">
          <cell r="A141" t="str">
            <v>6602.01.06</v>
          </cell>
          <cell r="B141" t="str">
            <v>　　　　劳务报酬</v>
          </cell>
          <cell r="G141">
            <v>3000</v>
          </cell>
          <cell r="H141">
            <v>3000</v>
          </cell>
        </row>
        <row r="142">
          <cell r="A142" t="str">
            <v>6602.02</v>
          </cell>
          <cell r="B142" t="str">
            <v>　　职工福利</v>
          </cell>
        </row>
        <row r="143">
          <cell r="A143" t="str">
            <v>6602.02.02</v>
          </cell>
          <cell r="B143" t="str">
            <v>　　　　团建活动</v>
          </cell>
        </row>
        <row r="144">
          <cell r="A144" t="str">
            <v>6602.02.03</v>
          </cell>
          <cell r="B144" t="str">
            <v>　　　　体检费</v>
          </cell>
        </row>
        <row r="145">
          <cell r="A145" t="str">
            <v>6602.03</v>
          </cell>
          <cell r="B145" t="str">
            <v>　　社保公积金</v>
          </cell>
          <cell r="G145">
            <v>85190.31</v>
          </cell>
          <cell r="H145">
            <v>85190.31</v>
          </cell>
        </row>
        <row r="146">
          <cell r="A146" t="str">
            <v>6602.03.01</v>
          </cell>
          <cell r="B146" t="str">
            <v>　　　　员工社保福利</v>
          </cell>
          <cell r="G146">
            <v>54837.15</v>
          </cell>
          <cell r="H146">
            <v>54837.15</v>
          </cell>
        </row>
        <row r="147">
          <cell r="A147" t="str">
            <v>6602.03.02</v>
          </cell>
          <cell r="B147" t="str">
            <v>　　　　员工公积金福利</v>
          </cell>
          <cell r="G147">
            <v>30353.16</v>
          </cell>
          <cell r="H147">
            <v>30353.16</v>
          </cell>
        </row>
        <row r="148">
          <cell r="A148" t="str">
            <v>6602.04</v>
          </cell>
          <cell r="B148" t="str">
            <v>　　咨询及专业服务费</v>
          </cell>
          <cell r="G148">
            <v>26171.72</v>
          </cell>
          <cell r="H148">
            <v>26171.72</v>
          </cell>
        </row>
        <row r="149">
          <cell r="A149" t="str">
            <v>6602.04.02</v>
          </cell>
          <cell r="B149" t="str">
            <v>　　　　审计服务费</v>
          </cell>
        </row>
        <row r="150">
          <cell r="A150" t="str">
            <v>6602.04.03</v>
          </cell>
          <cell r="B150" t="str">
            <v>　　　　顾问费</v>
          </cell>
        </row>
        <row r="151">
          <cell r="A151" t="str">
            <v>6602.04.03</v>
          </cell>
          <cell r="B151" t="str">
            <v>　　　　顾问费</v>
          </cell>
          <cell r="C151" t="str">
            <v>【未录入】</v>
          </cell>
          <cell r="D151" t="str">
            <v>【未录入】</v>
          </cell>
        </row>
        <row r="152">
          <cell r="A152" t="str">
            <v>6602.04.03</v>
          </cell>
          <cell r="B152" t="str">
            <v>　　　　顾问费</v>
          </cell>
          <cell r="C152" t="str">
            <v>CI006</v>
          </cell>
          <cell r="D152" t="str">
            <v>旭智咨询</v>
          </cell>
        </row>
        <row r="153">
          <cell r="A153" t="str">
            <v>6602.04.04</v>
          </cell>
          <cell r="B153" t="str">
            <v>　　　　税务服务费</v>
          </cell>
        </row>
        <row r="154">
          <cell r="A154" t="str">
            <v>6602.04.05</v>
          </cell>
          <cell r="B154" t="str">
            <v>　　　　招聘服务费</v>
          </cell>
        </row>
        <row r="155">
          <cell r="A155" t="str">
            <v>6602.04.07</v>
          </cell>
          <cell r="B155" t="str">
            <v>　　　　人力资源服务费</v>
          </cell>
          <cell r="G155">
            <v>2400</v>
          </cell>
          <cell r="H155">
            <v>2400</v>
          </cell>
        </row>
        <row r="156">
          <cell r="A156" t="str">
            <v>6602.04.08</v>
          </cell>
          <cell r="B156" t="str">
            <v>　　　　背景调查费</v>
          </cell>
        </row>
        <row r="157">
          <cell r="A157" t="str">
            <v>6602.04.99</v>
          </cell>
          <cell r="B157" t="str">
            <v>　　　　其他</v>
          </cell>
          <cell r="G157">
            <v>23771.72</v>
          </cell>
          <cell r="H157">
            <v>23771.72</v>
          </cell>
        </row>
        <row r="158">
          <cell r="A158" t="str">
            <v>6602.04.99</v>
          </cell>
          <cell r="B158" t="str">
            <v>　　　　其他</v>
          </cell>
          <cell r="C158" t="str">
            <v>【未录入】</v>
          </cell>
          <cell r="D158" t="str">
            <v>【未录入】</v>
          </cell>
          <cell r="G158">
            <v>3960.4</v>
          </cell>
          <cell r="H158">
            <v>3960.4</v>
          </cell>
        </row>
        <row r="159">
          <cell r="A159" t="str">
            <v>6602.04.99</v>
          </cell>
          <cell r="B159" t="str">
            <v>　　　　其他</v>
          </cell>
          <cell r="C159" t="str">
            <v>CI006</v>
          </cell>
          <cell r="D159" t="str">
            <v>旭智咨询</v>
          </cell>
          <cell r="G159">
            <v>19811.32</v>
          </cell>
          <cell r="H159">
            <v>19811.32</v>
          </cell>
        </row>
        <row r="160">
          <cell r="A160" t="str">
            <v>6602.05</v>
          </cell>
          <cell r="B160" t="str">
            <v>　　占用费</v>
          </cell>
        </row>
        <row r="161">
          <cell r="A161" t="str">
            <v>6602.05.03</v>
          </cell>
          <cell r="B161" t="str">
            <v>　　　　电费</v>
          </cell>
        </row>
        <row r="162">
          <cell r="A162" t="str">
            <v>6602.05.06</v>
          </cell>
          <cell r="B162" t="str">
            <v>　　　　装修费</v>
          </cell>
        </row>
        <row r="163">
          <cell r="A163" t="str">
            <v>6602.05.99</v>
          </cell>
          <cell r="B163" t="str">
            <v>　　　　其他</v>
          </cell>
        </row>
        <row r="164">
          <cell r="A164" t="str">
            <v>6602.08</v>
          </cell>
          <cell r="B164" t="str">
            <v>　　事务费用</v>
          </cell>
          <cell r="G164">
            <v>2058.4</v>
          </cell>
          <cell r="H164">
            <v>2058.4</v>
          </cell>
        </row>
        <row r="165">
          <cell r="A165" t="str">
            <v>6602.08.01</v>
          </cell>
          <cell r="B165" t="str">
            <v>　　　　通信费</v>
          </cell>
          <cell r="G165">
            <v>1285.4000000000001</v>
          </cell>
          <cell r="H165">
            <v>1285.4000000000001</v>
          </cell>
        </row>
        <row r="166">
          <cell r="A166" t="str">
            <v>6602.08.01</v>
          </cell>
          <cell r="B166" t="str">
            <v>　　　　通信费</v>
          </cell>
          <cell r="C166" t="str">
            <v>【未录入】</v>
          </cell>
          <cell r="D166" t="str">
            <v>【未录入】</v>
          </cell>
        </row>
        <row r="167">
          <cell r="A167" t="str">
            <v>6602.08.01</v>
          </cell>
          <cell r="B167" t="str">
            <v>　　　　通信费</v>
          </cell>
          <cell r="C167" t="str">
            <v>CI002</v>
          </cell>
          <cell r="D167" t="str">
            <v>旭智富能</v>
          </cell>
        </row>
        <row r="168">
          <cell r="A168" t="str">
            <v>6602.08.01</v>
          </cell>
          <cell r="B168" t="str">
            <v>　　　　通信费</v>
          </cell>
          <cell r="C168" t="str">
            <v>CI006</v>
          </cell>
          <cell r="D168" t="str">
            <v>旭智咨询</v>
          </cell>
          <cell r="G168">
            <v>1285.4000000000001</v>
          </cell>
          <cell r="H168">
            <v>1285.4000000000001</v>
          </cell>
        </row>
        <row r="169">
          <cell r="A169" t="str">
            <v>6602.08.03</v>
          </cell>
          <cell r="B169" t="str">
            <v>　　　　办公用品</v>
          </cell>
        </row>
        <row r="170">
          <cell r="A170" t="str">
            <v>6602.08.03</v>
          </cell>
          <cell r="B170" t="str">
            <v>　　　　办公用品</v>
          </cell>
          <cell r="C170" t="str">
            <v>【未录入】</v>
          </cell>
          <cell r="D170" t="str">
            <v>【未录入】</v>
          </cell>
        </row>
        <row r="171">
          <cell r="A171" t="str">
            <v>6602.08.03</v>
          </cell>
          <cell r="B171" t="str">
            <v>　　　　办公用品</v>
          </cell>
          <cell r="C171" t="str">
            <v>CI006</v>
          </cell>
          <cell r="D171" t="str">
            <v>旭智咨询</v>
          </cell>
        </row>
        <row r="172">
          <cell r="A172" t="str">
            <v>6602.08.05</v>
          </cell>
          <cell r="B172" t="str">
            <v>　　　　邮费/邮递费</v>
          </cell>
          <cell r="G172">
            <v>519</v>
          </cell>
          <cell r="H172">
            <v>519</v>
          </cell>
        </row>
        <row r="173">
          <cell r="A173" t="str">
            <v>6602.08.05</v>
          </cell>
          <cell r="B173" t="str">
            <v>　　　　邮费/邮递费</v>
          </cell>
          <cell r="C173" t="str">
            <v>【未录入】</v>
          </cell>
          <cell r="D173" t="str">
            <v>【未录入】</v>
          </cell>
        </row>
        <row r="174">
          <cell r="A174" t="str">
            <v>6602.08.05</v>
          </cell>
          <cell r="B174" t="str">
            <v>　　　　邮费/邮递费</v>
          </cell>
          <cell r="C174" t="str">
            <v>CI006</v>
          </cell>
          <cell r="D174" t="str">
            <v>旭智咨询</v>
          </cell>
          <cell r="G174">
            <v>519</v>
          </cell>
          <cell r="H174">
            <v>519</v>
          </cell>
        </row>
        <row r="175">
          <cell r="A175" t="str">
            <v>6602.08.08</v>
          </cell>
          <cell r="B175" t="str">
            <v>　　　　软件使用费</v>
          </cell>
          <cell r="G175">
            <v>254</v>
          </cell>
          <cell r="H175">
            <v>254</v>
          </cell>
        </row>
        <row r="176">
          <cell r="A176" t="str">
            <v>6602.08.08</v>
          </cell>
          <cell r="B176" t="str">
            <v>　　　　软件使用费</v>
          </cell>
          <cell r="C176" t="str">
            <v>CI006</v>
          </cell>
          <cell r="D176" t="str">
            <v>旭智咨询</v>
          </cell>
          <cell r="G176">
            <v>254</v>
          </cell>
          <cell r="H176">
            <v>254</v>
          </cell>
        </row>
        <row r="177">
          <cell r="A177" t="str">
            <v>6602.08.99</v>
          </cell>
          <cell r="B177" t="str">
            <v>　　　　其他</v>
          </cell>
        </row>
        <row r="178">
          <cell r="A178" t="str">
            <v>6602.08.99</v>
          </cell>
          <cell r="B178" t="str">
            <v>　　　　其他</v>
          </cell>
          <cell r="C178" t="str">
            <v>【未录入】</v>
          </cell>
          <cell r="D178" t="str">
            <v>【未录入】</v>
          </cell>
        </row>
        <row r="179">
          <cell r="A179" t="str">
            <v>6602.08.99</v>
          </cell>
          <cell r="B179" t="str">
            <v>　　　　其他</v>
          </cell>
          <cell r="C179" t="str">
            <v>CI006</v>
          </cell>
          <cell r="D179" t="str">
            <v>旭智咨询</v>
          </cell>
        </row>
        <row r="180">
          <cell r="A180" t="str">
            <v>6602.09</v>
          </cell>
          <cell r="B180" t="str">
            <v>　　差旅费</v>
          </cell>
        </row>
        <row r="181">
          <cell r="A181" t="str">
            <v>6602.09.01</v>
          </cell>
          <cell r="B181" t="str">
            <v>　　　　住宿费</v>
          </cell>
        </row>
        <row r="182">
          <cell r="A182" t="str">
            <v>6602.09.01</v>
          </cell>
          <cell r="B182" t="str">
            <v>　　　　住宿费</v>
          </cell>
          <cell r="C182" t="str">
            <v>【未录入】</v>
          </cell>
          <cell r="D182" t="str">
            <v>【未录入】</v>
          </cell>
        </row>
        <row r="183">
          <cell r="A183" t="str">
            <v>6602.09.02</v>
          </cell>
          <cell r="B183" t="str">
            <v>　　　　伙食费</v>
          </cell>
        </row>
        <row r="184">
          <cell r="A184" t="str">
            <v>6602.09.02</v>
          </cell>
          <cell r="B184" t="str">
            <v>　　　　伙食费</v>
          </cell>
          <cell r="C184" t="str">
            <v>【未录入】</v>
          </cell>
          <cell r="D184" t="str">
            <v>【未录入】</v>
          </cell>
        </row>
        <row r="185">
          <cell r="A185" t="str">
            <v>6602.09.03</v>
          </cell>
          <cell r="B185" t="str">
            <v>　　　　地面交通费</v>
          </cell>
        </row>
        <row r="186">
          <cell r="A186" t="str">
            <v>6602.09.03</v>
          </cell>
          <cell r="B186" t="str">
            <v>　　　　地面交通费</v>
          </cell>
          <cell r="C186" t="str">
            <v>【未录入】</v>
          </cell>
          <cell r="D186" t="str">
            <v>【未录入】</v>
          </cell>
        </row>
        <row r="187">
          <cell r="A187" t="str">
            <v>6602.09.04</v>
          </cell>
          <cell r="B187" t="str">
            <v>　　　　空中交通费</v>
          </cell>
        </row>
        <row r="188">
          <cell r="A188" t="str">
            <v>6602.09.04</v>
          </cell>
          <cell r="B188" t="str">
            <v>　　　　空中交通费</v>
          </cell>
          <cell r="C188" t="str">
            <v>【未录入】</v>
          </cell>
          <cell r="D188" t="str">
            <v>【未录入】</v>
          </cell>
        </row>
        <row r="189">
          <cell r="A189" t="str">
            <v>6602.10</v>
          </cell>
          <cell r="B189" t="str">
            <v>　　折旧费</v>
          </cell>
          <cell r="G189">
            <v>2710.46</v>
          </cell>
          <cell r="H189">
            <v>2710.46</v>
          </cell>
        </row>
        <row r="190">
          <cell r="A190" t="str">
            <v>6602.10.01</v>
          </cell>
          <cell r="B190" t="str">
            <v>　　　　电子设备</v>
          </cell>
          <cell r="G190">
            <v>2032.37</v>
          </cell>
          <cell r="H190">
            <v>2032.37</v>
          </cell>
        </row>
        <row r="191">
          <cell r="A191" t="str">
            <v>6602.10.04</v>
          </cell>
          <cell r="B191" t="str">
            <v>　　　　家具设备</v>
          </cell>
          <cell r="G191">
            <v>678.09</v>
          </cell>
          <cell r="H191">
            <v>678.09</v>
          </cell>
        </row>
        <row r="192">
          <cell r="A192" t="str">
            <v>6602.11</v>
          </cell>
          <cell r="B192" t="str">
            <v>　　筹建费</v>
          </cell>
          <cell r="G192">
            <v>89007.96</v>
          </cell>
          <cell r="H192">
            <v>89007.96</v>
          </cell>
        </row>
        <row r="193">
          <cell r="A193" t="str">
            <v>6602.11.01</v>
          </cell>
          <cell r="B193" t="str">
            <v>　　　　咨询及专业服务费</v>
          </cell>
          <cell r="G193">
            <v>37735.85</v>
          </cell>
          <cell r="H193">
            <v>37735.85</v>
          </cell>
        </row>
        <row r="194">
          <cell r="A194" t="str">
            <v>6602.11.01.06</v>
          </cell>
          <cell r="B194" t="str">
            <v>　　　　　　法律服务费</v>
          </cell>
        </row>
        <row r="195">
          <cell r="A195" t="str">
            <v>6602.11.01.06</v>
          </cell>
          <cell r="B195" t="str">
            <v>　　　　　　法律服务费</v>
          </cell>
          <cell r="C195" t="str">
            <v>CI001</v>
          </cell>
          <cell r="D195" t="str">
            <v>旭智基金Ⅱ筹建费</v>
          </cell>
        </row>
        <row r="196">
          <cell r="A196" t="str">
            <v>6602.11.01.11</v>
          </cell>
          <cell r="B196" t="str">
            <v>　　　　　　技术尽调费</v>
          </cell>
          <cell r="G196">
            <v>37735.85</v>
          </cell>
          <cell r="H196">
            <v>37735.85</v>
          </cell>
        </row>
        <row r="197">
          <cell r="A197" t="str">
            <v>6602.11.01.11</v>
          </cell>
          <cell r="B197" t="str">
            <v>　　　　　　技术尽调费</v>
          </cell>
          <cell r="C197" t="str">
            <v>CI002</v>
          </cell>
          <cell r="D197" t="str">
            <v>旭智富能</v>
          </cell>
          <cell r="G197">
            <v>37735.85</v>
          </cell>
          <cell r="H197">
            <v>37735.85</v>
          </cell>
        </row>
        <row r="198">
          <cell r="A198" t="str">
            <v>6602.11.02</v>
          </cell>
          <cell r="B198" t="str">
            <v>　　　　业务招待费</v>
          </cell>
          <cell r="G198">
            <v>2587</v>
          </cell>
          <cell r="H198">
            <v>2587</v>
          </cell>
        </row>
        <row r="199">
          <cell r="A199" t="str">
            <v>6602.11.02</v>
          </cell>
          <cell r="B199" t="str">
            <v>　　　　业务招待费</v>
          </cell>
          <cell r="C199" t="str">
            <v>CI001</v>
          </cell>
          <cell r="D199" t="str">
            <v>旭智基金Ⅱ筹建费</v>
          </cell>
        </row>
        <row r="200">
          <cell r="A200" t="str">
            <v>6602.11.02</v>
          </cell>
          <cell r="B200" t="str">
            <v>　　　　业务招待费</v>
          </cell>
          <cell r="C200" t="str">
            <v>CI002</v>
          </cell>
          <cell r="D200" t="str">
            <v>旭智富能</v>
          </cell>
          <cell r="G200">
            <v>2587</v>
          </cell>
          <cell r="H200">
            <v>2587</v>
          </cell>
        </row>
        <row r="201">
          <cell r="A201" t="str">
            <v>6602.11.04</v>
          </cell>
          <cell r="B201" t="str">
            <v>　　　　事务费用</v>
          </cell>
          <cell r="G201">
            <v>98</v>
          </cell>
          <cell r="H201">
            <v>98</v>
          </cell>
        </row>
        <row r="202">
          <cell r="A202" t="str">
            <v>6602.11.04.01</v>
          </cell>
          <cell r="B202" t="str">
            <v>　　　　　　通信费</v>
          </cell>
        </row>
        <row r="203">
          <cell r="A203" t="str">
            <v>6602.11.04.01</v>
          </cell>
          <cell r="B203" t="str">
            <v>　　　　　　通信费</v>
          </cell>
          <cell r="C203" t="str">
            <v>CI002</v>
          </cell>
          <cell r="D203" t="str">
            <v>旭智富能</v>
          </cell>
        </row>
        <row r="204">
          <cell r="A204" t="str">
            <v>6602.11.04.03</v>
          </cell>
          <cell r="B204" t="str">
            <v>　　　　　　办公用品</v>
          </cell>
          <cell r="G204">
            <v>98</v>
          </cell>
          <cell r="H204">
            <v>98</v>
          </cell>
        </row>
        <row r="205">
          <cell r="A205" t="str">
            <v>6602.11.04.03</v>
          </cell>
          <cell r="B205" t="str">
            <v>　　　　　　办公用品</v>
          </cell>
          <cell r="C205" t="str">
            <v>CI002</v>
          </cell>
          <cell r="D205" t="str">
            <v>旭智富能</v>
          </cell>
          <cell r="G205">
            <v>98</v>
          </cell>
          <cell r="H205">
            <v>98</v>
          </cell>
        </row>
        <row r="206">
          <cell r="A206" t="str">
            <v>6602.11.04.99</v>
          </cell>
          <cell r="B206" t="str">
            <v>　　　　　　其他</v>
          </cell>
        </row>
        <row r="207">
          <cell r="A207" t="str">
            <v>6602.11.04.99</v>
          </cell>
          <cell r="B207" t="str">
            <v>　　　　　　其他</v>
          </cell>
          <cell r="C207" t="str">
            <v>CI002</v>
          </cell>
          <cell r="D207" t="str">
            <v>旭智富能</v>
          </cell>
        </row>
        <row r="208">
          <cell r="A208" t="str">
            <v>6602.11.05</v>
          </cell>
          <cell r="B208" t="str">
            <v>　　　　差旅费</v>
          </cell>
          <cell r="G208">
            <v>48587.11</v>
          </cell>
          <cell r="H208">
            <v>48587.11</v>
          </cell>
        </row>
        <row r="209">
          <cell r="A209" t="str">
            <v>6602.11.05.01</v>
          </cell>
          <cell r="B209" t="str">
            <v>　　　　　　住宿费</v>
          </cell>
          <cell r="G209">
            <v>17415.3</v>
          </cell>
          <cell r="H209">
            <v>17415.3</v>
          </cell>
        </row>
        <row r="210">
          <cell r="A210" t="str">
            <v>6602.11.05.01</v>
          </cell>
          <cell r="B210" t="str">
            <v>　　　　　　住宿费</v>
          </cell>
          <cell r="C210" t="str">
            <v>CI002</v>
          </cell>
          <cell r="D210" t="str">
            <v>旭智富能</v>
          </cell>
          <cell r="G210">
            <v>17415.3</v>
          </cell>
          <cell r="H210">
            <v>17415.3</v>
          </cell>
        </row>
        <row r="211">
          <cell r="A211" t="str">
            <v>6602.11.05.01</v>
          </cell>
          <cell r="B211" t="str">
            <v>　　　　　　住宿费</v>
          </cell>
          <cell r="C211" t="str">
            <v>CI005</v>
          </cell>
          <cell r="D211" t="str">
            <v>旭智私募</v>
          </cell>
        </row>
        <row r="212">
          <cell r="A212" t="str">
            <v>6602.11.05.02</v>
          </cell>
          <cell r="B212" t="str">
            <v>　　　　　　伙食费</v>
          </cell>
          <cell r="G212">
            <v>1080</v>
          </cell>
          <cell r="H212">
            <v>1080</v>
          </cell>
        </row>
        <row r="213">
          <cell r="A213" t="str">
            <v>6602.11.05.02</v>
          </cell>
          <cell r="B213" t="str">
            <v>　　　　　　伙食费</v>
          </cell>
          <cell r="C213" t="str">
            <v>CI002</v>
          </cell>
          <cell r="D213" t="str">
            <v>旭智富能</v>
          </cell>
          <cell r="G213">
            <v>1080</v>
          </cell>
          <cell r="H213">
            <v>1080</v>
          </cell>
        </row>
        <row r="214">
          <cell r="A214" t="str">
            <v>6602.11.05.03</v>
          </cell>
          <cell r="B214" t="str">
            <v>　　　　　　地面交通费</v>
          </cell>
          <cell r="G214">
            <v>6776.1</v>
          </cell>
          <cell r="H214">
            <v>6776.1</v>
          </cell>
        </row>
        <row r="215">
          <cell r="A215" t="str">
            <v>6602.11.05.03</v>
          </cell>
          <cell r="B215" t="str">
            <v>　　　　　　地面交通费</v>
          </cell>
          <cell r="C215" t="str">
            <v>CI002</v>
          </cell>
          <cell r="D215" t="str">
            <v>旭智富能</v>
          </cell>
          <cell r="G215">
            <v>6776.1</v>
          </cell>
          <cell r="H215">
            <v>6776.1</v>
          </cell>
        </row>
        <row r="216">
          <cell r="A216" t="str">
            <v>6602.11.05.03</v>
          </cell>
          <cell r="B216" t="str">
            <v>　　　　　　地面交通费</v>
          </cell>
          <cell r="C216" t="str">
            <v>CI005</v>
          </cell>
          <cell r="D216" t="str">
            <v>旭智私募</v>
          </cell>
        </row>
        <row r="217">
          <cell r="A217" t="str">
            <v>6602.11.05.04</v>
          </cell>
          <cell r="B217" t="str">
            <v>　　　　　　空中交通费</v>
          </cell>
          <cell r="G217">
            <v>21679.83</v>
          </cell>
          <cell r="H217">
            <v>21679.83</v>
          </cell>
        </row>
        <row r="218">
          <cell r="A218" t="str">
            <v>6602.11.05.04</v>
          </cell>
          <cell r="B218" t="str">
            <v>　　　　　　空中交通费</v>
          </cell>
          <cell r="C218" t="str">
            <v>CI002</v>
          </cell>
          <cell r="D218" t="str">
            <v>旭智富能</v>
          </cell>
          <cell r="G218">
            <v>21679.83</v>
          </cell>
          <cell r="H218">
            <v>21679.83</v>
          </cell>
        </row>
        <row r="219">
          <cell r="A219" t="str">
            <v>6602.11.05.04</v>
          </cell>
          <cell r="B219" t="str">
            <v>　　　　　　空中交通费</v>
          </cell>
          <cell r="C219" t="str">
            <v>CI005</v>
          </cell>
          <cell r="D219" t="str">
            <v>旭智私募</v>
          </cell>
        </row>
        <row r="220">
          <cell r="A220" t="str">
            <v>6602.11.05.05</v>
          </cell>
          <cell r="B220" t="str">
            <v>　　　　　　租车</v>
          </cell>
          <cell r="G220">
            <v>1242.7</v>
          </cell>
          <cell r="H220">
            <v>1242.7</v>
          </cell>
        </row>
        <row r="221">
          <cell r="A221" t="str">
            <v>6602.11.05.05</v>
          </cell>
          <cell r="B221" t="str">
            <v>　　　　　　租车</v>
          </cell>
          <cell r="C221" t="str">
            <v>CI002</v>
          </cell>
          <cell r="D221" t="str">
            <v>旭智富能</v>
          </cell>
          <cell r="G221">
            <v>1242.7</v>
          </cell>
          <cell r="H221">
            <v>1242.7</v>
          </cell>
        </row>
        <row r="222">
          <cell r="A222" t="str">
            <v>6602.11.05.06</v>
          </cell>
          <cell r="B222" t="str">
            <v>　　　　　　其他汽车费用</v>
          </cell>
          <cell r="G222">
            <v>393.18</v>
          </cell>
          <cell r="H222">
            <v>393.18</v>
          </cell>
        </row>
        <row r="223">
          <cell r="A223" t="str">
            <v>6602.11.05.06</v>
          </cell>
          <cell r="B223" t="str">
            <v>　　　　　　其他汽车费用</v>
          </cell>
          <cell r="C223" t="str">
            <v>CI002</v>
          </cell>
          <cell r="D223" t="str">
            <v>旭智富能</v>
          </cell>
          <cell r="G223">
            <v>393.18</v>
          </cell>
          <cell r="H223">
            <v>393.18</v>
          </cell>
        </row>
        <row r="224">
          <cell r="A224" t="str">
            <v>6602.11.05.99</v>
          </cell>
          <cell r="B224" t="str">
            <v>　　　　　　其他</v>
          </cell>
        </row>
        <row r="225">
          <cell r="A225" t="str">
            <v>6602.11.05.99</v>
          </cell>
          <cell r="B225" t="str">
            <v>　　　　　　其他</v>
          </cell>
          <cell r="C225" t="str">
            <v>CI005</v>
          </cell>
          <cell r="D225" t="str">
            <v>旭智私募</v>
          </cell>
        </row>
        <row r="226">
          <cell r="A226" t="str">
            <v>6602.12</v>
          </cell>
          <cell r="B226" t="str">
            <v>　　使用权资产折旧</v>
          </cell>
        </row>
        <row r="227">
          <cell r="A227" t="str">
            <v>6602.12.02</v>
          </cell>
          <cell r="B227" t="str">
            <v>　　　　办公地址</v>
          </cell>
        </row>
        <row r="228">
          <cell r="A228" t="str">
            <v>6602.12.02.01</v>
          </cell>
          <cell r="B228" t="str">
            <v>　　　　　　旭智咨询--鼎和大厦1606</v>
          </cell>
        </row>
        <row r="229">
          <cell r="A229" t="str">
            <v>6602.13</v>
          </cell>
          <cell r="B229" t="str">
            <v>　　物业管理费</v>
          </cell>
        </row>
        <row r="230">
          <cell r="A230" t="str">
            <v>6602.15</v>
          </cell>
          <cell r="B230" t="str">
            <v>　　服务费</v>
          </cell>
        </row>
        <row r="231">
          <cell r="A231" t="str">
            <v>6602.99</v>
          </cell>
          <cell r="B231" t="str">
            <v>　　其他</v>
          </cell>
        </row>
        <row r="232">
          <cell r="A232" t="str">
            <v>6603</v>
          </cell>
          <cell r="B232" t="str">
            <v>财务费用</v>
          </cell>
          <cell r="G232">
            <v>-457.16</v>
          </cell>
          <cell r="H232">
            <v>-457.16</v>
          </cell>
        </row>
        <row r="233">
          <cell r="A233" t="str">
            <v>6603.01</v>
          </cell>
          <cell r="B233" t="str">
            <v>　　汇兑损益</v>
          </cell>
          <cell r="G233">
            <v>-597.70000000000005</v>
          </cell>
          <cell r="H233">
            <v>-597.70000000000005</v>
          </cell>
        </row>
        <row r="234">
          <cell r="A234" t="str">
            <v>6603.02</v>
          </cell>
          <cell r="B234" t="str">
            <v>　　利息费用</v>
          </cell>
        </row>
        <row r="235">
          <cell r="A235" t="str">
            <v>6603.02.02</v>
          </cell>
          <cell r="B235" t="str">
            <v>　　　　办公地址</v>
          </cell>
        </row>
        <row r="236">
          <cell r="A236" t="str">
            <v>6603.02.02.01</v>
          </cell>
          <cell r="B236" t="str">
            <v>　　　　　　旭智咨询--鼎和大厦1606</v>
          </cell>
        </row>
        <row r="237">
          <cell r="A237" t="str">
            <v>6603.03</v>
          </cell>
          <cell r="B237" t="str">
            <v>　　银行手续费</v>
          </cell>
          <cell r="G237">
            <v>140.54</v>
          </cell>
          <cell r="H237">
            <v>140.54</v>
          </cell>
        </row>
        <row r="238">
          <cell r="A238" t="str">
            <v>6603.04</v>
          </cell>
          <cell r="B238" t="str">
            <v>　　利息收入</v>
          </cell>
        </row>
        <row r="239">
          <cell r="A239" t="str">
            <v>6711</v>
          </cell>
          <cell r="B239" t="str">
            <v>营业外支出</v>
          </cell>
        </row>
        <row r="240">
          <cell r="A240" t="str">
            <v>6711.02</v>
          </cell>
          <cell r="B240" t="str">
            <v>　　非流动资产处置损失</v>
          </cell>
        </row>
        <row r="241">
          <cell r="A241" t="str">
            <v>6801</v>
          </cell>
          <cell r="B241" t="str">
            <v>所得税费用</v>
          </cell>
        </row>
        <row r="242">
          <cell r="A242" t="str">
            <v>6801.01</v>
          </cell>
          <cell r="B242" t="str">
            <v>　　当期所得税费用</v>
          </cell>
        </row>
        <row r="243">
          <cell r="A243" t="str">
            <v>6801.03</v>
          </cell>
          <cell r="B243" t="str">
            <v>　　以前年度所得税费用</v>
          </cell>
        </row>
        <row r="244">
          <cell r="B244" t="str">
            <v>合计</v>
          </cell>
          <cell r="E244">
            <v>6543031.7699999996</v>
          </cell>
          <cell r="F244">
            <v>6476028.9900000002</v>
          </cell>
          <cell r="G244">
            <v>2943924.18</v>
          </cell>
          <cell r="H244">
            <v>2944521.88</v>
          </cell>
        </row>
      </sheetData>
      <sheetData sheetId="8">
        <row r="1">
          <cell r="A1" t="str">
            <v>币别:人民币</v>
          </cell>
          <cell r="B1" t="str">
            <v>账簿:旭智咨询管理（深圳）有限责任公司</v>
          </cell>
          <cell r="C1" t="str">
            <v>期间:2025.9 -- 2025.9</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1111289.19</v>
          </cell>
          <cell r="G4">
            <v>109499.19</v>
          </cell>
          <cell r="H4">
            <v>610617.36</v>
          </cell>
        </row>
        <row r="5">
          <cell r="A5" t="str">
            <v>1002.21</v>
          </cell>
          <cell r="B5" t="str">
            <v>　　【旭智咨询】银行存款账户</v>
          </cell>
          <cell r="E5">
            <v>1057152.83</v>
          </cell>
          <cell r="G5">
            <v>4496.03</v>
          </cell>
          <cell r="H5">
            <v>506184.99</v>
          </cell>
        </row>
        <row r="6">
          <cell r="A6" t="str">
            <v>1002.21.01</v>
          </cell>
          <cell r="B6" t="str">
            <v>　　　　招商银行账户</v>
          </cell>
          <cell r="E6">
            <v>1057152.83</v>
          </cell>
          <cell r="G6">
            <v>4496.03</v>
          </cell>
          <cell r="H6">
            <v>506184.99</v>
          </cell>
        </row>
        <row r="7">
          <cell r="A7" t="str">
            <v>1002.21.01.01</v>
          </cell>
          <cell r="B7" t="str">
            <v>　　　　　　【旭智咨询】招商 人民币基本户 0108</v>
          </cell>
          <cell r="E7">
            <v>1039357.51</v>
          </cell>
          <cell r="G7">
            <v>4410.42</v>
          </cell>
          <cell r="H7">
            <v>506184.99</v>
          </cell>
        </row>
        <row r="8">
          <cell r="A8" t="str">
            <v>1002.21.01.02</v>
          </cell>
          <cell r="B8" t="str">
            <v>　　　　　　【旭智咨询】招商 人民币资本金账户 0202</v>
          </cell>
          <cell r="E8">
            <v>17795.32</v>
          </cell>
          <cell r="G8">
            <v>85.61</v>
          </cell>
        </row>
        <row r="9">
          <cell r="A9" t="str">
            <v>1002.22</v>
          </cell>
          <cell r="B9" t="str">
            <v>　　【旭智咨询北京】银行存款账户</v>
          </cell>
          <cell r="E9">
            <v>54136.36</v>
          </cell>
          <cell r="G9">
            <v>105003.16</v>
          </cell>
          <cell r="H9">
            <v>104432.37</v>
          </cell>
        </row>
        <row r="10">
          <cell r="A10" t="str">
            <v>1002.22.01</v>
          </cell>
          <cell r="B10" t="str">
            <v>　　　　招商银行账户</v>
          </cell>
          <cell r="E10">
            <v>54136.36</v>
          </cell>
          <cell r="G10">
            <v>105003.16</v>
          </cell>
          <cell r="H10">
            <v>104432.37</v>
          </cell>
        </row>
        <row r="11">
          <cell r="A11" t="str">
            <v>1002.22.01.01</v>
          </cell>
          <cell r="B11" t="str">
            <v>　　　　　　【旭智咨询北京】人民币基本户 0001</v>
          </cell>
          <cell r="E11">
            <v>54136.36</v>
          </cell>
          <cell r="G11">
            <v>105003.16</v>
          </cell>
          <cell r="H11">
            <v>104432.37</v>
          </cell>
        </row>
        <row r="12">
          <cell r="A12" t="str">
            <v>1122</v>
          </cell>
          <cell r="B12" t="str">
            <v>应收账款</v>
          </cell>
          <cell r="E12">
            <v>223234.7</v>
          </cell>
        </row>
        <row r="13">
          <cell r="A13" t="str">
            <v>1122.01</v>
          </cell>
          <cell r="B13" t="str">
            <v>　　咨询费收入</v>
          </cell>
          <cell r="E13">
            <v>223234.7</v>
          </cell>
        </row>
        <row r="14">
          <cell r="A14" t="str">
            <v>1122.01</v>
          </cell>
          <cell r="B14" t="str">
            <v>　　咨询费收入</v>
          </cell>
          <cell r="C14" t="str">
            <v>CU003010</v>
          </cell>
          <cell r="D14" t="str">
            <v>旭智富能新能源（深圳）有限责任公司</v>
          </cell>
          <cell r="E14">
            <v>223234.7</v>
          </cell>
        </row>
        <row r="15">
          <cell r="A15" t="str">
            <v>1122.01</v>
          </cell>
          <cell r="B15" t="str">
            <v>　　咨询费收入</v>
          </cell>
          <cell r="C15" t="str">
            <v>CU006001</v>
          </cell>
          <cell r="D15" t="str">
            <v>胜科辉飏新能源（深圳）有限公司</v>
          </cell>
        </row>
        <row r="16">
          <cell r="A16" t="str">
            <v>1123</v>
          </cell>
          <cell r="B16" t="str">
            <v>预付账款</v>
          </cell>
          <cell r="E16">
            <v>29245.279999999999</v>
          </cell>
          <cell r="H16">
            <v>19811.32</v>
          </cell>
        </row>
        <row r="17">
          <cell r="A17" t="str">
            <v>1123.01</v>
          </cell>
          <cell r="B17" t="str">
            <v>　　单位</v>
          </cell>
          <cell r="E17">
            <v>29245.279999999999</v>
          </cell>
          <cell r="H17">
            <v>19811.32</v>
          </cell>
        </row>
        <row r="18">
          <cell r="A18" t="str">
            <v>1123.01</v>
          </cell>
          <cell r="B18" t="str">
            <v>　　单位</v>
          </cell>
          <cell r="C18" t="str">
            <v>SU006011</v>
          </cell>
          <cell r="D18" t="str">
            <v>广州晶东贸易有限公司</v>
          </cell>
        </row>
        <row r="19">
          <cell r="A19" t="str">
            <v>1123.01</v>
          </cell>
          <cell r="B19" t="str">
            <v>　　单位</v>
          </cell>
          <cell r="C19" t="str">
            <v>SU006012</v>
          </cell>
          <cell r="D19" t="str">
            <v>上海携程宏睿国际旅行社有限公司</v>
          </cell>
        </row>
        <row r="20">
          <cell r="A20" t="str">
            <v>1123.01</v>
          </cell>
          <cell r="B20" t="str">
            <v>　　单位</v>
          </cell>
          <cell r="C20" t="str">
            <v>SU006015</v>
          </cell>
          <cell r="D20" t="str">
            <v>成都协企兴企业管理咨询服务有限公司</v>
          </cell>
        </row>
        <row r="21">
          <cell r="A21" t="str">
            <v>1123.01</v>
          </cell>
          <cell r="B21" t="str">
            <v>　　单位</v>
          </cell>
          <cell r="C21" t="str">
            <v>SU006016</v>
          </cell>
          <cell r="D21" t="str">
            <v>爱奇创新投资研究（深圳）有限公司</v>
          </cell>
          <cell r="E21">
            <v>19811.32</v>
          </cell>
          <cell r="H21">
            <v>19811.32</v>
          </cell>
        </row>
        <row r="22">
          <cell r="A22" t="str">
            <v>1123.01</v>
          </cell>
          <cell r="B22" t="str">
            <v>　　单位</v>
          </cell>
          <cell r="C22" t="str">
            <v>SU006031</v>
          </cell>
          <cell r="D22" t="str">
            <v>深圳市金纳维科技有限公司</v>
          </cell>
          <cell r="E22">
            <v>9433.9599999999991</v>
          </cell>
        </row>
        <row r="23">
          <cell r="A23" t="str">
            <v>1221</v>
          </cell>
          <cell r="B23" t="str">
            <v>其他应收款</v>
          </cell>
          <cell r="E23">
            <v>25569.34</v>
          </cell>
          <cell r="H23">
            <v>3250</v>
          </cell>
        </row>
        <row r="24">
          <cell r="A24" t="str">
            <v>1221.01</v>
          </cell>
          <cell r="B24" t="str">
            <v>　　单位</v>
          </cell>
          <cell r="E24">
            <v>25569.34</v>
          </cell>
          <cell r="H24">
            <v>3250</v>
          </cell>
        </row>
        <row r="25">
          <cell r="A25" t="str">
            <v>1221.01</v>
          </cell>
          <cell r="B25" t="str">
            <v>　　单位</v>
          </cell>
          <cell r="C25" t="str">
            <v>CU003010</v>
          </cell>
          <cell r="D25" t="str">
            <v>旭智富能新能源（深圳）有限责任公司</v>
          </cell>
          <cell r="E25">
            <v>4800</v>
          </cell>
        </row>
        <row r="26">
          <cell r="A26" t="str">
            <v>1221.01</v>
          </cell>
          <cell r="B26" t="str">
            <v>　　单位</v>
          </cell>
          <cell r="C26" t="str">
            <v>CU006006</v>
          </cell>
          <cell r="D26" t="str">
            <v>爱奇创新投资研究（深圳）有限公司</v>
          </cell>
          <cell r="E26">
            <v>10000</v>
          </cell>
        </row>
        <row r="27">
          <cell r="A27" t="str">
            <v>1221.01</v>
          </cell>
          <cell r="B27" t="str">
            <v>　　单位</v>
          </cell>
          <cell r="C27" t="str">
            <v>CU006007</v>
          </cell>
          <cell r="D27" t="str">
            <v>深圳旭智私募股权基金管理有限公司</v>
          </cell>
        </row>
        <row r="28">
          <cell r="A28" t="str">
            <v>1221.01</v>
          </cell>
          <cell r="B28" t="str">
            <v>　　单位</v>
          </cell>
          <cell r="C28" t="str">
            <v>CU006008</v>
          </cell>
          <cell r="D28" t="str">
            <v>旭智富联（鹤壁）新能源有限责任公司</v>
          </cell>
          <cell r="E28">
            <v>2180</v>
          </cell>
        </row>
        <row r="29">
          <cell r="A29" t="str">
            <v>1221.01</v>
          </cell>
          <cell r="B29" t="str">
            <v>　　单位</v>
          </cell>
          <cell r="C29" t="str">
            <v>CU006009</v>
          </cell>
          <cell r="D29" t="str">
            <v>旭智兴邦（潍坊）农业高新科技有限公司</v>
          </cell>
          <cell r="E29">
            <v>3250</v>
          </cell>
          <cell r="H29">
            <v>3250</v>
          </cell>
        </row>
        <row r="30">
          <cell r="A30" t="str">
            <v>1221.01</v>
          </cell>
          <cell r="B30" t="str">
            <v>　　单位</v>
          </cell>
          <cell r="C30" t="str">
            <v>CU010001</v>
          </cell>
          <cell r="D30" t="str">
            <v>郴州市苏仙区景叶新能源有限责任公司</v>
          </cell>
          <cell r="E30">
            <v>5339.34</v>
          </cell>
        </row>
        <row r="31">
          <cell r="A31" t="str">
            <v>1511</v>
          </cell>
          <cell r="B31" t="str">
            <v>长期股权投资</v>
          </cell>
          <cell r="E31">
            <v>3996000</v>
          </cell>
        </row>
        <row r="32">
          <cell r="A32" t="str">
            <v>1511.01</v>
          </cell>
          <cell r="B32" t="str">
            <v>　　投资成本</v>
          </cell>
          <cell r="E32">
            <v>3996000</v>
          </cell>
        </row>
        <row r="33">
          <cell r="A33" t="str">
            <v>1511.01.01</v>
          </cell>
          <cell r="B33" t="str">
            <v>　　　　宜兴旭智投资咨询合伙企业（有限合伙）</v>
          </cell>
          <cell r="E33">
            <v>3996000</v>
          </cell>
        </row>
        <row r="34">
          <cell r="A34" t="str">
            <v>1601</v>
          </cell>
          <cell r="B34" t="str">
            <v>固定资产</v>
          </cell>
          <cell r="E34">
            <v>119847.66</v>
          </cell>
        </row>
        <row r="35">
          <cell r="A35" t="str">
            <v>1601.01</v>
          </cell>
          <cell r="B35" t="str">
            <v>　　电子设备</v>
          </cell>
          <cell r="E35">
            <v>77015.62</v>
          </cell>
        </row>
        <row r="36">
          <cell r="A36" t="str">
            <v>1601.04</v>
          </cell>
          <cell r="B36" t="str">
            <v>　　家具设备</v>
          </cell>
          <cell r="E36">
            <v>42832.04</v>
          </cell>
        </row>
        <row r="37">
          <cell r="A37" t="str">
            <v>1602</v>
          </cell>
          <cell r="B37" t="str">
            <v>累计折旧</v>
          </cell>
          <cell r="F37">
            <v>39561.230000000003</v>
          </cell>
          <cell r="H37">
            <v>2710.46</v>
          </cell>
        </row>
        <row r="38">
          <cell r="A38" t="str">
            <v>1602.01</v>
          </cell>
          <cell r="B38" t="str">
            <v>　　电子设备</v>
          </cell>
          <cell r="F38">
            <v>11485.58</v>
          </cell>
          <cell r="H38">
            <v>678.09</v>
          </cell>
        </row>
        <row r="39">
          <cell r="A39" t="str">
            <v>1602.04</v>
          </cell>
          <cell r="B39" t="str">
            <v>　　家具设备</v>
          </cell>
          <cell r="F39">
            <v>28075.65</v>
          </cell>
          <cell r="H39">
            <v>2032.37</v>
          </cell>
        </row>
        <row r="40">
          <cell r="A40" t="str">
            <v>1606</v>
          </cell>
          <cell r="B40" t="str">
            <v>固定资产清理</v>
          </cell>
        </row>
        <row r="41">
          <cell r="A41" t="str">
            <v>1606.04</v>
          </cell>
          <cell r="B41" t="str">
            <v>　　家具设备</v>
          </cell>
        </row>
        <row r="42">
          <cell r="A42" t="str">
            <v>1641</v>
          </cell>
          <cell r="B42" t="str">
            <v>使用权资产</v>
          </cell>
        </row>
        <row r="43">
          <cell r="A43" t="str">
            <v>1641.01</v>
          </cell>
          <cell r="B43" t="str">
            <v>　　打印机租赁</v>
          </cell>
        </row>
        <row r="44">
          <cell r="A44" t="str">
            <v>1641.02</v>
          </cell>
          <cell r="B44" t="str">
            <v>　　办公地址</v>
          </cell>
        </row>
        <row r="45">
          <cell r="A45" t="str">
            <v>1641.02.01</v>
          </cell>
          <cell r="B45" t="str">
            <v>　　　　旭智咨询--鼎和大厦1606</v>
          </cell>
        </row>
        <row r="46">
          <cell r="A46" t="str">
            <v>1642</v>
          </cell>
          <cell r="B46" t="str">
            <v>使用权资产累计折旧</v>
          </cell>
        </row>
        <row r="47">
          <cell r="A47" t="str">
            <v>1642.01</v>
          </cell>
          <cell r="B47" t="str">
            <v>　　打印机租赁</v>
          </cell>
        </row>
        <row r="48">
          <cell r="A48" t="str">
            <v>1642.02</v>
          </cell>
          <cell r="B48" t="str">
            <v>　　办公地址</v>
          </cell>
        </row>
        <row r="49">
          <cell r="A49" t="str">
            <v>1642.02.01</v>
          </cell>
          <cell r="B49" t="str">
            <v>　　　　旭智咨询--鼎和大厦1606</v>
          </cell>
        </row>
        <row r="50">
          <cell r="A50" t="str">
            <v>1801</v>
          </cell>
          <cell r="B50" t="str">
            <v>长期待摊费用</v>
          </cell>
        </row>
        <row r="51">
          <cell r="A51" t="str">
            <v>1801.01</v>
          </cell>
          <cell r="B51" t="str">
            <v>　　装修费</v>
          </cell>
        </row>
        <row r="52">
          <cell r="A52" t="str">
            <v>2203</v>
          </cell>
          <cell r="B52" t="str">
            <v>预收账款</v>
          </cell>
        </row>
        <row r="53">
          <cell r="A53" t="str">
            <v>2203.01</v>
          </cell>
          <cell r="B53" t="str">
            <v>　　单位</v>
          </cell>
        </row>
        <row r="54">
          <cell r="A54" t="str">
            <v>2203.01</v>
          </cell>
          <cell r="B54" t="str">
            <v>　　单位</v>
          </cell>
          <cell r="C54" t="str">
            <v>CU006001</v>
          </cell>
          <cell r="D54" t="str">
            <v>胜科辉飏新能源（深圳）有限公司</v>
          </cell>
        </row>
        <row r="55">
          <cell r="A55" t="str">
            <v>2211</v>
          </cell>
          <cell r="B55" t="str">
            <v>应付职工薪酬</v>
          </cell>
          <cell r="F55">
            <v>39959.279999999999</v>
          </cell>
          <cell r="G55">
            <v>354215.64</v>
          </cell>
          <cell r="H55">
            <v>354538.06</v>
          </cell>
        </row>
        <row r="56">
          <cell r="A56" t="str">
            <v>2211.01</v>
          </cell>
          <cell r="B56" t="str">
            <v>　　职工工资</v>
          </cell>
          <cell r="G56">
            <v>212110.44</v>
          </cell>
          <cell r="H56">
            <v>212110.44</v>
          </cell>
        </row>
        <row r="57">
          <cell r="A57" t="str">
            <v>2211.02</v>
          </cell>
          <cell r="B57" t="str">
            <v>　　职工奖金</v>
          </cell>
        </row>
        <row r="58">
          <cell r="A58" t="str">
            <v>2211.03</v>
          </cell>
          <cell r="B58" t="str">
            <v>　　劳务报酬</v>
          </cell>
          <cell r="G58">
            <v>3864</v>
          </cell>
          <cell r="H58">
            <v>3864</v>
          </cell>
        </row>
        <row r="59">
          <cell r="A59" t="str">
            <v>2211.05</v>
          </cell>
          <cell r="B59" t="str">
            <v>　　社会保险费</v>
          </cell>
          <cell r="F59">
            <v>24291.279999999999</v>
          </cell>
          <cell r="G59">
            <v>77534.880000000005</v>
          </cell>
          <cell r="H59">
            <v>77731.3</v>
          </cell>
        </row>
        <row r="60">
          <cell r="A60" t="str">
            <v>2211.06</v>
          </cell>
          <cell r="B60" t="str">
            <v>　　住房公积金</v>
          </cell>
          <cell r="F60">
            <v>15668</v>
          </cell>
          <cell r="G60">
            <v>60706.32</v>
          </cell>
          <cell r="H60">
            <v>60832.32</v>
          </cell>
        </row>
        <row r="61">
          <cell r="A61" t="str">
            <v>2221</v>
          </cell>
          <cell r="B61" t="str">
            <v>应交税费</v>
          </cell>
          <cell r="F61">
            <v>23825.33</v>
          </cell>
          <cell r="G61">
            <v>54734</v>
          </cell>
          <cell r="H61">
            <v>54836.24</v>
          </cell>
        </row>
        <row r="62">
          <cell r="A62" t="str">
            <v>2221.01</v>
          </cell>
          <cell r="B62" t="str">
            <v>　　应交增值税</v>
          </cell>
          <cell r="G62">
            <v>11242.26</v>
          </cell>
          <cell r="H62">
            <v>11242.26</v>
          </cell>
        </row>
        <row r="63">
          <cell r="A63" t="str">
            <v>2221.01.01</v>
          </cell>
          <cell r="B63" t="str">
            <v>　　　　销项税额</v>
          </cell>
        </row>
        <row r="64">
          <cell r="A64" t="str">
            <v>2221.01.03</v>
          </cell>
          <cell r="B64" t="str">
            <v>　　　　进项税额</v>
          </cell>
          <cell r="G64">
            <v>5621.13</v>
          </cell>
          <cell r="H64">
            <v>5621.13</v>
          </cell>
        </row>
        <row r="65">
          <cell r="A65" t="str">
            <v>2221.01.06</v>
          </cell>
          <cell r="B65" t="str">
            <v>　　　　转出未交增值税</v>
          </cell>
          <cell r="G65">
            <v>5621.13</v>
          </cell>
          <cell r="H65">
            <v>5621.13</v>
          </cell>
        </row>
        <row r="66">
          <cell r="A66" t="str">
            <v>2221.03</v>
          </cell>
          <cell r="B66" t="str">
            <v>　　暂估进项税额</v>
          </cell>
          <cell r="E66">
            <v>2055.5500000000002</v>
          </cell>
          <cell r="G66">
            <v>1183.67</v>
          </cell>
          <cell r="H66">
            <v>2016.62</v>
          </cell>
        </row>
        <row r="67">
          <cell r="A67" t="str">
            <v>2221.04</v>
          </cell>
          <cell r="B67" t="str">
            <v>　　未交增值税</v>
          </cell>
          <cell r="E67">
            <v>16177.31</v>
          </cell>
          <cell r="G67">
            <v>5621.13</v>
          </cell>
        </row>
        <row r="68">
          <cell r="A68" t="str">
            <v>2221.06</v>
          </cell>
          <cell r="B68" t="str">
            <v>　　待认证进项税额</v>
          </cell>
          <cell r="E68">
            <v>47.77</v>
          </cell>
          <cell r="G68">
            <v>5617.01</v>
          </cell>
          <cell r="H68">
            <v>5621.13</v>
          </cell>
        </row>
        <row r="69">
          <cell r="A69" t="str">
            <v>2221.08</v>
          </cell>
          <cell r="B69" t="str">
            <v>　　待转销项税额</v>
          </cell>
          <cell r="F69">
            <v>12635.93</v>
          </cell>
        </row>
        <row r="70">
          <cell r="A70" t="str">
            <v>2221.12</v>
          </cell>
          <cell r="B70" t="str">
            <v>　　应交城市维护建设税</v>
          </cell>
        </row>
        <row r="71">
          <cell r="A71" t="str">
            <v>2221.13</v>
          </cell>
          <cell r="B71" t="str">
            <v>　　应交教育费附加</v>
          </cell>
        </row>
        <row r="72">
          <cell r="A72" t="str">
            <v>2221.14</v>
          </cell>
          <cell r="B72" t="str">
            <v>　　应交地方教育附加</v>
          </cell>
        </row>
        <row r="73">
          <cell r="A73" t="str">
            <v>2221.15</v>
          </cell>
          <cell r="B73" t="str">
            <v>　　应交企业所得税</v>
          </cell>
        </row>
        <row r="74">
          <cell r="A74" t="str">
            <v>2221.16</v>
          </cell>
          <cell r="B74" t="str">
            <v>　　应交个人所得税</v>
          </cell>
          <cell r="F74">
            <v>29470.03</v>
          </cell>
          <cell r="G74">
            <v>31069.93</v>
          </cell>
          <cell r="H74">
            <v>35956.230000000003</v>
          </cell>
        </row>
        <row r="75">
          <cell r="A75" t="str">
            <v>2241</v>
          </cell>
          <cell r="B75" t="str">
            <v>其他应付款</v>
          </cell>
          <cell r="F75">
            <v>2328593.21</v>
          </cell>
          <cell r="G75">
            <v>218502.84</v>
          </cell>
          <cell r="H75">
            <v>205366.38</v>
          </cell>
        </row>
        <row r="76">
          <cell r="A76" t="str">
            <v>2241.01</v>
          </cell>
          <cell r="B76" t="str">
            <v>　　单位</v>
          </cell>
          <cell r="F76">
            <v>2328593.21</v>
          </cell>
          <cell r="G76">
            <v>187107.64</v>
          </cell>
          <cell r="H76">
            <v>173971.18</v>
          </cell>
        </row>
        <row r="77">
          <cell r="A77" t="str">
            <v>2241.01</v>
          </cell>
          <cell r="B77" t="str">
            <v>　　单位</v>
          </cell>
          <cell r="C77" t="str">
            <v>SU005004</v>
          </cell>
          <cell r="D77" t="str">
            <v>上海爱文人才服务有限公司</v>
          </cell>
          <cell r="G77">
            <v>100481.92</v>
          </cell>
          <cell r="H77">
            <v>100481.92</v>
          </cell>
        </row>
        <row r="78">
          <cell r="A78" t="str">
            <v>2241.01</v>
          </cell>
          <cell r="B78" t="str">
            <v>　　单位</v>
          </cell>
          <cell r="C78" t="str">
            <v>SU005007</v>
          </cell>
          <cell r="D78" t="str">
            <v>普华永道中天会计师事务所（特殊普通合伙）</v>
          </cell>
          <cell r="F78">
            <v>28102.34</v>
          </cell>
        </row>
        <row r="79">
          <cell r="A79" t="str">
            <v>2241.01</v>
          </cell>
          <cell r="B79" t="str">
            <v>　　单位</v>
          </cell>
          <cell r="C79" t="str">
            <v>SU005026</v>
          </cell>
          <cell r="D79" t="str">
            <v>中国电信股份有限公司</v>
          </cell>
          <cell r="G79">
            <v>59</v>
          </cell>
          <cell r="H79">
            <v>59</v>
          </cell>
        </row>
        <row r="80">
          <cell r="A80" t="str">
            <v>2241.01</v>
          </cell>
          <cell r="B80" t="str">
            <v>　　单位</v>
          </cell>
          <cell r="C80" t="str">
            <v>SU005037</v>
          </cell>
          <cell r="D80" t="str">
            <v>深圳点石新能源投资有限责任公司</v>
          </cell>
        </row>
        <row r="81">
          <cell r="A81" t="str">
            <v>2241.01</v>
          </cell>
          <cell r="B81" t="str">
            <v>　　单位</v>
          </cell>
          <cell r="C81" t="str">
            <v>SU005039</v>
          </cell>
          <cell r="D81" t="str">
            <v>海华税务师事务所有限公司深圳分公司</v>
          </cell>
        </row>
        <row r="82">
          <cell r="A82" t="str">
            <v>2241.01</v>
          </cell>
          <cell r="B82" t="str">
            <v>　　单位</v>
          </cell>
          <cell r="C82" t="str">
            <v>SU005043</v>
          </cell>
          <cell r="D82" t="str">
            <v>旭智资本有限公司</v>
          </cell>
        </row>
        <row r="83">
          <cell r="A83" t="str">
            <v>2241.01</v>
          </cell>
          <cell r="B83" t="str">
            <v>　　单位</v>
          </cell>
          <cell r="C83" t="str">
            <v>SU006006</v>
          </cell>
          <cell r="D83" t="str">
            <v>深圳市新趋势科技有限公司</v>
          </cell>
        </row>
        <row r="84">
          <cell r="A84" t="str">
            <v>2241.01</v>
          </cell>
          <cell r="B84" t="str">
            <v>　　单位</v>
          </cell>
          <cell r="C84" t="str">
            <v>SU006008</v>
          </cell>
          <cell r="D84" t="str">
            <v>深圳市前海创时代企业管理有限公司</v>
          </cell>
        </row>
        <row r="85">
          <cell r="A85" t="str">
            <v>2241.01</v>
          </cell>
          <cell r="B85" t="str">
            <v>　　单位</v>
          </cell>
          <cell r="C85" t="str">
            <v>SU006012</v>
          </cell>
          <cell r="D85" t="str">
            <v>上海携程宏睿国际旅行社有限公司</v>
          </cell>
          <cell r="F85">
            <v>41051.72</v>
          </cell>
          <cell r="G85">
            <v>41051.72</v>
          </cell>
          <cell r="H85">
            <v>27915.26</v>
          </cell>
        </row>
        <row r="86">
          <cell r="A86" t="str">
            <v>2241.01</v>
          </cell>
          <cell r="B86" t="str">
            <v>　　单位</v>
          </cell>
          <cell r="C86" t="str">
            <v>SU006016</v>
          </cell>
          <cell r="D86" t="str">
            <v>爱奇创新投资研究（深圳）有限公司</v>
          </cell>
        </row>
        <row r="87">
          <cell r="A87" t="str">
            <v>2241.01</v>
          </cell>
          <cell r="B87" t="str">
            <v>　　单位</v>
          </cell>
          <cell r="C87" t="str">
            <v>SU006018</v>
          </cell>
          <cell r="D87" t="str">
            <v>深圳辉飏新能源投资咨询有限责任公司</v>
          </cell>
        </row>
        <row r="88">
          <cell r="A88" t="str">
            <v>2241.01</v>
          </cell>
          <cell r="B88" t="str">
            <v>　　单位</v>
          </cell>
          <cell r="C88" t="str">
            <v>SU006021</v>
          </cell>
          <cell r="D88" t="str">
            <v>北京市汉坤律师事务所</v>
          </cell>
          <cell r="F88">
            <v>40000</v>
          </cell>
        </row>
        <row r="89">
          <cell r="A89" t="str">
            <v>2241.01</v>
          </cell>
          <cell r="B89" t="str">
            <v>　　单位</v>
          </cell>
          <cell r="C89" t="str">
            <v>SU006023</v>
          </cell>
          <cell r="D89" t="str">
            <v>顺丰速运有限公司</v>
          </cell>
          <cell r="G89">
            <v>515</v>
          </cell>
          <cell r="H89">
            <v>515</v>
          </cell>
        </row>
        <row r="90">
          <cell r="A90" t="str">
            <v>2241.01</v>
          </cell>
          <cell r="B90" t="str">
            <v>　　单位</v>
          </cell>
          <cell r="C90" t="str">
            <v>SU006025</v>
          </cell>
          <cell r="D90" t="str">
            <v>全景求是管理顾问（北京）有限公司</v>
          </cell>
        </row>
        <row r="91">
          <cell r="A91" t="str">
            <v>2241.01</v>
          </cell>
          <cell r="B91" t="str">
            <v>　　单位</v>
          </cell>
          <cell r="C91" t="str">
            <v>SU006026</v>
          </cell>
          <cell r="D91" t="str">
            <v>和谐汇股权投资管理（北京）有限公司</v>
          </cell>
        </row>
        <row r="92">
          <cell r="A92" t="str">
            <v>2241.01</v>
          </cell>
          <cell r="B92" t="str">
            <v>　　单位</v>
          </cell>
          <cell r="C92" t="str">
            <v>SU006027</v>
          </cell>
          <cell r="D92" t="str">
            <v>南德认证检测（中国）有限公司</v>
          </cell>
        </row>
        <row r="93">
          <cell r="A93" t="str">
            <v>2241.01</v>
          </cell>
          <cell r="B93" t="str">
            <v>　　单位</v>
          </cell>
          <cell r="C93" t="str">
            <v>SU006029</v>
          </cell>
          <cell r="D93" t="str">
            <v>宁波梅山保税港区爱奇观恒投资管理有限公司</v>
          </cell>
          <cell r="F93">
            <v>190000</v>
          </cell>
        </row>
        <row r="94">
          <cell r="A94" t="str">
            <v>2241.01</v>
          </cell>
          <cell r="B94" t="str">
            <v>　　单位</v>
          </cell>
          <cell r="C94" t="str">
            <v>SU006032</v>
          </cell>
          <cell r="D94" t="str">
            <v>广州旭智投资控股有限责任公司</v>
          </cell>
          <cell r="F94">
            <v>1509439.15</v>
          </cell>
        </row>
        <row r="95">
          <cell r="A95" t="str">
            <v>2241.01</v>
          </cell>
          <cell r="B95" t="str">
            <v>　　单位</v>
          </cell>
          <cell r="C95" t="str">
            <v>SU006033</v>
          </cell>
          <cell r="D95" t="str">
            <v>上海硕昉管理咨询有限公司</v>
          </cell>
          <cell r="F95">
            <v>520000</v>
          </cell>
        </row>
        <row r="96">
          <cell r="A96" t="str">
            <v>2241.01</v>
          </cell>
          <cell r="B96" t="str">
            <v>　　单位</v>
          </cell>
          <cell r="C96" t="str">
            <v>SU006034</v>
          </cell>
          <cell r="D96" t="str">
            <v>北京鉴衡认证中心有限公司</v>
          </cell>
        </row>
        <row r="97">
          <cell r="A97" t="str">
            <v>2241.01</v>
          </cell>
          <cell r="B97" t="str">
            <v>　　单位</v>
          </cell>
          <cell r="C97" t="str">
            <v>SU006035</v>
          </cell>
          <cell r="D97" t="str">
            <v>同道精英（天津）信息技术有限公司</v>
          </cell>
        </row>
        <row r="98">
          <cell r="A98" t="str">
            <v>2241.01</v>
          </cell>
          <cell r="B98" t="str">
            <v>　　单位</v>
          </cell>
          <cell r="C98" t="str">
            <v>SU006037</v>
          </cell>
          <cell r="D98" t="str">
            <v>普华永道咨询（深圳）有限公司</v>
          </cell>
          <cell r="G98">
            <v>45000</v>
          </cell>
          <cell r="H98">
            <v>45000</v>
          </cell>
        </row>
        <row r="99">
          <cell r="A99" t="str">
            <v>2241.02</v>
          </cell>
          <cell r="B99" t="str">
            <v>　　个人</v>
          </cell>
          <cell r="G99">
            <v>31395.200000000001</v>
          </cell>
          <cell r="H99">
            <v>31395.200000000001</v>
          </cell>
        </row>
        <row r="100">
          <cell r="A100" t="str">
            <v>2241.02</v>
          </cell>
          <cell r="B100" t="str">
            <v>　　个人</v>
          </cell>
          <cell r="C100" t="str">
            <v>SP005001</v>
          </cell>
          <cell r="D100" t="str">
            <v>冯冠邦</v>
          </cell>
          <cell r="G100">
            <v>2729.86</v>
          </cell>
          <cell r="H100">
            <v>2729.86</v>
          </cell>
        </row>
        <row r="101">
          <cell r="A101" t="str">
            <v>2241.02</v>
          </cell>
          <cell r="B101" t="str">
            <v>　　个人</v>
          </cell>
          <cell r="C101" t="str">
            <v>SP005011</v>
          </cell>
          <cell r="D101" t="str">
            <v>郭宗林</v>
          </cell>
        </row>
        <row r="102">
          <cell r="A102" t="str">
            <v>2241.02</v>
          </cell>
          <cell r="B102" t="str">
            <v>　　个人</v>
          </cell>
          <cell r="C102" t="str">
            <v>SP005012</v>
          </cell>
          <cell r="D102" t="str">
            <v>吴雅薇</v>
          </cell>
        </row>
        <row r="103">
          <cell r="A103" t="str">
            <v>2241.02</v>
          </cell>
          <cell r="B103" t="str">
            <v>　　个人</v>
          </cell>
          <cell r="C103" t="str">
            <v>SP006002</v>
          </cell>
          <cell r="D103" t="str">
            <v>陈灿</v>
          </cell>
        </row>
        <row r="104">
          <cell r="A104" t="str">
            <v>2241.02</v>
          </cell>
          <cell r="B104" t="str">
            <v>　　个人</v>
          </cell>
          <cell r="C104" t="str">
            <v>SP006003</v>
          </cell>
          <cell r="D104" t="str">
            <v>袁玉杰</v>
          </cell>
          <cell r="G104">
            <v>4332.1400000000003</v>
          </cell>
          <cell r="H104">
            <v>4332.1400000000003</v>
          </cell>
        </row>
        <row r="105">
          <cell r="A105" t="str">
            <v>2241.02</v>
          </cell>
          <cell r="B105" t="str">
            <v>　　个人</v>
          </cell>
          <cell r="C105" t="str">
            <v>SP006004</v>
          </cell>
          <cell r="D105" t="str">
            <v>高焙</v>
          </cell>
        </row>
        <row r="106">
          <cell r="A106" t="str">
            <v>2241.02</v>
          </cell>
          <cell r="B106" t="str">
            <v>　　个人</v>
          </cell>
          <cell r="C106" t="str">
            <v>SP006006</v>
          </cell>
          <cell r="D106" t="str">
            <v>王志强</v>
          </cell>
          <cell r="G106">
            <v>20522.419999999998</v>
          </cell>
          <cell r="H106">
            <v>20522.419999999998</v>
          </cell>
        </row>
        <row r="107">
          <cell r="A107" t="str">
            <v>2241.02</v>
          </cell>
          <cell r="B107" t="str">
            <v>　　个人</v>
          </cell>
          <cell r="C107" t="str">
            <v>SP006007</v>
          </cell>
          <cell r="D107" t="str">
            <v>徐彬</v>
          </cell>
        </row>
        <row r="108">
          <cell r="A108" t="str">
            <v>2241.02</v>
          </cell>
          <cell r="B108" t="str">
            <v>　　个人</v>
          </cell>
          <cell r="C108" t="str">
            <v>SP006008</v>
          </cell>
          <cell r="D108" t="str">
            <v>何梅春</v>
          </cell>
        </row>
        <row r="109">
          <cell r="A109" t="str">
            <v>2241.02</v>
          </cell>
          <cell r="B109" t="str">
            <v>　　个人</v>
          </cell>
          <cell r="C109" t="str">
            <v>SP006009</v>
          </cell>
          <cell r="D109" t="str">
            <v>林秋蝶</v>
          </cell>
        </row>
        <row r="110">
          <cell r="A110" t="str">
            <v>2241.02</v>
          </cell>
          <cell r="B110" t="str">
            <v>　　个人</v>
          </cell>
          <cell r="C110" t="str">
            <v>SP006012</v>
          </cell>
          <cell r="D110" t="str">
            <v>闫凯</v>
          </cell>
          <cell r="G110">
            <v>1040.5999999999999</v>
          </cell>
          <cell r="H110">
            <v>1040.5999999999999</v>
          </cell>
        </row>
        <row r="111">
          <cell r="A111" t="str">
            <v>2241.02</v>
          </cell>
          <cell r="B111" t="str">
            <v>　　个人</v>
          </cell>
          <cell r="C111" t="str">
            <v>SP006013</v>
          </cell>
          <cell r="D111" t="str">
            <v>叶亚峰</v>
          </cell>
        </row>
        <row r="112">
          <cell r="A112" t="str">
            <v>2241.02</v>
          </cell>
          <cell r="B112" t="str">
            <v>　　个人</v>
          </cell>
          <cell r="C112" t="str">
            <v>SP006014</v>
          </cell>
          <cell r="D112" t="str">
            <v>陈斌捷</v>
          </cell>
          <cell r="G112">
            <v>2770.18</v>
          </cell>
          <cell r="H112">
            <v>2770.18</v>
          </cell>
        </row>
        <row r="113">
          <cell r="A113" t="str">
            <v>2601</v>
          </cell>
          <cell r="B113" t="str">
            <v>租赁负债</v>
          </cell>
        </row>
        <row r="114">
          <cell r="A114" t="str">
            <v>2601.01</v>
          </cell>
          <cell r="B114" t="str">
            <v>　　租赁付款额</v>
          </cell>
        </row>
        <row r="115">
          <cell r="A115" t="str">
            <v>2601.01.02</v>
          </cell>
          <cell r="B115" t="str">
            <v>　　　　办公地址</v>
          </cell>
        </row>
        <row r="116">
          <cell r="A116" t="str">
            <v>2601.01.02.01</v>
          </cell>
          <cell r="B116" t="str">
            <v>　　　　　　旭智咨询--鼎和大厦1606</v>
          </cell>
        </row>
        <row r="117">
          <cell r="A117" t="str">
            <v>2601.02</v>
          </cell>
          <cell r="B117" t="str">
            <v>　　未确认融资费用</v>
          </cell>
        </row>
        <row r="118">
          <cell r="A118" t="str">
            <v>2601.02.02</v>
          </cell>
          <cell r="B118" t="str">
            <v>　　　　办公地址</v>
          </cell>
        </row>
        <row r="119">
          <cell r="A119" t="str">
            <v>2601.02.02.01</v>
          </cell>
          <cell r="B119" t="str">
            <v>　　　　　　旭智咨询--鼎和大厦1606</v>
          </cell>
        </row>
        <row r="120">
          <cell r="A120" t="str">
            <v>2601.03</v>
          </cell>
          <cell r="B120" t="str">
            <v>　　一年内到期的非流动负债</v>
          </cell>
        </row>
        <row r="121">
          <cell r="A121" t="str">
            <v>4001</v>
          </cell>
          <cell r="B121" t="str">
            <v>实收资本（股本）</v>
          </cell>
          <cell r="F121">
            <v>2500000</v>
          </cell>
        </row>
        <row r="122">
          <cell r="A122" t="str">
            <v>4001.10</v>
          </cell>
          <cell r="B122" t="str">
            <v>　　旭智资本有限公司</v>
          </cell>
          <cell r="F122">
            <v>2500000</v>
          </cell>
        </row>
        <row r="123">
          <cell r="A123" t="str">
            <v>4101</v>
          </cell>
          <cell r="B123" t="str">
            <v>盈余公积</v>
          </cell>
          <cell r="F123">
            <v>140513.82</v>
          </cell>
        </row>
        <row r="124">
          <cell r="A124" t="str">
            <v>4101.01</v>
          </cell>
          <cell r="B124" t="str">
            <v>　　法定盈余公积</v>
          </cell>
          <cell r="F124">
            <v>140513.82</v>
          </cell>
        </row>
        <row r="125">
          <cell r="A125" t="str">
            <v>4103</v>
          </cell>
          <cell r="B125" t="str">
            <v>本年利润</v>
          </cell>
          <cell r="E125">
            <v>898296.24</v>
          </cell>
          <cell r="G125">
            <v>514081.33</v>
          </cell>
        </row>
        <row r="126">
          <cell r="A126" t="str">
            <v>4104</v>
          </cell>
          <cell r="B126" t="str">
            <v>利润分配</v>
          </cell>
          <cell r="F126">
            <v>1264624.46</v>
          </cell>
        </row>
        <row r="127">
          <cell r="A127" t="str">
            <v>4104.07</v>
          </cell>
          <cell r="B127" t="str">
            <v>　　未分配利润</v>
          </cell>
          <cell r="F127">
            <v>1264624.46</v>
          </cell>
        </row>
        <row r="128">
          <cell r="A128" t="str">
            <v>6001</v>
          </cell>
          <cell r="B128" t="str">
            <v>主营业务收入</v>
          </cell>
        </row>
        <row r="129">
          <cell r="A129" t="str">
            <v>6001.02</v>
          </cell>
          <cell r="B129" t="str">
            <v>　　咨询服务费收入</v>
          </cell>
        </row>
        <row r="130">
          <cell r="A130" t="str">
            <v>6001.02.01</v>
          </cell>
          <cell r="B130" t="str">
            <v>　　　　已开票</v>
          </cell>
        </row>
        <row r="131">
          <cell r="A131" t="str">
            <v>6001.02.01</v>
          </cell>
          <cell r="B131" t="str">
            <v>　　　　已开票</v>
          </cell>
          <cell r="C131" t="str">
            <v>【未录入】</v>
          </cell>
          <cell r="D131" t="str">
            <v>【未录入】</v>
          </cell>
        </row>
        <row r="132">
          <cell r="A132" t="str">
            <v>6115</v>
          </cell>
          <cell r="B132" t="str">
            <v>其他收益</v>
          </cell>
        </row>
        <row r="133">
          <cell r="A133" t="str">
            <v>6115.02</v>
          </cell>
          <cell r="B133" t="str">
            <v>　　个税手续费返还</v>
          </cell>
        </row>
        <row r="134">
          <cell r="A134" t="str">
            <v>6117</v>
          </cell>
          <cell r="B134" t="str">
            <v>资产处置损益</v>
          </cell>
        </row>
        <row r="135">
          <cell r="A135" t="str">
            <v>6405</v>
          </cell>
          <cell r="B135" t="str">
            <v>税金及附加</v>
          </cell>
        </row>
        <row r="136">
          <cell r="A136" t="str">
            <v>6405.02</v>
          </cell>
          <cell r="B136" t="str">
            <v>　　城市维护建设税</v>
          </cell>
        </row>
        <row r="137">
          <cell r="A137" t="str">
            <v>6405.03</v>
          </cell>
          <cell r="B137" t="str">
            <v>　　教育费附加</v>
          </cell>
        </row>
        <row r="138">
          <cell r="A138" t="str">
            <v>6405.04</v>
          </cell>
          <cell r="B138" t="str">
            <v>　　地方教育附加</v>
          </cell>
        </row>
        <row r="139">
          <cell r="A139" t="str">
            <v>6602</v>
          </cell>
          <cell r="B139" t="str">
            <v>管理费用</v>
          </cell>
          <cell r="G139">
            <v>515320.52</v>
          </cell>
          <cell r="H139">
            <v>515320.52</v>
          </cell>
        </row>
        <row r="140">
          <cell r="A140" t="str">
            <v>6602.01</v>
          </cell>
          <cell r="B140" t="str">
            <v>　　工资薪金</v>
          </cell>
          <cell r="G140">
            <v>305100</v>
          </cell>
          <cell r="H140">
            <v>305100</v>
          </cell>
        </row>
        <row r="141">
          <cell r="A141" t="str">
            <v>6602.01.01</v>
          </cell>
          <cell r="B141" t="str">
            <v>　　　　基本工资（专业）</v>
          </cell>
          <cell r="G141">
            <v>300500</v>
          </cell>
          <cell r="H141">
            <v>300500</v>
          </cell>
        </row>
        <row r="142">
          <cell r="A142" t="str">
            <v>6602.01.06</v>
          </cell>
          <cell r="B142" t="str">
            <v>　　　　劳务报酬</v>
          </cell>
          <cell r="G142">
            <v>4600</v>
          </cell>
          <cell r="H142">
            <v>4600</v>
          </cell>
        </row>
        <row r="143">
          <cell r="A143" t="str">
            <v>6602.02</v>
          </cell>
          <cell r="B143" t="str">
            <v>　　职工福利</v>
          </cell>
          <cell r="G143">
            <v>2680.6</v>
          </cell>
          <cell r="H143">
            <v>2680.6</v>
          </cell>
        </row>
        <row r="144">
          <cell r="A144" t="str">
            <v>6602.02.01</v>
          </cell>
          <cell r="B144" t="str">
            <v>　　　　员工福利</v>
          </cell>
          <cell r="G144">
            <v>1040.5999999999999</v>
          </cell>
          <cell r="H144">
            <v>1040.5999999999999</v>
          </cell>
        </row>
        <row r="145">
          <cell r="A145" t="str">
            <v>6602.02.02</v>
          </cell>
          <cell r="B145" t="str">
            <v>　　　　团建活动</v>
          </cell>
          <cell r="G145">
            <v>1640</v>
          </cell>
          <cell r="H145">
            <v>1640</v>
          </cell>
        </row>
        <row r="146">
          <cell r="A146" t="str">
            <v>6602.02.03</v>
          </cell>
          <cell r="B146" t="str">
            <v>　　　　体检费</v>
          </cell>
        </row>
        <row r="147">
          <cell r="A147" t="str">
            <v>6602.03</v>
          </cell>
          <cell r="B147" t="str">
            <v>　　社保公积金</v>
          </cell>
          <cell r="G147">
            <v>85394.29</v>
          </cell>
          <cell r="H147">
            <v>85394.29</v>
          </cell>
        </row>
        <row r="148">
          <cell r="A148" t="str">
            <v>6602.03.01</v>
          </cell>
          <cell r="B148" t="str">
            <v>　　　　员工社保福利</v>
          </cell>
          <cell r="G148">
            <v>54978.13</v>
          </cell>
          <cell r="H148">
            <v>54978.13</v>
          </cell>
        </row>
        <row r="149">
          <cell r="A149" t="str">
            <v>6602.03.02</v>
          </cell>
          <cell r="B149" t="str">
            <v>　　　　员工公积金福利</v>
          </cell>
          <cell r="G149">
            <v>30416.16</v>
          </cell>
          <cell r="H149">
            <v>30416.16</v>
          </cell>
        </row>
        <row r="150">
          <cell r="A150" t="str">
            <v>6602.04</v>
          </cell>
          <cell r="B150" t="str">
            <v>　　咨询及专业服务费</v>
          </cell>
          <cell r="G150">
            <v>243709.44</v>
          </cell>
          <cell r="H150">
            <v>243709.44</v>
          </cell>
        </row>
        <row r="151">
          <cell r="A151" t="str">
            <v>6602.04.02</v>
          </cell>
          <cell r="B151" t="str">
            <v>　　　　审计服务费</v>
          </cell>
        </row>
        <row r="152">
          <cell r="A152" t="str">
            <v>6602.04.03</v>
          </cell>
          <cell r="B152" t="str">
            <v>　　　　顾问费</v>
          </cell>
        </row>
        <row r="153">
          <cell r="A153" t="str">
            <v>6602.04.03</v>
          </cell>
          <cell r="B153" t="str">
            <v>　　　　顾问费</v>
          </cell>
          <cell r="C153" t="str">
            <v>【未录入】</v>
          </cell>
          <cell r="D153" t="str">
            <v>【未录入】</v>
          </cell>
        </row>
        <row r="154">
          <cell r="A154" t="str">
            <v>6602.04.03</v>
          </cell>
          <cell r="B154" t="str">
            <v>　　　　顾问费</v>
          </cell>
          <cell r="C154" t="str">
            <v>CI006</v>
          </cell>
          <cell r="D154" t="str">
            <v>旭智咨询</v>
          </cell>
        </row>
        <row r="155">
          <cell r="A155" t="str">
            <v>6602.04.04</v>
          </cell>
          <cell r="B155" t="str">
            <v>　　　　税务服务费</v>
          </cell>
          <cell r="G155">
            <v>42452.83</v>
          </cell>
          <cell r="H155">
            <v>42452.83</v>
          </cell>
        </row>
        <row r="156">
          <cell r="A156" t="str">
            <v>6602.04.05</v>
          </cell>
          <cell r="B156" t="str">
            <v>　　　　招聘服务费</v>
          </cell>
        </row>
        <row r="157">
          <cell r="A157" t="str">
            <v>6602.04.06</v>
          </cell>
          <cell r="B157" t="str">
            <v>　　　　法律服务费</v>
          </cell>
          <cell r="G157">
            <v>28301.89</v>
          </cell>
          <cell r="H157">
            <v>28301.89</v>
          </cell>
        </row>
        <row r="158">
          <cell r="A158" t="str">
            <v>6602.04.06</v>
          </cell>
          <cell r="B158" t="str">
            <v>　　　　法律服务费</v>
          </cell>
          <cell r="C158" t="str">
            <v>CI005</v>
          </cell>
          <cell r="D158" t="str">
            <v>旭智私募</v>
          </cell>
          <cell r="G158">
            <v>28301.89</v>
          </cell>
          <cell r="H158">
            <v>28301.89</v>
          </cell>
        </row>
        <row r="159">
          <cell r="A159" t="str">
            <v>6602.04.07</v>
          </cell>
          <cell r="B159" t="str">
            <v>　　　　人力资源服务费</v>
          </cell>
          <cell r="G159">
            <v>2200</v>
          </cell>
          <cell r="H159">
            <v>2200</v>
          </cell>
        </row>
        <row r="160">
          <cell r="A160" t="str">
            <v>6602.04.08</v>
          </cell>
          <cell r="B160" t="str">
            <v>　　　　背景调查费</v>
          </cell>
        </row>
        <row r="161">
          <cell r="A161" t="str">
            <v>6602.04.11</v>
          </cell>
          <cell r="B161" t="str">
            <v>　　　　技术服务费</v>
          </cell>
          <cell r="G161">
            <v>150943.4</v>
          </cell>
          <cell r="H161">
            <v>150943.4</v>
          </cell>
        </row>
        <row r="162">
          <cell r="A162" t="str">
            <v>6602.04.11</v>
          </cell>
          <cell r="B162" t="str">
            <v>　　　　技术服务费</v>
          </cell>
          <cell r="C162" t="str">
            <v>CI002</v>
          </cell>
          <cell r="D162" t="str">
            <v>旭智富能</v>
          </cell>
          <cell r="G162">
            <v>150943.4</v>
          </cell>
          <cell r="H162">
            <v>150943.4</v>
          </cell>
        </row>
        <row r="163">
          <cell r="A163" t="str">
            <v>6602.04.99</v>
          </cell>
          <cell r="B163" t="str">
            <v>　　　　其他</v>
          </cell>
          <cell r="G163">
            <v>19811.32</v>
          </cell>
          <cell r="H163">
            <v>19811.32</v>
          </cell>
        </row>
        <row r="164">
          <cell r="A164" t="str">
            <v>6602.04.99</v>
          </cell>
          <cell r="B164" t="str">
            <v>　　　　其他</v>
          </cell>
          <cell r="C164" t="str">
            <v>【未录入】</v>
          </cell>
          <cell r="D164" t="str">
            <v>【未录入】</v>
          </cell>
        </row>
        <row r="165">
          <cell r="A165" t="str">
            <v>6602.04.99</v>
          </cell>
          <cell r="B165" t="str">
            <v>　　　　其他</v>
          </cell>
          <cell r="C165" t="str">
            <v>CI006</v>
          </cell>
          <cell r="D165" t="str">
            <v>旭智咨询</v>
          </cell>
          <cell r="G165">
            <v>19811.32</v>
          </cell>
          <cell r="H165">
            <v>19811.32</v>
          </cell>
        </row>
        <row r="166">
          <cell r="A166" t="str">
            <v>6602.05</v>
          </cell>
          <cell r="B166" t="str">
            <v>　　占用费</v>
          </cell>
        </row>
        <row r="167">
          <cell r="A167" t="str">
            <v>6602.05.03</v>
          </cell>
          <cell r="B167" t="str">
            <v>　　　　电费</v>
          </cell>
        </row>
        <row r="168">
          <cell r="A168" t="str">
            <v>6602.05.06</v>
          </cell>
          <cell r="B168" t="str">
            <v>　　　　装修费</v>
          </cell>
        </row>
        <row r="169">
          <cell r="A169" t="str">
            <v>6602.05.99</v>
          </cell>
          <cell r="B169" t="str">
            <v>　　　　其他</v>
          </cell>
        </row>
        <row r="170">
          <cell r="A170" t="str">
            <v>6602.06</v>
          </cell>
          <cell r="B170" t="str">
            <v>　　业务招待费</v>
          </cell>
          <cell r="G170">
            <v>32128.75</v>
          </cell>
          <cell r="H170">
            <v>32128.75</v>
          </cell>
        </row>
        <row r="171">
          <cell r="A171" t="str">
            <v>6602.06</v>
          </cell>
          <cell r="B171" t="str">
            <v>　　业务招待费</v>
          </cell>
          <cell r="C171" t="str">
            <v>CI002</v>
          </cell>
          <cell r="D171" t="str">
            <v>旭智富能</v>
          </cell>
          <cell r="G171">
            <v>32128.75</v>
          </cell>
          <cell r="H171">
            <v>32128.75</v>
          </cell>
        </row>
        <row r="172">
          <cell r="A172" t="str">
            <v>6602.08</v>
          </cell>
          <cell r="B172" t="str">
            <v>　　事务费用</v>
          </cell>
          <cell r="G172">
            <v>3740.36</v>
          </cell>
          <cell r="H172">
            <v>3740.36</v>
          </cell>
        </row>
        <row r="173">
          <cell r="A173" t="str">
            <v>6602.08.01</v>
          </cell>
          <cell r="B173" t="str">
            <v>　　　　通信费</v>
          </cell>
          <cell r="G173">
            <v>1990.9</v>
          </cell>
          <cell r="H173">
            <v>1990.9</v>
          </cell>
        </row>
        <row r="174">
          <cell r="A174" t="str">
            <v>6602.08.01</v>
          </cell>
          <cell r="B174" t="str">
            <v>　　　　通信费</v>
          </cell>
          <cell r="C174" t="str">
            <v>【未录入】</v>
          </cell>
          <cell r="D174" t="str">
            <v>【未录入】</v>
          </cell>
        </row>
        <row r="175">
          <cell r="A175" t="str">
            <v>6602.08.01</v>
          </cell>
          <cell r="B175" t="str">
            <v>　　　　通信费</v>
          </cell>
          <cell r="C175" t="str">
            <v>CI002</v>
          </cell>
          <cell r="D175" t="str">
            <v>旭智富能</v>
          </cell>
          <cell r="G175">
            <v>1931.9</v>
          </cell>
          <cell r="H175">
            <v>1931.9</v>
          </cell>
        </row>
        <row r="176">
          <cell r="A176" t="str">
            <v>6602.08.01</v>
          </cell>
          <cell r="B176" t="str">
            <v>　　　　通信费</v>
          </cell>
          <cell r="C176" t="str">
            <v>CI006</v>
          </cell>
          <cell r="D176" t="str">
            <v>旭智咨询</v>
          </cell>
          <cell r="G176">
            <v>59</v>
          </cell>
          <cell r="H176">
            <v>59</v>
          </cell>
        </row>
        <row r="177">
          <cell r="A177" t="str">
            <v>6602.08.03</v>
          </cell>
          <cell r="B177" t="str">
            <v>　　　　办公用品</v>
          </cell>
          <cell r="G177">
            <v>234.46</v>
          </cell>
          <cell r="H177">
            <v>234.46</v>
          </cell>
        </row>
        <row r="178">
          <cell r="A178" t="str">
            <v>6602.08.03</v>
          </cell>
          <cell r="B178" t="str">
            <v>　　　　办公用品</v>
          </cell>
          <cell r="C178" t="str">
            <v>【未录入】</v>
          </cell>
          <cell r="D178" t="str">
            <v>【未录入】</v>
          </cell>
        </row>
        <row r="179">
          <cell r="A179" t="str">
            <v>6602.08.03</v>
          </cell>
          <cell r="B179" t="str">
            <v>　　　　办公用品</v>
          </cell>
          <cell r="C179" t="str">
            <v>CI002</v>
          </cell>
          <cell r="D179" t="str">
            <v>旭智富能</v>
          </cell>
          <cell r="G179">
            <v>234.46</v>
          </cell>
          <cell r="H179">
            <v>234.46</v>
          </cell>
        </row>
        <row r="180">
          <cell r="A180" t="str">
            <v>6602.08.03</v>
          </cell>
          <cell r="B180" t="str">
            <v>　　　　办公用品</v>
          </cell>
          <cell r="C180" t="str">
            <v>CI006</v>
          </cell>
          <cell r="D180" t="str">
            <v>旭智咨询</v>
          </cell>
        </row>
        <row r="181">
          <cell r="A181" t="str">
            <v>6602.08.05</v>
          </cell>
          <cell r="B181" t="str">
            <v>　　　　邮费/邮递费</v>
          </cell>
          <cell r="G181">
            <v>515</v>
          </cell>
          <cell r="H181">
            <v>515</v>
          </cell>
        </row>
        <row r="182">
          <cell r="A182" t="str">
            <v>6602.08.05</v>
          </cell>
          <cell r="B182" t="str">
            <v>　　　　邮费/邮递费</v>
          </cell>
          <cell r="C182" t="str">
            <v>【未录入】</v>
          </cell>
          <cell r="D182" t="str">
            <v>【未录入】</v>
          </cell>
        </row>
        <row r="183">
          <cell r="A183" t="str">
            <v>6602.08.05</v>
          </cell>
          <cell r="B183" t="str">
            <v>　　　　邮费/邮递费</v>
          </cell>
          <cell r="C183" t="str">
            <v>CI006</v>
          </cell>
          <cell r="D183" t="str">
            <v>旭智咨询</v>
          </cell>
          <cell r="G183">
            <v>515</v>
          </cell>
          <cell r="H183">
            <v>515</v>
          </cell>
        </row>
        <row r="184">
          <cell r="A184" t="str">
            <v>6602.08.08</v>
          </cell>
          <cell r="B184" t="str">
            <v>　　　　软件使用费</v>
          </cell>
        </row>
        <row r="185">
          <cell r="A185" t="str">
            <v>6602.08.08</v>
          </cell>
          <cell r="B185" t="str">
            <v>　　　　软件使用费</v>
          </cell>
          <cell r="C185" t="str">
            <v>CI006</v>
          </cell>
          <cell r="D185" t="str">
            <v>旭智咨询</v>
          </cell>
        </row>
        <row r="186">
          <cell r="A186" t="str">
            <v>6602.08.99</v>
          </cell>
          <cell r="B186" t="str">
            <v>　　　　其他</v>
          </cell>
          <cell r="G186">
            <v>1000</v>
          </cell>
          <cell r="H186">
            <v>1000</v>
          </cell>
        </row>
        <row r="187">
          <cell r="A187" t="str">
            <v>6602.08.99</v>
          </cell>
          <cell r="B187" t="str">
            <v>　　　　其他</v>
          </cell>
          <cell r="C187" t="str">
            <v>【未录入】</v>
          </cell>
          <cell r="D187" t="str">
            <v>【未录入】</v>
          </cell>
        </row>
        <row r="188">
          <cell r="A188" t="str">
            <v>6602.08.99</v>
          </cell>
          <cell r="B188" t="str">
            <v>　　　　其他</v>
          </cell>
          <cell r="C188" t="str">
            <v>CI002</v>
          </cell>
          <cell r="D188" t="str">
            <v>旭智富能</v>
          </cell>
          <cell r="G188">
            <v>1000</v>
          </cell>
          <cell r="H188">
            <v>1000</v>
          </cell>
        </row>
        <row r="189">
          <cell r="A189" t="str">
            <v>6602.08.99</v>
          </cell>
          <cell r="B189" t="str">
            <v>　　　　其他</v>
          </cell>
          <cell r="C189" t="str">
            <v>CI006</v>
          </cell>
          <cell r="D189" t="str">
            <v>旭智咨询</v>
          </cell>
        </row>
        <row r="190">
          <cell r="A190" t="str">
            <v>6602.09</v>
          </cell>
          <cell r="B190" t="str">
            <v>　　差旅费</v>
          </cell>
          <cell r="G190">
            <v>365248.16</v>
          </cell>
          <cell r="H190">
            <v>365248.16</v>
          </cell>
        </row>
        <row r="191">
          <cell r="A191" t="str">
            <v>6602.09.01</v>
          </cell>
          <cell r="B191" t="str">
            <v>　　　　住宿费</v>
          </cell>
          <cell r="G191">
            <v>136868.25</v>
          </cell>
          <cell r="H191">
            <v>136868.25</v>
          </cell>
        </row>
        <row r="192">
          <cell r="A192" t="str">
            <v>6602.09.01</v>
          </cell>
          <cell r="B192" t="str">
            <v>　　　　住宿费</v>
          </cell>
          <cell r="C192" t="str">
            <v>【未录入】</v>
          </cell>
          <cell r="D192" t="str">
            <v>【未录入】</v>
          </cell>
        </row>
        <row r="193">
          <cell r="A193" t="str">
            <v>6602.09.01</v>
          </cell>
          <cell r="B193" t="str">
            <v>　　　　住宿费</v>
          </cell>
          <cell r="C193" t="str">
            <v>CI002</v>
          </cell>
          <cell r="D193" t="str">
            <v>旭智富能</v>
          </cell>
          <cell r="G193">
            <v>131509.63</v>
          </cell>
          <cell r="H193">
            <v>131509.63</v>
          </cell>
        </row>
        <row r="194">
          <cell r="A194" t="str">
            <v>6602.09.01</v>
          </cell>
          <cell r="B194" t="str">
            <v>　　　　住宿费</v>
          </cell>
          <cell r="C194" t="str">
            <v>CI005</v>
          </cell>
          <cell r="D194" t="str">
            <v>旭智私募</v>
          </cell>
          <cell r="G194">
            <v>5358.62</v>
          </cell>
          <cell r="H194">
            <v>5358.62</v>
          </cell>
        </row>
        <row r="195">
          <cell r="A195" t="str">
            <v>6602.09.02</v>
          </cell>
          <cell r="B195" t="str">
            <v>　　　　伙食费</v>
          </cell>
          <cell r="G195">
            <v>16439.099999999999</v>
          </cell>
          <cell r="H195">
            <v>16439.099999999999</v>
          </cell>
        </row>
        <row r="196">
          <cell r="A196" t="str">
            <v>6602.09.02</v>
          </cell>
          <cell r="B196" t="str">
            <v>　　　　伙食费</v>
          </cell>
          <cell r="C196" t="str">
            <v>【未录入】</v>
          </cell>
          <cell r="D196" t="str">
            <v>【未录入】</v>
          </cell>
        </row>
        <row r="197">
          <cell r="A197" t="str">
            <v>6602.09.02</v>
          </cell>
          <cell r="B197" t="str">
            <v>　　　　伙食费</v>
          </cell>
          <cell r="C197" t="str">
            <v>CI002</v>
          </cell>
          <cell r="D197" t="str">
            <v>旭智富能</v>
          </cell>
          <cell r="G197">
            <v>16439.099999999999</v>
          </cell>
          <cell r="H197">
            <v>16439.099999999999</v>
          </cell>
        </row>
        <row r="198">
          <cell r="A198" t="str">
            <v>6602.09.03</v>
          </cell>
          <cell r="B198" t="str">
            <v>　　　　地面交通费</v>
          </cell>
          <cell r="G198">
            <v>80776.179999999993</v>
          </cell>
          <cell r="H198">
            <v>80776.179999999993</v>
          </cell>
        </row>
        <row r="199">
          <cell r="A199" t="str">
            <v>6602.09.03</v>
          </cell>
          <cell r="B199" t="str">
            <v>　　　　地面交通费</v>
          </cell>
          <cell r="C199" t="str">
            <v>【未录入】</v>
          </cell>
          <cell r="D199" t="str">
            <v>【未录入】</v>
          </cell>
        </row>
        <row r="200">
          <cell r="A200" t="str">
            <v>6602.09.03</v>
          </cell>
          <cell r="B200" t="str">
            <v>　　　　地面交通费</v>
          </cell>
          <cell r="C200" t="str">
            <v>CI002</v>
          </cell>
          <cell r="D200" t="str">
            <v>旭智富能</v>
          </cell>
          <cell r="G200">
            <v>77157.119999999995</v>
          </cell>
          <cell r="H200">
            <v>77157.119999999995</v>
          </cell>
        </row>
        <row r="201">
          <cell r="A201" t="str">
            <v>6602.09.03</v>
          </cell>
          <cell r="B201" t="str">
            <v>　　　　地面交通费</v>
          </cell>
          <cell r="C201" t="str">
            <v>CI005</v>
          </cell>
          <cell r="D201" t="str">
            <v>旭智私募</v>
          </cell>
          <cell r="G201">
            <v>506.68</v>
          </cell>
          <cell r="H201">
            <v>506.68</v>
          </cell>
        </row>
        <row r="202">
          <cell r="A202" t="str">
            <v>6602.09.03</v>
          </cell>
          <cell r="B202" t="str">
            <v>　　　　地面交通费</v>
          </cell>
          <cell r="C202" t="str">
            <v>CI006</v>
          </cell>
          <cell r="D202" t="str">
            <v>旭智咨询</v>
          </cell>
          <cell r="G202">
            <v>3112.38</v>
          </cell>
          <cell r="H202">
            <v>3112.38</v>
          </cell>
        </row>
        <row r="203">
          <cell r="A203" t="str">
            <v>6602.09.04</v>
          </cell>
          <cell r="B203" t="str">
            <v>　　　　空中交通费</v>
          </cell>
          <cell r="G203">
            <v>122384.56</v>
          </cell>
          <cell r="H203">
            <v>122384.56</v>
          </cell>
        </row>
        <row r="204">
          <cell r="A204" t="str">
            <v>6602.09.04</v>
          </cell>
          <cell r="B204" t="str">
            <v>　　　　空中交通费</v>
          </cell>
          <cell r="C204" t="str">
            <v>【未录入】</v>
          </cell>
          <cell r="D204" t="str">
            <v>【未录入】</v>
          </cell>
        </row>
        <row r="205">
          <cell r="A205" t="str">
            <v>6602.09.04</v>
          </cell>
          <cell r="B205" t="str">
            <v>　　　　空中交通费</v>
          </cell>
          <cell r="C205" t="str">
            <v>CI002</v>
          </cell>
          <cell r="D205" t="str">
            <v>旭智富能</v>
          </cell>
          <cell r="G205">
            <v>113365.72</v>
          </cell>
          <cell r="H205">
            <v>113365.72</v>
          </cell>
        </row>
        <row r="206">
          <cell r="A206" t="str">
            <v>6602.09.04</v>
          </cell>
          <cell r="B206" t="str">
            <v>　　　　空中交通费</v>
          </cell>
          <cell r="C206" t="str">
            <v>CI005</v>
          </cell>
          <cell r="D206" t="str">
            <v>旭智私募</v>
          </cell>
          <cell r="G206">
            <v>9018.84</v>
          </cell>
          <cell r="H206">
            <v>9018.84</v>
          </cell>
        </row>
        <row r="207">
          <cell r="A207" t="str">
            <v>6602.09.05</v>
          </cell>
          <cell r="B207" t="str">
            <v>　　　　租车</v>
          </cell>
          <cell r="G207">
            <v>9761.89</v>
          </cell>
          <cell r="H207">
            <v>9761.89</v>
          </cell>
        </row>
        <row r="208">
          <cell r="A208" t="str">
            <v>6602.09.05</v>
          </cell>
          <cell r="B208" t="str">
            <v>　　　　租车</v>
          </cell>
          <cell r="C208" t="str">
            <v>CI002</v>
          </cell>
          <cell r="D208" t="str">
            <v>旭智富能</v>
          </cell>
          <cell r="G208">
            <v>9761.89</v>
          </cell>
          <cell r="H208">
            <v>9761.89</v>
          </cell>
        </row>
        <row r="209">
          <cell r="A209" t="str">
            <v>6602.09.06</v>
          </cell>
          <cell r="B209" t="str">
            <v>　　　　其他汽车费用</v>
          </cell>
          <cell r="G209">
            <v>2378.1799999999998</v>
          </cell>
          <cell r="H209">
            <v>2378.1799999999998</v>
          </cell>
        </row>
        <row r="210">
          <cell r="A210" t="str">
            <v>6602.09.06</v>
          </cell>
          <cell r="B210" t="str">
            <v>　　　　其他汽车费用</v>
          </cell>
          <cell r="C210" t="str">
            <v>CI002</v>
          </cell>
          <cell r="D210" t="str">
            <v>旭智富能</v>
          </cell>
          <cell r="G210">
            <v>2378.1799999999998</v>
          </cell>
          <cell r="H210">
            <v>2378.1799999999998</v>
          </cell>
        </row>
        <row r="211">
          <cell r="A211" t="str">
            <v>6602.09.99</v>
          </cell>
          <cell r="B211" t="str">
            <v>　　　　其他</v>
          </cell>
          <cell r="G211">
            <v>-3360</v>
          </cell>
          <cell r="H211">
            <v>-3360</v>
          </cell>
        </row>
        <row r="212">
          <cell r="A212" t="str">
            <v>6602.09.99</v>
          </cell>
          <cell r="B212" t="str">
            <v>　　　　其他</v>
          </cell>
          <cell r="C212" t="str">
            <v>CI006</v>
          </cell>
          <cell r="D212" t="str">
            <v>旭智咨询</v>
          </cell>
          <cell r="G212">
            <v>-3360</v>
          </cell>
          <cell r="H212">
            <v>-3360</v>
          </cell>
        </row>
        <row r="213">
          <cell r="A213" t="str">
            <v>6602.10</v>
          </cell>
          <cell r="B213" t="str">
            <v>　　折旧费</v>
          </cell>
          <cell r="G213">
            <v>2710.46</v>
          </cell>
          <cell r="H213">
            <v>2710.46</v>
          </cell>
        </row>
        <row r="214">
          <cell r="A214" t="str">
            <v>6602.10.01</v>
          </cell>
          <cell r="B214" t="str">
            <v>　　　　电子设备</v>
          </cell>
          <cell r="G214">
            <v>2032.37</v>
          </cell>
          <cell r="H214">
            <v>2032.37</v>
          </cell>
        </row>
        <row r="215">
          <cell r="A215" t="str">
            <v>6602.10.04</v>
          </cell>
          <cell r="B215" t="str">
            <v>　　　　家具设备</v>
          </cell>
          <cell r="G215">
            <v>678.09</v>
          </cell>
          <cell r="H215">
            <v>678.09</v>
          </cell>
        </row>
        <row r="216">
          <cell r="A216" t="str">
            <v>6602.11</v>
          </cell>
          <cell r="B216" t="str">
            <v>　　筹建费</v>
          </cell>
          <cell r="G216">
            <v>-525391.54</v>
          </cell>
          <cell r="H216">
            <v>-525391.54</v>
          </cell>
        </row>
        <row r="217">
          <cell r="A217" t="str">
            <v>6602.11.01</v>
          </cell>
          <cell r="B217" t="str">
            <v>　　　　咨询及专业服务费</v>
          </cell>
          <cell r="G217">
            <v>-179245.29</v>
          </cell>
          <cell r="H217">
            <v>-179245.29</v>
          </cell>
        </row>
        <row r="218">
          <cell r="A218" t="str">
            <v>6602.11.01.06</v>
          </cell>
          <cell r="B218" t="str">
            <v>　　　　　　法律服务费</v>
          </cell>
          <cell r="G218">
            <v>-28301.89</v>
          </cell>
          <cell r="H218">
            <v>-28301.89</v>
          </cell>
        </row>
        <row r="219">
          <cell r="A219" t="str">
            <v>6602.11.01.06</v>
          </cell>
          <cell r="B219" t="str">
            <v>　　　　　　法律服务费</v>
          </cell>
          <cell r="C219" t="str">
            <v>CI001</v>
          </cell>
          <cell r="D219" t="str">
            <v>旭智基金Ⅱ筹建费</v>
          </cell>
          <cell r="G219">
            <v>-28301.89</v>
          </cell>
          <cell r="H219">
            <v>-28301.89</v>
          </cell>
        </row>
        <row r="220">
          <cell r="A220" t="str">
            <v>6602.11.01.11</v>
          </cell>
          <cell r="B220" t="str">
            <v>　　　　　　技术尽调费</v>
          </cell>
          <cell r="G220">
            <v>-150943.4</v>
          </cell>
          <cell r="H220">
            <v>-150943.4</v>
          </cell>
        </row>
        <row r="221">
          <cell r="A221" t="str">
            <v>6602.11.01.11</v>
          </cell>
          <cell r="B221" t="str">
            <v>　　　　　　技术尽调费</v>
          </cell>
          <cell r="C221" t="str">
            <v>CI002</v>
          </cell>
          <cell r="D221" t="str">
            <v>旭智富能</v>
          </cell>
          <cell r="G221">
            <v>-150943.4</v>
          </cell>
          <cell r="H221">
            <v>-150943.4</v>
          </cell>
        </row>
        <row r="222">
          <cell r="A222" t="str">
            <v>6602.11.02</v>
          </cell>
          <cell r="B222" t="str">
            <v>　　　　业务招待费</v>
          </cell>
          <cell r="G222">
            <v>-30227.75</v>
          </cell>
          <cell r="H222">
            <v>-30227.75</v>
          </cell>
        </row>
        <row r="223">
          <cell r="A223" t="str">
            <v>6602.11.02</v>
          </cell>
          <cell r="B223" t="str">
            <v>　　　　业务招待费</v>
          </cell>
          <cell r="C223" t="str">
            <v>CI001</v>
          </cell>
          <cell r="D223" t="str">
            <v>旭智基金Ⅱ筹建费</v>
          </cell>
          <cell r="G223">
            <v>23396</v>
          </cell>
          <cell r="H223">
            <v>23396</v>
          </cell>
        </row>
        <row r="224">
          <cell r="A224" t="str">
            <v>6602.11.02</v>
          </cell>
          <cell r="B224" t="str">
            <v>　　　　业务招待费</v>
          </cell>
          <cell r="C224" t="str">
            <v>CI002</v>
          </cell>
          <cell r="D224" t="str">
            <v>旭智富能</v>
          </cell>
          <cell r="G224">
            <v>-53623.75</v>
          </cell>
          <cell r="H224">
            <v>-53623.75</v>
          </cell>
        </row>
        <row r="225">
          <cell r="A225" t="str">
            <v>6602.11.04</v>
          </cell>
          <cell r="B225" t="str">
            <v>　　　　事务费用</v>
          </cell>
          <cell r="G225">
            <v>-3166.36</v>
          </cell>
          <cell r="H225">
            <v>-3166.36</v>
          </cell>
        </row>
        <row r="226">
          <cell r="A226" t="str">
            <v>6602.11.04.01</v>
          </cell>
          <cell r="B226" t="str">
            <v>　　　　　　通信费</v>
          </cell>
          <cell r="G226">
            <v>-1931.9</v>
          </cell>
          <cell r="H226">
            <v>-1931.9</v>
          </cell>
        </row>
        <row r="227">
          <cell r="A227" t="str">
            <v>6602.11.04.01</v>
          </cell>
          <cell r="B227" t="str">
            <v>　　　　　　通信费</v>
          </cell>
          <cell r="C227" t="str">
            <v>CI002</v>
          </cell>
          <cell r="D227" t="str">
            <v>旭智富能</v>
          </cell>
          <cell r="G227">
            <v>-1931.9</v>
          </cell>
          <cell r="H227">
            <v>-1931.9</v>
          </cell>
        </row>
        <row r="228">
          <cell r="A228" t="str">
            <v>6602.11.04.03</v>
          </cell>
          <cell r="B228" t="str">
            <v>　　　　　　办公用品</v>
          </cell>
          <cell r="G228">
            <v>-234.46</v>
          </cell>
          <cell r="H228">
            <v>-234.46</v>
          </cell>
        </row>
        <row r="229">
          <cell r="A229" t="str">
            <v>6602.11.04.03</v>
          </cell>
          <cell r="B229" t="str">
            <v>　　　　　　办公用品</v>
          </cell>
          <cell r="C229" t="str">
            <v>CI002</v>
          </cell>
          <cell r="D229" t="str">
            <v>旭智富能</v>
          </cell>
          <cell r="G229">
            <v>-234.46</v>
          </cell>
          <cell r="H229">
            <v>-234.46</v>
          </cell>
        </row>
        <row r="230">
          <cell r="A230" t="str">
            <v>6602.11.04.99</v>
          </cell>
          <cell r="B230" t="str">
            <v>　　　　　　其他</v>
          </cell>
          <cell r="G230">
            <v>-1000</v>
          </cell>
          <cell r="H230">
            <v>-1000</v>
          </cell>
        </row>
        <row r="231">
          <cell r="A231" t="str">
            <v>6602.11.04.99</v>
          </cell>
          <cell r="B231" t="str">
            <v>　　　　　　其他</v>
          </cell>
          <cell r="C231" t="str">
            <v>CI002</v>
          </cell>
          <cell r="D231" t="str">
            <v>旭智富能</v>
          </cell>
          <cell r="G231">
            <v>-1000</v>
          </cell>
          <cell r="H231">
            <v>-1000</v>
          </cell>
        </row>
        <row r="232">
          <cell r="A232" t="str">
            <v>6602.11.05</v>
          </cell>
          <cell r="B232" t="str">
            <v>　　　　差旅费</v>
          </cell>
          <cell r="G232">
            <v>-312752.14</v>
          </cell>
          <cell r="H232">
            <v>-312752.14</v>
          </cell>
        </row>
        <row r="233">
          <cell r="A233" t="str">
            <v>6602.11.05.01</v>
          </cell>
          <cell r="B233" t="str">
            <v>　　　　　　住宿费</v>
          </cell>
          <cell r="G233">
            <v>-116556.32</v>
          </cell>
          <cell r="H233">
            <v>-116556.32</v>
          </cell>
        </row>
        <row r="234">
          <cell r="A234" t="str">
            <v>6602.11.05.01</v>
          </cell>
          <cell r="B234" t="str">
            <v>　　　　　　住宿费</v>
          </cell>
          <cell r="C234" t="str">
            <v>CI002</v>
          </cell>
          <cell r="D234" t="str">
            <v>旭智富能</v>
          </cell>
          <cell r="G234">
            <v>-111197.7</v>
          </cell>
          <cell r="H234">
            <v>-111197.7</v>
          </cell>
        </row>
        <row r="235">
          <cell r="A235" t="str">
            <v>6602.11.05.01</v>
          </cell>
          <cell r="B235" t="str">
            <v>　　　　　　住宿费</v>
          </cell>
          <cell r="C235" t="str">
            <v>CI005</v>
          </cell>
          <cell r="D235" t="str">
            <v>旭智私募</v>
          </cell>
          <cell r="G235">
            <v>-5358.62</v>
          </cell>
          <cell r="H235">
            <v>-5358.62</v>
          </cell>
        </row>
        <row r="236">
          <cell r="A236" t="str">
            <v>6602.11.05.02</v>
          </cell>
          <cell r="B236" t="str">
            <v>　　　　　　伙食费</v>
          </cell>
          <cell r="G236">
            <v>-13561.87</v>
          </cell>
          <cell r="H236">
            <v>-13561.87</v>
          </cell>
        </row>
        <row r="237">
          <cell r="A237" t="str">
            <v>6602.11.05.02</v>
          </cell>
          <cell r="B237" t="str">
            <v>　　　　　　伙食费</v>
          </cell>
          <cell r="C237" t="str">
            <v>CI002</v>
          </cell>
          <cell r="D237" t="str">
            <v>旭智富能</v>
          </cell>
          <cell r="G237">
            <v>-13561.87</v>
          </cell>
          <cell r="H237">
            <v>-13561.87</v>
          </cell>
        </row>
        <row r="238">
          <cell r="A238" t="str">
            <v>6602.11.05.03</v>
          </cell>
          <cell r="B238" t="str">
            <v>　　　　　　地面交通费</v>
          </cell>
          <cell r="G238">
            <v>-65265</v>
          </cell>
          <cell r="H238">
            <v>-65265</v>
          </cell>
        </row>
        <row r="239">
          <cell r="A239" t="str">
            <v>6602.11.05.03</v>
          </cell>
          <cell r="B239" t="str">
            <v>　　　　　　地面交通费</v>
          </cell>
          <cell r="C239" t="str">
            <v>CI002</v>
          </cell>
          <cell r="D239" t="str">
            <v>旭智富能</v>
          </cell>
          <cell r="G239">
            <v>-64758.32</v>
          </cell>
          <cell r="H239">
            <v>-64758.32</v>
          </cell>
        </row>
        <row r="240">
          <cell r="A240" t="str">
            <v>6602.11.05.03</v>
          </cell>
          <cell r="B240" t="str">
            <v>　　　　　　地面交通费</v>
          </cell>
          <cell r="C240" t="str">
            <v>CI005</v>
          </cell>
          <cell r="D240" t="str">
            <v>旭智私募</v>
          </cell>
          <cell r="G240">
            <v>-506.68</v>
          </cell>
          <cell r="H240">
            <v>-506.68</v>
          </cell>
        </row>
        <row r="241">
          <cell r="A241" t="str">
            <v>6602.11.05.04</v>
          </cell>
          <cell r="B241" t="str">
            <v>　　　　　　空中交通费</v>
          </cell>
          <cell r="G241">
            <v>-110660.62</v>
          </cell>
          <cell r="H241">
            <v>-110660.62</v>
          </cell>
        </row>
        <row r="242">
          <cell r="A242" t="str">
            <v>6602.11.05.04</v>
          </cell>
          <cell r="B242" t="str">
            <v>　　　　　　空中交通费</v>
          </cell>
          <cell r="C242" t="str">
            <v>CI002</v>
          </cell>
          <cell r="D242" t="str">
            <v>旭智富能</v>
          </cell>
          <cell r="G242">
            <v>-101641.78</v>
          </cell>
          <cell r="H242">
            <v>-101641.78</v>
          </cell>
        </row>
        <row r="243">
          <cell r="A243" t="str">
            <v>6602.11.05.04</v>
          </cell>
          <cell r="B243" t="str">
            <v>　　　　　　空中交通费</v>
          </cell>
          <cell r="C243" t="str">
            <v>CI005</v>
          </cell>
          <cell r="D243" t="str">
            <v>旭智私募</v>
          </cell>
          <cell r="G243">
            <v>-9018.84</v>
          </cell>
          <cell r="H243">
            <v>-9018.84</v>
          </cell>
        </row>
        <row r="244">
          <cell r="A244" t="str">
            <v>6602.11.05.05</v>
          </cell>
          <cell r="B244" t="str">
            <v>　　　　　　租车</v>
          </cell>
          <cell r="G244">
            <v>-8118.15</v>
          </cell>
          <cell r="H244">
            <v>-8118.15</v>
          </cell>
        </row>
        <row r="245">
          <cell r="A245" t="str">
            <v>6602.11.05.05</v>
          </cell>
          <cell r="B245" t="str">
            <v>　　　　　　租车</v>
          </cell>
          <cell r="C245" t="str">
            <v>CI002</v>
          </cell>
          <cell r="D245" t="str">
            <v>旭智富能</v>
          </cell>
          <cell r="G245">
            <v>-8118.15</v>
          </cell>
          <cell r="H245">
            <v>-8118.15</v>
          </cell>
        </row>
        <row r="246">
          <cell r="A246" t="str">
            <v>6602.11.05.06</v>
          </cell>
          <cell r="B246" t="str">
            <v>　　　　　　其他汽车费用</v>
          </cell>
          <cell r="G246">
            <v>-1950.18</v>
          </cell>
          <cell r="H246">
            <v>-1950.18</v>
          </cell>
        </row>
        <row r="247">
          <cell r="A247" t="str">
            <v>6602.11.05.06</v>
          </cell>
          <cell r="B247" t="str">
            <v>　　　　　　其他汽车费用</v>
          </cell>
          <cell r="C247" t="str">
            <v>CI002</v>
          </cell>
          <cell r="D247" t="str">
            <v>旭智富能</v>
          </cell>
          <cell r="G247">
            <v>-1950.18</v>
          </cell>
          <cell r="H247">
            <v>-1950.18</v>
          </cell>
        </row>
        <row r="248">
          <cell r="A248" t="str">
            <v>6602.11.05.99</v>
          </cell>
          <cell r="B248" t="str">
            <v>　　　　　　其他</v>
          </cell>
          <cell r="G248">
            <v>3360</v>
          </cell>
          <cell r="H248">
            <v>3360</v>
          </cell>
        </row>
        <row r="249">
          <cell r="A249" t="str">
            <v>6602.11.05.99</v>
          </cell>
          <cell r="B249" t="str">
            <v>　　　　　　其他</v>
          </cell>
          <cell r="C249" t="str">
            <v>CI005</v>
          </cell>
          <cell r="D249" t="str">
            <v>旭智私募</v>
          </cell>
          <cell r="G249">
            <v>3360</v>
          </cell>
          <cell r="H249">
            <v>3360</v>
          </cell>
        </row>
        <row r="250">
          <cell r="A250" t="str">
            <v>6602.12</v>
          </cell>
          <cell r="B250" t="str">
            <v>　　使用权资产折旧</v>
          </cell>
        </row>
        <row r="251">
          <cell r="A251" t="str">
            <v>6602.12.02</v>
          </cell>
          <cell r="B251" t="str">
            <v>　　　　办公地址</v>
          </cell>
        </row>
        <row r="252">
          <cell r="A252" t="str">
            <v>6602.12.02.01</v>
          </cell>
          <cell r="B252" t="str">
            <v>　　　　　　旭智咨询--鼎和大厦1606</v>
          </cell>
        </row>
        <row r="253">
          <cell r="A253" t="str">
            <v>6602.13</v>
          </cell>
          <cell r="B253" t="str">
            <v>　　物业管理费</v>
          </cell>
        </row>
        <row r="254">
          <cell r="A254" t="str">
            <v>6602.15</v>
          </cell>
          <cell r="B254" t="str">
            <v>　　服务费</v>
          </cell>
        </row>
        <row r="255">
          <cell r="A255" t="str">
            <v>6602.99</v>
          </cell>
          <cell r="B255" t="str">
            <v>　　其他</v>
          </cell>
        </row>
        <row r="256">
          <cell r="A256" t="str">
            <v>6603</v>
          </cell>
          <cell r="B256" t="str">
            <v>财务费用</v>
          </cell>
          <cell r="G256">
            <v>-1239.19</v>
          </cell>
          <cell r="H256">
            <v>-1239.19</v>
          </cell>
        </row>
        <row r="257">
          <cell r="A257" t="str">
            <v>6603.01</v>
          </cell>
          <cell r="B257" t="str">
            <v>　　汇兑损益</v>
          </cell>
          <cell r="G257">
            <v>-96.82</v>
          </cell>
          <cell r="H257">
            <v>-96.82</v>
          </cell>
        </row>
        <row r="258">
          <cell r="A258" t="str">
            <v>6603.02</v>
          </cell>
          <cell r="B258" t="str">
            <v>　　利息费用</v>
          </cell>
        </row>
        <row r="259">
          <cell r="A259" t="str">
            <v>6603.02.02</v>
          </cell>
          <cell r="B259" t="str">
            <v>　　　　办公地址</v>
          </cell>
        </row>
        <row r="260">
          <cell r="A260" t="str">
            <v>6603.02.02.01</v>
          </cell>
          <cell r="B260" t="str">
            <v>　　　　　　旭智咨询--鼎和大厦1606</v>
          </cell>
        </row>
        <row r="261">
          <cell r="A261" t="str">
            <v>6603.03</v>
          </cell>
          <cell r="B261" t="str">
            <v>　　银行手续费</v>
          </cell>
          <cell r="G261">
            <v>106.82</v>
          </cell>
          <cell r="H261">
            <v>106.82</v>
          </cell>
        </row>
        <row r="262">
          <cell r="A262" t="str">
            <v>6603.04</v>
          </cell>
          <cell r="B262" t="str">
            <v>　　利息收入</v>
          </cell>
          <cell r="G262">
            <v>-1249.19</v>
          </cell>
          <cell r="H262">
            <v>-1249.19</v>
          </cell>
        </row>
        <row r="263">
          <cell r="A263" t="str">
            <v>6711</v>
          </cell>
          <cell r="B263" t="str">
            <v>营业外支出</v>
          </cell>
        </row>
        <row r="264">
          <cell r="A264" t="str">
            <v>6711.02</v>
          </cell>
          <cell r="B264" t="str">
            <v>　　非流动资产处置损失</v>
          </cell>
        </row>
        <row r="265">
          <cell r="A265" t="str">
            <v>6801</v>
          </cell>
          <cell r="B265" t="str">
            <v>所得税费用</v>
          </cell>
        </row>
        <row r="266">
          <cell r="A266" t="str">
            <v>6801.01</v>
          </cell>
          <cell r="B266" t="str">
            <v>　　当期所得税费用</v>
          </cell>
        </row>
        <row r="267">
          <cell r="A267" t="str">
            <v>6801.03</v>
          </cell>
          <cell r="B267" t="str">
            <v>　　以前年度所得税费用</v>
          </cell>
        </row>
        <row r="268">
          <cell r="B268" t="str">
            <v>合计</v>
          </cell>
          <cell r="E268">
            <v>6421763.04</v>
          </cell>
          <cell r="F268">
            <v>6355357.96</v>
          </cell>
          <cell r="G268">
            <v>1765114.33</v>
          </cell>
          <cell r="H268">
            <v>1765211.15</v>
          </cell>
        </row>
      </sheetData>
      <sheetData sheetId="9">
        <row r="1">
          <cell r="A1" t="str">
            <v>币别:人民币</v>
          </cell>
          <cell r="B1" t="str">
            <v>账簿:旭智咨询管理（深圳）有限责任公司</v>
          </cell>
          <cell r="C1" t="str">
            <v>期间:2025.10 -- 2025.10</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610171.02</v>
          </cell>
          <cell r="G4">
            <v>105000</v>
          </cell>
          <cell r="H4">
            <v>524289.07999999996</v>
          </cell>
        </row>
        <row r="5">
          <cell r="A5" t="str">
            <v>1002.21</v>
          </cell>
          <cell r="B5" t="str">
            <v>　　【旭智咨询】银行存款账户</v>
          </cell>
          <cell r="E5">
            <v>555463.87</v>
          </cell>
          <cell r="H5">
            <v>418736.11</v>
          </cell>
        </row>
        <row r="6">
          <cell r="A6" t="str">
            <v>1002.21.01</v>
          </cell>
          <cell r="B6" t="str">
            <v>　　　　招商银行账户</v>
          </cell>
          <cell r="E6">
            <v>555463.87</v>
          </cell>
          <cell r="H6">
            <v>418736.11</v>
          </cell>
        </row>
        <row r="7">
          <cell r="A7" t="str">
            <v>1002.21.01.01</v>
          </cell>
          <cell r="B7" t="str">
            <v>　　　　　　【旭智咨询】招商 人民币基本户 0108</v>
          </cell>
          <cell r="E7">
            <v>537582.93999999994</v>
          </cell>
          <cell r="H7">
            <v>418736.11</v>
          </cell>
        </row>
        <row r="8">
          <cell r="A8" t="str">
            <v>1002.21.01.02</v>
          </cell>
          <cell r="B8" t="str">
            <v>　　　　　　【旭智咨询】招商 人民币资本金账户 0202</v>
          </cell>
          <cell r="E8">
            <v>17880.93</v>
          </cell>
        </row>
        <row r="9">
          <cell r="A9" t="str">
            <v>1002.22</v>
          </cell>
          <cell r="B9" t="str">
            <v>　　【旭智咨询北京】银行存款账户</v>
          </cell>
          <cell r="E9">
            <v>54707.15</v>
          </cell>
          <cell r="G9">
            <v>105000</v>
          </cell>
          <cell r="H9">
            <v>105552.97</v>
          </cell>
        </row>
        <row r="10">
          <cell r="A10" t="str">
            <v>1002.22.01</v>
          </cell>
          <cell r="B10" t="str">
            <v>　　　　招商银行账户</v>
          </cell>
          <cell r="E10">
            <v>54707.15</v>
          </cell>
          <cell r="G10">
            <v>105000</v>
          </cell>
          <cell r="H10">
            <v>105552.97</v>
          </cell>
        </row>
        <row r="11">
          <cell r="A11" t="str">
            <v>1002.22.01.01</v>
          </cell>
          <cell r="B11" t="str">
            <v>　　　　　　【旭智咨询北京】人民币基本户 0001</v>
          </cell>
          <cell r="E11">
            <v>54707.15</v>
          </cell>
          <cell r="G11">
            <v>105000</v>
          </cell>
          <cell r="H11">
            <v>105552.97</v>
          </cell>
        </row>
        <row r="12">
          <cell r="A12" t="str">
            <v>1122</v>
          </cell>
          <cell r="B12" t="str">
            <v>应收账款</v>
          </cell>
          <cell r="E12">
            <v>223234.7</v>
          </cell>
        </row>
        <row r="13">
          <cell r="A13" t="str">
            <v>1122.01</v>
          </cell>
          <cell r="B13" t="str">
            <v>　　咨询费收入</v>
          </cell>
          <cell r="E13">
            <v>223234.7</v>
          </cell>
        </row>
        <row r="14">
          <cell r="A14" t="str">
            <v>1122.01</v>
          </cell>
          <cell r="B14" t="str">
            <v>　　咨询费收入</v>
          </cell>
          <cell r="C14" t="str">
            <v>CU003010</v>
          </cell>
          <cell r="D14" t="str">
            <v>旭智富能新能源（深圳）有限责任公司</v>
          </cell>
          <cell r="E14">
            <v>223234.7</v>
          </cell>
        </row>
        <row r="15">
          <cell r="A15" t="str">
            <v>1122.01</v>
          </cell>
          <cell r="B15" t="str">
            <v>　　咨询费收入</v>
          </cell>
          <cell r="C15" t="str">
            <v>CU006001</v>
          </cell>
          <cell r="D15" t="str">
            <v>胜科辉飏新能源（深圳）有限公司</v>
          </cell>
        </row>
        <row r="16">
          <cell r="A16" t="str">
            <v>1123</v>
          </cell>
          <cell r="B16" t="str">
            <v>预付账款</v>
          </cell>
          <cell r="E16">
            <v>9433.9599999999991</v>
          </cell>
        </row>
        <row r="17">
          <cell r="A17" t="str">
            <v>1123.01</v>
          </cell>
          <cell r="B17" t="str">
            <v>　　单位</v>
          </cell>
          <cell r="E17">
            <v>9433.9599999999991</v>
          </cell>
        </row>
        <row r="18">
          <cell r="A18" t="str">
            <v>1123.01</v>
          </cell>
          <cell r="B18" t="str">
            <v>　　单位</v>
          </cell>
          <cell r="C18" t="str">
            <v>SU006011</v>
          </cell>
          <cell r="D18" t="str">
            <v>广州晶东贸易有限公司</v>
          </cell>
        </row>
        <row r="19">
          <cell r="A19" t="str">
            <v>1123.01</v>
          </cell>
          <cell r="B19" t="str">
            <v>　　单位</v>
          </cell>
          <cell r="C19" t="str">
            <v>SU006012</v>
          </cell>
          <cell r="D19" t="str">
            <v>上海携程宏睿国际旅行社有限公司</v>
          </cell>
        </row>
        <row r="20">
          <cell r="A20" t="str">
            <v>1123.01</v>
          </cell>
          <cell r="B20" t="str">
            <v>　　单位</v>
          </cell>
          <cell r="C20" t="str">
            <v>SU006015</v>
          </cell>
          <cell r="D20" t="str">
            <v>成都协企兴企业管理咨询服务有限公司</v>
          </cell>
        </row>
        <row r="21">
          <cell r="A21" t="str">
            <v>1123.01</v>
          </cell>
          <cell r="B21" t="str">
            <v>　　单位</v>
          </cell>
          <cell r="C21" t="str">
            <v>SU006016</v>
          </cell>
          <cell r="D21" t="str">
            <v>爱奇创新投资研究（深圳）有限公司</v>
          </cell>
        </row>
        <row r="22">
          <cell r="A22" t="str">
            <v>1123.01</v>
          </cell>
          <cell r="B22" t="str">
            <v>　　单位</v>
          </cell>
          <cell r="C22" t="str">
            <v>SU006031</v>
          </cell>
          <cell r="D22" t="str">
            <v>深圳市金纳维科技有限公司</v>
          </cell>
          <cell r="E22">
            <v>9433.9599999999991</v>
          </cell>
        </row>
        <row r="23">
          <cell r="A23" t="str">
            <v>1221</v>
          </cell>
          <cell r="B23" t="str">
            <v>其他应收款</v>
          </cell>
          <cell r="E23">
            <v>22319.34</v>
          </cell>
        </row>
        <row r="24">
          <cell r="A24" t="str">
            <v>1221.01</v>
          </cell>
          <cell r="B24" t="str">
            <v>　　单位</v>
          </cell>
          <cell r="E24">
            <v>22319.34</v>
          </cell>
        </row>
        <row r="25">
          <cell r="A25" t="str">
            <v>1221.01</v>
          </cell>
          <cell r="B25" t="str">
            <v>　　单位</v>
          </cell>
          <cell r="C25" t="str">
            <v>CU003010</v>
          </cell>
          <cell r="D25" t="str">
            <v>旭智富能新能源（深圳）有限责任公司</v>
          </cell>
          <cell r="E25">
            <v>4800</v>
          </cell>
        </row>
        <row r="26">
          <cell r="A26" t="str">
            <v>1221.01</v>
          </cell>
          <cell r="B26" t="str">
            <v>　　单位</v>
          </cell>
          <cell r="C26" t="str">
            <v>CU006006</v>
          </cell>
          <cell r="D26" t="str">
            <v>爱奇创新投资研究（深圳）有限公司</v>
          </cell>
          <cell r="E26">
            <v>10000</v>
          </cell>
        </row>
        <row r="27">
          <cell r="A27" t="str">
            <v>1221.01</v>
          </cell>
          <cell r="B27" t="str">
            <v>　　单位</v>
          </cell>
          <cell r="C27" t="str">
            <v>CU006007</v>
          </cell>
          <cell r="D27" t="str">
            <v>深圳旭智私募股权基金管理有限公司</v>
          </cell>
        </row>
        <row r="28">
          <cell r="A28" t="str">
            <v>1221.01</v>
          </cell>
          <cell r="B28" t="str">
            <v>　　单位</v>
          </cell>
          <cell r="C28" t="str">
            <v>CU006008</v>
          </cell>
          <cell r="D28" t="str">
            <v>旭智富联（鹤壁）新能源有限责任公司</v>
          </cell>
          <cell r="E28">
            <v>2180</v>
          </cell>
        </row>
        <row r="29">
          <cell r="A29" t="str">
            <v>1221.01</v>
          </cell>
          <cell r="B29" t="str">
            <v>　　单位</v>
          </cell>
          <cell r="C29" t="str">
            <v>CU006009</v>
          </cell>
          <cell r="D29" t="str">
            <v>旭智兴邦（潍坊）农业高新科技有限公司</v>
          </cell>
        </row>
        <row r="30">
          <cell r="A30" t="str">
            <v>1221.01</v>
          </cell>
          <cell r="B30" t="str">
            <v>　　单位</v>
          </cell>
          <cell r="C30" t="str">
            <v>CU010001</v>
          </cell>
          <cell r="D30" t="str">
            <v>郴州市苏仙区景叶新能源有限责任公司</v>
          </cell>
          <cell r="E30">
            <v>5339.34</v>
          </cell>
        </row>
        <row r="31">
          <cell r="A31" t="str">
            <v>1511</v>
          </cell>
          <cell r="B31" t="str">
            <v>长期股权投资</v>
          </cell>
          <cell r="E31">
            <v>3996000</v>
          </cell>
        </row>
        <row r="32">
          <cell r="A32" t="str">
            <v>1511.01</v>
          </cell>
          <cell r="B32" t="str">
            <v>　　投资成本</v>
          </cell>
          <cell r="E32">
            <v>3996000</v>
          </cell>
        </row>
        <row r="33">
          <cell r="A33" t="str">
            <v>1511.01.01</v>
          </cell>
          <cell r="B33" t="str">
            <v>　　　　宜兴旭智投资咨询合伙企业（有限合伙）</v>
          </cell>
          <cell r="E33">
            <v>3996000</v>
          </cell>
        </row>
        <row r="34">
          <cell r="A34" t="str">
            <v>1601</v>
          </cell>
          <cell r="B34" t="str">
            <v>固定资产</v>
          </cell>
          <cell r="E34">
            <v>119847.66</v>
          </cell>
        </row>
        <row r="35">
          <cell r="A35" t="str">
            <v>1601.01</v>
          </cell>
          <cell r="B35" t="str">
            <v>　　电子设备</v>
          </cell>
          <cell r="E35">
            <v>77015.62</v>
          </cell>
        </row>
        <row r="36">
          <cell r="A36" t="str">
            <v>1601.04</v>
          </cell>
          <cell r="B36" t="str">
            <v>　　家具设备</v>
          </cell>
          <cell r="E36">
            <v>42832.04</v>
          </cell>
        </row>
        <row r="37">
          <cell r="A37" t="str">
            <v>1602</v>
          </cell>
          <cell r="B37" t="str">
            <v>累计折旧</v>
          </cell>
          <cell r="F37">
            <v>42271.69</v>
          </cell>
          <cell r="H37">
            <v>2710.46</v>
          </cell>
        </row>
        <row r="38">
          <cell r="A38" t="str">
            <v>1602.01</v>
          </cell>
          <cell r="B38" t="str">
            <v>　　电子设备</v>
          </cell>
          <cell r="F38">
            <v>12163.67</v>
          </cell>
          <cell r="H38">
            <v>678.09</v>
          </cell>
        </row>
        <row r="39">
          <cell r="A39" t="str">
            <v>1602.04</v>
          </cell>
          <cell r="B39" t="str">
            <v>　　家具设备</v>
          </cell>
          <cell r="F39">
            <v>30108.02</v>
          </cell>
          <cell r="H39">
            <v>2032.37</v>
          </cell>
        </row>
        <row r="40">
          <cell r="A40" t="str">
            <v>1606</v>
          </cell>
          <cell r="B40" t="str">
            <v>固定资产清理</v>
          </cell>
        </row>
        <row r="41">
          <cell r="A41" t="str">
            <v>1606.04</v>
          </cell>
          <cell r="B41" t="str">
            <v>　　家具设备</v>
          </cell>
        </row>
        <row r="42">
          <cell r="A42" t="str">
            <v>1641</v>
          </cell>
          <cell r="B42" t="str">
            <v>使用权资产</v>
          </cell>
        </row>
        <row r="43">
          <cell r="A43" t="str">
            <v>1641.01</v>
          </cell>
          <cell r="B43" t="str">
            <v>　　打印机租赁</v>
          </cell>
        </row>
        <row r="44">
          <cell r="A44" t="str">
            <v>1641.02</v>
          </cell>
          <cell r="B44" t="str">
            <v>　　办公地址</v>
          </cell>
        </row>
        <row r="45">
          <cell r="A45" t="str">
            <v>1641.02.01</v>
          </cell>
          <cell r="B45" t="str">
            <v>　　　　旭智咨询--鼎和大厦1606</v>
          </cell>
        </row>
        <row r="46">
          <cell r="A46" t="str">
            <v>1642</v>
          </cell>
          <cell r="B46" t="str">
            <v>使用权资产累计折旧</v>
          </cell>
        </row>
        <row r="47">
          <cell r="A47" t="str">
            <v>1642.01</v>
          </cell>
          <cell r="B47" t="str">
            <v>　　打印机租赁</v>
          </cell>
        </row>
        <row r="48">
          <cell r="A48" t="str">
            <v>1642.02</v>
          </cell>
          <cell r="B48" t="str">
            <v>　　办公地址</v>
          </cell>
        </row>
        <row r="49">
          <cell r="A49" t="str">
            <v>1642.02.01</v>
          </cell>
          <cell r="B49" t="str">
            <v>　　　　旭智咨询--鼎和大厦1606</v>
          </cell>
        </row>
        <row r="50">
          <cell r="A50" t="str">
            <v>1801</v>
          </cell>
          <cell r="B50" t="str">
            <v>长期待摊费用</v>
          </cell>
        </row>
        <row r="51">
          <cell r="A51" t="str">
            <v>1801.01</v>
          </cell>
          <cell r="B51" t="str">
            <v>　　装修费</v>
          </cell>
        </row>
        <row r="52">
          <cell r="A52" t="str">
            <v>2203</v>
          </cell>
          <cell r="B52" t="str">
            <v>预收账款</v>
          </cell>
        </row>
        <row r="53">
          <cell r="A53" t="str">
            <v>2203.01</v>
          </cell>
          <cell r="B53" t="str">
            <v>　　单位</v>
          </cell>
        </row>
        <row r="54">
          <cell r="A54" t="str">
            <v>2203.01</v>
          </cell>
          <cell r="B54" t="str">
            <v>　　单位</v>
          </cell>
          <cell r="C54" t="str">
            <v>CU006001</v>
          </cell>
          <cell r="D54" t="str">
            <v>胜科辉飏新能源（深圳）有限公司</v>
          </cell>
        </row>
        <row r="55">
          <cell r="A55" t="str">
            <v>2211</v>
          </cell>
          <cell r="B55" t="str">
            <v>应付职工薪酬</v>
          </cell>
          <cell r="F55">
            <v>40281.699999999997</v>
          </cell>
          <cell r="G55">
            <v>354236.3</v>
          </cell>
          <cell r="H55">
            <v>354881.14</v>
          </cell>
        </row>
        <row r="56">
          <cell r="A56" t="str">
            <v>2211.01</v>
          </cell>
          <cell r="B56" t="str">
            <v>　　职工工资</v>
          </cell>
          <cell r="G56">
            <v>212421.69</v>
          </cell>
          <cell r="H56">
            <v>212421.69</v>
          </cell>
        </row>
        <row r="57">
          <cell r="A57" t="str">
            <v>2211.02</v>
          </cell>
          <cell r="B57" t="str">
            <v>　　职工奖金</v>
          </cell>
        </row>
        <row r="58">
          <cell r="A58" t="str">
            <v>2211.03</v>
          </cell>
          <cell r="B58" t="str">
            <v>　　劳务报酬</v>
          </cell>
          <cell r="G58">
            <v>3040</v>
          </cell>
          <cell r="H58">
            <v>3040</v>
          </cell>
        </row>
        <row r="59">
          <cell r="A59" t="str">
            <v>2211.05</v>
          </cell>
          <cell r="B59" t="str">
            <v>　　社会保险费</v>
          </cell>
          <cell r="F59">
            <v>24487.7</v>
          </cell>
          <cell r="G59">
            <v>77942.289999999994</v>
          </cell>
          <cell r="H59">
            <v>78335.13</v>
          </cell>
        </row>
        <row r="60">
          <cell r="A60" t="str">
            <v>2211.06</v>
          </cell>
          <cell r="B60" t="str">
            <v>　　住房公积金</v>
          </cell>
          <cell r="F60">
            <v>15794</v>
          </cell>
          <cell r="G60">
            <v>60832.32</v>
          </cell>
          <cell r="H60">
            <v>61084.32</v>
          </cell>
        </row>
        <row r="61">
          <cell r="A61" t="str">
            <v>2221</v>
          </cell>
          <cell r="B61" t="str">
            <v>应交税费</v>
          </cell>
          <cell r="F61">
            <v>23927.57</v>
          </cell>
          <cell r="G61">
            <v>38602.019999999997</v>
          </cell>
          <cell r="H61">
            <v>38735.599999999999</v>
          </cell>
        </row>
        <row r="62">
          <cell r="A62" t="str">
            <v>2221.01</v>
          </cell>
          <cell r="B62" t="str">
            <v>　　应交增值税</v>
          </cell>
          <cell r="G62">
            <v>1792.48</v>
          </cell>
          <cell r="H62">
            <v>1792.48</v>
          </cell>
        </row>
        <row r="63">
          <cell r="A63" t="str">
            <v>2221.01.01</v>
          </cell>
          <cell r="B63" t="str">
            <v>　　　　销项税额</v>
          </cell>
        </row>
        <row r="64">
          <cell r="A64" t="str">
            <v>2221.01.03</v>
          </cell>
          <cell r="B64" t="str">
            <v>　　　　进项税额</v>
          </cell>
          <cell r="G64">
            <v>896.24</v>
          </cell>
          <cell r="H64">
            <v>896.24</v>
          </cell>
        </row>
        <row r="65">
          <cell r="A65" t="str">
            <v>2221.01.06</v>
          </cell>
          <cell r="B65" t="str">
            <v>　　　　转出未交增值税</v>
          </cell>
          <cell r="G65">
            <v>896.24</v>
          </cell>
          <cell r="H65">
            <v>896.24</v>
          </cell>
        </row>
        <row r="66">
          <cell r="A66" t="str">
            <v>2221.03</v>
          </cell>
          <cell r="B66" t="str">
            <v>　　暂估进项税额</v>
          </cell>
          <cell r="E66">
            <v>1222.5999999999999</v>
          </cell>
          <cell r="G66">
            <v>697.11</v>
          </cell>
          <cell r="H66">
            <v>872.05</v>
          </cell>
        </row>
        <row r="67">
          <cell r="A67" t="str">
            <v>2221.04</v>
          </cell>
          <cell r="B67" t="str">
            <v>　　未交增值税</v>
          </cell>
          <cell r="E67">
            <v>21798.44</v>
          </cell>
          <cell r="G67">
            <v>896.24</v>
          </cell>
        </row>
        <row r="68">
          <cell r="A68" t="str">
            <v>2221.06</v>
          </cell>
          <cell r="B68" t="str">
            <v>　　待认证进项税额</v>
          </cell>
          <cell r="E68">
            <v>43.65</v>
          </cell>
          <cell r="G68">
            <v>859.96</v>
          </cell>
          <cell r="H68">
            <v>896.24</v>
          </cell>
        </row>
        <row r="69">
          <cell r="A69" t="str">
            <v>2221.08</v>
          </cell>
          <cell r="B69" t="str">
            <v>　　待转销项税额</v>
          </cell>
          <cell r="F69">
            <v>12635.93</v>
          </cell>
        </row>
        <row r="70">
          <cell r="A70" t="str">
            <v>2221.12</v>
          </cell>
          <cell r="B70" t="str">
            <v>　　应交城市维护建设税</v>
          </cell>
        </row>
        <row r="71">
          <cell r="A71" t="str">
            <v>2221.13</v>
          </cell>
          <cell r="B71" t="str">
            <v>　　应交教育费附加</v>
          </cell>
        </row>
        <row r="72">
          <cell r="A72" t="str">
            <v>2221.14</v>
          </cell>
          <cell r="B72" t="str">
            <v>　　应交地方教育附加</v>
          </cell>
        </row>
        <row r="73">
          <cell r="A73" t="str">
            <v>2221.15</v>
          </cell>
          <cell r="B73" t="str">
            <v>　　应交企业所得税</v>
          </cell>
        </row>
        <row r="74">
          <cell r="A74" t="str">
            <v>2221.16</v>
          </cell>
          <cell r="B74" t="str">
            <v>　　应交个人所得税</v>
          </cell>
          <cell r="F74">
            <v>34356.33</v>
          </cell>
          <cell r="G74">
            <v>34356.230000000003</v>
          </cell>
          <cell r="H74">
            <v>35174.83</v>
          </cell>
        </row>
        <row r="75">
          <cell r="A75" t="str">
            <v>2241</v>
          </cell>
          <cell r="B75" t="str">
            <v>其他应付款</v>
          </cell>
          <cell r="F75">
            <v>2315456.75</v>
          </cell>
          <cell r="G75">
            <v>607196.91</v>
          </cell>
          <cell r="H75">
            <v>143178.59</v>
          </cell>
        </row>
        <row r="76">
          <cell r="A76" t="str">
            <v>2241.01</v>
          </cell>
          <cell r="B76" t="str">
            <v>　　单位</v>
          </cell>
          <cell r="F76">
            <v>2315456.75</v>
          </cell>
          <cell r="G76">
            <v>607196.91</v>
          </cell>
          <cell r="H76">
            <v>143178.59</v>
          </cell>
        </row>
        <row r="77">
          <cell r="A77" t="str">
            <v>2241.01</v>
          </cell>
          <cell r="B77" t="str">
            <v>　　单位</v>
          </cell>
          <cell r="C77" t="str">
            <v>SU005004</v>
          </cell>
          <cell r="D77" t="str">
            <v>上海爱文人才服务有限公司</v>
          </cell>
          <cell r="G77">
            <v>100692.91</v>
          </cell>
          <cell r="H77">
            <v>100692.91</v>
          </cell>
        </row>
        <row r="78">
          <cell r="A78" t="str">
            <v>2241.01</v>
          </cell>
          <cell r="B78" t="str">
            <v>　　单位</v>
          </cell>
          <cell r="C78" t="str">
            <v>SU005007</v>
          </cell>
          <cell r="D78" t="str">
            <v>普华永道中天会计师事务所（特殊普通合伙）</v>
          </cell>
          <cell r="F78">
            <v>28102.34</v>
          </cell>
          <cell r="G78">
            <v>28102.34</v>
          </cell>
        </row>
        <row r="79">
          <cell r="A79" t="str">
            <v>2241.01</v>
          </cell>
          <cell r="B79" t="str">
            <v>　　单位</v>
          </cell>
          <cell r="C79" t="str">
            <v>SU005026</v>
          </cell>
          <cell r="D79" t="str">
            <v>中国电信股份有限公司</v>
          </cell>
          <cell r="G79">
            <v>59</v>
          </cell>
          <cell r="H79">
            <v>59</v>
          </cell>
        </row>
        <row r="80">
          <cell r="A80" t="str">
            <v>2241.01</v>
          </cell>
          <cell r="B80" t="str">
            <v>　　单位</v>
          </cell>
          <cell r="C80" t="str">
            <v>SU005037</v>
          </cell>
          <cell r="D80" t="str">
            <v>深圳点石新能源投资有限责任公司</v>
          </cell>
        </row>
        <row r="81">
          <cell r="A81" t="str">
            <v>2241.01</v>
          </cell>
          <cell r="B81" t="str">
            <v>　　单位</v>
          </cell>
          <cell r="C81" t="str">
            <v>SU005039</v>
          </cell>
          <cell r="D81" t="str">
            <v>海华税务师事务所有限公司深圳分公司</v>
          </cell>
        </row>
        <row r="82">
          <cell r="A82" t="str">
            <v>2241.01</v>
          </cell>
          <cell r="B82" t="str">
            <v>　　单位</v>
          </cell>
          <cell r="C82" t="str">
            <v>SU005043</v>
          </cell>
          <cell r="D82" t="str">
            <v>旭智资本有限公司</v>
          </cell>
        </row>
        <row r="83">
          <cell r="A83" t="str">
            <v>2241.01</v>
          </cell>
          <cell r="B83" t="str">
            <v>　　单位</v>
          </cell>
          <cell r="C83" t="str">
            <v>SU006006</v>
          </cell>
          <cell r="D83" t="str">
            <v>深圳市新趋势科技有限公司</v>
          </cell>
        </row>
        <row r="84">
          <cell r="A84" t="str">
            <v>2241.01</v>
          </cell>
          <cell r="B84" t="str">
            <v>　　单位</v>
          </cell>
          <cell r="C84" t="str">
            <v>SU006008</v>
          </cell>
          <cell r="D84" t="str">
            <v>深圳市前海创时代企业管理有限公司</v>
          </cell>
          <cell r="G84">
            <v>-4000</v>
          </cell>
          <cell r="H84">
            <v>-4000</v>
          </cell>
        </row>
        <row r="85">
          <cell r="A85" t="str">
            <v>2241.01</v>
          </cell>
          <cell r="B85" t="str">
            <v>　　单位</v>
          </cell>
          <cell r="C85" t="str">
            <v>SU006012</v>
          </cell>
          <cell r="D85" t="str">
            <v>上海携程宏睿国际旅行社有限公司</v>
          </cell>
          <cell r="F85">
            <v>27915.26</v>
          </cell>
          <cell r="G85">
            <v>27915.26</v>
          </cell>
          <cell r="H85">
            <v>22187.95</v>
          </cell>
        </row>
        <row r="86">
          <cell r="A86" t="str">
            <v>2241.01</v>
          </cell>
          <cell r="B86" t="str">
            <v>　　单位</v>
          </cell>
          <cell r="C86" t="str">
            <v>SU006016</v>
          </cell>
          <cell r="D86" t="str">
            <v>爱奇创新投资研究（深圳）有限公司</v>
          </cell>
          <cell r="H86">
            <v>19811.330000000002</v>
          </cell>
        </row>
        <row r="87">
          <cell r="A87" t="str">
            <v>2241.01</v>
          </cell>
          <cell r="B87" t="str">
            <v>　　单位</v>
          </cell>
          <cell r="C87" t="str">
            <v>SU006018</v>
          </cell>
          <cell r="D87" t="str">
            <v>深圳辉飏新能源投资咨询有限责任公司</v>
          </cell>
        </row>
        <row r="88">
          <cell r="A88" t="str">
            <v>2241.01</v>
          </cell>
          <cell r="B88" t="str">
            <v>　　单位</v>
          </cell>
          <cell r="C88" t="str">
            <v>SU006021</v>
          </cell>
          <cell r="D88" t="str">
            <v>北京市汉坤律师事务所</v>
          </cell>
          <cell r="F88">
            <v>40000</v>
          </cell>
        </row>
        <row r="89">
          <cell r="A89" t="str">
            <v>2241.01</v>
          </cell>
          <cell r="B89" t="str">
            <v>　　单位</v>
          </cell>
          <cell r="C89" t="str">
            <v>SU006023</v>
          </cell>
          <cell r="D89" t="str">
            <v>顺丰速运有限公司</v>
          </cell>
          <cell r="G89">
            <v>427.4</v>
          </cell>
          <cell r="H89">
            <v>427.4</v>
          </cell>
        </row>
        <row r="90">
          <cell r="A90" t="str">
            <v>2241.01</v>
          </cell>
          <cell r="B90" t="str">
            <v>　　单位</v>
          </cell>
          <cell r="C90" t="str">
            <v>SU006025</v>
          </cell>
          <cell r="D90" t="str">
            <v>全景求是管理顾问（北京）有限公司</v>
          </cell>
        </row>
        <row r="91">
          <cell r="A91" t="str">
            <v>2241.01</v>
          </cell>
          <cell r="B91" t="str">
            <v>　　单位</v>
          </cell>
          <cell r="C91" t="str">
            <v>SU006026</v>
          </cell>
          <cell r="D91" t="str">
            <v>和谐汇股权投资管理（北京）有限公司</v>
          </cell>
        </row>
        <row r="92">
          <cell r="A92" t="str">
            <v>2241.01</v>
          </cell>
          <cell r="B92" t="str">
            <v>　　单位</v>
          </cell>
          <cell r="C92" t="str">
            <v>SU006027</v>
          </cell>
          <cell r="D92" t="str">
            <v>南德认证检测（中国）有限公司</v>
          </cell>
        </row>
        <row r="93">
          <cell r="A93" t="str">
            <v>2241.01</v>
          </cell>
          <cell r="B93" t="str">
            <v>　　单位</v>
          </cell>
          <cell r="C93" t="str">
            <v>SU006029</v>
          </cell>
          <cell r="D93" t="str">
            <v>宁波梅山保税港区爱奇观恒投资管理有限公司</v>
          </cell>
          <cell r="F93">
            <v>190000</v>
          </cell>
          <cell r="G93">
            <v>190000</v>
          </cell>
        </row>
        <row r="94">
          <cell r="A94" t="str">
            <v>2241.01</v>
          </cell>
          <cell r="B94" t="str">
            <v>　　单位</v>
          </cell>
          <cell r="C94" t="str">
            <v>SU006032</v>
          </cell>
          <cell r="D94" t="str">
            <v>广州旭智投资控股有限责任公司</v>
          </cell>
          <cell r="F94">
            <v>1509439.15</v>
          </cell>
        </row>
        <row r="95">
          <cell r="A95" t="str">
            <v>2241.01</v>
          </cell>
          <cell r="B95" t="str">
            <v>　　单位</v>
          </cell>
          <cell r="C95" t="str">
            <v>SU006033</v>
          </cell>
          <cell r="D95" t="str">
            <v>上海硕昉管理咨询有限公司</v>
          </cell>
          <cell r="F95">
            <v>520000</v>
          </cell>
          <cell r="G95">
            <v>260000</v>
          </cell>
        </row>
        <row r="96">
          <cell r="A96" t="str">
            <v>2241.01</v>
          </cell>
          <cell r="B96" t="str">
            <v>　　单位</v>
          </cell>
          <cell r="C96" t="str">
            <v>SU006034</v>
          </cell>
          <cell r="D96" t="str">
            <v>北京鉴衡认证中心有限公司</v>
          </cell>
        </row>
        <row r="97">
          <cell r="A97" t="str">
            <v>2241.01</v>
          </cell>
          <cell r="B97" t="str">
            <v>　　单位</v>
          </cell>
          <cell r="C97" t="str">
            <v>SU006035</v>
          </cell>
          <cell r="D97" t="str">
            <v>同道精英（天津）信息技术有限公司</v>
          </cell>
        </row>
        <row r="98">
          <cell r="A98" t="str">
            <v>2241.01</v>
          </cell>
          <cell r="B98" t="str">
            <v>　　单位</v>
          </cell>
          <cell r="C98" t="str">
            <v>SU006036</v>
          </cell>
          <cell r="D98" t="str">
            <v>玖信商鲲（北京）企业服务有限公司</v>
          </cell>
          <cell r="G98">
            <v>4000</v>
          </cell>
          <cell r="H98">
            <v>4000</v>
          </cell>
        </row>
        <row r="99">
          <cell r="A99" t="str">
            <v>2241.01</v>
          </cell>
          <cell r="B99" t="str">
            <v>　　单位</v>
          </cell>
          <cell r="C99" t="str">
            <v>SU006037</v>
          </cell>
          <cell r="D99" t="str">
            <v>普华永道咨询（深圳）有限公司</v>
          </cell>
        </row>
        <row r="100">
          <cell r="A100" t="str">
            <v>2241.02</v>
          </cell>
          <cell r="B100" t="str">
            <v>　　个人</v>
          </cell>
        </row>
        <row r="101">
          <cell r="A101" t="str">
            <v>2241.02</v>
          </cell>
          <cell r="B101" t="str">
            <v>　　个人</v>
          </cell>
          <cell r="C101" t="str">
            <v>SP005001</v>
          </cell>
          <cell r="D101" t="str">
            <v>冯冠邦</v>
          </cell>
        </row>
        <row r="102">
          <cell r="A102" t="str">
            <v>2241.02</v>
          </cell>
          <cell r="B102" t="str">
            <v>　　个人</v>
          </cell>
          <cell r="C102" t="str">
            <v>SP005011</v>
          </cell>
          <cell r="D102" t="str">
            <v>郭宗林</v>
          </cell>
        </row>
        <row r="103">
          <cell r="A103" t="str">
            <v>2241.02</v>
          </cell>
          <cell r="B103" t="str">
            <v>　　个人</v>
          </cell>
          <cell r="C103" t="str">
            <v>SP005012</v>
          </cell>
          <cell r="D103" t="str">
            <v>吴雅薇</v>
          </cell>
        </row>
        <row r="104">
          <cell r="A104" t="str">
            <v>2241.02</v>
          </cell>
          <cell r="B104" t="str">
            <v>　　个人</v>
          </cell>
          <cell r="C104" t="str">
            <v>SP006002</v>
          </cell>
          <cell r="D104" t="str">
            <v>陈灿</v>
          </cell>
        </row>
        <row r="105">
          <cell r="A105" t="str">
            <v>2241.02</v>
          </cell>
          <cell r="B105" t="str">
            <v>　　个人</v>
          </cell>
          <cell r="C105" t="str">
            <v>SP006003</v>
          </cell>
          <cell r="D105" t="str">
            <v>袁玉杰</v>
          </cell>
        </row>
        <row r="106">
          <cell r="A106" t="str">
            <v>2241.02</v>
          </cell>
          <cell r="B106" t="str">
            <v>　　个人</v>
          </cell>
          <cell r="C106" t="str">
            <v>SP006004</v>
          </cell>
          <cell r="D106" t="str">
            <v>高焙</v>
          </cell>
        </row>
        <row r="107">
          <cell r="A107" t="str">
            <v>2241.02</v>
          </cell>
          <cell r="B107" t="str">
            <v>　　个人</v>
          </cell>
          <cell r="C107" t="str">
            <v>SP006006</v>
          </cell>
          <cell r="D107" t="str">
            <v>王志强</v>
          </cell>
        </row>
        <row r="108">
          <cell r="A108" t="str">
            <v>2241.02</v>
          </cell>
          <cell r="B108" t="str">
            <v>　　个人</v>
          </cell>
          <cell r="C108" t="str">
            <v>SP006007</v>
          </cell>
          <cell r="D108" t="str">
            <v>徐彬</v>
          </cell>
        </row>
        <row r="109">
          <cell r="A109" t="str">
            <v>2241.02</v>
          </cell>
          <cell r="B109" t="str">
            <v>　　个人</v>
          </cell>
          <cell r="C109" t="str">
            <v>SP006008</v>
          </cell>
          <cell r="D109" t="str">
            <v>何梅春</v>
          </cell>
        </row>
        <row r="110">
          <cell r="A110" t="str">
            <v>2241.02</v>
          </cell>
          <cell r="B110" t="str">
            <v>　　个人</v>
          </cell>
          <cell r="C110" t="str">
            <v>SP006009</v>
          </cell>
          <cell r="D110" t="str">
            <v>林秋蝶</v>
          </cell>
        </row>
        <row r="111">
          <cell r="A111" t="str">
            <v>2241.02</v>
          </cell>
          <cell r="B111" t="str">
            <v>　　个人</v>
          </cell>
          <cell r="C111" t="str">
            <v>SP006012</v>
          </cell>
          <cell r="D111" t="str">
            <v>闫凯</v>
          </cell>
        </row>
        <row r="112">
          <cell r="A112" t="str">
            <v>2241.02</v>
          </cell>
          <cell r="B112" t="str">
            <v>　　个人</v>
          </cell>
          <cell r="C112" t="str">
            <v>SP006013</v>
          </cell>
          <cell r="D112" t="str">
            <v>叶亚峰</v>
          </cell>
        </row>
        <row r="113">
          <cell r="A113" t="str">
            <v>2241.02</v>
          </cell>
          <cell r="B113" t="str">
            <v>　　个人</v>
          </cell>
          <cell r="C113" t="str">
            <v>SP006014</v>
          </cell>
          <cell r="D113" t="str">
            <v>陈斌捷</v>
          </cell>
        </row>
        <row r="114">
          <cell r="A114" t="str">
            <v>2601</v>
          </cell>
          <cell r="B114" t="str">
            <v>租赁负债</v>
          </cell>
        </row>
        <row r="115">
          <cell r="A115" t="str">
            <v>2601.01</v>
          </cell>
          <cell r="B115" t="str">
            <v>　　租赁付款额</v>
          </cell>
        </row>
        <row r="116">
          <cell r="A116" t="str">
            <v>2601.01.02</v>
          </cell>
          <cell r="B116" t="str">
            <v>　　　　办公地址</v>
          </cell>
        </row>
        <row r="117">
          <cell r="A117" t="str">
            <v>2601.01.02.01</v>
          </cell>
          <cell r="B117" t="str">
            <v>　　　　　　旭智咨询--鼎和大厦1606</v>
          </cell>
        </row>
        <row r="118">
          <cell r="A118" t="str">
            <v>2601.02</v>
          </cell>
          <cell r="B118" t="str">
            <v>　　未确认融资费用</v>
          </cell>
        </row>
        <row r="119">
          <cell r="A119" t="str">
            <v>2601.02.02</v>
          </cell>
          <cell r="B119" t="str">
            <v>　　　　办公地址</v>
          </cell>
        </row>
        <row r="120">
          <cell r="A120" t="str">
            <v>2601.02.02.01</v>
          </cell>
          <cell r="B120" t="str">
            <v>　　　　　　旭智咨询--鼎和大厦1606</v>
          </cell>
        </row>
        <row r="121">
          <cell r="A121" t="str">
            <v>2601.03</v>
          </cell>
          <cell r="B121" t="str">
            <v>　　一年内到期的非流动负债</v>
          </cell>
        </row>
        <row r="122">
          <cell r="A122" t="str">
            <v>4001</v>
          </cell>
          <cell r="B122" t="str">
            <v>实收资本（股本）</v>
          </cell>
          <cell r="F122">
            <v>2500000</v>
          </cell>
        </row>
        <row r="123">
          <cell r="A123" t="str">
            <v>4001.10</v>
          </cell>
          <cell r="B123" t="str">
            <v>　　旭智资本有限公司</v>
          </cell>
          <cell r="F123">
            <v>2500000</v>
          </cell>
        </row>
        <row r="124">
          <cell r="A124" t="str">
            <v>4101</v>
          </cell>
          <cell r="B124" t="str">
            <v>盈余公积</v>
          </cell>
          <cell r="F124">
            <v>140513.82</v>
          </cell>
        </row>
        <row r="125">
          <cell r="A125" t="str">
            <v>4101.01</v>
          </cell>
          <cell r="B125" t="str">
            <v>　　法定盈余公积</v>
          </cell>
          <cell r="F125">
            <v>140513.82</v>
          </cell>
        </row>
        <row r="126">
          <cell r="A126" t="str">
            <v>4103</v>
          </cell>
          <cell r="B126" t="str">
            <v>本年利润</v>
          </cell>
          <cell r="E126">
            <v>1412377.57</v>
          </cell>
          <cell r="G126">
            <v>-41333.46</v>
          </cell>
        </row>
        <row r="127">
          <cell r="A127" t="str">
            <v>4104</v>
          </cell>
          <cell r="B127" t="str">
            <v>利润分配</v>
          </cell>
          <cell r="F127">
            <v>1264624.46</v>
          </cell>
        </row>
        <row r="128">
          <cell r="A128" t="str">
            <v>4104.07</v>
          </cell>
          <cell r="B128" t="str">
            <v>　　未分配利润</v>
          </cell>
          <cell r="F128">
            <v>1264624.46</v>
          </cell>
        </row>
        <row r="129">
          <cell r="A129" t="str">
            <v>6001</v>
          </cell>
          <cell r="B129" t="str">
            <v>主营业务收入</v>
          </cell>
        </row>
        <row r="130">
          <cell r="A130" t="str">
            <v>6001.02</v>
          </cell>
          <cell r="B130" t="str">
            <v>　　咨询服务费收入</v>
          </cell>
        </row>
        <row r="131">
          <cell r="A131" t="str">
            <v>6001.02.01</v>
          </cell>
          <cell r="B131" t="str">
            <v>　　　　已开票</v>
          </cell>
        </row>
        <row r="132">
          <cell r="A132" t="str">
            <v>6001.02.01</v>
          </cell>
          <cell r="B132" t="str">
            <v>　　　　已开票</v>
          </cell>
          <cell r="C132" t="str">
            <v>【未录入】</v>
          </cell>
          <cell r="D132" t="str">
            <v>【未录入】</v>
          </cell>
        </row>
        <row r="133">
          <cell r="A133" t="str">
            <v>6115</v>
          </cell>
          <cell r="B133" t="str">
            <v>其他收益</v>
          </cell>
        </row>
        <row r="134">
          <cell r="A134" t="str">
            <v>6115.02</v>
          </cell>
          <cell r="B134" t="str">
            <v>　　个税手续费返还</v>
          </cell>
        </row>
        <row r="135">
          <cell r="A135" t="str">
            <v>6117</v>
          </cell>
          <cell r="B135" t="str">
            <v>资产处置损益</v>
          </cell>
        </row>
        <row r="136">
          <cell r="A136" t="str">
            <v>6405</v>
          </cell>
          <cell r="B136" t="str">
            <v>税金及附加</v>
          </cell>
        </row>
        <row r="137">
          <cell r="A137" t="str">
            <v>6405.02</v>
          </cell>
          <cell r="B137" t="str">
            <v>　　城市维护建设税</v>
          </cell>
        </row>
        <row r="138">
          <cell r="A138" t="str">
            <v>6405.03</v>
          </cell>
          <cell r="B138" t="str">
            <v>　　教育费附加</v>
          </cell>
        </row>
        <row r="139">
          <cell r="A139" t="str">
            <v>6405.04</v>
          </cell>
          <cell r="B139" t="str">
            <v>　　地方教育附加</v>
          </cell>
        </row>
        <row r="140">
          <cell r="A140" t="str">
            <v>6602</v>
          </cell>
          <cell r="B140" t="str">
            <v>管理费用</v>
          </cell>
          <cell r="G140">
            <v>-41331.93</v>
          </cell>
          <cell r="H140">
            <v>-41331.93</v>
          </cell>
        </row>
        <row r="141">
          <cell r="A141" t="str">
            <v>6602.01</v>
          </cell>
          <cell r="B141" t="str">
            <v>　　工资薪金</v>
          </cell>
          <cell r="G141">
            <v>304100</v>
          </cell>
          <cell r="H141">
            <v>304100</v>
          </cell>
        </row>
        <row r="142">
          <cell r="A142" t="str">
            <v>6602.01.01</v>
          </cell>
          <cell r="B142" t="str">
            <v>　　　　基本工资（专业）</v>
          </cell>
          <cell r="G142">
            <v>300500</v>
          </cell>
          <cell r="H142">
            <v>300500</v>
          </cell>
        </row>
        <row r="143">
          <cell r="A143" t="str">
            <v>6602.01.06</v>
          </cell>
          <cell r="B143" t="str">
            <v>　　　　劳务报酬</v>
          </cell>
          <cell r="G143">
            <v>3600</v>
          </cell>
          <cell r="H143">
            <v>3600</v>
          </cell>
        </row>
        <row r="144">
          <cell r="A144" t="str">
            <v>6602.02</v>
          </cell>
          <cell r="B144" t="str">
            <v>　　职工福利</v>
          </cell>
        </row>
        <row r="145">
          <cell r="A145" t="str">
            <v>6602.02.01</v>
          </cell>
          <cell r="B145" t="str">
            <v>　　　　员工福利</v>
          </cell>
        </row>
        <row r="146">
          <cell r="A146" t="str">
            <v>6602.02.02</v>
          </cell>
          <cell r="B146" t="str">
            <v>　　　　团建活动</v>
          </cell>
        </row>
        <row r="147">
          <cell r="A147" t="str">
            <v>6602.02.03</v>
          </cell>
          <cell r="B147" t="str">
            <v>　　　　体检费</v>
          </cell>
        </row>
        <row r="148">
          <cell r="A148" t="str">
            <v>6602.03</v>
          </cell>
          <cell r="B148" t="str">
            <v>　　社保公积金</v>
          </cell>
          <cell r="G148">
            <v>85955.97</v>
          </cell>
          <cell r="H148">
            <v>85955.97</v>
          </cell>
        </row>
        <row r="149">
          <cell r="A149" t="str">
            <v>6602.03.01</v>
          </cell>
          <cell r="B149" t="str">
            <v>　　　　员工社保福利</v>
          </cell>
          <cell r="G149">
            <v>55413.81</v>
          </cell>
          <cell r="H149">
            <v>55413.81</v>
          </cell>
        </row>
        <row r="150">
          <cell r="A150" t="str">
            <v>6602.03.02</v>
          </cell>
          <cell r="B150" t="str">
            <v>　　　　员工公积金福利</v>
          </cell>
          <cell r="G150">
            <v>30542.16</v>
          </cell>
          <cell r="H150">
            <v>30542.16</v>
          </cell>
        </row>
        <row r="151">
          <cell r="A151" t="str">
            <v>6602.04</v>
          </cell>
          <cell r="B151" t="str">
            <v>　　咨询及专业服务费</v>
          </cell>
          <cell r="G151">
            <v>-456051.41</v>
          </cell>
          <cell r="H151">
            <v>-456051.41</v>
          </cell>
        </row>
        <row r="152">
          <cell r="A152" t="str">
            <v>6602.04.02</v>
          </cell>
          <cell r="B152" t="str">
            <v>　　　　审计服务费</v>
          </cell>
          <cell r="G152">
            <v>-28102.34</v>
          </cell>
          <cell r="H152">
            <v>-28102.34</v>
          </cell>
        </row>
        <row r="153">
          <cell r="A153" t="str">
            <v>6602.04.03</v>
          </cell>
          <cell r="B153" t="str">
            <v>　　　　顾问费</v>
          </cell>
          <cell r="G153">
            <v>-450000</v>
          </cell>
          <cell r="H153">
            <v>-450000</v>
          </cell>
        </row>
        <row r="154">
          <cell r="A154" t="str">
            <v>6602.04.03</v>
          </cell>
          <cell r="B154" t="str">
            <v>　　　　顾问费</v>
          </cell>
          <cell r="C154" t="str">
            <v>【未录入】</v>
          </cell>
          <cell r="D154" t="str">
            <v>【未录入】</v>
          </cell>
        </row>
        <row r="155">
          <cell r="A155" t="str">
            <v>6602.04.03</v>
          </cell>
          <cell r="B155" t="str">
            <v>　　　　顾问费</v>
          </cell>
          <cell r="C155" t="str">
            <v>CI006</v>
          </cell>
          <cell r="D155" t="str">
            <v>旭智咨询</v>
          </cell>
          <cell r="G155">
            <v>-450000</v>
          </cell>
          <cell r="H155">
            <v>-450000</v>
          </cell>
        </row>
        <row r="156">
          <cell r="A156" t="str">
            <v>6602.04.04</v>
          </cell>
          <cell r="B156" t="str">
            <v>　　　　税务服务费</v>
          </cell>
        </row>
        <row r="157">
          <cell r="A157" t="str">
            <v>6602.04.05</v>
          </cell>
          <cell r="B157" t="str">
            <v>　　　　招聘服务费</v>
          </cell>
        </row>
        <row r="158">
          <cell r="A158" t="str">
            <v>6602.04.06</v>
          </cell>
          <cell r="B158" t="str">
            <v>　　　　法律服务费</v>
          </cell>
        </row>
        <row r="159">
          <cell r="A159" t="str">
            <v>6602.04.06</v>
          </cell>
          <cell r="B159" t="str">
            <v>　　　　法律服务费</v>
          </cell>
          <cell r="C159" t="str">
            <v>CI005</v>
          </cell>
          <cell r="D159" t="str">
            <v>旭智私募</v>
          </cell>
        </row>
        <row r="160">
          <cell r="A160" t="str">
            <v>6602.04.07</v>
          </cell>
          <cell r="B160" t="str">
            <v>　　　　人力资源服务费</v>
          </cell>
          <cell r="G160">
            <v>2200</v>
          </cell>
          <cell r="H160">
            <v>2200</v>
          </cell>
        </row>
        <row r="161">
          <cell r="A161" t="str">
            <v>6602.04.08</v>
          </cell>
          <cell r="B161" t="str">
            <v>　　　　背景调查费</v>
          </cell>
        </row>
        <row r="162">
          <cell r="A162" t="str">
            <v>6602.04.11</v>
          </cell>
          <cell r="B162" t="str">
            <v>　　　　技术服务费</v>
          </cell>
        </row>
        <row r="163">
          <cell r="A163" t="str">
            <v>6602.04.11</v>
          </cell>
          <cell r="B163" t="str">
            <v>　　　　技术服务费</v>
          </cell>
          <cell r="C163" t="str">
            <v>CI002</v>
          </cell>
          <cell r="D163" t="str">
            <v>旭智富能</v>
          </cell>
        </row>
        <row r="164">
          <cell r="A164" t="str">
            <v>6602.04.99</v>
          </cell>
          <cell r="B164" t="str">
            <v>　　　　其他</v>
          </cell>
          <cell r="G164">
            <v>19850.93</v>
          </cell>
          <cell r="H164">
            <v>19850.93</v>
          </cell>
        </row>
        <row r="165">
          <cell r="A165" t="str">
            <v>6602.04.99</v>
          </cell>
          <cell r="B165" t="str">
            <v>　　　　其他</v>
          </cell>
          <cell r="C165" t="str">
            <v>【未录入】</v>
          </cell>
          <cell r="D165" t="str">
            <v>【未录入】</v>
          </cell>
          <cell r="G165">
            <v>39.6</v>
          </cell>
          <cell r="H165">
            <v>39.6</v>
          </cell>
        </row>
        <row r="166">
          <cell r="A166" t="str">
            <v>6602.04.99</v>
          </cell>
          <cell r="B166" t="str">
            <v>　　　　其他</v>
          </cell>
          <cell r="C166" t="str">
            <v>CI006</v>
          </cell>
          <cell r="D166" t="str">
            <v>旭智咨询</v>
          </cell>
          <cell r="G166">
            <v>19811.330000000002</v>
          </cell>
          <cell r="H166">
            <v>19811.330000000002</v>
          </cell>
        </row>
        <row r="167">
          <cell r="A167" t="str">
            <v>6602.05</v>
          </cell>
          <cell r="B167" t="str">
            <v>　　占用费</v>
          </cell>
        </row>
        <row r="168">
          <cell r="A168" t="str">
            <v>6602.05.03</v>
          </cell>
          <cell r="B168" t="str">
            <v>　　　　电费</v>
          </cell>
        </row>
        <row r="169">
          <cell r="A169" t="str">
            <v>6602.05.06</v>
          </cell>
          <cell r="B169" t="str">
            <v>　　　　装修费</v>
          </cell>
        </row>
        <row r="170">
          <cell r="A170" t="str">
            <v>6602.05.99</v>
          </cell>
          <cell r="B170" t="str">
            <v>　　　　其他</v>
          </cell>
        </row>
        <row r="171">
          <cell r="A171" t="str">
            <v>6602.06</v>
          </cell>
          <cell r="B171" t="str">
            <v>　　业务招待费</v>
          </cell>
        </row>
        <row r="172">
          <cell r="A172" t="str">
            <v>6602.06</v>
          </cell>
          <cell r="B172" t="str">
            <v>　　业务招待费</v>
          </cell>
          <cell r="C172" t="str">
            <v>CI002</v>
          </cell>
          <cell r="D172" t="str">
            <v>旭智富能</v>
          </cell>
        </row>
        <row r="173">
          <cell r="A173" t="str">
            <v>6602.08</v>
          </cell>
          <cell r="B173" t="str">
            <v>　　事务费用</v>
          </cell>
          <cell r="G173">
            <v>462.21</v>
          </cell>
          <cell r="H173">
            <v>462.21</v>
          </cell>
        </row>
        <row r="174">
          <cell r="A174" t="str">
            <v>6602.08.01</v>
          </cell>
          <cell r="B174" t="str">
            <v>　　　　通信费</v>
          </cell>
          <cell r="G174">
            <v>59</v>
          </cell>
          <cell r="H174">
            <v>59</v>
          </cell>
        </row>
        <row r="175">
          <cell r="A175" t="str">
            <v>6602.08.01</v>
          </cell>
          <cell r="B175" t="str">
            <v>　　　　通信费</v>
          </cell>
          <cell r="C175" t="str">
            <v>【未录入】</v>
          </cell>
          <cell r="D175" t="str">
            <v>【未录入】</v>
          </cell>
        </row>
        <row r="176">
          <cell r="A176" t="str">
            <v>6602.08.01</v>
          </cell>
          <cell r="B176" t="str">
            <v>　　　　通信费</v>
          </cell>
          <cell r="C176" t="str">
            <v>CI002</v>
          </cell>
          <cell r="D176" t="str">
            <v>旭智富能</v>
          </cell>
        </row>
        <row r="177">
          <cell r="A177" t="str">
            <v>6602.08.01</v>
          </cell>
          <cell r="B177" t="str">
            <v>　　　　通信费</v>
          </cell>
          <cell r="C177" t="str">
            <v>CI006</v>
          </cell>
          <cell r="D177" t="str">
            <v>旭智咨询</v>
          </cell>
          <cell r="G177">
            <v>59</v>
          </cell>
          <cell r="H177">
            <v>59</v>
          </cell>
        </row>
        <row r="178">
          <cell r="A178" t="str">
            <v>6602.08.03</v>
          </cell>
          <cell r="B178" t="str">
            <v>　　　　办公用品</v>
          </cell>
        </row>
        <row r="179">
          <cell r="A179" t="str">
            <v>6602.08.03</v>
          </cell>
          <cell r="B179" t="str">
            <v>　　　　办公用品</v>
          </cell>
          <cell r="C179" t="str">
            <v>【未录入】</v>
          </cell>
          <cell r="D179" t="str">
            <v>【未录入】</v>
          </cell>
        </row>
        <row r="180">
          <cell r="A180" t="str">
            <v>6602.08.03</v>
          </cell>
          <cell r="B180" t="str">
            <v>　　　　办公用品</v>
          </cell>
          <cell r="C180" t="str">
            <v>CI002</v>
          </cell>
          <cell r="D180" t="str">
            <v>旭智富能</v>
          </cell>
        </row>
        <row r="181">
          <cell r="A181" t="str">
            <v>6602.08.03</v>
          </cell>
          <cell r="B181" t="str">
            <v>　　　　办公用品</v>
          </cell>
          <cell r="C181" t="str">
            <v>CI006</v>
          </cell>
          <cell r="D181" t="str">
            <v>旭智咨询</v>
          </cell>
        </row>
        <row r="182">
          <cell r="A182" t="str">
            <v>6602.08.05</v>
          </cell>
          <cell r="B182" t="str">
            <v>　　　　邮费/邮递费</v>
          </cell>
          <cell r="G182">
            <v>403.21</v>
          </cell>
          <cell r="H182">
            <v>403.21</v>
          </cell>
        </row>
        <row r="183">
          <cell r="A183" t="str">
            <v>6602.08.05</v>
          </cell>
          <cell r="B183" t="str">
            <v>　　　　邮费/邮递费</v>
          </cell>
          <cell r="C183" t="str">
            <v>【未录入】</v>
          </cell>
          <cell r="D183" t="str">
            <v>【未录入】</v>
          </cell>
        </row>
        <row r="184">
          <cell r="A184" t="str">
            <v>6602.08.05</v>
          </cell>
          <cell r="B184" t="str">
            <v>　　　　邮费/邮递费</v>
          </cell>
          <cell r="C184" t="str">
            <v>CI006</v>
          </cell>
          <cell r="D184" t="str">
            <v>旭智咨询</v>
          </cell>
          <cell r="G184">
            <v>403.21</v>
          </cell>
          <cell r="H184">
            <v>403.21</v>
          </cell>
        </row>
        <row r="185">
          <cell r="A185" t="str">
            <v>6602.08.08</v>
          </cell>
          <cell r="B185" t="str">
            <v>　　　　软件使用费</v>
          </cell>
        </row>
        <row r="186">
          <cell r="A186" t="str">
            <v>6602.08.08</v>
          </cell>
          <cell r="B186" t="str">
            <v>　　　　软件使用费</v>
          </cell>
          <cell r="C186" t="str">
            <v>CI006</v>
          </cell>
          <cell r="D186" t="str">
            <v>旭智咨询</v>
          </cell>
        </row>
        <row r="187">
          <cell r="A187" t="str">
            <v>6602.08.99</v>
          </cell>
          <cell r="B187" t="str">
            <v>　　　　其他</v>
          </cell>
        </row>
        <row r="188">
          <cell r="A188" t="str">
            <v>6602.08.99</v>
          </cell>
          <cell r="B188" t="str">
            <v>　　　　其他</v>
          </cell>
          <cell r="C188" t="str">
            <v>【未录入】</v>
          </cell>
          <cell r="D188" t="str">
            <v>【未录入】</v>
          </cell>
        </row>
        <row r="189">
          <cell r="A189" t="str">
            <v>6602.08.99</v>
          </cell>
          <cell r="B189" t="str">
            <v>　　　　其他</v>
          </cell>
          <cell r="C189" t="str">
            <v>CI002</v>
          </cell>
          <cell r="D189" t="str">
            <v>旭智富能</v>
          </cell>
        </row>
        <row r="190">
          <cell r="A190" t="str">
            <v>6602.08.99</v>
          </cell>
          <cell r="B190" t="str">
            <v>　　　　其他</v>
          </cell>
          <cell r="C190" t="str">
            <v>CI006</v>
          </cell>
          <cell r="D190" t="str">
            <v>旭智咨询</v>
          </cell>
        </row>
        <row r="191">
          <cell r="A191" t="str">
            <v>6602.09</v>
          </cell>
          <cell r="B191" t="str">
            <v>　　差旅费</v>
          </cell>
          <cell r="G191">
            <v>21490.84</v>
          </cell>
          <cell r="H191">
            <v>21490.84</v>
          </cell>
        </row>
        <row r="192">
          <cell r="A192" t="str">
            <v>6602.09.01</v>
          </cell>
          <cell r="B192" t="str">
            <v>　　　　住宿费</v>
          </cell>
          <cell r="G192">
            <v>11299.48</v>
          </cell>
          <cell r="H192">
            <v>11299.48</v>
          </cell>
        </row>
        <row r="193">
          <cell r="A193" t="str">
            <v>6602.09.01</v>
          </cell>
          <cell r="B193" t="str">
            <v>　　　　住宿费</v>
          </cell>
          <cell r="C193" t="str">
            <v>【未录入】</v>
          </cell>
          <cell r="D193" t="str">
            <v>【未录入】</v>
          </cell>
        </row>
        <row r="194">
          <cell r="A194" t="str">
            <v>6602.09.01</v>
          </cell>
          <cell r="B194" t="str">
            <v>　　　　住宿费</v>
          </cell>
          <cell r="C194" t="str">
            <v>CI002</v>
          </cell>
          <cell r="D194" t="str">
            <v>旭智富能</v>
          </cell>
          <cell r="G194">
            <v>11299.48</v>
          </cell>
          <cell r="H194">
            <v>11299.48</v>
          </cell>
        </row>
        <row r="195">
          <cell r="A195" t="str">
            <v>6602.09.01</v>
          </cell>
          <cell r="B195" t="str">
            <v>　　　　住宿费</v>
          </cell>
          <cell r="C195" t="str">
            <v>CI005</v>
          </cell>
          <cell r="D195" t="str">
            <v>旭智私募</v>
          </cell>
        </row>
        <row r="196">
          <cell r="A196" t="str">
            <v>6602.09.02</v>
          </cell>
          <cell r="B196" t="str">
            <v>　　　　伙食费</v>
          </cell>
        </row>
        <row r="197">
          <cell r="A197" t="str">
            <v>6602.09.02</v>
          </cell>
          <cell r="B197" t="str">
            <v>　　　　伙食费</v>
          </cell>
          <cell r="C197" t="str">
            <v>【未录入】</v>
          </cell>
          <cell r="D197" t="str">
            <v>【未录入】</v>
          </cell>
        </row>
        <row r="198">
          <cell r="A198" t="str">
            <v>6602.09.02</v>
          </cell>
          <cell r="B198" t="str">
            <v>　　　　伙食费</v>
          </cell>
          <cell r="C198" t="str">
            <v>CI002</v>
          </cell>
          <cell r="D198" t="str">
            <v>旭智富能</v>
          </cell>
        </row>
        <row r="199">
          <cell r="A199" t="str">
            <v>6602.09.03</v>
          </cell>
          <cell r="B199" t="str">
            <v>　　　　地面交通费</v>
          </cell>
          <cell r="G199">
            <v>5264.27</v>
          </cell>
          <cell r="H199">
            <v>5264.27</v>
          </cell>
        </row>
        <row r="200">
          <cell r="A200" t="str">
            <v>6602.09.03</v>
          </cell>
          <cell r="B200" t="str">
            <v>　　　　地面交通费</v>
          </cell>
          <cell r="C200" t="str">
            <v>【未录入】</v>
          </cell>
          <cell r="D200" t="str">
            <v>【未录入】</v>
          </cell>
        </row>
        <row r="201">
          <cell r="A201" t="str">
            <v>6602.09.03</v>
          </cell>
          <cell r="B201" t="str">
            <v>　　　　地面交通费</v>
          </cell>
          <cell r="C201" t="str">
            <v>CI002</v>
          </cell>
          <cell r="D201" t="str">
            <v>旭智富能</v>
          </cell>
          <cell r="G201">
            <v>5264.27</v>
          </cell>
          <cell r="H201">
            <v>5264.27</v>
          </cell>
        </row>
        <row r="202">
          <cell r="A202" t="str">
            <v>6602.09.03</v>
          </cell>
          <cell r="B202" t="str">
            <v>　　　　地面交通费</v>
          </cell>
          <cell r="C202" t="str">
            <v>CI005</v>
          </cell>
          <cell r="D202" t="str">
            <v>旭智私募</v>
          </cell>
        </row>
        <row r="203">
          <cell r="A203" t="str">
            <v>6602.09.03</v>
          </cell>
          <cell r="B203" t="str">
            <v>　　　　地面交通费</v>
          </cell>
          <cell r="C203" t="str">
            <v>CI006</v>
          </cell>
          <cell r="D203" t="str">
            <v>旭智咨询</v>
          </cell>
        </row>
        <row r="204">
          <cell r="A204" t="str">
            <v>6602.09.04</v>
          </cell>
          <cell r="B204" t="str">
            <v>　　　　空中交通费</v>
          </cell>
          <cell r="G204">
            <v>4927.09</v>
          </cell>
          <cell r="H204">
            <v>4927.09</v>
          </cell>
        </row>
        <row r="205">
          <cell r="A205" t="str">
            <v>6602.09.04</v>
          </cell>
          <cell r="B205" t="str">
            <v>　　　　空中交通费</v>
          </cell>
          <cell r="C205" t="str">
            <v>【未录入】</v>
          </cell>
          <cell r="D205" t="str">
            <v>【未录入】</v>
          </cell>
        </row>
        <row r="206">
          <cell r="A206" t="str">
            <v>6602.09.04</v>
          </cell>
          <cell r="B206" t="str">
            <v>　　　　空中交通费</v>
          </cell>
          <cell r="C206" t="str">
            <v>CI002</v>
          </cell>
          <cell r="D206" t="str">
            <v>旭智富能</v>
          </cell>
          <cell r="G206">
            <v>4927.09</v>
          </cell>
          <cell r="H206">
            <v>4927.09</v>
          </cell>
        </row>
        <row r="207">
          <cell r="A207" t="str">
            <v>6602.09.04</v>
          </cell>
          <cell r="B207" t="str">
            <v>　　　　空中交通费</v>
          </cell>
          <cell r="C207" t="str">
            <v>CI005</v>
          </cell>
          <cell r="D207" t="str">
            <v>旭智私募</v>
          </cell>
        </row>
        <row r="208">
          <cell r="A208" t="str">
            <v>6602.09.05</v>
          </cell>
          <cell r="B208" t="str">
            <v>　　　　租车</v>
          </cell>
        </row>
        <row r="209">
          <cell r="A209" t="str">
            <v>6602.09.05</v>
          </cell>
          <cell r="B209" t="str">
            <v>　　　　租车</v>
          </cell>
          <cell r="C209" t="str">
            <v>CI002</v>
          </cell>
          <cell r="D209" t="str">
            <v>旭智富能</v>
          </cell>
        </row>
        <row r="210">
          <cell r="A210" t="str">
            <v>6602.09.06</v>
          </cell>
          <cell r="B210" t="str">
            <v>　　　　其他汽车费用</v>
          </cell>
        </row>
        <row r="211">
          <cell r="A211" t="str">
            <v>6602.09.06</v>
          </cell>
          <cell r="B211" t="str">
            <v>　　　　其他汽车费用</v>
          </cell>
          <cell r="C211" t="str">
            <v>CI002</v>
          </cell>
          <cell r="D211" t="str">
            <v>旭智富能</v>
          </cell>
        </row>
        <row r="212">
          <cell r="A212" t="str">
            <v>6602.09.99</v>
          </cell>
          <cell r="B212" t="str">
            <v>　　　　其他</v>
          </cell>
        </row>
        <row r="213">
          <cell r="A213" t="str">
            <v>6602.09.99</v>
          </cell>
          <cell r="B213" t="str">
            <v>　　　　其他</v>
          </cell>
          <cell r="C213" t="str">
            <v>CI006</v>
          </cell>
          <cell r="D213" t="str">
            <v>旭智咨询</v>
          </cell>
        </row>
        <row r="214">
          <cell r="A214" t="str">
            <v>6602.10</v>
          </cell>
          <cell r="B214" t="str">
            <v>　　折旧费</v>
          </cell>
          <cell r="G214">
            <v>2710.46</v>
          </cell>
          <cell r="H214">
            <v>2710.46</v>
          </cell>
        </row>
        <row r="215">
          <cell r="A215" t="str">
            <v>6602.10.01</v>
          </cell>
          <cell r="B215" t="str">
            <v>　　　　电子设备</v>
          </cell>
          <cell r="G215">
            <v>2032.37</v>
          </cell>
          <cell r="H215">
            <v>2032.37</v>
          </cell>
        </row>
        <row r="216">
          <cell r="A216" t="str">
            <v>6602.10.04</v>
          </cell>
          <cell r="B216" t="str">
            <v>　　　　家具设备</v>
          </cell>
          <cell r="G216">
            <v>678.09</v>
          </cell>
          <cell r="H216">
            <v>678.09</v>
          </cell>
        </row>
        <row r="217">
          <cell r="A217" t="str">
            <v>6602.12</v>
          </cell>
          <cell r="B217" t="str">
            <v>　　使用权资产折旧</v>
          </cell>
        </row>
        <row r="218">
          <cell r="A218" t="str">
            <v>6602.12.02</v>
          </cell>
          <cell r="B218" t="str">
            <v>　　　　办公地址</v>
          </cell>
        </row>
        <row r="219">
          <cell r="A219" t="str">
            <v>6602.12.02.01</v>
          </cell>
          <cell r="B219" t="str">
            <v>　　　　　　旭智咨询--鼎和大厦1606</v>
          </cell>
        </row>
        <row r="220">
          <cell r="A220" t="str">
            <v>6602.13</v>
          </cell>
          <cell r="B220" t="str">
            <v>　　物业管理费</v>
          </cell>
        </row>
        <row r="221">
          <cell r="A221" t="str">
            <v>6602.15</v>
          </cell>
          <cell r="B221" t="str">
            <v>　　服务费</v>
          </cell>
        </row>
        <row r="222">
          <cell r="A222" t="str">
            <v>6602.99</v>
          </cell>
          <cell r="B222" t="str">
            <v>　　其他</v>
          </cell>
        </row>
        <row r="223">
          <cell r="A223" t="str">
            <v>6603</v>
          </cell>
          <cell r="B223" t="str">
            <v>财务费用</v>
          </cell>
          <cell r="G223">
            <v>-1.53</v>
          </cell>
          <cell r="H223">
            <v>-1.53</v>
          </cell>
        </row>
        <row r="224">
          <cell r="A224" t="str">
            <v>6603.01</v>
          </cell>
          <cell r="B224" t="str">
            <v>　　汇兑损益</v>
          </cell>
          <cell r="G224">
            <v>-93.1</v>
          </cell>
          <cell r="H224">
            <v>-93.1</v>
          </cell>
        </row>
        <row r="225">
          <cell r="A225" t="str">
            <v>6603.02</v>
          </cell>
          <cell r="B225" t="str">
            <v>　　利息费用</v>
          </cell>
        </row>
        <row r="226">
          <cell r="A226" t="str">
            <v>6603.02.02</v>
          </cell>
          <cell r="B226" t="str">
            <v>　　　　办公地址</v>
          </cell>
        </row>
        <row r="227">
          <cell r="A227" t="str">
            <v>6603.02.02.01</v>
          </cell>
          <cell r="B227" t="str">
            <v>　　　　　　旭智咨询--鼎和大厦1606</v>
          </cell>
        </row>
        <row r="228">
          <cell r="A228" t="str">
            <v>6603.03</v>
          </cell>
          <cell r="B228" t="str">
            <v>　　银行手续费</v>
          </cell>
          <cell r="G228">
            <v>91.57</v>
          </cell>
          <cell r="H228">
            <v>91.57</v>
          </cell>
        </row>
        <row r="229">
          <cell r="A229" t="str">
            <v>6603.04</v>
          </cell>
          <cell r="B229" t="str">
            <v>　　利息收入</v>
          </cell>
        </row>
        <row r="230">
          <cell r="A230" t="str">
            <v>6711</v>
          </cell>
          <cell r="B230" t="str">
            <v>营业外支出</v>
          </cell>
        </row>
        <row r="231">
          <cell r="A231" t="str">
            <v>6711.02</v>
          </cell>
          <cell r="B231" t="str">
            <v>　　非流动资产处置损失</v>
          </cell>
        </row>
        <row r="232">
          <cell r="A232" t="str">
            <v>6801</v>
          </cell>
          <cell r="B232" t="str">
            <v>所得税费用</v>
          </cell>
        </row>
        <row r="233">
          <cell r="A233" t="str">
            <v>6801.01</v>
          </cell>
          <cell r="B233" t="str">
            <v>　　当期所得税费用</v>
          </cell>
        </row>
        <row r="234">
          <cell r="A234" t="str">
            <v>6801.03</v>
          </cell>
          <cell r="B234" t="str">
            <v>　　以前年度所得税费用</v>
          </cell>
        </row>
        <row r="235">
          <cell r="B235" t="str">
            <v>合计</v>
          </cell>
          <cell r="E235">
            <v>6416448.9400000004</v>
          </cell>
          <cell r="F235">
            <v>6350140.6799999997</v>
          </cell>
          <cell r="G235">
            <v>1022368.31</v>
          </cell>
          <cell r="H235">
            <v>1022461.41</v>
          </cell>
        </row>
      </sheetData>
      <sheetData sheetId="10">
        <row r="1">
          <cell r="A1" t="str">
            <v>币别:人民币</v>
          </cell>
          <cell r="B1" t="str">
            <v>账簿:旭智咨询管理（深圳）有限责任公司</v>
          </cell>
          <cell r="C1" t="str">
            <v>期间:2025.11 -- 2025.11</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190881.94</v>
          </cell>
          <cell r="G4">
            <v>605376.52</v>
          </cell>
          <cell r="H4">
            <v>620329.42000000004</v>
          </cell>
        </row>
        <row r="5">
          <cell r="A5" t="str">
            <v>1002.21</v>
          </cell>
          <cell r="B5" t="str">
            <v>　　【旭智咨询】银行存款账户</v>
          </cell>
          <cell r="E5">
            <v>136727.76</v>
          </cell>
          <cell r="G5">
            <v>500376.52</v>
          </cell>
          <cell r="H5">
            <v>515000.58</v>
          </cell>
        </row>
        <row r="6">
          <cell r="A6" t="str">
            <v>1002.21.01</v>
          </cell>
          <cell r="B6" t="str">
            <v>　　　　招商银行账户</v>
          </cell>
          <cell r="E6">
            <v>136727.76</v>
          </cell>
          <cell r="G6">
            <v>500376.52</v>
          </cell>
          <cell r="H6">
            <v>515000.58</v>
          </cell>
        </row>
        <row r="7">
          <cell r="A7" t="str">
            <v>1002.21.01.01</v>
          </cell>
          <cell r="B7" t="str">
            <v>　　　　　　【旭智咨询】招商 人民币基本户 0108</v>
          </cell>
          <cell r="E7">
            <v>118846.83</v>
          </cell>
          <cell r="G7">
            <v>500376.52</v>
          </cell>
          <cell r="H7">
            <v>515000.58</v>
          </cell>
        </row>
        <row r="8">
          <cell r="A8" t="str">
            <v>1002.21.01.02</v>
          </cell>
          <cell r="B8" t="str">
            <v>　　　　　　【旭智咨询】招商 人民币资本金账户 0202</v>
          </cell>
          <cell r="E8">
            <v>17880.93</v>
          </cell>
        </row>
        <row r="9">
          <cell r="A9" t="str">
            <v>1002.22</v>
          </cell>
          <cell r="B9" t="str">
            <v>　　【旭智咨询北京】银行存款账户</v>
          </cell>
          <cell r="E9">
            <v>54154.18</v>
          </cell>
          <cell r="G9">
            <v>105000</v>
          </cell>
          <cell r="H9">
            <v>105328.84</v>
          </cell>
        </row>
        <row r="10">
          <cell r="A10" t="str">
            <v>1002.22.01</v>
          </cell>
          <cell r="B10" t="str">
            <v>　　　　招商银行账户</v>
          </cell>
          <cell r="E10">
            <v>54154.18</v>
          </cell>
          <cell r="G10">
            <v>105000</v>
          </cell>
          <cell r="H10">
            <v>105328.84</v>
          </cell>
        </row>
        <row r="11">
          <cell r="A11" t="str">
            <v>1002.22.01.01</v>
          </cell>
          <cell r="B11" t="str">
            <v>　　　　　　【旭智咨询北京】人民币基本户 0001</v>
          </cell>
          <cell r="E11">
            <v>54154.18</v>
          </cell>
          <cell r="G11">
            <v>105000</v>
          </cell>
          <cell r="H11">
            <v>105328.84</v>
          </cell>
        </row>
        <row r="12">
          <cell r="A12" t="str">
            <v>1122</v>
          </cell>
          <cell r="B12" t="str">
            <v>应收账款</v>
          </cell>
          <cell r="E12">
            <v>223234.7</v>
          </cell>
        </row>
        <row r="13">
          <cell r="A13" t="str">
            <v>1122.01</v>
          </cell>
          <cell r="B13" t="str">
            <v>　　咨询费收入</v>
          </cell>
          <cell r="E13">
            <v>223234.7</v>
          </cell>
        </row>
        <row r="14">
          <cell r="A14" t="str">
            <v>1122.01</v>
          </cell>
          <cell r="B14" t="str">
            <v>　　咨询费收入</v>
          </cell>
          <cell r="C14" t="str">
            <v>CU003010</v>
          </cell>
          <cell r="D14" t="str">
            <v>旭智富能新能源（深圳）有限责任公司</v>
          </cell>
          <cell r="E14">
            <v>223234.7</v>
          </cell>
        </row>
        <row r="15">
          <cell r="A15" t="str">
            <v>1122.01</v>
          </cell>
          <cell r="B15" t="str">
            <v>　　咨询费收入</v>
          </cell>
          <cell r="C15" t="str">
            <v>CU006001</v>
          </cell>
          <cell r="D15" t="str">
            <v>胜科辉飏新能源（深圳）有限公司</v>
          </cell>
        </row>
        <row r="16">
          <cell r="A16" t="str">
            <v>1123</v>
          </cell>
          <cell r="B16" t="str">
            <v>预付账款</v>
          </cell>
          <cell r="E16">
            <v>9433.9599999999991</v>
          </cell>
          <cell r="G16">
            <v>39622.629999999997</v>
          </cell>
          <cell r="H16">
            <v>19811.310000000001</v>
          </cell>
        </row>
        <row r="17">
          <cell r="A17" t="str">
            <v>1123.01</v>
          </cell>
          <cell r="B17" t="str">
            <v>　　单位</v>
          </cell>
          <cell r="E17">
            <v>9433.9599999999991</v>
          </cell>
          <cell r="G17">
            <v>39622.629999999997</v>
          </cell>
          <cell r="H17">
            <v>19811.310000000001</v>
          </cell>
        </row>
        <row r="18">
          <cell r="A18" t="str">
            <v>1123.01</v>
          </cell>
          <cell r="B18" t="str">
            <v>　　单位</v>
          </cell>
          <cell r="C18" t="str">
            <v>SU006011</v>
          </cell>
          <cell r="D18" t="str">
            <v>广州晶东贸易有限公司</v>
          </cell>
        </row>
        <row r="19">
          <cell r="A19" t="str">
            <v>1123.01</v>
          </cell>
          <cell r="B19" t="str">
            <v>　　单位</v>
          </cell>
          <cell r="C19" t="str">
            <v>SU006012</v>
          </cell>
          <cell r="D19" t="str">
            <v>上海携程宏睿国际旅行社有限公司</v>
          </cell>
        </row>
        <row r="20">
          <cell r="A20" t="str">
            <v>1123.01</v>
          </cell>
          <cell r="B20" t="str">
            <v>　　单位</v>
          </cell>
          <cell r="C20" t="str">
            <v>SU006015</v>
          </cell>
          <cell r="D20" t="str">
            <v>成都协企兴企业管理咨询服务有限公司</v>
          </cell>
        </row>
        <row r="21">
          <cell r="A21" t="str">
            <v>1123.01</v>
          </cell>
          <cell r="B21" t="str">
            <v>　　单位</v>
          </cell>
          <cell r="C21" t="str">
            <v>SU006016</v>
          </cell>
          <cell r="D21" t="str">
            <v>爱奇创新投资研究（深圳）有限公司</v>
          </cell>
          <cell r="G21">
            <v>39622.629999999997</v>
          </cell>
          <cell r="H21">
            <v>19811.310000000001</v>
          </cell>
        </row>
        <row r="22">
          <cell r="A22" t="str">
            <v>1123.01</v>
          </cell>
          <cell r="B22" t="str">
            <v>　　单位</v>
          </cell>
          <cell r="C22" t="str">
            <v>SU006031</v>
          </cell>
          <cell r="D22" t="str">
            <v>深圳市金纳维科技有限公司</v>
          </cell>
          <cell r="E22">
            <v>9433.9599999999991</v>
          </cell>
        </row>
        <row r="23">
          <cell r="A23" t="str">
            <v>1221</v>
          </cell>
          <cell r="B23" t="str">
            <v>其他应收款</v>
          </cell>
          <cell r="E23">
            <v>22319.34</v>
          </cell>
          <cell r="G23">
            <v>1835.5</v>
          </cell>
        </row>
        <row r="24">
          <cell r="A24" t="str">
            <v>1221.01</v>
          </cell>
          <cell r="B24" t="str">
            <v>　　单位</v>
          </cell>
          <cell r="E24">
            <v>22319.34</v>
          </cell>
          <cell r="G24">
            <v>1500</v>
          </cell>
        </row>
        <row r="25">
          <cell r="A25" t="str">
            <v>1221.01</v>
          </cell>
          <cell r="B25" t="str">
            <v>　　单位</v>
          </cell>
          <cell r="C25" t="str">
            <v>CU003010</v>
          </cell>
          <cell r="D25" t="str">
            <v>旭智富能新能源（深圳）有限责任公司</v>
          </cell>
          <cell r="E25">
            <v>4800</v>
          </cell>
        </row>
        <row r="26">
          <cell r="A26" t="str">
            <v>1221.01</v>
          </cell>
          <cell r="B26" t="str">
            <v>　　单位</v>
          </cell>
          <cell r="C26" t="str">
            <v>CU006006</v>
          </cell>
          <cell r="D26" t="str">
            <v>爱奇创新投资研究（深圳）有限公司</v>
          </cell>
          <cell r="E26">
            <v>10000</v>
          </cell>
        </row>
        <row r="27">
          <cell r="A27" t="str">
            <v>1221.01</v>
          </cell>
          <cell r="B27" t="str">
            <v>　　单位</v>
          </cell>
          <cell r="C27" t="str">
            <v>CU006007</v>
          </cell>
          <cell r="D27" t="str">
            <v>深圳旭智私募股权基金管理有限公司</v>
          </cell>
        </row>
        <row r="28">
          <cell r="A28" t="str">
            <v>1221.01</v>
          </cell>
          <cell r="B28" t="str">
            <v>　　单位</v>
          </cell>
          <cell r="C28" t="str">
            <v>CU006008</v>
          </cell>
          <cell r="D28" t="str">
            <v>旭智富联（鹤壁）新能源有限责任公司</v>
          </cell>
          <cell r="E28">
            <v>2180</v>
          </cell>
          <cell r="G28">
            <v>1500</v>
          </cell>
        </row>
        <row r="29">
          <cell r="A29" t="str">
            <v>1221.01</v>
          </cell>
          <cell r="B29" t="str">
            <v>　　单位</v>
          </cell>
          <cell r="C29" t="str">
            <v>CU006009</v>
          </cell>
          <cell r="D29" t="str">
            <v>旭智兴邦（潍坊）农业高新科技有限公司</v>
          </cell>
        </row>
        <row r="30">
          <cell r="A30" t="str">
            <v>1221.01</v>
          </cell>
          <cell r="B30" t="str">
            <v>　　单位</v>
          </cell>
          <cell r="C30" t="str">
            <v>CU010001</v>
          </cell>
          <cell r="D30" t="str">
            <v>郴州市苏仙区景叶新能源有限责任公司</v>
          </cell>
          <cell r="E30">
            <v>5339.34</v>
          </cell>
        </row>
        <row r="31">
          <cell r="A31" t="str">
            <v>1221.02</v>
          </cell>
          <cell r="B31" t="str">
            <v>　　个人</v>
          </cell>
          <cell r="G31">
            <v>335.5</v>
          </cell>
        </row>
        <row r="32">
          <cell r="A32" t="str">
            <v>1221.02</v>
          </cell>
          <cell r="B32" t="str">
            <v>　　个人</v>
          </cell>
          <cell r="C32" t="str">
            <v>CP006002</v>
          </cell>
          <cell r="D32" t="str">
            <v>袁玉杰</v>
          </cell>
          <cell r="G32">
            <v>335.5</v>
          </cell>
        </row>
        <row r="33">
          <cell r="A33" t="str">
            <v>1511</v>
          </cell>
          <cell r="B33" t="str">
            <v>长期股权投资</v>
          </cell>
          <cell r="E33">
            <v>3996000</v>
          </cell>
        </row>
        <row r="34">
          <cell r="A34" t="str">
            <v>1511.01</v>
          </cell>
          <cell r="B34" t="str">
            <v>　　投资成本</v>
          </cell>
          <cell r="E34">
            <v>3996000</v>
          </cell>
        </row>
        <row r="35">
          <cell r="A35" t="str">
            <v>1511.01.01</v>
          </cell>
          <cell r="B35" t="str">
            <v>　　　　宜兴旭智投资咨询合伙企业（有限合伙）</v>
          </cell>
          <cell r="E35">
            <v>3996000</v>
          </cell>
        </row>
        <row r="36">
          <cell r="A36" t="str">
            <v>1601</v>
          </cell>
          <cell r="B36" t="str">
            <v>固定资产</v>
          </cell>
          <cell r="E36">
            <v>119847.66</v>
          </cell>
        </row>
        <row r="37">
          <cell r="A37" t="str">
            <v>1601.01</v>
          </cell>
          <cell r="B37" t="str">
            <v>　　电子设备</v>
          </cell>
          <cell r="E37">
            <v>77015.62</v>
          </cell>
        </row>
        <row r="38">
          <cell r="A38" t="str">
            <v>1601.04</v>
          </cell>
          <cell r="B38" t="str">
            <v>　　家具设备</v>
          </cell>
          <cell r="E38">
            <v>42832.04</v>
          </cell>
        </row>
        <row r="39">
          <cell r="A39" t="str">
            <v>1602</v>
          </cell>
          <cell r="B39" t="str">
            <v>累计折旧</v>
          </cell>
          <cell r="F39">
            <v>44982.15</v>
          </cell>
          <cell r="H39">
            <v>2710.46</v>
          </cell>
        </row>
        <row r="40">
          <cell r="A40" t="str">
            <v>1602.01</v>
          </cell>
          <cell r="B40" t="str">
            <v>　　电子设备</v>
          </cell>
          <cell r="F40">
            <v>12841.76</v>
          </cell>
          <cell r="H40">
            <v>678.09</v>
          </cell>
        </row>
        <row r="41">
          <cell r="A41" t="str">
            <v>1602.04</v>
          </cell>
          <cell r="B41" t="str">
            <v>　　家具设备</v>
          </cell>
          <cell r="F41">
            <v>32140.39</v>
          </cell>
          <cell r="H41">
            <v>2032.37</v>
          </cell>
        </row>
        <row r="42">
          <cell r="A42" t="str">
            <v>1606</v>
          </cell>
          <cell r="B42" t="str">
            <v>固定资产清理</v>
          </cell>
        </row>
        <row r="43">
          <cell r="A43" t="str">
            <v>1606.04</v>
          </cell>
          <cell r="B43" t="str">
            <v>　　家具设备</v>
          </cell>
        </row>
        <row r="44">
          <cell r="A44" t="str">
            <v>1641</v>
          </cell>
          <cell r="B44" t="str">
            <v>使用权资产</v>
          </cell>
        </row>
        <row r="45">
          <cell r="A45" t="str">
            <v>1641.01</v>
          </cell>
          <cell r="B45" t="str">
            <v>　　打印机租赁</v>
          </cell>
        </row>
        <row r="46">
          <cell r="A46" t="str">
            <v>1641.02</v>
          </cell>
          <cell r="B46" t="str">
            <v>　　办公地址</v>
          </cell>
        </row>
        <row r="47">
          <cell r="A47" t="str">
            <v>1641.02.01</v>
          </cell>
          <cell r="B47" t="str">
            <v>　　　　旭智咨询--鼎和大厦1606</v>
          </cell>
        </row>
        <row r="48">
          <cell r="A48" t="str">
            <v>1642</v>
          </cell>
          <cell r="B48" t="str">
            <v>使用权资产累计折旧</v>
          </cell>
        </row>
        <row r="49">
          <cell r="A49" t="str">
            <v>1642.01</v>
          </cell>
          <cell r="B49" t="str">
            <v>　　打印机租赁</v>
          </cell>
        </row>
        <row r="50">
          <cell r="A50" t="str">
            <v>1642.02</v>
          </cell>
          <cell r="B50" t="str">
            <v>　　办公地址</v>
          </cell>
        </row>
        <row r="51">
          <cell r="A51" t="str">
            <v>1642.02.01</v>
          </cell>
          <cell r="B51" t="str">
            <v>　　　　旭智咨询--鼎和大厦1606</v>
          </cell>
        </row>
        <row r="52">
          <cell r="A52" t="str">
            <v>1801</v>
          </cell>
          <cell r="B52" t="str">
            <v>长期待摊费用</v>
          </cell>
        </row>
        <row r="53">
          <cell r="A53" t="str">
            <v>1801.01</v>
          </cell>
          <cell r="B53" t="str">
            <v>　　装修费</v>
          </cell>
        </row>
        <row r="54">
          <cell r="A54" t="str">
            <v>2203</v>
          </cell>
          <cell r="B54" t="str">
            <v>预收账款</v>
          </cell>
        </row>
        <row r="55">
          <cell r="A55" t="str">
            <v>2203.01</v>
          </cell>
          <cell r="B55" t="str">
            <v>　　单位</v>
          </cell>
        </row>
        <row r="56">
          <cell r="A56" t="str">
            <v>2203.01</v>
          </cell>
          <cell r="B56" t="str">
            <v>　　单位</v>
          </cell>
          <cell r="C56" t="str">
            <v>CU006001</v>
          </cell>
          <cell r="D56" t="str">
            <v>胜科辉飏新能源（深圳）有限公司</v>
          </cell>
        </row>
        <row r="57">
          <cell r="A57" t="str">
            <v>2211</v>
          </cell>
          <cell r="B57" t="str">
            <v>应付职工薪酬</v>
          </cell>
          <cell r="F57">
            <v>40926.54</v>
          </cell>
          <cell r="G57">
            <v>354929.02</v>
          </cell>
          <cell r="H57">
            <v>354284.18</v>
          </cell>
        </row>
        <row r="58">
          <cell r="A58" t="str">
            <v>2211.01</v>
          </cell>
          <cell r="B58" t="str">
            <v>　　职工工资</v>
          </cell>
          <cell r="G58">
            <v>211973.37</v>
          </cell>
          <cell r="H58">
            <v>211973.37</v>
          </cell>
        </row>
        <row r="59">
          <cell r="A59" t="str">
            <v>2211.02</v>
          </cell>
          <cell r="B59" t="str">
            <v>　　职工奖金</v>
          </cell>
        </row>
        <row r="60">
          <cell r="A60" t="str">
            <v>2211.03</v>
          </cell>
          <cell r="B60" t="str">
            <v>　　劳务报酬</v>
          </cell>
          <cell r="G60">
            <v>3360</v>
          </cell>
          <cell r="H60">
            <v>3360</v>
          </cell>
        </row>
        <row r="61">
          <cell r="A61" t="str">
            <v>2211.05</v>
          </cell>
          <cell r="B61" t="str">
            <v>　　社会保险费</v>
          </cell>
          <cell r="F61">
            <v>24880.54</v>
          </cell>
          <cell r="G61">
            <v>78511.33</v>
          </cell>
          <cell r="H61">
            <v>78118.490000000005</v>
          </cell>
        </row>
        <row r="62">
          <cell r="A62" t="str">
            <v>2211.06</v>
          </cell>
          <cell r="B62" t="str">
            <v>　　住房公积金</v>
          </cell>
          <cell r="F62">
            <v>16046</v>
          </cell>
          <cell r="G62">
            <v>61084.32</v>
          </cell>
          <cell r="H62">
            <v>60832.32</v>
          </cell>
        </row>
        <row r="63">
          <cell r="A63" t="str">
            <v>2221</v>
          </cell>
          <cell r="B63" t="str">
            <v>应交税费</v>
          </cell>
          <cell r="F63">
            <v>24061.15</v>
          </cell>
          <cell r="G63">
            <v>54357.64</v>
          </cell>
          <cell r="H63">
            <v>54496.56</v>
          </cell>
        </row>
        <row r="64">
          <cell r="A64" t="str">
            <v>2221.01</v>
          </cell>
          <cell r="B64" t="str">
            <v>　　应交增值税</v>
          </cell>
          <cell r="G64">
            <v>9159.6200000000008</v>
          </cell>
          <cell r="H64">
            <v>9159.6200000000008</v>
          </cell>
        </row>
        <row r="65">
          <cell r="A65" t="str">
            <v>2221.01.01</v>
          </cell>
          <cell r="B65" t="str">
            <v>　　　　销项税额</v>
          </cell>
        </row>
        <row r="66">
          <cell r="A66" t="str">
            <v>2221.01.03</v>
          </cell>
          <cell r="B66" t="str">
            <v>　　　　进项税额</v>
          </cell>
          <cell r="G66">
            <v>4579.8100000000004</v>
          </cell>
          <cell r="H66">
            <v>4579.8100000000004</v>
          </cell>
        </row>
        <row r="67">
          <cell r="A67" t="str">
            <v>2221.01.06</v>
          </cell>
          <cell r="B67" t="str">
            <v>　　　　转出未交增值税</v>
          </cell>
          <cell r="G67">
            <v>4579.8100000000004</v>
          </cell>
          <cell r="H67">
            <v>4579.8100000000004</v>
          </cell>
        </row>
        <row r="68">
          <cell r="A68" t="str">
            <v>2221.03</v>
          </cell>
          <cell r="B68" t="str">
            <v>　　暂估进项税额</v>
          </cell>
          <cell r="E68">
            <v>1047.6600000000001</v>
          </cell>
          <cell r="G68">
            <v>866.89</v>
          </cell>
          <cell r="H68">
            <v>875.7</v>
          </cell>
        </row>
        <row r="69">
          <cell r="A69" t="str">
            <v>2221.04</v>
          </cell>
          <cell r="B69" t="str">
            <v>　　未交增值税</v>
          </cell>
          <cell r="E69">
            <v>22694.68</v>
          </cell>
          <cell r="G69">
            <v>4579.8100000000004</v>
          </cell>
        </row>
        <row r="70">
          <cell r="A70" t="str">
            <v>2221.06</v>
          </cell>
          <cell r="B70" t="str">
            <v>　　待认证进项税额</v>
          </cell>
          <cell r="E70">
            <v>7.37</v>
          </cell>
          <cell r="G70">
            <v>4576.49</v>
          </cell>
          <cell r="H70">
            <v>4579.8100000000004</v>
          </cell>
        </row>
        <row r="71">
          <cell r="A71" t="str">
            <v>2221.08</v>
          </cell>
          <cell r="B71" t="str">
            <v>　　待转销项税额</v>
          </cell>
          <cell r="F71">
            <v>12635.93</v>
          </cell>
        </row>
        <row r="72">
          <cell r="A72" t="str">
            <v>2221.12</v>
          </cell>
          <cell r="B72" t="str">
            <v>　　应交城市维护建设税</v>
          </cell>
        </row>
        <row r="73">
          <cell r="A73" t="str">
            <v>2221.13</v>
          </cell>
          <cell r="B73" t="str">
            <v>　　应交教育费附加</v>
          </cell>
        </row>
        <row r="74">
          <cell r="A74" t="str">
            <v>2221.14</v>
          </cell>
          <cell r="B74" t="str">
            <v>　　应交地方教育附加</v>
          </cell>
        </row>
        <row r="75">
          <cell r="A75" t="str">
            <v>2221.15</v>
          </cell>
          <cell r="B75" t="str">
            <v>　　应交企业所得税</v>
          </cell>
        </row>
        <row r="76">
          <cell r="A76" t="str">
            <v>2221.16</v>
          </cell>
          <cell r="B76" t="str">
            <v>　　应交个人所得税</v>
          </cell>
          <cell r="F76">
            <v>35174.93</v>
          </cell>
          <cell r="G76">
            <v>35174.83</v>
          </cell>
          <cell r="H76">
            <v>39881.43</v>
          </cell>
        </row>
        <row r="77">
          <cell r="A77" t="str">
            <v>2241</v>
          </cell>
          <cell r="B77" t="str">
            <v>其他应付款</v>
          </cell>
          <cell r="F77">
            <v>1851438.43</v>
          </cell>
          <cell r="G77">
            <v>178691.28</v>
          </cell>
          <cell r="H77">
            <v>672717.14</v>
          </cell>
        </row>
        <row r="78">
          <cell r="A78" t="str">
            <v>2241.01</v>
          </cell>
          <cell r="B78" t="str">
            <v>　　单位</v>
          </cell>
          <cell r="F78">
            <v>1851438.43</v>
          </cell>
          <cell r="G78">
            <v>143372.39000000001</v>
          </cell>
          <cell r="H78">
            <v>637398.25</v>
          </cell>
        </row>
        <row r="79">
          <cell r="A79" t="str">
            <v>2241.01</v>
          </cell>
          <cell r="B79" t="str">
            <v>　　单位</v>
          </cell>
          <cell r="C79" t="str">
            <v>SU005004</v>
          </cell>
          <cell r="D79" t="str">
            <v>上海爱文人才服务有限公司</v>
          </cell>
          <cell r="G79">
            <v>100869.11</v>
          </cell>
          <cell r="H79">
            <v>100869.11</v>
          </cell>
        </row>
        <row r="80">
          <cell r="A80" t="str">
            <v>2241.01</v>
          </cell>
          <cell r="B80" t="str">
            <v>　　单位</v>
          </cell>
          <cell r="C80" t="str">
            <v>SU005007</v>
          </cell>
          <cell r="D80" t="str">
            <v>普华永道中天会计师事务所（特殊普通合伙）</v>
          </cell>
        </row>
        <row r="81">
          <cell r="A81" t="str">
            <v>2241.01</v>
          </cell>
          <cell r="B81" t="str">
            <v>　　单位</v>
          </cell>
          <cell r="C81" t="str">
            <v>SU005026</v>
          </cell>
          <cell r="D81" t="str">
            <v>中国电信股份有限公司</v>
          </cell>
          <cell r="G81">
            <v>59</v>
          </cell>
          <cell r="H81">
            <v>59</v>
          </cell>
        </row>
        <row r="82">
          <cell r="A82" t="str">
            <v>2241.01</v>
          </cell>
          <cell r="B82" t="str">
            <v>　　单位</v>
          </cell>
          <cell r="C82" t="str">
            <v>SU005037</v>
          </cell>
          <cell r="D82" t="str">
            <v>深圳点石新能源投资有限责任公司</v>
          </cell>
        </row>
        <row r="83">
          <cell r="A83" t="str">
            <v>2241.01</v>
          </cell>
          <cell r="B83" t="str">
            <v>　　单位</v>
          </cell>
          <cell r="C83" t="str">
            <v>SU005039</v>
          </cell>
          <cell r="D83" t="str">
            <v>海华税务师事务所有限公司深圳分公司</v>
          </cell>
        </row>
        <row r="84">
          <cell r="A84" t="str">
            <v>2241.01</v>
          </cell>
          <cell r="B84" t="str">
            <v>　　单位</v>
          </cell>
          <cell r="C84" t="str">
            <v>SU005043</v>
          </cell>
          <cell r="D84" t="str">
            <v>旭智资本有限公司</v>
          </cell>
        </row>
        <row r="85">
          <cell r="A85" t="str">
            <v>2241.01</v>
          </cell>
          <cell r="B85" t="str">
            <v>　　单位</v>
          </cell>
          <cell r="C85" t="str">
            <v>SU006006</v>
          </cell>
          <cell r="D85" t="str">
            <v>深圳市新趋势科技有限公司</v>
          </cell>
        </row>
        <row r="86">
          <cell r="A86" t="str">
            <v>2241.01</v>
          </cell>
          <cell r="B86" t="str">
            <v>　　单位</v>
          </cell>
          <cell r="C86" t="str">
            <v>SU006008</v>
          </cell>
          <cell r="D86" t="str">
            <v>深圳市前海创时代企业管理有限公司</v>
          </cell>
        </row>
        <row r="87">
          <cell r="A87" t="str">
            <v>2241.01</v>
          </cell>
          <cell r="B87" t="str">
            <v>　　单位</v>
          </cell>
          <cell r="C87" t="str">
            <v>SU006012</v>
          </cell>
          <cell r="D87" t="str">
            <v>上海携程宏睿国际旅行社有限公司</v>
          </cell>
          <cell r="F87">
            <v>22187.95</v>
          </cell>
          <cell r="G87">
            <v>22187.95</v>
          </cell>
          <cell r="H87">
            <v>36025.14</v>
          </cell>
        </row>
        <row r="88">
          <cell r="A88" t="str">
            <v>2241.01</v>
          </cell>
          <cell r="B88" t="str">
            <v>　　单位</v>
          </cell>
          <cell r="C88" t="str">
            <v>SU006016</v>
          </cell>
          <cell r="D88" t="str">
            <v>爱奇创新投资研究（深圳）有限公司</v>
          </cell>
          <cell r="F88">
            <v>19811.330000000002</v>
          </cell>
          <cell r="G88">
            <v>19811.330000000002</v>
          </cell>
        </row>
        <row r="89">
          <cell r="A89" t="str">
            <v>2241.01</v>
          </cell>
          <cell r="B89" t="str">
            <v>　　单位</v>
          </cell>
          <cell r="C89" t="str">
            <v>SU006018</v>
          </cell>
          <cell r="D89" t="str">
            <v>深圳辉飏新能源投资咨询有限责任公司</v>
          </cell>
        </row>
        <row r="90">
          <cell r="A90" t="str">
            <v>2241.01</v>
          </cell>
          <cell r="B90" t="str">
            <v>　　单位</v>
          </cell>
          <cell r="C90" t="str">
            <v>SU006021</v>
          </cell>
          <cell r="D90" t="str">
            <v>北京市汉坤律师事务所</v>
          </cell>
          <cell r="F90">
            <v>40000</v>
          </cell>
        </row>
        <row r="91">
          <cell r="A91" t="str">
            <v>2241.01</v>
          </cell>
          <cell r="B91" t="str">
            <v>　　单位</v>
          </cell>
          <cell r="C91" t="str">
            <v>SU006023</v>
          </cell>
          <cell r="D91" t="str">
            <v>顺丰速运有限公司</v>
          </cell>
          <cell r="G91">
            <v>445</v>
          </cell>
          <cell r="H91">
            <v>445</v>
          </cell>
        </row>
        <row r="92">
          <cell r="A92" t="str">
            <v>2241.01</v>
          </cell>
          <cell r="B92" t="str">
            <v>　　单位</v>
          </cell>
          <cell r="C92" t="str">
            <v>SU006025</v>
          </cell>
          <cell r="D92" t="str">
            <v>全景求是管理顾问（北京）有限公司</v>
          </cell>
        </row>
        <row r="93">
          <cell r="A93" t="str">
            <v>2241.01</v>
          </cell>
          <cell r="B93" t="str">
            <v>　　单位</v>
          </cell>
          <cell r="C93" t="str">
            <v>SU006026</v>
          </cell>
          <cell r="D93" t="str">
            <v>和谐汇股权投资管理（北京）有限公司</v>
          </cell>
        </row>
        <row r="94">
          <cell r="A94" t="str">
            <v>2241.01</v>
          </cell>
          <cell r="B94" t="str">
            <v>　　单位</v>
          </cell>
          <cell r="C94" t="str">
            <v>SU006027</v>
          </cell>
          <cell r="D94" t="str">
            <v>南德认证检测（中国）有限公司</v>
          </cell>
        </row>
        <row r="95">
          <cell r="A95" t="str">
            <v>2241.01</v>
          </cell>
          <cell r="B95" t="str">
            <v>　　单位</v>
          </cell>
          <cell r="C95" t="str">
            <v>SU006029</v>
          </cell>
          <cell r="D95" t="str">
            <v>宁波梅山保税港区爱奇观恒投资管理有限公司</v>
          </cell>
        </row>
        <row r="96">
          <cell r="A96" t="str">
            <v>2241.01</v>
          </cell>
          <cell r="B96" t="str">
            <v>　　单位</v>
          </cell>
          <cell r="C96" t="str">
            <v>SU006032</v>
          </cell>
          <cell r="D96" t="str">
            <v>广州旭智投资控股有限责任公司</v>
          </cell>
          <cell r="F96">
            <v>1509439.15</v>
          </cell>
        </row>
        <row r="97">
          <cell r="A97" t="str">
            <v>2241.01</v>
          </cell>
          <cell r="B97" t="str">
            <v>　　单位</v>
          </cell>
          <cell r="C97" t="str">
            <v>SU006033</v>
          </cell>
          <cell r="D97" t="str">
            <v>上海硕昉管理咨询有限公司</v>
          </cell>
          <cell r="F97">
            <v>260000</v>
          </cell>
        </row>
        <row r="98">
          <cell r="A98" t="str">
            <v>2241.01</v>
          </cell>
          <cell r="B98" t="str">
            <v>　　单位</v>
          </cell>
          <cell r="C98" t="str">
            <v>SU006034</v>
          </cell>
          <cell r="D98" t="str">
            <v>北京鉴衡认证中心有限公司</v>
          </cell>
        </row>
        <row r="99">
          <cell r="A99" t="str">
            <v>2241.01</v>
          </cell>
          <cell r="B99" t="str">
            <v>　　单位</v>
          </cell>
          <cell r="C99" t="str">
            <v>SU006035</v>
          </cell>
          <cell r="D99" t="str">
            <v>同道精英（天津）信息技术有限公司</v>
          </cell>
        </row>
        <row r="100">
          <cell r="A100" t="str">
            <v>2241.01</v>
          </cell>
          <cell r="B100" t="str">
            <v>　　单位</v>
          </cell>
          <cell r="C100" t="str">
            <v>SU006036</v>
          </cell>
          <cell r="D100" t="str">
            <v>玖信商鲲（北京）企业服务有限公司</v>
          </cell>
        </row>
        <row r="101">
          <cell r="A101" t="str">
            <v>2241.01</v>
          </cell>
          <cell r="B101" t="str">
            <v>　　单位</v>
          </cell>
          <cell r="C101" t="str">
            <v>SU006037</v>
          </cell>
          <cell r="D101" t="str">
            <v>普华永道咨询（深圳）有限公司</v>
          </cell>
        </row>
        <row r="102">
          <cell r="A102" t="str">
            <v>2241.01</v>
          </cell>
          <cell r="B102" t="str">
            <v>　　单位</v>
          </cell>
          <cell r="C102" t="str">
            <v>SU006038</v>
          </cell>
          <cell r="D102" t="str">
            <v>深圳旭智私募股权基金管理有限公司</v>
          </cell>
          <cell r="H102">
            <v>500000</v>
          </cell>
        </row>
        <row r="103">
          <cell r="A103" t="str">
            <v>2241.02</v>
          </cell>
          <cell r="B103" t="str">
            <v>　　个人</v>
          </cell>
          <cell r="G103">
            <v>35318.89</v>
          </cell>
          <cell r="H103">
            <v>35318.89</v>
          </cell>
        </row>
        <row r="104">
          <cell r="A104" t="str">
            <v>2241.02</v>
          </cell>
          <cell r="B104" t="str">
            <v>　　个人</v>
          </cell>
          <cell r="C104" t="str">
            <v>SP005001</v>
          </cell>
          <cell r="D104" t="str">
            <v>冯冠邦</v>
          </cell>
        </row>
        <row r="105">
          <cell r="A105" t="str">
            <v>2241.02</v>
          </cell>
          <cell r="B105" t="str">
            <v>　　个人</v>
          </cell>
          <cell r="C105" t="str">
            <v>SP005011</v>
          </cell>
          <cell r="D105" t="str">
            <v>郭宗林</v>
          </cell>
        </row>
        <row r="106">
          <cell r="A106" t="str">
            <v>2241.02</v>
          </cell>
          <cell r="B106" t="str">
            <v>　　个人</v>
          </cell>
          <cell r="C106" t="str">
            <v>SP005012</v>
          </cell>
          <cell r="D106" t="str">
            <v>吴雅薇</v>
          </cell>
        </row>
        <row r="107">
          <cell r="A107" t="str">
            <v>2241.02</v>
          </cell>
          <cell r="B107" t="str">
            <v>　　个人</v>
          </cell>
          <cell r="C107" t="str">
            <v>SP006002</v>
          </cell>
          <cell r="D107" t="str">
            <v>陈灿</v>
          </cell>
        </row>
        <row r="108">
          <cell r="A108" t="str">
            <v>2241.02</v>
          </cell>
          <cell r="B108" t="str">
            <v>　　个人</v>
          </cell>
          <cell r="C108" t="str">
            <v>SP006003</v>
          </cell>
          <cell r="D108" t="str">
            <v>袁玉杰</v>
          </cell>
          <cell r="G108">
            <v>6934.44</v>
          </cell>
          <cell r="H108">
            <v>6934.44</v>
          </cell>
        </row>
        <row r="109">
          <cell r="A109" t="str">
            <v>2241.02</v>
          </cell>
          <cell r="B109" t="str">
            <v>　　个人</v>
          </cell>
          <cell r="C109" t="str">
            <v>SP006004</v>
          </cell>
          <cell r="D109" t="str">
            <v>高焙</v>
          </cell>
          <cell r="G109">
            <v>4522.5200000000004</v>
          </cell>
          <cell r="H109">
            <v>4522.5200000000004</v>
          </cell>
        </row>
        <row r="110">
          <cell r="A110" t="str">
            <v>2241.02</v>
          </cell>
          <cell r="B110" t="str">
            <v>　　个人</v>
          </cell>
          <cell r="C110" t="str">
            <v>SP006006</v>
          </cell>
          <cell r="D110" t="str">
            <v>王志强</v>
          </cell>
          <cell r="G110">
            <v>18379.96</v>
          </cell>
          <cell r="H110">
            <v>18379.96</v>
          </cell>
        </row>
        <row r="111">
          <cell r="A111" t="str">
            <v>2241.02</v>
          </cell>
          <cell r="B111" t="str">
            <v>　　个人</v>
          </cell>
          <cell r="C111" t="str">
            <v>SP006007</v>
          </cell>
          <cell r="D111" t="str">
            <v>徐彬</v>
          </cell>
        </row>
        <row r="112">
          <cell r="A112" t="str">
            <v>2241.02</v>
          </cell>
          <cell r="B112" t="str">
            <v>　　个人</v>
          </cell>
          <cell r="C112" t="str">
            <v>SP006008</v>
          </cell>
          <cell r="D112" t="str">
            <v>何梅春</v>
          </cell>
          <cell r="G112">
            <v>303</v>
          </cell>
          <cell r="H112">
            <v>303</v>
          </cell>
        </row>
        <row r="113">
          <cell r="A113" t="str">
            <v>2241.02</v>
          </cell>
          <cell r="B113" t="str">
            <v>　　个人</v>
          </cell>
          <cell r="C113" t="str">
            <v>SP006009</v>
          </cell>
          <cell r="D113" t="str">
            <v>林秋蝶</v>
          </cell>
        </row>
        <row r="114">
          <cell r="A114" t="str">
            <v>2241.02</v>
          </cell>
          <cell r="B114" t="str">
            <v>　　个人</v>
          </cell>
          <cell r="C114" t="str">
            <v>SP006012</v>
          </cell>
          <cell r="D114" t="str">
            <v>闫凯</v>
          </cell>
          <cell r="G114">
            <v>2601.1799999999998</v>
          </cell>
          <cell r="H114">
            <v>2601.1799999999998</v>
          </cell>
        </row>
        <row r="115">
          <cell r="A115" t="str">
            <v>2241.02</v>
          </cell>
          <cell r="B115" t="str">
            <v>　　个人</v>
          </cell>
          <cell r="C115" t="str">
            <v>SP006013</v>
          </cell>
          <cell r="D115" t="str">
            <v>叶亚峰</v>
          </cell>
          <cell r="G115">
            <v>2223.42</v>
          </cell>
          <cell r="H115">
            <v>2223.42</v>
          </cell>
        </row>
        <row r="116">
          <cell r="A116" t="str">
            <v>2241.02</v>
          </cell>
          <cell r="B116" t="str">
            <v>　　个人</v>
          </cell>
          <cell r="C116" t="str">
            <v>SP006014</v>
          </cell>
          <cell r="D116" t="str">
            <v>陈斌捷</v>
          </cell>
          <cell r="G116">
            <v>354.37</v>
          </cell>
          <cell r="H116">
            <v>354.37</v>
          </cell>
        </row>
        <row r="117">
          <cell r="A117" t="str">
            <v>2601</v>
          </cell>
          <cell r="B117" t="str">
            <v>租赁负债</v>
          </cell>
        </row>
        <row r="118">
          <cell r="A118" t="str">
            <v>2601.01</v>
          </cell>
          <cell r="B118" t="str">
            <v>　　租赁付款额</v>
          </cell>
        </row>
        <row r="119">
          <cell r="A119" t="str">
            <v>2601.01.02</v>
          </cell>
          <cell r="B119" t="str">
            <v>　　　　办公地址</v>
          </cell>
        </row>
        <row r="120">
          <cell r="A120" t="str">
            <v>2601.01.02.01</v>
          </cell>
          <cell r="B120" t="str">
            <v>　　　　　　旭智咨询--鼎和大厦1606</v>
          </cell>
        </row>
        <row r="121">
          <cell r="A121" t="str">
            <v>2601.02</v>
          </cell>
          <cell r="B121" t="str">
            <v>　　未确认融资费用</v>
          </cell>
        </row>
        <row r="122">
          <cell r="A122" t="str">
            <v>2601.02.02</v>
          </cell>
          <cell r="B122" t="str">
            <v>　　　　办公地址</v>
          </cell>
        </row>
        <row r="123">
          <cell r="A123" t="str">
            <v>2601.02.02.01</v>
          </cell>
          <cell r="B123" t="str">
            <v>　　　　　　旭智咨询--鼎和大厦1606</v>
          </cell>
        </row>
        <row r="124">
          <cell r="A124" t="str">
            <v>2601.03</v>
          </cell>
          <cell r="B124" t="str">
            <v>　　一年内到期的非流动负债</v>
          </cell>
        </row>
        <row r="125">
          <cell r="A125" t="str">
            <v>4001</v>
          </cell>
          <cell r="B125" t="str">
            <v>实收资本（股本）</v>
          </cell>
          <cell r="F125">
            <v>2500000</v>
          </cell>
        </row>
        <row r="126">
          <cell r="A126" t="str">
            <v>4001.10</v>
          </cell>
          <cell r="B126" t="str">
            <v>　　旭智资本有限公司</v>
          </cell>
          <cell r="F126">
            <v>2500000</v>
          </cell>
        </row>
        <row r="127">
          <cell r="A127" t="str">
            <v>4101</v>
          </cell>
          <cell r="B127" t="str">
            <v>盈余公积</v>
          </cell>
          <cell r="F127">
            <v>140513.82</v>
          </cell>
        </row>
        <row r="128">
          <cell r="A128" t="str">
            <v>4101.01</v>
          </cell>
          <cell r="B128" t="str">
            <v>　　法定盈余公积</v>
          </cell>
          <cell r="F128">
            <v>140513.82</v>
          </cell>
        </row>
        <row r="129">
          <cell r="A129" t="str">
            <v>4103</v>
          </cell>
          <cell r="B129" t="str">
            <v>本年利润</v>
          </cell>
          <cell r="E129">
            <v>1371044.11</v>
          </cell>
          <cell r="G129">
            <v>489253.45</v>
          </cell>
        </row>
        <row r="130">
          <cell r="A130" t="str">
            <v>4104</v>
          </cell>
          <cell r="B130" t="str">
            <v>利润分配</v>
          </cell>
          <cell r="F130">
            <v>1264624.46</v>
          </cell>
        </row>
        <row r="131">
          <cell r="A131" t="str">
            <v>4104.07</v>
          </cell>
          <cell r="B131" t="str">
            <v>　　未分配利润</v>
          </cell>
          <cell r="F131">
            <v>1264624.46</v>
          </cell>
        </row>
        <row r="132">
          <cell r="A132" t="str">
            <v>6001</v>
          </cell>
          <cell r="B132" t="str">
            <v>主营业务收入</v>
          </cell>
        </row>
        <row r="133">
          <cell r="A133" t="str">
            <v>6001.02</v>
          </cell>
          <cell r="B133" t="str">
            <v>　　咨询服务费收入</v>
          </cell>
        </row>
        <row r="134">
          <cell r="A134" t="str">
            <v>6001.02.01</v>
          </cell>
          <cell r="B134" t="str">
            <v>　　　　已开票</v>
          </cell>
        </row>
        <row r="135">
          <cell r="A135" t="str">
            <v>6001.02.01</v>
          </cell>
          <cell r="B135" t="str">
            <v>　　　　已开票</v>
          </cell>
          <cell r="C135" t="str">
            <v>【未录入】</v>
          </cell>
          <cell r="D135" t="str">
            <v>【未录入】</v>
          </cell>
        </row>
        <row r="136">
          <cell r="A136" t="str">
            <v>6115</v>
          </cell>
          <cell r="B136" t="str">
            <v>其他收益</v>
          </cell>
        </row>
        <row r="137">
          <cell r="A137" t="str">
            <v>6115.02</v>
          </cell>
          <cell r="B137" t="str">
            <v>　　个税手续费返还</v>
          </cell>
        </row>
        <row r="138">
          <cell r="A138" t="str">
            <v>6117</v>
          </cell>
          <cell r="B138" t="str">
            <v>资产处置损益</v>
          </cell>
        </row>
        <row r="139">
          <cell r="A139" t="str">
            <v>6405</v>
          </cell>
          <cell r="B139" t="str">
            <v>税金及附加</v>
          </cell>
        </row>
        <row r="140">
          <cell r="A140" t="str">
            <v>6405.02</v>
          </cell>
          <cell r="B140" t="str">
            <v>　　城市维护建设税</v>
          </cell>
        </row>
        <row r="141">
          <cell r="A141" t="str">
            <v>6405.03</v>
          </cell>
          <cell r="B141" t="str">
            <v>　　教育费附加</v>
          </cell>
        </row>
        <row r="142">
          <cell r="A142" t="str">
            <v>6405.04</v>
          </cell>
          <cell r="B142" t="str">
            <v>　　地方教育附加</v>
          </cell>
        </row>
        <row r="143">
          <cell r="A143" t="str">
            <v>6602</v>
          </cell>
          <cell r="B143" t="str">
            <v>管理费用</v>
          </cell>
          <cell r="G143">
            <v>489740.57</v>
          </cell>
          <cell r="H143">
            <v>489740.57</v>
          </cell>
        </row>
        <row r="144">
          <cell r="A144" t="str">
            <v>6602.01</v>
          </cell>
          <cell r="B144" t="str">
            <v>　　工资薪金</v>
          </cell>
          <cell r="G144">
            <v>308500</v>
          </cell>
          <cell r="H144">
            <v>308500</v>
          </cell>
        </row>
        <row r="145">
          <cell r="A145" t="str">
            <v>6602.01.01</v>
          </cell>
          <cell r="B145" t="str">
            <v>　　　　基本工资（专业）</v>
          </cell>
          <cell r="G145">
            <v>304500</v>
          </cell>
          <cell r="H145">
            <v>304500</v>
          </cell>
        </row>
        <row r="146">
          <cell r="A146" t="str">
            <v>6602.01.06</v>
          </cell>
          <cell r="B146" t="str">
            <v>　　　　劳务报酬</v>
          </cell>
          <cell r="G146">
            <v>4000</v>
          </cell>
          <cell r="H146">
            <v>4000</v>
          </cell>
        </row>
        <row r="147">
          <cell r="A147" t="str">
            <v>6602.02</v>
          </cell>
          <cell r="B147" t="str">
            <v>　　职工福利</v>
          </cell>
        </row>
        <row r="148">
          <cell r="A148" t="str">
            <v>6602.02.01</v>
          </cell>
          <cell r="B148" t="str">
            <v>　　　　员工福利</v>
          </cell>
        </row>
        <row r="149">
          <cell r="A149" t="str">
            <v>6602.02.02</v>
          </cell>
          <cell r="B149" t="str">
            <v>　　　　团建活动</v>
          </cell>
        </row>
        <row r="150">
          <cell r="A150" t="str">
            <v>6602.02.03</v>
          </cell>
          <cell r="B150" t="str">
            <v>　　　　体检费</v>
          </cell>
        </row>
        <row r="151">
          <cell r="A151" t="str">
            <v>6602.03</v>
          </cell>
          <cell r="B151" t="str">
            <v>　　社保公积金</v>
          </cell>
          <cell r="G151">
            <v>85665.61</v>
          </cell>
          <cell r="H151">
            <v>85665.61</v>
          </cell>
        </row>
        <row r="152">
          <cell r="A152" t="str">
            <v>6602.03.01</v>
          </cell>
          <cell r="B152" t="str">
            <v>　　　　员工社保福利</v>
          </cell>
          <cell r="G152">
            <v>55249.45</v>
          </cell>
          <cell r="H152">
            <v>55249.45</v>
          </cell>
        </row>
        <row r="153">
          <cell r="A153" t="str">
            <v>6602.03.02</v>
          </cell>
          <cell r="B153" t="str">
            <v>　　　　员工公积金福利</v>
          </cell>
          <cell r="G153">
            <v>30416.16</v>
          </cell>
          <cell r="H153">
            <v>30416.16</v>
          </cell>
        </row>
        <row r="154">
          <cell r="A154" t="str">
            <v>6602.04</v>
          </cell>
          <cell r="B154" t="str">
            <v>　　咨询及专业服务费</v>
          </cell>
          <cell r="G154">
            <v>22011.31</v>
          </cell>
          <cell r="H154">
            <v>22011.31</v>
          </cell>
        </row>
        <row r="155">
          <cell r="A155" t="str">
            <v>6602.04.02</v>
          </cell>
          <cell r="B155" t="str">
            <v>　　　　审计服务费</v>
          </cell>
        </row>
        <row r="156">
          <cell r="A156" t="str">
            <v>6602.04.03</v>
          </cell>
          <cell r="B156" t="str">
            <v>　　　　顾问费</v>
          </cell>
        </row>
        <row r="157">
          <cell r="A157" t="str">
            <v>6602.04.03</v>
          </cell>
          <cell r="B157" t="str">
            <v>　　　　顾问费</v>
          </cell>
          <cell r="C157" t="str">
            <v>【未录入】</v>
          </cell>
          <cell r="D157" t="str">
            <v>【未录入】</v>
          </cell>
        </row>
        <row r="158">
          <cell r="A158" t="str">
            <v>6602.04.04</v>
          </cell>
          <cell r="B158" t="str">
            <v>　　　　税务服务费</v>
          </cell>
        </row>
        <row r="159">
          <cell r="A159" t="str">
            <v>6602.04.05</v>
          </cell>
          <cell r="B159" t="str">
            <v>　　　　招聘服务费</v>
          </cell>
        </row>
        <row r="160">
          <cell r="A160" t="str">
            <v>6602.04.06</v>
          </cell>
          <cell r="B160" t="str">
            <v>　　　　法律服务费</v>
          </cell>
        </row>
        <row r="161">
          <cell r="A161" t="str">
            <v>6602.04.06</v>
          </cell>
          <cell r="B161" t="str">
            <v>　　　　法律服务费</v>
          </cell>
          <cell r="C161" t="str">
            <v>CI005</v>
          </cell>
          <cell r="D161" t="str">
            <v>旭智私募</v>
          </cell>
        </row>
        <row r="162">
          <cell r="A162" t="str">
            <v>6602.04.07</v>
          </cell>
          <cell r="B162" t="str">
            <v>　　　　人力资源服务费</v>
          </cell>
          <cell r="G162">
            <v>2200</v>
          </cell>
          <cell r="H162">
            <v>2200</v>
          </cell>
        </row>
        <row r="163">
          <cell r="A163" t="str">
            <v>6602.04.08</v>
          </cell>
          <cell r="B163" t="str">
            <v>　　　　背景调查费</v>
          </cell>
        </row>
        <row r="164">
          <cell r="A164" t="str">
            <v>6602.04.11</v>
          </cell>
          <cell r="B164" t="str">
            <v>　　　　技术服务费</v>
          </cell>
        </row>
        <row r="165">
          <cell r="A165" t="str">
            <v>6602.04.11</v>
          </cell>
          <cell r="B165" t="str">
            <v>　　　　技术服务费</v>
          </cell>
          <cell r="C165" t="str">
            <v>CI002</v>
          </cell>
          <cell r="D165" t="str">
            <v>旭智富能</v>
          </cell>
        </row>
        <row r="166">
          <cell r="A166" t="str">
            <v>6602.04.99</v>
          </cell>
          <cell r="B166" t="str">
            <v>　　　　其他</v>
          </cell>
          <cell r="G166">
            <v>19811.310000000001</v>
          </cell>
          <cell r="H166">
            <v>19811.310000000001</v>
          </cell>
        </row>
        <row r="167">
          <cell r="A167" t="str">
            <v>6602.04.99</v>
          </cell>
          <cell r="B167" t="str">
            <v>　　　　其他</v>
          </cell>
          <cell r="C167" t="str">
            <v>【未录入】</v>
          </cell>
          <cell r="D167" t="str">
            <v>【未录入】</v>
          </cell>
        </row>
        <row r="168">
          <cell r="A168" t="str">
            <v>6602.04.99</v>
          </cell>
          <cell r="B168" t="str">
            <v>　　　　其他</v>
          </cell>
          <cell r="C168" t="str">
            <v>CI006</v>
          </cell>
          <cell r="D168" t="str">
            <v>旭智咨询</v>
          </cell>
          <cell r="G168">
            <v>19811.310000000001</v>
          </cell>
          <cell r="H168">
            <v>19811.310000000001</v>
          </cell>
        </row>
        <row r="169">
          <cell r="A169" t="str">
            <v>6602.05</v>
          </cell>
          <cell r="B169" t="str">
            <v>　　占用费</v>
          </cell>
        </row>
        <row r="170">
          <cell r="A170" t="str">
            <v>6602.05.03</v>
          </cell>
          <cell r="B170" t="str">
            <v>　　　　电费</v>
          </cell>
        </row>
        <row r="171">
          <cell r="A171" t="str">
            <v>6602.05.06</v>
          </cell>
          <cell r="B171" t="str">
            <v>　　　　装修费</v>
          </cell>
        </row>
        <row r="172">
          <cell r="A172" t="str">
            <v>6602.05.99</v>
          </cell>
          <cell r="B172" t="str">
            <v>　　　　其他</v>
          </cell>
        </row>
        <row r="173">
          <cell r="A173" t="str">
            <v>6602.06</v>
          </cell>
          <cell r="B173" t="str">
            <v>　　业务招待费</v>
          </cell>
          <cell r="G173">
            <v>16238</v>
          </cell>
          <cell r="H173">
            <v>16238</v>
          </cell>
        </row>
        <row r="174">
          <cell r="A174" t="str">
            <v>6602.06</v>
          </cell>
          <cell r="B174" t="str">
            <v>　　业务招待费</v>
          </cell>
          <cell r="C174" t="str">
            <v>CI002</v>
          </cell>
          <cell r="D174" t="str">
            <v>旭智富能</v>
          </cell>
          <cell r="G174">
            <v>16238</v>
          </cell>
          <cell r="H174">
            <v>16238</v>
          </cell>
        </row>
        <row r="175">
          <cell r="A175" t="str">
            <v>6602.08</v>
          </cell>
          <cell r="B175" t="str">
            <v>　　事务费用</v>
          </cell>
          <cell r="G175">
            <v>2033.18</v>
          </cell>
          <cell r="H175">
            <v>2033.18</v>
          </cell>
        </row>
        <row r="176">
          <cell r="A176" t="str">
            <v>6602.08.01</v>
          </cell>
          <cell r="B176" t="str">
            <v>　　　　通信费</v>
          </cell>
          <cell r="G176">
            <v>1613.37</v>
          </cell>
          <cell r="H176">
            <v>1613.37</v>
          </cell>
        </row>
        <row r="177">
          <cell r="A177" t="str">
            <v>6602.08.01</v>
          </cell>
          <cell r="B177" t="str">
            <v>　　　　通信费</v>
          </cell>
          <cell r="C177" t="str">
            <v>【未录入】</v>
          </cell>
          <cell r="D177" t="str">
            <v>【未录入】</v>
          </cell>
        </row>
        <row r="178">
          <cell r="A178" t="str">
            <v>6602.08.01</v>
          </cell>
          <cell r="B178" t="str">
            <v>　　　　通信费</v>
          </cell>
          <cell r="C178" t="str">
            <v>CI002</v>
          </cell>
          <cell r="D178" t="str">
            <v>旭智富能</v>
          </cell>
        </row>
        <row r="179">
          <cell r="A179" t="str">
            <v>6602.08.01</v>
          </cell>
          <cell r="B179" t="str">
            <v>　　　　通信费</v>
          </cell>
          <cell r="C179" t="str">
            <v>CI006</v>
          </cell>
          <cell r="D179" t="str">
            <v>旭智咨询</v>
          </cell>
          <cell r="G179">
            <v>1613.37</v>
          </cell>
          <cell r="H179">
            <v>1613.37</v>
          </cell>
        </row>
        <row r="180">
          <cell r="A180" t="str">
            <v>6602.08.03</v>
          </cell>
          <cell r="B180" t="str">
            <v>　　　　办公用品</v>
          </cell>
        </row>
        <row r="181">
          <cell r="A181" t="str">
            <v>6602.08.03</v>
          </cell>
          <cell r="B181" t="str">
            <v>　　　　办公用品</v>
          </cell>
          <cell r="C181" t="str">
            <v>【未录入】</v>
          </cell>
          <cell r="D181" t="str">
            <v>【未录入】</v>
          </cell>
        </row>
        <row r="182">
          <cell r="A182" t="str">
            <v>6602.08.03</v>
          </cell>
          <cell r="B182" t="str">
            <v>　　　　办公用品</v>
          </cell>
          <cell r="C182" t="str">
            <v>CI002</v>
          </cell>
          <cell r="D182" t="str">
            <v>旭智富能</v>
          </cell>
        </row>
        <row r="183">
          <cell r="A183" t="str">
            <v>6602.08.03</v>
          </cell>
          <cell r="B183" t="str">
            <v>　　　　办公用品</v>
          </cell>
          <cell r="C183" t="str">
            <v>CI006</v>
          </cell>
          <cell r="D183" t="str">
            <v>旭智咨询</v>
          </cell>
        </row>
        <row r="184">
          <cell r="A184" t="str">
            <v>6602.08.05</v>
          </cell>
          <cell r="B184" t="str">
            <v>　　　　邮费/邮递费</v>
          </cell>
          <cell r="G184">
            <v>419.81</v>
          </cell>
          <cell r="H184">
            <v>419.81</v>
          </cell>
        </row>
        <row r="185">
          <cell r="A185" t="str">
            <v>6602.08.05</v>
          </cell>
          <cell r="B185" t="str">
            <v>　　　　邮费/邮递费</v>
          </cell>
          <cell r="C185" t="str">
            <v>【未录入】</v>
          </cell>
          <cell r="D185" t="str">
            <v>【未录入】</v>
          </cell>
        </row>
        <row r="186">
          <cell r="A186" t="str">
            <v>6602.08.05</v>
          </cell>
          <cell r="B186" t="str">
            <v>　　　　邮费/邮递费</v>
          </cell>
          <cell r="C186" t="str">
            <v>CI006</v>
          </cell>
          <cell r="D186" t="str">
            <v>旭智咨询</v>
          </cell>
          <cell r="G186">
            <v>419.81</v>
          </cell>
          <cell r="H186">
            <v>419.81</v>
          </cell>
        </row>
        <row r="187">
          <cell r="A187" t="str">
            <v>6602.08.08</v>
          </cell>
          <cell r="B187" t="str">
            <v>　　　　软件使用费</v>
          </cell>
        </row>
        <row r="188">
          <cell r="A188" t="str">
            <v>6602.08.08</v>
          </cell>
          <cell r="B188" t="str">
            <v>　　　　软件使用费</v>
          </cell>
          <cell r="C188" t="str">
            <v>CI006</v>
          </cell>
          <cell r="D188" t="str">
            <v>旭智咨询</v>
          </cell>
        </row>
        <row r="189">
          <cell r="A189" t="str">
            <v>6602.08.99</v>
          </cell>
          <cell r="B189" t="str">
            <v>　　　　其他</v>
          </cell>
        </row>
        <row r="190">
          <cell r="A190" t="str">
            <v>6602.08.99</v>
          </cell>
          <cell r="B190" t="str">
            <v>　　　　其他</v>
          </cell>
          <cell r="C190" t="str">
            <v>【未录入】</v>
          </cell>
          <cell r="D190" t="str">
            <v>【未录入】</v>
          </cell>
        </row>
        <row r="191">
          <cell r="A191" t="str">
            <v>6602.08.99</v>
          </cell>
          <cell r="B191" t="str">
            <v>　　　　其他</v>
          </cell>
          <cell r="C191" t="str">
            <v>CI002</v>
          </cell>
          <cell r="D191" t="str">
            <v>旭智富能</v>
          </cell>
        </row>
        <row r="192">
          <cell r="A192" t="str">
            <v>6602.08.99</v>
          </cell>
          <cell r="B192" t="str">
            <v>　　　　其他</v>
          </cell>
          <cell r="C192" t="str">
            <v>CI006</v>
          </cell>
          <cell r="D192" t="str">
            <v>旭智咨询</v>
          </cell>
        </row>
        <row r="193">
          <cell r="A193" t="str">
            <v>6602.09</v>
          </cell>
          <cell r="B193" t="str">
            <v>　　差旅费</v>
          </cell>
          <cell r="G193">
            <v>52582.01</v>
          </cell>
          <cell r="H193">
            <v>52582.01</v>
          </cell>
        </row>
        <row r="194">
          <cell r="A194" t="str">
            <v>6602.09.01</v>
          </cell>
          <cell r="B194" t="str">
            <v>　　　　住宿费</v>
          </cell>
          <cell r="G194">
            <v>13869.94</v>
          </cell>
          <cell r="H194">
            <v>13869.94</v>
          </cell>
        </row>
        <row r="195">
          <cell r="A195" t="str">
            <v>6602.09.01</v>
          </cell>
          <cell r="B195" t="str">
            <v>　　　　住宿费</v>
          </cell>
          <cell r="C195" t="str">
            <v>【未录入】</v>
          </cell>
          <cell r="D195" t="str">
            <v>【未录入】</v>
          </cell>
        </row>
        <row r="196">
          <cell r="A196" t="str">
            <v>6602.09.01</v>
          </cell>
          <cell r="B196" t="str">
            <v>　　　　住宿费</v>
          </cell>
          <cell r="C196" t="str">
            <v>CI002</v>
          </cell>
          <cell r="D196" t="str">
            <v>旭智富能</v>
          </cell>
          <cell r="G196">
            <v>8135.17</v>
          </cell>
          <cell r="H196">
            <v>8135.17</v>
          </cell>
        </row>
        <row r="197">
          <cell r="A197" t="str">
            <v>6602.09.01</v>
          </cell>
          <cell r="B197" t="str">
            <v>　　　　住宿费</v>
          </cell>
          <cell r="C197" t="str">
            <v>CI005</v>
          </cell>
          <cell r="D197" t="str">
            <v>旭智私募</v>
          </cell>
        </row>
        <row r="198">
          <cell r="A198" t="str">
            <v>6602.09.01</v>
          </cell>
          <cell r="B198" t="str">
            <v>　　　　住宿费</v>
          </cell>
          <cell r="C198" t="str">
            <v>CI006</v>
          </cell>
          <cell r="D198" t="str">
            <v>旭智咨询</v>
          </cell>
          <cell r="G198">
            <v>5734.77</v>
          </cell>
          <cell r="H198">
            <v>5734.77</v>
          </cell>
        </row>
        <row r="199">
          <cell r="A199" t="str">
            <v>6602.09.02</v>
          </cell>
          <cell r="B199" t="str">
            <v>　　　　伙食费</v>
          </cell>
          <cell r="G199">
            <v>1943.45</v>
          </cell>
          <cell r="H199">
            <v>1943.45</v>
          </cell>
        </row>
        <row r="200">
          <cell r="A200" t="str">
            <v>6602.09.02</v>
          </cell>
          <cell r="B200" t="str">
            <v>　　　　伙食费</v>
          </cell>
          <cell r="C200" t="str">
            <v>【未录入】</v>
          </cell>
          <cell r="D200" t="str">
            <v>【未录入】</v>
          </cell>
        </row>
        <row r="201">
          <cell r="A201" t="str">
            <v>6602.09.02</v>
          </cell>
          <cell r="B201" t="str">
            <v>　　　　伙食费</v>
          </cell>
          <cell r="C201" t="str">
            <v>CI002</v>
          </cell>
          <cell r="D201" t="str">
            <v>旭智富能</v>
          </cell>
          <cell r="G201">
            <v>1943.45</v>
          </cell>
          <cell r="H201">
            <v>1943.45</v>
          </cell>
        </row>
        <row r="202">
          <cell r="A202" t="str">
            <v>6602.09.03</v>
          </cell>
          <cell r="B202" t="str">
            <v>　　　　地面交通费</v>
          </cell>
          <cell r="G202">
            <v>20418.97</v>
          </cell>
          <cell r="H202">
            <v>20418.97</v>
          </cell>
        </row>
        <row r="203">
          <cell r="A203" t="str">
            <v>6602.09.03</v>
          </cell>
          <cell r="B203" t="str">
            <v>　　　　地面交通费</v>
          </cell>
          <cell r="C203" t="str">
            <v>【未录入】</v>
          </cell>
          <cell r="D203" t="str">
            <v>【未录入】</v>
          </cell>
        </row>
        <row r="204">
          <cell r="A204" t="str">
            <v>6602.09.03</v>
          </cell>
          <cell r="B204" t="str">
            <v>　　　　地面交通费</v>
          </cell>
          <cell r="C204" t="str">
            <v>CI002</v>
          </cell>
          <cell r="D204" t="str">
            <v>旭智富能</v>
          </cell>
          <cell r="G204">
            <v>18678.990000000002</v>
          </cell>
          <cell r="H204">
            <v>18678.990000000002</v>
          </cell>
        </row>
        <row r="205">
          <cell r="A205" t="str">
            <v>6602.09.03</v>
          </cell>
          <cell r="B205" t="str">
            <v>　　　　地面交通费</v>
          </cell>
          <cell r="C205" t="str">
            <v>CI005</v>
          </cell>
          <cell r="D205" t="str">
            <v>旭智私募</v>
          </cell>
        </row>
        <row r="206">
          <cell r="A206" t="str">
            <v>6602.09.03</v>
          </cell>
          <cell r="B206" t="str">
            <v>　　　　地面交通费</v>
          </cell>
          <cell r="C206" t="str">
            <v>CI006</v>
          </cell>
          <cell r="D206" t="str">
            <v>旭智咨询</v>
          </cell>
          <cell r="G206">
            <v>1739.98</v>
          </cell>
          <cell r="H206">
            <v>1739.98</v>
          </cell>
        </row>
        <row r="207">
          <cell r="A207" t="str">
            <v>6602.09.04</v>
          </cell>
          <cell r="B207" t="str">
            <v>　　　　空中交通费</v>
          </cell>
          <cell r="G207">
            <v>15169.91</v>
          </cell>
          <cell r="H207">
            <v>15169.91</v>
          </cell>
        </row>
        <row r="208">
          <cell r="A208" t="str">
            <v>6602.09.04</v>
          </cell>
          <cell r="B208" t="str">
            <v>　　　　空中交通费</v>
          </cell>
          <cell r="C208" t="str">
            <v>【未录入】</v>
          </cell>
          <cell r="D208" t="str">
            <v>【未录入】</v>
          </cell>
        </row>
        <row r="209">
          <cell r="A209" t="str">
            <v>6602.09.04</v>
          </cell>
          <cell r="B209" t="str">
            <v>　　　　空中交通费</v>
          </cell>
          <cell r="C209" t="str">
            <v>CI002</v>
          </cell>
          <cell r="D209" t="str">
            <v>旭智富能</v>
          </cell>
          <cell r="G209">
            <v>10275.85</v>
          </cell>
          <cell r="H209">
            <v>10275.85</v>
          </cell>
        </row>
        <row r="210">
          <cell r="A210" t="str">
            <v>6602.09.04</v>
          </cell>
          <cell r="B210" t="str">
            <v>　　　　空中交通费</v>
          </cell>
          <cell r="C210" t="str">
            <v>CI005</v>
          </cell>
          <cell r="D210" t="str">
            <v>旭智私募</v>
          </cell>
        </row>
        <row r="211">
          <cell r="A211" t="str">
            <v>6602.09.04</v>
          </cell>
          <cell r="B211" t="str">
            <v>　　　　空中交通费</v>
          </cell>
          <cell r="C211" t="str">
            <v>CI006</v>
          </cell>
          <cell r="D211" t="str">
            <v>旭智咨询</v>
          </cell>
          <cell r="G211">
            <v>4894.0600000000004</v>
          </cell>
          <cell r="H211">
            <v>4894.0600000000004</v>
          </cell>
        </row>
        <row r="212">
          <cell r="A212" t="str">
            <v>6602.09.05</v>
          </cell>
          <cell r="B212" t="str">
            <v>　　　　租车</v>
          </cell>
          <cell r="G212">
            <v>1179.74</v>
          </cell>
          <cell r="H212">
            <v>1179.74</v>
          </cell>
        </row>
        <row r="213">
          <cell r="A213" t="str">
            <v>6602.09.05</v>
          </cell>
          <cell r="B213" t="str">
            <v>　　　　租车</v>
          </cell>
          <cell r="C213" t="str">
            <v>CI002</v>
          </cell>
          <cell r="D213" t="str">
            <v>旭智富能</v>
          </cell>
          <cell r="G213">
            <v>1179.74</v>
          </cell>
          <cell r="H213">
            <v>1179.74</v>
          </cell>
        </row>
        <row r="214">
          <cell r="A214" t="str">
            <v>6602.09.06</v>
          </cell>
          <cell r="B214" t="str">
            <v>　　　　其他汽车费用</v>
          </cell>
        </row>
        <row r="215">
          <cell r="A215" t="str">
            <v>6602.09.06</v>
          </cell>
          <cell r="B215" t="str">
            <v>　　　　其他汽车费用</v>
          </cell>
          <cell r="C215" t="str">
            <v>CI002</v>
          </cell>
          <cell r="D215" t="str">
            <v>旭智富能</v>
          </cell>
        </row>
        <row r="216">
          <cell r="A216" t="str">
            <v>6602.09.99</v>
          </cell>
          <cell r="B216" t="str">
            <v>　　　　其他</v>
          </cell>
        </row>
        <row r="217">
          <cell r="A217" t="str">
            <v>6602.09.99</v>
          </cell>
          <cell r="B217" t="str">
            <v>　　　　其他</v>
          </cell>
          <cell r="C217" t="str">
            <v>CI006</v>
          </cell>
          <cell r="D217" t="str">
            <v>旭智咨询</v>
          </cell>
        </row>
        <row r="218">
          <cell r="A218" t="str">
            <v>6602.10</v>
          </cell>
          <cell r="B218" t="str">
            <v>　　折旧费</v>
          </cell>
          <cell r="G218">
            <v>2710.46</v>
          </cell>
          <cell r="H218">
            <v>2710.46</v>
          </cell>
        </row>
        <row r="219">
          <cell r="A219" t="str">
            <v>6602.10.01</v>
          </cell>
          <cell r="B219" t="str">
            <v>　　　　电子设备</v>
          </cell>
          <cell r="G219">
            <v>2032.37</v>
          </cell>
          <cell r="H219">
            <v>2032.37</v>
          </cell>
        </row>
        <row r="220">
          <cell r="A220" t="str">
            <v>6602.10.04</v>
          </cell>
          <cell r="B220" t="str">
            <v>　　　　家具设备</v>
          </cell>
          <cell r="G220">
            <v>678.09</v>
          </cell>
          <cell r="H220">
            <v>678.09</v>
          </cell>
        </row>
        <row r="221">
          <cell r="A221" t="str">
            <v>6602.12</v>
          </cell>
          <cell r="B221" t="str">
            <v>　　使用权资产折旧</v>
          </cell>
        </row>
        <row r="222">
          <cell r="A222" t="str">
            <v>6602.12.02</v>
          </cell>
          <cell r="B222" t="str">
            <v>　　　　办公地址</v>
          </cell>
        </row>
        <row r="223">
          <cell r="A223" t="str">
            <v>6602.12.02.01</v>
          </cell>
          <cell r="B223" t="str">
            <v>　　　　　　旭智咨询--鼎和大厦1606</v>
          </cell>
        </row>
        <row r="224">
          <cell r="A224" t="str">
            <v>6602.13</v>
          </cell>
          <cell r="B224" t="str">
            <v>　　物业管理费</v>
          </cell>
        </row>
        <row r="225">
          <cell r="A225" t="str">
            <v>6602.15</v>
          </cell>
          <cell r="B225" t="str">
            <v>　　服务费</v>
          </cell>
        </row>
        <row r="226">
          <cell r="A226" t="str">
            <v>6602.99</v>
          </cell>
          <cell r="B226" t="str">
            <v>　　其他</v>
          </cell>
        </row>
        <row r="227">
          <cell r="A227" t="str">
            <v>6603</v>
          </cell>
          <cell r="B227" t="str">
            <v>财务费用</v>
          </cell>
          <cell r="G227">
            <v>-487.12</v>
          </cell>
          <cell r="H227">
            <v>-487.12</v>
          </cell>
        </row>
        <row r="228">
          <cell r="A228" t="str">
            <v>6603.01</v>
          </cell>
          <cell r="B228" t="str">
            <v>　　汇兑损益</v>
          </cell>
          <cell r="G228">
            <v>-283.02999999999997</v>
          </cell>
          <cell r="H228">
            <v>-283.02999999999997</v>
          </cell>
        </row>
        <row r="229">
          <cell r="A229" t="str">
            <v>6603.02</v>
          </cell>
          <cell r="B229" t="str">
            <v>　　利息费用</v>
          </cell>
        </row>
        <row r="230">
          <cell r="A230" t="str">
            <v>6603.02.02</v>
          </cell>
          <cell r="B230" t="str">
            <v>　　　　办公地址</v>
          </cell>
        </row>
        <row r="231">
          <cell r="A231" t="str">
            <v>6603.02.02.01</v>
          </cell>
          <cell r="B231" t="str">
            <v>　　　　　　旭智咨询--鼎和大厦1606</v>
          </cell>
        </row>
        <row r="232">
          <cell r="A232" t="str">
            <v>6603.03</v>
          </cell>
          <cell r="B232" t="str">
            <v>　　银行手续费</v>
          </cell>
          <cell r="G232">
            <v>172.43</v>
          </cell>
          <cell r="H232">
            <v>172.43</v>
          </cell>
        </row>
        <row r="233">
          <cell r="A233" t="str">
            <v>6603.04</v>
          </cell>
          <cell r="B233" t="str">
            <v>　　利息收入</v>
          </cell>
          <cell r="G233">
            <v>-376.52</v>
          </cell>
          <cell r="H233">
            <v>-376.52</v>
          </cell>
        </row>
        <row r="234">
          <cell r="A234" t="str">
            <v>6711</v>
          </cell>
          <cell r="B234" t="str">
            <v>营业外支出</v>
          </cell>
        </row>
        <row r="235">
          <cell r="A235" t="str">
            <v>6711.02</v>
          </cell>
          <cell r="B235" t="str">
            <v>　　非流动资产处置损失</v>
          </cell>
        </row>
        <row r="236">
          <cell r="A236" t="str">
            <v>6801</v>
          </cell>
          <cell r="B236" t="str">
            <v>所得税费用</v>
          </cell>
        </row>
        <row r="237">
          <cell r="A237" t="str">
            <v>6801.01</v>
          </cell>
          <cell r="B237" t="str">
            <v>　　当期所得税费用</v>
          </cell>
        </row>
        <row r="238">
          <cell r="A238" t="str">
            <v>6801.03</v>
          </cell>
          <cell r="B238" t="str">
            <v>　　以前年度所得税费用</v>
          </cell>
        </row>
        <row r="239">
          <cell r="B239" t="str">
            <v>合计</v>
          </cell>
          <cell r="E239">
            <v>5956511.4199999999</v>
          </cell>
          <cell r="F239">
            <v>5890296.2599999998</v>
          </cell>
          <cell r="G239">
            <v>2213319.4900000002</v>
          </cell>
          <cell r="H239">
            <v>2213602.52</v>
          </cell>
        </row>
      </sheetData>
      <sheetData sheetId="11">
        <row r="1">
          <cell r="A1" t="str">
            <v>币别:人民币</v>
          </cell>
          <cell r="B1" t="str">
            <v>账簿:旭智咨询管理（深圳）有限责任公司</v>
          </cell>
          <cell r="C1" t="str">
            <v>期间:2025.12 -- 2025.12</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175929.04</v>
          </cell>
          <cell r="G4">
            <v>464011.27</v>
          </cell>
          <cell r="H4">
            <v>554238.27</v>
          </cell>
        </row>
        <row r="5">
          <cell r="A5" t="str">
            <v>1002.21</v>
          </cell>
          <cell r="B5" t="str">
            <v>　　【旭智咨询】银行存款账户</v>
          </cell>
          <cell r="E5">
            <v>122103.7</v>
          </cell>
          <cell r="G5">
            <v>359007.94</v>
          </cell>
          <cell r="H5">
            <v>448240.35</v>
          </cell>
        </row>
        <row r="6">
          <cell r="A6" t="str">
            <v>1002.21.01</v>
          </cell>
          <cell r="B6" t="str">
            <v>　　　　招商银行账户</v>
          </cell>
          <cell r="E6">
            <v>122103.7</v>
          </cell>
          <cell r="G6">
            <v>359007.94</v>
          </cell>
          <cell r="H6">
            <v>448240.35</v>
          </cell>
        </row>
        <row r="7">
          <cell r="A7" t="str">
            <v>1002.21.01.01</v>
          </cell>
          <cell r="B7" t="str">
            <v>　　　　　　【旭智咨询】招商 人民币基本户 0108</v>
          </cell>
          <cell r="E7">
            <v>104222.77</v>
          </cell>
          <cell r="G7">
            <v>359005.68</v>
          </cell>
          <cell r="H7">
            <v>434240.35</v>
          </cell>
        </row>
        <row r="8">
          <cell r="A8" t="str">
            <v>1002.21.01.02</v>
          </cell>
          <cell r="B8" t="str">
            <v>　　　　　　【旭智咨询】招商 人民币资本金账户 0202</v>
          </cell>
          <cell r="E8">
            <v>17880.93</v>
          </cell>
          <cell r="G8">
            <v>2.2599999999999998</v>
          </cell>
          <cell r="H8">
            <v>14000</v>
          </cell>
        </row>
        <row r="9">
          <cell r="A9" t="str">
            <v>1002.22</v>
          </cell>
          <cell r="B9" t="str">
            <v>　　【旭智咨询北京】银行存款账户</v>
          </cell>
          <cell r="E9">
            <v>53825.34</v>
          </cell>
          <cell r="G9">
            <v>105003.33</v>
          </cell>
          <cell r="H9">
            <v>105997.92</v>
          </cell>
        </row>
        <row r="10">
          <cell r="A10" t="str">
            <v>1002.22.01</v>
          </cell>
          <cell r="B10" t="str">
            <v>　　　　招商银行账户</v>
          </cell>
          <cell r="E10">
            <v>53825.34</v>
          </cell>
          <cell r="G10">
            <v>105003.33</v>
          </cell>
          <cell r="H10">
            <v>105997.92</v>
          </cell>
        </row>
        <row r="11">
          <cell r="A11" t="str">
            <v>1002.22.01.01</v>
          </cell>
          <cell r="B11" t="str">
            <v>　　　　　　【旭智咨询北京】人民币基本户 0001</v>
          </cell>
          <cell r="E11">
            <v>53825.34</v>
          </cell>
          <cell r="G11">
            <v>105003.33</v>
          </cell>
          <cell r="H11">
            <v>105997.92</v>
          </cell>
        </row>
        <row r="12">
          <cell r="A12" t="str">
            <v>1122</v>
          </cell>
          <cell r="B12" t="str">
            <v>应收账款</v>
          </cell>
          <cell r="E12">
            <v>223234.7</v>
          </cell>
        </row>
        <row r="13">
          <cell r="A13" t="str">
            <v>1122.01</v>
          </cell>
          <cell r="B13" t="str">
            <v>　　咨询费收入</v>
          </cell>
          <cell r="E13">
            <v>223234.7</v>
          </cell>
        </row>
        <row r="14">
          <cell r="A14" t="str">
            <v>1122.01</v>
          </cell>
          <cell r="B14" t="str">
            <v>　　咨询费收入</v>
          </cell>
          <cell r="C14" t="str">
            <v>CU003010</v>
          </cell>
          <cell r="D14" t="str">
            <v>旭智富能新能源（深圳）有限责任公司</v>
          </cell>
          <cell r="E14">
            <v>223234.7</v>
          </cell>
        </row>
        <row r="15">
          <cell r="A15" t="str">
            <v>1122.01</v>
          </cell>
          <cell r="B15" t="str">
            <v>　　咨询费收入</v>
          </cell>
          <cell r="C15" t="str">
            <v>CU006001</v>
          </cell>
          <cell r="D15" t="str">
            <v>胜科辉飏新能源（深圳）有限公司</v>
          </cell>
        </row>
        <row r="16">
          <cell r="A16" t="str">
            <v>1123</v>
          </cell>
          <cell r="B16" t="str">
            <v>预付账款</v>
          </cell>
          <cell r="E16">
            <v>29245.279999999999</v>
          </cell>
          <cell r="H16">
            <v>19811.32</v>
          </cell>
        </row>
        <row r="17">
          <cell r="A17" t="str">
            <v>1123.01</v>
          </cell>
          <cell r="B17" t="str">
            <v>　　单位</v>
          </cell>
          <cell r="E17">
            <v>29245.279999999999</v>
          </cell>
          <cell r="H17">
            <v>19811.32</v>
          </cell>
        </row>
        <row r="18">
          <cell r="A18" t="str">
            <v>1123.01</v>
          </cell>
          <cell r="B18" t="str">
            <v>　　单位</v>
          </cell>
          <cell r="C18" t="str">
            <v>SU006011</v>
          </cell>
          <cell r="D18" t="str">
            <v>广州晶东贸易有限公司</v>
          </cell>
        </row>
        <row r="19">
          <cell r="A19" t="str">
            <v>1123.01</v>
          </cell>
          <cell r="B19" t="str">
            <v>　　单位</v>
          </cell>
          <cell r="C19" t="str">
            <v>SU006012</v>
          </cell>
          <cell r="D19" t="str">
            <v>上海携程宏睿国际旅行社有限公司</v>
          </cell>
        </row>
        <row r="20">
          <cell r="A20" t="str">
            <v>1123.01</v>
          </cell>
          <cell r="B20" t="str">
            <v>　　单位</v>
          </cell>
          <cell r="C20" t="str">
            <v>SU006015</v>
          </cell>
          <cell r="D20" t="str">
            <v>成都协企兴企业管理咨询服务有限公司</v>
          </cell>
        </row>
        <row r="21">
          <cell r="A21" t="str">
            <v>1123.01</v>
          </cell>
          <cell r="B21" t="str">
            <v>　　单位</v>
          </cell>
          <cell r="C21" t="str">
            <v>SU006016</v>
          </cell>
          <cell r="D21" t="str">
            <v>爱奇创新投资研究（深圳）有限公司</v>
          </cell>
          <cell r="E21">
            <v>19811.32</v>
          </cell>
          <cell r="H21">
            <v>19811.32</v>
          </cell>
        </row>
        <row r="22">
          <cell r="A22" t="str">
            <v>1123.01</v>
          </cell>
          <cell r="B22" t="str">
            <v>　　单位</v>
          </cell>
          <cell r="C22" t="str">
            <v>SU006031</v>
          </cell>
          <cell r="D22" t="str">
            <v>深圳市金纳维科技有限公司</v>
          </cell>
          <cell r="E22">
            <v>9433.9599999999991</v>
          </cell>
        </row>
        <row r="23">
          <cell r="A23" t="str">
            <v>1221</v>
          </cell>
          <cell r="B23" t="str">
            <v>其他应收款</v>
          </cell>
          <cell r="E23">
            <v>24154.84</v>
          </cell>
          <cell r="G23">
            <v>1356000</v>
          </cell>
          <cell r="H23">
            <v>335.5</v>
          </cell>
        </row>
        <row r="24">
          <cell r="A24" t="str">
            <v>1221.01</v>
          </cell>
          <cell r="B24" t="str">
            <v>　　单位</v>
          </cell>
          <cell r="E24">
            <v>23819.34</v>
          </cell>
          <cell r="G24">
            <v>1356000</v>
          </cell>
        </row>
        <row r="25">
          <cell r="A25" t="str">
            <v>1221.01</v>
          </cell>
          <cell r="B25" t="str">
            <v>　　单位</v>
          </cell>
          <cell r="C25" t="str">
            <v>CU003010</v>
          </cell>
          <cell r="D25" t="str">
            <v>旭智富能新能源（深圳）有限责任公司</v>
          </cell>
          <cell r="E25">
            <v>4800</v>
          </cell>
        </row>
        <row r="26">
          <cell r="A26" t="str">
            <v>1221.01</v>
          </cell>
          <cell r="B26" t="str">
            <v>　　单位</v>
          </cell>
          <cell r="C26" t="str">
            <v>CU005010</v>
          </cell>
          <cell r="D26" t="str">
            <v>宜兴旭智投资咨询合伙企业（有限合伙）</v>
          </cell>
          <cell r="G26">
            <v>1356000</v>
          </cell>
        </row>
        <row r="27">
          <cell r="A27" t="str">
            <v>1221.01</v>
          </cell>
          <cell r="B27" t="str">
            <v>　　单位</v>
          </cell>
          <cell r="C27" t="str">
            <v>CU006006</v>
          </cell>
          <cell r="D27" t="str">
            <v>爱奇创新投资研究（深圳）有限公司</v>
          </cell>
          <cell r="E27">
            <v>10000</v>
          </cell>
        </row>
        <row r="28">
          <cell r="A28" t="str">
            <v>1221.01</v>
          </cell>
          <cell r="B28" t="str">
            <v>　　单位</v>
          </cell>
          <cell r="C28" t="str">
            <v>CU006007</v>
          </cell>
          <cell r="D28" t="str">
            <v>深圳旭智私募股权基金管理有限公司</v>
          </cell>
        </row>
        <row r="29">
          <cell r="A29" t="str">
            <v>1221.01</v>
          </cell>
          <cell r="B29" t="str">
            <v>　　单位</v>
          </cell>
          <cell r="C29" t="str">
            <v>CU006008</v>
          </cell>
          <cell r="D29" t="str">
            <v>旭智富联（鹤壁）新能源有限责任公司</v>
          </cell>
          <cell r="E29">
            <v>3680</v>
          </cell>
        </row>
        <row r="30">
          <cell r="A30" t="str">
            <v>1221.01</v>
          </cell>
          <cell r="B30" t="str">
            <v>　　单位</v>
          </cell>
          <cell r="C30" t="str">
            <v>CU006009</v>
          </cell>
          <cell r="D30" t="str">
            <v>旭智兴邦（潍坊）农业高新科技有限公司</v>
          </cell>
        </row>
        <row r="31">
          <cell r="A31" t="str">
            <v>1221.01</v>
          </cell>
          <cell r="B31" t="str">
            <v>　　单位</v>
          </cell>
          <cell r="C31" t="str">
            <v>CU010001</v>
          </cell>
          <cell r="D31" t="str">
            <v>郴州市苏仙区景叶新能源有限责任公司</v>
          </cell>
          <cell r="E31">
            <v>5339.34</v>
          </cell>
        </row>
        <row r="32">
          <cell r="A32" t="str">
            <v>1221.02</v>
          </cell>
          <cell r="B32" t="str">
            <v>　　个人</v>
          </cell>
          <cell r="E32">
            <v>335.5</v>
          </cell>
          <cell r="H32">
            <v>335.5</v>
          </cell>
        </row>
        <row r="33">
          <cell r="A33" t="str">
            <v>1221.02</v>
          </cell>
          <cell r="B33" t="str">
            <v>　　个人</v>
          </cell>
          <cell r="C33" t="str">
            <v>CP006002</v>
          </cell>
          <cell r="D33" t="str">
            <v>袁玉杰</v>
          </cell>
          <cell r="E33">
            <v>335.5</v>
          </cell>
          <cell r="H33">
            <v>335.5</v>
          </cell>
        </row>
        <row r="34">
          <cell r="A34" t="str">
            <v>1511</v>
          </cell>
          <cell r="B34" t="str">
            <v>长期股权投资</v>
          </cell>
          <cell r="E34">
            <v>3996000</v>
          </cell>
          <cell r="H34">
            <v>1356000</v>
          </cell>
        </row>
        <row r="35">
          <cell r="A35" t="str">
            <v>1511.01</v>
          </cell>
          <cell r="B35" t="str">
            <v>　　投资成本</v>
          </cell>
          <cell r="E35">
            <v>3996000</v>
          </cell>
          <cell r="H35">
            <v>1356000</v>
          </cell>
        </row>
        <row r="36">
          <cell r="A36" t="str">
            <v>1511.01.01</v>
          </cell>
          <cell r="B36" t="str">
            <v>　　　　宜兴旭智投资咨询合伙企业（有限合伙）</v>
          </cell>
          <cell r="E36">
            <v>3996000</v>
          </cell>
          <cell r="H36">
            <v>1356000</v>
          </cell>
        </row>
        <row r="37">
          <cell r="A37" t="str">
            <v>1601</v>
          </cell>
          <cell r="B37" t="str">
            <v>固定资产</v>
          </cell>
          <cell r="E37">
            <v>119847.66</v>
          </cell>
        </row>
        <row r="38">
          <cell r="A38" t="str">
            <v>1601.01</v>
          </cell>
          <cell r="B38" t="str">
            <v>　　电子设备</v>
          </cell>
          <cell r="E38">
            <v>77015.62</v>
          </cell>
        </row>
        <row r="39">
          <cell r="A39" t="str">
            <v>1601.04</v>
          </cell>
          <cell r="B39" t="str">
            <v>　　家具设备</v>
          </cell>
          <cell r="E39">
            <v>42832.04</v>
          </cell>
        </row>
        <row r="40">
          <cell r="A40" t="str">
            <v>1602</v>
          </cell>
          <cell r="B40" t="str">
            <v>累计折旧</v>
          </cell>
          <cell r="F40">
            <v>47692.61</v>
          </cell>
          <cell r="H40">
            <v>2710.46</v>
          </cell>
        </row>
        <row r="41">
          <cell r="A41" t="str">
            <v>1602.01</v>
          </cell>
          <cell r="B41" t="str">
            <v>　　电子设备</v>
          </cell>
          <cell r="F41">
            <v>13519.85</v>
          </cell>
          <cell r="H41">
            <v>678.09</v>
          </cell>
        </row>
        <row r="42">
          <cell r="A42" t="str">
            <v>1602.04</v>
          </cell>
          <cell r="B42" t="str">
            <v>　　家具设备</v>
          </cell>
          <cell r="F42">
            <v>34172.76</v>
          </cell>
          <cell r="H42">
            <v>2032.37</v>
          </cell>
        </row>
        <row r="43">
          <cell r="A43" t="str">
            <v>1606</v>
          </cell>
          <cell r="B43" t="str">
            <v>固定资产清理</v>
          </cell>
        </row>
        <row r="44">
          <cell r="A44" t="str">
            <v>1606.04</v>
          </cell>
          <cell r="B44" t="str">
            <v>　　家具设备</v>
          </cell>
        </row>
        <row r="45">
          <cell r="A45" t="str">
            <v>1641</v>
          </cell>
          <cell r="B45" t="str">
            <v>使用权资产</v>
          </cell>
        </row>
        <row r="46">
          <cell r="A46" t="str">
            <v>1641.01</v>
          </cell>
          <cell r="B46" t="str">
            <v>　　打印机租赁</v>
          </cell>
        </row>
        <row r="47">
          <cell r="A47" t="str">
            <v>1641.02</v>
          </cell>
          <cell r="B47" t="str">
            <v>　　办公地址</v>
          </cell>
        </row>
        <row r="48">
          <cell r="A48" t="str">
            <v>1641.02.01</v>
          </cell>
          <cell r="B48" t="str">
            <v>　　　　旭智咨询--鼎和大厦1606</v>
          </cell>
        </row>
        <row r="49">
          <cell r="A49" t="str">
            <v>1642</v>
          </cell>
          <cell r="B49" t="str">
            <v>使用权资产累计折旧</v>
          </cell>
        </row>
        <row r="50">
          <cell r="A50" t="str">
            <v>1642.01</v>
          </cell>
          <cell r="B50" t="str">
            <v>　　打印机租赁</v>
          </cell>
        </row>
        <row r="51">
          <cell r="A51" t="str">
            <v>1642.02</v>
          </cell>
          <cell r="B51" t="str">
            <v>　　办公地址</v>
          </cell>
        </row>
        <row r="52">
          <cell r="A52" t="str">
            <v>1642.02.01</v>
          </cell>
          <cell r="B52" t="str">
            <v>　　　　旭智咨询--鼎和大厦1606</v>
          </cell>
        </row>
        <row r="53">
          <cell r="A53" t="str">
            <v>1801</v>
          </cell>
          <cell r="B53" t="str">
            <v>长期待摊费用</v>
          </cell>
        </row>
        <row r="54">
          <cell r="A54" t="str">
            <v>1801.01</v>
          </cell>
          <cell r="B54" t="str">
            <v>　　装修费</v>
          </cell>
        </row>
        <row r="55">
          <cell r="A55" t="str">
            <v>2203</v>
          </cell>
          <cell r="B55" t="str">
            <v>预收账款</v>
          </cell>
        </row>
        <row r="56">
          <cell r="A56" t="str">
            <v>2203.01</v>
          </cell>
          <cell r="B56" t="str">
            <v>　　单位</v>
          </cell>
        </row>
        <row r="57">
          <cell r="A57" t="str">
            <v>2203.01</v>
          </cell>
          <cell r="B57" t="str">
            <v>　　单位</v>
          </cell>
          <cell r="C57" t="str">
            <v>CU006001</v>
          </cell>
          <cell r="D57" t="str">
            <v>胜科辉飏新能源（深圳）有限公司</v>
          </cell>
        </row>
        <row r="58">
          <cell r="A58" t="str">
            <v>2211</v>
          </cell>
          <cell r="B58" t="str">
            <v>应付职工薪酬</v>
          </cell>
          <cell r="F58">
            <v>40281.699999999997</v>
          </cell>
          <cell r="G58">
            <v>356484.1</v>
          </cell>
          <cell r="H58">
            <v>356484.1</v>
          </cell>
        </row>
        <row r="59">
          <cell r="A59" t="str">
            <v>2211.01</v>
          </cell>
          <cell r="B59" t="str">
            <v>　　职工工资</v>
          </cell>
          <cell r="G59">
            <v>213809.45</v>
          </cell>
          <cell r="H59">
            <v>213809.45</v>
          </cell>
        </row>
        <row r="60">
          <cell r="A60" t="str">
            <v>2211.02</v>
          </cell>
          <cell r="B60" t="str">
            <v>　　职工奖金</v>
          </cell>
        </row>
        <row r="61">
          <cell r="A61" t="str">
            <v>2211.03</v>
          </cell>
          <cell r="B61" t="str">
            <v>　　劳务报酬</v>
          </cell>
          <cell r="G61">
            <v>3864</v>
          </cell>
          <cell r="H61">
            <v>3864</v>
          </cell>
        </row>
        <row r="62">
          <cell r="A62" t="str">
            <v>2211.05</v>
          </cell>
          <cell r="B62" t="str">
            <v>　　社会保险费</v>
          </cell>
          <cell r="F62">
            <v>24487.7</v>
          </cell>
          <cell r="G62">
            <v>77978.33</v>
          </cell>
          <cell r="H62">
            <v>77978.33</v>
          </cell>
        </row>
        <row r="63">
          <cell r="A63" t="str">
            <v>2211.06</v>
          </cell>
          <cell r="B63" t="str">
            <v>　　住房公积金</v>
          </cell>
          <cell r="F63">
            <v>15794</v>
          </cell>
          <cell r="G63">
            <v>60832.32</v>
          </cell>
          <cell r="H63">
            <v>60832.32</v>
          </cell>
        </row>
        <row r="64">
          <cell r="A64" t="str">
            <v>2221</v>
          </cell>
          <cell r="B64" t="str">
            <v>应交税费</v>
          </cell>
          <cell r="F64">
            <v>24200.07</v>
          </cell>
          <cell r="G64">
            <v>44136.68</v>
          </cell>
          <cell r="H64">
            <v>43737.34</v>
          </cell>
        </row>
        <row r="65">
          <cell r="A65" t="str">
            <v>2221.01</v>
          </cell>
          <cell r="B65" t="str">
            <v>　　应交增值税</v>
          </cell>
          <cell r="G65">
            <v>1788.68</v>
          </cell>
          <cell r="H65">
            <v>1788.68</v>
          </cell>
        </row>
        <row r="66">
          <cell r="A66" t="str">
            <v>2221.01.01</v>
          </cell>
          <cell r="B66" t="str">
            <v>　　　　销项税额</v>
          </cell>
        </row>
        <row r="67">
          <cell r="A67" t="str">
            <v>2221.01.03</v>
          </cell>
          <cell r="B67" t="str">
            <v>　　　　进项税额</v>
          </cell>
          <cell r="G67">
            <v>894.34</v>
          </cell>
          <cell r="H67">
            <v>894.34</v>
          </cell>
        </row>
        <row r="68">
          <cell r="A68" t="str">
            <v>2221.01.06</v>
          </cell>
          <cell r="B68" t="str">
            <v>　　　　转出未交增值税</v>
          </cell>
          <cell r="G68">
            <v>894.34</v>
          </cell>
          <cell r="H68">
            <v>894.34</v>
          </cell>
        </row>
        <row r="69">
          <cell r="A69" t="str">
            <v>2221.03</v>
          </cell>
          <cell r="B69" t="str">
            <v>　　暂估进项税额</v>
          </cell>
          <cell r="E69">
            <v>1038.8499999999999</v>
          </cell>
          <cell r="G69">
            <v>677.89</v>
          </cell>
          <cell r="H69">
            <v>866.89</v>
          </cell>
        </row>
        <row r="70">
          <cell r="A70" t="str">
            <v>2221.04</v>
          </cell>
          <cell r="B70" t="str">
            <v>　　未交增值税</v>
          </cell>
          <cell r="E70">
            <v>27274.49</v>
          </cell>
          <cell r="G70">
            <v>894.34</v>
          </cell>
        </row>
        <row r="71">
          <cell r="A71" t="str">
            <v>2221.06</v>
          </cell>
          <cell r="B71" t="str">
            <v>　　待认证进项税额</v>
          </cell>
          <cell r="E71">
            <v>4.05</v>
          </cell>
          <cell r="G71">
            <v>894.34</v>
          </cell>
          <cell r="H71">
            <v>894.34</v>
          </cell>
        </row>
        <row r="72">
          <cell r="A72" t="str">
            <v>2221.08</v>
          </cell>
          <cell r="B72" t="str">
            <v>　　待转销项税额</v>
          </cell>
          <cell r="F72">
            <v>12635.93</v>
          </cell>
        </row>
        <row r="73">
          <cell r="A73" t="str">
            <v>2221.12</v>
          </cell>
          <cell r="B73" t="str">
            <v>　　应交城市维护建设税</v>
          </cell>
        </row>
        <row r="74">
          <cell r="A74" t="str">
            <v>2221.13</v>
          </cell>
          <cell r="B74" t="str">
            <v>　　应交教育费附加</v>
          </cell>
        </row>
        <row r="75">
          <cell r="A75" t="str">
            <v>2221.14</v>
          </cell>
          <cell r="B75" t="str">
            <v>　　应交地方教育附加</v>
          </cell>
        </row>
        <row r="76">
          <cell r="A76" t="str">
            <v>2221.15</v>
          </cell>
          <cell r="B76" t="str">
            <v>　　应交企业所得税</v>
          </cell>
        </row>
        <row r="77">
          <cell r="A77" t="str">
            <v>2221.16</v>
          </cell>
          <cell r="B77" t="str">
            <v>　　应交个人所得税</v>
          </cell>
          <cell r="F77">
            <v>39881.53</v>
          </cell>
          <cell r="G77">
            <v>39881.43</v>
          </cell>
          <cell r="H77">
            <v>40187.43</v>
          </cell>
        </row>
        <row r="78">
          <cell r="A78" t="str">
            <v>2241</v>
          </cell>
          <cell r="B78" t="str">
            <v>其他应付款</v>
          </cell>
          <cell r="F78">
            <v>2345464.29</v>
          </cell>
          <cell r="G78">
            <v>137297.99</v>
          </cell>
          <cell r="H78">
            <v>661680.9</v>
          </cell>
        </row>
        <row r="79">
          <cell r="A79" t="str">
            <v>2241.01</v>
          </cell>
          <cell r="B79" t="str">
            <v>　　单位</v>
          </cell>
          <cell r="F79">
            <v>2345464.29</v>
          </cell>
          <cell r="G79">
            <v>137297.99</v>
          </cell>
          <cell r="H79">
            <v>528557.14</v>
          </cell>
        </row>
        <row r="80">
          <cell r="A80" t="str">
            <v>2241.01</v>
          </cell>
          <cell r="B80" t="str">
            <v>　　单位</v>
          </cell>
          <cell r="C80" t="str">
            <v>SU005004</v>
          </cell>
          <cell r="D80" t="str">
            <v>上海爱文人才服务有限公司</v>
          </cell>
          <cell r="G80">
            <v>100728.95</v>
          </cell>
          <cell r="H80">
            <v>100728.95</v>
          </cell>
        </row>
        <row r="81">
          <cell r="A81" t="str">
            <v>2241.01</v>
          </cell>
          <cell r="B81" t="str">
            <v>　　单位</v>
          </cell>
          <cell r="C81" t="str">
            <v>SU005007</v>
          </cell>
          <cell r="D81" t="str">
            <v>普华永道中天会计师事务所（特殊普通合伙）</v>
          </cell>
          <cell r="H81">
            <v>55000</v>
          </cell>
        </row>
        <row r="82">
          <cell r="A82" t="str">
            <v>2241.01</v>
          </cell>
          <cell r="B82" t="str">
            <v>　　单位</v>
          </cell>
          <cell r="C82" t="str">
            <v>SU005026</v>
          </cell>
          <cell r="D82" t="str">
            <v>中国电信股份有限公司</v>
          </cell>
          <cell r="G82">
            <v>59</v>
          </cell>
          <cell r="H82">
            <v>59</v>
          </cell>
        </row>
        <row r="83">
          <cell r="A83" t="str">
            <v>2241.01</v>
          </cell>
          <cell r="B83" t="str">
            <v>　　单位</v>
          </cell>
          <cell r="C83" t="str">
            <v>SU005037</v>
          </cell>
          <cell r="D83" t="str">
            <v>深圳点石新能源投资有限责任公司</v>
          </cell>
        </row>
        <row r="84">
          <cell r="A84" t="str">
            <v>2241.01</v>
          </cell>
          <cell r="B84" t="str">
            <v>　　单位</v>
          </cell>
          <cell r="C84" t="str">
            <v>SU005039</v>
          </cell>
          <cell r="D84" t="str">
            <v>海华税务师事务所有限公司深圳分公司</v>
          </cell>
        </row>
        <row r="85">
          <cell r="A85" t="str">
            <v>2241.01</v>
          </cell>
          <cell r="B85" t="str">
            <v>　　单位</v>
          </cell>
          <cell r="C85" t="str">
            <v>SU005043</v>
          </cell>
          <cell r="D85" t="str">
            <v>旭智资本有限公司</v>
          </cell>
        </row>
        <row r="86">
          <cell r="A86" t="str">
            <v>2241.01</v>
          </cell>
          <cell r="B86" t="str">
            <v>　　单位</v>
          </cell>
          <cell r="C86" t="str">
            <v>SU006006</v>
          </cell>
          <cell r="D86" t="str">
            <v>深圳市新趋势科技有限公司</v>
          </cell>
        </row>
        <row r="87">
          <cell r="A87" t="str">
            <v>2241.01</v>
          </cell>
          <cell r="B87" t="str">
            <v>　　单位</v>
          </cell>
          <cell r="C87" t="str">
            <v>SU006008</v>
          </cell>
          <cell r="D87" t="str">
            <v>深圳市前海创时代企业管理有限公司</v>
          </cell>
        </row>
        <row r="88">
          <cell r="A88" t="str">
            <v>2241.01</v>
          </cell>
          <cell r="B88" t="str">
            <v>　　单位</v>
          </cell>
          <cell r="C88" t="str">
            <v>SU006012</v>
          </cell>
          <cell r="D88" t="str">
            <v>上海携程宏睿国际旅行社有限公司</v>
          </cell>
          <cell r="F88">
            <v>36025.14</v>
          </cell>
          <cell r="G88">
            <v>36025.14</v>
          </cell>
          <cell r="H88">
            <v>27284.29</v>
          </cell>
        </row>
        <row r="89">
          <cell r="A89" t="str">
            <v>2241.01</v>
          </cell>
          <cell r="B89" t="str">
            <v>　　单位</v>
          </cell>
          <cell r="C89" t="str">
            <v>SU006016</v>
          </cell>
          <cell r="D89" t="str">
            <v>爱奇创新投资研究（深圳）有限公司</v>
          </cell>
        </row>
        <row r="90">
          <cell r="A90" t="str">
            <v>2241.01</v>
          </cell>
          <cell r="B90" t="str">
            <v>　　单位</v>
          </cell>
          <cell r="C90" t="str">
            <v>SU006018</v>
          </cell>
          <cell r="D90" t="str">
            <v>深圳辉飏新能源投资咨询有限责任公司</v>
          </cell>
        </row>
        <row r="91">
          <cell r="A91" t="str">
            <v>2241.01</v>
          </cell>
          <cell r="B91" t="str">
            <v>　　单位</v>
          </cell>
          <cell r="C91" t="str">
            <v>SU006021</v>
          </cell>
          <cell r="D91" t="str">
            <v>北京市汉坤律师事务所</v>
          </cell>
          <cell r="F91">
            <v>40000</v>
          </cell>
        </row>
        <row r="92">
          <cell r="A92" t="str">
            <v>2241.01</v>
          </cell>
          <cell r="B92" t="str">
            <v>　　单位</v>
          </cell>
          <cell r="C92" t="str">
            <v>SU006023</v>
          </cell>
          <cell r="D92" t="str">
            <v>顺丰速运有限公司</v>
          </cell>
          <cell r="G92">
            <v>484.9</v>
          </cell>
          <cell r="H92">
            <v>484.9</v>
          </cell>
        </row>
        <row r="93">
          <cell r="A93" t="str">
            <v>2241.01</v>
          </cell>
          <cell r="B93" t="str">
            <v>　　单位</v>
          </cell>
          <cell r="C93" t="str">
            <v>SU006025</v>
          </cell>
          <cell r="D93" t="str">
            <v>全景求是管理顾问（北京）有限公司</v>
          </cell>
        </row>
        <row r="94">
          <cell r="A94" t="str">
            <v>2241.01</v>
          </cell>
          <cell r="B94" t="str">
            <v>　　单位</v>
          </cell>
          <cell r="C94" t="str">
            <v>SU006026</v>
          </cell>
          <cell r="D94" t="str">
            <v>和谐汇股权投资管理（北京）有限公司</v>
          </cell>
        </row>
        <row r="95">
          <cell r="A95" t="str">
            <v>2241.01</v>
          </cell>
          <cell r="B95" t="str">
            <v>　　单位</v>
          </cell>
          <cell r="C95" t="str">
            <v>SU006027</v>
          </cell>
          <cell r="D95" t="str">
            <v>南德认证检测（中国）有限公司</v>
          </cell>
        </row>
        <row r="96">
          <cell r="A96" t="str">
            <v>2241.01</v>
          </cell>
          <cell r="B96" t="str">
            <v>　　单位</v>
          </cell>
          <cell r="C96" t="str">
            <v>SU006029</v>
          </cell>
          <cell r="D96" t="str">
            <v>宁波梅山保税港区爱奇观恒投资管理有限公司</v>
          </cell>
        </row>
        <row r="97">
          <cell r="A97" t="str">
            <v>2241.01</v>
          </cell>
          <cell r="B97" t="str">
            <v>　　单位</v>
          </cell>
          <cell r="C97" t="str">
            <v>SU006032</v>
          </cell>
          <cell r="D97" t="str">
            <v>广州旭智投资控股有限责任公司</v>
          </cell>
          <cell r="F97">
            <v>1509439.15</v>
          </cell>
          <cell r="H97">
            <v>65000</v>
          </cell>
        </row>
        <row r="98">
          <cell r="A98" t="str">
            <v>2241.01</v>
          </cell>
          <cell r="B98" t="str">
            <v>　　单位</v>
          </cell>
          <cell r="C98" t="str">
            <v>SU006033</v>
          </cell>
          <cell r="D98" t="str">
            <v>上海硕昉管理咨询有限公司</v>
          </cell>
          <cell r="F98">
            <v>260000</v>
          </cell>
        </row>
        <row r="99">
          <cell r="A99" t="str">
            <v>2241.01</v>
          </cell>
          <cell r="B99" t="str">
            <v>　　单位</v>
          </cell>
          <cell r="C99" t="str">
            <v>SU006034</v>
          </cell>
          <cell r="D99" t="str">
            <v>北京鉴衡认证中心有限公司</v>
          </cell>
        </row>
        <row r="100">
          <cell r="A100" t="str">
            <v>2241.01</v>
          </cell>
          <cell r="B100" t="str">
            <v>　　单位</v>
          </cell>
          <cell r="C100" t="str">
            <v>SU006035</v>
          </cell>
          <cell r="D100" t="str">
            <v>同道精英（天津）信息技术有限公司</v>
          </cell>
        </row>
        <row r="101">
          <cell r="A101" t="str">
            <v>2241.01</v>
          </cell>
          <cell r="B101" t="str">
            <v>　　单位</v>
          </cell>
          <cell r="C101" t="str">
            <v>SU006036</v>
          </cell>
          <cell r="D101" t="str">
            <v>玖信商鲲（北京）企业服务有限公司</v>
          </cell>
        </row>
        <row r="102">
          <cell r="A102" t="str">
            <v>2241.01</v>
          </cell>
          <cell r="B102" t="str">
            <v>　　单位</v>
          </cell>
          <cell r="C102" t="str">
            <v>SU006037</v>
          </cell>
          <cell r="D102" t="str">
            <v>普华永道咨询（深圳）有限公司</v>
          </cell>
        </row>
        <row r="103">
          <cell r="A103" t="str">
            <v>2241.01</v>
          </cell>
          <cell r="B103" t="str">
            <v>　　单位</v>
          </cell>
          <cell r="C103" t="str">
            <v>SU006038</v>
          </cell>
          <cell r="D103" t="str">
            <v>深圳旭智私募股权基金管理有限公司</v>
          </cell>
          <cell r="F103">
            <v>500000</v>
          </cell>
          <cell r="H103">
            <v>280000</v>
          </cell>
        </row>
        <row r="104">
          <cell r="A104" t="str">
            <v>2241.02</v>
          </cell>
          <cell r="B104" t="str">
            <v>　　个人</v>
          </cell>
          <cell r="H104">
            <v>133123.76</v>
          </cell>
        </row>
        <row r="105">
          <cell r="A105" t="str">
            <v>2241.02</v>
          </cell>
          <cell r="B105" t="str">
            <v>　　个人</v>
          </cell>
          <cell r="C105" t="str">
            <v>SP005001</v>
          </cell>
          <cell r="D105" t="str">
            <v>冯冠邦</v>
          </cell>
          <cell r="H105">
            <v>41878.800000000003</v>
          </cell>
        </row>
        <row r="106">
          <cell r="A106" t="str">
            <v>2241.02</v>
          </cell>
          <cell r="B106" t="str">
            <v>　　个人</v>
          </cell>
          <cell r="C106" t="str">
            <v>SP005011</v>
          </cell>
          <cell r="D106" t="str">
            <v>郭宗林</v>
          </cell>
        </row>
        <row r="107">
          <cell r="A107" t="str">
            <v>2241.02</v>
          </cell>
          <cell r="B107" t="str">
            <v>　　个人</v>
          </cell>
          <cell r="C107" t="str">
            <v>SP005012</v>
          </cell>
          <cell r="D107" t="str">
            <v>吴雅薇</v>
          </cell>
        </row>
        <row r="108">
          <cell r="A108" t="str">
            <v>2241.02</v>
          </cell>
          <cell r="B108" t="str">
            <v>　　个人</v>
          </cell>
          <cell r="C108" t="str">
            <v>SP006002</v>
          </cell>
          <cell r="D108" t="str">
            <v>陈灿</v>
          </cell>
        </row>
        <row r="109">
          <cell r="A109" t="str">
            <v>2241.02</v>
          </cell>
          <cell r="B109" t="str">
            <v>　　个人</v>
          </cell>
          <cell r="C109" t="str">
            <v>SP006003</v>
          </cell>
          <cell r="D109" t="str">
            <v>袁玉杰</v>
          </cell>
          <cell r="H109">
            <v>6056.92</v>
          </cell>
        </row>
        <row r="110">
          <cell r="A110" t="str">
            <v>2241.02</v>
          </cell>
          <cell r="B110" t="str">
            <v>　　个人</v>
          </cell>
          <cell r="C110" t="str">
            <v>SP006004</v>
          </cell>
          <cell r="D110" t="str">
            <v>高焙</v>
          </cell>
          <cell r="H110">
            <v>8711.02</v>
          </cell>
        </row>
        <row r="111">
          <cell r="A111" t="str">
            <v>2241.02</v>
          </cell>
          <cell r="B111" t="str">
            <v>　　个人</v>
          </cell>
          <cell r="C111" t="str">
            <v>SP006006</v>
          </cell>
          <cell r="D111" t="str">
            <v>王志强</v>
          </cell>
          <cell r="H111">
            <v>57226.63</v>
          </cell>
        </row>
        <row r="112">
          <cell r="A112" t="str">
            <v>2241.02</v>
          </cell>
          <cell r="B112" t="str">
            <v>　　个人</v>
          </cell>
          <cell r="C112" t="str">
            <v>SP006007</v>
          </cell>
          <cell r="D112" t="str">
            <v>徐彬</v>
          </cell>
        </row>
        <row r="113">
          <cell r="A113" t="str">
            <v>2241.02</v>
          </cell>
          <cell r="B113" t="str">
            <v>　　个人</v>
          </cell>
          <cell r="C113" t="str">
            <v>SP006008</v>
          </cell>
          <cell r="D113" t="str">
            <v>何梅春</v>
          </cell>
          <cell r="H113">
            <v>2950.5</v>
          </cell>
        </row>
        <row r="114">
          <cell r="A114" t="str">
            <v>2241.02</v>
          </cell>
          <cell r="B114" t="str">
            <v>　　个人</v>
          </cell>
          <cell r="C114" t="str">
            <v>SP006009</v>
          </cell>
          <cell r="D114" t="str">
            <v>林秋蝶</v>
          </cell>
        </row>
        <row r="115">
          <cell r="A115" t="str">
            <v>2241.02</v>
          </cell>
          <cell r="B115" t="str">
            <v>　　个人</v>
          </cell>
          <cell r="C115" t="str">
            <v>SP006012</v>
          </cell>
          <cell r="D115" t="str">
            <v>闫凯</v>
          </cell>
          <cell r="H115">
            <v>3405.95</v>
          </cell>
        </row>
        <row r="116">
          <cell r="A116" t="str">
            <v>2241.02</v>
          </cell>
          <cell r="B116" t="str">
            <v>　　个人</v>
          </cell>
          <cell r="C116" t="str">
            <v>SP006013</v>
          </cell>
          <cell r="D116" t="str">
            <v>叶亚峰</v>
          </cell>
          <cell r="H116">
            <v>7862.94</v>
          </cell>
        </row>
        <row r="117">
          <cell r="A117" t="str">
            <v>2241.02</v>
          </cell>
          <cell r="B117" t="str">
            <v>　　个人</v>
          </cell>
          <cell r="C117" t="str">
            <v>SP006014</v>
          </cell>
          <cell r="D117" t="str">
            <v>陈斌捷</v>
          </cell>
          <cell r="H117">
            <v>5031</v>
          </cell>
        </row>
        <row r="118">
          <cell r="A118" t="str">
            <v>2601</v>
          </cell>
          <cell r="B118" t="str">
            <v>租赁负债</v>
          </cell>
        </row>
        <row r="119">
          <cell r="A119" t="str">
            <v>2601.01</v>
          </cell>
          <cell r="B119" t="str">
            <v>　　租赁付款额</v>
          </cell>
        </row>
        <row r="120">
          <cell r="A120" t="str">
            <v>2601.01.02</v>
          </cell>
          <cell r="B120" t="str">
            <v>　　　　办公地址</v>
          </cell>
        </row>
        <row r="121">
          <cell r="A121" t="str">
            <v>2601.01.02.01</v>
          </cell>
          <cell r="B121" t="str">
            <v>　　　　　　旭智咨询--鼎和大厦1606</v>
          </cell>
        </row>
        <row r="122">
          <cell r="A122" t="str">
            <v>2601.02</v>
          </cell>
          <cell r="B122" t="str">
            <v>　　未确认融资费用</v>
          </cell>
        </row>
        <row r="123">
          <cell r="A123" t="str">
            <v>2601.02.02</v>
          </cell>
          <cell r="B123" t="str">
            <v>　　　　办公地址</v>
          </cell>
        </row>
        <row r="124">
          <cell r="A124" t="str">
            <v>2601.02.02.01</v>
          </cell>
          <cell r="B124" t="str">
            <v>　　　　　　旭智咨询--鼎和大厦1606</v>
          </cell>
        </row>
        <row r="125">
          <cell r="A125" t="str">
            <v>2601.03</v>
          </cell>
          <cell r="B125" t="str">
            <v>　　一年内到期的非流动负债</v>
          </cell>
        </row>
        <row r="126">
          <cell r="A126" t="str">
            <v>4001</v>
          </cell>
          <cell r="B126" t="str">
            <v>实收资本（股本）</v>
          </cell>
          <cell r="F126">
            <v>2500000</v>
          </cell>
        </row>
        <row r="127">
          <cell r="A127" t="str">
            <v>4001.10</v>
          </cell>
          <cell r="B127" t="str">
            <v>　　旭智资本有限公司</v>
          </cell>
          <cell r="F127">
            <v>2500000</v>
          </cell>
        </row>
        <row r="128">
          <cell r="A128" t="str">
            <v>4101</v>
          </cell>
          <cell r="B128" t="str">
            <v>盈余公积</v>
          </cell>
          <cell r="F128">
            <v>140513.82</v>
          </cell>
        </row>
        <row r="129">
          <cell r="A129" t="str">
            <v>4101.01</v>
          </cell>
          <cell r="B129" t="str">
            <v>　　法定盈余公积</v>
          </cell>
          <cell r="F129">
            <v>140513.82</v>
          </cell>
        </row>
        <row r="130">
          <cell r="A130" t="str">
            <v>4103</v>
          </cell>
          <cell r="B130" t="str">
            <v>本年利润</v>
          </cell>
          <cell r="E130">
            <v>1860297.56</v>
          </cell>
          <cell r="G130">
            <v>636294.19999999995</v>
          </cell>
        </row>
        <row r="131">
          <cell r="A131" t="str">
            <v>4104</v>
          </cell>
          <cell r="B131" t="str">
            <v>利润分配</v>
          </cell>
          <cell r="F131">
            <v>1264624.46</v>
          </cell>
        </row>
        <row r="132">
          <cell r="A132" t="str">
            <v>4104.07</v>
          </cell>
          <cell r="B132" t="str">
            <v>　　未分配利润</v>
          </cell>
          <cell r="F132">
            <v>1264624.46</v>
          </cell>
        </row>
        <row r="133">
          <cell r="A133" t="str">
            <v>6001</v>
          </cell>
          <cell r="B133" t="str">
            <v>主营业务收入</v>
          </cell>
        </row>
        <row r="134">
          <cell r="A134" t="str">
            <v>6001.02</v>
          </cell>
          <cell r="B134" t="str">
            <v>　　咨询服务费收入</v>
          </cell>
        </row>
        <row r="135">
          <cell r="A135" t="str">
            <v>6001.02.01</v>
          </cell>
          <cell r="B135" t="str">
            <v>　　　　已开票</v>
          </cell>
        </row>
        <row r="136">
          <cell r="A136" t="str">
            <v>6001.02.01</v>
          </cell>
          <cell r="B136" t="str">
            <v>　　　　已开票</v>
          </cell>
          <cell r="C136" t="str">
            <v>【未录入】</v>
          </cell>
          <cell r="D136" t="str">
            <v>【未录入】</v>
          </cell>
        </row>
        <row r="137">
          <cell r="A137" t="str">
            <v>6115</v>
          </cell>
          <cell r="B137" t="str">
            <v>其他收益</v>
          </cell>
        </row>
        <row r="138">
          <cell r="A138" t="str">
            <v>6115.02</v>
          </cell>
          <cell r="B138" t="str">
            <v>　　个税手续费返还</v>
          </cell>
        </row>
        <row r="139">
          <cell r="A139" t="str">
            <v>6117</v>
          </cell>
          <cell r="B139" t="str">
            <v>资产处置损益</v>
          </cell>
        </row>
        <row r="140">
          <cell r="A140" t="str">
            <v>6405</v>
          </cell>
          <cell r="B140" t="str">
            <v>税金及附加</v>
          </cell>
        </row>
        <row r="141">
          <cell r="A141" t="str">
            <v>6405.02</v>
          </cell>
          <cell r="B141" t="str">
            <v>　　城市维护建设税</v>
          </cell>
        </row>
        <row r="142">
          <cell r="A142" t="str">
            <v>6405.03</v>
          </cell>
          <cell r="B142" t="str">
            <v>　　教育费附加</v>
          </cell>
        </row>
        <row r="143">
          <cell r="A143" t="str">
            <v>6405.04</v>
          </cell>
          <cell r="B143" t="str">
            <v>　　地方教育附加</v>
          </cell>
        </row>
        <row r="144">
          <cell r="A144" t="str">
            <v>6602</v>
          </cell>
          <cell r="B144" t="str">
            <v>管理费用</v>
          </cell>
          <cell r="G144">
            <v>636979.23</v>
          </cell>
          <cell r="H144">
            <v>636979.23</v>
          </cell>
        </row>
        <row r="145">
          <cell r="A145" t="str">
            <v>6602.01</v>
          </cell>
          <cell r="B145" t="str">
            <v>　　工资薪金</v>
          </cell>
          <cell r="G145">
            <v>311100</v>
          </cell>
          <cell r="H145">
            <v>311100</v>
          </cell>
        </row>
        <row r="146">
          <cell r="A146" t="str">
            <v>6602.01.01</v>
          </cell>
          <cell r="B146" t="str">
            <v>　　　　基本工资（专业）</v>
          </cell>
          <cell r="G146">
            <v>306500</v>
          </cell>
          <cell r="H146">
            <v>306500</v>
          </cell>
        </row>
        <row r="147">
          <cell r="A147" t="str">
            <v>6602.01.06</v>
          </cell>
          <cell r="B147" t="str">
            <v>　　　　劳务报酬</v>
          </cell>
          <cell r="G147">
            <v>4600</v>
          </cell>
          <cell r="H147">
            <v>4600</v>
          </cell>
        </row>
        <row r="148">
          <cell r="A148" t="str">
            <v>6602.02</v>
          </cell>
          <cell r="B148" t="str">
            <v>　　职工福利</v>
          </cell>
          <cell r="G148">
            <v>4831</v>
          </cell>
          <cell r="H148">
            <v>4831</v>
          </cell>
        </row>
        <row r="149">
          <cell r="A149" t="str">
            <v>6602.02.01</v>
          </cell>
          <cell r="B149" t="str">
            <v>　　　　员工福利</v>
          </cell>
        </row>
        <row r="150">
          <cell r="A150" t="str">
            <v>6602.02.02</v>
          </cell>
          <cell r="B150" t="str">
            <v>　　　　团建活动</v>
          </cell>
          <cell r="G150">
            <v>3831</v>
          </cell>
          <cell r="H150">
            <v>3831</v>
          </cell>
        </row>
        <row r="151">
          <cell r="A151" t="str">
            <v>6602.02.03</v>
          </cell>
          <cell r="B151" t="str">
            <v>　　　　体检费</v>
          </cell>
          <cell r="G151">
            <v>1000</v>
          </cell>
          <cell r="H151">
            <v>1000</v>
          </cell>
        </row>
        <row r="152">
          <cell r="A152" t="str">
            <v>6602.03</v>
          </cell>
          <cell r="B152" t="str">
            <v>　　社保公积金</v>
          </cell>
          <cell r="G152">
            <v>85571.53</v>
          </cell>
          <cell r="H152">
            <v>85571.53</v>
          </cell>
        </row>
        <row r="153">
          <cell r="A153" t="str">
            <v>6602.03.01</v>
          </cell>
          <cell r="B153" t="str">
            <v>　　　　员工社保福利</v>
          </cell>
          <cell r="G153">
            <v>55155.37</v>
          </cell>
          <cell r="H153">
            <v>55155.37</v>
          </cell>
        </row>
        <row r="154">
          <cell r="A154" t="str">
            <v>6602.03.02</v>
          </cell>
          <cell r="B154" t="str">
            <v>　　　　员工公积金福利</v>
          </cell>
          <cell r="G154">
            <v>30416.16</v>
          </cell>
          <cell r="H154">
            <v>30416.16</v>
          </cell>
        </row>
        <row r="155">
          <cell r="A155" t="str">
            <v>6602.04</v>
          </cell>
          <cell r="B155" t="str">
            <v>　　咨询及专业服务费</v>
          </cell>
          <cell r="G155">
            <v>77011.320000000007</v>
          </cell>
          <cell r="H155">
            <v>77011.320000000007</v>
          </cell>
        </row>
        <row r="156">
          <cell r="A156" t="str">
            <v>6602.04.02</v>
          </cell>
          <cell r="B156" t="str">
            <v>　　　　审计服务费</v>
          </cell>
          <cell r="G156">
            <v>55000</v>
          </cell>
          <cell r="H156">
            <v>55000</v>
          </cell>
        </row>
        <row r="157">
          <cell r="A157" t="str">
            <v>6602.04.03</v>
          </cell>
          <cell r="B157" t="str">
            <v>　　　　顾问费</v>
          </cell>
        </row>
        <row r="158">
          <cell r="A158" t="str">
            <v>6602.04.03</v>
          </cell>
          <cell r="B158" t="str">
            <v>　　　　顾问费</v>
          </cell>
          <cell r="C158" t="str">
            <v>【未录入】</v>
          </cell>
          <cell r="D158" t="str">
            <v>【未录入】</v>
          </cell>
        </row>
        <row r="159">
          <cell r="A159" t="str">
            <v>6602.04.04</v>
          </cell>
          <cell r="B159" t="str">
            <v>　　　　税务服务费</v>
          </cell>
        </row>
        <row r="160">
          <cell r="A160" t="str">
            <v>6602.04.05</v>
          </cell>
          <cell r="B160" t="str">
            <v>　　　　招聘服务费</v>
          </cell>
        </row>
        <row r="161">
          <cell r="A161" t="str">
            <v>6602.04.06</v>
          </cell>
          <cell r="B161" t="str">
            <v>　　　　法律服务费</v>
          </cell>
        </row>
        <row r="162">
          <cell r="A162" t="str">
            <v>6602.04.06</v>
          </cell>
          <cell r="B162" t="str">
            <v>　　　　法律服务费</v>
          </cell>
          <cell r="C162" t="str">
            <v>CI005</v>
          </cell>
          <cell r="D162" t="str">
            <v>旭智私募</v>
          </cell>
        </row>
        <row r="163">
          <cell r="A163" t="str">
            <v>6602.04.07</v>
          </cell>
          <cell r="B163" t="str">
            <v>　　　　人力资源服务费</v>
          </cell>
          <cell r="G163">
            <v>2200</v>
          </cell>
          <cell r="H163">
            <v>2200</v>
          </cell>
        </row>
        <row r="164">
          <cell r="A164" t="str">
            <v>6602.04.08</v>
          </cell>
          <cell r="B164" t="str">
            <v>　　　　背景调查费</v>
          </cell>
        </row>
        <row r="165">
          <cell r="A165" t="str">
            <v>6602.04.11</v>
          </cell>
          <cell r="B165" t="str">
            <v>　　　　技术服务费</v>
          </cell>
        </row>
        <row r="166">
          <cell r="A166" t="str">
            <v>6602.04.11</v>
          </cell>
          <cell r="B166" t="str">
            <v>　　　　技术服务费</v>
          </cell>
          <cell r="C166" t="str">
            <v>CI002</v>
          </cell>
          <cell r="D166" t="str">
            <v>旭智富能</v>
          </cell>
        </row>
        <row r="167">
          <cell r="A167" t="str">
            <v>6602.04.99</v>
          </cell>
          <cell r="B167" t="str">
            <v>　　　　其他</v>
          </cell>
          <cell r="G167">
            <v>19811.32</v>
          </cell>
          <cell r="H167">
            <v>19811.32</v>
          </cell>
        </row>
        <row r="168">
          <cell r="A168" t="str">
            <v>6602.04.99</v>
          </cell>
          <cell r="B168" t="str">
            <v>　　　　其他</v>
          </cell>
          <cell r="C168" t="str">
            <v>【未录入】</v>
          </cell>
          <cell r="D168" t="str">
            <v>【未录入】</v>
          </cell>
        </row>
        <row r="169">
          <cell r="A169" t="str">
            <v>6602.04.99</v>
          </cell>
          <cell r="B169" t="str">
            <v>　　　　其他</v>
          </cell>
          <cell r="C169" t="str">
            <v>CI006</v>
          </cell>
          <cell r="D169" t="str">
            <v>旭智咨询</v>
          </cell>
          <cell r="G169">
            <v>19811.32</v>
          </cell>
          <cell r="H169">
            <v>19811.32</v>
          </cell>
        </row>
        <row r="170">
          <cell r="A170" t="str">
            <v>6602.05</v>
          </cell>
          <cell r="B170" t="str">
            <v>　　占用费</v>
          </cell>
        </row>
        <row r="171">
          <cell r="A171" t="str">
            <v>6602.05.03</v>
          </cell>
          <cell r="B171" t="str">
            <v>　　　　电费</v>
          </cell>
        </row>
        <row r="172">
          <cell r="A172" t="str">
            <v>6602.05.06</v>
          </cell>
          <cell r="B172" t="str">
            <v>　　　　装修费</v>
          </cell>
        </row>
        <row r="173">
          <cell r="A173" t="str">
            <v>6602.05.99</v>
          </cell>
          <cell r="B173" t="str">
            <v>　　　　其他</v>
          </cell>
        </row>
        <row r="174">
          <cell r="A174" t="str">
            <v>6602.06</v>
          </cell>
          <cell r="B174" t="str">
            <v>　　业务招待费</v>
          </cell>
          <cell r="G174">
            <v>21902.1</v>
          </cell>
          <cell r="H174">
            <v>21902.1</v>
          </cell>
        </row>
        <row r="175">
          <cell r="A175" t="str">
            <v>6602.06</v>
          </cell>
          <cell r="B175" t="str">
            <v>　　业务招待费</v>
          </cell>
          <cell r="C175" t="str">
            <v>CI002</v>
          </cell>
          <cell r="D175" t="str">
            <v>旭智富能</v>
          </cell>
          <cell r="G175">
            <v>21902.1</v>
          </cell>
          <cell r="H175">
            <v>21902.1</v>
          </cell>
        </row>
        <row r="176">
          <cell r="A176" t="str">
            <v>6602.08</v>
          </cell>
          <cell r="B176" t="str">
            <v>　　事务费用</v>
          </cell>
          <cell r="G176">
            <v>9591.92</v>
          </cell>
          <cell r="H176">
            <v>9591.92</v>
          </cell>
        </row>
        <row r="177">
          <cell r="A177" t="str">
            <v>6602.08.01</v>
          </cell>
          <cell r="B177" t="str">
            <v>　　　　通信费</v>
          </cell>
          <cell r="G177">
            <v>8094.47</v>
          </cell>
          <cell r="H177">
            <v>8094.47</v>
          </cell>
        </row>
        <row r="178">
          <cell r="A178" t="str">
            <v>6602.08.01</v>
          </cell>
          <cell r="B178" t="str">
            <v>　　　　通信费</v>
          </cell>
          <cell r="C178" t="str">
            <v>【未录入】</v>
          </cell>
          <cell r="D178" t="str">
            <v>【未录入】</v>
          </cell>
        </row>
        <row r="179">
          <cell r="A179" t="str">
            <v>6602.08.01</v>
          </cell>
          <cell r="B179" t="str">
            <v>　　　　通信费</v>
          </cell>
          <cell r="C179" t="str">
            <v>CI002</v>
          </cell>
          <cell r="D179" t="str">
            <v>旭智富能</v>
          </cell>
          <cell r="G179">
            <v>7435.47</v>
          </cell>
          <cell r="H179">
            <v>7435.47</v>
          </cell>
        </row>
        <row r="180">
          <cell r="A180" t="str">
            <v>6602.08.01</v>
          </cell>
          <cell r="B180" t="str">
            <v>　　　　通信费</v>
          </cell>
          <cell r="C180" t="str">
            <v>CI006</v>
          </cell>
          <cell r="D180" t="str">
            <v>旭智咨询</v>
          </cell>
          <cell r="G180">
            <v>659</v>
          </cell>
          <cell r="H180">
            <v>659</v>
          </cell>
        </row>
        <row r="181">
          <cell r="A181" t="str">
            <v>6602.08.03</v>
          </cell>
          <cell r="B181" t="str">
            <v>　　　　办公用品</v>
          </cell>
          <cell r="G181">
            <v>1000</v>
          </cell>
          <cell r="H181">
            <v>1000</v>
          </cell>
        </row>
        <row r="182">
          <cell r="A182" t="str">
            <v>6602.08.03</v>
          </cell>
          <cell r="B182" t="str">
            <v>　　　　办公用品</v>
          </cell>
          <cell r="C182" t="str">
            <v>【未录入】</v>
          </cell>
          <cell r="D182" t="str">
            <v>【未录入】</v>
          </cell>
        </row>
        <row r="183">
          <cell r="A183" t="str">
            <v>6602.08.03</v>
          </cell>
          <cell r="B183" t="str">
            <v>　　　　办公用品</v>
          </cell>
          <cell r="C183" t="str">
            <v>CI002</v>
          </cell>
          <cell r="D183" t="str">
            <v>旭智富能</v>
          </cell>
          <cell r="G183">
            <v>1000</v>
          </cell>
          <cell r="H183">
            <v>1000</v>
          </cell>
        </row>
        <row r="184">
          <cell r="A184" t="str">
            <v>6602.08.03</v>
          </cell>
          <cell r="B184" t="str">
            <v>　　　　办公用品</v>
          </cell>
          <cell r="C184" t="str">
            <v>CI006</v>
          </cell>
          <cell r="D184" t="str">
            <v>旭智咨询</v>
          </cell>
        </row>
        <row r="185">
          <cell r="A185" t="str">
            <v>6602.08.05</v>
          </cell>
          <cell r="B185" t="str">
            <v>　　　　邮费/邮递费</v>
          </cell>
          <cell r="G185">
            <v>497.45</v>
          </cell>
          <cell r="H185">
            <v>497.45</v>
          </cell>
        </row>
        <row r="186">
          <cell r="A186" t="str">
            <v>6602.08.05</v>
          </cell>
          <cell r="B186" t="str">
            <v>　　　　邮费/邮递费</v>
          </cell>
          <cell r="C186" t="str">
            <v>【未录入】</v>
          </cell>
          <cell r="D186" t="str">
            <v>【未录入】</v>
          </cell>
        </row>
        <row r="187">
          <cell r="A187" t="str">
            <v>6602.08.05</v>
          </cell>
          <cell r="B187" t="str">
            <v>　　　　邮费/邮递费</v>
          </cell>
          <cell r="C187" t="str">
            <v>CI002</v>
          </cell>
          <cell r="D187" t="str">
            <v>旭智富能</v>
          </cell>
          <cell r="G187">
            <v>40</v>
          </cell>
          <cell r="H187">
            <v>40</v>
          </cell>
        </row>
        <row r="188">
          <cell r="A188" t="str">
            <v>6602.08.05</v>
          </cell>
          <cell r="B188" t="str">
            <v>　　　　邮费/邮递费</v>
          </cell>
          <cell r="C188" t="str">
            <v>CI006</v>
          </cell>
          <cell r="D188" t="str">
            <v>旭智咨询</v>
          </cell>
          <cell r="G188">
            <v>457.45</v>
          </cell>
          <cell r="H188">
            <v>457.45</v>
          </cell>
        </row>
        <row r="189">
          <cell r="A189" t="str">
            <v>6602.08.08</v>
          </cell>
          <cell r="B189" t="str">
            <v>　　　　软件使用费</v>
          </cell>
        </row>
        <row r="190">
          <cell r="A190" t="str">
            <v>6602.08.08</v>
          </cell>
          <cell r="B190" t="str">
            <v>　　　　软件使用费</v>
          </cell>
          <cell r="C190" t="str">
            <v>CI006</v>
          </cell>
          <cell r="D190" t="str">
            <v>旭智咨询</v>
          </cell>
        </row>
        <row r="191">
          <cell r="A191" t="str">
            <v>6602.08.99</v>
          </cell>
          <cell r="B191" t="str">
            <v>　　　　其他</v>
          </cell>
        </row>
        <row r="192">
          <cell r="A192" t="str">
            <v>6602.08.99</v>
          </cell>
          <cell r="B192" t="str">
            <v>　　　　其他</v>
          </cell>
          <cell r="C192" t="str">
            <v>【未录入】</v>
          </cell>
          <cell r="D192" t="str">
            <v>【未录入】</v>
          </cell>
        </row>
        <row r="193">
          <cell r="A193" t="str">
            <v>6602.08.99</v>
          </cell>
          <cell r="B193" t="str">
            <v>　　　　其他</v>
          </cell>
          <cell r="C193" t="str">
            <v>CI002</v>
          </cell>
          <cell r="D193" t="str">
            <v>旭智富能</v>
          </cell>
        </row>
        <row r="194">
          <cell r="A194" t="str">
            <v>6602.08.99</v>
          </cell>
          <cell r="B194" t="str">
            <v>　　　　其他</v>
          </cell>
          <cell r="C194" t="str">
            <v>CI006</v>
          </cell>
          <cell r="D194" t="str">
            <v>旭智咨询</v>
          </cell>
        </row>
        <row r="195">
          <cell r="A195" t="str">
            <v>6602.09</v>
          </cell>
          <cell r="B195" t="str">
            <v>　　差旅费</v>
          </cell>
          <cell r="G195">
            <v>124260.9</v>
          </cell>
          <cell r="H195">
            <v>124260.9</v>
          </cell>
        </row>
        <row r="196">
          <cell r="A196" t="str">
            <v>6602.09.01</v>
          </cell>
          <cell r="B196" t="str">
            <v>　　　　住宿费</v>
          </cell>
          <cell r="G196">
            <v>14268.92</v>
          </cell>
          <cell r="H196">
            <v>14268.92</v>
          </cell>
        </row>
        <row r="197">
          <cell r="A197" t="str">
            <v>6602.09.01</v>
          </cell>
          <cell r="B197" t="str">
            <v>　　　　住宿费</v>
          </cell>
          <cell r="C197" t="str">
            <v>【未录入】</v>
          </cell>
          <cell r="D197" t="str">
            <v>【未录入】</v>
          </cell>
        </row>
        <row r="198">
          <cell r="A198" t="str">
            <v>6602.09.01</v>
          </cell>
          <cell r="B198" t="str">
            <v>　　　　住宿费</v>
          </cell>
          <cell r="C198" t="str">
            <v>CI002</v>
          </cell>
          <cell r="D198" t="str">
            <v>旭智富能</v>
          </cell>
          <cell r="G198">
            <v>14268.92</v>
          </cell>
          <cell r="H198">
            <v>14268.92</v>
          </cell>
        </row>
        <row r="199">
          <cell r="A199" t="str">
            <v>6602.09.01</v>
          </cell>
          <cell r="B199" t="str">
            <v>　　　　住宿费</v>
          </cell>
          <cell r="C199" t="str">
            <v>CI005</v>
          </cell>
          <cell r="D199" t="str">
            <v>旭智私募</v>
          </cell>
        </row>
        <row r="200">
          <cell r="A200" t="str">
            <v>6602.09.01</v>
          </cell>
          <cell r="B200" t="str">
            <v>　　　　住宿费</v>
          </cell>
          <cell r="C200" t="str">
            <v>CI006</v>
          </cell>
          <cell r="D200" t="str">
            <v>旭智咨询</v>
          </cell>
        </row>
        <row r="201">
          <cell r="A201" t="str">
            <v>6602.09.02</v>
          </cell>
          <cell r="B201" t="str">
            <v>　　　　伙食费</v>
          </cell>
          <cell r="G201">
            <v>9856.7999999999993</v>
          </cell>
          <cell r="H201">
            <v>9856.7999999999993</v>
          </cell>
        </row>
        <row r="202">
          <cell r="A202" t="str">
            <v>6602.09.02</v>
          </cell>
          <cell r="B202" t="str">
            <v>　　　　伙食费</v>
          </cell>
          <cell r="C202" t="str">
            <v>【未录入】</v>
          </cell>
          <cell r="D202" t="str">
            <v>【未录入】</v>
          </cell>
        </row>
        <row r="203">
          <cell r="A203" t="str">
            <v>6602.09.02</v>
          </cell>
          <cell r="B203" t="str">
            <v>　　　　伙食费</v>
          </cell>
          <cell r="C203" t="str">
            <v>CI002</v>
          </cell>
          <cell r="D203" t="str">
            <v>旭智富能</v>
          </cell>
          <cell r="G203">
            <v>9856.7999999999993</v>
          </cell>
          <cell r="H203">
            <v>9856.7999999999993</v>
          </cell>
        </row>
        <row r="204">
          <cell r="A204" t="str">
            <v>6602.09.03</v>
          </cell>
          <cell r="B204" t="str">
            <v>　　　　地面交通费</v>
          </cell>
          <cell r="G204">
            <v>67053.75</v>
          </cell>
          <cell r="H204">
            <v>67053.75</v>
          </cell>
        </row>
        <row r="205">
          <cell r="A205" t="str">
            <v>6602.09.03</v>
          </cell>
          <cell r="B205" t="str">
            <v>　　　　地面交通费</v>
          </cell>
          <cell r="C205" t="str">
            <v>【未录入】</v>
          </cell>
          <cell r="D205" t="str">
            <v>【未录入】</v>
          </cell>
        </row>
        <row r="206">
          <cell r="A206" t="str">
            <v>6602.09.03</v>
          </cell>
          <cell r="B206" t="str">
            <v>　　　　地面交通费</v>
          </cell>
          <cell r="C206" t="str">
            <v>CI002</v>
          </cell>
          <cell r="D206" t="str">
            <v>旭智富能</v>
          </cell>
          <cell r="G206">
            <v>66453.75</v>
          </cell>
          <cell r="H206">
            <v>66453.75</v>
          </cell>
        </row>
        <row r="207">
          <cell r="A207" t="str">
            <v>6602.09.03</v>
          </cell>
          <cell r="B207" t="str">
            <v>　　　　地面交通费</v>
          </cell>
          <cell r="C207" t="str">
            <v>CI005</v>
          </cell>
          <cell r="D207" t="str">
            <v>旭智私募</v>
          </cell>
        </row>
        <row r="208">
          <cell r="A208" t="str">
            <v>6602.09.03</v>
          </cell>
          <cell r="B208" t="str">
            <v>　　　　地面交通费</v>
          </cell>
          <cell r="C208" t="str">
            <v>CI006</v>
          </cell>
          <cell r="D208" t="str">
            <v>旭智咨询</v>
          </cell>
          <cell r="G208">
            <v>600</v>
          </cell>
          <cell r="H208">
            <v>600</v>
          </cell>
        </row>
        <row r="209">
          <cell r="A209" t="str">
            <v>6602.09.04</v>
          </cell>
          <cell r="B209" t="str">
            <v>　　　　空中交通费</v>
          </cell>
          <cell r="G209">
            <v>33047.43</v>
          </cell>
          <cell r="H209">
            <v>33047.43</v>
          </cell>
        </row>
        <row r="210">
          <cell r="A210" t="str">
            <v>6602.09.04</v>
          </cell>
          <cell r="B210" t="str">
            <v>　　　　空中交通费</v>
          </cell>
          <cell r="C210" t="str">
            <v>【未录入】</v>
          </cell>
          <cell r="D210" t="str">
            <v>【未录入】</v>
          </cell>
        </row>
        <row r="211">
          <cell r="A211" t="str">
            <v>6602.09.04</v>
          </cell>
          <cell r="B211" t="str">
            <v>　　　　空中交通费</v>
          </cell>
          <cell r="C211" t="str">
            <v>CI002</v>
          </cell>
          <cell r="D211" t="str">
            <v>旭智富能</v>
          </cell>
          <cell r="G211">
            <v>33047.43</v>
          </cell>
          <cell r="H211">
            <v>33047.43</v>
          </cell>
        </row>
        <row r="212">
          <cell r="A212" t="str">
            <v>6602.09.04</v>
          </cell>
          <cell r="B212" t="str">
            <v>　　　　空中交通费</v>
          </cell>
          <cell r="C212" t="str">
            <v>CI005</v>
          </cell>
          <cell r="D212" t="str">
            <v>旭智私募</v>
          </cell>
        </row>
        <row r="213">
          <cell r="A213" t="str">
            <v>6602.09.04</v>
          </cell>
          <cell r="B213" t="str">
            <v>　　　　空中交通费</v>
          </cell>
          <cell r="C213" t="str">
            <v>CI006</v>
          </cell>
          <cell r="D213" t="str">
            <v>旭智咨询</v>
          </cell>
        </row>
        <row r="214">
          <cell r="A214" t="str">
            <v>6602.09.05</v>
          </cell>
          <cell r="B214" t="str">
            <v>　　　　租车</v>
          </cell>
        </row>
        <row r="215">
          <cell r="A215" t="str">
            <v>6602.09.05</v>
          </cell>
          <cell r="B215" t="str">
            <v>　　　　租车</v>
          </cell>
          <cell r="C215" t="str">
            <v>CI002</v>
          </cell>
          <cell r="D215" t="str">
            <v>旭智富能</v>
          </cell>
        </row>
        <row r="216">
          <cell r="A216" t="str">
            <v>6602.09.06</v>
          </cell>
          <cell r="B216" t="str">
            <v>　　　　其他汽车费用</v>
          </cell>
          <cell r="G216">
            <v>34</v>
          </cell>
          <cell r="H216">
            <v>34</v>
          </cell>
        </row>
        <row r="217">
          <cell r="A217" t="str">
            <v>6602.09.06</v>
          </cell>
          <cell r="B217" t="str">
            <v>　　　　其他汽车费用</v>
          </cell>
          <cell r="C217" t="str">
            <v>CI002</v>
          </cell>
          <cell r="D217" t="str">
            <v>旭智富能</v>
          </cell>
          <cell r="G217">
            <v>34</v>
          </cell>
          <cell r="H217">
            <v>34</v>
          </cell>
        </row>
        <row r="218">
          <cell r="A218" t="str">
            <v>6602.09.99</v>
          </cell>
          <cell r="B218" t="str">
            <v>　　　　其他</v>
          </cell>
        </row>
        <row r="219">
          <cell r="A219" t="str">
            <v>6602.09.99</v>
          </cell>
          <cell r="B219" t="str">
            <v>　　　　其他</v>
          </cell>
          <cell r="C219" t="str">
            <v>CI006</v>
          </cell>
          <cell r="D219" t="str">
            <v>旭智咨询</v>
          </cell>
        </row>
        <row r="220">
          <cell r="A220" t="str">
            <v>6602.10</v>
          </cell>
          <cell r="B220" t="str">
            <v>　　折旧费</v>
          </cell>
          <cell r="G220">
            <v>2710.46</v>
          </cell>
          <cell r="H220">
            <v>2710.46</v>
          </cell>
        </row>
        <row r="221">
          <cell r="A221" t="str">
            <v>6602.10.01</v>
          </cell>
          <cell r="B221" t="str">
            <v>　　　　电子设备</v>
          </cell>
          <cell r="G221">
            <v>2032.37</v>
          </cell>
          <cell r="H221">
            <v>2032.37</v>
          </cell>
        </row>
        <row r="222">
          <cell r="A222" t="str">
            <v>6602.10.04</v>
          </cell>
          <cell r="B222" t="str">
            <v>　　　　家具设备</v>
          </cell>
          <cell r="G222">
            <v>678.09</v>
          </cell>
          <cell r="H222">
            <v>678.09</v>
          </cell>
        </row>
        <row r="223">
          <cell r="A223" t="str">
            <v>6602.12</v>
          </cell>
          <cell r="B223" t="str">
            <v>　　使用权资产折旧</v>
          </cell>
        </row>
        <row r="224">
          <cell r="A224" t="str">
            <v>6602.12.02</v>
          </cell>
          <cell r="B224" t="str">
            <v>　　　　办公地址</v>
          </cell>
        </row>
        <row r="225">
          <cell r="A225" t="str">
            <v>6602.12.02.01</v>
          </cell>
          <cell r="B225" t="str">
            <v>　　　　　　旭智咨询--鼎和大厦1606</v>
          </cell>
        </row>
        <row r="226">
          <cell r="A226" t="str">
            <v>6602.13</v>
          </cell>
          <cell r="B226" t="str">
            <v>　　物业管理费</v>
          </cell>
        </row>
        <row r="227">
          <cell r="A227" t="str">
            <v>6602.15</v>
          </cell>
          <cell r="B227" t="str">
            <v>　　服务费</v>
          </cell>
        </row>
        <row r="228">
          <cell r="A228" t="str">
            <v>6602.99</v>
          </cell>
          <cell r="B228" t="str">
            <v>　　其他</v>
          </cell>
        </row>
        <row r="229">
          <cell r="A229" t="str">
            <v>6603</v>
          </cell>
          <cell r="B229" t="str">
            <v>财务费用</v>
          </cell>
          <cell r="G229">
            <v>-685.03</v>
          </cell>
          <cell r="H229">
            <v>-685.03</v>
          </cell>
        </row>
        <row r="230">
          <cell r="A230" t="str">
            <v>6603.01</v>
          </cell>
          <cell r="B230" t="str">
            <v>　　汇兑损益</v>
          </cell>
          <cell r="G230">
            <v>-773.65</v>
          </cell>
          <cell r="H230">
            <v>-773.65</v>
          </cell>
        </row>
        <row r="231">
          <cell r="A231" t="str">
            <v>6603.02</v>
          </cell>
          <cell r="B231" t="str">
            <v>　　利息费用</v>
          </cell>
        </row>
        <row r="232">
          <cell r="A232" t="str">
            <v>6603.02.02</v>
          </cell>
          <cell r="B232" t="str">
            <v>　　　　办公地址</v>
          </cell>
        </row>
        <row r="233">
          <cell r="A233" t="str">
            <v>6603.02.02.01</v>
          </cell>
          <cell r="B233" t="str">
            <v>　　　　　　旭智咨询--鼎和大厦1606</v>
          </cell>
        </row>
        <row r="234">
          <cell r="A234" t="str">
            <v>6603.03</v>
          </cell>
          <cell r="B234" t="str">
            <v>　　银行手续费</v>
          </cell>
          <cell r="G234">
            <v>99.89</v>
          </cell>
          <cell r="H234">
            <v>99.89</v>
          </cell>
        </row>
        <row r="235">
          <cell r="A235" t="str">
            <v>6603.04</v>
          </cell>
          <cell r="B235" t="str">
            <v>　　利息收入</v>
          </cell>
          <cell r="G235">
            <v>-11.27</v>
          </cell>
          <cell r="H235">
            <v>-11.27</v>
          </cell>
        </row>
        <row r="236">
          <cell r="A236" t="str">
            <v>6711</v>
          </cell>
          <cell r="B236" t="str">
            <v>营业外支出</v>
          </cell>
        </row>
        <row r="237">
          <cell r="A237" t="str">
            <v>6711.02</v>
          </cell>
          <cell r="B237" t="str">
            <v>　　非流动资产处置损失</v>
          </cell>
        </row>
        <row r="238">
          <cell r="A238" t="str">
            <v>6801</v>
          </cell>
          <cell r="B238" t="str">
            <v>所得税费用</v>
          </cell>
        </row>
        <row r="239">
          <cell r="A239" t="str">
            <v>6801.01</v>
          </cell>
          <cell r="B239" t="str">
            <v>　　当期所得税费用</v>
          </cell>
        </row>
        <row r="240">
          <cell r="A240" t="str">
            <v>6801.03</v>
          </cell>
          <cell r="B240" t="str">
            <v>　　以前年度所得税费用</v>
          </cell>
        </row>
        <row r="241">
          <cell r="B241" t="str">
            <v>合计</v>
          </cell>
          <cell r="E241">
            <v>6457026.4699999997</v>
          </cell>
          <cell r="F241">
            <v>6391094.3399999999</v>
          </cell>
          <cell r="G241">
            <v>3630518.44</v>
          </cell>
          <cell r="H241">
            <v>3631292.09</v>
          </cell>
        </row>
      </sheetData>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月"/>
      <sheetName val="2月"/>
      <sheetName val="3月"/>
      <sheetName val="4月"/>
      <sheetName val="5月"/>
      <sheetName val="6月"/>
      <sheetName val="7月"/>
      <sheetName val="8月"/>
      <sheetName val="9月"/>
      <sheetName val="10月"/>
      <sheetName val="11月"/>
      <sheetName val="12月"/>
    </sheetNames>
    <sheetDataSet>
      <sheetData sheetId="0">
        <row r="1">
          <cell r="A1" t="str">
            <v>币别:人民币</v>
          </cell>
          <cell r="B1" t="str">
            <v>账簿:广州旭智投资控股有限责任公司</v>
          </cell>
          <cell r="C1" t="str">
            <v>期间:2025.1 -- 2025.1</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97174.5</v>
          </cell>
          <cell r="G4">
            <v>1131.28</v>
          </cell>
          <cell r="H4">
            <v>199.98</v>
          </cell>
        </row>
        <row r="5">
          <cell r="A5" t="str">
            <v>1002.20</v>
          </cell>
          <cell r="B5" t="str">
            <v>　　【广州旭智】银行存款账户</v>
          </cell>
          <cell r="E5">
            <v>97174.5</v>
          </cell>
          <cell r="G5">
            <v>1131.28</v>
          </cell>
          <cell r="H5">
            <v>199.98</v>
          </cell>
        </row>
        <row r="6">
          <cell r="A6" t="str">
            <v>1002.20.01</v>
          </cell>
          <cell r="B6" t="str">
            <v>　　　　中国银行账户</v>
          </cell>
          <cell r="E6">
            <v>95862.33</v>
          </cell>
          <cell r="G6">
            <v>1131.28</v>
          </cell>
          <cell r="H6">
            <v>199.98</v>
          </cell>
        </row>
        <row r="7">
          <cell r="A7" t="str">
            <v>1002.20.01.01</v>
          </cell>
          <cell r="B7" t="str">
            <v>　　　　　　【广州旭智】中银 人民币基本户 1992</v>
          </cell>
          <cell r="E7">
            <v>85375.06</v>
          </cell>
          <cell r="G7">
            <v>1131.28</v>
          </cell>
        </row>
        <row r="8">
          <cell r="A8" t="str">
            <v>1002.20.01.02</v>
          </cell>
          <cell r="B8" t="str">
            <v>　　　　　　【广州旭智】中银 人民币一般户 7284</v>
          </cell>
          <cell r="E8">
            <v>10487.27</v>
          </cell>
          <cell r="H8">
            <v>199.98</v>
          </cell>
        </row>
        <row r="9">
          <cell r="A9" t="str">
            <v>1002.20.02</v>
          </cell>
          <cell r="B9" t="str">
            <v>　　　　兴业银行账户</v>
          </cell>
          <cell r="E9">
            <v>1312.17</v>
          </cell>
        </row>
        <row r="10">
          <cell r="A10" t="str">
            <v>1002.20.02.01</v>
          </cell>
          <cell r="B10" t="str">
            <v>　　　　　　【广州旭智】兴业 人民币专用存款账户 7362</v>
          </cell>
          <cell r="E10">
            <v>1312.17</v>
          </cell>
        </row>
        <row r="11">
          <cell r="A11" t="str">
            <v>1101</v>
          </cell>
          <cell r="B11" t="str">
            <v>交易性金融资产</v>
          </cell>
          <cell r="E11">
            <v>30000</v>
          </cell>
        </row>
        <row r="12">
          <cell r="A12" t="str">
            <v>1101.01</v>
          </cell>
          <cell r="B12" t="str">
            <v>　　投资成本</v>
          </cell>
          <cell r="E12">
            <v>30000</v>
          </cell>
        </row>
        <row r="13">
          <cell r="A13" t="str">
            <v>1101.01.03</v>
          </cell>
          <cell r="B13" t="str">
            <v>　　　　银行理财</v>
          </cell>
          <cell r="E13">
            <v>30000</v>
          </cell>
        </row>
        <row r="14">
          <cell r="A14" t="str">
            <v>1221</v>
          </cell>
          <cell r="B14" t="str">
            <v>其他应收款</v>
          </cell>
          <cell r="E14">
            <v>1583864.63</v>
          </cell>
        </row>
        <row r="15">
          <cell r="A15" t="str">
            <v>1221.01</v>
          </cell>
          <cell r="B15" t="str">
            <v>　　单位</v>
          </cell>
          <cell r="E15">
            <v>1583864.63</v>
          </cell>
        </row>
        <row r="16">
          <cell r="A16" t="str">
            <v>1221.01</v>
          </cell>
          <cell r="B16" t="str">
            <v>　　单位</v>
          </cell>
          <cell r="C16" t="str">
            <v>CU003002</v>
          </cell>
          <cell r="D16" t="str">
            <v>旭智资本(香港)有限公司</v>
          </cell>
          <cell r="E16">
            <v>35186.120000000003</v>
          </cell>
        </row>
        <row r="17">
          <cell r="A17" t="str">
            <v>1221.01</v>
          </cell>
          <cell r="B17" t="str">
            <v>　　单位</v>
          </cell>
          <cell r="C17" t="str">
            <v>CU003006</v>
          </cell>
          <cell r="D17" t="str">
            <v>旭智咨询管理(深圳)有限责任公司</v>
          </cell>
          <cell r="E17">
            <v>1509439.15</v>
          </cell>
        </row>
        <row r="18">
          <cell r="A18" t="str">
            <v>1221.01</v>
          </cell>
          <cell r="B18" t="str">
            <v>　　单位</v>
          </cell>
          <cell r="C18" t="str">
            <v>CU005005</v>
          </cell>
          <cell r="D18" t="str">
            <v>广东绿城物业服务有限公司</v>
          </cell>
          <cell r="E18">
            <v>4053.24</v>
          </cell>
        </row>
        <row r="19">
          <cell r="A19" t="str">
            <v>1221.01</v>
          </cell>
          <cell r="B19" t="str">
            <v>　　单位</v>
          </cell>
          <cell r="C19" t="str">
            <v>CU005009</v>
          </cell>
          <cell r="D19" t="str">
            <v>旭智资本有限公司</v>
          </cell>
          <cell r="E19">
            <v>35186.120000000003</v>
          </cell>
        </row>
        <row r="20">
          <cell r="A20" t="str">
            <v>1511</v>
          </cell>
          <cell r="B20" t="str">
            <v>长期股权投资</v>
          </cell>
          <cell r="E20">
            <v>39204000</v>
          </cell>
        </row>
        <row r="21">
          <cell r="A21" t="str">
            <v>1511.01</v>
          </cell>
          <cell r="B21" t="str">
            <v>　　投资成本</v>
          </cell>
          <cell r="E21">
            <v>39204000</v>
          </cell>
        </row>
        <row r="22">
          <cell r="A22" t="str">
            <v>1511.01.01</v>
          </cell>
          <cell r="B22" t="str">
            <v>　　　　宜兴旭智投资咨询合伙企业（有限合伙）</v>
          </cell>
          <cell r="E22">
            <v>39204000</v>
          </cell>
        </row>
        <row r="23">
          <cell r="A23" t="str">
            <v>1601</v>
          </cell>
          <cell r="B23" t="str">
            <v>固定资产</v>
          </cell>
          <cell r="E23">
            <v>36880.65</v>
          </cell>
        </row>
        <row r="24">
          <cell r="A24" t="str">
            <v>1601.01</v>
          </cell>
          <cell r="B24" t="str">
            <v>　　电子设备</v>
          </cell>
          <cell r="E24">
            <v>36880.65</v>
          </cell>
        </row>
        <row r="25">
          <cell r="A25" t="str">
            <v>1602</v>
          </cell>
          <cell r="B25" t="str">
            <v>累计折旧</v>
          </cell>
          <cell r="F25">
            <v>35036.61</v>
          </cell>
        </row>
        <row r="26">
          <cell r="A26" t="str">
            <v>1602.01</v>
          </cell>
          <cell r="B26" t="str">
            <v>　　电子设备</v>
          </cell>
          <cell r="F26">
            <v>35036.61</v>
          </cell>
        </row>
        <row r="27">
          <cell r="A27" t="str">
            <v>1641</v>
          </cell>
          <cell r="B27" t="str">
            <v>使用权资产</v>
          </cell>
          <cell r="E27">
            <v>4764.3999999999996</v>
          </cell>
        </row>
        <row r="28">
          <cell r="A28" t="str">
            <v>1641.03</v>
          </cell>
          <cell r="B28" t="str">
            <v>　　注册地址</v>
          </cell>
          <cell r="E28">
            <v>4764.3999999999996</v>
          </cell>
        </row>
        <row r="29">
          <cell r="A29" t="str">
            <v>1641.03.02</v>
          </cell>
          <cell r="B29" t="str">
            <v>　　　　广州旭智--802房F028</v>
          </cell>
          <cell r="E29">
            <v>4764.3999999999996</v>
          </cell>
        </row>
        <row r="30">
          <cell r="A30" t="str">
            <v>1642</v>
          </cell>
          <cell r="B30" t="str">
            <v>使用权资产累计折旧</v>
          </cell>
          <cell r="F30">
            <v>3176.24</v>
          </cell>
          <cell r="H30">
            <v>397.03</v>
          </cell>
        </row>
        <row r="31">
          <cell r="A31" t="str">
            <v>1642.03</v>
          </cell>
          <cell r="B31" t="str">
            <v>　　注册地址</v>
          </cell>
          <cell r="F31">
            <v>3176.24</v>
          </cell>
          <cell r="H31">
            <v>397.03</v>
          </cell>
        </row>
        <row r="32">
          <cell r="A32" t="str">
            <v>1642.03.02</v>
          </cell>
          <cell r="B32" t="str">
            <v>　　　　广州旭智--802房F028</v>
          </cell>
          <cell r="F32">
            <v>3176.24</v>
          </cell>
          <cell r="H32">
            <v>397.03</v>
          </cell>
        </row>
        <row r="33">
          <cell r="A33" t="str">
            <v>2221</v>
          </cell>
          <cell r="B33" t="str">
            <v>应交税费</v>
          </cell>
          <cell r="F33">
            <v>-19016.810000000001</v>
          </cell>
        </row>
        <row r="34">
          <cell r="A34" t="str">
            <v>2221.01</v>
          </cell>
          <cell r="B34" t="str">
            <v>　　应交增值税</v>
          </cell>
          <cell r="F34">
            <v>-13478.08</v>
          </cell>
        </row>
        <row r="35">
          <cell r="A35" t="str">
            <v>2221.01.01</v>
          </cell>
          <cell r="B35" t="str">
            <v>　　　　销项税额</v>
          </cell>
          <cell r="F35">
            <v>141812.79999999999</v>
          </cell>
        </row>
        <row r="36">
          <cell r="A36" t="str">
            <v>2221.01.03</v>
          </cell>
          <cell r="B36" t="str">
            <v>　　　　进项税额</v>
          </cell>
          <cell r="F36">
            <v>-18385.53</v>
          </cell>
        </row>
        <row r="37">
          <cell r="A37" t="str">
            <v>2221.01.06</v>
          </cell>
          <cell r="B37" t="str">
            <v>　　　　转出未交增值税</v>
          </cell>
          <cell r="F37">
            <v>-136905.35</v>
          </cell>
        </row>
        <row r="38">
          <cell r="A38" t="str">
            <v>2221.15</v>
          </cell>
          <cell r="B38" t="str">
            <v>　　应交企业所得税</v>
          </cell>
          <cell r="F38">
            <v>-2104.25</v>
          </cell>
        </row>
        <row r="39">
          <cell r="A39" t="str">
            <v>2221.16</v>
          </cell>
          <cell r="B39" t="str">
            <v>　　应交个人所得税</v>
          </cell>
          <cell r="F39">
            <v>-3434.48</v>
          </cell>
        </row>
        <row r="40">
          <cell r="A40" t="str">
            <v>2241</v>
          </cell>
          <cell r="B40" t="str">
            <v>其他应付款</v>
          </cell>
          <cell r="F40">
            <v>49795476.740000002</v>
          </cell>
          <cell r="H40">
            <v>-76249.45</v>
          </cell>
        </row>
        <row r="41">
          <cell r="A41" t="str">
            <v>2241.01</v>
          </cell>
          <cell r="B41" t="str">
            <v>　　单位</v>
          </cell>
          <cell r="F41">
            <v>49795262.719999999</v>
          </cell>
          <cell r="H41">
            <v>-76249.45</v>
          </cell>
        </row>
        <row r="42">
          <cell r="A42" t="str">
            <v>2241.01</v>
          </cell>
          <cell r="B42" t="str">
            <v>　　单位</v>
          </cell>
          <cell r="C42" t="str">
            <v>SU005007</v>
          </cell>
          <cell r="D42" t="str">
            <v>普华永道中天会计师事务所（特殊普通合伙）</v>
          </cell>
          <cell r="F42">
            <v>40000</v>
          </cell>
        </row>
        <row r="43">
          <cell r="A43" t="str">
            <v>2241.01</v>
          </cell>
          <cell r="B43" t="str">
            <v>　　单位</v>
          </cell>
          <cell r="C43" t="str">
            <v>SU005033</v>
          </cell>
          <cell r="D43" t="str">
            <v>卓佳咨询(北京)有限公司深圳分公司</v>
          </cell>
          <cell r="F43">
            <v>16017</v>
          </cell>
          <cell r="H43">
            <v>5339</v>
          </cell>
        </row>
        <row r="44">
          <cell r="A44" t="str">
            <v>2241.01</v>
          </cell>
          <cell r="B44" t="str">
            <v>　　单位</v>
          </cell>
          <cell r="C44" t="str">
            <v>SU005043</v>
          </cell>
          <cell r="D44" t="str">
            <v>旭智资本有限公司</v>
          </cell>
          <cell r="F44">
            <v>679845.71</v>
          </cell>
          <cell r="H44">
            <v>45352.85</v>
          </cell>
        </row>
        <row r="45">
          <cell r="A45" t="str">
            <v>2241.01</v>
          </cell>
          <cell r="B45" t="str">
            <v>　　单位</v>
          </cell>
          <cell r="C45" t="str">
            <v>SU005045</v>
          </cell>
          <cell r="D45" t="str">
            <v>旭智资本(香港)有限公司</v>
          </cell>
          <cell r="F45">
            <v>49059400.009999998</v>
          </cell>
          <cell r="H45">
            <v>-126941.3</v>
          </cell>
        </row>
        <row r="46">
          <cell r="A46" t="str">
            <v>2241.02</v>
          </cell>
          <cell r="B46" t="str">
            <v>　　个人</v>
          </cell>
          <cell r="F46">
            <v>214.02</v>
          </cell>
        </row>
        <row r="47">
          <cell r="A47" t="str">
            <v>2241.02</v>
          </cell>
          <cell r="B47" t="str">
            <v>　　个人</v>
          </cell>
          <cell r="C47" t="str">
            <v>SP005011</v>
          </cell>
          <cell r="D47" t="str">
            <v>郭宗林</v>
          </cell>
          <cell r="F47">
            <v>114.02</v>
          </cell>
        </row>
        <row r="48">
          <cell r="A48" t="str">
            <v>2241.02</v>
          </cell>
          <cell r="B48" t="str">
            <v>　　个人</v>
          </cell>
          <cell r="C48" t="str">
            <v>SP005012</v>
          </cell>
          <cell r="D48" t="str">
            <v>吴雅薇</v>
          </cell>
          <cell r="F48">
            <v>100</v>
          </cell>
        </row>
        <row r="49">
          <cell r="A49" t="str">
            <v>4001</v>
          </cell>
          <cell r="B49" t="str">
            <v>实收资本（股本）</v>
          </cell>
          <cell r="F49">
            <v>1377820</v>
          </cell>
        </row>
        <row r="50">
          <cell r="A50" t="str">
            <v>4001.11</v>
          </cell>
          <cell r="B50" t="str">
            <v>　　旭智资本（香港）有限公司</v>
          </cell>
          <cell r="F50">
            <v>1377820</v>
          </cell>
        </row>
        <row r="51">
          <cell r="A51" t="str">
            <v>4103</v>
          </cell>
          <cell r="B51" t="str">
            <v>本年利润</v>
          </cell>
          <cell r="G51">
            <v>-75652.44</v>
          </cell>
          <cell r="H51">
            <v>1131.28</v>
          </cell>
        </row>
        <row r="52">
          <cell r="A52" t="str">
            <v>4104</v>
          </cell>
          <cell r="B52" t="str">
            <v>利润分配</v>
          </cell>
          <cell r="F52">
            <v>-10235808.6</v>
          </cell>
        </row>
        <row r="53">
          <cell r="A53" t="str">
            <v>4104.07</v>
          </cell>
          <cell r="B53" t="str">
            <v>　　未分配利润</v>
          </cell>
          <cell r="F53">
            <v>-10235808.6</v>
          </cell>
        </row>
        <row r="54">
          <cell r="A54" t="str">
            <v>6301</v>
          </cell>
          <cell r="B54" t="str">
            <v>营业外收入</v>
          </cell>
          <cell r="G54">
            <v>1131.28</v>
          </cell>
          <cell r="H54">
            <v>1131.28</v>
          </cell>
        </row>
        <row r="55">
          <cell r="A55" t="str">
            <v>6301.99</v>
          </cell>
          <cell r="B55" t="str">
            <v>　　其他</v>
          </cell>
          <cell r="G55">
            <v>1131.28</v>
          </cell>
          <cell r="H55">
            <v>1131.28</v>
          </cell>
        </row>
        <row r="56">
          <cell r="A56" t="str">
            <v>6602</v>
          </cell>
          <cell r="B56" t="str">
            <v>管理费用</v>
          </cell>
          <cell r="G56">
            <v>5736.03</v>
          </cell>
          <cell r="H56">
            <v>5736.03</v>
          </cell>
        </row>
        <row r="57">
          <cell r="A57" t="str">
            <v>6602.04</v>
          </cell>
          <cell r="B57" t="str">
            <v>　　咨询及专业服务费</v>
          </cell>
          <cell r="G57">
            <v>5339</v>
          </cell>
          <cell r="H57">
            <v>5339</v>
          </cell>
        </row>
        <row r="58">
          <cell r="A58" t="str">
            <v>6602.04.01</v>
          </cell>
          <cell r="B58" t="str">
            <v>　　　　会计服务费</v>
          </cell>
          <cell r="G58">
            <v>5339</v>
          </cell>
          <cell r="H58">
            <v>5339</v>
          </cell>
        </row>
        <row r="59">
          <cell r="A59" t="str">
            <v>6602.12</v>
          </cell>
          <cell r="B59" t="str">
            <v>　　使用权资产折旧</v>
          </cell>
          <cell r="G59">
            <v>397.03</v>
          </cell>
          <cell r="H59">
            <v>397.03</v>
          </cell>
        </row>
        <row r="60">
          <cell r="A60" t="str">
            <v>6602.12.03</v>
          </cell>
          <cell r="B60" t="str">
            <v>　　　　注册地址</v>
          </cell>
          <cell r="G60">
            <v>397.03</v>
          </cell>
          <cell r="H60">
            <v>397.03</v>
          </cell>
        </row>
        <row r="61">
          <cell r="A61" t="str">
            <v>6602.12.03.02</v>
          </cell>
          <cell r="B61" t="str">
            <v>　　　　　　广州旭智--802房F028</v>
          </cell>
          <cell r="G61">
            <v>397.03</v>
          </cell>
          <cell r="H61">
            <v>397.03</v>
          </cell>
        </row>
        <row r="62">
          <cell r="A62" t="str">
            <v>6603</v>
          </cell>
          <cell r="B62" t="str">
            <v>财务费用</v>
          </cell>
          <cell r="G62">
            <v>-81388.47</v>
          </cell>
          <cell r="H62">
            <v>-81388.47</v>
          </cell>
        </row>
        <row r="63">
          <cell r="A63" t="str">
            <v>6603.01</v>
          </cell>
          <cell r="B63" t="str">
            <v>　　汇兑损益</v>
          </cell>
          <cell r="G63">
            <v>-81588.45</v>
          </cell>
          <cell r="H63">
            <v>-81588.45</v>
          </cell>
        </row>
        <row r="64">
          <cell r="A64" t="str">
            <v>6603.03</v>
          </cell>
          <cell r="B64" t="str">
            <v>　　银行手续费</v>
          </cell>
          <cell r="G64">
            <v>199.98</v>
          </cell>
          <cell r="H64">
            <v>199.98</v>
          </cell>
        </row>
        <row r="65">
          <cell r="B65" t="str">
            <v>合计</v>
          </cell>
          <cell r="E65">
            <v>40956684.18</v>
          </cell>
          <cell r="F65">
            <v>40956684.18</v>
          </cell>
          <cell r="G65">
            <v>-149042.32</v>
          </cell>
          <cell r="H65">
            <v>-149042.32</v>
          </cell>
        </row>
      </sheetData>
      <sheetData sheetId="1">
        <row r="1">
          <cell r="A1" t="str">
            <v>币别:人民币</v>
          </cell>
          <cell r="B1" t="str">
            <v>账簿:广州旭智投资控股有限责任公司</v>
          </cell>
          <cell r="C1" t="str">
            <v>期间:2025.2 -- 2025.2</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98105.8</v>
          </cell>
          <cell r="G4">
            <v>3661.54</v>
          </cell>
          <cell r="H4">
            <v>16532</v>
          </cell>
        </row>
        <row r="5">
          <cell r="A5" t="str">
            <v>1002.20</v>
          </cell>
          <cell r="B5" t="str">
            <v>　　【广州旭智】银行存款账户</v>
          </cell>
          <cell r="E5">
            <v>98105.8</v>
          </cell>
          <cell r="G5">
            <v>3661.54</v>
          </cell>
          <cell r="H5">
            <v>16532</v>
          </cell>
        </row>
        <row r="6">
          <cell r="A6" t="str">
            <v>1002.20.01</v>
          </cell>
          <cell r="B6" t="str">
            <v>　　　　中国银行账户</v>
          </cell>
          <cell r="E6">
            <v>96793.63</v>
          </cell>
          <cell r="G6">
            <v>3661.54</v>
          </cell>
          <cell r="H6">
            <v>16532</v>
          </cell>
        </row>
        <row r="7">
          <cell r="A7" t="str">
            <v>1002.20.01.01</v>
          </cell>
          <cell r="B7" t="str">
            <v>　　　　　　【广州旭智】中银 人民币基本户 1992</v>
          </cell>
          <cell r="E7">
            <v>86506.34</v>
          </cell>
          <cell r="G7">
            <v>3661.54</v>
          </cell>
          <cell r="H7">
            <v>16525</v>
          </cell>
        </row>
        <row r="8">
          <cell r="A8" t="str">
            <v>1002.20.01.02</v>
          </cell>
          <cell r="B8" t="str">
            <v>　　　　　　【广州旭智】中银 人民币一般户 7284</v>
          </cell>
          <cell r="E8">
            <v>10287.290000000001</v>
          </cell>
          <cell r="H8">
            <v>7</v>
          </cell>
        </row>
        <row r="9">
          <cell r="A9" t="str">
            <v>1002.20.02</v>
          </cell>
          <cell r="B9" t="str">
            <v>　　　　兴业银行账户</v>
          </cell>
          <cell r="E9">
            <v>1312.17</v>
          </cell>
        </row>
        <row r="10">
          <cell r="A10" t="str">
            <v>1002.20.02.01</v>
          </cell>
          <cell r="B10" t="str">
            <v>　　　　　　【广州旭智】兴业 人民币专用存款账户 7362</v>
          </cell>
          <cell r="E10">
            <v>1312.17</v>
          </cell>
        </row>
        <row r="11">
          <cell r="A11" t="str">
            <v>1101</v>
          </cell>
          <cell r="B11" t="str">
            <v>交易性金融资产</v>
          </cell>
          <cell r="E11">
            <v>30000</v>
          </cell>
        </row>
        <row r="12">
          <cell r="A12" t="str">
            <v>1101.01</v>
          </cell>
          <cell r="B12" t="str">
            <v>　　投资成本</v>
          </cell>
          <cell r="E12">
            <v>30000</v>
          </cell>
        </row>
        <row r="13">
          <cell r="A13" t="str">
            <v>1101.01.03</v>
          </cell>
          <cell r="B13" t="str">
            <v>　　　　银行理财</v>
          </cell>
          <cell r="E13">
            <v>30000</v>
          </cell>
        </row>
        <row r="14">
          <cell r="A14" t="str">
            <v>1221</v>
          </cell>
          <cell r="B14" t="str">
            <v>其他应收款</v>
          </cell>
          <cell r="E14">
            <v>1583864.63</v>
          </cell>
        </row>
        <row r="15">
          <cell r="A15" t="str">
            <v>1221.01</v>
          </cell>
          <cell r="B15" t="str">
            <v>　　单位</v>
          </cell>
          <cell r="E15">
            <v>1583864.63</v>
          </cell>
        </row>
        <row r="16">
          <cell r="A16" t="str">
            <v>1221.01</v>
          </cell>
          <cell r="B16" t="str">
            <v>　　单位</v>
          </cell>
          <cell r="C16" t="str">
            <v>CU003002</v>
          </cell>
          <cell r="D16" t="str">
            <v>旭智资本(香港)有限公司</v>
          </cell>
          <cell r="E16">
            <v>35186.120000000003</v>
          </cell>
        </row>
        <row r="17">
          <cell r="A17" t="str">
            <v>1221.01</v>
          </cell>
          <cell r="B17" t="str">
            <v>　　单位</v>
          </cell>
          <cell r="C17" t="str">
            <v>CU003006</v>
          </cell>
          <cell r="D17" t="str">
            <v>旭智咨询管理(深圳)有限责任公司</v>
          </cell>
          <cell r="E17">
            <v>1509439.15</v>
          </cell>
        </row>
        <row r="18">
          <cell r="A18" t="str">
            <v>1221.01</v>
          </cell>
          <cell r="B18" t="str">
            <v>　　单位</v>
          </cell>
          <cell r="C18" t="str">
            <v>CU005005</v>
          </cell>
          <cell r="D18" t="str">
            <v>广东绿城物业服务有限公司</v>
          </cell>
          <cell r="E18">
            <v>4053.24</v>
          </cell>
        </row>
        <row r="19">
          <cell r="A19" t="str">
            <v>1221.01</v>
          </cell>
          <cell r="B19" t="str">
            <v>　　单位</v>
          </cell>
          <cell r="C19" t="str">
            <v>CU005009</v>
          </cell>
          <cell r="D19" t="str">
            <v>旭智资本有限公司</v>
          </cell>
          <cell r="E19">
            <v>35186.120000000003</v>
          </cell>
        </row>
        <row r="20">
          <cell r="A20" t="str">
            <v>1511</v>
          </cell>
          <cell r="B20" t="str">
            <v>长期股权投资</v>
          </cell>
          <cell r="E20">
            <v>39204000</v>
          </cell>
        </row>
        <row r="21">
          <cell r="A21" t="str">
            <v>1511.01</v>
          </cell>
          <cell r="B21" t="str">
            <v>　　投资成本</v>
          </cell>
          <cell r="E21">
            <v>39204000</v>
          </cell>
        </row>
        <row r="22">
          <cell r="A22" t="str">
            <v>1511.01.01</v>
          </cell>
          <cell r="B22" t="str">
            <v>　　　　宜兴旭智投资咨询合伙企业（有限合伙）</v>
          </cell>
          <cell r="E22">
            <v>39204000</v>
          </cell>
        </row>
        <row r="23">
          <cell r="A23" t="str">
            <v>1601</v>
          </cell>
          <cell r="B23" t="str">
            <v>固定资产</v>
          </cell>
          <cell r="E23">
            <v>36880.65</v>
          </cell>
        </row>
        <row r="24">
          <cell r="A24" t="str">
            <v>1601.01</v>
          </cell>
          <cell r="B24" t="str">
            <v>　　电子设备</v>
          </cell>
          <cell r="E24">
            <v>36880.65</v>
          </cell>
        </row>
        <row r="25">
          <cell r="A25" t="str">
            <v>1602</v>
          </cell>
          <cell r="B25" t="str">
            <v>累计折旧</v>
          </cell>
          <cell r="F25">
            <v>35036.61</v>
          </cell>
        </row>
        <row r="26">
          <cell r="A26" t="str">
            <v>1602.01</v>
          </cell>
          <cell r="B26" t="str">
            <v>　　电子设备</v>
          </cell>
          <cell r="F26">
            <v>35036.61</v>
          </cell>
        </row>
        <row r="27">
          <cell r="A27" t="str">
            <v>1641</v>
          </cell>
          <cell r="B27" t="str">
            <v>使用权资产</v>
          </cell>
          <cell r="E27">
            <v>4764.3999999999996</v>
          </cell>
        </row>
        <row r="28">
          <cell r="A28" t="str">
            <v>1641.03</v>
          </cell>
          <cell r="B28" t="str">
            <v>　　注册地址</v>
          </cell>
          <cell r="E28">
            <v>4764.3999999999996</v>
          </cell>
        </row>
        <row r="29">
          <cell r="A29" t="str">
            <v>1641.03.02</v>
          </cell>
          <cell r="B29" t="str">
            <v>　　　　广州旭智--802房F028</v>
          </cell>
          <cell r="E29">
            <v>4764.3999999999996</v>
          </cell>
        </row>
        <row r="30">
          <cell r="A30" t="str">
            <v>1642</v>
          </cell>
          <cell r="B30" t="str">
            <v>使用权资产累计折旧</v>
          </cell>
          <cell r="F30">
            <v>3573.27</v>
          </cell>
          <cell r="H30">
            <v>397.03</v>
          </cell>
        </row>
        <row r="31">
          <cell r="A31" t="str">
            <v>1642.03</v>
          </cell>
          <cell r="B31" t="str">
            <v>　　注册地址</v>
          </cell>
          <cell r="F31">
            <v>3573.27</v>
          </cell>
          <cell r="H31">
            <v>397.03</v>
          </cell>
        </row>
        <row r="32">
          <cell r="A32" t="str">
            <v>1642.03.02</v>
          </cell>
          <cell r="B32" t="str">
            <v>　　　　广州旭智--802房F028</v>
          </cell>
          <cell r="F32">
            <v>3573.27</v>
          </cell>
          <cell r="H32">
            <v>397.03</v>
          </cell>
        </row>
        <row r="33">
          <cell r="A33" t="str">
            <v>2221</v>
          </cell>
          <cell r="B33" t="str">
            <v>应交税费</v>
          </cell>
          <cell r="F33">
            <v>-19016.810000000001</v>
          </cell>
          <cell r="H33">
            <v>207.26</v>
          </cell>
        </row>
        <row r="34">
          <cell r="A34" t="str">
            <v>2221.01</v>
          </cell>
          <cell r="B34" t="str">
            <v>　　应交增值税</v>
          </cell>
          <cell r="F34">
            <v>-13478.08</v>
          </cell>
          <cell r="H34">
            <v>207.26</v>
          </cell>
        </row>
        <row r="35">
          <cell r="A35" t="str">
            <v>2221.01.01</v>
          </cell>
          <cell r="B35" t="str">
            <v>　　　　销项税额</v>
          </cell>
          <cell r="F35">
            <v>141812.79999999999</v>
          </cell>
          <cell r="H35">
            <v>207.26</v>
          </cell>
        </row>
        <row r="36">
          <cell r="A36" t="str">
            <v>2221.01.03</v>
          </cell>
          <cell r="B36" t="str">
            <v>　　　　进项税额</v>
          </cell>
          <cell r="F36">
            <v>-18385.53</v>
          </cell>
        </row>
        <row r="37">
          <cell r="A37" t="str">
            <v>2221.01.06</v>
          </cell>
          <cell r="B37" t="str">
            <v>　　　　转出未交增值税</v>
          </cell>
          <cell r="F37">
            <v>-136905.35</v>
          </cell>
        </row>
        <row r="38">
          <cell r="A38" t="str">
            <v>2221.15</v>
          </cell>
          <cell r="B38" t="str">
            <v>　　应交企业所得税</v>
          </cell>
          <cell r="F38">
            <v>-2104.25</v>
          </cell>
        </row>
        <row r="39">
          <cell r="A39" t="str">
            <v>2221.16</v>
          </cell>
          <cell r="B39" t="str">
            <v>　　应交个人所得税</v>
          </cell>
          <cell r="F39">
            <v>-3434.48</v>
          </cell>
        </row>
        <row r="40">
          <cell r="A40" t="str">
            <v>2241</v>
          </cell>
          <cell r="B40" t="str">
            <v>其他应付款</v>
          </cell>
          <cell r="F40">
            <v>49719227.289999999</v>
          </cell>
          <cell r="G40">
            <v>16017</v>
          </cell>
          <cell r="H40">
            <v>31427.91</v>
          </cell>
        </row>
        <row r="41">
          <cell r="A41" t="str">
            <v>2241.01</v>
          </cell>
          <cell r="B41" t="str">
            <v>　　单位</v>
          </cell>
          <cell r="F41">
            <v>49719013.270000003</v>
          </cell>
          <cell r="G41">
            <v>16017</v>
          </cell>
          <cell r="H41">
            <v>31427.91</v>
          </cell>
        </row>
        <row r="42">
          <cell r="A42" t="str">
            <v>2241.01</v>
          </cell>
          <cell r="B42" t="str">
            <v>　　单位</v>
          </cell>
          <cell r="C42" t="str">
            <v>SU005007</v>
          </cell>
          <cell r="D42" t="str">
            <v>普华永道中天会计师事务所（特殊普通合伙）</v>
          </cell>
          <cell r="F42">
            <v>40000</v>
          </cell>
        </row>
        <row r="43">
          <cell r="A43" t="str">
            <v>2241.01</v>
          </cell>
          <cell r="B43" t="str">
            <v>　　单位</v>
          </cell>
          <cell r="C43" t="str">
            <v>SU005033</v>
          </cell>
          <cell r="D43" t="str">
            <v>卓佳咨询(北京)有限公司深圳分公司</v>
          </cell>
          <cell r="F43">
            <v>21356</v>
          </cell>
          <cell r="G43">
            <v>16017</v>
          </cell>
          <cell r="H43">
            <v>5339</v>
          </cell>
        </row>
        <row r="44">
          <cell r="A44" t="str">
            <v>2241.01</v>
          </cell>
          <cell r="B44" t="str">
            <v>　　单位</v>
          </cell>
          <cell r="C44" t="str">
            <v>SU005043</v>
          </cell>
          <cell r="D44" t="str">
            <v>旭智资本有限公司</v>
          </cell>
          <cell r="F44">
            <v>725198.56</v>
          </cell>
          <cell r="H44">
            <v>-1210.3</v>
          </cell>
        </row>
        <row r="45">
          <cell r="A45" t="str">
            <v>2241.01</v>
          </cell>
          <cell r="B45" t="str">
            <v>　　单位</v>
          </cell>
          <cell r="C45" t="str">
            <v>SU005045</v>
          </cell>
          <cell r="D45" t="str">
            <v>旭智资本(香港)有限公司</v>
          </cell>
          <cell r="F45">
            <v>48932458.710000001</v>
          </cell>
          <cell r="H45">
            <v>27299.21</v>
          </cell>
        </row>
        <row r="46">
          <cell r="A46" t="str">
            <v>2241.02</v>
          </cell>
          <cell r="B46" t="str">
            <v>　　个人</v>
          </cell>
          <cell r="F46">
            <v>214.02</v>
          </cell>
        </row>
        <row r="47">
          <cell r="A47" t="str">
            <v>2241.02</v>
          </cell>
          <cell r="B47" t="str">
            <v>　　个人</v>
          </cell>
          <cell r="C47" t="str">
            <v>SP005011</v>
          </cell>
          <cell r="D47" t="str">
            <v>郭宗林</v>
          </cell>
          <cell r="F47">
            <v>114.02</v>
          </cell>
        </row>
        <row r="48">
          <cell r="A48" t="str">
            <v>2241.02</v>
          </cell>
          <cell r="B48" t="str">
            <v>　　个人</v>
          </cell>
          <cell r="C48" t="str">
            <v>SP005012</v>
          </cell>
          <cell r="D48" t="str">
            <v>吴雅薇</v>
          </cell>
          <cell r="F48">
            <v>100</v>
          </cell>
        </row>
        <row r="49">
          <cell r="A49" t="str">
            <v>4001</v>
          </cell>
          <cell r="B49" t="str">
            <v>实收资本（股本）</v>
          </cell>
          <cell r="F49">
            <v>1377820</v>
          </cell>
        </row>
        <row r="50">
          <cell r="A50" t="str">
            <v>4001.11</v>
          </cell>
          <cell r="B50" t="str">
            <v>　　旭智资本（香港）有限公司</v>
          </cell>
          <cell r="F50">
            <v>1377820</v>
          </cell>
        </row>
        <row r="51">
          <cell r="A51" t="str">
            <v>4103</v>
          </cell>
          <cell r="B51" t="str">
            <v>本年利润</v>
          </cell>
          <cell r="F51">
            <v>76783.72</v>
          </cell>
          <cell r="G51">
            <v>32339.94</v>
          </cell>
          <cell r="H51">
            <v>3454.28</v>
          </cell>
        </row>
        <row r="52">
          <cell r="A52" t="str">
            <v>4104</v>
          </cell>
          <cell r="B52" t="str">
            <v>利润分配</v>
          </cell>
          <cell r="F52">
            <v>-10235808.6</v>
          </cell>
        </row>
        <row r="53">
          <cell r="A53" t="str">
            <v>4104.07</v>
          </cell>
          <cell r="B53" t="str">
            <v>　　未分配利润</v>
          </cell>
          <cell r="F53">
            <v>-10235808.6</v>
          </cell>
        </row>
        <row r="54">
          <cell r="A54" t="str">
            <v>6115</v>
          </cell>
          <cell r="B54" t="str">
            <v>其他收益</v>
          </cell>
          <cell r="G54">
            <v>3454.28</v>
          </cell>
          <cell r="H54">
            <v>3454.28</v>
          </cell>
        </row>
        <row r="55">
          <cell r="A55" t="str">
            <v>6115.02</v>
          </cell>
          <cell r="B55" t="str">
            <v>　　个税手续费返还</v>
          </cell>
          <cell r="G55">
            <v>3454.28</v>
          </cell>
          <cell r="H55">
            <v>3454.28</v>
          </cell>
        </row>
        <row r="56">
          <cell r="A56" t="str">
            <v>6301</v>
          </cell>
          <cell r="B56" t="str">
            <v>营业外收入</v>
          </cell>
        </row>
        <row r="57">
          <cell r="A57" t="str">
            <v>6301.99</v>
          </cell>
          <cell r="B57" t="str">
            <v>　　其他</v>
          </cell>
        </row>
        <row r="58">
          <cell r="A58" t="str">
            <v>6602</v>
          </cell>
          <cell r="B58" t="str">
            <v>管理费用</v>
          </cell>
          <cell r="G58">
            <v>5742.03</v>
          </cell>
          <cell r="H58">
            <v>5742.03</v>
          </cell>
        </row>
        <row r="59">
          <cell r="A59" t="str">
            <v>6602.04</v>
          </cell>
          <cell r="B59" t="str">
            <v>　　咨询及专业服务费</v>
          </cell>
          <cell r="G59">
            <v>5338</v>
          </cell>
          <cell r="H59">
            <v>5338</v>
          </cell>
        </row>
        <row r="60">
          <cell r="A60" t="str">
            <v>6602.04.01</v>
          </cell>
          <cell r="B60" t="str">
            <v>　　　　会计服务费</v>
          </cell>
          <cell r="G60">
            <v>5338</v>
          </cell>
          <cell r="H60">
            <v>5338</v>
          </cell>
        </row>
        <row r="61">
          <cell r="A61" t="str">
            <v>6602.08</v>
          </cell>
          <cell r="B61" t="str">
            <v>　　事务费用</v>
          </cell>
          <cell r="G61">
            <v>7</v>
          </cell>
          <cell r="H61">
            <v>7</v>
          </cell>
        </row>
        <row r="62">
          <cell r="A62" t="str">
            <v>6602.08.05</v>
          </cell>
          <cell r="B62" t="str">
            <v>　　　　邮费/邮递费</v>
          </cell>
          <cell r="G62">
            <v>7</v>
          </cell>
          <cell r="H62">
            <v>7</v>
          </cell>
        </row>
        <row r="63">
          <cell r="A63" t="str">
            <v>6602.08.05</v>
          </cell>
          <cell r="B63" t="str">
            <v>　　　　邮费/邮递费</v>
          </cell>
          <cell r="C63" t="str">
            <v>【未录入】</v>
          </cell>
          <cell r="D63" t="str">
            <v>【未录入】</v>
          </cell>
          <cell r="G63">
            <v>7</v>
          </cell>
          <cell r="H63">
            <v>7</v>
          </cell>
        </row>
        <row r="64">
          <cell r="A64" t="str">
            <v>6602.12</v>
          </cell>
          <cell r="B64" t="str">
            <v>　　使用权资产折旧</v>
          </cell>
          <cell r="G64">
            <v>397.03</v>
          </cell>
          <cell r="H64">
            <v>397.03</v>
          </cell>
        </row>
        <row r="65">
          <cell r="A65" t="str">
            <v>6602.12.03</v>
          </cell>
          <cell r="B65" t="str">
            <v>　　　　注册地址</v>
          </cell>
          <cell r="G65">
            <v>397.03</v>
          </cell>
          <cell r="H65">
            <v>397.03</v>
          </cell>
        </row>
        <row r="66">
          <cell r="A66" t="str">
            <v>6602.12.03.02</v>
          </cell>
          <cell r="B66" t="str">
            <v>　　　　　　广州旭智--802房F028</v>
          </cell>
          <cell r="G66">
            <v>397.03</v>
          </cell>
          <cell r="H66">
            <v>397.03</v>
          </cell>
        </row>
        <row r="67">
          <cell r="A67" t="str">
            <v>6603</v>
          </cell>
          <cell r="B67" t="str">
            <v>财务费用</v>
          </cell>
          <cell r="G67">
            <v>26597.91</v>
          </cell>
          <cell r="H67">
            <v>26597.91</v>
          </cell>
        </row>
        <row r="68">
          <cell r="A68" t="str">
            <v>6603.01</v>
          </cell>
          <cell r="B68" t="str">
            <v>　　汇兑损益</v>
          </cell>
          <cell r="G68">
            <v>26088.91</v>
          </cell>
          <cell r="H68">
            <v>26088.91</v>
          </cell>
        </row>
        <row r="69">
          <cell r="A69" t="str">
            <v>6603.03</v>
          </cell>
          <cell r="B69" t="str">
            <v>　　银行手续费</v>
          </cell>
          <cell r="G69">
            <v>509</v>
          </cell>
          <cell r="H69">
            <v>509</v>
          </cell>
        </row>
        <row r="70">
          <cell r="B70" t="str">
            <v>合计</v>
          </cell>
          <cell r="E70">
            <v>40957615.479999997</v>
          </cell>
          <cell r="F70">
            <v>40957615.479999997</v>
          </cell>
          <cell r="G70">
            <v>87812.7</v>
          </cell>
          <cell r="H70">
            <v>87812.7</v>
          </cell>
        </row>
      </sheetData>
      <sheetData sheetId="2">
        <row r="1">
          <cell r="A1" t="str">
            <v>币别:人民币</v>
          </cell>
          <cell r="B1" t="str">
            <v>账簿:广州旭智投资控股有限责任公司</v>
          </cell>
          <cell r="C1" t="str">
            <v>期间:2025.3 -- 2025.3</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85235.34</v>
          </cell>
          <cell r="G4">
            <v>24.45</v>
          </cell>
          <cell r="H4">
            <v>114.32</v>
          </cell>
        </row>
        <row r="5">
          <cell r="A5" t="str">
            <v>1002.20</v>
          </cell>
          <cell r="B5" t="str">
            <v>　　【广州旭智】银行存款账户</v>
          </cell>
          <cell r="E5">
            <v>85235.34</v>
          </cell>
          <cell r="G5">
            <v>24.45</v>
          </cell>
          <cell r="H5">
            <v>114.32</v>
          </cell>
        </row>
        <row r="6">
          <cell r="A6" t="str">
            <v>1002.20.01</v>
          </cell>
          <cell r="B6" t="str">
            <v>　　　　中国银行账户</v>
          </cell>
          <cell r="E6">
            <v>83923.17</v>
          </cell>
          <cell r="G6">
            <v>24.12</v>
          </cell>
          <cell r="H6">
            <v>114.32</v>
          </cell>
        </row>
        <row r="7">
          <cell r="A7" t="str">
            <v>1002.20.01.01</v>
          </cell>
          <cell r="B7" t="str">
            <v>　　　　　　【广州旭智】中银 人民币基本户 1992</v>
          </cell>
          <cell r="E7">
            <v>73642.880000000005</v>
          </cell>
          <cell r="G7">
            <v>20.84</v>
          </cell>
          <cell r="H7">
            <v>114.32</v>
          </cell>
        </row>
        <row r="8">
          <cell r="A8" t="str">
            <v>1002.20.01.02</v>
          </cell>
          <cell r="B8" t="str">
            <v>　　　　　　【广州旭智】中银 人民币一般户 7284</v>
          </cell>
          <cell r="E8">
            <v>10280.290000000001</v>
          </cell>
          <cell r="G8">
            <v>3.28</v>
          </cell>
        </row>
        <row r="9">
          <cell r="A9" t="str">
            <v>1002.20.02</v>
          </cell>
          <cell r="B9" t="str">
            <v>　　　　兴业银行账户</v>
          </cell>
          <cell r="E9">
            <v>1312.17</v>
          </cell>
          <cell r="G9">
            <v>0.33</v>
          </cell>
        </row>
        <row r="10">
          <cell r="A10" t="str">
            <v>1002.20.02.01</v>
          </cell>
          <cell r="B10" t="str">
            <v>　　　　　　【广州旭智】兴业 人民币专用存款账户 7362</v>
          </cell>
          <cell r="E10">
            <v>1312.17</v>
          </cell>
          <cell r="G10">
            <v>0.33</v>
          </cell>
        </row>
        <row r="11">
          <cell r="A11" t="str">
            <v>1101</v>
          </cell>
          <cell r="B11" t="str">
            <v>交易性金融资产</v>
          </cell>
          <cell r="E11">
            <v>30000</v>
          </cell>
        </row>
        <row r="12">
          <cell r="A12" t="str">
            <v>1101.01</v>
          </cell>
          <cell r="B12" t="str">
            <v>　　投资成本</v>
          </cell>
          <cell r="E12">
            <v>30000</v>
          </cell>
        </row>
        <row r="13">
          <cell r="A13" t="str">
            <v>1101.01.03</v>
          </cell>
          <cell r="B13" t="str">
            <v>　　　　银行理财</v>
          </cell>
          <cell r="E13">
            <v>30000</v>
          </cell>
        </row>
        <row r="14">
          <cell r="A14" t="str">
            <v>1221</v>
          </cell>
          <cell r="B14" t="str">
            <v>其他应收款</v>
          </cell>
          <cell r="E14">
            <v>1583864.63</v>
          </cell>
        </row>
        <row r="15">
          <cell r="A15" t="str">
            <v>1221.01</v>
          </cell>
          <cell r="B15" t="str">
            <v>　　单位</v>
          </cell>
          <cell r="E15">
            <v>1583864.63</v>
          </cell>
        </row>
        <row r="16">
          <cell r="A16" t="str">
            <v>1221.01</v>
          </cell>
          <cell r="B16" t="str">
            <v>　　单位</v>
          </cell>
          <cell r="C16" t="str">
            <v>CU003002</v>
          </cell>
          <cell r="D16" t="str">
            <v>旭智资本(香港)有限公司</v>
          </cell>
          <cell r="E16">
            <v>35186.120000000003</v>
          </cell>
        </row>
        <row r="17">
          <cell r="A17" t="str">
            <v>1221.01</v>
          </cell>
          <cell r="B17" t="str">
            <v>　　单位</v>
          </cell>
          <cell r="C17" t="str">
            <v>CU003006</v>
          </cell>
          <cell r="D17" t="str">
            <v>旭智咨询管理(深圳)有限责任公司</v>
          </cell>
          <cell r="E17">
            <v>1509439.15</v>
          </cell>
        </row>
        <row r="18">
          <cell r="A18" t="str">
            <v>1221.01</v>
          </cell>
          <cell r="B18" t="str">
            <v>　　单位</v>
          </cell>
          <cell r="C18" t="str">
            <v>CU005005</v>
          </cell>
          <cell r="D18" t="str">
            <v>广东绿城物业服务有限公司</v>
          </cell>
          <cell r="E18">
            <v>4053.24</v>
          </cell>
        </row>
        <row r="19">
          <cell r="A19" t="str">
            <v>1221.01</v>
          </cell>
          <cell r="B19" t="str">
            <v>　　单位</v>
          </cell>
          <cell r="C19" t="str">
            <v>CU005009</v>
          </cell>
          <cell r="D19" t="str">
            <v>旭智资本有限公司</v>
          </cell>
          <cell r="E19">
            <v>35186.120000000003</v>
          </cell>
        </row>
        <row r="20">
          <cell r="A20" t="str">
            <v>1511</v>
          </cell>
          <cell r="B20" t="str">
            <v>长期股权投资</v>
          </cell>
          <cell r="E20">
            <v>39204000</v>
          </cell>
        </row>
        <row r="21">
          <cell r="A21" t="str">
            <v>1511.01</v>
          </cell>
          <cell r="B21" t="str">
            <v>　　投资成本</v>
          </cell>
          <cell r="E21">
            <v>39204000</v>
          </cell>
        </row>
        <row r="22">
          <cell r="A22" t="str">
            <v>1511.01.01</v>
          </cell>
          <cell r="B22" t="str">
            <v>　　　　宜兴旭智投资咨询合伙企业（有限合伙）</v>
          </cell>
          <cell r="E22">
            <v>39204000</v>
          </cell>
        </row>
        <row r="23">
          <cell r="A23" t="str">
            <v>1601</v>
          </cell>
          <cell r="B23" t="str">
            <v>固定资产</v>
          </cell>
          <cell r="E23">
            <v>36880.65</v>
          </cell>
        </row>
        <row r="24">
          <cell r="A24" t="str">
            <v>1601.01</v>
          </cell>
          <cell r="B24" t="str">
            <v>　　电子设备</v>
          </cell>
          <cell r="E24">
            <v>36880.65</v>
          </cell>
        </row>
        <row r="25">
          <cell r="A25" t="str">
            <v>1602</v>
          </cell>
          <cell r="B25" t="str">
            <v>累计折旧</v>
          </cell>
          <cell r="F25">
            <v>35036.61</v>
          </cell>
        </row>
        <row r="26">
          <cell r="A26" t="str">
            <v>1602.01</v>
          </cell>
          <cell r="B26" t="str">
            <v>　　电子设备</v>
          </cell>
          <cell r="F26">
            <v>35036.61</v>
          </cell>
        </row>
        <row r="27">
          <cell r="A27" t="str">
            <v>1641</v>
          </cell>
          <cell r="B27" t="str">
            <v>使用权资产</v>
          </cell>
          <cell r="E27">
            <v>4764.3999999999996</v>
          </cell>
        </row>
        <row r="28">
          <cell r="A28" t="str">
            <v>1641.03</v>
          </cell>
          <cell r="B28" t="str">
            <v>　　注册地址</v>
          </cell>
          <cell r="E28">
            <v>4764.3999999999996</v>
          </cell>
        </row>
        <row r="29">
          <cell r="A29" t="str">
            <v>1641.03.02</v>
          </cell>
          <cell r="B29" t="str">
            <v>　　　　广州旭智--802房F028</v>
          </cell>
          <cell r="E29">
            <v>4764.3999999999996</v>
          </cell>
        </row>
        <row r="30">
          <cell r="A30" t="str">
            <v>1642</v>
          </cell>
          <cell r="B30" t="str">
            <v>使用权资产累计折旧</v>
          </cell>
          <cell r="F30">
            <v>3970.3</v>
          </cell>
          <cell r="H30">
            <v>397.03</v>
          </cell>
        </row>
        <row r="31">
          <cell r="A31" t="str">
            <v>1642.03</v>
          </cell>
          <cell r="B31" t="str">
            <v>　　注册地址</v>
          </cell>
          <cell r="F31">
            <v>3970.3</v>
          </cell>
          <cell r="H31">
            <v>397.03</v>
          </cell>
        </row>
        <row r="32">
          <cell r="A32" t="str">
            <v>1642.03.02</v>
          </cell>
          <cell r="B32" t="str">
            <v>　　　　广州旭智--802房F028</v>
          </cell>
          <cell r="F32">
            <v>3970.3</v>
          </cell>
          <cell r="H32">
            <v>397.03</v>
          </cell>
        </row>
        <row r="33">
          <cell r="A33" t="str">
            <v>2221</v>
          </cell>
          <cell r="B33" t="str">
            <v>应交税费</v>
          </cell>
          <cell r="F33">
            <v>-18809.55</v>
          </cell>
        </row>
        <row r="34">
          <cell r="A34" t="str">
            <v>2221.01</v>
          </cell>
          <cell r="B34" t="str">
            <v>　　应交增值税</v>
          </cell>
          <cell r="F34">
            <v>-13270.82</v>
          </cell>
        </row>
        <row r="35">
          <cell r="A35" t="str">
            <v>2221.01.01</v>
          </cell>
          <cell r="B35" t="str">
            <v>　　　　销项税额</v>
          </cell>
          <cell r="F35">
            <v>142020.06</v>
          </cell>
        </row>
        <row r="36">
          <cell r="A36" t="str">
            <v>2221.01.03</v>
          </cell>
          <cell r="B36" t="str">
            <v>　　　　进项税额</v>
          </cell>
          <cell r="F36">
            <v>-18385.53</v>
          </cell>
        </row>
        <row r="37">
          <cell r="A37" t="str">
            <v>2221.01.06</v>
          </cell>
          <cell r="B37" t="str">
            <v>　　　　转出未交增值税</v>
          </cell>
          <cell r="F37">
            <v>-136905.35</v>
          </cell>
        </row>
        <row r="38">
          <cell r="A38" t="str">
            <v>2221.15</v>
          </cell>
          <cell r="B38" t="str">
            <v>　　应交企业所得税</v>
          </cell>
          <cell r="F38">
            <v>-2104.25</v>
          </cell>
        </row>
        <row r="39">
          <cell r="A39" t="str">
            <v>2221.16</v>
          </cell>
          <cell r="B39" t="str">
            <v>　　应交个人所得税</v>
          </cell>
          <cell r="F39">
            <v>-3434.48</v>
          </cell>
        </row>
        <row r="40">
          <cell r="A40" t="str">
            <v>2241</v>
          </cell>
          <cell r="B40" t="str">
            <v>其他应付款</v>
          </cell>
          <cell r="F40">
            <v>49734638.200000003</v>
          </cell>
          <cell r="G40">
            <v>114.02</v>
          </cell>
          <cell r="H40">
            <v>55507.77</v>
          </cell>
        </row>
        <row r="41">
          <cell r="A41" t="str">
            <v>2241.01</v>
          </cell>
          <cell r="B41" t="str">
            <v>　　单位</v>
          </cell>
          <cell r="F41">
            <v>49734424.18</v>
          </cell>
          <cell r="H41">
            <v>55507.77</v>
          </cell>
        </row>
        <row r="42">
          <cell r="A42" t="str">
            <v>2241.01</v>
          </cell>
          <cell r="B42" t="str">
            <v>　　单位</v>
          </cell>
          <cell r="C42" t="str">
            <v>SU005007</v>
          </cell>
          <cell r="D42" t="str">
            <v>普华永道中天会计师事务所（特殊普通合伙）</v>
          </cell>
          <cell r="F42">
            <v>40000</v>
          </cell>
          <cell r="H42">
            <v>20000</v>
          </cell>
        </row>
        <row r="43">
          <cell r="A43" t="str">
            <v>2241.01</v>
          </cell>
          <cell r="B43" t="str">
            <v>　　单位</v>
          </cell>
          <cell r="C43" t="str">
            <v>SU005033</v>
          </cell>
          <cell r="D43" t="str">
            <v>卓佳咨询(北京)有限公司深圳分公司</v>
          </cell>
          <cell r="F43">
            <v>10678</v>
          </cell>
          <cell r="H43">
            <v>5339</v>
          </cell>
        </row>
        <row r="44">
          <cell r="A44" t="str">
            <v>2241.01</v>
          </cell>
          <cell r="B44" t="str">
            <v>　　单位</v>
          </cell>
          <cell r="C44" t="str">
            <v>SU005043</v>
          </cell>
          <cell r="D44" t="str">
            <v>旭智资本有限公司</v>
          </cell>
          <cell r="F44">
            <v>723988.26</v>
          </cell>
          <cell r="H44">
            <v>139.65</v>
          </cell>
        </row>
        <row r="45">
          <cell r="A45" t="str">
            <v>2241.01</v>
          </cell>
          <cell r="B45" t="str">
            <v>　　单位</v>
          </cell>
          <cell r="C45" t="str">
            <v>SU005045</v>
          </cell>
          <cell r="D45" t="str">
            <v>旭智资本(香港)有限公司</v>
          </cell>
          <cell r="F45">
            <v>48959757.920000002</v>
          </cell>
          <cell r="H45">
            <v>30029.119999999999</v>
          </cell>
        </row>
        <row r="46">
          <cell r="A46" t="str">
            <v>2241.02</v>
          </cell>
          <cell r="B46" t="str">
            <v>　　个人</v>
          </cell>
          <cell r="F46">
            <v>214.02</v>
          </cell>
          <cell r="G46">
            <v>114.02</v>
          </cell>
        </row>
        <row r="47">
          <cell r="A47" t="str">
            <v>2241.02</v>
          </cell>
          <cell r="B47" t="str">
            <v>　　个人</v>
          </cell>
          <cell r="C47" t="str">
            <v>SP005011</v>
          </cell>
          <cell r="D47" t="str">
            <v>郭宗林</v>
          </cell>
          <cell r="F47">
            <v>114.02</v>
          </cell>
          <cell r="G47">
            <v>114.02</v>
          </cell>
        </row>
        <row r="48">
          <cell r="A48" t="str">
            <v>2241.02</v>
          </cell>
          <cell r="B48" t="str">
            <v>　　个人</v>
          </cell>
          <cell r="C48" t="str">
            <v>SP005012</v>
          </cell>
          <cell r="D48" t="str">
            <v>吴雅薇</v>
          </cell>
          <cell r="F48">
            <v>100</v>
          </cell>
        </row>
        <row r="49">
          <cell r="A49" t="str">
            <v>4001</v>
          </cell>
          <cell r="B49" t="str">
            <v>实收资本（股本）</v>
          </cell>
          <cell r="F49">
            <v>1377820</v>
          </cell>
        </row>
        <row r="50">
          <cell r="A50" t="str">
            <v>4001.11</v>
          </cell>
          <cell r="B50" t="str">
            <v>　　旭智资本（香港）有限公司</v>
          </cell>
          <cell r="F50">
            <v>1377820</v>
          </cell>
        </row>
        <row r="51">
          <cell r="A51" t="str">
            <v>4103</v>
          </cell>
          <cell r="B51" t="str">
            <v>本年利润</v>
          </cell>
          <cell r="F51">
            <v>47898.06</v>
          </cell>
          <cell r="G51">
            <v>55880.65</v>
          </cell>
        </row>
        <row r="52">
          <cell r="A52" t="str">
            <v>4104</v>
          </cell>
          <cell r="B52" t="str">
            <v>利润分配</v>
          </cell>
          <cell r="F52">
            <v>-10235808.6</v>
          </cell>
        </row>
        <row r="53">
          <cell r="A53" t="str">
            <v>4104.07</v>
          </cell>
          <cell r="B53" t="str">
            <v>　　未分配利润</v>
          </cell>
          <cell r="F53">
            <v>-10235808.6</v>
          </cell>
        </row>
        <row r="54">
          <cell r="A54" t="str">
            <v>6115</v>
          </cell>
          <cell r="B54" t="str">
            <v>其他收益</v>
          </cell>
        </row>
        <row r="55">
          <cell r="A55" t="str">
            <v>6115.02</v>
          </cell>
          <cell r="B55" t="str">
            <v>　　个税手续费返还</v>
          </cell>
        </row>
        <row r="56">
          <cell r="A56" t="str">
            <v>6301</v>
          </cell>
          <cell r="B56" t="str">
            <v>营业外收入</v>
          </cell>
        </row>
        <row r="57">
          <cell r="A57" t="str">
            <v>6301.99</v>
          </cell>
          <cell r="B57" t="str">
            <v>　　其他</v>
          </cell>
        </row>
        <row r="58">
          <cell r="A58" t="str">
            <v>6602</v>
          </cell>
          <cell r="B58" t="str">
            <v>管理费用</v>
          </cell>
          <cell r="G58">
            <v>25736.03</v>
          </cell>
          <cell r="H58">
            <v>25736.03</v>
          </cell>
        </row>
        <row r="59">
          <cell r="A59" t="str">
            <v>6602.04</v>
          </cell>
          <cell r="B59" t="str">
            <v>　　咨询及专业服务费</v>
          </cell>
          <cell r="G59">
            <v>25339</v>
          </cell>
          <cell r="H59">
            <v>25339</v>
          </cell>
        </row>
        <row r="60">
          <cell r="A60" t="str">
            <v>6602.04.01</v>
          </cell>
          <cell r="B60" t="str">
            <v>　　　　会计服务费</v>
          </cell>
          <cell r="G60">
            <v>5339</v>
          </cell>
          <cell r="H60">
            <v>5339</v>
          </cell>
        </row>
        <row r="61">
          <cell r="A61" t="str">
            <v>6602.04.02</v>
          </cell>
          <cell r="B61" t="str">
            <v>　　　　审计服务费</v>
          </cell>
          <cell r="G61">
            <v>20000</v>
          </cell>
          <cell r="H61">
            <v>20000</v>
          </cell>
        </row>
        <row r="62">
          <cell r="A62" t="str">
            <v>6602.08</v>
          </cell>
          <cell r="B62" t="str">
            <v>　　事务费用</v>
          </cell>
        </row>
        <row r="63">
          <cell r="A63" t="str">
            <v>6602.08.05</v>
          </cell>
          <cell r="B63" t="str">
            <v>　　　　邮费/邮递费</v>
          </cell>
        </row>
        <row r="64">
          <cell r="A64" t="str">
            <v>6602.08.05</v>
          </cell>
          <cell r="B64" t="str">
            <v>　　　　邮费/邮递费</v>
          </cell>
          <cell r="C64" t="str">
            <v>【未录入】</v>
          </cell>
          <cell r="D64" t="str">
            <v>【未录入】</v>
          </cell>
        </row>
        <row r="65">
          <cell r="A65" t="str">
            <v>6602.12</v>
          </cell>
          <cell r="B65" t="str">
            <v>　　使用权资产折旧</v>
          </cell>
          <cell r="G65">
            <v>397.03</v>
          </cell>
          <cell r="H65">
            <v>397.03</v>
          </cell>
        </row>
        <row r="66">
          <cell r="A66" t="str">
            <v>6602.12.03</v>
          </cell>
          <cell r="B66" t="str">
            <v>　　　　注册地址</v>
          </cell>
          <cell r="G66">
            <v>397.03</v>
          </cell>
          <cell r="H66">
            <v>397.03</v>
          </cell>
        </row>
        <row r="67">
          <cell r="A67" t="str">
            <v>6602.12.03.02</v>
          </cell>
          <cell r="B67" t="str">
            <v>　　　　　　广州旭智--802房F028</v>
          </cell>
          <cell r="G67">
            <v>397.03</v>
          </cell>
          <cell r="H67">
            <v>397.03</v>
          </cell>
        </row>
        <row r="68">
          <cell r="A68" t="str">
            <v>6603</v>
          </cell>
          <cell r="B68" t="str">
            <v>财务费用</v>
          </cell>
          <cell r="G68">
            <v>30144.62</v>
          </cell>
          <cell r="H68">
            <v>30144.62</v>
          </cell>
        </row>
        <row r="69">
          <cell r="A69" t="str">
            <v>6603.01</v>
          </cell>
          <cell r="B69" t="str">
            <v>　　汇兑损益</v>
          </cell>
          <cell r="G69">
            <v>30168.77</v>
          </cell>
          <cell r="H69">
            <v>30168.77</v>
          </cell>
        </row>
        <row r="70">
          <cell r="A70" t="str">
            <v>6603.03</v>
          </cell>
          <cell r="B70" t="str">
            <v>　　银行手续费</v>
          </cell>
          <cell r="G70">
            <v>0.3</v>
          </cell>
          <cell r="H70">
            <v>0.3</v>
          </cell>
        </row>
        <row r="71">
          <cell r="A71" t="str">
            <v>6603.04</v>
          </cell>
          <cell r="B71" t="str">
            <v>　　利息收入</v>
          </cell>
          <cell r="G71">
            <v>-24.45</v>
          </cell>
          <cell r="H71">
            <v>-24.45</v>
          </cell>
        </row>
        <row r="72">
          <cell r="B72" t="str">
            <v>合计</v>
          </cell>
          <cell r="E72">
            <v>40944745.020000003</v>
          </cell>
          <cell r="F72">
            <v>40944745.020000003</v>
          </cell>
          <cell r="G72">
            <v>111899.77</v>
          </cell>
          <cell r="H72">
            <v>111899.77</v>
          </cell>
        </row>
      </sheetData>
      <sheetData sheetId="3">
        <row r="1">
          <cell r="A1" t="str">
            <v>币别:人民币</v>
          </cell>
          <cell r="B1" t="str">
            <v>账簿:广州旭智投资控股有限责任公司</v>
          </cell>
          <cell r="C1" t="str">
            <v>期间:2025.4 -- 2025.4</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85145.47</v>
          </cell>
          <cell r="H4">
            <v>5004.5</v>
          </cell>
        </row>
        <row r="5">
          <cell r="A5" t="str">
            <v>1002.20</v>
          </cell>
          <cell r="B5" t="str">
            <v>　　【广州旭智】银行存款账户</v>
          </cell>
          <cell r="E5">
            <v>85145.47</v>
          </cell>
          <cell r="H5">
            <v>5004.5</v>
          </cell>
        </row>
        <row r="6">
          <cell r="A6" t="str">
            <v>1002.20.01</v>
          </cell>
          <cell r="B6" t="str">
            <v>　　　　中国银行账户</v>
          </cell>
          <cell r="E6">
            <v>83832.97</v>
          </cell>
          <cell r="H6">
            <v>5004.5</v>
          </cell>
        </row>
        <row r="7">
          <cell r="A7" t="str">
            <v>1002.20.01.01</v>
          </cell>
          <cell r="B7" t="str">
            <v>　　　　　　【广州旭智】中银 人民币基本户 1992</v>
          </cell>
          <cell r="E7">
            <v>73549.399999999994</v>
          </cell>
          <cell r="H7">
            <v>5004.5</v>
          </cell>
        </row>
        <row r="8">
          <cell r="A8" t="str">
            <v>1002.20.01.02</v>
          </cell>
          <cell r="B8" t="str">
            <v>　　　　　　【广州旭智】中银 人民币一般户 7284</v>
          </cell>
          <cell r="E8">
            <v>10283.57</v>
          </cell>
        </row>
        <row r="9">
          <cell r="A9" t="str">
            <v>1002.20.02</v>
          </cell>
          <cell r="B9" t="str">
            <v>　　　　兴业银行账户</v>
          </cell>
          <cell r="E9">
            <v>1312.5</v>
          </cell>
        </row>
        <row r="10">
          <cell r="A10" t="str">
            <v>1002.20.02.01</v>
          </cell>
          <cell r="B10" t="str">
            <v>　　　　　　【广州旭智】兴业 人民币专用存款账户 7362</v>
          </cell>
          <cell r="E10">
            <v>1312.5</v>
          </cell>
        </row>
        <row r="11">
          <cell r="A11" t="str">
            <v>1101</v>
          </cell>
          <cell r="B11" t="str">
            <v>交易性金融资产</v>
          </cell>
          <cell r="E11">
            <v>30000</v>
          </cell>
        </row>
        <row r="12">
          <cell r="A12" t="str">
            <v>1101.01</v>
          </cell>
          <cell r="B12" t="str">
            <v>　　投资成本</v>
          </cell>
          <cell r="E12">
            <v>30000</v>
          </cell>
        </row>
        <row r="13">
          <cell r="A13" t="str">
            <v>1101.01.03</v>
          </cell>
          <cell r="B13" t="str">
            <v>　　　　银行理财</v>
          </cell>
          <cell r="E13">
            <v>30000</v>
          </cell>
        </row>
        <row r="14">
          <cell r="A14" t="str">
            <v>1221</v>
          </cell>
          <cell r="B14" t="str">
            <v>其他应收款</v>
          </cell>
          <cell r="E14">
            <v>1583864.63</v>
          </cell>
        </row>
        <row r="15">
          <cell r="A15" t="str">
            <v>1221.01</v>
          </cell>
          <cell r="B15" t="str">
            <v>　　单位</v>
          </cell>
          <cell r="E15">
            <v>1583864.63</v>
          </cell>
        </row>
        <row r="16">
          <cell r="A16" t="str">
            <v>1221.01</v>
          </cell>
          <cell r="B16" t="str">
            <v>　　单位</v>
          </cell>
          <cell r="C16" t="str">
            <v>CU003002</v>
          </cell>
          <cell r="D16" t="str">
            <v>旭智资本(香港)有限公司</v>
          </cell>
          <cell r="E16">
            <v>35186.120000000003</v>
          </cell>
        </row>
        <row r="17">
          <cell r="A17" t="str">
            <v>1221.01</v>
          </cell>
          <cell r="B17" t="str">
            <v>　　单位</v>
          </cell>
          <cell r="C17" t="str">
            <v>CU003006</v>
          </cell>
          <cell r="D17" t="str">
            <v>旭智咨询管理(深圳)有限责任公司</v>
          </cell>
          <cell r="E17">
            <v>1509439.15</v>
          </cell>
        </row>
        <row r="18">
          <cell r="A18" t="str">
            <v>1221.01</v>
          </cell>
          <cell r="B18" t="str">
            <v>　　单位</v>
          </cell>
          <cell r="C18" t="str">
            <v>CU005005</v>
          </cell>
          <cell r="D18" t="str">
            <v>广东绿城物业服务有限公司</v>
          </cell>
          <cell r="E18">
            <v>4053.24</v>
          </cell>
        </row>
        <row r="19">
          <cell r="A19" t="str">
            <v>1221.01</v>
          </cell>
          <cell r="B19" t="str">
            <v>　　单位</v>
          </cell>
          <cell r="C19" t="str">
            <v>CU005009</v>
          </cell>
          <cell r="D19" t="str">
            <v>旭智资本有限公司</v>
          </cell>
          <cell r="E19">
            <v>35186.120000000003</v>
          </cell>
        </row>
        <row r="20">
          <cell r="A20" t="str">
            <v>1511</v>
          </cell>
          <cell r="B20" t="str">
            <v>长期股权投资</v>
          </cell>
          <cell r="E20">
            <v>39204000</v>
          </cell>
        </row>
        <row r="21">
          <cell r="A21" t="str">
            <v>1511.01</v>
          </cell>
          <cell r="B21" t="str">
            <v>　　投资成本</v>
          </cell>
          <cell r="E21">
            <v>39204000</v>
          </cell>
        </row>
        <row r="22">
          <cell r="A22" t="str">
            <v>1511.01.01</v>
          </cell>
          <cell r="B22" t="str">
            <v>　　　　宜兴旭智投资咨询合伙企业（有限合伙）</v>
          </cell>
          <cell r="E22">
            <v>39204000</v>
          </cell>
        </row>
        <row r="23">
          <cell r="A23" t="str">
            <v>1601</v>
          </cell>
          <cell r="B23" t="str">
            <v>固定资产</v>
          </cell>
          <cell r="E23">
            <v>36880.65</v>
          </cell>
        </row>
        <row r="24">
          <cell r="A24" t="str">
            <v>1601.01</v>
          </cell>
          <cell r="B24" t="str">
            <v>　　电子设备</v>
          </cell>
          <cell r="E24">
            <v>36880.65</v>
          </cell>
        </row>
        <row r="25">
          <cell r="A25" t="str">
            <v>1602</v>
          </cell>
          <cell r="B25" t="str">
            <v>累计折旧</v>
          </cell>
          <cell r="F25">
            <v>35036.61</v>
          </cell>
        </row>
        <row r="26">
          <cell r="A26" t="str">
            <v>1602.01</v>
          </cell>
          <cell r="B26" t="str">
            <v>　　电子设备</v>
          </cell>
          <cell r="F26">
            <v>35036.61</v>
          </cell>
        </row>
        <row r="27">
          <cell r="A27" t="str">
            <v>1641</v>
          </cell>
          <cell r="B27" t="str">
            <v>使用权资产</v>
          </cell>
          <cell r="E27">
            <v>4764.3999999999996</v>
          </cell>
          <cell r="G27">
            <v>5000</v>
          </cell>
        </row>
        <row r="28">
          <cell r="A28" t="str">
            <v>1641.03</v>
          </cell>
          <cell r="B28" t="str">
            <v>　　注册地址</v>
          </cell>
          <cell r="E28">
            <v>4764.3999999999996</v>
          </cell>
          <cell r="G28">
            <v>5000</v>
          </cell>
        </row>
        <row r="29">
          <cell r="A29" t="str">
            <v>1641.03.02</v>
          </cell>
          <cell r="B29" t="str">
            <v>　　　　广州旭智--802房F028</v>
          </cell>
          <cell r="E29">
            <v>4764.3999999999996</v>
          </cell>
          <cell r="G29">
            <v>5000</v>
          </cell>
        </row>
        <row r="30">
          <cell r="A30" t="str">
            <v>1642</v>
          </cell>
          <cell r="B30" t="str">
            <v>使用权资产累计折旧</v>
          </cell>
          <cell r="F30">
            <v>4367.33</v>
          </cell>
          <cell r="H30">
            <v>397.07</v>
          </cell>
        </row>
        <row r="31">
          <cell r="A31" t="str">
            <v>1642.03</v>
          </cell>
          <cell r="B31" t="str">
            <v>　　注册地址</v>
          </cell>
          <cell r="F31">
            <v>4367.33</v>
          </cell>
          <cell r="H31">
            <v>397.07</v>
          </cell>
        </row>
        <row r="32">
          <cell r="A32" t="str">
            <v>1642.03.02</v>
          </cell>
          <cell r="B32" t="str">
            <v>　　　　广州旭智--802房F028</v>
          </cell>
          <cell r="F32">
            <v>4367.33</v>
          </cell>
          <cell r="H32">
            <v>397.07</v>
          </cell>
        </row>
        <row r="33">
          <cell r="A33" t="str">
            <v>2221</v>
          </cell>
          <cell r="B33" t="str">
            <v>应交税费</v>
          </cell>
          <cell r="F33">
            <v>-18809.55</v>
          </cell>
          <cell r="H33">
            <v>2.5</v>
          </cell>
        </row>
        <row r="34">
          <cell r="A34" t="str">
            <v>2221.01</v>
          </cell>
          <cell r="B34" t="str">
            <v>　　应交增值税</v>
          </cell>
          <cell r="F34">
            <v>-13270.82</v>
          </cell>
        </row>
        <row r="35">
          <cell r="A35" t="str">
            <v>2221.01.01</v>
          </cell>
          <cell r="B35" t="str">
            <v>　　　　销项税额</v>
          </cell>
          <cell r="F35">
            <v>142020.06</v>
          </cell>
        </row>
        <row r="36">
          <cell r="A36" t="str">
            <v>2221.01.03</v>
          </cell>
          <cell r="B36" t="str">
            <v>　　　　进项税额</v>
          </cell>
          <cell r="F36">
            <v>-18385.53</v>
          </cell>
        </row>
        <row r="37">
          <cell r="A37" t="str">
            <v>2221.01.06</v>
          </cell>
          <cell r="B37" t="str">
            <v>　　　　转出未交增值税</v>
          </cell>
          <cell r="F37">
            <v>-136905.35</v>
          </cell>
        </row>
        <row r="38">
          <cell r="A38" t="str">
            <v>2221.15</v>
          </cell>
          <cell r="B38" t="str">
            <v>　　应交企业所得税</v>
          </cell>
          <cell r="F38">
            <v>-2104.25</v>
          </cell>
        </row>
        <row r="39">
          <cell r="A39" t="str">
            <v>2221.16</v>
          </cell>
          <cell r="B39" t="str">
            <v>　　应交个人所得税</v>
          </cell>
          <cell r="F39">
            <v>-3434.48</v>
          </cell>
        </row>
        <row r="40">
          <cell r="A40" t="str">
            <v>2221.17</v>
          </cell>
          <cell r="B40" t="str">
            <v>　　应交印花税</v>
          </cell>
          <cell r="H40">
            <v>2.5</v>
          </cell>
        </row>
        <row r="41">
          <cell r="A41" t="str">
            <v>2241</v>
          </cell>
          <cell r="B41" t="str">
            <v>其他应付款</v>
          </cell>
          <cell r="F41">
            <v>49790031.950000003</v>
          </cell>
          <cell r="H41">
            <v>116546.5</v>
          </cell>
        </row>
        <row r="42">
          <cell r="A42" t="str">
            <v>2241.01</v>
          </cell>
          <cell r="B42" t="str">
            <v>　　单位</v>
          </cell>
          <cell r="F42">
            <v>49789931.950000003</v>
          </cell>
          <cell r="H42">
            <v>116546.5</v>
          </cell>
        </row>
        <row r="43">
          <cell r="A43" t="str">
            <v>2241.01</v>
          </cell>
          <cell r="B43" t="str">
            <v>　　单位</v>
          </cell>
          <cell r="C43" t="str">
            <v>SU005007</v>
          </cell>
          <cell r="D43" t="str">
            <v>普华永道中天会计师事务所（特殊普通合伙）</v>
          </cell>
          <cell r="F43">
            <v>60000</v>
          </cell>
        </row>
        <row r="44">
          <cell r="A44" t="str">
            <v>2241.01</v>
          </cell>
          <cell r="B44" t="str">
            <v>　　单位</v>
          </cell>
          <cell r="C44" t="str">
            <v>SU005033</v>
          </cell>
          <cell r="D44" t="str">
            <v>卓佳咨询(北京)有限公司深圳分公司</v>
          </cell>
          <cell r="F44">
            <v>16017</v>
          </cell>
          <cell r="H44">
            <v>5339</v>
          </cell>
        </row>
        <row r="45">
          <cell r="A45" t="str">
            <v>2241.01</v>
          </cell>
          <cell r="B45" t="str">
            <v>　　单位</v>
          </cell>
          <cell r="C45" t="str">
            <v>SU005043</v>
          </cell>
          <cell r="D45" t="str">
            <v>旭智资本有限公司</v>
          </cell>
          <cell r="F45">
            <v>724127.91</v>
          </cell>
          <cell r="H45">
            <v>-47127.89</v>
          </cell>
        </row>
        <row r="46">
          <cell r="A46" t="str">
            <v>2241.01</v>
          </cell>
          <cell r="B46" t="str">
            <v>　　单位</v>
          </cell>
          <cell r="C46" t="str">
            <v>SU005045</v>
          </cell>
          <cell r="D46" t="str">
            <v>旭智资本(香港)有限公司</v>
          </cell>
          <cell r="F46">
            <v>48989787.039999999</v>
          </cell>
          <cell r="H46">
            <v>158335.39000000001</v>
          </cell>
        </row>
        <row r="47">
          <cell r="A47" t="str">
            <v>2241.02</v>
          </cell>
          <cell r="B47" t="str">
            <v>　　个人</v>
          </cell>
          <cell r="F47">
            <v>100</v>
          </cell>
        </row>
        <row r="48">
          <cell r="A48" t="str">
            <v>2241.02</v>
          </cell>
          <cell r="B48" t="str">
            <v>　　个人</v>
          </cell>
          <cell r="C48" t="str">
            <v>SP005011</v>
          </cell>
          <cell r="D48" t="str">
            <v>郭宗林</v>
          </cell>
        </row>
        <row r="49">
          <cell r="A49" t="str">
            <v>2241.02</v>
          </cell>
          <cell r="B49" t="str">
            <v>　　个人</v>
          </cell>
          <cell r="C49" t="str">
            <v>SP005012</v>
          </cell>
          <cell r="D49" t="str">
            <v>吴雅薇</v>
          </cell>
          <cell r="F49">
            <v>100</v>
          </cell>
        </row>
        <row r="50">
          <cell r="A50" t="str">
            <v>2601</v>
          </cell>
          <cell r="B50" t="str">
            <v>租赁负债</v>
          </cell>
          <cell r="G50">
            <v>5000</v>
          </cell>
          <cell r="H50">
            <v>5000</v>
          </cell>
        </row>
        <row r="51">
          <cell r="A51" t="str">
            <v>2601.01</v>
          </cell>
          <cell r="B51" t="str">
            <v>　　租赁付款额</v>
          </cell>
          <cell r="G51">
            <v>5000</v>
          </cell>
          <cell r="H51">
            <v>5000</v>
          </cell>
        </row>
        <row r="52">
          <cell r="A52" t="str">
            <v>2601.01.03</v>
          </cell>
          <cell r="B52" t="str">
            <v>　　　　注册地址</v>
          </cell>
          <cell r="G52">
            <v>5000</v>
          </cell>
          <cell r="H52">
            <v>5000</v>
          </cell>
        </row>
        <row r="53">
          <cell r="A53" t="str">
            <v>2601.01.03.02</v>
          </cell>
          <cell r="B53" t="str">
            <v>　　　　　　广州旭智--802房F028</v>
          </cell>
          <cell r="G53">
            <v>5000</v>
          </cell>
          <cell r="H53">
            <v>5000</v>
          </cell>
        </row>
        <row r="54">
          <cell r="A54" t="str">
            <v>4001</v>
          </cell>
          <cell r="B54" t="str">
            <v>实收资本（股本）</v>
          </cell>
          <cell r="F54">
            <v>1377820</v>
          </cell>
        </row>
        <row r="55">
          <cell r="A55" t="str">
            <v>4001.11</v>
          </cell>
          <cell r="B55" t="str">
            <v>　　旭智资本（香港）有限公司</v>
          </cell>
          <cell r="F55">
            <v>1377820</v>
          </cell>
        </row>
        <row r="56">
          <cell r="A56" t="str">
            <v>4103</v>
          </cell>
          <cell r="B56" t="str">
            <v>本年利润</v>
          </cell>
          <cell r="F56">
            <v>-7982.59</v>
          </cell>
          <cell r="G56">
            <v>116950.57</v>
          </cell>
        </row>
        <row r="57">
          <cell r="A57" t="str">
            <v>4104</v>
          </cell>
          <cell r="B57" t="str">
            <v>利润分配</v>
          </cell>
          <cell r="F57">
            <v>-10235808.6</v>
          </cell>
        </row>
        <row r="58">
          <cell r="A58" t="str">
            <v>4104.07</v>
          </cell>
          <cell r="B58" t="str">
            <v>　　未分配利润</v>
          </cell>
          <cell r="F58">
            <v>-10235808.6</v>
          </cell>
        </row>
        <row r="59">
          <cell r="A59" t="str">
            <v>6115</v>
          </cell>
          <cell r="B59" t="str">
            <v>其他收益</v>
          </cell>
        </row>
        <row r="60">
          <cell r="A60" t="str">
            <v>6115.02</v>
          </cell>
          <cell r="B60" t="str">
            <v>　　个税手续费返还</v>
          </cell>
        </row>
        <row r="61">
          <cell r="A61" t="str">
            <v>6301</v>
          </cell>
          <cell r="B61" t="str">
            <v>营业外收入</v>
          </cell>
        </row>
        <row r="62">
          <cell r="A62" t="str">
            <v>6301.99</v>
          </cell>
          <cell r="B62" t="str">
            <v>　　其他</v>
          </cell>
        </row>
        <row r="63">
          <cell r="A63" t="str">
            <v>6405</v>
          </cell>
          <cell r="B63" t="str">
            <v>税金及附加</v>
          </cell>
          <cell r="G63">
            <v>2.5</v>
          </cell>
          <cell r="H63">
            <v>2.5</v>
          </cell>
        </row>
        <row r="64">
          <cell r="A64" t="str">
            <v>6405.01</v>
          </cell>
          <cell r="B64" t="str">
            <v>　　印花税</v>
          </cell>
          <cell r="G64">
            <v>2.5</v>
          </cell>
          <cell r="H64">
            <v>2.5</v>
          </cell>
        </row>
        <row r="65">
          <cell r="A65" t="str">
            <v>6602</v>
          </cell>
          <cell r="B65" t="str">
            <v>管理费用</v>
          </cell>
          <cell r="G65">
            <v>5736.07</v>
          </cell>
          <cell r="H65">
            <v>5736.07</v>
          </cell>
        </row>
        <row r="66">
          <cell r="A66" t="str">
            <v>6602.04</v>
          </cell>
          <cell r="B66" t="str">
            <v>　　咨询及专业服务费</v>
          </cell>
          <cell r="G66">
            <v>5339</v>
          </cell>
          <cell r="H66">
            <v>5339</v>
          </cell>
        </row>
        <row r="67">
          <cell r="A67" t="str">
            <v>6602.04.01</v>
          </cell>
          <cell r="B67" t="str">
            <v>　　　　会计服务费</v>
          </cell>
          <cell r="G67">
            <v>5339</v>
          </cell>
          <cell r="H67">
            <v>5339</v>
          </cell>
        </row>
        <row r="68">
          <cell r="A68" t="str">
            <v>6602.04.02</v>
          </cell>
          <cell r="B68" t="str">
            <v>　　　　审计服务费</v>
          </cell>
        </row>
        <row r="69">
          <cell r="A69" t="str">
            <v>6602.08</v>
          </cell>
          <cell r="B69" t="str">
            <v>　　事务费用</v>
          </cell>
        </row>
        <row r="70">
          <cell r="A70" t="str">
            <v>6602.08.05</v>
          </cell>
          <cell r="B70" t="str">
            <v>　　　　邮费/邮递费</v>
          </cell>
        </row>
        <row r="71">
          <cell r="A71" t="str">
            <v>6602.08.05</v>
          </cell>
          <cell r="B71" t="str">
            <v>　　　　邮费/邮递费</v>
          </cell>
          <cell r="C71" t="str">
            <v>【未录入】</v>
          </cell>
          <cell r="D71" t="str">
            <v>【未录入】</v>
          </cell>
        </row>
        <row r="72">
          <cell r="A72" t="str">
            <v>6602.12</v>
          </cell>
          <cell r="B72" t="str">
            <v>　　使用权资产折旧</v>
          </cell>
          <cell r="G72">
            <v>397.07</v>
          </cell>
          <cell r="H72">
            <v>397.07</v>
          </cell>
        </row>
        <row r="73">
          <cell r="A73" t="str">
            <v>6602.12.03</v>
          </cell>
          <cell r="B73" t="str">
            <v>　　　　注册地址</v>
          </cell>
          <cell r="G73">
            <v>397.07</v>
          </cell>
          <cell r="H73">
            <v>397.07</v>
          </cell>
        </row>
        <row r="74">
          <cell r="A74" t="str">
            <v>6602.12.03.02</v>
          </cell>
          <cell r="B74" t="str">
            <v>　　　　　　广州旭智--802房F028</v>
          </cell>
          <cell r="G74">
            <v>397.07</v>
          </cell>
          <cell r="H74">
            <v>397.07</v>
          </cell>
        </row>
        <row r="75">
          <cell r="A75" t="str">
            <v>6603</v>
          </cell>
          <cell r="B75" t="str">
            <v>财务费用</v>
          </cell>
          <cell r="G75">
            <v>111212</v>
          </cell>
          <cell r="H75">
            <v>111212</v>
          </cell>
        </row>
        <row r="76">
          <cell r="A76" t="str">
            <v>6603.01</v>
          </cell>
          <cell r="B76" t="str">
            <v>　　汇兑损益</v>
          </cell>
          <cell r="G76">
            <v>111207.5</v>
          </cell>
          <cell r="H76">
            <v>111207.5</v>
          </cell>
        </row>
        <row r="77">
          <cell r="A77" t="str">
            <v>6603.03</v>
          </cell>
          <cell r="B77" t="str">
            <v>　　银行手续费</v>
          </cell>
          <cell r="G77">
            <v>4.5</v>
          </cell>
          <cell r="H77">
            <v>4.5</v>
          </cell>
        </row>
        <row r="78">
          <cell r="A78" t="str">
            <v>6603.04</v>
          </cell>
          <cell r="B78" t="str">
            <v>　　利息收入</v>
          </cell>
        </row>
        <row r="79">
          <cell r="B79" t="str">
            <v>合计</v>
          </cell>
          <cell r="E79">
            <v>40944655.149999999</v>
          </cell>
          <cell r="F79">
            <v>40944655.149999999</v>
          </cell>
          <cell r="G79">
            <v>243901.14</v>
          </cell>
          <cell r="H79">
            <v>243901.14</v>
          </cell>
        </row>
      </sheetData>
      <sheetData sheetId="4">
        <row r="1">
          <cell r="A1" t="str">
            <v>币别:人民币</v>
          </cell>
          <cell r="B1" t="str">
            <v>账簿:广州旭智投资控股有限责任公司</v>
          </cell>
          <cell r="C1" t="str">
            <v>期间:2025.5 -- 2025.5</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80140.97</v>
          </cell>
          <cell r="G4">
            <v>2204.25</v>
          </cell>
          <cell r="H4">
            <v>59922.12</v>
          </cell>
        </row>
        <row r="5">
          <cell r="A5" t="str">
            <v>1002.20</v>
          </cell>
          <cell r="B5" t="str">
            <v>　　【广州旭智】银行存款账户</v>
          </cell>
          <cell r="E5">
            <v>80140.97</v>
          </cell>
          <cell r="G5">
            <v>2204.25</v>
          </cell>
          <cell r="H5">
            <v>59922.12</v>
          </cell>
        </row>
        <row r="6">
          <cell r="A6" t="str">
            <v>1002.20.01</v>
          </cell>
          <cell r="B6" t="str">
            <v>　　　　中国银行账户</v>
          </cell>
          <cell r="E6">
            <v>78828.47</v>
          </cell>
          <cell r="G6">
            <v>2204.25</v>
          </cell>
          <cell r="H6">
            <v>59922.12</v>
          </cell>
        </row>
        <row r="7">
          <cell r="A7" t="str">
            <v>1002.20.01.01</v>
          </cell>
          <cell r="B7" t="str">
            <v>　　　　　　【广州旭智】中银 人民币基本户 1992</v>
          </cell>
          <cell r="E7">
            <v>68544.899999999994</v>
          </cell>
          <cell r="G7">
            <v>2204.25</v>
          </cell>
          <cell r="H7">
            <v>59922.12</v>
          </cell>
        </row>
        <row r="8">
          <cell r="A8" t="str">
            <v>1002.20.01.02</v>
          </cell>
          <cell r="B8" t="str">
            <v>　　　　　　【广州旭智】中银 人民币一般户 7284</v>
          </cell>
          <cell r="E8">
            <v>10283.57</v>
          </cell>
        </row>
        <row r="9">
          <cell r="A9" t="str">
            <v>1002.20.02</v>
          </cell>
          <cell r="B9" t="str">
            <v>　　　　兴业银行账户</v>
          </cell>
          <cell r="E9">
            <v>1312.5</v>
          </cell>
        </row>
        <row r="10">
          <cell r="A10" t="str">
            <v>1002.20.02.01</v>
          </cell>
          <cell r="B10" t="str">
            <v>　　　　　　【广州旭智】兴业 人民币专用存款账户 7362</v>
          </cell>
          <cell r="E10">
            <v>1312.5</v>
          </cell>
        </row>
        <row r="11">
          <cell r="A11" t="str">
            <v>1101</v>
          </cell>
          <cell r="B11" t="str">
            <v>交易性金融资产</v>
          </cell>
          <cell r="E11">
            <v>30000</v>
          </cell>
        </row>
        <row r="12">
          <cell r="A12" t="str">
            <v>1101.01</v>
          </cell>
          <cell r="B12" t="str">
            <v>　　投资成本</v>
          </cell>
          <cell r="E12">
            <v>30000</v>
          </cell>
        </row>
        <row r="13">
          <cell r="A13" t="str">
            <v>1101.01.03</v>
          </cell>
          <cell r="B13" t="str">
            <v>　　　　银行理财</v>
          </cell>
          <cell r="E13">
            <v>30000</v>
          </cell>
        </row>
        <row r="14">
          <cell r="A14" t="str">
            <v>1221</v>
          </cell>
          <cell r="B14" t="str">
            <v>其他应收款</v>
          </cell>
          <cell r="E14">
            <v>1583864.63</v>
          </cell>
        </row>
        <row r="15">
          <cell r="A15" t="str">
            <v>1221.01</v>
          </cell>
          <cell r="B15" t="str">
            <v>　　单位</v>
          </cell>
          <cell r="E15">
            <v>1583864.63</v>
          </cell>
        </row>
        <row r="16">
          <cell r="A16" t="str">
            <v>1221.01</v>
          </cell>
          <cell r="B16" t="str">
            <v>　　单位</v>
          </cell>
          <cell r="C16" t="str">
            <v>CU003002</v>
          </cell>
          <cell r="D16" t="str">
            <v>旭智资本(香港)有限公司</v>
          </cell>
          <cell r="E16">
            <v>35186.120000000003</v>
          </cell>
        </row>
        <row r="17">
          <cell r="A17" t="str">
            <v>1221.01</v>
          </cell>
          <cell r="B17" t="str">
            <v>　　单位</v>
          </cell>
          <cell r="C17" t="str">
            <v>CU003006</v>
          </cell>
          <cell r="D17" t="str">
            <v>旭智咨询管理(深圳)有限责任公司</v>
          </cell>
          <cell r="E17">
            <v>1509439.15</v>
          </cell>
        </row>
        <row r="18">
          <cell r="A18" t="str">
            <v>1221.01</v>
          </cell>
          <cell r="B18" t="str">
            <v>　　单位</v>
          </cell>
          <cell r="C18" t="str">
            <v>CU005005</v>
          </cell>
          <cell r="D18" t="str">
            <v>广东绿城物业服务有限公司</v>
          </cell>
          <cell r="E18">
            <v>4053.24</v>
          </cell>
        </row>
        <row r="19">
          <cell r="A19" t="str">
            <v>1221.01</v>
          </cell>
          <cell r="B19" t="str">
            <v>　　单位</v>
          </cell>
          <cell r="C19" t="str">
            <v>CU005009</v>
          </cell>
          <cell r="D19" t="str">
            <v>旭智资本有限公司</v>
          </cell>
          <cell r="E19">
            <v>35186.120000000003</v>
          </cell>
        </row>
        <row r="20">
          <cell r="A20" t="str">
            <v>1511</v>
          </cell>
          <cell r="B20" t="str">
            <v>长期股权投资</v>
          </cell>
          <cell r="E20">
            <v>39204000</v>
          </cell>
        </row>
        <row r="21">
          <cell r="A21" t="str">
            <v>1511.01</v>
          </cell>
          <cell r="B21" t="str">
            <v>　　投资成本</v>
          </cell>
          <cell r="E21">
            <v>39204000</v>
          </cell>
        </row>
        <row r="22">
          <cell r="A22" t="str">
            <v>1511.01.01</v>
          </cell>
          <cell r="B22" t="str">
            <v>　　　　宜兴旭智投资咨询合伙企业（有限合伙）</v>
          </cell>
          <cell r="E22">
            <v>39204000</v>
          </cell>
        </row>
        <row r="23">
          <cell r="A23" t="str">
            <v>1601</v>
          </cell>
          <cell r="B23" t="str">
            <v>固定资产</v>
          </cell>
          <cell r="E23">
            <v>36880.65</v>
          </cell>
        </row>
        <row r="24">
          <cell r="A24" t="str">
            <v>1601.01</v>
          </cell>
          <cell r="B24" t="str">
            <v>　　电子设备</v>
          </cell>
          <cell r="E24">
            <v>36880.65</v>
          </cell>
        </row>
        <row r="25">
          <cell r="A25" t="str">
            <v>1602</v>
          </cell>
          <cell r="B25" t="str">
            <v>累计折旧</v>
          </cell>
          <cell r="F25">
            <v>35036.61</v>
          </cell>
        </row>
        <row r="26">
          <cell r="A26" t="str">
            <v>1602.01</v>
          </cell>
          <cell r="B26" t="str">
            <v>　　电子设备</v>
          </cell>
          <cell r="F26">
            <v>35036.61</v>
          </cell>
        </row>
        <row r="27">
          <cell r="A27" t="str">
            <v>1641</v>
          </cell>
          <cell r="B27" t="str">
            <v>使用权资产</v>
          </cell>
          <cell r="E27">
            <v>9764.4</v>
          </cell>
          <cell r="H27">
            <v>4764.3999999999996</v>
          </cell>
        </row>
        <row r="28">
          <cell r="A28" t="str">
            <v>1641.03</v>
          </cell>
          <cell r="B28" t="str">
            <v>　　注册地址</v>
          </cell>
          <cell r="E28">
            <v>9764.4</v>
          </cell>
          <cell r="H28">
            <v>4764.3999999999996</v>
          </cell>
        </row>
        <row r="29">
          <cell r="A29" t="str">
            <v>1641.03.02</v>
          </cell>
          <cell r="B29" t="str">
            <v>　　　　广州旭智--802房F028</v>
          </cell>
          <cell r="E29">
            <v>9764.4</v>
          </cell>
          <cell r="H29">
            <v>4764.3999999999996</v>
          </cell>
        </row>
        <row r="30">
          <cell r="A30" t="str">
            <v>1642</v>
          </cell>
          <cell r="B30" t="str">
            <v>使用权资产累计折旧</v>
          </cell>
          <cell r="F30">
            <v>4764.3999999999996</v>
          </cell>
          <cell r="G30">
            <v>4764.3999999999996</v>
          </cell>
          <cell r="H30">
            <v>416.67</v>
          </cell>
        </row>
        <row r="31">
          <cell r="A31" t="str">
            <v>1642.03</v>
          </cell>
          <cell r="B31" t="str">
            <v>　　注册地址</v>
          </cell>
          <cell r="F31">
            <v>4764.3999999999996</v>
          </cell>
          <cell r="G31">
            <v>4764.3999999999996</v>
          </cell>
          <cell r="H31">
            <v>416.67</v>
          </cell>
        </row>
        <row r="32">
          <cell r="A32" t="str">
            <v>1642.03.02</v>
          </cell>
          <cell r="B32" t="str">
            <v>　　　　广州旭智--802房F028</v>
          </cell>
          <cell r="F32">
            <v>4764.3999999999996</v>
          </cell>
          <cell r="G32">
            <v>4764.3999999999996</v>
          </cell>
          <cell r="H32">
            <v>416.67</v>
          </cell>
        </row>
        <row r="33">
          <cell r="A33" t="str">
            <v>2221</v>
          </cell>
          <cell r="B33" t="str">
            <v>应交税费</v>
          </cell>
          <cell r="F33">
            <v>-18807.05</v>
          </cell>
          <cell r="G33">
            <v>152947.14000000001</v>
          </cell>
          <cell r="H33">
            <v>149482.97</v>
          </cell>
        </row>
        <row r="34">
          <cell r="A34" t="str">
            <v>2221.01</v>
          </cell>
          <cell r="B34" t="str">
            <v>　　应交增值税</v>
          </cell>
          <cell r="F34">
            <v>-13270.82</v>
          </cell>
          <cell r="G34">
            <v>147378.72</v>
          </cell>
          <cell r="H34">
            <v>141812.79999999999</v>
          </cell>
        </row>
        <row r="35">
          <cell r="A35" t="str">
            <v>2221.01.01</v>
          </cell>
          <cell r="B35" t="str">
            <v>　　　　销项税额</v>
          </cell>
          <cell r="F35">
            <v>142020.06</v>
          </cell>
          <cell r="G35">
            <v>141812.79999999999</v>
          </cell>
        </row>
        <row r="36">
          <cell r="A36" t="str">
            <v>2221.01.03</v>
          </cell>
          <cell r="B36" t="str">
            <v>　　　　进项税额</v>
          </cell>
          <cell r="F36">
            <v>-18385.53</v>
          </cell>
          <cell r="G36">
            <v>5565.92</v>
          </cell>
          <cell r="H36">
            <v>4907.45</v>
          </cell>
        </row>
        <row r="37">
          <cell r="A37" t="str">
            <v>2221.01.06</v>
          </cell>
          <cell r="B37" t="str">
            <v>　　　　转出未交增值税</v>
          </cell>
          <cell r="F37">
            <v>-136905.35</v>
          </cell>
          <cell r="H37">
            <v>136905.35</v>
          </cell>
        </row>
        <row r="38">
          <cell r="A38" t="str">
            <v>2221.07</v>
          </cell>
          <cell r="B38" t="str">
            <v>　　待抵扣进项税额</v>
          </cell>
          <cell r="G38">
            <v>5565.92</v>
          </cell>
          <cell r="H38">
            <v>5565.92</v>
          </cell>
        </row>
        <row r="39">
          <cell r="A39" t="str">
            <v>2221.15</v>
          </cell>
          <cell r="B39" t="str">
            <v>　　应交企业所得税</v>
          </cell>
          <cell r="F39">
            <v>-2104.25</v>
          </cell>
          <cell r="H39">
            <v>2104.25</v>
          </cell>
        </row>
        <row r="40">
          <cell r="A40" t="str">
            <v>2221.16</v>
          </cell>
          <cell r="B40" t="str">
            <v>　　应交个人所得税</v>
          </cell>
          <cell r="F40">
            <v>-3434.48</v>
          </cell>
        </row>
        <row r="41">
          <cell r="A41" t="str">
            <v>2221.17</v>
          </cell>
          <cell r="B41" t="str">
            <v>　　应交印花税</v>
          </cell>
          <cell r="F41">
            <v>2.5</v>
          </cell>
          <cell r="G41">
            <v>2.5</v>
          </cell>
        </row>
        <row r="42">
          <cell r="A42" t="str">
            <v>2241</v>
          </cell>
          <cell r="B42" t="str">
            <v>其他应付款</v>
          </cell>
          <cell r="F42">
            <v>49906578.450000003</v>
          </cell>
          <cell r="G42">
            <v>56117</v>
          </cell>
          <cell r="H42">
            <v>-114396.09</v>
          </cell>
        </row>
        <row r="43">
          <cell r="A43" t="str">
            <v>2241.01</v>
          </cell>
          <cell r="B43" t="str">
            <v>　　单位</v>
          </cell>
          <cell r="F43">
            <v>49906478.450000003</v>
          </cell>
          <cell r="G43">
            <v>56017</v>
          </cell>
          <cell r="H43">
            <v>-114496.09</v>
          </cell>
        </row>
        <row r="44">
          <cell r="A44" t="str">
            <v>2241.01</v>
          </cell>
          <cell r="B44" t="str">
            <v>　　单位</v>
          </cell>
          <cell r="C44" t="str">
            <v>SU005007</v>
          </cell>
          <cell r="D44" t="str">
            <v>普华永道中天会计师事务所（特殊普通合伙）</v>
          </cell>
          <cell r="F44">
            <v>60000</v>
          </cell>
          <cell r="G44">
            <v>40000</v>
          </cell>
        </row>
        <row r="45">
          <cell r="A45" t="str">
            <v>2241.01</v>
          </cell>
          <cell r="B45" t="str">
            <v>　　单位</v>
          </cell>
          <cell r="C45" t="str">
            <v>SU005033</v>
          </cell>
          <cell r="D45" t="str">
            <v>卓佳咨询(北京)有限公司深圳分公司</v>
          </cell>
          <cell r="F45">
            <v>21356</v>
          </cell>
          <cell r="G45">
            <v>16017</v>
          </cell>
          <cell r="H45">
            <v>5339</v>
          </cell>
        </row>
        <row r="46">
          <cell r="A46" t="str">
            <v>2241.01</v>
          </cell>
          <cell r="B46" t="str">
            <v>　　单位</v>
          </cell>
          <cell r="C46" t="str">
            <v>SU005043</v>
          </cell>
          <cell r="D46" t="str">
            <v>旭智资本有限公司</v>
          </cell>
          <cell r="F46">
            <v>677000.02</v>
          </cell>
          <cell r="H46">
            <v>-6543.39</v>
          </cell>
        </row>
        <row r="47">
          <cell r="A47" t="str">
            <v>2241.01</v>
          </cell>
          <cell r="B47" t="str">
            <v>　　单位</v>
          </cell>
          <cell r="C47" t="str">
            <v>SU005045</v>
          </cell>
          <cell r="D47" t="str">
            <v>旭智资本(香港)有限公司</v>
          </cell>
          <cell r="F47">
            <v>49148122.43</v>
          </cell>
          <cell r="H47">
            <v>-113291.7</v>
          </cell>
        </row>
        <row r="48">
          <cell r="A48" t="str">
            <v>2241.02</v>
          </cell>
          <cell r="B48" t="str">
            <v>　　个人</v>
          </cell>
          <cell r="F48">
            <v>100</v>
          </cell>
          <cell r="G48">
            <v>100</v>
          </cell>
          <cell r="H48">
            <v>100</v>
          </cell>
        </row>
        <row r="49">
          <cell r="A49" t="str">
            <v>2241.02</v>
          </cell>
          <cell r="B49" t="str">
            <v>　　个人</v>
          </cell>
          <cell r="C49" t="str">
            <v>SP005011</v>
          </cell>
          <cell r="D49" t="str">
            <v>郭宗林</v>
          </cell>
        </row>
        <row r="50">
          <cell r="A50" t="str">
            <v>2241.02</v>
          </cell>
          <cell r="B50" t="str">
            <v>　　个人</v>
          </cell>
          <cell r="C50" t="str">
            <v>SP005012</v>
          </cell>
          <cell r="D50" t="str">
            <v>吴雅薇</v>
          </cell>
          <cell r="F50">
            <v>100</v>
          </cell>
          <cell r="G50">
            <v>100</v>
          </cell>
          <cell r="H50">
            <v>100</v>
          </cell>
        </row>
        <row r="51">
          <cell r="A51" t="str">
            <v>2601</v>
          </cell>
          <cell r="B51" t="str">
            <v>租赁负债</v>
          </cell>
        </row>
        <row r="52">
          <cell r="A52" t="str">
            <v>2601.01</v>
          </cell>
          <cell r="B52" t="str">
            <v>　　租赁付款额</v>
          </cell>
        </row>
        <row r="53">
          <cell r="A53" t="str">
            <v>2601.01.03</v>
          </cell>
          <cell r="B53" t="str">
            <v>　　　　注册地址</v>
          </cell>
        </row>
        <row r="54">
          <cell r="A54" t="str">
            <v>2601.01.03.02</v>
          </cell>
          <cell r="B54" t="str">
            <v>　　　　　　广州旭智--802房F028</v>
          </cell>
        </row>
        <row r="55">
          <cell r="A55" t="str">
            <v>4001</v>
          </cell>
          <cell r="B55" t="str">
            <v>实收资本（股本）</v>
          </cell>
          <cell r="F55">
            <v>1377820</v>
          </cell>
        </row>
        <row r="56">
          <cell r="A56" t="str">
            <v>4001.11</v>
          </cell>
          <cell r="B56" t="str">
            <v>　　旭智资本（香港）有限公司</v>
          </cell>
          <cell r="F56">
            <v>1377820</v>
          </cell>
        </row>
        <row r="57">
          <cell r="A57" t="str">
            <v>4103</v>
          </cell>
          <cell r="B57" t="str">
            <v>本年利润</v>
          </cell>
          <cell r="F57">
            <v>-124933.16</v>
          </cell>
          <cell r="G57">
            <v>-115842.72</v>
          </cell>
        </row>
        <row r="58">
          <cell r="A58" t="str">
            <v>4104</v>
          </cell>
          <cell r="B58" t="str">
            <v>利润分配</v>
          </cell>
          <cell r="F58">
            <v>-10235808.6</v>
          </cell>
        </row>
        <row r="59">
          <cell r="A59" t="str">
            <v>4104.07</v>
          </cell>
          <cell r="B59" t="str">
            <v>　　未分配利润</v>
          </cell>
          <cell r="F59">
            <v>-10235808.6</v>
          </cell>
        </row>
        <row r="60">
          <cell r="A60" t="str">
            <v>6115</v>
          </cell>
          <cell r="B60" t="str">
            <v>其他收益</v>
          </cell>
        </row>
        <row r="61">
          <cell r="A61" t="str">
            <v>6115.02</v>
          </cell>
          <cell r="B61" t="str">
            <v>　　个税手续费返还</v>
          </cell>
        </row>
        <row r="62">
          <cell r="A62" t="str">
            <v>6301</v>
          </cell>
          <cell r="B62" t="str">
            <v>营业外收入</v>
          </cell>
        </row>
        <row r="63">
          <cell r="A63" t="str">
            <v>6301.99</v>
          </cell>
          <cell r="B63" t="str">
            <v>　　其他</v>
          </cell>
        </row>
        <row r="64">
          <cell r="A64" t="str">
            <v>6405</v>
          </cell>
          <cell r="B64" t="str">
            <v>税金及附加</v>
          </cell>
        </row>
        <row r="65">
          <cell r="A65" t="str">
            <v>6405.01</v>
          </cell>
          <cell r="B65" t="str">
            <v>　　印花税</v>
          </cell>
        </row>
        <row r="66">
          <cell r="A66" t="str">
            <v>6602</v>
          </cell>
          <cell r="B66" t="str">
            <v>管理费用</v>
          </cell>
          <cell r="G66">
            <v>3974.07</v>
          </cell>
          <cell r="H66">
            <v>3974.07</v>
          </cell>
        </row>
        <row r="67">
          <cell r="A67" t="str">
            <v>6602.04</v>
          </cell>
          <cell r="B67" t="str">
            <v>　　咨询及专业服务费</v>
          </cell>
          <cell r="G67">
            <v>3585.37</v>
          </cell>
          <cell r="H67">
            <v>3585.37</v>
          </cell>
        </row>
        <row r="68">
          <cell r="A68" t="str">
            <v>6602.04.01</v>
          </cell>
          <cell r="B68" t="str">
            <v>　　　　会计服务费</v>
          </cell>
          <cell r="G68">
            <v>2690.94</v>
          </cell>
          <cell r="H68">
            <v>2690.94</v>
          </cell>
        </row>
        <row r="69">
          <cell r="A69" t="str">
            <v>6602.04.02</v>
          </cell>
          <cell r="B69" t="str">
            <v>　　　　审计服务费</v>
          </cell>
          <cell r="G69">
            <v>894.43</v>
          </cell>
          <cell r="H69">
            <v>894.43</v>
          </cell>
        </row>
        <row r="70">
          <cell r="A70" t="str">
            <v>6602.05</v>
          </cell>
          <cell r="B70" t="str">
            <v>　　占用费</v>
          </cell>
          <cell r="G70">
            <v>-122.93</v>
          </cell>
          <cell r="H70">
            <v>-122.93</v>
          </cell>
        </row>
        <row r="71">
          <cell r="A71" t="str">
            <v>6602.05.07</v>
          </cell>
          <cell r="B71" t="str">
            <v>　　　　租金及物业费</v>
          </cell>
          <cell r="G71">
            <v>-122.93</v>
          </cell>
          <cell r="H71">
            <v>-122.93</v>
          </cell>
        </row>
        <row r="72">
          <cell r="A72" t="str">
            <v>6602.08</v>
          </cell>
          <cell r="B72" t="str">
            <v>　　事务费用</v>
          </cell>
          <cell r="G72">
            <v>28.3</v>
          </cell>
          <cell r="H72">
            <v>28.3</v>
          </cell>
        </row>
        <row r="73">
          <cell r="A73" t="str">
            <v>6602.08.05</v>
          </cell>
          <cell r="B73" t="str">
            <v>　　　　邮费/邮递费</v>
          </cell>
          <cell r="G73">
            <v>28.3</v>
          </cell>
          <cell r="H73">
            <v>28.3</v>
          </cell>
        </row>
        <row r="74">
          <cell r="A74" t="str">
            <v>6602.08.05</v>
          </cell>
          <cell r="B74" t="str">
            <v>　　　　邮费/邮递费</v>
          </cell>
          <cell r="C74" t="str">
            <v>【未录入】</v>
          </cell>
          <cell r="D74" t="str">
            <v>【未录入】</v>
          </cell>
        </row>
        <row r="75">
          <cell r="A75" t="str">
            <v>6602.08.05</v>
          </cell>
          <cell r="B75" t="str">
            <v>　　　　邮费/邮递费</v>
          </cell>
          <cell r="C75" t="str">
            <v>CI004</v>
          </cell>
          <cell r="D75" t="str">
            <v>广州旭智</v>
          </cell>
          <cell r="G75">
            <v>28.3</v>
          </cell>
          <cell r="H75">
            <v>28.3</v>
          </cell>
        </row>
        <row r="76">
          <cell r="A76" t="str">
            <v>6602.09</v>
          </cell>
          <cell r="B76" t="str">
            <v>　　差旅费</v>
          </cell>
          <cell r="G76">
            <v>330.22</v>
          </cell>
          <cell r="H76">
            <v>330.22</v>
          </cell>
        </row>
        <row r="77">
          <cell r="A77" t="str">
            <v>6602.09.02</v>
          </cell>
          <cell r="B77" t="str">
            <v>　　　　伙食费</v>
          </cell>
          <cell r="G77">
            <v>46</v>
          </cell>
          <cell r="H77">
            <v>46</v>
          </cell>
        </row>
        <row r="78">
          <cell r="A78" t="str">
            <v>6602.09.02</v>
          </cell>
          <cell r="B78" t="str">
            <v>　　　　伙食费</v>
          </cell>
          <cell r="C78" t="str">
            <v>CI004</v>
          </cell>
          <cell r="D78" t="str">
            <v>广州旭智</v>
          </cell>
          <cell r="G78">
            <v>46</v>
          </cell>
          <cell r="H78">
            <v>46</v>
          </cell>
        </row>
        <row r="79">
          <cell r="A79" t="str">
            <v>6602.09.03</v>
          </cell>
          <cell r="B79" t="str">
            <v>　　　　地面交通费</v>
          </cell>
          <cell r="G79">
            <v>284.22000000000003</v>
          </cell>
          <cell r="H79">
            <v>284.22000000000003</v>
          </cell>
        </row>
        <row r="80">
          <cell r="A80" t="str">
            <v>6602.09.03</v>
          </cell>
          <cell r="B80" t="str">
            <v>　　　　地面交通费</v>
          </cell>
          <cell r="C80" t="str">
            <v>CI004</v>
          </cell>
          <cell r="D80" t="str">
            <v>广州旭智</v>
          </cell>
          <cell r="G80">
            <v>284.22000000000003</v>
          </cell>
          <cell r="H80">
            <v>284.22000000000003</v>
          </cell>
        </row>
        <row r="81">
          <cell r="A81" t="str">
            <v>6602.12</v>
          </cell>
          <cell r="B81" t="str">
            <v>　　使用权资产折旧</v>
          </cell>
          <cell r="G81">
            <v>153.11000000000001</v>
          </cell>
          <cell r="H81">
            <v>153.11000000000001</v>
          </cell>
        </row>
        <row r="82">
          <cell r="A82" t="str">
            <v>6602.12.03</v>
          </cell>
          <cell r="B82" t="str">
            <v>　　　　注册地址</v>
          </cell>
          <cell r="G82">
            <v>153.11000000000001</v>
          </cell>
          <cell r="H82">
            <v>153.11000000000001</v>
          </cell>
        </row>
        <row r="83">
          <cell r="A83" t="str">
            <v>6602.12.03.02</v>
          </cell>
          <cell r="B83" t="str">
            <v>　　　　　　广州旭智--802房F028</v>
          </cell>
          <cell r="G83">
            <v>416.67</v>
          </cell>
          <cell r="H83">
            <v>416.67</v>
          </cell>
        </row>
        <row r="84">
          <cell r="A84" t="str">
            <v>6602.12.03.03</v>
          </cell>
          <cell r="B84" t="str">
            <v>　　　　　　广州旭智--311房A138</v>
          </cell>
          <cell r="G84">
            <v>-263.56</v>
          </cell>
          <cell r="H84">
            <v>-263.56</v>
          </cell>
        </row>
        <row r="85">
          <cell r="A85" t="str">
            <v>6603</v>
          </cell>
          <cell r="B85" t="str">
            <v>财务费用</v>
          </cell>
          <cell r="G85">
            <v>-119816.79</v>
          </cell>
          <cell r="H85">
            <v>-119816.79</v>
          </cell>
        </row>
        <row r="86">
          <cell r="A86" t="str">
            <v>6603.01</v>
          </cell>
          <cell r="B86" t="str">
            <v>　　汇兑损益</v>
          </cell>
          <cell r="G86">
            <v>-119835.09</v>
          </cell>
          <cell r="H86">
            <v>-119835.09</v>
          </cell>
        </row>
        <row r="87">
          <cell r="A87" t="str">
            <v>6603.03</v>
          </cell>
          <cell r="B87" t="str">
            <v>　　银行手续费</v>
          </cell>
          <cell r="G87">
            <v>18.3</v>
          </cell>
          <cell r="H87">
            <v>18.3</v>
          </cell>
        </row>
        <row r="88">
          <cell r="A88" t="str">
            <v>6603.04</v>
          </cell>
          <cell r="B88" t="str">
            <v>　　利息收入</v>
          </cell>
        </row>
        <row r="89">
          <cell r="B89" t="str">
            <v>合计</v>
          </cell>
          <cell r="E89">
            <v>40944650.649999999</v>
          </cell>
          <cell r="F89">
            <v>40944650.649999999</v>
          </cell>
          <cell r="G89">
            <v>-15652.65</v>
          </cell>
          <cell r="H89">
            <v>-15652.65</v>
          </cell>
        </row>
      </sheetData>
      <sheetData sheetId="5">
        <row r="1">
          <cell r="A1" t="str">
            <v>币别:人民币</v>
          </cell>
          <cell r="B1" t="str">
            <v>账簿:广州旭智投资控股有限责任公司</v>
          </cell>
          <cell r="C1" t="str">
            <v>期间:2025.6 -- 2025.6</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22423.1</v>
          </cell>
          <cell r="G4">
            <v>16.36</v>
          </cell>
          <cell r="H4">
            <v>304.48</v>
          </cell>
        </row>
        <row r="5">
          <cell r="A5" t="str">
            <v>1002.20</v>
          </cell>
          <cell r="B5" t="str">
            <v>　　【广州旭智】银行存款账户</v>
          </cell>
          <cell r="E5">
            <v>22423.1</v>
          </cell>
          <cell r="G5">
            <v>16.36</v>
          </cell>
          <cell r="H5">
            <v>304.48</v>
          </cell>
        </row>
        <row r="6">
          <cell r="A6" t="str">
            <v>1002.20.01</v>
          </cell>
          <cell r="B6" t="str">
            <v>　　　　中国银行账户</v>
          </cell>
          <cell r="E6">
            <v>21110.6</v>
          </cell>
          <cell r="G6">
            <v>16.079999999999998</v>
          </cell>
          <cell r="H6">
            <v>304.48</v>
          </cell>
        </row>
        <row r="7">
          <cell r="A7" t="str">
            <v>1002.20.01.01</v>
          </cell>
          <cell r="B7" t="str">
            <v>　　　　　　【广州旭智】中银 人民币基本户 1992</v>
          </cell>
          <cell r="E7">
            <v>10827.03</v>
          </cell>
          <cell r="G7">
            <v>13.28</v>
          </cell>
          <cell r="H7">
            <v>104.5</v>
          </cell>
        </row>
        <row r="8">
          <cell r="A8" t="str">
            <v>1002.20.01.02</v>
          </cell>
          <cell r="B8" t="str">
            <v>　　　　　　【广州旭智】中银 人民币一般户 7284</v>
          </cell>
          <cell r="E8">
            <v>10283.57</v>
          </cell>
          <cell r="G8">
            <v>2.8</v>
          </cell>
          <cell r="H8">
            <v>199.98</v>
          </cell>
        </row>
        <row r="9">
          <cell r="A9" t="str">
            <v>1002.20.02</v>
          </cell>
          <cell r="B9" t="str">
            <v>　　　　兴业银行账户</v>
          </cell>
          <cell r="E9">
            <v>1312.5</v>
          </cell>
          <cell r="G9">
            <v>0.28000000000000003</v>
          </cell>
        </row>
        <row r="10">
          <cell r="A10" t="str">
            <v>1002.20.02.01</v>
          </cell>
          <cell r="B10" t="str">
            <v>　　　　　　【广州旭智】兴业 人民币专用存款账户 7362</v>
          </cell>
          <cell r="E10">
            <v>1312.5</v>
          </cell>
          <cell r="G10">
            <v>0.28000000000000003</v>
          </cell>
        </row>
        <row r="11">
          <cell r="A11" t="str">
            <v>1101</v>
          </cell>
          <cell r="B11" t="str">
            <v>交易性金融资产</v>
          </cell>
          <cell r="E11">
            <v>30000</v>
          </cell>
        </row>
        <row r="12">
          <cell r="A12" t="str">
            <v>1101.01</v>
          </cell>
          <cell r="B12" t="str">
            <v>　　投资成本</v>
          </cell>
          <cell r="E12">
            <v>30000</v>
          </cell>
        </row>
        <row r="13">
          <cell r="A13" t="str">
            <v>1101.01.03</v>
          </cell>
          <cell r="B13" t="str">
            <v>　　　　银行理财</v>
          </cell>
          <cell r="E13">
            <v>30000</v>
          </cell>
        </row>
        <row r="14">
          <cell r="A14" t="str">
            <v>1221</v>
          </cell>
          <cell r="B14" t="str">
            <v>其他应收款</v>
          </cell>
          <cell r="E14">
            <v>1583864.63</v>
          </cell>
        </row>
        <row r="15">
          <cell r="A15" t="str">
            <v>1221.01</v>
          </cell>
          <cell r="B15" t="str">
            <v>　　单位</v>
          </cell>
          <cell r="E15">
            <v>1583864.63</v>
          </cell>
        </row>
        <row r="16">
          <cell r="A16" t="str">
            <v>1221.01</v>
          </cell>
          <cell r="B16" t="str">
            <v>　　单位</v>
          </cell>
          <cell r="C16" t="str">
            <v>CU003002</v>
          </cell>
          <cell r="D16" t="str">
            <v>旭智资本(香港)有限公司</v>
          </cell>
          <cell r="E16">
            <v>35186.120000000003</v>
          </cell>
        </row>
        <row r="17">
          <cell r="A17" t="str">
            <v>1221.01</v>
          </cell>
          <cell r="B17" t="str">
            <v>　　单位</v>
          </cell>
          <cell r="C17" t="str">
            <v>CU003006</v>
          </cell>
          <cell r="D17" t="str">
            <v>旭智咨询管理(深圳)有限责任公司</v>
          </cell>
          <cell r="E17">
            <v>1509439.15</v>
          </cell>
        </row>
        <row r="18">
          <cell r="A18" t="str">
            <v>1221.01</v>
          </cell>
          <cell r="B18" t="str">
            <v>　　单位</v>
          </cell>
          <cell r="C18" t="str">
            <v>CU005005</v>
          </cell>
          <cell r="D18" t="str">
            <v>广东绿城物业服务有限公司</v>
          </cell>
          <cell r="E18">
            <v>4053.24</v>
          </cell>
        </row>
        <row r="19">
          <cell r="A19" t="str">
            <v>1221.01</v>
          </cell>
          <cell r="B19" t="str">
            <v>　　单位</v>
          </cell>
          <cell r="C19" t="str">
            <v>CU005009</v>
          </cell>
          <cell r="D19" t="str">
            <v>旭智资本有限公司</v>
          </cell>
          <cell r="E19">
            <v>35186.120000000003</v>
          </cell>
        </row>
        <row r="20">
          <cell r="A20" t="str">
            <v>1511</v>
          </cell>
          <cell r="B20" t="str">
            <v>长期股权投资</v>
          </cell>
          <cell r="E20">
            <v>39204000</v>
          </cell>
        </row>
        <row r="21">
          <cell r="A21" t="str">
            <v>1511.01</v>
          </cell>
          <cell r="B21" t="str">
            <v>　　投资成本</v>
          </cell>
          <cell r="E21">
            <v>39204000</v>
          </cell>
        </row>
        <row r="22">
          <cell r="A22" t="str">
            <v>1511.01.01</v>
          </cell>
          <cell r="B22" t="str">
            <v>　　　　宜兴旭智投资咨询合伙企业（有限合伙）</v>
          </cell>
          <cell r="E22">
            <v>39204000</v>
          </cell>
        </row>
        <row r="23">
          <cell r="A23" t="str">
            <v>1601</v>
          </cell>
          <cell r="B23" t="str">
            <v>固定资产</v>
          </cell>
          <cell r="E23">
            <v>36880.65</v>
          </cell>
        </row>
        <row r="24">
          <cell r="A24" t="str">
            <v>1601.01</v>
          </cell>
          <cell r="B24" t="str">
            <v>　　电子设备</v>
          </cell>
          <cell r="E24">
            <v>36880.65</v>
          </cell>
        </row>
        <row r="25">
          <cell r="A25" t="str">
            <v>1602</v>
          </cell>
          <cell r="B25" t="str">
            <v>累计折旧</v>
          </cell>
          <cell r="F25">
            <v>35036.61</v>
          </cell>
        </row>
        <row r="26">
          <cell r="A26" t="str">
            <v>1602.01</v>
          </cell>
          <cell r="B26" t="str">
            <v>　　电子设备</v>
          </cell>
          <cell r="F26">
            <v>35036.61</v>
          </cell>
        </row>
        <row r="27">
          <cell r="A27" t="str">
            <v>1641</v>
          </cell>
          <cell r="B27" t="str">
            <v>使用权资产</v>
          </cell>
          <cell r="E27">
            <v>5000</v>
          </cell>
        </row>
        <row r="28">
          <cell r="A28" t="str">
            <v>1641.03</v>
          </cell>
          <cell r="B28" t="str">
            <v>　　注册地址</v>
          </cell>
          <cell r="E28">
            <v>5000</v>
          </cell>
        </row>
        <row r="29">
          <cell r="A29" t="str">
            <v>1641.03.02</v>
          </cell>
          <cell r="B29" t="str">
            <v>　　　　广州旭智--802房F028</v>
          </cell>
          <cell r="E29">
            <v>5000</v>
          </cell>
        </row>
        <row r="30">
          <cell r="A30" t="str">
            <v>1642</v>
          </cell>
          <cell r="B30" t="str">
            <v>使用权资产累计折旧</v>
          </cell>
          <cell r="F30">
            <v>416.67</v>
          </cell>
          <cell r="H30">
            <v>416.67</v>
          </cell>
        </row>
        <row r="31">
          <cell r="A31" t="str">
            <v>1642.03</v>
          </cell>
          <cell r="B31" t="str">
            <v>　　注册地址</v>
          </cell>
          <cell r="F31">
            <v>416.67</v>
          </cell>
          <cell r="H31">
            <v>416.67</v>
          </cell>
        </row>
        <row r="32">
          <cell r="A32" t="str">
            <v>1642.03.02</v>
          </cell>
          <cell r="B32" t="str">
            <v>　　　　广州旭智--802房F028</v>
          </cell>
          <cell r="F32">
            <v>416.67</v>
          </cell>
          <cell r="H32">
            <v>416.67</v>
          </cell>
        </row>
        <row r="33">
          <cell r="A33" t="str">
            <v>2221</v>
          </cell>
          <cell r="B33" t="str">
            <v>应交税费</v>
          </cell>
          <cell r="F33">
            <v>-22271.22</v>
          </cell>
        </row>
        <row r="34">
          <cell r="A34" t="str">
            <v>2221.01</v>
          </cell>
          <cell r="B34" t="str">
            <v>　　应交增值税</v>
          </cell>
          <cell r="F34">
            <v>-18836.740000000002</v>
          </cell>
        </row>
        <row r="35">
          <cell r="A35" t="str">
            <v>2221.01.01</v>
          </cell>
          <cell r="B35" t="str">
            <v>　　　　销项税额</v>
          </cell>
          <cell r="F35">
            <v>207.26</v>
          </cell>
        </row>
        <row r="36">
          <cell r="A36" t="str">
            <v>2221.01.03</v>
          </cell>
          <cell r="B36" t="str">
            <v>　　　　进项税额</v>
          </cell>
          <cell r="F36">
            <v>-19044</v>
          </cell>
        </row>
        <row r="37">
          <cell r="A37" t="str">
            <v>2221.01.06</v>
          </cell>
          <cell r="B37" t="str">
            <v>　　　　转出未交增值税</v>
          </cell>
        </row>
        <row r="38">
          <cell r="A38" t="str">
            <v>2221.07</v>
          </cell>
          <cell r="B38" t="str">
            <v>　　待抵扣进项税额</v>
          </cell>
        </row>
        <row r="39">
          <cell r="A39" t="str">
            <v>2221.15</v>
          </cell>
          <cell r="B39" t="str">
            <v>　　应交企业所得税</v>
          </cell>
        </row>
        <row r="40">
          <cell r="A40" t="str">
            <v>2221.16</v>
          </cell>
          <cell r="B40" t="str">
            <v>　　应交个人所得税</v>
          </cell>
          <cell r="F40">
            <v>-3434.48</v>
          </cell>
        </row>
        <row r="41">
          <cell r="A41" t="str">
            <v>2221.17</v>
          </cell>
          <cell r="B41" t="str">
            <v>　　应交印花税</v>
          </cell>
        </row>
        <row r="42">
          <cell r="A42" t="str">
            <v>2241</v>
          </cell>
          <cell r="B42" t="str">
            <v>其他应付款</v>
          </cell>
          <cell r="F42">
            <v>49736065.359999999</v>
          </cell>
          <cell r="G42">
            <v>100</v>
          </cell>
          <cell r="H42">
            <v>-175891.7</v>
          </cell>
        </row>
        <row r="43">
          <cell r="A43" t="str">
            <v>2241.01</v>
          </cell>
          <cell r="B43" t="str">
            <v>　　单位</v>
          </cell>
          <cell r="F43">
            <v>49735965.359999999</v>
          </cell>
          <cell r="H43">
            <v>-175891.7</v>
          </cell>
        </row>
        <row r="44">
          <cell r="A44" t="str">
            <v>2241.01</v>
          </cell>
          <cell r="B44" t="str">
            <v>　　单位</v>
          </cell>
          <cell r="C44" t="str">
            <v>SU005007</v>
          </cell>
          <cell r="D44" t="str">
            <v>普华永道中天会计师事务所（特殊普通合伙）</v>
          </cell>
          <cell r="F44">
            <v>20000</v>
          </cell>
        </row>
        <row r="45">
          <cell r="A45" t="str">
            <v>2241.01</v>
          </cell>
          <cell r="B45" t="str">
            <v>　　单位</v>
          </cell>
          <cell r="C45" t="str">
            <v>SU005033</v>
          </cell>
          <cell r="D45" t="str">
            <v>卓佳咨询(北京)有限公司深圳分公司</v>
          </cell>
          <cell r="F45">
            <v>10678</v>
          </cell>
          <cell r="H45">
            <v>5339</v>
          </cell>
        </row>
        <row r="46">
          <cell r="A46" t="str">
            <v>2241.01</v>
          </cell>
          <cell r="B46" t="str">
            <v>　　单位</v>
          </cell>
          <cell r="C46" t="str">
            <v>SU005043</v>
          </cell>
          <cell r="D46" t="str">
            <v>旭智资本有限公司</v>
          </cell>
          <cell r="F46">
            <v>670456.63</v>
          </cell>
          <cell r="H46">
            <v>-2420.91</v>
          </cell>
        </row>
        <row r="47">
          <cell r="A47" t="str">
            <v>2241.01</v>
          </cell>
          <cell r="B47" t="str">
            <v>　　单位</v>
          </cell>
          <cell r="C47" t="str">
            <v>SU005045</v>
          </cell>
          <cell r="D47" t="str">
            <v>旭智资本(香港)有限公司</v>
          </cell>
          <cell r="F47">
            <v>49034830.729999997</v>
          </cell>
          <cell r="H47">
            <v>-178809.79</v>
          </cell>
        </row>
        <row r="48">
          <cell r="A48" t="str">
            <v>2241.02</v>
          </cell>
          <cell r="B48" t="str">
            <v>　　个人</v>
          </cell>
          <cell r="F48">
            <v>100</v>
          </cell>
          <cell r="G48">
            <v>100</v>
          </cell>
        </row>
        <row r="49">
          <cell r="A49" t="str">
            <v>2241.02</v>
          </cell>
          <cell r="B49" t="str">
            <v>　　个人</v>
          </cell>
          <cell r="C49" t="str">
            <v>SP005011</v>
          </cell>
          <cell r="D49" t="str">
            <v>郭宗林</v>
          </cell>
        </row>
        <row r="50">
          <cell r="A50" t="str">
            <v>2241.02</v>
          </cell>
          <cell r="B50" t="str">
            <v>　　个人</v>
          </cell>
          <cell r="C50" t="str">
            <v>SP005012</v>
          </cell>
          <cell r="D50" t="str">
            <v>吴雅薇</v>
          </cell>
          <cell r="F50">
            <v>100</v>
          </cell>
          <cell r="G50">
            <v>100</v>
          </cell>
        </row>
        <row r="51">
          <cell r="A51" t="str">
            <v>2601</v>
          </cell>
          <cell r="B51" t="str">
            <v>租赁负债</v>
          </cell>
        </row>
        <row r="52">
          <cell r="A52" t="str">
            <v>2601.01</v>
          </cell>
          <cell r="B52" t="str">
            <v>　　租赁付款额</v>
          </cell>
        </row>
        <row r="53">
          <cell r="A53" t="str">
            <v>2601.01.03</v>
          </cell>
          <cell r="B53" t="str">
            <v>　　　　注册地址</v>
          </cell>
        </row>
        <row r="54">
          <cell r="A54" t="str">
            <v>2601.01.03.02</v>
          </cell>
          <cell r="B54" t="str">
            <v>　　　　　　广州旭智--802房F028</v>
          </cell>
        </row>
        <row r="55">
          <cell r="A55" t="str">
            <v>4001</v>
          </cell>
          <cell r="B55" t="str">
            <v>实收资本（股本）</v>
          </cell>
          <cell r="F55">
            <v>1377820</v>
          </cell>
        </row>
        <row r="56">
          <cell r="A56" t="str">
            <v>4001.11</v>
          </cell>
          <cell r="B56" t="str">
            <v>　　旭智资本（香港）有限公司</v>
          </cell>
          <cell r="F56">
            <v>1377820</v>
          </cell>
        </row>
        <row r="57">
          <cell r="A57" t="str">
            <v>4103</v>
          </cell>
          <cell r="B57" t="str">
            <v>本年利润</v>
          </cell>
          <cell r="F57">
            <v>-9090.44</v>
          </cell>
          <cell r="G57">
            <v>-175286.91</v>
          </cell>
        </row>
        <row r="58">
          <cell r="A58" t="str">
            <v>4104</v>
          </cell>
          <cell r="B58" t="str">
            <v>利润分配</v>
          </cell>
          <cell r="F58">
            <v>-10235808.6</v>
          </cell>
        </row>
        <row r="59">
          <cell r="A59" t="str">
            <v>4104.07</v>
          </cell>
          <cell r="B59" t="str">
            <v>　　未分配利润</v>
          </cell>
          <cell r="F59">
            <v>-10235808.6</v>
          </cell>
        </row>
        <row r="60">
          <cell r="A60" t="str">
            <v>6115</v>
          </cell>
          <cell r="B60" t="str">
            <v>其他收益</v>
          </cell>
        </row>
        <row r="61">
          <cell r="A61" t="str">
            <v>6115.02</v>
          </cell>
          <cell r="B61" t="str">
            <v>　　个税手续费返还</v>
          </cell>
        </row>
        <row r="62">
          <cell r="A62" t="str">
            <v>6301</v>
          </cell>
          <cell r="B62" t="str">
            <v>营业外收入</v>
          </cell>
        </row>
        <row r="63">
          <cell r="A63" t="str">
            <v>6301.99</v>
          </cell>
          <cell r="B63" t="str">
            <v>　　其他</v>
          </cell>
        </row>
        <row r="64">
          <cell r="A64" t="str">
            <v>6405</v>
          </cell>
          <cell r="B64" t="str">
            <v>税金及附加</v>
          </cell>
        </row>
        <row r="65">
          <cell r="A65" t="str">
            <v>6405.01</v>
          </cell>
          <cell r="B65" t="str">
            <v>　　印花税</v>
          </cell>
        </row>
        <row r="66">
          <cell r="A66" t="str">
            <v>6602</v>
          </cell>
          <cell r="B66" t="str">
            <v>管理费用</v>
          </cell>
          <cell r="G66">
            <v>5755.67</v>
          </cell>
          <cell r="H66">
            <v>5755.67</v>
          </cell>
        </row>
        <row r="67">
          <cell r="A67" t="str">
            <v>6602.04</v>
          </cell>
          <cell r="B67" t="str">
            <v>　　咨询及专业服务费</v>
          </cell>
          <cell r="G67">
            <v>5339</v>
          </cell>
          <cell r="H67">
            <v>5339</v>
          </cell>
        </row>
        <row r="68">
          <cell r="A68" t="str">
            <v>6602.04.01</v>
          </cell>
          <cell r="B68" t="str">
            <v>　　　　会计服务费</v>
          </cell>
          <cell r="G68">
            <v>5339</v>
          </cell>
          <cell r="H68">
            <v>5339</v>
          </cell>
        </row>
        <row r="69">
          <cell r="A69" t="str">
            <v>6602.04.02</v>
          </cell>
          <cell r="B69" t="str">
            <v>　　　　审计服务费</v>
          </cell>
        </row>
        <row r="70">
          <cell r="A70" t="str">
            <v>6602.05</v>
          </cell>
          <cell r="B70" t="str">
            <v>　　占用费</v>
          </cell>
        </row>
        <row r="71">
          <cell r="A71" t="str">
            <v>6602.05.07</v>
          </cell>
          <cell r="B71" t="str">
            <v>　　　　租金及物业费</v>
          </cell>
        </row>
        <row r="72">
          <cell r="A72" t="str">
            <v>6602.08</v>
          </cell>
          <cell r="B72" t="str">
            <v>　　事务费用</v>
          </cell>
        </row>
        <row r="73">
          <cell r="A73" t="str">
            <v>6602.08.05</v>
          </cell>
          <cell r="B73" t="str">
            <v>　　　　邮费/邮递费</v>
          </cell>
        </row>
        <row r="74">
          <cell r="A74" t="str">
            <v>6602.08.05</v>
          </cell>
          <cell r="B74" t="str">
            <v>　　　　邮费/邮递费</v>
          </cell>
          <cell r="C74" t="str">
            <v>【未录入】</v>
          </cell>
          <cell r="D74" t="str">
            <v>【未录入】</v>
          </cell>
        </row>
        <row r="75">
          <cell r="A75" t="str">
            <v>6602.08.05</v>
          </cell>
          <cell r="B75" t="str">
            <v>　　　　邮费/邮递费</v>
          </cell>
          <cell r="C75" t="str">
            <v>CI004</v>
          </cell>
          <cell r="D75" t="str">
            <v>广州旭智</v>
          </cell>
        </row>
        <row r="76">
          <cell r="A76" t="str">
            <v>6602.09</v>
          </cell>
          <cell r="B76" t="str">
            <v>　　差旅费</v>
          </cell>
        </row>
        <row r="77">
          <cell r="A77" t="str">
            <v>6602.09.02</v>
          </cell>
          <cell r="B77" t="str">
            <v>　　　　伙食费</v>
          </cell>
        </row>
        <row r="78">
          <cell r="A78" t="str">
            <v>6602.09.02</v>
          </cell>
          <cell r="B78" t="str">
            <v>　　　　伙食费</v>
          </cell>
          <cell r="C78" t="str">
            <v>CI004</v>
          </cell>
          <cell r="D78" t="str">
            <v>广州旭智</v>
          </cell>
        </row>
        <row r="79">
          <cell r="A79" t="str">
            <v>6602.09.03</v>
          </cell>
          <cell r="B79" t="str">
            <v>　　　　地面交通费</v>
          </cell>
        </row>
        <row r="80">
          <cell r="A80" t="str">
            <v>6602.09.03</v>
          </cell>
          <cell r="B80" t="str">
            <v>　　　　地面交通费</v>
          </cell>
          <cell r="C80" t="str">
            <v>CI004</v>
          </cell>
          <cell r="D80" t="str">
            <v>广州旭智</v>
          </cell>
        </row>
        <row r="81">
          <cell r="A81" t="str">
            <v>6602.12</v>
          </cell>
          <cell r="B81" t="str">
            <v>　　使用权资产折旧</v>
          </cell>
          <cell r="G81">
            <v>416.67</v>
          </cell>
          <cell r="H81">
            <v>416.67</v>
          </cell>
        </row>
        <row r="82">
          <cell r="A82" t="str">
            <v>6602.12.03</v>
          </cell>
          <cell r="B82" t="str">
            <v>　　　　注册地址</v>
          </cell>
          <cell r="G82">
            <v>416.67</v>
          </cell>
          <cell r="H82">
            <v>416.67</v>
          </cell>
        </row>
        <row r="83">
          <cell r="A83" t="str">
            <v>6602.12.03.02</v>
          </cell>
          <cell r="B83" t="str">
            <v>　　　　　　广州旭智--802房F028</v>
          </cell>
          <cell r="G83">
            <v>416.67</v>
          </cell>
          <cell r="H83">
            <v>416.67</v>
          </cell>
        </row>
        <row r="84">
          <cell r="A84" t="str">
            <v>6602.12.03.03</v>
          </cell>
          <cell r="B84" t="str">
            <v>　　　　　　广州旭智--311房A138</v>
          </cell>
        </row>
        <row r="85">
          <cell r="A85" t="str">
            <v>6603</v>
          </cell>
          <cell r="B85" t="str">
            <v>财务费用</v>
          </cell>
          <cell r="G85">
            <v>-181042.58</v>
          </cell>
          <cell r="H85">
            <v>-181042.58</v>
          </cell>
        </row>
        <row r="86">
          <cell r="A86" t="str">
            <v>6603.01</v>
          </cell>
          <cell r="B86" t="str">
            <v>　　汇兑损益</v>
          </cell>
          <cell r="G86">
            <v>-181230.7</v>
          </cell>
          <cell r="H86">
            <v>-181230.7</v>
          </cell>
        </row>
        <row r="87">
          <cell r="A87" t="str">
            <v>6603.03</v>
          </cell>
          <cell r="B87" t="str">
            <v>　　银行手续费</v>
          </cell>
          <cell r="G87">
            <v>204.48</v>
          </cell>
          <cell r="H87">
            <v>204.48</v>
          </cell>
        </row>
        <row r="88">
          <cell r="A88" t="str">
            <v>6603.04</v>
          </cell>
          <cell r="B88" t="str">
            <v>　　利息收入</v>
          </cell>
          <cell r="G88">
            <v>-16.36</v>
          </cell>
          <cell r="H88">
            <v>-16.36</v>
          </cell>
        </row>
        <row r="89">
          <cell r="B89" t="str">
            <v>合计</v>
          </cell>
          <cell r="E89">
            <v>40882168.380000003</v>
          </cell>
          <cell r="F89">
            <v>40882168.380000003</v>
          </cell>
          <cell r="G89">
            <v>-350457.46</v>
          </cell>
          <cell r="H89">
            <v>-350457.46</v>
          </cell>
        </row>
      </sheetData>
      <sheetData sheetId="6">
        <row r="1">
          <cell r="A1" t="str">
            <v>币别:人民币</v>
          </cell>
          <cell r="B1" t="str">
            <v>账簿:广州旭智投资控股有限责任公司</v>
          </cell>
          <cell r="C1" t="str">
            <v>期间:2025.7 -- 2025.7</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22134.98</v>
          </cell>
          <cell r="H4">
            <v>2316.66</v>
          </cell>
        </row>
        <row r="5">
          <cell r="A5" t="str">
            <v>1002.20</v>
          </cell>
          <cell r="B5" t="str">
            <v>　　【广州旭智】银行存款账户</v>
          </cell>
          <cell r="E5">
            <v>22134.98</v>
          </cell>
          <cell r="H5">
            <v>2316.66</v>
          </cell>
        </row>
        <row r="6">
          <cell r="A6" t="str">
            <v>1002.20.01</v>
          </cell>
          <cell r="B6" t="str">
            <v>　　　　中国银行账户</v>
          </cell>
          <cell r="E6">
            <v>20822.2</v>
          </cell>
          <cell r="H6">
            <v>2316.66</v>
          </cell>
        </row>
        <row r="7">
          <cell r="A7" t="str">
            <v>1002.20.01.01</v>
          </cell>
          <cell r="B7" t="str">
            <v>　　　　　　【广州旭智】中银 人民币基本户 1992</v>
          </cell>
          <cell r="E7">
            <v>10735.81</v>
          </cell>
          <cell r="H7">
            <v>2316.66</v>
          </cell>
        </row>
        <row r="8">
          <cell r="A8" t="str">
            <v>1002.20.01.02</v>
          </cell>
          <cell r="B8" t="str">
            <v>　　　　　　【广州旭智】中银 人民币一般户 7284</v>
          </cell>
          <cell r="E8">
            <v>10086.39</v>
          </cell>
        </row>
        <row r="9">
          <cell r="A9" t="str">
            <v>1002.20.02</v>
          </cell>
          <cell r="B9" t="str">
            <v>　　　　兴业银行账户</v>
          </cell>
          <cell r="E9">
            <v>1312.78</v>
          </cell>
        </row>
        <row r="10">
          <cell r="A10" t="str">
            <v>1002.20.02.01</v>
          </cell>
          <cell r="B10" t="str">
            <v>　　　　　　【广州旭智】兴业 人民币专用存款账户 7362</v>
          </cell>
          <cell r="E10">
            <v>1312.78</v>
          </cell>
        </row>
        <row r="11">
          <cell r="A11" t="str">
            <v>1101</v>
          </cell>
          <cell r="B11" t="str">
            <v>交易性金融资产</v>
          </cell>
          <cell r="E11">
            <v>30000</v>
          </cell>
        </row>
        <row r="12">
          <cell r="A12" t="str">
            <v>1101.01</v>
          </cell>
          <cell r="B12" t="str">
            <v>　　投资成本</v>
          </cell>
          <cell r="E12">
            <v>30000</v>
          </cell>
        </row>
        <row r="13">
          <cell r="A13" t="str">
            <v>1101.01.03</v>
          </cell>
          <cell r="B13" t="str">
            <v>　　　　银行理财</v>
          </cell>
          <cell r="E13">
            <v>30000</v>
          </cell>
        </row>
        <row r="14">
          <cell r="A14" t="str">
            <v>1221</v>
          </cell>
          <cell r="B14" t="str">
            <v>其他应收款</v>
          </cell>
          <cell r="E14">
            <v>1583864.63</v>
          </cell>
        </row>
        <row r="15">
          <cell r="A15" t="str">
            <v>1221.01</v>
          </cell>
          <cell r="B15" t="str">
            <v>　　单位</v>
          </cell>
          <cell r="E15">
            <v>1583864.63</v>
          </cell>
        </row>
        <row r="16">
          <cell r="A16" t="str">
            <v>1221.01</v>
          </cell>
          <cell r="B16" t="str">
            <v>　　单位</v>
          </cell>
          <cell r="C16" t="str">
            <v>CU003002</v>
          </cell>
          <cell r="D16" t="str">
            <v>旭智资本(香港)有限公司</v>
          </cell>
          <cell r="E16">
            <v>35186.120000000003</v>
          </cell>
        </row>
        <row r="17">
          <cell r="A17" t="str">
            <v>1221.01</v>
          </cell>
          <cell r="B17" t="str">
            <v>　　单位</v>
          </cell>
          <cell r="C17" t="str">
            <v>CU003006</v>
          </cell>
          <cell r="D17" t="str">
            <v>旭智咨询管理(深圳)有限责任公司</v>
          </cell>
          <cell r="E17">
            <v>1509439.15</v>
          </cell>
        </row>
        <row r="18">
          <cell r="A18" t="str">
            <v>1221.01</v>
          </cell>
          <cell r="B18" t="str">
            <v>　　单位</v>
          </cell>
          <cell r="C18" t="str">
            <v>CU005005</v>
          </cell>
          <cell r="D18" t="str">
            <v>广东绿城物业服务有限公司</v>
          </cell>
          <cell r="E18">
            <v>4053.24</v>
          </cell>
        </row>
        <row r="19">
          <cell r="A19" t="str">
            <v>1221.01</v>
          </cell>
          <cell r="B19" t="str">
            <v>　　单位</v>
          </cell>
          <cell r="C19" t="str">
            <v>CU005009</v>
          </cell>
          <cell r="D19" t="str">
            <v>旭智资本有限公司</v>
          </cell>
          <cell r="E19">
            <v>35186.120000000003</v>
          </cell>
        </row>
        <row r="20">
          <cell r="A20" t="str">
            <v>1511</v>
          </cell>
          <cell r="B20" t="str">
            <v>长期股权投资</v>
          </cell>
          <cell r="E20">
            <v>39204000</v>
          </cell>
        </row>
        <row r="21">
          <cell r="A21" t="str">
            <v>1511.01</v>
          </cell>
          <cell r="B21" t="str">
            <v>　　投资成本</v>
          </cell>
          <cell r="E21">
            <v>39204000</v>
          </cell>
        </row>
        <row r="22">
          <cell r="A22" t="str">
            <v>1511.01.01</v>
          </cell>
          <cell r="B22" t="str">
            <v>　　　　宜兴旭智投资咨询合伙企业（有限合伙）</v>
          </cell>
          <cell r="E22">
            <v>39204000</v>
          </cell>
        </row>
        <row r="23">
          <cell r="A23" t="str">
            <v>1601</v>
          </cell>
          <cell r="B23" t="str">
            <v>固定资产</v>
          </cell>
          <cell r="E23">
            <v>36880.65</v>
          </cell>
        </row>
        <row r="24">
          <cell r="A24" t="str">
            <v>1601.01</v>
          </cell>
          <cell r="B24" t="str">
            <v>　　电子设备</v>
          </cell>
          <cell r="E24">
            <v>36880.65</v>
          </cell>
        </row>
        <row r="25">
          <cell r="A25" t="str">
            <v>1602</v>
          </cell>
          <cell r="B25" t="str">
            <v>累计折旧</v>
          </cell>
          <cell r="F25">
            <v>35036.61</v>
          </cell>
        </row>
        <row r="26">
          <cell r="A26" t="str">
            <v>1602.01</v>
          </cell>
          <cell r="B26" t="str">
            <v>　　电子设备</v>
          </cell>
          <cell r="F26">
            <v>35036.61</v>
          </cell>
        </row>
        <row r="27">
          <cell r="A27" t="str">
            <v>1641</v>
          </cell>
          <cell r="B27" t="str">
            <v>使用权资产</v>
          </cell>
          <cell r="E27">
            <v>5000</v>
          </cell>
        </row>
        <row r="28">
          <cell r="A28" t="str">
            <v>1641.03</v>
          </cell>
          <cell r="B28" t="str">
            <v>　　注册地址</v>
          </cell>
          <cell r="E28">
            <v>5000</v>
          </cell>
        </row>
        <row r="29">
          <cell r="A29" t="str">
            <v>1641.03.02</v>
          </cell>
          <cell r="B29" t="str">
            <v>　　　　广州旭智--802房F028</v>
          </cell>
          <cell r="E29">
            <v>5000</v>
          </cell>
        </row>
        <row r="30">
          <cell r="A30" t="str">
            <v>1642</v>
          </cell>
          <cell r="B30" t="str">
            <v>使用权资产累计折旧</v>
          </cell>
          <cell r="F30">
            <v>833.34</v>
          </cell>
          <cell r="H30">
            <v>416.67</v>
          </cell>
        </row>
        <row r="31">
          <cell r="A31" t="str">
            <v>1642.03</v>
          </cell>
          <cell r="B31" t="str">
            <v>　　注册地址</v>
          </cell>
          <cell r="F31">
            <v>833.34</v>
          </cell>
          <cell r="H31">
            <v>416.67</v>
          </cell>
        </row>
        <row r="32">
          <cell r="A32" t="str">
            <v>1642.03.02</v>
          </cell>
          <cell r="B32" t="str">
            <v>　　　　广州旭智--802房F028</v>
          </cell>
          <cell r="F32">
            <v>833.34</v>
          </cell>
          <cell r="H32">
            <v>416.67</v>
          </cell>
        </row>
        <row r="33">
          <cell r="A33" t="str">
            <v>2221</v>
          </cell>
          <cell r="B33" t="str">
            <v>应交税费</v>
          </cell>
          <cell r="F33">
            <v>-22271.22</v>
          </cell>
          <cell r="G33">
            <v>35.64</v>
          </cell>
          <cell r="H33">
            <v>17.82</v>
          </cell>
        </row>
        <row r="34">
          <cell r="A34" t="str">
            <v>2221.01</v>
          </cell>
          <cell r="B34" t="str">
            <v>　　应交增值税</v>
          </cell>
          <cell r="F34">
            <v>-18836.740000000002</v>
          </cell>
          <cell r="G34">
            <v>17.82</v>
          </cell>
        </row>
        <row r="35">
          <cell r="A35" t="str">
            <v>2221.01.01</v>
          </cell>
          <cell r="B35" t="str">
            <v>　　　　销项税额</v>
          </cell>
          <cell r="F35">
            <v>207.26</v>
          </cell>
        </row>
        <row r="36">
          <cell r="A36" t="str">
            <v>2221.01.03</v>
          </cell>
          <cell r="B36" t="str">
            <v>　　　　进项税额</v>
          </cell>
          <cell r="F36">
            <v>-19044</v>
          </cell>
          <cell r="G36">
            <v>17.82</v>
          </cell>
        </row>
        <row r="37">
          <cell r="A37" t="str">
            <v>2221.01.06</v>
          </cell>
          <cell r="B37" t="str">
            <v>　　　　转出未交增值税</v>
          </cell>
        </row>
        <row r="38">
          <cell r="A38" t="str">
            <v>2221.06</v>
          </cell>
          <cell r="B38" t="str">
            <v>　　待认证进项税额</v>
          </cell>
          <cell r="G38">
            <v>17.82</v>
          </cell>
          <cell r="H38">
            <v>17.82</v>
          </cell>
        </row>
        <row r="39">
          <cell r="A39" t="str">
            <v>2221.07</v>
          </cell>
          <cell r="B39" t="str">
            <v>　　待抵扣进项税额</v>
          </cell>
        </row>
        <row r="40">
          <cell r="A40" t="str">
            <v>2221.15</v>
          </cell>
          <cell r="B40" t="str">
            <v>　　应交企业所得税</v>
          </cell>
        </row>
        <row r="41">
          <cell r="A41" t="str">
            <v>2221.16</v>
          </cell>
          <cell r="B41" t="str">
            <v>　　应交个人所得税</v>
          </cell>
          <cell r="F41">
            <v>-3434.48</v>
          </cell>
        </row>
        <row r="42">
          <cell r="A42" t="str">
            <v>2221.17</v>
          </cell>
          <cell r="B42" t="str">
            <v>　　应交印花税</v>
          </cell>
        </row>
        <row r="43">
          <cell r="A43" t="str">
            <v>2241</v>
          </cell>
          <cell r="B43" t="str">
            <v>其他应付款</v>
          </cell>
          <cell r="F43">
            <v>49560073.659999996</v>
          </cell>
          <cell r="G43">
            <v>2311.86</v>
          </cell>
          <cell r="H43">
            <v>-58485.83</v>
          </cell>
        </row>
        <row r="44">
          <cell r="A44" t="str">
            <v>2241.01</v>
          </cell>
          <cell r="B44" t="str">
            <v>　　单位</v>
          </cell>
          <cell r="F44">
            <v>49560073.659999996</v>
          </cell>
          <cell r="G44">
            <v>1800</v>
          </cell>
          <cell r="H44">
            <v>-58997.69</v>
          </cell>
        </row>
        <row r="45">
          <cell r="A45" t="str">
            <v>2241.01</v>
          </cell>
          <cell r="B45" t="str">
            <v>　　单位</v>
          </cell>
          <cell r="C45" t="str">
            <v>SU005007</v>
          </cell>
          <cell r="D45" t="str">
            <v>普华永道中天会计师事务所（特殊普通合伙）</v>
          </cell>
          <cell r="F45">
            <v>20000</v>
          </cell>
        </row>
        <row r="46">
          <cell r="A46" t="str">
            <v>2241.01</v>
          </cell>
          <cell r="B46" t="str">
            <v>　　单位</v>
          </cell>
          <cell r="C46" t="str">
            <v>SU005033</v>
          </cell>
          <cell r="D46" t="str">
            <v>卓佳咨询(北京)有限公司深圳分公司</v>
          </cell>
          <cell r="F46">
            <v>16017</v>
          </cell>
        </row>
        <row r="47">
          <cell r="A47" t="str">
            <v>2241.01</v>
          </cell>
          <cell r="B47" t="str">
            <v>　　单位</v>
          </cell>
          <cell r="C47" t="str">
            <v>SU005043</v>
          </cell>
          <cell r="D47" t="str">
            <v>旭智资本有限公司</v>
          </cell>
          <cell r="F47">
            <v>668035.72</v>
          </cell>
          <cell r="H47">
            <v>1990.48</v>
          </cell>
        </row>
        <row r="48">
          <cell r="A48" t="str">
            <v>2241.01</v>
          </cell>
          <cell r="B48" t="str">
            <v>　　单位</v>
          </cell>
          <cell r="C48" t="str">
            <v>SU005045</v>
          </cell>
          <cell r="D48" t="str">
            <v>旭智资本(香港)有限公司</v>
          </cell>
          <cell r="F48">
            <v>48856020.939999998</v>
          </cell>
          <cell r="H48">
            <v>-62788.17</v>
          </cell>
        </row>
        <row r="49">
          <cell r="A49" t="str">
            <v>2241.01</v>
          </cell>
          <cell r="B49" t="str">
            <v>　　单位</v>
          </cell>
          <cell r="C49" t="str">
            <v>SU007005</v>
          </cell>
          <cell r="D49" t="str">
            <v>深圳前海百丰外企咨询服务有限公司</v>
          </cell>
          <cell r="G49">
            <v>1800</v>
          </cell>
          <cell r="H49">
            <v>1800</v>
          </cell>
        </row>
        <row r="50">
          <cell r="A50" t="str">
            <v>2241.02</v>
          </cell>
          <cell r="B50" t="str">
            <v>　　个人</v>
          </cell>
          <cell r="G50">
            <v>511.86</v>
          </cell>
          <cell r="H50">
            <v>511.86</v>
          </cell>
        </row>
        <row r="51">
          <cell r="A51" t="str">
            <v>2241.02</v>
          </cell>
          <cell r="B51" t="str">
            <v>　　个人</v>
          </cell>
          <cell r="C51" t="str">
            <v>SP005011</v>
          </cell>
          <cell r="D51" t="str">
            <v>郭宗林</v>
          </cell>
        </row>
        <row r="52">
          <cell r="A52" t="str">
            <v>2241.02</v>
          </cell>
          <cell r="B52" t="str">
            <v>　　个人</v>
          </cell>
          <cell r="C52" t="str">
            <v>SP005012</v>
          </cell>
          <cell r="D52" t="str">
            <v>吴雅薇</v>
          </cell>
        </row>
        <row r="53">
          <cell r="A53" t="str">
            <v>2241.02</v>
          </cell>
          <cell r="B53" t="str">
            <v>　　个人</v>
          </cell>
          <cell r="C53" t="str">
            <v>SP006010</v>
          </cell>
          <cell r="D53" t="str">
            <v>陈广华</v>
          </cell>
          <cell r="G53">
            <v>511.86</v>
          </cell>
          <cell r="H53">
            <v>511.86</v>
          </cell>
        </row>
        <row r="54">
          <cell r="A54" t="str">
            <v>2601</v>
          </cell>
          <cell r="B54" t="str">
            <v>租赁负债</v>
          </cell>
        </row>
        <row r="55">
          <cell r="A55" t="str">
            <v>2601.01</v>
          </cell>
          <cell r="B55" t="str">
            <v>　　租赁付款额</v>
          </cell>
        </row>
        <row r="56">
          <cell r="A56" t="str">
            <v>2601.01.03</v>
          </cell>
          <cell r="B56" t="str">
            <v>　　　　注册地址</v>
          </cell>
        </row>
        <row r="57">
          <cell r="A57" t="str">
            <v>2601.01.03.02</v>
          </cell>
          <cell r="B57" t="str">
            <v>　　　　　　广州旭智--802房F028</v>
          </cell>
        </row>
        <row r="58">
          <cell r="A58" t="str">
            <v>4001</v>
          </cell>
          <cell r="B58" t="str">
            <v>实收资本（股本）</v>
          </cell>
          <cell r="F58">
            <v>1377820</v>
          </cell>
        </row>
        <row r="59">
          <cell r="A59" t="str">
            <v>4001.11</v>
          </cell>
          <cell r="B59" t="str">
            <v>　　旭智资本（香港）有限公司</v>
          </cell>
          <cell r="F59">
            <v>1377820</v>
          </cell>
        </row>
        <row r="60">
          <cell r="A60" t="str">
            <v>4103</v>
          </cell>
          <cell r="B60" t="str">
            <v>本年利润</v>
          </cell>
          <cell r="F60">
            <v>166196.47</v>
          </cell>
          <cell r="G60">
            <v>-58082.18</v>
          </cell>
        </row>
        <row r="61">
          <cell r="A61" t="str">
            <v>4104</v>
          </cell>
          <cell r="B61" t="str">
            <v>利润分配</v>
          </cell>
          <cell r="F61">
            <v>-10235808.6</v>
          </cell>
        </row>
        <row r="62">
          <cell r="A62" t="str">
            <v>4104.07</v>
          </cell>
          <cell r="B62" t="str">
            <v>　　未分配利润</v>
          </cell>
          <cell r="F62">
            <v>-10235808.6</v>
          </cell>
        </row>
        <row r="63">
          <cell r="A63" t="str">
            <v>6115</v>
          </cell>
          <cell r="B63" t="str">
            <v>其他收益</v>
          </cell>
        </row>
        <row r="64">
          <cell r="A64" t="str">
            <v>6115.02</v>
          </cell>
          <cell r="B64" t="str">
            <v>　　个税手续费返还</v>
          </cell>
        </row>
        <row r="65">
          <cell r="A65" t="str">
            <v>6301</v>
          </cell>
          <cell r="B65" t="str">
            <v>营业外收入</v>
          </cell>
        </row>
        <row r="66">
          <cell r="A66" t="str">
            <v>6301.99</v>
          </cell>
          <cell r="B66" t="str">
            <v>　　其他</v>
          </cell>
        </row>
        <row r="67">
          <cell r="A67" t="str">
            <v>6405</v>
          </cell>
          <cell r="B67" t="str">
            <v>税金及附加</v>
          </cell>
        </row>
        <row r="68">
          <cell r="A68" t="str">
            <v>6405.01</v>
          </cell>
          <cell r="B68" t="str">
            <v>　　印花税</v>
          </cell>
        </row>
        <row r="69">
          <cell r="A69" t="str">
            <v>6602</v>
          </cell>
          <cell r="B69" t="str">
            <v>管理费用</v>
          </cell>
          <cell r="G69">
            <v>2710.71</v>
          </cell>
          <cell r="H69">
            <v>2710.71</v>
          </cell>
        </row>
        <row r="70">
          <cell r="A70" t="str">
            <v>6602.04</v>
          </cell>
          <cell r="B70" t="str">
            <v>　　咨询及专业服务费</v>
          </cell>
        </row>
        <row r="71">
          <cell r="A71" t="str">
            <v>6602.04.01</v>
          </cell>
          <cell r="B71" t="str">
            <v>　　　　会计服务费</v>
          </cell>
        </row>
        <row r="72">
          <cell r="A72" t="str">
            <v>6602.04.02</v>
          </cell>
          <cell r="B72" t="str">
            <v>　　　　审计服务费</v>
          </cell>
        </row>
        <row r="73">
          <cell r="A73" t="str">
            <v>6602.05</v>
          </cell>
          <cell r="B73" t="str">
            <v>　　占用费</v>
          </cell>
        </row>
        <row r="74">
          <cell r="A74" t="str">
            <v>6602.05.07</v>
          </cell>
          <cell r="B74" t="str">
            <v>　　　　租金及物业费</v>
          </cell>
        </row>
        <row r="75">
          <cell r="A75" t="str">
            <v>6602.08</v>
          </cell>
          <cell r="B75" t="str">
            <v>　　事务费用</v>
          </cell>
        </row>
        <row r="76">
          <cell r="A76" t="str">
            <v>6602.08.05</v>
          </cell>
          <cell r="B76" t="str">
            <v>　　　　邮费/邮递费</v>
          </cell>
        </row>
        <row r="77">
          <cell r="A77" t="str">
            <v>6602.08.05</v>
          </cell>
          <cell r="B77" t="str">
            <v>　　　　邮费/邮递费</v>
          </cell>
          <cell r="C77" t="str">
            <v>【未录入】</v>
          </cell>
          <cell r="D77" t="str">
            <v>【未录入】</v>
          </cell>
        </row>
        <row r="78">
          <cell r="A78" t="str">
            <v>6602.08.05</v>
          </cell>
          <cell r="B78" t="str">
            <v>　　　　邮费/邮递费</v>
          </cell>
          <cell r="C78" t="str">
            <v>CI004</v>
          </cell>
          <cell r="D78" t="str">
            <v>广州旭智</v>
          </cell>
        </row>
        <row r="79">
          <cell r="A79" t="str">
            <v>6602.09</v>
          </cell>
          <cell r="B79" t="str">
            <v>　　差旅费</v>
          </cell>
          <cell r="G79">
            <v>511.86</v>
          </cell>
          <cell r="H79">
            <v>511.86</v>
          </cell>
        </row>
        <row r="80">
          <cell r="A80" t="str">
            <v>6602.09.02</v>
          </cell>
          <cell r="B80" t="str">
            <v>　　　　伙食费</v>
          </cell>
          <cell r="G80">
            <v>112.32</v>
          </cell>
          <cell r="H80">
            <v>112.32</v>
          </cell>
        </row>
        <row r="81">
          <cell r="A81" t="str">
            <v>6602.09.02</v>
          </cell>
          <cell r="B81" t="str">
            <v>　　　　伙食费</v>
          </cell>
          <cell r="C81" t="str">
            <v>CI004</v>
          </cell>
          <cell r="D81" t="str">
            <v>广州旭智</v>
          </cell>
          <cell r="G81">
            <v>112.32</v>
          </cell>
          <cell r="H81">
            <v>112.32</v>
          </cell>
        </row>
        <row r="82">
          <cell r="A82" t="str">
            <v>6602.09.03</v>
          </cell>
          <cell r="B82" t="str">
            <v>　　　　地面交通费</v>
          </cell>
          <cell r="G82">
            <v>399.54</v>
          </cell>
          <cell r="H82">
            <v>399.54</v>
          </cell>
        </row>
        <row r="83">
          <cell r="A83" t="str">
            <v>6602.09.03</v>
          </cell>
          <cell r="B83" t="str">
            <v>　　　　地面交通费</v>
          </cell>
          <cell r="C83" t="str">
            <v>CI004</v>
          </cell>
          <cell r="D83" t="str">
            <v>广州旭智</v>
          </cell>
          <cell r="G83">
            <v>399.54</v>
          </cell>
          <cell r="H83">
            <v>399.54</v>
          </cell>
        </row>
        <row r="84">
          <cell r="A84" t="str">
            <v>6602.12</v>
          </cell>
          <cell r="B84" t="str">
            <v>　　使用权资产折旧</v>
          </cell>
          <cell r="G84">
            <v>416.67</v>
          </cell>
          <cell r="H84">
            <v>416.67</v>
          </cell>
        </row>
        <row r="85">
          <cell r="A85" t="str">
            <v>6602.12.03</v>
          </cell>
          <cell r="B85" t="str">
            <v>　　　　注册地址</v>
          </cell>
          <cell r="G85">
            <v>416.67</v>
          </cell>
          <cell r="H85">
            <v>416.67</v>
          </cell>
        </row>
        <row r="86">
          <cell r="A86" t="str">
            <v>6602.12.03.02</v>
          </cell>
          <cell r="B86" t="str">
            <v>　　　　　　广州旭智--802房F028</v>
          </cell>
          <cell r="G86">
            <v>416.67</v>
          </cell>
          <cell r="H86">
            <v>416.67</v>
          </cell>
        </row>
        <row r="87">
          <cell r="A87" t="str">
            <v>6602.12.03.03</v>
          </cell>
          <cell r="B87" t="str">
            <v>　　　　　　广州旭智--311房A138</v>
          </cell>
        </row>
        <row r="88">
          <cell r="A88" t="str">
            <v>6602.15</v>
          </cell>
          <cell r="B88" t="str">
            <v>　　服务费</v>
          </cell>
          <cell r="G88">
            <v>1782.18</v>
          </cell>
          <cell r="H88">
            <v>1782.18</v>
          </cell>
        </row>
        <row r="89">
          <cell r="A89" t="str">
            <v>6603</v>
          </cell>
          <cell r="B89" t="str">
            <v>财务费用</v>
          </cell>
          <cell r="G89">
            <v>-60792.89</v>
          </cell>
          <cell r="H89">
            <v>-60792.89</v>
          </cell>
        </row>
        <row r="90">
          <cell r="A90" t="str">
            <v>6603.01</v>
          </cell>
          <cell r="B90" t="str">
            <v>　　汇兑损益</v>
          </cell>
          <cell r="G90">
            <v>-60797.69</v>
          </cell>
          <cell r="H90">
            <v>-60797.69</v>
          </cell>
        </row>
        <row r="91">
          <cell r="A91" t="str">
            <v>6603.03</v>
          </cell>
          <cell r="B91" t="str">
            <v>　　银行手续费</v>
          </cell>
          <cell r="G91">
            <v>4.8</v>
          </cell>
          <cell r="H91">
            <v>4.8</v>
          </cell>
        </row>
        <row r="92">
          <cell r="A92" t="str">
            <v>6603.04</v>
          </cell>
          <cell r="B92" t="str">
            <v>　　利息收入</v>
          </cell>
        </row>
        <row r="93">
          <cell r="B93" t="str">
            <v>合计</v>
          </cell>
          <cell r="E93">
            <v>40881880.259999998</v>
          </cell>
          <cell r="F93">
            <v>40881880.259999998</v>
          </cell>
          <cell r="G93">
            <v>-113816.86</v>
          </cell>
          <cell r="H93">
            <v>-113816.86</v>
          </cell>
        </row>
      </sheetData>
      <sheetData sheetId="7">
        <row r="1">
          <cell r="A1" t="str">
            <v>币别:人民币</v>
          </cell>
          <cell r="B1" t="str">
            <v>账簿:广州旭智投资控股有限责任公司</v>
          </cell>
          <cell r="C1" t="str">
            <v>期间:2025.8 -- 2025.8</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19818.32</v>
          </cell>
          <cell r="G4">
            <v>3248846.39</v>
          </cell>
          <cell r="H4">
            <v>3266801.11</v>
          </cell>
        </row>
        <row r="5">
          <cell r="A5" t="str">
            <v>1002.20</v>
          </cell>
          <cell r="B5" t="str">
            <v>　　【广州旭智】银行存款账户</v>
          </cell>
          <cell r="E5">
            <v>19818.32</v>
          </cell>
          <cell r="G5">
            <v>3248846.39</v>
          </cell>
          <cell r="H5">
            <v>3266801.11</v>
          </cell>
        </row>
        <row r="6">
          <cell r="A6" t="str">
            <v>1002.20.01</v>
          </cell>
          <cell r="B6" t="str">
            <v>　　　　中国银行账户</v>
          </cell>
          <cell r="E6">
            <v>18505.54</v>
          </cell>
          <cell r="G6">
            <v>3248846.39</v>
          </cell>
          <cell r="H6">
            <v>3266801.11</v>
          </cell>
        </row>
        <row r="7">
          <cell r="A7" t="str">
            <v>1002.20.01.01</v>
          </cell>
          <cell r="B7" t="str">
            <v>　　　　　　【广州旭智】中银 人民币基本户 1992</v>
          </cell>
          <cell r="E7">
            <v>8419.15</v>
          </cell>
          <cell r="G7">
            <v>8846.39</v>
          </cell>
          <cell r="H7">
            <v>16714.72</v>
          </cell>
        </row>
        <row r="8">
          <cell r="A8" t="str">
            <v>1002.20.01.02</v>
          </cell>
          <cell r="B8" t="str">
            <v>　　　　　　【广州旭智】中银 人民币一般户 7284</v>
          </cell>
          <cell r="E8">
            <v>10086.39</v>
          </cell>
          <cell r="G8">
            <v>3240000</v>
          </cell>
          <cell r="H8">
            <v>3250086.39</v>
          </cell>
        </row>
        <row r="9">
          <cell r="A9" t="str">
            <v>1002.20.02</v>
          </cell>
          <cell r="B9" t="str">
            <v>　　　　兴业银行账户</v>
          </cell>
          <cell r="E9">
            <v>1312.78</v>
          </cell>
        </row>
        <row r="10">
          <cell r="A10" t="str">
            <v>1002.20.02.01</v>
          </cell>
          <cell r="B10" t="str">
            <v>　　　　　　【广州旭智】兴业 人民币专用存款账户 7362</v>
          </cell>
          <cell r="E10">
            <v>1312.78</v>
          </cell>
        </row>
        <row r="11">
          <cell r="A11" t="str">
            <v>1101</v>
          </cell>
          <cell r="B11" t="str">
            <v>交易性金融资产</v>
          </cell>
          <cell r="E11">
            <v>30000</v>
          </cell>
        </row>
        <row r="12">
          <cell r="A12" t="str">
            <v>1101.01</v>
          </cell>
          <cell r="B12" t="str">
            <v>　　投资成本</v>
          </cell>
          <cell r="E12">
            <v>30000</v>
          </cell>
        </row>
        <row r="13">
          <cell r="A13" t="str">
            <v>1101.01.03</v>
          </cell>
          <cell r="B13" t="str">
            <v>　　　　银行理财</v>
          </cell>
          <cell r="E13">
            <v>30000</v>
          </cell>
        </row>
        <row r="14">
          <cell r="A14" t="str">
            <v>1221</v>
          </cell>
          <cell r="B14" t="str">
            <v>其他应收款</v>
          </cell>
          <cell r="E14">
            <v>1583864.63</v>
          </cell>
        </row>
        <row r="15">
          <cell r="A15" t="str">
            <v>1221.01</v>
          </cell>
          <cell r="B15" t="str">
            <v>　　单位</v>
          </cell>
          <cell r="E15">
            <v>1583864.63</v>
          </cell>
        </row>
        <row r="16">
          <cell r="A16" t="str">
            <v>1221.01</v>
          </cell>
          <cell r="B16" t="str">
            <v>　　单位</v>
          </cell>
          <cell r="C16" t="str">
            <v>CU003002</v>
          </cell>
          <cell r="D16" t="str">
            <v>旭智资本(香港)有限公司</v>
          </cell>
          <cell r="E16">
            <v>35186.120000000003</v>
          </cell>
        </row>
        <row r="17">
          <cell r="A17" t="str">
            <v>1221.01</v>
          </cell>
          <cell r="B17" t="str">
            <v>　　单位</v>
          </cell>
          <cell r="C17" t="str">
            <v>CU003006</v>
          </cell>
          <cell r="D17" t="str">
            <v>旭智咨询管理(深圳)有限责任公司</v>
          </cell>
          <cell r="E17">
            <v>1509439.15</v>
          </cell>
        </row>
        <row r="18">
          <cell r="A18" t="str">
            <v>1221.01</v>
          </cell>
          <cell r="B18" t="str">
            <v>　　单位</v>
          </cell>
          <cell r="C18" t="str">
            <v>CU005005</v>
          </cell>
          <cell r="D18" t="str">
            <v>广东绿城物业服务有限公司</v>
          </cell>
          <cell r="E18">
            <v>4053.24</v>
          </cell>
        </row>
        <row r="19">
          <cell r="A19" t="str">
            <v>1221.01</v>
          </cell>
          <cell r="B19" t="str">
            <v>　　单位</v>
          </cell>
          <cell r="C19" t="str">
            <v>CU005009</v>
          </cell>
          <cell r="D19" t="str">
            <v>旭智资本有限公司</v>
          </cell>
          <cell r="E19">
            <v>35186.120000000003</v>
          </cell>
        </row>
        <row r="20">
          <cell r="A20" t="str">
            <v>1511</v>
          </cell>
          <cell r="B20" t="str">
            <v>长期股权投资</v>
          </cell>
          <cell r="E20">
            <v>39204000</v>
          </cell>
          <cell r="H20">
            <v>3240000</v>
          </cell>
        </row>
        <row r="21">
          <cell r="A21" t="str">
            <v>1511.01</v>
          </cell>
          <cell r="B21" t="str">
            <v>　　投资成本</v>
          </cell>
          <cell r="E21">
            <v>39204000</v>
          </cell>
          <cell r="H21">
            <v>3240000</v>
          </cell>
        </row>
        <row r="22">
          <cell r="A22" t="str">
            <v>1511.01.01</v>
          </cell>
          <cell r="B22" t="str">
            <v>　　　　宜兴旭智投资咨询合伙企业（有限合伙）</v>
          </cell>
          <cell r="E22">
            <v>39204000</v>
          </cell>
          <cell r="H22">
            <v>3240000</v>
          </cell>
        </row>
        <row r="23">
          <cell r="A23" t="str">
            <v>1601</v>
          </cell>
          <cell r="B23" t="str">
            <v>固定资产</v>
          </cell>
          <cell r="E23">
            <v>36880.65</v>
          </cell>
        </row>
        <row r="24">
          <cell r="A24" t="str">
            <v>1601.01</v>
          </cell>
          <cell r="B24" t="str">
            <v>　　电子设备</v>
          </cell>
          <cell r="E24">
            <v>36880.65</v>
          </cell>
        </row>
        <row r="25">
          <cell r="A25" t="str">
            <v>1602</v>
          </cell>
          <cell r="B25" t="str">
            <v>累计折旧</v>
          </cell>
          <cell r="F25">
            <v>35036.61</v>
          </cell>
        </row>
        <row r="26">
          <cell r="A26" t="str">
            <v>1602.01</v>
          </cell>
          <cell r="B26" t="str">
            <v>　　电子设备</v>
          </cell>
          <cell r="F26">
            <v>35036.61</v>
          </cell>
        </row>
        <row r="27">
          <cell r="A27" t="str">
            <v>1641</v>
          </cell>
          <cell r="B27" t="str">
            <v>使用权资产</v>
          </cell>
          <cell r="E27">
            <v>5000</v>
          </cell>
        </row>
        <row r="28">
          <cell r="A28" t="str">
            <v>1641.03</v>
          </cell>
          <cell r="B28" t="str">
            <v>　　注册地址</v>
          </cell>
          <cell r="E28">
            <v>5000</v>
          </cell>
        </row>
        <row r="29">
          <cell r="A29" t="str">
            <v>1641.03.02</v>
          </cell>
          <cell r="B29" t="str">
            <v>　　　　广州旭智--802房F028</v>
          </cell>
          <cell r="E29">
            <v>5000</v>
          </cell>
        </row>
        <row r="30">
          <cell r="A30" t="str">
            <v>1642</v>
          </cell>
          <cell r="B30" t="str">
            <v>使用权资产累计折旧</v>
          </cell>
          <cell r="F30">
            <v>1250.01</v>
          </cell>
          <cell r="H30">
            <v>416.67</v>
          </cell>
        </row>
        <row r="31">
          <cell r="A31" t="str">
            <v>1642.03</v>
          </cell>
          <cell r="B31" t="str">
            <v>　　注册地址</v>
          </cell>
          <cell r="F31">
            <v>1250.01</v>
          </cell>
          <cell r="H31">
            <v>416.67</v>
          </cell>
        </row>
        <row r="32">
          <cell r="A32" t="str">
            <v>1642.03.02</v>
          </cell>
          <cell r="B32" t="str">
            <v>　　　　广州旭智--802房F028</v>
          </cell>
          <cell r="F32">
            <v>1250.01</v>
          </cell>
          <cell r="H32">
            <v>416.67</v>
          </cell>
        </row>
        <row r="33">
          <cell r="A33" t="str">
            <v>2221</v>
          </cell>
          <cell r="B33" t="str">
            <v>应交税费</v>
          </cell>
          <cell r="F33">
            <v>-22289.040000000001</v>
          </cell>
          <cell r="G33">
            <v>939.74</v>
          </cell>
        </row>
        <row r="34">
          <cell r="A34" t="str">
            <v>2221.01</v>
          </cell>
          <cell r="B34" t="str">
            <v>　　应交增值税</v>
          </cell>
          <cell r="F34">
            <v>-18854.560000000001</v>
          </cell>
          <cell r="G34">
            <v>939.74</v>
          </cell>
        </row>
        <row r="35">
          <cell r="A35" t="str">
            <v>2221.01.01</v>
          </cell>
          <cell r="B35" t="str">
            <v>　　　　销项税额</v>
          </cell>
          <cell r="F35">
            <v>207.26</v>
          </cell>
        </row>
        <row r="36">
          <cell r="A36" t="str">
            <v>2221.01.03</v>
          </cell>
          <cell r="B36" t="str">
            <v>　　　　进项税额</v>
          </cell>
          <cell r="F36">
            <v>-19061.82</v>
          </cell>
          <cell r="G36">
            <v>939.74</v>
          </cell>
        </row>
        <row r="37">
          <cell r="A37" t="str">
            <v>2221.01.06</v>
          </cell>
          <cell r="B37" t="str">
            <v>　　　　转出未交增值税</v>
          </cell>
        </row>
        <row r="38">
          <cell r="A38" t="str">
            <v>2221.06</v>
          </cell>
          <cell r="B38" t="str">
            <v>　　待认证进项税额</v>
          </cell>
        </row>
        <row r="39">
          <cell r="A39" t="str">
            <v>2221.07</v>
          </cell>
          <cell r="B39" t="str">
            <v>　　待抵扣进项税额</v>
          </cell>
        </row>
        <row r="40">
          <cell r="A40" t="str">
            <v>2221.15</v>
          </cell>
          <cell r="B40" t="str">
            <v>　　应交企业所得税</v>
          </cell>
        </row>
        <row r="41">
          <cell r="A41" t="str">
            <v>2221.16</v>
          </cell>
          <cell r="B41" t="str">
            <v>　　应交个人所得税</v>
          </cell>
          <cell r="F41">
            <v>-3434.48</v>
          </cell>
        </row>
        <row r="42">
          <cell r="A42" t="str">
            <v>2221.17</v>
          </cell>
          <cell r="B42" t="str">
            <v>　　应交印花税</v>
          </cell>
        </row>
        <row r="43">
          <cell r="A43" t="str">
            <v>2241</v>
          </cell>
          <cell r="B43" t="str">
            <v>其他应付款</v>
          </cell>
          <cell r="F43">
            <v>49499275.969999999</v>
          </cell>
          <cell r="G43">
            <v>3408800.53</v>
          </cell>
          <cell r="H43">
            <v>688.42</v>
          </cell>
        </row>
        <row r="44">
          <cell r="A44" t="str">
            <v>2241.01</v>
          </cell>
          <cell r="B44" t="str">
            <v>　　单位</v>
          </cell>
          <cell r="F44">
            <v>49499275.969999999</v>
          </cell>
          <cell r="G44">
            <v>3408201.11</v>
          </cell>
          <cell r="H44">
            <v>89</v>
          </cell>
        </row>
        <row r="45">
          <cell r="A45" t="str">
            <v>2241.01</v>
          </cell>
          <cell r="B45" t="str">
            <v>　　单位</v>
          </cell>
          <cell r="C45" t="str">
            <v>SU005007</v>
          </cell>
          <cell r="D45" t="str">
            <v>普华永道中天会计师事务所（特殊普通合伙）</v>
          </cell>
          <cell r="F45">
            <v>20000</v>
          </cell>
        </row>
        <row r="46">
          <cell r="A46" t="str">
            <v>2241.01</v>
          </cell>
          <cell r="B46" t="str">
            <v>　　单位</v>
          </cell>
          <cell r="C46" t="str">
            <v>SU005033</v>
          </cell>
          <cell r="D46" t="str">
            <v>卓佳咨询(北京)有限公司深圳分公司</v>
          </cell>
          <cell r="F46">
            <v>16017</v>
          </cell>
          <cell r="G46">
            <v>16106</v>
          </cell>
          <cell r="H46">
            <v>89</v>
          </cell>
        </row>
        <row r="47">
          <cell r="A47" t="str">
            <v>2241.01</v>
          </cell>
          <cell r="B47" t="str">
            <v>　　单位</v>
          </cell>
          <cell r="C47" t="str">
            <v>SU005043</v>
          </cell>
          <cell r="D47" t="str">
            <v>旭智资本有限公司</v>
          </cell>
          <cell r="F47">
            <v>670026.19999999995</v>
          </cell>
          <cell r="G47">
            <v>5911.89</v>
          </cell>
        </row>
        <row r="48">
          <cell r="A48" t="str">
            <v>2241.01</v>
          </cell>
          <cell r="B48" t="str">
            <v>　　单位</v>
          </cell>
          <cell r="C48" t="str">
            <v>SU005045</v>
          </cell>
          <cell r="D48" t="str">
            <v>旭智资本(香港)有限公司</v>
          </cell>
          <cell r="F48">
            <v>48793232.770000003</v>
          </cell>
          <cell r="G48">
            <v>3386183.22</v>
          </cell>
        </row>
        <row r="49">
          <cell r="A49" t="str">
            <v>2241.01</v>
          </cell>
          <cell r="B49" t="str">
            <v>　　单位</v>
          </cell>
          <cell r="C49" t="str">
            <v>SU007005</v>
          </cell>
          <cell r="D49" t="str">
            <v>深圳前海百丰外企咨询服务有限公司</v>
          </cell>
        </row>
        <row r="50">
          <cell r="A50" t="str">
            <v>2241.02</v>
          </cell>
          <cell r="B50" t="str">
            <v>　　个人</v>
          </cell>
          <cell r="G50">
            <v>599.41999999999996</v>
          </cell>
          <cell r="H50">
            <v>599.41999999999996</v>
          </cell>
        </row>
        <row r="51">
          <cell r="A51" t="str">
            <v>2241.02</v>
          </cell>
          <cell r="B51" t="str">
            <v>　　个人</v>
          </cell>
          <cell r="C51" t="str">
            <v>SP005011</v>
          </cell>
          <cell r="D51" t="str">
            <v>郭宗林</v>
          </cell>
        </row>
        <row r="52">
          <cell r="A52" t="str">
            <v>2241.02</v>
          </cell>
          <cell r="B52" t="str">
            <v>　　个人</v>
          </cell>
          <cell r="C52" t="str">
            <v>SP005012</v>
          </cell>
          <cell r="D52" t="str">
            <v>吴雅薇</v>
          </cell>
        </row>
        <row r="53">
          <cell r="A53" t="str">
            <v>2241.02</v>
          </cell>
          <cell r="B53" t="str">
            <v>　　个人</v>
          </cell>
          <cell r="C53" t="str">
            <v>SP006010</v>
          </cell>
          <cell r="D53" t="str">
            <v>陈广华</v>
          </cell>
          <cell r="G53">
            <v>599.41999999999996</v>
          </cell>
          <cell r="H53">
            <v>599.41999999999996</v>
          </cell>
        </row>
        <row r="54">
          <cell r="A54" t="str">
            <v>2601</v>
          </cell>
          <cell r="B54" t="str">
            <v>租赁负债</v>
          </cell>
        </row>
        <row r="55">
          <cell r="A55" t="str">
            <v>2601.01</v>
          </cell>
          <cell r="B55" t="str">
            <v>　　租赁付款额</v>
          </cell>
        </row>
        <row r="56">
          <cell r="A56" t="str">
            <v>2601.01.03</v>
          </cell>
          <cell r="B56" t="str">
            <v>　　　　注册地址</v>
          </cell>
        </row>
        <row r="57">
          <cell r="A57" t="str">
            <v>2601.01.03.02</v>
          </cell>
          <cell r="B57" t="str">
            <v>　　　　　　广州旭智--802房F028</v>
          </cell>
        </row>
        <row r="58">
          <cell r="A58" t="str">
            <v>4001</v>
          </cell>
          <cell r="B58" t="str">
            <v>实收资本（股本）</v>
          </cell>
          <cell r="F58">
            <v>1377820</v>
          </cell>
        </row>
        <row r="59">
          <cell r="A59" t="str">
            <v>4001.11</v>
          </cell>
          <cell r="B59" t="str">
            <v>　　旭智资本（香港）有限公司</v>
          </cell>
          <cell r="F59">
            <v>1377820</v>
          </cell>
        </row>
        <row r="60">
          <cell r="A60" t="str">
            <v>4103</v>
          </cell>
          <cell r="B60" t="str">
            <v>本年利润</v>
          </cell>
          <cell r="F60">
            <v>224278.65</v>
          </cell>
          <cell r="G60">
            <v>-150680.46</v>
          </cell>
        </row>
        <row r="61">
          <cell r="A61" t="str">
            <v>4104</v>
          </cell>
          <cell r="B61" t="str">
            <v>利润分配</v>
          </cell>
          <cell r="F61">
            <v>-10235808.6</v>
          </cell>
        </row>
        <row r="62">
          <cell r="A62" t="str">
            <v>4104.07</v>
          </cell>
          <cell r="B62" t="str">
            <v>　　未分配利润</v>
          </cell>
          <cell r="F62">
            <v>-10235808.6</v>
          </cell>
        </row>
        <row r="63">
          <cell r="A63" t="str">
            <v>6115</v>
          </cell>
          <cell r="B63" t="str">
            <v>其他收益</v>
          </cell>
        </row>
        <row r="64">
          <cell r="A64" t="str">
            <v>6115.02</v>
          </cell>
          <cell r="B64" t="str">
            <v>　　个税手续费返还</v>
          </cell>
        </row>
        <row r="65">
          <cell r="A65" t="str">
            <v>6301</v>
          </cell>
          <cell r="B65" t="str">
            <v>营业外收入</v>
          </cell>
        </row>
        <row r="66">
          <cell r="A66" t="str">
            <v>6301.99</v>
          </cell>
          <cell r="B66" t="str">
            <v>　　其他</v>
          </cell>
        </row>
        <row r="67">
          <cell r="A67" t="str">
            <v>6405</v>
          </cell>
          <cell r="B67" t="str">
            <v>税金及附加</v>
          </cell>
        </row>
        <row r="68">
          <cell r="A68" t="str">
            <v>6405.01</v>
          </cell>
          <cell r="B68" t="str">
            <v>　　印花税</v>
          </cell>
        </row>
        <row r="69">
          <cell r="A69" t="str">
            <v>6602</v>
          </cell>
          <cell r="B69" t="str">
            <v>管理费用</v>
          </cell>
          <cell r="G69">
            <v>165.35</v>
          </cell>
          <cell r="H69">
            <v>165.35</v>
          </cell>
        </row>
        <row r="70">
          <cell r="A70" t="str">
            <v>6602.04</v>
          </cell>
          <cell r="B70" t="str">
            <v>　　咨询及专业服务费</v>
          </cell>
          <cell r="G70">
            <v>-822.66</v>
          </cell>
          <cell r="H70">
            <v>-822.66</v>
          </cell>
        </row>
        <row r="71">
          <cell r="A71" t="str">
            <v>6602.04.01</v>
          </cell>
          <cell r="B71" t="str">
            <v>　　　　会计服务费</v>
          </cell>
          <cell r="G71">
            <v>-822.66</v>
          </cell>
          <cell r="H71">
            <v>-822.66</v>
          </cell>
        </row>
        <row r="72">
          <cell r="A72" t="str">
            <v>6602.04.02</v>
          </cell>
          <cell r="B72" t="str">
            <v>　　　　审计服务费</v>
          </cell>
        </row>
        <row r="73">
          <cell r="A73" t="str">
            <v>6602.05</v>
          </cell>
          <cell r="B73" t="str">
            <v>　　占用费</v>
          </cell>
        </row>
        <row r="74">
          <cell r="A74" t="str">
            <v>6602.05.07</v>
          </cell>
          <cell r="B74" t="str">
            <v>　　　　租金及物业费</v>
          </cell>
        </row>
        <row r="75">
          <cell r="A75" t="str">
            <v>6602.08</v>
          </cell>
          <cell r="B75" t="str">
            <v>　　事务费用</v>
          </cell>
        </row>
        <row r="76">
          <cell r="A76" t="str">
            <v>6602.08.05</v>
          </cell>
          <cell r="B76" t="str">
            <v>　　　　邮费/邮递费</v>
          </cell>
        </row>
        <row r="77">
          <cell r="A77" t="str">
            <v>6602.08.05</v>
          </cell>
          <cell r="B77" t="str">
            <v>　　　　邮费/邮递费</v>
          </cell>
          <cell r="C77" t="str">
            <v>【未录入】</v>
          </cell>
          <cell r="D77" t="str">
            <v>【未录入】</v>
          </cell>
        </row>
        <row r="78">
          <cell r="A78" t="str">
            <v>6602.08.05</v>
          </cell>
          <cell r="B78" t="str">
            <v>　　　　邮费/邮递费</v>
          </cell>
          <cell r="C78" t="str">
            <v>CI004</v>
          </cell>
          <cell r="D78" t="str">
            <v>广州旭智</v>
          </cell>
        </row>
        <row r="79">
          <cell r="A79" t="str">
            <v>6602.09</v>
          </cell>
          <cell r="B79" t="str">
            <v>　　差旅费</v>
          </cell>
          <cell r="G79">
            <v>571.34</v>
          </cell>
          <cell r="H79">
            <v>571.34</v>
          </cell>
        </row>
        <row r="80">
          <cell r="A80" t="str">
            <v>6602.09.02</v>
          </cell>
          <cell r="B80" t="str">
            <v>　　　　伙食费</v>
          </cell>
          <cell r="G80">
            <v>111</v>
          </cell>
          <cell r="H80">
            <v>111</v>
          </cell>
        </row>
        <row r="81">
          <cell r="A81" t="str">
            <v>6602.09.02</v>
          </cell>
          <cell r="B81" t="str">
            <v>　　　　伙食费</v>
          </cell>
          <cell r="C81" t="str">
            <v>CI004</v>
          </cell>
          <cell r="D81" t="str">
            <v>广州旭智</v>
          </cell>
          <cell r="G81">
            <v>111</v>
          </cell>
          <cell r="H81">
            <v>111</v>
          </cell>
        </row>
        <row r="82">
          <cell r="A82" t="str">
            <v>6602.09.03</v>
          </cell>
          <cell r="B82" t="str">
            <v>　　　　地面交通费</v>
          </cell>
          <cell r="G82">
            <v>430.62</v>
          </cell>
          <cell r="H82">
            <v>430.62</v>
          </cell>
        </row>
        <row r="83">
          <cell r="A83" t="str">
            <v>6602.09.03</v>
          </cell>
          <cell r="B83" t="str">
            <v>　　　　地面交通费</v>
          </cell>
          <cell r="C83" t="str">
            <v>CI004</v>
          </cell>
          <cell r="D83" t="str">
            <v>广州旭智</v>
          </cell>
          <cell r="G83">
            <v>430.62</v>
          </cell>
          <cell r="H83">
            <v>430.62</v>
          </cell>
        </row>
        <row r="84">
          <cell r="A84" t="str">
            <v>6602.09.08</v>
          </cell>
          <cell r="B84" t="str">
            <v>　　　　退改费用（机票/火车等）</v>
          </cell>
          <cell r="G84">
            <v>29.72</v>
          </cell>
          <cell r="H84">
            <v>29.72</v>
          </cell>
        </row>
        <row r="85">
          <cell r="A85" t="str">
            <v>6602.09.08</v>
          </cell>
          <cell r="B85" t="str">
            <v>　　　　退改费用（机票/火车等）</v>
          </cell>
          <cell r="C85" t="str">
            <v>CI004</v>
          </cell>
          <cell r="D85" t="str">
            <v>广州旭智</v>
          </cell>
          <cell r="G85">
            <v>29.72</v>
          </cell>
          <cell r="H85">
            <v>29.72</v>
          </cell>
        </row>
        <row r="86">
          <cell r="A86" t="str">
            <v>6602.12</v>
          </cell>
          <cell r="B86" t="str">
            <v>　　使用权资产折旧</v>
          </cell>
          <cell r="G86">
            <v>416.67</v>
          </cell>
          <cell r="H86">
            <v>416.67</v>
          </cell>
        </row>
        <row r="87">
          <cell r="A87" t="str">
            <v>6602.12.03</v>
          </cell>
          <cell r="B87" t="str">
            <v>　　　　注册地址</v>
          </cell>
          <cell r="G87">
            <v>416.67</v>
          </cell>
          <cell r="H87">
            <v>416.67</v>
          </cell>
        </row>
        <row r="88">
          <cell r="A88" t="str">
            <v>6602.12.03.02</v>
          </cell>
          <cell r="B88" t="str">
            <v>　　　　　　广州旭智--802房F028</v>
          </cell>
          <cell r="G88">
            <v>416.67</v>
          </cell>
          <cell r="H88">
            <v>416.67</v>
          </cell>
        </row>
        <row r="89">
          <cell r="A89" t="str">
            <v>6602.12.03.03</v>
          </cell>
          <cell r="B89" t="str">
            <v>　　　　　　广州旭智--311房A138</v>
          </cell>
        </row>
        <row r="90">
          <cell r="A90" t="str">
            <v>6602.15</v>
          </cell>
          <cell r="B90" t="str">
            <v>　　服务费</v>
          </cell>
        </row>
        <row r="91">
          <cell r="A91" t="str">
            <v>6603</v>
          </cell>
          <cell r="B91" t="str">
            <v>财务费用</v>
          </cell>
          <cell r="G91">
            <v>-150845.81</v>
          </cell>
          <cell r="H91">
            <v>-150845.81</v>
          </cell>
        </row>
        <row r="92">
          <cell r="A92" t="str">
            <v>6603.01</v>
          </cell>
          <cell r="B92" t="str">
            <v>　　汇兑损益</v>
          </cell>
          <cell r="G92">
            <v>-152095.10999999999</v>
          </cell>
          <cell r="H92">
            <v>-152095.10999999999</v>
          </cell>
        </row>
        <row r="93">
          <cell r="A93" t="str">
            <v>6603.03</v>
          </cell>
          <cell r="B93" t="str">
            <v>　　银行手续费</v>
          </cell>
          <cell r="G93">
            <v>1249.3</v>
          </cell>
          <cell r="H93">
            <v>1249.3</v>
          </cell>
        </row>
        <row r="94">
          <cell r="A94" t="str">
            <v>6603.04</v>
          </cell>
          <cell r="B94" t="str">
            <v>　　利息收入</v>
          </cell>
        </row>
        <row r="95">
          <cell r="B95" t="str">
            <v>合计</v>
          </cell>
          <cell r="E95">
            <v>40879563.600000001</v>
          </cell>
          <cell r="F95">
            <v>40879563.600000001</v>
          </cell>
          <cell r="G95">
            <v>6357225.7400000002</v>
          </cell>
          <cell r="H95">
            <v>6357225.7400000002</v>
          </cell>
        </row>
      </sheetData>
      <sheetData sheetId="8">
        <row r="1">
          <cell r="A1" t="str">
            <v>币别:人民币</v>
          </cell>
          <cell r="B1" t="str">
            <v>账簿:广州旭智投资控股有限责任公司</v>
          </cell>
          <cell r="C1" t="str">
            <v>期间:2025.9 -- 2025.9</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1863.6</v>
          </cell>
          <cell r="G4">
            <v>87.73</v>
          </cell>
        </row>
        <row r="5">
          <cell r="A5" t="str">
            <v>1002.20</v>
          </cell>
          <cell r="B5" t="str">
            <v>　　【广州旭智】银行存款账户</v>
          </cell>
          <cell r="E5">
            <v>1863.6</v>
          </cell>
          <cell r="G5">
            <v>87.73</v>
          </cell>
        </row>
        <row r="6">
          <cell r="A6" t="str">
            <v>1002.20.01</v>
          </cell>
          <cell r="B6" t="str">
            <v>　　　　中国银行账户</v>
          </cell>
          <cell r="E6">
            <v>550.82000000000005</v>
          </cell>
          <cell r="G6">
            <v>87.56</v>
          </cell>
        </row>
        <row r="7">
          <cell r="A7" t="str">
            <v>1002.20.01.01</v>
          </cell>
          <cell r="B7" t="str">
            <v>　　　　　　【广州旭智】中银 人民币基本户 1992</v>
          </cell>
          <cell r="E7">
            <v>550.82000000000005</v>
          </cell>
          <cell r="G7">
            <v>0.95</v>
          </cell>
        </row>
        <row r="8">
          <cell r="A8" t="str">
            <v>1002.20.01.02</v>
          </cell>
          <cell r="B8" t="str">
            <v>　　　　　　【广州旭智】中银 人民币一般户 7284</v>
          </cell>
          <cell r="G8">
            <v>86.61</v>
          </cell>
        </row>
        <row r="9">
          <cell r="A9" t="str">
            <v>1002.20.02</v>
          </cell>
          <cell r="B9" t="str">
            <v>　　　　兴业银行账户</v>
          </cell>
          <cell r="E9">
            <v>1312.78</v>
          </cell>
          <cell r="G9">
            <v>0.17</v>
          </cell>
        </row>
        <row r="10">
          <cell r="A10" t="str">
            <v>1002.20.02.01</v>
          </cell>
          <cell r="B10" t="str">
            <v>　　　　　　【广州旭智】兴业 人民币专用存款账户 7362</v>
          </cell>
          <cell r="E10">
            <v>1312.78</v>
          </cell>
          <cell r="G10">
            <v>0.17</v>
          </cell>
        </row>
        <row r="11">
          <cell r="A11" t="str">
            <v>1101</v>
          </cell>
          <cell r="B11" t="str">
            <v>交易性金融资产</v>
          </cell>
          <cell r="E11">
            <v>30000</v>
          </cell>
        </row>
        <row r="12">
          <cell r="A12" t="str">
            <v>1101.01</v>
          </cell>
          <cell r="B12" t="str">
            <v>　　投资成本</v>
          </cell>
          <cell r="E12">
            <v>30000</v>
          </cell>
        </row>
        <row r="13">
          <cell r="A13" t="str">
            <v>1101.01.03</v>
          </cell>
          <cell r="B13" t="str">
            <v>　　　　银行理财</v>
          </cell>
          <cell r="E13">
            <v>30000</v>
          </cell>
        </row>
        <row r="14">
          <cell r="A14" t="str">
            <v>1221</v>
          </cell>
          <cell r="B14" t="str">
            <v>其他应收款</v>
          </cell>
          <cell r="E14">
            <v>1583864.63</v>
          </cell>
        </row>
        <row r="15">
          <cell r="A15" t="str">
            <v>1221.01</v>
          </cell>
          <cell r="B15" t="str">
            <v>　　单位</v>
          </cell>
          <cell r="E15">
            <v>1583864.63</v>
          </cell>
        </row>
        <row r="16">
          <cell r="A16" t="str">
            <v>1221.01</v>
          </cell>
          <cell r="B16" t="str">
            <v>　　单位</v>
          </cell>
          <cell r="C16" t="str">
            <v>CU003002</v>
          </cell>
          <cell r="D16" t="str">
            <v>旭智资本(香港)有限公司</v>
          </cell>
          <cell r="E16">
            <v>35186.120000000003</v>
          </cell>
        </row>
        <row r="17">
          <cell r="A17" t="str">
            <v>1221.01</v>
          </cell>
          <cell r="B17" t="str">
            <v>　　单位</v>
          </cell>
          <cell r="C17" t="str">
            <v>CU003006</v>
          </cell>
          <cell r="D17" t="str">
            <v>旭智咨询管理(深圳)有限责任公司</v>
          </cell>
          <cell r="E17">
            <v>1509439.15</v>
          </cell>
        </row>
        <row r="18">
          <cell r="A18" t="str">
            <v>1221.01</v>
          </cell>
          <cell r="B18" t="str">
            <v>　　单位</v>
          </cell>
          <cell r="C18" t="str">
            <v>CU005005</v>
          </cell>
          <cell r="D18" t="str">
            <v>广东绿城物业服务有限公司</v>
          </cell>
          <cell r="E18">
            <v>4053.24</v>
          </cell>
        </row>
        <row r="19">
          <cell r="A19" t="str">
            <v>1221.01</v>
          </cell>
          <cell r="B19" t="str">
            <v>　　单位</v>
          </cell>
          <cell r="C19" t="str">
            <v>CU005009</v>
          </cell>
          <cell r="D19" t="str">
            <v>旭智资本有限公司</v>
          </cell>
          <cell r="E19">
            <v>35186.120000000003</v>
          </cell>
        </row>
        <row r="20">
          <cell r="A20" t="str">
            <v>1511</v>
          </cell>
          <cell r="B20" t="str">
            <v>长期股权投资</v>
          </cell>
          <cell r="E20">
            <v>35964000</v>
          </cell>
        </row>
        <row r="21">
          <cell r="A21" t="str">
            <v>1511.01</v>
          </cell>
          <cell r="B21" t="str">
            <v>　　投资成本</v>
          </cell>
          <cell r="E21">
            <v>35964000</v>
          </cell>
        </row>
        <row r="22">
          <cell r="A22" t="str">
            <v>1511.01.01</v>
          </cell>
          <cell r="B22" t="str">
            <v>　　　　宜兴旭智投资咨询合伙企业（有限合伙）</v>
          </cell>
          <cell r="E22">
            <v>35964000</v>
          </cell>
        </row>
        <row r="23">
          <cell r="A23" t="str">
            <v>1601</v>
          </cell>
          <cell r="B23" t="str">
            <v>固定资产</v>
          </cell>
          <cell r="E23">
            <v>36880.65</v>
          </cell>
        </row>
        <row r="24">
          <cell r="A24" t="str">
            <v>1601.01</v>
          </cell>
          <cell r="B24" t="str">
            <v>　　电子设备</v>
          </cell>
          <cell r="E24">
            <v>36880.65</v>
          </cell>
        </row>
        <row r="25">
          <cell r="A25" t="str">
            <v>1602</v>
          </cell>
          <cell r="B25" t="str">
            <v>累计折旧</v>
          </cell>
          <cell r="F25">
            <v>35036.61</v>
          </cell>
        </row>
        <row r="26">
          <cell r="A26" t="str">
            <v>1602.01</v>
          </cell>
          <cell r="B26" t="str">
            <v>　　电子设备</v>
          </cell>
          <cell r="F26">
            <v>35036.61</v>
          </cell>
        </row>
        <row r="27">
          <cell r="A27" t="str">
            <v>1641</v>
          </cell>
          <cell r="B27" t="str">
            <v>使用权资产</v>
          </cell>
          <cell r="E27">
            <v>5000</v>
          </cell>
        </row>
        <row r="28">
          <cell r="A28" t="str">
            <v>1641.03</v>
          </cell>
          <cell r="B28" t="str">
            <v>　　注册地址</v>
          </cell>
          <cell r="E28">
            <v>5000</v>
          </cell>
        </row>
        <row r="29">
          <cell r="A29" t="str">
            <v>1641.03.02</v>
          </cell>
          <cell r="B29" t="str">
            <v>　　　　广州旭智--802房F028</v>
          </cell>
          <cell r="E29">
            <v>5000</v>
          </cell>
        </row>
        <row r="30">
          <cell r="A30" t="str">
            <v>1642</v>
          </cell>
          <cell r="B30" t="str">
            <v>使用权资产累计折旧</v>
          </cell>
          <cell r="F30">
            <v>1666.68</v>
          </cell>
          <cell r="H30">
            <v>416.67</v>
          </cell>
        </row>
        <row r="31">
          <cell r="A31" t="str">
            <v>1642.03</v>
          </cell>
          <cell r="B31" t="str">
            <v>　　注册地址</v>
          </cell>
          <cell r="F31">
            <v>1666.68</v>
          </cell>
          <cell r="H31">
            <v>416.67</v>
          </cell>
        </row>
        <row r="32">
          <cell r="A32" t="str">
            <v>1642.03.02</v>
          </cell>
          <cell r="B32" t="str">
            <v>　　　　广州旭智--802房F028</v>
          </cell>
          <cell r="F32">
            <v>1666.68</v>
          </cell>
          <cell r="H32">
            <v>416.67</v>
          </cell>
        </row>
        <row r="33">
          <cell r="A33" t="str">
            <v>2221</v>
          </cell>
          <cell r="B33" t="str">
            <v>应交税费</v>
          </cell>
          <cell r="F33">
            <v>-23228.78</v>
          </cell>
        </row>
        <row r="34">
          <cell r="A34" t="str">
            <v>2221.01</v>
          </cell>
          <cell r="B34" t="str">
            <v>　　应交增值税</v>
          </cell>
          <cell r="F34">
            <v>-19794.3</v>
          </cell>
        </row>
        <row r="35">
          <cell r="A35" t="str">
            <v>2221.01.01</v>
          </cell>
          <cell r="B35" t="str">
            <v>　　　　销项税额</v>
          </cell>
          <cell r="F35">
            <v>207.26</v>
          </cell>
        </row>
        <row r="36">
          <cell r="A36" t="str">
            <v>2221.01.03</v>
          </cell>
          <cell r="B36" t="str">
            <v>　　　　进项税额</v>
          </cell>
          <cell r="F36">
            <v>-20001.560000000001</v>
          </cell>
        </row>
        <row r="37">
          <cell r="A37" t="str">
            <v>2221.01.06</v>
          </cell>
          <cell r="B37" t="str">
            <v>　　　　转出未交增值税</v>
          </cell>
        </row>
        <row r="38">
          <cell r="A38" t="str">
            <v>2221.06</v>
          </cell>
          <cell r="B38" t="str">
            <v>　　待认证进项税额</v>
          </cell>
        </row>
        <row r="39">
          <cell r="A39" t="str">
            <v>2221.07</v>
          </cell>
          <cell r="B39" t="str">
            <v>　　待抵扣进项税额</v>
          </cell>
        </row>
        <row r="40">
          <cell r="A40" t="str">
            <v>2221.15</v>
          </cell>
          <cell r="B40" t="str">
            <v>　　应交企业所得税</v>
          </cell>
        </row>
        <row r="41">
          <cell r="A41" t="str">
            <v>2221.16</v>
          </cell>
          <cell r="B41" t="str">
            <v>　　应交个人所得税</v>
          </cell>
          <cell r="F41">
            <v>-3434.48</v>
          </cell>
        </row>
        <row r="42">
          <cell r="A42" t="str">
            <v>2221.17</v>
          </cell>
          <cell r="B42" t="str">
            <v>　　应交印花税</v>
          </cell>
        </row>
        <row r="43">
          <cell r="A43" t="str">
            <v>2241</v>
          </cell>
          <cell r="B43" t="str">
            <v>其他应付款</v>
          </cell>
          <cell r="F43">
            <v>46091163.859999999</v>
          </cell>
          <cell r="G43">
            <v>1028.48</v>
          </cell>
          <cell r="H43">
            <v>15981.64</v>
          </cell>
        </row>
        <row r="44">
          <cell r="A44" t="str">
            <v>2241.01</v>
          </cell>
          <cell r="B44" t="str">
            <v>　　单位</v>
          </cell>
          <cell r="F44">
            <v>46091163.859999999</v>
          </cell>
          <cell r="G44">
            <v>1028.48</v>
          </cell>
          <cell r="H44">
            <v>15981.64</v>
          </cell>
        </row>
        <row r="45">
          <cell r="A45" t="str">
            <v>2241.01</v>
          </cell>
          <cell r="B45" t="str">
            <v>　　单位</v>
          </cell>
          <cell r="C45" t="str">
            <v>SU005007</v>
          </cell>
          <cell r="D45" t="str">
            <v>普华永道中天会计师事务所（特殊普通合伙）</v>
          </cell>
          <cell r="F45">
            <v>20000</v>
          </cell>
        </row>
        <row r="46">
          <cell r="A46" t="str">
            <v>2241.01</v>
          </cell>
          <cell r="B46" t="str">
            <v>　　单位</v>
          </cell>
          <cell r="C46" t="str">
            <v>SU005033</v>
          </cell>
          <cell r="D46" t="str">
            <v>卓佳咨询(北京)有限公司深圳分公司</v>
          </cell>
        </row>
        <row r="47">
          <cell r="A47" t="str">
            <v>2241.01</v>
          </cell>
          <cell r="B47" t="str">
            <v>　　单位</v>
          </cell>
          <cell r="C47" t="str">
            <v>SU005043</v>
          </cell>
          <cell r="D47" t="str">
            <v>旭智资本有限公司</v>
          </cell>
          <cell r="F47">
            <v>664114.31000000006</v>
          </cell>
          <cell r="G47">
            <v>1028.48</v>
          </cell>
        </row>
        <row r="48">
          <cell r="A48" t="str">
            <v>2241.01</v>
          </cell>
          <cell r="B48" t="str">
            <v>　　单位</v>
          </cell>
          <cell r="C48" t="str">
            <v>SU005045</v>
          </cell>
          <cell r="D48" t="str">
            <v>旭智资本(香港)有限公司</v>
          </cell>
          <cell r="F48">
            <v>45407049.549999997</v>
          </cell>
          <cell r="H48">
            <v>15981.64</v>
          </cell>
        </row>
        <row r="49">
          <cell r="A49" t="str">
            <v>2241.01</v>
          </cell>
          <cell r="B49" t="str">
            <v>　　单位</v>
          </cell>
          <cell r="C49" t="str">
            <v>SU007005</v>
          </cell>
          <cell r="D49" t="str">
            <v>深圳前海百丰外企咨询服务有限公司</v>
          </cell>
        </row>
        <row r="50">
          <cell r="A50" t="str">
            <v>2241.02</v>
          </cell>
          <cell r="B50" t="str">
            <v>　　个人</v>
          </cell>
        </row>
        <row r="51">
          <cell r="A51" t="str">
            <v>2241.02</v>
          </cell>
          <cell r="B51" t="str">
            <v>　　个人</v>
          </cell>
          <cell r="C51" t="str">
            <v>SP005011</v>
          </cell>
          <cell r="D51" t="str">
            <v>郭宗林</v>
          </cell>
        </row>
        <row r="52">
          <cell r="A52" t="str">
            <v>2241.02</v>
          </cell>
          <cell r="B52" t="str">
            <v>　　个人</v>
          </cell>
          <cell r="C52" t="str">
            <v>SP005012</v>
          </cell>
          <cell r="D52" t="str">
            <v>吴雅薇</v>
          </cell>
        </row>
        <row r="53">
          <cell r="A53" t="str">
            <v>2241.02</v>
          </cell>
          <cell r="B53" t="str">
            <v>　　个人</v>
          </cell>
          <cell r="C53" t="str">
            <v>SP006010</v>
          </cell>
          <cell r="D53" t="str">
            <v>陈广华</v>
          </cell>
        </row>
        <row r="54">
          <cell r="A54" t="str">
            <v>2601</v>
          </cell>
          <cell r="B54" t="str">
            <v>租赁负债</v>
          </cell>
        </row>
        <row r="55">
          <cell r="A55" t="str">
            <v>2601.01</v>
          </cell>
          <cell r="B55" t="str">
            <v>　　租赁付款额</v>
          </cell>
        </row>
        <row r="56">
          <cell r="A56" t="str">
            <v>2601.01.03</v>
          </cell>
          <cell r="B56" t="str">
            <v>　　　　注册地址</v>
          </cell>
        </row>
        <row r="57">
          <cell r="A57" t="str">
            <v>2601.01.03.02</v>
          </cell>
          <cell r="B57" t="str">
            <v>　　　　　　广州旭智--802房F028</v>
          </cell>
        </row>
        <row r="58">
          <cell r="A58" t="str">
            <v>4001</v>
          </cell>
          <cell r="B58" t="str">
            <v>实收资本（股本）</v>
          </cell>
          <cell r="F58">
            <v>1377820</v>
          </cell>
        </row>
        <row r="59">
          <cell r="A59" t="str">
            <v>4001.11</v>
          </cell>
          <cell r="B59" t="str">
            <v>　　旭智资本（香港）有限公司</v>
          </cell>
          <cell r="F59">
            <v>1377820</v>
          </cell>
        </row>
        <row r="60">
          <cell r="A60" t="str">
            <v>4103</v>
          </cell>
          <cell r="B60" t="str">
            <v>本年利润</v>
          </cell>
          <cell r="F60">
            <v>374959.11</v>
          </cell>
          <cell r="G60">
            <v>15282.1</v>
          </cell>
        </row>
        <row r="61">
          <cell r="A61" t="str">
            <v>4104</v>
          </cell>
          <cell r="B61" t="str">
            <v>利润分配</v>
          </cell>
          <cell r="F61">
            <v>-10235808.6</v>
          </cell>
        </row>
        <row r="62">
          <cell r="A62" t="str">
            <v>4104.07</v>
          </cell>
          <cell r="B62" t="str">
            <v>　　未分配利润</v>
          </cell>
          <cell r="F62">
            <v>-10235808.6</v>
          </cell>
        </row>
        <row r="63">
          <cell r="A63" t="str">
            <v>6115</v>
          </cell>
          <cell r="B63" t="str">
            <v>其他收益</v>
          </cell>
        </row>
        <row r="64">
          <cell r="A64" t="str">
            <v>6115.02</v>
          </cell>
          <cell r="B64" t="str">
            <v>　　个税手续费返还</v>
          </cell>
        </row>
        <row r="65">
          <cell r="A65" t="str">
            <v>6301</v>
          </cell>
          <cell r="B65" t="str">
            <v>营业外收入</v>
          </cell>
        </row>
        <row r="66">
          <cell r="A66" t="str">
            <v>6301.99</v>
          </cell>
          <cell r="B66" t="str">
            <v>　　其他</v>
          </cell>
        </row>
        <row r="67">
          <cell r="A67" t="str">
            <v>6405</v>
          </cell>
          <cell r="B67" t="str">
            <v>税金及附加</v>
          </cell>
        </row>
        <row r="68">
          <cell r="A68" t="str">
            <v>6405.01</v>
          </cell>
          <cell r="B68" t="str">
            <v>　　印花税</v>
          </cell>
        </row>
        <row r="69">
          <cell r="A69" t="str">
            <v>6602</v>
          </cell>
          <cell r="B69" t="str">
            <v>管理费用</v>
          </cell>
          <cell r="G69">
            <v>416.67</v>
          </cell>
          <cell r="H69">
            <v>416.67</v>
          </cell>
        </row>
        <row r="70">
          <cell r="A70" t="str">
            <v>6602.04</v>
          </cell>
          <cell r="B70" t="str">
            <v>　　咨询及专业服务费</v>
          </cell>
        </row>
        <row r="71">
          <cell r="A71" t="str">
            <v>6602.04.01</v>
          </cell>
          <cell r="B71" t="str">
            <v>　　　　会计服务费</v>
          </cell>
        </row>
        <row r="72">
          <cell r="A72" t="str">
            <v>6602.04.02</v>
          </cell>
          <cell r="B72" t="str">
            <v>　　　　审计服务费</v>
          </cell>
        </row>
        <row r="73">
          <cell r="A73" t="str">
            <v>6602.05</v>
          </cell>
          <cell r="B73" t="str">
            <v>　　占用费</v>
          </cell>
        </row>
        <row r="74">
          <cell r="A74" t="str">
            <v>6602.05.07</v>
          </cell>
          <cell r="B74" t="str">
            <v>　　　　租金及物业费</v>
          </cell>
        </row>
        <row r="75">
          <cell r="A75" t="str">
            <v>6602.08</v>
          </cell>
          <cell r="B75" t="str">
            <v>　　事务费用</v>
          </cell>
        </row>
        <row r="76">
          <cell r="A76" t="str">
            <v>6602.08.05</v>
          </cell>
          <cell r="B76" t="str">
            <v>　　　　邮费/邮递费</v>
          </cell>
        </row>
        <row r="77">
          <cell r="A77" t="str">
            <v>6602.08.05</v>
          </cell>
          <cell r="B77" t="str">
            <v>　　　　邮费/邮递费</v>
          </cell>
          <cell r="C77" t="str">
            <v>【未录入】</v>
          </cell>
          <cell r="D77" t="str">
            <v>【未录入】</v>
          </cell>
        </row>
        <row r="78">
          <cell r="A78" t="str">
            <v>6602.08.05</v>
          </cell>
          <cell r="B78" t="str">
            <v>　　　　邮费/邮递费</v>
          </cell>
          <cell r="C78" t="str">
            <v>CI004</v>
          </cell>
          <cell r="D78" t="str">
            <v>广州旭智</v>
          </cell>
        </row>
        <row r="79">
          <cell r="A79" t="str">
            <v>6602.09</v>
          </cell>
          <cell r="B79" t="str">
            <v>　　差旅费</v>
          </cell>
        </row>
        <row r="80">
          <cell r="A80" t="str">
            <v>6602.09.02</v>
          </cell>
          <cell r="B80" t="str">
            <v>　　　　伙食费</v>
          </cell>
        </row>
        <row r="81">
          <cell r="A81" t="str">
            <v>6602.09.02</v>
          </cell>
          <cell r="B81" t="str">
            <v>　　　　伙食费</v>
          </cell>
          <cell r="C81" t="str">
            <v>CI004</v>
          </cell>
          <cell r="D81" t="str">
            <v>广州旭智</v>
          </cell>
        </row>
        <row r="82">
          <cell r="A82" t="str">
            <v>6602.09.03</v>
          </cell>
          <cell r="B82" t="str">
            <v>　　　　地面交通费</v>
          </cell>
        </row>
        <row r="83">
          <cell r="A83" t="str">
            <v>6602.09.03</v>
          </cell>
          <cell r="B83" t="str">
            <v>　　　　地面交通费</v>
          </cell>
          <cell r="C83" t="str">
            <v>CI004</v>
          </cell>
          <cell r="D83" t="str">
            <v>广州旭智</v>
          </cell>
        </row>
        <row r="84">
          <cell r="A84" t="str">
            <v>6602.09.08</v>
          </cell>
          <cell r="B84" t="str">
            <v>　　　　退改费用（机票/火车等）</v>
          </cell>
        </row>
        <row r="85">
          <cell r="A85" t="str">
            <v>6602.09.08</v>
          </cell>
          <cell r="B85" t="str">
            <v>　　　　退改费用（机票/火车等）</v>
          </cell>
          <cell r="C85" t="str">
            <v>CI004</v>
          </cell>
          <cell r="D85" t="str">
            <v>广州旭智</v>
          </cell>
        </row>
        <row r="86">
          <cell r="A86" t="str">
            <v>6602.12</v>
          </cell>
          <cell r="B86" t="str">
            <v>　　使用权资产折旧</v>
          </cell>
          <cell r="G86">
            <v>416.67</v>
          </cell>
          <cell r="H86">
            <v>416.67</v>
          </cell>
        </row>
        <row r="87">
          <cell r="A87" t="str">
            <v>6602.12.03</v>
          </cell>
          <cell r="B87" t="str">
            <v>　　　　注册地址</v>
          </cell>
          <cell r="G87">
            <v>416.67</v>
          </cell>
          <cell r="H87">
            <v>416.67</v>
          </cell>
        </row>
        <row r="88">
          <cell r="A88" t="str">
            <v>6602.12.03.02</v>
          </cell>
          <cell r="B88" t="str">
            <v>　　　　　　广州旭智--802房F028</v>
          </cell>
          <cell r="G88">
            <v>416.67</v>
          </cell>
          <cell r="H88">
            <v>416.67</v>
          </cell>
        </row>
        <row r="89">
          <cell r="A89" t="str">
            <v>6602.12.03.03</v>
          </cell>
          <cell r="B89" t="str">
            <v>　　　　　　广州旭智--311房A138</v>
          </cell>
        </row>
        <row r="90">
          <cell r="A90" t="str">
            <v>6602.15</v>
          </cell>
          <cell r="B90" t="str">
            <v>　　服务费</v>
          </cell>
        </row>
        <row r="91">
          <cell r="A91" t="str">
            <v>6603</v>
          </cell>
          <cell r="B91" t="str">
            <v>财务费用</v>
          </cell>
          <cell r="G91">
            <v>14865.43</v>
          </cell>
          <cell r="H91">
            <v>14865.43</v>
          </cell>
        </row>
        <row r="92">
          <cell r="A92" t="str">
            <v>6603.01</v>
          </cell>
          <cell r="B92" t="str">
            <v>　　汇兑损益</v>
          </cell>
          <cell r="G92">
            <v>14953.16</v>
          </cell>
          <cell r="H92">
            <v>14953.16</v>
          </cell>
        </row>
        <row r="93">
          <cell r="A93" t="str">
            <v>6603.03</v>
          </cell>
          <cell r="B93" t="str">
            <v>　　银行手续费</v>
          </cell>
        </row>
        <row r="94">
          <cell r="A94" t="str">
            <v>6603.04</v>
          </cell>
          <cell r="B94" t="str">
            <v>　　利息收入</v>
          </cell>
          <cell r="G94">
            <v>-87.73</v>
          </cell>
          <cell r="H94">
            <v>-87.73</v>
          </cell>
        </row>
        <row r="95">
          <cell r="B95" t="str">
            <v>合计</v>
          </cell>
          <cell r="E95">
            <v>37621608.880000003</v>
          </cell>
          <cell r="F95">
            <v>37621608.880000003</v>
          </cell>
          <cell r="G95">
            <v>31680.41</v>
          </cell>
          <cell r="H95">
            <v>31680.41</v>
          </cell>
        </row>
      </sheetData>
      <sheetData sheetId="9">
        <row r="1">
          <cell r="A1" t="str">
            <v>币别:人民币</v>
          </cell>
          <cell r="B1" t="str">
            <v>账簿:广州旭智投资控股有限责任公司</v>
          </cell>
          <cell r="C1" t="str">
            <v>期间:2025.10 -- 2025.10</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1951.33</v>
          </cell>
        </row>
        <row r="5">
          <cell r="A5" t="str">
            <v>1002.20</v>
          </cell>
          <cell r="B5" t="str">
            <v>　　【广州旭智】银行存款账户</v>
          </cell>
          <cell r="E5">
            <v>1951.33</v>
          </cell>
        </row>
        <row r="6">
          <cell r="A6" t="str">
            <v>1002.20.01</v>
          </cell>
          <cell r="B6" t="str">
            <v>　　　　中国银行账户</v>
          </cell>
          <cell r="E6">
            <v>638.38</v>
          </cell>
        </row>
        <row r="7">
          <cell r="A7" t="str">
            <v>1002.20.01.01</v>
          </cell>
          <cell r="B7" t="str">
            <v>　　　　　　【广州旭智】中银 人民币基本户 1992</v>
          </cell>
          <cell r="E7">
            <v>551.77</v>
          </cell>
        </row>
        <row r="8">
          <cell r="A8" t="str">
            <v>1002.20.01.02</v>
          </cell>
          <cell r="B8" t="str">
            <v>　　　　　　【广州旭智】中银 人民币一般户 7284</v>
          </cell>
          <cell r="E8">
            <v>86.61</v>
          </cell>
        </row>
        <row r="9">
          <cell r="A9" t="str">
            <v>1002.20.02</v>
          </cell>
          <cell r="B9" t="str">
            <v>　　　　兴业银行账户</v>
          </cell>
          <cell r="E9">
            <v>1312.95</v>
          </cell>
        </row>
        <row r="10">
          <cell r="A10" t="str">
            <v>1002.20.02.01</v>
          </cell>
          <cell r="B10" t="str">
            <v>　　　　　　【广州旭智】兴业 人民币专用存款账户 7362</v>
          </cell>
          <cell r="E10">
            <v>1312.95</v>
          </cell>
        </row>
        <row r="11">
          <cell r="A11" t="str">
            <v>1101</v>
          </cell>
          <cell r="B11" t="str">
            <v>交易性金融资产</v>
          </cell>
          <cell r="E11">
            <v>30000</v>
          </cell>
        </row>
        <row r="12">
          <cell r="A12" t="str">
            <v>1101.01</v>
          </cell>
          <cell r="B12" t="str">
            <v>　　投资成本</v>
          </cell>
          <cell r="E12">
            <v>30000</v>
          </cell>
        </row>
        <row r="13">
          <cell r="A13" t="str">
            <v>1101.01.03</v>
          </cell>
          <cell r="B13" t="str">
            <v>　　　　银行理财</v>
          </cell>
          <cell r="E13">
            <v>30000</v>
          </cell>
        </row>
        <row r="14">
          <cell r="A14" t="str">
            <v>1221</v>
          </cell>
          <cell r="B14" t="str">
            <v>其他应收款</v>
          </cell>
          <cell r="E14">
            <v>1583864.63</v>
          </cell>
        </row>
        <row r="15">
          <cell r="A15" t="str">
            <v>1221.01</v>
          </cell>
          <cell r="B15" t="str">
            <v>　　单位</v>
          </cell>
          <cell r="E15">
            <v>1583864.63</v>
          </cell>
        </row>
        <row r="16">
          <cell r="A16" t="str">
            <v>1221.01</v>
          </cell>
          <cell r="B16" t="str">
            <v>　　单位</v>
          </cell>
          <cell r="C16" t="str">
            <v>CU003002</v>
          </cell>
          <cell r="D16" t="str">
            <v>旭智资本(香港)有限公司</v>
          </cell>
          <cell r="E16">
            <v>35186.120000000003</v>
          </cell>
        </row>
        <row r="17">
          <cell r="A17" t="str">
            <v>1221.01</v>
          </cell>
          <cell r="B17" t="str">
            <v>　　单位</v>
          </cell>
          <cell r="C17" t="str">
            <v>CU003006</v>
          </cell>
          <cell r="D17" t="str">
            <v>旭智咨询管理(深圳)有限责任公司</v>
          </cell>
          <cell r="E17">
            <v>1509439.15</v>
          </cell>
        </row>
        <row r="18">
          <cell r="A18" t="str">
            <v>1221.01</v>
          </cell>
          <cell r="B18" t="str">
            <v>　　单位</v>
          </cell>
          <cell r="C18" t="str">
            <v>CU005005</v>
          </cell>
          <cell r="D18" t="str">
            <v>广东绿城物业服务有限公司</v>
          </cell>
          <cell r="E18">
            <v>4053.24</v>
          </cell>
        </row>
        <row r="19">
          <cell r="A19" t="str">
            <v>1221.01</v>
          </cell>
          <cell r="B19" t="str">
            <v>　　单位</v>
          </cell>
          <cell r="C19" t="str">
            <v>CU005009</v>
          </cell>
          <cell r="D19" t="str">
            <v>旭智资本有限公司</v>
          </cell>
          <cell r="E19">
            <v>35186.120000000003</v>
          </cell>
        </row>
        <row r="20">
          <cell r="A20" t="str">
            <v>1511</v>
          </cell>
          <cell r="B20" t="str">
            <v>长期股权投资</v>
          </cell>
          <cell r="E20">
            <v>35964000</v>
          </cell>
        </row>
        <row r="21">
          <cell r="A21" t="str">
            <v>1511.01</v>
          </cell>
          <cell r="B21" t="str">
            <v>　　投资成本</v>
          </cell>
          <cell r="E21">
            <v>35964000</v>
          </cell>
        </row>
        <row r="22">
          <cell r="A22" t="str">
            <v>1511.01.01</v>
          </cell>
          <cell r="B22" t="str">
            <v>　　　　宜兴旭智投资咨询合伙企业（有限合伙）</v>
          </cell>
          <cell r="E22">
            <v>35964000</v>
          </cell>
        </row>
        <row r="23">
          <cell r="A23" t="str">
            <v>1601</v>
          </cell>
          <cell r="B23" t="str">
            <v>固定资产</v>
          </cell>
          <cell r="E23">
            <v>36880.65</v>
          </cell>
        </row>
        <row r="24">
          <cell r="A24" t="str">
            <v>1601.01</v>
          </cell>
          <cell r="B24" t="str">
            <v>　　电子设备</v>
          </cell>
          <cell r="E24">
            <v>36880.65</v>
          </cell>
        </row>
        <row r="25">
          <cell r="A25" t="str">
            <v>1602</v>
          </cell>
          <cell r="B25" t="str">
            <v>累计折旧</v>
          </cell>
          <cell r="F25">
            <v>35036.61</v>
          </cell>
        </row>
        <row r="26">
          <cell r="A26" t="str">
            <v>1602.01</v>
          </cell>
          <cell r="B26" t="str">
            <v>　　电子设备</v>
          </cell>
          <cell r="F26">
            <v>35036.61</v>
          </cell>
        </row>
        <row r="27">
          <cell r="A27" t="str">
            <v>1641</v>
          </cell>
          <cell r="B27" t="str">
            <v>使用权资产</v>
          </cell>
          <cell r="E27">
            <v>5000</v>
          </cell>
        </row>
        <row r="28">
          <cell r="A28" t="str">
            <v>1641.03</v>
          </cell>
          <cell r="B28" t="str">
            <v>　　注册地址</v>
          </cell>
          <cell r="E28">
            <v>5000</v>
          </cell>
        </row>
        <row r="29">
          <cell r="A29" t="str">
            <v>1641.03.02</v>
          </cell>
          <cell r="B29" t="str">
            <v>　　　　广州旭智--802房F028</v>
          </cell>
          <cell r="E29">
            <v>5000</v>
          </cell>
        </row>
        <row r="30">
          <cell r="A30" t="str">
            <v>1642</v>
          </cell>
          <cell r="B30" t="str">
            <v>使用权资产累计折旧</v>
          </cell>
          <cell r="F30">
            <v>2083.35</v>
          </cell>
          <cell r="H30">
            <v>416.67</v>
          </cell>
        </row>
        <row r="31">
          <cell r="A31" t="str">
            <v>1642.03</v>
          </cell>
          <cell r="B31" t="str">
            <v>　　注册地址</v>
          </cell>
          <cell r="F31">
            <v>2083.35</v>
          </cell>
          <cell r="H31">
            <v>416.67</v>
          </cell>
        </row>
        <row r="32">
          <cell r="A32" t="str">
            <v>1642.03.02</v>
          </cell>
          <cell r="B32" t="str">
            <v>　　　　广州旭智--802房F028</v>
          </cell>
          <cell r="F32">
            <v>2083.35</v>
          </cell>
          <cell r="H32">
            <v>416.67</v>
          </cell>
        </row>
        <row r="33">
          <cell r="A33" t="str">
            <v>2221</v>
          </cell>
          <cell r="B33" t="str">
            <v>应交税费</v>
          </cell>
          <cell r="F33">
            <v>-23228.78</v>
          </cell>
        </row>
        <row r="34">
          <cell r="A34" t="str">
            <v>2221.01</v>
          </cell>
          <cell r="B34" t="str">
            <v>　　应交增值税</v>
          </cell>
          <cell r="F34">
            <v>-19794.3</v>
          </cell>
        </row>
        <row r="35">
          <cell r="A35" t="str">
            <v>2221.01.01</v>
          </cell>
          <cell r="B35" t="str">
            <v>　　　　销项税额</v>
          </cell>
          <cell r="F35">
            <v>207.26</v>
          </cell>
        </row>
        <row r="36">
          <cell r="A36" t="str">
            <v>2221.01.03</v>
          </cell>
          <cell r="B36" t="str">
            <v>　　　　进项税额</v>
          </cell>
          <cell r="F36">
            <v>-20001.560000000001</v>
          </cell>
        </row>
        <row r="37">
          <cell r="A37" t="str">
            <v>2221.01.06</v>
          </cell>
          <cell r="B37" t="str">
            <v>　　　　转出未交增值税</v>
          </cell>
        </row>
        <row r="38">
          <cell r="A38" t="str">
            <v>2221.06</v>
          </cell>
          <cell r="B38" t="str">
            <v>　　待认证进项税额</v>
          </cell>
        </row>
        <row r="39">
          <cell r="A39" t="str">
            <v>2221.07</v>
          </cell>
          <cell r="B39" t="str">
            <v>　　待抵扣进项税额</v>
          </cell>
        </row>
        <row r="40">
          <cell r="A40" t="str">
            <v>2221.15</v>
          </cell>
          <cell r="B40" t="str">
            <v>　　应交企业所得税</v>
          </cell>
        </row>
        <row r="41">
          <cell r="A41" t="str">
            <v>2221.16</v>
          </cell>
          <cell r="B41" t="str">
            <v>　　应交个人所得税</v>
          </cell>
          <cell r="F41">
            <v>-3434.48</v>
          </cell>
        </row>
        <row r="42">
          <cell r="A42" t="str">
            <v>2221.17</v>
          </cell>
          <cell r="B42" t="str">
            <v>　　应交印花税</v>
          </cell>
        </row>
        <row r="43">
          <cell r="A43" t="str">
            <v>2241</v>
          </cell>
          <cell r="B43" t="str">
            <v>其他应付款</v>
          </cell>
          <cell r="F43">
            <v>46106117.020000003</v>
          </cell>
          <cell r="G43">
            <v>112803.77</v>
          </cell>
        </row>
        <row r="44">
          <cell r="A44" t="str">
            <v>2241.01</v>
          </cell>
          <cell r="B44" t="str">
            <v>　　单位</v>
          </cell>
          <cell r="F44">
            <v>46106117.020000003</v>
          </cell>
          <cell r="G44">
            <v>112803.77</v>
          </cell>
        </row>
        <row r="45">
          <cell r="A45" t="str">
            <v>2241.01</v>
          </cell>
          <cell r="B45" t="str">
            <v>　　单位</v>
          </cell>
          <cell r="C45" t="str">
            <v>SU005007</v>
          </cell>
          <cell r="D45" t="str">
            <v>普华永道中天会计师事务所（特殊普通合伙）</v>
          </cell>
          <cell r="F45">
            <v>20000</v>
          </cell>
        </row>
        <row r="46">
          <cell r="A46" t="str">
            <v>2241.01</v>
          </cell>
          <cell r="B46" t="str">
            <v>　　单位</v>
          </cell>
          <cell r="C46" t="str">
            <v>SU005033</v>
          </cell>
          <cell r="D46" t="str">
            <v>卓佳咨询(北京)有限公司深圳分公司</v>
          </cell>
        </row>
        <row r="47">
          <cell r="A47" t="str">
            <v>2241.01</v>
          </cell>
          <cell r="B47" t="str">
            <v>　　单位</v>
          </cell>
          <cell r="C47" t="str">
            <v>SU005043</v>
          </cell>
          <cell r="D47" t="str">
            <v>旭智资本有限公司</v>
          </cell>
          <cell r="F47">
            <v>663085.82999999996</v>
          </cell>
          <cell r="G47">
            <v>932.26</v>
          </cell>
        </row>
        <row r="48">
          <cell r="A48" t="str">
            <v>2241.01</v>
          </cell>
          <cell r="B48" t="str">
            <v>　　单位</v>
          </cell>
          <cell r="C48" t="str">
            <v>SU005045</v>
          </cell>
          <cell r="D48" t="str">
            <v>旭智资本(香港)有限公司</v>
          </cell>
          <cell r="F48">
            <v>45423031.189999998</v>
          </cell>
          <cell r="G48">
            <v>111871.51</v>
          </cell>
        </row>
        <row r="49">
          <cell r="A49" t="str">
            <v>2241.01</v>
          </cell>
          <cell r="B49" t="str">
            <v>　　单位</v>
          </cell>
          <cell r="C49" t="str">
            <v>SU007005</v>
          </cell>
          <cell r="D49" t="str">
            <v>深圳前海百丰外企咨询服务有限公司</v>
          </cell>
        </row>
        <row r="50">
          <cell r="A50" t="str">
            <v>2241.02</v>
          </cell>
          <cell r="B50" t="str">
            <v>　　个人</v>
          </cell>
        </row>
        <row r="51">
          <cell r="A51" t="str">
            <v>2241.02</v>
          </cell>
          <cell r="B51" t="str">
            <v>　　个人</v>
          </cell>
          <cell r="C51" t="str">
            <v>SP005011</v>
          </cell>
          <cell r="D51" t="str">
            <v>郭宗林</v>
          </cell>
        </row>
        <row r="52">
          <cell r="A52" t="str">
            <v>2241.02</v>
          </cell>
          <cell r="B52" t="str">
            <v>　　个人</v>
          </cell>
          <cell r="C52" t="str">
            <v>SP005012</v>
          </cell>
          <cell r="D52" t="str">
            <v>吴雅薇</v>
          </cell>
        </row>
        <row r="53">
          <cell r="A53" t="str">
            <v>2241.02</v>
          </cell>
          <cell r="B53" t="str">
            <v>　　个人</v>
          </cell>
          <cell r="C53" t="str">
            <v>SP006010</v>
          </cell>
          <cell r="D53" t="str">
            <v>陈广华</v>
          </cell>
        </row>
        <row r="54">
          <cell r="A54" t="str">
            <v>2601</v>
          </cell>
          <cell r="B54" t="str">
            <v>租赁负债</v>
          </cell>
        </row>
        <row r="55">
          <cell r="A55" t="str">
            <v>2601.01</v>
          </cell>
          <cell r="B55" t="str">
            <v>　　租赁付款额</v>
          </cell>
        </row>
        <row r="56">
          <cell r="A56" t="str">
            <v>2601.01.03</v>
          </cell>
          <cell r="B56" t="str">
            <v>　　　　注册地址</v>
          </cell>
        </row>
        <row r="57">
          <cell r="A57" t="str">
            <v>2601.01.03.02</v>
          </cell>
          <cell r="B57" t="str">
            <v>　　　　　　广州旭智--802房F028</v>
          </cell>
        </row>
        <row r="58">
          <cell r="A58" t="str">
            <v>4001</v>
          </cell>
          <cell r="B58" t="str">
            <v>实收资本（股本）</v>
          </cell>
          <cell r="F58">
            <v>1377820</v>
          </cell>
        </row>
        <row r="59">
          <cell r="A59" t="str">
            <v>4001.11</v>
          </cell>
          <cell r="B59" t="str">
            <v>　　旭智资本（香港）有限公司</v>
          </cell>
          <cell r="F59">
            <v>1377820</v>
          </cell>
        </row>
        <row r="60">
          <cell r="A60" t="str">
            <v>4103</v>
          </cell>
          <cell r="B60" t="str">
            <v>本年利润</v>
          </cell>
          <cell r="F60">
            <v>359677.01</v>
          </cell>
          <cell r="G60">
            <v>-112387.1</v>
          </cell>
        </row>
        <row r="61">
          <cell r="A61" t="str">
            <v>4104</v>
          </cell>
          <cell r="B61" t="str">
            <v>利润分配</v>
          </cell>
          <cell r="F61">
            <v>-10235808.6</v>
          </cell>
        </row>
        <row r="62">
          <cell r="A62" t="str">
            <v>4104.07</v>
          </cell>
          <cell r="B62" t="str">
            <v>　　未分配利润</v>
          </cell>
          <cell r="F62">
            <v>-10235808.6</v>
          </cell>
        </row>
        <row r="63">
          <cell r="A63" t="str">
            <v>6115</v>
          </cell>
          <cell r="B63" t="str">
            <v>其他收益</v>
          </cell>
        </row>
        <row r="64">
          <cell r="A64" t="str">
            <v>6115.02</v>
          </cell>
          <cell r="B64" t="str">
            <v>　　个税手续费返还</v>
          </cell>
        </row>
        <row r="65">
          <cell r="A65" t="str">
            <v>6301</v>
          </cell>
          <cell r="B65" t="str">
            <v>营业外收入</v>
          </cell>
        </row>
        <row r="66">
          <cell r="A66" t="str">
            <v>6301.99</v>
          </cell>
          <cell r="B66" t="str">
            <v>　　其他</v>
          </cell>
        </row>
        <row r="67">
          <cell r="A67" t="str">
            <v>6405</v>
          </cell>
          <cell r="B67" t="str">
            <v>税金及附加</v>
          </cell>
        </row>
        <row r="68">
          <cell r="A68" t="str">
            <v>6405.01</v>
          </cell>
          <cell r="B68" t="str">
            <v>　　印花税</v>
          </cell>
        </row>
        <row r="69">
          <cell r="A69" t="str">
            <v>6602</v>
          </cell>
          <cell r="B69" t="str">
            <v>管理费用</v>
          </cell>
          <cell r="G69">
            <v>416.67</v>
          </cell>
          <cell r="H69">
            <v>416.67</v>
          </cell>
        </row>
        <row r="70">
          <cell r="A70" t="str">
            <v>6602.04</v>
          </cell>
          <cell r="B70" t="str">
            <v>　　咨询及专业服务费</v>
          </cell>
        </row>
        <row r="71">
          <cell r="A71" t="str">
            <v>6602.04.01</v>
          </cell>
          <cell r="B71" t="str">
            <v>　　　　会计服务费</v>
          </cell>
        </row>
        <row r="72">
          <cell r="A72" t="str">
            <v>6602.04.02</v>
          </cell>
          <cell r="B72" t="str">
            <v>　　　　审计服务费</v>
          </cell>
        </row>
        <row r="73">
          <cell r="A73" t="str">
            <v>6602.05</v>
          </cell>
          <cell r="B73" t="str">
            <v>　　占用费</v>
          </cell>
        </row>
        <row r="74">
          <cell r="A74" t="str">
            <v>6602.05.07</v>
          </cell>
          <cell r="B74" t="str">
            <v>　　　　租金及物业费</v>
          </cell>
        </row>
        <row r="75">
          <cell r="A75" t="str">
            <v>6602.08</v>
          </cell>
          <cell r="B75" t="str">
            <v>　　事务费用</v>
          </cell>
        </row>
        <row r="76">
          <cell r="A76" t="str">
            <v>6602.08.05</v>
          </cell>
          <cell r="B76" t="str">
            <v>　　　　邮费/邮递费</v>
          </cell>
        </row>
        <row r="77">
          <cell r="A77" t="str">
            <v>6602.08.05</v>
          </cell>
          <cell r="B77" t="str">
            <v>　　　　邮费/邮递费</v>
          </cell>
          <cell r="C77" t="str">
            <v>【未录入】</v>
          </cell>
          <cell r="D77" t="str">
            <v>【未录入】</v>
          </cell>
        </row>
        <row r="78">
          <cell r="A78" t="str">
            <v>6602.08.05</v>
          </cell>
          <cell r="B78" t="str">
            <v>　　　　邮费/邮递费</v>
          </cell>
          <cell r="C78" t="str">
            <v>CI004</v>
          </cell>
          <cell r="D78" t="str">
            <v>广州旭智</v>
          </cell>
        </row>
        <row r="79">
          <cell r="A79" t="str">
            <v>6602.09</v>
          </cell>
          <cell r="B79" t="str">
            <v>　　差旅费</v>
          </cell>
        </row>
        <row r="80">
          <cell r="A80" t="str">
            <v>6602.09.02</v>
          </cell>
          <cell r="B80" t="str">
            <v>　　　　伙食费</v>
          </cell>
        </row>
        <row r="81">
          <cell r="A81" t="str">
            <v>6602.09.02</v>
          </cell>
          <cell r="B81" t="str">
            <v>　　　　伙食费</v>
          </cell>
          <cell r="C81" t="str">
            <v>CI004</v>
          </cell>
          <cell r="D81" t="str">
            <v>广州旭智</v>
          </cell>
        </row>
        <row r="82">
          <cell r="A82" t="str">
            <v>6602.09.03</v>
          </cell>
          <cell r="B82" t="str">
            <v>　　　　地面交通费</v>
          </cell>
        </row>
        <row r="83">
          <cell r="A83" t="str">
            <v>6602.09.03</v>
          </cell>
          <cell r="B83" t="str">
            <v>　　　　地面交通费</v>
          </cell>
          <cell r="C83" t="str">
            <v>CI004</v>
          </cell>
          <cell r="D83" t="str">
            <v>广州旭智</v>
          </cell>
        </row>
        <row r="84">
          <cell r="A84" t="str">
            <v>6602.09.08</v>
          </cell>
          <cell r="B84" t="str">
            <v>　　　　退改费用（机票/火车等）</v>
          </cell>
        </row>
        <row r="85">
          <cell r="A85" t="str">
            <v>6602.09.08</v>
          </cell>
          <cell r="B85" t="str">
            <v>　　　　退改费用（机票/火车等）</v>
          </cell>
          <cell r="C85" t="str">
            <v>CI004</v>
          </cell>
          <cell r="D85" t="str">
            <v>广州旭智</v>
          </cell>
        </row>
        <row r="86">
          <cell r="A86" t="str">
            <v>6602.12</v>
          </cell>
          <cell r="B86" t="str">
            <v>　　使用权资产折旧</v>
          </cell>
          <cell r="G86">
            <v>416.67</v>
          </cell>
          <cell r="H86">
            <v>416.67</v>
          </cell>
        </row>
        <row r="87">
          <cell r="A87" t="str">
            <v>6602.12.03</v>
          </cell>
          <cell r="B87" t="str">
            <v>　　　　注册地址</v>
          </cell>
          <cell r="G87">
            <v>416.67</v>
          </cell>
          <cell r="H87">
            <v>416.67</v>
          </cell>
        </row>
        <row r="88">
          <cell r="A88" t="str">
            <v>6602.12.03.02</v>
          </cell>
          <cell r="B88" t="str">
            <v>　　　　　　广州旭智--802房F028</v>
          </cell>
          <cell r="G88">
            <v>416.67</v>
          </cell>
          <cell r="H88">
            <v>416.67</v>
          </cell>
        </row>
        <row r="89">
          <cell r="A89" t="str">
            <v>6602.12.03.03</v>
          </cell>
          <cell r="B89" t="str">
            <v>　　　　　　广州旭智--311房A138</v>
          </cell>
        </row>
        <row r="90">
          <cell r="A90" t="str">
            <v>6602.15</v>
          </cell>
          <cell r="B90" t="str">
            <v>　　服务费</v>
          </cell>
        </row>
        <row r="91">
          <cell r="A91" t="str">
            <v>6603</v>
          </cell>
          <cell r="B91" t="str">
            <v>财务费用</v>
          </cell>
          <cell r="G91">
            <v>-112803.77</v>
          </cell>
          <cell r="H91">
            <v>-112803.77</v>
          </cell>
        </row>
        <row r="92">
          <cell r="A92" t="str">
            <v>6603.01</v>
          </cell>
          <cell r="B92" t="str">
            <v>　　汇兑损益</v>
          </cell>
          <cell r="G92">
            <v>-112803.77</v>
          </cell>
          <cell r="H92">
            <v>-112803.77</v>
          </cell>
        </row>
        <row r="93">
          <cell r="A93" t="str">
            <v>6603.03</v>
          </cell>
          <cell r="B93" t="str">
            <v>　　银行手续费</v>
          </cell>
        </row>
        <row r="94">
          <cell r="A94" t="str">
            <v>6603.04</v>
          </cell>
          <cell r="B94" t="str">
            <v>　　利息收入</v>
          </cell>
        </row>
        <row r="95">
          <cell r="B95" t="str">
            <v>合计</v>
          </cell>
          <cell r="E95">
            <v>37621696.609999999</v>
          </cell>
          <cell r="F95">
            <v>37621696.609999999</v>
          </cell>
          <cell r="G95">
            <v>-111970.43</v>
          </cell>
          <cell r="H95">
            <v>-111970.43</v>
          </cell>
        </row>
      </sheetData>
      <sheetData sheetId="10">
        <row r="1">
          <cell r="A1" t="str">
            <v>币别:人民币</v>
          </cell>
          <cell r="B1" t="str">
            <v>账簿:广州旭智投资控股有限责任公司</v>
          </cell>
          <cell r="C1" t="str">
            <v>期间:2025.11 -- 2025.11</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1951.33</v>
          </cell>
        </row>
        <row r="5">
          <cell r="A5" t="str">
            <v>1002.20</v>
          </cell>
          <cell r="B5" t="str">
            <v>　　【广州旭智】银行存款账户</v>
          </cell>
          <cell r="E5">
            <v>1951.33</v>
          </cell>
        </row>
        <row r="6">
          <cell r="A6" t="str">
            <v>1002.20.01</v>
          </cell>
          <cell r="B6" t="str">
            <v>　　　　中国银行账户</v>
          </cell>
          <cell r="E6">
            <v>638.38</v>
          </cell>
        </row>
        <row r="7">
          <cell r="A7" t="str">
            <v>1002.20.01.01</v>
          </cell>
          <cell r="B7" t="str">
            <v>　　　　　　【广州旭智】中银 人民币基本户 1992</v>
          </cell>
          <cell r="E7">
            <v>551.77</v>
          </cell>
        </row>
        <row r="8">
          <cell r="A8" t="str">
            <v>1002.20.01.02</v>
          </cell>
          <cell r="B8" t="str">
            <v>　　　　　　【广州旭智】中银 人民币一般户 7284</v>
          </cell>
          <cell r="E8">
            <v>86.61</v>
          </cell>
        </row>
        <row r="9">
          <cell r="A9" t="str">
            <v>1002.20.02</v>
          </cell>
          <cell r="B9" t="str">
            <v>　　　　兴业银行账户</v>
          </cell>
          <cell r="E9">
            <v>1312.95</v>
          </cell>
        </row>
        <row r="10">
          <cell r="A10" t="str">
            <v>1002.20.02.01</v>
          </cell>
          <cell r="B10" t="str">
            <v>　　　　　　【广州旭智】兴业 人民币专用存款账户 7362</v>
          </cell>
          <cell r="E10">
            <v>1312.95</v>
          </cell>
        </row>
        <row r="11">
          <cell r="A11" t="str">
            <v>1101</v>
          </cell>
          <cell r="B11" t="str">
            <v>交易性金融资产</v>
          </cell>
          <cell r="E11">
            <v>30000</v>
          </cell>
        </row>
        <row r="12">
          <cell r="A12" t="str">
            <v>1101.01</v>
          </cell>
          <cell r="B12" t="str">
            <v>　　投资成本</v>
          </cell>
          <cell r="E12">
            <v>30000</v>
          </cell>
        </row>
        <row r="13">
          <cell r="A13" t="str">
            <v>1101.01.03</v>
          </cell>
          <cell r="B13" t="str">
            <v>　　　　银行理财</v>
          </cell>
          <cell r="E13">
            <v>30000</v>
          </cell>
        </row>
        <row r="14">
          <cell r="A14" t="str">
            <v>1221</v>
          </cell>
          <cell r="B14" t="str">
            <v>其他应收款</v>
          </cell>
          <cell r="E14">
            <v>1583864.63</v>
          </cell>
        </row>
        <row r="15">
          <cell r="A15" t="str">
            <v>1221.01</v>
          </cell>
          <cell r="B15" t="str">
            <v>　　单位</v>
          </cell>
          <cell r="E15">
            <v>1583864.63</v>
          </cell>
        </row>
        <row r="16">
          <cell r="A16" t="str">
            <v>1221.01</v>
          </cell>
          <cell r="B16" t="str">
            <v>　　单位</v>
          </cell>
          <cell r="C16" t="str">
            <v>CU003002</v>
          </cell>
          <cell r="D16" t="str">
            <v>旭智资本(香港)有限公司</v>
          </cell>
          <cell r="E16">
            <v>35186.120000000003</v>
          </cell>
        </row>
        <row r="17">
          <cell r="A17" t="str">
            <v>1221.01</v>
          </cell>
          <cell r="B17" t="str">
            <v>　　单位</v>
          </cell>
          <cell r="C17" t="str">
            <v>CU003006</v>
          </cell>
          <cell r="D17" t="str">
            <v>旭智咨询管理(深圳)有限责任公司</v>
          </cell>
          <cell r="E17">
            <v>1509439.15</v>
          </cell>
        </row>
        <row r="18">
          <cell r="A18" t="str">
            <v>1221.01</v>
          </cell>
          <cell r="B18" t="str">
            <v>　　单位</v>
          </cell>
          <cell r="C18" t="str">
            <v>CU005005</v>
          </cell>
          <cell r="D18" t="str">
            <v>广东绿城物业服务有限公司</v>
          </cell>
          <cell r="E18">
            <v>4053.24</v>
          </cell>
        </row>
        <row r="19">
          <cell r="A19" t="str">
            <v>1221.01</v>
          </cell>
          <cell r="B19" t="str">
            <v>　　单位</v>
          </cell>
          <cell r="C19" t="str">
            <v>CU005009</v>
          </cell>
          <cell r="D19" t="str">
            <v>旭智资本有限公司</v>
          </cell>
          <cell r="E19">
            <v>35186.120000000003</v>
          </cell>
        </row>
        <row r="20">
          <cell r="A20" t="str">
            <v>1511</v>
          </cell>
          <cell r="B20" t="str">
            <v>长期股权投资</v>
          </cell>
          <cell r="E20">
            <v>35964000</v>
          </cell>
        </row>
        <row r="21">
          <cell r="A21" t="str">
            <v>1511.01</v>
          </cell>
          <cell r="B21" t="str">
            <v>　　投资成本</v>
          </cell>
          <cell r="E21">
            <v>35964000</v>
          </cell>
        </row>
        <row r="22">
          <cell r="A22" t="str">
            <v>1511.01.01</v>
          </cell>
          <cell r="B22" t="str">
            <v>　　　　宜兴旭智投资咨询合伙企业（有限合伙）</v>
          </cell>
          <cell r="E22">
            <v>35964000</v>
          </cell>
        </row>
        <row r="23">
          <cell r="A23" t="str">
            <v>1601</v>
          </cell>
          <cell r="B23" t="str">
            <v>固定资产</v>
          </cell>
          <cell r="E23">
            <v>36880.65</v>
          </cell>
        </row>
        <row r="24">
          <cell r="A24" t="str">
            <v>1601.01</v>
          </cell>
          <cell r="B24" t="str">
            <v>　　电子设备</v>
          </cell>
          <cell r="E24">
            <v>36880.65</v>
          </cell>
        </row>
        <row r="25">
          <cell r="A25" t="str">
            <v>1602</v>
          </cell>
          <cell r="B25" t="str">
            <v>累计折旧</v>
          </cell>
          <cell r="F25">
            <v>35036.61</v>
          </cell>
        </row>
        <row r="26">
          <cell r="A26" t="str">
            <v>1602.01</v>
          </cell>
          <cell r="B26" t="str">
            <v>　　电子设备</v>
          </cell>
          <cell r="F26">
            <v>35036.61</v>
          </cell>
        </row>
        <row r="27">
          <cell r="A27" t="str">
            <v>1641</v>
          </cell>
          <cell r="B27" t="str">
            <v>使用权资产</v>
          </cell>
          <cell r="E27">
            <v>5000</v>
          </cell>
        </row>
        <row r="28">
          <cell r="A28" t="str">
            <v>1641.03</v>
          </cell>
          <cell r="B28" t="str">
            <v>　　注册地址</v>
          </cell>
          <cell r="E28">
            <v>5000</v>
          </cell>
        </row>
        <row r="29">
          <cell r="A29" t="str">
            <v>1641.03.02</v>
          </cell>
          <cell r="B29" t="str">
            <v>　　　　广州旭智--802房F028</v>
          </cell>
          <cell r="E29">
            <v>5000</v>
          </cell>
        </row>
        <row r="30">
          <cell r="A30" t="str">
            <v>1642</v>
          </cell>
          <cell r="B30" t="str">
            <v>使用权资产累计折旧</v>
          </cell>
          <cell r="F30">
            <v>2500.02</v>
          </cell>
          <cell r="H30">
            <v>416.67</v>
          </cell>
        </row>
        <row r="31">
          <cell r="A31" t="str">
            <v>1642.03</v>
          </cell>
          <cell r="B31" t="str">
            <v>　　注册地址</v>
          </cell>
          <cell r="F31">
            <v>2500.02</v>
          </cell>
          <cell r="H31">
            <v>416.67</v>
          </cell>
        </row>
        <row r="32">
          <cell r="A32" t="str">
            <v>1642.03.02</v>
          </cell>
          <cell r="B32" t="str">
            <v>　　　　广州旭智--802房F028</v>
          </cell>
          <cell r="F32">
            <v>2500.02</v>
          </cell>
          <cell r="H32">
            <v>416.67</v>
          </cell>
        </row>
        <row r="33">
          <cell r="A33" t="str">
            <v>2221</v>
          </cell>
          <cell r="B33" t="str">
            <v>应交税费</v>
          </cell>
          <cell r="F33">
            <v>-23228.78</v>
          </cell>
        </row>
        <row r="34">
          <cell r="A34" t="str">
            <v>2221.01</v>
          </cell>
          <cell r="B34" t="str">
            <v>　　应交增值税</v>
          </cell>
          <cell r="F34">
            <v>-19794.3</v>
          </cell>
        </row>
        <row r="35">
          <cell r="A35" t="str">
            <v>2221.01.01</v>
          </cell>
          <cell r="B35" t="str">
            <v>　　　　销项税额</v>
          </cell>
          <cell r="F35">
            <v>207.26</v>
          </cell>
        </row>
        <row r="36">
          <cell r="A36" t="str">
            <v>2221.01.03</v>
          </cell>
          <cell r="B36" t="str">
            <v>　　　　进项税额</v>
          </cell>
          <cell r="F36">
            <v>-20001.560000000001</v>
          </cell>
        </row>
        <row r="37">
          <cell r="A37" t="str">
            <v>2221.01.06</v>
          </cell>
          <cell r="B37" t="str">
            <v>　　　　转出未交增值税</v>
          </cell>
        </row>
        <row r="38">
          <cell r="A38" t="str">
            <v>2221.06</v>
          </cell>
          <cell r="B38" t="str">
            <v>　　待认证进项税额</v>
          </cell>
        </row>
        <row r="39">
          <cell r="A39" t="str">
            <v>2221.07</v>
          </cell>
          <cell r="B39" t="str">
            <v>　　待抵扣进项税额</v>
          </cell>
        </row>
        <row r="40">
          <cell r="A40" t="str">
            <v>2221.15</v>
          </cell>
          <cell r="B40" t="str">
            <v>　　应交企业所得税</v>
          </cell>
        </row>
        <row r="41">
          <cell r="A41" t="str">
            <v>2221.16</v>
          </cell>
          <cell r="B41" t="str">
            <v>　　应交个人所得税</v>
          </cell>
          <cell r="F41">
            <v>-3434.48</v>
          </cell>
        </row>
        <row r="42">
          <cell r="A42" t="str">
            <v>2221.17</v>
          </cell>
          <cell r="B42" t="str">
            <v>　　应交印花税</v>
          </cell>
        </row>
        <row r="43">
          <cell r="A43" t="str">
            <v>2241</v>
          </cell>
          <cell r="B43" t="str">
            <v>其他应付款</v>
          </cell>
          <cell r="F43">
            <v>45993313.25</v>
          </cell>
          <cell r="G43">
            <v>61411.47</v>
          </cell>
        </row>
        <row r="44">
          <cell r="A44" t="str">
            <v>2241.01</v>
          </cell>
          <cell r="B44" t="str">
            <v>　　单位</v>
          </cell>
          <cell r="F44">
            <v>45993313.25</v>
          </cell>
          <cell r="G44">
            <v>61411.47</v>
          </cell>
        </row>
        <row r="45">
          <cell r="A45" t="str">
            <v>2241.01</v>
          </cell>
          <cell r="B45" t="str">
            <v>　　单位</v>
          </cell>
          <cell r="C45" t="str">
            <v>SU005007</v>
          </cell>
          <cell r="D45" t="str">
            <v>普华永道中天会计师事务所（特殊普通合伙）</v>
          </cell>
          <cell r="F45">
            <v>20000</v>
          </cell>
        </row>
        <row r="46">
          <cell r="A46" t="str">
            <v>2241.01</v>
          </cell>
          <cell r="B46" t="str">
            <v>　　单位</v>
          </cell>
          <cell r="C46" t="str">
            <v>SU005033</v>
          </cell>
          <cell r="D46" t="str">
            <v>卓佳咨询(北京)有限公司深圳分公司</v>
          </cell>
        </row>
        <row r="47">
          <cell r="A47" t="str">
            <v>2241.01</v>
          </cell>
          <cell r="B47" t="str">
            <v>　　单位</v>
          </cell>
          <cell r="C47" t="str">
            <v>SU005043</v>
          </cell>
          <cell r="D47" t="str">
            <v>旭智资本有限公司</v>
          </cell>
          <cell r="F47">
            <v>662153.56999999995</v>
          </cell>
          <cell r="G47">
            <v>3238.28</v>
          </cell>
        </row>
        <row r="48">
          <cell r="A48" t="str">
            <v>2241.01</v>
          </cell>
          <cell r="B48" t="str">
            <v>　　单位</v>
          </cell>
          <cell r="C48" t="str">
            <v>SU005045</v>
          </cell>
          <cell r="D48" t="str">
            <v>旭智资本(香港)有限公司</v>
          </cell>
          <cell r="F48">
            <v>45311159.68</v>
          </cell>
          <cell r="G48">
            <v>58173.19</v>
          </cell>
        </row>
        <row r="49">
          <cell r="A49" t="str">
            <v>2241.01</v>
          </cell>
          <cell r="B49" t="str">
            <v>　　单位</v>
          </cell>
          <cell r="C49" t="str">
            <v>SU007005</v>
          </cell>
          <cell r="D49" t="str">
            <v>深圳前海百丰外企咨询服务有限公司</v>
          </cell>
        </row>
        <row r="50">
          <cell r="A50" t="str">
            <v>2241.02</v>
          </cell>
          <cell r="B50" t="str">
            <v>　　个人</v>
          </cell>
        </row>
        <row r="51">
          <cell r="A51" t="str">
            <v>2241.02</v>
          </cell>
          <cell r="B51" t="str">
            <v>　　个人</v>
          </cell>
          <cell r="C51" t="str">
            <v>SP005011</v>
          </cell>
          <cell r="D51" t="str">
            <v>郭宗林</v>
          </cell>
        </row>
        <row r="52">
          <cell r="A52" t="str">
            <v>2241.02</v>
          </cell>
          <cell r="B52" t="str">
            <v>　　个人</v>
          </cell>
          <cell r="C52" t="str">
            <v>SP005012</v>
          </cell>
          <cell r="D52" t="str">
            <v>吴雅薇</v>
          </cell>
        </row>
        <row r="53">
          <cell r="A53" t="str">
            <v>2241.02</v>
          </cell>
          <cell r="B53" t="str">
            <v>　　个人</v>
          </cell>
          <cell r="C53" t="str">
            <v>SP006010</v>
          </cell>
          <cell r="D53" t="str">
            <v>陈广华</v>
          </cell>
        </row>
        <row r="54">
          <cell r="A54" t="str">
            <v>2601</v>
          </cell>
          <cell r="B54" t="str">
            <v>租赁负债</v>
          </cell>
        </row>
        <row r="55">
          <cell r="A55" t="str">
            <v>2601.01</v>
          </cell>
          <cell r="B55" t="str">
            <v>　　租赁付款额</v>
          </cell>
        </row>
        <row r="56">
          <cell r="A56" t="str">
            <v>2601.01.03</v>
          </cell>
          <cell r="B56" t="str">
            <v>　　　　注册地址</v>
          </cell>
        </row>
        <row r="57">
          <cell r="A57" t="str">
            <v>2601.01.03.02</v>
          </cell>
          <cell r="B57" t="str">
            <v>　　　　　　广州旭智--802房F028</v>
          </cell>
        </row>
        <row r="58">
          <cell r="A58" t="str">
            <v>4001</v>
          </cell>
          <cell r="B58" t="str">
            <v>实收资本（股本）</v>
          </cell>
          <cell r="F58">
            <v>1377820</v>
          </cell>
        </row>
        <row r="59">
          <cell r="A59" t="str">
            <v>4001.11</v>
          </cell>
          <cell r="B59" t="str">
            <v>　　旭智资本（香港）有限公司</v>
          </cell>
          <cell r="F59">
            <v>1377820</v>
          </cell>
        </row>
        <row r="60">
          <cell r="A60" t="str">
            <v>4103</v>
          </cell>
          <cell r="B60" t="str">
            <v>本年利润</v>
          </cell>
          <cell r="F60">
            <v>472064.11</v>
          </cell>
          <cell r="G60">
            <v>-60994.8</v>
          </cell>
        </row>
        <row r="61">
          <cell r="A61" t="str">
            <v>4104</v>
          </cell>
          <cell r="B61" t="str">
            <v>利润分配</v>
          </cell>
          <cell r="F61">
            <v>-10235808.6</v>
          </cell>
        </row>
        <row r="62">
          <cell r="A62" t="str">
            <v>4104.07</v>
          </cell>
          <cell r="B62" t="str">
            <v>　　未分配利润</v>
          </cell>
          <cell r="F62">
            <v>-10235808.6</v>
          </cell>
        </row>
        <row r="63">
          <cell r="A63" t="str">
            <v>6115</v>
          </cell>
          <cell r="B63" t="str">
            <v>其他收益</v>
          </cell>
        </row>
        <row r="64">
          <cell r="A64" t="str">
            <v>6115.02</v>
          </cell>
          <cell r="B64" t="str">
            <v>　　个税手续费返还</v>
          </cell>
        </row>
        <row r="65">
          <cell r="A65" t="str">
            <v>6301</v>
          </cell>
          <cell r="B65" t="str">
            <v>营业外收入</v>
          </cell>
        </row>
        <row r="66">
          <cell r="A66" t="str">
            <v>6301.99</v>
          </cell>
          <cell r="B66" t="str">
            <v>　　其他</v>
          </cell>
        </row>
        <row r="67">
          <cell r="A67" t="str">
            <v>6405</v>
          </cell>
          <cell r="B67" t="str">
            <v>税金及附加</v>
          </cell>
        </row>
        <row r="68">
          <cell r="A68" t="str">
            <v>6405.01</v>
          </cell>
          <cell r="B68" t="str">
            <v>　　印花税</v>
          </cell>
        </row>
        <row r="69">
          <cell r="A69" t="str">
            <v>6602</v>
          </cell>
          <cell r="B69" t="str">
            <v>管理费用</v>
          </cell>
          <cell r="G69">
            <v>416.67</v>
          </cell>
          <cell r="H69">
            <v>416.67</v>
          </cell>
        </row>
        <row r="70">
          <cell r="A70" t="str">
            <v>6602.04</v>
          </cell>
          <cell r="B70" t="str">
            <v>　　咨询及专业服务费</v>
          </cell>
        </row>
        <row r="71">
          <cell r="A71" t="str">
            <v>6602.04.01</v>
          </cell>
          <cell r="B71" t="str">
            <v>　　　　会计服务费</v>
          </cell>
        </row>
        <row r="72">
          <cell r="A72" t="str">
            <v>6602.04.02</v>
          </cell>
          <cell r="B72" t="str">
            <v>　　　　审计服务费</v>
          </cell>
        </row>
        <row r="73">
          <cell r="A73" t="str">
            <v>6602.05</v>
          </cell>
          <cell r="B73" t="str">
            <v>　　占用费</v>
          </cell>
        </row>
        <row r="74">
          <cell r="A74" t="str">
            <v>6602.05.07</v>
          </cell>
          <cell r="B74" t="str">
            <v>　　　　租金及物业费</v>
          </cell>
        </row>
        <row r="75">
          <cell r="A75" t="str">
            <v>6602.08</v>
          </cell>
          <cell r="B75" t="str">
            <v>　　事务费用</v>
          </cell>
        </row>
        <row r="76">
          <cell r="A76" t="str">
            <v>6602.08.05</v>
          </cell>
          <cell r="B76" t="str">
            <v>　　　　邮费/邮递费</v>
          </cell>
        </row>
        <row r="77">
          <cell r="A77" t="str">
            <v>6602.08.05</v>
          </cell>
          <cell r="B77" t="str">
            <v>　　　　邮费/邮递费</v>
          </cell>
          <cell r="C77" t="str">
            <v>【未录入】</v>
          </cell>
          <cell r="D77" t="str">
            <v>【未录入】</v>
          </cell>
        </row>
        <row r="78">
          <cell r="A78" t="str">
            <v>6602.08.05</v>
          </cell>
          <cell r="B78" t="str">
            <v>　　　　邮费/邮递费</v>
          </cell>
          <cell r="C78" t="str">
            <v>CI004</v>
          </cell>
          <cell r="D78" t="str">
            <v>广州旭智</v>
          </cell>
        </row>
        <row r="79">
          <cell r="A79" t="str">
            <v>6602.09</v>
          </cell>
          <cell r="B79" t="str">
            <v>　　差旅费</v>
          </cell>
        </row>
        <row r="80">
          <cell r="A80" t="str">
            <v>6602.09.02</v>
          </cell>
          <cell r="B80" t="str">
            <v>　　　　伙食费</v>
          </cell>
        </row>
        <row r="81">
          <cell r="A81" t="str">
            <v>6602.09.02</v>
          </cell>
          <cell r="B81" t="str">
            <v>　　　　伙食费</v>
          </cell>
          <cell r="C81" t="str">
            <v>CI004</v>
          </cell>
          <cell r="D81" t="str">
            <v>广州旭智</v>
          </cell>
        </row>
        <row r="82">
          <cell r="A82" t="str">
            <v>6602.09.03</v>
          </cell>
          <cell r="B82" t="str">
            <v>　　　　地面交通费</v>
          </cell>
        </row>
        <row r="83">
          <cell r="A83" t="str">
            <v>6602.09.03</v>
          </cell>
          <cell r="B83" t="str">
            <v>　　　　地面交通费</v>
          </cell>
          <cell r="C83" t="str">
            <v>CI004</v>
          </cell>
          <cell r="D83" t="str">
            <v>广州旭智</v>
          </cell>
        </row>
        <row r="84">
          <cell r="A84" t="str">
            <v>6602.09.08</v>
          </cell>
          <cell r="B84" t="str">
            <v>　　　　退改费用（机票/火车等）</v>
          </cell>
        </row>
        <row r="85">
          <cell r="A85" t="str">
            <v>6602.09.08</v>
          </cell>
          <cell r="B85" t="str">
            <v>　　　　退改费用（机票/火车等）</v>
          </cell>
          <cell r="C85" t="str">
            <v>CI004</v>
          </cell>
          <cell r="D85" t="str">
            <v>广州旭智</v>
          </cell>
        </row>
        <row r="86">
          <cell r="A86" t="str">
            <v>6602.12</v>
          </cell>
          <cell r="B86" t="str">
            <v>　　使用权资产折旧</v>
          </cell>
          <cell r="G86">
            <v>416.67</v>
          </cell>
          <cell r="H86">
            <v>416.67</v>
          </cell>
        </row>
        <row r="87">
          <cell r="A87" t="str">
            <v>6602.12.03</v>
          </cell>
          <cell r="B87" t="str">
            <v>　　　　注册地址</v>
          </cell>
          <cell r="G87">
            <v>416.67</v>
          </cell>
          <cell r="H87">
            <v>416.67</v>
          </cell>
        </row>
        <row r="88">
          <cell r="A88" t="str">
            <v>6602.12.03.02</v>
          </cell>
          <cell r="B88" t="str">
            <v>　　　　　　广州旭智--802房F028</v>
          </cell>
          <cell r="G88">
            <v>416.67</v>
          </cell>
          <cell r="H88">
            <v>416.67</v>
          </cell>
        </row>
        <row r="89">
          <cell r="A89" t="str">
            <v>6602.12.03.03</v>
          </cell>
          <cell r="B89" t="str">
            <v>　　　　　　广州旭智--311房A138</v>
          </cell>
        </row>
        <row r="90">
          <cell r="A90" t="str">
            <v>6602.15</v>
          </cell>
          <cell r="B90" t="str">
            <v>　　服务费</v>
          </cell>
        </row>
        <row r="91">
          <cell r="A91" t="str">
            <v>6603</v>
          </cell>
          <cell r="B91" t="str">
            <v>财务费用</v>
          </cell>
          <cell r="G91">
            <v>-61411.47</v>
          </cell>
          <cell r="H91">
            <v>-61411.47</v>
          </cell>
        </row>
        <row r="92">
          <cell r="A92" t="str">
            <v>6603.01</v>
          </cell>
          <cell r="B92" t="str">
            <v>　　汇兑损益</v>
          </cell>
          <cell r="G92">
            <v>-61411.47</v>
          </cell>
          <cell r="H92">
            <v>-61411.47</v>
          </cell>
        </row>
        <row r="93">
          <cell r="A93" t="str">
            <v>6603.03</v>
          </cell>
          <cell r="B93" t="str">
            <v>　　银行手续费</v>
          </cell>
        </row>
        <row r="94">
          <cell r="A94" t="str">
            <v>6603.04</v>
          </cell>
          <cell r="B94" t="str">
            <v>　　利息收入</v>
          </cell>
        </row>
        <row r="95">
          <cell r="B95" t="str">
            <v>合计</v>
          </cell>
          <cell r="E95">
            <v>37621696.609999999</v>
          </cell>
          <cell r="F95">
            <v>37621696.609999999</v>
          </cell>
          <cell r="G95">
            <v>-60578.13</v>
          </cell>
          <cell r="H95">
            <v>-60578.13</v>
          </cell>
        </row>
      </sheetData>
      <sheetData sheetId="11">
        <row r="1">
          <cell r="A1" t="str">
            <v>币别:人民币</v>
          </cell>
          <cell r="B1" t="str">
            <v>账簿:广州旭智投资控股有限责任公司</v>
          </cell>
          <cell r="C1" t="str">
            <v>期间:2025.12 -- 2025.12</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1951.33</v>
          </cell>
          <cell r="G4">
            <v>71018.45</v>
          </cell>
          <cell r="H4">
            <v>65000.9</v>
          </cell>
        </row>
        <row r="5">
          <cell r="A5" t="str">
            <v>1002.20</v>
          </cell>
          <cell r="B5" t="str">
            <v>　　【广州旭智】银行存款账户</v>
          </cell>
          <cell r="E5">
            <v>1951.33</v>
          </cell>
          <cell r="G5">
            <v>71018.45</v>
          </cell>
          <cell r="H5">
            <v>65000.9</v>
          </cell>
        </row>
        <row r="6">
          <cell r="A6" t="str">
            <v>1002.20.01</v>
          </cell>
          <cell r="B6" t="str">
            <v>　　　　中国银行账户</v>
          </cell>
          <cell r="E6">
            <v>638.38</v>
          </cell>
          <cell r="G6">
            <v>71018.28</v>
          </cell>
          <cell r="H6">
            <v>65000.9</v>
          </cell>
        </row>
        <row r="7">
          <cell r="A7" t="str">
            <v>1002.20.01.01</v>
          </cell>
          <cell r="B7" t="str">
            <v>　　　　　　【广州旭智】中银 人民币基本户 1992</v>
          </cell>
          <cell r="E7">
            <v>551.77</v>
          </cell>
          <cell r="G7">
            <v>7.0000000000000007E-2</v>
          </cell>
        </row>
        <row r="8">
          <cell r="A8" t="str">
            <v>1002.20.01.02</v>
          </cell>
          <cell r="B8" t="str">
            <v>　　　　　　【广州旭智】中银 人民币一般户 7284</v>
          </cell>
          <cell r="E8">
            <v>86.61</v>
          </cell>
          <cell r="G8">
            <v>71018.210000000006</v>
          </cell>
          <cell r="H8">
            <v>65000.9</v>
          </cell>
        </row>
        <row r="9">
          <cell r="A9" t="str">
            <v>1002.20.02</v>
          </cell>
          <cell r="B9" t="str">
            <v>　　　　兴业银行账户</v>
          </cell>
          <cell r="E9">
            <v>1312.95</v>
          </cell>
          <cell r="G9">
            <v>0.17</v>
          </cell>
        </row>
        <row r="10">
          <cell r="A10" t="str">
            <v>1002.20.02.01</v>
          </cell>
          <cell r="B10" t="str">
            <v>　　　　　　【广州旭智】兴业 人民币专用存款账户 7362</v>
          </cell>
          <cell r="E10">
            <v>1312.95</v>
          </cell>
          <cell r="G10">
            <v>0.17</v>
          </cell>
        </row>
        <row r="11">
          <cell r="A11" t="str">
            <v>1101</v>
          </cell>
          <cell r="B11" t="str">
            <v>交易性金融资产</v>
          </cell>
          <cell r="E11">
            <v>30000</v>
          </cell>
          <cell r="H11">
            <v>30000</v>
          </cell>
        </row>
        <row r="12">
          <cell r="A12" t="str">
            <v>1101.01</v>
          </cell>
          <cell r="B12" t="str">
            <v>　　投资成本</v>
          </cell>
          <cell r="E12">
            <v>30000</v>
          </cell>
          <cell r="H12">
            <v>30000</v>
          </cell>
        </row>
        <row r="13">
          <cell r="A13" t="str">
            <v>1101.01.03</v>
          </cell>
          <cell r="B13" t="str">
            <v>　　　　银行理财</v>
          </cell>
          <cell r="E13">
            <v>30000</v>
          </cell>
          <cell r="H13">
            <v>30000</v>
          </cell>
        </row>
        <row r="14">
          <cell r="A14" t="str">
            <v>1221</v>
          </cell>
          <cell r="B14" t="str">
            <v>其他应收款</v>
          </cell>
          <cell r="E14">
            <v>1583864.63</v>
          </cell>
          <cell r="G14">
            <v>28325000</v>
          </cell>
          <cell r="H14">
            <v>14760000</v>
          </cell>
        </row>
        <row r="15">
          <cell r="A15" t="str">
            <v>1221.01</v>
          </cell>
          <cell r="B15" t="str">
            <v>　　单位</v>
          </cell>
          <cell r="E15">
            <v>1583864.63</v>
          </cell>
          <cell r="G15">
            <v>28325000</v>
          </cell>
          <cell r="H15">
            <v>14760000</v>
          </cell>
        </row>
        <row r="16">
          <cell r="A16" t="str">
            <v>1221.01</v>
          </cell>
          <cell r="B16" t="str">
            <v>　　单位</v>
          </cell>
          <cell r="C16" t="str">
            <v>CU003002</v>
          </cell>
          <cell r="D16" t="str">
            <v>旭智资本(香港)有限公司</v>
          </cell>
          <cell r="E16">
            <v>35186.120000000003</v>
          </cell>
        </row>
        <row r="17">
          <cell r="A17" t="str">
            <v>1221.01</v>
          </cell>
          <cell r="B17" t="str">
            <v>　　单位</v>
          </cell>
          <cell r="C17" t="str">
            <v>CU003006</v>
          </cell>
          <cell r="D17" t="str">
            <v>旭智咨询管理(深圳)有限责任公司</v>
          </cell>
          <cell r="E17">
            <v>1509439.15</v>
          </cell>
          <cell r="G17">
            <v>65000</v>
          </cell>
        </row>
        <row r="18">
          <cell r="A18" t="str">
            <v>1221.01</v>
          </cell>
          <cell r="B18" t="str">
            <v>　　单位</v>
          </cell>
          <cell r="C18" t="str">
            <v>CU005005</v>
          </cell>
          <cell r="D18" t="str">
            <v>广东绿城物业服务有限公司</v>
          </cell>
          <cell r="E18">
            <v>4053.24</v>
          </cell>
        </row>
        <row r="19">
          <cell r="A19" t="str">
            <v>1221.01</v>
          </cell>
          <cell r="B19" t="str">
            <v>　　单位</v>
          </cell>
          <cell r="C19" t="str">
            <v>CU005009</v>
          </cell>
          <cell r="D19" t="str">
            <v>旭智资本有限公司</v>
          </cell>
          <cell r="E19">
            <v>35186.120000000003</v>
          </cell>
        </row>
        <row r="20">
          <cell r="A20" t="str">
            <v>1221.01</v>
          </cell>
          <cell r="B20" t="str">
            <v>　　单位</v>
          </cell>
          <cell r="C20" t="str">
            <v>CU005010</v>
          </cell>
          <cell r="D20" t="str">
            <v>宜兴旭智投资咨询合伙企业（有限合伙）</v>
          </cell>
          <cell r="G20">
            <v>28260000</v>
          </cell>
          <cell r="H20">
            <v>14760000</v>
          </cell>
        </row>
        <row r="21">
          <cell r="A21" t="str">
            <v>1511</v>
          </cell>
          <cell r="B21" t="str">
            <v>长期股权投资</v>
          </cell>
          <cell r="E21">
            <v>35964000</v>
          </cell>
          <cell r="G21">
            <v>50724000</v>
          </cell>
          <cell r="H21">
            <v>64224000</v>
          </cell>
        </row>
        <row r="22">
          <cell r="A22" t="str">
            <v>1511.01</v>
          </cell>
          <cell r="B22" t="str">
            <v>　　投资成本</v>
          </cell>
          <cell r="E22">
            <v>35964000</v>
          </cell>
          <cell r="H22">
            <v>35964000</v>
          </cell>
        </row>
        <row r="23">
          <cell r="A23" t="str">
            <v>1511.01.01</v>
          </cell>
          <cell r="B23" t="str">
            <v>　　　　宜兴旭智投资咨询合伙企业（有限合伙）</v>
          </cell>
          <cell r="E23">
            <v>35964000</v>
          </cell>
          <cell r="H23">
            <v>35964000</v>
          </cell>
        </row>
        <row r="24">
          <cell r="A24" t="str">
            <v>1511.02</v>
          </cell>
          <cell r="B24" t="str">
            <v>　　投资成本</v>
          </cell>
          <cell r="G24">
            <v>50724000</v>
          </cell>
          <cell r="H24">
            <v>28260000</v>
          </cell>
        </row>
        <row r="25">
          <cell r="A25" t="str">
            <v>1511.02</v>
          </cell>
          <cell r="B25" t="str">
            <v>　　投资成本</v>
          </cell>
          <cell r="C25" t="str">
            <v>008</v>
          </cell>
          <cell r="D25" t="str">
            <v>宜兴旭智投资咨询合伙企业（有限合伙）</v>
          </cell>
          <cell r="G25">
            <v>50724000</v>
          </cell>
          <cell r="H25">
            <v>28260000</v>
          </cell>
        </row>
        <row r="26">
          <cell r="A26" t="str">
            <v>1601</v>
          </cell>
          <cell r="B26" t="str">
            <v>固定资产</v>
          </cell>
          <cell r="E26">
            <v>36880.65</v>
          </cell>
        </row>
        <row r="27">
          <cell r="A27" t="str">
            <v>1601.01</v>
          </cell>
          <cell r="B27" t="str">
            <v>　　电子设备</v>
          </cell>
          <cell r="E27">
            <v>36880.65</v>
          </cell>
        </row>
        <row r="28">
          <cell r="A28" t="str">
            <v>1602</v>
          </cell>
          <cell r="B28" t="str">
            <v>累计折旧</v>
          </cell>
          <cell r="F28">
            <v>35036.61</v>
          </cell>
        </row>
        <row r="29">
          <cell r="A29" t="str">
            <v>1602.01</v>
          </cell>
          <cell r="B29" t="str">
            <v>　　电子设备</v>
          </cell>
          <cell r="F29">
            <v>35036.61</v>
          </cell>
        </row>
        <row r="30">
          <cell r="A30" t="str">
            <v>1641</v>
          </cell>
          <cell r="B30" t="str">
            <v>使用权资产</v>
          </cell>
          <cell r="E30">
            <v>5000</v>
          </cell>
        </row>
        <row r="31">
          <cell r="A31" t="str">
            <v>1641.03</v>
          </cell>
          <cell r="B31" t="str">
            <v>　　注册地址</v>
          </cell>
          <cell r="E31">
            <v>5000</v>
          </cell>
        </row>
        <row r="32">
          <cell r="A32" t="str">
            <v>1641.03.02</v>
          </cell>
          <cell r="B32" t="str">
            <v>　　　　广州旭智--802房F028</v>
          </cell>
          <cell r="E32">
            <v>5000</v>
          </cell>
        </row>
        <row r="33">
          <cell r="A33" t="str">
            <v>1642</v>
          </cell>
          <cell r="B33" t="str">
            <v>使用权资产累计折旧</v>
          </cell>
          <cell r="F33">
            <v>2916.69</v>
          </cell>
          <cell r="H33">
            <v>416.67</v>
          </cell>
        </row>
        <row r="34">
          <cell r="A34" t="str">
            <v>1642.03</v>
          </cell>
          <cell r="B34" t="str">
            <v>　　注册地址</v>
          </cell>
          <cell r="F34">
            <v>2916.69</v>
          </cell>
          <cell r="H34">
            <v>416.67</v>
          </cell>
        </row>
        <row r="35">
          <cell r="A35" t="str">
            <v>1642.03.02</v>
          </cell>
          <cell r="B35" t="str">
            <v>　　　　广州旭智--802房F028</v>
          </cell>
          <cell r="F35">
            <v>2916.69</v>
          </cell>
          <cell r="H35">
            <v>416.67</v>
          </cell>
        </row>
        <row r="36">
          <cell r="A36" t="str">
            <v>2221</v>
          </cell>
          <cell r="B36" t="str">
            <v>应交税费</v>
          </cell>
          <cell r="F36">
            <v>-23228.78</v>
          </cell>
        </row>
        <row r="37">
          <cell r="A37" t="str">
            <v>2221.01</v>
          </cell>
          <cell r="B37" t="str">
            <v>　　应交增值税</v>
          </cell>
          <cell r="F37">
            <v>-19794.3</v>
          </cell>
        </row>
        <row r="38">
          <cell r="A38" t="str">
            <v>2221.01.01</v>
          </cell>
          <cell r="B38" t="str">
            <v>　　　　销项税额</v>
          </cell>
          <cell r="F38">
            <v>207.26</v>
          </cell>
        </row>
        <row r="39">
          <cell r="A39" t="str">
            <v>2221.01.03</v>
          </cell>
          <cell r="B39" t="str">
            <v>　　　　进项税额</v>
          </cell>
          <cell r="F39">
            <v>-20001.560000000001</v>
          </cell>
        </row>
        <row r="40">
          <cell r="A40" t="str">
            <v>2221.01.06</v>
          </cell>
          <cell r="B40" t="str">
            <v>　　　　转出未交增值税</v>
          </cell>
        </row>
        <row r="41">
          <cell r="A41" t="str">
            <v>2221.06</v>
          </cell>
          <cell r="B41" t="str">
            <v>　　待认证进项税额</v>
          </cell>
        </row>
        <row r="42">
          <cell r="A42" t="str">
            <v>2221.07</v>
          </cell>
          <cell r="B42" t="str">
            <v>　　待抵扣进项税额</v>
          </cell>
        </row>
        <row r="43">
          <cell r="A43" t="str">
            <v>2221.15</v>
          </cell>
          <cell r="B43" t="str">
            <v>　　应交企业所得税</v>
          </cell>
        </row>
        <row r="44">
          <cell r="A44" t="str">
            <v>2221.16</v>
          </cell>
          <cell r="B44" t="str">
            <v>　　应交个人所得税</v>
          </cell>
          <cell r="F44">
            <v>-3434.48</v>
          </cell>
        </row>
        <row r="45">
          <cell r="A45" t="str">
            <v>2221.17</v>
          </cell>
          <cell r="B45" t="str">
            <v>　　应交印花税</v>
          </cell>
        </row>
        <row r="46">
          <cell r="A46" t="str">
            <v>2241</v>
          </cell>
          <cell r="B46" t="str">
            <v>其他应付款</v>
          </cell>
          <cell r="F46">
            <v>45931901.780000001</v>
          </cell>
          <cell r="G46">
            <v>327570.51</v>
          </cell>
          <cell r="H46">
            <v>20000</v>
          </cell>
        </row>
        <row r="47">
          <cell r="A47" t="str">
            <v>2241.01</v>
          </cell>
          <cell r="B47" t="str">
            <v>　　单位</v>
          </cell>
          <cell r="F47">
            <v>45931901.780000001</v>
          </cell>
          <cell r="G47">
            <v>327570.51</v>
          </cell>
          <cell r="H47">
            <v>20000</v>
          </cell>
        </row>
        <row r="48">
          <cell r="A48" t="str">
            <v>2241.01</v>
          </cell>
          <cell r="B48" t="str">
            <v>　　单位</v>
          </cell>
          <cell r="C48" t="str">
            <v>SU005007</v>
          </cell>
          <cell r="D48" t="str">
            <v>普华永道中天会计师事务所（特殊普通合伙）</v>
          </cell>
          <cell r="F48">
            <v>20000</v>
          </cell>
          <cell r="H48">
            <v>20000</v>
          </cell>
        </row>
        <row r="49">
          <cell r="A49" t="str">
            <v>2241.01</v>
          </cell>
          <cell r="B49" t="str">
            <v>　　单位</v>
          </cell>
          <cell r="C49" t="str">
            <v>SU005033</v>
          </cell>
          <cell r="D49" t="str">
            <v>卓佳咨询(北京)有限公司深圳分公司</v>
          </cell>
        </row>
        <row r="50">
          <cell r="A50" t="str">
            <v>2241.01</v>
          </cell>
          <cell r="B50" t="str">
            <v>　　单位</v>
          </cell>
          <cell r="C50" t="str">
            <v>SU005043</v>
          </cell>
          <cell r="D50" t="str">
            <v>旭智资本有限公司</v>
          </cell>
          <cell r="F50">
            <v>658915.29</v>
          </cell>
          <cell r="G50">
            <v>7298.34</v>
          </cell>
        </row>
        <row r="51">
          <cell r="A51" t="str">
            <v>2241.01</v>
          </cell>
          <cell r="B51" t="str">
            <v>　　单位</v>
          </cell>
          <cell r="C51" t="str">
            <v>SU005045</v>
          </cell>
          <cell r="D51" t="str">
            <v>旭智资本(香港)有限公司</v>
          </cell>
          <cell r="F51">
            <v>45252986.490000002</v>
          </cell>
          <cell r="G51">
            <v>320272.17</v>
          </cell>
        </row>
        <row r="52">
          <cell r="A52" t="str">
            <v>2241.01</v>
          </cell>
          <cell r="B52" t="str">
            <v>　　单位</v>
          </cell>
          <cell r="C52" t="str">
            <v>SU007005</v>
          </cell>
          <cell r="D52" t="str">
            <v>深圳前海百丰外企咨询服务有限公司</v>
          </cell>
        </row>
        <row r="53">
          <cell r="A53" t="str">
            <v>2241.02</v>
          </cell>
          <cell r="B53" t="str">
            <v>　　个人</v>
          </cell>
        </row>
        <row r="54">
          <cell r="A54" t="str">
            <v>2241.02</v>
          </cell>
          <cell r="B54" t="str">
            <v>　　个人</v>
          </cell>
          <cell r="C54" t="str">
            <v>SP005011</v>
          </cell>
          <cell r="D54" t="str">
            <v>郭宗林</v>
          </cell>
        </row>
        <row r="55">
          <cell r="A55" t="str">
            <v>2241.02</v>
          </cell>
          <cell r="B55" t="str">
            <v>　　个人</v>
          </cell>
          <cell r="C55" t="str">
            <v>SP005012</v>
          </cell>
          <cell r="D55" t="str">
            <v>吴雅薇</v>
          </cell>
        </row>
        <row r="56">
          <cell r="A56" t="str">
            <v>2241.02</v>
          </cell>
          <cell r="B56" t="str">
            <v>　　个人</v>
          </cell>
          <cell r="C56" t="str">
            <v>SP006010</v>
          </cell>
          <cell r="D56" t="str">
            <v>陈广华</v>
          </cell>
        </row>
        <row r="57">
          <cell r="A57" t="str">
            <v>2601</v>
          </cell>
          <cell r="B57" t="str">
            <v>租赁负债</v>
          </cell>
        </row>
        <row r="58">
          <cell r="A58" t="str">
            <v>2601.01</v>
          </cell>
          <cell r="B58" t="str">
            <v>　　租赁付款额</v>
          </cell>
        </row>
        <row r="59">
          <cell r="A59" t="str">
            <v>2601.01.03</v>
          </cell>
          <cell r="B59" t="str">
            <v>　　　　注册地址</v>
          </cell>
        </row>
        <row r="60">
          <cell r="A60" t="str">
            <v>2601.01.03.02</v>
          </cell>
          <cell r="B60" t="str">
            <v>　　　　　　广州旭智--802房F028</v>
          </cell>
        </row>
        <row r="61">
          <cell r="A61" t="str">
            <v>4001</v>
          </cell>
          <cell r="B61" t="str">
            <v>实收资本（股本）</v>
          </cell>
          <cell r="F61">
            <v>1377820</v>
          </cell>
        </row>
        <row r="62">
          <cell r="A62" t="str">
            <v>4001.11</v>
          </cell>
          <cell r="B62" t="str">
            <v>　　旭智资本（香港）有限公司</v>
          </cell>
          <cell r="F62">
            <v>1377820</v>
          </cell>
        </row>
        <row r="63">
          <cell r="A63" t="str">
            <v>4103</v>
          </cell>
          <cell r="B63" t="str">
            <v>本年利润</v>
          </cell>
          <cell r="F63">
            <v>533058.91</v>
          </cell>
          <cell r="G63">
            <v>574076.91</v>
          </cell>
          <cell r="H63">
            <v>41018</v>
          </cell>
        </row>
        <row r="64">
          <cell r="A64" t="str">
            <v>4104</v>
          </cell>
          <cell r="B64" t="str">
            <v>利润分配</v>
          </cell>
          <cell r="F64">
            <v>-10235808.6</v>
          </cell>
          <cell r="H64">
            <v>881230.3</v>
          </cell>
        </row>
        <row r="65">
          <cell r="A65" t="str">
            <v>4104.07</v>
          </cell>
          <cell r="B65" t="str">
            <v>　　未分配利润</v>
          </cell>
          <cell r="F65">
            <v>-10235808.6</v>
          </cell>
          <cell r="H65">
            <v>881230.3</v>
          </cell>
        </row>
        <row r="66">
          <cell r="A66" t="str">
            <v>6111</v>
          </cell>
          <cell r="B66" t="str">
            <v>投资收益</v>
          </cell>
          <cell r="G66">
            <v>41018</v>
          </cell>
          <cell r="H66">
            <v>41018</v>
          </cell>
        </row>
        <row r="67">
          <cell r="A67" t="str">
            <v>6115</v>
          </cell>
          <cell r="B67" t="str">
            <v>其他收益</v>
          </cell>
        </row>
        <row r="68">
          <cell r="A68" t="str">
            <v>6115.02</v>
          </cell>
          <cell r="B68" t="str">
            <v>　　个税手续费返还</v>
          </cell>
        </row>
        <row r="69">
          <cell r="A69" t="str">
            <v>6301</v>
          </cell>
          <cell r="B69" t="str">
            <v>营业外收入</v>
          </cell>
        </row>
        <row r="70">
          <cell r="A70" t="str">
            <v>6301.99</v>
          </cell>
          <cell r="B70" t="str">
            <v>　　其他</v>
          </cell>
        </row>
        <row r="71">
          <cell r="A71" t="str">
            <v>6405</v>
          </cell>
          <cell r="B71" t="str">
            <v>税金及附加</v>
          </cell>
        </row>
        <row r="72">
          <cell r="A72" t="str">
            <v>6405.01</v>
          </cell>
          <cell r="B72" t="str">
            <v>　　印花税</v>
          </cell>
        </row>
        <row r="73">
          <cell r="A73" t="str">
            <v>6602</v>
          </cell>
          <cell r="B73" t="str">
            <v>管理费用</v>
          </cell>
          <cell r="G73">
            <v>20416.669999999998</v>
          </cell>
          <cell r="H73">
            <v>20416.669999999998</v>
          </cell>
        </row>
        <row r="74">
          <cell r="A74" t="str">
            <v>6602.04</v>
          </cell>
          <cell r="B74" t="str">
            <v>　　咨询及专业服务费</v>
          </cell>
          <cell r="G74">
            <v>20000</v>
          </cell>
          <cell r="H74">
            <v>20000</v>
          </cell>
        </row>
        <row r="75">
          <cell r="A75" t="str">
            <v>6602.04.01</v>
          </cell>
          <cell r="B75" t="str">
            <v>　　　　会计服务费</v>
          </cell>
        </row>
        <row r="76">
          <cell r="A76" t="str">
            <v>6602.04.02</v>
          </cell>
          <cell r="B76" t="str">
            <v>　　　　审计服务费</v>
          </cell>
          <cell r="G76">
            <v>20000</v>
          </cell>
          <cell r="H76">
            <v>20000</v>
          </cell>
        </row>
        <row r="77">
          <cell r="A77" t="str">
            <v>6602.05</v>
          </cell>
          <cell r="B77" t="str">
            <v>　　占用费</v>
          </cell>
        </row>
        <row r="78">
          <cell r="A78" t="str">
            <v>6602.05.07</v>
          </cell>
          <cell r="B78" t="str">
            <v>　　　　租金及物业费</v>
          </cell>
        </row>
        <row r="79">
          <cell r="A79" t="str">
            <v>6602.08</v>
          </cell>
          <cell r="B79" t="str">
            <v>　　事务费用</v>
          </cell>
        </row>
        <row r="80">
          <cell r="A80" t="str">
            <v>6602.08.05</v>
          </cell>
          <cell r="B80" t="str">
            <v>　　　　邮费/邮递费</v>
          </cell>
        </row>
        <row r="81">
          <cell r="A81" t="str">
            <v>6602.08.05</v>
          </cell>
          <cell r="B81" t="str">
            <v>　　　　邮费/邮递费</v>
          </cell>
          <cell r="C81" t="str">
            <v>【未录入】</v>
          </cell>
          <cell r="D81" t="str">
            <v>【未录入】</v>
          </cell>
        </row>
        <row r="82">
          <cell r="A82" t="str">
            <v>6602.08.05</v>
          </cell>
          <cell r="B82" t="str">
            <v>　　　　邮费/邮递费</v>
          </cell>
          <cell r="C82" t="str">
            <v>CI004</v>
          </cell>
          <cell r="D82" t="str">
            <v>广州旭智</v>
          </cell>
        </row>
        <row r="83">
          <cell r="A83" t="str">
            <v>6602.09</v>
          </cell>
          <cell r="B83" t="str">
            <v>　　差旅费</v>
          </cell>
        </row>
        <row r="84">
          <cell r="A84" t="str">
            <v>6602.09.02</v>
          </cell>
          <cell r="B84" t="str">
            <v>　　　　伙食费</v>
          </cell>
        </row>
        <row r="85">
          <cell r="A85" t="str">
            <v>6602.09.02</v>
          </cell>
          <cell r="B85" t="str">
            <v>　　　　伙食费</v>
          </cell>
          <cell r="C85" t="str">
            <v>CI004</v>
          </cell>
          <cell r="D85" t="str">
            <v>广州旭智</v>
          </cell>
        </row>
        <row r="86">
          <cell r="A86" t="str">
            <v>6602.09.03</v>
          </cell>
          <cell r="B86" t="str">
            <v>　　　　地面交通费</v>
          </cell>
        </row>
        <row r="87">
          <cell r="A87" t="str">
            <v>6602.09.03</v>
          </cell>
          <cell r="B87" t="str">
            <v>　　　　地面交通费</v>
          </cell>
          <cell r="C87" t="str">
            <v>CI004</v>
          </cell>
          <cell r="D87" t="str">
            <v>广州旭智</v>
          </cell>
        </row>
        <row r="88">
          <cell r="A88" t="str">
            <v>6602.09.08</v>
          </cell>
          <cell r="B88" t="str">
            <v>　　　　退改费用（机票/火车等）</v>
          </cell>
        </row>
        <row r="89">
          <cell r="A89" t="str">
            <v>6602.09.08</v>
          </cell>
          <cell r="B89" t="str">
            <v>　　　　退改费用（机票/火车等）</v>
          </cell>
          <cell r="C89" t="str">
            <v>CI004</v>
          </cell>
          <cell r="D89" t="str">
            <v>广州旭智</v>
          </cell>
        </row>
        <row r="90">
          <cell r="A90" t="str">
            <v>6602.12</v>
          </cell>
          <cell r="B90" t="str">
            <v>　　使用权资产折旧</v>
          </cell>
          <cell r="G90">
            <v>416.67</v>
          </cell>
          <cell r="H90">
            <v>416.67</v>
          </cell>
        </row>
        <row r="91">
          <cell r="A91" t="str">
            <v>6602.12.03</v>
          </cell>
          <cell r="B91" t="str">
            <v>　　　　注册地址</v>
          </cell>
          <cell r="G91">
            <v>416.67</v>
          </cell>
          <cell r="H91">
            <v>416.67</v>
          </cell>
        </row>
        <row r="92">
          <cell r="A92" t="str">
            <v>6602.12.03.02</v>
          </cell>
          <cell r="B92" t="str">
            <v>　　　　　　广州旭智--802房F028</v>
          </cell>
          <cell r="G92">
            <v>416.67</v>
          </cell>
          <cell r="H92">
            <v>416.67</v>
          </cell>
        </row>
        <row r="93">
          <cell r="A93" t="str">
            <v>6602.12.03.03</v>
          </cell>
          <cell r="B93" t="str">
            <v>　　　　　　广州旭智--311房A138</v>
          </cell>
        </row>
        <row r="94">
          <cell r="A94" t="str">
            <v>6602.15</v>
          </cell>
          <cell r="B94" t="str">
            <v>　　服务费</v>
          </cell>
        </row>
        <row r="95">
          <cell r="A95" t="str">
            <v>6603</v>
          </cell>
          <cell r="B95" t="str">
            <v>财务费用</v>
          </cell>
          <cell r="G95">
            <v>-327570.06</v>
          </cell>
          <cell r="H95">
            <v>-327570.06</v>
          </cell>
        </row>
        <row r="96">
          <cell r="A96" t="str">
            <v>6603.01</v>
          </cell>
          <cell r="B96" t="str">
            <v>　　汇兑损益</v>
          </cell>
          <cell r="G96">
            <v>-327570.51</v>
          </cell>
          <cell r="H96">
            <v>-327570.51</v>
          </cell>
        </row>
        <row r="97">
          <cell r="A97" t="str">
            <v>6603.03</v>
          </cell>
          <cell r="B97" t="str">
            <v>　　银行手续费</v>
          </cell>
          <cell r="G97">
            <v>0.9</v>
          </cell>
          <cell r="H97">
            <v>0.9</v>
          </cell>
        </row>
        <row r="98">
          <cell r="A98" t="str">
            <v>6603.04</v>
          </cell>
          <cell r="B98" t="str">
            <v>　　利息收入</v>
          </cell>
          <cell r="G98">
            <v>-0.45</v>
          </cell>
          <cell r="H98">
            <v>-0.45</v>
          </cell>
        </row>
        <row r="99">
          <cell r="B99" t="str">
            <v>合计</v>
          </cell>
          <cell r="E99">
            <v>37621696.609999999</v>
          </cell>
          <cell r="F99">
            <v>37621696.609999999</v>
          </cell>
          <cell r="G99">
            <v>79755530.480000004</v>
          </cell>
          <cell r="H99">
            <v>79755530.480000004</v>
          </cell>
        </row>
      </sheetData>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月"/>
      <sheetName val="2月"/>
      <sheetName val="3月"/>
      <sheetName val="4月"/>
      <sheetName val="5月"/>
      <sheetName val="6月"/>
      <sheetName val="7月"/>
      <sheetName val="8月"/>
      <sheetName val="9月"/>
      <sheetName val="10月"/>
      <sheetName val="11月"/>
      <sheetName val="12月"/>
    </sheetNames>
    <sheetDataSet>
      <sheetData sheetId="0">
        <row r="1">
          <cell r="A1" t="str">
            <v>币别:人民币</v>
          </cell>
          <cell r="B1" t="str">
            <v>账簿:宜兴旭智投资咨询合伙企业（有限合伙）</v>
          </cell>
          <cell r="C1" t="str">
            <v>期间:2025.1 -- 2025.1</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57930.94</v>
          </cell>
          <cell r="H4">
            <v>195.83</v>
          </cell>
        </row>
        <row r="5">
          <cell r="A5" t="str">
            <v>1002.24</v>
          </cell>
          <cell r="B5" t="str">
            <v>　　【宜兴旭智】银行存款账户</v>
          </cell>
          <cell r="E5">
            <v>57930.94</v>
          </cell>
          <cell r="H5">
            <v>195.83</v>
          </cell>
        </row>
        <row r="6">
          <cell r="A6" t="str">
            <v>1002.24.01</v>
          </cell>
          <cell r="B6" t="str">
            <v>　　　　招商银行账户</v>
          </cell>
          <cell r="E6">
            <v>57930.94</v>
          </cell>
          <cell r="H6">
            <v>195.83</v>
          </cell>
        </row>
        <row r="7">
          <cell r="A7" t="str">
            <v>1002.24.01.01</v>
          </cell>
          <cell r="B7" t="str">
            <v>　　　　　　【宜兴旭智】招商 人民币基本户 0001</v>
          </cell>
          <cell r="E7">
            <v>57930.94</v>
          </cell>
          <cell r="H7">
            <v>195.83</v>
          </cell>
        </row>
        <row r="8">
          <cell r="A8" t="str">
            <v>1101</v>
          </cell>
          <cell r="B8" t="str">
            <v>交易性金融资产</v>
          </cell>
          <cell r="E8">
            <v>43500000</v>
          </cell>
        </row>
        <row r="9">
          <cell r="A9" t="str">
            <v>1101.01</v>
          </cell>
          <cell r="B9" t="str">
            <v>　　投资成本</v>
          </cell>
          <cell r="E9">
            <v>43500000</v>
          </cell>
        </row>
        <row r="10">
          <cell r="A10" t="str">
            <v>1101.01.02</v>
          </cell>
          <cell r="B10" t="str">
            <v>　　　　股权</v>
          </cell>
          <cell r="E10">
            <v>43500000</v>
          </cell>
        </row>
        <row r="11">
          <cell r="A11" t="str">
            <v>1101.01.02.02</v>
          </cell>
          <cell r="B11" t="str">
            <v>　　　　　　旭智富能新能源（深圳）有限责任公司</v>
          </cell>
          <cell r="E11">
            <v>43500000</v>
          </cell>
        </row>
        <row r="12">
          <cell r="A12" t="str">
            <v>4001</v>
          </cell>
          <cell r="B12" t="str">
            <v>实收资本（股本）</v>
          </cell>
          <cell r="F12">
            <v>43560000</v>
          </cell>
        </row>
        <row r="13">
          <cell r="A13" t="str">
            <v>4001.12</v>
          </cell>
          <cell r="B13" t="str">
            <v>　　旭智咨询管理（深圳）有限责任公司</v>
          </cell>
          <cell r="F13">
            <v>4356000</v>
          </cell>
        </row>
        <row r="14">
          <cell r="A14" t="str">
            <v>4001.13</v>
          </cell>
          <cell r="B14" t="str">
            <v>　　广州旭智投资控股有限责任公司</v>
          </cell>
          <cell r="F14">
            <v>39204000</v>
          </cell>
        </row>
        <row r="15">
          <cell r="A15" t="str">
            <v>4103</v>
          </cell>
          <cell r="B15" t="str">
            <v>本年利润</v>
          </cell>
          <cell r="G15">
            <v>195.83</v>
          </cell>
        </row>
        <row r="16">
          <cell r="A16" t="str">
            <v>4104</v>
          </cell>
          <cell r="B16" t="str">
            <v>利润分配</v>
          </cell>
          <cell r="E16">
            <v>2069.06</v>
          </cell>
        </row>
        <row r="17">
          <cell r="A17" t="str">
            <v>4104.07</v>
          </cell>
          <cell r="B17" t="str">
            <v>　　未分配利润</v>
          </cell>
          <cell r="E17">
            <v>2069.06</v>
          </cell>
        </row>
        <row r="18">
          <cell r="A18" t="str">
            <v>6603</v>
          </cell>
          <cell r="B18" t="str">
            <v>财务费用</v>
          </cell>
          <cell r="G18">
            <v>195.83</v>
          </cell>
          <cell r="H18">
            <v>195.83</v>
          </cell>
        </row>
        <row r="19">
          <cell r="A19" t="str">
            <v>6603.03</v>
          </cell>
          <cell r="B19" t="str">
            <v>　　银行手续费</v>
          </cell>
          <cell r="G19">
            <v>195.83</v>
          </cell>
          <cell r="H19">
            <v>195.83</v>
          </cell>
        </row>
        <row r="20">
          <cell r="B20" t="str">
            <v>合计</v>
          </cell>
          <cell r="E20">
            <v>43560000</v>
          </cell>
          <cell r="F20">
            <v>43560000</v>
          </cell>
          <cell r="G20">
            <v>391.66</v>
          </cell>
          <cell r="H20">
            <v>391.66</v>
          </cell>
        </row>
      </sheetData>
      <sheetData sheetId="1">
        <row r="1">
          <cell r="A1" t="str">
            <v>币别:人民币</v>
          </cell>
          <cell r="B1" t="str">
            <v>账簿:宜兴旭智投资咨询合伙企业（有限合伙）</v>
          </cell>
          <cell r="C1" t="str">
            <v>期间:2025.2 -- 2025.2</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57735.11</v>
          </cell>
          <cell r="H4">
            <v>25</v>
          </cell>
        </row>
        <row r="5">
          <cell r="A5" t="str">
            <v>1002.24</v>
          </cell>
          <cell r="B5" t="str">
            <v>　　【宜兴旭智】银行存款账户</v>
          </cell>
          <cell r="E5">
            <v>57735.11</v>
          </cell>
          <cell r="H5">
            <v>25</v>
          </cell>
        </row>
        <row r="6">
          <cell r="A6" t="str">
            <v>1002.24.01</v>
          </cell>
          <cell r="B6" t="str">
            <v>　　　　招商银行账户</v>
          </cell>
          <cell r="E6">
            <v>57735.11</v>
          </cell>
          <cell r="H6">
            <v>25</v>
          </cell>
        </row>
        <row r="7">
          <cell r="A7" t="str">
            <v>1002.24.01.01</v>
          </cell>
          <cell r="B7" t="str">
            <v>　　　　　　【宜兴旭智】招商 人民币基本户 0001</v>
          </cell>
          <cell r="E7">
            <v>57735.11</v>
          </cell>
          <cell r="H7">
            <v>25</v>
          </cell>
        </row>
        <row r="8">
          <cell r="A8" t="str">
            <v>1101</v>
          </cell>
          <cell r="B8" t="str">
            <v>交易性金融资产</v>
          </cell>
          <cell r="E8">
            <v>43500000</v>
          </cell>
        </row>
        <row r="9">
          <cell r="A9" t="str">
            <v>1101.01</v>
          </cell>
          <cell r="B9" t="str">
            <v>　　投资成本</v>
          </cell>
          <cell r="E9">
            <v>43500000</v>
          </cell>
        </row>
        <row r="10">
          <cell r="A10" t="str">
            <v>1101.01.02</v>
          </cell>
          <cell r="B10" t="str">
            <v>　　　　股权</v>
          </cell>
          <cell r="E10">
            <v>43500000</v>
          </cell>
        </row>
        <row r="11">
          <cell r="A11" t="str">
            <v>1101.01.02.02</v>
          </cell>
          <cell r="B11" t="str">
            <v>　　　　　　旭智富能新能源（深圳）有限责任公司</v>
          </cell>
          <cell r="E11">
            <v>43500000</v>
          </cell>
        </row>
        <row r="12">
          <cell r="A12" t="str">
            <v>4001</v>
          </cell>
          <cell r="B12" t="str">
            <v>实收资本（股本）</v>
          </cell>
          <cell r="F12">
            <v>43560000</v>
          </cell>
        </row>
        <row r="13">
          <cell r="A13" t="str">
            <v>4001.12</v>
          </cell>
          <cell r="B13" t="str">
            <v>　　旭智咨询管理（深圳）有限责任公司</v>
          </cell>
          <cell r="F13">
            <v>4356000</v>
          </cell>
        </row>
        <row r="14">
          <cell r="A14" t="str">
            <v>4001.13</v>
          </cell>
          <cell r="B14" t="str">
            <v>　　广州旭智投资控股有限责任公司</v>
          </cell>
          <cell r="F14">
            <v>39204000</v>
          </cell>
        </row>
        <row r="15">
          <cell r="A15" t="str">
            <v>4103</v>
          </cell>
          <cell r="B15" t="str">
            <v>本年利润</v>
          </cell>
          <cell r="E15">
            <v>195.83</v>
          </cell>
          <cell r="G15">
            <v>25</v>
          </cell>
        </row>
        <row r="16">
          <cell r="A16" t="str">
            <v>4104</v>
          </cell>
          <cell r="B16" t="str">
            <v>利润分配</v>
          </cell>
          <cell r="E16">
            <v>2069.06</v>
          </cell>
        </row>
        <row r="17">
          <cell r="A17" t="str">
            <v>4104.07</v>
          </cell>
          <cell r="B17" t="str">
            <v>　　未分配利润</v>
          </cell>
          <cell r="E17">
            <v>2069.06</v>
          </cell>
        </row>
        <row r="18">
          <cell r="A18" t="str">
            <v>6603</v>
          </cell>
          <cell r="B18" t="str">
            <v>财务费用</v>
          </cell>
          <cell r="G18">
            <v>25</v>
          </cell>
          <cell r="H18">
            <v>25</v>
          </cell>
        </row>
        <row r="19">
          <cell r="A19" t="str">
            <v>6603.03</v>
          </cell>
          <cell r="B19" t="str">
            <v>　　银行手续费</v>
          </cell>
          <cell r="G19">
            <v>25</v>
          </cell>
          <cell r="H19">
            <v>25</v>
          </cell>
        </row>
        <row r="20">
          <cell r="B20" t="str">
            <v>合计</v>
          </cell>
          <cell r="E20">
            <v>43560000</v>
          </cell>
          <cell r="F20">
            <v>43560000</v>
          </cell>
          <cell r="G20">
            <v>50</v>
          </cell>
          <cell r="H20">
            <v>50</v>
          </cell>
        </row>
      </sheetData>
      <sheetData sheetId="2">
        <row r="1">
          <cell r="A1" t="str">
            <v>币别:人民币</v>
          </cell>
          <cell r="B1" t="str">
            <v>账簿:宜兴旭智投资咨询合伙企业（有限合伙）</v>
          </cell>
          <cell r="C1" t="str">
            <v>期间:2025.3 -- 2025.3</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57710.11</v>
          </cell>
          <cell r="G4">
            <v>14.51</v>
          </cell>
          <cell r="H4">
            <v>25</v>
          </cell>
        </row>
        <row r="5">
          <cell r="A5" t="str">
            <v>1002.24</v>
          </cell>
          <cell r="B5" t="str">
            <v>　　【宜兴旭智】银行存款账户</v>
          </cell>
          <cell r="E5">
            <v>57710.11</v>
          </cell>
          <cell r="G5">
            <v>14.51</v>
          </cell>
          <cell r="H5">
            <v>25</v>
          </cell>
        </row>
        <row r="6">
          <cell r="A6" t="str">
            <v>1002.24.01</v>
          </cell>
          <cell r="B6" t="str">
            <v>　　　　招商银行账户</v>
          </cell>
          <cell r="E6">
            <v>57710.11</v>
          </cell>
          <cell r="G6">
            <v>14.51</v>
          </cell>
          <cell r="H6">
            <v>25</v>
          </cell>
        </row>
        <row r="7">
          <cell r="A7" t="str">
            <v>1002.24.01.01</v>
          </cell>
          <cell r="B7" t="str">
            <v>　　　　　　【宜兴旭智】招商 人民币基本户 0001</v>
          </cell>
          <cell r="E7">
            <v>57710.11</v>
          </cell>
          <cell r="G7">
            <v>14.51</v>
          </cell>
          <cell r="H7">
            <v>25</v>
          </cell>
        </row>
        <row r="8">
          <cell r="A8" t="str">
            <v>1101</v>
          </cell>
          <cell r="B8" t="str">
            <v>交易性金融资产</v>
          </cell>
          <cell r="E8">
            <v>43500000</v>
          </cell>
        </row>
        <row r="9">
          <cell r="A9" t="str">
            <v>1101.01</v>
          </cell>
          <cell r="B9" t="str">
            <v>　　投资成本</v>
          </cell>
          <cell r="E9">
            <v>43500000</v>
          </cell>
        </row>
        <row r="10">
          <cell r="A10" t="str">
            <v>1101.01.02</v>
          </cell>
          <cell r="B10" t="str">
            <v>　　　　股权</v>
          </cell>
          <cell r="E10">
            <v>43500000</v>
          </cell>
        </row>
        <row r="11">
          <cell r="A11" t="str">
            <v>1101.01.02.02</v>
          </cell>
          <cell r="B11" t="str">
            <v>　　　　　　旭智富能新能源（深圳）有限责任公司</v>
          </cell>
          <cell r="E11">
            <v>43500000</v>
          </cell>
        </row>
        <row r="12">
          <cell r="A12" t="str">
            <v>4001</v>
          </cell>
          <cell r="B12" t="str">
            <v>实收资本（股本）</v>
          </cell>
          <cell r="F12">
            <v>43560000</v>
          </cell>
        </row>
        <row r="13">
          <cell r="A13" t="str">
            <v>4001.12</v>
          </cell>
          <cell r="B13" t="str">
            <v>　　旭智咨询管理（深圳）有限责任公司</v>
          </cell>
          <cell r="F13">
            <v>4356000</v>
          </cell>
        </row>
        <row r="14">
          <cell r="A14" t="str">
            <v>4001.13</v>
          </cell>
          <cell r="B14" t="str">
            <v>　　广州旭智投资控股有限责任公司</v>
          </cell>
          <cell r="F14">
            <v>39204000</v>
          </cell>
        </row>
        <row r="15">
          <cell r="A15" t="str">
            <v>4103</v>
          </cell>
          <cell r="B15" t="str">
            <v>本年利润</v>
          </cell>
          <cell r="E15">
            <v>220.83</v>
          </cell>
          <cell r="G15">
            <v>10.49</v>
          </cell>
        </row>
        <row r="16">
          <cell r="A16" t="str">
            <v>4104</v>
          </cell>
          <cell r="B16" t="str">
            <v>利润分配</v>
          </cell>
          <cell r="E16">
            <v>2069.06</v>
          </cell>
        </row>
        <row r="17">
          <cell r="A17" t="str">
            <v>4104.07</v>
          </cell>
          <cell r="B17" t="str">
            <v>　　未分配利润</v>
          </cell>
          <cell r="E17">
            <v>2069.06</v>
          </cell>
        </row>
        <row r="18">
          <cell r="A18" t="str">
            <v>6603</v>
          </cell>
          <cell r="B18" t="str">
            <v>财务费用</v>
          </cell>
          <cell r="G18">
            <v>10.49</v>
          </cell>
          <cell r="H18">
            <v>10.49</v>
          </cell>
        </row>
        <row r="19">
          <cell r="A19" t="str">
            <v>6603.03</v>
          </cell>
          <cell r="B19" t="str">
            <v>　　银行手续费</v>
          </cell>
          <cell r="G19">
            <v>25</v>
          </cell>
          <cell r="H19">
            <v>25</v>
          </cell>
        </row>
        <row r="20">
          <cell r="A20" t="str">
            <v>6603.04</v>
          </cell>
          <cell r="B20" t="str">
            <v>　　利息收入</v>
          </cell>
          <cell r="G20">
            <v>-14.51</v>
          </cell>
          <cell r="H20">
            <v>-14.51</v>
          </cell>
        </row>
        <row r="21">
          <cell r="B21" t="str">
            <v>合计</v>
          </cell>
          <cell r="E21">
            <v>43560000</v>
          </cell>
          <cell r="F21">
            <v>43560000</v>
          </cell>
          <cell r="G21">
            <v>35.49</v>
          </cell>
          <cell r="H21">
            <v>35.49</v>
          </cell>
        </row>
      </sheetData>
      <sheetData sheetId="3">
        <row r="1">
          <cell r="A1" t="str">
            <v>币别:人民币</v>
          </cell>
          <cell r="B1" t="str">
            <v>账簿:宜兴旭智投资咨询合伙企业（有限合伙）</v>
          </cell>
          <cell r="C1" t="str">
            <v>期间:2025.4 -- 2025.4</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57699.62</v>
          </cell>
          <cell r="H4">
            <v>25</v>
          </cell>
        </row>
        <row r="5">
          <cell r="A5" t="str">
            <v>1002.24</v>
          </cell>
          <cell r="B5" t="str">
            <v>　　【宜兴旭智】银行存款账户</v>
          </cell>
          <cell r="E5">
            <v>57699.62</v>
          </cell>
          <cell r="H5">
            <v>25</v>
          </cell>
        </row>
        <row r="6">
          <cell r="A6" t="str">
            <v>1002.24.01</v>
          </cell>
          <cell r="B6" t="str">
            <v>　　　　招商银行账户</v>
          </cell>
          <cell r="E6">
            <v>57699.62</v>
          </cell>
          <cell r="H6">
            <v>25</v>
          </cell>
        </row>
        <row r="7">
          <cell r="A7" t="str">
            <v>1002.24.01.01</v>
          </cell>
          <cell r="B7" t="str">
            <v>　　　　　　【宜兴旭智】招商 人民币基本户 0001</v>
          </cell>
          <cell r="E7">
            <v>57699.62</v>
          </cell>
          <cell r="H7">
            <v>25</v>
          </cell>
        </row>
        <row r="8">
          <cell r="A8" t="str">
            <v>1101</v>
          </cell>
          <cell r="B8" t="str">
            <v>交易性金融资产</v>
          </cell>
          <cell r="E8">
            <v>43500000</v>
          </cell>
          <cell r="H8">
            <v>43500000</v>
          </cell>
        </row>
        <row r="9">
          <cell r="A9" t="str">
            <v>1101.01</v>
          </cell>
          <cell r="B9" t="str">
            <v>　　投资成本</v>
          </cell>
          <cell r="E9">
            <v>43500000</v>
          </cell>
          <cell r="H9">
            <v>43500000</v>
          </cell>
        </row>
        <row r="10">
          <cell r="A10" t="str">
            <v>1101.01.02</v>
          </cell>
          <cell r="B10" t="str">
            <v>　　　　股权</v>
          </cell>
          <cell r="E10">
            <v>43500000</v>
          </cell>
          <cell r="H10">
            <v>43500000</v>
          </cell>
        </row>
        <row r="11">
          <cell r="A11" t="str">
            <v>1101.01.02.02</v>
          </cell>
          <cell r="B11" t="str">
            <v>　　　　　　旭智富能新能源（深圳）有限责任公司</v>
          </cell>
          <cell r="E11">
            <v>43500000</v>
          </cell>
          <cell r="H11">
            <v>43500000</v>
          </cell>
        </row>
        <row r="12">
          <cell r="A12" t="str">
            <v>1511</v>
          </cell>
          <cell r="B12" t="str">
            <v>长期股权投资</v>
          </cell>
          <cell r="G12">
            <v>43500000</v>
          </cell>
        </row>
        <row r="13">
          <cell r="A13" t="str">
            <v>1511.01</v>
          </cell>
          <cell r="B13" t="str">
            <v>　　投资成本</v>
          </cell>
          <cell r="G13">
            <v>43500000</v>
          </cell>
        </row>
        <row r="14">
          <cell r="A14" t="str">
            <v>1511.01.09</v>
          </cell>
          <cell r="B14" t="str">
            <v>　　　　旭智富能新能源（深圳）有限责任公司</v>
          </cell>
          <cell r="G14">
            <v>43500000</v>
          </cell>
        </row>
        <row r="15">
          <cell r="A15" t="str">
            <v>4001</v>
          </cell>
          <cell r="B15" t="str">
            <v>实收资本（股本）</v>
          </cell>
          <cell r="F15">
            <v>43560000</v>
          </cell>
        </row>
        <row r="16">
          <cell r="A16" t="str">
            <v>4001.12</v>
          </cell>
          <cell r="B16" t="str">
            <v>　　旭智咨询管理（深圳）有限责任公司</v>
          </cell>
          <cell r="F16">
            <v>4356000</v>
          </cell>
        </row>
        <row r="17">
          <cell r="A17" t="str">
            <v>4001.13</v>
          </cell>
          <cell r="B17" t="str">
            <v>　　广州旭智投资控股有限责任公司</v>
          </cell>
          <cell r="F17">
            <v>39204000</v>
          </cell>
        </row>
        <row r="18">
          <cell r="A18" t="str">
            <v>4103</v>
          </cell>
          <cell r="B18" t="str">
            <v>本年利润</v>
          </cell>
          <cell r="E18">
            <v>231.32</v>
          </cell>
          <cell r="G18">
            <v>25</v>
          </cell>
        </row>
        <row r="19">
          <cell r="A19" t="str">
            <v>4104</v>
          </cell>
          <cell r="B19" t="str">
            <v>利润分配</v>
          </cell>
          <cell r="E19">
            <v>2069.06</v>
          </cell>
        </row>
        <row r="20">
          <cell r="A20" t="str">
            <v>4104.07</v>
          </cell>
          <cell r="B20" t="str">
            <v>　　未分配利润</v>
          </cell>
          <cell r="E20">
            <v>2069.06</v>
          </cell>
        </row>
        <row r="21">
          <cell r="A21" t="str">
            <v>6603</v>
          </cell>
          <cell r="B21" t="str">
            <v>财务费用</v>
          </cell>
          <cell r="G21">
            <v>25</v>
          </cell>
          <cell r="H21">
            <v>25</v>
          </cell>
        </row>
        <row r="22">
          <cell r="A22" t="str">
            <v>6603.03</v>
          </cell>
          <cell r="B22" t="str">
            <v>　　银行手续费</v>
          </cell>
          <cell r="G22">
            <v>25</v>
          </cell>
          <cell r="H22">
            <v>25</v>
          </cell>
        </row>
        <row r="23">
          <cell r="A23" t="str">
            <v>6603.04</v>
          </cell>
          <cell r="B23" t="str">
            <v>　　利息收入</v>
          </cell>
        </row>
        <row r="24">
          <cell r="B24" t="str">
            <v>合计</v>
          </cell>
          <cell r="E24">
            <v>43560000</v>
          </cell>
          <cell r="F24">
            <v>43560000</v>
          </cell>
          <cell r="G24">
            <v>43500050</v>
          </cell>
          <cell r="H24">
            <v>43500050</v>
          </cell>
        </row>
      </sheetData>
      <sheetData sheetId="4">
        <row r="1">
          <cell r="A1" t="str">
            <v>币别:人民币</v>
          </cell>
          <cell r="B1" t="str">
            <v>账簿:宜兴旭智投资咨询合伙企业（有限合伙）</v>
          </cell>
          <cell r="C1" t="str">
            <v>期间:2025.5 -- 2025.5</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57674.62</v>
          </cell>
          <cell r="H4">
            <v>25</v>
          </cell>
        </row>
        <row r="5">
          <cell r="A5" t="str">
            <v>1002.24</v>
          </cell>
          <cell r="B5" t="str">
            <v>　　【宜兴旭智】银行存款账户</v>
          </cell>
          <cell r="E5">
            <v>57674.62</v>
          </cell>
          <cell r="H5">
            <v>25</v>
          </cell>
        </row>
        <row r="6">
          <cell r="A6" t="str">
            <v>1002.24.01</v>
          </cell>
          <cell r="B6" t="str">
            <v>　　　　招商银行账户</v>
          </cell>
          <cell r="E6">
            <v>57674.62</v>
          </cell>
          <cell r="H6">
            <v>25</v>
          </cell>
        </row>
        <row r="7">
          <cell r="A7" t="str">
            <v>1002.24.01.01</v>
          </cell>
          <cell r="B7" t="str">
            <v>　　　　　　【宜兴旭智】招商 人民币基本户 0001</v>
          </cell>
          <cell r="E7">
            <v>57674.62</v>
          </cell>
          <cell r="H7">
            <v>25</v>
          </cell>
        </row>
        <row r="8">
          <cell r="A8" t="str">
            <v>1101</v>
          </cell>
          <cell r="B8" t="str">
            <v>交易性金融资产</v>
          </cell>
        </row>
        <row r="9">
          <cell r="A9" t="str">
            <v>1101.01</v>
          </cell>
          <cell r="B9" t="str">
            <v>　　投资成本</v>
          </cell>
        </row>
        <row r="10">
          <cell r="A10" t="str">
            <v>1101.01.02</v>
          </cell>
          <cell r="B10" t="str">
            <v>　　　　股权</v>
          </cell>
        </row>
        <row r="11">
          <cell r="A11" t="str">
            <v>1101.01.02.02</v>
          </cell>
          <cell r="B11" t="str">
            <v>　　　　　　旭智富能新能源（深圳）有限责任公司</v>
          </cell>
        </row>
        <row r="12">
          <cell r="A12" t="str">
            <v>1511</v>
          </cell>
          <cell r="B12" t="str">
            <v>长期股权投资</v>
          </cell>
          <cell r="E12">
            <v>43500000</v>
          </cell>
        </row>
        <row r="13">
          <cell r="A13" t="str">
            <v>1511.01</v>
          </cell>
          <cell r="B13" t="str">
            <v>　　投资成本</v>
          </cell>
          <cell r="E13">
            <v>43500000</v>
          </cell>
        </row>
        <row r="14">
          <cell r="A14" t="str">
            <v>1511.01.09</v>
          </cell>
          <cell r="B14" t="str">
            <v>　　　　旭智富能新能源（深圳）有限责任公司</v>
          </cell>
          <cell r="E14">
            <v>43500000</v>
          </cell>
        </row>
        <row r="15">
          <cell r="A15" t="str">
            <v>4001</v>
          </cell>
          <cell r="B15" t="str">
            <v>实收资本（股本）</v>
          </cell>
          <cell r="F15">
            <v>43560000</v>
          </cell>
        </row>
        <row r="16">
          <cell r="A16" t="str">
            <v>4001.12</v>
          </cell>
          <cell r="B16" t="str">
            <v>　　旭智咨询管理（深圳）有限责任公司</v>
          </cell>
          <cell r="F16">
            <v>4356000</v>
          </cell>
        </row>
        <row r="17">
          <cell r="A17" t="str">
            <v>4001.13</v>
          </cell>
          <cell r="B17" t="str">
            <v>　　广州旭智投资控股有限责任公司</v>
          </cell>
          <cell r="F17">
            <v>39204000</v>
          </cell>
        </row>
        <row r="18">
          <cell r="A18" t="str">
            <v>4103</v>
          </cell>
          <cell r="B18" t="str">
            <v>本年利润</v>
          </cell>
          <cell r="E18">
            <v>256.32</v>
          </cell>
          <cell r="G18">
            <v>25</v>
          </cell>
        </row>
        <row r="19">
          <cell r="A19" t="str">
            <v>4104</v>
          </cell>
          <cell r="B19" t="str">
            <v>利润分配</v>
          </cell>
          <cell r="E19">
            <v>2069.06</v>
          </cell>
        </row>
        <row r="20">
          <cell r="A20" t="str">
            <v>4104.07</v>
          </cell>
          <cell r="B20" t="str">
            <v>　　未分配利润</v>
          </cell>
          <cell r="E20">
            <v>2069.06</v>
          </cell>
        </row>
        <row r="21">
          <cell r="A21" t="str">
            <v>6603</v>
          </cell>
          <cell r="B21" t="str">
            <v>财务费用</v>
          </cell>
          <cell r="G21">
            <v>25</v>
          </cell>
          <cell r="H21">
            <v>25</v>
          </cell>
        </row>
        <row r="22">
          <cell r="A22" t="str">
            <v>6603.03</v>
          </cell>
          <cell r="B22" t="str">
            <v>　　银行手续费</v>
          </cell>
          <cell r="G22">
            <v>25</v>
          </cell>
          <cell r="H22">
            <v>25</v>
          </cell>
        </row>
        <row r="23">
          <cell r="A23" t="str">
            <v>6603.04</v>
          </cell>
          <cell r="B23" t="str">
            <v>　　利息收入</v>
          </cell>
        </row>
        <row r="24">
          <cell r="B24" t="str">
            <v>合计</v>
          </cell>
          <cell r="E24">
            <v>43560000</v>
          </cell>
          <cell r="F24">
            <v>43560000</v>
          </cell>
          <cell r="G24">
            <v>50</v>
          </cell>
          <cell r="H24">
            <v>50</v>
          </cell>
        </row>
      </sheetData>
      <sheetData sheetId="5">
        <row r="1">
          <cell r="A1" t="str">
            <v>币别:人民币</v>
          </cell>
          <cell r="B1" t="str">
            <v>账簿:宜兴旭智投资咨询合伙企业（有限合伙）</v>
          </cell>
          <cell r="C1" t="str">
            <v>期间:2025.6 -- 2025.6</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57649.62</v>
          </cell>
          <cell r="G4">
            <v>12.17</v>
          </cell>
          <cell r="H4">
            <v>25</v>
          </cell>
        </row>
        <row r="5">
          <cell r="A5" t="str">
            <v>1002.24</v>
          </cell>
          <cell r="B5" t="str">
            <v>　　【宜兴旭智】银行存款账户</v>
          </cell>
          <cell r="E5">
            <v>57649.62</v>
          </cell>
          <cell r="G5">
            <v>12.17</v>
          </cell>
          <cell r="H5">
            <v>25</v>
          </cell>
        </row>
        <row r="6">
          <cell r="A6" t="str">
            <v>1002.24.01</v>
          </cell>
          <cell r="B6" t="str">
            <v>　　　　招商银行账户</v>
          </cell>
          <cell r="E6">
            <v>57649.62</v>
          </cell>
          <cell r="G6">
            <v>12.17</v>
          </cell>
          <cell r="H6">
            <v>25</v>
          </cell>
        </row>
        <row r="7">
          <cell r="A7" t="str">
            <v>1002.24.01.01</v>
          </cell>
          <cell r="B7" t="str">
            <v>　　　　　　【宜兴旭智】招商 人民币基本户 0001</v>
          </cell>
          <cell r="E7">
            <v>57649.62</v>
          </cell>
          <cell r="G7">
            <v>12.17</v>
          </cell>
          <cell r="H7">
            <v>25</v>
          </cell>
        </row>
        <row r="8">
          <cell r="A8" t="str">
            <v>1101</v>
          </cell>
          <cell r="B8" t="str">
            <v>交易性金融资产</v>
          </cell>
        </row>
        <row r="9">
          <cell r="A9" t="str">
            <v>1101.01</v>
          </cell>
          <cell r="B9" t="str">
            <v>　　投资成本</v>
          </cell>
        </row>
        <row r="10">
          <cell r="A10" t="str">
            <v>1101.01.02</v>
          </cell>
          <cell r="B10" t="str">
            <v>　　　　股权</v>
          </cell>
        </row>
        <row r="11">
          <cell r="A11" t="str">
            <v>1101.01.02.02</v>
          </cell>
          <cell r="B11" t="str">
            <v>　　　　　　旭智富能新能源（深圳）有限责任公司</v>
          </cell>
        </row>
        <row r="12">
          <cell r="A12" t="str">
            <v>1511</v>
          </cell>
          <cell r="B12" t="str">
            <v>长期股权投资</v>
          </cell>
          <cell r="E12">
            <v>43500000</v>
          </cell>
        </row>
        <row r="13">
          <cell r="A13" t="str">
            <v>1511.01</v>
          </cell>
          <cell r="B13" t="str">
            <v>　　投资成本</v>
          </cell>
          <cell r="E13">
            <v>43500000</v>
          </cell>
        </row>
        <row r="14">
          <cell r="A14" t="str">
            <v>1511.01.09</v>
          </cell>
          <cell r="B14" t="str">
            <v>　　　　旭智富能新能源（深圳）有限责任公司</v>
          </cell>
          <cell r="E14">
            <v>43500000</v>
          </cell>
        </row>
        <row r="15">
          <cell r="A15" t="str">
            <v>4001</v>
          </cell>
          <cell r="B15" t="str">
            <v>实收资本（股本）</v>
          </cell>
          <cell r="F15">
            <v>43560000</v>
          </cell>
        </row>
        <row r="16">
          <cell r="A16" t="str">
            <v>4001.12</v>
          </cell>
          <cell r="B16" t="str">
            <v>　　旭智咨询管理（深圳）有限责任公司</v>
          </cell>
          <cell r="F16">
            <v>4356000</v>
          </cell>
        </row>
        <row r="17">
          <cell r="A17" t="str">
            <v>4001.13</v>
          </cell>
          <cell r="B17" t="str">
            <v>　　广州旭智投资控股有限责任公司</v>
          </cell>
          <cell r="F17">
            <v>39204000</v>
          </cell>
        </row>
        <row r="18">
          <cell r="A18" t="str">
            <v>4103</v>
          </cell>
          <cell r="B18" t="str">
            <v>本年利润</v>
          </cell>
          <cell r="E18">
            <v>281.32</v>
          </cell>
          <cell r="G18">
            <v>12.83</v>
          </cell>
        </row>
        <row r="19">
          <cell r="A19" t="str">
            <v>4104</v>
          </cell>
          <cell r="B19" t="str">
            <v>利润分配</v>
          </cell>
          <cell r="E19">
            <v>2069.06</v>
          </cell>
        </row>
        <row r="20">
          <cell r="A20" t="str">
            <v>4104.07</v>
          </cell>
          <cell r="B20" t="str">
            <v>　　未分配利润</v>
          </cell>
          <cell r="E20">
            <v>2069.06</v>
          </cell>
        </row>
        <row r="21">
          <cell r="A21" t="str">
            <v>6603</v>
          </cell>
          <cell r="B21" t="str">
            <v>财务费用</v>
          </cell>
          <cell r="G21">
            <v>12.83</v>
          </cell>
          <cell r="H21">
            <v>12.83</v>
          </cell>
        </row>
        <row r="22">
          <cell r="A22" t="str">
            <v>6603.03</v>
          </cell>
          <cell r="B22" t="str">
            <v>　　银行手续费</v>
          </cell>
          <cell r="G22">
            <v>25</v>
          </cell>
          <cell r="H22">
            <v>25</v>
          </cell>
        </row>
        <row r="23">
          <cell r="A23" t="str">
            <v>6603.04</v>
          </cell>
          <cell r="B23" t="str">
            <v>　　利息收入</v>
          </cell>
          <cell r="G23">
            <v>-12.17</v>
          </cell>
          <cell r="H23">
            <v>-12.17</v>
          </cell>
        </row>
        <row r="24">
          <cell r="B24" t="str">
            <v>合计</v>
          </cell>
          <cell r="E24">
            <v>43560000</v>
          </cell>
          <cell r="F24">
            <v>43560000</v>
          </cell>
          <cell r="G24">
            <v>37.83</v>
          </cell>
          <cell r="H24">
            <v>37.83</v>
          </cell>
        </row>
      </sheetData>
      <sheetData sheetId="6">
        <row r="1">
          <cell r="A1" t="str">
            <v>币别:人民币</v>
          </cell>
          <cell r="B1" t="str">
            <v>账簿:宜兴旭智投资咨询合伙企业（有限合伙）</v>
          </cell>
          <cell r="C1" t="str">
            <v>期间:2025.7 -- 2025.7</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57636.79</v>
          </cell>
          <cell r="H4">
            <v>25</v>
          </cell>
        </row>
        <row r="5">
          <cell r="A5" t="str">
            <v>1002.24</v>
          </cell>
          <cell r="B5" t="str">
            <v>　　【宜兴旭智】银行存款账户</v>
          </cell>
          <cell r="E5">
            <v>57636.79</v>
          </cell>
          <cell r="H5">
            <v>25</v>
          </cell>
        </row>
        <row r="6">
          <cell r="A6" t="str">
            <v>1002.24.01</v>
          </cell>
          <cell r="B6" t="str">
            <v>　　　　招商银行账户</v>
          </cell>
          <cell r="E6">
            <v>57636.79</v>
          </cell>
          <cell r="H6">
            <v>25</v>
          </cell>
        </row>
        <row r="7">
          <cell r="A7" t="str">
            <v>1002.24.01.01</v>
          </cell>
          <cell r="B7" t="str">
            <v>　　　　　　【宜兴旭智】招商 人民币基本户 0001</v>
          </cell>
          <cell r="E7">
            <v>57636.79</v>
          </cell>
          <cell r="H7">
            <v>25</v>
          </cell>
        </row>
        <row r="8">
          <cell r="A8" t="str">
            <v>1101</v>
          </cell>
          <cell r="B8" t="str">
            <v>交易性金融资产</v>
          </cell>
        </row>
        <row r="9">
          <cell r="A9" t="str">
            <v>1101.01</v>
          </cell>
          <cell r="B9" t="str">
            <v>　　投资成本</v>
          </cell>
        </row>
        <row r="10">
          <cell r="A10" t="str">
            <v>1101.01.02</v>
          </cell>
          <cell r="B10" t="str">
            <v>　　　　股权</v>
          </cell>
        </row>
        <row r="11">
          <cell r="A11" t="str">
            <v>1101.01.02.02</v>
          </cell>
          <cell r="B11" t="str">
            <v>　　　　　　旭智富能新能源（深圳）有限责任公司</v>
          </cell>
        </row>
        <row r="12">
          <cell r="A12" t="str">
            <v>1511</v>
          </cell>
          <cell r="B12" t="str">
            <v>长期股权投资</v>
          </cell>
          <cell r="E12">
            <v>43500000</v>
          </cell>
        </row>
        <row r="13">
          <cell r="A13" t="str">
            <v>1511.01</v>
          </cell>
          <cell r="B13" t="str">
            <v>　　投资成本</v>
          </cell>
          <cell r="E13">
            <v>43500000</v>
          </cell>
        </row>
        <row r="14">
          <cell r="A14" t="str">
            <v>1511.01.09</v>
          </cell>
          <cell r="B14" t="str">
            <v>　　　　旭智富能新能源（深圳）有限责任公司</v>
          </cell>
          <cell r="E14">
            <v>43500000</v>
          </cell>
        </row>
        <row r="15">
          <cell r="A15" t="str">
            <v>4001</v>
          </cell>
          <cell r="B15" t="str">
            <v>实收资本（股本）</v>
          </cell>
          <cell r="F15">
            <v>43560000</v>
          </cell>
        </row>
        <row r="16">
          <cell r="A16" t="str">
            <v>4001.12</v>
          </cell>
          <cell r="B16" t="str">
            <v>　　旭智咨询管理（深圳）有限责任公司</v>
          </cell>
          <cell r="F16">
            <v>4356000</v>
          </cell>
        </row>
        <row r="17">
          <cell r="A17" t="str">
            <v>4001.13</v>
          </cell>
          <cell r="B17" t="str">
            <v>　　广州旭智投资控股有限责任公司</v>
          </cell>
          <cell r="F17">
            <v>39204000</v>
          </cell>
        </row>
        <row r="18">
          <cell r="A18" t="str">
            <v>4103</v>
          </cell>
          <cell r="B18" t="str">
            <v>本年利润</v>
          </cell>
          <cell r="E18">
            <v>294.14999999999998</v>
          </cell>
          <cell r="G18">
            <v>25</v>
          </cell>
        </row>
        <row r="19">
          <cell r="A19" t="str">
            <v>4104</v>
          </cell>
          <cell r="B19" t="str">
            <v>利润分配</v>
          </cell>
          <cell r="E19">
            <v>2069.06</v>
          </cell>
        </row>
        <row r="20">
          <cell r="A20" t="str">
            <v>4104.07</v>
          </cell>
          <cell r="B20" t="str">
            <v>　　未分配利润</v>
          </cell>
          <cell r="E20">
            <v>2069.06</v>
          </cell>
        </row>
        <row r="21">
          <cell r="A21" t="str">
            <v>6603</v>
          </cell>
          <cell r="B21" t="str">
            <v>财务费用</v>
          </cell>
          <cell r="G21">
            <v>25</v>
          </cell>
          <cell r="H21">
            <v>25</v>
          </cell>
        </row>
        <row r="22">
          <cell r="A22" t="str">
            <v>6603.03</v>
          </cell>
          <cell r="B22" t="str">
            <v>　　银行手续费</v>
          </cell>
          <cell r="G22">
            <v>25</v>
          </cell>
          <cell r="H22">
            <v>25</v>
          </cell>
        </row>
        <row r="23">
          <cell r="A23" t="str">
            <v>6603.04</v>
          </cell>
          <cell r="B23" t="str">
            <v>　　利息收入</v>
          </cell>
        </row>
        <row r="24">
          <cell r="B24" t="str">
            <v>合计</v>
          </cell>
          <cell r="E24">
            <v>43560000</v>
          </cell>
          <cell r="F24">
            <v>43560000</v>
          </cell>
          <cell r="G24">
            <v>50</v>
          </cell>
          <cell r="H24">
            <v>50</v>
          </cell>
        </row>
      </sheetData>
      <sheetData sheetId="7">
        <row r="1">
          <cell r="A1" t="str">
            <v>币别:人民币</v>
          </cell>
          <cell r="B1" t="str">
            <v>账簿:宜兴旭智投资咨询合伙企业（有限合伙）</v>
          </cell>
          <cell r="C1" t="str">
            <v>期间:2025.8 -- 2025.8</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57611.79</v>
          </cell>
          <cell r="G4">
            <v>3600000</v>
          </cell>
          <cell r="H4">
            <v>3600025</v>
          </cell>
        </row>
        <row r="5">
          <cell r="A5" t="str">
            <v>1002.24</v>
          </cell>
          <cell r="B5" t="str">
            <v>　　【宜兴旭智】银行存款账户</v>
          </cell>
          <cell r="E5">
            <v>57611.79</v>
          </cell>
          <cell r="G5">
            <v>3600000</v>
          </cell>
          <cell r="H5">
            <v>3600025</v>
          </cell>
        </row>
        <row r="6">
          <cell r="A6" t="str">
            <v>1002.24.01</v>
          </cell>
          <cell r="B6" t="str">
            <v>　　　　招商银行账户</v>
          </cell>
          <cell r="E6">
            <v>57611.79</v>
          </cell>
          <cell r="G6">
            <v>3600000</v>
          </cell>
          <cell r="H6">
            <v>3600025</v>
          </cell>
        </row>
        <row r="7">
          <cell r="A7" t="str">
            <v>1002.24.01.01</v>
          </cell>
          <cell r="B7" t="str">
            <v>　　　　　　【宜兴旭智】招商 人民币基本户 0001</v>
          </cell>
          <cell r="E7">
            <v>57611.79</v>
          </cell>
          <cell r="G7">
            <v>3600000</v>
          </cell>
          <cell r="H7">
            <v>3600025</v>
          </cell>
        </row>
        <row r="8">
          <cell r="A8" t="str">
            <v>1101</v>
          </cell>
          <cell r="B8" t="str">
            <v>交易性金融资产</v>
          </cell>
        </row>
        <row r="9">
          <cell r="A9" t="str">
            <v>1101.01</v>
          </cell>
          <cell r="B9" t="str">
            <v>　　投资成本</v>
          </cell>
        </row>
        <row r="10">
          <cell r="A10" t="str">
            <v>1101.01.02</v>
          </cell>
          <cell r="B10" t="str">
            <v>　　　　股权</v>
          </cell>
        </row>
        <row r="11">
          <cell r="A11" t="str">
            <v>1101.01.02.02</v>
          </cell>
          <cell r="B11" t="str">
            <v>　　　　　　旭智富能新能源（深圳）有限责任公司</v>
          </cell>
        </row>
        <row r="12">
          <cell r="A12" t="str">
            <v>1511</v>
          </cell>
          <cell r="B12" t="str">
            <v>长期股权投资</v>
          </cell>
          <cell r="E12">
            <v>43500000</v>
          </cell>
        </row>
        <row r="13">
          <cell r="A13" t="str">
            <v>1511.01</v>
          </cell>
          <cell r="B13" t="str">
            <v>　　投资成本</v>
          </cell>
          <cell r="E13">
            <v>43500000</v>
          </cell>
        </row>
        <row r="14">
          <cell r="A14" t="str">
            <v>1511.01.09</v>
          </cell>
          <cell r="B14" t="str">
            <v>　　　　旭智富能新能源（深圳）有限责任公司</v>
          </cell>
          <cell r="E14">
            <v>43500000</v>
          </cell>
        </row>
        <row r="15">
          <cell r="A15" t="str">
            <v>2231</v>
          </cell>
          <cell r="B15" t="str">
            <v>应付利息</v>
          </cell>
          <cell r="H15">
            <v>4832.88</v>
          </cell>
        </row>
        <row r="16">
          <cell r="A16" t="str">
            <v>2231</v>
          </cell>
          <cell r="B16" t="str">
            <v>应付利息</v>
          </cell>
          <cell r="C16" t="str">
            <v>OU008001</v>
          </cell>
          <cell r="D16" t="str">
            <v>和谐天明投资管理(北京)有限公司</v>
          </cell>
          <cell r="H16">
            <v>4832.88</v>
          </cell>
        </row>
        <row r="17">
          <cell r="A17" t="str">
            <v>2241</v>
          </cell>
          <cell r="B17" t="str">
            <v>其他应付款</v>
          </cell>
          <cell r="H17">
            <v>3600000</v>
          </cell>
        </row>
        <row r="18">
          <cell r="A18" t="str">
            <v>2241.01</v>
          </cell>
          <cell r="B18" t="str">
            <v>　　单位</v>
          </cell>
          <cell r="H18">
            <v>3600000</v>
          </cell>
        </row>
        <row r="19">
          <cell r="A19" t="str">
            <v>2241.01</v>
          </cell>
          <cell r="B19" t="str">
            <v>　　单位</v>
          </cell>
          <cell r="C19" t="str">
            <v>SU008001</v>
          </cell>
          <cell r="D19" t="str">
            <v>和谐天明投资管理(北京)有限公司</v>
          </cell>
          <cell r="H19">
            <v>3600000</v>
          </cell>
        </row>
        <row r="20">
          <cell r="A20" t="str">
            <v>4001</v>
          </cell>
          <cell r="B20" t="str">
            <v>实收资本（股本）</v>
          </cell>
          <cell r="F20">
            <v>43560000</v>
          </cell>
          <cell r="G20">
            <v>3600000</v>
          </cell>
        </row>
        <row r="21">
          <cell r="A21" t="str">
            <v>4001.12</v>
          </cell>
          <cell r="B21" t="str">
            <v>　　旭智咨询管理（深圳）有限责任公司</v>
          </cell>
          <cell r="F21">
            <v>4356000</v>
          </cell>
          <cell r="G21">
            <v>360000</v>
          </cell>
        </row>
        <row r="22">
          <cell r="A22" t="str">
            <v>4001.13</v>
          </cell>
          <cell r="B22" t="str">
            <v>　　广州旭智投资控股有限责任公司</v>
          </cell>
          <cell r="F22">
            <v>39204000</v>
          </cell>
          <cell r="G22">
            <v>3240000</v>
          </cell>
        </row>
        <row r="23">
          <cell r="A23" t="str">
            <v>4103</v>
          </cell>
          <cell r="B23" t="str">
            <v>本年利润</v>
          </cell>
          <cell r="E23">
            <v>319.14999999999998</v>
          </cell>
          <cell r="G23">
            <v>4857.88</v>
          </cell>
        </row>
        <row r="24">
          <cell r="A24" t="str">
            <v>4104</v>
          </cell>
          <cell r="B24" t="str">
            <v>利润分配</v>
          </cell>
          <cell r="E24">
            <v>2069.06</v>
          </cell>
        </row>
        <row r="25">
          <cell r="A25" t="str">
            <v>4104.07</v>
          </cell>
          <cell r="B25" t="str">
            <v>　　未分配利润</v>
          </cell>
          <cell r="E25">
            <v>2069.06</v>
          </cell>
        </row>
        <row r="26">
          <cell r="A26" t="str">
            <v>6603</v>
          </cell>
          <cell r="B26" t="str">
            <v>财务费用</v>
          </cell>
          <cell r="G26">
            <v>4857.88</v>
          </cell>
          <cell r="H26">
            <v>4857.88</v>
          </cell>
        </row>
        <row r="27">
          <cell r="A27" t="str">
            <v>6603.03</v>
          </cell>
          <cell r="B27" t="str">
            <v>　　银行手续费</v>
          </cell>
          <cell r="G27">
            <v>25</v>
          </cell>
          <cell r="H27">
            <v>25</v>
          </cell>
        </row>
        <row r="28">
          <cell r="A28" t="str">
            <v>6603.04</v>
          </cell>
          <cell r="B28" t="str">
            <v>　　利息收入</v>
          </cell>
        </row>
        <row r="29">
          <cell r="A29" t="str">
            <v>6603.05</v>
          </cell>
          <cell r="B29" t="str">
            <v>　　利息支出</v>
          </cell>
          <cell r="G29">
            <v>4832.88</v>
          </cell>
          <cell r="H29">
            <v>4832.88</v>
          </cell>
        </row>
        <row r="30">
          <cell r="A30" t="str">
            <v>6603.05.03</v>
          </cell>
          <cell r="B30" t="str">
            <v>　　　　和谐天明投资管理(北京)有限公司</v>
          </cell>
          <cell r="G30">
            <v>4832.88</v>
          </cell>
          <cell r="H30">
            <v>4832.88</v>
          </cell>
        </row>
        <row r="31">
          <cell r="B31" t="str">
            <v>合计</v>
          </cell>
          <cell r="E31">
            <v>43560000</v>
          </cell>
          <cell r="F31">
            <v>43560000</v>
          </cell>
          <cell r="G31">
            <v>7209715.7599999998</v>
          </cell>
          <cell r="H31">
            <v>7209715.7599999998</v>
          </cell>
        </row>
      </sheetData>
      <sheetData sheetId="8">
        <row r="1">
          <cell r="A1" t="str">
            <v>币别:人民币</v>
          </cell>
          <cell r="B1" t="str">
            <v>账簿:宜兴旭智投资咨询合伙企业（有限合伙）</v>
          </cell>
          <cell r="C1" t="str">
            <v>期间:2025.9 -- 2025.9</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57586.79</v>
          </cell>
          <cell r="G4">
            <v>7.36</v>
          </cell>
          <cell r="H4">
            <v>99.58</v>
          </cell>
        </row>
        <row r="5">
          <cell r="A5" t="str">
            <v>1002.24</v>
          </cell>
          <cell r="B5" t="str">
            <v>　　【宜兴旭智】银行存款账户</v>
          </cell>
          <cell r="E5">
            <v>57586.79</v>
          </cell>
          <cell r="G5">
            <v>7.36</v>
          </cell>
          <cell r="H5">
            <v>99.58</v>
          </cell>
        </row>
        <row r="6">
          <cell r="A6" t="str">
            <v>1002.24.01</v>
          </cell>
          <cell r="B6" t="str">
            <v>　　　　招商银行账户</v>
          </cell>
          <cell r="E6">
            <v>57586.79</v>
          </cell>
          <cell r="G6">
            <v>7.36</v>
          </cell>
          <cell r="H6">
            <v>99.58</v>
          </cell>
        </row>
        <row r="7">
          <cell r="A7" t="str">
            <v>1002.24.01.01</v>
          </cell>
          <cell r="B7" t="str">
            <v>　　　　　　【宜兴旭智】招商 人民币基本户 0001</v>
          </cell>
          <cell r="E7">
            <v>57586.79</v>
          </cell>
          <cell r="G7">
            <v>7.36</v>
          </cell>
          <cell r="H7">
            <v>99.58</v>
          </cell>
        </row>
        <row r="8">
          <cell r="A8" t="str">
            <v>1101</v>
          </cell>
          <cell r="B8" t="str">
            <v>交易性金融资产</v>
          </cell>
        </row>
        <row r="9">
          <cell r="A9" t="str">
            <v>1101.01</v>
          </cell>
          <cell r="B9" t="str">
            <v>　　投资成本</v>
          </cell>
        </row>
        <row r="10">
          <cell r="A10" t="str">
            <v>1101.01.02</v>
          </cell>
          <cell r="B10" t="str">
            <v>　　　　股权</v>
          </cell>
        </row>
        <row r="11">
          <cell r="A11" t="str">
            <v>1101.01.02.02</v>
          </cell>
          <cell r="B11" t="str">
            <v>　　　　　　旭智富能新能源（深圳）有限责任公司</v>
          </cell>
        </row>
        <row r="12">
          <cell r="A12" t="str">
            <v>1511</v>
          </cell>
          <cell r="B12" t="str">
            <v>长期股权投资</v>
          </cell>
          <cell r="E12">
            <v>43500000</v>
          </cell>
        </row>
        <row r="13">
          <cell r="A13" t="str">
            <v>1511.01</v>
          </cell>
          <cell r="B13" t="str">
            <v>　　投资成本</v>
          </cell>
          <cell r="E13">
            <v>43500000</v>
          </cell>
        </row>
        <row r="14">
          <cell r="A14" t="str">
            <v>1511.01.09</v>
          </cell>
          <cell r="B14" t="str">
            <v>　　　　旭智富能新能源（深圳）有限责任公司</v>
          </cell>
          <cell r="E14">
            <v>43500000</v>
          </cell>
        </row>
        <row r="15">
          <cell r="A15" t="str">
            <v>2231</v>
          </cell>
          <cell r="B15" t="str">
            <v>应付利息</v>
          </cell>
          <cell r="F15">
            <v>4832.88</v>
          </cell>
          <cell r="H15">
            <v>10356.16</v>
          </cell>
        </row>
        <row r="16">
          <cell r="A16" t="str">
            <v>2231</v>
          </cell>
          <cell r="B16" t="str">
            <v>应付利息</v>
          </cell>
          <cell r="C16" t="str">
            <v>OU008001</v>
          </cell>
          <cell r="D16" t="str">
            <v>和谐天明投资管理(北京)有限公司</v>
          </cell>
          <cell r="F16">
            <v>4832.88</v>
          </cell>
          <cell r="H16">
            <v>10356.16</v>
          </cell>
        </row>
        <row r="17">
          <cell r="A17" t="str">
            <v>2241</v>
          </cell>
          <cell r="B17" t="str">
            <v>其他应付款</v>
          </cell>
          <cell r="F17">
            <v>3600000</v>
          </cell>
        </row>
        <row r="18">
          <cell r="A18" t="str">
            <v>2241.01</v>
          </cell>
          <cell r="B18" t="str">
            <v>　　单位</v>
          </cell>
          <cell r="F18">
            <v>3600000</v>
          </cell>
        </row>
        <row r="19">
          <cell r="A19" t="str">
            <v>2241.01</v>
          </cell>
          <cell r="B19" t="str">
            <v>　　单位</v>
          </cell>
          <cell r="C19" t="str">
            <v>SU008001</v>
          </cell>
          <cell r="D19" t="str">
            <v>和谐天明投资管理(北京)有限公司</v>
          </cell>
          <cell r="F19">
            <v>3600000</v>
          </cell>
        </row>
        <row r="20">
          <cell r="A20" t="str">
            <v>4001</v>
          </cell>
          <cell r="B20" t="str">
            <v>实收资本（股本）</v>
          </cell>
          <cell r="F20">
            <v>39960000</v>
          </cell>
        </row>
        <row r="21">
          <cell r="A21" t="str">
            <v>4001.12</v>
          </cell>
          <cell r="B21" t="str">
            <v>　　旭智咨询管理（深圳）有限责任公司</v>
          </cell>
          <cell r="F21">
            <v>3996000</v>
          </cell>
        </row>
        <row r="22">
          <cell r="A22" t="str">
            <v>4001.13</v>
          </cell>
          <cell r="B22" t="str">
            <v>　　广州旭智投资控股有限责任公司</v>
          </cell>
          <cell r="F22">
            <v>35964000</v>
          </cell>
        </row>
        <row r="23">
          <cell r="A23" t="str">
            <v>4103</v>
          </cell>
          <cell r="B23" t="str">
            <v>本年利润</v>
          </cell>
          <cell r="E23">
            <v>5177.03</v>
          </cell>
          <cell r="G23">
            <v>10448.379999999999</v>
          </cell>
        </row>
        <row r="24">
          <cell r="A24" t="str">
            <v>4104</v>
          </cell>
          <cell r="B24" t="str">
            <v>利润分配</v>
          </cell>
          <cell r="E24">
            <v>2069.06</v>
          </cell>
        </row>
        <row r="25">
          <cell r="A25" t="str">
            <v>4104.07</v>
          </cell>
          <cell r="B25" t="str">
            <v>　　未分配利润</v>
          </cell>
          <cell r="E25">
            <v>2069.06</v>
          </cell>
        </row>
        <row r="26">
          <cell r="A26" t="str">
            <v>6603</v>
          </cell>
          <cell r="B26" t="str">
            <v>财务费用</v>
          </cell>
          <cell r="G26">
            <v>10448.379999999999</v>
          </cell>
          <cell r="H26">
            <v>10448.379999999999</v>
          </cell>
        </row>
        <row r="27">
          <cell r="A27" t="str">
            <v>6603.03</v>
          </cell>
          <cell r="B27" t="str">
            <v>　　银行手续费</v>
          </cell>
          <cell r="G27">
            <v>99.58</v>
          </cell>
          <cell r="H27">
            <v>99.58</v>
          </cell>
        </row>
        <row r="28">
          <cell r="A28" t="str">
            <v>6603.04</v>
          </cell>
          <cell r="B28" t="str">
            <v>　　利息收入</v>
          </cell>
          <cell r="G28">
            <v>-7.36</v>
          </cell>
          <cell r="H28">
            <v>-7.36</v>
          </cell>
        </row>
        <row r="29">
          <cell r="A29" t="str">
            <v>6603.05</v>
          </cell>
          <cell r="B29" t="str">
            <v>　　利息支出</v>
          </cell>
          <cell r="G29">
            <v>10356.16</v>
          </cell>
          <cell r="H29">
            <v>10356.16</v>
          </cell>
        </row>
        <row r="30">
          <cell r="A30" t="str">
            <v>6603.05.03</v>
          </cell>
          <cell r="B30" t="str">
            <v>　　　　和谐天明投资管理(北京)有限公司</v>
          </cell>
          <cell r="G30">
            <v>10356.16</v>
          </cell>
          <cell r="H30">
            <v>10356.16</v>
          </cell>
        </row>
        <row r="31">
          <cell r="B31" t="str">
            <v>合计</v>
          </cell>
          <cell r="E31">
            <v>43564832.880000003</v>
          </cell>
          <cell r="F31">
            <v>43564832.880000003</v>
          </cell>
          <cell r="G31">
            <v>20904.12</v>
          </cell>
          <cell r="H31">
            <v>20904.12</v>
          </cell>
        </row>
      </sheetData>
      <sheetData sheetId="9">
        <row r="1">
          <cell r="A1" t="str">
            <v>币别:人民币</v>
          </cell>
          <cell r="B1" t="str">
            <v>账簿:宜兴旭智投资咨询合伙企业（有限合伙）</v>
          </cell>
          <cell r="C1" t="str">
            <v>期间:2025.10 -- 2025.10</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57494.57</v>
          </cell>
          <cell r="H4">
            <v>25</v>
          </cell>
        </row>
        <row r="5">
          <cell r="A5" t="str">
            <v>1002.24</v>
          </cell>
          <cell r="B5" t="str">
            <v>　　【宜兴旭智】银行存款账户</v>
          </cell>
          <cell r="E5">
            <v>57494.57</v>
          </cell>
          <cell r="H5">
            <v>25</v>
          </cell>
        </row>
        <row r="6">
          <cell r="A6" t="str">
            <v>1002.24.01</v>
          </cell>
          <cell r="B6" t="str">
            <v>　　　　招商银行账户</v>
          </cell>
          <cell r="E6">
            <v>57494.57</v>
          </cell>
          <cell r="H6">
            <v>25</v>
          </cell>
        </row>
        <row r="7">
          <cell r="A7" t="str">
            <v>1002.24.01.01</v>
          </cell>
          <cell r="B7" t="str">
            <v>　　　　　　【宜兴旭智】招商 人民币基本户 0001</v>
          </cell>
          <cell r="E7">
            <v>57494.57</v>
          </cell>
          <cell r="H7">
            <v>25</v>
          </cell>
        </row>
        <row r="8">
          <cell r="A8" t="str">
            <v>1101</v>
          </cell>
          <cell r="B8" t="str">
            <v>交易性金融资产</v>
          </cell>
        </row>
        <row r="9">
          <cell r="A9" t="str">
            <v>1101.01</v>
          </cell>
          <cell r="B9" t="str">
            <v>　　投资成本</v>
          </cell>
        </row>
        <row r="10">
          <cell r="A10" t="str">
            <v>1101.01.02</v>
          </cell>
          <cell r="B10" t="str">
            <v>　　　　股权</v>
          </cell>
        </row>
        <row r="11">
          <cell r="A11" t="str">
            <v>1101.01.02.02</v>
          </cell>
          <cell r="B11" t="str">
            <v>　　　　　　旭智富能新能源（深圳）有限责任公司</v>
          </cell>
        </row>
        <row r="12">
          <cell r="A12" t="str">
            <v>1511</v>
          </cell>
          <cell r="B12" t="str">
            <v>长期股权投资</v>
          </cell>
          <cell r="E12">
            <v>43500000</v>
          </cell>
        </row>
        <row r="13">
          <cell r="A13" t="str">
            <v>1511.01</v>
          </cell>
          <cell r="B13" t="str">
            <v>　　投资成本</v>
          </cell>
          <cell r="E13">
            <v>43500000</v>
          </cell>
        </row>
        <row r="14">
          <cell r="A14" t="str">
            <v>1511.01.09</v>
          </cell>
          <cell r="B14" t="str">
            <v>　　　　旭智富能新能源（深圳）有限责任公司</v>
          </cell>
          <cell r="E14">
            <v>43500000</v>
          </cell>
        </row>
        <row r="15">
          <cell r="A15" t="str">
            <v>2231</v>
          </cell>
          <cell r="B15" t="str">
            <v>应付利息</v>
          </cell>
          <cell r="F15">
            <v>15189.04</v>
          </cell>
          <cell r="H15">
            <v>10701.37</v>
          </cell>
        </row>
        <row r="16">
          <cell r="A16" t="str">
            <v>2231</v>
          </cell>
          <cell r="B16" t="str">
            <v>应付利息</v>
          </cell>
          <cell r="C16" t="str">
            <v>OU008001</v>
          </cell>
          <cell r="D16" t="str">
            <v>和谐天明投资管理(北京)有限公司</v>
          </cell>
          <cell r="F16">
            <v>15189.04</v>
          </cell>
          <cell r="H16">
            <v>10701.37</v>
          </cell>
        </row>
        <row r="17">
          <cell r="A17" t="str">
            <v>2241</v>
          </cell>
          <cell r="B17" t="str">
            <v>其他应付款</v>
          </cell>
          <cell r="F17">
            <v>3600000</v>
          </cell>
        </row>
        <row r="18">
          <cell r="A18" t="str">
            <v>2241.01</v>
          </cell>
          <cell r="B18" t="str">
            <v>　　单位</v>
          </cell>
          <cell r="F18">
            <v>3600000</v>
          </cell>
        </row>
        <row r="19">
          <cell r="A19" t="str">
            <v>2241.01</v>
          </cell>
          <cell r="B19" t="str">
            <v>　　单位</v>
          </cell>
          <cell r="C19" t="str">
            <v>SU008001</v>
          </cell>
          <cell r="D19" t="str">
            <v>和谐天明投资管理(北京)有限公司</v>
          </cell>
          <cell r="F19">
            <v>3600000</v>
          </cell>
        </row>
        <row r="20">
          <cell r="A20" t="str">
            <v>4001</v>
          </cell>
          <cell r="B20" t="str">
            <v>实收资本（股本）</v>
          </cell>
          <cell r="F20">
            <v>39960000</v>
          </cell>
        </row>
        <row r="21">
          <cell r="A21" t="str">
            <v>4001.12</v>
          </cell>
          <cell r="B21" t="str">
            <v>　　旭智咨询管理（深圳）有限责任公司</v>
          </cell>
          <cell r="F21">
            <v>3996000</v>
          </cell>
        </row>
        <row r="22">
          <cell r="A22" t="str">
            <v>4001.13</v>
          </cell>
          <cell r="B22" t="str">
            <v>　　广州旭智投资控股有限责任公司</v>
          </cell>
          <cell r="F22">
            <v>35964000</v>
          </cell>
        </row>
        <row r="23">
          <cell r="A23" t="str">
            <v>4103</v>
          </cell>
          <cell r="B23" t="str">
            <v>本年利润</v>
          </cell>
          <cell r="E23">
            <v>15625.41</v>
          </cell>
          <cell r="G23">
            <v>10726.37</v>
          </cell>
        </row>
        <row r="24">
          <cell r="A24" t="str">
            <v>4104</v>
          </cell>
          <cell r="B24" t="str">
            <v>利润分配</v>
          </cell>
          <cell r="E24">
            <v>2069.06</v>
          </cell>
        </row>
        <row r="25">
          <cell r="A25" t="str">
            <v>4104.07</v>
          </cell>
          <cell r="B25" t="str">
            <v>　　未分配利润</v>
          </cell>
          <cell r="E25">
            <v>2069.06</v>
          </cell>
        </row>
        <row r="26">
          <cell r="A26" t="str">
            <v>6603</v>
          </cell>
          <cell r="B26" t="str">
            <v>财务费用</v>
          </cell>
          <cell r="G26">
            <v>10726.37</v>
          </cell>
          <cell r="H26">
            <v>10726.37</v>
          </cell>
        </row>
        <row r="27">
          <cell r="A27" t="str">
            <v>6603.03</v>
          </cell>
          <cell r="B27" t="str">
            <v>　　银行手续费</v>
          </cell>
          <cell r="G27">
            <v>25</v>
          </cell>
          <cell r="H27">
            <v>25</v>
          </cell>
        </row>
        <row r="28">
          <cell r="A28" t="str">
            <v>6603.04</v>
          </cell>
          <cell r="B28" t="str">
            <v>　　利息收入</v>
          </cell>
        </row>
        <row r="29">
          <cell r="A29" t="str">
            <v>6603.05</v>
          </cell>
          <cell r="B29" t="str">
            <v>　　利息支出</v>
          </cell>
          <cell r="G29">
            <v>10701.37</v>
          </cell>
          <cell r="H29">
            <v>10701.37</v>
          </cell>
        </row>
        <row r="30">
          <cell r="A30" t="str">
            <v>6603.05.03</v>
          </cell>
          <cell r="B30" t="str">
            <v>　　　　和谐天明投资管理(北京)有限公司</v>
          </cell>
          <cell r="G30">
            <v>10701.37</v>
          </cell>
          <cell r="H30">
            <v>10701.37</v>
          </cell>
        </row>
        <row r="31">
          <cell r="B31" t="str">
            <v>合计</v>
          </cell>
          <cell r="E31">
            <v>43575189.039999999</v>
          </cell>
          <cell r="F31">
            <v>43575189.039999999</v>
          </cell>
          <cell r="G31">
            <v>21452.74</v>
          </cell>
          <cell r="H31">
            <v>21452.74</v>
          </cell>
        </row>
      </sheetData>
      <sheetData sheetId="10">
        <row r="1">
          <cell r="A1" t="str">
            <v>币别:人民币</v>
          </cell>
          <cell r="B1" t="str">
            <v>账簿:宜兴旭智投资咨询合伙企业（有限合伙）</v>
          </cell>
          <cell r="C1" t="str">
            <v>期间:2025.11 -- 2025.11</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57469.57</v>
          </cell>
          <cell r="H4">
            <v>25</v>
          </cell>
        </row>
        <row r="5">
          <cell r="A5" t="str">
            <v>1002.24</v>
          </cell>
          <cell r="B5" t="str">
            <v>　　【宜兴旭智】银行存款账户</v>
          </cell>
          <cell r="E5">
            <v>57469.57</v>
          </cell>
          <cell r="H5">
            <v>25</v>
          </cell>
        </row>
        <row r="6">
          <cell r="A6" t="str">
            <v>1002.24.01</v>
          </cell>
          <cell r="B6" t="str">
            <v>　　　　招商银行账户</v>
          </cell>
          <cell r="E6">
            <v>57469.57</v>
          </cell>
          <cell r="H6">
            <v>25</v>
          </cell>
        </row>
        <row r="7">
          <cell r="A7" t="str">
            <v>1002.24.01.01</v>
          </cell>
          <cell r="B7" t="str">
            <v>　　　　　　【宜兴旭智】招商 人民币基本户 0001</v>
          </cell>
          <cell r="E7">
            <v>57469.57</v>
          </cell>
          <cell r="H7">
            <v>25</v>
          </cell>
        </row>
        <row r="8">
          <cell r="A8" t="str">
            <v>1101</v>
          </cell>
          <cell r="B8" t="str">
            <v>交易性金融资产</v>
          </cell>
        </row>
        <row r="9">
          <cell r="A9" t="str">
            <v>1101.01</v>
          </cell>
          <cell r="B9" t="str">
            <v>　　投资成本</v>
          </cell>
        </row>
        <row r="10">
          <cell r="A10" t="str">
            <v>1101.01.02</v>
          </cell>
          <cell r="B10" t="str">
            <v>　　　　股权</v>
          </cell>
        </row>
        <row r="11">
          <cell r="A11" t="str">
            <v>1101.01.02.02</v>
          </cell>
          <cell r="B11" t="str">
            <v>　　　　　　旭智富能新能源（深圳）有限责任公司</v>
          </cell>
        </row>
        <row r="12">
          <cell r="A12" t="str">
            <v>1511</v>
          </cell>
          <cell r="B12" t="str">
            <v>长期股权投资</v>
          </cell>
          <cell r="E12">
            <v>43500000</v>
          </cell>
        </row>
        <row r="13">
          <cell r="A13" t="str">
            <v>1511.01</v>
          </cell>
          <cell r="B13" t="str">
            <v>　　投资成本</v>
          </cell>
          <cell r="E13">
            <v>43500000</v>
          </cell>
        </row>
        <row r="14">
          <cell r="A14" t="str">
            <v>1511.01.09</v>
          </cell>
          <cell r="B14" t="str">
            <v>　　　　旭智富能新能源（深圳）有限责任公司</v>
          </cell>
          <cell r="E14">
            <v>43500000</v>
          </cell>
        </row>
        <row r="15">
          <cell r="A15" t="str">
            <v>2231</v>
          </cell>
          <cell r="B15" t="str">
            <v>应付利息</v>
          </cell>
          <cell r="F15">
            <v>25890.41</v>
          </cell>
          <cell r="H15">
            <v>10356.16</v>
          </cell>
        </row>
        <row r="16">
          <cell r="A16" t="str">
            <v>2231</v>
          </cell>
          <cell r="B16" t="str">
            <v>应付利息</v>
          </cell>
          <cell r="C16" t="str">
            <v>OU008001</v>
          </cell>
          <cell r="D16" t="str">
            <v>和谐天明投资管理(北京)有限公司</v>
          </cell>
          <cell r="F16">
            <v>25890.41</v>
          </cell>
          <cell r="H16">
            <v>10356.16</v>
          </cell>
        </row>
        <row r="17">
          <cell r="A17" t="str">
            <v>2241</v>
          </cell>
          <cell r="B17" t="str">
            <v>其他应付款</v>
          </cell>
          <cell r="F17">
            <v>3600000</v>
          </cell>
        </row>
        <row r="18">
          <cell r="A18" t="str">
            <v>2241.01</v>
          </cell>
          <cell r="B18" t="str">
            <v>　　单位</v>
          </cell>
          <cell r="F18">
            <v>3600000</v>
          </cell>
        </row>
        <row r="19">
          <cell r="A19" t="str">
            <v>2241.01</v>
          </cell>
          <cell r="B19" t="str">
            <v>　　单位</v>
          </cell>
          <cell r="C19" t="str">
            <v>SU008001</v>
          </cell>
          <cell r="D19" t="str">
            <v>和谐天明投资管理(北京)有限公司</v>
          </cell>
          <cell r="F19">
            <v>3600000</v>
          </cell>
        </row>
        <row r="20">
          <cell r="A20" t="str">
            <v>4001</v>
          </cell>
          <cell r="B20" t="str">
            <v>实收资本（股本）</v>
          </cell>
          <cell r="F20">
            <v>39960000</v>
          </cell>
        </row>
        <row r="21">
          <cell r="A21" t="str">
            <v>4001.12</v>
          </cell>
          <cell r="B21" t="str">
            <v>　　旭智咨询管理（深圳）有限责任公司</v>
          </cell>
          <cell r="F21">
            <v>3996000</v>
          </cell>
        </row>
        <row r="22">
          <cell r="A22" t="str">
            <v>4001.13</v>
          </cell>
          <cell r="B22" t="str">
            <v>　　广州旭智投资控股有限责任公司</v>
          </cell>
          <cell r="F22">
            <v>35964000</v>
          </cell>
        </row>
        <row r="23">
          <cell r="A23" t="str">
            <v>4103</v>
          </cell>
          <cell r="B23" t="str">
            <v>本年利润</v>
          </cell>
          <cell r="E23">
            <v>26351.78</v>
          </cell>
          <cell r="G23">
            <v>10381.16</v>
          </cell>
        </row>
        <row r="24">
          <cell r="A24" t="str">
            <v>4104</v>
          </cell>
          <cell r="B24" t="str">
            <v>利润分配</v>
          </cell>
          <cell r="E24">
            <v>2069.06</v>
          </cell>
        </row>
        <row r="25">
          <cell r="A25" t="str">
            <v>4104.07</v>
          </cell>
          <cell r="B25" t="str">
            <v>　　未分配利润</v>
          </cell>
          <cell r="E25">
            <v>2069.06</v>
          </cell>
        </row>
        <row r="26">
          <cell r="A26" t="str">
            <v>6603</v>
          </cell>
          <cell r="B26" t="str">
            <v>财务费用</v>
          </cell>
          <cell r="G26">
            <v>10381.16</v>
          </cell>
          <cell r="H26">
            <v>10381.16</v>
          </cell>
        </row>
        <row r="27">
          <cell r="A27" t="str">
            <v>6603.03</v>
          </cell>
          <cell r="B27" t="str">
            <v>　　银行手续费</v>
          </cell>
          <cell r="G27">
            <v>25</v>
          </cell>
          <cell r="H27">
            <v>25</v>
          </cell>
        </row>
        <row r="28">
          <cell r="A28" t="str">
            <v>6603.04</v>
          </cell>
          <cell r="B28" t="str">
            <v>　　利息收入</v>
          </cell>
        </row>
        <row r="29">
          <cell r="A29" t="str">
            <v>6603.05</v>
          </cell>
          <cell r="B29" t="str">
            <v>　　利息支出</v>
          </cell>
          <cell r="G29">
            <v>10356.16</v>
          </cell>
          <cell r="H29">
            <v>10356.16</v>
          </cell>
        </row>
        <row r="30">
          <cell r="A30" t="str">
            <v>6603.05.03</v>
          </cell>
          <cell r="B30" t="str">
            <v>　　　　和谐天明投资管理(北京)有限公司</v>
          </cell>
          <cell r="G30">
            <v>10356.16</v>
          </cell>
          <cell r="H30">
            <v>10356.16</v>
          </cell>
        </row>
        <row r="31">
          <cell r="B31" t="str">
            <v>合计</v>
          </cell>
          <cell r="E31">
            <v>43585890.409999996</v>
          </cell>
          <cell r="F31">
            <v>43585890.409999996</v>
          </cell>
          <cell r="G31">
            <v>20762.32</v>
          </cell>
          <cell r="H31">
            <v>20762.32</v>
          </cell>
        </row>
      </sheetData>
      <sheetData sheetId="11">
        <row r="1">
          <cell r="A1" t="str">
            <v>币别:人民币</v>
          </cell>
          <cell r="B1" t="str">
            <v>账簿:宜兴旭智投资咨询合伙企业（有限合伙）</v>
          </cell>
          <cell r="C1" t="str">
            <v>期间:2025.12 -- 2025.12</v>
          </cell>
        </row>
        <row r="2">
          <cell r="A2" t="str">
            <v>科目编码</v>
          </cell>
          <cell r="B2" t="str">
            <v>科目名称</v>
          </cell>
          <cell r="C2" t="str">
            <v>核算维度编码</v>
          </cell>
          <cell r="D2" t="str">
            <v>核算维度名称</v>
          </cell>
          <cell r="E2" t="str">
            <v>期初余额</v>
          </cell>
          <cell r="F2" t="str">
            <v>期初余额</v>
          </cell>
          <cell r="G2" t="str">
            <v>本期发生</v>
          </cell>
          <cell r="H2" t="str">
            <v>本期发生</v>
          </cell>
        </row>
        <row r="3">
          <cell r="A3" t="str">
            <v>科目编码</v>
          </cell>
          <cell r="B3" t="str">
            <v>科目名称</v>
          </cell>
          <cell r="C3" t="str">
            <v>核算维度编码</v>
          </cell>
          <cell r="D3" t="str">
            <v>核算维度名称</v>
          </cell>
          <cell r="E3" t="str">
            <v>借方</v>
          </cell>
          <cell r="F3" t="str">
            <v>贷方</v>
          </cell>
          <cell r="G3" t="str">
            <v>借方</v>
          </cell>
          <cell r="H3" t="str">
            <v>贷方</v>
          </cell>
        </row>
        <row r="4">
          <cell r="A4" t="str">
            <v>1002</v>
          </cell>
          <cell r="B4" t="str">
            <v>银行存款</v>
          </cell>
          <cell r="E4">
            <v>57444.57</v>
          </cell>
          <cell r="G4">
            <v>7.26</v>
          </cell>
          <cell r="H4">
            <v>25</v>
          </cell>
        </row>
        <row r="5">
          <cell r="A5" t="str">
            <v>1002.24</v>
          </cell>
          <cell r="B5" t="str">
            <v>　　【宜兴旭智】银行存款账户</v>
          </cell>
          <cell r="E5">
            <v>57444.57</v>
          </cell>
          <cell r="G5">
            <v>7.26</v>
          </cell>
          <cell r="H5">
            <v>25</v>
          </cell>
        </row>
        <row r="6">
          <cell r="A6" t="str">
            <v>1002.24.01</v>
          </cell>
          <cell r="B6" t="str">
            <v>　　　　招商银行账户</v>
          </cell>
          <cell r="E6">
            <v>57444.57</v>
          </cell>
          <cell r="G6">
            <v>7.26</v>
          </cell>
          <cell r="H6">
            <v>25</v>
          </cell>
        </row>
        <row r="7">
          <cell r="A7" t="str">
            <v>1002.24.01.01</v>
          </cell>
          <cell r="B7" t="str">
            <v>　　　　　　【宜兴旭智】招商 人民币基本户 0001</v>
          </cell>
          <cell r="E7">
            <v>57444.57</v>
          </cell>
          <cell r="G7">
            <v>7.26</v>
          </cell>
          <cell r="H7">
            <v>25</v>
          </cell>
        </row>
        <row r="8">
          <cell r="A8" t="str">
            <v>1101</v>
          </cell>
          <cell r="B8" t="str">
            <v>交易性金融资产</v>
          </cell>
        </row>
        <row r="9">
          <cell r="A9" t="str">
            <v>1101.01</v>
          </cell>
          <cell r="B9" t="str">
            <v>　　投资成本</v>
          </cell>
        </row>
        <row r="10">
          <cell r="A10" t="str">
            <v>1101.01.02</v>
          </cell>
          <cell r="B10" t="str">
            <v>　　　　股权</v>
          </cell>
        </row>
        <row r="11">
          <cell r="A11" t="str">
            <v>1101.01.02.02</v>
          </cell>
          <cell r="B11" t="str">
            <v>　　　　　　旭智富能新能源（深圳）有限责任公司</v>
          </cell>
        </row>
        <row r="12">
          <cell r="A12" t="str">
            <v>1511</v>
          </cell>
          <cell r="B12" t="str">
            <v>长期股权投资</v>
          </cell>
          <cell r="E12">
            <v>43500000</v>
          </cell>
        </row>
        <row r="13">
          <cell r="A13" t="str">
            <v>1511.01</v>
          </cell>
          <cell r="B13" t="str">
            <v>　　投资成本</v>
          </cell>
          <cell r="E13">
            <v>43500000</v>
          </cell>
        </row>
        <row r="14">
          <cell r="A14" t="str">
            <v>1511.01.09</v>
          </cell>
          <cell r="B14" t="str">
            <v>　　　　旭智富能新能源（深圳）有限责任公司</v>
          </cell>
          <cell r="E14">
            <v>43500000</v>
          </cell>
        </row>
        <row r="15">
          <cell r="A15" t="str">
            <v>2231</v>
          </cell>
          <cell r="B15" t="str">
            <v>应付利息</v>
          </cell>
          <cell r="F15">
            <v>36246.57</v>
          </cell>
          <cell r="H15">
            <v>10701.37</v>
          </cell>
        </row>
        <row r="16">
          <cell r="A16" t="str">
            <v>2231</v>
          </cell>
          <cell r="B16" t="str">
            <v>应付利息</v>
          </cell>
          <cell r="C16" t="str">
            <v>OU008001</v>
          </cell>
          <cell r="D16" t="str">
            <v>和谐天明投资管理(北京)有限公司</v>
          </cell>
          <cell r="F16">
            <v>36246.57</v>
          </cell>
          <cell r="H16">
            <v>10701.37</v>
          </cell>
        </row>
        <row r="17">
          <cell r="A17" t="str">
            <v>2241</v>
          </cell>
          <cell r="B17" t="str">
            <v>其他应付款</v>
          </cell>
          <cell r="F17">
            <v>3600000</v>
          </cell>
          <cell r="G17">
            <v>16400000</v>
          </cell>
          <cell r="H17">
            <v>31400000</v>
          </cell>
        </row>
        <row r="18">
          <cell r="A18" t="str">
            <v>2241.01</v>
          </cell>
          <cell r="B18" t="str">
            <v>　　单位</v>
          </cell>
          <cell r="F18">
            <v>3600000</v>
          </cell>
          <cell r="G18">
            <v>16400000</v>
          </cell>
          <cell r="H18">
            <v>31400000</v>
          </cell>
        </row>
        <row r="19">
          <cell r="A19" t="str">
            <v>2241.01</v>
          </cell>
          <cell r="B19" t="str">
            <v>　　单位</v>
          </cell>
          <cell r="C19" t="str">
            <v>SU005044</v>
          </cell>
          <cell r="D19" t="str">
            <v>旭智咨询管理（深圳）有限责任公司</v>
          </cell>
          <cell r="G19">
            <v>1640000</v>
          </cell>
          <cell r="H19">
            <v>3140000</v>
          </cell>
        </row>
        <row r="20">
          <cell r="A20" t="str">
            <v>2241.01</v>
          </cell>
          <cell r="B20" t="str">
            <v>　　单位</v>
          </cell>
          <cell r="C20" t="str">
            <v>SU006032</v>
          </cell>
          <cell r="D20" t="str">
            <v>广州旭智投资控股有限责任公司</v>
          </cell>
          <cell r="G20">
            <v>14760000</v>
          </cell>
          <cell r="H20">
            <v>28260000</v>
          </cell>
        </row>
        <row r="21">
          <cell r="A21" t="str">
            <v>2241.01</v>
          </cell>
          <cell r="B21" t="str">
            <v>　　单位</v>
          </cell>
          <cell r="C21" t="str">
            <v>SU008001</v>
          </cell>
          <cell r="D21" t="str">
            <v>和谐天明投资管理(北京)有限公司</v>
          </cell>
          <cell r="F21">
            <v>3600000</v>
          </cell>
        </row>
        <row r="22">
          <cell r="A22" t="str">
            <v>4001</v>
          </cell>
          <cell r="B22" t="str">
            <v>实收资本（股本）</v>
          </cell>
          <cell r="F22">
            <v>39960000</v>
          </cell>
          <cell r="G22">
            <v>31400000</v>
          </cell>
          <cell r="H22">
            <v>16400000</v>
          </cell>
        </row>
        <row r="23">
          <cell r="A23" t="str">
            <v>4001.12</v>
          </cell>
          <cell r="B23" t="str">
            <v>　　旭智咨询管理（深圳）有限责任公司</v>
          </cell>
          <cell r="F23">
            <v>3996000</v>
          </cell>
          <cell r="G23">
            <v>3140000</v>
          </cell>
          <cell r="H23">
            <v>1640000</v>
          </cell>
        </row>
        <row r="24">
          <cell r="A24" t="str">
            <v>4001.13</v>
          </cell>
          <cell r="B24" t="str">
            <v>　　广州旭智投资控股有限责任公司</v>
          </cell>
          <cell r="F24">
            <v>35964000</v>
          </cell>
          <cell r="G24">
            <v>28260000</v>
          </cell>
          <cell r="H24">
            <v>14760000</v>
          </cell>
        </row>
        <row r="25">
          <cell r="A25" t="str">
            <v>4103</v>
          </cell>
          <cell r="B25" t="str">
            <v>本年利润</v>
          </cell>
          <cell r="E25">
            <v>36732.94</v>
          </cell>
          <cell r="G25">
            <v>10719.11</v>
          </cell>
        </row>
        <row r="26">
          <cell r="A26" t="str">
            <v>4104</v>
          </cell>
          <cell r="B26" t="str">
            <v>利润分配</v>
          </cell>
          <cell r="E26">
            <v>2069.06</v>
          </cell>
        </row>
        <row r="27">
          <cell r="A27" t="str">
            <v>4104.07</v>
          </cell>
          <cell r="B27" t="str">
            <v>　　未分配利润</v>
          </cell>
          <cell r="E27">
            <v>2069.06</v>
          </cell>
        </row>
        <row r="28">
          <cell r="A28" t="str">
            <v>6603</v>
          </cell>
          <cell r="B28" t="str">
            <v>财务费用</v>
          </cell>
          <cell r="G28">
            <v>10719.11</v>
          </cell>
          <cell r="H28">
            <v>10719.11</v>
          </cell>
        </row>
        <row r="29">
          <cell r="A29" t="str">
            <v>6603.03</v>
          </cell>
          <cell r="B29" t="str">
            <v>　　银行手续费</v>
          </cell>
          <cell r="G29">
            <v>25</v>
          </cell>
          <cell r="H29">
            <v>25</v>
          </cell>
        </row>
        <row r="30">
          <cell r="A30" t="str">
            <v>6603.04</v>
          </cell>
          <cell r="B30" t="str">
            <v>　　利息收入</v>
          </cell>
          <cell r="G30">
            <v>-7.26</v>
          </cell>
          <cell r="H30">
            <v>-7.26</v>
          </cell>
        </row>
        <row r="31">
          <cell r="A31" t="str">
            <v>6603.05</v>
          </cell>
          <cell r="B31" t="str">
            <v>　　利息支出</v>
          </cell>
          <cell r="G31">
            <v>10701.37</v>
          </cell>
          <cell r="H31">
            <v>10701.37</v>
          </cell>
        </row>
        <row r="32">
          <cell r="A32" t="str">
            <v>6603.05.03</v>
          </cell>
          <cell r="B32" t="str">
            <v>　　　　和谐天明投资管理(北京)有限公司</v>
          </cell>
          <cell r="G32">
            <v>10701.37</v>
          </cell>
          <cell r="H32">
            <v>10701.37</v>
          </cell>
        </row>
        <row r="33">
          <cell r="B33" t="str">
            <v>合计</v>
          </cell>
          <cell r="E33">
            <v>43596246.57</v>
          </cell>
          <cell r="F33">
            <v>43596246.57</v>
          </cell>
          <cell r="G33">
            <v>47821445.479999997</v>
          </cell>
          <cell r="H33">
            <v>47821445.479999997</v>
          </cell>
        </row>
      </sheetData>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
      <sheetName val="Flash Report"/>
      <sheetName val="Budget-合并"/>
      <sheetName val="Budget-ACPL"/>
      <sheetName val="Budget-ACPLHK"/>
      <sheetName val="Budget-ACPSZL"/>
      <sheetName val="Budget-ACPLSZ"/>
      <sheetName val="CF-ACPLSZ"/>
      <sheetName val="Budget-ACPLGZ"/>
      <sheetName val="Budget-Yixing"/>
      <sheetName val="Actual-合并"/>
      <sheetName val="Actual-ACPL"/>
      <sheetName val="Actual-ACPLHK"/>
      <sheetName val="Actual-ACPSZL "/>
      <sheetName val="Actual-ACPLSZ "/>
      <sheetName val="Actual-ACPLGZ"/>
      <sheetName val="Actual-Yixing"/>
      <sheetName val="Income S.3"/>
      <sheetName val="T&amp;E"/>
      <sheetName val="Budget Sensitivity"/>
      <sheetName val="咨询管理费计算"/>
      <sheetName val="核心假设"/>
      <sheetName val="FY25 S.3"/>
      <sheetName val="SPACE"/>
      <sheetName val="Prof. Fee"/>
      <sheetName val="Other Exp"/>
      <sheetName val="Medical Exp Calc."/>
      <sheetName val="FX Lookup"/>
      <sheetName val="Entity List"/>
    </sheetNames>
    <sheetDataSet>
      <sheetData sheetId="0"/>
      <sheetData sheetId="1">
        <row r="2">
          <cell r="C2">
            <v>46023</v>
          </cell>
        </row>
      </sheetData>
      <sheetData sheetId="2">
        <row r="6">
          <cell r="T6" t="str">
            <v>2026 Total</v>
          </cell>
          <cell r="V6">
            <v>46388</v>
          </cell>
          <cell r="W6">
            <v>46419</v>
          </cell>
          <cell r="X6">
            <v>46447</v>
          </cell>
          <cell r="Y6">
            <v>46478</v>
          </cell>
          <cell r="Z6">
            <v>46508</v>
          </cell>
          <cell r="AA6">
            <v>46539</v>
          </cell>
          <cell r="AB6">
            <v>46569</v>
          </cell>
          <cell r="AC6">
            <v>46600</v>
          </cell>
          <cell r="AD6">
            <v>46631</v>
          </cell>
          <cell r="AE6">
            <v>46661</v>
          </cell>
          <cell r="AF6">
            <v>46692</v>
          </cell>
          <cell r="AG6">
            <v>46722</v>
          </cell>
          <cell r="AH6" t="str">
            <v>2027 Total</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预算表-按0.13"/>
      <sheetName val="预测数-管理费0.12&amp;滚动更新5月实际数"/>
      <sheetName val="发电收入"/>
      <sheetName val="利息明细"/>
      <sheetName val="折旧明细"/>
      <sheetName val="工资"/>
      <sheetName val="New"/>
      <sheetName val="咨询管理费计算"/>
      <sheetName val="科目余额表"/>
      <sheetName val="GPRO"/>
      <sheetName val="coding"/>
    </sheetNames>
    <sheetDataSet>
      <sheetData sheetId="0"/>
      <sheetData sheetId="1">
        <row r="14">
          <cell r="O14">
            <v>-7264.1509433962301</v>
          </cell>
        </row>
        <row r="15">
          <cell r="O15">
            <v>-1135.32109220183</v>
          </cell>
        </row>
        <row r="77">
          <cell r="N77">
            <v>5574.3726461987999</v>
          </cell>
        </row>
      </sheetData>
      <sheetData sheetId="2">
        <row r="19">
          <cell r="L19">
            <v>8968</v>
          </cell>
        </row>
        <row r="20">
          <cell r="L20">
            <v>7247.3540000000003</v>
          </cell>
        </row>
        <row r="21">
          <cell r="L21">
            <v>8123.4579999999996</v>
          </cell>
        </row>
        <row r="22">
          <cell r="J22">
            <v>9232.1260731558796</v>
          </cell>
        </row>
        <row r="23">
          <cell r="J23">
            <v>9665.0276975999805</v>
          </cell>
        </row>
        <row r="24">
          <cell r="J24">
            <v>9161.6408383499802</v>
          </cell>
        </row>
        <row r="25">
          <cell r="J25">
            <v>7752.1576324499802</v>
          </cell>
        </row>
        <row r="26">
          <cell r="J26">
            <v>10369.76930055</v>
          </cell>
        </row>
        <row r="27">
          <cell r="J27">
            <v>8356.2218635499794</v>
          </cell>
        </row>
        <row r="28">
          <cell r="J28">
            <v>7047.4160294999801</v>
          </cell>
        </row>
      </sheetData>
      <sheetData sheetId="3"/>
      <sheetData sheetId="4"/>
      <sheetData sheetId="5"/>
      <sheetData sheetId="6"/>
      <sheetData sheetId="7"/>
      <sheetData sheetId="8">
        <row r="75">
          <cell r="F75">
            <v>4769000</v>
          </cell>
        </row>
        <row r="97">
          <cell r="E97">
            <v>193711.37</v>
          </cell>
          <cell r="G97">
            <v>220125.79</v>
          </cell>
          <cell r="I97">
            <v>220125.78</v>
          </cell>
          <cell r="K97">
            <v>220125.79</v>
          </cell>
          <cell r="M97">
            <v>220125.78</v>
          </cell>
        </row>
        <row r="99">
          <cell r="M99">
            <v>10388.049999999999</v>
          </cell>
        </row>
        <row r="101">
          <cell r="E101">
            <v>8698.36</v>
          </cell>
          <cell r="G101">
            <v>8698.36</v>
          </cell>
          <cell r="I101">
            <v>8698.36</v>
          </cell>
          <cell r="K101">
            <v>8698.36</v>
          </cell>
          <cell r="M101">
            <v>8698.36</v>
          </cell>
        </row>
        <row r="113">
          <cell r="K113">
            <v>5500</v>
          </cell>
        </row>
        <row r="114">
          <cell r="G114">
            <v>3287.36</v>
          </cell>
          <cell r="I114">
            <v>5500</v>
          </cell>
          <cell r="M114">
            <v>5500</v>
          </cell>
        </row>
        <row r="116">
          <cell r="G116">
            <v>995.5</v>
          </cell>
          <cell r="I116">
            <v>1474</v>
          </cell>
          <cell r="K116">
            <v>1474</v>
          </cell>
          <cell r="M116">
            <v>1474</v>
          </cell>
        </row>
        <row r="117">
          <cell r="G117">
            <v>440</v>
          </cell>
          <cell r="I117">
            <v>440</v>
          </cell>
          <cell r="K117">
            <v>440</v>
          </cell>
          <cell r="M117">
            <v>440</v>
          </cell>
        </row>
        <row r="119">
          <cell r="E119">
            <v>3960.4</v>
          </cell>
          <cell r="G119">
            <v>3960.4</v>
          </cell>
          <cell r="I119">
            <v>3960.4</v>
          </cell>
          <cell r="K119">
            <v>3960.39</v>
          </cell>
          <cell r="M119">
            <v>3960.4</v>
          </cell>
        </row>
        <row r="121">
          <cell r="G121">
            <v>500</v>
          </cell>
          <cell r="K121">
            <v>500</v>
          </cell>
          <cell r="M121">
            <v>1000</v>
          </cell>
        </row>
        <row r="124">
          <cell r="I124">
            <v>210</v>
          </cell>
          <cell r="M124">
            <v>33.9</v>
          </cell>
        </row>
        <row r="125">
          <cell r="I125">
            <v>18</v>
          </cell>
        </row>
        <row r="127">
          <cell r="I127">
            <v>248</v>
          </cell>
          <cell r="M127">
            <v>362.54</v>
          </cell>
        </row>
        <row r="128">
          <cell r="I128">
            <v>175.75</v>
          </cell>
          <cell r="K128">
            <v>110</v>
          </cell>
          <cell r="M128">
            <v>110</v>
          </cell>
        </row>
      </sheetData>
      <sheetData sheetId="9" refreshError="1"/>
      <sheetData sheetId="1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sonnel-HK"/>
      <sheetName val="fw"/>
      <sheetName val="封面"/>
      <sheetName val="Overview"/>
    </sheetNames>
    <sheetDataSet>
      <sheetData sheetId="0" refreshError="1">
        <row r="22">
          <cell r="B22" t="str">
            <v>Entity</v>
          </cell>
          <cell r="C22" t="str">
            <v>Type</v>
          </cell>
          <cell r="D22" t="str">
            <v>Salaries</v>
          </cell>
          <cell r="E22" t="str">
            <v>Name</v>
          </cell>
          <cell r="G22" t="str">
            <v>Base</v>
          </cell>
          <cell r="H22" t="str">
            <v>MPF</v>
          </cell>
          <cell r="I22" t="str">
            <v>2025 Adj %</v>
          </cell>
          <cell r="V22">
            <v>45658</v>
          </cell>
          <cell r="W22">
            <v>45689</v>
          </cell>
          <cell r="X22">
            <v>45717</v>
          </cell>
          <cell r="Y22">
            <v>45748</v>
          </cell>
          <cell r="Z22">
            <v>45778</v>
          </cell>
          <cell r="AA22">
            <v>45809</v>
          </cell>
          <cell r="AB22">
            <v>45839</v>
          </cell>
          <cell r="AC22">
            <v>45870</v>
          </cell>
          <cell r="AD22">
            <v>45901</v>
          </cell>
          <cell r="AE22">
            <v>45931</v>
          </cell>
          <cell r="AF22">
            <v>45962</v>
          </cell>
          <cell r="AG22">
            <v>45992</v>
          </cell>
          <cell r="AH22" t="str">
            <v>Total 2025</v>
          </cell>
          <cell r="AJ22" t="str">
            <v>Base</v>
          </cell>
          <cell r="AK22" t="str">
            <v>MPF</v>
          </cell>
          <cell r="AL22" t="str">
            <v>2025 Adj %</v>
          </cell>
          <cell r="AM22">
            <v>46023</v>
          </cell>
          <cell r="AN22">
            <v>46054</v>
          </cell>
          <cell r="AO22">
            <v>46082</v>
          </cell>
          <cell r="AP22">
            <v>46113</v>
          </cell>
          <cell r="AQ22">
            <v>46143</v>
          </cell>
          <cell r="AR22">
            <v>46174</v>
          </cell>
          <cell r="AS22">
            <v>46204</v>
          </cell>
          <cell r="AT22">
            <v>46235</v>
          </cell>
          <cell r="AU22">
            <v>46266</v>
          </cell>
          <cell r="AV22">
            <v>46296</v>
          </cell>
          <cell r="AW22">
            <v>46327</v>
          </cell>
          <cell r="AX22">
            <v>46357</v>
          </cell>
          <cell r="AY22" t="str">
            <v>Total 2025</v>
          </cell>
        </row>
        <row r="35">
          <cell r="A35" t="str">
            <v>Salaries &amp; MPF - Management HK</v>
          </cell>
          <cell r="B35" t="str">
            <v>Total</v>
          </cell>
          <cell r="C35" t="str">
            <v>Base</v>
          </cell>
          <cell r="D35" t="str">
            <v>Management</v>
          </cell>
          <cell r="F35" t="str">
            <v>Salaries &amp; MPF - Management HK</v>
          </cell>
          <cell r="V35">
            <v>442596.56800000003</v>
          </cell>
          <cell r="W35">
            <v>442596.56800000003</v>
          </cell>
          <cell r="X35">
            <v>442596.56800000003</v>
          </cell>
          <cell r="Y35">
            <v>442596.56800000003</v>
          </cell>
          <cell r="Z35">
            <v>442596.56800000003</v>
          </cell>
          <cell r="AA35">
            <v>442596.56800000003</v>
          </cell>
          <cell r="AB35">
            <v>442596.56800000003</v>
          </cell>
          <cell r="AC35">
            <v>442596.56800000003</v>
          </cell>
          <cell r="AD35">
            <v>442596.56800000003</v>
          </cell>
          <cell r="AE35">
            <v>442596.56800000003</v>
          </cell>
          <cell r="AF35">
            <v>442596.56800000003</v>
          </cell>
          <cell r="AG35">
            <v>442596.56800000003</v>
          </cell>
          <cell r="AH35">
            <v>5311158.8159999996</v>
          </cell>
          <cell r="AM35">
            <v>276938.728</v>
          </cell>
          <cell r="AN35">
            <v>276938.728</v>
          </cell>
          <cell r="AO35">
            <v>276938.728</v>
          </cell>
          <cell r="AP35">
            <v>276938.728</v>
          </cell>
          <cell r="AQ35">
            <v>276938.728</v>
          </cell>
          <cell r="AR35">
            <v>276938.728</v>
          </cell>
          <cell r="AS35">
            <v>276938.728</v>
          </cell>
          <cell r="AT35">
            <v>276938.728</v>
          </cell>
          <cell r="AU35">
            <v>276938.728</v>
          </cell>
          <cell r="AV35">
            <v>276938.728</v>
          </cell>
          <cell r="AW35">
            <v>276938.728</v>
          </cell>
          <cell r="AX35">
            <v>276938.728</v>
          </cell>
          <cell r="AY35">
            <v>3323264.736</v>
          </cell>
        </row>
        <row r="36">
          <cell r="A36" t="str">
            <v>Salaries &amp; MPF - Professional HK</v>
          </cell>
          <cell r="B36" t="str">
            <v>Total</v>
          </cell>
          <cell r="C36" t="str">
            <v>Base</v>
          </cell>
          <cell r="D36" t="str">
            <v>Professional</v>
          </cell>
          <cell r="F36" t="str">
            <v>Salaries &amp; MPF - Professional HK</v>
          </cell>
          <cell r="V36">
            <v>370498.15798399999</v>
          </cell>
          <cell r="W36">
            <v>370498.15798399999</v>
          </cell>
          <cell r="X36">
            <v>370498.15798399999</v>
          </cell>
          <cell r="Y36">
            <v>370498.15798399999</v>
          </cell>
          <cell r="Z36">
            <v>370498.15798399999</v>
          </cell>
          <cell r="AA36">
            <v>370498.15798399999</v>
          </cell>
          <cell r="AB36">
            <v>274566.357984</v>
          </cell>
          <cell r="AC36">
            <v>318041.35153238702</v>
          </cell>
          <cell r="AD36">
            <v>399043.71798399999</v>
          </cell>
          <cell r="AE36">
            <v>399043.71798399999</v>
          </cell>
          <cell r="AF36">
            <v>399043.71798399999</v>
          </cell>
          <cell r="AG36">
            <v>399043.71798399999</v>
          </cell>
          <cell r="AH36">
            <v>4411771.5293563902</v>
          </cell>
          <cell r="AM36">
            <v>399043.71798399999</v>
          </cell>
          <cell r="AN36">
            <v>399043.71798399999</v>
          </cell>
          <cell r="AO36">
            <v>399043.71798399999</v>
          </cell>
          <cell r="AP36">
            <v>399043.71798399999</v>
          </cell>
          <cell r="AQ36">
            <v>399043.71798399999</v>
          </cell>
          <cell r="AR36">
            <v>399043.71798399999</v>
          </cell>
          <cell r="AS36">
            <v>399043.71798399999</v>
          </cell>
          <cell r="AT36">
            <v>399043.71798399999</v>
          </cell>
          <cell r="AU36">
            <v>399043.71798399999</v>
          </cell>
          <cell r="AV36">
            <v>399043.71798399999</v>
          </cell>
          <cell r="AW36">
            <v>399043.71798399999</v>
          </cell>
          <cell r="AX36">
            <v>399043.71798399999</v>
          </cell>
          <cell r="AY36">
            <v>4788524.6158079999</v>
          </cell>
        </row>
      </sheetData>
      <sheetData sheetId="1" refreshError="1"/>
      <sheetData sheetId="2" refreshError="1"/>
      <sheetData sheetId="3"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Table-HK"/>
      <sheetName val="HKBase"/>
      <sheetName val="Calendar"/>
      <sheetName val="2018 (2)"/>
      <sheetName val="Assumptions (old)"/>
      <sheetName val="Variance Analysis"/>
      <sheetName val="Qlist"/>
      <sheetName val="FY24 Budget Assumptions"/>
      <sheetName val="Saving Opportunities"/>
      <sheetName val="Current Cash Position"/>
      <sheetName val="2021 Cash View"/>
      <sheetName val="2021CapInj_Shareholding"/>
      <sheetName val="2021 Budget (2)"/>
      <sheetName val="2021 Budget"/>
      <sheetName val="2021 6+6 OL"/>
      <sheetName val="Sheet2"/>
      <sheetName val="FY22 Major Assum "/>
      <sheetName val="FY22 0+12 OL (Sec.1)"/>
      <sheetName val="FY22 Cons. 0+12 OL (HKD)"/>
      <sheetName val="FY22 Cons. 0+12 OL (USD)"/>
      <sheetName val="FY22 Budget (Ver 2)"/>
      <sheetName val="Entity List"/>
      <sheetName val="FY22 Budget (HK01)"/>
      <sheetName val="FY22 Budget (HK02)"/>
      <sheetName val="FY22 Budget (CN01)"/>
      <sheetName val="FY22 Budget (CN02)"/>
      <sheetName val="Cash Flow Projection"/>
      <sheetName val="Cash Flow Proj. (GRP view wSHL)"/>
      <sheetName val="Cash Flow Proj. (HK view wSHL) "/>
      <sheetName val="Cash Position"/>
      <sheetName val="FY22 6+6OL (HK01)"/>
      <sheetName val="FY22 6+6OL (HK02)"/>
      <sheetName val="FY22 6+6OL (CN01)"/>
      <sheetName val="FY22 6+6OL (CN02)"/>
      <sheetName val="FY22 CON 6+6 OL (HKD)"/>
      <sheetName val="FY22 CON 6+6 OL (USD)"/>
      <sheetName val="Cash Flow Proj. (ACPLHK)"/>
      <sheetName val="SHL"/>
      <sheetName val="FY24 (HK01)"/>
      <sheetName val="FY24 (HK02)"/>
      <sheetName val="FY24 (HK03)"/>
      <sheetName val="FY23 (HK04)"/>
      <sheetName val="FY24 (CN01)"/>
      <sheetName val="FY24 (CN02) "/>
      <sheetName val="FY24 (CN03)"/>
      <sheetName val="FY24 (CN04)"/>
      <sheetName val="FY24 (KY01)"/>
      <sheetName val="FY24 CON (HKD)"/>
      <sheetName val="FY24 CON (USD)"/>
      <sheetName val="Data Input &gt;&gt;"/>
      <sheetName val="Revenue Inputs"/>
      <sheetName val="Revenue Breakdown"/>
      <sheetName val="Revenue Inputs (2)"/>
      <sheetName val="Pipeline"/>
      <sheetName val="INCOME"/>
      <sheetName val="Employee Cost-HK"/>
      <sheetName val="Employee Cost-CN"/>
      <sheetName val="Fringe_Soc.Sec-CN"/>
      <sheetName val="Contractor Plan"/>
      <sheetName val="2021 Budget (3)"/>
      <sheetName val="Fringe &amp; EmpRel"/>
      <sheetName val="NEW"/>
      <sheetName val="Travel (old)"/>
      <sheetName val="Travel &amp; Relo"/>
      <sheetName val="HW &amp; SW Details"/>
      <sheetName val="SPACE"/>
      <sheetName val="HW&amp;SW"/>
      <sheetName val="FUND EST."/>
      <sheetName val="TRAVEL"/>
      <sheetName val="ADMIN SVCS_OTH"/>
      <sheetName val="HK01 (ACPL)"/>
      <sheetName val="HK02 (ACPLHK)"/>
      <sheetName val="CN01 (ACPLGZ)"/>
      <sheetName val="HK01"/>
      <sheetName val="HK01 (NEW"/>
      <sheetName val="Sheet5"/>
      <sheetName val="HW &amp; SW Costs"/>
      <sheetName val="Vendor-HK (2)"/>
      <sheetName val="Cont. Intangibles"/>
      <sheetName val="SpaceRel"/>
      <sheetName val="Admin Svcs"/>
      <sheetName val="Vendor-HK"/>
      <sheetName val="Vendor-HK (Cash View)"/>
      <sheetName val="Vendor-CH"/>
      <sheetName val="Fund Establish."/>
      <sheetName val="CN02 (ACPLSZ) (2)"/>
      <sheetName val="CN02 (ACPLGZ) (2)"/>
      <sheetName val="CN02 (ACPLSZ)"/>
      <sheetName val="Supporting Calculation&gt;&gt;"/>
      <sheetName val="五保一金基数"/>
      <sheetName val="Medical Exp Calc."/>
      <sheetName val="FX Lookup"/>
      <sheetName val="Acutal &gt;&gt;"/>
      <sheetName val="FX Rate"/>
      <sheetName val="Vendor-CHN"/>
      <sheetName val="PL_HK"/>
      <sheetName val="PL_KY"/>
      <sheetName val="PL_CN"/>
      <sheetName val="Personnel-HK"/>
      <sheetName val="Personnel-CN"/>
      <sheetName val="enth"/>
      <sheetName val="Rate 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ow r="14">
          <cell r="I14">
            <v>0</v>
          </cell>
        </row>
        <row r="209">
          <cell r="I209">
            <v>0</v>
          </cell>
          <cell r="J209">
            <v>0</v>
          </cell>
          <cell r="K209">
            <v>0</v>
          </cell>
          <cell r="L209">
            <v>0</v>
          </cell>
          <cell r="M209">
            <v>0</v>
          </cell>
          <cell r="N209">
            <v>0</v>
          </cell>
          <cell r="O209">
            <v>0</v>
          </cell>
          <cell r="P209">
            <v>0</v>
          </cell>
          <cell r="Q209">
            <v>0</v>
          </cell>
          <cell r="R209">
            <v>0</v>
          </cell>
          <cell r="S209">
            <v>0</v>
          </cell>
          <cell r="T209">
            <v>0</v>
          </cell>
        </row>
      </sheetData>
      <sheetData sheetId="40">
        <row r="14">
          <cell r="I14">
            <v>0</v>
          </cell>
        </row>
        <row r="209">
          <cell r="I209">
            <v>0</v>
          </cell>
          <cell r="J209">
            <v>0</v>
          </cell>
          <cell r="K209">
            <v>0</v>
          </cell>
          <cell r="L209">
            <v>0</v>
          </cell>
          <cell r="M209">
            <v>0</v>
          </cell>
          <cell r="N209">
            <v>0</v>
          </cell>
          <cell r="O209">
            <v>0</v>
          </cell>
          <cell r="P209">
            <v>0</v>
          </cell>
          <cell r="Q209">
            <v>0</v>
          </cell>
          <cell r="R209">
            <v>0</v>
          </cell>
          <cell r="S209">
            <v>0</v>
          </cell>
          <cell r="T209">
            <v>0</v>
          </cell>
        </row>
      </sheetData>
      <sheetData sheetId="41">
        <row r="14">
          <cell r="I14">
            <v>0</v>
          </cell>
        </row>
        <row r="209">
          <cell r="I209">
            <v>0</v>
          </cell>
          <cell r="J209">
            <v>0</v>
          </cell>
          <cell r="K209">
            <v>0</v>
          </cell>
          <cell r="L209">
            <v>0</v>
          </cell>
          <cell r="M209">
            <v>0</v>
          </cell>
          <cell r="N209">
            <v>0</v>
          </cell>
          <cell r="O209">
            <v>0</v>
          </cell>
          <cell r="P209">
            <v>0</v>
          </cell>
          <cell r="Q209">
            <v>0</v>
          </cell>
          <cell r="R209">
            <v>0</v>
          </cell>
          <cell r="S209">
            <v>0</v>
          </cell>
          <cell r="T209">
            <v>0</v>
          </cell>
        </row>
      </sheetData>
      <sheetData sheetId="42">
        <row r="14">
          <cell r="I14">
            <v>0</v>
          </cell>
        </row>
        <row r="207">
          <cell r="I207">
            <v>0</v>
          </cell>
          <cell r="J207">
            <v>0</v>
          </cell>
          <cell r="K207">
            <v>0</v>
          </cell>
          <cell r="L207">
            <v>0</v>
          </cell>
          <cell r="M207">
            <v>0</v>
          </cell>
          <cell r="N207">
            <v>0</v>
          </cell>
          <cell r="O207">
            <v>0</v>
          </cell>
          <cell r="P207">
            <v>0</v>
          </cell>
          <cell r="Q207">
            <v>0</v>
          </cell>
          <cell r="R207">
            <v>0</v>
          </cell>
          <cell r="S207">
            <v>0</v>
          </cell>
          <cell r="T207">
            <v>0</v>
          </cell>
        </row>
      </sheetData>
      <sheetData sheetId="43">
        <row r="14">
          <cell r="I14">
            <v>0</v>
          </cell>
        </row>
        <row r="209">
          <cell r="I209">
            <v>0</v>
          </cell>
          <cell r="J209">
            <v>0</v>
          </cell>
          <cell r="K209">
            <v>0</v>
          </cell>
          <cell r="L209">
            <v>0</v>
          </cell>
          <cell r="M209">
            <v>0</v>
          </cell>
          <cell r="N209">
            <v>0</v>
          </cell>
          <cell r="O209">
            <v>0</v>
          </cell>
          <cell r="P209">
            <v>0</v>
          </cell>
          <cell r="Q209">
            <v>0</v>
          </cell>
          <cell r="R209">
            <v>0</v>
          </cell>
          <cell r="S209">
            <v>0</v>
          </cell>
          <cell r="T209">
            <v>0</v>
          </cell>
        </row>
      </sheetData>
      <sheetData sheetId="44">
        <row r="14">
          <cell r="I14">
            <v>780000</v>
          </cell>
        </row>
        <row r="209">
          <cell r="I209">
            <v>0</v>
          </cell>
          <cell r="J209">
            <v>0</v>
          </cell>
          <cell r="K209">
            <v>0</v>
          </cell>
          <cell r="L209">
            <v>0</v>
          </cell>
          <cell r="M209">
            <v>0</v>
          </cell>
          <cell r="N209">
            <v>0</v>
          </cell>
          <cell r="O209">
            <v>0</v>
          </cell>
          <cell r="P209">
            <v>0</v>
          </cell>
          <cell r="Q209">
            <v>0</v>
          </cell>
          <cell r="R209">
            <v>0</v>
          </cell>
          <cell r="S209">
            <v>0</v>
          </cell>
          <cell r="T209">
            <v>0</v>
          </cell>
        </row>
      </sheetData>
      <sheetData sheetId="45">
        <row r="14">
          <cell r="I14">
            <v>0</v>
          </cell>
        </row>
        <row r="209">
          <cell r="I209">
            <v>0</v>
          </cell>
          <cell r="J209">
            <v>0</v>
          </cell>
          <cell r="K209">
            <v>0</v>
          </cell>
          <cell r="L209">
            <v>0</v>
          </cell>
          <cell r="M209">
            <v>0</v>
          </cell>
          <cell r="N209">
            <v>0</v>
          </cell>
          <cell r="O209">
            <v>0</v>
          </cell>
          <cell r="P209">
            <v>0</v>
          </cell>
          <cell r="Q209">
            <v>0</v>
          </cell>
          <cell r="R209">
            <v>0</v>
          </cell>
          <cell r="S209">
            <v>0</v>
          </cell>
          <cell r="T209">
            <v>0</v>
          </cell>
        </row>
      </sheetData>
      <sheetData sheetId="46">
        <row r="14">
          <cell r="I14">
            <v>0</v>
          </cell>
        </row>
        <row r="209">
          <cell r="I209">
            <v>0</v>
          </cell>
          <cell r="J209">
            <v>0</v>
          </cell>
          <cell r="K209">
            <v>0</v>
          </cell>
          <cell r="L209">
            <v>0</v>
          </cell>
          <cell r="M209">
            <v>0</v>
          </cell>
          <cell r="N209">
            <v>0</v>
          </cell>
          <cell r="O209">
            <v>0</v>
          </cell>
          <cell r="P209">
            <v>0</v>
          </cell>
          <cell r="Q209">
            <v>0</v>
          </cell>
          <cell r="R209">
            <v>0</v>
          </cell>
          <cell r="S209">
            <v>0</v>
          </cell>
          <cell r="T209">
            <v>0</v>
          </cell>
        </row>
      </sheetData>
      <sheetData sheetId="47">
        <row r="14">
          <cell r="I14">
            <v>0</v>
          </cell>
        </row>
        <row r="209">
          <cell r="I209">
            <v>0</v>
          </cell>
          <cell r="J209">
            <v>0</v>
          </cell>
          <cell r="K209">
            <v>0</v>
          </cell>
          <cell r="L209">
            <v>0</v>
          </cell>
          <cell r="M209">
            <v>0</v>
          </cell>
          <cell r="N209">
            <v>0</v>
          </cell>
          <cell r="O209">
            <v>0</v>
          </cell>
          <cell r="P209">
            <v>0</v>
          </cell>
          <cell r="Q209">
            <v>0</v>
          </cell>
          <cell r="R209">
            <v>0</v>
          </cell>
          <cell r="S209">
            <v>0</v>
          </cell>
          <cell r="T209">
            <v>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ow r="5">
          <cell r="B5">
            <v>1.1140000000000001</v>
          </cell>
        </row>
      </sheetData>
      <sheetData sheetId="95" refreshError="1"/>
      <sheetData sheetId="96">
        <row r="51">
          <cell r="H51">
            <v>-757188.7</v>
          </cell>
          <cell r="I51">
            <v>-1838660.94</v>
          </cell>
          <cell r="J51">
            <v>-1585735</v>
          </cell>
          <cell r="K51">
            <v>-2003370.05</v>
          </cell>
        </row>
        <row r="113">
          <cell r="H113">
            <v>-865035.07</v>
          </cell>
          <cell r="I113">
            <v>-260363.31</v>
          </cell>
          <cell r="J113">
            <v>-256322.73</v>
          </cell>
          <cell r="K113">
            <v>135214.29</v>
          </cell>
        </row>
        <row r="176">
          <cell r="H176">
            <v>-40714</v>
          </cell>
          <cell r="I176">
            <v>0</v>
          </cell>
          <cell r="J176">
            <v>0</v>
          </cell>
          <cell r="K176">
            <v>0</v>
          </cell>
        </row>
      </sheetData>
      <sheetData sheetId="97">
        <row r="51">
          <cell r="H51">
            <v>0</v>
          </cell>
          <cell r="I51">
            <v>0</v>
          </cell>
          <cell r="J51">
            <v>0</v>
          </cell>
          <cell r="K51">
            <v>-37940.620000000003</v>
          </cell>
        </row>
      </sheetData>
      <sheetData sheetId="98">
        <row r="119">
          <cell r="W119">
            <v>-459915.73846944002</v>
          </cell>
          <cell r="X119">
            <v>-459885.00694823998</v>
          </cell>
          <cell r="Y119">
            <v>-293331.01025826001</v>
          </cell>
          <cell r="Z119">
            <v>-474810.24969999999</v>
          </cell>
        </row>
        <row r="241">
          <cell r="W241">
            <v>243989.81858664</v>
          </cell>
          <cell r="X241">
            <v>262378.01758818002</v>
          </cell>
          <cell r="Y241">
            <v>-63093.810462800102</v>
          </cell>
          <cell r="Z241">
            <v>243939.01892</v>
          </cell>
        </row>
      </sheetData>
      <sheetData sheetId="99" refreshError="1"/>
      <sheetData sheetId="100" refreshError="1"/>
      <sheetData sheetId="101" refreshError="1"/>
      <sheetData sheetId="10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9.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10.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xml"/><Relationship Id="rId1" Type="http://schemas.openxmlformats.org/officeDocument/2006/relationships/printerSettings" Target="../printerSettings/printerSettings8.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2.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3.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7.v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8.v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9.v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20.v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21.v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2.v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3.v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vmlDrawing" Target="../drawings/vmlDrawing24.vml"/><Relationship Id="rId1" Type="http://schemas.openxmlformats.org/officeDocument/2006/relationships/printerSettings" Target="../printerSettings/printerSettings31.bin"/><Relationship Id="rId4" Type="http://schemas.openxmlformats.org/officeDocument/2006/relationships/comments" Target="../comments22.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vmlDrawing" Target="../drawings/vmlDrawing26.vml"/><Relationship Id="rId1" Type="http://schemas.openxmlformats.org/officeDocument/2006/relationships/printerSettings" Target="../printerSettings/printerSettings32.bin"/><Relationship Id="rId4" Type="http://schemas.openxmlformats.org/officeDocument/2006/relationships/comments" Target="../comments23.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vmlDrawing" Target="../drawings/vmlDrawing28.vml"/><Relationship Id="rId1" Type="http://schemas.openxmlformats.org/officeDocument/2006/relationships/printerSettings" Target="../printerSettings/printerSettings33.bin"/><Relationship Id="rId4" Type="http://schemas.openxmlformats.org/officeDocument/2006/relationships/comments" Target="../comments24.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2.xml"/><Relationship Id="rId1" Type="http://schemas.openxmlformats.org/officeDocument/2006/relationships/printerSettings" Target="../printerSettings/printerSettings34.bin"/><Relationship Id="rId4" Type="http://schemas.openxmlformats.org/officeDocument/2006/relationships/comments" Target="../comments25.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4.xml"/><Relationship Id="rId1" Type="http://schemas.openxmlformats.org/officeDocument/2006/relationships/printerSettings" Target="../printerSettings/printerSettings36.bin"/><Relationship Id="rId5" Type="http://schemas.openxmlformats.org/officeDocument/2006/relationships/comments" Target="../comments26.xml"/><Relationship Id="rId4" Type="http://schemas.openxmlformats.org/officeDocument/2006/relationships/vmlDrawing" Target="../drawings/vmlDrawing32.v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vmlDrawing" Target="../drawings/vmlDrawing33.vml"/><Relationship Id="rId1" Type="http://schemas.openxmlformats.org/officeDocument/2006/relationships/printerSettings" Target="../printerSettings/printerSettings37.bin"/><Relationship Id="rId4" Type="http://schemas.openxmlformats.org/officeDocument/2006/relationships/comments" Target="../comments27.xml"/></Relationships>
</file>

<file path=xl/worksheets/_rels/sheet40.xml.rels><?xml version="1.0" encoding="UTF-8" standalone="yes"?>
<Relationships xmlns="http://schemas.openxmlformats.org/package/2006/relationships"><Relationship Id="rId2" Type="http://schemas.openxmlformats.org/officeDocument/2006/relationships/vmlDrawing" Target="../drawings/vmlDrawing35.vml"/><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37.vml"/><Relationship Id="rId2" Type="http://schemas.openxmlformats.org/officeDocument/2006/relationships/vmlDrawing" Target="../drawings/vmlDrawing36.vml"/><Relationship Id="rId1" Type="http://schemas.openxmlformats.org/officeDocument/2006/relationships/printerSettings" Target="../printerSettings/printerSettings39.bin"/><Relationship Id="rId4" Type="http://schemas.openxmlformats.org/officeDocument/2006/relationships/comments" Target="../comments28.xml"/></Relationships>
</file>

<file path=xl/worksheets/_rels/sheet42.xml.rels><?xml version="1.0" encoding="UTF-8" standalone="yes"?>
<Relationships xmlns="http://schemas.openxmlformats.org/package/2006/relationships"><Relationship Id="rId2" Type="http://schemas.openxmlformats.org/officeDocument/2006/relationships/vmlDrawing" Target="../drawings/vmlDrawing38.v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2" Type="http://schemas.openxmlformats.org/officeDocument/2006/relationships/vmlDrawing" Target="../drawings/vmlDrawing39.vml"/><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6"/>
  <sheetViews>
    <sheetView workbookViewId="0"/>
  </sheetViews>
  <sheetFormatPr defaultColWidth="8.25" defaultRowHeight="15"/>
  <cols>
    <col min="1" max="1" width="17.5" style="1066" customWidth="1"/>
    <col min="2" max="2" width="17.125" style="1066" customWidth="1"/>
    <col min="3" max="3" width="11.875" style="1066" customWidth="1"/>
    <col min="4" max="4" width="31.625" style="1066" customWidth="1"/>
    <col min="5" max="5" width="27.875" style="1066" customWidth="1"/>
    <col min="6" max="6" width="32.75" style="1066" customWidth="1"/>
    <col min="7" max="11" width="17.5" style="1066" customWidth="1"/>
    <col min="12" max="16384" width="8.25" style="1066"/>
  </cols>
  <sheetData>
    <row r="1" spans="1:11" ht="15" customHeight="1">
      <c r="A1" s="1066" t="s">
        <v>0</v>
      </c>
      <c r="B1" s="1066" t="s">
        <v>1</v>
      </c>
      <c r="C1" s="1066" t="s">
        <v>2</v>
      </c>
      <c r="D1" s="1066" t="s">
        <v>3</v>
      </c>
      <c r="E1" s="1066" t="s">
        <v>4</v>
      </c>
      <c r="G1" s="1066" t="s">
        <v>5</v>
      </c>
      <c r="H1" s="1066" t="s">
        <v>6</v>
      </c>
      <c r="I1" s="1066" t="s">
        <v>7</v>
      </c>
      <c r="J1" s="1066" t="s">
        <v>8</v>
      </c>
      <c r="K1" s="1066" t="s">
        <v>9</v>
      </c>
    </row>
    <row r="2" spans="1:11" ht="15" customHeight="1">
      <c r="A2" s="1066" t="s">
        <v>10</v>
      </c>
      <c r="B2" s="1066" t="s">
        <v>11</v>
      </c>
      <c r="E2" s="1066" t="s">
        <v>11</v>
      </c>
      <c r="F2" s="1066" t="s">
        <v>12</v>
      </c>
      <c r="G2" s="1066" t="s">
        <v>13</v>
      </c>
      <c r="H2" s="1066" t="s">
        <v>14</v>
      </c>
      <c r="K2" s="1066" t="s">
        <v>15</v>
      </c>
    </row>
    <row r="3" spans="1:11" ht="15" customHeight="1">
      <c r="A3" s="1066" t="s">
        <v>16</v>
      </c>
      <c r="B3" s="1066" t="s">
        <v>17</v>
      </c>
      <c r="E3" s="1066" t="s">
        <v>17</v>
      </c>
      <c r="F3" s="1066" t="s">
        <v>18</v>
      </c>
      <c r="G3" s="1066" t="s">
        <v>13</v>
      </c>
      <c r="H3" s="1066" t="s">
        <v>14</v>
      </c>
      <c r="I3" s="1066" t="s">
        <v>19</v>
      </c>
      <c r="K3" s="1066" t="s">
        <v>15</v>
      </c>
    </row>
    <row r="4" spans="1:11" ht="15" customHeight="1">
      <c r="A4" s="1066" t="s">
        <v>20</v>
      </c>
      <c r="B4" s="1066" t="s">
        <v>21</v>
      </c>
      <c r="E4" s="1066" t="s">
        <v>22</v>
      </c>
      <c r="F4" s="1066" t="s">
        <v>23</v>
      </c>
      <c r="G4" s="1066" t="s">
        <v>13</v>
      </c>
      <c r="H4" s="1066" t="s">
        <v>14</v>
      </c>
      <c r="I4" s="1066" t="s">
        <v>19</v>
      </c>
      <c r="K4" s="1066" t="s">
        <v>15</v>
      </c>
    </row>
    <row r="5" spans="1:11" ht="15" customHeight="1">
      <c r="A5" s="1066" t="s">
        <v>24</v>
      </c>
      <c r="B5" s="1066" t="s">
        <v>25</v>
      </c>
      <c r="E5" s="1066" t="s">
        <v>26</v>
      </c>
      <c r="F5" s="1066" t="s">
        <v>27</v>
      </c>
      <c r="G5" s="1066" t="s">
        <v>13</v>
      </c>
      <c r="H5" s="1066" t="s">
        <v>14</v>
      </c>
      <c r="I5" s="1066" t="s">
        <v>19</v>
      </c>
      <c r="K5" s="1066" t="s">
        <v>15</v>
      </c>
    </row>
    <row r="6" spans="1:11" ht="15" customHeight="1">
      <c r="A6" s="1066" t="s">
        <v>28</v>
      </c>
      <c r="B6" s="1066" t="s">
        <v>29</v>
      </c>
      <c r="E6" s="1066" t="s">
        <v>30</v>
      </c>
      <c r="F6" s="1066" t="s">
        <v>31</v>
      </c>
      <c r="G6" s="1066" t="s">
        <v>13</v>
      </c>
      <c r="H6" s="1066" t="s">
        <v>14</v>
      </c>
      <c r="I6" s="1066" t="s">
        <v>19</v>
      </c>
      <c r="K6" s="1066" t="s">
        <v>15</v>
      </c>
    </row>
    <row r="7" spans="1:11" ht="15" customHeight="1">
      <c r="A7" s="1066" t="s">
        <v>32</v>
      </c>
      <c r="B7" s="1066" t="s">
        <v>33</v>
      </c>
      <c r="E7" s="1066" t="s">
        <v>34</v>
      </c>
      <c r="F7" s="1066" t="s">
        <v>35</v>
      </c>
      <c r="G7" s="1066" t="s">
        <v>13</v>
      </c>
      <c r="H7" s="1066" t="s">
        <v>14</v>
      </c>
      <c r="I7" s="1066" t="s">
        <v>19</v>
      </c>
      <c r="K7" s="1066" t="s">
        <v>15</v>
      </c>
    </row>
    <row r="8" spans="1:11" ht="15" customHeight="1">
      <c r="A8" s="1066" t="s">
        <v>36</v>
      </c>
      <c r="B8" s="1066" t="s">
        <v>37</v>
      </c>
      <c r="E8" s="1066" t="s">
        <v>38</v>
      </c>
      <c r="F8" s="1066" t="s">
        <v>39</v>
      </c>
      <c r="G8" s="1066" t="s">
        <v>13</v>
      </c>
      <c r="H8" s="1066" t="s">
        <v>14</v>
      </c>
      <c r="I8" s="1066" t="s">
        <v>19</v>
      </c>
      <c r="K8" s="1066" t="s">
        <v>15</v>
      </c>
    </row>
    <row r="9" spans="1:11" ht="15" customHeight="1">
      <c r="A9" s="1066" t="s">
        <v>40</v>
      </c>
      <c r="B9" s="1066" t="s">
        <v>41</v>
      </c>
      <c r="E9" s="1066" t="s">
        <v>42</v>
      </c>
      <c r="F9" s="1066" t="s">
        <v>43</v>
      </c>
      <c r="G9" s="1066" t="s">
        <v>13</v>
      </c>
      <c r="H9" s="1066" t="s">
        <v>14</v>
      </c>
      <c r="I9" s="1066" t="s">
        <v>19</v>
      </c>
      <c r="K9" s="1066" t="s">
        <v>15</v>
      </c>
    </row>
    <row r="10" spans="1:11" ht="15" customHeight="1">
      <c r="A10" s="1066" t="s">
        <v>44</v>
      </c>
      <c r="B10" s="1066" t="s">
        <v>45</v>
      </c>
      <c r="E10" s="1066" t="s">
        <v>46</v>
      </c>
      <c r="F10" s="1066" t="s">
        <v>47</v>
      </c>
      <c r="G10" s="1066" t="s">
        <v>13</v>
      </c>
      <c r="H10" s="1066" t="s">
        <v>14</v>
      </c>
      <c r="I10" s="1066" t="s">
        <v>19</v>
      </c>
      <c r="K10" s="1066" t="s">
        <v>15</v>
      </c>
    </row>
    <row r="11" spans="1:11" ht="15" customHeight="1">
      <c r="A11" s="1066" t="s">
        <v>48</v>
      </c>
      <c r="B11" s="1066" t="s">
        <v>49</v>
      </c>
      <c r="E11" s="1066" t="s">
        <v>50</v>
      </c>
      <c r="F11" s="1066" t="s">
        <v>51</v>
      </c>
      <c r="G11" s="1066" t="s">
        <v>13</v>
      </c>
      <c r="H11" s="1066" t="s">
        <v>14</v>
      </c>
      <c r="I11" s="1066" t="s">
        <v>19</v>
      </c>
      <c r="K11" s="1066" t="s">
        <v>15</v>
      </c>
    </row>
    <row r="12" spans="1:11" ht="15" customHeight="1">
      <c r="A12" s="1066" t="s">
        <v>52</v>
      </c>
      <c r="B12" s="1066" t="s">
        <v>53</v>
      </c>
      <c r="E12" s="1066" t="s">
        <v>54</v>
      </c>
      <c r="F12" s="1066" t="s">
        <v>55</v>
      </c>
      <c r="G12" s="1066" t="s">
        <v>13</v>
      </c>
      <c r="H12" s="1066" t="s">
        <v>14</v>
      </c>
      <c r="I12" s="1066" t="s">
        <v>19</v>
      </c>
      <c r="K12" s="1066" t="s">
        <v>15</v>
      </c>
    </row>
    <row r="13" spans="1:11" ht="15" customHeight="1">
      <c r="A13" s="1066" t="s">
        <v>56</v>
      </c>
      <c r="B13" s="1066" t="s">
        <v>57</v>
      </c>
      <c r="E13" s="1066" t="s">
        <v>58</v>
      </c>
      <c r="F13" s="1066" t="s">
        <v>59</v>
      </c>
      <c r="G13" s="1066" t="s">
        <v>13</v>
      </c>
      <c r="H13" s="1066" t="s">
        <v>14</v>
      </c>
      <c r="I13" s="1066" t="s">
        <v>19</v>
      </c>
      <c r="K13" s="1066" t="s">
        <v>15</v>
      </c>
    </row>
    <row r="14" spans="1:11" ht="15" customHeight="1">
      <c r="A14" s="1066" t="s">
        <v>60</v>
      </c>
      <c r="B14" s="1066" t="s">
        <v>61</v>
      </c>
      <c r="E14" s="1066" t="s">
        <v>62</v>
      </c>
      <c r="F14" s="1066" t="s">
        <v>63</v>
      </c>
      <c r="G14" s="1066" t="s">
        <v>13</v>
      </c>
      <c r="H14" s="1066" t="s">
        <v>14</v>
      </c>
      <c r="I14" s="1066" t="s">
        <v>19</v>
      </c>
      <c r="K14" s="1066" t="s">
        <v>15</v>
      </c>
    </row>
    <row r="15" spans="1:11" ht="15" customHeight="1">
      <c r="A15" s="1066" t="s">
        <v>64</v>
      </c>
      <c r="B15" s="1066" t="s">
        <v>65</v>
      </c>
      <c r="E15" s="1066" t="s">
        <v>66</v>
      </c>
      <c r="F15" s="1066" t="s">
        <v>67</v>
      </c>
      <c r="G15" s="1066" t="s">
        <v>13</v>
      </c>
      <c r="H15" s="1066" t="s">
        <v>14</v>
      </c>
      <c r="I15" s="1066" t="s">
        <v>19</v>
      </c>
      <c r="K15" s="1066" t="s">
        <v>15</v>
      </c>
    </row>
    <row r="16" spans="1:11" ht="15" customHeight="1">
      <c r="A16" s="1066" t="s">
        <v>68</v>
      </c>
      <c r="B16" s="1066" t="s">
        <v>69</v>
      </c>
      <c r="E16" s="1066" t="s">
        <v>70</v>
      </c>
      <c r="F16" s="1066" t="s">
        <v>71</v>
      </c>
      <c r="G16" s="1066" t="s">
        <v>13</v>
      </c>
      <c r="H16" s="1066" t="s">
        <v>14</v>
      </c>
      <c r="I16" s="1066" t="s">
        <v>19</v>
      </c>
      <c r="K16" s="1066" t="s">
        <v>15</v>
      </c>
    </row>
    <row r="17" spans="1:11" ht="15" customHeight="1">
      <c r="A17" s="1066" t="s">
        <v>72</v>
      </c>
      <c r="B17" s="1066" t="s">
        <v>73</v>
      </c>
      <c r="E17" s="1066" t="s">
        <v>74</v>
      </c>
      <c r="F17" s="1066" t="s">
        <v>75</v>
      </c>
      <c r="G17" s="1066" t="s">
        <v>13</v>
      </c>
      <c r="H17" s="1066" t="s">
        <v>14</v>
      </c>
      <c r="I17" s="1066" t="s">
        <v>19</v>
      </c>
      <c r="K17" s="1066" t="s">
        <v>15</v>
      </c>
    </row>
    <row r="18" spans="1:11" ht="15" customHeight="1">
      <c r="A18" s="1066" t="s">
        <v>76</v>
      </c>
      <c r="B18" s="1066" t="s">
        <v>77</v>
      </c>
      <c r="E18" s="1066" t="s">
        <v>78</v>
      </c>
      <c r="F18" s="1066" t="s">
        <v>79</v>
      </c>
      <c r="G18" s="1066" t="s">
        <v>13</v>
      </c>
      <c r="H18" s="1066" t="s">
        <v>14</v>
      </c>
      <c r="I18" s="1066" t="s">
        <v>19</v>
      </c>
      <c r="K18" s="1066" t="s">
        <v>15</v>
      </c>
    </row>
    <row r="19" spans="1:11" ht="15" customHeight="1">
      <c r="A19" s="1066" t="s">
        <v>80</v>
      </c>
      <c r="B19" s="1066" t="s">
        <v>81</v>
      </c>
      <c r="E19" s="1066" t="s">
        <v>82</v>
      </c>
      <c r="F19" s="1066" t="s">
        <v>83</v>
      </c>
      <c r="G19" s="1066" t="s">
        <v>13</v>
      </c>
      <c r="H19" s="1066" t="s">
        <v>14</v>
      </c>
      <c r="I19" s="1066" t="s">
        <v>19</v>
      </c>
      <c r="K19" s="1066" t="s">
        <v>15</v>
      </c>
    </row>
    <row r="20" spans="1:11" ht="15" customHeight="1">
      <c r="A20" s="1066" t="s">
        <v>84</v>
      </c>
      <c r="B20" s="1066" t="s">
        <v>85</v>
      </c>
      <c r="E20" s="1066" t="s">
        <v>86</v>
      </c>
      <c r="F20" s="1066" t="s">
        <v>87</v>
      </c>
      <c r="G20" s="1066" t="s">
        <v>13</v>
      </c>
      <c r="H20" s="1066" t="s">
        <v>14</v>
      </c>
      <c r="I20" s="1066" t="s">
        <v>19</v>
      </c>
      <c r="K20" s="1066" t="s">
        <v>15</v>
      </c>
    </row>
    <row r="21" spans="1:11" ht="15" customHeight="1">
      <c r="A21" s="1066" t="s">
        <v>88</v>
      </c>
      <c r="B21" s="1066" t="s">
        <v>89</v>
      </c>
      <c r="E21" s="1066" t="s">
        <v>90</v>
      </c>
      <c r="F21" s="1066" t="s">
        <v>91</v>
      </c>
      <c r="G21" s="1066" t="s">
        <v>13</v>
      </c>
      <c r="H21" s="1066" t="s">
        <v>14</v>
      </c>
      <c r="I21" s="1066" t="s">
        <v>19</v>
      </c>
      <c r="K21" s="1066" t="s">
        <v>15</v>
      </c>
    </row>
    <row r="22" spans="1:11" ht="15" customHeight="1">
      <c r="A22" s="1066" t="s">
        <v>92</v>
      </c>
      <c r="B22" s="1066" t="s">
        <v>93</v>
      </c>
      <c r="E22" s="1066" t="s">
        <v>94</v>
      </c>
      <c r="F22" s="1066" t="s">
        <v>95</v>
      </c>
      <c r="G22" s="1066" t="s">
        <v>13</v>
      </c>
      <c r="H22" s="1066" t="s">
        <v>14</v>
      </c>
      <c r="I22" s="1066" t="s">
        <v>19</v>
      </c>
      <c r="K22" s="1066" t="s">
        <v>15</v>
      </c>
    </row>
    <row r="23" spans="1:11" ht="15" customHeight="1">
      <c r="A23" s="1066" t="s">
        <v>96</v>
      </c>
      <c r="B23" s="1066" t="s">
        <v>97</v>
      </c>
      <c r="E23" s="1066" t="s">
        <v>98</v>
      </c>
      <c r="F23" s="1066" t="s">
        <v>99</v>
      </c>
      <c r="G23" s="1066" t="s">
        <v>13</v>
      </c>
      <c r="H23" s="1066" t="s">
        <v>14</v>
      </c>
      <c r="I23" s="1066" t="s">
        <v>19</v>
      </c>
      <c r="K23" s="1066" t="s">
        <v>15</v>
      </c>
    </row>
    <row r="24" spans="1:11" ht="15" customHeight="1">
      <c r="A24" s="1066" t="s">
        <v>100</v>
      </c>
      <c r="B24" s="1066" t="s">
        <v>101</v>
      </c>
      <c r="E24" s="1066" t="s">
        <v>102</v>
      </c>
      <c r="F24" s="1066" t="s">
        <v>103</v>
      </c>
      <c r="G24" s="1066" t="s">
        <v>13</v>
      </c>
      <c r="H24" s="1066" t="s">
        <v>14</v>
      </c>
      <c r="I24" s="1066" t="s">
        <v>19</v>
      </c>
      <c r="K24" s="1066" t="s">
        <v>15</v>
      </c>
    </row>
    <row r="25" spans="1:11" ht="15" customHeight="1">
      <c r="A25" s="1066" t="s">
        <v>104</v>
      </c>
      <c r="B25" s="1066" t="s">
        <v>105</v>
      </c>
      <c r="E25" s="1066" t="s">
        <v>106</v>
      </c>
      <c r="F25" s="1066" t="s">
        <v>107</v>
      </c>
      <c r="G25" s="1066" t="s">
        <v>13</v>
      </c>
      <c r="H25" s="1066" t="s">
        <v>14</v>
      </c>
      <c r="I25" s="1066" t="s">
        <v>19</v>
      </c>
      <c r="K25" s="1066" t="s">
        <v>15</v>
      </c>
    </row>
    <row r="26" spans="1:11" ht="15" customHeight="1">
      <c r="A26" s="1066" t="s">
        <v>108</v>
      </c>
      <c r="B26" s="1066" t="s">
        <v>109</v>
      </c>
      <c r="E26" s="1066" t="s">
        <v>110</v>
      </c>
      <c r="F26" s="1066" t="s">
        <v>111</v>
      </c>
      <c r="G26" s="1066" t="s">
        <v>13</v>
      </c>
      <c r="H26" s="1066" t="s">
        <v>14</v>
      </c>
      <c r="I26" s="1066" t="s">
        <v>19</v>
      </c>
      <c r="K26" s="1066" t="s">
        <v>15</v>
      </c>
    </row>
    <row r="27" spans="1:11" ht="15" customHeight="1">
      <c r="A27" s="1066" t="s">
        <v>112</v>
      </c>
      <c r="B27" s="1066" t="s">
        <v>113</v>
      </c>
      <c r="E27" s="1066" t="s">
        <v>114</v>
      </c>
      <c r="F27" s="1066" t="s">
        <v>115</v>
      </c>
      <c r="G27" s="1066" t="s">
        <v>13</v>
      </c>
      <c r="H27" s="1066" t="s">
        <v>14</v>
      </c>
      <c r="I27" s="1066" t="s">
        <v>19</v>
      </c>
      <c r="K27" s="1066" t="s">
        <v>15</v>
      </c>
    </row>
    <row r="28" spans="1:11" ht="15" customHeight="1">
      <c r="A28" s="1066" t="s">
        <v>116</v>
      </c>
      <c r="B28" s="1066" t="s">
        <v>117</v>
      </c>
      <c r="E28" s="1066" t="s">
        <v>118</v>
      </c>
      <c r="F28" s="1066" t="s">
        <v>119</v>
      </c>
      <c r="G28" s="1066" t="s">
        <v>13</v>
      </c>
      <c r="H28" s="1066" t="s">
        <v>14</v>
      </c>
      <c r="I28" s="1066" t="s">
        <v>19</v>
      </c>
      <c r="K28" s="1066" t="s">
        <v>15</v>
      </c>
    </row>
    <row r="29" spans="1:11" ht="15" customHeight="1">
      <c r="A29" s="1066" t="s">
        <v>120</v>
      </c>
      <c r="B29" s="1066" t="s">
        <v>121</v>
      </c>
      <c r="E29" s="1066" t="s">
        <v>122</v>
      </c>
      <c r="F29" s="1066" t="s">
        <v>123</v>
      </c>
      <c r="G29" s="1066" t="s">
        <v>13</v>
      </c>
      <c r="H29" s="1066" t="s">
        <v>14</v>
      </c>
      <c r="I29" s="1066" t="s">
        <v>19</v>
      </c>
      <c r="K29" s="1066" t="s">
        <v>15</v>
      </c>
    </row>
    <row r="30" spans="1:11" ht="15" customHeight="1">
      <c r="A30" s="1066" t="s">
        <v>124</v>
      </c>
      <c r="B30" s="1066" t="s">
        <v>125</v>
      </c>
      <c r="E30" s="1066" t="s">
        <v>126</v>
      </c>
      <c r="F30" s="1066" t="s">
        <v>127</v>
      </c>
      <c r="G30" s="1066" t="s">
        <v>13</v>
      </c>
      <c r="H30" s="1066" t="s">
        <v>14</v>
      </c>
      <c r="I30" s="1066" t="s">
        <v>19</v>
      </c>
      <c r="K30" s="1066" t="s">
        <v>15</v>
      </c>
    </row>
    <row r="31" spans="1:11" ht="15" customHeight="1">
      <c r="A31" s="1066" t="s">
        <v>128</v>
      </c>
      <c r="B31" s="1066" t="s">
        <v>129</v>
      </c>
      <c r="E31" s="1066" t="s">
        <v>130</v>
      </c>
      <c r="F31" s="1066" t="s">
        <v>131</v>
      </c>
      <c r="G31" s="1066" t="s">
        <v>13</v>
      </c>
      <c r="H31" s="1066" t="s">
        <v>14</v>
      </c>
      <c r="I31" s="1066" t="s">
        <v>19</v>
      </c>
      <c r="K31" s="1066" t="s">
        <v>15</v>
      </c>
    </row>
    <row r="32" spans="1:11" ht="15" customHeight="1">
      <c r="A32" s="1066" t="s">
        <v>132</v>
      </c>
      <c r="B32" s="1066" t="s">
        <v>133</v>
      </c>
      <c r="E32" s="1066" t="s">
        <v>134</v>
      </c>
      <c r="F32" s="1066" t="s">
        <v>135</v>
      </c>
      <c r="G32" s="1066" t="s">
        <v>13</v>
      </c>
      <c r="H32" s="1066" t="s">
        <v>14</v>
      </c>
      <c r="I32" s="1066" t="s">
        <v>19</v>
      </c>
      <c r="K32" s="1066" t="s">
        <v>15</v>
      </c>
    </row>
    <row r="33" spans="1:11" ht="15" customHeight="1">
      <c r="A33" s="1066" t="s">
        <v>136</v>
      </c>
      <c r="B33" s="1066" t="s">
        <v>137</v>
      </c>
      <c r="E33" s="1066" t="s">
        <v>138</v>
      </c>
      <c r="F33" s="1066" t="s">
        <v>139</v>
      </c>
      <c r="G33" s="1066" t="s">
        <v>13</v>
      </c>
      <c r="H33" s="1066" t="s">
        <v>14</v>
      </c>
      <c r="I33" s="1066" t="s">
        <v>19</v>
      </c>
      <c r="K33" s="1066" t="s">
        <v>15</v>
      </c>
    </row>
    <row r="34" spans="1:11" ht="15" customHeight="1">
      <c r="A34" s="1066" t="s">
        <v>140</v>
      </c>
      <c r="B34" s="1066" t="s">
        <v>141</v>
      </c>
      <c r="E34" s="1066" t="s">
        <v>142</v>
      </c>
      <c r="F34" s="1066" t="s">
        <v>143</v>
      </c>
      <c r="G34" s="1066" t="s">
        <v>13</v>
      </c>
      <c r="H34" s="1066" t="s">
        <v>14</v>
      </c>
      <c r="I34" s="1066" t="s">
        <v>19</v>
      </c>
      <c r="K34" s="1066" t="s">
        <v>15</v>
      </c>
    </row>
    <row r="35" spans="1:11" ht="15" customHeight="1">
      <c r="A35" s="1066" t="s">
        <v>144</v>
      </c>
      <c r="B35" s="1066" t="s">
        <v>145</v>
      </c>
      <c r="E35" s="1066" t="s">
        <v>146</v>
      </c>
      <c r="F35" s="1066" t="s">
        <v>147</v>
      </c>
      <c r="G35" s="1066" t="s">
        <v>13</v>
      </c>
      <c r="H35" s="1066" t="s">
        <v>14</v>
      </c>
      <c r="I35" s="1066" t="s">
        <v>19</v>
      </c>
      <c r="K35" s="1066" t="s">
        <v>15</v>
      </c>
    </row>
    <row r="36" spans="1:11" ht="15" customHeight="1">
      <c r="A36" s="1066" t="s">
        <v>148</v>
      </c>
      <c r="B36" s="1066" t="s">
        <v>149</v>
      </c>
      <c r="E36" s="1066" t="s">
        <v>150</v>
      </c>
      <c r="F36" s="1066" t="s">
        <v>151</v>
      </c>
      <c r="G36" s="1066" t="s">
        <v>13</v>
      </c>
      <c r="H36" s="1066" t="s">
        <v>14</v>
      </c>
      <c r="I36" s="1066" t="s">
        <v>19</v>
      </c>
      <c r="K36" s="1066" t="s">
        <v>15</v>
      </c>
    </row>
    <row r="37" spans="1:11" ht="15" customHeight="1">
      <c r="A37" s="1066" t="s">
        <v>152</v>
      </c>
      <c r="B37" s="1066" t="s">
        <v>153</v>
      </c>
      <c r="E37" s="1066" t="s">
        <v>154</v>
      </c>
      <c r="F37" s="1066" t="s">
        <v>155</v>
      </c>
      <c r="G37" s="1066" t="s">
        <v>13</v>
      </c>
      <c r="H37" s="1066" t="s">
        <v>14</v>
      </c>
      <c r="I37" s="1066" t="s">
        <v>19</v>
      </c>
      <c r="K37" s="1066" t="s">
        <v>15</v>
      </c>
    </row>
    <row r="38" spans="1:11" ht="15" customHeight="1">
      <c r="A38" s="1066" t="s">
        <v>156</v>
      </c>
      <c r="B38" s="1066" t="s">
        <v>101</v>
      </c>
      <c r="E38" s="1066" t="s">
        <v>157</v>
      </c>
      <c r="F38" s="1066" t="s">
        <v>103</v>
      </c>
      <c r="G38" s="1066" t="s">
        <v>13</v>
      </c>
      <c r="H38" s="1066" t="s">
        <v>14</v>
      </c>
      <c r="I38" s="1066" t="s">
        <v>19</v>
      </c>
      <c r="K38" s="1066" t="s">
        <v>15</v>
      </c>
    </row>
    <row r="39" spans="1:11" ht="15" customHeight="1">
      <c r="A39" s="1066" t="s">
        <v>158</v>
      </c>
      <c r="B39" s="1066" t="s">
        <v>159</v>
      </c>
      <c r="E39" s="1066" t="s">
        <v>160</v>
      </c>
      <c r="F39" s="1066" t="s">
        <v>161</v>
      </c>
      <c r="G39" s="1066" t="s">
        <v>13</v>
      </c>
      <c r="H39" s="1066" t="s">
        <v>14</v>
      </c>
      <c r="I39" s="1066" t="s">
        <v>19</v>
      </c>
      <c r="K39" s="1066" t="s">
        <v>15</v>
      </c>
    </row>
    <row r="40" spans="1:11" ht="15" customHeight="1">
      <c r="A40" s="1066" t="s">
        <v>162</v>
      </c>
      <c r="B40" s="1066" t="s">
        <v>163</v>
      </c>
      <c r="E40" s="1066" t="s">
        <v>164</v>
      </c>
      <c r="F40" s="1066" t="s">
        <v>165</v>
      </c>
      <c r="G40" s="1066" t="s">
        <v>13</v>
      </c>
      <c r="H40" s="1066" t="s">
        <v>14</v>
      </c>
      <c r="I40" s="1066" t="s">
        <v>19</v>
      </c>
      <c r="K40" s="1066" t="s">
        <v>15</v>
      </c>
    </row>
    <row r="41" spans="1:11" ht="15" customHeight="1">
      <c r="A41" s="1066" t="s">
        <v>166</v>
      </c>
      <c r="B41" s="1066" t="s">
        <v>167</v>
      </c>
      <c r="E41" s="1066" t="s">
        <v>168</v>
      </c>
      <c r="F41" s="1066" t="s">
        <v>169</v>
      </c>
      <c r="G41" s="1066" t="s">
        <v>13</v>
      </c>
      <c r="H41" s="1066" t="s">
        <v>14</v>
      </c>
      <c r="I41" s="1066" t="s">
        <v>19</v>
      </c>
      <c r="K41" s="1066" t="s">
        <v>15</v>
      </c>
    </row>
    <row r="42" spans="1:11" ht="15" customHeight="1">
      <c r="A42" s="1066" t="s">
        <v>170</v>
      </c>
      <c r="B42" s="1066" t="s">
        <v>171</v>
      </c>
      <c r="E42" s="1066" t="s">
        <v>172</v>
      </c>
      <c r="F42" s="1066" t="s">
        <v>173</v>
      </c>
      <c r="G42" s="1066" t="s">
        <v>13</v>
      </c>
      <c r="H42" s="1066" t="s">
        <v>14</v>
      </c>
      <c r="I42" s="1066" t="s">
        <v>19</v>
      </c>
      <c r="K42" s="1066" t="s">
        <v>15</v>
      </c>
    </row>
    <row r="43" spans="1:11" ht="15" customHeight="1">
      <c r="A43" s="1066" t="s">
        <v>174</v>
      </c>
      <c r="B43" s="1066" t="s">
        <v>101</v>
      </c>
      <c r="E43" s="1066" t="s">
        <v>175</v>
      </c>
      <c r="F43" s="1066" t="s">
        <v>176</v>
      </c>
      <c r="G43" s="1066" t="s">
        <v>13</v>
      </c>
      <c r="H43" s="1066" t="s">
        <v>14</v>
      </c>
      <c r="I43" s="1066" t="s">
        <v>19</v>
      </c>
      <c r="K43" s="1066" t="s">
        <v>15</v>
      </c>
    </row>
    <row r="44" spans="1:11" ht="15" customHeight="1">
      <c r="A44" s="1066" t="s">
        <v>177</v>
      </c>
      <c r="B44" s="1066" t="s">
        <v>178</v>
      </c>
      <c r="E44" s="1066" t="s">
        <v>179</v>
      </c>
      <c r="F44" s="1066" t="s">
        <v>180</v>
      </c>
      <c r="G44" s="1066" t="s">
        <v>13</v>
      </c>
      <c r="H44" s="1066" t="s">
        <v>14</v>
      </c>
      <c r="I44" s="1066" t="s">
        <v>19</v>
      </c>
      <c r="K44" s="1066" t="s">
        <v>15</v>
      </c>
    </row>
    <row r="45" spans="1:11" ht="15" customHeight="1">
      <c r="A45" s="1066" t="s">
        <v>181</v>
      </c>
      <c r="B45" s="1066" t="s">
        <v>182</v>
      </c>
      <c r="E45" s="1066" t="s">
        <v>183</v>
      </c>
      <c r="F45" s="1066" t="s">
        <v>184</v>
      </c>
      <c r="G45" s="1066" t="s">
        <v>13</v>
      </c>
      <c r="H45" s="1066" t="s">
        <v>14</v>
      </c>
      <c r="I45" s="1066" t="s">
        <v>19</v>
      </c>
      <c r="K45" s="1066" t="s">
        <v>15</v>
      </c>
    </row>
    <row r="46" spans="1:11" ht="15" customHeight="1">
      <c r="A46" s="1066" t="s">
        <v>185</v>
      </c>
      <c r="B46" s="1066" t="s">
        <v>186</v>
      </c>
      <c r="E46" s="1066" t="s">
        <v>187</v>
      </c>
      <c r="F46" s="1066" t="s">
        <v>188</v>
      </c>
      <c r="G46" s="1066" t="s">
        <v>13</v>
      </c>
      <c r="H46" s="1066" t="s">
        <v>14</v>
      </c>
      <c r="I46" s="1066" t="s">
        <v>19</v>
      </c>
      <c r="K46" s="1066" t="s">
        <v>15</v>
      </c>
    </row>
    <row r="47" spans="1:11" ht="15" customHeight="1">
      <c r="A47" s="1066" t="s">
        <v>189</v>
      </c>
      <c r="B47" s="1066" t="s">
        <v>190</v>
      </c>
      <c r="E47" s="1066" t="s">
        <v>191</v>
      </c>
      <c r="F47" s="1066" t="s">
        <v>192</v>
      </c>
      <c r="G47" s="1066" t="s">
        <v>13</v>
      </c>
      <c r="H47" s="1066" t="s">
        <v>14</v>
      </c>
      <c r="I47" s="1066" t="s">
        <v>19</v>
      </c>
      <c r="K47" s="1066" t="s">
        <v>15</v>
      </c>
    </row>
    <row r="48" spans="1:11" ht="15" customHeight="1">
      <c r="A48" s="1066" t="s">
        <v>193</v>
      </c>
      <c r="B48" s="1066" t="s">
        <v>194</v>
      </c>
      <c r="E48" s="1066" t="s">
        <v>195</v>
      </c>
      <c r="F48" s="1066" t="s">
        <v>196</v>
      </c>
      <c r="G48" s="1066" t="s">
        <v>13</v>
      </c>
      <c r="H48" s="1066" t="s">
        <v>14</v>
      </c>
      <c r="I48" s="1066" t="s">
        <v>19</v>
      </c>
      <c r="K48" s="1066" t="s">
        <v>15</v>
      </c>
    </row>
    <row r="49" spans="1:11" ht="15" customHeight="1">
      <c r="A49" s="1066" t="s">
        <v>197</v>
      </c>
      <c r="B49" s="1066" t="s">
        <v>198</v>
      </c>
      <c r="E49" s="1066" t="s">
        <v>199</v>
      </c>
      <c r="F49" s="1066" t="s">
        <v>200</v>
      </c>
      <c r="G49" s="1066" t="s">
        <v>13</v>
      </c>
      <c r="H49" s="1066" t="s">
        <v>14</v>
      </c>
      <c r="I49" s="1066" t="s">
        <v>19</v>
      </c>
      <c r="K49" s="1066" t="s">
        <v>15</v>
      </c>
    </row>
    <row r="50" spans="1:11" ht="15" customHeight="1">
      <c r="A50" s="1066" t="s">
        <v>201</v>
      </c>
      <c r="B50" s="1066" t="s">
        <v>202</v>
      </c>
      <c r="E50" s="1066" t="s">
        <v>203</v>
      </c>
      <c r="F50" s="1066" t="s">
        <v>204</v>
      </c>
      <c r="G50" s="1066" t="s">
        <v>13</v>
      </c>
      <c r="H50" s="1066" t="s">
        <v>14</v>
      </c>
      <c r="I50" s="1066" t="s">
        <v>19</v>
      </c>
      <c r="K50" s="1066" t="s">
        <v>15</v>
      </c>
    </row>
    <row r="51" spans="1:11" ht="15" customHeight="1">
      <c r="A51" s="1066" t="s">
        <v>205</v>
      </c>
      <c r="B51" s="1066" t="s">
        <v>206</v>
      </c>
      <c r="E51" s="1066" t="s">
        <v>207</v>
      </c>
      <c r="F51" s="1066" t="s">
        <v>208</v>
      </c>
      <c r="G51" s="1066" t="s">
        <v>13</v>
      </c>
      <c r="H51" s="1066" t="s">
        <v>14</v>
      </c>
      <c r="I51" s="1066" t="s">
        <v>19</v>
      </c>
      <c r="K51" s="1066" t="s">
        <v>15</v>
      </c>
    </row>
    <row r="52" spans="1:11" ht="15" customHeight="1">
      <c r="A52" s="1066" t="s">
        <v>209</v>
      </c>
      <c r="B52" s="1066" t="s">
        <v>210</v>
      </c>
      <c r="E52" s="1066" t="s">
        <v>211</v>
      </c>
      <c r="F52" s="1066" t="s">
        <v>212</v>
      </c>
      <c r="G52" s="1066" t="s">
        <v>13</v>
      </c>
      <c r="H52" s="1066" t="s">
        <v>14</v>
      </c>
      <c r="I52" s="1066" t="s">
        <v>19</v>
      </c>
      <c r="K52" s="1066" t="s">
        <v>15</v>
      </c>
    </row>
    <row r="53" spans="1:11" ht="15" customHeight="1">
      <c r="A53" s="1066" t="s">
        <v>213</v>
      </c>
      <c r="B53" s="1066" t="s">
        <v>214</v>
      </c>
      <c r="E53" s="1066" t="s">
        <v>215</v>
      </c>
      <c r="F53" s="1066" t="s">
        <v>216</v>
      </c>
      <c r="G53" s="1066" t="s">
        <v>13</v>
      </c>
      <c r="H53" s="1066" t="s">
        <v>14</v>
      </c>
      <c r="I53" s="1066" t="s">
        <v>19</v>
      </c>
      <c r="K53" s="1066" t="s">
        <v>15</v>
      </c>
    </row>
    <row r="54" spans="1:11" ht="15" customHeight="1">
      <c r="A54" s="1066" t="s">
        <v>217</v>
      </c>
      <c r="B54" s="1066" t="s">
        <v>218</v>
      </c>
      <c r="E54" s="1066" t="s">
        <v>219</v>
      </c>
      <c r="F54" s="1066" t="s">
        <v>220</v>
      </c>
      <c r="G54" s="1066" t="s">
        <v>13</v>
      </c>
      <c r="H54" s="1066" t="s">
        <v>14</v>
      </c>
      <c r="I54" s="1066" t="s">
        <v>19</v>
      </c>
      <c r="K54" s="1066" t="s">
        <v>15</v>
      </c>
    </row>
    <row r="55" spans="1:11" ht="15" customHeight="1">
      <c r="A55" s="1066" t="s">
        <v>221</v>
      </c>
      <c r="B55" s="1066" t="s">
        <v>222</v>
      </c>
      <c r="E55" s="1066" t="s">
        <v>223</v>
      </c>
      <c r="F55" s="1066" t="s">
        <v>224</v>
      </c>
      <c r="G55" s="1066" t="s">
        <v>13</v>
      </c>
      <c r="H55" s="1066" t="s">
        <v>14</v>
      </c>
      <c r="I55" s="1066" t="s">
        <v>19</v>
      </c>
      <c r="K55" s="1066" t="s">
        <v>15</v>
      </c>
    </row>
    <row r="56" spans="1:11" ht="15" customHeight="1">
      <c r="A56" s="1066" t="s">
        <v>225</v>
      </c>
      <c r="B56" s="1066" t="s">
        <v>226</v>
      </c>
      <c r="E56" s="1066" t="s">
        <v>227</v>
      </c>
      <c r="F56" s="1066" t="s">
        <v>228</v>
      </c>
      <c r="G56" s="1066" t="s">
        <v>13</v>
      </c>
      <c r="H56" s="1066" t="s">
        <v>14</v>
      </c>
      <c r="I56" s="1066" t="s">
        <v>19</v>
      </c>
      <c r="K56" s="1066" t="s">
        <v>15</v>
      </c>
    </row>
    <row r="57" spans="1:11" ht="15" customHeight="1">
      <c r="A57" s="1066" t="s">
        <v>229</v>
      </c>
      <c r="B57" s="1066" t="s">
        <v>230</v>
      </c>
      <c r="E57" s="1066" t="s">
        <v>231</v>
      </c>
      <c r="F57" s="1066" t="s">
        <v>232</v>
      </c>
      <c r="G57" s="1066" t="s">
        <v>13</v>
      </c>
      <c r="H57" s="1066" t="s">
        <v>14</v>
      </c>
      <c r="I57" s="1066" t="s">
        <v>19</v>
      </c>
      <c r="K57" s="1066" t="s">
        <v>15</v>
      </c>
    </row>
    <row r="58" spans="1:11" ht="15" customHeight="1">
      <c r="A58" s="1066" t="s">
        <v>233</v>
      </c>
      <c r="B58" s="1066" t="s">
        <v>101</v>
      </c>
      <c r="E58" s="1066" t="s">
        <v>234</v>
      </c>
      <c r="F58" s="1066" t="s">
        <v>103</v>
      </c>
      <c r="G58" s="1066" t="s">
        <v>13</v>
      </c>
      <c r="H58" s="1066" t="s">
        <v>14</v>
      </c>
      <c r="I58" s="1066" t="s">
        <v>19</v>
      </c>
      <c r="K58" s="1066" t="s">
        <v>15</v>
      </c>
    </row>
    <row r="59" spans="1:11" ht="15" customHeight="1">
      <c r="A59" s="1066" t="s">
        <v>235</v>
      </c>
      <c r="B59" s="1066" t="s">
        <v>236</v>
      </c>
      <c r="E59" s="1066" t="s">
        <v>237</v>
      </c>
      <c r="F59" s="1066" t="s">
        <v>238</v>
      </c>
      <c r="G59" s="1066" t="s">
        <v>13</v>
      </c>
      <c r="H59" s="1066" t="s">
        <v>14</v>
      </c>
      <c r="I59" s="1066" t="s">
        <v>19</v>
      </c>
      <c r="K59" s="1066" t="s">
        <v>15</v>
      </c>
    </row>
    <row r="60" spans="1:11" ht="15" customHeight="1">
      <c r="A60" s="1066" t="s">
        <v>239</v>
      </c>
      <c r="B60" s="1066" t="s">
        <v>240</v>
      </c>
      <c r="E60" s="1066" t="s">
        <v>241</v>
      </c>
      <c r="F60" s="1066" t="s">
        <v>242</v>
      </c>
      <c r="G60" s="1066" t="s">
        <v>13</v>
      </c>
      <c r="H60" s="1066" t="s">
        <v>14</v>
      </c>
      <c r="I60" s="1066" t="s">
        <v>19</v>
      </c>
      <c r="K60" s="1066" t="s">
        <v>15</v>
      </c>
    </row>
    <row r="61" spans="1:11" ht="15" customHeight="1">
      <c r="A61" s="1066" t="s">
        <v>243</v>
      </c>
      <c r="B61" s="1066" t="s">
        <v>101</v>
      </c>
      <c r="E61" s="1066" t="s">
        <v>244</v>
      </c>
      <c r="F61" s="1066" t="s">
        <v>103</v>
      </c>
      <c r="G61" s="1066" t="s">
        <v>13</v>
      </c>
      <c r="H61" s="1066" t="s">
        <v>14</v>
      </c>
      <c r="I61" s="1066" t="s">
        <v>19</v>
      </c>
      <c r="K61" s="1066" t="s">
        <v>15</v>
      </c>
    </row>
    <row r="62" spans="1:11" ht="15" customHeight="1">
      <c r="A62" s="1066" t="s">
        <v>245</v>
      </c>
      <c r="B62" s="1066" t="s">
        <v>246</v>
      </c>
      <c r="E62" s="1066" t="s">
        <v>247</v>
      </c>
      <c r="F62" s="1066" t="s">
        <v>248</v>
      </c>
      <c r="G62" s="1066" t="s">
        <v>13</v>
      </c>
      <c r="H62" s="1066" t="s">
        <v>14</v>
      </c>
      <c r="I62" s="1066" t="s">
        <v>19</v>
      </c>
      <c r="K62" s="1066" t="s">
        <v>15</v>
      </c>
    </row>
    <row r="63" spans="1:11" ht="15" customHeight="1">
      <c r="A63" s="1066" t="s">
        <v>249</v>
      </c>
      <c r="B63" s="1066" t="s">
        <v>250</v>
      </c>
      <c r="E63" s="1066" t="s">
        <v>251</v>
      </c>
      <c r="F63" s="1066" t="s">
        <v>252</v>
      </c>
      <c r="G63" s="1066" t="s">
        <v>13</v>
      </c>
      <c r="H63" s="1066" t="s">
        <v>14</v>
      </c>
      <c r="I63" s="1066" t="s">
        <v>19</v>
      </c>
      <c r="K63" s="1066" t="s">
        <v>15</v>
      </c>
    </row>
    <row r="64" spans="1:11" ht="15" customHeight="1">
      <c r="A64" s="1066" t="s">
        <v>253</v>
      </c>
      <c r="B64" s="1066" t="s">
        <v>254</v>
      </c>
      <c r="E64" s="1066" t="s">
        <v>255</v>
      </c>
      <c r="F64" s="1066" t="s">
        <v>256</v>
      </c>
      <c r="G64" s="1066" t="s">
        <v>13</v>
      </c>
      <c r="H64" s="1066" t="s">
        <v>14</v>
      </c>
      <c r="I64" s="1066" t="s">
        <v>19</v>
      </c>
      <c r="K64" s="1066" t="s">
        <v>15</v>
      </c>
    </row>
    <row r="65" spans="1:11" ht="15" customHeight="1">
      <c r="A65" s="1066" t="s">
        <v>257</v>
      </c>
      <c r="B65" s="1066" t="s">
        <v>101</v>
      </c>
      <c r="E65" s="1066" t="s">
        <v>258</v>
      </c>
      <c r="F65" s="1066" t="s">
        <v>103</v>
      </c>
      <c r="G65" s="1066" t="s">
        <v>13</v>
      </c>
      <c r="H65" s="1066" t="s">
        <v>14</v>
      </c>
      <c r="I65" s="1066" t="s">
        <v>19</v>
      </c>
      <c r="K65" s="1066" t="s">
        <v>15</v>
      </c>
    </row>
    <row r="66" spans="1:11" ht="15" customHeight="1">
      <c r="A66" s="1066" t="s">
        <v>259</v>
      </c>
      <c r="B66" s="1066" t="s">
        <v>260</v>
      </c>
      <c r="E66" s="1066" t="s">
        <v>261</v>
      </c>
      <c r="F66" s="1066" t="s">
        <v>262</v>
      </c>
      <c r="G66" s="1066" t="s">
        <v>13</v>
      </c>
      <c r="H66" s="1066" t="s">
        <v>14</v>
      </c>
      <c r="I66" s="1066" t="s">
        <v>19</v>
      </c>
      <c r="K66" s="1066" t="s">
        <v>15</v>
      </c>
    </row>
    <row r="67" spans="1:11" ht="15" customHeight="1">
      <c r="A67" s="1066" t="s">
        <v>263</v>
      </c>
      <c r="B67" s="1066" t="s">
        <v>264</v>
      </c>
      <c r="E67" s="1066" t="s">
        <v>265</v>
      </c>
      <c r="F67" s="1066" t="s">
        <v>266</v>
      </c>
      <c r="G67" s="1066" t="s">
        <v>13</v>
      </c>
      <c r="H67" s="1066" t="s">
        <v>14</v>
      </c>
      <c r="I67" s="1066" t="s">
        <v>19</v>
      </c>
      <c r="K67" s="1066" t="s">
        <v>15</v>
      </c>
    </row>
    <row r="68" spans="1:11" ht="15" customHeight="1">
      <c r="A68" s="1066" t="s">
        <v>267</v>
      </c>
      <c r="B68" s="1066" t="s">
        <v>268</v>
      </c>
      <c r="E68" s="1066" t="s">
        <v>269</v>
      </c>
      <c r="F68" s="1066" t="s">
        <v>270</v>
      </c>
      <c r="G68" s="1066" t="s">
        <v>13</v>
      </c>
      <c r="H68" s="1066" t="s">
        <v>14</v>
      </c>
      <c r="I68" s="1066" t="s">
        <v>19</v>
      </c>
      <c r="K68" s="1066" t="s">
        <v>15</v>
      </c>
    </row>
    <row r="69" spans="1:11" ht="15" customHeight="1">
      <c r="A69" s="1066" t="s">
        <v>271</v>
      </c>
      <c r="B69" s="1066" t="s">
        <v>272</v>
      </c>
      <c r="E69" s="1066" t="s">
        <v>273</v>
      </c>
      <c r="F69" s="1066" t="s">
        <v>274</v>
      </c>
      <c r="G69" s="1066" t="s">
        <v>13</v>
      </c>
      <c r="H69" s="1066" t="s">
        <v>14</v>
      </c>
      <c r="I69" s="1066" t="s">
        <v>19</v>
      </c>
      <c r="K69" s="1066" t="s">
        <v>15</v>
      </c>
    </row>
    <row r="70" spans="1:11" ht="15" customHeight="1">
      <c r="A70" s="1066" t="s">
        <v>275</v>
      </c>
      <c r="B70" s="1066" t="s">
        <v>276</v>
      </c>
      <c r="E70" s="1066" t="s">
        <v>277</v>
      </c>
      <c r="F70" s="1066" t="s">
        <v>278</v>
      </c>
      <c r="G70" s="1066" t="s">
        <v>13</v>
      </c>
      <c r="H70" s="1066" t="s">
        <v>14</v>
      </c>
      <c r="I70" s="1066" t="s">
        <v>19</v>
      </c>
      <c r="K70" s="1066" t="s">
        <v>15</v>
      </c>
    </row>
    <row r="71" spans="1:11" ht="15" customHeight="1">
      <c r="A71" s="1066" t="s">
        <v>279</v>
      </c>
      <c r="B71" s="1066" t="s">
        <v>125</v>
      </c>
      <c r="E71" s="1066" t="s">
        <v>280</v>
      </c>
      <c r="F71" s="1066" t="s">
        <v>127</v>
      </c>
      <c r="G71" s="1066" t="s">
        <v>13</v>
      </c>
      <c r="H71" s="1066" t="s">
        <v>14</v>
      </c>
      <c r="I71" s="1066" t="s">
        <v>19</v>
      </c>
      <c r="K71" s="1066" t="s">
        <v>15</v>
      </c>
    </row>
    <row r="72" spans="1:11" ht="15" customHeight="1">
      <c r="A72" s="1066" t="s">
        <v>281</v>
      </c>
      <c r="B72" s="1066" t="s">
        <v>282</v>
      </c>
      <c r="E72" s="1066" t="s">
        <v>283</v>
      </c>
      <c r="F72" s="1066" t="s">
        <v>284</v>
      </c>
      <c r="G72" s="1066" t="s">
        <v>13</v>
      </c>
      <c r="H72" s="1066" t="s">
        <v>14</v>
      </c>
      <c r="I72" s="1066" t="s">
        <v>19</v>
      </c>
      <c r="K72" s="1066" t="s">
        <v>15</v>
      </c>
    </row>
    <row r="73" spans="1:11" ht="15" customHeight="1">
      <c r="A73" s="1066" t="s">
        <v>285</v>
      </c>
      <c r="B73" s="1066" t="s">
        <v>286</v>
      </c>
      <c r="E73" s="1066" t="s">
        <v>287</v>
      </c>
      <c r="F73" s="1066" t="s">
        <v>288</v>
      </c>
      <c r="G73" s="1066" t="s">
        <v>13</v>
      </c>
      <c r="H73" s="1066" t="s">
        <v>14</v>
      </c>
      <c r="I73" s="1066" t="s">
        <v>19</v>
      </c>
      <c r="K73" s="1066" t="s">
        <v>15</v>
      </c>
    </row>
    <row r="74" spans="1:11" ht="15" customHeight="1">
      <c r="A74" s="1066" t="s">
        <v>289</v>
      </c>
      <c r="B74" s="1066" t="s">
        <v>290</v>
      </c>
      <c r="E74" s="1066" t="s">
        <v>291</v>
      </c>
      <c r="F74" s="1066" t="s">
        <v>292</v>
      </c>
      <c r="G74" s="1066" t="s">
        <v>13</v>
      </c>
      <c r="H74" s="1066" t="s">
        <v>14</v>
      </c>
      <c r="I74" s="1066" t="s">
        <v>19</v>
      </c>
      <c r="K74" s="1066" t="s">
        <v>15</v>
      </c>
    </row>
    <row r="75" spans="1:11" ht="15" customHeight="1">
      <c r="A75" s="1066" t="s">
        <v>293</v>
      </c>
      <c r="B75" s="1066" t="s">
        <v>294</v>
      </c>
      <c r="E75" s="1066" t="s">
        <v>295</v>
      </c>
      <c r="F75" s="1066" t="s">
        <v>296</v>
      </c>
      <c r="G75" s="1066" t="s">
        <v>13</v>
      </c>
      <c r="H75" s="1066" t="s">
        <v>14</v>
      </c>
      <c r="I75" s="1066" t="s">
        <v>19</v>
      </c>
      <c r="K75" s="1066" t="s">
        <v>15</v>
      </c>
    </row>
    <row r="76" spans="1:11" ht="15" customHeight="1">
      <c r="A76" s="1066" t="s">
        <v>297</v>
      </c>
      <c r="B76" s="1066" t="s">
        <v>298</v>
      </c>
      <c r="E76" s="1066" t="s">
        <v>299</v>
      </c>
      <c r="F76" s="1066" t="s">
        <v>300</v>
      </c>
      <c r="G76" s="1066" t="s">
        <v>13</v>
      </c>
      <c r="H76" s="1066" t="s">
        <v>14</v>
      </c>
      <c r="I76" s="1066" t="s">
        <v>19</v>
      </c>
      <c r="K76" s="1066" t="s">
        <v>15</v>
      </c>
    </row>
    <row r="77" spans="1:11" ht="15" customHeight="1">
      <c r="A77" s="1066" t="s">
        <v>301</v>
      </c>
      <c r="B77" s="1066" t="s">
        <v>145</v>
      </c>
      <c r="E77" s="1066" t="s">
        <v>302</v>
      </c>
      <c r="F77" s="1066">
        <v>0</v>
      </c>
      <c r="G77" s="1066" t="s">
        <v>13</v>
      </c>
      <c r="H77" s="1066" t="s">
        <v>14</v>
      </c>
      <c r="I77" s="1066" t="s">
        <v>19</v>
      </c>
      <c r="K77" s="1066" t="s">
        <v>15</v>
      </c>
    </row>
    <row r="78" spans="1:11" ht="15" customHeight="1">
      <c r="A78" s="1066" t="s">
        <v>303</v>
      </c>
      <c r="B78" s="1066" t="s">
        <v>304</v>
      </c>
      <c r="E78" s="1066" t="s">
        <v>305</v>
      </c>
      <c r="F78" s="1066" t="s">
        <v>306</v>
      </c>
      <c r="G78" s="1066" t="s">
        <v>13</v>
      </c>
      <c r="H78" s="1066" t="s">
        <v>14</v>
      </c>
      <c r="I78" s="1066" t="s">
        <v>19</v>
      </c>
      <c r="K78" s="1066" t="s">
        <v>15</v>
      </c>
    </row>
    <row r="79" spans="1:11" ht="15" customHeight="1">
      <c r="A79" s="1066" t="s">
        <v>307</v>
      </c>
      <c r="B79" s="1066" t="s">
        <v>308</v>
      </c>
      <c r="E79" s="1066" t="s">
        <v>309</v>
      </c>
      <c r="F79" s="1066" t="s">
        <v>310</v>
      </c>
      <c r="G79" s="1066" t="s">
        <v>13</v>
      </c>
      <c r="H79" s="1066" t="s">
        <v>14</v>
      </c>
      <c r="I79" s="1066" t="s">
        <v>19</v>
      </c>
      <c r="K79" s="1066" t="s">
        <v>15</v>
      </c>
    </row>
    <row r="80" spans="1:11" ht="15" customHeight="1">
      <c r="A80" s="1066" t="s">
        <v>311</v>
      </c>
      <c r="B80" s="1066" t="s">
        <v>312</v>
      </c>
      <c r="E80" s="1066" t="s">
        <v>313</v>
      </c>
      <c r="F80" s="1066" t="s">
        <v>314</v>
      </c>
      <c r="G80" s="1066" t="s">
        <v>13</v>
      </c>
      <c r="H80" s="1066" t="s">
        <v>14</v>
      </c>
      <c r="I80" s="1066" t="s">
        <v>19</v>
      </c>
      <c r="K80" s="1066" t="s">
        <v>15</v>
      </c>
    </row>
    <row r="81" spans="1:11" ht="15" customHeight="1">
      <c r="A81" s="1066" t="s">
        <v>315</v>
      </c>
      <c r="B81" s="1066" t="s">
        <v>316</v>
      </c>
      <c r="E81" s="1066" t="s">
        <v>316</v>
      </c>
      <c r="F81" s="1066" t="s">
        <v>317</v>
      </c>
      <c r="G81" s="1066" t="s">
        <v>13</v>
      </c>
      <c r="H81" s="1066" t="s">
        <v>14</v>
      </c>
      <c r="K81" s="1066" t="s">
        <v>15</v>
      </c>
    </row>
    <row r="82" spans="1:11" ht="15" customHeight="1">
      <c r="A82" s="1066" t="s">
        <v>318</v>
      </c>
      <c r="B82" s="1066" t="s">
        <v>319</v>
      </c>
      <c r="E82" s="1066" t="s">
        <v>319</v>
      </c>
      <c r="F82" s="1066" t="s">
        <v>320</v>
      </c>
      <c r="G82" s="1066" t="s">
        <v>13</v>
      </c>
      <c r="H82" s="1066" t="s">
        <v>14</v>
      </c>
      <c r="K82" s="1066" t="s">
        <v>15</v>
      </c>
    </row>
    <row r="83" spans="1:11" ht="15" customHeight="1">
      <c r="A83" s="1066" t="s">
        <v>321</v>
      </c>
      <c r="B83" s="1066" t="s">
        <v>322</v>
      </c>
      <c r="E83" s="1066" t="s">
        <v>323</v>
      </c>
      <c r="F83" s="1066" t="s">
        <v>324</v>
      </c>
      <c r="G83" s="1066" t="s">
        <v>13</v>
      </c>
      <c r="H83" s="1066" t="s">
        <v>14</v>
      </c>
      <c r="K83" s="1066" t="s">
        <v>15</v>
      </c>
    </row>
    <row r="84" spans="1:11" ht="15" customHeight="1">
      <c r="A84" s="1066" t="s">
        <v>325</v>
      </c>
      <c r="B84" s="1066" t="s">
        <v>326</v>
      </c>
      <c r="E84" s="1066" t="s">
        <v>327</v>
      </c>
      <c r="F84" s="1066" t="s">
        <v>328</v>
      </c>
      <c r="G84" s="1066" t="s">
        <v>13</v>
      </c>
      <c r="H84" s="1066" t="s">
        <v>14</v>
      </c>
      <c r="K84" s="1066" t="s">
        <v>15</v>
      </c>
    </row>
    <row r="85" spans="1:11" ht="15" customHeight="1">
      <c r="A85" s="1066" t="s">
        <v>329</v>
      </c>
      <c r="B85" s="1066" t="s">
        <v>330</v>
      </c>
      <c r="E85" s="1066" t="s">
        <v>331</v>
      </c>
      <c r="F85" s="1066" t="s">
        <v>332</v>
      </c>
      <c r="G85" s="1066" t="s">
        <v>13</v>
      </c>
      <c r="H85" s="1066" t="s">
        <v>14</v>
      </c>
      <c r="K85" s="1066" t="s">
        <v>15</v>
      </c>
    </row>
    <row r="86" spans="1:11" ht="15" customHeight="1">
      <c r="A86" s="1066" t="s">
        <v>333</v>
      </c>
      <c r="B86" s="1066" t="s">
        <v>334</v>
      </c>
      <c r="E86" s="1066" t="s">
        <v>335</v>
      </c>
      <c r="F86" s="1066" t="s">
        <v>336</v>
      </c>
      <c r="G86" s="1066" t="s">
        <v>13</v>
      </c>
      <c r="H86" s="1066" t="s">
        <v>14</v>
      </c>
      <c r="K86" s="1066" t="s">
        <v>15</v>
      </c>
    </row>
    <row r="87" spans="1:11" ht="15" customHeight="1">
      <c r="A87" s="1066" t="s">
        <v>337</v>
      </c>
      <c r="B87" s="1066" t="s">
        <v>338</v>
      </c>
      <c r="E87" s="1066" t="s">
        <v>339</v>
      </c>
      <c r="F87" s="1066" t="s">
        <v>340</v>
      </c>
      <c r="G87" s="1066" t="s">
        <v>13</v>
      </c>
      <c r="H87" s="1066" t="s">
        <v>14</v>
      </c>
      <c r="K87" s="1066" t="s">
        <v>15</v>
      </c>
    </row>
    <row r="88" spans="1:11" ht="15" customHeight="1">
      <c r="A88" s="1066" t="s">
        <v>341</v>
      </c>
      <c r="B88" s="1066" t="s">
        <v>342</v>
      </c>
      <c r="E88" s="1066" t="s">
        <v>343</v>
      </c>
      <c r="F88" s="1066" t="s">
        <v>344</v>
      </c>
      <c r="G88" s="1066" t="s">
        <v>13</v>
      </c>
      <c r="H88" s="1066" t="s">
        <v>14</v>
      </c>
      <c r="K88" s="1066" t="s">
        <v>15</v>
      </c>
    </row>
    <row r="89" spans="1:11" ht="15" customHeight="1">
      <c r="A89" s="1066" t="s">
        <v>345</v>
      </c>
      <c r="B89" s="1066" t="s">
        <v>346</v>
      </c>
      <c r="E89" s="1066" t="s">
        <v>347</v>
      </c>
      <c r="F89" s="1066" t="s">
        <v>348</v>
      </c>
      <c r="G89" s="1066" t="s">
        <v>13</v>
      </c>
      <c r="H89" s="1066" t="s">
        <v>14</v>
      </c>
      <c r="K89" s="1066" t="s">
        <v>15</v>
      </c>
    </row>
    <row r="90" spans="1:11" ht="15" customHeight="1">
      <c r="A90" s="1066" t="s">
        <v>349</v>
      </c>
      <c r="B90" s="1066" t="s">
        <v>326</v>
      </c>
      <c r="E90" s="1066" t="s">
        <v>350</v>
      </c>
      <c r="F90" s="1066" t="s">
        <v>328</v>
      </c>
      <c r="G90" s="1066" t="s">
        <v>13</v>
      </c>
      <c r="H90" s="1066" t="s">
        <v>14</v>
      </c>
      <c r="K90" s="1066" t="s">
        <v>15</v>
      </c>
    </row>
    <row r="91" spans="1:11" ht="15" customHeight="1">
      <c r="A91" s="1066" t="s">
        <v>351</v>
      </c>
      <c r="B91" s="1066" t="s">
        <v>330</v>
      </c>
      <c r="E91" s="1066" t="s">
        <v>352</v>
      </c>
      <c r="F91" s="1066" t="s">
        <v>332</v>
      </c>
      <c r="G91" s="1066" t="s">
        <v>13</v>
      </c>
      <c r="H91" s="1066" t="s">
        <v>14</v>
      </c>
      <c r="K91" s="1066" t="s">
        <v>15</v>
      </c>
    </row>
    <row r="92" spans="1:11" ht="15" customHeight="1">
      <c r="A92" s="1066" t="s">
        <v>353</v>
      </c>
      <c r="B92" s="1066" t="s">
        <v>334</v>
      </c>
      <c r="E92" s="1066" t="s">
        <v>354</v>
      </c>
      <c r="F92" s="1066" t="s">
        <v>336</v>
      </c>
      <c r="G92" s="1066" t="s">
        <v>13</v>
      </c>
      <c r="H92" s="1066" t="s">
        <v>14</v>
      </c>
      <c r="K92" s="1066" t="s">
        <v>15</v>
      </c>
    </row>
    <row r="93" spans="1:11" ht="15" customHeight="1">
      <c r="A93" s="1066" t="s">
        <v>355</v>
      </c>
      <c r="B93" s="1066" t="s">
        <v>338</v>
      </c>
      <c r="E93" s="1066" t="s">
        <v>356</v>
      </c>
      <c r="F93" s="1066" t="s">
        <v>340</v>
      </c>
      <c r="G93" s="1066" t="s">
        <v>13</v>
      </c>
      <c r="H93" s="1066" t="s">
        <v>14</v>
      </c>
      <c r="K93" s="1066" t="s">
        <v>15</v>
      </c>
    </row>
    <row r="94" spans="1:11" ht="15" customHeight="1">
      <c r="A94" s="1066" t="s">
        <v>357</v>
      </c>
      <c r="B94" s="1066" t="s">
        <v>342</v>
      </c>
      <c r="E94" s="1066" t="s">
        <v>358</v>
      </c>
      <c r="F94" s="1066" t="s">
        <v>344</v>
      </c>
      <c r="G94" s="1066" t="s">
        <v>13</v>
      </c>
      <c r="H94" s="1066" t="s">
        <v>14</v>
      </c>
      <c r="K94" s="1066" t="s">
        <v>15</v>
      </c>
    </row>
    <row r="95" spans="1:11" ht="15" customHeight="1">
      <c r="A95" s="1066" t="s">
        <v>359</v>
      </c>
      <c r="B95" s="1066" t="s">
        <v>360</v>
      </c>
      <c r="E95" s="1066" t="s">
        <v>360</v>
      </c>
      <c r="F95" s="1066" t="s">
        <v>361</v>
      </c>
      <c r="G95" s="1066" t="s">
        <v>13</v>
      </c>
      <c r="H95" s="1066" t="s">
        <v>14</v>
      </c>
      <c r="I95" s="1066" t="s">
        <v>19</v>
      </c>
      <c r="J95" s="1066" t="s">
        <v>362</v>
      </c>
      <c r="K95" s="1066" t="s">
        <v>15</v>
      </c>
    </row>
    <row r="96" spans="1:11" ht="15" customHeight="1">
      <c r="A96" s="1066" t="s">
        <v>363</v>
      </c>
      <c r="B96" s="1066" t="s">
        <v>364</v>
      </c>
      <c r="E96" s="1066" t="s">
        <v>364</v>
      </c>
      <c r="F96" s="1066" t="s">
        <v>365</v>
      </c>
      <c r="G96" s="1066" t="s">
        <v>13</v>
      </c>
      <c r="H96" s="1066" t="s">
        <v>14</v>
      </c>
      <c r="I96" s="1066" t="s">
        <v>19</v>
      </c>
      <c r="J96" s="1066" t="s">
        <v>362</v>
      </c>
      <c r="K96" s="1066" t="s">
        <v>15</v>
      </c>
    </row>
    <row r="97" spans="1:11" ht="15" customHeight="1">
      <c r="A97" s="1066" t="s">
        <v>366</v>
      </c>
      <c r="B97" s="1066" t="s">
        <v>367</v>
      </c>
      <c r="E97" s="1066" t="s">
        <v>368</v>
      </c>
      <c r="F97" s="1066" t="s">
        <v>369</v>
      </c>
      <c r="G97" s="1066" t="s">
        <v>13</v>
      </c>
      <c r="H97" s="1066" t="s">
        <v>14</v>
      </c>
      <c r="I97" s="1066" t="s">
        <v>19</v>
      </c>
      <c r="J97" s="1066" t="s">
        <v>362</v>
      </c>
      <c r="K97" s="1066" t="s">
        <v>15</v>
      </c>
    </row>
    <row r="98" spans="1:11" ht="15" customHeight="1">
      <c r="A98" s="1066" t="s">
        <v>370</v>
      </c>
      <c r="B98" s="1066" t="s">
        <v>371</v>
      </c>
      <c r="E98" s="1066" t="s">
        <v>372</v>
      </c>
      <c r="F98" s="1066" t="s">
        <v>373</v>
      </c>
      <c r="G98" s="1066" t="s">
        <v>13</v>
      </c>
      <c r="H98" s="1066" t="s">
        <v>14</v>
      </c>
      <c r="I98" s="1066" t="s">
        <v>19</v>
      </c>
      <c r="J98" s="1066" t="s">
        <v>362</v>
      </c>
      <c r="K98" s="1066" t="s">
        <v>15</v>
      </c>
    </row>
    <row r="99" spans="1:11" ht="15" customHeight="1">
      <c r="A99" s="1066" t="s">
        <v>374</v>
      </c>
      <c r="B99" s="1066" t="s">
        <v>375</v>
      </c>
      <c r="E99" s="1066" t="s">
        <v>376</v>
      </c>
      <c r="F99" s="1066" t="s">
        <v>377</v>
      </c>
      <c r="G99" s="1066" t="s">
        <v>13</v>
      </c>
      <c r="H99" s="1066" t="s">
        <v>14</v>
      </c>
      <c r="J99" s="1066" t="s">
        <v>362</v>
      </c>
      <c r="K99" s="1066" t="s">
        <v>15</v>
      </c>
    </row>
    <row r="100" spans="1:11" ht="15" customHeight="1">
      <c r="A100" s="1066" t="s">
        <v>378</v>
      </c>
      <c r="B100" s="1066" t="s">
        <v>379</v>
      </c>
      <c r="E100" s="1066" t="s">
        <v>380</v>
      </c>
      <c r="F100" s="1066" t="s">
        <v>381</v>
      </c>
      <c r="G100" s="1066" t="s">
        <v>13</v>
      </c>
      <c r="H100" s="1066" t="s">
        <v>14</v>
      </c>
      <c r="J100" s="1066" t="s">
        <v>362</v>
      </c>
      <c r="K100" s="1066" t="s">
        <v>15</v>
      </c>
    </row>
    <row r="101" spans="1:11" ht="15" customHeight="1">
      <c r="A101" s="1066" t="s">
        <v>382</v>
      </c>
      <c r="B101" s="1066" t="s">
        <v>383</v>
      </c>
      <c r="E101" s="1066" t="s">
        <v>384</v>
      </c>
      <c r="F101" s="1066" t="s">
        <v>385</v>
      </c>
      <c r="G101" s="1066" t="s">
        <v>13</v>
      </c>
      <c r="H101" s="1066" t="s">
        <v>14</v>
      </c>
      <c r="J101" s="1066" t="s">
        <v>362</v>
      </c>
      <c r="K101" s="1066" t="s">
        <v>15</v>
      </c>
    </row>
    <row r="102" spans="1:11" ht="15" customHeight="1">
      <c r="A102" s="1066" t="s">
        <v>386</v>
      </c>
      <c r="B102" s="1066" t="s">
        <v>387</v>
      </c>
      <c r="E102" s="1066" t="s">
        <v>387</v>
      </c>
      <c r="F102" s="1066" t="s">
        <v>388</v>
      </c>
      <c r="G102" s="1066" t="s">
        <v>13</v>
      </c>
      <c r="H102" s="1066" t="s">
        <v>14</v>
      </c>
      <c r="I102" s="1066" t="s">
        <v>19</v>
      </c>
      <c r="J102" s="1066" t="s">
        <v>389</v>
      </c>
      <c r="K102" s="1066" t="s">
        <v>15</v>
      </c>
    </row>
    <row r="103" spans="1:11" ht="15" customHeight="1">
      <c r="A103" s="1066" t="s">
        <v>390</v>
      </c>
      <c r="B103" s="1066" t="s">
        <v>391</v>
      </c>
      <c r="E103" s="1066" t="s">
        <v>392</v>
      </c>
      <c r="F103" s="1066" t="s">
        <v>369</v>
      </c>
      <c r="G103" s="1066" t="s">
        <v>13</v>
      </c>
      <c r="H103" s="1066" t="s">
        <v>14</v>
      </c>
      <c r="I103" s="1066" t="s">
        <v>19</v>
      </c>
      <c r="J103" s="1066" t="s">
        <v>389</v>
      </c>
      <c r="K103" s="1066" t="s">
        <v>15</v>
      </c>
    </row>
    <row r="104" spans="1:11" ht="15" customHeight="1">
      <c r="A104" s="1066" t="s">
        <v>393</v>
      </c>
      <c r="B104" s="1066" t="s">
        <v>394</v>
      </c>
      <c r="E104" s="1066" t="s">
        <v>395</v>
      </c>
      <c r="F104" s="1066" t="s">
        <v>373</v>
      </c>
      <c r="G104" s="1066" t="s">
        <v>13</v>
      </c>
      <c r="H104" s="1066" t="s">
        <v>14</v>
      </c>
      <c r="I104" s="1066" t="s">
        <v>19</v>
      </c>
      <c r="J104" s="1066" t="s">
        <v>389</v>
      </c>
      <c r="K104" s="1066" t="s">
        <v>15</v>
      </c>
    </row>
    <row r="105" spans="1:11" ht="15" customHeight="1">
      <c r="A105" s="1066" t="s">
        <v>396</v>
      </c>
      <c r="B105" s="1066" t="s">
        <v>397</v>
      </c>
      <c r="E105" s="1066" t="s">
        <v>397</v>
      </c>
      <c r="F105" s="1066" t="s">
        <v>398</v>
      </c>
      <c r="G105" s="1066" t="s">
        <v>13</v>
      </c>
      <c r="H105" s="1066" t="s">
        <v>14</v>
      </c>
      <c r="I105" s="1066" t="s">
        <v>19</v>
      </c>
      <c r="J105" s="1066" t="s">
        <v>399</v>
      </c>
      <c r="K105" s="1066" t="s">
        <v>15</v>
      </c>
    </row>
    <row r="106" spans="1:11" ht="15" customHeight="1">
      <c r="A106" s="1066" t="s">
        <v>400</v>
      </c>
      <c r="B106" s="1066" t="s">
        <v>401</v>
      </c>
      <c r="E106" s="1066" t="s">
        <v>401</v>
      </c>
      <c r="F106" s="1066" t="s">
        <v>402</v>
      </c>
      <c r="G106" s="1066" t="s">
        <v>13</v>
      </c>
      <c r="H106" s="1066" t="s">
        <v>14</v>
      </c>
      <c r="I106" s="1066" t="s">
        <v>19</v>
      </c>
      <c r="J106" s="1066" t="s">
        <v>399</v>
      </c>
      <c r="K106" s="1066" t="s">
        <v>15</v>
      </c>
    </row>
    <row r="107" spans="1:11" ht="15" customHeight="1">
      <c r="A107" s="1066" t="s">
        <v>403</v>
      </c>
      <c r="B107" s="1066" t="s">
        <v>404</v>
      </c>
      <c r="E107" s="1066" t="s">
        <v>404</v>
      </c>
      <c r="F107" s="1066" t="s">
        <v>405</v>
      </c>
      <c r="G107" s="1066" t="s">
        <v>13</v>
      </c>
      <c r="H107" s="1066" t="s">
        <v>14</v>
      </c>
      <c r="I107" s="1066" t="s">
        <v>19</v>
      </c>
      <c r="J107" s="1066" t="s">
        <v>362</v>
      </c>
      <c r="K107" s="1066" t="s">
        <v>15</v>
      </c>
    </row>
    <row r="108" spans="1:11" ht="15" customHeight="1">
      <c r="A108" s="1066" t="s">
        <v>406</v>
      </c>
      <c r="B108" s="1066" t="s">
        <v>391</v>
      </c>
      <c r="E108" s="1066" t="s">
        <v>407</v>
      </c>
      <c r="F108" s="1066" t="s">
        <v>369</v>
      </c>
      <c r="G108" s="1066" t="s">
        <v>13</v>
      </c>
      <c r="H108" s="1066" t="s">
        <v>14</v>
      </c>
      <c r="I108" s="1066" t="s">
        <v>19</v>
      </c>
      <c r="J108" s="1066" t="s">
        <v>362</v>
      </c>
      <c r="K108" s="1066" t="s">
        <v>15</v>
      </c>
    </row>
    <row r="109" spans="1:11" ht="15" customHeight="1">
      <c r="A109" s="1066" t="s">
        <v>408</v>
      </c>
      <c r="B109" s="1066" t="s">
        <v>394</v>
      </c>
      <c r="E109" s="1066" t="s">
        <v>409</v>
      </c>
      <c r="F109" s="1066" t="s">
        <v>373</v>
      </c>
      <c r="G109" s="1066" t="s">
        <v>13</v>
      </c>
      <c r="H109" s="1066" t="s">
        <v>14</v>
      </c>
      <c r="I109" s="1066" t="s">
        <v>19</v>
      </c>
      <c r="J109" s="1066" t="s">
        <v>362</v>
      </c>
      <c r="K109" s="1066" t="s">
        <v>15</v>
      </c>
    </row>
    <row r="110" spans="1:11" ht="15" customHeight="1">
      <c r="A110" s="1066" t="s">
        <v>410</v>
      </c>
      <c r="B110" s="1066" t="s">
        <v>411</v>
      </c>
      <c r="E110" s="1066" t="s">
        <v>412</v>
      </c>
      <c r="F110" s="1066" t="s">
        <v>413</v>
      </c>
      <c r="G110" s="1066" t="s">
        <v>13</v>
      </c>
      <c r="H110" s="1066" t="s">
        <v>14</v>
      </c>
      <c r="I110" s="1066" t="s">
        <v>19</v>
      </c>
      <c r="J110" s="1066" t="s">
        <v>362</v>
      </c>
      <c r="K110" s="1066" t="s">
        <v>15</v>
      </c>
    </row>
    <row r="111" spans="1:11" ht="15" customHeight="1">
      <c r="A111" s="1066" t="s">
        <v>414</v>
      </c>
      <c r="B111" s="1066" t="s">
        <v>415</v>
      </c>
      <c r="E111" s="1066" t="s">
        <v>416</v>
      </c>
      <c r="F111" s="1066" t="s">
        <v>417</v>
      </c>
      <c r="G111" s="1066" t="s">
        <v>13</v>
      </c>
      <c r="H111" s="1066" t="s">
        <v>14</v>
      </c>
      <c r="I111" s="1066" t="s">
        <v>19</v>
      </c>
      <c r="J111" s="1066" t="s">
        <v>362</v>
      </c>
      <c r="K111" s="1066" t="s">
        <v>15</v>
      </c>
    </row>
    <row r="112" spans="1:11" ht="15" customHeight="1">
      <c r="A112" s="1066" t="s">
        <v>418</v>
      </c>
      <c r="B112" s="1066" t="s">
        <v>419</v>
      </c>
      <c r="E112" s="1066" t="s">
        <v>419</v>
      </c>
      <c r="F112" s="1066" t="s">
        <v>420</v>
      </c>
      <c r="G112" s="1066" t="s">
        <v>421</v>
      </c>
      <c r="H112" s="1066" t="s">
        <v>14</v>
      </c>
      <c r="K112" s="1066" t="s">
        <v>15</v>
      </c>
    </row>
    <row r="113" spans="1:11" ht="15" customHeight="1">
      <c r="A113" s="1066" t="s">
        <v>422</v>
      </c>
      <c r="B113" s="1066" t="s">
        <v>423</v>
      </c>
      <c r="E113" s="1066" t="s">
        <v>423</v>
      </c>
      <c r="F113" s="1066" t="s">
        <v>424</v>
      </c>
      <c r="G113" s="1066" t="s">
        <v>13</v>
      </c>
      <c r="H113" s="1066" t="s">
        <v>14</v>
      </c>
      <c r="K113" s="1066" t="s">
        <v>15</v>
      </c>
    </row>
    <row r="114" spans="1:11" ht="15" customHeight="1">
      <c r="A114" s="1066" t="s">
        <v>425</v>
      </c>
      <c r="B114" s="1066" t="s">
        <v>426</v>
      </c>
      <c r="E114" s="1066" t="s">
        <v>426</v>
      </c>
      <c r="F114" s="1066" t="s">
        <v>427</v>
      </c>
      <c r="G114" s="1066" t="s">
        <v>13</v>
      </c>
      <c r="H114" s="1066" t="s">
        <v>14</v>
      </c>
      <c r="K114" s="1066" t="s">
        <v>15</v>
      </c>
    </row>
    <row r="115" spans="1:11" ht="15" customHeight="1">
      <c r="A115" s="1066" t="s">
        <v>428</v>
      </c>
      <c r="B115" s="1066" t="s">
        <v>429</v>
      </c>
      <c r="E115" s="1066" t="s">
        <v>429</v>
      </c>
      <c r="F115" s="1066" t="s">
        <v>430</v>
      </c>
      <c r="G115" s="1066" t="s">
        <v>13</v>
      </c>
      <c r="H115" s="1066" t="s">
        <v>14</v>
      </c>
      <c r="K115" s="1066" t="s">
        <v>15</v>
      </c>
    </row>
    <row r="116" spans="1:11" ht="15" customHeight="1">
      <c r="A116" s="1066" t="s">
        <v>431</v>
      </c>
      <c r="B116" s="1066" t="s">
        <v>432</v>
      </c>
      <c r="E116" s="1066" t="s">
        <v>432</v>
      </c>
      <c r="F116" s="1066" t="s">
        <v>433</v>
      </c>
      <c r="G116" s="1066" t="s">
        <v>13</v>
      </c>
      <c r="H116" s="1066" t="s">
        <v>14</v>
      </c>
      <c r="K116" s="1066" t="s">
        <v>15</v>
      </c>
    </row>
    <row r="117" spans="1:11" ht="15" customHeight="1">
      <c r="A117" s="1066" t="s">
        <v>434</v>
      </c>
      <c r="B117" s="1066" t="s">
        <v>435</v>
      </c>
      <c r="E117" s="1066" t="s">
        <v>435</v>
      </c>
      <c r="F117" s="1066" t="s">
        <v>436</v>
      </c>
      <c r="G117" s="1066" t="s">
        <v>13</v>
      </c>
      <c r="H117" s="1066" t="s">
        <v>14</v>
      </c>
      <c r="K117" s="1066" t="s">
        <v>15</v>
      </c>
    </row>
    <row r="118" spans="1:11" ht="15" customHeight="1">
      <c r="A118" s="1066" t="s">
        <v>437</v>
      </c>
      <c r="B118" s="1066" t="s">
        <v>438</v>
      </c>
      <c r="E118" s="1066" t="s">
        <v>438</v>
      </c>
      <c r="F118" s="1066" t="s">
        <v>439</v>
      </c>
      <c r="G118" s="1066" t="s">
        <v>13</v>
      </c>
      <c r="H118" s="1066" t="s">
        <v>14</v>
      </c>
      <c r="K118" s="1066" t="s">
        <v>15</v>
      </c>
    </row>
    <row r="119" spans="1:11" ht="15" customHeight="1">
      <c r="A119" s="1066" t="s">
        <v>440</v>
      </c>
      <c r="B119" s="1066" t="s">
        <v>441</v>
      </c>
      <c r="E119" s="1066" t="s">
        <v>441</v>
      </c>
      <c r="F119" s="1066" t="s">
        <v>442</v>
      </c>
      <c r="G119" s="1066" t="s">
        <v>13</v>
      </c>
      <c r="H119" s="1066" t="s">
        <v>14</v>
      </c>
      <c r="K119" s="1066" t="s">
        <v>15</v>
      </c>
    </row>
    <row r="120" spans="1:11" ht="15" customHeight="1">
      <c r="A120" s="1066" t="s">
        <v>443</v>
      </c>
      <c r="B120" s="1066" t="s">
        <v>444</v>
      </c>
      <c r="E120" s="1066" t="s">
        <v>444</v>
      </c>
      <c r="F120" s="1066" t="s">
        <v>445</v>
      </c>
      <c r="G120" s="1066" t="s">
        <v>421</v>
      </c>
      <c r="H120" s="1066" t="s">
        <v>14</v>
      </c>
      <c r="K120" s="1066" t="s">
        <v>15</v>
      </c>
    </row>
    <row r="121" spans="1:11" ht="15" customHeight="1">
      <c r="A121" s="1066" t="s">
        <v>446</v>
      </c>
      <c r="B121" s="1066" t="s">
        <v>447</v>
      </c>
      <c r="E121" s="1066" t="s">
        <v>447</v>
      </c>
      <c r="F121" s="1066" t="s">
        <v>448</v>
      </c>
      <c r="G121" s="1066" t="s">
        <v>13</v>
      </c>
      <c r="H121" s="1066" t="s">
        <v>14</v>
      </c>
      <c r="K121" s="1066" t="s">
        <v>15</v>
      </c>
    </row>
    <row r="122" spans="1:11" ht="15" customHeight="1">
      <c r="A122" s="1066" t="s">
        <v>449</v>
      </c>
      <c r="B122" s="1066" t="s">
        <v>450</v>
      </c>
      <c r="E122" s="1066" t="s">
        <v>450</v>
      </c>
      <c r="F122" s="1066" t="s">
        <v>451</v>
      </c>
      <c r="G122" s="1066" t="s">
        <v>13</v>
      </c>
      <c r="H122" s="1066" t="s">
        <v>14</v>
      </c>
      <c r="K122" s="1066" t="s">
        <v>15</v>
      </c>
    </row>
    <row r="123" spans="1:11" ht="15" customHeight="1">
      <c r="A123" s="1066" t="s">
        <v>452</v>
      </c>
      <c r="B123" s="1066" t="s">
        <v>453</v>
      </c>
      <c r="E123" s="1066" t="s">
        <v>453</v>
      </c>
      <c r="F123" s="1066" t="s">
        <v>454</v>
      </c>
      <c r="G123" s="1066" t="s">
        <v>13</v>
      </c>
      <c r="H123" s="1066" t="s">
        <v>14</v>
      </c>
      <c r="K123" s="1066" t="s">
        <v>15</v>
      </c>
    </row>
    <row r="124" spans="1:11" ht="15" customHeight="1">
      <c r="A124" s="1066" t="s">
        <v>455</v>
      </c>
      <c r="B124" s="1066" t="s">
        <v>456</v>
      </c>
      <c r="E124" s="1066" t="s">
        <v>456</v>
      </c>
      <c r="F124" s="1066" t="s">
        <v>457</v>
      </c>
      <c r="G124" s="1066" t="s">
        <v>421</v>
      </c>
      <c r="H124" s="1066" t="s">
        <v>14</v>
      </c>
      <c r="K124" s="1066" t="s">
        <v>15</v>
      </c>
    </row>
    <row r="125" spans="1:11" ht="15" customHeight="1">
      <c r="A125" s="1066" t="s">
        <v>458</v>
      </c>
      <c r="B125" s="1066" t="s">
        <v>459</v>
      </c>
      <c r="E125" s="1066" t="s">
        <v>459</v>
      </c>
      <c r="F125" s="1066" t="s">
        <v>460</v>
      </c>
      <c r="G125" s="1066" t="s">
        <v>13</v>
      </c>
      <c r="H125" s="1066" t="s">
        <v>14</v>
      </c>
      <c r="K125" s="1066" t="s">
        <v>15</v>
      </c>
    </row>
    <row r="126" spans="1:11" ht="15" customHeight="1">
      <c r="A126" s="1066" t="s">
        <v>461</v>
      </c>
      <c r="B126" s="1066" t="s">
        <v>462</v>
      </c>
      <c r="E126" s="1066" t="s">
        <v>462</v>
      </c>
      <c r="F126" s="1066" t="s">
        <v>463</v>
      </c>
      <c r="G126" s="1066" t="s">
        <v>421</v>
      </c>
      <c r="H126" s="1066" t="s">
        <v>14</v>
      </c>
      <c r="K126" s="1066" t="s">
        <v>15</v>
      </c>
    </row>
    <row r="127" spans="1:11" ht="15" customHeight="1">
      <c r="A127" s="1066" t="s">
        <v>464</v>
      </c>
      <c r="B127" s="1066" t="s">
        <v>465</v>
      </c>
      <c r="E127" s="1066" t="s">
        <v>465</v>
      </c>
      <c r="F127" s="1066" t="s">
        <v>466</v>
      </c>
      <c r="G127" s="1066" t="s">
        <v>13</v>
      </c>
      <c r="H127" s="1066" t="s">
        <v>14</v>
      </c>
      <c r="K127" s="1066" t="s">
        <v>15</v>
      </c>
    </row>
    <row r="128" spans="1:11" ht="15" customHeight="1">
      <c r="A128" s="1066" t="s">
        <v>467</v>
      </c>
      <c r="B128" s="1066" t="s">
        <v>468</v>
      </c>
      <c r="E128" s="1066" t="s">
        <v>468</v>
      </c>
      <c r="F128" s="1066" t="s">
        <v>469</v>
      </c>
      <c r="G128" s="1066" t="s">
        <v>421</v>
      </c>
      <c r="H128" s="1066" t="s">
        <v>14</v>
      </c>
      <c r="K128" s="1066" t="s">
        <v>15</v>
      </c>
    </row>
    <row r="129" spans="1:11" ht="15" customHeight="1">
      <c r="A129" s="1066" t="s">
        <v>470</v>
      </c>
      <c r="B129" s="1066" t="s">
        <v>471</v>
      </c>
      <c r="E129" s="1066" t="s">
        <v>471</v>
      </c>
      <c r="F129" s="1066" t="s">
        <v>472</v>
      </c>
      <c r="G129" s="1066" t="s">
        <v>421</v>
      </c>
      <c r="H129" s="1066" t="s">
        <v>14</v>
      </c>
      <c r="K129" s="1066" t="s">
        <v>15</v>
      </c>
    </row>
    <row r="130" spans="1:11" ht="15" customHeight="1">
      <c r="A130" s="1066" t="s">
        <v>473</v>
      </c>
      <c r="B130" s="1066" t="s">
        <v>474</v>
      </c>
      <c r="E130" s="1066" t="s">
        <v>474</v>
      </c>
      <c r="F130" s="1066" t="s">
        <v>475</v>
      </c>
      <c r="G130" s="1066" t="s">
        <v>13</v>
      </c>
      <c r="H130" s="1066" t="s">
        <v>14</v>
      </c>
      <c r="K130" s="1066" t="s">
        <v>15</v>
      </c>
    </row>
    <row r="131" spans="1:11" ht="15" customHeight="1">
      <c r="A131" s="1066" t="s">
        <v>476</v>
      </c>
      <c r="B131" s="1066" t="s">
        <v>477</v>
      </c>
      <c r="E131" s="1066" t="s">
        <v>477</v>
      </c>
      <c r="F131" s="1066" t="s">
        <v>478</v>
      </c>
      <c r="G131" s="1066" t="s">
        <v>421</v>
      </c>
      <c r="H131" s="1066" t="s">
        <v>14</v>
      </c>
      <c r="K131" s="1066" t="s">
        <v>15</v>
      </c>
    </row>
    <row r="132" spans="1:11" ht="15" customHeight="1">
      <c r="A132" s="1066" t="s">
        <v>479</v>
      </c>
      <c r="B132" s="1066" t="s">
        <v>480</v>
      </c>
      <c r="E132" s="1066" t="s">
        <v>480</v>
      </c>
      <c r="F132" s="1066" t="s">
        <v>481</v>
      </c>
      <c r="G132" s="1066" t="s">
        <v>13</v>
      </c>
      <c r="H132" s="1066" t="s">
        <v>14</v>
      </c>
      <c r="K132" s="1066" t="s">
        <v>15</v>
      </c>
    </row>
    <row r="133" spans="1:11" ht="15" customHeight="1">
      <c r="A133" s="1066" t="s">
        <v>482</v>
      </c>
      <c r="B133" s="1066" t="s">
        <v>483</v>
      </c>
      <c r="E133" s="1066" t="s">
        <v>483</v>
      </c>
      <c r="F133" s="1066" t="s">
        <v>484</v>
      </c>
      <c r="G133" s="1066" t="s">
        <v>13</v>
      </c>
      <c r="H133" s="1066" t="s">
        <v>14</v>
      </c>
      <c r="K133" s="1066" t="s">
        <v>15</v>
      </c>
    </row>
    <row r="134" spans="1:11" ht="15" customHeight="1">
      <c r="A134" s="1066" t="s">
        <v>485</v>
      </c>
      <c r="B134" s="1066" t="s">
        <v>486</v>
      </c>
      <c r="E134" s="1066" t="s">
        <v>486</v>
      </c>
      <c r="F134" s="1066" t="s">
        <v>487</v>
      </c>
      <c r="G134" s="1066" t="s">
        <v>13</v>
      </c>
      <c r="H134" s="1066" t="s">
        <v>488</v>
      </c>
      <c r="K134" s="1066" t="s">
        <v>15</v>
      </c>
    </row>
    <row r="135" spans="1:11" ht="15" customHeight="1">
      <c r="A135" s="1066" t="s">
        <v>489</v>
      </c>
      <c r="B135" s="1066" t="s">
        <v>490</v>
      </c>
      <c r="E135" s="1066" t="s">
        <v>490</v>
      </c>
      <c r="F135" s="1066" t="s">
        <v>491</v>
      </c>
      <c r="G135" s="1066" t="s">
        <v>421</v>
      </c>
      <c r="H135" s="1066" t="s">
        <v>488</v>
      </c>
      <c r="K135" s="1066" t="s">
        <v>15</v>
      </c>
    </row>
    <row r="136" spans="1:11" ht="15" customHeight="1">
      <c r="A136" s="1066" t="s">
        <v>492</v>
      </c>
      <c r="B136" s="1066" t="s">
        <v>493</v>
      </c>
      <c r="E136" s="1066" t="s">
        <v>493</v>
      </c>
      <c r="F136" s="1066" t="s">
        <v>494</v>
      </c>
      <c r="G136" s="1066" t="s">
        <v>13</v>
      </c>
      <c r="H136" s="1066" t="s">
        <v>488</v>
      </c>
      <c r="K136" s="1066" t="s">
        <v>15</v>
      </c>
    </row>
    <row r="137" spans="1:11" ht="15" customHeight="1">
      <c r="A137" s="1066" t="s">
        <v>495</v>
      </c>
      <c r="B137" s="1066" t="s">
        <v>496</v>
      </c>
      <c r="E137" s="1066" t="s">
        <v>496</v>
      </c>
      <c r="F137" s="1066" t="s">
        <v>497</v>
      </c>
      <c r="G137" s="1066" t="s">
        <v>13</v>
      </c>
      <c r="H137" s="1066" t="s">
        <v>488</v>
      </c>
      <c r="K137" s="1066" t="s">
        <v>15</v>
      </c>
    </row>
    <row r="138" spans="1:11" ht="15" customHeight="1">
      <c r="A138" s="1066" t="s">
        <v>498</v>
      </c>
      <c r="B138" s="1066" t="s">
        <v>499</v>
      </c>
      <c r="E138" s="1066" t="s">
        <v>499</v>
      </c>
      <c r="F138" s="1066" t="s">
        <v>500</v>
      </c>
      <c r="G138" s="1066" t="s">
        <v>13</v>
      </c>
      <c r="H138" s="1066" t="s">
        <v>488</v>
      </c>
      <c r="K138" s="1066" t="s">
        <v>15</v>
      </c>
    </row>
    <row r="139" spans="1:11" ht="15" customHeight="1">
      <c r="A139" s="1066" t="s">
        <v>501</v>
      </c>
      <c r="B139" s="1066" t="s">
        <v>322</v>
      </c>
      <c r="E139" s="1066" t="s">
        <v>502</v>
      </c>
      <c r="F139" s="1066" t="s">
        <v>503</v>
      </c>
      <c r="G139" s="1066" t="s">
        <v>13</v>
      </c>
      <c r="H139" s="1066" t="s">
        <v>488</v>
      </c>
      <c r="K139" s="1066" t="s">
        <v>15</v>
      </c>
    </row>
    <row r="140" spans="1:11" ht="15" customHeight="1">
      <c r="A140" s="1066" t="s">
        <v>504</v>
      </c>
      <c r="B140" s="1066" t="s">
        <v>334</v>
      </c>
      <c r="E140" s="1066" t="s">
        <v>505</v>
      </c>
      <c r="F140" s="1066" t="s">
        <v>506</v>
      </c>
      <c r="G140" s="1066" t="s">
        <v>13</v>
      </c>
      <c r="H140" s="1066" t="s">
        <v>488</v>
      </c>
      <c r="K140" s="1066" t="s">
        <v>15</v>
      </c>
    </row>
    <row r="141" spans="1:11" ht="15" customHeight="1">
      <c r="A141" s="1066" t="s">
        <v>507</v>
      </c>
      <c r="B141" s="1066" t="s">
        <v>508</v>
      </c>
      <c r="E141" s="1066" t="s">
        <v>509</v>
      </c>
      <c r="F141" s="1066" t="s">
        <v>510</v>
      </c>
      <c r="G141" s="1066" t="s">
        <v>13</v>
      </c>
      <c r="H141" s="1066" t="s">
        <v>488</v>
      </c>
      <c r="K141" s="1066" t="s">
        <v>15</v>
      </c>
    </row>
    <row r="142" spans="1:11" ht="15" customHeight="1">
      <c r="A142" s="1066" t="s">
        <v>511</v>
      </c>
      <c r="B142" s="1066" t="s">
        <v>512</v>
      </c>
      <c r="E142" s="1066" t="s">
        <v>513</v>
      </c>
      <c r="F142" s="1066" t="s">
        <v>514</v>
      </c>
      <c r="G142" s="1066" t="s">
        <v>13</v>
      </c>
      <c r="H142" s="1066" t="s">
        <v>488</v>
      </c>
      <c r="K142" s="1066" t="s">
        <v>15</v>
      </c>
    </row>
    <row r="143" spans="1:11" ht="15" customHeight="1">
      <c r="A143" s="1066" t="s">
        <v>515</v>
      </c>
      <c r="B143" s="1066" t="s">
        <v>516</v>
      </c>
      <c r="E143" s="1066" t="s">
        <v>517</v>
      </c>
      <c r="F143" s="1066" t="s">
        <v>518</v>
      </c>
      <c r="G143" s="1066" t="s">
        <v>13</v>
      </c>
      <c r="H143" s="1066" t="s">
        <v>488</v>
      </c>
      <c r="K143" s="1066" t="s">
        <v>15</v>
      </c>
    </row>
    <row r="144" spans="1:11" ht="15" customHeight="1">
      <c r="A144" s="1066" t="s">
        <v>519</v>
      </c>
      <c r="B144" s="1066" t="s">
        <v>520</v>
      </c>
      <c r="E144" s="1066" t="s">
        <v>521</v>
      </c>
      <c r="F144" s="1066" t="s">
        <v>522</v>
      </c>
      <c r="G144" s="1066" t="s">
        <v>13</v>
      </c>
      <c r="H144" s="1066" t="s">
        <v>488</v>
      </c>
      <c r="K144" s="1066" t="s">
        <v>15</v>
      </c>
    </row>
    <row r="145" spans="1:11" ht="15" customHeight="1">
      <c r="A145" s="1066" t="s">
        <v>523</v>
      </c>
      <c r="B145" s="1066" t="s">
        <v>524</v>
      </c>
      <c r="E145" s="1066" t="s">
        <v>525</v>
      </c>
      <c r="F145" s="1066" t="s">
        <v>526</v>
      </c>
      <c r="G145" s="1066" t="s">
        <v>13</v>
      </c>
      <c r="H145" s="1066" t="s">
        <v>488</v>
      </c>
      <c r="K145" s="1066" t="s">
        <v>15</v>
      </c>
    </row>
    <row r="146" spans="1:11" ht="15" customHeight="1">
      <c r="A146" s="1066" t="s">
        <v>527</v>
      </c>
      <c r="B146" s="1066" t="s">
        <v>528</v>
      </c>
      <c r="E146" s="1066" t="s">
        <v>529</v>
      </c>
      <c r="F146" s="1066" t="s">
        <v>530</v>
      </c>
      <c r="G146" s="1066" t="s">
        <v>13</v>
      </c>
      <c r="H146" s="1066" t="s">
        <v>488</v>
      </c>
      <c r="K146" s="1066" t="s">
        <v>15</v>
      </c>
    </row>
    <row r="147" spans="1:11" ht="15" customHeight="1">
      <c r="A147" s="1066" t="s">
        <v>531</v>
      </c>
      <c r="B147" s="1066" t="s">
        <v>532</v>
      </c>
      <c r="E147" s="1066" t="s">
        <v>533</v>
      </c>
      <c r="F147" s="1066" t="s">
        <v>534</v>
      </c>
      <c r="G147" s="1066" t="s">
        <v>13</v>
      </c>
      <c r="H147" s="1066" t="s">
        <v>488</v>
      </c>
      <c r="K147" s="1066" t="s">
        <v>15</v>
      </c>
    </row>
    <row r="148" spans="1:11" ht="15" customHeight="1">
      <c r="A148" s="1066" t="s">
        <v>535</v>
      </c>
      <c r="B148" s="1066" t="s">
        <v>338</v>
      </c>
      <c r="E148" s="1066" t="s">
        <v>536</v>
      </c>
      <c r="F148" s="1066" t="s">
        <v>340</v>
      </c>
      <c r="G148" s="1066" t="s">
        <v>13</v>
      </c>
      <c r="H148" s="1066" t="s">
        <v>488</v>
      </c>
      <c r="K148" s="1066" t="s">
        <v>15</v>
      </c>
    </row>
    <row r="149" spans="1:11" ht="15" customHeight="1">
      <c r="A149" s="1066" t="s">
        <v>537</v>
      </c>
      <c r="B149" s="1066" t="s">
        <v>538</v>
      </c>
      <c r="E149" s="1066" t="s">
        <v>539</v>
      </c>
      <c r="F149" s="1066" t="s">
        <v>540</v>
      </c>
      <c r="G149" s="1066" t="s">
        <v>13</v>
      </c>
      <c r="H149" s="1066" t="s">
        <v>488</v>
      </c>
      <c r="K149" s="1066" t="s">
        <v>15</v>
      </c>
    </row>
    <row r="150" spans="1:11" ht="15" customHeight="1">
      <c r="A150" s="1066" t="s">
        <v>541</v>
      </c>
      <c r="B150" s="1066" t="s">
        <v>542</v>
      </c>
      <c r="E150" s="1066" t="s">
        <v>543</v>
      </c>
      <c r="F150" s="1066" t="s">
        <v>544</v>
      </c>
      <c r="G150" s="1066" t="s">
        <v>13</v>
      </c>
      <c r="H150" s="1066" t="s">
        <v>488</v>
      </c>
      <c r="K150" s="1066" t="s">
        <v>15</v>
      </c>
    </row>
    <row r="151" spans="1:11" ht="15" customHeight="1">
      <c r="A151" s="1066" t="s">
        <v>545</v>
      </c>
      <c r="B151" s="1066" t="s">
        <v>546</v>
      </c>
      <c r="E151" s="1066" t="s">
        <v>547</v>
      </c>
      <c r="F151" s="1066" t="s">
        <v>548</v>
      </c>
      <c r="G151" s="1066" t="s">
        <v>13</v>
      </c>
      <c r="H151" s="1066" t="s">
        <v>488</v>
      </c>
      <c r="K151" s="1066" t="s">
        <v>15</v>
      </c>
    </row>
    <row r="152" spans="1:11" ht="15" customHeight="1">
      <c r="A152" s="1066" t="s">
        <v>549</v>
      </c>
      <c r="B152" s="1066" t="s">
        <v>550</v>
      </c>
      <c r="E152" s="1066" t="s">
        <v>550</v>
      </c>
      <c r="F152" s="1066" t="s">
        <v>551</v>
      </c>
      <c r="G152" s="1066" t="s">
        <v>421</v>
      </c>
      <c r="H152" s="1066" t="s">
        <v>488</v>
      </c>
      <c r="K152" s="1066" t="s">
        <v>15</v>
      </c>
    </row>
    <row r="153" spans="1:11" ht="15" customHeight="1">
      <c r="A153" s="1066" t="s">
        <v>552</v>
      </c>
      <c r="B153" s="1066" t="s">
        <v>553</v>
      </c>
      <c r="E153" s="1066" t="s">
        <v>553</v>
      </c>
      <c r="F153" s="1066" t="s">
        <v>554</v>
      </c>
      <c r="G153" s="1066" t="s">
        <v>13</v>
      </c>
      <c r="H153" s="1066" t="s">
        <v>488</v>
      </c>
      <c r="K153" s="1066" t="s">
        <v>15</v>
      </c>
    </row>
    <row r="154" spans="1:11" ht="15" customHeight="1">
      <c r="A154" s="1066" t="s">
        <v>555</v>
      </c>
      <c r="B154" s="1066" t="s">
        <v>556</v>
      </c>
      <c r="E154" s="1066" t="s">
        <v>557</v>
      </c>
      <c r="F154" s="1066" t="s">
        <v>503</v>
      </c>
      <c r="G154" s="1066" t="s">
        <v>13</v>
      </c>
      <c r="H154" s="1066" t="s">
        <v>488</v>
      </c>
      <c r="K154" s="1066" t="s">
        <v>15</v>
      </c>
    </row>
    <row r="155" spans="1:11" ht="15" customHeight="1">
      <c r="A155" s="1066" t="s">
        <v>558</v>
      </c>
      <c r="B155" s="1066" t="s">
        <v>346</v>
      </c>
      <c r="E155" s="1066" t="s">
        <v>559</v>
      </c>
      <c r="F155" s="1066" t="s">
        <v>348</v>
      </c>
      <c r="G155" s="1066" t="s">
        <v>13</v>
      </c>
      <c r="H155" s="1066" t="s">
        <v>488</v>
      </c>
      <c r="K155" s="1066" t="s">
        <v>15</v>
      </c>
    </row>
    <row r="156" spans="1:11" ht="15" customHeight="1">
      <c r="A156" s="1066" t="s">
        <v>560</v>
      </c>
      <c r="B156" s="1066" t="s">
        <v>561</v>
      </c>
      <c r="E156" s="1066" t="s">
        <v>561</v>
      </c>
      <c r="F156" s="1066" t="s">
        <v>562</v>
      </c>
      <c r="G156" s="1066" t="s">
        <v>13</v>
      </c>
      <c r="H156" s="1066" t="s">
        <v>488</v>
      </c>
      <c r="K156" s="1066" t="s">
        <v>15</v>
      </c>
    </row>
    <row r="157" spans="1:11" ht="15" customHeight="1">
      <c r="A157" s="1066" t="s">
        <v>563</v>
      </c>
      <c r="B157" s="1066" t="s">
        <v>564</v>
      </c>
      <c r="E157" s="1066" t="s">
        <v>564</v>
      </c>
      <c r="F157" s="1066" t="s">
        <v>565</v>
      </c>
      <c r="G157" s="1066" t="s">
        <v>421</v>
      </c>
      <c r="H157" s="1066" t="s">
        <v>488</v>
      </c>
      <c r="K157" s="1066" t="s">
        <v>15</v>
      </c>
    </row>
    <row r="158" spans="1:11" ht="15" customHeight="1">
      <c r="A158" s="1066" t="s">
        <v>566</v>
      </c>
      <c r="B158" s="1066" t="s">
        <v>567</v>
      </c>
      <c r="E158" s="1066" t="s">
        <v>567</v>
      </c>
      <c r="F158" s="1066" t="s">
        <v>568</v>
      </c>
      <c r="G158" s="1066" t="s">
        <v>13</v>
      </c>
      <c r="H158" s="1066" t="s">
        <v>488</v>
      </c>
      <c r="K158" s="1066" t="s">
        <v>15</v>
      </c>
    </row>
    <row r="159" spans="1:11" ht="15" customHeight="1">
      <c r="A159" s="1066" t="s">
        <v>569</v>
      </c>
      <c r="B159" s="1066" t="s">
        <v>570</v>
      </c>
      <c r="E159" s="1066" t="s">
        <v>571</v>
      </c>
      <c r="F159" s="1066" t="s">
        <v>572</v>
      </c>
      <c r="G159" s="1066" t="s">
        <v>13</v>
      </c>
      <c r="H159" s="1066" t="s">
        <v>488</v>
      </c>
      <c r="K159" s="1066" t="s">
        <v>15</v>
      </c>
    </row>
    <row r="160" spans="1:11" ht="15" customHeight="1">
      <c r="A160" s="1066" t="s">
        <v>573</v>
      </c>
      <c r="B160" s="1066" t="s">
        <v>574</v>
      </c>
      <c r="E160" s="1066" t="s">
        <v>575</v>
      </c>
      <c r="F160" s="1066" t="s">
        <v>576</v>
      </c>
      <c r="G160" s="1066" t="s">
        <v>13</v>
      </c>
      <c r="H160" s="1066" t="s">
        <v>488</v>
      </c>
      <c r="K160" s="1066" t="s">
        <v>15</v>
      </c>
    </row>
    <row r="161" spans="1:11" ht="15" customHeight="1">
      <c r="A161" s="1066" t="s">
        <v>577</v>
      </c>
      <c r="B161" s="1066" t="s">
        <v>578</v>
      </c>
      <c r="E161" s="1066" t="s">
        <v>579</v>
      </c>
      <c r="F161" s="1066" t="s">
        <v>580</v>
      </c>
      <c r="G161" s="1066" t="s">
        <v>13</v>
      </c>
      <c r="H161" s="1066" t="s">
        <v>488</v>
      </c>
      <c r="K161" s="1066" t="s">
        <v>15</v>
      </c>
    </row>
    <row r="162" spans="1:11" ht="15" customHeight="1">
      <c r="A162" s="1066" t="s">
        <v>581</v>
      </c>
      <c r="B162" s="1066" t="s">
        <v>582</v>
      </c>
      <c r="E162" s="1066" t="s">
        <v>583</v>
      </c>
      <c r="F162" s="1066" t="s">
        <v>584</v>
      </c>
      <c r="G162" s="1066" t="s">
        <v>13</v>
      </c>
      <c r="H162" s="1066" t="s">
        <v>488</v>
      </c>
      <c r="K162" s="1066" t="s">
        <v>15</v>
      </c>
    </row>
    <row r="163" spans="1:11" ht="15" customHeight="1">
      <c r="A163" s="1066" t="s">
        <v>585</v>
      </c>
      <c r="B163" s="1066" t="s">
        <v>586</v>
      </c>
      <c r="E163" s="1066" t="s">
        <v>586</v>
      </c>
      <c r="F163" s="1066" t="s">
        <v>587</v>
      </c>
      <c r="G163" s="1066" t="s">
        <v>421</v>
      </c>
      <c r="H163" s="1066" t="s">
        <v>488</v>
      </c>
      <c r="K163" s="1066" t="s">
        <v>15</v>
      </c>
    </row>
    <row r="164" spans="1:11" ht="15" customHeight="1">
      <c r="A164" s="1066" t="s">
        <v>588</v>
      </c>
      <c r="B164" s="1066" t="s">
        <v>570</v>
      </c>
      <c r="E164" s="1066" t="s">
        <v>589</v>
      </c>
      <c r="F164" s="1066" t="s">
        <v>572</v>
      </c>
      <c r="G164" s="1066" t="s">
        <v>421</v>
      </c>
      <c r="H164" s="1066" t="s">
        <v>488</v>
      </c>
      <c r="K164" s="1066" t="s">
        <v>15</v>
      </c>
    </row>
    <row r="165" spans="1:11" ht="15" customHeight="1">
      <c r="A165" s="1066" t="s">
        <v>590</v>
      </c>
      <c r="B165" s="1066" t="s">
        <v>574</v>
      </c>
      <c r="E165" s="1066" t="s">
        <v>591</v>
      </c>
      <c r="F165" s="1066" t="s">
        <v>576</v>
      </c>
      <c r="G165" s="1066" t="s">
        <v>421</v>
      </c>
      <c r="H165" s="1066" t="s">
        <v>488</v>
      </c>
      <c r="K165" s="1066" t="s">
        <v>15</v>
      </c>
    </row>
    <row r="166" spans="1:11" ht="15" customHeight="1">
      <c r="A166" s="1066" t="s">
        <v>592</v>
      </c>
      <c r="B166" s="1066" t="s">
        <v>578</v>
      </c>
      <c r="E166" s="1066" t="s">
        <v>593</v>
      </c>
      <c r="F166" s="1066" t="s">
        <v>580</v>
      </c>
      <c r="G166" s="1066" t="s">
        <v>421</v>
      </c>
      <c r="H166" s="1066" t="s">
        <v>488</v>
      </c>
      <c r="K166" s="1066" t="s">
        <v>15</v>
      </c>
    </row>
    <row r="167" spans="1:11" ht="15" customHeight="1">
      <c r="A167" s="1066" t="s">
        <v>594</v>
      </c>
      <c r="B167" s="1066" t="s">
        <v>582</v>
      </c>
      <c r="E167" s="1066" t="s">
        <v>595</v>
      </c>
      <c r="F167" s="1066" t="s">
        <v>584</v>
      </c>
      <c r="G167" s="1066" t="s">
        <v>421</v>
      </c>
      <c r="H167" s="1066" t="s">
        <v>488</v>
      </c>
      <c r="K167" s="1066" t="s">
        <v>15</v>
      </c>
    </row>
    <row r="168" spans="1:11" ht="15" customHeight="1">
      <c r="A168" s="1066" t="s">
        <v>596</v>
      </c>
      <c r="B168" s="1066" t="s">
        <v>597</v>
      </c>
      <c r="E168" s="1066" t="s">
        <v>597</v>
      </c>
      <c r="F168" s="1066" t="s">
        <v>598</v>
      </c>
      <c r="G168" s="1066" t="s">
        <v>421</v>
      </c>
      <c r="H168" s="1066" t="s">
        <v>488</v>
      </c>
      <c r="K168" s="1066" t="s">
        <v>15</v>
      </c>
    </row>
    <row r="169" spans="1:11" ht="15" customHeight="1">
      <c r="A169" s="1066" t="s">
        <v>599</v>
      </c>
      <c r="B169" s="1066" t="s">
        <v>570</v>
      </c>
      <c r="E169" s="1066" t="s">
        <v>600</v>
      </c>
      <c r="F169" s="1066" t="s">
        <v>572</v>
      </c>
      <c r="G169" s="1066" t="s">
        <v>421</v>
      </c>
      <c r="H169" s="1066" t="s">
        <v>488</v>
      </c>
      <c r="K169" s="1066" t="s">
        <v>15</v>
      </c>
    </row>
    <row r="170" spans="1:11" ht="15" customHeight="1">
      <c r="A170" s="1066" t="s">
        <v>601</v>
      </c>
      <c r="B170" s="1066" t="s">
        <v>574</v>
      </c>
      <c r="E170" s="1066" t="s">
        <v>602</v>
      </c>
      <c r="F170" s="1066" t="s">
        <v>576</v>
      </c>
      <c r="G170" s="1066" t="s">
        <v>421</v>
      </c>
      <c r="H170" s="1066" t="s">
        <v>488</v>
      </c>
      <c r="K170" s="1066" t="s">
        <v>15</v>
      </c>
    </row>
    <row r="171" spans="1:11" ht="15" customHeight="1">
      <c r="A171" s="1066" t="s">
        <v>603</v>
      </c>
      <c r="B171" s="1066" t="s">
        <v>578</v>
      </c>
      <c r="E171" s="1066" t="s">
        <v>604</v>
      </c>
      <c r="F171" s="1066" t="s">
        <v>580</v>
      </c>
      <c r="G171" s="1066" t="s">
        <v>421</v>
      </c>
      <c r="H171" s="1066" t="s">
        <v>488</v>
      </c>
      <c r="K171" s="1066" t="s">
        <v>15</v>
      </c>
    </row>
    <row r="172" spans="1:11" ht="15" customHeight="1">
      <c r="A172" s="1066" t="s">
        <v>605</v>
      </c>
      <c r="B172" s="1066" t="s">
        <v>582</v>
      </c>
      <c r="E172" s="1066" t="s">
        <v>606</v>
      </c>
      <c r="F172" s="1066" t="s">
        <v>584</v>
      </c>
      <c r="G172" s="1066" t="s">
        <v>421</v>
      </c>
      <c r="H172" s="1066" t="s">
        <v>488</v>
      </c>
      <c r="K172" s="1066" t="s">
        <v>15</v>
      </c>
    </row>
    <row r="173" spans="1:11" ht="15" customHeight="1">
      <c r="A173" s="1066" t="s">
        <v>607</v>
      </c>
      <c r="B173" s="1066" t="s">
        <v>608</v>
      </c>
      <c r="E173" s="1066" t="s">
        <v>608</v>
      </c>
      <c r="F173" s="1066" t="s">
        <v>609</v>
      </c>
      <c r="G173" s="1066" t="s">
        <v>13</v>
      </c>
      <c r="H173" s="1066" t="s">
        <v>488</v>
      </c>
      <c r="K173" s="1066" t="s">
        <v>15</v>
      </c>
    </row>
    <row r="174" spans="1:11" ht="15" customHeight="1">
      <c r="A174" s="1066" t="s">
        <v>610</v>
      </c>
      <c r="B174" s="1066" t="s">
        <v>611</v>
      </c>
      <c r="E174" s="1066" t="s">
        <v>612</v>
      </c>
      <c r="F174" s="1066" t="s">
        <v>613</v>
      </c>
      <c r="G174" s="1066" t="s">
        <v>13</v>
      </c>
      <c r="H174" s="1066" t="s">
        <v>488</v>
      </c>
      <c r="K174" s="1066" t="s">
        <v>15</v>
      </c>
    </row>
    <row r="175" spans="1:11" ht="15" customHeight="1">
      <c r="A175" s="1066" t="s">
        <v>614</v>
      </c>
      <c r="B175" s="1066" t="s">
        <v>615</v>
      </c>
      <c r="E175" s="1066" t="s">
        <v>616</v>
      </c>
      <c r="F175" s="1066" t="s">
        <v>617</v>
      </c>
      <c r="G175" s="1066" t="s">
        <v>13</v>
      </c>
      <c r="H175" s="1066" t="s">
        <v>488</v>
      </c>
      <c r="K175" s="1066" t="s">
        <v>15</v>
      </c>
    </row>
    <row r="176" spans="1:11" ht="15" customHeight="1">
      <c r="A176" s="1066" t="s">
        <v>618</v>
      </c>
      <c r="B176" s="1066" t="s">
        <v>619</v>
      </c>
      <c r="E176" s="1066" t="s">
        <v>620</v>
      </c>
      <c r="F176" s="1066" t="s">
        <v>621</v>
      </c>
      <c r="G176" s="1066" t="s">
        <v>13</v>
      </c>
      <c r="H176" s="1066" t="s">
        <v>488</v>
      </c>
      <c r="K176" s="1066" t="s">
        <v>15</v>
      </c>
    </row>
    <row r="177" spans="1:11" ht="15" customHeight="1">
      <c r="A177" s="1066" t="s">
        <v>622</v>
      </c>
      <c r="B177" s="1066" t="s">
        <v>623</v>
      </c>
      <c r="E177" s="1066" t="s">
        <v>623</v>
      </c>
      <c r="F177" s="1066" t="s">
        <v>624</v>
      </c>
      <c r="G177" s="1066" t="s">
        <v>13</v>
      </c>
      <c r="H177" s="1066" t="s">
        <v>488</v>
      </c>
      <c r="K177" s="1066" t="s">
        <v>15</v>
      </c>
    </row>
    <row r="178" spans="1:11" ht="15" customHeight="1">
      <c r="A178" s="1066" t="s">
        <v>625</v>
      </c>
      <c r="B178" s="1066" t="s">
        <v>626</v>
      </c>
      <c r="E178" s="1066" t="s">
        <v>626</v>
      </c>
      <c r="F178" s="1066" t="s">
        <v>627</v>
      </c>
      <c r="G178" s="1066" t="s">
        <v>13</v>
      </c>
      <c r="H178" s="1066" t="s">
        <v>488</v>
      </c>
      <c r="K178" s="1066" t="s">
        <v>15</v>
      </c>
    </row>
    <row r="179" spans="1:11" ht="15" customHeight="1">
      <c r="A179" s="1066" t="s">
        <v>628</v>
      </c>
      <c r="B179" s="1066" t="s">
        <v>570</v>
      </c>
      <c r="E179" s="1066" t="s">
        <v>629</v>
      </c>
      <c r="F179" s="1066" t="s">
        <v>572</v>
      </c>
      <c r="G179" s="1066" t="s">
        <v>13</v>
      </c>
      <c r="H179" s="1066" t="s">
        <v>488</v>
      </c>
      <c r="K179" s="1066" t="s">
        <v>15</v>
      </c>
    </row>
    <row r="180" spans="1:11" ht="15" customHeight="1">
      <c r="A180" s="1066" t="s">
        <v>630</v>
      </c>
      <c r="B180" s="1066" t="s">
        <v>574</v>
      </c>
      <c r="E180" s="1066" t="s">
        <v>631</v>
      </c>
      <c r="F180" s="1066" t="s">
        <v>576</v>
      </c>
      <c r="G180" s="1066" t="s">
        <v>13</v>
      </c>
      <c r="H180" s="1066" t="s">
        <v>488</v>
      </c>
      <c r="K180" s="1066" t="s">
        <v>15</v>
      </c>
    </row>
    <row r="181" spans="1:11" ht="15" customHeight="1">
      <c r="A181" s="1066" t="s">
        <v>632</v>
      </c>
      <c r="B181" s="1066" t="s">
        <v>578</v>
      </c>
      <c r="E181" s="1066" t="s">
        <v>633</v>
      </c>
      <c r="F181" s="1066" t="s">
        <v>580</v>
      </c>
      <c r="G181" s="1066" t="s">
        <v>13</v>
      </c>
      <c r="H181" s="1066" t="s">
        <v>488</v>
      </c>
      <c r="K181" s="1066" t="s">
        <v>15</v>
      </c>
    </row>
    <row r="182" spans="1:11" ht="15" customHeight="1">
      <c r="A182" s="1066" t="s">
        <v>634</v>
      </c>
      <c r="B182" s="1066" t="s">
        <v>582</v>
      </c>
      <c r="E182" s="1066" t="s">
        <v>635</v>
      </c>
      <c r="F182" s="1066" t="s">
        <v>584</v>
      </c>
      <c r="G182" s="1066" t="s">
        <v>13</v>
      </c>
      <c r="H182" s="1066" t="s">
        <v>488</v>
      </c>
      <c r="K182" s="1066" t="s">
        <v>15</v>
      </c>
    </row>
    <row r="183" spans="1:11" ht="15" customHeight="1">
      <c r="A183" s="1066" t="s">
        <v>636</v>
      </c>
      <c r="B183" s="1066" t="s">
        <v>637</v>
      </c>
      <c r="E183" s="1066" t="s">
        <v>637</v>
      </c>
      <c r="F183" s="1066" t="s">
        <v>638</v>
      </c>
      <c r="G183" s="1066" t="s">
        <v>13</v>
      </c>
      <c r="H183" s="1066" t="s">
        <v>488</v>
      </c>
      <c r="K183" s="1066" t="s">
        <v>15</v>
      </c>
    </row>
    <row r="184" spans="1:11" ht="15" customHeight="1">
      <c r="A184" s="1066" t="s">
        <v>639</v>
      </c>
      <c r="B184" s="1066" t="s">
        <v>640</v>
      </c>
      <c r="E184" s="1066" t="s">
        <v>640</v>
      </c>
      <c r="F184" s="1066" t="s">
        <v>641</v>
      </c>
      <c r="G184" s="1066" t="s">
        <v>421</v>
      </c>
      <c r="H184" s="1066" t="s">
        <v>488</v>
      </c>
      <c r="K184" s="1066" t="s">
        <v>15</v>
      </c>
    </row>
    <row r="185" spans="1:11" ht="15" customHeight="1">
      <c r="A185" s="1066" t="s">
        <v>642</v>
      </c>
      <c r="B185" s="1066" t="s">
        <v>643</v>
      </c>
      <c r="E185" s="1066" t="s">
        <v>643</v>
      </c>
      <c r="F185" s="1066" t="s">
        <v>644</v>
      </c>
      <c r="G185" s="1066" t="s">
        <v>13</v>
      </c>
      <c r="H185" s="1066" t="s">
        <v>488</v>
      </c>
      <c r="K185" s="1066" t="s">
        <v>15</v>
      </c>
    </row>
    <row r="186" spans="1:11" ht="15" customHeight="1">
      <c r="A186" s="1066" t="s">
        <v>645</v>
      </c>
      <c r="B186" s="1066" t="s">
        <v>646</v>
      </c>
      <c r="E186" s="1066" t="s">
        <v>646</v>
      </c>
      <c r="F186" s="1066" t="s">
        <v>647</v>
      </c>
      <c r="G186" s="1066" t="s">
        <v>13</v>
      </c>
      <c r="H186" s="1066" t="s">
        <v>488</v>
      </c>
      <c r="K186" s="1066" t="s">
        <v>15</v>
      </c>
    </row>
    <row r="187" spans="1:11" ht="15" customHeight="1">
      <c r="A187" s="1066" t="s">
        <v>648</v>
      </c>
      <c r="B187" s="1066" t="s">
        <v>649</v>
      </c>
      <c r="E187" s="1066" t="s">
        <v>649</v>
      </c>
      <c r="F187" s="1066" t="s">
        <v>650</v>
      </c>
      <c r="G187" s="1066" t="s">
        <v>421</v>
      </c>
      <c r="H187" s="1066" t="s">
        <v>488</v>
      </c>
      <c r="K187" s="1066" t="s">
        <v>15</v>
      </c>
    </row>
    <row r="188" spans="1:11" ht="15" customHeight="1">
      <c r="A188" s="1066" t="s">
        <v>651</v>
      </c>
      <c r="B188" s="1066" t="s">
        <v>652</v>
      </c>
      <c r="E188" s="1066" t="s">
        <v>652</v>
      </c>
      <c r="F188" s="1066" t="s">
        <v>653</v>
      </c>
      <c r="G188" s="1066" t="s">
        <v>13</v>
      </c>
      <c r="H188" s="1066" t="s">
        <v>488</v>
      </c>
      <c r="K188" s="1066" t="s">
        <v>15</v>
      </c>
    </row>
    <row r="189" spans="1:11" ht="15" customHeight="1">
      <c r="A189" s="1066" t="s">
        <v>654</v>
      </c>
      <c r="B189" s="1066" t="s">
        <v>655</v>
      </c>
      <c r="E189" s="1066" t="s">
        <v>656</v>
      </c>
      <c r="F189" s="1066" t="s">
        <v>657</v>
      </c>
      <c r="G189" s="1066" t="s">
        <v>13</v>
      </c>
      <c r="H189" s="1066" t="s">
        <v>488</v>
      </c>
      <c r="K189" s="1066" t="s">
        <v>15</v>
      </c>
    </row>
    <row r="190" spans="1:11" ht="15" customHeight="1">
      <c r="A190" s="1066" t="s">
        <v>658</v>
      </c>
      <c r="B190" s="1066" t="s">
        <v>659</v>
      </c>
      <c r="E190" s="1066" t="s">
        <v>660</v>
      </c>
      <c r="F190" s="1066" t="s">
        <v>661</v>
      </c>
      <c r="G190" s="1066" t="s">
        <v>13</v>
      </c>
      <c r="H190" s="1066" t="s">
        <v>488</v>
      </c>
      <c r="K190" s="1066" t="s">
        <v>15</v>
      </c>
    </row>
    <row r="191" spans="1:11" ht="15" customHeight="1">
      <c r="A191" s="1066" t="s">
        <v>662</v>
      </c>
      <c r="B191" s="1066" t="s">
        <v>663</v>
      </c>
      <c r="E191" s="1066" t="s">
        <v>664</v>
      </c>
      <c r="F191" s="1066" t="s">
        <v>665</v>
      </c>
      <c r="G191" s="1066" t="s">
        <v>13</v>
      </c>
      <c r="H191" s="1066" t="s">
        <v>488</v>
      </c>
      <c r="K191" s="1066" t="s">
        <v>15</v>
      </c>
    </row>
    <row r="192" spans="1:11" ht="15" customHeight="1">
      <c r="A192" s="1066" t="s">
        <v>666</v>
      </c>
      <c r="B192" s="1066" t="s">
        <v>667</v>
      </c>
      <c r="E192" s="1066" t="s">
        <v>668</v>
      </c>
      <c r="F192" s="1066" t="s">
        <v>669</v>
      </c>
      <c r="G192" s="1066" t="s">
        <v>13</v>
      </c>
      <c r="H192" s="1066" t="s">
        <v>488</v>
      </c>
      <c r="K192" s="1066" t="s">
        <v>15</v>
      </c>
    </row>
    <row r="193" spans="1:11" ht="15" customHeight="1">
      <c r="A193" s="1066" t="s">
        <v>670</v>
      </c>
      <c r="B193" s="1066" t="s">
        <v>671</v>
      </c>
      <c r="E193" s="1066" t="s">
        <v>672</v>
      </c>
      <c r="F193" s="1066" t="s">
        <v>673</v>
      </c>
      <c r="G193" s="1066" t="s">
        <v>13</v>
      </c>
      <c r="H193" s="1066" t="s">
        <v>488</v>
      </c>
      <c r="K193" s="1066" t="s">
        <v>15</v>
      </c>
    </row>
    <row r="194" spans="1:11" ht="15" customHeight="1">
      <c r="A194" s="1066" t="s">
        <v>674</v>
      </c>
      <c r="B194" s="1066" t="s">
        <v>675</v>
      </c>
      <c r="E194" s="1066" t="s">
        <v>676</v>
      </c>
      <c r="F194" s="1066" t="s">
        <v>677</v>
      </c>
      <c r="G194" s="1066" t="s">
        <v>13</v>
      </c>
      <c r="H194" s="1066" t="s">
        <v>488</v>
      </c>
      <c r="K194" s="1066" t="s">
        <v>15</v>
      </c>
    </row>
    <row r="195" spans="1:11" ht="15" customHeight="1">
      <c r="A195" s="1066" t="s">
        <v>678</v>
      </c>
      <c r="B195" s="1066" t="s">
        <v>679</v>
      </c>
      <c r="E195" s="1066" t="s">
        <v>680</v>
      </c>
      <c r="F195" s="1066" t="s">
        <v>681</v>
      </c>
      <c r="G195" s="1066" t="s">
        <v>13</v>
      </c>
      <c r="H195" s="1066" t="s">
        <v>488</v>
      </c>
      <c r="K195" s="1066" t="s">
        <v>15</v>
      </c>
    </row>
    <row r="196" spans="1:11" ht="15" customHeight="1">
      <c r="A196" s="1066" t="s">
        <v>682</v>
      </c>
      <c r="B196" s="1066" t="s">
        <v>683</v>
      </c>
      <c r="E196" s="1066" t="s">
        <v>683</v>
      </c>
      <c r="F196" s="1066" t="s">
        <v>684</v>
      </c>
      <c r="G196" s="1066" t="s">
        <v>421</v>
      </c>
      <c r="H196" s="1066" t="s">
        <v>488</v>
      </c>
      <c r="K196" s="1066" t="s">
        <v>15</v>
      </c>
    </row>
    <row r="197" spans="1:11" ht="15" customHeight="1">
      <c r="A197" s="1066" t="s">
        <v>685</v>
      </c>
      <c r="B197" s="1066" t="s">
        <v>655</v>
      </c>
      <c r="E197" s="1066" t="s">
        <v>686</v>
      </c>
      <c r="F197" s="1066" t="s">
        <v>657</v>
      </c>
      <c r="G197" s="1066" t="s">
        <v>421</v>
      </c>
      <c r="H197" s="1066" t="s">
        <v>488</v>
      </c>
      <c r="K197" s="1066" t="s">
        <v>15</v>
      </c>
    </row>
    <row r="198" spans="1:11" ht="15" customHeight="1">
      <c r="A198" s="1066" t="s">
        <v>687</v>
      </c>
      <c r="B198" s="1066" t="s">
        <v>659</v>
      </c>
      <c r="E198" s="1066" t="s">
        <v>688</v>
      </c>
      <c r="F198" s="1066" t="s">
        <v>661</v>
      </c>
      <c r="G198" s="1066" t="s">
        <v>421</v>
      </c>
      <c r="H198" s="1066" t="s">
        <v>488</v>
      </c>
      <c r="K198" s="1066" t="s">
        <v>15</v>
      </c>
    </row>
    <row r="199" spans="1:11" ht="15" customHeight="1">
      <c r="A199" s="1066" t="s">
        <v>689</v>
      </c>
      <c r="B199" s="1066" t="s">
        <v>663</v>
      </c>
      <c r="E199" s="1066" t="s">
        <v>690</v>
      </c>
      <c r="F199" s="1066" t="s">
        <v>665</v>
      </c>
      <c r="G199" s="1066" t="s">
        <v>421</v>
      </c>
      <c r="H199" s="1066" t="s">
        <v>488</v>
      </c>
      <c r="K199" s="1066" t="s">
        <v>15</v>
      </c>
    </row>
    <row r="200" spans="1:11" ht="15" customHeight="1">
      <c r="A200" s="1066" t="s">
        <v>691</v>
      </c>
      <c r="B200" s="1066" t="s">
        <v>667</v>
      </c>
      <c r="E200" s="1066" t="s">
        <v>692</v>
      </c>
      <c r="F200" s="1066" t="s">
        <v>669</v>
      </c>
      <c r="G200" s="1066" t="s">
        <v>421</v>
      </c>
      <c r="H200" s="1066" t="s">
        <v>488</v>
      </c>
      <c r="K200" s="1066" t="s">
        <v>15</v>
      </c>
    </row>
    <row r="201" spans="1:11" ht="15" customHeight="1">
      <c r="A201" s="1066" t="s">
        <v>693</v>
      </c>
      <c r="B201" s="1066" t="s">
        <v>671</v>
      </c>
      <c r="E201" s="1066" t="s">
        <v>694</v>
      </c>
      <c r="F201" s="1066" t="s">
        <v>673</v>
      </c>
      <c r="G201" s="1066" t="s">
        <v>421</v>
      </c>
      <c r="H201" s="1066" t="s">
        <v>488</v>
      </c>
      <c r="K201" s="1066" t="s">
        <v>15</v>
      </c>
    </row>
    <row r="202" spans="1:11" ht="15" customHeight="1">
      <c r="A202" s="1066" t="s">
        <v>695</v>
      </c>
      <c r="B202" s="1066" t="s">
        <v>675</v>
      </c>
      <c r="E202" s="1066" t="s">
        <v>696</v>
      </c>
      <c r="F202" s="1066" t="s">
        <v>677</v>
      </c>
      <c r="G202" s="1066" t="s">
        <v>421</v>
      </c>
      <c r="H202" s="1066" t="s">
        <v>488</v>
      </c>
      <c r="K202" s="1066" t="s">
        <v>15</v>
      </c>
    </row>
    <row r="203" spans="1:11" ht="15" customHeight="1">
      <c r="A203" s="1066" t="s">
        <v>697</v>
      </c>
      <c r="B203" s="1066" t="s">
        <v>679</v>
      </c>
      <c r="E203" s="1066" t="s">
        <v>698</v>
      </c>
      <c r="F203" s="1066" t="s">
        <v>681</v>
      </c>
      <c r="G203" s="1066" t="s">
        <v>421</v>
      </c>
      <c r="H203" s="1066" t="s">
        <v>488</v>
      </c>
      <c r="K203" s="1066" t="s">
        <v>15</v>
      </c>
    </row>
    <row r="204" spans="1:11" ht="15" customHeight="1">
      <c r="A204" s="1066" t="s">
        <v>699</v>
      </c>
      <c r="B204" s="1066" t="s">
        <v>700</v>
      </c>
      <c r="E204" s="1066" t="s">
        <v>700</v>
      </c>
      <c r="F204" s="1066" t="s">
        <v>701</v>
      </c>
      <c r="G204" s="1066" t="s">
        <v>421</v>
      </c>
      <c r="H204" s="1066" t="s">
        <v>488</v>
      </c>
      <c r="K204" s="1066" t="s">
        <v>15</v>
      </c>
    </row>
    <row r="205" spans="1:11" ht="15" customHeight="1">
      <c r="A205" s="1066" t="s">
        <v>702</v>
      </c>
      <c r="B205" s="1066" t="s">
        <v>703</v>
      </c>
      <c r="E205" s="1066" t="s">
        <v>703</v>
      </c>
      <c r="F205" s="1066" t="s">
        <v>704</v>
      </c>
      <c r="G205" s="1066" t="s">
        <v>13</v>
      </c>
      <c r="H205" s="1066" t="s">
        <v>488</v>
      </c>
      <c r="K205" s="1066" t="s">
        <v>15</v>
      </c>
    </row>
    <row r="206" spans="1:11" ht="15" customHeight="1">
      <c r="A206" s="1066" t="s">
        <v>705</v>
      </c>
      <c r="B206" s="1066" t="s">
        <v>706</v>
      </c>
      <c r="E206" s="1066" t="s">
        <v>707</v>
      </c>
      <c r="F206" s="1066" t="s">
        <v>708</v>
      </c>
      <c r="G206" s="1066" t="s">
        <v>13</v>
      </c>
      <c r="H206" s="1066" t="s">
        <v>488</v>
      </c>
      <c r="K206" s="1066" t="s">
        <v>15</v>
      </c>
    </row>
    <row r="207" spans="1:11" ht="15" customHeight="1">
      <c r="A207" s="1066" t="s">
        <v>709</v>
      </c>
      <c r="B207" s="1066" t="s">
        <v>710</v>
      </c>
      <c r="E207" s="1066" t="s">
        <v>711</v>
      </c>
      <c r="F207" s="1066" t="s">
        <v>712</v>
      </c>
      <c r="G207" s="1066" t="s">
        <v>13</v>
      </c>
      <c r="H207" s="1066" t="s">
        <v>488</v>
      </c>
      <c r="K207" s="1066" t="s">
        <v>15</v>
      </c>
    </row>
    <row r="208" spans="1:11" ht="15" customHeight="1">
      <c r="A208" s="1066" t="s">
        <v>713</v>
      </c>
      <c r="B208" s="1066" t="s">
        <v>714</v>
      </c>
      <c r="E208" s="1066" t="s">
        <v>714</v>
      </c>
      <c r="F208" s="1066" t="s">
        <v>715</v>
      </c>
      <c r="G208" s="1066" t="s">
        <v>421</v>
      </c>
      <c r="H208" s="1066" t="s">
        <v>488</v>
      </c>
      <c r="K208" s="1066" t="s">
        <v>15</v>
      </c>
    </row>
    <row r="209" spans="1:11" ht="15" customHeight="1">
      <c r="A209" s="1066" t="s">
        <v>716</v>
      </c>
      <c r="B209" s="1066" t="s">
        <v>706</v>
      </c>
      <c r="E209" s="1066" t="s">
        <v>717</v>
      </c>
      <c r="F209" s="1066" t="s">
        <v>708</v>
      </c>
      <c r="G209" s="1066" t="s">
        <v>421</v>
      </c>
      <c r="H209" s="1066" t="s">
        <v>488</v>
      </c>
      <c r="K209" s="1066" t="s">
        <v>15</v>
      </c>
    </row>
    <row r="210" spans="1:11" ht="15" customHeight="1">
      <c r="A210" s="1066" t="s">
        <v>718</v>
      </c>
      <c r="B210" s="1066" t="s">
        <v>719</v>
      </c>
      <c r="E210" s="1066" t="s">
        <v>720</v>
      </c>
      <c r="F210" s="1066" t="s">
        <v>712</v>
      </c>
      <c r="G210" s="1066" t="s">
        <v>421</v>
      </c>
      <c r="H210" s="1066" t="s">
        <v>488</v>
      </c>
      <c r="K210" s="1066" t="s">
        <v>15</v>
      </c>
    </row>
    <row r="211" spans="1:11" ht="15" customHeight="1">
      <c r="A211" s="1066" t="s">
        <v>721</v>
      </c>
      <c r="B211" s="1066" t="s">
        <v>722</v>
      </c>
      <c r="E211" s="1066" t="s">
        <v>722</v>
      </c>
      <c r="F211" s="1066" t="s">
        <v>723</v>
      </c>
      <c r="G211" s="1066" t="s">
        <v>421</v>
      </c>
      <c r="H211" s="1066" t="s">
        <v>488</v>
      </c>
      <c r="K211" s="1066" t="s">
        <v>15</v>
      </c>
    </row>
    <row r="212" spans="1:11" ht="15" customHeight="1">
      <c r="A212" s="1066" t="s">
        <v>724</v>
      </c>
      <c r="B212" s="1066" t="s">
        <v>725</v>
      </c>
      <c r="E212" s="1066" t="s">
        <v>725</v>
      </c>
      <c r="F212" s="1066" t="s">
        <v>726</v>
      </c>
      <c r="G212" s="1066" t="s">
        <v>13</v>
      </c>
      <c r="H212" s="1066" t="s">
        <v>488</v>
      </c>
      <c r="K212" s="1066" t="s">
        <v>15</v>
      </c>
    </row>
    <row r="213" spans="1:11" ht="15" customHeight="1">
      <c r="A213" s="1066" t="s">
        <v>727</v>
      </c>
      <c r="B213" s="1066" t="s">
        <v>728</v>
      </c>
      <c r="E213" s="1066" t="s">
        <v>728</v>
      </c>
      <c r="F213" s="1066" t="s">
        <v>729</v>
      </c>
      <c r="G213" s="1066" t="s">
        <v>13</v>
      </c>
      <c r="H213" s="1066" t="s">
        <v>488</v>
      </c>
      <c r="K213" s="1066" t="s">
        <v>15</v>
      </c>
    </row>
    <row r="214" spans="1:11" ht="15" customHeight="1">
      <c r="A214" s="1066" t="s">
        <v>730</v>
      </c>
      <c r="B214" s="1066" t="s">
        <v>731</v>
      </c>
      <c r="E214" s="1066" t="s">
        <v>732</v>
      </c>
      <c r="F214" s="1066" t="s">
        <v>733</v>
      </c>
      <c r="G214" s="1066" t="s">
        <v>13</v>
      </c>
      <c r="H214" s="1066" t="s">
        <v>488</v>
      </c>
      <c r="K214" s="1066" t="s">
        <v>15</v>
      </c>
    </row>
    <row r="215" spans="1:11" ht="15" customHeight="1">
      <c r="A215" s="1066" t="s">
        <v>734</v>
      </c>
      <c r="B215" s="1066" t="s">
        <v>735</v>
      </c>
      <c r="E215" s="1066" t="s">
        <v>736</v>
      </c>
      <c r="F215" s="1066" t="s">
        <v>737</v>
      </c>
      <c r="G215" s="1066" t="s">
        <v>13</v>
      </c>
      <c r="H215" s="1066" t="s">
        <v>488</v>
      </c>
      <c r="K215" s="1066" t="s">
        <v>15</v>
      </c>
    </row>
    <row r="216" spans="1:11" ht="15" customHeight="1">
      <c r="A216" s="1066" t="s">
        <v>738</v>
      </c>
      <c r="B216" s="1066" t="s">
        <v>739</v>
      </c>
      <c r="E216" s="1066" t="s">
        <v>739</v>
      </c>
      <c r="F216" s="1066" t="s">
        <v>740</v>
      </c>
      <c r="G216" s="1066" t="s">
        <v>13</v>
      </c>
      <c r="H216" s="1066" t="s">
        <v>488</v>
      </c>
      <c r="K216" s="1066" t="s">
        <v>15</v>
      </c>
    </row>
    <row r="217" spans="1:11" ht="15" customHeight="1">
      <c r="A217" s="1066" t="s">
        <v>741</v>
      </c>
      <c r="B217" s="1066" t="s">
        <v>742</v>
      </c>
      <c r="E217" s="1066" t="s">
        <v>742</v>
      </c>
      <c r="F217" s="1066" t="s">
        <v>743</v>
      </c>
      <c r="G217" s="1066" t="s">
        <v>13</v>
      </c>
      <c r="H217" s="1066" t="s">
        <v>488</v>
      </c>
      <c r="K217" s="1066" t="s">
        <v>15</v>
      </c>
    </row>
    <row r="218" spans="1:11" ht="15" customHeight="1">
      <c r="A218" s="1066" t="s">
        <v>744</v>
      </c>
      <c r="B218" s="1066" t="s">
        <v>745</v>
      </c>
      <c r="E218" s="1066" t="s">
        <v>745</v>
      </c>
      <c r="F218" s="1066" t="s">
        <v>746</v>
      </c>
      <c r="G218" s="1066" t="s">
        <v>13</v>
      </c>
      <c r="H218" s="1066" t="s">
        <v>488</v>
      </c>
      <c r="K218" s="1066" t="s">
        <v>15</v>
      </c>
    </row>
    <row r="219" spans="1:11" ht="15" customHeight="1">
      <c r="A219" s="1066" t="s">
        <v>747</v>
      </c>
      <c r="B219" s="1066" t="s">
        <v>748</v>
      </c>
      <c r="E219" s="1066" t="s">
        <v>748</v>
      </c>
      <c r="F219" s="1066" t="s">
        <v>749</v>
      </c>
      <c r="G219" s="1066" t="s">
        <v>421</v>
      </c>
      <c r="H219" s="1066" t="s">
        <v>750</v>
      </c>
      <c r="K219" s="1066" t="s">
        <v>15</v>
      </c>
    </row>
    <row r="220" spans="1:11" ht="15" customHeight="1">
      <c r="A220" s="1066" t="s">
        <v>751</v>
      </c>
      <c r="B220" s="1066" t="s">
        <v>752</v>
      </c>
      <c r="E220" s="1066" t="s">
        <v>752</v>
      </c>
      <c r="F220" s="1066" t="s">
        <v>753</v>
      </c>
      <c r="G220" s="1066" t="s">
        <v>421</v>
      </c>
      <c r="H220" s="1066" t="s">
        <v>750</v>
      </c>
      <c r="K220" s="1066" t="s">
        <v>15</v>
      </c>
    </row>
    <row r="221" spans="1:11" ht="15" customHeight="1">
      <c r="A221" s="1066" t="s">
        <v>754</v>
      </c>
      <c r="B221" s="1066" t="s">
        <v>322</v>
      </c>
      <c r="E221" s="1066" t="s">
        <v>755</v>
      </c>
      <c r="F221" s="1066" t="s">
        <v>324</v>
      </c>
      <c r="G221" s="1066" t="s">
        <v>421</v>
      </c>
      <c r="H221" s="1066" t="s">
        <v>750</v>
      </c>
      <c r="K221" s="1066" t="s">
        <v>15</v>
      </c>
    </row>
    <row r="222" spans="1:11" ht="15" customHeight="1">
      <c r="A222" s="1066" t="s">
        <v>756</v>
      </c>
      <c r="B222" s="1066" t="s">
        <v>346</v>
      </c>
      <c r="E222" s="1066" t="s">
        <v>757</v>
      </c>
      <c r="F222" s="1066" t="s">
        <v>348</v>
      </c>
      <c r="G222" s="1066" t="s">
        <v>421</v>
      </c>
      <c r="H222" s="1066" t="s">
        <v>750</v>
      </c>
      <c r="K222" s="1066" t="s">
        <v>15</v>
      </c>
    </row>
    <row r="223" spans="1:11" ht="15" customHeight="1">
      <c r="A223" s="1066" t="s">
        <v>758</v>
      </c>
      <c r="B223" s="1066" t="s">
        <v>759</v>
      </c>
      <c r="E223" s="1066" t="s">
        <v>759</v>
      </c>
      <c r="F223" s="1066" t="s">
        <v>760</v>
      </c>
      <c r="G223" s="1066" t="s">
        <v>421</v>
      </c>
      <c r="H223" s="1066" t="s">
        <v>750</v>
      </c>
      <c r="I223" s="1066" t="s">
        <v>19</v>
      </c>
      <c r="J223" s="1066" t="s">
        <v>389</v>
      </c>
      <c r="K223" s="1066" t="s">
        <v>15</v>
      </c>
    </row>
    <row r="224" spans="1:11" ht="15" customHeight="1">
      <c r="A224" s="1066" t="s">
        <v>761</v>
      </c>
      <c r="B224" s="1066" t="s">
        <v>762</v>
      </c>
      <c r="E224" s="1066" t="s">
        <v>762</v>
      </c>
      <c r="F224" s="1066" t="s">
        <v>763</v>
      </c>
      <c r="G224" s="1066" t="s">
        <v>421</v>
      </c>
      <c r="H224" s="1066" t="s">
        <v>750</v>
      </c>
      <c r="I224" s="1066" t="s">
        <v>19</v>
      </c>
      <c r="J224" s="1066" t="s">
        <v>389</v>
      </c>
      <c r="K224" s="1066" t="s">
        <v>15</v>
      </c>
    </row>
    <row r="225" spans="1:11" ht="15" customHeight="1">
      <c r="A225" s="1066" t="s">
        <v>764</v>
      </c>
      <c r="B225" s="1066" t="s">
        <v>391</v>
      </c>
      <c r="E225" s="1066" t="s">
        <v>765</v>
      </c>
      <c r="F225" s="1066" t="s">
        <v>369</v>
      </c>
      <c r="G225" s="1066" t="s">
        <v>421</v>
      </c>
      <c r="H225" s="1066" t="s">
        <v>750</v>
      </c>
      <c r="I225" s="1066" t="s">
        <v>19</v>
      </c>
      <c r="J225" s="1066" t="s">
        <v>389</v>
      </c>
      <c r="K225" s="1066" t="s">
        <v>15</v>
      </c>
    </row>
    <row r="226" spans="1:11" ht="15" customHeight="1">
      <c r="A226" s="1066" t="s">
        <v>766</v>
      </c>
      <c r="B226" s="1066" t="s">
        <v>394</v>
      </c>
      <c r="E226" s="1066" t="s">
        <v>767</v>
      </c>
      <c r="F226" s="1066" t="s">
        <v>373</v>
      </c>
      <c r="G226" s="1066" t="s">
        <v>421</v>
      </c>
      <c r="H226" s="1066" t="s">
        <v>750</v>
      </c>
      <c r="I226" s="1066" t="s">
        <v>19</v>
      </c>
      <c r="J226" s="1066" t="s">
        <v>389</v>
      </c>
      <c r="K226" s="1066" t="s">
        <v>15</v>
      </c>
    </row>
    <row r="227" spans="1:11" ht="15" customHeight="1">
      <c r="A227" s="1066" t="s">
        <v>768</v>
      </c>
      <c r="B227" s="1066" t="s">
        <v>769</v>
      </c>
      <c r="E227" s="1066" t="s">
        <v>769</v>
      </c>
      <c r="F227" s="1066" t="s">
        <v>770</v>
      </c>
      <c r="G227" s="1066" t="s">
        <v>421</v>
      </c>
      <c r="H227" s="1066" t="s">
        <v>750</v>
      </c>
      <c r="I227" s="1066" t="s">
        <v>19</v>
      </c>
      <c r="J227" s="1066" t="s">
        <v>362</v>
      </c>
      <c r="K227" s="1066" t="s">
        <v>15</v>
      </c>
    </row>
    <row r="228" spans="1:11" ht="15" customHeight="1">
      <c r="A228" s="1066" t="s">
        <v>771</v>
      </c>
      <c r="B228" s="1066" t="s">
        <v>391</v>
      </c>
      <c r="E228" s="1066" t="s">
        <v>772</v>
      </c>
      <c r="F228" s="1066" t="s">
        <v>369</v>
      </c>
      <c r="G228" s="1066" t="s">
        <v>421</v>
      </c>
      <c r="H228" s="1066" t="s">
        <v>750</v>
      </c>
      <c r="I228" s="1066" t="s">
        <v>19</v>
      </c>
      <c r="J228" s="1066" t="s">
        <v>362</v>
      </c>
      <c r="K228" s="1066" t="s">
        <v>15</v>
      </c>
    </row>
    <row r="229" spans="1:11" ht="15" customHeight="1">
      <c r="A229" s="1066" t="s">
        <v>773</v>
      </c>
      <c r="B229" s="1066" t="s">
        <v>394</v>
      </c>
      <c r="E229" s="1066" t="s">
        <v>774</v>
      </c>
      <c r="F229" s="1066" t="s">
        <v>373</v>
      </c>
      <c r="G229" s="1066" t="s">
        <v>421</v>
      </c>
      <c r="H229" s="1066" t="s">
        <v>750</v>
      </c>
      <c r="I229" s="1066" t="s">
        <v>19</v>
      </c>
      <c r="J229" s="1066" t="s">
        <v>362</v>
      </c>
      <c r="K229" s="1066" t="s">
        <v>15</v>
      </c>
    </row>
    <row r="230" spans="1:11" ht="15" customHeight="1">
      <c r="A230" s="1066" t="s">
        <v>775</v>
      </c>
      <c r="B230" s="1066" t="s">
        <v>776</v>
      </c>
      <c r="E230" s="1066" t="s">
        <v>776</v>
      </c>
      <c r="F230" s="1066" t="s">
        <v>777</v>
      </c>
      <c r="G230" s="1066" t="s">
        <v>421</v>
      </c>
      <c r="H230" s="1066" t="s">
        <v>750</v>
      </c>
      <c r="K230" s="1066" t="s">
        <v>15</v>
      </c>
    </row>
    <row r="231" spans="1:11" ht="15" customHeight="1">
      <c r="A231" s="1066" t="s">
        <v>778</v>
      </c>
      <c r="B231" s="1066" t="s">
        <v>779</v>
      </c>
      <c r="E231" s="1066" t="s">
        <v>779</v>
      </c>
      <c r="F231" s="1066" t="s">
        <v>780</v>
      </c>
      <c r="G231" s="1066" t="s">
        <v>421</v>
      </c>
      <c r="H231" s="1066" t="s">
        <v>750</v>
      </c>
      <c r="K231" s="1066" t="s">
        <v>15</v>
      </c>
    </row>
    <row r="232" spans="1:11" ht="15" customHeight="1">
      <c r="A232" s="1066" t="s">
        <v>781</v>
      </c>
      <c r="B232" s="1066" t="s">
        <v>782</v>
      </c>
      <c r="E232" s="1066" t="s">
        <v>783</v>
      </c>
      <c r="F232" s="1066" t="s">
        <v>784</v>
      </c>
      <c r="G232" s="1066" t="s">
        <v>421</v>
      </c>
      <c r="H232" s="1066" t="s">
        <v>750</v>
      </c>
      <c r="K232" s="1066" t="s">
        <v>15</v>
      </c>
    </row>
    <row r="233" spans="1:11" ht="15" customHeight="1">
      <c r="A233" s="1066" t="s">
        <v>785</v>
      </c>
      <c r="B233" s="1066" t="s">
        <v>786</v>
      </c>
      <c r="E233" s="1066" t="s">
        <v>787</v>
      </c>
      <c r="F233" s="1066" t="s">
        <v>788</v>
      </c>
      <c r="G233" s="1066" t="s">
        <v>421</v>
      </c>
      <c r="H233" s="1066" t="s">
        <v>750</v>
      </c>
      <c r="K233" s="1066" t="s">
        <v>15</v>
      </c>
    </row>
    <row r="234" spans="1:11" ht="15" customHeight="1">
      <c r="A234" s="1066" t="s">
        <v>789</v>
      </c>
      <c r="B234" s="1066" t="s">
        <v>790</v>
      </c>
      <c r="E234" s="1066" t="s">
        <v>791</v>
      </c>
      <c r="F234" s="1066" t="s">
        <v>792</v>
      </c>
      <c r="G234" s="1066" t="s">
        <v>421</v>
      </c>
      <c r="H234" s="1066" t="s">
        <v>750</v>
      </c>
      <c r="K234" s="1066" t="s">
        <v>15</v>
      </c>
    </row>
    <row r="235" spans="1:11" ht="15" customHeight="1">
      <c r="A235" s="1066" t="s">
        <v>793</v>
      </c>
      <c r="B235" s="1066" t="s">
        <v>794</v>
      </c>
      <c r="E235" s="1066" t="s">
        <v>795</v>
      </c>
      <c r="F235" s="1066" t="s">
        <v>796</v>
      </c>
      <c r="G235" s="1066" t="s">
        <v>421</v>
      </c>
      <c r="H235" s="1066" t="s">
        <v>750</v>
      </c>
      <c r="K235" s="1066" t="s">
        <v>15</v>
      </c>
    </row>
    <row r="236" spans="1:11" ht="15" customHeight="1">
      <c r="A236" s="1066" t="s">
        <v>797</v>
      </c>
      <c r="B236" s="1066" t="s">
        <v>798</v>
      </c>
      <c r="E236" s="1066" t="s">
        <v>799</v>
      </c>
      <c r="F236" s="1066" t="s">
        <v>800</v>
      </c>
      <c r="G236" s="1066" t="s">
        <v>421</v>
      </c>
      <c r="H236" s="1066" t="s">
        <v>750</v>
      </c>
      <c r="K236" s="1066" t="s">
        <v>15</v>
      </c>
    </row>
    <row r="237" spans="1:11" ht="15" customHeight="1">
      <c r="A237" s="1066" t="s">
        <v>801</v>
      </c>
      <c r="B237" s="1066" t="s">
        <v>802</v>
      </c>
      <c r="E237" s="1066" t="s">
        <v>803</v>
      </c>
      <c r="F237" s="1066" t="s">
        <v>804</v>
      </c>
      <c r="G237" s="1066" t="s">
        <v>421</v>
      </c>
      <c r="H237" s="1066" t="s">
        <v>750</v>
      </c>
      <c r="K237" s="1066" t="s">
        <v>15</v>
      </c>
    </row>
    <row r="238" spans="1:11" ht="15" customHeight="1">
      <c r="A238" s="1066" t="s">
        <v>805</v>
      </c>
      <c r="B238" s="1066" t="s">
        <v>806</v>
      </c>
      <c r="E238" s="1066" t="s">
        <v>807</v>
      </c>
      <c r="F238" s="1066" t="s">
        <v>808</v>
      </c>
      <c r="G238" s="1066" t="s">
        <v>421</v>
      </c>
      <c r="H238" s="1066" t="s">
        <v>750</v>
      </c>
      <c r="K238" s="1066" t="s">
        <v>15</v>
      </c>
    </row>
    <row r="239" spans="1:11" ht="15" customHeight="1">
      <c r="A239" s="1066" t="s">
        <v>809</v>
      </c>
      <c r="B239" s="1066" t="s">
        <v>810</v>
      </c>
      <c r="E239" s="1066" t="s">
        <v>811</v>
      </c>
      <c r="F239" s="1066" t="s">
        <v>812</v>
      </c>
      <c r="G239" s="1066" t="s">
        <v>421</v>
      </c>
      <c r="H239" s="1066" t="s">
        <v>750</v>
      </c>
      <c r="K239" s="1066" t="s">
        <v>15</v>
      </c>
    </row>
    <row r="240" spans="1:11" ht="15" customHeight="1">
      <c r="A240" s="1066" t="s">
        <v>813</v>
      </c>
      <c r="B240" s="1066" t="s">
        <v>814</v>
      </c>
      <c r="E240" s="1066" t="s">
        <v>815</v>
      </c>
      <c r="F240" s="1066" t="s">
        <v>816</v>
      </c>
      <c r="G240" s="1066" t="s">
        <v>421</v>
      </c>
      <c r="H240" s="1066" t="s">
        <v>750</v>
      </c>
      <c r="K240" s="1066" t="s">
        <v>15</v>
      </c>
    </row>
    <row r="241" spans="1:11" ht="15" customHeight="1">
      <c r="A241" s="1066" t="s">
        <v>817</v>
      </c>
      <c r="B241" s="1066" t="s">
        <v>818</v>
      </c>
      <c r="E241" s="1066" t="s">
        <v>819</v>
      </c>
      <c r="F241" s="1066" t="s">
        <v>820</v>
      </c>
      <c r="G241" s="1066" t="s">
        <v>421</v>
      </c>
      <c r="H241" s="1066" t="s">
        <v>750</v>
      </c>
      <c r="K241" s="1066" t="s">
        <v>15</v>
      </c>
    </row>
    <row r="242" spans="1:11" ht="15" customHeight="1">
      <c r="A242" s="1066" t="s">
        <v>821</v>
      </c>
      <c r="B242" s="1066" t="s">
        <v>822</v>
      </c>
      <c r="E242" s="1066" t="s">
        <v>823</v>
      </c>
      <c r="F242" s="1066" t="s">
        <v>824</v>
      </c>
      <c r="G242" s="1066" t="s">
        <v>421</v>
      </c>
      <c r="H242" s="1066" t="s">
        <v>750</v>
      </c>
      <c r="K242" s="1066" t="s">
        <v>15</v>
      </c>
    </row>
    <row r="243" spans="1:11" ht="15" customHeight="1">
      <c r="A243" s="1066" t="s">
        <v>825</v>
      </c>
      <c r="B243" s="1066" t="s">
        <v>826</v>
      </c>
      <c r="E243" s="1066" t="s">
        <v>827</v>
      </c>
      <c r="F243" s="1066" t="s">
        <v>828</v>
      </c>
      <c r="G243" s="1066" t="s">
        <v>421</v>
      </c>
      <c r="H243" s="1066" t="s">
        <v>750</v>
      </c>
      <c r="K243" s="1066" t="s">
        <v>15</v>
      </c>
    </row>
    <row r="244" spans="1:11" ht="15" customHeight="1">
      <c r="A244" s="1066" t="s">
        <v>829</v>
      </c>
      <c r="B244" s="1066" t="s">
        <v>830</v>
      </c>
      <c r="E244" s="1066" t="s">
        <v>831</v>
      </c>
      <c r="F244" s="1066" t="s">
        <v>832</v>
      </c>
      <c r="G244" s="1066" t="s">
        <v>421</v>
      </c>
      <c r="H244" s="1066" t="s">
        <v>750</v>
      </c>
      <c r="K244" s="1066" t="s">
        <v>15</v>
      </c>
    </row>
    <row r="245" spans="1:11" ht="15" customHeight="1">
      <c r="A245" s="1066" t="s">
        <v>833</v>
      </c>
      <c r="B245" s="1066" t="s">
        <v>834</v>
      </c>
      <c r="E245" s="1066" t="s">
        <v>834</v>
      </c>
      <c r="F245" s="1066" t="s">
        <v>835</v>
      </c>
      <c r="G245" s="1066" t="s">
        <v>421</v>
      </c>
      <c r="H245" s="1066" t="s">
        <v>750</v>
      </c>
      <c r="K245" s="1066" t="s">
        <v>15</v>
      </c>
    </row>
    <row r="246" spans="1:11" ht="15" customHeight="1">
      <c r="A246" s="1066" t="s">
        <v>836</v>
      </c>
      <c r="B246" s="1066" t="s">
        <v>837</v>
      </c>
      <c r="E246" s="1066" t="s">
        <v>838</v>
      </c>
      <c r="F246" s="1066" t="s">
        <v>839</v>
      </c>
      <c r="G246" s="1066" t="s">
        <v>421</v>
      </c>
      <c r="H246" s="1066" t="s">
        <v>750</v>
      </c>
      <c r="K246" s="1066" t="s">
        <v>15</v>
      </c>
    </row>
    <row r="247" spans="1:11" ht="15" customHeight="1">
      <c r="A247" s="1066" t="s">
        <v>840</v>
      </c>
      <c r="B247" s="1066" t="s">
        <v>841</v>
      </c>
      <c r="E247" s="1066" t="s">
        <v>842</v>
      </c>
      <c r="F247" s="1066" t="s">
        <v>843</v>
      </c>
      <c r="G247" s="1066" t="s">
        <v>421</v>
      </c>
      <c r="H247" s="1066" t="s">
        <v>750</v>
      </c>
      <c r="K247" s="1066" t="s">
        <v>15</v>
      </c>
    </row>
    <row r="248" spans="1:11" ht="15" customHeight="1">
      <c r="A248" s="1066" t="s">
        <v>844</v>
      </c>
      <c r="B248" s="1066" t="s">
        <v>845</v>
      </c>
      <c r="E248" s="1066" t="s">
        <v>846</v>
      </c>
      <c r="F248" s="1066" t="s">
        <v>847</v>
      </c>
      <c r="G248" s="1066" t="s">
        <v>421</v>
      </c>
      <c r="H248" s="1066" t="s">
        <v>750</v>
      </c>
      <c r="K248" s="1066" t="s">
        <v>15</v>
      </c>
    </row>
    <row r="249" spans="1:11" ht="15" customHeight="1">
      <c r="A249" s="1066" t="s">
        <v>848</v>
      </c>
      <c r="B249" s="1066" t="s">
        <v>849</v>
      </c>
      <c r="E249" s="1066" t="s">
        <v>850</v>
      </c>
      <c r="F249" s="1066" t="s">
        <v>851</v>
      </c>
      <c r="G249" s="1066" t="s">
        <v>421</v>
      </c>
      <c r="H249" s="1066" t="s">
        <v>750</v>
      </c>
      <c r="K249" s="1066" t="s">
        <v>15</v>
      </c>
    </row>
    <row r="250" spans="1:11" ht="15" customHeight="1">
      <c r="A250" s="1066" t="s">
        <v>852</v>
      </c>
      <c r="B250" s="1066" t="s">
        <v>853</v>
      </c>
      <c r="E250" s="1066" t="s">
        <v>854</v>
      </c>
      <c r="F250" s="1066" t="s">
        <v>855</v>
      </c>
      <c r="G250" s="1066" t="s">
        <v>421</v>
      </c>
      <c r="H250" s="1066" t="s">
        <v>750</v>
      </c>
      <c r="K250" s="1066" t="s">
        <v>15</v>
      </c>
    </row>
    <row r="251" spans="1:11" ht="15" customHeight="1">
      <c r="A251" s="1066" t="s">
        <v>856</v>
      </c>
      <c r="B251" s="1066" t="s">
        <v>857</v>
      </c>
      <c r="E251" s="1066" t="s">
        <v>858</v>
      </c>
      <c r="F251" s="1066" t="s">
        <v>859</v>
      </c>
      <c r="G251" s="1066" t="s">
        <v>421</v>
      </c>
      <c r="H251" s="1066" t="s">
        <v>750</v>
      </c>
      <c r="K251" s="1066" t="s">
        <v>15</v>
      </c>
    </row>
    <row r="252" spans="1:11" ht="15" customHeight="1">
      <c r="A252" s="1066" t="s">
        <v>860</v>
      </c>
      <c r="B252" s="1066" t="s">
        <v>861</v>
      </c>
      <c r="E252" s="1066" t="s">
        <v>862</v>
      </c>
      <c r="F252" s="1066" t="s">
        <v>863</v>
      </c>
      <c r="G252" s="1066" t="s">
        <v>421</v>
      </c>
      <c r="H252" s="1066" t="s">
        <v>750</v>
      </c>
      <c r="K252" s="1066" t="s">
        <v>15</v>
      </c>
    </row>
    <row r="253" spans="1:11" ht="15" customHeight="1">
      <c r="A253" s="1066" t="s">
        <v>864</v>
      </c>
      <c r="B253" s="1066" t="s">
        <v>865</v>
      </c>
      <c r="E253" s="1066" t="s">
        <v>866</v>
      </c>
      <c r="F253" s="1066" t="s">
        <v>867</v>
      </c>
      <c r="G253" s="1066" t="s">
        <v>421</v>
      </c>
      <c r="H253" s="1066" t="s">
        <v>750</v>
      </c>
      <c r="K253" s="1066" t="s">
        <v>15</v>
      </c>
    </row>
    <row r="254" spans="1:11" ht="15" customHeight="1">
      <c r="A254" s="1066" t="s">
        <v>868</v>
      </c>
      <c r="B254" s="1066" t="s">
        <v>869</v>
      </c>
      <c r="E254" s="1066" t="s">
        <v>870</v>
      </c>
      <c r="F254" s="1066" t="s">
        <v>871</v>
      </c>
      <c r="G254" s="1066" t="s">
        <v>421</v>
      </c>
      <c r="H254" s="1066" t="s">
        <v>750</v>
      </c>
      <c r="K254" s="1066" t="s">
        <v>15</v>
      </c>
    </row>
    <row r="255" spans="1:11" ht="15" customHeight="1">
      <c r="A255" s="1066" t="s">
        <v>872</v>
      </c>
      <c r="B255" s="1066" t="s">
        <v>873</v>
      </c>
      <c r="E255" s="1066" t="s">
        <v>874</v>
      </c>
      <c r="F255" s="1066" t="s">
        <v>875</v>
      </c>
      <c r="G255" s="1066" t="s">
        <v>421</v>
      </c>
      <c r="H255" s="1066" t="s">
        <v>750</v>
      </c>
      <c r="K255" s="1066" t="s">
        <v>15</v>
      </c>
    </row>
    <row r="256" spans="1:11" ht="15" customHeight="1">
      <c r="A256" s="1066" t="s">
        <v>876</v>
      </c>
      <c r="B256" s="1066" t="s">
        <v>877</v>
      </c>
      <c r="E256" s="1066" t="s">
        <v>878</v>
      </c>
      <c r="F256" s="1066" t="s">
        <v>879</v>
      </c>
      <c r="G256" s="1066" t="s">
        <v>421</v>
      </c>
      <c r="H256" s="1066" t="s">
        <v>750</v>
      </c>
      <c r="K256" s="1066" t="s">
        <v>15</v>
      </c>
    </row>
    <row r="257" spans="1:11" ht="15" customHeight="1">
      <c r="A257" s="1066" t="s">
        <v>880</v>
      </c>
      <c r="B257" s="1066" t="s">
        <v>881</v>
      </c>
      <c r="E257" s="1066" t="s">
        <v>882</v>
      </c>
      <c r="F257" s="1066" t="s">
        <v>883</v>
      </c>
      <c r="G257" s="1066" t="s">
        <v>421</v>
      </c>
      <c r="H257" s="1066" t="s">
        <v>750</v>
      </c>
      <c r="K257" s="1066" t="s">
        <v>15</v>
      </c>
    </row>
    <row r="258" spans="1:11" ht="15" customHeight="1">
      <c r="A258" s="1066" t="s">
        <v>884</v>
      </c>
      <c r="B258" s="1066" t="s">
        <v>885</v>
      </c>
      <c r="E258" s="1066" t="s">
        <v>886</v>
      </c>
      <c r="F258" s="1066" t="s">
        <v>887</v>
      </c>
      <c r="G258" s="1066" t="s">
        <v>421</v>
      </c>
      <c r="H258" s="1066" t="s">
        <v>750</v>
      </c>
      <c r="K258" s="1066" t="s">
        <v>15</v>
      </c>
    </row>
    <row r="259" spans="1:11" ht="15" customHeight="1">
      <c r="A259" s="1066" t="s">
        <v>888</v>
      </c>
      <c r="B259" s="1066" t="s">
        <v>889</v>
      </c>
      <c r="E259" s="1066" t="s">
        <v>890</v>
      </c>
      <c r="F259" s="1066" t="s">
        <v>891</v>
      </c>
      <c r="G259" s="1066" t="s">
        <v>421</v>
      </c>
      <c r="H259" s="1066" t="s">
        <v>750</v>
      </c>
      <c r="K259" s="1066" t="s">
        <v>15</v>
      </c>
    </row>
    <row r="260" spans="1:11" ht="15" customHeight="1">
      <c r="A260" s="1066" t="s">
        <v>892</v>
      </c>
      <c r="B260" s="1066" t="s">
        <v>893</v>
      </c>
      <c r="E260" s="1066" t="s">
        <v>894</v>
      </c>
      <c r="F260" s="1066" t="s">
        <v>895</v>
      </c>
      <c r="G260" s="1066" t="s">
        <v>421</v>
      </c>
      <c r="H260" s="1066" t="s">
        <v>750</v>
      </c>
      <c r="K260" s="1066" t="s">
        <v>15</v>
      </c>
    </row>
    <row r="261" spans="1:11" ht="15" customHeight="1">
      <c r="A261" s="1066" t="s">
        <v>896</v>
      </c>
      <c r="B261" s="1066" t="s">
        <v>897</v>
      </c>
      <c r="E261" s="1066" t="s">
        <v>898</v>
      </c>
      <c r="F261" s="1066" t="s">
        <v>899</v>
      </c>
      <c r="G261" s="1066" t="s">
        <v>421</v>
      </c>
      <c r="H261" s="1066" t="s">
        <v>750</v>
      </c>
      <c r="K261" s="1066" t="s">
        <v>15</v>
      </c>
    </row>
    <row r="262" spans="1:11" ht="15" customHeight="1">
      <c r="A262" s="1066" t="s">
        <v>900</v>
      </c>
      <c r="B262" s="1066" t="s">
        <v>901</v>
      </c>
      <c r="E262" s="1066" t="s">
        <v>902</v>
      </c>
      <c r="F262" s="1066" t="s">
        <v>903</v>
      </c>
      <c r="G262" s="1066" t="s">
        <v>421</v>
      </c>
      <c r="H262" s="1066" t="s">
        <v>750</v>
      </c>
      <c r="K262" s="1066" t="s">
        <v>15</v>
      </c>
    </row>
    <row r="263" spans="1:11" ht="15" customHeight="1">
      <c r="A263" s="1066" t="s">
        <v>904</v>
      </c>
      <c r="B263" s="1066" t="s">
        <v>905</v>
      </c>
      <c r="E263" s="1066" t="s">
        <v>906</v>
      </c>
      <c r="F263" s="1066" t="s">
        <v>907</v>
      </c>
      <c r="G263" s="1066" t="s">
        <v>421</v>
      </c>
      <c r="H263" s="1066" t="s">
        <v>750</v>
      </c>
      <c r="K263" s="1066" t="s">
        <v>15</v>
      </c>
    </row>
    <row r="264" spans="1:11" ht="15" customHeight="1">
      <c r="A264" s="1066" t="s">
        <v>908</v>
      </c>
      <c r="B264" s="1066" t="s">
        <v>909</v>
      </c>
      <c r="E264" s="1066" t="s">
        <v>910</v>
      </c>
      <c r="F264" s="1066" t="s">
        <v>911</v>
      </c>
      <c r="G264" s="1066" t="s">
        <v>421</v>
      </c>
      <c r="H264" s="1066" t="s">
        <v>750</v>
      </c>
      <c r="K264" s="1066" t="s">
        <v>15</v>
      </c>
    </row>
    <row r="265" spans="1:11" ht="15" customHeight="1">
      <c r="A265" s="1066" t="s">
        <v>912</v>
      </c>
      <c r="B265" s="1066" t="s">
        <v>913</v>
      </c>
      <c r="E265" s="1066" t="s">
        <v>914</v>
      </c>
      <c r="F265" s="1066" t="s">
        <v>915</v>
      </c>
      <c r="G265" s="1066" t="s">
        <v>421</v>
      </c>
      <c r="H265" s="1066" t="s">
        <v>750</v>
      </c>
      <c r="K265" s="1066" t="s">
        <v>15</v>
      </c>
    </row>
    <row r="266" spans="1:11" ht="15" customHeight="1">
      <c r="A266" s="1066" t="s">
        <v>916</v>
      </c>
      <c r="B266" s="1066" t="s">
        <v>917</v>
      </c>
      <c r="E266" s="1066" t="s">
        <v>918</v>
      </c>
      <c r="F266" s="1066" t="s">
        <v>919</v>
      </c>
      <c r="G266" s="1066" t="s">
        <v>421</v>
      </c>
      <c r="H266" s="1066" t="s">
        <v>750</v>
      </c>
      <c r="K266" s="1066" t="s">
        <v>15</v>
      </c>
    </row>
    <row r="267" spans="1:11" ht="15" customHeight="1">
      <c r="A267" s="1066" t="s">
        <v>920</v>
      </c>
      <c r="B267" s="1066" t="s">
        <v>921</v>
      </c>
      <c r="E267" s="1066" t="s">
        <v>922</v>
      </c>
      <c r="F267" s="1066" t="s">
        <v>923</v>
      </c>
      <c r="G267" s="1066" t="s">
        <v>421</v>
      </c>
      <c r="H267" s="1066" t="s">
        <v>750</v>
      </c>
      <c r="K267" s="1066" t="s">
        <v>15</v>
      </c>
    </row>
    <row r="268" spans="1:11" ht="15" customHeight="1">
      <c r="A268" s="1066" t="s">
        <v>924</v>
      </c>
      <c r="B268" s="1066" t="s">
        <v>925</v>
      </c>
      <c r="E268" s="1066" t="s">
        <v>926</v>
      </c>
      <c r="F268" s="1066" t="s">
        <v>927</v>
      </c>
      <c r="G268" s="1066" t="s">
        <v>421</v>
      </c>
      <c r="H268" s="1066" t="s">
        <v>750</v>
      </c>
      <c r="K268" s="1066" t="s">
        <v>15</v>
      </c>
    </row>
    <row r="269" spans="1:11" ht="15" customHeight="1">
      <c r="A269" s="1066" t="s">
        <v>928</v>
      </c>
      <c r="B269" s="1066" t="s">
        <v>929</v>
      </c>
      <c r="E269" s="1066" t="s">
        <v>930</v>
      </c>
      <c r="F269" s="1066" t="s">
        <v>931</v>
      </c>
      <c r="G269" s="1066" t="s">
        <v>421</v>
      </c>
      <c r="H269" s="1066" t="s">
        <v>750</v>
      </c>
      <c r="K269" s="1066" t="s">
        <v>15</v>
      </c>
    </row>
    <row r="270" spans="1:11" ht="15" customHeight="1">
      <c r="A270" s="1066" t="s">
        <v>932</v>
      </c>
      <c r="B270" s="1066" t="s">
        <v>933</v>
      </c>
      <c r="E270" s="1066" t="s">
        <v>934</v>
      </c>
      <c r="F270" s="1066" t="s">
        <v>935</v>
      </c>
      <c r="G270" s="1066" t="s">
        <v>421</v>
      </c>
      <c r="H270" s="1066" t="s">
        <v>750</v>
      </c>
      <c r="K270" s="1066" t="s">
        <v>15</v>
      </c>
    </row>
    <row r="271" spans="1:11" ht="15" customHeight="1">
      <c r="A271" s="1066" t="s">
        <v>936</v>
      </c>
      <c r="B271" s="1066" t="s">
        <v>937</v>
      </c>
      <c r="E271" s="1066" t="s">
        <v>938</v>
      </c>
      <c r="F271" s="1066" t="s">
        <v>939</v>
      </c>
      <c r="G271" s="1066" t="s">
        <v>421</v>
      </c>
      <c r="H271" s="1066" t="s">
        <v>750</v>
      </c>
      <c r="K271" s="1066" t="s">
        <v>15</v>
      </c>
    </row>
    <row r="272" spans="1:11" ht="15" customHeight="1">
      <c r="A272" s="1066" t="s">
        <v>940</v>
      </c>
      <c r="B272" s="1066" t="s">
        <v>941</v>
      </c>
      <c r="E272" s="1066" t="s">
        <v>942</v>
      </c>
      <c r="F272" s="1066" t="s">
        <v>943</v>
      </c>
      <c r="G272" s="1066" t="s">
        <v>421</v>
      </c>
      <c r="H272" s="1066" t="s">
        <v>750</v>
      </c>
      <c r="K272" s="1066" t="s">
        <v>15</v>
      </c>
    </row>
    <row r="273" spans="1:11" ht="15" customHeight="1">
      <c r="A273" s="1066" t="s">
        <v>944</v>
      </c>
      <c r="B273" s="1066" t="s">
        <v>945</v>
      </c>
      <c r="E273" s="1066" t="s">
        <v>946</v>
      </c>
      <c r="F273" s="1066" t="s">
        <v>947</v>
      </c>
      <c r="G273" s="1066" t="s">
        <v>421</v>
      </c>
      <c r="H273" s="1066" t="s">
        <v>750</v>
      </c>
      <c r="K273" s="1066" t="s">
        <v>15</v>
      </c>
    </row>
    <row r="274" spans="1:11" ht="15" customHeight="1">
      <c r="A274" s="1066" t="s">
        <v>948</v>
      </c>
      <c r="B274" s="1066" t="s">
        <v>949</v>
      </c>
      <c r="E274" s="1066" t="s">
        <v>950</v>
      </c>
      <c r="F274" s="1066" t="s">
        <v>951</v>
      </c>
      <c r="G274" s="1066" t="s">
        <v>421</v>
      </c>
      <c r="H274" s="1066" t="s">
        <v>750</v>
      </c>
      <c r="K274" s="1066" t="s">
        <v>15</v>
      </c>
    </row>
    <row r="275" spans="1:11" ht="15" customHeight="1">
      <c r="A275" s="1066" t="s">
        <v>952</v>
      </c>
      <c r="B275" s="1066" t="s">
        <v>953</v>
      </c>
      <c r="E275" s="1066" t="s">
        <v>954</v>
      </c>
      <c r="F275" s="1066" t="s">
        <v>955</v>
      </c>
      <c r="G275" s="1066" t="s">
        <v>421</v>
      </c>
      <c r="H275" s="1066" t="s">
        <v>750</v>
      </c>
      <c r="K275" s="1066" t="s">
        <v>15</v>
      </c>
    </row>
    <row r="276" spans="1:11" ht="15" customHeight="1">
      <c r="A276" s="1066" t="s">
        <v>956</v>
      </c>
      <c r="B276" s="1066" t="s">
        <v>957</v>
      </c>
      <c r="E276" s="1066" t="s">
        <v>958</v>
      </c>
      <c r="F276" s="1066" t="s">
        <v>959</v>
      </c>
      <c r="G276" s="1066" t="s">
        <v>421</v>
      </c>
      <c r="H276" s="1066" t="s">
        <v>750</v>
      </c>
      <c r="K276" s="1066" t="s">
        <v>15</v>
      </c>
    </row>
    <row r="277" spans="1:11" ht="15" customHeight="1">
      <c r="A277" s="1066" t="s">
        <v>960</v>
      </c>
      <c r="B277" s="1066" t="s">
        <v>961</v>
      </c>
      <c r="E277" s="1066" t="s">
        <v>962</v>
      </c>
      <c r="F277" s="1066" t="s">
        <v>963</v>
      </c>
      <c r="G277" s="1066" t="s">
        <v>421</v>
      </c>
      <c r="H277" s="1066" t="s">
        <v>750</v>
      </c>
      <c r="K277" s="1066" t="s">
        <v>15</v>
      </c>
    </row>
    <row r="278" spans="1:11" ht="15" customHeight="1">
      <c r="A278" s="1066" t="s">
        <v>964</v>
      </c>
      <c r="B278" s="1066" t="s">
        <v>965</v>
      </c>
      <c r="E278" s="1066" t="s">
        <v>965</v>
      </c>
      <c r="F278" s="1066" t="s">
        <v>966</v>
      </c>
      <c r="G278" s="1066" t="s">
        <v>421</v>
      </c>
      <c r="H278" s="1066" t="s">
        <v>750</v>
      </c>
      <c r="I278" s="1066" t="s">
        <v>19</v>
      </c>
      <c r="J278" s="1066" t="s">
        <v>399</v>
      </c>
      <c r="K278" s="1066" t="s">
        <v>15</v>
      </c>
    </row>
    <row r="279" spans="1:11" ht="15" customHeight="1">
      <c r="A279" s="1066" t="s">
        <v>967</v>
      </c>
      <c r="B279" s="1066" t="s">
        <v>968</v>
      </c>
      <c r="E279" s="1066" t="s">
        <v>968</v>
      </c>
      <c r="F279" s="1066" t="s">
        <v>969</v>
      </c>
      <c r="G279" s="1066" t="s">
        <v>421</v>
      </c>
      <c r="H279" s="1066" t="s">
        <v>750</v>
      </c>
      <c r="I279" s="1066" t="s">
        <v>19</v>
      </c>
      <c r="J279" s="1066" t="s">
        <v>399</v>
      </c>
      <c r="K279" s="1066" t="s">
        <v>15</v>
      </c>
    </row>
    <row r="280" spans="1:11" ht="15" customHeight="1">
      <c r="A280" s="1066" t="s">
        <v>970</v>
      </c>
      <c r="B280" s="1066" t="s">
        <v>971</v>
      </c>
      <c r="E280" s="1066" t="s">
        <v>971</v>
      </c>
      <c r="F280" s="1066" t="s">
        <v>972</v>
      </c>
      <c r="G280" s="1066" t="s">
        <v>421</v>
      </c>
      <c r="H280" s="1066" t="s">
        <v>750</v>
      </c>
      <c r="I280" s="1066" t="s">
        <v>19</v>
      </c>
      <c r="J280" s="1066" t="s">
        <v>389</v>
      </c>
      <c r="K280" s="1066" t="s">
        <v>15</v>
      </c>
    </row>
    <row r="281" spans="1:11" ht="15" customHeight="1">
      <c r="A281" s="1066" t="s">
        <v>973</v>
      </c>
      <c r="B281" s="1066" t="s">
        <v>391</v>
      </c>
      <c r="E281" s="1066" t="s">
        <v>974</v>
      </c>
      <c r="F281" s="1066" t="s">
        <v>369</v>
      </c>
      <c r="G281" s="1066" t="s">
        <v>421</v>
      </c>
      <c r="H281" s="1066" t="s">
        <v>750</v>
      </c>
      <c r="I281" s="1066" t="s">
        <v>19</v>
      </c>
      <c r="J281" s="1066" t="s">
        <v>389</v>
      </c>
      <c r="K281" s="1066" t="s">
        <v>15</v>
      </c>
    </row>
    <row r="282" spans="1:11" ht="15" customHeight="1">
      <c r="A282" s="1066" t="s">
        <v>975</v>
      </c>
      <c r="B282" s="1066" t="s">
        <v>394</v>
      </c>
      <c r="E282" s="1066" t="s">
        <v>976</v>
      </c>
      <c r="F282" s="1066" t="s">
        <v>373</v>
      </c>
      <c r="G282" s="1066" t="s">
        <v>421</v>
      </c>
      <c r="H282" s="1066" t="s">
        <v>750</v>
      </c>
      <c r="I282" s="1066" t="s">
        <v>19</v>
      </c>
      <c r="J282" s="1066" t="s">
        <v>389</v>
      </c>
      <c r="K282" s="1066" t="s">
        <v>15</v>
      </c>
    </row>
    <row r="283" spans="1:11" ht="15" customHeight="1">
      <c r="A283" s="1066" t="s">
        <v>977</v>
      </c>
      <c r="B283" s="1066" t="s">
        <v>978</v>
      </c>
      <c r="E283" s="1066" t="s">
        <v>978</v>
      </c>
      <c r="F283" s="1066" t="s">
        <v>979</v>
      </c>
      <c r="G283" s="1066" t="s">
        <v>421</v>
      </c>
      <c r="H283" s="1066" t="s">
        <v>750</v>
      </c>
      <c r="K283" s="1066" t="s">
        <v>15</v>
      </c>
    </row>
    <row r="284" spans="1:11" ht="15" customHeight="1">
      <c r="A284" s="1066" t="s">
        <v>980</v>
      </c>
      <c r="B284" s="1066" t="s">
        <v>981</v>
      </c>
      <c r="E284" s="1066" t="s">
        <v>981</v>
      </c>
      <c r="F284" s="1066" t="s">
        <v>982</v>
      </c>
      <c r="G284" s="1066" t="s">
        <v>421</v>
      </c>
      <c r="H284" s="1066" t="s">
        <v>750</v>
      </c>
      <c r="K284" s="1066" t="s">
        <v>15</v>
      </c>
    </row>
    <row r="285" spans="1:11" ht="15" customHeight="1">
      <c r="A285" s="1066" t="s">
        <v>983</v>
      </c>
      <c r="B285" s="1066" t="s">
        <v>984</v>
      </c>
      <c r="E285" s="1066" t="s">
        <v>984</v>
      </c>
      <c r="F285" s="1066" t="s">
        <v>985</v>
      </c>
      <c r="G285" s="1066" t="s">
        <v>421</v>
      </c>
      <c r="H285" s="1066" t="s">
        <v>750</v>
      </c>
      <c r="K285" s="1066" t="s">
        <v>15</v>
      </c>
    </row>
    <row r="286" spans="1:11" ht="15" customHeight="1">
      <c r="A286" s="1066" t="s">
        <v>986</v>
      </c>
      <c r="B286" s="1066" t="s">
        <v>987</v>
      </c>
      <c r="E286" s="1066" t="s">
        <v>987</v>
      </c>
      <c r="F286" s="1066" t="s">
        <v>988</v>
      </c>
      <c r="G286" s="1066" t="s">
        <v>421</v>
      </c>
      <c r="H286" s="1066" t="s">
        <v>989</v>
      </c>
      <c r="K286" s="1066" t="s">
        <v>15</v>
      </c>
    </row>
    <row r="287" spans="1:11" ht="15" customHeight="1">
      <c r="A287" s="1066" t="s">
        <v>990</v>
      </c>
      <c r="B287" s="1066" t="s">
        <v>991</v>
      </c>
      <c r="E287" s="1066" t="s">
        <v>992</v>
      </c>
      <c r="F287" s="1066" t="s">
        <v>993</v>
      </c>
      <c r="G287" s="1066" t="s">
        <v>421</v>
      </c>
      <c r="H287" s="1066" t="s">
        <v>989</v>
      </c>
      <c r="J287" s="1066" t="s">
        <v>399</v>
      </c>
      <c r="K287" s="1066" t="s">
        <v>15</v>
      </c>
    </row>
    <row r="288" spans="1:11" ht="15" customHeight="1">
      <c r="A288" s="1066" t="s">
        <v>994</v>
      </c>
      <c r="B288" s="1066" t="s">
        <v>995</v>
      </c>
      <c r="E288" s="1066" t="s">
        <v>995</v>
      </c>
      <c r="F288" s="1066" t="s">
        <v>996</v>
      </c>
      <c r="G288" s="1066" t="s">
        <v>421</v>
      </c>
      <c r="H288" s="1066" t="s">
        <v>989</v>
      </c>
      <c r="K288" s="1066" t="s">
        <v>15</v>
      </c>
    </row>
    <row r="289" spans="1:11" ht="15" customHeight="1">
      <c r="A289" s="1066" t="s">
        <v>997</v>
      </c>
      <c r="B289" s="1066" t="s">
        <v>998</v>
      </c>
      <c r="E289" s="1066" t="s">
        <v>998</v>
      </c>
      <c r="F289" s="1066" t="s">
        <v>999</v>
      </c>
      <c r="G289" s="1066" t="s">
        <v>421</v>
      </c>
      <c r="H289" s="1066" t="s">
        <v>989</v>
      </c>
      <c r="K289" s="1066" t="s">
        <v>15</v>
      </c>
    </row>
    <row r="290" spans="1:11" ht="15" customHeight="1">
      <c r="A290" s="1066" t="s">
        <v>1000</v>
      </c>
      <c r="B290" s="1066" t="s">
        <v>1001</v>
      </c>
      <c r="E290" s="1066" t="s">
        <v>1002</v>
      </c>
      <c r="F290" s="1066" t="s">
        <v>1003</v>
      </c>
      <c r="G290" s="1066" t="s">
        <v>421</v>
      </c>
      <c r="H290" s="1066" t="s">
        <v>989</v>
      </c>
      <c r="K290" s="1066" t="s">
        <v>15</v>
      </c>
    </row>
    <row r="291" spans="1:11" ht="15" customHeight="1">
      <c r="A291" s="1066" t="s">
        <v>1004</v>
      </c>
      <c r="B291" s="1066" t="s">
        <v>1005</v>
      </c>
      <c r="E291" s="1066" t="s">
        <v>1006</v>
      </c>
      <c r="F291" s="1066" t="s">
        <v>1007</v>
      </c>
      <c r="G291" s="1066" t="s">
        <v>421</v>
      </c>
      <c r="H291" s="1066" t="s">
        <v>989</v>
      </c>
      <c r="K291" s="1066" t="s">
        <v>15</v>
      </c>
    </row>
    <row r="292" spans="1:11" ht="15" customHeight="1">
      <c r="A292" s="1066" t="s">
        <v>1008</v>
      </c>
      <c r="B292" s="1066" t="s">
        <v>1009</v>
      </c>
      <c r="E292" s="1066" t="s">
        <v>1010</v>
      </c>
      <c r="F292" s="1066" t="s">
        <v>1011</v>
      </c>
      <c r="G292" s="1066" t="s">
        <v>421</v>
      </c>
      <c r="H292" s="1066" t="s">
        <v>989</v>
      </c>
      <c r="K292" s="1066" t="s">
        <v>15</v>
      </c>
    </row>
    <row r="293" spans="1:11" ht="15" customHeight="1">
      <c r="A293" s="1066" t="s">
        <v>1012</v>
      </c>
      <c r="B293" s="1066" t="s">
        <v>1013</v>
      </c>
      <c r="E293" s="1066" t="s">
        <v>1013</v>
      </c>
      <c r="F293" s="1066" t="s">
        <v>1014</v>
      </c>
      <c r="G293" s="1066" t="s">
        <v>421</v>
      </c>
      <c r="H293" s="1066" t="s">
        <v>989</v>
      </c>
      <c r="K293" s="1066" t="s">
        <v>15</v>
      </c>
    </row>
    <row r="294" spans="1:11" ht="15" customHeight="1">
      <c r="A294" s="1066" t="s">
        <v>1015</v>
      </c>
      <c r="B294" s="1066" t="s">
        <v>1016</v>
      </c>
      <c r="E294" s="1066" t="s">
        <v>1017</v>
      </c>
      <c r="F294" s="1066" t="s">
        <v>1018</v>
      </c>
      <c r="G294" s="1066" t="s">
        <v>421</v>
      </c>
      <c r="H294" s="1066" t="s">
        <v>989</v>
      </c>
      <c r="K294" s="1066" t="s">
        <v>15</v>
      </c>
    </row>
    <row r="295" spans="1:11" ht="15" customHeight="1">
      <c r="A295" s="1066" t="s">
        <v>1019</v>
      </c>
      <c r="B295" s="1066" t="s">
        <v>1020</v>
      </c>
      <c r="E295" s="1066" t="s">
        <v>1021</v>
      </c>
      <c r="F295" s="1066" t="s">
        <v>1022</v>
      </c>
      <c r="G295" s="1066" t="s">
        <v>421</v>
      </c>
      <c r="H295" s="1066" t="s">
        <v>989</v>
      </c>
      <c r="K295" s="1066" t="s">
        <v>15</v>
      </c>
    </row>
    <row r="296" spans="1:11" ht="15" customHeight="1">
      <c r="A296" s="1066" t="s">
        <v>1023</v>
      </c>
      <c r="B296" s="1066" t="s">
        <v>1024</v>
      </c>
      <c r="E296" s="1066" t="s">
        <v>1025</v>
      </c>
      <c r="F296" s="1066" t="s">
        <v>1026</v>
      </c>
      <c r="G296" s="1066" t="s">
        <v>421</v>
      </c>
      <c r="H296" s="1066" t="s">
        <v>989</v>
      </c>
      <c r="K296" s="1066" t="s">
        <v>15</v>
      </c>
    </row>
    <row r="297" spans="1:11" ht="15" customHeight="1">
      <c r="A297" s="1066" t="s">
        <v>1027</v>
      </c>
      <c r="B297" s="1066" t="s">
        <v>1028</v>
      </c>
      <c r="E297" s="1066" t="s">
        <v>1028</v>
      </c>
      <c r="F297" s="1066" t="s">
        <v>1029</v>
      </c>
      <c r="G297" s="1066" t="s">
        <v>421</v>
      </c>
      <c r="H297" s="1066" t="s">
        <v>989</v>
      </c>
      <c r="K297" s="1066" t="s">
        <v>15</v>
      </c>
    </row>
    <row r="298" spans="1:11" ht="15" customHeight="1">
      <c r="A298" s="1066" t="s">
        <v>1030</v>
      </c>
      <c r="B298" s="1066" t="s">
        <v>1031</v>
      </c>
      <c r="E298" s="1066" t="s">
        <v>1032</v>
      </c>
      <c r="F298" s="1066" t="s">
        <v>1033</v>
      </c>
      <c r="G298" s="1066" t="s">
        <v>421</v>
      </c>
      <c r="H298" s="1066" t="s">
        <v>989</v>
      </c>
      <c r="K298" s="1066" t="s">
        <v>15</v>
      </c>
    </row>
    <row r="299" spans="1:11" ht="15" customHeight="1">
      <c r="A299" s="1066" t="s">
        <v>1034</v>
      </c>
      <c r="B299" s="1066" t="s">
        <v>655</v>
      </c>
      <c r="E299" s="1066" t="s">
        <v>1035</v>
      </c>
      <c r="F299" s="1066" t="s">
        <v>657</v>
      </c>
      <c r="G299" s="1066" t="s">
        <v>421</v>
      </c>
      <c r="H299" s="1066" t="s">
        <v>989</v>
      </c>
      <c r="K299" s="1066" t="s">
        <v>15</v>
      </c>
    </row>
    <row r="300" spans="1:11" ht="15" customHeight="1">
      <c r="A300" s="1066" t="s">
        <v>1036</v>
      </c>
      <c r="B300" s="1066" t="s">
        <v>659</v>
      </c>
      <c r="E300" s="1066" t="s">
        <v>1037</v>
      </c>
      <c r="F300" s="1066" t="s">
        <v>661</v>
      </c>
      <c r="G300" s="1066" t="s">
        <v>421</v>
      </c>
      <c r="H300" s="1066" t="s">
        <v>989</v>
      </c>
      <c r="K300" s="1066" t="s">
        <v>15</v>
      </c>
    </row>
    <row r="301" spans="1:11" ht="15" customHeight="1">
      <c r="A301" s="1066" t="s">
        <v>1038</v>
      </c>
      <c r="B301" s="1066" t="s">
        <v>663</v>
      </c>
      <c r="E301" s="1066" t="s">
        <v>1039</v>
      </c>
      <c r="F301" s="1066" t="s">
        <v>665</v>
      </c>
      <c r="G301" s="1066" t="s">
        <v>421</v>
      </c>
      <c r="H301" s="1066" t="s">
        <v>989</v>
      </c>
      <c r="K301" s="1066" t="s">
        <v>15</v>
      </c>
    </row>
    <row r="302" spans="1:11" ht="15" customHeight="1">
      <c r="A302" s="1066" t="s">
        <v>1040</v>
      </c>
      <c r="B302" s="1066" t="s">
        <v>667</v>
      </c>
      <c r="E302" s="1066" t="s">
        <v>1041</v>
      </c>
      <c r="F302" s="1066" t="s">
        <v>669</v>
      </c>
      <c r="G302" s="1066" t="s">
        <v>421</v>
      </c>
      <c r="H302" s="1066" t="s">
        <v>989</v>
      </c>
      <c r="K302" s="1066" t="s">
        <v>15</v>
      </c>
    </row>
    <row r="303" spans="1:11" ht="15" customHeight="1">
      <c r="A303" s="1066" t="s">
        <v>1042</v>
      </c>
      <c r="B303" s="1066" t="s">
        <v>671</v>
      </c>
      <c r="E303" s="1066" t="s">
        <v>1043</v>
      </c>
      <c r="F303" s="1066" t="s">
        <v>673</v>
      </c>
      <c r="G303" s="1066" t="s">
        <v>421</v>
      </c>
      <c r="H303" s="1066" t="s">
        <v>989</v>
      </c>
      <c r="K303" s="1066" t="s">
        <v>15</v>
      </c>
    </row>
    <row r="304" spans="1:11" ht="15" customHeight="1">
      <c r="A304" s="1066" t="s">
        <v>1044</v>
      </c>
      <c r="B304" s="1066" t="s">
        <v>675</v>
      </c>
      <c r="E304" s="1066" t="s">
        <v>1045</v>
      </c>
      <c r="F304" s="1066" t="s">
        <v>677</v>
      </c>
      <c r="G304" s="1066" t="s">
        <v>421</v>
      </c>
      <c r="H304" s="1066" t="s">
        <v>989</v>
      </c>
      <c r="K304" s="1066" t="s">
        <v>15</v>
      </c>
    </row>
    <row r="305" spans="1:11" ht="15" customHeight="1">
      <c r="A305" s="1066" t="s">
        <v>1046</v>
      </c>
      <c r="B305" s="1066" t="s">
        <v>679</v>
      </c>
      <c r="E305" s="1066" t="s">
        <v>1047</v>
      </c>
      <c r="F305" s="1066" t="s">
        <v>681</v>
      </c>
      <c r="G305" s="1066" t="s">
        <v>421</v>
      </c>
      <c r="H305" s="1066" t="s">
        <v>989</v>
      </c>
      <c r="K305" s="1066" t="s">
        <v>15</v>
      </c>
    </row>
    <row r="306" spans="1:11" ht="15" customHeight="1">
      <c r="A306" s="1066" t="s">
        <v>1048</v>
      </c>
      <c r="B306" s="1066" t="s">
        <v>1049</v>
      </c>
      <c r="E306" s="1066" t="s">
        <v>1050</v>
      </c>
      <c r="F306" s="1066" t="s">
        <v>1051</v>
      </c>
      <c r="G306" s="1066" t="s">
        <v>421</v>
      </c>
      <c r="H306" s="1066" t="s">
        <v>989</v>
      </c>
      <c r="K306" s="1066" t="s">
        <v>15</v>
      </c>
    </row>
    <row r="307" spans="1:11" ht="15" customHeight="1">
      <c r="A307" s="1066" t="s">
        <v>1052</v>
      </c>
      <c r="B307" s="1066" t="s">
        <v>655</v>
      </c>
      <c r="E307" s="1066" t="s">
        <v>1053</v>
      </c>
      <c r="F307" s="1066" t="s">
        <v>657</v>
      </c>
      <c r="G307" s="1066" t="s">
        <v>421</v>
      </c>
      <c r="H307" s="1066" t="s">
        <v>989</v>
      </c>
      <c r="K307" s="1066" t="s">
        <v>15</v>
      </c>
    </row>
    <row r="308" spans="1:11" ht="15" customHeight="1">
      <c r="A308" s="1066" t="s">
        <v>1054</v>
      </c>
      <c r="B308" s="1066" t="s">
        <v>659</v>
      </c>
      <c r="E308" s="1066" t="s">
        <v>1055</v>
      </c>
      <c r="F308" s="1066" t="s">
        <v>661</v>
      </c>
      <c r="G308" s="1066" t="s">
        <v>421</v>
      </c>
      <c r="H308" s="1066" t="s">
        <v>989</v>
      </c>
      <c r="K308" s="1066" t="s">
        <v>15</v>
      </c>
    </row>
    <row r="309" spans="1:11" ht="15" customHeight="1">
      <c r="A309" s="1066" t="s">
        <v>1056</v>
      </c>
      <c r="B309" s="1066" t="s">
        <v>663</v>
      </c>
      <c r="E309" s="1066" t="s">
        <v>1057</v>
      </c>
      <c r="F309" s="1066" t="s">
        <v>665</v>
      </c>
      <c r="G309" s="1066" t="s">
        <v>421</v>
      </c>
      <c r="H309" s="1066" t="s">
        <v>989</v>
      </c>
      <c r="K309" s="1066" t="s">
        <v>15</v>
      </c>
    </row>
    <row r="310" spans="1:11" ht="15" customHeight="1">
      <c r="A310" s="1066" t="s">
        <v>1058</v>
      </c>
      <c r="B310" s="1066" t="s">
        <v>667</v>
      </c>
      <c r="E310" s="1066" t="s">
        <v>1059</v>
      </c>
      <c r="F310" s="1066" t="s">
        <v>669</v>
      </c>
      <c r="G310" s="1066" t="s">
        <v>421</v>
      </c>
      <c r="H310" s="1066" t="s">
        <v>989</v>
      </c>
      <c r="K310" s="1066" t="s">
        <v>15</v>
      </c>
    </row>
    <row r="311" spans="1:11" ht="15" customHeight="1">
      <c r="A311" s="1066" t="s">
        <v>1060</v>
      </c>
      <c r="B311" s="1066" t="s">
        <v>671</v>
      </c>
      <c r="E311" s="1066" t="s">
        <v>1061</v>
      </c>
      <c r="F311" s="1066" t="s">
        <v>673</v>
      </c>
      <c r="G311" s="1066" t="s">
        <v>421</v>
      </c>
      <c r="H311" s="1066" t="s">
        <v>989</v>
      </c>
      <c r="K311" s="1066" t="s">
        <v>15</v>
      </c>
    </row>
    <row r="312" spans="1:11" ht="15" customHeight="1">
      <c r="A312" s="1066" t="s">
        <v>1062</v>
      </c>
      <c r="B312" s="1066" t="s">
        <v>675</v>
      </c>
      <c r="E312" s="1066" t="s">
        <v>1063</v>
      </c>
      <c r="F312" s="1066" t="s">
        <v>677</v>
      </c>
      <c r="G312" s="1066" t="s">
        <v>421</v>
      </c>
      <c r="H312" s="1066" t="s">
        <v>989</v>
      </c>
      <c r="K312" s="1066" t="s">
        <v>15</v>
      </c>
    </row>
    <row r="313" spans="1:11" ht="15" customHeight="1">
      <c r="A313" s="1066" t="s">
        <v>1064</v>
      </c>
      <c r="B313" s="1066" t="s">
        <v>679</v>
      </c>
      <c r="E313" s="1066" t="s">
        <v>1065</v>
      </c>
      <c r="F313" s="1066" t="s">
        <v>681</v>
      </c>
      <c r="G313" s="1066" t="s">
        <v>421</v>
      </c>
      <c r="H313" s="1066" t="s">
        <v>989</v>
      </c>
      <c r="K313" s="1066" t="s">
        <v>15</v>
      </c>
    </row>
    <row r="314" spans="1:11" ht="15" customHeight="1">
      <c r="A314" s="1066" t="s">
        <v>1066</v>
      </c>
      <c r="B314" s="1066" t="s">
        <v>1009</v>
      </c>
      <c r="E314" s="1066" t="s">
        <v>1067</v>
      </c>
      <c r="F314" s="1066" t="s">
        <v>1068</v>
      </c>
      <c r="G314" s="1066" t="s">
        <v>421</v>
      </c>
      <c r="H314" s="1066" t="s">
        <v>989</v>
      </c>
      <c r="K314" s="1066" t="s">
        <v>15</v>
      </c>
    </row>
    <row r="315" spans="1:11" ht="15" customHeight="1">
      <c r="A315" s="1066" t="s">
        <v>1069</v>
      </c>
      <c r="B315" s="1066" t="s">
        <v>1070</v>
      </c>
      <c r="E315" s="1066" t="s">
        <v>1070</v>
      </c>
      <c r="F315" s="1066" t="s">
        <v>1071</v>
      </c>
      <c r="G315" s="1066" t="s">
        <v>421</v>
      </c>
      <c r="H315" s="1066" t="s">
        <v>989</v>
      </c>
      <c r="K315" s="1066" t="s">
        <v>15</v>
      </c>
    </row>
    <row r="316" spans="1:11" ht="15" customHeight="1">
      <c r="A316" s="1066" t="s">
        <v>1072</v>
      </c>
      <c r="B316" s="1066" t="s">
        <v>1073</v>
      </c>
      <c r="E316" s="1066" t="s">
        <v>1073</v>
      </c>
      <c r="F316" s="1066" t="s">
        <v>1074</v>
      </c>
      <c r="G316" s="1066" t="s">
        <v>421</v>
      </c>
      <c r="H316" s="1066" t="s">
        <v>989</v>
      </c>
      <c r="K316" s="1066" t="s">
        <v>15</v>
      </c>
    </row>
    <row r="317" spans="1:11" ht="15" customHeight="1">
      <c r="A317" s="1066" t="s">
        <v>1075</v>
      </c>
      <c r="B317" s="1066" t="s">
        <v>1001</v>
      </c>
      <c r="E317" s="1066" t="s">
        <v>1076</v>
      </c>
      <c r="F317" s="1066" t="s">
        <v>1077</v>
      </c>
      <c r="G317" s="1066" t="s">
        <v>421</v>
      </c>
      <c r="H317" s="1066" t="s">
        <v>989</v>
      </c>
      <c r="K317" s="1066" t="s">
        <v>15</v>
      </c>
    </row>
    <row r="318" spans="1:11" ht="15" customHeight="1">
      <c r="A318" s="1066" t="s">
        <v>1078</v>
      </c>
      <c r="B318" s="1066" t="s">
        <v>1079</v>
      </c>
      <c r="E318" s="1066" t="s">
        <v>1080</v>
      </c>
      <c r="F318" s="1066" t="s">
        <v>1081</v>
      </c>
      <c r="G318" s="1066" t="s">
        <v>421</v>
      </c>
      <c r="H318" s="1066" t="s">
        <v>989</v>
      </c>
      <c r="K318" s="1066" t="s">
        <v>15</v>
      </c>
    </row>
    <row r="319" spans="1:11" ht="15" customHeight="1">
      <c r="A319" s="1066" t="s">
        <v>1082</v>
      </c>
      <c r="B319" s="1066" t="s">
        <v>1005</v>
      </c>
      <c r="E319" s="1066" t="s">
        <v>1083</v>
      </c>
      <c r="F319" s="1066" t="s">
        <v>1084</v>
      </c>
      <c r="G319" s="1066" t="s">
        <v>421</v>
      </c>
      <c r="H319" s="1066" t="s">
        <v>989</v>
      </c>
      <c r="K319" s="1066" t="s">
        <v>15</v>
      </c>
    </row>
    <row r="320" spans="1:11" ht="15" customHeight="1">
      <c r="A320" s="1066" t="s">
        <v>1085</v>
      </c>
      <c r="B320" s="1066" t="s">
        <v>1086</v>
      </c>
      <c r="E320" s="1066" t="s">
        <v>1087</v>
      </c>
      <c r="F320" s="1066" t="s">
        <v>1011</v>
      </c>
      <c r="G320" s="1066" t="s">
        <v>421</v>
      </c>
      <c r="H320" s="1066" t="s">
        <v>989</v>
      </c>
      <c r="K320" s="1066" t="s">
        <v>15</v>
      </c>
    </row>
    <row r="321" spans="1:11" ht="15" customHeight="1">
      <c r="A321" s="1066" t="s">
        <v>1088</v>
      </c>
      <c r="B321" s="1066" t="s">
        <v>1049</v>
      </c>
      <c r="E321" s="1066" t="s">
        <v>1049</v>
      </c>
      <c r="F321" s="1066" t="s">
        <v>1089</v>
      </c>
      <c r="G321" s="1066" t="s">
        <v>13</v>
      </c>
      <c r="H321" s="1066" t="s">
        <v>989</v>
      </c>
      <c r="K321" s="1066" t="s">
        <v>15</v>
      </c>
    </row>
    <row r="322" spans="1:11" ht="15" customHeight="1">
      <c r="A322" s="1066" t="s">
        <v>1090</v>
      </c>
      <c r="B322" s="1066" t="s">
        <v>1091</v>
      </c>
      <c r="E322" s="1066" t="s">
        <v>1091</v>
      </c>
      <c r="F322" s="1066" t="s">
        <v>1092</v>
      </c>
      <c r="G322" s="1066" t="s">
        <v>421</v>
      </c>
      <c r="H322" s="1066" t="s">
        <v>989</v>
      </c>
      <c r="K322" s="1066" t="s">
        <v>15</v>
      </c>
    </row>
    <row r="323" spans="1:11" ht="15" customHeight="1">
      <c r="A323" s="1066" t="s">
        <v>1093</v>
      </c>
      <c r="B323" s="1066" t="s">
        <v>1094</v>
      </c>
      <c r="E323" s="1066" t="s">
        <v>1094</v>
      </c>
      <c r="F323" s="1066" t="s">
        <v>1095</v>
      </c>
      <c r="G323" s="1066" t="s">
        <v>421</v>
      </c>
      <c r="H323" s="1066" t="s">
        <v>989</v>
      </c>
      <c r="K323" s="1066" t="s">
        <v>15</v>
      </c>
    </row>
    <row r="324" spans="1:11" ht="15" customHeight="1">
      <c r="A324" s="1066" t="s">
        <v>1096</v>
      </c>
      <c r="B324" s="1066" t="s">
        <v>1097</v>
      </c>
      <c r="E324" s="1066" t="s">
        <v>1097</v>
      </c>
      <c r="F324" s="1066" t="s">
        <v>1098</v>
      </c>
      <c r="G324" s="1066" t="s">
        <v>421</v>
      </c>
      <c r="H324" s="1066" t="s">
        <v>989</v>
      </c>
      <c r="K324" s="1066" t="s">
        <v>15</v>
      </c>
    </row>
    <row r="325" spans="1:11" ht="15" customHeight="1">
      <c r="A325" s="1066" t="s">
        <v>1099</v>
      </c>
      <c r="B325" s="1066" t="s">
        <v>1100</v>
      </c>
      <c r="E325" s="1066" t="s">
        <v>1100</v>
      </c>
      <c r="F325" s="1066" t="s">
        <v>1101</v>
      </c>
      <c r="G325" s="1066" t="s">
        <v>13</v>
      </c>
      <c r="H325" s="1066" t="s">
        <v>1102</v>
      </c>
      <c r="K325" s="1066" t="s">
        <v>15</v>
      </c>
    </row>
    <row r="326" spans="1:11" ht="15" customHeight="1">
      <c r="A326" s="1066" t="s">
        <v>1103</v>
      </c>
      <c r="B326" s="1066" t="s">
        <v>1104</v>
      </c>
      <c r="E326" s="1066" t="s">
        <v>1104</v>
      </c>
      <c r="F326" s="1066" t="s">
        <v>1105</v>
      </c>
      <c r="G326" s="1066" t="s">
        <v>13</v>
      </c>
      <c r="H326" s="1066" t="s">
        <v>1102</v>
      </c>
      <c r="K326" s="1066" t="s">
        <v>15</v>
      </c>
    </row>
    <row r="327" spans="1:11" ht="15" customHeight="1">
      <c r="A327" s="1066" t="s">
        <v>1106</v>
      </c>
      <c r="B327" s="1066" t="s">
        <v>1107</v>
      </c>
      <c r="E327" s="1066" t="s">
        <v>1107</v>
      </c>
      <c r="F327" s="1066" t="s">
        <v>1108</v>
      </c>
      <c r="G327" s="1066" t="s">
        <v>13</v>
      </c>
      <c r="H327" s="1066" t="s">
        <v>1102</v>
      </c>
      <c r="K327" s="1066" t="s">
        <v>15</v>
      </c>
    </row>
    <row r="328" spans="1:11" ht="15" customHeight="1">
      <c r="A328" s="1066" t="s">
        <v>1109</v>
      </c>
      <c r="B328" s="1066" t="s">
        <v>1110</v>
      </c>
      <c r="E328" s="1066" t="s">
        <v>1110</v>
      </c>
      <c r="F328" s="1066" t="s">
        <v>1111</v>
      </c>
      <c r="G328" s="1066" t="s">
        <v>421</v>
      </c>
      <c r="H328" s="1066" t="s">
        <v>1112</v>
      </c>
      <c r="I328" s="1066" t="s">
        <v>19</v>
      </c>
      <c r="K328" s="1066" t="s">
        <v>15</v>
      </c>
    </row>
    <row r="329" spans="1:11" ht="15" customHeight="1">
      <c r="A329" s="1066" t="s">
        <v>1113</v>
      </c>
      <c r="B329" s="1066" t="s">
        <v>1114</v>
      </c>
      <c r="E329" s="1066" t="s">
        <v>1115</v>
      </c>
      <c r="F329" s="1066" t="s">
        <v>1116</v>
      </c>
      <c r="G329" s="1066" t="s">
        <v>421</v>
      </c>
      <c r="H329" s="1066" t="s">
        <v>1112</v>
      </c>
      <c r="I329" s="1066" t="s">
        <v>19</v>
      </c>
      <c r="K329" s="1066" t="s">
        <v>15</v>
      </c>
    </row>
    <row r="330" spans="1:11" ht="15" customHeight="1">
      <c r="A330" s="1066" t="s">
        <v>1117</v>
      </c>
      <c r="B330" s="1066" t="s">
        <v>1118</v>
      </c>
      <c r="E330" s="1066" t="s">
        <v>1119</v>
      </c>
      <c r="F330" s="1066" t="s">
        <v>1120</v>
      </c>
      <c r="G330" s="1066" t="s">
        <v>421</v>
      </c>
      <c r="H330" s="1066" t="s">
        <v>1112</v>
      </c>
      <c r="I330" s="1066" t="s">
        <v>19</v>
      </c>
      <c r="K330" s="1066" t="s">
        <v>15</v>
      </c>
    </row>
    <row r="331" spans="1:11" ht="15" customHeight="1">
      <c r="A331" s="1066" t="s">
        <v>1121</v>
      </c>
      <c r="B331" s="1066" t="s">
        <v>1122</v>
      </c>
      <c r="E331" s="1066" t="s">
        <v>1123</v>
      </c>
      <c r="F331" s="1066" t="s">
        <v>1124</v>
      </c>
      <c r="G331" s="1066" t="s">
        <v>421</v>
      </c>
      <c r="H331" s="1066" t="s">
        <v>1112</v>
      </c>
      <c r="I331" s="1066" t="s">
        <v>19</v>
      </c>
      <c r="K331" s="1066" t="s">
        <v>15</v>
      </c>
    </row>
    <row r="332" spans="1:11" ht="15" customHeight="1">
      <c r="A332" s="1066" t="s">
        <v>1125</v>
      </c>
      <c r="B332" s="1066" t="s">
        <v>1126</v>
      </c>
      <c r="E332" s="1066" t="s">
        <v>1127</v>
      </c>
      <c r="F332" s="1066" t="s">
        <v>1128</v>
      </c>
      <c r="G332" s="1066" t="s">
        <v>421</v>
      </c>
      <c r="H332" s="1066" t="s">
        <v>1112</v>
      </c>
      <c r="I332" s="1066" t="s">
        <v>19</v>
      </c>
      <c r="K332" s="1066" t="s">
        <v>15</v>
      </c>
    </row>
    <row r="333" spans="1:11" ht="15" customHeight="1">
      <c r="A333" s="1066" t="s">
        <v>1129</v>
      </c>
      <c r="B333" s="1066" t="s">
        <v>1130</v>
      </c>
      <c r="E333" s="1066" t="s">
        <v>1131</v>
      </c>
      <c r="F333" s="1066" t="s">
        <v>1132</v>
      </c>
      <c r="G333" s="1066" t="s">
        <v>421</v>
      </c>
      <c r="H333" s="1066" t="s">
        <v>1112</v>
      </c>
      <c r="I333" s="1066" t="s">
        <v>19</v>
      </c>
      <c r="K333" s="1066" t="s">
        <v>15</v>
      </c>
    </row>
    <row r="334" spans="1:11" ht="15" customHeight="1">
      <c r="A334" s="1066" t="s">
        <v>1133</v>
      </c>
      <c r="B334" s="1066" t="s">
        <v>1134</v>
      </c>
      <c r="E334" s="1066" t="s">
        <v>1135</v>
      </c>
      <c r="F334" s="1066" t="s">
        <v>1134</v>
      </c>
      <c r="G334" s="1066" t="s">
        <v>421</v>
      </c>
      <c r="H334" s="1066" t="s">
        <v>1112</v>
      </c>
      <c r="I334" s="1066" t="s">
        <v>19</v>
      </c>
      <c r="K334" s="1066" t="s">
        <v>15</v>
      </c>
    </row>
    <row r="335" spans="1:11" ht="15" customHeight="1">
      <c r="A335" s="1066" t="s">
        <v>1136</v>
      </c>
      <c r="B335" s="1066" t="s">
        <v>1137</v>
      </c>
      <c r="E335" s="1066" t="s">
        <v>1138</v>
      </c>
      <c r="F335" s="1066" t="s">
        <v>1139</v>
      </c>
      <c r="G335" s="1066" t="s">
        <v>421</v>
      </c>
      <c r="H335" s="1066" t="s">
        <v>1112</v>
      </c>
      <c r="I335" s="1066" t="s">
        <v>19</v>
      </c>
      <c r="K335" s="1066" t="s">
        <v>15</v>
      </c>
    </row>
    <row r="336" spans="1:11" ht="15" customHeight="1">
      <c r="A336" s="1066" t="s">
        <v>1140</v>
      </c>
      <c r="B336" s="1066" t="s">
        <v>508</v>
      </c>
      <c r="E336" s="1066" t="s">
        <v>1141</v>
      </c>
      <c r="F336" s="1066" t="s">
        <v>1142</v>
      </c>
      <c r="G336" s="1066" t="s">
        <v>421</v>
      </c>
      <c r="H336" s="1066" t="s">
        <v>1112</v>
      </c>
      <c r="I336" s="1066" t="s">
        <v>19</v>
      </c>
      <c r="K336" s="1066" t="s">
        <v>15</v>
      </c>
    </row>
    <row r="337" spans="1:11" ht="15" customHeight="1">
      <c r="A337" s="1066" t="s">
        <v>1143</v>
      </c>
      <c r="B337" s="1066" t="s">
        <v>512</v>
      </c>
      <c r="E337" s="1066" t="s">
        <v>1144</v>
      </c>
      <c r="F337" s="1066" t="s">
        <v>1145</v>
      </c>
      <c r="G337" s="1066" t="s">
        <v>421</v>
      </c>
      <c r="H337" s="1066" t="s">
        <v>1112</v>
      </c>
      <c r="I337" s="1066" t="s">
        <v>19</v>
      </c>
      <c r="K337" s="1066" t="s">
        <v>15</v>
      </c>
    </row>
    <row r="338" spans="1:11" ht="15" customHeight="1">
      <c r="A338" s="1066" t="s">
        <v>1146</v>
      </c>
      <c r="B338" s="1066" t="s">
        <v>528</v>
      </c>
      <c r="E338" s="1066" t="s">
        <v>1147</v>
      </c>
      <c r="F338" s="1066" t="s">
        <v>1148</v>
      </c>
      <c r="G338" s="1066" t="s">
        <v>421</v>
      </c>
      <c r="H338" s="1066" t="s">
        <v>1112</v>
      </c>
      <c r="I338" s="1066" t="s">
        <v>19</v>
      </c>
      <c r="K338" s="1066" t="s">
        <v>15</v>
      </c>
    </row>
    <row r="339" spans="1:11" ht="15" customHeight="1">
      <c r="A339" s="1066" t="s">
        <v>1149</v>
      </c>
      <c r="B339" s="1066" t="s">
        <v>516</v>
      </c>
      <c r="E339" s="1066" t="s">
        <v>1150</v>
      </c>
      <c r="F339" s="1066" t="s">
        <v>1151</v>
      </c>
      <c r="G339" s="1066" t="s">
        <v>421</v>
      </c>
      <c r="H339" s="1066" t="s">
        <v>1112</v>
      </c>
      <c r="K339" s="1066" t="s">
        <v>15</v>
      </c>
    </row>
    <row r="340" spans="1:11" ht="15" customHeight="1">
      <c r="A340" s="1066" t="s">
        <v>1152</v>
      </c>
      <c r="B340" s="1066" t="s">
        <v>334</v>
      </c>
      <c r="E340" s="1066" t="s">
        <v>1153</v>
      </c>
      <c r="F340" s="1066" t="s">
        <v>336</v>
      </c>
      <c r="G340" s="1066" t="s">
        <v>421</v>
      </c>
      <c r="H340" s="1066" t="s">
        <v>1112</v>
      </c>
      <c r="K340" s="1066" t="s">
        <v>15</v>
      </c>
    </row>
    <row r="341" spans="1:11" ht="15" customHeight="1">
      <c r="A341" s="1066" t="s">
        <v>1154</v>
      </c>
      <c r="B341" s="1066" t="s">
        <v>1155</v>
      </c>
      <c r="E341" s="1066" t="s">
        <v>1156</v>
      </c>
      <c r="F341" s="1066" t="s">
        <v>1157</v>
      </c>
      <c r="G341" s="1066" t="s">
        <v>421</v>
      </c>
      <c r="H341" s="1066" t="s">
        <v>1112</v>
      </c>
      <c r="K341" s="1066" t="s">
        <v>15</v>
      </c>
    </row>
    <row r="342" spans="1:11" ht="15" customHeight="1">
      <c r="A342" s="1066" t="s">
        <v>1158</v>
      </c>
      <c r="B342" s="1066" t="s">
        <v>1159</v>
      </c>
      <c r="E342" s="1066" t="s">
        <v>1160</v>
      </c>
      <c r="F342" s="1066" t="s">
        <v>1161</v>
      </c>
      <c r="G342" s="1066" t="s">
        <v>421</v>
      </c>
      <c r="H342" s="1066" t="s">
        <v>1112</v>
      </c>
      <c r="K342" s="1066" t="s">
        <v>15</v>
      </c>
    </row>
    <row r="343" spans="1:11" ht="15" customHeight="1">
      <c r="A343" s="1066" t="s">
        <v>1162</v>
      </c>
      <c r="B343" s="1066" t="s">
        <v>520</v>
      </c>
      <c r="E343" s="1066" t="s">
        <v>1163</v>
      </c>
      <c r="F343" s="1066" t="s">
        <v>1164</v>
      </c>
      <c r="G343" s="1066" t="s">
        <v>421</v>
      </c>
      <c r="H343" s="1066" t="s">
        <v>1112</v>
      </c>
      <c r="K343" s="1066" t="s">
        <v>15</v>
      </c>
    </row>
    <row r="344" spans="1:11" ht="15" customHeight="1">
      <c r="A344" s="1066" t="s">
        <v>1165</v>
      </c>
      <c r="B344" s="1066" t="s">
        <v>1166</v>
      </c>
      <c r="E344" s="1066" t="s">
        <v>1167</v>
      </c>
      <c r="F344" s="1066" t="s">
        <v>1168</v>
      </c>
      <c r="G344" s="1066" t="s">
        <v>421</v>
      </c>
      <c r="H344" s="1066" t="s">
        <v>1112</v>
      </c>
      <c r="K344" s="1066" t="s">
        <v>15</v>
      </c>
    </row>
    <row r="345" spans="1:11" ht="15" customHeight="1">
      <c r="A345" s="1066" t="s">
        <v>1169</v>
      </c>
      <c r="B345" s="1066" t="s">
        <v>1170</v>
      </c>
      <c r="E345" s="1066" t="s">
        <v>1171</v>
      </c>
      <c r="F345" s="1066" t="s">
        <v>1172</v>
      </c>
      <c r="G345" s="1066" t="s">
        <v>421</v>
      </c>
      <c r="H345" s="1066" t="s">
        <v>1112</v>
      </c>
      <c r="K345" s="1066" t="s">
        <v>15</v>
      </c>
    </row>
    <row r="346" spans="1:11" ht="15" customHeight="1">
      <c r="A346" s="1066" t="s">
        <v>1173</v>
      </c>
      <c r="B346" s="1066" t="s">
        <v>338</v>
      </c>
      <c r="E346" s="1066" t="s">
        <v>1174</v>
      </c>
      <c r="F346" s="1066" t="s">
        <v>340</v>
      </c>
      <c r="G346" s="1066" t="s">
        <v>421</v>
      </c>
      <c r="H346" s="1066" t="s">
        <v>1112</v>
      </c>
      <c r="K346" s="1066" t="s">
        <v>15</v>
      </c>
    </row>
    <row r="347" spans="1:11" ht="15" customHeight="1">
      <c r="A347" s="1066" t="s">
        <v>1175</v>
      </c>
      <c r="B347" s="1066" t="s">
        <v>1176</v>
      </c>
      <c r="E347" s="1066" t="s">
        <v>1177</v>
      </c>
      <c r="F347" s="1066" t="s">
        <v>1178</v>
      </c>
      <c r="G347" s="1066" t="s">
        <v>421</v>
      </c>
      <c r="H347" s="1066" t="s">
        <v>1112</v>
      </c>
      <c r="K347" s="1066" t="s">
        <v>15</v>
      </c>
    </row>
    <row r="348" spans="1:11" ht="15" customHeight="1">
      <c r="A348" s="1066" t="s">
        <v>1179</v>
      </c>
      <c r="B348" s="1066" t="s">
        <v>1180</v>
      </c>
      <c r="E348" s="1066" t="s">
        <v>1181</v>
      </c>
      <c r="F348" s="1066" t="s">
        <v>1182</v>
      </c>
      <c r="G348" s="1066" t="s">
        <v>421</v>
      </c>
      <c r="H348" s="1066" t="s">
        <v>1112</v>
      </c>
      <c r="K348" s="1066" t="s">
        <v>15</v>
      </c>
    </row>
    <row r="349" spans="1:11" ht="15" customHeight="1">
      <c r="A349" s="1066" t="s">
        <v>1183</v>
      </c>
      <c r="B349" s="1066" t="s">
        <v>1126</v>
      </c>
      <c r="E349" s="1066" t="s">
        <v>1184</v>
      </c>
      <c r="F349" s="1066" t="s">
        <v>1128</v>
      </c>
      <c r="G349" s="1066" t="s">
        <v>421</v>
      </c>
      <c r="H349" s="1066" t="s">
        <v>1112</v>
      </c>
      <c r="K349" s="1066" t="s">
        <v>15</v>
      </c>
    </row>
    <row r="350" spans="1:11" ht="15" customHeight="1">
      <c r="A350" s="1066" t="s">
        <v>1185</v>
      </c>
      <c r="B350" s="1066" t="s">
        <v>1122</v>
      </c>
      <c r="E350" s="1066" t="s">
        <v>1186</v>
      </c>
      <c r="F350" s="1066" t="s">
        <v>1187</v>
      </c>
      <c r="G350" s="1066" t="s">
        <v>421</v>
      </c>
      <c r="H350" s="1066" t="s">
        <v>1112</v>
      </c>
      <c r="K350" s="1066" t="s">
        <v>15</v>
      </c>
    </row>
    <row r="351" spans="1:11" ht="15" customHeight="1">
      <c r="A351" s="1066" t="s">
        <v>1188</v>
      </c>
      <c r="B351" s="1066" t="s">
        <v>1130</v>
      </c>
      <c r="E351" s="1066" t="s">
        <v>1189</v>
      </c>
      <c r="F351" s="1066" t="s">
        <v>1190</v>
      </c>
      <c r="G351" s="1066" t="s">
        <v>421</v>
      </c>
      <c r="H351" s="1066" t="s">
        <v>1112</v>
      </c>
      <c r="K351" s="1066" t="s">
        <v>15</v>
      </c>
    </row>
    <row r="352" spans="1:11" ht="15" customHeight="1">
      <c r="A352" s="1066" t="s">
        <v>1191</v>
      </c>
      <c r="B352" s="1066" t="s">
        <v>1137</v>
      </c>
      <c r="E352" s="1066" t="s">
        <v>1192</v>
      </c>
      <c r="F352" s="1066" t="s">
        <v>1139</v>
      </c>
      <c r="G352" s="1066" t="s">
        <v>421</v>
      </c>
      <c r="H352" s="1066" t="s">
        <v>1112</v>
      </c>
      <c r="K352" s="1066" t="s">
        <v>15</v>
      </c>
    </row>
    <row r="353" spans="1:11" ht="15" customHeight="1">
      <c r="A353" s="1066" t="s">
        <v>1193</v>
      </c>
      <c r="B353" s="1066" t="s">
        <v>1134</v>
      </c>
      <c r="E353" s="1066" t="s">
        <v>1194</v>
      </c>
      <c r="F353" s="1066" t="s">
        <v>1134</v>
      </c>
      <c r="G353" s="1066" t="s">
        <v>421</v>
      </c>
      <c r="H353" s="1066" t="s">
        <v>1112</v>
      </c>
      <c r="K353" s="1066" t="s">
        <v>15</v>
      </c>
    </row>
    <row r="354" spans="1:11" ht="15" customHeight="1">
      <c r="A354" s="1066" t="s">
        <v>1195</v>
      </c>
      <c r="B354" s="1066" t="s">
        <v>1114</v>
      </c>
      <c r="E354" s="1066" t="s">
        <v>1196</v>
      </c>
      <c r="F354" s="1066" t="s">
        <v>1197</v>
      </c>
      <c r="G354" s="1066" t="s">
        <v>421</v>
      </c>
      <c r="H354" s="1066" t="s">
        <v>1112</v>
      </c>
      <c r="K354" s="1066" t="s">
        <v>15</v>
      </c>
    </row>
    <row r="355" spans="1:11" ht="15" customHeight="1">
      <c r="A355" s="1066" t="s">
        <v>1198</v>
      </c>
      <c r="B355" s="1066" t="s">
        <v>508</v>
      </c>
      <c r="E355" s="1066" t="s">
        <v>1199</v>
      </c>
      <c r="F355" s="1066" t="s">
        <v>1142</v>
      </c>
      <c r="G355" s="1066" t="s">
        <v>421</v>
      </c>
      <c r="H355" s="1066" t="s">
        <v>1112</v>
      </c>
      <c r="K355" s="1066" t="s">
        <v>15</v>
      </c>
    </row>
    <row r="356" spans="1:11" ht="15" customHeight="1">
      <c r="A356" s="1066" t="s">
        <v>1200</v>
      </c>
      <c r="B356" s="1066" t="s">
        <v>1016</v>
      </c>
      <c r="E356" s="1066" t="s">
        <v>1201</v>
      </c>
      <c r="F356" s="1066" t="s">
        <v>1202</v>
      </c>
      <c r="G356" s="1066" t="s">
        <v>421</v>
      </c>
      <c r="H356" s="1066" t="s">
        <v>1112</v>
      </c>
      <c r="K356" s="1066" t="s">
        <v>15</v>
      </c>
    </row>
    <row r="357" spans="1:11" ht="15" customHeight="1">
      <c r="A357" s="1066" t="s">
        <v>1203</v>
      </c>
      <c r="B357" s="1066" t="s">
        <v>1122</v>
      </c>
      <c r="E357" s="1066" t="s">
        <v>1204</v>
      </c>
      <c r="F357" s="1066" t="s">
        <v>1187</v>
      </c>
      <c r="G357" s="1066" t="s">
        <v>421</v>
      </c>
      <c r="H357" s="1066" t="s">
        <v>1112</v>
      </c>
      <c r="K357" s="1066" t="s">
        <v>15</v>
      </c>
    </row>
    <row r="358" spans="1:11" ht="15" customHeight="1">
      <c r="A358" s="1066" t="s">
        <v>1205</v>
      </c>
      <c r="B358" s="1066" t="s">
        <v>1118</v>
      </c>
      <c r="E358" s="1066" t="s">
        <v>1206</v>
      </c>
      <c r="F358" s="1066" t="s">
        <v>1120</v>
      </c>
      <c r="G358" s="1066" t="s">
        <v>421</v>
      </c>
      <c r="H358" s="1066" t="s">
        <v>1112</v>
      </c>
      <c r="K358" s="1066" t="s">
        <v>15</v>
      </c>
    </row>
    <row r="359" spans="1:11" ht="15" customHeight="1">
      <c r="A359" s="1066" t="s">
        <v>1207</v>
      </c>
      <c r="B359" s="1066" t="s">
        <v>1208</v>
      </c>
      <c r="E359" s="1066" t="s">
        <v>1208</v>
      </c>
      <c r="F359" s="1066" t="s">
        <v>1209</v>
      </c>
      <c r="G359" s="1066" t="s">
        <v>421</v>
      </c>
      <c r="H359" s="1066" t="s">
        <v>1112</v>
      </c>
      <c r="K359" s="1066" t="s">
        <v>15</v>
      </c>
    </row>
    <row r="360" spans="1:11" ht="15" customHeight="1">
      <c r="A360" s="1066" t="s">
        <v>1210</v>
      </c>
      <c r="B360" s="1066" t="s">
        <v>1211</v>
      </c>
      <c r="E360" s="1066" t="s">
        <v>1212</v>
      </c>
      <c r="F360" s="1066" t="s">
        <v>1213</v>
      </c>
      <c r="G360" s="1066" t="s">
        <v>421</v>
      </c>
      <c r="H360" s="1066" t="s">
        <v>1112</v>
      </c>
      <c r="K360" s="1066" t="s">
        <v>15</v>
      </c>
    </row>
    <row r="361" spans="1:11" ht="15" customHeight="1">
      <c r="A361" s="1066" t="s">
        <v>1214</v>
      </c>
      <c r="B361" s="1066" t="s">
        <v>1215</v>
      </c>
      <c r="E361" s="1066" t="s">
        <v>1216</v>
      </c>
      <c r="F361" s="1066" t="s">
        <v>1217</v>
      </c>
      <c r="G361" s="1066" t="s">
        <v>421</v>
      </c>
      <c r="H361" s="1066" t="s">
        <v>1112</v>
      </c>
      <c r="K361" s="1066" t="s">
        <v>15</v>
      </c>
    </row>
    <row r="362" spans="1:11" ht="15" customHeight="1">
      <c r="A362" s="1066" t="s">
        <v>1218</v>
      </c>
      <c r="B362" s="1066" t="s">
        <v>1219</v>
      </c>
      <c r="E362" s="1066" t="s">
        <v>1220</v>
      </c>
      <c r="F362" s="1066" t="s">
        <v>1221</v>
      </c>
      <c r="G362" s="1066" t="s">
        <v>421</v>
      </c>
      <c r="H362" s="1066" t="s">
        <v>1112</v>
      </c>
      <c r="K362" s="1066" t="s">
        <v>15</v>
      </c>
    </row>
    <row r="363" spans="1:11" ht="15" customHeight="1">
      <c r="A363" s="1066" t="s">
        <v>1222</v>
      </c>
      <c r="B363" s="1066" t="s">
        <v>1223</v>
      </c>
      <c r="E363" s="1066" t="s">
        <v>1223</v>
      </c>
      <c r="F363" s="1066" t="s">
        <v>1224</v>
      </c>
      <c r="G363" s="1066" t="s">
        <v>421</v>
      </c>
      <c r="H363" s="1066" t="s">
        <v>1112</v>
      </c>
      <c r="K363" s="1066" t="s">
        <v>15</v>
      </c>
    </row>
    <row r="364" spans="1:11" ht="15" customHeight="1">
      <c r="A364" s="1066" t="s">
        <v>1225</v>
      </c>
      <c r="B364" s="1066" t="s">
        <v>1226</v>
      </c>
      <c r="E364" s="1066" t="s">
        <v>1226</v>
      </c>
      <c r="F364" s="1066" t="s">
        <v>1227</v>
      </c>
      <c r="G364" s="1066" t="s">
        <v>421</v>
      </c>
      <c r="H364" s="1066" t="s">
        <v>1112</v>
      </c>
      <c r="K364" s="1066" t="s">
        <v>15</v>
      </c>
    </row>
    <row r="365" spans="1:11" ht="15" customHeight="1">
      <c r="A365" s="1066" t="s">
        <v>1228</v>
      </c>
      <c r="B365" s="1066" t="s">
        <v>1229</v>
      </c>
      <c r="E365" s="1066" t="s">
        <v>1230</v>
      </c>
      <c r="F365" s="1066" t="s">
        <v>1231</v>
      </c>
      <c r="G365" s="1066" t="s">
        <v>421</v>
      </c>
      <c r="H365" s="1066" t="s">
        <v>1112</v>
      </c>
      <c r="K365" s="1066" t="s">
        <v>15</v>
      </c>
    </row>
    <row r="366" spans="1:11" ht="15" customHeight="1">
      <c r="A366" s="1066" t="s">
        <v>1232</v>
      </c>
      <c r="B366" s="1066" t="s">
        <v>1233</v>
      </c>
      <c r="E366" s="1066" t="s">
        <v>1234</v>
      </c>
      <c r="F366" s="1066" t="s">
        <v>1235</v>
      </c>
      <c r="G366" s="1066" t="s">
        <v>421</v>
      </c>
      <c r="H366" s="1066" t="s">
        <v>1112</v>
      </c>
      <c r="K366" s="1066" t="s">
        <v>15</v>
      </c>
    </row>
    <row r="367" spans="1:11" ht="15" customHeight="1">
      <c r="A367" s="1066" t="s">
        <v>1236</v>
      </c>
      <c r="B367" s="1066" t="s">
        <v>1237</v>
      </c>
      <c r="E367" s="1066" t="s">
        <v>1237</v>
      </c>
      <c r="F367" s="1066" t="s">
        <v>1238</v>
      </c>
      <c r="G367" s="1066" t="s">
        <v>421</v>
      </c>
      <c r="H367" s="1066" t="s">
        <v>1112</v>
      </c>
      <c r="K367" s="1066" t="s">
        <v>15</v>
      </c>
    </row>
    <row r="368" spans="1:11" ht="15" customHeight="1">
      <c r="A368" s="1066" t="s">
        <v>1239</v>
      </c>
      <c r="B368" s="1066" t="s">
        <v>1240</v>
      </c>
      <c r="E368" s="1066" t="s">
        <v>1240</v>
      </c>
      <c r="F368" s="1066" t="s">
        <v>1241</v>
      </c>
      <c r="G368" s="1066" t="s">
        <v>421</v>
      </c>
      <c r="H368" s="1066" t="s">
        <v>1112</v>
      </c>
      <c r="K368" s="1066" t="s">
        <v>15</v>
      </c>
    </row>
    <row r="369" spans="1:11" ht="15" customHeight="1">
      <c r="A369" s="1066" t="s">
        <v>1242</v>
      </c>
      <c r="B369" s="1066" t="s">
        <v>1243</v>
      </c>
      <c r="E369" s="1066" t="s">
        <v>1244</v>
      </c>
      <c r="F369" s="1066" t="s">
        <v>1245</v>
      </c>
      <c r="G369" s="1066" t="s">
        <v>421</v>
      </c>
      <c r="H369" s="1066" t="s">
        <v>1112</v>
      </c>
      <c r="K369" s="1066" t="s">
        <v>15</v>
      </c>
    </row>
    <row r="370" spans="1:11" ht="15" customHeight="1">
      <c r="A370" s="1066" t="s">
        <v>1246</v>
      </c>
      <c r="B370" s="1066" t="s">
        <v>1247</v>
      </c>
      <c r="E370" s="1066" t="s">
        <v>1248</v>
      </c>
      <c r="F370" s="1066" t="s">
        <v>1249</v>
      </c>
      <c r="G370" s="1066" t="s">
        <v>421</v>
      </c>
      <c r="H370" s="1066" t="s">
        <v>1112</v>
      </c>
      <c r="K370" s="1066" t="s">
        <v>15</v>
      </c>
    </row>
    <row r="371" spans="1:11" ht="15" customHeight="1">
      <c r="A371" s="1066" t="s">
        <v>1250</v>
      </c>
      <c r="B371" s="1066" t="s">
        <v>1251</v>
      </c>
      <c r="E371" s="1066" t="s">
        <v>1252</v>
      </c>
      <c r="F371" s="1066" t="s">
        <v>1253</v>
      </c>
      <c r="G371" s="1066" t="s">
        <v>421</v>
      </c>
      <c r="H371" s="1066" t="s">
        <v>1112</v>
      </c>
      <c r="K371" s="1066" t="s">
        <v>15</v>
      </c>
    </row>
    <row r="372" spans="1:11" ht="15" customHeight="1">
      <c r="A372" s="1066" t="s">
        <v>1254</v>
      </c>
      <c r="B372" s="1066" t="s">
        <v>1255</v>
      </c>
      <c r="E372" s="1066" t="s">
        <v>1256</v>
      </c>
      <c r="F372" s="1066" t="s">
        <v>1257</v>
      </c>
      <c r="G372" s="1066" t="s">
        <v>421</v>
      </c>
      <c r="H372" s="1066" t="s">
        <v>1112</v>
      </c>
      <c r="K372" s="1066" t="s">
        <v>15</v>
      </c>
    </row>
    <row r="373" spans="1:11" ht="15" customHeight="1">
      <c r="A373" s="1066" t="s">
        <v>1258</v>
      </c>
      <c r="B373" s="1066" t="s">
        <v>1259</v>
      </c>
      <c r="E373" s="1066" t="s">
        <v>1260</v>
      </c>
      <c r="F373" s="1066" t="s">
        <v>1261</v>
      </c>
      <c r="G373" s="1066" t="s">
        <v>421</v>
      </c>
      <c r="H373" s="1066" t="s">
        <v>1112</v>
      </c>
      <c r="K373" s="1066" t="s">
        <v>15</v>
      </c>
    </row>
    <row r="374" spans="1:11" ht="15" customHeight="1">
      <c r="A374" s="1066" t="s">
        <v>1262</v>
      </c>
      <c r="B374" s="1066" t="s">
        <v>1263</v>
      </c>
      <c r="E374" s="1066" t="s">
        <v>1264</v>
      </c>
      <c r="F374" s="1066" t="s">
        <v>1265</v>
      </c>
      <c r="G374" s="1066" t="s">
        <v>421</v>
      </c>
      <c r="H374" s="1066" t="s">
        <v>1112</v>
      </c>
      <c r="K374" s="1066" t="s">
        <v>15</v>
      </c>
    </row>
    <row r="375" spans="1:11" ht="15" customHeight="1">
      <c r="A375" s="1066" t="s">
        <v>1266</v>
      </c>
      <c r="B375" s="1066" t="s">
        <v>1267</v>
      </c>
      <c r="E375" s="1066" t="s">
        <v>1268</v>
      </c>
      <c r="F375" s="1066" t="s">
        <v>1269</v>
      </c>
      <c r="G375" s="1066" t="s">
        <v>421</v>
      </c>
      <c r="H375" s="1066" t="s">
        <v>1112</v>
      </c>
      <c r="K375" s="1066" t="s">
        <v>15</v>
      </c>
    </row>
    <row r="376" spans="1:11" ht="15" customHeight="1">
      <c r="A376" s="1066" t="s">
        <v>1270</v>
      </c>
      <c r="B376" s="1066" t="s">
        <v>1271</v>
      </c>
      <c r="E376" s="1066" t="s">
        <v>1271</v>
      </c>
      <c r="F376" s="1066" t="s">
        <v>1272</v>
      </c>
      <c r="G376" s="1066" t="s">
        <v>421</v>
      </c>
      <c r="H376" s="1066" t="s">
        <v>1112</v>
      </c>
      <c r="K376" s="1066" t="s">
        <v>15</v>
      </c>
    </row>
    <row r="377" spans="1:11" ht="15" customHeight="1">
      <c r="A377" s="1066" t="s">
        <v>1273</v>
      </c>
      <c r="B377" s="1066" t="s">
        <v>1274</v>
      </c>
      <c r="E377" s="1066" t="s">
        <v>1274</v>
      </c>
      <c r="F377" s="1066" t="s">
        <v>1275</v>
      </c>
      <c r="G377" s="1066" t="s">
        <v>421</v>
      </c>
      <c r="H377" s="1066" t="s">
        <v>1112</v>
      </c>
      <c r="K377" s="1066" t="s">
        <v>15</v>
      </c>
    </row>
    <row r="378" spans="1:11" ht="15" customHeight="1">
      <c r="A378" s="1066" t="s">
        <v>1276</v>
      </c>
      <c r="B378" s="1066" t="s">
        <v>1277</v>
      </c>
      <c r="E378" s="1066" t="s">
        <v>1277</v>
      </c>
      <c r="F378" s="1066" t="s">
        <v>1278</v>
      </c>
      <c r="G378" s="1066" t="s">
        <v>421</v>
      </c>
      <c r="H378" s="1066" t="s">
        <v>1112</v>
      </c>
      <c r="K378" s="1066" t="s">
        <v>15</v>
      </c>
    </row>
    <row r="379" spans="1:11" ht="15" customHeight="1">
      <c r="A379" s="1066" t="s">
        <v>1279</v>
      </c>
      <c r="B379" s="1066" t="s">
        <v>1016</v>
      </c>
      <c r="E379" s="1066" t="s">
        <v>1280</v>
      </c>
      <c r="F379" s="1066" t="s">
        <v>1018</v>
      </c>
      <c r="G379" s="1066" t="s">
        <v>421</v>
      </c>
      <c r="H379" s="1066" t="s">
        <v>1112</v>
      </c>
      <c r="K379" s="1066" t="s">
        <v>15</v>
      </c>
    </row>
    <row r="380" spans="1:11" ht="15" customHeight="1">
      <c r="A380" s="1066" t="s">
        <v>1281</v>
      </c>
      <c r="B380" s="1066" t="s">
        <v>1020</v>
      </c>
      <c r="E380" s="1066" t="s">
        <v>1282</v>
      </c>
      <c r="F380" s="1066" t="s">
        <v>1283</v>
      </c>
      <c r="G380" s="1066" t="s">
        <v>421</v>
      </c>
      <c r="H380" s="1066" t="s">
        <v>1112</v>
      </c>
      <c r="K380" s="1066" t="s">
        <v>15</v>
      </c>
    </row>
    <row r="381" spans="1:11" ht="15" customHeight="1">
      <c r="A381" s="1066" t="s">
        <v>1284</v>
      </c>
      <c r="B381" s="1066" t="s">
        <v>1024</v>
      </c>
      <c r="E381" s="1066" t="s">
        <v>1285</v>
      </c>
      <c r="F381" s="1066" t="s">
        <v>1026</v>
      </c>
      <c r="G381" s="1066" t="s">
        <v>421</v>
      </c>
      <c r="H381" s="1066" t="s">
        <v>1112</v>
      </c>
      <c r="K381" s="1066" t="s">
        <v>15</v>
      </c>
    </row>
    <row r="382" spans="1:11" ht="15" customHeight="1">
      <c r="A382" s="1066" t="s">
        <v>1286</v>
      </c>
      <c r="B382" s="1066" t="s">
        <v>1287</v>
      </c>
      <c r="E382" s="1066" t="s">
        <v>1287</v>
      </c>
      <c r="F382" s="1066" t="s">
        <v>1288</v>
      </c>
      <c r="G382" s="1066" t="s">
        <v>13</v>
      </c>
      <c r="H382" s="1066" t="s">
        <v>556</v>
      </c>
      <c r="K382" s="1066" t="s">
        <v>15</v>
      </c>
    </row>
    <row r="383" spans="1:11" ht="15" customHeight="1">
      <c r="A383" s="1066" t="s">
        <v>1289</v>
      </c>
      <c r="B383" s="1066" t="s">
        <v>1290</v>
      </c>
      <c r="E383" s="1066" t="s">
        <v>1291</v>
      </c>
      <c r="F383" s="1066" t="s">
        <v>1292</v>
      </c>
      <c r="G383" s="1066" t="s">
        <v>13</v>
      </c>
      <c r="H383" s="1066" t="s">
        <v>556</v>
      </c>
      <c r="K383" s="1066" t="s">
        <v>15</v>
      </c>
    </row>
    <row r="384" spans="1:11" ht="15" customHeight="1">
      <c r="A384" s="1066" t="s">
        <v>1293</v>
      </c>
      <c r="B384" s="1066" t="s">
        <v>1294</v>
      </c>
      <c r="E384" s="1066" t="s">
        <v>1295</v>
      </c>
      <c r="F384" s="1066" t="s">
        <v>1296</v>
      </c>
      <c r="G384" s="1066" t="s">
        <v>13</v>
      </c>
      <c r="H384" s="1066" t="s">
        <v>556</v>
      </c>
      <c r="K384" s="1066" t="s">
        <v>15</v>
      </c>
    </row>
    <row r="385" spans="1:11" ht="15" customHeight="1">
      <c r="A385" s="1066" t="s">
        <v>1297</v>
      </c>
      <c r="B385" s="1066" t="s">
        <v>1298</v>
      </c>
      <c r="E385" s="1066" t="s">
        <v>1299</v>
      </c>
      <c r="F385" s="1066" t="s">
        <v>1300</v>
      </c>
      <c r="G385" s="1066" t="s">
        <v>13</v>
      </c>
      <c r="H385" s="1066" t="s">
        <v>556</v>
      </c>
      <c r="K385" s="1066" t="s">
        <v>15</v>
      </c>
    </row>
    <row r="386" spans="1:11" ht="15" customHeight="1">
      <c r="A386" s="1066" t="s">
        <v>1301</v>
      </c>
      <c r="B386" s="1066" t="s">
        <v>1302</v>
      </c>
      <c r="E386" s="1066" t="s">
        <v>1303</v>
      </c>
      <c r="F386" s="1066" t="s">
        <v>1304</v>
      </c>
      <c r="G386" s="1066" t="s">
        <v>13</v>
      </c>
      <c r="H386" s="1066" t="s">
        <v>556</v>
      </c>
      <c r="K386" s="1066" t="s">
        <v>15</v>
      </c>
    </row>
    <row r="387" spans="1:11" ht="15" customHeight="1">
      <c r="A387" s="1066" t="s">
        <v>1305</v>
      </c>
      <c r="B387" s="1066" t="s">
        <v>1306</v>
      </c>
      <c r="E387" s="1066" t="s">
        <v>1307</v>
      </c>
      <c r="F387" s="1066" t="s">
        <v>1308</v>
      </c>
      <c r="G387" s="1066" t="s">
        <v>13</v>
      </c>
      <c r="H387" s="1066" t="s">
        <v>556</v>
      </c>
      <c r="K387" s="1066" t="s">
        <v>15</v>
      </c>
    </row>
    <row r="388" spans="1:11" ht="15" customHeight="1">
      <c r="A388" s="1066" t="s">
        <v>1309</v>
      </c>
      <c r="B388" s="1066" t="s">
        <v>1310</v>
      </c>
      <c r="E388" s="1066" t="s">
        <v>1311</v>
      </c>
      <c r="F388" s="1066" t="s">
        <v>1312</v>
      </c>
      <c r="G388" s="1066" t="s">
        <v>13</v>
      </c>
      <c r="H388" s="1066" t="s">
        <v>556</v>
      </c>
      <c r="K388" s="1066" t="s">
        <v>15</v>
      </c>
    </row>
    <row r="389" spans="1:11" ht="15" customHeight="1">
      <c r="A389" s="1066" t="s">
        <v>1313</v>
      </c>
      <c r="B389" s="1066" t="s">
        <v>1314</v>
      </c>
      <c r="E389" s="1066" t="s">
        <v>1315</v>
      </c>
      <c r="F389" s="1066" t="s">
        <v>1316</v>
      </c>
      <c r="G389" s="1066" t="s">
        <v>13</v>
      </c>
      <c r="H389" s="1066" t="s">
        <v>556</v>
      </c>
      <c r="K389" s="1066" t="s">
        <v>15</v>
      </c>
    </row>
    <row r="390" spans="1:11" ht="15" customHeight="1">
      <c r="A390" s="1066" t="s">
        <v>1317</v>
      </c>
      <c r="B390" s="1066" t="s">
        <v>1318</v>
      </c>
      <c r="E390" s="1066" t="s">
        <v>1319</v>
      </c>
      <c r="F390" s="1066" t="s">
        <v>1320</v>
      </c>
      <c r="G390" s="1066" t="s">
        <v>13</v>
      </c>
      <c r="H390" s="1066" t="s">
        <v>556</v>
      </c>
      <c r="K390" s="1066" t="s">
        <v>15</v>
      </c>
    </row>
    <row r="391" spans="1:11" ht="15" customHeight="1">
      <c r="A391" s="1066" t="s">
        <v>1321</v>
      </c>
      <c r="B391" s="1066" t="s">
        <v>1322</v>
      </c>
      <c r="E391" s="1066" t="s">
        <v>1323</v>
      </c>
      <c r="F391" s="1066" t="s">
        <v>1324</v>
      </c>
      <c r="G391" s="1066" t="s">
        <v>13</v>
      </c>
      <c r="H391" s="1066" t="s">
        <v>556</v>
      </c>
      <c r="K391" s="1066" t="s">
        <v>15</v>
      </c>
    </row>
    <row r="392" spans="1:11" ht="15" customHeight="1">
      <c r="A392" s="1066" t="s">
        <v>1325</v>
      </c>
      <c r="B392" s="1066" t="s">
        <v>1326</v>
      </c>
      <c r="E392" s="1066" t="s">
        <v>1327</v>
      </c>
      <c r="F392" s="1066" t="s">
        <v>1328</v>
      </c>
      <c r="G392" s="1066" t="s">
        <v>13</v>
      </c>
      <c r="H392" s="1066" t="s">
        <v>556</v>
      </c>
      <c r="K392" s="1066" t="s">
        <v>15</v>
      </c>
    </row>
    <row r="393" spans="1:11" ht="15" customHeight="1">
      <c r="A393" s="1066" t="s">
        <v>1329</v>
      </c>
      <c r="B393" s="1066" t="s">
        <v>1330</v>
      </c>
      <c r="E393" s="1066" t="s">
        <v>1331</v>
      </c>
      <c r="F393" s="1066" t="s">
        <v>1332</v>
      </c>
      <c r="G393" s="1066" t="s">
        <v>13</v>
      </c>
      <c r="H393" s="1066" t="s">
        <v>556</v>
      </c>
      <c r="K393" s="1066" t="s">
        <v>15</v>
      </c>
    </row>
    <row r="394" spans="1:11" ht="15" customHeight="1">
      <c r="A394" s="1066" t="s">
        <v>1333</v>
      </c>
      <c r="B394" s="1066" t="s">
        <v>1334</v>
      </c>
      <c r="E394" s="1066" t="s">
        <v>1335</v>
      </c>
      <c r="F394" s="1066" t="s">
        <v>1336</v>
      </c>
      <c r="G394" s="1066" t="s">
        <v>13</v>
      </c>
      <c r="H394" s="1066" t="s">
        <v>556</v>
      </c>
      <c r="K394" s="1066" t="s">
        <v>15</v>
      </c>
    </row>
    <row r="395" spans="1:11" ht="15" customHeight="1">
      <c r="A395" s="1066" t="s">
        <v>1337</v>
      </c>
      <c r="B395" s="1066" t="s">
        <v>1338</v>
      </c>
      <c r="E395" s="1066" t="s">
        <v>1339</v>
      </c>
      <c r="F395" s="1066" t="s">
        <v>1340</v>
      </c>
      <c r="G395" s="1066" t="s">
        <v>13</v>
      </c>
      <c r="H395" s="1066" t="s">
        <v>556</v>
      </c>
      <c r="K395" s="1066" t="s">
        <v>15</v>
      </c>
    </row>
    <row r="396" spans="1:11" ht="15" customHeight="1">
      <c r="A396" s="1066" t="s">
        <v>1341</v>
      </c>
      <c r="B396" s="1066" t="s">
        <v>1342</v>
      </c>
      <c r="E396" s="1066" t="s">
        <v>1342</v>
      </c>
      <c r="F396" s="1066" t="s">
        <v>1343</v>
      </c>
      <c r="G396" s="1066" t="s">
        <v>13</v>
      </c>
      <c r="H396" s="1066" t="s">
        <v>556</v>
      </c>
      <c r="K396" s="1066" t="s">
        <v>15</v>
      </c>
    </row>
    <row r="397" spans="1:11" ht="15" customHeight="1">
      <c r="A397" s="1066" t="s">
        <v>1344</v>
      </c>
      <c r="B397" s="1066" t="s">
        <v>1345</v>
      </c>
      <c r="E397" s="1066" t="s">
        <v>1345</v>
      </c>
      <c r="F397" s="1066" t="s">
        <v>1346</v>
      </c>
      <c r="G397" s="1066" t="s">
        <v>13</v>
      </c>
      <c r="H397" s="1066" t="s">
        <v>556</v>
      </c>
      <c r="K397" s="1066" t="s">
        <v>15</v>
      </c>
    </row>
    <row r="398" spans="1:11" ht="15" customHeight="1">
      <c r="A398" s="1066" t="s">
        <v>1347</v>
      </c>
      <c r="B398" s="1066" t="s">
        <v>1348</v>
      </c>
      <c r="E398" s="1066" t="s">
        <v>1348</v>
      </c>
      <c r="F398" s="1066" t="s">
        <v>1349</v>
      </c>
      <c r="G398" s="1066" t="s">
        <v>13</v>
      </c>
      <c r="H398" s="1066" t="s">
        <v>556</v>
      </c>
      <c r="K398" s="1066" t="s">
        <v>15</v>
      </c>
    </row>
    <row r="399" spans="1:11" s="1065" customFormat="1" ht="15" customHeight="1">
      <c r="A399" s="1065" t="s">
        <v>1350</v>
      </c>
      <c r="B399" s="1065" t="s">
        <v>1351</v>
      </c>
      <c r="E399" s="1065" t="s">
        <v>1351</v>
      </c>
      <c r="F399" s="1065" t="s">
        <v>1352</v>
      </c>
      <c r="G399" s="1065" t="s">
        <v>421</v>
      </c>
      <c r="H399" s="1065" t="s">
        <v>1353</v>
      </c>
      <c r="K399" s="1065" t="s">
        <v>15</v>
      </c>
    </row>
    <row r="400" spans="1:11" ht="15" customHeight="1">
      <c r="A400" s="1066" t="s">
        <v>1354</v>
      </c>
      <c r="B400" s="1066" t="s">
        <v>1355</v>
      </c>
      <c r="C400" s="1066">
        <v>400120</v>
      </c>
      <c r="D400" s="1066" t="s">
        <v>1356</v>
      </c>
      <c r="E400" s="1066" t="s">
        <v>1357</v>
      </c>
      <c r="F400" s="1066" t="s">
        <v>1358</v>
      </c>
      <c r="G400" s="1066" t="s">
        <v>421</v>
      </c>
      <c r="H400" s="1066" t="s">
        <v>1353</v>
      </c>
      <c r="K400" s="1066" t="s">
        <v>15</v>
      </c>
    </row>
    <row r="401" spans="1:11" ht="15" customHeight="1">
      <c r="A401" s="1066" t="s">
        <v>1359</v>
      </c>
      <c r="B401" s="1066" t="s">
        <v>1360</v>
      </c>
      <c r="E401" s="1066" t="s">
        <v>1361</v>
      </c>
      <c r="F401" s="1066" t="s">
        <v>1362</v>
      </c>
      <c r="G401" s="1066" t="s">
        <v>421</v>
      </c>
      <c r="H401" s="1066" t="s">
        <v>1353</v>
      </c>
      <c r="K401" s="1066" t="s">
        <v>15</v>
      </c>
    </row>
    <row r="402" spans="1:11" ht="15" customHeight="1">
      <c r="A402" s="1066" t="s">
        <v>1363</v>
      </c>
      <c r="B402" s="1066" t="s">
        <v>1364</v>
      </c>
      <c r="E402" s="1066" t="s">
        <v>1365</v>
      </c>
      <c r="F402" s="1066" t="s">
        <v>1366</v>
      </c>
      <c r="G402" s="1066" t="s">
        <v>421</v>
      </c>
      <c r="H402" s="1066" t="s">
        <v>1353</v>
      </c>
      <c r="K402" s="1066" t="s">
        <v>15</v>
      </c>
    </row>
    <row r="403" spans="1:11" ht="15" customHeight="1">
      <c r="A403" s="1066" t="s">
        <v>1367</v>
      </c>
      <c r="B403" s="1066" t="s">
        <v>1368</v>
      </c>
      <c r="C403" s="1066">
        <v>400100</v>
      </c>
      <c r="D403" s="1066" t="s">
        <v>1369</v>
      </c>
      <c r="E403" s="1066" t="s">
        <v>1370</v>
      </c>
      <c r="F403" s="1066" t="s">
        <v>1371</v>
      </c>
      <c r="G403" s="1066" t="s">
        <v>421</v>
      </c>
      <c r="H403" s="1066" t="s">
        <v>1353</v>
      </c>
      <c r="K403" s="1066" t="s">
        <v>15</v>
      </c>
    </row>
    <row r="404" spans="1:11" ht="15" customHeight="1">
      <c r="A404" s="1066" t="s">
        <v>1372</v>
      </c>
      <c r="B404" s="1066" t="s">
        <v>1360</v>
      </c>
      <c r="E404" s="1066" t="s">
        <v>1373</v>
      </c>
      <c r="F404" s="1066" t="s">
        <v>1362</v>
      </c>
      <c r="G404" s="1066" t="s">
        <v>421</v>
      </c>
      <c r="H404" s="1066" t="s">
        <v>1353</v>
      </c>
      <c r="K404" s="1066" t="s">
        <v>15</v>
      </c>
    </row>
    <row r="405" spans="1:11" ht="15" customHeight="1">
      <c r="A405" s="1066" t="s">
        <v>1374</v>
      </c>
      <c r="B405" s="1066" t="s">
        <v>1364</v>
      </c>
      <c r="E405" s="1066" t="s">
        <v>1375</v>
      </c>
      <c r="F405" s="1066" t="s">
        <v>1366</v>
      </c>
      <c r="G405" s="1066" t="s">
        <v>421</v>
      </c>
      <c r="H405" s="1066" t="s">
        <v>1353</v>
      </c>
      <c r="K405" s="1066" t="s">
        <v>15</v>
      </c>
    </row>
    <row r="406" spans="1:11" ht="15" customHeight="1">
      <c r="A406" s="1066" t="s">
        <v>1376</v>
      </c>
      <c r="B406" s="1066" t="s">
        <v>375</v>
      </c>
      <c r="E406" s="1066" t="s">
        <v>1377</v>
      </c>
      <c r="F406" s="1066" t="s">
        <v>1378</v>
      </c>
      <c r="G406" s="1066" t="s">
        <v>421</v>
      </c>
      <c r="H406" s="1066" t="s">
        <v>1353</v>
      </c>
      <c r="K406" s="1066" t="s">
        <v>15</v>
      </c>
    </row>
    <row r="407" spans="1:11" ht="15" customHeight="1">
      <c r="A407" s="1066" t="s">
        <v>1379</v>
      </c>
      <c r="B407" s="1066" t="s">
        <v>379</v>
      </c>
      <c r="E407" s="1066" t="s">
        <v>1380</v>
      </c>
      <c r="F407" s="1066" t="s">
        <v>1381</v>
      </c>
      <c r="G407" s="1066" t="s">
        <v>421</v>
      </c>
      <c r="H407" s="1066" t="s">
        <v>1353</v>
      </c>
      <c r="K407" s="1066" t="s">
        <v>15</v>
      </c>
    </row>
    <row r="408" spans="1:11" ht="15" customHeight="1">
      <c r="A408" s="1066" t="s">
        <v>1382</v>
      </c>
      <c r="B408" s="1066" t="s">
        <v>383</v>
      </c>
      <c r="E408" s="1066" t="s">
        <v>1383</v>
      </c>
      <c r="F408" s="1066" t="s">
        <v>1384</v>
      </c>
      <c r="G408" s="1066" t="s">
        <v>421</v>
      </c>
      <c r="H408" s="1066" t="s">
        <v>1353</v>
      </c>
      <c r="K408" s="1066" t="s">
        <v>15</v>
      </c>
    </row>
    <row r="409" spans="1:11" ht="15" customHeight="1">
      <c r="A409" s="1066" t="s">
        <v>1385</v>
      </c>
      <c r="B409" s="1066" t="s">
        <v>1386</v>
      </c>
      <c r="E409" s="1066" t="s">
        <v>1386</v>
      </c>
      <c r="F409" s="1066" t="s">
        <v>1387</v>
      </c>
      <c r="G409" s="1066" t="s">
        <v>13</v>
      </c>
      <c r="H409" s="1066" t="s">
        <v>1388</v>
      </c>
      <c r="K409" s="1066" t="s">
        <v>15</v>
      </c>
    </row>
    <row r="410" spans="1:11" ht="15" customHeight="1">
      <c r="A410" s="1066" t="s">
        <v>1389</v>
      </c>
      <c r="B410" s="1066" t="s">
        <v>1390</v>
      </c>
      <c r="E410" s="1066" t="s">
        <v>1391</v>
      </c>
      <c r="F410" s="1066" t="s">
        <v>1392</v>
      </c>
      <c r="G410" s="1066" t="s">
        <v>13</v>
      </c>
      <c r="H410" s="1066" t="s">
        <v>1388</v>
      </c>
      <c r="K410" s="1066" t="s">
        <v>15</v>
      </c>
    </row>
    <row r="411" spans="1:11" ht="15" customHeight="1">
      <c r="A411" s="1066" t="s">
        <v>1393</v>
      </c>
      <c r="B411" s="1066" t="s">
        <v>1394</v>
      </c>
      <c r="E411" s="1066" t="s">
        <v>1395</v>
      </c>
      <c r="F411" s="1066" t="s">
        <v>1396</v>
      </c>
      <c r="G411" s="1066" t="s">
        <v>13</v>
      </c>
      <c r="H411" s="1066" t="s">
        <v>1388</v>
      </c>
      <c r="K411" s="1066" t="s">
        <v>15</v>
      </c>
    </row>
    <row r="412" spans="1:11" ht="15" customHeight="1">
      <c r="A412" s="1066" t="s">
        <v>1397</v>
      </c>
      <c r="B412" s="1066" t="s">
        <v>1398</v>
      </c>
      <c r="E412" s="1066" t="s">
        <v>1398</v>
      </c>
      <c r="F412" s="1066" t="s">
        <v>1399</v>
      </c>
      <c r="G412" s="1066" t="s">
        <v>13</v>
      </c>
      <c r="H412" s="1066" t="s">
        <v>1388</v>
      </c>
      <c r="K412" s="1066" t="s">
        <v>15</v>
      </c>
    </row>
    <row r="413" spans="1:11" ht="15" customHeight="1">
      <c r="A413" s="1066" t="s">
        <v>1400</v>
      </c>
      <c r="B413" s="1066" t="s">
        <v>1401</v>
      </c>
      <c r="C413" s="1066">
        <v>800001</v>
      </c>
      <c r="D413" s="1066" t="s">
        <v>1402</v>
      </c>
      <c r="E413" s="1066" t="s">
        <v>1403</v>
      </c>
      <c r="F413" s="1066" t="s">
        <v>1402</v>
      </c>
      <c r="G413" s="1066" t="s">
        <v>13</v>
      </c>
      <c r="H413" s="1066" t="s">
        <v>1388</v>
      </c>
      <c r="K413" s="1066" t="s">
        <v>15</v>
      </c>
    </row>
    <row r="414" spans="1:11" ht="15" customHeight="1">
      <c r="A414" s="1066" t="s">
        <v>1404</v>
      </c>
      <c r="B414" s="1066" t="s">
        <v>1405</v>
      </c>
      <c r="C414" s="1066">
        <v>800002</v>
      </c>
      <c r="D414" s="1066" t="s">
        <v>1406</v>
      </c>
      <c r="E414" s="1066" t="s">
        <v>1407</v>
      </c>
      <c r="F414" s="1066" t="s">
        <v>1408</v>
      </c>
      <c r="G414" s="1066" t="s">
        <v>13</v>
      </c>
      <c r="H414" s="1066" t="s">
        <v>1388</v>
      </c>
      <c r="K414" s="1066" t="s">
        <v>15</v>
      </c>
    </row>
    <row r="415" spans="1:11" ht="15" customHeight="1">
      <c r="A415" s="1066" t="s">
        <v>1409</v>
      </c>
      <c r="B415" s="1066" t="s">
        <v>1410</v>
      </c>
      <c r="C415" s="1066">
        <v>800002</v>
      </c>
      <c r="D415" s="1066" t="s">
        <v>1406</v>
      </c>
      <c r="E415" s="1066" t="s">
        <v>1411</v>
      </c>
      <c r="F415" s="1066" t="s">
        <v>1412</v>
      </c>
      <c r="G415" s="1066" t="s">
        <v>13</v>
      </c>
      <c r="H415" s="1066" t="s">
        <v>1388</v>
      </c>
      <c r="K415" s="1066" t="s">
        <v>15</v>
      </c>
    </row>
    <row r="416" spans="1:11" ht="15" customHeight="1">
      <c r="A416" s="1066" t="s">
        <v>1413</v>
      </c>
      <c r="B416" s="1066" t="s">
        <v>1414</v>
      </c>
      <c r="C416" s="1066">
        <v>800002</v>
      </c>
      <c r="D416" s="1066" t="s">
        <v>1406</v>
      </c>
      <c r="E416" s="1066" t="s">
        <v>1415</v>
      </c>
      <c r="F416" s="1066" t="s">
        <v>1416</v>
      </c>
      <c r="G416" s="1066" t="s">
        <v>13</v>
      </c>
      <c r="H416" s="1066" t="s">
        <v>1388</v>
      </c>
      <c r="K416" s="1066" t="s">
        <v>15</v>
      </c>
    </row>
    <row r="417" spans="1:11" ht="15" customHeight="1">
      <c r="A417" s="1066" t="s">
        <v>1417</v>
      </c>
      <c r="B417" s="1066" t="s">
        <v>1418</v>
      </c>
      <c r="E417" s="1066" t="s">
        <v>1419</v>
      </c>
      <c r="F417" s="1066" t="s">
        <v>1420</v>
      </c>
      <c r="G417" s="1066" t="s">
        <v>13</v>
      </c>
      <c r="H417" s="1066" t="s">
        <v>1388</v>
      </c>
      <c r="K417" s="1066" t="s">
        <v>15</v>
      </c>
    </row>
    <row r="418" spans="1:11" ht="15" customHeight="1">
      <c r="A418" s="1066" t="s">
        <v>1421</v>
      </c>
      <c r="B418" s="1066" t="s">
        <v>1422</v>
      </c>
      <c r="E418" s="1066" t="s">
        <v>1422</v>
      </c>
      <c r="F418" s="1066" t="s">
        <v>1423</v>
      </c>
      <c r="G418" s="1066" t="s">
        <v>13</v>
      </c>
      <c r="H418" s="1066" t="s">
        <v>1424</v>
      </c>
      <c r="K418" s="1066" t="s">
        <v>15</v>
      </c>
    </row>
    <row r="419" spans="1:11" ht="15" customHeight="1">
      <c r="A419" s="1066" t="s">
        <v>1425</v>
      </c>
      <c r="B419" s="1066" t="s">
        <v>1426</v>
      </c>
      <c r="E419" s="1066" t="s">
        <v>1426</v>
      </c>
      <c r="F419" s="1066" t="s">
        <v>1427</v>
      </c>
      <c r="G419" s="1066" t="s">
        <v>13</v>
      </c>
      <c r="H419" s="1066" t="s">
        <v>1424</v>
      </c>
      <c r="K419" s="1066" t="s">
        <v>15</v>
      </c>
    </row>
    <row r="420" spans="1:11" ht="15" customHeight="1">
      <c r="A420" s="1066" t="s">
        <v>1428</v>
      </c>
      <c r="B420" s="1066" t="s">
        <v>1429</v>
      </c>
      <c r="E420" s="1066" t="s">
        <v>1430</v>
      </c>
      <c r="F420" s="1066" t="s">
        <v>1431</v>
      </c>
      <c r="G420" s="1066" t="s">
        <v>13</v>
      </c>
      <c r="H420" s="1066" t="s">
        <v>1424</v>
      </c>
      <c r="K420" s="1066" t="s">
        <v>15</v>
      </c>
    </row>
    <row r="421" spans="1:11" ht="15" customHeight="1">
      <c r="A421" s="1066" t="s">
        <v>1432</v>
      </c>
      <c r="B421" s="1066" t="s">
        <v>1433</v>
      </c>
      <c r="C421" s="1066">
        <v>501002</v>
      </c>
      <c r="D421" s="1066" t="s">
        <v>1434</v>
      </c>
      <c r="E421" s="1066" t="s">
        <v>1435</v>
      </c>
      <c r="F421" s="1066" t="s">
        <v>1436</v>
      </c>
      <c r="G421" s="1066" t="s">
        <v>13</v>
      </c>
      <c r="H421" s="1066" t="s">
        <v>1424</v>
      </c>
      <c r="K421" s="1066" t="s">
        <v>15</v>
      </c>
    </row>
    <row r="422" spans="1:11" ht="15" customHeight="1">
      <c r="A422" s="1066" t="s">
        <v>1437</v>
      </c>
      <c r="B422" s="1066" t="s">
        <v>1438</v>
      </c>
      <c r="E422" s="1066" t="s">
        <v>1439</v>
      </c>
      <c r="F422" s="1066" t="s">
        <v>1440</v>
      </c>
      <c r="G422" s="1066" t="s">
        <v>13</v>
      </c>
      <c r="H422" s="1066" t="s">
        <v>1424</v>
      </c>
      <c r="K422" s="1066" t="s">
        <v>15</v>
      </c>
    </row>
    <row r="423" spans="1:11" ht="15" customHeight="1">
      <c r="A423" s="1066" t="s">
        <v>1441</v>
      </c>
      <c r="B423" s="1066" t="s">
        <v>1442</v>
      </c>
      <c r="C423" s="1066">
        <v>501021</v>
      </c>
      <c r="D423" s="1066" t="s">
        <v>1443</v>
      </c>
      <c r="E423" s="1066" t="s">
        <v>1444</v>
      </c>
      <c r="F423" s="1066" t="s">
        <v>1445</v>
      </c>
      <c r="G423" s="1066" t="s">
        <v>13</v>
      </c>
      <c r="H423" s="1066" t="s">
        <v>1424</v>
      </c>
      <c r="K423" s="1066" t="s">
        <v>15</v>
      </c>
    </row>
    <row r="424" spans="1:11" ht="15" customHeight="1">
      <c r="A424" s="1066" t="s">
        <v>1441</v>
      </c>
      <c r="B424" s="1066" t="s">
        <v>1446</v>
      </c>
      <c r="C424" s="1066">
        <v>501020</v>
      </c>
      <c r="D424" s="1066" t="s">
        <v>1447</v>
      </c>
      <c r="E424" s="1066" t="s">
        <v>1448</v>
      </c>
      <c r="F424" s="1066" t="s">
        <v>788</v>
      </c>
    </row>
    <row r="425" spans="1:11" ht="15" customHeight="1">
      <c r="A425" s="1066" t="s">
        <v>1449</v>
      </c>
      <c r="B425" s="1066" t="s">
        <v>1450</v>
      </c>
      <c r="E425" s="1066" t="s">
        <v>1451</v>
      </c>
      <c r="F425" s="1066" t="s">
        <v>1452</v>
      </c>
      <c r="G425" s="1066" t="s">
        <v>13</v>
      </c>
      <c r="H425" s="1066" t="s">
        <v>1424</v>
      </c>
      <c r="K425" s="1066" t="s">
        <v>15</v>
      </c>
    </row>
    <row r="426" spans="1:11" ht="15" customHeight="1">
      <c r="A426" s="1066" t="s">
        <v>1453</v>
      </c>
      <c r="B426" s="1066" t="s">
        <v>1454</v>
      </c>
      <c r="C426" s="1066">
        <v>501010</v>
      </c>
      <c r="D426" s="1066" t="s">
        <v>832</v>
      </c>
      <c r="E426" s="1066" t="s">
        <v>1455</v>
      </c>
      <c r="F426" s="1066" t="s">
        <v>1456</v>
      </c>
      <c r="G426" s="1066" t="s">
        <v>13</v>
      </c>
      <c r="H426" s="1066" t="s">
        <v>1424</v>
      </c>
      <c r="K426" s="1066" t="s">
        <v>15</v>
      </c>
    </row>
    <row r="427" spans="1:11" ht="15" customHeight="1">
      <c r="A427" s="1066" t="s">
        <v>1457</v>
      </c>
      <c r="B427" s="1066" t="s">
        <v>790</v>
      </c>
      <c r="E427" s="1066" t="s">
        <v>1458</v>
      </c>
      <c r="F427" s="1066" t="s">
        <v>792</v>
      </c>
      <c r="G427" s="1066" t="s">
        <v>13</v>
      </c>
      <c r="H427" s="1066" t="s">
        <v>1424</v>
      </c>
      <c r="K427" s="1066" t="s">
        <v>15</v>
      </c>
    </row>
    <row r="428" spans="1:11" ht="15" customHeight="1">
      <c r="A428" s="1066" t="s">
        <v>1459</v>
      </c>
      <c r="B428" s="1066" t="s">
        <v>1460</v>
      </c>
      <c r="C428" s="1066">
        <v>5080040</v>
      </c>
      <c r="D428" s="1066" t="s">
        <v>1461</v>
      </c>
      <c r="E428" s="1066" t="s">
        <v>1462</v>
      </c>
      <c r="F428" s="1066" t="s">
        <v>1463</v>
      </c>
    </row>
    <row r="429" spans="1:11" ht="15" customHeight="1">
      <c r="A429" s="1066" t="s">
        <v>1464</v>
      </c>
      <c r="B429" s="1066" t="s">
        <v>1465</v>
      </c>
      <c r="C429" s="1066">
        <v>501001</v>
      </c>
      <c r="D429" s="1066" t="s">
        <v>1466</v>
      </c>
      <c r="E429" s="1066" t="s">
        <v>1467</v>
      </c>
      <c r="F429" s="1066" t="s">
        <v>1468</v>
      </c>
    </row>
    <row r="430" spans="1:11" ht="15" customHeight="1">
      <c r="A430" s="1066" t="s">
        <v>1469</v>
      </c>
      <c r="B430" s="1066" t="s">
        <v>1470</v>
      </c>
      <c r="C430" s="1066">
        <v>501020</v>
      </c>
      <c r="D430" s="1066" t="s">
        <v>1447</v>
      </c>
      <c r="E430" s="1066" t="s">
        <v>1471</v>
      </c>
      <c r="F430" s="1066" t="s">
        <v>1472</v>
      </c>
    </row>
    <row r="431" spans="1:11" ht="15" customHeight="1">
      <c r="A431" s="1066" t="s">
        <v>1473</v>
      </c>
      <c r="B431" s="1066" t="s">
        <v>794</v>
      </c>
      <c r="E431" s="1066" t="s">
        <v>1474</v>
      </c>
      <c r="F431" s="1066" t="s">
        <v>796</v>
      </c>
      <c r="G431" s="1066" t="s">
        <v>13</v>
      </c>
      <c r="H431" s="1066" t="s">
        <v>1424</v>
      </c>
      <c r="K431" s="1066" t="s">
        <v>15</v>
      </c>
    </row>
    <row r="432" spans="1:11" ht="15" customHeight="1">
      <c r="A432" s="1066" t="s">
        <v>1475</v>
      </c>
      <c r="B432" s="1066" t="s">
        <v>1476</v>
      </c>
      <c r="C432" s="1066">
        <v>501031</v>
      </c>
      <c r="D432" s="1066" t="s">
        <v>1477</v>
      </c>
      <c r="E432" s="1066" t="s">
        <v>1478</v>
      </c>
      <c r="F432" s="1066" t="s">
        <v>1479</v>
      </c>
      <c r="G432" s="1066" t="s">
        <v>13</v>
      </c>
      <c r="H432" s="1066" t="s">
        <v>1424</v>
      </c>
      <c r="K432" s="1066" t="s">
        <v>15</v>
      </c>
    </row>
    <row r="433" spans="1:11" ht="15" customHeight="1">
      <c r="A433" s="1066" t="s">
        <v>1480</v>
      </c>
      <c r="B433" s="1066" t="s">
        <v>1481</v>
      </c>
      <c r="C433" s="1066">
        <v>502060</v>
      </c>
      <c r="D433" s="1066" t="s">
        <v>1482</v>
      </c>
      <c r="E433" s="1066" t="s">
        <v>1483</v>
      </c>
      <c r="F433" s="1066" t="s">
        <v>1484</v>
      </c>
      <c r="G433" s="1066" t="s">
        <v>13</v>
      </c>
      <c r="H433" s="1066" t="s">
        <v>1424</v>
      </c>
      <c r="K433" s="1066" t="s">
        <v>15</v>
      </c>
    </row>
    <row r="434" spans="1:11" ht="15" customHeight="1">
      <c r="A434" s="1066" t="s">
        <v>1485</v>
      </c>
      <c r="B434" s="1066" t="s">
        <v>1486</v>
      </c>
      <c r="E434" s="1066" t="s">
        <v>1487</v>
      </c>
      <c r="F434" s="1066" t="s">
        <v>1488</v>
      </c>
      <c r="G434" s="1066" t="s">
        <v>13</v>
      </c>
      <c r="H434" s="1066" t="s">
        <v>1424</v>
      </c>
      <c r="K434" s="1066" t="s">
        <v>15</v>
      </c>
    </row>
    <row r="435" spans="1:11" ht="15" customHeight="1">
      <c r="A435" s="1066" t="s">
        <v>1489</v>
      </c>
      <c r="B435" s="1066" t="s">
        <v>1490</v>
      </c>
      <c r="E435" s="1066" t="s">
        <v>1491</v>
      </c>
      <c r="F435" s="1066" t="s">
        <v>1492</v>
      </c>
      <c r="G435" s="1066" t="s">
        <v>13</v>
      </c>
      <c r="H435" s="1066" t="s">
        <v>1424</v>
      </c>
      <c r="K435" s="1066" t="s">
        <v>15</v>
      </c>
    </row>
    <row r="436" spans="1:11" ht="15" customHeight="1">
      <c r="A436" s="1066" t="s">
        <v>1493</v>
      </c>
      <c r="B436" s="1066" t="s">
        <v>1494</v>
      </c>
      <c r="E436" s="1066" t="s">
        <v>1495</v>
      </c>
      <c r="F436" s="1066" t="s">
        <v>1496</v>
      </c>
      <c r="G436" s="1066" t="s">
        <v>13</v>
      </c>
      <c r="H436" s="1066" t="s">
        <v>1424</v>
      </c>
      <c r="K436" s="1066" t="s">
        <v>15</v>
      </c>
    </row>
    <row r="437" spans="1:11" ht="15" customHeight="1">
      <c r="A437" s="1066" t="s">
        <v>1497</v>
      </c>
      <c r="B437" s="1066" t="s">
        <v>1498</v>
      </c>
      <c r="C437" s="1066">
        <v>501030</v>
      </c>
      <c r="D437" s="1066" t="s">
        <v>1499</v>
      </c>
      <c r="E437" s="1066" t="s">
        <v>1500</v>
      </c>
      <c r="F437" s="1066" t="s">
        <v>1501</v>
      </c>
      <c r="G437" s="1066" t="s">
        <v>13</v>
      </c>
      <c r="H437" s="1066" t="s">
        <v>1424</v>
      </c>
      <c r="K437" s="1066" t="s">
        <v>15</v>
      </c>
    </row>
    <row r="438" spans="1:11" ht="15" customHeight="1">
      <c r="A438" s="1066" t="s">
        <v>1502</v>
      </c>
      <c r="B438" s="1066" t="s">
        <v>1503</v>
      </c>
      <c r="E438" s="1066" t="s">
        <v>1504</v>
      </c>
      <c r="F438" s="1066" t="s">
        <v>1505</v>
      </c>
      <c r="G438" s="1066" t="s">
        <v>13</v>
      </c>
      <c r="H438" s="1066" t="s">
        <v>1424</v>
      </c>
      <c r="K438" s="1066" t="s">
        <v>15</v>
      </c>
    </row>
    <row r="439" spans="1:11" ht="15" customHeight="1">
      <c r="A439" s="1066" t="s">
        <v>1506</v>
      </c>
      <c r="B439" s="1066" t="s">
        <v>1507</v>
      </c>
      <c r="C439" s="1066">
        <v>501032</v>
      </c>
      <c r="D439" s="1066" t="s">
        <v>1508</v>
      </c>
      <c r="E439" s="1066" t="s">
        <v>1509</v>
      </c>
    </row>
    <row r="440" spans="1:11" ht="15" customHeight="1">
      <c r="A440" s="1066" t="s">
        <v>1510</v>
      </c>
      <c r="B440" s="1066" t="s">
        <v>1511</v>
      </c>
      <c r="E440" s="1066" t="s">
        <v>1512</v>
      </c>
      <c r="F440" s="1066" t="s">
        <v>1513</v>
      </c>
      <c r="G440" s="1066" t="s">
        <v>13</v>
      </c>
      <c r="H440" s="1066" t="s">
        <v>1424</v>
      </c>
      <c r="K440" s="1066" t="s">
        <v>15</v>
      </c>
    </row>
    <row r="441" spans="1:11" ht="15" customHeight="1">
      <c r="A441" s="1066" t="s">
        <v>1514</v>
      </c>
      <c r="B441" s="1066" t="s">
        <v>1515</v>
      </c>
      <c r="C441" s="1066">
        <v>507017</v>
      </c>
      <c r="D441" s="1066" t="s">
        <v>1516</v>
      </c>
      <c r="E441" s="1066" t="s">
        <v>1517</v>
      </c>
      <c r="F441" s="1066" t="s">
        <v>1518</v>
      </c>
      <c r="G441" s="1066" t="s">
        <v>13</v>
      </c>
      <c r="H441" s="1066" t="s">
        <v>1424</v>
      </c>
      <c r="K441" s="1066" t="s">
        <v>15</v>
      </c>
    </row>
    <row r="442" spans="1:11" ht="15" customHeight="1">
      <c r="A442" s="1066" t="s">
        <v>1519</v>
      </c>
      <c r="B442" s="1066" t="s">
        <v>1520</v>
      </c>
      <c r="C442" s="1066">
        <v>507013</v>
      </c>
      <c r="D442" s="1066" t="s">
        <v>1521</v>
      </c>
      <c r="E442" s="1066" t="s">
        <v>1522</v>
      </c>
      <c r="F442" s="1066" t="s">
        <v>1523</v>
      </c>
      <c r="G442" s="1066" t="s">
        <v>13</v>
      </c>
      <c r="H442" s="1066" t="s">
        <v>1424</v>
      </c>
      <c r="K442" s="1066" t="s">
        <v>15</v>
      </c>
    </row>
    <row r="443" spans="1:11" ht="15" customHeight="1">
      <c r="A443" s="1066" t="s">
        <v>1524</v>
      </c>
      <c r="B443" s="1066" t="s">
        <v>1525</v>
      </c>
      <c r="C443" s="1066">
        <v>509003</v>
      </c>
      <c r="D443" s="1066" t="s">
        <v>1526</v>
      </c>
      <c r="E443" s="1066" t="s">
        <v>1527</v>
      </c>
      <c r="F443" s="1066" t="s">
        <v>1528</v>
      </c>
      <c r="G443" s="1066" t="s">
        <v>13</v>
      </c>
      <c r="H443" s="1066" t="s">
        <v>1424</v>
      </c>
      <c r="J443" s="1066" t="s">
        <v>1529</v>
      </c>
      <c r="K443" s="1066" t="s">
        <v>15</v>
      </c>
    </row>
    <row r="444" spans="1:11" ht="15" customHeight="1">
      <c r="A444" s="1066" t="s">
        <v>1530</v>
      </c>
      <c r="B444" s="1066" t="s">
        <v>1531</v>
      </c>
      <c r="E444" s="1066" t="s">
        <v>1532</v>
      </c>
      <c r="F444" s="1066" t="s">
        <v>1533</v>
      </c>
      <c r="G444" s="1066" t="s">
        <v>13</v>
      </c>
      <c r="H444" s="1066" t="s">
        <v>1424</v>
      </c>
      <c r="K444" s="1066" t="s">
        <v>15</v>
      </c>
    </row>
    <row r="445" spans="1:11" ht="15" customHeight="1">
      <c r="A445" s="1066" t="s">
        <v>1534</v>
      </c>
      <c r="B445" s="1066" t="s">
        <v>1535</v>
      </c>
      <c r="C445" s="1066">
        <v>502040</v>
      </c>
      <c r="D445" s="1066" t="s">
        <v>1536</v>
      </c>
      <c r="E445" s="1066" t="s">
        <v>1537</v>
      </c>
      <c r="F445" s="1066" t="s">
        <v>1538</v>
      </c>
      <c r="G445" s="1066" t="s">
        <v>13</v>
      </c>
      <c r="H445" s="1066" t="s">
        <v>1424</v>
      </c>
      <c r="K445" s="1066" t="s">
        <v>15</v>
      </c>
    </row>
    <row r="446" spans="1:11" ht="15" customHeight="1">
      <c r="A446" s="1066" t="s">
        <v>1539</v>
      </c>
      <c r="B446" s="1066" t="s">
        <v>1540</v>
      </c>
      <c r="C446" s="1066">
        <v>507016</v>
      </c>
      <c r="D446" s="1066" t="s">
        <v>1541</v>
      </c>
      <c r="E446" s="1066" t="s">
        <v>1542</v>
      </c>
      <c r="F446" s="1066" t="s">
        <v>1543</v>
      </c>
      <c r="G446" s="1066" t="s">
        <v>13</v>
      </c>
      <c r="H446" s="1066" t="s">
        <v>1424</v>
      </c>
      <c r="J446" s="1066" t="s">
        <v>1529</v>
      </c>
      <c r="K446" s="1066" t="s">
        <v>15</v>
      </c>
    </row>
    <row r="447" spans="1:11" ht="15" customHeight="1">
      <c r="A447" s="1066" t="s">
        <v>1544</v>
      </c>
      <c r="B447" s="1066" t="s">
        <v>1545</v>
      </c>
      <c r="C447" s="1066">
        <v>507018</v>
      </c>
      <c r="D447" s="1066" t="s">
        <v>1546</v>
      </c>
      <c r="E447" s="1066" t="s">
        <v>1547</v>
      </c>
      <c r="F447" s="1066" t="s">
        <v>1548</v>
      </c>
      <c r="G447" s="1066" t="s">
        <v>13</v>
      </c>
      <c r="H447" s="1066" t="s">
        <v>1424</v>
      </c>
      <c r="K447" s="1066" t="s">
        <v>15</v>
      </c>
    </row>
    <row r="448" spans="1:11" ht="15" customHeight="1">
      <c r="A448" s="1066" t="s">
        <v>1549</v>
      </c>
      <c r="B448" s="1066" t="s">
        <v>1550</v>
      </c>
      <c r="C448" s="1066">
        <v>502041</v>
      </c>
      <c r="D448" s="1066" t="s">
        <v>1551</v>
      </c>
      <c r="E448" s="1066" t="s">
        <v>1552</v>
      </c>
      <c r="F448" s="1066" t="s">
        <v>1553</v>
      </c>
      <c r="G448" s="1066" t="s">
        <v>13</v>
      </c>
      <c r="H448" s="1066" t="s">
        <v>1424</v>
      </c>
      <c r="K448" s="1066" t="s">
        <v>15</v>
      </c>
    </row>
    <row r="449" spans="1:11" ht="15" customHeight="1">
      <c r="A449" s="1066" t="s">
        <v>1554</v>
      </c>
      <c r="B449" s="1066" t="s">
        <v>1555</v>
      </c>
      <c r="E449" s="1066" t="s">
        <v>1556</v>
      </c>
      <c r="F449" s="1066" t="s">
        <v>1557</v>
      </c>
      <c r="G449" s="1066" t="s">
        <v>13</v>
      </c>
      <c r="H449" s="1066" t="s">
        <v>1424</v>
      </c>
      <c r="J449" s="1066" t="s">
        <v>1529</v>
      </c>
      <c r="K449" s="1066" t="s">
        <v>15</v>
      </c>
    </row>
    <row r="450" spans="1:11" ht="15" customHeight="1">
      <c r="A450" s="1066" t="s">
        <v>1558</v>
      </c>
      <c r="B450" s="1066" t="s">
        <v>1559</v>
      </c>
      <c r="E450" s="1066" t="s">
        <v>1560</v>
      </c>
      <c r="F450" s="1066" t="s">
        <v>1561</v>
      </c>
      <c r="G450" s="1066" t="s">
        <v>13</v>
      </c>
      <c r="H450" s="1066" t="s">
        <v>1424</v>
      </c>
      <c r="K450" s="1066" t="s">
        <v>15</v>
      </c>
    </row>
    <row r="451" spans="1:11" ht="15" customHeight="1">
      <c r="A451" s="1066" t="s">
        <v>1562</v>
      </c>
      <c r="B451" s="1066" t="s">
        <v>1310</v>
      </c>
      <c r="E451" s="1066" t="s">
        <v>1563</v>
      </c>
      <c r="F451" s="1066" t="s">
        <v>1312</v>
      </c>
    </row>
    <row r="452" spans="1:11" ht="15" customHeight="1">
      <c r="A452" s="1066" t="s">
        <v>1564</v>
      </c>
      <c r="B452" s="1066" t="s">
        <v>1565</v>
      </c>
      <c r="C452" s="1066">
        <v>507019</v>
      </c>
      <c r="D452" s="1066" t="s">
        <v>1566</v>
      </c>
      <c r="E452" s="1066" t="s">
        <v>1567</v>
      </c>
      <c r="F452" s="1066" t="s">
        <v>1568</v>
      </c>
    </row>
    <row r="453" spans="1:11" ht="15" customHeight="1">
      <c r="A453" s="1066" t="s">
        <v>1569</v>
      </c>
      <c r="B453" s="1066" t="s">
        <v>1390</v>
      </c>
      <c r="C453" s="1066">
        <v>506017</v>
      </c>
      <c r="D453" s="1066" t="s">
        <v>1570</v>
      </c>
      <c r="E453" s="1066" t="s">
        <v>1571</v>
      </c>
      <c r="F453" s="1066" t="s">
        <v>1572</v>
      </c>
    </row>
    <row r="454" spans="1:11" ht="15" customHeight="1">
      <c r="A454" s="1066" t="s">
        <v>1573</v>
      </c>
      <c r="B454" s="1066" t="s">
        <v>1024</v>
      </c>
      <c r="E454" s="1066" t="s">
        <v>1574</v>
      </c>
      <c r="F454" s="1066" t="s">
        <v>1026</v>
      </c>
      <c r="G454" s="1066" t="s">
        <v>13</v>
      </c>
      <c r="H454" s="1066" t="s">
        <v>1424</v>
      </c>
      <c r="J454" s="1066" t="s">
        <v>1529</v>
      </c>
      <c r="K454" s="1066" t="s">
        <v>15</v>
      </c>
    </row>
    <row r="455" spans="1:11" ht="15" customHeight="1">
      <c r="A455" s="1066" t="s">
        <v>1575</v>
      </c>
      <c r="B455" s="1066" t="s">
        <v>1576</v>
      </c>
      <c r="E455" s="1066" t="s">
        <v>1577</v>
      </c>
      <c r="F455" s="1066" t="s">
        <v>1578</v>
      </c>
      <c r="G455" s="1066" t="s">
        <v>13</v>
      </c>
      <c r="H455" s="1066" t="s">
        <v>1424</v>
      </c>
      <c r="K455" s="1066" t="s">
        <v>15</v>
      </c>
    </row>
    <row r="456" spans="1:11" ht="15" customHeight="1">
      <c r="A456" s="1066" t="s">
        <v>1579</v>
      </c>
      <c r="B456" s="1066" t="s">
        <v>1580</v>
      </c>
      <c r="E456" s="1066" t="s">
        <v>1581</v>
      </c>
      <c r="F456" s="1066" t="s">
        <v>1582</v>
      </c>
      <c r="G456" s="1066" t="s">
        <v>13</v>
      </c>
      <c r="H456" s="1066" t="s">
        <v>1424</v>
      </c>
      <c r="K456" s="1066" t="s">
        <v>15</v>
      </c>
    </row>
    <row r="457" spans="1:11" ht="15" customHeight="1">
      <c r="A457" s="1066" t="s">
        <v>1583</v>
      </c>
      <c r="B457" s="1066" t="s">
        <v>663</v>
      </c>
      <c r="E457" s="1066" t="s">
        <v>1584</v>
      </c>
      <c r="F457" s="1066" t="s">
        <v>665</v>
      </c>
      <c r="G457" s="1066" t="s">
        <v>13</v>
      </c>
      <c r="H457" s="1066" t="s">
        <v>1424</v>
      </c>
      <c r="K457" s="1066" t="s">
        <v>15</v>
      </c>
    </row>
    <row r="458" spans="1:11" ht="15" customHeight="1">
      <c r="A458" s="1066" t="s">
        <v>1585</v>
      </c>
      <c r="B458" s="1066" t="s">
        <v>1586</v>
      </c>
      <c r="E458" s="1066" t="s">
        <v>1587</v>
      </c>
      <c r="F458" s="1066" t="s">
        <v>1588</v>
      </c>
      <c r="G458" s="1066" t="s">
        <v>13</v>
      </c>
      <c r="H458" s="1066" t="s">
        <v>1424</v>
      </c>
      <c r="K458" s="1066" t="s">
        <v>15</v>
      </c>
    </row>
    <row r="459" spans="1:11" ht="15" customHeight="1">
      <c r="A459" s="1066" t="s">
        <v>1589</v>
      </c>
      <c r="B459" s="1066" t="s">
        <v>1590</v>
      </c>
      <c r="E459" s="1066" t="s">
        <v>1591</v>
      </c>
      <c r="F459" s="1066" t="s">
        <v>1592</v>
      </c>
      <c r="G459" s="1066" t="s">
        <v>13</v>
      </c>
      <c r="H459" s="1066" t="s">
        <v>1424</v>
      </c>
      <c r="K459" s="1066" t="s">
        <v>15</v>
      </c>
    </row>
    <row r="460" spans="1:11" ht="15" customHeight="1">
      <c r="A460" s="1066" t="s">
        <v>1593</v>
      </c>
      <c r="B460" s="1066" t="s">
        <v>1594</v>
      </c>
      <c r="C460" s="1066">
        <v>5080011</v>
      </c>
      <c r="D460" s="1066" t="s">
        <v>1595</v>
      </c>
      <c r="E460" s="1066" t="s">
        <v>1596</v>
      </c>
      <c r="F460" s="1066" t="s">
        <v>1597</v>
      </c>
      <c r="G460" s="1066" t="s">
        <v>13</v>
      </c>
      <c r="H460" s="1066" t="s">
        <v>1424</v>
      </c>
      <c r="K460" s="1066" t="s">
        <v>15</v>
      </c>
    </row>
    <row r="461" spans="1:11" ht="15" customHeight="1">
      <c r="A461" s="1066" t="s">
        <v>1598</v>
      </c>
      <c r="B461" s="1066" t="s">
        <v>1599</v>
      </c>
      <c r="C461" s="1066">
        <v>5080061</v>
      </c>
      <c r="D461" s="1066" t="s">
        <v>1600</v>
      </c>
      <c r="E461" s="1066" t="s">
        <v>1601</v>
      </c>
      <c r="F461" s="1066" t="s">
        <v>1602</v>
      </c>
      <c r="G461" s="1066" t="s">
        <v>13</v>
      </c>
      <c r="H461" s="1066" t="s">
        <v>1424</v>
      </c>
      <c r="K461" s="1066" t="s">
        <v>15</v>
      </c>
    </row>
    <row r="462" spans="1:11" ht="15" customHeight="1">
      <c r="A462" s="1066" t="s">
        <v>1603</v>
      </c>
      <c r="B462" s="1066" t="s">
        <v>1604</v>
      </c>
      <c r="E462" s="1066" t="s">
        <v>1605</v>
      </c>
      <c r="F462" s="1066" t="s">
        <v>1606</v>
      </c>
      <c r="G462" s="1066" t="s">
        <v>13</v>
      </c>
      <c r="H462" s="1066" t="s">
        <v>1424</v>
      </c>
      <c r="K462" s="1066" t="s">
        <v>15</v>
      </c>
    </row>
    <row r="463" spans="1:11" ht="15" customHeight="1">
      <c r="A463" s="1066" t="s">
        <v>1607</v>
      </c>
      <c r="B463" s="1066" t="s">
        <v>1330</v>
      </c>
      <c r="C463" s="1066">
        <v>5080020</v>
      </c>
      <c r="D463" s="1066" t="s">
        <v>1608</v>
      </c>
      <c r="E463" s="1066" t="s">
        <v>1609</v>
      </c>
      <c r="F463" s="1066" t="s">
        <v>1332</v>
      </c>
      <c r="G463" s="1066" t="s">
        <v>13</v>
      </c>
      <c r="H463" s="1066" t="s">
        <v>1424</v>
      </c>
      <c r="K463" s="1066" t="s">
        <v>15</v>
      </c>
    </row>
    <row r="464" spans="1:11" ht="15" customHeight="1">
      <c r="A464" s="1066" t="s">
        <v>1610</v>
      </c>
      <c r="B464" s="1066" t="s">
        <v>731</v>
      </c>
      <c r="C464" s="1066">
        <v>504015</v>
      </c>
      <c r="D464" s="1066" t="s">
        <v>1611</v>
      </c>
      <c r="E464" s="1066" t="s">
        <v>1612</v>
      </c>
      <c r="F464" s="1066" t="s">
        <v>1613</v>
      </c>
      <c r="G464" s="1066" t="s">
        <v>13</v>
      </c>
      <c r="H464" s="1066" t="s">
        <v>1424</v>
      </c>
      <c r="K464" s="1066" t="s">
        <v>15</v>
      </c>
    </row>
    <row r="465" spans="1:11" ht="15" customHeight="1">
      <c r="A465" s="1066" t="s">
        <v>1614</v>
      </c>
      <c r="B465" s="1066" t="s">
        <v>1615</v>
      </c>
      <c r="E465" s="1066" t="s">
        <v>1616</v>
      </c>
      <c r="F465" s="1066" t="s">
        <v>1617</v>
      </c>
      <c r="G465" s="1066" t="s">
        <v>13</v>
      </c>
      <c r="H465" s="1066" t="s">
        <v>1424</v>
      </c>
      <c r="K465" s="1066" t="s">
        <v>15</v>
      </c>
    </row>
    <row r="466" spans="1:11" ht="15" customHeight="1">
      <c r="A466" s="1066" t="s">
        <v>1618</v>
      </c>
      <c r="B466" s="1066" t="s">
        <v>1460</v>
      </c>
      <c r="C466" s="1066">
        <v>5080030</v>
      </c>
      <c r="D466" s="1066" t="s">
        <v>1619</v>
      </c>
      <c r="E466" s="1066" t="s">
        <v>1620</v>
      </c>
      <c r="F466" s="1066" t="s">
        <v>1463</v>
      </c>
    </row>
    <row r="467" spans="1:11" ht="15" customHeight="1">
      <c r="A467" s="1066" t="s">
        <v>1621</v>
      </c>
      <c r="B467" s="1066" t="s">
        <v>1024</v>
      </c>
      <c r="E467" s="1066" t="s">
        <v>1622</v>
      </c>
      <c r="F467" s="1066" t="s">
        <v>1026</v>
      </c>
      <c r="G467" s="1066" t="s">
        <v>13</v>
      </c>
      <c r="H467" s="1066" t="s">
        <v>1424</v>
      </c>
      <c r="K467" s="1066" t="s">
        <v>15</v>
      </c>
    </row>
    <row r="468" spans="1:11" ht="15" customHeight="1">
      <c r="A468" s="1066" t="s">
        <v>1623</v>
      </c>
      <c r="B468" s="1066" t="s">
        <v>1624</v>
      </c>
      <c r="C468" s="1066">
        <v>506016</v>
      </c>
      <c r="D468" s="1066" t="s">
        <v>1625</v>
      </c>
      <c r="E468" s="1066" t="s">
        <v>1626</v>
      </c>
      <c r="F468" s="1066" t="s">
        <v>1627</v>
      </c>
      <c r="G468" s="1066" t="s">
        <v>13</v>
      </c>
      <c r="H468" s="1066" t="s">
        <v>1424</v>
      </c>
      <c r="J468" s="1066" t="s">
        <v>1529</v>
      </c>
      <c r="K468" s="1066" t="s">
        <v>15</v>
      </c>
    </row>
    <row r="469" spans="1:11" ht="15" customHeight="1">
      <c r="A469" s="1066" t="s">
        <v>1628</v>
      </c>
      <c r="B469" s="1066" t="s">
        <v>1629</v>
      </c>
      <c r="E469" s="1066" t="s">
        <v>1630</v>
      </c>
      <c r="F469" s="1066" t="s">
        <v>1631</v>
      </c>
      <c r="G469" s="1066" t="s">
        <v>13</v>
      </c>
      <c r="H469" s="1066" t="s">
        <v>1424</v>
      </c>
      <c r="K469" s="1066" t="s">
        <v>15</v>
      </c>
    </row>
    <row r="470" spans="1:11" ht="15" customHeight="1">
      <c r="A470" s="1066" t="s">
        <v>1632</v>
      </c>
      <c r="B470" s="1066" t="s">
        <v>1633</v>
      </c>
      <c r="E470" s="1066" t="s">
        <v>1634</v>
      </c>
      <c r="F470" s="1066" t="s">
        <v>1635</v>
      </c>
      <c r="G470" s="1066" t="s">
        <v>13</v>
      </c>
      <c r="H470" s="1066" t="s">
        <v>1424</v>
      </c>
      <c r="J470" s="1066" t="s">
        <v>1529</v>
      </c>
      <c r="K470" s="1066" t="s">
        <v>15</v>
      </c>
    </row>
    <row r="471" spans="1:11" ht="15" customHeight="1">
      <c r="A471" s="1066" t="s">
        <v>1636</v>
      </c>
      <c r="B471" s="1066" t="s">
        <v>1637</v>
      </c>
      <c r="C471" s="1066">
        <v>505001</v>
      </c>
      <c r="D471" s="1066" t="s">
        <v>1638</v>
      </c>
      <c r="E471" s="1066" t="s">
        <v>1639</v>
      </c>
      <c r="F471" s="1066" t="s">
        <v>1640</v>
      </c>
      <c r="G471" s="1066" t="s">
        <v>13</v>
      </c>
      <c r="H471" s="1066" t="s">
        <v>1424</v>
      </c>
      <c r="J471" s="1066" t="s">
        <v>1529</v>
      </c>
      <c r="K471" s="1066" t="s">
        <v>15</v>
      </c>
    </row>
    <row r="472" spans="1:11" ht="15" customHeight="1">
      <c r="A472" s="1066" t="s">
        <v>1641</v>
      </c>
      <c r="B472" s="1066" t="s">
        <v>1642</v>
      </c>
      <c r="C472" s="1066">
        <v>504021</v>
      </c>
      <c r="D472" s="1066" t="s">
        <v>1643</v>
      </c>
      <c r="E472" s="1066" t="s">
        <v>1644</v>
      </c>
      <c r="F472" s="1066" t="s">
        <v>1645</v>
      </c>
    </row>
    <row r="473" spans="1:11" ht="15" customHeight="1">
      <c r="A473" s="1066" t="s">
        <v>1646</v>
      </c>
      <c r="B473" s="1066" t="s">
        <v>1647</v>
      </c>
      <c r="C473" s="1066">
        <v>507003</v>
      </c>
      <c r="D473" s="1066" t="s">
        <v>1648</v>
      </c>
      <c r="E473" s="1066" t="s">
        <v>1649</v>
      </c>
      <c r="F473" s="1066" t="s">
        <v>1650</v>
      </c>
      <c r="G473" s="1066" t="s">
        <v>13</v>
      </c>
      <c r="H473" s="1066" t="s">
        <v>1424</v>
      </c>
      <c r="J473" s="1066" t="s">
        <v>1529</v>
      </c>
      <c r="K473" s="1066" t="s">
        <v>15</v>
      </c>
    </row>
    <row r="474" spans="1:11" ht="15" customHeight="1">
      <c r="A474" s="1066" t="s">
        <v>1646</v>
      </c>
      <c r="B474" s="1066" t="s">
        <v>1647</v>
      </c>
      <c r="C474" s="1066">
        <v>504012</v>
      </c>
      <c r="D474" s="1066" t="s">
        <v>1651</v>
      </c>
      <c r="E474" s="1066" t="s">
        <v>1649</v>
      </c>
      <c r="F474" s="1066" t="s">
        <v>1650</v>
      </c>
    </row>
    <row r="475" spans="1:11" ht="15" customHeight="1">
      <c r="A475" s="1066" t="s">
        <v>1652</v>
      </c>
      <c r="B475" s="1066" t="s">
        <v>1653</v>
      </c>
      <c r="C475" s="1066">
        <v>507030</v>
      </c>
      <c r="D475" s="1066" t="s">
        <v>1654</v>
      </c>
      <c r="E475" s="1066" t="s">
        <v>1655</v>
      </c>
      <c r="F475" s="1066" t="s">
        <v>1656</v>
      </c>
      <c r="G475" s="1066" t="s">
        <v>13</v>
      </c>
      <c r="H475" s="1066" t="s">
        <v>1424</v>
      </c>
      <c r="J475" s="1066" t="s">
        <v>1529</v>
      </c>
      <c r="K475" s="1066" t="s">
        <v>15</v>
      </c>
    </row>
    <row r="476" spans="1:11" ht="15" customHeight="1">
      <c r="A476" s="1066" t="s">
        <v>1657</v>
      </c>
      <c r="B476" s="1066" t="s">
        <v>1658</v>
      </c>
      <c r="C476" s="1066">
        <v>507001</v>
      </c>
      <c r="D476" s="1066" t="s">
        <v>1659</v>
      </c>
      <c r="E476" s="1066" t="s">
        <v>1660</v>
      </c>
      <c r="F476" s="1066" t="s">
        <v>1661</v>
      </c>
      <c r="G476" s="1066" t="s">
        <v>13</v>
      </c>
      <c r="H476" s="1066" t="s">
        <v>1424</v>
      </c>
      <c r="J476" s="1066" t="s">
        <v>1529</v>
      </c>
      <c r="K476" s="1066" t="s">
        <v>15</v>
      </c>
    </row>
    <row r="477" spans="1:11" ht="15" customHeight="1">
      <c r="A477" s="1066" t="s">
        <v>1662</v>
      </c>
      <c r="B477" s="1066" t="s">
        <v>1663</v>
      </c>
      <c r="C477" s="1066">
        <v>507021</v>
      </c>
      <c r="D477" s="1066" t="s">
        <v>1664</v>
      </c>
      <c r="E477" s="1066" t="s">
        <v>1665</v>
      </c>
      <c r="F477" s="1066" t="s">
        <v>1666</v>
      </c>
      <c r="G477" s="1066" t="s">
        <v>13</v>
      </c>
      <c r="H477" s="1066" t="s">
        <v>1424</v>
      </c>
      <c r="J477" s="1066" t="s">
        <v>1529</v>
      </c>
      <c r="K477" s="1066" t="s">
        <v>15</v>
      </c>
    </row>
    <row r="478" spans="1:11" ht="15" customHeight="1">
      <c r="A478" s="1066" t="s">
        <v>1667</v>
      </c>
      <c r="B478" s="1066" t="s">
        <v>1668</v>
      </c>
      <c r="C478" s="1066">
        <v>504020</v>
      </c>
      <c r="D478" s="1066" t="s">
        <v>1669</v>
      </c>
      <c r="E478" s="1066" t="s">
        <v>1670</v>
      </c>
      <c r="F478" s="1066" t="s">
        <v>1671</v>
      </c>
      <c r="G478" s="1066" t="s">
        <v>13</v>
      </c>
      <c r="H478" s="1066" t="s">
        <v>1424</v>
      </c>
      <c r="J478" s="1066" t="s">
        <v>1529</v>
      </c>
      <c r="K478" s="1066" t="s">
        <v>15</v>
      </c>
    </row>
    <row r="479" spans="1:11" ht="15" customHeight="1">
      <c r="A479" s="1066" t="s">
        <v>1672</v>
      </c>
      <c r="B479" s="1066" t="s">
        <v>1673</v>
      </c>
      <c r="E479" s="1066" t="s">
        <v>1674</v>
      </c>
      <c r="F479" s="1066" t="s">
        <v>1675</v>
      </c>
    </row>
    <row r="480" spans="1:11" ht="15" customHeight="1">
      <c r="A480" s="1066" t="s">
        <v>1676</v>
      </c>
      <c r="B480" s="1066" t="s">
        <v>1677</v>
      </c>
      <c r="E480" s="1066" t="s">
        <v>1678</v>
      </c>
      <c r="F480" s="1066" t="s">
        <v>1679</v>
      </c>
    </row>
    <row r="481" spans="1:11" ht="15" customHeight="1">
      <c r="A481" s="1066" t="s">
        <v>1680</v>
      </c>
      <c r="B481" s="1066" t="s">
        <v>1681</v>
      </c>
      <c r="C481" s="1066">
        <v>505003</v>
      </c>
      <c r="D481" s="1066" t="s">
        <v>1682</v>
      </c>
      <c r="E481" s="1066" t="s">
        <v>1683</v>
      </c>
      <c r="F481" s="1066" t="s">
        <v>1682</v>
      </c>
    </row>
    <row r="482" spans="1:11" ht="15" customHeight="1">
      <c r="A482" s="1066" t="s">
        <v>1684</v>
      </c>
      <c r="B482" s="1066" t="s">
        <v>1024</v>
      </c>
      <c r="E482" s="1066" t="s">
        <v>1685</v>
      </c>
      <c r="F482" s="1066" t="s">
        <v>1026</v>
      </c>
      <c r="G482" s="1066" t="s">
        <v>13</v>
      </c>
      <c r="H482" s="1066" t="s">
        <v>1424</v>
      </c>
      <c r="J482" s="1066" t="s">
        <v>1529</v>
      </c>
      <c r="K482" s="1066" t="s">
        <v>15</v>
      </c>
    </row>
    <row r="483" spans="1:11" ht="15" customHeight="1">
      <c r="A483" s="1066" t="s">
        <v>1686</v>
      </c>
      <c r="B483" s="1066" t="s">
        <v>1687</v>
      </c>
      <c r="E483" s="1066" t="s">
        <v>1688</v>
      </c>
      <c r="F483" s="1066" t="s">
        <v>1689</v>
      </c>
      <c r="G483" s="1066" t="s">
        <v>13</v>
      </c>
      <c r="H483" s="1066" t="s">
        <v>1424</v>
      </c>
      <c r="J483" s="1066" t="s">
        <v>1529</v>
      </c>
      <c r="K483" s="1066" t="s">
        <v>15</v>
      </c>
    </row>
    <row r="484" spans="1:11" ht="15" customHeight="1">
      <c r="A484" s="1066" t="s">
        <v>1690</v>
      </c>
      <c r="B484" s="1066" t="s">
        <v>1691</v>
      </c>
      <c r="C484" s="1066">
        <v>503013</v>
      </c>
      <c r="D484" s="1066" t="s">
        <v>1692</v>
      </c>
      <c r="E484" s="1066" t="s">
        <v>1693</v>
      </c>
      <c r="F484" s="1066" t="s">
        <v>1694</v>
      </c>
      <c r="G484" s="1066" t="s">
        <v>13</v>
      </c>
      <c r="H484" s="1066" t="s">
        <v>1424</v>
      </c>
      <c r="J484" s="1066" t="s">
        <v>1529</v>
      </c>
      <c r="K484" s="1066" t="s">
        <v>15</v>
      </c>
    </row>
    <row r="485" spans="1:11" ht="15" customHeight="1">
      <c r="A485" s="1066" t="s">
        <v>1695</v>
      </c>
      <c r="B485" s="1066" t="s">
        <v>1696</v>
      </c>
      <c r="E485" s="1066" t="s">
        <v>1697</v>
      </c>
      <c r="F485" s="1066" t="s">
        <v>1698</v>
      </c>
      <c r="G485" s="1066" t="s">
        <v>13</v>
      </c>
      <c r="H485" s="1066" t="s">
        <v>1424</v>
      </c>
      <c r="J485" s="1066" t="s">
        <v>1529</v>
      </c>
      <c r="K485" s="1066" t="s">
        <v>15</v>
      </c>
    </row>
    <row r="486" spans="1:11" ht="15" customHeight="1">
      <c r="A486" s="1066" t="s">
        <v>1699</v>
      </c>
      <c r="B486" s="1066" t="s">
        <v>1700</v>
      </c>
      <c r="C486" s="1066">
        <v>503012</v>
      </c>
      <c r="D486" s="1066" t="s">
        <v>1701</v>
      </c>
      <c r="E486" s="1066" t="s">
        <v>1702</v>
      </c>
      <c r="F486" s="1066" t="s">
        <v>1703</v>
      </c>
      <c r="G486" s="1066" t="s">
        <v>13</v>
      </c>
      <c r="H486" s="1066" t="s">
        <v>1424</v>
      </c>
      <c r="J486" s="1066" t="s">
        <v>1529</v>
      </c>
      <c r="K486" s="1066" t="s">
        <v>15</v>
      </c>
    </row>
    <row r="487" spans="1:11" ht="15" customHeight="1">
      <c r="A487" s="1066" t="s">
        <v>1704</v>
      </c>
      <c r="B487" s="1066" t="s">
        <v>1705</v>
      </c>
      <c r="C487" s="1066">
        <v>503010</v>
      </c>
      <c r="D487" s="1066" t="s">
        <v>1706</v>
      </c>
      <c r="E487" s="1066" t="s">
        <v>1707</v>
      </c>
      <c r="F487" s="1066" t="s">
        <v>1708</v>
      </c>
      <c r="G487" s="1066" t="s">
        <v>13</v>
      </c>
      <c r="H487" s="1066" t="s">
        <v>1424</v>
      </c>
      <c r="J487" s="1066" t="s">
        <v>1529</v>
      </c>
      <c r="K487" s="1066" t="s">
        <v>15</v>
      </c>
    </row>
    <row r="488" spans="1:11" ht="15" customHeight="1">
      <c r="A488" s="1066" t="s">
        <v>1709</v>
      </c>
      <c r="B488" s="1066" t="s">
        <v>1710</v>
      </c>
      <c r="E488" s="1066" t="s">
        <v>1711</v>
      </c>
      <c r="F488" s="1066" t="s">
        <v>1712</v>
      </c>
      <c r="G488" s="1066" t="s">
        <v>13</v>
      </c>
      <c r="H488" s="1066" t="s">
        <v>1424</v>
      </c>
      <c r="J488" s="1066" t="s">
        <v>1529</v>
      </c>
      <c r="K488" s="1066" t="s">
        <v>15</v>
      </c>
    </row>
    <row r="489" spans="1:11" ht="15" customHeight="1">
      <c r="A489" s="1066" t="s">
        <v>1713</v>
      </c>
      <c r="B489" s="1066" t="s">
        <v>1714</v>
      </c>
      <c r="E489" s="1066" t="s">
        <v>1715</v>
      </c>
      <c r="F489" s="1066" t="s">
        <v>1716</v>
      </c>
      <c r="G489" s="1066" t="s">
        <v>13</v>
      </c>
      <c r="H489" s="1066" t="s">
        <v>1424</v>
      </c>
      <c r="J489" s="1066" t="s">
        <v>1529</v>
      </c>
      <c r="K489" s="1066" t="s">
        <v>15</v>
      </c>
    </row>
    <row r="490" spans="1:11" ht="15" customHeight="1">
      <c r="A490" s="1066" t="s">
        <v>1717</v>
      </c>
      <c r="B490" s="1066" t="s">
        <v>1718</v>
      </c>
      <c r="E490" s="1066" t="s">
        <v>1719</v>
      </c>
      <c r="F490" s="1066" t="s">
        <v>1720</v>
      </c>
      <c r="G490" s="1066" t="s">
        <v>13</v>
      </c>
      <c r="H490" s="1066" t="s">
        <v>1424</v>
      </c>
      <c r="J490" s="1066" t="s">
        <v>1529</v>
      </c>
      <c r="K490" s="1066" t="s">
        <v>15</v>
      </c>
    </row>
    <row r="491" spans="1:11" ht="15" customHeight="1">
      <c r="A491" s="1066" t="s">
        <v>1721</v>
      </c>
      <c r="B491" s="1066" t="s">
        <v>1722</v>
      </c>
      <c r="E491" s="1066" t="s">
        <v>1723</v>
      </c>
      <c r="F491" s="1066" t="s">
        <v>1724</v>
      </c>
      <c r="G491" s="1066" t="s">
        <v>13</v>
      </c>
      <c r="H491" s="1066" t="s">
        <v>1424</v>
      </c>
      <c r="J491" s="1066" t="s">
        <v>1529</v>
      </c>
      <c r="K491" s="1066" t="s">
        <v>15</v>
      </c>
    </row>
    <row r="492" spans="1:11" ht="15" customHeight="1">
      <c r="A492" s="1066" t="s">
        <v>1725</v>
      </c>
      <c r="B492" s="1066" t="s">
        <v>1726</v>
      </c>
      <c r="E492" s="1066" t="s">
        <v>1727</v>
      </c>
      <c r="F492" s="1066" t="s">
        <v>1728</v>
      </c>
      <c r="G492" s="1066" t="s">
        <v>13</v>
      </c>
      <c r="H492" s="1066" t="s">
        <v>1424</v>
      </c>
      <c r="J492" s="1066" t="s">
        <v>1529</v>
      </c>
      <c r="K492" s="1066" t="s">
        <v>15</v>
      </c>
    </row>
    <row r="493" spans="1:11" ht="15" customHeight="1">
      <c r="A493" s="1066" t="s">
        <v>1729</v>
      </c>
      <c r="B493" s="1066" t="s">
        <v>1024</v>
      </c>
      <c r="C493" s="1066">
        <v>503014</v>
      </c>
      <c r="D493" s="1066" t="s">
        <v>1730</v>
      </c>
      <c r="E493" s="1066" t="s">
        <v>1731</v>
      </c>
      <c r="F493" s="1066" t="s">
        <v>1026</v>
      </c>
      <c r="G493" s="1066" t="s">
        <v>13</v>
      </c>
      <c r="H493" s="1066" t="s">
        <v>1424</v>
      </c>
      <c r="J493" s="1066" t="s">
        <v>1529</v>
      </c>
      <c r="K493" s="1066" t="s">
        <v>15</v>
      </c>
    </row>
    <row r="494" spans="1:11" ht="15" customHeight="1">
      <c r="A494" s="1066" t="s">
        <v>1732</v>
      </c>
      <c r="B494" s="1066" t="s">
        <v>1733</v>
      </c>
      <c r="E494" s="1066" t="s">
        <v>1734</v>
      </c>
      <c r="F494" s="1066" t="s">
        <v>1735</v>
      </c>
      <c r="G494" s="1066" t="s">
        <v>13</v>
      </c>
      <c r="H494" s="1066" t="s">
        <v>1424</v>
      </c>
      <c r="K494" s="1066" t="s">
        <v>15</v>
      </c>
    </row>
    <row r="495" spans="1:11" ht="15" customHeight="1">
      <c r="A495" s="1066" t="s">
        <v>1736</v>
      </c>
      <c r="B495" s="1066" t="s">
        <v>570</v>
      </c>
      <c r="C495" s="1066">
        <v>504011</v>
      </c>
      <c r="D495" s="1066" t="s">
        <v>1737</v>
      </c>
      <c r="E495" s="1066" t="s">
        <v>1738</v>
      </c>
      <c r="F495" s="1066" t="s">
        <v>572</v>
      </c>
      <c r="G495" s="1066" t="s">
        <v>13</v>
      </c>
      <c r="H495" s="1066" t="s">
        <v>1424</v>
      </c>
      <c r="K495" s="1066" t="s">
        <v>15</v>
      </c>
    </row>
    <row r="496" spans="1:11" ht="15" customHeight="1">
      <c r="A496" s="1066" t="s">
        <v>1739</v>
      </c>
      <c r="B496" s="1066" t="s">
        <v>574</v>
      </c>
      <c r="E496" s="1066" t="s">
        <v>1740</v>
      </c>
      <c r="F496" s="1066" t="s">
        <v>576</v>
      </c>
      <c r="G496" s="1066" t="s">
        <v>13</v>
      </c>
      <c r="H496" s="1066" t="s">
        <v>1424</v>
      </c>
      <c r="K496" s="1066" t="s">
        <v>15</v>
      </c>
    </row>
    <row r="497" spans="1:11" ht="15" customHeight="1">
      <c r="A497" s="1066" t="s">
        <v>1741</v>
      </c>
      <c r="B497" s="1066" t="s">
        <v>578</v>
      </c>
      <c r="E497" s="1066" t="s">
        <v>1742</v>
      </c>
      <c r="F497" s="1066" t="s">
        <v>580</v>
      </c>
      <c r="G497" s="1066" t="s">
        <v>13</v>
      </c>
      <c r="H497" s="1066" t="s">
        <v>1424</v>
      </c>
      <c r="K497" s="1066" t="s">
        <v>15</v>
      </c>
    </row>
    <row r="498" spans="1:11" ht="15" customHeight="1">
      <c r="A498" s="1066" t="s">
        <v>1743</v>
      </c>
      <c r="B498" s="1066" t="s">
        <v>582</v>
      </c>
      <c r="C498" s="1066">
        <v>504016</v>
      </c>
      <c r="D498" s="1066" t="s">
        <v>1744</v>
      </c>
      <c r="E498" s="1066" t="s">
        <v>1745</v>
      </c>
      <c r="F498" s="1066" t="s">
        <v>584</v>
      </c>
      <c r="G498" s="1066" t="s">
        <v>13</v>
      </c>
      <c r="H498" s="1066" t="s">
        <v>1424</v>
      </c>
      <c r="K498" s="1066" t="s">
        <v>15</v>
      </c>
    </row>
    <row r="499" spans="1:11" ht="15" customHeight="1">
      <c r="A499" s="1066" t="s">
        <v>1746</v>
      </c>
      <c r="B499" s="1066" t="s">
        <v>1747</v>
      </c>
      <c r="E499" s="1066" t="s">
        <v>1748</v>
      </c>
      <c r="F499" s="1066" t="s">
        <v>1749</v>
      </c>
      <c r="G499" s="1066" t="s">
        <v>13</v>
      </c>
      <c r="H499" s="1066" t="s">
        <v>1424</v>
      </c>
      <c r="J499" s="1066" t="s">
        <v>1529</v>
      </c>
      <c r="K499" s="1066" t="s">
        <v>15</v>
      </c>
    </row>
    <row r="500" spans="1:11" ht="15" customHeight="1">
      <c r="A500" s="1066" t="s">
        <v>1750</v>
      </c>
      <c r="B500" s="1066" t="s">
        <v>1511</v>
      </c>
      <c r="E500" s="1066" t="s">
        <v>1751</v>
      </c>
      <c r="F500" s="1066" t="s">
        <v>1513</v>
      </c>
      <c r="G500" s="1066" t="s">
        <v>13</v>
      </c>
      <c r="H500" s="1066" t="s">
        <v>1424</v>
      </c>
      <c r="J500" s="1066" t="s">
        <v>1529</v>
      </c>
      <c r="K500" s="1066" t="s">
        <v>15</v>
      </c>
    </row>
    <row r="501" spans="1:11" ht="15" customHeight="1">
      <c r="A501" s="1066" t="s">
        <v>1752</v>
      </c>
      <c r="B501" s="1066" t="s">
        <v>1515</v>
      </c>
      <c r="E501" s="1066" t="s">
        <v>1753</v>
      </c>
      <c r="F501" s="1066" t="s">
        <v>1518</v>
      </c>
      <c r="G501" s="1066" t="s">
        <v>13</v>
      </c>
      <c r="H501" s="1066" t="s">
        <v>1424</v>
      </c>
      <c r="J501" s="1066" t="s">
        <v>1529</v>
      </c>
      <c r="K501" s="1066" t="s">
        <v>15</v>
      </c>
    </row>
    <row r="502" spans="1:11" ht="15" customHeight="1">
      <c r="A502" s="1066" t="s">
        <v>1754</v>
      </c>
      <c r="B502" s="1066" t="s">
        <v>1520</v>
      </c>
      <c r="E502" s="1066" t="s">
        <v>1755</v>
      </c>
      <c r="F502" s="1066" t="s">
        <v>1523</v>
      </c>
      <c r="G502" s="1066" t="s">
        <v>13</v>
      </c>
      <c r="H502" s="1066" t="s">
        <v>1424</v>
      </c>
      <c r="J502" s="1066" t="s">
        <v>1529</v>
      </c>
      <c r="K502" s="1066" t="s">
        <v>15</v>
      </c>
    </row>
    <row r="503" spans="1:11" ht="15" customHeight="1">
      <c r="A503" s="1066" t="s">
        <v>1756</v>
      </c>
      <c r="B503" s="1066" t="s">
        <v>1525</v>
      </c>
      <c r="E503" s="1066" t="s">
        <v>1757</v>
      </c>
      <c r="F503" s="1066" t="s">
        <v>1528</v>
      </c>
      <c r="G503" s="1066" t="s">
        <v>13</v>
      </c>
      <c r="H503" s="1066" t="s">
        <v>1424</v>
      </c>
      <c r="J503" s="1066" t="s">
        <v>1529</v>
      </c>
      <c r="K503" s="1066" t="s">
        <v>15</v>
      </c>
    </row>
    <row r="504" spans="1:11" ht="15" customHeight="1">
      <c r="A504" s="1066" t="s">
        <v>1758</v>
      </c>
      <c r="B504" s="1066" t="s">
        <v>1531</v>
      </c>
      <c r="E504" s="1066" t="s">
        <v>1759</v>
      </c>
      <c r="F504" s="1066" t="s">
        <v>1533</v>
      </c>
      <c r="G504" s="1066" t="s">
        <v>13</v>
      </c>
      <c r="H504" s="1066" t="s">
        <v>1424</v>
      </c>
      <c r="J504" s="1066" t="s">
        <v>1529</v>
      </c>
      <c r="K504" s="1066" t="s">
        <v>15</v>
      </c>
    </row>
    <row r="505" spans="1:11" ht="15" customHeight="1">
      <c r="A505" s="1066" t="s">
        <v>1760</v>
      </c>
      <c r="B505" s="1066" t="s">
        <v>1761</v>
      </c>
      <c r="E505" s="1066" t="s">
        <v>1762</v>
      </c>
      <c r="F505" s="1066" t="s">
        <v>1538</v>
      </c>
      <c r="G505" s="1066" t="s">
        <v>13</v>
      </c>
      <c r="H505" s="1066" t="s">
        <v>1424</v>
      </c>
      <c r="J505" s="1066" t="s">
        <v>1529</v>
      </c>
      <c r="K505" s="1066" t="s">
        <v>15</v>
      </c>
    </row>
    <row r="506" spans="1:11" ht="15" customHeight="1">
      <c r="A506" s="1066" t="s">
        <v>1763</v>
      </c>
      <c r="B506" s="1066" t="s">
        <v>1540</v>
      </c>
      <c r="E506" s="1066" t="s">
        <v>1764</v>
      </c>
      <c r="F506" s="1066" t="s">
        <v>1543</v>
      </c>
      <c r="G506" s="1066" t="s">
        <v>13</v>
      </c>
      <c r="H506" s="1066" t="s">
        <v>1424</v>
      </c>
      <c r="J506" s="1066" t="s">
        <v>1529</v>
      </c>
      <c r="K506" s="1066" t="s">
        <v>15</v>
      </c>
    </row>
    <row r="507" spans="1:11" ht="15" customHeight="1">
      <c r="A507" s="1066" t="s">
        <v>1765</v>
      </c>
      <c r="B507" s="1066" t="s">
        <v>1545</v>
      </c>
      <c r="E507" s="1066" t="s">
        <v>1766</v>
      </c>
      <c r="F507" s="1066" t="s">
        <v>1548</v>
      </c>
      <c r="G507" s="1066" t="s">
        <v>13</v>
      </c>
      <c r="H507" s="1066" t="s">
        <v>1424</v>
      </c>
      <c r="J507" s="1066" t="s">
        <v>1529</v>
      </c>
      <c r="K507" s="1066" t="s">
        <v>15</v>
      </c>
    </row>
    <row r="508" spans="1:11" ht="15" customHeight="1">
      <c r="A508" s="1066" t="s">
        <v>1767</v>
      </c>
      <c r="B508" s="1066" t="s">
        <v>1550</v>
      </c>
      <c r="E508" s="1066" t="s">
        <v>1768</v>
      </c>
      <c r="F508" s="1066" t="s">
        <v>1553</v>
      </c>
      <c r="G508" s="1066" t="s">
        <v>13</v>
      </c>
      <c r="H508" s="1066" t="s">
        <v>1424</v>
      </c>
      <c r="J508" s="1066" t="s">
        <v>1529</v>
      </c>
      <c r="K508" s="1066" t="s">
        <v>15</v>
      </c>
    </row>
    <row r="509" spans="1:11" ht="15" customHeight="1">
      <c r="A509" s="1066" t="s">
        <v>1769</v>
      </c>
      <c r="B509" s="1066" t="s">
        <v>1555</v>
      </c>
      <c r="E509" s="1066" t="s">
        <v>1770</v>
      </c>
      <c r="F509" s="1066" t="s">
        <v>1557</v>
      </c>
      <c r="G509" s="1066" t="s">
        <v>13</v>
      </c>
      <c r="H509" s="1066" t="s">
        <v>1424</v>
      </c>
      <c r="J509" s="1066" t="s">
        <v>1529</v>
      </c>
      <c r="K509" s="1066" t="s">
        <v>15</v>
      </c>
    </row>
    <row r="510" spans="1:11" ht="15" customHeight="1">
      <c r="A510" s="1066" t="s">
        <v>1771</v>
      </c>
      <c r="B510" s="1066" t="s">
        <v>1772</v>
      </c>
      <c r="E510" s="1066" t="s">
        <v>1773</v>
      </c>
      <c r="F510" s="1066" t="s">
        <v>1774</v>
      </c>
      <c r="G510" s="1066" t="s">
        <v>13</v>
      </c>
      <c r="H510" s="1066" t="s">
        <v>1424</v>
      </c>
      <c r="J510" s="1066" t="s">
        <v>1529</v>
      </c>
      <c r="K510" s="1066" t="s">
        <v>15</v>
      </c>
    </row>
    <row r="511" spans="1:11" ht="15" customHeight="1">
      <c r="A511" s="1066" t="s">
        <v>1775</v>
      </c>
      <c r="B511" s="1066" t="s">
        <v>1024</v>
      </c>
      <c r="E511" s="1066" t="s">
        <v>1776</v>
      </c>
      <c r="F511" s="1066" t="s">
        <v>1026</v>
      </c>
      <c r="G511" s="1066" t="s">
        <v>13</v>
      </c>
      <c r="H511" s="1066" t="s">
        <v>1424</v>
      </c>
      <c r="J511" s="1066" t="s">
        <v>1529</v>
      </c>
      <c r="K511" s="1066" t="s">
        <v>15</v>
      </c>
    </row>
    <row r="512" spans="1:11" ht="15" customHeight="1">
      <c r="A512" s="1066" t="s">
        <v>1777</v>
      </c>
      <c r="B512" s="1066" t="s">
        <v>1624</v>
      </c>
      <c r="E512" s="1066" t="s">
        <v>1778</v>
      </c>
      <c r="F512" s="1066" t="s">
        <v>1627</v>
      </c>
      <c r="G512" s="1066" t="s">
        <v>13</v>
      </c>
      <c r="H512" s="1066" t="s">
        <v>1424</v>
      </c>
      <c r="J512" s="1066" t="s">
        <v>1529</v>
      </c>
      <c r="K512" s="1066" t="s">
        <v>15</v>
      </c>
    </row>
    <row r="513" spans="1:11" ht="15" customHeight="1">
      <c r="A513" s="1066" t="s">
        <v>1779</v>
      </c>
      <c r="B513" s="1066" t="s">
        <v>1629</v>
      </c>
      <c r="E513" s="1066" t="s">
        <v>1780</v>
      </c>
      <c r="F513" s="1066" t="s">
        <v>1631</v>
      </c>
      <c r="G513" s="1066" t="s">
        <v>13</v>
      </c>
      <c r="H513" s="1066" t="s">
        <v>1424</v>
      </c>
      <c r="J513" s="1066" t="s">
        <v>1529</v>
      </c>
      <c r="K513" s="1066" t="s">
        <v>15</v>
      </c>
    </row>
    <row r="514" spans="1:11" ht="15" customHeight="1">
      <c r="A514" s="1066" t="s">
        <v>1781</v>
      </c>
      <c r="B514" s="1066" t="s">
        <v>1633</v>
      </c>
      <c r="E514" s="1066" t="s">
        <v>1782</v>
      </c>
      <c r="F514" s="1066" t="s">
        <v>1635</v>
      </c>
      <c r="G514" s="1066" t="s">
        <v>13</v>
      </c>
      <c r="H514" s="1066" t="s">
        <v>1424</v>
      </c>
      <c r="J514" s="1066" t="s">
        <v>1529</v>
      </c>
      <c r="K514" s="1066" t="s">
        <v>15</v>
      </c>
    </row>
    <row r="515" spans="1:11" ht="15" customHeight="1">
      <c r="A515" s="1066" t="s">
        <v>1783</v>
      </c>
      <c r="B515" s="1066" t="s">
        <v>1637</v>
      </c>
      <c r="E515" s="1066" t="s">
        <v>1784</v>
      </c>
      <c r="F515" s="1066" t="s">
        <v>1640</v>
      </c>
      <c r="G515" s="1066" t="s">
        <v>13</v>
      </c>
      <c r="H515" s="1066" t="s">
        <v>1424</v>
      </c>
      <c r="J515" s="1066" t="s">
        <v>1529</v>
      </c>
      <c r="K515" s="1066" t="s">
        <v>15</v>
      </c>
    </row>
    <row r="516" spans="1:11" ht="15" customHeight="1">
      <c r="A516" s="1066" t="s">
        <v>1785</v>
      </c>
      <c r="B516" s="1066" t="s">
        <v>1786</v>
      </c>
      <c r="E516" s="1066" t="s">
        <v>1787</v>
      </c>
      <c r="F516" s="1066" t="s">
        <v>1645</v>
      </c>
      <c r="G516" s="1066" t="s">
        <v>13</v>
      </c>
      <c r="H516" s="1066" t="s">
        <v>1424</v>
      </c>
      <c r="J516" s="1066" t="s">
        <v>1529</v>
      </c>
      <c r="K516" s="1066" t="s">
        <v>15</v>
      </c>
    </row>
    <row r="517" spans="1:11" ht="15" customHeight="1">
      <c r="A517" s="1066" t="s">
        <v>1788</v>
      </c>
      <c r="B517" s="1066" t="s">
        <v>1647</v>
      </c>
      <c r="E517" s="1066" t="s">
        <v>1789</v>
      </c>
      <c r="F517" s="1066" t="s">
        <v>1650</v>
      </c>
      <c r="G517" s="1066" t="s">
        <v>13</v>
      </c>
      <c r="H517" s="1066" t="s">
        <v>1424</v>
      </c>
      <c r="J517" s="1066" t="s">
        <v>1529</v>
      </c>
      <c r="K517" s="1066" t="s">
        <v>15</v>
      </c>
    </row>
    <row r="518" spans="1:11" ht="15" customHeight="1">
      <c r="A518" s="1066" t="s">
        <v>1790</v>
      </c>
      <c r="B518" s="1066" t="s">
        <v>1653</v>
      </c>
      <c r="E518" s="1066" t="s">
        <v>1791</v>
      </c>
      <c r="F518" s="1066" t="s">
        <v>1656</v>
      </c>
      <c r="G518" s="1066" t="s">
        <v>13</v>
      </c>
      <c r="H518" s="1066" t="s">
        <v>1424</v>
      </c>
      <c r="J518" s="1066" t="s">
        <v>1529</v>
      </c>
      <c r="K518" s="1066" t="s">
        <v>15</v>
      </c>
    </row>
    <row r="519" spans="1:11" ht="15" customHeight="1">
      <c r="A519" s="1066" t="s">
        <v>1792</v>
      </c>
      <c r="B519" s="1066" t="s">
        <v>1658</v>
      </c>
      <c r="E519" s="1066" t="s">
        <v>1793</v>
      </c>
      <c r="F519" s="1066" t="s">
        <v>1661</v>
      </c>
      <c r="G519" s="1066" t="s">
        <v>13</v>
      </c>
      <c r="H519" s="1066" t="s">
        <v>1424</v>
      </c>
      <c r="J519" s="1066" t="s">
        <v>1529</v>
      </c>
      <c r="K519" s="1066" t="s">
        <v>15</v>
      </c>
    </row>
    <row r="520" spans="1:11" ht="15" customHeight="1">
      <c r="A520" s="1066" t="s">
        <v>1794</v>
      </c>
      <c r="B520" s="1066" t="s">
        <v>1024</v>
      </c>
      <c r="E520" s="1066" t="s">
        <v>1795</v>
      </c>
      <c r="F520" s="1066" t="s">
        <v>1026</v>
      </c>
      <c r="G520" s="1066" t="s">
        <v>13</v>
      </c>
      <c r="H520" s="1066" t="s">
        <v>1424</v>
      </c>
      <c r="J520" s="1066" t="s">
        <v>1529</v>
      </c>
      <c r="K520" s="1066" t="s">
        <v>15</v>
      </c>
    </row>
    <row r="521" spans="1:11" ht="15" customHeight="1">
      <c r="A521" s="1066" t="s">
        <v>1796</v>
      </c>
      <c r="B521" s="1066" t="s">
        <v>1687</v>
      </c>
      <c r="E521" s="1066" t="s">
        <v>1797</v>
      </c>
      <c r="F521" s="1066" t="s">
        <v>1689</v>
      </c>
      <c r="G521" s="1066" t="s">
        <v>13</v>
      </c>
      <c r="H521" s="1066" t="s">
        <v>1424</v>
      </c>
      <c r="J521" s="1066" t="s">
        <v>1529</v>
      </c>
      <c r="K521" s="1066" t="s">
        <v>15</v>
      </c>
    </row>
    <row r="522" spans="1:11" ht="15" customHeight="1">
      <c r="A522" s="1066" t="s">
        <v>1798</v>
      </c>
      <c r="B522" s="1066" t="s">
        <v>1691</v>
      </c>
      <c r="E522" s="1066" t="s">
        <v>1799</v>
      </c>
      <c r="F522" s="1066" t="s">
        <v>1694</v>
      </c>
      <c r="G522" s="1066" t="s">
        <v>13</v>
      </c>
      <c r="H522" s="1066" t="s">
        <v>1424</v>
      </c>
      <c r="J522" s="1066" t="s">
        <v>1529</v>
      </c>
      <c r="K522" s="1066" t="s">
        <v>15</v>
      </c>
    </row>
    <row r="523" spans="1:11" ht="15" customHeight="1">
      <c r="A523" s="1066" t="s">
        <v>1800</v>
      </c>
      <c r="B523" s="1066" t="s">
        <v>1696</v>
      </c>
      <c r="E523" s="1066" t="s">
        <v>1801</v>
      </c>
      <c r="F523" s="1066" t="s">
        <v>1698</v>
      </c>
      <c r="G523" s="1066" t="s">
        <v>13</v>
      </c>
      <c r="H523" s="1066" t="s">
        <v>1424</v>
      </c>
      <c r="J523" s="1066" t="s">
        <v>1529</v>
      </c>
      <c r="K523" s="1066" t="s">
        <v>15</v>
      </c>
    </row>
    <row r="524" spans="1:11" ht="15" customHeight="1">
      <c r="A524" s="1066" t="s">
        <v>1802</v>
      </c>
      <c r="B524" s="1066" t="s">
        <v>1700</v>
      </c>
      <c r="E524" s="1066" t="s">
        <v>1803</v>
      </c>
      <c r="F524" s="1066" t="s">
        <v>1703</v>
      </c>
      <c r="G524" s="1066" t="s">
        <v>13</v>
      </c>
      <c r="H524" s="1066" t="s">
        <v>1424</v>
      </c>
      <c r="J524" s="1066" t="s">
        <v>1529</v>
      </c>
      <c r="K524" s="1066" t="s">
        <v>15</v>
      </c>
    </row>
    <row r="525" spans="1:11" ht="15" customHeight="1">
      <c r="A525" s="1066" t="s">
        <v>1804</v>
      </c>
      <c r="B525" s="1066" t="s">
        <v>1705</v>
      </c>
      <c r="E525" s="1066" t="s">
        <v>1805</v>
      </c>
      <c r="F525" s="1066" t="s">
        <v>1708</v>
      </c>
      <c r="G525" s="1066" t="s">
        <v>13</v>
      </c>
      <c r="H525" s="1066" t="s">
        <v>1424</v>
      </c>
      <c r="J525" s="1066" t="s">
        <v>1529</v>
      </c>
      <c r="K525" s="1066" t="s">
        <v>15</v>
      </c>
    </row>
    <row r="526" spans="1:11" ht="15" customHeight="1">
      <c r="A526" s="1066" t="s">
        <v>1806</v>
      </c>
      <c r="B526" s="1066" t="s">
        <v>1710</v>
      </c>
      <c r="E526" s="1066" t="s">
        <v>1807</v>
      </c>
      <c r="F526" s="1066" t="s">
        <v>1712</v>
      </c>
      <c r="G526" s="1066" t="s">
        <v>13</v>
      </c>
      <c r="H526" s="1066" t="s">
        <v>1424</v>
      </c>
      <c r="J526" s="1066" t="s">
        <v>1529</v>
      </c>
      <c r="K526" s="1066" t="s">
        <v>15</v>
      </c>
    </row>
    <row r="527" spans="1:11" ht="15" customHeight="1">
      <c r="A527" s="1066" t="s">
        <v>1808</v>
      </c>
      <c r="B527" s="1066" t="s">
        <v>1714</v>
      </c>
      <c r="E527" s="1066" t="s">
        <v>1809</v>
      </c>
      <c r="F527" s="1066" t="s">
        <v>1716</v>
      </c>
      <c r="G527" s="1066" t="s">
        <v>13</v>
      </c>
      <c r="H527" s="1066" t="s">
        <v>1424</v>
      </c>
      <c r="J527" s="1066" t="s">
        <v>1529</v>
      </c>
      <c r="K527" s="1066" t="s">
        <v>15</v>
      </c>
    </row>
    <row r="528" spans="1:11" ht="15" customHeight="1">
      <c r="A528" s="1066" t="s">
        <v>1810</v>
      </c>
      <c r="B528" s="1066" t="s">
        <v>1718</v>
      </c>
      <c r="E528" s="1066" t="s">
        <v>1811</v>
      </c>
      <c r="F528" s="1066" t="s">
        <v>1720</v>
      </c>
      <c r="G528" s="1066" t="s">
        <v>13</v>
      </c>
      <c r="H528" s="1066" t="s">
        <v>1424</v>
      </c>
      <c r="J528" s="1066" t="s">
        <v>1529</v>
      </c>
      <c r="K528" s="1066" t="s">
        <v>15</v>
      </c>
    </row>
    <row r="529" spans="1:11" ht="15" customHeight="1">
      <c r="A529" s="1066" t="s">
        <v>1812</v>
      </c>
      <c r="B529" s="1066" t="s">
        <v>1722</v>
      </c>
      <c r="E529" s="1066" t="s">
        <v>1813</v>
      </c>
      <c r="F529" s="1066" t="s">
        <v>1724</v>
      </c>
      <c r="G529" s="1066" t="s">
        <v>13</v>
      </c>
      <c r="H529" s="1066" t="s">
        <v>1424</v>
      </c>
      <c r="J529" s="1066" t="s">
        <v>1529</v>
      </c>
      <c r="K529" s="1066" t="s">
        <v>15</v>
      </c>
    </row>
    <row r="530" spans="1:11" ht="15" customHeight="1">
      <c r="A530" s="1066" t="s">
        <v>1814</v>
      </c>
      <c r="B530" s="1066" t="s">
        <v>1726</v>
      </c>
      <c r="E530" s="1066" t="s">
        <v>1815</v>
      </c>
      <c r="F530" s="1066" t="s">
        <v>1728</v>
      </c>
      <c r="G530" s="1066" t="s">
        <v>13</v>
      </c>
      <c r="H530" s="1066" t="s">
        <v>1424</v>
      </c>
      <c r="J530" s="1066" t="s">
        <v>1529</v>
      </c>
      <c r="K530" s="1066" t="s">
        <v>15</v>
      </c>
    </row>
    <row r="531" spans="1:11" ht="15" customHeight="1">
      <c r="A531" s="1066" t="s">
        <v>1816</v>
      </c>
      <c r="B531" s="1066" t="s">
        <v>1024</v>
      </c>
      <c r="E531" s="1066" t="s">
        <v>1817</v>
      </c>
      <c r="F531" s="1066" t="s">
        <v>1026</v>
      </c>
      <c r="G531" s="1066" t="s">
        <v>13</v>
      </c>
      <c r="H531" s="1066" t="s">
        <v>1424</v>
      </c>
      <c r="J531" s="1066" t="s">
        <v>1529</v>
      </c>
      <c r="K531" s="1066" t="s">
        <v>15</v>
      </c>
    </row>
    <row r="532" spans="1:11" ht="15" customHeight="1">
      <c r="A532" s="1066" t="s">
        <v>1818</v>
      </c>
      <c r="B532" s="1066" t="s">
        <v>1024</v>
      </c>
      <c r="E532" s="1066" t="s">
        <v>1819</v>
      </c>
      <c r="F532" s="1066" t="s">
        <v>1026</v>
      </c>
      <c r="G532" s="1066" t="s">
        <v>13</v>
      </c>
      <c r="H532" s="1066" t="s">
        <v>1424</v>
      </c>
      <c r="J532" s="1066" t="s">
        <v>1529</v>
      </c>
      <c r="K532" s="1066" t="s">
        <v>15</v>
      </c>
    </row>
    <row r="533" spans="1:11" ht="15" customHeight="1">
      <c r="A533" s="1066" t="s">
        <v>1820</v>
      </c>
      <c r="B533" s="1066" t="s">
        <v>1298</v>
      </c>
      <c r="C533" s="1066">
        <v>504014</v>
      </c>
      <c r="D533" s="1066" t="s">
        <v>1821</v>
      </c>
      <c r="E533" s="1066" t="s">
        <v>1822</v>
      </c>
      <c r="F533" s="1066" t="s">
        <v>1823</v>
      </c>
      <c r="G533" s="1066" t="s">
        <v>13</v>
      </c>
      <c r="H533" s="1066" t="s">
        <v>1424</v>
      </c>
      <c r="K533" s="1066" t="s">
        <v>15</v>
      </c>
    </row>
    <row r="534" spans="1:11" ht="15" customHeight="1">
      <c r="A534" s="1066" t="s">
        <v>1824</v>
      </c>
      <c r="B534" s="1066" t="s">
        <v>655</v>
      </c>
      <c r="E534" s="1066" t="s">
        <v>1825</v>
      </c>
      <c r="F534" s="1066" t="s">
        <v>657</v>
      </c>
      <c r="G534" s="1066" t="s">
        <v>13</v>
      </c>
      <c r="H534" s="1066" t="s">
        <v>1424</v>
      </c>
      <c r="K534" s="1066" t="s">
        <v>15</v>
      </c>
    </row>
    <row r="535" spans="1:11" ht="15" customHeight="1">
      <c r="A535" s="1066" t="s">
        <v>1826</v>
      </c>
      <c r="B535" s="1066" t="s">
        <v>659</v>
      </c>
      <c r="E535" s="1066" t="s">
        <v>1827</v>
      </c>
      <c r="F535" s="1066" t="s">
        <v>661</v>
      </c>
      <c r="G535" s="1066" t="s">
        <v>13</v>
      </c>
      <c r="H535" s="1066" t="s">
        <v>1424</v>
      </c>
      <c r="K535" s="1066" t="s">
        <v>15</v>
      </c>
    </row>
    <row r="536" spans="1:11" ht="15" customHeight="1">
      <c r="A536" s="1066" t="s">
        <v>1828</v>
      </c>
      <c r="B536" s="1066" t="s">
        <v>663</v>
      </c>
      <c r="E536" s="1066" t="s">
        <v>1829</v>
      </c>
      <c r="F536" s="1066" t="s">
        <v>665</v>
      </c>
      <c r="G536" s="1066" t="s">
        <v>13</v>
      </c>
      <c r="H536" s="1066" t="s">
        <v>1424</v>
      </c>
      <c r="K536" s="1066" t="s">
        <v>15</v>
      </c>
    </row>
    <row r="537" spans="1:11" ht="15" customHeight="1">
      <c r="A537" s="1066" t="s">
        <v>1830</v>
      </c>
      <c r="B537" s="1066" t="s">
        <v>667</v>
      </c>
      <c r="E537" s="1066" t="s">
        <v>1831</v>
      </c>
      <c r="F537" s="1066" t="s">
        <v>669</v>
      </c>
    </row>
    <row r="538" spans="1:11" ht="15" customHeight="1">
      <c r="A538" s="1066" t="s">
        <v>1832</v>
      </c>
      <c r="B538" s="1066" t="s">
        <v>671</v>
      </c>
      <c r="E538" s="1066" t="s">
        <v>1833</v>
      </c>
      <c r="F538" s="1066" t="s">
        <v>673</v>
      </c>
      <c r="G538" s="1066" t="s">
        <v>13</v>
      </c>
      <c r="H538" s="1066" t="s">
        <v>1424</v>
      </c>
      <c r="K538" s="1066" t="s">
        <v>15</v>
      </c>
    </row>
    <row r="539" spans="1:11" ht="15" customHeight="1">
      <c r="A539" s="1066" t="s">
        <v>1834</v>
      </c>
      <c r="B539" s="1066" t="s">
        <v>675</v>
      </c>
      <c r="E539" s="1066" t="s">
        <v>1835</v>
      </c>
      <c r="F539" s="1066" t="s">
        <v>677</v>
      </c>
      <c r="G539" s="1066" t="s">
        <v>13</v>
      </c>
      <c r="H539" s="1066" t="s">
        <v>1424</v>
      </c>
      <c r="K539" s="1066" t="s">
        <v>15</v>
      </c>
    </row>
    <row r="540" spans="1:11" ht="15" customHeight="1">
      <c r="A540" s="1066" t="s">
        <v>1836</v>
      </c>
      <c r="B540" s="1066" t="s">
        <v>679</v>
      </c>
      <c r="E540" s="1066" t="s">
        <v>1837</v>
      </c>
      <c r="F540" s="1066" t="s">
        <v>681</v>
      </c>
      <c r="G540" s="1066" t="s">
        <v>13</v>
      </c>
      <c r="H540" s="1066" t="s">
        <v>1424</v>
      </c>
      <c r="K540" s="1066" t="s">
        <v>15</v>
      </c>
    </row>
    <row r="541" spans="1:11" ht="15" customHeight="1">
      <c r="A541" s="1066" t="s">
        <v>1838</v>
      </c>
      <c r="B541" s="1066" t="s">
        <v>735</v>
      </c>
      <c r="E541" s="1066" t="s">
        <v>1839</v>
      </c>
      <c r="F541" s="1066" t="s">
        <v>737</v>
      </c>
      <c r="G541" s="1066" t="s">
        <v>13</v>
      </c>
      <c r="H541" s="1066" t="s">
        <v>1424</v>
      </c>
      <c r="K541" s="1066" t="s">
        <v>15</v>
      </c>
    </row>
    <row r="542" spans="1:11" ht="15" customHeight="1">
      <c r="A542" s="1066" t="s">
        <v>1840</v>
      </c>
      <c r="B542" s="1066" t="s">
        <v>1841</v>
      </c>
      <c r="E542" s="1066" t="s">
        <v>1842</v>
      </c>
      <c r="F542" s="1066" t="s">
        <v>1843</v>
      </c>
      <c r="G542" s="1066" t="s">
        <v>13</v>
      </c>
      <c r="H542" s="1066" t="s">
        <v>1424</v>
      </c>
      <c r="K542" s="1066" t="s">
        <v>15</v>
      </c>
    </row>
    <row r="543" spans="1:11" ht="15" customHeight="1">
      <c r="A543" s="1066" t="s">
        <v>1844</v>
      </c>
      <c r="B543" s="1066" t="s">
        <v>1845</v>
      </c>
      <c r="C543" s="1066">
        <v>507050</v>
      </c>
      <c r="D543" s="1066" t="s">
        <v>1846</v>
      </c>
      <c r="E543" s="1066" t="s">
        <v>1847</v>
      </c>
      <c r="F543" s="1066" t="s">
        <v>1848</v>
      </c>
      <c r="G543" s="1066" t="s">
        <v>13</v>
      </c>
      <c r="H543" s="1066" t="s">
        <v>1424</v>
      </c>
      <c r="K543" s="1066" t="s">
        <v>15</v>
      </c>
    </row>
    <row r="544" spans="1:11" ht="15" customHeight="1">
      <c r="A544" s="1066" t="s">
        <v>1849</v>
      </c>
      <c r="B544" s="1066" t="s">
        <v>1850</v>
      </c>
      <c r="C544" s="1066">
        <v>502051</v>
      </c>
      <c r="D544" s="1066" t="s">
        <v>1851</v>
      </c>
      <c r="E544" s="1066" t="s">
        <v>1852</v>
      </c>
      <c r="F544" s="1066" t="s">
        <v>1853</v>
      </c>
      <c r="G544" s="1066" t="s">
        <v>13</v>
      </c>
      <c r="H544" s="1066" t="s">
        <v>1424</v>
      </c>
      <c r="K544" s="1066" t="s">
        <v>15</v>
      </c>
    </row>
    <row r="545" spans="1:11" ht="15" customHeight="1">
      <c r="A545" s="1066" t="s">
        <v>1854</v>
      </c>
      <c r="B545" s="1066" t="s">
        <v>1855</v>
      </c>
      <c r="E545" s="1066" t="s">
        <v>1856</v>
      </c>
      <c r="F545" s="1066" t="s">
        <v>1857</v>
      </c>
      <c r="G545" s="1066" t="s">
        <v>13</v>
      </c>
      <c r="H545" s="1066" t="s">
        <v>1424</v>
      </c>
      <c r="K545" s="1066" t="s">
        <v>15</v>
      </c>
    </row>
    <row r="546" spans="1:11" ht="15" customHeight="1">
      <c r="A546" s="1066" t="s">
        <v>1858</v>
      </c>
      <c r="B546" s="1066" t="s">
        <v>1859</v>
      </c>
      <c r="E546" s="1066" t="s">
        <v>1860</v>
      </c>
      <c r="F546" s="1066" t="s">
        <v>1861</v>
      </c>
      <c r="G546" s="1066" t="s">
        <v>13</v>
      </c>
      <c r="H546" s="1066" t="s">
        <v>1424</v>
      </c>
      <c r="K546" s="1066" t="s">
        <v>15</v>
      </c>
    </row>
    <row r="547" spans="1:11" ht="15" customHeight="1">
      <c r="A547" s="1066" t="s">
        <v>1862</v>
      </c>
      <c r="B547" s="1066" t="s">
        <v>1863</v>
      </c>
      <c r="C547" s="1066">
        <v>507040</v>
      </c>
      <c r="D547" s="1066" t="s">
        <v>1864</v>
      </c>
      <c r="E547" s="1066" t="s">
        <v>1865</v>
      </c>
      <c r="F547" s="1066" t="s">
        <v>1866</v>
      </c>
      <c r="G547" s="1066" t="s">
        <v>13</v>
      </c>
      <c r="H547" s="1066" t="s">
        <v>1424</v>
      </c>
      <c r="K547" s="1066" t="s">
        <v>15</v>
      </c>
    </row>
    <row r="548" spans="1:11" ht="15" customHeight="1">
      <c r="A548" s="1066" t="s">
        <v>1867</v>
      </c>
      <c r="B548" s="1066" t="s">
        <v>810</v>
      </c>
      <c r="C548" s="1066">
        <v>502030</v>
      </c>
      <c r="D548" s="1066" t="s">
        <v>1868</v>
      </c>
      <c r="E548" s="1066" t="s">
        <v>1869</v>
      </c>
      <c r="F548" s="1066" t="s">
        <v>1870</v>
      </c>
      <c r="G548" s="1066" t="s">
        <v>13</v>
      </c>
      <c r="H548" s="1066" t="s">
        <v>1424</v>
      </c>
      <c r="K548" s="1066" t="s">
        <v>15</v>
      </c>
    </row>
    <row r="549" spans="1:11" ht="15" customHeight="1">
      <c r="A549" s="1066" t="s">
        <v>1871</v>
      </c>
      <c r="B549" s="1066" t="s">
        <v>1872</v>
      </c>
      <c r="C549" s="1066">
        <v>507015</v>
      </c>
      <c r="D549" s="1066" t="s">
        <v>1873</v>
      </c>
      <c r="E549" s="1066" t="s">
        <v>1874</v>
      </c>
      <c r="F549" s="1066" t="s">
        <v>1875</v>
      </c>
      <c r="G549" s="1066" t="s">
        <v>13</v>
      </c>
      <c r="H549" s="1066" t="s">
        <v>1424</v>
      </c>
      <c r="K549" s="1066" t="s">
        <v>15</v>
      </c>
    </row>
    <row r="550" spans="1:11" ht="15" customHeight="1">
      <c r="A550" s="1066" t="s">
        <v>1876</v>
      </c>
      <c r="B550" s="1066" t="s">
        <v>806</v>
      </c>
      <c r="E550" s="1066" t="s">
        <v>1877</v>
      </c>
      <c r="F550" s="1066" t="s">
        <v>1878</v>
      </c>
      <c r="G550" s="1066" t="s">
        <v>13</v>
      </c>
      <c r="H550" s="1066" t="s">
        <v>1424</v>
      </c>
      <c r="K550" s="1066" t="s">
        <v>15</v>
      </c>
    </row>
    <row r="551" spans="1:11" ht="15" customHeight="1">
      <c r="A551" s="1066" t="s">
        <v>1879</v>
      </c>
      <c r="B551" s="1066" t="s">
        <v>1294</v>
      </c>
      <c r="C551" s="1066">
        <v>504013</v>
      </c>
      <c r="D551" s="1066" t="s">
        <v>1880</v>
      </c>
      <c r="E551" s="1066" t="s">
        <v>1881</v>
      </c>
      <c r="F551" s="1066" t="s">
        <v>1882</v>
      </c>
    </row>
    <row r="552" spans="1:11" ht="15" customHeight="1">
      <c r="A552" s="1066" t="s">
        <v>1883</v>
      </c>
      <c r="B552" s="1066" t="s">
        <v>1884</v>
      </c>
      <c r="C552" s="1066">
        <v>507014</v>
      </c>
      <c r="D552" s="1066" t="s">
        <v>1885</v>
      </c>
      <c r="E552" s="1066" t="s">
        <v>1886</v>
      </c>
      <c r="F552" s="1066" t="s">
        <v>1887</v>
      </c>
    </row>
    <row r="553" spans="1:11" ht="15" customHeight="1">
      <c r="A553" s="1066" t="s">
        <v>1888</v>
      </c>
      <c r="B553" s="1066" t="s">
        <v>1024</v>
      </c>
      <c r="C553" s="1066">
        <v>507002</v>
      </c>
      <c r="D553" s="1066" t="s">
        <v>1889</v>
      </c>
      <c r="E553" s="1066" t="s">
        <v>1890</v>
      </c>
      <c r="F553" s="1066" t="s">
        <v>1026</v>
      </c>
      <c r="G553" s="1066" t="s">
        <v>13</v>
      </c>
      <c r="H553" s="1066" t="s">
        <v>1424</v>
      </c>
      <c r="K553" s="1066" t="s">
        <v>15</v>
      </c>
    </row>
    <row r="554" spans="1:11" ht="15" customHeight="1">
      <c r="A554" s="1066" t="s">
        <v>1891</v>
      </c>
      <c r="B554" s="1066" t="s">
        <v>1892</v>
      </c>
      <c r="E554" s="1066" t="s">
        <v>1892</v>
      </c>
      <c r="F554" s="1066" t="s">
        <v>1893</v>
      </c>
      <c r="G554" s="1066" t="s">
        <v>13</v>
      </c>
      <c r="H554" s="1066" t="s">
        <v>1424</v>
      </c>
      <c r="K554" s="1066" t="s">
        <v>15</v>
      </c>
    </row>
    <row r="555" spans="1:11" ht="15" customHeight="1">
      <c r="A555" s="1066" t="s">
        <v>1894</v>
      </c>
      <c r="B555" s="1066" t="s">
        <v>1895</v>
      </c>
      <c r="C555" s="1066">
        <v>507012</v>
      </c>
      <c r="D555" s="1066" t="s">
        <v>1896</v>
      </c>
      <c r="E555" s="1066" t="s">
        <v>1897</v>
      </c>
      <c r="F555" s="1066" t="s">
        <v>1898</v>
      </c>
      <c r="G555" s="1066" t="s">
        <v>13</v>
      </c>
      <c r="H555" s="1066" t="s">
        <v>1424</v>
      </c>
      <c r="K555" s="1066" t="s">
        <v>15</v>
      </c>
    </row>
    <row r="556" spans="1:11" ht="15" customHeight="1">
      <c r="A556" s="1066" t="s">
        <v>1899</v>
      </c>
      <c r="B556" s="1066" t="s">
        <v>1900</v>
      </c>
      <c r="E556" s="1066" t="s">
        <v>1901</v>
      </c>
      <c r="F556" s="1066" t="s">
        <v>1902</v>
      </c>
      <c r="G556" s="1066" t="s">
        <v>13</v>
      </c>
      <c r="H556" s="1066" t="s">
        <v>1424</v>
      </c>
      <c r="K556" s="1066" t="s">
        <v>15</v>
      </c>
    </row>
    <row r="557" spans="1:11" ht="15" customHeight="1">
      <c r="A557" s="1066" t="s">
        <v>1903</v>
      </c>
      <c r="B557" s="1066" t="s">
        <v>655</v>
      </c>
      <c r="E557" s="1066" t="s">
        <v>1904</v>
      </c>
      <c r="F557" s="1066" t="s">
        <v>657</v>
      </c>
      <c r="G557" s="1066" t="s">
        <v>13</v>
      </c>
      <c r="H557" s="1066" t="s">
        <v>1424</v>
      </c>
      <c r="K557" s="1066" t="s">
        <v>15</v>
      </c>
    </row>
    <row r="558" spans="1:11" ht="15" customHeight="1">
      <c r="A558" s="1066" t="s">
        <v>1905</v>
      </c>
      <c r="B558" s="1066" t="s">
        <v>659</v>
      </c>
      <c r="E558" s="1066" t="s">
        <v>1906</v>
      </c>
      <c r="F558" s="1066" t="s">
        <v>661</v>
      </c>
      <c r="G558" s="1066" t="s">
        <v>13</v>
      </c>
      <c r="H558" s="1066" t="s">
        <v>1424</v>
      </c>
      <c r="K558" s="1066" t="s">
        <v>15</v>
      </c>
    </row>
    <row r="559" spans="1:11" ht="15" customHeight="1">
      <c r="A559" s="1066" t="s">
        <v>1907</v>
      </c>
      <c r="B559" s="1066" t="s">
        <v>663</v>
      </c>
      <c r="E559" s="1066" t="s">
        <v>1908</v>
      </c>
      <c r="F559" s="1066" t="s">
        <v>665</v>
      </c>
      <c r="G559" s="1066" t="s">
        <v>13</v>
      </c>
      <c r="H559" s="1066" t="s">
        <v>1424</v>
      </c>
      <c r="K559" s="1066" t="s">
        <v>15</v>
      </c>
    </row>
    <row r="560" spans="1:11" ht="15" customHeight="1">
      <c r="A560" s="1066" t="s">
        <v>1909</v>
      </c>
      <c r="B560" s="1066" t="s">
        <v>667</v>
      </c>
      <c r="C560" s="1066">
        <v>700002</v>
      </c>
      <c r="D560" s="1066" t="s">
        <v>1910</v>
      </c>
      <c r="E560" s="1066" t="s">
        <v>1911</v>
      </c>
      <c r="F560" s="1066" t="s">
        <v>669</v>
      </c>
    </row>
    <row r="561" spans="1:11" ht="15" customHeight="1">
      <c r="A561" s="1066" t="s">
        <v>1912</v>
      </c>
      <c r="B561" s="1066" t="s">
        <v>671</v>
      </c>
      <c r="E561" s="1066" t="s">
        <v>1913</v>
      </c>
      <c r="F561" s="1066" t="s">
        <v>673</v>
      </c>
      <c r="G561" s="1066" t="s">
        <v>13</v>
      </c>
      <c r="H561" s="1066" t="s">
        <v>1424</v>
      </c>
      <c r="K561" s="1066" t="s">
        <v>15</v>
      </c>
    </row>
    <row r="562" spans="1:11" ht="15" customHeight="1">
      <c r="A562" s="1066" t="s">
        <v>1914</v>
      </c>
      <c r="B562" s="1066" t="s">
        <v>675</v>
      </c>
      <c r="E562" s="1066" t="s">
        <v>1915</v>
      </c>
      <c r="F562" s="1066" t="s">
        <v>677</v>
      </c>
      <c r="G562" s="1066" t="s">
        <v>13</v>
      </c>
      <c r="H562" s="1066" t="s">
        <v>1424</v>
      </c>
      <c r="K562" s="1066" t="s">
        <v>15</v>
      </c>
    </row>
    <row r="563" spans="1:11" ht="15" customHeight="1">
      <c r="A563" s="1066" t="s">
        <v>1916</v>
      </c>
      <c r="B563" s="1066" t="s">
        <v>679</v>
      </c>
      <c r="E563" s="1066" t="s">
        <v>1917</v>
      </c>
      <c r="F563" s="1066" t="s">
        <v>681</v>
      </c>
      <c r="G563" s="1066" t="s">
        <v>13</v>
      </c>
      <c r="H563" s="1066" t="s">
        <v>1424</v>
      </c>
      <c r="K563" s="1066" t="s">
        <v>15</v>
      </c>
    </row>
    <row r="564" spans="1:11" ht="15" customHeight="1">
      <c r="A564" s="1066" t="s">
        <v>1918</v>
      </c>
      <c r="B564" s="1066" t="s">
        <v>1919</v>
      </c>
      <c r="C564" s="1066">
        <v>507010</v>
      </c>
      <c r="D564" s="1066" t="s">
        <v>1920</v>
      </c>
      <c r="E564" s="1066" t="s">
        <v>1921</v>
      </c>
      <c r="F564" s="1066" t="s">
        <v>1920</v>
      </c>
      <c r="G564" s="1066" t="s">
        <v>13</v>
      </c>
      <c r="H564" s="1066" t="s">
        <v>1424</v>
      </c>
      <c r="K564" s="1066" t="s">
        <v>15</v>
      </c>
    </row>
    <row r="565" spans="1:11" ht="15" customHeight="1">
      <c r="A565" s="1066" t="s">
        <v>1922</v>
      </c>
      <c r="B565" s="1066" t="s">
        <v>1923</v>
      </c>
      <c r="C565" s="1066">
        <v>800100</v>
      </c>
      <c r="D565" s="1066" t="s">
        <v>1924</v>
      </c>
      <c r="E565" s="1066" t="s">
        <v>1925</v>
      </c>
      <c r="F565" s="1066" t="s">
        <v>1926</v>
      </c>
      <c r="G565" s="1066" t="s">
        <v>13</v>
      </c>
      <c r="H565" s="1066" t="s">
        <v>1424</v>
      </c>
      <c r="K565" s="1066" t="s">
        <v>15</v>
      </c>
    </row>
    <row r="566" spans="1:11" ht="15" customHeight="1">
      <c r="A566" s="1066" t="s">
        <v>1927</v>
      </c>
      <c r="B566" s="1066" t="s">
        <v>1928</v>
      </c>
      <c r="E566" s="1066" t="s">
        <v>1929</v>
      </c>
      <c r="F566" s="1066" t="s">
        <v>1930</v>
      </c>
      <c r="G566" s="1066" t="s">
        <v>13</v>
      </c>
      <c r="H566" s="1066" t="s">
        <v>1424</v>
      </c>
      <c r="K566" s="1066" t="s">
        <v>15</v>
      </c>
    </row>
    <row r="567" spans="1:11" ht="15" customHeight="1">
      <c r="A567" s="1066" t="s">
        <v>1931</v>
      </c>
      <c r="B567" s="1066" t="s">
        <v>1932</v>
      </c>
      <c r="E567" s="1066" t="s">
        <v>1933</v>
      </c>
      <c r="F567" s="1066" t="s">
        <v>1934</v>
      </c>
      <c r="G567" s="1066" t="s">
        <v>13</v>
      </c>
      <c r="H567" s="1066" t="s">
        <v>1424</v>
      </c>
      <c r="K567" s="1066" t="s">
        <v>15</v>
      </c>
    </row>
    <row r="568" spans="1:11" ht="15" customHeight="1">
      <c r="A568" s="1066" t="s">
        <v>1935</v>
      </c>
      <c r="B568" s="1066" t="s">
        <v>1936</v>
      </c>
      <c r="E568" s="1066" t="s">
        <v>1937</v>
      </c>
      <c r="F568" s="1066" t="s">
        <v>1938</v>
      </c>
      <c r="G568" s="1066" t="s">
        <v>13</v>
      </c>
      <c r="H568" s="1066" t="s">
        <v>1424</v>
      </c>
      <c r="K568" s="1066" t="s">
        <v>15</v>
      </c>
    </row>
    <row r="569" spans="1:11" ht="15" customHeight="1">
      <c r="A569" s="1066" t="s">
        <v>1939</v>
      </c>
      <c r="B569" s="1066" t="s">
        <v>1940</v>
      </c>
      <c r="E569" s="1066" t="s">
        <v>1941</v>
      </c>
    </row>
    <row r="570" spans="1:11" ht="15" customHeight="1">
      <c r="A570" s="1066" t="s">
        <v>1942</v>
      </c>
      <c r="B570" s="1066" t="s">
        <v>1024</v>
      </c>
      <c r="E570" s="1066" t="s">
        <v>1943</v>
      </c>
      <c r="F570" s="1066" t="s">
        <v>1026</v>
      </c>
      <c r="G570" s="1066" t="s">
        <v>13</v>
      </c>
      <c r="H570" s="1066" t="s">
        <v>1424</v>
      </c>
      <c r="K570" s="1066" t="s">
        <v>15</v>
      </c>
    </row>
    <row r="571" spans="1:11" ht="15" customHeight="1">
      <c r="A571" s="1066" t="s">
        <v>1944</v>
      </c>
      <c r="B571" s="1066" t="s">
        <v>1945</v>
      </c>
      <c r="E571" s="1066" t="s">
        <v>1945</v>
      </c>
      <c r="F571" s="1066" t="s">
        <v>1946</v>
      </c>
      <c r="G571" s="1066" t="s">
        <v>421</v>
      </c>
      <c r="H571" s="1066" t="s">
        <v>1947</v>
      </c>
      <c r="K571" s="1066" t="s">
        <v>15</v>
      </c>
    </row>
    <row r="572" spans="1:11" ht="15" customHeight="1">
      <c r="A572" s="1066" t="s">
        <v>1948</v>
      </c>
      <c r="B572" s="1066" t="s">
        <v>1949</v>
      </c>
      <c r="E572" s="1066" t="s">
        <v>1949</v>
      </c>
      <c r="F572" s="1066" t="s">
        <v>1950</v>
      </c>
      <c r="G572" s="1066" t="s">
        <v>421</v>
      </c>
      <c r="H572" s="1066" t="s">
        <v>1947</v>
      </c>
      <c r="K572" s="1066" t="s">
        <v>15</v>
      </c>
    </row>
    <row r="573" spans="1:11" ht="15" customHeight="1">
      <c r="A573" s="1066" t="s">
        <v>1951</v>
      </c>
      <c r="B573" s="1066" t="s">
        <v>1952</v>
      </c>
      <c r="C573" s="1066">
        <v>800200</v>
      </c>
      <c r="D573" s="1066" t="s">
        <v>1953</v>
      </c>
      <c r="E573" s="1066" t="s">
        <v>1952</v>
      </c>
      <c r="F573" s="1066" t="s">
        <v>1954</v>
      </c>
      <c r="G573" s="1066" t="s">
        <v>421</v>
      </c>
      <c r="H573" s="1066" t="s">
        <v>1947</v>
      </c>
      <c r="K573" s="1066" t="s">
        <v>15</v>
      </c>
    </row>
    <row r="574" spans="1:11" ht="15" customHeight="1">
      <c r="A574" s="1066" t="s">
        <v>1955</v>
      </c>
      <c r="B574" s="1066" t="s">
        <v>1947</v>
      </c>
      <c r="C574" s="1066">
        <v>800110</v>
      </c>
      <c r="D574" s="1066" t="s">
        <v>1956</v>
      </c>
      <c r="E574" s="1066" t="s">
        <v>1947</v>
      </c>
      <c r="F574" s="1066" t="s">
        <v>1957</v>
      </c>
      <c r="G574" s="1066" t="s">
        <v>421</v>
      </c>
      <c r="H574" s="1066" t="s">
        <v>1947</v>
      </c>
      <c r="K574" s="1066" t="s">
        <v>15</v>
      </c>
    </row>
    <row r="575" spans="1:11" ht="15" customHeight="1">
      <c r="A575" s="1066" t="s">
        <v>1958</v>
      </c>
      <c r="B575" s="1066" t="s">
        <v>1959</v>
      </c>
      <c r="E575" s="1066" t="s">
        <v>1960</v>
      </c>
      <c r="F575" s="1066" t="s">
        <v>1961</v>
      </c>
      <c r="G575" s="1066" t="s">
        <v>421</v>
      </c>
      <c r="H575" s="1066" t="s">
        <v>1947</v>
      </c>
      <c r="K575" s="1066" t="s">
        <v>15</v>
      </c>
    </row>
    <row r="576" spans="1:11" ht="15" customHeight="1">
      <c r="A576" s="1066" t="s">
        <v>1962</v>
      </c>
      <c r="B576" s="1066" t="s">
        <v>1963</v>
      </c>
      <c r="E576" s="1066" t="s">
        <v>1964</v>
      </c>
      <c r="F576" s="1066" t="s">
        <v>1965</v>
      </c>
      <c r="G576" s="1066" t="s">
        <v>421</v>
      </c>
      <c r="H576" s="1066" t="s">
        <v>1947</v>
      </c>
      <c r="K576" s="1066" t="s">
        <v>15</v>
      </c>
    </row>
    <row r="577" spans="1:11" ht="15" customHeight="1">
      <c r="A577" s="1066" t="s">
        <v>1966</v>
      </c>
      <c r="B577" s="1066" t="s">
        <v>1967</v>
      </c>
      <c r="C577" s="1066">
        <v>800120</v>
      </c>
      <c r="D577" s="1066" t="s">
        <v>1968</v>
      </c>
      <c r="E577" s="1066" t="s">
        <v>1969</v>
      </c>
      <c r="F577" s="1066" t="s">
        <v>1970</v>
      </c>
    </row>
    <row r="578" spans="1:11" ht="15" customHeight="1">
      <c r="A578" s="1066" t="s">
        <v>1971</v>
      </c>
      <c r="B578" s="1066" t="s">
        <v>1024</v>
      </c>
      <c r="E578" s="1066" t="s">
        <v>1972</v>
      </c>
      <c r="F578" s="1066" t="s">
        <v>1026</v>
      </c>
      <c r="G578" s="1066" t="s">
        <v>421</v>
      </c>
      <c r="H578" s="1066" t="s">
        <v>1947</v>
      </c>
      <c r="K578" s="1066" t="s">
        <v>15</v>
      </c>
    </row>
    <row r="579" spans="1:11" ht="15" customHeight="1">
      <c r="A579" s="1066" t="s">
        <v>1973</v>
      </c>
      <c r="B579" s="1066" t="s">
        <v>1974</v>
      </c>
      <c r="E579" s="1066" t="s">
        <v>1974</v>
      </c>
      <c r="F579" s="1066" t="s">
        <v>1975</v>
      </c>
      <c r="G579" s="1066" t="s">
        <v>421</v>
      </c>
      <c r="H579" s="1066" t="s">
        <v>1947</v>
      </c>
      <c r="K579" s="1066" t="s">
        <v>15</v>
      </c>
    </row>
    <row r="580" spans="1:11" ht="15" customHeight="1">
      <c r="A580" s="1066" t="s">
        <v>1976</v>
      </c>
      <c r="B580" s="1066" t="s">
        <v>1977</v>
      </c>
      <c r="E580" s="1066" t="s">
        <v>1977</v>
      </c>
      <c r="F580" s="1066" t="s">
        <v>1978</v>
      </c>
      <c r="G580" s="1066" t="s">
        <v>421</v>
      </c>
      <c r="H580" s="1066" t="s">
        <v>1947</v>
      </c>
      <c r="K580" s="1066" t="s">
        <v>15</v>
      </c>
    </row>
    <row r="581" spans="1:11" ht="15" customHeight="1">
      <c r="A581" s="1066" t="s">
        <v>1979</v>
      </c>
      <c r="B581" s="1066" t="s">
        <v>1980</v>
      </c>
      <c r="E581" s="1066" t="s">
        <v>1980</v>
      </c>
      <c r="F581" s="1066" t="s">
        <v>1981</v>
      </c>
      <c r="G581" s="1066" t="s">
        <v>421</v>
      </c>
      <c r="H581" s="1066" t="s">
        <v>1947</v>
      </c>
      <c r="K581" s="1066" t="s">
        <v>15</v>
      </c>
    </row>
    <row r="582" spans="1:11" ht="15" customHeight="1">
      <c r="A582" s="1066" t="s">
        <v>1982</v>
      </c>
      <c r="B582" s="1066" t="s">
        <v>1983</v>
      </c>
      <c r="E582" s="1066" t="s">
        <v>1984</v>
      </c>
      <c r="F582" s="1066" t="s">
        <v>1985</v>
      </c>
      <c r="G582" s="1066" t="s">
        <v>421</v>
      </c>
      <c r="H582" s="1066" t="s">
        <v>1947</v>
      </c>
      <c r="K582" s="1066" t="s">
        <v>15</v>
      </c>
    </row>
    <row r="583" spans="1:11" ht="15" customHeight="1">
      <c r="A583" s="1066" t="s">
        <v>1986</v>
      </c>
      <c r="B583" s="1066" t="s">
        <v>1987</v>
      </c>
      <c r="E583" s="1066" t="s">
        <v>1988</v>
      </c>
      <c r="F583" s="1066" t="s">
        <v>1989</v>
      </c>
      <c r="G583" s="1066" t="s">
        <v>421</v>
      </c>
      <c r="H583" s="1066" t="s">
        <v>1947</v>
      </c>
      <c r="K583" s="1066" t="s">
        <v>15</v>
      </c>
    </row>
    <row r="584" spans="1:11" ht="15" customHeight="1">
      <c r="A584" s="1066" t="s">
        <v>1990</v>
      </c>
      <c r="B584" s="1066" t="s">
        <v>1991</v>
      </c>
      <c r="E584" s="1066" t="s">
        <v>1992</v>
      </c>
      <c r="F584" s="1066" t="s">
        <v>1993</v>
      </c>
      <c r="G584" s="1066" t="s">
        <v>421</v>
      </c>
      <c r="H584" s="1066" t="s">
        <v>1947</v>
      </c>
      <c r="K584" s="1066" t="s">
        <v>15</v>
      </c>
    </row>
    <row r="585" spans="1:11" ht="15" customHeight="1">
      <c r="A585" s="1066" t="s">
        <v>1994</v>
      </c>
      <c r="B585" s="1066" t="s">
        <v>1995</v>
      </c>
      <c r="E585" s="1066" t="s">
        <v>1996</v>
      </c>
      <c r="F585" s="1066" t="s">
        <v>1997</v>
      </c>
      <c r="G585" s="1066" t="s">
        <v>421</v>
      </c>
      <c r="H585" s="1066" t="s">
        <v>1947</v>
      </c>
      <c r="K585" s="1066" t="s">
        <v>15</v>
      </c>
    </row>
    <row r="586" spans="1:11" ht="15" customHeight="1">
      <c r="A586" s="1066" t="s">
        <v>1998</v>
      </c>
      <c r="B586" s="1066" t="s">
        <v>1024</v>
      </c>
      <c r="E586" s="1066" t="s">
        <v>1999</v>
      </c>
      <c r="F586" s="1066" t="s">
        <v>1026</v>
      </c>
      <c r="G586" s="1066" t="s">
        <v>421</v>
      </c>
      <c r="H586" s="1066" t="s">
        <v>1947</v>
      </c>
      <c r="K586" s="1066" t="s">
        <v>15</v>
      </c>
    </row>
    <row r="587" spans="1:11" ht="15" customHeight="1">
      <c r="A587" s="1066" t="s">
        <v>2000</v>
      </c>
      <c r="B587" s="1066" t="s">
        <v>2001</v>
      </c>
      <c r="E587" s="1066" t="s">
        <v>2001</v>
      </c>
      <c r="F587" s="1066" t="s">
        <v>2002</v>
      </c>
      <c r="G587" s="1066" t="s">
        <v>13</v>
      </c>
      <c r="H587" s="1066" t="s">
        <v>2003</v>
      </c>
      <c r="K587" s="1066" t="s">
        <v>15</v>
      </c>
    </row>
    <row r="588" spans="1:11" ht="15" customHeight="1">
      <c r="A588" s="1066" t="s">
        <v>2004</v>
      </c>
      <c r="B588" s="1066" t="s">
        <v>2005</v>
      </c>
      <c r="C588" s="1066">
        <v>509000</v>
      </c>
      <c r="D588" s="1066" t="s">
        <v>2006</v>
      </c>
      <c r="E588" s="1066" t="s">
        <v>2005</v>
      </c>
      <c r="F588" s="1066" t="s">
        <v>2007</v>
      </c>
      <c r="G588" s="1066" t="s">
        <v>13</v>
      </c>
      <c r="H588" s="1066" t="s">
        <v>2003</v>
      </c>
      <c r="K588" s="1066" t="s">
        <v>15</v>
      </c>
    </row>
    <row r="589" spans="1:11" ht="15" customHeight="1">
      <c r="A589" s="1066" t="s">
        <v>2008</v>
      </c>
      <c r="B589" s="1066" t="s">
        <v>2009</v>
      </c>
      <c r="E589" s="1066" t="s">
        <v>2009</v>
      </c>
      <c r="F589" s="1066" t="s">
        <v>2010</v>
      </c>
      <c r="G589" s="1066" t="s">
        <v>13</v>
      </c>
      <c r="H589" s="1066" t="s">
        <v>2003</v>
      </c>
      <c r="K589" s="1066" t="s">
        <v>15</v>
      </c>
    </row>
    <row r="590" spans="1:11" ht="15" customHeight="1">
      <c r="A590" s="1066" t="s">
        <v>2011</v>
      </c>
      <c r="B590" s="1066" t="s">
        <v>2012</v>
      </c>
      <c r="E590" s="1066" t="s">
        <v>2013</v>
      </c>
      <c r="F590" s="1066" t="s">
        <v>2014</v>
      </c>
      <c r="G590" s="1066" t="s">
        <v>13</v>
      </c>
      <c r="H590" s="1066" t="s">
        <v>2003</v>
      </c>
      <c r="K590" s="1066" t="s">
        <v>15</v>
      </c>
    </row>
    <row r="591" spans="1:11" ht="15" customHeight="1">
      <c r="A591" s="1066" t="s">
        <v>2015</v>
      </c>
      <c r="B591" s="1066" t="s">
        <v>2016</v>
      </c>
      <c r="E591" s="1066" t="s">
        <v>2017</v>
      </c>
      <c r="F591" s="1066" t="s">
        <v>2018</v>
      </c>
      <c r="G591" s="1066" t="s">
        <v>13</v>
      </c>
      <c r="H591" s="1066" t="s">
        <v>2003</v>
      </c>
      <c r="K591" s="1066" t="s">
        <v>15</v>
      </c>
    </row>
    <row r="592" spans="1:11" ht="15" customHeight="1">
      <c r="A592" s="1066" t="s">
        <v>2019</v>
      </c>
      <c r="B592" s="1066" t="s">
        <v>2020</v>
      </c>
      <c r="E592" s="1066" t="s">
        <v>2020</v>
      </c>
      <c r="F592" s="1066" t="s">
        <v>2021</v>
      </c>
      <c r="G592" s="1066" t="s">
        <v>421</v>
      </c>
      <c r="H592" s="1066" t="s">
        <v>2020</v>
      </c>
      <c r="K592" s="1066" t="s">
        <v>15</v>
      </c>
    </row>
    <row r="593" spans="1:11" ht="15" customHeight="1">
      <c r="A593" s="1066" t="s">
        <v>2022</v>
      </c>
      <c r="B593" s="1066" t="s">
        <v>2023</v>
      </c>
      <c r="E593" s="1066" t="s">
        <v>2023</v>
      </c>
      <c r="F593" s="1066" t="s">
        <v>2024</v>
      </c>
      <c r="G593" s="1066" t="s">
        <v>13</v>
      </c>
      <c r="H593" s="1066" t="s">
        <v>2025</v>
      </c>
      <c r="K593" s="1066" t="s">
        <v>15</v>
      </c>
    </row>
    <row r="594" spans="1:11" ht="15" customHeight="1">
      <c r="A594" s="1066" t="s">
        <v>2026</v>
      </c>
      <c r="B594" s="1066" t="s">
        <v>2027</v>
      </c>
      <c r="C594" s="1066">
        <v>900003</v>
      </c>
      <c r="D594" s="1066" t="s">
        <v>2028</v>
      </c>
      <c r="E594" s="1066" t="s">
        <v>2029</v>
      </c>
      <c r="F594" s="1066" t="s">
        <v>2030</v>
      </c>
      <c r="G594" s="1066" t="s">
        <v>13</v>
      </c>
      <c r="H594" s="1066" t="s">
        <v>2025</v>
      </c>
      <c r="K594" s="1066" t="s">
        <v>15</v>
      </c>
    </row>
    <row r="595" spans="1:11" ht="15" customHeight="1">
      <c r="A595" s="1066" t="s">
        <v>2031</v>
      </c>
      <c r="B595" s="1066" t="s">
        <v>2032</v>
      </c>
      <c r="E595" s="1066" t="s">
        <v>2033</v>
      </c>
      <c r="F595" s="1066" t="s">
        <v>2034</v>
      </c>
      <c r="G595" s="1066" t="s">
        <v>13</v>
      </c>
      <c r="H595" s="1066" t="s">
        <v>2025</v>
      </c>
      <c r="K595" s="1066" t="s">
        <v>15</v>
      </c>
    </row>
    <row r="596" spans="1:11" ht="15" customHeight="1">
      <c r="A596" s="1066" t="s">
        <v>2035</v>
      </c>
      <c r="B596" s="1066" t="s">
        <v>2036</v>
      </c>
      <c r="E596" s="1066" t="s">
        <v>2037</v>
      </c>
      <c r="F596" s="1066" t="s">
        <v>2038</v>
      </c>
      <c r="G596" s="1066" t="s">
        <v>13</v>
      </c>
      <c r="H596" s="1066" t="s">
        <v>2025</v>
      </c>
      <c r="K596" s="1066" t="s">
        <v>15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Y160"/>
  <sheetViews>
    <sheetView topLeftCell="A118" zoomScale="73" zoomScaleNormal="70" workbookViewId="0">
      <selection activeCell="O160" sqref="O160"/>
    </sheetView>
  </sheetViews>
  <sheetFormatPr defaultColWidth="8.625" defaultRowHeight="12.75" outlineLevelRow="1"/>
  <cols>
    <col min="1" max="2" width="2.625" style="3" customWidth="1"/>
    <col min="3" max="3" width="18.625" style="3" customWidth="1"/>
    <col min="4" max="4" width="9.375" style="3" customWidth="1"/>
    <col min="5" max="6" width="10.5" style="3" customWidth="1"/>
    <col min="7" max="7" width="9.375" style="3" customWidth="1"/>
    <col min="8" max="8" width="1.625" style="1000" customWidth="1"/>
    <col min="9" max="9" width="3.625" style="3" customWidth="1"/>
    <col min="10" max="10" width="1.375" style="3" customWidth="1"/>
    <col min="11" max="11" width="2.625" style="3" customWidth="1"/>
    <col min="12" max="12" width="18" style="3" customWidth="1"/>
    <col min="13" max="13" width="9.375" style="3" customWidth="1"/>
    <col min="14" max="15" width="10.5" style="3" customWidth="1"/>
    <col min="16" max="16" width="9.625" style="3" customWidth="1"/>
    <col min="17" max="17" width="1.625" style="1000" customWidth="1"/>
    <col min="18" max="18" width="3.625" style="3" customWidth="1"/>
    <col min="19" max="19" width="2.625" style="3" customWidth="1"/>
    <col min="20" max="20" width="24.875" style="3" customWidth="1"/>
    <col min="21" max="21" width="9.375" style="3" customWidth="1"/>
    <col min="22" max="23" width="10.5" style="3" customWidth="1"/>
    <col min="24" max="24" width="9.125" style="3" customWidth="1"/>
    <col min="25" max="25" width="1.625" style="1000" customWidth="1"/>
    <col min="26" max="16384" width="8.625" style="3"/>
  </cols>
  <sheetData>
    <row r="2" spans="2:25">
      <c r="B2" s="1001" t="s">
        <v>3121</v>
      </c>
      <c r="C2" s="1002"/>
      <c r="D2" s="1002"/>
      <c r="E2" s="1002"/>
      <c r="F2" s="1002"/>
      <c r="G2" s="1002"/>
      <c r="K2" s="1001" t="s">
        <v>3122</v>
      </c>
      <c r="L2" s="1002"/>
      <c r="M2" s="1002"/>
      <c r="N2" s="1002"/>
      <c r="O2" s="1002"/>
      <c r="P2" s="1002"/>
      <c r="S2" s="1001" t="s">
        <v>3137</v>
      </c>
      <c r="T2" s="1002"/>
      <c r="U2" s="1002"/>
      <c r="V2" s="1002"/>
      <c r="W2" s="1002"/>
      <c r="X2" s="1002"/>
    </row>
    <row r="3" spans="2:25" hidden="1" outlineLevel="1">
      <c r="B3" s="1003"/>
      <c r="C3" s="1004" t="s">
        <v>2039</v>
      </c>
      <c r="D3" s="1005">
        <v>46357</v>
      </c>
      <c r="E3" s="1004"/>
      <c r="F3" s="1004"/>
      <c r="G3" s="1006"/>
      <c r="K3" s="1003"/>
      <c r="L3" s="1004" t="s">
        <v>2039</v>
      </c>
      <c r="M3" s="1005">
        <v>46357</v>
      </c>
      <c r="N3" s="1004"/>
      <c r="O3" s="1004"/>
      <c r="P3" s="1006"/>
      <c r="S3" s="1003"/>
      <c r="T3" s="1004" t="s">
        <v>2039</v>
      </c>
      <c r="U3" s="1005">
        <v>46357</v>
      </c>
      <c r="V3" s="1004"/>
      <c r="W3" s="1004"/>
      <c r="X3" s="1006"/>
    </row>
    <row r="4" spans="2:25" hidden="1" outlineLevel="1">
      <c r="B4" s="1007"/>
      <c r="C4" s="3" t="s">
        <v>2040</v>
      </c>
      <c r="D4" s="1008">
        <v>-0.44861538461538503</v>
      </c>
      <c r="G4" s="1009"/>
      <c r="K4" s="1007"/>
      <c r="L4" s="3" t="s">
        <v>2040</v>
      </c>
      <c r="M4" s="1008">
        <v>-0.44861538461538503</v>
      </c>
      <c r="P4" s="1009"/>
      <c r="S4" s="1007"/>
      <c r="T4" s="3" t="s">
        <v>2040</v>
      </c>
      <c r="U4" s="1008">
        <v>-0.44861538461538503</v>
      </c>
      <c r="X4" s="1009"/>
    </row>
    <row r="5" spans="2:25" hidden="1" outlineLevel="1">
      <c r="B5" s="1007"/>
      <c r="C5" s="3" t="s">
        <v>2041</v>
      </c>
      <c r="D5" s="1010">
        <f>'[90]Personnel-HK 2026'!$U$11</f>
        <v>180699.99999999985</v>
      </c>
      <c r="E5" s="1010">
        <f>D5*12+1000000</f>
        <v>3168399.9999999981</v>
      </c>
      <c r="F5" s="1010"/>
      <c r="G5" s="1009"/>
      <c r="K5" s="1007"/>
      <c r="L5" s="3" t="s">
        <v>2041</v>
      </c>
      <c r="M5" s="1010">
        <f>'[90]Personnel-HK 2026'!$U$11</f>
        <v>180699.99999999985</v>
      </c>
      <c r="N5" s="1010">
        <f>M5*12+1000000</f>
        <v>3168399.9999999981</v>
      </c>
      <c r="O5" s="1010"/>
      <c r="P5" s="1009"/>
      <c r="S5" s="1007"/>
      <c r="T5" s="3" t="s">
        <v>2041</v>
      </c>
      <c r="U5" s="1010">
        <v>180699.99999999985</v>
      </c>
      <c r="V5" s="1010">
        <v>3168399.9999999981</v>
      </c>
      <c r="W5" s="1010"/>
      <c r="X5" s="1009"/>
    </row>
    <row r="6" spans="2:25" hidden="1" outlineLevel="1">
      <c r="B6" s="1007"/>
      <c r="C6" s="3" t="s">
        <v>2042</v>
      </c>
      <c r="D6" s="1011" t="s">
        <v>2043</v>
      </c>
      <c r="E6" s="1012" t="s">
        <v>2044</v>
      </c>
      <c r="F6" s="1012"/>
      <c r="G6" s="1009"/>
      <c r="K6" s="1007"/>
      <c r="L6" s="3" t="s">
        <v>2042</v>
      </c>
      <c r="M6" s="1011" t="s">
        <v>2043</v>
      </c>
      <c r="N6" s="1012" t="s">
        <v>2044</v>
      </c>
      <c r="O6" s="1012"/>
      <c r="P6" s="1009"/>
      <c r="S6" s="1007"/>
      <c r="T6" s="3" t="s">
        <v>2042</v>
      </c>
      <c r="U6" s="1011" t="s">
        <v>2043</v>
      </c>
      <c r="V6" s="1012" t="s">
        <v>2044</v>
      </c>
      <c r="W6" s="1012"/>
      <c r="X6" s="1009"/>
    </row>
    <row r="7" spans="2:25" hidden="1" outlineLevel="1">
      <c r="B7" s="1007"/>
      <c r="C7" s="1013" t="s">
        <v>2045</v>
      </c>
      <c r="D7" s="1014">
        <v>35000</v>
      </c>
      <c r="E7" s="1015">
        <v>46113</v>
      </c>
      <c r="F7" s="1025"/>
      <c r="G7" s="1009" t="s">
        <v>2046</v>
      </c>
      <c r="I7" s="3" t="s">
        <v>3135</v>
      </c>
      <c r="K7" s="1007"/>
      <c r="L7" s="1013" t="s">
        <v>2045</v>
      </c>
      <c r="M7" s="1014">
        <v>35000</v>
      </c>
      <c r="N7" s="1015">
        <v>46113</v>
      </c>
      <c r="O7" s="1025"/>
      <c r="P7" s="1009" t="s">
        <v>2046</v>
      </c>
      <c r="S7" s="1007"/>
      <c r="T7" s="1013" t="s">
        <v>2045</v>
      </c>
      <c r="U7" s="1014">
        <v>35000</v>
      </c>
      <c r="V7" s="1015">
        <v>46113</v>
      </c>
      <c r="W7" s="1025"/>
      <c r="X7" s="1009" t="s">
        <v>2046</v>
      </c>
      <c r="Y7" s="1000" t="s">
        <v>2046</v>
      </c>
    </row>
    <row r="8" spans="2:25" hidden="1" outlineLevel="1">
      <c r="B8" s="1007"/>
      <c r="C8" s="1016" t="s">
        <v>2047</v>
      </c>
      <c r="D8" s="1010">
        <v>33000</v>
      </c>
      <c r="E8" s="1017">
        <v>46054</v>
      </c>
      <c r="F8" s="1025"/>
      <c r="G8" s="1009" t="s">
        <v>2046</v>
      </c>
      <c r="I8" s="3" t="s">
        <v>3136</v>
      </c>
      <c r="K8" s="1007"/>
      <c r="L8" s="1016" t="s">
        <v>2047</v>
      </c>
      <c r="M8" s="1010">
        <v>33000</v>
      </c>
      <c r="N8" s="1017">
        <v>46054</v>
      </c>
      <c r="O8" s="1025"/>
      <c r="P8" s="1009" t="s">
        <v>2046</v>
      </c>
      <c r="S8" s="1007"/>
      <c r="T8" s="1016" t="s">
        <v>2047</v>
      </c>
      <c r="U8" s="1010">
        <v>33000</v>
      </c>
      <c r="V8" s="1017">
        <v>46054</v>
      </c>
      <c r="W8" s="1025"/>
      <c r="X8" s="1009" t="s">
        <v>2046</v>
      </c>
      <c r="Y8" s="1000" t="s">
        <v>2046</v>
      </c>
    </row>
    <row r="9" spans="2:25" hidden="1" outlineLevel="1">
      <c r="B9" s="1007"/>
      <c r="C9" s="1018" t="s">
        <v>2048</v>
      </c>
      <c r="D9" s="1019">
        <v>60000</v>
      </c>
      <c r="E9" s="1020">
        <v>46143</v>
      </c>
      <c r="F9" s="1137"/>
      <c r="G9" s="1009" t="s">
        <v>2046</v>
      </c>
      <c r="K9" s="1007"/>
      <c r="L9" s="1018" t="s">
        <v>2048</v>
      </c>
      <c r="M9" s="1019">
        <v>60000</v>
      </c>
      <c r="N9" s="1020">
        <v>46143</v>
      </c>
      <c r="O9" s="1137"/>
      <c r="P9" s="1009" t="s">
        <v>2046</v>
      </c>
      <c r="S9" s="1007"/>
      <c r="T9" s="1018" t="s">
        <v>2048</v>
      </c>
      <c r="U9" s="1019">
        <v>60000</v>
      </c>
      <c r="V9" s="1020">
        <v>46143</v>
      </c>
      <c r="W9" s="1137"/>
      <c r="X9" s="1009" t="s">
        <v>2046</v>
      </c>
      <c r="Y9" s="1000" t="s">
        <v>2046</v>
      </c>
    </row>
    <row r="10" spans="2:25" hidden="1" outlineLevel="1">
      <c r="B10" s="1007"/>
      <c r="C10" s="1016" t="s">
        <v>2049</v>
      </c>
      <c r="D10" s="1010">
        <v>26000</v>
      </c>
      <c r="E10" s="1017">
        <v>46143</v>
      </c>
      <c r="F10" s="1025"/>
      <c r="G10" s="1009" t="s">
        <v>2046</v>
      </c>
      <c r="K10" s="1007"/>
      <c r="L10" s="1016" t="s">
        <v>2049</v>
      </c>
      <c r="M10" s="1010">
        <v>26000</v>
      </c>
      <c r="N10" s="1017">
        <v>46143</v>
      </c>
      <c r="O10" s="1025"/>
      <c r="P10" s="1009" t="s">
        <v>2046</v>
      </c>
      <c r="S10" s="1007"/>
      <c r="T10" s="1016" t="s">
        <v>2049</v>
      </c>
      <c r="U10" s="1010">
        <v>26000</v>
      </c>
      <c r="V10" s="1017">
        <v>46143</v>
      </c>
      <c r="W10" s="1025"/>
      <c r="X10" s="1009" t="s">
        <v>2046</v>
      </c>
      <c r="Y10" s="1000" t="s">
        <v>2046</v>
      </c>
    </row>
    <row r="11" spans="2:25" hidden="1" outlineLevel="1">
      <c r="B11" s="1007"/>
      <c r="C11" s="1016" t="s">
        <v>2050</v>
      </c>
      <c r="D11" s="1010">
        <v>17000</v>
      </c>
      <c r="E11" s="1017">
        <v>46235</v>
      </c>
      <c r="F11" s="1025"/>
      <c r="G11" s="1009" t="s">
        <v>2046</v>
      </c>
      <c r="K11" s="1007"/>
      <c r="L11" s="1016" t="s">
        <v>2050</v>
      </c>
      <c r="M11" s="1010">
        <v>17000</v>
      </c>
      <c r="N11" s="1017">
        <v>46235</v>
      </c>
      <c r="O11" s="1025"/>
      <c r="P11" s="1009" t="s">
        <v>2046</v>
      </c>
      <c r="S11" s="1007"/>
      <c r="T11" s="1016" t="s">
        <v>2050</v>
      </c>
      <c r="U11" s="1010">
        <v>17000</v>
      </c>
      <c r="V11" s="1017">
        <v>46235</v>
      </c>
      <c r="W11" s="1025"/>
      <c r="X11" s="1009" t="s">
        <v>2046</v>
      </c>
      <c r="Y11" s="1000" t="s">
        <v>2046</v>
      </c>
    </row>
    <row r="12" spans="2:25" hidden="1" outlineLevel="1">
      <c r="B12" s="1007"/>
      <c r="C12" s="1016" t="s">
        <v>2051</v>
      </c>
      <c r="D12" s="1010">
        <v>12000</v>
      </c>
      <c r="E12" s="1017">
        <v>46357</v>
      </c>
      <c r="F12" s="1025"/>
      <c r="G12" s="1009" t="s">
        <v>2046</v>
      </c>
      <c r="K12" s="1007"/>
      <c r="L12" s="1016" t="s">
        <v>2051</v>
      </c>
      <c r="M12" s="1010">
        <v>12000</v>
      </c>
      <c r="N12" s="1017">
        <v>46357</v>
      </c>
      <c r="O12" s="1025"/>
      <c r="P12" s="1009" t="s">
        <v>2046</v>
      </c>
      <c r="S12" s="1007"/>
      <c r="T12" s="1016" t="s">
        <v>2051</v>
      </c>
      <c r="U12" s="1010">
        <v>12000</v>
      </c>
      <c r="V12" s="1017">
        <v>46357</v>
      </c>
      <c r="W12" s="1025"/>
      <c r="X12" s="1009" t="s">
        <v>2046</v>
      </c>
      <c r="Y12" s="1000" t="s">
        <v>2046</v>
      </c>
    </row>
    <row r="13" spans="2:25" hidden="1" outlineLevel="1">
      <c r="B13" s="1007"/>
      <c r="C13" s="1016" t="s">
        <v>2052</v>
      </c>
      <c r="D13" s="1010">
        <v>60000</v>
      </c>
      <c r="E13" s="1017">
        <v>46082</v>
      </c>
      <c r="F13" s="1025"/>
      <c r="G13" s="1009" t="s">
        <v>2053</v>
      </c>
      <c r="K13" s="1007"/>
      <c r="L13" s="1016" t="s">
        <v>2052</v>
      </c>
      <c r="M13" s="1010">
        <v>60000</v>
      </c>
      <c r="N13" s="1017">
        <v>46082</v>
      </c>
      <c r="O13" s="1025"/>
      <c r="P13" s="1009" t="s">
        <v>2053</v>
      </c>
      <c r="S13" s="1007"/>
      <c r="T13" s="1016" t="s">
        <v>2052</v>
      </c>
      <c r="U13" s="1010">
        <v>60000</v>
      </c>
      <c r="V13" s="1017">
        <v>46082</v>
      </c>
      <c r="W13" s="1025"/>
      <c r="X13" s="1009" t="s">
        <v>2053</v>
      </c>
      <c r="Y13" s="1000" t="s">
        <v>2053</v>
      </c>
    </row>
    <row r="14" spans="2:25" hidden="1" outlineLevel="1">
      <c r="B14" s="1007"/>
      <c r="C14" s="1016" t="s">
        <v>2052</v>
      </c>
      <c r="D14" s="1010">
        <v>60000</v>
      </c>
      <c r="E14" s="1017">
        <v>46569</v>
      </c>
      <c r="F14" s="1025"/>
      <c r="G14" s="1009" t="s">
        <v>2054</v>
      </c>
      <c r="I14" s="1010">
        <f>61500*6*0.89</f>
        <v>328410</v>
      </c>
      <c r="K14" s="1007"/>
      <c r="L14" s="1016" t="s">
        <v>2052</v>
      </c>
      <c r="M14" s="1010">
        <v>60000</v>
      </c>
      <c r="N14" s="1017">
        <v>46569</v>
      </c>
      <c r="O14" s="1025"/>
      <c r="P14" s="1009" t="s">
        <v>2054</v>
      </c>
      <c r="S14" s="1007"/>
      <c r="T14" s="1016" t="s">
        <v>2052</v>
      </c>
      <c r="U14" s="1010">
        <v>60000</v>
      </c>
      <c r="V14" s="1017">
        <v>46569</v>
      </c>
      <c r="W14" s="1025"/>
      <c r="X14" s="1009" t="s">
        <v>2054</v>
      </c>
      <c r="Y14" s="1000" t="s">
        <v>2054</v>
      </c>
    </row>
    <row r="15" spans="2:25" hidden="1" outlineLevel="1">
      <c r="B15" s="1007"/>
      <c r="C15" s="1018" t="s">
        <v>2055</v>
      </c>
      <c r="D15" s="1019">
        <v>100000</v>
      </c>
      <c r="E15" s="1020">
        <v>46143</v>
      </c>
      <c r="F15" s="1137"/>
      <c r="G15" s="1009"/>
      <c r="I15" s="1010"/>
      <c r="K15" s="1007"/>
      <c r="L15" s="1018" t="s">
        <v>2055</v>
      </c>
      <c r="M15" s="1019">
        <v>100000</v>
      </c>
      <c r="N15" s="1020">
        <v>46143</v>
      </c>
      <c r="O15" s="1137"/>
      <c r="P15" s="1009"/>
      <c r="S15" s="1007"/>
      <c r="T15" s="1018" t="s">
        <v>2055</v>
      </c>
      <c r="U15" s="1019">
        <v>100000</v>
      </c>
      <c r="V15" s="1020">
        <v>46143</v>
      </c>
      <c r="W15" s="1137"/>
      <c r="X15" s="1009"/>
    </row>
    <row r="16" spans="2:25" hidden="1" outlineLevel="1">
      <c r="B16" s="1007"/>
      <c r="C16" s="1021" t="s">
        <v>2056</v>
      </c>
      <c r="D16" s="1022">
        <v>80000</v>
      </c>
      <c r="E16" s="1023">
        <v>46143</v>
      </c>
      <c r="F16" s="1137"/>
      <c r="G16" s="1009"/>
      <c r="I16" s="1010"/>
      <c r="K16" s="1007"/>
      <c r="L16" s="1021" t="s">
        <v>2056</v>
      </c>
      <c r="M16" s="1022">
        <v>80000</v>
      </c>
      <c r="N16" s="1023">
        <v>46143</v>
      </c>
      <c r="O16" s="1137"/>
      <c r="P16" s="1009"/>
      <c r="S16" s="1007"/>
      <c r="T16" s="1021" t="s">
        <v>2056</v>
      </c>
      <c r="U16" s="1022">
        <v>80000</v>
      </c>
      <c r="V16" s="1023">
        <v>46143</v>
      </c>
      <c r="W16" s="1137"/>
      <c r="X16" s="1009"/>
    </row>
    <row r="17" spans="2:24" hidden="1" outlineLevel="1">
      <c r="B17" s="1007"/>
      <c r="C17" s="1136" t="s">
        <v>3131</v>
      </c>
      <c r="D17" s="1019">
        <v>40000</v>
      </c>
      <c r="E17" s="1137">
        <v>46388</v>
      </c>
      <c r="F17" s="1137"/>
      <c r="G17" s="1139"/>
      <c r="I17" s="1010">
        <v>650000</v>
      </c>
      <c r="K17" s="1007"/>
      <c r="L17" s="1136" t="s">
        <v>3131</v>
      </c>
      <c r="M17" s="1019">
        <v>40000</v>
      </c>
      <c r="N17" s="1137">
        <v>46388</v>
      </c>
      <c r="O17" s="1137"/>
      <c r="S17" s="1007"/>
      <c r="T17" s="1136" t="s">
        <v>3131</v>
      </c>
      <c r="U17" s="1019">
        <v>40000</v>
      </c>
      <c r="V17" s="1137">
        <v>46388</v>
      </c>
      <c r="W17" s="1137"/>
    </row>
    <row r="18" spans="2:24" hidden="1" outlineLevel="1">
      <c r="B18" s="1007"/>
      <c r="I18" s="1010"/>
      <c r="K18" s="1007"/>
      <c r="S18" s="1007"/>
    </row>
    <row r="19" spans="2:24" hidden="1" outlineLevel="1">
      <c r="B19" s="1007"/>
      <c r="C19" s="1024"/>
      <c r="D19" s="1010"/>
      <c r="E19" s="1025"/>
      <c r="F19" s="1025"/>
      <c r="G19" s="1009"/>
      <c r="I19" s="1010"/>
      <c r="K19" s="1007"/>
      <c r="L19" s="1024"/>
      <c r="M19" s="1010"/>
      <c r="N19" s="1025"/>
      <c r="O19" s="1025"/>
      <c r="P19" s="1009"/>
      <c r="S19" s="1007"/>
      <c r="T19" s="1024"/>
      <c r="U19" s="1010"/>
      <c r="V19" s="1025"/>
      <c r="W19" s="1025"/>
      <c r="X19" s="1009"/>
    </row>
    <row r="20" spans="2:24" hidden="1" outlineLevel="1">
      <c r="B20" s="1007"/>
      <c r="C20" s="3" t="s">
        <v>2057</v>
      </c>
      <c r="D20" s="1011" t="s">
        <v>2043</v>
      </c>
      <c r="E20" s="1012" t="s">
        <v>2058</v>
      </c>
      <c r="F20" s="1012"/>
      <c r="G20" s="1009"/>
      <c r="I20" s="1010"/>
      <c r="K20" s="1007"/>
      <c r="L20" s="3" t="s">
        <v>2057</v>
      </c>
      <c r="M20" s="1011" t="s">
        <v>2043</v>
      </c>
      <c r="N20" s="1012" t="s">
        <v>2058</v>
      </c>
      <c r="O20" s="1012"/>
      <c r="P20" s="1009"/>
      <c r="S20" s="1007"/>
      <c r="T20" s="3" t="s">
        <v>2057</v>
      </c>
      <c r="U20" s="1011" t="s">
        <v>2043</v>
      </c>
      <c r="V20" s="1012" t="s">
        <v>2058</v>
      </c>
      <c r="W20" s="1012"/>
      <c r="X20" s="1009"/>
    </row>
    <row r="21" spans="2:24" hidden="1" outlineLevel="1">
      <c r="B21" s="1007"/>
      <c r="C21" s="1013" t="s">
        <v>2059</v>
      </c>
      <c r="D21" s="1014"/>
      <c r="E21" s="1015">
        <v>46387</v>
      </c>
      <c r="F21" s="1025"/>
      <c r="G21" s="1140"/>
      <c r="I21" s="1010"/>
      <c r="K21" s="1007"/>
      <c r="L21" s="1013" t="s">
        <v>2059</v>
      </c>
      <c r="M21" s="1014"/>
      <c r="N21" s="1015">
        <v>46387</v>
      </c>
      <c r="O21" s="1025"/>
      <c r="P21" s="1009"/>
      <c r="S21" s="1007"/>
      <c r="T21" s="1013" t="s">
        <v>2059</v>
      </c>
      <c r="U21" s="1014"/>
      <c r="V21" s="1015">
        <v>46387</v>
      </c>
      <c r="W21" s="1025"/>
      <c r="X21" s="1009"/>
    </row>
    <row r="22" spans="2:24" hidden="1" outlineLevel="1">
      <c r="B22" s="1007"/>
      <c r="C22" s="1016" t="s">
        <v>2060</v>
      </c>
      <c r="D22" s="1010"/>
      <c r="E22" s="1017">
        <v>46022</v>
      </c>
      <c r="F22" s="1025"/>
      <c r="G22" s="1009"/>
      <c r="I22" s="1010"/>
      <c r="K22" s="1007"/>
      <c r="L22" s="1016" t="s">
        <v>2060</v>
      </c>
      <c r="M22" s="1010"/>
      <c r="N22" s="1017">
        <v>46022</v>
      </c>
      <c r="O22" s="1025"/>
      <c r="P22" s="1009"/>
      <c r="S22" s="1007"/>
      <c r="T22" s="1016" t="s">
        <v>2060</v>
      </c>
      <c r="U22" s="1010"/>
      <c r="V22" s="1017">
        <v>46022</v>
      </c>
      <c r="W22" s="1025"/>
      <c r="X22" s="1009"/>
    </row>
    <row r="23" spans="2:24" hidden="1" outlineLevel="1">
      <c r="B23" s="1007"/>
      <c r="C23" s="1026"/>
      <c r="D23" s="1027"/>
      <c r="E23" s="1028"/>
      <c r="F23" s="1025"/>
      <c r="G23" s="1009"/>
      <c r="K23" s="1007"/>
      <c r="L23" s="1026"/>
      <c r="M23" s="1027"/>
      <c r="N23" s="1028"/>
      <c r="O23" s="1025"/>
      <c r="P23" s="1009"/>
      <c r="S23" s="1007"/>
      <c r="T23" s="1026"/>
      <c r="U23" s="1027"/>
      <c r="V23" s="1028"/>
      <c r="W23" s="1025"/>
      <c r="X23" s="1009"/>
    </row>
    <row r="24" spans="2:24" hidden="1" outlineLevel="1">
      <c r="B24" s="1007"/>
      <c r="C24" s="1024"/>
      <c r="D24" s="1010"/>
      <c r="E24" s="1025"/>
      <c r="F24" s="1025"/>
      <c r="G24" s="1009"/>
      <c r="K24" s="1007"/>
      <c r="L24" s="1024"/>
      <c r="M24" s="1010"/>
      <c r="N24" s="1025"/>
      <c r="O24" s="1025"/>
      <c r="P24" s="1009"/>
      <c r="S24" s="1007"/>
      <c r="T24" s="1024"/>
      <c r="U24" s="1010"/>
      <c r="V24" s="1025"/>
      <c r="W24" s="1025"/>
      <c r="X24" s="1009"/>
    </row>
    <row r="25" spans="2:24" hidden="1" outlineLevel="1">
      <c r="B25" s="1007"/>
      <c r="C25" s="3" t="s">
        <v>2061</v>
      </c>
      <c r="D25" s="1010"/>
      <c r="E25" s="1025"/>
      <c r="F25" s="1025"/>
      <c r="G25" s="1009"/>
      <c r="K25" s="1007"/>
      <c r="L25" s="3" t="s">
        <v>2061</v>
      </c>
      <c r="M25" s="1010"/>
      <c r="N25" s="1025"/>
      <c r="O25" s="1025"/>
      <c r="P25" s="1009"/>
      <c r="S25" s="1007"/>
      <c r="T25" s="3" t="s">
        <v>2061</v>
      </c>
      <c r="U25" s="1010"/>
      <c r="V25" s="1025"/>
      <c r="W25" s="1025"/>
      <c r="X25" s="1009"/>
    </row>
    <row r="26" spans="2:24" hidden="1" outlineLevel="1">
      <c r="B26" s="1007"/>
      <c r="C26" s="1024" t="s">
        <v>2062</v>
      </c>
      <c r="D26" s="1029">
        <v>0</v>
      </c>
      <c r="E26" s="1025"/>
      <c r="F26" s="1025"/>
      <c r="G26" s="1009"/>
      <c r="K26" s="1007"/>
      <c r="L26" s="1024" t="s">
        <v>2062</v>
      </c>
      <c r="M26" s="1029">
        <v>0</v>
      </c>
      <c r="N26" s="1025"/>
      <c r="O26" s="1025"/>
      <c r="P26" s="1009"/>
      <c r="S26" s="1007"/>
      <c r="T26" s="1024" t="s">
        <v>2062</v>
      </c>
      <c r="U26" s="1029">
        <v>0</v>
      </c>
      <c r="V26" s="1025"/>
      <c r="W26" s="1025"/>
      <c r="X26" s="1009"/>
    </row>
    <row r="27" spans="2:24" hidden="1" outlineLevel="1">
      <c r="B27" s="1007"/>
      <c r="C27" s="1024"/>
      <c r="D27" s="1010"/>
      <c r="E27" s="1025"/>
      <c r="F27" s="1025"/>
      <c r="G27" s="1009"/>
      <c r="K27" s="1007"/>
      <c r="L27" s="1024"/>
      <c r="M27" s="1010"/>
      <c r="N27" s="1025"/>
      <c r="O27" s="1025"/>
      <c r="P27" s="1009"/>
      <c r="S27" s="1007"/>
      <c r="T27" s="1024"/>
      <c r="U27" s="1010"/>
      <c r="V27" s="1025"/>
      <c r="W27" s="1025"/>
      <c r="X27" s="1009"/>
    </row>
    <row r="28" spans="2:24" ht="15.75" hidden="1" outlineLevel="1">
      <c r="B28" s="1007"/>
      <c r="C28" s="3" t="s">
        <v>1446</v>
      </c>
      <c r="D28" s="1030">
        <v>1</v>
      </c>
      <c r="E28" s="1031" t="s">
        <v>2063</v>
      </c>
      <c r="F28" s="1031"/>
      <c r="G28" s="1009"/>
      <c r="K28" s="1007"/>
      <c r="L28" s="3" t="s">
        <v>1446</v>
      </c>
      <c r="M28" s="1030">
        <v>1</v>
      </c>
      <c r="N28" s="1031" t="s">
        <v>2063</v>
      </c>
      <c r="O28" s="1031"/>
      <c r="P28" s="1009"/>
      <c r="S28" s="1007"/>
      <c r="T28" s="3" t="s">
        <v>1446</v>
      </c>
      <c r="U28" s="1030">
        <v>1</v>
      </c>
      <c r="V28" s="1031" t="s">
        <v>2063</v>
      </c>
      <c r="W28" s="1031"/>
      <c r="X28" s="1009"/>
    </row>
    <row r="29" spans="2:24" ht="15.75" hidden="1" outlineLevel="1">
      <c r="B29" s="1007"/>
      <c r="C29" s="3" t="s">
        <v>2064</v>
      </c>
      <c r="D29" s="1030">
        <f>'[90]Bonus 2026'!$J$19*D28</f>
        <v>2317250</v>
      </c>
      <c r="E29" s="1031"/>
      <c r="F29" s="1031"/>
      <c r="G29" s="1009"/>
      <c r="K29" s="1007"/>
      <c r="L29" s="3" t="s">
        <v>2064</v>
      </c>
      <c r="M29" s="1030">
        <f>'[90]Bonus 2026'!$J$19*M28</f>
        <v>2317250</v>
      </c>
      <c r="N29" s="1031"/>
      <c r="O29" s="1031"/>
      <c r="P29" s="1009"/>
      <c r="S29" s="1007"/>
      <c r="T29" s="3" t="s">
        <v>2064</v>
      </c>
      <c r="U29" s="1030">
        <v>2317250</v>
      </c>
      <c r="V29" s="1031"/>
      <c r="W29" s="1031"/>
      <c r="X29" s="1009"/>
    </row>
    <row r="30" spans="2:24" ht="15.75" hidden="1" outlineLevel="1">
      <c r="B30" s="1007"/>
      <c r="C30" s="3" t="s">
        <v>2065</v>
      </c>
      <c r="D30" s="1030">
        <v>1</v>
      </c>
      <c r="E30" s="1031" t="s">
        <v>2066</v>
      </c>
      <c r="F30" s="1031"/>
      <c r="G30" s="1009"/>
      <c r="K30" s="1007"/>
      <c r="L30" s="3" t="s">
        <v>2065</v>
      </c>
      <c r="M30" s="1030">
        <v>1</v>
      </c>
      <c r="N30" s="1031" t="s">
        <v>2066</v>
      </c>
      <c r="O30" s="1031"/>
      <c r="P30" s="1009"/>
      <c r="S30" s="1007"/>
      <c r="T30" s="3" t="s">
        <v>2065</v>
      </c>
      <c r="U30" s="1030">
        <v>1</v>
      </c>
      <c r="V30" s="1031" t="s">
        <v>2066</v>
      </c>
      <c r="W30" s="1031"/>
      <c r="X30" s="1009"/>
    </row>
    <row r="31" spans="2:24" ht="15.75" hidden="1" outlineLevel="1">
      <c r="B31" s="1007"/>
      <c r="C31" s="3" t="s">
        <v>2067</v>
      </c>
      <c r="D31" s="1030">
        <f>'[90]Bonus 2026'!$J$31*D30</f>
        <v>714000</v>
      </c>
      <c r="E31" s="1031"/>
      <c r="F31" s="1031"/>
      <c r="G31" s="1009"/>
      <c r="K31" s="1007"/>
      <c r="L31" s="3" t="s">
        <v>2067</v>
      </c>
      <c r="M31" s="1030">
        <f>'[90]Bonus 2026'!$J$31*M30</f>
        <v>714000</v>
      </c>
      <c r="N31" s="1031"/>
      <c r="O31" s="1031"/>
      <c r="P31" s="1009"/>
      <c r="S31" s="1007"/>
      <c r="T31" s="3" t="s">
        <v>2067</v>
      </c>
      <c r="U31" s="1030">
        <v>714000</v>
      </c>
      <c r="V31" s="1031"/>
      <c r="W31" s="1031"/>
      <c r="X31" s="1009"/>
    </row>
    <row r="32" spans="2:24" hidden="1" outlineLevel="1">
      <c r="B32" s="1007"/>
      <c r="D32" s="1147" t="s">
        <v>3129</v>
      </c>
      <c r="E32" s="1148" t="s">
        <v>3130</v>
      </c>
      <c r="F32" s="1148" t="s">
        <v>3141</v>
      </c>
      <c r="G32" s="1009"/>
      <c r="K32" s="1007"/>
      <c r="M32" s="1147" t="s">
        <v>3129</v>
      </c>
      <c r="N32" s="1148" t="s">
        <v>3130</v>
      </c>
      <c r="O32" s="1148" t="s">
        <v>3141</v>
      </c>
      <c r="P32" s="1009"/>
      <c r="S32" s="1007"/>
      <c r="U32" s="1147" t="s">
        <v>3129</v>
      </c>
      <c r="V32" s="1148" t="s">
        <v>3130</v>
      </c>
      <c r="W32" s="1148" t="s">
        <v>3141</v>
      </c>
      <c r="X32" s="1009"/>
    </row>
    <row r="33" spans="2:25" hidden="1" outlineLevel="1">
      <c r="B33" s="1007"/>
      <c r="C33" s="3" t="s">
        <v>2068</v>
      </c>
      <c r="D33" s="1030">
        <f>情形1!S23</f>
        <v>79972.505327245046</v>
      </c>
      <c r="E33" s="1030">
        <f>情形1!AE23</f>
        <v>125842.73474470734</v>
      </c>
      <c r="F33" s="1030">
        <f>情形1!AQ23</f>
        <v>141939.4117891241</v>
      </c>
      <c r="G33" s="1032"/>
      <c r="K33" s="1007"/>
      <c r="L33" s="3" t="s">
        <v>2068</v>
      </c>
      <c r="M33" s="1030">
        <f>情形2!S23</f>
        <v>49941.558876435593</v>
      </c>
      <c r="N33" s="1030">
        <f>情形2!AE23</f>
        <v>95626.981320049817</v>
      </c>
      <c r="O33" s="1030">
        <f>情形2!AQ23</f>
        <v>141600.01784973018</v>
      </c>
      <c r="P33" s="1032"/>
      <c r="S33" s="1007"/>
      <c r="T33" s="3" t="s">
        <v>2068</v>
      </c>
      <c r="U33" s="1030">
        <v>27428.482911304829</v>
      </c>
      <c r="V33" s="1030">
        <v>72955.250311332493</v>
      </c>
      <c r="W33" s="1030">
        <v>118769.19593192195</v>
      </c>
      <c r="X33" s="1032"/>
    </row>
    <row r="34" spans="2:25" hidden="1" outlineLevel="1">
      <c r="B34" s="1007"/>
      <c r="C34" s="3" t="s">
        <v>2069</v>
      </c>
      <c r="D34" s="1010">
        <f>情形1!S33</f>
        <v>2665.7501775748347</v>
      </c>
      <c r="E34" s="1010">
        <f>情形1!AE33</f>
        <v>4194.7578248235777</v>
      </c>
      <c r="F34" s="1010">
        <f>情形1!AQ33</f>
        <v>4731.3137263041372</v>
      </c>
      <c r="G34" s="1032"/>
      <c r="K34" s="1007"/>
      <c r="L34" s="3" t="s">
        <v>2069</v>
      </c>
      <c r="M34" s="1010">
        <f>情形2!S33</f>
        <v>1664.7186292145198</v>
      </c>
      <c r="N34" s="1010">
        <f>情形2!AE33</f>
        <v>3187.5660440016604</v>
      </c>
      <c r="O34" s="1010">
        <f>情形2!AQ33</f>
        <v>4720.0005949910064</v>
      </c>
      <c r="P34" s="1032"/>
      <c r="S34" s="1007"/>
      <c r="T34" s="3" t="s">
        <v>2069</v>
      </c>
      <c r="U34" s="1010">
        <v>1500</v>
      </c>
      <c r="V34" s="1010">
        <v>2431.8416770444164</v>
      </c>
      <c r="W34" s="1010">
        <v>3958.9731977307315</v>
      </c>
      <c r="X34" s="1032"/>
    </row>
    <row r="35" spans="2:25" hidden="1" outlineLevel="1">
      <c r="B35" s="1007"/>
      <c r="C35" s="3" t="s">
        <v>3073</v>
      </c>
      <c r="D35" s="1010">
        <f>情形1!S27+情形1!S29+情形1!S31</f>
        <v>2225.9013982749871</v>
      </c>
      <c r="E35" s="1010">
        <f>情形1!AE27+情形1!AE29+情形1!AE31</f>
        <v>3502.6227837276874</v>
      </c>
      <c r="F35" s="1010">
        <f>情形1!AQ27+情形1!AQ29+情形1!AQ31</f>
        <v>3950.6469614639541</v>
      </c>
      <c r="G35" s="1032"/>
      <c r="K35" s="1007"/>
      <c r="L35" s="3" t="s">
        <v>3073</v>
      </c>
      <c r="M35" s="1010">
        <f>情形2!S27+情形2!S29+情形2!S31</f>
        <v>1420.9166722475902</v>
      </c>
      <c r="N35" s="1010">
        <f>情形2!AE27+情形2!AE29+情形2!AE31</f>
        <v>2661.6176467413866</v>
      </c>
      <c r="O35" s="1010">
        <f>情形2!AQ27+情形2!AQ29+情形2!AQ31</f>
        <v>3941.2004968174897</v>
      </c>
      <c r="P35" s="1032"/>
      <c r="S35" s="1007"/>
      <c r="T35" s="3" t="s">
        <v>3073</v>
      </c>
      <c r="U35" s="1010">
        <v>1347.091836734694</v>
      </c>
      <c r="V35" s="1010">
        <v>2030.5878003320877</v>
      </c>
      <c r="W35" s="1010">
        <v>3305.7426201051603</v>
      </c>
      <c r="X35" s="1032"/>
    </row>
    <row r="36" spans="2:25" hidden="1" outlineLevel="1">
      <c r="B36" s="1007"/>
      <c r="D36" s="1032">
        <f>D35/(4900-750)</f>
        <v>0.5363617827168643</v>
      </c>
      <c r="E36" s="1032">
        <f>E35/(4900-750)</f>
        <v>0.84400549005486447</v>
      </c>
      <c r="F36" s="1032">
        <f>F35/(4900-750)</f>
        <v>0.9519631232443263</v>
      </c>
      <c r="G36" s="1009"/>
      <c r="K36" s="1007"/>
      <c r="M36" s="1032">
        <f>M35/(4900-750)</f>
        <v>0.34238955957773259</v>
      </c>
      <c r="N36" s="1032">
        <f>N35/(4900-750)</f>
        <v>0.64135364981720155</v>
      </c>
      <c r="O36" s="1032">
        <f>O35/(4900-750)</f>
        <v>0.94968686670300961</v>
      </c>
      <c r="P36" s="1171"/>
      <c r="S36" s="1007"/>
      <c r="U36" s="1010">
        <v>0.32460044258667325</v>
      </c>
      <c r="V36" s="1010">
        <v>0.48929826514026209</v>
      </c>
      <c r="W36" s="1010">
        <v>0.79656448677232783</v>
      </c>
      <c r="X36" s="1009"/>
    </row>
    <row r="37" spans="2:25" hidden="1" outlineLevel="1">
      <c r="B37" s="1007"/>
      <c r="D37" s="1032"/>
      <c r="E37" s="1032"/>
      <c r="F37" s="1032"/>
      <c r="G37" s="1009"/>
      <c r="K37" s="1007"/>
      <c r="M37" s="1032"/>
      <c r="N37" s="1032"/>
      <c r="O37" s="1032"/>
      <c r="P37" s="1171"/>
      <c r="S37" s="1007"/>
      <c r="U37" s="1010"/>
      <c r="V37" s="1010"/>
      <c r="W37" s="1010"/>
      <c r="X37" s="1009"/>
    </row>
    <row r="38" spans="2:25" hidden="1" outlineLevel="1">
      <c r="B38" s="1007"/>
      <c r="C38" s="3" t="s">
        <v>3134</v>
      </c>
      <c r="K38" s="1007"/>
      <c r="L38" s="3" t="s">
        <v>3134</v>
      </c>
      <c r="P38" s="1009"/>
      <c r="S38" s="1007"/>
      <c r="T38" s="3" t="s">
        <v>3134</v>
      </c>
      <c r="X38" s="1009"/>
    </row>
    <row r="39" spans="2:25" hidden="1" outlineLevel="1">
      <c r="B39" s="1007"/>
      <c r="C39" s="1033">
        <v>46112</v>
      </c>
      <c r="D39" s="1162">
        <v>0</v>
      </c>
      <c r="G39" s="1009"/>
      <c r="K39" s="1007"/>
      <c r="L39" s="1033">
        <v>46112</v>
      </c>
      <c r="M39" s="1162">
        <v>0</v>
      </c>
      <c r="P39" s="1009"/>
      <c r="S39" s="1007"/>
      <c r="T39" s="1033">
        <v>46112</v>
      </c>
      <c r="U39" s="1162">
        <v>0</v>
      </c>
      <c r="X39" s="1009"/>
    </row>
    <row r="40" spans="2:25" hidden="1" outlineLevel="1">
      <c r="B40" s="1007"/>
      <c r="C40" s="1034">
        <v>46203</v>
      </c>
      <c r="D40" s="1163">
        <v>100</v>
      </c>
      <c r="G40" s="1009"/>
      <c r="K40" s="1007"/>
      <c r="L40" s="1034">
        <v>46203</v>
      </c>
      <c r="M40" s="1163">
        <v>0</v>
      </c>
      <c r="P40" s="1009"/>
      <c r="S40" s="1007"/>
      <c r="T40" s="1034">
        <v>46203</v>
      </c>
      <c r="U40" s="1163">
        <v>0</v>
      </c>
      <c r="X40" s="1009"/>
    </row>
    <row r="41" spans="2:25" hidden="1" outlineLevel="1">
      <c r="B41" s="1007"/>
      <c r="C41" s="1034">
        <v>46295</v>
      </c>
      <c r="D41" s="1163">
        <v>0</v>
      </c>
      <c r="G41" s="1009"/>
      <c r="K41" s="1007"/>
      <c r="L41" s="1034">
        <v>46295</v>
      </c>
      <c r="M41" s="1163">
        <f>SUM(Pipeline!E5:E6)/2</f>
        <v>150</v>
      </c>
      <c r="N41" s="144"/>
      <c r="O41" s="144"/>
      <c r="P41" s="1009"/>
      <c r="S41" s="1007"/>
      <c r="T41" s="1034">
        <v>46295</v>
      </c>
      <c r="U41" s="1163">
        <v>150</v>
      </c>
      <c r="V41" s="144"/>
      <c r="W41" s="144"/>
      <c r="X41" s="1009"/>
    </row>
    <row r="42" spans="2:25" hidden="1" outlineLevel="1">
      <c r="B42" s="1007"/>
      <c r="C42" s="1118">
        <v>46387</v>
      </c>
      <c r="D42" s="1164">
        <v>400</v>
      </c>
      <c r="E42" s="144"/>
      <c r="F42" s="144"/>
      <c r="G42" s="1009"/>
      <c r="K42" s="1007"/>
      <c r="L42" s="1118">
        <v>46387</v>
      </c>
      <c r="M42" s="1164">
        <v>150</v>
      </c>
      <c r="N42" s="144"/>
      <c r="O42" s="144"/>
      <c r="P42" s="1009"/>
      <c r="S42" s="1007"/>
      <c r="T42" s="1118">
        <v>46387</v>
      </c>
      <c r="U42" s="1164">
        <v>0</v>
      </c>
      <c r="V42" s="144"/>
      <c r="W42" s="144"/>
      <c r="X42" s="1009"/>
    </row>
    <row r="43" spans="2:25" hidden="1" outlineLevel="1">
      <c r="B43" s="1007"/>
      <c r="C43" s="1035" t="s">
        <v>3123</v>
      </c>
      <c r="D43" s="1036">
        <f>INDEX(情形1!$9:$9,MATCH(汇总!$D$3,情形1!$3:$3,0))</f>
        <v>147.60273972602741</v>
      </c>
      <c r="G43" s="1009"/>
      <c r="K43" s="1007"/>
      <c r="L43" s="1035" t="s">
        <v>3123</v>
      </c>
      <c r="M43" s="1036">
        <f>INDEX(情形2!$9:$9,MATCH(汇总!$D$3,情形2!$3:$3,0))</f>
        <v>117.87671232876713</v>
      </c>
      <c r="P43" s="1009"/>
      <c r="S43" s="1007"/>
      <c r="T43" s="1035" t="s">
        <v>3123</v>
      </c>
      <c r="U43" s="1036">
        <v>105.13698630136986</v>
      </c>
      <c r="X43" s="1009"/>
    </row>
    <row r="44" spans="2:25" hidden="1" outlineLevel="1">
      <c r="B44" s="1007"/>
      <c r="C44" s="1035" t="s">
        <v>3124</v>
      </c>
      <c r="D44" s="1036">
        <f>SUM(D38:D42)+55</f>
        <v>555</v>
      </c>
      <c r="G44" s="1009"/>
      <c r="K44" s="1007"/>
      <c r="L44" s="1035" t="s">
        <v>3124</v>
      </c>
      <c r="M44" s="1036">
        <f>SUM(M38:M42)+55</f>
        <v>355</v>
      </c>
      <c r="P44" s="1009"/>
      <c r="S44" s="1007"/>
      <c r="T44" s="1035" t="s">
        <v>3124</v>
      </c>
      <c r="U44" s="1036">
        <v>205</v>
      </c>
      <c r="X44" s="1009"/>
    </row>
    <row r="45" spans="2:25" hidden="1" outlineLevel="1">
      <c r="B45" s="1007"/>
      <c r="C45" s="1035" t="s">
        <v>2070</v>
      </c>
      <c r="D45" s="1036">
        <f>INDEX(情形1!$10:$10,MATCH(汇总!$D$3,情形1!$3:$3,0))</f>
        <v>5.7142857142857144</v>
      </c>
      <c r="G45" s="1009"/>
      <c r="K45" s="1007"/>
      <c r="L45" s="1035" t="s">
        <v>2070</v>
      </c>
      <c r="M45" s="1036">
        <f>INDEX(情形2!$10:$10,MATCH(汇总!$D$3,情形2!$3:$3,0))</f>
        <v>5</v>
      </c>
      <c r="P45" s="1009"/>
      <c r="S45" s="1007"/>
      <c r="T45" s="1035" t="s">
        <v>2070</v>
      </c>
      <c r="U45" s="1036">
        <v>3</v>
      </c>
      <c r="X45" s="1009"/>
    </row>
    <row r="46" spans="2:25" hidden="1" outlineLevel="1">
      <c r="B46" s="1007"/>
      <c r="C46" s="1037" t="s">
        <v>2071</v>
      </c>
      <c r="D46" s="1038">
        <f>INDEX(情形1!$11:$11,MATCH(汇总!$D$3,情形1!$3:$3,0))</f>
        <v>2.8571428571428572</v>
      </c>
      <c r="G46" s="1009"/>
      <c r="K46" s="1007"/>
      <c r="L46" s="1037" t="s">
        <v>2071</v>
      </c>
      <c r="M46" s="1038">
        <f>INDEX(情形2!$11:$11,MATCH(汇总!$D$3,情形2!$3:$3,0))</f>
        <v>3</v>
      </c>
      <c r="P46" s="1009"/>
      <c r="S46" s="1007"/>
      <c r="T46" s="1037" t="s">
        <v>2071</v>
      </c>
      <c r="U46" s="1038">
        <v>3</v>
      </c>
      <c r="X46" s="1009"/>
    </row>
    <row r="47" spans="2:25" hidden="1" outlineLevel="1">
      <c r="B47" s="1007"/>
      <c r="C47" s="1034">
        <v>46477</v>
      </c>
      <c r="D47" s="1163">
        <v>0</v>
      </c>
      <c r="E47" s="144"/>
      <c r="F47" s="144"/>
      <c r="G47" s="1170"/>
      <c r="K47" s="1007"/>
      <c r="L47" s="1034">
        <v>46477</v>
      </c>
      <c r="M47" s="1163">
        <v>50</v>
      </c>
      <c r="N47" s="144"/>
      <c r="O47" s="144"/>
      <c r="P47" s="1009"/>
      <c r="S47" s="1007"/>
      <c r="T47" s="1034">
        <v>46477</v>
      </c>
      <c r="U47" s="1163">
        <v>50</v>
      </c>
      <c r="V47" s="144"/>
      <c r="W47" s="144"/>
      <c r="X47" s="1009"/>
      <c r="Y47" s="1000">
        <v>15000000</v>
      </c>
    </row>
    <row r="48" spans="2:25" hidden="1" outlineLevel="1">
      <c r="B48" s="1007"/>
      <c r="C48" s="1034">
        <v>46568</v>
      </c>
      <c r="D48" s="1163">
        <v>100</v>
      </c>
      <c r="E48" s="144"/>
      <c r="F48" s="144"/>
      <c r="G48" s="1170"/>
      <c r="K48" s="1007"/>
      <c r="L48" s="1034">
        <v>46568</v>
      </c>
      <c r="M48" s="1163">
        <v>100</v>
      </c>
      <c r="N48" s="144"/>
      <c r="O48" s="144"/>
      <c r="P48" s="1009"/>
      <c r="S48" s="1007"/>
      <c r="T48" s="1034">
        <v>46568</v>
      </c>
      <c r="U48" s="1163">
        <v>100</v>
      </c>
      <c r="V48" s="144"/>
      <c r="W48" s="144"/>
      <c r="X48" s="1009"/>
      <c r="Y48" s="1000">
        <v>42000000</v>
      </c>
    </row>
    <row r="49" spans="2:25" hidden="1" outlineLevel="1">
      <c r="B49" s="1007"/>
      <c r="C49" s="1034">
        <v>46660</v>
      </c>
      <c r="D49" s="1163">
        <v>100</v>
      </c>
      <c r="E49" s="144"/>
      <c r="F49" s="144"/>
      <c r="G49" s="1170"/>
      <c r="K49" s="1007"/>
      <c r="L49" s="1034">
        <v>46660</v>
      </c>
      <c r="M49" s="1163">
        <v>50</v>
      </c>
      <c r="N49" s="144"/>
      <c r="O49" s="144"/>
      <c r="P49" s="1009"/>
      <c r="S49" s="1007"/>
      <c r="T49" s="1034">
        <v>46660</v>
      </c>
      <c r="U49" s="1163">
        <v>50</v>
      </c>
      <c r="V49" s="144"/>
      <c r="W49" s="144"/>
      <c r="X49" s="1009"/>
      <c r="Y49" s="1000">
        <v>16800000</v>
      </c>
    </row>
    <row r="50" spans="2:25" hidden="1" outlineLevel="1">
      <c r="B50" s="1007"/>
      <c r="C50" s="1118">
        <v>46752</v>
      </c>
      <c r="D50" s="1164">
        <v>100</v>
      </c>
      <c r="E50" s="144"/>
      <c r="F50" s="144"/>
      <c r="G50" s="1170"/>
      <c r="K50" s="1007"/>
      <c r="L50" s="1118">
        <v>46752</v>
      </c>
      <c r="M50" s="1164">
        <v>100</v>
      </c>
      <c r="N50" s="144"/>
      <c r="O50" s="144"/>
      <c r="P50" s="1009"/>
      <c r="S50" s="1007"/>
      <c r="T50" s="1118">
        <v>46752</v>
      </c>
      <c r="U50" s="1164">
        <v>100</v>
      </c>
      <c r="V50" s="144"/>
      <c r="W50" s="144"/>
      <c r="X50" s="1009"/>
      <c r="Y50" s="1000">
        <v>25200000</v>
      </c>
    </row>
    <row r="51" spans="2:25" hidden="1" outlineLevel="1">
      <c r="B51" s="1007"/>
      <c r="C51" s="1035" t="s">
        <v>3125</v>
      </c>
      <c r="D51" s="1036">
        <f>INDEX(情形1!$9:$9,MATCH($E$51,情形1!$3:$3,0))</f>
        <v>655.54794520547944</v>
      </c>
      <c r="E51" s="1138">
        <v>46722</v>
      </c>
      <c r="F51" s="1138"/>
      <c r="G51" s="1170"/>
      <c r="K51" s="1007"/>
      <c r="L51" s="1035" t="s">
        <v>3125</v>
      </c>
      <c r="M51" s="1036">
        <f>INDEX(情形2!$9:$9,MATCH($N$51,情形2!$3:$3,0))</f>
        <v>480.75342465753425</v>
      </c>
      <c r="N51" s="1138">
        <v>46722</v>
      </c>
      <c r="O51" s="1138"/>
      <c r="P51" s="1009"/>
      <c r="S51" s="1007"/>
      <c r="T51" s="1035" t="s">
        <v>3125</v>
      </c>
      <c r="U51" s="1036">
        <v>330.75342465753425</v>
      </c>
      <c r="V51" s="1138">
        <v>46722</v>
      </c>
      <c r="W51" s="1138"/>
      <c r="X51" s="1009"/>
      <c r="Y51" s="1000">
        <v>49400000</v>
      </c>
    </row>
    <row r="52" spans="2:25" hidden="1" outlineLevel="1">
      <c r="B52" s="1007"/>
      <c r="C52" s="1035" t="s">
        <v>3126</v>
      </c>
      <c r="D52" s="1036">
        <f>SUM(D47:D50)+D44</f>
        <v>855</v>
      </c>
      <c r="G52" s="1170"/>
      <c r="K52" s="1007"/>
      <c r="L52" s="1035" t="s">
        <v>3126</v>
      </c>
      <c r="M52" s="1036">
        <f>SUM(M47:M50)+M44</f>
        <v>655</v>
      </c>
      <c r="P52" s="1170"/>
      <c r="S52" s="1007"/>
      <c r="T52" s="1035" t="s">
        <v>3126</v>
      </c>
      <c r="U52" s="1036">
        <v>505</v>
      </c>
      <c r="X52" s="1009"/>
      <c r="Y52" s="1000">
        <v>35200000</v>
      </c>
    </row>
    <row r="53" spans="2:25" hidden="1" outlineLevel="1">
      <c r="B53" s="1007"/>
      <c r="C53" s="1035" t="s">
        <v>2070</v>
      </c>
      <c r="D53" s="1036">
        <f>INDEX(情形1!$10:$10,MATCH($E$51,情形1!$3:$3,0))</f>
        <v>8.7142857142857153</v>
      </c>
      <c r="G53" s="1170"/>
      <c r="K53" s="1007"/>
      <c r="L53" s="1035" t="s">
        <v>2070</v>
      </c>
      <c r="M53" s="1036">
        <f>INDEX(情形2!$10:$10,MATCH($N$51,情形2!$3:$3,0))</f>
        <v>9</v>
      </c>
      <c r="P53" s="1170"/>
      <c r="S53" s="1007"/>
      <c r="T53" s="1035" t="s">
        <v>2070</v>
      </c>
      <c r="U53" s="1036">
        <v>7</v>
      </c>
      <c r="X53" s="1009"/>
      <c r="Y53" s="1000">
        <v>-14200000</v>
      </c>
    </row>
    <row r="54" spans="2:25" hidden="1" outlineLevel="1">
      <c r="B54" s="1007"/>
      <c r="C54" s="1037" t="s">
        <v>2071</v>
      </c>
      <c r="D54" s="1038">
        <f>INDEX(情形1!$11:$11,MATCH($E$51,情形1!$3:$3,0))</f>
        <v>3.8571428571428572</v>
      </c>
      <c r="G54" s="1009"/>
      <c r="K54" s="1007"/>
      <c r="L54" s="1037" t="s">
        <v>2071</v>
      </c>
      <c r="M54" s="1038">
        <f>INDEX(情形2!$11:$11,MATCH($N$51,情形2!$3:$3,0))</f>
        <v>4</v>
      </c>
      <c r="P54" s="1170"/>
      <c r="S54" s="1007"/>
      <c r="T54" s="1037" t="s">
        <v>2071</v>
      </c>
      <c r="U54" s="1038">
        <v>4</v>
      </c>
      <c r="X54" s="1009"/>
    </row>
    <row r="55" spans="2:25" hidden="1" outlineLevel="1">
      <c r="B55" s="1007"/>
      <c r="C55" s="1033">
        <v>46843</v>
      </c>
      <c r="D55" s="1167">
        <v>0</v>
      </c>
      <c r="G55" s="1009"/>
      <c r="K55" s="1007"/>
      <c r="L55" s="1033">
        <v>46843</v>
      </c>
      <c r="M55" s="1167"/>
      <c r="P55" s="1170"/>
      <c r="S55" s="1007"/>
      <c r="T55" s="1165">
        <v>46843</v>
      </c>
      <c r="U55" s="1166"/>
      <c r="X55" s="1009"/>
    </row>
    <row r="56" spans="2:25" hidden="1" outlineLevel="1">
      <c r="B56" s="1007"/>
      <c r="C56" s="1034">
        <v>46934</v>
      </c>
      <c r="D56" s="1036">
        <v>100</v>
      </c>
      <c r="G56" s="1009"/>
      <c r="K56" s="1007"/>
      <c r="L56" s="1034">
        <v>46934</v>
      </c>
      <c r="M56" s="1036">
        <v>150</v>
      </c>
      <c r="P56" s="1009"/>
      <c r="S56" s="1007"/>
      <c r="T56" s="1165">
        <v>46934</v>
      </c>
      <c r="U56" s="1166">
        <v>150</v>
      </c>
      <c r="X56" s="1009"/>
    </row>
    <row r="57" spans="2:25" hidden="1" outlineLevel="1">
      <c r="B57" s="1007"/>
      <c r="C57" s="1034">
        <v>47026</v>
      </c>
      <c r="D57" s="1036">
        <v>0</v>
      </c>
      <c r="G57" s="1009"/>
      <c r="K57" s="1007"/>
      <c r="L57" s="1034">
        <v>47026</v>
      </c>
      <c r="M57" s="1036"/>
      <c r="P57" s="1009"/>
      <c r="S57" s="1007"/>
      <c r="T57" s="1165">
        <v>47026</v>
      </c>
      <c r="U57" s="1166"/>
      <c r="X57" s="1009"/>
    </row>
    <row r="58" spans="2:25" hidden="1" outlineLevel="1">
      <c r="B58" s="1007"/>
      <c r="C58" s="1118">
        <v>47118</v>
      </c>
      <c r="D58" s="1038">
        <v>0</v>
      </c>
      <c r="G58" s="1009"/>
      <c r="K58" s="1007"/>
      <c r="L58" s="1118">
        <v>47118</v>
      </c>
      <c r="M58" s="1038">
        <v>150</v>
      </c>
      <c r="P58" s="1009"/>
      <c r="S58" s="1007"/>
      <c r="T58" s="1165">
        <v>47118</v>
      </c>
      <c r="U58" s="1166">
        <v>150</v>
      </c>
      <c r="X58" s="1009"/>
    </row>
    <row r="59" spans="2:25" hidden="1" outlineLevel="1">
      <c r="B59" s="1007"/>
      <c r="C59" s="1035" t="s">
        <v>3144</v>
      </c>
      <c r="D59" s="1036">
        <f>INDEX(情形1!$9:$9,MATCH($E$59,情形1!$3:$3,0))</f>
        <v>915.97260273972597</v>
      </c>
      <c r="E59" s="1138">
        <v>47088</v>
      </c>
      <c r="G59" s="1009"/>
      <c r="K59" s="1007"/>
      <c r="L59" s="1035" t="s">
        <v>3144</v>
      </c>
      <c r="M59" s="1036">
        <f>INDEX(情形2!$9:$9,MATCH($N$59,情形2!$3:$3,0))</f>
        <v>757.47945205479448</v>
      </c>
      <c r="N59" s="1138">
        <v>47088</v>
      </c>
      <c r="P59" s="1009"/>
      <c r="S59" s="1007"/>
      <c r="T59" s="1165" t="s">
        <v>3144</v>
      </c>
      <c r="U59" s="1166">
        <v>607.06849315068496</v>
      </c>
      <c r="V59" s="3">
        <v>47088</v>
      </c>
      <c r="X59" s="1009"/>
    </row>
    <row r="60" spans="2:25" hidden="1" outlineLevel="1">
      <c r="B60" s="1007"/>
      <c r="C60" s="1035" t="s">
        <v>3145</v>
      </c>
      <c r="D60" s="1036">
        <f>SUM(D55:D58)+D52</f>
        <v>955</v>
      </c>
      <c r="G60" s="1009"/>
      <c r="K60" s="1007"/>
      <c r="L60" s="1035" t="s">
        <v>3145</v>
      </c>
      <c r="M60" s="1036">
        <f>SUM(M55:M58)+M52</f>
        <v>955</v>
      </c>
      <c r="P60" s="1009"/>
      <c r="S60" s="1007"/>
      <c r="T60" s="1165" t="s">
        <v>3145</v>
      </c>
      <c r="U60" s="1166">
        <v>805</v>
      </c>
      <c r="X60" s="1009"/>
    </row>
    <row r="61" spans="2:25" hidden="1" outlineLevel="1">
      <c r="B61" s="1007"/>
      <c r="C61" s="1035" t="s">
        <v>2070</v>
      </c>
      <c r="D61" s="1036">
        <f>INDEX(情形1!$10:$10,MATCH($E$59,情形1!$3:$3,0))</f>
        <v>9.7142857142857153</v>
      </c>
      <c r="G61" s="1009"/>
      <c r="K61" s="1007"/>
      <c r="L61" s="1035" t="s">
        <v>2070</v>
      </c>
      <c r="M61" s="1036">
        <f>INDEX(情形2!$10:$10,MATCH($N$59,情形2!$3:$3,0))</f>
        <v>13</v>
      </c>
      <c r="P61" s="1009"/>
      <c r="S61" s="1007"/>
      <c r="T61" s="1165" t="s">
        <v>2070</v>
      </c>
      <c r="U61" s="1166">
        <v>11</v>
      </c>
      <c r="X61" s="1009"/>
    </row>
    <row r="62" spans="2:25" hidden="1" outlineLevel="1">
      <c r="B62" s="1007"/>
      <c r="C62" s="1037" t="s">
        <v>2071</v>
      </c>
      <c r="D62" s="1038">
        <f>INDEX(情形1!$11:$11,MATCH($E$59,情形1!$3:$3,0))</f>
        <v>4</v>
      </c>
      <c r="G62" s="1009"/>
      <c r="K62" s="1007"/>
      <c r="L62" s="1037" t="s">
        <v>2071</v>
      </c>
      <c r="M62" s="1038">
        <f>INDEX(情形2!$11:$11,MATCH($N$59,情形2!$3:$3,0))</f>
        <v>4</v>
      </c>
      <c r="P62" s="1009"/>
      <c r="S62" s="1007"/>
      <c r="T62" s="1165" t="s">
        <v>2071</v>
      </c>
      <c r="U62" s="1166">
        <v>4</v>
      </c>
      <c r="X62" s="1009"/>
    </row>
    <row r="63" spans="2:25" collapsed="1">
      <c r="B63" s="1007"/>
      <c r="C63" s="1165"/>
      <c r="D63" s="1166"/>
      <c r="G63" s="1009"/>
      <c r="K63" s="1007"/>
      <c r="L63" s="1165"/>
      <c r="M63" s="1166"/>
      <c r="P63" s="1009"/>
      <c r="S63" s="1007"/>
      <c r="T63" s="1165"/>
      <c r="U63" s="1166"/>
      <c r="X63" s="1009"/>
    </row>
    <row r="64" spans="2:25">
      <c r="B64" s="1007"/>
      <c r="C64" s="1039" t="s">
        <v>2223</v>
      </c>
      <c r="D64" s="144">
        <v>2</v>
      </c>
      <c r="E64" s="144">
        <f>6.5*0.3</f>
        <v>1.95</v>
      </c>
      <c r="F64" s="144"/>
      <c r="G64" s="1009"/>
      <c r="K64" s="1007"/>
      <c r="L64" s="1039" t="s">
        <v>2223</v>
      </c>
      <c r="M64" s="144">
        <v>2</v>
      </c>
      <c r="N64" s="144">
        <f>6.5*0.3</f>
        <v>1.95</v>
      </c>
      <c r="O64" s="144"/>
      <c r="P64" s="1009"/>
      <c r="S64" s="1007"/>
      <c r="T64" s="1039" t="s">
        <v>2223</v>
      </c>
      <c r="U64" s="144">
        <v>2</v>
      </c>
      <c r="V64" s="144">
        <v>1.95</v>
      </c>
      <c r="W64" s="144"/>
      <c r="X64" s="1009"/>
    </row>
    <row r="65" spans="2:24">
      <c r="B65" s="1007"/>
      <c r="C65" s="3" t="s">
        <v>2072</v>
      </c>
      <c r="D65" s="60">
        <v>0.3</v>
      </c>
      <c r="E65" s="3">
        <v>0</v>
      </c>
      <c r="F65" s="1191" t="s">
        <v>2073</v>
      </c>
      <c r="K65" s="1007"/>
      <c r="L65" s="3" t="s">
        <v>2072</v>
      </c>
      <c r="M65" s="60">
        <v>0.3</v>
      </c>
      <c r="N65" s="3">
        <v>0</v>
      </c>
      <c r="O65" s="1191" t="s">
        <v>2073</v>
      </c>
      <c r="S65" s="1007"/>
      <c r="T65" s="3" t="s">
        <v>2072</v>
      </c>
      <c r="U65" s="60">
        <v>0.3</v>
      </c>
      <c r="V65" s="3">
        <v>0</v>
      </c>
      <c r="W65" s="1191" t="s">
        <v>2073</v>
      </c>
    </row>
    <row r="66" spans="2:24">
      <c r="B66" s="1007"/>
      <c r="C66" s="3" t="s">
        <v>2074</v>
      </c>
      <c r="D66" s="1040">
        <v>0.1</v>
      </c>
      <c r="F66" s="1191"/>
      <c r="K66" s="1007"/>
      <c r="L66" s="3" t="s">
        <v>2074</v>
      </c>
      <c r="M66" s="1040">
        <v>0.1</v>
      </c>
      <c r="O66" s="1191"/>
      <c r="S66" s="1007"/>
      <c r="T66" s="3" t="s">
        <v>2074</v>
      </c>
      <c r="U66" s="1040">
        <v>0.1</v>
      </c>
      <c r="W66" s="1191"/>
    </row>
    <row r="67" spans="2:24">
      <c r="B67" s="1007"/>
      <c r="C67" s="3" t="s">
        <v>2075</v>
      </c>
      <c r="D67" s="3">
        <v>0.01</v>
      </c>
      <c r="E67" s="3">
        <v>0</v>
      </c>
      <c r="F67" s="1191" t="s">
        <v>2073</v>
      </c>
      <c r="K67" s="1007"/>
      <c r="L67" s="3" t="s">
        <v>2075</v>
      </c>
      <c r="M67" s="3">
        <v>0.01</v>
      </c>
      <c r="N67" s="3">
        <v>0</v>
      </c>
      <c r="O67" s="1191" t="s">
        <v>2073</v>
      </c>
      <c r="S67" s="1007"/>
      <c r="T67" s="3" t="s">
        <v>2075</v>
      </c>
      <c r="U67" s="3">
        <v>0.01</v>
      </c>
      <c r="V67" s="3">
        <v>0</v>
      </c>
      <c r="W67" s="1191" t="s">
        <v>2073</v>
      </c>
    </row>
    <row r="68" spans="2:24">
      <c r="B68" s="1007"/>
      <c r="C68" s="3" t="s">
        <v>2076</v>
      </c>
      <c r="D68" s="3">
        <v>0.04</v>
      </c>
      <c r="E68" s="3">
        <v>0</v>
      </c>
      <c r="F68" s="1191" t="s">
        <v>2073</v>
      </c>
      <c r="K68" s="1007"/>
      <c r="L68" s="3" t="s">
        <v>2076</v>
      </c>
      <c r="M68" s="3">
        <v>0.04</v>
      </c>
      <c r="N68" s="3">
        <v>0</v>
      </c>
      <c r="O68" s="1191" t="s">
        <v>2073</v>
      </c>
      <c r="S68" s="1007"/>
      <c r="T68" s="3" t="s">
        <v>2076</v>
      </c>
      <c r="U68" s="3">
        <v>0.04</v>
      </c>
      <c r="V68" s="3">
        <v>0</v>
      </c>
      <c r="W68" s="1191" t="s">
        <v>2073</v>
      </c>
    </row>
    <row r="69" spans="2:24">
      <c r="B69" s="1007"/>
      <c r="C69" s="3" t="s">
        <v>2077</v>
      </c>
      <c r="D69" s="1142">
        <v>3.5000000000000003E-2</v>
      </c>
      <c r="F69" s="1191">
        <f>1800000/55000000</f>
        <v>3.272727272727273E-2</v>
      </c>
      <c r="K69" s="1007"/>
      <c r="L69" s="3" t="s">
        <v>2077</v>
      </c>
      <c r="M69" s="1142">
        <v>3.5000000000000003E-2</v>
      </c>
      <c r="O69" s="1191"/>
      <c r="S69" s="1007"/>
      <c r="T69" s="3" t="s">
        <v>2077</v>
      </c>
      <c r="U69" s="1142">
        <v>3.5000000000000003E-2</v>
      </c>
      <c r="W69" s="1191"/>
    </row>
    <row r="70" spans="2:24">
      <c r="B70" s="1007"/>
      <c r="C70" s="3" t="s">
        <v>2078</v>
      </c>
      <c r="E70" s="3">
        <v>0</v>
      </c>
      <c r="F70" s="1190" t="s">
        <v>2079</v>
      </c>
      <c r="K70" s="1007"/>
      <c r="L70" s="3" t="s">
        <v>2078</v>
      </c>
      <c r="N70" s="3">
        <v>0</v>
      </c>
      <c r="O70" s="1190" t="s">
        <v>2079</v>
      </c>
      <c r="S70" s="1007"/>
      <c r="T70" s="3" t="s">
        <v>2078</v>
      </c>
      <c r="V70" s="3">
        <v>0</v>
      </c>
      <c r="W70" s="1191" t="s">
        <v>2079</v>
      </c>
    </row>
    <row r="71" spans="2:24">
      <c r="B71" s="1007"/>
      <c r="K71" s="1007"/>
      <c r="P71" s="1191"/>
      <c r="S71" s="1007"/>
      <c r="X71" s="1191"/>
    </row>
    <row r="72" spans="2:24" ht="25.5">
      <c r="B72" s="1007"/>
      <c r="D72" s="1172" t="s">
        <v>3154</v>
      </c>
      <c r="E72" s="1172" t="s">
        <v>3157</v>
      </c>
      <c r="F72" s="1172" t="s">
        <v>3158</v>
      </c>
      <c r="K72" s="1007"/>
      <c r="M72" s="1172" t="s">
        <v>3154</v>
      </c>
      <c r="N72" s="1172" t="s">
        <v>3157</v>
      </c>
      <c r="O72" s="1172" t="s">
        <v>3158</v>
      </c>
      <c r="S72" s="1007"/>
      <c r="U72" s="1172" t="s">
        <v>3154</v>
      </c>
      <c r="V72" s="1172" t="s">
        <v>3157</v>
      </c>
      <c r="W72" s="1172" t="s">
        <v>3158</v>
      </c>
    </row>
    <row r="73" spans="2:24">
      <c r="B73" s="1007"/>
      <c r="C73" s="1173" t="s">
        <v>3156</v>
      </c>
      <c r="D73" s="3">
        <v>55</v>
      </c>
      <c r="K73" s="1007"/>
      <c r="L73" s="1173" t="s">
        <v>3156</v>
      </c>
      <c r="M73" s="3">
        <v>55</v>
      </c>
      <c r="S73" s="1007"/>
      <c r="T73" s="1173" t="s">
        <v>3156</v>
      </c>
      <c r="U73" s="3">
        <v>55</v>
      </c>
    </row>
    <row r="74" spans="2:24">
      <c r="B74" s="1007"/>
      <c r="C74" s="1173">
        <v>2026</v>
      </c>
      <c r="D74" s="3">
        <f>SUM(D39:D42)</f>
        <v>500</v>
      </c>
      <c r="E74" s="1010">
        <f>D33</f>
        <v>79972.505327245046</v>
      </c>
      <c r="F74" s="1010">
        <f>D35</f>
        <v>2225.9013982749871</v>
      </c>
      <c r="G74" s="60">
        <f t="shared" ref="G74:G76" si="0">F74/(4900-750)</f>
        <v>0.5363617827168643</v>
      </c>
      <c r="K74" s="1007"/>
      <c r="L74" s="1173">
        <v>2026</v>
      </c>
      <c r="M74" s="3">
        <f>SUM(M39:M42)</f>
        <v>300</v>
      </c>
      <c r="N74" s="1010">
        <f>M33</f>
        <v>49941.558876435593</v>
      </c>
      <c r="O74" s="1010">
        <f>M35</f>
        <v>1420.9166722475902</v>
      </c>
      <c r="P74" s="60">
        <f t="shared" ref="P74:P76" si="1">O74/(4900-750)</f>
        <v>0.34238955957773259</v>
      </c>
      <c r="S74" s="1007"/>
      <c r="T74" s="1173">
        <v>2026</v>
      </c>
      <c r="U74" s="3">
        <v>150</v>
      </c>
      <c r="V74" s="1010">
        <v>27428.482911304829</v>
      </c>
      <c r="W74" s="1010">
        <v>1347.091836734694</v>
      </c>
      <c r="X74" s="60">
        <v>0.32460044258667325</v>
      </c>
    </row>
    <row r="75" spans="2:24">
      <c r="B75" s="1007"/>
      <c r="C75" s="1173">
        <v>2027</v>
      </c>
      <c r="D75" s="3">
        <f>SUM(D47:D50)</f>
        <v>300</v>
      </c>
      <c r="E75" s="1010">
        <f>E33</f>
        <v>125842.73474470734</v>
      </c>
      <c r="F75" s="1010">
        <f>E35</f>
        <v>3502.6227837276874</v>
      </c>
      <c r="G75" s="60">
        <f t="shared" si="0"/>
        <v>0.84400549005486447</v>
      </c>
      <c r="K75" s="1007"/>
      <c r="L75" s="1173">
        <v>2027</v>
      </c>
      <c r="M75" s="3">
        <f>SUM(M47:M50)</f>
        <v>300</v>
      </c>
      <c r="N75" s="1010">
        <f>N33</f>
        <v>95626.981320049817</v>
      </c>
      <c r="O75" s="1010">
        <f>N35</f>
        <v>2661.6176467413866</v>
      </c>
      <c r="P75" s="60">
        <f t="shared" si="1"/>
        <v>0.64135364981720155</v>
      </c>
      <c r="S75" s="1007"/>
      <c r="T75" s="1173">
        <v>2027</v>
      </c>
      <c r="U75" s="3">
        <v>300</v>
      </c>
      <c r="V75" s="1010">
        <v>72955.250311332493</v>
      </c>
      <c r="W75" s="1010">
        <v>2030.5878003320877</v>
      </c>
      <c r="X75" s="60">
        <v>0.48929826514026209</v>
      </c>
    </row>
    <row r="76" spans="2:24">
      <c r="B76" s="1007"/>
      <c r="C76" s="1173">
        <v>2028</v>
      </c>
      <c r="D76" s="1166">
        <f>SUM(D55:D58)</f>
        <v>100</v>
      </c>
      <c r="E76" s="1010">
        <f>F33</f>
        <v>141939.4117891241</v>
      </c>
      <c r="F76" s="1010">
        <f>F35</f>
        <v>3950.6469614639541</v>
      </c>
      <c r="G76" s="60">
        <f t="shared" si="0"/>
        <v>0.9519631232443263</v>
      </c>
      <c r="K76" s="1007"/>
      <c r="L76" s="1173">
        <v>2028</v>
      </c>
      <c r="M76" s="1166">
        <f>SUM(M55:M58)</f>
        <v>300</v>
      </c>
      <c r="N76" s="1010">
        <f>O33</f>
        <v>141600.01784973018</v>
      </c>
      <c r="O76" s="1010">
        <f>O35</f>
        <v>3941.2004968174897</v>
      </c>
      <c r="P76" s="60">
        <f t="shared" si="1"/>
        <v>0.94968686670300961</v>
      </c>
      <c r="S76" s="1007"/>
      <c r="T76" s="1173">
        <v>2028</v>
      </c>
      <c r="U76" s="1166">
        <v>300</v>
      </c>
      <c r="V76" s="1010">
        <v>118769.19593192195</v>
      </c>
      <c r="W76" s="1010">
        <v>3305.7426201051603</v>
      </c>
      <c r="X76" s="60">
        <v>0.79656448677232783</v>
      </c>
    </row>
    <row r="77" spans="2:24" ht="13.5" thickBot="1">
      <c r="B77" s="1007"/>
      <c r="C77" s="1173" t="s">
        <v>3155</v>
      </c>
      <c r="D77" s="7">
        <f>SUM(D73:D76)</f>
        <v>955</v>
      </c>
      <c r="E77" s="1010"/>
      <c r="F77" s="1010"/>
      <c r="K77" s="1007"/>
      <c r="L77" s="1173" t="s">
        <v>3155</v>
      </c>
      <c r="M77" s="7">
        <f>SUM(M73:M76)</f>
        <v>955</v>
      </c>
      <c r="N77" s="1010"/>
      <c r="O77" s="1010"/>
      <c r="S77" s="1007"/>
      <c r="T77" s="1173" t="s">
        <v>3155</v>
      </c>
      <c r="U77" s="7">
        <v>805</v>
      </c>
      <c r="V77" s="1010"/>
      <c r="W77" s="1010"/>
    </row>
    <row r="78" spans="2:24" ht="13.5" thickTop="1">
      <c r="B78" s="1007"/>
      <c r="C78" s="1173"/>
      <c r="E78" s="1010"/>
      <c r="F78" s="1010"/>
      <c r="K78" s="1007"/>
      <c r="S78" s="1007"/>
    </row>
    <row r="79" spans="2:24" ht="13.5" thickBot="1">
      <c r="B79" s="1041"/>
      <c r="C79" s="1042"/>
      <c r="D79" s="1181"/>
      <c r="E79" s="1181"/>
      <c r="F79" s="1181"/>
      <c r="G79" s="1043"/>
      <c r="K79" s="1041"/>
      <c r="L79" s="1042"/>
      <c r="M79" s="1042"/>
      <c r="N79" s="1042"/>
      <c r="O79" s="1042"/>
      <c r="P79" s="1043"/>
      <c r="S79" s="1041"/>
      <c r="T79" s="1042"/>
      <c r="U79" s="1042"/>
      <c r="V79" s="1042"/>
      <c r="W79" s="1042"/>
      <c r="X79" s="1043"/>
    </row>
    <row r="81" spans="2:25" ht="13.5" thickBot="1">
      <c r="B81" s="1001" t="s">
        <v>2080</v>
      </c>
      <c r="C81" s="1001"/>
      <c r="D81" s="1044" t="s">
        <v>2081</v>
      </c>
      <c r="E81" s="1044"/>
      <c r="F81" s="1044"/>
      <c r="G81" s="1045">
        <v>10000</v>
      </c>
      <c r="K81" s="1001" t="s">
        <v>2080</v>
      </c>
      <c r="L81" s="1001"/>
      <c r="M81" s="1044" t="s">
        <v>2081</v>
      </c>
      <c r="N81" s="1044"/>
      <c r="O81" s="1044"/>
      <c r="P81" s="1045">
        <v>10000</v>
      </c>
      <c r="S81" s="1001" t="s">
        <v>2080</v>
      </c>
      <c r="T81" s="1001"/>
      <c r="U81" s="1044" t="s">
        <v>2081</v>
      </c>
      <c r="V81" s="1044"/>
      <c r="W81" s="1044"/>
      <c r="X81" s="1045">
        <v>10000</v>
      </c>
      <c r="Y81" s="1000">
        <v>10000</v>
      </c>
    </row>
    <row r="82" spans="2:25" ht="12.95" customHeight="1">
      <c r="B82" s="1046"/>
      <c r="C82" s="1047"/>
      <c r="D82" s="1135" t="s">
        <v>3129</v>
      </c>
      <c r="E82" s="1135" t="s">
        <v>3130</v>
      </c>
      <c r="F82" s="1135" t="s">
        <v>3141</v>
      </c>
      <c r="G82" s="1048"/>
      <c r="K82" s="1046"/>
      <c r="L82" s="1047"/>
      <c r="M82" s="1135" t="s">
        <v>3129</v>
      </c>
      <c r="N82" s="1135" t="s">
        <v>3130</v>
      </c>
      <c r="O82" s="1135" t="s">
        <v>3141</v>
      </c>
      <c r="P82" s="1048"/>
      <c r="S82" s="1046"/>
      <c r="T82" s="1047"/>
      <c r="U82" s="1135" t="s">
        <v>3129</v>
      </c>
      <c r="V82" s="1135" t="s">
        <v>3130</v>
      </c>
      <c r="W82" s="1135" t="s">
        <v>3141</v>
      </c>
      <c r="X82" s="1048"/>
    </row>
    <row r="83" spans="2:25" hidden="1" outlineLevel="1">
      <c r="B83" s="1007"/>
      <c r="C83" s="687" t="s">
        <v>1355</v>
      </c>
      <c r="D83" s="1049">
        <f ca="1">INDEX('Budget-合并'!$W:$W,MATCH($C83,'Budget-合并'!$B:$B,0))/$G$81</f>
        <v>96.678297579047154</v>
      </c>
      <c r="E83" s="1049">
        <f>SUM(情形1!T73:AE73)</f>
        <v>474.21892744973644</v>
      </c>
      <c r="F83" s="1049">
        <f>SUM(情形1!AF73:AQ73)</f>
        <v>634.44130501186578</v>
      </c>
      <c r="G83" s="1050"/>
      <c r="K83" s="1007"/>
      <c r="L83" s="687" t="s">
        <v>1355</v>
      </c>
      <c r="M83" s="1049">
        <f>SUM(情形2!G73:S73)</f>
        <v>64.782223893105254</v>
      </c>
      <c r="N83" s="1049">
        <f>SUM(情形2!T73:AE73)</f>
        <v>343.45927614213997</v>
      </c>
      <c r="O83" s="1049">
        <f>SUM(情形2!AF73:AQ73)</f>
        <v>546.95980873610745</v>
      </c>
      <c r="P83" s="1050"/>
      <c r="S83" s="1007"/>
      <c r="T83" s="687" t="s">
        <v>1355</v>
      </c>
      <c r="U83" s="1049">
        <v>55.530361772284749</v>
      </c>
      <c r="V83" s="1049">
        <v>231.20334907618442</v>
      </c>
      <c r="W83" s="1049">
        <v>434.39548626612469</v>
      </c>
      <c r="X83" s="1050"/>
    </row>
    <row r="84" spans="2:25" hidden="1" outlineLevel="1">
      <c r="B84" s="1007"/>
      <c r="C84" s="687" t="s">
        <v>1368</v>
      </c>
      <c r="D84" s="1149">
        <f ca="1">INDEX('Budget-合并'!$W:$W,MATCH($C84,'Budget-合并'!$B:$B,0))/$G$81</f>
        <v>829.96088957347695</v>
      </c>
      <c r="E84" s="1149">
        <f>SUM(情形1!T78:AE78)+SUM(情形1!T76:AE76)</f>
        <v>3539.7015443213677</v>
      </c>
      <c r="F84" s="1049">
        <f>SUM(情形1!AF78:AQ78)+SUM(情形1!AF76:AQ76)</f>
        <v>5083.3126052286361</v>
      </c>
      <c r="G84" s="1009" t="s">
        <v>2082</v>
      </c>
      <c r="K84" s="1007"/>
      <c r="L84" s="687" t="s">
        <v>1368</v>
      </c>
      <c r="M84" s="1149">
        <f>SUM(情形2!G76:S76,情形2!G78:S78)</f>
        <v>670.53633893734741</v>
      </c>
      <c r="N84" s="1149">
        <f>SUM(情形2!T76:AE76,情形2!T78:AE78)</f>
        <v>2451.1910578217785</v>
      </c>
      <c r="O84" s="1149">
        <f>SUM(情形2!AF76:AQ76,情形2!AF78:AQ78)</f>
        <v>3992.9760714823415</v>
      </c>
      <c r="P84" s="1009" t="s">
        <v>2082</v>
      </c>
      <c r="S84" s="1007"/>
      <c r="T84" s="687" t="s">
        <v>1368</v>
      </c>
      <c r="U84" s="1149">
        <v>599.98776085050656</v>
      </c>
      <c r="V84" s="1149">
        <v>1611.3080109321827</v>
      </c>
      <c r="W84" s="1149">
        <v>3153.093024592747</v>
      </c>
      <c r="X84" s="1009" t="s">
        <v>2082</v>
      </c>
      <c r="Y84" s="1000" t="s">
        <v>2082</v>
      </c>
    </row>
    <row r="85" spans="2:25" hidden="1" outlineLevel="1">
      <c r="B85" s="1007"/>
      <c r="C85" s="1051" t="s">
        <v>2083</v>
      </c>
      <c r="D85" s="1052">
        <f>SUM(情形1!G43:S43)</f>
        <v>1894.546394417162</v>
      </c>
      <c r="E85" s="1052">
        <f>SUM(情形1!T43:AE43)</f>
        <v>6170.84517963298</v>
      </c>
      <c r="F85" s="1052">
        <f>SUM(情形1!AF43:AQ43)</f>
        <v>8692.8146807960711</v>
      </c>
      <c r="G85" s="1177"/>
      <c r="K85" s="1007"/>
      <c r="L85" s="1051" t="s">
        <v>2083</v>
      </c>
      <c r="M85" s="1052">
        <f>SUM(情形2!G43:S43)</f>
        <v>1620.2507107779788</v>
      </c>
      <c r="N85" s="1052">
        <f>SUM(情形2!T43:AE43)</f>
        <v>4521.194107004394</v>
      </c>
      <c r="O85" s="1052">
        <f>SUM(情形2!AF43:AQ43)</f>
        <v>7115.5337296459029</v>
      </c>
      <c r="P85" s="1177">
        <f>N85/($M$51*100)</f>
        <v>9.4043929280900621E-2</v>
      </c>
      <c r="S85" s="1007"/>
      <c r="T85" s="1051" t="s">
        <v>2083</v>
      </c>
      <c r="U85" s="1052">
        <v>1503.9415869733782</v>
      </c>
      <c r="V85" s="1052">
        <v>3106.0997673817519</v>
      </c>
      <c r="W85" s="1052">
        <v>5700.4393900232617</v>
      </c>
      <c r="X85" s="1177">
        <v>9.3909829372072012E-2</v>
      </c>
      <c r="Y85" s="1000">
        <v>9.4024557107878423E-2</v>
      </c>
    </row>
    <row r="86" spans="2:25" hidden="1" outlineLevel="1">
      <c r="B86" s="1007"/>
      <c r="C86" s="1053" t="s">
        <v>2084</v>
      </c>
      <c r="D86" s="1054">
        <f>-SUM(情形1!G58:S58)</f>
        <v>-922.66690359265976</v>
      </c>
      <c r="E86" s="1054">
        <f>-SUM(情形1!T58:AE58)</f>
        <v>-2327.0882657017319</v>
      </c>
      <c r="F86" s="1054">
        <f>-SUM(情形1!AF58:AQ58)</f>
        <v>-3209.7775911088138</v>
      </c>
      <c r="G86" s="1178"/>
      <c r="K86" s="1007"/>
      <c r="L86" s="1053" t="s">
        <v>2084</v>
      </c>
      <c r="M86" s="1054">
        <f>-SUM(情形2!G58:S58)</f>
        <v>-826.66341431894557</v>
      </c>
      <c r="N86" s="1054">
        <f>-SUM(情形2!T58:AE58)</f>
        <v>-1749.7103902817262</v>
      </c>
      <c r="O86" s="1054">
        <f>-SUM(情形2!AF58:AQ58)</f>
        <v>-2657.7292582062551</v>
      </c>
      <c r="P86" s="1177">
        <f t="shared" ref="P86:P88" si="2">N86/($M$51*100)</f>
        <v>-3.6395172671481978E-2</v>
      </c>
      <c r="S86" s="1007"/>
      <c r="T86" s="1053" t="s">
        <v>2084</v>
      </c>
      <c r="U86" s="1054">
        <v>-785.95522098733534</v>
      </c>
      <c r="V86" s="1054">
        <v>-1254.4273714138021</v>
      </c>
      <c r="W86" s="1054">
        <v>-2162.4462393383301</v>
      </c>
      <c r="X86" s="1177">
        <v>-3.7926360784099215E-2</v>
      </c>
      <c r="Y86" s="1000">
        <v>-3.8735097400259252E-2</v>
      </c>
    </row>
    <row r="87" spans="2:25" hidden="1" outlineLevel="1">
      <c r="B87" s="1007"/>
      <c r="C87" s="1053" t="s">
        <v>2085</v>
      </c>
      <c r="D87" s="1054">
        <f>-SUM(情形1!G68:S68)</f>
        <v>-134.04670348417997</v>
      </c>
      <c r="E87" s="1054">
        <f>-SUM(情形1!T68:AE68)</f>
        <v>-259.24902094758448</v>
      </c>
      <c r="F87" s="1054">
        <f>-SUM(情形1!AF68:AQ68)</f>
        <v>-335.37875527851128</v>
      </c>
      <c r="G87" s="1177"/>
      <c r="K87" s="1007"/>
      <c r="L87" s="1053" t="s">
        <v>2085</v>
      </c>
      <c r="M87" s="1054">
        <f>-SUM(情形2!G68:S68)</f>
        <v>-117.33633254770297</v>
      </c>
      <c r="N87" s="1054">
        <f>-SUM(情形2!T55:AE55)</f>
        <v>-302.44908675799087</v>
      </c>
      <c r="O87" s="1054">
        <f>-SUM(情形2!AF55:AQ55)</f>
        <v>-433.59908675799096</v>
      </c>
      <c r="P87" s="1177">
        <f t="shared" si="2"/>
        <v>-6.2911478368238589E-3</v>
      </c>
      <c r="S87" s="1007"/>
      <c r="T87" s="1053" t="s">
        <v>2085</v>
      </c>
      <c r="U87" s="1054">
        <v>-113.17700013733607</v>
      </c>
      <c r="V87" s="1054">
        <v>-229.64908675799083</v>
      </c>
      <c r="W87" s="1054">
        <v>-360.79908675799084</v>
      </c>
      <c r="X87" s="1177">
        <v>-6.9432111548284655E-3</v>
      </c>
      <c r="Y87" s="1000">
        <v>-5.0878797839455552E-3</v>
      </c>
    </row>
    <row r="88" spans="2:25" hidden="1" outlineLevel="1">
      <c r="B88" s="1007"/>
      <c r="C88" s="1055" t="s">
        <v>2086</v>
      </c>
      <c r="D88" s="1056">
        <f>-SUM(情形1!G77:S77)*5%</f>
        <v>-7.8718977668453256</v>
      </c>
      <c r="E88" s="1056">
        <f>-SUM(情形1!T77:AE77)*5%</f>
        <v>-44.806348662295797</v>
      </c>
      <c r="F88" s="1056">
        <f>-SUM(情形1!AF77:AQ77)*5%</f>
        <v>-64.345729180109331</v>
      </c>
      <c r="G88" s="1177"/>
      <c r="K88" s="1007"/>
      <c r="L88" s="1055" t="s">
        <v>2086</v>
      </c>
      <c r="M88" s="1056">
        <f>-SUM(情形2!G77:S77)*5%</f>
        <v>-5.714624973982926</v>
      </c>
      <c r="N88" s="1056">
        <f>-SUM(情形2!T77:AE77)*5%</f>
        <v>-31.027734909136441</v>
      </c>
      <c r="O88" s="1056">
        <f>-SUM(情形2!AF77:AQ77)*5%</f>
        <v>-50.54400090483977</v>
      </c>
      <c r="P88" s="1177">
        <f t="shared" si="2"/>
        <v>-6.4539810467786299E-4</v>
      </c>
      <c r="S88" s="1007"/>
      <c r="T88" s="1055" t="s">
        <v>2086</v>
      </c>
      <c r="U88" s="1056">
        <v>-4.8216049982001312</v>
      </c>
      <c r="V88" s="1056">
        <v>-20.396303935850423</v>
      </c>
      <c r="W88" s="1056">
        <v>-39.912569931553769</v>
      </c>
      <c r="X88" s="1177">
        <v>-6.1666191232846582E-4</v>
      </c>
      <c r="Y88" s="1000">
        <v>-6.2751974904592034E-4</v>
      </c>
    </row>
    <row r="89" spans="2:25" hidden="1" outlineLevel="1">
      <c r="B89" s="1007"/>
      <c r="C89" s="687" t="s">
        <v>2087</v>
      </c>
      <c r="D89" s="1049">
        <f ca="1">INDEX('Budget-合并'!$W:$W,MATCH($C89,'Budget-合并'!$B:$B,0))/$G$81</f>
        <v>926.63918715252407</v>
      </c>
      <c r="E89" s="1049">
        <f>SUM(E83:E84)</f>
        <v>4013.9204717711041</v>
      </c>
      <c r="F89" s="1049">
        <f>SUM(F83:F84)</f>
        <v>5717.7539102405017</v>
      </c>
      <c r="G89" s="1179"/>
      <c r="K89" s="1007"/>
      <c r="L89" s="687" t="s">
        <v>2087</v>
      </c>
      <c r="M89" s="1049">
        <f>SUM(M83:M84)</f>
        <v>735.31856283045272</v>
      </c>
      <c r="N89" s="1049">
        <f>SUM(N83:N84)</f>
        <v>2794.6503339639185</v>
      </c>
      <c r="O89" s="1049">
        <f>SUM(O83:O84)</f>
        <v>4539.9358802184488</v>
      </c>
      <c r="P89" s="1179"/>
      <c r="S89" s="1007"/>
      <c r="T89" s="687" t="s">
        <v>2087</v>
      </c>
      <c r="U89" s="1049">
        <v>655.51812262279134</v>
      </c>
      <c r="V89" s="1049">
        <v>1842.5113600083671</v>
      </c>
      <c r="W89" s="1049">
        <v>3587.4885108588719</v>
      </c>
      <c r="X89" s="1179"/>
    </row>
    <row r="90" spans="2:25" hidden="1" outlineLevel="1">
      <c r="B90" s="1007"/>
      <c r="C90" s="1193" t="s">
        <v>2088</v>
      </c>
      <c r="D90" s="1150">
        <f ca="1">-INDEX('Budget-合并'!$W:$W,MATCH($C90,'Budget-合并'!$B:$B,0))/$G$81</f>
        <v>-5.5229269999999993</v>
      </c>
      <c r="E90" s="1151">
        <f ca="1">E89*D90/D89</f>
        <v>-23.923648013979829</v>
      </c>
      <c r="F90" s="1151">
        <f ca="1">F89*E90/E89</f>
        <v>-34.078784804322119</v>
      </c>
      <c r="G90" s="1179"/>
      <c r="I90" s="1143"/>
      <c r="J90" s="1144"/>
      <c r="K90" s="1007"/>
      <c r="L90" s="687" t="s">
        <v>2088</v>
      </c>
      <c r="M90" s="1150">
        <f>-M89*6%*12%</f>
        <v>-5.2942936523792588</v>
      </c>
      <c r="N90" s="1151">
        <f>-N89*6%*12%</f>
        <v>-20.121482404540213</v>
      </c>
      <c r="O90" s="1151">
        <f>-O89*6%*12%</f>
        <v>-32.687538337572832</v>
      </c>
      <c r="P90" s="1179"/>
      <c r="R90" s="1058"/>
      <c r="S90" s="1007"/>
      <c r="T90" s="687" t="s">
        <v>2088</v>
      </c>
      <c r="U90" s="1150">
        <v>-4.7197304828840974</v>
      </c>
      <c r="V90" s="1151">
        <v>-13.266081792060241</v>
      </c>
      <c r="W90" s="1151">
        <v>-25.829917278183878</v>
      </c>
      <c r="X90" s="1179"/>
    </row>
    <row r="91" spans="2:25" hidden="1" outlineLevel="1">
      <c r="B91" s="1007"/>
      <c r="C91" s="1193" t="s">
        <v>2089</v>
      </c>
      <c r="D91" s="1152">
        <f ca="1">-INDEX('Budget-合并'!$W:$W,MATCH($C91,'Budget-合并'!$B:$B,0))/$G$81</f>
        <v>-2275.2256196761905</v>
      </c>
      <c r="E91" s="1153">
        <f>(-'Personnel-CN'!AV329-'[90]Personnel-HK 2026'!$AU$38)/10000-300</f>
        <v>-2572.01885004</v>
      </c>
      <c r="F91" s="1153">
        <f>E91*1.05</f>
        <v>-2700.6197925420001</v>
      </c>
      <c r="G91" s="1177"/>
      <c r="I91" s="1145"/>
      <c r="J91" s="1145"/>
      <c r="K91" s="1007"/>
      <c r="L91" s="687" t="s">
        <v>2089</v>
      </c>
      <c r="M91" s="1152">
        <f ca="1">-INDEX('Budget-合并'!$W:$W,MATCH($C91,'Budget-合并'!$B:$B,0))/$G$81</f>
        <v>-2275.2256196761905</v>
      </c>
      <c r="N91" s="1153">
        <f>E91</f>
        <v>-2572.01885004</v>
      </c>
      <c r="O91" s="1153">
        <f>F91</f>
        <v>-2700.6197925420001</v>
      </c>
      <c r="P91" s="1177">
        <f>N91/($M$51*100)</f>
        <v>-5.3499750976754523E-2</v>
      </c>
      <c r="R91" s="1057"/>
      <c r="S91" s="1007"/>
      <c r="T91" s="687" t="s">
        <v>2089</v>
      </c>
      <c r="U91" s="1152">
        <v>-2275.2256196761905</v>
      </c>
      <c r="V91" s="1153">
        <v>-2572.01885004</v>
      </c>
      <c r="W91" s="1153">
        <v>-2700.6197925420001</v>
      </c>
      <c r="X91" s="1177">
        <v>-7.776242536878028E-2</v>
      </c>
      <c r="Y91" s="1000">
        <v>-9.0391503214179367E-2</v>
      </c>
    </row>
    <row r="92" spans="2:25" hidden="1" outlineLevel="1">
      <c r="B92" s="1007"/>
      <c r="C92" s="1193" t="s">
        <v>2090</v>
      </c>
      <c r="D92" s="1152">
        <f ca="1">-INDEX('Budget-合并'!$W:$W,MATCH($C92,'Budget-合并'!$B:$B,0))/$G$81</f>
        <v>-819.07192778895251</v>
      </c>
      <c r="E92" s="1153">
        <f ca="1">D92+100</f>
        <v>-719.07192778895251</v>
      </c>
      <c r="F92" s="1153">
        <f ca="1">E92</f>
        <v>-719.07192778895251</v>
      </c>
      <c r="G92" s="1177"/>
      <c r="I92" s="1146"/>
      <c r="J92" s="1146"/>
      <c r="K92" s="1007"/>
      <c r="L92" s="687" t="s">
        <v>2090</v>
      </c>
      <c r="M92" s="1152">
        <f ca="1">-INDEX('Budget-合并'!$W:$W,MATCH($C92,'Budget-合并'!$B:$B,0))/$G$81</f>
        <v>-819.07192778895251</v>
      </c>
      <c r="N92" s="1153">
        <f t="shared" ref="N92:O92" ca="1" si="3">E92</f>
        <v>-719.07192778895251</v>
      </c>
      <c r="O92" s="1153">
        <f t="shared" ca="1" si="3"/>
        <v>-719.07192778895251</v>
      </c>
      <c r="P92" s="1177">
        <f ca="1">N92/($M$51*100)</f>
        <v>-1.4957187841172113E-2</v>
      </c>
      <c r="R92" s="1141"/>
      <c r="S92" s="1007"/>
      <c r="T92" s="687" t="s">
        <v>2090</v>
      </c>
      <c r="U92" s="1152">
        <v>-819.07192778895251</v>
      </c>
      <c r="V92" s="1153">
        <v>-719.07192778895251</v>
      </c>
      <c r="W92" s="1153">
        <v>-719.07192778895251</v>
      </c>
      <c r="X92" s="1177">
        <v>-2.174042274946926E-2</v>
      </c>
      <c r="Y92" s="1000">
        <v>-2.504401275219157E-2</v>
      </c>
    </row>
    <row r="93" spans="2:25" hidden="1" outlineLevel="1">
      <c r="B93" s="1007"/>
      <c r="C93" s="1193" t="s">
        <v>2091</v>
      </c>
      <c r="D93" s="1152">
        <f ca="1">-INDEX('Budget-合并'!$W:$W,MATCH($C93,'Budget-合并'!$B:$B,0))/$G$81</f>
        <v>-16.016265826930002</v>
      </c>
      <c r="E93" s="1153">
        <f ca="1">D93*1.05</f>
        <v>-16.817079118276503</v>
      </c>
      <c r="F93" s="1153">
        <f ca="1">E93*1.05</f>
        <v>-17.657933074190328</v>
      </c>
      <c r="G93" s="1177"/>
      <c r="I93" s="1058"/>
      <c r="K93" s="1007"/>
      <c r="L93" s="687" t="s">
        <v>2091</v>
      </c>
      <c r="M93" s="1152">
        <f ca="1">-INDEX('Budget-合并'!$W:$W,MATCH($C93,'Budget-合并'!$B:$B,0))/$G$81</f>
        <v>-16.016265826930002</v>
      </c>
      <c r="N93" s="1153">
        <f ca="1">M93</f>
        <v>-16.016265826930002</v>
      </c>
      <c r="O93" s="1153">
        <f ca="1">N93</f>
        <v>-16.016265826930002</v>
      </c>
      <c r="P93" s="1177">
        <f ca="1">N93/($M$51*100)</f>
        <v>-3.3314928205325264E-4</v>
      </c>
      <c r="R93" s="1058"/>
      <c r="S93" s="1007"/>
      <c r="T93" s="687" t="s">
        <v>2091</v>
      </c>
      <c r="U93" s="1152">
        <v>-16.016265826930002</v>
      </c>
      <c r="V93" s="1153">
        <v>-16.016265826930002</v>
      </c>
      <c r="W93" s="1153">
        <v>-16.016265826930002</v>
      </c>
      <c r="X93" s="1177">
        <v>-4.8423582744497415E-4</v>
      </c>
      <c r="Y93" s="1000">
        <v>-5.8570933952012622E-4</v>
      </c>
    </row>
    <row r="94" spans="2:25" hidden="1" outlineLevel="1">
      <c r="B94" s="1007"/>
      <c r="C94" s="1193" t="s">
        <v>2092</v>
      </c>
      <c r="D94" s="1154">
        <f ca="1">INDEX('Budget-合并'!$W:$W,MATCH($C94,'Budget-合并'!$B:$B,0))/$G$81</f>
        <v>1.6459999999999999</v>
      </c>
      <c r="E94" s="1155">
        <f ca="1">D94</f>
        <v>1.6459999999999999</v>
      </c>
      <c r="F94" s="1155">
        <f ca="1">E94</f>
        <v>1.6459999999999999</v>
      </c>
      <c r="G94" s="1180"/>
      <c r="K94" s="1007"/>
      <c r="L94" s="687" t="s">
        <v>2092</v>
      </c>
      <c r="M94" s="1154">
        <f ca="1">INDEX('Budget-合并'!$W:$W,MATCH($C94,'Budget-合并'!$B:$B,0))/$G$81</f>
        <v>1.6459999999999999</v>
      </c>
      <c r="N94" s="1155">
        <f ca="1">M94</f>
        <v>1.6459999999999999</v>
      </c>
      <c r="O94" s="1155">
        <f ca="1">N94</f>
        <v>1.6459999999999999</v>
      </c>
      <c r="P94" s="1180"/>
      <c r="S94" s="1007"/>
      <c r="T94" s="687" t="s">
        <v>2092</v>
      </c>
      <c r="U94" s="1154">
        <v>1.6459999999999999</v>
      </c>
      <c r="V94" s="1155">
        <v>1.6459999999999999</v>
      </c>
      <c r="W94" s="1155">
        <v>1.6459999999999999</v>
      </c>
      <c r="X94" s="1180"/>
    </row>
    <row r="95" spans="2:25" hidden="1" outlineLevel="1">
      <c r="B95" s="1007"/>
      <c r="C95" s="687" t="s">
        <v>3138</v>
      </c>
      <c r="D95" s="1049">
        <f ca="1">SUM(D90:D94)</f>
        <v>-3114.1907402920729</v>
      </c>
      <c r="E95" s="1049">
        <f ca="1">SUM(E90:E94)</f>
        <v>-3330.1855049612086</v>
      </c>
      <c r="F95" s="1049">
        <f ca="1">SUM(F90:F94)</f>
        <v>-3469.7824382094645</v>
      </c>
      <c r="G95" s="1180"/>
      <c r="K95" s="1007"/>
      <c r="L95" s="687" t="s">
        <v>3138</v>
      </c>
      <c r="M95" s="1049">
        <f ca="1">SUM(M90:M94)</f>
        <v>-3113.962106944452</v>
      </c>
      <c r="N95" s="1049">
        <f ca="1">SUM(N90:N94)</f>
        <v>-3325.5825260604224</v>
      </c>
      <c r="O95" s="1049">
        <f ca="1">SUM(O90:O94)</f>
        <v>-3466.7495244954553</v>
      </c>
      <c r="P95" s="1180"/>
      <c r="S95" s="1007"/>
      <c r="T95" s="687" t="s">
        <v>3138</v>
      </c>
      <c r="U95" s="1049">
        <v>-3113.3875437749571</v>
      </c>
      <c r="V95" s="1049">
        <v>-3318.7271254479424</v>
      </c>
      <c r="W95" s="1049">
        <v>-3459.8919034360665</v>
      </c>
      <c r="X95" s="1180"/>
    </row>
    <row r="96" spans="2:25" hidden="1" outlineLevel="1">
      <c r="B96" s="1007"/>
      <c r="C96" s="687" t="s">
        <v>2093</v>
      </c>
      <c r="D96" s="1049">
        <f ca="1">INDEX('Budget-合并'!$W:$W,MATCH($C96,'Budget-合并'!$B:$B,0))/$G$81</f>
        <v>-2187.551553139549</v>
      </c>
      <c r="E96" s="1049">
        <f ca="1">SUM(E89:E94)</f>
        <v>683.73496680989524</v>
      </c>
      <c r="F96" s="1049">
        <f ca="1">SUM(F89:F94)</f>
        <v>2247.9714720310371</v>
      </c>
      <c r="G96" s="1177"/>
      <c r="K96" s="1007"/>
      <c r="L96" s="687" t="s">
        <v>2093</v>
      </c>
      <c r="M96" s="1049">
        <f ca="1">SUM(M89:M94)</f>
        <v>-2378.6435441139993</v>
      </c>
      <c r="N96" s="1049">
        <f ca="1">SUM(N89:N94)</f>
        <v>-530.93219209650408</v>
      </c>
      <c r="O96" s="1049">
        <f ca="1">SUM(O89:O94)</f>
        <v>1073.1863557229933</v>
      </c>
      <c r="P96" s="1177">
        <f ca="1">N96/($M$51*100)</f>
        <v>-1.1043752677887105E-2</v>
      </c>
      <c r="S96" s="1007"/>
      <c r="T96" s="687" t="s">
        <v>2093</v>
      </c>
      <c r="U96" s="1049">
        <v>-2457.8694211521656</v>
      </c>
      <c r="V96" s="1049">
        <v>-1476.2157654395758</v>
      </c>
      <c r="W96" s="1049">
        <v>127.59660742280526</v>
      </c>
      <c r="X96" s="1177">
        <v>-4.4631911732072489E-2</v>
      </c>
      <c r="Y96" s="1000">
        <v>-5.9827269199006508E-2</v>
      </c>
    </row>
    <row r="97" spans="2:25" hidden="1" outlineLevel="1">
      <c r="B97" s="1007"/>
      <c r="C97" s="687" t="s">
        <v>2094</v>
      </c>
      <c r="D97" s="1049">
        <f ca="1">INDEX('Budget-合并'!$W:$W,MATCH($C97,'Budget-合并'!$B:$B,0))/$G$81</f>
        <v>0</v>
      </c>
      <c r="E97" s="1049">
        <v>0</v>
      </c>
      <c r="F97" s="1049">
        <v>0</v>
      </c>
      <c r="G97" s="1009"/>
      <c r="K97" s="1007"/>
      <c r="L97" s="687" t="s">
        <v>2094</v>
      </c>
      <c r="M97" s="1049">
        <f ca="1">INDEX('Budget-合并'!$W:$W,MATCH($C97,'Budget-合并'!$B:$B,0))/$G$81</f>
        <v>0</v>
      </c>
      <c r="N97" s="1049">
        <f ca="1">INDEX('Budget-合并'!$W:$W,MATCH($C97,'Budget-合并'!$B:$B,0))/$G$81</f>
        <v>0</v>
      </c>
      <c r="O97" s="1049">
        <f ca="1">INDEX('Budget-合并'!$W:$W,MATCH($C97,'Budget-合并'!$B:$B,0))/$G$81</f>
        <v>0</v>
      </c>
      <c r="P97" s="1009"/>
      <c r="S97" s="1007"/>
      <c r="T97" s="687" t="s">
        <v>2094</v>
      </c>
      <c r="U97" s="1049">
        <v>0</v>
      </c>
      <c r="V97" s="1049">
        <v>0</v>
      </c>
      <c r="W97" s="1049">
        <v>0</v>
      </c>
      <c r="X97" s="1009"/>
    </row>
    <row r="98" spans="2:25" hidden="1" outlineLevel="1">
      <c r="B98" s="1007"/>
      <c r="C98" s="687" t="s">
        <v>2095</v>
      </c>
      <c r="D98" s="1049">
        <f ca="1">INDEX('Budget-合并'!$W:$W,MATCH($C98,'Budget-合并'!$B:$B,0))/$G$81</f>
        <v>-2187.551553139549</v>
      </c>
      <c r="E98" s="1049">
        <f ca="1">SUM(E96:E97)</f>
        <v>683.73496680989524</v>
      </c>
      <c r="F98" s="1049">
        <f ca="1">SUM(F96:F97)</f>
        <v>2247.9714720310371</v>
      </c>
      <c r="G98" s="1177"/>
      <c r="K98" s="1007"/>
      <c r="L98" s="687" t="s">
        <v>2095</v>
      </c>
      <c r="M98" s="1049">
        <f ca="1">SUM(M96:M97)</f>
        <v>-2378.6435441139993</v>
      </c>
      <c r="N98" s="1049">
        <f ca="1">SUM(N96:N97)</f>
        <v>-530.93219209650408</v>
      </c>
      <c r="O98" s="1049">
        <f ca="1">SUM(O96:O97)</f>
        <v>1073.1863557229933</v>
      </c>
      <c r="P98" s="1177">
        <f ca="1">N98/($M$51*100)</f>
        <v>-1.1043752677887105E-2</v>
      </c>
      <c r="S98" s="1007"/>
      <c r="T98" s="687" t="s">
        <v>2095</v>
      </c>
      <c r="U98" s="1049">
        <v>-2457.8694211521656</v>
      </c>
      <c r="V98" s="1049">
        <v>-1476.2157654395758</v>
      </c>
      <c r="W98" s="1049">
        <v>127.59660742280526</v>
      </c>
      <c r="X98" s="1177">
        <v>-4.4631911732072489E-2</v>
      </c>
      <c r="Y98" s="1000">
        <v>-5.9827269199006508E-2</v>
      </c>
    </row>
    <row r="99" spans="2:25" ht="13.5" hidden="1" outlineLevel="1" thickBot="1">
      <c r="B99" s="1041"/>
      <c r="C99" s="1059" t="s">
        <v>2096</v>
      </c>
      <c r="D99" s="1060">
        <f ca="1">INDEX('Budget-合并'!$W:$W,MATCH($C99,'Budget-合并'!$B:$B,0))/$G$81</f>
        <v>-2187.551553139549</v>
      </c>
      <c r="E99" s="1060">
        <f ca="1">E98</f>
        <v>683.73496680989524</v>
      </c>
      <c r="F99" s="1060">
        <f ca="1">F98</f>
        <v>2247.9714720310371</v>
      </c>
      <c r="G99" s="1043"/>
      <c r="K99" s="1041"/>
      <c r="L99" s="1059" t="s">
        <v>2096</v>
      </c>
      <c r="M99" s="1060">
        <f ca="1">M98</f>
        <v>-2378.6435441139993</v>
      </c>
      <c r="N99" s="1060">
        <f ca="1">N98</f>
        <v>-530.93219209650408</v>
      </c>
      <c r="O99" s="1060">
        <f ca="1">O98</f>
        <v>1073.1863557229933</v>
      </c>
      <c r="P99" s="1043"/>
      <c r="S99" s="1041"/>
      <c r="T99" s="1059" t="s">
        <v>2096</v>
      </c>
      <c r="U99" s="1060">
        <v>-2457.8694211521656</v>
      </c>
      <c r="V99" s="1060">
        <v>-1476.2157654395758</v>
      </c>
      <c r="W99" s="1060">
        <v>127.59660742280526</v>
      </c>
      <c r="X99" s="1043"/>
    </row>
    <row r="100" spans="2:25" collapsed="1">
      <c r="B100" s="1007"/>
      <c r="C100" s="687"/>
      <c r="D100" s="1049"/>
      <c r="E100" s="1049"/>
      <c r="F100" s="1049"/>
      <c r="G100" s="1009"/>
      <c r="K100" s="1007"/>
      <c r="L100" s="687"/>
      <c r="M100" s="1049"/>
      <c r="N100" s="1049"/>
      <c r="O100" s="1049"/>
      <c r="P100" s="1009"/>
      <c r="S100" s="1007"/>
      <c r="T100" s="687"/>
      <c r="U100" s="1049"/>
      <c r="V100" s="1049"/>
      <c r="W100" s="1049"/>
      <c r="X100" s="1009"/>
    </row>
    <row r="101" spans="2:25">
      <c r="B101" s="1007"/>
      <c r="C101" s="687" t="s">
        <v>3160</v>
      </c>
      <c r="D101" s="1049">
        <f t="shared" ref="D101:F101" ca="1" si="4">D83</f>
        <v>96.678297579047154</v>
      </c>
      <c r="E101" s="1049">
        <f t="shared" si="4"/>
        <v>474.21892744973644</v>
      </c>
      <c r="F101" s="1049">
        <f t="shared" si="4"/>
        <v>634.44130501186578</v>
      </c>
      <c r="G101" s="1009"/>
      <c r="K101" s="1007"/>
      <c r="L101" s="687" t="s">
        <v>3160</v>
      </c>
      <c r="M101" s="1049">
        <f t="shared" ref="M101:O101" si="5">M83</f>
        <v>64.782223893105254</v>
      </c>
      <c r="N101" s="1049">
        <f t="shared" si="5"/>
        <v>343.45927614213997</v>
      </c>
      <c r="O101" s="1049">
        <f t="shared" si="5"/>
        <v>546.95980873610745</v>
      </c>
      <c r="P101" s="1009"/>
      <c r="S101" s="1007"/>
      <c r="T101" s="687" t="s">
        <v>3160</v>
      </c>
      <c r="U101" s="1049">
        <v>55.530361772284749</v>
      </c>
      <c r="V101" s="1049">
        <v>231.20334907618442</v>
      </c>
      <c r="W101" s="1049">
        <v>434.39548626612469</v>
      </c>
      <c r="X101" s="1009"/>
    </row>
    <row r="102" spans="2:25">
      <c r="B102" s="1007"/>
      <c r="C102" s="687" t="s">
        <v>3161</v>
      </c>
      <c r="D102" s="1049">
        <f t="shared" ref="D102:F102" si="6">D85</f>
        <v>1894.546394417162</v>
      </c>
      <c r="E102" s="1049">
        <f t="shared" si="6"/>
        <v>6170.84517963298</v>
      </c>
      <c r="F102" s="1049">
        <f t="shared" si="6"/>
        <v>8692.8146807960711</v>
      </c>
      <c r="G102" s="1009"/>
      <c r="K102" s="1007"/>
      <c r="L102" s="687" t="s">
        <v>3161</v>
      </c>
      <c r="M102" s="1049">
        <f t="shared" ref="M102:O102" si="7">M85</f>
        <v>1620.2507107779788</v>
      </c>
      <c r="N102" s="1049">
        <f t="shared" si="7"/>
        <v>4521.194107004394</v>
      </c>
      <c r="O102" s="1049">
        <f t="shared" si="7"/>
        <v>7115.5337296459029</v>
      </c>
      <c r="P102" s="1009"/>
      <c r="S102" s="1007"/>
      <c r="T102" s="687" t="s">
        <v>3161</v>
      </c>
      <c r="U102" s="1049">
        <v>1503.9415869733782</v>
      </c>
      <c r="V102" s="1049">
        <v>3106.0997673817519</v>
      </c>
      <c r="W102" s="1049">
        <v>5700.4393900232617</v>
      </c>
      <c r="X102" s="1009"/>
    </row>
    <row r="103" spans="2:25">
      <c r="B103" s="1007"/>
      <c r="C103" s="687" t="s">
        <v>2084</v>
      </c>
      <c r="D103" s="1049">
        <f t="shared" ref="D103:F103" si="8">D86</f>
        <v>-922.66690359265976</v>
      </c>
      <c r="E103" s="1049">
        <f t="shared" si="8"/>
        <v>-2327.0882657017319</v>
      </c>
      <c r="F103" s="1049">
        <f t="shared" si="8"/>
        <v>-3209.7775911088138</v>
      </c>
      <c r="G103" s="1009" t="s">
        <v>3166</v>
      </c>
      <c r="K103" s="1007"/>
      <c r="L103" s="687" t="s">
        <v>2084</v>
      </c>
      <c r="M103" s="1049">
        <f t="shared" ref="M103:O103" si="9">M86</f>
        <v>-826.66341431894557</v>
      </c>
      <c r="N103" s="1049">
        <f t="shared" si="9"/>
        <v>-1749.7103902817262</v>
      </c>
      <c r="O103" s="1049">
        <f t="shared" si="9"/>
        <v>-2657.7292582062551</v>
      </c>
      <c r="P103" s="1009"/>
      <c r="S103" s="1007"/>
      <c r="T103" s="687" t="s">
        <v>2084</v>
      </c>
      <c r="U103" s="1049">
        <v>-785.95522098733534</v>
      </c>
      <c r="V103" s="1049">
        <v>-1254.4273714138021</v>
      </c>
      <c r="W103" s="1049">
        <v>-2162.4462393383301</v>
      </c>
      <c r="X103" s="1009"/>
    </row>
    <row r="104" spans="2:25">
      <c r="B104" s="1007"/>
      <c r="C104" s="687"/>
      <c r="D104" s="1174">
        <f t="shared" ref="D104:F104" ca="1" si="10">D103/D$111</f>
        <v>0.22079835087286051</v>
      </c>
      <c r="E104" s="1174">
        <f t="shared" ca="1" si="10"/>
        <v>0.39036399617338224</v>
      </c>
      <c r="F104" s="1174">
        <f t="shared" ca="1" si="10"/>
        <v>0.45340423666576884</v>
      </c>
      <c r="G104" s="1009"/>
      <c r="K104" s="1007"/>
      <c r="L104" s="687"/>
      <c r="M104" s="1174">
        <f t="shared" ref="M104" ca="1" si="11">M103/M$111</f>
        <v>0.20342746737705186</v>
      </c>
      <c r="N104" s="1174">
        <f t="shared" ref="N104" ca="1" si="12">N103/N$111</f>
        <v>0.32349507836983937</v>
      </c>
      <c r="O104" s="1174">
        <f t="shared" ref="O104" ca="1" si="13">O103/O$111</f>
        <v>0.40216089077882905</v>
      </c>
      <c r="P104" s="1009"/>
      <c r="S104" s="1007"/>
      <c r="T104" s="687"/>
      <c r="U104" s="1174">
        <v>0.19564063608747398</v>
      </c>
      <c r="V104" s="1174">
        <v>0.26008197890582346</v>
      </c>
      <c r="W104" s="1174">
        <v>0.35902845092378127</v>
      </c>
      <c r="X104" s="1009"/>
    </row>
    <row r="105" spans="2:25">
      <c r="B105" s="1007"/>
      <c r="C105" s="687" t="s">
        <v>2089</v>
      </c>
      <c r="D105" s="1049">
        <f t="shared" ref="D105:F105" ca="1" si="14">D91</f>
        <v>-2275.2256196761905</v>
      </c>
      <c r="E105" s="1049">
        <f t="shared" si="14"/>
        <v>-2572.01885004</v>
      </c>
      <c r="F105" s="1049">
        <f t="shared" si="14"/>
        <v>-2700.6197925420001</v>
      </c>
      <c r="G105" s="1009" t="s">
        <v>3167</v>
      </c>
      <c r="K105" s="1007"/>
      <c r="L105" s="687" t="s">
        <v>2089</v>
      </c>
      <c r="M105" s="1049">
        <f t="shared" ref="M105:O105" ca="1" si="15">M91</f>
        <v>-2275.2256196761905</v>
      </c>
      <c r="N105" s="1049">
        <f t="shared" si="15"/>
        <v>-2572.01885004</v>
      </c>
      <c r="O105" s="1049">
        <f t="shared" si="15"/>
        <v>-2700.6197925420001</v>
      </c>
      <c r="P105" s="1009"/>
      <c r="S105" s="1007"/>
      <c r="T105" s="687" t="s">
        <v>2089</v>
      </c>
      <c r="U105" s="1049">
        <v>-2275.2256196761905</v>
      </c>
      <c r="V105" s="1049">
        <v>-2572.01885004</v>
      </c>
      <c r="W105" s="1049">
        <v>-2700.6197925420001</v>
      </c>
      <c r="X105" s="1009"/>
    </row>
    <row r="106" spans="2:25">
      <c r="B106" s="1007"/>
      <c r="C106" s="687"/>
      <c r="D106" s="1174">
        <f t="shared" ref="D106" ca="1" si="16">D105/D$111</f>
        <v>0.54447175110766766</v>
      </c>
      <c r="E106" s="1174">
        <f t="shared" ref="E106" ca="1" si="17">E105/E$111</f>
        <v>0.43145056907934642</v>
      </c>
      <c r="F106" s="1174">
        <f t="shared" ref="F106" ca="1" si="18">F105/F$111</f>
        <v>0.38148202509538365</v>
      </c>
      <c r="G106" s="1009"/>
      <c r="K106" s="1007"/>
      <c r="L106" s="687"/>
      <c r="M106" s="1174">
        <f t="shared" ref="M106" ca="1" si="19">M105/M$111</f>
        <v>0.55989339494772339</v>
      </c>
      <c r="N106" s="1174">
        <f t="shared" ref="N106" ca="1" si="20">N105/N$111</f>
        <v>0.47552751820169814</v>
      </c>
      <c r="O106" s="1174">
        <f t="shared" ref="O106" ca="1" si="21">O105/O$111</f>
        <v>0.40865097830041686</v>
      </c>
      <c r="P106" s="1009"/>
      <c r="S106" s="1007"/>
      <c r="T106" s="687"/>
      <c r="U106" s="1174">
        <v>0.56635107903067128</v>
      </c>
      <c r="V106" s="1174">
        <v>0.53325985030728373</v>
      </c>
      <c r="W106" s="1174">
        <v>0.44838078423033439</v>
      </c>
      <c r="X106" s="1009"/>
    </row>
    <row r="107" spans="2:25">
      <c r="B107" s="1007"/>
      <c r="C107" s="687" t="s">
        <v>2090</v>
      </c>
      <c r="D107" s="1049">
        <f t="shared" ref="D107:E107" ca="1" si="22">D92</f>
        <v>-819.07192778895251</v>
      </c>
      <c r="E107" s="1049">
        <f t="shared" ca="1" si="22"/>
        <v>-719.07192778895251</v>
      </c>
      <c r="F107" s="1049">
        <f ca="1">F92</f>
        <v>-719.07192778895251</v>
      </c>
      <c r="G107" s="1009"/>
      <c r="K107" s="1007"/>
      <c r="L107" s="687" t="s">
        <v>2090</v>
      </c>
      <c r="M107" s="1049">
        <f t="shared" ref="M107:O107" ca="1" si="23">M92</f>
        <v>-819.07192778895251</v>
      </c>
      <c r="N107" s="1049">
        <f t="shared" ca="1" si="23"/>
        <v>-719.07192778895251</v>
      </c>
      <c r="O107" s="1049">
        <f t="shared" ca="1" si="23"/>
        <v>-719.07192778895251</v>
      </c>
      <c r="P107" s="1009"/>
      <c r="S107" s="1007"/>
      <c r="T107" s="687" t="s">
        <v>2090</v>
      </c>
      <c r="U107" s="1049">
        <v>-819.07192778895251</v>
      </c>
      <c r="V107" s="1049">
        <v>-719.07192778895251</v>
      </c>
      <c r="W107" s="1049">
        <v>-719.07192778895251</v>
      </c>
      <c r="X107" s="1009"/>
    </row>
    <row r="108" spans="2:25">
      <c r="B108" s="1007"/>
      <c r="C108" s="687"/>
      <c r="D108" s="1174">
        <f t="shared" ref="D108" ca="1" si="24">D107/D$111</f>
        <v>0.19600760599287431</v>
      </c>
      <c r="E108" s="1174">
        <f t="shared" ref="E108" ca="1" si="25">E107/E$111</f>
        <v>0.12062275221999301</v>
      </c>
      <c r="F108" s="1174">
        <f t="shared" ref="F108" ca="1" si="26">F107/F$111</f>
        <v>0.10157409642027755</v>
      </c>
      <c r="G108" s="1009"/>
      <c r="K108" s="1007"/>
      <c r="L108" s="687"/>
      <c r="M108" s="1174">
        <f t="shared" ref="M108" ca="1" si="27">M107/M$111</f>
        <v>0.20155933477111601</v>
      </c>
      <c r="N108" s="1174">
        <f t="shared" ref="N108" ca="1" si="28">N107/N$111</f>
        <v>0.13294556112008024</v>
      </c>
      <c r="O108" s="1174">
        <f t="shared" ref="O108" ca="1" si="29">O107/O$111</f>
        <v>0.10880815121432988</v>
      </c>
      <c r="P108" s="1009"/>
      <c r="S108" s="1007"/>
      <c r="T108" s="687"/>
      <c r="U108" s="1174">
        <v>0.20388407465850569</v>
      </c>
      <c r="V108" s="1174">
        <v>0.14908607243175662</v>
      </c>
      <c r="W108" s="1174">
        <v>0.11938668145379619</v>
      </c>
      <c r="X108" s="1009"/>
    </row>
    <row r="109" spans="2:25">
      <c r="B109" s="1007"/>
      <c r="C109" s="687" t="s">
        <v>3159</v>
      </c>
      <c r="D109" s="1049">
        <f t="shared" ref="D109:F109" ca="1" si="30">SUM(D87:D88,D90,D93:D94)</f>
        <v>-161.81179407795534</v>
      </c>
      <c r="E109" s="1049">
        <f t="shared" ca="1" si="30"/>
        <v>-343.15009674213667</v>
      </c>
      <c r="F109" s="1049">
        <f t="shared" ca="1" si="30"/>
        <v>-449.81520233713309</v>
      </c>
      <c r="G109" s="1009"/>
      <c r="K109" s="1007"/>
      <c r="L109" s="687" t="s">
        <v>3159</v>
      </c>
      <c r="M109" s="1049">
        <f t="shared" ref="M109:O109" ca="1" si="31">SUM(M87:M88,M90,M93:M94)</f>
        <v>-142.71551700099516</v>
      </c>
      <c r="N109" s="1049">
        <f t="shared" ca="1" si="31"/>
        <v>-367.96856989859748</v>
      </c>
      <c r="O109" s="1049">
        <f t="shared" ca="1" si="31"/>
        <v>-531.20089182733352</v>
      </c>
      <c r="P109" s="1009"/>
      <c r="S109" s="1007"/>
      <c r="T109" s="687" t="s">
        <v>3159</v>
      </c>
      <c r="U109" s="1049">
        <v>-137.08860144535032</v>
      </c>
      <c r="V109" s="1049">
        <v>-277.6817383128315</v>
      </c>
      <c r="W109" s="1049">
        <v>-440.91183979465848</v>
      </c>
      <c r="X109" s="1009"/>
    </row>
    <row r="110" spans="2:25">
      <c r="B110" s="1007"/>
      <c r="C110" s="687"/>
      <c r="D110" s="1174">
        <f t="shared" ref="D110" ca="1" si="32">D109/D$111</f>
        <v>3.872229202659748E-2</v>
      </c>
      <c r="E110" s="1174">
        <f t="shared" ref="E110" ca="1" si="33">E109/E$111</f>
        <v>5.756268252727819E-2</v>
      </c>
      <c r="F110" s="1174">
        <f t="shared" ref="F110" ca="1" si="34">F109/F$111</f>
        <v>6.3539641818569914E-2</v>
      </c>
      <c r="G110" s="1009"/>
      <c r="K110" s="1007"/>
      <c r="L110" s="687"/>
      <c r="M110" s="1174">
        <f t="shared" ref="M110" ca="1" si="35">M109/M$111</f>
        <v>3.5119802904108842E-2</v>
      </c>
      <c r="N110" s="1174">
        <f t="shared" ref="N110" ca="1" si="36">N109/N$111</f>
        <v>6.8031842308382329E-2</v>
      </c>
      <c r="O110" s="1174">
        <f t="shared" ref="O110" ca="1" si="37">O109/O$111</f>
        <v>8.0379979706424284E-2</v>
      </c>
      <c r="P110" s="1009"/>
      <c r="S110" s="1007"/>
      <c r="T110" s="687"/>
      <c r="U110" s="1174">
        <v>3.4124210223348987E-2</v>
      </c>
      <c r="V110" s="1174">
        <v>5.7572098355136082E-2</v>
      </c>
      <c r="W110" s="1174">
        <v>7.3204083392088212E-2</v>
      </c>
      <c r="X110" s="1009"/>
    </row>
    <row r="111" spans="2:25">
      <c r="B111" s="1007"/>
      <c r="C111" s="687" t="s">
        <v>3138</v>
      </c>
      <c r="D111" s="1049">
        <f t="shared" ref="D111:F111" ca="1" si="38">D103+D105+D107+D109</f>
        <v>-4178.7762451357585</v>
      </c>
      <c r="E111" s="1049">
        <f t="shared" ca="1" si="38"/>
        <v>-5961.3291402728219</v>
      </c>
      <c r="F111" s="1049">
        <f t="shared" ca="1" si="38"/>
        <v>-7079.2845137769</v>
      </c>
      <c r="G111" s="1009"/>
      <c r="K111" s="1007"/>
      <c r="L111" s="687" t="s">
        <v>3138</v>
      </c>
      <c r="M111" s="1049">
        <f t="shared" ref="M111" ca="1" si="39">M103+M105+M107+M109</f>
        <v>-4063.6764787850834</v>
      </c>
      <c r="N111" s="1049">
        <f t="shared" ref="N111" ca="1" si="40">N103+N105+N107+N109</f>
        <v>-5408.7697380092759</v>
      </c>
      <c r="O111" s="1049">
        <f t="shared" ref="O111" ca="1" si="41">O103+O105+O107+O109</f>
        <v>-6608.6218703645409</v>
      </c>
      <c r="P111" s="1009"/>
      <c r="S111" s="1007"/>
      <c r="T111" s="687" t="s">
        <v>3138</v>
      </c>
      <c r="U111" s="1049">
        <v>-4017.3413698978288</v>
      </c>
      <c r="V111" s="1049">
        <v>-4823.1998875555864</v>
      </c>
      <c r="W111" s="1049">
        <v>-6023.0497994639409</v>
      </c>
      <c r="X111" s="1009"/>
    </row>
    <row r="112" spans="2:25" ht="13.5" thickBot="1">
      <c r="B112" s="1007"/>
      <c r="C112" s="687" t="s">
        <v>2095</v>
      </c>
      <c r="D112" s="1175">
        <f t="shared" ref="D112:F112" ca="1" si="42">SUM(D101:D102,D111)</f>
        <v>-2187.5515531395495</v>
      </c>
      <c r="E112" s="1175">
        <f t="shared" ca="1" si="42"/>
        <v>683.73496680989501</v>
      </c>
      <c r="F112" s="1175">
        <f t="shared" ca="1" si="42"/>
        <v>2247.9714720310367</v>
      </c>
      <c r="G112" s="1009"/>
      <c r="K112" s="1007"/>
      <c r="L112" s="687" t="s">
        <v>2095</v>
      </c>
      <c r="M112" s="1175">
        <f t="shared" ref="M112:O112" ca="1" si="43">M98</f>
        <v>-2378.6435441139993</v>
      </c>
      <c r="N112" s="1175">
        <f t="shared" ca="1" si="43"/>
        <v>-530.93219209650408</v>
      </c>
      <c r="O112" s="1175">
        <f t="shared" ca="1" si="43"/>
        <v>1073.1863557229933</v>
      </c>
      <c r="P112" s="1009"/>
      <c r="S112" s="1007"/>
      <c r="T112" s="687" t="s">
        <v>2095</v>
      </c>
      <c r="U112" s="1175">
        <v>-2457.8694211521656</v>
      </c>
      <c r="V112" s="1175">
        <v>-1476.2157654395758</v>
      </c>
      <c r="W112" s="1175">
        <v>127.59660742280526</v>
      </c>
      <c r="X112" s="1009"/>
    </row>
    <row r="113" spans="2:25" ht="13.5" thickTop="1">
      <c r="B113" s="1007"/>
      <c r="C113" s="687" t="s">
        <v>3162</v>
      </c>
      <c r="D113" s="1049">
        <f ca="1">187.281342763379-D101</f>
        <v>90.603045184331847</v>
      </c>
      <c r="E113" s="1049">
        <f>677.45561064248-E101</f>
        <v>203.23668319274356</v>
      </c>
      <c r="F113" s="1049">
        <f>908.274395545008-F101</f>
        <v>273.83309053314224</v>
      </c>
      <c r="G113" s="1009"/>
      <c r="K113" s="1007"/>
      <c r="L113" s="687" t="s">
        <v>3162</v>
      </c>
      <c r="M113" s="1049">
        <f>92.5460341330075-M101</f>
        <v>27.763810239902242</v>
      </c>
      <c r="N113" s="1049">
        <f>490.656108774486-N101</f>
        <v>147.196832632346</v>
      </c>
      <c r="O113" s="1049">
        <f>783.300829436782-O101</f>
        <v>236.34102070067456</v>
      </c>
      <c r="P113" s="1009"/>
      <c r="S113" s="1007"/>
      <c r="T113" s="687" t="s">
        <v>3162</v>
      </c>
      <c r="U113" s="1049">
        <f>79.3290882461211-U101</f>
        <v>23.798726473836354</v>
      </c>
      <c r="V113" s="1049">
        <f>330.290498680264-V101</f>
        <v>99.087149604079599</v>
      </c>
      <c r="W113" s="1049">
        <f>622.494654479664-W101</f>
        <v>188.09916821353926</v>
      </c>
      <c r="X113" s="1009"/>
    </row>
    <row r="114" spans="2:25">
      <c r="B114" s="1007"/>
      <c r="C114" s="687" t="s">
        <v>3163</v>
      </c>
      <c r="D114" s="1049">
        <f>2361.07521323339-D102</f>
        <v>466.52881881622807</v>
      </c>
      <c r="E114" s="1049">
        <f>6357.13362626002-E102</f>
        <v>186.28844662703978</v>
      </c>
      <c r="F114" s="1049">
        <f>9311.25613853709-F102</f>
        <v>618.44145774101889</v>
      </c>
      <c r="G114" s="1009"/>
      <c r="K114" s="1007"/>
      <c r="L114" s="687" t="s">
        <v>3163</v>
      </c>
      <c r="M114" s="1049">
        <f>1620.25071077798-M102</f>
        <v>0</v>
      </c>
      <c r="N114" s="1049">
        <f>4632.39855259757-N102</f>
        <v>111.20444559317639</v>
      </c>
      <c r="O114" s="1049">
        <f>7569.07469630395-O102</f>
        <v>453.54096665804718</v>
      </c>
      <c r="P114" s="1009"/>
      <c r="S114" s="1007"/>
      <c r="T114" s="687" t="s">
        <v>3163</v>
      </c>
      <c r="U114" s="1049">
        <f>1503.94158697338-U102</f>
        <v>1.8189894035458565E-12</v>
      </c>
      <c r="V114" s="1049">
        <f>3205.28560351512-V102</f>
        <v>99.185836133367957</v>
      </c>
      <c r="W114" s="1049">
        <f>6012.47092271905-W102</f>
        <v>312.03153269578797</v>
      </c>
      <c r="X114" s="1009"/>
    </row>
    <row r="115" spans="2:25" ht="13.5" thickBot="1">
      <c r="B115" s="1007"/>
      <c r="C115" s="687" t="s">
        <v>2095</v>
      </c>
      <c r="D115" s="1175">
        <f t="shared" ref="D115:F115" ca="1" si="44">SUM(D112:D114)</f>
        <v>-1630.4196891389897</v>
      </c>
      <c r="E115" s="1175">
        <f t="shared" ca="1" si="44"/>
        <v>1073.2600966296784</v>
      </c>
      <c r="F115" s="1175">
        <f t="shared" ca="1" si="44"/>
        <v>3140.2460203051978</v>
      </c>
      <c r="G115" s="1009"/>
      <c r="K115" s="1007"/>
      <c r="L115" s="687" t="s">
        <v>2095</v>
      </c>
      <c r="M115" s="1175">
        <f t="shared" ref="M115" ca="1" si="45">SUM(M112:M114)</f>
        <v>-2350.8797338740969</v>
      </c>
      <c r="N115" s="1175">
        <f t="shared" ref="N115" ca="1" si="46">SUM(N112:N114)</f>
        <v>-272.53091387098169</v>
      </c>
      <c r="O115" s="1175">
        <f t="shared" ref="O115" ca="1" si="47">SUM(O112:O114)</f>
        <v>1763.0683430817151</v>
      </c>
      <c r="P115" s="1009"/>
      <c r="S115" s="1007"/>
      <c r="T115" s="687" t="s">
        <v>2095</v>
      </c>
      <c r="U115" s="1175">
        <f t="shared" ref="U115:W115" si="48">SUM(U112:U114)</f>
        <v>-2434.0706946783275</v>
      </c>
      <c r="V115" s="1175">
        <f t="shared" si="48"/>
        <v>-1277.9427797021283</v>
      </c>
      <c r="W115" s="1175">
        <f t="shared" si="48"/>
        <v>627.72730833213245</v>
      </c>
      <c r="X115" s="1009"/>
    </row>
    <row r="116" spans="2:25" ht="14.25" thickTop="1" thickBot="1">
      <c r="B116" s="1041"/>
      <c r="C116" s="1059"/>
      <c r="D116" s="1181"/>
      <c r="E116" s="1181"/>
      <c r="F116" s="1181"/>
      <c r="G116" s="1043"/>
      <c r="K116" s="1041"/>
      <c r="L116" s="1042"/>
      <c r="M116" s="1042"/>
      <c r="N116" s="1042"/>
      <c r="O116" s="1042"/>
      <c r="P116" s="1043"/>
      <c r="S116" s="1041"/>
      <c r="T116" s="1042"/>
      <c r="U116" s="1181"/>
      <c r="V116" s="1181"/>
      <c r="W116" s="1181"/>
      <c r="X116" s="1043"/>
    </row>
    <row r="117" spans="2:25">
      <c r="C117" s="687"/>
    </row>
    <row r="118" spans="2:25" ht="13.5" thickBot="1">
      <c r="B118" s="1001" t="s">
        <v>2097</v>
      </c>
      <c r="C118" s="1001"/>
      <c r="D118" s="1044">
        <v>2026</v>
      </c>
      <c r="E118" s="1001">
        <v>2027</v>
      </c>
      <c r="F118" s="1001">
        <v>2028</v>
      </c>
      <c r="G118" s="1001"/>
      <c r="K118" s="1001" t="s">
        <v>2097</v>
      </c>
      <c r="L118" s="1001"/>
      <c r="M118" s="1044">
        <v>2026</v>
      </c>
      <c r="N118" s="1001">
        <v>2027</v>
      </c>
      <c r="O118" s="1001">
        <v>2028</v>
      </c>
      <c r="P118" s="1002"/>
      <c r="S118" s="1001" t="s">
        <v>2097</v>
      </c>
      <c r="T118" s="1001"/>
      <c r="U118" s="1044">
        <v>2026</v>
      </c>
      <c r="V118" s="1001">
        <v>2027</v>
      </c>
      <c r="W118" s="1001">
        <v>2028</v>
      </c>
      <c r="X118" s="1002"/>
    </row>
    <row r="119" spans="2:25">
      <c r="B119" s="1003"/>
      <c r="C119" s="1004" t="s">
        <v>3132</v>
      </c>
      <c r="D119" s="1061">
        <f>cashflow汇总预算2026!K37/10000</f>
        <v>560.20619800000009</v>
      </c>
      <c r="E119" s="1061">
        <f ca="1">D132</f>
        <v>1830.9653086585977</v>
      </c>
      <c r="F119" s="1061">
        <f ca="1">E132</f>
        <v>1237.9788900157926</v>
      </c>
      <c r="G119" s="1182"/>
      <c r="H119" s="1062"/>
      <c r="K119" s="1003"/>
      <c r="L119" s="1004" t="s">
        <v>3132</v>
      </c>
      <c r="M119" s="1061">
        <f>D119</f>
        <v>560.20619800000009</v>
      </c>
      <c r="N119" s="1061">
        <f ca="1">M132</f>
        <v>2985.3988636384111</v>
      </c>
      <c r="O119" s="1061">
        <f ca="1">N132</f>
        <v>1213.7656970481107</v>
      </c>
      <c r="P119" s="1006"/>
      <c r="Q119" s="1062"/>
      <c r="S119" s="1003"/>
      <c r="T119" s="1004" t="s">
        <v>3132</v>
      </c>
      <c r="U119" s="1061">
        <v>560.20619800000009</v>
      </c>
      <c r="V119" s="1061">
        <v>3479.997822113141</v>
      </c>
      <c r="W119" s="1061">
        <v>1320.2860930761719</v>
      </c>
      <c r="X119" s="1006"/>
      <c r="Y119" s="1062"/>
    </row>
    <row r="120" spans="2:25">
      <c r="B120" s="1007"/>
      <c r="C120" s="958" t="s">
        <v>2098</v>
      </c>
      <c r="D120" s="6">
        <f>SUMIF(cashflow汇总预算2026!$B$36:$B$146,汇总!$C120,cashflow汇总预算2026!$K$36:$K$146)/$G$81</f>
        <v>1965</v>
      </c>
      <c r="E120" s="6">
        <v>0</v>
      </c>
      <c r="F120" s="6">
        <v>0</v>
      </c>
      <c r="G120" s="1183"/>
      <c r="K120" s="1007"/>
      <c r="L120" s="958" t="s">
        <v>2098</v>
      </c>
      <c r="M120" s="6">
        <f>SUMIF(cashflow汇总预算2026!$B$36:$B$146,汇总!$C120,cashflow汇总预算2026!$K$36:$K$146)/$G$81</f>
        <v>1965</v>
      </c>
      <c r="N120" s="6">
        <v>0</v>
      </c>
      <c r="O120" s="6">
        <v>0</v>
      </c>
      <c r="P120" s="1009"/>
      <c r="S120" s="1007"/>
      <c r="T120" s="958" t="s">
        <v>2098</v>
      </c>
      <c r="U120" s="6">
        <v>1965</v>
      </c>
      <c r="V120" s="6">
        <v>0</v>
      </c>
      <c r="W120" s="6">
        <v>0</v>
      </c>
      <c r="X120" s="1009"/>
    </row>
    <row r="121" spans="2:25">
      <c r="B121" s="1007"/>
      <c r="C121" s="958" t="s">
        <v>2099</v>
      </c>
      <c r="D121" s="6">
        <f>SUMIF(cashflow汇总预算2026!$B$36:$B$146,汇总!$C121,cashflow汇总预算2026!$K$36:$K$146)/$G$81</f>
        <v>1500</v>
      </c>
      <c r="E121" s="6">
        <v>0</v>
      </c>
      <c r="F121" s="6">
        <v>0</v>
      </c>
      <c r="G121" s="1183"/>
      <c r="K121" s="1007"/>
      <c r="L121" s="958" t="s">
        <v>2099</v>
      </c>
      <c r="M121" s="6">
        <f>SUMIF(cashflow汇总预算2026!$B$36:$B$146,汇总!$C121,cashflow汇总预算2026!$K$36:$K$146)/$G$81</f>
        <v>1500</v>
      </c>
      <c r="N121" s="6">
        <v>0</v>
      </c>
      <c r="O121" s="6">
        <v>0</v>
      </c>
      <c r="P121" s="1009"/>
      <c r="S121" s="1007"/>
      <c r="T121" s="958" t="s">
        <v>2099</v>
      </c>
      <c r="U121" s="6">
        <v>1500</v>
      </c>
      <c r="V121" s="6">
        <v>0</v>
      </c>
      <c r="W121" s="6">
        <v>0</v>
      </c>
      <c r="X121" s="1009"/>
    </row>
    <row r="122" spans="2:25">
      <c r="B122" s="1007"/>
      <c r="C122" s="958" t="s">
        <v>2100</v>
      </c>
      <c r="D122" s="6">
        <f>SUMIF(cashflow汇总预算2026!$B$36:$B$146,汇总!$C122,cashflow汇总预算2026!$K$36:$K$146)/$G$81</f>
        <v>4350</v>
      </c>
      <c r="E122" s="6">
        <v>0</v>
      </c>
      <c r="F122" s="6">
        <v>0</v>
      </c>
      <c r="G122" s="1183"/>
      <c r="K122" s="1007"/>
      <c r="L122" s="958" t="s">
        <v>2100</v>
      </c>
      <c r="M122" s="6">
        <f>SUMIF(cashflow汇总预算2026!$B$36:$B$146,汇总!$C122,cashflow汇总预算2026!$K$36:$K$146)/$G$81</f>
        <v>4350</v>
      </c>
      <c r="N122" s="6">
        <v>0</v>
      </c>
      <c r="O122" s="6">
        <v>0</v>
      </c>
      <c r="P122" s="1009"/>
      <c r="S122" s="1007"/>
      <c r="T122" s="958" t="s">
        <v>2100</v>
      </c>
      <c r="U122" s="6">
        <v>4350</v>
      </c>
      <c r="V122" s="6">
        <v>0</v>
      </c>
      <c r="W122" s="6">
        <v>0</v>
      </c>
      <c r="X122" s="1009"/>
    </row>
    <row r="123" spans="2:25">
      <c r="B123" s="1007"/>
      <c r="C123" s="958" t="s">
        <v>2101</v>
      </c>
      <c r="D123" s="6">
        <f>SUMIF(cashflow汇总预算2026!$B$36:$B$146,汇总!$C123,cashflow汇总预算2026!$K$36:$K$146)/$G$81</f>
        <v>-1990</v>
      </c>
      <c r="E123" s="6">
        <v>0</v>
      </c>
      <c r="F123" s="6">
        <v>0</v>
      </c>
      <c r="G123" s="1183"/>
      <c r="K123" s="1007"/>
      <c r="L123" s="958" t="s">
        <v>2101</v>
      </c>
      <c r="M123" s="6">
        <f>SUMIF(cashflow汇总预算2026!$B$36:$B$146,汇总!$C123,cashflow汇总预算2026!$K$36:$K$146)/$G$81</f>
        <v>-1990</v>
      </c>
      <c r="N123" s="6">
        <v>0</v>
      </c>
      <c r="O123" s="6">
        <v>0</v>
      </c>
      <c r="P123" s="1009"/>
      <c r="S123" s="1007"/>
      <c r="T123" s="958" t="s">
        <v>2101</v>
      </c>
      <c r="U123" s="6">
        <v>-1990</v>
      </c>
      <c r="V123" s="6">
        <v>0</v>
      </c>
      <c r="W123" s="6">
        <v>0</v>
      </c>
      <c r="X123" s="1009"/>
    </row>
    <row r="124" spans="2:25">
      <c r="B124" s="1007"/>
      <c r="C124" s="958" t="s">
        <v>2102</v>
      </c>
      <c r="D124" s="6">
        <f>SUMIF(cashflow汇总预算2026!$B$36:$B$146,汇总!$C124,cashflow汇总预算2026!$K$36:$K$146)/$G$81</f>
        <v>-2060.2471179999998</v>
      </c>
      <c r="E124" s="6">
        <v>0</v>
      </c>
      <c r="F124" s="6">
        <v>0</v>
      </c>
      <c r="G124" s="1183"/>
      <c r="K124" s="1007"/>
      <c r="L124" s="958" t="s">
        <v>2102</v>
      </c>
      <c r="M124" s="6">
        <f>SUMIF(cashflow汇总预算2026!$B$36:$B$146,汇总!$C124,cashflow汇总预算2026!$K$36:$K$146)/$G$81</f>
        <v>-2060.2471179999998</v>
      </c>
      <c r="N124" s="6">
        <v>0</v>
      </c>
      <c r="O124" s="6">
        <v>0</v>
      </c>
      <c r="P124" s="1009"/>
      <c r="S124" s="1007"/>
      <c r="T124" s="958" t="s">
        <v>2102</v>
      </c>
      <c r="U124" s="6">
        <v>-2060.2471179999998</v>
      </c>
      <c r="V124" s="6">
        <v>0</v>
      </c>
      <c r="W124" s="6">
        <v>0</v>
      </c>
      <c r="X124" s="1009"/>
    </row>
    <row r="125" spans="2:25">
      <c r="B125" s="1007"/>
      <c r="C125" s="1184" t="s">
        <v>2103</v>
      </c>
      <c r="D125" s="1185">
        <v>2000</v>
      </c>
      <c r="E125" s="1185">
        <v>0</v>
      </c>
      <c r="F125" s="1185">
        <v>0</v>
      </c>
      <c r="G125" s="1186"/>
      <c r="K125" s="1007"/>
      <c r="L125" s="1184" t="s">
        <v>2103</v>
      </c>
      <c r="M125" s="1185">
        <v>2500</v>
      </c>
      <c r="N125" s="1185">
        <v>0</v>
      </c>
      <c r="O125" s="1185">
        <v>0</v>
      </c>
      <c r="P125" s="1009"/>
      <c r="S125" s="1007"/>
      <c r="T125" s="1184" t="s">
        <v>2103</v>
      </c>
      <c r="U125" s="1185">
        <v>4000</v>
      </c>
      <c r="V125" s="1185">
        <v>0</v>
      </c>
      <c r="W125" s="1185">
        <v>0</v>
      </c>
      <c r="X125" s="1009"/>
    </row>
    <row r="126" spans="2:25">
      <c r="B126" s="1007"/>
      <c r="C126" s="958" t="s">
        <v>2104</v>
      </c>
      <c r="D126" s="6">
        <f>SUMIF(cashflow汇总预算2026!$B$36:$B$146,汇总!$C126,cashflow汇总预算2026!$K$36:$K$146)/$G$81</f>
        <v>-40</v>
      </c>
      <c r="E126" s="6">
        <v>0</v>
      </c>
      <c r="F126" s="6">
        <v>0</v>
      </c>
      <c r="G126" s="1183"/>
      <c r="K126" s="1007"/>
      <c r="L126" s="958" t="s">
        <v>2104</v>
      </c>
      <c r="M126" s="6">
        <f>SUMIF(cashflow汇总预算2026!$B$36:$B$146,汇总!$C126,cashflow汇总预算2026!$K$36:$K$146)/$G$81</f>
        <v>-40</v>
      </c>
      <c r="N126" s="6">
        <v>0</v>
      </c>
      <c r="O126" s="6">
        <v>0</v>
      </c>
      <c r="P126" s="1009"/>
      <c r="S126" s="1007"/>
      <c r="T126" s="958" t="s">
        <v>2104</v>
      </c>
      <c r="U126" s="6">
        <v>-40</v>
      </c>
      <c r="V126" s="6">
        <v>0</v>
      </c>
      <c r="W126" s="6">
        <v>0</v>
      </c>
      <c r="X126" s="1009"/>
    </row>
    <row r="127" spans="2:25" hidden="1" outlineLevel="1">
      <c r="B127" s="1007"/>
      <c r="C127" s="958" t="s">
        <v>2105</v>
      </c>
      <c r="D127" s="1156">
        <f>SUMIF(cashflow汇总预算2026!$B$36:$B$146,汇总!$C127,cashflow汇总预算2026!$K$36:$K$146)/$G$81</f>
        <v>-1199.5875799086757</v>
      </c>
      <c r="E127" s="1157">
        <f>-SUM(情形1!T26:AE26)</f>
        <v>-688.05344126193427</v>
      </c>
      <c r="F127" s="1157">
        <f>-SUM(情形1!AF26:AQ26)</f>
        <v>-241.45015566625148</v>
      </c>
      <c r="G127" s="1187"/>
      <c r="K127" s="1007"/>
      <c r="L127" s="958" t="s">
        <v>2105</v>
      </c>
      <c r="M127" s="1156">
        <f>-SUM(情形2!G26:S26)</f>
        <v>-780</v>
      </c>
      <c r="N127" s="1157">
        <f>-SUM(情形2!T26:AE26)</f>
        <v>-654.40471980074722</v>
      </c>
      <c r="O127" s="1157">
        <f>-SUM(情形2!AF26:AQ26)</f>
        <v>-689.59554794520523</v>
      </c>
      <c r="P127" s="1009"/>
      <c r="S127" s="1007"/>
      <c r="T127" s="958" t="s">
        <v>2105</v>
      </c>
      <c r="U127" s="1156">
        <v>-780</v>
      </c>
      <c r="V127" s="1157">
        <v>-314.32875466998735</v>
      </c>
      <c r="W127" s="1157">
        <v>-687.20918430884171</v>
      </c>
      <c r="X127" s="1009"/>
    </row>
    <row r="128" spans="2:25" hidden="1" outlineLevel="1">
      <c r="B128" s="1007"/>
      <c r="C128" s="958" t="s">
        <v>2106</v>
      </c>
      <c r="D128" s="1158">
        <f>SUMIF(cashflow汇总预算2026!$B$36:$B$146,汇总!$C128,cashflow汇总预算2026!$K$36:$K$146)/$G$81</f>
        <v>-359.87627397260263</v>
      </c>
      <c r="E128" s="1159">
        <f>-SUM(情形1!T30:AE30)</f>
        <v>-206.41603237858033</v>
      </c>
      <c r="F128" s="1159">
        <f>-SUM(情形1!AF30:AQ30)</f>
        <v>-72.435046699875443</v>
      </c>
      <c r="G128" s="1188"/>
      <c r="K128" s="1007"/>
      <c r="L128" s="958" t="s">
        <v>2106</v>
      </c>
      <c r="M128" s="1158">
        <f>-SUM(情形2!G30:S30)</f>
        <v>-224.73701494396016</v>
      </c>
      <c r="N128" s="1159">
        <f>-SUM(情形2!T30:AE30)</f>
        <v>-205.58440099626398</v>
      </c>
      <c r="O128" s="1159">
        <f>-SUM(情形2!AF30:AQ30)</f>
        <v>-206.87866438356161</v>
      </c>
      <c r="P128" s="1009"/>
      <c r="S128" s="1007"/>
      <c r="T128" s="958" t="s">
        <v>2106</v>
      </c>
      <c r="U128" s="1158">
        <v>-202.04081632653063</v>
      </c>
      <c r="V128" s="1159">
        <v>-126.25781007446554</v>
      </c>
      <c r="W128" s="1159">
        <v>-206.16275529265255</v>
      </c>
      <c r="X128" s="1009"/>
    </row>
    <row r="129" spans="2:25" hidden="1" outlineLevel="1">
      <c r="B129" s="1007"/>
      <c r="C129" s="958" t="s">
        <v>2107</v>
      </c>
      <c r="D129" s="1160">
        <f>SUMIF(cashflow汇总预算2026!$B$36:$B$146,汇总!$C129,cashflow汇总预算2026!$K$36:$K$146)/$G$81</f>
        <v>-666.43754439370878</v>
      </c>
      <c r="E129" s="1161">
        <f>-SUM(情形1!T28:AE28)</f>
        <v>-382.25191181218577</v>
      </c>
      <c r="F129" s="1161">
        <f>-SUM(情形1!AF28:AQ28)</f>
        <v>-134.13897537013986</v>
      </c>
      <c r="G129" s="1189"/>
      <c r="K129" s="1007"/>
      <c r="L129" s="958" t="s">
        <v>2107</v>
      </c>
      <c r="M129" s="1160">
        <f>-SUM(情形2!G28:S28)</f>
        <v>-416.17965730362994</v>
      </c>
      <c r="N129" s="1161">
        <f>-SUM(情形2!T28:AE28)</f>
        <v>-380.71185369678517</v>
      </c>
      <c r="O129" s="1161">
        <f>-SUM(情形2!AF28:AQ28)</f>
        <v>-383.1086377473365</v>
      </c>
      <c r="P129" s="1009"/>
      <c r="S129" s="1007"/>
      <c r="T129" s="958" t="s">
        <v>2107</v>
      </c>
      <c r="U129" s="1160">
        <v>-365.05102040816325</v>
      </c>
      <c r="V129" s="1161">
        <v>-242.90939885294085</v>
      </c>
      <c r="W129" s="1161">
        <v>-381.78288017157877</v>
      </c>
      <c r="X129" s="1009"/>
    </row>
    <row r="130" spans="2:25" collapsed="1">
      <c r="B130" s="1007"/>
      <c r="C130" s="958" t="s">
        <v>3139</v>
      </c>
      <c r="D130" s="6">
        <f t="shared" ref="D130:E130" si="49">SUM(D127:D129)</f>
        <v>-2225.9013982749871</v>
      </c>
      <c r="E130" s="6">
        <f t="shared" si="49"/>
        <v>-1276.7213854527004</v>
      </c>
      <c r="F130" s="6">
        <f t="shared" ref="F130" si="50">SUM(F127:F129)</f>
        <v>-448.02417773626678</v>
      </c>
      <c r="G130" s="1183"/>
      <c r="K130" s="1007"/>
      <c r="L130" s="958" t="str">
        <f>C130</f>
        <v>JV基金注资</v>
      </c>
      <c r="M130" s="6">
        <f t="shared" ref="M130:N130" si="51">SUM(M127:M129)</f>
        <v>-1420.9166722475902</v>
      </c>
      <c r="N130" s="6">
        <f t="shared" si="51"/>
        <v>-1240.7009744937964</v>
      </c>
      <c r="O130" s="6">
        <f t="shared" ref="O130" si="52">SUM(O127:O129)</f>
        <v>-1279.5828500761033</v>
      </c>
      <c r="P130" s="1009"/>
      <c r="S130" s="1007"/>
      <c r="T130" s="958" t="s">
        <v>3139</v>
      </c>
      <c r="U130" s="6">
        <v>-1347.091836734694</v>
      </c>
      <c r="V130" s="6">
        <v>-683.49596359739371</v>
      </c>
      <c r="W130" s="6">
        <v>-1275.1548197730731</v>
      </c>
      <c r="X130" s="1009"/>
    </row>
    <row r="131" spans="2:25">
      <c r="B131" s="1007"/>
      <c r="C131" s="958" t="s">
        <v>2108</v>
      </c>
      <c r="D131" s="6">
        <f ca="1">SUMIF(cashflow汇总预算2026!$B$36:$B$146,汇总!$C131,cashflow汇总预算2026!$K$36:$K$146)/$G$81</f>
        <v>-2228.0923730664163</v>
      </c>
      <c r="E131" s="6">
        <f ca="1">E99</f>
        <v>683.73496680989524</v>
      </c>
      <c r="F131" s="6">
        <f ca="1">F99</f>
        <v>2247.9714720310371</v>
      </c>
      <c r="G131" s="6"/>
      <c r="K131" s="1007"/>
      <c r="L131" s="958" t="s">
        <v>2108</v>
      </c>
      <c r="M131" s="6">
        <f ca="1">M99</f>
        <v>-2378.6435441139993</v>
      </c>
      <c r="N131" s="6">
        <f ca="1">N99</f>
        <v>-530.93219209650408</v>
      </c>
      <c r="O131" s="6">
        <f ca="1">O99</f>
        <v>1073.1863557229933</v>
      </c>
      <c r="P131" s="1009"/>
      <c r="S131" s="1007"/>
      <c r="T131" s="958" t="s">
        <v>2108</v>
      </c>
      <c r="U131" s="6">
        <v>-2457.8694211521656</v>
      </c>
      <c r="V131" s="6">
        <v>-1476.2157654395758</v>
      </c>
      <c r="W131" s="6">
        <v>127.59660742280526</v>
      </c>
      <c r="X131" s="1009"/>
    </row>
    <row r="132" spans="2:25" ht="13.5" thickBot="1">
      <c r="B132" s="1007"/>
      <c r="C132" s="3" t="s">
        <v>3133</v>
      </c>
      <c r="D132" s="1063">
        <f ca="1">SUM(D119:D131)-D130</f>
        <v>1830.9653086585977</v>
      </c>
      <c r="E132" s="1063">
        <f ca="1">SUM(E119:E131)-E130</f>
        <v>1237.9788900157926</v>
      </c>
      <c r="F132" s="1063">
        <f ca="1">SUM(F119:F131)-F130</f>
        <v>3037.9261843105628</v>
      </c>
      <c r="G132" s="6"/>
      <c r="K132" s="1007"/>
      <c r="L132" s="3" t="s">
        <v>3133</v>
      </c>
      <c r="M132" s="1063">
        <f t="shared" ref="M132:N132" ca="1" si="53">SUM(M119:M131)-M130</f>
        <v>2985.3988636384111</v>
      </c>
      <c r="N132" s="1063">
        <f t="shared" ca="1" si="53"/>
        <v>1213.7656970481107</v>
      </c>
      <c r="O132" s="1063">
        <f t="shared" ref="O132" ca="1" si="54">SUM(O119:O131)-O130</f>
        <v>1007.3692026950007</v>
      </c>
      <c r="P132" s="1009"/>
      <c r="S132" s="1007"/>
      <c r="T132" s="3" t="s">
        <v>3133</v>
      </c>
      <c r="U132" s="1063">
        <f>SUM(U119:U131)-U130</f>
        <v>4479.9978221131405</v>
      </c>
      <c r="V132" s="1063">
        <f t="shared" ref="V132:W132" si="55">SUM(V119:V131)-V130</f>
        <v>1320.2860930761719</v>
      </c>
      <c r="W132" s="1063">
        <f t="shared" si="55"/>
        <v>172.72788072590401</v>
      </c>
      <c r="X132" s="1009"/>
    </row>
    <row r="133" spans="2:25" ht="13.5" thickTop="1">
      <c r="B133" s="1007"/>
      <c r="D133" s="6"/>
      <c r="E133" s="6"/>
      <c r="F133" s="6"/>
      <c r="G133" s="6"/>
      <c r="K133" s="1007"/>
      <c r="M133" s="6"/>
      <c r="N133" s="6"/>
      <c r="O133" s="6"/>
      <c r="P133" s="1009"/>
      <c r="S133" s="1007"/>
      <c r="U133" s="6"/>
      <c r="V133" s="6"/>
      <c r="W133" s="6"/>
      <c r="X133" s="1009"/>
    </row>
    <row r="134" spans="2:25">
      <c r="B134" s="1007"/>
      <c r="C134" s="3" t="s">
        <v>3164</v>
      </c>
      <c r="D134" s="6">
        <f t="shared" ref="D134:F134" ca="1" si="56">SUM(D113:D114)</f>
        <v>557.13186400055997</v>
      </c>
      <c r="E134" s="6">
        <f t="shared" si="56"/>
        <v>389.52512981978333</v>
      </c>
      <c r="F134" s="6">
        <f t="shared" si="56"/>
        <v>892.27454827416113</v>
      </c>
      <c r="G134" s="6"/>
      <c r="K134" s="1007"/>
      <c r="L134" s="3" t="s">
        <v>3164</v>
      </c>
      <c r="M134" s="6">
        <f t="shared" ref="M134:O134" si="57">SUM(M113:M114)</f>
        <v>27.763810239902242</v>
      </c>
      <c r="N134" s="6">
        <f t="shared" si="57"/>
        <v>258.40127822552239</v>
      </c>
      <c r="O134" s="6">
        <f t="shared" si="57"/>
        <v>689.88198735872174</v>
      </c>
      <c r="P134" s="1009"/>
      <c r="S134" s="1007"/>
      <c r="T134" s="3" t="s">
        <v>3164</v>
      </c>
      <c r="U134" s="6">
        <f t="shared" ref="U134:W134" si="58">SUM(U113:U114)</f>
        <v>23.798726473838173</v>
      </c>
      <c r="V134" s="6">
        <f t="shared" si="58"/>
        <v>198.27298573744756</v>
      </c>
      <c r="W134" s="6">
        <f t="shared" si="58"/>
        <v>500.13070090932723</v>
      </c>
      <c r="X134" s="1009"/>
    </row>
    <row r="135" spans="2:25" ht="13.5" thickBot="1">
      <c r="B135" s="1007"/>
      <c r="C135" s="3" t="s">
        <v>3133</v>
      </c>
      <c r="D135" s="1063">
        <f t="shared" ref="D135:F135" ca="1" si="59">SUM(D132:D134)</f>
        <v>2388.0971726591579</v>
      </c>
      <c r="E135" s="1063">
        <f t="shared" ca="1" si="59"/>
        <v>1627.5040198355759</v>
      </c>
      <c r="F135" s="1063">
        <f t="shared" ca="1" si="59"/>
        <v>3930.2007325847239</v>
      </c>
      <c r="G135" s="6"/>
      <c r="K135" s="1007"/>
      <c r="L135" s="3" t="s">
        <v>3133</v>
      </c>
      <c r="M135" s="1063">
        <f t="shared" ref="M135" ca="1" si="60">SUM(M132:M134)</f>
        <v>3013.1626738783134</v>
      </c>
      <c r="N135" s="1063">
        <f t="shared" ref="N135" ca="1" si="61">SUM(N132:N134)</f>
        <v>1472.1669752736332</v>
      </c>
      <c r="O135" s="1063">
        <f t="shared" ref="O135" ca="1" si="62">SUM(O132:O134)</f>
        <v>1697.2511900537224</v>
      </c>
      <c r="P135" s="1009"/>
      <c r="S135" s="1007"/>
      <c r="T135" s="3" t="s">
        <v>3133</v>
      </c>
      <c r="U135" s="1063">
        <f t="shared" ref="U135:W135" si="63">SUM(U132:U134)</f>
        <v>4503.796548586979</v>
      </c>
      <c r="V135" s="1063">
        <f t="shared" si="63"/>
        <v>1518.5590788136194</v>
      </c>
      <c r="W135" s="1063">
        <f t="shared" si="63"/>
        <v>672.8585816352313</v>
      </c>
      <c r="X135" s="1009"/>
    </row>
    <row r="136" spans="2:25" ht="13.5" thickTop="1">
      <c r="B136" s="1007"/>
      <c r="D136" s="6"/>
      <c r="E136" s="6"/>
      <c r="F136" s="6"/>
      <c r="G136" s="6"/>
      <c r="K136" s="1007"/>
      <c r="M136" s="6"/>
      <c r="N136" s="6"/>
      <c r="O136" s="6"/>
      <c r="P136" s="1009"/>
      <c r="S136" s="1007"/>
      <c r="U136" s="6"/>
      <c r="V136" s="6"/>
      <c r="W136" s="6"/>
      <c r="X136" s="1009"/>
    </row>
    <row r="137" spans="2:25">
      <c r="B137" s="1007"/>
      <c r="C137" s="3" t="s">
        <v>3142</v>
      </c>
      <c r="D137" s="6">
        <v>-1000</v>
      </c>
      <c r="E137" s="6">
        <v>0</v>
      </c>
      <c r="F137" s="6">
        <v>0</v>
      </c>
      <c r="G137" s="1192" t="s">
        <v>3168</v>
      </c>
      <c r="K137" s="1007"/>
      <c r="L137" s="3" t="str">
        <f t="shared" ref="L137:O139" si="64">C137</f>
        <v>两个合资平台</v>
      </c>
      <c r="M137" s="6">
        <f t="shared" si="64"/>
        <v>-1000</v>
      </c>
      <c r="N137" s="6">
        <f t="shared" si="64"/>
        <v>0</v>
      </c>
      <c r="O137" s="6">
        <f t="shared" si="64"/>
        <v>0</v>
      </c>
      <c r="P137" s="1009"/>
      <c r="S137" s="1007"/>
      <c r="T137" s="3" t="s">
        <v>3142</v>
      </c>
      <c r="U137" s="6">
        <v>-1000</v>
      </c>
      <c r="V137" s="6">
        <v>0</v>
      </c>
      <c r="W137" s="6">
        <v>0</v>
      </c>
      <c r="X137" s="1009"/>
    </row>
    <row r="138" spans="2:25">
      <c r="B138" s="1007"/>
      <c r="C138" s="3" t="s">
        <v>3146</v>
      </c>
      <c r="D138" s="6">
        <v>0</v>
      </c>
      <c r="E138" s="6">
        <v>-250</v>
      </c>
      <c r="F138" s="6">
        <v>-250</v>
      </c>
      <c r="G138" s="1009"/>
      <c r="K138" s="1007"/>
      <c r="L138" s="3" t="str">
        <f t="shared" si="64"/>
        <v>额外人力成本</v>
      </c>
      <c r="M138" s="6">
        <f t="shared" si="64"/>
        <v>0</v>
      </c>
      <c r="N138" s="6">
        <f t="shared" si="64"/>
        <v>-250</v>
      </c>
      <c r="O138" s="6">
        <f t="shared" si="64"/>
        <v>-250</v>
      </c>
      <c r="P138" s="1009"/>
      <c r="S138" s="1007"/>
      <c r="T138" s="3" t="s">
        <v>3146</v>
      </c>
      <c r="U138" s="6">
        <v>0</v>
      </c>
      <c r="V138" s="6">
        <v>-250</v>
      </c>
      <c r="W138" s="6">
        <v>-250</v>
      </c>
      <c r="X138" s="1009"/>
    </row>
    <row r="139" spans="2:25">
      <c r="B139" s="1007"/>
      <c r="C139" s="3" t="s">
        <v>3143</v>
      </c>
      <c r="D139" s="6">
        <v>0</v>
      </c>
      <c r="E139" s="6">
        <v>-300</v>
      </c>
      <c r="F139" s="6">
        <v>-300</v>
      </c>
      <c r="G139" s="1009"/>
      <c r="K139" s="1007"/>
      <c r="L139" s="3" t="str">
        <f t="shared" si="64"/>
        <v>HX成本</v>
      </c>
      <c r="M139" s="6">
        <f t="shared" si="64"/>
        <v>0</v>
      </c>
      <c r="N139" s="6">
        <f t="shared" si="64"/>
        <v>-300</v>
      </c>
      <c r="O139" s="6">
        <f t="shared" si="64"/>
        <v>-300</v>
      </c>
      <c r="P139" s="1009"/>
      <c r="S139" s="1007"/>
      <c r="T139" s="3" t="s">
        <v>3143</v>
      </c>
      <c r="U139" s="6">
        <v>0</v>
      </c>
      <c r="V139" s="6">
        <v>-300</v>
      </c>
      <c r="W139" s="6">
        <v>-300</v>
      </c>
      <c r="X139" s="1009"/>
    </row>
    <row r="140" spans="2:25" ht="13.5" thickBot="1">
      <c r="B140" s="1007"/>
      <c r="C140" s="3" t="s">
        <v>2142</v>
      </c>
      <c r="D140" s="1063">
        <f ca="1">SUM(D135:D139)</f>
        <v>1388.0971726591579</v>
      </c>
      <c r="E140" s="1063">
        <f t="shared" ref="E140:F140" ca="1" si="65">SUM(E135:E139)</f>
        <v>1077.5040198355759</v>
      </c>
      <c r="F140" s="1063">
        <f t="shared" ca="1" si="65"/>
        <v>3380.2007325847239</v>
      </c>
      <c r="G140" s="1009"/>
      <c r="K140" s="1007"/>
      <c r="L140" s="3" t="s">
        <v>2142</v>
      </c>
      <c r="M140" s="1063">
        <f ca="1">SUM(M135:M139)</f>
        <v>2013.1626738783134</v>
      </c>
      <c r="N140" s="1063">
        <f t="shared" ref="N140" ca="1" si="66">SUM(N135:N139)</f>
        <v>922.16697527363317</v>
      </c>
      <c r="O140" s="1063">
        <f t="shared" ref="O140" ca="1" si="67">SUM(O135:O139)</f>
        <v>1147.2511900537224</v>
      </c>
      <c r="P140" s="1009"/>
      <c r="S140" s="1007"/>
      <c r="T140" s="3" t="s">
        <v>2142</v>
      </c>
      <c r="U140" s="1063">
        <f t="shared" ref="U140:W140" si="68">SUM(U135:U139)</f>
        <v>3503.796548586979</v>
      </c>
      <c r="V140" s="1063">
        <f t="shared" si="68"/>
        <v>968.55907881361941</v>
      </c>
      <c r="W140" s="1063">
        <f t="shared" si="68"/>
        <v>122.8585816352313</v>
      </c>
      <c r="X140" s="1009"/>
    </row>
    <row r="141" spans="2:25" ht="13.5" thickTop="1">
      <c r="B141" s="1007"/>
      <c r="C141" s="3" t="s">
        <v>3150</v>
      </c>
      <c r="D141" s="6">
        <f ca="1">-D101-D113</f>
        <v>-187.281342763379</v>
      </c>
      <c r="E141" s="6">
        <f t="shared" ref="E141:F141" si="69">-E101-E113</f>
        <v>-677.45561064248</v>
      </c>
      <c r="F141" s="6">
        <f t="shared" si="69"/>
        <v>-908.27439554500802</v>
      </c>
      <c r="G141" s="1009"/>
      <c r="K141" s="1007"/>
      <c r="L141" s="3" t="s">
        <v>3150</v>
      </c>
      <c r="M141" s="6">
        <f>-M83</f>
        <v>-64.782223893105254</v>
      </c>
      <c r="N141" s="6">
        <f>-N83</f>
        <v>-343.45927614213997</v>
      </c>
      <c r="O141" s="6">
        <f>-O83</f>
        <v>-546.95980873610745</v>
      </c>
      <c r="P141" s="1009"/>
      <c r="S141" s="1007"/>
      <c r="T141" s="3" t="s">
        <v>3150</v>
      </c>
      <c r="U141" s="6">
        <v>-55.530361772284749</v>
      </c>
      <c r="V141" s="6">
        <v>-231.20334907618442</v>
      </c>
      <c r="W141" s="6">
        <v>-434.39548626612469</v>
      </c>
      <c r="X141" s="1009"/>
    </row>
    <row r="142" spans="2:25" ht="13.5" thickBot="1">
      <c r="B142" s="1007"/>
      <c r="C142" s="3" t="s">
        <v>2142</v>
      </c>
      <c r="D142" s="1063">
        <f t="shared" ref="D142:F142" ca="1" si="70">SUM(D140:D141)</f>
        <v>1200.815829895779</v>
      </c>
      <c r="E142" s="1063">
        <f t="shared" ca="1" si="70"/>
        <v>400.04840919309595</v>
      </c>
      <c r="F142" s="1063">
        <f t="shared" ca="1" si="70"/>
        <v>2471.9263370397157</v>
      </c>
      <c r="G142" s="1009"/>
      <c r="K142" s="1007"/>
      <c r="L142" s="3" t="s">
        <v>2142</v>
      </c>
      <c r="M142" s="1063">
        <f t="shared" ref="M142:O142" ca="1" si="71">SUM(M140:M141)</f>
        <v>1948.3804499852081</v>
      </c>
      <c r="N142" s="1063">
        <f t="shared" ca="1" si="71"/>
        <v>578.7076991314932</v>
      </c>
      <c r="O142" s="1063">
        <f t="shared" ca="1" si="71"/>
        <v>600.29138131761499</v>
      </c>
      <c r="P142" s="1009"/>
      <c r="S142" s="1007"/>
      <c r="T142" s="3" t="s">
        <v>2142</v>
      </c>
      <c r="U142" s="1063">
        <f t="shared" ref="U142:W142" si="72">SUM(U140:U141)</f>
        <v>3448.2661868146943</v>
      </c>
      <c r="V142" s="1063">
        <f t="shared" si="72"/>
        <v>737.35572973743501</v>
      </c>
      <c r="W142" s="1063">
        <f t="shared" si="72"/>
        <v>-311.53690463089339</v>
      </c>
      <c r="X142" s="1009"/>
    </row>
    <row r="143" spans="2:25" ht="13.5" thickTop="1">
      <c r="B143" s="1007"/>
      <c r="D143" s="6"/>
      <c r="E143" s="6"/>
      <c r="F143" s="6"/>
      <c r="G143" s="1183"/>
      <c r="K143" s="1007"/>
      <c r="M143" s="6"/>
      <c r="N143" s="6"/>
      <c r="O143" s="6"/>
      <c r="P143" s="1009"/>
      <c r="S143" s="1007"/>
      <c r="U143" s="6"/>
      <c r="V143" s="6"/>
      <c r="W143" s="6"/>
      <c r="X143" s="1009"/>
    </row>
    <row r="144" spans="2:25" ht="13.5" thickBot="1">
      <c r="B144" s="1041"/>
      <c r="C144" s="1042"/>
      <c r="D144" s="1042"/>
      <c r="E144" s="1042"/>
      <c r="F144" s="1042"/>
      <c r="G144" s="1043"/>
      <c r="H144" s="1064"/>
      <c r="K144" s="1041"/>
      <c r="L144" s="1042"/>
      <c r="M144" s="1042"/>
      <c r="N144" s="1042"/>
      <c r="O144" s="1042"/>
      <c r="P144" s="1043"/>
      <c r="Q144" s="1064"/>
      <c r="S144" s="1041"/>
      <c r="T144" s="1042"/>
      <c r="U144" s="1042"/>
      <c r="V144" s="1042"/>
      <c r="W144" s="1042"/>
      <c r="X144" s="1043"/>
      <c r="Y144" s="1064"/>
    </row>
    <row r="145" spans="3:23">
      <c r="D145" s="6"/>
      <c r="M145" s="6"/>
      <c r="U145" s="6"/>
    </row>
    <row r="146" spans="3:23">
      <c r="U146" s="6"/>
      <c r="V146" s="6"/>
      <c r="W146" s="6"/>
    </row>
    <row r="147" spans="3:23">
      <c r="C147" s="3" t="s">
        <v>3148</v>
      </c>
      <c r="T147" s="3" t="s">
        <v>3148</v>
      </c>
    </row>
    <row r="148" spans="3:23">
      <c r="C148" s="3" t="s">
        <v>3147</v>
      </c>
      <c r="D148" s="3">
        <v>54</v>
      </c>
      <c r="T148" s="3" t="s">
        <v>3147</v>
      </c>
      <c r="U148" s="3">
        <v>54</v>
      </c>
    </row>
    <row r="149" spans="3:23">
      <c r="C149" s="3" t="s">
        <v>2672</v>
      </c>
      <c r="D149" s="3">
        <v>120</v>
      </c>
      <c r="T149" s="3" t="s">
        <v>2672</v>
      </c>
      <c r="U149" s="3">
        <v>120</v>
      </c>
    </row>
    <row r="150" spans="3:23">
      <c r="C150" s="3" t="s">
        <v>3149</v>
      </c>
      <c r="D150" s="3">
        <v>75</v>
      </c>
      <c r="T150" s="3" t="s">
        <v>3149</v>
      </c>
      <c r="U150" s="3">
        <v>75</v>
      </c>
    </row>
    <row r="152" spans="3:23">
      <c r="C152" s="3" t="s">
        <v>3151</v>
      </c>
      <c r="D152" s="6">
        <v>5818</v>
      </c>
      <c r="L152" s="3" t="s">
        <v>3151</v>
      </c>
      <c r="M152" s="6">
        <v>5818</v>
      </c>
      <c r="T152" s="3" t="s">
        <v>3151</v>
      </c>
      <c r="U152" s="6">
        <v>5818</v>
      </c>
    </row>
    <row r="153" spans="3:23">
      <c r="C153" s="3" t="s">
        <v>3152</v>
      </c>
      <c r="D153" s="6">
        <f>D125</f>
        <v>2000</v>
      </c>
      <c r="L153" s="3" t="s">
        <v>3152</v>
      </c>
      <c r="M153" s="6">
        <f>M125</f>
        <v>2500</v>
      </c>
      <c r="T153" s="3" t="s">
        <v>3152</v>
      </c>
      <c r="U153" s="6">
        <v>3500</v>
      </c>
    </row>
    <row r="154" spans="3:23" ht="13.5" thickBot="1">
      <c r="C154" s="3" t="s">
        <v>3153</v>
      </c>
      <c r="D154" s="1063">
        <f>SUM(D152:D153)</f>
        <v>7818</v>
      </c>
      <c r="L154" s="3" t="s">
        <v>3153</v>
      </c>
      <c r="M154" s="1063">
        <f>SUM(M152:M153)</f>
        <v>8318</v>
      </c>
      <c r="T154" s="3" t="s">
        <v>3153</v>
      </c>
      <c r="U154" s="1063">
        <v>9318</v>
      </c>
    </row>
    <row r="155" spans="3:23" ht="13.5" thickTop="1">
      <c r="D155" s="6"/>
    </row>
    <row r="156" spans="3:23">
      <c r="C156" s="3" t="s">
        <v>3165</v>
      </c>
      <c r="D156" s="6"/>
      <c r="T156" s="3" t="s">
        <v>3165</v>
      </c>
    </row>
    <row r="160" spans="3:23">
      <c r="C160" s="1173"/>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B4041-4596-4E75-A654-44294D105F6E}">
  <sheetPr>
    <tabColor rgb="FFFFFF00"/>
  </sheetPr>
  <dimension ref="A1:W149"/>
  <sheetViews>
    <sheetView zoomScale="81" workbookViewId="0">
      <pane xSplit="4" ySplit="37" topLeftCell="E124" activePane="bottomRight" state="frozen"/>
      <selection pane="topRight" activeCell="E1" sqref="E1"/>
      <selection pane="bottomLeft" activeCell="A38" sqref="A38"/>
      <selection pane="bottomRight" activeCell="F128" sqref="F128"/>
    </sheetView>
  </sheetViews>
  <sheetFormatPr defaultColWidth="9" defaultRowHeight="15.75" outlineLevelRow="1"/>
  <cols>
    <col min="2" max="2" width="22" style="958" customWidth="1"/>
    <col min="3" max="3" width="3.625" style="958" customWidth="1"/>
    <col min="4" max="4" width="13.875" style="959" customWidth="1"/>
    <col min="5" max="5" width="12.625" style="960" customWidth="1"/>
    <col min="6" max="6" width="10.125" style="960" customWidth="1"/>
    <col min="7" max="8" width="10.375" style="960" customWidth="1"/>
    <col min="9" max="9" width="11.625" style="960" customWidth="1"/>
    <col min="10" max="10" width="11" style="960" customWidth="1"/>
    <col min="11" max="11" width="11.125" style="961" customWidth="1"/>
    <col min="12" max="12" width="3.25" style="962" customWidth="1"/>
    <col min="13" max="15" width="11.125" style="961" customWidth="1"/>
    <col min="16" max="16" width="3.125" style="958" customWidth="1"/>
    <col min="17" max="16384" width="9" style="958"/>
  </cols>
  <sheetData>
    <row r="1" spans="2:23" s="955" customFormat="1" ht="25.5">
      <c r="D1" s="963"/>
      <c r="E1" s="964" t="s">
        <v>2109</v>
      </c>
      <c r="F1" s="964" t="s">
        <v>2110</v>
      </c>
      <c r="G1" s="964" t="s">
        <v>2111</v>
      </c>
      <c r="H1" s="964" t="s">
        <v>2112</v>
      </c>
      <c r="I1" s="964" t="s">
        <v>2113</v>
      </c>
      <c r="J1" s="964" t="s">
        <v>2114</v>
      </c>
      <c r="K1" s="965" t="s">
        <v>2115</v>
      </c>
      <c r="L1" s="966"/>
      <c r="M1" s="967" t="s">
        <v>2116</v>
      </c>
      <c r="N1" s="967" t="s">
        <v>2117</v>
      </c>
      <c r="O1" s="967" t="s">
        <v>2118</v>
      </c>
      <c r="Q1" s="964" t="s">
        <v>2109</v>
      </c>
      <c r="R1" s="964" t="s">
        <v>2110</v>
      </c>
      <c r="S1" s="964" t="s">
        <v>2111</v>
      </c>
      <c r="T1" s="964" t="s">
        <v>2112</v>
      </c>
      <c r="U1" s="964" t="s">
        <v>2113</v>
      </c>
      <c r="V1" s="964" t="s">
        <v>2114</v>
      </c>
      <c r="W1" s="965" t="s">
        <v>2115</v>
      </c>
    </row>
    <row r="2" spans="2:23" s="955" customFormat="1" ht="12.75">
      <c r="D2" s="963"/>
      <c r="E2" s="964" t="s">
        <v>2046</v>
      </c>
      <c r="F2" s="964" t="s">
        <v>2046</v>
      </c>
      <c r="G2" s="964" t="s">
        <v>2046</v>
      </c>
      <c r="H2" s="964" t="s">
        <v>2046</v>
      </c>
      <c r="I2" s="964" t="s">
        <v>2046</v>
      </c>
      <c r="J2" s="964" t="s">
        <v>2046</v>
      </c>
      <c r="K2" s="964" t="s">
        <v>2046</v>
      </c>
      <c r="L2" s="968"/>
      <c r="M2" s="964"/>
      <c r="N2" s="964"/>
      <c r="O2" s="964"/>
    </row>
    <row r="3" spans="2:23" hidden="1" outlineLevel="1">
      <c r="B3" s="958" t="s">
        <v>2119</v>
      </c>
      <c r="D3" s="959">
        <v>45866</v>
      </c>
      <c r="E3" s="960">
        <f>2765593+809735*0.91+46072*4.71</f>
        <v>3719450.97</v>
      </c>
      <c r="F3" s="960">
        <f>50223*0.91</f>
        <v>45702.93</v>
      </c>
      <c r="G3" s="960">
        <v>1757806</v>
      </c>
      <c r="H3" s="960">
        <v>5744218.2800000003</v>
      </c>
      <c r="I3" s="960">
        <v>22134.7</v>
      </c>
      <c r="K3" s="961">
        <f>SUM(E3:I3)</f>
        <v>11289312.879999999</v>
      </c>
    </row>
    <row r="4" spans="2:23" hidden="1" outlineLevel="1">
      <c r="B4" s="958" t="s">
        <v>2120</v>
      </c>
      <c r="E4" s="960">
        <f>-F4</f>
        <v>-697963.13729999994</v>
      </c>
      <c r="F4" s="960">
        <f>-F5</f>
        <v>697963.13729999994</v>
      </c>
      <c r="K4" s="961">
        <f>SUM(E4:I4)</f>
        <v>0</v>
      </c>
    </row>
    <row r="5" spans="2:23" hidden="1" outlineLevel="1">
      <c r="B5" s="958" t="s">
        <v>2121</v>
      </c>
      <c r="E5" s="960">
        <v>-650484</v>
      </c>
      <c r="F5" s="960">
        <v>-697963.13729999994</v>
      </c>
      <c r="G5" s="960">
        <v>-652247</v>
      </c>
      <c r="H5" s="960">
        <v>-384285.96</v>
      </c>
      <c r="I5" s="960">
        <v>-2321.86</v>
      </c>
      <c r="K5" s="961">
        <f>SUM(E5:I5)</f>
        <v>-2387301.9572999999</v>
      </c>
      <c r="M5" s="961" t="s">
        <v>2122</v>
      </c>
    </row>
    <row r="6" spans="2:23" hidden="1" outlineLevel="1">
      <c r="B6" s="958" t="s">
        <v>2123</v>
      </c>
      <c r="D6" s="959">
        <v>45869</v>
      </c>
      <c r="E6" s="969">
        <f t="shared" ref="E6:K6" si="0">SUM(E3:E5)</f>
        <v>2371003.8327000001</v>
      </c>
      <c r="F6" s="969">
        <f t="shared" si="0"/>
        <v>45702.930000000051</v>
      </c>
      <c r="G6" s="969">
        <f t="shared" si="0"/>
        <v>1105559</v>
      </c>
      <c r="H6" s="969">
        <f t="shared" si="0"/>
        <v>5359932.32</v>
      </c>
      <c r="I6" s="969">
        <f t="shared" si="0"/>
        <v>19812.84</v>
      </c>
      <c r="J6" s="969"/>
      <c r="K6" s="970">
        <f t="shared" si="0"/>
        <v>8902010.9226999991</v>
      </c>
      <c r="L6" s="971"/>
      <c r="M6" s="970"/>
      <c r="N6" s="970"/>
      <c r="O6" s="970"/>
    </row>
    <row r="7" spans="2:23" hidden="1" outlineLevel="1">
      <c r="E7" s="972"/>
      <c r="F7" s="972"/>
      <c r="G7" s="972"/>
      <c r="H7" s="972"/>
      <c r="I7" s="972"/>
      <c r="J7" s="972"/>
    </row>
    <row r="8" spans="2:23" hidden="1" outlineLevel="1">
      <c r="B8" s="958" t="s">
        <v>2119</v>
      </c>
      <c r="D8" s="959">
        <v>45869</v>
      </c>
      <c r="E8" s="972">
        <f>2653612*0.91472</f>
        <v>2427311.9686400001</v>
      </c>
      <c r="F8" s="972">
        <f>52344*0.91472</f>
        <v>47880.10368</v>
      </c>
      <c r="G8" s="972">
        <v>1231689</v>
      </c>
      <c r="H8" s="972">
        <v>5444989</v>
      </c>
      <c r="I8" s="972">
        <v>49812.84</v>
      </c>
      <c r="J8" s="972"/>
      <c r="K8" s="961">
        <f>SUM(E8:I8)</f>
        <v>9201682.9123199992</v>
      </c>
    </row>
    <row r="9" spans="2:23" hidden="1" outlineLevel="1">
      <c r="B9" s="958" t="s">
        <v>2120</v>
      </c>
      <c r="E9" s="960">
        <f>-F9</f>
        <v>-360000</v>
      </c>
      <c r="F9" s="960">
        <v>360000</v>
      </c>
      <c r="K9" s="961">
        <f>SUM(E9:I9)</f>
        <v>0</v>
      </c>
    </row>
    <row r="10" spans="2:23" hidden="1" outlineLevel="1">
      <c r="B10" s="958" t="s">
        <v>2124</v>
      </c>
      <c r="E10" s="960">
        <f>3600000*0.9</f>
        <v>3240000</v>
      </c>
      <c r="G10" s="960">
        <f>3600000*0.1</f>
        <v>360000</v>
      </c>
      <c r="K10" s="961">
        <f>SUM(E10:I10)</f>
        <v>3600000</v>
      </c>
    </row>
    <row r="11" spans="2:23" hidden="1" outlineLevel="1">
      <c r="B11" s="958" t="s">
        <v>2125</v>
      </c>
      <c r="E11" s="960">
        <f>-香港!C213</f>
        <v>-530274.16064000002</v>
      </c>
      <c r="F11" s="960">
        <f>-香港!D213</f>
        <v>-363985.3824</v>
      </c>
      <c r="G11" s="960" t="e">
        <f>-'202601-202603（Forecast）'!#REF!</f>
        <v>#REF!</v>
      </c>
      <c r="H11" s="960" t="e">
        <f>-'202601-202603（Forecast）'!#REF!</f>
        <v>#REF!</v>
      </c>
      <c r="I11" s="960" t="e">
        <f>-'202601-202603（Forecast）'!#REF!</f>
        <v>#REF!</v>
      </c>
      <c r="K11" s="961" t="e">
        <f>SUM(E11:I11)</f>
        <v>#REF!</v>
      </c>
      <c r="M11" s="961" t="s">
        <v>2126</v>
      </c>
    </row>
    <row r="12" spans="2:23" hidden="1" outlineLevel="1">
      <c r="B12" s="958" t="s">
        <v>2119</v>
      </c>
      <c r="D12" s="959">
        <v>45900</v>
      </c>
      <c r="E12" s="969">
        <f t="shared" ref="E12:K12" si="1">SUM(E8:E11)</f>
        <v>4777037.8079999993</v>
      </c>
      <c r="F12" s="969">
        <f t="shared" si="1"/>
        <v>43894.721279999998</v>
      </c>
      <c r="G12" s="969" t="e">
        <f t="shared" si="1"/>
        <v>#REF!</v>
      </c>
      <c r="H12" s="969" t="e">
        <f t="shared" si="1"/>
        <v>#REF!</v>
      </c>
      <c r="I12" s="969" t="e">
        <f t="shared" si="1"/>
        <v>#REF!</v>
      </c>
      <c r="J12" s="969"/>
      <c r="K12" s="969" t="e">
        <f t="shared" si="1"/>
        <v>#REF!</v>
      </c>
      <c r="L12" s="973"/>
      <c r="M12" s="969" t="s">
        <v>2127</v>
      </c>
      <c r="N12" s="969"/>
      <c r="O12" s="969"/>
    </row>
    <row r="13" spans="2:23" hidden="1" outlineLevel="1">
      <c r="E13" s="972"/>
      <c r="F13" s="972"/>
      <c r="G13" s="972"/>
      <c r="H13" s="972"/>
      <c r="I13" s="972"/>
      <c r="J13" s="972"/>
      <c r="K13" s="972"/>
      <c r="L13" s="974"/>
      <c r="M13" s="972"/>
      <c r="N13" s="972"/>
      <c r="O13" s="972"/>
    </row>
    <row r="14" spans="2:23" hidden="1" outlineLevel="1">
      <c r="B14" s="958" t="s">
        <v>2119</v>
      </c>
      <c r="D14" s="959">
        <v>45900</v>
      </c>
      <c r="E14" s="972">
        <v>4794239</v>
      </c>
      <c r="F14" s="972">
        <v>82455</v>
      </c>
      <c r="G14" s="972">
        <v>1111289</v>
      </c>
      <c r="H14" s="972">
        <v>5068590.2048321404</v>
      </c>
      <c r="I14" s="972">
        <v>31863.599999999999</v>
      </c>
      <c r="J14" s="972"/>
      <c r="K14" s="961">
        <f>SUM(E14:I14)</f>
        <v>11088436.80483214</v>
      </c>
    </row>
    <row r="15" spans="2:23" hidden="1" outlineLevel="1">
      <c r="B15" s="958" t="s">
        <v>2120</v>
      </c>
      <c r="E15" s="960">
        <f>-F15</f>
        <v>-617625</v>
      </c>
      <c r="F15" s="960">
        <f>675000*0.915</f>
        <v>617625</v>
      </c>
      <c r="K15" s="961">
        <f>SUM(E15:I15)</f>
        <v>0</v>
      </c>
    </row>
    <row r="16" spans="2:23" hidden="1" outlineLevel="1">
      <c r="B16" s="958" t="s">
        <v>2128</v>
      </c>
      <c r="E16" s="960">
        <f>-香港!C236</f>
        <v>-499864.88429999998</v>
      </c>
      <c r="F16" s="960">
        <f>-香港!D236+180000*0.915</f>
        <v>-502745.05724999995</v>
      </c>
      <c r="G16" s="960" t="e">
        <f>-'202601-202603（Forecast）'!#REF!</f>
        <v>#REF!</v>
      </c>
      <c r="H16" s="960">
        <f>-'202601-202603（Forecast）'!O52</f>
        <v>-766650.99</v>
      </c>
      <c r="I16" s="960">
        <v>0</v>
      </c>
      <c r="K16" s="961" t="e">
        <f>SUM(E16:I16)</f>
        <v>#REF!</v>
      </c>
    </row>
    <row r="17" spans="2:18" hidden="1" outlineLevel="1">
      <c r="B17" s="958" t="s">
        <v>2119</v>
      </c>
      <c r="D17" s="975">
        <v>45930</v>
      </c>
      <c r="E17" s="969">
        <f>SUM(E14:E16)</f>
        <v>3676749.1157</v>
      </c>
      <c r="F17" s="969">
        <f t="shared" ref="F17:K17" si="2">SUM(F14:F16)</f>
        <v>197334.94275000005</v>
      </c>
      <c r="G17" s="969" t="e">
        <f t="shared" si="2"/>
        <v>#REF!</v>
      </c>
      <c r="H17" s="969">
        <f t="shared" si="2"/>
        <v>4301939.2148321401</v>
      </c>
      <c r="I17" s="969">
        <f t="shared" si="2"/>
        <v>31863.599999999999</v>
      </c>
      <c r="J17" s="969"/>
      <c r="K17" s="969" t="e">
        <f t="shared" si="2"/>
        <v>#REF!</v>
      </c>
      <c r="L17" s="973"/>
      <c r="M17" s="969"/>
      <c r="N17" s="969"/>
      <c r="O17" s="969"/>
    </row>
    <row r="18" spans="2:18" hidden="1" outlineLevel="1">
      <c r="B18" s="958" t="s">
        <v>2120</v>
      </c>
      <c r="E18" s="960">
        <f>-F18</f>
        <v>-502745.05724999995</v>
      </c>
      <c r="F18" s="960">
        <f>-F20</f>
        <v>502745.05724999995</v>
      </c>
      <c r="K18" s="961">
        <f>SUM(E18:I18)</f>
        <v>0</v>
      </c>
    </row>
    <row r="19" spans="2:18" hidden="1" outlineLevel="1">
      <c r="B19" s="958" t="s">
        <v>2124</v>
      </c>
    </row>
    <row r="20" spans="2:18" hidden="1" outlineLevel="1">
      <c r="B20" s="958" t="s">
        <v>2129</v>
      </c>
      <c r="E20" s="960">
        <v>-520253</v>
      </c>
      <c r="F20" s="960">
        <f>F16</f>
        <v>-502745.05724999995</v>
      </c>
      <c r="G20" s="960">
        <f>-'202601-202603（Forecast）'!I52</f>
        <v>-789872.76</v>
      </c>
      <c r="H20" s="960">
        <f>-'202601-202603（Forecast）'!P52</f>
        <v>-344650.99</v>
      </c>
      <c r="I20" s="960">
        <v>0</v>
      </c>
      <c r="K20" s="961">
        <f>SUM(E20:I20)</f>
        <v>-2157521.8072499996</v>
      </c>
    </row>
    <row r="21" spans="2:18" hidden="1" outlineLevel="1" collapsed="1"/>
    <row r="22" spans="2:18" hidden="1" outlineLevel="1">
      <c r="B22" s="958" t="s">
        <v>2119</v>
      </c>
      <c r="D22" s="975">
        <v>45961</v>
      </c>
      <c r="E22" s="969">
        <f>3251528*0.92</f>
        <v>2991405.7600000002</v>
      </c>
      <c r="F22" s="969">
        <f>65292*0.92</f>
        <v>60068.639999999999</v>
      </c>
      <c r="G22" s="969">
        <f>SUM('202601-202603（Forecast）'!I14,'202601-202603（Forecast）'!L14)</f>
        <v>561081.68000000005</v>
      </c>
      <c r="H22" s="969">
        <f>'202601-202603（Forecast）'!O14</f>
        <v>2694352.06</v>
      </c>
      <c r="I22" s="969">
        <f>'202601-202603（Forecast）'!F14</f>
        <v>86665.41</v>
      </c>
      <c r="J22" s="969"/>
      <c r="K22" s="970">
        <f>SUM(E22:J22)</f>
        <v>6393573.5500000007</v>
      </c>
      <c r="L22" s="971"/>
      <c r="M22" s="970"/>
      <c r="N22" s="970"/>
      <c r="O22" s="970"/>
    </row>
    <row r="23" spans="2:18" hidden="1" outlineLevel="1">
      <c r="B23" s="958" t="s">
        <v>2120</v>
      </c>
      <c r="E23" s="960">
        <f>香港!C274*0.92</f>
        <v>-368000</v>
      </c>
      <c r="F23" s="960">
        <f>-E23</f>
        <v>368000</v>
      </c>
      <c r="G23" s="960">
        <f>-H23</f>
        <v>450000</v>
      </c>
      <c r="H23" s="960">
        <v>-450000</v>
      </c>
      <c r="I23" s="960">
        <f>-'202601-202603（Forecast）'!F52</f>
        <v>-9982000</v>
      </c>
      <c r="K23" s="961">
        <f t="shared" ref="K23:K24" si="3">SUM(E23:J23)</f>
        <v>-9982000</v>
      </c>
    </row>
    <row r="24" spans="2:18" hidden="1" outlineLevel="1">
      <c r="B24" s="958" t="s">
        <v>2130</v>
      </c>
      <c r="E24" s="960">
        <f>-香港!C272*0.92</f>
        <v>-493674.76</v>
      </c>
      <c r="F24" s="960">
        <f>-香港!D272*0.92</f>
        <v>-394737.96</v>
      </c>
      <c r="G24" s="960">
        <v>-450000</v>
      </c>
      <c r="H24" s="960">
        <v>-400000</v>
      </c>
      <c r="I24" s="960">
        <v>0</v>
      </c>
      <c r="K24" s="961">
        <f t="shared" si="3"/>
        <v>-1738412.72</v>
      </c>
    </row>
    <row r="25" spans="2:18" hidden="1" outlineLevel="1">
      <c r="B25" s="958" t="s">
        <v>2119</v>
      </c>
      <c r="D25" s="975">
        <v>45991</v>
      </c>
      <c r="E25" s="969">
        <f t="shared" ref="E25:K25" si="4">SUM(E22:E24)</f>
        <v>2129731</v>
      </c>
      <c r="F25" s="969">
        <f t="shared" si="4"/>
        <v>33330.679999999993</v>
      </c>
      <c r="G25" s="969">
        <f t="shared" si="4"/>
        <v>561081.68000000005</v>
      </c>
      <c r="H25" s="969">
        <f t="shared" si="4"/>
        <v>1844352.06</v>
      </c>
      <c r="I25" s="969">
        <f t="shared" si="4"/>
        <v>-9895334.5899999999</v>
      </c>
      <c r="J25" s="969"/>
      <c r="K25" s="970">
        <f t="shared" si="4"/>
        <v>-5326839.169999999</v>
      </c>
      <c r="L25" s="971"/>
      <c r="M25" s="970"/>
      <c r="N25" s="970"/>
      <c r="O25" s="970"/>
    </row>
    <row r="26" spans="2:18" hidden="1" outlineLevel="1" collapsed="1">
      <c r="D26" s="975"/>
      <c r="E26" s="972"/>
      <c r="F26" s="972"/>
      <c r="G26" s="972"/>
      <c r="H26" s="972"/>
      <c r="I26" s="972"/>
      <c r="J26" s="972"/>
      <c r="P26" s="958" t="s">
        <v>2131</v>
      </c>
      <c r="R26" s="976">
        <f>-SUM(K35:K35)</f>
        <v>1936677.91</v>
      </c>
    </row>
    <row r="27" spans="2:18" hidden="1" outlineLevel="1">
      <c r="B27" s="958" t="s">
        <v>2132</v>
      </c>
      <c r="D27" s="975">
        <v>45991</v>
      </c>
      <c r="E27" s="972">
        <f>2341169</f>
        <v>2341169</v>
      </c>
      <c r="F27" s="972">
        <v>46479</v>
      </c>
      <c r="G27" s="972">
        <f>104222.77+53825.34+17880.93</f>
        <v>175929.03999999998</v>
      </c>
      <c r="H27" s="972">
        <v>3460729</v>
      </c>
      <c r="I27" s="972">
        <v>31951</v>
      </c>
      <c r="J27" s="972">
        <v>57445</v>
      </c>
      <c r="K27" s="961">
        <f>SUM(E27:J27)</f>
        <v>6113702.04</v>
      </c>
    </row>
    <row r="28" spans="2:18" hidden="1" outlineLevel="1">
      <c r="B28" s="977" t="s">
        <v>1923</v>
      </c>
      <c r="D28" s="975"/>
      <c r="E28" s="972">
        <v>3.34</v>
      </c>
      <c r="F28" s="972">
        <v>0.06</v>
      </c>
      <c r="G28" s="972">
        <f>5.68+3.33+2.26</f>
        <v>11.27</v>
      </c>
      <c r="H28" s="972">
        <f>3329.24+247.83+0.02</f>
        <v>3577.0899999999997</v>
      </c>
      <c r="I28" s="972">
        <f>41018+0.07+0.21+0.17+7.85</f>
        <v>41026.299999999996</v>
      </c>
      <c r="J28" s="972">
        <v>7.26</v>
      </c>
      <c r="K28" s="961">
        <f>SUM(E28:J28)</f>
        <v>44625.32</v>
      </c>
    </row>
    <row r="29" spans="2:18" hidden="1" outlineLevel="1">
      <c r="B29" s="958" t="s">
        <v>2104</v>
      </c>
      <c r="D29" s="975"/>
      <c r="E29" s="972"/>
      <c r="F29" s="972"/>
      <c r="G29" s="972"/>
      <c r="H29" s="972">
        <v>-400000</v>
      </c>
      <c r="I29" s="972"/>
      <c r="J29" s="972"/>
      <c r="K29" s="961">
        <f>SUM(E29:J29)</f>
        <v>-400000</v>
      </c>
      <c r="P29" s="976" t="s">
        <v>2133</v>
      </c>
      <c r="R29" s="961"/>
    </row>
    <row r="30" spans="2:18" hidden="1" outlineLevel="1">
      <c r="B30" s="958" t="s">
        <v>2099</v>
      </c>
      <c r="F30" s="960">
        <f>2000000*0.9</f>
        <v>1800000</v>
      </c>
      <c r="K30" s="961">
        <f t="shared" ref="K30:K35" si="5">SUM(E30:J30)</f>
        <v>1800000</v>
      </c>
      <c r="P30" s="961" t="s">
        <v>2134</v>
      </c>
      <c r="R30" s="961">
        <f>-香港!C286*0.92</f>
        <v>-138000</v>
      </c>
    </row>
    <row r="31" spans="2:18" hidden="1" outlineLevel="1">
      <c r="B31" s="958" t="s">
        <v>2135</v>
      </c>
      <c r="G31" s="960">
        <f>-J31*10%</f>
        <v>0</v>
      </c>
      <c r="I31" s="960">
        <f>-J31*0.9</f>
        <v>0</v>
      </c>
      <c r="K31" s="961">
        <f t="shared" si="5"/>
        <v>0</v>
      </c>
      <c r="P31" s="961" t="s">
        <v>2136</v>
      </c>
      <c r="R31" s="961">
        <f>-香港!C293*0.92</f>
        <v>-276000</v>
      </c>
    </row>
    <row r="32" spans="2:18" hidden="1" outlineLevel="1">
      <c r="B32" s="958" t="s">
        <v>2137</v>
      </c>
      <c r="K32" s="961">
        <f t="shared" si="5"/>
        <v>0</v>
      </c>
      <c r="P32" s="961" t="s">
        <v>2138</v>
      </c>
      <c r="R32" s="961">
        <f>-SUM(香港!I283:I284)*7.1-香港!I293*7.1</f>
        <v>-269912.25099999999</v>
      </c>
    </row>
    <row r="33" spans="2:23" hidden="1" outlineLevel="1">
      <c r="B33" s="958" t="s">
        <v>2139</v>
      </c>
      <c r="E33" s="960">
        <f>-I33</f>
        <v>0</v>
      </c>
      <c r="I33" s="960">
        <f>-SUM(I30:I32)</f>
        <v>0</v>
      </c>
      <c r="K33" s="961">
        <f t="shared" si="5"/>
        <v>0</v>
      </c>
      <c r="P33" s="961" t="s">
        <v>2140</v>
      </c>
      <c r="R33" s="961">
        <f>-'202601-202603（Forecast）'!I45</f>
        <v>0</v>
      </c>
    </row>
    <row r="34" spans="2:23" hidden="1" outlineLevel="1">
      <c r="B34" s="958" t="s">
        <v>2137</v>
      </c>
      <c r="E34" s="960">
        <f>-F34</f>
        <v>647834.4</v>
      </c>
      <c r="F34" s="960">
        <f>-(800000-80000)*0.89977</f>
        <v>-647834.4</v>
      </c>
      <c r="G34" s="960">
        <v>345000</v>
      </c>
      <c r="H34" s="960">
        <v>-280000</v>
      </c>
      <c r="I34" s="960">
        <v>-65000</v>
      </c>
      <c r="K34" s="961">
        <f t="shared" si="5"/>
        <v>0</v>
      </c>
      <c r="R34" s="970">
        <f>SUM(R30:R33)</f>
        <v>-683912.25099999993</v>
      </c>
    </row>
    <row r="35" spans="2:23" ht="16.5" hidden="1" outlineLevel="1" thickBot="1">
      <c r="B35" s="958" t="s">
        <v>2108</v>
      </c>
      <c r="E35" s="960">
        <f>-395768.68</f>
        <v>-395768.68</v>
      </c>
      <c r="F35" s="960">
        <f>-103720*0.9-637830.25</f>
        <v>-731178.25</v>
      </c>
      <c r="G35" s="960">
        <f>-329240.35-105997.92</f>
        <v>-435238.26999999996</v>
      </c>
      <c r="H35" s="960">
        <v>-374466.81</v>
      </c>
      <c r="I35" s="960">
        <v>-0.9</v>
      </c>
      <c r="J35" s="960">
        <v>-25</v>
      </c>
      <c r="K35" s="961">
        <f t="shared" si="5"/>
        <v>-1936677.91</v>
      </c>
      <c r="P35" s="958" t="s">
        <v>2141</v>
      </c>
      <c r="R35" s="978">
        <f>R26+R34</f>
        <v>1252765.659</v>
      </c>
    </row>
    <row r="36" spans="2:23" s="956" customFormat="1" ht="12.75" hidden="1" outlineLevel="1">
      <c r="B36" s="956" t="s">
        <v>2142</v>
      </c>
      <c r="D36" s="979">
        <v>46022</v>
      </c>
      <c r="E36" s="980">
        <f>SUM(E27:E35)</f>
        <v>2593238.0599999996</v>
      </c>
      <c r="F36" s="980">
        <f t="shared" ref="F36:K36" si="6">SUM(F27:F35)</f>
        <v>467466.41000000015</v>
      </c>
      <c r="G36" s="980">
        <f t="shared" si="6"/>
        <v>85702.039999999979</v>
      </c>
      <c r="H36" s="980">
        <f t="shared" si="6"/>
        <v>2409839.2799999998</v>
      </c>
      <c r="I36" s="980">
        <f t="shared" si="6"/>
        <v>7976.3999999999887</v>
      </c>
      <c r="J36" s="980">
        <f t="shared" si="6"/>
        <v>57427.26</v>
      </c>
      <c r="K36" s="980">
        <f t="shared" si="6"/>
        <v>5621649.4500000002</v>
      </c>
      <c r="L36" s="981"/>
      <c r="M36" s="980"/>
      <c r="N36" s="980"/>
      <c r="O36" s="980"/>
    </row>
    <row r="37" spans="2:23" s="956" customFormat="1" ht="12.75" collapsed="1">
      <c r="B37" s="982" t="s">
        <v>2132</v>
      </c>
      <c r="C37" s="982"/>
      <c r="D37" s="983">
        <v>46022</v>
      </c>
      <c r="E37" s="984">
        <v>2574529</v>
      </c>
      <c r="F37" s="984">
        <v>466588</v>
      </c>
      <c r="G37" s="984">
        <f t="shared" ref="G37:J37" si="7">G36</f>
        <v>85702.039999999979</v>
      </c>
      <c r="H37" s="984">
        <f t="shared" si="7"/>
        <v>2409839.2799999998</v>
      </c>
      <c r="I37" s="984">
        <f t="shared" si="7"/>
        <v>7976.3999999999887</v>
      </c>
      <c r="J37" s="984">
        <f t="shared" si="7"/>
        <v>57427.26</v>
      </c>
      <c r="K37" s="984">
        <f>SUM(E37:J37)</f>
        <v>5602061.9800000004</v>
      </c>
      <c r="L37" s="981"/>
      <c r="M37" s="984"/>
      <c r="N37" s="984"/>
      <c r="O37" s="984"/>
    </row>
    <row r="38" spans="2:23">
      <c r="B38" s="958" t="s">
        <v>2098</v>
      </c>
      <c r="D38" s="959">
        <v>46023</v>
      </c>
      <c r="I38" s="960">
        <v>10000000</v>
      </c>
      <c r="K38" s="961">
        <f t="shared" ref="K38:K39" si="8">SUM(E38:J38)</f>
        <v>10000000</v>
      </c>
      <c r="U38" s="958" t="s">
        <v>2143</v>
      </c>
      <c r="W38" s="958" t="s">
        <v>2143</v>
      </c>
    </row>
    <row r="39" spans="2:23">
      <c r="B39" s="958" t="s">
        <v>2137</v>
      </c>
      <c r="D39" s="959">
        <v>46023</v>
      </c>
      <c r="G39" s="960">
        <v>1540000</v>
      </c>
      <c r="I39" s="960">
        <f>-G39</f>
        <v>-1540000</v>
      </c>
      <c r="K39" s="961">
        <f t="shared" si="8"/>
        <v>0</v>
      </c>
      <c r="Q39" s="958" t="str">
        <f>IF(E39&gt;0,"收到的其他与筹资活动有关的现金","支付的其他与筹资活动有关的现金")</f>
        <v>支付的其他与筹资活动有关的现金</v>
      </c>
      <c r="R39" s="958" t="str">
        <f t="shared" ref="R39:V39" si="9">IF(F39&gt;0,"收到的其他与筹资活动有关的现金","支付的其他与筹资活动有关的现金")</f>
        <v>支付的其他与筹资活动有关的现金</v>
      </c>
      <c r="S39" s="958" t="str">
        <f t="shared" si="9"/>
        <v>收到的其他与筹资活动有关的现金</v>
      </c>
      <c r="T39" s="958" t="str">
        <f t="shared" si="9"/>
        <v>支付的其他与筹资活动有关的现金</v>
      </c>
      <c r="U39" s="958" t="str">
        <f t="shared" si="9"/>
        <v>支付的其他与筹资活动有关的现金</v>
      </c>
      <c r="V39" s="958" t="str">
        <f t="shared" si="9"/>
        <v>支付的其他与筹资活动有关的现金</v>
      </c>
    </row>
    <row r="40" spans="2:23">
      <c r="B40" s="958" t="s">
        <v>2104</v>
      </c>
      <c r="D40" s="959">
        <v>46023</v>
      </c>
      <c r="H40" s="960">
        <v>-400000</v>
      </c>
      <c r="K40" s="961">
        <f t="shared" ref="K40:K51" si="10">SUM(E40:J40)</f>
        <v>-400000</v>
      </c>
      <c r="T40" s="958" t="s">
        <v>2144</v>
      </c>
      <c r="W40" s="958" t="s">
        <v>2144</v>
      </c>
    </row>
    <row r="41" spans="2:23">
      <c r="B41" s="958" t="s">
        <v>2145</v>
      </c>
      <c r="D41" s="959">
        <v>46023</v>
      </c>
      <c r="G41" s="960">
        <v>-144000</v>
      </c>
      <c r="I41" s="960">
        <v>-3516000</v>
      </c>
      <c r="J41" s="960">
        <f>-G41-I41</f>
        <v>3660000</v>
      </c>
      <c r="K41" s="961">
        <f t="shared" si="10"/>
        <v>0</v>
      </c>
      <c r="Q41" s="958" t="s">
        <v>2146</v>
      </c>
      <c r="S41" s="958" t="s">
        <v>2144</v>
      </c>
      <c r="U41" s="958" t="s">
        <v>2144</v>
      </c>
      <c r="V41" s="958" t="s">
        <v>2147</v>
      </c>
    </row>
    <row r="42" spans="2:23">
      <c r="B42" s="958" t="s">
        <v>2137</v>
      </c>
      <c r="D42" s="959">
        <v>46023</v>
      </c>
      <c r="G42" s="960">
        <f>-H42</f>
        <v>-780000</v>
      </c>
      <c r="H42" s="960">
        <f>500000+280000</f>
        <v>780000</v>
      </c>
      <c r="K42" s="961">
        <f t="shared" si="10"/>
        <v>0</v>
      </c>
      <c r="Q42" s="958" t="str">
        <f t="shared" ref="Q42:V42" si="11">IF(E42&gt;0,"收到的其他与筹资活动有关的现金","支付的其他与筹资活动有关的现金")</f>
        <v>支付的其他与筹资活动有关的现金</v>
      </c>
      <c r="R42" s="958" t="str">
        <f t="shared" si="11"/>
        <v>支付的其他与筹资活动有关的现金</v>
      </c>
      <c r="S42" s="958" t="str">
        <f t="shared" si="11"/>
        <v>支付的其他与筹资活动有关的现金</v>
      </c>
      <c r="T42" s="958" t="str">
        <f t="shared" si="11"/>
        <v>收到的其他与筹资活动有关的现金</v>
      </c>
      <c r="U42" s="958" t="str">
        <f t="shared" si="11"/>
        <v>支付的其他与筹资活动有关的现金</v>
      </c>
      <c r="V42" s="958" t="str">
        <f t="shared" si="11"/>
        <v>支付的其他与筹资活动有关的现金</v>
      </c>
    </row>
    <row r="43" spans="2:23">
      <c r="B43" s="958" t="s">
        <v>2139</v>
      </c>
      <c r="D43" s="959">
        <v>46023</v>
      </c>
      <c r="E43" s="960">
        <f>-I43</f>
        <v>4924000</v>
      </c>
      <c r="I43" s="960">
        <f>-SUM(I38:I41)+20000</f>
        <v>-4924000</v>
      </c>
      <c r="K43" s="961">
        <f t="shared" si="10"/>
        <v>0</v>
      </c>
      <c r="Q43" s="958" t="s">
        <v>2148</v>
      </c>
      <c r="U43" s="958" t="s">
        <v>2149</v>
      </c>
    </row>
    <row r="44" spans="2:23">
      <c r="B44" s="958" t="s">
        <v>2137</v>
      </c>
      <c r="D44" s="959">
        <v>46023</v>
      </c>
      <c r="E44" s="960">
        <f>-2000000*0.9</f>
        <v>-1800000</v>
      </c>
      <c r="F44" s="960">
        <f>-E44</f>
        <v>1800000</v>
      </c>
      <c r="K44" s="961">
        <f t="shared" ref="K44:K45" si="12">SUM(E44:J44)</f>
        <v>0</v>
      </c>
      <c r="Q44" s="958" t="str">
        <f t="shared" ref="Q44:V44" si="13">IF(E44&gt;0,"收到的其他与筹资活动有关的现金","支付的其他与筹资活动有关的现金")</f>
        <v>支付的其他与筹资活动有关的现金</v>
      </c>
      <c r="R44" s="958" t="str">
        <f t="shared" si="13"/>
        <v>收到的其他与筹资活动有关的现金</v>
      </c>
      <c r="S44" s="958" t="str">
        <f t="shared" si="13"/>
        <v>支付的其他与筹资活动有关的现金</v>
      </c>
      <c r="T44" s="958" t="str">
        <f t="shared" si="13"/>
        <v>支付的其他与筹资活动有关的现金</v>
      </c>
      <c r="U44" s="958" t="str">
        <f t="shared" si="13"/>
        <v>支付的其他与筹资活动有关的现金</v>
      </c>
      <c r="V44" s="958" t="str">
        <f t="shared" si="13"/>
        <v>支付的其他与筹资活动有关的现金</v>
      </c>
    </row>
    <row r="45" spans="2:23">
      <c r="B45" s="958" t="s">
        <v>2102</v>
      </c>
      <c r="D45" s="959">
        <v>46023</v>
      </c>
      <c r="F45" s="960">
        <f>-2003452*0.9</f>
        <v>-1803106.8</v>
      </c>
      <c r="J45" s="960">
        <v>-3649364.38</v>
      </c>
      <c r="K45" s="961">
        <f t="shared" si="12"/>
        <v>-5452471.1799999997</v>
      </c>
      <c r="R45" s="958" t="s">
        <v>2150</v>
      </c>
      <c r="V45" s="958" t="s">
        <v>2150</v>
      </c>
      <c r="W45" s="958" t="s">
        <v>2150</v>
      </c>
    </row>
    <row r="46" spans="2:23" s="957" customFormat="1" ht="12.75">
      <c r="B46" s="985" t="s">
        <v>2142</v>
      </c>
      <c r="D46" s="986">
        <v>46023</v>
      </c>
      <c r="E46" s="987">
        <f t="shared" ref="E46:K46" si="14">SUM(E37:E45)</f>
        <v>5698529</v>
      </c>
      <c r="F46" s="987">
        <f t="shared" si="14"/>
        <v>463481.19999999995</v>
      </c>
      <c r="G46" s="987">
        <f t="shared" si="14"/>
        <v>701702.04</v>
      </c>
      <c r="H46" s="987">
        <f t="shared" si="14"/>
        <v>2789839.28</v>
      </c>
      <c r="I46" s="987">
        <f t="shared" si="14"/>
        <v>27976.400000000373</v>
      </c>
      <c r="J46" s="987">
        <f t="shared" si="14"/>
        <v>68062.879999999888</v>
      </c>
      <c r="K46" s="987">
        <f t="shared" si="14"/>
        <v>9749590.8000000007</v>
      </c>
      <c r="L46" s="988"/>
      <c r="M46" s="988"/>
      <c r="N46" s="988"/>
      <c r="O46" s="988"/>
    </row>
    <row r="47" spans="2:23">
      <c r="B47" s="958" t="s">
        <v>2108</v>
      </c>
      <c r="D47" s="959">
        <v>46023</v>
      </c>
      <c r="E47" s="960">
        <f>-香港!C313/1.1235-香港!C293/1.1235-7600/1.1235</f>
        <v>-693407.53004005342</v>
      </c>
      <c r="F47" s="960">
        <f>-香港!C315/1.1235-9000/1.1235</f>
        <v>-510959.50155763241</v>
      </c>
      <c r="G47" s="960">
        <f>-('202601-202603（Forecast）'!I52-'202601-202603（Forecast）'!I50-'202601-202603（Forecast）'!I47-'202601-202603（Forecast）'!I45)-30752.77-9434.66-40281.7</f>
        <v>-726341.89</v>
      </c>
      <c r="H47" s="960">
        <f>-('202601-202603（Forecast）'!O52-'202601-202603（Forecast）'!O50)-57483.79</f>
        <v>-424134.77999999997</v>
      </c>
      <c r="I47" s="960">
        <f>-('202601-202603（Forecast）'!F52-'202601-202603（Forecast）'!F50-'202601-202603（Forecast）'!F48-'202601-202603（Forecast）'!F47)</f>
        <v>-2000</v>
      </c>
      <c r="K47" s="961">
        <f>SUM(E47:J47)</f>
        <v>-2356843.7015976855</v>
      </c>
    </row>
    <row r="48" spans="2:23">
      <c r="B48" s="958" t="s">
        <v>2098</v>
      </c>
      <c r="D48" s="959">
        <v>46023</v>
      </c>
      <c r="I48" s="989">
        <v>9650000</v>
      </c>
      <c r="K48" s="961">
        <f t="shared" ref="K48:K49" si="15">SUM(E48:J48)</f>
        <v>9650000</v>
      </c>
      <c r="U48" s="958" t="s">
        <v>2143</v>
      </c>
      <c r="W48" s="958" t="s">
        <v>2143</v>
      </c>
    </row>
    <row r="49" spans="2:23">
      <c r="B49" s="958" t="s">
        <v>2139</v>
      </c>
      <c r="D49" s="959">
        <v>46023</v>
      </c>
      <c r="E49" s="960">
        <f>-I49</f>
        <v>7000000</v>
      </c>
      <c r="I49" s="960">
        <v>-7000000</v>
      </c>
      <c r="K49" s="961">
        <f t="shared" si="15"/>
        <v>0</v>
      </c>
      <c r="P49" s="961"/>
      <c r="Q49" s="958" t="s">
        <v>2148</v>
      </c>
      <c r="R49" s="961"/>
      <c r="U49" s="958" t="s">
        <v>2149</v>
      </c>
    </row>
    <row r="50" spans="2:23">
      <c r="B50" s="958" t="s">
        <v>2137</v>
      </c>
      <c r="D50" s="959">
        <v>46023</v>
      </c>
      <c r="E50" s="960">
        <v>-100000</v>
      </c>
      <c r="F50" s="960">
        <f>-E50</f>
        <v>100000</v>
      </c>
      <c r="K50" s="961">
        <f t="shared" si="10"/>
        <v>0</v>
      </c>
      <c r="Q50" s="958" t="str">
        <f t="shared" ref="Q50:V50" si="16">IF(E50&gt;0,"收到的其他与筹资活动有关的现金","支付的其他与筹资活动有关的现金")</f>
        <v>支付的其他与筹资活动有关的现金</v>
      </c>
      <c r="R50" s="958" t="str">
        <f t="shared" si="16"/>
        <v>收到的其他与筹资活动有关的现金</v>
      </c>
      <c r="S50" s="958" t="str">
        <f t="shared" si="16"/>
        <v>支付的其他与筹资活动有关的现金</v>
      </c>
      <c r="T50" s="958" t="str">
        <f t="shared" si="16"/>
        <v>支付的其他与筹资活动有关的现金</v>
      </c>
      <c r="U50" s="958" t="str">
        <f t="shared" si="16"/>
        <v>支付的其他与筹资活动有关的现金</v>
      </c>
      <c r="V50" s="958" t="str">
        <f t="shared" si="16"/>
        <v>支付的其他与筹资活动有关的现金</v>
      </c>
    </row>
    <row r="51" spans="2:23">
      <c r="B51" s="958" t="s">
        <v>2108</v>
      </c>
      <c r="D51" s="959">
        <v>46023</v>
      </c>
      <c r="K51" s="961">
        <f t="shared" si="10"/>
        <v>0</v>
      </c>
    </row>
    <row r="52" spans="2:23" s="956" customFormat="1" ht="12.75">
      <c r="B52" s="982" t="s">
        <v>2142</v>
      </c>
      <c r="C52" s="982"/>
      <c r="D52" s="983">
        <v>46023</v>
      </c>
      <c r="E52" s="990">
        <f t="shared" ref="E52:K52" si="17">SUM(E46:E51)</f>
        <v>11905121.469959946</v>
      </c>
      <c r="F52" s="990">
        <f t="shared" si="17"/>
        <v>52521.698442367546</v>
      </c>
      <c r="G52" s="990">
        <f t="shared" si="17"/>
        <v>-24639.849999999977</v>
      </c>
      <c r="H52" s="990">
        <f t="shared" si="17"/>
        <v>2365704.5</v>
      </c>
      <c r="I52" s="990">
        <f t="shared" si="17"/>
        <v>2675976.4000000004</v>
      </c>
      <c r="J52" s="990">
        <f t="shared" si="17"/>
        <v>68062.879999999888</v>
      </c>
      <c r="K52" s="990">
        <f t="shared" si="17"/>
        <v>17042747.098402314</v>
      </c>
      <c r="L52" s="991"/>
      <c r="M52" s="990">
        <f>SUM(M46:M51)</f>
        <v>0</v>
      </c>
      <c r="N52" s="990">
        <f>SUM(N46:N51)</f>
        <v>0</v>
      </c>
      <c r="O52" s="990">
        <f>SUM(O46:O51)</f>
        <v>0</v>
      </c>
    </row>
    <row r="53" spans="2:23" s="956" customFormat="1" ht="12.75">
      <c r="B53" s="982" t="s">
        <v>3067</v>
      </c>
      <c r="C53" s="982"/>
      <c r="D53" s="983">
        <v>46023</v>
      </c>
      <c r="E53" s="990">
        <v>11919036</v>
      </c>
      <c r="F53" s="990">
        <v>164967</v>
      </c>
      <c r="G53" s="990">
        <v>137924</v>
      </c>
      <c r="H53" s="990">
        <v>2577310</v>
      </c>
      <c r="I53" s="990">
        <v>2675380</v>
      </c>
      <c r="J53" s="990">
        <v>68037</v>
      </c>
      <c r="K53" s="990">
        <f>SUM(E53:J53)</f>
        <v>17542654</v>
      </c>
      <c r="L53" s="991"/>
      <c r="M53" s="990"/>
      <c r="N53" s="990"/>
      <c r="O53" s="990"/>
    </row>
    <row r="54" spans="2:23">
      <c r="B54" s="958" t="s">
        <v>2137</v>
      </c>
      <c r="D54" s="959">
        <v>46054</v>
      </c>
      <c r="G54" s="960">
        <f>-I54-O54</f>
        <v>790000</v>
      </c>
      <c r="I54" s="960">
        <v>-1000000</v>
      </c>
      <c r="K54" s="961">
        <f>SUM(E54:J54)</f>
        <v>-210000</v>
      </c>
      <c r="O54" s="961">
        <v>210000</v>
      </c>
      <c r="Q54" s="958" t="str">
        <f t="shared" ref="Q54:V54" si="18">IF(E54&gt;0,"收到的其他与筹资活动有关的现金","支付的其他与筹资活动有关的现金")</f>
        <v>支付的其他与筹资活动有关的现金</v>
      </c>
      <c r="R54" s="958" t="str">
        <f t="shared" si="18"/>
        <v>支付的其他与筹资活动有关的现金</v>
      </c>
      <c r="S54" s="958" t="str">
        <f t="shared" si="18"/>
        <v>收到的其他与筹资活动有关的现金</v>
      </c>
      <c r="T54" s="958" t="str">
        <f t="shared" si="18"/>
        <v>支付的其他与筹资活动有关的现金</v>
      </c>
      <c r="U54" s="958" t="str">
        <f t="shared" si="18"/>
        <v>支付的其他与筹资活动有关的现金</v>
      </c>
      <c r="V54" s="958" t="str">
        <f t="shared" si="18"/>
        <v>支付的其他与筹资活动有关的现金</v>
      </c>
    </row>
    <row r="55" spans="2:23">
      <c r="B55" s="958" t="s">
        <v>2108</v>
      </c>
      <c r="D55" s="959">
        <v>46054</v>
      </c>
      <c r="E55" s="960">
        <f>(-10272-6800)*0.88999</f>
        <v>-15193.90928</v>
      </c>
      <c r="K55" s="961">
        <f t="shared" ref="K55" si="19">SUM(E55:J55)</f>
        <v>-15193.90928</v>
      </c>
      <c r="O55" s="961">
        <v>-200000</v>
      </c>
    </row>
    <row r="56" spans="2:23">
      <c r="B56" s="958" t="s">
        <v>2099</v>
      </c>
      <c r="D56" s="959">
        <v>46054</v>
      </c>
      <c r="J56" s="989">
        <v>15000000</v>
      </c>
      <c r="K56" s="961">
        <f>SUM(E56:J56)</f>
        <v>15000000</v>
      </c>
      <c r="P56" s="961"/>
      <c r="R56" s="961"/>
      <c r="V56" s="958" t="s">
        <v>2143</v>
      </c>
      <c r="W56" s="958" t="s">
        <v>2143</v>
      </c>
    </row>
    <row r="57" spans="2:23">
      <c r="B57" s="958" t="s">
        <v>2151</v>
      </c>
      <c r="D57" s="959">
        <v>46054</v>
      </c>
      <c r="G57" s="960">
        <f>-$J$57*10%</f>
        <v>1500000</v>
      </c>
      <c r="I57" s="960">
        <f>-$J$57*90%</f>
        <v>13500000</v>
      </c>
      <c r="J57" s="960">
        <f>-J56</f>
        <v>-15000000</v>
      </c>
      <c r="K57" s="961">
        <f t="shared" ref="K57" si="20">SUM(E57:J57)</f>
        <v>0</v>
      </c>
      <c r="P57" s="961"/>
      <c r="R57" s="961"/>
      <c r="S57" s="958" t="s">
        <v>2148</v>
      </c>
      <c r="U57" s="958" t="s">
        <v>2148</v>
      </c>
      <c r="V57" s="958" t="s">
        <v>2149</v>
      </c>
    </row>
    <row r="58" spans="2:23">
      <c r="B58" s="958" t="s">
        <v>2137</v>
      </c>
      <c r="D58" s="959">
        <v>46054</v>
      </c>
      <c r="G58" s="960">
        <f>-G57</f>
        <v>-1500000</v>
      </c>
      <c r="I58" s="960">
        <f>-G58</f>
        <v>1500000</v>
      </c>
      <c r="K58" s="961">
        <f>SUM(E58:J58)</f>
        <v>0</v>
      </c>
      <c r="Q58" s="958" t="str">
        <f t="shared" ref="Q58" si="21">IF(E58&gt;0,"收到的其他与筹资活动有关的现金","支付的其他与筹资活动有关的现金")</f>
        <v>支付的其他与筹资活动有关的现金</v>
      </c>
      <c r="R58" s="958" t="str">
        <f t="shared" ref="R58" si="22">IF(F58&gt;0,"收到的其他与筹资活动有关的现金","支付的其他与筹资活动有关的现金")</f>
        <v>支付的其他与筹资活动有关的现金</v>
      </c>
      <c r="S58" s="958" t="str">
        <f t="shared" ref="S58" si="23">IF(G58&gt;0,"收到的其他与筹资活动有关的现金","支付的其他与筹资活动有关的现金")</f>
        <v>支付的其他与筹资活动有关的现金</v>
      </c>
      <c r="T58" s="958" t="str">
        <f t="shared" ref="T58" si="24">IF(H58&gt;0,"收到的其他与筹资活动有关的现金","支付的其他与筹资活动有关的现金")</f>
        <v>支付的其他与筹资活动有关的现金</v>
      </c>
      <c r="U58" s="958" t="str">
        <f t="shared" ref="U58" si="25">IF(I58&gt;0,"收到的其他与筹资活动有关的现金","支付的其他与筹资活动有关的现金")</f>
        <v>收到的其他与筹资活动有关的现金</v>
      </c>
      <c r="V58" s="958" t="str">
        <f t="shared" ref="V58" si="26">IF(J58&gt;0,"收到的其他与筹资活动有关的现金","支付的其他与筹资活动有关的现金")</f>
        <v>支付的其他与筹资活动有关的现金</v>
      </c>
    </row>
    <row r="59" spans="2:23">
      <c r="B59" s="958" t="s">
        <v>2139</v>
      </c>
      <c r="D59" s="959">
        <v>46054</v>
      </c>
      <c r="E59" s="960">
        <f>-I59</f>
        <v>16500000</v>
      </c>
      <c r="I59" s="960">
        <v>-16500000</v>
      </c>
      <c r="K59" s="961">
        <f t="shared" ref="K59:K67" si="27">SUM(E59:J59)</f>
        <v>0</v>
      </c>
      <c r="P59" s="961"/>
      <c r="Q59" s="958" t="s">
        <v>2148</v>
      </c>
      <c r="R59" s="961"/>
      <c r="U59" s="958" t="s">
        <v>2149</v>
      </c>
    </row>
    <row r="60" spans="2:23">
      <c r="B60" s="958" t="s">
        <v>2137</v>
      </c>
      <c r="D60" s="959">
        <v>46054</v>
      </c>
      <c r="E60" s="960">
        <v>-15200000</v>
      </c>
      <c r="F60" s="960">
        <f>-E60</f>
        <v>15200000</v>
      </c>
      <c r="K60" s="961">
        <f t="shared" si="27"/>
        <v>0</v>
      </c>
      <c r="Q60" s="958" t="str">
        <f t="shared" ref="Q60:V60" si="28">IF(E60&gt;0,"收到的其他与筹资活动有关的现金","支付的其他与筹资活动有关的现金")</f>
        <v>支付的其他与筹资活动有关的现金</v>
      </c>
      <c r="R60" s="958" t="str">
        <f t="shared" si="28"/>
        <v>收到的其他与筹资活动有关的现金</v>
      </c>
      <c r="S60" s="958" t="str">
        <f t="shared" si="28"/>
        <v>支付的其他与筹资活动有关的现金</v>
      </c>
      <c r="T60" s="958" t="str">
        <f t="shared" si="28"/>
        <v>支付的其他与筹资活动有关的现金</v>
      </c>
      <c r="U60" s="958" t="str">
        <f t="shared" si="28"/>
        <v>支付的其他与筹资活动有关的现金</v>
      </c>
      <c r="V60" s="958" t="str">
        <f t="shared" si="28"/>
        <v>支付的其他与筹资活动有关的现金</v>
      </c>
    </row>
    <row r="61" spans="2:23">
      <c r="B61" s="958" t="s">
        <v>2152</v>
      </c>
      <c r="D61" s="959">
        <v>46054</v>
      </c>
      <c r="E61" s="960">
        <f>-3920000-8000000*51%</f>
        <v>-8000000</v>
      </c>
      <c r="H61" s="960">
        <f>-E61</f>
        <v>8000000</v>
      </c>
      <c r="K61" s="961">
        <f t="shared" si="27"/>
        <v>0</v>
      </c>
      <c r="Q61" s="958" t="s">
        <v>2144</v>
      </c>
      <c r="T61" s="958" t="s">
        <v>2147</v>
      </c>
    </row>
    <row r="62" spans="2:23">
      <c r="B62" s="958" t="s">
        <v>2105</v>
      </c>
      <c r="D62" s="959">
        <v>46054</v>
      </c>
      <c r="F62" s="992">
        <f>-基金资金安排!C22*10000+10000</f>
        <v>-7790000</v>
      </c>
      <c r="K62" s="961">
        <f t="shared" si="27"/>
        <v>-7790000</v>
      </c>
      <c r="M62" s="993">
        <f>基金资金安排!C21*10000</f>
        <v>10400000</v>
      </c>
      <c r="N62" s="994"/>
      <c r="R62" s="958" t="s">
        <v>2144</v>
      </c>
      <c r="W62" s="958" t="str">
        <f>R62</f>
        <v>投资支付的现金</v>
      </c>
    </row>
    <row r="63" spans="2:23">
      <c r="B63" s="958" t="s">
        <v>2153</v>
      </c>
      <c r="D63" s="959">
        <v>46054</v>
      </c>
      <c r="F63" s="995">
        <f>-ROUND(1052459*6.959,-3)</f>
        <v>-7324000</v>
      </c>
      <c r="G63" s="960">
        <f>-F63</f>
        <v>7324000</v>
      </c>
      <c r="K63" s="961">
        <f t="shared" si="27"/>
        <v>0</v>
      </c>
      <c r="R63" s="958" t="s">
        <v>2144</v>
      </c>
      <c r="S63" s="958" t="s">
        <v>2147</v>
      </c>
    </row>
    <row r="64" spans="2:23">
      <c r="B64" s="958" t="s">
        <v>2106</v>
      </c>
      <c r="D64" s="959">
        <v>46054</v>
      </c>
      <c r="H64" s="992">
        <f>-基金资金安排!C18*10000</f>
        <v>-2020408.1632653063</v>
      </c>
      <c r="K64" s="961">
        <f t="shared" si="27"/>
        <v>-2020408.1632653063</v>
      </c>
      <c r="M64" s="993">
        <f>-基金资金安排!C17*10000</f>
        <v>-8979591.8367346935</v>
      </c>
      <c r="N64" s="993">
        <f>-M64-H64</f>
        <v>11000000</v>
      </c>
      <c r="T64" s="958" t="s">
        <v>2144</v>
      </c>
      <c r="W64" s="958" t="s">
        <v>2144</v>
      </c>
    </row>
    <row r="65" spans="2:23">
      <c r="B65" s="958" t="s">
        <v>2107</v>
      </c>
      <c r="D65" s="959">
        <v>46054</v>
      </c>
      <c r="G65" s="992">
        <f>-基金资金安排!C13*10000</f>
        <v>-2375000</v>
      </c>
      <c r="K65" s="961">
        <f t="shared" si="27"/>
        <v>-2375000</v>
      </c>
      <c r="N65" s="993">
        <f>-基金资金安排!C14*10000</f>
        <v>-6935000</v>
      </c>
      <c r="O65" s="993">
        <f>-G65-N65+1000000</f>
        <v>10310000</v>
      </c>
      <c r="Q65" s="958" t="s">
        <v>2144</v>
      </c>
      <c r="S65" s="958" t="s">
        <v>2144</v>
      </c>
      <c r="W65" s="958" t="s">
        <v>2144</v>
      </c>
    </row>
    <row r="66" spans="2:23">
      <c r="B66" s="958" t="s">
        <v>2137</v>
      </c>
      <c r="D66" s="959">
        <v>46054</v>
      </c>
      <c r="E66" s="960">
        <f>-F66</f>
        <v>-350332</v>
      </c>
      <c r="F66" s="960">
        <f>400000*0.87583</f>
        <v>350332</v>
      </c>
      <c r="G66" s="972"/>
      <c r="H66" s="972"/>
      <c r="I66" s="972"/>
      <c r="K66" s="961">
        <f>SUM(E66:J66)</f>
        <v>0</v>
      </c>
      <c r="Q66" s="958" t="str">
        <f t="shared" ref="Q66" si="29">IF(E66&gt;0,"收到的其他与筹资活动有关的现金","支付的其他与筹资活动有关的现金")</f>
        <v>支付的其他与筹资活动有关的现金</v>
      </c>
      <c r="R66" s="958" t="str">
        <f t="shared" ref="R66" si="30">IF(F66&gt;0,"收到的其他与筹资活动有关的现金","支付的其他与筹资活动有关的现金")</f>
        <v>收到的其他与筹资活动有关的现金</v>
      </c>
      <c r="S66" s="958" t="str">
        <f t="shared" ref="S66" si="31">IF(G66&gt;0,"收到的其他与筹资活动有关的现金","支付的其他与筹资活动有关的现金")</f>
        <v>支付的其他与筹资活动有关的现金</v>
      </c>
      <c r="T66" s="958" t="str">
        <f t="shared" ref="T66" si="32">IF(H66&gt;0,"收到的其他与筹资活动有关的现金","支付的其他与筹资活动有关的现金")</f>
        <v>支付的其他与筹资活动有关的现金</v>
      </c>
      <c r="U66" s="958" t="str">
        <f t="shared" ref="U66" si="33">IF(I66&gt;0,"收到的其他与筹资活动有关的现金","支付的其他与筹资活动有关的现金")</f>
        <v>支付的其他与筹资活动有关的现金</v>
      </c>
      <c r="V66" s="958" t="str">
        <f t="shared" ref="V66" si="34">IF(J66&gt;0,"收到的其他与筹资活动有关的现金","支付的其他与筹资活动有关的现金")</f>
        <v>支付的其他与筹资活动有关的现金</v>
      </c>
    </row>
    <row r="67" spans="2:23">
      <c r="B67" s="958" t="s">
        <v>2154</v>
      </c>
      <c r="D67" s="959">
        <v>46054</v>
      </c>
      <c r="K67" s="961">
        <f t="shared" si="27"/>
        <v>0</v>
      </c>
      <c r="O67" s="961">
        <f>-基金资金安排!C7*10000</f>
        <v>-5000000</v>
      </c>
    </row>
    <row r="68" spans="2:23">
      <c r="B68" s="958" t="s">
        <v>2108</v>
      </c>
      <c r="D68" s="959">
        <v>46054</v>
      </c>
      <c r="E68" s="960">
        <f>-香港!C334*0.87583</f>
        <v>-345423.70854720002</v>
      </c>
      <c r="F68" s="960">
        <f>-(87932+9000+香港!D334)*0.87583</f>
        <v>-460479.35862200003</v>
      </c>
      <c r="G68" s="960">
        <v>-707368</v>
      </c>
      <c r="H68" s="960">
        <v>-333060</v>
      </c>
      <c r="I68" s="960">
        <v>-2500</v>
      </c>
      <c r="J68" s="960">
        <f>INDEX('CF-ACPLYixing'!$E$29:$Q$29,MATCH($D68,'CF-ACPLYixing'!$E$4:$Q$4,0))+INDEX('CF-ACPLYixing'!$E$38:$Q$38,MATCH($D68,'CF-ACPLYixing'!$E$4:$Q$4,0))</f>
        <v>-83.333333333333329</v>
      </c>
      <c r="K68" s="961">
        <f t="shared" ref="K68" si="35">SUM(E68:J68)</f>
        <v>-1848914.4005025334</v>
      </c>
    </row>
    <row r="69" spans="2:23" s="956" customFormat="1" ht="12.75">
      <c r="B69" s="982" t="s">
        <v>2142</v>
      </c>
      <c r="C69" s="982"/>
      <c r="D69" s="983">
        <v>46081</v>
      </c>
      <c r="E69" s="997">
        <f>SUM(E53:E68)</f>
        <v>4508086.3821727978</v>
      </c>
      <c r="F69" s="997">
        <f t="shared" ref="F69:I69" si="36">SUM(F53:F68)</f>
        <v>140819.64137799997</v>
      </c>
      <c r="G69" s="997">
        <f t="shared" si="36"/>
        <v>5169556</v>
      </c>
      <c r="H69" s="997">
        <f t="shared" si="36"/>
        <v>8223841.8367346935</v>
      </c>
      <c r="I69" s="997">
        <f t="shared" si="36"/>
        <v>172880</v>
      </c>
      <c r="J69" s="997">
        <f>SUM(J53:J68)</f>
        <v>67953.666666666672</v>
      </c>
      <c r="K69" s="997">
        <f>SUM(K53:K68)</f>
        <v>18283137.526952162</v>
      </c>
      <c r="L69" s="991"/>
      <c r="M69" s="997">
        <f t="shared" ref="M69" si="37">SUM(M53:M68)</f>
        <v>1420408.1632653065</v>
      </c>
      <c r="N69" s="997">
        <f t="shared" ref="N69" si="38">SUM(N53:N68)</f>
        <v>4065000</v>
      </c>
      <c r="O69" s="997">
        <f t="shared" ref="O69" si="39">SUM(O53:O68)</f>
        <v>5320000</v>
      </c>
    </row>
    <row r="70" spans="2:23" s="956" customFormat="1" ht="12.75">
      <c r="B70" s="982" t="s">
        <v>3071</v>
      </c>
      <c r="C70" s="982"/>
      <c r="D70" s="983">
        <v>46082</v>
      </c>
      <c r="E70" s="990">
        <f>(7201987-(4598910-2500000))*0.87583</f>
        <v>4469427.9289100002</v>
      </c>
      <c r="F70" s="990">
        <f>(238808-80000)*0.87583</f>
        <v>139088.81064000001</v>
      </c>
      <c r="G70" s="990">
        <f>G69</f>
        <v>5169556</v>
      </c>
      <c r="H70" s="990">
        <f>H69</f>
        <v>8223841.8367346935</v>
      </c>
      <c r="I70" s="990">
        <f>I69</f>
        <v>172880</v>
      </c>
      <c r="J70" s="990">
        <f>J69</f>
        <v>67953.666666666672</v>
      </c>
      <c r="K70" s="990">
        <f>SUM(E70:J70)</f>
        <v>18242748.24295136</v>
      </c>
      <c r="L70" s="991"/>
      <c r="M70" s="990">
        <f>M69</f>
        <v>1420408.1632653065</v>
      </c>
      <c r="N70" s="990">
        <f>N69</f>
        <v>4065000</v>
      </c>
      <c r="O70" s="990">
        <f>O69</f>
        <v>5320000</v>
      </c>
    </row>
    <row r="71" spans="2:23">
      <c r="B71" s="958" t="s">
        <v>2105</v>
      </c>
      <c r="D71" s="959">
        <v>46082</v>
      </c>
      <c r="K71" s="961">
        <f t="shared" ref="K71:K77" si="40">SUM(E71:J71)</f>
        <v>0</v>
      </c>
      <c r="M71" s="961">
        <f>-F71/75%</f>
        <v>0</v>
      </c>
      <c r="R71" s="958" t="s">
        <v>2144</v>
      </c>
      <c r="W71" s="958" t="str">
        <f>R71</f>
        <v>投资支付的现金</v>
      </c>
    </row>
    <row r="72" spans="2:23">
      <c r="B72" s="958" t="s">
        <v>2106</v>
      </c>
      <c r="D72" s="959">
        <v>46082</v>
      </c>
      <c r="K72" s="961">
        <f t="shared" si="40"/>
        <v>0</v>
      </c>
      <c r="M72" s="961">
        <f>-M71</f>
        <v>0</v>
      </c>
      <c r="N72" s="961">
        <f>-H72-M72</f>
        <v>0</v>
      </c>
      <c r="T72" s="958" t="s">
        <v>2144</v>
      </c>
      <c r="W72" s="958" t="s">
        <v>2144</v>
      </c>
    </row>
    <row r="73" spans="2:23">
      <c r="B73" s="958" t="s">
        <v>2107</v>
      </c>
      <c r="D73" s="959">
        <v>46082</v>
      </c>
      <c r="K73" s="961">
        <f t="shared" si="40"/>
        <v>0</v>
      </c>
      <c r="N73" s="961">
        <f>G73/1250*3650</f>
        <v>0</v>
      </c>
      <c r="O73" s="961">
        <f>-G73-N73</f>
        <v>0</v>
      </c>
      <c r="Q73" s="958" t="s">
        <v>2144</v>
      </c>
      <c r="W73" s="958" t="s">
        <v>2144</v>
      </c>
    </row>
    <row r="74" spans="2:23">
      <c r="B74" s="958" t="s">
        <v>2154</v>
      </c>
      <c r="D74" s="959">
        <v>46082</v>
      </c>
      <c r="K74" s="961">
        <f t="shared" si="40"/>
        <v>0</v>
      </c>
    </row>
    <row r="75" spans="2:23">
      <c r="B75" s="958" t="s">
        <v>2137</v>
      </c>
      <c r="D75" s="959">
        <v>46082</v>
      </c>
      <c r="E75" s="960">
        <f ca="1">-F75</f>
        <v>-557979.1830391665</v>
      </c>
      <c r="F75" s="960">
        <f ca="1">-F77</f>
        <v>557979.1830391665</v>
      </c>
      <c r="G75" s="1076">
        <v>210000</v>
      </c>
      <c r="I75" s="1076"/>
      <c r="K75" s="961">
        <f t="shared" ca="1" si="40"/>
        <v>210000</v>
      </c>
      <c r="O75" s="961">
        <f>-G75</f>
        <v>-210000</v>
      </c>
      <c r="Q75" s="958" t="str">
        <f t="shared" ref="Q75:V75" ca="1" si="41">IF(E75&gt;0,"收到的其他与筹资活动有关的现金","支付的其他与筹资活动有关的现金")</f>
        <v>支付的其他与筹资活动有关的现金</v>
      </c>
      <c r="R75" s="958" t="str">
        <f t="shared" ca="1" si="41"/>
        <v>收到的其他与筹资活动有关的现金</v>
      </c>
      <c r="S75" s="958" t="str">
        <f t="shared" si="41"/>
        <v>收到的其他与筹资活动有关的现金</v>
      </c>
      <c r="T75" s="958" t="str">
        <f t="shared" si="41"/>
        <v>支付的其他与筹资活动有关的现金</v>
      </c>
      <c r="U75" s="958" t="str">
        <f t="shared" si="41"/>
        <v>支付的其他与筹资活动有关的现金</v>
      </c>
      <c r="V75" s="958" t="str">
        <f t="shared" si="41"/>
        <v>支付的其他与筹资活动有关的现金</v>
      </c>
    </row>
    <row r="76" spans="2:23">
      <c r="B76" s="958" t="s">
        <v>2139</v>
      </c>
      <c r="D76" s="959">
        <v>46082</v>
      </c>
      <c r="E76" s="1076">
        <f>-I76</f>
        <v>0</v>
      </c>
      <c r="I76" s="1076"/>
      <c r="K76" s="961">
        <f t="shared" ref="K76" si="42">SUM(E76:J76)</f>
        <v>0</v>
      </c>
      <c r="P76" s="961"/>
      <c r="Q76" s="958" t="s">
        <v>2148</v>
      </c>
      <c r="R76" s="961"/>
      <c r="U76" s="958" t="s">
        <v>2149</v>
      </c>
    </row>
    <row r="77" spans="2:23">
      <c r="B77" s="958" t="s">
        <v>2108</v>
      </c>
      <c r="D77" s="959">
        <v>46082</v>
      </c>
      <c r="E77" s="960">
        <f ca="1">INDEX('CF-ACPLHK'!$E$29:$Q$29,MATCH(cashflow汇总实际!$D77,'CF-ACPLHK'!$E$4:$Q$4,0))+INDEX('CF-ACPLHK'!$E$38:$Q$38,MATCH($D77,'CF-ACPLHK'!$E$4:$Q$4,0))</f>
        <v>-599170.53886000009</v>
      </c>
      <c r="F77" s="960">
        <f ca="1">INDEX('CF-ACPL'!$E$29:$Q$29,MATCH($D77,'CF-ACPL'!$E$4:$Q$4,0))+INDEX('CF-ACPL'!$E$38:$Q$38,MATCH($D77,'CF-ACPL'!$E$4:$Q$4))</f>
        <v>-557979.1830391665</v>
      </c>
      <c r="G77" s="960">
        <v>-614817</v>
      </c>
      <c r="H77" s="960">
        <v>-360000</v>
      </c>
      <c r="I77" s="960">
        <f ca="1">INDEX('CF-ACPLGZ'!$E$29:$Q$29,MATCH(cashflow汇总实际!$D77,'CF-ACPLGZ'!$E$4:$Q$4,0))+INDEX('CF-ACPLGZ'!$E$38:$Q$38,MATCH($D77,'CF-ACPLGZ'!$E$4:$Q$4,0))</f>
        <v>-475</v>
      </c>
      <c r="J77" s="960">
        <f>INDEX('CF-ACPLYixing'!$E$29:$Q$29,MATCH($D77,'CF-ACPLYixing'!$E$4:$Q$4,0))+INDEX('CF-ACPLYixing'!$E$38:$Q$38,MATCH($D77,'CF-ACPLYixing'!$E$4:$Q$4,0))</f>
        <v>-83.333333333333329</v>
      </c>
      <c r="K77" s="961">
        <f t="shared" ca="1" si="40"/>
        <v>-2132525.0552325002</v>
      </c>
    </row>
    <row r="78" spans="2:23" s="956" customFormat="1" ht="12.75">
      <c r="B78" s="982" t="s">
        <v>2142</v>
      </c>
      <c r="C78" s="982"/>
      <c r="D78" s="983">
        <v>46112</v>
      </c>
      <c r="E78" s="997">
        <f ca="1">SUM(E70:E77)</f>
        <v>3312278.2070108335</v>
      </c>
      <c r="F78" s="997">
        <f ca="1">SUM(F70:F77)</f>
        <v>139088.81064000004</v>
      </c>
      <c r="G78" s="997">
        <f t="shared" ref="G78" si="43">SUM(G70:G77)</f>
        <v>4764739</v>
      </c>
      <c r="H78" s="997">
        <f>SUM(H70:H77)</f>
        <v>7863841.8367346935</v>
      </c>
      <c r="I78" s="997">
        <f ca="1">SUM(I70:I77)</f>
        <v>172405</v>
      </c>
      <c r="J78" s="997">
        <f>SUM(J70:J77)</f>
        <v>67870.333333333343</v>
      </c>
      <c r="K78" s="990">
        <f ca="1">SUM(K70:K77)</f>
        <v>16320223.187718859</v>
      </c>
      <c r="L78" s="991"/>
      <c r="M78" s="990">
        <f>SUM(M70:M77)</f>
        <v>1420408.1632653065</v>
      </c>
      <c r="N78" s="990">
        <f t="shared" ref="N78" si="44">SUM(N70:N77)</f>
        <v>4065000</v>
      </c>
      <c r="O78" s="990">
        <f>SUM(O70:O77)</f>
        <v>5110000</v>
      </c>
    </row>
    <row r="79" spans="2:23">
      <c r="B79" s="958" t="s">
        <v>2105</v>
      </c>
      <c r="D79" s="959">
        <v>46113</v>
      </c>
      <c r="F79" s="960">
        <f>-INDEX(情形1!$26:$26,MATCH(cashflow汇总实际!$D79,情形1!$3:$3,0))*10000</f>
        <v>0</v>
      </c>
      <c r="K79" s="961">
        <f t="shared" ref="K79:K83" si="45">SUM(E79:J79)</f>
        <v>0</v>
      </c>
      <c r="M79" s="961">
        <f>-F79/75%</f>
        <v>0</v>
      </c>
      <c r="R79" s="958" t="s">
        <v>2144</v>
      </c>
      <c r="W79" s="958" t="str">
        <f>R79</f>
        <v>投资支付的现金</v>
      </c>
    </row>
    <row r="80" spans="2:23">
      <c r="B80" s="958" t="s">
        <v>2106</v>
      </c>
      <c r="D80" s="959">
        <v>46113</v>
      </c>
      <c r="H80" s="960">
        <f>-INDEX(情形1!$30:$30,MATCH(cashflow汇总实际!$D80,情形1!$3:$3,0))*10000</f>
        <v>0</v>
      </c>
      <c r="K80" s="961">
        <f t="shared" si="45"/>
        <v>0</v>
      </c>
      <c r="M80" s="961">
        <f>-M79</f>
        <v>0</v>
      </c>
      <c r="N80" s="961">
        <f>-H80-M80</f>
        <v>0</v>
      </c>
      <c r="T80" s="958" t="s">
        <v>2144</v>
      </c>
      <c r="W80" s="958" t="s">
        <v>2144</v>
      </c>
    </row>
    <row r="81" spans="2:23">
      <c r="B81" s="958" t="s">
        <v>2107</v>
      </c>
      <c r="D81" s="959">
        <v>46113</v>
      </c>
      <c r="G81" s="960">
        <f>-基金资金安排!H13*10000</f>
        <v>-1275510.2040816327</v>
      </c>
      <c r="K81" s="961">
        <f t="shared" si="45"/>
        <v>-1275510.2040816327</v>
      </c>
      <c r="N81" s="961">
        <f>-基金资金安排!H14*10000</f>
        <v>-3724489.7959183673</v>
      </c>
      <c r="O81" s="961">
        <f>-G81-N81</f>
        <v>5000000</v>
      </c>
      <c r="Q81" s="958" t="s">
        <v>2144</v>
      </c>
      <c r="W81" s="958" t="s">
        <v>2144</v>
      </c>
    </row>
    <row r="82" spans="2:23">
      <c r="B82" s="958" t="s">
        <v>2154</v>
      </c>
      <c r="D82" s="959">
        <v>46113</v>
      </c>
      <c r="K82" s="961">
        <f t="shared" si="45"/>
        <v>0</v>
      </c>
      <c r="O82" s="961">
        <f>-10000000</f>
        <v>-10000000</v>
      </c>
    </row>
    <row r="83" spans="2:23">
      <c r="B83" s="958" t="s">
        <v>2137</v>
      </c>
      <c r="D83" s="959">
        <v>46113</v>
      </c>
      <c r="E83" s="960">
        <f ca="1">-F83-M83</f>
        <v>66360.816960833268</v>
      </c>
      <c r="F83" s="960">
        <f ca="1">-F84</f>
        <v>1353639.1830391667</v>
      </c>
      <c r="K83" s="961">
        <f t="shared" ca="1" si="45"/>
        <v>1420000</v>
      </c>
      <c r="M83" s="961">
        <v>-1420000</v>
      </c>
      <c r="Q83" s="958" t="str">
        <f t="shared" ref="Q83:V83" ca="1" si="46">IF(E83&gt;0,"收到的其他与筹资活动有关的现金","支付的其他与筹资活动有关的现金")</f>
        <v>收到的其他与筹资活动有关的现金</v>
      </c>
      <c r="R83" s="958" t="str">
        <f t="shared" ca="1" si="46"/>
        <v>收到的其他与筹资活动有关的现金</v>
      </c>
      <c r="S83" s="958" t="str">
        <f t="shared" si="46"/>
        <v>支付的其他与筹资活动有关的现金</v>
      </c>
      <c r="T83" s="958" t="str">
        <f t="shared" si="46"/>
        <v>支付的其他与筹资活动有关的现金</v>
      </c>
      <c r="U83" s="958" t="str">
        <f t="shared" si="46"/>
        <v>支付的其他与筹资活动有关的现金</v>
      </c>
      <c r="V83" s="958" t="str">
        <f t="shared" si="46"/>
        <v>支付的其他与筹资活动有关的现金</v>
      </c>
    </row>
    <row r="84" spans="2:23">
      <c r="B84" s="958" t="s">
        <v>2108</v>
      </c>
      <c r="D84" s="959">
        <v>46113</v>
      </c>
      <c r="E84" s="960">
        <f ca="1">INDEX('CF-ACPLHK'!$E$29:$Q$29,MATCH(cashflow汇总实际!$D84,'CF-ACPLHK'!$E$4:$Q$4,0))+INDEX('CF-ACPLHK'!$E$38:$Q$38,MATCH($D84,'CF-ACPLHK'!$E$4:$Q$4,0))</f>
        <v>-1049679.03886</v>
      </c>
      <c r="F84" s="960">
        <f ca="1">INDEX('CF-ACPL'!$E$29:$Q$29,MATCH($D84,'CF-ACPL'!$E$4:$Q$4,0))+INDEX('CF-ACPL'!$E$38:$Q$38,MATCH($D84,'CF-ACPL'!$E$4:$Q$4))</f>
        <v>-1353639.1830391667</v>
      </c>
      <c r="G84" s="960">
        <f>-582167-17250*1.2-362250</f>
        <v>-965117</v>
      </c>
      <c r="H84" s="960">
        <f>-340000-321000</f>
        <v>-661000</v>
      </c>
      <c r="I84" s="960">
        <f ca="1">INDEX('CF-ACPLGZ'!$E$29:$Q$29,MATCH(cashflow汇总实际!$D84,'CF-ACPLGZ'!$E$4:$Q$4,0))+INDEX('CF-ACPLGZ'!$E$38:$Q$38,MATCH($D84,'CF-ACPLGZ'!$E$4:$Q$4,0))</f>
        <v>-475</v>
      </c>
      <c r="J84" s="960">
        <f>INDEX('CF-ACPLYixing'!$E$29:$Q$29,MATCH($D84,'CF-ACPLYixing'!$E$4:$Q$4,0))+INDEX('CF-ACPLYixing'!$E$38:$Q$38,MATCH($D84,'CF-ACPLYixing'!$E$4:$Q$4,0))</f>
        <v>-83.333333333333329</v>
      </c>
      <c r="K84" s="961">
        <f t="shared" ref="K84" ca="1" si="47">SUM(E84:J84)</f>
        <v>-4029993.5552325002</v>
      </c>
    </row>
    <row r="85" spans="2:23" s="956" customFormat="1" ht="12.75">
      <c r="B85" s="982" t="s">
        <v>2142</v>
      </c>
      <c r="C85" s="982"/>
      <c r="D85" s="983">
        <v>46142</v>
      </c>
      <c r="E85" s="997">
        <f t="shared" ref="E85:K85" ca="1" si="48">SUM(E78:E84)</f>
        <v>2328959.9851116668</v>
      </c>
      <c r="F85" s="997">
        <f t="shared" ca="1" si="48"/>
        <v>139088.81064000004</v>
      </c>
      <c r="G85" s="997">
        <f t="shared" si="48"/>
        <v>2524111.7959183673</v>
      </c>
      <c r="H85" s="997">
        <f t="shared" si="48"/>
        <v>7202841.8367346935</v>
      </c>
      <c r="I85" s="997">
        <f t="shared" ca="1" si="48"/>
        <v>171930</v>
      </c>
      <c r="J85" s="997">
        <f t="shared" si="48"/>
        <v>67787.000000000015</v>
      </c>
      <c r="K85" s="990">
        <f t="shared" ca="1" si="48"/>
        <v>12434719.428404726</v>
      </c>
      <c r="L85" s="991"/>
      <c r="M85" s="990">
        <f>SUM(M78:M84)</f>
        <v>408.16326530650258</v>
      </c>
      <c r="N85" s="990">
        <f>SUM(N78:N84)</f>
        <v>340510.20408163266</v>
      </c>
      <c r="O85" s="990">
        <f>SUM(O78:O84)</f>
        <v>110000</v>
      </c>
    </row>
    <row r="86" spans="2:23">
      <c r="B86" s="958" t="s">
        <v>2100</v>
      </c>
      <c r="D86" s="959">
        <v>46143</v>
      </c>
      <c r="J86" s="960">
        <v>43500000</v>
      </c>
      <c r="K86" s="961">
        <f>SUM(E86:J86)</f>
        <v>43500000</v>
      </c>
      <c r="V86" s="958" t="s">
        <v>2148</v>
      </c>
      <c r="W86" s="958" t="s">
        <v>2148</v>
      </c>
    </row>
    <row r="87" spans="2:23">
      <c r="B87" s="958" t="s">
        <v>2102</v>
      </c>
      <c r="D87" s="959">
        <v>46143</v>
      </c>
      <c r="J87" s="960">
        <f>J57*(1+4%*3/12)</f>
        <v>-15150000</v>
      </c>
      <c r="K87" s="961">
        <f>SUM(E87:J87)</f>
        <v>-15150000</v>
      </c>
      <c r="R87" s="958" t="s">
        <v>2150</v>
      </c>
      <c r="V87" s="958" t="s">
        <v>2150</v>
      </c>
      <c r="W87" s="958" t="s">
        <v>2150</v>
      </c>
    </row>
    <row r="88" spans="2:23">
      <c r="B88" s="958" t="s">
        <v>2101</v>
      </c>
      <c r="D88" s="959">
        <v>46143</v>
      </c>
      <c r="J88" s="960">
        <f>-19650000-250000</f>
        <v>-19900000</v>
      </c>
      <c r="K88" s="961">
        <f>SUM(E88:J88)</f>
        <v>-19900000</v>
      </c>
      <c r="V88" s="958" t="s">
        <v>2150</v>
      </c>
      <c r="W88" s="958" t="s">
        <v>2150</v>
      </c>
    </row>
    <row r="89" spans="2:23">
      <c r="B89" s="958" t="s">
        <v>2135</v>
      </c>
      <c r="D89" s="959">
        <v>46143</v>
      </c>
      <c r="G89" s="960">
        <f>-J89*10%</f>
        <v>845000</v>
      </c>
      <c r="I89" s="960">
        <f>-J89*0.9</f>
        <v>7605000</v>
      </c>
      <c r="J89" s="960">
        <f>-SUM(J86:J88)</f>
        <v>-8450000</v>
      </c>
      <c r="K89" s="961">
        <f>SUM(E89:J89)</f>
        <v>0</v>
      </c>
      <c r="Q89" s="958" t="s">
        <v>2146</v>
      </c>
      <c r="S89" s="958" t="s">
        <v>2148</v>
      </c>
      <c r="U89" s="958" t="s">
        <v>2148</v>
      </c>
      <c r="V89" s="958" t="s">
        <v>2149</v>
      </c>
    </row>
    <row r="90" spans="2:23">
      <c r="B90" s="958" t="s">
        <v>2137</v>
      </c>
      <c r="D90" s="959">
        <v>46143</v>
      </c>
      <c r="G90" s="960">
        <v>3000000</v>
      </c>
      <c r="I90" s="960">
        <f>-G90</f>
        <v>-3000000</v>
      </c>
      <c r="K90" s="961">
        <f t="shared" ref="K90:K92" si="49">SUM(E90:J90)</f>
        <v>0</v>
      </c>
      <c r="M90" s="961">
        <f>-M54</f>
        <v>0</v>
      </c>
      <c r="Q90" s="958" t="str">
        <f t="shared" ref="Q90:V90" si="50">IF(E90&gt;0,"收到的其他与筹资活动有关的现金","支付的其他与筹资活动有关的现金")</f>
        <v>支付的其他与筹资活动有关的现金</v>
      </c>
      <c r="R90" s="958" t="str">
        <f t="shared" si="50"/>
        <v>支付的其他与筹资活动有关的现金</v>
      </c>
      <c r="S90" s="958" t="str">
        <f t="shared" si="50"/>
        <v>收到的其他与筹资活动有关的现金</v>
      </c>
      <c r="T90" s="958" t="str">
        <f t="shared" si="50"/>
        <v>支付的其他与筹资活动有关的现金</v>
      </c>
      <c r="U90" s="958" t="str">
        <f t="shared" si="50"/>
        <v>支付的其他与筹资活动有关的现金</v>
      </c>
      <c r="V90" s="958" t="str">
        <f t="shared" si="50"/>
        <v>支付的其他与筹资活动有关的现金</v>
      </c>
    </row>
    <row r="91" spans="2:23">
      <c r="B91" s="958" t="s">
        <v>2139</v>
      </c>
      <c r="D91" s="959">
        <v>46143</v>
      </c>
      <c r="E91" s="960">
        <f>-I91</f>
        <v>4505000</v>
      </c>
      <c r="I91" s="960">
        <f>-SUM(I89:I90)+100000</f>
        <v>-4505000</v>
      </c>
      <c r="K91" s="961">
        <f t="shared" si="49"/>
        <v>0</v>
      </c>
      <c r="Q91" s="958" t="s">
        <v>2148</v>
      </c>
      <c r="U91" s="958" t="s">
        <v>2149</v>
      </c>
    </row>
    <row r="92" spans="2:23">
      <c r="B92" s="958" t="s">
        <v>3140</v>
      </c>
      <c r="D92" s="959">
        <v>46143</v>
      </c>
      <c r="K92" s="961">
        <f t="shared" si="49"/>
        <v>0</v>
      </c>
      <c r="S92" s="958" t="s">
        <v>2144</v>
      </c>
    </row>
    <row r="93" spans="2:23">
      <c r="B93" s="958" t="s">
        <v>2105</v>
      </c>
      <c r="D93" s="959">
        <v>46143</v>
      </c>
      <c r="F93" s="960">
        <f>-INDEX(情形1!$26:$26,MATCH(cashflow汇总实际!$D93,情形1!$3:$3,0))*10000</f>
        <v>0</v>
      </c>
      <c r="K93" s="961">
        <f t="shared" ref="K93:K98" si="51">SUM(E93:J93)</f>
        <v>0</v>
      </c>
      <c r="M93" s="961">
        <f>-F93/75%</f>
        <v>0</v>
      </c>
      <c r="R93" s="958" t="s">
        <v>2144</v>
      </c>
      <c r="W93" s="958" t="str">
        <f>R93</f>
        <v>投资支付的现金</v>
      </c>
    </row>
    <row r="94" spans="2:23">
      <c r="B94" s="958" t="s">
        <v>2106</v>
      </c>
      <c r="D94" s="959">
        <v>46143</v>
      </c>
      <c r="H94" s="960">
        <f>-INDEX(情形1!$30:$30,MATCH(cashflow汇总实际!$D94,情形1!$3:$3,0))*10000</f>
        <v>0</v>
      </c>
      <c r="K94" s="961">
        <f t="shared" si="51"/>
        <v>0</v>
      </c>
      <c r="M94" s="961">
        <f>H94/900*4000</f>
        <v>0</v>
      </c>
      <c r="N94" s="961">
        <f>-H94-M94</f>
        <v>0</v>
      </c>
      <c r="T94" s="958" t="s">
        <v>2144</v>
      </c>
      <c r="W94" s="958" t="s">
        <v>2144</v>
      </c>
    </row>
    <row r="95" spans="2:23">
      <c r="B95" s="958" t="s">
        <v>2107</v>
      </c>
      <c r="D95" s="959">
        <v>46143</v>
      </c>
      <c r="G95" s="960">
        <f>-INDEX(情形1!$28:$28,MATCH(cashflow汇总实际!$D95,情形1!$3:$3))*10000</f>
        <v>0</v>
      </c>
      <c r="K95" s="961">
        <f t="shared" si="51"/>
        <v>0</v>
      </c>
      <c r="N95" s="961">
        <f>G95/1250*3650</f>
        <v>0</v>
      </c>
      <c r="O95" s="961">
        <f>-G95-N95</f>
        <v>0</v>
      </c>
      <c r="Q95" s="958" t="s">
        <v>2144</v>
      </c>
      <c r="W95" s="958" t="s">
        <v>2144</v>
      </c>
    </row>
    <row r="96" spans="2:23">
      <c r="B96" s="958" t="s">
        <v>2154</v>
      </c>
      <c r="D96" s="959">
        <v>46143</v>
      </c>
      <c r="K96" s="961">
        <f t="shared" si="51"/>
        <v>0</v>
      </c>
      <c r="O96" s="961">
        <f>-INDEX(情形1!$32:$32,MATCH(cashflow汇总实际!D96,情形1!$3:$3,0))*10000</f>
        <v>0</v>
      </c>
    </row>
    <row r="97" spans="2:23">
      <c r="B97" s="958" t="s">
        <v>2137</v>
      </c>
      <c r="D97" s="959">
        <v>46143</v>
      </c>
      <c r="E97" s="960">
        <f ca="1">-F97-M97</f>
        <v>-2093968.9830391663</v>
      </c>
      <c r="F97" s="960">
        <f ca="1">-F98</f>
        <v>673968.98303916643</v>
      </c>
      <c r="K97" s="961">
        <f t="shared" ca="1" si="51"/>
        <v>-1420000</v>
      </c>
      <c r="M97" s="961">
        <f>-M83</f>
        <v>1420000</v>
      </c>
      <c r="Q97" s="958" t="str">
        <f t="shared" ref="Q97:V97" ca="1" si="52">IF(E97&gt;0,"收到的其他与筹资活动有关的现金","支付的其他与筹资活动有关的现金")</f>
        <v>支付的其他与筹资活动有关的现金</v>
      </c>
      <c r="R97" s="958" t="str">
        <f t="shared" ca="1" si="52"/>
        <v>收到的其他与筹资活动有关的现金</v>
      </c>
      <c r="S97" s="958" t="str">
        <f t="shared" si="52"/>
        <v>支付的其他与筹资活动有关的现金</v>
      </c>
      <c r="T97" s="958" t="str">
        <f t="shared" si="52"/>
        <v>支付的其他与筹资活动有关的现金</v>
      </c>
      <c r="U97" s="958" t="str">
        <f t="shared" si="52"/>
        <v>支付的其他与筹资活动有关的现金</v>
      </c>
      <c r="V97" s="958" t="str">
        <f t="shared" si="52"/>
        <v>支付的其他与筹资活动有关的现金</v>
      </c>
    </row>
    <row r="98" spans="2:23">
      <c r="B98" s="958" t="s">
        <v>2108</v>
      </c>
      <c r="D98" s="959">
        <v>46143</v>
      </c>
      <c r="E98" s="960">
        <f ca="1">INDEX('CF-ACPLHK'!$E$29:$Q$29,MATCH(cashflow汇总实际!$D98,'CF-ACPLHK'!$E$4:$Q$4,0))+INDEX('CF-ACPLHK'!$E$38:$Q$38,MATCH($D98,'CF-ACPLHK'!$E$4:$Q$4,0))</f>
        <v>-434813.39406153827</v>
      </c>
      <c r="F98" s="960">
        <f ca="1">INDEX('CF-ACPL'!$E$29:$Q$29,MATCH($D98,'CF-ACPL'!$E$4:$Q$4,0))+INDEX('CF-ACPL'!$E$38:$Q$38,MATCH($D98,'CF-ACPL'!$E$4:$Q$4))</f>
        <v>-673968.98303916643</v>
      </c>
      <c r="G98" s="960">
        <f ca="1">INDEX('CF-ACPLSZ'!$E$29:$Q$29,MATCH($D98,'CF-ACPLSZ'!$E$4:$Q$4,0))+INDEX('CF-ACPLSZ'!$E$38:$Q$38,MATCH($D98,'CF-ACPLSZ'!$E$4:$Q$4))</f>
        <v>1946329.2542905274</v>
      </c>
      <c r="H98" s="960">
        <f ca="1">INDEX('CF-ACPSZL'!$E$29:$Q$29,MATCH(cashflow汇总实际!$D98,'CF-ACPSZL'!$E$4:$Q$4,0))+INDEX('CF-ACPSZL'!$E$38:$Q$38,MATCH($D98,'CF-ACPSZL'!$E$4:$Q$4,0))</f>
        <v>-358787.23666666669</v>
      </c>
      <c r="I98" s="960">
        <f ca="1">INDEX('CF-ACPLGZ'!$E$29:$Q$29,MATCH(cashflow汇总实际!$D98,'CF-ACPLGZ'!$E$4:$Q$4,0))+INDEX('CF-ACPLGZ'!$E$38:$Q$38,MATCH($D98,'CF-ACPLGZ'!$E$4:$Q$4,0))</f>
        <v>-475</v>
      </c>
      <c r="J98" s="960">
        <f>INDEX('CF-ACPLYixing'!$E$29:$Q$29,MATCH($D98,'CF-ACPLYixing'!$E$4:$Q$4,0))+INDEX('CF-ACPLYixing'!$E$38:$Q$38,MATCH($D98,'CF-ACPLYixing'!$E$4:$Q$4,0))</f>
        <v>-83.333333333333329</v>
      </c>
      <c r="K98" s="961">
        <f t="shared" ca="1" si="51"/>
        <v>478201.30718982272</v>
      </c>
    </row>
    <row r="99" spans="2:23" s="956" customFormat="1" ht="12.75">
      <c r="B99" s="982" t="s">
        <v>2142</v>
      </c>
      <c r="C99" s="982"/>
      <c r="D99" s="983">
        <v>46173</v>
      </c>
      <c r="E99" s="997">
        <f t="shared" ref="E99:K99" ca="1" si="53">SUM(E85:E98)</f>
        <v>4305177.6080109617</v>
      </c>
      <c r="F99" s="997">
        <f t="shared" ca="1" si="53"/>
        <v>139088.81064000004</v>
      </c>
      <c r="G99" s="997">
        <f t="shared" ca="1" si="53"/>
        <v>8315441.0502088955</v>
      </c>
      <c r="H99" s="997">
        <f t="shared" ca="1" si="53"/>
        <v>6844054.6000680272</v>
      </c>
      <c r="I99" s="997">
        <f t="shared" ca="1" si="53"/>
        <v>271455</v>
      </c>
      <c r="J99" s="997">
        <f t="shared" si="53"/>
        <v>67703.666666666672</v>
      </c>
      <c r="K99" s="990">
        <f t="shared" ca="1" si="53"/>
        <v>19942920.735594548</v>
      </c>
      <c r="L99" s="991"/>
      <c r="M99" s="990">
        <f t="shared" ref="M99:O99" si="54">SUM(M85:M98)</f>
        <v>1420408.1632653065</v>
      </c>
      <c r="N99" s="990">
        <f t="shared" si="54"/>
        <v>340510.20408163266</v>
      </c>
      <c r="O99" s="990">
        <f t="shared" si="54"/>
        <v>110000</v>
      </c>
    </row>
    <row r="100" spans="2:23">
      <c r="B100" s="958" t="s">
        <v>2105</v>
      </c>
      <c r="D100" s="959">
        <v>46174</v>
      </c>
      <c r="F100" s="960">
        <f>-INDEX(情形1!$26:$26,MATCH(cashflow汇总实际!$D100,情形1!$3:$3,0))*10000</f>
        <v>0</v>
      </c>
      <c r="K100" s="961">
        <f t="shared" ref="K100:K105" si="55">SUM(E100:J100)</f>
        <v>0</v>
      </c>
      <c r="M100" s="961">
        <f>-F100/75%</f>
        <v>0</v>
      </c>
      <c r="R100" s="958" t="s">
        <v>2144</v>
      </c>
      <c r="W100" s="958" t="str">
        <f>R100</f>
        <v>投资支付的现金</v>
      </c>
    </row>
    <row r="101" spans="2:23">
      <c r="B101" s="958" t="s">
        <v>2106</v>
      </c>
      <c r="D101" s="959">
        <v>46174</v>
      </c>
      <c r="H101" s="960">
        <f>-INDEX(情形1!$30:$30,MATCH(cashflow汇总实际!$D101,情形1!$3:$3,0))*10000</f>
        <v>0</v>
      </c>
      <c r="K101" s="961">
        <f t="shared" si="55"/>
        <v>0</v>
      </c>
      <c r="M101" s="961">
        <f>H101/900*4000</f>
        <v>0</v>
      </c>
      <c r="N101" s="961">
        <f>-H101-M101</f>
        <v>0</v>
      </c>
      <c r="T101" s="958" t="s">
        <v>2144</v>
      </c>
      <c r="W101" s="958" t="s">
        <v>2144</v>
      </c>
    </row>
    <row r="102" spans="2:23">
      <c r="B102" s="958" t="s">
        <v>2107</v>
      </c>
      <c r="D102" s="959">
        <v>46174</v>
      </c>
      <c r="G102" s="960">
        <f>-INDEX(情形1!$28:$28,MATCH(cashflow汇总实际!$D102,情形1!$3:$3))*10000</f>
        <v>0</v>
      </c>
      <c r="K102" s="961">
        <f t="shared" si="55"/>
        <v>0</v>
      </c>
      <c r="N102" s="961">
        <f>G102/1250*3650</f>
        <v>0</v>
      </c>
      <c r="O102" s="961">
        <f>-G102-N102</f>
        <v>0</v>
      </c>
      <c r="Q102" s="958" t="s">
        <v>2144</v>
      </c>
      <c r="W102" s="958" t="s">
        <v>2144</v>
      </c>
    </row>
    <row r="103" spans="2:23">
      <c r="B103" s="958" t="s">
        <v>2154</v>
      </c>
      <c r="D103" s="959">
        <v>46174</v>
      </c>
      <c r="K103" s="961">
        <f t="shared" si="55"/>
        <v>0</v>
      </c>
      <c r="O103" s="961">
        <f>-INDEX(情形1!$32:$32,MATCH(cashflow汇总实际!D103,情形1!$3:$3,0))*10000</f>
        <v>0</v>
      </c>
    </row>
    <row r="104" spans="2:23">
      <c r="B104" s="958" t="s">
        <v>2137</v>
      </c>
      <c r="D104" s="959">
        <v>46174</v>
      </c>
      <c r="E104" s="960">
        <f ca="1">-F104</f>
        <v>-524347.86303916667</v>
      </c>
      <c r="F104" s="960">
        <f ca="1">-F105</f>
        <v>524347.86303916667</v>
      </c>
      <c r="K104" s="961">
        <f t="shared" ca="1" si="55"/>
        <v>0</v>
      </c>
      <c r="Q104" s="958" t="str">
        <f t="shared" ref="Q104:V104" ca="1" si="56">IF(E104&gt;0,"收到的其他与筹资活动有关的现金","支付的其他与筹资活动有关的现金")</f>
        <v>支付的其他与筹资活动有关的现金</v>
      </c>
      <c r="R104" s="958" t="str">
        <f t="shared" ca="1" si="56"/>
        <v>收到的其他与筹资活动有关的现金</v>
      </c>
      <c r="S104" s="958" t="str">
        <f t="shared" si="56"/>
        <v>支付的其他与筹资活动有关的现金</v>
      </c>
      <c r="T104" s="958" t="str">
        <f t="shared" si="56"/>
        <v>支付的其他与筹资活动有关的现金</v>
      </c>
      <c r="U104" s="958" t="str">
        <f t="shared" si="56"/>
        <v>支付的其他与筹资活动有关的现金</v>
      </c>
      <c r="V104" s="958" t="str">
        <f t="shared" si="56"/>
        <v>支付的其他与筹资活动有关的现金</v>
      </c>
    </row>
    <row r="105" spans="2:23">
      <c r="B105" s="958" t="s">
        <v>2108</v>
      </c>
      <c r="D105" s="959">
        <v>46174</v>
      </c>
      <c r="E105" s="960">
        <f ca="1">INDEX('CF-ACPLHK'!$E$29:$Q$29,MATCH(cashflow汇总实际!$D105,'CF-ACPLHK'!$E$4:$Q$4,0))+INDEX('CF-ACPLHK'!$E$38:$Q$38,MATCH($D105,'CF-ACPLHK'!$E$4:$Q$4,0))</f>
        <v>-559980.98886000004</v>
      </c>
      <c r="F105" s="960">
        <f ca="1">INDEX('CF-ACPL'!$E$29:$Q$29,MATCH($D105,'CF-ACPL'!$E$4:$Q$4,0))+INDEX('CF-ACPL'!$E$38:$Q$38,MATCH($D105,'CF-ACPL'!$E$4:$Q$4))</f>
        <v>-524347.86303916667</v>
      </c>
      <c r="G105" s="960">
        <f ca="1">INDEX('CF-ACPLSZ'!$E$29:$Q$29,MATCH($D105,'CF-ACPLSZ'!$E$4:$Q$4,0))+INDEX('CF-ACPLSZ'!$E$38:$Q$38,MATCH($D105,'CF-ACPLSZ'!$E$4:$Q$4))</f>
        <v>-838944.1012811627</v>
      </c>
      <c r="H105" s="960">
        <f ca="1">INDEX('CF-ACPSZL'!$E$29:$Q$29,MATCH(cashflow汇总实际!$D105,'CF-ACPSZL'!$E$4:$Q$4,0))+INDEX('CF-ACPSZL'!$E$38:$Q$38,MATCH($D105,'CF-ACPSZL'!$E$4:$Q$4,0))</f>
        <v>-453307.23666666669</v>
      </c>
      <c r="I105" s="960">
        <f ca="1">INDEX('CF-ACPLGZ'!$E$29:$Q$29,MATCH(cashflow汇总实际!$D105,'CF-ACPLGZ'!$E$4:$Q$4,0))+INDEX('CF-ACPLGZ'!$E$38:$Q$38,MATCH($D105,'CF-ACPLGZ'!$E$4:$Q$4,0))</f>
        <v>-52345</v>
      </c>
      <c r="J105" s="960">
        <f>INDEX('CF-ACPLYixing'!$E$29:$Q$29,MATCH($D105,'CF-ACPLYixing'!$E$4:$Q$4,0))+INDEX('CF-ACPLYixing'!$E$38:$Q$38,MATCH($D105,'CF-ACPLYixing'!$E$4:$Q$4,0))</f>
        <v>-17083.333333333332</v>
      </c>
      <c r="K105" s="961">
        <f t="shared" ca="1" si="55"/>
        <v>-2446008.5231803297</v>
      </c>
    </row>
    <row r="106" spans="2:23" s="956" customFormat="1" ht="12.75">
      <c r="B106" s="982" t="s">
        <v>2142</v>
      </c>
      <c r="C106" s="982"/>
      <c r="D106" s="983">
        <v>46203</v>
      </c>
      <c r="E106" s="997">
        <f t="shared" ref="E106:K106" ca="1" si="57">SUM(E99:E105)</f>
        <v>3220848.7561117951</v>
      </c>
      <c r="F106" s="997">
        <f t="shared" ca="1" si="57"/>
        <v>139088.81064000004</v>
      </c>
      <c r="G106" s="997">
        <f t="shared" ca="1" si="57"/>
        <v>7476496.9489277331</v>
      </c>
      <c r="H106" s="997">
        <f t="shared" ca="1" si="57"/>
        <v>6390747.3634013608</v>
      </c>
      <c r="I106" s="997">
        <f t="shared" ca="1" si="57"/>
        <v>219110</v>
      </c>
      <c r="J106" s="997">
        <f t="shared" si="57"/>
        <v>50620.333333333343</v>
      </c>
      <c r="K106" s="990">
        <f t="shared" ca="1" si="57"/>
        <v>17496912.21241422</v>
      </c>
      <c r="L106" s="991"/>
      <c r="M106" s="990">
        <f>SUM(M99:M105)</f>
        <v>1420408.1632653065</v>
      </c>
      <c r="N106" s="990">
        <f>SUM(N99:N105)</f>
        <v>340510.20408163266</v>
      </c>
      <c r="O106" s="990">
        <f>SUM(O99:O105)</f>
        <v>110000</v>
      </c>
    </row>
    <row r="107" spans="2:23">
      <c r="B107" s="958" t="s">
        <v>2105</v>
      </c>
      <c r="D107" s="959">
        <v>46204</v>
      </c>
      <c r="F107" s="960">
        <f>-INDEX(情形1!$26:$26,MATCH(cashflow汇总实际!$D107,情形1!$3:$3,0))*10000</f>
        <v>0</v>
      </c>
      <c r="K107" s="961">
        <f t="shared" ref="K107:K112" si="58">SUM(E107:J107)</f>
        <v>0</v>
      </c>
      <c r="M107" s="961">
        <f>-F107/75%</f>
        <v>0</v>
      </c>
      <c r="R107" s="958" t="s">
        <v>2144</v>
      </c>
      <c r="W107" s="958" t="str">
        <f>R107</f>
        <v>投资支付的现金</v>
      </c>
    </row>
    <row r="108" spans="2:23">
      <c r="B108" s="958" t="s">
        <v>2106</v>
      </c>
      <c r="D108" s="959">
        <v>46204</v>
      </c>
      <c r="H108" s="960">
        <f>-INDEX(情形1!$30:$30,MATCH(cashflow汇总实际!$D108,情形1!$3:$3,0))*10000</f>
        <v>0</v>
      </c>
      <c r="K108" s="961">
        <f t="shared" si="58"/>
        <v>0</v>
      </c>
      <c r="M108" s="961">
        <f>H108/900*4000</f>
        <v>0</v>
      </c>
      <c r="N108" s="961">
        <f>-H108-M108</f>
        <v>0</v>
      </c>
      <c r="T108" s="958" t="s">
        <v>2144</v>
      </c>
      <c r="W108" s="958" t="s">
        <v>2144</v>
      </c>
    </row>
    <row r="109" spans="2:23">
      <c r="B109" s="958" t="s">
        <v>2107</v>
      </c>
      <c r="D109" s="959">
        <v>46204</v>
      </c>
      <c r="G109" s="960">
        <f>-INDEX(情形1!$28:$28,MATCH(cashflow汇总实际!$D109,情形1!$3:$3))*10000</f>
        <v>0</v>
      </c>
      <c r="K109" s="961">
        <f t="shared" si="58"/>
        <v>0</v>
      </c>
      <c r="N109" s="961">
        <f>G109/1250*3650</f>
        <v>0</v>
      </c>
      <c r="O109" s="961">
        <f>-G109-N109</f>
        <v>0</v>
      </c>
      <c r="Q109" s="958" t="s">
        <v>2144</v>
      </c>
      <c r="W109" s="958" t="s">
        <v>2144</v>
      </c>
    </row>
    <row r="110" spans="2:23">
      <c r="B110" s="958" t="s">
        <v>2154</v>
      </c>
      <c r="D110" s="959">
        <v>46204</v>
      </c>
      <c r="K110" s="961">
        <f t="shared" si="58"/>
        <v>0</v>
      </c>
      <c r="O110" s="961">
        <f>-INDEX(情形1!$32:$32,MATCH(cashflow汇总实际!D110,情形1!$3:$3,0))*10000</f>
        <v>0</v>
      </c>
    </row>
    <row r="111" spans="2:23">
      <c r="B111" s="958" t="s">
        <v>2137</v>
      </c>
      <c r="D111" s="959">
        <v>46204</v>
      </c>
      <c r="E111" s="960">
        <f ca="1">-F111</f>
        <v>-445479.18303916662</v>
      </c>
      <c r="F111" s="960">
        <f ca="1">-F112</f>
        <v>445479.18303916662</v>
      </c>
      <c r="K111" s="961">
        <f t="shared" ca="1" si="58"/>
        <v>0</v>
      </c>
      <c r="Q111" s="958" t="str">
        <f t="shared" ref="Q111:V111" ca="1" si="59">IF(E111&gt;0,"收到的其他与筹资活动有关的现金","支付的其他与筹资活动有关的现金")</f>
        <v>支付的其他与筹资活动有关的现金</v>
      </c>
      <c r="R111" s="958" t="str">
        <f t="shared" ca="1" si="59"/>
        <v>收到的其他与筹资活动有关的现金</v>
      </c>
      <c r="S111" s="958" t="str">
        <f t="shared" si="59"/>
        <v>支付的其他与筹资活动有关的现金</v>
      </c>
      <c r="T111" s="958" t="str">
        <f t="shared" si="59"/>
        <v>支付的其他与筹资活动有关的现金</v>
      </c>
      <c r="U111" s="958" t="str">
        <f t="shared" si="59"/>
        <v>支付的其他与筹资活动有关的现金</v>
      </c>
      <c r="V111" s="958" t="str">
        <f t="shared" si="59"/>
        <v>支付的其他与筹资活动有关的现金</v>
      </c>
    </row>
    <row r="112" spans="2:23">
      <c r="B112" s="958" t="s">
        <v>2108</v>
      </c>
      <c r="D112" s="959">
        <v>46204</v>
      </c>
      <c r="E112" s="960">
        <f ca="1">INDEX('CF-ACPLHK'!$E$29:$Q$29,MATCH(cashflow汇总实际!$D112,'CF-ACPLHK'!$E$4:$Q$4,0))+INDEX('CF-ACPLHK'!$E$38:$Q$38,MATCH($D112,'CF-ACPLHK'!$E$4:$Q$4,0))</f>
        <v>-108127.71998740541</v>
      </c>
      <c r="F112" s="960">
        <f ca="1">INDEX('CF-ACPL'!$E$29:$Q$29,MATCH($D112,'CF-ACPL'!$E$4:$Q$4,0))+INDEX('CF-ACPL'!$E$38:$Q$38,MATCH($D112,'CF-ACPL'!$E$4:$Q$4))</f>
        <v>-445479.18303916662</v>
      </c>
      <c r="G112" s="960">
        <f ca="1">INDEX('CF-ACPLSZ'!$E$29:$Q$29,MATCH($D112,'CF-ACPLSZ'!$E$4:$Q$4,0))+INDEX('CF-ACPLSZ'!$E$38:$Q$38,MATCH($D112,'CF-ACPLSZ'!$E$4:$Q$4))</f>
        <v>314076.89986082533</v>
      </c>
      <c r="H112" s="960">
        <f ca="1">INDEX('CF-ACPSZL'!$E$29:$Q$29,MATCH(cashflow汇总实际!$D112,'CF-ACPSZL'!$E$4:$Q$4,0))+INDEX('CF-ACPSZL'!$E$38:$Q$38,MATCH($D112,'CF-ACPSZL'!$E$4:$Q$4,0))</f>
        <v>-370009.50333333341</v>
      </c>
      <c r="I112" s="960">
        <f ca="1">INDEX('CF-ACPLGZ'!$E$29:$Q$29,MATCH(cashflow汇总实际!$D112,'CF-ACPLGZ'!$E$4:$Q$4,0))+INDEX('CF-ACPLGZ'!$E$38:$Q$38,MATCH($D112,'CF-ACPLGZ'!$E$4:$Q$4,0))</f>
        <v>-475</v>
      </c>
      <c r="J112" s="960">
        <f>INDEX('CF-ACPLYixing'!$E$29:$Q$29,MATCH($D112,'CF-ACPLYixing'!$E$4:$Q$4,0))+INDEX('CF-ACPLYixing'!$E$38:$Q$38,MATCH($D112,'CF-ACPLYixing'!$E$4:$Q$4,0))</f>
        <v>-83.333333333333329</v>
      </c>
      <c r="K112" s="961">
        <f t="shared" ca="1" si="58"/>
        <v>-610097.83983241336</v>
      </c>
    </row>
    <row r="113" spans="2:23" s="956" customFormat="1" ht="12.75">
      <c r="B113" s="982" t="s">
        <v>2142</v>
      </c>
      <c r="C113" s="982"/>
      <c r="D113" s="983">
        <v>46234</v>
      </c>
      <c r="E113" s="997">
        <f t="shared" ref="E113:K113" ca="1" si="60">SUM(E106:E112)</f>
        <v>2667241.8530852231</v>
      </c>
      <c r="F113" s="997">
        <f t="shared" ca="1" si="60"/>
        <v>139088.81064000004</v>
      </c>
      <c r="G113" s="997">
        <f t="shared" ca="1" si="60"/>
        <v>7790573.8487885585</v>
      </c>
      <c r="H113" s="997">
        <f t="shared" ca="1" si="60"/>
        <v>6020737.8600680269</v>
      </c>
      <c r="I113" s="997">
        <f t="shared" ca="1" si="60"/>
        <v>218635</v>
      </c>
      <c r="J113" s="997">
        <f t="shared" si="60"/>
        <v>50537.000000000007</v>
      </c>
      <c r="K113" s="990">
        <f t="shared" ca="1" si="60"/>
        <v>16886814.372581806</v>
      </c>
      <c r="L113" s="991"/>
      <c r="M113" s="990">
        <f t="shared" ref="M113:O113" si="61">SUM(M106:M112)</f>
        <v>1420408.1632653065</v>
      </c>
      <c r="N113" s="990">
        <f t="shared" si="61"/>
        <v>340510.20408163266</v>
      </c>
      <c r="O113" s="990">
        <f t="shared" si="61"/>
        <v>110000</v>
      </c>
    </row>
    <row r="114" spans="2:23">
      <c r="B114" s="958" t="s">
        <v>2105</v>
      </c>
      <c r="D114" s="959">
        <v>46235</v>
      </c>
      <c r="F114" s="960">
        <f>-INDEX(情形1!$26:$26,MATCH(cashflow汇总实际!$D114,情形1!$3:$3,0))*10000</f>
        <v>0</v>
      </c>
      <c r="K114" s="961">
        <f t="shared" ref="K114:K119" si="62">SUM(E114:J114)</f>
        <v>0</v>
      </c>
      <c r="M114" s="961">
        <f>-F114/75%</f>
        <v>0</v>
      </c>
      <c r="R114" s="958" t="s">
        <v>2144</v>
      </c>
      <c r="W114" s="958" t="str">
        <f>R114</f>
        <v>投资支付的现金</v>
      </c>
    </row>
    <row r="115" spans="2:23">
      <c r="B115" s="958" t="s">
        <v>2106</v>
      </c>
      <c r="D115" s="959">
        <v>46235</v>
      </c>
      <c r="H115" s="960">
        <f>-INDEX(情形1!$30:$30,MATCH(cashflow汇总实际!$D115,情形1!$3:$3,0))*10000</f>
        <v>0</v>
      </c>
      <c r="K115" s="961">
        <f t="shared" si="62"/>
        <v>0</v>
      </c>
      <c r="M115" s="961">
        <f>H115/900*4000</f>
        <v>0</v>
      </c>
      <c r="N115" s="961">
        <f>-H115-M115</f>
        <v>0</v>
      </c>
      <c r="T115" s="958" t="s">
        <v>2144</v>
      </c>
      <c r="W115" s="958" t="s">
        <v>2144</v>
      </c>
    </row>
    <row r="116" spans="2:23">
      <c r="B116" s="958" t="s">
        <v>2107</v>
      </c>
      <c r="D116" s="959">
        <v>46235</v>
      </c>
      <c r="G116" s="960">
        <f>-INDEX(情形1!$28:$28,MATCH(cashflow汇总实际!$D116,情形1!$3:$3))*10000</f>
        <v>0</v>
      </c>
      <c r="K116" s="961">
        <f t="shared" si="62"/>
        <v>0</v>
      </c>
      <c r="N116" s="961">
        <f>G116/1250*3650</f>
        <v>0</v>
      </c>
      <c r="O116" s="961">
        <f>-G116-N116</f>
        <v>0</v>
      </c>
      <c r="Q116" s="958" t="s">
        <v>2144</v>
      </c>
      <c r="W116" s="958" t="s">
        <v>2144</v>
      </c>
    </row>
    <row r="117" spans="2:23">
      <c r="B117" s="958" t="s">
        <v>2154</v>
      </c>
      <c r="D117" s="959">
        <v>46235</v>
      </c>
      <c r="K117" s="961">
        <f t="shared" si="62"/>
        <v>0</v>
      </c>
      <c r="O117" s="961">
        <f>-INDEX(情形1!$32:$32,MATCH(cashflow汇总实际!D117,情形1!$3:$3,0))*10000</f>
        <v>0</v>
      </c>
    </row>
    <row r="118" spans="2:23">
      <c r="B118" s="958" t="s">
        <v>2137</v>
      </c>
      <c r="D118" s="959">
        <v>46235</v>
      </c>
      <c r="E118" s="960">
        <f ca="1">-F118</f>
        <v>-480767.18303916662</v>
      </c>
      <c r="F118" s="960">
        <f ca="1">-F119</f>
        <v>480767.18303916662</v>
      </c>
      <c r="K118" s="961">
        <f t="shared" ca="1" si="62"/>
        <v>0</v>
      </c>
      <c r="Q118" s="958" t="str">
        <f t="shared" ref="Q118:V118" ca="1" si="63">IF(E118&gt;0,"收到的其他与筹资活动有关的现金","支付的其他与筹资活动有关的现金")</f>
        <v>支付的其他与筹资活动有关的现金</v>
      </c>
      <c r="R118" s="958" t="str">
        <f t="shared" ca="1" si="63"/>
        <v>收到的其他与筹资活动有关的现金</v>
      </c>
      <c r="S118" s="958" t="str">
        <f t="shared" si="63"/>
        <v>支付的其他与筹资活动有关的现金</v>
      </c>
      <c r="T118" s="958" t="str">
        <f t="shared" si="63"/>
        <v>支付的其他与筹资活动有关的现金</v>
      </c>
      <c r="U118" s="958" t="str">
        <f t="shared" si="63"/>
        <v>支付的其他与筹资活动有关的现金</v>
      </c>
      <c r="V118" s="958" t="str">
        <f t="shared" si="63"/>
        <v>支付的其他与筹资活动有关的现金</v>
      </c>
    </row>
    <row r="119" spans="2:23">
      <c r="B119" s="958" t="s">
        <v>2108</v>
      </c>
      <c r="D119" s="959">
        <v>46235</v>
      </c>
      <c r="E119" s="960">
        <f ca="1">INDEX('CF-ACPLHK'!$E$29:$Q$29,MATCH(cashflow汇总实际!$D119,'CF-ACPLHK'!$E$4:$Q$4,0))+INDEX('CF-ACPLHK'!$E$38:$Q$38,MATCH($D119,'CF-ACPLHK'!$E$4:$Q$4,0))</f>
        <v>-522620.18885999999</v>
      </c>
      <c r="F119" s="960">
        <f ca="1">INDEX('CF-ACPL'!$E$29:$Q$29,MATCH($D119,'CF-ACPL'!$E$4:$Q$4,0))+INDEX('CF-ACPL'!$E$38:$Q$38,MATCH($D119,'CF-ACPL'!$E$4:$Q$4))</f>
        <v>-480767.18303916662</v>
      </c>
      <c r="G119" s="960">
        <f ca="1">INDEX('CF-ACPLSZ'!$E$29:$Q$29,MATCH($D119,'CF-ACPLSZ'!$E$4:$Q$4,0))+INDEX('CF-ACPLSZ'!$E$38:$Q$38,MATCH($D119,'CF-ACPLSZ'!$E$4:$Q$4))</f>
        <v>-890173.53500000015</v>
      </c>
      <c r="H119" s="960">
        <f ca="1">INDEX('CF-ACPSZL'!$E$29:$Q$29,MATCH(cashflow汇总实际!$D119,'CF-ACPSZL'!$E$4:$Q$4,0))+INDEX('CF-ACPSZL'!$E$38:$Q$38,MATCH($D119,'CF-ACPSZL'!$E$4:$Q$4,0))</f>
        <v>-370009.50333333341</v>
      </c>
      <c r="I119" s="960">
        <f ca="1">INDEX('CF-ACPLGZ'!$E$29:$Q$29,MATCH(cashflow汇总实际!$D119,'CF-ACPLGZ'!$E$4:$Q$4,0))+INDEX('CF-ACPLGZ'!$E$38:$Q$38,MATCH($D119,'CF-ACPLGZ'!$E$4:$Q$4,0))</f>
        <v>-475</v>
      </c>
      <c r="J119" s="960">
        <f>INDEX('CF-ACPLYixing'!$E$29:$Q$29,MATCH($D119,'CF-ACPLYixing'!$E$4:$Q$4,0))+INDEX('CF-ACPLYixing'!$E$38:$Q$38,MATCH($D119,'CF-ACPLYixing'!$E$4:$Q$4,0))</f>
        <v>-83.333333333333329</v>
      </c>
      <c r="K119" s="961">
        <f t="shared" ca="1" si="62"/>
        <v>-2264128.7435658337</v>
      </c>
    </row>
    <row r="120" spans="2:23" s="956" customFormat="1" ht="12.75">
      <c r="B120" s="982" t="s">
        <v>2142</v>
      </c>
      <c r="C120" s="982"/>
      <c r="D120" s="983">
        <v>46265</v>
      </c>
      <c r="E120" s="997">
        <f t="shared" ref="E120:K120" ca="1" si="64">SUM(E113:E119)</f>
        <v>1663854.4811860565</v>
      </c>
      <c r="F120" s="997">
        <f t="shared" ca="1" si="64"/>
        <v>139088.81064000004</v>
      </c>
      <c r="G120" s="997">
        <f t="shared" ca="1" si="64"/>
        <v>6900400.3137885584</v>
      </c>
      <c r="H120" s="997">
        <f t="shared" ca="1" si="64"/>
        <v>5650728.3567346931</v>
      </c>
      <c r="I120" s="997">
        <f t="shared" ca="1" si="64"/>
        <v>218160</v>
      </c>
      <c r="J120" s="997">
        <f t="shared" si="64"/>
        <v>50453.666666666672</v>
      </c>
      <c r="K120" s="990">
        <f t="shared" ca="1" si="64"/>
        <v>14622685.629015973</v>
      </c>
      <c r="L120" s="991"/>
      <c r="M120" s="990">
        <f t="shared" ref="M120:O120" si="65">SUM(M113:M119)</f>
        <v>1420408.1632653065</v>
      </c>
      <c r="N120" s="990">
        <f t="shared" si="65"/>
        <v>340510.20408163266</v>
      </c>
      <c r="O120" s="990">
        <f t="shared" si="65"/>
        <v>110000</v>
      </c>
    </row>
    <row r="121" spans="2:23">
      <c r="B121" s="958" t="s">
        <v>2105</v>
      </c>
      <c r="D121" s="959">
        <v>46266</v>
      </c>
      <c r="F121" s="960">
        <f>-INDEX(情形1!$26:$26,MATCH(cashflow汇总实际!$D121,情形1!$3:$3,0))*10000</f>
        <v>0</v>
      </c>
      <c r="K121" s="961">
        <f t="shared" ref="K121:K126" si="66">SUM(E121:J121)</f>
        <v>0</v>
      </c>
      <c r="M121" s="961">
        <f>-F121/75%</f>
        <v>0</v>
      </c>
      <c r="R121" s="958" t="s">
        <v>2144</v>
      </c>
      <c r="W121" s="958" t="str">
        <f>R121</f>
        <v>投资支付的现金</v>
      </c>
    </row>
    <row r="122" spans="2:23">
      <c r="B122" s="958" t="s">
        <v>2106</v>
      </c>
      <c r="D122" s="959">
        <v>46266</v>
      </c>
      <c r="H122" s="960">
        <f>-INDEX(情形1!$30:$30,MATCH(cashflow汇总实际!$D122,情形1!$3:$3,0))*10000</f>
        <v>0</v>
      </c>
      <c r="K122" s="961">
        <f t="shared" si="66"/>
        <v>0</v>
      </c>
      <c r="M122" s="961">
        <f>H122/900*4000</f>
        <v>0</v>
      </c>
      <c r="N122" s="961">
        <f>-H122-M122</f>
        <v>0</v>
      </c>
      <c r="T122" s="958" t="s">
        <v>2144</v>
      </c>
      <c r="W122" s="958" t="s">
        <v>2144</v>
      </c>
    </row>
    <row r="123" spans="2:23">
      <c r="B123" s="958" t="s">
        <v>2107</v>
      </c>
      <c r="D123" s="959">
        <v>46266</v>
      </c>
      <c r="G123" s="960">
        <f>-INDEX(情形1!$28:$28,MATCH(cashflow汇总实际!$D123,情形1!$3:$3))*10000</f>
        <v>0</v>
      </c>
      <c r="K123" s="961">
        <f t="shared" si="66"/>
        <v>0</v>
      </c>
      <c r="N123" s="961">
        <f>G123/1250*3650</f>
        <v>0</v>
      </c>
      <c r="O123" s="961">
        <f>-G123-N123</f>
        <v>0</v>
      </c>
      <c r="Q123" s="958" t="s">
        <v>2144</v>
      </c>
      <c r="W123" s="958" t="s">
        <v>2144</v>
      </c>
    </row>
    <row r="124" spans="2:23">
      <c r="B124" s="958" t="s">
        <v>2154</v>
      </c>
      <c r="D124" s="959">
        <v>46266</v>
      </c>
      <c r="K124" s="961">
        <f t="shared" si="66"/>
        <v>0</v>
      </c>
      <c r="O124" s="961">
        <f>-INDEX(情形1!$32:$32,MATCH(cashflow汇总实际!D124,情形1!$3:$3,0))*10000</f>
        <v>0</v>
      </c>
    </row>
    <row r="125" spans="2:23">
      <c r="B125" s="958" t="s">
        <v>2137</v>
      </c>
      <c r="D125" s="959">
        <v>46266</v>
      </c>
      <c r="E125" s="960">
        <f ca="1">-F125</f>
        <v>-480767.18303916662</v>
      </c>
      <c r="F125" s="960">
        <f ca="1">-F126</f>
        <v>480767.18303916662</v>
      </c>
      <c r="G125" s="960">
        <v>200000</v>
      </c>
      <c r="H125" s="960">
        <f>-G125</f>
        <v>-200000</v>
      </c>
      <c r="K125" s="961">
        <f t="shared" ca="1" si="66"/>
        <v>0</v>
      </c>
      <c r="Q125" s="958" t="str">
        <f t="shared" ref="Q125:V125" ca="1" si="67">IF(E125&gt;0,"收到的其他与筹资活动有关的现金","支付的其他与筹资活动有关的现金")</f>
        <v>支付的其他与筹资活动有关的现金</v>
      </c>
      <c r="R125" s="958" t="str">
        <f t="shared" ca="1" si="67"/>
        <v>收到的其他与筹资活动有关的现金</v>
      </c>
      <c r="S125" s="958" t="str">
        <f t="shared" si="67"/>
        <v>收到的其他与筹资活动有关的现金</v>
      </c>
      <c r="T125" s="958" t="str">
        <f t="shared" si="67"/>
        <v>支付的其他与筹资活动有关的现金</v>
      </c>
      <c r="U125" s="958" t="str">
        <f t="shared" si="67"/>
        <v>支付的其他与筹资活动有关的现金</v>
      </c>
      <c r="V125" s="958" t="str">
        <f t="shared" si="67"/>
        <v>支付的其他与筹资活动有关的现金</v>
      </c>
    </row>
    <row r="126" spans="2:23">
      <c r="B126" s="958" t="s">
        <v>2108</v>
      </c>
      <c r="D126" s="959">
        <v>46266</v>
      </c>
      <c r="E126" s="960">
        <f ca="1">INDEX('CF-ACPLHK'!$E$29:$Q$29,MATCH(cashflow汇总实际!$D126,'CF-ACPLHK'!$E$4:$Q$4,0))+INDEX('CF-ACPLHK'!$E$38:$Q$38,MATCH($D126,'CF-ACPLHK'!$E$4:$Q$4,0))</f>
        <v>-524658.07085999998</v>
      </c>
      <c r="F126" s="960">
        <f ca="1">INDEX('CF-ACPL'!$E$29:$Q$29,MATCH($D126,'CF-ACPL'!$E$4:$Q$4,0))+INDEX('CF-ACPL'!$E$38:$Q$38,MATCH($D126,'CF-ACPL'!$E$4:$Q$4))</f>
        <v>-480767.18303916662</v>
      </c>
      <c r="G126" s="960">
        <f ca="1">INDEX('CF-ACPLSZ'!$E$29:$Q$29,MATCH($D126,'CF-ACPLSZ'!$E$4:$Q$4,0))+INDEX('CF-ACPLSZ'!$E$38:$Q$38,MATCH($D126,'CF-ACPLSZ'!$E$4:$Q$4))</f>
        <v>-1035973.5350000001</v>
      </c>
      <c r="H126" s="960">
        <f ca="1">INDEX('CF-ACPSZL'!$E$29:$Q$29,MATCH(cashflow汇总实际!$D126,'CF-ACPSZL'!$E$4:$Q$4,0))+INDEX('CF-ACPSZL'!$E$38:$Q$38,MATCH($D126,'CF-ACPSZL'!$E$4:$Q$4,0))</f>
        <v>-370009.50333333341</v>
      </c>
      <c r="I126" s="960">
        <f ca="1">INDEX('CF-ACPLGZ'!$E$29:$Q$29,MATCH(cashflow汇总实际!$D126,'CF-ACPLGZ'!$E$4:$Q$4,0))+INDEX('CF-ACPLGZ'!$E$38:$Q$38,MATCH($D126,'CF-ACPLGZ'!$E$4:$Q$4,0))</f>
        <v>-475</v>
      </c>
      <c r="J126" s="960">
        <f>INDEX('CF-ACPLYixing'!$E$29:$Q$29,MATCH($D126,'CF-ACPLYixing'!$E$4:$Q$4,0))+INDEX('CF-ACPLYixing'!$E$38:$Q$38,MATCH($D126,'CF-ACPLYixing'!$E$4:$Q$4,0))</f>
        <v>-83.333333333333329</v>
      </c>
      <c r="K126" s="961">
        <f t="shared" ca="1" si="66"/>
        <v>-2411966.6255658339</v>
      </c>
    </row>
    <row r="127" spans="2:23" s="956" customFormat="1" ht="12.75">
      <c r="B127" s="982" t="s">
        <v>2142</v>
      </c>
      <c r="C127" s="982"/>
      <c r="D127" s="983">
        <v>46295</v>
      </c>
      <c r="E127" s="997">
        <f t="shared" ref="E127:K127" ca="1" si="68">SUM(E120:E126)</f>
        <v>658429.22728689003</v>
      </c>
      <c r="F127" s="997">
        <f t="shared" ca="1" si="68"/>
        <v>139088.81064000004</v>
      </c>
      <c r="G127" s="997">
        <f t="shared" ca="1" si="68"/>
        <v>6064426.7787885582</v>
      </c>
      <c r="H127" s="997">
        <f t="shared" ca="1" si="68"/>
        <v>5080718.8534013592</v>
      </c>
      <c r="I127" s="997">
        <f t="shared" ca="1" si="68"/>
        <v>217685</v>
      </c>
      <c r="J127" s="997">
        <f t="shared" si="68"/>
        <v>50370.333333333336</v>
      </c>
      <c r="K127" s="990">
        <f t="shared" ca="1" si="68"/>
        <v>12210719.003450138</v>
      </c>
      <c r="L127" s="991"/>
      <c r="M127" s="990">
        <f t="shared" ref="M127:O127" si="69">SUM(M120:M126)</f>
        <v>1420408.1632653065</v>
      </c>
      <c r="N127" s="990">
        <f t="shared" si="69"/>
        <v>340510.20408163266</v>
      </c>
      <c r="O127" s="990">
        <f t="shared" si="69"/>
        <v>110000</v>
      </c>
    </row>
    <row r="128" spans="2:23" s="956" customFormat="1" ht="12.75">
      <c r="B128" s="958" t="s">
        <v>2103</v>
      </c>
      <c r="D128" s="959">
        <v>46296</v>
      </c>
      <c r="E128" s="998"/>
      <c r="F128" s="972">
        <f>汇总!D125*10000</f>
        <v>20000000</v>
      </c>
      <c r="G128" s="998"/>
      <c r="H128" s="998"/>
      <c r="I128" s="998"/>
      <c r="J128" s="998"/>
      <c r="K128" s="961">
        <f t="shared" ref="K128:K132" si="70">SUM(E128:J128)</f>
        <v>20000000</v>
      </c>
      <c r="L128" s="999"/>
      <c r="M128" s="976"/>
      <c r="N128" s="976"/>
      <c r="O128" s="976"/>
      <c r="Q128" s="958" t="s">
        <v>2147</v>
      </c>
      <c r="R128" s="958" t="s">
        <v>2147</v>
      </c>
      <c r="S128" s="958" t="s">
        <v>2147</v>
      </c>
      <c r="T128" s="958" t="s">
        <v>2147</v>
      </c>
      <c r="U128" s="958" t="s">
        <v>2147</v>
      </c>
      <c r="V128" s="958" t="s">
        <v>2147</v>
      </c>
      <c r="W128" s="958" t="s">
        <v>2147</v>
      </c>
    </row>
    <row r="129" spans="2:23">
      <c r="B129" s="958" t="s">
        <v>2105</v>
      </c>
      <c r="D129" s="959">
        <v>46296</v>
      </c>
      <c r="F129" s="960">
        <f>-INDEX(情形1!$26:$26,MATCH(cashflow汇总实际!$D129,情形1!$3:$3,0))*10000</f>
        <v>0</v>
      </c>
      <c r="K129" s="961">
        <f t="shared" si="70"/>
        <v>0</v>
      </c>
      <c r="M129" s="961">
        <f>-F129/75%</f>
        <v>0</v>
      </c>
      <c r="R129" s="958" t="s">
        <v>2144</v>
      </c>
      <c r="W129" s="958" t="str">
        <f>R129</f>
        <v>投资支付的现金</v>
      </c>
    </row>
    <row r="130" spans="2:23">
      <c r="B130" s="958" t="s">
        <v>2106</v>
      </c>
      <c r="D130" s="959">
        <v>46296</v>
      </c>
      <c r="H130" s="960">
        <f>-INDEX(情形1!$30:$30,MATCH(cashflow汇总实际!$D130,情形1!$3:$3,0))*10000</f>
        <v>0</v>
      </c>
      <c r="K130" s="961">
        <f t="shared" si="70"/>
        <v>0</v>
      </c>
      <c r="M130" s="961">
        <f>H130/900*4000</f>
        <v>0</v>
      </c>
      <c r="N130" s="961">
        <f>-H130-M130</f>
        <v>0</v>
      </c>
      <c r="T130" s="958" t="s">
        <v>2144</v>
      </c>
      <c r="W130" s="958" t="s">
        <v>2144</v>
      </c>
    </row>
    <row r="131" spans="2:23">
      <c r="B131" s="958" t="s">
        <v>2107</v>
      </c>
      <c r="D131" s="959">
        <v>46296</v>
      </c>
      <c r="G131" s="960">
        <f>-INDEX(情形1!$28:$28,MATCH(cashflow汇总实际!$D131,情形1!$3:$3))*10000</f>
        <v>0</v>
      </c>
      <c r="K131" s="961">
        <f t="shared" si="70"/>
        <v>0</v>
      </c>
      <c r="N131" s="961">
        <f>G131/1250*3650</f>
        <v>0</v>
      </c>
      <c r="O131" s="961">
        <f>-G131-N131</f>
        <v>0</v>
      </c>
      <c r="Q131" s="958" t="s">
        <v>2144</v>
      </c>
      <c r="W131" s="958" t="s">
        <v>2144</v>
      </c>
    </row>
    <row r="132" spans="2:23">
      <c r="B132" s="958" t="s">
        <v>2154</v>
      </c>
      <c r="D132" s="959">
        <v>46296</v>
      </c>
      <c r="K132" s="961">
        <f t="shared" si="70"/>
        <v>0</v>
      </c>
      <c r="O132" s="961">
        <f>-INDEX(情形1!$32:$32,MATCH(cashflow汇总实际!D132,情形1!$3:$3,0))*10000</f>
        <v>0</v>
      </c>
    </row>
    <row r="133" spans="2:23">
      <c r="B133" s="958" t="s">
        <v>2137</v>
      </c>
      <c r="D133" s="959">
        <v>46296</v>
      </c>
      <c r="E133" s="960">
        <f ca="1">-F133</f>
        <v>-488918.71103916661</v>
      </c>
      <c r="F133" s="960">
        <f ca="1">-F134</f>
        <v>488918.71103916661</v>
      </c>
      <c r="G133" s="960">
        <f>-G125</f>
        <v>-200000</v>
      </c>
      <c r="H133" s="960">
        <f>-G133</f>
        <v>200000</v>
      </c>
      <c r="K133" s="961">
        <f t="shared" ref="K133:K134" ca="1" si="71">SUM(E133:J133)</f>
        <v>0</v>
      </c>
      <c r="Q133" s="958" t="str">
        <f t="shared" ref="Q133:V133" ca="1" si="72">IF(E133&gt;0,"收到的其他与筹资活动有关的现金","支付的其他与筹资活动有关的现金")</f>
        <v>支付的其他与筹资活动有关的现金</v>
      </c>
      <c r="R133" s="958" t="str">
        <f t="shared" ca="1" si="72"/>
        <v>收到的其他与筹资活动有关的现金</v>
      </c>
      <c r="S133" s="958" t="str">
        <f t="shared" si="72"/>
        <v>支付的其他与筹资活动有关的现金</v>
      </c>
      <c r="T133" s="958" t="str">
        <f t="shared" si="72"/>
        <v>收到的其他与筹资活动有关的现金</v>
      </c>
      <c r="U133" s="958" t="str">
        <f t="shared" si="72"/>
        <v>支付的其他与筹资活动有关的现金</v>
      </c>
      <c r="V133" s="958" t="str">
        <f t="shared" si="72"/>
        <v>支付的其他与筹资活动有关的现金</v>
      </c>
    </row>
    <row r="134" spans="2:23">
      <c r="B134" s="958" t="s">
        <v>2108</v>
      </c>
      <c r="D134" s="959">
        <v>46296</v>
      </c>
      <c r="E134" s="960">
        <f ca="1">INDEX('CF-ACPLHK'!$E$29:$Q$29,MATCH(cashflow汇总实际!$D134,'CF-ACPLHK'!$E$4:$Q$4,0))+INDEX('CF-ACPLHK'!$E$38:$Q$38,MATCH($D134,'CF-ACPLHK'!$E$4:$Q$4,0))</f>
        <v>408711.77316955512</v>
      </c>
      <c r="F134" s="960">
        <f ca="1">INDEX('CF-ACPL'!$E$29:$Q$29,MATCH($D134,'CF-ACPL'!$E$4:$Q$4,0))+INDEX('CF-ACPL'!$E$38:$Q$38,MATCH($D134,'CF-ACPL'!$E$4:$Q$4))</f>
        <v>-488918.71103916661</v>
      </c>
      <c r="G134" s="960">
        <f ca="1">INDEX('CF-ACPLSZ'!$E$29:$Q$29,MATCH($D134,'CF-ACPLSZ'!$E$4:$Q$4,0))+INDEX('CF-ACPLSZ'!$E$38:$Q$38,MATCH($D134,'CF-ACPLSZ'!$E$4:$Q$4))</f>
        <v>1747951.1308828054</v>
      </c>
      <c r="H134" s="960">
        <f ca="1">INDEX('CF-ACPSZL'!$E$29:$Q$29,MATCH(cashflow汇总实际!$D134,'CF-ACPSZL'!$E$4:$Q$4,0))+INDEX('CF-ACPSZL'!$E$38:$Q$38,MATCH($D134,'CF-ACPSZL'!$E$4:$Q$4,0))</f>
        <v>-380009.50333333341</v>
      </c>
      <c r="I134" s="960">
        <f ca="1">INDEX('CF-ACPLGZ'!$E$29:$Q$29,MATCH(cashflow汇总实际!$D134,'CF-ACPLGZ'!$E$4:$Q$4,0))+INDEX('CF-ACPLGZ'!$E$38:$Q$38,MATCH($D134,'CF-ACPLGZ'!$E$4:$Q$4,0))</f>
        <v>-475</v>
      </c>
      <c r="J134" s="960">
        <f>INDEX('CF-ACPLYixing'!$E$29:$Q$29,MATCH($D134,'CF-ACPLYixing'!$E$4:$Q$4,0))+INDEX('CF-ACPLYixing'!$E$38:$Q$38,MATCH($D134,'CF-ACPLYixing'!$E$4:$Q$4,0))</f>
        <v>-83.333333333333329</v>
      </c>
      <c r="K134" s="961">
        <f t="shared" ca="1" si="71"/>
        <v>1287176.3563465273</v>
      </c>
    </row>
    <row r="135" spans="2:23" s="956" customFormat="1" ht="12.75">
      <c r="B135" s="982" t="s">
        <v>2142</v>
      </c>
      <c r="C135" s="982"/>
      <c r="D135" s="983">
        <v>46326</v>
      </c>
      <c r="E135" s="997">
        <f t="shared" ref="E135:K135" ca="1" si="73">SUM(E127:E134)</f>
        <v>578222.28941727849</v>
      </c>
      <c r="F135" s="997">
        <f t="shared" ca="1" si="73"/>
        <v>20139088.81064</v>
      </c>
      <c r="G135" s="997">
        <f t="shared" ca="1" si="73"/>
        <v>7612377.9096713634</v>
      </c>
      <c r="H135" s="997">
        <f t="shared" ca="1" si="73"/>
        <v>4900709.3500680253</v>
      </c>
      <c r="I135" s="997">
        <f t="shared" ca="1" si="73"/>
        <v>217210</v>
      </c>
      <c r="J135" s="997">
        <f t="shared" si="73"/>
        <v>50287</v>
      </c>
      <c r="K135" s="990">
        <f t="shared" ca="1" si="73"/>
        <v>33497895.359796669</v>
      </c>
      <c r="L135" s="991"/>
      <c r="M135" s="990">
        <f t="shared" ref="M135:O135" si="74">SUM(M127:M134)</f>
        <v>1420408.1632653065</v>
      </c>
      <c r="N135" s="990">
        <f t="shared" si="74"/>
        <v>340510.20408163266</v>
      </c>
      <c r="O135" s="990">
        <f t="shared" si="74"/>
        <v>110000</v>
      </c>
    </row>
    <row r="136" spans="2:23">
      <c r="B136" s="958" t="s">
        <v>2105</v>
      </c>
      <c r="D136" s="959">
        <v>46327</v>
      </c>
      <c r="F136" s="960">
        <f>-INDEX(情形1!$26:$26,MATCH(cashflow汇总实际!$D136,情形1!$3:$3,0))*10000</f>
        <v>0</v>
      </c>
      <c r="K136" s="961">
        <f t="shared" ref="K136:K141" si="75">SUM(E136:J136)</f>
        <v>0</v>
      </c>
      <c r="M136" s="961">
        <f>-F136/75%</f>
        <v>0</v>
      </c>
      <c r="R136" s="958" t="s">
        <v>2144</v>
      </c>
      <c r="W136" s="958" t="str">
        <f>R136</f>
        <v>投资支付的现金</v>
      </c>
    </row>
    <row r="137" spans="2:23">
      <c r="B137" s="958" t="s">
        <v>2106</v>
      </c>
      <c r="D137" s="959">
        <v>46327</v>
      </c>
      <c r="H137" s="960">
        <f>-INDEX(情形1!$30:$30,MATCH(cashflow汇总实际!$D137,情形1!$3:$3,0))*10000</f>
        <v>0</v>
      </c>
      <c r="K137" s="961">
        <f t="shared" si="75"/>
        <v>0</v>
      </c>
      <c r="M137" s="961">
        <f>H137/900*4000</f>
        <v>0</v>
      </c>
      <c r="N137" s="961">
        <f>-H137-M137</f>
        <v>0</v>
      </c>
      <c r="T137" s="958" t="s">
        <v>2144</v>
      </c>
      <c r="W137" s="958" t="s">
        <v>2144</v>
      </c>
    </row>
    <row r="138" spans="2:23">
      <c r="B138" s="958" t="s">
        <v>2107</v>
      </c>
      <c r="D138" s="959">
        <v>46327</v>
      </c>
      <c r="G138" s="960">
        <f>-INDEX(情形1!$28:$28,MATCH(cashflow汇总实际!$D138,情形1!$3:$3))*10000</f>
        <v>0</v>
      </c>
      <c r="K138" s="961">
        <f t="shared" si="75"/>
        <v>0</v>
      </c>
      <c r="N138" s="961">
        <f>G138/1250*3650</f>
        <v>0</v>
      </c>
      <c r="O138" s="961">
        <f>-G138-N138</f>
        <v>0</v>
      </c>
      <c r="Q138" s="958" t="s">
        <v>2144</v>
      </c>
      <c r="W138" s="958" t="s">
        <v>2144</v>
      </c>
    </row>
    <row r="139" spans="2:23">
      <c r="B139" s="958" t="s">
        <v>2154</v>
      </c>
      <c r="D139" s="959">
        <v>46327</v>
      </c>
      <c r="K139" s="961">
        <f t="shared" si="75"/>
        <v>0</v>
      </c>
      <c r="O139" s="961">
        <f>-INDEX(情形1!$32:$32,MATCH(cashflow汇总实际!D139,情形1!$3:$3,0))*10000</f>
        <v>0</v>
      </c>
    </row>
    <row r="140" spans="2:23">
      <c r="B140" s="958" t="s">
        <v>2137</v>
      </c>
      <c r="D140" s="959">
        <v>46327</v>
      </c>
      <c r="E140" s="960">
        <f ca="1">-F140</f>
        <v>-480767.18303916662</v>
      </c>
      <c r="F140" s="960">
        <f ca="1">-F141</f>
        <v>480767.18303916662</v>
      </c>
      <c r="K140" s="961">
        <f t="shared" ca="1" si="75"/>
        <v>0</v>
      </c>
      <c r="Q140" s="958" t="str">
        <f t="shared" ref="Q140:V140" ca="1" si="76">IF(E140&gt;0,"收到的其他与筹资活动有关的现金","支付的其他与筹资活动有关的现金")</f>
        <v>支付的其他与筹资活动有关的现金</v>
      </c>
      <c r="R140" s="958" t="str">
        <f t="shared" ca="1" si="76"/>
        <v>收到的其他与筹资活动有关的现金</v>
      </c>
      <c r="S140" s="958" t="str">
        <f t="shared" si="76"/>
        <v>支付的其他与筹资活动有关的现金</v>
      </c>
      <c r="T140" s="958" t="str">
        <f t="shared" si="76"/>
        <v>支付的其他与筹资活动有关的现金</v>
      </c>
      <c r="U140" s="958" t="str">
        <f t="shared" si="76"/>
        <v>支付的其他与筹资活动有关的现金</v>
      </c>
      <c r="V140" s="958" t="str">
        <f t="shared" si="76"/>
        <v>支付的其他与筹资活动有关的现金</v>
      </c>
    </row>
    <row r="141" spans="2:23">
      <c r="B141" s="958" t="s">
        <v>2108</v>
      </c>
      <c r="D141" s="959">
        <v>46327</v>
      </c>
      <c r="E141" s="960">
        <f ca="1">INDEX('CF-ACPLHK'!$E$29:$Q$29,MATCH(cashflow汇总实际!$D141,'CF-ACPLHK'!$E$4:$Q$4,0))+INDEX('CF-ACPLHK'!$E$38:$Q$38,MATCH($D141,'CF-ACPLHK'!$E$4:$Q$4,0))</f>
        <v>-438343.49053000001</v>
      </c>
      <c r="F141" s="960">
        <f ca="1">INDEX('CF-ACPL'!$E$29:$Q$29,MATCH($D141,'CF-ACPL'!$E$4:$Q$4,0))+INDEX('CF-ACPL'!$E$38:$Q$38,MATCH($D141,'CF-ACPL'!$E$4:$Q$4))</f>
        <v>-480767.18303916662</v>
      </c>
      <c r="G141" s="960">
        <f ca="1">INDEX('CF-ACPLSZ'!$E$29:$Q$29,MATCH($D141,'CF-ACPLSZ'!$E$4:$Q$4,0))+INDEX('CF-ACPLSZ'!$E$38:$Q$38,MATCH($D141,'CF-ACPLSZ'!$E$4:$Q$4))</f>
        <v>-885973.53500000015</v>
      </c>
      <c r="H141" s="960">
        <f ca="1">INDEX('CF-ACPSZL'!$E$29:$Q$29,MATCH(cashflow汇总实际!$D141,'CF-ACPSZL'!$E$4:$Q$4,0))+INDEX('CF-ACPSZL'!$E$38:$Q$38,MATCH($D141,'CF-ACPSZL'!$E$4:$Q$4,0))</f>
        <v>-370009.50333333341</v>
      </c>
      <c r="I141" s="960">
        <f ca="1">INDEX('CF-ACPLGZ'!$E$29:$Q$29,MATCH(cashflow汇总实际!$D141,'CF-ACPLGZ'!$E$4:$Q$4,0))+INDEX('CF-ACPLGZ'!$E$38:$Q$38,MATCH($D141,'CF-ACPLGZ'!$E$4:$Q$4,0))</f>
        <v>-475</v>
      </c>
      <c r="J141" s="960">
        <f>INDEX('CF-ACPLYixing'!$E$29:$Q$29,MATCH($D141,'CF-ACPLYixing'!$E$4:$Q$4,0))+INDEX('CF-ACPLYixing'!$E$38:$Q$38,MATCH($D141,'CF-ACPLYixing'!$E$4:$Q$4,0))</f>
        <v>-83.333333333333329</v>
      </c>
      <c r="K141" s="961">
        <f t="shared" ca="1" si="75"/>
        <v>-2175652.0452358336</v>
      </c>
    </row>
    <row r="142" spans="2:23" s="956" customFormat="1" ht="12.75">
      <c r="B142" s="982" t="s">
        <v>2142</v>
      </c>
      <c r="C142" s="982"/>
      <c r="D142" s="983">
        <v>46356</v>
      </c>
      <c r="E142" s="997">
        <f t="shared" ref="E142:K142" ca="1" si="77">SUM(E135:E141)</f>
        <v>-340888.38415188814</v>
      </c>
      <c r="F142" s="997">
        <f t="shared" ca="1" si="77"/>
        <v>20139088.81064</v>
      </c>
      <c r="G142" s="997">
        <f t="shared" ca="1" si="77"/>
        <v>6726404.3746713633</v>
      </c>
      <c r="H142" s="997">
        <f t="shared" ca="1" si="77"/>
        <v>4530699.8467346914</v>
      </c>
      <c r="I142" s="997">
        <f t="shared" ca="1" si="77"/>
        <v>216735</v>
      </c>
      <c r="J142" s="997">
        <f t="shared" si="77"/>
        <v>50203.666666666664</v>
      </c>
      <c r="K142" s="990">
        <f t="shared" ca="1" si="77"/>
        <v>31322243.314560834</v>
      </c>
      <c r="L142" s="991"/>
      <c r="M142" s="990">
        <f t="shared" ref="M142:O142" si="78">SUM(M135:M141)</f>
        <v>1420408.1632653065</v>
      </c>
      <c r="N142" s="990">
        <f t="shared" si="78"/>
        <v>340510.20408163266</v>
      </c>
      <c r="O142" s="990">
        <f t="shared" si="78"/>
        <v>110000</v>
      </c>
    </row>
    <row r="143" spans="2:23">
      <c r="B143" s="958" t="s">
        <v>2105</v>
      </c>
      <c r="D143" s="959">
        <v>46357</v>
      </c>
      <c r="F143" s="960">
        <f>-INDEX(情形1!$26:$26,MATCH(cashflow汇总实际!$D143,情形1!$3:$3,0))*10000</f>
        <v>-4195875.799086757</v>
      </c>
      <c r="K143" s="961">
        <f t="shared" ref="K143:K148" si="79">SUM(E143:J143)</f>
        <v>-4195875.799086757</v>
      </c>
      <c r="M143" s="961">
        <f>-F143/75%</f>
        <v>5594501.0654490096</v>
      </c>
      <c r="R143" s="958" t="s">
        <v>2144</v>
      </c>
      <c r="W143" s="958" t="str">
        <f>R143</f>
        <v>投资支付的现金</v>
      </c>
    </row>
    <row r="144" spans="2:23">
      <c r="B144" s="958" t="s">
        <v>2106</v>
      </c>
      <c r="D144" s="959">
        <v>46357</v>
      </c>
      <c r="H144" s="960">
        <f>-INDEX(情形1!$30:$30,MATCH(cashflow汇总实际!$D144,情形1!$3:$3,0))*10000</f>
        <v>-1578354.5764607205</v>
      </c>
      <c r="K144" s="961">
        <f t="shared" si="79"/>
        <v>-1578354.5764607205</v>
      </c>
      <c r="M144" s="961">
        <f>H144/900*4000</f>
        <v>-7014909.2287143134</v>
      </c>
      <c r="N144" s="961">
        <f>-H144-M144</f>
        <v>8593263.8051750343</v>
      </c>
      <c r="T144" s="958" t="s">
        <v>2144</v>
      </c>
      <c r="W144" s="958" t="s">
        <v>2144</v>
      </c>
    </row>
    <row r="145" spans="2:23">
      <c r="B145" s="958" t="s">
        <v>2107</v>
      </c>
      <c r="D145" s="959">
        <v>46357</v>
      </c>
      <c r="G145" s="960">
        <f>-INDEX(情形1!$28:$28,MATCH(cashflow汇总实际!$D145,情形1!$3:$3))*10000</f>
        <v>-3013865.2398554543</v>
      </c>
      <c r="K145" s="961">
        <f t="shared" si="79"/>
        <v>-3013865.2398554543</v>
      </c>
      <c r="N145" s="961">
        <f>G145/1250*3650</f>
        <v>-8800486.5003779251</v>
      </c>
      <c r="O145" s="961">
        <f>-G145-N145</f>
        <v>11814351.74023338</v>
      </c>
      <c r="Q145" s="958" t="s">
        <v>2144</v>
      </c>
      <c r="W145" s="958" t="s">
        <v>2144</v>
      </c>
    </row>
    <row r="146" spans="2:23">
      <c r="B146" s="958" t="s">
        <v>2154</v>
      </c>
      <c r="D146" s="959">
        <v>46357</v>
      </c>
      <c r="K146" s="961">
        <f t="shared" si="79"/>
        <v>0</v>
      </c>
      <c r="O146" s="961">
        <f>-INDEX(情形1!$32:$32,MATCH(cashflow汇总实际!D146,情形1!$3:$3,0))*10000</f>
        <v>-11657501.775748346</v>
      </c>
    </row>
    <row r="147" spans="2:23">
      <c r="B147" s="958" t="s">
        <v>2137</v>
      </c>
      <c r="D147" s="959">
        <v>46357</v>
      </c>
      <c r="E147" s="960">
        <f ca="1">-F147</f>
        <v>-480767.18303916662</v>
      </c>
      <c r="F147" s="960">
        <f ca="1">-F148</f>
        <v>480767.18303916662</v>
      </c>
      <c r="G147" s="960">
        <v>1500000</v>
      </c>
      <c r="H147" s="960">
        <f>-G147</f>
        <v>-1500000</v>
      </c>
      <c r="K147" s="961">
        <f t="shared" ca="1" si="79"/>
        <v>0</v>
      </c>
      <c r="Q147" s="958" t="str">
        <f t="shared" ref="Q147:V147" ca="1" si="80">IF(E147&gt;0,"收到的其他与筹资活动有关的现金","支付的其他与筹资活动有关的现金")</f>
        <v>支付的其他与筹资活动有关的现金</v>
      </c>
      <c r="R147" s="958" t="str">
        <f t="shared" ca="1" si="80"/>
        <v>收到的其他与筹资活动有关的现金</v>
      </c>
      <c r="S147" s="958" t="str">
        <f t="shared" si="80"/>
        <v>收到的其他与筹资活动有关的现金</v>
      </c>
      <c r="T147" s="958" t="str">
        <f t="shared" si="80"/>
        <v>支付的其他与筹资活动有关的现金</v>
      </c>
      <c r="U147" s="958" t="str">
        <f t="shared" si="80"/>
        <v>支付的其他与筹资活动有关的现金</v>
      </c>
      <c r="V147" s="958" t="str">
        <f t="shared" si="80"/>
        <v>支付的其他与筹资活动有关的现金</v>
      </c>
    </row>
    <row r="148" spans="2:23">
      <c r="B148" s="958" t="s">
        <v>2108</v>
      </c>
      <c r="D148" s="959">
        <v>46357</v>
      </c>
      <c r="E148" s="960">
        <f ca="1">INDEX('CF-ACPLHK'!$E$29:$Q$29,MATCH(cashflow汇总实际!$D148,'CF-ACPLHK'!$E$4:$Q$4,0))+INDEX('CF-ACPLHK'!$E$38:$Q$38,MATCH($D148,'CF-ACPLHK'!$E$4:$Q$4,0))</f>
        <v>-522620.18885999999</v>
      </c>
      <c r="F148" s="960">
        <f ca="1">INDEX('CF-ACPL'!$E$29:$Q$29,MATCH($D148,'CF-ACPL'!$E$4:$Q$4,0))+INDEX('CF-ACPL'!$E$38:$Q$38,MATCH($D148,'CF-ACPL'!$E$4:$Q$4))</f>
        <v>-480767.18303916662</v>
      </c>
      <c r="G148" s="960">
        <f ca="1">INDEX('CF-ACPLSZ'!$E$29:$Q$29,MATCH($D148,'CF-ACPLSZ'!$E$4:$Q$4,0))+INDEX('CF-ACPLSZ'!$E$38:$Q$38,MATCH($D148,'CF-ACPLSZ'!$E$4:$Q$4))</f>
        <v>-2514590.2392066917</v>
      </c>
      <c r="H148" s="960">
        <f ca="1">INDEX('CF-ACPSZL'!$E$29:$Q$29,MATCH(cashflow汇总实际!$D148,'CF-ACPSZL'!$E$4:$Q$4,0))+INDEX('CF-ACPSZL'!$E$38:$Q$38,MATCH($D148,'CF-ACPSZL'!$E$4:$Q$4,0))</f>
        <v>-370009.50333333341</v>
      </c>
      <c r="I148" s="960">
        <f ca="1">INDEX('CF-ACPLGZ'!$E$29:$Q$29,MATCH(cashflow汇总实际!$D148,'CF-ACPLGZ'!$E$4:$Q$4,0))+INDEX('CF-ACPLGZ'!$E$38:$Q$38,MATCH($D148,'CF-ACPLGZ'!$E$4:$Q$4,0))</f>
        <v>-50475</v>
      </c>
      <c r="J148" s="960">
        <f>INDEX('CF-ACPLYixing'!$E$29:$Q$29,MATCH($D148,'CF-ACPLYixing'!$E$4:$Q$4,0))+INDEX('CF-ACPLYixing'!$E$38:$Q$38,MATCH($D148,'CF-ACPLYixing'!$E$4:$Q$4,0))</f>
        <v>-3083.3333333333335</v>
      </c>
      <c r="K148" s="961">
        <f t="shared" ca="1" si="79"/>
        <v>-3941545.4477725253</v>
      </c>
    </row>
    <row r="149" spans="2:23" s="956" customFormat="1" ht="12.75">
      <c r="B149" s="982" t="s">
        <v>2142</v>
      </c>
      <c r="C149" s="982"/>
      <c r="D149" s="983">
        <v>46387</v>
      </c>
      <c r="E149" s="997">
        <f t="shared" ref="E149:K149" ca="1" si="81">SUM(E142:E148)</f>
        <v>-1344275.7560510547</v>
      </c>
      <c r="F149" s="997">
        <f t="shared" ca="1" si="81"/>
        <v>15943213.011553243</v>
      </c>
      <c r="G149" s="997">
        <f t="shared" ca="1" si="81"/>
        <v>2697948.8956092172</v>
      </c>
      <c r="H149" s="997">
        <f t="shared" ca="1" si="81"/>
        <v>1082335.7669406375</v>
      </c>
      <c r="I149" s="997">
        <f t="shared" ca="1" si="81"/>
        <v>166260</v>
      </c>
      <c r="J149" s="997">
        <f t="shared" si="81"/>
        <v>47120.333333333328</v>
      </c>
      <c r="K149" s="990">
        <f t="shared" ca="1" si="81"/>
        <v>18592602.25138538</v>
      </c>
      <c r="L149" s="991"/>
      <c r="M149" s="990">
        <f t="shared" ref="M149:O149" si="82">SUM(M142:M148)</f>
        <v>0</v>
      </c>
      <c r="N149" s="990">
        <f t="shared" si="82"/>
        <v>133287.50887874141</v>
      </c>
      <c r="O149" s="990">
        <f t="shared" si="82"/>
        <v>266849.96448503435</v>
      </c>
    </row>
  </sheetData>
  <autoFilter ref="A37:R149" xr:uid="{00000000-0009-0000-0000-000002000000}"/>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W146"/>
  <sheetViews>
    <sheetView tabSelected="1" zoomScale="80" zoomScaleNormal="80" workbookViewId="0">
      <pane xSplit="2" ySplit="37" topLeftCell="C106" activePane="bottomRight" state="frozen"/>
      <selection pane="topRight" activeCell="C1" sqref="C1"/>
      <selection pane="bottomLeft" activeCell="A38" sqref="A38"/>
      <selection pane="bottomRight" activeCell="T157" sqref="T157"/>
    </sheetView>
  </sheetViews>
  <sheetFormatPr defaultColWidth="9" defaultRowHeight="15.75" outlineLevelRow="1"/>
  <cols>
    <col min="2" max="2" width="22" style="958" customWidth="1"/>
    <col min="3" max="3" width="3.625" style="958" customWidth="1"/>
    <col min="4" max="4" width="13.875" style="959" customWidth="1"/>
    <col min="5" max="5" width="12.625" style="960" customWidth="1"/>
    <col min="6" max="6" width="10.125" style="960" customWidth="1"/>
    <col min="7" max="8" width="10.375" style="960" customWidth="1"/>
    <col min="9" max="9" width="11.75" style="960" customWidth="1"/>
    <col min="10" max="10" width="12.125" style="960" customWidth="1"/>
    <col min="11" max="11" width="11.125" style="961" customWidth="1"/>
    <col min="12" max="12" width="3.25" style="962" customWidth="1"/>
    <col min="13" max="15" width="11.125" style="961" customWidth="1"/>
    <col min="16" max="16" width="3.125" style="958" customWidth="1"/>
    <col min="17" max="16384" width="9" style="958"/>
  </cols>
  <sheetData>
    <row r="1" spans="2:23" s="955" customFormat="1" ht="25.5">
      <c r="D1" s="963"/>
      <c r="E1" s="964" t="s">
        <v>2109</v>
      </c>
      <c r="F1" s="964" t="s">
        <v>2110</v>
      </c>
      <c r="G1" s="964" t="s">
        <v>2111</v>
      </c>
      <c r="H1" s="964" t="s">
        <v>2112</v>
      </c>
      <c r="I1" s="964" t="s">
        <v>2113</v>
      </c>
      <c r="J1" s="964" t="s">
        <v>2114</v>
      </c>
      <c r="K1" s="965" t="s">
        <v>2115</v>
      </c>
      <c r="L1" s="966"/>
      <c r="M1" s="967" t="s">
        <v>2116</v>
      </c>
      <c r="N1" s="967" t="s">
        <v>2117</v>
      </c>
      <c r="O1" s="967" t="s">
        <v>2118</v>
      </c>
      <c r="Q1" s="964" t="s">
        <v>2109</v>
      </c>
      <c r="R1" s="964" t="s">
        <v>2110</v>
      </c>
      <c r="S1" s="964" t="s">
        <v>2111</v>
      </c>
      <c r="T1" s="964" t="s">
        <v>2112</v>
      </c>
      <c r="U1" s="964" t="s">
        <v>2113</v>
      </c>
      <c r="V1" s="964" t="s">
        <v>2114</v>
      </c>
      <c r="W1" s="965" t="s">
        <v>2115</v>
      </c>
    </row>
    <row r="2" spans="2:23" s="955" customFormat="1" ht="12.75">
      <c r="D2" s="963"/>
      <c r="E2" s="964" t="s">
        <v>2046</v>
      </c>
      <c r="F2" s="964" t="s">
        <v>2046</v>
      </c>
      <c r="G2" s="964" t="s">
        <v>2046</v>
      </c>
      <c r="H2" s="964" t="s">
        <v>2046</v>
      </c>
      <c r="I2" s="964" t="s">
        <v>2046</v>
      </c>
      <c r="J2" s="964" t="s">
        <v>2046</v>
      </c>
      <c r="K2" s="964" t="s">
        <v>2046</v>
      </c>
      <c r="L2" s="968"/>
      <c r="M2" s="964"/>
      <c r="N2" s="964"/>
      <c r="O2" s="964"/>
    </row>
    <row r="3" spans="2:23" hidden="1" outlineLevel="1">
      <c r="B3" s="958" t="s">
        <v>2119</v>
      </c>
      <c r="D3" s="959">
        <v>45866</v>
      </c>
      <c r="E3" s="960">
        <f>2765593+809735*0.91+46072*4.71</f>
        <v>3719450.97</v>
      </c>
      <c r="F3" s="960">
        <f>50223*0.91</f>
        <v>45702.93</v>
      </c>
      <c r="G3" s="960">
        <v>1757806</v>
      </c>
      <c r="H3" s="960">
        <v>5744218.2800000003</v>
      </c>
      <c r="I3" s="960">
        <v>22134.7</v>
      </c>
      <c r="K3" s="961">
        <f>SUM(E3:I3)</f>
        <v>11289312.879999999</v>
      </c>
    </row>
    <row r="4" spans="2:23" hidden="1" outlineLevel="1">
      <c r="B4" s="958" t="s">
        <v>2120</v>
      </c>
      <c r="E4" s="960">
        <f>-F4</f>
        <v>-697963.13729999994</v>
      </c>
      <c r="F4" s="960">
        <f>-F5</f>
        <v>697963.13729999994</v>
      </c>
      <c r="K4" s="961">
        <f>SUM(E4:I4)</f>
        <v>0</v>
      </c>
    </row>
    <row r="5" spans="2:23" hidden="1" outlineLevel="1">
      <c r="B5" s="958" t="s">
        <v>2121</v>
      </c>
      <c r="E5" s="960">
        <v>-650484</v>
      </c>
      <c r="F5" s="960">
        <v>-697963.13729999994</v>
      </c>
      <c r="G5" s="960">
        <v>-652247</v>
      </c>
      <c r="H5" s="960">
        <v>-384285.96</v>
      </c>
      <c r="I5" s="960">
        <v>-2321.86</v>
      </c>
      <c r="K5" s="961">
        <f>SUM(E5:I5)</f>
        <v>-2387301.9572999999</v>
      </c>
      <c r="M5" s="961" t="s">
        <v>2122</v>
      </c>
    </row>
    <row r="6" spans="2:23" hidden="1" outlineLevel="1">
      <c r="B6" s="958" t="s">
        <v>2123</v>
      </c>
      <c r="D6" s="959">
        <v>45869</v>
      </c>
      <c r="E6" s="969">
        <f t="shared" ref="E6:K6" si="0">SUM(E3:E5)</f>
        <v>2371003.8327000001</v>
      </c>
      <c r="F6" s="969">
        <f t="shared" si="0"/>
        <v>45702.930000000051</v>
      </c>
      <c r="G6" s="969">
        <f t="shared" si="0"/>
        <v>1105559</v>
      </c>
      <c r="H6" s="969">
        <f t="shared" si="0"/>
        <v>5359932.32</v>
      </c>
      <c r="I6" s="969">
        <f t="shared" si="0"/>
        <v>19812.84</v>
      </c>
      <c r="J6" s="969"/>
      <c r="K6" s="970">
        <f t="shared" si="0"/>
        <v>8902010.9226999991</v>
      </c>
      <c r="L6" s="971"/>
      <c r="M6" s="970"/>
      <c r="N6" s="970"/>
      <c r="O6" s="970"/>
    </row>
    <row r="7" spans="2:23" hidden="1" outlineLevel="1">
      <c r="E7" s="972"/>
      <c r="F7" s="972"/>
      <c r="G7" s="972"/>
      <c r="H7" s="972"/>
      <c r="I7" s="972"/>
      <c r="J7" s="972"/>
    </row>
    <row r="8" spans="2:23" hidden="1" outlineLevel="1">
      <c r="B8" s="958" t="s">
        <v>2119</v>
      </c>
      <c r="D8" s="959">
        <v>45869</v>
      </c>
      <c r="E8" s="972">
        <f>2653612*0.91472</f>
        <v>2427311.9686400001</v>
      </c>
      <c r="F8" s="972">
        <f>52344*0.91472</f>
        <v>47880.10368</v>
      </c>
      <c r="G8" s="972">
        <v>1231689</v>
      </c>
      <c r="H8" s="972">
        <v>5444989</v>
      </c>
      <c r="I8" s="972">
        <v>49812.84</v>
      </c>
      <c r="J8" s="972"/>
      <c r="K8" s="961">
        <f>SUM(E8:I8)</f>
        <v>9201682.9123199992</v>
      </c>
    </row>
    <row r="9" spans="2:23" hidden="1" outlineLevel="1">
      <c r="B9" s="958" t="s">
        <v>2120</v>
      </c>
      <c r="E9" s="960">
        <f>-F9</f>
        <v>-360000</v>
      </c>
      <c r="F9" s="960">
        <v>360000</v>
      </c>
      <c r="K9" s="961">
        <f>SUM(E9:I9)</f>
        <v>0</v>
      </c>
    </row>
    <row r="10" spans="2:23" hidden="1" outlineLevel="1">
      <c r="B10" s="958" t="s">
        <v>2124</v>
      </c>
      <c r="E10" s="960">
        <f>3600000*0.9</f>
        <v>3240000</v>
      </c>
      <c r="G10" s="960">
        <f>3600000*0.1</f>
        <v>360000</v>
      </c>
      <c r="K10" s="961">
        <f>SUM(E10:I10)</f>
        <v>3600000</v>
      </c>
    </row>
    <row r="11" spans="2:23" hidden="1" outlineLevel="1">
      <c r="B11" s="958" t="s">
        <v>2125</v>
      </c>
      <c r="E11" s="960">
        <f>-香港!C213</f>
        <v>-530274.16064000002</v>
      </c>
      <c r="F11" s="960">
        <f>-香港!D213</f>
        <v>-363985.3824</v>
      </c>
      <c r="G11" s="960" t="e">
        <f>-'202601-202603（Forecast）'!#REF!</f>
        <v>#REF!</v>
      </c>
      <c r="H11" s="960" t="e">
        <f>-'202601-202603（Forecast）'!#REF!</f>
        <v>#REF!</v>
      </c>
      <c r="I11" s="960" t="e">
        <f>-'202601-202603（Forecast）'!#REF!</f>
        <v>#REF!</v>
      </c>
      <c r="K11" s="961" t="e">
        <f>SUM(E11:I11)</f>
        <v>#REF!</v>
      </c>
      <c r="M11" s="961" t="s">
        <v>2126</v>
      </c>
    </row>
    <row r="12" spans="2:23" hidden="1" outlineLevel="1">
      <c r="B12" s="958" t="s">
        <v>2119</v>
      </c>
      <c r="D12" s="959">
        <v>45900</v>
      </c>
      <c r="E12" s="969">
        <f t="shared" ref="E12:K12" si="1">SUM(E8:E11)</f>
        <v>4777037.8079999993</v>
      </c>
      <c r="F12" s="969">
        <f t="shared" si="1"/>
        <v>43894.721279999998</v>
      </c>
      <c r="G12" s="969" t="e">
        <f t="shared" si="1"/>
        <v>#REF!</v>
      </c>
      <c r="H12" s="969" t="e">
        <f t="shared" si="1"/>
        <v>#REF!</v>
      </c>
      <c r="I12" s="969" t="e">
        <f t="shared" si="1"/>
        <v>#REF!</v>
      </c>
      <c r="J12" s="969"/>
      <c r="K12" s="969" t="e">
        <f t="shared" si="1"/>
        <v>#REF!</v>
      </c>
      <c r="L12" s="973"/>
      <c r="M12" s="969" t="s">
        <v>2127</v>
      </c>
      <c r="N12" s="969"/>
      <c r="O12" s="969"/>
    </row>
    <row r="13" spans="2:23" hidden="1" outlineLevel="1">
      <c r="E13" s="972"/>
      <c r="F13" s="972"/>
      <c r="G13" s="972"/>
      <c r="H13" s="972"/>
      <c r="I13" s="972"/>
      <c r="J13" s="972"/>
      <c r="K13" s="972"/>
      <c r="L13" s="974"/>
      <c r="M13" s="972"/>
      <c r="N13" s="972"/>
      <c r="O13" s="972"/>
    </row>
    <row r="14" spans="2:23" hidden="1" outlineLevel="1">
      <c r="B14" s="958" t="s">
        <v>2119</v>
      </c>
      <c r="D14" s="959">
        <v>45900</v>
      </c>
      <c r="E14" s="972">
        <v>4794239</v>
      </c>
      <c r="F14" s="972">
        <v>82455</v>
      </c>
      <c r="G14" s="972">
        <v>1111289</v>
      </c>
      <c r="H14" s="972">
        <v>5068590.2048321404</v>
      </c>
      <c r="I14" s="972">
        <v>31863.599999999999</v>
      </c>
      <c r="J14" s="972"/>
      <c r="K14" s="961">
        <f>SUM(E14:I14)</f>
        <v>11088436.80483214</v>
      </c>
    </row>
    <row r="15" spans="2:23" hidden="1" outlineLevel="1">
      <c r="B15" s="958" t="s">
        <v>2120</v>
      </c>
      <c r="E15" s="960">
        <f>-F15</f>
        <v>-617625</v>
      </c>
      <c r="F15" s="960">
        <f>675000*0.915</f>
        <v>617625</v>
      </c>
      <c r="K15" s="961">
        <f>SUM(E15:I15)</f>
        <v>0</v>
      </c>
    </row>
    <row r="16" spans="2:23" hidden="1" outlineLevel="1">
      <c r="B16" s="958" t="s">
        <v>2128</v>
      </c>
      <c r="E16" s="960">
        <f>-香港!C236</f>
        <v>-499864.88429999998</v>
      </c>
      <c r="F16" s="960">
        <f>-香港!D236+180000*0.915</f>
        <v>-502745.05724999995</v>
      </c>
      <c r="G16" s="960" t="e">
        <f>-'202601-202603（Forecast）'!#REF!</f>
        <v>#REF!</v>
      </c>
      <c r="H16" s="960">
        <f>-'202601-202603（Forecast）'!O52</f>
        <v>-766650.99</v>
      </c>
      <c r="I16" s="960">
        <v>0</v>
      </c>
      <c r="K16" s="961" t="e">
        <f>SUM(E16:I16)</f>
        <v>#REF!</v>
      </c>
    </row>
    <row r="17" spans="2:18" hidden="1" outlineLevel="1">
      <c r="B17" s="958" t="s">
        <v>2119</v>
      </c>
      <c r="D17" s="975">
        <v>45930</v>
      </c>
      <c r="E17" s="969">
        <f>SUM(E14:E16)</f>
        <v>3676749.1157</v>
      </c>
      <c r="F17" s="969">
        <f t="shared" ref="F17:K17" si="2">SUM(F14:F16)</f>
        <v>197334.94275000005</v>
      </c>
      <c r="G17" s="969" t="e">
        <f t="shared" si="2"/>
        <v>#REF!</v>
      </c>
      <c r="H17" s="969">
        <f t="shared" si="2"/>
        <v>4301939.2148321401</v>
      </c>
      <c r="I17" s="969">
        <f t="shared" si="2"/>
        <v>31863.599999999999</v>
      </c>
      <c r="J17" s="969"/>
      <c r="K17" s="969" t="e">
        <f t="shared" si="2"/>
        <v>#REF!</v>
      </c>
      <c r="L17" s="973"/>
      <c r="M17" s="969"/>
      <c r="N17" s="969"/>
      <c r="O17" s="969"/>
    </row>
    <row r="18" spans="2:18" hidden="1" outlineLevel="1">
      <c r="B18" s="958" t="s">
        <v>2120</v>
      </c>
      <c r="E18" s="960">
        <f>-F18</f>
        <v>-502745.05724999995</v>
      </c>
      <c r="F18" s="960">
        <f>-F20</f>
        <v>502745.05724999995</v>
      </c>
      <c r="K18" s="961">
        <f>SUM(E18:I18)</f>
        <v>0</v>
      </c>
    </row>
    <row r="19" spans="2:18" hidden="1" outlineLevel="1">
      <c r="B19" s="958" t="s">
        <v>2124</v>
      </c>
    </row>
    <row r="20" spans="2:18" hidden="1" outlineLevel="1">
      <c r="B20" s="958" t="s">
        <v>2129</v>
      </c>
      <c r="E20" s="960">
        <v>-520253</v>
      </c>
      <c r="F20" s="960">
        <f>F16</f>
        <v>-502745.05724999995</v>
      </c>
      <c r="G20" s="960">
        <f>-'202601-202603（Forecast）'!I52</f>
        <v>-789872.76</v>
      </c>
      <c r="H20" s="960">
        <f>-'202601-202603（Forecast）'!P52</f>
        <v>-344650.99</v>
      </c>
      <c r="I20" s="960">
        <v>0</v>
      </c>
      <c r="K20" s="961">
        <f>SUM(E20:I20)</f>
        <v>-2157521.8072499996</v>
      </c>
    </row>
    <row r="21" spans="2:18" hidden="1" outlineLevel="1" collapsed="1"/>
    <row r="22" spans="2:18" hidden="1" outlineLevel="1">
      <c r="B22" s="958" t="s">
        <v>2119</v>
      </c>
      <c r="D22" s="975">
        <v>45961</v>
      </c>
      <c r="E22" s="969">
        <f>3251528*0.92</f>
        <v>2991405.7600000002</v>
      </c>
      <c r="F22" s="969">
        <f>65292*0.92</f>
        <v>60068.639999999999</v>
      </c>
      <c r="G22" s="969">
        <f>SUM('202601-202603（Forecast）'!I14,'202601-202603（Forecast）'!L14)</f>
        <v>561081.68000000005</v>
      </c>
      <c r="H22" s="969">
        <f>'202601-202603（Forecast）'!O14</f>
        <v>2694352.06</v>
      </c>
      <c r="I22" s="969">
        <f>'202601-202603（Forecast）'!F14</f>
        <v>86665.41</v>
      </c>
      <c r="J22" s="969"/>
      <c r="K22" s="970">
        <f>SUM(E22:J22)</f>
        <v>6393573.5500000007</v>
      </c>
      <c r="L22" s="971"/>
      <c r="M22" s="970"/>
      <c r="N22" s="970"/>
      <c r="O22" s="970"/>
    </row>
    <row r="23" spans="2:18" hidden="1" outlineLevel="1">
      <c r="B23" s="958" t="s">
        <v>2120</v>
      </c>
      <c r="E23" s="960">
        <f>香港!C274*0.92</f>
        <v>-368000</v>
      </c>
      <c r="F23" s="960">
        <f>-E23</f>
        <v>368000</v>
      </c>
      <c r="G23" s="960">
        <f>-H23</f>
        <v>450000</v>
      </c>
      <c r="H23" s="960">
        <v>-450000</v>
      </c>
      <c r="I23" s="960">
        <f>-'202601-202603（Forecast）'!F52</f>
        <v>-9982000</v>
      </c>
      <c r="K23" s="961">
        <f t="shared" ref="K23:K24" si="3">SUM(E23:J23)</f>
        <v>-9982000</v>
      </c>
    </row>
    <row r="24" spans="2:18" hidden="1" outlineLevel="1">
      <c r="B24" s="958" t="s">
        <v>2130</v>
      </c>
      <c r="E24" s="960">
        <f>-香港!C272*0.92</f>
        <v>-493674.76</v>
      </c>
      <c r="F24" s="960">
        <f>-香港!D272*0.92</f>
        <v>-394737.96</v>
      </c>
      <c r="G24" s="960">
        <v>-450000</v>
      </c>
      <c r="H24" s="960">
        <v>-400000</v>
      </c>
      <c r="I24" s="960">
        <v>0</v>
      </c>
      <c r="K24" s="961">
        <f t="shared" si="3"/>
        <v>-1738412.72</v>
      </c>
    </row>
    <row r="25" spans="2:18" hidden="1" outlineLevel="1">
      <c r="B25" s="958" t="s">
        <v>2119</v>
      </c>
      <c r="D25" s="975">
        <v>45991</v>
      </c>
      <c r="E25" s="969">
        <f t="shared" ref="E25:K25" si="4">SUM(E22:E24)</f>
        <v>2129731</v>
      </c>
      <c r="F25" s="969">
        <f t="shared" si="4"/>
        <v>33330.679999999993</v>
      </c>
      <c r="G25" s="969">
        <f t="shared" si="4"/>
        <v>561081.68000000005</v>
      </c>
      <c r="H25" s="969">
        <f t="shared" si="4"/>
        <v>1844352.06</v>
      </c>
      <c r="I25" s="969">
        <f t="shared" si="4"/>
        <v>-9895334.5899999999</v>
      </c>
      <c r="J25" s="969"/>
      <c r="K25" s="970">
        <f t="shared" si="4"/>
        <v>-5326839.169999999</v>
      </c>
      <c r="L25" s="971"/>
      <c r="M25" s="970"/>
      <c r="N25" s="970"/>
      <c r="O25" s="970"/>
    </row>
    <row r="26" spans="2:18" hidden="1" outlineLevel="1" collapsed="1">
      <c r="D26" s="975"/>
      <c r="E26" s="972"/>
      <c r="F26" s="972"/>
      <c r="G26" s="972"/>
      <c r="H26" s="972"/>
      <c r="I26" s="972"/>
      <c r="J26" s="972"/>
      <c r="P26" s="958" t="s">
        <v>2131</v>
      </c>
      <c r="R26" s="976">
        <f>-SUM(K35:K35)</f>
        <v>1936677.91</v>
      </c>
    </row>
    <row r="27" spans="2:18" hidden="1" outlineLevel="1">
      <c r="B27" s="958" t="s">
        <v>2132</v>
      </c>
      <c r="D27" s="975">
        <v>45991</v>
      </c>
      <c r="E27" s="972">
        <f>2341169</f>
        <v>2341169</v>
      </c>
      <c r="F27" s="972">
        <v>46479</v>
      </c>
      <c r="G27" s="972">
        <f>104222.77+53825.34+17880.93</f>
        <v>175929.03999999998</v>
      </c>
      <c r="H27" s="972">
        <v>3460729</v>
      </c>
      <c r="I27" s="972">
        <v>31951</v>
      </c>
      <c r="J27" s="972">
        <v>57445</v>
      </c>
      <c r="K27" s="961">
        <f>SUM(E27:J27)</f>
        <v>6113702.04</v>
      </c>
    </row>
    <row r="28" spans="2:18" hidden="1" outlineLevel="1">
      <c r="B28" s="977" t="s">
        <v>1923</v>
      </c>
      <c r="D28" s="975"/>
      <c r="E28" s="972">
        <v>3.34</v>
      </c>
      <c r="F28" s="972">
        <v>0.06</v>
      </c>
      <c r="G28" s="972">
        <f>5.68+3.33+2.26</f>
        <v>11.27</v>
      </c>
      <c r="H28" s="972">
        <f>3329.24+247.83+0.02</f>
        <v>3577.0899999999997</v>
      </c>
      <c r="I28" s="972">
        <f>41018+0.07+0.21+0.17+7.85</f>
        <v>41026.299999999996</v>
      </c>
      <c r="J28" s="972">
        <v>7.26</v>
      </c>
      <c r="K28" s="961">
        <f>SUM(E28:J28)</f>
        <v>44625.32</v>
      </c>
    </row>
    <row r="29" spans="2:18" hidden="1" outlineLevel="1">
      <c r="B29" s="958" t="s">
        <v>2104</v>
      </c>
      <c r="D29" s="975"/>
      <c r="E29" s="972"/>
      <c r="F29" s="972"/>
      <c r="G29" s="972"/>
      <c r="H29" s="972">
        <v>-400000</v>
      </c>
      <c r="I29" s="972"/>
      <c r="J29" s="972"/>
      <c r="K29" s="961">
        <f>SUM(E29:J29)</f>
        <v>-400000</v>
      </c>
      <c r="P29" s="976" t="s">
        <v>2133</v>
      </c>
      <c r="R29" s="961"/>
    </row>
    <row r="30" spans="2:18" hidden="1" outlineLevel="1">
      <c r="B30" s="958" t="s">
        <v>2099</v>
      </c>
      <c r="F30" s="960">
        <f>2000000*0.9</f>
        <v>1800000</v>
      </c>
      <c r="K30" s="961">
        <f t="shared" ref="K30:K35" si="5">SUM(E30:J30)</f>
        <v>1800000</v>
      </c>
      <c r="P30" s="961" t="s">
        <v>2134</v>
      </c>
      <c r="R30" s="961">
        <f>-香港!C286*0.92</f>
        <v>-138000</v>
      </c>
    </row>
    <row r="31" spans="2:18" hidden="1" outlineLevel="1">
      <c r="B31" s="958" t="s">
        <v>2135</v>
      </c>
      <c r="G31" s="960">
        <f>-J31*10%</f>
        <v>0</v>
      </c>
      <c r="I31" s="960">
        <f>-J31*0.9</f>
        <v>0</v>
      </c>
      <c r="K31" s="961">
        <f t="shared" si="5"/>
        <v>0</v>
      </c>
      <c r="P31" s="961" t="s">
        <v>2136</v>
      </c>
      <c r="R31" s="961">
        <f>-香港!C293*0.92</f>
        <v>-276000</v>
      </c>
    </row>
    <row r="32" spans="2:18" hidden="1" outlineLevel="1">
      <c r="B32" s="958" t="s">
        <v>2137</v>
      </c>
      <c r="K32" s="961">
        <f t="shared" si="5"/>
        <v>0</v>
      </c>
      <c r="P32" s="961" t="s">
        <v>2138</v>
      </c>
      <c r="R32" s="961">
        <f>-SUM(香港!I283:I284)*7.1-香港!I293*7.1</f>
        <v>-269912.25099999999</v>
      </c>
    </row>
    <row r="33" spans="2:23" hidden="1" outlineLevel="1">
      <c r="B33" s="958" t="s">
        <v>2139</v>
      </c>
      <c r="E33" s="960">
        <f>-I33</f>
        <v>0</v>
      </c>
      <c r="I33" s="960">
        <f>-SUM(I30:I32)</f>
        <v>0</v>
      </c>
      <c r="K33" s="961">
        <f t="shared" si="5"/>
        <v>0</v>
      </c>
      <c r="P33" s="961" t="s">
        <v>2140</v>
      </c>
      <c r="R33" s="961">
        <f>-'202601-202603（Forecast）'!I45</f>
        <v>0</v>
      </c>
    </row>
    <row r="34" spans="2:23" hidden="1" outlineLevel="1">
      <c r="B34" s="958" t="s">
        <v>2137</v>
      </c>
      <c r="E34" s="960">
        <f>-F34</f>
        <v>647834.4</v>
      </c>
      <c r="F34" s="960">
        <f>-(800000-80000)*0.89977</f>
        <v>-647834.4</v>
      </c>
      <c r="G34" s="960">
        <v>345000</v>
      </c>
      <c r="H34" s="960">
        <v>-280000</v>
      </c>
      <c r="I34" s="960">
        <v>-65000</v>
      </c>
      <c r="K34" s="961">
        <f t="shared" si="5"/>
        <v>0</v>
      </c>
      <c r="R34" s="970">
        <f>SUM(R30:R33)</f>
        <v>-683912.25099999993</v>
      </c>
    </row>
    <row r="35" spans="2:23" hidden="1" outlineLevel="1">
      <c r="B35" s="958" t="s">
        <v>2108</v>
      </c>
      <c r="E35" s="960">
        <f>-395768.68</f>
        <v>-395768.68</v>
      </c>
      <c r="F35" s="960">
        <f>-103720*0.9-637830.25</f>
        <v>-731178.25</v>
      </c>
      <c r="G35" s="960">
        <f>-329240.35-105997.92</f>
        <v>-435238.26999999996</v>
      </c>
      <c r="H35" s="960">
        <v>-374466.81</v>
      </c>
      <c r="I35" s="960">
        <v>-0.9</v>
      </c>
      <c r="J35" s="960">
        <v>-25</v>
      </c>
      <c r="K35" s="961">
        <f t="shared" si="5"/>
        <v>-1936677.91</v>
      </c>
      <c r="P35" s="958" t="s">
        <v>2141</v>
      </c>
      <c r="R35" s="978">
        <f>R26+R34</f>
        <v>1252765.659</v>
      </c>
    </row>
    <row r="36" spans="2:23" s="956" customFormat="1" ht="12.75" hidden="1" outlineLevel="1">
      <c r="B36" s="956" t="s">
        <v>2142</v>
      </c>
      <c r="D36" s="979">
        <v>46022</v>
      </c>
      <c r="E36" s="980">
        <f>SUM(E27:E35)</f>
        <v>2593238.0599999996</v>
      </c>
      <c r="F36" s="980">
        <f t="shared" ref="F36:K36" si="6">SUM(F27:F35)</f>
        <v>467466.41000000015</v>
      </c>
      <c r="G36" s="980">
        <f t="shared" si="6"/>
        <v>85702.039999999979</v>
      </c>
      <c r="H36" s="980">
        <f t="shared" si="6"/>
        <v>2409839.2799999998</v>
      </c>
      <c r="I36" s="980">
        <f t="shared" si="6"/>
        <v>7976.3999999999887</v>
      </c>
      <c r="J36" s="980">
        <f t="shared" si="6"/>
        <v>57427.26</v>
      </c>
      <c r="K36" s="980">
        <f t="shared" si="6"/>
        <v>5621649.4500000002</v>
      </c>
      <c r="L36" s="981"/>
      <c r="M36" s="980"/>
      <c r="N36" s="980"/>
      <c r="O36" s="980"/>
    </row>
    <row r="37" spans="2:23" s="956" customFormat="1" ht="12.75" collapsed="1">
      <c r="B37" s="982" t="s">
        <v>2132</v>
      </c>
      <c r="C37" s="982"/>
      <c r="D37" s="983">
        <v>46022</v>
      </c>
      <c r="E37" s="984">
        <v>2574529</v>
      </c>
      <c r="F37" s="984">
        <v>466588</v>
      </c>
      <c r="G37" s="984">
        <f t="shared" ref="G37:J37" si="7">G36</f>
        <v>85702.039999999979</v>
      </c>
      <c r="H37" s="984">
        <f t="shared" si="7"/>
        <v>2409839.2799999998</v>
      </c>
      <c r="I37" s="984">
        <f t="shared" si="7"/>
        <v>7976.3999999999887</v>
      </c>
      <c r="J37" s="984">
        <f t="shared" si="7"/>
        <v>57427.26</v>
      </c>
      <c r="K37" s="984">
        <f>SUM(E37:J37)</f>
        <v>5602061.9800000004</v>
      </c>
      <c r="L37" s="981"/>
      <c r="M37" s="984"/>
      <c r="N37" s="984"/>
      <c r="O37" s="984"/>
    </row>
    <row r="38" spans="2:23">
      <c r="B38" s="958" t="s">
        <v>2098</v>
      </c>
      <c r="D38" s="959">
        <v>46023</v>
      </c>
      <c r="I38" s="960">
        <v>10000000</v>
      </c>
      <c r="K38" s="961">
        <f t="shared" ref="K38:K39" si="8">SUM(E38:J38)</f>
        <v>10000000</v>
      </c>
      <c r="U38" s="958" t="s">
        <v>2143</v>
      </c>
      <c r="W38" s="958" t="s">
        <v>2143</v>
      </c>
    </row>
    <row r="39" spans="2:23">
      <c r="B39" s="958" t="s">
        <v>2137</v>
      </c>
      <c r="D39" s="959">
        <v>46023</v>
      </c>
      <c r="G39" s="960">
        <v>1540000</v>
      </c>
      <c r="I39" s="960">
        <f>-G39</f>
        <v>-1540000</v>
      </c>
      <c r="K39" s="961">
        <f t="shared" si="8"/>
        <v>0</v>
      </c>
      <c r="Q39" s="958" t="str">
        <f>IF(E39&gt;0,"收到的其他与筹资活动有关的现金","支付的其他与筹资活动有关的现金")</f>
        <v>支付的其他与筹资活动有关的现金</v>
      </c>
      <c r="R39" s="958" t="str">
        <f t="shared" ref="R39:V39" si="9">IF(F39&gt;0,"收到的其他与筹资活动有关的现金","支付的其他与筹资活动有关的现金")</f>
        <v>支付的其他与筹资活动有关的现金</v>
      </c>
      <c r="S39" s="958" t="str">
        <f t="shared" si="9"/>
        <v>收到的其他与筹资活动有关的现金</v>
      </c>
      <c r="T39" s="958" t="str">
        <f t="shared" si="9"/>
        <v>支付的其他与筹资活动有关的现金</v>
      </c>
      <c r="U39" s="958" t="str">
        <f t="shared" si="9"/>
        <v>支付的其他与筹资活动有关的现金</v>
      </c>
      <c r="V39" s="958" t="str">
        <f t="shared" si="9"/>
        <v>支付的其他与筹资活动有关的现金</v>
      </c>
    </row>
    <row r="40" spans="2:23">
      <c r="B40" s="958" t="s">
        <v>2104</v>
      </c>
      <c r="D40" s="959">
        <v>46023</v>
      </c>
      <c r="H40" s="960">
        <v>-400000</v>
      </c>
      <c r="K40" s="961">
        <f t="shared" ref="K40:K51" si="10">SUM(E40:J40)</f>
        <v>-400000</v>
      </c>
      <c r="T40" s="958" t="s">
        <v>2144</v>
      </c>
      <c r="W40" s="958" t="s">
        <v>2144</v>
      </c>
    </row>
    <row r="41" spans="2:23">
      <c r="B41" s="958" t="s">
        <v>2145</v>
      </c>
      <c r="D41" s="959">
        <v>46023</v>
      </c>
      <c r="G41" s="960">
        <v>-144000</v>
      </c>
      <c r="I41" s="960">
        <v>-3516000</v>
      </c>
      <c r="J41" s="960">
        <f>-G41-I41</f>
        <v>3660000</v>
      </c>
      <c r="K41" s="961">
        <f t="shared" si="10"/>
        <v>0</v>
      </c>
      <c r="Q41" s="958" t="s">
        <v>2146</v>
      </c>
      <c r="S41" s="958" t="s">
        <v>2144</v>
      </c>
      <c r="U41" s="958" t="s">
        <v>2144</v>
      </c>
      <c r="V41" s="958" t="s">
        <v>2147</v>
      </c>
    </row>
    <row r="42" spans="2:23">
      <c r="B42" s="958" t="s">
        <v>2137</v>
      </c>
      <c r="D42" s="959">
        <v>46023</v>
      </c>
      <c r="G42" s="960">
        <f>-H42</f>
        <v>-780000</v>
      </c>
      <c r="H42" s="960">
        <f>500000+280000</f>
        <v>780000</v>
      </c>
      <c r="K42" s="961">
        <f t="shared" si="10"/>
        <v>0</v>
      </c>
      <c r="Q42" s="958" t="str">
        <f t="shared" ref="Q42:V42" si="11">IF(E42&gt;0,"收到的其他与筹资活动有关的现金","支付的其他与筹资活动有关的现金")</f>
        <v>支付的其他与筹资活动有关的现金</v>
      </c>
      <c r="R42" s="958" t="str">
        <f t="shared" si="11"/>
        <v>支付的其他与筹资活动有关的现金</v>
      </c>
      <c r="S42" s="958" t="str">
        <f t="shared" si="11"/>
        <v>支付的其他与筹资活动有关的现金</v>
      </c>
      <c r="T42" s="958" t="str">
        <f t="shared" si="11"/>
        <v>收到的其他与筹资活动有关的现金</v>
      </c>
      <c r="U42" s="958" t="str">
        <f t="shared" si="11"/>
        <v>支付的其他与筹资活动有关的现金</v>
      </c>
      <c r="V42" s="958" t="str">
        <f t="shared" si="11"/>
        <v>支付的其他与筹资活动有关的现金</v>
      </c>
    </row>
    <row r="43" spans="2:23">
      <c r="B43" s="958" t="s">
        <v>2139</v>
      </c>
      <c r="D43" s="959">
        <v>46023</v>
      </c>
      <c r="E43" s="960">
        <f>-I43</f>
        <v>4924000</v>
      </c>
      <c r="I43" s="960">
        <f>-SUM(I38:I41)+20000</f>
        <v>-4924000</v>
      </c>
      <c r="K43" s="961">
        <f t="shared" si="10"/>
        <v>0</v>
      </c>
      <c r="Q43" s="958" t="s">
        <v>2148</v>
      </c>
      <c r="U43" s="958" t="s">
        <v>2149</v>
      </c>
    </row>
    <row r="44" spans="2:23">
      <c r="B44" s="958" t="s">
        <v>2137</v>
      </c>
      <c r="D44" s="959">
        <v>46023</v>
      </c>
      <c r="E44" s="960">
        <f>-2000000*0.9</f>
        <v>-1800000</v>
      </c>
      <c r="F44" s="960">
        <f>-E44</f>
        <v>1800000</v>
      </c>
      <c r="K44" s="961">
        <f t="shared" ref="K44:K45" si="12">SUM(E44:J44)</f>
        <v>0</v>
      </c>
      <c r="Q44" s="958" t="str">
        <f t="shared" ref="Q44:V44" si="13">IF(E44&gt;0,"收到的其他与筹资活动有关的现金","支付的其他与筹资活动有关的现金")</f>
        <v>支付的其他与筹资活动有关的现金</v>
      </c>
      <c r="R44" s="958" t="str">
        <f t="shared" si="13"/>
        <v>收到的其他与筹资活动有关的现金</v>
      </c>
      <c r="S44" s="958" t="str">
        <f t="shared" si="13"/>
        <v>支付的其他与筹资活动有关的现金</v>
      </c>
      <c r="T44" s="958" t="str">
        <f t="shared" si="13"/>
        <v>支付的其他与筹资活动有关的现金</v>
      </c>
      <c r="U44" s="958" t="str">
        <f t="shared" si="13"/>
        <v>支付的其他与筹资活动有关的现金</v>
      </c>
      <c r="V44" s="958" t="str">
        <f t="shared" si="13"/>
        <v>支付的其他与筹资活动有关的现金</v>
      </c>
    </row>
    <row r="45" spans="2:23">
      <c r="B45" s="958" t="s">
        <v>2102</v>
      </c>
      <c r="D45" s="959">
        <v>46023</v>
      </c>
      <c r="F45" s="960">
        <f>-2003452*0.9</f>
        <v>-1803106.8</v>
      </c>
      <c r="J45" s="960">
        <v>-3649364.38</v>
      </c>
      <c r="K45" s="961">
        <f t="shared" si="12"/>
        <v>-5452471.1799999997</v>
      </c>
      <c r="R45" s="958" t="s">
        <v>2150</v>
      </c>
      <c r="V45" s="958" t="s">
        <v>2150</v>
      </c>
      <c r="W45" s="958" t="s">
        <v>2150</v>
      </c>
    </row>
    <row r="46" spans="2:23" s="957" customFormat="1" ht="12.75">
      <c r="B46" s="985" t="s">
        <v>2142</v>
      </c>
      <c r="D46" s="986">
        <v>46023</v>
      </c>
      <c r="E46" s="987">
        <f t="shared" ref="E46:K46" si="14">SUM(E37:E45)</f>
        <v>5698529</v>
      </c>
      <c r="F46" s="987">
        <f t="shared" si="14"/>
        <v>463481.19999999995</v>
      </c>
      <c r="G46" s="987">
        <f t="shared" si="14"/>
        <v>701702.04</v>
      </c>
      <c r="H46" s="987">
        <f t="shared" si="14"/>
        <v>2789839.28</v>
      </c>
      <c r="I46" s="987">
        <f t="shared" si="14"/>
        <v>27976.400000000373</v>
      </c>
      <c r="J46" s="987">
        <f t="shared" si="14"/>
        <v>68062.879999999888</v>
      </c>
      <c r="K46" s="987">
        <f t="shared" si="14"/>
        <v>9749590.8000000007</v>
      </c>
      <c r="L46" s="988"/>
      <c r="M46" s="988"/>
      <c r="N46" s="988"/>
      <c r="O46" s="988"/>
    </row>
    <row r="47" spans="2:23">
      <c r="B47" s="958" t="s">
        <v>2108</v>
      </c>
      <c r="D47" s="959">
        <v>46023</v>
      </c>
      <c r="E47" s="960">
        <f>-香港!C313*0.92-香港!C293*0.92-7600*0.9</f>
        <v>-716567.89119999995</v>
      </c>
      <c r="F47" s="960">
        <f>-香港!C315*0.92-9000*0.9</f>
        <v>-527957.96</v>
      </c>
      <c r="G47" s="960">
        <f>-('202601-202603（Forecast）'!I52-'202601-202603（Forecast）'!I50-'202601-202603（Forecast）'!I47-'202601-202603（Forecast）'!I45)-30752.77-9434.66-40281.7</f>
        <v>-726341.89</v>
      </c>
      <c r="H47" s="960">
        <f>-('202601-202603（Forecast）'!O52-'202601-202603（Forecast）'!O50)-57483.79</f>
        <v>-424134.77999999997</v>
      </c>
      <c r="I47" s="960">
        <f>-('202601-202603（Forecast）'!F52-'202601-202603（Forecast）'!F50-'202601-202603（Forecast）'!F48-'202601-202603（Forecast）'!F47)</f>
        <v>-2000</v>
      </c>
      <c r="K47" s="961">
        <f>SUM(E47:J47)</f>
        <v>-2397002.5211999998</v>
      </c>
    </row>
    <row r="48" spans="2:23">
      <c r="B48" s="958" t="s">
        <v>2098</v>
      </c>
      <c r="D48" s="959">
        <v>46023</v>
      </c>
      <c r="I48" s="989">
        <v>9650000</v>
      </c>
      <c r="K48" s="961">
        <f t="shared" ref="K48:K49" si="15">SUM(E48:J48)</f>
        <v>9650000</v>
      </c>
      <c r="U48" s="958" t="s">
        <v>2143</v>
      </c>
      <c r="W48" s="958" t="s">
        <v>2143</v>
      </c>
    </row>
    <row r="49" spans="2:23">
      <c r="B49" s="958" t="s">
        <v>2139</v>
      </c>
      <c r="D49" s="959">
        <v>46023</v>
      </c>
      <c r="E49" s="960">
        <f>-I49</f>
        <v>7000000</v>
      </c>
      <c r="I49" s="960">
        <v>-7000000</v>
      </c>
      <c r="K49" s="961">
        <f t="shared" si="15"/>
        <v>0</v>
      </c>
      <c r="P49" s="961"/>
      <c r="Q49" s="958" t="s">
        <v>2148</v>
      </c>
      <c r="R49" s="961"/>
      <c r="U49" s="958" t="s">
        <v>2149</v>
      </c>
    </row>
    <row r="50" spans="2:23">
      <c r="B50" s="958" t="s">
        <v>2137</v>
      </c>
      <c r="D50" s="959">
        <v>46023</v>
      </c>
      <c r="E50" s="960">
        <v>-100000</v>
      </c>
      <c r="F50" s="960">
        <f>-E50</f>
        <v>100000</v>
      </c>
      <c r="K50" s="961">
        <f t="shared" si="10"/>
        <v>0</v>
      </c>
      <c r="Q50" s="958" t="str">
        <f t="shared" ref="Q50:V50" si="16">IF(E50&gt;0,"收到的其他与筹资活动有关的现金","支付的其他与筹资活动有关的现金")</f>
        <v>支付的其他与筹资活动有关的现金</v>
      </c>
      <c r="R50" s="958" t="str">
        <f t="shared" si="16"/>
        <v>收到的其他与筹资活动有关的现金</v>
      </c>
      <c r="S50" s="958" t="str">
        <f t="shared" si="16"/>
        <v>支付的其他与筹资活动有关的现金</v>
      </c>
      <c r="T50" s="958" t="str">
        <f t="shared" si="16"/>
        <v>支付的其他与筹资活动有关的现金</v>
      </c>
      <c r="U50" s="958" t="str">
        <f t="shared" si="16"/>
        <v>支付的其他与筹资活动有关的现金</v>
      </c>
      <c r="V50" s="958" t="str">
        <f t="shared" si="16"/>
        <v>支付的其他与筹资活动有关的现金</v>
      </c>
    </row>
    <row r="51" spans="2:23">
      <c r="B51" s="958" t="s">
        <v>2108</v>
      </c>
      <c r="D51" s="959">
        <v>46023</v>
      </c>
      <c r="K51" s="961">
        <f t="shared" si="10"/>
        <v>0</v>
      </c>
    </row>
    <row r="52" spans="2:23" s="956" customFormat="1" ht="12.75">
      <c r="B52" s="982" t="s">
        <v>2142</v>
      </c>
      <c r="C52" s="982"/>
      <c r="D52" s="983">
        <v>46023</v>
      </c>
      <c r="E52" s="990">
        <f t="shared" ref="E52:K52" si="17">SUM(E46:E51)</f>
        <v>11881961.1088</v>
      </c>
      <c r="F52" s="990">
        <f t="shared" si="17"/>
        <v>35523.239999999991</v>
      </c>
      <c r="G52" s="990">
        <f t="shared" si="17"/>
        <v>-24639.849999999977</v>
      </c>
      <c r="H52" s="990">
        <f t="shared" si="17"/>
        <v>2365704.5</v>
      </c>
      <c r="I52" s="990">
        <f t="shared" si="17"/>
        <v>2675976.4000000004</v>
      </c>
      <c r="J52" s="990">
        <f t="shared" si="17"/>
        <v>68062.879999999888</v>
      </c>
      <c r="K52" s="990">
        <f t="shared" si="17"/>
        <v>17002588.278800003</v>
      </c>
      <c r="L52" s="991"/>
      <c r="M52" s="990">
        <f>SUM(M46:M51)</f>
        <v>0</v>
      </c>
      <c r="N52" s="990">
        <f>SUM(N46:N51)</f>
        <v>0</v>
      </c>
      <c r="O52" s="990">
        <f>SUM(O46:O51)</f>
        <v>0</v>
      </c>
    </row>
    <row r="53" spans="2:23">
      <c r="B53" s="958" t="s">
        <v>2099</v>
      </c>
      <c r="D53" s="959">
        <v>46054</v>
      </c>
      <c r="J53" s="989">
        <v>15000000</v>
      </c>
      <c r="K53" s="961">
        <f t="shared" ref="K53:K64" si="18">SUM(E53:J53)</f>
        <v>15000000</v>
      </c>
      <c r="P53" s="961"/>
      <c r="R53" s="961"/>
      <c r="V53" s="958" t="s">
        <v>2143</v>
      </c>
      <c r="W53" s="958" t="s">
        <v>2143</v>
      </c>
    </row>
    <row r="54" spans="2:23">
      <c r="B54" s="958" t="s">
        <v>2151</v>
      </c>
      <c r="D54" s="959">
        <v>46054</v>
      </c>
      <c r="G54" s="960">
        <f>-$J$54*10%</f>
        <v>1500000</v>
      </c>
      <c r="I54" s="960">
        <f>-$J$54*90%</f>
        <v>13500000</v>
      </c>
      <c r="J54" s="960">
        <f>-J53</f>
        <v>-15000000</v>
      </c>
      <c r="K54" s="961">
        <f t="shared" si="18"/>
        <v>0</v>
      </c>
      <c r="P54" s="961"/>
      <c r="R54" s="961"/>
      <c r="S54" s="958" t="s">
        <v>2148</v>
      </c>
      <c r="U54" s="958" t="s">
        <v>2148</v>
      </c>
      <c r="V54" s="958" t="s">
        <v>2149</v>
      </c>
    </row>
    <row r="55" spans="2:23">
      <c r="B55" s="958" t="s">
        <v>2137</v>
      </c>
      <c r="D55" s="959">
        <v>46054</v>
      </c>
      <c r="G55" s="960">
        <f>-G54+1000000</f>
        <v>-500000</v>
      </c>
      <c r="I55" s="960">
        <f>-G55</f>
        <v>500000</v>
      </c>
      <c r="K55" s="961">
        <f t="shared" si="18"/>
        <v>0</v>
      </c>
      <c r="Q55" s="958" t="str">
        <f t="shared" ref="Q55:V55" si="19">IF(E55&gt;0,"收到的其他与筹资活动有关的现金","支付的其他与筹资活动有关的现金")</f>
        <v>支付的其他与筹资活动有关的现金</v>
      </c>
      <c r="R55" s="958" t="str">
        <f t="shared" si="19"/>
        <v>支付的其他与筹资活动有关的现金</v>
      </c>
      <c r="S55" s="958" t="str">
        <f t="shared" si="19"/>
        <v>支付的其他与筹资活动有关的现金</v>
      </c>
      <c r="T55" s="958" t="str">
        <f t="shared" si="19"/>
        <v>支付的其他与筹资活动有关的现金</v>
      </c>
      <c r="U55" s="958" t="str">
        <f t="shared" si="19"/>
        <v>收到的其他与筹资活动有关的现金</v>
      </c>
      <c r="V55" s="958" t="str">
        <f t="shared" si="19"/>
        <v>支付的其他与筹资活动有关的现金</v>
      </c>
    </row>
    <row r="56" spans="2:23">
      <c r="B56" s="958" t="s">
        <v>2139</v>
      </c>
      <c r="D56" s="959">
        <v>46054</v>
      </c>
      <c r="E56" s="960">
        <f>-I56</f>
        <v>16500000</v>
      </c>
      <c r="I56" s="960">
        <v>-16500000</v>
      </c>
      <c r="K56" s="961">
        <f t="shared" si="18"/>
        <v>0</v>
      </c>
      <c r="P56" s="961"/>
      <c r="Q56" s="958" t="s">
        <v>2148</v>
      </c>
      <c r="R56" s="961"/>
      <c r="U56" s="958" t="s">
        <v>2149</v>
      </c>
    </row>
    <row r="57" spans="2:23">
      <c r="B57" s="958" t="s">
        <v>2137</v>
      </c>
      <c r="D57" s="959">
        <v>46054</v>
      </c>
      <c r="E57" s="960">
        <f>-F57</f>
        <v>-15200000</v>
      </c>
      <c r="F57" s="960">
        <v>15200000</v>
      </c>
      <c r="G57" s="960">
        <f>-210000</f>
        <v>-210000</v>
      </c>
      <c r="K57" s="961">
        <f t="shared" si="18"/>
        <v>-210000</v>
      </c>
      <c r="O57" s="961">
        <f>-G57</f>
        <v>210000</v>
      </c>
      <c r="Q57" s="958" t="str">
        <f t="shared" ref="Q57:V57" si="20">IF(E57&gt;0,"收到的其他与筹资活动有关的现金","支付的其他与筹资活动有关的现金")</f>
        <v>支付的其他与筹资活动有关的现金</v>
      </c>
      <c r="R57" s="958" t="str">
        <f t="shared" si="20"/>
        <v>收到的其他与筹资活动有关的现金</v>
      </c>
      <c r="S57" s="958" t="str">
        <f t="shared" si="20"/>
        <v>支付的其他与筹资活动有关的现金</v>
      </c>
      <c r="T57" s="958" t="str">
        <f t="shared" si="20"/>
        <v>支付的其他与筹资活动有关的现金</v>
      </c>
      <c r="U57" s="958" t="str">
        <f t="shared" si="20"/>
        <v>支付的其他与筹资活动有关的现金</v>
      </c>
      <c r="V57" s="958" t="str">
        <f t="shared" si="20"/>
        <v>支付的其他与筹资活动有关的现金</v>
      </c>
    </row>
    <row r="58" spans="2:23">
      <c r="B58" s="958" t="s">
        <v>2152</v>
      </c>
      <c r="D58" s="959">
        <v>46054</v>
      </c>
      <c r="E58" s="960">
        <v>-8000000</v>
      </c>
      <c r="H58" s="960">
        <f>-E58</f>
        <v>8000000</v>
      </c>
      <c r="K58" s="961">
        <f t="shared" si="18"/>
        <v>0</v>
      </c>
      <c r="Q58" s="958" t="s">
        <v>2144</v>
      </c>
      <c r="T58" s="958" t="s">
        <v>2147</v>
      </c>
    </row>
    <row r="59" spans="2:23">
      <c r="B59" s="958" t="s">
        <v>2105</v>
      </c>
      <c r="D59" s="959">
        <v>46054</v>
      </c>
      <c r="F59" s="961">
        <f>-INDEX(情形1!$32:$32,MATCH(cashflow汇总预算2026!$D59,情形1!$3:$3,0))*10000</f>
        <v>0</v>
      </c>
      <c r="K59" s="961">
        <f t="shared" si="18"/>
        <v>0</v>
      </c>
      <c r="N59" s="994"/>
      <c r="R59" s="958" t="s">
        <v>2144</v>
      </c>
      <c r="W59" s="958" t="str">
        <f>R59</f>
        <v>投资支付的现金</v>
      </c>
    </row>
    <row r="60" spans="2:23">
      <c r="B60" s="958" t="s">
        <v>2153</v>
      </c>
      <c r="D60" s="959">
        <v>46054</v>
      </c>
      <c r="F60" s="995">
        <v>-7324000</v>
      </c>
      <c r="G60" s="960">
        <f>-F60</f>
        <v>7324000</v>
      </c>
      <c r="K60" s="961">
        <f t="shared" si="18"/>
        <v>0</v>
      </c>
      <c r="R60" s="958" t="s">
        <v>2144</v>
      </c>
      <c r="S60" s="958" t="s">
        <v>2147</v>
      </c>
    </row>
    <row r="61" spans="2:23">
      <c r="B61" s="958" t="s">
        <v>2137</v>
      </c>
      <c r="D61" s="959">
        <v>46054</v>
      </c>
      <c r="E61" s="960">
        <v>-400000</v>
      </c>
      <c r="F61" s="960">
        <f>-E61</f>
        <v>400000</v>
      </c>
      <c r="K61" s="961">
        <f t="shared" si="18"/>
        <v>0</v>
      </c>
      <c r="M61" s="996">
        <f>-F61</f>
        <v>-400000</v>
      </c>
      <c r="N61" s="994"/>
      <c r="Q61" s="958" t="str">
        <f t="shared" ref="Q61:V61" si="21">IF(E61&gt;0,"收到的其他与筹资活动有关的现金","支付的其他与筹资活动有关的现金")</f>
        <v>支付的其他与筹资活动有关的现金</v>
      </c>
      <c r="R61" s="958" t="str">
        <f t="shared" si="21"/>
        <v>收到的其他与筹资活动有关的现金</v>
      </c>
      <c r="S61" s="958" t="str">
        <f t="shared" si="21"/>
        <v>支付的其他与筹资活动有关的现金</v>
      </c>
      <c r="T61" s="958" t="str">
        <f t="shared" si="21"/>
        <v>支付的其他与筹资活动有关的现金</v>
      </c>
      <c r="U61" s="958" t="str">
        <f t="shared" si="21"/>
        <v>支付的其他与筹资活动有关的现金</v>
      </c>
      <c r="V61" s="958" t="str">
        <f t="shared" si="21"/>
        <v>支付的其他与筹资活动有关的现金</v>
      </c>
    </row>
    <row r="62" spans="2:23">
      <c r="B62" s="958" t="s">
        <v>2106</v>
      </c>
      <c r="D62" s="959">
        <v>46054</v>
      </c>
      <c r="H62" s="961">
        <f>-INDEX(情形1!$32:$32,MATCH(cashflow汇总预算2026!$D62,情形1!$3:$3,0))*10000</f>
        <v>0</v>
      </c>
      <c r="K62" s="961">
        <f t="shared" si="18"/>
        <v>0</v>
      </c>
      <c r="M62" s="993"/>
      <c r="N62" s="993">
        <f>-M62-H62</f>
        <v>0</v>
      </c>
      <c r="T62" s="958" t="s">
        <v>2144</v>
      </c>
      <c r="W62" s="958" t="s">
        <v>2144</v>
      </c>
    </row>
    <row r="63" spans="2:23">
      <c r="B63" s="958" t="s">
        <v>2107</v>
      </c>
      <c r="D63" s="959">
        <v>46054</v>
      </c>
      <c r="G63" s="961">
        <f>-INDEX(情形1!$32:$32,MATCH(cashflow汇总预算2026!$D63,情形1!$3:$3,0))*10000</f>
        <v>0</v>
      </c>
      <c r="K63" s="961">
        <f t="shared" si="18"/>
        <v>0</v>
      </c>
      <c r="N63" s="993"/>
      <c r="O63" s="993"/>
      <c r="Q63" s="958" t="s">
        <v>2144</v>
      </c>
      <c r="S63" s="958" t="s">
        <v>2144</v>
      </c>
      <c r="W63" s="958" t="s">
        <v>2144</v>
      </c>
    </row>
    <row r="64" spans="2:23">
      <c r="B64" s="958" t="s">
        <v>2154</v>
      </c>
      <c r="D64" s="959">
        <v>46054</v>
      </c>
      <c r="K64" s="961">
        <f t="shared" si="18"/>
        <v>0</v>
      </c>
      <c r="O64" s="961">
        <f>-INDEX(情形1!$32:$32,MATCH(cashflow汇总预算2026!D64,情形1!$3:$3,0))*10000</f>
        <v>0</v>
      </c>
    </row>
    <row r="65" spans="2:23">
      <c r="B65" s="958" t="s">
        <v>2108</v>
      </c>
      <c r="D65" s="959">
        <v>46054</v>
      </c>
      <c r="E65" s="960">
        <f ca="1">INDEX('CF-ACPLHK'!$E$29:$Q$29,MATCH(cashflow汇总预算2026!$D65,'CF-ACPLHK'!$E$4:$Q$4,0))+INDEX('CF-ACPLHK'!$E$38:$Q$38,MATCH($D65,'CF-ACPLHK'!$E$4:$Q$4,0))</f>
        <v>-458780.53885999997</v>
      </c>
      <c r="F65" s="960">
        <f ca="1">INDEX('CF-ACPL'!$E$29:$Q$29,MATCH($D65,'CF-ACPL'!$E$4:$Q$4,0))+INDEX('CF-ACPL'!$E$38:$Q$38,MATCH($D65,'CF-ACPL'!$E$4:$Q$4))</f>
        <v>-445479.18303916662</v>
      </c>
      <c r="G65" s="960">
        <f ca="1">INDEX('CF-ACPLSZ'!$E$29:$Q$29,MATCH($D65,'CF-ACPLSZ'!$E$4:$Q$4,0))+INDEX('CF-ACPLSZ'!$E$38:$Q$38,MATCH($D65,'CF-ACPLSZ'!$E$4:$Q$4))</f>
        <v>-674810.95799999998</v>
      </c>
      <c r="H65" s="960">
        <f ca="1">INDEX('CF-ACPSZL'!$E$29:$Q$29,MATCH(cashflow汇总预算2026!$D65,'CF-ACPSZL'!$E$4:$Q$4,0))+INDEX('CF-ACPSZL'!$E$38:$Q$38,MATCH($D65,'CF-ACPSZL'!$E$4:$Q$4,0))</f>
        <v>-316982.27666666667</v>
      </c>
      <c r="I65" s="960">
        <f ca="1">INDEX('CF-ACPLGZ'!$E$29:$Q$29,MATCH(cashflow汇总预算2026!$D65,'CF-ACPLGZ'!$E$4:$Q$4,0))+INDEX('CF-ACPLGZ'!$E$38:$Q$38,MATCH($D65,'CF-ACPLGZ'!$E$4:$Q$4,0))</f>
        <v>-475</v>
      </c>
      <c r="J65" s="960">
        <f>INDEX('CF-ACPLYixing'!$E$29:$Q$29,MATCH($D65,'CF-ACPLYixing'!$E$4:$Q$4,0))+INDEX('CF-ACPLYixing'!$E$38:$Q$38,MATCH($D65,'CF-ACPLYixing'!$E$4:$Q$4,0))</f>
        <v>-83.333333333333329</v>
      </c>
      <c r="K65" s="961">
        <f t="shared" ref="K65" ca="1" si="22">SUM(E65:J65)</f>
        <v>-1896611.2898991664</v>
      </c>
      <c r="O65" s="961">
        <v>-200000</v>
      </c>
    </row>
    <row r="66" spans="2:23" s="956" customFormat="1" ht="12.75">
      <c r="B66" s="982" t="s">
        <v>2142</v>
      </c>
      <c r="C66" s="982"/>
      <c r="D66" s="983">
        <v>46081</v>
      </c>
      <c r="E66" s="997">
        <f t="shared" ref="E66:K66" ca="1" si="23">SUM(E52:E65)</f>
        <v>4323180.5699400017</v>
      </c>
      <c r="F66" s="997">
        <f t="shared" ca="1" si="23"/>
        <v>7866044.0569608333</v>
      </c>
      <c r="G66" s="997">
        <f t="shared" ca="1" si="23"/>
        <v>7414549.1920000007</v>
      </c>
      <c r="H66" s="997">
        <f t="shared" ca="1" si="23"/>
        <v>10048722.223333333</v>
      </c>
      <c r="I66" s="997">
        <f t="shared" ca="1" si="23"/>
        <v>175501.40000000037</v>
      </c>
      <c r="J66" s="997">
        <f t="shared" si="23"/>
        <v>67979.546666665628</v>
      </c>
      <c r="K66" s="997">
        <f t="shared" ca="1" si="23"/>
        <v>29895976.988900837</v>
      </c>
      <c r="L66" s="991"/>
      <c r="M66" s="997">
        <f>SUM(M52:M65)</f>
        <v>-400000</v>
      </c>
      <c r="N66" s="997">
        <f>SUM(N52:N65)</f>
        <v>0</v>
      </c>
      <c r="O66" s="997">
        <f>SUM(O52:O65)</f>
        <v>10000</v>
      </c>
    </row>
    <row r="67" spans="2:23">
      <c r="B67" s="958" t="s">
        <v>2105</v>
      </c>
      <c r="D67" s="959">
        <v>46082</v>
      </c>
      <c r="F67" s="960">
        <f>-INDEX(情形1!$26:$26,MATCH(cashflow汇总预算2026!$D67,情形1!$3:$3,0))*10000</f>
        <v>-7800000</v>
      </c>
      <c r="K67" s="961">
        <f t="shared" ref="K67:K70" si="24">SUM(E67:J67)</f>
        <v>-7800000</v>
      </c>
      <c r="M67" s="961">
        <f>-F67/75%</f>
        <v>10400000</v>
      </c>
      <c r="R67" s="958" t="s">
        <v>2144</v>
      </c>
      <c r="W67" s="958" t="str">
        <f>R67</f>
        <v>投资支付的现金</v>
      </c>
    </row>
    <row r="68" spans="2:23">
      <c r="B68" s="958" t="s">
        <v>2106</v>
      </c>
      <c r="D68" s="959">
        <v>46082</v>
      </c>
      <c r="H68" s="960">
        <f>-INDEX(情形1!$30:$30,MATCH(cashflow汇总预算2026!$D68,情形1!$3:$3,0))*10000</f>
        <v>-2020408.1632653063</v>
      </c>
      <c r="K68" s="961">
        <f t="shared" si="24"/>
        <v>-2020408.1632653063</v>
      </c>
      <c r="M68" s="961">
        <f>4000/4900*H68/(900/4900)</f>
        <v>-8979591.8367346935</v>
      </c>
      <c r="N68" s="961">
        <f>-H68-M68</f>
        <v>11000000</v>
      </c>
      <c r="T68" s="958" t="s">
        <v>2144</v>
      </c>
      <c r="W68" s="958" t="s">
        <v>2144</v>
      </c>
    </row>
    <row r="69" spans="2:23">
      <c r="B69" s="958" t="s">
        <v>2107</v>
      </c>
      <c r="D69" s="959">
        <v>46082</v>
      </c>
      <c r="G69" s="960">
        <f>-INDEX(情形1!$28:$28,MATCH(cashflow汇总预算2026!$D69,情形1!$3:$3))*10000</f>
        <v>-2375000</v>
      </c>
      <c r="K69" s="961">
        <f t="shared" si="24"/>
        <v>-2375000</v>
      </c>
      <c r="N69" s="961">
        <f>G69/1250*3650</f>
        <v>-6935000</v>
      </c>
      <c r="O69" s="961">
        <f>-G69-N69+1000000</f>
        <v>10310000</v>
      </c>
      <c r="Q69" s="958" t="s">
        <v>2144</v>
      </c>
      <c r="W69" s="958" t="s">
        <v>2144</v>
      </c>
    </row>
    <row r="70" spans="2:23">
      <c r="B70" s="958" t="s">
        <v>2154</v>
      </c>
      <c r="D70" s="959">
        <v>46082</v>
      </c>
      <c r="K70" s="961">
        <f t="shared" si="24"/>
        <v>0</v>
      </c>
      <c r="O70" s="961">
        <f>-INDEX(情形1!$32:$32,MATCH(cashflow汇总预算2026!$D70,情形1!$3:$3,0))*10000</f>
        <v>-5000000</v>
      </c>
    </row>
    <row r="71" spans="2:23">
      <c r="B71" s="958" t="s">
        <v>2137</v>
      </c>
      <c r="D71" s="959">
        <v>46082</v>
      </c>
      <c r="E71" s="960">
        <f ca="1">-F71</f>
        <v>-557979.1830391665</v>
      </c>
      <c r="F71" s="960">
        <f ca="1">-F72</f>
        <v>557979.1830391665</v>
      </c>
      <c r="G71" s="960">
        <v>210000</v>
      </c>
      <c r="K71" s="961">
        <f t="shared" ref="K71:K72" ca="1" si="25">SUM(E71:J71)</f>
        <v>210000</v>
      </c>
      <c r="M71" s="961">
        <f>-M61</f>
        <v>400000</v>
      </c>
      <c r="O71" s="961">
        <f>-G71</f>
        <v>-210000</v>
      </c>
      <c r="Q71" s="958" t="str">
        <f t="shared" ref="Q71:V71" ca="1" si="26">IF(E71&gt;0,"收到的其他与筹资活动有关的现金","支付的其他与筹资活动有关的现金")</f>
        <v>支付的其他与筹资活动有关的现金</v>
      </c>
      <c r="R71" s="958" t="str">
        <f t="shared" ca="1" si="26"/>
        <v>收到的其他与筹资活动有关的现金</v>
      </c>
      <c r="S71" s="958" t="str">
        <f t="shared" si="26"/>
        <v>收到的其他与筹资活动有关的现金</v>
      </c>
      <c r="T71" s="958" t="str">
        <f t="shared" si="26"/>
        <v>支付的其他与筹资活动有关的现金</v>
      </c>
      <c r="U71" s="958" t="str">
        <f t="shared" si="26"/>
        <v>支付的其他与筹资活动有关的现金</v>
      </c>
      <c r="V71" s="958" t="str">
        <f t="shared" si="26"/>
        <v>支付的其他与筹资活动有关的现金</v>
      </c>
    </row>
    <row r="72" spans="2:23">
      <c r="B72" s="958" t="s">
        <v>2108</v>
      </c>
      <c r="D72" s="959">
        <v>46082</v>
      </c>
      <c r="E72" s="960">
        <f ca="1">INDEX('CF-ACPLHK'!$E$29:$Q$29,MATCH(cashflow汇总预算2026!$D72,'CF-ACPLHK'!$E$4:$Q$4,0))+INDEX('CF-ACPLHK'!$E$38:$Q$38,MATCH($D72,'CF-ACPLHK'!$E$4:$Q$4,0))</f>
        <v>-599170.53886000009</v>
      </c>
      <c r="F72" s="960">
        <f ca="1">INDEX('CF-ACPL'!$E$29:$Q$29,MATCH($D72,'CF-ACPL'!$E$4:$Q$4,0))+INDEX('CF-ACPL'!$E$38:$Q$38,MATCH($D72,'CF-ACPL'!$E$4:$Q$4))</f>
        <v>-557979.1830391665</v>
      </c>
      <c r="G72" s="960">
        <f ca="1">INDEX('CF-ACPLSZ'!$E$29:$Q$29,MATCH($D72,'CF-ACPLSZ'!$E$4:$Q$4,0))+INDEX('CF-ACPLSZ'!$E$38:$Q$38,MATCH($D72,'CF-ACPLSZ'!$E$4:$Q$4))</f>
        <v>-554432.84799999988</v>
      </c>
      <c r="H72" s="960">
        <f ca="1">INDEX('CF-ACPSZL'!$E$29:$Q$29,MATCH(cashflow汇总预算2026!$D72,'CF-ACPSZL'!$E$4:$Q$4,0))+INDEX('CF-ACPSZL'!$E$38:$Q$38,MATCH($D72,'CF-ACPSZL'!$E$4:$Q$4,0))</f>
        <v>-297382.27666666667</v>
      </c>
      <c r="I72" s="960">
        <f ca="1">INDEX('CF-ACPLGZ'!$E$29:$Q$29,MATCH(cashflow汇总预算2026!$D72,'CF-ACPLGZ'!$E$4:$Q$4,0))+INDEX('CF-ACPLGZ'!$E$38:$Q$38,MATCH($D72,'CF-ACPLGZ'!$E$4:$Q$4,0))</f>
        <v>-475</v>
      </c>
      <c r="J72" s="960">
        <f>INDEX('CF-ACPLYixing'!$E$29:$Q$29,MATCH($D72,'CF-ACPLYixing'!$E$4:$Q$4,0))+INDEX('CF-ACPLYixing'!$E$38:$Q$38,MATCH($D72,'CF-ACPLYixing'!$E$4:$Q$4,0))</f>
        <v>-83.333333333333329</v>
      </c>
      <c r="K72" s="961">
        <f t="shared" ca="1" si="25"/>
        <v>-2009523.1798991663</v>
      </c>
    </row>
    <row r="73" spans="2:23" s="956" customFormat="1" ht="12.75">
      <c r="B73" s="982" t="s">
        <v>2142</v>
      </c>
      <c r="C73" s="982"/>
      <c r="D73" s="983">
        <v>46112</v>
      </c>
      <c r="E73" s="997">
        <f t="shared" ref="E73:K73" ca="1" si="27">SUM(E66:E72)</f>
        <v>3166030.848040835</v>
      </c>
      <c r="F73" s="997">
        <f t="shared" ca="1" si="27"/>
        <v>66044.056960833259</v>
      </c>
      <c r="G73" s="997">
        <f t="shared" ca="1" si="27"/>
        <v>4695116.3440000005</v>
      </c>
      <c r="H73" s="997">
        <f t="shared" ca="1" si="27"/>
        <v>7730931.7834013598</v>
      </c>
      <c r="I73" s="997">
        <f t="shared" ca="1" si="27"/>
        <v>175026.40000000037</v>
      </c>
      <c r="J73" s="997">
        <f t="shared" si="27"/>
        <v>67896.2133333323</v>
      </c>
      <c r="K73" s="990">
        <f t="shared" ca="1" si="27"/>
        <v>15901045.645736363</v>
      </c>
      <c r="L73" s="991"/>
      <c r="M73" s="990">
        <f>SUM(M66:M72)</f>
        <v>1420408.1632653065</v>
      </c>
      <c r="N73" s="990">
        <f>SUM(N66:N72)</f>
        <v>4065000</v>
      </c>
      <c r="O73" s="990">
        <f>SUM(O66:O72)</f>
        <v>5110000</v>
      </c>
    </row>
    <row r="74" spans="2:23">
      <c r="B74" s="958" t="s">
        <v>2100</v>
      </c>
      <c r="D74" s="959">
        <v>46113</v>
      </c>
      <c r="J74" s="960">
        <v>43500000</v>
      </c>
      <c r="K74" s="961">
        <f>SUM(E74:J74)</f>
        <v>43500000</v>
      </c>
      <c r="V74" s="958" t="s">
        <v>2148</v>
      </c>
      <c r="W74" s="958" t="s">
        <v>2148</v>
      </c>
    </row>
    <row r="75" spans="2:23">
      <c r="B75" s="958" t="s">
        <v>2102</v>
      </c>
      <c r="D75" s="959">
        <v>46113</v>
      </c>
      <c r="J75" s="960">
        <f>J54*(1+4%*3/12)</f>
        <v>-15150000</v>
      </c>
      <c r="K75" s="961">
        <f>SUM(E75:J75)</f>
        <v>-15150000</v>
      </c>
      <c r="M75" s="961">
        <v>0</v>
      </c>
      <c r="R75" s="958" t="s">
        <v>2150</v>
      </c>
      <c r="V75" s="958" t="s">
        <v>2150</v>
      </c>
      <c r="W75" s="958" t="s">
        <v>2150</v>
      </c>
    </row>
    <row r="76" spans="2:23">
      <c r="B76" s="958" t="s">
        <v>2101</v>
      </c>
      <c r="D76" s="959">
        <v>46113</v>
      </c>
      <c r="J76" s="960">
        <f>-19650000-250000</f>
        <v>-19900000</v>
      </c>
      <c r="K76" s="961">
        <f>SUM(E76:J76)</f>
        <v>-19900000</v>
      </c>
      <c r="V76" s="958" t="s">
        <v>2150</v>
      </c>
      <c r="W76" s="958" t="s">
        <v>2150</v>
      </c>
    </row>
    <row r="77" spans="2:23">
      <c r="B77" s="958" t="s">
        <v>2135</v>
      </c>
      <c r="D77" s="959">
        <v>46113</v>
      </c>
      <c r="G77" s="960">
        <f>-J77*10%</f>
        <v>845000</v>
      </c>
      <c r="I77" s="960">
        <f>-J77*0.9</f>
        <v>7605000</v>
      </c>
      <c r="J77" s="960">
        <f>-SUM(J74:J76)</f>
        <v>-8450000</v>
      </c>
      <c r="K77" s="961">
        <f>SUM(E77:J77)</f>
        <v>0</v>
      </c>
      <c r="Q77" s="958" t="s">
        <v>2146</v>
      </c>
      <c r="S77" s="958" t="s">
        <v>2148</v>
      </c>
      <c r="U77" s="958" t="s">
        <v>2148</v>
      </c>
      <c r="V77" s="958" t="s">
        <v>2149</v>
      </c>
    </row>
    <row r="78" spans="2:23">
      <c r="B78" s="958" t="s">
        <v>2137</v>
      </c>
      <c r="D78" s="959">
        <v>46113</v>
      </c>
      <c r="G78" s="960">
        <f>-I78</f>
        <v>3000000</v>
      </c>
      <c r="I78" s="960">
        <v>-3000000</v>
      </c>
      <c r="K78" s="961">
        <f t="shared" ref="K78:K79" si="28">SUM(E78:J78)</f>
        <v>0</v>
      </c>
      <c r="M78" s="961">
        <f>-M55</f>
        <v>0</v>
      </c>
      <c r="Q78" s="958" t="str">
        <f t="shared" ref="Q78:V78" si="29">IF(E78&gt;0,"收到的其他与筹资活动有关的现金","支付的其他与筹资活动有关的现金")</f>
        <v>支付的其他与筹资活动有关的现金</v>
      </c>
      <c r="R78" s="958" t="str">
        <f t="shared" si="29"/>
        <v>支付的其他与筹资活动有关的现金</v>
      </c>
      <c r="S78" s="958" t="str">
        <f t="shared" si="29"/>
        <v>收到的其他与筹资活动有关的现金</v>
      </c>
      <c r="T78" s="958" t="str">
        <f t="shared" si="29"/>
        <v>支付的其他与筹资活动有关的现金</v>
      </c>
      <c r="U78" s="958" t="str">
        <f t="shared" si="29"/>
        <v>支付的其他与筹资活动有关的现金</v>
      </c>
      <c r="V78" s="958" t="str">
        <f t="shared" si="29"/>
        <v>支付的其他与筹资活动有关的现金</v>
      </c>
    </row>
    <row r="79" spans="2:23">
      <c r="B79" s="958" t="s">
        <v>2139</v>
      </c>
      <c r="D79" s="959">
        <v>46113</v>
      </c>
      <c r="E79" s="960">
        <f>-I79</f>
        <v>4505000</v>
      </c>
      <c r="I79" s="960">
        <f>-SUM(I77:I78)+100000</f>
        <v>-4505000</v>
      </c>
      <c r="K79" s="961">
        <f t="shared" si="28"/>
        <v>0</v>
      </c>
      <c r="Q79" s="958" t="s">
        <v>2148</v>
      </c>
      <c r="U79" s="958" t="s">
        <v>2149</v>
      </c>
    </row>
    <row r="80" spans="2:23">
      <c r="B80" s="958" t="s">
        <v>2105</v>
      </c>
      <c r="D80" s="959">
        <v>46113</v>
      </c>
      <c r="F80" s="960">
        <f>-INDEX(情形1!$26:$26,MATCH(cashflow汇总预算2026!$D80,情形1!$3:$3,0))*10000</f>
        <v>0</v>
      </c>
      <c r="K80" s="961">
        <f t="shared" ref="K80:K83" si="30">SUM(E80:J80)</f>
        <v>0</v>
      </c>
      <c r="M80" s="961">
        <f>-F80/75%</f>
        <v>0</v>
      </c>
      <c r="R80" s="958" t="s">
        <v>2144</v>
      </c>
      <c r="W80" s="958" t="str">
        <f>R80</f>
        <v>投资支付的现金</v>
      </c>
    </row>
    <row r="81" spans="2:23">
      <c r="B81" s="958" t="s">
        <v>2106</v>
      </c>
      <c r="D81" s="959">
        <v>46113</v>
      </c>
      <c r="H81" s="960">
        <f>-INDEX(情形1!$30:$30,MATCH(cashflow汇总预算2026!$D81,情形1!$3:$3,0))*10000</f>
        <v>0</v>
      </c>
      <c r="K81" s="961">
        <f t="shared" si="30"/>
        <v>0</v>
      </c>
      <c r="M81" s="961">
        <f>-M80</f>
        <v>0</v>
      </c>
      <c r="N81" s="961">
        <f>-H81-M81</f>
        <v>0</v>
      </c>
      <c r="T81" s="958" t="s">
        <v>2144</v>
      </c>
      <c r="W81" s="958" t="s">
        <v>2144</v>
      </c>
    </row>
    <row r="82" spans="2:23">
      <c r="B82" s="958" t="s">
        <v>2107</v>
      </c>
      <c r="D82" s="959">
        <v>46113</v>
      </c>
      <c r="G82" s="960">
        <f>-INDEX(情形1!$28:$28,MATCH(cashflow汇总预算2026!$D82,情形1!$3:$3))*10000</f>
        <v>-1275510.2040816327</v>
      </c>
      <c r="K82" s="961">
        <f t="shared" si="30"/>
        <v>-1275510.2040816327</v>
      </c>
      <c r="N82" s="961">
        <f>G82/1250*3650</f>
        <v>-3724489.7959183673</v>
      </c>
      <c r="O82" s="961">
        <f>-G82-N82</f>
        <v>5000000</v>
      </c>
      <c r="S82" s="958" t="s">
        <v>2144</v>
      </c>
      <c r="W82" s="958" t="s">
        <v>2144</v>
      </c>
    </row>
    <row r="83" spans="2:23">
      <c r="B83" s="958" t="s">
        <v>2154</v>
      </c>
      <c r="D83" s="959">
        <v>46113</v>
      </c>
      <c r="K83" s="961">
        <f t="shared" si="30"/>
        <v>0</v>
      </c>
      <c r="O83" s="961">
        <f>-INDEX(情形1!$32:$32,MATCH(cashflow汇总预算2026!D83,情形1!$3:$3,0))*10000</f>
        <v>-10000000</v>
      </c>
    </row>
    <row r="84" spans="2:23">
      <c r="B84" s="958" t="s">
        <v>2137</v>
      </c>
      <c r="D84" s="959">
        <v>46113</v>
      </c>
      <c r="E84" s="960">
        <f ca="1">-F84</f>
        <v>-1353639.1830391667</v>
      </c>
      <c r="F84" s="960">
        <f ca="1">-F85</f>
        <v>1353639.1830391667</v>
      </c>
      <c r="K84" s="961">
        <f t="shared" ref="K84" ca="1" si="31">SUM(E84:J84)</f>
        <v>0</v>
      </c>
      <c r="M84" s="961">
        <f>-M74</f>
        <v>0</v>
      </c>
      <c r="Q84" s="958" t="str">
        <f t="shared" ref="Q84" ca="1" si="32">IF(E84&gt;0,"收到的其他与筹资活动有关的现金","支付的其他与筹资活动有关的现金")</f>
        <v>支付的其他与筹资活动有关的现金</v>
      </c>
      <c r="R84" s="958" t="str">
        <f t="shared" ref="R84" ca="1" si="33">IF(F84&gt;0,"收到的其他与筹资活动有关的现金","支付的其他与筹资活动有关的现金")</f>
        <v>收到的其他与筹资活动有关的现金</v>
      </c>
      <c r="S84" s="958" t="str">
        <f t="shared" ref="S84" si="34">IF(G84&gt;0,"收到的其他与筹资活动有关的现金","支付的其他与筹资活动有关的现金")</f>
        <v>支付的其他与筹资活动有关的现金</v>
      </c>
      <c r="T84" s="958" t="str">
        <f t="shared" ref="T84" si="35">IF(H84&gt;0,"收到的其他与筹资活动有关的现金","支付的其他与筹资活动有关的现金")</f>
        <v>支付的其他与筹资活动有关的现金</v>
      </c>
      <c r="U84" s="958" t="str">
        <f t="shared" ref="U84" si="36">IF(I84&gt;0,"收到的其他与筹资活动有关的现金","支付的其他与筹资活动有关的现金")</f>
        <v>支付的其他与筹资活动有关的现金</v>
      </c>
      <c r="V84" s="958" t="str">
        <f t="shared" ref="V84" si="37">IF(J84&gt;0,"收到的其他与筹资活动有关的现金","支付的其他与筹资活动有关的现金")</f>
        <v>支付的其他与筹资活动有关的现金</v>
      </c>
    </row>
    <row r="85" spans="2:23">
      <c r="B85" s="958" t="s">
        <v>2108</v>
      </c>
      <c r="D85" s="959">
        <v>46113</v>
      </c>
      <c r="E85" s="960">
        <f ca="1">INDEX('CF-ACPLHK'!$E$29:$Q$29,MATCH(cashflow汇总预算2026!$D85,'CF-ACPLHK'!$E$4:$Q$4,0))+INDEX('CF-ACPLHK'!$E$38:$Q$38,MATCH($D85,'CF-ACPLHK'!$E$4:$Q$4,0))</f>
        <v>-1049679.03886</v>
      </c>
      <c r="F85" s="960">
        <f ca="1">INDEX('CF-ACPL'!$E$29:$Q$29,MATCH($D85,'CF-ACPL'!$E$4:$Q$4,0))+INDEX('CF-ACPL'!$E$38:$Q$38,MATCH($D85,'CF-ACPL'!$E$4:$Q$4))</f>
        <v>-1353639.1830391667</v>
      </c>
      <c r="G85" s="960">
        <f ca="1">INDEX('CF-ACPLSZ'!$E$29:$Q$29,MATCH($D85,'CF-ACPLSZ'!$E$4:$Q$4,0))+INDEX('CF-ACPLSZ'!$E$38:$Q$38,MATCH($D85,'CF-ACPLSZ'!$E$4:$Q$4))</f>
        <v>-810101.38615024614</v>
      </c>
      <c r="H85" s="960">
        <f ca="1">INDEX('CF-ACPSZL'!$E$29:$Q$29,MATCH(cashflow汇总预算2026!$D85,'CF-ACPSZL'!$E$4:$Q$4,0))+INDEX('CF-ACPSZL'!$E$38:$Q$38,MATCH($D85,'CF-ACPSZL'!$E$4:$Q$4,0))</f>
        <v>-679787.23666666658</v>
      </c>
      <c r="I85" s="960">
        <f ca="1">INDEX('CF-ACPLGZ'!$E$29:$Q$29,MATCH(cashflow汇总预算2026!$D85,'CF-ACPLGZ'!$E$4:$Q$4,0))+INDEX('CF-ACPLGZ'!$E$38:$Q$38,MATCH($D85,'CF-ACPLGZ'!$E$4:$Q$4,0))</f>
        <v>-475</v>
      </c>
      <c r="J85" s="960">
        <f>INDEX('CF-ACPLYixing'!$E$29:$Q$29,MATCH($D85,'CF-ACPLYixing'!$E$4:$Q$4,0))+INDEX('CF-ACPLYixing'!$E$38:$Q$38,MATCH($D85,'CF-ACPLYixing'!$E$4:$Q$4,0))</f>
        <v>-83.333333333333329</v>
      </c>
      <c r="K85" s="961">
        <f t="shared" ref="K85" ca="1" si="38">SUM(E85:J85)</f>
        <v>-3893765.178049413</v>
      </c>
    </row>
    <row r="86" spans="2:23" s="956" customFormat="1" ht="12.75">
      <c r="B86" s="982" t="s">
        <v>2142</v>
      </c>
      <c r="C86" s="982"/>
      <c r="D86" s="983">
        <v>46142</v>
      </c>
      <c r="E86" s="997">
        <f ca="1">SUM(E73:E85)</f>
        <v>5267712.6261416683</v>
      </c>
      <c r="F86" s="997">
        <f t="shared" ref="F86:K86" ca="1" si="39">SUM(F73:F85)</f>
        <v>66044.056960833259</v>
      </c>
      <c r="G86" s="997">
        <f t="shared" ca="1" si="39"/>
        <v>6454504.7537681218</v>
      </c>
      <c r="H86" s="997">
        <f ca="1">SUM(H73:H85)</f>
        <v>7051144.5467346935</v>
      </c>
      <c r="I86" s="997">
        <f t="shared" ca="1" si="39"/>
        <v>274551.40000000037</v>
      </c>
      <c r="J86" s="997">
        <f t="shared" si="39"/>
        <v>67812.87999999772</v>
      </c>
      <c r="K86" s="990">
        <f t="shared" ca="1" si="39"/>
        <v>19181770.263605323</v>
      </c>
      <c r="L86" s="991"/>
      <c r="M86" s="990">
        <f t="shared" ref="M86" si="40">SUM(M73:M85)</f>
        <v>1420408.1632653065</v>
      </c>
      <c r="N86" s="990">
        <f t="shared" ref="N86" si="41">SUM(N73:N85)</f>
        <v>340510.20408163266</v>
      </c>
      <c r="O86" s="990">
        <f>SUM(O73:O85)</f>
        <v>110000</v>
      </c>
    </row>
    <row r="87" spans="2:23">
      <c r="B87" s="958" t="s">
        <v>2105</v>
      </c>
      <c r="D87" s="959">
        <v>46143</v>
      </c>
      <c r="F87" s="960">
        <f>-INDEX(情形1!$26:$26,MATCH(cashflow汇总预算2026!$D87,情形1!$3:$3,0))*10000</f>
        <v>0</v>
      </c>
      <c r="K87" s="961">
        <f t="shared" ref="K87:K91" si="42">SUM(E87:J87)</f>
        <v>0</v>
      </c>
      <c r="M87" s="961">
        <f>-F87/75%</f>
        <v>0</v>
      </c>
      <c r="R87" s="958" t="s">
        <v>2144</v>
      </c>
      <c r="W87" s="958" t="str">
        <f>R87</f>
        <v>投资支付的现金</v>
      </c>
    </row>
    <row r="88" spans="2:23">
      <c r="B88" s="958" t="s">
        <v>2106</v>
      </c>
      <c r="D88" s="959">
        <v>46143</v>
      </c>
      <c r="H88" s="960">
        <f>-INDEX(情形1!$30:$30,MATCH(cashflow汇总预算2026!$D88,情形1!$3:$3,0))*10000</f>
        <v>0</v>
      </c>
      <c r="K88" s="961">
        <f t="shared" si="42"/>
        <v>0</v>
      </c>
      <c r="M88" s="961">
        <f>H88/900*4000</f>
        <v>0</v>
      </c>
      <c r="N88" s="961">
        <f>-H88-M88</f>
        <v>0</v>
      </c>
      <c r="T88" s="958" t="s">
        <v>2144</v>
      </c>
      <c r="W88" s="958" t="s">
        <v>2144</v>
      </c>
    </row>
    <row r="89" spans="2:23">
      <c r="B89" s="958" t="s">
        <v>2107</v>
      </c>
      <c r="D89" s="959">
        <v>46143</v>
      </c>
      <c r="G89" s="960">
        <f>-INDEX(情形1!$28:$28,MATCH(cashflow汇总预算2026!$D89,情形1!$3:$3))*10000</f>
        <v>0</v>
      </c>
      <c r="K89" s="961">
        <f t="shared" si="42"/>
        <v>0</v>
      </c>
      <c r="N89" s="961">
        <f>G89/1250*3650</f>
        <v>0</v>
      </c>
      <c r="O89" s="961">
        <f>-G89-N89</f>
        <v>0</v>
      </c>
      <c r="Q89" s="958" t="s">
        <v>2144</v>
      </c>
      <c r="W89" s="958" t="s">
        <v>2144</v>
      </c>
    </row>
    <row r="90" spans="2:23">
      <c r="B90" s="958" t="s">
        <v>2154</v>
      </c>
      <c r="D90" s="959">
        <v>46143</v>
      </c>
      <c r="K90" s="961">
        <f t="shared" si="42"/>
        <v>0</v>
      </c>
      <c r="O90" s="961">
        <f>-INDEX(情形1!$32:$32,MATCH(cashflow汇总预算2026!D90,情形1!$3:$3,0))*10000</f>
        <v>0</v>
      </c>
    </row>
    <row r="91" spans="2:23">
      <c r="B91" s="958" t="s">
        <v>3140</v>
      </c>
      <c r="D91" s="959">
        <v>46143</v>
      </c>
      <c r="G91" s="960">
        <v>-5000000</v>
      </c>
      <c r="K91" s="961">
        <f t="shared" si="42"/>
        <v>-5000000</v>
      </c>
      <c r="S91" s="958" t="s">
        <v>2144</v>
      </c>
      <c r="W91" s="958" t="s">
        <v>2144</v>
      </c>
    </row>
    <row r="92" spans="2:23">
      <c r="B92" s="958" t="s">
        <v>2137</v>
      </c>
      <c r="D92" s="959">
        <v>46143</v>
      </c>
      <c r="E92" s="960">
        <f ca="1">-F92</f>
        <v>-673968.98303916643</v>
      </c>
      <c r="F92" s="960">
        <f ca="1">-F93</f>
        <v>673968.98303916643</v>
      </c>
      <c r="K92" s="961">
        <f t="shared" ref="K92:K93" ca="1" si="43">SUM(E92:J92)</f>
        <v>0</v>
      </c>
      <c r="Q92" s="958" t="str">
        <f t="shared" ref="Q92:V92" ca="1" si="44">IF(E92&gt;0,"收到的其他与筹资活动有关的现金","支付的其他与筹资活动有关的现金")</f>
        <v>支付的其他与筹资活动有关的现金</v>
      </c>
      <c r="R92" s="958" t="str">
        <f t="shared" ca="1" si="44"/>
        <v>收到的其他与筹资活动有关的现金</v>
      </c>
      <c r="S92" s="958" t="str">
        <f t="shared" si="44"/>
        <v>支付的其他与筹资活动有关的现金</v>
      </c>
      <c r="T92" s="958" t="str">
        <f t="shared" si="44"/>
        <v>支付的其他与筹资活动有关的现金</v>
      </c>
      <c r="U92" s="958" t="str">
        <f t="shared" si="44"/>
        <v>支付的其他与筹资活动有关的现金</v>
      </c>
      <c r="V92" s="958" t="str">
        <f t="shared" si="44"/>
        <v>支付的其他与筹资活动有关的现金</v>
      </c>
    </row>
    <row r="93" spans="2:23">
      <c r="B93" s="958" t="s">
        <v>2108</v>
      </c>
      <c r="D93" s="959">
        <v>46143</v>
      </c>
      <c r="E93" s="960">
        <f ca="1">INDEX('CF-ACPLHK'!$E$29:$Q$29,MATCH(cashflow汇总预算2026!$D93,'CF-ACPLHK'!$E$4:$Q$4,0))+INDEX('CF-ACPLHK'!$E$38:$Q$38,MATCH($D93,'CF-ACPLHK'!$E$4:$Q$4,0))</f>
        <v>-434813.39406153827</v>
      </c>
      <c r="F93" s="960">
        <f ca="1">INDEX('CF-ACPL'!$E$29:$Q$29,MATCH($D93,'CF-ACPL'!$E$4:$Q$4,0))+INDEX('CF-ACPL'!$E$38:$Q$38,MATCH($D93,'CF-ACPL'!$E$4:$Q$4))</f>
        <v>-673968.98303916643</v>
      </c>
      <c r="G93" s="960">
        <f ca="1">INDEX('CF-ACPLSZ'!$E$29:$Q$29,MATCH($D93,'CF-ACPLSZ'!$E$4:$Q$4,0))+INDEX('CF-ACPLSZ'!$E$38:$Q$38,MATCH($D93,'CF-ACPLSZ'!$E$4:$Q$4))</f>
        <v>1946329.2542905274</v>
      </c>
      <c r="H93" s="960">
        <f ca="1">INDEX('CF-ACPSZL'!$E$29:$Q$29,MATCH(cashflow汇总预算2026!$D93,'CF-ACPSZL'!$E$4:$Q$4,0))+INDEX('CF-ACPSZL'!$E$38:$Q$38,MATCH($D93,'CF-ACPSZL'!$E$4:$Q$4,0))</f>
        <v>-358787.23666666669</v>
      </c>
      <c r="I93" s="960">
        <f ca="1">INDEX('CF-ACPLGZ'!$E$29:$Q$29,MATCH(cashflow汇总预算2026!$D93,'CF-ACPLGZ'!$E$4:$Q$4,0))+INDEX('CF-ACPLGZ'!$E$38:$Q$38,MATCH($D93,'CF-ACPLGZ'!$E$4:$Q$4,0))</f>
        <v>-475</v>
      </c>
      <c r="J93" s="960">
        <f>INDEX('CF-ACPLYixing'!$E$29:$Q$29,MATCH($D93,'CF-ACPLYixing'!$E$4:$Q$4,0))+INDEX('CF-ACPLYixing'!$E$38:$Q$38,MATCH($D93,'CF-ACPLYixing'!$E$4:$Q$4,0))</f>
        <v>-83.333333333333329</v>
      </c>
      <c r="K93" s="961">
        <f t="shared" ca="1" si="43"/>
        <v>478201.30718982272</v>
      </c>
    </row>
    <row r="94" spans="2:23" s="956" customFormat="1" ht="12.75">
      <c r="B94" s="982" t="s">
        <v>2142</v>
      </c>
      <c r="C94" s="982"/>
      <c r="D94" s="983">
        <v>46173</v>
      </c>
      <c r="E94" s="997">
        <f ca="1">SUM(E86:E93)</f>
        <v>4158930.2490409631</v>
      </c>
      <c r="F94" s="997">
        <f t="shared" ref="F94:K94" ca="1" si="45">SUM(F86:F93)</f>
        <v>66044.056960833259</v>
      </c>
      <c r="G94" s="997">
        <f t="shared" ca="1" si="45"/>
        <v>3400834.0080586495</v>
      </c>
      <c r="H94" s="997">
        <f t="shared" ca="1" si="45"/>
        <v>6692357.3100680271</v>
      </c>
      <c r="I94" s="997">
        <f t="shared" ca="1" si="45"/>
        <v>274076.40000000037</v>
      </c>
      <c r="J94" s="997">
        <f>SUM(J86:J93)</f>
        <v>67729.546666664392</v>
      </c>
      <c r="K94" s="990">
        <f t="shared" ca="1" si="45"/>
        <v>14659971.570795145</v>
      </c>
      <c r="L94" s="991"/>
      <c r="M94" s="990">
        <f t="shared" ref="M94" si="46">SUM(M86:M93)</f>
        <v>1420408.1632653065</v>
      </c>
      <c r="N94" s="990">
        <f t="shared" ref="N94" si="47">SUM(N86:N93)</f>
        <v>340510.20408163266</v>
      </c>
      <c r="O94" s="990">
        <f t="shared" ref="O94" si="48">SUM(O86:O93)</f>
        <v>110000</v>
      </c>
    </row>
    <row r="95" spans="2:23">
      <c r="B95" s="958" t="s">
        <v>2105</v>
      </c>
      <c r="D95" s="959">
        <v>46174</v>
      </c>
      <c r="F95" s="960">
        <f>-INDEX(情形1!$26:$26,MATCH(cashflow汇总预算2026!$D95,情形1!$3:$3,0))*10000</f>
        <v>0</v>
      </c>
      <c r="K95" s="961">
        <f t="shared" ref="K95:K98" si="49">SUM(E95:J95)</f>
        <v>0</v>
      </c>
      <c r="M95" s="961">
        <f>-F95/75%</f>
        <v>0</v>
      </c>
      <c r="R95" s="958" t="s">
        <v>2144</v>
      </c>
      <c r="W95" s="958" t="str">
        <f>R95</f>
        <v>投资支付的现金</v>
      </c>
    </row>
    <row r="96" spans="2:23">
      <c r="B96" s="958" t="s">
        <v>2106</v>
      </c>
      <c r="D96" s="959">
        <v>46174</v>
      </c>
      <c r="H96" s="960">
        <f>-INDEX(情形1!$30:$30,MATCH(cashflow汇总预算2026!$D96,情形1!$3:$3,0))*10000</f>
        <v>0</v>
      </c>
      <c r="K96" s="961">
        <f t="shared" si="49"/>
        <v>0</v>
      </c>
      <c r="M96" s="961">
        <f>H96/900*4000</f>
        <v>0</v>
      </c>
      <c r="N96" s="961">
        <f>-H96-M96</f>
        <v>0</v>
      </c>
      <c r="T96" s="958" t="s">
        <v>2144</v>
      </c>
      <c r="W96" s="958" t="s">
        <v>2144</v>
      </c>
    </row>
    <row r="97" spans="2:23">
      <c r="B97" s="958" t="s">
        <v>2107</v>
      </c>
      <c r="D97" s="959">
        <v>46174</v>
      </c>
      <c r="G97" s="960">
        <f>-INDEX(情形1!$28:$28,MATCH(cashflow汇总预算2026!$D97,情形1!$3:$3))*10000</f>
        <v>0</v>
      </c>
      <c r="K97" s="961">
        <f t="shared" si="49"/>
        <v>0</v>
      </c>
      <c r="N97" s="961">
        <f>G97/1250*3650</f>
        <v>0</v>
      </c>
      <c r="O97" s="961">
        <f>-G97-N97</f>
        <v>0</v>
      </c>
      <c r="Q97" s="958" t="s">
        <v>2144</v>
      </c>
      <c r="W97" s="958" t="s">
        <v>2144</v>
      </c>
    </row>
    <row r="98" spans="2:23">
      <c r="B98" s="958" t="s">
        <v>2154</v>
      </c>
      <c r="D98" s="959">
        <v>46174</v>
      </c>
      <c r="K98" s="961">
        <f t="shared" si="49"/>
        <v>0</v>
      </c>
      <c r="O98" s="961">
        <f>-INDEX(情形1!$32:$32,MATCH(cashflow汇总预算2026!D98,情形1!$3:$3,0))*10000</f>
        <v>0</v>
      </c>
    </row>
    <row r="99" spans="2:23">
      <c r="B99" s="958" t="s">
        <v>2137</v>
      </c>
      <c r="D99" s="959">
        <v>46174</v>
      </c>
      <c r="E99" s="960">
        <f ca="1">-F99</f>
        <v>-524347.86303916667</v>
      </c>
      <c r="F99" s="960">
        <f ca="1">-F100</f>
        <v>524347.86303916667</v>
      </c>
      <c r="K99" s="961">
        <f t="shared" ref="K99:K100" ca="1" si="50">SUM(E99:J99)</f>
        <v>0</v>
      </c>
      <c r="Q99" s="958" t="str">
        <f t="shared" ref="Q99:V99" ca="1" si="51">IF(E99&gt;0,"收到的其他与筹资活动有关的现金","支付的其他与筹资活动有关的现金")</f>
        <v>支付的其他与筹资活动有关的现金</v>
      </c>
      <c r="R99" s="958" t="str">
        <f t="shared" ca="1" si="51"/>
        <v>收到的其他与筹资活动有关的现金</v>
      </c>
      <c r="S99" s="958" t="str">
        <f t="shared" si="51"/>
        <v>支付的其他与筹资活动有关的现金</v>
      </c>
      <c r="T99" s="958" t="str">
        <f t="shared" si="51"/>
        <v>支付的其他与筹资活动有关的现金</v>
      </c>
      <c r="U99" s="958" t="str">
        <f t="shared" si="51"/>
        <v>支付的其他与筹资活动有关的现金</v>
      </c>
      <c r="V99" s="958" t="str">
        <f t="shared" si="51"/>
        <v>支付的其他与筹资活动有关的现金</v>
      </c>
    </row>
    <row r="100" spans="2:23">
      <c r="B100" s="958" t="s">
        <v>2108</v>
      </c>
      <c r="D100" s="959">
        <v>46174</v>
      </c>
      <c r="E100" s="960">
        <f ca="1">INDEX('CF-ACPLHK'!$E$29:$Q$29,MATCH(cashflow汇总预算2026!$D100,'CF-ACPLHK'!$E$4:$Q$4,0))+INDEX('CF-ACPLHK'!$E$38:$Q$38,MATCH($D100,'CF-ACPLHK'!$E$4:$Q$4,0))</f>
        <v>-559980.98886000004</v>
      </c>
      <c r="F100" s="960">
        <f ca="1">INDEX('CF-ACPL'!$E$29:$Q$29,MATCH($D100,'CF-ACPL'!$E$4:$Q$4,0))+INDEX('CF-ACPL'!$E$38:$Q$38,MATCH($D100,'CF-ACPL'!$E$4:$Q$4))</f>
        <v>-524347.86303916667</v>
      </c>
      <c r="G100" s="960">
        <f ca="1">INDEX('CF-ACPLSZ'!$E$29:$Q$29,MATCH($D100,'CF-ACPLSZ'!$E$4:$Q$4,0))+INDEX('CF-ACPLSZ'!$E$38:$Q$38,MATCH($D100,'CF-ACPLSZ'!$E$4:$Q$4))</f>
        <v>-838944.1012811627</v>
      </c>
      <c r="H100" s="960">
        <f ca="1">INDEX('CF-ACPSZL'!$E$29:$Q$29,MATCH(cashflow汇总预算2026!$D100,'CF-ACPSZL'!$E$4:$Q$4,0))+INDEX('CF-ACPSZL'!$E$38:$Q$38,MATCH($D100,'CF-ACPSZL'!$E$4:$Q$4,0))</f>
        <v>-453307.23666666669</v>
      </c>
      <c r="I100" s="960">
        <f ca="1">INDEX('CF-ACPLGZ'!$E$29:$Q$29,MATCH(cashflow汇总预算2026!$D100,'CF-ACPLGZ'!$E$4:$Q$4,0))+INDEX('CF-ACPLGZ'!$E$38:$Q$38,MATCH($D100,'CF-ACPLGZ'!$E$4:$Q$4,0))</f>
        <v>-52345</v>
      </c>
      <c r="J100" s="960">
        <f>INDEX('CF-ACPLYixing'!$E$29:$Q$29,MATCH($D100,'CF-ACPLYixing'!$E$4:$Q$4,0))+INDEX('CF-ACPLYixing'!$E$38:$Q$38,MATCH($D100,'CF-ACPLYixing'!$E$4:$Q$4,0))</f>
        <v>-17083.333333333332</v>
      </c>
      <c r="K100" s="961">
        <f t="shared" ca="1" si="50"/>
        <v>-2446008.5231803297</v>
      </c>
    </row>
    <row r="101" spans="2:23" s="956" customFormat="1" ht="12.75">
      <c r="B101" s="982" t="s">
        <v>2142</v>
      </c>
      <c r="C101" s="982"/>
      <c r="D101" s="983">
        <v>46203</v>
      </c>
      <c r="E101" s="997">
        <f t="shared" ref="E101:K101" ca="1" si="52">SUM(E94:E100)</f>
        <v>3074601.3971417965</v>
      </c>
      <c r="F101" s="997">
        <f t="shared" ca="1" si="52"/>
        <v>66044.056960833259</v>
      </c>
      <c r="G101" s="997">
        <f t="shared" ca="1" si="52"/>
        <v>2561889.9067774867</v>
      </c>
      <c r="H101" s="997">
        <f t="shared" ca="1" si="52"/>
        <v>6239050.0734013608</v>
      </c>
      <c r="I101" s="997">
        <f t="shared" ca="1" si="52"/>
        <v>221731.40000000037</v>
      </c>
      <c r="J101" s="997">
        <f t="shared" si="52"/>
        <v>50646.213333331063</v>
      </c>
      <c r="K101" s="990">
        <f t="shared" ca="1" si="52"/>
        <v>12213963.047614815</v>
      </c>
      <c r="L101" s="991"/>
      <c r="M101" s="990">
        <f>SUM(M94:M100)</f>
        <v>1420408.1632653065</v>
      </c>
      <c r="N101" s="990">
        <f>SUM(N94:N100)</f>
        <v>340510.20408163266</v>
      </c>
      <c r="O101" s="990">
        <f>SUM(O94:O100)</f>
        <v>110000</v>
      </c>
    </row>
    <row r="102" spans="2:23">
      <c r="B102" s="958" t="s">
        <v>2105</v>
      </c>
      <c r="D102" s="959">
        <v>46204</v>
      </c>
      <c r="F102" s="960">
        <f>-INDEX(情形1!$26:$26,MATCH(cashflow汇总预算2026!$D102,情形1!$3:$3,0))*10000</f>
        <v>0</v>
      </c>
      <c r="K102" s="961">
        <f t="shared" ref="K102:K105" si="53">SUM(E102:J102)</f>
        <v>0</v>
      </c>
      <c r="M102" s="961">
        <f>-F102/75%</f>
        <v>0</v>
      </c>
      <c r="R102" s="958" t="s">
        <v>2144</v>
      </c>
      <c r="W102" s="958" t="str">
        <f>R102</f>
        <v>投资支付的现金</v>
      </c>
    </row>
    <row r="103" spans="2:23">
      <c r="B103" s="958" t="s">
        <v>2106</v>
      </c>
      <c r="D103" s="959">
        <v>46204</v>
      </c>
      <c r="H103" s="960">
        <f>-INDEX(情形1!$30:$30,MATCH(cashflow汇总预算2026!$D103,情形1!$3:$3,0))*10000</f>
        <v>0</v>
      </c>
      <c r="K103" s="961">
        <f t="shared" si="53"/>
        <v>0</v>
      </c>
      <c r="M103" s="961">
        <f>H103/900*4000</f>
        <v>0</v>
      </c>
      <c r="N103" s="961">
        <f>-H103-M103</f>
        <v>0</v>
      </c>
      <c r="T103" s="958" t="s">
        <v>2144</v>
      </c>
      <c r="W103" s="958" t="s">
        <v>2144</v>
      </c>
    </row>
    <row r="104" spans="2:23">
      <c r="B104" s="958" t="s">
        <v>2107</v>
      </c>
      <c r="D104" s="959">
        <v>46204</v>
      </c>
      <c r="G104" s="960">
        <f>-INDEX(情形1!$28:$28,MATCH(cashflow汇总预算2026!$D104,情形1!$3:$3))*10000</f>
        <v>0</v>
      </c>
      <c r="K104" s="961">
        <f t="shared" si="53"/>
        <v>0</v>
      </c>
      <c r="N104" s="961">
        <f>G104/1250*3650</f>
        <v>0</v>
      </c>
      <c r="O104" s="961">
        <f>-G104-N104</f>
        <v>0</v>
      </c>
      <c r="Q104" s="958" t="s">
        <v>2144</v>
      </c>
      <c r="W104" s="958" t="s">
        <v>2144</v>
      </c>
    </row>
    <row r="105" spans="2:23">
      <c r="B105" s="958" t="s">
        <v>2154</v>
      </c>
      <c r="D105" s="959">
        <v>46204</v>
      </c>
      <c r="K105" s="961">
        <f t="shared" si="53"/>
        <v>0</v>
      </c>
      <c r="O105" s="961">
        <f>-INDEX(情形1!$32:$32,MATCH(cashflow汇总预算2026!D105,情形1!$3:$3,0))*10000</f>
        <v>0</v>
      </c>
    </row>
    <row r="106" spans="2:23">
      <c r="B106" s="958" t="s">
        <v>2137</v>
      </c>
      <c r="D106" s="959">
        <v>46204</v>
      </c>
      <c r="E106" s="960">
        <f ca="1">-F106</f>
        <v>-445479.18303916662</v>
      </c>
      <c r="F106" s="960">
        <f ca="1">-F107</f>
        <v>445479.18303916662</v>
      </c>
      <c r="K106" s="961">
        <f t="shared" ref="K106:K107" ca="1" si="54">SUM(E106:J106)</f>
        <v>0</v>
      </c>
      <c r="Q106" s="958" t="str">
        <f t="shared" ref="Q106:V106" ca="1" si="55">IF(E106&gt;0,"收到的其他与筹资活动有关的现金","支付的其他与筹资活动有关的现金")</f>
        <v>支付的其他与筹资活动有关的现金</v>
      </c>
      <c r="R106" s="958" t="str">
        <f t="shared" ca="1" si="55"/>
        <v>收到的其他与筹资活动有关的现金</v>
      </c>
      <c r="S106" s="958" t="str">
        <f t="shared" si="55"/>
        <v>支付的其他与筹资活动有关的现金</v>
      </c>
      <c r="T106" s="958" t="str">
        <f t="shared" si="55"/>
        <v>支付的其他与筹资活动有关的现金</v>
      </c>
      <c r="U106" s="958" t="str">
        <f t="shared" si="55"/>
        <v>支付的其他与筹资活动有关的现金</v>
      </c>
      <c r="V106" s="958" t="str">
        <f t="shared" si="55"/>
        <v>支付的其他与筹资活动有关的现金</v>
      </c>
    </row>
    <row r="107" spans="2:23">
      <c r="B107" s="958" t="s">
        <v>2108</v>
      </c>
      <c r="D107" s="959">
        <v>46204</v>
      </c>
      <c r="E107" s="960">
        <f ca="1">INDEX('CF-ACPLHK'!$E$29:$Q$29,MATCH(cashflow汇总预算2026!$D107,'CF-ACPLHK'!$E$4:$Q$4,0))+INDEX('CF-ACPLHK'!$E$38:$Q$38,MATCH($D107,'CF-ACPLHK'!$E$4:$Q$4,0))</f>
        <v>-108127.71998740541</v>
      </c>
      <c r="F107" s="960">
        <f ca="1">INDEX('CF-ACPL'!$E$29:$Q$29,MATCH($D107,'CF-ACPL'!$E$4:$Q$4,0))+INDEX('CF-ACPL'!$E$38:$Q$38,MATCH($D107,'CF-ACPL'!$E$4:$Q$4))</f>
        <v>-445479.18303916662</v>
      </c>
      <c r="G107" s="960">
        <f ca="1">INDEX('CF-ACPLSZ'!$E$29:$Q$29,MATCH($D107,'CF-ACPLSZ'!$E$4:$Q$4,0))+INDEX('CF-ACPLSZ'!$E$38:$Q$38,MATCH($D107,'CF-ACPLSZ'!$E$4:$Q$4))</f>
        <v>314076.89986082533</v>
      </c>
      <c r="H107" s="960">
        <f ca="1">INDEX('CF-ACPSZL'!$E$29:$Q$29,MATCH(cashflow汇总预算2026!$D107,'CF-ACPSZL'!$E$4:$Q$4,0))+INDEX('CF-ACPSZL'!$E$38:$Q$38,MATCH($D107,'CF-ACPSZL'!$E$4:$Q$4,0))</f>
        <v>-370009.50333333341</v>
      </c>
      <c r="I107" s="960">
        <f ca="1">INDEX('CF-ACPLGZ'!$E$29:$Q$29,MATCH(cashflow汇总预算2026!$D107,'CF-ACPLGZ'!$E$4:$Q$4,0))+INDEX('CF-ACPLGZ'!$E$38:$Q$38,MATCH($D107,'CF-ACPLGZ'!$E$4:$Q$4,0))</f>
        <v>-475</v>
      </c>
      <c r="J107" s="960">
        <f>INDEX('CF-ACPLYixing'!$E$29:$Q$29,MATCH($D107,'CF-ACPLYixing'!$E$4:$Q$4,0))+INDEX('CF-ACPLYixing'!$E$38:$Q$38,MATCH($D107,'CF-ACPLYixing'!$E$4:$Q$4,0))</f>
        <v>-83.333333333333329</v>
      </c>
      <c r="K107" s="961">
        <f t="shared" ca="1" si="54"/>
        <v>-610097.83983241336</v>
      </c>
    </row>
    <row r="108" spans="2:23" s="956" customFormat="1" ht="12.75">
      <c r="B108" s="982" t="s">
        <v>2142</v>
      </c>
      <c r="C108" s="982"/>
      <c r="D108" s="983">
        <v>46234</v>
      </c>
      <c r="E108" s="997">
        <f t="shared" ref="E108:K108" ca="1" si="56">SUM(E101:E107)</f>
        <v>2520994.4941152246</v>
      </c>
      <c r="F108" s="997">
        <f t="shared" ca="1" si="56"/>
        <v>66044.056960833259</v>
      </c>
      <c r="G108" s="997">
        <f t="shared" ca="1" si="56"/>
        <v>2875966.8066383121</v>
      </c>
      <c r="H108" s="997">
        <f t="shared" ca="1" si="56"/>
        <v>5869040.5700680278</v>
      </c>
      <c r="I108" s="997">
        <f t="shared" ca="1" si="56"/>
        <v>221256.40000000037</v>
      </c>
      <c r="J108" s="997">
        <f t="shared" si="56"/>
        <v>50562.879999997727</v>
      </c>
      <c r="K108" s="990">
        <f t="shared" ca="1" si="56"/>
        <v>11603865.207782401</v>
      </c>
      <c r="L108" s="991"/>
      <c r="M108" s="990">
        <f t="shared" ref="M108" si="57">SUM(M101:M107)</f>
        <v>1420408.1632653065</v>
      </c>
      <c r="N108" s="990">
        <f t="shared" ref="N108" si="58">SUM(N101:N107)</f>
        <v>340510.20408163266</v>
      </c>
      <c r="O108" s="990">
        <f t="shared" ref="O108" si="59">SUM(O101:O107)</f>
        <v>110000</v>
      </c>
    </row>
    <row r="109" spans="2:23">
      <c r="B109" s="958" t="s">
        <v>2105</v>
      </c>
      <c r="D109" s="959">
        <v>46235</v>
      </c>
      <c r="F109" s="960">
        <f>-INDEX(情形1!$26:$26,MATCH(cashflow汇总预算2026!$D109,情形1!$3:$3,0))*10000</f>
        <v>0</v>
      </c>
      <c r="K109" s="961">
        <f t="shared" ref="K109:K112" si="60">SUM(E109:J109)</f>
        <v>0</v>
      </c>
      <c r="M109" s="961">
        <f>-F109/75%</f>
        <v>0</v>
      </c>
      <c r="R109" s="958" t="s">
        <v>2144</v>
      </c>
      <c r="W109" s="958" t="str">
        <f>R109</f>
        <v>投资支付的现金</v>
      </c>
    </row>
    <row r="110" spans="2:23">
      <c r="B110" s="958" t="s">
        <v>2106</v>
      </c>
      <c r="D110" s="959">
        <v>46235</v>
      </c>
      <c r="H110" s="960">
        <f>-INDEX(情形1!$30:$30,MATCH(cashflow汇总预算2026!$D110,情形1!$3:$3,0))*10000</f>
        <v>0</v>
      </c>
      <c r="K110" s="961">
        <f t="shared" si="60"/>
        <v>0</v>
      </c>
      <c r="M110" s="961">
        <f>H110/900*4000</f>
        <v>0</v>
      </c>
      <c r="N110" s="961">
        <f>-H110-M110</f>
        <v>0</v>
      </c>
      <c r="T110" s="958" t="s">
        <v>2144</v>
      </c>
      <c r="W110" s="958" t="s">
        <v>2144</v>
      </c>
    </row>
    <row r="111" spans="2:23">
      <c r="B111" s="958" t="s">
        <v>2107</v>
      </c>
      <c r="D111" s="959">
        <v>46235</v>
      </c>
      <c r="G111" s="960">
        <f>-INDEX(情形1!$28:$28,MATCH(cashflow汇总预算2026!$D111,情形1!$3:$3))*10000</f>
        <v>0</v>
      </c>
      <c r="K111" s="961">
        <f t="shared" si="60"/>
        <v>0</v>
      </c>
      <c r="N111" s="961">
        <f>G111/1250*3650</f>
        <v>0</v>
      </c>
      <c r="O111" s="961">
        <f>-G111-N111</f>
        <v>0</v>
      </c>
      <c r="Q111" s="958" t="s">
        <v>2144</v>
      </c>
      <c r="W111" s="958" t="s">
        <v>2144</v>
      </c>
    </row>
    <row r="112" spans="2:23">
      <c r="B112" s="958" t="s">
        <v>2154</v>
      </c>
      <c r="D112" s="959">
        <v>46235</v>
      </c>
      <c r="K112" s="961">
        <f t="shared" si="60"/>
        <v>0</v>
      </c>
      <c r="O112" s="961">
        <f>-INDEX(情形1!$32:$32,MATCH(cashflow汇总预算2026!D112,情形1!$3:$3,0))*10000</f>
        <v>0</v>
      </c>
    </row>
    <row r="113" spans="2:23">
      <c r="B113" s="958" t="s">
        <v>2103</v>
      </c>
      <c r="D113" s="959">
        <v>46235</v>
      </c>
      <c r="F113" s="960">
        <f>汇总!D125*10000</f>
        <v>20000000</v>
      </c>
      <c r="K113" s="961">
        <f>SUM(E113:J113)</f>
        <v>20000000</v>
      </c>
      <c r="Q113" s="958" t="s">
        <v>2147</v>
      </c>
      <c r="R113" s="958" t="s">
        <v>2147</v>
      </c>
      <c r="S113" s="958" t="s">
        <v>2147</v>
      </c>
      <c r="T113" s="958" t="s">
        <v>2147</v>
      </c>
      <c r="U113" s="958" t="s">
        <v>2147</v>
      </c>
      <c r="V113" s="958" t="s">
        <v>2147</v>
      </c>
      <c r="W113" s="958" t="s">
        <v>2147</v>
      </c>
    </row>
    <row r="114" spans="2:23">
      <c r="B114" s="958" t="s">
        <v>2153</v>
      </c>
      <c r="D114" s="959">
        <v>46235</v>
      </c>
      <c r="F114" s="995">
        <v>-5000000</v>
      </c>
      <c r="G114" s="960">
        <f>-F114</f>
        <v>5000000</v>
      </c>
      <c r="K114" s="961">
        <f t="shared" ref="K114" si="61">SUM(E114:J114)</f>
        <v>0</v>
      </c>
      <c r="R114" s="958" t="s">
        <v>2144</v>
      </c>
      <c r="S114" s="958" t="s">
        <v>2147</v>
      </c>
    </row>
    <row r="115" spans="2:23">
      <c r="B115" s="958" t="s">
        <v>2137</v>
      </c>
      <c r="D115" s="959">
        <v>46235</v>
      </c>
      <c r="E115" s="960">
        <f ca="1">-E116</f>
        <v>522620.18885999999</v>
      </c>
      <c r="F115" s="960">
        <f ca="1">-E115</f>
        <v>-522620.18885999999</v>
      </c>
      <c r="K115" s="961">
        <f t="shared" ref="K115:K116" ca="1" si="62">SUM(E115:J115)</f>
        <v>0</v>
      </c>
      <c r="Q115" s="958" t="str">
        <f t="shared" ref="Q115:V115" ca="1" si="63">IF(E115&gt;0,"收到的其他与筹资活动有关的现金","支付的其他与筹资活动有关的现金")</f>
        <v>收到的其他与筹资活动有关的现金</v>
      </c>
      <c r="R115" s="958" t="str">
        <f t="shared" ca="1" si="63"/>
        <v>支付的其他与筹资活动有关的现金</v>
      </c>
      <c r="S115" s="958" t="str">
        <f t="shared" si="63"/>
        <v>支付的其他与筹资活动有关的现金</v>
      </c>
      <c r="T115" s="958" t="str">
        <f t="shared" si="63"/>
        <v>支付的其他与筹资活动有关的现金</v>
      </c>
      <c r="U115" s="958" t="str">
        <f t="shared" si="63"/>
        <v>支付的其他与筹资活动有关的现金</v>
      </c>
      <c r="V115" s="958" t="str">
        <f t="shared" si="63"/>
        <v>支付的其他与筹资活动有关的现金</v>
      </c>
    </row>
    <row r="116" spans="2:23">
      <c r="B116" s="958" t="s">
        <v>2108</v>
      </c>
      <c r="D116" s="959">
        <v>46235</v>
      </c>
      <c r="E116" s="960">
        <f ca="1">INDEX('CF-ACPLHK'!$E$29:$Q$29,MATCH(cashflow汇总预算2026!$D116,'CF-ACPLHK'!$E$4:$Q$4,0))+INDEX('CF-ACPLHK'!$E$38:$Q$38,MATCH($D116,'CF-ACPLHK'!$E$4:$Q$4,0))</f>
        <v>-522620.18885999999</v>
      </c>
      <c r="F116" s="960">
        <f ca="1">INDEX('CF-ACPL'!$E$29:$Q$29,MATCH($D116,'CF-ACPL'!$E$4:$Q$4,0))+INDEX('CF-ACPL'!$E$38:$Q$38,MATCH($D116,'CF-ACPL'!$E$4:$Q$4))</f>
        <v>-480767.18303916662</v>
      </c>
      <c r="G116" s="960">
        <f ca="1">INDEX('CF-ACPLSZ'!$E$29:$Q$29,MATCH($D116,'CF-ACPLSZ'!$E$4:$Q$4,0))+INDEX('CF-ACPLSZ'!$E$38:$Q$38,MATCH($D116,'CF-ACPLSZ'!$E$4:$Q$4))</f>
        <v>-890173.53500000015</v>
      </c>
      <c r="H116" s="960">
        <f ca="1">INDEX('CF-ACPSZL'!$E$29:$Q$29,MATCH(cashflow汇总预算2026!$D116,'CF-ACPSZL'!$E$4:$Q$4,0))+INDEX('CF-ACPSZL'!$E$38:$Q$38,MATCH($D116,'CF-ACPSZL'!$E$4:$Q$4,0))</f>
        <v>-370009.50333333341</v>
      </c>
      <c r="I116" s="960">
        <f ca="1">INDEX('CF-ACPLGZ'!$E$29:$Q$29,MATCH(cashflow汇总预算2026!$D116,'CF-ACPLGZ'!$E$4:$Q$4,0))+INDEX('CF-ACPLGZ'!$E$38:$Q$38,MATCH($D116,'CF-ACPLGZ'!$E$4:$Q$4,0))</f>
        <v>-475</v>
      </c>
      <c r="J116" s="960">
        <f>INDEX('CF-ACPLYixing'!$E$29:$Q$29,MATCH($D116,'CF-ACPLYixing'!$E$4:$Q$4,0))+INDEX('CF-ACPLYixing'!$E$38:$Q$38,MATCH($D116,'CF-ACPLYixing'!$E$4:$Q$4,0))</f>
        <v>-83.333333333333329</v>
      </c>
      <c r="K116" s="961">
        <f t="shared" ca="1" si="62"/>
        <v>-2264128.7435658337</v>
      </c>
    </row>
    <row r="117" spans="2:23" s="956" customFormat="1" ht="12.75">
      <c r="B117" s="982" t="s">
        <v>2142</v>
      </c>
      <c r="C117" s="982"/>
      <c r="D117" s="983">
        <v>46265</v>
      </c>
      <c r="E117" s="997">
        <f t="shared" ref="E117:K117" ca="1" si="64">SUM(E108:E116)</f>
        <v>2520994.4941152246</v>
      </c>
      <c r="F117" s="997">
        <f t="shared" ca="1" si="64"/>
        <v>14062656.685061667</v>
      </c>
      <c r="G117" s="997">
        <f t="shared" ca="1" si="64"/>
        <v>6985793.2716383114</v>
      </c>
      <c r="H117" s="997">
        <f t="shared" ca="1" si="64"/>
        <v>5499031.0667346939</v>
      </c>
      <c r="I117" s="997">
        <f t="shared" ca="1" si="64"/>
        <v>220781.40000000037</v>
      </c>
      <c r="J117" s="997">
        <f t="shared" si="64"/>
        <v>50479.546666664392</v>
      </c>
      <c r="K117" s="990">
        <f t="shared" ca="1" si="64"/>
        <v>29339736.464216568</v>
      </c>
      <c r="L117" s="991"/>
      <c r="M117" s="990">
        <f t="shared" ref="M117" si="65">SUM(M108:M116)</f>
        <v>1420408.1632653065</v>
      </c>
      <c r="N117" s="990">
        <f t="shared" ref="N117" si="66">SUM(N108:N116)</f>
        <v>340510.20408163266</v>
      </c>
      <c r="O117" s="990">
        <f t="shared" ref="O117" si="67">SUM(O108:O116)</f>
        <v>110000</v>
      </c>
    </row>
    <row r="118" spans="2:23">
      <c r="B118" s="958" t="s">
        <v>2105</v>
      </c>
      <c r="D118" s="959">
        <v>46266</v>
      </c>
      <c r="F118" s="960">
        <f>-INDEX(情形1!$26:$26,MATCH(cashflow汇总预算2026!$D118,情形1!$3:$3,0))*10000</f>
        <v>0</v>
      </c>
      <c r="K118" s="961">
        <f t="shared" ref="K118:K121" si="68">SUM(E118:J118)</f>
        <v>0</v>
      </c>
      <c r="M118" s="961">
        <f>-F118/75%</f>
        <v>0</v>
      </c>
      <c r="R118" s="958" t="s">
        <v>2144</v>
      </c>
      <c r="W118" s="958" t="str">
        <f>R118</f>
        <v>投资支付的现金</v>
      </c>
    </row>
    <row r="119" spans="2:23">
      <c r="B119" s="958" t="s">
        <v>2106</v>
      </c>
      <c r="D119" s="959">
        <v>46266</v>
      </c>
      <c r="H119" s="960">
        <f>-INDEX(情形1!$30:$30,MATCH(cashflow汇总预算2026!$D119,情形1!$3:$3,0))*10000</f>
        <v>0</v>
      </c>
      <c r="K119" s="961">
        <f t="shared" si="68"/>
        <v>0</v>
      </c>
      <c r="M119" s="961">
        <f>H119/900*4000</f>
        <v>0</v>
      </c>
      <c r="N119" s="961">
        <f>-H119-M119</f>
        <v>0</v>
      </c>
      <c r="T119" s="958" t="s">
        <v>2144</v>
      </c>
      <c r="W119" s="958" t="s">
        <v>2144</v>
      </c>
    </row>
    <row r="120" spans="2:23">
      <c r="B120" s="958" t="s">
        <v>2107</v>
      </c>
      <c r="D120" s="959">
        <v>46266</v>
      </c>
      <c r="G120" s="960">
        <f>-INDEX(情形1!$28:$28,MATCH(cashflow汇总预算2026!$D120,情形1!$3:$3))*10000</f>
        <v>0</v>
      </c>
      <c r="K120" s="961">
        <f t="shared" si="68"/>
        <v>0</v>
      </c>
      <c r="N120" s="961">
        <f>G120/1250*3650</f>
        <v>0</v>
      </c>
      <c r="O120" s="961">
        <f>-G120-N120</f>
        <v>0</v>
      </c>
      <c r="Q120" s="958" t="s">
        <v>2144</v>
      </c>
      <c r="W120" s="958" t="s">
        <v>2144</v>
      </c>
    </row>
    <row r="121" spans="2:23">
      <c r="B121" s="958" t="s">
        <v>2154</v>
      </c>
      <c r="D121" s="959">
        <v>46266</v>
      </c>
      <c r="K121" s="961">
        <f t="shared" si="68"/>
        <v>0</v>
      </c>
      <c r="O121" s="961">
        <f>-INDEX(情形1!$32:$32,MATCH(cashflow汇总预算2026!D121,情形1!$3:$3,0))*10000</f>
        <v>0</v>
      </c>
    </row>
    <row r="122" spans="2:23">
      <c r="B122" s="958" t="s">
        <v>2137</v>
      </c>
      <c r="D122" s="959">
        <v>46266</v>
      </c>
      <c r="E122" s="960">
        <f ca="1">-E123</f>
        <v>524658.07085999998</v>
      </c>
      <c r="F122" s="960">
        <f ca="1">-E122</f>
        <v>-524658.07085999998</v>
      </c>
      <c r="K122" s="961">
        <f t="shared" ref="K122:K123" ca="1" si="69">SUM(E122:J122)</f>
        <v>0</v>
      </c>
      <c r="Q122" s="958" t="str">
        <f t="shared" ref="Q122:V122" ca="1" si="70">IF(E122&gt;0,"收到的其他与筹资活动有关的现金","支付的其他与筹资活动有关的现金")</f>
        <v>收到的其他与筹资活动有关的现金</v>
      </c>
      <c r="R122" s="958" t="str">
        <f t="shared" ca="1" si="70"/>
        <v>支付的其他与筹资活动有关的现金</v>
      </c>
      <c r="S122" s="958" t="str">
        <f t="shared" si="70"/>
        <v>支付的其他与筹资活动有关的现金</v>
      </c>
      <c r="T122" s="958" t="str">
        <f t="shared" si="70"/>
        <v>支付的其他与筹资活动有关的现金</v>
      </c>
      <c r="U122" s="958" t="str">
        <f t="shared" si="70"/>
        <v>支付的其他与筹资活动有关的现金</v>
      </c>
      <c r="V122" s="958" t="str">
        <f t="shared" si="70"/>
        <v>支付的其他与筹资活动有关的现金</v>
      </c>
    </row>
    <row r="123" spans="2:23">
      <c r="B123" s="958" t="s">
        <v>2108</v>
      </c>
      <c r="D123" s="959">
        <v>46266</v>
      </c>
      <c r="E123" s="960">
        <f ca="1">INDEX('CF-ACPLHK'!$E$29:$Q$29,MATCH(cashflow汇总预算2026!$D123,'CF-ACPLHK'!$E$4:$Q$4,0))+INDEX('CF-ACPLHK'!$E$38:$Q$38,MATCH($D123,'CF-ACPLHK'!$E$4:$Q$4,0))</f>
        <v>-524658.07085999998</v>
      </c>
      <c r="F123" s="960">
        <f ca="1">INDEX('CF-ACPL'!$E$29:$Q$29,MATCH($D123,'CF-ACPL'!$E$4:$Q$4,0))+INDEX('CF-ACPL'!$E$38:$Q$38,MATCH($D123,'CF-ACPL'!$E$4:$Q$4))</f>
        <v>-480767.18303916662</v>
      </c>
      <c r="G123" s="960">
        <f ca="1">INDEX('CF-ACPLSZ'!$E$29:$Q$29,MATCH($D123,'CF-ACPLSZ'!$E$4:$Q$4,0))+INDEX('CF-ACPLSZ'!$E$38:$Q$38,MATCH($D123,'CF-ACPLSZ'!$E$4:$Q$4))</f>
        <v>-1035973.5350000001</v>
      </c>
      <c r="H123" s="960">
        <f ca="1">INDEX('CF-ACPSZL'!$E$29:$Q$29,MATCH(cashflow汇总预算2026!$D123,'CF-ACPSZL'!$E$4:$Q$4,0))+INDEX('CF-ACPSZL'!$E$38:$Q$38,MATCH($D123,'CF-ACPSZL'!$E$4:$Q$4,0))</f>
        <v>-370009.50333333341</v>
      </c>
      <c r="I123" s="960">
        <f ca="1">INDEX('CF-ACPLGZ'!$E$29:$Q$29,MATCH(cashflow汇总预算2026!$D123,'CF-ACPLGZ'!$E$4:$Q$4,0))+INDEX('CF-ACPLGZ'!$E$38:$Q$38,MATCH($D123,'CF-ACPLGZ'!$E$4:$Q$4,0))</f>
        <v>-475</v>
      </c>
      <c r="J123" s="960">
        <f>INDEX('CF-ACPLYixing'!$E$29:$Q$29,MATCH($D123,'CF-ACPLYixing'!$E$4:$Q$4,0))+INDEX('CF-ACPLYixing'!$E$38:$Q$38,MATCH($D123,'CF-ACPLYixing'!$E$4:$Q$4,0))</f>
        <v>-83.333333333333329</v>
      </c>
      <c r="K123" s="961">
        <f t="shared" ca="1" si="69"/>
        <v>-2411966.6255658339</v>
      </c>
    </row>
    <row r="124" spans="2:23" s="956" customFormat="1" ht="12.75">
      <c r="B124" s="982" t="s">
        <v>2142</v>
      </c>
      <c r="C124" s="982"/>
      <c r="D124" s="983">
        <v>46295</v>
      </c>
      <c r="E124" s="997">
        <f t="shared" ref="E124:K124" ca="1" si="71">SUM(E117:E123)</f>
        <v>2520994.4941152246</v>
      </c>
      <c r="F124" s="997">
        <f t="shared" ca="1" si="71"/>
        <v>13057231.431162501</v>
      </c>
      <c r="G124" s="997">
        <f t="shared" ca="1" si="71"/>
        <v>5949819.7366383113</v>
      </c>
      <c r="H124" s="997">
        <f t="shared" ca="1" si="71"/>
        <v>5129021.5634013601</v>
      </c>
      <c r="I124" s="997">
        <f t="shared" ca="1" si="71"/>
        <v>220306.40000000037</v>
      </c>
      <c r="J124" s="997">
        <f t="shared" si="71"/>
        <v>50396.213333331056</v>
      </c>
      <c r="K124" s="990">
        <f t="shared" ca="1" si="71"/>
        <v>26927769.838650733</v>
      </c>
      <c r="L124" s="991"/>
      <c r="M124" s="990">
        <f t="shared" ref="M124" si="72">SUM(M117:M123)</f>
        <v>1420408.1632653065</v>
      </c>
      <c r="N124" s="990">
        <f t="shared" ref="N124" si="73">SUM(N117:N123)</f>
        <v>340510.20408163266</v>
      </c>
      <c r="O124" s="990">
        <f t="shared" ref="O124" si="74">SUM(O117:O123)</f>
        <v>110000</v>
      </c>
    </row>
    <row r="125" spans="2:23" s="956" customFormat="1" ht="12.75">
      <c r="B125" s="958" t="s">
        <v>2103</v>
      </c>
      <c r="D125" s="959">
        <v>46296</v>
      </c>
      <c r="E125" s="998"/>
      <c r="F125" s="972">
        <f>汇总!D125</f>
        <v>2000</v>
      </c>
      <c r="G125" s="998"/>
      <c r="H125" s="998"/>
      <c r="I125" s="998"/>
      <c r="J125" s="998"/>
      <c r="K125" s="961">
        <f t="shared" ref="K125:K129" si="75">SUM(E125:J125)</f>
        <v>2000</v>
      </c>
      <c r="L125" s="999"/>
      <c r="M125" s="976"/>
      <c r="N125" s="976"/>
      <c r="O125" s="976"/>
      <c r="Q125" s="958" t="s">
        <v>2147</v>
      </c>
      <c r="R125" s="958" t="s">
        <v>2147</v>
      </c>
      <c r="S125" s="958" t="s">
        <v>2147</v>
      </c>
      <c r="T125" s="958" t="s">
        <v>2147</v>
      </c>
      <c r="U125" s="958" t="s">
        <v>2147</v>
      </c>
      <c r="V125" s="958" t="s">
        <v>2147</v>
      </c>
      <c r="W125" s="958" t="s">
        <v>2147</v>
      </c>
    </row>
    <row r="126" spans="2:23">
      <c r="B126" s="958" t="s">
        <v>2105</v>
      </c>
      <c r="D126" s="959">
        <v>46296</v>
      </c>
      <c r="F126" s="960">
        <f>-INDEX(情形1!$26:$26,MATCH(cashflow汇总预算2026!$D126,情形1!$3:$3,0))*10000</f>
        <v>0</v>
      </c>
      <c r="K126" s="961">
        <f t="shared" si="75"/>
        <v>0</v>
      </c>
      <c r="M126" s="961">
        <f>-F126/75%</f>
        <v>0</v>
      </c>
      <c r="R126" s="958" t="s">
        <v>2144</v>
      </c>
      <c r="W126" s="958" t="str">
        <f>R126</f>
        <v>投资支付的现金</v>
      </c>
    </row>
    <row r="127" spans="2:23">
      <c r="B127" s="958" t="s">
        <v>2106</v>
      </c>
      <c r="D127" s="959">
        <v>46296</v>
      </c>
      <c r="H127" s="960">
        <f>-INDEX(情形1!$30:$30,MATCH(cashflow汇总预算2026!$D127,情形1!$3:$3,0))*10000</f>
        <v>0</v>
      </c>
      <c r="K127" s="961">
        <f t="shared" si="75"/>
        <v>0</v>
      </c>
      <c r="M127" s="961">
        <f>H127/900*4000</f>
        <v>0</v>
      </c>
      <c r="N127" s="961">
        <f>-H127-M127</f>
        <v>0</v>
      </c>
      <c r="T127" s="958" t="s">
        <v>2144</v>
      </c>
      <c r="W127" s="958" t="s">
        <v>2144</v>
      </c>
    </row>
    <row r="128" spans="2:23">
      <c r="B128" s="958" t="s">
        <v>2107</v>
      </c>
      <c r="D128" s="959">
        <v>46296</v>
      </c>
      <c r="G128" s="960">
        <f>-INDEX(情形1!$28:$28,MATCH(cashflow汇总预算2026!$D128,情形1!$3:$3))*10000</f>
        <v>0</v>
      </c>
      <c r="K128" s="961">
        <f t="shared" si="75"/>
        <v>0</v>
      </c>
      <c r="N128" s="961">
        <f>G128/1250*3650</f>
        <v>0</v>
      </c>
      <c r="O128" s="961">
        <f>-G128-N128</f>
        <v>0</v>
      </c>
      <c r="Q128" s="958" t="s">
        <v>2144</v>
      </c>
      <c r="W128" s="958" t="s">
        <v>2144</v>
      </c>
    </row>
    <row r="129" spans="2:23">
      <c r="B129" s="958" t="s">
        <v>2154</v>
      </c>
      <c r="D129" s="959">
        <v>46296</v>
      </c>
      <c r="K129" s="961">
        <f t="shared" si="75"/>
        <v>0</v>
      </c>
      <c r="O129" s="961">
        <f>-INDEX(情形1!$32:$32,MATCH(cashflow汇总预算2026!D129,情形1!$3:$3,0))*10000</f>
        <v>0</v>
      </c>
    </row>
    <row r="130" spans="2:23">
      <c r="B130" s="958" t="s">
        <v>2137</v>
      </c>
      <c r="D130" s="959">
        <v>46296</v>
      </c>
      <c r="E130" s="960">
        <f ca="1">-E131</f>
        <v>-408711.77316955512</v>
      </c>
      <c r="F130" s="960">
        <f ca="1">-E130</f>
        <v>408711.77316955512</v>
      </c>
      <c r="G130" s="960">
        <f>-G122</f>
        <v>0</v>
      </c>
      <c r="H130" s="960">
        <f>-G130</f>
        <v>0</v>
      </c>
      <c r="K130" s="961">
        <f t="shared" ref="K130:K131" ca="1" si="76">SUM(E130:J130)</f>
        <v>0</v>
      </c>
      <c r="Q130" s="958" t="str">
        <f t="shared" ref="Q130:V130" ca="1" si="77">IF(E130&gt;0,"收到的其他与筹资活动有关的现金","支付的其他与筹资活动有关的现金")</f>
        <v>支付的其他与筹资活动有关的现金</v>
      </c>
      <c r="R130" s="958" t="str">
        <f t="shared" ca="1" si="77"/>
        <v>收到的其他与筹资活动有关的现金</v>
      </c>
      <c r="S130" s="958" t="str">
        <f t="shared" si="77"/>
        <v>支付的其他与筹资活动有关的现金</v>
      </c>
      <c r="T130" s="958" t="str">
        <f t="shared" si="77"/>
        <v>支付的其他与筹资活动有关的现金</v>
      </c>
      <c r="U130" s="958" t="str">
        <f t="shared" si="77"/>
        <v>支付的其他与筹资活动有关的现金</v>
      </c>
      <c r="V130" s="958" t="str">
        <f t="shared" si="77"/>
        <v>支付的其他与筹资活动有关的现金</v>
      </c>
    </row>
    <row r="131" spans="2:23">
      <c r="B131" s="958" t="s">
        <v>2108</v>
      </c>
      <c r="D131" s="959">
        <v>46296</v>
      </c>
      <c r="E131" s="960">
        <f ca="1">INDEX('CF-ACPLHK'!$E$29:$Q$29,MATCH(cashflow汇总预算2026!$D131,'CF-ACPLHK'!$E$4:$Q$4,0))+INDEX('CF-ACPLHK'!$E$38:$Q$38,MATCH($D131,'CF-ACPLHK'!$E$4:$Q$4,0))</f>
        <v>408711.77316955512</v>
      </c>
      <c r="F131" s="960">
        <f ca="1">INDEX('CF-ACPL'!$E$29:$Q$29,MATCH($D131,'CF-ACPL'!$E$4:$Q$4,0))+INDEX('CF-ACPL'!$E$38:$Q$38,MATCH($D131,'CF-ACPL'!$E$4:$Q$4))</f>
        <v>-488918.71103916661</v>
      </c>
      <c r="G131" s="960">
        <f ca="1">INDEX('CF-ACPLSZ'!$E$29:$Q$29,MATCH($D131,'CF-ACPLSZ'!$E$4:$Q$4,0))+INDEX('CF-ACPLSZ'!$E$38:$Q$38,MATCH($D131,'CF-ACPLSZ'!$E$4:$Q$4))</f>
        <v>1747951.1308828054</v>
      </c>
      <c r="H131" s="960">
        <f ca="1">INDEX('CF-ACPSZL'!$E$29:$Q$29,MATCH(cashflow汇总预算2026!$D131,'CF-ACPSZL'!$E$4:$Q$4,0))+INDEX('CF-ACPSZL'!$E$38:$Q$38,MATCH($D131,'CF-ACPSZL'!$E$4:$Q$4,0))</f>
        <v>-380009.50333333341</v>
      </c>
      <c r="I131" s="960">
        <f ca="1">INDEX('CF-ACPLGZ'!$E$29:$Q$29,MATCH(cashflow汇总预算2026!$D131,'CF-ACPLGZ'!$E$4:$Q$4,0))+INDEX('CF-ACPLGZ'!$E$38:$Q$38,MATCH($D131,'CF-ACPLGZ'!$E$4:$Q$4,0))</f>
        <v>-475</v>
      </c>
      <c r="J131" s="960">
        <f>INDEX('CF-ACPLYixing'!$E$29:$Q$29,MATCH($D131,'CF-ACPLYixing'!$E$4:$Q$4,0))+INDEX('CF-ACPLYixing'!$E$38:$Q$38,MATCH($D131,'CF-ACPLYixing'!$E$4:$Q$4,0))</f>
        <v>-83.333333333333329</v>
      </c>
      <c r="K131" s="961">
        <f t="shared" ca="1" si="76"/>
        <v>1287176.3563465273</v>
      </c>
    </row>
    <row r="132" spans="2:23" s="956" customFormat="1" ht="12.75">
      <c r="B132" s="982" t="s">
        <v>2142</v>
      </c>
      <c r="C132" s="982"/>
      <c r="D132" s="983">
        <v>46326</v>
      </c>
      <c r="E132" s="997">
        <f t="shared" ref="E132:K132" ca="1" si="78">SUM(E124:E131)</f>
        <v>2520994.4941152246</v>
      </c>
      <c r="F132" s="997">
        <f t="shared" ca="1" si="78"/>
        <v>12979024.493292889</v>
      </c>
      <c r="G132" s="997">
        <f t="shared" ca="1" si="78"/>
        <v>7697770.8675211165</v>
      </c>
      <c r="H132" s="997">
        <f t="shared" ca="1" si="78"/>
        <v>4749012.0600680262</v>
      </c>
      <c r="I132" s="997">
        <f t="shared" ca="1" si="78"/>
        <v>219831.40000000037</v>
      </c>
      <c r="J132" s="997">
        <f t="shared" si="78"/>
        <v>50312.87999999772</v>
      </c>
      <c r="K132" s="990">
        <f t="shared" ca="1" si="78"/>
        <v>28216946.194997262</v>
      </c>
      <c r="L132" s="991"/>
      <c r="M132" s="990">
        <f t="shared" ref="M132" si="79">SUM(M124:M131)</f>
        <v>1420408.1632653065</v>
      </c>
      <c r="N132" s="990">
        <f t="shared" ref="N132" si="80">SUM(N124:N131)</f>
        <v>340510.20408163266</v>
      </c>
      <c r="O132" s="990">
        <f t="shared" ref="O132" si="81">SUM(O124:O131)</f>
        <v>110000</v>
      </c>
    </row>
    <row r="133" spans="2:23">
      <c r="B133" s="958" t="s">
        <v>2105</v>
      </c>
      <c r="D133" s="959">
        <v>46327</v>
      </c>
      <c r="F133" s="960">
        <f>-INDEX(情形1!$26:$26,MATCH(cashflow汇总预算2026!$D133,情形1!$3:$3,0))*10000</f>
        <v>0</v>
      </c>
      <c r="K133" s="961">
        <f t="shared" ref="K133:K136" si="82">SUM(E133:J133)</f>
        <v>0</v>
      </c>
      <c r="M133" s="961">
        <f>-F133/75%</f>
        <v>0</v>
      </c>
      <c r="R133" s="958" t="s">
        <v>2144</v>
      </c>
      <c r="W133" s="958" t="str">
        <f>R133</f>
        <v>投资支付的现金</v>
      </c>
    </row>
    <row r="134" spans="2:23">
      <c r="B134" s="958" t="s">
        <v>2106</v>
      </c>
      <c r="D134" s="959">
        <v>46327</v>
      </c>
      <c r="H134" s="960">
        <f>-INDEX(情形1!$30:$30,MATCH(cashflow汇总预算2026!$D134,情形1!$3:$3,0))*10000</f>
        <v>0</v>
      </c>
      <c r="K134" s="961">
        <f t="shared" si="82"/>
        <v>0</v>
      </c>
      <c r="M134" s="961">
        <f>H134/900*4000</f>
        <v>0</v>
      </c>
      <c r="N134" s="961">
        <f>-H134-M134</f>
        <v>0</v>
      </c>
      <c r="T134" s="958" t="s">
        <v>2144</v>
      </c>
      <c r="W134" s="958" t="s">
        <v>2144</v>
      </c>
    </row>
    <row r="135" spans="2:23">
      <c r="B135" s="958" t="s">
        <v>2107</v>
      </c>
      <c r="D135" s="959">
        <v>46327</v>
      </c>
      <c r="G135" s="960">
        <f>-INDEX(情形1!$28:$28,MATCH(cashflow汇总预算2026!$D135,情形1!$3:$3))*10000</f>
        <v>0</v>
      </c>
      <c r="K135" s="961">
        <f t="shared" si="82"/>
        <v>0</v>
      </c>
      <c r="N135" s="961">
        <f>G135/1250*3650</f>
        <v>0</v>
      </c>
      <c r="O135" s="961">
        <f>-G135-N135</f>
        <v>0</v>
      </c>
      <c r="Q135" s="958" t="s">
        <v>2144</v>
      </c>
      <c r="W135" s="958" t="s">
        <v>2144</v>
      </c>
    </row>
    <row r="136" spans="2:23">
      <c r="B136" s="958" t="s">
        <v>2154</v>
      </c>
      <c r="D136" s="959">
        <v>46327</v>
      </c>
      <c r="K136" s="961">
        <f t="shared" si="82"/>
        <v>0</v>
      </c>
      <c r="O136" s="961">
        <f>-INDEX(情形1!$32:$32,MATCH(cashflow汇总预算2026!D136,情形1!$3:$3,0))*10000</f>
        <v>0</v>
      </c>
    </row>
    <row r="137" spans="2:23">
      <c r="B137" s="958" t="s">
        <v>2137</v>
      </c>
      <c r="D137" s="959">
        <v>46327</v>
      </c>
      <c r="E137" s="960">
        <f ca="1">-E138</f>
        <v>438343.49053000001</v>
      </c>
      <c r="F137" s="960">
        <f ca="1">-E137</f>
        <v>-438343.49053000001</v>
      </c>
      <c r="K137" s="961">
        <f t="shared" ref="K137:K138" ca="1" si="83">SUM(E137:J137)</f>
        <v>0</v>
      </c>
      <c r="Q137" s="958" t="str">
        <f t="shared" ref="Q137:V137" ca="1" si="84">IF(E137&gt;0,"收到的其他与筹资活动有关的现金","支付的其他与筹资活动有关的现金")</f>
        <v>收到的其他与筹资活动有关的现金</v>
      </c>
      <c r="R137" s="958" t="str">
        <f t="shared" ca="1" si="84"/>
        <v>支付的其他与筹资活动有关的现金</v>
      </c>
      <c r="S137" s="958" t="str">
        <f t="shared" si="84"/>
        <v>支付的其他与筹资活动有关的现金</v>
      </c>
      <c r="T137" s="958" t="str">
        <f t="shared" si="84"/>
        <v>支付的其他与筹资活动有关的现金</v>
      </c>
      <c r="U137" s="958" t="str">
        <f t="shared" si="84"/>
        <v>支付的其他与筹资活动有关的现金</v>
      </c>
      <c r="V137" s="958" t="str">
        <f t="shared" si="84"/>
        <v>支付的其他与筹资活动有关的现金</v>
      </c>
    </row>
    <row r="138" spans="2:23">
      <c r="B138" s="958" t="s">
        <v>2108</v>
      </c>
      <c r="D138" s="959">
        <v>46327</v>
      </c>
      <c r="E138" s="960">
        <f ca="1">INDEX('CF-ACPLHK'!$E$29:$Q$29,MATCH(cashflow汇总预算2026!$D138,'CF-ACPLHK'!$E$4:$Q$4,0))+INDEX('CF-ACPLHK'!$E$38:$Q$38,MATCH($D138,'CF-ACPLHK'!$E$4:$Q$4,0))</f>
        <v>-438343.49053000001</v>
      </c>
      <c r="F138" s="960">
        <f ca="1">INDEX('CF-ACPL'!$E$29:$Q$29,MATCH($D138,'CF-ACPL'!$E$4:$Q$4,0))+INDEX('CF-ACPL'!$E$38:$Q$38,MATCH($D138,'CF-ACPL'!$E$4:$Q$4))</f>
        <v>-480767.18303916662</v>
      </c>
      <c r="G138" s="960">
        <f ca="1">INDEX('CF-ACPLSZ'!$E$29:$Q$29,MATCH($D138,'CF-ACPLSZ'!$E$4:$Q$4,0))+INDEX('CF-ACPLSZ'!$E$38:$Q$38,MATCH($D138,'CF-ACPLSZ'!$E$4:$Q$4))</f>
        <v>-885973.53500000015</v>
      </c>
      <c r="H138" s="960">
        <f ca="1">INDEX('CF-ACPSZL'!$E$29:$Q$29,MATCH(cashflow汇总预算2026!$D138,'CF-ACPSZL'!$E$4:$Q$4,0))+INDEX('CF-ACPSZL'!$E$38:$Q$38,MATCH($D138,'CF-ACPSZL'!$E$4:$Q$4,0))</f>
        <v>-370009.50333333341</v>
      </c>
      <c r="I138" s="960">
        <f ca="1">INDEX('CF-ACPLGZ'!$E$29:$Q$29,MATCH(cashflow汇总预算2026!$D138,'CF-ACPLGZ'!$E$4:$Q$4,0))+INDEX('CF-ACPLGZ'!$E$38:$Q$38,MATCH($D138,'CF-ACPLGZ'!$E$4:$Q$4,0))</f>
        <v>-475</v>
      </c>
      <c r="J138" s="960">
        <f>INDEX('CF-ACPLYixing'!$E$29:$Q$29,MATCH($D138,'CF-ACPLYixing'!$E$4:$Q$4,0))+INDEX('CF-ACPLYixing'!$E$38:$Q$38,MATCH($D138,'CF-ACPLYixing'!$E$4:$Q$4,0))</f>
        <v>-83.333333333333329</v>
      </c>
      <c r="K138" s="961">
        <f t="shared" ca="1" si="83"/>
        <v>-2175652.0452358336</v>
      </c>
    </row>
    <row r="139" spans="2:23" s="956" customFormat="1" ht="12.75">
      <c r="B139" s="982" t="s">
        <v>2142</v>
      </c>
      <c r="C139" s="982"/>
      <c r="D139" s="983">
        <v>46356</v>
      </c>
      <c r="E139" s="997">
        <f t="shared" ref="E139:K139" ca="1" si="85">SUM(E132:E138)</f>
        <v>2520994.4941152246</v>
      </c>
      <c r="F139" s="997">
        <f t="shared" ca="1" si="85"/>
        <v>12059913.819723723</v>
      </c>
      <c r="G139" s="997">
        <f t="shared" ca="1" si="85"/>
        <v>6811797.3325211164</v>
      </c>
      <c r="H139" s="997">
        <f t="shared" ca="1" si="85"/>
        <v>4379002.5567346923</v>
      </c>
      <c r="I139" s="997">
        <f t="shared" ca="1" si="85"/>
        <v>219356.40000000037</v>
      </c>
      <c r="J139" s="997">
        <f t="shared" si="85"/>
        <v>50229.546666664384</v>
      </c>
      <c r="K139" s="990">
        <f t="shared" ca="1" si="85"/>
        <v>26041294.149761427</v>
      </c>
      <c r="L139" s="991"/>
      <c r="M139" s="990">
        <f t="shared" ref="M139" si="86">SUM(M132:M138)</f>
        <v>1420408.1632653065</v>
      </c>
      <c r="N139" s="990">
        <f t="shared" ref="N139" si="87">SUM(N132:N138)</f>
        <v>340510.20408163266</v>
      </c>
      <c r="O139" s="990">
        <f t="shared" ref="O139" si="88">SUM(O132:O138)</f>
        <v>110000</v>
      </c>
    </row>
    <row r="140" spans="2:23">
      <c r="B140" s="958" t="s">
        <v>2105</v>
      </c>
      <c r="D140" s="959">
        <v>46357</v>
      </c>
      <c r="F140" s="960">
        <f>-INDEX(情形1!$26:$26,MATCH(cashflow汇总预算2026!$D140,情形1!$3:$3,0))*10000</f>
        <v>-4195875.799086757</v>
      </c>
      <c r="K140" s="961">
        <f t="shared" ref="K140:K143" si="89">SUM(E140:J140)</f>
        <v>-4195875.799086757</v>
      </c>
      <c r="M140" s="961">
        <f>-F140/75%</f>
        <v>5594501.0654490096</v>
      </c>
      <c r="R140" s="958" t="s">
        <v>2144</v>
      </c>
      <c r="W140" s="958" t="str">
        <f>R140</f>
        <v>投资支付的现金</v>
      </c>
    </row>
    <row r="141" spans="2:23">
      <c r="B141" s="958" t="s">
        <v>2106</v>
      </c>
      <c r="D141" s="959">
        <v>46357</v>
      </c>
      <c r="H141" s="960">
        <f>-INDEX(情形1!$30:$30,MATCH(cashflow汇总预算2026!$D141,情形1!$3:$3,0))*10000</f>
        <v>-1578354.5764607205</v>
      </c>
      <c r="K141" s="961">
        <f t="shared" si="89"/>
        <v>-1578354.5764607205</v>
      </c>
      <c r="M141" s="961">
        <f>H141/900*4000</f>
        <v>-7014909.2287143134</v>
      </c>
      <c r="N141" s="961">
        <f>-H141-M141</f>
        <v>8593263.8051750343</v>
      </c>
      <c r="T141" s="958" t="s">
        <v>2144</v>
      </c>
      <c r="W141" s="958" t="s">
        <v>2144</v>
      </c>
    </row>
    <row r="142" spans="2:23">
      <c r="B142" s="958" t="s">
        <v>2107</v>
      </c>
      <c r="D142" s="959">
        <v>46357</v>
      </c>
      <c r="G142" s="960">
        <f>-INDEX(情形1!$28:$28,MATCH(cashflow汇总预算2026!$D142,情形1!$3:$3))*10000</f>
        <v>-3013865.2398554543</v>
      </c>
      <c r="K142" s="961">
        <f t="shared" si="89"/>
        <v>-3013865.2398554543</v>
      </c>
      <c r="N142" s="961">
        <f>G142/1250*3650</f>
        <v>-8800486.5003779251</v>
      </c>
      <c r="O142" s="961">
        <f>-G142-N142</f>
        <v>11814351.74023338</v>
      </c>
      <c r="Q142" s="958" t="s">
        <v>2144</v>
      </c>
      <c r="W142" s="958" t="s">
        <v>2144</v>
      </c>
    </row>
    <row r="143" spans="2:23">
      <c r="B143" s="958" t="s">
        <v>2154</v>
      </c>
      <c r="D143" s="959">
        <v>46357</v>
      </c>
      <c r="K143" s="961">
        <f t="shared" si="89"/>
        <v>0</v>
      </c>
      <c r="O143" s="961">
        <f>-INDEX(情形1!$32:$32,MATCH(cashflow汇总预算2026!D143,情形1!$3:$3,0))*10000</f>
        <v>-11657501.775748346</v>
      </c>
    </row>
    <row r="144" spans="2:23">
      <c r="B144" s="958" t="s">
        <v>2137</v>
      </c>
      <c r="D144" s="959">
        <v>46357</v>
      </c>
      <c r="E144" s="960">
        <f ca="1">-E145</f>
        <v>522620.18885999999</v>
      </c>
      <c r="F144" s="960">
        <f ca="1">-E144</f>
        <v>-522620.18885999999</v>
      </c>
      <c r="G144" s="960">
        <v>1500000</v>
      </c>
      <c r="H144" s="960">
        <f>-G144</f>
        <v>-1500000</v>
      </c>
      <c r="K144" s="961">
        <f t="shared" ref="K144:K145" ca="1" si="90">SUM(E144:J144)</f>
        <v>0</v>
      </c>
      <c r="Q144" s="958" t="str">
        <f t="shared" ref="Q144:V144" ca="1" si="91">IF(E144&gt;0,"收到的其他与筹资活动有关的现金","支付的其他与筹资活动有关的现金")</f>
        <v>收到的其他与筹资活动有关的现金</v>
      </c>
      <c r="R144" s="958" t="str">
        <f t="shared" ca="1" si="91"/>
        <v>支付的其他与筹资活动有关的现金</v>
      </c>
      <c r="S144" s="958" t="str">
        <f t="shared" si="91"/>
        <v>收到的其他与筹资活动有关的现金</v>
      </c>
      <c r="T144" s="958" t="str">
        <f t="shared" si="91"/>
        <v>支付的其他与筹资活动有关的现金</v>
      </c>
      <c r="U144" s="958" t="str">
        <f t="shared" si="91"/>
        <v>支付的其他与筹资活动有关的现金</v>
      </c>
      <c r="V144" s="958" t="str">
        <f t="shared" si="91"/>
        <v>支付的其他与筹资活动有关的现金</v>
      </c>
    </row>
    <row r="145" spans="2:15">
      <c r="B145" s="958" t="s">
        <v>2108</v>
      </c>
      <c r="D145" s="959">
        <v>46357</v>
      </c>
      <c r="E145" s="960">
        <f ca="1">INDEX('CF-ACPLHK'!$E$29:$Q$29,MATCH(cashflow汇总预算2026!$D145,'CF-ACPLHK'!$E$4:$Q$4,0))+INDEX('CF-ACPLHK'!$E$38:$Q$38,MATCH($D145,'CF-ACPLHK'!$E$4:$Q$4,0))</f>
        <v>-522620.18885999999</v>
      </c>
      <c r="F145" s="960">
        <f ca="1">INDEX('CF-ACPL'!$E$29:$Q$29,MATCH($D145,'CF-ACPL'!$E$4:$Q$4,0))+INDEX('CF-ACPL'!$E$38:$Q$38,MATCH($D145,'CF-ACPL'!$E$4:$Q$4))</f>
        <v>-480767.18303916662</v>
      </c>
      <c r="G145" s="960">
        <f ca="1">INDEX('CF-ACPLSZ'!$E$29:$Q$29,MATCH($D145,'CF-ACPLSZ'!$E$4:$Q$4,0))+INDEX('CF-ACPLSZ'!$E$38:$Q$38,MATCH($D145,'CF-ACPLSZ'!$E$4:$Q$4))</f>
        <v>-2514590.2392066917</v>
      </c>
      <c r="H145" s="960">
        <f ca="1">INDEX('CF-ACPSZL'!$E$29:$Q$29,MATCH(cashflow汇总预算2026!$D145,'CF-ACPSZL'!$E$4:$Q$4,0))+INDEX('CF-ACPSZL'!$E$38:$Q$38,MATCH($D145,'CF-ACPSZL'!$E$4:$Q$4,0))</f>
        <v>-370009.50333333341</v>
      </c>
      <c r="I145" s="960">
        <f ca="1">INDEX('CF-ACPLGZ'!$E$29:$Q$29,MATCH(cashflow汇总预算2026!$D145,'CF-ACPLGZ'!$E$4:$Q$4,0))+INDEX('CF-ACPLGZ'!$E$38:$Q$38,MATCH($D145,'CF-ACPLGZ'!$E$4:$Q$4,0))</f>
        <v>-50475</v>
      </c>
      <c r="J145" s="960">
        <f>INDEX('CF-ACPLYixing'!$E$29:$Q$29,MATCH($D145,'CF-ACPLYixing'!$E$4:$Q$4,0))+INDEX('CF-ACPLYixing'!$E$38:$Q$38,MATCH($D145,'CF-ACPLYixing'!$E$4:$Q$4,0))</f>
        <v>-3083.3333333333335</v>
      </c>
      <c r="K145" s="961">
        <f t="shared" ca="1" si="90"/>
        <v>-3941545.4477725253</v>
      </c>
    </row>
    <row r="146" spans="2:15" s="956" customFormat="1" ht="12.75">
      <c r="B146" s="982" t="s">
        <v>2142</v>
      </c>
      <c r="C146" s="982"/>
      <c r="D146" s="983">
        <v>46387</v>
      </c>
      <c r="E146" s="997">
        <f t="shared" ref="E146:K146" ca="1" si="92">SUM(E139:E145)</f>
        <v>2520994.4941152246</v>
      </c>
      <c r="F146" s="997">
        <f t="shared" ca="1" si="92"/>
        <v>6860650.6487377994</v>
      </c>
      <c r="G146" s="997">
        <f t="shared" ca="1" si="92"/>
        <v>2783341.8534589703</v>
      </c>
      <c r="H146" s="997">
        <f t="shared" ca="1" si="92"/>
        <v>930638.47694063839</v>
      </c>
      <c r="I146" s="997">
        <f t="shared" ca="1" si="92"/>
        <v>168881.40000000037</v>
      </c>
      <c r="J146" s="997">
        <f t="shared" si="92"/>
        <v>47146.213333331048</v>
      </c>
      <c r="K146" s="990">
        <f t="shared" ca="1" si="92"/>
        <v>13311653.086585972</v>
      </c>
      <c r="L146" s="991"/>
      <c r="M146" s="990">
        <f t="shared" ref="M146" si="93">SUM(M139:M145)</f>
        <v>0</v>
      </c>
      <c r="N146" s="990">
        <f t="shared" ref="N146" si="94">SUM(N139:N145)</f>
        <v>133287.50887874141</v>
      </c>
      <c r="O146" s="990">
        <f t="shared" ref="O146" si="95">SUM(O139:O145)</f>
        <v>266849.96448503435</v>
      </c>
    </row>
  </sheetData>
  <autoFilter ref="A37:R146" xr:uid="{00000000-0009-0000-0000-000002000000}"/>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A6EB6-645A-49B0-B35C-31FDDC2234E0}">
  <sheetPr>
    <tabColor rgb="FFFFFF00"/>
  </sheetPr>
  <dimension ref="A1:W121"/>
  <sheetViews>
    <sheetView zoomScale="80" zoomScaleNormal="80" workbookViewId="0">
      <pane xSplit="3" ySplit="36" topLeftCell="D37" activePane="bottomRight" state="frozen"/>
      <selection pane="topRight" activeCell="D1" sqref="D1"/>
      <selection pane="bottomLeft" activeCell="A37" sqref="A37"/>
      <selection pane="bottomRight" activeCell="E64" sqref="E64:J64"/>
    </sheetView>
  </sheetViews>
  <sheetFormatPr defaultColWidth="9" defaultRowHeight="15.75" outlineLevelRow="1"/>
  <cols>
    <col min="2" max="2" width="22" style="958" customWidth="1"/>
    <col min="3" max="3" width="3.625" style="958" customWidth="1"/>
    <col min="4" max="4" width="13.875" style="959" customWidth="1"/>
    <col min="5" max="5" width="12.625" style="960" customWidth="1"/>
    <col min="6" max="6" width="10.125" style="960" customWidth="1"/>
    <col min="7" max="8" width="10.375" style="960" customWidth="1"/>
    <col min="9" max="10" width="10.125" style="960" customWidth="1"/>
    <col min="11" max="11" width="11.125" style="961" customWidth="1"/>
    <col min="12" max="12" width="3.25" style="962" customWidth="1"/>
    <col min="13" max="15" width="11.125" style="961" customWidth="1"/>
    <col min="16" max="16" width="3.125" style="958" customWidth="1"/>
    <col min="17" max="16384" width="9" style="958"/>
  </cols>
  <sheetData>
    <row r="1" spans="2:23" s="955" customFormat="1" ht="25.5">
      <c r="B1" s="1133">
        <v>0.05</v>
      </c>
      <c r="D1" s="963"/>
      <c r="E1" s="964" t="s">
        <v>2109</v>
      </c>
      <c r="F1" s="964" t="s">
        <v>2110</v>
      </c>
      <c r="G1" s="964" t="s">
        <v>2111</v>
      </c>
      <c r="H1" s="964" t="s">
        <v>2112</v>
      </c>
      <c r="I1" s="964" t="s">
        <v>2113</v>
      </c>
      <c r="J1" s="964" t="s">
        <v>2114</v>
      </c>
      <c r="K1" s="965" t="s">
        <v>2115</v>
      </c>
      <c r="L1" s="966"/>
      <c r="M1" s="967" t="s">
        <v>2116</v>
      </c>
      <c r="N1" s="967" t="s">
        <v>2117</v>
      </c>
      <c r="O1" s="967" t="s">
        <v>2118</v>
      </c>
      <c r="Q1" s="964" t="s">
        <v>2109</v>
      </c>
      <c r="R1" s="964" t="s">
        <v>2110</v>
      </c>
      <c r="S1" s="964" t="s">
        <v>2111</v>
      </c>
      <c r="T1" s="964" t="s">
        <v>2112</v>
      </c>
      <c r="U1" s="964" t="s">
        <v>2113</v>
      </c>
      <c r="V1" s="964" t="s">
        <v>2114</v>
      </c>
      <c r="W1" s="965" t="s">
        <v>2115</v>
      </c>
    </row>
    <row r="2" spans="2:23" s="955" customFormat="1" ht="12.75">
      <c r="D2" s="963"/>
      <c r="E2" s="964" t="s">
        <v>2046</v>
      </c>
      <c r="F2" s="964" t="s">
        <v>2046</v>
      </c>
      <c r="G2" s="964" t="s">
        <v>2046</v>
      </c>
      <c r="H2" s="964" t="s">
        <v>2046</v>
      </c>
      <c r="I2" s="964" t="s">
        <v>2046</v>
      </c>
      <c r="J2" s="964" t="s">
        <v>2046</v>
      </c>
      <c r="K2" s="964" t="s">
        <v>2046</v>
      </c>
      <c r="L2" s="968"/>
      <c r="M2" s="964"/>
      <c r="N2" s="964"/>
      <c r="O2" s="964"/>
    </row>
    <row r="3" spans="2:23" hidden="1" outlineLevel="1">
      <c r="B3" s="958" t="s">
        <v>2119</v>
      </c>
      <c r="D3" s="959">
        <v>45866</v>
      </c>
      <c r="E3" s="960">
        <f>2765593+809735*0.91+46072*4.71</f>
        <v>3719450.97</v>
      </c>
      <c r="F3" s="960">
        <f>50223*0.91</f>
        <v>45702.93</v>
      </c>
      <c r="G3" s="960">
        <v>1757806</v>
      </c>
      <c r="H3" s="960">
        <v>5744218.2800000003</v>
      </c>
      <c r="I3" s="960">
        <v>22134.7</v>
      </c>
      <c r="K3" s="961">
        <f>SUM(E3:I3)</f>
        <v>11289312.879999999</v>
      </c>
    </row>
    <row r="4" spans="2:23" hidden="1" outlineLevel="1">
      <c r="B4" s="958" t="s">
        <v>2120</v>
      </c>
      <c r="E4" s="960">
        <f>-F4</f>
        <v>-697963.13729999994</v>
      </c>
      <c r="F4" s="960">
        <f>-F5</f>
        <v>697963.13729999994</v>
      </c>
      <c r="K4" s="961">
        <f>SUM(E4:I4)</f>
        <v>0</v>
      </c>
    </row>
    <row r="5" spans="2:23" hidden="1" outlineLevel="1">
      <c r="B5" s="958" t="s">
        <v>2121</v>
      </c>
      <c r="E5" s="960">
        <v>-650484</v>
      </c>
      <c r="F5" s="960">
        <v>-697963.13729999994</v>
      </c>
      <c r="G5" s="960">
        <v>-652247</v>
      </c>
      <c r="H5" s="960">
        <v>-384285.96</v>
      </c>
      <c r="I5" s="960">
        <v>-2321.86</v>
      </c>
      <c r="K5" s="961">
        <f>SUM(E5:I5)</f>
        <v>-2387301.9572999999</v>
      </c>
      <c r="M5" s="961" t="s">
        <v>2122</v>
      </c>
    </row>
    <row r="6" spans="2:23" hidden="1" outlineLevel="1">
      <c r="B6" s="958" t="s">
        <v>2123</v>
      </c>
      <c r="D6" s="959">
        <v>45869</v>
      </c>
      <c r="E6" s="969">
        <f t="shared" ref="E6:K6" si="0">SUM(E3:E5)</f>
        <v>2371003.8327000001</v>
      </c>
      <c r="F6" s="969">
        <f t="shared" si="0"/>
        <v>45702.930000000051</v>
      </c>
      <c r="G6" s="969">
        <f t="shared" si="0"/>
        <v>1105559</v>
      </c>
      <c r="H6" s="969">
        <f t="shared" si="0"/>
        <v>5359932.32</v>
      </c>
      <c r="I6" s="969">
        <f t="shared" si="0"/>
        <v>19812.84</v>
      </c>
      <c r="J6" s="969"/>
      <c r="K6" s="970">
        <f t="shared" si="0"/>
        <v>8902010.9226999991</v>
      </c>
      <c r="L6" s="971"/>
      <c r="M6" s="970"/>
      <c r="N6" s="970"/>
      <c r="O6" s="970"/>
    </row>
    <row r="7" spans="2:23" hidden="1" outlineLevel="1">
      <c r="E7" s="972"/>
      <c r="F7" s="972"/>
      <c r="G7" s="972"/>
      <c r="H7" s="972"/>
      <c r="I7" s="972"/>
      <c r="J7" s="972"/>
    </row>
    <row r="8" spans="2:23" hidden="1" outlineLevel="1">
      <c r="B8" s="958" t="s">
        <v>2119</v>
      </c>
      <c r="D8" s="959">
        <v>45869</v>
      </c>
      <c r="E8" s="972">
        <f>2653612*0.91472</f>
        <v>2427311.9686400001</v>
      </c>
      <c r="F8" s="972">
        <f>52344*0.91472</f>
        <v>47880.10368</v>
      </c>
      <c r="G8" s="972">
        <v>1231689</v>
      </c>
      <c r="H8" s="972">
        <v>5444989</v>
      </c>
      <c r="I8" s="972">
        <v>49812.84</v>
      </c>
      <c r="J8" s="972"/>
      <c r="K8" s="961">
        <f>SUM(E8:I8)</f>
        <v>9201682.9123199992</v>
      </c>
    </row>
    <row r="9" spans="2:23" hidden="1" outlineLevel="1">
      <c r="B9" s="958" t="s">
        <v>2120</v>
      </c>
      <c r="E9" s="960">
        <f>-F9</f>
        <v>-360000</v>
      </c>
      <c r="F9" s="960">
        <v>360000</v>
      </c>
      <c r="K9" s="961">
        <f>SUM(E9:I9)</f>
        <v>0</v>
      </c>
    </row>
    <row r="10" spans="2:23" hidden="1" outlineLevel="1">
      <c r="B10" s="958" t="s">
        <v>2124</v>
      </c>
      <c r="E10" s="960">
        <f>3600000*0.9</f>
        <v>3240000</v>
      </c>
      <c r="G10" s="960">
        <f>3600000*0.1</f>
        <v>360000</v>
      </c>
      <c r="K10" s="961">
        <f>SUM(E10:I10)</f>
        <v>3600000</v>
      </c>
    </row>
    <row r="11" spans="2:23" hidden="1" outlineLevel="1">
      <c r="B11" s="958" t="s">
        <v>2125</v>
      </c>
      <c r="E11" s="960">
        <f>-香港!C213</f>
        <v>-530274.16064000002</v>
      </c>
      <c r="F11" s="960">
        <f>-香港!D213</f>
        <v>-363985.3824</v>
      </c>
      <c r="G11" s="960" t="e">
        <f>-'202601-202603（Forecast）'!#REF!</f>
        <v>#REF!</v>
      </c>
      <c r="H11" s="960" t="e">
        <f>-'202601-202603（Forecast）'!#REF!</f>
        <v>#REF!</v>
      </c>
      <c r="I11" s="960" t="e">
        <f>-'202601-202603（Forecast）'!#REF!</f>
        <v>#REF!</v>
      </c>
      <c r="K11" s="961" t="e">
        <f>SUM(E11:I11)</f>
        <v>#REF!</v>
      </c>
      <c r="M11" s="961" t="s">
        <v>2126</v>
      </c>
    </row>
    <row r="12" spans="2:23" hidden="1" outlineLevel="1">
      <c r="B12" s="958" t="s">
        <v>2119</v>
      </c>
      <c r="D12" s="959">
        <v>45900</v>
      </c>
      <c r="E12" s="969">
        <f t="shared" ref="E12:K12" si="1">SUM(E8:E11)</f>
        <v>4777037.8079999993</v>
      </c>
      <c r="F12" s="969">
        <f t="shared" si="1"/>
        <v>43894.721279999998</v>
      </c>
      <c r="G12" s="969" t="e">
        <f t="shared" si="1"/>
        <v>#REF!</v>
      </c>
      <c r="H12" s="969" t="e">
        <f t="shared" si="1"/>
        <v>#REF!</v>
      </c>
      <c r="I12" s="969" t="e">
        <f t="shared" si="1"/>
        <v>#REF!</v>
      </c>
      <c r="J12" s="969"/>
      <c r="K12" s="969" t="e">
        <f t="shared" si="1"/>
        <v>#REF!</v>
      </c>
      <c r="L12" s="973"/>
      <c r="M12" s="969" t="s">
        <v>2127</v>
      </c>
      <c r="N12" s="969"/>
      <c r="O12" s="969"/>
    </row>
    <row r="13" spans="2:23" hidden="1" outlineLevel="1">
      <c r="E13" s="972"/>
      <c r="F13" s="972"/>
      <c r="G13" s="972"/>
      <c r="H13" s="972"/>
      <c r="I13" s="972"/>
      <c r="J13" s="972"/>
      <c r="K13" s="972"/>
      <c r="L13" s="974"/>
      <c r="M13" s="972"/>
      <c r="N13" s="972"/>
      <c r="O13" s="972"/>
    </row>
    <row r="14" spans="2:23" hidden="1" outlineLevel="1">
      <c r="B14" s="958" t="s">
        <v>2119</v>
      </c>
      <c r="D14" s="959">
        <v>45900</v>
      </c>
      <c r="E14" s="972">
        <v>4794239</v>
      </c>
      <c r="F14" s="972">
        <v>82455</v>
      </c>
      <c r="G14" s="972">
        <v>1111289</v>
      </c>
      <c r="H14" s="972">
        <v>5068590.2048321404</v>
      </c>
      <c r="I14" s="972">
        <v>31863.599999999999</v>
      </c>
      <c r="J14" s="972"/>
      <c r="K14" s="961">
        <f>SUM(E14:I14)</f>
        <v>11088436.80483214</v>
      </c>
    </row>
    <row r="15" spans="2:23" hidden="1" outlineLevel="1">
      <c r="B15" s="958" t="s">
        <v>2120</v>
      </c>
      <c r="E15" s="960">
        <f>-F15</f>
        <v>-617625</v>
      </c>
      <c r="F15" s="960">
        <f>675000*0.915</f>
        <v>617625</v>
      </c>
      <c r="K15" s="961">
        <f>SUM(E15:I15)</f>
        <v>0</v>
      </c>
    </row>
    <row r="16" spans="2:23" hidden="1" outlineLevel="1">
      <c r="B16" s="958" t="s">
        <v>2128</v>
      </c>
      <c r="E16" s="960">
        <f>-香港!C236</f>
        <v>-499864.88429999998</v>
      </c>
      <c r="F16" s="960">
        <f>-香港!D236+180000*0.915</f>
        <v>-502745.05724999995</v>
      </c>
      <c r="G16" s="960" t="e">
        <f>-'202601-202603（Forecast）'!#REF!</f>
        <v>#REF!</v>
      </c>
      <c r="H16" s="960">
        <f>-'202601-202603（Forecast）'!O52</f>
        <v>-766650.99</v>
      </c>
      <c r="I16" s="960">
        <v>0</v>
      </c>
      <c r="K16" s="961" t="e">
        <f>SUM(E16:I16)</f>
        <v>#REF!</v>
      </c>
    </row>
    <row r="17" spans="2:18" hidden="1" outlineLevel="1">
      <c r="B17" s="958" t="s">
        <v>2119</v>
      </c>
      <c r="D17" s="975">
        <v>45930</v>
      </c>
      <c r="E17" s="969">
        <f>SUM(E14:E16)</f>
        <v>3676749.1157</v>
      </c>
      <c r="F17" s="969">
        <f t="shared" ref="F17:K17" si="2">SUM(F14:F16)</f>
        <v>197334.94275000005</v>
      </c>
      <c r="G17" s="969" t="e">
        <f t="shared" si="2"/>
        <v>#REF!</v>
      </c>
      <c r="H17" s="969">
        <f t="shared" si="2"/>
        <v>4301939.2148321401</v>
      </c>
      <c r="I17" s="969">
        <f t="shared" si="2"/>
        <v>31863.599999999999</v>
      </c>
      <c r="J17" s="969"/>
      <c r="K17" s="969" t="e">
        <f t="shared" si="2"/>
        <v>#REF!</v>
      </c>
      <c r="L17" s="973"/>
      <c r="M17" s="969"/>
      <c r="N17" s="969"/>
      <c r="O17" s="969"/>
    </row>
    <row r="18" spans="2:18" hidden="1" outlineLevel="1">
      <c r="B18" s="958" t="s">
        <v>2120</v>
      </c>
      <c r="E18" s="960">
        <f>-F18</f>
        <v>-502745.05724999995</v>
      </c>
      <c r="F18" s="960">
        <f>-F20</f>
        <v>502745.05724999995</v>
      </c>
      <c r="K18" s="961">
        <f>SUM(E18:I18)</f>
        <v>0</v>
      </c>
    </row>
    <row r="19" spans="2:18" hidden="1" outlineLevel="1">
      <c r="B19" s="958" t="s">
        <v>2124</v>
      </c>
    </row>
    <row r="20" spans="2:18" hidden="1" outlineLevel="1">
      <c r="B20" s="958" t="s">
        <v>2129</v>
      </c>
      <c r="E20" s="960">
        <v>-520253</v>
      </c>
      <c r="F20" s="960">
        <f>F16</f>
        <v>-502745.05724999995</v>
      </c>
      <c r="G20" s="960">
        <f>-'202601-202603（Forecast）'!I52</f>
        <v>-789872.76</v>
      </c>
      <c r="H20" s="960">
        <f>-'202601-202603（Forecast）'!P52</f>
        <v>-344650.99</v>
      </c>
      <c r="I20" s="960">
        <v>0</v>
      </c>
      <c r="K20" s="961">
        <f>SUM(E20:I20)</f>
        <v>-2157521.8072499996</v>
      </c>
    </row>
    <row r="21" spans="2:18" hidden="1" outlineLevel="1" collapsed="1"/>
    <row r="22" spans="2:18" hidden="1" outlineLevel="1">
      <c r="B22" s="958" t="s">
        <v>2119</v>
      </c>
      <c r="D22" s="975">
        <v>45961</v>
      </c>
      <c r="E22" s="969">
        <f>3251528*0.92</f>
        <v>2991405.7600000002</v>
      </c>
      <c r="F22" s="969">
        <f>65292*0.92</f>
        <v>60068.639999999999</v>
      </c>
      <c r="G22" s="969">
        <f>SUM('202601-202603（Forecast）'!I14,'202601-202603（Forecast）'!L14)</f>
        <v>561081.68000000005</v>
      </c>
      <c r="H22" s="969">
        <f>'202601-202603（Forecast）'!O14</f>
        <v>2694352.06</v>
      </c>
      <c r="I22" s="969">
        <f>'202601-202603（Forecast）'!F14</f>
        <v>86665.41</v>
      </c>
      <c r="J22" s="969"/>
      <c r="K22" s="970">
        <f>SUM(E22:J22)</f>
        <v>6393573.5500000007</v>
      </c>
      <c r="L22" s="971"/>
      <c r="M22" s="970"/>
      <c r="N22" s="970"/>
      <c r="O22" s="970"/>
    </row>
    <row r="23" spans="2:18" hidden="1" outlineLevel="1">
      <c r="B23" s="958" t="s">
        <v>2120</v>
      </c>
      <c r="E23" s="960">
        <f>香港!C274*0.92</f>
        <v>-368000</v>
      </c>
      <c r="F23" s="960">
        <f>-E23</f>
        <v>368000</v>
      </c>
      <c r="G23" s="960">
        <f>-H23</f>
        <v>450000</v>
      </c>
      <c r="H23" s="960">
        <v>-450000</v>
      </c>
      <c r="I23" s="960">
        <f>-'202601-202603（Forecast）'!F52</f>
        <v>-9982000</v>
      </c>
      <c r="K23" s="961">
        <f t="shared" ref="K23:K24" si="3">SUM(E23:J23)</f>
        <v>-9982000</v>
      </c>
    </row>
    <row r="24" spans="2:18" hidden="1" outlineLevel="1">
      <c r="B24" s="958" t="s">
        <v>2130</v>
      </c>
      <c r="E24" s="960">
        <f>-香港!C272*0.92</f>
        <v>-493674.76</v>
      </c>
      <c r="F24" s="960">
        <f>-香港!D272*0.92</f>
        <v>-394737.96</v>
      </c>
      <c r="G24" s="960">
        <v>-450000</v>
      </c>
      <c r="H24" s="960">
        <v>-400000</v>
      </c>
      <c r="I24" s="960">
        <v>0</v>
      </c>
      <c r="K24" s="961">
        <f t="shared" si="3"/>
        <v>-1738412.72</v>
      </c>
    </row>
    <row r="25" spans="2:18" hidden="1" outlineLevel="1">
      <c r="B25" s="958" t="s">
        <v>2119</v>
      </c>
      <c r="D25" s="975">
        <v>45991</v>
      </c>
      <c r="E25" s="969">
        <f t="shared" ref="E25:K25" si="4">SUM(E22:E24)</f>
        <v>2129731</v>
      </c>
      <c r="F25" s="969">
        <f t="shared" si="4"/>
        <v>33330.679999999993</v>
      </c>
      <c r="G25" s="969">
        <f t="shared" si="4"/>
        <v>561081.68000000005</v>
      </c>
      <c r="H25" s="969">
        <f t="shared" si="4"/>
        <v>1844352.06</v>
      </c>
      <c r="I25" s="969">
        <f t="shared" si="4"/>
        <v>-9895334.5899999999</v>
      </c>
      <c r="J25" s="969"/>
      <c r="K25" s="970">
        <f t="shared" si="4"/>
        <v>-5326839.169999999</v>
      </c>
      <c r="L25" s="971"/>
      <c r="M25" s="970"/>
      <c r="N25" s="970"/>
      <c r="O25" s="970"/>
    </row>
    <row r="26" spans="2:18" hidden="1" outlineLevel="1" collapsed="1">
      <c r="D26" s="975"/>
      <c r="E26" s="972"/>
      <c r="F26" s="972"/>
      <c r="G26" s="972"/>
      <c r="H26" s="972"/>
      <c r="I26" s="972"/>
      <c r="J26" s="972"/>
      <c r="P26" s="958" t="s">
        <v>2131</v>
      </c>
      <c r="R26" s="976">
        <f>-SUM(K35:K35)</f>
        <v>1936677.91</v>
      </c>
    </row>
    <row r="27" spans="2:18" hidden="1" outlineLevel="1">
      <c r="B27" s="958" t="s">
        <v>2132</v>
      </c>
      <c r="D27" s="975">
        <v>45991</v>
      </c>
      <c r="E27" s="972">
        <f>2341169</f>
        <v>2341169</v>
      </c>
      <c r="F27" s="972">
        <v>46479</v>
      </c>
      <c r="G27" s="972">
        <f>104222.77+53825.34+17880.93</f>
        <v>175929.03999999998</v>
      </c>
      <c r="H27" s="972">
        <v>3460729</v>
      </c>
      <c r="I27" s="972">
        <v>31951</v>
      </c>
      <c r="J27" s="972">
        <v>57445</v>
      </c>
      <c r="K27" s="961">
        <f>SUM(E27:J27)</f>
        <v>6113702.04</v>
      </c>
    </row>
    <row r="28" spans="2:18" hidden="1" outlineLevel="1">
      <c r="B28" s="977" t="s">
        <v>1923</v>
      </c>
      <c r="D28" s="975"/>
      <c r="E28" s="972">
        <v>3.34</v>
      </c>
      <c r="F28" s="972">
        <v>0.06</v>
      </c>
      <c r="G28" s="972">
        <f>5.68+3.33+2.26</f>
        <v>11.27</v>
      </c>
      <c r="H28" s="972">
        <f>3329.24+247.83+0.02</f>
        <v>3577.0899999999997</v>
      </c>
      <c r="I28" s="972">
        <f>41018+0.07+0.21+0.17+7.85</f>
        <v>41026.299999999996</v>
      </c>
      <c r="J28" s="972">
        <v>7.26</v>
      </c>
      <c r="K28" s="961">
        <f>SUM(E28:J28)</f>
        <v>44625.32</v>
      </c>
    </row>
    <row r="29" spans="2:18" hidden="1" outlineLevel="1">
      <c r="B29" s="958" t="s">
        <v>2104</v>
      </c>
      <c r="D29" s="975"/>
      <c r="E29" s="972"/>
      <c r="F29" s="972"/>
      <c r="G29" s="972"/>
      <c r="H29" s="972">
        <v>-400000</v>
      </c>
      <c r="I29" s="972"/>
      <c r="J29" s="972"/>
      <c r="K29" s="961">
        <f>SUM(E29:J29)</f>
        <v>-400000</v>
      </c>
      <c r="P29" s="976" t="s">
        <v>2133</v>
      </c>
      <c r="R29" s="961"/>
    </row>
    <row r="30" spans="2:18" hidden="1" outlineLevel="1">
      <c r="B30" s="958" t="s">
        <v>2099</v>
      </c>
      <c r="F30" s="960">
        <f>2000000*0.9</f>
        <v>1800000</v>
      </c>
      <c r="K30" s="961">
        <f t="shared" ref="K30:K35" si="5">SUM(E30:J30)</f>
        <v>1800000</v>
      </c>
      <c r="P30" s="961" t="s">
        <v>2134</v>
      </c>
      <c r="R30" s="961">
        <f>-香港!C286*0.92</f>
        <v>-138000</v>
      </c>
    </row>
    <row r="31" spans="2:18" hidden="1" outlineLevel="1">
      <c r="B31" s="958" t="s">
        <v>2135</v>
      </c>
      <c r="G31" s="960">
        <f>-J31*10%</f>
        <v>0</v>
      </c>
      <c r="I31" s="960">
        <f>-J31*0.9</f>
        <v>0</v>
      </c>
      <c r="K31" s="961">
        <f t="shared" si="5"/>
        <v>0</v>
      </c>
      <c r="P31" s="961" t="s">
        <v>2136</v>
      </c>
      <c r="R31" s="961">
        <f>-香港!C293*0.92</f>
        <v>-276000</v>
      </c>
    </row>
    <row r="32" spans="2:18" hidden="1" outlineLevel="1">
      <c r="B32" s="958" t="s">
        <v>2137</v>
      </c>
      <c r="K32" s="961">
        <f t="shared" si="5"/>
        <v>0</v>
      </c>
      <c r="P32" s="961" t="s">
        <v>2138</v>
      </c>
      <c r="R32" s="961">
        <f>-SUM(香港!I283:I284)*7.1-香港!I293*7.1</f>
        <v>-269912.25099999999</v>
      </c>
    </row>
    <row r="33" spans="2:23" hidden="1" outlineLevel="1">
      <c r="B33" s="958" t="s">
        <v>2139</v>
      </c>
      <c r="E33" s="960">
        <f>-I33</f>
        <v>0</v>
      </c>
      <c r="I33" s="960">
        <f>-SUM(I30:I32)</f>
        <v>0</v>
      </c>
      <c r="K33" s="961">
        <f t="shared" si="5"/>
        <v>0</v>
      </c>
      <c r="P33" s="961" t="s">
        <v>2140</v>
      </c>
      <c r="R33" s="961">
        <f>-'202601-202603（Forecast）'!I45</f>
        <v>0</v>
      </c>
    </row>
    <row r="34" spans="2:23" hidden="1" outlineLevel="1">
      <c r="B34" s="958" t="s">
        <v>2137</v>
      </c>
      <c r="E34" s="960">
        <f>-F34</f>
        <v>647834.4</v>
      </c>
      <c r="F34" s="960">
        <f>-(800000-80000)*0.89977</f>
        <v>-647834.4</v>
      </c>
      <c r="G34" s="960">
        <v>345000</v>
      </c>
      <c r="H34" s="960">
        <v>-280000</v>
      </c>
      <c r="I34" s="960">
        <v>-65000</v>
      </c>
      <c r="K34" s="961">
        <f t="shared" si="5"/>
        <v>0</v>
      </c>
      <c r="R34" s="970">
        <f>SUM(R30:R33)</f>
        <v>-683912.25099999993</v>
      </c>
    </row>
    <row r="35" spans="2:23" ht="16.5" hidden="1" outlineLevel="1" thickBot="1">
      <c r="B35" s="958" t="s">
        <v>2108</v>
      </c>
      <c r="E35" s="960">
        <f>-395768.68</f>
        <v>-395768.68</v>
      </c>
      <c r="F35" s="960">
        <f>-103720*0.9-637830.25</f>
        <v>-731178.25</v>
      </c>
      <c r="G35" s="960">
        <f>-329240.35-105997.92</f>
        <v>-435238.26999999996</v>
      </c>
      <c r="H35" s="960">
        <v>-374466.81</v>
      </c>
      <c r="I35" s="960">
        <v>-0.9</v>
      </c>
      <c r="J35" s="960">
        <v>-25</v>
      </c>
      <c r="K35" s="961">
        <f t="shared" si="5"/>
        <v>-1936677.91</v>
      </c>
      <c r="P35" s="958" t="s">
        <v>2141</v>
      </c>
      <c r="R35" s="978">
        <f>R26+R34</f>
        <v>1252765.659</v>
      </c>
    </row>
    <row r="36" spans="2:23" s="956" customFormat="1" ht="12.75" hidden="1" outlineLevel="1">
      <c r="B36" s="956" t="s">
        <v>2142</v>
      </c>
      <c r="D36" s="979">
        <v>46022</v>
      </c>
      <c r="E36" s="980">
        <f>SUM(E27:E35)</f>
        <v>2593238.0599999996</v>
      </c>
      <c r="F36" s="980">
        <f t="shared" ref="F36:K36" si="6">SUM(F27:F35)</f>
        <v>467466.41000000015</v>
      </c>
      <c r="G36" s="980">
        <f t="shared" si="6"/>
        <v>85702.039999999979</v>
      </c>
      <c r="H36" s="980">
        <f t="shared" si="6"/>
        <v>2409839.2799999998</v>
      </c>
      <c r="I36" s="980">
        <f t="shared" si="6"/>
        <v>7976.3999999999887</v>
      </c>
      <c r="J36" s="980">
        <f t="shared" si="6"/>
        <v>57427.26</v>
      </c>
      <c r="K36" s="980">
        <f t="shared" si="6"/>
        <v>5621649.4500000002</v>
      </c>
      <c r="L36" s="981"/>
      <c r="M36" s="980"/>
      <c r="N36" s="980"/>
      <c r="O36" s="980"/>
    </row>
    <row r="37" spans="2:23" s="956" customFormat="1" ht="12.75" collapsed="1">
      <c r="B37" s="982" t="s">
        <v>2142</v>
      </c>
      <c r="C37" s="982"/>
      <c r="D37" s="983">
        <v>46387</v>
      </c>
      <c r="E37" s="997">
        <f ca="1">cashflow汇总预算2026!E146</f>
        <v>2520994.4941152246</v>
      </c>
      <c r="F37" s="997">
        <f ca="1">cashflow汇总预算2026!F146</f>
        <v>6860650.6487377994</v>
      </c>
      <c r="G37" s="997">
        <f ca="1">cashflow汇总预算2026!G146</f>
        <v>2783341.8534589703</v>
      </c>
      <c r="H37" s="997">
        <f ca="1">cashflow汇总预算2026!H146</f>
        <v>930638.47694063839</v>
      </c>
      <c r="I37" s="997">
        <f ca="1">cashflow汇总预算2026!I146</f>
        <v>168881.40000000037</v>
      </c>
      <c r="J37" s="997">
        <f>cashflow汇总预算2026!J146</f>
        <v>47146.213333331048</v>
      </c>
      <c r="K37" s="990">
        <f ca="1">cashflow汇总预算2026!K146</f>
        <v>13311653.086585972</v>
      </c>
      <c r="L37" s="991"/>
      <c r="M37" s="990">
        <f>cashflow汇总预算2026!M146</f>
        <v>0</v>
      </c>
      <c r="N37" s="990">
        <f>cashflow汇总预算2026!N146</f>
        <v>133287.50887874141</v>
      </c>
      <c r="O37" s="990">
        <f>cashflow汇总预算2026!O146</f>
        <v>266849.96448503435</v>
      </c>
    </row>
    <row r="38" spans="2:23">
      <c r="B38" s="958" t="s">
        <v>2105</v>
      </c>
      <c r="D38" s="959">
        <v>46388</v>
      </c>
      <c r="F38" s="960">
        <f>-INDEX(情形1!$26:$26,MATCH($D38,情形1!$3:$3))*10000</f>
        <v>-114668.9082606872</v>
      </c>
      <c r="K38" s="961">
        <f t="shared" ref="K38:K43" si="7">SUM(E38:J38)</f>
        <v>-114668.9082606872</v>
      </c>
      <c r="M38" s="961">
        <f>-F38/75%</f>
        <v>152891.87768091625</v>
      </c>
      <c r="R38" s="958" t="s">
        <v>2144</v>
      </c>
      <c r="W38" s="958" t="str">
        <f>R38</f>
        <v>投资支付的现金</v>
      </c>
    </row>
    <row r="39" spans="2:23">
      <c r="B39" s="958" t="s">
        <v>2106</v>
      </c>
      <c r="D39" s="959">
        <v>46388</v>
      </c>
      <c r="H39" s="960">
        <f>-INDEX(情形1!$30:$30,MATCH($D39,情形1!$3:$3))*10000</f>
        <v>-34400.672478206499</v>
      </c>
      <c r="K39" s="961">
        <f t="shared" si="7"/>
        <v>-34400.672478206499</v>
      </c>
      <c r="M39" s="961">
        <f>H39/900*4000</f>
        <v>-152891.87768091779</v>
      </c>
      <c r="N39" s="961">
        <f>-H39-M39</f>
        <v>187292.55015912431</v>
      </c>
      <c r="T39" s="958" t="s">
        <v>2144</v>
      </c>
      <c r="W39" s="958" t="s">
        <v>2144</v>
      </c>
    </row>
    <row r="40" spans="2:23">
      <c r="B40" s="958" t="s">
        <v>2107</v>
      </c>
      <c r="D40" s="959">
        <v>46388</v>
      </c>
      <c r="G40" s="960">
        <f>-INDEX(情形1!$28:$28,MATCH($D40,情形1!$3:$3))*10000</f>
        <v>-63704.949033716504</v>
      </c>
      <c r="K40" s="961">
        <f t="shared" si="7"/>
        <v>-63704.949033716504</v>
      </c>
      <c r="N40" s="961">
        <f>G40/1250*3650</f>
        <v>-186018.45117845217</v>
      </c>
      <c r="O40" s="961">
        <f>-G40-N40</f>
        <v>249723.40021216869</v>
      </c>
      <c r="Q40" s="958" t="s">
        <v>2144</v>
      </c>
      <c r="W40" s="958" t="s">
        <v>2144</v>
      </c>
    </row>
    <row r="41" spans="2:23">
      <c r="B41" s="958" t="s">
        <v>2154</v>
      </c>
      <c r="D41" s="959">
        <v>46388</v>
      </c>
      <c r="K41" s="961">
        <f t="shared" si="7"/>
        <v>0</v>
      </c>
      <c r="O41" s="960">
        <f>-INDEX(情形1!$32:$32,MATCH($D41,情形1!$3:$3))*10000</f>
        <v>-254819.79613486602</v>
      </c>
    </row>
    <row r="42" spans="2:23">
      <c r="B42" s="958" t="s">
        <v>2137</v>
      </c>
      <c r="D42" s="959">
        <v>46388</v>
      </c>
      <c r="E42" s="960">
        <f>-F42</f>
        <v>-554355.85800000001</v>
      </c>
      <c r="F42" s="960">
        <f>-F43</f>
        <v>554355.85800000001</v>
      </c>
      <c r="G42" s="960">
        <v>1500000</v>
      </c>
      <c r="H42" s="960">
        <f>-G42</f>
        <v>-1500000</v>
      </c>
      <c r="K42" s="961">
        <f t="shared" si="7"/>
        <v>0</v>
      </c>
      <c r="Q42" s="958" t="str">
        <f t="shared" ref="Q42:V42" si="8">IF(E42&gt;0,"收到的其他与筹资活动有关的现金","支付的其他与筹资活动有关的现金")</f>
        <v>支付的其他与筹资活动有关的现金</v>
      </c>
      <c r="R42" s="958" t="str">
        <f t="shared" si="8"/>
        <v>收到的其他与筹资活动有关的现金</v>
      </c>
      <c r="S42" s="958" t="str">
        <f t="shared" si="8"/>
        <v>收到的其他与筹资活动有关的现金</v>
      </c>
      <c r="T42" s="958" t="str">
        <f t="shared" si="8"/>
        <v>支付的其他与筹资活动有关的现金</v>
      </c>
      <c r="U42" s="958" t="str">
        <f t="shared" si="8"/>
        <v>支付的其他与筹资活动有关的现金</v>
      </c>
      <c r="V42" s="958" t="str">
        <f t="shared" si="8"/>
        <v>支付的其他与筹资活动有关的现金</v>
      </c>
    </row>
    <row r="43" spans="2:23">
      <c r="B43" s="958" t="s">
        <v>2108</v>
      </c>
      <c r="D43" s="959">
        <v>46388</v>
      </c>
      <c r="E43" s="960">
        <f>cashflow汇总预算2026!E47*(1+'cashflow汇总预算 2027'!$B$1)</f>
        <v>-752396.28576</v>
      </c>
      <c r="F43" s="960">
        <f>cashflow汇总预算2026!F47*(1+'cashflow汇总预算 2027'!$B$1)</f>
        <v>-554355.85800000001</v>
      </c>
      <c r="G43" s="960">
        <f>cashflow汇总预算2026!G47*(1+'cashflow汇总预算 2027'!$B$1)</f>
        <v>-762658.98450000002</v>
      </c>
      <c r="H43" s="960">
        <f>cashflow汇总预算2026!H47*(1+'cashflow汇总预算 2027'!$B$1)</f>
        <v>-445341.51899999997</v>
      </c>
      <c r="I43" s="960">
        <f>cashflow汇总预算2026!I47*(1+'cashflow汇总预算 2027'!$B$1)</f>
        <v>-2100</v>
      </c>
      <c r="J43" s="960">
        <f>cashflow汇总预算2026!J47*(1+'cashflow汇总预算 2027'!$B$1)</f>
        <v>0</v>
      </c>
      <c r="K43" s="961">
        <f t="shared" si="7"/>
        <v>-2516852.64726</v>
      </c>
    </row>
    <row r="44" spans="2:23" s="956" customFormat="1" ht="12.75">
      <c r="B44" s="982" t="s">
        <v>2142</v>
      </c>
      <c r="C44" s="982"/>
      <c r="D44" s="983">
        <v>46388</v>
      </c>
      <c r="E44" s="997">
        <f t="shared" ref="E44:K44" ca="1" si="9">SUM(E37:E43)</f>
        <v>1214242.3503552247</v>
      </c>
      <c r="F44" s="997">
        <f t="shared" ca="1" si="9"/>
        <v>6745981.7404771121</v>
      </c>
      <c r="G44" s="997">
        <f t="shared" ca="1" si="9"/>
        <v>3456977.9199252538</v>
      </c>
      <c r="H44" s="997">
        <f t="shared" ca="1" si="9"/>
        <v>-1049103.7145375679</v>
      </c>
      <c r="I44" s="997">
        <f t="shared" ca="1" si="9"/>
        <v>166781.40000000037</v>
      </c>
      <c r="J44" s="997">
        <f t="shared" si="9"/>
        <v>47146.213333331048</v>
      </c>
      <c r="K44" s="990">
        <f t="shared" ca="1" si="9"/>
        <v>10582025.909553364</v>
      </c>
      <c r="L44" s="991"/>
      <c r="M44" s="990">
        <f t="shared" ref="M44:O44" si="10">SUM(M37:M43)</f>
        <v>-1.5425030142068863E-9</v>
      </c>
      <c r="N44" s="990">
        <f t="shared" si="10"/>
        <v>134561.60785941355</v>
      </c>
      <c r="O44" s="990">
        <f t="shared" si="10"/>
        <v>261753.56856233702</v>
      </c>
    </row>
    <row r="45" spans="2:23">
      <c r="B45" s="958" t="s">
        <v>2105</v>
      </c>
      <c r="D45" s="959">
        <v>46419</v>
      </c>
      <c r="F45" s="960">
        <f>-INDEX(情形1!$26:$26,MATCH($D45,情形1!$3:$3))*10000</f>
        <v>0</v>
      </c>
      <c r="K45" s="961">
        <f t="shared" ref="K45:K48" si="11">SUM(E45:J45)</f>
        <v>0</v>
      </c>
      <c r="M45" s="961">
        <f>-F45/75%</f>
        <v>0</v>
      </c>
      <c r="R45" s="958" t="s">
        <v>2144</v>
      </c>
      <c r="W45" s="958" t="str">
        <f>R45</f>
        <v>投资支付的现金</v>
      </c>
    </row>
    <row r="46" spans="2:23">
      <c r="B46" s="958" t="s">
        <v>2106</v>
      </c>
      <c r="D46" s="959">
        <v>46419</v>
      </c>
      <c r="H46" s="960">
        <f>-INDEX(情形1!$30:$30,MATCH($D46,情形1!$3:$3))*10000</f>
        <v>0</v>
      </c>
      <c r="K46" s="961">
        <f t="shared" si="11"/>
        <v>0</v>
      </c>
      <c r="M46" s="961">
        <f>H46/900*4000</f>
        <v>0</v>
      </c>
      <c r="N46" s="961">
        <f>-H46-M46</f>
        <v>0</v>
      </c>
      <c r="T46" s="958" t="s">
        <v>2144</v>
      </c>
      <c r="W46" s="958" t="s">
        <v>2144</v>
      </c>
    </row>
    <row r="47" spans="2:23">
      <c r="B47" s="958" t="s">
        <v>2107</v>
      </c>
      <c r="D47" s="959">
        <v>46419</v>
      </c>
      <c r="G47" s="960">
        <f>-INDEX(情形1!$28:$28,MATCH($D47,情形1!$3:$3))*10000</f>
        <v>0</v>
      </c>
      <c r="K47" s="961">
        <f t="shared" si="11"/>
        <v>0</v>
      </c>
      <c r="N47" s="961">
        <f>G47/1250*3650</f>
        <v>0</v>
      </c>
      <c r="O47" s="961">
        <f>-G47-N47</f>
        <v>0</v>
      </c>
      <c r="Q47" s="958" t="s">
        <v>2144</v>
      </c>
      <c r="W47" s="958" t="s">
        <v>2144</v>
      </c>
    </row>
    <row r="48" spans="2:23">
      <c r="B48" s="958" t="s">
        <v>2154</v>
      </c>
      <c r="D48" s="959">
        <v>46419</v>
      </c>
      <c r="K48" s="961">
        <f t="shared" si="11"/>
        <v>0</v>
      </c>
      <c r="O48" s="960">
        <f>-INDEX(情形1!$32:$32,MATCH($D48,情形1!$3:$3))*10000</f>
        <v>0</v>
      </c>
    </row>
    <row r="49" spans="2:23">
      <c r="B49" s="958" t="s">
        <v>2137</v>
      </c>
      <c r="D49" s="959">
        <v>46419</v>
      </c>
      <c r="E49" s="960">
        <f ca="1">-F49</f>
        <v>-467753.14219112496</v>
      </c>
      <c r="F49" s="960">
        <f ca="1">-F50</f>
        <v>467753.14219112496</v>
      </c>
      <c r="G49" s="960">
        <v>1500000</v>
      </c>
      <c r="H49" s="960">
        <f>-G49</f>
        <v>-1500000</v>
      </c>
      <c r="K49" s="961">
        <f t="shared" ref="K49:K50" ca="1" si="12">SUM(E49:J49)</f>
        <v>0</v>
      </c>
      <c r="Q49" s="958" t="str">
        <f t="shared" ref="Q49:V49" ca="1" si="13">IF(E49&gt;0,"收到的其他与筹资活动有关的现金","支付的其他与筹资活动有关的现金")</f>
        <v>支付的其他与筹资活动有关的现金</v>
      </c>
      <c r="R49" s="958" t="str">
        <f t="shared" ca="1" si="13"/>
        <v>收到的其他与筹资活动有关的现金</v>
      </c>
      <c r="S49" s="958" t="str">
        <f t="shared" si="13"/>
        <v>收到的其他与筹资活动有关的现金</v>
      </c>
      <c r="T49" s="958" t="str">
        <f t="shared" si="13"/>
        <v>支付的其他与筹资活动有关的现金</v>
      </c>
      <c r="U49" s="958" t="str">
        <f t="shared" si="13"/>
        <v>支付的其他与筹资活动有关的现金</v>
      </c>
      <c r="V49" s="958" t="str">
        <f t="shared" si="13"/>
        <v>支付的其他与筹资活动有关的现金</v>
      </c>
    </row>
    <row r="50" spans="2:23">
      <c r="B50" s="958" t="s">
        <v>2108</v>
      </c>
      <c r="D50" s="959">
        <v>46419</v>
      </c>
      <c r="E50" s="960">
        <f ca="1">cashflow汇总预算2026!E65*(1+'cashflow汇总预算 2027'!$B$1)</f>
        <v>-481719.565803</v>
      </c>
      <c r="F50" s="960">
        <f ca="1">cashflow汇总预算2026!F65*(1+'cashflow汇总预算 2027'!$B$1)</f>
        <v>-467753.14219112496</v>
      </c>
      <c r="G50" s="960">
        <f ca="1">cashflow汇总预算2026!G65*(1+'cashflow汇总预算 2027'!$B$1)</f>
        <v>-708551.50589999999</v>
      </c>
      <c r="H50" s="960">
        <f ca="1">cashflow汇总预算2026!H65*(1+'cashflow汇总预算 2027'!$B$1)</f>
        <v>-332831.39050000004</v>
      </c>
      <c r="I50" s="960">
        <f ca="1">cashflow汇总预算2026!I65*(1+'cashflow汇总预算 2027'!$B$1)</f>
        <v>-498.75</v>
      </c>
      <c r="J50" s="960">
        <f>cashflow汇总预算2026!J65*(1+'cashflow汇总预算 2027'!$B$1)</f>
        <v>-87.5</v>
      </c>
      <c r="K50" s="961">
        <f t="shared" ca="1" si="12"/>
        <v>-1991441.8543941251</v>
      </c>
    </row>
    <row r="51" spans="2:23" s="956" customFormat="1" ht="12.75">
      <c r="B51" s="982" t="s">
        <v>2142</v>
      </c>
      <c r="C51" s="982"/>
      <c r="D51" s="983">
        <v>46419</v>
      </c>
      <c r="E51" s="997">
        <f t="shared" ref="E51:K51" ca="1" si="14">SUM(E44:E50)</f>
        <v>264769.64236109972</v>
      </c>
      <c r="F51" s="997">
        <f t="shared" ca="1" si="14"/>
        <v>6745981.7404771121</v>
      </c>
      <c r="G51" s="997">
        <f t="shared" ca="1" si="14"/>
        <v>4248426.4140252536</v>
      </c>
      <c r="H51" s="997">
        <f t="shared" ca="1" si="14"/>
        <v>-2881935.1050375681</v>
      </c>
      <c r="I51" s="997">
        <f t="shared" ca="1" si="14"/>
        <v>166282.65000000037</v>
      </c>
      <c r="J51" s="997">
        <f t="shared" si="14"/>
        <v>47058.713333331048</v>
      </c>
      <c r="K51" s="990">
        <f t="shared" ca="1" si="14"/>
        <v>8590584.0551592391</v>
      </c>
      <c r="L51" s="991"/>
      <c r="M51" s="990">
        <f t="shared" ref="M51:O51" si="15">SUM(M44:M50)</f>
        <v>-1.5425030142068863E-9</v>
      </c>
      <c r="N51" s="990">
        <f t="shared" si="15"/>
        <v>134561.60785941355</v>
      </c>
      <c r="O51" s="990">
        <f t="shared" si="15"/>
        <v>261753.56856233702</v>
      </c>
    </row>
    <row r="52" spans="2:23">
      <c r="B52" s="958" t="s">
        <v>2105</v>
      </c>
      <c r="D52" s="959">
        <v>46447</v>
      </c>
      <c r="F52" s="960">
        <f>-INDEX(情形1!$26:$26,MATCH($D52,情形1!$3:$3))*10000</f>
        <v>0</v>
      </c>
      <c r="K52" s="961">
        <f t="shared" ref="K52:K55" si="16">SUM(E52:J52)</f>
        <v>0</v>
      </c>
      <c r="M52" s="961">
        <f>-F52/75%</f>
        <v>0</v>
      </c>
      <c r="R52" s="958" t="s">
        <v>2144</v>
      </c>
      <c r="W52" s="958" t="str">
        <f>R52</f>
        <v>投资支付的现金</v>
      </c>
    </row>
    <row r="53" spans="2:23">
      <c r="B53" s="958" t="s">
        <v>2106</v>
      </c>
      <c r="D53" s="959">
        <v>46447</v>
      </c>
      <c r="H53" s="960">
        <f>-INDEX(情形1!$30:$30,MATCH($D53,情形1!$3:$3))*10000</f>
        <v>0</v>
      </c>
      <c r="K53" s="961">
        <f t="shared" si="16"/>
        <v>0</v>
      </c>
      <c r="M53" s="961">
        <f>H53/900*4000</f>
        <v>0</v>
      </c>
      <c r="N53" s="961">
        <f>-H53-M53</f>
        <v>0</v>
      </c>
      <c r="T53" s="958" t="s">
        <v>2144</v>
      </c>
      <c r="W53" s="958" t="s">
        <v>2144</v>
      </c>
    </row>
    <row r="54" spans="2:23">
      <c r="B54" s="958" t="s">
        <v>2107</v>
      </c>
      <c r="D54" s="959">
        <v>46447</v>
      </c>
      <c r="G54" s="960">
        <f>-INDEX(情形1!$28:$28,MATCH($D54,情形1!$3:$3))*10000</f>
        <v>0</v>
      </c>
      <c r="K54" s="961">
        <f t="shared" si="16"/>
        <v>0</v>
      </c>
      <c r="N54" s="961">
        <f>G54/1250*3650</f>
        <v>0</v>
      </c>
      <c r="O54" s="961">
        <f>-G54-N54</f>
        <v>0</v>
      </c>
      <c r="Q54" s="958" t="s">
        <v>2144</v>
      </c>
      <c r="W54" s="958" t="s">
        <v>2144</v>
      </c>
    </row>
    <row r="55" spans="2:23">
      <c r="B55" s="958" t="s">
        <v>2154</v>
      </c>
      <c r="D55" s="959">
        <v>46447</v>
      </c>
      <c r="K55" s="961">
        <f t="shared" si="16"/>
        <v>0</v>
      </c>
      <c r="O55" s="960">
        <f>-INDEX(情形1!$32:$32,MATCH($D55,情形1!$3:$3))*10000</f>
        <v>0</v>
      </c>
    </row>
    <row r="56" spans="2:23">
      <c r="B56" s="958" t="s">
        <v>2137</v>
      </c>
      <c r="D56" s="959">
        <v>46447</v>
      </c>
      <c r="E56" s="960">
        <f ca="1">-F56</f>
        <v>-585878.14219112485</v>
      </c>
      <c r="F56" s="960">
        <f ca="1">-F57</f>
        <v>585878.14219112485</v>
      </c>
      <c r="G56" s="960">
        <v>1500000</v>
      </c>
      <c r="H56" s="960">
        <f>-G56</f>
        <v>-1500000</v>
      </c>
      <c r="K56" s="961">
        <f t="shared" ref="K56:K57" ca="1" si="17">SUM(E56:J56)</f>
        <v>0</v>
      </c>
      <c r="Q56" s="958" t="str">
        <f t="shared" ref="Q56:V56" ca="1" si="18">IF(E56&gt;0,"收到的其他与筹资活动有关的现金","支付的其他与筹资活动有关的现金")</f>
        <v>支付的其他与筹资活动有关的现金</v>
      </c>
      <c r="R56" s="958" t="str">
        <f t="shared" ca="1" si="18"/>
        <v>收到的其他与筹资活动有关的现金</v>
      </c>
      <c r="S56" s="958" t="str">
        <f t="shared" si="18"/>
        <v>收到的其他与筹资活动有关的现金</v>
      </c>
      <c r="T56" s="958" t="str">
        <f t="shared" si="18"/>
        <v>支付的其他与筹资活动有关的现金</v>
      </c>
      <c r="U56" s="958" t="str">
        <f t="shared" si="18"/>
        <v>支付的其他与筹资活动有关的现金</v>
      </c>
      <c r="V56" s="958" t="str">
        <f t="shared" si="18"/>
        <v>支付的其他与筹资活动有关的现金</v>
      </c>
    </row>
    <row r="57" spans="2:23">
      <c r="B57" s="958" t="s">
        <v>2108</v>
      </c>
      <c r="D57" s="959">
        <v>46447</v>
      </c>
      <c r="E57" s="960">
        <f ca="1">cashflow汇总预算2026!E72*(1+'cashflow汇总预算 2027'!$B$1)</f>
        <v>-629129.06580300012</v>
      </c>
      <c r="F57" s="960">
        <f ca="1">cashflow汇总预算2026!F72*(1+'cashflow汇总预算 2027'!$B$1)</f>
        <v>-585878.14219112485</v>
      </c>
      <c r="G57" s="960">
        <f ca="1">cashflow汇总预算2026!G72*(1+'cashflow汇总预算 2027'!$B$1)</f>
        <v>-582154.49039999989</v>
      </c>
      <c r="H57" s="960">
        <f ca="1">cashflow汇总预算2026!H72*(1+'cashflow汇总预算 2027'!$B$1)</f>
        <v>-312251.39050000004</v>
      </c>
      <c r="I57" s="960">
        <f ca="1">cashflow汇总预算2026!I72*(1+'cashflow汇总预算 2027'!$B$1)</f>
        <v>-498.75</v>
      </c>
      <c r="J57" s="960">
        <f>cashflow汇总预算2026!J72*(1+'cashflow汇总预算 2027'!$B$1)</f>
        <v>-87.5</v>
      </c>
      <c r="K57" s="961">
        <f t="shared" ca="1" si="17"/>
        <v>-2109999.3388941251</v>
      </c>
    </row>
    <row r="58" spans="2:23" s="956" customFormat="1" ht="12.75">
      <c r="B58" s="982" t="s">
        <v>2142</v>
      </c>
      <c r="C58" s="982"/>
      <c r="D58" s="983">
        <v>46447</v>
      </c>
      <c r="E58" s="997">
        <f t="shared" ref="E58:K58" ca="1" si="19">SUM(E51:E57)</f>
        <v>-950237.56563302525</v>
      </c>
      <c r="F58" s="997">
        <f t="shared" ca="1" si="19"/>
        <v>6745981.7404771121</v>
      </c>
      <c r="G58" s="997">
        <f t="shared" ca="1" si="19"/>
        <v>5166271.9236252541</v>
      </c>
      <c r="H58" s="997">
        <f t="shared" ca="1" si="19"/>
        <v>-4694186.4955375679</v>
      </c>
      <c r="I58" s="997">
        <f t="shared" ca="1" si="19"/>
        <v>165783.90000000037</v>
      </c>
      <c r="J58" s="997">
        <f t="shared" si="19"/>
        <v>46971.213333331048</v>
      </c>
      <c r="K58" s="990">
        <f t="shared" ca="1" si="19"/>
        <v>6480584.716265114</v>
      </c>
      <c r="L58" s="991"/>
      <c r="M58" s="990">
        <f t="shared" ref="M58:O58" si="20">SUM(M51:M57)</f>
        <v>-1.5425030142068863E-9</v>
      </c>
      <c r="N58" s="990">
        <f t="shared" si="20"/>
        <v>134561.60785941355</v>
      </c>
      <c r="O58" s="990">
        <f t="shared" si="20"/>
        <v>261753.56856233702</v>
      </c>
    </row>
    <row r="59" spans="2:23">
      <c r="B59" s="958" t="s">
        <v>2105</v>
      </c>
      <c r="D59" s="959">
        <v>46478</v>
      </c>
      <c r="F59" s="960">
        <f>-INDEX(情形1!$26:$26,MATCH($D59,情形1!$3:$3))*10000</f>
        <v>0</v>
      </c>
      <c r="K59" s="961">
        <f t="shared" ref="K59:K62" si="21">SUM(E59:J59)</f>
        <v>0</v>
      </c>
      <c r="M59" s="961">
        <f>-F59/75%</f>
        <v>0</v>
      </c>
      <c r="R59" s="958" t="s">
        <v>2144</v>
      </c>
      <c r="W59" s="958" t="str">
        <f>R59</f>
        <v>投资支付的现金</v>
      </c>
    </row>
    <row r="60" spans="2:23">
      <c r="B60" s="958" t="s">
        <v>2106</v>
      </c>
      <c r="D60" s="959">
        <v>46478</v>
      </c>
      <c r="H60" s="960">
        <f>-INDEX(情形1!$30:$30,MATCH($D60,情形1!$3:$3))*10000</f>
        <v>0</v>
      </c>
      <c r="K60" s="961">
        <f t="shared" si="21"/>
        <v>0</v>
      </c>
      <c r="M60" s="961">
        <f>H60/900*4000</f>
        <v>0</v>
      </c>
      <c r="N60" s="961">
        <f>-H60-M60</f>
        <v>0</v>
      </c>
      <c r="T60" s="958" t="s">
        <v>2144</v>
      </c>
      <c r="W60" s="958" t="s">
        <v>2144</v>
      </c>
    </row>
    <row r="61" spans="2:23">
      <c r="B61" s="958" t="s">
        <v>2107</v>
      </c>
      <c r="D61" s="959">
        <v>46478</v>
      </c>
      <c r="G61" s="960">
        <f>-INDEX(情形1!$28:$28,MATCH($D61,情形1!$3:$3))*10000</f>
        <v>0</v>
      </c>
      <c r="K61" s="961">
        <f t="shared" si="21"/>
        <v>0</v>
      </c>
      <c r="N61" s="961">
        <f>G61/1250*3650</f>
        <v>0</v>
      </c>
      <c r="O61" s="961">
        <f>-G61-N61</f>
        <v>0</v>
      </c>
      <c r="Q61" s="958" t="s">
        <v>2144</v>
      </c>
      <c r="W61" s="958" t="s">
        <v>2144</v>
      </c>
    </row>
    <row r="62" spans="2:23">
      <c r="B62" s="958" t="s">
        <v>2154</v>
      </c>
      <c r="D62" s="959">
        <v>46478</v>
      </c>
      <c r="K62" s="961">
        <f t="shared" si="21"/>
        <v>0</v>
      </c>
      <c r="O62" s="960">
        <f>-INDEX(情形1!$32:$32,MATCH($D62,情形1!$3:$3))*10000</f>
        <v>0</v>
      </c>
    </row>
    <row r="63" spans="2:23">
      <c r="B63" s="958" t="s">
        <v>2137</v>
      </c>
      <c r="D63" s="959">
        <v>46478</v>
      </c>
      <c r="E63" s="960" t="e">
        <f>-F63</f>
        <v>#N/A</v>
      </c>
      <c r="F63" s="960" t="e">
        <f>-F64</f>
        <v>#N/A</v>
      </c>
      <c r="G63" s="960">
        <v>1500000</v>
      </c>
      <c r="H63" s="960">
        <f>-G63</f>
        <v>-1500000</v>
      </c>
      <c r="K63" s="961" t="e">
        <f t="shared" ref="K63:K64" si="22">SUM(E63:J63)</f>
        <v>#N/A</v>
      </c>
      <c r="Q63" s="958" t="e">
        <f t="shared" ref="Q63:V63" si="23">IF(E63&gt;0,"收到的其他与筹资活动有关的现金","支付的其他与筹资活动有关的现金")</f>
        <v>#N/A</v>
      </c>
      <c r="R63" s="958" t="e">
        <f t="shared" si="23"/>
        <v>#N/A</v>
      </c>
      <c r="S63" s="958" t="str">
        <f t="shared" si="23"/>
        <v>收到的其他与筹资活动有关的现金</v>
      </c>
      <c r="T63" s="958" t="str">
        <f t="shared" si="23"/>
        <v>支付的其他与筹资活动有关的现金</v>
      </c>
      <c r="U63" s="958" t="str">
        <f t="shared" si="23"/>
        <v>支付的其他与筹资活动有关的现金</v>
      </c>
      <c r="V63" s="958" t="str">
        <f t="shared" si="23"/>
        <v>支付的其他与筹资活动有关的现金</v>
      </c>
    </row>
    <row r="64" spans="2:23">
      <c r="B64" s="958" t="s">
        <v>2108</v>
      </c>
      <c r="D64" s="959">
        <v>46478</v>
      </c>
      <c r="E64" s="960" t="e">
        <f>INDEX('CF-ACPLHK'!$E$29:$Q$29,MATCH('cashflow汇总预算 2027'!$D64,'CF-ACPLHK'!$E$4:$Q$4,0))+INDEX('CF-ACPLHK'!$E$38:$Q$38,MATCH($D64,'CF-ACPLHK'!$E$4:$Q$4,0))</f>
        <v>#N/A</v>
      </c>
      <c r="F64" s="960" t="e">
        <f>INDEX('CF-ACPL'!$E$29:$Q$29,MATCH($D64,'CF-ACPL'!$E$4:$Q$4,0))+INDEX('CF-ACPL'!$E$38:$Q$38,MATCH($D64,'CF-ACPL'!$E$4:$Q$4))</f>
        <v>#N/A</v>
      </c>
      <c r="G64" s="960" t="e">
        <f>INDEX('CF-ACPLSZ'!$E$29:$Q$29,MATCH($D64,'CF-ACPLSZ'!$E$4:$Q$4,0))+INDEX('CF-ACPLSZ'!$E$38:$Q$38,MATCH($D64,'CF-ACPLSZ'!$E$4:$Q$4))</f>
        <v>#N/A</v>
      </c>
      <c r="H64" s="960" t="e">
        <f>INDEX('CF-ACPSZL'!$E$29:$Q$29,MATCH('cashflow汇总预算 2027'!$D64,'CF-ACPSZL'!$E$4:$Q$4,0))+INDEX('CF-ACPSZL'!$E$38:$Q$38,MATCH($D64,'CF-ACPSZL'!$E$4:$Q$4,0))</f>
        <v>#N/A</v>
      </c>
      <c r="I64" s="960" t="e">
        <f>INDEX('CF-ACPLGZ'!$E$29:$Q$29,MATCH('cashflow汇总预算 2027'!$D64,'CF-ACPLGZ'!$E$4:$Q$4,0))+INDEX('CF-ACPLGZ'!$E$38:$Q$38,MATCH($D64,'CF-ACPLGZ'!$E$4:$Q$4,0))</f>
        <v>#N/A</v>
      </c>
      <c r="J64" s="960" t="e">
        <f>INDEX('CF-ACPLYixing'!$E$29:$Q$29,MATCH($D64,'CF-ACPLYixing'!$E$4:$Q$4,0))+INDEX('CF-ACPLYixing'!$E$38:$Q$38,MATCH($D64,'CF-ACPLYixing'!$E$4:$Q$4,0))</f>
        <v>#N/A</v>
      </c>
      <c r="K64" s="961" t="e">
        <f t="shared" si="22"/>
        <v>#N/A</v>
      </c>
    </row>
    <row r="65" spans="2:23" s="956" customFormat="1" ht="12.75">
      <c r="B65" s="982" t="s">
        <v>2142</v>
      </c>
      <c r="C65" s="982"/>
      <c r="D65" s="983">
        <v>46478</v>
      </c>
      <c r="E65" s="997" t="e">
        <f t="shared" ref="E65:K65" ca="1" si="24">SUM(E58:E64)</f>
        <v>#N/A</v>
      </c>
      <c r="F65" s="997" t="e">
        <f t="shared" ca="1" si="24"/>
        <v>#N/A</v>
      </c>
      <c r="G65" s="997" t="e">
        <f t="shared" ca="1" si="24"/>
        <v>#N/A</v>
      </c>
      <c r="H65" s="997" t="e">
        <f t="shared" ca="1" si="24"/>
        <v>#N/A</v>
      </c>
      <c r="I65" s="997" t="e">
        <f t="shared" ca="1" si="24"/>
        <v>#N/A</v>
      </c>
      <c r="J65" s="997" t="e">
        <f t="shared" si="24"/>
        <v>#N/A</v>
      </c>
      <c r="K65" s="990" t="e">
        <f t="shared" ca="1" si="24"/>
        <v>#N/A</v>
      </c>
      <c r="L65" s="991"/>
      <c r="M65" s="990">
        <f t="shared" ref="M65:O65" si="25">SUM(M58:M64)</f>
        <v>-1.5425030142068863E-9</v>
      </c>
      <c r="N65" s="990">
        <f t="shared" si="25"/>
        <v>134561.60785941355</v>
      </c>
      <c r="O65" s="990">
        <f t="shared" si="25"/>
        <v>261753.56856233702</v>
      </c>
    </row>
    <row r="66" spans="2:23">
      <c r="B66" s="958" t="s">
        <v>2105</v>
      </c>
      <c r="D66" s="959">
        <v>46508</v>
      </c>
      <c r="F66" s="960">
        <f>-INDEX(情形1!$26:$26,MATCH($D66,情形1!$3:$3))*10000</f>
        <v>0</v>
      </c>
      <c r="K66" s="961">
        <f t="shared" ref="K66:K69" si="26">SUM(E66:J66)</f>
        <v>0</v>
      </c>
      <c r="M66" s="961">
        <f>-F66/75%</f>
        <v>0</v>
      </c>
      <c r="R66" s="958" t="s">
        <v>2144</v>
      </c>
      <c r="W66" s="958" t="str">
        <f>R66</f>
        <v>投资支付的现金</v>
      </c>
    </row>
    <row r="67" spans="2:23">
      <c r="B67" s="958" t="s">
        <v>2106</v>
      </c>
      <c r="D67" s="959">
        <v>46508</v>
      </c>
      <c r="H67" s="960">
        <f>-INDEX(情形1!$30:$30,MATCH($D67,情形1!$3:$3))*10000</f>
        <v>0</v>
      </c>
      <c r="K67" s="961">
        <f t="shared" si="26"/>
        <v>0</v>
      </c>
      <c r="M67" s="961">
        <f>H67/900*4000</f>
        <v>0</v>
      </c>
      <c r="N67" s="961">
        <f>-H67-M67</f>
        <v>0</v>
      </c>
      <c r="T67" s="958" t="s">
        <v>2144</v>
      </c>
      <c r="W67" s="958" t="s">
        <v>2144</v>
      </c>
    </row>
    <row r="68" spans="2:23">
      <c r="B68" s="958" t="s">
        <v>2107</v>
      </c>
      <c r="D68" s="959">
        <v>46508</v>
      </c>
      <c r="G68" s="960">
        <f>-INDEX(情形1!$28:$28,MATCH($D68,情形1!$3:$3))*10000</f>
        <v>0</v>
      </c>
      <c r="K68" s="961">
        <f t="shared" si="26"/>
        <v>0</v>
      </c>
      <c r="N68" s="961">
        <f>G68/1250*3650</f>
        <v>0</v>
      </c>
      <c r="O68" s="961">
        <f>-G68-N68</f>
        <v>0</v>
      </c>
      <c r="Q68" s="958" t="s">
        <v>2144</v>
      </c>
      <c r="W68" s="958" t="s">
        <v>2144</v>
      </c>
    </row>
    <row r="69" spans="2:23">
      <c r="B69" s="958" t="s">
        <v>2154</v>
      </c>
      <c r="D69" s="959">
        <v>46508</v>
      </c>
      <c r="K69" s="961">
        <f t="shared" si="26"/>
        <v>0</v>
      </c>
      <c r="O69" s="960">
        <f>-INDEX(情形1!$32:$32,MATCH($D69,情形1!$3:$3))*10000</f>
        <v>0</v>
      </c>
    </row>
    <row r="70" spans="2:23">
      <c r="B70" s="958" t="s">
        <v>2137</v>
      </c>
      <c r="D70" s="959">
        <v>46508</v>
      </c>
      <c r="E70" s="960" t="e">
        <f>-F70</f>
        <v>#N/A</v>
      </c>
      <c r="F70" s="960" t="e">
        <f>-F71</f>
        <v>#N/A</v>
      </c>
      <c r="G70" s="960">
        <v>1500000</v>
      </c>
      <c r="H70" s="960">
        <f>-G70</f>
        <v>-1500000</v>
      </c>
      <c r="K70" s="961" t="e">
        <f t="shared" ref="K70:K71" si="27">SUM(E70:J70)</f>
        <v>#N/A</v>
      </c>
      <c r="Q70" s="958" t="e">
        <f t="shared" ref="Q70:V70" si="28">IF(E70&gt;0,"收到的其他与筹资活动有关的现金","支付的其他与筹资活动有关的现金")</f>
        <v>#N/A</v>
      </c>
      <c r="R70" s="958" t="e">
        <f t="shared" si="28"/>
        <v>#N/A</v>
      </c>
      <c r="S70" s="958" t="str">
        <f t="shared" si="28"/>
        <v>收到的其他与筹资活动有关的现金</v>
      </c>
      <c r="T70" s="958" t="str">
        <f t="shared" si="28"/>
        <v>支付的其他与筹资活动有关的现金</v>
      </c>
      <c r="U70" s="958" t="str">
        <f t="shared" si="28"/>
        <v>支付的其他与筹资活动有关的现金</v>
      </c>
      <c r="V70" s="958" t="str">
        <f t="shared" si="28"/>
        <v>支付的其他与筹资活动有关的现金</v>
      </c>
    </row>
    <row r="71" spans="2:23">
      <c r="B71" s="958" t="s">
        <v>2108</v>
      </c>
      <c r="D71" s="959">
        <v>46508</v>
      </c>
      <c r="E71" s="960" t="e">
        <f>INDEX('CF-ACPLHK'!$E$29:$Q$29,MATCH('cashflow汇总预算 2027'!$D71,'CF-ACPLHK'!$E$4:$Q$4,0))+INDEX('CF-ACPLHK'!$E$38:$Q$38,MATCH($D71,'CF-ACPLHK'!$E$4:$Q$4,0))</f>
        <v>#N/A</v>
      </c>
      <c r="F71" s="960" t="e">
        <f>INDEX('CF-ACPL'!$E$29:$Q$29,MATCH($D71,'CF-ACPL'!$E$4:$Q$4,0))+INDEX('CF-ACPL'!$E$38:$Q$38,MATCH($D71,'CF-ACPL'!$E$4:$Q$4))</f>
        <v>#N/A</v>
      </c>
      <c r="G71" s="960" t="e">
        <f>INDEX('CF-ACPLSZ'!$E$29:$Q$29,MATCH($D71,'CF-ACPLSZ'!$E$4:$Q$4,0))+INDEX('CF-ACPLSZ'!$E$38:$Q$38,MATCH($D71,'CF-ACPLSZ'!$E$4:$Q$4))</f>
        <v>#N/A</v>
      </c>
      <c r="H71" s="960" t="e">
        <f>INDEX('CF-ACPSZL'!$E$29:$Q$29,MATCH('cashflow汇总预算 2027'!$D71,'CF-ACPSZL'!$E$4:$Q$4,0))+INDEX('CF-ACPSZL'!$E$38:$Q$38,MATCH($D71,'CF-ACPSZL'!$E$4:$Q$4,0))</f>
        <v>#N/A</v>
      </c>
      <c r="I71" s="960" t="e">
        <f>INDEX('CF-ACPLGZ'!$E$29:$Q$29,MATCH('cashflow汇总预算 2027'!$D71,'CF-ACPLGZ'!$E$4:$Q$4,0))+INDEX('CF-ACPLGZ'!$E$38:$Q$38,MATCH($D71,'CF-ACPLGZ'!$E$4:$Q$4,0))</f>
        <v>#N/A</v>
      </c>
      <c r="J71" s="960" t="e">
        <f>INDEX('CF-ACPLYixing'!$E$29:$Q$29,MATCH($D71,'CF-ACPLYixing'!$E$4:$Q$4,0))+INDEX('CF-ACPLYixing'!$E$38:$Q$38,MATCH($D71,'CF-ACPLYixing'!$E$4:$Q$4,0))</f>
        <v>#N/A</v>
      </c>
      <c r="K71" s="961" t="e">
        <f t="shared" si="27"/>
        <v>#N/A</v>
      </c>
    </row>
    <row r="72" spans="2:23" s="956" customFormat="1" ht="12.75">
      <c r="B72" s="982" t="s">
        <v>2142</v>
      </c>
      <c r="C72" s="982"/>
      <c r="D72" s="983">
        <v>46508</v>
      </c>
      <c r="E72" s="997" t="e">
        <f t="shared" ref="E72:K72" ca="1" si="29">SUM(E65:E71)</f>
        <v>#N/A</v>
      </c>
      <c r="F72" s="997" t="e">
        <f t="shared" ca="1" si="29"/>
        <v>#N/A</v>
      </c>
      <c r="G72" s="997" t="e">
        <f t="shared" ca="1" si="29"/>
        <v>#N/A</v>
      </c>
      <c r="H72" s="997" t="e">
        <f t="shared" ca="1" si="29"/>
        <v>#N/A</v>
      </c>
      <c r="I72" s="997" t="e">
        <f t="shared" ca="1" si="29"/>
        <v>#N/A</v>
      </c>
      <c r="J72" s="997" t="e">
        <f t="shared" si="29"/>
        <v>#N/A</v>
      </c>
      <c r="K72" s="990" t="e">
        <f t="shared" ca="1" si="29"/>
        <v>#N/A</v>
      </c>
      <c r="L72" s="991"/>
      <c r="M72" s="990">
        <f t="shared" ref="M72:O72" si="30">SUM(M65:M71)</f>
        <v>-1.5425030142068863E-9</v>
      </c>
      <c r="N72" s="990">
        <f t="shared" si="30"/>
        <v>134561.60785941355</v>
      </c>
      <c r="O72" s="990">
        <f t="shared" si="30"/>
        <v>261753.56856233702</v>
      </c>
    </row>
    <row r="73" spans="2:23">
      <c r="B73" s="958" t="s">
        <v>2105</v>
      </c>
      <c r="D73" s="959">
        <v>46539</v>
      </c>
      <c r="F73" s="960">
        <f>-INDEX(情形1!$26:$26,MATCH($D73,情形1!$3:$3))*10000</f>
        <v>-2259283.9352428406</v>
      </c>
      <c r="K73" s="961">
        <f t="shared" ref="K73:K76" si="31">SUM(E73:J73)</f>
        <v>-2259283.9352428406</v>
      </c>
      <c r="M73" s="961">
        <f>-F73/75%</f>
        <v>3012378.5803237874</v>
      </c>
      <c r="R73" s="958" t="s">
        <v>2144</v>
      </c>
      <c r="W73" s="958" t="str">
        <f>R73</f>
        <v>投资支付的现金</v>
      </c>
    </row>
    <row r="74" spans="2:23">
      <c r="B74" s="958" t="s">
        <v>2106</v>
      </c>
      <c r="D74" s="959">
        <v>46539</v>
      </c>
      <c r="H74" s="960">
        <f>-INDEX(情形1!$30:$30,MATCH($D74,情形1!$3:$3))*10000</f>
        <v>-677785.18057285226</v>
      </c>
      <c r="K74" s="961">
        <f t="shared" si="31"/>
        <v>-677785.18057285226</v>
      </c>
      <c r="M74" s="961">
        <f>H74/900*4000</f>
        <v>-3012378.5803237879</v>
      </c>
      <c r="N74" s="961">
        <f>-H74-M74</f>
        <v>3690163.7608966399</v>
      </c>
      <c r="T74" s="958" t="s">
        <v>2144</v>
      </c>
      <c r="W74" s="958" t="s">
        <v>2144</v>
      </c>
    </row>
    <row r="75" spans="2:23">
      <c r="B75" s="958" t="s">
        <v>2107</v>
      </c>
      <c r="D75" s="959">
        <v>46539</v>
      </c>
      <c r="G75" s="960">
        <f>-INDEX(情形1!$28:$28,MATCH($D75,情形1!$3:$3))*10000</f>
        <v>-1255157.7418015779</v>
      </c>
      <c r="K75" s="961">
        <f t="shared" si="31"/>
        <v>-1255157.7418015779</v>
      </c>
      <c r="N75" s="961">
        <f>G75/1250*3650</f>
        <v>-3665060.6060606074</v>
      </c>
      <c r="O75" s="961">
        <f>-G75-N75</f>
        <v>4920218.347862185</v>
      </c>
      <c r="Q75" s="958" t="s">
        <v>2144</v>
      </c>
      <c r="W75" s="958" t="s">
        <v>2144</v>
      </c>
    </row>
    <row r="76" spans="2:23">
      <c r="B76" s="958" t="s">
        <v>2154</v>
      </c>
      <c r="D76" s="959">
        <v>46539</v>
      </c>
      <c r="K76" s="961">
        <f t="shared" si="31"/>
        <v>0</v>
      </c>
      <c r="O76" s="960">
        <f>-INDEX(情形1!$32:$32,MATCH($D76,情形1!$3:$3))*10000</f>
        <v>-5020630.9672063114</v>
      </c>
    </row>
    <row r="77" spans="2:23">
      <c r="B77" s="958" t="s">
        <v>2137</v>
      </c>
      <c r="D77" s="959">
        <v>46539</v>
      </c>
      <c r="E77" s="960" t="e">
        <f>-F77</f>
        <v>#N/A</v>
      </c>
      <c r="F77" s="960" t="e">
        <f>-F78</f>
        <v>#N/A</v>
      </c>
      <c r="G77" s="960">
        <v>1500000</v>
      </c>
      <c r="H77" s="960">
        <f>-G77</f>
        <v>-1500000</v>
      </c>
      <c r="K77" s="961" t="e">
        <f t="shared" ref="K77:K78" si="32">SUM(E77:J77)</f>
        <v>#N/A</v>
      </c>
      <c r="Q77" s="958" t="e">
        <f t="shared" ref="Q77:V77" si="33">IF(E77&gt;0,"收到的其他与筹资活动有关的现金","支付的其他与筹资活动有关的现金")</f>
        <v>#N/A</v>
      </c>
      <c r="R77" s="958" t="e">
        <f t="shared" si="33"/>
        <v>#N/A</v>
      </c>
      <c r="S77" s="958" t="str">
        <f t="shared" si="33"/>
        <v>收到的其他与筹资活动有关的现金</v>
      </c>
      <c r="T77" s="958" t="str">
        <f t="shared" si="33"/>
        <v>支付的其他与筹资活动有关的现金</v>
      </c>
      <c r="U77" s="958" t="str">
        <f t="shared" si="33"/>
        <v>支付的其他与筹资活动有关的现金</v>
      </c>
      <c r="V77" s="958" t="str">
        <f t="shared" si="33"/>
        <v>支付的其他与筹资活动有关的现金</v>
      </c>
    </row>
    <row r="78" spans="2:23">
      <c r="B78" s="958" t="s">
        <v>2108</v>
      </c>
      <c r="D78" s="959">
        <v>46539</v>
      </c>
      <c r="E78" s="960" t="e">
        <f>INDEX('CF-ACPLHK'!$E$29:$Q$29,MATCH('cashflow汇总预算 2027'!$D78,'CF-ACPLHK'!$E$4:$Q$4,0))+INDEX('CF-ACPLHK'!$E$38:$Q$38,MATCH($D78,'CF-ACPLHK'!$E$4:$Q$4,0))</f>
        <v>#N/A</v>
      </c>
      <c r="F78" s="960" t="e">
        <f>INDEX('CF-ACPL'!$E$29:$Q$29,MATCH($D78,'CF-ACPL'!$E$4:$Q$4,0))+INDEX('CF-ACPL'!$E$38:$Q$38,MATCH($D78,'CF-ACPL'!$E$4:$Q$4))</f>
        <v>#N/A</v>
      </c>
      <c r="G78" s="960" t="e">
        <f>INDEX('CF-ACPLSZ'!$E$29:$Q$29,MATCH($D78,'CF-ACPLSZ'!$E$4:$Q$4,0))+INDEX('CF-ACPLSZ'!$E$38:$Q$38,MATCH($D78,'CF-ACPLSZ'!$E$4:$Q$4))</f>
        <v>#N/A</v>
      </c>
      <c r="H78" s="960" t="e">
        <f>INDEX('CF-ACPSZL'!$E$29:$Q$29,MATCH('cashflow汇总预算 2027'!$D78,'CF-ACPSZL'!$E$4:$Q$4,0))+INDEX('CF-ACPSZL'!$E$38:$Q$38,MATCH($D78,'CF-ACPSZL'!$E$4:$Q$4,0))</f>
        <v>#N/A</v>
      </c>
      <c r="I78" s="960" t="e">
        <f>INDEX('CF-ACPLGZ'!$E$29:$Q$29,MATCH('cashflow汇总预算 2027'!$D78,'CF-ACPLGZ'!$E$4:$Q$4,0))+INDEX('CF-ACPLGZ'!$E$38:$Q$38,MATCH($D78,'CF-ACPLGZ'!$E$4:$Q$4,0))</f>
        <v>#N/A</v>
      </c>
      <c r="J78" s="960" t="e">
        <f>INDEX('CF-ACPLYixing'!$E$29:$Q$29,MATCH($D78,'CF-ACPLYixing'!$E$4:$Q$4,0))+INDEX('CF-ACPLYixing'!$E$38:$Q$38,MATCH($D78,'CF-ACPLYixing'!$E$4:$Q$4,0))</f>
        <v>#N/A</v>
      </c>
      <c r="K78" s="961" t="e">
        <f t="shared" si="32"/>
        <v>#N/A</v>
      </c>
    </row>
    <row r="79" spans="2:23" s="956" customFormat="1" ht="12.75">
      <c r="B79" s="982" t="s">
        <v>2142</v>
      </c>
      <c r="C79" s="982"/>
      <c r="D79" s="983">
        <v>46539</v>
      </c>
      <c r="E79" s="997" t="e">
        <f t="shared" ref="E79:K79" ca="1" si="34">SUM(E72:E78)</f>
        <v>#N/A</v>
      </c>
      <c r="F79" s="997" t="e">
        <f t="shared" ca="1" si="34"/>
        <v>#N/A</v>
      </c>
      <c r="G79" s="997" t="e">
        <f t="shared" ca="1" si="34"/>
        <v>#N/A</v>
      </c>
      <c r="H79" s="997" t="e">
        <f t="shared" ca="1" si="34"/>
        <v>#N/A</v>
      </c>
      <c r="I79" s="997" t="e">
        <f t="shared" ca="1" si="34"/>
        <v>#N/A</v>
      </c>
      <c r="J79" s="997" t="e">
        <f t="shared" si="34"/>
        <v>#N/A</v>
      </c>
      <c r="K79" s="990" t="e">
        <f t="shared" ca="1" si="34"/>
        <v>#N/A</v>
      </c>
      <c r="L79" s="991"/>
      <c r="M79" s="990">
        <f t="shared" ref="M79:O79" si="35">SUM(M72:M78)</f>
        <v>0</v>
      </c>
      <c r="N79" s="990">
        <f t="shared" si="35"/>
        <v>159664.76269544614</v>
      </c>
      <c r="O79" s="990">
        <f t="shared" si="35"/>
        <v>161340.94921821076</v>
      </c>
    </row>
    <row r="80" spans="2:23">
      <c r="B80" s="958" t="s">
        <v>2105</v>
      </c>
      <c r="D80" s="959">
        <v>46569</v>
      </c>
      <c r="F80" s="960">
        <f>-INDEX(情形1!$26:$26,MATCH($D80,情形1!$3:$3))*10000</f>
        <v>0</v>
      </c>
      <c r="K80" s="961">
        <f t="shared" ref="K80:K83" si="36">SUM(E80:J80)</f>
        <v>0</v>
      </c>
      <c r="M80" s="961">
        <f>-F80/75%</f>
        <v>0</v>
      </c>
      <c r="R80" s="958" t="s">
        <v>2144</v>
      </c>
      <c r="W80" s="958" t="str">
        <f>R80</f>
        <v>投资支付的现金</v>
      </c>
    </row>
    <row r="81" spans="2:23">
      <c r="B81" s="958" t="s">
        <v>2106</v>
      </c>
      <c r="D81" s="959">
        <v>46569</v>
      </c>
      <c r="H81" s="960">
        <f>-INDEX(情形1!$30:$30,MATCH($D81,情形1!$3:$3))*10000</f>
        <v>0</v>
      </c>
      <c r="K81" s="961">
        <f t="shared" si="36"/>
        <v>0</v>
      </c>
      <c r="M81" s="961">
        <f>H81/900*4000</f>
        <v>0</v>
      </c>
      <c r="N81" s="961">
        <f>-H81-M81</f>
        <v>0</v>
      </c>
      <c r="T81" s="958" t="s">
        <v>2144</v>
      </c>
      <c r="W81" s="958" t="s">
        <v>2144</v>
      </c>
    </row>
    <row r="82" spans="2:23">
      <c r="B82" s="958" t="s">
        <v>2107</v>
      </c>
      <c r="D82" s="959">
        <v>46569</v>
      </c>
      <c r="G82" s="960">
        <f>-INDEX(情形1!$28:$28,MATCH($D82,情形1!$3:$3))*10000</f>
        <v>0</v>
      </c>
      <c r="K82" s="961">
        <f t="shared" si="36"/>
        <v>0</v>
      </c>
      <c r="N82" s="961">
        <f>G82/1250*3650</f>
        <v>0</v>
      </c>
      <c r="O82" s="961">
        <f>-G82-N82</f>
        <v>0</v>
      </c>
      <c r="Q82" s="958" t="s">
        <v>2144</v>
      </c>
      <c r="W82" s="958" t="s">
        <v>2144</v>
      </c>
    </row>
    <row r="83" spans="2:23">
      <c r="B83" s="958" t="s">
        <v>2154</v>
      </c>
      <c r="D83" s="959">
        <v>46569</v>
      </c>
      <c r="K83" s="961">
        <f t="shared" si="36"/>
        <v>0</v>
      </c>
      <c r="O83" s="960">
        <f>-INDEX(情形1!$32:$32,MATCH($D83,情形1!$3:$3))*10000</f>
        <v>0</v>
      </c>
    </row>
    <row r="84" spans="2:23">
      <c r="B84" s="958" t="s">
        <v>2137</v>
      </c>
      <c r="D84" s="959">
        <v>46569</v>
      </c>
      <c r="E84" s="960" t="e">
        <f>-F84</f>
        <v>#N/A</v>
      </c>
      <c r="F84" s="960" t="e">
        <f>-F85</f>
        <v>#N/A</v>
      </c>
      <c r="G84" s="960">
        <v>1500000</v>
      </c>
      <c r="H84" s="960">
        <f>-G84</f>
        <v>-1500000</v>
      </c>
      <c r="K84" s="961" t="e">
        <f t="shared" ref="K84:K85" si="37">SUM(E84:J84)</f>
        <v>#N/A</v>
      </c>
      <c r="Q84" s="958" t="e">
        <f t="shared" ref="Q84:V84" si="38">IF(E84&gt;0,"收到的其他与筹资活动有关的现金","支付的其他与筹资活动有关的现金")</f>
        <v>#N/A</v>
      </c>
      <c r="R84" s="958" t="e">
        <f t="shared" si="38"/>
        <v>#N/A</v>
      </c>
      <c r="S84" s="958" t="str">
        <f t="shared" si="38"/>
        <v>收到的其他与筹资活动有关的现金</v>
      </c>
      <c r="T84" s="958" t="str">
        <f t="shared" si="38"/>
        <v>支付的其他与筹资活动有关的现金</v>
      </c>
      <c r="U84" s="958" t="str">
        <f t="shared" si="38"/>
        <v>支付的其他与筹资活动有关的现金</v>
      </c>
      <c r="V84" s="958" t="str">
        <f t="shared" si="38"/>
        <v>支付的其他与筹资活动有关的现金</v>
      </c>
    </row>
    <row r="85" spans="2:23">
      <c r="B85" s="958" t="s">
        <v>2108</v>
      </c>
      <c r="D85" s="959">
        <v>46569</v>
      </c>
      <c r="E85" s="960" t="e">
        <f>INDEX('CF-ACPLHK'!$E$29:$Q$29,MATCH('cashflow汇总预算 2027'!$D85,'CF-ACPLHK'!$E$4:$Q$4,0))+INDEX('CF-ACPLHK'!$E$38:$Q$38,MATCH($D85,'CF-ACPLHK'!$E$4:$Q$4,0))</f>
        <v>#N/A</v>
      </c>
      <c r="F85" s="960" t="e">
        <f>INDEX('CF-ACPL'!$E$29:$Q$29,MATCH($D85,'CF-ACPL'!$E$4:$Q$4,0))+INDEX('CF-ACPL'!$E$38:$Q$38,MATCH($D85,'CF-ACPL'!$E$4:$Q$4))</f>
        <v>#N/A</v>
      </c>
      <c r="G85" s="960" t="e">
        <f>INDEX('CF-ACPLSZ'!$E$29:$Q$29,MATCH($D85,'CF-ACPLSZ'!$E$4:$Q$4,0))+INDEX('CF-ACPLSZ'!$E$38:$Q$38,MATCH($D85,'CF-ACPLSZ'!$E$4:$Q$4))</f>
        <v>#N/A</v>
      </c>
      <c r="H85" s="960" t="e">
        <f>INDEX('CF-ACPSZL'!$E$29:$Q$29,MATCH('cashflow汇总预算 2027'!$D85,'CF-ACPSZL'!$E$4:$Q$4,0))+INDEX('CF-ACPSZL'!$E$38:$Q$38,MATCH($D85,'CF-ACPSZL'!$E$4:$Q$4,0))</f>
        <v>#N/A</v>
      </c>
      <c r="I85" s="960" t="e">
        <f>INDEX('CF-ACPLGZ'!$E$29:$Q$29,MATCH('cashflow汇总预算 2027'!$D85,'CF-ACPLGZ'!$E$4:$Q$4,0))+INDEX('CF-ACPLGZ'!$E$38:$Q$38,MATCH($D85,'CF-ACPLGZ'!$E$4:$Q$4,0))</f>
        <v>#N/A</v>
      </c>
      <c r="J85" s="960" t="e">
        <f>INDEX('CF-ACPLYixing'!$E$29:$Q$29,MATCH($D85,'CF-ACPLYixing'!$E$4:$Q$4,0))+INDEX('CF-ACPLYixing'!$E$38:$Q$38,MATCH($D85,'CF-ACPLYixing'!$E$4:$Q$4,0))</f>
        <v>#N/A</v>
      </c>
      <c r="K85" s="961" t="e">
        <f t="shared" si="37"/>
        <v>#N/A</v>
      </c>
    </row>
    <row r="86" spans="2:23" s="956" customFormat="1" ht="12.75">
      <c r="B86" s="982" t="s">
        <v>2142</v>
      </c>
      <c r="C86" s="982"/>
      <c r="D86" s="983">
        <v>46569</v>
      </c>
      <c r="E86" s="997" t="e">
        <f t="shared" ref="E86:K86" ca="1" si="39">SUM(E79:E85)</f>
        <v>#N/A</v>
      </c>
      <c r="F86" s="997" t="e">
        <f t="shared" ca="1" si="39"/>
        <v>#N/A</v>
      </c>
      <c r="G86" s="997" t="e">
        <f t="shared" ca="1" si="39"/>
        <v>#N/A</v>
      </c>
      <c r="H86" s="997" t="e">
        <f t="shared" ca="1" si="39"/>
        <v>#N/A</v>
      </c>
      <c r="I86" s="997" t="e">
        <f t="shared" ca="1" si="39"/>
        <v>#N/A</v>
      </c>
      <c r="J86" s="997" t="e">
        <f t="shared" si="39"/>
        <v>#N/A</v>
      </c>
      <c r="K86" s="990" t="e">
        <f t="shared" ca="1" si="39"/>
        <v>#N/A</v>
      </c>
      <c r="L86" s="991"/>
      <c r="M86" s="990">
        <f t="shared" ref="M86:O86" si="40">SUM(M79:M85)</f>
        <v>0</v>
      </c>
      <c r="N86" s="990">
        <f t="shared" si="40"/>
        <v>159664.76269544614</v>
      </c>
      <c r="O86" s="990">
        <f t="shared" si="40"/>
        <v>161340.94921821076</v>
      </c>
    </row>
    <row r="87" spans="2:23">
      <c r="B87" s="958" t="s">
        <v>2105</v>
      </c>
      <c r="D87" s="959">
        <v>46600</v>
      </c>
      <c r="F87" s="960">
        <f>-INDEX(情形1!$26:$26,MATCH($D87,情形1!$3:$3))*10000</f>
        <v>0</v>
      </c>
      <c r="K87" s="961">
        <f t="shared" ref="K87:K90" si="41">SUM(E87:J87)</f>
        <v>0</v>
      </c>
      <c r="M87" s="961">
        <f>-F87/75%</f>
        <v>0</v>
      </c>
      <c r="R87" s="958" t="s">
        <v>2144</v>
      </c>
      <c r="W87" s="958" t="str">
        <f>R87</f>
        <v>投资支付的现金</v>
      </c>
    </row>
    <row r="88" spans="2:23">
      <c r="B88" s="958" t="s">
        <v>2106</v>
      </c>
      <c r="D88" s="959">
        <v>46600</v>
      </c>
      <c r="H88" s="960">
        <f>-INDEX(情形1!$30:$30,MATCH($D88,情形1!$3:$3))*10000</f>
        <v>0</v>
      </c>
      <c r="K88" s="961">
        <f t="shared" si="41"/>
        <v>0</v>
      </c>
      <c r="M88" s="961">
        <f>H88/900*4000</f>
        <v>0</v>
      </c>
      <c r="N88" s="961">
        <f>-H88-M88</f>
        <v>0</v>
      </c>
      <c r="T88" s="958" t="s">
        <v>2144</v>
      </c>
      <c r="W88" s="958" t="s">
        <v>2144</v>
      </c>
    </row>
    <row r="89" spans="2:23">
      <c r="B89" s="958" t="s">
        <v>2107</v>
      </c>
      <c r="D89" s="959">
        <v>46600</v>
      </c>
      <c r="G89" s="960">
        <f>-INDEX(情形1!$28:$28,MATCH($D89,情形1!$3:$3))*10000</f>
        <v>0</v>
      </c>
      <c r="K89" s="961">
        <f t="shared" si="41"/>
        <v>0</v>
      </c>
      <c r="N89" s="961">
        <f>G89/1250*3650</f>
        <v>0</v>
      </c>
      <c r="O89" s="961">
        <f>-G89-N89</f>
        <v>0</v>
      </c>
      <c r="Q89" s="958" t="s">
        <v>2144</v>
      </c>
      <c r="W89" s="958" t="s">
        <v>2144</v>
      </c>
    </row>
    <row r="90" spans="2:23">
      <c r="B90" s="958" t="s">
        <v>2154</v>
      </c>
      <c r="D90" s="959">
        <v>46600</v>
      </c>
      <c r="K90" s="961">
        <f t="shared" si="41"/>
        <v>0</v>
      </c>
      <c r="O90" s="960">
        <f>-INDEX(情形1!$32:$32,MATCH($D90,情形1!$3:$3))*10000</f>
        <v>0</v>
      </c>
    </row>
    <row r="91" spans="2:23">
      <c r="B91" s="958" t="s">
        <v>2137</v>
      </c>
      <c r="D91" s="959">
        <v>46600</v>
      </c>
      <c r="E91" s="960" t="e">
        <f>-F91</f>
        <v>#N/A</v>
      </c>
      <c r="F91" s="960" t="e">
        <f>-F92</f>
        <v>#N/A</v>
      </c>
      <c r="G91" s="960">
        <v>1500000</v>
      </c>
      <c r="H91" s="960">
        <f>-G91</f>
        <v>-1500000</v>
      </c>
      <c r="K91" s="961" t="e">
        <f t="shared" ref="K91:K92" si="42">SUM(E91:J91)</f>
        <v>#N/A</v>
      </c>
      <c r="Q91" s="958" t="e">
        <f t="shared" ref="Q91:V91" si="43">IF(E91&gt;0,"收到的其他与筹资活动有关的现金","支付的其他与筹资活动有关的现金")</f>
        <v>#N/A</v>
      </c>
      <c r="R91" s="958" t="e">
        <f t="shared" si="43"/>
        <v>#N/A</v>
      </c>
      <c r="S91" s="958" t="str">
        <f t="shared" si="43"/>
        <v>收到的其他与筹资活动有关的现金</v>
      </c>
      <c r="T91" s="958" t="str">
        <f t="shared" si="43"/>
        <v>支付的其他与筹资活动有关的现金</v>
      </c>
      <c r="U91" s="958" t="str">
        <f t="shared" si="43"/>
        <v>支付的其他与筹资活动有关的现金</v>
      </c>
      <c r="V91" s="958" t="str">
        <f t="shared" si="43"/>
        <v>支付的其他与筹资活动有关的现金</v>
      </c>
    </row>
    <row r="92" spans="2:23">
      <c r="B92" s="958" t="s">
        <v>2108</v>
      </c>
      <c r="D92" s="959">
        <v>46600</v>
      </c>
      <c r="E92" s="960" t="e">
        <f>INDEX('CF-ACPLHK'!$E$29:$Q$29,MATCH('cashflow汇总预算 2027'!$D92,'CF-ACPLHK'!$E$4:$Q$4,0))+INDEX('CF-ACPLHK'!$E$38:$Q$38,MATCH($D92,'CF-ACPLHK'!$E$4:$Q$4,0))</f>
        <v>#N/A</v>
      </c>
      <c r="F92" s="960" t="e">
        <f>INDEX('CF-ACPL'!$E$29:$Q$29,MATCH($D92,'CF-ACPL'!$E$4:$Q$4,0))+INDEX('CF-ACPL'!$E$38:$Q$38,MATCH($D92,'CF-ACPL'!$E$4:$Q$4))</f>
        <v>#N/A</v>
      </c>
      <c r="G92" s="960" t="e">
        <f>INDEX('CF-ACPLSZ'!$E$29:$Q$29,MATCH($D92,'CF-ACPLSZ'!$E$4:$Q$4,0))+INDEX('CF-ACPLSZ'!$E$38:$Q$38,MATCH($D92,'CF-ACPLSZ'!$E$4:$Q$4))</f>
        <v>#N/A</v>
      </c>
      <c r="H92" s="960" t="e">
        <f>INDEX('CF-ACPSZL'!$E$29:$Q$29,MATCH('cashflow汇总预算 2027'!$D92,'CF-ACPSZL'!$E$4:$Q$4,0))+INDEX('CF-ACPSZL'!$E$38:$Q$38,MATCH($D92,'CF-ACPSZL'!$E$4:$Q$4,0))</f>
        <v>#N/A</v>
      </c>
      <c r="I92" s="960" t="e">
        <f>INDEX('CF-ACPLGZ'!$E$29:$Q$29,MATCH('cashflow汇总预算 2027'!$D92,'CF-ACPLGZ'!$E$4:$Q$4,0))+INDEX('CF-ACPLGZ'!$E$38:$Q$38,MATCH($D92,'CF-ACPLGZ'!$E$4:$Q$4,0))</f>
        <v>#N/A</v>
      </c>
      <c r="J92" s="960" t="e">
        <f>INDEX('CF-ACPLYixing'!$E$29:$Q$29,MATCH($D92,'CF-ACPLYixing'!$E$4:$Q$4,0))+INDEX('CF-ACPLYixing'!$E$38:$Q$38,MATCH($D92,'CF-ACPLYixing'!$E$4:$Q$4,0))</f>
        <v>#N/A</v>
      </c>
      <c r="K92" s="961" t="e">
        <f t="shared" si="42"/>
        <v>#N/A</v>
      </c>
    </row>
    <row r="93" spans="2:23" s="956" customFormat="1" ht="12.75">
      <c r="B93" s="982" t="s">
        <v>2142</v>
      </c>
      <c r="C93" s="982"/>
      <c r="D93" s="983">
        <v>46600</v>
      </c>
      <c r="E93" s="997" t="e">
        <f t="shared" ref="E93:K93" ca="1" si="44">SUM(E86:E92)</f>
        <v>#N/A</v>
      </c>
      <c r="F93" s="997" t="e">
        <f t="shared" ca="1" si="44"/>
        <v>#N/A</v>
      </c>
      <c r="G93" s="997" t="e">
        <f t="shared" ca="1" si="44"/>
        <v>#N/A</v>
      </c>
      <c r="H93" s="997" t="e">
        <f t="shared" ca="1" si="44"/>
        <v>#N/A</v>
      </c>
      <c r="I93" s="997" t="e">
        <f t="shared" ca="1" si="44"/>
        <v>#N/A</v>
      </c>
      <c r="J93" s="997" t="e">
        <f t="shared" si="44"/>
        <v>#N/A</v>
      </c>
      <c r="K93" s="990" t="e">
        <f t="shared" ca="1" si="44"/>
        <v>#N/A</v>
      </c>
      <c r="L93" s="991"/>
      <c r="M93" s="990">
        <f t="shared" ref="M93:O93" si="45">SUM(M86:M92)</f>
        <v>0</v>
      </c>
      <c r="N93" s="990">
        <f t="shared" si="45"/>
        <v>159664.76269544614</v>
      </c>
      <c r="O93" s="990">
        <f t="shared" si="45"/>
        <v>161340.94921821076</v>
      </c>
    </row>
    <row r="94" spans="2:23">
      <c r="B94" s="958" t="s">
        <v>2105</v>
      </c>
      <c r="D94" s="959">
        <v>46631</v>
      </c>
      <c r="F94" s="960">
        <f>-INDEX(情形1!$26:$26,MATCH($D94,情形1!$3:$3))*10000</f>
        <v>-2255273.9726027404</v>
      </c>
      <c r="K94" s="961">
        <f t="shared" ref="K94:K97" si="46">SUM(E94:J94)</f>
        <v>-2255273.9726027404</v>
      </c>
      <c r="M94" s="961">
        <f>-F94/75%</f>
        <v>3007031.9634703207</v>
      </c>
      <c r="R94" s="958" t="s">
        <v>2144</v>
      </c>
      <c r="W94" s="958" t="str">
        <f>R94</f>
        <v>投资支付的现金</v>
      </c>
    </row>
    <row r="95" spans="2:23">
      <c r="B95" s="958" t="s">
        <v>2106</v>
      </c>
      <c r="D95" s="959">
        <v>46631</v>
      </c>
      <c r="H95" s="960">
        <f>-INDEX(情形1!$30:$30,MATCH($D95,情形1!$3:$3))*10000</f>
        <v>-676582.19178082165</v>
      </c>
      <c r="K95" s="961">
        <f t="shared" si="46"/>
        <v>-676582.19178082165</v>
      </c>
      <c r="M95" s="961">
        <f>H95/900*4000</f>
        <v>-3007031.9634703184</v>
      </c>
      <c r="N95" s="961">
        <f>-H95-M95</f>
        <v>3683614.1552511398</v>
      </c>
      <c r="T95" s="958" t="s">
        <v>2144</v>
      </c>
      <c r="W95" s="958" t="s">
        <v>2144</v>
      </c>
    </row>
    <row r="96" spans="2:23">
      <c r="B96" s="958" t="s">
        <v>2107</v>
      </c>
      <c r="D96" s="959">
        <v>46631</v>
      </c>
      <c r="G96" s="960">
        <f>-INDEX(情形1!$28:$28,MATCH($D96,情形1!$3:$3))*10000</f>
        <v>-1252929.9847792992</v>
      </c>
      <c r="K96" s="961">
        <f t="shared" si="46"/>
        <v>-1252929.9847792992</v>
      </c>
      <c r="N96" s="961">
        <f>G96/1250*3650</f>
        <v>-3658555.5555555541</v>
      </c>
      <c r="O96" s="961">
        <f>-G96-N96</f>
        <v>4911485.5403348533</v>
      </c>
      <c r="Q96" s="958" t="s">
        <v>2144</v>
      </c>
      <c r="W96" s="958" t="s">
        <v>2144</v>
      </c>
    </row>
    <row r="97" spans="2:23">
      <c r="B97" s="958" t="s">
        <v>2154</v>
      </c>
      <c r="D97" s="959">
        <v>46631</v>
      </c>
      <c r="K97" s="961">
        <f t="shared" si="46"/>
        <v>0</v>
      </c>
      <c r="O97" s="960">
        <f>-INDEX(情形1!$32:$32,MATCH($D97,情形1!$3:$3))*10000</f>
        <v>-5011719.9391171969</v>
      </c>
    </row>
    <row r="98" spans="2:23">
      <c r="B98" s="958" t="s">
        <v>2137</v>
      </c>
      <c r="D98" s="959">
        <v>46631</v>
      </c>
      <c r="E98" s="960" t="e">
        <f>-F98</f>
        <v>#N/A</v>
      </c>
      <c r="F98" s="960" t="e">
        <f>-F99</f>
        <v>#N/A</v>
      </c>
      <c r="G98" s="960">
        <v>1500000</v>
      </c>
      <c r="H98" s="960">
        <f>-G98</f>
        <v>-1500000</v>
      </c>
      <c r="K98" s="961" t="e">
        <f t="shared" ref="K98:K99" si="47">SUM(E98:J98)</f>
        <v>#N/A</v>
      </c>
      <c r="Q98" s="958" t="e">
        <f t="shared" ref="Q98:V98" si="48">IF(E98&gt;0,"收到的其他与筹资活动有关的现金","支付的其他与筹资活动有关的现金")</f>
        <v>#N/A</v>
      </c>
      <c r="R98" s="958" t="e">
        <f t="shared" si="48"/>
        <v>#N/A</v>
      </c>
      <c r="S98" s="958" t="str">
        <f t="shared" si="48"/>
        <v>收到的其他与筹资活动有关的现金</v>
      </c>
      <c r="T98" s="958" t="str">
        <f t="shared" si="48"/>
        <v>支付的其他与筹资活动有关的现金</v>
      </c>
      <c r="U98" s="958" t="str">
        <f t="shared" si="48"/>
        <v>支付的其他与筹资活动有关的现金</v>
      </c>
      <c r="V98" s="958" t="str">
        <f t="shared" si="48"/>
        <v>支付的其他与筹资活动有关的现金</v>
      </c>
    </row>
    <row r="99" spans="2:23">
      <c r="B99" s="958" t="s">
        <v>2108</v>
      </c>
      <c r="D99" s="959">
        <v>46631</v>
      </c>
      <c r="E99" s="960" t="e">
        <f>INDEX('CF-ACPLHK'!$E$29:$Q$29,MATCH('cashflow汇总预算 2027'!$D99,'CF-ACPLHK'!$E$4:$Q$4,0))+INDEX('CF-ACPLHK'!$E$38:$Q$38,MATCH($D99,'CF-ACPLHK'!$E$4:$Q$4,0))</f>
        <v>#N/A</v>
      </c>
      <c r="F99" s="960" t="e">
        <f>INDEX('CF-ACPL'!$E$29:$Q$29,MATCH($D99,'CF-ACPL'!$E$4:$Q$4,0))+INDEX('CF-ACPL'!$E$38:$Q$38,MATCH($D99,'CF-ACPL'!$E$4:$Q$4))</f>
        <v>#N/A</v>
      </c>
      <c r="G99" s="960" t="e">
        <f>INDEX('CF-ACPLSZ'!$E$29:$Q$29,MATCH($D99,'CF-ACPLSZ'!$E$4:$Q$4,0))+INDEX('CF-ACPLSZ'!$E$38:$Q$38,MATCH($D99,'CF-ACPLSZ'!$E$4:$Q$4))</f>
        <v>#N/A</v>
      </c>
      <c r="H99" s="960" t="e">
        <f>INDEX('CF-ACPSZL'!$E$29:$Q$29,MATCH('cashflow汇总预算 2027'!$D99,'CF-ACPSZL'!$E$4:$Q$4,0))+INDEX('CF-ACPSZL'!$E$38:$Q$38,MATCH($D99,'CF-ACPSZL'!$E$4:$Q$4,0))</f>
        <v>#N/A</v>
      </c>
      <c r="I99" s="960" t="e">
        <f>INDEX('CF-ACPLGZ'!$E$29:$Q$29,MATCH('cashflow汇总预算 2027'!$D99,'CF-ACPLGZ'!$E$4:$Q$4,0))+INDEX('CF-ACPLGZ'!$E$38:$Q$38,MATCH($D99,'CF-ACPLGZ'!$E$4:$Q$4,0))</f>
        <v>#N/A</v>
      </c>
      <c r="J99" s="960" t="e">
        <f>INDEX('CF-ACPLYixing'!$E$29:$Q$29,MATCH($D99,'CF-ACPLYixing'!$E$4:$Q$4,0))+INDEX('CF-ACPLYixing'!$E$38:$Q$38,MATCH($D99,'CF-ACPLYixing'!$E$4:$Q$4,0))</f>
        <v>#N/A</v>
      </c>
      <c r="K99" s="961" t="e">
        <f t="shared" si="47"/>
        <v>#N/A</v>
      </c>
    </row>
    <row r="100" spans="2:23" s="956" customFormat="1" ht="12.75">
      <c r="B100" s="982" t="s">
        <v>2142</v>
      </c>
      <c r="C100" s="982"/>
      <c r="D100" s="983">
        <v>46631</v>
      </c>
      <c r="E100" s="997" t="e">
        <f t="shared" ref="E100:K100" ca="1" si="49">SUM(E93:E99)</f>
        <v>#N/A</v>
      </c>
      <c r="F100" s="997" t="e">
        <f t="shared" ca="1" si="49"/>
        <v>#N/A</v>
      </c>
      <c r="G100" s="997" t="e">
        <f t="shared" ca="1" si="49"/>
        <v>#N/A</v>
      </c>
      <c r="H100" s="997" t="e">
        <f t="shared" ca="1" si="49"/>
        <v>#N/A</v>
      </c>
      <c r="I100" s="997" t="e">
        <f t="shared" ca="1" si="49"/>
        <v>#N/A</v>
      </c>
      <c r="J100" s="997" t="e">
        <f t="shared" si="49"/>
        <v>#N/A</v>
      </c>
      <c r="K100" s="990" t="e">
        <f t="shared" ca="1" si="49"/>
        <v>#N/A</v>
      </c>
      <c r="L100" s="991"/>
      <c r="M100" s="990">
        <f t="shared" ref="M100:O100" si="50">SUM(M93:M99)</f>
        <v>0</v>
      </c>
      <c r="N100" s="990">
        <f t="shared" si="50"/>
        <v>184723.36239103181</v>
      </c>
      <c r="O100" s="990">
        <f t="shared" si="50"/>
        <v>61106.550435867161</v>
      </c>
    </row>
    <row r="101" spans="2:23">
      <c r="B101" s="958" t="s">
        <v>2105</v>
      </c>
      <c r="D101" s="959">
        <v>46661</v>
      </c>
      <c r="F101" s="960">
        <f>-INDEX(情形1!$26:$26,MATCH($D101,情形1!$3:$3))*10000</f>
        <v>0</v>
      </c>
      <c r="K101" s="961">
        <f t="shared" ref="K101:K104" si="51">SUM(E101:J101)</f>
        <v>0</v>
      </c>
      <c r="M101" s="961">
        <f>-F101/75%</f>
        <v>0</v>
      </c>
      <c r="R101" s="958" t="s">
        <v>2144</v>
      </c>
      <c r="W101" s="958" t="str">
        <f>R101</f>
        <v>投资支付的现金</v>
      </c>
    </row>
    <row r="102" spans="2:23">
      <c r="B102" s="958" t="s">
        <v>2106</v>
      </c>
      <c r="D102" s="959">
        <v>46661</v>
      </c>
      <c r="H102" s="960">
        <f>-INDEX(情形1!$30:$30,MATCH($D102,情形1!$3:$3))*10000</f>
        <v>0</v>
      </c>
      <c r="K102" s="961">
        <f t="shared" si="51"/>
        <v>0</v>
      </c>
      <c r="M102" s="961">
        <f>H102/900*4000</f>
        <v>0</v>
      </c>
      <c r="N102" s="961">
        <f>-H102-M102</f>
        <v>0</v>
      </c>
      <c r="T102" s="958" t="s">
        <v>2144</v>
      </c>
      <c r="W102" s="958" t="s">
        <v>2144</v>
      </c>
    </row>
    <row r="103" spans="2:23">
      <c r="B103" s="958" t="s">
        <v>2107</v>
      </c>
      <c r="D103" s="959">
        <v>46661</v>
      </c>
      <c r="G103" s="960">
        <f>-INDEX(情形1!$28:$28,MATCH($D103,情形1!$3:$3))*10000</f>
        <v>0</v>
      </c>
      <c r="K103" s="961">
        <f t="shared" si="51"/>
        <v>0</v>
      </c>
      <c r="N103" s="961">
        <f>G103/1250*3650</f>
        <v>0</v>
      </c>
      <c r="O103" s="961">
        <f>-G103-N103</f>
        <v>0</v>
      </c>
      <c r="Q103" s="958" t="s">
        <v>2144</v>
      </c>
      <c r="W103" s="958" t="s">
        <v>2144</v>
      </c>
    </row>
    <row r="104" spans="2:23">
      <c r="B104" s="958" t="s">
        <v>2154</v>
      </c>
      <c r="D104" s="959">
        <v>46661</v>
      </c>
      <c r="K104" s="961">
        <f t="shared" si="51"/>
        <v>0</v>
      </c>
      <c r="O104" s="960">
        <f>-INDEX(情形1!$32:$32,MATCH($D104,情形1!$3:$3))*10000</f>
        <v>0</v>
      </c>
    </row>
    <row r="105" spans="2:23">
      <c r="B105" s="958" t="s">
        <v>2137</v>
      </c>
      <c r="D105" s="959">
        <v>46661</v>
      </c>
      <c r="E105" s="960" t="e">
        <f>-F105</f>
        <v>#N/A</v>
      </c>
      <c r="F105" s="960" t="e">
        <f>-F106</f>
        <v>#N/A</v>
      </c>
      <c r="G105" s="960">
        <v>1500000</v>
      </c>
      <c r="H105" s="960">
        <f>-G105</f>
        <v>-1500000</v>
      </c>
      <c r="K105" s="961" t="e">
        <f t="shared" ref="K105:K106" si="52">SUM(E105:J105)</f>
        <v>#N/A</v>
      </c>
      <c r="Q105" s="958" t="e">
        <f t="shared" ref="Q105:V105" si="53">IF(E105&gt;0,"收到的其他与筹资活动有关的现金","支付的其他与筹资活动有关的现金")</f>
        <v>#N/A</v>
      </c>
      <c r="R105" s="958" t="e">
        <f t="shared" si="53"/>
        <v>#N/A</v>
      </c>
      <c r="S105" s="958" t="str">
        <f t="shared" si="53"/>
        <v>收到的其他与筹资活动有关的现金</v>
      </c>
      <c r="T105" s="958" t="str">
        <f t="shared" si="53"/>
        <v>支付的其他与筹资活动有关的现金</v>
      </c>
      <c r="U105" s="958" t="str">
        <f t="shared" si="53"/>
        <v>支付的其他与筹资活动有关的现金</v>
      </c>
      <c r="V105" s="958" t="str">
        <f t="shared" si="53"/>
        <v>支付的其他与筹资活动有关的现金</v>
      </c>
    </row>
    <row r="106" spans="2:23">
      <c r="B106" s="958" t="s">
        <v>2108</v>
      </c>
      <c r="D106" s="959">
        <v>46661</v>
      </c>
      <c r="E106" s="960" t="e">
        <f>INDEX('CF-ACPLHK'!$E$29:$Q$29,MATCH('cashflow汇总预算 2027'!$D106,'CF-ACPLHK'!$E$4:$Q$4,0))+INDEX('CF-ACPLHK'!$E$38:$Q$38,MATCH($D106,'CF-ACPLHK'!$E$4:$Q$4,0))</f>
        <v>#N/A</v>
      </c>
      <c r="F106" s="960" t="e">
        <f>INDEX('CF-ACPL'!$E$29:$Q$29,MATCH($D106,'CF-ACPL'!$E$4:$Q$4,0))+INDEX('CF-ACPL'!$E$38:$Q$38,MATCH($D106,'CF-ACPL'!$E$4:$Q$4))</f>
        <v>#N/A</v>
      </c>
      <c r="G106" s="960" t="e">
        <f>INDEX('CF-ACPLSZ'!$E$29:$Q$29,MATCH($D106,'CF-ACPLSZ'!$E$4:$Q$4,0))+INDEX('CF-ACPLSZ'!$E$38:$Q$38,MATCH($D106,'CF-ACPLSZ'!$E$4:$Q$4))</f>
        <v>#N/A</v>
      </c>
      <c r="H106" s="960" t="e">
        <f>INDEX('CF-ACPSZL'!$E$29:$Q$29,MATCH('cashflow汇总预算 2027'!$D106,'CF-ACPSZL'!$E$4:$Q$4,0))+INDEX('CF-ACPSZL'!$E$38:$Q$38,MATCH($D106,'CF-ACPSZL'!$E$4:$Q$4,0))</f>
        <v>#N/A</v>
      </c>
      <c r="I106" s="960" t="e">
        <f>INDEX('CF-ACPLGZ'!$E$29:$Q$29,MATCH('cashflow汇总预算 2027'!$D106,'CF-ACPLGZ'!$E$4:$Q$4,0))+INDEX('CF-ACPLGZ'!$E$38:$Q$38,MATCH($D106,'CF-ACPLGZ'!$E$4:$Q$4,0))</f>
        <v>#N/A</v>
      </c>
      <c r="J106" s="960" t="e">
        <f>INDEX('CF-ACPLYixing'!$E$29:$Q$29,MATCH($D106,'CF-ACPLYixing'!$E$4:$Q$4,0))+INDEX('CF-ACPLYixing'!$E$38:$Q$38,MATCH($D106,'CF-ACPLYixing'!$E$4:$Q$4,0))</f>
        <v>#N/A</v>
      </c>
      <c r="K106" s="961" t="e">
        <f t="shared" si="52"/>
        <v>#N/A</v>
      </c>
    </row>
    <row r="107" spans="2:23" s="956" customFormat="1" ht="12.75">
      <c r="B107" s="982" t="s">
        <v>2142</v>
      </c>
      <c r="C107" s="982"/>
      <c r="D107" s="983">
        <v>46661</v>
      </c>
      <c r="E107" s="997" t="e">
        <f t="shared" ref="E107:K107" ca="1" si="54">SUM(E100:E106)</f>
        <v>#N/A</v>
      </c>
      <c r="F107" s="997" t="e">
        <f t="shared" ca="1" si="54"/>
        <v>#N/A</v>
      </c>
      <c r="G107" s="997" t="e">
        <f t="shared" ca="1" si="54"/>
        <v>#N/A</v>
      </c>
      <c r="H107" s="997" t="e">
        <f t="shared" ca="1" si="54"/>
        <v>#N/A</v>
      </c>
      <c r="I107" s="997" t="e">
        <f t="shared" ca="1" si="54"/>
        <v>#N/A</v>
      </c>
      <c r="J107" s="997" t="e">
        <f t="shared" si="54"/>
        <v>#N/A</v>
      </c>
      <c r="K107" s="990" t="e">
        <f t="shared" ca="1" si="54"/>
        <v>#N/A</v>
      </c>
      <c r="L107" s="991"/>
      <c r="M107" s="990">
        <f t="shared" ref="M107:O107" si="55">SUM(M100:M106)</f>
        <v>0</v>
      </c>
      <c r="N107" s="990">
        <f t="shared" si="55"/>
        <v>184723.36239103181</v>
      </c>
      <c r="O107" s="990">
        <f t="shared" si="55"/>
        <v>61106.550435867161</v>
      </c>
    </row>
    <row r="108" spans="2:23">
      <c r="B108" s="958" t="s">
        <v>2105</v>
      </c>
      <c r="D108" s="959">
        <v>46692</v>
      </c>
      <c r="F108" s="960">
        <f>-INDEX(情形1!$26:$26,MATCH($D108,情形1!$3:$3))*10000</f>
        <v>0</v>
      </c>
      <c r="K108" s="961">
        <f t="shared" ref="K108:K111" si="56">SUM(E108:J108)</f>
        <v>0</v>
      </c>
      <c r="M108" s="961">
        <f>-F108/75%</f>
        <v>0</v>
      </c>
      <c r="R108" s="958" t="s">
        <v>2144</v>
      </c>
      <c r="W108" s="958" t="str">
        <f>R108</f>
        <v>投资支付的现金</v>
      </c>
    </row>
    <row r="109" spans="2:23">
      <c r="B109" s="958" t="s">
        <v>2106</v>
      </c>
      <c r="D109" s="959">
        <v>46692</v>
      </c>
      <c r="H109" s="960">
        <f>-INDEX(情形1!$30:$30,MATCH($D109,情形1!$3:$3))*10000</f>
        <v>0</v>
      </c>
      <c r="K109" s="961">
        <f t="shared" si="56"/>
        <v>0</v>
      </c>
      <c r="M109" s="961">
        <f>H109/900*4000</f>
        <v>0</v>
      </c>
      <c r="N109" s="961">
        <f>-H109-M109</f>
        <v>0</v>
      </c>
      <c r="T109" s="958" t="s">
        <v>2144</v>
      </c>
      <c r="W109" s="958" t="s">
        <v>2144</v>
      </c>
    </row>
    <row r="110" spans="2:23">
      <c r="B110" s="958" t="s">
        <v>2107</v>
      </c>
      <c r="D110" s="959">
        <v>46692</v>
      </c>
      <c r="G110" s="960">
        <f>-INDEX(情形1!$28:$28,MATCH($D110,情形1!$3:$3))*10000</f>
        <v>0</v>
      </c>
      <c r="K110" s="961">
        <f t="shared" si="56"/>
        <v>0</v>
      </c>
      <c r="N110" s="961">
        <f>G110/1250*3650</f>
        <v>0</v>
      </c>
      <c r="O110" s="961">
        <f>-G110-N110</f>
        <v>0</v>
      </c>
      <c r="Q110" s="958" t="s">
        <v>2144</v>
      </c>
      <c r="W110" s="958" t="s">
        <v>2144</v>
      </c>
    </row>
    <row r="111" spans="2:23">
      <c r="B111" s="958" t="s">
        <v>2154</v>
      </c>
      <c r="D111" s="959">
        <v>46692</v>
      </c>
      <c r="K111" s="961">
        <f t="shared" si="56"/>
        <v>0</v>
      </c>
      <c r="O111" s="960">
        <f>-INDEX(情形1!$32:$32,MATCH($D111,情形1!$3:$3))*10000</f>
        <v>0</v>
      </c>
    </row>
    <row r="112" spans="2:23">
      <c r="B112" s="958" t="s">
        <v>2137</v>
      </c>
      <c r="D112" s="959">
        <v>46692</v>
      </c>
      <c r="E112" s="960" t="e">
        <f>-F112</f>
        <v>#N/A</v>
      </c>
      <c r="F112" s="960" t="e">
        <f>-F113</f>
        <v>#N/A</v>
      </c>
      <c r="G112" s="960">
        <v>1500000</v>
      </c>
      <c r="H112" s="960">
        <f>-G112</f>
        <v>-1500000</v>
      </c>
      <c r="K112" s="961" t="e">
        <f t="shared" ref="K112:K113" si="57">SUM(E112:J112)</f>
        <v>#N/A</v>
      </c>
      <c r="Q112" s="958" t="e">
        <f t="shared" ref="Q112:V112" si="58">IF(E112&gt;0,"收到的其他与筹资活动有关的现金","支付的其他与筹资活动有关的现金")</f>
        <v>#N/A</v>
      </c>
      <c r="R112" s="958" t="e">
        <f t="shared" si="58"/>
        <v>#N/A</v>
      </c>
      <c r="S112" s="958" t="str">
        <f t="shared" si="58"/>
        <v>收到的其他与筹资活动有关的现金</v>
      </c>
      <c r="T112" s="958" t="str">
        <f t="shared" si="58"/>
        <v>支付的其他与筹资活动有关的现金</v>
      </c>
      <c r="U112" s="958" t="str">
        <f t="shared" si="58"/>
        <v>支付的其他与筹资活动有关的现金</v>
      </c>
      <c r="V112" s="958" t="str">
        <f t="shared" si="58"/>
        <v>支付的其他与筹资活动有关的现金</v>
      </c>
    </row>
    <row r="113" spans="2:23">
      <c r="B113" s="958" t="s">
        <v>2108</v>
      </c>
      <c r="D113" s="959">
        <v>46692</v>
      </c>
      <c r="E113" s="960" t="e">
        <f>INDEX('CF-ACPLHK'!$E$29:$Q$29,MATCH('cashflow汇总预算 2027'!$D113,'CF-ACPLHK'!$E$4:$Q$4,0))+INDEX('CF-ACPLHK'!$E$38:$Q$38,MATCH($D113,'CF-ACPLHK'!$E$4:$Q$4,0))</f>
        <v>#N/A</v>
      </c>
      <c r="F113" s="960" t="e">
        <f>INDEX('CF-ACPL'!$E$29:$Q$29,MATCH($D113,'CF-ACPL'!$E$4:$Q$4,0))+INDEX('CF-ACPL'!$E$38:$Q$38,MATCH($D113,'CF-ACPL'!$E$4:$Q$4))</f>
        <v>#N/A</v>
      </c>
      <c r="G113" s="960" t="e">
        <f>INDEX('CF-ACPLSZ'!$E$29:$Q$29,MATCH($D113,'CF-ACPLSZ'!$E$4:$Q$4,0))+INDEX('CF-ACPLSZ'!$E$38:$Q$38,MATCH($D113,'CF-ACPLSZ'!$E$4:$Q$4))</f>
        <v>#N/A</v>
      </c>
      <c r="H113" s="960" t="e">
        <f>INDEX('CF-ACPSZL'!$E$29:$Q$29,MATCH('cashflow汇总预算 2027'!$D113,'CF-ACPSZL'!$E$4:$Q$4,0))+INDEX('CF-ACPSZL'!$E$38:$Q$38,MATCH($D113,'CF-ACPSZL'!$E$4:$Q$4,0))</f>
        <v>#N/A</v>
      </c>
      <c r="I113" s="960" t="e">
        <f>INDEX('CF-ACPLGZ'!$E$29:$Q$29,MATCH('cashflow汇总预算 2027'!$D113,'CF-ACPLGZ'!$E$4:$Q$4,0))+INDEX('CF-ACPLGZ'!$E$38:$Q$38,MATCH($D113,'CF-ACPLGZ'!$E$4:$Q$4,0))</f>
        <v>#N/A</v>
      </c>
      <c r="J113" s="960" t="e">
        <f>INDEX('CF-ACPLYixing'!$E$29:$Q$29,MATCH($D113,'CF-ACPLYixing'!$E$4:$Q$4,0))+INDEX('CF-ACPLYixing'!$E$38:$Q$38,MATCH($D113,'CF-ACPLYixing'!$E$4:$Q$4,0))</f>
        <v>#N/A</v>
      </c>
      <c r="K113" s="961" t="e">
        <f t="shared" si="57"/>
        <v>#N/A</v>
      </c>
    </row>
    <row r="114" spans="2:23" s="956" customFormat="1" ht="12.75">
      <c r="B114" s="982" t="s">
        <v>2142</v>
      </c>
      <c r="C114" s="982"/>
      <c r="D114" s="983">
        <v>46692</v>
      </c>
      <c r="E114" s="997" t="e">
        <f t="shared" ref="E114:K114" ca="1" si="59">SUM(E107:E113)</f>
        <v>#N/A</v>
      </c>
      <c r="F114" s="997" t="e">
        <f t="shared" ca="1" si="59"/>
        <v>#N/A</v>
      </c>
      <c r="G114" s="997" t="e">
        <f t="shared" ca="1" si="59"/>
        <v>#N/A</v>
      </c>
      <c r="H114" s="997" t="e">
        <f t="shared" ca="1" si="59"/>
        <v>#N/A</v>
      </c>
      <c r="I114" s="997" t="e">
        <f t="shared" ca="1" si="59"/>
        <v>#N/A</v>
      </c>
      <c r="J114" s="997" t="e">
        <f t="shared" si="59"/>
        <v>#N/A</v>
      </c>
      <c r="K114" s="990" t="e">
        <f t="shared" ca="1" si="59"/>
        <v>#N/A</v>
      </c>
      <c r="L114" s="991"/>
      <c r="M114" s="990">
        <f t="shared" ref="M114:O114" si="60">SUM(M107:M113)</f>
        <v>0</v>
      </c>
      <c r="N114" s="990">
        <f t="shared" si="60"/>
        <v>184723.36239103181</v>
      </c>
      <c r="O114" s="990">
        <f t="shared" si="60"/>
        <v>61106.550435867161</v>
      </c>
    </row>
    <row r="115" spans="2:23">
      <c r="B115" s="958" t="s">
        <v>2105</v>
      </c>
      <c r="D115" s="959">
        <v>46722</v>
      </c>
      <c r="F115" s="960">
        <f>-INDEX(情形1!$26:$26,MATCH($D115,情形1!$3:$3))*10000</f>
        <v>-2251307.5965130748</v>
      </c>
      <c r="K115" s="961">
        <f t="shared" ref="K115:K118" si="61">SUM(E115:J115)</f>
        <v>-2251307.5965130748</v>
      </c>
      <c r="M115" s="961">
        <f>-F115/75%</f>
        <v>3001743.4620174333</v>
      </c>
      <c r="R115" s="958" t="s">
        <v>2144</v>
      </c>
      <c r="W115" s="958" t="str">
        <f>R115</f>
        <v>投资支付的现金</v>
      </c>
    </row>
    <row r="116" spans="2:23">
      <c r="B116" s="958" t="s">
        <v>2106</v>
      </c>
      <c r="D116" s="959">
        <v>46722</v>
      </c>
      <c r="H116" s="960">
        <f>-INDEX(情形1!$30:$30,MATCH($D116,情形1!$3:$3))*10000</f>
        <v>-675392.27895392291</v>
      </c>
      <c r="K116" s="961">
        <f t="shared" si="61"/>
        <v>-675392.27895392291</v>
      </c>
      <c r="M116" s="961">
        <f>H116/900*4000</f>
        <v>-3001743.4620174356</v>
      </c>
      <c r="N116" s="961">
        <f>-H116-M116</f>
        <v>3677135.7409713585</v>
      </c>
      <c r="T116" s="958" t="s">
        <v>2144</v>
      </c>
      <c r="W116" s="958" t="s">
        <v>2144</v>
      </c>
    </row>
    <row r="117" spans="2:23">
      <c r="B117" s="958" t="s">
        <v>2107</v>
      </c>
      <c r="D117" s="959">
        <v>46722</v>
      </c>
      <c r="G117" s="960">
        <f>-INDEX(情形1!$28:$28,MATCH($D117,情形1!$3:$3))*10000</f>
        <v>-1250726.442507264</v>
      </c>
      <c r="K117" s="961">
        <f t="shared" si="61"/>
        <v>-1250726.442507264</v>
      </c>
      <c r="N117" s="961">
        <f>G117/1250*3650</f>
        <v>-3652121.212121211</v>
      </c>
      <c r="O117" s="961">
        <f>-G117-N117</f>
        <v>4902847.6546284752</v>
      </c>
      <c r="Q117" s="958" t="s">
        <v>2144</v>
      </c>
      <c r="W117" s="958" t="s">
        <v>2144</v>
      </c>
    </row>
    <row r="118" spans="2:23">
      <c r="B118" s="958" t="s">
        <v>2154</v>
      </c>
      <c r="D118" s="959">
        <v>46722</v>
      </c>
      <c r="K118" s="961">
        <f t="shared" si="61"/>
        <v>0</v>
      </c>
      <c r="O118" s="960">
        <f>-INDEX(情形1!$32:$32,MATCH($D118,情形1!$3:$3))*10000</f>
        <v>-5002905.7700290559</v>
      </c>
    </row>
    <row r="119" spans="2:23">
      <c r="B119" s="958" t="s">
        <v>2137</v>
      </c>
      <c r="D119" s="959">
        <v>46722</v>
      </c>
      <c r="E119" s="960" t="e">
        <f>-F119</f>
        <v>#N/A</v>
      </c>
      <c r="F119" s="960" t="e">
        <f>-F120</f>
        <v>#N/A</v>
      </c>
      <c r="G119" s="960">
        <v>1500000</v>
      </c>
      <c r="H119" s="960">
        <f>-G119</f>
        <v>-1500000</v>
      </c>
      <c r="K119" s="961" t="e">
        <f t="shared" ref="K119:K120" si="62">SUM(E119:J119)</f>
        <v>#N/A</v>
      </c>
      <c r="Q119" s="958" t="e">
        <f t="shared" ref="Q119:V119" si="63">IF(E119&gt;0,"收到的其他与筹资活动有关的现金","支付的其他与筹资活动有关的现金")</f>
        <v>#N/A</v>
      </c>
      <c r="R119" s="958" t="e">
        <f t="shared" si="63"/>
        <v>#N/A</v>
      </c>
      <c r="S119" s="958" t="str">
        <f t="shared" si="63"/>
        <v>收到的其他与筹资活动有关的现金</v>
      </c>
      <c r="T119" s="958" t="str">
        <f t="shared" si="63"/>
        <v>支付的其他与筹资活动有关的现金</v>
      </c>
      <c r="U119" s="958" t="str">
        <f t="shared" si="63"/>
        <v>支付的其他与筹资活动有关的现金</v>
      </c>
      <c r="V119" s="958" t="str">
        <f t="shared" si="63"/>
        <v>支付的其他与筹资活动有关的现金</v>
      </c>
    </row>
    <row r="120" spans="2:23">
      <c r="B120" s="958" t="s">
        <v>2108</v>
      </c>
      <c r="D120" s="959">
        <v>46722</v>
      </c>
      <c r="E120" s="960" t="e">
        <f>INDEX('CF-ACPLHK'!$E$29:$Q$29,MATCH('cashflow汇总预算 2027'!$D120,'CF-ACPLHK'!$E$4:$Q$4,0))+INDEX('CF-ACPLHK'!$E$38:$Q$38,MATCH($D120,'CF-ACPLHK'!$E$4:$Q$4,0))</f>
        <v>#N/A</v>
      </c>
      <c r="F120" s="960" t="e">
        <f>INDEX('CF-ACPL'!$E$29:$Q$29,MATCH($D120,'CF-ACPL'!$E$4:$Q$4,0))+INDEX('CF-ACPL'!$E$38:$Q$38,MATCH($D120,'CF-ACPL'!$E$4:$Q$4))</f>
        <v>#N/A</v>
      </c>
      <c r="G120" s="960" t="e">
        <f>INDEX('CF-ACPLSZ'!$E$29:$Q$29,MATCH($D120,'CF-ACPLSZ'!$E$4:$Q$4,0))+INDEX('CF-ACPLSZ'!$E$38:$Q$38,MATCH($D120,'CF-ACPLSZ'!$E$4:$Q$4))</f>
        <v>#N/A</v>
      </c>
      <c r="H120" s="960" t="e">
        <f>INDEX('CF-ACPSZL'!$E$29:$Q$29,MATCH('cashflow汇总预算 2027'!$D120,'CF-ACPSZL'!$E$4:$Q$4,0))+INDEX('CF-ACPSZL'!$E$38:$Q$38,MATCH($D120,'CF-ACPSZL'!$E$4:$Q$4,0))</f>
        <v>#N/A</v>
      </c>
      <c r="I120" s="960" t="e">
        <f>INDEX('CF-ACPLGZ'!$E$29:$Q$29,MATCH('cashflow汇总预算 2027'!$D120,'CF-ACPLGZ'!$E$4:$Q$4,0))+INDEX('CF-ACPLGZ'!$E$38:$Q$38,MATCH($D120,'CF-ACPLGZ'!$E$4:$Q$4,0))</f>
        <v>#N/A</v>
      </c>
      <c r="J120" s="960" t="e">
        <f>INDEX('CF-ACPLYixing'!$E$29:$Q$29,MATCH($D120,'CF-ACPLYixing'!$E$4:$Q$4,0))+INDEX('CF-ACPLYixing'!$E$38:$Q$38,MATCH($D120,'CF-ACPLYixing'!$E$4:$Q$4,0))</f>
        <v>#N/A</v>
      </c>
      <c r="K120" s="961" t="e">
        <f t="shared" si="62"/>
        <v>#N/A</v>
      </c>
    </row>
    <row r="121" spans="2:23" s="956" customFormat="1" ht="12.75">
      <c r="B121" s="982" t="s">
        <v>2142</v>
      </c>
      <c r="C121" s="982"/>
      <c r="D121" s="983">
        <v>46722</v>
      </c>
      <c r="E121" s="997" t="e">
        <f t="shared" ref="E121:K121" ca="1" si="64">SUM(E114:E120)</f>
        <v>#N/A</v>
      </c>
      <c r="F121" s="997" t="e">
        <f t="shared" ca="1" si="64"/>
        <v>#N/A</v>
      </c>
      <c r="G121" s="997" t="e">
        <f t="shared" ca="1" si="64"/>
        <v>#N/A</v>
      </c>
      <c r="H121" s="997" t="e">
        <f t="shared" ca="1" si="64"/>
        <v>#N/A</v>
      </c>
      <c r="I121" s="997" t="e">
        <f t="shared" ca="1" si="64"/>
        <v>#N/A</v>
      </c>
      <c r="J121" s="997" t="e">
        <f t="shared" si="64"/>
        <v>#N/A</v>
      </c>
      <c r="K121" s="990" t="e">
        <f t="shared" ca="1" si="64"/>
        <v>#N/A</v>
      </c>
      <c r="L121" s="991"/>
      <c r="M121" s="990">
        <f t="shared" ref="M121:O121" si="65">SUM(M114:M120)</f>
        <v>0</v>
      </c>
      <c r="N121" s="990">
        <f t="shared" si="65"/>
        <v>209737.89124117931</v>
      </c>
      <c r="O121" s="990">
        <f t="shared" si="65"/>
        <v>-38951.564964713529</v>
      </c>
    </row>
  </sheetData>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2:BU83"/>
  <sheetViews>
    <sheetView zoomScale="80" zoomScaleNormal="80" workbookViewId="0">
      <pane xSplit="3" ySplit="3" topLeftCell="L4" activePane="bottomRight" state="frozen"/>
      <selection pane="topRight" activeCell="D1" sqref="D1"/>
      <selection pane="bottomLeft" activeCell="A4" sqref="A4"/>
      <selection pane="bottomRight" activeCell="S11" sqref="S11"/>
    </sheetView>
  </sheetViews>
  <sheetFormatPr defaultColWidth="8.625" defaultRowHeight="12.75"/>
  <cols>
    <col min="1" max="1" width="1.125" style="17" customWidth="1"/>
    <col min="2" max="2" width="7.25" style="17" customWidth="1"/>
    <col min="3" max="3" width="38" style="17" customWidth="1"/>
    <col min="4" max="4" width="10.125" style="17" customWidth="1"/>
    <col min="5" max="5" width="9.125" style="17" customWidth="1"/>
    <col min="6" max="6" width="9.125" style="18" customWidth="1"/>
    <col min="7" max="19" width="13.5" style="18" customWidth="1"/>
    <col min="20" max="20" width="13.625" style="17" customWidth="1"/>
    <col min="21" max="30" width="8.625" style="17"/>
    <col min="31" max="31" width="9.625" style="17" customWidth="1"/>
    <col min="32" max="16384" width="8.625" style="17"/>
  </cols>
  <sheetData>
    <row r="2" spans="1:73">
      <c r="C2" s="865">
        <v>1</v>
      </c>
      <c r="D2" s="865">
        <v>2</v>
      </c>
      <c r="E2" s="865"/>
      <c r="F2" s="865">
        <v>3</v>
      </c>
      <c r="G2" s="865">
        <v>18</v>
      </c>
      <c r="H2" s="865">
        <v>19</v>
      </c>
      <c r="I2" s="865">
        <v>20</v>
      </c>
      <c r="J2" s="865">
        <v>21</v>
      </c>
      <c r="K2" s="865">
        <v>22</v>
      </c>
      <c r="L2" s="865">
        <v>23</v>
      </c>
      <c r="M2" s="865">
        <v>24</v>
      </c>
      <c r="N2" s="865">
        <v>25</v>
      </c>
      <c r="O2" s="865">
        <v>26</v>
      </c>
      <c r="P2" s="865">
        <v>27</v>
      </c>
      <c r="Q2" s="865">
        <v>28</v>
      </c>
      <c r="R2" s="865">
        <v>29</v>
      </c>
      <c r="S2" s="865">
        <v>30</v>
      </c>
      <c r="T2" s="865">
        <v>31</v>
      </c>
      <c r="U2" s="865">
        <v>32</v>
      </c>
      <c r="V2" s="865">
        <v>33</v>
      </c>
      <c r="W2" s="865">
        <v>34</v>
      </c>
      <c r="X2" s="865">
        <v>35</v>
      </c>
      <c r="Y2" s="865">
        <v>36</v>
      </c>
      <c r="Z2" s="865">
        <v>37</v>
      </c>
      <c r="AA2" s="865">
        <v>38</v>
      </c>
      <c r="AB2" s="865">
        <v>39</v>
      </c>
      <c r="AC2" s="865">
        <v>40</v>
      </c>
      <c r="AD2" s="865">
        <v>41</v>
      </c>
      <c r="AE2" s="865">
        <v>42</v>
      </c>
      <c r="AF2" s="865">
        <v>43</v>
      </c>
      <c r="AG2" s="865">
        <v>44</v>
      </c>
      <c r="AH2" s="865">
        <v>45</v>
      </c>
      <c r="AI2" s="865">
        <v>46</v>
      </c>
      <c r="AJ2" s="865">
        <v>47</v>
      </c>
      <c r="AK2" s="865">
        <v>48</v>
      </c>
    </row>
    <row r="3" spans="1:73" s="14" customFormat="1">
      <c r="A3" s="866">
        <v>1</v>
      </c>
      <c r="B3" s="67"/>
      <c r="C3" s="67"/>
      <c r="D3" s="67"/>
      <c r="E3" s="67"/>
      <c r="F3" s="68"/>
      <c r="G3" s="71">
        <v>45992</v>
      </c>
      <c r="H3" s="71">
        <v>46023</v>
      </c>
      <c r="I3" s="71">
        <v>46054</v>
      </c>
      <c r="J3" s="71">
        <v>46082</v>
      </c>
      <c r="K3" s="71">
        <v>46113</v>
      </c>
      <c r="L3" s="71">
        <v>46143</v>
      </c>
      <c r="M3" s="71">
        <v>46174</v>
      </c>
      <c r="N3" s="71">
        <v>46204</v>
      </c>
      <c r="O3" s="71">
        <v>46235</v>
      </c>
      <c r="P3" s="71">
        <v>46266</v>
      </c>
      <c r="Q3" s="71">
        <v>46296</v>
      </c>
      <c r="R3" s="71">
        <v>46327</v>
      </c>
      <c r="S3" s="71">
        <v>46357</v>
      </c>
      <c r="T3" s="71">
        <v>46388</v>
      </c>
      <c r="U3" s="71">
        <v>46419</v>
      </c>
      <c r="V3" s="71">
        <v>46447</v>
      </c>
      <c r="W3" s="71">
        <v>46478</v>
      </c>
      <c r="X3" s="71">
        <v>46508</v>
      </c>
      <c r="Y3" s="71">
        <v>46539</v>
      </c>
      <c r="Z3" s="71">
        <v>46569</v>
      </c>
      <c r="AA3" s="71">
        <v>46600</v>
      </c>
      <c r="AB3" s="71">
        <v>46631</v>
      </c>
      <c r="AC3" s="71">
        <v>46661</v>
      </c>
      <c r="AD3" s="71">
        <v>46692</v>
      </c>
      <c r="AE3" s="71">
        <v>46722</v>
      </c>
      <c r="AF3" s="71">
        <v>46753</v>
      </c>
      <c r="AG3" s="71">
        <v>46784</v>
      </c>
      <c r="AH3" s="71">
        <v>46813</v>
      </c>
      <c r="AI3" s="71">
        <v>46844</v>
      </c>
      <c r="AJ3" s="71">
        <v>46874</v>
      </c>
      <c r="AK3" s="71">
        <v>46905</v>
      </c>
      <c r="AL3" s="71">
        <v>46935</v>
      </c>
      <c r="AM3" s="71">
        <v>46966</v>
      </c>
      <c r="AN3" s="71">
        <v>46997</v>
      </c>
      <c r="AO3" s="71">
        <v>47027</v>
      </c>
      <c r="AP3" s="71">
        <v>47058</v>
      </c>
      <c r="AQ3" s="71">
        <v>47088</v>
      </c>
      <c r="AR3" s="71">
        <v>47119</v>
      </c>
      <c r="AS3" s="71">
        <v>47150</v>
      </c>
      <c r="AT3" s="71">
        <v>47178</v>
      </c>
      <c r="AU3" s="71">
        <v>47209</v>
      </c>
      <c r="AV3" s="71">
        <v>47239</v>
      </c>
      <c r="AW3" s="71">
        <v>47270</v>
      </c>
      <c r="AX3" s="71">
        <v>47300</v>
      </c>
      <c r="AY3" s="71">
        <v>47331</v>
      </c>
      <c r="AZ3" s="71">
        <v>47362</v>
      </c>
      <c r="BA3" s="71">
        <v>47392</v>
      </c>
      <c r="BB3" s="71">
        <v>47423</v>
      </c>
      <c r="BC3" s="71">
        <v>47453</v>
      </c>
      <c r="BD3" s="71">
        <v>47484</v>
      </c>
      <c r="BE3" s="71">
        <v>47515</v>
      </c>
      <c r="BF3" s="71">
        <v>47543</v>
      </c>
      <c r="BG3" s="71">
        <v>47574</v>
      </c>
      <c r="BH3" s="71">
        <v>47604</v>
      </c>
      <c r="BI3" s="71">
        <v>47635</v>
      </c>
      <c r="BJ3" s="71">
        <v>47665</v>
      </c>
      <c r="BK3" s="71">
        <v>47696</v>
      </c>
      <c r="BL3" s="71">
        <v>47727</v>
      </c>
      <c r="BM3" s="71">
        <v>47757</v>
      </c>
      <c r="BN3" s="71">
        <v>47788</v>
      </c>
      <c r="BO3" s="71">
        <v>47818</v>
      </c>
    </row>
    <row r="4" spans="1:73" s="18" customFormat="1">
      <c r="B4" s="77"/>
      <c r="C4" s="77" t="s">
        <v>2217</v>
      </c>
      <c r="D4" s="77"/>
      <c r="E4" s="77"/>
      <c r="F4" s="173"/>
      <c r="G4" s="173"/>
      <c r="H4" s="173">
        <v>1</v>
      </c>
      <c r="I4" s="173">
        <v>0</v>
      </c>
      <c r="J4" s="173">
        <v>0</v>
      </c>
      <c r="K4" s="173">
        <v>1</v>
      </c>
      <c r="L4" s="173">
        <v>0</v>
      </c>
      <c r="M4" s="173">
        <v>0</v>
      </c>
      <c r="N4" s="173">
        <v>1</v>
      </c>
      <c r="O4" s="173">
        <v>0</v>
      </c>
      <c r="P4" s="173">
        <v>0</v>
      </c>
      <c r="Q4" s="173">
        <v>1</v>
      </c>
      <c r="R4" s="173">
        <v>0</v>
      </c>
      <c r="S4" s="173">
        <v>0</v>
      </c>
      <c r="T4" s="173">
        <v>1</v>
      </c>
      <c r="U4" s="173">
        <v>0</v>
      </c>
      <c r="V4" s="173">
        <v>0</v>
      </c>
      <c r="W4" s="173">
        <v>1</v>
      </c>
      <c r="X4" s="173">
        <v>0</v>
      </c>
      <c r="Y4" s="173">
        <v>0</v>
      </c>
      <c r="Z4" s="173">
        <v>1</v>
      </c>
      <c r="AA4" s="173">
        <v>0</v>
      </c>
      <c r="AB4" s="173">
        <v>0</v>
      </c>
      <c r="AC4" s="173">
        <v>1</v>
      </c>
      <c r="AD4" s="173">
        <v>0</v>
      </c>
      <c r="AE4" s="173">
        <v>0</v>
      </c>
      <c r="AF4" s="173">
        <v>1</v>
      </c>
      <c r="AG4" s="173">
        <v>0</v>
      </c>
      <c r="AH4" s="173">
        <v>0</v>
      </c>
      <c r="AI4" s="173">
        <v>1</v>
      </c>
      <c r="AJ4" s="173">
        <v>0</v>
      </c>
      <c r="AK4" s="173">
        <v>0</v>
      </c>
      <c r="AL4" s="173">
        <v>1</v>
      </c>
      <c r="AM4" s="173">
        <v>0</v>
      </c>
      <c r="AN4" s="173">
        <v>0</v>
      </c>
      <c r="AO4" s="173">
        <v>1</v>
      </c>
      <c r="AP4" s="173">
        <v>0</v>
      </c>
      <c r="AQ4" s="173">
        <v>0</v>
      </c>
      <c r="AR4" s="173">
        <v>1</v>
      </c>
      <c r="AS4" s="173">
        <v>0</v>
      </c>
      <c r="AT4" s="173">
        <v>0</v>
      </c>
      <c r="AU4" s="173">
        <v>1</v>
      </c>
      <c r="AV4" s="173">
        <v>0</v>
      </c>
      <c r="AW4" s="173">
        <v>0</v>
      </c>
      <c r="AX4" s="173">
        <v>1</v>
      </c>
      <c r="AY4" s="173">
        <v>0</v>
      </c>
      <c r="AZ4" s="173">
        <v>0</v>
      </c>
      <c r="BA4" s="173">
        <v>1</v>
      </c>
      <c r="BB4" s="173">
        <v>0</v>
      </c>
      <c r="BC4" s="173">
        <v>0</v>
      </c>
      <c r="BD4" s="173">
        <v>1</v>
      </c>
      <c r="BE4" s="173">
        <v>0</v>
      </c>
      <c r="BF4" s="173">
        <v>0</v>
      </c>
      <c r="BG4" s="173">
        <v>1</v>
      </c>
      <c r="BH4" s="173">
        <v>0</v>
      </c>
      <c r="BI4" s="173">
        <v>0</v>
      </c>
      <c r="BJ4" s="173">
        <v>1</v>
      </c>
      <c r="BK4" s="173">
        <v>0</v>
      </c>
      <c r="BL4" s="173">
        <v>0</v>
      </c>
      <c r="BM4" s="173">
        <v>1</v>
      </c>
      <c r="BN4" s="173">
        <v>0</v>
      </c>
      <c r="BO4" s="173">
        <v>0</v>
      </c>
      <c r="BP4" s="173">
        <v>1</v>
      </c>
      <c r="BQ4" s="173">
        <v>0</v>
      </c>
      <c r="BR4" s="173">
        <v>0</v>
      </c>
      <c r="BS4" s="173">
        <v>1</v>
      </c>
      <c r="BT4" s="173">
        <v>0</v>
      </c>
      <c r="BU4" s="173">
        <v>0</v>
      </c>
    </row>
    <row r="5" spans="1:73" s="18" customFormat="1">
      <c r="A5" s="18">
        <v>2</v>
      </c>
      <c r="B5" s="77"/>
      <c r="C5" s="77" t="s">
        <v>2218</v>
      </c>
      <c r="D5" s="77"/>
      <c r="E5" s="77"/>
      <c r="F5" s="77"/>
      <c r="G5" s="77"/>
      <c r="H5" s="77">
        <v>0</v>
      </c>
      <c r="I5" s="77">
        <v>1</v>
      </c>
      <c r="J5" s="77">
        <v>1</v>
      </c>
      <c r="K5" s="77">
        <v>0</v>
      </c>
      <c r="L5" s="77">
        <v>1</v>
      </c>
      <c r="M5" s="77">
        <v>1</v>
      </c>
      <c r="N5" s="77">
        <v>0</v>
      </c>
      <c r="O5" s="77">
        <v>1</v>
      </c>
      <c r="P5" s="77">
        <v>1</v>
      </c>
      <c r="Q5" s="77">
        <v>0</v>
      </c>
      <c r="R5" s="77">
        <v>1</v>
      </c>
      <c r="S5" s="77">
        <v>1</v>
      </c>
      <c r="T5" s="77">
        <v>0</v>
      </c>
      <c r="U5" s="77">
        <v>1</v>
      </c>
      <c r="V5" s="77">
        <v>1</v>
      </c>
      <c r="W5" s="77">
        <v>0</v>
      </c>
      <c r="X5" s="77">
        <v>1</v>
      </c>
      <c r="Y5" s="77">
        <v>1</v>
      </c>
      <c r="Z5" s="77">
        <v>0</v>
      </c>
      <c r="AA5" s="77">
        <v>1</v>
      </c>
      <c r="AB5" s="77">
        <v>1</v>
      </c>
      <c r="AC5" s="77">
        <v>0</v>
      </c>
      <c r="AD5" s="77">
        <v>1</v>
      </c>
      <c r="AE5" s="77">
        <v>1</v>
      </c>
      <c r="AF5" s="77">
        <v>0</v>
      </c>
      <c r="AG5" s="77">
        <v>1</v>
      </c>
      <c r="AH5" s="77">
        <v>1</v>
      </c>
      <c r="AI5" s="77">
        <v>0</v>
      </c>
      <c r="AJ5" s="77">
        <v>1</v>
      </c>
      <c r="AK5" s="77">
        <v>1</v>
      </c>
      <c r="AL5" s="77">
        <v>0</v>
      </c>
      <c r="AM5" s="77">
        <v>1</v>
      </c>
      <c r="AN5" s="77">
        <v>1</v>
      </c>
      <c r="AO5" s="77">
        <v>0</v>
      </c>
      <c r="AP5" s="77">
        <v>1</v>
      </c>
      <c r="AQ5" s="77">
        <v>1</v>
      </c>
      <c r="AR5" s="77">
        <v>0</v>
      </c>
      <c r="AS5" s="77">
        <v>1</v>
      </c>
      <c r="AT5" s="77">
        <v>1</v>
      </c>
      <c r="AU5" s="77">
        <v>0</v>
      </c>
      <c r="AV5" s="77">
        <v>1</v>
      </c>
      <c r="AW5" s="77">
        <v>1</v>
      </c>
      <c r="AX5" s="77">
        <v>0</v>
      </c>
      <c r="AY5" s="77">
        <v>1</v>
      </c>
      <c r="AZ5" s="77">
        <v>1</v>
      </c>
      <c r="BA5" s="77">
        <v>0</v>
      </c>
      <c r="BB5" s="77">
        <v>1</v>
      </c>
      <c r="BC5" s="77">
        <v>1</v>
      </c>
      <c r="BD5" s="77">
        <v>0</v>
      </c>
      <c r="BE5" s="77">
        <v>1</v>
      </c>
      <c r="BF5" s="77">
        <v>1</v>
      </c>
      <c r="BG5" s="77">
        <v>0</v>
      </c>
      <c r="BH5" s="77">
        <v>1</v>
      </c>
      <c r="BI5" s="77">
        <v>1</v>
      </c>
      <c r="BJ5" s="77">
        <v>0</v>
      </c>
      <c r="BK5" s="77">
        <v>1</v>
      </c>
      <c r="BL5" s="77">
        <v>1</v>
      </c>
      <c r="BM5" s="77">
        <v>0</v>
      </c>
      <c r="BN5" s="77">
        <v>1</v>
      </c>
      <c r="BO5" s="77">
        <v>1</v>
      </c>
      <c r="BP5" s="77">
        <v>0</v>
      </c>
      <c r="BQ5" s="77">
        <v>1</v>
      </c>
      <c r="BR5" s="77">
        <v>1</v>
      </c>
      <c r="BS5" s="77">
        <v>0</v>
      </c>
      <c r="BT5" s="77">
        <v>1</v>
      </c>
      <c r="BU5" s="77">
        <v>1</v>
      </c>
    </row>
    <row r="6" spans="1:73">
      <c r="A6" s="866"/>
      <c r="B6" s="76"/>
      <c r="C6" s="867" t="s">
        <v>2219</v>
      </c>
      <c r="D6" s="76"/>
      <c r="E6" s="76"/>
      <c r="F6" s="77"/>
      <c r="G6" s="77"/>
      <c r="H6" s="77">
        <f t="shared" ref="H6:AJ6" si="0">DAY(EOMONTH(H3,0))</f>
        <v>31</v>
      </c>
      <c r="I6" s="77">
        <f t="shared" si="0"/>
        <v>28</v>
      </c>
      <c r="J6" s="77">
        <f t="shared" si="0"/>
        <v>31</v>
      </c>
      <c r="K6" s="77">
        <f t="shared" si="0"/>
        <v>30</v>
      </c>
      <c r="L6" s="77">
        <f t="shared" si="0"/>
        <v>31</v>
      </c>
      <c r="M6" s="77">
        <f t="shared" si="0"/>
        <v>30</v>
      </c>
      <c r="N6" s="77">
        <f t="shared" si="0"/>
        <v>31</v>
      </c>
      <c r="O6" s="77">
        <f t="shared" si="0"/>
        <v>31</v>
      </c>
      <c r="P6" s="77">
        <f t="shared" si="0"/>
        <v>30</v>
      </c>
      <c r="Q6" s="77">
        <f t="shared" si="0"/>
        <v>31</v>
      </c>
      <c r="R6" s="77">
        <f t="shared" si="0"/>
        <v>30</v>
      </c>
      <c r="S6" s="77">
        <f t="shared" si="0"/>
        <v>31</v>
      </c>
      <c r="T6" s="77">
        <f t="shared" si="0"/>
        <v>31</v>
      </c>
      <c r="U6" s="77">
        <f t="shared" si="0"/>
        <v>28</v>
      </c>
      <c r="V6" s="77">
        <f t="shared" si="0"/>
        <v>31</v>
      </c>
      <c r="W6" s="77">
        <f t="shared" si="0"/>
        <v>30</v>
      </c>
      <c r="X6" s="77">
        <f t="shared" si="0"/>
        <v>31</v>
      </c>
      <c r="Y6" s="77">
        <f t="shared" si="0"/>
        <v>30</v>
      </c>
      <c r="Z6" s="77">
        <f t="shared" si="0"/>
        <v>31</v>
      </c>
      <c r="AA6" s="77">
        <f t="shared" si="0"/>
        <v>31</v>
      </c>
      <c r="AB6" s="77">
        <f t="shared" si="0"/>
        <v>30</v>
      </c>
      <c r="AC6" s="77">
        <f t="shared" si="0"/>
        <v>31</v>
      </c>
      <c r="AD6" s="77">
        <f t="shared" si="0"/>
        <v>30</v>
      </c>
      <c r="AE6" s="77">
        <f t="shared" si="0"/>
        <v>31</v>
      </c>
      <c r="AF6" s="77">
        <f t="shared" si="0"/>
        <v>31</v>
      </c>
      <c r="AG6" s="77">
        <f t="shared" si="0"/>
        <v>29</v>
      </c>
      <c r="AH6" s="77">
        <f t="shared" si="0"/>
        <v>31</v>
      </c>
      <c r="AI6" s="77">
        <f t="shared" si="0"/>
        <v>30</v>
      </c>
      <c r="AJ6" s="77">
        <f t="shared" si="0"/>
        <v>31</v>
      </c>
      <c r="AK6" s="77">
        <f>DAY(EOMONTH(AP3,0))</f>
        <v>30</v>
      </c>
      <c r="AL6" s="77">
        <f t="shared" ref="AL6:AV6" si="1">DAY(EOMONTH(AL3,0))</f>
        <v>31</v>
      </c>
      <c r="AM6" s="77">
        <f t="shared" si="1"/>
        <v>31</v>
      </c>
      <c r="AN6" s="77">
        <f t="shared" si="1"/>
        <v>30</v>
      </c>
      <c r="AO6" s="77">
        <f t="shared" si="1"/>
        <v>31</v>
      </c>
      <c r="AP6" s="77">
        <f t="shared" si="1"/>
        <v>30</v>
      </c>
      <c r="AQ6" s="77">
        <f t="shared" si="1"/>
        <v>31</v>
      </c>
      <c r="AR6" s="77">
        <f t="shared" si="1"/>
        <v>31</v>
      </c>
      <c r="AS6" s="77">
        <f t="shared" si="1"/>
        <v>28</v>
      </c>
      <c r="AT6" s="77">
        <f t="shared" si="1"/>
        <v>31</v>
      </c>
      <c r="AU6" s="77">
        <f t="shared" si="1"/>
        <v>30</v>
      </c>
      <c r="AV6" s="77">
        <f t="shared" si="1"/>
        <v>31</v>
      </c>
      <c r="AW6" s="77">
        <f>DAY(EOMONTH(BB3,0))</f>
        <v>30</v>
      </c>
      <c r="AX6" s="77">
        <f t="shared" ref="AX6:BH6" si="2">DAY(EOMONTH(AX3,0))</f>
        <v>31</v>
      </c>
      <c r="AY6" s="77">
        <f t="shared" si="2"/>
        <v>31</v>
      </c>
      <c r="AZ6" s="77">
        <f t="shared" si="2"/>
        <v>30</v>
      </c>
      <c r="BA6" s="77">
        <f t="shared" si="2"/>
        <v>31</v>
      </c>
      <c r="BB6" s="77">
        <f t="shared" si="2"/>
        <v>30</v>
      </c>
      <c r="BC6" s="77">
        <f t="shared" si="2"/>
        <v>31</v>
      </c>
      <c r="BD6" s="77">
        <f t="shared" si="2"/>
        <v>31</v>
      </c>
      <c r="BE6" s="77">
        <f t="shared" si="2"/>
        <v>28</v>
      </c>
      <c r="BF6" s="77">
        <f t="shared" si="2"/>
        <v>31</v>
      </c>
      <c r="BG6" s="77">
        <f t="shared" si="2"/>
        <v>30</v>
      </c>
      <c r="BH6" s="77">
        <f t="shared" si="2"/>
        <v>31</v>
      </c>
      <c r="BI6" s="77">
        <f>DAY(EOMONTH(BN3,0))</f>
        <v>30</v>
      </c>
      <c r="BJ6" s="77">
        <f t="shared" ref="BJ6:BT6" si="3">DAY(EOMONTH(BJ3,0))</f>
        <v>31</v>
      </c>
      <c r="BK6" s="77">
        <f t="shared" si="3"/>
        <v>31</v>
      </c>
      <c r="BL6" s="77">
        <f t="shared" si="3"/>
        <v>30</v>
      </c>
      <c r="BM6" s="77">
        <f t="shared" si="3"/>
        <v>31</v>
      </c>
      <c r="BN6" s="77">
        <f t="shared" si="3"/>
        <v>30</v>
      </c>
      <c r="BO6" s="77">
        <f t="shared" si="3"/>
        <v>31</v>
      </c>
      <c r="BP6" s="77">
        <f t="shared" si="3"/>
        <v>31</v>
      </c>
      <c r="BQ6" s="77">
        <f t="shared" si="3"/>
        <v>31</v>
      </c>
      <c r="BR6" s="77">
        <f t="shared" si="3"/>
        <v>31</v>
      </c>
      <c r="BS6" s="77">
        <f t="shared" si="3"/>
        <v>31</v>
      </c>
      <c r="BT6" s="77">
        <f t="shared" si="3"/>
        <v>31</v>
      </c>
      <c r="BU6" s="77">
        <f>DAY(EOMONTH(BZ3,0))</f>
        <v>31</v>
      </c>
    </row>
    <row r="7" spans="1:73">
      <c r="A7" s="866"/>
      <c r="B7" s="76"/>
      <c r="C7" s="867" t="s">
        <v>2220</v>
      </c>
      <c r="D7" s="76"/>
      <c r="E7" s="76"/>
      <c r="F7" s="77"/>
      <c r="G7" s="77"/>
      <c r="H7" s="77">
        <v>55</v>
      </c>
      <c r="I7" s="77">
        <v>0</v>
      </c>
      <c r="J7" s="77">
        <f>汇总!D39</f>
        <v>0</v>
      </c>
      <c r="K7" s="77">
        <v>0</v>
      </c>
      <c r="L7" s="77">
        <v>0</v>
      </c>
      <c r="M7" s="77">
        <f>汇总!D40</f>
        <v>100</v>
      </c>
      <c r="N7" s="77"/>
      <c r="O7" s="77"/>
      <c r="P7" s="77">
        <f>汇总!D41</f>
        <v>0</v>
      </c>
      <c r="Q7" s="77"/>
      <c r="R7" s="77"/>
      <c r="S7" s="77">
        <f>汇总!D42</f>
        <v>400</v>
      </c>
      <c r="T7" s="77"/>
      <c r="U7" s="77"/>
      <c r="V7" s="77">
        <f>汇总!D47</f>
        <v>0</v>
      </c>
      <c r="W7" s="77"/>
      <c r="X7" s="77"/>
      <c r="Y7" s="77">
        <f>汇总!D48</f>
        <v>100</v>
      </c>
      <c r="Z7" s="77"/>
      <c r="AA7" s="77"/>
      <c r="AB7" s="77">
        <f>汇总!D49</f>
        <v>100</v>
      </c>
      <c r="AC7" s="77"/>
      <c r="AD7" s="77"/>
      <c r="AE7" s="77">
        <f>汇总!D50</f>
        <v>100</v>
      </c>
      <c r="AF7" s="77"/>
      <c r="AG7" s="77"/>
      <c r="AH7" s="77">
        <f>汇总!D55</f>
        <v>0</v>
      </c>
      <c r="AI7" s="77"/>
      <c r="AJ7" s="77"/>
      <c r="AK7" s="77">
        <f>汇总!D56</f>
        <v>100</v>
      </c>
      <c r="AL7" s="76"/>
      <c r="AM7" s="76"/>
      <c r="AN7" s="1168">
        <f>汇总!D57</f>
        <v>0</v>
      </c>
      <c r="AO7" s="76"/>
      <c r="AP7" s="76"/>
      <c r="AQ7" s="1168">
        <f>汇总!D58</f>
        <v>0</v>
      </c>
      <c r="AR7" s="76"/>
      <c r="AS7" s="76"/>
      <c r="AT7" s="76"/>
      <c r="AU7" s="76"/>
      <c r="AV7" s="76"/>
      <c r="AW7" s="76"/>
      <c r="AX7" s="76"/>
      <c r="AY7" s="76"/>
      <c r="AZ7" s="76"/>
      <c r="BA7" s="76"/>
      <c r="BB7" s="76"/>
      <c r="BC7" s="76"/>
      <c r="BD7" s="76"/>
      <c r="BE7" s="76"/>
      <c r="BF7" s="76"/>
      <c r="BG7" s="76"/>
      <c r="BH7" s="76"/>
      <c r="BI7" s="76"/>
      <c r="BJ7" s="76"/>
      <c r="BK7" s="76"/>
      <c r="BL7" s="76"/>
      <c r="BM7" s="76"/>
      <c r="BN7" s="76"/>
      <c r="BO7" s="76"/>
    </row>
    <row r="8" spans="1:73">
      <c r="A8" s="866"/>
      <c r="B8" s="76"/>
      <c r="C8" s="867" t="s">
        <v>2221</v>
      </c>
      <c r="D8" s="76"/>
      <c r="E8" s="76"/>
      <c r="F8" s="77"/>
      <c r="G8" s="77">
        <f>G7</f>
        <v>0</v>
      </c>
      <c r="H8" s="77">
        <f>G8+H7</f>
        <v>55</v>
      </c>
      <c r="I8" s="77">
        <f t="shared" ref="I8:AK8" si="4">H8+I7</f>
        <v>55</v>
      </c>
      <c r="J8" s="77">
        <f t="shared" si="4"/>
        <v>55</v>
      </c>
      <c r="K8" s="77">
        <f t="shared" si="4"/>
        <v>55</v>
      </c>
      <c r="L8" s="77">
        <f t="shared" si="4"/>
        <v>55</v>
      </c>
      <c r="M8" s="77">
        <f t="shared" si="4"/>
        <v>155</v>
      </c>
      <c r="N8" s="77">
        <f t="shared" si="4"/>
        <v>155</v>
      </c>
      <c r="O8" s="77">
        <f t="shared" si="4"/>
        <v>155</v>
      </c>
      <c r="P8" s="77">
        <f t="shared" si="4"/>
        <v>155</v>
      </c>
      <c r="Q8" s="77">
        <f t="shared" si="4"/>
        <v>155</v>
      </c>
      <c r="R8" s="77">
        <f t="shared" si="4"/>
        <v>155</v>
      </c>
      <c r="S8" s="77">
        <f t="shared" si="4"/>
        <v>555</v>
      </c>
      <c r="T8" s="77">
        <f t="shared" si="4"/>
        <v>555</v>
      </c>
      <c r="U8" s="77">
        <f t="shared" si="4"/>
        <v>555</v>
      </c>
      <c r="V8" s="77">
        <f t="shared" si="4"/>
        <v>555</v>
      </c>
      <c r="W8" s="77">
        <f t="shared" si="4"/>
        <v>555</v>
      </c>
      <c r="X8" s="77">
        <f t="shared" si="4"/>
        <v>555</v>
      </c>
      <c r="Y8" s="77">
        <f t="shared" si="4"/>
        <v>655</v>
      </c>
      <c r="Z8" s="77">
        <f t="shared" si="4"/>
        <v>655</v>
      </c>
      <c r="AA8" s="77">
        <f t="shared" si="4"/>
        <v>655</v>
      </c>
      <c r="AB8" s="77">
        <f t="shared" si="4"/>
        <v>755</v>
      </c>
      <c r="AC8" s="77">
        <f t="shared" si="4"/>
        <v>755</v>
      </c>
      <c r="AD8" s="77">
        <f t="shared" si="4"/>
        <v>755</v>
      </c>
      <c r="AE8" s="77">
        <f t="shared" si="4"/>
        <v>855</v>
      </c>
      <c r="AF8" s="77">
        <f t="shared" si="4"/>
        <v>855</v>
      </c>
      <c r="AG8" s="77">
        <f t="shared" si="4"/>
        <v>855</v>
      </c>
      <c r="AH8" s="77">
        <f t="shared" si="4"/>
        <v>855</v>
      </c>
      <c r="AI8" s="77">
        <f t="shared" si="4"/>
        <v>855</v>
      </c>
      <c r="AJ8" s="77">
        <f t="shared" si="4"/>
        <v>855</v>
      </c>
      <c r="AK8" s="77">
        <f t="shared" si="4"/>
        <v>955</v>
      </c>
      <c r="AL8" s="77">
        <f t="shared" ref="AL8" si="5">AK8+AL7</f>
        <v>955</v>
      </c>
      <c r="AM8" s="77">
        <f t="shared" ref="AM8" si="6">AL8+AM7</f>
        <v>955</v>
      </c>
      <c r="AN8" s="77">
        <f t="shared" ref="AN8" si="7">AM8+AN7</f>
        <v>955</v>
      </c>
      <c r="AO8" s="77">
        <f t="shared" ref="AO8" si="8">AN8+AO7</f>
        <v>955</v>
      </c>
      <c r="AP8" s="77">
        <f t="shared" ref="AP8" si="9">AO8+AP7</f>
        <v>955</v>
      </c>
      <c r="AQ8" s="77">
        <f t="shared" ref="AQ8" si="10">AP8+AQ7</f>
        <v>955</v>
      </c>
      <c r="AR8" s="77">
        <f t="shared" ref="AR8" si="11">AQ8+AR7</f>
        <v>955</v>
      </c>
      <c r="AS8" s="77">
        <f t="shared" ref="AS8" si="12">AR8+AS7</f>
        <v>955</v>
      </c>
      <c r="AT8" s="77">
        <f t="shared" ref="AT8" si="13">AS8+AT7</f>
        <v>955</v>
      </c>
      <c r="AU8" s="77">
        <f t="shared" ref="AU8" si="14">AT8+AU7</f>
        <v>955</v>
      </c>
      <c r="AV8" s="77">
        <f t="shared" ref="AV8" si="15">AU8+AV7</f>
        <v>955</v>
      </c>
      <c r="AW8" s="77">
        <f t="shared" ref="AW8" si="16">AV8+AW7</f>
        <v>955</v>
      </c>
      <c r="AX8" s="77">
        <f t="shared" ref="AX8" si="17">AW8+AX7</f>
        <v>955</v>
      </c>
      <c r="AY8" s="77">
        <f t="shared" ref="AY8" si="18">AX8+AY7</f>
        <v>955</v>
      </c>
      <c r="AZ8" s="77">
        <f t="shared" ref="AZ8" si="19">AY8+AZ7</f>
        <v>955</v>
      </c>
      <c r="BA8" s="77">
        <f t="shared" ref="BA8" si="20">AZ8+BA7</f>
        <v>955</v>
      </c>
      <c r="BB8" s="77">
        <f t="shared" ref="BB8" si="21">BA8+BB7</f>
        <v>955</v>
      </c>
      <c r="BC8" s="77">
        <f t="shared" ref="BC8" si="22">BB8+BC7</f>
        <v>955</v>
      </c>
      <c r="BD8" s="77">
        <f t="shared" ref="BD8" si="23">BC8+BD7</f>
        <v>955</v>
      </c>
      <c r="BE8" s="77">
        <f t="shared" ref="BE8" si="24">BD8+BE7</f>
        <v>955</v>
      </c>
      <c r="BF8" s="77">
        <f t="shared" ref="BF8" si="25">BE8+BF7</f>
        <v>955</v>
      </c>
      <c r="BG8" s="77">
        <f t="shared" ref="BG8" si="26">BF8+BG7</f>
        <v>955</v>
      </c>
      <c r="BH8" s="77">
        <f t="shared" ref="BH8" si="27">BG8+BH7</f>
        <v>955</v>
      </c>
      <c r="BI8" s="77">
        <f t="shared" ref="BI8" si="28">BH8+BI7</f>
        <v>955</v>
      </c>
      <c r="BJ8" s="77">
        <f t="shared" ref="BJ8" si="29">BI8+BJ7</f>
        <v>955</v>
      </c>
      <c r="BK8" s="77">
        <f t="shared" ref="BK8" si="30">BJ8+BK7</f>
        <v>955</v>
      </c>
      <c r="BL8" s="77">
        <f t="shared" ref="BL8" si="31">BK8+BL7</f>
        <v>955</v>
      </c>
      <c r="BM8" s="77">
        <f t="shared" ref="BM8" si="32">BL8+BM7</f>
        <v>955</v>
      </c>
      <c r="BN8" s="77">
        <f t="shared" ref="BN8" si="33">BM8+BN7</f>
        <v>955</v>
      </c>
      <c r="BO8" s="77">
        <f t="shared" ref="BO8" si="34">BN8+BO7</f>
        <v>955</v>
      </c>
    </row>
    <row r="9" spans="1:73">
      <c r="A9" s="866"/>
      <c r="B9" s="76"/>
      <c r="C9" s="867" t="s">
        <v>2222</v>
      </c>
      <c r="D9" s="76"/>
      <c r="E9" s="76"/>
      <c r="F9" s="77"/>
      <c r="G9" s="77"/>
      <c r="H9" s="77"/>
      <c r="I9" s="77"/>
      <c r="J9" s="77"/>
      <c r="K9" s="77"/>
      <c r="L9" s="77"/>
      <c r="M9" s="77"/>
      <c r="N9" s="77"/>
      <c r="O9" s="77"/>
      <c r="P9" s="77"/>
      <c r="Q9" s="77"/>
      <c r="R9" s="77"/>
      <c r="S9" s="77">
        <f>SUMPRODUCT($H$8:S8,$H$6:S6)/365</f>
        <v>147.60273972602741</v>
      </c>
      <c r="T9" s="77"/>
      <c r="U9" s="77"/>
      <c r="V9" s="77"/>
      <c r="W9" s="77"/>
      <c r="X9" s="77"/>
      <c r="Y9" s="77"/>
      <c r="Z9" s="77"/>
      <c r="AA9" s="77"/>
      <c r="AB9" s="77"/>
      <c r="AC9" s="77"/>
      <c r="AD9" s="77"/>
      <c r="AE9" s="77">
        <f>SUMPRODUCT($T$8:AE8,$T$6:AE6)/365</f>
        <v>655.54794520547944</v>
      </c>
      <c r="AF9" s="77"/>
      <c r="AG9" s="77"/>
      <c r="AH9" s="77"/>
      <c r="AI9" s="77"/>
      <c r="AJ9" s="77"/>
      <c r="AK9" s="77"/>
      <c r="AL9" s="77"/>
      <c r="AM9" s="77"/>
      <c r="AN9" s="77"/>
      <c r="AO9" s="77"/>
      <c r="AP9" s="77"/>
      <c r="AQ9" s="77">
        <f>SUMPRODUCT($AF$8:AQ8,$AF$6:AQ6)/365</f>
        <v>915.97260273972597</v>
      </c>
      <c r="AR9" s="77"/>
      <c r="AS9" s="77"/>
      <c r="AT9" s="77"/>
      <c r="AU9" s="77"/>
      <c r="AV9" s="77"/>
      <c r="AW9" s="77"/>
      <c r="AX9" s="77"/>
      <c r="AY9" s="77"/>
      <c r="AZ9" s="77"/>
      <c r="BA9" s="77"/>
      <c r="BB9" s="77"/>
      <c r="BC9" s="77"/>
      <c r="BD9" s="77"/>
      <c r="BE9" s="77"/>
      <c r="BF9" s="77"/>
      <c r="BG9" s="77"/>
      <c r="BH9" s="77"/>
      <c r="BI9" s="77"/>
      <c r="BJ9" s="77"/>
      <c r="BK9" s="77"/>
      <c r="BL9" s="77"/>
      <c r="BM9" s="77"/>
      <c r="BN9" s="77"/>
      <c r="BO9" s="77"/>
    </row>
    <row r="10" spans="1:73">
      <c r="A10" s="866"/>
      <c r="B10" s="76"/>
      <c r="C10" s="867" t="s">
        <v>2070</v>
      </c>
      <c r="D10" s="76"/>
      <c r="E10" s="76"/>
      <c r="F10" s="77"/>
      <c r="G10" s="77"/>
      <c r="H10" s="77" cm="1">
        <f t="array" ref="H10">G10+_xlfn.IFS(H7=0,0,H7&lt;=100,1,H7&lt;=200,2)</f>
        <v>1</v>
      </c>
      <c r="I10" s="77" cm="1">
        <f t="array" ref="I10">H10+_xlfn.IFS(I7=0,0,I7&lt;=100,1,I7&lt;=200,2)</f>
        <v>1</v>
      </c>
      <c r="J10" s="77" cm="1">
        <f t="array" ref="J10">I10+_xlfn.IFS(J7=0,0,J7&lt;=100,1,J7&lt;=200,2)</f>
        <v>1</v>
      </c>
      <c r="K10" s="77" cm="1">
        <f t="array" ref="K10">J10+_xlfn.IFS(K7=0,0,K7&lt;=100,1,K7&lt;=200,2)</f>
        <v>1</v>
      </c>
      <c r="L10" s="77" cm="1">
        <f t="array" ref="L10">K10+_xlfn.IFS(L7=0,0,L7&lt;=100,1,L7&lt;=200,2)</f>
        <v>1</v>
      </c>
      <c r="M10" s="77" cm="1">
        <f t="array" ref="M10">L10+_xlfn.IFS(M7=0,0,M7&lt;=100,1,M7&lt;=200,2)</f>
        <v>2</v>
      </c>
      <c r="N10" s="77" cm="1">
        <f t="array" ref="N10">M10+_xlfn.IFS(N7=0,0,N7&lt;=100,1,N7&lt;=200,2)</f>
        <v>2</v>
      </c>
      <c r="O10" s="77" cm="1">
        <f t="array" ref="O10">N10+_xlfn.IFS(O7=0,0,O7&lt;=100,1,O7&lt;=200,2)</f>
        <v>2</v>
      </c>
      <c r="P10" s="77" cm="1">
        <f t="array" ref="P10">O10+_xlfn.IFS(P7=0,0,P7&lt;=100,1,P7&lt;=200,2)</f>
        <v>2</v>
      </c>
      <c r="Q10" s="77" cm="1">
        <f t="array" ref="Q10">P10+_xlfn.IFS(Q7=0,0,Q7&lt;=100,1,Q7&lt;=200,2)</f>
        <v>2</v>
      </c>
      <c r="R10" s="77" cm="1">
        <f t="array" ref="R10">Q10+_xlfn.IFS(R7=0,0,R7&lt;=100,1,R7&lt;=200,2)</f>
        <v>2</v>
      </c>
      <c r="S10" s="77">
        <f>S7/70</f>
        <v>5.7142857142857144</v>
      </c>
      <c r="T10" s="77" cm="1">
        <f t="array" ref="T10">S10+_xlfn.IFS(T7=0,0,T7&lt;=100,1,T7&lt;=200,2)</f>
        <v>5.7142857142857144</v>
      </c>
      <c r="U10" s="77" cm="1">
        <f t="array" ref="U10">T10+_xlfn.IFS(U7=0,0,U7&lt;=100,1,U7&lt;=200,2)</f>
        <v>5.7142857142857144</v>
      </c>
      <c r="V10" s="77" cm="1">
        <f t="array" ref="V10">U10+_xlfn.IFS(V7=0,0,V7&lt;=100,1,V7&lt;=200,2)</f>
        <v>5.7142857142857144</v>
      </c>
      <c r="W10" s="77" cm="1">
        <f t="array" ref="W10">V10+_xlfn.IFS(W7=0,0,W7&lt;=100,1,W7&lt;=200,2)</f>
        <v>5.7142857142857144</v>
      </c>
      <c r="X10" s="77" cm="1">
        <f t="array" ref="X10">W10+_xlfn.IFS(X7=0,0,X7&lt;=100,1,X7&lt;=200,2)</f>
        <v>5.7142857142857144</v>
      </c>
      <c r="Y10" s="77" cm="1">
        <f t="array" ref="Y10">X10+_xlfn.IFS(Y7=0,0,Y7&lt;=100,1,Y7&lt;=200,2)</f>
        <v>6.7142857142857144</v>
      </c>
      <c r="Z10" s="77" cm="1">
        <f t="array" ref="Z10">Y10+_xlfn.IFS(Z7=0,0,Z7&lt;=100,1,Z7&lt;=200,2)</f>
        <v>6.7142857142857144</v>
      </c>
      <c r="AA10" s="77" cm="1">
        <f t="array" ref="AA10">Z10+_xlfn.IFS(AA7=0,0,AA7&lt;=100,1,AA7&lt;=200,2)</f>
        <v>6.7142857142857144</v>
      </c>
      <c r="AB10" s="77" cm="1">
        <f t="array" ref="AB10">AA10+_xlfn.IFS(AB7=0,0,AB7&lt;=100,1,AB7&lt;=200,2)</f>
        <v>7.7142857142857144</v>
      </c>
      <c r="AC10" s="77" cm="1">
        <f t="array" ref="AC10">AB10+_xlfn.IFS(AC7=0,0,AC7&lt;=100,1,AC7&lt;=200,2)</f>
        <v>7.7142857142857144</v>
      </c>
      <c r="AD10" s="77" cm="1">
        <f t="array" ref="AD10">AC10+_xlfn.IFS(AD7=0,0,AD7&lt;=100,1,AD7&lt;=200,2)</f>
        <v>7.7142857142857144</v>
      </c>
      <c r="AE10" s="77" cm="1">
        <f t="array" ref="AE10">AD10+_xlfn.IFS(AE7=0,0,AE7&lt;=100,1,AE7&lt;=200,2)</f>
        <v>8.7142857142857153</v>
      </c>
      <c r="AF10" s="77" cm="1">
        <f t="array" ref="AF10">AE10+_xlfn.IFS(AF7=0,0,AF7&lt;=100,1,AF7&lt;=200,2)</f>
        <v>8.7142857142857153</v>
      </c>
      <c r="AG10" s="77" cm="1">
        <f t="array" ref="AG10">AF10+_xlfn.IFS(AG7=0,0,AG7&lt;=100,1,AG7&lt;=200,2)</f>
        <v>8.7142857142857153</v>
      </c>
      <c r="AH10" s="77" cm="1">
        <f t="array" ref="AH10">AG10+_xlfn.IFS(AH7=0,0,AH7&lt;=100,1,AH7&lt;=200,2)</f>
        <v>8.7142857142857153</v>
      </c>
      <c r="AI10" s="77" cm="1">
        <f t="array" ref="AI10">AH10+_xlfn.IFS(AI7=0,0,AI7&lt;=100,1,AI7&lt;=200,2)</f>
        <v>8.7142857142857153</v>
      </c>
      <c r="AJ10" s="77" cm="1">
        <f t="array" ref="AJ10">AI10+_xlfn.IFS(AJ7=0,0,AJ7&lt;=100,1,AJ7&lt;=200,2)</f>
        <v>8.7142857142857153</v>
      </c>
      <c r="AK10" s="77" cm="1">
        <f t="array" ref="AK10">AJ10+_xlfn.IFS(AK7=0,0,AK7&lt;=100,1,AK7&lt;=200,2)</f>
        <v>9.7142857142857153</v>
      </c>
      <c r="AL10" s="77" cm="1">
        <f t="array" ref="AL10">AK10+_xlfn.IFS(AL7=0,0,AL7&lt;=100,1,AL7&lt;=200,2)</f>
        <v>9.7142857142857153</v>
      </c>
      <c r="AM10" s="77" cm="1">
        <f t="array" ref="AM10">AL10+_xlfn.IFS(AM7=0,0,AM7&lt;=100,1,AM7&lt;=200,2)</f>
        <v>9.7142857142857153</v>
      </c>
      <c r="AN10" s="77" cm="1">
        <f t="array" ref="AN10">AM10+_xlfn.IFS(AN7=0,0,AN7&lt;=100,1,AN7&lt;=200,2)</f>
        <v>9.7142857142857153</v>
      </c>
      <c r="AO10" s="77" cm="1">
        <f t="array" ref="AO10">AN10+_xlfn.IFS(AO7=0,0,AO7&lt;=100,1,AO7&lt;=200,2)</f>
        <v>9.7142857142857153</v>
      </c>
      <c r="AP10" s="77" cm="1">
        <f t="array" ref="AP10">AO10+_xlfn.IFS(AP7=0,0,AP7&lt;=100,1,AP7&lt;=200,2)</f>
        <v>9.7142857142857153</v>
      </c>
      <c r="AQ10" s="77" cm="1">
        <f t="array" ref="AQ10">AP10+_xlfn.IFS(AQ7=0,0,AQ7&lt;=100,1,AQ7&lt;=200,2)</f>
        <v>9.7142857142857153</v>
      </c>
      <c r="AR10" s="77" cm="1">
        <f t="array" ref="AR10">AQ10+_xlfn.IFS(AR7=0,0,AR7&lt;=100,1,AR7&lt;=200,2)</f>
        <v>9.7142857142857153</v>
      </c>
      <c r="AS10" s="77" cm="1">
        <f t="array" ref="AS10">AR10+_xlfn.IFS(AS7=0,0,AS7&lt;=100,1,AS7&lt;=200,2)</f>
        <v>9.7142857142857153</v>
      </c>
      <c r="AT10" s="77" cm="1">
        <f t="array" ref="AT10">AS10+_xlfn.IFS(AT7=0,0,AT7&lt;=100,1,AT7&lt;=200,2)</f>
        <v>9.7142857142857153</v>
      </c>
      <c r="AU10" s="77" cm="1">
        <f t="array" ref="AU10">AT10+_xlfn.IFS(AU7=0,0,AU7&lt;=100,1,AU7&lt;=200,2)</f>
        <v>9.7142857142857153</v>
      </c>
      <c r="AV10" s="77" cm="1">
        <f t="array" ref="AV10">AU10+_xlfn.IFS(AV7=0,0,AV7&lt;=100,1,AV7&lt;=200,2)</f>
        <v>9.7142857142857153</v>
      </c>
      <c r="AW10" s="77" cm="1">
        <f t="array" ref="AW10">AV10+_xlfn.IFS(AW7=0,0,AW7&lt;=100,1,AW7&lt;=200,2)</f>
        <v>9.7142857142857153</v>
      </c>
      <c r="AX10" s="77" cm="1">
        <f t="array" ref="AX10">AW10+_xlfn.IFS(AX7=0,0,AX7&lt;=100,1,AX7&lt;=200,2)</f>
        <v>9.7142857142857153</v>
      </c>
      <c r="AY10" s="77" cm="1">
        <f t="array" ref="AY10">AX10+_xlfn.IFS(AY7=0,0,AY7&lt;=100,1,AY7&lt;=200,2)</f>
        <v>9.7142857142857153</v>
      </c>
      <c r="AZ10" s="77" cm="1">
        <f t="array" ref="AZ10">AY10+_xlfn.IFS(AZ7=0,0,AZ7&lt;=100,1,AZ7&lt;=200,2)</f>
        <v>9.7142857142857153</v>
      </c>
      <c r="BA10" s="77" cm="1">
        <f t="array" ref="BA10">AZ10+_xlfn.IFS(BA7=0,0,BA7&lt;=100,1,BA7&lt;=200,2)</f>
        <v>9.7142857142857153</v>
      </c>
      <c r="BB10" s="77" cm="1">
        <f t="array" ref="BB10">BA10+_xlfn.IFS(BB7=0,0,BB7&lt;=100,1,BB7&lt;=200,2)</f>
        <v>9.7142857142857153</v>
      </c>
      <c r="BC10" s="77" cm="1">
        <f t="array" ref="BC10">BB10+_xlfn.IFS(BC7=0,0,BC7&lt;=100,1,BC7&lt;=200,2)</f>
        <v>9.7142857142857153</v>
      </c>
      <c r="BD10" s="77" cm="1">
        <f t="array" ref="BD10">BC10+_xlfn.IFS(BD7=0,0,BD7&lt;=100,1,BD7&lt;=200,2)</f>
        <v>9.7142857142857153</v>
      </c>
      <c r="BE10" s="77" cm="1">
        <f t="array" ref="BE10">BD10+_xlfn.IFS(BE7=0,0,BE7&lt;=100,1,BE7&lt;=200,2)</f>
        <v>9.7142857142857153</v>
      </c>
      <c r="BF10" s="77" cm="1">
        <f t="array" ref="BF10">BE10+_xlfn.IFS(BF7=0,0,BF7&lt;=100,1,BF7&lt;=200,2)</f>
        <v>9.7142857142857153</v>
      </c>
      <c r="BG10" s="77" cm="1">
        <f t="array" ref="BG10">BF10+_xlfn.IFS(BG7=0,0,BG7&lt;=100,1,BG7&lt;=200,2)</f>
        <v>9.7142857142857153</v>
      </c>
      <c r="BH10" s="77" cm="1">
        <f t="array" ref="BH10">BG10+_xlfn.IFS(BH7=0,0,BH7&lt;=100,1,BH7&lt;=200,2)</f>
        <v>9.7142857142857153</v>
      </c>
      <c r="BI10" s="77" cm="1">
        <f t="array" ref="BI10">BH10+_xlfn.IFS(BI7=0,0,BI7&lt;=100,1,BI7&lt;=200,2)</f>
        <v>9.7142857142857153</v>
      </c>
      <c r="BJ10" s="77" cm="1">
        <f t="array" ref="BJ10">BI10+_xlfn.IFS(BJ7=0,0,BJ7&lt;=100,1,BJ7&lt;=200,2)</f>
        <v>9.7142857142857153</v>
      </c>
      <c r="BK10" s="77" cm="1">
        <f t="array" ref="BK10">BJ10+_xlfn.IFS(BK7=0,0,BK7&lt;=100,1,BK7&lt;=200,2)</f>
        <v>9.7142857142857153</v>
      </c>
      <c r="BL10" s="77" cm="1">
        <f t="array" ref="BL10">BK10+_xlfn.IFS(BL7=0,0,BL7&lt;=100,1,BL7&lt;=200,2)</f>
        <v>9.7142857142857153</v>
      </c>
      <c r="BM10" s="77" cm="1">
        <f t="array" ref="BM10">BL10+_xlfn.IFS(BM7=0,0,BM7&lt;=100,1,BM7&lt;=200,2)</f>
        <v>9.7142857142857153</v>
      </c>
      <c r="BN10" s="77" cm="1">
        <f t="array" ref="BN10">BM10+_xlfn.IFS(BN7=0,0,BN7&lt;=100,1,BN7&lt;=200,2)</f>
        <v>9.7142857142857153</v>
      </c>
      <c r="BO10" s="77" cm="1">
        <f t="array" ref="BO10">BN10+_xlfn.IFS(BO7=0,0,BO7&lt;=100,1,BO7&lt;=200,2)</f>
        <v>9.7142857142857153</v>
      </c>
    </row>
    <row r="11" spans="1:73">
      <c r="A11" s="866"/>
      <c r="B11" s="76"/>
      <c r="C11" s="867" t="s">
        <v>2071</v>
      </c>
      <c r="D11" s="76"/>
      <c r="E11" s="76"/>
      <c r="F11" s="77"/>
      <c r="G11" s="77">
        <f t="shared" ref="G11:M11" si="35">G10</f>
        <v>0</v>
      </c>
      <c r="H11" s="77">
        <f t="shared" si="35"/>
        <v>1</v>
      </c>
      <c r="I11" s="77">
        <f t="shared" si="35"/>
        <v>1</v>
      </c>
      <c r="J11" s="77">
        <f t="shared" si="35"/>
        <v>1</v>
      </c>
      <c r="K11" s="77">
        <f t="shared" si="35"/>
        <v>1</v>
      </c>
      <c r="L11" s="77">
        <f t="shared" si="35"/>
        <v>1</v>
      </c>
      <c r="M11" s="77">
        <f t="shared" si="35"/>
        <v>2</v>
      </c>
      <c r="N11" s="77">
        <f t="shared" ref="N11:T11" si="36">M11</f>
        <v>2</v>
      </c>
      <c r="O11" s="77">
        <f t="shared" si="36"/>
        <v>2</v>
      </c>
      <c r="P11" s="77">
        <f t="shared" si="36"/>
        <v>2</v>
      </c>
      <c r="Q11" s="77">
        <f>P11</f>
        <v>2</v>
      </c>
      <c r="R11" s="77">
        <f t="shared" si="36"/>
        <v>2</v>
      </c>
      <c r="S11" s="77">
        <f>S10/2</f>
        <v>2.8571428571428572</v>
      </c>
      <c r="T11" s="77">
        <f t="shared" si="36"/>
        <v>2.8571428571428572</v>
      </c>
      <c r="U11" s="77">
        <f t="shared" ref="U11:X11" si="37">T11</f>
        <v>2.8571428571428572</v>
      </c>
      <c r="V11" s="77">
        <f t="shared" si="37"/>
        <v>2.8571428571428572</v>
      </c>
      <c r="W11" s="77">
        <f t="shared" si="37"/>
        <v>2.8571428571428572</v>
      </c>
      <c r="X11" s="77">
        <f t="shared" si="37"/>
        <v>2.8571428571428572</v>
      </c>
      <c r="Y11" s="77">
        <f>X11+1</f>
        <v>3.8571428571428572</v>
      </c>
      <c r="Z11" s="77">
        <f t="shared" ref="Z11:AJ11" si="38">Y11</f>
        <v>3.8571428571428572</v>
      </c>
      <c r="AA11" s="77">
        <f t="shared" si="38"/>
        <v>3.8571428571428572</v>
      </c>
      <c r="AB11" s="77">
        <f t="shared" si="38"/>
        <v>3.8571428571428572</v>
      </c>
      <c r="AC11" s="77">
        <f t="shared" si="38"/>
        <v>3.8571428571428572</v>
      </c>
      <c r="AD11" s="77">
        <f t="shared" si="38"/>
        <v>3.8571428571428572</v>
      </c>
      <c r="AE11" s="77">
        <f t="shared" si="38"/>
        <v>3.8571428571428572</v>
      </c>
      <c r="AF11" s="77">
        <f t="shared" si="38"/>
        <v>3.8571428571428572</v>
      </c>
      <c r="AG11" s="77">
        <f t="shared" si="38"/>
        <v>3.8571428571428572</v>
      </c>
      <c r="AH11" s="77">
        <f t="shared" si="38"/>
        <v>3.8571428571428572</v>
      </c>
      <c r="AI11" s="77">
        <f t="shared" si="38"/>
        <v>3.8571428571428572</v>
      </c>
      <c r="AJ11" s="77">
        <f t="shared" si="38"/>
        <v>3.8571428571428572</v>
      </c>
      <c r="AK11" s="77">
        <f>AJ11</f>
        <v>3.8571428571428572</v>
      </c>
      <c r="AL11" s="77">
        <f t="shared" ref="AL11" si="39">AK11</f>
        <v>3.8571428571428572</v>
      </c>
      <c r="AM11" s="77">
        <f t="shared" ref="AM11" si="40">AL11</f>
        <v>3.8571428571428572</v>
      </c>
      <c r="AN11" s="77">
        <f t="shared" ref="AN11" si="41">AM11</f>
        <v>3.8571428571428572</v>
      </c>
      <c r="AO11" s="77">
        <f t="shared" ref="AO11" si="42">AN11</f>
        <v>3.8571428571428572</v>
      </c>
      <c r="AP11" s="77">
        <f t="shared" ref="AP11" si="43">AO11</f>
        <v>3.8571428571428572</v>
      </c>
      <c r="AQ11" s="77">
        <v>4</v>
      </c>
      <c r="AR11" s="77">
        <f t="shared" ref="AR11" si="44">AQ11</f>
        <v>4</v>
      </c>
      <c r="AS11" s="77">
        <f t="shared" ref="AS11" si="45">AR11</f>
        <v>4</v>
      </c>
      <c r="AT11" s="77">
        <f t="shared" ref="AT11" si="46">AS11</f>
        <v>4</v>
      </c>
      <c r="AU11" s="77">
        <f t="shared" ref="AU11" si="47">AT11</f>
        <v>4</v>
      </c>
      <c r="AV11" s="77">
        <f t="shared" ref="AV11" si="48">AU11</f>
        <v>4</v>
      </c>
      <c r="AW11" s="77">
        <f t="shared" ref="AW11" si="49">AV11</f>
        <v>4</v>
      </c>
      <c r="AX11" s="77">
        <f t="shared" ref="AX11" si="50">AW11</f>
        <v>4</v>
      </c>
      <c r="AY11" s="77">
        <f t="shared" ref="AY11" si="51">AX11</f>
        <v>4</v>
      </c>
      <c r="AZ11" s="77">
        <f t="shared" ref="AZ11" si="52">AY11</f>
        <v>4</v>
      </c>
      <c r="BA11" s="77">
        <f t="shared" ref="BA11" si="53">AZ11</f>
        <v>4</v>
      </c>
      <c r="BB11" s="77">
        <f t="shared" ref="BB11" si="54">BA11</f>
        <v>4</v>
      </c>
      <c r="BC11" s="77">
        <f t="shared" ref="BC11" si="55">BB11</f>
        <v>4</v>
      </c>
      <c r="BD11" s="77">
        <f t="shared" ref="BD11" si="56">BC11</f>
        <v>4</v>
      </c>
      <c r="BE11" s="77">
        <f t="shared" ref="BE11" si="57">BD11</f>
        <v>4</v>
      </c>
      <c r="BF11" s="77">
        <f t="shared" ref="BF11" si="58">BE11</f>
        <v>4</v>
      </c>
      <c r="BG11" s="77">
        <f t="shared" ref="BG11" si="59">BF11</f>
        <v>4</v>
      </c>
      <c r="BH11" s="77">
        <f t="shared" ref="BH11" si="60">BG11</f>
        <v>4</v>
      </c>
      <c r="BI11" s="77">
        <f t="shared" ref="BI11" si="61">BH11</f>
        <v>4</v>
      </c>
      <c r="BJ11" s="77">
        <f t="shared" ref="BJ11" si="62">BI11</f>
        <v>4</v>
      </c>
      <c r="BK11" s="77">
        <f t="shared" ref="BK11" si="63">BJ11</f>
        <v>4</v>
      </c>
      <c r="BL11" s="77">
        <f t="shared" ref="BL11" si="64">BK11</f>
        <v>4</v>
      </c>
      <c r="BM11" s="77">
        <f t="shared" ref="BM11" si="65">BL11</f>
        <v>4</v>
      </c>
      <c r="BN11" s="77">
        <f t="shared" ref="BN11" si="66">BM11</f>
        <v>4</v>
      </c>
      <c r="BO11" s="77">
        <f t="shared" ref="BO11" si="67">BN11</f>
        <v>4</v>
      </c>
    </row>
    <row r="12" spans="1:73" s="864" customFormat="1">
      <c r="B12" s="868"/>
      <c r="C12" s="869" t="s">
        <v>2223</v>
      </c>
      <c r="D12" s="868"/>
      <c r="E12" s="868"/>
      <c r="F12" s="868">
        <f>汇总!$D$64</f>
        <v>2</v>
      </c>
      <c r="G12" s="868"/>
      <c r="H12" s="868">
        <f t="shared" ref="H12:BO12" si="68">$F$12</f>
        <v>2</v>
      </c>
      <c r="I12" s="868">
        <f t="shared" si="68"/>
        <v>2</v>
      </c>
      <c r="J12" s="868">
        <f t="shared" si="68"/>
        <v>2</v>
      </c>
      <c r="K12" s="868">
        <f t="shared" si="68"/>
        <v>2</v>
      </c>
      <c r="L12" s="868">
        <f t="shared" si="68"/>
        <v>2</v>
      </c>
      <c r="M12" s="868">
        <f t="shared" si="68"/>
        <v>2</v>
      </c>
      <c r="N12" s="868">
        <f t="shared" si="68"/>
        <v>2</v>
      </c>
      <c r="O12" s="868">
        <f t="shared" si="68"/>
        <v>2</v>
      </c>
      <c r="P12" s="868">
        <f t="shared" si="68"/>
        <v>2</v>
      </c>
      <c r="Q12" s="868">
        <f t="shared" si="68"/>
        <v>2</v>
      </c>
      <c r="R12" s="868">
        <f t="shared" si="68"/>
        <v>2</v>
      </c>
      <c r="S12" s="868">
        <f t="shared" si="68"/>
        <v>2</v>
      </c>
      <c r="T12" s="868">
        <f t="shared" si="68"/>
        <v>2</v>
      </c>
      <c r="U12" s="868">
        <f t="shared" si="68"/>
        <v>2</v>
      </c>
      <c r="V12" s="868">
        <f t="shared" si="68"/>
        <v>2</v>
      </c>
      <c r="W12" s="868">
        <f t="shared" si="68"/>
        <v>2</v>
      </c>
      <c r="X12" s="868">
        <f t="shared" si="68"/>
        <v>2</v>
      </c>
      <c r="Y12" s="868">
        <f t="shared" si="68"/>
        <v>2</v>
      </c>
      <c r="Z12" s="868">
        <f t="shared" si="68"/>
        <v>2</v>
      </c>
      <c r="AA12" s="868">
        <f t="shared" si="68"/>
        <v>2</v>
      </c>
      <c r="AB12" s="868">
        <f t="shared" si="68"/>
        <v>2</v>
      </c>
      <c r="AC12" s="868">
        <f t="shared" si="68"/>
        <v>2</v>
      </c>
      <c r="AD12" s="868">
        <f t="shared" si="68"/>
        <v>2</v>
      </c>
      <c r="AE12" s="868">
        <f t="shared" si="68"/>
        <v>2</v>
      </c>
      <c r="AF12" s="868">
        <f t="shared" si="68"/>
        <v>2</v>
      </c>
      <c r="AG12" s="868">
        <f t="shared" si="68"/>
        <v>2</v>
      </c>
      <c r="AH12" s="868">
        <f t="shared" si="68"/>
        <v>2</v>
      </c>
      <c r="AI12" s="868">
        <f t="shared" si="68"/>
        <v>2</v>
      </c>
      <c r="AJ12" s="868">
        <f t="shared" si="68"/>
        <v>2</v>
      </c>
      <c r="AK12" s="868">
        <f t="shared" si="68"/>
        <v>2</v>
      </c>
      <c r="AL12" s="868">
        <f t="shared" si="68"/>
        <v>2</v>
      </c>
      <c r="AM12" s="868">
        <f t="shared" si="68"/>
        <v>2</v>
      </c>
      <c r="AN12" s="868">
        <f t="shared" si="68"/>
        <v>2</v>
      </c>
      <c r="AO12" s="868">
        <f t="shared" si="68"/>
        <v>2</v>
      </c>
      <c r="AP12" s="868">
        <f t="shared" si="68"/>
        <v>2</v>
      </c>
      <c r="AQ12" s="868">
        <f t="shared" si="68"/>
        <v>2</v>
      </c>
      <c r="AR12" s="868">
        <f t="shared" si="68"/>
        <v>2</v>
      </c>
      <c r="AS12" s="868">
        <f t="shared" si="68"/>
        <v>2</v>
      </c>
      <c r="AT12" s="868">
        <f t="shared" si="68"/>
        <v>2</v>
      </c>
      <c r="AU12" s="868">
        <f t="shared" si="68"/>
        <v>2</v>
      </c>
      <c r="AV12" s="868">
        <f t="shared" si="68"/>
        <v>2</v>
      </c>
      <c r="AW12" s="868">
        <f t="shared" si="68"/>
        <v>2</v>
      </c>
      <c r="AX12" s="868">
        <f t="shared" si="68"/>
        <v>2</v>
      </c>
      <c r="AY12" s="868">
        <f t="shared" si="68"/>
        <v>2</v>
      </c>
      <c r="AZ12" s="868">
        <f t="shared" si="68"/>
        <v>2</v>
      </c>
      <c r="BA12" s="868">
        <f t="shared" si="68"/>
        <v>2</v>
      </c>
      <c r="BB12" s="868">
        <f t="shared" si="68"/>
        <v>2</v>
      </c>
      <c r="BC12" s="868">
        <f t="shared" si="68"/>
        <v>2</v>
      </c>
      <c r="BD12" s="868">
        <f t="shared" si="68"/>
        <v>2</v>
      </c>
      <c r="BE12" s="868">
        <f t="shared" si="68"/>
        <v>2</v>
      </c>
      <c r="BF12" s="868">
        <f t="shared" si="68"/>
        <v>2</v>
      </c>
      <c r="BG12" s="868">
        <f t="shared" si="68"/>
        <v>2</v>
      </c>
      <c r="BH12" s="868">
        <f t="shared" si="68"/>
        <v>2</v>
      </c>
      <c r="BI12" s="868">
        <f t="shared" si="68"/>
        <v>2</v>
      </c>
      <c r="BJ12" s="868">
        <f t="shared" si="68"/>
        <v>2</v>
      </c>
      <c r="BK12" s="868">
        <f t="shared" si="68"/>
        <v>2</v>
      </c>
      <c r="BL12" s="868">
        <f t="shared" si="68"/>
        <v>2</v>
      </c>
      <c r="BM12" s="868">
        <f t="shared" si="68"/>
        <v>2</v>
      </c>
      <c r="BN12" s="868">
        <f t="shared" si="68"/>
        <v>2</v>
      </c>
      <c r="BO12" s="868">
        <f t="shared" si="68"/>
        <v>2</v>
      </c>
    </row>
    <row r="13" spans="1:73" s="18" customFormat="1">
      <c r="B13" s="77"/>
      <c r="C13" s="867" t="s">
        <v>2224</v>
      </c>
      <c r="D13" s="77"/>
      <c r="E13" s="77"/>
      <c r="F13" s="868"/>
      <c r="G13" s="77">
        <v>0</v>
      </c>
      <c r="H13" s="77">
        <v>0</v>
      </c>
      <c r="I13" s="77">
        <f t="shared" ref="I13:AK13" si="69">+I7*I12*100</f>
        <v>0</v>
      </c>
      <c r="J13" s="77">
        <f t="shared" si="69"/>
        <v>0</v>
      </c>
      <c r="K13" s="77">
        <f t="shared" si="69"/>
        <v>0</v>
      </c>
      <c r="L13" s="77">
        <f t="shared" si="69"/>
        <v>0</v>
      </c>
      <c r="M13" s="77">
        <f t="shared" si="69"/>
        <v>20000</v>
      </c>
      <c r="N13" s="77">
        <f t="shared" si="69"/>
        <v>0</v>
      </c>
      <c r="O13" s="77">
        <f t="shared" si="69"/>
        <v>0</v>
      </c>
      <c r="P13" s="77">
        <f t="shared" si="69"/>
        <v>0</v>
      </c>
      <c r="Q13" s="77">
        <f t="shared" si="69"/>
        <v>0</v>
      </c>
      <c r="R13" s="77">
        <f t="shared" si="69"/>
        <v>0</v>
      </c>
      <c r="S13" s="77">
        <f t="shared" si="69"/>
        <v>80000</v>
      </c>
      <c r="T13" s="77">
        <f t="shared" si="69"/>
        <v>0</v>
      </c>
      <c r="U13" s="77">
        <f t="shared" si="69"/>
        <v>0</v>
      </c>
      <c r="V13" s="77">
        <f t="shared" si="69"/>
        <v>0</v>
      </c>
      <c r="W13" s="77">
        <f t="shared" si="69"/>
        <v>0</v>
      </c>
      <c r="X13" s="77">
        <f t="shared" si="69"/>
        <v>0</v>
      </c>
      <c r="Y13" s="77">
        <f t="shared" si="69"/>
        <v>20000</v>
      </c>
      <c r="Z13" s="77">
        <f t="shared" si="69"/>
        <v>0</v>
      </c>
      <c r="AA13" s="77">
        <f t="shared" si="69"/>
        <v>0</v>
      </c>
      <c r="AB13" s="77">
        <f t="shared" si="69"/>
        <v>20000</v>
      </c>
      <c r="AC13" s="77">
        <f t="shared" si="69"/>
        <v>0</v>
      </c>
      <c r="AD13" s="77">
        <f t="shared" si="69"/>
        <v>0</v>
      </c>
      <c r="AE13" s="77">
        <f t="shared" si="69"/>
        <v>20000</v>
      </c>
      <c r="AF13" s="77">
        <f t="shared" si="69"/>
        <v>0</v>
      </c>
      <c r="AG13" s="77">
        <f t="shared" si="69"/>
        <v>0</v>
      </c>
      <c r="AH13" s="77">
        <f t="shared" si="69"/>
        <v>0</v>
      </c>
      <c r="AI13" s="77">
        <f t="shared" si="69"/>
        <v>0</v>
      </c>
      <c r="AJ13" s="77">
        <f t="shared" si="69"/>
        <v>0</v>
      </c>
      <c r="AK13" s="77">
        <f t="shared" si="69"/>
        <v>20000</v>
      </c>
      <c r="AL13" s="77">
        <f t="shared" ref="AL13:BO13" si="70">+AL7*AL12*100</f>
        <v>0</v>
      </c>
      <c r="AM13" s="77">
        <f t="shared" si="70"/>
        <v>0</v>
      </c>
      <c r="AN13" s="77">
        <f t="shared" si="70"/>
        <v>0</v>
      </c>
      <c r="AO13" s="77">
        <f t="shared" si="70"/>
        <v>0</v>
      </c>
      <c r="AP13" s="77">
        <f t="shared" si="70"/>
        <v>0</v>
      </c>
      <c r="AQ13" s="77">
        <f t="shared" si="70"/>
        <v>0</v>
      </c>
      <c r="AR13" s="77">
        <f t="shared" si="70"/>
        <v>0</v>
      </c>
      <c r="AS13" s="77">
        <f t="shared" si="70"/>
        <v>0</v>
      </c>
      <c r="AT13" s="77">
        <f t="shared" si="70"/>
        <v>0</v>
      </c>
      <c r="AU13" s="77">
        <f t="shared" si="70"/>
        <v>0</v>
      </c>
      <c r="AV13" s="77">
        <f t="shared" si="70"/>
        <v>0</v>
      </c>
      <c r="AW13" s="77">
        <f t="shared" si="70"/>
        <v>0</v>
      </c>
      <c r="AX13" s="77">
        <f t="shared" si="70"/>
        <v>0</v>
      </c>
      <c r="AY13" s="77">
        <f t="shared" si="70"/>
        <v>0</v>
      </c>
      <c r="AZ13" s="77">
        <f t="shared" si="70"/>
        <v>0</v>
      </c>
      <c r="BA13" s="77">
        <f t="shared" si="70"/>
        <v>0</v>
      </c>
      <c r="BB13" s="77">
        <f t="shared" si="70"/>
        <v>0</v>
      </c>
      <c r="BC13" s="77">
        <f t="shared" si="70"/>
        <v>0</v>
      </c>
      <c r="BD13" s="77">
        <f t="shared" si="70"/>
        <v>0</v>
      </c>
      <c r="BE13" s="77">
        <f t="shared" si="70"/>
        <v>0</v>
      </c>
      <c r="BF13" s="77">
        <f t="shared" si="70"/>
        <v>0</v>
      </c>
      <c r="BG13" s="77">
        <f t="shared" si="70"/>
        <v>0</v>
      </c>
      <c r="BH13" s="77">
        <f t="shared" si="70"/>
        <v>0</v>
      </c>
      <c r="BI13" s="77">
        <f t="shared" si="70"/>
        <v>0</v>
      </c>
      <c r="BJ13" s="77">
        <f t="shared" si="70"/>
        <v>0</v>
      </c>
      <c r="BK13" s="77">
        <f t="shared" si="70"/>
        <v>0</v>
      </c>
      <c r="BL13" s="77">
        <f t="shared" si="70"/>
        <v>0</v>
      </c>
      <c r="BM13" s="77">
        <f t="shared" si="70"/>
        <v>0</v>
      </c>
      <c r="BN13" s="77">
        <f t="shared" si="70"/>
        <v>0</v>
      </c>
      <c r="BO13" s="77">
        <f t="shared" si="70"/>
        <v>0</v>
      </c>
    </row>
    <row r="14" spans="1:73">
      <c r="A14" s="866"/>
      <c r="B14" s="76"/>
      <c r="C14" s="867" t="s">
        <v>2225</v>
      </c>
      <c r="D14" s="76"/>
      <c r="E14" s="76"/>
      <c r="F14" s="77"/>
      <c r="G14" s="77">
        <f>8700</f>
        <v>8700</v>
      </c>
      <c r="H14" s="77">
        <f>G14+H13</f>
        <v>8700</v>
      </c>
      <c r="I14" s="77">
        <f t="shared" ref="I14:AK14" si="71">H14+I13</f>
        <v>8700</v>
      </c>
      <c r="J14" s="77">
        <f t="shared" si="71"/>
        <v>8700</v>
      </c>
      <c r="K14" s="77">
        <f t="shared" si="71"/>
        <v>8700</v>
      </c>
      <c r="L14" s="77">
        <f t="shared" si="71"/>
        <v>8700</v>
      </c>
      <c r="M14" s="77">
        <f t="shared" si="71"/>
        <v>28700</v>
      </c>
      <c r="N14" s="77">
        <f t="shared" si="71"/>
        <v>28700</v>
      </c>
      <c r="O14" s="77">
        <f t="shared" si="71"/>
        <v>28700</v>
      </c>
      <c r="P14" s="77">
        <f t="shared" si="71"/>
        <v>28700</v>
      </c>
      <c r="Q14" s="77">
        <f t="shared" si="71"/>
        <v>28700</v>
      </c>
      <c r="R14" s="77">
        <f t="shared" si="71"/>
        <v>28700</v>
      </c>
      <c r="S14" s="77">
        <f t="shared" si="71"/>
        <v>108700</v>
      </c>
      <c r="T14" s="77">
        <f t="shared" si="71"/>
        <v>108700</v>
      </c>
      <c r="U14" s="77">
        <f t="shared" si="71"/>
        <v>108700</v>
      </c>
      <c r="V14" s="77">
        <f t="shared" si="71"/>
        <v>108700</v>
      </c>
      <c r="W14" s="77">
        <f t="shared" si="71"/>
        <v>108700</v>
      </c>
      <c r="X14" s="77">
        <f t="shared" si="71"/>
        <v>108700</v>
      </c>
      <c r="Y14" s="77">
        <f t="shared" si="71"/>
        <v>128700</v>
      </c>
      <c r="Z14" s="77">
        <f t="shared" si="71"/>
        <v>128700</v>
      </c>
      <c r="AA14" s="77">
        <f t="shared" si="71"/>
        <v>128700</v>
      </c>
      <c r="AB14" s="77">
        <f t="shared" si="71"/>
        <v>148700</v>
      </c>
      <c r="AC14" s="77">
        <f t="shared" si="71"/>
        <v>148700</v>
      </c>
      <c r="AD14" s="77">
        <f t="shared" si="71"/>
        <v>148700</v>
      </c>
      <c r="AE14" s="77">
        <f t="shared" si="71"/>
        <v>168700</v>
      </c>
      <c r="AF14" s="77">
        <f t="shared" si="71"/>
        <v>168700</v>
      </c>
      <c r="AG14" s="77">
        <f t="shared" si="71"/>
        <v>168700</v>
      </c>
      <c r="AH14" s="77">
        <f t="shared" si="71"/>
        <v>168700</v>
      </c>
      <c r="AI14" s="77">
        <f t="shared" si="71"/>
        <v>168700</v>
      </c>
      <c r="AJ14" s="77">
        <f t="shared" si="71"/>
        <v>168700</v>
      </c>
      <c r="AK14" s="77">
        <f t="shared" si="71"/>
        <v>188700</v>
      </c>
      <c r="AL14" s="77">
        <f t="shared" ref="AL14" si="72">AK14+AL13</f>
        <v>188700</v>
      </c>
      <c r="AM14" s="77">
        <f t="shared" ref="AM14" si="73">AL14+AM13</f>
        <v>188700</v>
      </c>
      <c r="AN14" s="77">
        <f t="shared" ref="AN14" si="74">AM14+AN13</f>
        <v>188700</v>
      </c>
      <c r="AO14" s="77">
        <f t="shared" ref="AO14" si="75">AN14+AO13</f>
        <v>188700</v>
      </c>
      <c r="AP14" s="77">
        <f t="shared" ref="AP14" si="76">AO14+AP13</f>
        <v>188700</v>
      </c>
      <c r="AQ14" s="77">
        <f t="shared" ref="AQ14" si="77">AP14+AQ13</f>
        <v>188700</v>
      </c>
      <c r="AR14" s="77">
        <f t="shared" ref="AR14" si="78">AQ14+AR13</f>
        <v>188700</v>
      </c>
      <c r="AS14" s="77">
        <f t="shared" ref="AS14" si="79">AR14+AS13</f>
        <v>188700</v>
      </c>
      <c r="AT14" s="77">
        <f t="shared" ref="AT14" si="80">AS14+AT13</f>
        <v>188700</v>
      </c>
      <c r="AU14" s="77">
        <f t="shared" ref="AU14" si="81">AT14+AU13</f>
        <v>188700</v>
      </c>
      <c r="AV14" s="77">
        <f t="shared" ref="AV14" si="82">AU14+AV13</f>
        <v>188700</v>
      </c>
      <c r="AW14" s="77">
        <f t="shared" ref="AW14" si="83">AV14+AW13</f>
        <v>188700</v>
      </c>
      <c r="AX14" s="77">
        <f t="shared" ref="AX14" si="84">AW14+AX13</f>
        <v>188700</v>
      </c>
      <c r="AY14" s="77">
        <f t="shared" ref="AY14" si="85">AX14+AY13</f>
        <v>188700</v>
      </c>
      <c r="AZ14" s="77">
        <f t="shared" ref="AZ14" si="86">AY14+AZ13</f>
        <v>188700</v>
      </c>
      <c r="BA14" s="77">
        <f t="shared" ref="BA14" si="87">AZ14+BA13</f>
        <v>188700</v>
      </c>
      <c r="BB14" s="77">
        <f t="shared" ref="BB14" si="88">BA14+BB13</f>
        <v>188700</v>
      </c>
      <c r="BC14" s="77">
        <f t="shared" ref="BC14" si="89">BB14+BC13</f>
        <v>188700</v>
      </c>
      <c r="BD14" s="77">
        <f t="shared" ref="BD14" si="90">BC14+BD13</f>
        <v>188700</v>
      </c>
      <c r="BE14" s="77">
        <f t="shared" ref="BE14" si="91">BD14+BE13</f>
        <v>188700</v>
      </c>
      <c r="BF14" s="77">
        <f t="shared" ref="BF14" si="92">BE14+BF13</f>
        <v>188700</v>
      </c>
      <c r="BG14" s="77">
        <f t="shared" ref="BG14" si="93">BF14+BG13</f>
        <v>188700</v>
      </c>
      <c r="BH14" s="77">
        <f t="shared" ref="BH14" si="94">BG14+BH13</f>
        <v>188700</v>
      </c>
      <c r="BI14" s="77">
        <f t="shared" ref="BI14" si="95">BH14+BI13</f>
        <v>188700</v>
      </c>
      <c r="BJ14" s="77">
        <f t="shared" ref="BJ14" si="96">BI14+BJ13</f>
        <v>188700</v>
      </c>
      <c r="BK14" s="77">
        <f t="shared" ref="BK14" si="97">BJ14+BK13</f>
        <v>188700</v>
      </c>
      <c r="BL14" s="77">
        <f t="shared" ref="BL14" si="98">BK14+BL13</f>
        <v>188700</v>
      </c>
      <c r="BM14" s="77">
        <f t="shared" ref="BM14" si="99">BL14+BM13</f>
        <v>188700</v>
      </c>
      <c r="BN14" s="77">
        <f t="shared" ref="BN14" si="100">BM14+BN13</f>
        <v>188700</v>
      </c>
      <c r="BO14" s="77">
        <f t="shared" ref="BO14" si="101">BN14+BO13</f>
        <v>188700</v>
      </c>
    </row>
    <row r="15" spans="1:73">
      <c r="A15" s="866"/>
      <c r="C15" s="870"/>
      <c r="F15" s="63"/>
      <c r="G15" s="63"/>
      <c r="H15" s="63"/>
      <c r="I15" s="63"/>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3"/>
      <c r="BD15" s="63"/>
      <c r="BE15" s="63"/>
      <c r="BF15" s="63"/>
      <c r="BG15" s="63"/>
      <c r="BH15" s="63"/>
      <c r="BI15" s="63"/>
      <c r="BJ15" s="63"/>
      <c r="BK15" s="63"/>
      <c r="BL15" s="63"/>
      <c r="BM15" s="63"/>
      <c r="BN15" s="63"/>
      <c r="BO15" s="63"/>
    </row>
    <row r="16" spans="1:73">
      <c r="A16" s="866"/>
      <c r="B16" s="76"/>
      <c r="C16" s="871" t="s">
        <v>2226</v>
      </c>
      <c r="D16" s="76"/>
      <c r="E16" s="76"/>
      <c r="F16" s="872">
        <v>0.75</v>
      </c>
      <c r="G16" s="77">
        <f>G13*$F$16</f>
        <v>0</v>
      </c>
      <c r="H16" s="77">
        <f>H13*$F$16</f>
        <v>0</v>
      </c>
      <c r="I16" s="77">
        <f t="shared" ref="I16:AK16" si="102">I13*$F$16</f>
        <v>0</v>
      </c>
      <c r="J16" s="77">
        <f t="shared" si="102"/>
        <v>0</v>
      </c>
      <c r="K16" s="77">
        <f>K14*50%</f>
        <v>4350</v>
      </c>
      <c r="L16" s="77">
        <f t="shared" si="102"/>
        <v>0</v>
      </c>
      <c r="M16" s="77">
        <f t="shared" si="102"/>
        <v>15000</v>
      </c>
      <c r="N16" s="77">
        <f t="shared" si="102"/>
        <v>0</v>
      </c>
      <c r="O16" s="77">
        <f t="shared" si="102"/>
        <v>0</v>
      </c>
      <c r="P16" s="77">
        <f t="shared" si="102"/>
        <v>0</v>
      </c>
      <c r="Q16" s="77">
        <f t="shared" si="102"/>
        <v>0</v>
      </c>
      <c r="R16" s="77">
        <f t="shared" si="102"/>
        <v>0</v>
      </c>
      <c r="S16" s="77">
        <f t="shared" si="102"/>
        <v>60000</v>
      </c>
      <c r="T16" s="77">
        <f t="shared" si="102"/>
        <v>0</v>
      </c>
      <c r="U16" s="77">
        <f t="shared" si="102"/>
        <v>0</v>
      </c>
      <c r="V16" s="77">
        <f t="shared" si="102"/>
        <v>0</v>
      </c>
      <c r="W16" s="77">
        <f t="shared" si="102"/>
        <v>0</v>
      </c>
      <c r="X16" s="77">
        <f t="shared" si="102"/>
        <v>0</v>
      </c>
      <c r="Y16" s="77">
        <f t="shared" si="102"/>
        <v>15000</v>
      </c>
      <c r="Z16" s="77">
        <f t="shared" si="102"/>
        <v>0</v>
      </c>
      <c r="AA16" s="77">
        <f t="shared" si="102"/>
        <v>0</v>
      </c>
      <c r="AB16" s="77">
        <f t="shared" si="102"/>
        <v>15000</v>
      </c>
      <c r="AC16" s="77">
        <f t="shared" si="102"/>
        <v>0</v>
      </c>
      <c r="AD16" s="77">
        <f t="shared" si="102"/>
        <v>0</v>
      </c>
      <c r="AE16" s="77">
        <f t="shared" si="102"/>
        <v>15000</v>
      </c>
      <c r="AF16" s="77">
        <f t="shared" si="102"/>
        <v>0</v>
      </c>
      <c r="AG16" s="77">
        <f t="shared" si="102"/>
        <v>0</v>
      </c>
      <c r="AH16" s="77">
        <f t="shared" si="102"/>
        <v>0</v>
      </c>
      <c r="AI16" s="77">
        <f t="shared" si="102"/>
        <v>0</v>
      </c>
      <c r="AJ16" s="77">
        <f t="shared" si="102"/>
        <v>0</v>
      </c>
      <c r="AK16" s="77">
        <f t="shared" si="102"/>
        <v>15000</v>
      </c>
      <c r="AL16" s="77">
        <f t="shared" ref="AL16:BO16" si="103">AL13*$F$16</f>
        <v>0</v>
      </c>
      <c r="AM16" s="77">
        <f t="shared" si="103"/>
        <v>0</v>
      </c>
      <c r="AN16" s="77">
        <f t="shared" si="103"/>
        <v>0</v>
      </c>
      <c r="AO16" s="77">
        <f t="shared" si="103"/>
        <v>0</v>
      </c>
      <c r="AP16" s="77">
        <f t="shared" si="103"/>
        <v>0</v>
      </c>
      <c r="AQ16" s="77">
        <f t="shared" si="103"/>
        <v>0</v>
      </c>
      <c r="AR16" s="77">
        <f t="shared" si="103"/>
        <v>0</v>
      </c>
      <c r="AS16" s="77">
        <f t="shared" si="103"/>
        <v>0</v>
      </c>
      <c r="AT16" s="77">
        <f t="shared" si="103"/>
        <v>0</v>
      </c>
      <c r="AU16" s="77">
        <f t="shared" si="103"/>
        <v>0</v>
      </c>
      <c r="AV16" s="77">
        <f t="shared" si="103"/>
        <v>0</v>
      </c>
      <c r="AW16" s="77">
        <f t="shared" si="103"/>
        <v>0</v>
      </c>
      <c r="AX16" s="77">
        <f t="shared" si="103"/>
        <v>0</v>
      </c>
      <c r="AY16" s="77">
        <f t="shared" si="103"/>
        <v>0</v>
      </c>
      <c r="AZ16" s="77">
        <f t="shared" si="103"/>
        <v>0</v>
      </c>
      <c r="BA16" s="77">
        <f t="shared" si="103"/>
        <v>0</v>
      </c>
      <c r="BB16" s="77">
        <f t="shared" si="103"/>
        <v>0</v>
      </c>
      <c r="BC16" s="77">
        <f t="shared" si="103"/>
        <v>0</v>
      </c>
      <c r="BD16" s="77">
        <f t="shared" si="103"/>
        <v>0</v>
      </c>
      <c r="BE16" s="77">
        <f t="shared" si="103"/>
        <v>0</v>
      </c>
      <c r="BF16" s="77">
        <f t="shared" si="103"/>
        <v>0</v>
      </c>
      <c r="BG16" s="77">
        <f t="shared" si="103"/>
        <v>0</v>
      </c>
      <c r="BH16" s="77">
        <f t="shared" si="103"/>
        <v>0</v>
      </c>
      <c r="BI16" s="77">
        <f t="shared" si="103"/>
        <v>0</v>
      </c>
      <c r="BJ16" s="77">
        <f t="shared" si="103"/>
        <v>0</v>
      </c>
      <c r="BK16" s="77">
        <f t="shared" si="103"/>
        <v>0</v>
      </c>
      <c r="BL16" s="77">
        <f t="shared" si="103"/>
        <v>0</v>
      </c>
      <c r="BM16" s="77">
        <f t="shared" si="103"/>
        <v>0</v>
      </c>
      <c r="BN16" s="77">
        <f t="shared" si="103"/>
        <v>0</v>
      </c>
      <c r="BO16" s="77">
        <f t="shared" si="103"/>
        <v>0</v>
      </c>
    </row>
    <row r="17" spans="1:67">
      <c r="A17" s="866"/>
      <c r="B17" s="76"/>
      <c r="C17" s="871" t="s">
        <v>2227</v>
      </c>
      <c r="D17" s="76"/>
      <c r="E17" s="76"/>
      <c r="F17" s="872">
        <v>0.75</v>
      </c>
      <c r="G17" s="77">
        <f>G16</f>
        <v>0</v>
      </c>
      <c r="H17" s="77">
        <f>G17+H16</f>
        <v>0</v>
      </c>
      <c r="I17" s="77">
        <f t="shared" ref="I17:AK17" si="104">H17+I16</f>
        <v>0</v>
      </c>
      <c r="J17" s="77">
        <f t="shared" si="104"/>
        <v>0</v>
      </c>
      <c r="K17" s="77">
        <f t="shared" si="104"/>
        <v>4350</v>
      </c>
      <c r="L17" s="77">
        <f t="shared" si="104"/>
        <v>4350</v>
      </c>
      <c r="M17" s="77">
        <f t="shared" si="104"/>
        <v>19350</v>
      </c>
      <c r="N17" s="77">
        <f t="shared" si="104"/>
        <v>19350</v>
      </c>
      <c r="O17" s="77">
        <f t="shared" si="104"/>
        <v>19350</v>
      </c>
      <c r="P17" s="77">
        <f t="shared" si="104"/>
        <v>19350</v>
      </c>
      <c r="Q17" s="77">
        <f t="shared" si="104"/>
        <v>19350</v>
      </c>
      <c r="R17" s="77">
        <f t="shared" si="104"/>
        <v>19350</v>
      </c>
      <c r="S17" s="77">
        <f t="shared" si="104"/>
        <v>79350</v>
      </c>
      <c r="T17" s="77">
        <f t="shared" si="104"/>
        <v>79350</v>
      </c>
      <c r="U17" s="77">
        <f t="shared" si="104"/>
        <v>79350</v>
      </c>
      <c r="V17" s="77">
        <f t="shared" si="104"/>
        <v>79350</v>
      </c>
      <c r="W17" s="77">
        <f t="shared" si="104"/>
        <v>79350</v>
      </c>
      <c r="X17" s="77">
        <f t="shared" si="104"/>
        <v>79350</v>
      </c>
      <c r="Y17" s="77">
        <f t="shared" si="104"/>
        <v>94350</v>
      </c>
      <c r="Z17" s="77">
        <f t="shared" si="104"/>
        <v>94350</v>
      </c>
      <c r="AA17" s="77">
        <f t="shared" si="104"/>
        <v>94350</v>
      </c>
      <c r="AB17" s="77">
        <f t="shared" si="104"/>
        <v>109350</v>
      </c>
      <c r="AC17" s="77">
        <f t="shared" si="104"/>
        <v>109350</v>
      </c>
      <c r="AD17" s="77">
        <f t="shared" si="104"/>
        <v>109350</v>
      </c>
      <c r="AE17" s="77">
        <f t="shared" si="104"/>
        <v>124350</v>
      </c>
      <c r="AF17" s="77">
        <f t="shared" si="104"/>
        <v>124350</v>
      </c>
      <c r="AG17" s="77">
        <f t="shared" si="104"/>
        <v>124350</v>
      </c>
      <c r="AH17" s="77">
        <f t="shared" si="104"/>
        <v>124350</v>
      </c>
      <c r="AI17" s="77">
        <f t="shared" si="104"/>
        <v>124350</v>
      </c>
      <c r="AJ17" s="77">
        <f t="shared" si="104"/>
        <v>124350</v>
      </c>
      <c r="AK17" s="77">
        <f t="shared" si="104"/>
        <v>139350</v>
      </c>
      <c r="AL17" s="77">
        <f t="shared" ref="AL17" si="105">AK17+AL16</f>
        <v>139350</v>
      </c>
      <c r="AM17" s="77">
        <f t="shared" ref="AM17" si="106">AL17+AM16</f>
        <v>139350</v>
      </c>
      <c r="AN17" s="77">
        <f t="shared" ref="AN17" si="107">AM17+AN16</f>
        <v>139350</v>
      </c>
      <c r="AO17" s="77">
        <f t="shared" ref="AO17" si="108">AN17+AO16</f>
        <v>139350</v>
      </c>
      <c r="AP17" s="77">
        <f t="shared" ref="AP17" si="109">AO17+AP16</f>
        <v>139350</v>
      </c>
      <c r="AQ17" s="77">
        <f t="shared" ref="AQ17" si="110">AP17+AQ16</f>
        <v>139350</v>
      </c>
      <c r="AR17" s="77">
        <f t="shared" ref="AR17" si="111">AQ17+AR16</f>
        <v>139350</v>
      </c>
      <c r="AS17" s="77">
        <f t="shared" ref="AS17" si="112">AR17+AS16</f>
        <v>139350</v>
      </c>
      <c r="AT17" s="77">
        <f t="shared" ref="AT17" si="113">AS17+AT16</f>
        <v>139350</v>
      </c>
      <c r="AU17" s="77">
        <f t="shared" ref="AU17" si="114">AT17+AU16</f>
        <v>139350</v>
      </c>
      <c r="AV17" s="77">
        <f t="shared" ref="AV17" si="115">AU17+AV16</f>
        <v>139350</v>
      </c>
      <c r="AW17" s="77">
        <f t="shared" ref="AW17" si="116">AV17+AW16</f>
        <v>139350</v>
      </c>
      <c r="AX17" s="77">
        <f t="shared" ref="AX17" si="117">AW17+AX16</f>
        <v>139350</v>
      </c>
      <c r="AY17" s="77">
        <f t="shared" ref="AY17" si="118">AX17+AY16</f>
        <v>139350</v>
      </c>
      <c r="AZ17" s="77">
        <f t="shared" ref="AZ17" si="119">AY17+AZ16</f>
        <v>139350</v>
      </c>
      <c r="BA17" s="77">
        <f t="shared" ref="BA17" si="120">AZ17+BA16</f>
        <v>139350</v>
      </c>
      <c r="BB17" s="77">
        <f t="shared" ref="BB17" si="121">BA17+BB16</f>
        <v>139350</v>
      </c>
      <c r="BC17" s="77">
        <f t="shared" ref="BC17" si="122">BB17+BC16</f>
        <v>139350</v>
      </c>
      <c r="BD17" s="77">
        <f t="shared" ref="BD17" si="123">BC17+BD16</f>
        <v>139350</v>
      </c>
      <c r="BE17" s="77">
        <f t="shared" ref="BE17" si="124">BD17+BE16</f>
        <v>139350</v>
      </c>
      <c r="BF17" s="77">
        <f t="shared" ref="BF17" si="125">BE17+BF16</f>
        <v>139350</v>
      </c>
      <c r="BG17" s="77">
        <f t="shared" ref="BG17" si="126">BF17+BG16</f>
        <v>139350</v>
      </c>
      <c r="BH17" s="77">
        <f t="shared" ref="BH17" si="127">BG17+BH16</f>
        <v>139350</v>
      </c>
      <c r="BI17" s="77">
        <f t="shared" ref="BI17" si="128">BH17+BI16</f>
        <v>139350</v>
      </c>
      <c r="BJ17" s="77">
        <f t="shared" ref="BJ17" si="129">BI17+BJ16</f>
        <v>139350</v>
      </c>
      <c r="BK17" s="77">
        <f t="shared" ref="BK17" si="130">BJ17+BK16</f>
        <v>139350</v>
      </c>
      <c r="BL17" s="77">
        <f t="shared" ref="BL17" si="131">BK17+BL16</f>
        <v>139350</v>
      </c>
      <c r="BM17" s="77">
        <f t="shared" ref="BM17" si="132">BL17+BM16</f>
        <v>139350</v>
      </c>
      <c r="BN17" s="77">
        <f t="shared" ref="BN17" si="133">BM17+BN16</f>
        <v>139350</v>
      </c>
      <c r="BO17" s="77">
        <f t="shared" ref="BO17" si="134">BN17+BO16</f>
        <v>139350</v>
      </c>
    </row>
    <row r="18" spans="1:67" s="18" customFormat="1">
      <c r="A18" s="866">
        <v>8</v>
      </c>
      <c r="B18" s="76"/>
      <c r="C18" s="871" t="s">
        <v>2228</v>
      </c>
      <c r="D18" s="76"/>
      <c r="E18" s="76"/>
      <c r="F18" s="873"/>
      <c r="G18" s="77">
        <v>0</v>
      </c>
      <c r="H18" s="77">
        <v>0</v>
      </c>
      <c r="I18" s="77">
        <v>0</v>
      </c>
      <c r="J18" s="77">
        <v>0</v>
      </c>
      <c r="K18" s="77">
        <v>500</v>
      </c>
      <c r="L18" s="77">
        <v>0</v>
      </c>
      <c r="M18" s="77">
        <v>0</v>
      </c>
      <c r="N18" s="77">
        <v>0</v>
      </c>
      <c r="O18" s="77">
        <v>0</v>
      </c>
      <c r="P18" s="77">
        <v>0</v>
      </c>
      <c r="Q18" s="77">
        <v>0</v>
      </c>
      <c r="R18" s="77">
        <v>0</v>
      </c>
      <c r="S18" s="77">
        <v>0</v>
      </c>
      <c r="T18" s="77">
        <v>200</v>
      </c>
      <c r="U18" s="77">
        <v>0</v>
      </c>
      <c r="V18" s="77">
        <v>0</v>
      </c>
      <c r="W18" s="77">
        <v>0</v>
      </c>
      <c r="X18" s="77">
        <v>0</v>
      </c>
      <c r="Y18" s="77">
        <v>0</v>
      </c>
      <c r="Z18" s="77">
        <v>0</v>
      </c>
      <c r="AA18" s="77">
        <v>0</v>
      </c>
      <c r="AB18" s="77">
        <v>0</v>
      </c>
      <c r="AC18" s="77">
        <v>0</v>
      </c>
      <c r="AD18" s="77">
        <v>0</v>
      </c>
      <c r="AE18" s="77">
        <v>0</v>
      </c>
      <c r="AF18" s="77">
        <v>200</v>
      </c>
      <c r="AG18" s="77">
        <v>0</v>
      </c>
      <c r="AH18" s="77">
        <v>0</v>
      </c>
      <c r="AI18" s="77">
        <v>0</v>
      </c>
      <c r="AJ18" s="77">
        <v>0</v>
      </c>
      <c r="AK18" s="77">
        <v>0</v>
      </c>
      <c r="AL18" s="77">
        <v>0</v>
      </c>
      <c r="AM18" s="77">
        <v>0</v>
      </c>
      <c r="AN18" s="77">
        <v>0</v>
      </c>
      <c r="AO18" s="77">
        <v>0</v>
      </c>
      <c r="AP18" s="77">
        <v>0</v>
      </c>
      <c r="AQ18" s="77">
        <v>0</v>
      </c>
      <c r="AR18" s="77">
        <v>200</v>
      </c>
      <c r="AS18" s="77">
        <v>0</v>
      </c>
      <c r="AT18" s="77">
        <v>0</v>
      </c>
      <c r="AU18" s="77">
        <v>0</v>
      </c>
      <c r="AV18" s="77">
        <v>0</v>
      </c>
      <c r="AW18" s="77">
        <v>0</v>
      </c>
      <c r="AX18" s="77">
        <v>0</v>
      </c>
      <c r="AY18" s="77">
        <v>0</v>
      </c>
      <c r="AZ18" s="77">
        <v>0</v>
      </c>
      <c r="BA18" s="77">
        <v>0</v>
      </c>
      <c r="BB18" s="77">
        <v>0</v>
      </c>
      <c r="BC18" s="77">
        <v>0</v>
      </c>
      <c r="BD18" s="77">
        <v>200</v>
      </c>
      <c r="BE18" s="77">
        <v>0</v>
      </c>
      <c r="BF18" s="77">
        <v>0</v>
      </c>
      <c r="BG18" s="77">
        <v>0</v>
      </c>
      <c r="BH18" s="77">
        <v>0</v>
      </c>
      <c r="BI18" s="77">
        <v>0</v>
      </c>
      <c r="BJ18" s="77">
        <v>0</v>
      </c>
      <c r="BK18" s="77">
        <v>0</v>
      </c>
      <c r="BL18" s="77">
        <v>0</v>
      </c>
      <c r="BM18" s="77">
        <v>0</v>
      </c>
      <c r="BN18" s="77">
        <v>0</v>
      </c>
      <c r="BO18" s="77">
        <v>0</v>
      </c>
    </row>
    <row r="19" spans="1:67" s="18" customFormat="1">
      <c r="A19" s="866">
        <v>8</v>
      </c>
      <c r="B19" s="76"/>
      <c r="C19" s="871" t="s">
        <v>2229</v>
      </c>
      <c r="D19" s="76"/>
      <c r="E19" s="76"/>
      <c r="F19" s="873"/>
      <c r="G19" s="77">
        <f>G18</f>
        <v>0</v>
      </c>
      <c r="H19" s="77">
        <f>G19+H18</f>
        <v>0</v>
      </c>
      <c r="I19" s="77">
        <f t="shared" ref="I19:AK19" si="135">H19+I18</f>
        <v>0</v>
      </c>
      <c r="J19" s="77">
        <f t="shared" si="135"/>
        <v>0</v>
      </c>
      <c r="K19" s="77">
        <f t="shared" si="135"/>
        <v>500</v>
      </c>
      <c r="L19" s="77">
        <f t="shared" si="135"/>
        <v>500</v>
      </c>
      <c r="M19" s="77">
        <f t="shared" si="135"/>
        <v>500</v>
      </c>
      <c r="N19" s="77">
        <f t="shared" si="135"/>
        <v>500</v>
      </c>
      <c r="O19" s="77">
        <f t="shared" si="135"/>
        <v>500</v>
      </c>
      <c r="P19" s="77">
        <f t="shared" si="135"/>
        <v>500</v>
      </c>
      <c r="Q19" s="77">
        <f t="shared" si="135"/>
        <v>500</v>
      </c>
      <c r="R19" s="77">
        <f t="shared" si="135"/>
        <v>500</v>
      </c>
      <c r="S19" s="77">
        <f t="shared" si="135"/>
        <v>500</v>
      </c>
      <c r="T19" s="77">
        <f t="shared" si="135"/>
        <v>700</v>
      </c>
      <c r="U19" s="77">
        <f t="shared" si="135"/>
        <v>700</v>
      </c>
      <c r="V19" s="77">
        <f t="shared" si="135"/>
        <v>700</v>
      </c>
      <c r="W19" s="77">
        <f t="shared" si="135"/>
        <v>700</v>
      </c>
      <c r="X19" s="77">
        <f t="shared" si="135"/>
        <v>700</v>
      </c>
      <c r="Y19" s="77">
        <f t="shared" si="135"/>
        <v>700</v>
      </c>
      <c r="Z19" s="77">
        <f t="shared" si="135"/>
        <v>700</v>
      </c>
      <c r="AA19" s="77">
        <f t="shared" si="135"/>
        <v>700</v>
      </c>
      <c r="AB19" s="77">
        <f t="shared" si="135"/>
        <v>700</v>
      </c>
      <c r="AC19" s="77">
        <f t="shared" si="135"/>
        <v>700</v>
      </c>
      <c r="AD19" s="77">
        <f t="shared" si="135"/>
        <v>700</v>
      </c>
      <c r="AE19" s="77">
        <f t="shared" si="135"/>
        <v>700</v>
      </c>
      <c r="AF19" s="77">
        <f t="shared" si="135"/>
        <v>900</v>
      </c>
      <c r="AG19" s="77">
        <f t="shared" si="135"/>
        <v>900</v>
      </c>
      <c r="AH19" s="77">
        <f t="shared" si="135"/>
        <v>900</v>
      </c>
      <c r="AI19" s="77">
        <f t="shared" si="135"/>
        <v>900</v>
      </c>
      <c r="AJ19" s="77">
        <f t="shared" si="135"/>
        <v>900</v>
      </c>
      <c r="AK19" s="77">
        <f t="shared" si="135"/>
        <v>900</v>
      </c>
      <c r="AL19" s="77">
        <f t="shared" ref="AL19" si="136">AK19+AL18</f>
        <v>900</v>
      </c>
      <c r="AM19" s="77">
        <f t="shared" ref="AM19" si="137">AL19+AM18</f>
        <v>900</v>
      </c>
      <c r="AN19" s="77">
        <f t="shared" ref="AN19" si="138">AM19+AN18</f>
        <v>900</v>
      </c>
      <c r="AO19" s="77">
        <f t="shared" ref="AO19" si="139">AN19+AO18</f>
        <v>900</v>
      </c>
      <c r="AP19" s="77">
        <f t="shared" ref="AP19" si="140">AO19+AP18</f>
        <v>900</v>
      </c>
      <c r="AQ19" s="77">
        <f t="shared" ref="AQ19" si="141">AP19+AQ18</f>
        <v>900</v>
      </c>
      <c r="AR19" s="77">
        <f t="shared" ref="AR19" si="142">AQ19+AR18</f>
        <v>1100</v>
      </c>
      <c r="AS19" s="77">
        <f t="shared" ref="AS19" si="143">AR19+AS18</f>
        <v>1100</v>
      </c>
      <c r="AT19" s="77">
        <f t="shared" ref="AT19" si="144">AS19+AT18</f>
        <v>1100</v>
      </c>
      <c r="AU19" s="77">
        <f t="shared" ref="AU19" si="145">AT19+AU18</f>
        <v>1100</v>
      </c>
      <c r="AV19" s="77">
        <f t="shared" ref="AV19" si="146">AU19+AV18</f>
        <v>1100</v>
      </c>
      <c r="AW19" s="77">
        <f t="shared" ref="AW19" si="147">AV19+AW18</f>
        <v>1100</v>
      </c>
      <c r="AX19" s="77">
        <f t="shared" ref="AX19" si="148">AW19+AX18</f>
        <v>1100</v>
      </c>
      <c r="AY19" s="77">
        <f t="shared" ref="AY19" si="149">AX19+AY18</f>
        <v>1100</v>
      </c>
      <c r="AZ19" s="77">
        <f t="shared" ref="AZ19" si="150">AY19+AZ18</f>
        <v>1100</v>
      </c>
      <c r="BA19" s="77">
        <f t="shared" ref="BA19" si="151">AZ19+BA18</f>
        <v>1100</v>
      </c>
      <c r="BB19" s="77">
        <f t="shared" ref="BB19" si="152">BA19+BB18</f>
        <v>1100</v>
      </c>
      <c r="BC19" s="77">
        <f t="shared" ref="BC19" si="153">BB19+BC18</f>
        <v>1100</v>
      </c>
      <c r="BD19" s="77">
        <f t="shared" ref="BD19" si="154">BC19+BD18</f>
        <v>1300</v>
      </c>
      <c r="BE19" s="77">
        <f t="shared" ref="BE19" si="155">BD19+BE18</f>
        <v>1300</v>
      </c>
      <c r="BF19" s="77">
        <f t="shared" ref="BF19" si="156">BE19+BF18</f>
        <v>1300</v>
      </c>
      <c r="BG19" s="77">
        <f t="shared" ref="BG19" si="157">BF19+BG18</f>
        <v>1300</v>
      </c>
      <c r="BH19" s="77">
        <f t="shared" ref="BH19" si="158">BG19+BH18</f>
        <v>1300</v>
      </c>
      <c r="BI19" s="77">
        <f t="shared" ref="BI19" si="159">BH19+BI18</f>
        <v>1300</v>
      </c>
      <c r="BJ19" s="77">
        <f t="shared" ref="BJ19" si="160">BI19+BJ18</f>
        <v>1300</v>
      </c>
      <c r="BK19" s="77">
        <f t="shared" ref="BK19" si="161">BJ19+BK18</f>
        <v>1300</v>
      </c>
      <c r="BL19" s="77">
        <f t="shared" ref="BL19" si="162">BK19+BL18</f>
        <v>1300</v>
      </c>
      <c r="BM19" s="77">
        <f t="shared" ref="BM19" si="163">BL19+BM18</f>
        <v>1300</v>
      </c>
      <c r="BN19" s="77">
        <f t="shared" ref="BN19" si="164">BM19+BN18</f>
        <v>1300</v>
      </c>
      <c r="BO19" s="77">
        <f t="shared" ref="BO19" si="165">BN19+BO18</f>
        <v>1300</v>
      </c>
    </row>
    <row r="20" spans="1:67" s="18" customFormat="1">
      <c r="A20" s="866">
        <v>8</v>
      </c>
      <c r="B20" s="76"/>
      <c r="C20" s="871" t="s">
        <v>2230</v>
      </c>
      <c r="D20" s="76"/>
      <c r="E20" s="76"/>
      <c r="F20" s="874">
        <v>0.7</v>
      </c>
      <c r="G20" s="77">
        <f>(G$17+G$19)/99%*1%*(DATE(YEAR(G$3),12,31)-G$3)/365</f>
        <v>0</v>
      </c>
      <c r="H20" s="77">
        <f>(H$17+H$19)/99%*1%*(DATE(YEAR(H$3),12,31)-H$3)/365*$F$20</f>
        <v>0</v>
      </c>
      <c r="I20" s="77">
        <f>(I$16+I$18)/99%*1%*(DATE(YEAR(I$3),12,31)-I$3)/365*$F$20</f>
        <v>0</v>
      </c>
      <c r="J20" s="77">
        <f t="shared" ref="J20:S20" si="166">(J$16+J$18)/99%*1%*(DATE(YEAR(J$3),12,31)-J$3)/365*$F$20</f>
        <v>0</v>
      </c>
      <c r="K20" s="77">
        <f t="shared" si="166"/>
        <v>25.743185277431856</v>
      </c>
      <c r="L20" s="77">
        <f t="shared" si="166"/>
        <v>0</v>
      </c>
      <c r="M20" s="77">
        <f t="shared" si="166"/>
        <v>61.892901618929017</v>
      </c>
      <c r="N20" s="77">
        <f t="shared" si="166"/>
        <v>0</v>
      </c>
      <c r="O20" s="77">
        <f t="shared" si="166"/>
        <v>0</v>
      </c>
      <c r="P20" s="77">
        <f t="shared" si="166"/>
        <v>0</v>
      </c>
      <c r="Q20" s="77">
        <f t="shared" si="166"/>
        <v>0</v>
      </c>
      <c r="R20" s="77">
        <f t="shared" si="166"/>
        <v>0</v>
      </c>
      <c r="S20" s="77">
        <f t="shared" si="166"/>
        <v>34.869240348692408</v>
      </c>
      <c r="T20" s="77">
        <f>(T$17+T$19)/99%*1%*(DATE(YEAR(T$3),12,31)-T$3)/365*$F$20</f>
        <v>564.45938840459382</v>
      </c>
      <c r="U20" s="77">
        <f t="shared" ref="U20:AE20" si="167">U$16/99%*1%*(DATE(YEAR(U$3),12,31)-U$3)/365*$F$20</f>
        <v>0</v>
      </c>
      <c r="V20" s="77">
        <f t="shared" si="167"/>
        <v>0</v>
      </c>
      <c r="W20" s="77">
        <f t="shared" si="167"/>
        <v>0</v>
      </c>
      <c r="X20" s="77">
        <f t="shared" si="167"/>
        <v>0</v>
      </c>
      <c r="Y20" s="77">
        <f t="shared" si="167"/>
        <v>61.892901618929017</v>
      </c>
      <c r="Z20" s="77">
        <f t="shared" si="167"/>
        <v>0</v>
      </c>
      <c r="AA20" s="77">
        <f t="shared" si="167"/>
        <v>0</v>
      </c>
      <c r="AB20" s="77">
        <f t="shared" si="167"/>
        <v>35.159817351598178</v>
      </c>
      <c r="AC20" s="77">
        <f t="shared" si="167"/>
        <v>0</v>
      </c>
      <c r="AD20" s="77">
        <f t="shared" si="167"/>
        <v>0</v>
      </c>
      <c r="AE20" s="77">
        <f t="shared" si="167"/>
        <v>8.717310087173102</v>
      </c>
      <c r="AF20" s="77">
        <f>AF$17/99%*1%*(DATE(YEAR(AF$3),12,31)-AF$3)/365*$F$20</f>
        <v>879.24242424242414</v>
      </c>
      <c r="AG20" s="77">
        <f>AG$16/99%*1%*(DATE(YEAR(AG$3),12,31)-AG$3)/365*$F$20</f>
        <v>0</v>
      </c>
      <c r="AH20" s="77">
        <f>AH$16/99%*1%*(DATE(YEAR(AH$3),12,31)-AH$3)/365*$F$20</f>
        <v>0</v>
      </c>
      <c r="AI20" s="77">
        <f>AI$16/99%*1%*(DATE(YEAR(AI$3),12,31)-AI$3)/365*$F$20</f>
        <v>0</v>
      </c>
      <c r="AJ20" s="77">
        <f>AJ$16/99%*1%*(DATE(YEAR(AJ$3),12,31)-AJ$3)/365*$F$20</f>
        <v>0</v>
      </c>
      <c r="AK20" s="77">
        <f>AK$16/99%*1%*(DATE(YEAR(AP$3),12,31)-AP$3)/365*$F$20</f>
        <v>17.434620174346204</v>
      </c>
      <c r="AL20" s="77">
        <f t="shared" ref="AL20:BO20" si="168">AL$16/99%*1%*(DATE(YEAR(AQ$3),12,31)-AQ$3)/365*$F$20</f>
        <v>0</v>
      </c>
      <c r="AM20" s="77">
        <f t="shared" si="168"/>
        <v>0</v>
      </c>
      <c r="AN20" s="77">
        <f t="shared" si="168"/>
        <v>0</v>
      </c>
      <c r="AO20" s="77">
        <f t="shared" si="168"/>
        <v>0</v>
      </c>
      <c r="AP20" s="77">
        <f t="shared" si="168"/>
        <v>0</v>
      </c>
      <c r="AQ20" s="77">
        <f t="shared" si="168"/>
        <v>0</v>
      </c>
      <c r="AR20" s="77">
        <f t="shared" si="168"/>
        <v>0</v>
      </c>
      <c r="AS20" s="77">
        <f t="shared" si="168"/>
        <v>0</v>
      </c>
      <c r="AT20" s="77">
        <f t="shared" si="168"/>
        <v>0</v>
      </c>
      <c r="AU20" s="77">
        <f t="shared" si="168"/>
        <v>0</v>
      </c>
      <c r="AV20" s="77">
        <f t="shared" si="168"/>
        <v>0</v>
      </c>
      <c r="AW20" s="77">
        <f t="shared" si="168"/>
        <v>0</v>
      </c>
      <c r="AX20" s="77">
        <f t="shared" si="168"/>
        <v>0</v>
      </c>
      <c r="AY20" s="77">
        <f t="shared" si="168"/>
        <v>0</v>
      </c>
      <c r="AZ20" s="77">
        <f t="shared" si="168"/>
        <v>0</v>
      </c>
      <c r="BA20" s="77">
        <f t="shared" si="168"/>
        <v>0</v>
      </c>
      <c r="BB20" s="77">
        <f t="shared" si="168"/>
        <v>0</v>
      </c>
      <c r="BC20" s="77">
        <f t="shared" si="168"/>
        <v>0</v>
      </c>
      <c r="BD20" s="77">
        <f t="shared" si="168"/>
        <v>0</v>
      </c>
      <c r="BE20" s="77">
        <f t="shared" si="168"/>
        <v>0</v>
      </c>
      <c r="BF20" s="77">
        <f t="shared" si="168"/>
        <v>0</v>
      </c>
      <c r="BG20" s="77">
        <f t="shared" si="168"/>
        <v>0</v>
      </c>
      <c r="BH20" s="77">
        <f t="shared" si="168"/>
        <v>0</v>
      </c>
      <c r="BI20" s="77">
        <f t="shared" si="168"/>
        <v>0</v>
      </c>
      <c r="BJ20" s="77">
        <f t="shared" si="168"/>
        <v>0</v>
      </c>
      <c r="BK20" s="77">
        <f t="shared" si="168"/>
        <v>0</v>
      </c>
      <c r="BL20" s="77">
        <f t="shared" si="168"/>
        <v>0</v>
      </c>
      <c r="BM20" s="77">
        <f t="shared" si="168"/>
        <v>0</v>
      </c>
      <c r="BN20" s="77">
        <f t="shared" si="168"/>
        <v>0</v>
      </c>
      <c r="BO20" s="77">
        <f t="shared" si="168"/>
        <v>0</v>
      </c>
    </row>
    <row r="21" spans="1:67" s="18" customFormat="1">
      <c r="A21" s="866">
        <v>8</v>
      </c>
      <c r="B21" s="76"/>
      <c r="C21" s="871" t="s">
        <v>2231</v>
      </c>
      <c r="D21" s="76" t="s">
        <v>2232</v>
      </c>
      <c r="E21" s="187">
        <f>汇总!E65</f>
        <v>0</v>
      </c>
      <c r="F21" s="874">
        <v>0.3</v>
      </c>
      <c r="G21" s="77">
        <v>0</v>
      </c>
      <c r="H21" s="77">
        <f>(H$17+H$19)/99%*1%*(DATE(YEAR(H$3),12,31)-H$3)/365*$F$21*$E$21</f>
        <v>0</v>
      </c>
      <c r="I21" s="77">
        <f>(I$16+I$18)/99%*1%*(DATE(YEAR(I$3),12,31)-I$3)/365*$F$21*$E$21</f>
        <v>0</v>
      </c>
      <c r="J21" s="77">
        <f t="shared" ref="J21:AE21" si="169">(J$16+J$18)/99%*1%*(DATE(YEAR(J$3),12,31)-J$3)/365*$F$21*$E$21</f>
        <v>0</v>
      </c>
      <c r="K21" s="77">
        <f t="shared" si="169"/>
        <v>0</v>
      </c>
      <c r="L21" s="77">
        <f t="shared" si="169"/>
        <v>0</v>
      </c>
      <c r="M21" s="77">
        <f t="shared" si="169"/>
        <v>0</v>
      </c>
      <c r="N21" s="77">
        <f t="shared" si="169"/>
        <v>0</v>
      </c>
      <c r="O21" s="77">
        <f t="shared" si="169"/>
        <v>0</v>
      </c>
      <c r="P21" s="77">
        <f t="shared" si="169"/>
        <v>0</v>
      </c>
      <c r="Q21" s="77">
        <f t="shared" si="169"/>
        <v>0</v>
      </c>
      <c r="R21" s="77">
        <f t="shared" si="169"/>
        <v>0</v>
      </c>
      <c r="S21" s="77">
        <f t="shared" si="169"/>
        <v>0</v>
      </c>
      <c r="T21" s="77">
        <f>(T$17+T$19)/99%*1%*(DATE(YEAR(T$3),12,31)-T$3)/365*$F$21*$E$21</f>
        <v>0</v>
      </c>
      <c r="U21" s="77">
        <f t="shared" si="169"/>
        <v>0</v>
      </c>
      <c r="V21" s="77">
        <f t="shared" si="169"/>
        <v>0</v>
      </c>
      <c r="W21" s="77">
        <f t="shared" si="169"/>
        <v>0</v>
      </c>
      <c r="X21" s="77">
        <f t="shared" si="169"/>
        <v>0</v>
      </c>
      <c r="Y21" s="77">
        <f t="shared" si="169"/>
        <v>0</v>
      </c>
      <c r="Z21" s="77">
        <f t="shared" si="169"/>
        <v>0</v>
      </c>
      <c r="AA21" s="77">
        <f t="shared" si="169"/>
        <v>0</v>
      </c>
      <c r="AB21" s="77">
        <f t="shared" si="169"/>
        <v>0</v>
      </c>
      <c r="AC21" s="77">
        <f t="shared" si="169"/>
        <v>0</v>
      </c>
      <c r="AD21" s="77">
        <f t="shared" si="169"/>
        <v>0</v>
      </c>
      <c r="AE21" s="77">
        <f t="shared" si="169"/>
        <v>0</v>
      </c>
      <c r="AF21" s="77">
        <f>(AF$17+AF$19)/99%*1%*(DATE(YEAR(AF$3),12,31)-AF$3)/365*$F$21*$E21</f>
        <v>0</v>
      </c>
      <c r="AG21" s="77">
        <f>AG$16/99%*1%*(DATE(YEAR(AG$3),12,31)-AG$3)/365*$F$21</f>
        <v>0</v>
      </c>
      <c r="AH21" s="77">
        <f>AH$16/99%*1%*(DATE(YEAR(AH$3),12,31)-AH$3)/365*$F$21</f>
        <v>0</v>
      </c>
      <c r="AI21" s="77">
        <f>AI$16/99%*1%*(DATE(YEAR(AI$3),12,31)-AI$3)/365*$F$21</f>
        <v>0</v>
      </c>
      <c r="AJ21" s="77">
        <f>AJ$16/99%*1%*(DATE(YEAR(AJ$3),12,31)-AJ$3)/365*$F$21</f>
        <v>0</v>
      </c>
      <c r="AK21" s="77">
        <f>(AK$16+AK$18)/99%*1%*(DATE(YEAR(AP$3),12,31)-AP$3)/365*$F$21*$E$21</f>
        <v>0</v>
      </c>
      <c r="AL21" s="77">
        <f t="shared" ref="AL21:BO21" si="170">(AL$16+AL$18)/99%*1%*(DATE(YEAR(AQ$3),12,31)-AQ$3)/365*$F$21*$E$21</f>
        <v>0</v>
      </c>
      <c r="AM21" s="77">
        <f t="shared" si="170"/>
        <v>0</v>
      </c>
      <c r="AN21" s="77">
        <f t="shared" si="170"/>
        <v>0</v>
      </c>
      <c r="AO21" s="77">
        <f t="shared" si="170"/>
        <v>0</v>
      </c>
      <c r="AP21" s="77">
        <f t="shared" si="170"/>
        <v>0</v>
      </c>
      <c r="AQ21" s="77">
        <f t="shared" si="170"/>
        <v>0</v>
      </c>
      <c r="AR21" s="77">
        <f t="shared" si="170"/>
        <v>0</v>
      </c>
      <c r="AS21" s="77">
        <f t="shared" si="170"/>
        <v>0</v>
      </c>
      <c r="AT21" s="77">
        <f t="shared" si="170"/>
        <v>0</v>
      </c>
      <c r="AU21" s="77">
        <f t="shared" si="170"/>
        <v>0</v>
      </c>
      <c r="AV21" s="77">
        <f t="shared" si="170"/>
        <v>0</v>
      </c>
      <c r="AW21" s="77">
        <f t="shared" si="170"/>
        <v>0</v>
      </c>
      <c r="AX21" s="77">
        <f t="shared" si="170"/>
        <v>0</v>
      </c>
      <c r="AY21" s="77">
        <f t="shared" si="170"/>
        <v>0</v>
      </c>
      <c r="AZ21" s="77">
        <f t="shared" si="170"/>
        <v>0</v>
      </c>
      <c r="BA21" s="77">
        <f t="shared" si="170"/>
        <v>0</v>
      </c>
      <c r="BB21" s="77">
        <f t="shared" si="170"/>
        <v>0</v>
      </c>
      <c r="BC21" s="77">
        <f t="shared" si="170"/>
        <v>0</v>
      </c>
      <c r="BD21" s="77">
        <f t="shared" si="170"/>
        <v>0</v>
      </c>
      <c r="BE21" s="77">
        <f t="shared" si="170"/>
        <v>0</v>
      </c>
      <c r="BF21" s="77">
        <f t="shared" si="170"/>
        <v>0</v>
      </c>
      <c r="BG21" s="77">
        <f t="shared" si="170"/>
        <v>0</v>
      </c>
      <c r="BH21" s="77">
        <f t="shared" si="170"/>
        <v>0</v>
      </c>
      <c r="BI21" s="77">
        <f t="shared" si="170"/>
        <v>0</v>
      </c>
      <c r="BJ21" s="77">
        <f t="shared" si="170"/>
        <v>0</v>
      </c>
      <c r="BK21" s="77">
        <f t="shared" si="170"/>
        <v>0</v>
      </c>
      <c r="BL21" s="77">
        <f t="shared" si="170"/>
        <v>0</v>
      </c>
      <c r="BM21" s="77">
        <f t="shared" si="170"/>
        <v>0</v>
      </c>
      <c r="BN21" s="77">
        <f t="shared" si="170"/>
        <v>0</v>
      </c>
      <c r="BO21" s="77">
        <f t="shared" si="170"/>
        <v>0</v>
      </c>
    </row>
    <row r="22" spans="1:67" s="18" customFormat="1">
      <c r="A22" s="866"/>
      <c r="B22" s="76"/>
      <c r="C22" s="871" t="s">
        <v>2233</v>
      </c>
      <c r="D22" s="76"/>
      <c r="E22" s="76"/>
      <c r="F22" s="873"/>
      <c r="G22" s="77">
        <f>SUM(G16,G20:G21)</f>
        <v>0</v>
      </c>
      <c r="H22" s="77">
        <f t="shared" ref="H22:J22" si="171">SUM(H16,H20:H21)</f>
        <v>0</v>
      </c>
      <c r="I22" s="77">
        <f t="shared" si="171"/>
        <v>0</v>
      </c>
      <c r="J22" s="77">
        <f t="shared" si="171"/>
        <v>0</v>
      </c>
      <c r="K22" s="77">
        <f>SUM(K16,K18,K20:K21)</f>
        <v>4875.7431852774316</v>
      </c>
      <c r="L22" s="77">
        <f t="shared" ref="L22:AK22" si="172">SUM(L16,L18,L20:L21)</f>
        <v>0</v>
      </c>
      <c r="M22" s="77">
        <f t="shared" si="172"/>
        <v>15061.892901618929</v>
      </c>
      <c r="N22" s="77">
        <f t="shared" si="172"/>
        <v>0</v>
      </c>
      <c r="O22" s="77">
        <f t="shared" si="172"/>
        <v>0</v>
      </c>
      <c r="P22" s="77">
        <f t="shared" si="172"/>
        <v>0</v>
      </c>
      <c r="Q22" s="77">
        <f t="shared" si="172"/>
        <v>0</v>
      </c>
      <c r="R22" s="77">
        <f t="shared" si="172"/>
        <v>0</v>
      </c>
      <c r="S22" s="77">
        <f t="shared" si="172"/>
        <v>60034.869240348693</v>
      </c>
      <c r="T22" s="77">
        <f t="shared" si="172"/>
        <v>764.45938840459382</v>
      </c>
      <c r="U22" s="77">
        <f t="shared" si="172"/>
        <v>0</v>
      </c>
      <c r="V22" s="77">
        <f t="shared" si="172"/>
        <v>0</v>
      </c>
      <c r="W22" s="77">
        <f t="shared" si="172"/>
        <v>0</v>
      </c>
      <c r="X22" s="77">
        <f t="shared" si="172"/>
        <v>0</v>
      </c>
      <c r="Y22" s="77">
        <f t="shared" si="172"/>
        <v>15061.892901618929</v>
      </c>
      <c r="Z22" s="77">
        <f t="shared" si="172"/>
        <v>0</v>
      </c>
      <c r="AA22" s="77">
        <f t="shared" si="172"/>
        <v>0</v>
      </c>
      <c r="AB22" s="77">
        <f t="shared" si="172"/>
        <v>15035.159817351598</v>
      </c>
      <c r="AC22" s="77">
        <f t="shared" si="172"/>
        <v>0</v>
      </c>
      <c r="AD22" s="77">
        <f t="shared" si="172"/>
        <v>0</v>
      </c>
      <c r="AE22" s="77">
        <f t="shared" si="172"/>
        <v>15008.717310087173</v>
      </c>
      <c r="AF22" s="77">
        <f t="shared" si="172"/>
        <v>1079.242424242424</v>
      </c>
      <c r="AG22" s="77">
        <f t="shared" si="172"/>
        <v>0</v>
      </c>
      <c r="AH22" s="77">
        <f t="shared" si="172"/>
        <v>0</v>
      </c>
      <c r="AI22" s="77">
        <f t="shared" si="172"/>
        <v>0</v>
      </c>
      <c r="AJ22" s="77">
        <f t="shared" si="172"/>
        <v>0</v>
      </c>
      <c r="AK22" s="77">
        <f t="shared" si="172"/>
        <v>15017.434620174346</v>
      </c>
      <c r="AL22" s="77">
        <f t="shared" ref="AL22:BO22" si="173">SUM(AL16,AL18,AL20:AL21)</f>
        <v>0</v>
      </c>
      <c r="AM22" s="77">
        <f t="shared" si="173"/>
        <v>0</v>
      </c>
      <c r="AN22" s="77">
        <f t="shared" si="173"/>
        <v>0</v>
      </c>
      <c r="AO22" s="77">
        <f t="shared" si="173"/>
        <v>0</v>
      </c>
      <c r="AP22" s="77">
        <f t="shared" si="173"/>
        <v>0</v>
      </c>
      <c r="AQ22" s="77">
        <f t="shared" si="173"/>
        <v>0</v>
      </c>
      <c r="AR22" s="77">
        <f t="shared" si="173"/>
        <v>200</v>
      </c>
      <c r="AS22" s="77">
        <f t="shared" si="173"/>
        <v>0</v>
      </c>
      <c r="AT22" s="77">
        <f t="shared" si="173"/>
        <v>0</v>
      </c>
      <c r="AU22" s="77">
        <f t="shared" si="173"/>
        <v>0</v>
      </c>
      <c r="AV22" s="77">
        <f t="shared" si="173"/>
        <v>0</v>
      </c>
      <c r="AW22" s="77">
        <f t="shared" si="173"/>
        <v>0</v>
      </c>
      <c r="AX22" s="77">
        <f t="shared" si="173"/>
        <v>0</v>
      </c>
      <c r="AY22" s="77">
        <f t="shared" si="173"/>
        <v>0</v>
      </c>
      <c r="AZ22" s="77">
        <f t="shared" si="173"/>
        <v>0</v>
      </c>
      <c r="BA22" s="77">
        <f t="shared" si="173"/>
        <v>0</v>
      </c>
      <c r="BB22" s="77">
        <f t="shared" si="173"/>
        <v>0</v>
      </c>
      <c r="BC22" s="77">
        <f t="shared" si="173"/>
        <v>0</v>
      </c>
      <c r="BD22" s="77">
        <f t="shared" si="173"/>
        <v>200</v>
      </c>
      <c r="BE22" s="77">
        <f t="shared" si="173"/>
        <v>0</v>
      </c>
      <c r="BF22" s="77">
        <f t="shared" si="173"/>
        <v>0</v>
      </c>
      <c r="BG22" s="77">
        <f t="shared" si="173"/>
        <v>0</v>
      </c>
      <c r="BH22" s="77">
        <f t="shared" si="173"/>
        <v>0</v>
      </c>
      <c r="BI22" s="77">
        <f t="shared" si="173"/>
        <v>0</v>
      </c>
      <c r="BJ22" s="77">
        <f t="shared" si="173"/>
        <v>0</v>
      </c>
      <c r="BK22" s="77">
        <f t="shared" si="173"/>
        <v>0</v>
      </c>
      <c r="BL22" s="77">
        <f t="shared" si="173"/>
        <v>0</v>
      </c>
      <c r="BM22" s="77">
        <f t="shared" si="173"/>
        <v>0</v>
      </c>
      <c r="BN22" s="77">
        <f t="shared" si="173"/>
        <v>0</v>
      </c>
      <c r="BO22" s="77">
        <f t="shared" si="173"/>
        <v>0</v>
      </c>
    </row>
    <row r="23" spans="1:67" s="18" customFormat="1">
      <c r="A23" s="866"/>
      <c r="B23" s="76"/>
      <c r="C23" s="871" t="s">
        <v>2234</v>
      </c>
      <c r="D23" s="875" t="s">
        <v>2235</v>
      </c>
      <c r="E23" s="77">
        <v>150000</v>
      </c>
      <c r="F23" s="874">
        <v>1</v>
      </c>
      <c r="G23" s="77">
        <f>G22</f>
        <v>0</v>
      </c>
      <c r="H23" s="77">
        <f>G23+H22</f>
        <v>0</v>
      </c>
      <c r="I23" s="77">
        <f t="shared" ref="I23:AK23" si="174">H23+I22</f>
        <v>0</v>
      </c>
      <c r="J23" s="77">
        <f t="shared" si="174"/>
        <v>0</v>
      </c>
      <c r="K23" s="77">
        <f t="shared" si="174"/>
        <v>4875.7431852774316</v>
      </c>
      <c r="L23" s="77">
        <f t="shared" si="174"/>
        <v>4875.7431852774316</v>
      </c>
      <c r="M23" s="77">
        <f t="shared" si="174"/>
        <v>19937.63608689636</v>
      </c>
      <c r="N23" s="77">
        <f t="shared" si="174"/>
        <v>19937.63608689636</v>
      </c>
      <c r="O23" s="77">
        <f t="shared" si="174"/>
        <v>19937.63608689636</v>
      </c>
      <c r="P23" s="77">
        <f t="shared" si="174"/>
        <v>19937.63608689636</v>
      </c>
      <c r="Q23" s="77">
        <f t="shared" si="174"/>
        <v>19937.63608689636</v>
      </c>
      <c r="R23" s="77">
        <f t="shared" si="174"/>
        <v>19937.63608689636</v>
      </c>
      <c r="S23" s="77">
        <f t="shared" si="174"/>
        <v>79972.505327245046</v>
      </c>
      <c r="T23" s="77">
        <f t="shared" si="174"/>
        <v>80736.964715649636</v>
      </c>
      <c r="U23" s="77">
        <f t="shared" si="174"/>
        <v>80736.964715649636</v>
      </c>
      <c r="V23" s="77">
        <f t="shared" si="174"/>
        <v>80736.964715649636</v>
      </c>
      <c r="W23" s="77">
        <f t="shared" si="174"/>
        <v>80736.964715649636</v>
      </c>
      <c r="X23" s="77">
        <f t="shared" si="174"/>
        <v>80736.964715649636</v>
      </c>
      <c r="Y23" s="77">
        <f t="shared" si="174"/>
        <v>95798.857617268572</v>
      </c>
      <c r="Z23" s="77">
        <f t="shared" si="174"/>
        <v>95798.857617268572</v>
      </c>
      <c r="AA23" s="77">
        <f t="shared" si="174"/>
        <v>95798.857617268572</v>
      </c>
      <c r="AB23" s="77">
        <f t="shared" si="174"/>
        <v>110834.01743462017</v>
      </c>
      <c r="AC23" s="77">
        <f t="shared" si="174"/>
        <v>110834.01743462017</v>
      </c>
      <c r="AD23" s="77">
        <f t="shared" si="174"/>
        <v>110834.01743462017</v>
      </c>
      <c r="AE23" s="77">
        <f t="shared" si="174"/>
        <v>125842.73474470734</v>
      </c>
      <c r="AF23" s="77">
        <f t="shared" si="174"/>
        <v>126921.97716894976</v>
      </c>
      <c r="AG23" s="77">
        <f t="shared" si="174"/>
        <v>126921.97716894976</v>
      </c>
      <c r="AH23" s="77">
        <f t="shared" si="174"/>
        <v>126921.97716894976</v>
      </c>
      <c r="AI23" s="77">
        <f t="shared" si="174"/>
        <v>126921.97716894976</v>
      </c>
      <c r="AJ23" s="77">
        <f t="shared" si="174"/>
        <v>126921.97716894976</v>
      </c>
      <c r="AK23" s="77">
        <f t="shared" si="174"/>
        <v>141939.4117891241</v>
      </c>
      <c r="AL23" s="77">
        <f t="shared" ref="AL23" si="175">AK23+AL22</f>
        <v>141939.4117891241</v>
      </c>
      <c r="AM23" s="77">
        <f t="shared" ref="AM23" si="176">AL23+AM22</f>
        <v>141939.4117891241</v>
      </c>
      <c r="AN23" s="77">
        <f t="shared" ref="AN23" si="177">AM23+AN22</f>
        <v>141939.4117891241</v>
      </c>
      <c r="AO23" s="77">
        <f t="shared" ref="AO23" si="178">AN23+AO22</f>
        <v>141939.4117891241</v>
      </c>
      <c r="AP23" s="77">
        <f t="shared" ref="AP23" si="179">AO23+AP22</f>
        <v>141939.4117891241</v>
      </c>
      <c r="AQ23" s="77">
        <f t="shared" ref="AQ23" si="180">AP23+AQ22</f>
        <v>141939.4117891241</v>
      </c>
      <c r="AR23" s="77">
        <f t="shared" ref="AR23" si="181">AQ23+AR22</f>
        <v>142139.4117891241</v>
      </c>
      <c r="AS23" s="77">
        <f t="shared" ref="AS23" si="182">AR23+AS22</f>
        <v>142139.4117891241</v>
      </c>
      <c r="AT23" s="77">
        <f t="shared" ref="AT23" si="183">AS23+AT22</f>
        <v>142139.4117891241</v>
      </c>
      <c r="AU23" s="77">
        <f t="shared" ref="AU23" si="184">AT23+AU22</f>
        <v>142139.4117891241</v>
      </c>
      <c r="AV23" s="77">
        <f t="shared" ref="AV23" si="185">AU23+AV22</f>
        <v>142139.4117891241</v>
      </c>
      <c r="AW23" s="77">
        <f t="shared" ref="AW23" si="186">AV23+AW22</f>
        <v>142139.4117891241</v>
      </c>
      <c r="AX23" s="77">
        <f t="shared" ref="AX23" si="187">AW23+AX22</f>
        <v>142139.4117891241</v>
      </c>
      <c r="AY23" s="77">
        <f t="shared" ref="AY23" si="188">AX23+AY22</f>
        <v>142139.4117891241</v>
      </c>
      <c r="AZ23" s="77">
        <f t="shared" ref="AZ23" si="189">AY23+AZ22</f>
        <v>142139.4117891241</v>
      </c>
      <c r="BA23" s="77">
        <f t="shared" ref="BA23" si="190">AZ23+BA22</f>
        <v>142139.4117891241</v>
      </c>
      <c r="BB23" s="77">
        <f t="shared" ref="BB23" si="191">BA23+BB22</f>
        <v>142139.4117891241</v>
      </c>
      <c r="BC23" s="77">
        <f t="shared" ref="BC23" si="192">BB23+BC22</f>
        <v>142139.4117891241</v>
      </c>
      <c r="BD23" s="77">
        <f t="shared" ref="BD23" si="193">BC23+BD22</f>
        <v>142339.4117891241</v>
      </c>
      <c r="BE23" s="77">
        <f t="shared" ref="BE23" si="194">BD23+BE22</f>
        <v>142339.4117891241</v>
      </c>
      <c r="BF23" s="77">
        <f t="shared" ref="BF23" si="195">BE23+BF22</f>
        <v>142339.4117891241</v>
      </c>
      <c r="BG23" s="77">
        <f t="shared" ref="BG23" si="196">BF23+BG22</f>
        <v>142339.4117891241</v>
      </c>
      <c r="BH23" s="77">
        <f t="shared" ref="BH23" si="197">BG23+BH22</f>
        <v>142339.4117891241</v>
      </c>
      <c r="BI23" s="77">
        <f t="shared" ref="BI23" si="198">BH23+BI22</f>
        <v>142339.4117891241</v>
      </c>
      <c r="BJ23" s="77">
        <f t="shared" ref="BJ23" si="199">BI23+BJ22</f>
        <v>142339.4117891241</v>
      </c>
      <c r="BK23" s="77">
        <f t="shared" ref="BK23" si="200">BJ23+BK22</f>
        <v>142339.4117891241</v>
      </c>
      <c r="BL23" s="77">
        <f t="shared" ref="BL23" si="201">BK23+BL22</f>
        <v>142339.4117891241</v>
      </c>
      <c r="BM23" s="77">
        <f t="shared" ref="BM23" si="202">BL23+BM22</f>
        <v>142339.4117891241</v>
      </c>
      <c r="BN23" s="77">
        <f t="shared" ref="BN23" si="203">BM23+BN22</f>
        <v>142339.4117891241</v>
      </c>
      <c r="BO23" s="77">
        <f t="shared" ref="BO23" si="204">BN23+BO22</f>
        <v>142339.4117891241</v>
      </c>
    </row>
    <row r="24" spans="1:67" s="18" customFormat="1">
      <c r="A24" s="866"/>
      <c r="B24" s="76"/>
      <c r="C24" s="871" t="s">
        <v>2236</v>
      </c>
      <c r="D24" s="875"/>
      <c r="E24" s="77"/>
      <c r="F24" s="874"/>
      <c r="G24" s="872">
        <f t="shared" ref="G24:AK24" si="205">G23/$E$23</f>
        <v>0</v>
      </c>
      <c r="H24" s="872">
        <f t="shared" si="205"/>
        <v>0</v>
      </c>
      <c r="I24" s="872">
        <f t="shared" si="205"/>
        <v>0</v>
      </c>
      <c r="J24" s="872">
        <f t="shared" si="205"/>
        <v>0</v>
      </c>
      <c r="K24" s="872">
        <f t="shared" si="205"/>
        <v>3.2504954568516209E-2</v>
      </c>
      <c r="L24" s="872">
        <f t="shared" si="205"/>
        <v>3.2504954568516209E-2</v>
      </c>
      <c r="M24" s="872">
        <f t="shared" si="205"/>
        <v>0.13291757391264239</v>
      </c>
      <c r="N24" s="872">
        <f t="shared" si="205"/>
        <v>0.13291757391264239</v>
      </c>
      <c r="O24" s="872">
        <f t="shared" si="205"/>
        <v>0.13291757391264239</v>
      </c>
      <c r="P24" s="872">
        <f t="shared" si="205"/>
        <v>0.13291757391264239</v>
      </c>
      <c r="Q24" s="872">
        <f t="shared" si="205"/>
        <v>0.13291757391264239</v>
      </c>
      <c r="R24" s="872">
        <f t="shared" si="205"/>
        <v>0.13291757391264239</v>
      </c>
      <c r="S24" s="872">
        <f t="shared" si="205"/>
        <v>0.53315003551496698</v>
      </c>
      <c r="T24" s="872">
        <f t="shared" si="205"/>
        <v>0.53824643143766426</v>
      </c>
      <c r="U24" s="872">
        <f t="shared" si="205"/>
        <v>0.53824643143766426</v>
      </c>
      <c r="V24" s="872">
        <f t="shared" si="205"/>
        <v>0.53824643143766426</v>
      </c>
      <c r="W24" s="872">
        <f t="shared" si="205"/>
        <v>0.53824643143766426</v>
      </c>
      <c r="X24" s="872">
        <f t="shared" si="205"/>
        <v>0.53824643143766426</v>
      </c>
      <c r="Y24" s="872">
        <f t="shared" si="205"/>
        <v>0.63865905078179053</v>
      </c>
      <c r="Z24" s="872">
        <f t="shared" si="205"/>
        <v>0.63865905078179053</v>
      </c>
      <c r="AA24" s="872">
        <f t="shared" si="205"/>
        <v>0.63865905078179053</v>
      </c>
      <c r="AB24" s="872">
        <f t="shared" si="205"/>
        <v>0.7388934495641345</v>
      </c>
      <c r="AC24" s="872">
        <f t="shared" si="205"/>
        <v>0.7388934495641345</v>
      </c>
      <c r="AD24" s="872">
        <f t="shared" si="205"/>
        <v>0.7388934495641345</v>
      </c>
      <c r="AE24" s="872">
        <f t="shared" si="205"/>
        <v>0.83895156496471557</v>
      </c>
      <c r="AF24" s="872">
        <f t="shared" si="205"/>
        <v>0.84614651445966504</v>
      </c>
      <c r="AG24" s="872">
        <f t="shared" si="205"/>
        <v>0.84614651445966504</v>
      </c>
      <c r="AH24" s="872">
        <f t="shared" si="205"/>
        <v>0.84614651445966504</v>
      </c>
      <c r="AI24" s="872">
        <f t="shared" si="205"/>
        <v>0.84614651445966504</v>
      </c>
      <c r="AJ24" s="872">
        <f t="shared" si="205"/>
        <v>0.84614651445966504</v>
      </c>
      <c r="AK24" s="872">
        <f t="shared" si="205"/>
        <v>0.94626274526082732</v>
      </c>
      <c r="AL24" s="872">
        <f t="shared" ref="AL24:BO24" si="206">AL23/$E$23</f>
        <v>0.94626274526082732</v>
      </c>
      <c r="AM24" s="872">
        <f t="shared" si="206"/>
        <v>0.94626274526082732</v>
      </c>
      <c r="AN24" s="872">
        <f t="shared" si="206"/>
        <v>0.94626274526082732</v>
      </c>
      <c r="AO24" s="872">
        <f t="shared" si="206"/>
        <v>0.94626274526082732</v>
      </c>
      <c r="AP24" s="872">
        <f t="shared" si="206"/>
        <v>0.94626274526082732</v>
      </c>
      <c r="AQ24" s="872">
        <f t="shared" si="206"/>
        <v>0.94626274526082732</v>
      </c>
      <c r="AR24" s="872">
        <f t="shared" si="206"/>
        <v>0.94759607859416073</v>
      </c>
      <c r="AS24" s="872">
        <f t="shared" si="206"/>
        <v>0.94759607859416073</v>
      </c>
      <c r="AT24" s="872">
        <f t="shared" si="206"/>
        <v>0.94759607859416073</v>
      </c>
      <c r="AU24" s="872">
        <f t="shared" si="206"/>
        <v>0.94759607859416073</v>
      </c>
      <c r="AV24" s="872">
        <f t="shared" si="206"/>
        <v>0.94759607859416073</v>
      </c>
      <c r="AW24" s="872">
        <f t="shared" si="206"/>
        <v>0.94759607859416073</v>
      </c>
      <c r="AX24" s="872">
        <f t="shared" si="206"/>
        <v>0.94759607859416073</v>
      </c>
      <c r="AY24" s="872">
        <f t="shared" si="206"/>
        <v>0.94759607859416073</v>
      </c>
      <c r="AZ24" s="872">
        <f t="shared" si="206"/>
        <v>0.94759607859416073</v>
      </c>
      <c r="BA24" s="872">
        <f t="shared" si="206"/>
        <v>0.94759607859416073</v>
      </c>
      <c r="BB24" s="872">
        <f t="shared" si="206"/>
        <v>0.94759607859416073</v>
      </c>
      <c r="BC24" s="872">
        <f t="shared" si="206"/>
        <v>0.94759607859416073</v>
      </c>
      <c r="BD24" s="872">
        <f t="shared" si="206"/>
        <v>0.94892941192749403</v>
      </c>
      <c r="BE24" s="872">
        <f t="shared" si="206"/>
        <v>0.94892941192749403</v>
      </c>
      <c r="BF24" s="872">
        <f t="shared" si="206"/>
        <v>0.94892941192749403</v>
      </c>
      <c r="BG24" s="872">
        <f t="shared" si="206"/>
        <v>0.94892941192749403</v>
      </c>
      <c r="BH24" s="872">
        <f t="shared" si="206"/>
        <v>0.94892941192749403</v>
      </c>
      <c r="BI24" s="872">
        <f t="shared" si="206"/>
        <v>0.94892941192749403</v>
      </c>
      <c r="BJ24" s="872">
        <f t="shared" si="206"/>
        <v>0.94892941192749403</v>
      </c>
      <c r="BK24" s="872">
        <f t="shared" si="206"/>
        <v>0.94892941192749403</v>
      </c>
      <c r="BL24" s="872">
        <f t="shared" si="206"/>
        <v>0.94892941192749403</v>
      </c>
      <c r="BM24" s="872">
        <f t="shared" si="206"/>
        <v>0.94892941192749403</v>
      </c>
      <c r="BN24" s="872">
        <f t="shared" si="206"/>
        <v>0.94892941192749403</v>
      </c>
      <c r="BO24" s="872">
        <f t="shared" si="206"/>
        <v>0.94892941192749403</v>
      </c>
    </row>
    <row r="25" spans="1:67" s="63" customFormat="1">
      <c r="A25" s="866"/>
      <c r="B25" s="17"/>
      <c r="C25" s="17"/>
      <c r="D25" s="17"/>
      <c r="E25" s="17"/>
      <c r="F25" s="876"/>
    </row>
    <row r="26" spans="1:67" s="18" customFormat="1">
      <c r="A26" s="866">
        <v>4</v>
      </c>
      <c r="B26" s="76"/>
      <c r="C26" s="76" t="s">
        <v>2237</v>
      </c>
      <c r="D26" s="875" t="s">
        <v>2110</v>
      </c>
      <c r="E26" s="77">
        <v>2250</v>
      </c>
      <c r="F26" s="877">
        <f>E26/150000</f>
        <v>1.4999999999999999E-2</v>
      </c>
      <c r="G26" s="878">
        <v>0</v>
      </c>
      <c r="H26" s="878">
        <v>0</v>
      </c>
      <c r="I26" s="878">
        <v>0</v>
      </c>
      <c r="J26" s="878">
        <f>基金资金安排!C22</f>
        <v>780</v>
      </c>
      <c r="K26" s="878">
        <f t="shared" ref="K26:AK26" si="207">IF(($F26*K$23-J27)&lt;0,0,($F26*K$23-J27))</f>
        <v>0</v>
      </c>
      <c r="L26" s="878">
        <f t="shared" si="207"/>
        <v>0</v>
      </c>
      <c r="M26" s="878">
        <f t="shared" si="207"/>
        <v>0</v>
      </c>
      <c r="N26" s="878">
        <f t="shared" si="207"/>
        <v>0</v>
      </c>
      <c r="O26" s="878">
        <f t="shared" si="207"/>
        <v>0</v>
      </c>
      <c r="P26" s="878">
        <f t="shared" si="207"/>
        <v>0</v>
      </c>
      <c r="Q26" s="878">
        <f t="shared" si="207"/>
        <v>0</v>
      </c>
      <c r="R26" s="878">
        <f t="shared" si="207"/>
        <v>0</v>
      </c>
      <c r="S26" s="878">
        <f t="shared" si="207"/>
        <v>419.58757990867571</v>
      </c>
      <c r="T26" s="878">
        <f t="shared" si="207"/>
        <v>11.46689082606872</v>
      </c>
      <c r="U26" s="878">
        <f t="shared" si="207"/>
        <v>0</v>
      </c>
      <c r="V26" s="878">
        <f t="shared" si="207"/>
        <v>0</v>
      </c>
      <c r="W26" s="878">
        <f t="shared" si="207"/>
        <v>0</v>
      </c>
      <c r="X26" s="878">
        <f t="shared" si="207"/>
        <v>0</v>
      </c>
      <c r="Y26" s="878">
        <f t="shared" si="207"/>
        <v>225.92839352428405</v>
      </c>
      <c r="Z26" s="878">
        <f t="shared" si="207"/>
        <v>0</v>
      </c>
      <c r="AA26" s="878">
        <f t="shared" si="207"/>
        <v>0</v>
      </c>
      <c r="AB26" s="878">
        <f t="shared" si="207"/>
        <v>225.52739726027403</v>
      </c>
      <c r="AC26" s="878">
        <f t="shared" si="207"/>
        <v>0</v>
      </c>
      <c r="AD26" s="878">
        <f t="shared" si="207"/>
        <v>0</v>
      </c>
      <c r="AE26" s="878">
        <f t="shared" si="207"/>
        <v>225.13075965130747</v>
      </c>
      <c r="AF26" s="878">
        <f t="shared" si="207"/>
        <v>16.188636363636306</v>
      </c>
      <c r="AG26" s="878">
        <f t="shared" si="207"/>
        <v>0</v>
      </c>
      <c r="AH26" s="878">
        <f t="shared" si="207"/>
        <v>0</v>
      </c>
      <c r="AI26" s="878">
        <f t="shared" si="207"/>
        <v>0</v>
      </c>
      <c r="AJ26" s="878">
        <f t="shared" si="207"/>
        <v>0</v>
      </c>
      <c r="AK26" s="878">
        <f t="shared" si="207"/>
        <v>225.26151930261517</v>
      </c>
      <c r="AL26" s="878">
        <f t="shared" ref="AL26" si="208">IF(($F26*AL$23-AK27)&lt;0,0,($F26*AL$23-AK27))</f>
        <v>0</v>
      </c>
      <c r="AM26" s="878">
        <f t="shared" ref="AM26" si="209">IF(($F26*AM$23-AL27)&lt;0,0,($F26*AM$23-AL27))</f>
        <v>0</v>
      </c>
      <c r="AN26" s="878">
        <f t="shared" ref="AN26" si="210">IF(($F26*AN$23-AM27)&lt;0,0,($F26*AN$23-AM27))</f>
        <v>0</v>
      </c>
      <c r="AO26" s="878">
        <f t="shared" ref="AO26" si="211">IF(($F26*AO$23-AN27)&lt;0,0,($F26*AO$23-AN27))</f>
        <v>0</v>
      </c>
      <c r="AP26" s="878">
        <f t="shared" ref="AP26" si="212">IF(($F26*AP$23-AO27)&lt;0,0,($F26*AP$23-AO27))</f>
        <v>0</v>
      </c>
      <c r="AQ26" s="878">
        <f t="shared" ref="AQ26" si="213">IF(($F26*AQ$23-AP27)&lt;0,0,($F26*AQ$23-AP27))</f>
        <v>0</v>
      </c>
      <c r="AR26" s="878">
        <f t="shared" ref="AR26" si="214">IF(($F26*AR$23-AQ27)&lt;0,0,($F26*AR$23-AQ27))</f>
        <v>3</v>
      </c>
      <c r="AS26" s="878">
        <f t="shared" ref="AS26" si="215">IF(($F26*AS$23-AR27)&lt;0,0,($F26*AS$23-AR27))</f>
        <v>0</v>
      </c>
      <c r="AT26" s="878">
        <f t="shared" ref="AT26" si="216">IF(($F26*AT$23-AS27)&lt;0,0,($F26*AT$23-AS27))</f>
        <v>0</v>
      </c>
      <c r="AU26" s="878">
        <f t="shared" ref="AU26" si="217">IF(($F26*AU$23-AT27)&lt;0,0,($F26*AU$23-AT27))</f>
        <v>0</v>
      </c>
      <c r="AV26" s="878">
        <f t="shared" ref="AV26" si="218">IF(($F26*AV$23-AU27)&lt;0,0,($F26*AV$23-AU27))</f>
        <v>0</v>
      </c>
      <c r="AW26" s="878">
        <f t="shared" ref="AW26" si="219">IF(($F26*AW$23-AV27)&lt;0,0,($F26*AW$23-AV27))</f>
        <v>0</v>
      </c>
      <c r="AX26" s="878">
        <f t="shared" ref="AX26" si="220">IF(($F26*AX$23-AW27)&lt;0,0,($F26*AX$23-AW27))</f>
        <v>0</v>
      </c>
      <c r="AY26" s="878">
        <f t="shared" ref="AY26" si="221">IF(($F26*AY$23-AX27)&lt;0,0,($F26*AY$23-AX27))</f>
        <v>0</v>
      </c>
      <c r="AZ26" s="878">
        <f t="shared" ref="AZ26" si="222">IF(($F26*AZ$23-AY27)&lt;0,0,($F26*AZ$23-AY27))</f>
        <v>0</v>
      </c>
      <c r="BA26" s="878">
        <f t="shared" ref="BA26" si="223">IF(($F26*BA$23-AZ27)&lt;0,0,($F26*BA$23-AZ27))</f>
        <v>0</v>
      </c>
      <c r="BB26" s="878">
        <f t="shared" ref="BB26" si="224">IF(($F26*BB$23-BA27)&lt;0,0,($F26*BB$23-BA27))</f>
        <v>0</v>
      </c>
      <c r="BC26" s="878">
        <f t="shared" ref="BC26" si="225">IF(($F26*BC$23-BB27)&lt;0,0,($F26*BC$23-BB27))</f>
        <v>0</v>
      </c>
      <c r="BD26" s="878">
        <f t="shared" ref="BD26" si="226">IF(($F26*BD$23-BC27)&lt;0,0,($F26*BD$23-BC27))</f>
        <v>3</v>
      </c>
      <c r="BE26" s="878">
        <f t="shared" ref="BE26" si="227">IF(($F26*BE$23-BD27)&lt;0,0,($F26*BE$23-BD27))</f>
        <v>0</v>
      </c>
      <c r="BF26" s="878">
        <f t="shared" ref="BF26" si="228">IF(($F26*BF$23-BE27)&lt;0,0,($F26*BF$23-BE27))</f>
        <v>0</v>
      </c>
      <c r="BG26" s="878">
        <f t="shared" ref="BG26" si="229">IF(($F26*BG$23-BF27)&lt;0,0,($F26*BG$23-BF27))</f>
        <v>0</v>
      </c>
      <c r="BH26" s="878">
        <f t="shared" ref="BH26" si="230">IF(($F26*BH$23-BG27)&lt;0,0,($F26*BH$23-BG27))</f>
        <v>0</v>
      </c>
      <c r="BI26" s="878">
        <f t="shared" ref="BI26" si="231">IF(($F26*BI$23-BH27)&lt;0,0,($F26*BI$23-BH27))</f>
        <v>0</v>
      </c>
      <c r="BJ26" s="878">
        <f t="shared" ref="BJ26" si="232">IF(($F26*BJ$23-BI27)&lt;0,0,($F26*BJ$23-BI27))</f>
        <v>0</v>
      </c>
      <c r="BK26" s="878">
        <f t="shared" ref="BK26" si="233">IF(($F26*BK$23-BJ27)&lt;0,0,($F26*BK$23-BJ27))</f>
        <v>0</v>
      </c>
      <c r="BL26" s="878">
        <f t="shared" ref="BL26" si="234">IF(($F26*BL$23-BK27)&lt;0,0,($F26*BL$23-BK27))</f>
        <v>0</v>
      </c>
      <c r="BM26" s="878">
        <f t="shared" ref="BM26" si="235">IF(($F26*BM$23-BL27)&lt;0,0,($F26*BM$23-BL27))</f>
        <v>0</v>
      </c>
      <c r="BN26" s="878">
        <f t="shared" ref="BN26" si="236">IF(($F26*BN$23-BM27)&lt;0,0,($F26*BN$23-BM27))</f>
        <v>0</v>
      </c>
      <c r="BO26" s="878">
        <f t="shared" ref="BO26" si="237">IF(($F26*BO$23-BN27)&lt;0,0,($F26*BO$23-BN27))</f>
        <v>0</v>
      </c>
    </row>
    <row r="27" spans="1:67" s="18" customFormat="1">
      <c r="A27" s="866">
        <v>4</v>
      </c>
      <c r="B27" s="76"/>
      <c r="C27" s="76" t="s">
        <v>2238</v>
      </c>
      <c r="D27" s="875"/>
      <c r="E27" s="77"/>
      <c r="F27" s="877"/>
      <c r="G27" s="878">
        <f>G26</f>
        <v>0</v>
      </c>
      <c r="H27" s="878">
        <f>G27+H26</f>
        <v>0</v>
      </c>
      <c r="I27" s="878">
        <f t="shared" ref="I27:S27" si="238">H27+I26</f>
        <v>0</v>
      </c>
      <c r="J27" s="878">
        <f t="shared" si="238"/>
        <v>780</v>
      </c>
      <c r="K27" s="878">
        <f t="shared" si="238"/>
        <v>780</v>
      </c>
      <c r="L27" s="878">
        <f t="shared" si="238"/>
        <v>780</v>
      </c>
      <c r="M27" s="878">
        <f t="shared" si="238"/>
        <v>780</v>
      </c>
      <c r="N27" s="878">
        <f t="shared" si="238"/>
        <v>780</v>
      </c>
      <c r="O27" s="878">
        <f t="shared" si="238"/>
        <v>780</v>
      </c>
      <c r="P27" s="878">
        <f t="shared" si="238"/>
        <v>780</v>
      </c>
      <c r="Q27" s="878">
        <f t="shared" si="238"/>
        <v>780</v>
      </c>
      <c r="R27" s="878">
        <f t="shared" si="238"/>
        <v>780</v>
      </c>
      <c r="S27" s="878">
        <f t="shared" si="238"/>
        <v>1199.5875799086757</v>
      </c>
      <c r="T27" s="878">
        <f t="shared" ref="T27" si="239">S27+T26</f>
        <v>1211.0544707347444</v>
      </c>
      <c r="U27" s="878">
        <f t="shared" ref="U27" si="240">T27+U26</f>
        <v>1211.0544707347444</v>
      </c>
      <c r="V27" s="878">
        <f t="shared" ref="V27" si="241">U27+V26</f>
        <v>1211.0544707347444</v>
      </c>
      <c r="W27" s="878">
        <f t="shared" ref="W27" si="242">V27+W26</f>
        <v>1211.0544707347444</v>
      </c>
      <c r="X27" s="878">
        <f t="shared" ref="X27" si="243">W27+X26</f>
        <v>1211.0544707347444</v>
      </c>
      <c r="Y27" s="878">
        <f t="shared" ref="Y27" si="244">X27+Y26</f>
        <v>1436.9828642590285</v>
      </c>
      <c r="Z27" s="878">
        <f t="shared" ref="Z27" si="245">Y27+Z26</f>
        <v>1436.9828642590285</v>
      </c>
      <c r="AA27" s="878">
        <f t="shared" ref="AA27" si="246">Z27+AA26</f>
        <v>1436.9828642590285</v>
      </c>
      <c r="AB27" s="878">
        <f t="shared" ref="AB27" si="247">AA27+AB26</f>
        <v>1662.5102615193025</v>
      </c>
      <c r="AC27" s="878">
        <f t="shared" ref="AC27" si="248">AB27+AC26</f>
        <v>1662.5102615193025</v>
      </c>
      <c r="AD27" s="878">
        <f t="shared" ref="AD27" si="249">AC27+AD26</f>
        <v>1662.5102615193025</v>
      </c>
      <c r="AE27" s="878">
        <f t="shared" ref="AE27" si="250">AD27+AE26</f>
        <v>1887.64102117061</v>
      </c>
      <c r="AF27" s="878">
        <f t="shared" ref="AF27" si="251">AE27+AF26</f>
        <v>1903.8296575342463</v>
      </c>
      <c r="AG27" s="878">
        <f t="shared" ref="AG27" si="252">AF27+AG26</f>
        <v>1903.8296575342463</v>
      </c>
      <c r="AH27" s="878">
        <f t="shared" ref="AH27" si="253">AG27+AH26</f>
        <v>1903.8296575342463</v>
      </c>
      <c r="AI27" s="878">
        <f t="shared" ref="AI27" si="254">AH27+AI26</f>
        <v>1903.8296575342463</v>
      </c>
      <c r="AJ27" s="878">
        <f t="shared" ref="AJ27" si="255">AI27+AJ26</f>
        <v>1903.8296575342463</v>
      </c>
      <c r="AK27" s="878">
        <f t="shared" ref="AK27" si="256">AJ27+AK26</f>
        <v>2129.0911768368615</v>
      </c>
      <c r="AL27" s="878">
        <f t="shared" ref="AL27" si="257">AK27+AL26</f>
        <v>2129.0911768368615</v>
      </c>
      <c r="AM27" s="878">
        <f t="shared" ref="AM27" si="258">AL27+AM26</f>
        <v>2129.0911768368615</v>
      </c>
      <c r="AN27" s="878">
        <f t="shared" ref="AN27" si="259">AM27+AN26</f>
        <v>2129.0911768368615</v>
      </c>
      <c r="AO27" s="878">
        <f t="shared" ref="AO27" si="260">AN27+AO26</f>
        <v>2129.0911768368615</v>
      </c>
      <c r="AP27" s="878">
        <f t="shared" ref="AP27" si="261">AO27+AP26</f>
        <v>2129.0911768368615</v>
      </c>
      <c r="AQ27" s="878">
        <f t="shared" ref="AQ27" si="262">AP27+AQ26</f>
        <v>2129.0911768368615</v>
      </c>
      <c r="AR27" s="878">
        <f t="shared" ref="AR27" si="263">AQ27+AR26</f>
        <v>2132.0911768368615</v>
      </c>
      <c r="AS27" s="878">
        <f t="shared" ref="AS27" si="264">AR27+AS26</f>
        <v>2132.0911768368615</v>
      </c>
      <c r="AT27" s="878">
        <f t="shared" ref="AT27" si="265">AS27+AT26</f>
        <v>2132.0911768368615</v>
      </c>
      <c r="AU27" s="878">
        <f t="shared" ref="AU27" si="266">AT27+AU26</f>
        <v>2132.0911768368615</v>
      </c>
      <c r="AV27" s="878">
        <f t="shared" ref="AV27" si="267">AU27+AV26</f>
        <v>2132.0911768368615</v>
      </c>
      <c r="AW27" s="878">
        <f t="shared" ref="AW27" si="268">AV27+AW26</f>
        <v>2132.0911768368615</v>
      </c>
      <c r="AX27" s="878">
        <f t="shared" ref="AX27" si="269">AW27+AX26</f>
        <v>2132.0911768368615</v>
      </c>
      <c r="AY27" s="878">
        <f t="shared" ref="AY27" si="270">AX27+AY26</f>
        <v>2132.0911768368615</v>
      </c>
      <c r="AZ27" s="878">
        <f t="shared" ref="AZ27" si="271">AY27+AZ26</f>
        <v>2132.0911768368615</v>
      </c>
      <c r="BA27" s="878">
        <f t="shared" ref="BA27" si="272">AZ27+BA26</f>
        <v>2132.0911768368615</v>
      </c>
      <c r="BB27" s="878">
        <f t="shared" ref="BB27" si="273">BA27+BB26</f>
        <v>2132.0911768368615</v>
      </c>
      <c r="BC27" s="878">
        <f t="shared" ref="BC27" si="274">BB27+BC26</f>
        <v>2132.0911768368615</v>
      </c>
      <c r="BD27" s="878">
        <f t="shared" ref="BD27" si="275">BC27+BD26</f>
        <v>2135.0911768368615</v>
      </c>
      <c r="BE27" s="878">
        <f t="shared" ref="BE27" si="276">BD27+BE26</f>
        <v>2135.0911768368615</v>
      </c>
      <c r="BF27" s="878">
        <f t="shared" ref="BF27" si="277">BE27+BF26</f>
        <v>2135.0911768368615</v>
      </c>
      <c r="BG27" s="878">
        <f t="shared" ref="BG27" si="278">BF27+BG26</f>
        <v>2135.0911768368615</v>
      </c>
      <c r="BH27" s="878">
        <f t="shared" ref="BH27" si="279">BG27+BH26</f>
        <v>2135.0911768368615</v>
      </c>
      <c r="BI27" s="878">
        <f t="shared" ref="BI27" si="280">BH27+BI26</f>
        <v>2135.0911768368615</v>
      </c>
      <c r="BJ27" s="878">
        <f t="shared" ref="BJ27" si="281">BI27+BJ26</f>
        <v>2135.0911768368615</v>
      </c>
      <c r="BK27" s="878">
        <f t="shared" ref="BK27" si="282">BJ27+BK26</f>
        <v>2135.0911768368615</v>
      </c>
      <c r="BL27" s="878">
        <f t="shared" ref="BL27" si="283">BK27+BL26</f>
        <v>2135.0911768368615</v>
      </c>
      <c r="BM27" s="878">
        <f t="shared" ref="BM27" si="284">BL27+BM26</f>
        <v>2135.0911768368615</v>
      </c>
      <c r="BN27" s="878">
        <f t="shared" ref="BN27" si="285">BM27+BN26</f>
        <v>2135.0911768368615</v>
      </c>
      <c r="BO27" s="878">
        <f t="shared" ref="BO27" si="286">BN27+BO26</f>
        <v>2135.0911768368615</v>
      </c>
    </row>
    <row r="28" spans="1:67" s="18" customFormat="1">
      <c r="A28" s="866"/>
      <c r="B28" s="76"/>
      <c r="C28" s="76" t="s">
        <v>2239</v>
      </c>
      <c r="D28" s="875" t="s">
        <v>2111</v>
      </c>
      <c r="E28" s="77">
        <v>1250</v>
      </c>
      <c r="F28" s="877">
        <f>E28/150000</f>
        <v>8.3333333333333332E-3</v>
      </c>
      <c r="G28" s="878">
        <v>0</v>
      </c>
      <c r="H28" s="878">
        <v>0</v>
      </c>
      <c r="I28" s="878">
        <v>0</v>
      </c>
      <c r="J28" s="878">
        <f>基金资金安排!C13</f>
        <v>237.5</v>
      </c>
      <c r="K28" s="878">
        <f>基金资金安排!H13</f>
        <v>127.55102040816327</v>
      </c>
      <c r="L28" s="878">
        <f t="shared" ref="L28:AK28" si="287">IF(($F28*L$23-K29)&lt;0,0,($F28*L$23-K29))</f>
        <v>0</v>
      </c>
      <c r="M28" s="878">
        <f t="shared" si="287"/>
        <v>0</v>
      </c>
      <c r="N28" s="878">
        <f t="shared" si="287"/>
        <v>0</v>
      </c>
      <c r="O28" s="878">
        <f t="shared" si="287"/>
        <v>0</v>
      </c>
      <c r="P28" s="878">
        <f t="shared" si="287"/>
        <v>0</v>
      </c>
      <c r="Q28" s="878">
        <f t="shared" si="287"/>
        <v>0</v>
      </c>
      <c r="R28" s="878">
        <f t="shared" si="287"/>
        <v>0</v>
      </c>
      <c r="S28" s="878">
        <f t="shared" si="287"/>
        <v>301.38652398554541</v>
      </c>
      <c r="T28" s="878">
        <f t="shared" si="287"/>
        <v>6.3704949033716503</v>
      </c>
      <c r="U28" s="878">
        <f t="shared" si="287"/>
        <v>0</v>
      </c>
      <c r="V28" s="878">
        <f t="shared" si="287"/>
        <v>0</v>
      </c>
      <c r="W28" s="878">
        <f t="shared" si="287"/>
        <v>0</v>
      </c>
      <c r="X28" s="878">
        <f t="shared" si="287"/>
        <v>0</v>
      </c>
      <c r="Y28" s="878">
        <f t="shared" si="287"/>
        <v>125.51577418015779</v>
      </c>
      <c r="Z28" s="878">
        <f t="shared" si="287"/>
        <v>0</v>
      </c>
      <c r="AA28" s="878">
        <f t="shared" si="287"/>
        <v>0</v>
      </c>
      <c r="AB28" s="878">
        <f t="shared" si="287"/>
        <v>125.29299847792993</v>
      </c>
      <c r="AC28" s="878">
        <f t="shared" si="287"/>
        <v>0</v>
      </c>
      <c r="AD28" s="878">
        <f t="shared" si="287"/>
        <v>0</v>
      </c>
      <c r="AE28" s="878">
        <f t="shared" si="287"/>
        <v>125.0726442507264</v>
      </c>
      <c r="AF28" s="878">
        <f t="shared" si="287"/>
        <v>8.9936868686868365</v>
      </c>
      <c r="AG28" s="878">
        <f t="shared" si="287"/>
        <v>0</v>
      </c>
      <c r="AH28" s="878">
        <f t="shared" si="287"/>
        <v>0</v>
      </c>
      <c r="AI28" s="878">
        <f t="shared" si="287"/>
        <v>0</v>
      </c>
      <c r="AJ28" s="878">
        <f t="shared" si="287"/>
        <v>0</v>
      </c>
      <c r="AK28" s="878">
        <f t="shared" si="287"/>
        <v>125.14528850145302</v>
      </c>
      <c r="AL28" s="878">
        <f t="shared" ref="AL28" si="288">IF(($F28*AL$23-AK29)&lt;0,0,($F28*AL$23-AK29))</f>
        <v>0</v>
      </c>
      <c r="AM28" s="878">
        <f t="shared" ref="AM28" si="289">IF(($F28*AM$23-AL29)&lt;0,0,($F28*AM$23-AL29))</f>
        <v>0</v>
      </c>
      <c r="AN28" s="878">
        <f t="shared" ref="AN28" si="290">IF(($F28*AN$23-AM29)&lt;0,0,($F28*AN$23-AM29))</f>
        <v>0</v>
      </c>
      <c r="AO28" s="878">
        <f t="shared" ref="AO28" si="291">IF(($F28*AO$23-AN29)&lt;0,0,($F28*AO$23-AN29))</f>
        <v>0</v>
      </c>
      <c r="AP28" s="878">
        <f t="shared" ref="AP28" si="292">IF(($F28*AP$23-AO29)&lt;0,0,($F28*AP$23-AO29))</f>
        <v>0</v>
      </c>
      <c r="AQ28" s="878">
        <f t="shared" ref="AQ28" si="293">IF(($F28*AQ$23-AP29)&lt;0,0,($F28*AQ$23-AP29))</f>
        <v>0</v>
      </c>
      <c r="AR28" s="878">
        <f t="shared" ref="AR28" si="294">IF(($F28*AR$23-AQ29)&lt;0,0,($F28*AR$23-AQ29))</f>
        <v>1.6666666666665151</v>
      </c>
      <c r="AS28" s="878">
        <f t="shared" ref="AS28" si="295">IF(($F28*AS$23-AR29)&lt;0,0,($F28*AS$23-AR29))</f>
        <v>0</v>
      </c>
      <c r="AT28" s="878">
        <f t="shared" ref="AT28" si="296">IF(($F28*AT$23-AS29)&lt;0,0,($F28*AT$23-AS29))</f>
        <v>0</v>
      </c>
      <c r="AU28" s="878">
        <f t="shared" ref="AU28" si="297">IF(($F28*AU$23-AT29)&lt;0,0,($F28*AU$23-AT29))</f>
        <v>0</v>
      </c>
      <c r="AV28" s="878">
        <f t="shared" ref="AV28" si="298">IF(($F28*AV$23-AU29)&lt;0,0,($F28*AV$23-AU29))</f>
        <v>0</v>
      </c>
      <c r="AW28" s="878">
        <f t="shared" ref="AW28" si="299">IF(($F28*AW$23-AV29)&lt;0,0,($F28*AW$23-AV29))</f>
        <v>0</v>
      </c>
      <c r="AX28" s="878">
        <f t="shared" ref="AX28" si="300">IF(($F28*AX$23-AW29)&lt;0,0,($F28*AX$23-AW29))</f>
        <v>0</v>
      </c>
      <c r="AY28" s="878">
        <f t="shared" ref="AY28" si="301">IF(($F28*AY$23-AX29)&lt;0,0,($F28*AY$23-AX29))</f>
        <v>0</v>
      </c>
      <c r="AZ28" s="878">
        <f t="shared" ref="AZ28" si="302">IF(($F28*AZ$23-AY29)&lt;0,0,($F28*AZ$23-AY29))</f>
        <v>0</v>
      </c>
      <c r="BA28" s="878">
        <f t="shared" ref="BA28" si="303">IF(($F28*BA$23-AZ29)&lt;0,0,($F28*BA$23-AZ29))</f>
        <v>0</v>
      </c>
      <c r="BB28" s="878">
        <f t="shared" ref="BB28" si="304">IF(($F28*BB$23-BA29)&lt;0,0,($F28*BB$23-BA29))</f>
        <v>0</v>
      </c>
      <c r="BC28" s="878">
        <f t="shared" ref="BC28" si="305">IF(($F28*BC$23-BB29)&lt;0,0,($F28*BC$23-BB29))</f>
        <v>0</v>
      </c>
      <c r="BD28" s="878">
        <f t="shared" ref="BD28" si="306">IF(($F28*BD$23-BC29)&lt;0,0,($F28*BD$23-BC29))</f>
        <v>1.6666666666667425</v>
      </c>
      <c r="BE28" s="878">
        <f t="shared" ref="BE28" si="307">IF(($F28*BE$23-BD29)&lt;0,0,($F28*BE$23-BD29))</f>
        <v>0</v>
      </c>
      <c r="BF28" s="878">
        <f t="shared" ref="BF28" si="308">IF(($F28*BF$23-BE29)&lt;0,0,($F28*BF$23-BE29))</f>
        <v>0</v>
      </c>
      <c r="BG28" s="878">
        <f t="shared" ref="BG28" si="309">IF(($F28*BG$23-BF29)&lt;0,0,($F28*BG$23-BF29))</f>
        <v>0</v>
      </c>
      <c r="BH28" s="878">
        <f t="shared" ref="BH28" si="310">IF(($F28*BH$23-BG29)&lt;0,0,($F28*BH$23-BG29))</f>
        <v>0</v>
      </c>
      <c r="BI28" s="878">
        <f t="shared" ref="BI28" si="311">IF(($F28*BI$23-BH29)&lt;0,0,($F28*BI$23-BH29))</f>
        <v>0</v>
      </c>
      <c r="BJ28" s="878">
        <f t="shared" ref="BJ28" si="312">IF(($F28*BJ$23-BI29)&lt;0,0,($F28*BJ$23-BI29))</f>
        <v>0</v>
      </c>
      <c r="BK28" s="878">
        <f t="shared" ref="BK28" si="313">IF(($F28*BK$23-BJ29)&lt;0,0,($F28*BK$23-BJ29))</f>
        <v>0</v>
      </c>
      <c r="BL28" s="878">
        <f t="shared" ref="BL28" si="314">IF(($F28*BL$23-BK29)&lt;0,0,($F28*BL$23-BK29))</f>
        <v>0</v>
      </c>
      <c r="BM28" s="878">
        <f t="shared" ref="BM28" si="315">IF(($F28*BM$23-BL29)&lt;0,0,($F28*BM$23-BL29))</f>
        <v>0</v>
      </c>
      <c r="BN28" s="878">
        <f t="shared" ref="BN28" si="316">IF(($F28*BN$23-BM29)&lt;0,0,($F28*BN$23-BM29))</f>
        <v>0</v>
      </c>
      <c r="BO28" s="878">
        <f t="shared" ref="BO28" si="317">IF(($F28*BO$23-BN29)&lt;0,0,($F28*BO$23-BN29))</f>
        <v>0</v>
      </c>
    </row>
    <row r="29" spans="1:67" s="18" customFormat="1">
      <c r="A29" s="866"/>
      <c r="B29" s="76"/>
      <c r="C29" s="76" t="s">
        <v>2240</v>
      </c>
      <c r="D29" s="875"/>
      <c r="E29" s="77"/>
      <c r="F29" s="877"/>
      <c r="G29" s="878">
        <f>G28</f>
        <v>0</v>
      </c>
      <c r="H29" s="878">
        <f>G29+H28</f>
        <v>0</v>
      </c>
      <c r="I29" s="878">
        <f t="shared" ref="I29:S29" si="318">H29+I28</f>
        <v>0</v>
      </c>
      <c r="J29" s="878">
        <f t="shared" si="318"/>
        <v>237.5</v>
      </c>
      <c r="K29" s="878">
        <f t="shared" si="318"/>
        <v>365.05102040816325</v>
      </c>
      <c r="L29" s="878">
        <f t="shared" si="318"/>
        <v>365.05102040816325</v>
      </c>
      <c r="M29" s="878">
        <f t="shared" si="318"/>
        <v>365.05102040816325</v>
      </c>
      <c r="N29" s="878">
        <f t="shared" si="318"/>
        <v>365.05102040816325</v>
      </c>
      <c r="O29" s="878">
        <f t="shared" si="318"/>
        <v>365.05102040816325</v>
      </c>
      <c r="P29" s="878">
        <f t="shared" si="318"/>
        <v>365.05102040816325</v>
      </c>
      <c r="Q29" s="878">
        <f t="shared" si="318"/>
        <v>365.05102040816325</v>
      </c>
      <c r="R29" s="878">
        <f t="shared" si="318"/>
        <v>365.05102040816325</v>
      </c>
      <c r="S29" s="878">
        <f t="shared" si="318"/>
        <v>666.43754439370866</v>
      </c>
      <c r="T29" s="878">
        <f t="shared" ref="T29" si="319">S29+T28</f>
        <v>672.80803929708031</v>
      </c>
      <c r="U29" s="878">
        <f t="shared" ref="U29" si="320">T29+U28</f>
        <v>672.80803929708031</v>
      </c>
      <c r="V29" s="878">
        <f t="shared" ref="V29" si="321">U29+V28</f>
        <v>672.80803929708031</v>
      </c>
      <c r="W29" s="878">
        <f t="shared" ref="W29" si="322">V29+W28</f>
        <v>672.80803929708031</v>
      </c>
      <c r="X29" s="878">
        <f t="shared" ref="X29" si="323">W29+X28</f>
        <v>672.80803929708031</v>
      </c>
      <c r="Y29" s="878">
        <f t="shared" ref="Y29" si="324">X29+Y28</f>
        <v>798.3238134772381</v>
      </c>
      <c r="Z29" s="878">
        <f t="shared" ref="Z29" si="325">Y29+Z28</f>
        <v>798.3238134772381</v>
      </c>
      <c r="AA29" s="878">
        <f t="shared" ref="AA29" si="326">Z29+AA28</f>
        <v>798.3238134772381</v>
      </c>
      <c r="AB29" s="878">
        <f t="shared" ref="AB29" si="327">AA29+AB28</f>
        <v>923.61681195516803</v>
      </c>
      <c r="AC29" s="878">
        <f t="shared" ref="AC29" si="328">AB29+AC28</f>
        <v>923.61681195516803</v>
      </c>
      <c r="AD29" s="878">
        <f t="shared" ref="AD29" si="329">AC29+AD28</f>
        <v>923.61681195516803</v>
      </c>
      <c r="AE29" s="878">
        <f t="shared" ref="AE29" si="330">AD29+AE28</f>
        <v>1048.6894562058944</v>
      </c>
      <c r="AF29" s="878">
        <f t="shared" ref="AF29" si="331">AE29+AF28</f>
        <v>1057.6831430745813</v>
      </c>
      <c r="AG29" s="878">
        <f t="shared" ref="AG29" si="332">AF29+AG28</f>
        <v>1057.6831430745813</v>
      </c>
      <c r="AH29" s="878">
        <f t="shared" ref="AH29" si="333">AG29+AH28</f>
        <v>1057.6831430745813</v>
      </c>
      <c r="AI29" s="878">
        <f t="shared" ref="AI29" si="334">AH29+AI28</f>
        <v>1057.6831430745813</v>
      </c>
      <c r="AJ29" s="878">
        <f t="shared" ref="AJ29" si="335">AI29+AJ28</f>
        <v>1057.6831430745813</v>
      </c>
      <c r="AK29" s="878">
        <f t="shared" ref="AK29" si="336">AJ29+AK28</f>
        <v>1182.8284315760343</v>
      </c>
      <c r="AL29" s="878">
        <f t="shared" ref="AL29" si="337">AK29+AL28</f>
        <v>1182.8284315760343</v>
      </c>
      <c r="AM29" s="878">
        <f t="shared" ref="AM29" si="338">AL29+AM28</f>
        <v>1182.8284315760343</v>
      </c>
      <c r="AN29" s="878">
        <f t="shared" ref="AN29" si="339">AM29+AN28</f>
        <v>1182.8284315760343</v>
      </c>
      <c r="AO29" s="878">
        <f t="shared" ref="AO29" si="340">AN29+AO28</f>
        <v>1182.8284315760343</v>
      </c>
      <c r="AP29" s="878">
        <f t="shared" ref="AP29" si="341">AO29+AP28</f>
        <v>1182.8284315760343</v>
      </c>
      <c r="AQ29" s="878">
        <f t="shared" ref="AQ29" si="342">AP29+AQ28</f>
        <v>1182.8284315760343</v>
      </c>
      <c r="AR29" s="878">
        <f t="shared" ref="AR29" si="343">AQ29+AR28</f>
        <v>1184.4950982427008</v>
      </c>
      <c r="AS29" s="878">
        <f t="shared" ref="AS29" si="344">AR29+AS28</f>
        <v>1184.4950982427008</v>
      </c>
      <c r="AT29" s="878">
        <f t="shared" ref="AT29" si="345">AS29+AT28</f>
        <v>1184.4950982427008</v>
      </c>
      <c r="AU29" s="878">
        <f t="shared" ref="AU29" si="346">AT29+AU28</f>
        <v>1184.4950982427008</v>
      </c>
      <c r="AV29" s="878">
        <f t="shared" ref="AV29" si="347">AU29+AV28</f>
        <v>1184.4950982427008</v>
      </c>
      <c r="AW29" s="878">
        <f t="shared" ref="AW29" si="348">AV29+AW28</f>
        <v>1184.4950982427008</v>
      </c>
      <c r="AX29" s="878">
        <f t="shared" ref="AX29" si="349">AW29+AX28</f>
        <v>1184.4950982427008</v>
      </c>
      <c r="AY29" s="878">
        <f t="shared" ref="AY29" si="350">AX29+AY28</f>
        <v>1184.4950982427008</v>
      </c>
      <c r="AZ29" s="878">
        <f t="shared" ref="AZ29" si="351">AY29+AZ28</f>
        <v>1184.4950982427008</v>
      </c>
      <c r="BA29" s="878">
        <f t="shared" ref="BA29" si="352">AZ29+BA28</f>
        <v>1184.4950982427008</v>
      </c>
      <c r="BB29" s="878">
        <f t="shared" ref="BB29" si="353">BA29+BB28</f>
        <v>1184.4950982427008</v>
      </c>
      <c r="BC29" s="878">
        <f t="shared" ref="BC29" si="354">BB29+BC28</f>
        <v>1184.4950982427008</v>
      </c>
      <c r="BD29" s="878">
        <f t="shared" ref="BD29" si="355">BC29+BD28</f>
        <v>1186.1617649093675</v>
      </c>
      <c r="BE29" s="878">
        <f t="shared" ref="BE29" si="356">BD29+BE28</f>
        <v>1186.1617649093675</v>
      </c>
      <c r="BF29" s="878">
        <f t="shared" ref="BF29" si="357">BE29+BF28</f>
        <v>1186.1617649093675</v>
      </c>
      <c r="BG29" s="878">
        <f t="shared" ref="BG29" si="358">BF29+BG28</f>
        <v>1186.1617649093675</v>
      </c>
      <c r="BH29" s="878">
        <f t="shared" ref="BH29" si="359">BG29+BH28</f>
        <v>1186.1617649093675</v>
      </c>
      <c r="BI29" s="878">
        <f t="shared" ref="BI29" si="360">BH29+BI28</f>
        <v>1186.1617649093675</v>
      </c>
      <c r="BJ29" s="878">
        <f t="shared" ref="BJ29" si="361">BI29+BJ28</f>
        <v>1186.1617649093675</v>
      </c>
      <c r="BK29" s="878">
        <f t="shared" ref="BK29" si="362">BJ29+BK28</f>
        <v>1186.1617649093675</v>
      </c>
      <c r="BL29" s="878">
        <f t="shared" ref="BL29" si="363">BK29+BL28</f>
        <v>1186.1617649093675</v>
      </c>
      <c r="BM29" s="878">
        <f t="shared" ref="BM29" si="364">BL29+BM28</f>
        <v>1186.1617649093675</v>
      </c>
      <c r="BN29" s="878">
        <f t="shared" ref="BN29" si="365">BM29+BN28</f>
        <v>1186.1617649093675</v>
      </c>
      <c r="BO29" s="878">
        <f t="shared" ref="BO29" si="366">BN29+BO28</f>
        <v>1186.1617649093675</v>
      </c>
    </row>
    <row r="30" spans="1:67" s="18" customFormat="1">
      <c r="A30" s="866"/>
      <c r="B30" s="76"/>
      <c r="C30" s="76" t="s">
        <v>2241</v>
      </c>
      <c r="D30" s="875" t="s">
        <v>2242</v>
      </c>
      <c r="E30" s="77">
        <v>675</v>
      </c>
      <c r="F30" s="877">
        <f>E30/150000</f>
        <v>4.4999999999999997E-3</v>
      </c>
      <c r="G30" s="878">
        <v>0</v>
      </c>
      <c r="H30" s="878">
        <v>0</v>
      </c>
      <c r="I30" s="878">
        <v>0</v>
      </c>
      <c r="J30" s="878">
        <f>基金资金安排!C18</f>
        <v>202.04081632653063</v>
      </c>
      <c r="K30" s="878">
        <f t="shared" ref="K30:AK30" si="367">IF(($F30*K$23-J31)&lt;0,0,($F30*K$23-J31))</f>
        <v>0</v>
      </c>
      <c r="L30" s="878">
        <f t="shared" si="367"/>
        <v>0</v>
      </c>
      <c r="M30" s="878">
        <f t="shared" si="367"/>
        <v>0</v>
      </c>
      <c r="N30" s="878">
        <f t="shared" si="367"/>
        <v>0</v>
      </c>
      <c r="O30" s="878">
        <f t="shared" si="367"/>
        <v>0</v>
      </c>
      <c r="P30" s="878">
        <f t="shared" si="367"/>
        <v>0</v>
      </c>
      <c r="Q30" s="878">
        <f t="shared" si="367"/>
        <v>0</v>
      </c>
      <c r="R30" s="878">
        <f t="shared" si="367"/>
        <v>0</v>
      </c>
      <c r="S30" s="878">
        <f t="shared" si="367"/>
        <v>157.83545764607206</v>
      </c>
      <c r="T30" s="878">
        <f t="shared" si="367"/>
        <v>3.4400672478206502</v>
      </c>
      <c r="U30" s="878">
        <f t="shared" si="367"/>
        <v>0</v>
      </c>
      <c r="V30" s="878">
        <f t="shared" si="367"/>
        <v>0</v>
      </c>
      <c r="W30" s="878">
        <f t="shared" si="367"/>
        <v>0</v>
      </c>
      <c r="X30" s="878">
        <f t="shared" si="367"/>
        <v>0</v>
      </c>
      <c r="Y30" s="878">
        <f t="shared" si="367"/>
        <v>67.778518057285225</v>
      </c>
      <c r="Z30" s="878">
        <f t="shared" si="367"/>
        <v>0</v>
      </c>
      <c r="AA30" s="878">
        <f t="shared" si="367"/>
        <v>0</v>
      </c>
      <c r="AB30" s="878">
        <f t="shared" si="367"/>
        <v>67.658219178082163</v>
      </c>
      <c r="AC30" s="878">
        <f t="shared" si="367"/>
        <v>0</v>
      </c>
      <c r="AD30" s="878">
        <f t="shared" si="367"/>
        <v>0</v>
      </c>
      <c r="AE30" s="878">
        <f t="shared" si="367"/>
        <v>67.539227895392287</v>
      </c>
      <c r="AF30" s="878">
        <f t="shared" si="367"/>
        <v>4.856590909090869</v>
      </c>
      <c r="AG30" s="878">
        <f t="shared" si="367"/>
        <v>0</v>
      </c>
      <c r="AH30" s="878">
        <f t="shared" si="367"/>
        <v>0</v>
      </c>
      <c r="AI30" s="878">
        <f t="shared" si="367"/>
        <v>0</v>
      </c>
      <c r="AJ30" s="878">
        <f t="shared" si="367"/>
        <v>0</v>
      </c>
      <c r="AK30" s="878">
        <f t="shared" si="367"/>
        <v>67.578455790784574</v>
      </c>
      <c r="AL30" s="878">
        <f t="shared" ref="AL30" si="368">IF(($F30*AL$23-AK31)&lt;0,0,($F30*AL$23-AK31))</f>
        <v>0</v>
      </c>
      <c r="AM30" s="878">
        <f t="shared" ref="AM30" si="369">IF(($F30*AM$23-AL31)&lt;0,0,($F30*AM$23-AL31))</f>
        <v>0</v>
      </c>
      <c r="AN30" s="878">
        <f t="shared" ref="AN30" si="370">IF(($F30*AN$23-AM31)&lt;0,0,($F30*AN$23-AM31))</f>
        <v>0</v>
      </c>
      <c r="AO30" s="878">
        <f t="shared" ref="AO30" si="371">IF(($F30*AO$23-AN31)&lt;0,0,($F30*AO$23-AN31))</f>
        <v>0</v>
      </c>
      <c r="AP30" s="878">
        <f t="shared" ref="AP30" si="372">IF(($F30*AP$23-AO31)&lt;0,0,($F30*AP$23-AO31))</f>
        <v>0</v>
      </c>
      <c r="AQ30" s="878">
        <f t="shared" ref="AQ30" si="373">IF(($F30*AQ$23-AP31)&lt;0,0,($F30*AQ$23-AP31))</f>
        <v>0</v>
      </c>
      <c r="AR30" s="878">
        <f t="shared" ref="AR30" si="374">IF(($F30*AR$23-AQ31)&lt;0,0,($F30*AR$23-AQ31))</f>
        <v>0.89999999999997726</v>
      </c>
      <c r="AS30" s="878">
        <f t="shared" ref="AS30" si="375">IF(($F30*AS$23-AR31)&lt;0,0,($F30*AS$23-AR31))</f>
        <v>0</v>
      </c>
      <c r="AT30" s="878">
        <f t="shared" ref="AT30" si="376">IF(($F30*AT$23-AS31)&lt;0,0,($F30*AT$23-AS31))</f>
        <v>0</v>
      </c>
      <c r="AU30" s="878">
        <f t="shared" ref="AU30" si="377">IF(($F30*AU$23-AT31)&lt;0,0,($F30*AU$23-AT31))</f>
        <v>0</v>
      </c>
      <c r="AV30" s="878">
        <f t="shared" ref="AV30" si="378">IF(($F30*AV$23-AU31)&lt;0,0,($F30*AV$23-AU31))</f>
        <v>0</v>
      </c>
      <c r="AW30" s="878">
        <f t="shared" ref="AW30" si="379">IF(($F30*AW$23-AV31)&lt;0,0,($F30*AW$23-AV31))</f>
        <v>0</v>
      </c>
      <c r="AX30" s="878">
        <f t="shared" ref="AX30" si="380">IF(($F30*AX$23-AW31)&lt;0,0,($F30*AX$23-AW31))</f>
        <v>0</v>
      </c>
      <c r="AY30" s="878">
        <f t="shared" ref="AY30" si="381">IF(($F30*AY$23-AX31)&lt;0,0,($F30*AY$23-AX31))</f>
        <v>0</v>
      </c>
      <c r="AZ30" s="878">
        <f t="shared" ref="AZ30" si="382">IF(($F30*AZ$23-AY31)&lt;0,0,($F30*AZ$23-AY31))</f>
        <v>0</v>
      </c>
      <c r="BA30" s="878">
        <f t="shared" ref="BA30" si="383">IF(($F30*BA$23-AZ31)&lt;0,0,($F30*BA$23-AZ31))</f>
        <v>0</v>
      </c>
      <c r="BB30" s="878">
        <f t="shared" ref="BB30" si="384">IF(($F30*BB$23-BA31)&lt;0,0,($F30*BB$23-BA31))</f>
        <v>0</v>
      </c>
      <c r="BC30" s="878">
        <f t="shared" ref="BC30" si="385">IF(($F30*BC$23-BB31)&lt;0,0,($F30*BC$23-BB31))</f>
        <v>0</v>
      </c>
      <c r="BD30" s="878">
        <f t="shared" ref="BD30" si="386">IF(($F30*BD$23-BC31)&lt;0,0,($F30*BD$23-BC31))</f>
        <v>0.89999999999997726</v>
      </c>
      <c r="BE30" s="878">
        <f t="shared" ref="BE30" si="387">IF(($F30*BE$23-BD31)&lt;0,0,($F30*BE$23-BD31))</f>
        <v>0</v>
      </c>
      <c r="BF30" s="878">
        <f t="shared" ref="BF30" si="388">IF(($F30*BF$23-BE31)&lt;0,0,($F30*BF$23-BE31))</f>
        <v>0</v>
      </c>
      <c r="BG30" s="878">
        <f t="shared" ref="BG30" si="389">IF(($F30*BG$23-BF31)&lt;0,0,($F30*BG$23-BF31))</f>
        <v>0</v>
      </c>
      <c r="BH30" s="878">
        <f t="shared" ref="BH30" si="390">IF(($F30*BH$23-BG31)&lt;0,0,($F30*BH$23-BG31))</f>
        <v>0</v>
      </c>
      <c r="BI30" s="878">
        <f t="shared" ref="BI30" si="391">IF(($F30*BI$23-BH31)&lt;0,0,($F30*BI$23-BH31))</f>
        <v>0</v>
      </c>
      <c r="BJ30" s="878">
        <f t="shared" ref="BJ30" si="392">IF(($F30*BJ$23-BI31)&lt;0,0,($F30*BJ$23-BI31))</f>
        <v>0</v>
      </c>
      <c r="BK30" s="878">
        <f t="shared" ref="BK30" si="393">IF(($F30*BK$23-BJ31)&lt;0,0,($F30*BK$23-BJ31))</f>
        <v>0</v>
      </c>
      <c r="BL30" s="878">
        <f t="shared" ref="BL30" si="394">IF(($F30*BL$23-BK31)&lt;0,0,($F30*BL$23-BK31))</f>
        <v>0</v>
      </c>
      <c r="BM30" s="878">
        <f t="shared" ref="BM30" si="395">IF(($F30*BM$23-BL31)&lt;0,0,($F30*BM$23-BL31))</f>
        <v>0</v>
      </c>
      <c r="BN30" s="878">
        <f t="shared" ref="BN30" si="396">IF(($F30*BN$23-BM31)&lt;0,0,($F30*BN$23-BM31))</f>
        <v>0</v>
      </c>
      <c r="BO30" s="878">
        <f t="shared" ref="BO30" si="397">IF(($F30*BO$23-BN31)&lt;0,0,($F30*BO$23-BN31))</f>
        <v>0</v>
      </c>
    </row>
    <row r="31" spans="1:67" s="18" customFormat="1">
      <c r="A31" s="866">
        <v>11</v>
      </c>
      <c r="B31" s="76"/>
      <c r="C31" s="76" t="s">
        <v>2243</v>
      </c>
      <c r="D31" s="76"/>
      <c r="E31" s="77"/>
      <c r="F31" s="877"/>
      <c r="G31" s="878">
        <f>G30</f>
        <v>0</v>
      </c>
      <c r="H31" s="878">
        <f>G31+H30</f>
        <v>0</v>
      </c>
      <c r="I31" s="878">
        <f t="shared" ref="I31:S31" si="398">H31+I30</f>
        <v>0</v>
      </c>
      <c r="J31" s="878">
        <f t="shared" si="398"/>
        <v>202.04081632653063</v>
      </c>
      <c r="K31" s="878">
        <f t="shared" si="398"/>
        <v>202.04081632653063</v>
      </c>
      <c r="L31" s="878">
        <f t="shared" si="398"/>
        <v>202.04081632653063</v>
      </c>
      <c r="M31" s="878">
        <f t="shared" si="398"/>
        <v>202.04081632653063</v>
      </c>
      <c r="N31" s="878">
        <f t="shared" si="398"/>
        <v>202.04081632653063</v>
      </c>
      <c r="O31" s="878">
        <f t="shared" si="398"/>
        <v>202.04081632653063</v>
      </c>
      <c r="P31" s="878">
        <f t="shared" si="398"/>
        <v>202.04081632653063</v>
      </c>
      <c r="Q31" s="878">
        <f t="shared" si="398"/>
        <v>202.04081632653063</v>
      </c>
      <c r="R31" s="878">
        <f t="shared" si="398"/>
        <v>202.04081632653063</v>
      </c>
      <c r="S31" s="878">
        <f t="shared" si="398"/>
        <v>359.87627397260269</v>
      </c>
      <c r="T31" s="878">
        <f t="shared" ref="T31" si="399">S31+T30</f>
        <v>363.31634122042334</v>
      </c>
      <c r="U31" s="878">
        <f t="shared" ref="U31" si="400">T31+U30</f>
        <v>363.31634122042334</v>
      </c>
      <c r="V31" s="878">
        <f t="shared" ref="V31" si="401">U31+V30</f>
        <v>363.31634122042334</v>
      </c>
      <c r="W31" s="878">
        <f t="shared" ref="W31" si="402">V31+W30</f>
        <v>363.31634122042334</v>
      </c>
      <c r="X31" s="878">
        <f t="shared" ref="X31" si="403">W31+X30</f>
        <v>363.31634122042334</v>
      </c>
      <c r="Y31" s="878">
        <f t="shared" ref="Y31" si="404">X31+Y30</f>
        <v>431.09485927770857</v>
      </c>
      <c r="Z31" s="878">
        <f t="shared" ref="Z31" si="405">Y31+Z30</f>
        <v>431.09485927770857</v>
      </c>
      <c r="AA31" s="878">
        <f t="shared" ref="AA31" si="406">Z31+AA30</f>
        <v>431.09485927770857</v>
      </c>
      <c r="AB31" s="878">
        <f t="shared" ref="AB31" si="407">AA31+AB30</f>
        <v>498.75307845579073</v>
      </c>
      <c r="AC31" s="878">
        <f t="shared" ref="AC31" si="408">AB31+AC30</f>
        <v>498.75307845579073</v>
      </c>
      <c r="AD31" s="878">
        <f t="shared" ref="AD31" si="409">AC31+AD30</f>
        <v>498.75307845579073</v>
      </c>
      <c r="AE31" s="878">
        <f t="shared" ref="AE31" si="410">AD31+AE30</f>
        <v>566.29230635118302</v>
      </c>
      <c r="AF31" s="878">
        <f t="shared" ref="AF31" si="411">AE31+AF30</f>
        <v>571.14889726027388</v>
      </c>
      <c r="AG31" s="878">
        <f t="shared" ref="AG31" si="412">AF31+AG30</f>
        <v>571.14889726027388</v>
      </c>
      <c r="AH31" s="878">
        <f t="shared" ref="AH31" si="413">AG31+AH30</f>
        <v>571.14889726027388</v>
      </c>
      <c r="AI31" s="878">
        <f t="shared" ref="AI31" si="414">AH31+AI30</f>
        <v>571.14889726027388</v>
      </c>
      <c r="AJ31" s="878">
        <f t="shared" ref="AJ31" si="415">AI31+AJ30</f>
        <v>571.14889726027388</v>
      </c>
      <c r="AK31" s="878">
        <f t="shared" ref="AK31" si="416">AJ31+AK30</f>
        <v>638.72735305105846</v>
      </c>
      <c r="AL31" s="878">
        <f t="shared" ref="AL31" si="417">AK31+AL30</f>
        <v>638.72735305105846</v>
      </c>
      <c r="AM31" s="878">
        <f t="shared" ref="AM31" si="418">AL31+AM30</f>
        <v>638.72735305105846</v>
      </c>
      <c r="AN31" s="878">
        <f t="shared" ref="AN31" si="419">AM31+AN30</f>
        <v>638.72735305105846</v>
      </c>
      <c r="AO31" s="878">
        <f t="shared" ref="AO31" si="420">AN31+AO30</f>
        <v>638.72735305105846</v>
      </c>
      <c r="AP31" s="878">
        <f t="shared" ref="AP31" si="421">AO31+AP30</f>
        <v>638.72735305105846</v>
      </c>
      <c r="AQ31" s="878">
        <f t="shared" ref="AQ31" si="422">AP31+AQ30</f>
        <v>638.72735305105846</v>
      </c>
      <c r="AR31" s="878">
        <f t="shared" ref="AR31" si="423">AQ31+AR30</f>
        <v>639.62735305105844</v>
      </c>
      <c r="AS31" s="878">
        <f t="shared" ref="AS31" si="424">AR31+AS30</f>
        <v>639.62735305105844</v>
      </c>
      <c r="AT31" s="878">
        <f t="shared" ref="AT31" si="425">AS31+AT30</f>
        <v>639.62735305105844</v>
      </c>
      <c r="AU31" s="878">
        <f t="shared" ref="AU31" si="426">AT31+AU30</f>
        <v>639.62735305105844</v>
      </c>
      <c r="AV31" s="878">
        <f t="shared" ref="AV31" si="427">AU31+AV30</f>
        <v>639.62735305105844</v>
      </c>
      <c r="AW31" s="878">
        <f t="shared" ref="AW31" si="428">AV31+AW30</f>
        <v>639.62735305105844</v>
      </c>
      <c r="AX31" s="878">
        <f t="shared" ref="AX31" si="429">AW31+AX30</f>
        <v>639.62735305105844</v>
      </c>
      <c r="AY31" s="878">
        <f t="shared" ref="AY31" si="430">AX31+AY30</f>
        <v>639.62735305105844</v>
      </c>
      <c r="AZ31" s="878">
        <f t="shared" ref="AZ31" si="431">AY31+AZ30</f>
        <v>639.62735305105844</v>
      </c>
      <c r="BA31" s="878">
        <f t="shared" ref="BA31" si="432">AZ31+BA30</f>
        <v>639.62735305105844</v>
      </c>
      <c r="BB31" s="878">
        <f t="shared" ref="BB31" si="433">BA31+BB30</f>
        <v>639.62735305105844</v>
      </c>
      <c r="BC31" s="878">
        <f t="shared" ref="BC31" si="434">BB31+BC30</f>
        <v>639.62735305105844</v>
      </c>
      <c r="BD31" s="878">
        <f t="shared" ref="BD31" si="435">BC31+BD30</f>
        <v>640.52735305105841</v>
      </c>
      <c r="BE31" s="878">
        <f t="shared" ref="BE31" si="436">BD31+BE30</f>
        <v>640.52735305105841</v>
      </c>
      <c r="BF31" s="878">
        <f t="shared" ref="BF31" si="437">BE31+BF30</f>
        <v>640.52735305105841</v>
      </c>
      <c r="BG31" s="878">
        <f t="shared" ref="BG31" si="438">BF31+BG30</f>
        <v>640.52735305105841</v>
      </c>
      <c r="BH31" s="878">
        <f t="shared" ref="BH31" si="439">BG31+BH30</f>
        <v>640.52735305105841</v>
      </c>
      <c r="BI31" s="878">
        <f t="shared" ref="BI31" si="440">BH31+BI30</f>
        <v>640.52735305105841</v>
      </c>
      <c r="BJ31" s="878">
        <f t="shared" ref="BJ31" si="441">BI31+BJ30</f>
        <v>640.52735305105841</v>
      </c>
      <c r="BK31" s="878">
        <f t="shared" ref="BK31" si="442">BJ31+BK30</f>
        <v>640.52735305105841</v>
      </c>
      <c r="BL31" s="878">
        <f t="shared" ref="BL31" si="443">BK31+BL30</f>
        <v>640.52735305105841</v>
      </c>
      <c r="BM31" s="878">
        <f t="shared" ref="BM31" si="444">BL31+BM30</f>
        <v>640.52735305105841</v>
      </c>
      <c r="BN31" s="878">
        <f t="shared" ref="BN31" si="445">BM31+BN30</f>
        <v>640.52735305105841</v>
      </c>
      <c r="BO31" s="878">
        <f t="shared" ref="BO31" si="446">BN31+BO30</f>
        <v>640.52735305105841</v>
      </c>
    </row>
    <row r="32" spans="1:67" s="18" customFormat="1">
      <c r="A32" s="866">
        <v>4</v>
      </c>
      <c r="B32" s="76"/>
      <c r="C32" s="76" t="s">
        <v>2244</v>
      </c>
      <c r="D32" s="875" t="s">
        <v>2118</v>
      </c>
      <c r="E32" s="77">
        <v>5000</v>
      </c>
      <c r="F32" s="877">
        <f>E32/150000</f>
        <v>3.3333333333333333E-2</v>
      </c>
      <c r="G32" s="878">
        <v>0</v>
      </c>
      <c r="H32" s="878">
        <v>0</v>
      </c>
      <c r="I32" s="878">
        <v>0</v>
      </c>
      <c r="J32" s="878">
        <f>基金资金安排!C7</f>
        <v>500</v>
      </c>
      <c r="K32" s="878">
        <v>1000</v>
      </c>
      <c r="L32" s="878">
        <f t="shared" ref="L32" si="447">IF(($F32*L$23-K33)&lt;0,0,($F32*L$23-K33))</f>
        <v>0</v>
      </c>
      <c r="M32" s="878">
        <f t="shared" ref="M32" si="448">IF(($F32*M$23-L33)&lt;0,0,($F32*M$23-L33))</f>
        <v>0</v>
      </c>
      <c r="N32" s="878">
        <f t="shared" ref="N32" si="449">IF(($F32*N$23-M33)&lt;0,0,($F32*N$23-M33))</f>
        <v>0</v>
      </c>
      <c r="O32" s="878">
        <f t="shared" ref="O32" si="450">IF(($F32*O$23-N33)&lt;0,0,($F32*O$23-N33))</f>
        <v>0</v>
      </c>
      <c r="P32" s="878">
        <f t="shared" ref="P32" si="451">IF(($F32*P$23-O33)&lt;0,0,($F32*P$23-O33))</f>
        <v>0</v>
      </c>
      <c r="Q32" s="878">
        <f t="shared" ref="Q32" si="452">IF(($F32*Q$23-P33)&lt;0,0,($F32*Q$23-P33))</f>
        <v>0</v>
      </c>
      <c r="R32" s="878">
        <f t="shared" ref="R32:S32" si="453">IF(($F32*R$23-Q33)&lt;0,0,($F32*R$23-Q33))</f>
        <v>0</v>
      </c>
      <c r="S32" s="878">
        <f t="shared" si="453"/>
        <v>1165.7501775748347</v>
      </c>
      <c r="T32" s="878">
        <f t="shared" ref="T32" si="454">IF(($F32*T$23-S33)&lt;0,0,($F32*T$23-S33))</f>
        <v>25.481979613486601</v>
      </c>
      <c r="U32" s="878">
        <f t="shared" ref="U32" si="455">IF(($F32*U$23-T33)&lt;0,0,($F32*U$23-T33))</f>
        <v>0</v>
      </c>
      <c r="V32" s="878">
        <f t="shared" ref="V32" si="456">IF(($F32*V$23-U33)&lt;0,0,($F32*V$23-U33))</f>
        <v>0</v>
      </c>
      <c r="W32" s="878">
        <f t="shared" ref="W32" si="457">IF(($F32*W$23-V33)&lt;0,0,($F32*W$23-V33))</f>
        <v>0</v>
      </c>
      <c r="X32" s="878">
        <f t="shared" ref="X32" si="458">IF(($F32*X$23-W33)&lt;0,0,($F32*X$23-W33))</f>
        <v>0</v>
      </c>
      <c r="Y32" s="878">
        <f t="shared" ref="Y32" si="459">IF(($F32*Y$23-X33)&lt;0,0,($F32*Y$23-X33))</f>
        <v>502.06309672063117</v>
      </c>
      <c r="Z32" s="878">
        <f t="shared" ref="Z32" si="460">IF(($F32*Z$23-Y33)&lt;0,0,($F32*Z$23-Y33))</f>
        <v>0</v>
      </c>
      <c r="AA32" s="878">
        <f t="shared" ref="AA32" si="461">IF(($F32*AA$23-Z33)&lt;0,0,($F32*AA$23-Z33))</f>
        <v>0</v>
      </c>
      <c r="AB32" s="878">
        <f t="shared" ref="AB32" si="462">IF(($F32*AB$23-AA33)&lt;0,0,($F32*AB$23-AA33))</f>
        <v>501.17199391171971</v>
      </c>
      <c r="AC32" s="878">
        <f t="shared" ref="AC32" si="463">IF(($F32*AC$23-AB33)&lt;0,0,($F32*AC$23-AB33))</f>
        <v>0</v>
      </c>
      <c r="AD32" s="878">
        <f t="shared" ref="AD32" si="464">IF(($F32*AD$23-AC33)&lt;0,0,($F32*AD$23-AC33))</f>
        <v>0</v>
      </c>
      <c r="AE32" s="878">
        <f t="shared" ref="AE32" si="465">IF(($F32*AE$23-AD33)&lt;0,0,($F32*AE$23-AD33))</f>
        <v>500.29057700290559</v>
      </c>
      <c r="AF32" s="878">
        <f t="shared" ref="AF32" si="466">IF(($F32*AF$23-AE33)&lt;0,0,($F32*AF$23-AE33))</f>
        <v>35.974747474747346</v>
      </c>
      <c r="AG32" s="878">
        <f t="shared" ref="AG32" si="467">IF(($F32*AG$23-AF33)&lt;0,0,($F32*AG$23-AF33))</f>
        <v>0</v>
      </c>
      <c r="AH32" s="878">
        <f t="shared" ref="AH32" si="468">IF(($F32*AH$23-AG33)&lt;0,0,($F32*AH$23-AG33))</f>
        <v>0</v>
      </c>
      <c r="AI32" s="878">
        <f t="shared" ref="AI32" si="469">IF(($F32*AI$23-AH33)&lt;0,0,($F32*AI$23-AH33))</f>
        <v>0</v>
      </c>
      <c r="AJ32" s="878">
        <f t="shared" ref="AJ32" si="470">IF(($F32*AJ$23-AI33)&lt;0,0,($F32*AJ$23-AI33))</f>
        <v>0</v>
      </c>
      <c r="AK32" s="878">
        <f t="shared" ref="AK32" si="471">IF(($F32*AK$23-AJ33)&lt;0,0,($F32*AK$23-AJ33))</f>
        <v>500.5811540058121</v>
      </c>
      <c r="AL32" s="878">
        <f t="shared" ref="AL32" si="472">IF(($F32*AL$23-AK33)&lt;0,0,($F32*AL$23-AK33))</f>
        <v>0</v>
      </c>
      <c r="AM32" s="878">
        <f t="shared" ref="AM32" si="473">IF(($F32*AM$23-AL33)&lt;0,0,($F32*AM$23-AL33))</f>
        <v>0</v>
      </c>
      <c r="AN32" s="878">
        <f t="shared" ref="AN32" si="474">IF(($F32*AN$23-AM33)&lt;0,0,($F32*AN$23-AM33))</f>
        <v>0</v>
      </c>
      <c r="AO32" s="878">
        <f t="shared" ref="AO32" si="475">IF(($F32*AO$23-AN33)&lt;0,0,($F32*AO$23-AN33))</f>
        <v>0</v>
      </c>
      <c r="AP32" s="878">
        <f t="shared" ref="AP32" si="476">IF(($F32*AP$23-AO33)&lt;0,0,($F32*AP$23-AO33))</f>
        <v>0</v>
      </c>
      <c r="AQ32" s="878">
        <f t="shared" ref="AQ32" si="477">IF(($F32*AQ$23-AP33)&lt;0,0,($F32*AQ$23-AP33))</f>
        <v>0</v>
      </c>
      <c r="AR32" s="878">
        <f t="shared" ref="AR32" si="478">IF(($F32*AR$23-AQ33)&lt;0,0,($F32*AR$23-AQ33))</f>
        <v>6.6666666666660603</v>
      </c>
      <c r="AS32" s="878">
        <f t="shared" ref="AS32" si="479">IF(($F32*AS$23-AR33)&lt;0,0,($F32*AS$23-AR33))</f>
        <v>0</v>
      </c>
      <c r="AT32" s="878">
        <f t="shared" ref="AT32" si="480">IF(($F32*AT$23-AS33)&lt;0,0,($F32*AT$23-AS33))</f>
        <v>0</v>
      </c>
      <c r="AU32" s="878">
        <f t="shared" ref="AU32" si="481">IF(($F32*AU$23-AT33)&lt;0,0,($F32*AU$23-AT33))</f>
        <v>0</v>
      </c>
      <c r="AV32" s="878">
        <f t="shared" ref="AV32" si="482">IF(($F32*AV$23-AU33)&lt;0,0,($F32*AV$23-AU33))</f>
        <v>0</v>
      </c>
      <c r="AW32" s="878">
        <f t="shared" ref="AW32" si="483">IF(($F32*AW$23-AV33)&lt;0,0,($F32*AW$23-AV33))</f>
        <v>0</v>
      </c>
      <c r="AX32" s="878">
        <f t="shared" ref="AX32" si="484">IF(($F32*AX$23-AW33)&lt;0,0,($F32*AX$23-AW33))</f>
        <v>0</v>
      </c>
      <c r="AY32" s="878">
        <f t="shared" ref="AY32" si="485">IF(($F32*AY$23-AX33)&lt;0,0,($F32*AY$23-AX33))</f>
        <v>0</v>
      </c>
      <c r="AZ32" s="878">
        <f t="shared" ref="AZ32" si="486">IF(($F32*AZ$23-AY33)&lt;0,0,($F32*AZ$23-AY33))</f>
        <v>0</v>
      </c>
      <c r="BA32" s="878">
        <f t="shared" ref="BA32" si="487">IF(($F32*BA$23-AZ33)&lt;0,0,($F32*BA$23-AZ33))</f>
        <v>0</v>
      </c>
      <c r="BB32" s="878">
        <f t="shared" ref="BB32" si="488">IF(($F32*BB$23-BA33)&lt;0,0,($F32*BB$23-BA33))</f>
        <v>0</v>
      </c>
      <c r="BC32" s="878">
        <f t="shared" ref="BC32" si="489">IF(($F32*BC$23-BB33)&lt;0,0,($F32*BC$23-BB33))</f>
        <v>0</v>
      </c>
      <c r="BD32" s="878">
        <f t="shared" ref="BD32" si="490">IF(($F32*BD$23-BC33)&lt;0,0,($F32*BD$23-BC33))</f>
        <v>6.6666666666669698</v>
      </c>
      <c r="BE32" s="878">
        <f t="shared" ref="BE32" si="491">IF(($F32*BE$23-BD33)&lt;0,0,($F32*BE$23-BD33))</f>
        <v>0</v>
      </c>
      <c r="BF32" s="878">
        <f t="shared" ref="BF32" si="492">IF(($F32*BF$23-BE33)&lt;0,0,($F32*BF$23-BE33))</f>
        <v>0</v>
      </c>
      <c r="BG32" s="878">
        <f t="shared" ref="BG32" si="493">IF(($F32*BG$23-BF33)&lt;0,0,($F32*BG$23-BF33))</f>
        <v>0</v>
      </c>
      <c r="BH32" s="878">
        <f t="shared" ref="BH32" si="494">IF(($F32*BH$23-BG33)&lt;0,0,($F32*BH$23-BG33))</f>
        <v>0</v>
      </c>
      <c r="BI32" s="878">
        <f t="shared" ref="BI32" si="495">IF(($F32*BI$23-BH33)&lt;0,0,($F32*BI$23-BH33))</f>
        <v>0</v>
      </c>
      <c r="BJ32" s="878">
        <f t="shared" ref="BJ32" si="496">IF(($F32*BJ$23-BI33)&lt;0,0,($F32*BJ$23-BI33))</f>
        <v>0</v>
      </c>
      <c r="BK32" s="878">
        <f t="shared" ref="BK32" si="497">IF(($F32*BK$23-BJ33)&lt;0,0,($F32*BK$23-BJ33))</f>
        <v>0</v>
      </c>
      <c r="BL32" s="878">
        <f t="shared" ref="BL32" si="498">IF(($F32*BL$23-BK33)&lt;0,0,($F32*BL$23-BK33))</f>
        <v>0</v>
      </c>
      <c r="BM32" s="878">
        <f t="shared" ref="BM32" si="499">IF(($F32*BM$23-BL33)&lt;0,0,($F32*BM$23-BL33))</f>
        <v>0</v>
      </c>
      <c r="BN32" s="878">
        <f t="shared" ref="BN32" si="500">IF(($F32*BN$23-BM33)&lt;0,0,($F32*BN$23-BM33))</f>
        <v>0</v>
      </c>
      <c r="BO32" s="878">
        <f t="shared" ref="BO32" si="501">IF(($F32*BO$23-BN33)&lt;0,0,($F32*BO$23-BN33))</f>
        <v>0</v>
      </c>
    </row>
    <row r="33" spans="1:67" s="18" customFormat="1">
      <c r="A33" s="866">
        <v>4</v>
      </c>
      <c r="B33" s="76"/>
      <c r="C33" s="76" t="s">
        <v>2245</v>
      </c>
      <c r="D33" s="875"/>
      <c r="E33" s="77"/>
      <c r="F33" s="877"/>
      <c r="G33" s="878">
        <f>G32</f>
        <v>0</v>
      </c>
      <c r="H33" s="878">
        <f>G33+H32</f>
        <v>0</v>
      </c>
      <c r="I33" s="878">
        <f t="shared" ref="I33" si="502">H33+I32</f>
        <v>0</v>
      </c>
      <c r="J33" s="878">
        <f t="shared" ref="J33" si="503">I33+J32</f>
        <v>500</v>
      </c>
      <c r="K33" s="878">
        <f t="shared" ref="K33" si="504">J33+K32</f>
        <v>1500</v>
      </c>
      <c r="L33" s="878">
        <f t="shared" ref="L33" si="505">K33+L32</f>
        <v>1500</v>
      </c>
      <c r="M33" s="878">
        <f t="shared" ref="M33" si="506">L33+M32</f>
        <v>1500</v>
      </c>
      <c r="N33" s="878">
        <f t="shared" ref="N33" si="507">M33+N32</f>
        <v>1500</v>
      </c>
      <c r="O33" s="878">
        <f t="shared" ref="O33" si="508">N33+O32</f>
        <v>1500</v>
      </c>
      <c r="P33" s="878">
        <f t="shared" ref="P33" si="509">O33+P32</f>
        <v>1500</v>
      </c>
      <c r="Q33" s="878">
        <f t="shared" ref="Q33" si="510">P33+Q32</f>
        <v>1500</v>
      </c>
      <c r="R33" s="878">
        <f t="shared" ref="R33" si="511">Q33+R32</f>
        <v>1500</v>
      </c>
      <c r="S33" s="878">
        <f t="shared" ref="S33" si="512">R33+S32</f>
        <v>2665.7501775748347</v>
      </c>
      <c r="T33" s="878">
        <f t="shared" ref="T33" si="513">S33+T32</f>
        <v>2691.2321571883213</v>
      </c>
      <c r="U33" s="878">
        <f t="shared" ref="U33" si="514">T33+U32</f>
        <v>2691.2321571883213</v>
      </c>
      <c r="V33" s="878">
        <f t="shared" ref="V33" si="515">U33+V32</f>
        <v>2691.2321571883213</v>
      </c>
      <c r="W33" s="878">
        <f t="shared" ref="W33" si="516">V33+W32</f>
        <v>2691.2321571883213</v>
      </c>
      <c r="X33" s="878">
        <f t="shared" ref="X33" si="517">W33+X32</f>
        <v>2691.2321571883213</v>
      </c>
      <c r="Y33" s="878">
        <f t="shared" ref="Y33" si="518">X33+Y32</f>
        <v>3193.2952539089524</v>
      </c>
      <c r="Z33" s="878">
        <f t="shared" ref="Z33" si="519">Y33+Z32</f>
        <v>3193.2952539089524</v>
      </c>
      <c r="AA33" s="878">
        <f t="shared" ref="AA33" si="520">Z33+AA32</f>
        <v>3193.2952539089524</v>
      </c>
      <c r="AB33" s="878">
        <f t="shared" ref="AB33" si="521">AA33+AB32</f>
        <v>3694.4672478206721</v>
      </c>
      <c r="AC33" s="878">
        <f t="shared" ref="AC33" si="522">AB33+AC32</f>
        <v>3694.4672478206721</v>
      </c>
      <c r="AD33" s="878">
        <f t="shared" ref="AD33" si="523">AC33+AD32</f>
        <v>3694.4672478206721</v>
      </c>
      <c r="AE33" s="878">
        <f t="shared" ref="AE33" si="524">AD33+AE32</f>
        <v>4194.7578248235777</v>
      </c>
      <c r="AF33" s="878">
        <f t="shared" ref="AF33" si="525">AE33+AF32</f>
        <v>4230.7325722983251</v>
      </c>
      <c r="AG33" s="878">
        <f t="shared" ref="AG33" si="526">AF33+AG32</f>
        <v>4230.7325722983251</v>
      </c>
      <c r="AH33" s="878">
        <f t="shared" ref="AH33" si="527">AG33+AH32</f>
        <v>4230.7325722983251</v>
      </c>
      <c r="AI33" s="878">
        <f t="shared" ref="AI33" si="528">AH33+AI32</f>
        <v>4230.7325722983251</v>
      </c>
      <c r="AJ33" s="878">
        <f t="shared" ref="AJ33" si="529">AI33+AJ32</f>
        <v>4230.7325722983251</v>
      </c>
      <c r="AK33" s="878">
        <f t="shared" ref="AK33" si="530">AJ33+AK32</f>
        <v>4731.3137263041372</v>
      </c>
      <c r="AL33" s="878">
        <f t="shared" ref="AL33" si="531">AK33+AL32</f>
        <v>4731.3137263041372</v>
      </c>
      <c r="AM33" s="878">
        <f t="shared" ref="AM33" si="532">AL33+AM32</f>
        <v>4731.3137263041372</v>
      </c>
      <c r="AN33" s="878">
        <f t="shared" ref="AN33" si="533">AM33+AN32</f>
        <v>4731.3137263041372</v>
      </c>
      <c r="AO33" s="878">
        <f t="shared" ref="AO33" si="534">AN33+AO32</f>
        <v>4731.3137263041372</v>
      </c>
      <c r="AP33" s="878">
        <f t="shared" ref="AP33" si="535">AO33+AP32</f>
        <v>4731.3137263041372</v>
      </c>
      <c r="AQ33" s="878">
        <f t="shared" ref="AQ33" si="536">AP33+AQ32</f>
        <v>4731.3137263041372</v>
      </c>
      <c r="AR33" s="878">
        <f t="shared" ref="AR33" si="537">AQ33+AR32</f>
        <v>4737.9803929708032</v>
      </c>
      <c r="AS33" s="878">
        <f t="shared" ref="AS33" si="538">AR33+AS32</f>
        <v>4737.9803929708032</v>
      </c>
      <c r="AT33" s="878">
        <f t="shared" ref="AT33" si="539">AS33+AT32</f>
        <v>4737.9803929708032</v>
      </c>
      <c r="AU33" s="878">
        <f t="shared" ref="AU33" si="540">AT33+AU32</f>
        <v>4737.9803929708032</v>
      </c>
      <c r="AV33" s="878">
        <f t="shared" ref="AV33" si="541">AU33+AV32</f>
        <v>4737.9803929708032</v>
      </c>
      <c r="AW33" s="878">
        <f t="shared" ref="AW33" si="542">AV33+AW32</f>
        <v>4737.9803929708032</v>
      </c>
      <c r="AX33" s="878">
        <f t="shared" ref="AX33" si="543">AW33+AX32</f>
        <v>4737.9803929708032</v>
      </c>
      <c r="AY33" s="878">
        <f t="shared" ref="AY33" si="544">AX33+AY32</f>
        <v>4737.9803929708032</v>
      </c>
      <c r="AZ33" s="878">
        <f t="shared" ref="AZ33" si="545">AY33+AZ32</f>
        <v>4737.9803929708032</v>
      </c>
      <c r="BA33" s="878">
        <f t="shared" ref="BA33" si="546">AZ33+BA32</f>
        <v>4737.9803929708032</v>
      </c>
      <c r="BB33" s="878">
        <f t="shared" ref="BB33" si="547">BA33+BB32</f>
        <v>4737.9803929708032</v>
      </c>
      <c r="BC33" s="878">
        <f t="shared" ref="BC33" si="548">BB33+BC32</f>
        <v>4737.9803929708032</v>
      </c>
      <c r="BD33" s="878">
        <f t="shared" ref="BD33" si="549">BC33+BD32</f>
        <v>4744.6470596374702</v>
      </c>
      <c r="BE33" s="878">
        <f t="shared" ref="BE33" si="550">BD33+BE32</f>
        <v>4744.6470596374702</v>
      </c>
      <c r="BF33" s="878">
        <f t="shared" ref="BF33" si="551">BE33+BF32</f>
        <v>4744.6470596374702</v>
      </c>
      <c r="BG33" s="878">
        <f t="shared" ref="BG33" si="552">BF33+BG32</f>
        <v>4744.6470596374702</v>
      </c>
      <c r="BH33" s="878">
        <f t="shared" ref="BH33" si="553">BG33+BH32</f>
        <v>4744.6470596374702</v>
      </c>
      <c r="BI33" s="878">
        <f t="shared" ref="BI33" si="554">BH33+BI32</f>
        <v>4744.6470596374702</v>
      </c>
      <c r="BJ33" s="878">
        <f t="shared" ref="BJ33" si="555">BI33+BJ32</f>
        <v>4744.6470596374702</v>
      </c>
      <c r="BK33" s="878">
        <f t="shared" ref="BK33" si="556">BJ33+BK32</f>
        <v>4744.6470596374702</v>
      </c>
      <c r="BL33" s="878">
        <f t="shared" ref="BL33" si="557">BK33+BL32</f>
        <v>4744.6470596374702</v>
      </c>
      <c r="BM33" s="878">
        <f t="shared" ref="BM33" si="558">BL33+BM32</f>
        <v>4744.6470596374702</v>
      </c>
      <c r="BN33" s="878">
        <f t="shared" ref="BN33" si="559">BM33+BN32</f>
        <v>4744.6470596374702</v>
      </c>
      <c r="BO33" s="878">
        <f t="shared" ref="BO33" si="560">BN33+BO32</f>
        <v>4744.6470596374702</v>
      </c>
    </row>
    <row r="34" spans="1:67" s="63" customFormat="1">
      <c r="A34" s="866">
        <v>19</v>
      </c>
      <c r="B34" s="17"/>
      <c r="C34" s="17"/>
      <c r="D34" s="17"/>
      <c r="E34" s="17"/>
    </row>
    <row r="35" spans="1:67" s="18" customFormat="1">
      <c r="A35" s="866">
        <v>32</v>
      </c>
      <c r="B35" s="76"/>
      <c r="C35" s="76" t="s">
        <v>2246</v>
      </c>
      <c r="D35" s="76"/>
      <c r="E35" s="77"/>
      <c r="F35" s="76">
        <f>汇总!$D$66</f>
        <v>0.1</v>
      </c>
      <c r="G35" s="879">
        <f>F35*5500</f>
        <v>550</v>
      </c>
      <c r="H35" s="878">
        <f>H$8*$F35*100*H$4/4+H$7*$F35*100*(DATE(YEAR(H$3),INT((MONTH(H$3)-1)/3)*3+4,0)-H$3)/365*H$5</f>
        <v>137.5</v>
      </c>
      <c r="I35" s="878">
        <f>I$8*$F35*100*I$4/4+I$7*$F35*100*(DATE(YEAR(I$3),INT((MONTH(I$3)-1)/3)*3+4,0)-I$3)/365*I$5</f>
        <v>0</v>
      </c>
      <c r="J35" s="878">
        <f t="shared" ref="J35:AJ35" si="561">J$8*$F35*100*J$4/4+J$7*$F35*100*(DATE(YEAR(J$3),INT((MONTH(J$3)-1)/3)*3+4,0)-J$3)/365*J$5</f>
        <v>0</v>
      </c>
      <c r="K35" s="878">
        <f t="shared" si="561"/>
        <v>137.5</v>
      </c>
      <c r="L35" s="878">
        <f t="shared" si="561"/>
        <v>0</v>
      </c>
      <c r="M35" s="878">
        <f t="shared" si="561"/>
        <v>79.452054794520549</v>
      </c>
      <c r="N35" s="878">
        <f t="shared" si="561"/>
        <v>387.5</v>
      </c>
      <c r="O35" s="878">
        <f t="shared" si="561"/>
        <v>0</v>
      </c>
      <c r="P35" s="878">
        <f t="shared" si="561"/>
        <v>0</v>
      </c>
      <c r="Q35" s="878">
        <f t="shared" si="561"/>
        <v>387.5</v>
      </c>
      <c r="R35" s="878">
        <f t="shared" si="561"/>
        <v>0</v>
      </c>
      <c r="S35" s="878">
        <f t="shared" si="561"/>
        <v>328.76712328767121</v>
      </c>
      <c r="T35" s="878">
        <f t="shared" si="561"/>
        <v>1387.5</v>
      </c>
      <c r="U35" s="878">
        <f t="shared" si="561"/>
        <v>0</v>
      </c>
      <c r="V35" s="878">
        <f t="shared" si="561"/>
        <v>0</v>
      </c>
      <c r="W35" s="878">
        <f t="shared" si="561"/>
        <v>1387.5</v>
      </c>
      <c r="X35" s="878">
        <f t="shared" si="561"/>
        <v>0</v>
      </c>
      <c r="Y35" s="878">
        <f t="shared" si="561"/>
        <v>79.452054794520549</v>
      </c>
      <c r="Z35" s="878">
        <f t="shared" si="561"/>
        <v>1637.5</v>
      </c>
      <c r="AA35" s="878">
        <f t="shared" si="561"/>
        <v>0</v>
      </c>
      <c r="AB35" s="878">
        <f t="shared" si="561"/>
        <v>79.452054794520549</v>
      </c>
      <c r="AC35" s="878">
        <f t="shared" si="561"/>
        <v>1887.5</v>
      </c>
      <c r="AD35" s="878">
        <f t="shared" si="561"/>
        <v>0</v>
      </c>
      <c r="AE35" s="878">
        <f t="shared" si="561"/>
        <v>82.191780821917803</v>
      </c>
      <c r="AF35" s="878">
        <f t="shared" si="561"/>
        <v>2137.5</v>
      </c>
      <c r="AG35" s="878">
        <f t="shared" si="561"/>
        <v>0</v>
      </c>
      <c r="AH35" s="878">
        <f t="shared" si="561"/>
        <v>0</v>
      </c>
      <c r="AI35" s="878">
        <f t="shared" si="561"/>
        <v>2137.5</v>
      </c>
      <c r="AJ35" s="878">
        <f t="shared" si="561"/>
        <v>0</v>
      </c>
      <c r="AK35" s="878">
        <f>AK$8*$F35*100*AK$4/4+AK$7*$F35*100*(DATE(YEAR(AP$3),INT((MONTH(AP$3)-1)/3)*3+4,0)-AP$3)/365*AK$5</f>
        <v>164.38356164383561</v>
      </c>
      <c r="AL35" s="878">
        <f t="shared" ref="AL35:BO35" si="562">AL$8*$F35*100*AL$4/4+AL$7*$F35*100*(DATE(YEAR(AQ$3),INT((MONTH(AQ$3)-1)/3)*3+4,0)-AQ$3)/365*AL$5</f>
        <v>2387.5</v>
      </c>
      <c r="AM35" s="878">
        <f t="shared" si="562"/>
        <v>0</v>
      </c>
      <c r="AN35" s="878">
        <f t="shared" si="562"/>
        <v>0</v>
      </c>
      <c r="AO35" s="878">
        <f t="shared" si="562"/>
        <v>2387.5</v>
      </c>
      <c r="AP35" s="878">
        <f t="shared" si="562"/>
        <v>0</v>
      </c>
      <c r="AQ35" s="878">
        <f t="shared" si="562"/>
        <v>0</v>
      </c>
      <c r="AR35" s="878">
        <f t="shared" si="562"/>
        <v>2387.5</v>
      </c>
      <c r="AS35" s="878">
        <f t="shared" si="562"/>
        <v>0</v>
      </c>
      <c r="AT35" s="878">
        <f t="shared" si="562"/>
        <v>0</v>
      </c>
      <c r="AU35" s="878">
        <f t="shared" si="562"/>
        <v>2387.5</v>
      </c>
      <c r="AV35" s="878">
        <f t="shared" si="562"/>
        <v>0</v>
      </c>
      <c r="AW35" s="878">
        <f t="shared" si="562"/>
        <v>0</v>
      </c>
      <c r="AX35" s="878">
        <f t="shared" si="562"/>
        <v>2387.5</v>
      </c>
      <c r="AY35" s="878">
        <f t="shared" si="562"/>
        <v>0</v>
      </c>
      <c r="AZ35" s="878">
        <f t="shared" si="562"/>
        <v>0</v>
      </c>
      <c r="BA35" s="878">
        <f t="shared" si="562"/>
        <v>2387.5</v>
      </c>
      <c r="BB35" s="878">
        <f t="shared" si="562"/>
        <v>0</v>
      </c>
      <c r="BC35" s="878">
        <f t="shared" si="562"/>
        <v>0</v>
      </c>
      <c r="BD35" s="878">
        <f t="shared" si="562"/>
        <v>2387.5</v>
      </c>
      <c r="BE35" s="878">
        <f t="shared" si="562"/>
        <v>0</v>
      </c>
      <c r="BF35" s="878">
        <f t="shared" si="562"/>
        <v>0</v>
      </c>
      <c r="BG35" s="878">
        <f t="shared" si="562"/>
        <v>2387.5</v>
      </c>
      <c r="BH35" s="878">
        <f t="shared" si="562"/>
        <v>0</v>
      </c>
      <c r="BI35" s="878">
        <f t="shared" si="562"/>
        <v>0</v>
      </c>
      <c r="BJ35" s="878">
        <f t="shared" si="562"/>
        <v>2387.5</v>
      </c>
      <c r="BK35" s="878">
        <f t="shared" si="562"/>
        <v>0</v>
      </c>
      <c r="BL35" s="878">
        <f t="shared" si="562"/>
        <v>0</v>
      </c>
      <c r="BM35" s="878">
        <f t="shared" si="562"/>
        <v>2387.5</v>
      </c>
      <c r="BN35" s="878">
        <f t="shared" si="562"/>
        <v>0</v>
      </c>
      <c r="BO35" s="878">
        <f t="shared" si="562"/>
        <v>0</v>
      </c>
    </row>
    <row r="36" spans="1:67" s="18" customFormat="1">
      <c r="A36" s="866">
        <v>32</v>
      </c>
      <c r="B36" s="76"/>
      <c r="C36" s="76" t="s">
        <v>2247</v>
      </c>
      <c r="D36" s="76" t="s">
        <v>2232</v>
      </c>
      <c r="E36" s="187">
        <f>汇总!E67</f>
        <v>0</v>
      </c>
      <c r="F36" s="76">
        <f>汇总!$D$67</f>
        <v>0.01</v>
      </c>
      <c r="G36" s="878">
        <f>G$8*$F36*100*(DATE(2025,12,31)-DATE(2024,12,16))/365</f>
        <v>0</v>
      </c>
      <c r="H36" s="878"/>
      <c r="I36" s="878"/>
      <c r="J36" s="878"/>
      <c r="K36" s="878"/>
      <c r="L36" s="878"/>
      <c r="M36" s="878"/>
      <c r="N36" s="878"/>
      <c r="O36" s="878"/>
      <c r="P36" s="878"/>
      <c r="Q36" s="878"/>
      <c r="R36" s="878"/>
      <c r="S36" s="878"/>
      <c r="T36" s="878" cm="1">
        <f t="array" ref="T36">SUMPRODUCT(H$8:S$8,I$3:T$3-H$3:S$3)/(T$3-H$3)*100*$F36*$E$36</f>
        <v>0</v>
      </c>
      <c r="U36" s="878"/>
      <c r="V36" s="878"/>
      <c r="W36" s="878"/>
      <c r="X36" s="878"/>
      <c r="Y36" s="878"/>
      <c r="Z36" s="878"/>
      <c r="AA36" s="878"/>
      <c r="AB36" s="878"/>
      <c r="AC36" s="878"/>
      <c r="AD36" s="878"/>
      <c r="AE36" s="878"/>
      <c r="AF36" s="878" cm="1">
        <f t="array" ref="AF36">SUMPRODUCT(T$8:AE$8,U$3:AF$3-T$3:AE$3)/(AF$3-T$3)*100*$F36*$E$36</f>
        <v>0</v>
      </c>
      <c r="AG36" s="878"/>
      <c r="AH36" s="878"/>
      <c r="AI36" s="878"/>
      <c r="AJ36" s="878"/>
      <c r="AK36" s="878"/>
      <c r="AL36" s="878"/>
      <c r="AM36" s="878"/>
      <c r="AN36" s="878"/>
      <c r="AO36" s="878"/>
      <c r="AP36" s="878"/>
      <c r="AQ36" s="878"/>
      <c r="AR36" s="878"/>
      <c r="AS36" s="878"/>
      <c r="AT36" s="878"/>
      <c r="AU36" s="878"/>
      <c r="AV36" s="878"/>
      <c r="AW36" s="878"/>
      <c r="AX36" s="878"/>
      <c r="AY36" s="878"/>
      <c r="AZ36" s="878"/>
      <c r="BA36" s="878"/>
      <c r="BB36" s="878"/>
      <c r="BC36" s="878"/>
      <c r="BD36" s="878"/>
      <c r="BE36" s="878"/>
      <c r="BF36" s="878"/>
      <c r="BG36" s="878"/>
      <c r="BH36" s="878"/>
      <c r="BI36" s="878"/>
      <c r="BJ36" s="878"/>
      <c r="BK36" s="878"/>
      <c r="BL36" s="878"/>
      <c r="BM36" s="878"/>
      <c r="BN36" s="878"/>
      <c r="BO36" s="878"/>
    </row>
    <row r="37" spans="1:67" s="18" customFormat="1">
      <c r="A37" s="866"/>
      <c r="B37" s="76"/>
      <c r="C37" s="76" t="s">
        <v>2248</v>
      </c>
      <c r="D37" s="76" t="s">
        <v>2232</v>
      </c>
      <c r="E37" s="187">
        <f>汇总!E68</f>
        <v>0</v>
      </c>
      <c r="F37" s="76">
        <f>汇总!$D$68</f>
        <v>0.04</v>
      </c>
      <c r="G37" s="878">
        <f>G$8*$F37*100*(DATE(2025,12,31)-DATE(2024,12,16))/365</f>
        <v>0</v>
      </c>
      <c r="H37" s="878"/>
      <c r="I37" s="878"/>
      <c r="J37" s="878"/>
      <c r="K37" s="878"/>
      <c r="L37" s="878"/>
      <c r="M37" s="878"/>
      <c r="N37" s="878"/>
      <c r="O37" s="878"/>
      <c r="P37" s="878"/>
      <c r="Q37" s="878"/>
      <c r="R37" s="878"/>
      <c r="S37" s="878"/>
      <c r="T37" s="878" cm="1">
        <f t="array" ref="T37">SUMPRODUCT(H$8:S$8,I$3:T$3-H$3:S$3)/(T$3-H$3)*100*$F37*$E$37</f>
        <v>0</v>
      </c>
      <c r="U37" s="878"/>
      <c r="V37" s="878"/>
      <c r="W37" s="878"/>
      <c r="X37" s="878"/>
      <c r="Y37" s="878"/>
      <c r="Z37" s="878"/>
      <c r="AA37" s="878"/>
      <c r="AB37" s="878"/>
      <c r="AC37" s="878"/>
      <c r="AD37" s="878"/>
      <c r="AE37" s="878"/>
      <c r="AF37" s="878" cm="1">
        <f t="array" ref="AF37">SUMPRODUCT(T$8:AE$8,U$3:AF$3-T$3:AE$3)/(AF$3-T$3)*100*$F37*$E$37</f>
        <v>0</v>
      </c>
      <c r="AG37" s="878"/>
      <c r="AH37" s="878"/>
      <c r="AI37" s="878"/>
      <c r="AJ37" s="878"/>
      <c r="AK37" s="878"/>
      <c r="AL37" s="878"/>
      <c r="AM37" s="878"/>
      <c r="AN37" s="878"/>
      <c r="AO37" s="878"/>
      <c r="AP37" s="878"/>
      <c r="AQ37" s="878"/>
      <c r="AR37" s="878"/>
      <c r="AS37" s="878"/>
      <c r="AT37" s="878"/>
      <c r="AU37" s="878"/>
      <c r="AV37" s="878"/>
      <c r="AW37" s="878"/>
      <c r="AX37" s="878"/>
      <c r="AY37" s="878"/>
      <c r="AZ37" s="878"/>
      <c r="BA37" s="878"/>
      <c r="BB37" s="878"/>
      <c r="BC37" s="878"/>
      <c r="BD37" s="878"/>
      <c r="BE37" s="878"/>
      <c r="BF37" s="878"/>
      <c r="BG37" s="878"/>
      <c r="BH37" s="878"/>
      <c r="BI37" s="878"/>
      <c r="BJ37" s="878"/>
      <c r="BK37" s="878"/>
      <c r="BL37" s="878"/>
      <c r="BM37" s="878"/>
      <c r="BN37" s="878"/>
      <c r="BO37" s="878"/>
    </row>
    <row r="38" spans="1:67" s="18" customFormat="1">
      <c r="A38" s="866">
        <v>32</v>
      </c>
      <c r="B38" s="76"/>
      <c r="C38" s="76" t="s">
        <v>2249</v>
      </c>
      <c r="D38" s="76"/>
      <c r="E38" s="76"/>
      <c r="F38" s="880"/>
      <c r="G38" s="878">
        <f>SUM(G35:G37)</f>
        <v>550</v>
      </c>
      <c r="H38" s="878">
        <f t="shared" ref="H38:AK38" si="563">SUM(H35:H37)</f>
        <v>137.5</v>
      </c>
      <c r="I38" s="878">
        <f t="shared" si="563"/>
        <v>0</v>
      </c>
      <c r="J38" s="878">
        <f t="shared" si="563"/>
        <v>0</v>
      </c>
      <c r="K38" s="878">
        <f t="shared" si="563"/>
        <v>137.5</v>
      </c>
      <c r="L38" s="878">
        <f t="shared" si="563"/>
        <v>0</v>
      </c>
      <c r="M38" s="878">
        <f t="shared" si="563"/>
        <v>79.452054794520549</v>
      </c>
      <c r="N38" s="878">
        <f t="shared" si="563"/>
        <v>387.5</v>
      </c>
      <c r="O38" s="878">
        <f t="shared" si="563"/>
        <v>0</v>
      </c>
      <c r="P38" s="878">
        <f t="shared" si="563"/>
        <v>0</v>
      </c>
      <c r="Q38" s="878">
        <f t="shared" si="563"/>
        <v>387.5</v>
      </c>
      <c r="R38" s="878">
        <f t="shared" si="563"/>
        <v>0</v>
      </c>
      <c r="S38" s="878">
        <f t="shared" si="563"/>
        <v>328.76712328767121</v>
      </c>
      <c r="T38" s="878">
        <f t="shared" si="563"/>
        <v>1387.5</v>
      </c>
      <c r="U38" s="878">
        <f t="shared" si="563"/>
        <v>0</v>
      </c>
      <c r="V38" s="878">
        <f t="shared" si="563"/>
        <v>0</v>
      </c>
      <c r="W38" s="878">
        <f t="shared" si="563"/>
        <v>1387.5</v>
      </c>
      <c r="X38" s="878">
        <f t="shared" si="563"/>
        <v>0</v>
      </c>
      <c r="Y38" s="878">
        <f t="shared" si="563"/>
        <v>79.452054794520549</v>
      </c>
      <c r="Z38" s="878">
        <f t="shared" si="563"/>
        <v>1637.5</v>
      </c>
      <c r="AA38" s="878">
        <f t="shared" si="563"/>
        <v>0</v>
      </c>
      <c r="AB38" s="878">
        <f t="shared" si="563"/>
        <v>79.452054794520549</v>
      </c>
      <c r="AC38" s="878">
        <f t="shared" si="563"/>
        <v>1887.5</v>
      </c>
      <c r="AD38" s="878">
        <f t="shared" si="563"/>
        <v>0</v>
      </c>
      <c r="AE38" s="878">
        <f t="shared" si="563"/>
        <v>82.191780821917803</v>
      </c>
      <c r="AF38" s="878">
        <f t="shared" si="563"/>
        <v>2137.5</v>
      </c>
      <c r="AG38" s="878">
        <f t="shared" si="563"/>
        <v>0</v>
      </c>
      <c r="AH38" s="878">
        <f t="shared" si="563"/>
        <v>0</v>
      </c>
      <c r="AI38" s="878">
        <f t="shared" si="563"/>
        <v>2137.5</v>
      </c>
      <c r="AJ38" s="878">
        <f t="shared" si="563"/>
        <v>0</v>
      </c>
      <c r="AK38" s="878">
        <f t="shared" si="563"/>
        <v>164.38356164383561</v>
      </c>
      <c r="AL38" s="878">
        <f t="shared" ref="AL38:BO38" si="564">SUM(AL35:AL37)</f>
        <v>2387.5</v>
      </c>
      <c r="AM38" s="878">
        <f t="shared" si="564"/>
        <v>0</v>
      </c>
      <c r="AN38" s="878">
        <f t="shared" si="564"/>
        <v>0</v>
      </c>
      <c r="AO38" s="878">
        <f t="shared" si="564"/>
        <v>2387.5</v>
      </c>
      <c r="AP38" s="878">
        <f t="shared" si="564"/>
        <v>0</v>
      </c>
      <c r="AQ38" s="878">
        <f t="shared" si="564"/>
        <v>0</v>
      </c>
      <c r="AR38" s="878">
        <f t="shared" si="564"/>
        <v>2387.5</v>
      </c>
      <c r="AS38" s="878">
        <f t="shared" si="564"/>
        <v>0</v>
      </c>
      <c r="AT38" s="878">
        <f t="shared" si="564"/>
        <v>0</v>
      </c>
      <c r="AU38" s="878">
        <f t="shared" si="564"/>
        <v>2387.5</v>
      </c>
      <c r="AV38" s="878">
        <f t="shared" si="564"/>
        <v>0</v>
      </c>
      <c r="AW38" s="878">
        <f t="shared" si="564"/>
        <v>0</v>
      </c>
      <c r="AX38" s="878">
        <f t="shared" si="564"/>
        <v>2387.5</v>
      </c>
      <c r="AY38" s="878">
        <f t="shared" si="564"/>
        <v>0</v>
      </c>
      <c r="AZ38" s="878">
        <f t="shared" si="564"/>
        <v>0</v>
      </c>
      <c r="BA38" s="878">
        <f t="shared" si="564"/>
        <v>2387.5</v>
      </c>
      <c r="BB38" s="878">
        <f t="shared" si="564"/>
        <v>0</v>
      </c>
      <c r="BC38" s="878">
        <f t="shared" si="564"/>
        <v>0</v>
      </c>
      <c r="BD38" s="878">
        <f t="shared" si="564"/>
        <v>2387.5</v>
      </c>
      <c r="BE38" s="878">
        <f t="shared" si="564"/>
        <v>0</v>
      </c>
      <c r="BF38" s="878">
        <f t="shared" si="564"/>
        <v>0</v>
      </c>
      <c r="BG38" s="878">
        <f t="shared" si="564"/>
        <v>2387.5</v>
      </c>
      <c r="BH38" s="878">
        <f t="shared" si="564"/>
        <v>0</v>
      </c>
      <c r="BI38" s="878">
        <f t="shared" si="564"/>
        <v>0</v>
      </c>
      <c r="BJ38" s="878">
        <f t="shared" si="564"/>
        <v>2387.5</v>
      </c>
      <c r="BK38" s="878">
        <f t="shared" si="564"/>
        <v>0</v>
      </c>
      <c r="BL38" s="878">
        <f t="shared" si="564"/>
        <v>0</v>
      </c>
      <c r="BM38" s="878">
        <f t="shared" si="564"/>
        <v>2387.5</v>
      </c>
      <c r="BN38" s="878">
        <f t="shared" si="564"/>
        <v>0</v>
      </c>
      <c r="BO38" s="878">
        <f t="shared" si="564"/>
        <v>0</v>
      </c>
    </row>
    <row r="39" spans="1:67" s="63" customFormat="1">
      <c r="A39" s="866"/>
      <c r="B39" s="17"/>
      <c r="C39" s="17"/>
      <c r="D39" s="17"/>
      <c r="E39" s="17"/>
      <c r="F39" s="881"/>
    </row>
    <row r="40" spans="1:67" s="18" customFormat="1">
      <c r="A40" s="866">
        <v>32</v>
      </c>
      <c r="B40" s="76"/>
      <c r="C40" s="76" t="s">
        <v>2250</v>
      </c>
      <c r="D40" s="875" t="s">
        <v>2251</v>
      </c>
      <c r="E40" s="872">
        <v>0.06</v>
      </c>
      <c r="F40" s="880">
        <v>0.12</v>
      </c>
      <c r="G40" s="878">
        <f>G35/(1+$E40)</f>
        <v>518.86792452830184</v>
      </c>
      <c r="H40" s="878">
        <f>H35/(1+$E40)</f>
        <v>129.71698113207546</v>
      </c>
      <c r="I40" s="878">
        <f t="shared" ref="I40:Q40" si="565">I35/(1+$E40)</f>
        <v>0</v>
      </c>
      <c r="J40" s="878">
        <f t="shared" si="565"/>
        <v>0</v>
      </c>
      <c r="K40" s="878">
        <f t="shared" si="565"/>
        <v>129.71698113207546</v>
      </c>
      <c r="L40" s="878">
        <f t="shared" si="565"/>
        <v>0</v>
      </c>
      <c r="M40" s="878">
        <f t="shared" si="565"/>
        <v>74.954768674075993</v>
      </c>
      <c r="N40" s="878">
        <f t="shared" si="565"/>
        <v>365.56603773584902</v>
      </c>
      <c r="O40" s="878">
        <f t="shared" si="565"/>
        <v>0</v>
      </c>
      <c r="P40" s="878">
        <f t="shared" si="565"/>
        <v>0</v>
      </c>
      <c r="Q40" s="878">
        <f t="shared" si="565"/>
        <v>365.56603773584902</v>
      </c>
      <c r="R40" s="878">
        <f t="shared" ref="R40:AK40" si="566">R35/(1+$E40)</f>
        <v>0</v>
      </c>
      <c r="S40" s="878">
        <f>S35/(1+$E40)</f>
        <v>310.15766347893509</v>
      </c>
      <c r="T40" s="878">
        <f t="shared" si="566"/>
        <v>1308.9622641509434</v>
      </c>
      <c r="U40" s="878">
        <f t="shared" si="566"/>
        <v>0</v>
      </c>
      <c r="V40" s="878">
        <f t="shared" si="566"/>
        <v>0</v>
      </c>
      <c r="W40" s="878">
        <f t="shared" si="566"/>
        <v>1308.9622641509434</v>
      </c>
      <c r="X40" s="878">
        <f t="shared" si="566"/>
        <v>0</v>
      </c>
      <c r="Y40" s="878">
        <f t="shared" si="566"/>
        <v>74.954768674075993</v>
      </c>
      <c r="Z40" s="878">
        <f t="shared" si="566"/>
        <v>1544.8113207547169</v>
      </c>
      <c r="AA40" s="878">
        <f t="shared" si="566"/>
        <v>0</v>
      </c>
      <c r="AB40" s="878">
        <f t="shared" si="566"/>
        <v>74.954768674075993</v>
      </c>
      <c r="AC40" s="878">
        <f t="shared" si="566"/>
        <v>1780.6603773584905</v>
      </c>
      <c r="AD40" s="878">
        <f t="shared" si="566"/>
        <v>0</v>
      </c>
      <c r="AE40" s="878">
        <f t="shared" si="566"/>
        <v>77.539415869733773</v>
      </c>
      <c r="AF40" s="878">
        <f t="shared" si="566"/>
        <v>2016.509433962264</v>
      </c>
      <c r="AG40" s="878">
        <f t="shared" si="566"/>
        <v>0</v>
      </c>
      <c r="AH40" s="878">
        <f t="shared" si="566"/>
        <v>0</v>
      </c>
      <c r="AI40" s="878">
        <f t="shared" si="566"/>
        <v>2016.509433962264</v>
      </c>
      <c r="AJ40" s="878">
        <f t="shared" si="566"/>
        <v>0</v>
      </c>
      <c r="AK40" s="878">
        <f t="shared" si="566"/>
        <v>155.07883173946755</v>
      </c>
      <c r="AL40" s="878">
        <f t="shared" ref="AL40:BO40" si="567">AL35/(1+$E40)</f>
        <v>2252.3584905660377</v>
      </c>
      <c r="AM40" s="878">
        <f t="shared" si="567"/>
        <v>0</v>
      </c>
      <c r="AN40" s="878">
        <f t="shared" si="567"/>
        <v>0</v>
      </c>
      <c r="AO40" s="878">
        <f t="shared" si="567"/>
        <v>2252.3584905660377</v>
      </c>
      <c r="AP40" s="878">
        <f t="shared" si="567"/>
        <v>0</v>
      </c>
      <c r="AQ40" s="878">
        <f t="shared" si="567"/>
        <v>0</v>
      </c>
      <c r="AR40" s="878">
        <f t="shared" si="567"/>
        <v>2252.3584905660377</v>
      </c>
      <c r="AS40" s="878">
        <f t="shared" si="567"/>
        <v>0</v>
      </c>
      <c r="AT40" s="878">
        <f t="shared" si="567"/>
        <v>0</v>
      </c>
      <c r="AU40" s="878">
        <f t="shared" si="567"/>
        <v>2252.3584905660377</v>
      </c>
      <c r="AV40" s="878">
        <f t="shared" si="567"/>
        <v>0</v>
      </c>
      <c r="AW40" s="878">
        <f t="shared" si="567"/>
        <v>0</v>
      </c>
      <c r="AX40" s="878">
        <f t="shared" si="567"/>
        <v>2252.3584905660377</v>
      </c>
      <c r="AY40" s="878">
        <f t="shared" si="567"/>
        <v>0</v>
      </c>
      <c r="AZ40" s="878">
        <f t="shared" si="567"/>
        <v>0</v>
      </c>
      <c r="BA40" s="878">
        <f t="shared" si="567"/>
        <v>2252.3584905660377</v>
      </c>
      <c r="BB40" s="878">
        <f t="shared" si="567"/>
        <v>0</v>
      </c>
      <c r="BC40" s="878">
        <f t="shared" si="567"/>
        <v>0</v>
      </c>
      <c r="BD40" s="878">
        <f t="shared" si="567"/>
        <v>2252.3584905660377</v>
      </c>
      <c r="BE40" s="878">
        <f t="shared" si="567"/>
        <v>0</v>
      </c>
      <c r="BF40" s="878">
        <f t="shared" si="567"/>
        <v>0</v>
      </c>
      <c r="BG40" s="878">
        <f t="shared" si="567"/>
        <v>2252.3584905660377</v>
      </c>
      <c r="BH40" s="878">
        <f t="shared" si="567"/>
        <v>0</v>
      </c>
      <c r="BI40" s="878">
        <f t="shared" si="567"/>
        <v>0</v>
      </c>
      <c r="BJ40" s="878">
        <f t="shared" si="567"/>
        <v>2252.3584905660377</v>
      </c>
      <c r="BK40" s="878">
        <f t="shared" si="567"/>
        <v>0</v>
      </c>
      <c r="BL40" s="878">
        <f t="shared" si="567"/>
        <v>0</v>
      </c>
      <c r="BM40" s="878">
        <f t="shared" si="567"/>
        <v>2252.3584905660377</v>
      </c>
      <c r="BN40" s="878">
        <f t="shared" si="567"/>
        <v>0</v>
      </c>
      <c r="BO40" s="878">
        <f t="shared" si="567"/>
        <v>0</v>
      </c>
    </row>
    <row r="41" spans="1:67" s="18" customFormat="1">
      <c r="A41" s="866">
        <v>32</v>
      </c>
      <c r="B41" s="76"/>
      <c r="C41" s="76" t="s">
        <v>2252</v>
      </c>
      <c r="D41" s="875" t="s">
        <v>2251</v>
      </c>
      <c r="E41" s="872">
        <v>0.06</v>
      </c>
      <c r="F41" s="880">
        <v>0.01</v>
      </c>
      <c r="G41" s="878">
        <f t="shared" ref="G41:Q41" si="568">G36/(1+$E41)</f>
        <v>0</v>
      </c>
      <c r="H41" s="878">
        <f t="shared" si="568"/>
        <v>0</v>
      </c>
      <c r="I41" s="878">
        <f t="shared" si="568"/>
        <v>0</v>
      </c>
      <c r="J41" s="878">
        <f t="shared" si="568"/>
        <v>0</v>
      </c>
      <c r="K41" s="878">
        <f t="shared" si="568"/>
        <v>0</v>
      </c>
      <c r="L41" s="878">
        <f t="shared" si="568"/>
        <v>0</v>
      </c>
      <c r="M41" s="878">
        <f t="shared" si="568"/>
        <v>0</v>
      </c>
      <c r="N41" s="878">
        <f t="shared" si="568"/>
        <v>0</v>
      </c>
      <c r="O41" s="878">
        <f t="shared" si="568"/>
        <v>0</v>
      </c>
      <c r="P41" s="878">
        <f t="shared" si="568"/>
        <v>0</v>
      </c>
      <c r="Q41" s="878">
        <f t="shared" si="568"/>
        <v>0</v>
      </c>
      <c r="R41" s="878">
        <f t="shared" ref="R41:AK41" si="569">R36/(1+$E41)</f>
        <v>0</v>
      </c>
      <c r="S41" s="878">
        <f t="shared" si="569"/>
        <v>0</v>
      </c>
      <c r="T41" s="878">
        <f t="shared" si="569"/>
        <v>0</v>
      </c>
      <c r="U41" s="878">
        <f t="shared" si="569"/>
        <v>0</v>
      </c>
      <c r="V41" s="878">
        <f t="shared" si="569"/>
        <v>0</v>
      </c>
      <c r="W41" s="878">
        <f t="shared" si="569"/>
        <v>0</v>
      </c>
      <c r="X41" s="878">
        <f t="shared" si="569"/>
        <v>0</v>
      </c>
      <c r="Y41" s="878">
        <f t="shared" si="569"/>
        <v>0</v>
      </c>
      <c r="Z41" s="878">
        <f t="shared" si="569"/>
        <v>0</v>
      </c>
      <c r="AA41" s="878">
        <f t="shared" si="569"/>
        <v>0</v>
      </c>
      <c r="AB41" s="878">
        <f t="shared" si="569"/>
        <v>0</v>
      </c>
      <c r="AC41" s="878">
        <f t="shared" si="569"/>
        <v>0</v>
      </c>
      <c r="AD41" s="878">
        <f t="shared" si="569"/>
        <v>0</v>
      </c>
      <c r="AE41" s="878">
        <f t="shared" si="569"/>
        <v>0</v>
      </c>
      <c r="AF41" s="878">
        <f t="shared" si="569"/>
        <v>0</v>
      </c>
      <c r="AG41" s="878">
        <f t="shared" si="569"/>
        <v>0</v>
      </c>
      <c r="AH41" s="878">
        <f t="shared" si="569"/>
        <v>0</v>
      </c>
      <c r="AI41" s="878">
        <f t="shared" si="569"/>
        <v>0</v>
      </c>
      <c r="AJ41" s="878">
        <f t="shared" si="569"/>
        <v>0</v>
      </c>
      <c r="AK41" s="878">
        <f t="shared" si="569"/>
        <v>0</v>
      </c>
      <c r="AL41" s="878">
        <f t="shared" ref="AL41:BO41" si="570">AL36/(1+$E41)</f>
        <v>0</v>
      </c>
      <c r="AM41" s="878">
        <f t="shared" si="570"/>
        <v>0</v>
      </c>
      <c r="AN41" s="878">
        <f t="shared" si="570"/>
        <v>0</v>
      </c>
      <c r="AO41" s="878">
        <f t="shared" si="570"/>
        <v>0</v>
      </c>
      <c r="AP41" s="878">
        <f t="shared" si="570"/>
        <v>0</v>
      </c>
      <c r="AQ41" s="878">
        <f t="shared" si="570"/>
        <v>0</v>
      </c>
      <c r="AR41" s="878">
        <f t="shared" si="570"/>
        <v>0</v>
      </c>
      <c r="AS41" s="878">
        <f t="shared" si="570"/>
        <v>0</v>
      </c>
      <c r="AT41" s="878">
        <f t="shared" si="570"/>
        <v>0</v>
      </c>
      <c r="AU41" s="878">
        <f t="shared" si="570"/>
        <v>0</v>
      </c>
      <c r="AV41" s="878">
        <f t="shared" si="570"/>
        <v>0</v>
      </c>
      <c r="AW41" s="878">
        <f t="shared" si="570"/>
        <v>0</v>
      </c>
      <c r="AX41" s="878">
        <f t="shared" si="570"/>
        <v>0</v>
      </c>
      <c r="AY41" s="878">
        <f t="shared" si="570"/>
        <v>0</v>
      </c>
      <c r="AZ41" s="878">
        <f t="shared" si="570"/>
        <v>0</v>
      </c>
      <c r="BA41" s="878">
        <f t="shared" si="570"/>
        <v>0</v>
      </c>
      <c r="BB41" s="878">
        <f t="shared" si="570"/>
        <v>0</v>
      </c>
      <c r="BC41" s="878">
        <f t="shared" si="570"/>
        <v>0</v>
      </c>
      <c r="BD41" s="878">
        <f t="shared" si="570"/>
        <v>0</v>
      </c>
      <c r="BE41" s="878">
        <f t="shared" si="570"/>
        <v>0</v>
      </c>
      <c r="BF41" s="878">
        <f t="shared" si="570"/>
        <v>0</v>
      </c>
      <c r="BG41" s="878">
        <f t="shared" si="570"/>
        <v>0</v>
      </c>
      <c r="BH41" s="878">
        <f t="shared" si="570"/>
        <v>0</v>
      </c>
      <c r="BI41" s="878">
        <f t="shared" si="570"/>
        <v>0</v>
      </c>
      <c r="BJ41" s="878">
        <f t="shared" si="570"/>
        <v>0</v>
      </c>
      <c r="BK41" s="878">
        <f t="shared" si="570"/>
        <v>0</v>
      </c>
      <c r="BL41" s="878">
        <f t="shared" si="570"/>
        <v>0</v>
      </c>
      <c r="BM41" s="878">
        <f t="shared" si="570"/>
        <v>0</v>
      </c>
      <c r="BN41" s="878">
        <f t="shared" si="570"/>
        <v>0</v>
      </c>
      <c r="BO41" s="878">
        <f t="shared" si="570"/>
        <v>0</v>
      </c>
    </row>
    <row r="42" spans="1:67" s="18" customFormat="1">
      <c r="A42" s="866"/>
      <c r="B42" s="76"/>
      <c r="C42" s="76" t="s">
        <v>2253</v>
      </c>
      <c r="D42" s="875" t="s">
        <v>2251</v>
      </c>
      <c r="E42" s="872">
        <v>0.06</v>
      </c>
      <c r="F42" s="880">
        <v>0.02</v>
      </c>
      <c r="G42" s="878">
        <f t="shared" ref="G42:Q42" si="571">G37/(1+$E42)</f>
        <v>0</v>
      </c>
      <c r="H42" s="878">
        <f t="shared" si="571"/>
        <v>0</v>
      </c>
      <c r="I42" s="878">
        <f t="shared" si="571"/>
        <v>0</v>
      </c>
      <c r="J42" s="878">
        <f t="shared" si="571"/>
        <v>0</v>
      </c>
      <c r="K42" s="878">
        <f t="shared" si="571"/>
        <v>0</v>
      </c>
      <c r="L42" s="878">
        <f t="shared" si="571"/>
        <v>0</v>
      </c>
      <c r="M42" s="878">
        <f t="shared" si="571"/>
        <v>0</v>
      </c>
      <c r="N42" s="878">
        <f t="shared" si="571"/>
        <v>0</v>
      </c>
      <c r="O42" s="878">
        <f t="shared" si="571"/>
        <v>0</v>
      </c>
      <c r="P42" s="878">
        <f t="shared" si="571"/>
        <v>0</v>
      </c>
      <c r="Q42" s="878">
        <f t="shared" si="571"/>
        <v>0</v>
      </c>
      <c r="R42" s="878">
        <f t="shared" ref="R42:AK42" si="572">R37/(1+$E42)</f>
        <v>0</v>
      </c>
      <c r="S42" s="878">
        <f t="shared" si="572"/>
        <v>0</v>
      </c>
      <c r="T42" s="878">
        <f t="shared" si="572"/>
        <v>0</v>
      </c>
      <c r="U42" s="878">
        <f t="shared" si="572"/>
        <v>0</v>
      </c>
      <c r="V42" s="878">
        <f t="shared" si="572"/>
        <v>0</v>
      </c>
      <c r="W42" s="878">
        <f t="shared" si="572"/>
        <v>0</v>
      </c>
      <c r="X42" s="878">
        <f t="shared" si="572"/>
        <v>0</v>
      </c>
      <c r="Y42" s="878">
        <f t="shared" si="572"/>
        <v>0</v>
      </c>
      <c r="Z42" s="878">
        <f t="shared" si="572"/>
        <v>0</v>
      </c>
      <c r="AA42" s="878">
        <f t="shared" si="572"/>
        <v>0</v>
      </c>
      <c r="AB42" s="878">
        <f t="shared" si="572"/>
        <v>0</v>
      </c>
      <c r="AC42" s="878">
        <f t="shared" si="572"/>
        <v>0</v>
      </c>
      <c r="AD42" s="878">
        <f t="shared" si="572"/>
        <v>0</v>
      </c>
      <c r="AE42" s="878">
        <f t="shared" si="572"/>
        <v>0</v>
      </c>
      <c r="AF42" s="878">
        <f t="shared" si="572"/>
        <v>0</v>
      </c>
      <c r="AG42" s="878">
        <f t="shared" si="572"/>
        <v>0</v>
      </c>
      <c r="AH42" s="878">
        <f t="shared" si="572"/>
        <v>0</v>
      </c>
      <c r="AI42" s="878">
        <f t="shared" si="572"/>
        <v>0</v>
      </c>
      <c r="AJ42" s="878">
        <f t="shared" si="572"/>
        <v>0</v>
      </c>
      <c r="AK42" s="878">
        <f t="shared" si="572"/>
        <v>0</v>
      </c>
      <c r="AL42" s="878">
        <f t="shared" ref="AL42:BO42" si="573">AL37/(1+$E42)</f>
        <v>0</v>
      </c>
      <c r="AM42" s="878">
        <f t="shared" si="573"/>
        <v>0</v>
      </c>
      <c r="AN42" s="878">
        <f t="shared" si="573"/>
        <v>0</v>
      </c>
      <c r="AO42" s="878">
        <f t="shared" si="573"/>
        <v>0</v>
      </c>
      <c r="AP42" s="878">
        <f t="shared" si="573"/>
        <v>0</v>
      </c>
      <c r="AQ42" s="878">
        <f t="shared" si="573"/>
        <v>0</v>
      </c>
      <c r="AR42" s="878">
        <f t="shared" si="573"/>
        <v>0</v>
      </c>
      <c r="AS42" s="878">
        <f t="shared" si="573"/>
        <v>0</v>
      </c>
      <c r="AT42" s="878">
        <f t="shared" si="573"/>
        <v>0</v>
      </c>
      <c r="AU42" s="878">
        <f t="shared" si="573"/>
        <v>0</v>
      </c>
      <c r="AV42" s="878">
        <f t="shared" si="573"/>
        <v>0</v>
      </c>
      <c r="AW42" s="878">
        <f t="shared" si="573"/>
        <v>0</v>
      </c>
      <c r="AX42" s="878">
        <f t="shared" si="573"/>
        <v>0</v>
      </c>
      <c r="AY42" s="878">
        <f t="shared" si="573"/>
        <v>0</v>
      </c>
      <c r="AZ42" s="878">
        <f t="shared" si="573"/>
        <v>0</v>
      </c>
      <c r="BA42" s="878">
        <f t="shared" si="573"/>
        <v>0</v>
      </c>
      <c r="BB42" s="878">
        <f t="shared" si="573"/>
        <v>0</v>
      </c>
      <c r="BC42" s="878">
        <f t="shared" si="573"/>
        <v>0</v>
      </c>
      <c r="BD42" s="878">
        <f t="shared" si="573"/>
        <v>0</v>
      </c>
      <c r="BE42" s="878">
        <f t="shared" si="573"/>
        <v>0</v>
      </c>
      <c r="BF42" s="878">
        <f t="shared" si="573"/>
        <v>0</v>
      </c>
      <c r="BG42" s="878">
        <f t="shared" si="573"/>
        <v>0</v>
      </c>
      <c r="BH42" s="878">
        <f t="shared" si="573"/>
        <v>0</v>
      </c>
      <c r="BI42" s="878">
        <f t="shared" si="573"/>
        <v>0</v>
      </c>
      <c r="BJ42" s="878">
        <f t="shared" si="573"/>
        <v>0</v>
      </c>
      <c r="BK42" s="878">
        <f t="shared" si="573"/>
        <v>0</v>
      </c>
      <c r="BL42" s="878">
        <f t="shared" si="573"/>
        <v>0</v>
      </c>
      <c r="BM42" s="878">
        <f t="shared" si="573"/>
        <v>0</v>
      </c>
      <c r="BN42" s="878">
        <f t="shared" si="573"/>
        <v>0</v>
      </c>
      <c r="BO42" s="878">
        <f t="shared" si="573"/>
        <v>0</v>
      </c>
    </row>
    <row r="43" spans="1:67" s="18" customFormat="1">
      <c r="A43" s="866">
        <v>32</v>
      </c>
      <c r="B43" s="76"/>
      <c r="C43" s="76" t="s">
        <v>2083</v>
      </c>
      <c r="D43" s="875" t="s">
        <v>2251</v>
      </c>
      <c r="E43" s="872">
        <v>0.06</v>
      </c>
      <c r="F43" s="880"/>
      <c r="G43" s="878">
        <f>SUM(G40:G42)</f>
        <v>518.86792452830184</v>
      </c>
      <c r="H43" s="878">
        <f>SUM(H40:H42)</f>
        <v>129.71698113207546</v>
      </c>
      <c r="I43" s="878">
        <f>SUM(I40:I42)</f>
        <v>0</v>
      </c>
      <c r="J43" s="878">
        <f t="shared" ref="J43:AK43" si="574">SUM(J40:J42)</f>
        <v>0</v>
      </c>
      <c r="K43" s="878">
        <f t="shared" si="574"/>
        <v>129.71698113207546</v>
      </c>
      <c r="L43" s="878">
        <f t="shared" si="574"/>
        <v>0</v>
      </c>
      <c r="M43" s="878">
        <f t="shared" si="574"/>
        <v>74.954768674075993</v>
      </c>
      <c r="N43" s="878">
        <f t="shared" si="574"/>
        <v>365.56603773584902</v>
      </c>
      <c r="O43" s="878">
        <f t="shared" si="574"/>
        <v>0</v>
      </c>
      <c r="P43" s="878">
        <f t="shared" si="574"/>
        <v>0</v>
      </c>
      <c r="Q43" s="878">
        <f t="shared" si="574"/>
        <v>365.56603773584902</v>
      </c>
      <c r="R43" s="878">
        <f t="shared" si="574"/>
        <v>0</v>
      </c>
      <c r="S43" s="878">
        <f>SUM(S40:S42)</f>
        <v>310.15766347893509</v>
      </c>
      <c r="T43" s="878">
        <f t="shared" si="574"/>
        <v>1308.9622641509434</v>
      </c>
      <c r="U43" s="878">
        <f t="shared" si="574"/>
        <v>0</v>
      </c>
      <c r="V43" s="878">
        <f t="shared" si="574"/>
        <v>0</v>
      </c>
      <c r="W43" s="878">
        <f t="shared" si="574"/>
        <v>1308.9622641509434</v>
      </c>
      <c r="X43" s="878">
        <f t="shared" si="574"/>
        <v>0</v>
      </c>
      <c r="Y43" s="878">
        <f t="shared" si="574"/>
        <v>74.954768674075993</v>
      </c>
      <c r="Z43" s="878">
        <f t="shared" si="574"/>
        <v>1544.8113207547169</v>
      </c>
      <c r="AA43" s="878">
        <f t="shared" si="574"/>
        <v>0</v>
      </c>
      <c r="AB43" s="878">
        <f t="shared" si="574"/>
        <v>74.954768674075993</v>
      </c>
      <c r="AC43" s="878">
        <f t="shared" si="574"/>
        <v>1780.6603773584905</v>
      </c>
      <c r="AD43" s="878">
        <f t="shared" si="574"/>
        <v>0</v>
      </c>
      <c r="AE43" s="878">
        <f t="shared" si="574"/>
        <v>77.539415869733773</v>
      </c>
      <c r="AF43" s="878">
        <f t="shared" si="574"/>
        <v>2016.509433962264</v>
      </c>
      <c r="AG43" s="878">
        <f t="shared" si="574"/>
        <v>0</v>
      </c>
      <c r="AH43" s="878">
        <f t="shared" si="574"/>
        <v>0</v>
      </c>
      <c r="AI43" s="878">
        <f t="shared" si="574"/>
        <v>2016.509433962264</v>
      </c>
      <c r="AJ43" s="878">
        <f t="shared" si="574"/>
        <v>0</v>
      </c>
      <c r="AK43" s="878">
        <f t="shared" si="574"/>
        <v>155.07883173946755</v>
      </c>
      <c r="AL43" s="878">
        <f t="shared" ref="AL43:BO43" si="575">SUM(AL40:AL42)</f>
        <v>2252.3584905660377</v>
      </c>
      <c r="AM43" s="878">
        <f t="shared" si="575"/>
        <v>0</v>
      </c>
      <c r="AN43" s="878">
        <f t="shared" si="575"/>
        <v>0</v>
      </c>
      <c r="AO43" s="878">
        <f t="shared" si="575"/>
        <v>2252.3584905660377</v>
      </c>
      <c r="AP43" s="878">
        <f t="shared" si="575"/>
        <v>0</v>
      </c>
      <c r="AQ43" s="878">
        <f t="shared" si="575"/>
        <v>0</v>
      </c>
      <c r="AR43" s="878">
        <f t="shared" si="575"/>
        <v>2252.3584905660377</v>
      </c>
      <c r="AS43" s="878">
        <f t="shared" si="575"/>
        <v>0</v>
      </c>
      <c r="AT43" s="878">
        <f t="shared" si="575"/>
        <v>0</v>
      </c>
      <c r="AU43" s="878">
        <f t="shared" si="575"/>
        <v>2252.3584905660377</v>
      </c>
      <c r="AV43" s="878">
        <f t="shared" si="575"/>
        <v>0</v>
      </c>
      <c r="AW43" s="878">
        <f t="shared" si="575"/>
        <v>0</v>
      </c>
      <c r="AX43" s="878">
        <f t="shared" si="575"/>
        <v>2252.3584905660377</v>
      </c>
      <c r="AY43" s="878">
        <f t="shared" si="575"/>
        <v>0</v>
      </c>
      <c r="AZ43" s="878">
        <f t="shared" si="575"/>
        <v>0</v>
      </c>
      <c r="BA43" s="878">
        <f t="shared" si="575"/>
        <v>2252.3584905660377</v>
      </c>
      <c r="BB43" s="878">
        <f t="shared" si="575"/>
        <v>0</v>
      </c>
      <c r="BC43" s="878">
        <f t="shared" si="575"/>
        <v>0</v>
      </c>
      <c r="BD43" s="878">
        <f t="shared" si="575"/>
        <v>2252.3584905660377</v>
      </c>
      <c r="BE43" s="878">
        <f t="shared" si="575"/>
        <v>0</v>
      </c>
      <c r="BF43" s="878">
        <f t="shared" si="575"/>
        <v>0</v>
      </c>
      <c r="BG43" s="878">
        <f t="shared" si="575"/>
        <v>2252.3584905660377</v>
      </c>
      <c r="BH43" s="878">
        <f t="shared" si="575"/>
        <v>0</v>
      </c>
      <c r="BI43" s="878">
        <f t="shared" si="575"/>
        <v>0</v>
      </c>
      <c r="BJ43" s="878">
        <f t="shared" si="575"/>
        <v>2252.3584905660377</v>
      </c>
      <c r="BK43" s="878">
        <f t="shared" si="575"/>
        <v>0</v>
      </c>
      <c r="BL43" s="878">
        <f t="shared" si="575"/>
        <v>0</v>
      </c>
      <c r="BM43" s="878">
        <f t="shared" si="575"/>
        <v>2252.3584905660377</v>
      </c>
      <c r="BN43" s="878">
        <f t="shared" si="575"/>
        <v>0</v>
      </c>
      <c r="BO43" s="878">
        <f t="shared" si="575"/>
        <v>0</v>
      </c>
    </row>
    <row r="44" spans="1:67" s="63" customFormat="1">
      <c r="A44" s="866"/>
      <c r="B44" s="17"/>
      <c r="C44" s="17"/>
      <c r="D44" s="17"/>
      <c r="E44" s="17"/>
      <c r="F44" s="881"/>
    </row>
    <row r="45" spans="1:67" s="18" customFormat="1">
      <c r="A45" s="866">
        <v>32</v>
      </c>
      <c r="B45" s="76"/>
      <c r="C45" s="76" t="s">
        <v>2254</v>
      </c>
      <c r="D45" s="875" t="s">
        <v>2255</v>
      </c>
      <c r="E45" s="882">
        <v>0.06</v>
      </c>
      <c r="F45" s="883">
        <f>汇总!$D$69</f>
        <v>3.5000000000000003E-2</v>
      </c>
      <c r="G45" s="878">
        <f>280*(DATE(2025,12,31)-DATE(2024,12,16))/365</f>
        <v>291.50684931506851</v>
      </c>
      <c r="H45" s="878">
        <f>177.33/4*H$4+H$7*$F45*100*(DATE(YEAR(H$3),INT((MONTH(H$3)-1)/3)*3+4,0)-H$3)/365</f>
        <v>91.270856164383574</v>
      </c>
      <c r="I45" s="878">
        <f>177.33/4*I$4+I$7*$F45*100*(DATE(YEAR(I$3),INT((MONTH(I$3)-1)/3)*3+4,0)-I$3)/365</f>
        <v>0</v>
      </c>
      <c r="J45" s="878">
        <f>177.33/4*J$4+J$7*$F45*100*(DATE(YEAR(J$3),INT((MONTH(J$3)-1)/3)*3+4,0)-J$3)/365</f>
        <v>0</v>
      </c>
      <c r="K45" s="878">
        <f t="shared" ref="K45:AJ45" si="576">177.33/4*K$4+(K$8-$G$8)*$F45*100/4*K$4+K$7*$F45*100*(DATE(YEAR(K$3),INT((MONTH(K$3)-1)/3)*3+4,0)-K$3)/365</f>
        <v>92.45750000000001</v>
      </c>
      <c r="L45" s="878">
        <f t="shared" si="576"/>
        <v>0</v>
      </c>
      <c r="M45" s="878">
        <f t="shared" si="576"/>
        <v>27.808219178082197</v>
      </c>
      <c r="N45" s="878">
        <f t="shared" si="576"/>
        <v>179.95750000000004</v>
      </c>
      <c r="O45" s="878">
        <f t="shared" si="576"/>
        <v>0</v>
      </c>
      <c r="P45" s="878">
        <f t="shared" si="576"/>
        <v>0</v>
      </c>
      <c r="Q45" s="878">
        <f t="shared" si="576"/>
        <v>179.95750000000004</v>
      </c>
      <c r="R45" s="878">
        <f t="shared" si="576"/>
        <v>0</v>
      </c>
      <c r="S45" s="878">
        <f t="shared" si="576"/>
        <v>115.06849315068496</v>
      </c>
      <c r="T45" s="878">
        <f t="shared" si="576"/>
        <v>529.95749999999998</v>
      </c>
      <c r="U45" s="878">
        <f t="shared" si="576"/>
        <v>0</v>
      </c>
      <c r="V45" s="878">
        <f t="shared" si="576"/>
        <v>0</v>
      </c>
      <c r="W45" s="878">
        <f t="shared" si="576"/>
        <v>529.95749999999998</v>
      </c>
      <c r="X45" s="878">
        <f t="shared" si="576"/>
        <v>0</v>
      </c>
      <c r="Y45" s="878">
        <f t="shared" si="576"/>
        <v>27.808219178082197</v>
      </c>
      <c r="Z45" s="878">
        <f t="shared" si="576"/>
        <v>617.45749999999998</v>
      </c>
      <c r="AA45" s="878">
        <f t="shared" si="576"/>
        <v>0</v>
      </c>
      <c r="AB45" s="878">
        <f t="shared" si="576"/>
        <v>27.808219178082197</v>
      </c>
      <c r="AC45" s="878">
        <f t="shared" si="576"/>
        <v>704.9575000000001</v>
      </c>
      <c r="AD45" s="878">
        <f t="shared" si="576"/>
        <v>0</v>
      </c>
      <c r="AE45" s="878">
        <f t="shared" si="576"/>
        <v>28.767123287671239</v>
      </c>
      <c r="AF45" s="878">
        <f t="shared" si="576"/>
        <v>792.4575000000001</v>
      </c>
      <c r="AG45" s="878">
        <f t="shared" si="576"/>
        <v>0</v>
      </c>
      <c r="AH45" s="878">
        <f t="shared" si="576"/>
        <v>0</v>
      </c>
      <c r="AI45" s="878">
        <f t="shared" si="576"/>
        <v>792.4575000000001</v>
      </c>
      <c r="AJ45" s="878">
        <f t="shared" si="576"/>
        <v>0</v>
      </c>
      <c r="AK45" s="878">
        <f>177.33/4*AK$4+(AK$8-$G$8)*$F45*100/4*AK$4+AK$7*$F45*100*(DATE(YEAR(AP$3),INT((MONTH(AP$3)-1)/3)*3+4,0)-AP$3)/365</f>
        <v>57.534246575342479</v>
      </c>
      <c r="AL45" s="878">
        <f t="shared" ref="AL45:BO45" si="577">177.33/4*AL$4+(AL$8-$G$8)*$F45*100/4*AL$4+AL$7*$F45*100*(DATE(YEAR(AQ$3),INT((MONTH(AQ$3)-1)/3)*3+4,0)-AQ$3)/365</f>
        <v>879.9575000000001</v>
      </c>
      <c r="AM45" s="878">
        <f t="shared" si="577"/>
        <v>0</v>
      </c>
      <c r="AN45" s="878">
        <f t="shared" si="577"/>
        <v>0</v>
      </c>
      <c r="AO45" s="878">
        <f t="shared" si="577"/>
        <v>879.9575000000001</v>
      </c>
      <c r="AP45" s="878">
        <f t="shared" si="577"/>
        <v>0</v>
      </c>
      <c r="AQ45" s="878">
        <f t="shared" si="577"/>
        <v>0</v>
      </c>
      <c r="AR45" s="878">
        <f t="shared" si="577"/>
        <v>879.9575000000001</v>
      </c>
      <c r="AS45" s="878">
        <f t="shared" si="577"/>
        <v>0</v>
      </c>
      <c r="AT45" s="878">
        <f t="shared" si="577"/>
        <v>0</v>
      </c>
      <c r="AU45" s="878">
        <f t="shared" si="577"/>
        <v>879.9575000000001</v>
      </c>
      <c r="AV45" s="878">
        <f t="shared" si="577"/>
        <v>0</v>
      </c>
      <c r="AW45" s="878">
        <f t="shared" si="577"/>
        <v>0</v>
      </c>
      <c r="AX45" s="878">
        <f t="shared" si="577"/>
        <v>879.9575000000001</v>
      </c>
      <c r="AY45" s="878">
        <f t="shared" si="577"/>
        <v>0</v>
      </c>
      <c r="AZ45" s="878">
        <f t="shared" si="577"/>
        <v>0</v>
      </c>
      <c r="BA45" s="878">
        <f t="shared" si="577"/>
        <v>879.9575000000001</v>
      </c>
      <c r="BB45" s="878">
        <f t="shared" si="577"/>
        <v>0</v>
      </c>
      <c r="BC45" s="878">
        <f t="shared" si="577"/>
        <v>0</v>
      </c>
      <c r="BD45" s="878">
        <f t="shared" si="577"/>
        <v>879.9575000000001</v>
      </c>
      <c r="BE45" s="878">
        <f t="shared" si="577"/>
        <v>0</v>
      </c>
      <c r="BF45" s="878">
        <f t="shared" si="577"/>
        <v>0</v>
      </c>
      <c r="BG45" s="878">
        <f t="shared" si="577"/>
        <v>879.9575000000001</v>
      </c>
      <c r="BH45" s="878">
        <f t="shared" si="577"/>
        <v>0</v>
      </c>
      <c r="BI45" s="878">
        <f t="shared" si="577"/>
        <v>0</v>
      </c>
      <c r="BJ45" s="878">
        <f t="shared" si="577"/>
        <v>879.9575000000001</v>
      </c>
      <c r="BK45" s="878">
        <f t="shared" si="577"/>
        <v>0</v>
      </c>
      <c r="BL45" s="878">
        <f t="shared" si="577"/>
        <v>0</v>
      </c>
      <c r="BM45" s="878">
        <f t="shared" si="577"/>
        <v>879.9575000000001</v>
      </c>
      <c r="BN45" s="878">
        <f t="shared" si="577"/>
        <v>0</v>
      </c>
      <c r="BO45" s="878">
        <f t="shared" si="577"/>
        <v>0</v>
      </c>
    </row>
    <row r="46" spans="1:67" s="18" customFormat="1">
      <c r="A46" s="866">
        <v>32</v>
      </c>
      <c r="B46" s="76"/>
      <c r="C46" s="76" t="s">
        <v>2256</v>
      </c>
      <c r="D46" s="76"/>
      <c r="E46" s="76"/>
      <c r="F46" s="884"/>
      <c r="G46" s="878"/>
      <c r="H46" s="878"/>
      <c r="I46" s="878"/>
      <c r="J46" s="878"/>
      <c r="K46" s="878"/>
      <c r="L46" s="878"/>
      <c r="M46" s="878"/>
      <c r="N46" s="878"/>
      <c r="O46" s="878"/>
      <c r="P46" s="878"/>
      <c r="Q46" s="878"/>
      <c r="R46" s="878"/>
      <c r="S46" s="878"/>
      <c r="T46" s="878"/>
      <c r="U46" s="878"/>
      <c r="V46" s="878"/>
      <c r="W46" s="878"/>
      <c r="X46" s="878"/>
      <c r="Y46" s="878"/>
      <c r="Z46" s="878"/>
      <c r="AA46" s="878"/>
      <c r="AB46" s="878"/>
      <c r="AC46" s="878"/>
      <c r="AD46" s="878"/>
      <c r="AE46" s="878"/>
      <c r="AF46" s="878"/>
      <c r="AG46" s="878"/>
      <c r="AH46" s="878"/>
      <c r="AI46" s="878"/>
      <c r="AJ46" s="878"/>
      <c r="AK46" s="878"/>
      <c r="AL46" s="878"/>
      <c r="AM46" s="878"/>
      <c r="AN46" s="878"/>
      <c r="AO46" s="878"/>
      <c r="AP46" s="878"/>
      <c r="AQ46" s="878"/>
      <c r="AR46" s="878"/>
      <c r="AS46" s="878"/>
      <c r="AT46" s="878"/>
      <c r="AU46" s="878"/>
      <c r="AV46" s="878"/>
      <c r="AW46" s="878"/>
      <c r="AX46" s="878"/>
      <c r="AY46" s="878"/>
      <c r="AZ46" s="878"/>
      <c r="BA46" s="878"/>
      <c r="BB46" s="878"/>
      <c r="BC46" s="878"/>
      <c r="BD46" s="878"/>
      <c r="BE46" s="878"/>
      <c r="BF46" s="878"/>
      <c r="BG46" s="878"/>
      <c r="BH46" s="878"/>
      <c r="BI46" s="878"/>
      <c r="BJ46" s="878"/>
      <c r="BK46" s="878"/>
      <c r="BL46" s="878"/>
      <c r="BM46" s="878"/>
      <c r="BN46" s="878"/>
      <c r="BO46" s="878"/>
    </row>
    <row r="47" spans="1:67" s="18" customFormat="1">
      <c r="A47" s="866">
        <v>32</v>
      </c>
      <c r="B47" s="76"/>
      <c r="C47" s="885" t="s">
        <v>2257</v>
      </c>
      <c r="D47" s="875" t="s">
        <v>2251</v>
      </c>
      <c r="E47" s="882">
        <v>0.06</v>
      </c>
      <c r="F47" s="884">
        <v>10</v>
      </c>
      <c r="G47" s="878">
        <v>10</v>
      </c>
      <c r="H47" s="878">
        <f>$F47*G$10/4*H$4+$F47*(H$10-G$10)*(DATE(YEAR(H$3),INT((MONTH(H$3)-1)/3)*3+4,0)-H$3)/365*H$5</f>
        <v>0</v>
      </c>
      <c r="I47" s="878">
        <f t="shared" ref="I47:AJ47" si="578">$F47*H$10/4*I$4+$F47*(I$10-H$10)*(DATE(YEAR(I$3),INT((MONTH(I$3)-1)/3)*3+4,0)-I$3)/365*I$5</f>
        <v>0</v>
      </c>
      <c r="J47" s="878">
        <f t="shared" si="578"/>
        <v>0</v>
      </c>
      <c r="K47" s="878">
        <f t="shared" si="578"/>
        <v>2.5</v>
      </c>
      <c r="L47" s="878">
        <f t="shared" si="578"/>
        <v>0</v>
      </c>
      <c r="M47" s="878">
        <f t="shared" si="578"/>
        <v>0.79452054794520544</v>
      </c>
      <c r="N47" s="878">
        <f t="shared" si="578"/>
        <v>5</v>
      </c>
      <c r="O47" s="878">
        <f t="shared" si="578"/>
        <v>0</v>
      </c>
      <c r="P47" s="878">
        <f t="shared" si="578"/>
        <v>0</v>
      </c>
      <c r="Q47" s="878">
        <f t="shared" si="578"/>
        <v>5</v>
      </c>
      <c r="R47" s="878">
        <f t="shared" si="578"/>
        <v>0</v>
      </c>
      <c r="S47" s="878">
        <f t="shared" si="578"/>
        <v>3.0528375733855189</v>
      </c>
      <c r="T47" s="878">
        <f t="shared" si="578"/>
        <v>14.285714285714286</v>
      </c>
      <c r="U47" s="878">
        <f t="shared" si="578"/>
        <v>0</v>
      </c>
      <c r="V47" s="878">
        <f t="shared" si="578"/>
        <v>0</v>
      </c>
      <c r="W47" s="878">
        <f t="shared" si="578"/>
        <v>14.285714285714286</v>
      </c>
      <c r="X47" s="878">
        <f t="shared" si="578"/>
        <v>0</v>
      </c>
      <c r="Y47" s="878">
        <f t="shared" si="578"/>
        <v>0.79452054794520544</v>
      </c>
      <c r="Z47" s="878">
        <f t="shared" si="578"/>
        <v>16.785714285714285</v>
      </c>
      <c r="AA47" s="878">
        <f t="shared" si="578"/>
        <v>0</v>
      </c>
      <c r="AB47" s="878">
        <f t="shared" si="578"/>
        <v>0.79452054794520544</v>
      </c>
      <c r="AC47" s="878">
        <f t="shared" si="578"/>
        <v>19.285714285714285</v>
      </c>
      <c r="AD47" s="878">
        <f t="shared" si="578"/>
        <v>0</v>
      </c>
      <c r="AE47" s="878">
        <f t="shared" si="578"/>
        <v>0.82191780821917881</v>
      </c>
      <c r="AF47" s="878">
        <f t="shared" si="578"/>
        <v>21.785714285714288</v>
      </c>
      <c r="AG47" s="878">
        <f t="shared" si="578"/>
        <v>0</v>
      </c>
      <c r="AH47" s="878">
        <f t="shared" si="578"/>
        <v>0</v>
      </c>
      <c r="AI47" s="878">
        <f t="shared" si="578"/>
        <v>21.785714285714288</v>
      </c>
      <c r="AJ47" s="878">
        <f t="shared" si="578"/>
        <v>0</v>
      </c>
      <c r="AK47" s="878">
        <f>$F47*AJ$10/4*AK$4+$F47*(AK$10-AJ$10)*(DATE(YEAR(AP$3),INT((MONTH(AP$3)-1)/3)*3+4,0)-AP$3)/365*AK$5</f>
        <v>1.6438356164383561</v>
      </c>
      <c r="AL47" s="878">
        <f t="shared" ref="AL47:BO47" si="579">$F47*AK$10/4*AL$4+$F47*(AL$10-AK$10)*(DATE(YEAR(AQ$3),INT((MONTH(AQ$3)-1)/3)*3+4,0)-AQ$3)/365*AL$5</f>
        <v>24.285714285714288</v>
      </c>
      <c r="AM47" s="878">
        <f t="shared" si="579"/>
        <v>0</v>
      </c>
      <c r="AN47" s="878">
        <f t="shared" si="579"/>
        <v>0</v>
      </c>
      <c r="AO47" s="878">
        <f t="shared" si="579"/>
        <v>24.285714285714288</v>
      </c>
      <c r="AP47" s="878">
        <f t="shared" si="579"/>
        <v>0</v>
      </c>
      <c r="AQ47" s="878">
        <f t="shared" si="579"/>
        <v>0</v>
      </c>
      <c r="AR47" s="878">
        <f t="shared" si="579"/>
        <v>24.285714285714288</v>
      </c>
      <c r="AS47" s="878">
        <f t="shared" si="579"/>
        <v>0</v>
      </c>
      <c r="AT47" s="878">
        <f t="shared" si="579"/>
        <v>0</v>
      </c>
      <c r="AU47" s="878">
        <f t="shared" si="579"/>
        <v>24.285714285714288</v>
      </c>
      <c r="AV47" s="878">
        <f t="shared" si="579"/>
        <v>0</v>
      </c>
      <c r="AW47" s="878">
        <f t="shared" si="579"/>
        <v>0</v>
      </c>
      <c r="AX47" s="878">
        <f t="shared" si="579"/>
        <v>24.285714285714288</v>
      </c>
      <c r="AY47" s="878">
        <f t="shared" si="579"/>
        <v>0</v>
      </c>
      <c r="AZ47" s="878">
        <f t="shared" si="579"/>
        <v>0</v>
      </c>
      <c r="BA47" s="878">
        <f t="shared" si="579"/>
        <v>24.285714285714288</v>
      </c>
      <c r="BB47" s="878">
        <f t="shared" si="579"/>
        <v>0</v>
      </c>
      <c r="BC47" s="878">
        <f t="shared" si="579"/>
        <v>0</v>
      </c>
      <c r="BD47" s="878">
        <f t="shared" si="579"/>
        <v>24.285714285714288</v>
      </c>
      <c r="BE47" s="878">
        <f t="shared" si="579"/>
        <v>0</v>
      </c>
      <c r="BF47" s="878">
        <f t="shared" si="579"/>
        <v>0</v>
      </c>
      <c r="BG47" s="878">
        <f t="shared" si="579"/>
        <v>24.285714285714288</v>
      </c>
      <c r="BH47" s="878">
        <f t="shared" si="579"/>
        <v>0</v>
      </c>
      <c r="BI47" s="878">
        <f t="shared" si="579"/>
        <v>0</v>
      </c>
      <c r="BJ47" s="878">
        <f t="shared" si="579"/>
        <v>24.285714285714288</v>
      </c>
      <c r="BK47" s="878">
        <f t="shared" si="579"/>
        <v>0</v>
      </c>
      <c r="BL47" s="878">
        <f t="shared" si="579"/>
        <v>0</v>
      </c>
      <c r="BM47" s="878">
        <f t="shared" si="579"/>
        <v>24.285714285714288</v>
      </c>
      <c r="BN47" s="878">
        <f t="shared" si="579"/>
        <v>0</v>
      </c>
      <c r="BO47" s="878">
        <f t="shared" si="579"/>
        <v>0</v>
      </c>
    </row>
    <row r="48" spans="1:67" s="18" customFormat="1">
      <c r="A48" s="866"/>
      <c r="B48" s="76"/>
      <c r="C48" s="885" t="s">
        <v>2258</v>
      </c>
      <c r="D48" s="875" t="s">
        <v>2251</v>
      </c>
      <c r="E48" s="882">
        <v>0.06</v>
      </c>
      <c r="F48" s="884">
        <v>25</v>
      </c>
      <c r="G48" s="878">
        <v>0</v>
      </c>
      <c r="H48" s="878">
        <f t="shared" ref="H48:BO48" si="580">$F$48/4*H$4</f>
        <v>6.25</v>
      </c>
      <c r="I48" s="878">
        <f t="shared" si="580"/>
        <v>0</v>
      </c>
      <c r="J48" s="878">
        <f t="shared" si="580"/>
        <v>0</v>
      </c>
      <c r="K48" s="878">
        <f t="shared" si="580"/>
        <v>6.25</v>
      </c>
      <c r="L48" s="878">
        <f t="shared" si="580"/>
        <v>0</v>
      </c>
      <c r="M48" s="878">
        <f t="shared" si="580"/>
        <v>0</v>
      </c>
      <c r="N48" s="878">
        <f t="shared" si="580"/>
        <v>6.25</v>
      </c>
      <c r="O48" s="878">
        <f t="shared" si="580"/>
        <v>0</v>
      </c>
      <c r="P48" s="878">
        <f t="shared" si="580"/>
        <v>0</v>
      </c>
      <c r="Q48" s="878">
        <f t="shared" si="580"/>
        <v>6.25</v>
      </c>
      <c r="R48" s="878">
        <f t="shared" si="580"/>
        <v>0</v>
      </c>
      <c r="S48" s="878">
        <f t="shared" si="580"/>
        <v>0</v>
      </c>
      <c r="T48" s="878">
        <f t="shared" si="580"/>
        <v>6.25</v>
      </c>
      <c r="U48" s="878">
        <f t="shared" si="580"/>
        <v>0</v>
      </c>
      <c r="V48" s="878">
        <f t="shared" si="580"/>
        <v>0</v>
      </c>
      <c r="W48" s="878">
        <f t="shared" si="580"/>
        <v>6.25</v>
      </c>
      <c r="X48" s="878">
        <f t="shared" si="580"/>
        <v>0</v>
      </c>
      <c r="Y48" s="878">
        <f t="shared" si="580"/>
        <v>0</v>
      </c>
      <c r="Z48" s="878">
        <f t="shared" si="580"/>
        <v>6.25</v>
      </c>
      <c r="AA48" s="878">
        <f t="shared" si="580"/>
        <v>0</v>
      </c>
      <c r="AB48" s="878">
        <f t="shared" si="580"/>
        <v>0</v>
      </c>
      <c r="AC48" s="878">
        <f t="shared" si="580"/>
        <v>6.25</v>
      </c>
      <c r="AD48" s="878">
        <f t="shared" si="580"/>
        <v>0</v>
      </c>
      <c r="AE48" s="878">
        <f t="shared" si="580"/>
        <v>0</v>
      </c>
      <c r="AF48" s="878">
        <f t="shared" si="580"/>
        <v>6.25</v>
      </c>
      <c r="AG48" s="878">
        <f t="shared" si="580"/>
        <v>0</v>
      </c>
      <c r="AH48" s="878">
        <f t="shared" si="580"/>
        <v>0</v>
      </c>
      <c r="AI48" s="878">
        <f t="shared" si="580"/>
        <v>6.25</v>
      </c>
      <c r="AJ48" s="878">
        <f t="shared" si="580"/>
        <v>0</v>
      </c>
      <c r="AK48" s="878">
        <f t="shared" si="580"/>
        <v>0</v>
      </c>
      <c r="AL48" s="878">
        <f t="shared" si="580"/>
        <v>6.25</v>
      </c>
      <c r="AM48" s="878">
        <f t="shared" si="580"/>
        <v>0</v>
      </c>
      <c r="AN48" s="878">
        <f t="shared" si="580"/>
        <v>0</v>
      </c>
      <c r="AO48" s="878">
        <f t="shared" si="580"/>
        <v>6.25</v>
      </c>
      <c r="AP48" s="878">
        <f t="shared" si="580"/>
        <v>0</v>
      </c>
      <c r="AQ48" s="878">
        <f t="shared" si="580"/>
        <v>0</v>
      </c>
      <c r="AR48" s="878">
        <f t="shared" si="580"/>
        <v>6.25</v>
      </c>
      <c r="AS48" s="878">
        <f t="shared" si="580"/>
        <v>0</v>
      </c>
      <c r="AT48" s="878">
        <f t="shared" si="580"/>
        <v>0</v>
      </c>
      <c r="AU48" s="878">
        <f t="shared" si="580"/>
        <v>6.25</v>
      </c>
      <c r="AV48" s="878">
        <f t="shared" si="580"/>
        <v>0</v>
      </c>
      <c r="AW48" s="878">
        <f t="shared" si="580"/>
        <v>0</v>
      </c>
      <c r="AX48" s="878">
        <f t="shared" si="580"/>
        <v>6.25</v>
      </c>
      <c r="AY48" s="878">
        <f t="shared" si="580"/>
        <v>0</v>
      </c>
      <c r="AZ48" s="878">
        <f t="shared" si="580"/>
        <v>0</v>
      </c>
      <c r="BA48" s="878">
        <f t="shared" si="580"/>
        <v>6.25</v>
      </c>
      <c r="BB48" s="878">
        <f t="shared" si="580"/>
        <v>0</v>
      </c>
      <c r="BC48" s="878">
        <f t="shared" si="580"/>
        <v>0</v>
      </c>
      <c r="BD48" s="878">
        <f t="shared" si="580"/>
        <v>6.25</v>
      </c>
      <c r="BE48" s="878">
        <f t="shared" si="580"/>
        <v>0</v>
      </c>
      <c r="BF48" s="878">
        <f t="shared" si="580"/>
        <v>0</v>
      </c>
      <c r="BG48" s="878">
        <f t="shared" si="580"/>
        <v>6.25</v>
      </c>
      <c r="BH48" s="878">
        <f t="shared" si="580"/>
        <v>0</v>
      </c>
      <c r="BI48" s="878">
        <f t="shared" si="580"/>
        <v>0</v>
      </c>
      <c r="BJ48" s="878">
        <f t="shared" si="580"/>
        <v>6.25</v>
      </c>
      <c r="BK48" s="878">
        <f t="shared" si="580"/>
        <v>0</v>
      </c>
      <c r="BL48" s="878">
        <f t="shared" si="580"/>
        <v>0</v>
      </c>
      <c r="BM48" s="878">
        <f t="shared" si="580"/>
        <v>6.25</v>
      </c>
      <c r="BN48" s="878">
        <f t="shared" si="580"/>
        <v>0</v>
      </c>
      <c r="BO48" s="878">
        <f t="shared" si="580"/>
        <v>0</v>
      </c>
    </row>
    <row r="49" spans="1:67" s="18" customFormat="1">
      <c r="A49" s="866"/>
      <c r="B49" s="76"/>
      <c r="C49" s="885" t="s">
        <v>2259</v>
      </c>
      <c r="D49" s="875" t="s">
        <v>2251</v>
      </c>
      <c r="E49" s="882">
        <v>0.06</v>
      </c>
      <c r="F49" s="884">
        <v>10</v>
      </c>
      <c r="G49" s="878">
        <v>0</v>
      </c>
      <c r="H49" s="878">
        <f t="shared" ref="H49:Q50" si="581">$F49*H$10/4*H$4</f>
        <v>2.5</v>
      </c>
      <c r="I49" s="878">
        <f t="shared" si="581"/>
        <v>0</v>
      </c>
      <c r="J49" s="878">
        <f t="shared" si="581"/>
        <v>0</v>
      </c>
      <c r="K49" s="878">
        <f t="shared" si="581"/>
        <v>2.5</v>
      </c>
      <c r="L49" s="878">
        <f t="shared" si="581"/>
        <v>0</v>
      </c>
      <c r="M49" s="878">
        <f t="shared" si="581"/>
        <v>0</v>
      </c>
      <c r="N49" s="878">
        <f t="shared" si="581"/>
        <v>5</v>
      </c>
      <c r="O49" s="878">
        <f t="shared" si="581"/>
        <v>0</v>
      </c>
      <c r="P49" s="878">
        <f t="shared" si="581"/>
        <v>0</v>
      </c>
      <c r="Q49" s="878">
        <f t="shared" si="581"/>
        <v>5</v>
      </c>
      <c r="R49" s="878">
        <f t="shared" ref="R49:AA50" si="582">$F49*R$10/4*R$4</f>
        <v>0</v>
      </c>
      <c r="S49" s="878">
        <f t="shared" si="582"/>
        <v>0</v>
      </c>
      <c r="T49" s="878">
        <f t="shared" si="582"/>
        <v>14.285714285714286</v>
      </c>
      <c r="U49" s="878">
        <f t="shared" si="582"/>
        <v>0</v>
      </c>
      <c r="V49" s="878">
        <f t="shared" si="582"/>
        <v>0</v>
      </c>
      <c r="W49" s="878">
        <f t="shared" si="582"/>
        <v>14.285714285714286</v>
      </c>
      <c r="X49" s="878">
        <f t="shared" si="582"/>
        <v>0</v>
      </c>
      <c r="Y49" s="878">
        <f t="shared" si="582"/>
        <v>0</v>
      </c>
      <c r="Z49" s="878">
        <f t="shared" si="582"/>
        <v>16.785714285714285</v>
      </c>
      <c r="AA49" s="878">
        <f t="shared" si="582"/>
        <v>0</v>
      </c>
      <c r="AB49" s="878">
        <f t="shared" ref="AB49:AQ50" si="583">$F49*AB$10/4*AB$4</f>
        <v>0</v>
      </c>
      <c r="AC49" s="878">
        <f t="shared" si="583"/>
        <v>19.285714285714285</v>
      </c>
      <c r="AD49" s="878">
        <f t="shared" si="583"/>
        <v>0</v>
      </c>
      <c r="AE49" s="878">
        <f t="shared" si="583"/>
        <v>0</v>
      </c>
      <c r="AF49" s="878">
        <f t="shared" si="583"/>
        <v>21.785714285714288</v>
      </c>
      <c r="AG49" s="878">
        <f t="shared" si="583"/>
        <v>0</v>
      </c>
      <c r="AH49" s="878">
        <f t="shared" si="583"/>
        <v>0</v>
      </c>
      <c r="AI49" s="878">
        <f t="shared" si="583"/>
        <v>21.785714285714288</v>
      </c>
      <c r="AJ49" s="878">
        <f t="shared" si="583"/>
        <v>0</v>
      </c>
      <c r="AK49" s="878">
        <f t="shared" si="583"/>
        <v>0</v>
      </c>
      <c r="AL49" s="878">
        <f t="shared" si="583"/>
        <v>24.285714285714288</v>
      </c>
      <c r="AM49" s="878">
        <f t="shared" si="583"/>
        <v>0</v>
      </c>
      <c r="AN49" s="878">
        <f t="shared" si="583"/>
        <v>0</v>
      </c>
      <c r="AO49" s="878">
        <f t="shared" si="583"/>
        <v>24.285714285714288</v>
      </c>
      <c r="AP49" s="878">
        <f t="shared" si="583"/>
        <v>0</v>
      </c>
      <c r="AQ49" s="878">
        <f t="shared" si="583"/>
        <v>0</v>
      </c>
      <c r="AR49" s="878">
        <f t="shared" ref="AL49:BO50" si="584">$F49*AR$10/4*AR$4</f>
        <v>24.285714285714288</v>
      </c>
      <c r="AS49" s="878">
        <f t="shared" si="584"/>
        <v>0</v>
      </c>
      <c r="AT49" s="878">
        <f t="shared" si="584"/>
        <v>0</v>
      </c>
      <c r="AU49" s="878">
        <f t="shared" si="584"/>
        <v>24.285714285714288</v>
      </c>
      <c r="AV49" s="878">
        <f t="shared" si="584"/>
        <v>0</v>
      </c>
      <c r="AW49" s="878">
        <f t="shared" si="584"/>
        <v>0</v>
      </c>
      <c r="AX49" s="878">
        <f t="shared" si="584"/>
        <v>24.285714285714288</v>
      </c>
      <c r="AY49" s="878">
        <f t="shared" si="584"/>
        <v>0</v>
      </c>
      <c r="AZ49" s="878">
        <f t="shared" si="584"/>
        <v>0</v>
      </c>
      <c r="BA49" s="878">
        <f t="shared" si="584"/>
        <v>24.285714285714288</v>
      </c>
      <c r="BB49" s="878">
        <f t="shared" si="584"/>
        <v>0</v>
      </c>
      <c r="BC49" s="878">
        <f t="shared" si="584"/>
        <v>0</v>
      </c>
      <c r="BD49" s="878">
        <f t="shared" si="584"/>
        <v>24.285714285714288</v>
      </c>
      <c r="BE49" s="878">
        <f t="shared" si="584"/>
        <v>0</v>
      </c>
      <c r="BF49" s="878">
        <f t="shared" si="584"/>
        <v>0</v>
      </c>
      <c r="BG49" s="878">
        <f t="shared" si="584"/>
        <v>24.285714285714288</v>
      </c>
      <c r="BH49" s="878">
        <f t="shared" si="584"/>
        <v>0</v>
      </c>
      <c r="BI49" s="878">
        <f t="shared" si="584"/>
        <v>0</v>
      </c>
      <c r="BJ49" s="878">
        <f t="shared" si="584"/>
        <v>24.285714285714288</v>
      </c>
      <c r="BK49" s="878">
        <f t="shared" si="584"/>
        <v>0</v>
      </c>
      <c r="BL49" s="878">
        <f t="shared" si="584"/>
        <v>0</v>
      </c>
      <c r="BM49" s="878">
        <f t="shared" si="584"/>
        <v>24.285714285714288</v>
      </c>
      <c r="BN49" s="878">
        <f t="shared" si="584"/>
        <v>0</v>
      </c>
      <c r="BO49" s="878">
        <f t="shared" si="584"/>
        <v>0</v>
      </c>
    </row>
    <row r="50" spans="1:67" s="18" customFormat="1">
      <c r="A50" s="866"/>
      <c r="B50" s="76"/>
      <c r="C50" s="885" t="s">
        <v>2260</v>
      </c>
      <c r="D50" s="875" t="s">
        <v>2251</v>
      </c>
      <c r="E50" s="882">
        <v>0.06</v>
      </c>
      <c r="F50" s="884">
        <v>0</v>
      </c>
      <c r="G50" s="878">
        <v>0</v>
      </c>
      <c r="H50" s="878">
        <f t="shared" si="581"/>
        <v>0</v>
      </c>
      <c r="I50" s="878">
        <f t="shared" si="581"/>
        <v>0</v>
      </c>
      <c r="J50" s="878">
        <f t="shared" si="581"/>
        <v>0</v>
      </c>
      <c r="K50" s="878">
        <f t="shared" si="581"/>
        <v>0</v>
      </c>
      <c r="L50" s="878">
        <f t="shared" si="581"/>
        <v>0</v>
      </c>
      <c r="M50" s="878">
        <f t="shared" si="581"/>
        <v>0</v>
      </c>
      <c r="N50" s="878">
        <f t="shared" si="581"/>
        <v>0</v>
      </c>
      <c r="O50" s="878">
        <f t="shared" si="581"/>
        <v>0</v>
      </c>
      <c r="P50" s="878">
        <f t="shared" si="581"/>
        <v>0</v>
      </c>
      <c r="Q50" s="878">
        <f t="shared" si="581"/>
        <v>0</v>
      </c>
      <c r="R50" s="878">
        <f t="shared" si="582"/>
        <v>0</v>
      </c>
      <c r="S50" s="878">
        <f t="shared" si="582"/>
        <v>0</v>
      </c>
      <c r="T50" s="878">
        <f t="shared" si="582"/>
        <v>0</v>
      </c>
      <c r="U50" s="878">
        <f t="shared" si="582"/>
        <v>0</v>
      </c>
      <c r="V50" s="878">
        <f t="shared" si="582"/>
        <v>0</v>
      </c>
      <c r="W50" s="878">
        <f t="shared" si="582"/>
        <v>0</v>
      </c>
      <c r="X50" s="878">
        <f t="shared" si="582"/>
        <v>0</v>
      </c>
      <c r="Y50" s="878">
        <f t="shared" si="582"/>
        <v>0</v>
      </c>
      <c r="Z50" s="878">
        <f t="shared" si="582"/>
        <v>0</v>
      </c>
      <c r="AA50" s="878">
        <f t="shared" si="582"/>
        <v>0</v>
      </c>
      <c r="AB50" s="878">
        <f t="shared" si="583"/>
        <v>0</v>
      </c>
      <c r="AC50" s="878">
        <f t="shared" si="583"/>
        <v>0</v>
      </c>
      <c r="AD50" s="878">
        <f t="shared" si="583"/>
        <v>0</v>
      </c>
      <c r="AE50" s="878">
        <f t="shared" si="583"/>
        <v>0</v>
      </c>
      <c r="AF50" s="878">
        <f t="shared" si="583"/>
        <v>0</v>
      </c>
      <c r="AG50" s="878">
        <f t="shared" si="583"/>
        <v>0</v>
      </c>
      <c r="AH50" s="878">
        <f t="shared" si="583"/>
        <v>0</v>
      </c>
      <c r="AI50" s="878">
        <f t="shared" si="583"/>
        <v>0</v>
      </c>
      <c r="AJ50" s="878">
        <f t="shared" si="583"/>
        <v>0</v>
      </c>
      <c r="AK50" s="878">
        <f t="shared" si="583"/>
        <v>0</v>
      </c>
      <c r="AL50" s="878">
        <f t="shared" si="584"/>
        <v>0</v>
      </c>
      <c r="AM50" s="878">
        <f t="shared" si="584"/>
        <v>0</v>
      </c>
      <c r="AN50" s="878">
        <f t="shared" si="584"/>
        <v>0</v>
      </c>
      <c r="AO50" s="878">
        <f t="shared" si="584"/>
        <v>0</v>
      </c>
      <c r="AP50" s="878">
        <f t="shared" si="584"/>
        <v>0</v>
      </c>
      <c r="AQ50" s="878">
        <f t="shared" si="584"/>
        <v>0</v>
      </c>
      <c r="AR50" s="878">
        <f t="shared" si="584"/>
        <v>0</v>
      </c>
      <c r="AS50" s="878">
        <f t="shared" si="584"/>
        <v>0</v>
      </c>
      <c r="AT50" s="878">
        <f t="shared" si="584"/>
        <v>0</v>
      </c>
      <c r="AU50" s="878">
        <f t="shared" si="584"/>
        <v>0</v>
      </c>
      <c r="AV50" s="878">
        <f t="shared" si="584"/>
        <v>0</v>
      </c>
      <c r="AW50" s="878">
        <f t="shared" si="584"/>
        <v>0</v>
      </c>
      <c r="AX50" s="878">
        <f t="shared" si="584"/>
        <v>0</v>
      </c>
      <c r="AY50" s="878">
        <f t="shared" si="584"/>
        <v>0</v>
      </c>
      <c r="AZ50" s="878">
        <f t="shared" si="584"/>
        <v>0</v>
      </c>
      <c r="BA50" s="878">
        <f t="shared" si="584"/>
        <v>0</v>
      </c>
      <c r="BB50" s="878">
        <f t="shared" si="584"/>
        <v>0</v>
      </c>
      <c r="BC50" s="878">
        <f t="shared" si="584"/>
        <v>0</v>
      </c>
      <c r="BD50" s="878">
        <f t="shared" si="584"/>
        <v>0</v>
      </c>
      <c r="BE50" s="878">
        <f t="shared" si="584"/>
        <v>0</v>
      </c>
      <c r="BF50" s="878">
        <f t="shared" si="584"/>
        <v>0</v>
      </c>
      <c r="BG50" s="878">
        <f t="shared" si="584"/>
        <v>0</v>
      </c>
      <c r="BH50" s="878">
        <f t="shared" si="584"/>
        <v>0</v>
      </c>
      <c r="BI50" s="878">
        <f t="shared" si="584"/>
        <v>0</v>
      </c>
      <c r="BJ50" s="878">
        <f t="shared" si="584"/>
        <v>0</v>
      </c>
      <c r="BK50" s="878">
        <f t="shared" si="584"/>
        <v>0</v>
      </c>
      <c r="BL50" s="878">
        <f t="shared" si="584"/>
        <v>0</v>
      </c>
      <c r="BM50" s="878">
        <f t="shared" si="584"/>
        <v>0</v>
      </c>
      <c r="BN50" s="878">
        <f t="shared" si="584"/>
        <v>0</v>
      </c>
      <c r="BO50" s="878">
        <f t="shared" si="584"/>
        <v>0</v>
      </c>
    </row>
    <row r="51" spans="1:67" s="18" customFormat="1">
      <c r="A51" s="866">
        <v>32</v>
      </c>
      <c r="B51" s="76"/>
      <c r="C51" s="76" t="s">
        <v>2261</v>
      </c>
      <c r="D51" s="875" t="s">
        <v>2251</v>
      </c>
      <c r="E51" s="882">
        <v>0</v>
      </c>
      <c r="F51" s="884">
        <v>20</v>
      </c>
      <c r="G51" s="878">
        <f>F51</f>
        <v>20</v>
      </c>
      <c r="H51" s="878">
        <f t="shared" ref="H51:BO51" si="585">$F$51/12*H$11</f>
        <v>1.6666666666666667</v>
      </c>
      <c r="I51" s="878">
        <f t="shared" si="585"/>
        <v>1.6666666666666667</v>
      </c>
      <c r="J51" s="878">
        <f t="shared" si="585"/>
        <v>1.6666666666666667</v>
      </c>
      <c r="K51" s="878">
        <f t="shared" si="585"/>
        <v>1.6666666666666667</v>
      </c>
      <c r="L51" s="878">
        <f t="shared" si="585"/>
        <v>1.6666666666666667</v>
      </c>
      <c r="M51" s="878">
        <f t="shared" si="585"/>
        <v>3.3333333333333335</v>
      </c>
      <c r="N51" s="878">
        <f t="shared" si="585"/>
        <v>3.3333333333333335</v>
      </c>
      <c r="O51" s="878">
        <f t="shared" si="585"/>
        <v>3.3333333333333335</v>
      </c>
      <c r="P51" s="878">
        <f t="shared" si="585"/>
        <v>3.3333333333333335</v>
      </c>
      <c r="Q51" s="878">
        <f t="shared" si="585"/>
        <v>3.3333333333333335</v>
      </c>
      <c r="R51" s="878">
        <f t="shared" si="585"/>
        <v>3.3333333333333335</v>
      </c>
      <c r="S51" s="878">
        <f t="shared" si="585"/>
        <v>4.7619047619047619</v>
      </c>
      <c r="T51" s="878">
        <f t="shared" si="585"/>
        <v>4.7619047619047619</v>
      </c>
      <c r="U51" s="878">
        <f t="shared" si="585"/>
        <v>4.7619047619047619</v>
      </c>
      <c r="V51" s="878">
        <f t="shared" si="585"/>
        <v>4.7619047619047619</v>
      </c>
      <c r="W51" s="878">
        <f t="shared" si="585"/>
        <v>4.7619047619047619</v>
      </c>
      <c r="X51" s="878">
        <f t="shared" si="585"/>
        <v>4.7619047619047619</v>
      </c>
      <c r="Y51" s="878">
        <f t="shared" si="585"/>
        <v>6.4285714285714288</v>
      </c>
      <c r="Z51" s="878">
        <f t="shared" si="585"/>
        <v>6.4285714285714288</v>
      </c>
      <c r="AA51" s="878">
        <f t="shared" si="585"/>
        <v>6.4285714285714288</v>
      </c>
      <c r="AB51" s="878">
        <f t="shared" si="585"/>
        <v>6.4285714285714288</v>
      </c>
      <c r="AC51" s="878">
        <f t="shared" si="585"/>
        <v>6.4285714285714288</v>
      </c>
      <c r="AD51" s="878">
        <f t="shared" si="585"/>
        <v>6.4285714285714288</v>
      </c>
      <c r="AE51" s="878">
        <f t="shared" si="585"/>
        <v>6.4285714285714288</v>
      </c>
      <c r="AF51" s="878">
        <f t="shared" si="585"/>
        <v>6.4285714285714288</v>
      </c>
      <c r="AG51" s="878">
        <f t="shared" si="585"/>
        <v>6.4285714285714288</v>
      </c>
      <c r="AH51" s="878">
        <f t="shared" si="585"/>
        <v>6.4285714285714288</v>
      </c>
      <c r="AI51" s="878">
        <f t="shared" si="585"/>
        <v>6.4285714285714288</v>
      </c>
      <c r="AJ51" s="878">
        <f t="shared" si="585"/>
        <v>6.4285714285714288</v>
      </c>
      <c r="AK51" s="878">
        <f t="shared" si="585"/>
        <v>6.4285714285714288</v>
      </c>
      <c r="AL51" s="878">
        <f t="shared" si="585"/>
        <v>6.4285714285714288</v>
      </c>
      <c r="AM51" s="878">
        <f t="shared" si="585"/>
        <v>6.4285714285714288</v>
      </c>
      <c r="AN51" s="878">
        <f t="shared" si="585"/>
        <v>6.4285714285714288</v>
      </c>
      <c r="AO51" s="878">
        <f t="shared" si="585"/>
        <v>6.4285714285714288</v>
      </c>
      <c r="AP51" s="878">
        <f t="shared" si="585"/>
        <v>6.4285714285714288</v>
      </c>
      <c r="AQ51" s="878">
        <f t="shared" si="585"/>
        <v>6.666666666666667</v>
      </c>
      <c r="AR51" s="878">
        <f t="shared" si="585"/>
        <v>6.666666666666667</v>
      </c>
      <c r="AS51" s="878">
        <f t="shared" si="585"/>
        <v>6.666666666666667</v>
      </c>
      <c r="AT51" s="878">
        <f t="shared" si="585"/>
        <v>6.666666666666667</v>
      </c>
      <c r="AU51" s="878">
        <f t="shared" si="585"/>
        <v>6.666666666666667</v>
      </c>
      <c r="AV51" s="878">
        <f t="shared" si="585"/>
        <v>6.666666666666667</v>
      </c>
      <c r="AW51" s="878">
        <f t="shared" si="585"/>
        <v>6.666666666666667</v>
      </c>
      <c r="AX51" s="878">
        <f t="shared" si="585"/>
        <v>6.666666666666667</v>
      </c>
      <c r="AY51" s="878">
        <f t="shared" si="585"/>
        <v>6.666666666666667</v>
      </c>
      <c r="AZ51" s="878">
        <f t="shared" si="585"/>
        <v>6.666666666666667</v>
      </c>
      <c r="BA51" s="878">
        <f t="shared" si="585"/>
        <v>6.666666666666667</v>
      </c>
      <c r="BB51" s="878">
        <f t="shared" si="585"/>
        <v>6.666666666666667</v>
      </c>
      <c r="BC51" s="878">
        <f t="shared" si="585"/>
        <v>6.666666666666667</v>
      </c>
      <c r="BD51" s="878">
        <f t="shared" si="585"/>
        <v>6.666666666666667</v>
      </c>
      <c r="BE51" s="878">
        <f t="shared" si="585"/>
        <v>6.666666666666667</v>
      </c>
      <c r="BF51" s="878">
        <f t="shared" si="585"/>
        <v>6.666666666666667</v>
      </c>
      <c r="BG51" s="878">
        <f t="shared" si="585"/>
        <v>6.666666666666667</v>
      </c>
      <c r="BH51" s="878">
        <f t="shared" si="585"/>
        <v>6.666666666666667</v>
      </c>
      <c r="BI51" s="878">
        <f t="shared" si="585"/>
        <v>6.666666666666667</v>
      </c>
      <c r="BJ51" s="878">
        <f t="shared" si="585"/>
        <v>6.666666666666667</v>
      </c>
      <c r="BK51" s="878">
        <f t="shared" si="585"/>
        <v>6.666666666666667</v>
      </c>
      <c r="BL51" s="878">
        <f t="shared" si="585"/>
        <v>6.666666666666667</v>
      </c>
      <c r="BM51" s="878">
        <f t="shared" si="585"/>
        <v>6.666666666666667</v>
      </c>
      <c r="BN51" s="878">
        <f t="shared" si="585"/>
        <v>6.666666666666667</v>
      </c>
      <c r="BO51" s="878">
        <f t="shared" si="585"/>
        <v>6.666666666666667</v>
      </c>
    </row>
    <row r="52" spans="1:67" s="18" customFormat="1">
      <c r="A52" s="866"/>
      <c r="B52" s="76"/>
      <c r="C52" s="76" t="s">
        <v>2262</v>
      </c>
      <c r="D52" s="875" t="s">
        <v>2251</v>
      </c>
      <c r="E52" s="882">
        <v>0.01</v>
      </c>
      <c r="F52" s="884">
        <f>4000*12/10000</f>
        <v>4.8</v>
      </c>
      <c r="G52" s="878">
        <f>F52</f>
        <v>4.8</v>
      </c>
      <c r="H52" s="878">
        <f t="shared" ref="H52:AK52" si="586">$F$52/12*H10</f>
        <v>0.39999999999999997</v>
      </c>
      <c r="I52" s="878">
        <f t="shared" si="586"/>
        <v>0.39999999999999997</v>
      </c>
      <c r="J52" s="878">
        <f t="shared" si="586"/>
        <v>0.39999999999999997</v>
      </c>
      <c r="K52" s="878">
        <f t="shared" si="586"/>
        <v>0.39999999999999997</v>
      </c>
      <c r="L52" s="878">
        <f t="shared" si="586"/>
        <v>0.39999999999999997</v>
      </c>
      <c r="M52" s="878">
        <f t="shared" si="586"/>
        <v>0.79999999999999993</v>
      </c>
      <c r="N52" s="878">
        <f t="shared" si="586"/>
        <v>0.79999999999999993</v>
      </c>
      <c r="O52" s="878">
        <f t="shared" si="586"/>
        <v>0.79999999999999993</v>
      </c>
      <c r="P52" s="878">
        <f t="shared" si="586"/>
        <v>0.79999999999999993</v>
      </c>
      <c r="Q52" s="878">
        <f t="shared" si="586"/>
        <v>0.79999999999999993</v>
      </c>
      <c r="R52" s="878">
        <f t="shared" si="586"/>
        <v>0.79999999999999993</v>
      </c>
      <c r="S52" s="878">
        <f t="shared" si="586"/>
        <v>2.2857142857142856</v>
      </c>
      <c r="T52" s="878">
        <f t="shared" si="586"/>
        <v>2.2857142857142856</v>
      </c>
      <c r="U52" s="878">
        <f t="shared" si="586"/>
        <v>2.2857142857142856</v>
      </c>
      <c r="V52" s="878">
        <f t="shared" si="586"/>
        <v>2.2857142857142856</v>
      </c>
      <c r="W52" s="878">
        <f t="shared" si="586"/>
        <v>2.2857142857142856</v>
      </c>
      <c r="X52" s="878">
        <f t="shared" si="586"/>
        <v>2.2857142857142856</v>
      </c>
      <c r="Y52" s="878">
        <f t="shared" si="586"/>
        <v>2.6857142857142855</v>
      </c>
      <c r="Z52" s="878">
        <f t="shared" si="586"/>
        <v>2.6857142857142855</v>
      </c>
      <c r="AA52" s="878">
        <f t="shared" si="586"/>
        <v>2.6857142857142855</v>
      </c>
      <c r="AB52" s="878">
        <f t="shared" si="586"/>
        <v>3.0857142857142854</v>
      </c>
      <c r="AC52" s="878">
        <f t="shared" si="586"/>
        <v>3.0857142857142854</v>
      </c>
      <c r="AD52" s="878">
        <f t="shared" si="586"/>
        <v>3.0857142857142854</v>
      </c>
      <c r="AE52" s="878">
        <f t="shared" si="586"/>
        <v>3.4857142857142858</v>
      </c>
      <c r="AF52" s="878">
        <f t="shared" si="586"/>
        <v>3.4857142857142858</v>
      </c>
      <c r="AG52" s="878">
        <f t="shared" si="586"/>
        <v>3.4857142857142858</v>
      </c>
      <c r="AH52" s="878">
        <f t="shared" si="586"/>
        <v>3.4857142857142858</v>
      </c>
      <c r="AI52" s="878">
        <f t="shared" si="586"/>
        <v>3.4857142857142858</v>
      </c>
      <c r="AJ52" s="878">
        <f t="shared" si="586"/>
        <v>3.4857142857142858</v>
      </c>
      <c r="AK52" s="878">
        <f t="shared" si="586"/>
        <v>3.8857142857142857</v>
      </c>
      <c r="AL52" s="878">
        <f t="shared" ref="AL52:BO52" si="587">$F$52/12*AL10</f>
        <v>3.8857142857142857</v>
      </c>
      <c r="AM52" s="878">
        <f t="shared" si="587"/>
        <v>3.8857142857142857</v>
      </c>
      <c r="AN52" s="878">
        <f t="shared" si="587"/>
        <v>3.8857142857142857</v>
      </c>
      <c r="AO52" s="878">
        <f t="shared" si="587"/>
        <v>3.8857142857142857</v>
      </c>
      <c r="AP52" s="878">
        <f t="shared" si="587"/>
        <v>3.8857142857142857</v>
      </c>
      <c r="AQ52" s="878">
        <f t="shared" si="587"/>
        <v>3.8857142857142857</v>
      </c>
      <c r="AR52" s="878">
        <f t="shared" si="587"/>
        <v>3.8857142857142857</v>
      </c>
      <c r="AS52" s="878">
        <f t="shared" si="587"/>
        <v>3.8857142857142857</v>
      </c>
      <c r="AT52" s="878">
        <f t="shared" si="587"/>
        <v>3.8857142857142857</v>
      </c>
      <c r="AU52" s="878">
        <f t="shared" si="587"/>
        <v>3.8857142857142857</v>
      </c>
      <c r="AV52" s="878">
        <f t="shared" si="587"/>
        <v>3.8857142857142857</v>
      </c>
      <c r="AW52" s="878">
        <f t="shared" si="587"/>
        <v>3.8857142857142857</v>
      </c>
      <c r="AX52" s="878">
        <f t="shared" si="587"/>
        <v>3.8857142857142857</v>
      </c>
      <c r="AY52" s="878">
        <f t="shared" si="587"/>
        <v>3.8857142857142857</v>
      </c>
      <c r="AZ52" s="878">
        <f t="shared" si="587"/>
        <v>3.8857142857142857</v>
      </c>
      <c r="BA52" s="878">
        <f t="shared" si="587"/>
        <v>3.8857142857142857</v>
      </c>
      <c r="BB52" s="878">
        <f t="shared" si="587"/>
        <v>3.8857142857142857</v>
      </c>
      <c r="BC52" s="878">
        <f t="shared" si="587"/>
        <v>3.8857142857142857</v>
      </c>
      <c r="BD52" s="878">
        <f t="shared" si="587"/>
        <v>3.8857142857142857</v>
      </c>
      <c r="BE52" s="878">
        <f t="shared" si="587"/>
        <v>3.8857142857142857</v>
      </c>
      <c r="BF52" s="878">
        <f t="shared" si="587"/>
        <v>3.8857142857142857</v>
      </c>
      <c r="BG52" s="878">
        <f t="shared" si="587"/>
        <v>3.8857142857142857</v>
      </c>
      <c r="BH52" s="878">
        <f t="shared" si="587"/>
        <v>3.8857142857142857</v>
      </c>
      <c r="BI52" s="878">
        <f t="shared" si="587"/>
        <v>3.8857142857142857</v>
      </c>
      <c r="BJ52" s="878">
        <f t="shared" si="587"/>
        <v>3.8857142857142857</v>
      </c>
      <c r="BK52" s="878">
        <f t="shared" si="587"/>
        <v>3.8857142857142857</v>
      </c>
      <c r="BL52" s="878">
        <f t="shared" si="587"/>
        <v>3.8857142857142857</v>
      </c>
      <c r="BM52" s="878">
        <f t="shared" si="587"/>
        <v>3.8857142857142857</v>
      </c>
      <c r="BN52" s="878">
        <f t="shared" si="587"/>
        <v>3.8857142857142857</v>
      </c>
      <c r="BO52" s="878">
        <f t="shared" si="587"/>
        <v>3.8857142857142857</v>
      </c>
    </row>
    <row r="53" spans="1:67" s="18" customFormat="1">
      <c r="A53" s="866"/>
      <c r="B53" s="76"/>
      <c r="C53" s="76" t="s">
        <v>2263</v>
      </c>
      <c r="D53" s="875" t="s">
        <v>2251</v>
      </c>
      <c r="E53" s="882">
        <v>0.01</v>
      </c>
      <c r="F53" s="884">
        <f>500*12/10000</f>
        <v>0.6</v>
      </c>
      <c r="G53" s="878">
        <f>F53</f>
        <v>0.6</v>
      </c>
      <c r="H53" s="878">
        <f t="shared" ref="H53:AK53" si="588">$F$53/12*H10</f>
        <v>4.9999999999999996E-2</v>
      </c>
      <c r="I53" s="878">
        <f t="shared" si="588"/>
        <v>4.9999999999999996E-2</v>
      </c>
      <c r="J53" s="878">
        <f t="shared" si="588"/>
        <v>4.9999999999999996E-2</v>
      </c>
      <c r="K53" s="878">
        <f t="shared" si="588"/>
        <v>4.9999999999999996E-2</v>
      </c>
      <c r="L53" s="878">
        <f t="shared" si="588"/>
        <v>4.9999999999999996E-2</v>
      </c>
      <c r="M53" s="878">
        <f t="shared" si="588"/>
        <v>9.9999999999999992E-2</v>
      </c>
      <c r="N53" s="878">
        <f t="shared" si="588"/>
        <v>9.9999999999999992E-2</v>
      </c>
      <c r="O53" s="878">
        <f t="shared" si="588"/>
        <v>9.9999999999999992E-2</v>
      </c>
      <c r="P53" s="878">
        <f t="shared" si="588"/>
        <v>9.9999999999999992E-2</v>
      </c>
      <c r="Q53" s="878">
        <f t="shared" si="588"/>
        <v>9.9999999999999992E-2</v>
      </c>
      <c r="R53" s="878">
        <f t="shared" si="588"/>
        <v>9.9999999999999992E-2</v>
      </c>
      <c r="S53" s="878">
        <f t="shared" si="588"/>
        <v>0.2857142857142857</v>
      </c>
      <c r="T53" s="878">
        <f t="shared" si="588"/>
        <v>0.2857142857142857</v>
      </c>
      <c r="U53" s="878">
        <f t="shared" si="588"/>
        <v>0.2857142857142857</v>
      </c>
      <c r="V53" s="878">
        <f t="shared" si="588"/>
        <v>0.2857142857142857</v>
      </c>
      <c r="W53" s="878">
        <f t="shared" si="588"/>
        <v>0.2857142857142857</v>
      </c>
      <c r="X53" s="878">
        <f t="shared" si="588"/>
        <v>0.2857142857142857</v>
      </c>
      <c r="Y53" s="878">
        <f t="shared" si="588"/>
        <v>0.33571428571428569</v>
      </c>
      <c r="Z53" s="878">
        <f t="shared" si="588"/>
        <v>0.33571428571428569</v>
      </c>
      <c r="AA53" s="878">
        <f t="shared" si="588"/>
        <v>0.33571428571428569</v>
      </c>
      <c r="AB53" s="878">
        <f t="shared" si="588"/>
        <v>0.38571428571428568</v>
      </c>
      <c r="AC53" s="878">
        <f t="shared" si="588"/>
        <v>0.38571428571428568</v>
      </c>
      <c r="AD53" s="878">
        <f t="shared" si="588"/>
        <v>0.38571428571428568</v>
      </c>
      <c r="AE53" s="878">
        <f t="shared" si="588"/>
        <v>0.43571428571428572</v>
      </c>
      <c r="AF53" s="878">
        <f t="shared" si="588"/>
        <v>0.43571428571428572</v>
      </c>
      <c r="AG53" s="878">
        <f t="shared" si="588"/>
        <v>0.43571428571428572</v>
      </c>
      <c r="AH53" s="878">
        <f t="shared" si="588"/>
        <v>0.43571428571428572</v>
      </c>
      <c r="AI53" s="878">
        <f t="shared" si="588"/>
        <v>0.43571428571428572</v>
      </c>
      <c r="AJ53" s="878">
        <f t="shared" si="588"/>
        <v>0.43571428571428572</v>
      </c>
      <c r="AK53" s="878">
        <f t="shared" si="588"/>
        <v>0.48571428571428571</v>
      </c>
      <c r="AL53" s="878">
        <f t="shared" ref="AL53:BO53" si="589">$F$53/12*AL10</f>
        <v>0.48571428571428571</v>
      </c>
      <c r="AM53" s="878">
        <f t="shared" si="589"/>
        <v>0.48571428571428571</v>
      </c>
      <c r="AN53" s="878">
        <f t="shared" si="589"/>
        <v>0.48571428571428571</v>
      </c>
      <c r="AO53" s="878">
        <f t="shared" si="589"/>
        <v>0.48571428571428571</v>
      </c>
      <c r="AP53" s="878">
        <f t="shared" si="589"/>
        <v>0.48571428571428571</v>
      </c>
      <c r="AQ53" s="878">
        <f t="shared" si="589"/>
        <v>0.48571428571428571</v>
      </c>
      <c r="AR53" s="878">
        <f t="shared" si="589"/>
        <v>0.48571428571428571</v>
      </c>
      <c r="AS53" s="878">
        <f t="shared" si="589"/>
        <v>0.48571428571428571</v>
      </c>
      <c r="AT53" s="878">
        <f t="shared" si="589"/>
        <v>0.48571428571428571</v>
      </c>
      <c r="AU53" s="878">
        <f t="shared" si="589"/>
        <v>0.48571428571428571</v>
      </c>
      <c r="AV53" s="878">
        <f t="shared" si="589"/>
        <v>0.48571428571428571</v>
      </c>
      <c r="AW53" s="878">
        <f t="shared" si="589"/>
        <v>0.48571428571428571</v>
      </c>
      <c r="AX53" s="878">
        <f t="shared" si="589"/>
        <v>0.48571428571428571</v>
      </c>
      <c r="AY53" s="878">
        <f t="shared" si="589"/>
        <v>0.48571428571428571</v>
      </c>
      <c r="AZ53" s="878">
        <f t="shared" si="589"/>
        <v>0.48571428571428571</v>
      </c>
      <c r="BA53" s="878">
        <f t="shared" si="589"/>
        <v>0.48571428571428571</v>
      </c>
      <c r="BB53" s="878">
        <f t="shared" si="589"/>
        <v>0.48571428571428571</v>
      </c>
      <c r="BC53" s="878">
        <f t="shared" si="589"/>
        <v>0.48571428571428571</v>
      </c>
      <c r="BD53" s="878">
        <f t="shared" si="589"/>
        <v>0.48571428571428571</v>
      </c>
      <c r="BE53" s="878">
        <f t="shared" si="589"/>
        <v>0.48571428571428571</v>
      </c>
      <c r="BF53" s="878">
        <f t="shared" si="589"/>
        <v>0.48571428571428571</v>
      </c>
      <c r="BG53" s="878">
        <f t="shared" si="589"/>
        <v>0.48571428571428571</v>
      </c>
      <c r="BH53" s="878">
        <f t="shared" si="589"/>
        <v>0.48571428571428571</v>
      </c>
      <c r="BI53" s="878">
        <f t="shared" si="589"/>
        <v>0.48571428571428571</v>
      </c>
      <c r="BJ53" s="878">
        <f t="shared" si="589"/>
        <v>0.48571428571428571</v>
      </c>
      <c r="BK53" s="878">
        <f t="shared" si="589"/>
        <v>0.48571428571428571</v>
      </c>
      <c r="BL53" s="878">
        <f t="shared" si="589"/>
        <v>0.48571428571428571</v>
      </c>
      <c r="BM53" s="878">
        <f t="shared" si="589"/>
        <v>0.48571428571428571</v>
      </c>
      <c r="BN53" s="878">
        <f t="shared" si="589"/>
        <v>0.48571428571428571</v>
      </c>
      <c r="BO53" s="878">
        <f t="shared" si="589"/>
        <v>0.48571428571428571</v>
      </c>
    </row>
    <row r="54" spans="1:67" s="18" customFormat="1">
      <c r="A54" s="866"/>
      <c r="B54" s="76"/>
      <c r="C54" s="76" t="s">
        <v>2264</v>
      </c>
      <c r="D54" s="875" t="s">
        <v>2251</v>
      </c>
      <c r="E54" s="882">
        <v>0</v>
      </c>
      <c r="F54" s="884">
        <v>1</v>
      </c>
      <c r="G54" s="878">
        <f>F54</f>
        <v>1</v>
      </c>
      <c r="H54" s="878">
        <f t="shared" ref="H54:AK54" si="590">$F$54/12*H10</f>
        <v>8.3333333333333329E-2</v>
      </c>
      <c r="I54" s="878">
        <f t="shared" si="590"/>
        <v>8.3333333333333329E-2</v>
      </c>
      <c r="J54" s="878">
        <f t="shared" si="590"/>
        <v>8.3333333333333329E-2</v>
      </c>
      <c r="K54" s="878">
        <f t="shared" si="590"/>
        <v>8.3333333333333329E-2</v>
      </c>
      <c r="L54" s="878">
        <f t="shared" si="590"/>
        <v>8.3333333333333329E-2</v>
      </c>
      <c r="M54" s="878">
        <f t="shared" si="590"/>
        <v>0.16666666666666666</v>
      </c>
      <c r="N54" s="878">
        <f t="shared" si="590"/>
        <v>0.16666666666666666</v>
      </c>
      <c r="O54" s="878">
        <f t="shared" si="590"/>
        <v>0.16666666666666666</v>
      </c>
      <c r="P54" s="878">
        <f t="shared" si="590"/>
        <v>0.16666666666666666</v>
      </c>
      <c r="Q54" s="878">
        <f t="shared" si="590"/>
        <v>0.16666666666666666</v>
      </c>
      <c r="R54" s="878">
        <f t="shared" si="590"/>
        <v>0.16666666666666666</v>
      </c>
      <c r="S54" s="878">
        <f t="shared" si="590"/>
        <v>0.47619047619047616</v>
      </c>
      <c r="T54" s="878">
        <f t="shared" si="590"/>
        <v>0.47619047619047616</v>
      </c>
      <c r="U54" s="878">
        <f t="shared" si="590"/>
        <v>0.47619047619047616</v>
      </c>
      <c r="V54" s="878">
        <f t="shared" si="590"/>
        <v>0.47619047619047616</v>
      </c>
      <c r="W54" s="878">
        <f t="shared" si="590"/>
        <v>0.47619047619047616</v>
      </c>
      <c r="X54" s="878">
        <f t="shared" si="590"/>
        <v>0.47619047619047616</v>
      </c>
      <c r="Y54" s="878">
        <f t="shared" si="590"/>
        <v>0.55952380952380953</v>
      </c>
      <c r="Z54" s="878">
        <f t="shared" si="590"/>
        <v>0.55952380952380953</v>
      </c>
      <c r="AA54" s="878">
        <f t="shared" si="590"/>
        <v>0.55952380952380953</v>
      </c>
      <c r="AB54" s="878">
        <f t="shared" si="590"/>
        <v>0.64285714285714279</v>
      </c>
      <c r="AC54" s="878">
        <f t="shared" si="590"/>
        <v>0.64285714285714279</v>
      </c>
      <c r="AD54" s="878">
        <f t="shared" si="590"/>
        <v>0.64285714285714279</v>
      </c>
      <c r="AE54" s="878">
        <f t="shared" si="590"/>
        <v>0.72619047619047628</v>
      </c>
      <c r="AF54" s="878">
        <f t="shared" si="590"/>
        <v>0.72619047619047628</v>
      </c>
      <c r="AG54" s="878">
        <f t="shared" si="590"/>
        <v>0.72619047619047628</v>
      </c>
      <c r="AH54" s="878">
        <f t="shared" si="590"/>
        <v>0.72619047619047628</v>
      </c>
      <c r="AI54" s="878">
        <f t="shared" si="590"/>
        <v>0.72619047619047628</v>
      </c>
      <c r="AJ54" s="878">
        <f t="shared" si="590"/>
        <v>0.72619047619047628</v>
      </c>
      <c r="AK54" s="878">
        <f t="shared" si="590"/>
        <v>0.80952380952380953</v>
      </c>
      <c r="AL54" s="878">
        <f t="shared" ref="AL54:BO54" si="591">$F$54/12*AL10</f>
        <v>0.80952380952380953</v>
      </c>
      <c r="AM54" s="878">
        <f t="shared" si="591"/>
        <v>0.80952380952380953</v>
      </c>
      <c r="AN54" s="878">
        <f t="shared" si="591"/>
        <v>0.80952380952380953</v>
      </c>
      <c r="AO54" s="878">
        <f t="shared" si="591"/>
        <v>0.80952380952380953</v>
      </c>
      <c r="AP54" s="878">
        <f t="shared" si="591"/>
        <v>0.80952380952380953</v>
      </c>
      <c r="AQ54" s="878">
        <f t="shared" si="591"/>
        <v>0.80952380952380953</v>
      </c>
      <c r="AR54" s="878">
        <f t="shared" si="591"/>
        <v>0.80952380952380953</v>
      </c>
      <c r="AS54" s="878">
        <f t="shared" si="591"/>
        <v>0.80952380952380953</v>
      </c>
      <c r="AT54" s="878">
        <f t="shared" si="591"/>
        <v>0.80952380952380953</v>
      </c>
      <c r="AU54" s="878">
        <f t="shared" si="591"/>
        <v>0.80952380952380953</v>
      </c>
      <c r="AV54" s="878">
        <f t="shared" si="591"/>
        <v>0.80952380952380953</v>
      </c>
      <c r="AW54" s="878">
        <f t="shared" si="591"/>
        <v>0.80952380952380953</v>
      </c>
      <c r="AX54" s="878">
        <f t="shared" si="591"/>
        <v>0.80952380952380953</v>
      </c>
      <c r="AY54" s="878">
        <f t="shared" si="591"/>
        <v>0.80952380952380953</v>
      </c>
      <c r="AZ54" s="878">
        <f t="shared" si="591"/>
        <v>0.80952380952380953</v>
      </c>
      <c r="BA54" s="878">
        <f t="shared" si="591"/>
        <v>0.80952380952380953</v>
      </c>
      <c r="BB54" s="878">
        <f t="shared" si="591"/>
        <v>0.80952380952380953</v>
      </c>
      <c r="BC54" s="878">
        <f t="shared" si="591"/>
        <v>0.80952380952380953</v>
      </c>
      <c r="BD54" s="878">
        <f t="shared" si="591"/>
        <v>0.80952380952380953</v>
      </c>
      <c r="BE54" s="878">
        <f t="shared" si="591"/>
        <v>0.80952380952380953</v>
      </c>
      <c r="BF54" s="878">
        <f t="shared" si="591"/>
        <v>0.80952380952380953</v>
      </c>
      <c r="BG54" s="878">
        <f t="shared" si="591"/>
        <v>0.80952380952380953</v>
      </c>
      <c r="BH54" s="878">
        <f t="shared" si="591"/>
        <v>0.80952380952380953</v>
      </c>
      <c r="BI54" s="878">
        <f t="shared" si="591"/>
        <v>0.80952380952380953</v>
      </c>
      <c r="BJ54" s="878">
        <f t="shared" si="591"/>
        <v>0.80952380952380953</v>
      </c>
      <c r="BK54" s="878">
        <f t="shared" si="591"/>
        <v>0.80952380952380953</v>
      </c>
      <c r="BL54" s="878">
        <f t="shared" si="591"/>
        <v>0.80952380952380953</v>
      </c>
      <c r="BM54" s="878">
        <f t="shared" si="591"/>
        <v>0.80952380952380953</v>
      </c>
      <c r="BN54" s="878">
        <f t="shared" si="591"/>
        <v>0.80952380952380953</v>
      </c>
      <c r="BO54" s="878">
        <f t="shared" si="591"/>
        <v>0.80952380952380953</v>
      </c>
    </row>
    <row r="55" spans="1:67" s="18" customFormat="1">
      <c r="A55" s="866"/>
      <c r="B55" s="76"/>
      <c r="C55" s="76" t="s">
        <v>2265</v>
      </c>
      <c r="D55" s="875"/>
      <c r="E55" s="882"/>
      <c r="F55" s="884"/>
      <c r="G55" s="878">
        <f>SUM(G46:G54)</f>
        <v>36.4</v>
      </c>
      <c r="H55" s="878">
        <f t="shared" ref="H55:AK55" si="592">SUM(H46:H54)</f>
        <v>10.950000000000001</v>
      </c>
      <c r="I55" s="878">
        <f t="shared" si="592"/>
        <v>2.2000000000000002</v>
      </c>
      <c r="J55" s="878">
        <f t="shared" si="592"/>
        <v>2.2000000000000002</v>
      </c>
      <c r="K55" s="878">
        <f t="shared" si="592"/>
        <v>13.450000000000001</v>
      </c>
      <c r="L55" s="878">
        <f t="shared" si="592"/>
        <v>2.2000000000000002</v>
      </c>
      <c r="M55" s="878">
        <f t="shared" si="592"/>
        <v>5.1945205479452055</v>
      </c>
      <c r="N55" s="878">
        <f t="shared" si="592"/>
        <v>20.650000000000002</v>
      </c>
      <c r="O55" s="878">
        <f t="shared" si="592"/>
        <v>4.4000000000000004</v>
      </c>
      <c r="P55" s="878">
        <f t="shared" si="592"/>
        <v>4.4000000000000004</v>
      </c>
      <c r="Q55" s="878">
        <f t="shared" si="592"/>
        <v>20.650000000000002</v>
      </c>
      <c r="R55" s="878">
        <f t="shared" si="592"/>
        <v>4.4000000000000004</v>
      </c>
      <c r="S55" s="878">
        <f t="shared" si="592"/>
        <v>10.862361382909329</v>
      </c>
      <c r="T55" s="878">
        <f t="shared" si="592"/>
        <v>42.630952380952372</v>
      </c>
      <c r="U55" s="878">
        <f t="shared" si="592"/>
        <v>7.8095238095238093</v>
      </c>
      <c r="V55" s="878">
        <f t="shared" si="592"/>
        <v>7.8095238095238093</v>
      </c>
      <c r="W55" s="878">
        <f t="shared" si="592"/>
        <v>42.630952380952372</v>
      </c>
      <c r="X55" s="878">
        <f t="shared" si="592"/>
        <v>7.8095238095238093</v>
      </c>
      <c r="Y55" s="878">
        <f t="shared" si="592"/>
        <v>10.804044357469015</v>
      </c>
      <c r="Z55" s="878">
        <f t="shared" si="592"/>
        <v>49.830952380952382</v>
      </c>
      <c r="AA55" s="878">
        <f t="shared" si="592"/>
        <v>10.009523809523809</v>
      </c>
      <c r="AB55" s="878">
        <f t="shared" si="592"/>
        <v>11.337377690802349</v>
      </c>
      <c r="AC55" s="878">
        <f t="shared" si="592"/>
        <v>55.364285714285721</v>
      </c>
      <c r="AD55" s="878">
        <f t="shared" si="592"/>
        <v>10.542857142857143</v>
      </c>
      <c r="AE55" s="878">
        <f t="shared" si="592"/>
        <v>11.898108284409656</v>
      </c>
      <c r="AF55" s="878">
        <f t="shared" si="592"/>
        <v>60.897619047619052</v>
      </c>
      <c r="AG55" s="878">
        <f t="shared" si="592"/>
        <v>11.076190476190476</v>
      </c>
      <c r="AH55" s="878">
        <f t="shared" si="592"/>
        <v>11.076190476190476</v>
      </c>
      <c r="AI55" s="878">
        <f t="shared" si="592"/>
        <v>60.897619047619052</v>
      </c>
      <c r="AJ55" s="878">
        <f t="shared" si="592"/>
        <v>11.076190476190476</v>
      </c>
      <c r="AK55" s="878">
        <f t="shared" si="592"/>
        <v>13.253359425962167</v>
      </c>
      <c r="AL55" s="878">
        <f t="shared" ref="AL55:BO55" si="593">SUM(AL46:AL54)</f>
        <v>66.430952380952377</v>
      </c>
      <c r="AM55" s="878">
        <f t="shared" si="593"/>
        <v>11.609523809523811</v>
      </c>
      <c r="AN55" s="878">
        <f t="shared" si="593"/>
        <v>11.609523809523811</v>
      </c>
      <c r="AO55" s="878">
        <f t="shared" si="593"/>
        <v>66.430952380952377</v>
      </c>
      <c r="AP55" s="878">
        <f t="shared" si="593"/>
        <v>11.609523809523811</v>
      </c>
      <c r="AQ55" s="878">
        <f t="shared" si="593"/>
        <v>11.847619047619048</v>
      </c>
      <c r="AR55" s="878">
        <f t="shared" si="593"/>
        <v>66.669047619047618</v>
      </c>
      <c r="AS55" s="878">
        <f t="shared" si="593"/>
        <v>11.847619047619048</v>
      </c>
      <c r="AT55" s="878">
        <f t="shared" si="593"/>
        <v>11.847619047619048</v>
      </c>
      <c r="AU55" s="878">
        <f t="shared" si="593"/>
        <v>66.669047619047618</v>
      </c>
      <c r="AV55" s="878">
        <f t="shared" si="593"/>
        <v>11.847619047619048</v>
      </c>
      <c r="AW55" s="878">
        <f t="shared" si="593"/>
        <v>11.847619047619048</v>
      </c>
      <c r="AX55" s="878">
        <f t="shared" si="593"/>
        <v>66.669047619047618</v>
      </c>
      <c r="AY55" s="878">
        <f t="shared" si="593"/>
        <v>11.847619047619048</v>
      </c>
      <c r="AZ55" s="878">
        <f t="shared" si="593"/>
        <v>11.847619047619048</v>
      </c>
      <c r="BA55" s="878">
        <f t="shared" si="593"/>
        <v>66.669047619047618</v>
      </c>
      <c r="BB55" s="878">
        <f t="shared" si="593"/>
        <v>11.847619047619048</v>
      </c>
      <c r="BC55" s="878">
        <f t="shared" si="593"/>
        <v>11.847619047619048</v>
      </c>
      <c r="BD55" s="878">
        <f t="shared" si="593"/>
        <v>66.669047619047618</v>
      </c>
      <c r="BE55" s="878">
        <f t="shared" si="593"/>
        <v>11.847619047619048</v>
      </c>
      <c r="BF55" s="878">
        <f t="shared" si="593"/>
        <v>11.847619047619048</v>
      </c>
      <c r="BG55" s="878">
        <f t="shared" si="593"/>
        <v>66.669047619047618</v>
      </c>
      <c r="BH55" s="878">
        <f t="shared" si="593"/>
        <v>11.847619047619048</v>
      </c>
      <c r="BI55" s="878">
        <f t="shared" si="593"/>
        <v>11.847619047619048</v>
      </c>
      <c r="BJ55" s="878">
        <f t="shared" si="593"/>
        <v>66.669047619047618</v>
      </c>
      <c r="BK55" s="878">
        <f t="shared" si="593"/>
        <v>11.847619047619048</v>
      </c>
      <c r="BL55" s="878">
        <f t="shared" si="593"/>
        <v>11.847619047619048</v>
      </c>
      <c r="BM55" s="878">
        <f t="shared" si="593"/>
        <v>66.669047619047618</v>
      </c>
      <c r="BN55" s="878">
        <f t="shared" si="593"/>
        <v>11.847619047619048</v>
      </c>
      <c r="BO55" s="878">
        <f t="shared" si="593"/>
        <v>11.847619047619048</v>
      </c>
    </row>
    <row r="56" spans="1:67" s="18" customFormat="1">
      <c r="A56" s="866"/>
      <c r="B56" s="76"/>
      <c r="C56" s="76" t="s">
        <v>2266</v>
      </c>
      <c r="D56" s="875"/>
      <c r="E56" s="882"/>
      <c r="F56" s="884"/>
      <c r="G56" s="878">
        <f>SUM(G45,G55)</f>
        <v>327.90684931506848</v>
      </c>
      <c r="H56" s="878">
        <f t="shared" ref="H56:AK56" si="594">SUM(H45,H55)</f>
        <v>102.22085616438358</v>
      </c>
      <c r="I56" s="878">
        <f t="shared" si="594"/>
        <v>2.2000000000000002</v>
      </c>
      <c r="J56" s="878">
        <f t="shared" si="594"/>
        <v>2.2000000000000002</v>
      </c>
      <c r="K56" s="878">
        <f t="shared" si="594"/>
        <v>105.90750000000001</v>
      </c>
      <c r="L56" s="878">
        <f t="shared" si="594"/>
        <v>2.2000000000000002</v>
      </c>
      <c r="M56" s="878">
        <f t="shared" si="594"/>
        <v>33.0027397260274</v>
      </c>
      <c r="N56" s="878">
        <f t="shared" si="594"/>
        <v>200.60750000000004</v>
      </c>
      <c r="O56" s="878">
        <f t="shared" si="594"/>
        <v>4.4000000000000004</v>
      </c>
      <c r="P56" s="878">
        <f t="shared" si="594"/>
        <v>4.4000000000000004</v>
      </c>
      <c r="Q56" s="878">
        <f t="shared" si="594"/>
        <v>200.60750000000004</v>
      </c>
      <c r="R56" s="878">
        <f t="shared" si="594"/>
        <v>4.4000000000000004</v>
      </c>
      <c r="S56" s="878">
        <f t="shared" si="594"/>
        <v>125.93085453359429</v>
      </c>
      <c r="T56" s="878">
        <f t="shared" si="594"/>
        <v>572.58845238095239</v>
      </c>
      <c r="U56" s="878">
        <f t="shared" si="594"/>
        <v>7.8095238095238093</v>
      </c>
      <c r="V56" s="878">
        <f t="shared" si="594"/>
        <v>7.8095238095238093</v>
      </c>
      <c r="W56" s="878">
        <f t="shared" si="594"/>
        <v>572.58845238095239</v>
      </c>
      <c r="X56" s="878">
        <f t="shared" si="594"/>
        <v>7.8095238095238093</v>
      </c>
      <c r="Y56" s="878">
        <f t="shared" si="594"/>
        <v>38.612263535551214</v>
      </c>
      <c r="Z56" s="878">
        <f t="shared" si="594"/>
        <v>667.28845238095232</v>
      </c>
      <c r="AA56" s="878">
        <f t="shared" si="594"/>
        <v>10.009523809523809</v>
      </c>
      <c r="AB56" s="878">
        <f t="shared" si="594"/>
        <v>39.145596868884546</v>
      </c>
      <c r="AC56" s="878">
        <f t="shared" si="594"/>
        <v>760.32178571428585</v>
      </c>
      <c r="AD56" s="878">
        <f t="shared" si="594"/>
        <v>10.542857142857143</v>
      </c>
      <c r="AE56" s="878">
        <f t="shared" si="594"/>
        <v>40.665231572080899</v>
      </c>
      <c r="AF56" s="878">
        <f t="shared" si="594"/>
        <v>853.35511904761916</v>
      </c>
      <c r="AG56" s="878">
        <f t="shared" si="594"/>
        <v>11.076190476190476</v>
      </c>
      <c r="AH56" s="878">
        <f t="shared" si="594"/>
        <v>11.076190476190476</v>
      </c>
      <c r="AI56" s="878">
        <f t="shared" si="594"/>
        <v>853.35511904761916</v>
      </c>
      <c r="AJ56" s="878">
        <f t="shared" si="594"/>
        <v>11.076190476190476</v>
      </c>
      <c r="AK56" s="878">
        <f t="shared" si="594"/>
        <v>70.787606001304653</v>
      </c>
      <c r="AL56" s="878">
        <f t="shared" ref="AL56:BO56" si="595">SUM(AL45,AL55)</f>
        <v>946.38845238095246</v>
      </c>
      <c r="AM56" s="878">
        <f t="shared" si="595"/>
        <v>11.609523809523811</v>
      </c>
      <c r="AN56" s="878">
        <f t="shared" si="595"/>
        <v>11.609523809523811</v>
      </c>
      <c r="AO56" s="878">
        <f t="shared" si="595"/>
        <v>946.38845238095246</v>
      </c>
      <c r="AP56" s="878">
        <f t="shared" si="595"/>
        <v>11.609523809523811</v>
      </c>
      <c r="AQ56" s="878">
        <f t="shared" si="595"/>
        <v>11.847619047619048</v>
      </c>
      <c r="AR56" s="878">
        <f t="shared" si="595"/>
        <v>946.62654761904776</v>
      </c>
      <c r="AS56" s="878">
        <f t="shared" si="595"/>
        <v>11.847619047619048</v>
      </c>
      <c r="AT56" s="878">
        <f t="shared" si="595"/>
        <v>11.847619047619048</v>
      </c>
      <c r="AU56" s="878">
        <f t="shared" si="595"/>
        <v>946.62654761904776</v>
      </c>
      <c r="AV56" s="878">
        <f t="shared" si="595"/>
        <v>11.847619047619048</v>
      </c>
      <c r="AW56" s="878">
        <f t="shared" si="595"/>
        <v>11.847619047619048</v>
      </c>
      <c r="AX56" s="878">
        <f t="shared" si="595"/>
        <v>946.62654761904776</v>
      </c>
      <c r="AY56" s="878">
        <f t="shared" si="595"/>
        <v>11.847619047619048</v>
      </c>
      <c r="AZ56" s="878">
        <f t="shared" si="595"/>
        <v>11.847619047619048</v>
      </c>
      <c r="BA56" s="878">
        <f t="shared" si="595"/>
        <v>946.62654761904776</v>
      </c>
      <c r="BB56" s="878">
        <f t="shared" si="595"/>
        <v>11.847619047619048</v>
      </c>
      <c r="BC56" s="878">
        <f t="shared" si="595"/>
        <v>11.847619047619048</v>
      </c>
      <c r="BD56" s="878">
        <f t="shared" si="595"/>
        <v>946.62654761904776</v>
      </c>
      <c r="BE56" s="878">
        <f t="shared" si="595"/>
        <v>11.847619047619048</v>
      </c>
      <c r="BF56" s="878">
        <f t="shared" si="595"/>
        <v>11.847619047619048</v>
      </c>
      <c r="BG56" s="878">
        <f t="shared" si="595"/>
        <v>946.62654761904776</v>
      </c>
      <c r="BH56" s="878">
        <f t="shared" si="595"/>
        <v>11.847619047619048</v>
      </c>
      <c r="BI56" s="878">
        <f t="shared" si="595"/>
        <v>11.847619047619048</v>
      </c>
      <c r="BJ56" s="878">
        <f t="shared" si="595"/>
        <v>946.62654761904776</v>
      </c>
      <c r="BK56" s="878">
        <f t="shared" si="595"/>
        <v>11.847619047619048</v>
      </c>
      <c r="BL56" s="878">
        <f t="shared" si="595"/>
        <v>11.847619047619048</v>
      </c>
      <c r="BM56" s="878">
        <f t="shared" si="595"/>
        <v>946.62654761904776</v>
      </c>
      <c r="BN56" s="878">
        <f t="shared" si="595"/>
        <v>11.847619047619048</v>
      </c>
      <c r="BO56" s="878">
        <f t="shared" si="595"/>
        <v>11.847619047619048</v>
      </c>
    </row>
    <row r="58" spans="1:67" s="18" customFormat="1">
      <c r="A58" s="866">
        <v>32</v>
      </c>
      <c r="B58" s="76"/>
      <c r="C58" s="76" t="s">
        <v>2084</v>
      </c>
      <c r="D58" s="875" t="s">
        <v>2255</v>
      </c>
      <c r="E58" s="882">
        <v>0.06</v>
      </c>
      <c r="F58" s="883">
        <v>0.04</v>
      </c>
      <c r="G58" s="878">
        <f t="shared" ref="G58:M58" si="596">G45/(1+$E58)</f>
        <v>275.00646161798915</v>
      </c>
      <c r="H58" s="878">
        <f t="shared" si="596"/>
        <v>86.104581287154303</v>
      </c>
      <c r="I58" s="878">
        <f t="shared" si="596"/>
        <v>0</v>
      </c>
      <c r="J58" s="878">
        <f t="shared" si="596"/>
        <v>0</v>
      </c>
      <c r="K58" s="878">
        <f t="shared" si="596"/>
        <v>87.22405660377359</v>
      </c>
      <c r="L58" s="878">
        <f t="shared" si="596"/>
        <v>0</v>
      </c>
      <c r="M58" s="878">
        <f t="shared" si="596"/>
        <v>26.234169035926598</v>
      </c>
      <c r="N58" s="878">
        <f t="shared" ref="N58:AK58" si="597">N45/(1+$E58)</f>
        <v>169.77122641509436</v>
      </c>
      <c r="O58" s="878">
        <f t="shared" si="597"/>
        <v>0</v>
      </c>
      <c r="P58" s="878">
        <f t="shared" si="597"/>
        <v>0</v>
      </c>
      <c r="Q58" s="878">
        <f t="shared" si="597"/>
        <v>169.77122641509436</v>
      </c>
      <c r="R58" s="878">
        <f t="shared" si="597"/>
        <v>0</v>
      </c>
      <c r="S58" s="878">
        <f t="shared" si="597"/>
        <v>108.55518221762732</v>
      </c>
      <c r="T58" s="878">
        <f t="shared" si="597"/>
        <v>499.95990566037733</v>
      </c>
      <c r="U58" s="878">
        <f t="shared" si="597"/>
        <v>0</v>
      </c>
      <c r="V58" s="878">
        <f t="shared" si="597"/>
        <v>0</v>
      </c>
      <c r="W58" s="878">
        <f t="shared" si="597"/>
        <v>499.95990566037733</v>
      </c>
      <c r="X58" s="878">
        <f t="shared" si="597"/>
        <v>0</v>
      </c>
      <c r="Y58" s="878">
        <f t="shared" si="597"/>
        <v>26.234169035926598</v>
      </c>
      <c r="Z58" s="878">
        <f t="shared" si="597"/>
        <v>582.50707547169804</v>
      </c>
      <c r="AA58" s="878">
        <f t="shared" si="597"/>
        <v>0</v>
      </c>
      <c r="AB58" s="878">
        <f t="shared" si="597"/>
        <v>26.234169035926598</v>
      </c>
      <c r="AC58" s="878">
        <f t="shared" si="597"/>
        <v>665.05424528301887</v>
      </c>
      <c r="AD58" s="878">
        <f t="shared" si="597"/>
        <v>0</v>
      </c>
      <c r="AE58" s="878">
        <f t="shared" si="597"/>
        <v>27.13879555440683</v>
      </c>
      <c r="AF58" s="878">
        <f>AF45/(1+$E58)</f>
        <v>747.6014150943397</v>
      </c>
      <c r="AG58" s="878">
        <f t="shared" si="597"/>
        <v>0</v>
      </c>
      <c r="AH58" s="878">
        <f t="shared" si="597"/>
        <v>0</v>
      </c>
      <c r="AI58" s="878">
        <f t="shared" si="597"/>
        <v>747.6014150943397</v>
      </c>
      <c r="AJ58" s="878">
        <f t="shared" si="597"/>
        <v>0</v>
      </c>
      <c r="AK58" s="878">
        <f t="shared" si="597"/>
        <v>54.27759110881366</v>
      </c>
      <c r="AL58" s="878">
        <f t="shared" ref="AL58:BO58" si="598">AL45/(1+$E58)</f>
        <v>830.14858490566041</v>
      </c>
      <c r="AM58" s="878">
        <f t="shared" si="598"/>
        <v>0</v>
      </c>
      <c r="AN58" s="878">
        <f t="shared" si="598"/>
        <v>0</v>
      </c>
      <c r="AO58" s="878">
        <f t="shared" si="598"/>
        <v>830.14858490566041</v>
      </c>
      <c r="AP58" s="878">
        <f t="shared" si="598"/>
        <v>0</v>
      </c>
      <c r="AQ58" s="878">
        <f t="shared" si="598"/>
        <v>0</v>
      </c>
      <c r="AR58" s="878">
        <f t="shared" si="598"/>
        <v>830.14858490566041</v>
      </c>
      <c r="AS58" s="878">
        <f t="shared" si="598"/>
        <v>0</v>
      </c>
      <c r="AT58" s="878">
        <f t="shared" si="598"/>
        <v>0</v>
      </c>
      <c r="AU58" s="878">
        <f t="shared" si="598"/>
        <v>830.14858490566041</v>
      </c>
      <c r="AV58" s="878">
        <f t="shared" si="598"/>
        <v>0</v>
      </c>
      <c r="AW58" s="878">
        <f t="shared" si="598"/>
        <v>0</v>
      </c>
      <c r="AX58" s="878">
        <f t="shared" si="598"/>
        <v>830.14858490566041</v>
      </c>
      <c r="AY58" s="878">
        <f t="shared" si="598"/>
        <v>0</v>
      </c>
      <c r="AZ58" s="878">
        <f t="shared" si="598"/>
        <v>0</v>
      </c>
      <c r="BA58" s="878">
        <f t="shared" si="598"/>
        <v>830.14858490566041</v>
      </c>
      <c r="BB58" s="878">
        <f t="shared" si="598"/>
        <v>0</v>
      </c>
      <c r="BC58" s="878">
        <f t="shared" si="598"/>
        <v>0</v>
      </c>
      <c r="BD58" s="878">
        <f t="shared" si="598"/>
        <v>830.14858490566041</v>
      </c>
      <c r="BE58" s="878">
        <f t="shared" si="598"/>
        <v>0</v>
      </c>
      <c r="BF58" s="878">
        <f t="shared" si="598"/>
        <v>0</v>
      </c>
      <c r="BG58" s="878">
        <f t="shared" si="598"/>
        <v>830.14858490566041</v>
      </c>
      <c r="BH58" s="878">
        <f t="shared" si="598"/>
        <v>0</v>
      </c>
      <c r="BI58" s="878">
        <f t="shared" si="598"/>
        <v>0</v>
      </c>
      <c r="BJ58" s="878">
        <f t="shared" si="598"/>
        <v>830.14858490566041</v>
      </c>
      <c r="BK58" s="878">
        <f t="shared" si="598"/>
        <v>0</v>
      </c>
      <c r="BL58" s="878">
        <f t="shared" si="598"/>
        <v>0</v>
      </c>
      <c r="BM58" s="878">
        <f t="shared" si="598"/>
        <v>830.14858490566041</v>
      </c>
      <c r="BN58" s="878">
        <f t="shared" si="598"/>
        <v>0</v>
      </c>
      <c r="BO58" s="878">
        <f t="shared" si="598"/>
        <v>0</v>
      </c>
    </row>
    <row r="59" spans="1:67" s="18" customFormat="1">
      <c r="A59" s="866">
        <v>32</v>
      </c>
      <c r="B59" s="76"/>
      <c r="C59" s="76" t="s">
        <v>2256</v>
      </c>
      <c r="D59" s="76"/>
      <c r="E59" s="76"/>
      <c r="F59" s="884"/>
      <c r="G59" s="878"/>
      <c r="H59" s="878"/>
      <c r="I59" s="878"/>
      <c r="J59" s="878"/>
      <c r="K59" s="878"/>
      <c r="L59" s="878"/>
      <c r="M59" s="878"/>
      <c r="N59" s="878"/>
      <c r="O59" s="878"/>
      <c r="P59" s="878"/>
      <c r="Q59" s="878"/>
      <c r="R59" s="878"/>
      <c r="S59" s="878"/>
      <c r="T59" s="878"/>
      <c r="U59" s="878"/>
      <c r="V59" s="878"/>
      <c r="W59" s="878"/>
      <c r="X59" s="878"/>
      <c r="Y59" s="878"/>
      <c r="Z59" s="878"/>
      <c r="AA59" s="878"/>
      <c r="AB59" s="878"/>
      <c r="AC59" s="878"/>
      <c r="AD59" s="878"/>
      <c r="AE59" s="878"/>
      <c r="AF59" s="878"/>
      <c r="AG59" s="878"/>
      <c r="AH59" s="878"/>
      <c r="AI59" s="878"/>
      <c r="AJ59" s="878"/>
      <c r="AK59" s="878"/>
      <c r="AL59" s="878"/>
      <c r="AM59" s="878"/>
      <c r="AN59" s="878"/>
      <c r="AO59" s="878"/>
      <c r="AP59" s="878"/>
      <c r="AQ59" s="878"/>
      <c r="AR59" s="878"/>
      <c r="AS59" s="878"/>
      <c r="AT59" s="878"/>
      <c r="AU59" s="878"/>
      <c r="AV59" s="878"/>
      <c r="AW59" s="878"/>
      <c r="AX59" s="878"/>
      <c r="AY59" s="878"/>
      <c r="AZ59" s="878"/>
      <c r="BA59" s="878"/>
      <c r="BB59" s="878"/>
      <c r="BC59" s="878"/>
      <c r="BD59" s="878"/>
      <c r="BE59" s="878"/>
      <c r="BF59" s="878"/>
      <c r="BG59" s="878"/>
      <c r="BH59" s="878"/>
      <c r="BI59" s="878"/>
      <c r="BJ59" s="878"/>
      <c r="BK59" s="878"/>
      <c r="BL59" s="878"/>
      <c r="BM59" s="878"/>
      <c r="BN59" s="878"/>
      <c r="BO59" s="878"/>
    </row>
    <row r="60" spans="1:67" s="18" customFormat="1">
      <c r="A60" s="866">
        <v>32</v>
      </c>
      <c r="B60" s="76"/>
      <c r="C60" s="885" t="s">
        <v>2267</v>
      </c>
      <c r="D60" s="875" t="s">
        <v>2251</v>
      </c>
      <c r="E60" s="882">
        <v>0.06</v>
      </c>
      <c r="F60" s="884">
        <v>10</v>
      </c>
      <c r="G60" s="878">
        <f>G47/(1+$E60)</f>
        <v>9.4339622641509422</v>
      </c>
      <c r="H60" s="878">
        <f t="shared" ref="H60:AK60" si="599">H47/(1+$E60)</f>
        <v>0</v>
      </c>
      <c r="I60" s="878">
        <f t="shared" si="599"/>
        <v>0</v>
      </c>
      <c r="J60" s="878">
        <f t="shared" si="599"/>
        <v>0</v>
      </c>
      <c r="K60" s="878">
        <f t="shared" si="599"/>
        <v>2.3584905660377355</v>
      </c>
      <c r="L60" s="878">
        <f t="shared" si="599"/>
        <v>0</v>
      </c>
      <c r="M60" s="878">
        <f t="shared" si="599"/>
        <v>0.74954768674075978</v>
      </c>
      <c r="N60" s="878">
        <f t="shared" si="599"/>
        <v>4.7169811320754711</v>
      </c>
      <c r="O60" s="878">
        <f t="shared" si="599"/>
        <v>0</v>
      </c>
      <c r="P60" s="878">
        <f t="shared" si="599"/>
        <v>0</v>
      </c>
      <c r="Q60" s="878">
        <f t="shared" si="599"/>
        <v>4.7169811320754711</v>
      </c>
      <c r="R60" s="878">
        <f t="shared" si="599"/>
        <v>0</v>
      </c>
      <c r="S60" s="878">
        <f t="shared" si="599"/>
        <v>2.8800354465901119</v>
      </c>
      <c r="T60" s="878">
        <f t="shared" si="599"/>
        <v>13.477088948787062</v>
      </c>
      <c r="U60" s="878">
        <f t="shared" si="599"/>
        <v>0</v>
      </c>
      <c r="V60" s="878">
        <f t="shared" si="599"/>
        <v>0</v>
      </c>
      <c r="W60" s="878">
        <f t="shared" si="599"/>
        <v>13.477088948787062</v>
      </c>
      <c r="X60" s="878">
        <f t="shared" si="599"/>
        <v>0</v>
      </c>
      <c r="Y60" s="878">
        <f t="shared" si="599"/>
        <v>0.74954768674075978</v>
      </c>
      <c r="Z60" s="878">
        <f t="shared" si="599"/>
        <v>15.835579514824795</v>
      </c>
      <c r="AA60" s="878">
        <f t="shared" si="599"/>
        <v>0</v>
      </c>
      <c r="AB60" s="878">
        <f t="shared" si="599"/>
        <v>0.74954768674075978</v>
      </c>
      <c r="AC60" s="878">
        <f t="shared" si="599"/>
        <v>18.194070080862531</v>
      </c>
      <c r="AD60" s="878">
        <f t="shared" si="599"/>
        <v>0</v>
      </c>
      <c r="AE60" s="878">
        <f t="shared" si="599"/>
        <v>0.77539415869733841</v>
      </c>
      <c r="AF60" s="878">
        <f t="shared" si="599"/>
        <v>20.552560646900272</v>
      </c>
      <c r="AG60" s="878">
        <f t="shared" si="599"/>
        <v>0</v>
      </c>
      <c r="AH60" s="878">
        <f t="shared" si="599"/>
        <v>0</v>
      </c>
      <c r="AI60" s="878">
        <f t="shared" si="599"/>
        <v>20.552560646900272</v>
      </c>
      <c r="AJ60" s="878">
        <f t="shared" si="599"/>
        <v>0</v>
      </c>
      <c r="AK60" s="878">
        <f t="shared" si="599"/>
        <v>1.5507883173946755</v>
      </c>
      <c r="AL60" s="878">
        <f t="shared" ref="AL60:BO60" si="600">AL47/(1+$E60)</f>
        <v>22.911051212938006</v>
      </c>
      <c r="AM60" s="878">
        <f t="shared" si="600"/>
        <v>0</v>
      </c>
      <c r="AN60" s="878">
        <f t="shared" si="600"/>
        <v>0</v>
      </c>
      <c r="AO60" s="878">
        <f t="shared" si="600"/>
        <v>22.911051212938006</v>
      </c>
      <c r="AP60" s="878">
        <f t="shared" si="600"/>
        <v>0</v>
      </c>
      <c r="AQ60" s="878">
        <f t="shared" si="600"/>
        <v>0</v>
      </c>
      <c r="AR60" s="878">
        <f t="shared" si="600"/>
        <v>22.911051212938006</v>
      </c>
      <c r="AS60" s="878">
        <f t="shared" si="600"/>
        <v>0</v>
      </c>
      <c r="AT60" s="878">
        <f t="shared" si="600"/>
        <v>0</v>
      </c>
      <c r="AU60" s="878">
        <f t="shared" si="600"/>
        <v>22.911051212938006</v>
      </c>
      <c r="AV60" s="878">
        <f t="shared" si="600"/>
        <v>0</v>
      </c>
      <c r="AW60" s="878">
        <f t="shared" si="600"/>
        <v>0</v>
      </c>
      <c r="AX60" s="878">
        <f t="shared" si="600"/>
        <v>22.911051212938006</v>
      </c>
      <c r="AY60" s="878">
        <f t="shared" si="600"/>
        <v>0</v>
      </c>
      <c r="AZ60" s="878">
        <f t="shared" si="600"/>
        <v>0</v>
      </c>
      <c r="BA60" s="878">
        <f t="shared" si="600"/>
        <v>22.911051212938006</v>
      </c>
      <c r="BB60" s="878">
        <f t="shared" si="600"/>
        <v>0</v>
      </c>
      <c r="BC60" s="878">
        <f t="shared" si="600"/>
        <v>0</v>
      </c>
      <c r="BD60" s="878">
        <f t="shared" si="600"/>
        <v>22.911051212938006</v>
      </c>
      <c r="BE60" s="878">
        <f t="shared" si="600"/>
        <v>0</v>
      </c>
      <c r="BF60" s="878">
        <f t="shared" si="600"/>
        <v>0</v>
      </c>
      <c r="BG60" s="878">
        <f t="shared" si="600"/>
        <v>22.911051212938006</v>
      </c>
      <c r="BH60" s="878">
        <f t="shared" si="600"/>
        <v>0</v>
      </c>
      <c r="BI60" s="878">
        <f t="shared" si="600"/>
        <v>0</v>
      </c>
      <c r="BJ60" s="878">
        <f t="shared" si="600"/>
        <v>22.911051212938006</v>
      </c>
      <c r="BK60" s="878">
        <f t="shared" si="600"/>
        <v>0</v>
      </c>
      <c r="BL60" s="878">
        <f t="shared" si="600"/>
        <v>0</v>
      </c>
      <c r="BM60" s="878">
        <f t="shared" si="600"/>
        <v>22.911051212938006</v>
      </c>
      <c r="BN60" s="878">
        <f t="shared" si="600"/>
        <v>0</v>
      </c>
      <c r="BO60" s="878">
        <f t="shared" si="600"/>
        <v>0</v>
      </c>
    </row>
    <row r="61" spans="1:67" s="18" customFormat="1">
      <c r="A61" s="866"/>
      <c r="B61" s="76"/>
      <c r="C61" s="885" t="s">
        <v>2268</v>
      </c>
      <c r="D61" s="875" t="s">
        <v>2251</v>
      </c>
      <c r="E61" s="882">
        <v>0.06</v>
      </c>
      <c r="F61" s="884">
        <v>25</v>
      </c>
      <c r="G61" s="878">
        <f t="shared" ref="G61:AK61" si="601">G48/(1+$E61)</f>
        <v>0</v>
      </c>
      <c r="H61" s="878">
        <f t="shared" si="601"/>
        <v>5.8962264150943398</v>
      </c>
      <c r="I61" s="878">
        <f t="shared" si="601"/>
        <v>0</v>
      </c>
      <c r="J61" s="878">
        <f t="shared" si="601"/>
        <v>0</v>
      </c>
      <c r="K61" s="878">
        <f t="shared" si="601"/>
        <v>5.8962264150943398</v>
      </c>
      <c r="L61" s="878">
        <f t="shared" si="601"/>
        <v>0</v>
      </c>
      <c r="M61" s="878">
        <f t="shared" si="601"/>
        <v>0</v>
      </c>
      <c r="N61" s="878">
        <f t="shared" si="601"/>
        <v>5.8962264150943398</v>
      </c>
      <c r="O61" s="878">
        <f t="shared" si="601"/>
        <v>0</v>
      </c>
      <c r="P61" s="878">
        <f t="shared" si="601"/>
        <v>0</v>
      </c>
      <c r="Q61" s="878">
        <f t="shared" si="601"/>
        <v>5.8962264150943398</v>
      </c>
      <c r="R61" s="878">
        <f t="shared" si="601"/>
        <v>0</v>
      </c>
      <c r="S61" s="878">
        <f t="shared" si="601"/>
        <v>0</v>
      </c>
      <c r="T61" s="878">
        <f t="shared" si="601"/>
        <v>5.8962264150943398</v>
      </c>
      <c r="U61" s="878">
        <f t="shared" si="601"/>
        <v>0</v>
      </c>
      <c r="V61" s="878">
        <f t="shared" si="601"/>
        <v>0</v>
      </c>
      <c r="W61" s="878">
        <f t="shared" si="601"/>
        <v>5.8962264150943398</v>
      </c>
      <c r="X61" s="878">
        <f t="shared" si="601"/>
        <v>0</v>
      </c>
      <c r="Y61" s="878">
        <f t="shared" si="601"/>
        <v>0</v>
      </c>
      <c r="Z61" s="878">
        <f t="shared" si="601"/>
        <v>5.8962264150943398</v>
      </c>
      <c r="AA61" s="878">
        <f t="shared" si="601"/>
        <v>0</v>
      </c>
      <c r="AB61" s="878">
        <f t="shared" si="601"/>
        <v>0</v>
      </c>
      <c r="AC61" s="878">
        <f t="shared" si="601"/>
        <v>5.8962264150943398</v>
      </c>
      <c r="AD61" s="878">
        <f t="shared" si="601"/>
        <v>0</v>
      </c>
      <c r="AE61" s="878">
        <f t="shared" si="601"/>
        <v>0</v>
      </c>
      <c r="AF61" s="878">
        <f t="shared" si="601"/>
        <v>5.8962264150943398</v>
      </c>
      <c r="AG61" s="878">
        <f t="shared" si="601"/>
        <v>0</v>
      </c>
      <c r="AH61" s="878">
        <f t="shared" si="601"/>
        <v>0</v>
      </c>
      <c r="AI61" s="878">
        <f t="shared" si="601"/>
        <v>5.8962264150943398</v>
      </c>
      <c r="AJ61" s="878">
        <f t="shared" si="601"/>
        <v>0</v>
      </c>
      <c r="AK61" s="878">
        <f t="shared" si="601"/>
        <v>0</v>
      </c>
      <c r="AL61" s="878">
        <f t="shared" ref="AL61:BO61" si="602">AL48/(1+$E61)</f>
        <v>5.8962264150943398</v>
      </c>
      <c r="AM61" s="878">
        <f t="shared" si="602"/>
        <v>0</v>
      </c>
      <c r="AN61" s="878">
        <f t="shared" si="602"/>
        <v>0</v>
      </c>
      <c r="AO61" s="878">
        <f t="shared" si="602"/>
        <v>5.8962264150943398</v>
      </c>
      <c r="AP61" s="878">
        <f t="shared" si="602"/>
        <v>0</v>
      </c>
      <c r="AQ61" s="878">
        <f t="shared" si="602"/>
        <v>0</v>
      </c>
      <c r="AR61" s="878">
        <f t="shared" si="602"/>
        <v>5.8962264150943398</v>
      </c>
      <c r="AS61" s="878">
        <f t="shared" si="602"/>
        <v>0</v>
      </c>
      <c r="AT61" s="878">
        <f t="shared" si="602"/>
        <v>0</v>
      </c>
      <c r="AU61" s="878">
        <f t="shared" si="602"/>
        <v>5.8962264150943398</v>
      </c>
      <c r="AV61" s="878">
        <f t="shared" si="602"/>
        <v>0</v>
      </c>
      <c r="AW61" s="878">
        <f t="shared" si="602"/>
        <v>0</v>
      </c>
      <c r="AX61" s="878">
        <f t="shared" si="602"/>
        <v>5.8962264150943398</v>
      </c>
      <c r="AY61" s="878">
        <f t="shared" si="602"/>
        <v>0</v>
      </c>
      <c r="AZ61" s="878">
        <f t="shared" si="602"/>
        <v>0</v>
      </c>
      <c r="BA61" s="878">
        <f t="shared" si="602"/>
        <v>5.8962264150943398</v>
      </c>
      <c r="BB61" s="878">
        <f t="shared" si="602"/>
        <v>0</v>
      </c>
      <c r="BC61" s="878">
        <f t="shared" si="602"/>
        <v>0</v>
      </c>
      <c r="BD61" s="878">
        <f t="shared" si="602"/>
        <v>5.8962264150943398</v>
      </c>
      <c r="BE61" s="878">
        <f t="shared" si="602"/>
        <v>0</v>
      </c>
      <c r="BF61" s="878">
        <f t="shared" si="602"/>
        <v>0</v>
      </c>
      <c r="BG61" s="878">
        <f t="shared" si="602"/>
        <v>5.8962264150943398</v>
      </c>
      <c r="BH61" s="878">
        <f t="shared" si="602"/>
        <v>0</v>
      </c>
      <c r="BI61" s="878">
        <f t="shared" si="602"/>
        <v>0</v>
      </c>
      <c r="BJ61" s="878">
        <f t="shared" si="602"/>
        <v>5.8962264150943398</v>
      </c>
      <c r="BK61" s="878">
        <f t="shared" si="602"/>
        <v>0</v>
      </c>
      <c r="BL61" s="878">
        <f t="shared" si="602"/>
        <v>0</v>
      </c>
      <c r="BM61" s="878">
        <f t="shared" si="602"/>
        <v>5.8962264150943398</v>
      </c>
      <c r="BN61" s="878">
        <f t="shared" si="602"/>
        <v>0</v>
      </c>
      <c r="BO61" s="878">
        <f t="shared" si="602"/>
        <v>0</v>
      </c>
    </row>
    <row r="62" spans="1:67" s="18" customFormat="1">
      <c r="A62" s="866"/>
      <c r="B62" s="76"/>
      <c r="C62" s="885" t="s">
        <v>2269</v>
      </c>
      <c r="D62" s="875" t="s">
        <v>2251</v>
      </c>
      <c r="E62" s="882">
        <v>0.06</v>
      </c>
      <c r="F62" s="884">
        <v>10</v>
      </c>
      <c r="G62" s="878">
        <f t="shared" ref="G62:AK62" si="603">G49/(1+$E62)</f>
        <v>0</v>
      </c>
      <c r="H62" s="878">
        <f t="shared" si="603"/>
        <v>2.3584905660377355</v>
      </c>
      <c r="I62" s="878">
        <f t="shared" si="603"/>
        <v>0</v>
      </c>
      <c r="J62" s="878">
        <f t="shared" si="603"/>
        <v>0</v>
      </c>
      <c r="K62" s="878">
        <f t="shared" si="603"/>
        <v>2.3584905660377355</v>
      </c>
      <c r="L62" s="878">
        <f t="shared" si="603"/>
        <v>0</v>
      </c>
      <c r="M62" s="878">
        <f t="shared" si="603"/>
        <v>0</v>
      </c>
      <c r="N62" s="878">
        <f t="shared" si="603"/>
        <v>4.7169811320754711</v>
      </c>
      <c r="O62" s="878">
        <f t="shared" si="603"/>
        <v>0</v>
      </c>
      <c r="P62" s="878">
        <f t="shared" si="603"/>
        <v>0</v>
      </c>
      <c r="Q62" s="878">
        <f t="shared" si="603"/>
        <v>4.7169811320754711</v>
      </c>
      <c r="R62" s="878">
        <f t="shared" si="603"/>
        <v>0</v>
      </c>
      <c r="S62" s="878">
        <f t="shared" si="603"/>
        <v>0</v>
      </c>
      <c r="T62" s="878">
        <f t="shared" si="603"/>
        <v>13.477088948787062</v>
      </c>
      <c r="U62" s="878">
        <f t="shared" si="603"/>
        <v>0</v>
      </c>
      <c r="V62" s="878">
        <f t="shared" si="603"/>
        <v>0</v>
      </c>
      <c r="W62" s="878">
        <f t="shared" si="603"/>
        <v>13.477088948787062</v>
      </c>
      <c r="X62" s="878">
        <f t="shared" si="603"/>
        <v>0</v>
      </c>
      <c r="Y62" s="878">
        <f t="shared" si="603"/>
        <v>0</v>
      </c>
      <c r="Z62" s="878">
        <f t="shared" si="603"/>
        <v>15.835579514824795</v>
      </c>
      <c r="AA62" s="878">
        <f t="shared" si="603"/>
        <v>0</v>
      </c>
      <c r="AB62" s="878">
        <f t="shared" si="603"/>
        <v>0</v>
      </c>
      <c r="AC62" s="878">
        <f t="shared" si="603"/>
        <v>18.194070080862531</v>
      </c>
      <c r="AD62" s="878">
        <f t="shared" si="603"/>
        <v>0</v>
      </c>
      <c r="AE62" s="878">
        <f t="shared" si="603"/>
        <v>0</v>
      </c>
      <c r="AF62" s="878">
        <f t="shared" si="603"/>
        <v>20.552560646900272</v>
      </c>
      <c r="AG62" s="878">
        <f t="shared" si="603"/>
        <v>0</v>
      </c>
      <c r="AH62" s="878">
        <f t="shared" si="603"/>
        <v>0</v>
      </c>
      <c r="AI62" s="878">
        <f t="shared" si="603"/>
        <v>20.552560646900272</v>
      </c>
      <c r="AJ62" s="878">
        <f t="shared" si="603"/>
        <v>0</v>
      </c>
      <c r="AK62" s="878">
        <f t="shared" si="603"/>
        <v>0</v>
      </c>
      <c r="AL62" s="878">
        <f t="shared" ref="AL62:BO62" si="604">AL49/(1+$E62)</f>
        <v>22.911051212938006</v>
      </c>
      <c r="AM62" s="878">
        <f t="shared" si="604"/>
        <v>0</v>
      </c>
      <c r="AN62" s="878">
        <f t="shared" si="604"/>
        <v>0</v>
      </c>
      <c r="AO62" s="878">
        <f t="shared" si="604"/>
        <v>22.911051212938006</v>
      </c>
      <c r="AP62" s="878">
        <f t="shared" si="604"/>
        <v>0</v>
      </c>
      <c r="AQ62" s="878">
        <f t="shared" si="604"/>
        <v>0</v>
      </c>
      <c r="AR62" s="878">
        <f t="shared" si="604"/>
        <v>22.911051212938006</v>
      </c>
      <c r="AS62" s="878">
        <f t="shared" si="604"/>
        <v>0</v>
      </c>
      <c r="AT62" s="878">
        <f t="shared" si="604"/>
        <v>0</v>
      </c>
      <c r="AU62" s="878">
        <f t="shared" si="604"/>
        <v>22.911051212938006</v>
      </c>
      <c r="AV62" s="878">
        <f t="shared" si="604"/>
        <v>0</v>
      </c>
      <c r="AW62" s="878">
        <f t="shared" si="604"/>
        <v>0</v>
      </c>
      <c r="AX62" s="878">
        <f t="shared" si="604"/>
        <v>22.911051212938006</v>
      </c>
      <c r="AY62" s="878">
        <f t="shared" si="604"/>
        <v>0</v>
      </c>
      <c r="AZ62" s="878">
        <f t="shared" si="604"/>
        <v>0</v>
      </c>
      <c r="BA62" s="878">
        <f t="shared" si="604"/>
        <v>22.911051212938006</v>
      </c>
      <c r="BB62" s="878">
        <f t="shared" si="604"/>
        <v>0</v>
      </c>
      <c r="BC62" s="878">
        <f t="shared" si="604"/>
        <v>0</v>
      </c>
      <c r="BD62" s="878">
        <f t="shared" si="604"/>
        <v>22.911051212938006</v>
      </c>
      <c r="BE62" s="878">
        <f t="shared" si="604"/>
        <v>0</v>
      </c>
      <c r="BF62" s="878">
        <f t="shared" si="604"/>
        <v>0</v>
      </c>
      <c r="BG62" s="878">
        <f t="shared" si="604"/>
        <v>22.911051212938006</v>
      </c>
      <c r="BH62" s="878">
        <f t="shared" si="604"/>
        <v>0</v>
      </c>
      <c r="BI62" s="878">
        <f t="shared" si="604"/>
        <v>0</v>
      </c>
      <c r="BJ62" s="878">
        <f t="shared" si="604"/>
        <v>22.911051212938006</v>
      </c>
      <c r="BK62" s="878">
        <f t="shared" si="604"/>
        <v>0</v>
      </c>
      <c r="BL62" s="878">
        <f t="shared" si="604"/>
        <v>0</v>
      </c>
      <c r="BM62" s="878">
        <f t="shared" si="604"/>
        <v>22.911051212938006</v>
      </c>
      <c r="BN62" s="878">
        <f t="shared" si="604"/>
        <v>0</v>
      </c>
      <c r="BO62" s="878">
        <f t="shared" si="604"/>
        <v>0</v>
      </c>
    </row>
    <row r="63" spans="1:67" s="18" customFormat="1">
      <c r="A63" s="866"/>
      <c r="B63" s="76"/>
      <c r="C63" s="885" t="s">
        <v>2270</v>
      </c>
      <c r="D63" s="875" t="s">
        <v>2251</v>
      </c>
      <c r="E63" s="882">
        <v>0.06</v>
      </c>
      <c r="F63" s="884">
        <v>15</v>
      </c>
      <c r="G63" s="878">
        <f t="shared" ref="G63:AK63" si="605">G50/(1+$E63)</f>
        <v>0</v>
      </c>
      <c r="H63" s="878">
        <f t="shared" si="605"/>
        <v>0</v>
      </c>
      <c r="I63" s="878">
        <f t="shared" si="605"/>
        <v>0</v>
      </c>
      <c r="J63" s="878">
        <f t="shared" si="605"/>
        <v>0</v>
      </c>
      <c r="K63" s="878">
        <f t="shared" si="605"/>
        <v>0</v>
      </c>
      <c r="L63" s="878">
        <f t="shared" si="605"/>
        <v>0</v>
      </c>
      <c r="M63" s="878">
        <f t="shared" si="605"/>
        <v>0</v>
      </c>
      <c r="N63" s="878">
        <f t="shared" si="605"/>
        <v>0</v>
      </c>
      <c r="O63" s="878">
        <f t="shared" si="605"/>
        <v>0</v>
      </c>
      <c r="P63" s="878">
        <f t="shared" si="605"/>
        <v>0</v>
      </c>
      <c r="Q63" s="878">
        <f t="shared" si="605"/>
        <v>0</v>
      </c>
      <c r="R63" s="878">
        <f t="shared" si="605"/>
        <v>0</v>
      </c>
      <c r="S63" s="878">
        <f t="shared" si="605"/>
        <v>0</v>
      </c>
      <c r="T63" s="878">
        <f t="shared" si="605"/>
        <v>0</v>
      </c>
      <c r="U63" s="878">
        <f t="shared" si="605"/>
        <v>0</v>
      </c>
      <c r="V63" s="878">
        <f t="shared" si="605"/>
        <v>0</v>
      </c>
      <c r="W63" s="878">
        <f t="shared" si="605"/>
        <v>0</v>
      </c>
      <c r="X63" s="878">
        <f t="shared" si="605"/>
        <v>0</v>
      </c>
      <c r="Y63" s="878">
        <f t="shared" si="605"/>
        <v>0</v>
      </c>
      <c r="Z63" s="878">
        <f t="shared" si="605"/>
        <v>0</v>
      </c>
      <c r="AA63" s="878">
        <f t="shared" si="605"/>
        <v>0</v>
      </c>
      <c r="AB63" s="878">
        <f t="shared" si="605"/>
        <v>0</v>
      </c>
      <c r="AC63" s="878">
        <f t="shared" si="605"/>
        <v>0</v>
      </c>
      <c r="AD63" s="878">
        <f t="shared" si="605"/>
        <v>0</v>
      </c>
      <c r="AE63" s="878">
        <f t="shared" si="605"/>
        <v>0</v>
      </c>
      <c r="AF63" s="878">
        <f t="shared" si="605"/>
        <v>0</v>
      </c>
      <c r="AG63" s="878">
        <f t="shared" si="605"/>
        <v>0</v>
      </c>
      <c r="AH63" s="878">
        <f t="shared" si="605"/>
        <v>0</v>
      </c>
      <c r="AI63" s="878">
        <f t="shared" si="605"/>
        <v>0</v>
      </c>
      <c r="AJ63" s="878">
        <f t="shared" si="605"/>
        <v>0</v>
      </c>
      <c r="AK63" s="878">
        <f t="shared" si="605"/>
        <v>0</v>
      </c>
      <c r="AL63" s="878">
        <f t="shared" ref="AL63:BO63" si="606">AL50/(1+$E63)</f>
        <v>0</v>
      </c>
      <c r="AM63" s="878">
        <f t="shared" si="606"/>
        <v>0</v>
      </c>
      <c r="AN63" s="878">
        <f t="shared" si="606"/>
        <v>0</v>
      </c>
      <c r="AO63" s="878">
        <f t="shared" si="606"/>
        <v>0</v>
      </c>
      <c r="AP63" s="878">
        <f t="shared" si="606"/>
        <v>0</v>
      </c>
      <c r="AQ63" s="878">
        <f t="shared" si="606"/>
        <v>0</v>
      </c>
      <c r="AR63" s="878">
        <f t="shared" si="606"/>
        <v>0</v>
      </c>
      <c r="AS63" s="878">
        <f t="shared" si="606"/>
        <v>0</v>
      </c>
      <c r="AT63" s="878">
        <f t="shared" si="606"/>
        <v>0</v>
      </c>
      <c r="AU63" s="878">
        <f t="shared" si="606"/>
        <v>0</v>
      </c>
      <c r="AV63" s="878">
        <f t="shared" si="606"/>
        <v>0</v>
      </c>
      <c r="AW63" s="878">
        <f t="shared" si="606"/>
        <v>0</v>
      </c>
      <c r="AX63" s="878">
        <f t="shared" si="606"/>
        <v>0</v>
      </c>
      <c r="AY63" s="878">
        <f t="shared" si="606"/>
        <v>0</v>
      </c>
      <c r="AZ63" s="878">
        <f t="shared" si="606"/>
        <v>0</v>
      </c>
      <c r="BA63" s="878">
        <f t="shared" si="606"/>
        <v>0</v>
      </c>
      <c r="BB63" s="878">
        <f t="shared" si="606"/>
        <v>0</v>
      </c>
      <c r="BC63" s="878">
        <f t="shared" si="606"/>
        <v>0</v>
      </c>
      <c r="BD63" s="878">
        <f t="shared" si="606"/>
        <v>0</v>
      </c>
      <c r="BE63" s="878">
        <f t="shared" si="606"/>
        <v>0</v>
      </c>
      <c r="BF63" s="878">
        <f t="shared" si="606"/>
        <v>0</v>
      </c>
      <c r="BG63" s="878">
        <f t="shared" si="606"/>
        <v>0</v>
      </c>
      <c r="BH63" s="878">
        <f t="shared" si="606"/>
        <v>0</v>
      </c>
      <c r="BI63" s="878">
        <f t="shared" si="606"/>
        <v>0</v>
      </c>
      <c r="BJ63" s="878">
        <f t="shared" si="606"/>
        <v>0</v>
      </c>
      <c r="BK63" s="878">
        <f t="shared" si="606"/>
        <v>0</v>
      </c>
      <c r="BL63" s="878">
        <f t="shared" si="606"/>
        <v>0</v>
      </c>
      <c r="BM63" s="878">
        <f t="shared" si="606"/>
        <v>0</v>
      </c>
      <c r="BN63" s="878">
        <f t="shared" si="606"/>
        <v>0</v>
      </c>
      <c r="BO63" s="878">
        <f t="shared" si="606"/>
        <v>0</v>
      </c>
    </row>
    <row r="64" spans="1:67" s="18" customFormat="1">
      <c r="A64" s="866">
        <v>32</v>
      </c>
      <c r="B64" s="76"/>
      <c r="C64" s="76" t="s">
        <v>2271</v>
      </c>
      <c r="D64" s="875" t="s">
        <v>2251</v>
      </c>
      <c r="E64" s="882">
        <v>0</v>
      </c>
      <c r="F64" s="884">
        <v>20</v>
      </c>
      <c r="G64" s="878">
        <f>G51/(1+$E64)</f>
        <v>20</v>
      </c>
      <c r="H64" s="878">
        <f t="shared" ref="H64:AK64" si="607">H51/(1+$E64)</f>
        <v>1.6666666666666667</v>
      </c>
      <c r="I64" s="878">
        <f t="shared" si="607"/>
        <v>1.6666666666666667</v>
      </c>
      <c r="J64" s="878">
        <f t="shared" si="607"/>
        <v>1.6666666666666667</v>
      </c>
      <c r="K64" s="878">
        <f t="shared" si="607"/>
        <v>1.6666666666666667</v>
      </c>
      <c r="L64" s="878">
        <f t="shared" si="607"/>
        <v>1.6666666666666667</v>
      </c>
      <c r="M64" s="878">
        <f t="shared" si="607"/>
        <v>3.3333333333333335</v>
      </c>
      <c r="N64" s="878">
        <f t="shared" si="607"/>
        <v>3.3333333333333335</v>
      </c>
      <c r="O64" s="878">
        <f t="shared" si="607"/>
        <v>3.3333333333333335</v>
      </c>
      <c r="P64" s="878">
        <f t="shared" si="607"/>
        <v>3.3333333333333335</v>
      </c>
      <c r="Q64" s="878">
        <f t="shared" si="607"/>
        <v>3.3333333333333335</v>
      </c>
      <c r="R64" s="878">
        <f t="shared" si="607"/>
        <v>3.3333333333333335</v>
      </c>
      <c r="S64" s="878">
        <f t="shared" si="607"/>
        <v>4.7619047619047619</v>
      </c>
      <c r="T64" s="878">
        <f t="shared" si="607"/>
        <v>4.7619047619047619</v>
      </c>
      <c r="U64" s="878">
        <f t="shared" si="607"/>
        <v>4.7619047619047619</v>
      </c>
      <c r="V64" s="878">
        <f t="shared" si="607"/>
        <v>4.7619047619047619</v>
      </c>
      <c r="W64" s="878">
        <f t="shared" si="607"/>
        <v>4.7619047619047619</v>
      </c>
      <c r="X64" s="878">
        <f t="shared" si="607"/>
        <v>4.7619047619047619</v>
      </c>
      <c r="Y64" s="878">
        <f t="shared" si="607"/>
        <v>6.4285714285714288</v>
      </c>
      <c r="Z64" s="878">
        <f t="shared" si="607"/>
        <v>6.4285714285714288</v>
      </c>
      <c r="AA64" s="878">
        <f t="shared" si="607"/>
        <v>6.4285714285714288</v>
      </c>
      <c r="AB64" s="878">
        <f t="shared" si="607"/>
        <v>6.4285714285714288</v>
      </c>
      <c r="AC64" s="878">
        <f t="shared" si="607"/>
        <v>6.4285714285714288</v>
      </c>
      <c r="AD64" s="878">
        <f t="shared" si="607"/>
        <v>6.4285714285714288</v>
      </c>
      <c r="AE64" s="878">
        <f t="shared" si="607"/>
        <v>6.4285714285714288</v>
      </c>
      <c r="AF64" s="878">
        <f t="shared" si="607"/>
        <v>6.4285714285714288</v>
      </c>
      <c r="AG64" s="878">
        <f t="shared" si="607"/>
        <v>6.4285714285714288</v>
      </c>
      <c r="AH64" s="878">
        <f t="shared" si="607"/>
        <v>6.4285714285714288</v>
      </c>
      <c r="AI64" s="878">
        <f t="shared" si="607"/>
        <v>6.4285714285714288</v>
      </c>
      <c r="AJ64" s="878">
        <f t="shared" si="607"/>
        <v>6.4285714285714288</v>
      </c>
      <c r="AK64" s="878">
        <f t="shared" si="607"/>
        <v>6.4285714285714288</v>
      </c>
      <c r="AL64" s="878">
        <f t="shared" ref="AL64:BO64" si="608">AL51/(1+$E64)</f>
        <v>6.4285714285714288</v>
      </c>
      <c r="AM64" s="878">
        <f t="shared" si="608"/>
        <v>6.4285714285714288</v>
      </c>
      <c r="AN64" s="878">
        <f t="shared" si="608"/>
        <v>6.4285714285714288</v>
      </c>
      <c r="AO64" s="878">
        <f t="shared" si="608"/>
        <v>6.4285714285714288</v>
      </c>
      <c r="AP64" s="878">
        <f t="shared" si="608"/>
        <v>6.4285714285714288</v>
      </c>
      <c r="AQ64" s="878">
        <f t="shared" si="608"/>
        <v>6.666666666666667</v>
      </c>
      <c r="AR64" s="878">
        <f t="shared" si="608"/>
        <v>6.666666666666667</v>
      </c>
      <c r="AS64" s="878">
        <f t="shared" si="608"/>
        <v>6.666666666666667</v>
      </c>
      <c r="AT64" s="878">
        <f t="shared" si="608"/>
        <v>6.666666666666667</v>
      </c>
      <c r="AU64" s="878">
        <f t="shared" si="608"/>
        <v>6.666666666666667</v>
      </c>
      <c r="AV64" s="878">
        <f t="shared" si="608"/>
        <v>6.666666666666667</v>
      </c>
      <c r="AW64" s="878">
        <f t="shared" si="608"/>
        <v>6.666666666666667</v>
      </c>
      <c r="AX64" s="878">
        <f t="shared" si="608"/>
        <v>6.666666666666667</v>
      </c>
      <c r="AY64" s="878">
        <f t="shared" si="608"/>
        <v>6.666666666666667</v>
      </c>
      <c r="AZ64" s="878">
        <f t="shared" si="608"/>
        <v>6.666666666666667</v>
      </c>
      <c r="BA64" s="878">
        <f t="shared" si="608"/>
        <v>6.666666666666667</v>
      </c>
      <c r="BB64" s="878">
        <f t="shared" si="608"/>
        <v>6.666666666666667</v>
      </c>
      <c r="BC64" s="878">
        <f t="shared" si="608"/>
        <v>6.666666666666667</v>
      </c>
      <c r="BD64" s="878">
        <f t="shared" si="608"/>
        <v>6.666666666666667</v>
      </c>
      <c r="BE64" s="878">
        <f t="shared" si="608"/>
        <v>6.666666666666667</v>
      </c>
      <c r="BF64" s="878">
        <f t="shared" si="608"/>
        <v>6.666666666666667</v>
      </c>
      <c r="BG64" s="878">
        <f t="shared" si="608"/>
        <v>6.666666666666667</v>
      </c>
      <c r="BH64" s="878">
        <f t="shared" si="608"/>
        <v>6.666666666666667</v>
      </c>
      <c r="BI64" s="878">
        <f t="shared" si="608"/>
        <v>6.666666666666667</v>
      </c>
      <c r="BJ64" s="878">
        <f t="shared" si="608"/>
        <v>6.666666666666667</v>
      </c>
      <c r="BK64" s="878">
        <f t="shared" si="608"/>
        <v>6.666666666666667</v>
      </c>
      <c r="BL64" s="878">
        <f t="shared" si="608"/>
        <v>6.666666666666667</v>
      </c>
      <c r="BM64" s="878">
        <f t="shared" si="608"/>
        <v>6.666666666666667</v>
      </c>
      <c r="BN64" s="878">
        <f t="shared" si="608"/>
        <v>6.666666666666667</v>
      </c>
      <c r="BO64" s="878">
        <f t="shared" si="608"/>
        <v>6.666666666666667</v>
      </c>
    </row>
    <row r="65" spans="1:67" s="18" customFormat="1">
      <c r="A65" s="866"/>
      <c r="B65" s="76"/>
      <c r="C65" s="76" t="s">
        <v>2272</v>
      </c>
      <c r="D65" s="875" t="s">
        <v>2251</v>
      </c>
      <c r="E65" s="882">
        <v>0.01</v>
      </c>
      <c r="F65" s="884">
        <f>4000*12/10000</f>
        <v>4.8</v>
      </c>
      <c r="G65" s="878">
        <f>G52/(1+$E65)</f>
        <v>4.7524752475247523</v>
      </c>
      <c r="H65" s="878">
        <f t="shared" ref="H65:AK65" si="609">H52/(1+$E65)</f>
        <v>0.396039603960396</v>
      </c>
      <c r="I65" s="878">
        <f t="shared" si="609"/>
        <v>0.396039603960396</v>
      </c>
      <c r="J65" s="878">
        <f t="shared" si="609"/>
        <v>0.396039603960396</v>
      </c>
      <c r="K65" s="878">
        <f t="shared" si="609"/>
        <v>0.396039603960396</v>
      </c>
      <c r="L65" s="878">
        <f t="shared" si="609"/>
        <v>0.396039603960396</v>
      </c>
      <c r="M65" s="878">
        <f t="shared" si="609"/>
        <v>0.79207920792079201</v>
      </c>
      <c r="N65" s="878">
        <f t="shared" si="609"/>
        <v>0.79207920792079201</v>
      </c>
      <c r="O65" s="878">
        <f t="shared" si="609"/>
        <v>0.79207920792079201</v>
      </c>
      <c r="P65" s="878">
        <f t="shared" si="609"/>
        <v>0.79207920792079201</v>
      </c>
      <c r="Q65" s="878">
        <f t="shared" si="609"/>
        <v>0.79207920792079201</v>
      </c>
      <c r="R65" s="878">
        <f t="shared" si="609"/>
        <v>0.79207920792079201</v>
      </c>
      <c r="S65" s="878">
        <f t="shared" si="609"/>
        <v>2.2630834512022631</v>
      </c>
      <c r="T65" s="878">
        <f t="shared" si="609"/>
        <v>2.2630834512022631</v>
      </c>
      <c r="U65" s="878">
        <f t="shared" si="609"/>
        <v>2.2630834512022631</v>
      </c>
      <c r="V65" s="878">
        <f t="shared" si="609"/>
        <v>2.2630834512022631</v>
      </c>
      <c r="W65" s="878">
        <f t="shared" si="609"/>
        <v>2.2630834512022631</v>
      </c>
      <c r="X65" s="878">
        <f t="shared" si="609"/>
        <v>2.2630834512022631</v>
      </c>
      <c r="Y65" s="878">
        <f t="shared" si="609"/>
        <v>2.659123055162659</v>
      </c>
      <c r="Z65" s="878">
        <f t="shared" si="609"/>
        <v>2.659123055162659</v>
      </c>
      <c r="AA65" s="878">
        <f t="shared" si="609"/>
        <v>2.659123055162659</v>
      </c>
      <c r="AB65" s="878">
        <f t="shared" si="609"/>
        <v>3.055162659123055</v>
      </c>
      <c r="AC65" s="878">
        <f t="shared" si="609"/>
        <v>3.055162659123055</v>
      </c>
      <c r="AD65" s="878">
        <f t="shared" si="609"/>
        <v>3.055162659123055</v>
      </c>
      <c r="AE65" s="878">
        <f t="shared" si="609"/>
        <v>3.4512022630834513</v>
      </c>
      <c r="AF65" s="878">
        <f t="shared" si="609"/>
        <v>3.4512022630834513</v>
      </c>
      <c r="AG65" s="878">
        <f t="shared" si="609"/>
        <v>3.4512022630834513</v>
      </c>
      <c r="AH65" s="878">
        <f t="shared" si="609"/>
        <v>3.4512022630834513</v>
      </c>
      <c r="AI65" s="878">
        <f t="shared" si="609"/>
        <v>3.4512022630834513</v>
      </c>
      <c r="AJ65" s="878">
        <f t="shared" si="609"/>
        <v>3.4512022630834513</v>
      </c>
      <c r="AK65" s="878">
        <f t="shared" si="609"/>
        <v>3.8472418670438473</v>
      </c>
      <c r="AL65" s="878">
        <f t="shared" ref="AL65:BO65" si="610">AL52/(1+$E65)</f>
        <v>3.8472418670438473</v>
      </c>
      <c r="AM65" s="878">
        <f t="shared" si="610"/>
        <v>3.8472418670438473</v>
      </c>
      <c r="AN65" s="878">
        <f t="shared" si="610"/>
        <v>3.8472418670438473</v>
      </c>
      <c r="AO65" s="878">
        <f t="shared" si="610"/>
        <v>3.8472418670438473</v>
      </c>
      <c r="AP65" s="878">
        <f t="shared" si="610"/>
        <v>3.8472418670438473</v>
      </c>
      <c r="AQ65" s="878">
        <f t="shared" si="610"/>
        <v>3.8472418670438473</v>
      </c>
      <c r="AR65" s="878">
        <f t="shared" si="610"/>
        <v>3.8472418670438473</v>
      </c>
      <c r="AS65" s="878">
        <f t="shared" si="610"/>
        <v>3.8472418670438473</v>
      </c>
      <c r="AT65" s="878">
        <f t="shared" si="610"/>
        <v>3.8472418670438473</v>
      </c>
      <c r="AU65" s="878">
        <f t="shared" si="610"/>
        <v>3.8472418670438473</v>
      </c>
      <c r="AV65" s="878">
        <f t="shared" si="610"/>
        <v>3.8472418670438473</v>
      </c>
      <c r="AW65" s="878">
        <f t="shared" si="610"/>
        <v>3.8472418670438473</v>
      </c>
      <c r="AX65" s="878">
        <f t="shared" si="610"/>
        <v>3.8472418670438473</v>
      </c>
      <c r="AY65" s="878">
        <f t="shared" si="610"/>
        <v>3.8472418670438473</v>
      </c>
      <c r="AZ65" s="878">
        <f t="shared" si="610"/>
        <v>3.8472418670438473</v>
      </c>
      <c r="BA65" s="878">
        <f t="shared" si="610"/>
        <v>3.8472418670438473</v>
      </c>
      <c r="BB65" s="878">
        <f t="shared" si="610"/>
        <v>3.8472418670438473</v>
      </c>
      <c r="BC65" s="878">
        <f t="shared" si="610"/>
        <v>3.8472418670438473</v>
      </c>
      <c r="BD65" s="878">
        <f t="shared" si="610"/>
        <v>3.8472418670438473</v>
      </c>
      <c r="BE65" s="878">
        <f t="shared" si="610"/>
        <v>3.8472418670438473</v>
      </c>
      <c r="BF65" s="878">
        <f t="shared" si="610"/>
        <v>3.8472418670438473</v>
      </c>
      <c r="BG65" s="878">
        <f t="shared" si="610"/>
        <v>3.8472418670438473</v>
      </c>
      <c r="BH65" s="878">
        <f t="shared" si="610"/>
        <v>3.8472418670438473</v>
      </c>
      <c r="BI65" s="878">
        <f t="shared" si="610"/>
        <v>3.8472418670438473</v>
      </c>
      <c r="BJ65" s="878">
        <f t="shared" si="610"/>
        <v>3.8472418670438473</v>
      </c>
      <c r="BK65" s="878">
        <f t="shared" si="610"/>
        <v>3.8472418670438473</v>
      </c>
      <c r="BL65" s="878">
        <f t="shared" si="610"/>
        <v>3.8472418670438473</v>
      </c>
      <c r="BM65" s="878">
        <f t="shared" si="610"/>
        <v>3.8472418670438473</v>
      </c>
      <c r="BN65" s="878">
        <f t="shared" si="610"/>
        <v>3.8472418670438473</v>
      </c>
      <c r="BO65" s="878">
        <f t="shared" si="610"/>
        <v>3.8472418670438473</v>
      </c>
    </row>
    <row r="66" spans="1:67" s="18" customFormat="1">
      <c r="A66" s="866"/>
      <c r="B66" s="76"/>
      <c r="C66" s="76" t="s">
        <v>2273</v>
      </c>
      <c r="D66" s="875" t="s">
        <v>2251</v>
      </c>
      <c r="E66" s="882">
        <v>0.01</v>
      </c>
      <c r="F66" s="884">
        <f>500*12/10000</f>
        <v>0.6</v>
      </c>
      <c r="G66" s="878">
        <f>G53/(1+$E66)</f>
        <v>0.59405940594059403</v>
      </c>
      <c r="H66" s="878">
        <f t="shared" ref="H66:AK66" si="611">H53/(1+$E66)</f>
        <v>4.95049504950495E-2</v>
      </c>
      <c r="I66" s="878">
        <f t="shared" si="611"/>
        <v>4.95049504950495E-2</v>
      </c>
      <c r="J66" s="878">
        <f t="shared" si="611"/>
        <v>4.95049504950495E-2</v>
      </c>
      <c r="K66" s="878">
        <f t="shared" si="611"/>
        <v>4.95049504950495E-2</v>
      </c>
      <c r="L66" s="878">
        <f t="shared" si="611"/>
        <v>4.95049504950495E-2</v>
      </c>
      <c r="M66" s="878">
        <f t="shared" si="611"/>
        <v>9.9009900990099001E-2</v>
      </c>
      <c r="N66" s="878">
        <f t="shared" si="611"/>
        <v>9.9009900990099001E-2</v>
      </c>
      <c r="O66" s="878">
        <f t="shared" si="611"/>
        <v>9.9009900990099001E-2</v>
      </c>
      <c r="P66" s="878">
        <f t="shared" si="611"/>
        <v>9.9009900990099001E-2</v>
      </c>
      <c r="Q66" s="878">
        <f t="shared" si="611"/>
        <v>9.9009900990099001E-2</v>
      </c>
      <c r="R66" s="878">
        <f t="shared" si="611"/>
        <v>9.9009900990099001E-2</v>
      </c>
      <c r="S66" s="878">
        <f t="shared" si="611"/>
        <v>0.28288543140028288</v>
      </c>
      <c r="T66" s="878">
        <f t="shared" si="611"/>
        <v>0.28288543140028288</v>
      </c>
      <c r="U66" s="878">
        <f t="shared" si="611"/>
        <v>0.28288543140028288</v>
      </c>
      <c r="V66" s="878">
        <f t="shared" si="611"/>
        <v>0.28288543140028288</v>
      </c>
      <c r="W66" s="878">
        <f t="shared" si="611"/>
        <v>0.28288543140028288</v>
      </c>
      <c r="X66" s="878">
        <f t="shared" si="611"/>
        <v>0.28288543140028288</v>
      </c>
      <c r="Y66" s="878">
        <f t="shared" si="611"/>
        <v>0.33239038189533238</v>
      </c>
      <c r="Z66" s="878">
        <f t="shared" si="611"/>
        <v>0.33239038189533238</v>
      </c>
      <c r="AA66" s="878">
        <f t="shared" si="611"/>
        <v>0.33239038189533238</v>
      </c>
      <c r="AB66" s="878">
        <f t="shared" si="611"/>
        <v>0.38189533239038187</v>
      </c>
      <c r="AC66" s="878">
        <f t="shared" si="611"/>
        <v>0.38189533239038187</v>
      </c>
      <c r="AD66" s="878">
        <f t="shared" si="611"/>
        <v>0.38189533239038187</v>
      </c>
      <c r="AE66" s="878">
        <f t="shared" si="611"/>
        <v>0.43140028288543142</v>
      </c>
      <c r="AF66" s="878">
        <f t="shared" si="611"/>
        <v>0.43140028288543142</v>
      </c>
      <c r="AG66" s="878">
        <f t="shared" si="611"/>
        <v>0.43140028288543142</v>
      </c>
      <c r="AH66" s="878">
        <f t="shared" si="611"/>
        <v>0.43140028288543142</v>
      </c>
      <c r="AI66" s="878">
        <f t="shared" si="611"/>
        <v>0.43140028288543142</v>
      </c>
      <c r="AJ66" s="878">
        <f t="shared" si="611"/>
        <v>0.43140028288543142</v>
      </c>
      <c r="AK66" s="878">
        <f t="shared" si="611"/>
        <v>0.48090523338048091</v>
      </c>
      <c r="AL66" s="878">
        <f t="shared" ref="AL66:BO66" si="612">AL53/(1+$E66)</f>
        <v>0.48090523338048091</v>
      </c>
      <c r="AM66" s="878">
        <f t="shared" si="612"/>
        <v>0.48090523338048091</v>
      </c>
      <c r="AN66" s="878">
        <f t="shared" si="612"/>
        <v>0.48090523338048091</v>
      </c>
      <c r="AO66" s="878">
        <f t="shared" si="612"/>
        <v>0.48090523338048091</v>
      </c>
      <c r="AP66" s="878">
        <f t="shared" si="612"/>
        <v>0.48090523338048091</v>
      </c>
      <c r="AQ66" s="878">
        <f t="shared" si="612"/>
        <v>0.48090523338048091</v>
      </c>
      <c r="AR66" s="878">
        <f t="shared" si="612"/>
        <v>0.48090523338048091</v>
      </c>
      <c r="AS66" s="878">
        <f t="shared" si="612"/>
        <v>0.48090523338048091</v>
      </c>
      <c r="AT66" s="878">
        <f t="shared" si="612"/>
        <v>0.48090523338048091</v>
      </c>
      <c r="AU66" s="878">
        <f t="shared" si="612"/>
        <v>0.48090523338048091</v>
      </c>
      <c r="AV66" s="878">
        <f t="shared" si="612"/>
        <v>0.48090523338048091</v>
      </c>
      <c r="AW66" s="878">
        <f t="shared" si="612"/>
        <v>0.48090523338048091</v>
      </c>
      <c r="AX66" s="878">
        <f t="shared" si="612"/>
        <v>0.48090523338048091</v>
      </c>
      <c r="AY66" s="878">
        <f t="shared" si="612"/>
        <v>0.48090523338048091</v>
      </c>
      <c r="AZ66" s="878">
        <f t="shared" si="612"/>
        <v>0.48090523338048091</v>
      </c>
      <c r="BA66" s="878">
        <f t="shared" si="612"/>
        <v>0.48090523338048091</v>
      </c>
      <c r="BB66" s="878">
        <f t="shared" si="612"/>
        <v>0.48090523338048091</v>
      </c>
      <c r="BC66" s="878">
        <f t="shared" si="612"/>
        <v>0.48090523338048091</v>
      </c>
      <c r="BD66" s="878">
        <f t="shared" si="612"/>
        <v>0.48090523338048091</v>
      </c>
      <c r="BE66" s="878">
        <f t="shared" si="612"/>
        <v>0.48090523338048091</v>
      </c>
      <c r="BF66" s="878">
        <f t="shared" si="612"/>
        <v>0.48090523338048091</v>
      </c>
      <c r="BG66" s="878">
        <f t="shared" si="612"/>
        <v>0.48090523338048091</v>
      </c>
      <c r="BH66" s="878">
        <f t="shared" si="612"/>
        <v>0.48090523338048091</v>
      </c>
      <c r="BI66" s="878">
        <f t="shared" si="612"/>
        <v>0.48090523338048091</v>
      </c>
      <c r="BJ66" s="878">
        <f t="shared" si="612"/>
        <v>0.48090523338048091</v>
      </c>
      <c r="BK66" s="878">
        <f t="shared" si="612"/>
        <v>0.48090523338048091</v>
      </c>
      <c r="BL66" s="878">
        <f t="shared" si="612"/>
        <v>0.48090523338048091</v>
      </c>
      <c r="BM66" s="878">
        <f t="shared" si="612"/>
        <v>0.48090523338048091</v>
      </c>
      <c r="BN66" s="878">
        <f t="shared" si="612"/>
        <v>0.48090523338048091</v>
      </c>
      <c r="BO66" s="878">
        <f t="shared" si="612"/>
        <v>0.48090523338048091</v>
      </c>
    </row>
    <row r="67" spans="1:67" s="18" customFormat="1">
      <c r="A67" s="866"/>
      <c r="B67" s="76"/>
      <c r="C67" s="76" t="s">
        <v>2274</v>
      </c>
      <c r="D67" s="875" t="s">
        <v>2251</v>
      </c>
      <c r="E67" s="882">
        <v>0</v>
      </c>
      <c r="F67" s="884">
        <v>1</v>
      </c>
      <c r="G67" s="878">
        <f t="shared" ref="G67:AK67" si="613">G54/(1+$E67)</f>
        <v>1</v>
      </c>
      <c r="H67" s="878">
        <f t="shared" si="613"/>
        <v>8.3333333333333329E-2</v>
      </c>
      <c r="I67" s="878">
        <f t="shared" si="613"/>
        <v>8.3333333333333329E-2</v>
      </c>
      <c r="J67" s="878">
        <f t="shared" si="613"/>
        <v>8.3333333333333329E-2</v>
      </c>
      <c r="K67" s="878">
        <f t="shared" si="613"/>
        <v>8.3333333333333329E-2</v>
      </c>
      <c r="L67" s="878">
        <f t="shared" si="613"/>
        <v>8.3333333333333329E-2</v>
      </c>
      <c r="M67" s="878">
        <f t="shared" si="613"/>
        <v>0.16666666666666666</v>
      </c>
      <c r="N67" s="878">
        <f t="shared" si="613"/>
        <v>0.16666666666666666</v>
      </c>
      <c r="O67" s="878">
        <f t="shared" si="613"/>
        <v>0.16666666666666666</v>
      </c>
      <c r="P67" s="878">
        <f t="shared" si="613"/>
        <v>0.16666666666666666</v>
      </c>
      <c r="Q67" s="878">
        <f t="shared" si="613"/>
        <v>0.16666666666666666</v>
      </c>
      <c r="R67" s="878">
        <f t="shared" si="613"/>
        <v>0.16666666666666666</v>
      </c>
      <c r="S67" s="878">
        <f t="shared" si="613"/>
        <v>0.47619047619047616</v>
      </c>
      <c r="T67" s="878">
        <f t="shared" si="613"/>
        <v>0.47619047619047616</v>
      </c>
      <c r="U67" s="878">
        <f t="shared" si="613"/>
        <v>0.47619047619047616</v>
      </c>
      <c r="V67" s="878">
        <f t="shared" si="613"/>
        <v>0.47619047619047616</v>
      </c>
      <c r="W67" s="878">
        <f t="shared" si="613"/>
        <v>0.47619047619047616</v>
      </c>
      <c r="X67" s="878">
        <f t="shared" si="613"/>
        <v>0.47619047619047616</v>
      </c>
      <c r="Y67" s="878">
        <f t="shared" si="613"/>
        <v>0.55952380952380953</v>
      </c>
      <c r="Z67" s="878">
        <f t="shared" si="613"/>
        <v>0.55952380952380953</v>
      </c>
      <c r="AA67" s="878">
        <f t="shared" si="613"/>
        <v>0.55952380952380953</v>
      </c>
      <c r="AB67" s="878">
        <f t="shared" si="613"/>
        <v>0.64285714285714279</v>
      </c>
      <c r="AC67" s="878">
        <f t="shared" si="613"/>
        <v>0.64285714285714279</v>
      </c>
      <c r="AD67" s="878">
        <f t="shared" si="613"/>
        <v>0.64285714285714279</v>
      </c>
      <c r="AE67" s="878">
        <f t="shared" si="613"/>
        <v>0.72619047619047628</v>
      </c>
      <c r="AF67" s="878">
        <f t="shared" si="613"/>
        <v>0.72619047619047628</v>
      </c>
      <c r="AG67" s="878">
        <f t="shared" si="613"/>
        <v>0.72619047619047628</v>
      </c>
      <c r="AH67" s="878">
        <f t="shared" si="613"/>
        <v>0.72619047619047628</v>
      </c>
      <c r="AI67" s="878">
        <f t="shared" si="613"/>
        <v>0.72619047619047628</v>
      </c>
      <c r="AJ67" s="878">
        <f t="shared" si="613"/>
        <v>0.72619047619047628</v>
      </c>
      <c r="AK67" s="878">
        <f t="shared" si="613"/>
        <v>0.80952380952380953</v>
      </c>
      <c r="AL67" s="878">
        <f t="shared" ref="AL67:BO67" si="614">AL54/(1+$E67)</f>
        <v>0.80952380952380953</v>
      </c>
      <c r="AM67" s="878">
        <f t="shared" si="614"/>
        <v>0.80952380952380953</v>
      </c>
      <c r="AN67" s="878">
        <f t="shared" si="614"/>
        <v>0.80952380952380953</v>
      </c>
      <c r="AO67" s="878">
        <f t="shared" si="614"/>
        <v>0.80952380952380953</v>
      </c>
      <c r="AP67" s="878">
        <f t="shared" si="614"/>
        <v>0.80952380952380953</v>
      </c>
      <c r="AQ67" s="878">
        <f t="shared" si="614"/>
        <v>0.80952380952380953</v>
      </c>
      <c r="AR67" s="878">
        <f t="shared" si="614"/>
        <v>0.80952380952380953</v>
      </c>
      <c r="AS67" s="878">
        <f t="shared" si="614"/>
        <v>0.80952380952380953</v>
      </c>
      <c r="AT67" s="878">
        <f t="shared" si="614"/>
        <v>0.80952380952380953</v>
      </c>
      <c r="AU67" s="878">
        <f t="shared" si="614"/>
        <v>0.80952380952380953</v>
      </c>
      <c r="AV67" s="878">
        <f t="shared" si="614"/>
        <v>0.80952380952380953</v>
      </c>
      <c r="AW67" s="878">
        <f t="shared" si="614"/>
        <v>0.80952380952380953</v>
      </c>
      <c r="AX67" s="878">
        <f t="shared" si="614"/>
        <v>0.80952380952380953</v>
      </c>
      <c r="AY67" s="878">
        <f t="shared" si="614"/>
        <v>0.80952380952380953</v>
      </c>
      <c r="AZ67" s="878">
        <f t="shared" si="614"/>
        <v>0.80952380952380953</v>
      </c>
      <c r="BA67" s="878">
        <f t="shared" si="614"/>
        <v>0.80952380952380953</v>
      </c>
      <c r="BB67" s="878">
        <f t="shared" si="614"/>
        <v>0.80952380952380953</v>
      </c>
      <c r="BC67" s="878">
        <f t="shared" si="614"/>
        <v>0.80952380952380953</v>
      </c>
      <c r="BD67" s="878">
        <f t="shared" si="614"/>
        <v>0.80952380952380953</v>
      </c>
      <c r="BE67" s="878">
        <f t="shared" si="614"/>
        <v>0.80952380952380953</v>
      </c>
      <c r="BF67" s="878">
        <f t="shared" si="614"/>
        <v>0.80952380952380953</v>
      </c>
      <c r="BG67" s="878">
        <f t="shared" si="614"/>
        <v>0.80952380952380953</v>
      </c>
      <c r="BH67" s="878">
        <f t="shared" si="614"/>
        <v>0.80952380952380953</v>
      </c>
      <c r="BI67" s="878">
        <f t="shared" si="614"/>
        <v>0.80952380952380953</v>
      </c>
      <c r="BJ67" s="878">
        <f t="shared" si="614"/>
        <v>0.80952380952380953</v>
      </c>
      <c r="BK67" s="878">
        <f t="shared" si="614"/>
        <v>0.80952380952380953</v>
      </c>
      <c r="BL67" s="878">
        <f t="shared" si="614"/>
        <v>0.80952380952380953</v>
      </c>
      <c r="BM67" s="878">
        <f t="shared" si="614"/>
        <v>0.80952380952380953</v>
      </c>
      <c r="BN67" s="878">
        <f t="shared" si="614"/>
        <v>0.80952380952380953</v>
      </c>
      <c r="BO67" s="878">
        <f t="shared" si="614"/>
        <v>0.80952380952380953</v>
      </c>
    </row>
    <row r="68" spans="1:67" s="18" customFormat="1">
      <c r="A68" s="866"/>
      <c r="B68" s="76"/>
      <c r="C68" s="76" t="s">
        <v>2085</v>
      </c>
      <c r="D68" s="875"/>
      <c r="E68" s="882"/>
      <c r="F68" s="884"/>
      <c r="G68" s="878">
        <f>SUM(G59:G67)</f>
        <v>35.780496917616283</v>
      </c>
      <c r="H68" s="878">
        <f t="shared" ref="H68:AK68" si="615">SUM(H59:H67)</f>
        <v>10.45026153558752</v>
      </c>
      <c r="I68" s="878">
        <f t="shared" si="615"/>
        <v>2.1955445544554459</v>
      </c>
      <c r="J68" s="878">
        <f t="shared" si="615"/>
        <v>2.1955445544554459</v>
      </c>
      <c r="K68" s="878">
        <f t="shared" si="615"/>
        <v>12.808752101625256</v>
      </c>
      <c r="L68" s="878">
        <f t="shared" si="615"/>
        <v>2.1955445544554459</v>
      </c>
      <c r="M68" s="878">
        <f t="shared" si="615"/>
        <v>5.140636795651651</v>
      </c>
      <c r="N68" s="878">
        <f t="shared" si="615"/>
        <v>19.721277788156172</v>
      </c>
      <c r="O68" s="878">
        <f t="shared" si="615"/>
        <v>4.3910891089108919</v>
      </c>
      <c r="P68" s="878">
        <f t="shared" si="615"/>
        <v>4.3910891089108919</v>
      </c>
      <c r="Q68" s="878">
        <f t="shared" si="615"/>
        <v>19.721277788156172</v>
      </c>
      <c r="R68" s="878">
        <f t="shared" si="615"/>
        <v>4.3910891089108919</v>
      </c>
      <c r="S68" s="878">
        <f t="shared" si="615"/>
        <v>10.664099567287895</v>
      </c>
      <c r="T68" s="878">
        <f t="shared" si="615"/>
        <v>40.634468433366244</v>
      </c>
      <c r="U68" s="878">
        <f t="shared" si="615"/>
        <v>7.7840641206977841</v>
      </c>
      <c r="V68" s="878">
        <f t="shared" si="615"/>
        <v>7.7840641206977841</v>
      </c>
      <c r="W68" s="878">
        <f t="shared" si="615"/>
        <v>40.634468433366244</v>
      </c>
      <c r="X68" s="878">
        <f t="shared" si="615"/>
        <v>7.7840641206977841</v>
      </c>
      <c r="Y68" s="878">
        <f t="shared" si="615"/>
        <v>10.72915636189399</v>
      </c>
      <c r="Z68" s="878">
        <f t="shared" si="615"/>
        <v>47.546994119897157</v>
      </c>
      <c r="AA68" s="878">
        <f t="shared" si="615"/>
        <v>9.97960867515323</v>
      </c>
      <c r="AB68" s="878">
        <f t="shared" si="615"/>
        <v>11.258034249682769</v>
      </c>
      <c r="AC68" s="878">
        <f t="shared" si="615"/>
        <v>52.792853139761412</v>
      </c>
      <c r="AD68" s="878">
        <f t="shared" si="615"/>
        <v>10.508486562942007</v>
      </c>
      <c r="AE68" s="878">
        <f t="shared" si="615"/>
        <v>11.812758609428125</v>
      </c>
      <c r="AF68" s="878">
        <f t="shared" si="615"/>
        <v>58.038712159625675</v>
      </c>
      <c r="AG68" s="878">
        <f t="shared" si="615"/>
        <v>11.037364450730786</v>
      </c>
      <c r="AH68" s="878">
        <f t="shared" si="615"/>
        <v>11.037364450730786</v>
      </c>
      <c r="AI68" s="878">
        <f t="shared" si="615"/>
        <v>58.038712159625675</v>
      </c>
      <c r="AJ68" s="878">
        <f t="shared" si="615"/>
        <v>11.037364450730786</v>
      </c>
      <c r="AK68" s="878">
        <f t="shared" si="615"/>
        <v>13.117030655914244</v>
      </c>
      <c r="AL68" s="878">
        <f t="shared" ref="AL68:BO68" si="616">SUM(AL59:AL67)</f>
        <v>63.284571179489923</v>
      </c>
      <c r="AM68" s="878">
        <f t="shared" si="616"/>
        <v>11.566242338519567</v>
      </c>
      <c r="AN68" s="878">
        <f t="shared" si="616"/>
        <v>11.566242338519567</v>
      </c>
      <c r="AO68" s="878">
        <f t="shared" si="616"/>
        <v>63.284571179489923</v>
      </c>
      <c r="AP68" s="878">
        <f t="shared" si="616"/>
        <v>11.566242338519567</v>
      </c>
      <c r="AQ68" s="878">
        <f t="shared" si="616"/>
        <v>11.804337576614806</v>
      </c>
      <c r="AR68" s="878">
        <f t="shared" si="616"/>
        <v>63.522666417585157</v>
      </c>
      <c r="AS68" s="878">
        <f t="shared" si="616"/>
        <v>11.804337576614806</v>
      </c>
      <c r="AT68" s="878">
        <f t="shared" si="616"/>
        <v>11.804337576614806</v>
      </c>
      <c r="AU68" s="878">
        <f t="shared" si="616"/>
        <v>63.522666417585157</v>
      </c>
      <c r="AV68" s="878">
        <f t="shared" si="616"/>
        <v>11.804337576614806</v>
      </c>
      <c r="AW68" s="878">
        <f t="shared" si="616"/>
        <v>11.804337576614806</v>
      </c>
      <c r="AX68" s="878">
        <f t="shared" si="616"/>
        <v>63.522666417585157</v>
      </c>
      <c r="AY68" s="878">
        <f t="shared" si="616"/>
        <v>11.804337576614806</v>
      </c>
      <c r="AZ68" s="878">
        <f t="shared" si="616"/>
        <v>11.804337576614806</v>
      </c>
      <c r="BA68" s="878">
        <f t="shared" si="616"/>
        <v>63.522666417585157</v>
      </c>
      <c r="BB68" s="878">
        <f t="shared" si="616"/>
        <v>11.804337576614806</v>
      </c>
      <c r="BC68" s="878">
        <f t="shared" si="616"/>
        <v>11.804337576614806</v>
      </c>
      <c r="BD68" s="878">
        <f t="shared" si="616"/>
        <v>63.522666417585157</v>
      </c>
      <c r="BE68" s="878">
        <f t="shared" si="616"/>
        <v>11.804337576614806</v>
      </c>
      <c r="BF68" s="878">
        <f t="shared" si="616"/>
        <v>11.804337576614806</v>
      </c>
      <c r="BG68" s="878">
        <f t="shared" si="616"/>
        <v>63.522666417585157</v>
      </c>
      <c r="BH68" s="878">
        <f t="shared" si="616"/>
        <v>11.804337576614806</v>
      </c>
      <c r="BI68" s="878">
        <f t="shared" si="616"/>
        <v>11.804337576614806</v>
      </c>
      <c r="BJ68" s="878">
        <f t="shared" si="616"/>
        <v>63.522666417585157</v>
      </c>
      <c r="BK68" s="878">
        <f t="shared" si="616"/>
        <v>11.804337576614806</v>
      </c>
      <c r="BL68" s="878">
        <f t="shared" si="616"/>
        <v>11.804337576614806</v>
      </c>
      <c r="BM68" s="878">
        <f t="shared" si="616"/>
        <v>63.522666417585157</v>
      </c>
      <c r="BN68" s="878">
        <f t="shared" si="616"/>
        <v>11.804337576614806</v>
      </c>
      <c r="BO68" s="878">
        <f t="shared" si="616"/>
        <v>11.804337576614806</v>
      </c>
    </row>
    <row r="69" spans="1:67" s="18" customFormat="1">
      <c r="A69" s="866"/>
      <c r="B69" s="76"/>
      <c r="C69" s="76" t="s">
        <v>2275</v>
      </c>
      <c r="D69" s="875"/>
      <c r="E69" s="882"/>
      <c r="F69" s="884"/>
      <c r="G69" s="878">
        <f>SUM(G58,G68)</f>
        <v>310.78695853560544</v>
      </c>
      <c r="H69" s="878">
        <f t="shared" ref="H69:AK69" si="617">SUM(H58,H68)</f>
        <v>96.554842822741819</v>
      </c>
      <c r="I69" s="878">
        <f t="shared" si="617"/>
        <v>2.1955445544554459</v>
      </c>
      <c r="J69" s="878">
        <f t="shared" si="617"/>
        <v>2.1955445544554459</v>
      </c>
      <c r="K69" s="878">
        <f t="shared" si="617"/>
        <v>100.03280870539885</v>
      </c>
      <c r="L69" s="878">
        <f t="shared" si="617"/>
        <v>2.1955445544554459</v>
      </c>
      <c r="M69" s="878">
        <f t="shared" si="617"/>
        <v>31.37480583157825</v>
      </c>
      <c r="N69" s="878">
        <f t="shared" si="617"/>
        <v>189.49250420325052</v>
      </c>
      <c r="O69" s="878">
        <f t="shared" si="617"/>
        <v>4.3910891089108919</v>
      </c>
      <c r="P69" s="878">
        <f t="shared" si="617"/>
        <v>4.3910891089108919</v>
      </c>
      <c r="Q69" s="878">
        <f t="shared" si="617"/>
        <v>189.49250420325052</v>
      </c>
      <c r="R69" s="878">
        <f t="shared" si="617"/>
        <v>4.3910891089108919</v>
      </c>
      <c r="S69" s="878">
        <f t="shared" si="617"/>
        <v>119.21928178491521</v>
      </c>
      <c r="T69" s="878">
        <f t="shared" si="617"/>
        <v>540.59437409374357</v>
      </c>
      <c r="U69" s="878">
        <f t="shared" si="617"/>
        <v>7.7840641206977841</v>
      </c>
      <c r="V69" s="878">
        <f t="shared" si="617"/>
        <v>7.7840641206977841</v>
      </c>
      <c r="W69" s="878">
        <f t="shared" si="617"/>
        <v>540.59437409374357</v>
      </c>
      <c r="X69" s="878">
        <f t="shared" si="617"/>
        <v>7.7840641206977841</v>
      </c>
      <c r="Y69" s="878">
        <f t="shared" si="617"/>
        <v>36.96332539782059</v>
      </c>
      <c r="Z69" s="878">
        <f t="shared" si="617"/>
        <v>630.05406959159518</v>
      </c>
      <c r="AA69" s="878">
        <f t="shared" si="617"/>
        <v>9.97960867515323</v>
      </c>
      <c r="AB69" s="878">
        <f t="shared" si="617"/>
        <v>37.492203285609364</v>
      </c>
      <c r="AC69" s="878">
        <f t="shared" si="617"/>
        <v>717.84709842278028</v>
      </c>
      <c r="AD69" s="878">
        <f t="shared" si="617"/>
        <v>10.508486562942007</v>
      </c>
      <c r="AE69" s="878">
        <f t="shared" si="617"/>
        <v>38.951554163834956</v>
      </c>
      <c r="AF69" s="878">
        <f t="shared" si="617"/>
        <v>805.64012725396537</v>
      </c>
      <c r="AG69" s="878">
        <f t="shared" si="617"/>
        <v>11.037364450730786</v>
      </c>
      <c r="AH69" s="878">
        <f t="shared" si="617"/>
        <v>11.037364450730786</v>
      </c>
      <c r="AI69" s="878">
        <f t="shared" si="617"/>
        <v>805.64012725396537</v>
      </c>
      <c r="AJ69" s="878">
        <f t="shared" si="617"/>
        <v>11.037364450730786</v>
      </c>
      <c r="AK69" s="878">
        <f t="shared" si="617"/>
        <v>67.394621764727901</v>
      </c>
      <c r="AL69" s="878">
        <f t="shared" ref="AL69:BO69" si="618">SUM(AL58,AL68)</f>
        <v>893.43315608515036</v>
      </c>
      <c r="AM69" s="878">
        <f t="shared" si="618"/>
        <v>11.566242338519567</v>
      </c>
      <c r="AN69" s="878">
        <f t="shared" si="618"/>
        <v>11.566242338519567</v>
      </c>
      <c r="AO69" s="878">
        <f t="shared" si="618"/>
        <v>893.43315608515036</v>
      </c>
      <c r="AP69" s="878">
        <f t="shared" si="618"/>
        <v>11.566242338519567</v>
      </c>
      <c r="AQ69" s="878">
        <f t="shared" si="618"/>
        <v>11.804337576614806</v>
      </c>
      <c r="AR69" s="878">
        <f t="shared" si="618"/>
        <v>893.67125132324554</v>
      </c>
      <c r="AS69" s="878">
        <f t="shared" si="618"/>
        <v>11.804337576614806</v>
      </c>
      <c r="AT69" s="878">
        <f t="shared" si="618"/>
        <v>11.804337576614806</v>
      </c>
      <c r="AU69" s="878">
        <f t="shared" si="618"/>
        <v>893.67125132324554</v>
      </c>
      <c r="AV69" s="878">
        <f t="shared" si="618"/>
        <v>11.804337576614806</v>
      </c>
      <c r="AW69" s="878">
        <f t="shared" si="618"/>
        <v>11.804337576614806</v>
      </c>
      <c r="AX69" s="878">
        <f t="shared" si="618"/>
        <v>893.67125132324554</v>
      </c>
      <c r="AY69" s="878">
        <f t="shared" si="618"/>
        <v>11.804337576614806</v>
      </c>
      <c r="AZ69" s="878">
        <f t="shared" si="618"/>
        <v>11.804337576614806</v>
      </c>
      <c r="BA69" s="878">
        <f t="shared" si="618"/>
        <v>893.67125132324554</v>
      </c>
      <c r="BB69" s="878">
        <f t="shared" si="618"/>
        <v>11.804337576614806</v>
      </c>
      <c r="BC69" s="878">
        <f t="shared" si="618"/>
        <v>11.804337576614806</v>
      </c>
      <c r="BD69" s="878">
        <f t="shared" si="618"/>
        <v>893.67125132324554</v>
      </c>
      <c r="BE69" s="878">
        <f t="shared" si="618"/>
        <v>11.804337576614806</v>
      </c>
      <c r="BF69" s="878">
        <f t="shared" si="618"/>
        <v>11.804337576614806</v>
      </c>
      <c r="BG69" s="878">
        <f t="shared" si="618"/>
        <v>893.67125132324554</v>
      </c>
      <c r="BH69" s="878">
        <f t="shared" si="618"/>
        <v>11.804337576614806</v>
      </c>
      <c r="BI69" s="878">
        <f t="shared" si="618"/>
        <v>11.804337576614806</v>
      </c>
      <c r="BJ69" s="878">
        <f t="shared" si="618"/>
        <v>893.67125132324554</v>
      </c>
      <c r="BK69" s="878">
        <f t="shared" si="618"/>
        <v>11.804337576614806</v>
      </c>
      <c r="BL69" s="878">
        <f t="shared" si="618"/>
        <v>11.804337576614806</v>
      </c>
      <c r="BM69" s="878">
        <f t="shared" si="618"/>
        <v>893.67125132324554</v>
      </c>
      <c r="BN69" s="878">
        <f t="shared" si="618"/>
        <v>11.804337576614806</v>
      </c>
      <c r="BO69" s="878">
        <f t="shared" si="618"/>
        <v>11.804337576614806</v>
      </c>
    </row>
    <row r="71" spans="1:67" s="18" customFormat="1">
      <c r="A71" s="866">
        <v>32</v>
      </c>
      <c r="B71" s="76"/>
      <c r="C71" s="871" t="s">
        <v>2276</v>
      </c>
      <c r="D71" s="875" t="s">
        <v>2277</v>
      </c>
      <c r="E71" s="872">
        <v>0.25</v>
      </c>
      <c r="F71" s="872">
        <v>0.06</v>
      </c>
      <c r="G71" s="878">
        <f t="shared" ref="G71:V71" si="619">G20/(1+$F$71)*(1-$E$71)</f>
        <v>0</v>
      </c>
      <c r="H71" s="878">
        <f t="shared" si="619"/>
        <v>0</v>
      </c>
      <c r="I71" s="878">
        <f t="shared" si="619"/>
        <v>0</v>
      </c>
      <c r="J71" s="878">
        <f t="shared" si="619"/>
        <v>0</v>
      </c>
      <c r="K71" s="878">
        <f t="shared" si="619"/>
        <v>18.214517884975368</v>
      </c>
      <c r="L71" s="878">
        <f t="shared" si="619"/>
        <v>0</v>
      </c>
      <c r="M71" s="878">
        <f t="shared" si="619"/>
        <v>43.792147371883736</v>
      </c>
      <c r="N71" s="878">
        <f t="shared" si="619"/>
        <v>0</v>
      </c>
      <c r="O71" s="878">
        <f t="shared" si="619"/>
        <v>0</v>
      </c>
      <c r="P71" s="878">
        <f t="shared" si="619"/>
        <v>0</v>
      </c>
      <c r="Q71" s="878">
        <f t="shared" si="619"/>
        <v>0</v>
      </c>
      <c r="R71" s="878">
        <f t="shared" si="619"/>
        <v>0</v>
      </c>
      <c r="S71" s="878">
        <f t="shared" si="619"/>
        <v>24.671632322188024</v>
      </c>
      <c r="T71" s="878">
        <f t="shared" si="619"/>
        <v>399.38164273909939</v>
      </c>
      <c r="U71" s="878">
        <f t="shared" si="619"/>
        <v>0</v>
      </c>
      <c r="V71" s="878">
        <f t="shared" si="619"/>
        <v>0</v>
      </c>
      <c r="W71" s="878">
        <f t="shared" ref="W71:AK71" si="620">W20/(1+$F$71)*(1-$E$71)</f>
        <v>0</v>
      </c>
      <c r="X71" s="878">
        <f t="shared" si="620"/>
        <v>0</v>
      </c>
      <c r="Y71" s="878">
        <f t="shared" si="620"/>
        <v>43.792147371883736</v>
      </c>
      <c r="Z71" s="878">
        <f t="shared" si="620"/>
        <v>0</v>
      </c>
      <c r="AA71" s="878">
        <f t="shared" si="620"/>
        <v>0</v>
      </c>
      <c r="AB71" s="878">
        <f t="shared" si="620"/>
        <v>24.87722925820626</v>
      </c>
      <c r="AC71" s="878">
        <f t="shared" si="620"/>
        <v>0</v>
      </c>
      <c r="AD71" s="878">
        <f t="shared" si="620"/>
        <v>0</v>
      </c>
      <c r="AE71" s="878">
        <f t="shared" si="620"/>
        <v>6.1679080805470061</v>
      </c>
      <c r="AF71" s="878">
        <f>AF20/(1+$F$71)*(1-$E$71)</f>
        <v>622.10548885077174</v>
      </c>
      <c r="AG71" s="878">
        <f t="shared" si="620"/>
        <v>0</v>
      </c>
      <c r="AH71" s="878">
        <f t="shared" si="620"/>
        <v>0</v>
      </c>
      <c r="AI71" s="878">
        <f t="shared" si="620"/>
        <v>0</v>
      </c>
      <c r="AJ71" s="878">
        <f t="shared" si="620"/>
        <v>0</v>
      </c>
      <c r="AK71" s="878">
        <f t="shared" si="620"/>
        <v>12.335816161094012</v>
      </c>
      <c r="AL71" s="878">
        <f t="shared" ref="AL71:BO71" si="621">AL20/(1+$F$71)*(1-$E$71)</f>
        <v>0</v>
      </c>
      <c r="AM71" s="878">
        <f t="shared" si="621"/>
        <v>0</v>
      </c>
      <c r="AN71" s="878">
        <f t="shared" si="621"/>
        <v>0</v>
      </c>
      <c r="AO71" s="878">
        <f t="shared" si="621"/>
        <v>0</v>
      </c>
      <c r="AP71" s="878">
        <f t="shared" si="621"/>
        <v>0</v>
      </c>
      <c r="AQ71" s="878">
        <f t="shared" si="621"/>
        <v>0</v>
      </c>
      <c r="AR71" s="878">
        <f t="shared" si="621"/>
        <v>0</v>
      </c>
      <c r="AS71" s="878">
        <f t="shared" si="621"/>
        <v>0</v>
      </c>
      <c r="AT71" s="878">
        <f t="shared" si="621"/>
        <v>0</v>
      </c>
      <c r="AU71" s="878">
        <f t="shared" si="621"/>
        <v>0</v>
      </c>
      <c r="AV71" s="878">
        <f t="shared" si="621"/>
        <v>0</v>
      </c>
      <c r="AW71" s="878">
        <f t="shared" si="621"/>
        <v>0</v>
      </c>
      <c r="AX71" s="878">
        <f t="shared" si="621"/>
        <v>0</v>
      </c>
      <c r="AY71" s="878">
        <f t="shared" si="621"/>
        <v>0</v>
      </c>
      <c r="AZ71" s="878">
        <f t="shared" si="621"/>
        <v>0</v>
      </c>
      <c r="BA71" s="878">
        <f t="shared" si="621"/>
        <v>0</v>
      </c>
      <c r="BB71" s="878">
        <f t="shared" si="621"/>
        <v>0</v>
      </c>
      <c r="BC71" s="878">
        <f t="shared" si="621"/>
        <v>0</v>
      </c>
      <c r="BD71" s="878">
        <f t="shared" si="621"/>
        <v>0</v>
      </c>
      <c r="BE71" s="878">
        <f t="shared" si="621"/>
        <v>0</v>
      </c>
      <c r="BF71" s="878">
        <f t="shared" si="621"/>
        <v>0</v>
      </c>
      <c r="BG71" s="878">
        <f t="shared" si="621"/>
        <v>0</v>
      </c>
      <c r="BH71" s="878">
        <f t="shared" si="621"/>
        <v>0</v>
      </c>
      <c r="BI71" s="878">
        <f t="shared" si="621"/>
        <v>0</v>
      </c>
      <c r="BJ71" s="878">
        <f t="shared" si="621"/>
        <v>0</v>
      </c>
      <c r="BK71" s="878">
        <f t="shared" si="621"/>
        <v>0</v>
      </c>
      <c r="BL71" s="878">
        <f t="shared" si="621"/>
        <v>0</v>
      </c>
      <c r="BM71" s="878">
        <f t="shared" si="621"/>
        <v>0</v>
      </c>
      <c r="BN71" s="878">
        <f t="shared" si="621"/>
        <v>0</v>
      </c>
      <c r="BO71" s="878">
        <f t="shared" si="621"/>
        <v>0</v>
      </c>
    </row>
    <row r="72" spans="1:67" s="18" customFormat="1">
      <c r="A72" s="866">
        <v>32</v>
      </c>
      <c r="B72" s="76"/>
      <c r="C72" s="871" t="s">
        <v>2278</v>
      </c>
      <c r="D72" s="875" t="s">
        <v>2277</v>
      </c>
      <c r="E72" s="872">
        <v>0.25</v>
      </c>
      <c r="F72" s="886">
        <v>0.06</v>
      </c>
      <c r="G72" s="878">
        <f t="shared" ref="G72:V72" si="622">G21/(1+$F$71)*(1-$E$71)</f>
        <v>0</v>
      </c>
      <c r="H72" s="878">
        <f t="shared" si="622"/>
        <v>0</v>
      </c>
      <c r="I72" s="878">
        <f t="shared" si="622"/>
        <v>0</v>
      </c>
      <c r="J72" s="878">
        <f t="shared" si="622"/>
        <v>0</v>
      </c>
      <c r="K72" s="878">
        <f t="shared" si="622"/>
        <v>0</v>
      </c>
      <c r="L72" s="878">
        <f t="shared" si="622"/>
        <v>0</v>
      </c>
      <c r="M72" s="878">
        <f t="shared" si="622"/>
        <v>0</v>
      </c>
      <c r="N72" s="878">
        <f t="shared" si="622"/>
        <v>0</v>
      </c>
      <c r="O72" s="878">
        <f t="shared" si="622"/>
        <v>0</v>
      </c>
      <c r="P72" s="878">
        <f t="shared" si="622"/>
        <v>0</v>
      </c>
      <c r="Q72" s="878">
        <f t="shared" si="622"/>
        <v>0</v>
      </c>
      <c r="R72" s="878">
        <f t="shared" si="622"/>
        <v>0</v>
      </c>
      <c r="S72" s="878">
        <f t="shared" si="622"/>
        <v>0</v>
      </c>
      <c r="T72" s="878">
        <f t="shared" si="622"/>
        <v>0</v>
      </c>
      <c r="U72" s="878">
        <f t="shared" si="622"/>
        <v>0</v>
      </c>
      <c r="V72" s="878">
        <f t="shared" si="622"/>
        <v>0</v>
      </c>
      <c r="W72" s="878">
        <f t="shared" ref="W72:AK72" si="623">W21/(1+$F$71)*(1-$E$71)</f>
        <v>0</v>
      </c>
      <c r="X72" s="878">
        <f t="shared" si="623"/>
        <v>0</v>
      </c>
      <c r="Y72" s="878">
        <f t="shared" si="623"/>
        <v>0</v>
      </c>
      <c r="Z72" s="878">
        <f t="shared" si="623"/>
        <v>0</v>
      </c>
      <c r="AA72" s="878">
        <f t="shared" si="623"/>
        <v>0</v>
      </c>
      <c r="AB72" s="878">
        <f t="shared" si="623"/>
        <v>0</v>
      </c>
      <c r="AC72" s="878">
        <f t="shared" si="623"/>
        <v>0</v>
      </c>
      <c r="AD72" s="878">
        <f t="shared" si="623"/>
        <v>0</v>
      </c>
      <c r="AE72" s="878">
        <f t="shared" si="623"/>
        <v>0</v>
      </c>
      <c r="AF72" s="878">
        <f t="shared" si="623"/>
        <v>0</v>
      </c>
      <c r="AG72" s="878">
        <f t="shared" si="623"/>
        <v>0</v>
      </c>
      <c r="AH72" s="878">
        <f t="shared" si="623"/>
        <v>0</v>
      </c>
      <c r="AI72" s="878">
        <f t="shared" si="623"/>
        <v>0</v>
      </c>
      <c r="AJ72" s="878">
        <f t="shared" si="623"/>
        <v>0</v>
      </c>
      <c r="AK72" s="878">
        <f t="shared" si="623"/>
        <v>0</v>
      </c>
      <c r="AL72" s="878">
        <f t="shared" ref="AL72:BO72" si="624">AL21/(1+$F$71)*(1-$E$71)</f>
        <v>0</v>
      </c>
      <c r="AM72" s="878">
        <f t="shared" si="624"/>
        <v>0</v>
      </c>
      <c r="AN72" s="878">
        <f t="shared" si="624"/>
        <v>0</v>
      </c>
      <c r="AO72" s="878">
        <f t="shared" si="624"/>
        <v>0</v>
      </c>
      <c r="AP72" s="878">
        <f t="shared" si="624"/>
        <v>0</v>
      </c>
      <c r="AQ72" s="878">
        <f t="shared" si="624"/>
        <v>0</v>
      </c>
      <c r="AR72" s="878">
        <f t="shared" si="624"/>
        <v>0</v>
      </c>
      <c r="AS72" s="878">
        <f t="shared" si="624"/>
        <v>0</v>
      </c>
      <c r="AT72" s="878">
        <f t="shared" si="624"/>
        <v>0</v>
      </c>
      <c r="AU72" s="878">
        <f t="shared" si="624"/>
        <v>0</v>
      </c>
      <c r="AV72" s="878">
        <f t="shared" si="624"/>
        <v>0</v>
      </c>
      <c r="AW72" s="878">
        <f t="shared" si="624"/>
        <v>0</v>
      </c>
      <c r="AX72" s="878">
        <f t="shared" si="624"/>
        <v>0</v>
      </c>
      <c r="AY72" s="878">
        <f t="shared" si="624"/>
        <v>0</v>
      </c>
      <c r="AZ72" s="878">
        <f t="shared" si="624"/>
        <v>0</v>
      </c>
      <c r="BA72" s="878">
        <f t="shared" si="624"/>
        <v>0</v>
      </c>
      <c r="BB72" s="878">
        <f t="shared" si="624"/>
        <v>0</v>
      </c>
      <c r="BC72" s="878">
        <f t="shared" si="624"/>
        <v>0</v>
      </c>
      <c r="BD72" s="878">
        <f t="shared" si="624"/>
        <v>0</v>
      </c>
      <c r="BE72" s="878">
        <f t="shared" si="624"/>
        <v>0</v>
      </c>
      <c r="BF72" s="878">
        <f t="shared" si="624"/>
        <v>0</v>
      </c>
      <c r="BG72" s="878">
        <f t="shared" si="624"/>
        <v>0</v>
      </c>
      <c r="BH72" s="878">
        <f t="shared" si="624"/>
        <v>0</v>
      </c>
      <c r="BI72" s="878">
        <f t="shared" si="624"/>
        <v>0</v>
      </c>
      <c r="BJ72" s="878">
        <f t="shared" si="624"/>
        <v>0</v>
      </c>
      <c r="BK72" s="878">
        <f t="shared" si="624"/>
        <v>0</v>
      </c>
      <c r="BL72" s="878">
        <f t="shared" si="624"/>
        <v>0</v>
      </c>
      <c r="BM72" s="878">
        <f t="shared" si="624"/>
        <v>0</v>
      </c>
      <c r="BN72" s="878">
        <f t="shared" si="624"/>
        <v>0</v>
      </c>
      <c r="BO72" s="878">
        <f t="shared" si="624"/>
        <v>0</v>
      </c>
    </row>
    <row r="73" spans="1:67" s="18" customFormat="1">
      <c r="A73" s="866">
        <v>32</v>
      </c>
      <c r="B73" s="76" t="s">
        <v>2111</v>
      </c>
      <c r="C73" s="871" t="s">
        <v>2279</v>
      </c>
      <c r="D73" s="875"/>
      <c r="E73" s="872"/>
      <c r="F73" s="886"/>
      <c r="G73" s="887"/>
      <c r="H73" s="887"/>
      <c r="I73" s="887"/>
      <c r="J73" s="887"/>
      <c r="K73" s="879">
        <f>SUM(G71:K72)</f>
        <v>18.214517884975368</v>
      </c>
      <c r="L73" s="878">
        <f t="shared" ref="L73:AK73" si="625">SUM(L71:L72)</f>
        <v>0</v>
      </c>
      <c r="M73" s="878">
        <f t="shared" si="625"/>
        <v>43.792147371883736</v>
      </c>
      <c r="N73" s="878">
        <f t="shared" si="625"/>
        <v>0</v>
      </c>
      <c r="O73" s="878">
        <f t="shared" si="625"/>
        <v>0</v>
      </c>
      <c r="P73" s="878">
        <f t="shared" si="625"/>
        <v>0</v>
      </c>
      <c r="Q73" s="878">
        <f t="shared" si="625"/>
        <v>0</v>
      </c>
      <c r="R73" s="878">
        <f t="shared" si="625"/>
        <v>0</v>
      </c>
      <c r="S73" s="878">
        <f t="shared" si="625"/>
        <v>24.671632322188024</v>
      </c>
      <c r="T73" s="878">
        <f t="shared" si="625"/>
        <v>399.38164273909939</v>
      </c>
      <c r="U73" s="878">
        <f t="shared" si="625"/>
        <v>0</v>
      </c>
      <c r="V73" s="878">
        <f t="shared" si="625"/>
        <v>0</v>
      </c>
      <c r="W73" s="878">
        <f t="shared" si="625"/>
        <v>0</v>
      </c>
      <c r="X73" s="878">
        <f t="shared" si="625"/>
        <v>0</v>
      </c>
      <c r="Y73" s="878">
        <f t="shared" si="625"/>
        <v>43.792147371883736</v>
      </c>
      <c r="Z73" s="878">
        <f t="shared" si="625"/>
        <v>0</v>
      </c>
      <c r="AA73" s="878">
        <f t="shared" si="625"/>
        <v>0</v>
      </c>
      <c r="AB73" s="878">
        <f t="shared" si="625"/>
        <v>24.87722925820626</v>
      </c>
      <c r="AC73" s="878">
        <f t="shared" si="625"/>
        <v>0</v>
      </c>
      <c r="AD73" s="878">
        <f t="shared" si="625"/>
        <v>0</v>
      </c>
      <c r="AE73" s="878">
        <f t="shared" si="625"/>
        <v>6.1679080805470061</v>
      </c>
      <c r="AF73" s="878">
        <f t="shared" si="625"/>
        <v>622.10548885077174</v>
      </c>
      <c r="AG73" s="878">
        <f t="shared" si="625"/>
        <v>0</v>
      </c>
      <c r="AH73" s="878">
        <f t="shared" si="625"/>
        <v>0</v>
      </c>
      <c r="AI73" s="878">
        <f t="shared" si="625"/>
        <v>0</v>
      </c>
      <c r="AJ73" s="878">
        <f t="shared" si="625"/>
        <v>0</v>
      </c>
      <c r="AK73" s="878">
        <f t="shared" si="625"/>
        <v>12.335816161094012</v>
      </c>
      <c r="AL73" s="878">
        <f t="shared" ref="AL73:BO73" si="626">SUM(AL71:AL72)</f>
        <v>0</v>
      </c>
      <c r="AM73" s="878">
        <f t="shared" si="626"/>
        <v>0</v>
      </c>
      <c r="AN73" s="878">
        <f t="shared" si="626"/>
        <v>0</v>
      </c>
      <c r="AO73" s="878">
        <f t="shared" si="626"/>
        <v>0</v>
      </c>
      <c r="AP73" s="878">
        <f t="shared" si="626"/>
        <v>0</v>
      </c>
      <c r="AQ73" s="878">
        <f t="shared" si="626"/>
        <v>0</v>
      </c>
      <c r="AR73" s="878">
        <f t="shared" si="626"/>
        <v>0</v>
      </c>
      <c r="AS73" s="878">
        <f t="shared" si="626"/>
        <v>0</v>
      </c>
      <c r="AT73" s="878">
        <f t="shared" si="626"/>
        <v>0</v>
      </c>
      <c r="AU73" s="878">
        <f t="shared" si="626"/>
        <v>0</v>
      </c>
      <c r="AV73" s="878">
        <f t="shared" si="626"/>
        <v>0</v>
      </c>
      <c r="AW73" s="878">
        <f t="shared" si="626"/>
        <v>0</v>
      </c>
      <c r="AX73" s="878">
        <f t="shared" si="626"/>
        <v>0</v>
      </c>
      <c r="AY73" s="878">
        <f t="shared" si="626"/>
        <v>0</v>
      </c>
      <c r="AZ73" s="878">
        <f t="shared" si="626"/>
        <v>0</v>
      </c>
      <c r="BA73" s="878">
        <f t="shared" si="626"/>
        <v>0</v>
      </c>
      <c r="BB73" s="878">
        <f t="shared" si="626"/>
        <v>0</v>
      </c>
      <c r="BC73" s="878">
        <f t="shared" si="626"/>
        <v>0</v>
      </c>
      <c r="BD73" s="878">
        <f t="shared" si="626"/>
        <v>0</v>
      </c>
      <c r="BE73" s="878">
        <f t="shared" si="626"/>
        <v>0</v>
      </c>
      <c r="BF73" s="878">
        <f t="shared" si="626"/>
        <v>0</v>
      </c>
      <c r="BG73" s="878">
        <f t="shared" si="626"/>
        <v>0</v>
      </c>
      <c r="BH73" s="878">
        <f t="shared" si="626"/>
        <v>0</v>
      </c>
      <c r="BI73" s="878">
        <f t="shared" si="626"/>
        <v>0</v>
      </c>
      <c r="BJ73" s="878">
        <f t="shared" si="626"/>
        <v>0</v>
      </c>
      <c r="BK73" s="878">
        <f t="shared" si="626"/>
        <v>0</v>
      </c>
      <c r="BL73" s="878">
        <f t="shared" si="626"/>
        <v>0</v>
      </c>
      <c r="BM73" s="878">
        <f t="shared" si="626"/>
        <v>0</v>
      </c>
      <c r="BN73" s="878">
        <f t="shared" si="626"/>
        <v>0</v>
      </c>
      <c r="BO73" s="878">
        <f t="shared" si="626"/>
        <v>0</v>
      </c>
    </row>
    <row r="75" spans="1:67" s="18" customFormat="1">
      <c r="A75" s="866">
        <v>32</v>
      </c>
      <c r="B75" s="76" t="s">
        <v>2115</v>
      </c>
      <c r="C75" s="76" t="s">
        <v>2280</v>
      </c>
      <c r="D75" s="875"/>
      <c r="E75" s="872"/>
      <c r="F75" s="880"/>
      <c r="G75" s="887">
        <v>0</v>
      </c>
      <c r="H75" s="887">
        <v>0</v>
      </c>
      <c r="I75" s="887">
        <v>0</v>
      </c>
      <c r="J75" s="887">
        <v>0</v>
      </c>
      <c r="K75" s="186"/>
      <c r="L75" s="878">
        <f>SUM(G43:M43)-SUM(G69:M69)</f>
        <v>307.92060590783819</v>
      </c>
      <c r="M75" s="878">
        <v>0</v>
      </c>
      <c r="N75" s="878">
        <f>SUM(N43:P43)-SUM(N69:P69)</f>
        <v>167.29135531477669</v>
      </c>
      <c r="O75" s="878">
        <v>0</v>
      </c>
      <c r="P75" s="878">
        <v>0</v>
      </c>
      <c r="Q75" s="878">
        <f>SUM(Q43:S43)-SUM(Q69:S69)</f>
        <v>362.62082611770745</v>
      </c>
      <c r="R75" s="878">
        <v>0</v>
      </c>
      <c r="S75" s="878">
        <v>0</v>
      </c>
      <c r="T75" s="878">
        <f>SUM(T43:V43)-SUM(T69:V69)</f>
        <v>752.79976181580435</v>
      </c>
      <c r="U75" s="878">
        <v>0</v>
      </c>
      <c r="V75" s="878">
        <v>0</v>
      </c>
      <c r="W75" s="878">
        <f>SUM(W43:Y43)-SUM(W69:Y69)</f>
        <v>798.57526921275746</v>
      </c>
      <c r="X75" s="878">
        <v>0</v>
      </c>
      <c r="Y75" s="878">
        <v>0</v>
      </c>
      <c r="Z75" s="878">
        <f>SUM(Z43:AB43)-SUM(Z69:AB69)</f>
        <v>942.24020787643508</v>
      </c>
      <c r="AA75" s="878">
        <v>0</v>
      </c>
      <c r="AB75" s="878">
        <v>0</v>
      </c>
      <c r="AC75" s="878">
        <f>SUM(AC43:AE43)-SUM(AC69:AE69)</f>
        <v>1090.892654078667</v>
      </c>
      <c r="AD75" s="878">
        <v>0</v>
      </c>
      <c r="AE75" s="878">
        <v>0</v>
      </c>
      <c r="AF75" s="878">
        <f>SUM(AF43:AH43)-SUM(AF69:AH69)</f>
        <v>1188.794577806837</v>
      </c>
      <c r="AG75" s="878">
        <v>0</v>
      </c>
      <c r="AH75" s="878">
        <v>0</v>
      </c>
      <c r="AI75" s="878">
        <f>SUM(AI43:AK43)-SUM(AI69:AK69)</f>
        <v>1287.5161522323074</v>
      </c>
      <c r="AJ75" s="878">
        <v>0</v>
      </c>
      <c r="AK75" s="878">
        <v>0</v>
      </c>
      <c r="AL75" s="878">
        <f>SUM(AL43:AN43)-SUM(AL69:AN69)</f>
        <v>1335.7928498038482</v>
      </c>
      <c r="AM75" s="878">
        <v>0</v>
      </c>
      <c r="AN75" s="878">
        <v>0</v>
      </c>
      <c r="AO75" s="878">
        <f>SUM(AO43:AQ43)-SUM(AO69:AQ69)</f>
        <v>1335.554754565753</v>
      </c>
      <c r="AP75" s="878">
        <v>0</v>
      </c>
      <c r="AQ75" s="878">
        <v>0</v>
      </c>
      <c r="AR75" s="878">
        <f>SUM(AR43:AT43)-SUM(AR69:AT69)</f>
        <v>1335.0785640895626</v>
      </c>
      <c r="AS75" s="878">
        <v>0</v>
      </c>
      <c r="AT75" s="878">
        <v>0</v>
      </c>
      <c r="AU75" s="878">
        <f>SUM(AU43:AW43)-SUM(AU69:AW69)</f>
        <v>1335.0785640895626</v>
      </c>
      <c r="AV75" s="878">
        <v>0</v>
      </c>
      <c r="AW75" s="878">
        <v>0</v>
      </c>
      <c r="AX75" s="878">
        <f>SUM(AX43:AZ43)-SUM(AX69:AZ69)</f>
        <v>1335.0785640895626</v>
      </c>
      <c r="AY75" s="878">
        <v>0</v>
      </c>
      <c r="AZ75" s="878">
        <v>0</v>
      </c>
      <c r="BA75" s="878">
        <f>SUM(BA43:BC43)-SUM(BA69:BC69)</f>
        <v>1335.0785640895626</v>
      </c>
      <c r="BB75" s="878">
        <v>0</v>
      </c>
      <c r="BC75" s="878">
        <v>0</v>
      </c>
      <c r="BD75" s="878">
        <f>SUM(BD43:BF43)-SUM(BD69:BF69)</f>
        <v>1335.0785640895626</v>
      </c>
      <c r="BE75" s="878">
        <v>0</v>
      </c>
      <c r="BF75" s="878">
        <v>0</v>
      </c>
      <c r="BG75" s="878">
        <f>SUM(BG43:BI43)-SUM(BG69:BI69)</f>
        <v>1335.0785640895626</v>
      </c>
      <c r="BH75" s="878">
        <v>0</v>
      </c>
      <c r="BI75" s="878">
        <v>0</v>
      </c>
      <c r="BJ75" s="878">
        <f>SUM(BJ43:BL43)-SUM(BJ69:BL69)</f>
        <v>1335.0785640895626</v>
      </c>
      <c r="BK75" s="878">
        <v>0</v>
      </c>
      <c r="BL75" s="878">
        <v>0</v>
      </c>
      <c r="BM75" s="878">
        <f>SUM(BM43:BO43)-SUM(BM69:BO69)</f>
        <v>1335.0785640895626</v>
      </c>
      <c r="BN75" s="878">
        <v>0</v>
      </c>
      <c r="BO75" s="878">
        <v>0</v>
      </c>
    </row>
    <row r="76" spans="1:67" s="18" customFormat="1">
      <c r="A76" s="866">
        <v>32</v>
      </c>
      <c r="B76" s="76" t="s">
        <v>2111</v>
      </c>
      <c r="C76" s="76" t="s">
        <v>2280</v>
      </c>
      <c r="D76" s="875"/>
      <c r="E76" s="872"/>
      <c r="F76" s="886">
        <v>0.75</v>
      </c>
      <c r="G76" s="887">
        <v>0</v>
      </c>
      <c r="H76" s="887">
        <v>0</v>
      </c>
      <c r="I76" s="887">
        <v>0</v>
      </c>
      <c r="J76" s="887">
        <v>0</v>
      </c>
      <c r="K76" s="186">
        <f>K75*100%</f>
        <v>0</v>
      </c>
      <c r="L76" s="878">
        <f>(G43-G69)+(L75-(G43-G69))*$F$76</f>
        <v>282.96069592905275</v>
      </c>
      <c r="M76" s="878">
        <f t="shared" ref="M76:AK76" si="627">M75*$F$76</f>
        <v>0</v>
      </c>
      <c r="N76" s="878">
        <f t="shared" si="627"/>
        <v>125.46851648608252</v>
      </c>
      <c r="O76" s="878">
        <f t="shared" si="627"/>
        <v>0</v>
      </c>
      <c r="P76" s="878">
        <f t="shared" si="627"/>
        <v>0</v>
      </c>
      <c r="Q76" s="878">
        <f t="shared" si="627"/>
        <v>271.96561958828056</v>
      </c>
      <c r="R76" s="878">
        <f t="shared" si="627"/>
        <v>0</v>
      </c>
      <c r="S76" s="878">
        <f t="shared" si="627"/>
        <v>0</v>
      </c>
      <c r="T76" s="878">
        <f t="shared" si="627"/>
        <v>564.59982136185329</v>
      </c>
      <c r="U76" s="878">
        <f t="shared" si="627"/>
        <v>0</v>
      </c>
      <c r="V76" s="878">
        <f t="shared" si="627"/>
        <v>0</v>
      </c>
      <c r="W76" s="878">
        <f t="shared" si="627"/>
        <v>598.93145190956807</v>
      </c>
      <c r="X76" s="878">
        <f t="shared" si="627"/>
        <v>0</v>
      </c>
      <c r="Y76" s="878">
        <f t="shared" si="627"/>
        <v>0</v>
      </c>
      <c r="Z76" s="878">
        <f t="shared" si="627"/>
        <v>706.68015590732625</v>
      </c>
      <c r="AA76" s="878">
        <f t="shared" si="627"/>
        <v>0</v>
      </c>
      <c r="AB76" s="878">
        <f t="shared" si="627"/>
        <v>0</v>
      </c>
      <c r="AC76" s="878">
        <f t="shared" si="627"/>
        <v>818.16949055900022</v>
      </c>
      <c r="AD76" s="878">
        <f t="shared" si="627"/>
        <v>0</v>
      </c>
      <c r="AE76" s="878">
        <f t="shared" si="627"/>
        <v>0</v>
      </c>
      <c r="AF76" s="878">
        <f t="shared" si="627"/>
        <v>891.59593335512773</v>
      </c>
      <c r="AG76" s="878">
        <f t="shared" si="627"/>
        <v>0</v>
      </c>
      <c r="AH76" s="878">
        <f t="shared" si="627"/>
        <v>0</v>
      </c>
      <c r="AI76" s="878">
        <f t="shared" si="627"/>
        <v>965.63711417423053</v>
      </c>
      <c r="AJ76" s="878">
        <f t="shared" si="627"/>
        <v>0</v>
      </c>
      <c r="AK76" s="878">
        <f t="shared" si="627"/>
        <v>0</v>
      </c>
      <c r="AL76" s="878">
        <f t="shared" ref="AL76:BO76" si="628">AL75*$F$76</f>
        <v>1001.8446373528861</v>
      </c>
      <c r="AM76" s="878">
        <f t="shared" si="628"/>
        <v>0</v>
      </c>
      <c r="AN76" s="878">
        <f t="shared" si="628"/>
        <v>0</v>
      </c>
      <c r="AO76" s="878">
        <f t="shared" si="628"/>
        <v>1001.6660659243148</v>
      </c>
      <c r="AP76" s="878">
        <f t="shared" si="628"/>
        <v>0</v>
      </c>
      <c r="AQ76" s="878">
        <f t="shared" si="628"/>
        <v>0</v>
      </c>
      <c r="AR76" s="878">
        <f t="shared" si="628"/>
        <v>1001.3089230671719</v>
      </c>
      <c r="AS76" s="878">
        <f t="shared" si="628"/>
        <v>0</v>
      </c>
      <c r="AT76" s="878">
        <f t="shared" si="628"/>
        <v>0</v>
      </c>
      <c r="AU76" s="878">
        <f t="shared" si="628"/>
        <v>1001.3089230671719</v>
      </c>
      <c r="AV76" s="878">
        <f t="shared" si="628"/>
        <v>0</v>
      </c>
      <c r="AW76" s="878">
        <f t="shared" si="628"/>
        <v>0</v>
      </c>
      <c r="AX76" s="878">
        <f t="shared" si="628"/>
        <v>1001.3089230671719</v>
      </c>
      <c r="AY76" s="878">
        <f t="shared" si="628"/>
        <v>0</v>
      </c>
      <c r="AZ76" s="878">
        <f t="shared" si="628"/>
        <v>0</v>
      </c>
      <c r="BA76" s="878">
        <f t="shared" si="628"/>
        <v>1001.3089230671719</v>
      </c>
      <c r="BB76" s="878">
        <f t="shared" si="628"/>
        <v>0</v>
      </c>
      <c r="BC76" s="878">
        <f t="shared" si="628"/>
        <v>0</v>
      </c>
      <c r="BD76" s="878">
        <f t="shared" si="628"/>
        <v>1001.3089230671719</v>
      </c>
      <c r="BE76" s="878">
        <f t="shared" si="628"/>
        <v>0</v>
      </c>
      <c r="BF76" s="878">
        <f t="shared" si="628"/>
        <v>0</v>
      </c>
      <c r="BG76" s="878">
        <f t="shared" si="628"/>
        <v>1001.3089230671719</v>
      </c>
      <c r="BH76" s="878">
        <f t="shared" si="628"/>
        <v>0</v>
      </c>
      <c r="BI76" s="878">
        <f t="shared" si="628"/>
        <v>0</v>
      </c>
      <c r="BJ76" s="878">
        <f t="shared" si="628"/>
        <v>1001.3089230671719</v>
      </c>
      <c r="BK76" s="878">
        <f t="shared" si="628"/>
        <v>0</v>
      </c>
      <c r="BL76" s="878">
        <f t="shared" si="628"/>
        <v>0</v>
      </c>
      <c r="BM76" s="878">
        <f t="shared" si="628"/>
        <v>1001.3089230671719</v>
      </c>
      <c r="BN76" s="878">
        <f t="shared" si="628"/>
        <v>0</v>
      </c>
      <c r="BO76" s="878">
        <f t="shared" si="628"/>
        <v>0</v>
      </c>
    </row>
    <row r="77" spans="1:67" s="18" customFormat="1">
      <c r="A77" s="866">
        <v>32</v>
      </c>
      <c r="B77" s="76" t="s">
        <v>2109</v>
      </c>
      <c r="C77" s="76" t="s">
        <v>2280</v>
      </c>
      <c r="D77" s="875"/>
      <c r="E77" s="872"/>
      <c r="F77" s="886">
        <v>0.25</v>
      </c>
      <c r="G77" s="887">
        <v>0</v>
      </c>
      <c r="H77" s="887">
        <v>0</v>
      </c>
      <c r="I77" s="887">
        <v>0</v>
      </c>
      <c r="J77" s="887">
        <v>0</v>
      </c>
      <c r="K77" s="186">
        <v>0</v>
      </c>
      <c r="L77" s="878">
        <f>L75-L76</f>
        <v>24.959909978785447</v>
      </c>
      <c r="M77" s="878">
        <f t="shared" ref="M77:AK77" si="629">M75*$F$77</f>
        <v>0</v>
      </c>
      <c r="N77" s="878">
        <f t="shared" si="629"/>
        <v>41.822838828694174</v>
      </c>
      <c r="O77" s="878">
        <f t="shared" si="629"/>
        <v>0</v>
      </c>
      <c r="P77" s="878">
        <f t="shared" si="629"/>
        <v>0</v>
      </c>
      <c r="Q77" s="878">
        <f t="shared" si="629"/>
        <v>90.655206529426863</v>
      </c>
      <c r="R77" s="878">
        <f t="shared" si="629"/>
        <v>0</v>
      </c>
      <c r="S77" s="878">
        <f t="shared" si="629"/>
        <v>0</v>
      </c>
      <c r="T77" s="878">
        <f t="shared" si="629"/>
        <v>188.19994045395109</v>
      </c>
      <c r="U77" s="878">
        <f t="shared" si="629"/>
        <v>0</v>
      </c>
      <c r="V77" s="878">
        <f t="shared" si="629"/>
        <v>0</v>
      </c>
      <c r="W77" s="878">
        <f t="shared" si="629"/>
        <v>199.64381730318937</v>
      </c>
      <c r="X77" s="878">
        <f t="shared" si="629"/>
        <v>0</v>
      </c>
      <c r="Y77" s="878">
        <f t="shared" si="629"/>
        <v>0</v>
      </c>
      <c r="Z77" s="878">
        <f t="shared" si="629"/>
        <v>235.56005196910877</v>
      </c>
      <c r="AA77" s="878">
        <f t="shared" si="629"/>
        <v>0</v>
      </c>
      <c r="AB77" s="878">
        <f t="shared" si="629"/>
        <v>0</v>
      </c>
      <c r="AC77" s="878">
        <f t="shared" si="629"/>
        <v>272.72316351966674</v>
      </c>
      <c r="AD77" s="878">
        <f t="shared" si="629"/>
        <v>0</v>
      </c>
      <c r="AE77" s="878">
        <f t="shared" si="629"/>
        <v>0</v>
      </c>
      <c r="AF77" s="878">
        <f t="shared" si="629"/>
        <v>297.19864445170924</v>
      </c>
      <c r="AG77" s="878">
        <f t="shared" si="629"/>
        <v>0</v>
      </c>
      <c r="AH77" s="878">
        <f t="shared" si="629"/>
        <v>0</v>
      </c>
      <c r="AI77" s="878">
        <f t="shared" si="629"/>
        <v>321.87903805807684</v>
      </c>
      <c r="AJ77" s="878">
        <f t="shared" si="629"/>
        <v>0</v>
      </c>
      <c r="AK77" s="878">
        <f t="shared" si="629"/>
        <v>0</v>
      </c>
      <c r="AL77" s="878">
        <f t="shared" ref="AL77:BO77" si="630">AL75*$F$77</f>
        <v>333.94821245096205</v>
      </c>
      <c r="AM77" s="878">
        <f t="shared" si="630"/>
        <v>0</v>
      </c>
      <c r="AN77" s="878">
        <f t="shared" si="630"/>
        <v>0</v>
      </c>
      <c r="AO77" s="878">
        <f t="shared" si="630"/>
        <v>333.88868864143825</v>
      </c>
      <c r="AP77" s="878">
        <f t="shared" si="630"/>
        <v>0</v>
      </c>
      <c r="AQ77" s="878">
        <f t="shared" si="630"/>
        <v>0</v>
      </c>
      <c r="AR77" s="878">
        <f t="shared" si="630"/>
        <v>333.76964102239066</v>
      </c>
      <c r="AS77" s="878">
        <f t="shared" si="630"/>
        <v>0</v>
      </c>
      <c r="AT77" s="878">
        <f t="shared" si="630"/>
        <v>0</v>
      </c>
      <c r="AU77" s="878">
        <f t="shared" si="630"/>
        <v>333.76964102239066</v>
      </c>
      <c r="AV77" s="878">
        <f t="shared" si="630"/>
        <v>0</v>
      </c>
      <c r="AW77" s="878">
        <f t="shared" si="630"/>
        <v>0</v>
      </c>
      <c r="AX77" s="878">
        <f t="shared" si="630"/>
        <v>333.76964102239066</v>
      </c>
      <c r="AY77" s="878">
        <f t="shared" si="630"/>
        <v>0</v>
      </c>
      <c r="AZ77" s="878">
        <f t="shared" si="630"/>
        <v>0</v>
      </c>
      <c r="BA77" s="878">
        <f t="shared" si="630"/>
        <v>333.76964102239066</v>
      </c>
      <c r="BB77" s="878">
        <f t="shared" si="630"/>
        <v>0</v>
      </c>
      <c r="BC77" s="878">
        <f t="shared" si="630"/>
        <v>0</v>
      </c>
      <c r="BD77" s="878">
        <f t="shared" si="630"/>
        <v>333.76964102239066</v>
      </c>
      <c r="BE77" s="878">
        <f t="shared" si="630"/>
        <v>0</v>
      </c>
      <c r="BF77" s="878">
        <f t="shared" si="630"/>
        <v>0</v>
      </c>
      <c r="BG77" s="878">
        <f t="shared" si="630"/>
        <v>333.76964102239066</v>
      </c>
      <c r="BH77" s="878">
        <f t="shared" si="630"/>
        <v>0</v>
      </c>
      <c r="BI77" s="878">
        <f t="shared" si="630"/>
        <v>0</v>
      </c>
      <c r="BJ77" s="878">
        <f t="shared" si="630"/>
        <v>333.76964102239066</v>
      </c>
      <c r="BK77" s="878">
        <f t="shared" si="630"/>
        <v>0</v>
      </c>
      <c r="BL77" s="878">
        <f t="shared" si="630"/>
        <v>0</v>
      </c>
      <c r="BM77" s="878">
        <f t="shared" si="630"/>
        <v>333.76964102239066</v>
      </c>
      <c r="BN77" s="878">
        <f t="shared" si="630"/>
        <v>0</v>
      </c>
      <c r="BO77" s="878">
        <f t="shared" si="630"/>
        <v>0</v>
      </c>
    </row>
    <row r="78" spans="1:67" s="18" customFormat="1">
      <c r="A78" s="866">
        <v>32</v>
      </c>
      <c r="B78" s="76" t="s">
        <v>2109</v>
      </c>
      <c r="C78" s="76" t="s">
        <v>2281</v>
      </c>
      <c r="D78" s="875"/>
      <c r="E78" s="872"/>
      <c r="F78" s="886">
        <v>0.05</v>
      </c>
      <c r="G78" s="887">
        <v>0</v>
      </c>
      <c r="H78" s="887">
        <v>0</v>
      </c>
      <c r="I78" s="887">
        <v>0</v>
      </c>
      <c r="J78" s="887">
        <v>0</v>
      </c>
      <c r="K78" s="186">
        <f t="shared" ref="K78:AK78" si="631">K77*(1-$F$78)</f>
        <v>0</v>
      </c>
      <c r="L78" s="878">
        <f t="shared" si="631"/>
        <v>23.711914479846172</v>
      </c>
      <c r="M78" s="878">
        <f t="shared" si="631"/>
        <v>0</v>
      </c>
      <c r="N78" s="878">
        <f t="shared" si="631"/>
        <v>39.73169688725946</v>
      </c>
      <c r="O78" s="878">
        <f t="shared" si="631"/>
        <v>0</v>
      </c>
      <c r="P78" s="878">
        <f t="shared" si="631"/>
        <v>0</v>
      </c>
      <c r="Q78" s="878">
        <f t="shared" si="631"/>
        <v>86.122446202955516</v>
      </c>
      <c r="R78" s="878">
        <f t="shared" si="631"/>
        <v>0</v>
      </c>
      <c r="S78" s="878">
        <f t="shared" si="631"/>
        <v>0</v>
      </c>
      <c r="T78" s="878">
        <f t="shared" si="631"/>
        <v>178.78994343125353</v>
      </c>
      <c r="U78" s="878">
        <f t="shared" si="631"/>
        <v>0</v>
      </c>
      <c r="V78" s="878">
        <f t="shared" si="631"/>
        <v>0</v>
      </c>
      <c r="W78" s="878">
        <f t="shared" si="631"/>
        <v>189.66162643802988</v>
      </c>
      <c r="X78" s="878">
        <f t="shared" si="631"/>
        <v>0</v>
      </c>
      <c r="Y78" s="878">
        <f t="shared" si="631"/>
        <v>0</v>
      </c>
      <c r="Z78" s="878">
        <f t="shared" si="631"/>
        <v>223.78204937065331</v>
      </c>
      <c r="AA78" s="878">
        <f t="shared" si="631"/>
        <v>0</v>
      </c>
      <c r="AB78" s="878">
        <f t="shared" si="631"/>
        <v>0</v>
      </c>
      <c r="AC78" s="878">
        <f t="shared" si="631"/>
        <v>259.08700534368342</v>
      </c>
      <c r="AD78" s="878">
        <f t="shared" si="631"/>
        <v>0</v>
      </c>
      <c r="AE78" s="878">
        <f t="shared" si="631"/>
        <v>0</v>
      </c>
      <c r="AF78" s="878">
        <f t="shared" si="631"/>
        <v>282.33871222912376</v>
      </c>
      <c r="AG78" s="878">
        <f t="shared" si="631"/>
        <v>0</v>
      </c>
      <c r="AH78" s="878">
        <f t="shared" si="631"/>
        <v>0</v>
      </c>
      <c r="AI78" s="878">
        <f t="shared" si="631"/>
        <v>305.78508615517296</v>
      </c>
      <c r="AJ78" s="878">
        <f t="shared" si="631"/>
        <v>0</v>
      </c>
      <c r="AK78" s="878">
        <f t="shared" si="631"/>
        <v>0</v>
      </c>
      <c r="AL78" s="878">
        <f t="shared" ref="AL78:BO78" si="632">AL77*(1-$F$78)</f>
        <v>317.25080182841396</v>
      </c>
      <c r="AM78" s="878">
        <f t="shared" si="632"/>
        <v>0</v>
      </c>
      <c r="AN78" s="878">
        <f t="shared" si="632"/>
        <v>0</v>
      </c>
      <c r="AO78" s="878">
        <f t="shared" si="632"/>
        <v>317.19425420936631</v>
      </c>
      <c r="AP78" s="878">
        <f t="shared" si="632"/>
        <v>0</v>
      </c>
      <c r="AQ78" s="878">
        <f t="shared" si="632"/>
        <v>0</v>
      </c>
      <c r="AR78" s="878">
        <f t="shared" si="632"/>
        <v>317.08115897127112</v>
      </c>
      <c r="AS78" s="878">
        <f t="shared" si="632"/>
        <v>0</v>
      </c>
      <c r="AT78" s="878">
        <f t="shared" si="632"/>
        <v>0</v>
      </c>
      <c r="AU78" s="878">
        <f t="shared" si="632"/>
        <v>317.08115897127112</v>
      </c>
      <c r="AV78" s="878">
        <f t="shared" si="632"/>
        <v>0</v>
      </c>
      <c r="AW78" s="878">
        <f t="shared" si="632"/>
        <v>0</v>
      </c>
      <c r="AX78" s="878">
        <f t="shared" si="632"/>
        <v>317.08115897127112</v>
      </c>
      <c r="AY78" s="878">
        <f t="shared" si="632"/>
        <v>0</v>
      </c>
      <c r="AZ78" s="878">
        <f t="shared" si="632"/>
        <v>0</v>
      </c>
      <c r="BA78" s="878">
        <f t="shared" si="632"/>
        <v>317.08115897127112</v>
      </c>
      <c r="BB78" s="878">
        <f t="shared" si="632"/>
        <v>0</v>
      </c>
      <c r="BC78" s="878">
        <f t="shared" si="632"/>
        <v>0</v>
      </c>
      <c r="BD78" s="878">
        <f t="shared" si="632"/>
        <v>317.08115897127112</v>
      </c>
      <c r="BE78" s="878">
        <f t="shared" si="632"/>
        <v>0</v>
      </c>
      <c r="BF78" s="878">
        <f t="shared" si="632"/>
        <v>0</v>
      </c>
      <c r="BG78" s="878">
        <f t="shared" si="632"/>
        <v>317.08115897127112</v>
      </c>
      <c r="BH78" s="878">
        <f t="shared" si="632"/>
        <v>0</v>
      </c>
      <c r="BI78" s="878">
        <f t="shared" si="632"/>
        <v>0</v>
      </c>
      <c r="BJ78" s="878">
        <f t="shared" si="632"/>
        <v>317.08115897127112</v>
      </c>
      <c r="BK78" s="878">
        <f t="shared" si="632"/>
        <v>0</v>
      </c>
      <c r="BL78" s="878">
        <f t="shared" si="632"/>
        <v>0</v>
      </c>
      <c r="BM78" s="878">
        <f t="shared" si="632"/>
        <v>317.08115897127112</v>
      </c>
      <c r="BN78" s="878">
        <f t="shared" si="632"/>
        <v>0</v>
      </c>
      <c r="BO78" s="878">
        <f t="shared" si="632"/>
        <v>0</v>
      </c>
    </row>
    <row r="81" spans="31:31">
      <c r="AE81" s="17">
        <f>3500+1600</f>
        <v>5100</v>
      </c>
    </row>
    <row r="82" spans="31:31">
      <c r="AE82" s="17">
        <v>3100</v>
      </c>
    </row>
    <row r="83" spans="31:31">
      <c r="AE83" s="17">
        <v>2000</v>
      </c>
    </row>
  </sheetData>
  <autoFilter ref="B3:S38" xr:uid="{00000000-0009-0000-0000-000004000000}"/>
  <printOptions headings="1" gridLines="1"/>
  <pageMargins left="0.196850393700787" right="0.118110236220472" top="0.35433070866141703" bottom="0.35433070866141703" header="0.31496062992126" footer="0.31496062992126"/>
  <pageSetup paperSize="8" scale="26" fitToHeight="2" orientation="landscape" r:id="rId1"/>
  <headerFooter>
    <oddHeader>&amp;C&amp;G</oddHeader>
    <oddFooter>&amp;L&amp;8FN: &amp;F-&amp;A&amp;C&amp;G&amp;R&amp;8&amp;D</oddFooter>
  </headerFooter>
  <legacyDrawing r:id="rId2"/>
  <legacyDrawingHF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62F2C-44B0-44B2-BFD9-F6FED00614DB}">
  <sheetPr>
    <tabColor rgb="FFFFFF00"/>
    <pageSetUpPr fitToPage="1"/>
  </sheetPr>
  <dimension ref="A2:BU81"/>
  <sheetViews>
    <sheetView zoomScale="85" workbookViewId="0">
      <pane xSplit="3" ySplit="3" topLeftCell="AV4" activePane="bottomRight" state="frozen"/>
      <selection pane="topRight" activeCell="D1" sqref="D1"/>
      <selection pane="bottomLeft" activeCell="A4" sqref="A4"/>
      <selection pane="bottomRight" activeCell="N14" sqref="N14"/>
    </sheetView>
  </sheetViews>
  <sheetFormatPr defaultColWidth="8.625" defaultRowHeight="12.75"/>
  <cols>
    <col min="1" max="1" width="1.125" style="17" customWidth="1"/>
    <col min="2" max="2" width="3.5" style="17" customWidth="1"/>
    <col min="3" max="3" width="38" style="17" customWidth="1"/>
    <col min="4" max="4" width="10.125" style="17" customWidth="1"/>
    <col min="5" max="5" width="9.125" style="17" customWidth="1"/>
    <col min="6" max="6" width="9.125" style="18" customWidth="1"/>
    <col min="7" max="19" width="13.5" style="18" customWidth="1"/>
    <col min="20" max="20" width="13.625" style="17" customWidth="1"/>
    <col min="21" max="30" width="8.625" style="17"/>
    <col min="31" max="31" width="9.625" style="17" customWidth="1"/>
    <col min="32" max="16384" width="8.625" style="17"/>
  </cols>
  <sheetData>
    <row r="2" spans="1:73">
      <c r="C2" s="865">
        <v>1</v>
      </c>
      <c r="D2" s="865">
        <v>2</v>
      </c>
      <c r="E2" s="865"/>
      <c r="F2" s="865">
        <v>3</v>
      </c>
      <c r="G2" s="865">
        <v>18</v>
      </c>
      <c r="H2" s="865">
        <v>19</v>
      </c>
      <c r="I2" s="865">
        <v>20</v>
      </c>
      <c r="J2" s="865">
        <v>21</v>
      </c>
      <c r="K2" s="865">
        <v>22</v>
      </c>
      <c r="L2" s="865">
        <v>23</v>
      </c>
      <c r="M2" s="865">
        <v>24</v>
      </c>
      <c r="N2" s="865">
        <v>25</v>
      </c>
      <c r="O2" s="865">
        <v>26</v>
      </c>
      <c r="P2" s="865">
        <v>27</v>
      </c>
      <c r="Q2" s="865">
        <v>28</v>
      </c>
      <c r="R2" s="865">
        <v>29</v>
      </c>
      <c r="S2" s="865">
        <v>30</v>
      </c>
      <c r="T2" s="865">
        <v>31</v>
      </c>
      <c r="U2" s="865">
        <v>32</v>
      </c>
      <c r="V2" s="865">
        <v>33</v>
      </c>
      <c r="W2" s="865">
        <v>34</v>
      </c>
      <c r="X2" s="865">
        <v>35</v>
      </c>
      <c r="Y2" s="865">
        <v>36</v>
      </c>
      <c r="Z2" s="865">
        <v>37</v>
      </c>
      <c r="AA2" s="865">
        <v>38</v>
      </c>
      <c r="AB2" s="865">
        <v>39</v>
      </c>
      <c r="AC2" s="865">
        <v>40</v>
      </c>
      <c r="AD2" s="865">
        <v>41</v>
      </c>
      <c r="AE2" s="865">
        <v>42</v>
      </c>
      <c r="AF2" s="865">
        <v>43</v>
      </c>
      <c r="AG2" s="865">
        <v>44</v>
      </c>
      <c r="AH2" s="865">
        <v>45</v>
      </c>
      <c r="AI2" s="865">
        <v>46</v>
      </c>
      <c r="AJ2" s="865">
        <v>47</v>
      </c>
      <c r="AK2" s="865">
        <v>48</v>
      </c>
    </row>
    <row r="3" spans="1:73" s="14" customFormat="1">
      <c r="A3" s="866">
        <v>1</v>
      </c>
      <c r="B3" s="67"/>
      <c r="C3" s="67"/>
      <c r="D3" s="67"/>
      <c r="E3" s="67"/>
      <c r="F3" s="68"/>
      <c r="G3" s="71">
        <v>45992</v>
      </c>
      <c r="H3" s="71">
        <v>46023</v>
      </c>
      <c r="I3" s="71">
        <v>46054</v>
      </c>
      <c r="J3" s="71">
        <v>46082</v>
      </c>
      <c r="K3" s="71">
        <v>46113</v>
      </c>
      <c r="L3" s="71">
        <v>46143</v>
      </c>
      <c r="M3" s="71">
        <v>46174</v>
      </c>
      <c r="N3" s="71">
        <v>46204</v>
      </c>
      <c r="O3" s="71">
        <v>46235</v>
      </c>
      <c r="P3" s="71">
        <v>46266</v>
      </c>
      <c r="Q3" s="71">
        <v>46296</v>
      </c>
      <c r="R3" s="71">
        <v>46327</v>
      </c>
      <c r="S3" s="71">
        <v>46357</v>
      </c>
      <c r="T3" s="71">
        <v>46388</v>
      </c>
      <c r="U3" s="71">
        <v>46419</v>
      </c>
      <c r="V3" s="71">
        <v>46447</v>
      </c>
      <c r="W3" s="71">
        <v>46478</v>
      </c>
      <c r="X3" s="71">
        <v>46508</v>
      </c>
      <c r="Y3" s="71">
        <v>46539</v>
      </c>
      <c r="Z3" s="71">
        <v>46569</v>
      </c>
      <c r="AA3" s="71">
        <v>46600</v>
      </c>
      <c r="AB3" s="71">
        <v>46631</v>
      </c>
      <c r="AC3" s="71">
        <v>46661</v>
      </c>
      <c r="AD3" s="71">
        <v>46692</v>
      </c>
      <c r="AE3" s="71">
        <v>46722</v>
      </c>
      <c r="AF3" s="71">
        <v>46753</v>
      </c>
      <c r="AG3" s="71">
        <v>46784</v>
      </c>
      <c r="AH3" s="71">
        <v>46813</v>
      </c>
      <c r="AI3" s="71">
        <v>46844</v>
      </c>
      <c r="AJ3" s="71">
        <v>46874</v>
      </c>
      <c r="AK3" s="71">
        <v>46905</v>
      </c>
      <c r="AL3" s="71">
        <v>46935</v>
      </c>
      <c r="AM3" s="71">
        <v>46966</v>
      </c>
      <c r="AN3" s="71">
        <v>46997</v>
      </c>
      <c r="AO3" s="71">
        <v>47027</v>
      </c>
      <c r="AP3" s="71">
        <v>47058</v>
      </c>
      <c r="AQ3" s="71">
        <v>47088</v>
      </c>
      <c r="AR3" s="71">
        <v>47119</v>
      </c>
      <c r="AS3" s="71">
        <v>47150</v>
      </c>
      <c r="AT3" s="71">
        <v>47178</v>
      </c>
      <c r="AU3" s="71">
        <v>47209</v>
      </c>
      <c r="AV3" s="71">
        <v>47239</v>
      </c>
      <c r="AW3" s="71">
        <v>47270</v>
      </c>
      <c r="AX3" s="71">
        <v>47300</v>
      </c>
      <c r="AY3" s="71">
        <v>47331</v>
      </c>
      <c r="AZ3" s="71">
        <v>47362</v>
      </c>
      <c r="BA3" s="71">
        <v>47392</v>
      </c>
      <c r="BB3" s="71">
        <v>47423</v>
      </c>
      <c r="BC3" s="71">
        <v>47453</v>
      </c>
      <c r="BD3" s="71">
        <v>47484</v>
      </c>
      <c r="BE3" s="71">
        <v>47515</v>
      </c>
      <c r="BF3" s="71">
        <v>47543</v>
      </c>
      <c r="BG3" s="71">
        <v>47574</v>
      </c>
      <c r="BH3" s="71">
        <v>47604</v>
      </c>
      <c r="BI3" s="71">
        <v>47635</v>
      </c>
      <c r="BJ3" s="71">
        <v>47665</v>
      </c>
      <c r="BK3" s="71">
        <v>47696</v>
      </c>
      <c r="BL3" s="71">
        <v>47727</v>
      </c>
      <c r="BM3" s="71">
        <v>47757</v>
      </c>
      <c r="BN3" s="71">
        <v>47788</v>
      </c>
      <c r="BO3" s="71">
        <v>47818</v>
      </c>
    </row>
    <row r="4" spans="1:73" s="18" customFormat="1">
      <c r="B4" s="77"/>
      <c r="C4" s="77" t="s">
        <v>2217</v>
      </c>
      <c r="D4" s="77"/>
      <c r="E4" s="77"/>
      <c r="F4" s="173"/>
      <c r="G4" s="173"/>
      <c r="H4" s="173">
        <v>1</v>
      </c>
      <c r="I4" s="173">
        <v>0</v>
      </c>
      <c r="J4" s="173">
        <v>0</v>
      </c>
      <c r="K4" s="173">
        <v>1</v>
      </c>
      <c r="L4" s="173">
        <v>0</v>
      </c>
      <c r="M4" s="173">
        <v>0</v>
      </c>
      <c r="N4" s="173">
        <v>1</v>
      </c>
      <c r="O4" s="173">
        <v>0</v>
      </c>
      <c r="P4" s="173">
        <v>0</v>
      </c>
      <c r="Q4" s="173">
        <v>1</v>
      </c>
      <c r="R4" s="173">
        <v>0</v>
      </c>
      <c r="S4" s="173">
        <v>0</v>
      </c>
      <c r="T4" s="173">
        <v>1</v>
      </c>
      <c r="U4" s="173">
        <v>0</v>
      </c>
      <c r="V4" s="173">
        <v>0</v>
      </c>
      <c r="W4" s="173">
        <v>1</v>
      </c>
      <c r="X4" s="173">
        <v>0</v>
      </c>
      <c r="Y4" s="173">
        <v>0</v>
      </c>
      <c r="Z4" s="173">
        <v>1</v>
      </c>
      <c r="AA4" s="173">
        <v>0</v>
      </c>
      <c r="AB4" s="173">
        <v>0</v>
      </c>
      <c r="AC4" s="173">
        <v>1</v>
      </c>
      <c r="AD4" s="173">
        <v>0</v>
      </c>
      <c r="AE4" s="173">
        <v>0</v>
      </c>
      <c r="AF4" s="173">
        <v>1</v>
      </c>
      <c r="AG4" s="173">
        <v>0</v>
      </c>
      <c r="AH4" s="173">
        <v>0</v>
      </c>
      <c r="AI4" s="173">
        <v>1</v>
      </c>
      <c r="AJ4" s="173">
        <v>0</v>
      </c>
      <c r="AK4" s="173">
        <v>0</v>
      </c>
      <c r="AL4" s="173">
        <v>1</v>
      </c>
      <c r="AM4" s="173">
        <v>0</v>
      </c>
      <c r="AN4" s="173">
        <v>0</v>
      </c>
      <c r="AO4" s="173">
        <v>1</v>
      </c>
      <c r="AP4" s="173">
        <v>0</v>
      </c>
      <c r="AQ4" s="173">
        <v>0</v>
      </c>
      <c r="AR4" s="173">
        <v>1</v>
      </c>
      <c r="AS4" s="173">
        <v>0</v>
      </c>
      <c r="AT4" s="173">
        <v>0</v>
      </c>
      <c r="AU4" s="173">
        <v>1</v>
      </c>
      <c r="AV4" s="173">
        <v>0</v>
      </c>
      <c r="AW4" s="173">
        <v>0</v>
      </c>
      <c r="AX4" s="173">
        <v>1</v>
      </c>
      <c r="AY4" s="173">
        <v>0</v>
      </c>
      <c r="AZ4" s="173">
        <v>0</v>
      </c>
      <c r="BA4" s="173">
        <v>1</v>
      </c>
      <c r="BB4" s="173">
        <v>0</v>
      </c>
      <c r="BC4" s="173">
        <v>0</v>
      </c>
      <c r="BD4" s="173">
        <v>1</v>
      </c>
      <c r="BE4" s="173">
        <v>0</v>
      </c>
      <c r="BF4" s="173">
        <v>0</v>
      </c>
      <c r="BG4" s="173">
        <v>1</v>
      </c>
      <c r="BH4" s="173">
        <v>0</v>
      </c>
      <c r="BI4" s="173">
        <v>0</v>
      </c>
      <c r="BJ4" s="173">
        <v>1</v>
      </c>
      <c r="BK4" s="173">
        <v>0</v>
      </c>
      <c r="BL4" s="173">
        <v>0</v>
      </c>
      <c r="BM4" s="173">
        <v>1</v>
      </c>
      <c r="BN4" s="173">
        <v>0</v>
      </c>
      <c r="BO4" s="173">
        <v>0</v>
      </c>
      <c r="BP4" s="173">
        <v>1</v>
      </c>
      <c r="BQ4" s="173">
        <v>0</v>
      </c>
      <c r="BR4" s="173">
        <v>0</v>
      </c>
      <c r="BS4" s="173">
        <v>1</v>
      </c>
      <c r="BT4" s="173">
        <v>0</v>
      </c>
      <c r="BU4" s="173">
        <v>0</v>
      </c>
    </row>
    <row r="5" spans="1:73" s="18" customFormat="1">
      <c r="A5" s="18">
        <v>2</v>
      </c>
      <c r="B5" s="77"/>
      <c r="C5" s="77" t="s">
        <v>2218</v>
      </c>
      <c r="D5" s="77"/>
      <c r="E5" s="77"/>
      <c r="F5" s="77"/>
      <c r="G5" s="77"/>
      <c r="H5" s="77">
        <v>0</v>
      </c>
      <c r="I5" s="77">
        <v>1</v>
      </c>
      <c r="J5" s="77">
        <v>1</v>
      </c>
      <c r="K5" s="77">
        <v>0</v>
      </c>
      <c r="L5" s="77">
        <v>1</v>
      </c>
      <c r="M5" s="77">
        <v>1</v>
      </c>
      <c r="N5" s="77">
        <v>0</v>
      </c>
      <c r="O5" s="77">
        <v>1</v>
      </c>
      <c r="P5" s="77">
        <v>1</v>
      </c>
      <c r="Q5" s="77">
        <v>0</v>
      </c>
      <c r="R5" s="77">
        <v>1</v>
      </c>
      <c r="S5" s="77">
        <v>1</v>
      </c>
      <c r="T5" s="77">
        <v>0</v>
      </c>
      <c r="U5" s="77">
        <v>1</v>
      </c>
      <c r="V5" s="77">
        <v>1</v>
      </c>
      <c r="W5" s="77">
        <v>0</v>
      </c>
      <c r="X5" s="77">
        <v>1</v>
      </c>
      <c r="Y5" s="77">
        <v>1</v>
      </c>
      <c r="Z5" s="77">
        <v>0</v>
      </c>
      <c r="AA5" s="77">
        <v>1</v>
      </c>
      <c r="AB5" s="77">
        <v>1</v>
      </c>
      <c r="AC5" s="77">
        <v>0</v>
      </c>
      <c r="AD5" s="77">
        <v>1</v>
      </c>
      <c r="AE5" s="77">
        <v>1</v>
      </c>
      <c r="AF5" s="77">
        <v>0</v>
      </c>
      <c r="AG5" s="77">
        <v>1</v>
      </c>
      <c r="AH5" s="77">
        <v>1</v>
      </c>
      <c r="AI5" s="77">
        <v>0</v>
      </c>
      <c r="AJ5" s="77">
        <v>1</v>
      </c>
      <c r="AK5" s="77">
        <v>1</v>
      </c>
      <c r="AL5" s="77">
        <v>0</v>
      </c>
      <c r="AM5" s="77">
        <v>1</v>
      </c>
      <c r="AN5" s="77">
        <v>1</v>
      </c>
      <c r="AO5" s="77">
        <v>0</v>
      </c>
      <c r="AP5" s="77">
        <v>1</v>
      </c>
      <c r="AQ5" s="77">
        <v>1</v>
      </c>
      <c r="AR5" s="77">
        <v>0</v>
      </c>
      <c r="AS5" s="77">
        <v>1</v>
      </c>
      <c r="AT5" s="77">
        <v>1</v>
      </c>
      <c r="AU5" s="77">
        <v>0</v>
      </c>
      <c r="AV5" s="77">
        <v>1</v>
      </c>
      <c r="AW5" s="77">
        <v>1</v>
      </c>
      <c r="AX5" s="77">
        <v>0</v>
      </c>
      <c r="AY5" s="77">
        <v>1</v>
      </c>
      <c r="AZ5" s="77">
        <v>1</v>
      </c>
      <c r="BA5" s="77">
        <v>0</v>
      </c>
      <c r="BB5" s="77">
        <v>1</v>
      </c>
      <c r="BC5" s="77">
        <v>1</v>
      </c>
      <c r="BD5" s="77">
        <v>0</v>
      </c>
      <c r="BE5" s="77">
        <v>1</v>
      </c>
      <c r="BF5" s="77">
        <v>1</v>
      </c>
      <c r="BG5" s="77">
        <v>0</v>
      </c>
      <c r="BH5" s="77">
        <v>1</v>
      </c>
      <c r="BI5" s="77">
        <v>1</v>
      </c>
      <c r="BJ5" s="77">
        <v>0</v>
      </c>
      <c r="BK5" s="77">
        <v>1</v>
      </c>
      <c r="BL5" s="77">
        <v>1</v>
      </c>
      <c r="BM5" s="77">
        <v>0</v>
      </c>
      <c r="BN5" s="77">
        <v>1</v>
      </c>
      <c r="BO5" s="77">
        <v>1</v>
      </c>
      <c r="BP5" s="77">
        <v>0</v>
      </c>
      <c r="BQ5" s="77">
        <v>1</v>
      </c>
      <c r="BR5" s="77">
        <v>1</v>
      </c>
      <c r="BS5" s="77">
        <v>0</v>
      </c>
      <c r="BT5" s="77">
        <v>1</v>
      </c>
      <c r="BU5" s="77">
        <v>1</v>
      </c>
    </row>
    <row r="6" spans="1:73">
      <c r="A6" s="866"/>
      <c r="B6" s="76"/>
      <c r="C6" s="867" t="s">
        <v>2219</v>
      </c>
      <c r="D6" s="76"/>
      <c r="E6" s="76"/>
      <c r="F6" s="77"/>
      <c r="G6" s="77"/>
      <c r="H6" s="77">
        <f t="shared" ref="H6:AK6" si="0">DAY(EOMONTH(H3,0))</f>
        <v>31</v>
      </c>
      <c r="I6" s="77">
        <f t="shared" si="0"/>
        <v>28</v>
      </c>
      <c r="J6" s="77">
        <f t="shared" si="0"/>
        <v>31</v>
      </c>
      <c r="K6" s="77">
        <f t="shared" si="0"/>
        <v>30</v>
      </c>
      <c r="L6" s="77">
        <f t="shared" si="0"/>
        <v>31</v>
      </c>
      <c r="M6" s="77">
        <f t="shared" si="0"/>
        <v>30</v>
      </c>
      <c r="N6" s="77">
        <f t="shared" si="0"/>
        <v>31</v>
      </c>
      <c r="O6" s="77">
        <f t="shared" si="0"/>
        <v>31</v>
      </c>
      <c r="P6" s="77">
        <f t="shared" si="0"/>
        <v>30</v>
      </c>
      <c r="Q6" s="77">
        <f t="shared" si="0"/>
        <v>31</v>
      </c>
      <c r="R6" s="77">
        <f t="shared" si="0"/>
        <v>30</v>
      </c>
      <c r="S6" s="77">
        <f t="shared" si="0"/>
        <v>31</v>
      </c>
      <c r="T6" s="77">
        <f t="shared" si="0"/>
        <v>31</v>
      </c>
      <c r="U6" s="77">
        <f t="shared" si="0"/>
        <v>28</v>
      </c>
      <c r="V6" s="77">
        <f t="shared" si="0"/>
        <v>31</v>
      </c>
      <c r="W6" s="77">
        <f t="shared" si="0"/>
        <v>30</v>
      </c>
      <c r="X6" s="77">
        <f t="shared" si="0"/>
        <v>31</v>
      </c>
      <c r="Y6" s="77">
        <f t="shared" si="0"/>
        <v>30</v>
      </c>
      <c r="Z6" s="77">
        <f t="shared" si="0"/>
        <v>31</v>
      </c>
      <c r="AA6" s="77">
        <f t="shared" si="0"/>
        <v>31</v>
      </c>
      <c r="AB6" s="77">
        <f t="shared" si="0"/>
        <v>30</v>
      </c>
      <c r="AC6" s="77">
        <f t="shared" si="0"/>
        <v>31</v>
      </c>
      <c r="AD6" s="77">
        <f t="shared" si="0"/>
        <v>30</v>
      </c>
      <c r="AE6" s="77">
        <f t="shared" si="0"/>
        <v>31</v>
      </c>
      <c r="AF6" s="77">
        <f t="shared" si="0"/>
        <v>31</v>
      </c>
      <c r="AG6" s="77">
        <f t="shared" si="0"/>
        <v>29</v>
      </c>
      <c r="AH6" s="77">
        <f t="shared" si="0"/>
        <v>31</v>
      </c>
      <c r="AI6" s="77">
        <f t="shared" si="0"/>
        <v>30</v>
      </c>
      <c r="AJ6" s="77">
        <f t="shared" si="0"/>
        <v>31</v>
      </c>
      <c r="AK6" s="77">
        <f t="shared" si="0"/>
        <v>30</v>
      </c>
      <c r="AL6" s="77">
        <f t="shared" ref="AL6:BU6" si="1">DAY(EOMONTH(AL3,0))</f>
        <v>31</v>
      </c>
      <c r="AM6" s="77">
        <f t="shared" si="1"/>
        <v>31</v>
      </c>
      <c r="AN6" s="77">
        <f t="shared" si="1"/>
        <v>30</v>
      </c>
      <c r="AO6" s="77">
        <f t="shared" si="1"/>
        <v>31</v>
      </c>
      <c r="AP6" s="77">
        <f t="shared" si="1"/>
        <v>30</v>
      </c>
      <c r="AQ6" s="77">
        <f t="shared" si="1"/>
        <v>31</v>
      </c>
      <c r="AR6" s="77">
        <f t="shared" si="1"/>
        <v>31</v>
      </c>
      <c r="AS6" s="77">
        <f t="shared" si="1"/>
        <v>28</v>
      </c>
      <c r="AT6" s="77">
        <f t="shared" si="1"/>
        <v>31</v>
      </c>
      <c r="AU6" s="77">
        <f t="shared" si="1"/>
        <v>30</v>
      </c>
      <c r="AV6" s="77">
        <f t="shared" si="1"/>
        <v>31</v>
      </c>
      <c r="AW6" s="77">
        <f t="shared" si="1"/>
        <v>30</v>
      </c>
      <c r="AX6" s="77">
        <f t="shared" si="1"/>
        <v>31</v>
      </c>
      <c r="AY6" s="77">
        <f t="shared" si="1"/>
        <v>31</v>
      </c>
      <c r="AZ6" s="77">
        <f t="shared" si="1"/>
        <v>30</v>
      </c>
      <c r="BA6" s="77">
        <f t="shared" si="1"/>
        <v>31</v>
      </c>
      <c r="BB6" s="77">
        <f t="shared" si="1"/>
        <v>30</v>
      </c>
      <c r="BC6" s="77">
        <f t="shared" si="1"/>
        <v>31</v>
      </c>
      <c r="BD6" s="77">
        <f t="shared" si="1"/>
        <v>31</v>
      </c>
      <c r="BE6" s="77">
        <f t="shared" si="1"/>
        <v>28</v>
      </c>
      <c r="BF6" s="77">
        <f t="shared" si="1"/>
        <v>31</v>
      </c>
      <c r="BG6" s="77">
        <f t="shared" si="1"/>
        <v>30</v>
      </c>
      <c r="BH6" s="77">
        <f t="shared" si="1"/>
        <v>31</v>
      </c>
      <c r="BI6" s="77">
        <f t="shared" si="1"/>
        <v>30</v>
      </c>
      <c r="BJ6" s="77">
        <f t="shared" si="1"/>
        <v>31</v>
      </c>
      <c r="BK6" s="77">
        <f t="shared" si="1"/>
        <v>31</v>
      </c>
      <c r="BL6" s="77">
        <f t="shared" si="1"/>
        <v>30</v>
      </c>
      <c r="BM6" s="77">
        <f t="shared" si="1"/>
        <v>31</v>
      </c>
      <c r="BN6" s="77">
        <f t="shared" si="1"/>
        <v>30</v>
      </c>
      <c r="BO6" s="77">
        <f t="shared" si="1"/>
        <v>31</v>
      </c>
      <c r="BP6" s="77">
        <f t="shared" si="1"/>
        <v>31</v>
      </c>
      <c r="BQ6" s="77">
        <f t="shared" si="1"/>
        <v>31</v>
      </c>
      <c r="BR6" s="77">
        <f t="shared" si="1"/>
        <v>31</v>
      </c>
      <c r="BS6" s="77">
        <f t="shared" si="1"/>
        <v>31</v>
      </c>
      <c r="BT6" s="77">
        <f t="shared" si="1"/>
        <v>31</v>
      </c>
      <c r="BU6" s="77">
        <f t="shared" si="1"/>
        <v>31</v>
      </c>
    </row>
    <row r="7" spans="1:73">
      <c r="A7" s="866"/>
      <c r="B7" s="76"/>
      <c r="C7" s="867" t="s">
        <v>2220</v>
      </c>
      <c r="D7" s="76"/>
      <c r="E7" s="76"/>
      <c r="F7" s="77"/>
      <c r="G7" s="77"/>
      <c r="H7" s="77">
        <v>55</v>
      </c>
      <c r="I7" s="77">
        <v>0</v>
      </c>
      <c r="J7" s="77">
        <f>汇总!M39</f>
        <v>0</v>
      </c>
      <c r="K7" s="77">
        <v>0</v>
      </c>
      <c r="L7" s="77">
        <v>0</v>
      </c>
      <c r="M7" s="77">
        <f>汇总!M40</f>
        <v>0</v>
      </c>
      <c r="N7" s="77"/>
      <c r="O7" s="77"/>
      <c r="P7" s="77">
        <f>汇总!M41</f>
        <v>150</v>
      </c>
      <c r="Q7" s="77"/>
      <c r="R7" s="77"/>
      <c r="S7" s="77">
        <f>汇总!M42</f>
        <v>150</v>
      </c>
      <c r="T7" s="77"/>
      <c r="U7" s="77"/>
      <c r="V7" s="77">
        <f>汇总!M47</f>
        <v>50</v>
      </c>
      <c r="W7" s="77"/>
      <c r="X7" s="77"/>
      <c r="Y7" s="77">
        <f>汇总!M48</f>
        <v>100</v>
      </c>
      <c r="Z7" s="77"/>
      <c r="AA7" s="77"/>
      <c r="AB7" s="77">
        <f>汇总!M49</f>
        <v>50</v>
      </c>
      <c r="AC7" s="77"/>
      <c r="AD7" s="77"/>
      <c r="AE7" s="77">
        <f>汇总!M50</f>
        <v>100</v>
      </c>
      <c r="AF7" s="77"/>
      <c r="AG7" s="77"/>
      <c r="AH7" s="77">
        <f>汇总!M55</f>
        <v>0</v>
      </c>
      <c r="AI7" s="77"/>
      <c r="AJ7" s="77"/>
      <c r="AK7" s="77">
        <f>汇总!M56</f>
        <v>150</v>
      </c>
      <c r="AL7" s="77"/>
      <c r="AM7" s="77"/>
      <c r="AN7" s="77">
        <f>汇总!M57</f>
        <v>0</v>
      </c>
      <c r="AO7" s="77"/>
      <c r="AP7" s="77"/>
      <c r="AQ7" s="77">
        <f>汇总!M58</f>
        <v>150</v>
      </c>
      <c r="AR7" s="77"/>
      <c r="AS7" s="77"/>
      <c r="AT7" s="77"/>
      <c r="AU7" s="77"/>
      <c r="AV7" s="77"/>
      <c r="AW7" s="77"/>
      <c r="AX7" s="77"/>
      <c r="AY7" s="77"/>
      <c r="AZ7" s="77">
        <f>汇总!AF49</f>
        <v>0</v>
      </c>
      <c r="BA7" s="77"/>
      <c r="BB7" s="77"/>
      <c r="BC7" s="77">
        <f>汇总!AF50</f>
        <v>0</v>
      </c>
      <c r="BD7" s="77"/>
      <c r="BE7" s="77"/>
      <c r="BF7" s="77"/>
      <c r="BG7" s="77"/>
      <c r="BH7" s="77"/>
      <c r="BI7" s="77"/>
      <c r="BJ7" s="77"/>
      <c r="BK7" s="77"/>
      <c r="BL7" s="77">
        <f>汇总!AR49</f>
        <v>0</v>
      </c>
      <c r="BM7" s="77"/>
      <c r="BN7" s="77"/>
      <c r="BO7" s="77">
        <f>汇总!AR50</f>
        <v>0</v>
      </c>
      <c r="BP7" s="77"/>
      <c r="BQ7" s="77"/>
      <c r="BR7" s="77"/>
      <c r="BS7" s="77"/>
      <c r="BT7" s="77"/>
      <c r="BU7" s="77"/>
    </row>
    <row r="8" spans="1:73">
      <c r="A8" s="866"/>
      <c r="B8" s="76"/>
      <c r="C8" s="867" t="s">
        <v>2221</v>
      </c>
      <c r="D8" s="76"/>
      <c r="E8" s="76"/>
      <c r="F8" s="77"/>
      <c r="G8" s="77">
        <f>G7</f>
        <v>0</v>
      </c>
      <c r="H8" s="77">
        <f>G8+H7</f>
        <v>55</v>
      </c>
      <c r="I8" s="77">
        <f t="shared" ref="I8:AK8" si="2">H8+I7</f>
        <v>55</v>
      </c>
      <c r="J8" s="77">
        <f t="shared" si="2"/>
        <v>55</v>
      </c>
      <c r="K8" s="77">
        <f t="shared" si="2"/>
        <v>55</v>
      </c>
      <c r="L8" s="77">
        <f t="shared" si="2"/>
        <v>55</v>
      </c>
      <c r="M8" s="77">
        <f t="shared" si="2"/>
        <v>55</v>
      </c>
      <c r="N8" s="77">
        <f t="shared" si="2"/>
        <v>55</v>
      </c>
      <c r="O8" s="77">
        <f t="shared" si="2"/>
        <v>55</v>
      </c>
      <c r="P8" s="77">
        <f t="shared" si="2"/>
        <v>205</v>
      </c>
      <c r="Q8" s="77">
        <f t="shared" si="2"/>
        <v>205</v>
      </c>
      <c r="R8" s="77">
        <f t="shared" si="2"/>
        <v>205</v>
      </c>
      <c r="S8" s="77">
        <f t="shared" si="2"/>
        <v>355</v>
      </c>
      <c r="T8" s="77">
        <f t="shared" si="2"/>
        <v>355</v>
      </c>
      <c r="U8" s="77">
        <f t="shared" si="2"/>
        <v>355</v>
      </c>
      <c r="V8" s="77">
        <f t="shared" si="2"/>
        <v>405</v>
      </c>
      <c r="W8" s="77">
        <f t="shared" si="2"/>
        <v>405</v>
      </c>
      <c r="X8" s="77">
        <f t="shared" si="2"/>
        <v>405</v>
      </c>
      <c r="Y8" s="77">
        <f t="shared" si="2"/>
        <v>505</v>
      </c>
      <c r="Z8" s="77">
        <f t="shared" si="2"/>
        <v>505</v>
      </c>
      <c r="AA8" s="77">
        <f t="shared" si="2"/>
        <v>505</v>
      </c>
      <c r="AB8" s="77">
        <f t="shared" si="2"/>
        <v>555</v>
      </c>
      <c r="AC8" s="77">
        <f t="shared" si="2"/>
        <v>555</v>
      </c>
      <c r="AD8" s="77">
        <f t="shared" si="2"/>
        <v>555</v>
      </c>
      <c r="AE8" s="77">
        <f t="shared" si="2"/>
        <v>655</v>
      </c>
      <c r="AF8" s="77">
        <f t="shared" si="2"/>
        <v>655</v>
      </c>
      <c r="AG8" s="77">
        <f t="shared" si="2"/>
        <v>655</v>
      </c>
      <c r="AH8" s="77">
        <f t="shared" si="2"/>
        <v>655</v>
      </c>
      <c r="AI8" s="77">
        <f t="shared" si="2"/>
        <v>655</v>
      </c>
      <c r="AJ8" s="77">
        <f t="shared" si="2"/>
        <v>655</v>
      </c>
      <c r="AK8" s="77">
        <f t="shared" si="2"/>
        <v>805</v>
      </c>
      <c r="AL8" s="77">
        <f t="shared" ref="AL8" si="3">AK8+AL7</f>
        <v>805</v>
      </c>
      <c r="AM8" s="77">
        <f t="shared" ref="AM8" si="4">AL8+AM7</f>
        <v>805</v>
      </c>
      <c r="AN8" s="77">
        <f t="shared" ref="AN8" si="5">AM8+AN7</f>
        <v>805</v>
      </c>
      <c r="AO8" s="77">
        <f t="shared" ref="AO8" si="6">AN8+AO7</f>
        <v>805</v>
      </c>
      <c r="AP8" s="77">
        <f t="shared" ref="AP8" si="7">AO8+AP7</f>
        <v>805</v>
      </c>
      <c r="AQ8" s="77">
        <f t="shared" ref="AQ8" si="8">AP8+AQ7</f>
        <v>955</v>
      </c>
      <c r="AR8" s="77">
        <f t="shared" ref="AR8" si="9">AQ8+AR7</f>
        <v>955</v>
      </c>
      <c r="AS8" s="77">
        <f t="shared" ref="AS8" si="10">AR8+AS7</f>
        <v>955</v>
      </c>
      <c r="AT8" s="77">
        <f t="shared" ref="AT8" si="11">AS8+AT7</f>
        <v>955</v>
      </c>
      <c r="AU8" s="77">
        <f t="shared" ref="AU8" si="12">AT8+AU7</f>
        <v>955</v>
      </c>
      <c r="AV8" s="77">
        <f t="shared" ref="AV8" si="13">AU8+AV7</f>
        <v>955</v>
      </c>
      <c r="AW8" s="77">
        <f t="shared" ref="AW8" si="14">AV8+AW7</f>
        <v>955</v>
      </c>
      <c r="AX8" s="77">
        <f t="shared" ref="AX8" si="15">AW8+AX7</f>
        <v>955</v>
      </c>
      <c r="AY8" s="77">
        <f t="shared" ref="AY8" si="16">AX8+AY7</f>
        <v>955</v>
      </c>
      <c r="AZ8" s="77">
        <f t="shared" ref="AZ8" si="17">AY8+AZ7</f>
        <v>955</v>
      </c>
      <c r="BA8" s="77">
        <f t="shared" ref="BA8" si="18">AZ8+BA7</f>
        <v>955</v>
      </c>
      <c r="BB8" s="77">
        <f t="shared" ref="BB8" si="19">BA8+BB7</f>
        <v>955</v>
      </c>
      <c r="BC8" s="77">
        <f t="shared" ref="BC8" si="20">BB8+BC7</f>
        <v>955</v>
      </c>
      <c r="BD8" s="77">
        <f t="shared" ref="BD8" si="21">BC8+BD7</f>
        <v>955</v>
      </c>
      <c r="BE8" s="77">
        <f t="shared" ref="BE8" si="22">BD8+BE7</f>
        <v>955</v>
      </c>
      <c r="BF8" s="77">
        <f t="shared" ref="BF8" si="23">BE8+BF7</f>
        <v>955</v>
      </c>
      <c r="BG8" s="77">
        <f t="shared" ref="BG8" si="24">BF8+BG7</f>
        <v>955</v>
      </c>
      <c r="BH8" s="77">
        <f t="shared" ref="BH8" si="25">BG8+BH7</f>
        <v>955</v>
      </c>
      <c r="BI8" s="77">
        <f t="shared" ref="BI8" si="26">BH8+BI7</f>
        <v>955</v>
      </c>
      <c r="BJ8" s="77">
        <f t="shared" ref="BJ8" si="27">BI8+BJ7</f>
        <v>955</v>
      </c>
      <c r="BK8" s="77">
        <f t="shared" ref="BK8" si="28">BJ8+BK7</f>
        <v>955</v>
      </c>
      <c r="BL8" s="77">
        <f t="shared" ref="BL8" si="29">BK8+BL7</f>
        <v>955</v>
      </c>
      <c r="BM8" s="77">
        <f t="shared" ref="BM8" si="30">BL8+BM7</f>
        <v>955</v>
      </c>
      <c r="BN8" s="77">
        <f t="shared" ref="BN8" si="31">BM8+BN7</f>
        <v>955</v>
      </c>
      <c r="BO8" s="77">
        <f t="shared" ref="BO8" si="32">BN8+BO7</f>
        <v>955</v>
      </c>
      <c r="BP8" s="77">
        <f t="shared" ref="BP8" si="33">BO8+BP7</f>
        <v>955</v>
      </c>
      <c r="BQ8" s="77">
        <f t="shared" ref="BQ8" si="34">BP8+BQ7</f>
        <v>955</v>
      </c>
      <c r="BR8" s="77">
        <f t="shared" ref="BR8" si="35">BQ8+BR7</f>
        <v>955</v>
      </c>
      <c r="BS8" s="77">
        <f t="shared" ref="BS8" si="36">BR8+BS7</f>
        <v>955</v>
      </c>
      <c r="BT8" s="77">
        <f t="shared" ref="BT8" si="37">BS8+BT7</f>
        <v>955</v>
      </c>
      <c r="BU8" s="77">
        <f t="shared" ref="BU8" si="38">BT8+BU7</f>
        <v>955</v>
      </c>
    </row>
    <row r="9" spans="1:73">
      <c r="A9" s="866"/>
      <c r="B9" s="76"/>
      <c r="C9" s="867" t="s">
        <v>2222</v>
      </c>
      <c r="D9" s="76"/>
      <c r="E9" s="76"/>
      <c r="F9" s="77"/>
      <c r="G9" s="77"/>
      <c r="H9" s="77"/>
      <c r="I9" s="77"/>
      <c r="J9" s="77"/>
      <c r="K9" s="77"/>
      <c r="L9" s="77"/>
      <c r="M9" s="77"/>
      <c r="N9" s="77"/>
      <c r="O9" s="77"/>
      <c r="P9" s="77"/>
      <c r="Q9" s="77"/>
      <c r="R9" s="77"/>
      <c r="S9" s="77">
        <f>SUMPRODUCT($H$8:S8,$H$6:S6)/365</f>
        <v>117.87671232876713</v>
      </c>
      <c r="T9" s="77"/>
      <c r="U9" s="77"/>
      <c r="V9" s="77"/>
      <c r="W9" s="77"/>
      <c r="X9" s="77"/>
      <c r="Y9" s="77"/>
      <c r="Z9" s="77"/>
      <c r="AA9" s="77"/>
      <c r="AB9" s="77"/>
      <c r="AC9" s="77"/>
      <c r="AD9" s="77"/>
      <c r="AE9" s="77">
        <f>SUMPRODUCT($T$8:AE8,$T$6:AE6)/365</f>
        <v>480.75342465753425</v>
      </c>
      <c r="AF9" s="77"/>
      <c r="AG9" s="77"/>
      <c r="AH9" s="77"/>
      <c r="AI9" s="77"/>
      <c r="AJ9" s="77"/>
      <c r="AK9" s="77"/>
      <c r="AL9" s="77"/>
      <c r="AM9" s="77"/>
      <c r="AN9" s="77"/>
      <c r="AO9" s="77"/>
      <c r="AP9" s="77"/>
      <c r="AQ9" s="77">
        <f>SUMPRODUCT($AF$8:AQ8,$AF$6:AQ6)/365</f>
        <v>757.47945205479448</v>
      </c>
      <c r="AR9" s="77"/>
      <c r="AS9" s="77"/>
      <c r="AT9" s="77"/>
      <c r="AU9" s="77"/>
      <c r="AV9" s="77"/>
      <c r="AW9" s="77"/>
      <c r="AX9" s="77"/>
      <c r="AY9" s="77"/>
      <c r="AZ9" s="77"/>
      <c r="BA9" s="77"/>
      <c r="BB9" s="77"/>
      <c r="BC9" s="77">
        <f>SUMPRODUCT($H$8:BC8,$H$6:BC6)/365</f>
        <v>2311.1095890410961</v>
      </c>
      <c r="BD9" s="77"/>
      <c r="BE9" s="77"/>
      <c r="BF9" s="77"/>
      <c r="BG9" s="77"/>
      <c r="BH9" s="77"/>
      <c r="BI9" s="77"/>
      <c r="BJ9" s="77"/>
      <c r="BK9" s="77"/>
      <c r="BL9" s="77"/>
      <c r="BM9" s="77"/>
      <c r="BN9" s="77"/>
      <c r="BO9" s="77">
        <f>SUMPRODUCT($H$8:BO8,$H$6:BO6)/365</f>
        <v>3266.1095890410961</v>
      </c>
      <c r="BP9" s="77"/>
      <c r="BQ9" s="77"/>
      <c r="BR9" s="77"/>
      <c r="BS9" s="77"/>
      <c r="BT9" s="77"/>
      <c r="BU9" s="77"/>
    </row>
    <row r="10" spans="1:73">
      <c r="A10" s="866"/>
      <c r="B10" s="76"/>
      <c r="C10" s="867" t="s">
        <v>2070</v>
      </c>
      <c r="D10" s="76"/>
      <c r="E10" s="76"/>
      <c r="F10" s="77"/>
      <c r="G10" s="77"/>
      <c r="H10" s="77" cm="1">
        <f t="array" ref="H10">G10+_xlfn.IFS(H7=0,0,H7&lt;=100,1,H7&lt;=200,2)</f>
        <v>1</v>
      </c>
      <c r="I10" s="77" cm="1">
        <f t="array" ref="I10">H10+_xlfn.IFS(I7=0,0,I7&lt;=100,1,I7&lt;=200,2)</f>
        <v>1</v>
      </c>
      <c r="J10" s="77" cm="1">
        <f t="array" ref="J10">I10+_xlfn.IFS(J7=0,0,J7&lt;=100,1,J7&lt;=200,2)</f>
        <v>1</v>
      </c>
      <c r="K10" s="77" cm="1">
        <f t="array" ref="K10">J10+_xlfn.IFS(K7=0,0,K7&lt;=100,1,K7&lt;=200,2)</f>
        <v>1</v>
      </c>
      <c r="L10" s="77" cm="1">
        <f t="array" ref="L10">K10+_xlfn.IFS(L7=0,0,L7&lt;=100,1,L7&lt;=200,2)</f>
        <v>1</v>
      </c>
      <c r="M10" s="77" cm="1">
        <f t="array" ref="M10">L10+_xlfn.IFS(M7=0,0,M7&lt;=100,1,M7&lt;=200,2)</f>
        <v>1</v>
      </c>
      <c r="N10" s="77" cm="1">
        <f t="array" ref="N10">M10+_xlfn.IFS(N7=0,0,N7&lt;=100,1,N7&lt;=200,2)</f>
        <v>1</v>
      </c>
      <c r="O10" s="77" cm="1">
        <f t="array" ref="O10">N10+_xlfn.IFS(O7=0,0,O7&lt;=100,1,O7&lt;=200,2)</f>
        <v>1</v>
      </c>
      <c r="P10" s="77" cm="1">
        <f t="array" ref="P10">O10+_xlfn.IFS(P7=0,0,P7&lt;=100,1,P7&lt;=200,2)</f>
        <v>3</v>
      </c>
      <c r="Q10" s="77" cm="1">
        <f t="array" ref="Q10">P10+_xlfn.IFS(Q7=0,0,Q7&lt;=100,1,Q7&lt;=200,2)</f>
        <v>3</v>
      </c>
      <c r="R10" s="77" cm="1">
        <f t="array" ref="R10">Q10+_xlfn.IFS(R7=0,0,R7&lt;=100,1,R7&lt;=200,2)</f>
        <v>3</v>
      </c>
      <c r="S10" s="77" cm="1">
        <f t="array" ref="S10">R10+_xlfn.IFS(S7=0,0,S7&lt;=100,1,S7&lt;=200,2)</f>
        <v>5</v>
      </c>
      <c r="T10" s="77" cm="1">
        <f t="array" ref="T10">S10+_xlfn.IFS(T7=0,0,T7&lt;=100,1,T7&lt;=200,2)</f>
        <v>5</v>
      </c>
      <c r="U10" s="77" cm="1">
        <f t="array" ref="U10">T10+_xlfn.IFS(U7=0,0,U7&lt;=100,1,U7&lt;=200,2)</f>
        <v>5</v>
      </c>
      <c r="V10" s="77" cm="1">
        <f t="array" ref="V10">U10+_xlfn.IFS(V7=0,0,V7&lt;=100,1,V7&lt;=200,2)</f>
        <v>6</v>
      </c>
      <c r="W10" s="77" cm="1">
        <f t="array" ref="W10">V10+_xlfn.IFS(W7=0,0,W7&lt;=100,1,W7&lt;=200,2)</f>
        <v>6</v>
      </c>
      <c r="X10" s="77" cm="1">
        <f t="array" ref="X10">W10+_xlfn.IFS(X7=0,0,X7&lt;=100,1,X7&lt;=200,2)</f>
        <v>6</v>
      </c>
      <c r="Y10" s="77" cm="1">
        <f t="array" ref="Y10">X10+_xlfn.IFS(Y7=0,0,Y7&lt;=100,1,Y7&lt;=200,2)</f>
        <v>7</v>
      </c>
      <c r="Z10" s="77" cm="1">
        <f t="array" ref="Z10">Y10+_xlfn.IFS(Z7=0,0,Z7&lt;=100,1,Z7&lt;=200,2)</f>
        <v>7</v>
      </c>
      <c r="AA10" s="77" cm="1">
        <f t="array" ref="AA10">Z10+_xlfn.IFS(AA7=0,0,AA7&lt;=100,1,AA7&lt;=200,2)</f>
        <v>7</v>
      </c>
      <c r="AB10" s="77" cm="1">
        <f t="array" ref="AB10">AA10+_xlfn.IFS(AB7=0,0,AB7&lt;=100,1,AB7&lt;=200,2)</f>
        <v>8</v>
      </c>
      <c r="AC10" s="77" cm="1">
        <f t="array" ref="AC10">AB10+_xlfn.IFS(AC7=0,0,AC7&lt;=100,1,AC7&lt;=200,2)</f>
        <v>8</v>
      </c>
      <c r="AD10" s="77" cm="1">
        <f t="array" ref="AD10">AC10+_xlfn.IFS(AD7=0,0,AD7&lt;=100,1,AD7&lt;=200,2)</f>
        <v>8</v>
      </c>
      <c r="AE10" s="77" cm="1">
        <f t="array" ref="AE10">AD10+_xlfn.IFS(AE7=0,0,AE7&lt;=100,1,AE7&lt;=200,2)</f>
        <v>9</v>
      </c>
      <c r="AF10" s="77" cm="1">
        <f t="array" ref="AF10">AE10+_xlfn.IFS(AF7=0,0,AF7&lt;=100,1,AF7&lt;=200,2)</f>
        <v>9</v>
      </c>
      <c r="AG10" s="77" cm="1">
        <f t="array" ref="AG10">AF10+_xlfn.IFS(AG7=0,0,AG7&lt;=100,1,AG7&lt;=200,2)</f>
        <v>9</v>
      </c>
      <c r="AH10" s="77" cm="1">
        <f t="array" ref="AH10">AG10+_xlfn.IFS(AH7=0,0,AH7&lt;=100,1,AH7&lt;=200,2)</f>
        <v>9</v>
      </c>
      <c r="AI10" s="77" cm="1">
        <f t="array" ref="AI10">AH10+_xlfn.IFS(AI7=0,0,AI7&lt;=100,1,AI7&lt;=200,2)</f>
        <v>9</v>
      </c>
      <c r="AJ10" s="77" cm="1">
        <f t="array" ref="AJ10">AI10+_xlfn.IFS(AJ7=0,0,AJ7&lt;=100,1,AJ7&lt;=200,2)</f>
        <v>9</v>
      </c>
      <c r="AK10" s="77" cm="1">
        <f t="array" ref="AK10">AJ10+_xlfn.IFS(AK7=0,0,AK7&lt;=100,1,AK7&lt;=200,2)</f>
        <v>11</v>
      </c>
      <c r="AL10" s="77" cm="1">
        <f t="array" ref="AL10">AK10+_xlfn.IFS(AL7=0,0,AL7&lt;=100,1,AL7&lt;=200,2)</f>
        <v>11</v>
      </c>
      <c r="AM10" s="77" cm="1">
        <f t="array" ref="AM10">AL10+_xlfn.IFS(AM7=0,0,AM7&lt;=100,1,AM7&lt;=200,2)</f>
        <v>11</v>
      </c>
      <c r="AN10" s="77" cm="1">
        <f t="array" ref="AN10">AM10+_xlfn.IFS(AN7=0,0,AN7&lt;=100,1,AN7&lt;=200,2)</f>
        <v>11</v>
      </c>
      <c r="AO10" s="77" cm="1">
        <f t="array" ref="AO10">AN10+_xlfn.IFS(AO7=0,0,AO7&lt;=100,1,AO7&lt;=200,2)</f>
        <v>11</v>
      </c>
      <c r="AP10" s="77" cm="1">
        <f t="array" ref="AP10">AO10+_xlfn.IFS(AP7=0,0,AP7&lt;=100,1,AP7&lt;=200,2)</f>
        <v>11</v>
      </c>
      <c r="AQ10" s="77" cm="1">
        <f t="array" ref="AQ10">AP10+_xlfn.IFS(AQ7=0,0,AQ7&lt;=100,1,AQ7&lt;=200,2)</f>
        <v>13</v>
      </c>
      <c r="AR10" s="77" cm="1">
        <f t="array" ref="AR10">AQ10+_xlfn.IFS(AR7=0,0,AR7&lt;=100,1,AR7&lt;=200,2)</f>
        <v>13</v>
      </c>
      <c r="AS10" s="77" cm="1">
        <f t="array" ref="AS10">AR10+_xlfn.IFS(AS7=0,0,AS7&lt;=100,1,AS7&lt;=200,2)</f>
        <v>13</v>
      </c>
      <c r="AT10" s="77" cm="1">
        <f t="array" ref="AT10">AS10+_xlfn.IFS(AT7=0,0,AT7&lt;=100,1,AT7&lt;=200,2)</f>
        <v>13</v>
      </c>
      <c r="AU10" s="77" cm="1">
        <f t="array" ref="AU10">AT10+_xlfn.IFS(AU7=0,0,AU7&lt;=100,1,AU7&lt;=200,2)</f>
        <v>13</v>
      </c>
      <c r="AV10" s="77" cm="1">
        <f t="array" ref="AV10">AU10+_xlfn.IFS(AV7=0,0,AV7&lt;=100,1,AV7&lt;=200,2)</f>
        <v>13</v>
      </c>
      <c r="AW10" s="77" cm="1">
        <f t="array" ref="AW10">AV10+_xlfn.IFS(AW7=0,0,AW7&lt;=100,1,AW7&lt;=200,2)</f>
        <v>13</v>
      </c>
      <c r="AX10" s="77" cm="1">
        <f t="array" ref="AX10">AW10+_xlfn.IFS(AX7=0,0,AX7&lt;=100,1,AX7&lt;=200,2)</f>
        <v>13</v>
      </c>
      <c r="AY10" s="77" cm="1">
        <f t="array" ref="AY10">AX10+_xlfn.IFS(AY7=0,0,AY7&lt;=100,1,AY7&lt;=200,2)</f>
        <v>13</v>
      </c>
      <c r="AZ10" s="77" cm="1">
        <f t="array" ref="AZ10">AY10+_xlfn.IFS(AZ7=0,0,AZ7&lt;=100,1,AZ7&lt;=200,2)</f>
        <v>13</v>
      </c>
      <c r="BA10" s="77" cm="1">
        <f t="array" ref="BA10">AZ10+_xlfn.IFS(BA7=0,0,BA7&lt;=100,1,BA7&lt;=200,2)</f>
        <v>13</v>
      </c>
      <c r="BB10" s="77" cm="1">
        <f t="array" ref="BB10">BA10+_xlfn.IFS(BB7=0,0,BB7&lt;=100,1,BB7&lt;=200,2)</f>
        <v>13</v>
      </c>
      <c r="BC10" s="77" cm="1">
        <f t="array" ref="BC10">BB10+_xlfn.IFS(BC7=0,0,BC7&lt;=100,1,BC7&lt;=200,2)</f>
        <v>13</v>
      </c>
      <c r="BD10" s="77" cm="1">
        <f t="array" ref="BD10">BC10+_xlfn.IFS(BD7=0,0,BD7&lt;=100,1,BD7&lt;=200,2)</f>
        <v>13</v>
      </c>
      <c r="BE10" s="77" cm="1">
        <f t="array" ref="BE10">BD10+_xlfn.IFS(BE7=0,0,BE7&lt;=100,1,BE7&lt;=200,2)</f>
        <v>13</v>
      </c>
      <c r="BF10" s="77" cm="1">
        <f t="array" ref="BF10">BE10+_xlfn.IFS(BF7=0,0,BF7&lt;=100,1,BF7&lt;=200,2)</f>
        <v>13</v>
      </c>
      <c r="BG10" s="77" cm="1">
        <f t="array" ref="BG10">BF10+_xlfn.IFS(BG7=0,0,BG7&lt;=100,1,BG7&lt;=200,2)</f>
        <v>13</v>
      </c>
      <c r="BH10" s="77" cm="1">
        <f t="array" ref="BH10">BG10+_xlfn.IFS(BH7=0,0,BH7&lt;=100,1,BH7&lt;=200,2)</f>
        <v>13</v>
      </c>
      <c r="BI10" s="77" cm="1">
        <f t="array" ref="BI10">BH10+_xlfn.IFS(BI7=0,0,BI7&lt;=100,1,BI7&lt;=200,2)</f>
        <v>13</v>
      </c>
      <c r="BJ10" s="77" cm="1">
        <f t="array" ref="BJ10">BI10+_xlfn.IFS(BJ7=0,0,BJ7&lt;=100,1,BJ7&lt;=200,2)</f>
        <v>13</v>
      </c>
      <c r="BK10" s="77" cm="1">
        <f t="array" ref="BK10">BJ10+_xlfn.IFS(BK7=0,0,BK7&lt;=100,1,BK7&lt;=200,2)</f>
        <v>13</v>
      </c>
      <c r="BL10" s="77" cm="1">
        <f t="array" ref="BL10">BK10+_xlfn.IFS(BL7=0,0,BL7&lt;=100,1,BL7&lt;=200,2)</f>
        <v>13</v>
      </c>
      <c r="BM10" s="77" cm="1">
        <f t="array" ref="BM10">BL10+_xlfn.IFS(BM7=0,0,BM7&lt;=100,1,BM7&lt;=200,2)</f>
        <v>13</v>
      </c>
      <c r="BN10" s="77" cm="1">
        <f t="array" ref="BN10">BM10+_xlfn.IFS(BN7=0,0,BN7&lt;=100,1,BN7&lt;=200,2)</f>
        <v>13</v>
      </c>
      <c r="BO10" s="77" cm="1">
        <f t="array" ref="BO10">BN10+_xlfn.IFS(BO7=0,0,BO7&lt;=100,1,BO7&lt;=200,2)</f>
        <v>13</v>
      </c>
      <c r="BP10" s="77" cm="1">
        <f t="array" ref="BP10">BO10+_xlfn.IFS(BP7=0,0,BP7&lt;=100,1,BP7&lt;=200,2)</f>
        <v>13</v>
      </c>
      <c r="BQ10" s="77" cm="1">
        <f t="array" ref="BQ10">BP10+_xlfn.IFS(BQ7=0,0,BQ7&lt;=100,1,BQ7&lt;=200,2)</f>
        <v>13</v>
      </c>
      <c r="BR10" s="77" cm="1">
        <f t="array" ref="BR10">BQ10+_xlfn.IFS(BR7=0,0,BR7&lt;=100,1,BR7&lt;=200,2)</f>
        <v>13</v>
      </c>
      <c r="BS10" s="77" cm="1">
        <f t="array" ref="BS10">BR10+_xlfn.IFS(BS7=0,0,BS7&lt;=100,1,BS7&lt;=200,2)</f>
        <v>13</v>
      </c>
      <c r="BT10" s="77" cm="1">
        <f t="array" ref="BT10">BS10+_xlfn.IFS(BT7=0,0,BT7&lt;=100,1,BT7&lt;=200,2)</f>
        <v>13</v>
      </c>
      <c r="BU10" s="77" cm="1">
        <f t="array" ref="BU10">BT10+_xlfn.IFS(BU7=0,0,BU7&lt;=100,1,BU7&lt;=200,2)</f>
        <v>13</v>
      </c>
    </row>
    <row r="11" spans="1:73">
      <c r="A11" s="866"/>
      <c r="B11" s="76"/>
      <c r="C11" s="867" t="s">
        <v>2071</v>
      </c>
      <c r="D11" s="76"/>
      <c r="E11" s="76"/>
      <c r="F11" s="77"/>
      <c r="G11" s="77">
        <f t="shared" ref="G11:M11" si="39">G10</f>
        <v>0</v>
      </c>
      <c r="H11" s="77">
        <f t="shared" si="39"/>
        <v>1</v>
      </c>
      <c r="I11" s="77">
        <f t="shared" si="39"/>
        <v>1</v>
      </c>
      <c r="J11" s="77">
        <f t="shared" si="39"/>
        <v>1</v>
      </c>
      <c r="K11" s="77">
        <f t="shared" si="39"/>
        <v>1</v>
      </c>
      <c r="L11" s="77">
        <f t="shared" si="39"/>
        <v>1</v>
      </c>
      <c r="M11" s="77">
        <f t="shared" si="39"/>
        <v>1</v>
      </c>
      <c r="N11" s="77">
        <f t="shared" ref="N11:X11" si="40">M11</f>
        <v>1</v>
      </c>
      <c r="O11" s="77">
        <f t="shared" si="40"/>
        <v>1</v>
      </c>
      <c r="P11" s="77">
        <f t="shared" si="40"/>
        <v>1</v>
      </c>
      <c r="Q11" s="77">
        <f>Q10</f>
        <v>3</v>
      </c>
      <c r="R11" s="77">
        <f t="shared" si="40"/>
        <v>3</v>
      </c>
      <c r="S11" s="77">
        <f t="shared" si="40"/>
        <v>3</v>
      </c>
      <c r="T11" s="77">
        <f t="shared" si="40"/>
        <v>3</v>
      </c>
      <c r="U11" s="77">
        <f t="shared" si="40"/>
        <v>3</v>
      </c>
      <c r="V11" s="77">
        <f t="shared" si="40"/>
        <v>3</v>
      </c>
      <c r="W11" s="77">
        <f t="shared" si="40"/>
        <v>3</v>
      </c>
      <c r="X11" s="77">
        <f t="shared" si="40"/>
        <v>3</v>
      </c>
      <c r="Y11" s="77">
        <f>X11+1</f>
        <v>4</v>
      </c>
      <c r="Z11" s="77">
        <f t="shared" ref="Z11:AK11" si="41">Y11</f>
        <v>4</v>
      </c>
      <c r="AA11" s="77">
        <f t="shared" si="41"/>
        <v>4</v>
      </c>
      <c r="AB11" s="77">
        <f t="shared" si="41"/>
        <v>4</v>
      </c>
      <c r="AC11" s="77">
        <f t="shared" si="41"/>
        <v>4</v>
      </c>
      <c r="AD11" s="77">
        <f t="shared" si="41"/>
        <v>4</v>
      </c>
      <c r="AE11" s="77">
        <f t="shared" si="41"/>
        <v>4</v>
      </c>
      <c r="AF11" s="77">
        <f t="shared" si="41"/>
        <v>4</v>
      </c>
      <c r="AG11" s="77">
        <f t="shared" si="41"/>
        <v>4</v>
      </c>
      <c r="AH11" s="77">
        <f t="shared" si="41"/>
        <v>4</v>
      </c>
      <c r="AI11" s="77">
        <f t="shared" si="41"/>
        <v>4</v>
      </c>
      <c r="AJ11" s="77">
        <f t="shared" si="41"/>
        <v>4</v>
      </c>
      <c r="AK11" s="77">
        <f t="shared" si="41"/>
        <v>4</v>
      </c>
      <c r="AL11" s="77">
        <f t="shared" ref="AL11" si="42">AK11</f>
        <v>4</v>
      </c>
      <c r="AM11" s="77">
        <f t="shared" ref="AM11" si="43">AL11</f>
        <v>4</v>
      </c>
      <c r="AN11" s="77">
        <f t="shared" ref="AN11" si="44">AM11</f>
        <v>4</v>
      </c>
      <c r="AO11" s="77">
        <f t="shared" ref="AO11" si="45">AN11</f>
        <v>4</v>
      </c>
      <c r="AP11" s="77">
        <f t="shared" ref="AP11" si="46">AO11</f>
        <v>4</v>
      </c>
      <c r="AQ11" s="77">
        <f t="shared" ref="AQ11" si="47">AP11</f>
        <v>4</v>
      </c>
      <c r="AR11" s="77">
        <f t="shared" ref="AR11" si="48">AQ11</f>
        <v>4</v>
      </c>
      <c r="AS11" s="77">
        <f t="shared" ref="AS11" si="49">AR11</f>
        <v>4</v>
      </c>
      <c r="AT11" s="77">
        <f t="shared" ref="AT11" si="50">AS11</f>
        <v>4</v>
      </c>
      <c r="AU11" s="77">
        <f t="shared" ref="AU11" si="51">AT11</f>
        <v>4</v>
      </c>
      <c r="AV11" s="77">
        <f t="shared" ref="AV11" si="52">AU11</f>
        <v>4</v>
      </c>
      <c r="AW11" s="77">
        <f t="shared" ref="AW11" si="53">AV11</f>
        <v>4</v>
      </c>
      <c r="AX11" s="77">
        <f t="shared" ref="AX11" si="54">AW11</f>
        <v>4</v>
      </c>
      <c r="AY11" s="77">
        <f t="shared" ref="AY11" si="55">AX11</f>
        <v>4</v>
      </c>
      <c r="AZ11" s="77">
        <f t="shared" ref="AZ11" si="56">AY11</f>
        <v>4</v>
      </c>
      <c r="BA11" s="77">
        <f t="shared" ref="BA11" si="57">AZ11</f>
        <v>4</v>
      </c>
      <c r="BB11" s="77">
        <f t="shared" ref="BB11" si="58">BA11</f>
        <v>4</v>
      </c>
      <c r="BC11" s="77">
        <f t="shared" ref="BC11" si="59">BB11</f>
        <v>4</v>
      </c>
      <c r="BD11" s="77">
        <f t="shared" ref="BD11" si="60">BC11</f>
        <v>4</v>
      </c>
      <c r="BE11" s="77">
        <f t="shared" ref="BE11" si="61">BD11</f>
        <v>4</v>
      </c>
      <c r="BF11" s="77">
        <f t="shared" ref="BF11" si="62">BE11</f>
        <v>4</v>
      </c>
      <c r="BG11" s="77">
        <f t="shared" ref="BG11" si="63">BF11</f>
        <v>4</v>
      </c>
      <c r="BH11" s="77">
        <f t="shared" ref="BH11" si="64">BG11</f>
        <v>4</v>
      </c>
      <c r="BI11" s="77">
        <f t="shared" ref="BI11" si="65">BH11</f>
        <v>4</v>
      </c>
      <c r="BJ11" s="77">
        <f t="shared" ref="BJ11" si="66">BI11</f>
        <v>4</v>
      </c>
      <c r="BK11" s="77">
        <f t="shared" ref="BK11" si="67">BJ11</f>
        <v>4</v>
      </c>
      <c r="BL11" s="77">
        <f t="shared" ref="BL11" si="68">BK11</f>
        <v>4</v>
      </c>
      <c r="BM11" s="77">
        <f t="shared" ref="BM11" si="69">BL11</f>
        <v>4</v>
      </c>
      <c r="BN11" s="77">
        <f t="shared" ref="BN11" si="70">BM11</f>
        <v>4</v>
      </c>
      <c r="BO11" s="77">
        <f t="shared" ref="BO11" si="71">BN11</f>
        <v>4</v>
      </c>
      <c r="BP11" s="77">
        <f t="shared" ref="BP11" si="72">BO11</f>
        <v>4</v>
      </c>
      <c r="BQ11" s="77">
        <f t="shared" ref="BQ11" si="73">BP11</f>
        <v>4</v>
      </c>
      <c r="BR11" s="77">
        <f t="shared" ref="BR11" si="74">BQ11</f>
        <v>4</v>
      </c>
      <c r="BS11" s="77">
        <f t="shared" ref="BS11" si="75">BR11</f>
        <v>4</v>
      </c>
      <c r="BT11" s="77">
        <f t="shared" ref="BT11" si="76">BS11</f>
        <v>4</v>
      </c>
      <c r="BU11" s="77">
        <f t="shared" ref="BU11" si="77">BT11</f>
        <v>4</v>
      </c>
    </row>
    <row r="12" spans="1:73" s="864" customFormat="1">
      <c r="B12" s="868"/>
      <c r="C12" s="869" t="s">
        <v>2223</v>
      </c>
      <c r="D12" s="868"/>
      <c r="E12" s="868"/>
      <c r="F12" s="868">
        <f>汇总!$M$64</f>
        <v>2</v>
      </c>
      <c r="G12" s="868"/>
      <c r="H12" s="868">
        <f t="shared" ref="H12:BS12" si="78">$F$12</f>
        <v>2</v>
      </c>
      <c r="I12" s="868">
        <f t="shared" si="78"/>
        <v>2</v>
      </c>
      <c r="J12" s="868">
        <f t="shared" si="78"/>
        <v>2</v>
      </c>
      <c r="K12" s="868">
        <f t="shared" si="78"/>
        <v>2</v>
      </c>
      <c r="L12" s="868">
        <f t="shared" si="78"/>
        <v>2</v>
      </c>
      <c r="M12" s="868">
        <f t="shared" si="78"/>
        <v>2</v>
      </c>
      <c r="N12" s="868">
        <f t="shared" si="78"/>
        <v>2</v>
      </c>
      <c r="O12" s="868">
        <f t="shared" si="78"/>
        <v>2</v>
      </c>
      <c r="P12" s="868">
        <f t="shared" si="78"/>
        <v>2</v>
      </c>
      <c r="Q12" s="868">
        <f t="shared" si="78"/>
        <v>2</v>
      </c>
      <c r="R12" s="868">
        <f t="shared" si="78"/>
        <v>2</v>
      </c>
      <c r="S12" s="868">
        <f t="shared" si="78"/>
        <v>2</v>
      </c>
      <c r="T12" s="868">
        <f t="shared" si="78"/>
        <v>2</v>
      </c>
      <c r="U12" s="868">
        <f t="shared" si="78"/>
        <v>2</v>
      </c>
      <c r="V12" s="868">
        <f t="shared" si="78"/>
        <v>2</v>
      </c>
      <c r="W12" s="868">
        <f t="shared" si="78"/>
        <v>2</v>
      </c>
      <c r="X12" s="868">
        <f t="shared" si="78"/>
        <v>2</v>
      </c>
      <c r="Y12" s="868">
        <f t="shared" si="78"/>
        <v>2</v>
      </c>
      <c r="Z12" s="868">
        <f t="shared" si="78"/>
        <v>2</v>
      </c>
      <c r="AA12" s="868">
        <f t="shared" si="78"/>
        <v>2</v>
      </c>
      <c r="AB12" s="868">
        <f t="shared" si="78"/>
        <v>2</v>
      </c>
      <c r="AC12" s="868">
        <f t="shared" si="78"/>
        <v>2</v>
      </c>
      <c r="AD12" s="868">
        <f t="shared" si="78"/>
        <v>2</v>
      </c>
      <c r="AE12" s="868">
        <f t="shared" si="78"/>
        <v>2</v>
      </c>
      <c r="AF12" s="868">
        <f t="shared" si="78"/>
        <v>2</v>
      </c>
      <c r="AG12" s="868">
        <f t="shared" si="78"/>
        <v>2</v>
      </c>
      <c r="AH12" s="868">
        <f t="shared" si="78"/>
        <v>2</v>
      </c>
      <c r="AI12" s="868">
        <f t="shared" si="78"/>
        <v>2</v>
      </c>
      <c r="AJ12" s="868">
        <f t="shared" si="78"/>
        <v>2</v>
      </c>
      <c r="AK12" s="868">
        <f t="shared" si="78"/>
        <v>2</v>
      </c>
      <c r="AL12" s="868">
        <f t="shared" si="78"/>
        <v>2</v>
      </c>
      <c r="AM12" s="868">
        <f t="shared" si="78"/>
        <v>2</v>
      </c>
      <c r="AN12" s="868">
        <f t="shared" si="78"/>
        <v>2</v>
      </c>
      <c r="AO12" s="868">
        <f t="shared" si="78"/>
        <v>2</v>
      </c>
      <c r="AP12" s="868">
        <f t="shared" si="78"/>
        <v>2</v>
      </c>
      <c r="AQ12" s="868">
        <f t="shared" si="78"/>
        <v>2</v>
      </c>
      <c r="AR12" s="868">
        <f t="shared" si="78"/>
        <v>2</v>
      </c>
      <c r="AS12" s="868">
        <f t="shared" si="78"/>
        <v>2</v>
      </c>
      <c r="AT12" s="868">
        <f t="shared" si="78"/>
        <v>2</v>
      </c>
      <c r="AU12" s="868">
        <f t="shared" si="78"/>
        <v>2</v>
      </c>
      <c r="AV12" s="868">
        <f t="shared" si="78"/>
        <v>2</v>
      </c>
      <c r="AW12" s="868">
        <f t="shared" si="78"/>
        <v>2</v>
      </c>
      <c r="AX12" s="868">
        <f t="shared" si="78"/>
        <v>2</v>
      </c>
      <c r="AY12" s="868">
        <f t="shared" si="78"/>
        <v>2</v>
      </c>
      <c r="AZ12" s="868">
        <f t="shared" si="78"/>
        <v>2</v>
      </c>
      <c r="BA12" s="868">
        <f t="shared" si="78"/>
        <v>2</v>
      </c>
      <c r="BB12" s="868">
        <f t="shared" si="78"/>
        <v>2</v>
      </c>
      <c r="BC12" s="868">
        <f t="shared" si="78"/>
        <v>2</v>
      </c>
      <c r="BD12" s="868">
        <f t="shared" si="78"/>
        <v>2</v>
      </c>
      <c r="BE12" s="868">
        <f t="shared" si="78"/>
        <v>2</v>
      </c>
      <c r="BF12" s="868">
        <f t="shared" si="78"/>
        <v>2</v>
      </c>
      <c r="BG12" s="868">
        <f t="shared" si="78"/>
        <v>2</v>
      </c>
      <c r="BH12" s="868">
        <f t="shared" si="78"/>
        <v>2</v>
      </c>
      <c r="BI12" s="868">
        <f t="shared" si="78"/>
        <v>2</v>
      </c>
      <c r="BJ12" s="868">
        <f t="shared" si="78"/>
        <v>2</v>
      </c>
      <c r="BK12" s="868">
        <f t="shared" si="78"/>
        <v>2</v>
      </c>
      <c r="BL12" s="868">
        <f t="shared" si="78"/>
        <v>2</v>
      </c>
      <c r="BM12" s="868">
        <f t="shared" si="78"/>
        <v>2</v>
      </c>
      <c r="BN12" s="868">
        <f t="shared" si="78"/>
        <v>2</v>
      </c>
      <c r="BO12" s="868">
        <f t="shared" si="78"/>
        <v>2</v>
      </c>
      <c r="BP12" s="868">
        <f t="shared" si="78"/>
        <v>2</v>
      </c>
      <c r="BQ12" s="868">
        <f t="shared" si="78"/>
        <v>2</v>
      </c>
      <c r="BR12" s="868">
        <f t="shared" si="78"/>
        <v>2</v>
      </c>
      <c r="BS12" s="868">
        <f t="shared" si="78"/>
        <v>2</v>
      </c>
      <c r="BT12" s="868">
        <f t="shared" ref="BT12:BU12" si="79">$F$12</f>
        <v>2</v>
      </c>
      <c r="BU12" s="868">
        <f t="shared" si="79"/>
        <v>2</v>
      </c>
    </row>
    <row r="13" spans="1:73" s="18" customFormat="1">
      <c r="B13" s="77"/>
      <c r="C13" s="867" t="s">
        <v>2224</v>
      </c>
      <c r="D13" s="77"/>
      <c r="E13" s="77"/>
      <c r="F13" s="868"/>
      <c r="G13" s="77">
        <v>0</v>
      </c>
      <c r="H13" s="77">
        <v>0</v>
      </c>
      <c r="I13" s="77">
        <f t="shared" ref="I13:AK13" si="80">+I7*I12*100</f>
        <v>0</v>
      </c>
      <c r="J13" s="77">
        <f t="shared" si="80"/>
        <v>0</v>
      </c>
      <c r="K13" s="77">
        <f t="shared" si="80"/>
        <v>0</v>
      </c>
      <c r="L13" s="77">
        <f t="shared" si="80"/>
        <v>0</v>
      </c>
      <c r="M13" s="77">
        <f t="shared" si="80"/>
        <v>0</v>
      </c>
      <c r="N13" s="77">
        <f t="shared" si="80"/>
        <v>0</v>
      </c>
      <c r="O13" s="77">
        <f t="shared" si="80"/>
        <v>0</v>
      </c>
      <c r="P13" s="77">
        <f t="shared" si="80"/>
        <v>30000</v>
      </c>
      <c r="Q13" s="77">
        <f t="shared" si="80"/>
        <v>0</v>
      </c>
      <c r="R13" s="77">
        <f t="shared" si="80"/>
        <v>0</v>
      </c>
      <c r="S13" s="77">
        <f t="shared" si="80"/>
        <v>30000</v>
      </c>
      <c r="T13" s="77">
        <f t="shared" si="80"/>
        <v>0</v>
      </c>
      <c r="U13" s="77">
        <f t="shared" si="80"/>
        <v>0</v>
      </c>
      <c r="V13" s="77">
        <f t="shared" si="80"/>
        <v>10000</v>
      </c>
      <c r="W13" s="77">
        <f t="shared" si="80"/>
        <v>0</v>
      </c>
      <c r="X13" s="77">
        <f t="shared" si="80"/>
        <v>0</v>
      </c>
      <c r="Y13" s="77">
        <f t="shared" si="80"/>
        <v>20000</v>
      </c>
      <c r="Z13" s="77">
        <f t="shared" si="80"/>
        <v>0</v>
      </c>
      <c r="AA13" s="77">
        <f t="shared" si="80"/>
        <v>0</v>
      </c>
      <c r="AB13" s="77">
        <f t="shared" si="80"/>
        <v>10000</v>
      </c>
      <c r="AC13" s="77">
        <f t="shared" si="80"/>
        <v>0</v>
      </c>
      <c r="AD13" s="77">
        <f t="shared" si="80"/>
        <v>0</v>
      </c>
      <c r="AE13" s="77">
        <f t="shared" si="80"/>
        <v>20000</v>
      </c>
      <c r="AF13" s="77">
        <f t="shared" si="80"/>
        <v>0</v>
      </c>
      <c r="AG13" s="77">
        <f t="shared" si="80"/>
        <v>0</v>
      </c>
      <c r="AH13" s="77">
        <f t="shared" si="80"/>
        <v>0</v>
      </c>
      <c r="AI13" s="77">
        <f t="shared" si="80"/>
        <v>0</v>
      </c>
      <c r="AJ13" s="77">
        <f t="shared" si="80"/>
        <v>0</v>
      </c>
      <c r="AK13" s="77">
        <f t="shared" si="80"/>
        <v>30000</v>
      </c>
      <c r="AL13" s="77">
        <f t="shared" ref="AL13:BU13" si="81">+AL7*AL12*100</f>
        <v>0</v>
      </c>
      <c r="AM13" s="77">
        <f t="shared" si="81"/>
        <v>0</v>
      </c>
      <c r="AN13" s="77">
        <f t="shared" si="81"/>
        <v>0</v>
      </c>
      <c r="AO13" s="77">
        <f t="shared" si="81"/>
        <v>0</v>
      </c>
      <c r="AP13" s="77">
        <f t="shared" si="81"/>
        <v>0</v>
      </c>
      <c r="AQ13" s="77">
        <f t="shared" si="81"/>
        <v>30000</v>
      </c>
      <c r="AR13" s="77">
        <f t="shared" si="81"/>
        <v>0</v>
      </c>
      <c r="AS13" s="77">
        <f t="shared" si="81"/>
        <v>0</v>
      </c>
      <c r="AT13" s="77">
        <f t="shared" si="81"/>
        <v>0</v>
      </c>
      <c r="AU13" s="77">
        <f t="shared" si="81"/>
        <v>0</v>
      </c>
      <c r="AV13" s="77">
        <f t="shared" si="81"/>
        <v>0</v>
      </c>
      <c r="AW13" s="77">
        <f t="shared" si="81"/>
        <v>0</v>
      </c>
      <c r="AX13" s="77">
        <f t="shared" si="81"/>
        <v>0</v>
      </c>
      <c r="AY13" s="77">
        <f t="shared" si="81"/>
        <v>0</v>
      </c>
      <c r="AZ13" s="77">
        <f t="shared" si="81"/>
        <v>0</v>
      </c>
      <c r="BA13" s="77">
        <f t="shared" si="81"/>
        <v>0</v>
      </c>
      <c r="BB13" s="77">
        <f t="shared" si="81"/>
        <v>0</v>
      </c>
      <c r="BC13" s="77">
        <f t="shared" si="81"/>
        <v>0</v>
      </c>
      <c r="BD13" s="77">
        <f t="shared" si="81"/>
        <v>0</v>
      </c>
      <c r="BE13" s="77">
        <f t="shared" si="81"/>
        <v>0</v>
      </c>
      <c r="BF13" s="77">
        <f t="shared" si="81"/>
        <v>0</v>
      </c>
      <c r="BG13" s="77">
        <f t="shared" si="81"/>
        <v>0</v>
      </c>
      <c r="BH13" s="77">
        <f t="shared" si="81"/>
        <v>0</v>
      </c>
      <c r="BI13" s="77">
        <f t="shared" si="81"/>
        <v>0</v>
      </c>
      <c r="BJ13" s="77">
        <f t="shared" si="81"/>
        <v>0</v>
      </c>
      <c r="BK13" s="77">
        <f t="shared" si="81"/>
        <v>0</v>
      </c>
      <c r="BL13" s="77">
        <f t="shared" si="81"/>
        <v>0</v>
      </c>
      <c r="BM13" s="77">
        <f t="shared" si="81"/>
        <v>0</v>
      </c>
      <c r="BN13" s="77">
        <f t="shared" si="81"/>
        <v>0</v>
      </c>
      <c r="BO13" s="77">
        <f t="shared" si="81"/>
        <v>0</v>
      </c>
      <c r="BP13" s="77">
        <f t="shared" si="81"/>
        <v>0</v>
      </c>
      <c r="BQ13" s="77">
        <f t="shared" si="81"/>
        <v>0</v>
      </c>
      <c r="BR13" s="77">
        <f t="shared" si="81"/>
        <v>0</v>
      </c>
      <c r="BS13" s="77">
        <f t="shared" si="81"/>
        <v>0</v>
      </c>
      <c r="BT13" s="77">
        <f t="shared" si="81"/>
        <v>0</v>
      </c>
      <c r="BU13" s="77">
        <f t="shared" si="81"/>
        <v>0</v>
      </c>
    </row>
    <row r="14" spans="1:73">
      <c r="A14" s="866"/>
      <c r="B14" s="76"/>
      <c r="C14" s="867" t="s">
        <v>2225</v>
      </c>
      <c r="D14" s="76"/>
      <c r="E14" s="76"/>
      <c r="F14" s="77"/>
      <c r="G14" s="77">
        <f>8700</f>
        <v>8700</v>
      </c>
      <c r="H14" s="77">
        <f>G14+H13</f>
        <v>8700</v>
      </c>
      <c r="I14" s="77">
        <f t="shared" ref="I14:AK14" si="82">H14+I13</f>
        <v>8700</v>
      </c>
      <c r="J14" s="77">
        <f t="shared" si="82"/>
        <v>8700</v>
      </c>
      <c r="K14" s="77">
        <f t="shared" si="82"/>
        <v>8700</v>
      </c>
      <c r="L14" s="77">
        <f t="shared" si="82"/>
        <v>8700</v>
      </c>
      <c r="M14" s="77">
        <f t="shared" si="82"/>
        <v>8700</v>
      </c>
      <c r="N14" s="77">
        <f t="shared" si="82"/>
        <v>8700</v>
      </c>
      <c r="O14" s="77">
        <f t="shared" si="82"/>
        <v>8700</v>
      </c>
      <c r="P14" s="77">
        <f t="shared" si="82"/>
        <v>38700</v>
      </c>
      <c r="Q14" s="77">
        <f t="shared" si="82"/>
        <v>38700</v>
      </c>
      <c r="R14" s="77">
        <f t="shared" si="82"/>
        <v>38700</v>
      </c>
      <c r="S14" s="77">
        <f t="shared" si="82"/>
        <v>68700</v>
      </c>
      <c r="T14" s="77">
        <f t="shared" si="82"/>
        <v>68700</v>
      </c>
      <c r="U14" s="77">
        <f t="shared" si="82"/>
        <v>68700</v>
      </c>
      <c r="V14" s="77">
        <f t="shared" si="82"/>
        <v>78700</v>
      </c>
      <c r="W14" s="77">
        <f t="shared" si="82"/>
        <v>78700</v>
      </c>
      <c r="X14" s="77">
        <f t="shared" si="82"/>
        <v>78700</v>
      </c>
      <c r="Y14" s="77">
        <f t="shared" si="82"/>
        <v>98700</v>
      </c>
      <c r="Z14" s="77">
        <f t="shared" si="82"/>
        <v>98700</v>
      </c>
      <c r="AA14" s="77">
        <f t="shared" si="82"/>
        <v>98700</v>
      </c>
      <c r="AB14" s="77">
        <f t="shared" si="82"/>
        <v>108700</v>
      </c>
      <c r="AC14" s="77">
        <f t="shared" si="82"/>
        <v>108700</v>
      </c>
      <c r="AD14" s="77">
        <f t="shared" si="82"/>
        <v>108700</v>
      </c>
      <c r="AE14" s="77">
        <f t="shared" si="82"/>
        <v>128700</v>
      </c>
      <c r="AF14" s="77">
        <f t="shared" si="82"/>
        <v>128700</v>
      </c>
      <c r="AG14" s="77">
        <f t="shared" si="82"/>
        <v>128700</v>
      </c>
      <c r="AH14" s="77">
        <f t="shared" si="82"/>
        <v>128700</v>
      </c>
      <c r="AI14" s="77">
        <f t="shared" si="82"/>
        <v>128700</v>
      </c>
      <c r="AJ14" s="77">
        <f t="shared" si="82"/>
        <v>128700</v>
      </c>
      <c r="AK14" s="77">
        <f t="shared" si="82"/>
        <v>158700</v>
      </c>
      <c r="AL14" s="77">
        <f t="shared" ref="AL14" si="83">AK14+AL13</f>
        <v>158700</v>
      </c>
      <c r="AM14" s="77">
        <f t="shared" ref="AM14" si="84">AL14+AM13</f>
        <v>158700</v>
      </c>
      <c r="AN14" s="77">
        <f t="shared" ref="AN14" si="85">AM14+AN13</f>
        <v>158700</v>
      </c>
      <c r="AO14" s="77">
        <f t="shared" ref="AO14" si="86">AN14+AO13</f>
        <v>158700</v>
      </c>
      <c r="AP14" s="77">
        <f t="shared" ref="AP14" si="87">AO14+AP13</f>
        <v>158700</v>
      </c>
      <c r="AQ14" s="77">
        <f t="shared" ref="AQ14" si="88">AP14+AQ13</f>
        <v>188700</v>
      </c>
      <c r="AR14" s="77">
        <f t="shared" ref="AR14" si="89">AQ14+AR13</f>
        <v>188700</v>
      </c>
      <c r="AS14" s="77">
        <f t="shared" ref="AS14" si="90">AR14+AS13</f>
        <v>188700</v>
      </c>
      <c r="AT14" s="77">
        <f t="shared" ref="AT14" si="91">AS14+AT13</f>
        <v>188700</v>
      </c>
      <c r="AU14" s="77">
        <f t="shared" ref="AU14" si="92">AT14+AU13</f>
        <v>188700</v>
      </c>
      <c r="AV14" s="77">
        <f t="shared" ref="AV14" si="93">AU14+AV13</f>
        <v>188700</v>
      </c>
      <c r="AW14" s="77">
        <f t="shared" ref="AW14" si="94">AV14+AW13</f>
        <v>188700</v>
      </c>
      <c r="AX14" s="77">
        <f t="shared" ref="AX14" si="95">AW14+AX13</f>
        <v>188700</v>
      </c>
      <c r="AY14" s="77">
        <f t="shared" ref="AY14" si="96">AX14+AY13</f>
        <v>188700</v>
      </c>
      <c r="AZ14" s="77">
        <f t="shared" ref="AZ14" si="97">AY14+AZ13</f>
        <v>188700</v>
      </c>
      <c r="BA14" s="77">
        <f t="shared" ref="BA14" si="98">AZ14+BA13</f>
        <v>188700</v>
      </c>
      <c r="BB14" s="77">
        <f t="shared" ref="BB14" si="99">BA14+BB13</f>
        <v>188700</v>
      </c>
      <c r="BC14" s="77">
        <f t="shared" ref="BC14" si="100">BB14+BC13</f>
        <v>188700</v>
      </c>
      <c r="BD14" s="77">
        <f t="shared" ref="BD14" si="101">BC14+BD13</f>
        <v>188700</v>
      </c>
      <c r="BE14" s="77">
        <f t="shared" ref="BE14" si="102">BD14+BE13</f>
        <v>188700</v>
      </c>
      <c r="BF14" s="77">
        <f t="shared" ref="BF14" si="103">BE14+BF13</f>
        <v>188700</v>
      </c>
      <c r="BG14" s="77">
        <f t="shared" ref="BG14" si="104">BF14+BG13</f>
        <v>188700</v>
      </c>
      <c r="BH14" s="77">
        <f t="shared" ref="BH14" si="105">BG14+BH13</f>
        <v>188700</v>
      </c>
      <c r="BI14" s="77">
        <f t="shared" ref="BI14" si="106">BH14+BI13</f>
        <v>188700</v>
      </c>
      <c r="BJ14" s="77">
        <f t="shared" ref="BJ14" si="107">BI14+BJ13</f>
        <v>188700</v>
      </c>
      <c r="BK14" s="77">
        <f t="shared" ref="BK14" si="108">BJ14+BK13</f>
        <v>188700</v>
      </c>
      <c r="BL14" s="77">
        <f t="shared" ref="BL14" si="109">BK14+BL13</f>
        <v>188700</v>
      </c>
      <c r="BM14" s="77">
        <f t="shared" ref="BM14" si="110">BL14+BM13</f>
        <v>188700</v>
      </c>
      <c r="BN14" s="77">
        <f t="shared" ref="BN14" si="111">BM14+BN13</f>
        <v>188700</v>
      </c>
      <c r="BO14" s="77">
        <f t="shared" ref="BO14" si="112">BN14+BO13</f>
        <v>188700</v>
      </c>
      <c r="BP14" s="77">
        <f t="shared" ref="BP14" si="113">BO14+BP13</f>
        <v>188700</v>
      </c>
      <c r="BQ14" s="77">
        <f t="shared" ref="BQ14" si="114">BP14+BQ13</f>
        <v>188700</v>
      </c>
      <c r="BR14" s="77">
        <f t="shared" ref="BR14" si="115">BQ14+BR13</f>
        <v>188700</v>
      </c>
      <c r="BS14" s="77">
        <f t="shared" ref="BS14" si="116">BR14+BS13</f>
        <v>188700</v>
      </c>
      <c r="BT14" s="77">
        <f t="shared" ref="BT14" si="117">BS14+BT13</f>
        <v>188700</v>
      </c>
      <c r="BU14" s="77">
        <f t="shared" ref="BU14" si="118">BT14+BU13</f>
        <v>188700</v>
      </c>
    </row>
    <row r="15" spans="1:73">
      <c r="A15" s="866"/>
      <c r="C15" s="870"/>
      <c r="F15" s="63"/>
      <c r="G15" s="63"/>
      <c r="H15" s="63"/>
      <c r="I15" s="63"/>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3"/>
      <c r="BD15" s="63"/>
      <c r="BE15" s="63"/>
      <c r="BF15" s="63"/>
      <c r="BG15" s="63"/>
      <c r="BH15" s="63"/>
      <c r="BI15" s="63"/>
      <c r="BJ15" s="63"/>
      <c r="BK15" s="63"/>
      <c r="BL15" s="63"/>
      <c r="BM15" s="63"/>
      <c r="BN15" s="63"/>
      <c r="BO15" s="63"/>
      <c r="BP15" s="63"/>
      <c r="BQ15" s="63"/>
      <c r="BR15" s="63"/>
      <c r="BS15" s="63"/>
      <c r="BT15" s="63"/>
      <c r="BU15" s="63"/>
    </row>
    <row r="16" spans="1:73">
      <c r="A16" s="866"/>
      <c r="B16" s="76"/>
      <c r="C16" s="871" t="s">
        <v>2226</v>
      </c>
      <c r="D16" s="76"/>
      <c r="E16" s="76"/>
      <c r="F16" s="872">
        <v>0.75</v>
      </c>
      <c r="G16" s="77">
        <f>G13*$F$16</f>
        <v>0</v>
      </c>
      <c r="H16" s="77">
        <f>H13*$F$16</f>
        <v>0</v>
      </c>
      <c r="I16" s="77">
        <f t="shared" ref="I16:AK16" si="119">I13*$F$16</f>
        <v>0</v>
      </c>
      <c r="J16" s="77">
        <f t="shared" si="119"/>
        <v>0</v>
      </c>
      <c r="K16" s="77">
        <f>K14*50%</f>
        <v>4350</v>
      </c>
      <c r="L16" s="77">
        <f t="shared" si="119"/>
        <v>0</v>
      </c>
      <c r="M16" s="77">
        <f t="shared" si="119"/>
        <v>0</v>
      </c>
      <c r="N16" s="77">
        <f t="shared" si="119"/>
        <v>0</v>
      </c>
      <c r="O16" s="77">
        <f t="shared" si="119"/>
        <v>0</v>
      </c>
      <c r="P16" s="77">
        <f t="shared" si="119"/>
        <v>22500</v>
      </c>
      <c r="Q16" s="77">
        <f t="shared" si="119"/>
        <v>0</v>
      </c>
      <c r="R16" s="77">
        <f t="shared" si="119"/>
        <v>0</v>
      </c>
      <c r="S16" s="77">
        <f t="shared" si="119"/>
        <v>22500</v>
      </c>
      <c r="T16" s="77">
        <f t="shared" si="119"/>
        <v>0</v>
      </c>
      <c r="U16" s="77">
        <f t="shared" si="119"/>
        <v>0</v>
      </c>
      <c r="V16" s="77">
        <f t="shared" si="119"/>
        <v>7500</v>
      </c>
      <c r="W16" s="77">
        <f t="shared" si="119"/>
        <v>0</v>
      </c>
      <c r="X16" s="77">
        <f t="shared" si="119"/>
        <v>0</v>
      </c>
      <c r="Y16" s="77">
        <f t="shared" si="119"/>
        <v>15000</v>
      </c>
      <c r="Z16" s="77">
        <f t="shared" si="119"/>
        <v>0</v>
      </c>
      <c r="AA16" s="77">
        <f t="shared" si="119"/>
        <v>0</v>
      </c>
      <c r="AB16" s="77">
        <f t="shared" si="119"/>
        <v>7500</v>
      </c>
      <c r="AC16" s="77">
        <f t="shared" si="119"/>
        <v>0</v>
      </c>
      <c r="AD16" s="77">
        <f t="shared" si="119"/>
        <v>0</v>
      </c>
      <c r="AE16" s="77">
        <f t="shared" si="119"/>
        <v>15000</v>
      </c>
      <c r="AF16" s="77">
        <f t="shared" si="119"/>
        <v>0</v>
      </c>
      <c r="AG16" s="77">
        <f t="shared" si="119"/>
        <v>0</v>
      </c>
      <c r="AH16" s="77">
        <f t="shared" si="119"/>
        <v>0</v>
      </c>
      <c r="AI16" s="77">
        <f t="shared" si="119"/>
        <v>0</v>
      </c>
      <c r="AJ16" s="77">
        <f t="shared" si="119"/>
        <v>0</v>
      </c>
      <c r="AK16" s="77">
        <f t="shared" si="119"/>
        <v>22500</v>
      </c>
      <c r="AL16" s="77">
        <f t="shared" ref="AL16:BU16" si="120">AL13*$F$16</f>
        <v>0</v>
      </c>
      <c r="AM16" s="77">
        <f t="shared" si="120"/>
        <v>0</v>
      </c>
      <c r="AN16" s="77">
        <f t="shared" si="120"/>
        <v>0</v>
      </c>
      <c r="AO16" s="77">
        <f t="shared" si="120"/>
        <v>0</v>
      </c>
      <c r="AP16" s="77">
        <f t="shared" si="120"/>
        <v>0</v>
      </c>
      <c r="AQ16" s="77">
        <f t="shared" si="120"/>
        <v>22500</v>
      </c>
      <c r="AR16" s="77">
        <f t="shared" si="120"/>
        <v>0</v>
      </c>
      <c r="AS16" s="77">
        <f t="shared" si="120"/>
        <v>0</v>
      </c>
      <c r="AT16" s="77">
        <f t="shared" si="120"/>
        <v>0</v>
      </c>
      <c r="AU16" s="77">
        <f t="shared" si="120"/>
        <v>0</v>
      </c>
      <c r="AV16" s="77">
        <f t="shared" si="120"/>
        <v>0</v>
      </c>
      <c r="AW16" s="77">
        <f t="shared" si="120"/>
        <v>0</v>
      </c>
      <c r="AX16" s="77">
        <f t="shared" si="120"/>
        <v>0</v>
      </c>
      <c r="AY16" s="77">
        <f t="shared" si="120"/>
        <v>0</v>
      </c>
      <c r="AZ16" s="77">
        <f t="shared" si="120"/>
        <v>0</v>
      </c>
      <c r="BA16" s="77">
        <f t="shared" si="120"/>
        <v>0</v>
      </c>
      <c r="BB16" s="77">
        <f t="shared" si="120"/>
        <v>0</v>
      </c>
      <c r="BC16" s="77">
        <f t="shared" si="120"/>
        <v>0</v>
      </c>
      <c r="BD16" s="77">
        <f t="shared" si="120"/>
        <v>0</v>
      </c>
      <c r="BE16" s="77">
        <f t="shared" si="120"/>
        <v>0</v>
      </c>
      <c r="BF16" s="77">
        <f t="shared" si="120"/>
        <v>0</v>
      </c>
      <c r="BG16" s="77">
        <f t="shared" si="120"/>
        <v>0</v>
      </c>
      <c r="BH16" s="77">
        <f t="shared" si="120"/>
        <v>0</v>
      </c>
      <c r="BI16" s="77">
        <f t="shared" si="120"/>
        <v>0</v>
      </c>
      <c r="BJ16" s="77">
        <f t="shared" si="120"/>
        <v>0</v>
      </c>
      <c r="BK16" s="77">
        <f t="shared" si="120"/>
        <v>0</v>
      </c>
      <c r="BL16" s="77">
        <f t="shared" si="120"/>
        <v>0</v>
      </c>
      <c r="BM16" s="77">
        <f t="shared" si="120"/>
        <v>0</v>
      </c>
      <c r="BN16" s="77">
        <f t="shared" si="120"/>
        <v>0</v>
      </c>
      <c r="BO16" s="77">
        <f t="shared" si="120"/>
        <v>0</v>
      </c>
      <c r="BP16" s="77">
        <f t="shared" si="120"/>
        <v>0</v>
      </c>
      <c r="BQ16" s="77">
        <f t="shared" si="120"/>
        <v>0</v>
      </c>
      <c r="BR16" s="77">
        <f t="shared" si="120"/>
        <v>0</v>
      </c>
      <c r="BS16" s="77">
        <f t="shared" si="120"/>
        <v>0</v>
      </c>
      <c r="BT16" s="77">
        <f t="shared" si="120"/>
        <v>0</v>
      </c>
      <c r="BU16" s="77">
        <f t="shared" si="120"/>
        <v>0</v>
      </c>
    </row>
    <row r="17" spans="1:73">
      <c r="A17" s="866"/>
      <c r="B17" s="76"/>
      <c r="C17" s="871" t="s">
        <v>2227</v>
      </c>
      <c r="D17" s="76"/>
      <c r="E17" s="76"/>
      <c r="F17" s="872">
        <v>0.75</v>
      </c>
      <c r="G17" s="77">
        <f>G16</f>
        <v>0</v>
      </c>
      <c r="H17" s="77">
        <f>G17+H16</f>
        <v>0</v>
      </c>
      <c r="I17" s="77">
        <f t="shared" ref="I17:AK17" si="121">H17+I16</f>
        <v>0</v>
      </c>
      <c r="J17" s="77">
        <f t="shared" si="121"/>
        <v>0</v>
      </c>
      <c r="K17" s="77">
        <f t="shared" si="121"/>
        <v>4350</v>
      </c>
      <c r="L17" s="77">
        <f t="shared" si="121"/>
        <v>4350</v>
      </c>
      <c r="M17" s="77">
        <f t="shared" si="121"/>
        <v>4350</v>
      </c>
      <c r="N17" s="77">
        <f t="shared" si="121"/>
        <v>4350</v>
      </c>
      <c r="O17" s="77">
        <f t="shared" si="121"/>
        <v>4350</v>
      </c>
      <c r="P17" s="77">
        <f t="shared" si="121"/>
        <v>26850</v>
      </c>
      <c r="Q17" s="77">
        <f t="shared" si="121"/>
        <v>26850</v>
      </c>
      <c r="R17" s="77">
        <f t="shared" si="121"/>
        <v>26850</v>
      </c>
      <c r="S17" s="77">
        <f t="shared" si="121"/>
        <v>49350</v>
      </c>
      <c r="T17" s="77">
        <f t="shared" si="121"/>
        <v>49350</v>
      </c>
      <c r="U17" s="77">
        <f t="shared" si="121"/>
        <v>49350</v>
      </c>
      <c r="V17" s="77">
        <f t="shared" si="121"/>
        <v>56850</v>
      </c>
      <c r="W17" s="77">
        <f t="shared" si="121"/>
        <v>56850</v>
      </c>
      <c r="X17" s="77">
        <f t="shared" si="121"/>
        <v>56850</v>
      </c>
      <c r="Y17" s="77">
        <f t="shared" si="121"/>
        <v>71850</v>
      </c>
      <c r="Z17" s="77">
        <f t="shared" si="121"/>
        <v>71850</v>
      </c>
      <c r="AA17" s="77">
        <f t="shared" si="121"/>
        <v>71850</v>
      </c>
      <c r="AB17" s="77">
        <f t="shared" si="121"/>
        <v>79350</v>
      </c>
      <c r="AC17" s="77">
        <f t="shared" si="121"/>
        <v>79350</v>
      </c>
      <c r="AD17" s="77">
        <f t="shared" si="121"/>
        <v>79350</v>
      </c>
      <c r="AE17" s="77">
        <f t="shared" si="121"/>
        <v>94350</v>
      </c>
      <c r="AF17" s="77">
        <f t="shared" si="121"/>
        <v>94350</v>
      </c>
      <c r="AG17" s="77">
        <f t="shared" si="121"/>
        <v>94350</v>
      </c>
      <c r="AH17" s="77">
        <f t="shared" si="121"/>
        <v>94350</v>
      </c>
      <c r="AI17" s="77">
        <f t="shared" si="121"/>
        <v>94350</v>
      </c>
      <c r="AJ17" s="77">
        <f t="shared" si="121"/>
        <v>94350</v>
      </c>
      <c r="AK17" s="77">
        <f t="shared" si="121"/>
        <v>116850</v>
      </c>
      <c r="AL17" s="77">
        <f t="shared" ref="AL17" si="122">AK17+AL16</f>
        <v>116850</v>
      </c>
      <c r="AM17" s="77">
        <f t="shared" ref="AM17" si="123">AL17+AM16</f>
        <v>116850</v>
      </c>
      <c r="AN17" s="77">
        <f t="shared" ref="AN17" si="124">AM17+AN16</f>
        <v>116850</v>
      </c>
      <c r="AO17" s="77">
        <f t="shared" ref="AO17" si="125">AN17+AO16</f>
        <v>116850</v>
      </c>
      <c r="AP17" s="77">
        <f t="shared" ref="AP17" si="126">AO17+AP16</f>
        <v>116850</v>
      </c>
      <c r="AQ17" s="77">
        <f t="shared" ref="AQ17" si="127">AP17+AQ16</f>
        <v>139350</v>
      </c>
      <c r="AR17" s="77">
        <f t="shared" ref="AR17" si="128">AQ17+AR16</f>
        <v>139350</v>
      </c>
      <c r="AS17" s="77">
        <f t="shared" ref="AS17" si="129">AR17+AS16</f>
        <v>139350</v>
      </c>
      <c r="AT17" s="77">
        <f t="shared" ref="AT17" si="130">AS17+AT16</f>
        <v>139350</v>
      </c>
      <c r="AU17" s="77">
        <f t="shared" ref="AU17" si="131">AT17+AU16</f>
        <v>139350</v>
      </c>
      <c r="AV17" s="77">
        <f t="shared" ref="AV17" si="132">AU17+AV16</f>
        <v>139350</v>
      </c>
      <c r="AW17" s="77">
        <f t="shared" ref="AW17" si="133">AV17+AW16</f>
        <v>139350</v>
      </c>
      <c r="AX17" s="77">
        <f t="shared" ref="AX17" si="134">AW17+AX16</f>
        <v>139350</v>
      </c>
      <c r="AY17" s="77">
        <f t="shared" ref="AY17" si="135">AX17+AY16</f>
        <v>139350</v>
      </c>
      <c r="AZ17" s="77">
        <f t="shared" ref="AZ17" si="136">AY17+AZ16</f>
        <v>139350</v>
      </c>
      <c r="BA17" s="77">
        <f t="shared" ref="BA17" si="137">AZ17+BA16</f>
        <v>139350</v>
      </c>
      <c r="BB17" s="77">
        <f t="shared" ref="BB17" si="138">BA17+BB16</f>
        <v>139350</v>
      </c>
      <c r="BC17" s="77">
        <f t="shared" ref="BC17" si="139">BB17+BC16</f>
        <v>139350</v>
      </c>
      <c r="BD17" s="77">
        <f t="shared" ref="BD17" si="140">BC17+BD16</f>
        <v>139350</v>
      </c>
      <c r="BE17" s="77">
        <f t="shared" ref="BE17" si="141">BD17+BE16</f>
        <v>139350</v>
      </c>
      <c r="BF17" s="77">
        <f t="shared" ref="BF17" si="142">BE17+BF16</f>
        <v>139350</v>
      </c>
      <c r="BG17" s="77">
        <f t="shared" ref="BG17" si="143">BF17+BG16</f>
        <v>139350</v>
      </c>
      <c r="BH17" s="77">
        <f t="shared" ref="BH17" si="144">BG17+BH16</f>
        <v>139350</v>
      </c>
      <c r="BI17" s="77">
        <f t="shared" ref="BI17" si="145">BH17+BI16</f>
        <v>139350</v>
      </c>
      <c r="BJ17" s="77">
        <f t="shared" ref="BJ17" si="146">BI17+BJ16</f>
        <v>139350</v>
      </c>
      <c r="BK17" s="77">
        <f t="shared" ref="BK17" si="147">BJ17+BK16</f>
        <v>139350</v>
      </c>
      <c r="BL17" s="77">
        <f t="shared" ref="BL17" si="148">BK17+BL16</f>
        <v>139350</v>
      </c>
      <c r="BM17" s="77">
        <f t="shared" ref="BM17" si="149">BL17+BM16</f>
        <v>139350</v>
      </c>
      <c r="BN17" s="77">
        <f t="shared" ref="BN17" si="150">BM17+BN16</f>
        <v>139350</v>
      </c>
      <c r="BO17" s="77">
        <f t="shared" ref="BO17" si="151">BN17+BO16</f>
        <v>139350</v>
      </c>
      <c r="BP17" s="77">
        <f t="shared" ref="BP17" si="152">BO17+BP16</f>
        <v>139350</v>
      </c>
      <c r="BQ17" s="77">
        <f t="shared" ref="BQ17" si="153">BP17+BQ16</f>
        <v>139350</v>
      </c>
      <c r="BR17" s="77">
        <f t="shared" ref="BR17" si="154">BQ17+BR16</f>
        <v>139350</v>
      </c>
      <c r="BS17" s="77">
        <f t="shared" ref="BS17" si="155">BR17+BS16</f>
        <v>139350</v>
      </c>
      <c r="BT17" s="77">
        <f t="shared" ref="BT17" si="156">BS17+BT16</f>
        <v>139350</v>
      </c>
      <c r="BU17" s="77">
        <f t="shared" ref="BU17" si="157">BT17+BU16</f>
        <v>139350</v>
      </c>
    </row>
    <row r="18" spans="1:73" s="18" customFormat="1">
      <c r="A18" s="866">
        <v>8</v>
      </c>
      <c r="B18" s="76"/>
      <c r="C18" s="871" t="s">
        <v>2228</v>
      </c>
      <c r="D18" s="76"/>
      <c r="E18" s="76"/>
      <c r="F18" s="873"/>
      <c r="G18" s="77">
        <v>0</v>
      </c>
      <c r="H18" s="77">
        <v>0</v>
      </c>
      <c r="I18" s="77">
        <v>0</v>
      </c>
      <c r="J18" s="77">
        <v>0</v>
      </c>
      <c r="K18" s="77">
        <v>500</v>
      </c>
      <c r="L18" s="77">
        <v>0</v>
      </c>
      <c r="M18" s="77">
        <v>0</v>
      </c>
      <c r="N18" s="77">
        <v>0</v>
      </c>
      <c r="O18" s="77">
        <v>0</v>
      </c>
      <c r="P18" s="77">
        <v>0</v>
      </c>
      <c r="Q18" s="77">
        <v>0</v>
      </c>
      <c r="R18" s="77">
        <v>0</v>
      </c>
      <c r="S18" s="77">
        <v>0</v>
      </c>
      <c r="T18" s="77">
        <v>200</v>
      </c>
      <c r="U18" s="77">
        <v>0</v>
      </c>
      <c r="V18" s="77">
        <v>0</v>
      </c>
      <c r="W18" s="77">
        <v>0</v>
      </c>
      <c r="X18" s="77">
        <v>0</v>
      </c>
      <c r="Y18" s="77">
        <v>0</v>
      </c>
      <c r="Z18" s="77">
        <v>0</v>
      </c>
      <c r="AA18" s="77">
        <v>0</v>
      </c>
      <c r="AB18" s="77">
        <v>0</v>
      </c>
      <c r="AC18" s="77">
        <v>0</v>
      </c>
      <c r="AD18" s="77">
        <v>0</v>
      </c>
      <c r="AE18" s="77">
        <v>0</v>
      </c>
      <c r="AF18" s="77">
        <v>200</v>
      </c>
      <c r="AG18" s="77">
        <v>0</v>
      </c>
      <c r="AH18" s="77">
        <v>0</v>
      </c>
      <c r="AI18" s="77">
        <v>0</v>
      </c>
      <c r="AJ18" s="77">
        <v>0</v>
      </c>
      <c r="AK18" s="77">
        <v>0</v>
      </c>
      <c r="AL18" s="77">
        <v>0</v>
      </c>
      <c r="AM18" s="77">
        <v>0</v>
      </c>
      <c r="AN18" s="77">
        <v>0</v>
      </c>
      <c r="AO18" s="77">
        <v>0</v>
      </c>
      <c r="AP18" s="77">
        <v>0</v>
      </c>
      <c r="AQ18" s="77">
        <v>0</v>
      </c>
      <c r="AR18" s="77">
        <v>200</v>
      </c>
      <c r="AS18" s="77">
        <v>0</v>
      </c>
      <c r="AT18" s="77">
        <v>0</v>
      </c>
      <c r="AU18" s="77">
        <v>0</v>
      </c>
      <c r="AV18" s="77">
        <v>0</v>
      </c>
      <c r="AW18" s="77">
        <v>0</v>
      </c>
      <c r="AX18" s="77">
        <v>0</v>
      </c>
      <c r="AY18" s="77">
        <v>0</v>
      </c>
      <c r="AZ18" s="77">
        <v>0</v>
      </c>
      <c r="BA18" s="77">
        <v>0</v>
      </c>
      <c r="BB18" s="77">
        <v>0</v>
      </c>
      <c r="BC18" s="77">
        <v>0</v>
      </c>
      <c r="BD18" s="77">
        <v>200</v>
      </c>
      <c r="BE18" s="77">
        <v>0</v>
      </c>
      <c r="BF18" s="77">
        <v>0</v>
      </c>
      <c r="BG18" s="77">
        <v>0</v>
      </c>
      <c r="BH18" s="77">
        <v>0</v>
      </c>
      <c r="BI18" s="77">
        <v>0</v>
      </c>
      <c r="BJ18" s="77">
        <v>0</v>
      </c>
      <c r="BK18" s="77">
        <v>0</v>
      </c>
      <c r="BL18" s="77">
        <v>0</v>
      </c>
      <c r="BM18" s="77">
        <v>0</v>
      </c>
      <c r="BN18" s="77">
        <v>0</v>
      </c>
      <c r="BO18" s="77">
        <v>0</v>
      </c>
      <c r="BP18" s="77">
        <v>200</v>
      </c>
      <c r="BQ18" s="77">
        <v>0</v>
      </c>
      <c r="BR18" s="77">
        <v>0</v>
      </c>
      <c r="BS18" s="77">
        <v>0</v>
      </c>
      <c r="BT18" s="77">
        <v>0</v>
      </c>
      <c r="BU18" s="77">
        <v>0</v>
      </c>
    </row>
    <row r="19" spans="1:73" s="18" customFormat="1">
      <c r="A19" s="866">
        <v>8</v>
      </c>
      <c r="B19" s="76"/>
      <c r="C19" s="871" t="s">
        <v>2229</v>
      </c>
      <c r="D19" s="76"/>
      <c r="E19" s="76"/>
      <c r="F19" s="873"/>
      <c r="G19" s="77">
        <f>G18</f>
        <v>0</v>
      </c>
      <c r="H19" s="77">
        <f>G19+H18</f>
        <v>0</v>
      </c>
      <c r="I19" s="77">
        <f t="shared" ref="I19:AK19" si="158">H19+I18</f>
        <v>0</v>
      </c>
      <c r="J19" s="77">
        <f t="shared" si="158"/>
        <v>0</v>
      </c>
      <c r="K19" s="77">
        <f t="shared" si="158"/>
        <v>500</v>
      </c>
      <c r="L19" s="77">
        <f t="shared" si="158"/>
        <v>500</v>
      </c>
      <c r="M19" s="77">
        <f t="shared" si="158"/>
        <v>500</v>
      </c>
      <c r="N19" s="77">
        <f t="shared" si="158"/>
        <v>500</v>
      </c>
      <c r="O19" s="77">
        <f t="shared" si="158"/>
        <v>500</v>
      </c>
      <c r="P19" s="77">
        <f t="shared" si="158"/>
        <v>500</v>
      </c>
      <c r="Q19" s="77">
        <f t="shared" si="158"/>
        <v>500</v>
      </c>
      <c r="R19" s="77">
        <f t="shared" si="158"/>
        <v>500</v>
      </c>
      <c r="S19" s="77">
        <f t="shared" si="158"/>
        <v>500</v>
      </c>
      <c r="T19" s="77">
        <f t="shared" si="158"/>
        <v>700</v>
      </c>
      <c r="U19" s="77">
        <f t="shared" si="158"/>
        <v>700</v>
      </c>
      <c r="V19" s="77">
        <f t="shared" si="158"/>
        <v>700</v>
      </c>
      <c r="W19" s="77">
        <f t="shared" si="158"/>
        <v>700</v>
      </c>
      <c r="X19" s="77">
        <f t="shared" si="158"/>
        <v>700</v>
      </c>
      <c r="Y19" s="77">
        <f t="shared" si="158"/>
        <v>700</v>
      </c>
      <c r="Z19" s="77">
        <f t="shared" si="158"/>
        <v>700</v>
      </c>
      <c r="AA19" s="77">
        <f t="shared" si="158"/>
        <v>700</v>
      </c>
      <c r="AB19" s="77">
        <f t="shared" si="158"/>
        <v>700</v>
      </c>
      <c r="AC19" s="77">
        <f t="shared" si="158"/>
        <v>700</v>
      </c>
      <c r="AD19" s="77">
        <f t="shared" si="158"/>
        <v>700</v>
      </c>
      <c r="AE19" s="77">
        <f t="shared" si="158"/>
        <v>700</v>
      </c>
      <c r="AF19" s="77">
        <f t="shared" si="158"/>
        <v>900</v>
      </c>
      <c r="AG19" s="77">
        <f t="shared" si="158"/>
        <v>900</v>
      </c>
      <c r="AH19" s="77">
        <f t="shared" si="158"/>
        <v>900</v>
      </c>
      <c r="AI19" s="77">
        <f t="shared" si="158"/>
        <v>900</v>
      </c>
      <c r="AJ19" s="77">
        <f t="shared" si="158"/>
        <v>900</v>
      </c>
      <c r="AK19" s="77">
        <f t="shared" si="158"/>
        <v>900</v>
      </c>
      <c r="AL19" s="77">
        <f t="shared" ref="AL19" si="159">AK19+AL18</f>
        <v>900</v>
      </c>
      <c r="AM19" s="77">
        <f t="shared" ref="AM19" si="160">AL19+AM18</f>
        <v>900</v>
      </c>
      <c r="AN19" s="77">
        <f t="shared" ref="AN19" si="161">AM19+AN18</f>
        <v>900</v>
      </c>
      <c r="AO19" s="77">
        <f t="shared" ref="AO19" si="162">AN19+AO18</f>
        <v>900</v>
      </c>
      <c r="AP19" s="77">
        <f t="shared" ref="AP19" si="163">AO19+AP18</f>
        <v>900</v>
      </c>
      <c r="AQ19" s="77">
        <f t="shared" ref="AQ19" si="164">AP19+AQ18</f>
        <v>900</v>
      </c>
      <c r="AR19" s="77">
        <f t="shared" ref="AR19" si="165">AQ19+AR18</f>
        <v>1100</v>
      </c>
      <c r="AS19" s="77">
        <f t="shared" ref="AS19" si="166">AR19+AS18</f>
        <v>1100</v>
      </c>
      <c r="AT19" s="77">
        <f t="shared" ref="AT19" si="167">AS19+AT18</f>
        <v>1100</v>
      </c>
      <c r="AU19" s="77">
        <f t="shared" ref="AU19" si="168">AT19+AU18</f>
        <v>1100</v>
      </c>
      <c r="AV19" s="77">
        <f t="shared" ref="AV19" si="169">AU19+AV18</f>
        <v>1100</v>
      </c>
      <c r="AW19" s="77">
        <f t="shared" ref="AW19" si="170">AV19+AW18</f>
        <v>1100</v>
      </c>
      <c r="AX19" s="77">
        <f t="shared" ref="AX19" si="171">AW19+AX18</f>
        <v>1100</v>
      </c>
      <c r="AY19" s="77">
        <f t="shared" ref="AY19" si="172">AX19+AY18</f>
        <v>1100</v>
      </c>
      <c r="AZ19" s="77">
        <f t="shared" ref="AZ19" si="173">AY19+AZ18</f>
        <v>1100</v>
      </c>
      <c r="BA19" s="77">
        <f t="shared" ref="BA19" si="174">AZ19+BA18</f>
        <v>1100</v>
      </c>
      <c r="BB19" s="77">
        <f t="shared" ref="BB19" si="175">BA19+BB18</f>
        <v>1100</v>
      </c>
      <c r="BC19" s="77">
        <f t="shared" ref="BC19" si="176">BB19+BC18</f>
        <v>1100</v>
      </c>
      <c r="BD19" s="77">
        <f t="shared" ref="BD19" si="177">BC19+BD18</f>
        <v>1300</v>
      </c>
      <c r="BE19" s="77">
        <f t="shared" ref="BE19" si="178">BD19+BE18</f>
        <v>1300</v>
      </c>
      <c r="BF19" s="77">
        <f t="shared" ref="BF19" si="179">BE19+BF18</f>
        <v>1300</v>
      </c>
      <c r="BG19" s="77">
        <f t="shared" ref="BG19" si="180">BF19+BG18</f>
        <v>1300</v>
      </c>
      <c r="BH19" s="77">
        <f t="shared" ref="BH19" si="181">BG19+BH18</f>
        <v>1300</v>
      </c>
      <c r="BI19" s="77">
        <f t="shared" ref="BI19" si="182">BH19+BI18</f>
        <v>1300</v>
      </c>
      <c r="BJ19" s="77">
        <f t="shared" ref="BJ19" si="183">BI19+BJ18</f>
        <v>1300</v>
      </c>
      <c r="BK19" s="77">
        <f t="shared" ref="BK19" si="184">BJ19+BK18</f>
        <v>1300</v>
      </c>
      <c r="BL19" s="77">
        <f t="shared" ref="BL19" si="185">BK19+BL18</f>
        <v>1300</v>
      </c>
      <c r="BM19" s="77">
        <f t="shared" ref="BM19" si="186">BL19+BM18</f>
        <v>1300</v>
      </c>
      <c r="BN19" s="77">
        <f t="shared" ref="BN19" si="187">BM19+BN18</f>
        <v>1300</v>
      </c>
      <c r="BO19" s="77">
        <f t="shared" ref="BO19" si="188">BN19+BO18</f>
        <v>1300</v>
      </c>
      <c r="BP19" s="77">
        <f t="shared" ref="BP19" si="189">BO19+BP18</f>
        <v>1500</v>
      </c>
      <c r="BQ19" s="77">
        <f t="shared" ref="BQ19" si="190">BP19+BQ18</f>
        <v>1500</v>
      </c>
      <c r="BR19" s="77">
        <f t="shared" ref="BR19" si="191">BQ19+BR18</f>
        <v>1500</v>
      </c>
      <c r="BS19" s="77">
        <f t="shared" ref="BS19" si="192">BR19+BS18</f>
        <v>1500</v>
      </c>
      <c r="BT19" s="77">
        <f t="shared" ref="BT19" si="193">BS19+BT18</f>
        <v>1500</v>
      </c>
      <c r="BU19" s="77">
        <f t="shared" ref="BU19" si="194">BT19+BU18</f>
        <v>1500</v>
      </c>
    </row>
    <row r="20" spans="1:73" s="18" customFormat="1">
      <c r="A20" s="866">
        <v>8</v>
      </c>
      <c r="B20" s="76"/>
      <c r="C20" s="871" t="s">
        <v>2230</v>
      </c>
      <c r="D20" s="76"/>
      <c r="E20" s="76"/>
      <c r="F20" s="874">
        <v>0.7</v>
      </c>
      <c r="G20" s="77">
        <f>(G$17+G$19)/99%*1%*(DATE(YEAR(G$3),12,31)-G$3)/365</f>
        <v>0</v>
      </c>
      <c r="H20" s="77">
        <f>(H$17+H$19)/99%*1%*(DATE(YEAR(H$3),12,31)-H$3)/365*$F$20</f>
        <v>0</v>
      </c>
      <c r="I20" s="77">
        <f>(I$16+I$18)/99%*1%*(DATE(YEAR(I$3),12,31)-I$3)/365*$F$20</f>
        <v>0</v>
      </c>
      <c r="J20" s="77">
        <f t="shared" ref="J20:S20" si="195">(J$16+J$18)/99%*1%*(DATE(YEAR(J$3),12,31)-J$3)/365*$F$20</f>
        <v>0</v>
      </c>
      <c r="K20" s="77">
        <f t="shared" si="195"/>
        <v>25.743185277431856</v>
      </c>
      <c r="L20" s="77">
        <f t="shared" si="195"/>
        <v>0</v>
      </c>
      <c r="M20" s="77">
        <f t="shared" si="195"/>
        <v>0</v>
      </c>
      <c r="N20" s="77">
        <f t="shared" si="195"/>
        <v>0</v>
      </c>
      <c r="O20" s="77">
        <f t="shared" si="195"/>
        <v>0</v>
      </c>
      <c r="P20" s="77">
        <f t="shared" si="195"/>
        <v>52.739726027397261</v>
      </c>
      <c r="Q20" s="77">
        <f t="shared" si="195"/>
        <v>0</v>
      </c>
      <c r="R20" s="77">
        <f t="shared" si="195"/>
        <v>0</v>
      </c>
      <c r="S20" s="77">
        <f t="shared" si="195"/>
        <v>13.07596513075965</v>
      </c>
      <c r="T20" s="77">
        <f>(T$17+T$19)/99%*1%*(DATE(YEAR(T$3),12,31)-T$3)/365*$F$20</f>
        <v>352.91933028919328</v>
      </c>
      <c r="U20" s="77">
        <f t="shared" ref="U20:AE20" si="196">U$16/99%*1%*(DATE(YEAR(U$3),12,31)-U$3)/365*$F$20</f>
        <v>0</v>
      </c>
      <c r="V20" s="77">
        <f t="shared" si="196"/>
        <v>44.312992943129935</v>
      </c>
      <c r="W20" s="77">
        <f t="shared" si="196"/>
        <v>0</v>
      </c>
      <c r="X20" s="77">
        <f t="shared" si="196"/>
        <v>0</v>
      </c>
      <c r="Y20" s="77">
        <f t="shared" si="196"/>
        <v>61.892901618929017</v>
      </c>
      <c r="Z20" s="77">
        <f t="shared" si="196"/>
        <v>0</v>
      </c>
      <c r="AA20" s="77">
        <f t="shared" si="196"/>
        <v>0</v>
      </c>
      <c r="AB20" s="77">
        <f t="shared" si="196"/>
        <v>17.579908675799089</v>
      </c>
      <c r="AC20" s="77">
        <f t="shared" si="196"/>
        <v>0</v>
      </c>
      <c r="AD20" s="77">
        <f t="shared" si="196"/>
        <v>0</v>
      </c>
      <c r="AE20" s="77">
        <f t="shared" si="196"/>
        <v>8.717310087173102</v>
      </c>
      <c r="AF20" s="77">
        <f>AF$17/99%*1%*(DATE(YEAR(AF$3),12,31)-AF$3)/365*$F$20</f>
        <v>667.12121212121201</v>
      </c>
      <c r="AG20" s="77">
        <f>AG$16/99%*1%*(DATE(YEAR(AG$3),12,31)-AG$3)/365*$F$20</f>
        <v>0</v>
      </c>
      <c r="AH20" s="77">
        <f>AH$16/99%*1%*(DATE(YEAR(AH$3),12,31)-AH$3)/365*$F$20</f>
        <v>0</v>
      </c>
      <c r="AI20" s="77">
        <f>AI$16/99%*1%*(DATE(YEAR(AI$3),12,31)-AI$3)/365*$F$20</f>
        <v>0</v>
      </c>
      <c r="AJ20" s="77">
        <f>AJ$16/99%*1%*(DATE(YEAR(AJ$3),12,31)-AJ$3)/365*$F$20</f>
        <v>0</v>
      </c>
      <c r="AK20" s="77">
        <f>AK$16/99%*1%*(DATE(YEAR(AK$3),12,31)-AK$3)/365*$F$20</f>
        <v>92.839352428393525</v>
      </c>
      <c r="AL20" s="77">
        <f t="shared" ref="AL20:AQ20" si="197">AL$16/99%*1%*(DATE(YEAR(AL$3),12,31)-AL$3)/365*$F$20</f>
        <v>0</v>
      </c>
      <c r="AM20" s="77">
        <f t="shared" si="197"/>
        <v>0</v>
      </c>
      <c r="AN20" s="77">
        <f t="shared" si="197"/>
        <v>0</v>
      </c>
      <c r="AO20" s="77">
        <f t="shared" si="197"/>
        <v>0</v>
      </c>
      <c r="AP20" s="77">
        <f t="shared" si="197"/>
        <v>0</v>
      </c>
      <c r="AQ20" s="77">
        <f t="shared" si="197"/>
        <v>13.07596513075965</v>
      </c>
      <c r="AR20" s="77">
        <f>AR$17/99%*1%*(DATE(YEAR(AR$3),12,31)-AR$3)/365*$F$20</f>
        <v>982.60356994603569</v>
      </c>
      <c r="AS20" s="77">
        <f>AS$16/99%*1%*(DATE(YEAR(AS$3),12,31)-AS$3)/365*$F$20</f>
        <v>0</v>
      </c>
      <c r="AT20" s="77">
        <f>AT$16/99%*1%*(DATE(YEAR(AT$3),12,31)-AT$3)/365*$F$20</f>
        <v>0</v>
      </c>
      <c r="AU20" s="77">
        <f>AU$16/99%*1%*(DATE(YEAR(AU$3),12,31)-AU$3)/365*$F$20</f>
        <v>0</v>
      </c>
      <c r="AV20" s="77">
        <f>AV$16/99%*1%*(DATE(YEAR(AV$3),12,31)-AV$3)/365*$F$20</f>
        <v>0</v>
      </c>
      <c r="AW20" s="77">
        <f>AW$16/99%*1%*(DATE(YEAR(AW$3),12,31)-AW$3)/365*$F$20</f>
        <v>0</v>
      </c>
      <c r="AX20" s="77">
        <f t="shared" ref="AX20:BC20" si="198">AX$16/99%*1%*(DATE(YEAR(AX$3),12,31)-AX$3)/365*$F$20</f>
        <v>0</v>
      </c>
      <c r="AY20" s="77">
        <f t="shared" si="198"/>
        <v>0</v>
      </c>
      <c r="AZ20" s="77">
        <f t="shared" si="198"/>
        <v>0</v>
      </c>
      <c r="BA20" s="77">
        <f t="shared" si="198"/>
        <v>0</v>
      </c>
      <c r="BB20" s="77">
        <f t="shared" si="198"/>
        <v>0</v>
      </c>
      <c r="BC20" s="77">
        <f t="shared" si="198"/>
        <v>0</v>
      </c>
      <c r="BD20" s="77">
        <f>BD$17/99%*1%*(DATE(YEAR(BD$3),12,31)-BD$3)/365*$F$20</f>
        <v>982.60356994603569</v>
      </c>
      <c r="BE20" s="77">
        <f>BE$16/99%*1%*(DATE(YEAR(BE$3),12,31)-BE$3)/365*$F$20</f>
        <v>0</v>
      </c>
      <c r="BF20" s="77">
        <f>BF$16/99%*1%*(DATE(YEAR(BF$3),12,31)-BF$3)/365*$F$20</f>
        <v>0</v>
      </c>
      <c r="BG20" s="77">
        <f>BG$16/99%*1%*(DATE(YEAR(BG$3),12,31)-BG$3)/365*$F$20</f>
        <v>0</v>
      </c>
      <c r="BH20" s="77">
        <f>BH$16/99%*1%*(DATE(YEAR(BH$3),12,31)-BH$3)/365*$F$20</f>
        <v>0</v>
      </c>
      <c r="BI20" s="77">
        <f>BI$16/99%*1%*(DATE(YEAR(BI$3),12,31)-BI$3)/365*$F$20</f>
        <v>0</v>
      </c>
      <c r="BJ20" s="77">
        <f t="shared" ref="BJ20:BO20" si="199">BJ$16/99%*1%*(DATE(YEAR(BJ$3),12,31)-BJ$3)/365*$F$20</f>
        <v>0</v>
      </c>
      <c r="BK20" s="77">
        <f t="shared" si="199"/>
        <v>0</v>
      </c>
      <c r="BL20" s="77">
        <f t="shared" si="199"/>
        <v>0</v>
      </c>
      <c r="BM20" s="77">
        <f t="shared" si="199"/>
        <v>0</v>
      </c>
      <c r="BN20" s="77">
        <f t="shared" si="199"/>
        <v>0</v>
      </c>
      <c r="BO20" s="77">
        <f t="shared" si="199"/>
        <v>0</v>
      </c>
      <c r="BP20" s="77">
        <f>BP$17/99%*1%*(DATE(YEAR(BP$3),12,31)-BP$3)/365*$F$20</f>
        <v>988.0024906600247</v>
      </c>
      <c r="BQ20" s="77">
        <f>BQ$16/99%*1%*(DATE(YEAR(BQ$3),12,31)-BQ$3)/365*$F$20</f>
        <v>0</v>
      </c>
      <c r="BR20" s="77">
        <f>BR$16/99%*1%*(DATE(YEAR(BR$3),12,31)-BR$3)/365*$F$20</f>
        <v>0</v>
      </c>
      <c r="BS20" s="77">
        <f>BS$16/99%*1%*(DATE(YEAR(BS$3),12,31)-BS$3)/365*$F$20</f>
        <v>0</v>
      </c>
      <c r="BT20" s="77">
        <f>BT$16/99%*1%*(DATE(YEAR(BT$3),12,31)-BT$3)/365*$F$20</f>
        <v>0</v>
      </c>
      <c r="BU20" s="77">
        <f>BU$16/99%*1%*(DATE(YEAR(BU$3),12,31)-BU$3)/365*$F$20</f>
        <v>0</v>
      </c>
    </row>
    <row r="21" spans="1:73" s="18" customFormat="1">
      <c r="A21" s="866">
        <v>8</v>
      </c>
      <c r="B21" s="76"/>
      <c r="C21" s="871" t="s">
        <v>2231</v>
      </c>
      <c r="D21" s="76" t="s">
        <v>2232</v>
      </c>
      <c r="E21" s="187">
        <f>汇总!N65</f>
        <v>0</v>
      </c>
      <c r="F21" s="874">
        <v>0.3</v>
      </c>
      <c r="G21" s="77">
        <v>0</v>
      </c>
      <c r="H21" s="77">
        <f>(H$17+H$19)/99%*1%*(DATE(YEAR(H$3),12,31)-H$3)/365*$F$21*$E$21</f>
        <v>0</v>
      </c>
      <c r="I21" s="77">
        <f>(I$16+I$18)/99%*1%*(DATE(YEAR(I$3),12,31)-I$3)/365*$F$21*$E$21</f>
        <v>0</v>
      </c>
      <c r="J21" s="77">
        <f t="shared" ref="J21:AE21" si="200">(J$16+J$18)/99%*1%*(DATE(YEAR(J$3),12,31)-J$3)/365*$F$21*$E$21</f>
        <v>0</v>
      </c>
      <c r="K21" s="77">
        <f t="shared" si="200"/>
        <v>0</v>
      </c>
      <c r="L21" s="77">
        <f t="shared" si="200"/>
        <v>0</v>
      </c>
      <c r="M21" s="77">
        <f t="shared" si="200"/>
        <v>0</v>
      </c>
      <c r="N21" s="77">
        <f t="shared" si="200"/>
        <v>0</v>
      </c>
      <c r="O21" s="77">
        <f t="shared" si="200"/>
        <v>0</v>
      </c>
      <c r="P21" s="77">
        <f t="shared" si="200"/>
        <v>0</v>
      </c>
      <c r="Q21" s="77">
        <f t="shared" si="200"/>
        <v>0</v>
      </c>
      <c r="R21" s="77">
        <f t="shared" si="200"/>
        <v>0</v>
      </c>
      <c r="S21" s="77">
        <f t="shared" si="200"/>
        <v>0</v>
      </c>
      <c r="T21" s="77">
        <f>(T$17+T$19)/99%*1%*(DATE(YEAR(T$3),12,31)-T$3)/365*$F$21*$E$21</f>
        <v>0</v>
      </c>
      <c r="U21" s="77">
        <f t="shared" si="200"/>
        <v>0</v>
      </c>
      <c r="V21" s="77">
        <f t="shared" si="200"/>
        <v>0</v>
      </c>
      <c r="W21" s="77">
        <f t="shared" si="200"/>
        <v>0</v>
      </c>
      <c r="X21" s="77">
        <f t="shared" si="200"/>
        <v>0</v>
      </c>
      <c r="Y21" s="77">
        <f t="shared" si="200"/>
        <v>0</v>
      </c>
      <c r="Z21" s="77">
        <f t="shared" si="200"/>
        <v>0</v>
      </c>
      <c r="AA21" s="77">
        <f t="shared" si="200"/>
        <v>0</v>
      </c>
      <c r="AB21" s="77">
        <f t="shared" si="200"/>
        <v>0</v>
      </c>
      <c r="AC21" s="77">
        <f t="shared" si="200"/>
        <v>0</v>
      </c>
      <c r="AD21" s="77">
        <f t="shared" si="200"/>
        <v>0</v>
      </c>
      <c r="AE21" s="77">
        <f t="shared" si="200"/>
        <v>0</v>
      </c>
      <c r="AF21" s="77">
        <f>(AF$17+AF$19)/99%*1%*(DATE(YEAR(AF$3),12,31)-AF$3)/365*$F$21*$E21</f>
        <v>0</v>
      </c>
      <c r="AG21" s="77">
        <f>AG$16/99%*1%*(DATE(YEAR(AG$3),12,31)-AG$3)/365*$F$21</f>
        <v>0</v>
      </c>
      <c r="AH21" s="77">
        <f>AH$16/99%*1%*(DATE(YEAR(AH$3),12,31)-AH$3)/365*$F$21</f>
        <v>0</v>
      </c>
      <c r="AI21" s="77">
        <f>AI$16/99%*1%*(DATE(YEAR(AI$3),12,31)-AI$3)/365*$F$21</f>
        <v>0</v>
      </c>
      <c r="AJ21" s="77">
        <f>AJ$16/99%*1%*(DATE(YEAR(AJ$3),12,31)-AJ$3)/365*$F$21</f>
        <v>0</v>
      </c>
      <c r="AK21" s="77">
        <f t="shared" ref="AK21:AQ21" si="201">(AK$16+AK$18)/99%*1%*(DATE(YEAR(AK$3),12,31)-AK$3)/365*$F$21*$E$21</f>
        <v>0</v>
      </c>
      <c r="AL21" s="77">
        <f t="shared" si="201"/>
        <v>0</v>
      </c>
      <c r="AM21" s="77">
        <f t="shared" si="201"/>
        <v>0</v>
      </c>
      <c r="AN21" s="77">
        <f t="shared" si="201"/>
        <v>0</v>
      </c>
      <c r="AO21" s="77">
        <f t="shared" si="201"/>
        <v>0</v>
      </c>
      <c r="AP21" s="77">
        <f t="shared" si="201"/>
        <v>0</v>
      </c>
      <c r="AQ21" s="77">
        <f t="shared" si="201"/>
        <v>0</v>
      </c>
      <c r="AR21" s="77">
        <f>(AR$17+AR$19)/99%*1%*(DATE(YEAR(AR$3),12,31)-AR$3)/365*$F$21*$E21</f>
        <v>0</v>
      </c>
      <c r="AS21" s="77">
        <f>AS$16/99%*1%*(DATE(YEAR(AS$3),12,31)-AS$3)/365*$F$21</f>
        <v>0</v>
      </c>
      <c r="AT21" s="77">
        <f>AT$16/99%*1%*(DATE(YEAR(AT$3),12,31)-AT$3)/365*$F$21</f>
        <v>0</v>
      </c>
      <c r="AU21" s="77">
        <f>AU$16/99%*1%*(DATE(YEAR(AU$3),12,31)-AU$3)/365*$F$21</f>
        <v>0</v>
      </c>
      <c r="AV21" s="77">
        <f>AV$16/99%*1%*(DATE(YEAR(AV$3),12,31)-AV$3)/365*$F$21</f>
        <v>0</v>
      </c>
      <c r="AW21" s="77">
        <f t="shared" ref="AW21:BC21" si="202">(AW$16+AW$18)/99%*1%*(DATE(YEAR(AW$3),12,31)-AW$3)/365*$F$21*$E$21</f>
        <v>0</v>
      </c>
      <c r="AX21" s="77">
        <f t="shared" si="202"/>
        <v>0</v>
      </c>
      <c r="AY21" s="77">
        <f t="shared" si="202"/>
        <v>0</v>
      </c>
      <c r="AZ21" s="77">
        <f t="shared" si="202"/>
        <v>0</v>
      </c>
      <c r="BA21" s="77">
        <f t="shared" si="202"/>
        <v>0</v>
      </c>
      <c r="BB21" s="77">
        <f t="shared" si="202"/>
        <v>0</v>
      </c>
      <c r="BC21" s="77">
        <f t="shared" si="202"/>
        <v>0</v>
      </c>
      <c r="BD21" s="77">
        <f>(BD$17+BD$19)/99%*1%*(DATE(YEAR(BD$3),12,31)-BD$3)/365*$F$21*$E21</f>
        <v>0</v>
      </c>
      <c r="BE21" s="77">
        <f>BE$16/99%*1%*(DATE(YEAR(BE$3),12,31)-BE$3)/365*$F$21</f>
        <v>0</v>
      </c>
      <c r="BF21" s="77">
        <f>BF$16/99%*1%*(DATE(YEAR(BF$3),12,31)-BF$3)/365*$F$21</f>
        <v>0</v>
      </c>
      <c r="BG21" s="77">
        <f>BG$16/99%*1%*(DATE(YEAR(BG$3),12,31)-BG$3)/365*$F$21</f>
        <v>0</v>
      </c>
      <c r="BH21" s="77">
        <f>BH$16/99%*1%*(DATE(YEAR(BH$3),12,31)-BH$3)/365*$F$21</f>
        <v>0</v>
      </c>
      <c r="BI21" s="77">
        <f t="shared" ref="BI21:BO21" si="203">(BI$16+BI$18)/99%*1%*(DATE(YEAR(BI$3),12,31)-BI$3)/365*$F$21*$E$21</f>
        <v>0</v>
      </c>
      <c r="BJ21" s="77">
        <f t="shared" si="203"/>
        <v>0</v>
      </c>
      <c r="BK21" s="77">
        <f t="shared" si="203"/>
        <v>0</v>
      </c>
      <c r="BL21" s="77">
        <f t="shared" si="203"/>
        <v>0</v>
      </c>
      <c r="BM21" s="77">
        <f t="shared" si="203"/>
        <v>0</v>
      </c>
      <c r="BN21" s="77">
        <f t="shared" si="203"/>
        <v>0</v>
      </c>
      <c r="BO21" s="77">
        <f t="shared" si="203"/>
        <v>0</v>
      </c>
      <c r="BP21" s="77">
        <f>(BP$17+BP$19)/99%*1%*(DATE(YEAR(BP$3),12,31)-BP$3)/365*$F$21*$E21</f>
        <v>0</v>
      </c>
      <c r="BQ21" s="77">
        <f>BQ$16/99%*1%*(DATE(YEAR(BQ$3),12,31)-BQ$3)/365*$F$21</f>
        <v>0</v>
      </c>
      <c r="BR21" s="77">
        <f>BR$16/99%*1%*(DATE(YEAR(BR$3),12,31)-BR$3)/365*$F$21</f>
        <v>0</v>
      </c>
      <c r="BS21" s="77">
        <f>BS$16/99%*1%*(DATE(YEAR(BS$3),12,31)-BS$3)/365*$F$21</f>
        <v>0</v>
      </c>
      <c r="BT21" s="77">
        <f>BT$16/99%*1%*(DATE(YEAR(BT$3),12,31)-BT$3)/365*$F$21</f>
        <v>0</v>
      </c>
      <c r="BU21" s="77">
        <f t="shared" ref="BU21" si="204">(BU$16+BU$18)/99%*1%*(DATE(YEAR(BU$3),12,31)-BU$3)/365*$F$21*$E$21</f>
        <v>0</v>
      </c>
    </row>
    <row r="22" spans="1:73" s="18" customFormat="1">
      <c r="A22" s="866"/>
      <c r="B22" s="76"/>
      <c r="C22" s="871" t="s">
        <v>2233</v>
      </c>
      <c r="D22" s="76"/>
      <c r="E22" s="76"/>
      <c r="F22" s="873"/>
      <c r="G22" s="77">
        <f>SUM(G16,G20:G21)</f>
        <v>0</v>
      </c>
      <c r="H22" s="77">
        <f t="shared" ref="H22:J22" si="205">SUM(H16,H20:H21)</f>
        <v>0</v>
      </c>
      <c r="I22" s="77">
        <f t="shared" si="205"/>
        <v>0</v>
      </c>
      <c r="J22" s="77">
        <f t="shared" si="205"/>
        <v>0</v>
      </c>
      <c r="K22" s="77">
        <f>SUM(K16,K18,K20:K21)</f>
        <v>4875.7431852774316</v>
      </c>
      <c r="L22" s="77">
        <f t="shared" ref="L22:AK22" si="206">SUM(L16,L18,L20:L21)</f>
        <v>0</v>
      </c>
      <c r="M22" s="77">
        <f t="shared" si="206"/>
        <v>0</v>
      </c>
      <c r="N22" s="77">
        <f t="shared" si="206"/>
        <v>0</v>
      </c>
      <c r="O22" s="77">
        <f t="shared" si="206"/>
        <v>0</v>
      </c>
      <c r="P22" s="77">
        <f t="shared" si="206"/>
        <v>22552.739726027397</v>
      </c>
      <c r="Q22" s="77">
        <f t="shared" si="206"/>
        <v>0</v>
      </c>
      <c r="R22" s="77">
        <f t="shared" si="206"/>
        <v>0</v>
      </c>
      <c r="S22" s="77">
        <f t="shared" si="206"/>
        <v>22513.07596513076</v>
      </c>
      <c r="T22" s="77">
        <f t="shared" si="206"/>
        <v>552.91933028919334</v>
      </c>
      <c r="U22" s="77">
        <f t="shared" si="206"/>
        <v>0</v>
      </c>
      <c r="V22" s="77">
        <f t="shared" si="206"/>
        <v>7544.3129929431298</v>
      </c>
      <c r="W22" s="77">
        <f t="shared" si="206"/>
        <v>0</v>
      </c>
      <c r="X22" s="77">
        <f t="shared" si="206"/>
        <v>0</v>
      </c>
      <c r="Y22" s="77">
        <f t="shared" si="206"/>
        <v>15061.892901618929</v>
      </c>
      <c r="Z22" s="77">
        <f t="shared" si="206"/>
        <v>0</v>
      </c>
      <c r="AA22" s="77">
        <f t="shared" si="206"/>
        <v>0</v>
      </c>
      <c r="AB22" s="77">
        <f t="shared" si="206"/>
        <v>7517.5799086757988</v>
      </c>
      <c r="AC22" s="77">
        <f t="shared" si="206"/>
        <v>0</v>
      </c>
      <c r="AD22" s="77">
        <f t="shared" si="206"/>
        <v>0</v>
      </c>
      <c r="AE22" s="77">
        <f t="shared" si="206"/>
        <v>15008.717310087173</v>
      </c>
      <c r="AF22" s="77">
        <f t="shared" si="206"/>
        <v>867.12121212121201</v>
      </c>
      <c r="AG22" s="77">
        <f t="shared" si="206"/>
        <v>0</v>
      </c>
      <c r="AH22" s="77">
        <f t="shared" si="206"/>
        <v>0</v>
      </c>
      <c r="AI22" s="77">
        <f t="shared" si="206"/>
        <v>0</v>
      </c>
      <c r="AJ22" s="77">
        <f t="shared" si="206"/>
        <v>0</v>
      </c>
      <c r="AK22" s="77">
        <f t="shared" si="206"/>
        <v>22592.839352428393</v>
      </c>
      <c r="AL22" s="77">
        <f t="shared" ref="AL22:BU22" si="207">SUM(AL16,AL18,AL20:AL21)</f>
        <v>0</v>
      </c>
      <c r="AM22" s="77">
        <f t="shared" si="207"/>
        <v>0</v>
      </c>
      <c r="AN22" s="77">
        <f t="shared" si="207"/>
        <v>0</v>
      </c>
      <c r="AO22" s="77">
        <f t="shared" si="207"/>
        <v>0</v>
      </c>
      <c r="AP22" s="77">
        <f t="shared" si="207"/>
        <v>0</v>
      </c>
      <c r="AQ22" s="77">
        <f t="shared" si="207"/>
        <v>22513.07596513076</v>
      </c>
      <c r="AR22" s="77">
        <f t="shared" si="207"/>
        <v>1182.6035699460358</v>
      </c>
      <c r="AS22" s="77">
        <f t="shared" si="207"/>
        <v>0</v>
      </c>
      <c r="AT22" s="77">
        <f t="shared" si="207"/>
        <v>0</v>
      </c>
      <c r="AU22" s="77">
        <f t="shared" si="207"/>
        <v>0</v>
      </c>
      <c r="AV22" s="77">
        <f t="shared" si="207"/>
        <v>0</v>
      </c>
      <c r="AW22" s="77">
        <f t="shared" si="207"/>
        <v>0</v>
      </c>
      <c r="AX22" s="77">
        <f t="shared" si="207"/>
        <v>0</v>
      </c>
      <c r="AY22" s="77">
        <f t="shared" si="207"/>
        <v>0</v>
      </c>
      <c r="AZ22" s="77">
        <f t="shared" si="207"/>
        <v>0</v>
      </c>
      <c r="BA22" s="77">
        <f t="shared" si="207"/>
        <v>0</v>
      </c>
      <c r="BB22" s="77">
        <f t="shared" si="207"/>
        <v>0</v>
      </c>
      <c r="BC22" s="77">
        <f t="shared" si="207"/>
        <v>0</v>
      </c>
      <c r="BD22" s="77">
        <f t="shared" si="207"/>
        <v>1182.6035699460358</v>
      </c>
      <c r="BE22" s="77">
        <f t="shared" si="207"/>
        <v>0</v>
      </c>
      <c r="BF22" s="77">
        <f t="shared" si="207"/>
        <v>0</v>
      </c>
      <c r="BG22" s="77">
        <f t="shared" si="207"/>
        <v>0</v>
      </c>
      <c r="BH22" s="77">
        <f t="shared" si="207"/>
        <v>0</v>
      </c>
      <c r="BI22" s="77">
        <f t="shared" si="207"/>
        <v>0</v>
      </c>
      <c r="BJ22" s="77">
        <f t="shared" si="207"/>
        <v>0</v>
      </c>
      <c r="BK22" s="77">
        <f t="shared" si="207"/>
        <v>0</v>
      </c>
      <c r="BL22" s="77">
        <f t="shared" si="207"/>
        <v>0</v>
      </c>
      <c r="BM22" s="77">
        <f t="shared" si="207"/>
        <v>0</v>
      </c>
      <c r="BN22" s="77">
        <f t="shared" si="207"/>
        <v>0</v>
      </c>
      <c r="BO22" s="77">
        <f t="shared" si="207"/>
        <v>0</v>
      </c>
      <c r="BP22" s="77">
        <f t="shared" si="207"/>
        <v>1188.0024906600247</v>
      </c>
      <c r="BQ22" s="77">
        <f t="shared" si="207"/>
        <v>0</v>
      </c>
      <c r="BR22" s="77">
        <f t="shared" si="207"/>
        <v>0</v>
      </c>
      <c r="BS22" s="77">
        <f t="shared" si="207"/>
        <v>0</v>
      </c>
      <c r="BT22" s="77">
        <f t="shared" si="207"/>
        <v>0</v>
      </c>
      <c r="BU22" s="77">
        <f t="shared" si="207"/>
        <v>0</v>
      </c>
    </row>
    <row r="23" spans="1:73" s="18" customFormat="1">
      <c r="A23" s="866"/>
      <c r="B23" s="76"/>
      <c r="C23" s="871" t="s">
        <v>2234</v>
      </c>
      <c r="D23" s="875" t="s">
        <v>2235</v>
      </c>
      <c r="E23" s="77">
        <v>150000</v>
      </c>
      <c r="F23" s="874">
        <v>1</v>
      </c>
      <c r="G23" s="77">
        <f>G22</f>
        <v>0</v>
      </c>
      <c r="H23" s="77">
        <f>G23+H22</f>
        <v>0</v>
      </c>
      <c r="I23" s="77">
        <f t="shared" ref="I23:AK23" si="208">H23+I22</f>
        <v>0</v>
      </c>
      <c r="J23" s="77">
        <f t="shared" si="208"/>
        <v>0</v>
      </c>
      <c r="K23" s="77">
        <f t="shared" si="208"/>
        <v>4875.7431852774316</v>
      </c>
      <c r="L23" s="77">
        <f t="shared" si="208"/>
        <v>4875.7431852774316</v>
      </c>
      <c r="M23" s="77">
        <f t="shared" si="208"/>
        <v>4875.7431852774316</v>
      </c>
      <c r="N23" s="77">
        <f t="shared" si="208"/>
        <v>4875.7431852774316</v>
      </c>
      <c r="O23" s="77">
        <f t="shared" si="208"/>
        <v>4875.7431852774316</v>
      </c>
      <c r="P23" s="77">
        <f t="shared" si="208"/>
        <v>27428.482911304829</v>
      </c>
      <c r="Q23" s="77">
        <f t="shared" si="208"/>
        <v>27428.482911304829</v>
      </c>
      <c r="R23" s="77">
        <f t="shared" si="208"/>
        <v>27428.482911304829</v>
      </c>
      <c r="S23" s="77">
        <f t="shared" si="208"/>
        <v>49941.558876435593</v>
      </c>
      <c r="T23" s="77">
        <f t="shared" si="208"/>
        <v>50494.478206724787</v>
      </c>
      <c r="U23" s="77">
        <f t="shared" si="208"/>
        <v>50494.478206724787</v>
      </c>
      <c r="V23" s="77">
        <f t="shared" si="208"/>
        <v>58038.791199667918</v>
      </c>
      <c r="W23" s="77">
        <f t="shared" si="208"/>
        <v>58038.791199667918</v>
      </c>
      <c r="X23" s="77">
        <f t="shared" si="208"/>
        <v>58038.791199667918</v>
      </c>
      <c r="Y23" s="77">
        <f t="shared" si="208"/>
        <v>73100.684101286839</v>
      </c>
      <c r="Z23" s="77">
        <f t="shared" si="208"/>
        <v>73100.684101286839</v>
      </c>
      <c r="AA23" s="77">
        <f t="shared" si="208"/>
        <v>73100.684101286839</v>
      </c>
      <c r="AB23" s="77">
        <f t="shared" si="208"/>
        <v>80618.264009962644</v>
      </c>
      <c r="AC23" s="77">
        <f t="shared" si="208"/>
        <v>80618.264009962644</v>
      </c>
      <c r="AD23" s="77">
        <f t="shared" si="208"/>
        <v>80618.264009962644</v>
      </c>
      <c r="AE23" s="77">
        <f t="shared" si="208"/>
        <v>95626.981320049817</v>
      </c>
      <c r="AF23" s="77">
        <f t="shared" si="208"/>
        <v>96494.102532171033</v>
      </c>
      <c r="AG23" s="77">
        <f t="shared" si="208"/>
        <v>96494.102532171033</v>
      </c>
      <c r="AH23" s="77">
        <f t="shared" si="208"/>
        <v>96494.102532171033</v>
      </c>
      <c r="AI23" s="77">
        <f t="shared" si="208"/>
        <v>96494.102532171033</v>
      </c>
      <c r="AJ23" s="77">
        <f t="shared" si="208"/>
        <v>96494.102532171033</v>
      </c>
      <c r="AK23" s="77">
        <f t="shared" si="208"/>
        <v>119086.94188459942</v>
      </c>
      <c r="AL23" s="77">
        <f t="shared" ref="AL23" si="209">AK23+AL22</f>
        <v>119086.94188459942</v>
      </c>
      <c r="AM23" s="77">
        <f t="shared" ref="AM23" si="210">AL23+AM22</f>
        <v>119086.94188459942</v>
      </c>
      <c r="AN23" s="77">
        <f t="shared" ref="AN23" si="211">AM23+AN22</f>
        <v>119086.94188459942</v>
      </c>
      <c r="AO23" s="77">
        <f t="shared" ref="AO23" si="212">AN23+AO22</f>
        <v>119086.94188459942</v>
      </c>
      <c r="AP23" s="77">
        <f t="shared" ref="AP23" si="213">AO23+AP22</f>
        <v>119086.94188459942</v>
      </c>
      <c r="AQ23" s="77">
        <f t="shared" ref="AQ23" si="214">AP23+AQ22</f>
        <v>141600.01784973018</v>
      </c>
      <c r="AR23" s="77">
        <f t="shared" ref="AR23" si="215">AQ23+AR22</f>
        <v>142782.62141967623</v>
      </c>
      <c r="AS23" s="77">
        <f t="shared" ref="AS23" si="216">AR23+AS22</f>
        <v>142782.62141967623</v>
      </c>
      <c r="AT23" s="77">
        <f t="shared" ref="AT23" si="217">AS23+AT22</f>
        <v>142782.62141967623</v>
      </c>
      <c r="AU23" s="77">
        <f t="shared" ref="AU23" si="218">AT23+AU22</f>
        <v>142782.62141967623</v>
      </c>
      <c r="AV23" s="77">
        <f t="shared" ref="AV23" si="219">AU23+AV22</f>
        <v>142782.62141967623</v>
      </c>
      <c r="AW23" s="77">
        <f t="shared" ref="AW23" si="220">AV23+AW22</f>
        <v>142782.62141967623</v>
      </c>
      <c r="AX23" s="77">
        <f t="shared" ref="AX23" si="221">AW23+AX22</f>
        <v>142782.62141967623</v>
      </c>
      <c r="AY23" s="77">
        <f t="shared" ref="AY23" si="222">AX23+AY22</f>
        <v>142782.62141967623</v>
      </c>
      <c r="AZ23" s="77">
        <f t="shared" ref="AZ23" si="223">AY23+AZ22</f>
        <v>142782.62141967623</v>
      </c>
      <c r="BA23" s="77">
        <f t="shared" ref="BA23" si="224">AZ23+BA22</f>
        <v>142782.62141967623</v>
      </c>
      <c r="BB23" s="77">
        <f t="shared" ref="BB23" si="225">BA23+BB22</f>
        <v>142782.62141967623</v>
      </c>
      <c r="BC23" s="77">
        <f t="shared" ref="BC23" si="226">BB23+BC22</f>
        <v>142782.62141967623</v>
      </c>
      <c r="BD23" s="77">
        <f t="shared" ref="BD23" si="227">BC23+BD22</f>
        <v>143965.22498962228</v>
      </c>
      <c r="BE23" s="77">
        <f t="shared" ref="BE23" si="228">BD23+BE22</f>
        <v>143965.22498962228</v>
      </c>
      <c r="BF23" s="77">
        <f t="shared" ref="BF23" si="229">BE23+BF22</f>
        <v>143965.22498962228</v>
      </c>
      <c r="BG23" s="77">
        <f t="shared" ref="BG23" si="230">BF23+BG22</f>
        <v>143965.22498962228</v>
      </c>
      <c r="BH23" s="77">
        <f t="shared" ref="BH23" si="231">BG23+BH22</f>
        <v>143965.22498962228</v>
      </c>
      <c r="BI23" s="77">
        <f t="shared" ref="BI23" si="232">BH23+BI22</f>
        <v>143965.22498962228</v>
      </c>
      <c r="BJ23" s="77">
        <f t="shared" ref="BJ23" si="233">BI23+BJ22</f>
        <v>143965.22498962228</v>
      </c>
      <c r="BK23" s="77">
        <f t="shared" ref="BK23" si="234">BJ23+BK22</f>
        <v>143965.22498962228</v>
      </c>
      <c r="BL23" s="77">
        <f t="shared" ref="BL23" si="235">BK23+BL22</f>
        <v>143965.22498962228</v>
      </c>
      <c r="BM23" s="77">
        <f t="shared" ref="BM23" si="236">BL23+BM22</f>
        <v>143965.22498962228</v>
      </c>
      <c r="BN23" s="77">
        <f t="shared" ref="BN23" si="237">BM23+BN22</f>
        <v>143965.22498962228</v>
      </c>
      <c r="BO23" s="77">
        <f t="shared" ref="BO23" si="238">BN23+BO22</f>
        <v>143965.22498962228</v>
      </c>
      <c r="BP23" s="77">
        <f t="shared" ref="BP23" si="239">BO23+BP22</f>
        <v>145153.22748028231</v>
      </c>
      <c r="BQ23" s="77">
        <f t="shared" ref="BQ23" si="240">BP23+BQ22</f>
        <v>145153.22748028231</v>
      </c>
      <c r="BR23" s="77">
        <f t="shared" ref="BR23" si="241">BQ23+BR22</f>
        <v>145153.22748028231</v>
      </c>
      <c r="BS23" s="77">
        <f t="shared" ref="BS23" si="242">BR23+BS22</f>
        <v>145153.22748028231</v>
      </c>
      <c r="BT23" s="77">
        <f t="shared" ref="BT23" si="243">BS23+BT22</f>
        <v>145153.22748028231</v>
      </c>
      <c r="BU23" s="77">
        <f t="shared" ref="BU23" si="244">BT23+BU22</f>
        <v>145153.22748028231</v>
      </c>
    </row>
    <row r="24" spans="1:73" s="18" customFormat="1">
      <c r="A24" s="866"/>
      <c r="B24" s="76"/>
      <c r="C24" s="871" t="s">
        <v>2236</v>
      </c>
      <c r="D24" s="875"/>
      <c r="E24" s="77"/>
      <c r="F24" s="874"/>
      <c r="G24" s="872">
        <f t="shared" ref="G24:AK24" si="245">G23/$E$23</f>
        <v>0</v>
      </c>
      <c r="H24" s="872">
        <f t="shared" si="245"/>
        <v>0</v>
      </c>
      <c r="I24" s="872">
        <f t="shared" si="245"/>
        <v>0</v>
      </c>
      <c r="J24" s="872">
        <f t="shared" si="245"/>
        <v>0</v>
      </c>
      <c r="K24" s="872">
        <f t="shared" si="245"/>
        <v>3.2504954568516209E-2</v>
      </c>
      <c r="L24" s="872">
        <f t="shared" si="245"/>
        <v>3.2504954568516209E-2</v>
      </c>
      <c r="M24" s="872">
        <f t="shared" si="245"/>
        <v>3.2504954568516209E-2</v>
      </c>
      <c r="N24" s="872">
        <f t="shared" si="245"/>
        <v>3.2504954568516209E-2</v>
      </c>
      <c r="O24" s="872">
        <f t="shared" si="245"/>
        <v>3.2504954568516209E-2</v>
      </c>
      <c r="P24" s="872">
        <f t="shared" si="245"/>
        <v>0.18285655274203219</v>
      </c>
      <c r="Q24" s="872">
        <f t="shared" si="245"/>
        <v>0.18285655274203219</v>
      </c>
      <c r="R24" s="872">
        <f t="shared" si="245"/>
        <v>0.18285655274203219</v>
      </c>
      <c r="S24" s="872">
        <f t="shared" si="245"/>
        <v>0.33294372584290394</v>
      </c>
      <c r="T24" s="872">
        <f t="shared" si="245"/>
        <v>0.33662985471149859</v>
      </c>
      <c r="U24" s="872">
        <f t="shared" si="245"/>
        <v>0.33662985471149859</v>
      </c>
      <c r="V24" s="872">
        <f t="shared" si="245"/>
        <v>0.38692527466445281</v>
      </c>
      <c r="W24" s="872">
        <f t="shared" si="245"/>
        <v>0.38692527466445281</v>
      </c>
      <c r="X24" s="872">
        <f t="shared" si="245"/>
        <v>0.38692527466445281</v>
      </c>
      <c r="Y24" s="872">
        <f t="shared" si="245"/>
        <v>0.48733789400857891</v>
      </c>
      <c r="Z24" s="872">
        <f t="shared" si="245"/>
        <v>0.48733789400857891</v>
      </c>
      <c r="AA24" s="872">
        <f t="shared" si="245"/>
        <v>0.48733789400857891</v>
      </c>
      <c r="AB24" s="872">
        <f t="shared" si="245"/>
        <v>0.53745509339975095</v>
      </c>
      <c r="AC24" s="872">
        <f t="shared" si="245"/>
        <v>0.53745509339975095</v>
      </c>
      <c r="AD24" s="872">
        <f t="shared" si="245"/>
        <v>0.53745509339975095</v>
      </c>
      <c r="AE24" s="872">
        <f t="shared" si="245"/>
        <v>0.63751320880033213</v>
      </c>
      <c r="AF24" s="872">
        <f t="shared" si="245"/>
        <v>0.64329401688114018</v>
      </c>
      <c r="AG24" s="872">
        <f t="shared" si="245"/>
        <v>0.64329401688114018</v>
      </c>
      <c r="AH24" s="872">
        <f t="shared" si="245"/>
        <v>0.64329401688114018</v>
      </c>
      <c r="AI24" s="872">
        <f t="shared" si="245"/>
        <v>0.64329401688114018</v>
      </c>
      <c r="AJ24" s="872">
        <f t="shared" si="245"/>
        <v>0.64329401688114018</v>
      </c>
      <c r="AK24" s="872">
        <f t="shared" si="245"/>
        <v>0.79391294589732953</v>
      </c>
      <c r="AL24" s="872">
        <f t="shared" ref="AL24:BU24" si="246">AL23/$E$23</f>
        <v>0.79391294589732953</v>
      </c>
      <c r="AM24" s="872">
        <f t="shared" si="246"/>
        <v>0.79391294589732953</v>
      </c>
      <c r="AN24" s="872">
        <f t="shared" si="246"/>
        <v>0.79391294589732953</v>
      </c>
      <c r="AO24" s="872">
        <f t="shared" si="246"/>
        <v>0.79391294589732953</v>
      </c>
      <c r="AP24" s="872">
        <f t="shared" si="246"/>
        <v>0.79391294589732953</v>
      </c>
      <c r="AQ24" s="872">
        <f t="shared" si="246"/>
        <v>0.94400011899820124</v>
      </c>
      <c r="AR24" s="872">
        <f t="shared" si="246"/>
        <v>0.9518841427978415</v>
      </c>
      <c r="AS24" s="872">
        <f t="shared" si="246"/>
        <v>0.9518841427978415</v>
      </c>
      <c r="AT24" s="872">
        <f t="shared" si="246"/>
        <v>0.9518841427978415</v>
      </c>
      <c r="AU24" s="872">
        <f t="shared" si="246"/>
        <v>0.9518841427978415</v>
      </c>
      <c r="AV24" s="872">
        <f t="shared" si="246"/>
        <v>0.9518841427978415</v>
      </c>
      <c r="AW24" s="872">
        <f t="shared" si="246"/>
        <v>0.9518841427978415</v>
      </c>
      <c r="AX24" s="872">
        <f t="shared" si="246"/>
        <v>0.9518841427978415</v>
      </c>
      <c r="AY24" s="872">
        <f t="shared" si="246"/>
        <v>0.9518841427978415</v>
      </c>
      <c r="AZ24" s="872">
        <f t="shared" si="246"/>
        <v>0.9518841427978415</v>
      </c>
      <c r="BA24" s="872">
        <f t="shared" si="246"/>
        <v>0.9518841427978415</v>
      </c>
      <c r="BB24" s="872">
        <f t="shared" si="246"/>
        <v>0.9518841427978415</v>
      </c>
      <c r="BC24" s="872">
        <f t="shared" si="246"/>
        <v>0.9518841427978415</v>
      </c>
      <c r="BD24" s="872">
        <f t="shared" si="246"/>
        <v>0.95976816659748188</v>
      </c>
      <c r="BE24" s="872">
        <f t="shared" si="246"/>
        <v>0.95976816659748188</v>
      </c>
      <c r="BF24" s="872">
        <f t="shared" si="246"/>
        <v>0.95976816659748188</v>
      </c>
      <c r="BG24" s="872">
        <f t="shared" si="246"/>
        <v>0.95976816659748188</v>
      </c>
      <c r="BH24" s="872">
        <f t="shared" si="246"/>
        <v>0.95976816659748188</v>
      </c>
      <c r="BI24" s="872">
        <f t="shared" si="246"/>
        <v>0.95976816659748188</v>
      </c>
      <c r="BJ24" s="872">
        <f t="shared" si="246"/>
        <v>0.95976816659748188</v>
      </c>
      <c r="BK24" s="872">
        <f t="shared" si="246"/>
        <v>0.95976816659748188</v>
      </c>
      <c r="BL24" s="872">
        <f t="shared" si="246"/>
        <v>0.95976816659748188</v>
      </c>
      <c r="BM24" s="872">
        <f t="shared" si="246"/>
        <v>0.95976816659748188</v>
      </c>
      <c r="BN24" s="872">
        <f t="shared" si="246"/>
        <v>0.95976816659748188</v>
      </c>
      <c r="BO24" s="872">
        <f t="shared" si="246"/>
        <v>0.95976816659748188</v>
      </c>
      <c r="BP24" s="872">
        <f t="shared" si="246"/>
        <v>0.9676881832018821</v>
      </c>
      <c r="BQ24" s="872">
        <f t="shared" si="246"/>
        <v>0.9676881832018821</v>
      </c>
      <c r="BR24" s="872">
        <f t="shared" si="246"/>
        <v>0.9676881832018821</v>
      </c>
      <c r="BS24" s="872">
        <f t="shared" si="246"/>
        <v>0.9676881832018821</v>
      </c>
      <c r="BT24" s="872">
        <f t="shared" si="246"/>
        <v>0.9676881832018821</v>
      </c>
      <c r="BU24" s="872">
        <f t="shared" si="246"/>
        <v>0.9676881832018821</v>
      </c>
    </row>
    <row r="25" spans="1:73" s="63" customFormat="1">
      <c r="A25" s="866"/>
      <c r="B25" s="17"/>
      <c r="C25" s="17"/>
      <c r="D25" s="17"/>
      <c r="E25" s="17"/>
      <c r="F25" s="876"/>
    </row>
    <row r="26" spans="1:73" s="18" customFormat="1">
      <c r="A26" s="866">
        <v>4</v>
      </c>
      <c r="B26" s="76"/>
      <c r="C26" s="76" t="s">
        <v>2237</v>
      </c>
      <c r="D26" s="875" t="s">
        <v>2110</v>
      </c>
      <c r="E26" s="77">
        <v>2250</v>
      </c>
      <c r="F26" s="877">
        <f>E26/150000</f>
        <v>1.4999999999999999E-2</v>
      </c>
      <c r="G26" s="878">
        <v>0</v>
      </c>
      <c r="H26" s="878">
        <v>0</v>
      </c>
      <c r="I26" s="878">
        <v>0</v>
      </c>
      <c r="J26" s="878">
        <f>基金资金安排!C22</f>
        <v>780</v>
      </c>
      <c r="K26" s="878">
        <f t="shared" ref="K26:AK26" si="247">IF(($F26*K$23-J27)&lt;0,0,($F26*K$23-J27))</f>
        <v>0</v>
      </c>
      <c r="L26" s="878">
        <f t="shared" si="247"/>
        <v>0</v>
      </c>
      <c r="M26" s="878">
        <f t="shared" si="247"/>
        <v>0</v>
      </c>
      <c r="N26" s="878">
        <f t="shared" si="247"/>
        <v>0</v>
      </c>
      <c r="O26" s="878">
        <f t="shared" si="247"/>
        <v>0</v>
      </c>
      <c r="P26" s="878">
        <f t="shared" si="247"/>
        <v>0</v>
      </c>
      <c r="Q26" s="878">
        <f t="shared" si="247"/>
        <v>0</v>
      </c>
      <c r="R26" s="878">
        <f t="shared" si="247"/>
        <v>0</v>
      </c>
      <c r="S26" s="878">
        <f t="shared" si="247"/>
        <v>0</v>
      </c>
      <c r="T26" s="878">
        <f t="shared" si="247"/>
        <v>0</v>
      </c>
      <c r="U26" s="878">
        <f t="shared" si="247"/>
        <v>0</v>
      </c>
      <c r="V26" s="878">
        <f t="shared" si="247"/>
        <v>90.581867995018683</v>
      </c>
      <c r="W26" s="878">
        <f t="shared" si="247"/>
        <v>0</v>
      </c>
      <c r="X26" s="878">
        <f t="shared" si="247"/>
        <v>0</v>
      </c>
      <c r="Y26" s="878">
        <f t="shared" si="247"/>
        <v>225.92839352428382</v>
      </c>
      <c r="Z26" s="878">
        <f t="shared" si="247"/>
        <v>0</v>
      </c>
      <c r="AA26" s="878">
        <f t="shared" si="247"/>
        <v>0</v>
      </c>
      <c r="AB26" s="878">
        <f t="shared" si="247"/>
        <v>112.76369863013701</v>
      </c>
      <c r="AC26" s="878">
        <f t="shared" si="247"/>
        <v>0</v>
      </c>
      <c r="AD26" s="878">
        <f t="shared" si="247"/>
        <v>0</v>
      </c>
      <c r="AE26" s="878">
        <f t="shared" si="247"/>
        <v>225.1307596513077</v>
      </c>
      <c r="AF26" s="878">
        <f t="shared" si="247"/>
        <v>13.006818181818289</v>
      </c>
      <c r="AG26" s="878">
        <f t="shared" si="247"/>
        <v>0</v>
      </c>
      <c r="AH26" s="878">
        <f t="shared" si="247"/>
        <v>0</v>
      </c>
      <c r="AI26" s="878">
        <f t="shared" si="247"/>
        <v>0</v>
      </c>
      <c r="AJ26" s="878">
        <f t="shared" si="247"/>
        <v>0</v>
      </c>
      <c r="AK26" s="878">
        <f t="shared" si="247"/>
        <v>338.89259028642573</v>
      </c>
      <c r="AL26" s="878">
        <f t="shared" ref="AL26" si="248">IF(($F26*AL$23-AK27)&lt;0,0,($F26*AL$23-AK27))</f>
        <v>0</v>
      </c>
      <c r="AM26" s="878">
        <f t="shared" ref="AM26" si="249">IF(($F26*AM$23-AL27)&lt;0,0,($F26*AM$23-AL27))</f>
        <v>0</v>
      </c>
      <c r="AN26" s="878">
        <f t="shared" ref="AN26" si="250">IF(($F26*AN$23-AM27)&lt;0,0,($F26*AN$23-AM27))</f>
        <v>0</v>
      </c>
      <c r="AO26" s="878">
        <f t="shared" ref="AO26" si="251">IF(($F26*AO$23-AN27)&lt;0,0,($F26*AO$23-AN27))</f>
        <v>0</v>
      </c>
      <c r="AP26" s="878">
        <f t="shared" ref="AP26" si="252">IF(($F26*AP$23-AO27)&lt;0,0,($F26*AP$23-AO27))</f>
        <v>0</v>
      </c>
      <c r="AQ26" s="878">
        <f t="shared" ref="AQ26" si="253">IF(($F26*AQ$23-AP27)&lt;0,0,($F26*AQ$23-AP27))</f>
        <v>337.69613947696121</v>
      </c>
      <c r="AR26" s="878">
        <f t="shared" ref="AR26" si="254">IF(($F26*AR$23-AQ27)&lt;0,0,($F26*AR$23-AQ27))</f>
        <v>17.739053549190885</v>
      </c>
      <c r="AS26" s="878">
        <f t="shared" ref="AS26" si="255">IF(($F26*AS$23-AR27)&lt;0,0,($F26*AS$23-AR27))</f>
        <v>0</v>
      </c>
      <c r="AT26" s="878">
        <f t="shared" ref="AT26" si="256">IF(($F26*AT$23-AS27)&lt;0,0,($F26*AT$23-AS27))</f>
        <v>0</v>
      </c>
      <c r="AU26" s="878">
        <f t="shared" ref="AU26" si="257">IF(($F26*AU$23-AT27)&lt;0,0,($F26*AU$23-AT27))</f>
        <v>0</v>
      </c>
      <c r="AV26" s="878">
        <f t="shared" ref="AV26" si="258">IF(($F26*AV$23-AU27)&lt;0,0,($F26*AV$23-AU27))</f>
        <v>0</v>
      </c>
      <c r="AW26" s="878">
        <f t="shared" ref="AW26" si="259">IF(($F26*AW$23-AV27)&lt;0,0,($F26*AW$23-AV27))</f>
        <v>0</v>
      </c>
      <c r="AX26" s="878">
        <f t="shared" ref="AX26" si="260">IF(($F26*AX$23-AW27)&lt;0,0,($F26*AX$23-AW27))</f>
        <v>0</v>
      </c>
      <c r="AY26" s="878">
        <f t="shared" ref="AY26" si="261">IF(($F26*AY$23-AX27)&lt;0,0,($F26*AY$23-AX27))</f>
        <v>0</v>
      </c>
      <c r="AZ26" s="878">
        <f t="shared" ref="AZ26" si="262">IF(($F26*AZ$23-AY27)&lt;0,0,($F26*AZ$23-AY27))</f>
        <v>0</v>
      </c>
      <c r="BA26" s="878">
        <f t="shared" ref="BA26" si="263">IF(($F26*BA$23-AZ27)&lt;0,0,($F26*BA$23-AZ27))</f>
        <v>0</v>
      </c>
      <c r="BB26" s="878">
        <f t="shared" ref="BB26" si="264">IF(($F26*BB$23-BA27)&lt;0,0,($F26*BB$23-BA27))</f>
        <v>0</v>
      </c>
      <c r="BC26" s="878">
        <f t="shared" ref="BC26" si="265">IF(($F26*BC$23-BB27)&lt;0,0,($F26*BC$23-BB27))</f>
        <v>0</v>
      </c>
      <c r="BD26" s="878">
        <f t="shared" ref="BD26" si="266">IF(($F26*BD$23-BC27)&lt;0,0,($F26*BD$23-BC27))</f>
        <v>17.739053549190885</v>
      </c>
      <c r="BE26" s="878">
        <f t="shared" ref="BE26" si="267">IF(($F26*BE$23-BD27)&lt;0,0,($F26*BE$23-BD27))</f>
        <v>0</v>
      </c>
      <c r="BF26" s="878">
        <f t="shared" ref="BF26" si="268">IF(($F26*BF$23-BE27)&lt;0,0,($F26*BF$23-BE27))</f>
        <v>0</v>
      </c>
      <c r="BG26" s="878">
        <f t="shared" ref="BG26" si="269">IF(($F26*BG$23-BF27)&lt;0,0,($F26*BG$23-BF27))</f>
        <v>0</v>
      </c>
      <c r="BH26" s="878">
        <f t="shared" ref="BH26" si="270">IF(($F26*BH$23-BG27)&lt;0,0,($F26*BH$23-BG27))</f>
        <v>0</v>
      </c>
      <c r="BI26" s="878">
        <f t="shared" ref="BI26" si="271">IF(($F26*BI$23-BH27)&lt;0,0,($F26*BI$23-BH27))</f>
        <v>0</v>
      </c>
      <c r="BJ26" s="878">
        <f t="shared" ref="BJ26" si="272">IF(($F26*BJ$23-BI27)&lt;0,0,($F26*BJ$23-BI27))</f>
        <v>0</v>
      </c>
      <c r="BK26" s="878">
        <f t="shared" ref="BK26" si="273">IF(($F26*BK$23-BJ27)&lt;0,0,($F26*BK$23-BJ27))</f>
        <v>0</v>
      </c>
      <c r="BL26" s="878">
        <f t="shared" ref="BL26" si="274">IF(($F26*BL$23-BK27)&lt;0,0,($F26*BL$23-BK27))</f>
        <v>0</v>
      </c>
      <c r="BM26" s="878">
        <f t="shared" ref="BM26" si="275">IF(($F26*BM$23-BL27)&lt;0,0,($F26*BM$23-BL27))</f>
        <v>0</v>
      </c>
      <c r="BN26" s="878">
        <f t="shared" ref="BN26" si="276">IF(($F26*BN$23-BM27)&lt;0,0,($F26*BN$23-BM27))</f>
        <v>0</v>
      </c>
      <c r="BO26" s="878">
        <f t="shared" ref="BO26" si="277">IF(($F26*BO$23-BN27)&lt;0,0,($F26*BO$23-BN27))</f>
        <v>0</v>
      </c>
      <c r="BP26" s="878">
        <f t="shared" ref="BP26" si="278">IF(($F26*BP$23-BO27)&lt;0,0,($F26*BP$23-BO27))</f>
        <v>17.820037359900198</v>
      </c>
      <c r="BQ26" s="878">
        <f t="shared" ref="BQ26" si="279">IF(($F26*BQ$23-BP27)&lt;0,0,($F26*BQ$23-BP27))</f>
        <v>0</v>
      </c>
      <c r="BR26" s="878">
        <f t="shared" ref="BR26" si="280">IF(($F26*BR$23-BQ27)&lt;0,0,($F26*BR$23-BQ27))</f>
        <v>0</v>
      </c>
      <c r="BS26" s="878">
        <f t="shared" ref="BS26" si="281">IF(($F26*BS$23-BR27)&lt;0,0,($F26*BS$23-BR27))</f>
        <v>0</v>
      </c>
      <c r="BT26" s="878">
        <f t="shared" ref="BT26" si="282">IF(($F26*BT$23-BS27)&lt;0,0,($F26*BT$23-BS27))</f>
        <v>0</v>
      </c>
      <c r="BU26" s="878">
        <f t="shared" ref="BU26" si="283">IF(($F26*BU$23-BT27)&lt;0,0,($F26*BU$23-BT27))</f>
        <v>0</v>
      </c>
    </row>
    <row r="27" spans="1:73" s="18" customFormat="1">
      <c r="A27" s="866">
        <v>4</v>
      </c>
      <c r="B27" s="76"/>
      <c r="C27" s="76" t="s">
        <v>2238</v>
      </c>
      <c r="D27" s="875"/>
      <c r="E27" s="77"/>
      <c r="F27" s="877"/>
      <c r="G27" s="878">
        <f>G26</f>
        <v>0</v>
      </c>
      <c r="H27" s="878">
        <f>G27+H26</f>
        <v>0</v>
      </c>
      <c r="I27" s="878">
        <f t="shared" ref="I27:AK27" si="284">H27+I26</f>
        <v>0</v>
      </c>
      <c r="J27" s="878">
        <f t="shared" si="284"/>
        <v>780</v>
      </c>
      <c r="K27" s="878">
        <f t="shared" si="284"/>
        <v>780</v>
      </c>
      <c r="L27" s="878">
        <f t="shared" si="284"/>
        <v>780</v>
      </c>
      <c r="M27" s="878">
        <f t="shared" si="284"/>
        <v>780</v>
      </c>
      <c r="N27" s="878">
        <f t="shared" si="284"/>
        <v>780</v>
      </c>
      <c r="O27" s="878">
        <f t="shared" si="284"/>
        <v>780</v>
      </c>
      <c r="P27" s="878">
        <f t="shared" si="284"/>
        <v>780</v>
      </c>
      <c r="Q27" s="878">
        <f t="shared" si="284"/>
        <v>780</v>
      </c>
      <c r="R27" s="878">
        <f t="shared" si="284"/>
        <v>780</v>
      </c>
      <c r="S27" s="878">
        <f t="shared" si="284"/>
        <v>780</v>
      </c>
      <c r="T27" s="878">
        <f t="shared" si="284"/>
        <v>780</v>
      </c>
      <c r="U27" s="878">
        <f t="shared" si="284"/>
        <v>780</v>
      </c>
      <c r="V27" s="878">
        <f t="shared" si="284"/>
        <v>870.58186799501868</v>
      </c>
      <c r="W27" s="878">
        <f t="shared" si="284"/>
        <v>870.58186799501868</v>
      </c>
      <c r="X27" s="878">
        <f t="shared" si="284"/>
        <v>870.58186799501868</v>
      </c>
      <c r="Y27" s="878">
        <f t="shared" si="284"/>
        <v>1096.5102615193025</v>
      </c>
      <c r="Z27" s="878">
        <f t="shared" si="284"/>
        <v>1096.5102615193025</v>
      </c>
      <c r="AA27" s="878">
        <f t="shared" si="284"/>
        <v>1096.5102615193025</v>
      </c>
      <c r="AB27" s="878">
        <f t="shared" si="284"/>
        <v>1209.2739601494395</v>
      </c>
      <c r="AC27" s="878">
        <f t="shared" si="284"/>
        <v>1209.2739601494395</v>
      </c>
      <c r="AD27" s="878">
        <f t="shared" si="284"/>
        <v>1209.2739601494395</v>
      </c>
      <c r="AE27" s="878">
        <f t="shared" si="284"/>
        <v>1434.4047198007472</v>
      </c>
      <c r="AF27" s="878">
        <f t="shared" si="284"/>
        <v>1447.4115379825655</v>
      </c>
      <c r="AG27" s="878">
        <f t="shared" si="284"/>
        <v>1447.4115379825655</v>
      </c>
      <c r="AH27" s="878">
        <f t="shared" si="284"/>
        <v>1447.4115379825655</v>
      </c>
      <c r="AI27" s="878">
        <f t="shared" si="284"/>
        <v>1447.4115379825655</v>
      </c>
      <c r="AJ27" s="878">
        <f t="shared" si="284"/>
        <v>1447.4115379825655</v>
      </c>
      <c r="AK27" s="878">
        <f t="shared" si="284"/>
        <v>1786.3041282689912</v>
      </c>
      <c r="AL27" s="878">
        <f t="shared" ref="AL27" si="285">AK27+AL26</f>
        <v>1786.3041282689912</v>
      </c>
      <c r="AM27" s="878">
        <f t="shared" ref="AM27" si="286">AL27+AM26</f>
        <v>1786.3041282689912</v>
      </c>
      <c r="AN27" s="878">
        <f t="shared" ref="AN27" si="287">AM27+AN26</f>
        <v>1786.3041282689912</v>
      </c>
      <c r="AO27" s="878">
        <f t="shared" ref="AO27" si="288">AN27+AO26</f>
        <v>1786.3041282689912</v>
      </c>
      <c r="AP27" s="878">
        <f t="shared" ref="AP27" si="289">AO27+AP26</f>
        <v>1786.3041282689912</v>
      </c>
      <c r="AQ27" s="878">
        <f t="shared" ref="AQ27" si="290">AP27+AQ26</f>
        <v>2124.0002677459524</v>
      </c>
      <c r="AR27" s="878">
        <f t="shared" ref="AR27" si="291">AQ27+AR26</f>
        <v>2141.7393212951433</v>
      </c>
      <c r="AS27" s="878">
        <f t="shared" ref="AS27" si="292">AR27+AS26</f>
        <v>2141.7393212951433</v>
      </c>
      <c r="AT27" s="878">
        <f t="shared" ref="AT27" si="293">AS27+AT26</f>
        <v>2141.7393212951433</v>
      </c>
      <c r="AU27" s="878">
        <f t="shared" ref="AU27" si="294">AT27+AU26</f>
        <v>2141.7393212951433</v>
      </c>
      <c r="AV27" s="878">
        <f t="shared" ref="AV27" si="295">AU27+AV26</f>
        <v>2141.7393212951433</v>
      </c>
      <c r="AW27" s="878">
        <f t="shared" ref="AW27" si="296">AV27+AW26</f>
        <v>2141.7393212951433</v>
      </c>
      <c r="AX27" s="878">
        <f t="shared" ref="AX27" si="297">AW27+AX26</f>
        <v>2141.7393212951433</v>
      </c>
      <c r="AY27" s="878">
        <f t="shared" ref="AY27" si="298">AX27+AY26</f>
        <v>2141.7393212951433</v>
      </c>
      <c r="AZ27" s="878">
        <f t="shared" ref="AZ27" si="299">AY27+AZ26</f>
        <v>2141.7393212951433</v>
      </c>
      <c r="BA27" s="878">
        <f t="shared" ref="BA27" si="300">AZ27+BA26</f>
        <v>2141.7393212951433</v>
      </c>
      <c r="BB27" s="878">
        <f t="shared" ref="BB27" si="301">BA27+BB26</f>
        <v>2141.7393212951433</v>
      </c>
      <c r="BC27" s="878">
        <f t="shared" ref="BC27" si="302">BB27+BC26</f>
        <v>2141.7393212951433</v>
      </c>
      <c r="BD27" s="878">
        <f t="shared" ref="BD27" si="303">BC27+BD26</f>
        <v>2159.4783748443342</v>
      </c>
      <c r="BE27" s="878">
        <f t="shared" ref="BE27" si="304">BD27+BE26</f>
        <v>2159.4783748443342</v>
      </c>
      <c r="BF27" s="878">
        <f t="shared" ref="BF27" si="305">BE27+BF26</f>
        <v>2159.4783748443342</v>
      </c>
      <c r="BG27" s="878">
        <f t="shared" ref="BG27" si="306">BF27+BG26</f>
        <v>2159.4783748443342</v>
      </c>
      <c r="BH27" s="878">
        <f t="shared" ref="BH27" si="307">BG27+BH26</f>
        <v>2159.4783748443342</v>
      </c>
      <c r="BI27" s="878">
        <f t="shared" ref="BI27" si="308">BH27+BI26</f>
        <v>2159.4783748443342</v>
      </c>
      <c r="BJ27" s="878">
        <f t="shared" ref="BJ27" si="309">BI27+BJ26</f>
        <v>2159.4783748443342</v>
      </c>
      <c r="BK27" s="878">
        <f t="shared" ref="BK27" si="310">BJ27+BK26</f>
        <v>2159.4783748443342</v>
      </c>
      <c r="BL27" s="878">
        <f t="shared" ref="BL27" si="311">BK27+BL26</f>
        <v>2159.4783748443342</v>
      </c>
      <c r="BM27" s="878">
        <f t="shared" ref="BM27" si="312">BL27+BM26</f>
        <v>2159.4783748443342</v>
      </c>
      <c r="BN27" s="878">
        <f t="shared" ref="BN27" si="313">BM27+BN26</f>
        <v>2159.4783748443342</v>
      </c>
      <c r="BO27" s="878">
        <f t="shared" ref="BO27" si="314">BN27+BO26</f>
        <v>2159.4783748443342</v>
      </c>
      <c r="BP27" s="878">
        <f t="shared" ref="BP27" si="315">BO27+BP26</f>
        <v>2177.2984122042344</v>
      </c>
      <c r="BQ27" s="878">
        <f t="shared" ref="BQ27" si="316">BP27+BQ26</f>
        <v>2177.2984122042344</v>
      </c>
      <c r="BR27" s="878">
        <f t="shared" ref="BR27" si="317">BQ27+BR26</f>
        <v>2177.2984122042344</v>
      </c>
      <c r="BS27" s="878">
        <f t="shared" ref="BS27" si="318">BR27+BS26</f>
        <v>2177.2984122042344</v>
      </c>
      <c r="BT27" s="878">
        <f t="shared" ref="BT27" si="319">BS27+BT26</f>
        <v>2177.2984122042344</v>
      </c>
      <c r="BU27" s="878">
        <f t="shared" ref="BU27" si="320">BT27+BU26</f>
        <v>2177.2984122042344</v>
      </c>
    </row>
    <row r="28" spans="1:73" s="18" customFormat="1">
      <c r="A28" s="866"/>
      <c r="B28" s="76"/>
      <c r="C28" s="76" t="s">
        <v>2239</v>
      </c>
      <c r="D28" s="875" t="s">
        <v>2111</v>
      </c>
      <c r="E28" s="77">
        <v>1250</v>
      </c>
      <c r="F28" s="877">
        <f>E28/150000</f>
        <v>8.3333333333333332E-3</v>
      </c>
      <c r="G28" s="878">
        <v>0</v>
      </c>
      <c r="H28" s="878">
        <v>0</v>
      </c>
      <c r="I28" s="878">
        <v>0</v>
      </c>
      <c r="J28" s="878">
        <f>基金资金安排!C13</f>
        <v>237.5</v>
      </c>
      <c r="K28" s="878">
        <f>基金资金安排!H13</f>
        <v>127.55102040816327</v>
      </c>
      <c r="L28" s="878">
        <f t="shared" ref="L28:AK28" si="321">IF(($F28*L$23-K29)&lt;0,0,($F28*L$23-K29))</f>
        <v>0</v>
      </c>
      <c r="M28" s="878">
        <f t="shared" si="321"/>
        <v>0</v>
      </c>
      <c r="N28" s="878">
        <f t="shared" si="321"/>
        <v>0</v>
      </c>
      <c r="O28" s="878">
        <f t="shared" si="321"/>
        <v>0</v>
      </c>
      <c r="P28" s="878">
        <f t="shared" si="321"/>
        <v>0</v>
      </c>
      <c r="Q28" s="878">
        <f t="shared" si="321"/>
        <v>0</v>
      </c>
      <c r="R28" s="878">
        <f t="shared" si="321"/>
        <v>0</v>
      </c>
      <c r="S28" s="878">
        <f t="shared" si="321"/>
        <v>51.128636895466684</v>
      </c>
      <c r="T28" s="878">
        <f t="shared" si="321"/>
        <v>4.6076610857433025</v>
      </c>
      <c r="U28" s="878">
        <f t="shared" si="321"/>
        <v>0</v>
      </c>
      <c r="V28" s="878">
        <f t="shared" si="321"/>
        <v>62.869274941192714</v>
      </c>
      <c r="W28" s="878">
        <f t="shared" si="321"/>
        <v>0</v>
      </c>
      <c r="X28" s="878">
        <f t="shared" si="321"/>
        <v>0</v>
      </c>
      <c r="Y28" s="878">
        <f t="shared" si="321"/>
        <v>125.51577418015773</v>
      </c>
      <c r="Z28" s="878">
        <f t="shared" si="321"/>
        <v>0</v>
      </c>
      <c r="AA28" s="878">
        <f t="shared" si="321"/>
        <v>0</v>
      </c>
      <c r="AB28" s="878">
        <f t="shared" si="321"/>
        <v>62.646499238965021</v>
      </c>
      <c r="AC28" s="878">
        <f t="shared" si="321"/>
        <v>0</v>
      </c>
      <c r="AD28" s="878">
        <f t="shared" si="321"/>
        <v>0</v>
      </c>
      <c r="AE28" s="878">
        <f t="shared" si="321"/>
        <v>125.0726442507264</v>
      </c>
      <c r="AF28" s="878">
        <f t="shared" si="321"/>
        <v>7.2260101010101607</v>
      </c>
      <c r="AG28" s="878">
        <f t="shared" si="321"/>
        <v>0</v>
      </c>
      <c r="AH28" s="878">
        <f t="shared" si="321"/>
        <v>0</v>
      </c>
      <c r="AI28" s="878">
        <f t="shared" si="321"/>
        <v>0</v>
      </c>
      <c r="AJ28" s="878">
        <f t="shared" si="321"/>
        <v>0</v>
      </c>
      <c r="AK28" s="878">
        <f t="shared" si="321"/>
        <v>188.27366127023652</v>
      </c>
      <c r="AL28" s="878">
        <f t="shared" ref="AL28" si="322">IF(($F28*AL$23-AK29)&lt;0,0,($F28*AL$23-AK29))</f>
        <v>0</v>
      </c>
      <c r="AM28" s="878">
        <f t="shared" ref="AM28" si="323">IF(($F28*AM$23-AL29)&lt;0,0,($F28*AM$23-AL29))</f>
        <v>0</v>
      </c>
      <c r="AN28" s="878">
        <f t="shared" ref="AN28" si="324">IF(($F28*AN$23-AM29)&lt;0,0,($F28*AN$23-AM29))</f>
        <v>0</v>
      </c>
      <c r="AO28" s="878">
        <f t="shared" ref="AO28" si="325">IF(($F28*AO$23-AN29)&lt;0,0,($F28*AO$23-AN29))</f>
        <v>0</v>
      </c>
      <c r="AP28" s="878">
        <f t="shared" ref="AP28" si="326">IF(($F28*AP$23-AO29)&lt;0,0,($F28*AP$23-AO29))</f>
        <v>0</v>
      </c>
      <c r="AQ28" s="878">
        <f t="shared" ref="AQ28" si="327">IF(($F28*AQ$23-AP29)&lt;0,0,($F28*AQ$23-AP29))</f>
        <v>187.60896637608982</v>
      </c>
      <c r="AR28" s="878">
        <f t="shared" ref="AR28" si="328">IF(($F28*AR$23-AQ29)&lt;0,0,($F28*AR$23-AQ29))</f>
        <v>9.8550297495503401</v>
      </c>
      <c r="AS28" s="878">
        <f t="shared" ref="AS28" si="329">IF(($F28*AS$23-AR29)&lt;0,0,($F28*AS$23-AR29))</f>
        <v>0</v>
      </c>
      <c r="AT28" s="878">
        <f t="shared" ref="AT28" si="330">IF(($F28*AT$23-AS29)&lt;0,0,($F28*AT$23-AS29))</f>
        <v>0</v>
      </c>
      <c r="AU28" s="878">
        <f t="shared" ref="AU28" si="331">IF(($F28*AU$23-AT29)&lt;0,0,($F28*AU$23-AT29))</f>
        <v>0</v>
      </c>
      <c r="AV28" s="878">
        <f t="shared" ref="AV28" si="332">IF(($F28*AV$23-AU29)&lt;0,0,($F28*AV$23-AU29))</f>
        <v>0</v>
      </c>
      <c r="AW28" s="878">
        <f t="shared" ref="AW28" si="333">IF(($F28*AW$23-AV29)&lt;0,0,($F28*AW$23-AV29))</f>
        <v>0</v>
      </c>
      <c r="AX28" s="878">
        <f t="shared" ref="AX28" si="334">IF(($F28*AX$23-AW29)&lt;0,0,($F28*AX$23-AW29))</f>
        <v>0</v>
      </c>
      <c r="AY28" s="878">
        <f t="shared" ref="AY28" si="335">IF(($F28*AY$23-AX29)&lt;0,0,($F28*AY$23-AX29))</f>
        <v>0</v>
      </c>
      <c r="AZ28" s="878">
        <f t="shared" ref="AZ28" si="336">IF(($F28*AZ$23-AY29)&lt;0,0,($F28*AZ$23-AY29))</f>
        <v>0</v>
      </c>
      <c r="BA28" s="878">
        <f t="shared" ref="BA28" si="337">IF(($F28*BA$23-AZ29)&lt;0,0,($F28*BA$23-AZ29))</f>
        <v>0</v>
      </c>
      <c r="BB28" s="878">
        <f t="shared" ref="BB28" si="338">IF(($F28*BB$23-BA29)&lt;0,0,($F28*BB$23-BA29))</f>
        <v>0</v>
      </c>
      <c r="BC28" s="878">
        <f t="shared" ref="BC28" si="339">IF(($F28*BC$23-BB29)&lt;0,0,($F28*BC$23-BB29))</f>
        <v>0</v>
      </c>
      <c r="BD28" s="878">
        <f t="shared" ref="BD28" si="340">IF(($F28*BD$23-BC29)&lt;0,0,($F28*BD$23-BC29))</f>
        <v>9.8550297495503401</v>
      </c>
      <c r="BE28" s="878">
        <f t="shared" ref="BE28" si="341">IF(($F28*BE$23-BD29)&lt;0,0,($F28*BE$23-BD29))</f>
        <v>0</v>
      </c>
      <c r="BF28" s="878">
        <f t="shared" ref="BF28" si="342">IF(($F28*BF$23-BE29)&lt;0,0,($F28*BF$23-BE29))</f>
        <v>0</v>
      </c>
      <c r="BG28" s="878">
        <f t="shared" ref="BG28" si="343">IF(($F28*BG$23-BF29)&lt;0,0,($F28*BG$23-BF29))</f>
        <v>0</v>
      </c>
      <c r="BH28" s="878">
        <f t="shared" ref="BH28" si="344">IF(($F28*BH$23-BG29)&lt;0,0,($F28*BH$23-BG29))</f>
        <v>0</v>
      </c>
      <c r="BI28" s="878">
        <f t="shared" ref="BI28" si="345">IF(($F28*BI$23-BH29)&lt;0,0,($F28*BI$23-BH29))</f>
        <v>0</v>
      </c>
      <c r="BJ28" s="878">
        <f t="shared" ref="BJ28" si="346">IF(($F28*BJ$23-BI29)&lt;0,0,($F28*BJ$23-BI29))</f>
        <v>0</v>
      </c>
      <c r="BK28" s="878">
        <f t="shared" ref="BK28" si="347">IF(($F28*BK$23-BJ29)&lt;0,0,($F28*BK$23-BJ29))</f>
        <v>0</v>
      </c>
      <c r="BL28" s="878">
        <f t="shared" ref="BL28" si="348">IF(($F28*BL$23-BK29)&lt;0,0,($F28*BL$23-BK29))</f>
        <v>0</v>
      </c>
      <c r="BM28" s="878">
        <f t="shared" ref="BM28" si="349">IF(($F28*BM$23-BL29)&lt;0,0,($F28*BM$23-BL29))</f>
        <v>0</v>
      </c>
      <c r="BN28" s="878">
        <f t="shared" ref="BN28" si="350">IF(($F28*BN$23-BM29)&lt;0,0,($F28*BN$23-BM29))</f>
        <v>0</v>
      </c>
      <c r="BO28" s="878">
        <f t="shared" ref="BO28" si="351">IF(($F28*BO$23-BN29)&lt;0,0,($F28*BO$23-BN29))</f>
        <v>0</v>
      </c>
      <c r="BP28" s="878">
        <f t="shared" ref="BP28" si="352">IF(($F28*BP$23-BO29)&lt;0,0,($F28*BP$23-BO29))</f>
        <v>9.9000207555002362</v>
      </c>
      <c r="BQ28" s="878">
        <f t="shared" ref="BQ28" si="353">IF(($F28*BQ$23-BP29)&lt;0,0,($F28*BQ$23-BP29))</f>
        <v>0</v>
      </c>
      <c r="BR28" s="878">
        <f t="shared" ref="BR28" si="354">IF(($F28*BR$23-BQ29)&lt;0,0,($F28*BR$23-BQ29))</f>
        <v>0</v>
      </c>
      <c r="BS28" s="878">
        <f t="shared" ref="BS28" si="355">IF(($F28*BS$23-BR29)&lt;0,0,($F28*BS$23-BR29))</f>
        <v>0</v>
      </c>
      <c r="BT28" s="878">
        <f t="shared" ref="BT28" si="356">IF(($F28*BT$23-BS29)&lt;0,0,($F28*BT$23-BS29))</f>
        <v>0</v>
      </c>
      <c r="BU28" s="878">
        <f t="shared" ref="BU28" si="357">IF(($F28*BU$23-BT29)&lt;0,0,($F28*BU$23-BT29))</f>
        <v>0</v>
      </c>
    </row>
    <row r="29" spans="1:73" s="18" customFormat="1">
      <c r="A29" s="866"/>
      <c r="B29" s="76"/>
      <c r="C29" s="76" t="s">
        <v>2240</v>
      </c>
      <c r="D29" s="875"/>
      <c r="E29" s="77"/>
      <c r="F29" s="877"/>
      <c r="G29" s="878">
        <f>G28</f>
        <v>0</v>
      </c>
      <c r="H29" s="878">
        <f>G29+H28</f>
        <v>0</v>
      </c>
      <c r="I29" s="878">
        <f t="shared" ref="I29:AK29" si="358">H29+I28</f>
        <v>0</v>
      </c>
      <c r="J29" s="878">
        <f t="shared" si="358"/>
        <v>237.5</v>
      </c>
      <c r="K29" s="878">
        <f t="shared" si="358"/>
        <v>365.05102040816325</v>
      </c>
      <c r="L29" s="878">
        <f t="shared" si="358"/>
        <v>365.05102040816325</v>
      </c>
      <c r="M29" s="878">
        <f t="shared" si="358"/>
        <v>365.05102040816325</v>
      </c>
      <c r="N29" s="878">
        <f t="shared" si="358"/>
        <v>365.05102040816325</v>
      </c>
      <c r="O29" s="878">
        <f t="shared" si="358"/>
        <v>365.05102040816325</v>
      </c>
      <c r="P29" s="878">
        <f t="shared" si="358"/>
        <v>365.05102040816325</v>
      </c>
      <c r="Q29" s="878">
        <f t="shared" si="358"/>
        <v>365.05102040816325</v>
      </c>
      <c r="R29" s="878">
        <f t="shared" si="358"/>
        <v>365.05102040816325</v>
      </c>
      <c r="S29" s="878">
        <f t="shared" si="358"/>
        <v>416.17965730362994</v>
      </c>
      <c r="T29" s="878">
        <f t="shared" si="358"/>
        <v>420.78731838937324</v>
      </c>
      <c r="U29" s="878">
        <f t="shared" si="358"/>
        <v>420.78731838937324</v>
      </c>
      <c r="V29" s="878">
        <f t="shared" si="358"/>
        <v>483.65659333056595</v>
      </c>
      <c r="W29" s="878">
        <f t="shared" si="358"/>
        <v>483.65659333056595</v>
      </c>
      <c r="X29" s="878">
        <f t="shared" si="358"/>
        <v>483.65659333056595</v>
      </c>
      <c r="Y29" s="878">
        <f t="shared" si="358"/>
        <v>609.17236751072369</v>
      </c>
      <c r="Z29" s="878">
        <f t="shared" si="358"/>
        <v>609.17236751072369</v>
      </c>
      <c r="AA29" s="878">
        <f t="shared" si="358"/>
        <v>609.17236751072369</v>
      </c>
      <c r="AB29" s="878">
        <f t="shared" si="358"/>
        <v>671.81886674968871</v>
      </c>
      <c r="AC29" s="878">
        <f t="shared" si="358"/>
        <v>671.81886674968871</v>
      </c>
      <c r="AD29" s="878">
        <f t="shared" si="358"/>
        <v>671.81886674968871</v>
      </c>
      <c r="AE29" s="878">
        <f t="shared" si="358"/>
        <v>796.89151100041511</v>
      </c>
      <c r="AF29" s="878">
        <f t="shared" si="358"/>
        <v>804.11752110142527</v>
      </c>
      <c r="AG29" s="878">
        <f t="shared" si="358"/>
        <v>804.11752110142527</v>
      </c>
      <c r="AH29" s="878">
        <f t="shared" si="358"/>
        <v>804.11752110142527</v>
      </c>
      <c r="AI29" s="878">
        <f t="shared" si="358"/>
        <v>804.11752110142527</v>
      </c>
      <c r="AJ29" s="878">
        <f t="shared" si="358"/>
        <v>804.11752110142527</v>
      </c>
      <c r="AK29" s="878">
        <f t="shared" si="358"/>
        <v>992.39118237166178</v>
      </c>
      <c r="AL29" s="878">
        <f t="shared" ref="AL29" si="359">AK29+AL28</f>
        <v>992.39118237166178</v>
      </c>
      <c r="AM29" s="878">
        <f t="shared" ref="AM29" si="360">AL29+AM28</f>
        <v>992.39118237166178</v>
      </c>
      <c r="AN29" s="878">
        <f t="shared" ref="AN29" si="361">AM29+AN28</f>
        <v>992.39118237166178</v>
      </c>
      <c r="AO29" s="878">
        <f t="shared" ref="AO29" si="362">AN29+AO28</f>
        <v>992.39118237166178</v>
      </c>
      <c r="AP29" s="878">
        <f t="shared" ref="AP29" si="363">AO29+AP28</f>
        <v>992.39118237166178</v>
      </c>
      <c r="AQ29" s="878">
        <f t="shared" ref="AQ29" si="364">AP29+AQ28</f>
        <v>1180.0001487477516</v>
      </c>
      <c r="AR29" s="878">
        <f t="shared" ref="AR29" si="365">AQ29+AR28</f>
        <v>1189.8551784973019</v>
      </c>
      <c r="AS29" s="878">
        <f t="shared" ref="AS29" si="366">AR29+AS28</f>
        <v>1189.8551784973019</v>
      </c>
      <c r="AT29" s="878">
        <f t="shared" ref="AT29" si="367">AS29+AT28</f>
        <v>1189.8551784973019</v>
      </c>
      <c r="AU29" s="878">
        <f t="shared" ref="AU29" si="368">AT29+AU28</f>
        <v>1189.8551784973019</v>
      </c>
      <c r="AV29" s="878">
        <f t="shared" ref="AV29" si="369">AU29+AV28</f>
        <v>1189.8551784973019</v>
      </c>
      <c r="AW29" s="878">
        <f t="shared" ref="AW29" si="370">AV29+AW28</f>
        <v>1189.8551784973019</v>
      </c>
      <c r="AX29" s="878">
        <f t="shared" ref="AX29" si="371">AW29+AX28</f>
        <v>1189.8551784973019</v>
      </c>
      <c r="AY29" s="878">
        <f t="shared" ref="AY29" si="372">AX29+AY28</f>
        <v>1189.8551784973019</v>
      </c>
      <c r="AZ29" s="878">
        <f t="shared" ref="AZ29" si="373">AY29+AZ28</f>
        <v>1189.8551784973019</v>
      </c>
      <c r="BA29" s="878">
        <f t="shared" ref="BA29" si="374">AZ29+BA28</f>
        <v>1189.8551784973019</v>
      </c>
      <c r="BB29" s="878">
        <f t="shared" ref="BB29" si="375">BA29+BB28</f>
        <v>1189.8551784973019</v>
      </c>
      <c r="BC29" s="878">
        <f t="shared" ref="BC29" si="376">BB29+BC28</f>
        <v>1189.8551784973019</v>
      </c>
      <c r="BD29" s="878">
        <f t="shared" ref="BD29" si="377">BC29+BD28</f>
        <v>1199.7102082468523</v>
      </c>
      <c r="BE29" s="878">
        <f t="shared" ref="BE29" si="378">BD29+BE28</f>
        <v>1199.7102082468523</v>
      </c>
      <c r="BF29" s="878">
        <f t="shared" ref="BF29" si="379">BE29+BF28</f>
        <v>1199.7102082468523</v>
      </c>
      <c r="BG29" s="878">
        <f t="shared" ref="BG29" si="380">BF29+BG28</f>
        <v>1199.7102082468523</v>
      </c>
      <c r="BH29" s="878">
        <f t="shared" ref="BH29" si="381">BG29+BH28</f>
        <v>1199.7102082468523</v>
      </c>
      <c r="BI29" s="878">
        <f t="shared" ref="BI29" si="382">BH29+BI28</f>
        <v>1199.7102082468523</v>
      </c>
      <c r="BJ29" s="878">
        <f t="shared" ref="BJ29" si="383">BI29+BJ28</f>
        <v>1199.7102082468523</v>
      </c>
      <c r="BK29" s="878">
        <f t="shared" ref="BK29" si="384">BJ29+BK28</f>
        <v>1199.7102082468523</v>
      </c>
      <c r="BL29" s="878">
        <f t="shared" ref="BL29" si="385">BK29+BL28</f>
        <v>1199.7102082468523</v>
      </c>
      <c r="BM29" s="878">
        <f t="shared" ref="BM29" si="386">BL29+BM28</f>
        <v>1199.7102082468523</v>
      </c>
      <c r="BN29" s="878">
        <f t="shared" ref="BN29" si="387">BM29+BN28</f>
        <v>1199.7102082468523</v>
      </c>
      <c r="BO29" s="878">
        <f t="shared" ref="BO29" si="388">BN29+BO28</f>
        <v>1199.7102082468523</v>
      </c>
      <c r="BP29" s="878">
        <f t="shared" ref="BP29" si="389">BO29+BP28</f>
        <v>1209.6102290023525</v>
      </c>
      <c r="BQ29" s="878">
        <f t="shared" ref="BQ29" si="390">BP29+BQ28</f>
        <v>1209.6102290023525</v>
      </c>
      <c r="BR29" s="878">
        <f t="shared" ref="BR29" si="391">BQ29+BR28</f>
        <v>1209.6102290023525</v>
      </c>
      <c r="BS29" s="878">
        <f t="shared" ref="BS29" si="392">BR29+BS28</f>
        <v>1209.6102290023525</v>
      </c>
      <c r="BT29" s="878">
        <f t="shared" ref="BT29" si="393">BS29+BT28</f>
        <v>1209.6102290023525</v>
      </c>
      <c r="BU29" s="878">
        <f t="shared" ref="BU29" si="394">BT29+BU28</f>
        <v>1209.6102290023525</v>
      </c>
    </row>
    <row r="30" spans="1:73" s="18" customFormat="1">
      <c r="A30" s="866"/>
      <c r="B30" s="76"/>
      <c r="C30" s="76" t="s">
        <v>2241</v>
      </c>
      <c r="D30" s="875" t="s">
        <v>2242</v>
      </c>
      <c r="E30" s="77">
        <v>675</v>
      </c>
      <c r="F30" s="877">
        <f>E30/150000</f>
        <v>4.4999999999999997E-3</v>
      </c>
      <c r="G30" s="878">
        <v>0</v>
      </c>
      <c r="H30" s="878">
        <v>0</v>
      </c>
      <c r="I30" s="878">
        <v>0</v>
      </c>
      <c r="J30" s="878">
        <f>基金资金安排!C18</f>
        <v>202.04081632653063</v>
      </c>
      <c r="K30" s="878">
        <f t="shared" ref="K30:AK30" si="395">IF(($F30*K$23-J31)&lt;0,0,($F30*K$23-J31))</f>
        <v>0</v>
      </c>
      <c r="L30" s="878">
        <f t="shared" si="395"/>
        <v>0</v>
      </c>
      <c r="M30" s="878">
        <f t="shared" si="395"/>
        <v>0</v>
      </c>
      <c r="N30" s="878">
        <f t="shared" si="395"/>
        <v>0</v>
      </c>
      <c r="O30" s="878">
        <f t="shared" si="395"/>
        <v>0</v>
      </c>
      <c r="P30" s="878">
        <f t="shared" si="395"/>
        <v>0</v>
      </c>
      <c r="Q30" s="878">
        <f t="shared" si="395"/>
        <v>0</v>
      </c>
      <c r="R30" s="878">
        <f t="shared" si="395"/>
        <v>0</v>
      </c>
      <c r="S30" s="878">
        <f t="shared" si="395"/>
        <v>22.69619861742953</v>
      </c>
      <c r="T30" s="878">
        <f t="shared" si="395"/>
        <v>2.488136986301356</v>
      </c>
      <c r="U30" s="878">
        <f t="shared" si="395"/>
        <v>0</v>
      </c>
      <c r="V30" s="878">
        <f t="shared" si="395"/>
        <v>33.949408468244087</v>
      </c>
      <c r="W30" s="878">
        <f t="shared" si="395"/>
        <v>0</v>
      </c>
      <c r="X30" s="878">
        <f t="shared" si="395"/>
        <v>0</v>
      </c>
      <c r="Y30" s="878">
        <f t="shared" si="395"/>
        <v>67.778518057285169</v>
      </c>
      <c r="Z30" s="878">
        <f t="shared" si="395"/>
        <v>0</v>
      </c>
      <c r="AA30" s="878">
        <f t="shared" si="395"/>
        <v>0</v>
      </c>
      <c r="AB30" s="878">
        <f t="shared" si="395"/>
        <v>33.829109589041082</v>
      </c>
      <c r="AC30" s="878">
        <f t="shared" si="395"/>
        <v>0</v>
      </c>
      <c r="AD30" s="878">
        <f t="shared" si="395"/>
        <v>0</v>
      </c>
      <c r="AE30" s="878">
        <f t="shared" si="395"/>
        <v>67.539227895392287</v>
      </c>
      <c r="AF30" s="878">
        <f t="shared" si="395"/>
        <v>3.9020454545454868</v>
      </c>
      <c r="AG30" s="878">
        <f t="shared" si="395"/>
        <v>0</v>
      </c>
      <c r="AH30" s="878">
        <f t="shared" si="395"/>
        <v>0</v>
      </c>
      <c r="AI30" s="878">
        <f t="shared" si="395"/>
        <v>0</v>
      </c>
      <c r="AJ30" s="878">
        <f t="shared" si="395"/>
        <v>0</v>
      </c>
      <c r="AK30" s="878">
        <f t="shared" si="395"/>
        <v>101.6677770859277</v>
      </c>
      <c r="AL30" s="878">
        <f t="shared" ref="AL30" si="396">IF(($F30*AL$23-AK31)&lt;0,0,($F30*AL$23-AK31))</f>
        <v>0</v>
      </c>
      <c r="AM30" s="878">
        <f t="shared" ref="AM30" si="397">IF(($F30*AM$23-AL31)&lt;0,0,($F30*AM$23-AL31))</f>
        <v>0</v>
      </c>
      <c r="AN30" s="878">
        <f t="shared" ref="AN30" si="398">IF(($F30*AN$23-AM31)&lt;0,0,($F30*AN$23-AM31))</f>
        <v>0</v>
      </c>
      <c r="AO30" s="878">
        <f t="shared" ref="AO30" si="399">IF(($F30*AO$23-AN31)&lt;0,0,($F30*AO$23-AN31))</f>
        <v>0</v>
      </c>
      <c r="AP30" s="878">
        <f t="shared" ref="AP30" si="400">IF(($F30*AP$23-AO31)&lt;0,0,($F30*AP$23-AO31))</f>
        <v>0</v>
      </c>
      <c r="AQ30" s="878">
        <f t="shared" ref="AQ30" si="401">IF(($F30*AQ$23-AP31)&lt;0,0,($F30*AQ$23-AP31))</f>
        <v>101.30884184308843</v>
      </c>
      <c r="AR30" s="878">
        <f t="shared" ref="AR30" si="402">IF(($F30*AR$23-AQ31)&lt;0,0,($F30*AR$23-AQ31))</f>
        <v>5.3217160647571973</v>
      </c>
      <c r="AS30" s="878">
        <f t="shared" ref="AS30" si="403">IF(($F30*AS$23-AR31)&lt;0,0,($F30*AS$23-AR31))</f>
        <v>0</v>
      </c>
      <c r="AT30" s="878">
        <f t="shared" ref="AT30" si="404">IF(($F30*AT$23-AS31)&lt;0,0,($F30*AT$23-AS31))</f>
        <v>0</v>
      </c>
      <c r="AU30" s="878">
        <f t="shared" ref="AU30" si="405">IF(($F30*AU$23-AT31)&lt;0,0,($F30*AU$23-AT31))</f>
        <v>0</v>
      </c>
      <c r="AV30" s="878">
        <f t="shared" ref="AV30" si="406">IF(($F30*AV$23-AU31)&lt;0,0,($F30*AV$23-AU31))</f>
        <v>0</v>
      </c>
      <c r="AW30" s="878">
        <f t="shared" ref="AW30" si="407">IF(($F30*AW$23-AV31)&lt;0,0,($F30*AW$23-AV31))</f>
        <v>0</v>
      </c>
      <c r="AX30" s="878">
        <f t="shared" ref="AX30" si="408">IF(($F30*AX$23-AW31)&lt;0,0,($F30*AX$23-AW31))</f>
        <v>0</v>
      </c>
      <c r="AY30" s="878">
        <f t="shared" ref="AY30" si="409">IF(($F30*AY$23-AX31)&lt;0,0,($F30*AY$23-AX31))</f>
        <v>0</v>
      </c>
      <c r="AZ30" s="878">
        <f t="shared" ref="AZ30" si="410">IF(($F30*AZ$23-AY31)&lt;0,0,($F30*AZ$23-AY31))</f>
        <v>0</v>
      </c>
      <c r="BA30" s="878">
        <f t="shared" ref="BA30" si="411">IF(($F30*BA$23-AZ31)&lt;0,0,($F30*BA$23-AZ31))</f>
        <v>0</v>
      </c>
      <c r="BB30" s="878">
        <f t="shared" ref="BB30" si="412">IF(($F30*BB$23-BA31)&lt;0,0,($F30*BB$23-BA31))</f>
        <v>0</v>
      </c>
      <c r="BC30" s="878">
        <f t="shared" ref="BC30" si="413">IF(($F30*BC$23-BB31)&lt;0,0,($F30*BC$23-BB31))</f>
        <v>0</v>
      </c>
      <c r="BD30" s="878">
        <f t="shared" ref="BD30" si="414">IF(($F30*BD$23-BC31)&lt;0,0,($F30*BD$23-BC31))</f>
        <v>5.3217160647571973</v>
      </c>
      <c r="BE30" s="878">
        <f t="shared" ref="BE30" si="415">IF(($F30*BE$23-BD31)&lt;0,0,($F30*BE$23-BD31))</f>
        <v>0</v>
      </c>
      <c r="BF30" s="878">
        <f t="shared" ref="BF30" si="416">IF(($F30*BF$23-BE31)&lt;0,0,($F30*BF$23-BE31))</f>
        <v>0</v>
      </c>
      <c r="BG30" s="878">
        <f t="shared" ref="BG30" si="417">IF(($F30*BG$23-BF31)&lt;0,0,($F30*BG$23-BF31))</f>
        <v>0</v>
      </c>
      <c r="BH30" s="878">
        <f t="shared" ref="BH30" si="418">IF(($F30*BH$23-BG31)&lt;0,0,($F30*BH$23-BG31))</f>
        <v>0</v>
      </c>
      <c r="BI30" s="878">
        <f t="shared" ref="BI30" si="419">IF(($F30*BI$23-BH31)&lt;0,0,($F30*BI$23-BH31))</f>
        <v>0</v>
      </c>
      <c r="BJ30" s="878">
        <f t="shared" ref="BJ30" si="420">IF(($F30*BJ$23-BI31)&lt;0,0,($F30*BJ$23-BI31))</f>
        <v>0</v>
      </c>
      <c r="BK30" s="878">
        <f t="shared" ref="BK30" si="421">IF(($F30*BK$23-BJ31)&lt;0,0,($F30*BK$23-BJ31))</f>
        <v>0</v>
      </c>
      <c r="BL30" s="878">
        <f t="shared" ref="BL30" si="422">IF(($F30*BL$23-BK31)&lt;0,0,($F30*BL$23-BK31))</f>
        <v>0</v>
      </c>
      <c r="BM30" s="878">
        <f t="shared" ref="BM30" si="423">IF(($F30*BM$23-BL31)&lt;0,0,($F30*BM$23-BL31))</f>
        <v>0</v>
      </c>
      <c r="BN30" s="878">
        <f t="shared" ref="BN30" si="424">IF(($F30*BN$23-BM31)&lt;0,0,($F30*BN$23-BM31))</f>
        <v>0</v>
      </c>
      <c r="BO30" s="878">
        <f t="shared" ref="BO30" si="425">IF(($F30*BO$23-BN31)&lt;0,0,($F30*BO$23-BN31))</f>
        <v>0</v>
      </c>
      <c r="BP30" s="878">
        <f t="shared" ref="BP30" si="426">IF(($F30*BP$23-BO31)&lt;0,0,($F30*BP$23-BO31))</f>
        <v>5.3460112079701503</v>
      </c>
      <c r="BQ30" s="878">
        <f t="shared" ref="BQ30" si="427">IF(($F30*BQ$23-BP31)&lt;0,0,($F30*BQ$23-BP31))</f>
        <v>0</v>
      </c>
      <c r="BR30" s="878">
        <f t="shared" ref="BR30" si="428">IF(($F30*BR$23-BQ31)&lt;0,0,($F30*BR$23-BQ31))</f>
        <v>0</v>
      </c>
      <c r="BS30" s="878">
        <f t="shared" ref="BS30" si="429">IF(($F30*BS$23-BR31)&lt;0,0,($F30*BS$23-BR31))</f>
        <v>0</v>
      </c>
      <c r="BT30" s="878">
        <f t="shared" ref="BT30" si="430">IF(($F30*BT$23-BS31)&lt;0,0,($F30*BT$23-BS31))</f>
        <v>0</v>
      </c>
      <c r="BU30" s="878">
        <f t="shared" ref="BU30" si="431">IF(($F30*BU$23-BT31)&lt;0,0,($F30*BU$23-BT31))</f>
        <v>0</v>
      </c>
    </row>
    <row r="31" spans="1:73" s="18" customFormat="1">
      <c r="A31" s="866">
        <v>11</v>
      </c>
      <c r="B31" s="76"/>
      <c r="C31" s="76" t="s">
        <v>2243</v>
      </c>
      <c r="D31" s="76"/>
      <c r="E31" s="77"/>
      <c r="F31" s="877"/>
      <c r="G31" s="878">
        <f>G30</f>
        <v>0</v>
      </c>
      <c r="H31" s="878">
        <f>G31+H30</f>
        <v>0</v>
      </c>
      <c r="I31" s="878">
        <f t="shared" ref="I31:AK31" si="432">H31+I30</f>
        <v>0</v>
      </c>
      <c r="J31" s="878">
        <f t="shared" si="432"/>
        <v>202.04081632653063</v>
      </c>
      <c r="K31" s="878">
        <f t="shared" si="432"/>
        <v>202.04081632653063</v>
      </c>
      <c r="L31" s="878">
        <f t="shared" si="432"/>
        <v>202.04081632653063</v>
      </c>
      <c r="M31" s="878">
        <f t="shared" si="432"/>
        <v>202.04081632653063</v>
      </c>
      <c r="N31" s="878">
        <f t="shared" si="432"/>
        <v>202.04081632653063</v>
      </c>
      <c r="O31" s="878">
        <f t="shared" si="432"/>
        <v>202.04081632653063</v>
      </c>
      <c r="P31" s="878">
        <f t="shared" si="432"/>
        <v>202.04081632653063</v>
      </c>
      <c r="Q31" s="878">
        <f t="shared" si="432"/>
        <v>202.04081632653063</v>
      </c>
      <c r="R31" s="878">
        <f t="shared" si="432"/>
        <v>202.04081632653063</v>
      </c>
      <c r="S31" s="878">
        <f t="shared" si="432"/>
        <v>224.73701494396016</v>
      </c>
      <c r="T31" s="878">
        <f t="shared" si="432"/>
        <v>227.22515193026152</v>
      </c>
      <c r="U31" s="878">
        <f t="shared" si="432"/>
        <v>227.22515193026152</v>
      </c>
      <c r="V31" s="878">
        <f t="shared" si="432"/>
        <v>261.17456039850561</v>
      </c>
      <c r="W31" s="878">
        <f t="shared" si="432"/>
        <v>261.17456039850561</v>
      </c>
      <c r="X31" s="878">
        <f t="shared" si="432"/>
        <v>261.17456039850561</v>
      </c>
      <c r="Y31" s="878">
        <f t="shared" si="432"/>
        <v>328.95307845579077</v>
      </c>
      <c r="Z31" s="878">
        <f t="shared" si="432"/>
        <v>328.95307845579077</v>
      </c>
      <c r="AA31" s="878">
        <f t="shared" si="432"/>
        <v>328.95307845579077</v>
      </c>
      <c r="AB31" s="878">
        <f t="shared" si="432"/>
        <v>362.78218804483186</v>
      </c>
      <c r="AC31" s="878">
        <f t="shared" si="432"/>
        <v>362.78218804483186</v>
      </c>
      <c r="AD31" s="878">
        <f t="shared" si="432"/>
        <v>362.78218804483186</v>
      </c>
      <c r="AE31" s="878">
        <f t="shared" si="432"/>
        <v>430.32141594022414</v>
      </c>
      <c r="AF31" s="878">
        <f t="shared" si="432"/>
        <v>434.22346139476963</v>
      </c>
      <c r="AG31" s="878">
        <f t="shared" si="432"/>
        <v>434.22346139476963</v>
      </c>
      <c r="AH31" s="878">
        <f t="shared" si="432"/>
        <v>434.22346139476963</v>
      </c>
      <c r="AI31" s="878">
        <f t="shared" si="432"/>
        <v>434.22346139476963</v>
      </c>
      <c r="AJ31" s="878">
        <f t="shared" si="432"/>
        <v>434.22346139476963</v>
      </c>
      <c r="AK31" s="878">
        <f t="shared" si="432"/>
        <v>535.89123848069733</v>
      </c>
      <c r="AL31" s="878">
        <f t="shared" ref="AL31" si="433">AK31+AL30</f>
        <v>535.89123848069733</v>
      </c>
      <c r="AM31" s="878">
        <f t="shared" ref="AM31" si="434">AL31+AM30</f>
        <v>535.89123848069733</v>
      </c>
      <c r="AN31" s="878">
        <f t="shared" ref="AN31" si="435">AM31+AN30</f>
        <v>535.89123848069733</v>
      </c>
      <c r="AO31" s="878">
        <f t="shared" ref="AO31" si="436">AN31+AO30</f>
        <v>535.89123848069733</v>
      </c>
      <c r="AP31" s="878">
        <f t="shared" ref="AP31" si="437">AO31+AP30</f>
        <v>535.89123848069733</v>
      </c>
      <c r="AQ31" s="878">
        <f t="shared" ref="AQ31" si="438">AP31+AQ30</f>
        <v>637.20008032378576</v>
      </c>
      <c r="AR31" s="878">
        <f t="shared" ref="AR31" si="439">AQ31+AR30</f>
        <v>642.52179638854295</v>
      </c>
      <c r="AS31" s="878">
        <f t="shared" ref="AS31" si="440">AR31+AS30</f>
        <v>642.52179638854295</v>
      </c>
      <c r="AT31" s="878">
        <f t="shared" ref="AT31" si="441">AS31+AT30</f>
        <v>642.52179638854295</v>
      </c>
      <c r="AU31" s="878">
        <f t="shared" ref="AU31" si="442">AT31+AU30</f>
        <v>642.52179638854295</v>
      </c>
      <c r="AV31" s="878">
        <f t="shared" ref="AV31" si="443">AU31+AV30</f>
        <v>642.52179638854295</v>
      </c>
      <c r="AW31" s="878">
        <f t="shared" ref="AW31" si="444">AV31+AW30</f>
        <v>642.52179638854295</v>
      </c>
      <c r="AX31" s="878">
        <f t="shared" ref="AX31" si="445">AW31+AX30</f>
        <v>642.52179638854295</v>
      </c>
      <c r="AY31" s="878">
        <f t="shared" ref="AY31" si="446">AX31+AY30</f>
        <v>642.52179638854295</v>
      </c>
      <c r="AZ31" s="878">
        <f t="shared" ref="AZ31" si="447">AY31+AZ30</f>
        <v>642.52179638854295</v>
      </c>
      <c r="BA31" s="878">
        <f t="shared" ref="BA31" si="448">AZ31+BA30</f>
        <v>642.52179638854295</v>
      </c>
      <c r="BB31" s="878">
        <f t="shared" ref="BB31" si="449">BA31+BB30</f>
        <v>642.52179638854295</v>
      </c>
      <c r="BC31" s="878">
        <f t="shared" ref="BC31" si="450">BB31+BC30</f>
        <v>642.52179638854295</v>
      </c>
      <c r="BD31" s="878">
        <f t="shared" ref="BD31" si="451">BC31+BD30</f>
        <v>647.84351245330015</v>
      </c>
      <c r="BE31" s="878">
        <f t="shared" ref="BE31" si="452">BD31+BE30</f>
        <v>647.84351245330015</v>
      </c>
      <c r="BF31" s="878">
        <f t="shared" ref="BF31" si="453">BE31+BF30</f>
        <v>647.84351245330015</v>
      </c>
      <c r="BG31" s="878">
        <f t="shared" ref="BG31" si="454">BF31+BG30</f>
        <v>647.84351245330015</v>
      </c>
      <c r="BH31" s="878">
        <f t="shared" ref="BH31" si="455">BG31+BH30</f>
        <v>647.84351245330015</v>
      </c>
      <c r="BI31" s="878">
        <f t="shared" ref="BI31" si="456">BH31+BI30</f>
        <v>647.84351245330015</v>
      </c>
      <c r="BJ31" s="878">
        <f t="shared" ref="BJ31" si="457">BI31+BJ30</f>
        <v>647.84351245330015</v>
      </c>
      <c r="BK31" s="878">
        <f t="shared" ref="BK31" si="458">BJ31+BK30</f>
        <v>647.84351245330015</v>
      </c>
      <c r="BL31" s="878">
        <f t="shared" ref="BL31" si="459">BK31+BL30</f>
        <v>647.84351245330015</v>
      </c>
      <c r="BM31" s="878">
        <f t="shared" ref="BM31" si="460">BL31+BM30</f>
        <v>647.84351245330015</v>
      </c>
      <c r="BN31" s="878">
        <f t="shared" ref="BN31" si="461">BM31+BN30</f>
        <v>647.84351245330015</v>
      </c>
      <c r="BO31" s="878">
        <f t="shared" ref="BO31" si="462">BN31+BO30</f>
        <v>647.84351245330015</v>
      </c>
      <c r="BP31" s="878">
        <f t="shared" ref="BP31" si="463">BO31+BP30</f>
        <v>653.1895236612703</v>
      </c>
      <c r="BQ31" s="878">
        <f t="shared" ref="BQ31" si="464">BP31+BQ30</f>
        <v>653.1895236612703</v>
      </c>
      <c r="BR31" s="878">
        <f t="shared" ref="BR31" si="465">BQ31+BR30</f>
        <v>653.1895236612703</v>
      </c>
      <c r="BS31" s="878">
        <f t="shared" ref="BS31" si="466">BR31+BS30</f>
        <v>653.1895236612703</v>
      </c>
      <c r="BT31" s="878">
        <f t="shared" ref="BT31" si="467">BS31+BT30</f>
        <v>653.1895236612703</v>
      </c>
      <c r="BU31" s="878">
        <f t="shared" ref="BU31" si="468">BT31+BU30</f>
        <v>653.1895236612703</v>
      </c>
    </row>
    <row r="32" spans="1:73" s="18" customFormat="1">
      <c r="A32" s="866">
        <v>4</v>
      </c>
      <c r="B32" s="76"/>
      <c r="C32" s="76" t="s">
        <v>2244</v>
      </c>
      <c r="D32" s="875" t="s">
        <v>2118</v>
      </c>
      <c r="E32" s="77">
        <v>5000</v>
      </c>
      <c r="F32" s="877">
        <f>E32/150000</f>
        <v>3.3333333333333333E-2</v>
      </c>
      <c r="G32" s="878">
        <v>0</v>
      </c>
      <c r="H32" s="878">
        <v>0</v>
      </c>
      <c r="I32" s="878">
        <v>0</v>
      </c>
      <c r="J32" s="878">
        <f>基金资金安排!C7</f>
        <v>500</v>
      </c>
      <c r="K32" s="878">
        <v>1000</v>
      </c>
      <c r="L32" s="878">
        <f t="shared" ref="L32:AK32" si="469">IF(($F32*L$23-K33)&lt;0,0,($F32*L$23-K33))</f>
        <v>0</v>
      </c>
      <c r="M32" s="878">
        <f t="shared" si="469"/>
        <v>0</v>
      </c>
      <c r="N32" s="878">
        <f t="shared" si="469"/>
        <v>0</v>
      </c>
      <c r="O32" s="878">
        <f t="shared" si="469"/>
        <v>0</v>
      </c>
      <c r="P32" s="878">
        <f t="shared" si="469"/>
        <v>0</v>
      </c>
      <c r="Q32" s="878">
        <f t="shared" si="469"/>
        <v>0</v>
      </c>
      <c r="R32" s="878">
        <f t="shared" si="469"/>
        <v>0</v>
      </c>
      <c r="S32" s="878">
        <f t="shared" si="469"/>
        <v>164.71862921451975</v>
      </c>
      <c r="T32" s="878">
        <f t="shared" si="469"/>
        <v>18.43064434297321</v>
      </c>
      <c r="U32" s="878">
        <f t="shared" si="469"/>
        <v>0</v>
      </c>
      <c r="V32" s="878">
        <f t="shared" si="469"/>
        <v>251.47709976477086</v>
      </c>
      <c r="W32" s="878">
        <f t="shared" si="469"/>
        <v>0</v>
      </c>
      <c r="X32" s="878">
        <f t="shared" si="469"/>
        <v>0</v>
      </c>
      <c r="Y32" s="878">
        <f t="shared" si="469"/>
        <v>502.06309672063094</v>
      </c>
      <c r="Z32" s="878">
        <f t="shared" si="469"/>
        <v>0</v>
      </c>
      <c r="AA32" s="878">
        <f t="shared" si="469"/>
        <v>0</v>
      </c>
      <c r="AB32" s="878">
        <f t="shared" si="469"/>
        <v>250.58599695586008</v>
      </c>
      <c r="AC32" s="878">
        <f t="shared" si="469"/>
        <v>0</v>
      </c>
      <c r="AD32" s="878">
        <f t="shared" si="469"/>
        <v>0</v>
      </c>
      <c r="AE32" s="878">
        <f t="shared" si="469"/>
        <v>500.29057700290559</v>
      </c>
      <c r="AF32" s="878">
        <f t="shared" si="469"/>
        <v>28.904040404040643</v>
      </c>
      <c r="AG32" s="878">
        <f t="shared" si="469"/>
        <v>0</v>
      </c>
      <c r="AH32" s="878">
        <f t="shared" si="469"/>
        <v>0</v>
      </c>
      <c r="AI32" s="878">
        <f t="shared" si="469"/>
        <v>0</v>
      </c>
      <c r="AJ32" s="878">
        <f t="shared" si="469"/>
        <v>0</v>
      </c>
      <c r="AK32" s="878">
        <f t="shared" si="469"/>
        <v>753.09464508094607</v>
      </c>
      <c r="AL32" s="878">
        <f t="shared" ref="AL32" si="470">IF(($F32*AL$23-AK33)&lt;0,0,($F32*AL$23-AK33))</f>
        <v>0</v>
      </c>
      <c r="AM32" s="878">
        <f t="shared" ref="AM32" si="471">IF(($F32*AM$23-AL33)&lt;0,0,($F32*AM$23-AL33))</f>
        <v>0</v>
      </c>
      <c r="AN32" s="878">
        <f t="shared" ref="AN32" si="472">IF(($F32*AN$23-AM33)&lt;0,0,($F32*AN$23-AM33))</f>
        <v>0</v>
      </c>
      <c r="AO32" s="878">
        <f t="shared" ref="AO32" si="473">IF(($F32*AO$23-AN33)&lt;0,0,($F32*AO$23-AN33))</f>
        <v>0</v>
      </c>
      <c r="AP32" s="878">
        <f t="shared" ref="AP32" si="474">IF(($F32*AP$23-AO33)&lt;0,0,($F32*AP$23-AO33))</f>
        <v>0</v>
      </c>
      <c r="AQ32" s="878">
        <f t="shared" ref="AQ32" si="475">IF(($F32*AQ$23-AP33)&lt;0,0,($F32*AQ$23-AP33))</f>
        <v>750.4358655043593</v>
      </c>
      <c r="AR32" s="878">
        <f t="shared" ref="AR32" si="476">IF(($F32*AR$23-AQ33)&lt;0,0,($F32*AR$23-AQ33))</f>
        <v>39.42011899820136</v>
      </c>
      <c r="AS32" s="878">
        <f t="shared" ref="AS32" si="477">IF(($F32*AS$23-AR33)&lt;0,0,($F32*AS$23-AR33))</f>
        <v>0</v>
      </c>
      <c r="AT32" s="878">
        <f t="shared" ref="AT32" si="478">IF(($F32*AT$23-AS33)&lt;0,0,($F32*AT$23-AS33))</f>
        <v>0</v>
      </c>
      <c r="AU32" s="878">
        <f t="shared" ref="AU32" si="479">IF(($F32*AU$23-AT33)&lt;0,0,($F32*AU$23-AT33))</f>
        <v>0</v>
      </c>
      <c r="AV32" s="878">
        <f t="shared" ref="AV32" si="480">IF(($F32*AV$23-AU33)&lt;0,0,($F32*AV$23-AU33))</f>
        <v>0</v>
      </c>
      <c r="AW32" s="878">
        <f t="shared" ref="AW32" si="481">IF(($F32*AW$23-AV33)&lt;0,0,($F32*AW$23-AV33))</f>
        <v>0</v>
      </c>
      <c r="AX32" s="878">
        <f t="shared" ref="AX32" si="482">IF(($F32*AX$23-AW33)&lt;0,0,($F32*AX$23-AW33))</f>
        <v>0</v>
      </c>
      <c r="AY32" s="878">
        <f t="shared" ref="AY32" si="483">IF(($F32*AY$23-AX33)&lt;0,0,($F32*AY$23-AX33))</f>
        <v>0</v>
      </c>
      <c r="AZ32" s="878">
        <f t="shared" ref="AZ32" si="484">IF(($F32*AZ$23-AY33)&lt;0,0,($F32*AZ$23-AY33))</f>
        <v>0</v>
      </c>
      <c r="BA32" s="878">
        <f t="shared" ref="BA32" si="485">IF(($F32*BA$23-AZ33)&lt;0,0,($F32*BA$23-AZ33))</f>
        <v>0</v>
      </c>
      <c r="BB32" s="878">
        <f t="shared" ref="BB32" si="486">IF(($F32*BB$23-BA33)&lt;0,0,($F32*BB$23-BA33))</f>
        <v>0</v>
      </c>
      <c r="BC32" s="878">
        <f t="shared" ref="BC32" si="487">IF(($F32*BC$23-BB33)&lt;0,0,($F32*BC$23-BB33))</f>
        <v>0</v>
      </c>
      <c r="BD32" s="878">
        <f t="shared" ref="BD32" si="488">IF(($F32*BD$23-BC33)&lt;0,0,($F32*BD$23-BC33))</f>
        <v>39.42011899820136</v>
      </c>
      <c r="BE32" s="878">
        <f t="shared" ref="BE32" si="489">IF(($F32*BE$23-BD33)&lt;0,0,($F32*BE$23-BD33))</f>
        <v>0</v>
      </c>
      <c r="BF32" s="878">
        <f t="shared" ref="BF32" si="490">IF(($F32*BF$23-BE33)&lt;0,0,($F32*BF$23-BE33))</f>
        <v>0</v>
      </c>
      <c r="BG32" s="878">
        <f t="shared" ref="BG32" si="491">IF(($F32*BG$23-BF33)&lt;0,0,($F32*BG$23-BF33))</f>
        <v>0</v>
      </c>
      <c r="BH32" s="878">
        <f t="shared" ref="BH32" si="492">IF(($F32*BH$23-BG33)&lt;0,0,($F32*BH$23-BG33))</f>
        <v>0</v>
      </c>
      <c r="BI32" s="878">
        <f t="shared" ref="BI32" si="493">IF(($F32*BI$23-BH33)&lt;0,0,($F32*BI$23-BH33))</f>
        <v>0</v>
      </c>
      <c r="BJ32" s="878">
        <f t="shared" ref="BJ32" si="494">IF(($F32*BJ$23-BI33)&lt;0,0,($F32*BJ$23-BI33))</f>
        <v>0</v>
      </c>
      <c r="BK32" s="878">
        <f t="shared" ref="BK32" si="495">IF(($F32*BK$23-BJ33)&lt;0,0,($F32*BK$23-BJ33))</f>
        <v>0</v>
      </c>
      <c r="BL32" s="878">
        <f t="shared" ref="BL32" si="496">IF(($F32*BL$23-BK33)&lt;0,0,($F32*BL$23-BK33))</f>
        <v>0</v>
      </c>
      <c r="BM32" s="878">
        <f t="shared" ref="BM32" si="497">IF(($F32*BM$23-BL33)&lt;0,0,($F32*BM$23-BL33))</f>
        <v>0</v>
      </c>
      <c r="BN32" s="878">
        <f t="shared" ref="BN32" si="498">IF(($F32*BN$23-BM33)&lt;0,0,($F32*BN$23-BM33))</f>
        <v>0</v>
      </c>
      <c r="BO32" s="878">
        <f t="shared" ref="BO32" si="499">IF(($F32*BO$23-BN33)&lt;0,0,($F32*BO$23-BN33))</f>
        <v>0</v>
      </c>
      <c r="BP32" s="878">
        <f t="shared" ref="BP32" si="500">IF(($F32*BP$23-BO33)&lt;0,0,($F32*BP$23-BO33))</f>
        <v>39.600083022000945</v>
      </c>
      <c r="BQ32" s="878">
        <f t="shared" ref="BQ32" si="501">IF(($F32*BQ$23-BP33)&lt;0,0,($F32*BQ$23-BP33))</f>
        <v>0</v>
      </c>
      <c r="BR32" s="878">
        <f t="shared" ref="BR32" si="502">IF(($F32*BR$23-BQ33)&lt;0,0,($F32*BR$23-BQ33))</f>
        <v>0</v>
      </c>
      <c r="BS32" s="878">
        <f t="shared" ref="BS32" si="503">IF(($F32*BS$23-BR33)&lt;0,0,($F32*BS$23-BR33))</f>
        <v>0</v>
      </c>
      <c r="BT32" s="878">
        <f t="shared" ref="BT32" si="504">IF(($F32*BT$23-BS33)&lt;0,0,($F32*BT$23-BS33))</f>
        <v>0</v>
      </c>
      <c r="BU32" s="878">
        <f t="shared" ref="BU32" si="505">IF(($F32*BU$23-BT33)&lt;0,0,($F32*BU$23-BT33))</f>
        <v>0</v>
      </c>
    </row>
    <row r="33" spans="1:73" s="18" customFormat="1">
      <c r="A33" s="866">
        <v>4</v>
      </c>
      <c r="B33" s="76"/>
      <c r="C33" s="76" t="s">
        <v>2245</v>
      </c>
      <c r="D33" s="875"/>
      <c r="E33" s="77"/>
      <c r="F33" s="877"/>
      <c r="G33" s="878">
        <f>G32</f>
        <v>0</v>
      </c>
      <c r="H33" s="878">
        <f>G33+H32</f>
        <v>0</v>
      </c>
      <c r="I33" s="878">
        <f t="shared" ref="I33:AK33" si="506">H33+I32</f>
        <v>0</v>
      </c>
      <c r="J33" s="878">
        <f t="shared" si="506"/>
        <v>500</v>
      </c>
      <c r="K33" s="878">
        <f t="shared" si="506"/>
        <v>1500</v>
      </c>
      <c r="L33" s="878">
        <f t="shared" si="506"/>
        <v>1500</v>
      </c>
      <c r="M33" s="878">
        <f t="shared" si="506"/>
        <v>1500</v>
      </c>
      <c r="N33" s="878">
        <f t="shared" si="506"/>
        <v>1500</v>
      </c>
      <c r="O33" s="878">
        <f t="shared" si="506"/>
        <v>1500</v>
      </c>
      <c r="P33" s="878">
        <f t="shared" si="506"/>
        <v>1500</v>
      </c>
      <c r="Q33" s="878">
        <f t="shared" si="506"/>
        <v>1500</v>
      </c>
      <c r="R33" s="878">
        <f t="shared" si="506"/>
        <v>1500</v>
      </c>
      <c r="S33" s="878">
        <f t="shared" si="506"/>
        <v>1664.7186292145198</v>
      </c>
      <c r="T33" s="878">
        <f t="shared" si="506"/>
        <v>1683.149273557493</v>
      </c>
      <c r="U33" s="878">
        <f t="shared" si="506"/>
        <v>1683.149273557493</v>
      </c>
      <c r="V33" s="878">
        <f t="shared" si="506"/>
        <v>1934.6263733222638</v>
      </c>
      <c r="W33" s="878">
        <f t="shared" si="506"/>
        <v>1934.6263733222638</v>
      </c>
      <c r="X33" s="878">
        <f t="shared" si="506"/>
        <v>1934.6263733222638</v>
      </c>
      <c r="Y33" s="878">
        <f t="shared" si="506"/>
        <v>2436.6894700428948</v>
      </c>
      <c r="Z33" s="878">
        <f t="shared" si="506"/>
        <v>2436.6894700428948</v>
      </c>
      <c r="AA33" s="878">
        <f t="shared" si="506"/>
        <v>2436.6894700428948</v>
      </c>
      <c r="AB33" s="878">
        <f t="shared" si="506"/>
        <v>2687.2754669987548</v>
      </c>
      <c r="AC33" s="878">
        <f t="shared" si="506"/>
        <v>2687.2754669987548</v>
      </c>
      <c r="AD33" s="878">
        <f t="shared" si="506"/>
        <v>2687.2754669987548</v>
      </c>
      <c r="AE33" s="878">
        <f t="shared" si="506"/>
        <v>3187.5660440016604</v>
      </c>
      <c r="AF33" s="878">
        <f t="shared" si="506"/>
        <v>3216.4700844057011</v>
      </c>
      <c r="AG33" s="878">
        <f t="shared" si="506"/>
        <v>3216.4700844057011</v>
      </c>
      <c r="AH33" s="878">
        <f t="shared" si="506"/>
        <v>3216.4700844057011</v>
      </c>
      <c r="AI33" s="878">
        <f t="shared" si="506"/>
        <v>3216.4700844057011</v>
      </c>
      <c r="AJ33" s="878">
        <f t="shared" si="506"/>
        <v>3216.4700844057011</v>
      </c>
      <c r="AK33" s="878">
        <f t="shared" si="506"/>
        <v>3969.5647294866471</v>
      </c>
      <c r="AL33" s="878">
        <f t="shared" ref="AL33" si="507">AK33+AL32</f>
        <v>3969.5647294866471</v>
      </c>
      <c r="AM33" s="878">
        <f t="shared" ref="AM33" si="508">AL33+AM32</f>
        <v>3969.5647294866471</v>
      </c>
      <c r="AN33" s="878">
        <f t="shared" ref="AN33" si="509">AM33+AN32</f>
        <v>3969.5647294866471</v>
      </c>
      <c r="AO33" s="878">
        <f t="shared" ref="AO33" si="510">AN33+AO32</f>
        <v>3969.5647294866471</v>
      </c>
      <c r="AP33" s="878">
        <f t="shared" ref="AP33" si="511">AO33+AP32</f>
        <v>3969.5647294866471</v>
      </c>
      <c r="AQ33" s="878">
        <f t="shared" ref="AQ33" si="512">AP33+AQ32</f>
        <v>4720.0005949910064</v>
      </c>
      <c r="AR33" s="878">
        <f t="shared" ref="AR33" si="513">AQ33+AR32</f>
        <v>4759.4207139892078</v>
      </c>
      <c r="AS33" s="878">
        <f t="shared" ref="AS33" si="514">AR33+AS32</f>
        <v>4759.4207139892078</v>
      </c>
      <c r="AT33" s="878">
        <f t="shared" ref="AT33" si="515">AS33+AT32</f>
        <v>4759.4207139892078</v>
      </c>
      <c r="AU33" s="878">
        <f t="shared" ref="AU33" si="516">AT33+AU32</f>
        <v>4759.4207139892078</v>
      </c>
      <c r="AV33" s="878">
        <f t="shared" ref="AV33" si="517">AU33+AV32</f>
        <v>4759.4207139892078</v>
      </c>
      <c r="AW33" s="878">
        <f t="shared" ref="AW33" si="518">AV33+AW32</f>
        <v>4759.4207139892078</v>
      </c>
      <c r="AX33" s="878">
        <f t="shared" ref="AX33" si="519">AW33+AX32</f>
        <v>4759.4207139892078</v>
      </c>
      <c r="AY33" s="878">
        <f t="shared" ref="AY33" si="520">AX33+AY32</f>
        <v>4759.4207139892078</v>
      </c>
      <c r="AZ33" s="878">
        <f t="shared" ref="AZ33" si="521">AY33+AZ32</f>
        <v>4759.4207139892078</v>
      </c>
      <c r="BA33" s="878">
        <f t="shared" ref="BA33" si="522">AZ33+BA32</f>
        <v>4759.4207139892078</v>
      </c>
      <c r="BB33" s="878">
        <f t="shared" ref="BB33" si="523">BA33+BB32</f>
        <v>4759.4207139892078</v>
      </c>
      <c r="BC33" s="878">
        <f t="shared" ref="BC33" si="524">BB33+BC32</f>
        <v>4759.4207139892078</v>
      </c>
      <c r="BD33" s="878">
        <f t="shared" ref="BD33" si="525">BC33+BD32</f>
        <v>4798.8408329874092</v>
      </c>
      <c r="BE33" s="878">
        <f t="shared" ref="BE33" si="526">BD33+BE32</f>
        <v>4798.8408329874092</v>
      </c>
      <c r="BF33" s="878">
        <f t="shared" ref="BF33" si="527">BE33+BF32</f>
        <v>4798.8408329874092</v>
      </c>
      <c r="BG33" s="878">
        <f t="shared" ref="BG33" si="528">BF33+BG32</f>
        <v>4798.8408329874092</v>
      </c>
      <c r="BH33" s="878">
        <f t="shared" ref="BH33" si="529">BG33+BH32</f>
        <v>4798.8408329874092</v>
      </c>
      <c r="BI33" s="878">
        <f t="shared" ref="BI33" si="530">BH33+BI32</f>
        <v>4798.8408329874092</v>
      </c>
      <c r="BJ33" s="878">
        <f t="shared" ref="BJ33" si="531">BI33+BJ32</f>
        <v>4798.8408329874092</v>
      </c>
      <c r="BK33" s="878">
        <f t="shared" ref="BK33" si="532">BJ33+BK32</f>
        <v>4798.8408329874092</v>
      </c>
      <c r="BL33" s="878">
        <f t="shared" ref="BL33" si="533">BK33+BL32</f>
        <v>4798.8408329874092</v>
      </c>
      <c r="BM33" s="878">
        <f t="shared" ref="BM33" si="534">BL33+BM32</f>
        <v>4798.8408329874092</v>
      </c>
      <c r="BN33" s="878">
        <f t="shared" ref="BN33" si="535">BM33+BN32</f>
        <v>4798.8408329874092</v>
      </c>
      <c r="BO33" s="878">
        <f t="shared" ref="BO33" si="536">BN33+BO32</f>
        <v>4798.8408329874092</v>
      </c>
      <c r="BP33" s="878">
        <f t="shared" ref="BP33" si="537">BO33+BP32</f>
        <v>4838.4409160094101</v>
      </c>
      <c r="BQ33" s="878">
        <f t="shared" ref="BQ33" si="538">BP33+BQ32</f>
        <v>4838.4409160094101</v>
      </c>
      <c r="BR33" s="878">
        <f t="shared" ref="BR33" si="539">BQ33+BR32</f>
        <v>4838.4409160094101</v>
      </c>
      <c r="BS33" s="878">
        <f t="shared" ref="BS33" si="540">BR33+BS32</f>
        <v>4838.4409160094101</v>
      </c>
      <c r="BT33" s="878">
        <f t="shared" ref="BT33" si="541">BS33+BT32</f>
        <v>4838.4409160094101</v>
      </c>
      <c r="BU33" s="878">
        <f t="shared" ref="BU33" si="542">BT33+BU32</f>
        <v>4838.4409160094101</v>
      </c>
    </row>
    <row r="34" spans="1:73" s="63" customFormat="1">
      <c r="A34" s="866">
        <v>19</v>
      </c>
      <c r="B34" s="17"/>
      <c r="C34" s="17"/>
      <c r="D34" s="17"/>
      <c r="E34" s="17"/>
    </row>
    <row r="35" spans="1:73" s="18" customFormat="1">
      <c r="A35" s="866">
        <v>32</v>
      </c>
      <c r="B35" s="76"/>
      <c r="C35" s="76" t="s">
        <v>2246</v>
      </c>
      <c r="D35" s="76"/>
      <c r="E35" s="77"/>
      <c r="F35" s="76">
        <f>汇总!$D$66</f>
        <v>0.1</v>
      </c>
      <c r="G35" s="879">
        <f>F35*5500</f>
        <v>550</v>
      </c>
      <c r="H35" s="878">
        <f>H$8*$F35*100*H$4/4+H$7*$F35*100*(DATE(YEAR(H$3),INT((MONTH(H$3)-1)/3)*3+4,0)-H$3)/365*H$5</f>
        <v>137.5</v>
      </c>
      <c r="I35" s="878">
        <f>I$8*$F35*100*I$4/4+I$7*$F35*100*(DATE(YEAR(I$3),INT((MONTH(I$3)-1)/3)*3+4,0)-I$3)/365*I$5</f>
        <v>0</v>
      </c>
      <c r="J35" s="878">
        <f t="shared" ref="J35:BU35" si="543">J$8*$F35*100*J$4/4+J$7*$F35*100*(DATE(YEAR(J$3),INT((MONTH(J$3)-1)/3)*3+4,0)-J$3)/365*J$5</f>
        <v>0</v>
      </c>
      <c r="K35" s="878">
        <f t="shared" si="543"/>
        <v>137.5</v>
      </c>
      <c r="L35" s="878">
        <f t="shared" si="543"/>
        <v>0</v>
      </c>
      <c r="M35" s="878">
        <f t="shared" si="543"/>
        <v>0</v>
      </c>
      <c r="N35" s="878">
        <f t="shared" si="543"/>
        <v>137.5</v>
      </c>
      <c r="O35" s="878">
        <f t="shared" si="543"/>
        <v>0</v>
      </c>
      <c r="P35" s="878">
        <f t="shared" si="543"/>
        <v>119.17808219178082</v>
      </c>
      <c r="Q35" s="878">
        <f t="shared" si="543"/>
        <v>512.5</v>
      </c>
      <c r="R35" s="878">
        <f t="shared" si="543"/>
        <v>0</v>
      </c>
      <c r="S35" s="878">
        <f t="shared" si="543"/>
        <v>123.28767123287672</v>
      </c>
      <c r="T35" s="878">
        <f t="shared" si="543"/>
        <v>887.5</v>
      </c>
      <c r="U35" s="878">
        <f t="shared" si="543"/>
        <v>0</v>
      </c>
      <c r="V35" s="878">
        <f t="shared" si="543"/>
        <v>41.095890410958901</v>
      </c>
      <c r="W35" s="878">
        <f t="shared" si="543"/>
        <v>1012.5</v>
      </c>
      <c r="X35" s="878">
        <f t="shared" si="543"/>
        <v>0</v>
      </c>
      <c r="Y35" s="878">
        <f t="shared" si="543"/>
        <v>79.452054794520549</v>
      </c>
      <c r="Z35" s="878">
        <f t="shared" si="543"/>
        <v>1262.5</v>
      </c>
      <c r="AA35" s="878">
        <f t="shared" si="543"/>
        <v>0</v>
      </c>
      <c r="AB35" s="878">
        <f t="shared" si="543"/>
        <v>39.726027397260275</v>
      </c>
      <c r="AC35" s="878">
        <f t="shared" si="543"/>
        <v>1387.5</v>
      </c>
      <c r="AD35" s="878">
        <f t="shared" si="543"/>
        <v>0</v>
      </c>
      <c r="AE35" s="878">
        <f t="shared" si="543"/>
        <v>82.191780821917803</v>
      </c>
      <c r="AF35" s="878">
        <f t="shared" si="543"/>
        <v>1637.5</v>
      </c>
      <c r="AG35" s="878">
        <f t="shared" si="543"/>
        <v>0</v>
      </c>
      <c r="AH35" s="878">
        <f t="shared" si="543"/>
        <v>0</v>
      </c>
      <c r="AI35" s="878">
        <f t="shared" si="543"/>
        <v>1637.5</v>
      </c>
      <c r="AJ35" s="878">
        <f t="shared" si="543"/>
        <v>0</v>
      </c>
      <c r="AK35" s="878">
        <f t="shared" si="543"/>
        <v>119.17808219178082</v>
      </c>
      <c r="AL35" s="878">
        <f t="shared" si="543"/>
        <v>2012.5</v>
      </c>
      <c r="AM35" s="878">
        <f t="shared" si="543"/>
        <v>0</v>
      </c>
      <c r="AN35" s="878">
        <f t="shared" si="543"/>
        <v>0</v>
      </c>
      <c r="AO35" s="878">
        <f t="shared" si="543"/>
        <v>2012.5</v>
      </c>
      <c r="AP35" s="878">
        <f t="shared" si="543"/>
        <v>0</v>
      </c>
      <c r="AQ35" s="878">
        <f t="shared" si="543"/>
        <v>123.28767123287672</v>
      </c>
      <c r="AR35" s="878">
        <f t="shared" si="543"/>
        <v>2387.5</v>
      </c>
      <c r="AS35" s="878">
        <f t="shared" si="543"/>
        <v>0</v>
      </c>
      <c r="AT35" s="878">
        <f t="shared" si="543"/>
        <v>0</v>
      </c>
      <c r="AU35" s="878">
        <f t="shared" si="543"/>
        <v>2387.5</v>
      </c>
      <c r="AV35" s="878">
        <f t="shared" si="543"/>
        <v>0</v>
      </c>
      <c r="AW35" s="878">
        <f t="shared" si="543"/>
        <v>0</v>
      </c>
      <c r="AX35" s="878">
        <f t="shared" si="543"/>
        <v>2387.5</v>
      </c>
      <c r="AY35" s="878">
        <f t="shared" si="543"/>
        <v>0</v>
      </c>
      <c r="AZ35" s="878">
        <f t="shared" si="543"/>
        <v>0</v>
      </c>
      <c r="BA35" s="878">
        <f t="shared" si="543"/>
        <v>2387.5</v>
      </c>
      <c r="BB35" s="878">
        <f t="shared" si="543"/>
        <v>0</v>
      </c>
      <c r="BC35" s="878">
        <f t="shared" si="543"/>
        <v>0</v>
      </c>
      <c r="BD35" s="878">
        <f t="shared" si="543"/>
        <v>2387.5</v>
      </c>
      <c r="BE35" s="878">
        <f t="shared" si="543"/>
        <v>0</v>
      </c>
      <c r="BF35" s="878">
        <f t="shared" si="543"/>
        <v>0</v>
      </c>
      <c r="BG35" s="878">
        <f t="shared" si="543"/>
        <v>2387.5</v>
      </c>
      <c r="BH35" s="878">
        <f t="shared" si="543"/>
        <v>0</v>
      </c>
      <c r="BI35" s="878">
        <f t="shared" si="543"/>
        <v>0</v>
      </c>
      <c r="BJ35" s="878">
        <f t="shared" si="543"/>
        <v>2387.5</v>
      </c>
      <c r="BK35" s="878">
        <f t="shared" si="543"/>
        <v>0</v>
      </c>
      <c r="BL35" s="878">
        <f t="shared" si="543"/>
        <v>0</v>
      </c>
      <c r="BM35" s="878">
        <f t="shared" si="543"/>
        <v>2387.5</v>
      </c>
      <c r="BN35" s="878">
        <f t="shared" si="543"/>
        <v>0</v>
      </c>
      <c r="BO35" s="878">
        <f t="shared" si="543"/>
        <v>0</v>
      </c>
      <c r="BP35" s="878">
        <f t="shared" si="543"/>
        <v>2387.5</v>
      </c>
      <c r="BQ35" s="878">
        <f t="shared" si="543"/>
        <v>0</v>
      </c>
      <c r="BR35" s="878">
        <f t="shared" si="543"/>
        <v>0</v>
      </c>
      <c r="BS35" s="878">
        <f t="shared" si="543"/>
        <v>2387.5</v>
      </c>
      <c r="BT35" s="878">
        <f t="shared" si="543"/>
        <v>0</v>
      </c>
      <c r="BU35" s="878">
        <f t="shared" si="543"/>
        <v>0</v>
      </c>
    </row>
    <row r="36" spans="1:73" s="18" customFormat="1">
      <c r="A36" s="866">
        <v>32</v>
      </c>
      <c r="B36" s="76"/>
      <c r="C36" s="76" t="s">
        <v>2247</v>
      </c>
      <c r="D36" s="76" t="s">
        <v>2232</v>
      </c>
      <c r="E36" s="187">
        <f>汇总!N67</f>
        <v>0</v>
      </c>
      <c r="F36" s="76">
        <f>汇总!$D$67</f>
        <v>0.01</v>
      </c>
      <c r="G36" s="878">
        <f>G$8*$F36*100*(DATE(2025,12,31)-DATE(2024,12,16))/365</f>
        <v>0</v>
      </c>
      <c r="H36" s="878"/>
      <c r="I36" s="878"/>
      <c r="J36" s="878"/>
      <c r="K36" s="878"/>
      <c r="L36" s="878"/>
      <c r="M36" s="878"/>
      <c r="N36" s="878"/>
      <c r="O36" s="878"/>
      <c r="P36" s="878"/>
      <c r="Q36" s="878"/>
      <c r="R36" s="878"/>
      <c r="S36" s="878"/>
      <c r="T36" s="878" cm="1">
        <f t="array" ref="T36">SUMPRODUCT(H$8:S$8,I$3:T$3-H$3:S$3)/(T$3-H$3)*100*$F36*$E$36</f>
        <v>0</v>
      </c>
      <c r="U36" s="878"/>
      <c r="V36" s="878"/>
      <c r="W36" s="878"/>
      <c r="X36" s="878"/>
      <c r="Y36" s="878"/>
      <c r="Z36" s="878"/>
      <c r="AA36" s="878"/>
      <c r="AB36" s="878"/>
      <c r="AC36" s="878"/>
      <c r="AD36" s="878"/>
      <c r="AE36" s="878"/>
      <c r="AF36" s="878" cm="1">
        <f t="array" ref="AF36">SUMPRODUCT(T$8:AE$8,U$3:AF$3-T$3:AE$3)/(AF$3-T$3)*100*$F36*$E$36</f>
        <v>0</v>
      </c>
      <c r="AG36" s="878"/>
      <c r="AH36" s="878"/>
      <c r="AI36" s="878"/>
      <c r="AJ36" s="878"/>
      <c r="AK36" s="878"/>
      <c r="AL36" s="878"/>
      <c r="AM36" s="878"/>
      <c r="AN36" s="878"/>
      <c r="AO36" s="878"/>
      <c r="AP36" s="878"/>
      <c r="AQ36" s="878"/>
      <c r="AR36" s="878" cm="1">
        <f t="array" ref="AR36">SUMPRODUCT(AF$8:AQ$8,AG$3:AR$3-AF$3:AQ$3)/(AR$3-AF$3)*100*$F36*$E$36</f>
        <v>0</v>
      </c>
      <c r="AS36" s="878"/>
      <c r="AT36" s="878"/>
      <c r="AU36" s="878"/>
      <c r="AV36" s="878"/>
      <c r="AW36" s="878"/>
      <c r="AX36" s="878"/>
      <c r="AY36" s="878"/>
      <c r="AZ36" s="878"/>
      <c r="BA36" s="878"/>
      <c r="BB36" s="878"/>
      <c r="BC36" s="878"/>
      <c r="BD36" s="878" cm="1">
        <f t="array" ref="BD36">SUMPRODUCT(AR$8:BC$8,AS$3:BD$3-AR$3:BC$3)/(BD$3-AR$3)*100*$F36*$E$36</f>
        <v>0</v>
      </c>
      <c r="BE36" s="878"/>
      <c r="BF36" s="878"/>
      <c r="BG36" s="878"/>
      <c r="BH36" s="878"/>
      <c r="BI36" s="878"/>
      <c r="BJ36" s="878"/>
      <c r="BK36" s="878"/>
      <c r="BL36" s="878"/>
      <c r="BM36" s="878"/>
      <c r="BN36" s="878"/>
      <c r="BO36" s="878"/>
      <c r="BP36" s="878" cm="1">
        <f t="array" ref="BP36">SUMPRODUCT(BD$8:BO$8,BE$3:BP$3-BD$3:BO$3)/(BP$3-BD$3)*100*$F36*$E$36</f>
        <v>0</v>
      </c>
      <c r="BQ36" s="878"/>
      <c r="BR36" s="878"/>
      <c r="BS36" s="878"/>
      <c r="BT36" s="878"/>
      <c r="BU36" s="878"/>
    </row>
    <row r="37" spans="1:73" s="18" customFormat="1">
      <c r="A37" s="866"/>
      <c r="B37" s="76"/>
      <c r="C37" s="76" t="s">
        <v>2248</v>
      </c>
      <c r="D37" s="76" t="s">
        <v>2232</v>
      </c>
      <c r="E37" s="187">
        <f>汇总!N68</f>
        <v>0</v>
      </c>
      <c r="F37" s="76">
        <f>汇总!$D$68</f>
        <v>0.04</v>
      </c>
      <c r="G37" s="878">
        <f>G$8*$F37*100*(DATE(2025,12,31)-DATE(2024,12,16))/365</f>
        <v>0</v>
      </c>
      <c r="H37" s="878"/>
      <c r="I37" s="878"/>
      <c r="J37" s="878"/>
      <c r="K37" s="878"/>
      <c r="L37" s="878"/>
      <c r="M37" s="878"/>
      <c r="N37" s="878"/>
      <c r="O37" s="878"/>
      <c r="P37" s="878"/>
      <c r="Q37" s="878"/>
      <c r="R37" s="878"/>
      <c r="S37" s="878"/>
      <c r="T37" s="878" cm="1">
        <f t="array" ref="T37">SUMPRODUCT(H$8:S$8,I$3:T$3-H$3:S$3)/(T$3-H$3)*100*$F37*$E$37</f>
        <v>0</v>
      </c>
      <c r="U37" s="878"/>
      <c r="V37" s="878"/>
      <c r="W37" s="878"/>
      <c r="X37" s="878"/>
      <c r="Y37" s="878"/>
      <c r="Z37" s="878"/>
      <c r="AA37" s="878"/>
      <c r="AB37" s="878"/>
      <c r="AC37" s="878"/>
      <c r="AD37" s="878"/>
      <c r="AE37" s="878"/>
      <c r="AF37" s="878" cm="1">
        <f t="array" ref="AF37">SUMPRODUCT(T$8:AE$8,U$3:AF$3-T$3:AE$3)/(AF$3-T$3)*100*$F37*$E$37</f>
        <v>0</v>
      </c>
      <c r="AG37" s="878"/>
      <c r="AH37" s="878"/>
      <c r="AI37" s="878"/>
      <c r="AJ37" s="878"/>
      <c r="AK37" s="878"/>
      <c r="AL37" s="878"/>
      <c r="AM37" s="878"/>
      <c r="AN37" s="878"/>
      <c r="AO37" s="878"/>
      <c r="AP37" s="878"/>
      <c r="AQ37" s="878"/>
      <c r="AR37" s="878" cm="1">
        <f t="array" ref="AR37">SUMPRODUCT(AF$8:AQ$8,AG$3:AR$3-AF$3:AQ$3)/(AR$3-AF$3)*100*$F37*$E$37</f>
        <v>0</v>
      </c>
      <c r="AS37" s="878"/>
      <c r="AT37" s="878"/>
      <c r="AU37" s="878"/>
      <c r="AV37" s="878"/>
      <c r="AW37" s="878"/>
      <c r="AX37" s="878"/>
      <c r="AY37" s="878"/>
      <c r="AZ37" s="878"/>
      <c r="BA37" s="878"/>
      <c r="BB37" s="878"/>
      <c r="BC37" s="878"/>
      <c r="BD37" s="878" cm="1">
        <f t="array" ref="BD37">SUMPRODUCT(AR$8:BC$8,AS$3:BD$3-AR$3:BC$3)/(BD$3-AR$3)*100*$F37*$E$37</f>
        <v>0</v>
      </c>
      <c r="BE37" s="878"/>
      <c r="BF37" s="878"/>
      <c r="BG37" s="878"/>
      <c r="BH37" s="878"/>
      <c r="BI37" s="878"/>
      <c r="BJ37" s="878"/>
      <c r="BK37" s="878"/>
      <c r="BL37" s="878"/>
      <c r="BM37" s="878"/>
      <c r="BN37" s="878"/>
      <c r="BO37" s="878"/>
      <c r="BP37" s="878" cm="1">
        <f t="array" ref="BP37">SUMPRODUCT(BD$8:BO$8,BE$3:BP$3-BD$3:BO$3)/(BP$3-BD$3)*100*$F37*$E$37</f>
        <v>0</v>
      </c>
      <c r="BQ37" s="878"/>
      <c r="BR37" s="878"/>
      <c r="BS37" s="878"/>
      <c r="BT37" s="878"/>
      <c r="BU37" s="878"/>
    </row>
    <row r="38" spans="1:73" s="18" customFormat="1">
      <c r="A38" s="866">
        <v>32</v>
      </c>
      <c r="B38" s="76"/>
      <c r="C38" s="76" t="s">
        <v>2249</v>
      </c>
      <c r="D38" s="76"/>
      <c r="E38" s="76"/>
      <c r="F38" s="880"/>
      <c r="G38" s="878">
        <f>SUM(G35:G37)</f>
        <v>550</v>
      </c>
      <c r="H38" s="878">
        <f t="shared" ref="H38:AK38" si="544">SUM(H35:H37)</f>
        <v>137.5</v>
      </c>
      <c r="I38" s="878">
        <f t="shared" si="544"/>
        <v>0</v>
      </c>
      <c r="J38" s="878">
        <f t="shared" si="544"/>
        <v>0</v>
      </c>
      <c r="K38" s="878">
        <f t="shared" si="544"/>
        <v>137.5</v>
      </c>
      <c r="L38" s="878">
        <f t="shared" si="544"/>
        <v>0</v>
      </c>
      <c r="M38" s="878">
        <f t="shared" si="544"/>
        <v>0</v>
      </c>
      <c r="N38" s="878">
        <f t="shared" si="544"/>
        <v>137.5</v>
      </c>
      <c r="O38" s="878">
        <f t="shared" si="544"/>
        <v>0</v>
      </c>
      <c r="P38" s="878">
        <f t="shared" si="544"/>
        <v>119.17808219178082</v>
      </c>
      <c r="Q38" s="878">
        <f t="shared" si="544"/>
        <v>512.5</v>
      </c>
      <c r="R38" s="878">
        <f t="shared" si="544"/>
        <v>0</v>
      </c>
      <c r="S38" s="878">
        <f t="shared" si="544"/>
        <v>123.28767123287672</v>
      </c>
      <c r="T38" s="878">
        <f t="shared" si="544"/>
        <v>887.5</v>
      </c>
      <c r="U38" s="878">
        <f t="shared" si="544"/>
        <v>0</v>
      </c>
      <c r="V38" s="878">
        <f t="shared" si="544"/>
        <v>41.095890410958901</v>
      </c>
      <c r="W38" s="878">
        <f t="shared" si="544"/>
        <v>1012.5</v>
      </c>
      <c r="X38" s="878">
        <f t="shared" si="544"/>
        <v>0</v>
      </c>
      <c r="Y38" s="878">
        <f t="shared" si="544"/>
        <v>79.452054794520549</v>
      </c>
      <c r="Z38" s="878">
        <f t="shared" si="544"/>
        <v>1262.5</v>
      </c>
      <c r="AA38" s="878">
        <f t="shared" si="544"/>
        <v>0</v>
      </c>
      <c r="AB38" s="878">
        <f t="shared" si="544"/>
        <v>39.726027397260275</v>
      </c>
      <c r="AC38" s="878">
        <f t="shared" si="544"/>
        <v>1387.5</v>
      </c>
      <c r="AD38" s="878">
        <f t="shared" si="544"/>
        <v>0</v>
      </c>
      <c r="AE38" s="878">
        <f t="shared" si="544"/>
        <v>82.191780821917803</v>
      </c>
      <c r="AF38" s="878">
        <f t="shared" si="544"/>
        <v>1637.5</v>
      </c>
      <c r="AG38" s="878">
        <f t="shared" si="544"/>
        <v>0</v>
      </c>
      <c r="AH38" s="878">
        <f t="shared" si="544"/>
        <v>0</v>
      </c>
      <c r="AI38" s="878">
        <f t="shared" si="544"/>
        <v>1637.5</v>
      </c>
      <c r="AJ38" s="878">
        <f t="shared" si="544"/>
        <v>0</v>
      </c>
      <c r="AK38" s="878">
        <f t="shared" si="544"/>
        <v>119.17808219178082</v>
      </c>
      <c r="AL38" s="878">
        <f t="shared" ref="AL38:BU38" si="545">SUM(AL35:AL37)</f>
        <v>2012.5</v>
      </c>
      <c r="AM38" s="878">
        <f t="shared" si="545"/>
        <v>0</v>
      </c>
      <c r="AN38" s="878">
        <f t="shared" si="545"/>
        <v>0</v>
      </c>
      <c r="AO38" s="878">
        <f t="shared" si="545"/>
        <v>2012.5</v>
      </c>
      <c r="AP38" s="878">
        <f t="shared" si="545"/>
        <v>0</v>
      </c>
      <c r="AQ38" s="878">
        <f t="shared" si="545"/>
        <v>123.28767123287672</v>
      </c>
      <c r="AR38" s="878">
        <f t="shared" si="545"/>
        <v>2387.5</v>
      </c>
      <c r="AS38" s="878">
        <f t="shared" si="545"/>
        <v>0</v>
      </c>
      <c r="AT38" s="878">
        <f t="shared" si="545"/>
        <v>0</v>
      </c>
      <c r="AU38" s="878">
        <f t="shared" si="545"/>
        <v>2387.5</v>
      </c>
      <c r="AV38" s="878">
        <f t="shared" si="545"/>
        <v>0</v>
      </c>
      <c r="AW38" s="878">
        <f t="shared" si="545"/>
        <v>0</v>
      </c>
      <c r="AX38" s="878">
        <f t="shared" si="545"/>
        <v>2387.5</v>
      </c>
      <c r="AY38" s="878">
        <f t="shared" si="545"/>
        <v>0</v>
      </c>
      <c r="AZ38" s="878">
        <f t="shared" si="545"/>
        <v>0</v>
      </c>
      <c r="BA38" s="878">
        <f t="shared" si="545"/>
        <v>2387.5</v>
      </c>
      <c r="BB38" s="878">
        <f t="shared" si="545"/>
        <v>0</v>
      </c>
      <c r="BC38" s="878">
        <f t="shared" si="545"/>
        <v>0</v>
      </c>
      <c r="BD38" s="878">
        <f t="shared" si="545"/>
        <v>2387.5</v>
      </c>
      <c r="BE38" s="878">
        <f t="shared" si="545"/>
        <v>0</v>
      </c>
      <c r="BF38" s="878">
        <f t="shared" si="545"/>
        <v>0</v>
      </c>
      <c r="BG38" s="878">
        <f t="shared" si="545"/>
        <v>2387.5</v>
      </c>
      <c r="BH38" s="878">
        <f t="shared" si="545"/>
        <v>0</v>
      </c>
      <c r="BI38" s="878">
        <f t="shared" si="545"/>
        <v>0</v>
      </c>
      <c r="BJ38" s="878">
        <f t="shared" si="545"/>
        <v>2387.5</v>
      </c>
      <c r="BK38" s="878">
        <f t="shared" si="545"/>
        <v>0</v>
      </c>
      <c r="BL38" s="878">
        <f t="shared" si="545"/>
        <v>0</v>
      </c>
      <c r="BM38" s="878">
        <f t="shared" si="545"/>
        <v>2387.5</v>
      </c>
      <c r="BN38" s="878">
        <f t="shared" si="545"/>
        <v>0</v>
      </c>
      <c r="BO38" s="878">
        <f t="shared" si="545"/>
        <v>0</v>
      </c>
      <c r="BP38" s="878">
        <f t="shared" si="545"/>
        <v>2387.5</v>
      </c>
      <c r="BQ38" s="878">
        <f t="shared" si="545"/>
        <v>0</v>
      </c>
      <c r="BR38" s="878">
        <f t="shared" si="545"/>
        <v>0</v>
      </c>
      <c r="BS38" s="878">
        <f t="shared" si="545"/>
        <v>2387.5</v>
      </c>
      <c r="BT38" s="878">
        <f t="shared" si="545"/>
        <v>0</v>
      </c>
      <c r="BU38" s="878">
        <f t="shared" si="545"/>
        <v>0</v>
      </c>
    </row>
    <row r="39" spans="1:73" s="63" customFormat="1">
      <c r="A39" s="866"/>
      <c r="B39" s="17"/>
      <c r="C39" s="17"/>
      <c r="D39" s="17"/>
      <c r="E39" s="17"/>
      <c r="F39" s="881"/>
    </row>
    <row r="40" spans="1:73" s="18" customFormat="1">
      <c r="A40" s="866">
        <v>32</v>
      </c>
      <c r="B40" s="76"/>
      <c r="C40" s="76" t="s">
        <v>2250</v>
      </c>
      <c r="D40" s="875" t="s">
        <v>2251</v>
      </c>
      <c r="E40" s="872">
        <v>0.06</v>
      </c>
      <c r="F40" s="880">
        <v>0.12</v>
      </c>
      <c r="G40" s="878">
        <f>G35/(1+$E40)</f>
        <v>518.86792452830184</v>
      </c>
      <c r="H40" s="878">
        <f>H35/(1+$E40)</f>
        <v>129.71698113207546</v>
      </c>
      <c r="I40" s="878">
        <f t="shared" ref="I40:AK42" si="546">I35/(1+$E40)</f>
        <v>0</v>
      </c>
      <c r="J40" s="878">
        <f t="shared" si="546"/>
        <v>0</v>
      </c>
      <c r="K40" s="878">
        <f t="shared" si="546"/>
        <v>129.71698113207546</v>
      </c>
      <c r="L40" s="878">
        <f t="shared" si="546"/>
        <v>0</v>
      </c>
      <c r="M40" s="878">
        <f t="shared" si="546"/>
        <v>0</v>
      </c>
      <c r="N40" s="878">
        <f t="shared" si="546"/>
        <v>129.71698113207546</v>
      </c>
      <c r="O40" s="878">
        <f t="shared" si="546"/>
        <v>0</v>
      </c>
      <c r="P40" s="878">
        <f t="shared" si="546"/>
        <v>112.43215301111397</v>
      </c>
      <c r="Q40" s="878">
        <f t="shared" si="546"/>
        <v>483.49056603773585</v>
      </c>
      <c r="R40" s="878">
        <f t="shared" si="546"/>
        <v>0</v>
      </c>
      <c r="S40" s="878">
        <f t="shared" si="546"/>
        <v>116.30912380460067</v>
      </c>
      <c r="T40" s="878">
        <f t="shared" si="546"/>
        <v>837.2641509433962</v>
      </c>
      <c r="U40" s="878">
        <f t="shared" si="546"/>
        <v>0</v>
      </c>
      <c r="V40" s="878">
        <f t="shared" si="546"/>
        <v>38.769707934866886</v>
      </c>
      <c r="W40" s="878">
        <f t="shared" si="546"/>
        <v>955.18867924528297</v>
      </c>
      <c r="X40" s="878">
        <f t="shared" si="546"/>
        <v>0</v>
      </c>
      <c r="Y40" s="878">
        <f t="shared" si="546"/>
        <v>74.954768674075993</v>
      </c>
      <c r="Z40" s="878">
        <f t="shared" si="546"/>
        <v>1191.0377358490566</v>
      </c>
      <c r="AA40" s="878">
        <f t="shared" si="546"/>
        <v>0</v>
      </c>
      <c r="AB40" s="878">
        <f t="shared" si="546"/>
        <v>37.477384337037996</v>
      </c>
      <c r="AC40" s="878">
        <f t="shared" si="546"/>
        <v>1308.9622641509434</v>
      </c>
      <c r="AD40" s="878">
        <f t="shared" si="546"/>
        <v>0</v>
      </c>
      <c r="AE40" s="878">
        <f t="shared" si="546"/>
        <v>77.539415869733773</v>
      </c>
      <c r="AF40" s="878">
        <f t="shared" si="546"/>
        <v>1544.8113207547169</v>
      </c>
      <c r="AG40" s="878">
        <f t="shared" si="546"/>
        <v>0</v>
      </c>
      <c r="AH40" s="878">
        <f t="shared" si="546"/>
        <v>0</v>
      </c>
      <c r="AI40" s="878">
        <f t="shared" si="546"/>
        <v>1544.8113207547169</v>
      </c>
      <c r="AJ40" s="878">
        <f t="shared" si="546"/>
        <v>0</v>
      </c>
      <c r="AK40" s="878">
        <f t="shared" si="546"/>
        <v>112.43215301111397</v>
      </c>
      <c r="AL40" s="878">
        <f t="shared" ref="AL40:BU40" si="547">AL35/(1+$E40)</f>
        <v>1898.5849056603772</v>
      </c>
      <c r="AM40" s="878">
        <f t="shared" si="547"/>
        <v>0</v>
      </c>
      <c r="AN40" s="878">
        <f t="shared" si="547"/>
        <v>0</v>
      </c>
      <c r="AO40" s="878">
        <f t="shared" si="547"/>
        <v>1898.5849056603772</v>
      </c>
      <c r="AP40" s="878">
        <f t="shared" si="547"/>
        <v>0</v>
      </c>
      <c r="AQ40" s="878">
        <f t="shared" si="547"/>
        <v>116.30912380460067</v>
      </c>
      <c r="AR40" s="878">
        <f t="shared" si="547"/>
        <v>2252.3584905660377</v>
      </c>
      <c r="AS40" s="878">
        <f t="shared" si="547"/>
        <v>0</v>
      </c>
      <c r="AT40" s="878">
        <f t="shared" si="547"/>
        <v>0</v>
      </c>
      <c r="AU40" s="878">
        <f t="shared" si="547"/>
        <v>2252.3584905660377</v>
      </c>
      <c r="AV40" s="878">
        <f t="shared" si="547"/>
        <v>0</v>
      </c>
      <c r="AW40" s="878">
        <f t="shared" si="547"/>
        <v>0</v>
      </c>
      <c r="AX40" s="878">
        <f t="shared" si="547"/>
        <v>2252.3584905660377</v>
      </c>
      <c r="AY40" s="878">
        <f t="shared" si="547"/>
        <v>0</v>
      </c>
      <c r="AZ40" s="878">
        <f t="shared" si="547"/>
        <v>0</v>
      </c>
      <c r="BA40" s="878">
        <f t="shared" si="547"/>
        <v>2252.3584905660377</v>
      </c>
      <c r="BB40" s="878">
        <f t="shared" si="547"/>
        <v>0</v>
      </c>
      <c r="BC40" s="878">
        <f t="shared" si="547"/>
        <v>0</v>
      </c>
      <c r="BD40" s="878">
        <f t="shared" si="547"/>
        <v>2252.3584905660377</v>
      </c>
      <c r="BE40" s="878">
        <f t="shared" si="547"/>
        <v>0</v>
      </c>
      <c r="BF40" s="878">
        <f t="shared" si="547"/>
        <v>0</v>
      </c>
      <c r="BG40" s="878">
        <f t="shared" si="547"/>
        <v>2252.3584905660377</v>
      </c>
      <c r="BH40" s="878">
        <f t="shared" si="547"/>
        <v>0</v>
      </c>
      <c r="BI40" s="878">
        <f t="shared" si="547"/>
        <v>0</v>
      </c>
      <c r="BJ40" s="878">
        <f t="shared" si="547"/>
        <v>2252.3584905660377</v>
      </c>
      <c r="BK40" s="878">
        <f t="shared" si="547"/>
        <v>0</v>
      </c>
      <c r="BL40" s="878">
        <f t="shared" si="547"/>
        <v>0</v>
      </c>
      <c r="BM40" s="878">
        <f t="shared" si="547"/>
        <v>2252.3584905660377</v>
      </c>
      <c r="BN40" s="878">
        <f t="shared" si="547"/>
        <v>0</v>
      </c>
      <c r="BO40" s="878">
        <f t="shared" si="547"/>
        <v>0</v>
      </c>
      <c r="BP40" s="878">
        <f t="shared" si="547"/>
        <v>2252.3584905660377</v>
      </c>
      <c r="BQ40" s="878">
        <f t="shared" si="547"/>
        <v>0</v>
      </c>
      <c r="BR40" s="878">
        <f t="shared" si="547"/>
        <v>0</v>
      </c>
      <c r="BS40" s="878">
        <f t="shared" si="547"/>
        <v>2252.3584905660377</v>
      </c>
      <c r="BT40" s="878">
        <f t="shared" si="547"/>
        <v>0</v>
      </c>
      <c r="BU40" s="878">
        <f t="shared" si="547"/>
        <v>0</v>
      </c>
    </row>
    <row r="41" spans="1:73" s="18" customFormat="1">
      <c r="A41" s="866">
        <v>32</v>
      </c>
      <c r="B41" s="76"/>
      <c r="C41" s="76" t="s">
        <v>2252</v>
      </c>
      <c r="D41" s="875" t="s">
        <v>2251</v>
      </c>
      <c r="E41" s="872">
        <v>0.06</v>
      </c>
      <c r="F41" s="880">
        <v>0.01</v>
      </c>
      <c r="G41" s="878">
        <f t="shared" ref="G41:Q42" si="548">G36/(1+$E41)</f>
        <v>0</v>
      </c>
      <c r="H41" s="878">
        <f t="shared" si="548"/>
        <v>0</v>
      </c>
      <c r="I41" s="878">
        <f t="shared" si="548"/>
        <v>0</v>
      </c>
      <c r="J41" s="878">
        <f t="shared" si="548"/>
        <v>0</v>
      </c>
      <c r="K41" s="878">
        <f t="shared" si="548"/>
        <v>0</v>
      </c>
      <c r="L41" s="878">
        <f t="shared" si="548"/>
        <v>0</v>
      </c>
      <c r="M41" s="878">
        <f t="shared" si="548"/>
        <v>0</v>
      </c>
      <c r="N41" s="878">
        <f t="shared" si="548"/>
        <v>0</v>
      </c>
      <c r="O41" s="878">
        <f t="shared" si="548"/>
        <v>0</v>
      </c>
      <c r="P41" s="878">
        <f t="shared" si="548"/>
        <v>0</v>
      </c>
      <c r="Q41" s="878">
        <f t="shared" si="548"/>
        <v>0</v>
      </c>
      <c r="R41" s="878">
        <f t="shared" si="546"/>
        <v>0</v>
      </c>
      <c r="S41" s="878">
        <f t="shared" si="546"/>
        <v>0</v>
      </c>
      <c r="T41" s="878">
        <f t="shared" si="546"/>
        <v>0</v>
      </c>
      <c r="U41" s="878">
        <f t="shared" si="546"/>
        <v>0</v>
      </c>
      <c r="V41" s="878">
        <f t="shared" si="546"/>
        <v>0</v>
      </c>
      <c r="W41" s="878">
        <f t="shared" si="546"/>
        <v>0</v>
      </c>
      <c r="X41" s="878">
        <f t="shared" si="546"/>
        <v>0</v>
      </c>
      <c r="Y41" s="878">
        <f t="shared" si="546"/>
        <v>0</v>
      </c>
      <c r="Z41" s="878">
        <f t="shared" si="546"/>
        <v>0</v>
      </c>
      <c r="AA41" s="878">
        <f t="shared" si="546"/>
        <v>0</v>
      </c>
      <c r="AB41" s="878">
        <f t="shared" si="546"/>
        <v>0</v>
      </c>
      <c r="AC41" s="878">
        <f t="shared" si="546"/>
        <v>0</v>
      </c>
      <c r="AD41" s="878">
        <f t="shared" si="546"/>
        <v>0</v>
      </c>
      <c r="AE41" s="878">
        <f t="shared" si="546"/>
        <v>0</v>
      </c>
      <c r="AF41" s="878">
        <f t="shared" si="546"/>
        <v>0</v>
      </c>
      <c r="AG41" s="878">
        <f t="shared" si="546"/>
        <v>0</v>
      </c>
      <c r="AH41" s="878">
        <f t="shared" si="546"/>
        <v>0</v>
      </c>
      <c r="AI41" s="878">
        <f t="shared" si="546"/>
        <v>0</v>
      </c>
      <c r="AJ41" s="878">
        <f t="shared" si="546"/>
        <v>0</v>
      </c>
      <c r="AK41" s="878">
        <f t="shared" si="546"/>
        <v>0</v>
      </c>
      <c r="AL41" s="878">
        <f t="shared" ref="AL41:BU41" si="549">AL36/(1+$E41)</f>
        <v>0</v>
      </c>
      <c r="AM41" s="878">
        <f t="shared" si="549"/>
        <v>0</v>
      </c>
      <c r="AN41" s="878">
        <f t="shared" si="549"/>
        <v>0</v>
      </c>
      <c r="AO41" s="878">
        <f t="shared" si="549"/>
        <v>0</v>
      </c>
      <c r="AP41" s="878">
        <f t="shared" si="549"/>
        <v>0</v>
      </c>
      <c r="AQ41" s="878">
        <f t="shared" si="549"/>
        <v>0</v>
      </c>
      <c r="AR41" s="878">
        <f t="shared" si="549"/>
        <v>0</v>
      </c>
      <c r="AS41" s="878">
        <f t="shared" si="549"/>
        <v>0</v>
      </c>
      <c r="AT41" s="878">
        <f t="shared" si="549"/>
        <v>0</v>
      </c>
      <c r="AU41" s="878">
        <f t="shared" si="549"/>
        <v>0</v>
      </c>
      <c r="AV41" s="878">
        <f t="shared" si="549"/>
        <v>0</v>
      </c>
      <c r="AW41" s="878">
        <f t="shared" si="549"/>
        <v>0</v>
      </c>
      <c r="AX41" s="878">
        <f t="shared" si="549"/>
        <v>0</v>
      </c>
      <c r="AY41" s="878">
        <f t="shared" si="549"/>
        <v>0</v>
      </c>
      <c r="AZ41" s="878">
        <f t="shared" si="549"/>
        <v>0</v>
      </c>
      <c r="BA41" s="878">
        <f t="shared" si="549"/>
        <v>0</v>
      </c>
      <c r="BB41" s="878">
        <f t="shared" si="549"/>
        <v>0</v>
      </c>
      <c r="BC41" s="878">
        <f t="shared" si="549"/>
        <v>0</v>
      </c>
      <c r="BD41" s="878">
        <f t="shared" si="549"/>
        <v>0</v>
      </c>
      <c r="BE41" s="878">
        <f t="shared" si="549"/>
        <v>0</v>
      </c>
      <c r="BF41" s="878">
        <f t="shared" si="549"/>
        <v>0</v>
      </c>
      <c r="BG41" s="878">
        <f t="shared" si="549"/>
        <v>0</v>
      </c>
      <c r="BH41" s="878">
        <f t="shared" si="549"/>
        <v>0</v>
      </c>
      <c r="BI41" s="878">
        <f t="shared" si="549"/>
        <v>0</v>
      </c>
      <c r="BJ41" s="878">
        <f t="shared" si="549"/>
        <v>0</v>
      </c>
      <c r="BK41" s="878">
        <f t="shared" si="549"/>
        <v>0</v>
      </c>
      <c r="BL41" s="878">
        <f t="shared" si="549"/>
        <v>0</v>
      </c>
      <c r="BM41" s="878">
        <f t="shared" si="549"/>
        <v>0</v>
      </c>
      <c r="BN41" s="878">
        <f t="shared" si="549"/>
        <v>0</v>
      </c>
      <c r="BO41" s="878">
        <f t="shared" si="549"/>
        <v>0</v>
      </c>
      <c r="BP41" s="878">
        <f t="shared" si="549"/>
        <v>0</v>
      </c>
      <c r="BQ41" s="878">
        <f t="shared" si="549"/>
        <v>0</v>
      </c>
      <c r="BR41" s="878">
        <f t="shared" si="549"/>
        <v>0</v>
      </c>
      <c r="BS41" s="878">
        <f t="shared" si="549"/>
        <v>0</v>
      </c>
      <c r="BT41" s="878">
        <f t="shared" si="549"/>
        <v>0</v>
      </c>
      <c r="BU41" s="878">
        <f t="shared" si="549"/>
        <v>0</v>
      </c>
    </row>
    <row r="42" spans="1:73" s="18" customFormat="1">
      <c r="A42" s="866"/>
      <c r="B42" s="76"/>
      <c r="C42" s="76" t="s">
        <v>2253</v>
      </c>
      <c r="D42" s="875" t="s">
        <v>2251</v>
      </c>
      <c r="E42" s="872">
        <v>0.06</v>
      </c>
      <c r="F42" s="880">
        <v>0.02</v>
      </c>
      <c r="G42" s="878">
        <f t="shared" si="548"/>
        <v>0</v>
      </c>
      <c r="H42" s="878">
        <f t="shared" si="548"/>
        <v>0</v>
      </c>
      <c r="I42" s="878">
        <f t="shared" si="548"/>
        <v>0</v>
      </c>
      <c r="J42" s="878">
        <f t="shared" si="548"/>
        <v>0</v>
      </c>
      <c r="K42" s="878">
        <f t="shared" si="548"/>
        <v>0</v>
      </c>
      <c r="L42" s="878">
        <f t="shared" si="548"/>
        <v>0</v>
      </c>
      <c r="M42" s="878">
        <f t="shared" si="548"/>
        <v>0</v>
      </c>
      <c r="N42" s="878">
        <f t="shared" si="548"/>
        <v>0</v>
      </c>
      <c r="O42" s="878">
        <f t="shared" si="548"/>
        <v>0</v>
      </c>
      <c r="P42" s="878">
        <f t="shared" si="548"/>
        <v>0</v>
      </c>
      <c r="Q42" s="878">
        <f t="shared" si="548"/>
        <v>0</v>
      </c>
      <c r="R42" s="878">
        <f t="shared" si="546"/>
        <v>0</v>
      </c>
      <c r="S42" s="878">
        <f t="shared" si="546"/>
        <v>0</v>
      </c>
      <c r="T42" s="878">
        <f t="shared" si="546"/>
        <v>0</v>
      </c>
      <c r="U42" s="878">
        <f t="shared" si="546"/>
        <v>0</v>
      </c>
      <c r="V42" s="878">
        <f t="shared" si="546"/>
        <v>0</v>
      </c>
      <c r="W42" s="878">
        <f t="shared" si="546"/>
        <v>0</v>
      </c>
      <c r="X42" s="878">
        <f t="shared" si="546"/>
        <v>0</v>
      </c>
      <c r="Y42" s="878">
        <f t="shared" si="546"/>
        <v>0</v>
      </c>
      <c r="Z42" s="878">
        <f t="shared" si="546"/>
        <v>0</v>
      </c>
      <c r="AA42" s="878">
        <f t="shared" si="546"/>
        <v>0</v>
      </c>
      <c r="AB42" s="878">
        <f t="shared" si="546"/>
        <v>0</v>
      </c>
      <c r="AC42" s="878">
        <f t="shared" si="546"/>
        <v>0</v>
      </c>
      <c r="AD42" s="878">
        <f t="shared" si="546"/>
        <v>0</v>
      </c>
      <c r="AE42" s="878">
        <f t="shared" si="546"/>
        <v>0</v>
      </c>
      <c r="AF42" s="878">
        <f t="shared" si="546"/>
        <v>0</v>
      </c>
      <c r="AG42" s="878">
        <f t="shared" si="546"/>
        <v>0</v>
      </c>
      <c r="AH42" s="878">
        <f t="shared" si="546"/>
        <v>0</v>
      </c>
      <c r="AI42" s="878">
        <f t="shared" si="546"/>
        <v>0</v>
      </c>
      <c r="AJ42" s="878">
        <f t="shared" si="546"/>
        <v>0</v>
      </c>
      <c r="AK42" s="878">
        <f t="shared" si="546"/>
        <v>0</v>
      </c>
      <c r="AL42" s="878">
        <f t="shared" ref="AL42:BU42" si="550">AL37/(1+$E42)</f>
        <v>0</v>
      </c>
      <c r="AM42" s="878">
        <f t="shared" si="550"/>
        <v>0</v>
      </c>
      <c r="AN42" s="878">
        <f t="shared" si="550"/>
        <v>0</v>
      </c>
      <c r="AO42" s="878">
        <f t="shared" si="550"/>
        <v>0</v>
      </c>
      <c r="AP42" s="878">
        <f t="shared" si="550"/>
        <v>0</v>
      </c>
      <c r="AQ42" s="878">
        <f t="shared" si="550"/>
        <v>0</v>
      </c>
      <c r="AR42" s="878">
        <f t="shared" si="550"/>
        <v>0</v>
      </c>
      <c r="AS42" s="878">
        <f t="shared" si="550"/>
        <v>0</v>
      </c>
      <c r="AT42" s="878">
        <f t="shared" si="550"/>
        <v>0</v>
      </c>
      <c r="AU42" s="878">
        <f t="shared" si="550"/>
        <v>0</v>
      </c>
      <c r="AV42" s="878">
        <f t="shared" si="550"/>
        <v>0</v>
      </c>
      <c r="AW42" s="878">
        <f t="shared" si="550"/>
        <v>0</v>
      </c>
      <c r="AX42" s="878">
        <f t="shared" si="550"/>
        <v>0</v>
      </c>
      <c r="AY42" s="878">
        <f t="shared" si="550"/>
        <v>0</v>
      </c>
      <c r="AZ42" s="878">
        <f t="shared" si="550"/>
        <v>0</v>
      </c>
      <c r="BA42" s="878">
        <f t="shared" si="550"/>
        <v>0</v>
      </c>
      <c r="BB42" s="878">
        <f t="shared" si="550"/>
        <v>0</v>
      </c>
      <c r="BC42" s="878">
        <f t="shared" si="550"/>
        <v>0</v>
      </c>
      <c r="BD42" s="878">
        <f t="shared" si="550"/>
        <v>0</v>
      </c>
      <c r="BE42" s="878">
        <f t="shared" si="550"/>
        <v>0</v>
      </c>
      <c r="BF42" s="878">
        <f t="shared" si="550"/>
        <v>0</v>
      </c>
      <c r="BG42" s="878">
        <f t="shared" si="550"/>
        <v>0</v>
      </c>
      <c r="BH42" s="878">
        <f t="shared" si="550"/>
        <v>0</v>
      </c>
      <c r="BI42" s="878">
        <f t="shared" si="550"/>
        <v>0</v>
      </c>
      <c r="BJ42" s="878">
        <f t="shared" si="550"/>
        <v>0</v>
      </c>
      <c r="BK42" s="878">
        <f t="shared" si="550"/>
        <v>0</v>
      </c>
      <c r="BL42" s="878">
        <f t="shared" si="550"/>
        <v>0</v>
      </c>
      <c r="BM42" s="878">
        <f t="shared" si="550"/>
        <v>0</v>
      </c>
      <c r="BN42" s="878">
        <f t="shared" si="550"/>
        <v>0</v>
      </c>
      <c r="BO42" s="878">
        <f t="shared" si="550"/>
        <v>0</v>
      </c>
      <c r="BP42" s="878">
        <f t="shared" si="550"/>
        <v>0</v>
      </c>
      <c r="BQ42" s="878">
        <f t="shared" si="550"/>
        <v>0</v>
      </c>
      <c r="BR42" s="878">
        <f t="shared" si="550"/>
        <v>0</v>
      </c>
      <c r="BS42" s="878">
        <f t="shared" si="550"/>
        <v>0</v>
      </c>
      <c r="BT42" s="878">
        <f t="shared" si="550"/>
        <v>0</v>
      </c>
      <c r="BU42" s="878">
        <f t="shared" si="550"/>
        <v>0</v>
      </c>
    </row>
    <row r="43" spans="1:73" s="18" customFormat="1">
      <c r="A43" s="866">
        <v>32</v>
      </c>
      <c r="B43" s="76"/>
      <c r="C43" s="76" t="s">
        <v>2083</v>
      </c>
      <c r="D43" s="875" t="s">
        <v>2251</v>
      </c>
      <c r="E43" s="872">
        <v>0.06</v>
      </c>
      <c r="F43" s="880"/>
      <c r="G43" s="878">
        <f>SUM(G40:G42)</f>
        <v>518.86792452830184</v>
      </c>
      <c r="H43" s="878">
        <f>SUM(H40:H42)</f>
        <v>129.71698113207546</v>
      </c>
      <c r="I43" s="878">
        <f>SUM(I40:I42)</f>
        <v>0</v>
      </c>
      <c r="J43" s="878">
        <f t="shared" ref="J43:AK43" si="551">SUM(J40:J42)</f>
        <v>0</v>
      </c>
      <c r="K43" s="878">
        <f t="shared" si="551"/>
        <v>129.71698113207546</v>
      </c>
      <c r="L43" s="878">
        <f t="shared" si="551"/>
        <v>0</v>
      </c>
      <c r="M43" s="878">
        <f t="shared" si="551"/>
        <v>0</v>
      </c>
      <c r="N43" s="878">
        <f t="shared" si="551"/>
        <v>129.71698113207546</v>
      </c>
      <c r="O43" s="878">
        <f t="shared" si="551"/>
        <v>0</v>
      </c>
      <c r="P43" s="878">
        <f t="shared" si="551"/>
        <v>112.43215301111397</v>
      </c>
      <c r="Q43" s="878">
        <f t="shared" si="551"/>
        <v>483.49056603773585</v>
      </c>
      <c r="R43" s="878">
        <f t="shared" si="551"/>
        <v>0</v>
      </c>
      <c r="S43" s="878">
        <f t="shared" si="551"/>
        <v>116.30912380460067</v>
      </c>
      <c r="T43" s="878">
        <f t="shared" si="551"/>
        <v>837.2641509433962</v>
      </c>
      <c r="U43" s="878">
        <f t="shared" si="551"/>
        <v>0</v>
      </c>
      <c r="V43" s="878">
        <f t="shared" si="551"/>
        <v>38.769707934866886</v>
      </c>
      <c r="W43" s="878">
        <f t="shared" si="551"/>
        <v>955.18867924528297</v>
      </c>
      <c r="X43" s="878">
        <f t="shared" si="551"/>
        <v>0</v>
      </c>
      <c r="Y43" s="878">
        <f t="shared" si="551"/>
        <v>74.954768674075993</v>
      </c>
      <c r="Z43" s="878">
        <f t="shared" si="551"/>
        <v>1191.0377358490566</v>
      </c>
      <c r="AA43" s="878">
        <f t="shared" si="551"/>
        <v>0</v>
      </c>
      <c r="AB43" s="878">
        <f t="shared" si="551"/>
        <v>37.477384337037996</v>
      </c>
      <c r="AC43" s="878">
        <f t="shared" si="551"/>
        <v>1308.9622641509434</v>
      </c>
      <c r="AD43" s="878">
        <f t="shared" si="551"/>
        <v>0</v>
      </c>
      <c r="AE43" s="878">
        <f t="shared" si="551"/>
        <v>77.539415869733773</v>
      </c>
      <c r="AF43" s="878">
        <f t="shared" si="551"/>
        <v>1544.8113207547169</v>
      </c>
      <c r="AG43" s="878">
        <f t="shared" si="551"/>
        <v>0</v>
      </c>
      <c r="AH43" s="878">
        <f t="shared" si="551"/>
        <v>0</v>
      </c>
      <c r="AI43" s="878">
        <f t="shared" si="551"/>
        <v>1544.8113207547169</v>
      </c>
      <c r="AJ43" s="878">
        <f t="shared" si="551"/>
        <v>0</v>
      </c>
      <c r="AK43" s="878">
        <f t="shared" si="551"/>
        <v>112.43215301111397</v>
      </c>
      <c r="AL43" s="878">
        <f t="shared" ref="AL43:BU43" si="552">SUM(AL40:AL42)</f>
        <v>1898.5849056603772</v>
      </c>
      <c r="AM43" s="878">
        <f t="shared" si="552"/>
        <v>0</v>
      </c>
      <c r="AN43" s="878">
        <f t="shared" si="552"/>
        <v>0</v>
      </c>
      <c r="AO43" s="878">
        <f t="shared" si="552"/>
        <v>1898.5849056603772</v>
      </c>
      <c r="AP43" s="878">
        <f t="shared" si="552"/>
        <v>0</v>
      </c>
      <c r="AQ43" s="878">
        <f t="shared" si="552"/>
        <v>116.30912380460067</v>
      </c>
      <c r="AR43" s="878">
        <f t="shared" si="552"/>
        <v>2252.3584905660377</v>
      </c>
      <c r="AS43" s="878">
        <f t="shared" si="552"/>
        <v>0</v>
      </c>
      <c r="AT43" s="878">
        <f t="shared" si="552"/>
        <v>0</v>
      </c>
      <c r="AU43" s="878">
        <f t="shared" si="552"/>
        <v>2252.3584905660377</v>
      </c>
      <c r="AV43" s="878">
        <f t="shared" si="552"/>
        <v>0</v>
      </c>
      <c r="AW43" s="878">
        <f t="shared" si="552"/>
        <v>0</v>
      </c>
      <c r="AX43" s="878">
        <f t="shared" si="552"/>
        <v>2252.3584905660377</v>
      </c>
      <c r="AY43" s="878">
        <f t="shared" si="552"/>
        <v>0</v>
      </c>
      <c r="AZ43" s="878">
        <f t="shared" si="552"/>
        <v>0</v>
      </c>
      <c r="BA43" s="878">
        <f t="shared" si="552"/>
        <v>2252.3584905660377</v>
      </c>
      <c r="BB43" s="878">
        <f t="shared" si="552"/>
        <v>0</v>
      </c>
      <c r="BC43" s="878">
        <f t="shared" si="552"/>
        <v>0</v>
      </c>
      <c r="BD43" s="878">
        <f t="shared" si="552"/>
        <v>2252.3584905660377</v>
      </c>
      <c r="BE43" s="878">
        <f t="shared" si="552"/>
        <v>0</v>
      </c>
      <c r="BF43" s="878">
        <f t="shared" si="552"/>
        <v>0</v>
      </c>
      <c r="BG43" s="878">
        <f t="shared" si="552"/>
        <v>2252.3584905660377</v>
      </c>
      <c r="BH43" s="878">
        <f t="shared" si="552"/>
        <v>0</v>
      </c>
      <c r="BI43" s="878">
        <f t="shared" si="552"/>
        <v>0</v>
      </c>
      <c r="BJ43" s="878">
        <f t="shared" si="552"/>
        <v>2252.3584905660377</v>
      </c>
      <c r="BK43" s="878">
        <f t="shared" si="552"/>
        <v>0</v>
      </c>
      <c r="BL43" s="878">
        <f t="shared" si="552"/>
        <v>0</v>
      </c>
      <c r="BM43" s="878">
        <f t="shared" si="552"/>
        <v>2252.3584905660377</v>
      </c>
      <c r="BN43" s="878">
        <f t="shared" si="552"/>
        <v>0</v>
      </c>
      <c r="BO43" s="878">
        <f t="shared" si="552"/>
        <v>0</v>
      </c>
      <c r="BP43" s="878">
        <f t="shared" si="552"/>
        <v>2252.3584905660377</v>
      </c>
      <c r="BQ43" s="878">
        <f t="shared" si="552"/>
        <v>0</v>
      </c>
      <c r="BR43" s="878">
        <f t="shared" si="552"/>
        <v>0</v>
      </c>
      <c r="BS43" s="878">
        <f t="shared" si="552"/>
        <v>2252.3584905660377</v>
      </c>
      <c r="BT43" s="878">
        <f t="shared" si="552"/>
        <v>0</v>
      </c>
      <c r="BU43" s="878">
        <f t="shared" si="552"/>
        <v>0</v>
      </c>
    </row>
    <row r="44" spans="1:73" s="63" customFormat="1">
      <c r="A44" s="866"/>
      <c r="B44" s="17"/>
      <c r="C44" s="17"/>
      <c r="D44" s="17"/>
      <c r="E44" s="17"/>
      <c r="F44" s="881"/>
    </row>
    <row r="45" spans="1:73" s="18" customFormat="1">
      <c r="A45" s="866">
        <v>32</v>
      </c>
      <c r="B45" s="76"/>
      <c r="C45" s="76" t="s">
        <v>2254</v>
      </c>
      <c r="D45" s="875" t="s">
        <v>2255</v>
      </c>
      <c r="E45" s="882">
        <v>0.06</v>
      </c>
      <c r="F45" s="883">
        <f>汇总!$M$69</f>
        <v>3.5000000000000003E-2</v>
      </c>
      <c r="G45" s="878">
        <f>280*(DATE(2025,12,31)-DATE(2024,12,16))/365</f>
        <v>291.50684931506851</v>
      </c>
      <c r="H45" s="878">
        <f>177.33/4*H$4+H$7*$F45*100*(DATE(YEAR(H$3),INT((MONTH(H$3)-1)/3)*3+4,0)-H$3)/365</f>
        <v>91.270856164383574</v>
      </c>
      <c r="I45" s="878">
        <f>177.33/4*I$4+I$7*$F45*100*(DATE(YEAR(I$3),INT((MONTH(I$3)-1)/3)*3+4,0)-I$3)/365</f>
        <v>0</v>
      </c>
      <c r="J45" s="878">
        <f>177.33/4*J$4+J$7*$F45*100*(DATE(YEAR(J$3),INT((MONTH(J$3)-1)/3)*3+4,0)-J$3)/365</f>
        <v>0</v>
      </c>
      <c r="K45" s="878">
        <f t="shared" ref="K45:BU45" si="553">177.33/4*K$4+(K$8-$G$8)*$F45*100/4*K$4+K$7*$F45*100*(DATE(YEAR(K$3),INT((MONTH(K$3)-1)/3)*3+4,0)-K$3)/365</f>
        <v>92.45750000000001</v>
      </c>
      <c r="L45" s="878">
        <f t="shared" si="553"/>
        <v>0</v>
      </c>
      <c r="M45" s="878">
        <f t="shared" si="553"/>
        <v>0</v>
      </c>
      <c r="N45" s="878">
        <f t="shared" si="553"/>
        <v>92.45750000000001</v>
      </c>
      <c r="O45" s="878">
        <f t="shared" si="553"/>
        <v>0</v>
      </c>
      <c r="P45" s="878">
        <f t="shared" si="553"/>
        <v>41.712328767123296</v>
      </c>
      <c r="Q45" s="878">
        <f t="shared" si="553"/>
        <v>223.70750000000004</v>
      </c>
      <c r="R45" s="878">
        <f t="shared" si="553"/>
        <v>0</v>
      </c>
      <c r="S45" s="878">
        <f t="shared" si="553"/>
        <v>43.150684931506859</v>
      </c>
      <c r="T45" s="878">
        <f t="shared" si="553"/>
        <v>354.95749999999998</v>
      </c>
      <c r="U45" s="878">
        <f t="shared" si="553"/>
        <v>0</v>
      </c>
      <c r="V45" s="878">
        <f t="shared" si="553"/>
        <v>14.38356164383562</v>
      </c>
      <c r="W45" s="878">
        <f t="shared" si="553"/>
        <v>398.70749999999998</v>
      </c>
      <c r="X45" s="878">
        <f t="shared" si="553"/>
        <v>0</v>
      </c>
      <c r="Y45" s="878">
        <f t="shared" si="553"/>
        <v>27.808219178082197</v>
      </c>
      <c r="Z45" s="878">
        <f t="shared" si="553"/>
        <v>486.20749999999998</v>
      </c>
      <c r="AA45" s="878">
        <f t="shared" si="553"/>
        <v>0</v>
      </c>
      <c r="AB45" s="878">
        <f t="shared" si="553"/>
        <v>13.904109589041099</v>
      </c>
      <c r="AC45" s="878">
        <f t="shared" si="553"/>
        <v>529.95749999999998</v>
      </c>
      <c r="AD45" s="878">
        <f t="shared" si="553"/>
        <v>0</v>
      </c>
      <c r="AE45" s="878">
        <f t="shared" si="553"/>
        <v>28.767123287671239</v>
      </c>
      <c r="AF45" s="878">
        <f t="shared" si="553"/>
        <v>617.45749999999998</v>
      </c>
      <c r="AG45" s="878">
        <f t="shared" si="553"/>
        <v>0</v>
      </c>
      <c r="AH45" s="878">
        <f t="shared" si="553"/>
        <v>0</v>
      </c>
      <c r="AI45" s="878">
        <f t="shared" si="553"/>
        <v>617.45749999999998</v>
      </c>
      <c r="AJ45" s="878">
        <f t="shared" si="553"/>
        <v>0</v>
      </c>
      <c r="AK45" s="878">
        <f t="shared" si="553"/>
        <v>41.712328767123296</v>
      </c>
      <c r="AL45" s="878">
        <f t="shared" si="553"/>
        <v>748.7075000000001</v>
      </c>
      <c r="AM45" s="878">
        <f t="shared" si="553"/>
        <v>0</v>
      </c>
      <c r="AN45" s="878">
        <f t="shared" si="553"/>
        <v>0</v>
      </c>
      <c r="AO45" s="878">
        <f t="shared" si="553"/>
        <v>748.7075000000001</v>
      </c>
      <c r="AP45" s="878">
        <f t="shared" si="553"/>
        <v>0</v>
      </c>
      <c r="AQ45" s="878">
        <f t="shared" si="553"/>
        <v>43.150684931506859</v>
      </c>
      <c r="AR45" s="878">
        <f t="shared" si="553"/>
        <v>879.9575000000001</v>
      </c>
      <c r="AS45" s="878">
        <f t="shared" si="553"/>
        <v>0</v>
      </c>
      <c r="AT45" s="878">
        <f t="shared" si="553"/>
        <v>0</v>
      </c>
      <c r="AU45" s="878">
        <f t="shared" si="553"/>
        <v>879.9575000000001</v>
      </c>
      <c r="AV45" s="878">
        <f t="shared" si="553"/>
        <v>0</v>
      </c>
      <c r="AW45" s="878">
        <f t="shared" si="553"/>
        <v>0</v>
      </c>
      <c r="AX45" s="878">
        <f t="shared" si="553"/>
        <v>879.9575000000001</v>
      </c>
      <c r="AY45" s="878">
        <f t="shared" si="553"/>
        <v>0</v>
      </c>
      <c r="AZ45" s="878">
        <f t="shared" si="553"/>
        <v>0</v>
      </c>
      <c r="BA45" s="878">
        <f t="shared" si="553"/>
        <v>879.9575000000001</v>
      </c>
      <c r="BB45" s="878">
        <f t="shared" si="553"/>
        <v>0</v>
      </c>
      <c r="BC45" s="878">
        <f t="shared" si="553"/>
        <v>0</v>
      </c>
      <c r="BD45" s="878">
        <f t="shared" si="553"/>
        <v>879.9575000000001</v>
      </c>
      <c r="BE45" s="878">
        <f t="shared" si="553"/>
        <v>0</v>
      </c>
      <c r="BF45" s="878">
        <f t="shared" si="553"/>
        <v>0</v>
      </c>
      <c r="BG45" s="878">
        <f t="shared" si="553"/>
        <v>879.9575000000001</v>
      </c>
      <c r="BH45" s="878">
        <f t="shared" si="553"/>
        <v>0</v>
      </c>
      <c r="BI45" s="878">
        <f t="shared" si="553"/>
        <v>0</v>
      </c>
      <c r="BJ45" s="878">
        <f t="shared" si="553"/>
        <v>879.9575000000001</v>
      </c>
      <c r="BK45" s="878">
        <f t="shared" si="553"/>
        <v>0</v>
      </c>
      <c r="BL45" s="878">
        <f t="shared" si="553"/>
        <v>0</v>
      </c>
      <c r="BM45" s="878">
        <f t="shared" si="553"/>
        <v>879.9575000000001</v>
      </c>
      <c r="BN45" s="878">
        <f t="shared" si="553"/>
        <v>0</v>
      </c>
      <c r="BO45" s="878">
        <f t="shared" si="553"/>
        <v>0</v>
      </c>
      <c r="BP45" s="878">
        <f t="shared" si="553"/>
        <v>879.9575000000001</v>
      </c>
      <c r="BQ45" s="878">
        <f t="shared" si="553"/>
        <v>0</v>
      </c>
      <c r="BR45" s="878">
        <f t="shared" si="553"/>
        <v>0</v>
      </c>
      <c r="BS45" s="878">
        <f t="shared" si="553"/>
        <v>879.9575000000001</v>
      </c>
      <c r="BT45" s="878">
        <f t="shared" si="553"/>
        <v>0</v>
      </c>
      <c r="BU45" s="878">
        <f t="shared" si="553"/>
        <v>0</v>
      </c>
    </row>
    <row r="46" spans="1:73" s="18" customFormat="1">
      <c r="A46" s="866">
        <v>32</v>
      </c>
      <c r="B46" s="76"/>
      <c r="C46" s="76" t="s">
        <v>2256</v>
      </c>
      <c r="D46" s="76"/>
      <c r="E46" s="76"/>
      <c r="F46" s="884"/>
      <c r="G46" s="878"/>
      <c r="H46" s="878"/>
      <c r="I46" s="878"/>
      <c r="J46" s="878"/>
      <c r="K46" s="878"/>
      <c r="L46" s="878"/>
      <c r="M46" s="878"/>
      <c r="N46" s="878"/>
      <c r="O46" s="878"/>
      <c r="P46" s="878"/>
      <c r="Q46" s="878"/>
      <c r="R46" s="878"/>
      <c r="S46" s="878"/>
      <c r="T46" s="878"/>
      <c r="U46" s="878"/>
      <c r="V46" s="878"/>
      <c r="W46" s="878"/>
      <c r="X46" s="878"/>
      <c r="Y46" s="878"/>
      <c r="Z46" s="878"/>
      <c r="AA46" s="878"/>
      <c r="AB46" s="878"/>
      <c r="AC46" s="878"/>
      <c r="AD46" s="878"/>
      <c r="AE46" s="878"/>
      <c r="AF46" s="878"/>
      <c r="AG46" s="878"/>
      <c r="AH46" s="878"/>
      <c r="AI46" s="878"/>
      <c r="AJ46" s="878"/>
      <c r="AK46" s="878"/>
      <c r="AL46" s="878"/>
      <c r="AM46" s="878"/>
      <c r="AN46" s="878"/>
      <c r="AO46" s="878"/>
      <c r="AP46" s="878"/>
      <c r="AQ46" s="878"/>
      <c r="AR46" s="878"/>
      <c r="AS46" s="878"/>
      <c r="AT46" s="878"/>
      <c r="AU46" s="878"/>
      <c r="AV46" s="878"/>
      <c r="AW46" s="878"/>
      <c r="AX46" s="878"/>
      <c r="AY46" s="878"/>
      <c r="AZ46" s="878"/>
      <c r="BA46" s="878"/>
      <c r="BB46" s="878"/>
      <c r="BC46" s="878"/>
      <c r="BD46" s="878"/>
      <c r="BE46" s="878"/>
      <c r="BF46" s="878"/>
      <c r="BG46" s="878"/>
      <c r="BH46" s="878"/>
      <c r="BI46" s="878"/>
      <c r="BJ46" s="878"/>
      <c r="BK46" s="878"/>
      <c r="BL46" s="878"/>
      <c r="BM46" s="878"/>
      <c r="BN46" s="878"/>
      <c r="BO46" s="878"/>
      <c r="BP46" s="878"/>
      <c r="BQ46" s="878"/>
      <c r="BR46" s="878"/>
      <c r="BS46" s="878"/>
      <c r="BT46" s="878"/>
      <c r="BU46" s="878"/>
    </row>
    <row r="47" spans="1:73" s="18" customFormat="1">
      <c r="A47" s="866">
        <v>32</v>
      </c>
      <c r="B47" s="76"/>
      <c r="C47" s="885" t="s">
        <v>2257</v>
      </c>
      <c r="D47" s="875" t="s">
        <v>2251</v>
      </c>
      <c r="E47" s="882">
        <v>0.06</v>
      </c>
      <c r="F47" s="884">
        <v>20</v>
      </c>
      <c r="G47" s="878">
        <v>10</v>
      </c>
      <c r="H47" s="878">
        <f>$F47*G$10/4*H$4+$F47*(H$10-G$10)*(DATE(YEAR(H$3),INT((MONTH(H$3)-1)/3)*3+4,0)-H$3)/365*H$5</f>
        <v>0</v>
      </c>
      <c r="I47" s="878">
        <f t="shared" ref="I47:AK47" si="554">$F47*H$10/4*I$4+$F47*(I$10-H$10)*(DATE(YEAR(I$3),INT((MONTH(I$3)-1)/3)*3+4,0)-I$3)/365*I$5</f>
        <v>0</v>
      </c>
      <c r="J47" s="878">
        <f t="shared" si="554"/>
        <v>0</v>
      </c>
      <c r="K47" s="878">
        <f t="shared" si="554"/>
        <v>5</v>
      </c>
      <c r="L47" s="878">
        <f t="shared" si="554"/>
        <v>0</v>
      </c>
      <c r="M47" s="878">
        <f t="shared" si="554"/>
        <v>0</v>
      </c>
      <c r="N47" s="878">
        <f t="shared" si="554"/>
        <v>5</v>
      </c>
      <c r="O47" s="878">
        <f t="shared" si="554"/>
        <v>0</v>
      </c>
      <c r="P47" s="878">
        <f t="shared" si="554"/>
        <v>3.1780821917808217</v>
      </c>
      <c r="Q47" s="878">
        <f>$F47*P$10/4*Q$4+$F47*(Q$10-P$10)*(DATE(YEAR(Q$3),INT((MONTH(Q$3)-1)/3)*3+4,0)-Q$3)/365*Q$5</f>
        <v>15</v>
      </c>
      <c r="R47" s="878">
        <f t="shared" si="554"/>
        <v>0</v>
      </c>
      <c r="S47" s="878">
        <f t="shared" si="554"/>
        <v>3.2876712328767121</v>
      </c>
      <c r="T47" s="878">
        <f t="shared" si="554"/>
        <v>25</v>
      </c>
      <c r="U47" s="878">
        <f t="shared" si="554"/>
        <v>0</v>
      </c>
      <c r="V47" s="878">
        <f t="shared" si="554"/>
        <v>1.6438356164383561</v>
      </c>
      <c r="W47" s="878">
        <f t="shared" si="554"/>
        <v>30</v>
      </c>
      <c r="X47" s="878">
        <f t="shared" si="554"/>
        <v>0</v>
      </c>
      <c r="Y47" s="878">
        <f t="shared" si="554"/>
        <v>1.5890410958904109</v>
      </c>
      <c r="Z47" s="878">
        <f t="shared" si="554"/>
        <v>35</v>
      </c>
      <c r="AA47" s="878">
        <f t="shared" si="554"/>
        <v>0</v>
      </c>
      <c r="AB47" s="878">
        <f t="shared" si="554"/>
        <v>1.5890410958904109</v>
      </c>
      <c r="AC47" s="878">
        <f t="shared" si="554"/>
        <v>40</v>
      </c>
      <c r="AD47" s="878">
        <f t="shared" si="554"/>
        <v>0</v>
      </c>
      <c r="AE47" s="878">
        <f t="shared" si="554"/>
        <v>1.6438356164383561</v>
      </c>
      <c r="AF47" s="878">
        <f t="shared" si="554"/>
        <v>45</v>
      </c>
      <c r="AG47" s="878">
        <f t="shared" si="554"/>
        <v>0</v>
      </c>
      <c r="AH47" s="878">
        <f t="shared" si="554"/>
        <v>0</v>
      </c>
      <c r="AI47" s="878">
        <f t="shared" si="554"/>
        <v>45</v>
      </c>
      <c r="AJ47" s="878">
        <f t="shared" si="554"/>
        <v>0</v>
      </c>
      <c r="AK47" s="878">
        <f t="shared" si="554"/>
        <v>3.1780821917808217</v>
      </c>
      <c r="AL47" s="878">
        <f t="shared" ref="AL47" si="555">$F47*AK$10/4*AL$4+$F47*(AL$10-AK$10)*(DATE(YEAR(AL$3),INT((MONTH(AL$3)-1)/3)*3+4,0)-AL$3)/365*AL$5</f>
        <v>55</v>
      </c>
      <c r="AM47" s="878">
        <f t="shared" ref="AM47" si="556">$F47*AL$10/4*AM$4+$F47*(AM$10-AL$10)*(DATE(YEAR(AM$3),INT((MONTH(AM$3)-1)/3)*3+4,0)-AM$3)/365*AM$5</f>
        <v>0</v>
      </c>
      <c r="AN47" s="878">
        <f t="shared" ref="AN47" si="557">$F47*AM$10/4*AN$4+$F47*(AN$10-AM$10)*(DATE(YEAR(AN$3),INT((MONTH(AN$3)-1)/3)*3+4,0)-AN$3)/365*AN$5</f>
        <v>0</v>
      </c>
      <c r="AO47" s="878">
        <f t="shared" ref="AO47" si="558">$F47*AN$10/4*AO$4+$F47*(AO$10-AN$10)*(DATE(YEAR(AO$3),INT((MONTH(AO$3)-1)/3)*3+4,0)-AO$3)/365*AO$5</f>
        <v>55</v>
      </c>
      <c r="AP47" s="878">
        <f t="shared" ref="AP47" si="559">$F47*AO$10/4*AP$4+$F47*(AP$10-AO$10)*(DATE(YEAR(AP$3),INT((MONTH(AP$3)-1)/3)*3+4,0)-AP$3)/365*AP$5</f>
        <v>0</v>
      </c>
      <c r="AQ47" s="878">
        <f t="shared" ref="AQ47" si="560">$F47*AP$10/4*AQ$4+$F47*(AQ$10-AP$10)*(DATE(YEAR(AQ$3),INT((MONTH(AQ$3)-1)/3)*3+4,0)-AQ$3)/365*AQ$5</f>
        <v>3.2876712328767121</v>
      </c>
      <c r="AR47" s="878">
        <f t="shared" ref="AR47" si="561">$F47*AQ$10/4*AR$4+$F47*(AR$10-AQ$10)*(DATE(YEAR(AR$3),INT((MONTH(AR$3)-1)/3)*3+4,0)-AR$3)/365*AR$5</f>
        <v>65</v>
      </c>
      <c r="AS47" s="878">
        <f t="shared" ref="AS47" si="562">$F47*AR$10/4*AS$4+$F47*(AS$10-AR$10)*(DATE(YEAR(AS$3),INT((MONTH(AS$3)-1)/3)*3+4,0)-AS$3)/365*AS$5</f>
        <v>0</v>
      </c>
      <c r="AT47" s="878">
        <f t="shared" ref="AT47" si="563">$F47*AS$10/4*AT$4+$F47*(AT$10-AS$10)*(DATE(YEAR(AT$3),INT((MONTH(AT$3)-1)/3)*3+4,0)-AT$3)/365*AT$5</f>
        <v>0</v>
      </c>
      <c r="AU47" s="878">
        <f t="shared" ref="AU47" si="564">$F47*AT$10/4*AU$4+$F47*(AU$10-AT$10)*(DATE(YEAR(AU$3),INT((MONTH(AU$3)-1)/3)*3+4,0)-AU$3)/365*AU$5</f>
        <v>65</v>
      </c>
      <c r="AV47" s="878">
        <f t="shared" ref="AV47" si="565">$F47*AU$10/4*AV$4+$F47*(AV$10-AU$10)*(DATE(YEAR(AV$3),INT((MONTH(AV$3)-1)/3)*3+4,0)-AV$3)/365*AV$5</f>
        <v>0</v>
      </c>
      <c r="AW47" s="878">
        <f t="shared" ref="AW47" si="566">$F47*AV$10/4*AW$4+$F47*(AW$10-AV$10)*(DATE(YEAR(AW$3),INT((MONTH(AW$3)-1)/3)*3+4,0)-AW$3)/365*AW$5</f>
        <v>0</v>
      </c>
      <c r="AX47" s="878">
        <f t="shared" ref="AX47" si="567">$F47*AW$10/4*AX$4+$F47*(AX$10-AW$10)*(DATE(YEAR(AX$3),INT((MONTH(AX$3)-1)/3)*3+4,0)-AX$3)/365*AX$5</f>
        <v>65</v>
      </c>
      <c r="AY47" s="878">
        <f t="shared" ref="AY47" si="568">$F47*AX$10/4*AY$4+$F47*(AY$10-AX$10)*(DATE(YEAR(AY$3),INT((MONTH(AY$3)-1)/3)*3+4,0)-AY$3)/365*AY$5</f>
        <v>0</v>
      </c>
      <c r="AZ47" s="878">
        <f t="shared" ref="AZ47" si="569">$F47*AY$10/4*AZ$4+$F47*(AZ$10-AY$10)*(DATE(YEAR(AZ$3),INT((MONTH(AZ$3)-1)/3)*3+4,0)-AZ$3)/365*AZ$5</f>
        <v>0</v>
      </c>
      <c r="BA47" s="878">
        <f t="shared" ref="BA47" si="570">$F47*AZ$10/4*BA$4+$F47*(BA$10-AZ$10)*(DATE(YEAR(BA$3),INT((MONTH(BA$3)-1)/3)*3+4,0)-BA$3)/365*BA$5</f>
        <v>65</v>
      </c>
      <c r="BB47" s="878">
        <f t="shared" ref="BB47" si="571">$F47*BA$10/4*BB$4+$F47*(BB$10-BA$10)*(DATE(YEAR(BB$3),INT((MONTH(BB$3)-1)/3)*3+4,0)-BB$3)/365*BB$5</f>
        <v>0</v>
      </c>
      <c r="BC47" s="878">
        <f t="shared" ref="BC47" si="572">$F47*BB$10/4*BC$4+$F47*(BC$10-BB$10)*(DATE(YEAR(BC$3),INT((MONTH(BC$3)-1)/3)*3+4,0)-BC$3)/365*BC$5</f>
        <v>0</v>
      </c>
      <c r="BD47" s="878">
        <f t="shared" ref="BD47" si="573">$F47*BC$10/4*BD$4+$F47*(BD$10-BC$10)*(DATE(YEAR(BD$3),INT((MONTH(BD$3)-1)/3)*3+4,0)-BD$3)/365*BD$5</f>
        <v>65</v>
      </c>
      <c r="BE47" s="878">
        <f t="shared" ref="BE47" si="574">$F47*BD$10/4*BE$4+$F47*(BE$10-BD$10)*(DATE(YEAR(BE$3),INT((MONTH(BE$3)-1)/3)*3+4,0)-BE$3)/365*BE$5</f>
        <v>0</v>
      </c>
      <c r="BF47" s="878">
        <f t="shared" ref="BF47" si="575">$F47*BE$10/4*BF$4+$F47*(BF$10-BE$10)*(DATE(YEAR(BF$3),INT((MONTH(BF$3)-1)/3)*3+4,0)-BF$3)/365*BF$5</f>
        <v>0</v>
      </c>
      <c r="BG47" s="878">
        <f t="shared" ref="BG47" si="576">$F47*BF$10/4*BG$4+$F47*(BG$10-BF$10)*(DATE(YEAR(BG$3),INT((MONTH(BG$3)-1)/3)*3+4,0)-BG$3)/365*BG$5</f>
        <v>65</v>
      </c>
      <c r="BH47" s="878">
        <f t="shared" ref="BH47" si="577">$F47*BG$10/4*BH$4+$F47*(BH$10-BG$10)*(DATE(YEAR(BH$3),INT((MONTH(BH$3)-1)/3)*3+4,0)-BH$3)/365*BH$5</f>
        <v>0</v>
      </c>
      <c r="BI47" s="878">
        <f t="shared" ref="BI47" si="578">$F47*BH$10/4*BI$4+$F47*(BI$10-BH$10)*(DATE(YEAR(BI$3),INT((MONTH(BI$3)-1)/3)*3+4,0)-BI$3)/365*BI$5</f>
        <v>0</v>
      </c>
      <c r="BJ47" s="878">
        <f t="shared" ref="BJ47" si="579">$F47*BI$10/4*BJ$4+$F47*(BJ$10-BI$10)*(DATE(YEAR(BJ$3),INT((MONTH(BJ$3)-1)/3)*3+4,0)-BJ$3)/365*BJ$5</f>
        <v>65</v>
      </c>
      <c r="BK47" s="878">
        <f t="shared" ref="BK47" si="580">$F47*BJ$10/4*BK$4+$F47*(BK$10-BJ$10)*(DATE(YEAR(BK$3),INT((MONTH(BK$3)-1)/3)*3+4,0)-BK$3)/365*BK$5</f>
        <v>0</v>
      </c>
      <c r="BL47" s="878">
        <f t="shared" ref="BL47" si="581">$F47*BK$10/4*BL$4+$F47*(BL$10-BK$10)*(DATE(YEAR(BL$3),INT((MONTH(BL$3)-1)/3)*3+4,0)-BL$3)/365*BL$5</f>
        <v>0</v>
      </c>
      <c r="BM47" s="878">
        <f t="shared" ref="BM47" si="582">$F47*BL$10/4*BM$4+$F47*(BM$10-BL$10)*(DATE(YEAR(BM$3),INT((MONTH(BM$3)-1)/3)*3+4,0)-BM$3)/365*BM$5</f>
        <v>65</v>
      </c>
      <c r="BN47" s="878">
        <f t="shared" ref="BN47" si="583">$F47*BM$10/4*BN$4+$F47*(BN$10-BM$10)*(DATE(YEAR(BN$3),INT((MONTH(BN$3)-1)/3)*3+4,0)-BN$3)/365*BN$5</f>
        <v>0</v>
      </c>
      <c r="BO47" s="878">
        <f t="shared" ref="BO47" si="584">$F47*BN$10/4*BO$4+$F47*(BO$10-BN$10)*(DATE(YEAR(BO$3),INT((MONTH(BO$3)-1)/3)*3+4,0)-BO$3)/365*BO$5</f>
        <v>0</v>
      </c>
      <c r="BP47" s="878">
        <f t="shared" ref="BP47" si="585">$F47*BO$10/4*BP$4+$F47*(BP$10-BO$10)*(DATE(YEAR(BP$3),INT((MONTH(BP$3)-1)/3)*3+4,0)-BP$3)/365*BP$5</f>
        <v>65</v>
      </c>
      <c r="BQ47" s="878">
        <f t="shared" ref="BQ47" si="586">$F47*BP$10/4*BQ$4+$F47*(BQ$10-BP$10)*(DATE(YEAR(BQ$3),INT((MONTH(BQ$3)-1)/3)*3+4,0)-BQ$3)/365*BQ$5</f>
        <v>0</v>
      </c>
      <c r="BR47" s="878">
        <f t="shared" ref="BR47" si="587">$F47*BQ$10/4*BR$4+$F47*(BR$10-BQ$10)*(DATE(YEAR(BR$3),INT((MONTH(BR$3)-1)/3)*3+4,0)-BR$3)/365*BR$5</f>
        <v>0</v>
      </c>
      <c r="BS47" s="878">
        <f t="shared" ref="BS47" si="588">$F47*BR$10/4*BS$4+$F47*(BS$10-BR$10)*(DATE(YEAR(BS$3),INT((MONTH(BS$3)-1)/3)*3+4,0)-BS$3)/365*BS$5</f>
        <v>65</v>
      </c>
      <c r="BT47" s="878">
        <f t="shared" ref="BT47" si="589">$F47*BS$10/4*BT$4+$F47*(BT$10-BS$10)*(DATE(YEAR(BT$3),INT((MONTH(BT$3)-1)/3)*3+4,0)-BT$3)/365*BT$5</f>
        <v>0</v>
      </c>
      <c r="BU47" s="878">
        <f t="shared" ref="BU47" si="590">$F47*BT$10/4*BU$4+$F47*(BU$10-BT$10)*(DATE(YEAR(BU$3),INT((MONTH(BU$3)-1)/3)*3+4,0)-BU$3)/365*BU$5</f>
        <v>0</v>
      </c>
    </row>
    <row r="48" spans="1:73" s="18" customFormat="1">
      <c r="A48" s="866"/>
      <c r="B48" s="76"/>
      <c r="C48" s="885" t="s">
        <v>2258</v>
      </c>
      <c r="D48" s="875" t="s">
        <v>2251</v>
      </c>
      <c r="E48" s="882">
        <v>0.06</v>
      </c>
      <c r="F48" s="884">
        <v>25</v>
      </c>
      <c r="G48" s="878">
        <v>0</v>
      </c>
      <c r="H48" s="878">
        <f t="shared" ref="H48:BS48" si="591">$F$48/4*H$4</f>
        <v>6.25</v>
      </c>
      <c r="I48" s="878">
        <f t="shared" si="591"/>
        <v>0</v>
      </c>
      <c r="J48" s="878">
        <f t="shared" si="591"/>
        <v>0</v>
      </c>
      <c r="K48" s="878">
        <f t="shared" si="591"/>
        <v>6.25</v>
      </c>
      <c r="L48" s="878">
        <f t="shared" si="591"/>
        <v>0</v>
      </c>
      <c r="M48" s="878">
        <f t="shared" si="591"/>
        <v>0</v>
      </c>
      <c r="N48" s="878">
        <f t="shared" si="591"/>
        <v>6.25</v>
      </c>
      <c r="O48" s="878">
        <f t="shared" si="591"/>
        <v>0</v>
      </c>
      <c r="P48" s="878">
        <f t="shared" si="591"/>
        <v>0</v>
      </c>
      <c r="Q48" s="878">
        <f t="shared" si="591"/>
        <v>6.25</v>
      </c>
      <c r="R48" s="878">
        <f t="shared" si="591"/>
        <v>0</v>
      </c>
      <c r="S48" s="878">
        <f t="shared" si="591"/>
        <v>0</v>
      </c>
      <c r="T48" s="878">
        <f t="shared" si="591"/>
        <v>6.25</v>
      </c>
      <c r="U48" s="878">
        <f t="shared" si="591"/>
        <v>0</v>
      </c>
      <c r="V48" s="878">
        <f t="shared" si="591"/>
        <v>0</v>
      </c>
      <c r="W48" s="878">
        <f t="shared" si="591"/>
        <v>6.25</v>
      </c>
      <c r="X48" s="878">
        <f t="shared" si="591"/>
        <v>0</v>
      </c>
      <c r="Y48" s="878">
        <f t="shared" si="591"/>
        <v>0</v>
      </c>
      <c r="Z48" s="878">
        <f t="shared" si="591"/>
        <v>6.25</v>
      </c>
      <c r="AA48" s="878">
        <f t="shared" si="591"/>
        <v>0</v>
      </c>
      <c r="AB48" s="878">
        <f t="shared" si="591"/>
        <v>0</v>
      </c>
      <c r="AC48" s="878">
        <f t="shared" si="591"/>
        <v>6.25</v>
      </c>
      <c r="AD48" s="878">
        <f t="shared" si="591"/>
        <v>0</v>
      </c>
      <c r="AE48" s="878">
        <f t="shared" si="591"/>
        <v>0</v>
      </c>
      <c r="AF48" s="878">
        <f t="shared" si="591"/>
        <v>6.25</v>
      </c>
      <c r="AG48" s="878">
        <f t="shared" si="591"/>
        <v>0</v>
      </c>
      <c r="AH48" s="878">
        <f t="shared" si="591"/>
        <v>0</v>
      </c>
      <c r="AI48" s="878">
        <f t="shared" si="591"/>
        <v>6.25</v>
      </c>
      <c r="AJ48" s="878">
        <f t="shared" si="591"/>
        <v>0</v>
      </c>
      <c r="AK48" s="878">
        <f t="shared" si="591"/>
        <v>0</v>
      </c>
      <c r="AL48" s="878">
        <f t="shared" si="591"/>
        <v>6.25</v>
      </c>
      <c r="AM48" s="878">
        <f t="shared" si="591"/>
        <v>0</v>
      </c>
      <c r="AN48" s="878">
        <f t="shared" si="591"/>
        <v>0</v>
      </c>
      <c r="AO48" s="878">
        <f t="shared" si="591"/>
        <v>6.25</v>
      </c>
      <c r="AP48" s="878">
        <f t="shared" si="591"/>
        <v>0</v>
      </c>
      <c r="AQ48" s="878">
        <f t="shared" si="591"/>
        <v>0</v>
      </c>
      <c r="AR48" s="878">
        <f t="shared" si="591"/>
        <v>6.25</v>
      </c>
      <c r="AS48" s="878">
        <f t="shared" si="591"/>
        <v>0</v>
      </c>
      <c r="AT48" s="878">
        <f t="shared" si="591"/>
        <v>0</v>
      </c>
      <c r="AU48" s="878">
        <f t="shared" si="591"/>
        <v>6.25</v>
      </c>
      <c r="AV48" s="878">
        <f t="shared" si="591"/>
        <v>0</v>
      </c>
      <c r="AW48" s="878">
        <f t="shared" si="591"/>
        <v>0</v>
      </c>
      <c r="AX48" s="878">
        <f t="shared" si="591"/>
        <v>6.25</v>
      </c>
      <c r="AY48" s="878">
        <f t="shared" si="591"/>
        <v>0</v>
      </c>
      <c r="AZ48" s="878">
        <f t="shared" si="591"/>
        <v>0</v>
      </c>
      <c r="BA48" s="878">
        <f t="shared" si="591"/>
        <v>6.25</v>
      </c>
      <c r="BB48" s="878">
        <f t="shared" si="591"/>
        <v>0</v>
      </c>
      <c r="BC48" s="878">
        <f t="shared" si="591"/>
        <v>0</v>
      </c>
      <c r="BD48" s="878">
        <f t="shared" si="591"/>
        <v>6.25</v>
      </c>
      <c r="BE48" s="878">
        <f t="shared" si="591"/>
        <v>0</v>
      </c>
      <c r="BF48" s="878">
        <f t="shared" si="591"/>
        <v>0</v>
      </c>
      <c r="BG48" s="878">
        <f t="shared" si="591"/>
        <v>6.25</v>
      </c>
      <c r="BH48" s="878">
        <f t="shared" si="591"/>
        <v>0</v>
      </c>
      <c r="BI48" s="878">
        <f t="shared" si="591"/>
        <v>0</v>
      </c>
      <c r="BJ48" s="878">
        <f t="shared" si="591"/>
        <v>6.25</v>
      </c>
      <c r="BK48" s="878">
        <f t="shared" si="591"/>
        <v>0</v>
      </c>
      <c r="BL48" s="878">
        <f t="shared" si="591"/>
        <v>0</v>
      </c>
      <c r="BM48" s="878">
        <f t="shared" si="591"/>
        <v>6.25</v>
      </c>
      <c r="BN48" s="878">
        <f t="shared" si="591"/>
        <v>0</v>
      </c>
      <c r="BO48" s="878">
        <f t="shared" si="591"/>
        <v>0</v>
      </c>
      <c r="BP48" s="878">
        <f t="shared" si="591"/>
        <v>6.25</v>
      </c>
      <c r="BQ48" s="878">
        <f t="shared" si="591"/>
        <v>0</v>
      </c>
      <c r="BR48" s="878">
        <f t="shared" si="591"/>
        <v>0</v>
      </c>
      <c r="BS48" s="878">
        <f t="shared" si="591"/>
        <v>6.25</v>
      </c>
      <c r="BT48" s="878">
        <f t="shared" ref="BT48:BU48" si="592">$F$48/4*BT$4</f>
        <v>0</v>
      </c>
      <c r="BU48" s="878">
        <f t="shared" si="592"/>
        <v>0</v>
      </c>
    </row>
    <row r="49" spans="1:73" s="18" customFormat="1">
      <c r="A49" s="866"/>
      <c r="B49" s="76"/>
      <c r="C49" s="885" t="s">
        <v>2259</v>
      </c>
      <c r="D49" s="875" t="s">
        <v>2251</v>
      </c>
      <c r="E49" s="882">
        <v>0.06</v>
      </c>
      <c r="F49" s="884">
        <v>10</v>
      </c>
      <c r="G49" s="878">
        <v>0</v>
      </c>
      <c r="H49" s="878">
        <f t="shared" ref="H49:W50" si="593">$F49*H$10/4*H$4</f>
        <v>2.5</v>
      </c>
      <c r="I49" s="878">
        <f t="shared" si="593"/>
        <v>0</v>
      </c>
      <c r="J49" s="878">
        <f t="shared" si="593"/>
        <v>0</v>
      </c>
      <c r="K49" s="878">
        <f t="shared" si="593"/>
        <v>2.5</v>
      </c>
      <c r="L49" s="878">
        <f t="shared" si="593"/>
        <v>0</v>
      </c>
      <c r="M49" s="878">
        <f t="shared" si="593"/>
        <v>0</v>
      </c>
      <c r="N49" s="878">
        <f t="shared" si="593"/>
        <v>2.5</v>
      </c>
      <c r="O49" s="878">
        <f t="shared" si="593"/>
        <v>0</v>
      </c>
      <c r="P49" s="878">
        <f t="shared" si="593"/>
        <v>0</v>
      </c>
      <c r="Q49" s="878">
        <f t="shared" si="593"/>
        <v>7.5</v>
      </c>
      <c r="R49" s="878">
        <f t="shared" si="593"/>
        <v>0</v>
      </c>
      <c r="S49" s="878">
        <f t="shared" si="593"/>
        <v>0</v>
      </c>
      <c r="T49" s="878">
        <f t="shared" si="593"/>
        <v>12.5</v>
      </c>
      <c r="U49" s="878">
        <f t="shared" si="593"/>
        <v>0</v>
      </c>
      <c r="V49" s="878">
        <f t="shared" si="593"/>
        <v>0</v>
      </c>
      <c r="W49" s="878">
        <f t="shared" si="593"/>
        <v>15</v>
      </c>
      <c r="X49" s="878">
        <f t="shared" ref="X49:AM50" si="594">$F49*X$10/4*X$4</f>
        <v>0</v>
      </c>
      <c r="Y49" s="878">
        <f t="shared" si="594"/>
        <v>0</v>
      </c>
      <c r="Z49" s="878">
        <f t="shared" si="594"/>
        <v>17.5</v>
      </c>
      <c r="AA49" s="878">
        <f t="shared" si="594"/>
        <v>0</v>
      </c>
      <c r="AB49" s="878">
        <f t="shared" si="594"/>
        <v>0</v>
      </c>
      <c r="AC49" s="878">
        <f t="shared" si="594"/>
        <v>20</v>
      </c>
      <c r="AD49" s="878">
        <f t="shared" si="594"/>
        <v>0</v>
      </c>
      <c r="AE49" s="878">
        <f t="shared" si="594"/>
        <v>0</v>
      </c>
      <c r="AF49" s="878">
        <f t="shared" si="594"/>
        <v>22.5</v>
      </c>
      <c r="AG49" s="878">
        <f t="shared" si="594"/>
        <v>0</v>
      </c>
      <c r="AH49" s="878">
        <f t="shared" si="594"/>
        <v>0</v>
      </c>
      <c r="AI49" s="878">
        <f t="shared" si="594"/>
        <v>22.5</v>
      </c>
      <c r="AJ49" s="878">
        <f t="shared" si="594"/>
        <v>0</v>
      </c>
      <c r="AK49" s="878">
        <f t="shared" si="594"/>
        <v>0</v>
      </c>
      <c r="AL49" s="878">
        <f t="shared" si="594"/>
        <v>27.5</v>
      </c>
      <c r="AM49" s="878">
        <f t="shared" si="594"/>
        <v>0</v>
      </c>
      <c r="AN49" s="878">
        <f t="shared" ref="AL49:BA50" si="595">$F49*AN$10/4*AN$4</f>
        <v>0</v>
      </c>
      <c r="AO49" s="878">
        <f t="shared" si="595"/>
        <v>27.5</v>
      </c>
      <c r="AP49" s="878">
        <f t="shared" si="595"/>
        <v>0</v>
      </c>
      <c r="AQ49" s="878">
        <f t="shared" si="595"/>
        <v>0</v>
      </c>
      <c r="AR49" s="878">
        <f t="shared" si="595"/>
        <v>32.5</v>
      </c>
      <c r="AS49" s="878">
        <f t="shared" si="595"/>
        <v>0</v>
      </c>
      <c r="AT49" s="878">
        <f t="shared" si="595"/>
        <v>0</v>
      </c>
      <c r="AU49" s="878">
        <f t="shared" si="595"/>
        <v>32.5</v>
      </c>
      <c r="AV49" s="878">
        <f t="shared" si="595"/>
        <v>0</v>
      </c>
      <c r="AW49" s="878">
        <f t="shared" si="595"/>
        <v>0</v>
      </c>
      <c r="AX49" s="878">
        <f t="shared" si="595"/>
        <v>32.5</v>
      </c>
      <c r="AY49" s="878">
        <f t="shared" si="595"/>
        <v>0</v>
      </c>
      <c r="AZ49" s="878">
        <f t="shared" si="595"/>
        <v>0</v>
      </c>
      <c r="BA49" s="878">
        <f t="shared" si="595"/>
        <v>32.5</v>
      </c>
      <c r="BB49" s="878">
        <f t="shared" ref="AX49:BM50" si="596">$F49*BB$10/4*BB$4</f>
        <v>0</v>
      </c>
      <c r="BC49" s="878">
        <f t="shared" si="596"/>
        <v>0</v>
      </c>
      <c r="BD49" s="878">
        <f t="shared" si="596"/>
        <v>32.5</v>
      </c>
      <c r="BE49" s="878">
        <f t="shared" si="596"/>
        <v>0</v>
      </c>
      <c r="BF49" s="878">
        <f t="shared" si="596"/>
        <v>0</v>
      </c>
      <c r="BG49" s="878">
        <f t="shared" si="596"/>
        <v>32.5</v>
      </c>
      <c r="BH49" s="878">
        <f t="shared" si="596"/>
        <v>0</v>
      </c>
      <c r="BI49" s="878">
        <f t="shared" si="596"/>
        <v>0</v>
      </c>
      <c r="BJ49" s="878">
        <f t="shared" si="596"/>
        <v>32.5</v>
      </c>
      <c r="BK49" s="878">
        <f t="shared" si="596"/>
        <v>0</v>
      </c>
      <c r="BL49" s="878">
        <f t="shared" si="596"/>
        <v>0</v>
      </c>
      <c r="BM49" s="878">
        <f t="shared" si="596"/>
        <v>32.5</v>
      </c>
      <c r="BN49" s="878">
        <f t="shared" ref="BJ49:BU50" si="597">$F49*BN$10/4*BN$4</f>
        <v>0</v>
      </c>
      <c r="BO49" s="878">
        <f t="shared" si="597"/>
        <v>0</v>
      </c>
      <c r="BP49" s="878">
        <f t="shared" si="597"/>
        <v>32.5</v>
      </c>
      <c r="BQ49" s="878">
        <f t="shared" si="597"/>
        <v>0</v>
      </c>
      <c r="BR49" s="878">
        <f t="shared" si="597"/>
        <v>0</v>
      </c>
      <c r="BS49" s="878">
        <f t="shared" si="597"/>
        <v>32.5</v>
      </c>
      <c r="BT49" s="878">
        <f t="shared" si="597"/>
        <v>0</v>
      </c>
      <c r="BU49" s="878">
        <f t="shared" si="597"/>
        <v>0</v>
      </c>
    </row>
    <row r="50" spans="1:73" s="18" customFormat="1">
      <c r="A50" s="866"/>
      <c r="B50" s="76"/>
      <c r="C50" s="885" t="s">
        <v>2260</v>
      </c>
      <c r="D50" s="875" t="s">
        <v>2251</v>
      </c>
      <c r="E50" s="882">
        <v>0.06</v>
      </c>
      <c r="F50" s="884">
        <v>0</v>
      </c>
      <c r="G50" s="878">
        <v>0</v>
      </c>
      <c r="H50" s="878">
        <f t="shared" si="593"/>
        <v>0</v>
      </c>
      <c r="I50" s="878">
        <f t="shared" si="593"/>
        <v>0</v>
      </c>
      <c r="J50" s="878">
        <f t="shared" si="593"/>
        <v>0</v>
      </c>
      <c r="K50" s="878">
        <f t="shared" si="593"/>
        <v>0</v>
      </c>
      <c r="L50" s="878">
        <f t="shared" si="593"/>
        <v>0</v>
      </c>
      <c r="M50" s="878">
        <f t="shared" si="593"/>
        <v>0</v>
      </c>
      <c r="N50" s="878">
        <f t="shared" si="593"/>
        <v>0</v>
      </c>
      <c r="O50" s="878">
        <f t="shared" si="593"/>
        <v>0</v>
      </c>
      <c r="P50" s="878">
        <f t="shared" si="593"/>
        <v>0</v>
      </c>
      <c r="Q50" s="878">
        <f t="shared" si="593"/>
        <v>0</v>
      </c>
      <c r="R50" s="878">
        <f t="shared" si="593"/>
        <v>0</v>
      </c>
      <c r="S50" s="878">
        <f t="shared" si="593"/>
        <v>0</v>
      </c>
      <c r="T50" s="878">
        <f t="shared" si="593"/>
        <v>0</v>
      </c>
      <c r="U50" s="878">
        <f t="shared" si="593"/>
        <v>0</v>
      </c>
      <c r="V50" s="878">
        <f t="shared" si="593"/>
        <v>0</v>
      </c>
      <c r="W50" s="878">
        <f t="shared" si="593"/>
        <v>0</v>
      </c>
      <c r="X50" s="878">
        <f t="shared" si="594"/>
        <v>0</v>
      </c>
      <c r="Y50" s="878">
        <f t="shared" si="594"/>
        <v>0</v>
      </c>
      <c r="Z50" s="878">
        <f t="shared" si="594"/>
        <v>0</v>
      </c>
      <c r="AA50" s="878">
        <f t="shared" si="594"/>
        <v>0</v>
      </c>
      <c r="AB50" s="878">
        <f t="shared" si="594"/>
        <v>0</v>
      </c>
      <c r="AC50" s="878">
        <f t="shared" si="594"/>
        <v>0</v>
      </c>
      <c r="AD50" s="878">
        <f t="shared" si="594"/>
        <v>0</v>
      </c>
      <c r="AE50" s="878">
        <f t="shared" si="594"/>
        <v>0</v>
      </c>
      <c r="AF50" s="878">
        <f t="shared" si="594"/>
        <v>0</v>
      </c>
      <c r="AG50" s="878">
        <f t="shared" si="594"/>
        <v>0</v>
      </c>
      <c r="AH50" s="878">
        <f t="shared" si="594"/>
        <v>0</v>
      </c>
      <c r="AI50" s="878">
        <f t="shared" si="594"/>
        <v>0</v>
      </c>
      <c r="AJ50" s="878">
        <f t="shared" si="594"/>
        <v>0</v>
      </c>
      <c r="AK50" s="878">
        <f t="shared" si="594"/>
        <v>0</v>
      </c>
      <c r="AL50" s="878">
        <f t="shared" si="595"/>
        <v>0</v>
      </c>
      <c r="AM50" s="878">
        <f t="shared" si="595"/>
        <v>0</v>
      </c>
      <c r="AN50" s="878">
        <f t="shared" si="595"/>
        <v>0</v>
      </c>
      <c r="AO50" s="878">
        <f t="shared" si="595"/>
        <v>0</v>
      </c>
      <c r="AP50" s="878">
        <f t="shared" si="595"/>
        <v>0</v>
      </c>
      <c r="AQ50" s="878">
        <f t="shared" si="595"/>
        <v>0</v>
      </c>
      <c r="AR50" s="878">
        <f t="shared" si="595"/>
        <v>0</v>
      </c>
      <c r="AS50" s="878">
        <f t="shared" si="595"/>
        <v>0</v>
      </c>
      <c r="AT50" s="878">
        <f t="shared" si="595"/>
        <v>0</v>
      </c>
      <c r="AU50" s="878">
        <f t="shared" si="595"/>
        <v>0</v>
      </c>
      <c r="AV50" s="878">
        <f t="shared" si="595"/>
        <v>0</v>
      </c>
      <c r="AW50" s="878">
        <f t="shared" si="595"/>
        <v>0</v>
      </c>
      <c r="AX50" s="878">
        <f t="shared" si="596"/>
        <v>0</v>
      </c>
      <c r="AY50" s="878">
        <f t="shared" si="596"/>
        <v>0</v>
      </c>
      <c r="AZ50" s="878">
        <f t="shared" si="596"/>
        <v>0</v>
      </c>
      <c r="BA50" s="878">
        <f t="shared" si="596"/>
        <v>0</v>
      </c>
      <c r="BB50" s="878">
        <f t="shared" si="596"/>
        <v>0</v>
      </c>
      <c r="BC50" s="878">
        <f t="shared" si="596"/>
        <v>0</v>
      </c>
      <c r="BD50" s="878">
        <f t="shared" si="596"/>
        <v>0</v>
      </c>
      <c r="BE50" s="878">
        <f t="shared" si="596"/>
        <v>0</v>
      </c>
      <c r="BF50" s="878">
        <f t="shared" si="596"/>
        <v>0</v>
      </c>
      <c r="BG50" s="878">
        <f t="shared" si="596"/>
        <v>0</v>
      </c>
      <c r="BH50" s="878">
        <f t="shared" si="596"/>
        <v>0</v>
      </c>
      <c r="BI50" s="878">
        <f t="shared" si="596"/>
        <v>0</v>
      </c>
      <c r="BJ50" s="878">
        <f t="shared" si="597"/>
        <v>0</v>
      </c>
      <c r="BK50" s="878">
        <f t="shared" si="597"/>
        <v>0</v>
      </c>
      <c r="BL50" s="878">
        <f t="shared" si="597"/>
        <v>0</v>
      </c>
      <c r="BM50" s="878">
        <f t="shared" si="597"/>
        <v>0</v>
      </c>
      <c r="BN50" s="878">
        <f t="shared" si="597"/>
        <v>0</v>
      </c>
      <c r="BO50" s="878">
        <f t="shared" si="597"/>
        <v>0</v>
      </c>
      <c r="BP50" s="878">
        <f t="shared" si="597"/>
        <v>0</v>
      </c>
      <c r="BQ50" s="878">
        <f t="shared" si="597"/>
        <v>0</v>
      </c>
      <c r="BR50" s="878">
        <f t="shared" si="597"/>
        <v>0</v>
      </c>
      <c r="BS50" s="878">
        <f t="shared" si="597"/>
        <v>0</v>
      </c>
      <c r="BT50" s="878">
        <f t="shared" si="597"/>
        <v>0</v>
      </c>
      <c r="BU50" s="878">
        <f t="shared" si="597"/>
        <v>0</v>
      </c>
    </row>
    <row r="51" spans="1:73" s="18" customFormat="1">
      <c r="A51" s="866">
        <v>32</v>
      </c>
      <c r="B51" s="76"/>
      <c r="C51" s="76" t="s">
        <v>2261</v>
      </c>
      <c r="D51" s="875" t="s">
        <v>2251</v>
      </c>
      <c r="E51" s="882">
        <v>0</v>
      </c>
      <c r="F51" s="884">
        <f>0.75*12</f>
        <v>9</v>
      </c>
      <c r="G51" s="878">
        <f>F51</f>
        <v>9</v>
      </c>
      <c r="H51" s="878">
        <f t="shared" ref="H51:BS51" si="598">$F$51/12*H$11</f>
        <v>0.75</v>
      </c>
      <c r="I51" s="878">
        <f t="shared" si="598"/>
        <v>0.75</v>
      </c>
      <c r="J51" s="878">
        <f t="shared" si="598"/>
        <v>0.75</v>
      </c>
      <c r="K51" s="878">
        <f t="shared" si="598"/>
        <v>0.75</v>
      </c>
      <c r="L51" s="878">
        <f t="shared" si="598"/>
        <v>0.75</v>
      </c>
      <c r="M51" s="878">
        <f t="shared" si="598"/>
        <v>0.75</v>
      </c>
      <c r="N51" s="878">
        <f t="shared" si="598"/>
        <v>0.75</v>
      </c>
      <c r="O51" s="878">
        <f t="shared" si="598"/>
        <v>0.75</v>
      </c>
      <c r="P51" s="878">
        <f t="shared" si="598"/>
        <v>0.75</v>
      </c>
      <c r="Q51" s="878">
        <f t="shared" si="598"/>
        <v>2.25</v>
      </c>
      <c r="R51" s="878">
        <f t="shared" si="598"/>
        <v>2.25</v>
      </c>
      <c r="S51" s="878">
        <f t="shared" si="598"/>
        <v>2.25</v>
      </c>
      <c r="T51" s="878">
        <f t="shared" si="598"/>
        <v>2.25</v>
      </c>
      <c r="U51" s="878">
        <f t="shared" si="598"/>
        <v>2.25</v>
      </c>
      <c r="V51" s="878">
        <f t="shared" si="598"/>
        <v>2.25</v>
      </c>
      <c r="W51" s="878">
        <f t="shared" si="598"/>
        <v>2.25</v>
      </c>
      <c r="X51" s="878">
        <f t="shared" si="598"/>
        <v>2.25</v>
      </c>
      <c r="Y51" s="878">
        <f t="shared" si="598"/>
        <v>3</v>
      </c>
      <c r="Z51" s="878">
        <f t="shared" si="598"/>
        <v>3</v>
      </c>
      <c r="AA51" s="878">
        <f t="shared" si="598"/>
        <v>3</v>
      </c>
      <c r="AB51" s="878">
        <f t="shared" si="598"/>
        <v>3</v>
      </c>
      <c r="AC51" s="878">
        <f t="shared" si="598"/>
        <v>3</v>
      </c>
      <c r="AD51" s="878">
        <f t="shared" si="598"/>
        <v>3</v>
      </c>
      <c r="AE51" s="878">
        <f t="shared" si="598"/>
        <v>3</v>
      </c>
      <c r="AF51" s="878">
        <f t="shared" si="598"/>
        <v>3</v>
      </c>
      <c r="AG51" s="878">
        <f t="shared" si="598"/>
        <v>3</v>
      </c>
      <c r="AH51" s="878">
        <f t="shared" si="598"/>
        <v>3</v>
      </c>
      <c r="AI51" s="878">
        <f t="shared" si="598"/>
        <v>3</v>
      </c>
      <c r="AJ51" s="878">
        <f t="shared" si="598"/>
        <v>3</v>
      </c>
      <c r="AK51" s="878">
        <f t="shared" si="598"/>
        <v>3</v>
      </c>
      <c r="AL51" s="878">
        <f t="shared" si="598"/>
        <v>3</v>
      </c>
      <c r="AM51" s="878">
        <f t="shared" si="598"/>
        <v>3</v>
      </c>
      <c r="AN51" s="878">
        <f t="shared" si="598"/>
        <v>3</v>
      </c>
      <c r="AO51" s="878">
        <f t="shared" si="598"/>
        <v>3</v>
      </c>
      <c r="AP51" s="878">
        <f t="shared" si="598"/>
        <v>3</v>
      </c>
      <c r="AQ51" s="878">
        <f t="shared" si="598"/>
        <v>3</v>
      </c>
      <c r="AR51" s="878">
        <f t="shared" si="598"/>
        <v>3</v>
      </c>
      <c r="AS51" s="878">
        <f t="shared" si="598"/>
        <v>3</v>
      </c>
      <c r="AT51" s="878">
        <f t="shared" si="598"/>
        <v>3</v>
      </c>
      <c r="AU51" s="878">
        <f t="shared" si="598"/>
        <v>3</v>
      </c>
      <c r="AV51" s="878">
        <f t="shared" si="598"/>
        <v>3</v>
      </c>
      <c r="AW51" s="878">
        <f t="shared" si="598"/>
        <v>3</v>
      </c>
      <c r="AX51" s="878">
        <f t="shared" si="598"/>
        <v>3</v>
      </c>
      <c r="AY51" s="878">
        <f t="shared" si="598"/>
        <v>3</v>
      </c>
      <c r="AZ51" s="878">
        <f t="shared" si="598"/>
        <v>3</v>
      </c>
      <c r="BA51" s="878">
        <f t="shared" si="598"/>
        <v>3</v>
      </c>
      <c r="BB51" s="878">
        <f t="shared" si="598"/>
        <v>3</v>
      </c>
      <c r="BC51" s="878">
        <f t="shared" si="598"/>
        <v>3</v>
      </c>
      <c r="BD51" s="878">
        <f t="shared" si="598"/>
        <v>3</v>
      </c>
      <c r="BE51" s="878">
        <f t="shared" si="598"/>
        <v>3</v>
      </c>
      <c r="BF51" s="878">
        <f t="shared" si="598"/>
        <v>3</v>
      </c>
      <c r="BG51" s="878">
        <f t="shared" si="598"/>
        <v>3</v>
      </c>
      <c r="BH51" s="878">
        <f t="shared" si="598"/>
        <v>3</v>
      </c>
      <c r="BI51" s="878">
        <f t="shared" si="598"/>
        <v>3</v>
      </c>
      <c r="BJ51" s="878">
        <f t="shared" si="598"/>
        <v>3</v>
      </c>
      <c r="BK51" s="878">
        <f t="shared" si="598"/>
        <v>3</v>
      </c>
      <c r="BL51" s="878">
        <f t="shared" si="598"/>
        <v>3</v>
      </c>
      <c r="BM51" s="878">
        <f t="shared" si="598"/>
        <v>3</v>
      </c>
      <c r="BN51" s="878">
        <f t="shared" si="598"/>
        <v>3</v>
      </c>
      <c r="BO51" s="878">
        <f t="shared" si="598"/>
        <v>3</v>
      </c>
      <c r="BP51" s="878">
        <f t="shared" si="598"/>
        <v>3</v>
      </c>
      <c r="BQ51" s="878">
        <f t="shared" si="598"/>
        <v>3</v>
      </c>
      <c r="BR51" s="878">
        <f t="shared" si="598"/>
        <v>3</v>
      </c>
      <c r="BS51" s="878">
        <f t="shared" si="598"/>
        <v>3</v>
      </c>
      <c r="BT51" s="878">
        <f t="shared" ref="BT51:BU51" si="599">$F$51/12*BT$11</f>
        <v>3</v>
      </c>
      <c r="BU51" s="878">
        <f t="shared" si="599"/>
        <v>3</v>
      </c>
    </row>
    <row r="52" spans="1:73" s="18" customFormat="1">
      <c r="A52" s="866"/>
      <c r="B52" s="76"/>
      <c r="C52" s="76" t="s">
        <v>2262</v>
      </c>
      <c r="D52" s="875" t="s">
        <v>2251</v>
      </c>
      <c r="E52" s="882">
        <v>0.01</v>
      </c>
      <c r="F52" s="884">
        <f>4000*12/10000</f>
        <v>4.8</v>
      </c>
      <c r="G52" s="878">
        <f>F52</f>
        <v>4.8</v>
      </c>
      <c r="H52" s="878">
        <f t="shared" ref="H52:AK52" si="600">$F$52/12*H10</f>
        <v>0.39999999999999997</v>
      </c>
      <c r="I52" s="878">
        <f t="shared" si="600"/>
        <v>0.39999999999999997</v>
      </c>
      <c r="J52" s="878">
        <f t="shared" si="600"/>
        <v>0.39999999999999997</v>
      </c>
      <c r="K52" s="878">
        <f t="shared" si="600"/>
        <v>0.39999999999999997</v>
      </c>
      <c r="L52" s="878">
        <f t="shared" si="600"/>
        <v>0.39999999999999997</v>
      </c>
      <c r="M52" s="878">
        <f t="shared" si="600"/>
        <v>0.39999999999999997</v>
      </c>
      <c r="N52" s="878">
        <f t="shared" si="600"/>
        <v>0.39999999999999997</v>
      </c>
      <c r="O52" s="878">
        <f t="shared" si="600"/>
        <v>0.39999999999999997</v>
      </c>
      <c r="P52" s="878">
        <f t="shared" si="600"/>
        <v>1.2</v>
      </c>
      <c r="Q52" s="878">
        <f t="shared" si="600"/>
        <v>1.2</v>
      </c>
      <c r="R52" s="878">
        <f t="shared" si="600"/>
        <v>1.2</v>
      </c>
      <c r="S52" s="878">
        <f t="shared" si="600"/>
        <v>1.9999999999999998</v>
      </c>
      <c r="T52" s="878">
        <f t="shared" si="600"/>
        <v>1.9999999999999998</v>
      </c>
      <c r="U52" s="878">
        <f t="shared" si="600"/>
        <v>1.9999999999999998</v>
      </c>
      <c r="V52" s="878">
        <f t="shared" si="600"/>
        <v>2.4</v>
      </c>
      <c r="W52" s="878">
        <f t="shared" si="600"/>
        <v>2.4</v>
      </c>
      <c r="X52" s="878">
        <f t="shared" si="600"/>
        <v>2.4</v>
      </c>
      <c r="Y52" s="878">
        <f t="shared" si="600"/>
        <v>2.8</v>
      </c>
      <c r="Z52" s="878">
        <f t="shared" si="600"/>
        <v>2.8</v>
      </c>
      <c r="AA52" s="878">
        <f t="shared" si="600"/>
        <v>2.8</v>
      </c>
      <c r="AB52" s="878">
        <f t="shared" si="600"/>
        <v>3.1999999999999997</v>
      </c>
      <c r="AC52" s="878">
        <f t="shared" si="600"/>
        <v>3.1999999999999997</v>
      </c>
      <c r="AD52" s="878">
        <f t="shared" si="600"/>
        <v>3.1999999999999997</v>
      </c>
      <c r="AE52" s="878">
        <f t="shared" si="600"/>
        <v>3.5999999999999996</v>
      </c>
      <c r="AF52" s="878">
        <f t="shared" si="600"/>
        <v>3.5999999999999996</v>
      </c>
      <c r="AG52" s="878">
        <f t="shared" si="600"/>
        <v>3.5999999999999996</v>
      </c>
      <c r="AH52" s="878">
        <f t="shared" si="600"/>
        <v>3.5999999999999996</v>
      </c>
      <c r="AI52" s="878">
        <f t="shared" si="600"/>
        <v>3.5999999999999996</v>
      </c>
      <c r="AJ52" s="878">
        <f t="shared" si="600"/>
        <v>3.5999999999999996</v>
      </c>
      <c r="AK52" s="878">
        <f t="shared" si="600"/>
        <v>4.3999999999999995</v>
      </c>
      <c r="AL52" s="878">
        <f t="shared" ref="AL52:BU52" si="601">$F$52/12*AL10</f>
        <v>4.3999999999999995</v>
      </c>
      <c r="AM52" s="878">
        <f t="shared" si="601"/>
        <v>4.3999999999999995</v>
      </c>
      <c r="AN52" s="878">
        <f t="shared" si="601"/>
        <v>4.3999999999999995</v>
      </c>
      <c r="AO52" s="878">
        <f t="shared" si="601"/>
        <v>4.3999999999999995</v>
      </c>
      <c r="AP52" s="878">
        <f t="shared" si="601"/>
        <v>4.3999999999999995</v>
      </c>
      <c r="AQ52" s="878">
        <f t="shared" si="601"/>
        <v>5.1999999999999993</v>
      </c>
      <c r="AR52" s="878">
        <f t="shared" si="601"/>
        <v>5.1999999999999993</v>
      </c>
      <c r="AS52" s="878">
        <f t="shared" si="601"/>
        <v>5.1999999999999993</v>
      </c>
      <c r="AT52" s="878">
        <f t="shared" si="601"/>
        <v>5.1999999999999993</v>
      </c>
      <c r="AU52" s="878">
        <f t="shared" si="601"/>
        <v>5.1999999999999993</v>
      </c>
      <c r="AV52" s="878">
        <f t="shared" si="601"/>
        <v>5.1999999999999993</v>
      </c>
      <c r="AW52" s="878">
        <f t="shared" si="601"/>
        <v>5.1999999999999993</v>
      </c>
      <c r="AX52" s="878">
        <f t="shared" si="601"/>
        <v>5.1999999999999993</v>
      </c>
      <c r="AY52" s="878">
        <f t="shared" si="601"/>
        <v>5.1999999999999993</v>
      </c>
      <c r="AZ52" s="878">
        <f t="shared" si="601"/>
        <v>5.1999999999999993</v>
      </c>
      <c r="BA52" s="878">
        <f t="shared" si="601"/>
        <v>5.1999999999999993</v>
      </c>
      <c r="BB52" s="878">
        <f t="shared" si="601"/>
        <v>5.1999999999999993</v>
      </c>
      <c r="BC52" s="878">
        <f t="shared" si="601"/>
        <v>5.1999999999999993</v>
      </c>
      <c r="BD52" s="878">
        <f t="shared" si="601"/>
        <v>5.1999999999999993</v>
      </c>
      <c r="BE52" s="878">
        <f t="shared" si="601"/>
        <v>5.1999999999999993</v>
      </c>
      <c r="BF52" s="878">
        <f t="shared" si="601"/>
        <v>5.1999999999999993</v>
      </c>
      <c r="BG52" s="878">
        <f t="shared" si="601"/>
        <v>5.1999999999999993</v>
      </c>
      <c r="BH52" s="878">
        <f t="shared" si="601"/>
        <v>5.1999999999999993</v>
      </c>
      <c r="BI52" s="878">
        <f t="shared" si="601"/>
        <v>5.1999999999999993</v>
      </c>
      <c r="BJ52" s="878">
        <f t="shared" si="601"/>
        <v>5.1999999999999993</v>
      </c>
      <c r="BK52" s="878">
        <f t="shared" si="601"/>
        <v>5.1999999999999993</v>
      </c>
      <c r="BL52" s="878">
        <f t="shared" si="601"/>
        <v>5.1999999999999993</v>
      </c>
      <c r="BM52" s="878">
        <f t="shared" si="601"/>
        <v>5.1999999999999993</v>
      </c>
      <c r="BN52" s="878">
        <f t="shared" si="601"/>
        <v>5.1999999999999993</v>
      </c>
      <c r="BO52" s="878">
        <f t="shared" si="601"/>
        <v>5.1999999999999993</v>
      </c>
      <c r="BP52" s="878">
        <f t="shared" si="601"/>
        <v>5.1999999999999993</v>
      </c>
      <c r="BQ52" s="878">
        <f t="shared" si="601"/>
        <v>5.1999999999999993</v>
      </c>
      <c r="BR52" s="878">
        <f t="shared" si="601"/>
        <v>5.1999999999999993</v>
      </c>
      <c r="BS52" s="878">
        <f t="shared" si="601"/>
        <v>5.1999999999999993</v>
      </c>
      <c r="BT52" s="878">
        <f t="shared" si="601"/>
        <v>5.1999999999999993</v>
      </c>
      <c r="BU52" s="878">
        <f t="shared" si="601"/>
        <v>5.1999999999999993</v>
      </c>
    </row>
    <row r="53" spans="1:73" s="18" customFormat="1">
      <c r="A53" s="866"/>
      <c r="B53" s="76"/>
      <c r="C53" s="76" t="s">
        <v>2263</v>
      </c>
      <c r="D53" s="875" t="s">
        <v>2251</v>
      </c>
      <c r="E53" s="882">
        <v>0.01</v>
      </c>
      <c r="F53" s="884">
        <f>500*12/10000</f>
        <v>0.6</v>
      </c>
      <c r="G53" s="878">
        <f>F53</f>
        <v>0.6</v>
      </c>
      <c r="H53" s="878">
        <f t="shared" ref="H53:AK53" si="602">$F$53/12*H10</f>
        <v>4.9999999999999996E-2</v>
      </c>
      <c r="I53" s="878">
        <f t="shared" si="602"/>
        <v>4.9999999999999996E-2</v>
      </c>
      <c r="J53" s="878">
        <f t="shared" si="602"/>
        <v>4.9999999999999996E-2</v>
      </c>
      <c r="K53" s="878">
        <f t="shared" si="602"/>
        <v>4.9999999999999996E-2</v>
      </c>
      <c r="L53" s="878">
        <f t="shared" si="602"/>
        <v>4.9999999999999996E-2</v>
      </c>
      <c r="M53" s="878">
        <f t="shared" si="602"/>
        <v>4.9999999999999996E-2</v>
      </c>
      <c r="N53" s="878">
        <f t="shared" si="602"/>
        <v>4.9999999999999996E-2</v>
      </c>
      <c r="O53" s="878">
        <f t="shared" si="602"/>
        <v>4.9999999999999996E-2</v>
      </c>
      <c r="P53" s="878">
        <f t="shared" si="602"/>
        <v>0.15</v>
      </c>
      <c r="Q53" s="878">
        <f t="shared" si="602"/>
        <v>0.15</v>
      </c>
      <c r="R53" s="878">
        <f t="shared" si="602"/>
        <v>0.15</v>
      </c>
      <c r="S53" s="878">
        <f t="shared" si="602"/>
        <v>0.24999999999999997</v>
      </c>
      <c r="T53" s="878">
        <f t="shared" si="602"/>
        <v>0.24999999999999997</v>
      </c>
      <c r="U53" s="878">
        <f t="shared" si="602"/>
        <v>0.24999999999999997</v>
      </c>
      <c r="V53" s="878">
        <f t="shared" si="602"/>
        <v>0.3</v>
      </c>
      <c r="W53" s="878">
        <f t="shared" si="602"/>
        <v>0.3</v>
      </c>
      <c r="X53" s="878">
        <f t="shared" si="602"/>
        <v>0.3</v>
      </c>
      <c r="Y53" s="878">
        <f t="shared" si="602"/>
        <v>0.35</v>
      </c>
      <c r="Z53" s="878">
        <f t="shared" si="602"/>
        <v>0.35</v>
      </c>
      <c r="AA53" s="878">
        <f t="shared" si="602"/>
        <v>0.35</v>
      </c>
      <c r="AB53" s="878">
        <f t="shared" si="602"/>
        <v>0.39999999999999997</v>
      </c>
      <c r="AC53" s="878">
        <f t="shared" si="602"/>
        <v>0.39999999999999997</v>
      </c>
      <c r="AD53" s="878">
        <f t="shared" si="602"/>
        <v>0.39999999999999997</v>
      </c>
      <c r="AE53" s="878">
        <f t="shared" si="602"/>
        <v>0.44999999999999996</v>
      </c>
      <c r="AF53" s="878">
        <f t="shared" si="602"/>
        <v>0.44999999999999996</v>
      </c>
      <c r="AG53" s="878">
        <f t="shared" si="602"/>
        <v>0.44999999999999996</v>
      </c>
      <c r="AH53" s="878">
        <f t="shared" si="602"/>
        <v>0.44999999999999996</v>
      </c>
      <c r="AI53" s="878">
        <f t="shared" si="602"/>
        <v>0.44999999999999996</v>
      </c>
      <c r="AJ53" s="878">
        <f t="shared" si="602"/>
        <v>0.44999999999999996</v>
      </c>
      <c r="AK53" s="878">
        <f t="shared" si="602"/>
        <v>0.54999999999999993</v>
      </c>
      <c r="AL53" s="878">
        <f t="shared" ref="AL53:BU53" si="603">$F$53/12*AL10</f>
        <v>0.54999999999999993</v>
      </c>
      <c r="AM53" s="878">
        <f t="shared" si="603"/>
        <v>0.54999999999999993</v>
      </c>
      <c r="AN53" s="878">
        <f t="shared" si="603"/>
        <v>0.54999999999999993</v>
      </c>
      <c r="AO53" s="878">
        <f t="shared" si="603"/>
        <v>0.54999999999999993</v>
      </c>
      <c r="AP53" s="878">
        <f t="shared" si="603"/>
        <v>0.54999999999999993</v>
      </c>
      <c r="AQ53" s="878">
        <f t="shared" si="603"/>
        <v>0.64999999999999991</v>
      </c>
      <c r="AR53" s="878">
        <f t="shared" si="603"/>
        <v>0.64999999999999991</v>
      </c>
      <c r="AS53" s="878">
        <f t="shared" si="603"/>
        <v>0.64999999999999991</v>
      </c>
      <c r="AT53" s="878">
        <f t="shared" si="603"/>
        <v>0.64999999999999991</v>
      </c>
      <c r="AU53" s="878">
        <f t="shared" si="603"/>
        <v>0.64999999999999991</v>
      </c>
      <c r="AV53" s="878">
        <f t="shared" si="603"/>
        <v>0.64999999999999991</v>
      </c>
      <c r="AW53" s="878">
        <f t="shared" si="603"/>
        <v>0.64999999999999991</v>
      </c>
      <c r="AX53" s="878">
        <f t="shared" si="603"/>
        <v>0.64999999999999991</v>
      </c>
      <c r="AY53" s="878">
        <f t="shared" si="603"/>
        <v>0.64999999999999991</v>
      </c>
      <c r="AZ53" s="878">
        <f t="shared" si="603"/>
        <v>0.64999999999999991</v>
      </c>
      <c r="BA53" s="878">
        <f t="shared" si="603"/>
        <v>0.64999999999999991</v>
      </c>
      <c r="BB53" s="878">
        <f t="shared" si="603"/>
        <v>0.64999999999999991</v>
      </c>
      <c r="BC53" s="878">
        <f t="shared" si="603"/>
        <v>0.64999999999999991</v>
      </c>
      <c r="BD53" s="878">
        <f t="shared" si="603"/>
        <v>0.64999999999999991</v>
      </c>
      <c r="BE53" s="878">
        <f t="shared" si="603"/>
        <v>0.64999999999999991</v>
      </c>
      <c r="BF53" s="878">
        <f t="shared" si="603"/>
        <v>0.64999999999999991</v>
      </c>
      <c r="BG53" s="878">
        <f t="shared" si="603"/>
        <v>0.64999999999999991</v>
      </c>
      <c r="BH53" s="878">
        <f t="shared" si="603"/>
        <v>0.64999999999999991</v>
      </c>
      <c r="BI53" s="878">
        <f t="shared" si="603"/>
        <v>0.64999999999999991</v>
      </c>
      <c r="BJ53" s="878">
        <f t="shared" si="603"/>
        <v>0.64999999999999991</v>
      </c>
      <c r="BK53" s="878">
        <f t="shared" si="603"/>
        <v>0.64999999999999991</v>
      </c>
      <c r="BL53" s="878">
        <f t="shared" si="603"/>
        <v>0.64999999999999991</v>
      </c>
      <c r="BM53" s="878">
        <f t="shared" si="603"/>
        <v>0.64999999999999991</v>
      </c>
      <c r="BN53" s="878">
        <f t="shared" si="603"/>
        <v>0.64999999999999991</v>
      </c>
      <c r="BO53" s="878">
        <f t="shared" si="603"/>
        <v>0.64999999999999991</v>
      </c>
      <c r="BP53" s="878">
        <f t="shared" si="603"/>
        <v>0.64999999999999991</v>
      </c>
      <c r="BQ53" s="878">
        <f t="shared" si="603"/>
        <v>0.64999999999999991</v>
      </c>
      <c r="BR53" s="878">
        <f t="shared" si="603"/>
        <v>0.64999999999999991</v>
      </c>
      <c r="BS53" s="878">
        <f t="shared" si="603"/>
        <v>0.64999999999999991</v>
      </c>
      <c r="BT53" s="878">
        <f t="shared" si="603"/>
        <v>0.64999999999999991</v>
      </c>
      <c r="BU53" s="878">
        <f t="shared" si="603"/>
        <v>0.64999999999999991</v>
      </c>
    </row>
    <row r="54" spans="1:73" s="18" customFormat="1">
      <c r="A54" s="866"/>
      <c r="B54" s="76"/>
      <c r="C54" s="76" t="s">
        <v>2264</v>
      </c>
      <c r="D54" s="875" t="s">
        <v>2251</v>
      </c>
      <c r="E54" s="882">
        <v>0</v>
      </c>
      <c r="F54" s="884">
        <v>1</v>
      </c>
      <c r="G54" s="878">
        <f>F54</f>
        <v>1</v>
      </c>
      <c r="H54" s="878">
        <f t="shared" ref="H54:AK54" si="604">$F$54/12*H10</f>
        <v>8.3333333333333329E-2</v>
      </c>
      <c r="I54" s="878">
        <f t="shared" si="604"/>
        <v>8.3333333333333329E-2</v>
      </c>
      <c r="J54" s="878">
        <f t="shared" si="604"/>
        <v>8.3333333333333329E-2</v>
      </c>
      <c r="K54" s="878">
        <f t="shared" si="604"/>
        <v>8.3333333333333329E-2</v>
      </c>
      <c r="L54" s="878">
        <f t="shared" si="604"/>
        <v>8.3333333333333329E-2</v>
      </c>
      <c r="M54" s="878">
        <f t="shared" si="604"/>
        <v>8.3333333333333329E-2</v>
      </c>
      <c r="N54" s="878">
        <f t="shared" si="604"/>
        <v>8.3333333333333329E-2</v>
      </c>
      <c r="O54" s="878">
        <f t="shared" si="604"/>
        <v>8.3333333333333329E-2</v>
      </c>
      <c r="P54" s="878">
        <f t="shared" si="604"/>
        <v>0.25</v>
      </c>
      <c r="Q54" s="878">
        <f t="shared" si="604"/>
        <v>0.25</v>
      </c>
      <c r="R54" s="878">
        <f t="shared" si="604"/>
        <v>0.25</v>
      </c>
      <c r="S54" s="878">
        <f t="shared" si="604"/>
        <v>0.41666666666666663</v>
      </c>
      <c r="T54" s="878">
        <f t="shared" si="604"/>
        <v>0.41666666666666663</v>
      </c>
      <c r="U54" s="878">
        <f t="shared" si="604"/>
        <v>0.41666666666666663</v>
      </c>
      <c r="V54" s="878">
        <f t="shared" si="604"/>
        <v>0.5</v>
      </c>
      <c r="W54" s="878">
        <f t="shared" si="604"/>
        <v>0.5</v>
      </c>
      <c r="X54" s="878">
        <f t="shared" si="604"/>
        <v>0.5</v>
      </c>
      <c r="Y54" s="878">
        <f t="shared" si="604"/>
        <v>0.58333333333333326</v>
      </c>
      <c r="Z54" s="878">
        <f t="shared" si="604"/>
        <v>0.58333333333333326</v>
      </c>
      <c r="AA54" s="878">
        <f t="shared" si="604"/>
        <v>0.58333333333333326</v>
      </c>
      <c r="AB54" s="878">
        <f t="shared" si="604"/>
        <v>0.66666666666666663</v>
      </c>
      <c r="AC54" s="878">
        <f t="shared" si="604"/>
        <v>0.66666666666666663</v>
      </c>
      <c r="AD54" s="878">
        <f t="shared" si="604"/>
        <v>0.66666666666666663</v>
      </c>
      <c r="AE54" s="878">
        <f t="shared" si="604"/>
        <v>0.75</v>
      </c>
      <c r="AF54" s="878">
        <f t="shared" si="604"/>
        <v>0.75</v>
      </c>
      <c r="AG54" s="878">
        <f t="shared" si="604"/>
        <v>0.75</v>
      </c>
      <c r="AH54" s="878">
        <f t="shared" si="604"/>
        <v>0.75</v>
      </c>
      <c r="AI54" s="878">
        <f t="shared" si="604"/>
        <v>0.75</v>
      </c>
      <c r="AJ54" s="878">
        <f t="shared" si="604"/>
        <v>0.75</v>
      </c>
      <c r="AK54" s="878">
        <f t="shared" si="604"/>
        <v>0.91666666666666663</v>
      </c>
      <c r="AL54" s="878">
        <f t="shared" ref="AL54:BU54" si="605">$F$54/12*AL10</f>
        <v>0.91666666666666663</v>
      </c>
      <c r="AM54" s="878">
        <f t="shared" si="605"/>
        <v>0.91666666666666663</v>
      </c>
      <c r="AN54" s="878">
        <f t="shared" si="605"/>
        <v>0.91666666666666663</v>
      </c>
      <c r="AO54" s="878">
        <f t="shared" si="605"/>
        <v>0.91666666666666663</v>
      </c>
      <c r="AP54" s="878">
        <f t="shared" si="605"/>
        <v>0.91666666666666663</v>
      </c>
      <c r="AQ54" s="878">
        <f t="shared" si="605"/>
        <v>1.0833333333333333</v>
      </c>
      <c r="AR54" s="878">
        <f t="shared" si="605"/>
        <v>1.0833333333333333</v>
      </c>
      <c r="AS54" s="878">
        <f t="shared" si="605"/>
        <v>1.0833333333333333</v>
      </c>
      <c r="AT54" s="878">
        <f t="shared" si="605"/>
        <v>1.0833333333333333</v>
      </c>
      <c r="AU54" s="878">
        <f t="shared" si="605"/>
        <v>1.0833333333333333</v>
      </c>
      <c r="AV54" s="878">
        <f t="shared" si="605"/>
        <v>1.0833333333333333</v>
      </c>
      <c r="AW54" s="878">
        <f t="shared" si="605"/>
        <v>1.0833333333333333</v>
      </c>
      <c r="AX54" s="878">
        <f t="shared" si="605"/>
        <v>1.0833333333333333</v>
      </c>
      <c r="AY54" s="878">
        <f t="shared" si="605"/>
        <v>1.0833333333333333</v>
      </c>
      <c r="AZ54" s="878">
        <f t="shared" si="605"/>
        <v>1.0833333333333333</v>
      </c>
      <c r="BA54" s="878">
        <f t="shared" si="605"/>
        <v>1.0833333333333333</v>
      </c>
      <c r="BB54" s="878">
        <f t="shared" si="605"/>
        <v>1.0833333333333333</v>
      </c>
      <c r="BC54" s="878">
        <f t="shared" si="605"/>
        <v>1.0833333333333333</v>
      </c>
      <c r="BD54" s="878">
        <f t="shared" si="605"/>
        <v>1.0833333333333333</v>
      </c>
      <c r="BE54" s="878">
        <f t="shared" si="605"/>
        <v>1.0833333333333333</v>
      </c>
      <c r="BF54" s="878">
        <f t="shared" si="605"/>
        <v>1.0833333333333333</v>
      </c>
      <c r="BG54" s="878">
        <f t="shared" si="605"/>
        <v>1.0833333333333333</v>
      </c>
      <c r="BH54" s="878">
        <f t="shared" si="605"/>
        <v>1.0833333333333333</v>
      </c>
      <c r="BI54" s="878">
        <f t="shared" si="605"/>
        <v>1.0833333333333333</v>
      </c>
      <c r="BJ54" s="878">
        <f t="shared" si="605"/>
        <v>1.0833333333333333</v>
      </c>
      <c r="BK54" s="878">
        <f t="shared" si="605"/>
        <v>1.0833333333333333</v>
      </c>
      <c r="BL54" s="878">
        <f t="shared" si="605"/>
        <v>1.0833333333333333</v>
      </c>
      <c r="BM54" s="878">
        <f t="shared" si="605"/>
        <v>1.0833333333333333</v>
      </c>
      <c r="BN54" s="878">
        <f t="shared" si="605"/>
        <v>1.0833333333333333</v>
      </c>
      <c r="BO54" s="878">
        <f t="shared" si="605"/>
        <v>1.0833333333333333</v>
      </c>
      <c r="BP54" s="878">
        <f t="shared" si="605"/>
        <v>1.0833333333333333</v>
      </c>
      <c r="BQ54" s="878">
        <f t="shared" si="605"/>
        <v>1.0833333333333333</v>
      </c>
      <c r="BR54" s="878">
        <f t="shared" si="605"/>
        <v>1.0833333333333333</v>
      </c>
      <c r="BS54" s="878">
        <f t="shared" si="605"/>
        <v>1.0833333333333333</v>
      </c>
      <c r="BT54" s="878">
        <f t="shared" si="605"/>
        <v>1.0833333333333333</v>
      </c>
      <c r="BU54" s="878">
        <f t="shared" si="605"/>
        <v>1.0833333333333333</v>
      </c>
    </row>
    <row r="55" spans="1:73" s="18" customFormat="1">
      <c r="A55" s="866"/>
      <c r="B55" s="76"/>
      <c r="C55" s="76" t="s">
        <v>2265</v>
      </c>
      <c r="D55" s="875"/>
      <c r="E55" s="882"/>
      <c r="F55" s="884"/>
      <c r="G55" s="878">
        <f>SUM(G46:G54)</f>
        <v>25.400000000000002</v>
      </c>
      <c r="H55" s="878">
        <f t="shared" ref="H55:AK55" si="606">SUM(H46:H54)</f>
        <v>10.033333333333335</v>
      </c>
      <c r="I55" s="878">
        <f t="shared" si="606"/>
        <v>1.2833333333333332</v>
      </c>
      <c r="J55" s="878">
        <f t="shared" si="606"/>
        <v>1.2833333333333332</v>
      </c>
      <c r="K55" s="878">
        <f t="shared" si="606"/>
        <v>15.033333333333335</v>
      </c>
      <c r="L55" s="878">
        <f t="shared" si="606"/>
        <v>1.2833333333333332</v>
      </c>
      <c r="M55" s="878">
        <f t="shared" si="606"/>
        <v>1.2833333333333332</v>
      </c>
      <c r="N55" s="878">
        <f t="shared" si="606"/>
        <v>15.033333333333335</v>
      </c>
      <c r="O55" s="878">
        <f t="shared" si="606"/>
        <v>1.2833333333333332</v>
      </c>
      <c r="P55" s="878">
        <f t="shared" si="606"/>
        <v>5.5280821917808218</v>
      </c>
      <c r="Q55" s="878">
        <f t="shared" si="606"/>
        <v>32.6</v>
      </c>
      <c r="R55" s="878">
        <f t="shared" si="606"/>
        <v>3.85</v>
      </c>
      <c r="S55" s="878">
        <f t="shared" si="606"/>
        <v>8.2043378995433791</v>
      </c>
      <c r="T55" s="878">
        <f t="shared" si="606"/>
        <v>48.666666666666664</v>
      </c>
      <c r="U55" s="878">
        <f t="shared" si="606"/>
        <v>4.916666666666667</v>
      </c>
      <c r="V55" s="878">
        <f t="shared" si="606"/>
        <v>7.0938356164383558</v>
      </c>
      <c r="W55" s="878">
        <f t="shared" si="606"/>
        <v>56.699999999999996</v>
      </c>
      <c r="X55" s="878">
        <f t="shared" si="606"/>
        <v>5.45</v>
      </c>
      <c r="Y55" s="878">
        <f t="shared" si="606"/>
        <v>8.3223744292237445</v>
      </c>
      <c r="Z55" s="878">
        <f t="shared" si="606"/>
        <v>65.48333333333332</v>
      </c>
      <c r="AA55" s="878">
        <f t="shared" si="606"/>
        <v>6.7333333333333325</v>
      </c>
      <c r="AB55" s="878">
        <f t="shared" si="606"/>
        <v>8.8557077625570777</v>
      </c>
      <c r="AC55" s="878">
        <f t="shared" si="606"/>
        <v>73.51666666666668</v>
      </c>
      <c r="AD55" s="878">
        <f t="shared" si="606"/>
        <v>7.2666666666666666</v>
      </c>
      <c r="AE55" s="878">
        <f t="shared" si="606"/>
        <v>9.4438356164383546</v>
      </c>
      <c r="AF55" s="878">
        <f t="shared" si="606"/>
        <v>81.55</v>
      </c>
      <c r="AG55" s="878">
        <f t="shared" si="606"/>
        <v>7.8</v>
      </c>
      <c r="AH55" s="878">
        <f t="shared" si="606"/>
        <v>7.8</v>
      </c>
      <c r="AI55" s="878">
        <f t="shared" si="606"/>
        <v>81.55</v>
      </c>
      <c r="AJ55" s="878">
        <f t="shared" si="606"/>
        <v>7.8</v>
      </c>
      <c r="AK55" s="878">
        <f t="shared" si="606"/>
        <v>12.044748858447489</v>
      </c>
      <c r="AL55" s="878">
        <f t="shared" ref="AL55:BU55" si="607">SUM(AL46:AL54)</f>
        <v>97.616666666666674</v>
      </c>
      <c r="AM55" s="878">
        <f t="shared" si="607"/>
        <v>8.8666666666666654</v>
      </c>
      <c r="AN55" s="878">
        <f t="shared" si="607"/>
        <v>8.8666666666666654</v>
      </c>
      <c r="AO55" s="878">
        <f t="shared" si="607"/>
        <v>97.616666666666674</v>
      </c>
      <c r="AP55" s="878">
        <f t="shared" si="607"/>
        <v>8.8666666666666654</v>
      </c>
      <c r="AQ55" s="878">
        <f t="shared" si="607"/>
        <v>13.221004566210045</v>
      </c>
      <c r="AR55" s="878">
        <f t="shared" si="607"/>
        <v>113.68333333333334</v>
      </c>
      <c r="AS55" s="878">
        <f t="shared" si="607"/>
        <v>9.9333333333333336</v>
      </c>
      <c r="AT55" s="878">
        <f t="shared" si="607"/>
        <v>9.9333333333333336</v>
      </c>
      <c r="AU55" s="878">
        <f t="shared" si="607"/>
        <v>113.68333333333334</v>
      </c>
      <c r="AV55" s="878">
        <f t="shared" si="607"/>
        <v>9.9333333333333336</v>
      </c>
      <c r="AW55" s="878">
        <f t="shared" si="607"/>
        <v>9.9333333333333336</v>
      </c>
      <c r="AX55" s="878">
        <f t="shared" si="607"/>
        <v>113.68333333333334</v>
      </c>
      <c r="AY55" s="878">
        <f t="shared" si="607"/>
        <v>9.9333333333333336</v>
      </c>
      <c r="AZ55" s="878">
        <f t="shared" si="607"/>
        <v>9.9333333333333336</v>
      </c>
      <c r="BA55" s="878">
        <f t="shared" si="607"/>
        <v>113.68333333333334</v>
      </c>
      <c r="BB55" s="878">
        <f t="shared" si="607"/>
        <v>9.9333333333333336</v>
      </c>
      <c r="BC55" s="878">
        <f t="shared" si="607"/>
        <v>9.9333333333333336</v>
      </c>
      <c r="BD55" s="878">
        <f t="shared" si="607"/>
        <v>113.68333333333334</v>
      </c>
      <c r="BE55" s="878">
        <f t="shared" si="607"/>
        <v>9.9333333333333336</v>
      </c>
      <c r="BF55" s="878">
        <f t="shared" si="607"/>
        <v>9.9333333333333336</v>
      </c>
      <c r="BG55" s="878">
        <f t="shared" si="607"/>
        <v>113.68333333333334</v>
      </c>
      <c r="BH55" s="878">
        <f t="shared" si="607"/>
        <v>9.9333333333333336</v>
      </c>
      <c r="BI55" s="878">
        <f t="shared" si="607"/>
        <v>9.9333333333333336</v>
      </c>
      <c r="BJ55" s="878">
        <f t="shared" si="607"/>
        <v>113.68333333333334</v>
      </c>
      <c r="BK55" s="878">
        <f t="shared" si="607"/>
        <v>9.9333333333333336</v>
      </c>
      <c r="BL55" s="878">
        <f t="shared" si="607"/>
        <v>9.9333333333333336</v>
      </c>
      <c r="BM55" s="878">
        <f t="shared" si="607"/>
        <v>113.68333333333334</v>
      </c>
      <c r="BN55" s="878">
        <f t="shared" si="607"/>
        <v>9.9333333333333336</v>
      </c>
      <c r="BO55" s="878">
        <f t="shared" si="607"/>
        <v>9.9333333333333336</v>
      </c>
      <c r="BP55" s="878">
        <f t="shared" si="607"/>
        <v>113.68333333333334</v>
      </c>
      <c r="BQ55" s="878">
        <f t="shared" si="607"/>
        <v>9.9333333333333336</v>
      </c>
      <c r="BR55" s="878">
        <f t="shared" si="607"/>
        <v>9.9333333333333336</v>
      </c>
      <c r="BS55" s="878">
        <f t="shared" si="607"/>
        <v>113.68333333333334</v>
      </c>
      <c r="BT55" s="878">
        <f t="shared" si="607"/>
        <v>9.9333333333333336</v>
      </c>
      <c r="BU55" s="878">
        <f t="shared" si="607"/>
        <v>9.9333333333333336</v>
      </c>
    </row>
    <row r="56" spans="1:73" s="18" customFormat="1">
      <c r="A56" s="866"/>
      <c r="B56" s="76"/>
      <c r="C56" s="76" t="s">
        <v>2266</v>
      </c>
      <c r="D56" s="875"/>
      <c r="E56" s="882"/>
      <c r="F56" s="884"/>
      <c r="G56" s="878">
        <f>SUM(G45,G55)</f>
        <v>316.90684931506848</v>
      </c>
      <c r="H56" s="878">
        <f t="shared" ref="H56:AK56" si="608">SUM(H45,H55)</f>
        <v>101.30418949771691</v>
      </c>
      <c r="I56" s="878">
        <f t="shared" si="608"/>
        <v>1.2833333333333332</v>
      </c>
      <c r="J56" s="878">
        <f t="shared" si="608"/>
        <v>1.2833333333333332</v>
      </c>
      <c r="K56" s="878">
        <f t="shared" si="608"/>
        <v>107.49083333333334</v>
      </c>
      <c r="L56" s="878">
        <f t="shared" si="608"/>
        <v>1.2833333333333332</v>
      </c>
      <c r="M56" s="878">
        <f t="shared" si="608"/>
        <v>1.2833333333333332</v>
      </c>
      <c r="N56" s="878">
        <f t="shared" si="608"/>
        <v>107.49083333333334</v>
      </c>
      <c r="O56" s="878">
        <f t="shared" si="608"/>
        <v>1.2833333333333332</v>
      </c>
      <c r="P56" s="878">
        <f t="shared" si="608"/>
        <v>47.240410958904121</v>
      </c>
      <c r="Q56" s="878">
        <f t="shared" si="608"/>
        <v>256.30750000000006</v>
      </c>
      <c r="R56" s="878">
        <f t="shared" si="608"/>
        <v>3.85</v>
      </c>
      <c r="S56" s="878">
        <f t="shared" si="608"/>
        <v>51.355022831050235</v>
      </c>
      <c r="T56" s="878">
        <f t="shared" si="608"/>
        <v>403.62416666666667</v>
      </c>
      <c r="U56" s="878">
        <f t="shared" si="608"/>
        <v>4.916666666666667</v>
      </c>
      <c r="V56" s="878">
        <f t="shared" si="608"/>
        <v>21.477397260273975</v>
      </c>
      <c r="W56" s="878">
        <f t="shared" si="608"/>
        <v>455.40749999999997</v>
      </c>
      <c r="X56" s="878">
        <f t="shared" si="608"/>
        <v>5.45</v>
      </c>
      <c r="Y56" s="878">
        <f t="shared" si="608"/>
        <v>36.13059360730594</v>
      </c>
      <c r="Z56" s="878">
        <f t="shared" si="608"/>
        <v>551.69083333333333</v>
      </c>
      <c r="AA56" s="878">
        <f t="shared" si="608"/>
        <v>6.7333333333333325</v>
      </c>
      <c r="AB56" s="878">
        <f t="shared" si="608"/>
        <v>22.759817351598176</v>
      </c>
      <c r="AC56" s="878">
        <f t="shared" si="608"/>
        <v>603.47416666666663</v>
      </c>
      <c r="AD56" s="878">
        <f t="shared" si="608"/>
        <v>7.2666666666666666</v>
      </c>
      <c r="AE56" s="878">
        <f t="shared" si="608"/>
        <v>38.210958904109596</v>
      </c>
      <c r="AF56" s="878">
        <f t="shared" si="608"/>
        <v>699.00749999999994</v>
      </c>
      <c r="AG56" s="878">
        <f t="shared" si="608"/>
        <v>7.8</v>
      </c>
      <c r="AH56" s="878">
        <f t="shared" si="608"/>
        <v>7.8</v>
      </c>
      <c r="AI56" s="878">
        <f t="shared" si="608"/>
        <v>699.00749999999994</v>
      </c>
      <c r="AJ56" s="878">
        <f t="shared" si="608"/>
        <v>7.8</v>
      </c>
      <c r="AK56" s="878">
        <f t="shared" si="608"/>
        <v>53.757077625570787</v>
      </c>
      <c r="AL56" s="878">
        <f t="shared" ref="AL56:BU56" si="609">SUM(AL45,AL55)</f>
        <v>846.32416666666677</v>
      </c>
      <c r="AM56" s="878">
        <f t="shared" si="609"/>
        <v>8.8666666666666654</v>
      </c>
      <c r="AN56" s="878">
        <f t="shared" si="609"/>
        <v>8.8666666666666654</v>
      </c>
      <c r="AO56" s="878">
        <f t="shared" si="609"/>
        <v>846.32416666666677</v>
      </c>
      <c r="AP56" s="878">
        <f t="shared" si="609"/>
        <v>8.8666666666666654</v>
      </c>
      <c r="AQ56" s="878">
        <f t="shared" si="609"/>
        <v>56.371689497716901</v>
      </c>
      <c r="AR56" s="878">
        <f t="shared" si="609"/>
        <v>993.64083333333338</v>
      </c>
      <c r="AS56" s="878">
        <f t="shared" si="609"/>
        <v>9.9333333333333336</v>
      </c>
      <c r="AT56" s="878">
        <f t="shared" si="609"/>
        <v>9.9333333333333336</v>
      </c>
      <c r="AU56" s="878">
        <f t="shared" si="609"/>
        <v>993.64083333333338</v>
      </c>
      <c r="AV56" s="878">
        <f t="shared" si="609"/>
        <v>9.9333333333333336</v>
      </c>
      <c r="AW56" s="878">
        <f t="shared" si="609"/>
        <v>9.9333333333333336</v>
      </c>
      <c r="AX56" s="878">
        <f t="shared" si="609"/>
        <v>993.64083333333338</v>
      </c>
      <c r="AY56" s="878">
        <f t="shared" si="609"/>
        <v>9.9333333333333336</v>
      </c>
      <c r="AZ56" s="878">
        <f t="shared" si="609"/>
        <v>9.9333333333333336</v>
      </c>
      <c r="BA56" s="878">
        <f t="shared" si="609"/>
        <v>993.64083333333338</v>
      </c>
      <c r="BB56" s="878">
        <f t="shared" si="609"/>
        <v>9.9333333333333336</v>
      </c>
      <c r="BC56" s="878">
        <f t="shared" si="609"/>
        <v>9.9333333333333336</v>
      </c>
      <c r="BD56" s="878">
        <f t="shared" si="609"/>
        <v>993.64083333333338</v>
      </c>
      <c r="BE56" s="878">
        <f t="shared" si="609"/>
        <v>9.9333333333333336</v>
      </c>
      <c r="BF56" s="878">
        <f t="shared" si="609"/>
        <v>9.9333333333333336</v>
      </c>
      <c r="BG56" s="878">
        <f t="shared" si="609"/>
        <v>993.64083333333338</v>
      </c>
      <c r="BH56" s="878">
        <f t="shared" si="609"/>
        <v>9.9333333333333336</v>
      </c>
      <c r="BI56" s="878">
        <f t="shared" si="609"/>
        <v>9.9333333333333336</v>
      </c>
      <c r="BJ56" s="878">
        <f t="shared" si="609"/>
        <v>993.64083333333338</v>
      </c>
      <c r="BK56" s="878">
        <f t="shared" si="609"/>
        <v>9.9333333333333336</v>
      </c>
      <c r="BL56" s="878">
        <f t="shared" si="609"/>
        <v>9.9333333333333336</v>
      </c>
      <c r="BM56" s="878">
        <f t="shared" si="609"/>
        <v>993.64083333333338</v>
      </c>
      <c r="BN56" s="878">
        <f t="shared" si="609"/>
        <v>9.9333333333333336</v>
      </c>
      <c r="BO56" s="878">
        <f t="shared" si="609"/>
        <v>9.9333333333333336</v>
      </c>
      <c r="BP56" s="878">
        <f t="shared" si="609"/>
        <v>993.64083333333338</v>
      </c>
      <c r="BQ56" s="878">
        <f t="shared" si="609"/>
        <v>9.9333333333333336</v>
      </c>
      <c r="BR56" s="878">
        <f t="shared" si="609"/>
        <v>9.9333333333333336</v>
      </c>
      <c r="BS56" s="878">
        <f t="shared" si="609"/>
        <v>993.64083333333338</v>
      </c>
      <c r="BT56" s="878">
        <f t="shared" si="609"/>
        <v>9.9333333333333336</v>
      </c>
      <c r="BU56" s="878">
        <f t="shared" si="609"/>
        <v>9.9333333333333336</v>
      </c>
    </row>
    <row r="58" spans="1:73" s="18" customFormat="1">
      <c r="A58" s="866">
        <v>32</v>
      </c>
      <c r="B58" s="76"/>
      <c r="C58" s="76" t="s">
        <v>2084</v>
      </c>
      <c r="D58" s="875" t="s">
        <v>2255</v>
      </c>
      <c r="E58" s="882">
        <v>0.06</v>
      </c>
      <c r="F58" s="883">
        <v>0.04</v>
      </c>
      <c r="G58" s="878">
        <f t="shared" ref="G58:AK58" si="610">G45/(1+$E58)</f>
        <v>275.00646161798915</v>
      </c>
      <c r="H58" s="878">
        <f t="shared" si="610"/>
        <v>86.104581287154303</v>
      </c>
      <c r="I58" s="878">
        <f t="shared" si="610"/>
        <v>0</v>
      </c>
      <c r="J58" s="878">
        <f t="shared" si="610"/>
        <v>0</v>
      </c>
      <c r="K58" s="878">
        <f t="shared" si="610"/>
        <v>87.22405660377359</v>
      </c>
      <c r="L58" s="878">
        <f t="shared" si="610"/>
        <v>0</v>
      </c>
      <c r="M58" s="878">
        <f t="shared" si="610"/>
        <v>0</v>
      </c>
      <c r="N58" s="878">
        <f t="shared" si="610"/>
        <v>87.22405660377359</v>
      </c>
      <c r="O58" s="878">
        <f t="shared" si="610"/>
        <v>0</v>
      </c>
      <c r="P58" s="878">
        <f t="shared" si="610"/>
        <v>39.351253553889897</v>
      </c>
      <c r="Q58" s="878">
        <f t="shared" si="610"/>
        <v>211.04481132075475</v>
      </c>
      <c r="R58" s="878">
        <f t="shared" si="610"/>
        <v>0</v>
      </c>
      <c r="S58" s="878">
        <f t="shared" si="610"/>
        <v>40.708193331610239</v>
      </c>
      <c r="T58" s="878">
        <f t="shared" si="610"/>
        <v>334.86556603773579</v>
      </c>
      <c r="U58" s="878">
        <f t="shared" si="610"/>
        <v>0</v>
      </c>
      <c r="V58" s="878">
        <f t="shared" si="610"/>
        <v>13.569397777203415</v>
      </c>
      <c r="W58" s="878">
        <f t="shared" si="610"/>
        <v>376.1391509433962</v>
      </c>
      <c r="X58" s="878">
        <f t="shared" si="610"/>
        <v>0</v>
      </c>
      <c r="Y58" s="878">
        <f t="shared" si="610"/>
        <v>26.234169035926598</v>
      </c>
      <c r="Z58" s="878">
        <f t="shared" si="610"/>
        <v>458.68632075471692</v>
      </c>
      <c r="AA58" s="878">
        <f t="shared" si="610"/>
        <v>0</v>
      </c>
      <c r="AB58" s="878">
        <f t="shared" si="610"/>
        <v>13.117084517963299</v>
      </c>
      <c r="AC58" s="878">
        <f t="shared" si="610"/>
        <v>499.95990566037733</v>
      </c>
      <c r="AD58" s="878">
        <f t="shared" si="610"/>
        <v>0</v>
      </c>
      <c r="AE58" s="878">
        <f t="shared" si="610"/>
        <v>27.13879555440683</v>
      </c>
      <c r="AF58" s="878">
        <f t="shared" si="610"/>
        <v>582.50707547169804</v>
      </c>
      <c r="AG58" s="878">
        <f t="shared" si="610"/>
        <v>0</v>
      </c>
      <c r="AH58" s="878">
        <f t="shared" si="610"/>
        <v>0</v>
      </c>
      <c r="AI58" s="878">
        <f t="shared" si="610"/>
        <v>582.50707547169804</v>
      </c>
      <c r="AJ58" s="878">
        <f t="shared" si="610"/>
        <v>0</v>
      </c>
      <c r="AK58" s="878">
        <f t="shared" si="610"/>
        <v>39.351253553889897</v>
      </c>
      <c r="AL58" s="878">
        <f t="shared" ref="AL58:BU58" si="611">AL45/(1+$E58)</f>
        <v>706.32783018867929</v>
      </c>
      <c r="AM58" s="878">
        <f t="shared" si="611"/>
        <v>0</v>
      </c>
      <c r="AN58" s="878">
        <f t="shared" si="611"/>
        <v>0</v>
      </c>
      <c r="AO58" s="878">
        <f t="shared" si="611"/>
        <v>706.32783018867929</v>
      </c>
      <c r="AP58" s="878">
        <f t="shared" si="611"/>
        <v>0</v>
      </c>
      <c r="AQ58" s="878">
        <f t="shared" si="611"/>
        <v>40.708193331610239</v>
      </c>
      <c r="AR58" s="878">
        <f t="shared" si="611"/>
        <v>830.14858490566041</v>
      </c>
      <c r="AS58" s="878">
        <f t="shared" si="611"/>
        <v>0</v>
      </c>
      <c r="AT58" s="878">
        <f t="shared" si="611"/>
        <v>0</v>
      </c>
      <c r="AU58" s="878">
        <f t="shared" si="611"/>
        <v>830.14858490566041</v>
      </c>
      <c r="AV58" s="878">
        <f t="shared" si="611"/>
        <v>0</v>
      </c>
      <c r="AW58" s="878">
        <f t="shared" si="611"/>
        <v>0</v>
      </c>
      <c r="AX58" s="878">
        <f t="shared" si="611"/>
        <v>830.14858490566041</v>
      </c>
      <c r="AY58" s="878">
        <f t="shared" si="611"/>
        <v>0</v>
      </c>
      <c r="AZ58" s="878">
        <f t="shared" si="611"/>
        <v>0</v>
      </c>
      <c r="BA58" s="878">
        <f t="shared" si="611"/>
        <v>830.14858490566041</v>
      </c>
      <c r="BB58" s="878">
        <f t="shared" si="611"/>
        <v>0</v>
      </c>
      <c r="BC58" s="878">
        <f t="shared" si="611"/>
        <v>0</v>
      </c>
      <c r="BD58" s="878">
        <f t="shared" si="611"/>
        <v>830.14858490566041</v>
      </c>
      <c r="BE58" s="878">
        <f t="shared" si="611"/>
        <v>0</v>
      </c>
      <c r="BF58" s="878">
        <f t="shared" si="611"/>
        <v>0</v>
      </c>
      <c r="BG58" s="878">
        <f t="shared" si="611"/>
        <v>830.14858490566041</v>
      </c>
      <c r="BH58" s="878">
        <f t="shared" si="611"/>
        <v>0</v>
      </c>
      <c r="BI58" s="878">
        <f t="shared" si="611"/>
        <v>0</v>
      </c>
      <c r="BJ58" s="878">
        <f t="shared" si="611"/>
        <v>830.14858490566041</v>
      </c>
      <c r="BK58" s="878">
        <f t="shared" si="611"/>
        <v>0</v>
      </c>
      <c r="BL58" s="878">
        <f t="shared" si="611"/>
        <v>0</v>
      </c>
      <c r="BM58" s="878">
        <f t="shared" si="611"/>
        <v>830.14858490566041</v>
      </c>
      <c r="BN58" s="878">
        <f t="shared" si="611"/>
        <v>0</v>
      </c>
      <c r="BO58" s="878">
        <f t="shared" si="611"/>
        <v>0</v>
      </c>
      <c r="BP58" s="878">
        <f t="shared" si="611"/>
        <v>830.14858490566041</v>
      </c>
      <c r="BQ58" s="878">
        <f t="shared" si="611"/>
        <v>0</v>
      </c>
      <c r="BR58" s="878">
        <f t="shared" si="611"/>
        <v>0</v>
      </c>
      <c r="BS58" s="878">
        <f t="shared" si="611"/>
        <v>830.14858490566041</v>
      </c>
      <c r="BT58" s="878">
        <f t="shared" si="611"/>
        <v>0</v>
      </c>
      <c r="BU58" s="878">
        <f t="shared" si="611"/>
        <v>0</v>
      </c>
    </row>
    <row r="59" spans="1:73" s="18" customFormat="1">
      <c r="A59" s="866">
        <v>32</v>
      </c>
      <c r="B59" s="76"/>
      <c r="C59" s="76" t="s">
        <v>2256</v>
      </c>
      <c r="D59" s="76"/>
      <c r="E59" s="76"/>
      <c r="F59" s="884"/>
      <c r="G59" s="878"/>
      <c r="H59" s="878"/>
      <c r="I59" s="878"/>
      <c r="J59" s="878"/>
      <c r="K59" s="878"/>
      <c r="L59" s="878"/>
      <c r="M59" s="878"/>
      <c r="N59" s="878"/>
      <c r="O59" s="878"/>
      <c r="P59" s="878"/>
      <c r="Q59" s="878"/>
      <c r="R59" s="878"/>
      <c r="S59" s="878"/>
      <c r="T59" s="878"/>
      <c r="U59" s="878"/>
      <c r="V59" s="878"/>
      <c r="W59" s="878"/>
      <c r="X59" s="878"/>
      <c r="Y59" s="878"/>
      <c r="Z59" s="878"/>
      <c r="AA59" s="878"/>
      <c r="AB59" s="878"/>
      <c r="AC59" s="878"/>
      <c r="AD59" s="878"/>
      <c r="AE59" s="878"/>
      <c r="AF59" s="878"/>
      <c r="AG59" s="878"/>
      <c r="AH59" s="878"/>
      <c r="AI59" s="878"/>
      <c r="AJ59" s="878"/>
      <c r="AK59" s="878"/>
      <c r="AL59" s="878"/>
      <c r="AM59" s="878"/>
      <c r="AN59" s="878"/>
      <c r="AO59" s="878"/>
      <c r="AP59" s="878"/>
      <c r="AQ59" s="878"/>
      <c r="AR59" s="878"/>
      <c r="AS59" s="878"/>
      <c r="AT59" s="878"/>
      <c r="AU59" s="878"/>
      <c r="AV59" s="878"/>
      <c r="AW59" s="878"/>
      <c r="AX59" s="878"/>
      <c r="AY59" s="878"/>
      <c r="AZ59" s="878"/>
      <c r="BA59" s="878"/>
      <c r="BB59" s="878"/>
      <c r="BC59" s="878"/>
      <c r="BD59" s="878"/>
      <c r="BE59" s="878"/>
      <c r="BF59" s="878"/>
      <c r="BG59" s="878"/>
      <c r="BH59" s="878"/>
      <c r="BI59" s="878"/>
      <c r="BJ59" s="878"/>
      <c r="BK59" s="878"/>
      <c r="BL59" s="878"/>
      <c r="BM59" s="878"/>
      <c r="BN59" s="878"/>
      <c r="BO59" s="878"/>
      <c r="BP59" s="878"/>
      <c r="BQ59" s="878"/>
      <c r="BR59" s="878"/>
      <c r="BS59" s="878"/>
      <c r="BT59" s="878"/>
      <c r="BU59" s="878"/>
    </row>
    <row r="60" spans="1:73" s="18" customFormat="1">
      <c r="A60" s="866">
        <v>32</v>
      </c>
      <c r="B60" s="76"/>
      <c r="C60" s="885" t="s">
        <v>2267</v>
      </c>
      <c r="D60" s="875" t="s">
        <v>2251</v>
      </c>
      <c r="E60" s="882">
        <v>0.06</v>
      </c>
      <c r="F60" s="884">
        <v>10</v>
      </c>
      <c r="G60" s="878">
        <f>G47/(1+$E60)</f>
        <v>9.4339622641509422</v>
      </c>
      <c r="H60" s="878">
        <f t="shared" ref="H60:AK60" si="612">H47/(1+$E60)</f>
        <v>0</v>
      </c>
      <c r="I60" s="878">
        <f t="shared" si="612"/>
        <v>0</v>
      </c>
      <c r="J60" s="878">
        <f t="shared" si="612"/>
        <v>0</v>
      </c>
      <c r="K60" s="878">
        <f t="shared" si="612"/>
        <v>4.7169811320754711</v>
      </c>
      <c r="L60" s="878">
        <f t="shared" si="612"/>
        <v>0</v>
      </c>
      <c r="M60" s="878">
        <f t="shared" si="612"/>
        <v>0</v>
      </c>
      <c r="N60" s="878">
        <f t="shared" si="612"/>
        <v>4.7169811320754711</v>
      </c>
      <c r="O60" s="878">
        <f t="shared" si="612"/>
        <v>0</v>
      </c>
      <c r="P60" s="878">
        <f t="shared" si="612"/>
        <v>2.9981907469630391</v>
      </c>
      <c r="Q60" s="878">
        <f t="shared" si="612"/>
        <v>14.150943396226415</v>
      </c>
      <c r="R60" s="878">
        <f t="shared" si="612"/>
        <v>0</v>
      </c>
      <c r="S60" s="878">
        <f t="shared" si="612"/>
        <v>3.101576634789351</v>
      </c>
      <c r="T60" s="878">
        <f t="shared" si="612"/>
        <v>23.584905660377359</v>
      </c>
      <c r="U60" s="878">
        <f t="shared" si="612"/>
        <v>0</v>
      </c>
      <c r="V60" s="878">
        <f t="shared" si="612"/>
        <v>1.5507883173946755</v>
      </c>
      <c r="W60" s="878">
        <f t="shared" si="612"/>
        <v>28.30188679245283</v>
      </c>
      <c r="X60" s="878">
        <f t="shared" si="612"/>
        <v>0</v>
      </c>
      <c r="Y60" s="878">
        <f t="shared" si="612"/>
        <v>1.4990953734815196</v>
      </c>
      <c r="Z60" s="878">
        <f t="shared" si="612"/>
        <v>33.018867924528301</v>
      </c>
      <c r="AA60" s="878">
        <f t="shared" si="612"/>
        <v>0</v>
      </c>
      <c r="AB60" s="878">
        <f t="shared" si="612"/>
        <v>1.4990953734815196</v>
      </c>
      <c r="AC60" s="878">
        <f t="shared" si="612"/>
        <v>37.735849056603769</v>
      </c>
      <c r="AD60" s="878">
        <f t="shared" si="612"/>
        <v>0</v>
      </c>
      <c r="AE60" s="878">
        <f t="shared" si="612"/>
        <v>1.5507883173946755</v>
      </c>
      <c r="AF60" s="878">
        <f t="shared" si="612"/>
        <v>42.452830188679243</v>
      </c>
      <c r="AG60" s="878">
        <f t="shared" si="612"/>
        <v>0</v>
      </c>
      <c r="AH60" s="878">
        <f t="shared" si="612"/>
        <v>0</v>
      </c>
      <c r="AI60" s="878">
        <f t="shared" si="612"/>
        <v>42.452830188679243</v>
      </c>
      <c r="AJ60" s="878">
        <f t="shared" si="612"/>
        <v>0</v>
      </c>
      <c r="AK60" s="878">
        <f t="shared" si="612"/>
        <v>2.9981907469630391</v>
      </c>
      <c r="AL60" s="878">
        <f t="shared" ref="AL60:BU60" si="613">AL47/(1+$E60)</f>
        <v>51.886792452830186</v>
      </c>
      <c r="AM60" s="878">
        <f t="shared" si="613"/>
        <v>0</v>
      </c>
      <c r="AN60" s="878">
        <f t="shared" si="613"/>
        <v>0</v>
      </c>
      <c r="AO60" s="878">
        <f t="shared" si="613"/>
        <v>51.886792452830186</v>
      </c>
      <c r="AP60" s="878">
        <f t="shared" si="613"/>
        <v>0</v>
      </c>
      <c r="AQ60" s="878">
        <f t="shared" si="613"/>
        <v>3.101576634789351</v>
      </c>
      <c r="AR60" s="878">
        <f t="shared" si="613"/>
        <v>61.320754716981128</v>
      </c>
      <c r="AS60" s="878">
        <f t="shared" si="613"/>
        <v>0</v>
      </c>
      <c r="AT60" s="878">
        <f t="shared" si="613"/>
        <v>0</v>
      </c>
      <c r="AU60" s="878">
        <f t="shared" si="613"/>
        <v>61.320754716981128</v>
      </c>
      <c r="AV60" s="878">
        <f t="shared" si="613"/>
        <v>0</v>
      </c>
      <c r="AW60" s="878">
        <f t="shared" si="613"/>
        <v>0</v>
      </c>
      <c r="AX60" s="878">
        <f t="shared" si="613"/>
        <v>61.320754716981128</v>
      </c>
      <c r="AY60" s="878">
        <f t="shared" si="613"/>
        <v>0</v>
      </c>
      <c r="AZ60" s="878">
        <f t="shared" si="613"/>
        <v>0</v>
      </c>
      <c r="BA60" s="878">
        <f t="shared" si="613"/>
        <v>61.320754716981128</v>
      </c>
      <c r="BB60" s="878">
        <f t="shared" si="613"/>
        <v>0</v>
      </c>
      <c r="BC60" s="878">
        <f t="shared" si="613"/>
        <v>0</v>
      </c>
      <c r="BD60" s="878">
        <f t="shared" si="613"/>
        <v>61.320754716981128</v>
      </c>
      <c r="BE60" s="878">
        <f t="shared" si="613"/>
        <v>0</v>
      </c>
      <c r="BF60" s="878">
        <f t="shared" si="613"/>
        <v>0</v>
      </c>
      <c r="BG60" s="878">
        <f t="shared" si="613"/>
        <v>61.320754716981128</v>
      </c>
      <c r="BH60" s="878">
        <f t="shared" si="613"/>
        <v>0</v>
      </c>
      <c r="BI60" s="878">
        <f t="shared" si="613"/>
        <v>0</v>
      </c>
      <c r="BJ60" s="878">
        <f t="shared" si="613"/>
        <v>61.320754716981128</v>
      </c>
      <c r="BK60" s="878">
        <f t="shared" si="613"/>
        <v>0</v>
      </c>
      <c r="BL60" s="878">
        <f t="shared" si="613"/>
        <v>0</v>
      </c>
      <c r="BM60" s="878">
        <f t="shared" si="613"/>
        <v>61.320754716981128</v>
      </c>
      <c r="BN60" s="878">
        <f t="shared" si="613"/>
        <v>0</v>
      </c>
      <c r="BO60" s="878">
        <f t="shared" si="613"/>
        <v>0</v>
      </c>
      <c r="BP60" s="878">
        <f t="shared" si="613"/>
        <v>61.320754716981128</v>
      </c>
      <c r="BQ60" s="878">
        <f t="shared" si="613"/>
        <v>0</v>
      </c>
      <c r="BR60" s="878">
        <f t="shared" si="613"/>
        <v>0</v>
      </c>
      <c r="BS60" s="878">
        <f t="shared" si="613"/>
        <v>61.320754716981128</v>
      </c>
      <c r="BT60" s="878">
        <f t="shared" si="613"/>
        <v>0</v>
      </c>
      <c r="BU60" s="878">
        <f t="shared" si="613"/>
        <v>0</v>
      </c>
    </row>
    <row r="61" spans="1:73" s="18" customFormat="1">
      <c r="A61" s="866"/>
      <c r="B61" s="76"/>
      <c r="C61" s="885" t="s">
        <v>2268</v>
      </c>
      <c r="D61" s="875" t="s">
        <v>2251</v>
      </c>
      <c r="E61" s="882">
        <v>0.06</v>
      </c>
      <c r="F61" s="884">
        <v>25</v>
      </c>
      <c r="G61" s="878">
        <f t="shared" ref="G61:AK66" si="614">G48/(1+$E61)</f>
        <v>0</v>
      </c>
      <c r="H61" s="878">
        <f t="shared" si="614"/>
        <v>5.8962264150943398</v>
      </c>
      <c r="I61" s="878">
        <f t="shared" si="614"/>
        <v>0</v>
      </c>
      <c r="J61" s="878">
        <f t="shared" si="614"/>
        <v>0</v>
      </c>
      <c r="K61" s="878">
        <f t="shared" si="614"/>
        <v>5.8962264150943398</v>
      </c>
      <c r="L61" s="878">
        <f t="shared" si="614"/>
        <v>0</v>
      </c>
      <c r="M61" s="878">
        <f t="shared" si="614"/>
        <v>0</v>
      </c>
      <c r="N61" s="878">
        <f t="shared" si="614"/>
        <v>5.8962264150943398</v>
      </c>
      <c r="O61" s="878">
        <f t="shared" si="614"/>
        <v>0</v>
      </c>
      <c r="P61" s="878">
        <f t="shared" si="614"/>
        <v>0</v>
      </c>
      <c r="Q61" s="878">
        <f t="shared" si="614"/>
        <v>5.8962264150943398</v>
      </c>
      <c r="R61" s="878">
        <f t="shared" si="614"/>
        <v>0</v>
      </c>
      <c r="S61" s="878">
        <f t="shared" si="614"/>
        <v>0</v>
      </c>
      <c r="T61" s="878">
        <f t="shared" si="614"/>
        <v>5.8962264150943398</v>
      </c>
      <c r="U61" s="878">
        <f t="shared" si="614"/>
        <v>0</v>
      </c>
      <c r="V61" s="878">
        <f t="shared" si="614"/>
        <v>0</v>
      </c>
      <c r="W61" s="878">
        <f t="shared" si="614"/>
        <v>5.8962264150943398</v>
      </c>
      <c r="X61" s="878">
        <f t="shared" si="614"/>
        <v>0</v>
      </c>
      <c r="Y61" s="878">
        <f t="shared" si="614"/>
        <v>0</v>
      </c>
      <c r="Z61" s="878">
        <f t="shared" si="614"/>
        <v>5.8962264150943398</v>
      </c>
      <c r="AA61" s="878">
        <f t="shared" si="614"/>
        <v>0</v>
      </c>
      <c r="AB61" s="878">
        <f t="shared" si="614"/>
        <v>0</v>
      </c>
      <c r="AC61" s="878">
        <f t="shared" si="614"/>
        <v>5.8962264150943398</v>
      </c>
      <c r="AD61" s="878">
        <f t="shared" si="614"/>
        <v>0</v>
      </c>
      <c r="AE61" s="878">
        <f t="shared" si="614"/>
        <v>0</v>
      </c>
      <c r="AF61" s="878">
        <f t="shared" si="614"/>
        <v>5.8962264150943398</v>
      </c>
      <c r="AG61" s="878">
        <f t="shared" si="614"/>
        <v>0</v>
      </c>
      <c r="AH61" s="878">
        <f t="shared" si="614"/>
        <v>0</v>
      </c>
      <c r="AI61" s="878">
        <f t="shared" si="614"/>
        <v>5.8962264150943398</v>
      </c>
      <c r="AJ61" s="878">
        <f t="shared" si="614"/>
        <v>0</v>
      </c>
      <c r="AK61" s="878">
        <f t="shared" si="614"/>
        <v>0</v>
      </c>
      <c r="AL61" s="878">
        <f t="shared" ref="AL61:BU61" si="615">AL48/(1+$E61)</f>
        <v>5.8962264150943398</v>
      </c>
      <c r="AM61" s="878">
        <f t="shared" si="615"/>
        <v>0</v>
      </c>
      <c r="AN61" s="878">
        <f t="shared" si="615"/>
        <v>0</v>
      </c>
      <c r="AO61" s="878">
        <f t="shared" si="615"/>
        <v>5.8962264150943398</v>
      </c>
      <c r="AP61" s="878">
        <f t="shared" si="615"/>
        <v>0</v>
      </c>
      <c r="AQ61" s="878">
        <f t="shared" si="615"/>
        <v>0</v>
      </c>
      <c r="AR61" s="878">
        <f t="shared" si="615"/>
        <v>5.8962264150943398</v>
      </c>
      <c r="AS61" s="878">
        <f t="shared" si="615"/>
        <v>0</v>
      </c>
      <c r="AT61" s="878">
        <f t="shared" si="615"/>
        <v>0</v>
      </c>
      <c r="AU61" s="878">
        <f t="shared" si="615"/>
        <v>5.8962264150943398</v>
      </c>
      <c r="AV61" s="878">
        <f t="shared" si="615"/>
        <v>0</v>
      </c>
      <c r="AW61" s="878">
        <f t="shared" si="615"/>
        <v>0</v>
      </c>
      <c r="AX61" s="878">
        <f t="shared" si="615"/>
        <v>5.8962264150943398</v>
      </c>
      <c r="AY61" s="878">
        <f t="shared" si="615"/>
        <v>0</v>
      </c>
      <c r="AZ61" s="878">
        <f t="shared" si="615"/>
        <v>0</v>
      </c>
      <c r="BA61" s="878">
        <f t="shared" si="615"/>
        <v>5.8962264150943398</v>
      </c>
      <c r="BB61" s="878">
        <f t="shared" si="615"/>
        <v>0</v>
      </c>
      <c r="BC61" s="878">
        <f t="shared" si="615"/>
        <v>0</v>
      </c>
      <c r="BD61" s="878">
        <f t="shared" si="615"/>
        <v>5.8962264150943398</v>
      </c>
      <c r="BE61" s="878">
        <f t="shared" si="615"/>
        <v>0</v>
      </c>
      <c r="BF61" s="878">
        <f t="shared" si="615"/>
        <v>0</v>
      </c>
      <c r="BG61" s="878">
        <f t="shared" si="615"/>
        <v>5.8962264150943398</v>
      </c>
      <c r="BH61" s="878">
        <f t="shared" si="615"/>
        <v>0</v>
      </c>
      <c r="BI61" s="878">
        <f t="shared" si="615"/>
        <v>0</v>
      </c>
      <c r="BJ61" s="878">
        <f t="shared" si="615"/>
        <v>5.8962264150943398</v>
      </c>
      <c r="BK61" s="878">
        <f t="shared" si="615"/>
        <v>0</v>
      </c>
      <c r="BL61" s="878">
        <f t="shared" si="615"/>
        <v>0</v>
      </c>
      <c r="BM61" s="878">
        <f t="shared" si="615"/>
        <v>5.8962264150943398</v>
      </c>
      <c r="BN61" s="878">
        <f t="shared" si="615"/>
        <v>0</v>
      </c>
      <c r="BO61" s="878">
        <f t="shared" si="615"/>
        <v>0</v>
      </c>
      <c r="BP61" s="878">
        <f t="shared" si="615"/>
        <v>5.8962264150943398</v>
      </c>
      <c r="BQ61" s="878">
        <f t="shared" si="615"/>
        <v>0</v>
      </c>
      <c r="BR61" s="878">
        <f t="shared" si="615"/>
        <v>0</v>
      </c>
      <c r="BS61" s="878">
        <f t="shared" si="615"/>
        <v>5.8962264150943398</v>
      </c>
      <c r="BT61" s="878">
        <f t="shared" si="615"/>
        <v>0</v>
      </c>
      <c r="BU61" s="878">
        <f t="shared" si="615"/>
        <v>0</v>
      </c>
    </row>
    <row r="62" spans="1:73" s="18" customFormat="1">
      <c r="A62" s="866"/>
      <c r="B62" s="76"/>
      <c r="C62" s="885" t="s">
        <v>2269</v>
      </c>
      <c r="D62" s="875" t="s">
        <v>2251</v>
      </c>
      <c r="E62" s="882">
        <v>0.06</v>
      </c>
      <c r="F62" s="884">
        <v>10</v>
      </c>
      <c r="G62" s="878">
        <f t="shared" si="614"/>
        <v>0</v>
      </c>
      <c r="H62" s="878">
        <f t="shared" si="614"/>
        <v>2.3584905660377355</v>
      </c>
      <c r="I62" s="878">
        <f t="shared" si="614"/>
        <v>0</v>
      </c>
      <c r="J62" s="878">
        <f t="shared" si="614"/>
        <v>0</v>
      </c>
      <c r="K62" s="878">
        <f t="shared" si="614"/>
        <v>2.3584905660377355</v>
      </c>
      <c r="L62" s="878">
        <f t="shared" si="614"/>
        <v>0</v>
      </c>
      <c r="M62" s="878">
        <f t="shared" si="614"/>
        <v>0</v>
      </c>
      <c r="N62" s="878">
        <f t="shared" si="614"/>
        <v>2.3584905660377355</v>
      </c>
      <c r="O62" s="878">
        <f t="shared" si="614"/>
        <v>0</v>
      </c>
      <c r="P62" s="878">
        <f t="shared" si="614"/>
        <v>0</v>
      </c>
      <c r="Q62" s="878">
        <f t="shared" si="614"/>
        <v>7.0754716981132075</v>
      </c>
      <c r="R62" s="878">
        <f t="shared" si="614"/>
        <v>0</v>
      </c>
      <c r="S62" s="878">
        <f t="shared" si="614"/>
        <v>0</v>
      </c>
      <c r="T62" s="878">
        <f t="shared" si="614"/>
        <v>11.79245283018868</v>
      </c>
      <c r="U62" s="878">
        <f t="shared" si="614"/>
        <v>0</v>
      </c>
      <c r="V62" s="878">
        <f t="shared" si="614"/>
        <v>0</v>
      </c>
      <c r="W62" s="878">
        <f t="shared" si="614"/>
        <v>14.150943396226415</v>
      </c>
      <c r="X62" s="878">
        <f t="shared" si="614"/>
        <v>0</v>
      </c>
      <c r="Y62" s="878">
        <f t="shared" si="614"/>
        <v>0</v>
      </c>
      <c r="Z62" s="878">
        <f t="shared" si="614"/>
        <v>16.509433962264151</v>
      </c>
      <c r="AA62" s="878">
        <f t="shared" si="614"/>
        <v>0</v>
      </c>
      <c r="AB62" s="878">
        <f t="shared" si="614"/>
        <v>0</v>
      </c>
      <c r="AC62" s="878">
        <f t="shared" si="614"/>
        <v>18.867924528301884</v>
      </c>
      <c r="AD62" s="878">
        <f t="shared" si="614"/>
        <v>0</v>
      </c>
      <c r="AE62" s="878">
        <f t="shared" si="614"/>
        <v>0</v>
      </c>
      <c r="AF62" s="878">
        <f t="shared" si="614"/>
        <v>21.226415094339622</v>
      </c>
      <c r="AG62" s="878">
        <f t="shared" si="614"/>
        <v>0</v>
      </c>
      <c r="AH62" s="878">
        <f t="shared" si="614"/>
        <v>0</v>
      </c>
      <c r="AI62" s="878">
        <f t="shared" si="614"/>
        <v>21.226415094339622</v>
      </c>
      <c r="AJ62" s="878">
        <f t="shared" si="614"/>
        <v>0</v>
      </c>
      <c r="AK62" s="878">
        <f t="shared" si="614"/>
        <v>0</v>
      </c>
      <c r="AL62" s="878">
        <f t="shared" ref="AL62:BU62" si="616">AL49/(1+$E62)</f>
        <v>25.943396226415093</v>
      </c>
      <c r="AM62" s="878">
        <f t="shared" si="616"/>
        <v>0</v>
      </c>
      <c r="AN62" s="878">
        <f t="shared" si="616"/>
        <v>0</v>
      </c>
      <c r="AO62" s="878">
        <f t="shared" si="616"/>
        <v>25.943396226415093</v>
      </c>
      <c r="AP62" s="878">
        <f t="shared" si="616"/>
        <v>0</v>
      </c>
      <c r="AQ62" s="878">
        <f t="shared" si="616"/>
        <v>0</v>
      </c>
      <c r="AR62" s="878">
        <f t="shared" si="616"/>
        <v>30.660377358490564</v>
      </c>
      <c r="AS62" s="878">
        <f t="shared" si="616"/>
        <v>0</v>
      </c>
      <c r="AT62" s="878">
        <f t="shared" si="616"/>
        <v>0</v>
      </c>
      <c r="AU62" s="878">
        <f t="shared" si="616"/>
        <v>30.660377358490564</v>
      </c>
      <c r="AV62" s="878">
        <f t="shared" si="616"/>
        <v>0</v>
      </c>
      <c r="AW62" s="878">
        <f t="shared" si="616"/>
        <v>0</v>
      </c>
      <c r="AX62" s="878">
        <f t="shared" si="616"/>
        <v>30.660377358490564</v>
      </c>
      <c r="AY62" s="878">
        <f t="shared" si="616"/>
        <v>0</v>
      </c>
      <c r="AZ62" s="878">
        <f t="shared" si="616"/>
        <v>0</v>
      </c>
      <c r="BA62" s="878">
        <f t="shared" si="616"/>
        <v>30.660377358490564</v>
      </c>
      <c r="BB62" s="878">
        <f t="shared" si="616"/>
        <v>0</v>
      </c>
      <c r="BC62" s="878">
        <f t="shared" si="616"/>
        <v>0</v>
      </c>
      <c r="BD62" s="878">
        <f t="shared" si="616"/>
        <v>30.660377358490564</v>
      </c>
      <c r="BE62" s="878">
        <f t="shared" si="616"/>
        <v>0</v>
      </c>
      <c r="BF62" s="878">
        <f t="shared" si="616"/>
        <v>0</v>
      </c>
      <c r="BG62" s="878">
        <f t="shared" si="616"/>
        <v>30.660377358490564</v>
      </c>
      <c r="BH62" s="878">
        <f t="shared" si="616"/>
        <v>0</v>
      </c>
      <c r="BI62" s="878">
        <f t="shared" si="616"/>
        <v>0</v>
      </c>
      <c r="BJ62" s="878">
        <f t="shared" si="616"/>
        <v>30.660377358490564</v>
      </c>
      <c r="BK62" s="878">
        <f t="shared" si="616"/>
        <v>0</v>
      </c>
      <c r="BL62" s="878">
        <f t="shared" si="616"/>
        <v>0</v>
      </c>
      <c r="BM62" s="878">
        <f t="shared" si="616"/>
        <v>30.660377358490564</v>
      </c>
      <c r="BN62" s="878">
        <f t="shared" si="616"/>
        <v>0</v>
      </c>
      <c r="BO62" s="878">
        <f t="shared" si="616"/>
        <v>0</v>
      </c>
      <c r="BP62" s="878">
        <f t="shared" si="616"/>
        <v>30.660377358490564</v>
      </c>
      <c r="BQ62" s="878">
        <f t="shared" si="616"/>
        <v>0</v>
      </c>
      <c r="BR62" s="878">
        <f t="shared" si="616"/>
        <v>0</v>
      </c>
      <c r="BS62" s="878">
        <f t="shared" si="616"/>
        <v>30.660377358490564</v>
      </c>
      <c r="BT62" s="878">
        <f t="shared" si="616"/>
        <v>0</v>
      </c>
      <c r="BU62" s="878">
        <f t="shared" si="616"/>
        <v>0</v>
      </c>
    </row>
    <row r="63" spans="1:73" s="18" customFormat="1">
      <c r="A63" s="866"/>
      <c r="B63" s="76"/>
      <c r="C63" s="885" t="s">
        <v>2270</v>
      </c>
      <c r="D63" s="875" t="s">
        <v>2251</v>
      </c>
      <c r="E63" s="882">
        <v>0.06</v>
      </c>
      <c r="F63" s="884">
        <v>15</v>
      </c>
      <c r="G63" s="878">
        <f t="shared" si="614"/>
        <v>0</v>
      </c>
      <c r="H63" s="878">
        <f t="shared" si="614"/>
        <v>0</v>
      </c>
      <c r="I63" s="878">
        <f t="shared" si="614"/>
        <v>0</v>
      </c>
      <c r="J63" s="878">
        <f t="shared" si="614"/>
        <v>0</v>
      </c>
      <c r="K63" s="878">
        <f t="shared" si="614"/>
        <v>0</v>
      </c>
      <c r="L63" s="878">
        <f t="shared" si="614"/>
        <v>0</v>
      </c>
      <c r="M63" s="878">
        <f t="shared" si="614"/>
        <v>0</v>
      </c>
      <c r="N63" s="878">
        <f t="shared" si="614"/>
        <v>0</v>
      </c>
      <c r="O63" s="878">
        <f t="shared" si="614"/>
        <v>0</v>
      </c>
      <c r="P63" s="878">
        <f t="shared" si="614"/>
        <v>0</v>
      </c>
      <c r="Q63" s="878">
        <f t="shared" si="614"/>
        <v>0</v>
      </c>
      <c r="R63" s="878">
        <f t="shared" si="614"/>
        <v>0</v>
      </c>
      <c r="S63" s="878">
        <f t="shared" si="614"/>
        <v>0</v>
      </c>
      <c r="T63" s="878">
        <f t="shared" si="614"/>
        <v>0</v>
      </c>
      <c r="U63" s="878">
        <f t="shared" si="614"/>
        <v>0</v>
      </c>
      <c r="V63" s="878">
        <f t="shared" si="614"/>
        <v>0</v>
      </c>
      <c r="W63" s="878">
        <f t="shared" si="614"/>
        <v>0</v>
      </c>
      <c r="X63" s="878">
        <f t="shared" si="614"/>
        <v>0</v>
      </c>
      <c r="Y63" s="878">
        <f t="shared" si="614"/>
        <v>0</v>
      </c>
      <c r="Z63" s="878">
        <f t="shared" si="614"/>
        <v>0</v>
      </c>
      <c r="AA63" s="878">
        <f t="shared" si="614"/>
        <v>0</v>
      </c>
      <c r="AB63" s="878">
        <f t="shared" si="614"/>
        <v>0</v>
      </c>
      <c r="AC63" s="878">
        <f t="shared" si="614"/>
        <v>0</v>
      </c>
      <c r="AD63" s="878">
        <f t="shared" si="614"/>
        <v>0</v>
      </c>
      <c r="AE63" s="878">
        <f t="shared" si="614"/>
        <v>0</v>
      </c>
      <c r="AF63" s="878">
        <f t="shared" si="614"/>
        <v>0</v>
      </c>
      <c r="AG63" s="878">
        <f t="shared" si="614"/>
        <v>0</v>
      </c>
      <c r="AH63" s="878">
        <f t="shared" si="614"/>
        <v>0</v>
      </c>
      <c r="AI63" s="878">
        <f t="shared" si="614"/>
        <v>0</v>
      </c>
      <c r="AJ63" s="878">
        <f t="shared" si="614"/>
        <v>0</v>
      </c>
      <c r="AK63" s="878">
        <f t="shared" si="614"/>
        <v>0</v>
      </c>
      <c r="AL63" s="878">
        <f t="shared" ref="AL63:BU63" si="617">AL50/(1+$E63)</f>
        <v>0</v>
      </c>
      <c r="AM63" s="878">
        <f t="shared" si="617"/>
        <v>0</v>
      </c>
      <c r="AN63" s="878">
        <f t="shared" si="617"/>
        <v>0</v>
      </c>
      <c r="AO63" s="878">
        <f t="shared" si="617"/>
        <v>0</v>
      </c>
      <c r="AP63" s="878">
        <f t="shared" si="617"/>
        <v>0</v>
      </c>
      <c r="AQ63" s="878">
        <f t="shared" si="617"/>
        <v>0</v>
      </c>
      <c r="AR63" s="878">
        <f t="shared" si="617"/>
        <v>0</v>
      </c>
      <c r="AS63" s="878">
        <f t="shared" si="617"/>
        <v>0</v>
      </c>
      <c r="AT63" s="878">
        <f t="shared" si="617"/>
        <v>0</v>
      </c>
      <c r="AU63" s="878">
        <f t="shared" si="617"/>
        <v>0</v>
      </c>
      <c r="AV63" s="878">
        <f t="shared" si="617"/>
        <v>0</v>
      </c>
      <c r="AW63" s="878">
        <f t="shared" si="617"/>
        <v>0</v>
      </c>
      <c r="AX63" s="878">
        <f t="shared" si="617"/>
        <v>0</v>
      </c>
      <c r="AY63" s="878">
        <f t="shared" si="617"/>
        <v>0</v>
      </c>
      <c r="AZ63" s="878">
        <f t="shared" si="617"/>
        <v>0</v>
      </c>
      <c r="BA63" s="878">
        <f t="shared" si="617"/>
        <v>0</v>
      </c>
      <c r="BB63" s="878">
        <f t="shared" si="617"/>
        <v>0</v>
      </c>
      <c r="BC63" s="878">
        <f t="shared" si="617"/>
        <v>0</v>
      </c>
      <c r="BD63" s="878">
        <f t="shared" si="617"/>
        <v>0</v>
      </c>
      <c r="BE63" s="878">
        <f t="shared" si="617"/>
        <v>0</v>
      </c>
      <c r="BF63" s="878">
        <f t="shared" si="617"/>
        <v>0</v>
      </c>
      <c r="BG63" s="878">
        <f t="shared" si="617"/>
        <v>0</v>
      </c>
      <c r="BH63" s="878">
        <f t="shared" si="617"/>
        <v>0</v>
      </c>
      <c r="BI63" s="878">
        <f t="shared" si="617"/>
        <v>0</v>
      </c>
      <c r="BJ63" s="878">
        <f t="shared" si="617"/>
        <v>0</v>
      </c>
      <c r="BK63" s="878">
        <f t="shared" si="617"/>
        <v>0</v>
      </c>
      <c r="BL63" s="878">
        <f t="shared" si="617"/>
        <v>0</v>
      </c>
      <c r="BM63" s="878">
        <f t="shared" si="617"/>
        <v>0</v>
      </c>
      <c r="BN63" s="878">
        <f t="shared" si="617"/>
        <v>0</v>
      </c>
      <c r="BO63" s="878">
        <f t="shared" si="617"/>
        <v>0</v>
      </c>
      <c r="BP63" s="878">
        <f t="shared" si="617"/>
        <v>0</v>
      </c>
      <c r="BQ63" s="878">
        <f t="shared" si="617"/>
        <v>0</v>
      </c>
      <c r="BR63" s="878">
        <f t="shared" si="617"/>
        <v>0</v>
      </c>
      <c r="BS63" s="878">
        <f t="shared" si="617"/>
        <v>0</v>
      </c>
      <c r="BT63" s="878">
        <f t="shared" si="617"/>
        <v>0</v>
      </c>
      <c r="BU63" s="878">
        <f t="shared" si="617"/>
        <v>0</v>
      </c>
    </row>
    <row r="64" spans="1:73" s="18" customFormat="1">
      <c r="A64" s="866">
        <v>32</v>
      </c>
      <c r="B64" s="76"/>
      <c r="C64" s="76" t="s">
        <v>2271</v>
      </c>
      <c r="D64" s="875" t="s">
        <v>2251</v>
      </c>
      <c r="E64" s="882">
        <v>0</v>
      </c>
      <c r="F64" s="884">
        <f>0.75*12</f>
        <v>9</v>
      </c>
      <c r="G64" s="878">
        <f>G51/(1+$E64)</f>
        <v>9</v>
      </c>
      <c r="H64" s="878">
        <f t="shared" si="614"/>
        <v>0.75</v>
      </c>
      <c r="I64" s="878">
        <f t="shared" si="614"/>
        <v>0.75</v>
      </c>
      <c r="J64" s="878">
        <f t="shared" si="614"/>
        <v>0.75</v>
      </c>
      <c r="K64" s="878">
        <f t="shared" si="614"/>
        <v>0.75</v>
      </c>
      <c r="L64" s="878">
        <f t="shared" si="614"/>
        <v>0.75</v>
      </c>
      <c r="M64" s="878">
        <f t="shared" si="614"/>
        <v>0.75</v>
      </c>
      <c r="N64" s="878">
        <f t="shared" si="614"/>
        <v>0.75</v>
      </c>
      <c r="O64" s="878">
        <f t="shared" si="614"/>
        <v>0.75</v>
      </c>
      <c r="P64" s="878">
        <f t="shared" si="614"/>
        <v>0.75</v>
      </c>
      <c r="Q64" s="878">
        <f t="shared" si="614"/>
        <v>2.25</v>
      </c>
      <c r="R64" s="878">
        <f t="shared" si="614"/>
        <v>2.25</v>
      </c>
      <c r="S64" s="878">
        <f t="shared" si="614"/>
        <v>2.25</v>
      </c>
      <c r="T64" s="878">
        <f t="shared" si="614"/>
        <v>2.25</v>
      </c>
      <c r="U64" s="878">
        <f t="shared" si="614"/>
        <v>2.25</v>
      </c>
      <c r="V64" s="878">
        <f t="shared" si="614"/>
        <v>2.25</v>
      </c>
      <c r="W64" s="878">
        <f t="shared" si="614"/>
        <v>2.25</v>
      </c>
      <c r="X64" s="878">
        <f t="shared" si="614"/>
        <v>2.25</v>
      </c>
      <c r="Y64" s="878">
        <f t="shared" si="614"/>
        <v>3</v>
      </c>
      <c r="Z64" s="878">
        <f t="shared" si="614"/>
        <v>3</v>
      </c>
      <c r="AA64" s="878">
        <f t="shared" si="614"/>
        <v>3</v>
      </c>
      <c r="AB64" s="878">
        <f t="shared" si="614"/>
        <v>3</v>
      </c>
      <c r="AC64" s="878">
        <f t="shared" si="614"/>
        <v>3</v>
      </c>
      <c r="AD64" s="878">
        <f t="shared" si="614"/>
        <v>3</v>
      </c>
      <c r="AE64" s="878">
        <f t="shared" si="614"/>
        <v>3</v>
      </c>
      <c r="AF64" s="878">
        <f t="shared" si="614"/>
        <v>3</v>
      </c>
      <c r="AG64" s="878">
        <f t="shared" si="614"/>
        <v>3</v>
      </c>
      <c r="AH64" s="878">
        <f t="shared" si="614"/>
        <v>3</v>
      </c>
      <c r="AI64" s="878">
        <f t="shared" si="614"/>
        <v>3</v>
      </c>
      <c r="AJ64" s="878">
        <f t="shared" si="614"/>
        <v>3</v>
      </c>
      <c r="AK64" s="878">
        <f t="shared" si="614"/>
        <v>3</v>
      </c>
      <c r="AL64" s="878">
        <f t="shared" ref="AL64:BU64" si="618">AL51/(1+$E64)</f>
        <v>3</v>
      </c>
      <c r="AM64" s="878">
        <f t="shared" si="618"/>
        <v>3</v>
      </c>
      <c r="AN64" s="878">
        <f t="shared" si="618"/>
        <v>3</v>
      </c>
      <c r="AO64" s="878">
        <f t="shared" si="618"/>
        <v>3</v>
      </c>
      <c r="AP64" s="878">
        <f t="shared" si="618"/>
        <v>3</v>
      </c>
      <c r="AQ64" s="878">
        <f t="shared" si="618"/>
        <v>3</v>
      </c>
      <c r="AR64" s="878">
        <f t="shared" si="618"/>
        <v>3</v>
      </c>
      <c r="AS64" s="878">
        <f t="shared" si="618"/>
        <v>3</v>
      </c>
      <c r="AT64" s="878">
        <f t="shared" si="618"/>
        <v>3</v>
      </c>
      <c r="AU64" s="878">
        <f t="shared" si="618"/>
        <v>3</v>
      </c>
      <c r="AV64" s="878">
        <f t="shared" si="618"/>
        <v>3</v>
      </c>
      <c r="AW64" s="878">
        <f t="shared" si="618"/>
        <v>3</v>
      </c>
      <c r="AX64" s="878">
        <f t="shared" si="618"/>
        <v>3</v>
      </c>
      <c r="AY64" s="878">
        <f t="shared" si="618"/>
        <v>3</v>
      </c>
      <c r="AZ64" s="878">
        <f t="shared" si="618"/>
        <v>3</v>
      </c>
      <c r="BA64" s="878">
        <f t="shared" si="618"/>
        <v>3</v>
      </c>
      <c r="BB64" s="878">
        <f t="shared" si="618"/>
        <v>3</v>
      </c>
      <c r="BC64" s="878">
        <f t="shared" si="618"/>
        <v>3</v>
      </c>
      <c r="BD64" s="878">
        <f t="shared" si="618"/>
        <v>3</v>
      </c>
      <c r="BE64" s="878">
        <f t="shared" si="618"/>
        <v>3</v>
      </c>
      <c r="BF64" s="878">
        <f t="shared" si="618"/>
        <v>3</v>
      </c>
      <c r="BG64" s="878">
        <f t="shared" si="618"/>
        <v>3</v>
      </c>
      <c r="BH64" s="878">
        <f t="shared" si="618"/>
        <v>3</v>
      </c>
      <c r="BI64" s="878">
        <f t="shared" si="618"/>
        <v>3</v>
      </c>
      <c r="BJ64" s="878">
        <f t="shared" si="618"/>
        <v>3</v>
      </c>
      <c r="BK64" s="878">
        <f t="shared" si="618"/>
        <v>3</v>
      </c>
      <c r="BL64" s="878">
        <f t="shared" si="618"/>
        <v>3</v>
      </c>
      <c r="BM64" s="878">
        <f t="shared" si="618"/>
        <v>3</v>
      </c>
      <c r="BN64" s="878">
        <f t="shared" si="618"/>
        <v>3</v>
      </c>
      <c r="BO64" s="878">
        <f t="shared" si="618"/>
        <v>3</v>
      </c>
      <c r="BP64" s="878">
        <f t="shared" si="618"/>
        <v>3</v>
      </c>
      <c r="BQ64" s="878">
        <f t="shared" si="618"/>
        <v>3</v>
      </c>
      <c r="BR64" s="878">
        <f t="shared" si="618"/>
        <v>3</v>
      </c>
      <c r="BS64" s="878">
        <f t="shared" si="618"/>
        <v>3</v>
      </c>
      <c r="BT64" s="878">
        <f t="shared" si="618"/>
        <v>3</v>
      </c>
      <c r="BU64" s="878">
        <f t="shared" si="618"/>
        <v>3</v>
      </c>
    </row>
    <row r="65" spans="1:73" s="18" customFormat="1">
      <c r="A65" s="866"/>
      <c r="B65" s="76"/>
      <c r="C65" s="76" t="s">
        <v>2272</v>
      </c>
      <c r="D65" s="875" t="s">
        <v>2251</v>
      </c>
      <c r="E65" s="882">
        <v>0.01</v>
      </c>
      <c r="F65" s="884">
        <f>4000*12/10000</f>
        <v>4.8</v>
      </c>
      <c r="G65" s="878">
        <f>G52/(1+$E65)</f>
        <v>4.7524752475247523</v>
      </c>
      <c r="H65" s="878">
        <f t="shared" si="614"/>
        <v>0.396039603960396</v>
      </c>
      <c r="I65" s="878">
        <f t="shared" si="614"/>
        <v>0.396039603960396</v>
      </c>
      <c r="J65" s="878">
        <f t="shared" si="614"/>
        <v>0.396039603960396</v>
      </c>
      <c r="K65" s="878">
        <f t="shared" si="614"/>
        <v>0.396039603960396</v>
      </c>
      <c r="L65" s="878">
        <f t="shared" si="614"/>
        <v>0.396039603960396</v>
      </c>
      <c r="M65" s="878">
        <f t="shared" si="614"/>
        <v>0.396039603960396</v>
      </c>
      <c r="N65" s="878">
        <f t="shared" si="614"/>
        <v>0.396039603960396</v>
      </c>
      <c r="O65" s="878">
        <f t="shared" si="614"/>
        <v>0.396039603960396</v>
      </c>
      <c r="P65" s="878">
        <f t="shared" si="614"/>
        <v>1.1881188118811881</v>
      </c>
      <c r="Q65" s="878">
        <f t="shared" si="614"/>
        <v>1.1881188118811881</v>
      </c>
      <c r="R65" s="878">
        <f t="shared" si="614"/>
        <v>1.1881188118811881</v>
      </c>
      <c r="S65" s="878">
        <f t="shared" si="614"/>
        <v>1.98019801980198</v>
      </c>
      <c r="T65" s="878">
        <f t="shared" si="614"/>
        <v>1.98019801980198</v>
      </c>
      <c r="U65" s="878">
        <f t="shared" si="614"/>
        <v>1.98019801980198</v>
      </c>
      <c r="V65" s="878">
        <f t="shared" si="614"/>
        <v>2.3762376237623761</v>
      </c>
      <c r="W65" s="878">
        <f t="shared" si="614"/>
        <v>2.3762376237623761</v>
      </c>
      <c r="X65" s="878">
        <f t="shared" si="614"/>
        <v>2.3762376237623761</v>
      </c>
      <c r="Y65" s="878">
        <f t="shared" si="614"/>
        <v>2.7722772277227721</v>
      </c>
      <c r="Z65" s="878">
        <f t="shared" si="614"/>
        <v>2.7722772277227721</v>
      </c>
      <c r="AA65" s="878">
        <f t="shared" si="614"/>
        <v>2.7722772277227721</v>
      </c>
      <c r="AB65" s="878">
        <f t="shared" si="614"/>
        <v>3.168316831683168</v>
      </c>
      <c r="AC65" s="878">
        <f t="shared" si="614"/>
        <v>3.168316831683168</v>
      </c>
      <c r="AD65" s="878">
        <f t="shared" si="614"/>
        <v>3.168316831683168</v>
      </c>
      <c r="AE65" s="878">
        <f t="shared" si="614"/>
        <v>3.564356435643564</v>
      </c>
      <c r="AF65" s="878">
        <f t="shared" si="614"/>
        <v>3.564356435643564</v>
      </c>
      <c r="AG65" s="878">
        <f t="shared" si="614"/>
        <v>3.564356435643564</v>
      </c>
      <c r="AH65" s="878">
        <f t="shared" si="614"/>
        <v>3.564356435643564</v>
      </c>
      <c r="AI65" s="878">
        <f t="shared" si="614"/>
        <v>3.564356435643564</v>
      </c>
      <c r="AJ65" s="878">
        <f t="shared" si="614"/>
        <v>3.564356435643564</v>
      </c>
      <c r="AK65" s="878">
        <f t="shared" si="614"/>
        <v>4.3564356435643559</v>
      </c>
      <c r="AL65" s="878">
        <f t="shared" ref="AL65:BU65" si="619">AL52/(1+$E65)</f>
        <v>4.3564356435643559</v>
      </c>
      <c r="AM65" s="878">
        <f t="shared" si="619"/>
        <v>4.3564356435643559</v>
      </c>
      <c r="AN65" s="878">
        <f t="shared" si="619"/>
        <v>4.3564356435643559</v>
      </c>
      <c r="AO65" s="878">
        <f t="shared" si="619"/>
        <v>4.3564356435643559</v>
      </c>
      <c r="AP65" s="878">
        <f t="shared" si="619"/>
        <v>4.3564356435643559</v>
      </c>
      <c r="AQ65" s="878">
        <f t="shared" si="619"/>
        <v>5.1485148514851478</v>
      </c>
      <c r="AR65" s="878">
        <f t="shared" si="619"/>
        <v>5.1485148514851478</v>
      </c>
      <c r="AS65" s="878">
        <f t="shared" si="619"/>
        <v>5.1485148514851478</v>
      </c>
      <c r="AT65" s="878">
        <f t="shared" si="619"/>
        <v>5.1485148514851478</v>
      </c>
      <c r="AU65" s="878">
        <f t="shared" si="619"/>
        <v>5.1485148514851478</v>
      </c>
      <c r="AV65" s="878">
        <f t="shared" si="619"/>
        <v>5.1485148514851478</v>
      </c>
      <c r="AW65" s="878">
        <f t="shared" si="619"/>
        <v>5.1485148514851478</v>
      </c>
      <c r="AX65" s="878">
        <f t="shared" si="619"/>
        <v>5.1485148514851478</v>
      </c>
      <c r="AY65" s="878">
        <f t="shared" si="619"/>
        <v>5.1485148514851478</v>
      </c>
      <c r="AZ65" s="878">
        <f t="shared" si="619"/>
        <v>5.1485148514851478</v>
      </c>
      <c r="BA65" s="878">
        <f t="shared" si="619"/>
        <v>5.1485148514851478</v>
      </c>
      <c r="BB65" s="878">
        <f t="shared" si="619"/>
        <v>5.1485148514851478</v>
      </c>
      <c r="BC65" s="878">
        <f t="shared" si="619"/>
        <v>5.1485148514851478</v>
      </c>
      <c r="BD65" s="878">
        <f t="shared" si="619"/>
        <v>5.1485148514851478</v>
      </c>
      <c r="BE65" s="878">
        <f t="shared" si="619"/>
        <v>5.1485148514851478</v>
      </c>
      <c r="BF65" s="878">
        <f t="shared" si="619"/>
        <v>5.1485148514851478</v>
      </c>
      <c r="BG65" s="878">
        <f t="shared" si="619"/>
        <v>5.1485148514851478</v>
      </c>
      <c r="BH65" s="878">
        <f t="shared" si="619"/>
        <v>5.1485148514851478</v>
      </c>
      <c r="BI65" s="878">
        <f t="shared" si="619"/>
        <v>5.1485148514851478</v>
      </c>
      <c r="BJ65" s="878">
        <f t="shared" si="619"/>
        <v>5.1485148514851478</v>
      </c>
      <c r="BK65" s="878">
        <f t="shared" si="619"/>
        <v>5.1485148514851478</v>
      </c>
      <c r="BL65" s="878">
        <f t="shared" si="619"/>
        <v>5.1485148514851478</v>
      </c>
      <c r="BM65" s="878">
        <f t="shared" si="619"/>
        <v>5.1485148514851478</v>
      </c>
      <c r="BN65" s="878">
        <f t="shared" si="619"/>
        <v>5.1485148514851478</v>
      </c>
      <c r="BO65" s="878">
        <f t="shared" si="619"/>
        <v>5.1485148514851478</v>
      </c>
      <c r="BP65" s="878">
        <f t="shared" si="619"/>
        <v>5.1485148514851478</v>
      </c>
      <c r="BQ65" s="878">
        <f t="shared" si="619"/>
        <v>5.1485148514851478</v>
      </c>
      <c r="BR65" s="878">
        <f t="shared" si="619"/>
        <v>5.1485148514851478</v>
      </c>
      <c r="BS65" s="878">
        <f t="shared" si="619"/>
        <v>5.1485148514851478</v>
      </c>
      <c r="BT65" s="878">
        <f t="shared" si="619"/>
        <v>5.1485148514851478</v>
      </c>
      <c r="BU65" s="878">
        <f t="shared" si="619"/>
        <v>5.1485148514851478</v>
      </c>
    </row>
    <row r="66" spans="1:73" s="18" customFormat="1">
      <c r="A66" s="866"/>
      <c r="B66" s="76"/>
      <c r="C66" s="76" t="s">
        <v>2273</v>
      </c>
      <c r="D66" s="875" t="s">
        <v>2251</v>
      </c>
      <c r="E66" s="882">
        <v>0.01</v>
      </c>
      <c r="F66" s="884">
        <f>500*12/10000</f>
        <v>0.6</v>
      </c>
      <c r="G66" s="878">
        <f>G53/(1+$E66)</f>
        <v>0.59405940594059403</v>
      </c>
      <c r="H66" s="878">
        <f t="shared" si="614"/>
        <v>4.95049504950495E-2</v>
      </c>
      <c r="I66" s="878">
        <f t="shared" si="614"/>
        <v>4.95049504950495E-2</v>
      </c>
      <c r="J66" s="878">
        <f t="shared" si="614"/>
        <v>4.95049504950495E-2</v>
      </c>
      <c r="K66" s="878">
        <f t="shared" si="614"/>
        <v>4.95049504950495E-2</v>
      </c>
      <c r="L66" s="878">
        <f t="shared" si="614"/>
        <v>4.95049504950495E-2</v>
      </c>
      <c r="M66" s="878">
        <f t="shared" si="614"/>
        <v>4.95049504950495E-2</v>
      </c>
      <c r="N66" s="878">
        <f t="shared" si="614"/>
        <v>4.95049504950495E-2</v>
      </c>
      <c r="O66" s="878">
        <f t="shared" si="614"/>
        <v>4.95049504950495E-2</v>
      </c>
      <c r="P66" s="878">
        <f t="shared" si="614"/>
        <v>0.14851485148514851</v>
      </c>
      <c r="Q66" s="878">
        <f t="shared" si="614"/>
        <v>0.14851485148514851</v>
      </c>
      <c r="R66" s="878">
        <f t="shared" si="614"/>
        <v>0.14851485148514851</v>
      </c>
      <c r="S66" s="878">
        <f t="shared" si="614"/>
        <v>0.24752475247524749</v>
      </c>
      <c r="T66" s="878">
        <f t="shared" si="614"/>
        <v>0.24752475247524749</v>
      </c>
      <c r="U66" s="878">
        <f t="shared" si="614"/>
        <v>0.24752475247524749</v>
      </c>
      <c r="V66" s="878">
        <f t="shared" si="614"/>
        <v>0.29702970297029702</v>
      </c>
      <c r="W66" s="878">
        <f t="shared" si="614"/>
        <v>0.29702970297029702</v>
      </c>
      <c r="X66" s="878">
        <f t="shared" si="614"/>
        <v>0.29702970297029702</v>
      </c>
      <c r="Y66" s="878">
        <f t="shared" si="614"/>
        <v>0.34653465346534651</v>
      </c>
      <c r="Z66" s="878">
        <f t="shared" si="614"/>
        <v>0.34653465346534651</v>
      </c>
      <c r="AA66" s="878">
        <f t="shared" si="614"/>
        <v>0.34653465346534651</v>
      </c>
      <c r="AB66" s="878">
        <f t="shared" si="614"/>
        <v>0.396039603960396</v>
      </c>
      <c r="AC66" s="878">
        <f t="shared" si="614"/>
        <v>0.396039603960396</v>
      </c>
      <c r="AD66" s="878">
        <f t="shared" si="614"/>
        <v>0.396039603960396</v>
      </c>
      <c r="AE66" s="878">
        <f t="shared" si="614"/>
        <v>0.4455445544554455</v>
      </c>
      <c r="AF66" s="878">
        <f t="shared" si="614"/>
        <v>0.4455445544554455</v>
      </c>
      <c r="AG66" s="878">
        <f t="shared" si="614"/>
        <v>0.4455445544554455</v>
      </c>
      <c r="AH66" s="878">
        <f t="shared" si="614"/>
        <v>0.4455445544554455</v>
      </c>
      <c r="AI66" s="878">
        <f t="shared" si="614"/>
        <v>0.4455445544554455</v>
      </c>
      <c r="AJ66" s="878">
        <f t="shared" si="614"/>
        <v>0.4455445544554455</v>
      </c>
      <c r="AK66" s="878">
        <f t="shared" si="614"/>
        <v>0.54455445544554448</v>
      </c>
      <c r="AL66" s="878">
        <f t="shared" ref="AL66:BU66" si="620">AL53/(1+$E66)</f>
        <v>0.54455445544554448</v>
      </c>
      <c r="AM66" s="878">
        <f t="shared" si="620"/>
        <v>0.54455445544554448</v>
      </c>
      <c r="AN66" s="878">
        <f t="shared" si="620"/>
        <v>0.54455445544554448</v>
      </c>
      <c r="AO66" s="878">
        <f t="shared" si="620"/>
        <v>0.54455445544554448</v>
      </c>
      <c r="AP66" s="878">
        <f t="shared" si="620"/>
        <v>0.54455445544554448</v>
      </c>
      <c r="AQ66" s="878">
        <f t="shared" si="620"/>
        <v>0.64356435643564347</v>
      </c>
      <c r="AR66" s="878">
        <f t="shared" si="620"/>
        <v>0.64356435643564347</v>
      </c>
      <c r="AS66" s="878">
        <f t="shared" si="620"/>
        <v>0.64356435643564347</v>
      </c>
      <c r="AT66" s="878">
        <f t="shared" si="620"/>
        <v>0.64356435643564347</v>
      </c>
      <c r="AU66" s="878">
        <f t="shared" si="620"/>
        <v>0.64356435643564347</v>
      </c>
      <c r="AV66" s="878">
        <f t="shared" si="620"/>
        <v>0.64356435643564347</v>
      </c>
      <c r="AW66" s="878">
        <f t="shared" si="620"/>
        <v>0.64356435643564347</v>
      </c>
      <c r="AX66" s="878">
        <f t="shared" si="620"/>
        <v>0.64356435643564347</v>
      </c>
      <c r="AY66" s="878">
        <f t="shared" si="620"/>
        <v>0.64356435643564347</v>
      </c>
      <c r="AZ66" s="878">
        <f t="shared" si="620"/>
        <v>0.64356435643564347</v>
      </c>
      <c r="BA66" s="878">
        <f t="shared" si="620"/>
        <v>0.64356435643564347</v>
      </c>
      <c r="BB66" s="878">
        <f t="shared" si="620"/>
        <v>0.64356435643564347</v>
      </c>
      <c r="BC66" s="878">
        <f t="shared" si="620"/>
        <v>0.64356435643564347</v>
      </c>
      <c r="BD66" s="878">
        <f t="shared" si="620"/>
        <v>0.64356435643564347</v>
      </c>
      <c r="BE66" s="878">
        <f t="shared" si="620"/>
        <v>0.64356435643564347</v>
      </c>
      <c r="BF66" s="878">
        <f t="shared" si="620"/>
        <v>0.64356435643564347</v>
      </c>
      <c r="BG66" s="878">
        <f t="shared" si="620"/>
        <v>0.64356435643564347</v>
      </c>
      <c r="BH66" s="878">
        <f t="shared" si="620"/>
        <v>0.64356435643564347</v>
      </c>
      <c r="BI66" s="878">
        <f t="shared" si="620"/>
        <v>0.64356435643564347</v>
      </c>
      <c r="BJ66" s="878">
        <f t="shared" si="620"/>
        <v>0.64356435643564347</v>
      </c>
      <c r="BK66" s="878">
        <f t="shared" si="620"/>
        <v>0.64356435643564347</v>
      </c>
      <c r="BL66" s="878">
        <f t="shared" si="620"/>
        <v>0.64356435643564347</v>
      </c>
      <c r="BM66" s="878">
        <f t="shared" si="620"/>
        <v>0.64356435643564347</v>
      </c>
      <c r="BN66" s="878">
        <f t="shared" si="620"/>
        <v>0.64356435643564347</v>
      </c>
      <c r="BO66" s="878">
        <f t="shared" si="620"/>
        <v>0.64356435643564347</v>
      </c>
      <c r="BP66" s="878">
        <f t="shared" si="620"/>
        <v>0.64356435643564347</v>
      </c>
      <c r="BQ66" s="878">
        <f t="shared" si="620"/>
        <v>0.64356435643564347</v>
      </c>
      <c r="BR66" s="878">
        <f t="shared" si="620"/>
        <v>0.64356435643564347</v>
      </c>
      <c r="BS66" s="878">
        <f t="shared" si="620"/>
        <v>0.64356435643564347</v>
      </c>
      <c r="BT66" s="878">
        <f t="shared" si="620"/>
        <v>0.64356435643564347</v>
      </c>
      <c r="BU66" s="878">
        <f t="shared" si="620"/>
        <v>0.64356435643564347</v>
      </c>
    </row>
    <row r="67" spans="1:73" s="18" customFormat="1">
      <c r="A67" s="866"/>
      <c r="B67" s="76"/>
      <c r="C67" s="76" t="s">
        <v>2274</v>
      </c>
      <c r="D67" s="875" t="s">
        <v>2251</v>
      </c>
      <c r="E67" s="882">
        <v>0</v>
      </c>
      <c r="F67" s="884">
        <v>1</v>
      </c>
      <c r="G67" s="878">
        <f t="shared" ref="G67:AK67" si="621">G54/(1+$E67)</f>
        <v>1</v>
      </c>
      <c r="H67" s="878">
        <f t="shared" si="621"/>
        <v>8.3333333333333329E-2</v>
      </c>
      <c r="I67" s="878">
        <f t="shared" si="621"/>
        <v>8.3333333333333329E-2</v>
      </c>
      <c r="J67" s="878">
        <f t="shared" si="621"/>
        <v>8.3333333333333329E-2</v>
      </c>
      <c r="K67" s="878">
        <f t="shared" si="621"/>
        <v>8.3333333333333329E-2</v>
      </c>
      <c r="L67" s="878">
        <f t="shared" si="621"/>
        <v>8.3333333333333329E-2</v>
      </c>
      <c r="M67" s="878">
        <f t="shared" si="621"/>
        <v>8.3333333333333329E-2</v>
      </c>
      <c r="N67" s="878">
        <f t="shared" si="621"/>
        <v>8.3333333333333329E-2</v>
      </c>
      <c r="O67" s="878">
        <f t="shared" si="621"/>
        <v>8.3333333333333329E-2</v>
      </c>
      <c r="P67" s="878">
        <f t="shared" si="621"/>
        <v>0.25</v>
      </c>
      <c r="Q67" s="878">
        <f t="shared" si="621"/>
        <v>0.25</v>
      </c>
      <c r="R67" s="878">
        <f t="shared" si="621"/>
        <v>0.25</v>
      </c>
      <c r="S67" s="878">
        <f t="shared" si="621"/>
        <v>0.41666666666666663</v>
      </c>
      <c r="T67" s="878">
        <f t="shared" si="621"/>
        <v>0.41666666666666663</v>
      </c>
      <c r="U67" s="878">
        <f t="shared" si="621"/>
        <v>0.41666666666666663</v>
      </c>
      <c r="V67" s="878">
        <f t="shared" si="621"/>
        <v>0.5</v>
      </c>
      <c r="W67" s="878">
        <f t="shared" si="621"/>
        <v>0.5</v>
      </c>
      <c r="X67" s="878">
        <f t="shared" si="621"/>
        <v>0.5</v>
      </c>
      <c r="Y67" s="878">
        <f t="shared" si="621"/>
        <v>0.58333333333333326</v>
      </c>
      <c r="Z67" s="878">
        <f t="shared" si="621"/>
        <v>0.58333333333333326</v>
      </c>
      <c r="AA67" s="878">
        <f t="shared" si="621"/>
        <v>0.58333333333333326</v>
      </c>
      <c r="AB67" s="878">
        <f t="shared" si="621"/>
        <v>0.66666666666666663</v>
      </c>
      <c r="AC67" s="878">
        <f t="shared" si="621"/>
        <v>0.66666666666666663</v>
      </c>
      <c r="AD67" s="878">
        <f t="shared" si="621"/>
        <v>0.66666666666666663</v>
      </c>
      <c r="AE67" s="878">
        <f t="shared" si="621"/>
        <v>0.75</v>
      </c>
      <c r="AF67" s="878">
        <f t="shared" si="621"/>
        <v>0.75</v>
      </c>
      <c r="AG67" s="878">
        <f t="shared" si="621"/>
        <v>0.75</v>
      </c>
      <c r="AH67" s="878">
        <f t="shared" si="621"/>
        <v>0.75</v>
      </c>
      <c r="AI67" s="878">
        <f t="shared" si="621"/>
        <v>0.75</v>
      </c>
      <c r="AJ67" s="878">
        <f t="shared" si="621"/>
        <v>0.75</v>
      </c>
      <c r="AK67" s="878">
        <f t="shared" si="621"/>
        <v>0.91666666666666663</v>
      </c>
      <c r="AL67" s="878">
        <f t="shared" ref="AL67:BU67" si="622">AL54/(1+$E67)</f>
        <v>0.91666666666666663</v>
      </c>
      <c r="AM67" s="878">
        <f t="shared" si="622"/>
        <v>0.91666666666666663</v>
      </c>
      <c r="AN67" s="878">
        <f t="shared" si="622"/>
        <v>0.91666666666666663</v>
      </c>
      <c r="AO67" s="878">
        <f t="shared" si="622"/>
        <v>0.91666666666666663</v>
      </c>
      <c r="AP67" s="878">
        <f t="shared" si="622"/>
        <v>0.91666666666666663</v>
      </c>
      <c r="AQ67" s="878">
        <f t="shared" si="622"/>
        <v>1.0833333333333333</v>
      </c>
      <c r="AR67" s="878">
        <f t="shared" si="622"/>
        <v>1.0833333333333333</v>
      </c>
      <c r="AS67" s="878">
        <f t="shared" si="622"/>
        <v>1.0833333333333333</v>
      </c>
      <c r="AT67" s="878">
        <f t="shared" si="622"/>
        <v>1.0833333333333333</v>
      </c>
      <c r="AU67" s="878">
        <f t="shared" si="622"/>
        <v>1.0833333333333333</v>
      </c>
      <c r="AV67" s="878">
        <f t="shared" si="622"/>
        <v>1.0833333333333333</v>
      </c>
      <c r="AW67" s="878">
        <f t="shared" si="622"/>
        <v>1.0833333333333333</v>
      </c>
      <c r="AX67" s="878">
        <f t="shared" si="622"/>
        <v>1.0833333333333333</v>
      </c>
      <c r="AY67" s="878">
        <f t="shared" si="622"/>
        <v>1.0833333333333333</v>
      </c>
      <c r="AZ67" s="878">
        <f t="shared" si="622"/>
        <v>1.0833333333333333</v>
      </c>
      <c r="BA67" s="878">
        <f t="shared" si="622"/>
        <v>1.0833333333333333</v>
      </c>
      <c r="BB67" s="878">
        <f t="shared" si="622"/>
        <v>1.0833333333333333</v>
      </c>
      <c r="BC67" s="878">
        <f t="shared" si="622"/>
        <v>1.0833333333333333</v>
      </c>
      <c r="BD67" s="878">
        <f t="shared" si="622"/>
        <v>1.0833333333333333</v>
      </c>
      <c r="BE67" s="878">
        <f t="shared" si="622"/>
        <v>1.0833333333333333</v>
      </c>
      <c r="BF67" s="878">
        <f t="shared" si="622"/>
        <v>1.0833333333333333</v>
      </c>
      <c r="BG67" s="878">
        <f t="shared" si="622"/>
        <v>1.0833333333333333</v>
      </c>
      <c r="BH67" s="878">
        <f t="shared" si="622"/>
        <v>1.0833333333333333</v>
      </c>
      <c r="BI67" s="878">
        <f t="shared" si="622"/>
        <v>1.0833333333333333</v>
      </c>
      <c r="BJ67" s="878">
        <f t="shared" si="622"/>
        <v>1.0833333333333333</v>
      </c>
      <c r="BK67" s="878">
        <f t="shared" si="622"/>
        <v>1.0833333333333333</v>
      </c>
      <c r="BL67" s="878">
        <f t="shared" si="622"/>
        <v>1.0833333333333333</v>
      </c>
      <c r="BM67" s="878">
        <f t="shared" si="622"/>
        <v>1.0833333333333333</v>
      </c>
      <c r="BN67" s="878">
        <f t="shared" si="622"/>
        <v>1.0833333333333333</v>
      </c>
      <c r="BO67" s="878">
        <f t="shared" si="622"/>
        <v>1.0833333333333333</v>
      </c>
      <c r="BP67" s="878">
        <f t="shared" si="622"/>
        <v>1.0833333333333333</v>
      </c>
      <c r="BQ67" s="878">
        <f t="shared" si="622"/>
        <v>1.0833333333333333</v>
      </c>
      <c r="BR67" s="878">
        <f t="shared" si="622"/>
        <v>1.0833333333333333</v>
      </c>
      <c r="BS67" s="878">
        <f t="shared" si="622"/>
        <v>1.0833333333333333</v>
      </c>
      <c r="BT67" s="878">
        <f t="shared" si="622"/>
        <v>1.0833333333333333</v>
      </c>
      <c r="BU67" s="878">
        <f t="shared" si="622"/>
        <v>1.0833333333333333</v>
      </c>
    </row>
    <row r="68" spans="1:73" s="18" customFormat="1">
      <c r="A68" s="866"/>
      <c r="B68" s="76"/>
      <c r="C68" s="76" t="s">
        <v>2085</v>
      </c>
      <c r="D68" s="875"/>
      <c r="E68" s="882"/>
      <c r="F68" s="884"/>
      <c r="G68" s="878">
        <f>SUM(G59:G67)</f>
        <v>24.78049691761629</v>
      </c>
      <c r="H68" s="878">
        <f t="shared" ref="H68:AK68" si="623">SUM(H59:H67)</f>
        <v>9.5335948689208543</v>
      </c>
      <c r="I68" s="878">
        <f t="shared" si="623"/>
        <v>1.2788778877887788</v>
      </c>
      <c r="J68" s="878">
        <f t="shared" si="623"/>
        <v>1.2788778877887788</v>
      </c>
      <c r="K68" s="878">
        <f t="shared" si="623"/>
        <v>14.250576000996325</v>
      </c>
      <c r="L68" s="878">
        <f t="shared" si="623"/>
        <v>1.2788778877887788</v>
      </c>
      <c r="M68" s="878">
        <f t="shared" si="623"/>
        <v>1.2788778877887788</v>
      </c>
      <c r="N68" s="878">
        <f t="shared" si="623"/>
        <v>14.250576000996325</v>
      </c>
      <c r="O68" s="878">
        <f t="shared" si="623"/>
        <v>1.2788778877887788</v>
      </c>
      <c r="P68" s="878">
        <f t="shared" si="623"/>
        <v>5.334824410329376</v>
      </c>
      <c r="Q68" s="878">
        <f t="shared" si="623"/>
        <v>30.959275172800304</v>
      </c>
      <c r="R68" s="878">
        <f t="shared" si="623"/>
        <v>3.8366336633663369</v>
      </c>
      <c r="S68" s="878">
        <f t="shared" si="623"/>
        <v>7.9959660737332463</v>
      </c>
      <c r="T68" s="878">
        <f t="shared" si="623"/>
        <v>46.167974344604275</v>
      </c>
      <c r="U68" s="878">
        <f t="shared" si="623"/>
        <v>4.8943894389438949</v>
      </c>
      <c r="V68" s="878">
        <f t="shared" si="623"/>
        <v>6.9740556441273487</v>
      </c>
      <c r="W68" s="878">
        <f t="shared" si="623"/>
        <v>53.772323930506261</v>
      </c>
      <c r="X68" s="878">
        <f t="shared" si="623"/>
        <v>5.4232673267326739</v>
      </c>
      <c r="Y68" s="878">
        <f t="shared" si="623"/>
        <v>8.2012405880029728</v>
      </c>
      <c r="Z68" s="878">
        <f t="shared" si="623"/>
        <v>62.126673516408253</v>
      </c>
      <c r="AA68" s="878">
        <f t="shared" si="623"/>
        <v>6.702145214521452</v>
      </c>
      <c r="AB68" s="878">
        <f t="shared" si="623"/>
        <v>8.73011847579175</v>
      </c>
      <c r="AC68" s="878">
        <f t="shared" si="623"/>
        <v>69.731023102310232</v>
      </c>
      <c r="AD68" s="878">
        <f t="shared" si="623"/>
        <v>7.2310231023102309</v>
      </c>
      <c r="AE68" s="878">
        <f t="shared" si="623"/>
        <v>9.3106893074936856</v>
      </c>
      <c r="AF68" s="878">
        <f t="shared" si="623"/>
        <v>77.335372688212217</v>
      </c>
      <c r="AG68" s="878">
        <f t="shared" si="623"/>
        <v>7.759900990099009</v>
      </c>
      <c r="AH68" s="878">
        <f t="shared" si="623"/>
        <v>7.759900990099009</v>
      </c>
      <c r="AI68" s="878">
        <f t="shared" si="623"/>
        <v>77.335372688212217</v>
      </c>
      <c r="AJ68" s="878">
        <f t="shared" si="623"/>
        <v>7.759900990099009</v>
      </c>
      <c r="AK68" s="878">
        <f t="shared" si="623"/>
        <v>11.815847512639605</v>
      </c>
      <c r="AL68" s="878">
        <f t="shared" ref="AL68:BU68" si="624">SUM(AL59:AL67)</f>
        <v>92.544071860016189</v>
      </c>
      <c r="AM68" s="878">
        <f t="shared" si="624"/>
        <v>8.817656765676567</v>
      </c>
      <c r="AN68" s="878">
        <f t="shared" si="624"/>
        <v>8.817656765676567</v>
      </c>
      <c r="AO68" s="878">
        <f t="shared" si="624"/>
        <v>92.544071860016189</v>
      </c>
      <c r="AP68" s="878">
        <f t="shared" si="624"/>
        <v>8.817656765676567</v>
      </c>
      <c r="AQ68" s="878">
        <f t="shared" si="624"/>
        <v>12.976989176043476</v>
      </c>
      <c r="AR68" s="878">
        <f t="shared" si="624"/>
        <v>107.75277103182015</v>
      </c>
      <c r="AS68" s="878">
        <f t="shared" si="624"/>
        <v>9.8754125412541249</v>
      </c>
      <c r="AT68" s="878">
        <f t="shared" si="624"/>
        <v>9.8754125412541249</v>
      </c>
      <c r="AU68" s="878">
        <f t="shared" si="624"/>
        <v>107.75277103182015</v>
      </c>
      <c r="AV68" s="878">
        <f t="shared" si="624"/>
        <v>9.8754125412541249</v>
      </c>
      <c r="AW68" s="878">
        <f t="shared" si="624"/>
        <v>9.8754125412541249</v>
      </c>
      <c r="AX68" s="878">
        <f t="shared" si="624"/>
        <v>107.75277103182015</v>
      </c>
      <c r="AY68" s="878">
        <f t="shared" si="624"/>
        <v>9.8754125412541249</v>
      </c>
      <c r="AZ68" s="878">
        <f t="shared" si="624"/>
        <v>9.8754125412541249</v>
      </c>
      <c r="BA68" s="878">
        <f t="shared" si="624"/>
        <v>107.75277103182015</v>
      </c>
      <c r="BB68" s="878">
        <f t="shared" si="624"/>
        <v>9.8754125412541249</v>
      </c>
      <c r="BC68" s="878">
        <f t="shared" si="624"/>
        <v>9.8754125412541249</v>
      </c>
      <c r="BD68" s="878">
        <f t="shared" si="624"/>
        <v>107.75277103182015</v>
      </c>
      <c r="BE68" s="878">
        <f t="shared" si="624"/>
        <v>9.8754125412541249</v>
      </c>
      <c r="BF68" s="878">
        <f t="shared" si="624"/>
        <v>9.8754125412541249</v>
      </c>
      <c r="BG68" s="878">
        <f t="shared" si="624"/>
        <v>107.75277103182015</v>
      </c>
      <c r="BH68" s="878">
        <f t="shared" si="624"/>
        <v>9.8754125412541249</v>
      </c>
      <c r="BI68" s="878">
        <f t="shared" si="624"/>
        <v>9.8754125412541249</v>
      </c>
      <c r="BJ68" s="878">
        <f t="shared" si="624"/>
        <v>107.75277103182015</v>
      </c>
      <c r="BK68" s="878">
        <f t="shared" si="624"/>
        <v>9.8754125412541249</v>
      </c>
      <c r="BL68" s="878">
        <f t="shared" si="624"/>
        <v>9.8754125412541249</v>
      </c>
      <c r="BM68" s="878">
        <f t="shared" si="624"/>
        <v>107.75277103182015</v>
      </c>
      <c r="BN68" s="878">
        <f t="shared" si="624"/>
        <v>9.8754125412541249</v>
      </c>
      <c r="BO68" s="878">
        <f t="shared" si="624"/>
        <v>9.8754125412541249</v>
      </c>
      <c r="BP68" s="878">
        <f t="shared" si="624"/>
        <v>107.75277103182015</v>
      </c>
      <c r="BQ68" s="878">
        <f t="shared" si="624"/>
        <v>9.8754125412541249</v>
      </c>
      <c r="BR68" s="878">
        <f t="shared" si="624"/>
        <v>9.8754125412541249</v>
      </c>
      <c r="BS68" s="878">
        <f t="shared" si="624"/>
        <v>107.75277103182015</v>
      </c>
      <c r="BT68" s="878">
        <f t="shared" si="624"/>
        <v>9.8754125412541249</v>
      </c>
      <c r="BU68" s="878">
        <f t="shared" si="624"/>
        <v>9.8754125412541249</v>
      </c>
    </row>
    <row r="69" spans="1:73" s="18" customFormat="1">
      <c r="A69" s="866"/>
      <c r="B69" s="76"/>
      <c r="C69" s="76" t="s">
        <v>2275</v>
      </c>
      <c r="D69" s="875"/>
      <c r="E69" s="882"/>
      <c r="F69" s="884"/>
      <c r="G69" s="878">
        <f>SUM(G58,G68)</f>
        <v>299.78695853560544</v>
      </c>
      <c r="H69" s="878">
        <f t="shared" ref="H69:AK69" si="625">SUM(H58,H68)</f>
        <v>95.638176156075161</v>
      </c>
      <c r="I69" s="878">
        <f t="shared" si="625"/>
        <v>1.2788778877887788</v>
      </c>
      <c r="J69" s="878">
        <f t="shared" si="625"/>
        <v>1.2788778877887788</v>
      </c>
      <c r="K69" s="878">
        <f t="shared" si="625"/>
        <v>101.47463260476991</v>
      </c>
      <c r="L69" s="878">
        <f t="shared" si="625"/>
        <v>1.2788778877887788</v>
      </c>
      <c r="M69" s="878">
        <f t="shared" si="625"/>
        <v>1.2788778877887788</v>
      </c>
      <c r="N69" s="878">
        <f t="shared" si="625"/>
        <v>101.47463260476991</v>
      </c>
      <c r="O69" s="878">
        <f t="shared" si="625"/>
        <v>1.2788778877887788</v>
      </c>
      <c r="P69" s="878">
        <f t="shared" si="625"/>
        <v>44.686077964219272</v>
      </c>
      <c r="Q69" s="878">
        <f t="shared" si="625"/>
        <v>242.00408649355506</v>
      </c>
      <c r="R69" s="878">
        <f t="shared" si="625"/>
        <v>3.8366336633663369</v>
      </c>
      <c r="S69" s="878">
        <f t="shared" si="625"/>
        <v>48.704159405343489</v>
      </c>
      <c r="T69" s="878">
        <f t="shared" si="625"/>
        <v>381.03354038234005</v>
      </c>
      <c r="U69" s="878">
        <f t="shared" si="625"/>
        <v>4.8943894389438949</v>
      </c>
      <c r="V69" s="878">
        <f t="shared" si="625"/>
        <v>20.543453421330764</v>
      </c>
      <c r="W69" s="878">
        <f t="shared" si="625"/>
        <v>429.91147487390248</v>
      </c>
      <c r="X69" s="878">
        <f t="shared" si="625"/>
        <v>5.4232673267326739</v>
      </c>
      <c r="Y69" s="878">
        <f t="shared" si="625"/>
        <v>34.435409623929573</v>
      </c>
      <c r="Z69" s="878">
        <f t="shared" si="625"/>
        <v>520.81299427112515</v>
      </c>
      <c r="AA69" s="878">
        <f t="shared" si="625"/>
        <v>6.702145214521452</v>
      </c>
      <c r="AB69" s="878">
        <f t="shared" si="625"/>
        <v>21.847202993755047</v>
      </c>
      <c r="AC69" s="878">
        <f t="shared" si="625"/>
        <v>569.69092876268758</v>
      </c>
      <c r="AD69" s="878">
        <f t="shared" si="625"/>
        <v>7.2310231023102309</v>
      </c>
      <c r="AE69" s="878">
        <f t="shared" si="625"/>
        <v>36.449484861900515</v>
      </c>
      <c r="AF69" s="878">
        <f t="shared" si="625"/>
        <v>659.8424481599103</v>
      </c>
      <c r="AG69" s="878">
        <f t="shared" si="625"/>
        <v>7.759900990099009</v>
      </c>
      <c r="AH69" s="878">
        <f t="shared" si="625"/>
        <v>7.759900990099009</v>
      </c>
      <c r="AI69" s="878">
        <f t="shared" si="625"/>
        <v>659.8424481599103</v>
      </c>
      <c r="AJ69" s="878">
        <f t="shared" si="625"/>
        <v>7.759900990099009</v>
      </c>
      <c r="AK69" s="878">
        <f t="shared" si="625"/>
        <v>51.167101066529504</v>
      </c>
      <c r="AL69" s="878">
        <f t="shared" ref="AL69:BU69" si="626">SUM(AL58,AL68)</f>
        <v>798.87190204869546</v>
      </c>
      <c r="AM69" s="878">
        <f t="shared" si="626"/>
        <v>8.817656765676567</v>
      </c>
      <c r="AN69" s="878">
        <f t="shared" si="626"/>
        <v>8.817656765676567</v>
      </c>
      <c r="AO69" s="878">
        <f t="shared" si="626"/>
        <v>798.87190204869546</v>
      </c>
      <c r="AP69" s="878">
        <f t="shared" si="626"/>
        <v>8.817656765676567</v>
      </c>
      <c r="AQ69" s="878">
        <f t="shared" si="626"/>
        <v>53.685182507653714</v>
      </c>
      <c r="AR69" s="878">
        <f t="shared" si="626"/>
        <v>937.9013559374805</v>
      </c>
      <c r="AS69" s="878">
        <f t="shared" si="626"/>
        <v>9.8754125412541249</v>
      </c>
      <c r="AT69" s="878">
        <f t="shared" si="626"/>
        <v>9.8754125412541249</v>
      </c>
      <c r="AU69" s="878">
        <f t="shared" si="626"/>
        <v>937.9013559374805</v>
      </c>
      <c r="AV69" s="878">
        <f t="shared" si="626"/>
        <v>9.8754125412541249</v>
      </c>
      <c r="AW69" s="878">
        <f t="shared" si="626"/>
        <v>9.8754125412541249</v>
      </c>
      <c r="AX69" s="878">
        <f t="shared" si="626"/>
        <v>937.9013559374805</v>
      </c>
      <c r="AY69" s="878">
        <f t="shared" si="626"/>
        <v>9.8754125412541249</v>
      </c>
      <c r="AZ69" s="878">
        <f t="shared" si="626"/>
        <v>9.8754125412541249</v>
      </c>
      <c r="BA69" s="878">
        <f t="shared" si="626"/>
        <v>937.9013559374805</v>
      </c>
      <c r="BB69" s="878">
        <f t="shared" si="626"/>
        <v>9.8754125412541249</v>
      </c>
      <c r="BC69" s="878">
        <f t="shared" si="626"/>
        <v>9.8754125412541249</v>
      </c>
      <c r="BD69" s="878">
        <f t="shared" si="626"/>
        <v>937.9013559374805</v>
      </c>
      <c r="BE69" s="878">
        <f t="shared" si="626"/>
        <v>9.8754125412541249</v>
      </c>
      <c r="BF69" s="878">
        <f t="shared" si="626"/>
        <v>9.8754125412541249</v>
      </c>
      <c r="BG69" s="878">
        <f t="shared" si="626"/>
        <v>937.9013559374805</v>
      </c>
      <c r="BH69" s="878">
        <f t="shared" si="626"/>
        <v>9.8754125412541249</v>
      </c>
      <c r="BI69" s="878">
        <f t="shared" si="626"/>
        <v>9.8754125412541249</v>
      </c>
      <c r="BJ69" s="878">
        <f t="shared" si="626"/>
        <v>937.9013559374805</v>
      </c>
      <c r="BK69" s="878">
        <f t="shared" si="626"/>
        <v>9.8754125412541249</v>
      </c>
      <c r="BL69" s="878">
        <f t="shared" si="626"/>
        <v>9.8754125412541249</v>
      </c>
      <c r="BM69" s="878">
        <f t="shared" si="626"/>
        <v>937.9013559374805</v>
      </c>
      <c r="BN69" s="878">
        <f t="shared" si="626"/>
        <v>9.8754125412541249</v>
      </c>
      <c r="BO69" s="878">
        <f t="shared" si="626"/>
        <v>9.8754125412541249</v>
      </c>
      <c r="BP69" s="878">
        <f t="shared" si="626"/>
        <v>937.9013559374805</v>
      </c>
      <c r="BQ69" s="878">
        <f t="shared" si="626"/>
        <v>9.8754125412541249</v>
      </c>
      <c r="BR69" s="878">
        <f t="shared" si="626"/>
        <v>9.8754125412541249</v>
      </c>
      <c r="BS69" s="878">
        <f t="shared" si="626"/>
        <v>937.9013559374805</v>
      </c>
      <c r="BT69" s="878">
        <f t="shared" si="626"/>
        <v>9.8754125412541249</v>
      </c>
      <c r="BU69" s="878">
        <f t="shared" si="626"/>
        <v>9.8754125412541249</v>
      </c>
    </row>
    <row r="71" spans="1:73" s="18" customFormat="1">
      <c r="A71" s="866">
        <v>32</v>
      </c>
      <c r="B71" s="76"/>
      <c r="C71" s="871" t="s">
        <v>2276</v>
      </c>
      <c r="D71" s="875" t="s">
        <v>2277</v>
      </c>
      <c r="E71" s="872">
        <v>0.25</v>
      </c>
      <c r="F71" s="872">
        <v>0.06</v>
      </c>
      <c r="G71" s="878">
        <f t="shared" ref="G71:AK72" si="627">G20/(1+$F$71)*(1-$E$71)</f>
        <v>0</v>
      </c>
      <c r="H71" s="878">
        <f t="shared" si="627"/>
        <v>0</v>
      </c>
      <c r="I71" s="878">
        <f t="shared" si="627"/>
        <v>0</v>
      </c>
      <c r="J71" s="878">
        <f t="shared" si="627"/>
        <v>0</v>
      </c>
      <c r="K71" s="878">
        <f t="shared" si="627"/>
        <v>18.214517884975368</v>
      </c>
      <c r="L71" s="878">
        <f t="shared" si="627"/>
        <v>0</v>
      </c>
      <c r="M71" s="878">
        <f t="shared" si="627"/>
        <v>0</v>
      </c>
      <c r="N71" s="878">
        <f t="shared" si="627"/>
        <v>0</v>
      </c>
      <c r="O71" s="878">
        <f t="shared" si="627"/>
        <v>0</v>
      </c>
      <c r="P71" s="878">
        <f t="shared" si="627"/>
        <v>37.315843887309377</v>
      </c>
      <c r="Q71" s="878">
        <f t="shared" si="627"/>
        <v>0</v>
      </c>
      <c r="R71" s="878">
        <f t="shared" si="627"/>
        <v>0</v>
      </c>
      <c r="S71" s="878">
        <f t="shared" si="627"/>
        <v>9.2518621208205065</v>
      </c>
      <c r="T71" s="878">
        <f t="shared" si="627"/>
        <v>249.70707331782543</v>
      </c>
      <c r="U71" s="878">
        <f t="shared" si="627"/>
        <v>0</v>
      </c>
      <c r="V71" s="878">
        <f t="shared" si="627"/>
        <v>31.353532742780612</v>
      </c>
      <c r="W71" s="878">
        <f t="shared" si="627"/>
        <v>0</v>
      </c>
      <c r="X71" s="878">
        <f t="shared" si="627"/>
        <v>0</v>
      </c>
      <c r="Y71" s="878">
        <f t="shared" si="627"/>
        <v>43.792147371883736</v>
      </c>
      <c r="Z71" s="878">
        <f t="shared" si="627"/>
        <v>0</v>
      </c>
      <c r="AA71" s="878">
        <f t="shared" si="627"/>
        <v>0</v>
      </c>
      <c r="AB71" s="878">
        <f t="shared" si="627"/>
        <v>12.43861462910313</v>
      </c>
      <c r="AC71" s="878">
        <f t="shared" si="627"/>
        <v>0</v>
      </c>
      <c r="AD71" s="878">
        <f t="shared" si="627"/>
        <v>0</v>
      </c>
      <c r="AE71" s="878">
        <f t="shared" si="627"/>
        <v>6.1679080805470061</v>
      </c>
      <c r="AF71" s="878">
        <f t="shared" si="627"/>
        <v>472.0197255574613</v>
      </c>
      <c r="AG71" s="878">
        <f t="shared" si="627"/>
        <v>0</v>
      </c>
      <c r="AH71" s="878">
        <f t="shared" si="627"/>
        <v>0</v>
      </c>
      <c r="AI71" s="878">
        <f t="shared" si="627"/>
        <v>0</v>
      </c>
      <c r="AJ71" s="878">
        <f t="shared" si="627"/>
        <v>0</v>
      </c>
      <c r="AK71" s="878">
        <f t="shared" si="627"/>
        <v>65.688221057825601</v>
      </c>
      <c r="AL71" s="878">
        <f t="shared" ref="AL71:BU71" si="628">AL20/(1+$F$71)*(1-$E$71)</f>
        <v>0</v>
      </c>
      <c r="AM71" s="878">
        <f t="shared" si="628"/>
        <v>0</v>
      </c>
      <c r="AN71" s="878">
        <f t="shared" si="628"/>
        <v>0</v>
      </c>
      <c r="AO71" s="878">
        <f t="shared" si="628"/>
        <v>0</v>
      </c>
      <c r="AP71" s="878">
        <f t="shared" si="628"/>
        <v>0</v>
      </c>
      <c r="AQ71" s="878">
        <f t="shared" si="628"/>
        <v>9.2518621208205065</v>
      </c>
      <c r="AR71" s="878">
        <f t="shared" si="628"/>
        <v>695.23837496181773</v>
      </c>
      <c r="AS71" s="878">
        <f t="shared" si="628"/>
        <v>0</v>
      </c>
      <c r="AT71" s="878">
        <f t="shared" si="628"/>
        <v>0</v>
      </c>
      <c r="AU71" s="878">
        <f t="shared" si="628"/>
        <v>0</v>
      </c>
      <c r="AV71" s="878">
        <f t="shared" si="628"/>
        <v>0</v>
      </c>
      <c r="AW71" s="878">
        <f t="shared" si="628"/>
        <v>0</v>
      </c>
      <c r="AX71" s="878">
        <f t="shared" si="628"/>
        <v>0</v>
      </c>
      <c r="AY71" s="878">
        <f t="shared" si="628"/>
        <v>0</v>
      </c>
      <c r="AZ71" s="878">
        <f t="shared" si="628"/>
        <v>0</v>
      </c>
      <c r="BA71" s="878">
        <f t="shared" si="628"/>
        <v>0</v>
      </c>
      <c r="BB71" s="878">
        <f t="shared" si="628"/>
        <v>0</v>
      </c>
      <c r="BC71" s="878">
        <f t="shared" si="628"/>
        <v>0</v>
      </c>
      <c r="BD71" s="878">
        <f t="shared" si="628"/>
        <v>695.23837496181773</v>
      </c>
      <c r="BE71" s="878">
        <f t="shared" si="628"/>
        <v>0</v>
      </c>
      <c r="BF71" s="878">
        <f t="shared" si="628"/>
        <v>0</v>
      </c>
      <c r="BG71" s="878">
        <f t="shared" si="628"/>
        <v>0</v>
      </c>
      <c r="BH71" s="878">
        <f t="shared" si="628"/>
        <v>0</v>
      </c>
      <c r="BI71" s="878">
        <f t="shared" si="628"/>
        <v>0</v>
      </c>
      <c r="BJ71" s="878">
        <f t="shared" si="628"/>
        <v>0</v>
      </c>
      <c r="BK71" s="878">
        <f t="shared" si="628"/>
        <v>0</v>
      </c>
      <c r="BL71" s="878">
        <f t="shared" si="628"/>
        <v>0</v>
      </c>
      <c r="BM71" s="878">
        <f t="shared" si="628"/>
        <v>0</v>
      </c>
      <c r="BN71" s="878">
        <f t="shared" si="628"/>
        <v>0</v>
      </c>
      <c r="BO71" s="878">
        <f t="shared" si="628"/>
        <v>0</v>
      </c>
      <c r="BP71" s="878">
        <f t="shared" si="628"/>
        <v>699.05836603303624</v>
      </c>
      <c r="BQ71" s="878">
        <f t="shared" si="628"/>
        <v>0</v>
      </c>
      <c r="BR71" s="878">
        <f t="shared" si="628"/>
        <v>0</v>
      </c>
      <c r="BS71" s="878">
        <f t="shared" si="628"/>
        <v>0</v>
      </c>
      <c r="BT71" s="878">
        <f t="shared" si="628"/>
        <v>0</v>
      </c>
      <c r="BU71" s="878">
        <f t="shared" si="628"/>
        <v>0</v>
      </c>
    </row>
    <row r="72" spans="1:73" s="18" customFormat="1">
      <c r="A72" s="866">
        <v>32</v>
      </c>
      <c r="B72" s="76"/>
      <c r="C72" s="871" t="s">
        <v>2278</v>
      </c>
      <c r="D72" s="875" t="s">
        <v>2277</v>
      </c>
      <c r="E72" s="872">
        <v>0.25</v>
      </c>
      <c r="F72" s="886">
        <v>0.06</v>
      </c>
      <c r="G72" s="878">
        <f t="shared" si="627"/>
        <v>0</v>
      </c>
      <c r="H72" s="878">
        <f t="shared" si="627"/>
        <v>0</v>
      </c>
      <c r="I72" s="878">
        <f t="shared" si="627"/>
        <v>0</v>
      </c>
      <c r="J72" s="878">
        <f t="shared" si="627"/>
        <v>0</v>
      </c>
      <c r="K72" s="878">
        <f t="shared" si="627"/>
        <v>0</v>
      </c>
      <c r="L72" s="878">
        <f t="shared" si="627"/>
        <v>0</v>
      </c>
      <c r="M72" s="878">
        <f t="shared" si="627"/>
        <v>0</v>
      </c>
      <c r="N72" s="878">
        <f t="shared" si="627"/>
        <v>0</v>
      </c>
      <c r="O72" s="878">
        <f t="shared" si="627"/>
        <v>0</v>
      </c>
      <c r="P72" s="878">
        <f t="shared" si="627"/>
        <v>0</v>
      </c>
      <c r="Q72" s="878">
        <f t="shared" si="627"/>
        <v>0</v>
      </c>
      <c r="R72" s="878">
        <f t="shared" si="627"/>
        <v>0</v>
      </c>
      <c r="S72" s="878">
        <f>S21/(1+$F$71)*(1-$E$71)</f>
        <v>0</v>
      </c>
      <c r="T72" s="878">
        <f t="shared" si="627"/>
        <v>0</v>
      </c>
      <c r="U72" s="878">
        <f t="shared" si="627"/>
        <v>0</v>
      </c>
      <c r="V72" s="878">
        <f t="shared" si="627"/>
        <v>0</v>
      </c>
      <c r="W72" s="878">
        <f t="shared" si="627"/>
        <v>0</v>
      </c>
      <c r="X72" s="878">
        <f t="shared" si="627"/>
        <v>0</v>
      </c>
      <c r="Y72" s="878">
        <f t="shared" si="627"/>
        <v>0</v>
      </c>
      <c r="Z72" s="878">
        <f t="shared" si="627"/>
        <v>0</v>
      </c>
      <c r="AA72" s="878">
        <f t="shared" si="627"/>
        <v>0</v>
      </c>
      <c r="AB72" s="878">
        <f t="shared" si="627"/>
        <v>0</v>
      </c>
      <c r="AC72" s="878">
        <f t="shared" si="627"/>
        <v>0</v>
      </c>
      <c r="AD72" s="878">
        <f t="shared" si="627"/>
        <v>0</v>
      </c>
      <c r="AE72" s="878">
        <f t="shared" si="627"/>
        <v>0</v>
      </c>
      <c r="AF72" s="878">
        <f t="shared" si="627"/>
        <v>0</v>
      </c>
      <c r="AG72" s="878">
        <f t="shared" si="627"/>
        <v>0</v>
      </c>
      <c r="AH72" s="878">
        <f t="shared" si="627"/>
        <v>0</v>
      </c>
      <c r="AI72" s="878">
        <f t="shared" si="627"/>
        <v>0</v>
      </c>
      <c r="AJ72" s="878">
        <f t="shared" si="627"/>
        <v>0</v>
      </c>
      <c r="AK72" s="878">
        <f t="shared" si="627"/>
        <v>0</v>
      </c>
      <c r="AL72" s="878">
        <f t="shared" ref="AL72:BU72" si="629">AL21/(1+$F$71)*(1-$E$71)</f>
        <v>0</v>
      </c>
      <c r="AM72" s="878">
        <f t="shared" si="629"/>
        <v>0</v>
      </c>
      <c r="AN72" s="878">
        <f t="shared" si="629"/>
        <v>0</v>
      </c>
      <c r="AO72" s="878">
        <f t="shared" si="629"/>
        <v>0</v>
      </c>
      <c r="AP72" s="878">
        <f t="shared" si="629"/>
        <v>0</v>
      </c>
      <c r="AQ72" s="878">
        <f t="shared" si="629"/>
        <v>0</v>
      </c>
      <c r="AR72" s="878">
        <f t="shared" si="629"/>
        <v>0</v>
      </c>
      <c r="AS72" s="878">
        <f t="shared" si="629"/>
        <v>0</v>
      </c>
      <c r="AT72" s="878">
        <f t="shared" si="629"/>
        <v>0</v>
      </c>
      <c r="AU72" s="878">
        <f t="shared" si="629"/>
        <v>0</v>
      </c>
      <c r="AV72" s="878">
        <f t="shared" si="629"/>
        <v>0</v>
      </c>
      <c r="AW72" s="878">
        <f t="shared" si="629"/>
        <v>0</v>
      </c>
      <c r="AX72" s="878">
        <f t="shared" si="629"/>
        <v>0</v>
      </c>
      <c r="AY72" s="878">
        <f t="shared" si="629"/>
        <v>0</v>
      </c>
      <c r="AZ72" s="878">
        <f t="shared" si="629"/>
        <v>0</v>
      </c>
      <c r="BA72" s="878">
        <f t="shared" si="629"/>
        <v>0</v>
      </c>
      <c r="BB72" s="878">
        <f t="shared" si="629"/>
        <v>0</v>
      </c>
      <c r="BC72" s="878">
        <f t="shared" si="629"/>
        <v>0</v>
      </c>
      <c r="BD72" s="878">
        <f t="shared" si="629"/>
        <v>0</v>
      </c>
      <c r="BE72" s="878">
        <f t="shared" si="629"/>
        <v>0</v>
      </c>
      <c r="BF72" s="878">
        <f t="shared" si="629"/>
        <v>0</v>
      </c>
      <c r="BG72" s="878">
        <f t="shared" si="629"/>
        <v>0</v>
      </c>
      <c r="BH72" s="878">
        <f t="shared" si="629"/>
        <v>0</v>
      </c>
      <c r="BI72" s="878">
        <f t="shared" si="629"/>
        <v>0</v>
      </c>
      <c r="BJ72" s="878">
        <f t="shared" si="629"/>
        <v>0</v>
      </c>
      <c r="BK72" s="878">
        <f t="shared" si="629"/>
        <v>0</v>
      </c>
      <c r="BL72" s="878">
        <f t="shared" si="629"/>
        <v>0</v>
      </c>
      <c r="BM72" s="878">
        <f t="shared" si="629"/>
        <v>0</v>
      </c>
      <c r="BN72" s="878">
        <f t="shared" si="629"/>
        <v>0</v>
      </c>
      <c r="BO72" s="878">
        <f t="shared" si="629"/>
        <v>0</v>
      </c>
      <c r="BP72" s="878">
        <f t="shared" si="629"/>
        <v>0</v>
      </c>
      <c r="BQ72" s="878">
        <f t="shared" si="629"/>
        <v>0</v>
      </c>
      <c r="BR72" s="878">
        <f t="shared" si="629"/>
        <v>0</v>
      </c>
      <c r="BS72" s="878">
        <f t="shared" si="629"/>
        <v>0</v>
      </c>
      <c r="BT72" s="878">
        <f t="shared" si="629"/>
        <v>0</v>
      </c>
      <c r="BU72" s="878">
        <f t="shared" si="629"/>
        <v>0</v>
      </c>
    </row>
    <row r="73" spans="1:73" s="18" customFormat="1">
      <c r="A73" s="866">
        <v>32</v>
      </c>
      <c r="B73" s="76" t="s">
        <v>2111</v>
      </c>
      <c r="C73" s="871" t="s">
        <v>2279</v>
      </c>
      <c r="D73" s="875"/>
      <c r="E73" s="872"/>
      <c r="F73" s="886"/>
      <c r="G73" s="887"/>
      <c r="H73" s="887"/>
      <c r="I73" s="887"/>
      <c r="J73" s="887"/>
      <c r="K73" s="879">
        <f>SUM(G71:K72)</f>
        <v>18.214517884975368</v>
      </c>
      <c r="L73" s="878">
        <f t="shared" ref="L73:AK73" si="630">SUM(L71:L72)</f>
        <v>0</v>
      </c>
      <c r="M73" s="878">
        <f t="shared" si="630"/>
        <v>0</v>
      </c>
      <c r="N73" s="878">
        <f t="shared" si="630"/>
        <v>0</v>
      </c>
      <c r="O73" s="878">
        <f t="shared" si="630"/>
        <v>0</v>
      </c>
      <c r="P73" s="878">
        <f t="shared" si="630"/>
        <v>37.315843887309377</v>
      </c>
      <c r="Q73" s="878">
        <f t="shared" si="630"/>
        <v>0</v>
      </c>
      <c r="R73" s="878">
        <f t="shared" si="630"/>
        <v>0</v>
      </c>
      <c r="S73" s="878">
        <f t="shared" si="630"/>
        <v>9.2518621208205065</v>
      </c>
      <c r="T73" s="878">
        <f t="shared" si="630"/>
        <v>249.70707331782543</v>
      </c>
      <c r="U73" s="878">
        <f t="shared" si="630"/>
        <v>0</v>
      </c>
      <c r="V73" s="878">
        <f t="shared" si="630"/>
        <v>31.353532742780612</v>
      </c>
      <c r="W73" s="878">
        <f t="shared" si="630"/>
        <v>0</v>
      </c>
      <c r="X73" s="878">
        <f t="shared" si="630"/>
        <v>0</v>
      </c>
      <c r="Y73" s="878">
        <f t="shared" si="630"/>
        <v>43.792147371883736</v>
      </c>
      <c r="Z73" s="878">
        <f t="shared" si="630"/>
        <v>0</v>
      </c>
      <c r="AA73" s="878">
        <f t="shared" si="630"/>
        <v>0</v>
      </c>
      <c r="AB73" s="878">
        <f t="shared" si="630"/>
        <v>12.43861462910313</v>
      </c>
      <c r="AC73" s="878">
        <f t="shared" si="630"/>
        <v>0</v>
      </c>
      <c r="AD73" s="878">
        <f t="shared" si="630"/>
        <v>0</v>
      </c>
      <c r="AE73" s="878">
        <f t="shared" si="630"/>
        <v>6.1679080805470061</v>
      </c>
      <c r="AF73" s="878">
        <f t="shared" si="630"/>
        <v>472.0197255574613</v>
      </c>
      <c r="AG73" s="878">
        <f t="shared" si="630"/>
        <v>0</v>
      </c>
      <c r="AH73" s="878">
        <f t="shared" si="630"/>
        <v>0</v>
      </c>
      <c r="AI73" s="878">
        <f t="shared" si="630"/>
        <v>0</v>
      </c>
      <c r="AJ73" s="878">
        <f t="shared" si="630"/>
        <v>0</v>
      </c>
      <c r="AK73" s="878">
        <f t="shared" si="630"/>
        <v>65.688221057825601</v>
      </c>
      <c r="AL73" s="878">
        <f t="shared" ref="AL73:BU73" si="631">SUM(AL71:AL72)</f>
        <v>0</v>
      </c>
      <c r="AM73" s="878">
        <f t="shared" si="631"/>
        <v>0</v>
      </c>
      <c r="AN73" s="878">
        <f t="shared" si="631"/>
        <v>0</v>
      </c>
      <c r="AO73" s="878">
        <f t="shared" si="631"/>
        <v>0</v>
      </c>
      <c r="AP73" s="878">
        <f t="shared" si="631"/>
        <v>0</v>
      </c>
      <c r="AQ73" s="878">
        <f t="shared" si="631"/>
        <v>9.2518621208205065</v>
      </c>
      <c r="AR73" s="878">
        <f t="shared" si="631"/>
        <v>695.23837496181773</v>
      </c>
      <c r="AS73" s="878">
        <f t="shared" si="631"/>
        <v>0</v>
      </c>
      <c r="AT73" s="878">
        <f t="shared" si="631"/>
        <v>0</v>
      </c>
      <c r="AU73" s="878">
        <f t="shared" si="631"/>
        <v>0</v>
      </c>
      <c r="AV73" s="878">
        <f t="shared" si="631"/>
        <v>0</v>
      </c>
      <c r="AW73" s="878">
        <f t="shared" si="631"/>
        <v>0</v>
      </c>
      <c r="AX73" s="878">
        <f t="shared" si="631"/>
        <v>0</v>
      </c>
      <c r="AY73" s="878">
        <f t="shared" si="631"/>
        <v>0</v>
      </c>
      <c r="AZ73" s="878">
        <f t="shared" si="631"/>
        <v>0</v>
      </c>
      <c r="BA73" s="878">
        <f t="shared" si="631"/>
        <v>0</v>
      </c>
      <c r="BB73" s="878">
        <f t="shared" si="631"/>
        <v>0</v>
      </c>
      <c r="BC73" s="878">
        <f t="shared" si="631"/>
        <v>0</v>
      </c>
      <c r="BD73" s="878">
        <f t="shared" si="631"/>
        <v>695.23837496181773</v>
      </c>
      <c r="BE73" s="878">
        <f t="shared" si="631"/>
        <v>0</v>
      </c>
      <c r="BF73" s="878">
        <f t="shared" si="631"/>
        <v>0</v>
      </c>
      <c r="BG73" s="878">
        <f t="shared" si="631"/>
        <v>0</v>
      </c>
      <c r="BH73" s="878">
        <f t="shared" si="631"/>
        <v>0</v>
      </c>
      <c r="BI73" s="878">
        <f t="shared" si="631"/>
        <v>0</v>
      </c>
      <c r="BJ73" s="878">
        <f t="shared" si="631"/>
        <v>0</v>
      </c>
      <c r="BK73" s="878">
        <f t="shared" si="631"/>
        <v>0</v>
      </c>
      <c r="BL73" s="878">
        <f t="shared" si="631"/>
        <v>0</v>
      </c>
      <c r="BM73" s="878">
        <f t="shared" si="631"/>
        <v>0</v>
      </c>
      <c r="BN73" s="878">
        <f t="shared" si="631"/>
        <v>0</v>
      </c>
      <c r="BO73" s="878">
        <f t="shared" si="631"/>
        <v>0</v>
      </c>
      <c r="BP73" s="878">
        <f t="shared" si="631"/>
        <v>699.05836603303624</v>
      </c>
      <c r="BQ73" s="878">
        <f t="shared" si="631"/>
        <v>0</v>
      </c>
      <c r="BR73" s="878">
        <f t="shared" si="631"/>
        <v>0</v>
      </c>
      <c r="BS73" s="878">
        <f t="shared" si="631"/>
        <v>0</v>
      </c>
      <c r="BT73" s="878">
        <f t="shared" si="631"/>
        <v>0</v>
      </c>
      <c r="BU73" s="878">
        <f t="shared" si="631"/>
        <v>0</v>
      </c>
    </row>
    <row r="75" spans="1:73" s="18" customFormat="1">
      <c r="A75" s="866">
        <v>32</v>
      </c>
      <c r="B75" s="76" t="s">
        <v>2115</v>
      </c>
      <c r="C75" s="76" t="s">
        <v>2280</v>
      </c>
      <c r="D75" s="875"/>
      <c r="E75" s="872"/>
      <c r="F75" s="880"/>
      <c r="G75" s="887">
        <v>0</v>
      </c>
      <c r="H75" s="887">
        <v>0</v>
      </c>
      <c r="I75" s="887">
        <v>0</v>
      </c>
      <c r="J75" s="887">
        <v>0</v>
      </c>
      <c r="K75" s="186"/>
      <c r="L75" s="878">
        <f>SUM(G43:M43)-SUM(G69:M69)</f>
        <v>276.28660794484722</v>
      </c>
      <c r="M75" s="878">
        <v>0</v>
      </c>
      <c r="N75" s="878">
        <f>SUM(N43:P43)-SUM(N69:P69)</f>
        <v>94.709545686411474</v>
      </c>
      <c r="O75" s="878">
        <v>0</v>
      </c>
      <c r="P75" s="878">
        <v>0</v>
      </c>
      <c r="Q75" s="878">
        <f>SUM(Q43:S43)-SUM(Q69:S69)</f>
        <v>305.25481028007164</v>
      </c>
      <c r="R75" s="878">
        <v>0</v>
      </c>
      <c r="S75" s="878">
        <v>0</v>
      </c>
      <c r="T75" s="878">
        <f>SUM(T43:V43)-SUM(T69:V69)</f>
        <v>469.56247563564841</v>
      </c>
      <c r="U75" s="878">
        <v>0</v>
      </c>
      <c r="V75" s="878">
        <v>0</v>
      </c>
      <c r="W75" s="878">
        <f>SUM(W43:Y43)-SUM(W69:Y69)</f>
        <v>560.37329609479434</v>
      </c>
      <c r="X75" s="878">
        <v>0</v>
      </c>
      <c r="Y75" s="878">
        <v>0</v>
      </c>
      <c r="Z75" s="878">
        <f>SUM(Z43:AB43)-SUM(Z69:AB69)</f>
        <v>679.15277770669309</v>
      </c>
      <c r="AA75" s="878">
        <v>0</v>
      </c>
      <c r="AB75" s="878">
        <v>0</v>
      </c>
      <c r="AC75" s="878">
        <f>SUM(AC43:AE43)-SUM(AC69:AE69)</f>
        <v>773.1302432937789</v>
      </c>
      <c r="AD75" s="878">
        <v>0</v>
      </c>
      <c r="AE75" s="878">
        <v>0</v>
      </c>
      <c r="AF75" s="878">
        <f>SUM(AF43:AH43)-SUM(AF69:AH69)</f>
        <v>869.44907061460856</v>
      </c>
      <c r="AG75" s="878">
        <v>0</v>
      </c>
      <c r="AH75" s="878">
        <v>0</v>
      </c>
      <c r="AI75" s="878">
        <f>SUM(AI43:AK43)-SUM(AI69:AK69)</f>
        <v>938.47402354929204</v>
      </c>
      <c r="AJ75" s="878">
        <v>0</v>
      </c>
      <c r="AK75" s="878">
        <v>0</v>
      </c>
      <c r="AL75" s="878">
        <f>SUM(AL43:AN43)-SUM(AL69:AN69)</f>
        <v>1082.0776900803285</v>
      </c>
      <c r="AM75" s="878">
        <v>0</v>
      </c>
      <c r="AN75" s="878">
        <v>0</v>
      </c>
      <c r="AO75" s="878">
        <f>SUM(AO43:AQ43)-SUM(AO69:AQ69)</f>
        <v>1153.5192881429521</v>
      </c>
      <c r="AP75" s="878">
        <v>0</v>
      </c>
      <c r="AQ75" s="878">
        <v>0</v>
      </c>
      <c r="AR75" s="878">
        <f>SUM(AR43:AT43)-SUM(AR69:AT69)</f>
        <v>1294.7063095460489</v>
      </c>
      <c r="AS75" s="878">
        <v>0</v>
      </c>
      <c r="AT75" s="878">
        <v>0</v>
      </c>
      <c r="AU75" s="878">
        <f>SUM(AU43:AW43)-SUM(AU69:AW69)</f>
        <v>1294.7063095460489</v>
      </c>
      <c r="AV75" s="878">
        <v>0</v>
      </c>
      <c r="AW75" s="878">
        <v>0</v>
      </c>
      <c r="AX75" s="878">
        <f>SUM(AX43:AZ43)-SUM(AX69:AZ69)</f>
        <v>1294.7063095460489</v>
      </c>
      <c r="AY75" s="878">
        <v>0</v>
      </c>
      <c r="AZ75" s="878">
        <v>0</v>
      </c>
      <c r="BA75" s="878">
        <f>SUM(BA43:BC43)-SUM(BA69:BC69)</f>
        <v>1294.7063095460489</v>
      </c>
      <c r="BB75" s="878">
        <v>0</v>
      </c>
      <c r="BC75" s="878">
        <v>0</v>
      </c>
      <c r="BD75" s="878">
        <f>SUM(BD43:BF43)-SUM(BD69:BF69)</f>
        <v>1294.7063095460489</v>
      </c>
      <c r="BE75" s="878">
        <v>0</v>
      </c>
      <c r="BF75" s="878">
        <v>0</v>
      </c>
      <c r="BG75" s="878">
        <f>SUM(BG43:BI43)-SUM(BG69:BI69)</f>
        <v>1294.7063095460489</v>
      </c>
      <c r="BH75" s="878">
        <v>0</v>
      </c>
      <c r="BI75" s="878">
        <v>0</v>
      </c>
      <c r="BJ75" s="878">
        <f>SUM(BJ43:BL43)-SUM(BJ69:BL69)</f>
        <v>1294.7063095460489</v>
      </c>
      <c r="BK75" s="878">
        <v>0</v>
      </c>
      <c r="BL75" s="878">
        <v>0</v>
      </c>
      <c r="BM75" s="878">
        <f>SUM(BM43:BO43)-SUM(BM69:BO69)</f>
        <v>1294.7063095460489</v>
      </c>
      <c r="BN75" s="878">
        <v>0</v>
      </c>
      <c r="BO75" s="878">
        <v>0</v>
      </c>
      <c r="BP75" s="878">
        <f>SUM(BP43:BR43)-SUM(BP69:BR69)</f>
        <v>1294.7063095460489</v>
      </c>
      <c r="BQ75" s="878">
        <v>0</v>
      </c>
      <c r="BR75" s="878">
        <v>0</v>
      </c>
      <c r="BS75" s="878">
        <f>SUM(BS43:BU43)-SUM(BS69:BU69)</f>
        <v>1294.7063095460489</v>
      </c>
      <c r="BT75" s="878">
        <v>0</v>
      </c>
      <c r="BU75" s="878">
        <v>0</v>
      </c>
    </row>
    <row r="76" spans="1:73" s="18" customFormat="1">
      <c r="A76" s="866">
        <v>32</v>
      </c>
      <c r="B76" s="76" t="s">
        <v>2111</v>
      </c>
      <c r="C76" s="76" t="s">
        <v>2280</v>
      </c>
      <c r="D76" s="875"/>
      <c r="E76" s="872"/>
      <c r="F76" s="886">
        <v>0.75</v>
      </c>
      <c r="G76" s="887">
        <v>0</v>
      </c>
      <c r="H76" s="887">
        <v>0</v>
      </c>
      <c r="I76" s="887">
        <v>0</v>
      </c>
      <c r="J76" s="887">
        <v>0</v>
      </c>
      <c r="K76" s="186">
        <f>K75*100%</f>
        <v>0</v>
      </c>
      <c r="L76" s="878">
        <f>(G43-G69)+(L75-(G43-G69))*$F$76</f>
        <v>261.98519745680949</v>
      </c>
      <c r="M76" s="878">
        <f t="shared" ref="M76:AK76" si="632">M75*$F$76</f>
        <v>0</v>
      </c>
      <c r="N76" s="878">
        <f t="shared" si="632"/>
        <v>71.032159264808598</v>
      </c>
      <c r="O76" s="878">
        <f t="shared" si="632"/>
        <v>0</v>
      </c>
      <c r="P76" s="878">
        <f t="shared" si="632"/>
        <v>0</v>
      </c>
      <c r="Q76" s="878">
        <f t="shared" si="632"/>
        <v>228.94110771005373</v>
      </c>
      <c r="R76" s="878">
        <f t="shared" si="632"/>
        <v>0</v>
      </c>
      <c r="S76" s="878">
        <f t="shared" si="632"/>
        <v>0</v>
      </c>
      <c r="T76" s="878">
        <f t="shared" si="632"/>
        <v>352.17185672673634</v>
      </c>
      <c r="U76" s="878">
        <f t="shared" si="632"/>
        <v>0</v>
      </c>
      <c r="V76" s="878">
        <f t="shared" si="632"/>
        <v>0</v>
      </c>
      <c r="W76" s="878">
        <f t="shared" si="632"/>
        <v>420.27997207109576</v>
      </c>
      <c r="X76" s="878">
        <f t="shared" si="632"/>
        <v>0</v>
      </c>
      <c r="Y76" s="878">
        <f t="shared" si="632"/>
        <v>0</v>
      </c>
      <c r="Z76" s="878">
        <f t="shared" si="632"/>
        <v>509.36458328001981</v>
      </c>
      <c r="AA76" s="878">
        <f t="shared" si="632"/>
        <v>0</v>
      </c>
      <c r="AB76" s="878">
        <f t="shared" si="632"/>
        <v>0</v>
      </c>
      <c r="AC76" s="878">
        <f t="shared" si="632"/>
        <v>579.84768247033412</v>
      </c>
      <c r="AD76" s="878">
        <f t="shared" si="632"/>
        <v>0</v>
      </c>
      <c r="AE76" s="878">
        <f t="shared" si="632"/>
        <v>0</v>
      </c>
      <c r="AF76" s="878">
        <f t="shared" si="632"/>
        <v>652.08680296095645</v>
      </c>
      <c r="AG76" s="878">
        <f t="shared" si="632"/>
        <v>0</v>
      </c>
      <c r="AH76" s="878">
        <f t="shared" si="632"/>
        <v>0</v>
      </c>
      <c r="AI76" s="878">
        <f t="shared" si="632"/>
        <v>703.85551766196909</v>
      </c>
      <c r="AJ76" s="878">
        <f t="shared" si="632"/>
        <v>0</v>
      </c>
      <c r="AK76" s="878">
        <f t="shared" si="632"/>
        <v>0</v>
      </c>
      <c r="AL76" s="878">
        <f t="shared" ref="AL76:BU76" si="633">AL75*$F$76</f>
        <v>811.55826756024635</v>
      </c>
      <c r="AM76" s="878">
        <f t="shared" si="633"/>
        <v>0</v>
      </c>
      <c r="AN76" s="878">
        <f t="shared" si="633"/>
        <v>0</v>
      </c>
      <c r="AO76" s="878">
        <f t="shared" si="633"/>
        <v>865.13946610721405</v>
      </c>
      <c r="AP76" s="878">
        <f t="shared" si="633"/>
        <v>0</v>
      </c>
      <c r="AQ76" s="878">
        <f t="shared" si="633"/>
        <v>0</v>
      </c>
      <c r="AR76" s="878">
        <f t="shared" si="633"/>
        <v>971.02973215953671</v>
      </c>
      <c r="AS76" s="878">
        <f t="shared" si="633"/>
        <v>0</v>
      </c>
      <c r="AT76" s="878">
        <f t="shared" si="633"/>
        <v>0</v>
      </c>
      <c r="AU76" s="878">
        <f t="shared" si="633"/>
        <v>971.02973215953671</v>
      </c>
      <c r="AV76" s="878">
        <f t="shared" si="633"/>
        <v>0</v>
      </c>
      <c r="AW76" s="878">
        <f t="shared" si="633"/>
        <v>0</v>
      </c>
      <c r="AX76" s="878">
        <f t="shared" si="633"/>
        <v>971.02973215953671</v>
      </c>
      <c r="AY76" s="878">
        <f t="shared" si="633"/>
        <v>0</v>
      </c>
      <c r="AZ76" s="878">
        <f t="shared" si="633"/>
        <v>0</v>
      </c>
      <c r="BA76" s="878">
        <f t="shared" si="633"/>
        <v>971.02973215953671</v>
      </c>
      <c r="BB76" s="878">
        <f t="shared" si="633"/>
        <v>0</v>
      </c>
      <c r="BC76" s="878">
        <f t="shared" si="633"/>
        <v>0</v>
      </c>
      <c r="BD76" s="878">
        <f t="shared" si="633"/>
        <v>971.02973215953671</v>
      </c>
      <c r="BE76" s="878">
        <f t="shared" si="633"/>
        <v>0</v>
      </c>
      <c r="BF76" s="878">
        <f t="shared" si="633"/>
        <v>0</v>
      </c>
      <c r="BG76" s="878">
        <f t="shared" si="633"/>
        <v>971.02973215953671</v>
      </c>
      <c r="BH76" s="878">
        <f t="shared" si="633"/>
        <v>0</v>
      </c>
      <c r="BI76" s="878">
        <f t="shared" si="633"/>
        <v>0</v>
      </c>
      <c r="BJ76" s="878">
        <f t="shared" si="633"/>
        <v>971.02973215953671</v>
      </c>
      <c r="BK76" s="878">
        <f t="shared" si="633"/>
        <v>0</v>
      </c>
      <c r="BL76" s="878">
        <f t="shared" si="633"/>
        <v>0</v>
      </c>
      <c r="BM76" s="878">
        <f t="shared" si="633"/>
        <v>971.02973215953671</v>
      </c>
      <c r="BN76" s="878">
        <f t="shared" si="633"/>
        <v>0</v>
      </c>
      <c r="BO76" s="878">
        <f t="shared" si="633"/>
        <v>0</v>
      </c>
      <c r="BP76" s="878">
        <f t="shared" si="633"/>
        <v>971.02973215953671</v>
      </c>
      <c r="BQ76" s="878">
        <f t="shared" si="633"/>
        <v>0</v>
      </c>
      <c r="BR76" s="878">
        <f t="shared" si="633"/>
        <v>0</v>
      </c>
      <c r="BS76" s="878">
        <f t="shared" si="633"/>
        <v>971.02973215953671</v>
      </c>
      <c r="BT76" s="878">
        <f t="shared" si="633"/>
        <v>0</v>
      </c>
      <c r="BU76" s="878">
        <f t="shared" si="633"/>
        <v>0</v>
      </c>
    </row>
    <row r="77" spans="1:73" s="18" customFormat="1">
      <c r="A77" s="866">
        <v>32</v>
      </c>
      <c r="B77" s="76" t="s">
        <v>2109</v>
      </c>
      <c r="C77" s="76" t="s">
        <v>2280</v>
      </c>
      <c r="D77" s="875"/>
      <c r="E77" s="872"/>
      <c r="F77" s="886">
        <v>0.25</v>
      </c>
      <c r="G77" s="887">
        <v>0</v>
      </c>
      <c r="H77" s="887">
        <v>0</v>
      </c>
      <c r="I77" s="887">
        <v>0</v>
      </c>
      <c r="J77" s="887">
        <v>0</v>
      </c>
      <c r="K77" s="186">
        <v>0</v>
      </c>
      <c r="L77" s="878">
        <f>L75-L76</f>
        <v>14.301410488037732</v>
      </c>
      <c r="M77" s="878">
        <f t="shared" ref="M77:AK77" si="634">M75*$F$77</f>
        <v>0</v>
      </c>
      <c r="N77" s="878">
        <f t="shared" si="634"/>
        <v>23.677386421602868</v>
      </c>
      <c r="O77" s="878">
        <f t="shared" si="634"/>
        <v>0</v>
      </c>
      <c r="P77" s="878">
        <f t="shared" si="634"/>
        <v>0</v>
      </c>
      <c r="Q77" s="878">
        <f t="shared" si="634"/>
        <v>76.313702570017909</v>
      </c>
      <c r="R77" s="878">
        <f t="shared" si="634"/>
        <v>0</v>
      </c>
      <c r="S77" s="878">
        <f t="shared" si="634"/>
        <v>0</v>
      </c>
      <c r="T77" s="878">
        <f t="shared" si="634"/>
        <v>117.3906189089121</v>
      </c>
      <c r="U77" s="878">
        <f t="shared" si="634"/>
        <v>0</v>
      </c>
      <c r="V77" s="878">
        <f t="shared" si="634"/>
        <v>0</v>
      </c>
      <c r="W77" s="878">
        <f t="shared" si="634"/>
        <v>140.09332402369859</v>
      </c>
      <c r="X77" s="878">
        <f t="shared" si="634"/>
        <v>0</v>
      </c>
      <c r="Y77" s="878">
        <f t="shared" si="634"/>
        <v>0</v>
      </c>
      <c r="Z77" s="878">
        <f t="shared" si="634"/>
        <v>169.78819442667327</v>
      </c>
      <c r="AA77" s="878">
        <f t="shared" si="634"/>
        <v>0</v>
      </c>
      <c r="AB77" s="878">
        <f t="shared" si="634"/>
        <v>0</v>
      </c>
      <c r="AC77" s="878">
        <f t="shared" si="634"/>
        <v>193.28256082344473</v>
      </c>
      <c r="AD77" s="878">
        <f t="shared" si="634"/>
        <v>0</v>
      </c>
      <c r="AE77" s="878">
        <f t="shared" si="634"/>
        <v>0</v>
      </c>
      <c r="AF77" s="878">
        <f t="shared" si="634"/>
        <v>217.36226765365214</v>
      </c>
      <c r="AG77" s="878">
        <f t="shared" si="634"/>
        <v>0</v>
      </c>
      <c r="AH77" s="878">
        <f t="shared" si="634"/>
        <v>0</v>
      </c>
      <c r="AI77" s="878">
        <f t="shared" si="634"/>
        <v>234.61850588732301</v>
      </c>
      <c r="AJ77" s="878">
        <f t="shared" si="634"/>
        <v>0</v>
      </c>
      <c r="AK77" s="878">
        <f t="shared" si="634"/>
        <v>0</v>
      </c>
      <c r="AL77" s="878">
        <f t="shared" ref="AL77:BU77" si="635">AL75*$F$77</f>
        <v>270.51942252008212</v>
      </c>
      <c r="AM77" s="878">
        <f t="shared" si="635"/>
        <v>0</v>
      </c>
      <c r="AN77" s="878">
        <f t="shared" si="635"/>
        <v>0</v>
      </c>
      <c r="AO77" s="878">
        <f t="shared" si="635"/>
        <v>288.37982203573802</v>
      </c>
      <c r="AP77" s="878">
        <f t="shared" si="635"/>
        <v>0</v>
      </c>
      <c r="AQ77" s="878">
        <f t="shared" si="635"/>
        <v>0</v>
      </c>
      <c r="AR77" s="878">
        <f t="shared" si="635"/>
        <v>323.67657738651224</v>
      </c>
      <c r="AS77" s="878">
        <f t="shared" si="635"/>
        <v>0</v>
      </c>
      <c r="AT77" s="878">
        <f t="shared" si="635"/>
        <v>0</v>
      </c>
      <c r="AU77" s="878">
        <f t="shared" si="635"/>
        <v>323.67657738651224</v>
      </c>
      <c r="AV77" s="878">
        <f t="shared" si="635"/>
        <v>0</v>
      </c>
      <c r="AW77" s="878">
        <f t="shared" si="635"/>
        <v>0</v>
      </c>
      <c r="AX77" s="878">
        <f t="shared" si="635"/>
        <v>323.67657738651224</v>
      </c>
      <c r="AY77" s="878">
        <f t="shared" si="635"/>
        <v>0</v>
      </c>
      <c r="AZ77" s="878">
        <f t="shared" si="635"/>
        <v>0</v>
      </c>
      <c r="BA77" s="878">
        <f t="shared" si="635"/>
        <v>323.67657738651224</v>
      </c>
      <c r="BB77" s="878">
        <f t="shared" si="635"/>
        <v>0</v>
      </c>
      <c r="BC77" s="878">
        <f t="shared" si="635"/>
        <v>0</v>
      </c>
      <c r="BD77" s="878">
        <f t="shared" si="635"/>
        <v>323.67657738651224</v>
      </c>
      <c r="BE77" s="878">
        <f t="shared" si="635"/>
        <v>0</v>
      </c>
      <c r="BF77" s="878">
        <f t="shared" si="635"/>
        <v>0</v>
      </c>
      <c r="BG77" s="878">
        <f t="shared" si="635"/>
        <v>323.67657738651224</v>
      </c>
      <c r="BH77" s="878">
        <f t="shared" si="635"/>
        <v>0</v>
      </c>
      <c r="BI77" s="878">
        <f t="shared" si="635"/>
        <v>0</v>
      </c>
      <c r="BJ77" s="878">
        <f t="shared" si="635"/>
        <v>323.67657738651224</v>
      </c>
      <c r="BK77" s="878">
        <f t="shared" si="635"/>
        <v>0</v>
      </c>
      <c r="BL77" s="878">
        <f t="shared" si="635"/>
        <v>0</v>
      </c>
      <c r="BM77" s="878">
        <f t="shared" si="635"/>
        <v>323.67657738651224</v>
      </c>
      <c r="BN77" s="878">
        <f t="shared" si="635"/>
        <v>0</v>
      </c>
      <c r="BO77" s="878">
        <f t="shared" si="635"/>
        <v>0</v>
      </c>
      <c r="BP77" s="878">
        <f t="shared" si="635"/>
        <v>323.67657738651224</v>
      </c>
      <c r="BQ77" s="878">
        <f t="shared" si="635"/>
        <v>0</v>
      </c>
      <c r="BR77" s="878">
        <f t="shared" si="635"/>
        <v>0</v>
      </c>
      <c r="BS77" s="878">
        <f t="shared" si="635"/>
        <v>323.67657738651224</v>
      </c>
      <c r="BT77" s="878">
        <f t="shared" si="635"/>
        <v>0</v>
      </c>
      <c r="BU77" s="878">
        <f t="shared" si="635"/>
        <v>0</v>
      </c>
    </row>
    <row r="78" spans="1:73" s="18" customFormat="1">
      <c r="A78" s="866">
        <v>32</v>
      </c>
      <c r="B78" s="76" t="s">
        <v>2109</v>
      </c>
      <c r="C78" s="76" t="s">
        <v>2281</v>
      </c>
      <c r="D78" s="875"/>
      <c r="E78" s="872"/>
      <c r="F78" s="886">
        <v>0.05</v>
      </c>
      <c r="G78" s="887">
        <v>0</v>
      </c>
      <c r="H78" s="887">
        <v>0</v>
      </c>
      <c r="I78" s="887">
        <v>0</v>
      </c>
      <c r="J78" s="887">
        <v>0</v>
      </c>
      <c r="K78" s="186">
        <f t="shared" ref="K78:AK78" si="636">K77*(1-$F$78)</f>
        <v>0</v>
      </c>
      <c r="L78" s="878">
        <f t="shared" si="636"/>
        <v>13.586339963635844</v>
      </c>
      <c r="M78" s="878">
        <f t="shared" si="636"/>
        <v>0</v>
      </c>
      <c r="N78" s="878">
        <f t="shared" si="636"/>
        <v>22.493517100522723</v>
      </c>
      <c r="O78" s="878">
        <f t="shared" si="636"/>
        <v>0</v>
      </c>
      <c r="P78" s="878">
        <f t="shared" si="636"/>
        <v>0</v>
      </c>
      <c r="Q78" s="878">
        <f t="shared" si="636"/>
        <v>72.498017441517007</v>
      </c>
      <c r="R78" s="878">
        <f t="shared" si="636"/>
        <v>0</v>
      </c>
      <c r="S78" s="878">
        <f t="shared" si="636"/>
        <v>0</v>
      </c>
      <c r="T78" s="878">
        <f t="shared" si="636"/>
        <v>111.5210879634665</v>
      </c>
      <c r="U78" s="878">
        <f t="shared" si="636"/>
        <v>0</v>
      </c>
      <c r="V78" s="878">
        <f t="shared" si="636"/>
        <v>0</v>
      </c>
      <c r="W78" s="878">
        <f t="shared" si="636"/>
        <v>133.08865782251365</v>
      </c>
      <c r="X78" s="878">
        <f t="shared" si="636"/>
        <v>0</v>
      </c>
      <c r="Y78" s="878">
        <f t="shared" si="636"/>
        <v>0</v>
      </c>
      <c r="Z78" s="878">
        <f t="shared" si="636"/>
        <v>161.29878470533961</v>
      </c>
      <c r="AA78" s="878">
        <f t="shared" si="636"/>
        <v>0</v>
      </c>
      <c r="AB78" s="878">
        <f t="shared" si="636"/>
        <v>0</v>
      </c>
      <c r="AC78" s="878">
        <f t="shared" si="636"/>
        <v>183.61843278227249</v>
      </c>
      <c r="AD78" s="878">
        <f t="shared" si="636"/>
        <v>0</v>
      </c>
      <c r="AE78" s="878">
        <f t="shared" si="636"/>
        <v>0</v>
      </c>
      <c r="AF78" s="878">
        <f t="shared" si="636"/>
        <v>206.49415427096952</v>
      </c>
      <c r="AG78" s="878">
        <f t="shared" si="636"/>
        <v>0</v>
      </c>
      <c r="AH78" s="878">
        <f t="shared" si="636"/>
        <v>0</v>
      </c>
      <c r="AI78" s="878">
        <f t="shared" si="636"/>
        <v>222.88758059295685</v>
      </c>
      <c r="AJ78" s="878">
        <f t="shared" si="636"/>
        <v>0</v>
      </c>
      <c r="AK78" s="878">
        <f t="shared" si="636"/>
        <v>0</v>
      </c>
      <c r="AL78" s="878">
        <f t="shared" ref="AL78:BU78" si="637">AL77*(1-$F$78)</f>
        <v>256.99345139407802</v>
      </c>
      <c r="AM78" s="878">
        <f t="shared" si="637"/>
        <v>0</v>
      </c>
      <c r="AN78" s="878">
        <f t="shared" si="637"/>
        <v>0</v>
      </c>
      <c r="AO78" s="878">
        <f t="shared" si="637"/>
        <v>273.96083093395112</v>
      </c>
      <c r="AP78" s="878">
        <f t="shared" si="637"/>
        <v>0</v>
      </c>
      <c r="AQ78" s="878">
        <f t="shared" si="637"/>
        <v>0</v>
      </c>
      <c r="AR78" s="878">
        <f t="shared" si="637"/>
        <v>307.49274851718661</v>
      </c>
      <c r="AS78" s="878">
        <f t="shared" si="637"/>
        <v>0</v>
      </c>
      <c r="AT78" s="878">
        <f t="shared" si="637"/>
        <v>0</v>
      </c>
      <c r="AU78" s="878">
        <f t="shared" si="637"/>
        <v>307.49274851718661</v>
      </c>
      <c r="AV78" s="878">
        <f t="shared" si="637"/>
        <v>0</v>
      </c>
      <c r="AW78" s="878">
        <f t="shared" si="637"/>
        <v>0</v>
      </c>
      <c r="AX78" s="878">
        <f t="shared" si="637"/>
        <v>307.49274851718661</v>
      </c>
      <c r="AY78" s="878">
        <f t="shared" si="637"/>
        <v>0</v>
      </c>
      <c r="AZ78" s="878">
        <f t="shared" si="637"/>
        <v>0</v>
      </c>
      <c r="BA78" s="878">
        <f t="shared" si="637"/>
        <v>307.49274851718661</v>
      </c>
      <c r="BB78" s="878">
        <f t="shared" si="637"/>
        <v>0</v>
      </c>
      <c r="BC78" s="878">
        <f t="shared" si="637"/>
        <v>0</v>
      </c>
      <c r="BD78" s="878">
        <f t="shared" si="637"/>
        <v>307.49274851718661</v>
      </c>
      <c r="BE78" s="878">
        <f t="shared" si="637"/>
        <v>0</v>
      </c>
      <c r="BF78" s="878">
        <f t="shared" si="637"/>
        <v>0</v>
      </c>
      <c r="BG78" s="878">
        <f t="shared" si="637"/>
        <v>307.49274851718661</v>
      </c>
      <c r="BH78" s="878">
        <f t="shared" si="637"/>
        <v>0</v>
      </c>
      <c r="BI78" s="878">
        <f t="shared" si="637"/>
        <v>0</v>
      </c>
      <c r="BJ78" s="878">
        <f t="shared" si="637"/>
        <v>307.49274851718661</v>
      </c>
      <c r="BK78" s="878">
        <f t="shared" si="637"/>
        <v>0</v>
      </c>
      <c r="BL78" s="878">
        <f t="shared" si="637"/>
        <v>0</v>
      </c>
      <c r="BM78" s="878">
        <f t="shared" si="637"/>
        <v>307.49274851718661</v>
      </c>
      <c r="BN78" s="878">
        <f t="shared" si="637"/>
        <v>0</v>
      </c>
      <c r="BO78" s="878">
        <f t="shared" si="637"/>
        <v>0</v>
      </c>
      <c r="BP78" s="878">
        <f t="shared" si="637"/>
        <v>307.49274851718661</v>
      </c>
      <c r="BQ78" s="878">
        <f t="shared" si="637"/>
        <v>0</v>
      </c>
      <c r="BR78" s="878">
        <f t="shared" si="637"/>
        <v>0</v>
      </c>
      <c r="BS78" s="878">
        <f t="shared" si="637"/>
        <v>307.49274851718661</v>
      </c>
      <c r="BT78" s="878">
        <f t="shared" si="637"/>
        <v>0</v>
      </c>
      <c r="BU78" s="878">
        <f t="shared" si="637"/>
        <v>0</v>
      </c>
    </row>
    <row r="80" spans="1:73">
      <c r="AF80" s="17">
        <f>3102</f>
        <v>3102</v>
      </c>
      <c r="AG80" s="17">
        <f>AF80-1200</f>
        <v>1902</v>
      </c>
      <c r="AH80" s="17">
        <f>AG80*25%</f>
        <v>475.5</v>
      </c>
      <c r="AI80" s="593">
        <f>AF80-AH80+AF81</f>
        <v>3586.8360171919553</v>
      </c>
      <c r="AJ80" s="593">
        <f>AI80-1200</f>
        <v>2386.8360171919553</v>
      </c>
      <c r="AK80" s="17">
        <v>3500</v>
      </c>
    </row>
    <row r="81" spans="32:32">
      <c r="AF81" s="593">
        <f>SUM(AF78:AO78)</f>
        <v>960.33601719195542</v>
      </c>
    </row>
  </sheetData>
  <autoFilter ref="B3:S38" xr:uid="{00000000-0009-0000-0000-000004000000}"/>
  <printOptions headings="1" gridLines="1"/>
  <pageMargins left="0.196850393700787" right="0.118110236220472" top="0.35433070866141703" bottom="0.35433070866141703" header="0.31496062992126" footer="0.31496062992126"/>
  <pageSetup paperSize="8" scale="26" fitToHeight="2" orientation="landscape" r:id="rId1"/>
  <headerFooter>
    <oddHeader>&amp;C&amp;G</oddHeader>
    <oddFooter>&amp;L&amp;8FN: &amp;F-&amp;A&amp;C&amp;G&amp;R&amp;8&amp;D</oddFooter>
  </headerFooter>
  <legacyDrawing r:id="rId2"/>
  <legacyDrawingHF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9DA6E-577B-4555-AB6D-0BDC29AF853A}">
  <dimension ref="B1:K37"/>
  <sheetViews>
    <sheetView workbookViewId="0"/>
  </sheetViews>
  <sheetFormatPr defaultColWidth="8.75" defaultRowHeight="13.5" outlineLevelCol="1"/>
  <cols>
    <col min="1" max="1" width="4.125" style="1083" customWidth="1"/>
    <col min="2" max="2" width="11.75" style="1083" customWidth="1"/>
    <col min="3" max="3" width="23.125" style="1083" bestFit="1" customWidth="1"/>
    <col min="4" max="4" width="11.875" style="1083" customWidth="1"/>
    <col min="5" max="5" width="15.5" style="1083" customWidth="1"/>
    <col min="6" max="6" width="10.875" style="1083" customWidth="1"/>
    <col min="7" max="7" width="11.125" style="1083" customWidth="1"/>
    <col min="8" max="8" width="14.125" style="1083" bestFit="1" customWidth="1"/>
    <col min="9" max="9" width="24.125" style="1083" customWidth="1"/>
    <col min="10" max="10" width="13.875" style="1083" customWidth="1"/>
    <col min="11" max="11" width="14.125" style="1114" customWidth="1" outlineLevel="1"/>
    <col min="12" max="16384" width="8.75" style="1083"/>
  </cols>
  <sheetData>
    <row r="1" spans="2:11">
      <c r="K1" s="1084"/>
    </row>
    <row r="2" spans="2:11">
      <c r="B2" s="1085" t="s">
        <v>3075</v>
      </c>
      <c r="C2" s="1086"/>
      <c r="D2" s="1086"/>
      <c r="E2" s="1086"/>
      <c r="F2" s="1086"/>
      <c r="G2" s="1086"/>
      <c r="H2" s="1086"/>
      <c r="I2" s="1086"/>
      <c r="J2" s="1086"/>
      <c r="K2" s="1087"/>
    </row>
    <row r="4" spans="2:11" s="1091" customFormat="1">
      <c r="B4" s="1088"/>
      <c r="C4" s="1089" t="s">
        <v>3076</v>
      </c>
      <c r="D4" s="1089" t="s">
        <v>3077</v>
      </c>
      <c r="E4" s="1089" t="s">
        <v>3078</v>
      </c>
      <c r="F4" s="1089" t="s">
        <v>3079</v>
      </c>
      <c r="G4" s="1089" t="s">
        <v>3080</v>
      </c>
      <c r="H4" s="1089" t="s">
        <v>3081</v>
      </c>
      <c r="I4" s="1089" t="s">
        <v>3082</v>
      </c>
      <c r="J4" s="1089" t="s">
        <v>3083</v>
      </c>
      <c r="K4" s="1090" t="s">
        <v>3074</v>
      </c>
    </row>
    <row r="5" spans="2:11" ht="14.1" customHeight="1">
      <c r="B5" s="1194" t="s">
        <v>3084</v>
      </c>
      <c r="C5" s="1091" t="s">
        <v>3085</v>
      </c>
      <c r="D5" s="1091" t="s">
        <v>3086</v>
      </c>
      <c r="E5" s="1092">
        <v>200</v>
      </c>
      <c r="F5" s="1091" t="s">
        <v>3087</v>
      </c>
      <c r="G5" s="1091" t="s">
        <v>3088</v>
      </c>
      <c r="H5" s="1093">
        <v>0.7</v>
      </c>
      <c r="I5" s="1094">
        <f>0.3*K5*E5/10^2</f>
        <v>3.48</v>
      </c>
      <c r="J5" s="1095" t="s">
        <v>3089</v>
      </c>
      <c r="K5" s="1096">
        <v>5.8</v>
      </c>
    </row>
    <row r="6" spans="2:11">
      <c r="B6" s="1195"/>
      <c r="C6" s="1091" t="s">
        <v>3090</v>
      </c>
      <c r="D6" s="1091" t="s">
        <v>3091</v>
      </c>
      <c r="E6" s="1092">
        <v>100</v>
      </c>
      <c r="F6" s="1091" t="s">
        <v>3087</v>
      </c>
      <c r="G6" s="1091" t="s">
        <v>3088</v>
      </c>
      <c r="H6" s="1093">
        <v>0.7</v>
      </c>
      <c r="I6" s="1097">
        <f t="shared" ref="I6:I17" si="0">0.3*K6*E6/10^2</f>
        <v>1.95</v>
      </c>
      <c r="J6" s="1095" t="s">
        <v>3089</v>
      </c>
      <c r="K6" s="1096">
        <v>6.5</v>
      </c>
    </row>
    <row r="7" spans="2:11">
      <c r="B7" s="1195"/>
      <c r="C7" s="1091" t="s">
        <v>3092</v>
      </c>
      <c r="D7" s="1091" t="s">
        <v>3093</v>
      </c>
      <c r="E7" s="1098">
        <f>225+200</f>
        <v>425</v>
      </c>
      <c r="F7" s="1091" t="s">
        <v>3094</v>
      </c>
      <c r="G7" s="1091" t="s">
        <v>3095</v>
      </c>
      <c r="H7" s="1093">
        <v>0.5</v>
      </c>
      <c r="I7" s="1097">
        <f t="shared" si="0"/>
        <v>6.6524999999999999</v>
      </c>
      <c r="J7" s="1095" t="s">
        <v>3096</v>
      </c>
      <c r="K7" s="1096">
        <f>(4*200+6.3*225)/(200+225)</f>
        <v>5.2176470588235295</v>
      </c>
    </row>
    <row r="8" spans="2:11">
      <c r="B8" s="1195"/>
      <c r="C8" s="1091" t="s">
        <v>3090</v>
      </c>
      <c r="D8" s="1091" t="s">
        <v>3097</v>
      </c>
      <c r="E8" s="1098">
        <v>100</v>
      </c>
      <c r="F8" s="1091" t="s">
        <v>3087</v>
      </c>
      <c r="G8" s="1091" t="s">
        <v>3095</v>
      </c>
      <c r="H8" s="1093">
        <v>0.5</v>
      </c>
      <c r="I8" s="1097">
        <f t="shared" si="0"/>
        <v>2.4</v>
      </c>
      <c r="J8" s="1095" t="s">
        <v>3096</v>
      </c>
      <c r="K8" s="1099">
        <v>8</v>
      </c>
    </row>
    <row r="9" spans="2:11">
      <c r="B9" s="1195"/>
      <c r="C9" s="1091" t="s">
        <v>3098</v>
      </c>
      <c r="D9" s="1091" t="s">
        <v>3099</v>
      </c>
      <c r="E9" s="1100">
        <v>300</v>
      </c>
      <c r="F9" s="1091" t="s">
        <v>3087</v>
      </c>
      <c r="G9" s="1091" t="s">
        <v>3095</v>
      </c>
      <c r="H9" s="1093">
        <v>0.5</v>
      </c>
      <c r="I9" s="1097">
        <f t="shared" si="0"/>
        <v>6.3</v>
      </c>
      <c r="J9" s="1095" t="s">
        <v>3096</v>
      </c>
      <c r="K9" s="1096">
        <v>7</v>
      </c>
    </row>
    <row r="10" spans="2:11">
      <c r="B10" s="1195"/>
      <c r="C10" s="1091" t="s">
        <v>3100</v>
      </c>
      <c r="D10" s="1091" t="s">
        <v>3101</v>
      </c>
      <c r="E10" s="1098">
        <v>100</v>
      </c>
      <c r="F10" s="1091" t="s">
        <v>3087</v>
      </c>
      <c r="G10" s="1091" t="s">
        <v>3095</v>
      </c>
      <c r="H10" s="1093">
        <v>0.4</v>
      </c>
      <c r="I10" s="1097">
        <f>0.3*K10*E10/10^2</f>
        <v>2.1</v>
      </c>
      <c r="J10" s="1095" t="s">
        <v>3089</v>
      </c>
      <c r="K10" s="1096">
        <v>7</v>
      </c>
    </row>
    <row r="11" spans="2:11">
      <c r="B11" s="1195"/>
      <c r="C11" s="1091" t="s">
        <v>3102</v>
      </c>
      <c r="D11" s="1091" t="s">
        <v>3103</v>
      </c>
      <c r="E11" s="1098">
        <v>100</v>
      </c>
      <c r="F11" s="1091" t="s">
        <v>3087</v>
      </c>
      <c r="G11" s="1091" t="s">
        <v>3104</v>
      </c>
      <c r="H11" s="1093">
        <v>0.3</v>
      </c>
      <c r="I11" s="1101">
        <f t="shared" si="0"/>
        <v>1.89</v>
      </c>
      <c r="J11" s="1095" t="s">
        <v>3096</v>
      </c>
      <c r="K11" s="1096">
        <v>6.3</v>
      </c>
    </row>
    <row r="12" spans="2:11">
      <c r="B12" s="1195"/>
      <c r="C12" s="1091" t="s">
        <v>3105</v>
      </c>
      <c r="D12" s="1091" t="s">
        <v>3099</v>
      </c>
      <c r="E12" s="1100">
        <v>200</v>
      </c>
      <c r="F12" s="1091" t="s">
        <v>3087</v>
      </c>
      <c r="G12" s="1091" t="s">
        <v>3104</v>
      </c>
      <c r="H12" s="1093">
        <v>0.3</v>
      </c>
      <c r="I12" s="1097">
        <f t="shared" si="0"/>
        <v>4.4400000000000004</v>
      </c>
      <c r="J12" s="1095" t="s">
        <v>3096</v>
      </c>
      <c r="K12" s="1096">
        <v>7.4</v>
      </c>
    </row>
    <row r="13" spans="2:11">
      <c r="B13" s="1195"/>
      <c r="C13" s="1091" t="s">
        <v>3106</v>
      </c>
      <c r="D13" s="1091" t="s">
        <v>3107</v>
      </c>
      <c r="E13" s="1098">
        <v>200</v>
      </c>
      <c r="F13" s="1091" t="s">
        <v>3087</v>
      </c>
      <c r="G13" s="1091" t="s">
        <v>3104</v>
      </c>
      <c r="H13" s="1093">
        <v>0.3</v>
      </c>
      <c r="I13" s="1101">
        <f>0.3*K13*E13/10^2</f>
        <v>3.9</v>
      </c>
      <c r="J13" s="1095" t="s">
        <v>3096</v>
      </c>
      <c r="K13" s="1096">
        <v>6.5</v>
      </c>
    </row>
    <row r="14" spans="2:11">
      <c r="B14" s="1195"/>
      <c r="C14" s="1091" t="s">
        <v>3108</v>
      </c>
      <c r="D14" s="1091" t="s">
        <v>3103</v>
      </c>
      <c r="E14" s="1098">
        <v>100</v>
      </c>
      <c r="F14" s="1091" t="s">
        <v>3087</v>
      </c>
      <c r="G14" s="1091" t="s">
        <v>3104</v>
      </c>
      <c r="H14" s="1093">
        <v>0.2</v>
      </c>
      <c r="I14" s="1097">
        <f>0.3*K14*E14/10^2</f>
        <v>1.5</v>
      </c>
      <c r="J14" s="1102" t="s">
        <v>3089</v>
      </c>
      <c r="K14" s="1096">
        <v>5</v>
      </c>
    </row>
    <row r="15" spans="2:11">
      <c r="B15" s="1196" t="s">
        <v>3109</v>
      </c>
      <c r="C15" s="1103" t="s">
        <v>3110</v>
      </c>
      <c r="D15" s="1103" t="s">
        <v>3111</v>
      </c>
      <c r="E15" s="1104">
        <v>250</v>
      </c>
      <c r="F15" s="1103" t="s">
        <v>3087</v>
      </c>
      <c r="G15" s="1103" t="s">
        <v>3088</v>
      </c>
      <c r="H15" s="1105">
        <v>0.6</v>
      </c>
      <c r="I15" s="1106">
        <f t="shared" si="0"/>
        <v>3.9749999999999996</v>
      </c>
      <c r="J15" s="1095" t="s">
        <v>3112</v>
      </c>
      <c r="K15" s="1107">
        <v>5.3</v>
      </c>
    </row>
    <row r="16" spans="2:11">
      <c r="B16" s="1197"/>
      <c r="C16" s="1091" t="s">
        <v>3110</v>
      </c>
      <c r="D16" s="1091" t="s">
        <v>3113</v>
      </c>
      <c r="E16" s="1108">
        <v>100</v>
      </c>
      <c r="F16" s="1091" t="s">
        <v>3087</v>
      </c>
      <c r="G16" s="1091" t="s">
        <v>3095</v>
      </c>
      <c r="H16" s="1093">
        <v>0.5</v>
      </c>
      <c r="I16" s="1094">
        <f t="shared" si="0"/>
        <v>1.65</v>
      </c>
      <c r="J16" s="1095" t="s">
        <v>3112</v>
      </c>
      <c r="K16" s="1099">
        <v>5.5</v>
      </c>
    </row>
    <row r="17" spans="2:11">
      <c r="B17" s="1198"/>
      <c r="C17" s="1088" t="s">
        <v>3110</v>
      </c>
      <c r="D17" s="1088" t="s">
        <v>3114</v>
      </c>
      <c r="E17" s="1109">
        <v>15</v>
      </c>
      <c r="F17" s="1088" t="s">
        <v>3087</v>
      </c>
      <c r="G17" s="1088" t="s">
        <v>3104</v>
      </c>
      <c r="H17" s="1110">
        <v>0.3</v>
      </c>
      <c r="I17" s="1111">
        <f t="shared" si="0"/>
        <v>0.23849999999999999</v>
      </c>
      <c r="J17" s="1102" t="s">
        <v>3112</v>
      </c>
      <c r="K17" s="1112">
        <v>5.3</v>
      </c>
    </row>
    <row r="18" spans="2:11">
      <c r="K18" s="1083"/>
    </row>
    <row r="19" spans="2:11">
      <c r="K19" s="1083"/>
    </row>
    <row r="20" spans="2:11">
      <c r="B20" s="1113"/>
      <c r="K20" s="1084"/>
    </row>
    <row r="21" spans="2:11">
      <c r="B21" s="1085" t="s">
        <v>3115</v>
      </c>
      <c r="C21" s="1086"/>
      <c r="D21" s="1086"/>
      <c r="E21" s="1086"/>
      <c r="F21" s="1086"/>
      <c r="G21" s="1086"/>
      <c r="H21" s="1086"/>
      <c r="I21" s="1086"/>
      <c r="J21" s="1086"/>
      <c r="K21" s="1087"/>
    </row>
    <row r="22" spans="2:11">
      <c r="C22" s="1083" t="s">
        <v>3116</v>
      </c>
    </row>
    <row r="23" spans="2:11">
      <c r="B23" s="1083" t="s">
        <v>3117</v>
      </c>
      <c r="C23" s="1115">
        <f>SUMIFS($I$5:$I$17,$J$5:$J$17,$B23,$G$5:$G$17,"高")+SUMIFS($I$5:$I$17,$J$5:$J$17,$B23,$G$5:$G$17,"中")</f>
        <v>0</v>
      </c>
    </row>
    <row r="24" spans="2:11">
      <c r="B24" s="1083" t="s">
        <v>3118</v>
      </c>
      <c r="C24" s="1115">
        <f>SUMIFS($I$5:$I$17,$J$5:$J$17,$B24,$G$5:$G$17,"高")+SUMIFS($I$5:$I$17,$J$5:$J$17,$B24,$G$5:$G$17,"中")</f>
        <v>0</v>
      </c>
    </row>
    <row r="25" spans="2:11">
      <c r="B25" s="1083" t="s">
        <v>3089</v>
      </c>
      <c r="C25" s="1115">
        <f>SUMIFS($I$5:$I$17,$J$5:$J$17,$B25,$G$5:$G$17,"高")+SUMIFS($I$5:$I$17,$J$5:$J$17,$B25,$G$5:$G$17,"中")</f>
        <v>7.5299999999999994</v>
      </c>
    </row>
    <row r="26" spans="2:11">
      <c r="B26" s="1083" t="s">
        <v>3096</v>
      </c>
      <c r="C26" s="1115">
        <f>SUMIFS($I$5:$I$17,$J$5:$J$17,$B26,$G$5:$G$17,"高")+SUMIFS($I$5:$I$17,$J$5:$J$17,$B26,$G$5:$G$17,"中")</f>
        <v>15.352499999999999</v>
      </c>
    </row>
    <row r="27" spans="2:11">
      <c r="B27" s="1083" t="s">
        <v>3112</v>
      </c>
      <c r="C27" s="1115">
        <f>SUMIFS($I$5:$I$17,$J$5:$J$17,$B27,$G$5:$G$17,"高")+SUMIFS($I$5:$I$17,$J$5:$J$17,$B27,$G$5:$G$17,"中")</f>
        <v>5.625</v>
      </c>
    </row>
    <row r="28" spans="2:11">
      <c r="B28" s="1116" t="s">
        <v>3119</v>
      </c>
      <c r="C28" s="1117">
        <f>SUM(C23:C27)</f>
        <v>28.5075</v>
      </c>
    </row>
    <row r="30" spans="2:11">
      <c r="B30" s="1085" t="s">
        <v>3120</v>
      </c>
      <c r="C30" s="1086"/>
      <c r="D30" s="1086"/>
      <c r="E30" s="1086"/>
      <c r="F30" s="1086"/>
      <c r="G30" s="1086"/>
      <c r="H30" s="1086"/>
      <c r="I30" s="1086"/>
      <c r="J30" s="1086"/>
      <c r="K30" s="1087"/>
    </row>
    <row r="31" spans="2:11">
      <c r="C31" s="1083" t="s">
        <v>3116</v>
      </c>
    </row>
    <row r="32" spans="2:11">
      <c r="B32" s="1083" t="s">
        <v>3117</v>
      </c>
      <c r="C32" s="1115">
        <f>SUMIF($J$5:$J$17,"26 Q1",$I$5:$I$17)</f>
        <v>0</v>
      </c>
    </row>
    <row r="33" spans="2:3">
      <c r="B33" s="1083" t="s">
        <v>3118</v>
      </c>
      <c r="C33" s="1115">
        <f>SUMIF($J$5:$J$17,"26 Q2",$I$5:$I$17)</f>
        <v>0</v>
      </c>
    </row>
    <row r="34" spans="2:3">
      <c r="B34" s="1083" t="s">
        <v>3089</v>
      </c>
      <c r="C34" s="1115">
        <f>SUMIF($J$5:$J$17,"26 Q3",$I$5:$I$17)</f>
        <v>9.0299999999999994</v>
      </c>
    </row>
    <row r="35" spans="2:3">
      <c r="B35" s="1083" t="s">
        <v>3096</v>
      </c>
      <c r="C35" s="1115">
        <f>SUMIF($J$5:$J$17,"26 Q4",$I$5:$I$17)</f>
        <v>25.5825</v>
      </c>
    </row>
    <row r="36" spans="2:3">
      <c r="B36" s="1083" t="s">
        <v>3112</v>
      </c>
      <c r="C36" s="1115">
        <f>SUMIF($J$5:$J$17,"27 H2",$I$5:$I$17)</f>
        <v>5.8635000000000002</v>
      </c>
    </row>
    <row r="37" spans="2:3">
      <c r="B37" s="1116" t="s">
        <v>3119</v>
      </c>
      <c r="C37" s="1117">
        <f>SUM(C32:C36)</f>
        <v>40.475999999999999</v>
      </c>
    </row>
  </sheetData>
  <mergeCells count="2">
    <mergeCell ref="B5:B14"/>
    <mergeCell ref="B15:B17"/>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80"/>
  <sheetViews>
    <sheetView workbookViewId="0">
      <selection activeCell="H11" sqref="H11"/>
    </sheetView>
  </sheetViews>
  <sheetFormatPr defaultColWidth="7.875" defaultRowHeight="15"/>
  <cols>
    <col min="1" max="1" width="4.375" style="889" customWidth="1"/>
    <col min="2" max="2" width="12.5" style="889" customWidth="1"/>
    <col min="3" max="4" width="17.25" style="889" customWidth="1"/>
    <col min="5" max="5" width="12.125" style="889" customWidth="1"/>
    <col min="6" max="6" width="17.25" style="889" customWidth="1"/>
    <col min="7" max="7" width="1.625" style="889" customWidth="1"/>
    <col min="8" max="8" width="17.25" style="889" customWidth="1"/>
    <col min="9" max="9" width="13.125" style="889" customWidth="1"/>
    <col min="10" max="10" width="9.375" style="889" customWidth="1"/>
    <col min="11" max="11" width="12.125" style="889" customWidth="1"/>
    <col min="12" max="12" width="12.875" style="889" customWidth="1"/>
    <col min="13" max="13" width="9.625" style="889" customWidth="1"/>
    <col min="14" max="15" width="11" style="889" customWidth="1"/>
    <col min="16" max="21" width="10" style="889" customWidth="1"/>
    <col min="22" max="23" width="12.125" style="889" customWidth="1"/>
    <col min="24" max="25" width="11.375" style="889" customWidth="1"/>
    <col min="26" max="26" width="12.125" style="889" customWidth="1"/>
    <col min="27" max="28" width="12.5" style="889" customWidth="1"/>
    <col min="29" max="29" width="2.5" style="889" customWidth="1"/>
    <col min="30" max="30" width="12.125" style="889" bestFit="1" customWidth="1"/>
    <col min="31" max="16384" width="7.875" style="889"/>
  </cols>
  <sheetData>
    <row r="1" spans="1:18">
      <c r="A1" s="889" t="s">
        <v>2155</v>
      </c>
      <c r="K1" s="890" t="s">
        <v>2156</v>
      </c>
      <c r="L1" s="891">
        <v>105000</v>
      </c>
      <c r="M1" s="892"/>
      <c r="N1" s="892"/>
      <c r="O1" s="892"/>
    </row>
    <row r="2" spans="1:18">
      <c r="K2" s="890"/>
      <c r="L2" s="891"/>
      <c r="M2" s="892"/>
      <c r="N2" s="892"/>
      <c r="O2" s="892"/>
    </row>
    <row r="3" spans="1:18">
      <c r="A3" s="893"/>
      <c r="B3" s="894"/>
      <c r="C3" s="895" t="s">
        <v>2157</v>
      </c>
      <c r="D3" s="896" t="s">
        <v>2158</v>
      </c>
      <c r="E3" s="896" t="s">
        <v>2159</v>
      </c>
      <c r="F3" s="896" t="s">
        <v>2160</v>
      </c>
      <c r="H3" s="896"/>
      <c r="I3" s="897"/>
      <c r="P3" s="898"/>
    </row>
    <row r="4" spans="1:18" s="888" customFormat="1">
      <c r="A4" s="899" t="s">
        <v>2161</v>
      </c>
      <c r="B4" s="900"/>
      <c r="C4" s="901">
        <v>2000</v>
      </c>
      <c r="D4" s="901">
        <f>SUM(D5:D7)</f>
        <v>20000</v>
      </c>
      <c r="E4" s="902">
        <f>D4/$D$11</f>
        <v>4</v>
      </c>
      <c r="F4" s="903"/>
      <c r="H4" s="904"/>
      <c r="I4" s="905"/>
      <c r="J4" s="904"/>
      <c r="K4" s="906"/>
      <c r="L4" s="889"/>
      <c r="M4" s="889"/>
      <c r="N4" s="889"/>
      <c r="O4" s="889"/>
    </row>
    <row r="5" spans="1:18">
      <c r="A5" s="893"/>
      <c r="B5" s="889" t="s">
        <v>2162</v>
      </c>
      <c r="C5" s="907">
        <f>C4*E5</f>
        <v>1000</v>
      </c>
      <c r="D5" s="907">
        <v>10000</v>
      </c>
      <c r="E5" s="908">
        <f>D5/$D$4</f>
        <v>0.5</v>
      </c>
      <c r="F5" s="909">
        <f>C5/150000</f>
        <v>6.6666666666666671E-3</v>
      </c>
      <c r="H5" s="910"/>
      <c r="I5" s="911"/>
      <c r="J5" s="912"/>
      <c r="K5" s="913"/>
    </row>
    <row r="6" spans="1:18">
      <c r="A6" s="893"/>
      <c r="B6" s="889" t="s">
        <v>2163</v>
      </c>
      <c r="C6" s="907">
        <f t="shared" ref="C6" si="0">(C4-C5)/2</f>
        <v>500</v>
      </c>
      <c r="D6" s="907">
        <v>5000</v>
      </c>
      <c r="E6" s="908">
        <f t="shared" ref="E6:E7" si="1">D6/$D$4</f>
        <v>0.25</v>
      </c>
      <c r="F6" s="909">
        <f>C6/D6</f>
        <v>0.1</v>
      </c>
      <c r="H6" s="910"/>
      <c r="I6" s="911"/>
      <c r="J6" s="912"/>
      <c r="K6" s="913"/>
    </row>
    <row r="7" spans="1:18">
      <c r="A7" s="893"/>
      <c r="B7" s="889" t="s">
        <v>2164</v>
      </c>
      <c r="C7" s="907">
        <f>C6</f>
        <v>500</v>
      </c>
      <c r="D7" s="907">
        <v>5000</v>
      </c>
      <c r="E7" s="908">
        <f t="shared" si="1"/>
        <v>0.25</v>
      </c>
      <c r="F7" s="909">
        <f>C7/D7</f>
        <v>0.1</v>
      </c>
      <c r="H7" s="910"/>
      <c r="I7" s="911"/>
      <c r="J7" s="912"/>
      <c r="K7" s="913"/>
    </row>
    <row r="8" spans="1:18" ht="15.75">
      <c r="A8" s="893"/>
      <c r="B8" s="894"/>
      <c r="C8" s="914"/>
      <c r="D8" s="915"/>
      <c r="E8" s="916"/>
      <c r="F8" s="916"/>
      <c r="H8" s="916"/>
      <c r="I8" s="917"/>
    </row>
    <row r="9" spans="1:18" ht="13.9" customHeight="1">
      <c r="A9" s="893"/>
      <c r="B9" s="894"/>
      <c r="C9" s="895"/>
      <c r="D9" s="918"/>
      <c r="H9" s="895"/>
      <c r="Q9" s="889" t="s">
        <v>2165</v>
      </c>
      <c r="R9" s="889">
        <v>2000</v>
      </c>
    </row>
    <row r="10" spans="1:18">
      <c r="A10" s="893"/>
      <c r="B10" s="894"/>
      <c r="C10" s="895" t="s">
        <v>2157</v>
      </c>
      <c r="D10" s="896" t="s">
        <v>2158</v>
      </c>
      <c r="E10" s="896" t="s">
        <v>2159</v>
      </c>
      <c r="F10" s="896" t="s">
        <v>2166</v>
      </c>
      <c r="H10" s="1082" t="s">
        <v>3072</v>
      </c>
      <c r="J10" s="896" t="s">
        <v>2167</v>
      </c>
      <c r="K10" s="897" t="s">
        <v>2168</v>
      </c>
      <c r="N10" s="889" t="s">
        <v>2164</v>
      </c>
      <c r="O10" s="889">
        <v>5000</v>
      </c>
      <c r="Q10" s="889" t="s">
        <v>2169</v>
      </c>
      <c r="R10" s="898">
        <f>R9/L1*O10</f>
        <v>95.238095238095241</v>
      </c>
    </row>
    <row r="11" spans="1:18" s="888" customFormat="1" ht="15.75" thickBot="1">
      <c r="A11" s="899" t="s">
        <v>2170</v>
      </c>
      <c r="B11" s="900"/>
      <c r="C11" s="901">
        <v>1031</v>
      </c>
      <c r="D11" s="901">
        <v>5000</v>
      </c>
      <c r="E11" s="902">
        <f>D11/$D$11</f>
        <v>1</v>
      </c>
      <c r="F11" s="903"/>
      <c r="H11" s="901">
        <f>1531-C11</f>
        <v>500</v>
      </c>
      <c r="J11" s="919">
        <f>D11/$L$1</f>
        <v>4.7619047619047616E-2</v>
      </c>
      <c r="K11" s="920">
        <f>C11/J11</f>
        <v>21651</v>
      </c>
      <c r="L11" s="919">
        <f>K11/$L$1</f>
        <v>0.20619999999999999</v>
      </c>
      <c r="M11" s="906"/>
      <c r="N11" s="889" t="s">
        <v>2171</v>
      </c>
      <c r="O11" s="889">
        <v>10000</v>
      </c>
      <c r="P11" s="889"/>
      <c r="Q11" s="889"/>
    </row>
    <row r="12" spans="1:18">
      <c r="A12" s="893"/>
      <c r="B12" s="889" t="s">
        <v>2172</v>
      </c>
      <c r="C12" s="907">
        <v>100</v>
      </c>
      <c r="D12" s="907">
        <v>100</v>
      </c>
      <c r="E12" s="908">
        <f>D12/$D$11</f>
        <v>0.02</v>
      </c>
      <c r="H12" s="907">
        <v>0</v>
      </c>
      <c r="J12" s="921">
        <f>D12/$L$1</f>
        <v>9.5238095238095238E-4</v>
      </c>
      <c r="K12" s="922">
        <f>C12/J12</f>
        <v>105000</v>
      </c>
      <c r="L12" s="923">
        <f>K12/$L$1</f>
        <v>1</v>
      </c>
      <c r="M12" s="924">
        <f>C12/D12</f>
        <v>1</v>
      </c>
    </row>
    <row r="13" spans="1:18">
      <c r="A13" s="893"/>
      <c r="B13" s="889" t="s">
        <v>2173</v>
      </c>
      <c r="C13" s="907">
        <f>($C$11-$C$12)*D13/SUM($D$13:$D$14)</f>
        <v>237.5</v>
      </c>
      <c r="D13" s="907">
        <v>1250</v>
      </c>
      <c r="E13" s="908">
        <f>D13/$D$11</f>
        <v>0.25</v>
      </c>
      <c r="H13" s="907">
        <f>($H$11)*D13/SUM($D$13:$D$14)</f>
        <v>127.55102040816327</v>
      </c>
      <c r="J13" s="921">
        <f>D13/$L$1</f>
        <v>1.1904761904761904E-2</v>
      </c>
      <c r="K13" s="922">
        <f>C13/J13</f>
        <v>19950</v>
      </c>
      <c r="L13" s="923">
        <f>K13/$L$1</f>
        <v>0.19</v>
      </c>
      <c r="M13" s="924">
        <f>C13/D13</f>
        <v>0.19</v>
      </c>
    </row>
    <row r="14" spans="1:18">
      <c r="A14" s="893"/>
      <c r="B14" s="889" t="s">
        <v>2117</v>
      </c>
      <c r="C14" s="907">
        <f>($C$11-$C$12)*D14/SUM($D$13:$D$14)</f>
        <v>693.5</v>
      </c>
      <c r="D14" s="907">
        <f>D11-D12-D13</f>
        <v>3650</v>
      </c>
      <c r="E14" s="908">
        <f>D14/$D$11</f>
        <v>0.73</v>
      </c>
      <c r="H14" s="907">
        <f>($H$11)*D14/SUM($D$13:$D$14)</f>
        <v>372.44897959183675</v>
      </c>
      <c r="J14" s="921">
        <f>D14/$L$1</f>
        <v>3.4761904761904765E-2</v>
      </c>
      <c r="K14" s="922">
        <f>C14/J14</f>
        <v>19950</v>
      </c>
      <c r="L14" s="923">
        <f>K14/$L$1</f>
        <v>0.19</v>
      </c>
      <c r="M14" s="924">
        <f>C14/D14</f>
        <v>0.19</v>
      </c>
    </row>
    <row r="15" spans="1:18" ht="15.75">
      <c r="A15" s="893"/>
      <c r="B15" s="894"/>
      <c r="C15" s="914">
        <f>SUM(C12:C14)-C11</f>
        <v>0</v>
      </c>
      <c r="D15" s="915"/>
      <c r="E15" s="916"/>
      <c r="F15" s="916"/>
      <c r="H15" s="1082"/>
      <c r="I15" s="925"/>
    </row>
    <row r="16" spans="1:18" s="888" customFormat="1" ht="15.75" thickBot="1">
      <c r="A16" s="899" t="s">
        <v>2117</v>
      </c>
      <c r="B16" s="899"/>
      <c r="C16" s="1074">
        <v>1100</v>
      </c>
      <c r="D16" s="901">
        <f>SUM(D17:D18)</f>
        <v>4900</v>
      </c>
      <c r="E16" s="902">
        <f>D16/$D$16</f>
        <v>1</v>
      </c>
      <c r="F16" s="901">
        <f>D14</f>
        <v>3650</v>
      </c>
      <c r="H16" s="901">
        <v>0</v>
      </c>
      <c r="J16" s="919">
        <f>3650/$L$1</f>
        <v>3.4761904761904765E-2</v>
      </c>
      <c r="K16" s="901">
        <f>C16/J16</f>
        <v>31643.835616438355</v>
      </c>
      <c r="L16" s="919">
        <f>K16/$L$1</f>
        <v>0.30136986301369861</v>
      </c>
    </row>
    <row r="17" spans="1:30" ht="15.75">
      <c r="A17" s="893"/>
      <c r="B17" s="889" t="s">
        <v>2174</v>
      </c>
      <c r="C17" s="914">
        <f>$C$16*E17</f>
        <v>897.9591836734694</v>
      </c>
      <c r="D17" s="914">
        <v>4000</v>
      </c>
      <c r="E17" s="908">
        <f>D17/$D$16</f>
        <v>0.81632653061224492</v>
      </c>
      <c r="F17" s="915">
        <f>ROUNDUP(E17*F16,4)</f>
        <v>2979.5919000000004</v>
      </c>
      <c r="H17" s="907">
        <v>0</v>
      </c>
      <c r="J17" s="921">
        <f>(3650*E17)/$L$1</f>
        <v>2.8377065111758991E-2</v>
      </c>
      <c r="K17" s="907"/>
      <c r="L17" s="923"/>
    </row>
    <row r="18" spans="1:30" ht="15.75">
      <c r="A18" s="893"/>
      <c r="B18" s="889" t="s">
        <v>2175</v>
      </c>
      <c r="C18" s="914">
        <f>$C$16*E18</f>
        <v>202.04081632653063</v>
      </c>
      <c r="D18" s="914">
        <v>900</v>
      </c>
      <c r="E18" s="908">
        <f>D18/$D$16</f>
        <v>0.18367346938775511</v>
      </c>
      <c r="F18" s="915">
        <f>F16-F17</f>
        <v>670.40809999999965</v>
      </c>
      <c r="H18" s="907">
        <v>0</v>
      </c>
      <c r="J18" s="921">
        <f>(3650*E18)/$L$1</f>
        <v>6.3848396501457729E-3</v>
      </c>
      <c r="K18" s="907"/>
      <c r="L18" s="923"/>
    </row>
    <row r="19" spans="1:30" ht="16.5" thickBot="1">
      <c r="A19" s="893"/>
      <c r="B19" s="926" t="s">
        <v>2176</v>
      </c>
      <c r="C19" s="927">
        <f>C16-C14</f>
        <v>406.5</v>
      </c>
      <c r="D19" s="914"/>
      <c r="E19" s="1072"/>
      <c r="F19" s="908"/>
      <c r="H19" s="908"/>
      <c r="I19" s="925"/>
    </row>
    <row r="20" spans="1:30" ht="16.5" thickBot="1">
      <c r="A20" s="893"/>
      <c r="B20" s="894"/>
      <c r="C20" s="914"/>
      <c r="D20" s="915"/>
      <c r="E20" s="1073"/>
      <c r="F20" s="916"/>
      <c r="H20" s="916"/>
      <c r="I20" s="925"/>
      <c r="L20" s="1199" t="s">
        <v>2177</v>
      </c>
      <c r="M20" s="1200"/>
      <c r="N20" s="1199" t="s">
        <v>2178</v>
      </c>
      <c r="O20" s="1200"/>
      <c r="P20" s="1199" t="s">
        <v>2179</v>
      </c>
      <c r="Q20" s="1200"/>
      <c r="R20" s="1199" t="s">
        <v>2180</v>
      </c>
      <c r="S20" s="1200"/>
      <c r="T20" s="1199" t="s">
        <v>2178</v>
      </c>
      <c r="U20" s="1200"/>
      <c r="V20" s="1199" t="s">
        <v>2181</v>
      </c>
      <c r="W20" s="1200"/>
      <c r="X20" s="1199" t="s">
        <v>2182</v>
      </c>
      <c r="Y20" s="1200"/>
      <c r="Z20" s="889" t="s">
        <v>2183</v>
      </c>
      <c r="AA20" s="1199" t="s">
        <v>2184</v>
      </c>
      <c r="AB20" s="1200"/>
    </row>
    <row r="21" spans="1:30" s="888" customFormat="1">
      <c r="A21" s="899" t="s">
        <v>2174</v>
      </c>
      <c r="B21" s="899"/>
      <c r="C21" s="901">
        <f>MAX(1040,C17+5)</f>
        <v>1040</v>
      </c>
      <c r="D21" s="901">
        <f>SUM(D22:D27)</f>
        <v>3000</v>
      </c>
      <c r="E21" s="902">
        <f>SUM(E22:E27)</f>
        <v>1</v>
      </c>
      <c r="F21" s="901">
        <f>ROUNDUP(F17,-3)</f>
        <v>3000</v>
      </c>
      <c r="H21" s="919">
        <f t="shared" ref="H21:H27" si="2">D21/$L$1</f>
        <v>2.8571428571428571E-2</v>
      </c>
      <c r="I21" s="901">
        <f>C21/H21</f>
        <v>36400</v>
      </c>
      <c r="J21" s="919">
        <f>I21/$L$1</f>
        <v>0.34666666666666668</v>
      </c>
      <c r="K21" s="889"/>
      <c r="L21" s="928" t="s">
        <v>2185</v>
      </c>
      <c r="M21" s="929" t="s">
        <v>2186</v>
      </c>
      <c r="N21" s="928" t="s">
        <v>2185</v>
      </c>
      <c r="O21" s="929" t="s">
        <v>2186</v>
      </c>
      <c r="P21" s="928" t="s">
        <v>2185</v>
      </c>
      <c r="Q21" s="929" t="s">
        <v>2186</v>
      </c>
      <c r="R21" s="928" t="s">
        <v>2185</v>
      </c>
      <c r="S21" s="929" t="s">
        <v>2186</v>
      </c>
      <c r="T21" s="928" t="s">
        <v>2185</v>
      </c>
      <c r="U21" s="929" t="s">
        <v>2186</v>
      </c>
      <c r="V21" s="928" t="s">
        <v>2185</v>
      </c>
      <c r="W21" s="929" t="s">
        <v>2186</v>
      </c>
      <c r="X21" s="928" t="s">
        <v>2185</v>
      </c>
      <c r="Y21" s="929" t="s">
        <v>2186</v>
      </c>
      <c r="Z21" s="889"/>
      <c r="AA21" s="928" t="s">
        <v>2185</v>
      </c>
      <c r="AB21" s="929" t="s">
        <v>2186</v>
      </c>
      <c r="AC21" s="889"/>
    </row>
    <row r="22" spans="1:30" ht="15.75">
      <c r="A22" s="893"/>
      <c r="B22" s="889" t="s">
        <v>2110</v>
      </c>
      <c r="C22" s="914">
        <f>ROUND($C$21*E22,4)</f>
        <v>780</v>
      </c>
      <c r="D22" s="925">
        <f>F22</f>
        <v>2250</v>
      </c>
      <c r="E22" s="908">
        <f>D22/$D$21</f>
        <v>0.75</v>
      </c>
      <c r="F22" s="915">
        <f>F21-SUM(F23:F27)</f>
        <v>2250</v>
      </c>
      <c r="H22" s="921">
        <f t="shared" si="2"/>
        <v>2.1428571428571429E-2</v>
      </c>
      <c r="I22" s="925"/>
      <c r="K22" s="889" t="str">
        <f t="shared" ref="K22:K28" si="3">B22</f>
        <v>ACPL</v>
      </c>
      <c r="L22" s="930">
        <v>20000000</v>
      </c>
      <c r="M22" s="931">
        <v>0</v>
      </c>
      <c r="N22" s="930">
        <f>P22-L22</f>
        <v>-5000000</v>
      </c>
      <c r="O22" s="931">
        <f>Q22-M22</f>
        <v>7500000</v>
      </c>
      <c r="P22" s="930">
        <v>15000000</v>
      </c>
      <c r="Q22" s="931">
        <f>F22*10000-P22</f>
        <v>7500000</v>
      </c>
      <c r="R22" s="930">
        <v>5200000</v>
      </c>
      <c r="S22" s="931"/>
      <c r="T22" s="930">
        <f>V22-R22</f>
        <v>0</v>
      </c>
      <c r="U22" s="931">
        <f>W22-S22</f>
        <v>2600000</v>
      </c>
      <c r="V22" s="930">
        <f>R22</f>
        <v>5200000</v>
      </c>
      <c r="W22" s="931">
        <f>C22*10000-V22</f>
        <v>2600000</v>
      </c>
      <c r="X22" s="932">
        <f>V22</f>
        <v>5200000</v>
      </c>
      <c r="Y22" s="931"/>
      <c r="Z22" s="898">
        <f>X22</f>
        <v>5200000</v>
      </c>
      <c r="AA22" s="930">
        <v>0</v>
      </c>
      <c r="AB22" s="931">
        <f>U22</f>
        <v>2600000</v>
      </c>
      <c r="AD22" s="1071">
        <f>AB22+X22-10000</f>
        <v>7790000</v>
      </c>
    </row>
    <row r="23" spans="1:30" ht="15.75">
      <c r="A23" s="893"/>
      <c r="B23" s="889" t="s">
        <v>2187</v>
      </c>
      <c r="C23" s="914">
        <f t="shared" ref="C23:C27" si="4">ROUND($C$21*E23,4)</f>
        <v>173.33330000000001</v>
      </c>
      <c r="D23" s="915">
        <v>500</v>
      </c>
      <c r="E23" s="908">
        <f>D23/$D$21</f>
        <v>0.16666666666666666</v>
      </c>
      <c r="F23" s="915">
        <f>D23</f>
        <v>500</v>
      </c>
      <c r="H23" s="921">
        <f t="shared" si="2"/>
        <v>4.7619047619047623E-3</v>
      </c>
      <c r="I23" s="925"/>
      <c r="K23" s="889" t="str">
        <f t="shared" si="3"/>
        <v>Reil</v>
      </c>
      <c r="L23" s="930">
        <v>0</v>
      </c>
      <c r="M23" s="931">
        <v>15000000</v>
      </c>
      <c r="N23" s="930">
        <f t="shared" ref="N23:O28" si="5">P23-L23</f>
        <v>0</v>
      </c>
      <c r="O23" s="931">
        <f t="shared" si="5"/>
        <v>-10000000</v>
      </c>
      <c r="P23" s="930"/>
      <c r="Q23" s="931">
        <f>F23*10000</f>
        <v>5000000</v>
      </c>
      <c r="R23" s="930"/>
      <c r="S23" s="931">
        <v>3900000</v>
      </c>
      <c r="T23" s="930">
        <f t="shared" ref="T23:U28" si="6">V23-R23</f>
        <v>0</v>
      </c>
      <c r="U23" s="931">
        <f t="shared" si="6"/>
        <v>-2166667</v>
      </c>
      <c r="V23" s="930"/>
      <c r="W23" s="931">
        <f t="shared" ref="W23:W28" si="7">C23*10000</f>
        <v>1733333</v>
      </c>
      <c r="X23" s="930">
        <f t="shared" ref="X23:X28" si="8">V23</f>
        <v>0</v>
      </c>
      <c r="Y23" s="933">
        <f t="shared" ref="Y23:Y28" si="9">S23</f>
        <v>3900000</v>
      </c>
      <c r="Z23" s="898">
        <f>W23</f>
        <v>1733333</v>
      </c>
      <c r="AA23" s="930">
        <f t="shared" ref="AA23:AA28" si="10">X23</f>
        <v>0</v>
      </c>
      <c r="AB23" s="931">
        <v>0</v>
      </c>
      <c r="AD23" s="1075">
        <f>Z23-Y23</f>
        <v>-2166667</v>
      </c>
    </row>
    <row r="24" spans="1:30" ht="15.75">
      <c r="A24" s="893"/>
      <c r="B24" s="889" t="s">
        <v>2188</v>
      </c>
      <c r="C24" s="914">
        <f t="shared" si="4"/>
        <v>34.666699999999999</v>
      </c>
      <c r="D24" s="915">
        <v>100</v>
      </c>
      <c r="E24" s="908">
        <f>D24/$D$21</f>
        <v>3.3333333333333333E-2</v>
      </c>
      <c r="F24" s="915">
        <f>D24</f>
        <v>100</v>
      </c>
      <c r="H24" s="921">
        <f t="shared" si="2"/>
        <v>9.5238095238095238E-4</v>
      </c>
      <c r="K24" s="889" t="str">
        <f t="shared" si="3"/>
        <v>黄耀宗</v>
      </c>
      <c r="L24" s="930">
        <v>0</v>
      </c>
      <c r="M24" s="931">
        <v>1000000</v>
      </c>
      <c r="N24" s="930">
        <f t="shared" si="5"/>
        <v>0</v>
      </c>
      <c r="O24" s="931">
        <f t="shared" si="5"/>
        <v>0</v>
      </c>
      <c r="P24" s="930"/>
      <c r="Q24" s="931">
        <f>F24*10000</f>
        <v>1000000</v>
      </c>
      <c r="R24" s="930"/>
      <c r="S24" s="931">
        <v>260000</v>
      </c>
      <c r="T24" s="930">
        <f t="shared" si="6"/>
        <v>0</v>
      </c>
      <c r="U24" s="931">
        <f t="shared" si="6"/>
        <v>86667</v>
      </c>
      <c r="V24" s="930"/>
      <c r="W24" s="931">
        <f t="shared" si="7"/>
        <v>346667</v>
      </c>
      <c r="X24" s="930">
        <f t="shared" si="8"/>
        <v>0</v>
      </c>
      <c r="Y24" s="931">
        <f t="shared" si="9"/>
        <v>260000</v>
      </c>
      <c r="Z24" s="898">
        <f t="shared" ref="Z24:Z27" si="11">S24</f>
        <v>260000</v>
      </c>
      <c r="AA24" s="930">
        <f t="shared" si="10"/>
        <v>0</v>
      </c>
      <c r="AB24" s="931">
        <f t="shared" ref="AB24:AB27" si="12">U24</f>
        <v>86667</v>
      </c>
    </row>
    <row r="25" spans="1:30" ht="15.75">
      <c r="A25" s="893"/>
      <c r="B25" s="889" t="s">
        <v>2189</v>
      </c>
      <c r="C25" s="914">
        <f t="shared" si="4"/>
        <v>22.533300000000001</v>
      </c>
      <c r="D25" s="915">
        <v>65</v>
      </c>
      <c r="E25" s="908">
        <f t="shared" ref="E25:E27" si="13">D25/$D$21</f>
        <v>2.1666666666666667E-2</v>
      </c>
      <c r="F25" s="915">
        <f>D25</f>
        <v>65</v>
      </c>
      <c r="H25" s="921">
        <f t="shared" si="2"/>
        <v>6.19047619047619E-4</v>
      </c>
      <c r="K25" s="889" t="str">
        <f t="shared" si="3"/>
        <v>卢淑怡</v>
      </c>
      <c r="L25" s="930">
        <v>0</v>
      </c>
      <c r="M25" s="931">
        <v>650000</v>
      </c>
      <c r="N25" s="930">
        <f t="shared" si="5"/>
        <v>0</v>
      </c>
      <c r="O25" s="931">
        <f t="shared" si="5"/>
        <v>0</v>
      </c>
      <c r="P25" s="930"/>
      <c r="Q25" s="931">
        <f>F25*10000</f>
        <v>650000</v>
      </c>
      <c r="R25" s="930"/>
      <c r="S25" s="931">
        <v>169000</v>
      </c>
      <c r="T25" s="930">
        <f t="shared" si="6"/>
        <v>0</v>
      </c>
      <c r="U25" s="931">
        <f t="shared" si="6"/>
        <v>56333</v>
      </c>
      <c r="V25" s="930"/>
      <c r="W25" s="931">
        <f t="shared" si="7"/>
        <v>225333</v>
      </c>
      <c r="X25" s="930">
        <f t="shared" si="8"/>
        <v>0</v>
      </c>
      <c r="Y25" s="931">
        <f t="shared" si="9"/>
        <v>169000</v>
      </c>
      <c r="Z25" s="898">
        <f t="shared" si="11"/>
        <v>169000</v>
      </c>
      <c r="AA25" s="930">
        <f t="shared" si="10"/>
        <v>0</v>
      </c>
      <c r="AB25" s="931">
        <f t="shared" si="12"/>
        <v>56333</v>
      </c>
    </row>
    <row r="26" spans="1:30" ht="15.75">
      <c r="A26" s="893"/>
      <c r="B26" s="889" t="s">
        <v>2190</v>
      </c>
      <c r="C26" s="914">
        <f t="shared" si="4"/>
        <v>20.8</v>
      </c>
      <c r="D26" s="915">
        <v>60</v>
      </c>
      <c r="E26" s="908">
        <f t="shared" si="13"/>
        <v>0.02</v>
      </c>
      <c r="F26" s="915">
        <f>D26</f>
        <v>60</v>
      </c>
      <c r="H26" s="921">
        <f t="shared" si="2"/>
        <v>5.7142857142857147E-4</v>
      </c>
      <c r="I26" s="921"/>
      <c r="K26" s="889" t="str">
        <f t="shared" si="3"/>
        <v>李琦</v>
      </c>
      <c r="L26" s="930">
        <v>0</v>
      </c>
      <c r="M26" s="931">
        <v>600000</v>
      </c>
      <c r="N26" s="930">
        <f t="shared" si="5"/>
        <v>0</v>
      </c>
      <c r="O26" s="931">
        <f t="shared" si="5"/>
        <v>0</v>
      </c>
      <c r="P26" s="930"/>
      <c r="Q26" s="931">
        <f>F26*10000</f>
        <v>600000</v>
      </c>
      <c r="R26" s="930"/>
      <c r="S26" s="931">
        <v>156000</v>
      </c>
      <c r="T26" s="930">
        <f t="shared" si="6"/>
        <v>0</v>
      </c>
      <c r="U26" s="931">
        <f t="shared" si="6"/>
        <v>52000</v>
      </c>
      <c r="V26" s="930"/>
      <c r="W26" s="931">
        <f t="shared" si="7"/>
        <v>208000</v>
      </c>
      <c r="X26" s="930">
        <f t="shared" si="8"/>
        <v>0</v>
      </c>
      <c r="Y26" s="931">
        <f t="shared" si="9"/>
        <v>156000</v>
      </c>
      <c r="Z26" s="898">
        <f t="shared" si="11"/>
        <v>156000</v>
      </c>
      <c r="AA26" s="930">
        <f t="shared" si="10"/>
        <v>0</v>
      </c>
      <c r="AB26" s="931">
        <f t="shared" si="12"/>
        <v>52000</v>
      </c>
    </row>
    <row r="27" spans="1:30" ht="15.75">
      <c r="A27" s="893"/>
      <c r="B27" s="889" t="s">
        <v>2191</v>
      </c>
      <c r="C27" s="914">
        <f t="shared" si="4"/>
        <v>8.6667000000000005</v>
      </c>
      <c r="D27" s="915">
        <v>25</v>
      </c>
      <c r="E27" s="908">
        <f t="shared" si="13"/>
        <v>8.3333333333333332E-3</v>
      </c>
      <c r="F27" s="915">
        <f>D27</f>
        <v>25</v>
      </c>
      <c r="H27" s="921">
        <f t="shared" si="2"/>
        <v>2.380952380952381E-4</v>
      </c>
      <c r="I27" s="921"/>
      <c r="K27" s="889" t="str">
        <f t="shared" si="3"/>
        <v>冯淑欣</v>
      </c>
      <c r="L27" s="930">
        <v>0</v>
      </c>
      <c r="M27" s="931">
        <v>250000</v>
      </c>
      <c r="N27" s="930">
        <f t="shared" si="5"/>
        <v>0</v>
      </c>
      <c r="O27" s="931">
        <f t="shared" si="5"/>
        <v>0</v>
      </c>
      <c r="P27" s="930"/>
      <c r="Q27" s="931">
        <f>F27*10000</f>
        <v>250000</v>
      </c>
      <c r="R27" s="930"/>
      <c r="S27" s="931">
        <v>65000</v>
      </c>
      <c r="T27" s="930">
        <f t="shared" si="6"/>
        <v>0</v>
      </c>
      <c r="U27" s="931">
        <f t="shared" si="6"/>
        <v>21667</v>
      </c>
      <c r="V27" s="930"/>
      <c r="W27" s="931">
        <f t="shared" si="7"/>
        <v>86667</v>
      </c>
      <c r="X27" s="930">
        <f t="shared" si="8"/>
        <v>0</v>
      </c>
      <c r="Y27" s="931">
        <f t="shared" si="9"/>
        <v>65000</v>
      </c>
      <c r="Z27" s="898">
        <f t="shared" si="11"/>
        <v>65000</v>
      </c>
      <c r="AA27" s="930">
        <f t="shared" si="10"/>
        <v>0</v>
      </c>
      <c r="AB27" s="931">
        <f t="shared" si="12"/>
        <v>21667</v>
      </c>
    </row>
    <row r="28" spans="1:30" ht="15.75">
      <c r="A28" s="893"/>
      <c r="B28" s="889" t="s">
        <v>2192</v>
      </c>
      <c r="C28" s="914"/>
      <c r="D28" s="915"/>
      <c r="E28" s="908"/>
      <c r="F28" s="908"/>
      <c r="H28" s="921"/>
      <c r="I28" s="921"/>
      <c r="K28" s="889" t="str">
        <f t="shared" si="3"/>
        <v>梁国希</v>
      </c>
      <c r="L28" s="930">
        <v>0</v>
      </c>
      <c r="M28" s="931">
        <v>2500000</v>
      </c>
      <c r="N28" s="930">
        <f t="shared" si="5"/>
        <v>0</v>
      </c>
      <c r="O28" s="931">
        <f t="shared" si="5"/>
        <v>-2500000</v>
      </c>
      <c r="P28" s="930"/>
      <c r="Q28" s="931"/>
      <c r="R28" s="930">
        <v>0</v>
      </c>
      <c r="S28" s="931">
        <v>650000</v>
      </c>
      <c r="T28" s="930">
        <f t="shared" si="6"/>
        <v>0</v>
      </c>
      <c r="U28" s="931">
        <f t="shared" si="6"/>
        <v>-650000</v>
      </c>
      <c r="V28" s="930"/>
      <c r="W28" s="931">
        <f t="shared" si="7"/>
        <v>0</v>
      </c>
      <c r="X28" s="930">
        <f t="shared" si="8"/>
        <v>0</v>
      </c>
      <c r="Y28" s="933">
        <f t="shared" si="9"/>
        <v>650000</v>
      </c>
      <c r="Z28" s="898">
        <f>$F$17/$F$21*SUM(P28:Q28)</f>
        <v>0</v>
      </c>
      <c r="AA28" s="930">
        <f t="shared" si="10"/>
        <v>0</v>
      </c>
      <c r="AB28" s="931">
        <v>0</v>
      </c>
    </row>
    <row r="29" spans="1:30" ht="15.75">
      <c r="A29" s="893"/>
      <c r="B29" s="926" t="s">
        <v>2176</v>
      </c>
      <c r="C29" s="927">
        <f>C21-C17</f>
        <v>142.0408163265306</v>
      </c>
      <c r="D29" s="915"/>
      <c r="L29" s="934">
        <f>SUM(L22:L28)</f>
        <v>20000000</v>
      </c>
      <c r="M29" s="935">
        <f>SUM(M22:M28)</f>
        <v>20000000</v>
      </c>
      <c r="N29" s="934">
        <f t="shared" ref="N29:S29" si="14">SUM(N22:N28)</f>
        <v>-5000000</v>
      </c>
      <c r="O29" s="935">
        <f t="shared" si="14"/>
        <v>-5000000</v>
      </c>
      <c r="P29" s="934">
        <f t="shared" si="14"/>
        <v>15000000</v>
      </c>
      <c r="Q29" s="935">
        <f t="shared" si="14"/>
        <v>15000000</v>
      </c>
      <c r="R29" s="934">
        <f t="shared" si="14"/>
        <v>5200000</v>
      </c>
      <c r="S29" s="935">
        <f t="shared" si="14"/>
        <v>5200000</v>
      </c>
      <c r="T29" s="934">
        <f t="shared" ref="T29:Z29" si="15">SUM(T22:T28)</f>
        <v>0</v>
      </c>
      <c r="U29" s="935">
        <f t="shared" si="15"/>
        <v>0</v>
      </c>
      <c r="V29" s="934">
        <f t="shared" si="15"/>
        <v>5200000</v>
      </c>
      <c r="W29" s="935">
        <f t="shared" si="15"/>
        <v>5200000</v>
      </c>
      <c r="X29" s="934">
        <f t="shared" si="15"/>
        <v>5200000</v>
      </c>
      <c r="Y29" s="935">
        <f t="shared" si="15"/>
        <v>5200000</v>
      </c>
      <c r="Z29" s="936">
        <f t="shared" si="15"/>
        <v>7583333</v>
      </c>
      <c r="AA29" s="934">
        <f t="shared" ref="AA29:AB29" si="16">SUM(AA22:AA28)</f>
        <v>0</v>
      </c>
      <c r="AB29" s="935">
        <f t="shared" si="16"/>
        <v>2816667</v>
      </c>
    </row>
    <row r="30" spans="1:30">
      <c r="A30" s="893"/>
      <c r="B30" s="894"/>
      <c r="D30" s="918"/>
      <c r="L30" s="937"/>
      <c r="M30" s="937"/>
      <c r="N30" s="937"/>
      <c r="O30" s="937"/>
      <c r="P30" s="937"/>
      <c r="Q30" s="937"/>
      <c r="R30" s="937"/>
      <c r="S30" s="937"/>
      <c r="T30" s="937"/>
      <c r="U30" s="937"/>
      <c r="V30" s="937"/>
      <c r="W30" s="937"/>
      <c r="X30" s="937"/>
      <c r="Y30" s="937"/>
    </row>
    <row r="31" spans="1:30">
      <c r="C31" s="898"/>
      <c r="D31" s="898"/>
    </row>
    <row r="32" spans="1:30">
      <c r="D32" s="898"/>
    </row>
    <row r="33" spans="1:25">
      <c r="D33" s="898"/>
    </row>
    <row r="34" spans="1:25">
      <c r="A34" s="899" t="s">
        <v>2193</v>
      </c>
      <c r="B34" s="899"/>
      <c r="C34" s="938" t="s">
        <v>2194</v>
      </c>
      <c r="D34" s="898"/>
    </row>
    <row r="35" spans="1:25" ht="15.75">
      <c r="B35" s="889" t="s">
        <v>2110</v>
      </c>
      <c r="C35" s="939">
        <f>C22+20</f>
        <v>800</v>
      </c>
      <c r="D35" s="898" t="s">
        <v>2195</v>
      </c>
    </row>
    <row r="36" spans="1:25" ht="15.75">
      <c r="B36" s="889" t="s">
        <v>2109</v>
      </c>
      <c r="C36" s="939">
        <f>350+360</f>
        <v>710</v>
      </c>
      <c r="D36" s="898" t="s">
        <v>2196</v>
      </c>
    </row>
    <row r="37" spans="1:25" ht="15.75">
      <c r="B37" s="889" t="s">
        <v>2173</v>
      </c>
      <c r="C37" s="939">
        <v>900</v>
      </c>
      <c r="D37" s="898"/>
    </row>
    <row r="38" spans="1:25" ht="15.75">
      <c r="B38" s="889" t="s">
        <v>2175</v>
      </c>
      <c r="C38" s="939">
        <v>800</v>
      </c>
      <c r="D38" s="898" t="s">
        <v>2197</v>
      </c>
    </row>
    <row r="39" spans="1:25">
      <c r="B39" s="926" t="s">
        <v>2198</v>
      </c>
      <c r="C39" s="940">
        <f>SUM(C35:C38)</f>
        <v>3210</v>
      </c>
      <c r="D39" s="898"/>
    </row>
    <row r="40" spans="1:25">
      <c r="D40" s="898"/>
    </row>
    <row r="41" spans="1:25">
      <c r="B41" s="889" t="s">
        <v>2199</v>
      </c>
      <c r="C41" s="898">
        <v>360</v>
      </c>
      <c r="D41" s="898"/>
      <c r="L41" s="937"/>
      <c r="M41" s="937"/>
      <c r="N41" s="937"/>
      <c r="O41" s="937"/>
      <c r="P41" s="941"/>
      <c r="Q41" s="937"/>
      <c r="R41" s="937"/>
      <c r="S41" s="937"/>
      <c r="T41" s="937"/>
      <c r="U41" s="937"/>
      <c r="V41" s="937"/>
      <c r="W41" s="937"/>
      <c r="X41" s="937"/>
      <c r="Y41" s="937"/>
    </row>
    <row r="42" spans="1:25">
      <c r="B42" s="942" t="s">
        <v>2200</v>
      </c>
      <c r="C42" s="943">
        <f>C39-C41</f>
        <v>2850</v>
      </c>
      <c r="D42" s="898"/>
      <c r="L42" s="937"/>
      <c r="M42" s="937"/>
      <c r="N42" s="937"/>
      <c r="O42" s="937"/>
      <c r="P42" s="941"/>
      <c r="Q42" s="937"/>
      <c r="R42" s="937"/>
      <c r="S42" s="937"/>
      <c r="T42" s="937"/>
      <c r="U42" s="937"/>
      <c r="V42" s="937"/>
      <c r="W42" s="937"/>
      <c r="X42" s="937"/>
      <c r="Y42" s="937"/>
    </row>
    <row r="43" spans="1:25">
      <c r="B43" s="889" t="s">
        <v>2201</v>
      </c>
      <c r="C43" s="898">
        <v>2000</v>
      </c>
      <c r="D43" s="898"/>
      <c r="L43" s="937"/>
      <c r="M43" s="937"/>
      <c r="N43" s="937"/>
      <c r="O43" s="937"/>
      <c r="P43" s="941"/>
      <c r="Q43" s="937"/>
      <c r="R43" s="937"/>
      <c r="S43" s="937"/>
      <c r="T43" s="937"/>
      <c r="U43" s="937"/>
      <c r="V43" s="937"/>
      <c r="W43" s="937"/>
      <c r="X43" s="937"/>
      <c r="Y43" s="937"/>
    </row>
    <row r="44" spans="1:25">
      <c r="B44" s="889" t="s">
        <v>2099</v>
      </c>
      <c r="C44" s="898">
        <f>C42-C43</f>
        <v>850</v>
      </c>
      <c r="D44" s="898"/>
      <c r="L44" s="937"/>
      <c r="M44" s="937"/>
      <c r="N44" s="937"/>
      <c r="O44" s="937"/>
      <c r="P44" s="941"/>
      <c r="Q44" s="937"/>
      <c r="R44" s="937"/>
      <c r="S44" s="937"/>
      <c r="T44" s="937"/>
      <c r="U44" s="937"/>
      <c r="V44" s="937"/>
      <c r="W44" s="937"/>
      <c r="X44" s="937"/>
      <c r="Y44" s="937"/>
    </row>
    <row r="45" spans="1:25">
      <c r="D45" s="898"/>
      <c r="L45" s="937"/>
      <c r="M45" s="937"/>
      <c r="N45" s="937"/>
      <c r="O45" s="937"/>
      <c r="P45" s="937"/>
      <c r="Q45" s="944"/>
      <c r="R45" s="937"/>
      <c r="S45" s="937"/>
      <c r="T45" s="937"/>
      <c r="U45" s="937"/>
      <c r="V45" s="937"/>
      <c r="W45" s="937"/>
      <c r="X45" s="937"/>
      <c r="Y45" s="937"/>
    </row>
    <row r="46" spans="1:25">
      <c r="D46" s="898"/>
      <c r="L46" s="937"/>
      <c r="M46" s="937"/>
      <c r="N46" s="937"/>
      <c r="O46" s="937"/>
      <c r="P46" s="937"/>
      <c r="Q46" s="937"/>
      <c r="R46" s="937"/>
      <c r="S46" s="937"/>
      <c r="T46" s="937"/>
      <c r="U46" s="937"/>
      <c r="V46" s="937"/>
      <c r="W46" s="937"/>
      <c r="X46" s="937"/>
      <c r="Y46" s="937"/>
    </row>
    <row r="47" spans="1:25">
      <c r="D47" s="898"/>
      <c r="L47" s="937"/>
      <c r="M47" s="937"/>
      <c r="N47" s="937"/>
      <c r="O47" s="937"/>
      <c r="P47" s="937"/>
      <c r="Q47" s="937"/>
      <c r="R47" s="937"/>
      <c r="S47" s="937"/>
      <c r="T47" s="937"/>
      <c r="U47" s="937"/>
      <c r="V47" s="937"/>
      <c r="W47" s="937"/>
      <c r="X47" s="937"/>
      <c r="Y47" s="937"/>
    </row>
    <row r="48" spans="1:25">
      <c r="D48" s="898"/>
      <c r="L48" s="937"/>
      <c r="M48" s="937"/>
      <c r="N48" s="937"/>
      <c r="O48" s="937"/>
      <c r="P48" s="937"/>
      <c r="Q48" s="937"/>
      <c r="R48" s="937"/>
      <c r="S48" s="937"/>
      <c r="T48" s="937"/>
      <c r="U48" s="937"/>
      <c r="V48" s="937"/>
      <c r="W48" s="937"/>
      <c r="X48" s="937"/>
      <c r="Y48" s="937"/>
    </row>
    <row r="49" spans="1:25">
      <c r="D49" s="898"/>
      <c r="L49" s="937"/>
      <c r="M49" s="937"/>
      <c r="N49" s="937"/>
      <c r="O49" s="937"/>
      <c r="P49" s="937"/>
      <c r="Q49" s="937"/>
      <c r="R49" s="937"/>
      <c r="S49" s="937"/>
      <c r="T49" s="937"/>
      <c r="U49" s="937"/>
      <c r="V49" s="937"/>
      <c r="W49" s="937"/>
      <c r="X49" s="937"/>
      <c r="Y49" s="937"/>
    </row>
    <row r="50" spans="1:25">
      <c r="D50" s="898"/>
      <c r="L50" s="937"/>
      <c r="M50" s="937"/>
      <c r="N50" s="937"/>
      <c r="O50" s="937"/>
      <c r="P50" s="937"/>
      <c r="Q50" s="937"/>
      <c r="R50" s="937"/>
      <c r="S50" s="937"/>
      <c r="T50" s="937"/>
      <c r="U50" s="937"/>
      <c r="V50" s="937"/>
      <c r="W50" s="937"/>
      <c r="X50" s="937"/>
      <c r="Y50" s="937"/>
    </row>
    <row r="51" spans="1:25">
      <c r="D51" s="898"/>
      <c r="L51" s="937"/>
      <c r="M51" s="937"/>
      <c r="N51" s="937"/>
      <c r="O51" s="937"/>
      <c r="P51" s="937"/>
      <c r="Q51" s="937"/>
      <c r="R51" s="937"/>
      <c r="S51" s="937"/>
      <c r="T51" s="937"/>
      <c r="U51" s="937"/>
      <c r="V51" s="937"/>
      <c r="W51" s="937"/>
      <c r="X51" s="937"/>
      <c r="Y51" s="937"/>
    </row>
    <row r="52" spans="1:25">
      <c r="D52" s="898"/>
      <c r="L52" s="937"/>
      <c r="M52" s="937"/>
      <c r="N52" s="937"/>
      <c r="O52" s="937"/>
      <c r="P52" s="937"/>
      <c r="Q52" s="937"/>
      <c r="R52" s="937"/>
      <c r="S52" s="937"/>
      <c r="T52" s="937"/>
      <c r="U52" s="937"/>
      <c r="V52" s="937"/>
      <c r="W52" s="937"/>
      <c r="X52" s="937"/>
      <c r="Y52" s="937"/>
    </row>
    <row r="53" spans="1:25">
      <c r="D53" s="898"/>
      <c r="L53" s="937"/>
      <c r="M53" s="937"/>
      <c r="N53" s="937"/>
      <c r="O53" s="937"/>
      <c r="P53" s="937"/>
      <c r="Q53" s="937"/>
      <c r="R53" s="937"/>
      <c r="S53" s="937"/>
      <c r="T53" s="937"/>
      <c r="U53" s="937"/>
      <c r="V53" s="937"/>
      <c r="W53" s="937"/>
      <c r="X53" s="937"/>
      <c r="Y53" s="937"/>
    </row>
    <row r="54" spans="1:25">
      <c r="D54" s="898"/>
      <c r="L54" s="937"/>
      <c r="M54" s="937"/>
      <c r="N54" s="937"/>
      <c r="O54" s="937"/>
      <c r="P54" s="937"/>
      <c r="Q54" s="937"/>
      <c r="R54" s="937"/>
      <c r="S54" s="937"/>
      <c r="T54" s="937"/>
      <c r="U54" s="937"/>
      <c r="V54" s="937"/>
      <c r="W54" s="937"/>
      <c r="X54" s="937"/>
      <c r="Y54" s="937"/>
    </row>
    <row r="55" spans="1:25">
      <c r="D55" s="898"/>
      <c r="L55" s="937"/>
      <c r="M55" s="937"/>
      <c r="N55" s="937"/>
      <c r="O55" s="937"/>
      <c r="P55" s="937"/>
      <c r="Q55" s="937"/>
      <c r="R55" s="937"/>
      <c r="S55" s="937"/>
      <c r="T55" s="937"/>
      <c r="U55" s="937"/>
      <c r="V55" s="937"/>
      <c r="W55" s="937"/>
      <c r="X55" s="937"/>
      <c r="Y55" s="937"/>
    </row>
    <row r="56" spans="1:25">
      <c r="D56" s="898"/>
      <c r="L56" s="937"/>
      <c r="M56" s="937"/>
      <c r="N56" s="937"/>
      <c r="O56" s="937"/>
      <c r="P56" s="937"/>
      <c r="Q56" s="937"/>
      <c r="R56" s="937"/>
      <c r="S56" s="937"/>
      <c r="T56" s="937"/>
      <c r="U56" s="937"/>
      <c r="V56" s="937"/>
      <c r="W56" s="937"/>
      <c r="X56" s="937"/>
      <c r="Y56" s="937"/>
    </row>
    <row r="57" spans="1:25">
      <c r="D57" s="898"/>
      <c r="L57" s="937"/>
      <c r="M57" s="937"/>
      <c r="N57" s="937"/>
      <c r="O57" s="937"/>
      <c r="P57" s="937"/>
      <c r="Q57" s="937"/>
      <c r="R57" s="937"/>
      <c r="S57" s="937"/>
      <c r="T57" s="937"/>
      <c r="U57" s="937"/>
      <c r="V57" s="937"/>
      <c r="W57" s="937"/>
      <c r="X57" s="937"/>
      <c r="Y57" s="937"/>
    </row>
    <row r="58" spans="1:25">
      <c r="D58" s="898"/>
      <c r="L58" s="937"/>
      <c r="M58" s="937"/>
      <c r="N58" s="937"/>
      <c r="O58" s="937"/>
      <c r="P58" s="937"/>
      <c r="Q58" s="937"/>
      <c r="R58" s="937"/>
      <c r="S58" s="937"/>
      <c r="T58" s="937"/>
      <c r="U58" s="937"/>
      <c r="V58" s="937"/>
      <c r="W58" s="937"/>
      <c r="X58" s="937"/>
      <c r="Y58" s="937"/>
    </row>
    <row r="59" spans="1:25">
      <c r="D59" s="898"/>
      <c r="L59" s="937"/>
      <c r="M59" s="937"/>
      <c r="N59" s="937"/>
      <c r="O59" s="937"/>
      <c r="P59" s="937"/>
      <c r="Q59" s="937"/>
      <c r="R59" s="937"/>
      <c r="S59" s="937"/>
      <c r="T59" s="937"/>
      <c r="U59" s="937"/>
      <c r="V59" s="937"/>
      <c r="W59" s="937"/>
      <c r="X59" s="937"/>
      <c r="Y59" s="937"/>
    </row>
    <row r="60" spans="1:25">
      <c r="D60" s="898"/>
      <c r="L60" s="937"/>
      <c r="M60" s="937"/>
      <c r="N60" s="937"/>
      <c r="O60" s="937"/>
      <c r="P60" s="937"/>
      <c r="Q60" s="937"/>
      <c r="R60" s="937"/>
      <c r="S60" s="937"/>
      <c r="T60" s="937"/>
      <c r="U60" s="937"/>
      <c r="V60" s="937"/>
      <c r="W60" s="937"/>
      <c r="X60" s="937"/>
      <c r="Y60" s="937"/>
    </row>
    <row r="61" spans="1:25">
      <c r="A61" s="888" t="s">
        <v>2202</v>
      </c>
      <c r="C61" s="945"/>
    </row>
    <row r="62" spans="1:25" s="888" customFormat="1">
      <c r="D62" s="946"/>
      <c r="H62" s="1201" t="s">
        <v>2203</v>
      </c>
      <c r="I62" s="1201"/>
    </row>
    <row r="63" spans="1:25">
      <c r="C63" s="889" t="s">
        <v>2204</v>
      </c>
      <c r="D63" s="898" t="s">
        <v>2205</v>
      </c>
      <c r="E63" s="898" t="s">
        <v>2206</v>
      </c>
      <c r="F63" s="898"/>
      <c r="H63" s="889" t="s">
        <v>2207</v>
      </c>
      <c r="I63" s="889" t="s">
        <v>2208</v>
      </c>
    </row>
    <row r="64" spans="1:25">
      <c r="B64" s="947" t="s">
        <v>2110</v>
      </c>
      <c r="C64" s="948">
        <v>2250</v>
      </c>
      <c r="D64" s="948">
        <f t="shared" ref="D64:D69" si="17">D22</f>
        <v>2250</v>
      </c>
      <c r="E64" s="949">
        <f>D64/$D$73</f>
        <v>0.39823008849557523</v>
      </c>
      <c r="F64" s="949"/>
      <c r="H64" s="898">
        <f>$E64*H$73</f>
        <v>796.46017699115043</v>
      </c>
      <c r="I64" s="898">
        <f>$E64*I$73</f>
        <v>398.23008849557522</v>
      </c>
    </row>
    <row r="65" spans="1:9">
      <c r="A65" s="893"/>
      <c r="B65" s="947" t="s">
        <v>2187</v>
      </c>
      <c r="C65" s="948">
        <v>1500</v>
      </c>
      <c r="D65" s="948">
        <f t="shared" si="17"/>
        <v>500</v>
      </c>
      <c r="E65" s="949">
        <f t="shared" ref="E65:E73" si="18">D65/$D$73</f>
        <v>8.8495575221238937E-2</v>
      </c>
      <c r="F65" s="949"/>
      <c r="H65" s="898">
        <f t="shared" ref="H65:I72" si="19">$E65*H$73</f>
        <v>176.99115044247787</v>
      </c>
      <c r="I65" s="898">
        <f t="shared" si="19"/>
        <v>88.495575221238937</v>
      </c>
    </row>
    <row r="66" spans="1:9">
      <c r="A66" s="893"/>
      <c r="B66" s="947" t="s">
        <v>2188</v>
      </c>
      <c r="C66" s="948">
        <f>D66</f>
        <v>100</v>
      </c>
      <c r="D66" s="948">
        <f t="shared" si="17"/>
        <v>100</v>
      </c>
      <c r="E66" s="949">
        <f t="shared" si="18"/>
        <v>1.7699115044247787E-2</v>
      </c>
      <c r="F66" s="949"/>
      <c r="H66" s="898">
        <f t="shared" si="19"/>
        <v>35.398230088495573</v>
      </c>
      <c r="I66" s="898">
        <f t="shared" si="19"/>
        <v>17.699115044247787</v>
      </c>
    </row>
    <row r="67" spans="1:9">
      <c r="A67" s="893"/>
      <c r="B67" s="947" t="s">
        <v>2188</v>
      </c>
      <c r="C67" s="948">
        <f>D67</f>
        <v>65</v>
      </c>
      <c r="D67" s="948">
        <f t="shared" si="17"/>
        <v>65</v>
      </c>
      <c r="E67" s="949">
        <f t="shared" si="18"/>
        <v>1.1504424778761062E-2</v>
      </c>
      <c r="F67" s="949"/>
      <c r="H67" s="898">
        <f t="shared" si="19"/>
        <v>23.008849557522122</v>
      </c>
      <c r="I67" s="898">
        <f t="shared" si="19"/>
        <v>11.504424778761061</v>
      </c>
    </row>
    <row r="68" spans="1:9">
      <c r="B68" s="947" t="s">
        <v>2190</v>
      </c>
      <c r="C68" s="948">
        <f>D68</f>
        <v>60</v>
      </c>
      <c r="D68" s="948">
        <f t="shared" si="17"/>
        <v>60</v>
      </c>
      <c r="E68" s="949">
        <f t="shared" si="18"/>
        <v>1.0619469026548672E-2</v>
      </c>
      <c r="F68" s="949"/>
      <c r="H68" s="898">
        <f t="shared" si="19"/>
        <v>21.238938053097346</v>
      </c>
      <c r="I68" s="898">
        <f t="shared" si="19"/>
        <v>10.619469026548673</v>
      </c>
    </row>
    <row r="69" spans="1:9">
      <c r="B69" s="947" t="s">
        <v>2191</v>
      </c>
      <c r="C69" s="948">
        <f>D69</f>
        <v>25</v>
      </c>
      <c r="D69" s="948">
        <f t="shared" si="17"/>
        <v>25</v>
      </c>
      <c r="E69" s="949">
        <f t="shared" si="18"/>
        <v>4.4247787610619468E-3</v>
      </c>
      <c r="F69" s="949"/>
      <c r="H69" s="898">
        <f t="shared" si="19"/>
        <v>8.8495575221238933</v>
      </c>
      <c r="I69" s="898">
        <f t="shared" si="19"/>
        <v>4.4247787610619467</v>
      </c>
    </row>
    <row r="70" spans="1:9" ht="15.75">
      <c r="A70" s="888"/>
      <c r="B70" s="888" t="s">
        <v>2174</v>
      </c>
      <c r="C70" s="905">
        <f>SUM(C64:C69)</f>
        <v>4000</v>
      </c>
      <c r="D70" s="905">
        <f>SUM(D64:D69)</f>
        <v>3000</v>
      </c>
      <c r="E70" s="950">
        <f t="shared" si="18"/>
        <v>0.53097345132743368</v>
      </c>
      <c r="F70" s="950"/>
      <c r="H70" s="898">
        <f t="shared" si="19"/>
        <v>1061.9469026548672</v>
      </c>
      <c r="I70" s="898">
        <f t="shared" si="19"/>
        <v>530.97345132743362</v>
      </c>
    </row>
    <row r="71" spans="1:9" ht="15.75">
      <c r="A71" s="888"/>
      <c r="B71" s="888" t="s">
        <v>2175</v>
      </c>
      <c r="C71" s="905">
        <v>900</v>
      </c>
      <c r="D71" s="905">
        <f>3650-D70</f>
        <v>650</v>
      </c>
      <c r="E71" s="950">
        <f t="shared" si="18"/>
        <v>0.11504424778761062</v>
      </c>
      <c r="F71" s="950"/>
      <c r="H71" s="898">
        <f t="shared" si="19"/>
        <v>230.08849557522123</v>
      </c>
      <c r="I71" s="898">
        <f t="shared" si="19"/>
        <v>115.04424778761062</v>
      </c>
    </row>
    <row r="72" spans="1:9" ht="15.75">
      <c r="A72" s="888"/>
      <c r="B72" s="888" t="s">
        <v>2209</v>
      </c>
      <c r="C72" s="905">
        <f>C73-C70-C71</f>
        <v>2633.333333333333</v>
      </c>
      <c r="D72" s="905">
        <v>2000</v>
      </c>
      <c r="E72" s="950">
        <f t="shared" si="18"/>
        <v>0.35398230088495575</v>
      </c>
      <c r="F72" s="950"/>
      <c r="H72" s="898">
        <f t="shared" si="19"/>
        <v>707.9646017699115</v>
      </c>
      <c r="I72" s="898">
        <f t="shared" si="19"/>
        <v>353.98230088495575</v>
      </c>
    </row>
    <row r="73" spans="1:9" ht="15.75">
      <c r="B73" s="951" t="s">
        <v>2198</v>
      </c>
      <c r="C73" s="952">
        <f>C70/E70</f>
        <v>7533.333333333333</v>
      </c>
      <c r="D73" s="952">
        <f>D72+D70+D71</f>
        <v>5650</v>
      </c>
      <c r="E73" s="953">
        <f t="shared" si="18"/>
        <v>1</v>
      </c>
      <c r="F73" s="954"/>
      <c r="H73" s="952">
        <v>2000</v>
      </c>
      <c r="I73" s="952">
        <v>1000</v>
      </c>
    </row>
    <row r="74" spans="1:9">
      <c r="B74" s="889" t="s">
        <v>2210</v>
      </c>
    </row>
    <row r="75" spans="1:9">
      <c r="B75" s="889" t="s">
        <v>2211</v>
      </c>
    </row>
    <row r="76" spans="1:9">
      <c r="B76" s="889" t="s">
        <v>2212</v>
      </c>
    </row>
    <row r="77" spans="1:9">
      <c r="A77" s="888" t="s">
        <v>2213</v>
      </c>
    </row>
    <row r="78" spans="1:9">
      <c r="B78" s="889" t="s">
        <v>2214</v>
      </c>
    </row>
    <row r="79" spans="1:9">
      <c r="B79" s="889" t="s">
        <v>2215</v>
      </c>
    </row>
    <row r="80" spans="1:9">
      <c r="B80" s="889" t="s">
        <v>2216</v>
      </c>
    </row>
  </sheetData>
  <mergeCells count="9">
    <mergeCell ref="V20:W20"/>
    <mergeCell ref="X20:Y20"/>
    <mergeCell ref="AA20:AB20"/>
    <mergeCell ref="H62:I62"/>
    <mergeCell ref="L20:M20"/>
    <mergeCell ref="N20:O20"/>
    <mergeCell ref="P20:Q20"/>
    <mergeCell ref="R20:S20"/>
    <mergeCell ref="T20:U20"/>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Q338"/>
  <sheetViews>
    <sheetView topLeftCell="A100" workbookViewId="0">
      <selection activeCell="C128" sqref="C128"/>
    </sheetView>
  </sheetViews>
  <sheetFormatPr defaultColWidth="8.375" defaultRowHeight="12.75" outlineLevelRow="1"/>
  <cols>
    <col min="1" max="1" width="8.375" style="820"/>
    <col min="2" max="2" width="30.625" style="820" customWidth="1"/>
    <col min="3" max="7" width="12.125" style="820" customWidth="1"/>
    <col min="8" max="8" width="8.375" style="820"/>
    <col min="9" max="9" width="12.375" style="820" customWidth="1"/>
    <col min="10" max="10" width="8.375" style="820" customWidth="1"/>
    <col min="11" max="11" width="14.125" style="820" customWidth="1"/>
    <col min="12" max="12" width="11" style="820" customWidth="1"/>
    <col min="13" max="16" width="8.375" style="820"/>
    <col min="17" max="17" width="8.625" style="820" customWidth="1"/>
    <col min="18" max="16384" width="8.375" style="820"/>
  </cols>
  <sheetData>
    <row r="2" spans="2:5">
      <c r="C2" s="821" t="s">
        <v>2109</v>
      </c>
      <c r="D2" s="821" t="s">
        <v>2110</v>
      </c>
    </row>
    <row r="3" spans="2:5">
      <c r="B3" s="820" t="s">
        <v>2282</v>
      </c>
      <c r="C3" s="822">
        <v>197546.260000001</v>
      </c>
      <c r="D3" s="822">
        <v>63058</v>
      </c>
      <c r="E3" s="823"/>
    </row>
    <row r="4" spans="2:5">
      <c r="B4" s="820" t="s">
        <v>2283</v>
      </c>
      <c r="C4" s="822">
        <v>0</v>
      </c>
      <c r="D4" s="822">
        <v>970000</v>
      </c>
      <c r="E4" s="823"/>
    </row>
    <row r="5" spans="2:5">
      <c r="B5" s="820" t="s">
        <v>2119</v>
      </c>
      <c r="C5" s="824">
        <f>SUM(C3:C4)</f>
        <v>197546.260000001</v>
      </c>
      <c r="D5" s="824">
        <f>SUM(D3:D4)</f>
        <v>1033058</v>
      </c>
      <c r="E5" s="823">
        <f>SUM(C5:D5)</f>
        <v>1230604.2600000009</v>
      </c>
    </row>
    <row r="6" spans="2:5">
      <c r="C6" s="822"/>
      <c r="D6" s="822"/>
      <c r="E6" s="823"/>
    </row>
    <row r="7" spans="2:5">
      <c r="B7" s="820" t="s">
        <v>2284</v>
      </c>
      <c r="C7" s="825">
        <f>283500+3400</f>
        <v>286900</v>
      </c>
      <c r="D7" s="826">
        <f>525500+7500</f>
        <v>533000</v>
      </c>
      <c r="E7" s="823"/>
    </row>
    <row r="8" spans="2:5">
      <c r="B8" s="820" t="s">
        <v>2285</v>
      </c>
      <c r="C8" s="827">
        <v>180000</v>
      </c>
      <c r="D8" s="828">
        <v>108000</v>
      </c>
      <c r="E8" s="823"/>
    </row>
    <row r="9" spans="2:5">
      <c r="B9" s="820" t="s">
        <v>2286</v>
      </c>
      <c r="C9" s="822">
        <f>SUM(C7:C8)</f>
        <v>466900</v>
      </c>
      <c r="D9" s="822">
        <f>SUM(D7:D8)</f>
        <v>641000</v>
      </c>
      <c r="E9" s="823"/>
    </row>
    <row r="10" spans="2:5">
      <c r="C10" s="822"/>
      <c r="D10" s="822"/>
      <c r="E10" s="823"/>
    </row>
    <row r="11" spans="2:5">
      <c r="B11" s="820" t="s">
        <v>2287</v>
      </c>
      <c r="C11" s="822">
        <f>C5-C9</f>
        <v>-269353.739999999</v>
      </c>
      <c r="D11" s="822">
        <f>D5-D9</f>
        <v>392058</v>
      </c>
      <c r="E11" s="823"/>
    </row>
    <row r="12" spans="2:5">
      <c r="B12" s="820" t="s">
        <v>2288</v>
      </c>
      <c r="C12" s="822">
        <v>300000</v>
      </c>
      <c r="D12" s="822">
        <v>-300000</v>
      </c>
      <c r="E12" s="823"/>
    </row>
    <row r="13" spans="2:5">
      <c r="B13" s="820" t="s">
        <v>2289</v>
      </c>
      <c r="C13" s="829">
        <f>SUM(C11:C12)</f>
        <v>30646.260000000999</v>
      </c>
      <c r="D13" s="829">
        <f>SUM(D11:D12)</f>
        <v>92058</v>
      </c>
      <c r="E13" s="823"/>
    </row>
    <row r="14" spans="2:5">
      <c r="C14" s="822"/>
      <c r="D14" s="822"/>
      <c r="E14" s="823"/>
    </row>
    <row r="15" spans="2:5">
      <c r="B15" s="820" t="s">
        <v>2282</v>
      </c>
      <c r="C15" s="822">
        <v>35858</v>
      </c>
      <c r="D15" s="822">
        <v>86961</v>
      </c>
      <c r="E15" s="823"/>
    </row>
    <row r="16" spans="2:5">
      <c r="B16" s="820" t="s">
        <v>2290</v>
      </c>
      <c r="C16" s="822">
        <v>7201433.3300000001</v>
      </c>
      <c r="D16" s="822"/>
      <c r="E16" s="823"/>
    </row>
    <row r="17" spans="2:5">
      <c r="B17" s="820" t="s">
        <v>2291</v>
      </c>
      <c r="C17" s="822"/>
      <c r="D17" s="822"/>
      <c r="E17" s="823"/>
    </row>
    <row r="18" spans="2:5">
      <c r="B18" s="820" t="s">
        <v>2119</v>
      </c>
      <c r="C18" s="824">
        <f>C15</f>
        <v>35858</v>
      </c>
      <c r="D18" s="824">
        <f>SUM(D15:D17)</f>
        <v>86961</v>
      </c>
      <c r="E18" s="823">
        <f>SUM(C18:D18)</f>
        <v>122819</v>
      </c>
    </row>
    <row r="19" spans="2:5">
      <c r="C19" s="822"/>
      <c r="D19" s="822"/>
      <c r="E19" s="823"/>
    </row>
    <row r="20" spans="2:5">
      <c r="B20" s="820" t="s">
        <v>2292</v>
      </c>
      <c r="C20" s="825">
        <f>283500+3400</f>
        <v>286900</v>
      </c>
      <c r="D20" s="826">
        <f>525500+7500</f>
        <v>533000</v>
      </c>
      <c r="E20" s="823"/>
    </row>
    <row r="21" spans="2:5">
      <c r="B21" s="820" t="s">
        <v>2293</v>
      </c>
      <c r="C21" s="830">
        <v>300000</v>
      </c>
      <c r="D21" s="831">
        <f>303000+150000</f>
        <v>453000</v>
      </c>
      <c r="E21" s="823"/>
    </row>
    <row r="22" spans="2:5">
      <c r="B22" s="820" t="s">
        <v>2294</v>
      </c>
      <c r="C22" s="830">
        <v>528</v>
      </c>
      <c r="D22" s="831">
        <v>10000</v>
      </c>
      <c r="E22" s="823"/>
    </row>
    <row r="23" spans="2:5">
      <c r="B23" s="820" t="s">
        <v>2295</v>
      </c>
      <c r="C23" s="830">
        <v>18321</v>
      </c>
      <c r="D23" s="831"/>
      <c r="E23" s="823"/>
    </row>
    <row r="24" spans="2:5">
      <c r="B24" s="820" t="s">
        <v>2296</v>
      </c>
      <c r="C24" s="830">
        <v>100000</v>
      </c>
      <c r="D24" s="831"/>
      <c r="E24" s="823"/>
    </row>
    <row r="25" spans="2:5">
      <c r="B25" s="820" t="s">
        <v>2297</v>
      </c>
      <c r="C25" s="830">
        <v>15600</v>
      </c>
      <c r="D25" s="831"/>
      <c r="E25" s="823"/>
    </row>
    <row r="26" spans="2:5">
      <c r="B26" s="820" t="s">
        <v>2298</v>
      </c>
      <c r="C26" s="830">
        <v>4380</v>
      </c>
      <c r="D26" s="831"/>
      <c r="E26" s="823"/>
    </row>
    <row r="27" spans="2:5">
      <c r="B27" s="820" t="s">
        <v>2299</v>
      </c>
      <c r="C27" s="830"/>
      <c r="D27" s="831">
        <v>236.4</v>
      </c>
      <c r="E27" s="823"/>
    </row>
    <row r="28" spans="2:5">
      <c r="B28" s="820" t="s">
        <v>2300</v>
      </c>
      <c r="C28" s="830"/>
      <c r="D28" s="831">
        <v>1566</v>
      </c>
      <c r="E28" s="823"/>
    </row>
    <row r="29" spans="2:5">
      <c r="B29" s="820" t="s">
        <v>2301</v>
      </c>
      <c r="C29" s="830"/>
      <c r="D29" s="831">
        <v>1000</v>
      </c>
      <c r="E29" s="823"/>
    </row>
    <row r="30" spans="2:5">
      <c r="B30" s="820" t="s">
        <v>2302</v>
      </c>
      <c r="C30" s="830">
        <v>11217</v>
      </c>
      <c r="D30" s="831">
        <v>14736</v>
      </c>
      <c r="E30" s="823"/>
    </row>
    <row r="31" spans="2:5">
      <c r="B31" s="820" t="s">
        <v>2303</v>
      </c>
      <c r="C31" s="830"/>
      <c r="D31" s="831">
        <v>3000</v>
      </c>
      <c r="E31" s="823"/>
    </row>
    <row r="32" spans="2:5">
      <c r="B32" s="820" t="s">
        <v>2304</v>
      </c>
      <c r="C32" s="830">
        <v>1000</v>
      </c>
      <c r="D32" s="831"/>
      <c r="E32" s="823"/>
    </row>
    <row r="33" spans="2:5">
      <c r="B33" s="820" t="s">
        <v>2305</v>
      </c>
      <c r="C33" s="830">
        <v>5040</v>
      </c>
      <c r="D33" s="831"/>
      <c r="E33" s="823"/>
    </row>
    <row r="34" spans="2:5">
      <c r="B34" s="820" t="s">
        <v>2306</v>
      </c>
      <c r="C34" s="830">
        <v>13000</v>
      </c>
      <c r="D34" s="831"/>
      <c r="E34" s="823"/>
    </row>
    <row r="35" spans="2:5">
      <c r="C35" s="830"/>
      <c r="D35" s="831"/>
      <c r="E35" s="823"/>
    </row>
    <row r="36" spans="2:5">
      <c r="C36" s="827"/>
      <c r="D36" s="828"/>
      <c r="E36" s="823"/>
    </row>
    <row r="37" spans="2:5">
      <c r="B37" s="820" t="s">
        <v>2307</v>
      </c>
      <c r="C37" s="822">
        <f>SUM(C20:C36)</f>
        <v>755986</v>
      </c>
      <c r="D37" s="822">
        <f>SUM(D20:D36)</f>
        <v>1016538.4</v>
      </c>
      <c r="E37" s="823"/>
    </row>
    <row r="38" spans="2:5">
      <c r="C38" s="822"/>
      <c r="D38" s="822"/>
      <c r="E38" s="823"/>
    </row>
    <row r="39" spans="2:5">
      <c r="B39" s="820" t="s">
        <v>2287</v>
      </c>
      <c r="C39" s="822">
        <f>C18-C37</f>
        <v>-720128</v>
      </c>
      <c r="D39" s="822">
        <f>D18-D37</f>
        <v>-929577.4</v>
      </c>
      <c r="E39" s="823"/>
    </row>
    <row r="40" spans="2:5">
      <c r="B40" s="820" t="s">
        <v>2308</v>
      </c>
      <c r="C40" s="822">
        <v>1800000</v>
      </c>
      <c r="D40" s="822">
        <v>0</v>
      </c>
      <c r="E40" s="823"/>
    </row>
    <row r="41" spans="2:5">
      <c r="B41" s="820" t="s">
        <v>2309</v>
      </c>
      <c r="C41" s="822">
        <v>-1000000</v>
      </c>
      <c r="D41" s="822">
        <f>-C41</f>
        <v>1000000</v>
      </c>
      <c r="E41" s="823"/>
    </row>
    <row r="42" spans="2:5">
      <c r="B42" s="820" t="s">
        <v>2289</v>
      </c>
      <c r="C42" s="829">
        <f>SUM(C39:C41)</f>
        <v>79872</v>
      </c>
      <c r="D42" s="829">
        <f>SUM(D39:D41)</f>
        <v>70422.599999999977</v>
      </c>
      <c r="E42" s="823"/>
    </row>
    <row r="43" spans="2:5">
      <c r="C43" s="832"/>
      <c r="D43" s="832"/>
      <c r="E43" s="823"/>
    </row>
    <row r="44" spans="2:5">
      <c r="B44" s="820" t="s">
        <v>2310</v>
      </c>
      <c r="C44" s="832">
        <v>20000</v>
      </c>
      <c r="D44" s="832"/>
      <c r="E44" s="823"/>
    </row>
    <row r="45" spans="2:5">
      <c r="B45" s="820" t="s">
        <v>2311</v>
      </c>
      <c r="C45" s="832">
        <f>9470/4+9470</f>
        <v>11837.5</v>
      </c>
      <c r="D45" s="832"/>
      <c r="E45" s="823"/>
    </row>
    <row r="46" spans="2:5">
      <c r="B46" s="820" t="s">
        <v>2287</v>
      </c>
      <c r="C46" s="829">
        <f>C44-C45</f>
        <v>8162.5</v>
      </c>
      <c r="D46" s="829">
        <f>D24-D44</f>
        <v>0</v>
      </c>
      <c r="E46" s="823"/>
    </row>
    <row r="47" spans="2:5">
      <c r="C47" s="832"/>
      <c r="D47" s="832"/>
      <c r="E47" s="823"/>
    </row>
    <row r="48" spans="2:5">
      <c r="B48" s="820" t="s">
        <v>2312</v>
      </c>
      <c r="C48" s="832">
        <f>C42+C46*4.8795+C16*1.0736</f>
        <v>7851159.7418380007</v>
      </c>
      <c r="D48" s="832"/>
      <c r="E48" s="823"/>
    </row>
    <row r="49" spans="2:5">
      <c r="C49" s="822"/>
      <c r="D49" s="822"/>
    </row>
    <row r="50" spans="2:5">
      <c r="B50" s="820" t="s">
        <v>2313</v>
      </c>
      <c r="C50" s="822">
        <v>7836739</v>
      </c>
      <c r="D50" s="822"/>
    </row>
    <row r="51" spans="2:5">
      <c r="B51" s="820" t="s">
        <v>2314</v>
      </c>
      <c r="C51" s="832">
        <v>109272</v>
      </c>
      <c r="D51" s="832">
        <v>56822</v>
      </c>
      <c r="E51" s="823"/>
    </row>
    <row r="52" spans="2:5">
      <c r="C52" s="822"/>
      <c r="D52" s="822"/>
    </row>
    <row r="53" spans="2:5">
      <c r="B53" s="820" t="s">
        <v>2315</v>
      </c>
      <c r="C53" s="825">
        <f>283500+3400</f>
        <v>286900</v>
      </c>
      <c r="D53" s="826">
        <f>525500+7500</f>
        <v>533000</v>
      </c>
      <c r="E53" s="823"/>
    </row>
    <row r="54" spans="2:5">
      <c r="B54" s="820" t="s">
        <v>2316</v>
      </c>
      <c r="C54" s="830">
        <v>528</v>
      </c>
      <c r="D54" s="831">
        <v>10000</v>
      </c>
      <c r="E54" s="823"/>
    </row>
    <row r="55" spans="2:5">
      <c r="B55" s="820" t="s">
        <v>2295</v>
      </c>
      <c r="C55" s="830">
        <v>18321</v>
      </c>
      <c r="D55" s="831"/>
      <c r="E55" s="823"/>
    </row>
    <row r="56" spans="2:5">
      <c r="B56" s="820" t="s">
        <v>2296</v>
      </c>
      <c r="C56" s="830">
        <v>100000</v>
      </c>
      <c r="D56" s="831"/>
      <c r="E56" s="823"/>
    </row>
    <row r="57" spans="2:5">
      <c r="B57" s="820" t="s">
        <v>2297</v>
      </c>
      <c r="C57" s="830">
        <v>15600</v>
      </c>
      <c r="D57" s="831"/>
      <c r="E57" s="823"/>
    </row>
    <row r="58" spans="2:5">
      <c r="B58" s="820" t="s">
        <v>2298</v>
      </c>
      <c r="C58" s="830">
        <v>4380</v>
      </c>
      <c r="D58" s="831"/>
      <c r="E58" s="823"/>
    </row>
    <row r="59" spans="2:5">
      <c r="B59" s="820" t="s">
        <v>2299</v>
      </c>
      <c r="C59" s="830"/>
      <c r="D59" s="831">
        <v>236.4</v>
      </c>
      <c r="E59" s="823"/>
    </row>
    <row r="60" spans="2:5">
      <c r="B60" s="820" t="s">
        <v>2300</v>
      </c>
      <c r="C60" s="830"/>
      <c r="D60" s="831">
        <v>1566</v>
      </c>
      <c r="E60" s="823"/>
    </row>
    <row r="61" spans="2:5">
      <c r="B61" s="820" t="s">
        <v>2301</v>
      </c>
      <c r="C61" s="830"/>
      <c r="D61" s="831">
        <v>1000</v>
      </c>
      <c r="E61" s="823"/>
    </row>
    <row r="62" spans="2:5">
      <c r="B62" s="820" t="s">
        <v>2302</v>
      </c>
      <c r="C62" s="830">
        <v>11217</v>
      </c>
      <c r="D62" s="831">
        <v>14736</v>
      </c>
      <c r="E62" s="823"/>
    </row>
    <row r="63" spans="2:5">
      <c r="B63" s="820" t="s">
        <v>2303</v>
      </c>
      <c r="C63" s="830"/>
      <c r="D63" s="831">
        <v>3000</v>
      </c>
      <c r="E63" s="823"/>
    </row>
    <row r="64" spans="2:5">
      <c r="B64" s="820" t="s">
        <v>2304</v>
      </c>
      <c r="C64" s="830">
        <v>1000</v>
      </c>
      <c r="D64" s="831"/>
      <c r="E64" s="823"/>
    </row>
    <row r="65" spans="2:5">
      <c r="B65" s="820" t="s">
        <v>2317</v>
      </c>
      <c r="C65" s="830">
        <v>138000</v>
      </c>
      <c r="D65" s="831"/>
      <c r="E65" s="823"/>
    </row>
    <row r="66" spans="2:5">
      <c r="B66" s="820" t="s">
        <v>2318</v>
      </c>
      <c r="C66" s="830">
        <v>50000</v>
      </c>
      <c r="D66" s="831">
        <v>50000</v>
      </c>
      <c r="E66" s="823"/>
    </row>
    <row r="67" spans="2:5">
      <c r="B67" s="820" t="s">
        <v>2319</v>
      </c>
      <c r="C67" s="830">
        <f>608850+608850*0.1%</f>
        <v>609458.85</v>
      </c>
      <c r="D67" s="831"/>
      <c r="E67" s="823"/>
    </row>
    <row r="68" spans="2:5">
      <c r="C68" s="827"/>
      <c r="D68" s="828"/>
      <c r="E68" s="823"/>
    </row>
    <row r="69" spans="2:5">
      <c r="B69" s="820" t="s">
        <v>2320</v>
      </c>
      <c r="C69" s="822">
        <f>SUM(C53:C68)</f>
        <v>1235404.8500000001</v>
      </c>
      <c r="D69" s="822">
        <f>SUM(D53:D68)</f>
        <v>613538.4</v>
      </c>
      <c r="E69" s="823">
        <f>SUM(C69:D69)</f>
        <v>1848943.25</v>
      </c>
    </row>
    <row r="70" spans="2:5">
      <c r="C70" s="822"/>
      <c r="D70" s="822"/>
      <c r="E70" s="823"/>
    </row>
    <row r="71" spans="2:5">
      <c r="B71" s="820" t="s">
        <v>2321</v>
      </c>
      <c r="C71" s="833">
        <f>1800000*1.05</f>
        <v>1890000</v>
      </c>
    </row>
    <row r="72" spans="2:5">
      <c r="B72" s="820" t="s">
        <v>2309</v>
      </c>
      <c r="C72" s="834">
        <f>-600000</f>
        <v>-600000</v>
      </c>
      <c r="D72" s="834">
        <f>-C72</f>
        <v>600000</v>
      </c>
    </row>
    <row r="74" spans="2:5">
      <c r="B74" s="820" t="s">
        <v>2322</v>
      </c>
      <c r="C74" s="835">
        <f>C51-C69+C71+C72</f>
        <v>163867.14999999991</v>
      </c>
      <c r="D74" s="835">
        <f>D51-D69+D71+D72</f>
        <v>43283.599999999977</v>
      </c>
    </row>
    <row r="75" spans="2:5">
      <c r="C75" s="834"/>
      <c r="D75" s="834"/>
    </row>
    <row r="76" spans="2:5">
      <c r="C76" s="834">
        <v>2008962</v>
      </c>
      <c r="D76" s="834">
        <v>56349</v>
      </c>
    </row>
    <row r="77" spans="2:5">
      <c r="C77" s="834"/>
      <c r="D77" s="834"/>
    </row>
    <row r="78" spans="2:5">
      <c r="B78" s="820" t="s">
        <v>2292</v>
      </c>
      <c r="C78" s="825">
        <f>378600+1500*8</f>
        <v>390600</v>
      </c>
      <c r="D78" s="826">
        <f>419500+1500*8</f>
        <v>431500</v>
      </c>
    </row>
    <row r="79" spans="2:5">
      <c r="B79" s="820" t="s">
        <v>2294</v>
      </c>
      <c r="C79" s="830"/>
      <c r="D79" s="831"/>
    </row>
    <row r="80" spans="2:5">
      <c r="B80" s="820" t="s">
        <v>2295</v>
      </c>
      <c r="C80" s="830">
        <v>18321</v>
      </c>
      <c r="D80" s="831"/>
    </row>
    <row r="81" spans="2:17">
      <c r="B81" s="820" t="s">
        <v>2296</v>
      </c>
      <c r="C81" s="830">
        <v>116750</v>
      </c>
      <c r="D81" s="831"/>
    </row>
    <row r="82" spans="2:17">
      <c r="B82" s="820" t="s">
        <v>2297</v>
      </c>
      <c r="C82" s="830">
        <v>15600</v>
      </c>
      <c r="D82" s="831"/>
    </row>
    <row r="83" spans="2:17">
      <c r="B83" s="820" t="s">
        <v>2323</v>
      </c>
      <c r="C83" s="830">
        <v>1649</v>
      </c>
      <c r="D83" s="831"/>
    </row>
    <row r="84" spans="2:17">
      <c r="B84" s="820" t="s">
        <v>2303</v>
      </c>
      <c r="C84" s="830"/>
      <c r="D84" s="831">
        <v>3000</v>
      </c>
    </row>
    <row r="85" spans="2:17">
      <c r="B85" s="820" t="s">
        <v>2324</v>
      </c>
      <c r="C85" s="830">
        <v>317092.78000000003</v>
      </c>
      <c r="D85" s="831"/>
    </row>
    <row r="86" spans="2:17">
      <c r="B86" s="820" t="s">
        <v>2324</v>
      </c>
      <c r="C86" s="830"/>
      <c r="D86" s="831">
        <v>292074</v>
      </c>
    </row>
    <row r="87" spans="2:17">
      <c r="B87" s="820" t="s">
        <v>2324</v>
      </c>
      <c r="C87" s="830"/>
      <c r="D87" s="831">
        <v>29451.27</v>
      </c>
    </row>
    <row r="88" spans="2:17">
      <c r="C88" s="827"/>
      <c r="D88" s="828"/>
    </row>
    <row r="89" spans="2:17">
      <c r="C89" s="834">
        <f>SUM(C78:C88)</f>
        <v>860012.78</v>
      </c>
      <c r="D89" s="834">
        <f>SUM(D78:D88)</f>
        <v>756025.27</v>
      </c>
    </row>
    <row r="90" spans="2:17">
      <c r="C90" s="834"/>
      <c r="D90" s="834"/>
      <c r="Q90" s="836">
        <v>45803</v>
      </c>
    </row>
    <row r="91" spans="2:17">
      <c r="B91" s="837" t="s">
        <v>2325</v>
      </c>
      <c r="C91" s="838">
        <f>C76-C89</f>
        <v>1148949.22</v>
      </c>
      <c r="D91" s="838">
        <f>D76-D89</f>
        <v>-699676.27</v>
      </c>
    </row>
    <row r="92" spans="2:17">
      <c r="C92" s="834">
        <f>-D92</f>
        <v>-750000</v>
      </c>
      <c r="D92" s="834">
        <v>750000</v>
      </c>
    </row>
    <row r="93" spans="2:17">
      <c r="B93" s="820" t="s">
        <v>2326</v>
      </c>
      <c r="C93" s="835">
        <f>SUM(C91:C92)</f>
        <v>398949.22</v>
      </c>
      <c r="D93" s="835">
        <f>SUM(D91:D92)</f>
        <v>50323.729999999981</v>
      </c>
    </row>
    <row r="94" spans="2:17">
      <c r="C94" s="834"/>
      <c r="D94" s="834"/>
    </row>
    <row r="95" spans="2:17">
      <c r="B95" s="820" t="s">
        <v>2327</v>
      </c>
      <c r="C95" s="834">
        <v>403163</v>
      </c>
      <c r="D95" s="834">
        <v>46972.98</v>
      </c>
    </row>
    <row r="96" spans="2:17">
      <c r="C96" s="834"/>
      <c r="D96" s="834"/>
    </row>
    <row r="97" spans="2:4">
      <c r="B97" s="820" t="s">
        <v>2328</v>
      </c>
      <c r="C97" s="825">
        <f>378600+1500*8</f>
        <v>390600</v>
      </c>
      <c r="D97" s="826">
        <f>419500+1500*8</f>
        <v>431500</v>
      </c>
    </row>
    <row r="98" spans="2:4">
      <c r="B98" s="820" t="s">
        <v>2329</v>
      </c>
      <c r="C98" s="830">
        <f>5655+649+21369</f>
        <v>27673</v>
      </c>
      <c r="D98" s="831">
        <f>6813+7477</f>
        <v>14290</v>
      </c>
    </row>
    <row r="99" spans="2:4">
      <c r="B99" s="820" t="s">
        <v>2295</v>
      </c>
      <c r="C99" s="830">
        <v>18321</v>
      </c>
      <c r="D99" s="831"/>
    </row>
    <row r="100" spans="2:4">
      <c r="B100" s="820" t="s">
        <v>2296</v>
      </c>
      <c r="C100" s="830">
        <v>100000</v>
      </c>
      <c r="D100" s="831"/>
    </row>
    <row r="101" spans="2:4">
      <c r="B101" s="820" t="s">
        <v>2330</v>
      </c>
      <c r="C101" s="830">
        <f>15600*2</f>
        <v>31200</v>
      </c>
      <c r="D101" s="831"/>
    </row>
    <row r="102" spans="2:4">
      <c r="B102" s="820" t="s">
        <v>2323</v>
      </c>
      <c r="C102" s="830">
        <v>3038</v>
      </c>
      <c r="D102" s="831"/>
    </row>
    <row r="103" spans="2:4">
      <c r="B103" s="820" t="s">
        <v>2303</v>
      </c>
      <c r="C103" s="830"/>
      <c r="D103" s="831">
        <v>3000</v>
      </c>
    </row>
    <row r="104" spans="2:4">
      <c r="B104" s="820" t="s">
        <v>2331</v>
      </c>
      <c r="C104" s="830">
        <f>19540+13846</f>
        <v>33386</v>
      </c>
      <c r="D104" s="831">
        <f>105450+76153+8941</f>
        <v>190544</v>
      </c>
    </row>
    <row r="105" spans="2:4">
      <c r="B105" s="820" t="s">
        <v>2332</v>
      </c>
      <c r="C105" s="830">
        <f>11157+11200</f>
        <v>22357</v>
      </c>
      <c r="D105" s="831">
        <f>14676+14700</f>
        <v>29376</v>
      </c>
    </row>
    <row r="106" spans="2:4">
      <c r="B106" s="820" t="s">
        <v>2333</v>
      </c>
      <c r="C106" s="830">
        <f>2577+55260</f>
        <v>57837</v>
      </c>
      <c r="D106" s="831"/>
    </row>
    <row r="107" spans="2:4">
      <c r="B107" s="820" t="s">
        <v>2317</v>
      </c>
      <c r="C107" s="830">
        <v>138000</v>
      </c>
      <c r="D107" s="831">
        <v>138000</v>
      </c>
    </row>
    <row r="108" spans="2:4">
      <c r="B108" s="820" t="s">
        <v>2334</v>
      </c>
      <c r="C108" s="830">
        <v>6430</v>
      </c>
      <c r="D108" s="831"/>
    </row>
    <row r="109" spans="2:4">
      <c r="C109" s="827"/>
      <c r="D109" s="828"/>
    </row>
    <row r="110" spans="2:4">
      <c r="C110" s="834">
        <f>SUM(C97:C109)</f>
        <v>828842</v>
      </c>
      <c r="D110" s="834">
        <f>SUM(D97:D109)</f>
        <v>806710</v>
      </c>
    </row>
    <row r="111" spans="2:4">
      <c r="C111" s="834"/>
      <c r="D111" s="834"/>
    </row>
    <row r="112" spans="2:4">
      <c r="B112" s="837" t="s">
        <v>2325</v>
      </c>
      <c r="C112" s="834">
        <f>C95-C110</f>
        <v>-425679</v>
      </c>
      <c r="D112" s="834">
        <f>D95-D110</f>
        <v>-759737.02</v>
      </c>
    </row>
    <row r="113" spans="2:4">
      <c r="B113" s="837" t="s">
        <v>2335</v>
      </c>
      <c r="C113" s="834">
        <v>1250000</v>
      </c>
      <c r="D113" s="834"/>
    </row>
    <row r="114" spans="2:4">
      <c r="B114" s="820" t="s">
        <v>2336</v>
      </c>
      <c r="C114" s="834">
        <f>-D114</f>
        <v>-780000</v>
      </c>
      <c r="D114" s="834">
        <v>780000</v>
      </c>
    </row>
    <row r="115" spans="2:4">
      <c r="B115" s="820" t="s">
        <v>2337</v>
      </c>
      <c r="C115" s="835">
        <f>SUM(C112:C114)</f>
        <v>44321</v>
      </c>
      <c r="D115" s="835">
        <f>SUM(D112:D114)</f>
        <v>20262.979999999981</v>
      </c>
    </row>
    <row r="117" spans="2:4">
      <c r="B117" s="820" t="s">
        <v>2338</v>
      </c>
      <c r="C117" s="834">
        <v>16380</v>
      </c>
    </row>
    <row r="118" spans="2:4">
      <c r="B118" s="820" t="s">
        <v>2339</v>
      </c>
      <c r="C118" s="834">
        <v>12460.96</v>
      </c>
    </row>
    <row r="119" spans="2:4">
      <c r="B119" s="820" t="s">
        <v>2340</v>
      </c>
      <c r="C119" s="835">
        <f>C118-C117</f>
        <v>-3919.0400000000009</v>
      </c>
    </row>
    <row r="122" spans="2:4">
      <c r="B122" s="820" t="s">
        <v>2337</v>
      </c>
      <c r="C122" s="835">
        <v>75818.11</v>
      </c>
      <c r="D122" s="835">
        <v>17931</v>
      </c>
    </row>
    <row r="124" spans="2:4">
      <c r="B124" s="820" t="s">
        <v>2341</v>
      </c>
      <c r="C124" s="825">
        <f>314650.8</f>
        <v>314650.8</v>
      </c>
      <c r="D124" s="826">
        <f>419500+1500*8</f>
        <v>431500</v>
      </c>
    </row>
    <row r="125" spans="2:4">
      <c r="B125" s="820" t="s">
        <v>2342</v>
      </c>
      <c r="C125" s="830">
        <f>346.56+3413.27+4798.41</f>
        <v>8558.24</v>
      </c>
      <c r="D125" s="831">
        <f>6813+7477</f>
        <v>14290</v>
      </c>
    </row>
    <row r="126" spans="2:4">
      <c r="B126" s="820" t="s">
        <v>2295</v>
      </c>
      <c r="C126" s="830">
        <v>18321</v>
      </c>
      <c r="D126" s="831">
        <v>0</v>
      </c>
    </row>
    <row r="127" spans="2:4">
      <c r="B127" s="820" t="s">
        <v>2296</v>
      </c>
      <c r="C127" s="830">
        <v>100000</v>
      </c>
      <c r="D127" s="831"/>
    </row>
    <row r="128" spans="2:4">
      <c r="B128" s="820" t="s">
        <v>2343</v>
      </c>
      <c r="C128" s="830">
        <f>15600*2</f>
        <v>31200</v>
      </c>
      <c r="D128" s="831"/>
    </row>
    <row r="129" spans="2:6">
      <c r="B129" s="820" t="s">
        <v>2323</v>
      </c>
      <c r="C129" s="830">
        <v>3467.76</v>
      </c>
      <c r="D129" s="831"/>
    </row>
    <row r="130" spans="2:6">
      <c r="B130" s="820" t="s">
        <v>2303</v>
      </c>
      <c r="C130" s="830"/>
      <c r="D130" s="831">
        <v>3000</v>
      </c>
    </row>
    <row r="131" spans="2:6">
      <c r="B131" s="820" t="s">
        <v>2331</v>
      </c>
      <c r="C131" s="830">
        <v>0</v>
      </c>
      <c r="D131" s="831">
        <v>0</v>
      </c>
    </row>
    <row r="132" spans="2:6">
      <c r="B132" s="820" t="s">
        <v>2344</v>
      </c>
      <c r="C132" s="830">
        <f>11200</f>
        <v>11200</v>
      </c>
      <c r="D132" s="831">
        <f>14700</f>
        <v>14700</v>
      </c>
    </row>
    <row r="133" spans="2:6">
      <c r="B133" s="820" t="s">
        <v>2333</v>
      </c>
      <c r="C133" s="830">
        <v>0</v>
      </c>
      <c r="D133" s="831"/>
    </row>
    <row r="134" spans="2:6">
      <c r="B134" s="820" t="s">
        <v>2317</v>
      </c>
      <c r="C134" s="830">
        <v>68000</v>
      </c>
      <c r="D134" s="831">
        <v>0</v>
      </c>
    </row>
    <row r="135" spans="2:6">
      <c r="B135" s="820" t="s">
        <v>2345</v>
      </c>
      <c r="C135" s="830">
        <v>0</v>
      </c>
      <c r="D135" s="831">
        <v>300</v>
      </c>
    </row>
    <row r="136" spans="2:6">
      <c r="B136" s="820" t="s">
        <v>2334</v>
      </c>
      <c r="C136" s="830">
        <v>0</v>
      </c>
      <c r="D136" s="831">
        <v>7070</v>
      </c>
    </row>
    <row r="137" spans="2:6">
      <c r="C137" s="827"/>
      <c r="D137" s="828"/>
    </row>
    <row r="138" spans="2:6">
      <c r="C138" s="834">
        <f>SUM(C124:C137)</f>
        <v>555397.80000000005</v>
      </c>
      <c r="D138" s="834">
        <f>SUM(D124:D137)</f>
        <v>470860</v>
      </c>
    </row>
    <row r="139" spans="2:6">
      <c r="C139" s="834">
        <f>C138-C122</f>
        <v>479579.69000000006</v>
      </c>
      <c r="D139" s="834">
        <f>D138-D122</f>
        <v>452929</v>
      </c>
      <c r="E139" s="839">
        <f>1050000</f>
        <v>1050000</v>
      </c>
      <c r="F139" s="840">
        <f>E139-SUM(C139:D139)</f>
        <v>117491.30999999994</v>
      </c>
    </row>
    <row r="141" spans="2:6">
      <c r="B141" s="820" t="s">
        <v>2346</v>
      </c>
      <c r="C141" s="834">
        <f>13751.26+8740</f>
        <v>22491.260000000002</v>
      </c>
    </row>
    <row r="142" spans="2:6">
      <c r="B142" s="820" t="s">
        <v>2347</v>
      </c>
      <c r="C142" s="834">
        <v>1068</v>
      </c>
    </row>
    <row r="143" spans="2:6">
      <c r="B143" s="820" t="s">
        <v>2340</v>
      </c>
      <c r="C143" s="835">
        <f>C142-C141</f>
        <v>-21423.260000000002</v>
      </c>
    </row>
    <row r="146" spans="2:5">
      <c r="B146" s="820" t="s">
        <v>2348</v>
      </c>
    </row>
    <row r="147" spans="2:5">
      <c r="B147" s="820" t="s">
        <v>2349</v>
      </c>
      <c r="D147" s="822">
        <v>24000</v>
      </c>
    </row>
    <row r="148" spans="2:5">
      <c r="B148" s="820" t="s">
        <v>2350</v>
      </c>
      <c r="D148" s="841">
        <v>0</v>
      </c>
    </row>
    <row r="149" spans="2:5">
      <c r="B149" s="820" t="s">
        <v>2340</v>
      </c>
      <c r="D149" s="835">
        <f>+D148-D147-D227</f>
        <v>-36071.57</v>
      </c>
    </row>
    <row r="152" spans="2:5">
      <c r="B152" s="820" t="s">
        <v>2351</v>
      </c>
      <c r="C152" s="835">
        <v>176988.61</v>
      </c>
      <c r="D152" s="835">
        <v>47924.71</v>
      </c>
    </row>
    <row r="154" spans="2:5">
      <c r="B154" s="820" t="s">
        <v>2352</v>
      </c>
      <c r="C154" s="834">
        <f>643419.88+9800</f>
        <v>653219.88</v>
      </c>
      <c r="D154" s="834">
        <v>0</v>
      </c>
      <c r="E154" s="820" t="s">
        <v>2353</v>
      </c>
    </row>
    <row r="155" spans="2:5">
      <c r="C155" s="834"/>
      <c r="D155" s="834"/>
    </row>
    <row r="156" spans="2:5">
      <c r="B156" s="820" t="s">
        <v>2354</v>
      </c>
      <c r="C156" s="834">
        <v>809735.79</v>
      </c>
      <c r="D156" s="834">
        <v>33696.11</v>
      </c>
    </row>
    <row r="157" spans="2:5">
      <c r="B157" s="820" t="s">
        <v>2355</v>
      </c>
      <c r="C157" s="825">
        <f>325212.09+4900</f>
        <v>330112.09000000003</v>
      </c>
      <c r="D157" s="826">
        <f>324500+1500*3</f>
        <v>329000</v>
      </c>
    </row>
    <row r="158" spans="2:5">
      <c r="B158" s="820" t="s">
        <v>2356</v>
      </c>
      <c r="C158" s="830">
        <v>19959.54</v>
      </c>
      <c r="D158" s="831">
        <v>1276.3599999999999</v>
      </c>
    </row>
    <row r="159" spans="2:5">
      <c r="B159" s="820" t="s">
        <v>2295</v>
      </c>
      <c r="C159" s="830">
        <v>18321</v>
      </c>
      <c r="D159" s="831">
        <v>0</v>
      </c>
    </row>
    <row r="160" spans="2:5">
      <c r="B160" s="820" t="s">
        <v>2357</v>
      </c>
      <c r="C160" s="830">
        <v>117250</v>
      </c>
      <c r="D160" s="831">
        <v>0</v>
      </c>
    </row>
    <row r="161" spans="2:6">
      <c r="B161" s="820" t="s">
        <v>2358</v>
      </c>
      <c r="C161" s="830">
        <v>15600</v>
      </c>
      <c r="D161" s="831">
        <v>0</v>
      </c>
    </row>
    <row r="162" spans="2:6">
      <c r="B162" s="820" t="s">
        <v>2323</v>
      </c>
      <c r="C162" s="830">
        <v>1672.36</v>
      </c>
      <c r="D162" s="831">
        <v>0</v>
      </c>
    </row>
    <row r="163" spans="2:6">
      <c r="B163" s="820" t="s">
        <v>2303</v>
      </c>
      <c r="C163" s="830">
        <v>0</v>
      </c>
      <c r="D163" s="831">
        <v>3000</v>
      </c>
    </row>
    <row r="164" spans="2:6" hidden="1">
      <c r="B164" s="842" t="s">
        <v>2331</v>
      </c>
      <c r="C164" s="843"/>
      <c r="D164" s="844"/>
      <c r="E164" s="840">
        <f>SUM(C164:D164)*0.91</f>
        <v>0</v>
      </c>
    </row>
    <row r="165" spans="2:6">
      <c r="B165" s="820" t="s">
        <v>2359</v>
      </c>
      <c r="C165" s="830">
        <v>10710</v>
      </c>
      <c r="D165" s="831">
        <v>14100</v>
      </c>
    </row>
    <row r="166" spans="2:6">
      <c r="B166" s="820" t="s">
        <v>2360</v>
      </c>
      <c r="C166" s="830">
        <v>3183.18</v>
      </c>
      <c r="D166" s="831">
        <v>4824.82</v>
      </c>
    </row>
    <row r="167" spans="2:6">
      <c r="B167" s="820" t="s">
        <v>2317</v>
      </c>
      <c r="C167" s="830">
        <v>68000</v>
      </c>
      <c r="D167" s="831">
        <v>99000</v>
      </c>
      <c r="E167" s="840">
        <f>C167*0.91</f>
        <v>61880</v>
      </c>
      <c r="F167" s="840">
        <f>D167*0.91</f>
        <v>90090</v>
      </c>
    </row>
    <row r="168" spans="2:6">
      <c r="B168" s="820" t="s">
        <v>2361</v>
      </c>
      <c r="C168" s="830">
        <v>0</v>
      </c>
      <c r="D168" s="831">
        <v>43996</v>
      </c>
      <c r="E168" s="840">
        <f>(D168+D169)*0.91+D183*7.15</f>
        <v>-125129.94</v>
      </c>
    </row>
    <row r="169" spans="2:6">
      <c r="B169" s="820" t="s">
        <v>2362</v>
      </c>
      <c r="C169" s="830">
        <v>0</v>
      </c>
      <c r="D169" s="831">
        <v>7070</v>
      </c>
    </row>
    <row r="170" spans="2:6">
      <c r="C170" s="827"/>
      <c r="D170" s="828"/>
    </row>
    <row r="171" spans="2:6">
      <c r="C171" s="834">
        <f>SUM(C157:C170)</f>
        <v>584808.16999999993</v>
      </c>
      <c r="D171" s="834">
        <f>SUM(D157:D170)</f>
        <v>502267.18</v>
      </c>
    </row>
    <row r="172" spans="2:6">
      <c r="B172" s="820" t="s">
        <v>2363</v>
      </c>
      <c r="C172" s="834">
        <f>C156-C171</f>
        <v>224927.62000000011</v>
      </c>
      <c r="D172" s="834">
        <f>D156-D171</f>
        <v>-468571.07</v>
      </c>
      <c r="E172" s="840">
        <f>D172+D186*7.9</f>
        <v>-465242.08900000004</v>
      </c>
    </row>
    <row r="173" spans="2:6">
      <c r="B173" s="820" t="s">
        <v>2288</v>
      </c>
      <c r="D173" s="834">
        <v>500000</v>
      </c>
    </row>
    <row r="174" spans="2:6">
      <c r="B174" s="820" t="s">
        <v>2364</v>
      </c>
      <c r="D174" s="835">
        <f>SUM(D172:D173)</f>
        <v>31428.929999999993</v>
      </c>
    </row>
    <row r="176" spans="2:6" hidden="1" outlineLevel="1">
      <c r="B176" s="820" t="s">
        <v>2346</v>
      </c>
      <c r="C176" s="834">
        <f>13751.26+8740</f>
        <v>22491.260000000002</v>
      </c>
      <c r="E176" s="840">
        <f>C176*4.71</f>
        <v>105933.8346</v>
      </c>
    </row>
    <row r="177" spans="2:7" hidden="1" outlineLevel="1">
      <c r="B177" s="820" t="s">
        <v>2365</v>
      </c>
      <c r="C177" s="834">
        <v>46072.480000000003</v>
      </c>
    </row>
    <row r="178" spans="2:7" hidden="1" outlineLevel="1">
      <c r="B178" s="820" t="s">
        <v>2363</v>
      </c>
      <c r="C178" s="835">
        <f>-C176+C177</f>
        <v>23581.22</v>
      </c>
    </row>
    <row r="179" spans="2:7" hidden="1" outlineLevel="1"/>
    <row r="180" spans="2:7" hidden="1" outlineLevel="1"/>
    <row r="181" spans="2:7" collapsed="1">
      <c r="B181" s="820" t="s">
        <v>2348</v>
      </c>
    </row>
    <row r="182" spans="2:7">
      <c r="B182" s="820" t="s">
        <v>2366</v>
      </c>
      <c r="D182" s="834">
        <f>-(1149.61+398.17)</f>
        <v>-1547.78</v>
      </c>
    </row>
    <row r="183" spans="2:7">
      <c r="B183" s="820" t="s">
        <v>2349</v>
      </c>
      <c r="D183" s="834">
        <v>-24000</v>
      </c>
    </row>
    <row r="184" spans="2:7">
      <c r="B184" s="820" t="s">
        <v>2350</v>
      </c>
      <c r="D184" s="834">
        <v>1969.17</v>
      </c>
    </row>
    <row r="185" spans="2:7">
      <c r="B185" s="820" t="s">
        <v>2288</v>
      </c>
      <c r="D185" s="834">
        <v>24000</v>
      </c>
    </row>
    <row r="186" spans="2:7">
      <c r="B186" s="820" t="s">
        <v>2367</v>
      </c>
      <c r="D186" s="835">
        <f>SUM(D182:D185)</f>
        <v>421.38999999999942</v>
      </c>
      <c r="E186" s="840"/>
    </row>
    <row r="188" spans="2:7">
      <c r="B188" s="820" t="s">
        <v>2046</v>
      </c>
      <c r="C188" s="820">
        <f>2765593.8+974</f>
        <v>2766567.8</v>
      </c>
      <c r="D188" s="820">
        <v>1</v>
      </c>
      <c r="E188" s="839">
        <f>C188*D188</f>
        <v>2766567.8</v>
      </c>
    </row>
    <row r="189" spans="2:7">
      <c r="B189" s="820" t="s">
        <v>2368</v>
      </c>
      <c r="C189" s="820">
        <f>809735.79+33696</f>
        <v>843431.79</v>
      </c>
      <c r="D189" s="820">
        <v>0.91</v>
      </c>
      <c r="E189" s="839">
        <f>C189*D189</f>
        <v>767522.92890000006</v>
      </c>
    </row>
    <row r="190" spans="2:7">
      <c r="B190" s="820" t="s">
        <v>2369</v>
      </c>
      <c r="C190" s="834">
        <f>C178</f>
        <v>23581.22</v>
      </c>
      <c r="D190" s="820">
        <v>4.71</v>
      </c>
      <c r="E190" s="839">
        <f>C190*D190*0.95</f>
        <v>105514.16889</v>
      </c>
    </row>
    <row r="191" spans="2:7">
      <c r="E191" s="839">
        <f>SUM(E188:E190)</f>
        <v>3639604.8977899998</v>
      </c>
      <c r="F191" s="840">
        <f>C171+D171-D186*7.8</f>
        <v>1083788.5079999999</v>
      </c>
      <c r="G191" s="840">
        <f>E191-F191</f>
        <v>2555816.3897899999</v>
      </c>
    </row>
    <row r="192" spans="2:7">
      <c r="C192" s="820">
        <f>500000+173327*1.09</f>
        <v>688926.43</v>
      </c>
      <c r="E192" s="834">
        <f>(C171+D171)/1.088-SUM(D182:D183)*7.2</f>
        <v>1183094.1538676468</v>
      </c>
    </row>
    <row r="193" spans="2:5">
      <c r="C193" s="840">
        <f>C192+C171+C176*4.9</f>
        <v>1383941.7740000002</v>
      </c>
      <c r="E193" s="840">
        <f>E191-E192</f>
        <v>2456510.7439223528</v>
      </c>
    </row>
    <row r="196" spans="2:5">
      <c r="B196" s="820" t="s">
        <v>2370</v>
      </c>
      <c r="C196" s="845">
        <v>784340</v>
      </c>
      <c r="D196" s="845">
        <v>24649</v>
      </c>
    </row>
    <row r="198" spans="2:5">
      <c r="B198" s="820" t="s">
        <v>2371</v>
      </c>
      <c r="C198" s="825">
        <v>328169</v>
      </c>
      <c r="D198" s="826">
        <f>324500+1500*3</f>
        <v>329000</v>
      </c>
    </row>
    <row r="199" spans="2:5">
      <c r="B199" s="820" t="s">
        <v>2372</v>
      </c>
      <c r="C199" s="830">
        <v>20000</v>
      </c>
      <c r="D199" s="831">
        <v>10000</v>
      </c>
    </row>
    <row r="200" spans="2:5">
      <c r="B200" s="820" t="s">
        <v>2295</v>
      </c>
      <c r="C200" s="830">
        <v>18321</v>
      </c>
      <c r="D200" s="831">
        <v>0</v>
      </c>
    </row>
    <row r="201" spans="2:5">
      <c r="B201" s="820" t="s">
        <v>2357</v>
      </c>
      <c r="C201" s="830">
        <v>100000</v>
      </c>
      <c r="D201" s="831">
        <v>0</v>
      </c>
    </row>
    <row r="202" spans="2:5">
      <c r="B202" s="820" t="s">
        <v>2358</v>
      </c>
      <c r="C202" s="830">
        <v>15600</v>
      </c>
      <c r="D202" s="831">
        <v>0</v>
      </c>
    </row>
    <row r="203" spans="2:5">
      <c r="B203" s="820" t="s">
        <v>2323</v>
      </c>
      <c r="C203" s="830">
        <v>1691</v>
      </c>
      <c r="D203" s="831">
        <v>0</v>
      </c>
    </row>
    <row r="204" spans="2:5">
      <c r="B204" s="820" t="s">
        <v>2303</v>
      </c>
      <c r="C204" s="830">
        <v>0</v>
      </c>
      <c r="D204" s="831">
        <v>3000</v>
      </c>
    </row>
    <row r="205" spans="2:5">
      <c r="B205" s="820" t="s">
        <v>2331</v>
      </c>
      <c r="C205" s="843">
        <v>85221</v>
      </c>
      <c r="D205" s="844">
        <v>14646</v>
      </c>
      <c r="E205" s="834">
        <f>SUM(C205:D205)*0.91</f>
        <v>90878.97</v>
      </c>
    </row>
    <row r="206" spans="2:5">
      <c r="B206" s="820" t="s">
        <v>2359</v>
      </c>
      <c r="C206" s="830">
        <v>10710</v>
      </c>
      <c r="D206" s="831">
        <v>14100</v>
      </c>
    </row>
    <row r="207" spans="2:5">
      <c r="B207" s="820" t="s">
        <v>2373</v>
      </c>
      <c r="C207" s="830"/>
      <c r="D207" s="831">
        <v>25200</v>
      </c>
    </row>
    <row r="208" spans="2:5">
      <c r="B208" s="820" t="s">
        <v>2300</v>
      </c>
      <c r="C208" s="830"/>
      <c r="D208" s="831">
        <v>1566</v>
      </c>
    </row>
    <row r="209" spans="2:4">
      <c r="B209" s="820" t="s">
        <v>2374</v>
      </c>
      <c r="C209" s="830"/>
      <c r="D209" s="831">
        <v>408</v>
      </c>
    </row>
    <row r="210" spans="2:4">
      <c r="C210" s="827"/>
      <c r="D210" s="828"/>
    </row>
    <row r="211" spans="2:4">
      <c r="C211" s="834">
        <f>SUM(C198:C210)</f>
        <v>579712</v>
      </c>
      <c r="D211" s="834">
        <f>SUM(D198:D210)</f>
        <v>397920</v>
      </c>
    </row>
    <row r="212" spans="2:4">
      <c r="B212" s="820" t="s">
        <v>2375</v>
      </c>
      <c r="C212" s="834">
        <v>0</v>
      </c>
    </row>
    <row r="213" spans="2:4">
      <c r="C213" s="834">
        <f>C211*0.91472+C212*4.7</f>
        <v>530274.16064000002</v>
      </c>
      <c r="D213" s="834">
        <f>D211*0.91472</f>
        <v>363985.3824</v>
      </c>
    </row>
    <row r="215" spans="2:4">
      <c r="B215" s="846" t="s">
        <v>2376</v>
      </c>
      <c r="C215" s="847">
        <f>315832.44+4900</f>
        <v>320732.44</v>
      </c>
      <c r="D215" s="848">
        <f>324500+4500</f>
        <v>329000</v>
      </c>
    </row>
    <row r="216" spans="2:4">
      <c r="B216" s="846" t="s">
        <v>2377</v>
      </c>
      <c r="C216" s="849">
        <v>60941.79</v>
      </c>
      <c r="D216" s="850">
        <v>65404.18</v>
      </c>
    </row>
    <row r="217" spans="2:4">
      <c r="B217" s="846" t="s">
        <v>2295</v>
      </c>
      <c r="C217" s="849">
        <v>18321</v>
      </c>
      <c r="D217" s="850">
        <v>0</v>
      </c>
    </row>
    <row r="218" spans="2:4">
      <c r="B218" s="846" t="s">
        <v>2357</v>
      </c>
      <c r="C218" s="849">
        <v>100000</v>
      </c>
      <c r="D218" s="850">
        <v>0</v>
      </c>
    </row>
    <row r="219" spans="2:4">
      <c r="B219" s="846" t="s">
        <v>2378</v>
      </c>
      <c r="C219" s="849">
        <v>15600</v>
      </c>
      <c r="D219" s="850">
        <v>0</v>
      </c>
    </row>
    <row r="220" spans="2:4">
      <c r="B220" s="846" t="s">
        <v>2323</v>
      </c>
      <c r="C220" s="849">
        <v>2237.19</v>
      </c>
      <c r="D220" s="850">
        <v>0</v>
      </c>
    </row>
    <row r="221" spans="2:4">
      <c r="B221" s="846" t="s">
        <v>2303</v>
      </c>
      <c r="C221" s="849">
        <v>0</v>
      </c>
      <c r="D221" s="850">
        <v>3000</v>
      </c>
    </row>
    <row r="222" spans="2:4">
      <c r="B222" s="851" t="s">
        <v>2379</v>
      </c>
      <c r="C222" s="852">
        <v>9068</v>
      </c>
      <c r="D222" s="853">
        <v>800</v>
      </c>
    </row>
    <row r="223" spans="2:4">
      <c r="B223" s="846" t="s">
        <v>2380</v>
      </c>
      <c r="C223" s="849">
        <v>17200</v>
      </c>
      <c r="D223" s="850">
        <v>14700</v>
      </c>
    </row>
    <row r="224" spans="2:4">
      <c r="B224" s="846" t="s">
        <v>2381</v>
      </c>
      <c r="C224" s="849">
        <v>0</v>
      </c>
      <c r="D224" s="850">
        <v>40000</v>
      </c>
    </row>
    <row r="225" spans="2:4">
      <c r="B225" s="846" t="s">
        <v>2382</v>
      </c>
      <c r="C225" s="849">
        <v>0</v>
      </c>
      <c r="D225" s="850">
        <v>80000</v>
      </c>
    </row>
    <row r="226" spans="2:4">
      <c r="B226" s="846" t="s">
        <v>2383</v>
      </c>
      <c r="C226" s="849">
        <v>2200</v>
      </c>
      <c r="D226" s="850">
        <v>2200</v>
      </c>
    </row>
    <row r="227" spans="2:4">
      <c r="B227" s="846" t="s">
        <v>2366</v>
      </c>
      <c r="C227" s="849"/>
      <c r="D227" s="850">
        <v>12071.57</v>
      </c>
    </row>
    <row r="228" spans="2:4">
      <c r="B228" s="820" t="s">
        <v>2374</v>
      </c>
      <c r="C228" s="830"/>
      <c r="D228" s="831">
        <v>497</v>
      </c>
    </row>
    <row r="229" spans="2:4">
      <c r="B229" s="846" t="s">
        <v>2300</v>
      </c>
      <c r="C229" s="849"/>
      <c r="D229" s="850">
        <v>1566</v>
      </c>
    </row>
    <row r="230" spans="2:4">
      <c r="B230" s="846" t="s">
        <v>2384</v>
      </c>
      <c r="C230" s="849"/>
      <c r="D230" s="850">
        <v>209.4</v>
      </c>
    </row>
    <row r="231" spans="2:4">
      <c r="B231" s="846" t="s">
        <v>2385</v>
      </c>
      <c r="C231" s="849"/>
      <c r="D231" s="850">
        <v>180000</v>
      </c>
    </row>
    <row r="232" spans="2:4">
      <c r="C232" s="830"/>
      <c r="D232" s="831"/>
    </row>
    <row r="233" spans="2:4">
      <c r="C233" s="827"/>
      <c r="D233" s="828"/>
    </row>
    <row r="234" spans="2:4">
      <c r="C234" s="834">
        <f>SUM(C215:C233)</f>
        <v>546300.41999999993</v>
      </c>
      <c r="D234" s="834">
        <f>SUM(D215:D233)</f>
        <v>729448.14999999991</v>
      </c>
    </row>
    <row r="235" spans="2:4">
      <c r="B235" s="820" t="s">
        <v>2386</v>
      </c>
      <c r="C235" s="834"/>
    </row>
    <row r="236" spans="2:4">
      <c r="C236" s="840">
        <f>C234*0.915+C235*4.7</f>
        <v>499864.88429999998</v>
      </c>
      <c r="D236" s="840">
        <f>D234*0.915+D235*4.7</f>
        <v>667445.05724999995</v>
      </c>
    </row>
    <row r="238" spans="2:4">
      <c r="B238" s="820" t="s">
        <v>2387</v>
      </c>
      <c r="C238" s="825">
        <f>208000+3400</f>
        <v>211400</v>
      </c>
      <c r="D238" s="826">
        <f>324500+4500</f>
        <v>329000</v>
      </c>
    </row>
    <row r="239" spans="2:4">
      <c r="B239" s="820" t="s">
        <v>2388</v>
      </c>
      <c r="C239" s="830">
        <v>0</v>
      </c>
      <c r="D239" s="831">
        <v>80000</v>
      </c>
    </row>
    <row r="240" spans="2:4">
      <c r="B240" s="820" t="s">
        <v>2389</v>
      </c>
      <c r="C240" s="830">
        <v>150000</v>
      </c>
      <c r="D240" s="831">
        <v>1276.3599999999999</v>
      </c>
    </row>
    <row r="241" spans="2:4">
      <c r="B241" s="820" t="s">
        <v>2295</v>
      </c>
      <c r="C241" s="830">
        <v>18321</v>
      </c>
      <c r="D241" s="831">
        <v>0</v>
      </c>
    </row>
    <row r="242" spans="2:4">
      <c r="B242" s="820" t="s">
        <v>2357</v>
      </c>
      <c r="C242" s="830">
        <f>C160</f>
        <v>117250</v>
      </c>
      <c r="D242" s="831">
        <v>0</v>
      </c>
    </row>
    <row r="243" spans="2:4">
      <c r="B243" s="820" t="s">
        <v>2358</v>
      </c>
      <c r="C243" s="830">
        <v>15600</v>
      </c>
      <c r="D243" s="831">
        <v>0</v>
      </c>
    </row>
    <row r="244" spans="2:4">
      <c r="B244" s="820" t="s">
        <v>2323</v>
      </c>
      <c r="C244" s="830">
        <v>1672.36</v>
      </c>
      <c r="D244" s="831">
        <v>0</v>
      </c>
    </row>
    <row r="245" spans="2:4">
      <c r="B245" s="820" t="s">
        <v>2303</v>
      </c>
      <c r="C245" s="830">
        <v>0</v>
      </c>
      <c r="D245" s="831">
        <v>3000</v>
      </c>
    </row>
    <row r="246" spans="2:4">
      <c r="B246" s="842" t="s">
        <v>2331</v>
      </c>
      <c r="C246" s="843"/>
      <c r="D246" s="844">
        <v>0</v>
      </c>
    </row>
    <row r="247" spans="2:4">
      <c r="B247" s="820" t="s">
        <v>2390</v>
      </c>
      <c r="C247" s="830">
        <v>11200</v>
      </c>
      <c r="D247" s="831">
        <f>D223</f>
        <v>14700</v>
      </c>
    </row>
    <row r="248" spans="2:4">
      <c r="B248" s="820" t="s">
        <v>2374</v>
      </c>
      <c r="C248" s="830"/>
      <c r="D248" s="831">
        <v>497</v>
      </c>
    </row>
    <row r="249" spans="2:4">
      <c r="B249" s="846" t="s">
        <v>2300</v>
      </c>
      <c r="C249" s="849"/>
      <c r="D249" s="850">
        <v>1566</v>
      </c>
    </row>
    <row r="250" spans="2:4">
      <c r="B250" s="820" t="s">
        <v>2391</v>
      </c>
      <c r="C250" s="830">
        <v>0</v>
      </c>
      <c r="D250" s="831">
        <v>300</v>
      </c>
    </row>
    <row r="251" spans="2:4">
      <c r="C251" s="827"/>
      <c r="D251" s="828"/>
    </row>
    <row r="252" spans="2:4">
      <c r="C252" s="834">
        <f>SUM(C238:C251)</f>
        <v>525443.36</v>
      </c>
      <c r="D252" s="834">
        <f>SUM(D238:D251)</f>
        <v>430339.36</v>
      </c>
    </row>
    <row r="253" spans="2:4">
      <c r="B253" s="820" t="s">
        <v>2346</v>
      </c>
      <c r="C253" s="834">
        <f>(13751.26+8740)/2</f>
        <v>11245.630000000001</v>
      </c>
    </row>
    <row r="254" spans="2:4">
      <c r="C254" s="834"/>
    </row>
    <row r="255" spans="2:4">
      <c r="C255" s="840">
        <v>3251528</v>
      </c>
      <c r="D255" s="840">
        <v>65292</v>
      </c>
    </row>
    <row r="257" spans="2:4">
      <c r="B257" s="820" t="s">
        <v>2392</v>
      </c>
      <c r="C257" s="825">
        <f>208000+3400</f>
        <v>211400</v>
      </c>
      <c r="D257" s="826">
        <f>324500+4500</f>
        <v>329000</v>
      </c>
    </row>
    <row r="258" spans="2:4">
      <c r="B258" s="820" t="s">
        <v>2393</v>
      </c>
      <c r="C258" s="830">
        <v>78082</v>
      </c>
      <c r="D258" s="831"/>
    </row>
    <row r="259" spans="2:4">
      <c r="B259" s="820" t="s">
        <v>2388</v>
      </c>
      <c r="C259" s="830">
        <v>0</v>
      </c>
      <c r="D259" s="831">
        <v>80000</v>
      </c>
    </row>
    <row r="260" spans="2:4">
      <c r="B260" s="820" t="s">
        <v>2394</v>
      </c>
      <c r="C260" s="830">
        <v>100000</v>
      </c>
      <c r="D260" s="831">
        <v>0</v>
      </c>
    </row>
    <row r="261" spans="2:4">
      <c r="B261" s="820" t="s">
        <v>2295</v>
      </c>
      <c r="C261" s="830">
        <v>18321</v>
      </c>
      <c r="D261" s="831">
        <v>0</v>
      </c>
    </row>
    <row r="262" spans="2:4">
      <c r="B262" s="820" t="s">
        <v>2395</v>
      </c>
      <c r="C262" s="830">
        <v>100000</v>
      </c>
      <c r="D262" s="831">
        <v>0</v>
      </c>
    </row>
    <row r="263" spans="2:4">
      <c r="B263" s="820" t="s">
        <v>2396</v>
      </c>
      <c r="C263" s="830">
        <v>15600</v>
      </c>
      <c r="D263" s="831">
        <v>0</v>
      </c>
    </row>
    <row r="264" spans="2:4">
      <c r="B264" s="820" t="s">
        <v>2323</v>
      </c>
      <c r="C264" s="830">
        <v>2000</v>
      </c>
      <c r="D264" s="831">
        <v>0</v>
      </c>
    </row>
    <row r="265" spans="2:4">
      <c r="B265" s="820" t="s">
        <v>2303</v>
      </c>
      <c r="C265" s="830">
        <v>0</v>
      </c>
      <c r="D265" s="831">
        <v>3000</v>
      </c>
    </row>
    <row r="266" spans="2:4">
      <c r="B266" s="842" t="s">
        <v>2331</v>
      </c>
      <c r="C266" s="843"/>
      <c r="D266" s="844">
        <v>0</v>
      </c>
    </row>
    <row r="267" spans="2:4">
      <c r="B267" s="820" t="s">
        <v>2397</v>
      </c>
      <c r="C267" s="830">
        <v>11200</v>
      </c>
      <c r="D267" s="831">
        <v>14700</v>
      </c>
    </row>
    <row r="268" spans="2:4">
      <c r="B268" s="820" t="s">
        <v>2374</v>
      </c>
      <c r="C268" s="830"/>
      <c r="D268" s="831">
        <v>497</v>
      </c>
    </row>
    <row r="269" spans="2:4">
      <c r="B269" s="846" t="s">
        <v>2300</v>
      </c>
      <c r="C269" s="849"/>
      <c r="D269" s="850">
        <v>1566</v>
      </c>
    </row>
    <row r="270" spans="2:4">
      <c r="B270" s="820" t="s">
        <v>2391</v>
      </c>
      <c r="C270" s="830">
        <v>0</v>
      </c>
      <c r="D270" s="831">
        <v>300</v>
      </c>
    </row>
    <row r="271" spans="2:4">
      <c r="C271" s="827"/>
      <c r="D271" s="828"/>
    </row>
    <row r="272" spans="2:4">
      <c r="C272" s="834">
        <f>SUM(C257:C271)</f>
        <v>536603</v>
      </c>
      <c r="D272" s="834">
        <f>SUM(D257:D271)</f>
        <v>429063</v>
      </c>
    </row>
    <row r="273" spans="2:12">
      <c r="C273" s="834"/>
      <c r="D273" s="834"/>
    </row>
    <row r="274" spans="2:12">
      <c r="B274" s="820" t="s">
        <v>2398</v>
      </c>
      <c r="C274" s="834">
        <v>-400000</v>
      </c>
      <c r="D274" s="834">
        <f>-C274</f>
        <v>400000</v>
      </c>
    </row>
    <row r="275" spans="2:12">
      <c r="C275" s="834"/>
    </row>
    <row r="276" spans="2:12">
      <c r="C276" s="834"/>
      <c r="D276" s="834"/>
    </row>
    <row r="278" spans="2:12">
      <c r="B278" s="820" t="s">
        <v>2399</v>
      </c>
      <c r="C278" s="825">
        <f>208000+3400</f>
        <v>211400</v>
      </c>
      <c r="D278" s="826">
        <f>324500+4500</f>
        <v>329000</v>
      </c>
    </row>
    <row r="279" spans="2:12">
      <c r="B279" s="820" t="s">
        <v>2388</v>
      </c>
      <c r="C279" s="830">
        <v>0</v>
      </c>
      <c r="D279" s="831">
        <v>80000</v>
      </c>
    </row>
    <row r="280" spans="2:12">
      <c r="B280" s="820" t="s">
        <v>2400</v>
      </c>
      <c r="C280" s="830">
        <v>100000</v>
      </c>
      <c r="D280" s="831">
        <v>50000</v>
      </c>
    </row>
    <row r="281" spans="2:12">
      <c r="B281" s="820" t="s">
        <v>2295</v>
      </c>
      <c r="C281" s="854">
        <v>18321</v>
      </c>
      <c r="D281" s="831">
        <v>0</v>
      </c>
    </row>
    <row r="282" spans="2:12">
      <c r="B282" s="820" t="s">
        <v>2357</v>
      </c>
      <c r="C282" s="854">
        <v>100000</v>
      </c>
      <c r="D282" s="831">
        <v>0</v>
      </c>
      <c r="F282" s="855" t="s">
        <v>2401</v>
      </c>
      <c r="G282" s="855" t="s">
        <v>2402</v>
      </c>
      <c r="H282" s="855" t="s">
        <v>2403</v>
      </c>
      <c r="I282" s="856" t="s">
        <v>2404</v>
      </c>
      <c r="J282" s="856" t="s">
        <v>2405</v>
      </c>
      <c r="K282" s="856" t="s">
        <v>2368</v>
      </c>
      <c r="L282" s="855"/>
    </row>
    <row r="283" spans="2:12">
      <c r="B283" s="820" t="s">
        <v>2406</v>
      </c>
      <c r="C283" s="854">
        <v>15600</v>
      </c>
      <c r="D283" s="831">
        <v>0</v>
      </c>
      <c r="F283" s="680" t="s">
        <v>2407</v>
      </c>
      <c r="G283" s="680" t="s">
        <v>2408</v>
      </c>
      <c r="H283" s="680" t="s">
        <v>2409</v>
      </c>
      <c r="I283" s="857">
        <v>3700</v>
      </c>
      <c r="J283" s="857">
        <f>INDEX($I$301:$I$304,MATCH(H283,$H$301:$H$304,0))</f>
        <v>7.7878600000000002</v>
      </c>
      <c r="K283" s="858">
        <f>I283*J283</f>
        <v>28815.082000000002</v>
      </c>
      <c r="L283" s="859">
        <v>46022</v>
      </c>
    </row>
    <row r="284" spans="2:12">
      <c r="B284" s="820" t="s">
        <v>2323</v>
      </c>
      <c r="C284" s="830">
        <v>1672.36</v>
      </c>
      <c r="D284" s="831">
        <v>0</v>
      </c>
      <c r="E284" s="820">
        <v>239</v>
      </c>
      <c r="F284" s="680" t="s">
        <v>2407</v>
      </c>
      <c r="G284" s="680" t="s">
        <v>2410</v>
      </c>
      <c r="H284" s="680" t="s">
        <v>2409</v>
      </c>
      <c r="I284" s="857">
        <v>9215.81</v>
      </c>
      <c r="J284" s="857">
        <f>INDEX($I$301:$I$304,MATCH(H284,$H$301:$H$304,0))</f>
        <v>7.7878600000000002</v>
      </c>
      <c r="K284" s="858">
        <f>I284*J284</f>
        <v>71771.438066599992</v>
      </c>
      <c r="L284" s="859">
        <v>46022</v>
      </c>
    </row>
    <row r="285" spans="2:12">
      <c r="B285" s="820" t="s">
        <v>2303</v>
      </c>
      <c r="C285" s="830">
        <v>0</v>
      </c>
      <c r="D285" s="860">
        <v>3000</v>
      </c>
      <c r="F285" s="680"/>
      <c r="G285" s="680"/>
      <c r="H285" s="680"/>
      <c r="I285" s="857"/>
      <c r="J285" s="857"/>
      <c r="K285" s="857"/>
      <c r="L285" s="859"/>
    </row>
    <row r="286" spans="2:12">
      <c r="B286" s="842" t="s">
        <v>2331</v>
      </c>
      <c r="C286" s="843">
        <v>150000</v>
      </c>
      <c r="D286" s="844">
        <v>0</v>
      </c>
      <c r="E286" s="840"/>
      <c r="F286" s="680"/>
      <c r="G286" s="680" t="s">
        <v>2411</v>
      </c>
      <c r="H286" s="680" t="s">
        <v>2368</v>
      </c>
      <c r="I286" s="857">
        <v>100000</v>
      </c>
      <c r="J286" s="857">
        <f t="shared" ref="J286:J294" si="0">INDEX($I$301:$I$304,MATCH(H286,$H$301:$H$304,0))</f>
        <v>1</v>
      </c>
      <c r="K286" s="857">
        <f t="shared" ref="K286:K294" si="1">I286*J286</f>
        <v>100000</v>
      </c>
      <c r="L286" s="859">
        <v>45809</v>
      </c>
    </row>
    <row r="287" spans="2:12">
      <c r="B287" s="820" t="s">
        <v>2412</v>
      </c>
      <c r="C287" s="854">
        <f>11200*2</f>
        <v>22400</v>
      </c>
      <c r="D287" s="831">
        <f>14700*2</f>
        <v>29400</v>
      </c>
      <c r="E287" s="820">
        <v>14700</v>
      </c>
      <c r="F287" s="680" t="s">
        <v>2324</v>
      </c>
      <c r="G287" s="680" t="s">
        <v>2413</v>
      </c>
      <c r="H287" s="680" t="s">
        <v>2368</v>
      </c>
      <c r="I287" s="857">
        <v>640000</v>
      </c>
      <c r="J287" s="857">
        <f t="shared" si="0"/>
        <v>1</v>
      </c>
      <c r="K287" s="857">
        <f t="shared" si="1"/>
        <v>640000</v>
      </c>
      <c r="L287" s="859">
        <v>46113</v>
      </c>
    </row>
    <row r="288" spans="2:12">
      <c r="B288" s="820" t="s">
        <v>2374</v>
      </c>
      <c r="C288" s="830"/>
      <c r="D288" s="831">
        <v>497</v>
      </c>
      <c r="F288" s="680" t="s">
        <v>2414</v>
      </c>
      <c r="G288" s="680" t="s">
        <v>2415</v>
      </c>
      <c r="H288" s="680" t="s">
        <v>2368</v>
      </c>
      <c r="I288" s="857">
        <v>19405</v>
      </c>
      <c r="J288" s="857">
        <f t="shared" si="0"/>
        <v>1</v>
      </c>
      <c r="K288" s="857">
        <f t="shared" si="1"/>
        <v>19405</v>
      </c>
      <c r="L288" s="859">
        <v>46023</v>
      </c>
    </row>
    <row r="289" spans="2:12">
      <c r="B289" s="846" t="s">
        <v>2300</v>
      </c>
      <c r="C289" s="849"/>
      <c r="D289" s="850">
        <v>1566</v>
      </c>
      <c r="F289" s="680" t="s">
        <v>2414</v>
      </c>
      <c r="G289" s="680" t="s">
        <v>2416</v>
      </c>
      <c r="H289" s="680" t="s">
        <v>2368</v>
      </c>
      <c r="I289" s="857">
        <v>19405</v>
      </c>
      <c r="J289" s="857">
        <f t="shared" si="0"/>
        <v>1</v>
      </c>
      <c r="K289" s="857">
        <f t="shared" si="1"/>
        <v>19405</v>
      </c>
      <c r="L289" s="859">
        <v>46023</v>
      </c>
    </row>
    <row r="290" spans="2:12">
      <c r="B290" s="820" t="s">
        <v>2391</v>
      </c>
      <c r="C290" s="830">
        <v>0</v>
      </c>
      <c r="D290" s="831">
        <v>300</v>
      </c>
      <c r="F290" s="680" t="s">
        <v>2417</v>
      </c>
      <c r="G290" s="680" t="s">
        <v>2418</v>
      </c>
      <c r="H290" s="680" t="s">
        <v>2368</v>
      </c>
      <c r="I290" s="857">
        <v>13000</v>
      </c>
      <c r="J290" s="857">
        <f t="shared" si="0"/>
        <v>1</v>
      </c>
      <c r="K290" s="857">
        <f t="shared" si="1"/>
        <v>13000</v>
      </c>
      <c r="L290" s="859">
        <v>46174</v>
      </c>
    </row>
    <row r="291" spans="2:12">
      <c r="C291" s="827"/>
      <c r="D291" s="828"/>
      <c r="F291" s="680" t="s">
        <v>2419</v>
      </c>
      <c r="G291" s="680" t="s">
        <v>2420</v>
      </c>
      <c r="H291" s="680" t="s">
        <v>2368</v>
      </c>
      <c r="I291" s="857">
        <v>12000</v>
      </c>
      <c r="J291" s="857">
        <f t="shared" si="0"/>
        <v>1</v>
      </c>
      <c r="K291" s="857">
        <f t="shared" si="1"/>
        <v>12000</v>
      </c>
      <c r="L291" s="859">
        <v>46174</v>
      </c>
    </row>
    <row r="292" spans="2:12">
      <c r="C292" s="834">
        <f>SUM(C278:C291)</f>
        <v>619393.36</v>
      </c>
      <c r="D292" s="861">
        <f>SUM(D278:D291)</f>
        <v>493763</v>
      </c>
      <c r="F292" s="680" t="s">
        <v>2414</v>
      </c>
      <c r="G292" s="680" t="s">
        <v>2421</v>
      </c>
      <c r="H292" s="680" t="s">
        <v>2368</v>
      </c>
      <c r="I292" s="857">
        <v>200000</v>
      </c>
      <c r="J292" s="857">
        <f t="shared" si="0"/>
        <v>1</v>
      </c>
      <c r="K292" s="857">
        <f t="shared" si="1"/>
        <v>200000</v>
      </c>
      <c r="L292" s="859">
        <v>46174</v>
      </c>
    </row>
    <row r="293" spans="2:12">
      <c r="B293" s="820" t="s">
        <v>2422</v>
      </c>
      <c r="C293" s="834">
        <v>300000</v>
      </c>
      <c r="F293" s="680" t="s">
        <v>2110</v>
      </c>
      <c r="G293" s="680" t="s">
        <v>2423</v>
      </c>
      <c r="H293" s="680" t="s">
        <v>2409</v>
      </c>
      <c r="I293" s="857">
        <v>25100</v>
      </c>
      <c r="J293" s="857">
        <f t="shared" si="0"/>
        <v>7.7878600000000002</v>
      </c>
      <c r="K293" s="857">
        <f t="shared" si="1"/>
        <v>195475.28599999999</v>
      </c>
      <c r="L293" s="859">
        <v>46022</v>
      </c>
    </row>
    <row r="294" spans="2:12">
      <c r="B294" s="820" t="s">
        <v>2424</v>
      </c>
      <c r="C294" s="834">
        <f>D292+SUM(I283:I284)*7.8+K293</f>
        <v>789981.60399999993</v>
      </c>
      <c r="D294" s="840"/>
      <c r="F294" s="680" t="s">
        <v>2414</v>
      </c>
      <c r="G294" s="680" t="s">
        <v>2425</v>
      </c>
      <c r="H294" s="680" t="s">
        <v>2368</v>
      </c>
      <c r="I294" s="857">
        <v>19405</v>
      </c>
      <c r="J294" s="857">
        <f t="shared" si="0"/>
        <v>1</v>
      </c>
      <c r="K294" s="857">
        <f t="shared" si="1"/>
        <v>19405</v>
      </c>
      <c r="L294" s="680"/>
    </row>
    <row r="295" spans="2:12">
      <c r="B295" s="862" t="s">
        <v>2426</v>
      </c>
      <c r="C295" s="863">
        <f>SUM(C292:C294)</f>
        <v>1709374.9639999999</v>
      </c>
      <c r="D295" s="834"/>
      <c r="F295" s="680"/>
      <c r="G295" s="680"/>
      <c r="H295" s="680"/>
      <c r="I295" s="857"/>
      <c r="J295" s="857"/>
      <c r="K295" s="857">
        <f>SUM(K283:K294)</f>
        <v>1319276.8060666001</v>
      </c>
      <c r="L295" s="680"/>
    </row>
    <row r="296" spans="2:12">
      <c r="C296" s="834"/>
      <c r="L296" s="680"/>
    </row>
    <row r="299" spans="2:12">
      <c r="B299" s="820" t="s">
        <v>2427</v>
      </c>
      <c r="C299" s="825">
        <f>208000+3400+60000</f>
        <v>271400</v>
      </c>
      <c r="D299" s="826">
        <f>324500+4500</f>
        <v>329000</v>
      </c>
    </row>
    <row r="300" spans="2:12">
      <c r="B300" s="820" t="s">
        <v>2388</v>
      </c>
      <c r="C300" s="830">
        <v>0</v>
      </c>
      <c r="D300" s="831">
        <v>80000</v>
      </c>
      <c r="F300" s="680"/>
      <c r="G300" s="680"/>
      <c r="H300" s="680"/>
      <c r="I300" s="857"/>
      <c r="J300" s="857"/>
      <c r="K300" s="857"/>
      <c r="L300" s="680"/>
    </row>
    <row r="301" spans="2:12">
      <c r="B301" s="820" t="s">
        <v>2428</v>
      </c>
      <c r="C301" s="830">
        <v>20000</v>
      </c>
      <c r="D301" s="831">
        <v>20000</v>
      </c>
      <c r="F301" s="680"/>
      <c r="G301" s="680"/>
      <c r="H301" s="680" t="s">
        <v>2409</v>
      </c>
      <c r="I301" s="857">
        <v>7.7878600000000002</v>
      </c>
      <c r="J301" s="857"/>
      <c r="K301" s="857"/>
      <c r="L301" s="680"/>
    </row>
    <row r="302" spans="2:12">
      <c r="B302" s="820" t="s">
        <v>2429</v>
      </c>
      <c r="C302" s="830">
        <v>16000</v>
      </c>
      <c r="D302" s="831">
        <v>16000</v>
      </c>
      <c r="F302" s="680"/>
      <c r="G302" s="680"/>
      <c r="H302" s="680"/>
      <c r="I302" s="857"/>
      <c r="J302" s="857"/>
      <c r="K302" s="857"/>
      <c r="L302" s="680"/>
    </row>
    <row r="303" spans="2:12">
      <c r="B303" s="820" t="s">
        <v>2295</v>
      </c>
      <c r="C303" s="830">
        <v>18321</v>
      </c>
      <c r="D303" s="831">
        <v>0</v>
      </c>
      <c r="F303" s="680"/>
      <c r="G303" s="680"/>
      <c r="H303" s="680" t="s">
        <v>2369</v>
      </c>
      <c r="I303" s="857">
        <v>5.0991600000000004</v>
      </c>
      <c r="J303" s="857"/>
      <c r="K303" s="857"/>
      <c r="L303" s="680"/>
    </row>
    <row r="304" spans="2:12">
      <c r="B304" s="820" t="s">
        <v>2357</v>
      </c>
      <c r="C304" s="830">
        <f>100000+17250</f>
        <v>117250</v>
      </c>
      <c r="D304" s="831">
        <v>0</v>
      </c>
      <c r="F304" s="680"/>
      <c r="G304" s="680"/>
      <c r="H304" s="680" t="s">
        <v>2368</v>
      </c>
      <c r="I304" s="857">
        <v>1</v>
      </c>
      <c r="J304" s="857"/>
      <c r="K304" s="857"/>
      <c r="L304" s="680"/>
    </row>
    <row r="305" spans="2:4">
      <c r="B305" s="820" t="s">
        <v>2430</v>
      </c>
      <c r="C305" s="830">
        <v>15600</v>
      </c>
      <c r="D305" s="831">
        <v>0</v>
      </c>
    </row>
    <row r="306" spans="2:4">
      <c r="B306" s="820" t="s">
        <v>2323</v>
      </c>
      <c r="C306" s="830">
        <v>1672.36</v>
      </c>
      <c r="D306" s="831">
        <v>0</v>
      </c>
    </row>
    <row r="307" spans="2:4">
      <c r="B307" s="820" t="s">
        <v>2303</v>
      </c>
      <c r="C307" s="830">
        <v>0</v>
      </c>
      <c r="D307" s="831">
        <v>3000</v>
      </c>
    </row>
    <row r="308" spans="2:4">
      <c r="B308" s="820" t="s">
        <v>2431</v>
      </c>
      <c r="C308" s="830">
        <f>11200</f>
        <v>11200</v>
      </c>
      <c r="D308" s="831">
        <f>14700</f>
        <v>14700</v>
      </c>
    </row>
    <row r="309" spans="2:4">
      <c r="B309" s="820" t="s">
        <v>2374</v>
      </c>
      <c r="C309" s="830"/>
      <c r="D309" s="831">
        <v>497</v>
      </c>
    </row>
    <row r="310" spans="2:4">
      <c r="B310" s="846" t="s">
        <v>2300</v>
      </c>
      <c r="C310" s="849"/>
      <c r="D310" s="850">
        <v>1566</v>
      </c>
    </row>
    <row r="311" spans="2:4">
      <c r="B311" s="820" t="s">
        <v>2391</v>
      </c>
      <c r="C311" s="830">
        <v>0</v>
      </c>
      <c r="D311" s="831">
        <v>300</v>
      </c>
    </row>
    <row r="312" spans="2:4">
      <c r="C312" s="827"/>
      <c r="D312" s="828"/>
    </row>
    <row r="313" spans="2:4">
      <c r="C313" s="834">
        <f>SUM(C299:C312)</f>
        <v>471443.36</v>
      </c>
      <c r="D313" s="834">
        <f>SUM(D299:D312)</f>
        <v>465063</v>
      </c>
    </row>
    <row r="314" spans="2:4">
      <c r="B314" s="820" t="s">
        <v>2432</v>
      </c>
      <c r="C314" s="834">
        <v>50000</v>
      </c>
      <c r="D314" s="834"/>
    </row>
    <row r="315" spans="2:4">
      <c r="B315" s="820" t="s">
        <v>2424</v>
      </c>
      <c r="C315" s="834">
        <f>D313+100000</f>
        <v>565063</v>
      </c>
    </row>
    <row r="316" spans="2:4">
      <c r="B316" s="862" t="s">
        <v>2426</v>
      </c>
      <c r="C316" s="863">
        <f>SUM(C312:C315)</f>
        <v>1086506.3599999999</v>
      </c>
      <c r="D316" s="834"/>
    </row>
    <row r="317" spans="2:4">
      <c r="C317" s="834"/>
    </row>
    <row r="318" spans="2:4">
      <c r="B318" s="820" t="s">
        <v>2284</v>
      </c>
      <c r="C318" s="825">
        <f>208000+3400</f>
        <v>211400</v>
      </c>
      <c r="D318" s="826">
        <f>324500+4500</f>
        <v>329000</v>
      </c>
    </row>
    <row r="319" spans="2:4">
      <c r="B319" s="820" t="s">
        <v>2388</v>
      </c>
      <c r="C319" s="830">
        <v>0</v>
      </c>
      <c r="D319" s="831">
        <f>80000</f>
        <v>80000</v>
      </c>
    </row>
    <row r="320" spans="2:4">
      <c r="B320" s="820" t="s">
        <v>2433</v>
      </c>
      <c r="C320" s="830">
        <v>0</v>
      </c>
      <c r="D320" s="831">
        <v>0</v>
      </c>
    </row>
    <row r="321" spans="2:4">
      <c r="B321" s="820" t="s">
        <v>2295</v>
      </c>
      <c r="C321" s="1077">
        <v>18321</v>
      </c>
      <c r="D321" s="831">
        <v>0</v>
      </c>
    </row>
    <row r="322" spans="2:4">
      <c r="B322" s="820" t="s">
        <v>2357</v>
      </c>
      <c r="C322" s="1077">
        <v>100000</v>
      </c>
      <c r="D322" s="831">
        <v>0</v>
      </c>
    </row>
    <row r="323" spans="2:4">
      <c r="B323" s="820" t="s">
        <v>2434</v>
      </c>
      <c r="C323" s="1077">
        <v>15600</v>
      </c>
      <c r="D323" s="831">
        <v>0</v>
      </c>
    </row>
    <row r="324" spans="2:4">
      <c r="B324" s="820" t="s">
        <v>2323</v>
      </c>
      <c r="C324" s="1077">
        <v>1574.34</v>
      </c>
      <c r="D324" s="831">
        <v>0</v>
      </c>
    </row>
    <row r="325" spans="2:4">
      <c r="B325" s="820" t="s">
        <v>2303</v>
      </c>
      <c r="C325" s="830">
        <v>0</v>
      </c>
      <c r="D325" s="1081">
        <v>3000</v>
      </c>
    </row>
    <row r="326" spans="2:4">
      <c r="B326" s="3" t="s">
        <v>3069</v>
      </c>
      <c r="C326" s="1078">
        <v>950</v>
      </c>
      <c r="D326" s="844">
        <v>0</v>
      </c>
    </row>
    <row r="327" spans="2:4">
      <c r="B327" s="820" t="s">
        <v>2435</v>
      </c>
      <c r="C327" s="1077">
        <f>11200</f>
        <v>11200</v>
      </c>
      <c r="D327" s="1081">
        <f>14700</f>
        <v>14700</v>
      </c>
    </row>
    <row r="328" spans="2:4">
      <c r="B328" s="820" t="s">
        <v>2374</v>
      </c>
      <c r="C328" s="830"/>
      <c r="D328" s="1081">
        <v>156</v>
      </c>
    </row>
    <row r="329" spans="2:4">
      <c r="B329" s="846" t="s">
        <v>2300</v>
      </c>
      <c r="C329" s="849"/>
      <c r="D329" s="1080">
        <v>1566</v>
      </c>
    </row>
    <row r="330" spans="2:4">
      <c r="B330" s="846" t="s">
        <v>3068</v>
      </c>
      <c r="C330" s="1079">
        <v>9480</v>
      </c>
      <c r="D330" s="850"/>
    </row>
    <row r="331" spans="2:4">
      <c r="B331" s="846" t="s">
        <v>3070</v>
      </c>
      <c r="C331" s="1079">
        <v>25510</v>
      </c>
      <c r="D331" s="850"/>
    </row>
    <row r="332" spans="2:4">
      <c r="B332" s="820" t="s">
        <v>2391</v>
      </c>
      <c r="C332" s="830">
        <f>1.1+5+1.1+350+3.3</f>
        <v>360.5</v>
      </c>
      <c r="D332" s="831">
        <f>350+3.3+1.1+5+50</f>
        <v>409.40000000000003</v>
      </c>
    </row>
    <row r="333" spans="2:4">
      <c r="C333" s="827"/>
      <c r="D333" s="828"/>
    </row>
    <row r="334" spans="2:4">
      <c r="C334" s="834">
        <f>SUM(C318:C333)</f>
        <v>394395.84</v>
      </c>
      <c r="D334" s="834">
        <f>SUM(D318:D333)</f>
        <v>428831.4</v>
      </c>
    </row>
    <row r="335" spans="2:4">
      <c r="C335" s="834"/>
      <c r="D335" s="834"/>
    </row>
    <row r="336" spans="2:4">
      <c r="B336" s="820" t="s">
        <v>2432</v>
      </c>
      <c r="C336" s="834">
        <v>50000</v>
      </c>
      <c r="D336" s="834"/>
    </row>
    <row r="337" spans="2:4">
      <c r="B337" s="820" t="s">
        <v>2424</v>
      </c>
      <c r="C337" s="834">
        <v>400000</v>
      </c>
    </row>
    <row r="338" spans="2:4">
      <c r="B338" s="862" t="s">
        <v>2426</v>
      </c>
      <c r="C338" s="863">
        <f>SUM(C333:C337)</f>
        <v>844395.84000000008</v>
      </c>
      <c r="D338" s="834"/>
    </row>
  </sheetData>
  <pageMargins left="0.7" right="0.7" top="0.75" bottom="0.75" header="0.3" footer="0.3"/>
  <pageSetup paperSize="9"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1:U84"/>
  <sheetViews>
    <sheetView workbookViewId="0"/>
  </sheetViews>
  <sheetFormatPr defaultColWidth="8.375" defaultRowHeight="12.75"/>
  <cols>
    <col min="1" max="2" width="2.5" style="762" customWidth="1"/>
    <col min="3" max="3" width="21.5" style="762" customWidth="1"/>
    <col min="4" max="4" width="5.75" style="762" customWidth="1"/>
    <col min="5" max="5" width="5.75" style="762" hidden="1" customWidth="1"/>
    <col min="6" max="6" width="13.5" style="761" customWidth="1"/>
    <col min="7" max="7" width="11.25" style="761" customWidth="1"/>
    <col min="8" max="8" width="14.25" style="761" customWidth="1"/>
    <col min="9" max="9" width="12.75" style="761" customWidth="1"/>
    <col min="10" max="10" width="14.875" style="761" customWidth="1"/>
    <col min="11" max="11" width="12.875" style="761" customWidth="1"/>
    <col min="12" max="12" width="12.375" style="761" customWidth="1"/>
    <col min="13" max="13" width="11.5" style="761" customWidth="1"/>
    <col min="14" max="14" width="14.875" style="761" customWidth="1"/>
    <col min="15" max="15" width="16.75" style="761" customWidth="1"/>
    <col min="16" max="16" width="14.375" style="761" customWidth="1"/>
    <col min="17" max="18" width="20.125" style="762" customWidth="1"/>
    <col min="19" max="268" width="8.375" style="762"/>
    <col min="269" max="270" width="2.5" style="762" customWidth="1"/>
    <col min="271" max="271" width="36.375" style="762" customWidth="1"/>
    <col min="272" max="272" width="5.75" style="762" customWidth="1"/>
    <col min="273" max="273" width="19" style="762" customWidth="1"/>
    <col min="274" max="274" width="23.625" style="762" customWidth="1"/>
    <col min="275" max="524" width="8.375" style="762"/>
    <col min="525" max="526" width="2.5" style="762" customWidth="1"/>
    <col min="527" max="527" width="36.375" style="762" customWidth="1"/>
    <col min="528" max="528" width="5.75" style="762" customWidth="1"/>
    <col min="529" max="529" width="19" style="762" customWidth="1"/>
    <col min="530" max="530" width="23.625" style="762" customWidth="1"/>
    <col min="531" max="780" width="8.375" style="762"/>
    <col min="781" max="782" width="2.5" style="762" customWidth="1"/>
    <col min="783" max="783" width="36.375" style="762" customWidth="1"/>
    <col min="784" max="784" width="5.75" style="762" customWidth="1"/>
    <col min="785" max="785" width="19" style="762" customWidth="1"/>
    <col min="786" max="786" width="23.625" style="762" customWidth="1"/>
    <col min="787" max="1036" width="8.375" style="762"/>
    <col min="1037" max="1038" width="2.5" style="762" customWidth="1"/>
    <col min="1039" max="1039" width="36.375" style="762" customWidth="1"/>
    <col min="1040" max="1040" width="5.75" style="762" customWidth="1"/>
    <col min="1041" max="1041" width="19" style="762" customWidth="1"/>
    <col min="1042" max="1042" width="23.625" style="762" customWidth="1"/>
    <col min="1043" max="1292" width="8.375" style="762"/>
    <col min="1293" max="1294" width="2.5" style="762" customWidth="1"/>
    <col min="1295" max="1295" width="36.375" style="762" customWidth="1"/>
    <col min="1296" max="1296" width="5.75" style="762" customWidth="1"/>
    <col min="1297" max="1297" width="19" style="762" customWidth="1"/>
    <col min="1298" max="1298" width="23.625" style="762" customWidth="1"/>
    <col min="1299" max="1548" width="8.375" style="762"/>
    <col min="1549" max="1550" width="2.5" style="762" customWidth="1"/>
    <col min="1551" max="1551" width="36.375" style="762" customWidth="1"/>
    <col min="1552" max="1552" width="5.75" style="762" customWidth="1"/>
    <col min="1553" max="1553" width="19" style="762" customWidth="1"/>
    <col min="1554" max="1554" width="23.625" style="762" customWidth="1"/>
    <col min="1555" max="1804" width="8.375" style="762"/>
    <col min="1805" max="1806" width="2.5" style="762" customWidth="1"/>
    <col min="1807" max="1807" width="36.375" style="762" customWidth="1"/>
    <col min="1808" max="1808" width="5.75" style="762" customWidth="1"/>
    <col min="1809" max="1809" width="19" style="762" customWidth="1"/>
    <col min="1810" max="1810" width="23.625" style="762" customWidth="1"/>
    <col min="1811" max="2060" width="8.375" style="762"/>
    <col min="2061" max="2062" width="2.5" style="762" customWidth="1"/>
    <col min="2063" max="2063" width="36.375" style="762" customWidth="1"/>
    <col min="2064" max="2064" width="5.75" style="762" customWidth="1"/>
    <col min="2065" max="2065" width="19" style="762" customWidth="1"/>
    <col min="2066" max="2066" width="23.625" style="762" customWidth="1"/>
    <col min="2067" max="2316" width="8.375" style="762"/>
    <col min="2317" max="2318" width="2.5" style="762" customWidth="1"/>
    <col min="2319" max="2319" width="36.375" style="762" customWidth="1"/>
    <col min="2320" max="2320" width="5.75" style="762" customWidth="1"/>
    <col min="2321" max="2321" width="19" style="762" customWidth="1"/>
    <col min="2322" max="2322" width="23.625" style="762" customWidth="1"/>
    <col min="2323" max="2572" width="8.375" style="762"/>
    <col min="2573" max="2574" width="2.5" style="762" customWidth="1"/>
    <col min="2575" max="2575" width="36.375" style="762" customWidth="1"/>
    <col min="2576" max="2576" width="5.75" style="762" customWidth="1"/>
    <col min="2577" max="2577" width="19" style="762" customWidth="1"/>
    <col min="2578" max="2578" width="23.625" style="762" customWidth="1"/>
    <col min="2579" max="2828" width="8.375" style="762"/>
    <col min="2829" max="2830" width="2.5" style="762" customWidth="1"/>
    <col min="2831" max="2831" width="36.375" style="762" customWidth="1"/>
    <col min="2832" max="2832" width="5.75" style="762" customWidth="1"/>
    <col min="2833" max="2833" width="19" style="762" customWidth="1"/>
    <col min="2834" max="2834" width="23.625" style="762" customWidth="1"/>
    <col min="2835" max="3084" width="8.375" style="762"/>
    <col min="3085" max="3086" width="2.5" style="762" customWidth="1"/>
    <col min="3087" max="3087" width="36.375" style="762" customWidth="1"/>
    <col min="3088" max="3088" width="5.75" style="762" customWidth="1"/>
    <col min="3089" max="3089" width="19" style="762" customWidth="1"/>
    <col min="3090" max="3090" width="23.625" style="762" customWidth="1"/>
    <col min="3091" max="3340" width="8.375" style="762"/>
    <col min="3341" max="3342" width="2.5" style="762" customWidth="1"/>
    <col min="3343" max="3343" width="36.375" style="762" customWidth="1"/>
    <col min="3344" max="3344" width="5.75" style="762" customWidth="1"/>
    <col min="3345" max="3345" width="19" style="762" customWidth="1"/>
    <col min="3346" max="3346" width="23.625" style="762" customWidth="1"/>
    <col min="3347" max="3596" width="8.375" style="762"/>
    <col min="3597" max="3598" width="2.5" style="762" customWidth="1"/>
    <col min="3599" max="3599" width="36.375" style="762" customWidth="1"/>
    <col min="3600" max="3600" width="5.75" style="762" customWidth="1"/>
    <col min="3601" max="3601" width="19" style="762" customWidth="1"/>
    <col min="3602" max="3602" width="23.625" style="762" customWidth="1"/>
    <col min="3603" max="3852" width="8.375" style="762"/>
    <col min="3853" max="3854" width="2.5" style="762" customWidth="1"/>
    <col min="3855" max="3855" width="36.375" style="762" customWidth="1"/>
    <col min="3856" max="3856" width="5.75" style="762" customWidth="1"/>
    <col min="3857" max="3857" width="19" style="762" customWidth="1"/>
    <col min="3858" max="3858" width="23.625" style="762" customWidth="1"/>
    <col min="3859" max="4108" width="8.375" style="762"/>
    <col min="4109" max="4110" width="2.5" style="762" customWidth="1"/>
    <col min="4111" max="4111" width="36.375" style="762" customWidth="1"/>
    <col min="4112" max="4112" width="5.75" style="762" customWidth="1"/>
    <col min="4113" max="4113" width="19" style="762" customWidth="1"/>
    <col min="4114" max="4114" width="23.625" style="762" customWidth="1"/>
    <col min="4115" max="4364" width="8.375" style="762"/>
    <col min="4365" max="4366" width="2.5" style="762" customWidth="1"/>
    <col min="4367" max="4367" width="36.375" style="762" customWidth="1"/>
    <col min="4368" max="4368" width="5.75" style="762" customWidth="1"/>
    <col min="4369" max="4369" width="19" style="762" customWidth="1"/>
    <col min="4370" max="4370" width="23.625" style="762" customWidth="1"/>
    <col min="4371" max="4620" width="8.375" style="762"/>
    <col min="4621" max="4622" width="2.5" style="762" customWidth="1"/>
    <col min="4623" max="4623" width="36.375" style="762" customWidth="1"/>
    <col min="4624" max="4624" width="5.75" style="762" customWidth="1"/>
    <col min="4625" max="4625" width="19" style="762" customWidth="1"/>
    <col min="4626" max="4626" width="23.625" style="762" customWidth="1"/>
    <col min="4627" max="4876" width="8.375" style="762"/>
    <col min="4877" max="4878" width="2.5" style="762" customWidth="1"/>
    <col min="4879" max="4879" width="36.375" style="762" customWidth="1"/>
    <col min="4880" max="4880" width="5.75" style="762" customWidth="1"/>
    <col min="4881" max="4881" width="19" style="762" customWidth="1"/>
    <col min="4882" max="4882" width="23.625" style="762" customWidth="1"/>
    <col min="4883" max="5132" width="8.375" style="762"/>
    <col min="5133" max="5134" width="2.5" style="762" customWidth="1"/>
    <col min="5135" max="5135" width="36.375" style="762" customWidth="1"/>
    <col min="5136" max="5136" width="5.75" style="762" customWidth="1"/>
    <col min="5137" max="5137" width="19" style="762" customWidth="1"/>
    <col min="5138" max="5138" width="23.625" style="762" customWidth="1"/>
    <col min="5139" max="5388" width="8.375" style="762"/>
    <col min="5389" max="5390" width="2.5" style="762" customWidth="1"/>
    <col min="5391" max="5391" width="36.375" style="762" customWidth="1"/>
    <col min="5392" max="5392" width="5.75" style="762" customWidth="1"/>
    <col min="5393" max="5393" width="19" style="762" customWidth="1"/>
    <col min="5394" max="5394" width="23.625" style="762" customWidth="1"/>
    <col min="5395" max="5644" width="8.375" style="762"/>
    <col min="5645" max="5646" width="2.5" style="762" customWidth="1"/>
    <col min="5647" max="5647" width="36.375" style="762" customWidth="1"/>
    <col min="5648" max="5648" width="5.75" style="762" customWidth="1"/>
    <col min="5649" max="5649" width="19" style="762" customWidth="1"/>
    <col min="5650" max="5650" width="23.625" style="762" customWidth="1"/>
    <col min="5651" max="5900" width="8.375" style="762"/>
    <col min="5901" max="5902" width="2.5" style="762" customWidth="1"/>
    <col min="5903" max="5903" width="36.375" style="762" customWidth="1"/>
    <col min="5904" max="5904" width="5.75" style="762" customWidth="1"/>
    <col min="5905" max="5905" width="19" style="762" customWidth="1"/>
    <col min="5906" max="5906" width="23.625" style="762" customWidth="1"/>
    <col min="5907" max="6156" width="8.375" style="762"/>
    <col min="6157" max="6158" width="2.5" style="762" customWidth="1"/>
    <col min="6159" max="6159" width="36.375" style="762" customWidth="1"/>
    <col min="6160" max="6160" width="5.75" style="762" customWidth="1"/>
    <col min="6161" max="6161" width="19" style="762" customWidth="1"/>
    <col min="6162" max="6162" width="23.625" style="762" customWidth="1"/>
    <col min="6163" max="6412" width="8.375" style="762"/>
    <col min="6413" max="6414" width="2.5" style="762" customWidth="1"/>
    <col min="6415" max="6415" width="36.375" style="762" customWidth="1"/>
    <col min="6416" max="6416" width="5.75" style="762" customWidth="1"/>
    <col min="6417" max="6417" width="19" style="762" customWidth="1"/>
    <col min="6418" max="6418" width="23.625" style="762" customWidth="1"/>
    <col min="6419" max="6668" width="8.375" style="762"/>
    <col min="6669" max="6670" width="2.5" style="762" customWidth="1"/>
    <col min="6671" max="6671" width="36.375" style="762" customWidth="1"/>
    <col min="6672" max="6672" width="5.75" style="762" customWidth="1"/>
    <col min="6673" max="6673" width="19" style="762" customWidth="1"/>
    <col min="6674" max="6674" width="23.625" style="762" customWidth="1"/>
    <col min="6675" max="6924" width="8.375" style="762"/>
    <col min="6925" max="6926" width="2.5" style="762" customWidth="1"/>
    <col min="6927" max="6927" width="36.375" style="762" customWidth="1"/>
    <col min="6928" max="6928" width="5.75" style="762" customWidth="1"/>
    <col min="6929" max="6929" width="19" style="762" customWidth="1"/>
    <col min="6930" max="6930" width="23.625" style="762" customWidth="1"/>
    <col min="6931" max="7180" width="8.375" style="762"/>
    <col min="7181" max="7182" width="2.5" style="762" customWidth="1"/>
    <col min="7183" max="7183" width="36.375" style="762" customWidth="1"/>
    <col min="7184" max="7184" width="5.75" style="762" customWidth="1"/>
    <col min="7185" max="7185" width="19" style="762" customWidth="1"/>
    <col min="7186" max="7186" width="23.625" style="762" customWidth="1"/>
    <col min="7187" max="7436" width="8.375" style="762"/>
    <col min="7437" max="7438" width="2.5" style="762" customWidth="1"/>
    <col min="7439" max="7439" width="36.375" style="762" customWidth="1"/>
    <col min="7440" max="7440" width="5.75" style="762" customWidth="1"/>
    <col min="7441" max="7441" width="19" style="762" customWidth="1"/>
    <col min="7442" max="7442" width="23.625" style="762" customWidth="1"/>
    <col min="7443" max="7692" width="8.375" style="762"/>
    <col min="7693" max="7694" width="2.5" style="762" customWidth="1"/>
    <col min="7695" max="7695" width="36.375" style="762" customWidth="1"/>
    <col min="7696" max="7696" width="5.75" style="762" customWidth="1"/>
    <col min="7697" max="7697" width="19" style="762" customWidth="1"/>
    <col min="7698" max="7698" width="23.625" style="762" customWidth="1"/>
    <col min="7699" max="7948" width="8.375" style="762"/>
    <col min="7949" max="7950" width="2.5" style="762" customWidth="1"/>
    <col min="7951" max="7951" width="36.375" style="762" customWidth="1"/>
    <col min="7952" max="7952" width="5.75" style="762" customWidth="1"/>
    <col min="7953" max="7953" width="19" style="762" customWidth="1"/>
    <col min="7954" max="7954" width="23.625" style="762" customWidth="1"/>
    <col min="7955" max="8204" width="8.375" style="762"/>
    <col min="8205" max="8206" width="2.5" style="762" customWidth="1"/>
    <col min="8207" max="8207" width="36.375" style="762" customWidth="1"/>
    <col min="8208" max="8208" width="5.75" style="762" customWidth="1"/>
    <col min="8209" max="8209" width="19" style="762" customWidth="1"/>
    <col min="8210" max="8210" width="23.625" style="762" customWidth="1"/>
    <col min="8211" max="8460" width="8.375" style="762"/>
    <col min="8461" max="8462" width="2.5" style="762" customWidth="1"/>
    <col min="8463" max="8463" width="36.375" style="762" customWidth="1"/>
    <col min="8464" max="8464" width="5.75" style="762" customWidth="1"/>
    <col min="8465" max="8465" width="19" style="762" customWidth="1"/>
    <col min="8466" max="8466" width="23.625" style="762" customWidth="1"/>
    <col min="8467" max="8716" width="8.375" style="762"/>
    <col min="8717" max="8718" width="2.5" style="762" customWidth="1"/>
    <col min="8719" max="8719" width="36.375" style="762" customWidth="1"/>
    <col min="8720" max="8720" width="5.75" style="762" customWidth="1"/>
    <col min="8721" max="8721" width="19" style="762" customWidth="1"/>
    <col min="8722" max="8722" width="23.625" style="762" customWidth="1"/>
    <col min="8723" max="8972" width="8.375" style="762"/>
    <col min="8973" max="8974" width="2.5" style="762" customWidth="1"/>
    <col min="8975" max="8975" width="36.375" style="762" customWidth="1"/>
    <col min="8976" max="8976" width="5.75" style="762" customWidth="1"/>
    <col min="8977" max="8977" width="19" style="762" customWidth="1"/>
    <col min="8978" max="8978" width="23.625" style="762" customWidth="1"/>
    <col min="8979" max="9228" width="8.375" style="762"/>
    <col min="9229" max="9230" width="2.5" style="762" customWidth="1"/>
    <col min="9231" max="9231" width="36.375" style="762" customWidth="1"/>
    <col min="9232" max="9232" width="5.75" style="762" customWidth="1"/>
    <col min="9233" max="9233" width="19" style="762" customWidth="1"/>
    <col min="9234" max="9234" width="23.625" style="762" customWidth="1"/>
    <col min="9235" max="9484" width="8.375" style="762"/>
    <col min="9485" max="9486" width="2.5" style="762" customWidth="1"/>
    <col min="9487" max="9487" width="36.375" style="762" customWidth="1"/>
    <col min="9488" max="9488" width="5.75" style="762" customWidth="1"/>
    <col min="9489" max="9489" width="19" style="762" customWidth="1"/>
    <col min="9490" max="9490" width="23.625" style="762" customWidth="1"/>
    <col min="9491" max="9740" width="8.375" style="762"/>
    <col min="9741" max="9742" width="2.5" style="762" customWidth="1"/>
    <col min="9743" max="9743" width="36.375" style="762" customWidth="1"/>
    <col min="9744" max="9744" width="5.75" style="762" customWidth="1"/>
    <col min="9745" max="9745" width="19" style="762" customWidth="1"/>
    <col min="9746" max="9746" width="23.625" style="762" customWidth="1"/>
    <col min="9747" max="9996" width="8.375" style="762"/>
    <col min="9997" max="9998" width="2.5" style="762" customWidth="1"/>
    <col min="9999" max="9999" width="36.375" style="762" customWidth="1"/>
    <col min="10000" max="10000" width="5.75" style="762" customWidth="1"/>
    <col min="10001" max="10001" width="19" style="762" customWidth="1"/>
    <col min="10002" max="10002" width="23.625" style="762" customWidth="1"/>
    <col min="10003" max="10252" width="8.375" style="762"/>
    <col min="10253" max="10254" width="2.5" style="762" customWidth="1"/>
    <col min="10255" max="10255" width="36.375" style="762" customWidth="1"/>
    <col min="10256" max="10256" width="5.75" style="762" customWidth="1"/>
    <col min="10257" max="10257" width="19" style="762" customWidth="1"/>
    <col min="10258" max="10258" width="23.625" style="762" customWidth="1"/>
    <col min="10259" max="10508" width="8.375" style="762"/>
    <col min="10509" max="10510" width="2.5" style="762" customWidth="1"/>
    <col min="10511" max="10511" width="36.375" style="762" customWidth="1"/>
    <col min="10512" max="10512" width="5.75" style="762" customWidth="1"/>
    <col min="10513" max="10513" width="19" style="762" customWidth="1"/>
    <col min="10514" max="10514" width="23.625" style="762" customWidth="1"/>
    <col min="10515" max="10764" width="8.375" style="762"/>
    <col min="10765" max="10766" width="2.5" style="762" customWidth="1"/>
    <col min="10767" max="10767" width="36.375" style="762" customWidth="1"/>
    <col min="10768" max="10768" width="5.75" style="762" customWidth="1"/>
    <col min="10769" max="10769" width="19" style="762" customWidth="1"/>
    <col min="10770" max="10770" width="23.625" style="762" customWidth="1"/>
    <col min="10771" max="11020" width="8.375" style="762"/>
    <col min="11021" max="11022" width="2.5" style="762" customWidth="1"/>
    <col min="11023" max="11023" width="36.375" style="762" customWidth="1"/>
    <col min="11024" max="11024" width="5.75" style="762" customWidth="1"/>
    <col min="11025" max="11025" width="19" style="762" customWidth="1"/>
    <col min="11026" max="11026" width="23.625" style="762" customWidth="1"/>
    <col min="11027" max="11276" width="8.375" style="762"/>
    <col min="11277" max="11278" width="2.5" style="762" customWidth="1"/>
    <col min="11279" max="11279" width="36.375" style="762" customWidth="1"/>
    <col min="11280" max="11280" width="5.75" style="762" customWidth="1"/>
    <col min="11281" max="11281" width="19" style="762" customWidth="1"/>
    <col min="11282" max="11282" width="23.625" style="762" customWidth="1"/>
    <col min="11283" max="11532" width="8.375" style="762"/>
    <col min="11533" max="11534" width="2.5" style="762" customWidth="1"/>
    <col min="11535" max="11535" width="36.375" style="762" customWidth="1"/>
    <col min="11536" max="11536" width="5.75" style="762" customWidth="1"/>
    <col min="11537" max="11537" width="19" style="762" customWidth="1"/>
    <col min="11538" max="11538" width="23.625" style="762" customWidth="1"/>
    <col min="11539" max="11788" width="8.375" style="762"/>
    <col min="11789" max="11790" width="2.5" style="762" customWidth="1"/>
    <col min="11791" max="11791" width="36.375" style="762" customWidth="1"/>
    <col min="11792" max="11792" width="5.75" style="762" customWidth="1"/>
    <col min="11793" max="11793" width="19" style="762" customWidth="1"/>
    <col min="11794" max="11794" width="23.625" style="762" customWidth="1"/>
    <col min="11795" max="12044" width="8.375" style="762"/>
    <col min="12045" max="12046" width="2.5" style="762" customWidth="1"/>
    <col min="12047" max="12047" width="36.375" style="762" customWidth="1"/>
    <col min="12048" max="12048" width="5.75" style="762" customWidth="1"/>
    <col min="12049" max="12049" width="19" style="762" customWidth="1"/>
    <col min="12050" max="12050" width="23.625" style="762" customWidth="1"/>
    <col min="12051" max="12300" width="8.375" style="762"/>
    <col min="12301" max="12302" width="2.5" style="762" customWidth="1"/>
    <col min="12303" max="12303" width="36.375" style="762" customWidth="1"/>
    <col min="12304" max="12304" width="5.75" style="762" customWidth="1"/>
    <col min="12305" max="12305" width="19" style="762" customWidth="1"/>
    <col min="12306" max="12306" width="23.625" style="762" customWidth="1"/>
    <col min="12307" max="12556" width="8.375" style="762"/>
    <col min="12557" max="12558" width="2.5" style="762" customWidth="1"/>
    <col min="12559" max="12559" width="36.375" style="762" customWidth="1"/>
    <col min="12560" max="12560" width="5.75" style="762" customWidth="1"/>
    <col min="12561" max="12561" width="19" style="762" customWidth="1"/>
    <col min="12562" max="12562" width="23.625" style="762" customWidth="1"/>
    <col min="12563" max="12812" width="8.375" style="762"/>
    <col min="12813" max="12814" width="2.5" style="762" customWidth="1"/>
    <col min="12815" max="12815" width="36.375" style="762" customWidth="1"/>
    <col min="12816" max="12816" width="5.75" style="762" customWidth="1"/>
    <col min="12817" max="12817" width="19" style="762" customWidth="1"/>
    <col min="12818" max="12818" width="23.625" style="762" customWidth="1"/>
    <col min="12819" max="13068" width="8.375" style="762"/>
    <col min="13069" max="13070" width="2.5" style="762" customWidth="1"/>
    <col min="13071" max="13071" width="36.375" style="762" customWidth="1"/>
    <col min="13072" max="13072" width="5.75" style="762" customWidth="1"/>
    <col min="13073" max="13073" width="19" style="762" customWidth="1"/>
    <col min="13074" max="13074" width="23.625" style="762" customWidth="1"/>
    <col min="13075" max="13324" width="8.375" style="762"/>
    <col min="13325" max="13326" width="2.5" style="762" customWidth="1"/>
    <col min="13327" max="13327" width="36.375" style="762" customWidth="1"/>
    <col min="13328" max="13328" width="5.75" style="762" customWidth="1"/>
    <col min="13329" max="13329" width="19" style="762" customWidth="1"/>
    <col min="13330" max="13330" width="23.625" style="762" customWidth="1"/>
    <col min="13331" max="13580" width="8.375" style="762"/>
    <col min="13581" max="13582" width="2.5" style="762" customWidth="1"/>
    <col min="13583" max="13583" width="36.375" style="762" customWidth="1"/>
    <col min="13584" max="13584" width="5.75" style="762" customWidth="1"/>
    <col min="13585" max="13585" width="19" style="762" customWidth="1"/>
    <col min="13586" max="13586" width="23.625" style="762" customWidth="1"/>
    <col min="13587" max="13836" width="8.375" style="762"/>
    <col min="13837" max="13838" width="2.5" style="762" customWidth="1"/>
    <col min="13839" max="13839" width="36.375" style="762" customWidth="1"/>
    <col min="13840" max="13840" width="5.75" style="762" customWidth="1"/>
    <col min="13841" max="13841" width="19" style="762" customWidth="1"/>
    <col min="13842" max="13842" width="23.625" style="762" customWidth="1"/>
    <col min="13843" max="14092" width="8.375" style="762"/>
    <col min="14093" max="14094" width="2.5" style="762" customWidth="1"/>
    <col min="14095" max="14095" width="36.375" style="762" customWidth="1"/>
    <col min="14096" max="14096" width="5.75" style="762" customWidth="1"/>
    <col min="14097" max="14097" width="19" style="762" customWidth="1"/>
    <col min="14098" max="14098" width="23.625" style="762" customWidth="1"/>
    <col min="14099" max="14348" width="8.375" style="762"/>
    <col min="14349" max="14350" width="2.5" style="762" customWidth="1"/>
    <col min="14351" max="14351" width="36.375" style="762" customWidth="1"/>
    <col min="14352" max="14352" width="5.75" style="762" customWidth="1"/>
    <col min="14353" max="14353" width="19" style="762" customWidth="1"/>
    <col min="14354" max="14354" width="23.625" style="762" customWidth="1"/>
    <col min="14355" max="14604" width="8.375" style="762"/>
    <col min="14605" max="14606" width="2.5" style="762" customWidth="1"/>
    <col min="14607" max="14607" width="36.375" style="762" customWidth="1"/>
    <col min="14608" max="14608" width="5.75" style="762" customWidth="1"/>
    <col min="14609" max="14609" width="19" style="762" customWidth="1"/>
    <col min="14610" max="14610" width="23.625" style="762" customWidth="1"/>
    <col min="14611" max="14860" width="8.375" style="762"/>
    <col min="14861" max="14862" width="2.5" style="762" customWidth="1"/>
    <col min="14863" max="14863" width="36.375" style="762" customWidth="1"/>
    <col min="14864" max="14864" width="5.75" style="762" customWidth="1"/>
    <col min="14865" max="14865" width="19" style="762" customWidth="1"/>
    <col min="14866" max="14866" width="23.625" style="762" customWidth="1"/>
    <col min="14867" max="15116" width="8.375" style="762"/>
    <col min="15117" max="15118" width="2.5" style="762" customWidth="1"/>
    <col min="15119" max="15119" width="36.375" style="762" customWidth="1"/>
    <col min="15120" max="15120" width="5.75" style="762" customWidth="1"/>
    <col min="15121" max="15121" width="19" style="762" customWidth="1"/>
    <col min="15122" max="15122" width="23.625" style="762" customWidth="1"/>
    <col min="15123" max="15372" width="8.375" style="762"/>
    <col min="15373" max="15374" width="2.5" style="762" customWidth="1"/>
    <col min="15375" max="15375" width="36.375" style="762" customWidth="1"/>
    <col min="15376" max="15376" width="5.75" style="762" customWidth="1"/>
    <col min="15377" max="15377" width="19" style="762" customWidth="1"/>
    <col min="15378" max="15378" width="23.625" style="762" customWidth="1"/>
    <col min="15379" max="15628" width="8.375" style="762"/>
    <col min="15629" max="15630" width="2.5" style="762" customWidth="1"/>
    <col min="15631" max="15631" width="36.375" style="762" customWidth="1"/>
    <col min="15632" max="15632" width="5.75" style="762" customWidth="1"/>
    <col min="15633" max="15633" width="19" style="762" customWidth="1"/>
    <col min="15634" max="15634" width="23.625" style="762" customWidth="1"/>
    <col min="15635" max="15884" width="8.375" style="762"/>
    <col min="15885" max="15886" width="2.5" style="762" customWidth="1"/>
    <col min="15887" max="15887" width="36.375" style="762" customWidth="1"/>
    <col min="15888" max="15888" width="5.75" style="762" customWidth="1"/>
    <col min="15889" max="15889" width="19" style="762" customWidth="1"/>
    <col min="15890" max="15890" width="23.625" style="762" customWidth="1"/>
    <col min="15891" max="16140" width="8.375" style="762"/>
    <col min="16141" max="16142" width="2.5" style="762" customWidth="1"/>
    <col min="16143" max="16143" width="36.375" style="762" customWidth="1"/>
    <col min="16144" max="16144" width="5.75" style="762" customWidth="1"/>
    <col min="16145" max="16145" width="19" style="762" customWidth="1"/>
    <col min="16146" max="16146" width="23.625" style="762" customWidth="1"/>
    <col min="16147" max="16384" width="8.375" style="762"/>
  </cols>
  <sheetData>
    <row r="1" spans="3:18">
      <c r="I1" s="763"/>
      <c r="L1" s="763"/>
      <c r="N1" s="764"/>
    </row>
    <row r="2" spans="3:18">
      <c r="G2" s="765"/>
      <c r="H2" s="765"/>
      <c r="I2" s="766"/>
      <c r="J2" s="765"/>
      <c r="K2" s="765"/>
      <c r="L2" s="766"/>
      <c r="M2" s="765"/>
      <c r="N2" s="767"/>
    </row>
    <row r="3" spans="3:18" ht="32.1" customHeight="1">
      <c r="C3" s="768"/>
      <c r="F3" s="1202" t="s">
        <v>2436</v>
      </c>
      <c r="G3" s="1202"/>
      <c r="H3" s="1202"/>
      <c r="I3" s="1203" t="s">
        <v>2173</v>
      </c>
      <c r="J3" s="1202"/>
      <c r="K3" s="1202"/>
      <c r="L3" s="1204" t="s">
        <v>2437</v>
      </c>
      <c r="M3" s="1205"/>
      <c r="N3" s="1206"/>
      <c r="O3" s="1202" t="s">
        <v>2175</v>
      </c>
      <c r="P3" s="1202"/>
      <c r="Q3" s="1202"/>
      <c r="R3" s="761" t="s">
        <v>2438</v>
      </c>
    </row>
    <row r="4" spans="3:18">
      <c r="C4" s="769" t="s">
        <v>2439</v>
      </c>
      <c r="D4" s="770"/>
      <c r="E4" s="770"/>
      <c r="F4" s="771">
        <v>202601</v>
      </c>
      <c r="G4" s="769">
        <v>202602</v>
      </c>
      <c r="H4" s="769">
        <v>202603</v>
      </c>
      <c r="I4" s="771">
        <v>202601</v>
      </c>
      <c r="J4" s="769">
        <v>202602</v>
      </c>
      <c r="K4" s="769">
        <v>202603</v>
      </c>
      <c r="L4" s="771">
        <v>202601</v>
      </c>
      <c r="M4" s="769">
        <v>202602</v>
      </c>
      <c r="N4" s="769">
        <v>202603</v>
      </c>
      <c r="O4" s="771">
        <v>202601</v>
      </c>
      <c r="P4" s="769">
        <v>202602</v>
      </c>
      <c r="Q4" s="769">
        <v>202603</v>
      </c>
    </row>
    <row r="5" spans="3:18">
      <c r="C5" s="770" t="s">
        <v>2440</v>
      </c>
      <c r="G5" s="772"/>
      <c r="H5" s="772"/>
      <c r="I5" s="773"/>
      <c r="J5" s="772"/>
      <c r="K5" s="772"/>
      <c r="L5" s="773"/>
      <c r="M5" s="772"/>
      <c r="N5" s="774"/>
      <c r="O5" s="775"/>
    </row>
    <row r="6" spans="3:18">
      <c r="C6" s="776" t="s">
        <v>17</v>
      </c>
      <c r="F6" s="775">
        <f>551.84+84792.6</f>
        <v>85344.44</v>
      </c>
      <c r="G6" s="775">
        <f>F54-F52</f>
        <v>9753344.4399999995</v>
      </c>
      <c r="H6" s="777">
        <f>G6-G52</f>
        <v>9750794.4399999995</v>
      </c>
      <c r="I6" s="778">
        <v>554113.48</v>
      </c>
      <c r="J6" s="775">
        <f>I14+I60-I52</f>
        <v>1568123.91</v>
      </c>
      <c r="K6" s="775">
        <f>J14+J60-J52</f>
        <v>1593776.85</v>
      </c>
      <c r="L6" s="779">
        <v>3085.01</v>
      </c>
      <c r="M6" s="775">
        <f>L6+L60-L52</f>
        <v>1566.46999999999</v>
      </c>
      <c r="N6" s="780">
        <f>M14+M60-M52</f>
        <v>-49510.61</v>
      </c>
      <c r="O6" s="775">
        <v>799743.82</v>
      </c>
      <c r="P6" s="775">
        <f>O6+O60-O52+400000</f>
        <v>433092.83</v>
      </c>
      <c r="Q6" s="775">
        <f>P6+P60-P52</f>
        <v>88441.84</v>
      </c>
      <c r="R6" s="761"/>
    </row>
    <row r="7" spans="3:18">
      <c r="C7" s="776" t="s">
        <v>2441</v>
      </c>
      <c r="F7" s="762"/>
      <c r="G7" s="775"/>
      <c r="H7" s="775"/>
      <c r="I7" s="779"/>
      <c r="J7" s="775"/>
      <c r="K7" s="775"/>
      <c r="L7" s="779"/>
      <c r="M7" s="775"/>
      <c r="N7" s="780"/>
      <c r="O7" s="775"/>
      <c r="P7" s="775"/>
      <c r="Q7" s="775"/>
    </row>
    <row r="8" spans="3:18">
      <c r="C8" s="776" t="s">
        <v>2442</v>
      </c>
      <c r="F8" s="762"/>
      <c r="G8" s="775"/>
      <c r="H8" s="775"/>
      <c r="I8" s="779"/>
      <c r="J8" s="775"/>
      <c r="K8" s="775"/>
      <c r="L8" s="779"/>
      <c r="M8" s="775"/>
      <c r="N8" s="780"/>
      <c r="O8" s="775">
        <v>1893901.07</v>
      </c>
      <c r="P8" s="775">
        <f>O8-400000</f>
        <v>1493901.07</v>
      </c>
      <c r="Q8" s="775">
        <f>P8-P61</f>
        <v>1493901.07</v>
      </c>
    </row>
    <row r="9" spans="3:18" hidden="1">
      <c r="C9" s="776" t="s">
        <v>2443</v>
      </c>
      <c r="F9" s="762"/>
      <c r="G9" s="775"/>
      <c r="H9" s="775"/>
      <c r="I9" s="779"/>
      <c r="J9" s="775"/>
      <c r="K9" s="775"/>
      <c r="L9" s="779"/>
      <c r="M9" s="775"/>
      <c r="N9" s="780"/>
      <c r="Q9" s="761"/>
      <c r="R9" s="761"/>
    </row>
    <row r="10" spans="3:18">
      <c r="C10" s="776" t="s">
        <v>342</v>
      </c>
      <c r="F10" s="775">
        <v>7.85</v>
      </c>
      <c r="G10" s="775">
        <f>F10</f>
        <v>7.85</v>
      </c>
      <c r="H10" s="775">
        <f>G10</f>
        <v>7.85</v>
      </c>
      <c r="I10" s="779"/>
      <c r="J10" s="775"/>
      <c r="K10" s="775"/>
      <c r="L10" s="779"/>
      <c r="M10" s="775"/>
      <c r="N10" s="780"/>
      <c r="Q10" s="761"/>
      <c r="R10" s="761"/>
    </row>
    <row r="11" spans="3:18" ht="13.5">
      <c r="C11" s="776" t="s">
        <v>2444</v>
      </c>
      <c r="F11" s="775">
        <v>1313.12</v>
      </c>
      <c r="G11" s="775">
        <v>1313.12</v>
      </c>
      <c r="H11" s="777">
        <v>1313.12</v>
      </c>
      <c r="I11" s="781">
        <v>3883.19</v>
      </c>
      <c r="J11" s="775"/>
      <c r="K11" s="775"/>
      <c r="L11" s="779"/>
      <c r="M11" s="775"/>
      <c r="N11" s="780"/>
      <c r="O11" s="775">
        <v>28.88</v>
      </c>
      <c r="P11" s="775">
        <v>28.88</v>
      </c>
      <c r="Q11" s="775">
        <v>28.88</v>
      </c>
    </row>
    <row r="12" spans="3:18" hidden="1">
      <c r="C12" s="776" t="s">
        <v>2445</v>
      </c>
      <c r="F12" s="762"/>
      <c r="G12" s="775"/>
      <c r="H12" s="775"/>
      <c r="I12" s="779"/>
      <c r="J12" s="775"/>
      <c r="K12" s="775"/>
      <c r="L12" s="779"/>
      <c r="M12" s="775"/>
      <c r="N12" s="780"/>
      <c r="Q12" s="761"/>
      <c r="R12" s="761"/>
    </row>
    <row r="13" spans="3:18">
      <c r="C13" s="776" t="s">
        <v>2446</v>
      </c>
      <c r="F13" s="762"/>
      <c r="G13" s="775"/>
      <c r="H13" s="775"/>
      <c r="I13" s="779"/>
      <c r="J13" s="775"/>
      <c r="K13" s="775"/>
      <c r="L13" s="779"/>
      <c r="M13" s="775"/>
      <c r="N13" s="780"/>
      <c r="O13" s="775">
        <v>678.29</v>
      </c>
      <c r="P13" s="775">
        <f>O13</f>
        <v>678.29</v>
      </c>
      <c r="Q13" s="775">
        <f>P13</f>
        <v>678.29</v>
      </c>
    </row>
    <row r="14" spans="3:18">
      <c r="C14" s="769" t="s">
        <v>2447</v>
      </c>
      <c r="F14" s="775">
        <f t="shared" ref="F14:K14" si="0">SUM(F6:F13)</f>
        <v>86665.41</v>
      </c>
      <c r="G14" s="775">
        <f t="shared" si="0"/>
        <v>9754665.4100000001</v>
      </c>
      <c r="H14" s="775">
        <f t="shared" si="0"/>
        <v>9752115.4100000001</v>
      </c>
      <c r="I14" s="779">
        <f t="shared" si="0"/>
        <v>557996.67000000004</v>
      </c>
      <c r="J14" s="775">
        <f t="shared" si="0"/>
        <v>1568123.91</v>
      </c>
      <c r="K14" s="775">
        <f t="shared" si="0"/>
        <v>1593776.85</v>
      </c>
      <c r="L14" s="779">
        <f>SUM(L6:L11)</f>
        <v>3085.01</v>
      </c>
      <c r="M14" s="775">
        <f>SUM(M6:M11)</f>
        <v>1566.46999999999</v>
      </c>
      <c r="N14" s="780">
        <f>SUM(N6:N11)</f>
        <v>-49510.61</v>
      </c>
      <c r="O14" s="775">
        <f>SUM(O6:O13)</f>
        <v>2694352.06</v>
      </c>
      <c r="P14" s="775">
        <f t="shared" ref="P14:Q14" si="1">SUM(P6:P13)</f>
        <v>1927701.07</v>
      </c>
      <c r="Q14" s="775">
        <f t="shared" si="1"/>
        <v>1583050.08</v>
      </c>
    </row>
    <row r="15" spans="3:18">
      <c r="C15" s="782" t="s">
        <v>2448</v>
      </c>
      <c r="D15" s="783"/>
      <c r="E15" s="784"/>
      <c r="F15" s="785">
        <f t="shared" ref="F15:Q15" si="2">SUM(F6)</f>
        <v>85344.44</v>
      </c>
      <c r="G15" s="785">
        <f t="shared" si="2"/>
        <v>9753344.4399999995</v>
      </c>
      <c r="H15" s="785">
        <f t="shared" si="2"/>
        <v>9750794.4399999995</v>
      </c>
      <c r="I15" s="786">
        <f t="shared" si="2"/>
        <v>554113.48</v>
      </c>
      <c r="J15" s="785">
        <f t="shared" si="2"/>
        <v>1568123.91</v>
      </c>
      <c r="K15" s="785">
        <f t="shared" si="2"/>
        <v>1593776.85</v>
      </c>
      <c r="L15" s="786">
        <f t="shared" si="2"/>
        <v>3085.01</v>
      </c>
      <c r="M15" s="785">
        <f t="shared" si="2"/>
        <v>1566.46999999999</v>
      </c>
      <c r="N15" s="787">
        <f t="shared" si="2"/>
        <v>-49510.61</v>
      </c>
      <c r="O15" s="785">
        <f t="shared" si="2"/>
        <v>799743.82</v>
      </c>
      <c r="P15" s="785">
        <f t="shared" si="2"/>
        <v>433092.83</v>
      </c>
      <c r="Q15" s="785">
        <f t="shared" si="2"/>
        <v>88441.84</v>
      </c>
      <c r="R15" s="788"/>
    </row>
    <row r="16" spans="3:18">
      <c r="C16" s="789"/>
      <c r="G16" s="775"/>
      <c r="H16" s="775"/>
      <c r="I16" s="779"/>
      <c r="J16" s="775"/>
      <c r="K16" s="775"/>
      <c r="L16" s="779"/>
      <c r="M16" s="775"/>
      <c r="N16" s="780"/>
    </row>
    <row r="17" spans="3:18">
      <c r="C17" s="770" t="s">
        <v>2449</v>
      </c>
      <c r="G17" s="775"/>
      <c r="H17" s="775"/>
      <c r="I17" s="779"/>
      <c r="J17" s="775"/>
      <c r="K17" s="775"/>
      <c r="L17" s="779"/>
      <c r="M17" s="775"/>
      <c r="N17" s="780"/>
    </row>
    <row r="18" spans="3:18">
      <c r="C18" s="776" t="s">
        <v>2450</v>
      </c>
      <c r="G18" s="775"/>
      <c r="H18" s="775"/>
      <c r="I18" s="779"/>
      <c r="J18" s="775"/>
      <c r="K18" s="775"/>
      <c r="L18" s="779"/>
      <c r="M18" s="775"/>
      <c r="N18" s="780"/>
    </row>
    <row r="19" spans="3:18">
      <c r="C19" s="776" t="s">
        <v>2451</v>
      </c>
      <c r="G19" s="775"/>
      <c r="H19" s="775"/>
      <c r="I19" s="779"/>
      <c r="J19" s="775"/>
      <c r="K19" s="775"/>
      <c r="L19" s="779"/>
      <c r="M19" s="775"/>
      <c r="N19" s="780"/>
    </row>
    <row r="20" spans="3:18">
      <c r="C20" s="776" t="s">
        <v>2452</v>
      </c>
      <c r="F20" s="762"/>
      <c r="G20" s="775"/>
      <c r="H20" s="775"/>
      <c r="I20" s="779"/>
      <c r="J20" s="775"/>
      <c r="K20" s="775"/>
      <c r="L20" s="779"/>
      <c r="M20" s="775"/>
      <c r="N20" s="780"/>
      <c r="O20" s="775">
        <v>195945.21</v>
      </c>
      <c r="P20" s="775"/>
      <c r="Q20" s="775"/>
      <c r="R20" s="762" t="s">
        <v>2453</v>
      </c>
    </row>
    <row r="21" spans="3:18">
      <c r="C21" s="776" t="s">
        <v>2454</v>
      </c>
      <c r="F21" s="790">
        <v>9650000</v>
      </c>
      <c r="G21" s="775"/>
      <c r="H21" s="775"/>
      <c r="I21" s="779"/>
      <c r="J21" s="775"/>
      <c r="K21" s="775"/>
      <c r="L21" s="779"/>
      <c r="M21" s="775"/>
      <c r="N21" s="780"/>
      <c r="O21" s="775"/>
      <c r="P21" s="775"/>
      <c r="Q21" s="775"/>
    </row>
    <row r="22" spans="3:18">
      <c r="C22" s="776" t="s">
        <v>2454</v>
      </c>
      <c r="F22" s="790">
        <v>10000000</v>
      </c>
      <c r="G22" s="775"/>
      <c r="H22" s="775"/>
      <c r="I22" s="779"/>
      <c r="J22" s="775"/>
      <c r="K22" s="775"/>
      <c r="L22" s="779"/>
      <c r="M22" s="775"/>
      <c r="N22" s="780"/>
      <c r="O22" s="775"/>
      <c r="P22" s="775"/>
      <c r="Q22" s="775"/>
    </row>
    <row r="23" spans="3:18">
      <c r="C23" s="769" t="s">
        <v>2455</v>
      </c>
      <c r="F23" s="791">
        <f t="shared" ref="F23:Q23" si="3">SUM(F18:F22)</f>
        <v>19650000</v>
      </c>
      <c r="G23" s="791">
        <f t="shared" si="3"/>
        <v>0</v>
      </c>
      <c r="H23" s="791">
        <f t="shared" si="3"/>
        <v>0</v>
      </c>
      <c r="I23" s="792">
        <f t="shared" si="3"/>
        <v>0</v>
      </c>
      <c r="J23" s="791">
        <f t="shared" si="3"/>
        <v>0</v>
      </c>
      <c r="K23" s="791">
        <f t="shared" si="3"/>
        <v>0</v>
      </c>
      <c r="L23" s="792">
        <f t="shared" si="3"/>
        <v>0</v>
      </c>
      <c r="M23" s="791">
        <f t="shared" si="3"/>
        <v>0</v>
      </c>
      <c r="N23" s="793">
        <f t="shared" si="3"/>
        <v>0</v>
      </c>
      <c r="O23" s="791">
        <f t="shared" si="3"/>
        <v>195945.21</v>
      </c>
      <c r="P23" s="791">
        <f t="shared" si="3"/>
        <v>0</v>
      </c>
      <c r="Q23" s="791">
        <f t="shared" si="3"/>
        <v>0</v>
      </c>
      <c r="R23" s="794"/>
    </row>
    <row r="24" spans="3:18">
      <c r="C24" s="789"/>
      <c r="G24" s="775"/>
      <c r="H24" s="775"/>
      <c r="I24" s="779"/>
      <c r="J24" s="775"/>
      <c r="K24" s="775"/>
      <c r="L24" s="779"/>
      <c r="M24" s="775"/>
      <c r="N24" s="780"/>
    </row>
    <row r="25" spans="3:18">
      <c r="C25" s="770" t="s">
        <v>2456</v>
      </c>
      <c r="G25" s="795"/>
      <c r="H25" s="795"/>
      <c r="I25" s="796"/>
      <c r="J25" s="795"/>
      <c r="K25" s="795"/>
      <c r="L25" s="796"/>
      <c r="M25" s="795"/>
      <c r="N25" s="797"/>
    </row>
    <row r="26" spans="3:18">
      <c r="C26" s="798" t="s">
        <v>2457</v>
      </c>
      <c r="F26" s="795">
        <f t="shared" ref="F26:Q26" si="4">SUM(F27:F40)</f>
        <v>2000</v>
      </c>
      <c r="G26" s="795">
        <f t="shared" si="4"/>
        <v>2000</v>
      </c>
      <c r="H26" s="795">
        <f t="shared" si="4"/>
        <v>100</v>
      </c>
      <c r="I26" s="796">
        <f t="shared" si="4"/>
        <v>460872.76</v>
      </c>
      <c r="J26" s="795">
        <f t="shared" si="4"/>
        <v>464067.06</v>
      </c>
      <c r="K26" s="795">
        <f t="shared" si="4"/>
        <v>455167.06</v>
      </c>
      <c r="L26" s="796">
        <f t="shared" si="4"/>
        <v>106518.54</v>
      </c>
      <c r="M26" s="795">
        <f t="shared" si="4"/>
        <v>156077.07999999999</v>
      </c>
      <c r="N26" s="797">
        <f t="shared" si="4"/>
        <v>155877.07999999999</v>
      </c>
      <c r="O26" s="795">
        <f t="shared" si="4"/>
        <v>314650.99</v>
      </c>
      <c r="P26" s="795">
        <f t="shared" si="4"/>
        <v>324650.99</v>
      </c>
      <c r="Q26" s="795">
        <f t="shared" si="4"/>
        <v>304650.99</v>
      </c>
    </row>
    <row r="27" spans="3:18">
      <c r="C27" s="776" t="s">
        <v>2458</v>
      </c>
      <c r="F27" s="775"/>
      <c r="G27" s="775"/>
      <c r="H27" s="777"/>
      <c r="I27" s="778">
        <f>226500+200*6+200*10</f>
        <v>229700</v>
      </c>
      <c r="J27" s="775">
        <f>226500+200*15</f>
        <v>229500</v>
      </c>
      <c r="K27" s="775">
        <f>226500+200*20</f>
        <v>230500</v>
      </c>
      <c r="L27" s="779">
        <v>80000</v>
      </c>
      <c r="M27" s="775">
        <f>80000+35000</f>
        <v>115000</v>
      </c>
      <c r="N27" s="780">
        <f>80000+35000</f>
        <v>115000</v>
      </c>
      <c r="O27" s="775">
        <v>215000</v>
      </c>
      <c r="P27" s="775">
        <v>215000</v>
      </c>
      <c r="Q27" s="775">
        <v>215000</v>
      </c>
      <c r="R27" s="761"/>
    </row>
    <row r="28" spans="3:18">
      <c r="C28" s="776" t="s">
        <v>1494</v>
      </c>
      <c r="F28" s="775"/>
      <c r="G28" s="775"/>
      <c r="H28" s="777"/>
      <c r="I28" s="778">
        <v>63208.06</v>
      </c>
      <c r="J28" s="775">
        <f t="shared" ref="J28:N28" si="5">I28</f>
        <v>63208.06</v>
      </c>
      <c r="K28" s="775">
        <f t="shared" si="5"/>
        <v>63208.06</v>
      </c>
      <c r="L28" s="779">
        <v>25968.54</v>
      </c>
      <c r="M28" s="775">
        <f>L28+14108.54</f>
        <v>40077.08</v>
      </c>
      <c r="N28" s="780">
        <f t="shared" si="5"/>
        <v>40077.08</v>
      </c>
      <c r="O28" s="775">
        <v>41934.39</v>
      </c>
      <c r="P28" s="775">
        <f>O28</f>
        <v>41934.39</v>
      </c>
      <c r="Q28" s="775">
        <f>P28</f>
        <v>41934.39</v>
      </c>
      <c r="R28" s="761"/>
    </row>
    <row r="29" spans="3:18">
      <c r="C29" s="776" t="s">
        <v>2459</v>
      </c>
      <c r="F29" s="775"/>
      <c r="G29" s="775"/>
      <c r="H29" s="777"/>
      <c r="I29" s="778"/>
      <c r="J29" s="775"/>
      <c r="K29" s="775"/>
      <c r="L29" s="779"/>
      <c r="M29" s="775"/>
      <c r="N29" s="780"/>
      <c r="O29" s="775">
        <v>6666.6</v>
      </c>
      <c r="P29" s="775">
        <v>6666.6</v>
      </c>
      <c r="Q29" s="775">
        <v>6666.6</v>
      </c>
      <c r="R29" s="761"/>
    </row>
    <row r="30" spans="3:18">
      <c r="C30" s="776" t="s">
        <v>2460</v>
      </c>
      <c r="F30" s="775"/>
      <c r="G30" s="775"/>
      <c r="H30" s="777"/>
      <c r="I30" s="778">
        <v>59</v>
      </c>
      <c r="J30" s="775">
        <v>59</v>
      </c>
      <c r="K30" s="775">
        <v>59</v>
      </c>
      <c r="L30" s="779"/>
      <c r="M30" s="775"/>
      <c r="N30" s="780"/>
      <c r="O30" s="775"/>
      <c r="P30" s="775"/>
      <c r="Q30" s="775"/>
      <c r="R30" s="761"/>
    </row>
    <row r="31" spans="3:18">
      <c r="C31" s="776" t="s">
        <v>2461</v>
      </c>
      <c r="F31" s="775"/>
      <c r="G31" s="775"/>
      <c r="H31" s="777"/>
      <c r="I31" s="778">
        <v>905.7</v>
      </c>
      <c r="J31" s="775">
        <v>500</v>
      </c>
      <c r="K31" s="775">
        <v>600</v>
      </c>
      <c r="L31" s="779"/>
      <c r="M31" s="775"/>
      <c r="N31" s="780"/>
      <c r="O31" s="775"/>
      <c r="P31" s="775"/>
      <c r="Q31" s="775"/>
      <c r="R31" s="761"/>
    </row>
    <row r="32" spans="3:18">
      <c r="C32" s="776" t="s">
        <v>2462</v>
      </c>
      <c r="F32" s="775"/>
      <c r="G32" s="775"/>
      <c r="H32" s="777"/>
      <c r="I32" s="778"/>
      <c r="J32" s="775">
        <v>13000</v>
      </c>
      <c r="K32" s="775">
        <v>13000</v>
      </c>
      <c r="L32" s="779"/>
      <c r="M32" s="775"/>
      <c r="N32" s="780"/>
      <c r="O32" s="775"/>
      <c r="P32" s="775"/>
      <c r="Q32" s="775"/>
      <c r="R32" s="761"/>
    </row>
    <row r="33" spans="3:21">
      <c r="C33" s="776" t="s">
        <v>2463</v>
      </c>
      <c r="F33" s="775"/>
      <c r="G33" s="775"/>
      <c r="H33" s="777"/>
      <c r="I33" s="778">
        <v>10000</v>
      </c>
      <c r="J33" s="775">
        <f>1000+10000</f>
        <v>11000</v>
      </c>
      <c r="K33" s="775">
        <v>1000</v>
      </c>
      <c r="L33" s="779"/>
      <c r="M33" s="775"/>
      <c r="N33" s="780"/>
      <c r="O33" s="775"/>
      <c r="P33" s="775"/>
      <c r="Q33" s="775"/>
      <c r="R33" s="761"/>
    </row>
    <row r="34" spans="3:21">
      <c r="C34" s="776" t="s">
        <v>2464</v>
      </c>
      <c r="F34" s="775"/>
      <c r="G34" s="775"/>
      <c r="H34" s="777"/>
      <c r="I34" s="778"/>
      <c r="J34" s="775"/>
      <c r="K34" s="775"/>
      <c r="L34" s="779"/>
      <c r="M34" s="775"/>
      <c r="N34" s="780"/>
      <c r="O34" s="775"/>
      <c r="P34" s="775"/>
      <c r="Q34" s="775"/>
      <c r="R34" s="761"/>
    </row>
    <row r="35" spans="3:21">
      <c r="C35" s="776" t="s">
        <v>2465</v>
      </c>
      <c r="F35" s="775"/>
      <c r="G35" s="775"/>
      <c r="H35" s="777"/>
      <c r="I35" s="778">
        <v>1900</v>
      </c>
      <c r="J35" s="775">
        <v>1700</v>
      </c>
      <c r="K35" s="775">
        <v>1700</v>
      </c>
      <c r="L35" s="779">
        <f>500</f>
        <v>500</v>
      </c>
      <c r="M35" s="775">
        <f>500+250</f>
        <v>750</v>
      </c>
      <c r="N35" s="780">
        <f>500+250</f>
        <v>750</v>
      </c>
      <c r="O35" s="775">
        <v>1000</v>
      </c>
      <c r="P35" s="775">
        <v>1000</v>
      </c>
      <c r="Q35" s="775">
        <v>1000</v>
      </c>
      <c r="R35" s="761"/>
    </row>
    <row r="36" spans="3:21">
      <c r="C36" s="776" t="s">
        <v>2466</v>
      </c>
      <c r="F36" s="775"/>
      <c r="G36" s="775"/>
      <c r="H36" s="777"/>
      <c r="I36" s="778"/>
      <c r="J36" s="775"/>
      <c r="K36" s="775"/>
      <c r="L36" s="779"/>
      <c r="M36" s="775"/>
      <c r="N36" s="780"/>
      <c r="O36" s="775"/>
      <c r="P36" s="775">
        <f>10000+10000</f>
        <v>20000</v>
      </c>
      <c r="Q36" s="775"/>
      <c r="R36" s="761"/>
    </row>
    <row r="37" spans="3:21">
      <c r="C37" s="776" t="s">
        <v>2467</v>
      </c>
      <c r="F37" s="775"/>
      <c r="G37" s="775"/>
      <c r="H37" s="777"/>
      <c r="I37" s="778"/>
      <c r="J37" s="775"/>
      <c r="K37" s="775"/>
      <c r="L37" s="779"/>
      <c r="M37" s="775"/>
      <c r="N37" s="780"/>
      <c r="O37" s="775"/>
      <c r="P37" s="775"/>
      <c r="Q37" s="775"/>
      <c r="R37" s="761"/>
    </row>
    <row r="38" spans="3:21">
      <c r="C38" s="776" t="s">
        <v>1919</v>
      </c>
      <c r="F38" s="775">
        <v>2000</v>
      </c>
      <c r="G38" s="775">
        <v>2000</v>
      </c>
      <c r="H38" s="777">
        <v>100</v>
      </c>
      <c r="I38" s="778">
        <v>100</v>
      </c>
      <c r="J38" s="775">
        <v>100</v>
      </c>
      <c r="K38" s="775">
        <v>100</v>
      </c>
      <c r="L38" s="779">
        <v>50</v>
      </c>
      <c r="M38" s="775">
        <f>50+200</f>
        <v>250</v>
      </c>
      <c r="N38" s="780">
        <v>50</v>
      </c>
      <c r="O38" s="775">
        <v>50</v>
      </c>
      <c r="P38" s="775">
        <v>50</v>
      </c>
      <c r="Q38" s="775">
        <v>50</v>
      </c>
      <c r="R38" s="761"/>
    </row>
    <row r="39" spans="3:21">
      <c r="C39" s="776" t="s">
        <v>2468</v>
      </c>
      <c r="F39" s="775"/>
      <c r="G39" s="775"/>
      <c r="H39" s="777"/>
      <c r="I39" s="778">
        <v>50000</v>
      </c>
      <c r="J39" s="775">
        <v>40000</v>
      </c>
      <c r="K39" s="775">
        <v>40000</v>
      </c>
      <c r="L39" s="779"/>
      <c r="M39" s="775"/>
      <c r="N39" s="780"/>
      <c r="O39" s="775">
        <v>50000</v>
      </c>
      <c r="P39" s="775">
        <v>40000</v>
      </c>
      <c r="Q39" s="775">
        <v>40000</v>
      </c>
      <c r="R39" s="761"/>
    </row>
    <row r="40" spans="3:21" s="760" customFormat="1">
      <c r="C40" s="776" t="s">
        <v>2469</v>
      </c>
      <c r="D40" s="799"/>
      <c r="E40" s="799"/>
      <c r="F40" s="800"/>
      <c r="G40" s="775"/>
      <c r="H40" s="775"/>
      <c r="I40" s="801">
        <f t="shared" ref="I40:K40" si="6">L60</f>
        <v>105000</v>
      </c>
      <c r="J40" s="802">
        <f t="shared" si="6"/>
        <v>105000</v>
      </c>
      <c r="K40" s="802">
        <f t="shared" si="6"/>
        <v>105000</v>
      </c>
      <c r="L40" s="779"/>
      <c r="M40" s="775"/>
      <c r="N40" s="780"/>
      <c r="O40" s="803"/>
      <c r="P40" s="803"/>
      <c r="Q40" s="804"/>
      <c r="R40" s="804"/>
      <c r="S40" s="762"/>
      <c r="T40" s="762"/>
      <c r="U40" s="762"/>
    </row>
    <row r="41" spans="3:21">
      <c r="C41" s="805"/>
      <c r="D41" s="799"/>
      <c r="E41" s="799"/>
      <c r="F41" s="800"/>
      <c r="G41" s="775"/>
      <c r="H41" s="775"/>
      <c r="I41" s="779"/>
      <c r="J41" s="775"/>
      <c r="K41" s="775"/>
      <c r="L41" s="779"/>
      <c r="M41" s="775"/>
      <c r="N41" s="780"/>
      <c r="O41" s="800"/>
      <c r="P41" s="800"/>
      <c r="Q41" s="799"/>
      <c r="R41" s="799"/>
    </row>
    <row r="42" spans="3:21">
      <c r="C42" s="798" t="s">
        <v>2470</v>
      </c>
      <c r="D42" s="799"/>
      <c r="E42" s="799"/>
      <c r="F42" s="795">
        <f t="shared" ref="F42:Q42" si="7">SUM(F43:F48)</f>
        <v>6464000</v>
      </c>
      <c r="G42" s="795">
        <f t="shared" si="7"/>
        <v>550</v>
      </c>
      <c r="H42" s="795">
        <f t="shared" si="7"/>
        <v>0</v>
      </c>
      <c r="I42" s="796">
        <f t="shared" si="7"/>
        <v>185000</v>
      </c>
      <c r="J42" s="795">
        <f t="shared" si="7"/>
        <v>110280</v>
      </c>
      <c r="K42" s="797">
        <f t="shared" si="7"/>
        <v>30000</v>
      </c>
      <c r="L42" s="795">
        <f t="shared" si="7"/>
        <v>0</v>
      </c>
      <c r="M42" s="795">
        <f t="shared" si="7"/>
        <v>0</v>
      </c>
      <c r="N42" s="797">
        <f t="shared" si="7"/>
        <v>0</v>
      </c>
      <c r="O42" s="795">
        <f t="shared" si="7"/>
        <v>52000</v>
      </c>
      <c r="P42" s="795">
        <f t="shared" si="7"/>
        <v>20000</v>
      </c>
      <c r="Q42" s="795">
        <f t="shared" si="7"/>
        <v>20000</v>
      </c>
      <c r="R42" s="799"/>
    </row>
    <row r="43" spans="3:21" ht="36.75">
      <c r="C43" s="806" t="s">
        <v>2471</v>
      </c>
      <c r="D43" s="799"/>
      <c r="E43" s="799"/>
      <c r="F43" s="800"/>
      <c r="G43" s="775"/>
      <c r="H43" s="775"/>
      <c r="I43" s="807">
        <v>5000</v>
      </c>
      <c r="J43" s="808">
        <v>30280</v>
      </c>
      <c r="K43" s="808"/>
      <c r="L43" s="779"/>
      <c r="M43" s="775"/>
      <c r="N43" s="780"/>
      <c r="O43" s="803"/>
      <c r="P43" s="803"/>
      <c r="Q43" s="804"/>
      <c r="R43" s="799"/>
    </row>
    <row r="44" spans="3:21">
      <c r="C44" s="809" t="s">
        <v>2472</v>
      </c>
      <c r="D44" s="799"/>
      <c r="E44" s="799"/>
      <c r="F44" s="800"/>
      <c r="G44" s="775"/>
      <c r="H44" s="775"/>
      <c r="I44" s="779">
        <v>130000</v>
      </c>
      <c r="J44" s="775"/>
      <c r="K44" s="775"/>
      <c r="L44" s="779"/>
      <c r="M44" s="775"/>
      <c r="N44" s="780"/>
      <c r="O44" s="803"/>
      <c r="P44" s="803"/>
      <c r="Q44" s="804"/>
      <c r="R44" s="799"/>
    </row>
    <row r="45" spans="3:21">
      <c r="C45" s="809" t="s">
        <v>2473</v>
      </c>
      <c r="D45" s="799"/>
      <c r="E45" s="799"/>
      <c r="F45" s="800"/>
      <c r="G45" s="775"/>
      <c r="H45" s="775"/>
      <c r="I45" s="779"/>
      <c r="J45" s="775"/>
      <c r="K45" s="775"/>
      <c r="L45" s="779"/>
      <c r="M45" s="775"/>
      <c r="N45" s="780"/>
      <c r="O45" s="803"/>
      <c r="P45" s="803"/>
      <c r="Q45" s="804"/>
      <c r="R45" s="799"/>
    </row>
    <row r="46" spans="3:21">
      <c r="C46" s="809" t="s">
        <v>2474</v>
      </c>
      <c r="D46" s="799"/>
      <c r="E46" s="799"/>
      <c r="F46" s="775"/>
      <c r="G46" s="775">
        <v>550</v>
      </c>
      <c r="H46" s="775"/>
      <c r="I46" s="779">
        <v>50000</v>
      </c>
      <c r="J46" s="775">
        <f>80000</f>
        <v>80000</v>
      </c>
      <c r="K46" s="775">
        <v>30000</v>
      </c>
      <c r="L46" s="779"/>
      <c r="M46" s="775"/>
      <c r="N46" s="780"/>
      <c r="O46" s="775">
        <v>52000</v>
      </c>
      <c r="P46" s="775">
        <v>20000</v>
      </c>
      <c r="Q46" s="775">
        <v>20000</v>
      </c>
      <c r="R46" s="799"/>
    </row>
    <row r="47" spans="3:21">
      <c r="C47" s="805" t="s">
        <v>2475</v>
      </c>
      <c r="D47" s="799"/>
      <c r="E47" s="799"/>
      <c r="F47" s="810">
        <f>10000000-F48-F50-20000</f>
        <v>4664000</v>
      </c>
      <c r="G47" s="775"/>
      <c r="H47" s="775"/>
      <c r="I47" s="779"/>
      <c r="J47" s="775"/>
      <c r="K47" s="775"/>
      <c r="L47" s="779"/>
      <c r="M47" s="775"/>
      <c r="N47" s="780"/>
      <c r="O47" s="775"/>
      <c r="P47" s="775"/>
      <c r="Q47" s="775">
        <f>O48</f>
        <v>0</v>
      </c>
      <c r="R47" s="799"/>
    </row>
    <row r="48" spans="3:21">
      <c r="C48" s="811" t="s">
        <v>2476</v>
      </c>
      <c r="D48" s="799"/>
      <c r="E48" s="799"/>
      <c r="F48" s="810">
        <f>I60-I45</f>
        <v>1800000</v>
      </c>
      <c r="G48" s="775"/>
      <c r="H48" s="775"/>
      <c r="I48" s="779"/>
      <c r="J48" s="775"/>
      <c r="K48" s="775"/>
      <c r="L48" s="779"/>
      <c r="M48" s="775"/>
      <c r="N48" s="780"/>
      <c r="O48" s="800"/>
      <c r="P48" s="800"/>
      <c r="Q48" s="799"/>
      <c r="R48" s="799"/>
    </row>
    <row r="49" spans="3:18">
      <c r="C49" s="811"/>
      <c r="D49" s="799"/>
      <c r="E49" s="799"/>
      <c r="F49" s="800"/>
      <c r="G49" s="775"/>
      <c r="H49" s="775"/>
      <c r="I49" s="779"/>
      <c r="J49" s="775"/>
      <c r="K49" s="775"/>
      <c r="L49" s="779"/>
      <c r="M49" s="775"/>
      <c r="N49" s="780"/>
      <c r="O49" s="800"/>
      <c r="P49" s="800"/>
      <c r="Q49" s="799"/>
      <c r="R49" s="799"/>
    </row>
    <row r="50" spans="3:18">
      <c r="C50" s="798" t="s">
        <v>2477</v>
      </c>
      <c r="D50" s="799"/>
      <c r="E50" s="799"/>
      <c r="F50" s="812">
        <v>3516000</v>
      </c>
      <c r="G50" s="775"/>
      <c r="H50" s="775"/>
      <c r="I50" s="813">
        <v>144000</v>
      </c>
      <c r="J50" s="775"/>
      <c r="K50" s="775"/>
      <c r="L50" s="779"/>
      <c r="M50" s="775"/>
      <c r="N50" s="780"/>
      <c r="O50" s="814">
        <v>400000</v>
      </c>
      <c r="P50" s="800"/>
      <c r="Q50" s="799"/>
      <c r="R50" s="799"/>
    </row>
    <row r="51" spans="3:18">
      <c r="C51" s="805"/>
      <c r="D51" s="799"/>
      <c r="E51" s="799"/>
      <c r="F51" s="800"/>
      <c r="G51" s="775"/>
      <c r="H51" s="775"/>
      <c r="I51" s="779"/>
      <c r="J51" s="775"/>
      <c r="K51" s="775"/>
      <c r="L51" s="779"/>
      <c r="M51" s="775"/>
      <c r="N51" s="780"/>
      <c r="O51" s="800"/>
      <c r="P51" s="800"/>
      <c r="Q51" s="799"/>
      <c r="R51" s="799"/>
    </row>
    <row r="52" spans="3:18">
      <c r="C52" s="769" t="s">
        <v>2478</v>
      </c>
      <c r="F52" s="791">
        <f t="shared" ref="F52:Q52" si="8">F26+F42+F50</f>
        <v>9982000</v>
      </c>
      <c r="G52" s="791">
        <f t="shared" si="8"/>
        <v>2550</v>
      </c>
      <c r="H52" s="791">
        <f t="shared" si="8"/>
        <v>100</v>
      </c>
      <c r="I52" s="792">
        <f t="shared" si="8"/>
        <v>789872.76</v>
      </c>
      <c r="J52" s="791">
        <f t="shared" si="8"/>
        <v>574347.06000000006</v>
      </c>
      <c r="K52" s="791">
        <f t="shared" si="8"/>
        <v>485167.06</v>
      </c>
      <c r="L52" s="792">
        <f t="shared" si="8"/>
        <v>106518.54</v>
      </c>
      <c r="M52" s="791">
        <f t="shared" si="8"/>
        <v>156077.07999999999</v>
      </c>
      <c r="N52" s="791">
        <f t="shared" si="8"/>
        <v>155877.07999999999</v>
      </c>
      <c r="O52" s="792">
        <f t="shared" si="8"/>
        <v>766650.99</v>
      </c>
      <c r="P52" s="791">
        <f t="shared" si="8"/>
        <v>344650.99</v>
      </c>
      <c r="Q52" s="791">
        <f t="shared" si="8"/>
        <v>324650.99</v>
      </c>
      <c r="R52" s="794"/>
    </row>
    <row r="53" spans="3:18">
      <c r="C53" s="805"/>
      <c r="G53" s="775"/>
      <c r="H53" s="775"/>
      <c r="I53" s="779"/>
      <c r="J53" s="775"/>
      <c r="K53" s="775"/>
      <c r="L53" s="779"/>
      <c r="M53" s="775"/>
      <c r="N53" s="780"/>
    </row>
    <row r="54" spans="3:18">
      <c r="C54" s="782" t="s">
        <v>2479</v>
      </c>
      <c r="D54" s="783"/>
      <c r="E54" s="783"/>
      <c r="F54" s="785">
        <f t="shared" ref="F54:Q54" si="9">F15+F23</f>
        <v>19735344.440000001</v>
      </c>
      <c r="G54" s="785">
        <f t="shared" si="9"/>
        <v>9753344.4399999995</v>
      </c>
      <c r="H54" s="785">
        <f t="shared" si="9"/>
        <v>9750794.4399999995</v>
      </c>
      <c r="I54" s="786">
        <f t="shared" si="9"/>
        <v>554113.48</v>
      </c>
      <c r="J54" s="785">
        <f t="shared" si="9"/>
        <v>1568123.91</v>
      </c>
      <c r="K54" s="785">
        <f t="shared" si="9"/>
        <v>1593776.85</v>
      </c>
      <c r="L54" s="786">
        <f t="shared" si="9"/>
        <v>3085.01</v>
      </c>
      <c r="M54" s="785">
        <f t="shared" si="9"/>
        <v>1566.46999999999</v>
      </c>
      <c r="N54" s="785">
        <f t="shared" si="9"/>
        <v>-49510.61</v>
      </c>
      <c r="O54" s="786">
        <f t="shared" si="9"/>
        <v>995689.03</v>
      </c>
      <c r="P54" s="785">
        <f t="shared" si="9"/>
        <v>433092.83</v>
      </c>
      <c r="Q54" s="785">
        <f t="shared" si="9"/>
        <v>88441.84</v>
      </c>
      <c r="R54" s="788"/>
    </row>
    <row r="55" spans="3:18">
      <c r="C55" s="776"/>
      <c r="G55" s="775"/>
      <c r="H55" s="775"/>
      <c r="I55" s="779"/>
      <c r="J55" s="775"/>
      <c r="K55" s="775"/>
      <c r="L55" s="779"/>
      <c r="M55" s="775"/>
      <c r="N55" s="780"/>
    </row>
    <row r="56" spans="3:18">
      <c r="C56" s="769" t="s">
        <v>2480</v>
      </c>
      <c r="F56" s="775">
        <f>F26+F42+F50</f>
        <v>9982000</v>
      </c>
      <c r="G56" s="775">
        <f>G26+G42</f>
        <v>2550</v>
      </c>
      <c r="H56" s="775">
        <f>H26+H42</f>
        <v>100</v>
      </c>
      <c r="I56" s="779">
        <f t="shared" ref="I56:Q56" si="10">I26+I42+I50</f>
        <v>789872.76</v>
      </c>
      <c r="J56" s="775">
        <f t="shared" si="10"/>
        <v>574347.06000000006</v>
      </c>
      <c r="K56" s="775">
        <f t="shared" si="10"/>
        <v>485167.06</v>
      </c>
      <c r="L56" s="779">
        <f t="shared" si="10"/>
        <v>106518.54</v>
      </c>
      <c r="M56" s="775">
        <f t="shared" si="10"/>
        <v>156077.07999999999</v>
      </c>
      <c r="N56" s="780">
        <f t="shared" si="10"/>
        <v>155877.07999999999</v>
      </c>
      <c r="O56" s="775">
        <f t="shared" si="10"/>
        <v>766650.99</v>
      </c>
      <c r="P56" s="775">
        <f t="shared" si="10"/>
        <v>344650.99</v>
      </c>
      <c r="Q56" s="775">
        <f t="shared" si="10"/>
        <v>324650.99</v>
      </c>
    </row>
    <row r="57" spans="3:18">
      <c r="C57" s="769" t="s">
        <v>2481</v>
      </c>
      <c r="F57" s="775">
        <f t="shared" ref="F57:Q57" si="11">F23-F52</f>
        <v>9668000</v>
      </c>
      <c r="G57" s="775">
        <f t="shared" si="11"/>
        <v>-2550</v>
      </c>
      <c r="H57" s="775">
        <f t="shared" si="11"/>
        <v>-100</v>
      </c>
      <c r="I57" s="779">
        <f t="shared" si="11"/>
        <v>-789872.76</v>
      </c>
      <c r="J57" s="775">
        <f t="shared" si="11"/>
        <v>-574347.06000000006</v>
      </c>
      <c r="K57" s="775">
        <f t="shared" si="11"/>
        <v>-485167.06</v>
      </c>
      <c r="L57" s="779">
        <f t="shared" si="11"/>
        <v>-106518.54</v>
      </c>
      <c r="M57" s="775">
        <f t="shared" si="11"/>
        <v>-156077.07999999999</v>
      </c>
      <c r="N57" s="780">
        <f t="shared" si="11"/>
        <v>-155877.07999999999</v>
      </c>
      <c r="O57" s="775">
        <f t="shared" si="11"/>
        <v>-570705.78</v>
      </c>
      <c r="P57" s="775">
        <f t="shared" si="11"/>
        <v>-344650.99</v>
      </c>
      <c r="Q57" s="775">
        <f t="shared" si="11"/>
        <v>-324650.99</v>
      </c>
    </row>
    <row r="58" spans="3:18">
      <c r="C58" s="769" t="s">
        <v>2193</v>
      </c>
      <c r="F58" s="775">
        <f>ROUND((F56-F54),2)</f>
        <v>-9753344.4399999995</v>
      </c>
      <c r="G58" s="775">
        <f t="shared" ref="G58:Q58" si="12">ROUND((G56-G54),2)</f>
        <v>-9750794.4399999995</v>
      </c>
      <c r="H58" s="775">
        <f t="shared" si="12"/>
        <v>-9750694.4399999995</v>
      </c>
      <c r="I58" s="779">
        <f t="shared" si="12"/>
        <v>235759.28</v>
      </c>
      <c r="J58" s="775">
        <f t="shared" si="12"/>
        <v>-993776.85</v>
      </c>
      <c r="K58" s="775">
        <f t="shared" si="12"/>
        <v>-1108609.79</v>
      </c>
      <c r="L58" s="779">
        <f t="shared" si="12"/>
        <v>103433.53</v>
      </c>
      <c r="M58" s="775">
        <f t="shared" si="12"/>
        <v>154510.60999999999</v>
      </c>
      <c r="N58" s="780">
        <f t="shared" si="12"/>
        <v>205387.69</v>
      </c>
      <c r="O58" s="775">
        <f t="shared" si="12"/>
        <v>-229038.04</v>
      </c>
      <c r="P58" s="775">
        <f t="shared" si="12"/>
        <v>-88441.84</v>
      </c>
      <c r="Q58" s="775">
        <f t="shared" si="12"/>
        <v>236209.15</v>
      </c>
    </row>
    <row r="59" spans="3:18">
      <c r="C59" s="805"/>
      <c r="G59" s="775"/>
      <c r="H59" s="775"/>
      <c r="I59" s="779"/>
      <c r="J59" s="775"/>
      <c r="K59" s="775"/>
      <c r="L59" s="779"/>
      <c r="M59" s="775"/>
      <c r="N59" s="780"/>
    </row>
    <row r="60" spans="3:18">
      <c r="C60" s="815" t="s">
        <v>2193</v>
      </c>
      <c r="D60" s="816"/>
      <c r="E60" s="816"/>
      <c r="F60" s="817"/>
      <c r="G60" s="817"/>
      <c r="H60" s="817"/>
      <c r="I60" s="818">
        <v>1800000</v>
      </c>
      <c r="J60" s="817">
        <v>600000</v>
      </c>
      <c r="K60" s="817">
        <v>500000</v>
      </c>
      <c r="L60" s="818">
        <v>105000</v>
      </c>
      <c r="M60" s="817">
        <v>105000</v>
      </c>
      <c r="N60" s="819">
        <v>105000</v>
      </c>
      <c r="O60" s="817">
        <f>I47</f>
        <v>0</v>
      </c>
      <c r="P60" s="817"/>
      <c r="Q60" s="817">
        <v>200000</v>
      </c>
    </row>
    <row r="61" spans="3:18">
      <c r="C61" s="805"/>
      <c r="G61" s="775"/>
      <c r="H61" s="775"/>
      <c r="I61" s="775"/>
      <c r="J61" s="775"/>
      <c r="K61" s="775"/>
      <c r="L61" s="775"/>
      <c r="M61" s="775"/>
      <c r="N61" s="775"/>
    </row>
    <row r="62" spans="3:18">
      <c r="C62" s="805"/>
      <c r="G62" s="775"/>
      <c r="H62" s="775"/>
      <c r="I62" s="775"/>
      <c r="J62" s="775"/>
      <c r="K62" s="775"/>
      <c r="L62" s="775"/>
      <c r="M62" s="775"/>
      <c r="N62" s="775"/>
    </row>
    <row r="63" spans="3:18">
      <c r="C63" s="789"/>
      <c r="G63" s="775"/>
      <c r="H63" s="775"/>
      <c r="I63" s="775"/>
      <c r="J63" s="775"/>
      <c r="K63" s="775"/>
      <c r="L63" s="775"/>
      <c r="M63" s="775"/>
      <c r="N63" s="775"/>
    </row>
    <row r="64" spans="3:18">
      <c r="C64" s="789"/>
      <c r="G64" s="800"/>
      <c r="H64" s="800"/>
      <c r="I64" s="800"/>
      <c r="J64" s="800"/>
      <c r="K64" s="800"/>
      <c r="L64" s="800"/>
      <c r="M64" s="800"/>
      <c r="N64" s="800"/>
    </row>
    <row r="65" spans="3:14">
      <c r="C65" s="789"/>
      <c r="G65" s="800"/>
      <c r="H65" s="800"/>
      <c r="I65" s="800"/>
      <c r="J65" s="800"/>
      <c r="K65" s="800"/>
      <c r="L65" s="800"/>
      <c r="M65" s="800"/>
      <c r="N65" s="800"/>
    </row>
    <row r="66" spans="3:14">
      <c r="C66" s="789"/>
      <c r="G66" s="800"/>
      <c r="H66" s="800"/>
      <c r="I66" s="800"/>
      <c r="J66" s="800"/>
      <c r="K66" s="800"/>
      <c r="L66" s="800"/>
      <c r="M66" s="800"/>
      <c r="N66" s="800"/>
    </row>
    <row r="67" spans="3:14">
      <c r="C67" s="789"/>
      <c r="G67" s="800"/>
      <c r="H67" s="800"/>
      <c r="I67" s="800"/>
      <c r="J67" s="800"/>
      <c r="K67" s="800"/>
      <c r="L67" s="800"/>
      <c r="M67" s="800"/>
      <c r="N67" s="800"/>
    </row>
    <row r="68" spans="3:14" s="761" customFormat="1">
      <c r="C68" s="789"/>
      <c r="D68" s="762"/>
      <c r="E68" s="762"/>
      <c r="G68" s="800"/>
      <c r="H68" s="800"/>
      <c r="I68" s="800"/>
      <c r="J68" s="800"/>
      <c r="K68" s="800"/>
      <c r="L68" s="800"/>
      <c r="M68" s="800"/>
      <c r="N68" s="800"/>
    </row>
    <row r="69" spans="3:14" s="761" customFormat="1">
      <c r="C69" s="789"/>
      <c r="D69" s="762"/>
      <c r="E69" s="762"/>
      <c r="G69" s="800"/>
      <c r="H69" s="800"/>
      <c r="I69" s="800"/>
      <c r="J69" s="800"/>
      <c r="K69" s="800"/>
      <c r="L69" s="800"/>
      <c r="M69" s="800"/>
      <c r="N69" s="800"/>
    </row>
    <row r="70" spans="3:14" s="761" customFormat="1">
      <c r="C70" s="789"/>
      <c r="D70" s="762"/>
      <c r="E70" s="762"/>
      <c r="G70" s="800"/>
      <c r="H70" s="800"/>
      <c r="I70" s="800"/>
      <c r="J70" s="800"/>
      <c r="K70" s="800"/>
      <c r="L70" s="800"/>
      <c r="M70" s="800"/>
      <c r="N70" s="800"/>
    </row>
    <row r="71" spans="3:14" s="761" customFormat="1">
      <c r="C71" s="789"/>
      <c r="D71" s="762"/>
      <c r="E71" s="762"/>
      <c r="G71" s="800"/>
      <c r="H71" s="800"/>
      <c r="I71" s="800"/>
      <c r="J71" s="800"/>
      <c r="K71" s="800"/>
      <c r="L71" s="800"/>
      <c r="M71" s="800"/>
      <c r="N71" s="800"/>
    </row>
    <row r="72" spans="3:14" s="761" customFormat="1">
      <c r="C72" s="789"/>
      <c r="D72" s="762"/>
      <c r="E72" s="762"/>
      <c r="G72" s="800"/>
      <c r="H72" s="800"/>
      <c r="I72" s="800"/>
      <c r="J72" s="800"/>
      <c r="K72" s="800"/>
      <c r="L72" s="800"/>
      <c r="M72" s="800"/>
      <c r="N72" s="800"/>
    </row>
    <row r="73" spans="3:14" s="761" customFormat="1">
      <c r="C73" s="789"/>
      <c r="D73" s="762"/>
      <c r="E73" s="762"/>
      <c r="G73" s="800"/>
      <c r="H73" s="800"/>
      <c r="I73" s="800"/>
      <c r="J73" s="800"/>
      <c r="K73" s="800"/>
      <c r="L73" s="800"/>
      <c r="M73" s="800"/>
      <c r="N73" s="800"/>
    </row>
    <row r="74" spans="3:14" s="761" customFormat="1">
      <c r="C74" s="789"/>
      <c r="D74" s="762"/>
      <c r="E74" s="762"/>
      <c r="G74" s="800"/>
      <c r="H74" s="800"/>
      <c r="I74" s="800"/>
      <c r="J74" s="800"/>
      <c r="K74" s="800"/>
      <c r="L74" s="800"/>
      <c r="M74" s="800"/>
      <c r="N74" s="800"/>
    </row>
    <row r="75" spans="3:14" s="761" customFormat="1">
      <c r="C75" s="789"/>
      <c r="D75" s="762"/>
      <c r="E75" s="762"/>
      <c r="G75" s="800"/>
      <c r="H75" s="800"/>
      <c r="I75" s="800"/>
      <c r="J75" s="800"/>
      <c r="K75" s="800"/>
      <c r="L75" s="800"/>
      <c r="M75" s="800"/>
      <c r="N75" s="800"/>
    </row>
    <row r="76" spans="3:14" s="761" customFormat="1">
      <c r="C76" s="789"/>
      <c r="D76" s="762"/>
      <c r="E76" s="762"/>
      <c r="G76" s="800"/>
      <c r="H76" s="800"/>
      <c r="I76" s="800"/>
      <c r="J76" s="800"/>
      <c r="K76" s="800"/>
      <c r="L76" s="800"/>
      <c r="M76" s="800"/>
      <c r="N76" s="800"/>
    </row>
    <row r="77" spans="3:14" s="761" customFormat="1">
      <c r="C77" s="789"/>
      <c r="D77" s="762"/>
      <c r="E77" s="762"/>
      <c r="G77" s="800"/>
      <c r="H77" s="800"/>
      <c r="I77" s="800"/>
      <c r="J77" s="800"/>
      <c r="K77" s="800"/>
      <c r="L77" s="800"/>
      <c r="M77" s="800"/>
      <c r="N77" s="800"/>
    </row>
    <row r="78" spans="3:14" s="761" customFormat="1">
      <c r="C78" s="789"/>
      <c r="D78" s="762"/>
      <c r="E78" s="762"/>
      <c r="G78" s="800"/>
      <c r="H78" s="800"/>
      <c r="I78" s="800"/>
      <c r="J78" s="800"/>
      <c r="K78" s="800"/>
      <c r="L78" s="800"/>
      <c r="M78" s="800"/>
      <c r="N78" s="800"/>
    </row>
    <row r="79" spans="3:14" s="761" customFormat="1">
      <c r="C79" s="789"/>
      <c r="D79" s="762"/>
      <c r="E79" s="762"/>
      <c r="G79" s="800"/>
      <c r="H79" s="800"/>
      <c r="I79" s="800"/>
      <c r="J79" s="800"/>
      <c r="K79" s="800"/>
      <c r="L79" s="800"/>
      <c r="M79" s="800"/>
      <c r="N79" s="800"/>
    </row>
    <row r="80" spans="3:14" s="761" customFormat="1">
      <c r="C80" s="789"/>
      <c r="D80" s="762"/>
      <c r="E80" s="762"/>
      <c r="G80" s="800"/>
      <c r="H80" s="800"/>
      <c r="I80" s="800"/>
      <c r="J80" s="800"/>
      <c r="K80" s="800"/>
      <c r="L80" s="800"/>
      <c r="M80" s="800"/>
      <c r="N80" s="800"/>
    </row>
    <row r="81" spans="3:14" s="761" customFormat="1">
      <c r="C81" s="789"/>
      <c r="D81" s="762"/>
      <c r="E81" s="762"/>
      <c r="G81" s="800"/>
      <c r="H81" s="800"/>
      <c r="I81" s="800"/>
      <c r="J81" s="800"/>
      <c r="K81" s="800"/>
      <c r="L81" s="800"/>
      <c r="M81" s="800"/>
      <c r="N81" s="800"/>
    </row>
    <row r="82" spans="3:14" s="761" customFormat="1">
      <c r="C82" s="789"/>
      <c r="D82" s="762"/>
      <c r="E82" s="762"/>
      <c r="G82" s="800"/>
      <c r="H82" s="800"/>
      <c r="I82" s="800"/>
      <c r="J82" s="800"/>
      <c r="K82" s="800"/>
      <c r="L82" s="800"/>
      <c r="M82" s="800"/>
      <c r="N82" s="800"/>
    </row>
    <row r="83" spans="3:14" s="761" customFormat="1">
      <c r="C83" s="789"/>
      <c r="D83" s="762"/>
      <c r="E83" s="762"/>
      <c r="G83" s="800"/>
      <c r="H83" s="800"/>
      <c r="I83" s="800"/>
      <c r="J83" s="800"/>
      <c r="K83" s="800"/>
      <c r="L83" s="800"/>
      <c r="M83" s="800"/>
      <c r="N83" s="800"/>
    </row>
    <row r="84" spans="3:14" s="761" customFormat="1">
      <c r="C84" s="789"/>
      <c r="D84" s="762"/>
      <c r="E84" s="762"/>
      <c r="G84" s="800"/>
      <c r="H84" s="800"/>
      <c r="I84" s="800"/>
      <c r="J84" s="800"/>
      <c r="K84" s="800"/>
      <c r="L84" s="800"/>
      <c r="M84" s="800"/>
      <c r="N84" s="800"/>
    </row>
  </sheetData>
  <mergeCells count="4">
    <mergeCell ref="F3:H3"/>
    <mergeCell ref="I3:K3"/>
    <mergeCell ref="L3:N3"/>
    <mergeCell ref="O3:Q3"/>
  </mergeCells>
  <pageMargins left="0.75" right="0.75" top="1" bottom="1" header="0.5" footer="0.5"/>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BI215"/>
  <sheetViews>
    <sheetView workbookViewId="0"/>
  </sheetViews>
  <sheetFormatPr defaultColWidth="8.75" defaultRowHeight="12.75" outlineLevelCol="1"/>
  <cols>
    <col min="1" max="1" width="10" style="723" customWidth="1"/>
    <col min="2" max="2" width="27.875" style="652" customWidth="1"/>
    <col min="3" max="3" width="12.125" style="654" hidden="1" customWidth="1" outlineLevel="1"/>
    <col min="4" max="4" width="11.625" style="654" hidden="1" customWidth="1" outlineLevel="1"/>
    <col min="5" max="5" width="9.25" style="654" hidden="1" customWidth="1" outlineLevel="1"/>
    <col min="6" max="6" width="8.25" style="724" hidden="1" customWidth="1" outlineLevel="1"/>
    <col min="7" max="7" width="3.25" style="724" hidden="1" customWidth="1" outlineLevel="1"/>
    <col min="8" max="9" width="11.625" style="654" hidden="1" customWidth="1" outlineLevel="1"/>
    <col min="10" max="10" width="10.875" style="654" hidden="1" customWidth="1" outlineLevel="1"/>
    <col min="11" max="11" width="7.75" style="724" hidden="1" customWidth="1" outlineLevel="1"/>
    <col min="12" max="12" width="4.625" style="724" hidden="1" customWidth="1" outlineLevel="1"/>
    <col min="13" max="14" width="11.625" style="654" hidden="1" customWidth="1" outlineLevel="1"/>
    <col min="15" max="15" width="9.625" style="654" hidden="1" customWidth="1" outlineLevel="1"/>
    <col min="16" max="16" width="8.375" style="724" hidden="1" customWidth="1" outlineLevel="1"/>
    <col min="17" max="17" width="4.375" style="724" hidden="1" customWidth="1" outlineLevel="1"/>
    <col min="18" max="18" width="14.375" style="654" hidden="1" customWidth="1" outlineLevel="1"/>
    <col min="19" max="20" width="12.375" style="654" hidden="1" customWidth="1" outlineLevel="1"/>
    <col min="21" max="21" width="12.375" style="724" hidden="1" customWidth="1" outlineLevel="1"/>
    <col min="22" max="22" width="4.875" style="724" hidden="1" customWidth="1" outlineLevel="1"/>
    <col min="23" max="25" width="10.125" style="654" hidden="1" customWidth="1" outlineLevel="1"/>
    <col min="26" max="26" width="10.125" style="724" hidden="1" customWidth="1" outlineLevel="1"/>
    <col min="27" max="27" width="6.875" style="724" hidden="1" customWidth="1" outlineLevel="1"/>
    <col min="28" max="30" width="10.625" style="654" hidden="1" customWidth="1" outlineLevel="1"/>
    <col min="31" max="31" width="10.625" style="724" hidden="1" customWidth="1" outlineLevel="1"/>
    <col min="32" max="32" width="7.5" style="654" hidden="1" customWidth="1" outlineLevel="1"/>
    <col min="33" max="33" width="11" style="654" customWidth="1" collapsed="1"/>
    <col min="34" max="35" width="11" style="654" customWidth="1"/>
    <col min="36" max="36" width="11" style="724" customWidth="1"/>
    <col min="37" max="37" width="6.625" style="724" customWidth="1"/>
    <col min="38" max="40" width="13.75" style="654" customWidth="1"/>
    <col min="41" max="41" width="13.75" style="724" customWidth="1"/>
    <col min="42" max="42" width="6.125" style="724" customWidth="1"/>
    <col min="43" max="45" width="12.625" style="654" customWidth="1"/>
    <col min="46" max="46" width="12.625" style="724" customWidth="1"/>
    <col min="47" max="47" width="7.375" style="724" customWidth="1"/>
    <col min="48" max="50" width="11.875" style="654" customWidth="1"/>
    <col min="51" max="51" width="11.875" style="724" customWidth="1"/>
    <col min="52" max="52" width="5" style="724" customWidth="1"/>
    <col min="53" max="55" width="11.25" style="654" customWidth="1"/>
    <col min="56" max="56" width="9.375" style="724" customWidth="1"/>
    <col min="57" max="57" width="8.875" style="724" customWidth="1"/>
    <col min="58" max="60" width="14.25" style="654" customWidth="1"/>
    <col min="61" max="61" width="14.25" style="724" customWidth="1"/>
    <col min="62" max="16384" width="8.75" style="652"/>
  </cols>
  <sheetData>
    <row r="1" spans="1:61" ht="18.75" customHeight="1">
      <c r="B1" s="5" t="s">
        <v>2482</v>
      </c>
      <c r="C1" s="5" t="s">
        <v>2483</v>
      </c>
      <c r="H1" s="5"/>
      <c r="M1" s="5"/>
      <c r="R1" s="652"/>
      <c r="W1" s="652"/>
      <c r="AB1" s="5"/>
    </row>
    <row r="2" spans="1:61" ht="18.75" customHeight="1">
      <c r="B2" s="5"/>
      <c r="C2" s="725">
        <v>46023</v>
      </c>
      <c r="H2" s="648"/>
      <c r="M2" s="726"/>
      <c r="R2" s="5"/>
      <c r="W2" s="5"/>
      <c r="AB2" s="648"/>
      <c r="AG2" s="648">
        <f>C2</f>
        <v>46023</v>
      </c>
      <c r="AI2" s="727"/>
      <c r="AN2" s="727"/>
      <c r="AS2" s="727"/>
      <c r="AX2" s="727"/>
      <c r="BC2" s="727"/>
      <c r="BH2" s="727"/>
    </row>
    <row r="3" spans="1:61" ht="18.75" customHeight="1">
      <c r="B3" s="5" t="s">
        <v>2484</v>
      </c>
      <c r="C3" s="728" t="s">
        <v>2485</v>
      </c>
      <c r="R3" s="648"/>
      <c r="W3" s="648"/>
      <c r="AG3" s="724" t="s">
        <v>2486</v>
      </c>
    </row>
    <row r="4" spans="1:61" ht="18.75" customHeight="1">
      <c r="B4" s="5"/>
      <c r="C4" s="728"/>
      <c r="R4" s="648"/>
      <c r="W4" s="648"/>
      <c r="AG4" s="724"/>
    </row>
    <row r="5" spans="1:61" ht="18.75" customHeight="1">
      <c r="B5" s="5"/>
      <c r="C5" s="729" t="s">
        <v>2110</v>
      </c>
      <c r="H5" s="729" t="s">
        <v>2109</v>
      </c>
      <c r="M5" s="729" t="s">
        <v>2242</v>
      </c>
      <c r="R5" s="729" t="s">
        <v>2111</v>
      </c>
      <c r="W5" s="729" t="s">
        <v>2113</v>
      </c>
      <c r="AB5" s="729" t="s">
        <v>2487</v>
      </c>
      <c r="AG5" s="729" t="s">
        <v>2110</v>
      </c>
      <c r="AL5" s="729" t="s">
        <v>2109</v>
      </c>
      <c r="AQ5" s="729" t="s">
        <v>2242</v>
      </c>
      <c r="AV5" s="729" t="s">
        <v>2111</v>
      </c>
      <c r="BA5" s="729" t="s">
        <v>2113</v>
      </c>
      <c r="BF5" s="729" t="s">
        <v>2114</v>
      </c>
    </row>
    <row r="6" spans="1:61" ht="36" customHeight="1">
      <c r="A6" s="730" t="s">
        <v>2488</v>
      </c>
      <c r="C6" s="731" t="s">
        <v>2489</v>
      </c>
      <c r="D6" s="732" t="s">
        <v>2490</v>
      </c>
      <c r="E6" s="733" t="s">
        <v>2491</v>
      </c>
      <c r="F6" s="734" t="s">
        <v>2492</v>
      </c>
      <c r="G6" s="735"/>
      <c r="H6" s="731" t="s">
        <v>2489</v>
      </c>
      <c r="I6" s="736" t="s">
        <v>2490</v>
      </c>
      <c r="J6" s="733" t="s">
        <v>2491</v>
      </c>
      <c r="K6" s="734" t="s">
        <v>2492</v>
      </c>
      <c r="L6" s="735"/>
      <c r="M6" s="731" t="s">
        <v>2489</v>
      </c>
      <c r="N6" s="732" t="s">
        <v>2490</v>
      </c>
      <c r="O6" s="733" t="s">
        <v>2491</v>
      </c>
      <c r="P6" s="734" t="s">
        <v>2492</v>
      </c>
      <c r="Q6" s="735"/>
      <c r="R6" s="731" t="s">
        <v>2489</v>
      </c>
      <c r="S6" s="732" t="s">
        <v>2490</v>
      </c>
      <c r="T6" s="733" t="s">
        <v>2491</v>
      </c>
      <c r="U6" s="734" t="s">
        <v>2492</v>
      </c>
      <c r="V6" s="735"/>
      <c r="W6" s="731" t="s">
        <v>2489</v>
      </c>
      <c r="X6" s="732" t="s">
        <v>2490</v>
      </c>
      <c r="Y6" s="733" t="s">
        <v>2491</v>
      </c>
      <c r="Z6" s="734" t="s">
        <v>2492</v>
      </c>
      <c r="AA6" s="735"/>
      <c r="AB6" s="731" t="s">
        <v>2489</v>
      </c>
      <c r="AC6" s="732" t="s">
        <v>2490</v>
      </c>
      <c r="AD6" s="733" t="s">
        <v>2491</v>
      </c>
      <c r="AE6" s="734" t="s">
        <v>2492</v>
      </c>
      <c r="AG6" s="731" t="s">
        <v>2489</v>
      </c>
      <c r="AH6" s="732" t="s">
        <v>2490</v>
      </c>
      <c r="AI6" s="733" t="s">
        <v>2491</v>
      </c>
      <c r="AJ6" s="737" t="s">
        <v>2492</v>
      </c>
      <c r="AK6" s="738"/>
      <c r="AL6" s="731" t="s">
        <v>2489</v>
      </c>
      <c r="AM6" s="732" t="s">
        <v>2490</v>
      </c>
      <c r="AN6" s="733" t="s">
        <v>2491</v>
      </c>
      <c r="AO6" s="737" t="s">
        <v>2492</v>
      </c>
      <c r="AP6" s="738"/>
      <c r="AQ6" s="731" t="s">
        <v>2489</v>
      </c>
      <c r="AR6" s="732" t="s">
        <v>2490</v>
      </c>
      <c r="AS6" s="733" t="s">
        <v>2491</v>
      </c>
      <c r="AT6" s="737" t="s">
        <v>2492</v>
      </c>
      <c r="AU6" s="738"/>
      <c r="AV6" s="731" t="s">
        <v>2489</v>
      </c>
      <c r="AW6" s="732" t="s">
        <v>2490</v>
      </c>
      <c r="AX6" s="733" t="s">
        <v>2491</v>
      </c>
      <c r="AY6" s="737" t="s">
        <v>2492</v>
      </c>
      <c r="AZ6" s="738"/>
      <c r="BA6" s="731" t="s">
        <v>2489</v>
      </c>
      <c r="BB6" s="732" t="s">
        <v>2490</v>
      </c>
      <c r="BC6" s="733" t="s">
        <v>2491</v>
      </c>
      <c r="BD6" s="737" t="s">
        <v>2492</v>
      </c>
      <c r="BE6" s="738"/>
      <c r="BF6" s="731" t="s">
        <v>2489</v>
      </c>
      <c r="BG6" s="732" t="s">
        <v>2490</v>
      </c>
      <c r="BH6" s="733" t="s">
        <v>2491</v>
      </c>
      <c r="BI6" s="737" t="s">
        <v>2492</v>
      </c>
    </row>
    <row r="7" spans="1:61" ht="36" hidden="1" customHeight="1">
      <c r="C7" s="739" t="s">
        <v>2493</v>
      </c>
      <c r="D7" s="739" t="s">
        <v>2493</v>
      </c>
      <c r="E7" s="739" t="s">
        <v>2493</v>
      </c>
      <c r="F7" s="739" t="s">
        <v>2493</v>
      </c>
      <c r="G7" s="740"/>
      <c r="H7" s="739" t="s">
        <v>2493</v>
      </c>
      <c r="I7" s="741" t="s">
        <v>2493</v>
      </c>
      <c r="J7" s="739" t="s">
        <v>2493</v>
      </c>
      <c r="K7" s="739" t="s">
        <v>2493</v>
      </c>
      <c r="L7" s="740"/>
      <c r="M7" s="739" t="s">
        <v>2493</v>
      </c>
      <c r="N7" s="739" t="s">
        <v>2493</v>
      </c>
      <c r="O7" s="739" t="s">
        <v>2493</v>
      </c>
      <c r="P7" s="739" t="s">
        <v>2493</v>
      </c>
      <c r="Q7" s="740"/>
      <c r="R7" s="739" t="s">
        <v>2493</v>
      </c>
      <c r="S7" s="739" t="s">
        <v>2493</v>
      </c>
      <c r="T7" s="739" t="s">
        <v>2493</v>
      </c>
      <c r="U7" s="739"/>
      <c r="V7" s="740"/>
      <c r="W7" s="739" t="s">
        <v>2493</v>
      </c>
      <c r="X7" s="739" t="s">
        <v>2493</v>
      </c>
      <c r="Y7" s="739" t="s">
        <v>2493</v>
      </c>
      <c r="Z7" s="739"/>
      <c r="AA7" s="740"/>
      <c r="AB7" s="739" t="s">
        <v>2493</v>
      </c>
      <c r="AC7" s="739" t="s">
        <v>2493</v>
      </c>
      <c r="AD7" s="739" t="s">
        <v>2493</v>
      </c>
      <c r="AE7" s="739"/>
      <c r="AG7" s="739" t="s">
        <v>2494</v>
      </c>
      <c r="AH7" s="741" t="s">
        <v>2494</v>
      </c>
      <c r="AI7" s="741" t="s">
        <v>2494</v>
      </c>
      <c r="AJ7" s="739"/>
      <c r="AK7" s="740"/>
      <c r="AL7" s="739" t="s">
        <v>2494</v>
      </c>
      <c r="AM7" s="741" t="s">
        <v>2494</v>
      </c>
      <c r="AN7" s="741" t="s">
        <v>2494</v>
      </c>
      <c r="AO7" s="739"/>
      <c r="AP7" s="740"/>
      <c r="AQ7" s="739" t="s">
        <v>2494</v>
      </c>
      <c r="AR7" s="741" t="s">
        <v>2494</v>
      </c>
      <c r="AS7" s="741" t="s">
        <v>2494</v>
      </c>
      <c r="AT7" s="739"/>
      <c r="AU7" s="740"/>
      <c r="AV7" s="739" t="s">
        <v>2494</v>
      </c>
      <c r="AW7" s="741" t="s">
        <v>2494</v>
      </c>
      <c r="AX7" s="741" t="s">
        <v>2494</v>
      </c>
      <c r="AY7" s="739"/>
      <c r="AZ7" s="740"/>
      <c r="BA7" s="739" t="s">
        <v>2494</v>
      </c>
      <c r="BB7" s="741" t="s">
        <v>2494</v>
      </c>
      <c r="BC7" s="741" t="s">
        <v>2494</v>
      </c>
      <c r="BD7" s="739"/>
      <c r="BE7" s="740"/>
      <c r="BF7" s="739" t="s">
        <v>2494</v>
      </c>
      <c r="BG7" s="741" t="s">
        <v>2494</v>
      </c>
      <c r="BH7" s="741" t="s">
        <v>2494</v>
      </c>
      <c r="BI7" s="739"/>
    </row>
    <row r="8" spans="1:61" s="648" customFormat="1">
      <c r="A8" s="730" t="s">
        <v>2488</v>
      </c>
      <c r="C8" s="742">
        <f>$C$2</f>
        <v>46023</v>
      </c>
      <c r="D8" s="742">
        <f>C8</f>
        <v>46023</v>
      </c>
      <c r="E8" s="742">
        <f>D8</f>
        <v>46023</v>
      </c>
      <c r="F8" s="742">
        <f t="shared" ref="F8:K8" si="0">E8</f>
        <v>46023</v>
      </c>
      <c r="G8" s="743"/>
      <c r="H8" s="742">
        <f>$C$2</f>
        <v>46023</v>
      </c>
      <c r="I8" s="744">
        <f t="shared" si="0"/>
        <v>46023</v>
      </c>
      <c r="J8" s="742">
        <f t="shared" si="0"/>
        <v>46023</v>
      </c>
      <c r="K8" s="742">
        <f t="shared" si="0"/>
        <v>46023</v>
      </c>
      <c r="L8" s="743"/>
      <c r="M8" s="742">
        <f>$C$2</f>
        <v>46023</v>
      </c>
      <c r="N8" s="742">
        <f t="shared" ref="N8:P8" si="1">M8</f>
        <v>46023</v>
      </c>
      <c r="O8" s="742">
        <f t="shared" si="1"/>
        <v>46023</v>
      </c>
      <c r="P8" s="742">
        <f t="shared" si="1"/>
        <v>46023</v>
      </c>
      <c r="Q8" s="743"/>
      <c r="R8" s="742">
        <f>$C$2</f>
        <v>46023</v>
      </c>
      <c r="S8" s="742">
        <f>R8</f>
        <v>46023</v>
      </c>
      <c r="T8" s="742">
        <f>S8</f>
        <v>46023</v>
      </c>
      <c r="U8" s="745"/>
      <c r="V8" s="743"/>
      <c r="W8" s="742">
        <f>$C$2</f>
        <v>46023</v>
      </c>
      <c r="X8" s="742">
        <f>W8</f>
        <v>46023</v>
      </c>
      <c r="Y8" s="742">
        <f>X8</f>
        <v>46023</v>
      </c>
      <c r="Z8" s="745"/>
      <c r="AA8" s="743"/>
      <c r="AB8" s="742">
        <f>$C$2</f>
        <v>46023</v>
      </c>
      <c r="AC8" s="742">
        <f>AB8</f>
        <v>46023</v>
      </c>
      <c r="AD8" s="742">
        <f>AC8</f>
        <v>46023</v>
      </c>
      <c r="AE8" s="745"/>
      <c r="AG8" s="742">
        <f>$C$2</f>
        <v>46023</v>
      </c>
      <c r="AH8" s="744">
        <f>AG8</f>
        <v>46023</v>
      </c>
      <c r="AI8" s="744">
        <f>AH8</f>
        <v>46023</v>
      </c>
      <c r="AJ8" s="745"/>
      <c r="AK8" s="743"/>
      <c r="AL8" s="742">
        <f>$C$2</f>
        <v>46023</v>
      </c>
      <c r="AM8" s="744">
        <f>AL8</f>
        <v>46023</v>
      </c>
      <c r="AN8" s="744">
        <f>AM8</f>
        <v>46023</v>
      </c>
      <c r="AO8" s="745"/>
      <c r="AP8" s="743"/>
      <c r="AQ8" s="742">
        <f>$C$2</f>
        <v>46023</v>
      </c>
      <c r="AR8" s="744">
        <f>AQ8</f>
        <v>46023</v>
      </c>
      <c r="AS8" s="744">
        <f>AR8</f>
        <v>46023</v>
      </c>
      <c r="AT8" s="745"/>
      <c r="AU8" s="743"/>
      <c r="AV8" s="742">
        <f>$C$2</f>
        <v>46023</v>
      </c>
      <c r="AW8" s="744">
        <f>AV8</f>
        <v>46023</v>
      </c>
      <c r="AX8" s="744">
        <f>AW8</f>
        <v>46023</v>
      </c>
      <c r="AY8" s="745"/>
      <c r="AZ8" s="743"/>
      <c r="BA8" s="742">
        <f>$C$2</f>
        <v>46023</v>
      </c>
      <c r="BB8" s="744">
        <f>BA8</f>
        <v>46023</v>
      </c>
      <c r="BC8" s="744">
        <f>BB8</f>
        <v>46023</v>
      </c>
      <c r="BD8" s="745"/>
      <c r="BE8" s="743"/>
      <c r="BF8" s="742">
        <f>$C$2</f>
        <v>46023</v>
      </c>
      <c r="BG8" s="744">
        <f>BF8</f>
        <v>46023</v>
      </c>
      <c r="BH8" s="744">
        <f>BG8</f>
        <v>46023</v>
      </c>
      <c r="BI8" s="745"/>
    </row>
    <row r="9" spans="1:61" ht="16.5" customHeight="1">
      <c r="A9" s="653" t="str">
        <f>'Budget-合并'!A7</f>
        <v>6001</v>
      </c>
      <c r="B9" s="653" t="str">
        <f>'Budget-合并'!B7</f>
        <v>营业收入</v>
      </c>
      <c r="C9" s="746">
        <f>INDEX('Actual-ACPL'!$H$7:$T$207,MATCH($B9,'Actual-ACPL'!$B$7:$B$207,0),MATCH(C$8,'Actual-ACPL'!$H$6:$T$6,0))</f>
        <v>0</v>
      </c>
      <c r="D9" s="746">
        <f>INDEX('Budget-ACPL'!$K$7:$W$207,MATCH($B9,'Budget-ACPL'!$B$7:$B$207,0),MATCH(D$8,'Budget-ACPL'!$K$6:$W$6,0))</f>
        <v>0</v>
      </c>
      <c r="E9" s="747"/>
      <c r="F9" s="748"/>
      <c r="H9" s="749">
        <f>INDEX('Actual-ACPLHK'!$H$7:$T$207,MATCH($B9,'Actual-ACPLHK'!$B$7:$B$207,0),MATCH(H$8,'Actual-ACPLHK'!$H$6:$T$6,0))</f>
        <v>0</v>
      </c>
      <c r="I9" s="749">
        <f>INDEX('Budget-ACPLHK'!$K$7:$W$207,MATCH($B9,'Budget-ACPLHK'!$B$7:$B$207,0),MATCH(I$8,'Budget-ACPLHK'!$K$6:$W$6,0))</f>
        <v>0</v>
      </c>
      <c r="J9" s="750"/>
      <c r="K9" s="748"/>
      <c r="M9" s="749">
        <f>INDEX('Actual-ACPSZL'!$H$7:$T$207,MATCH($B9,'Actual-ACPSZL'!$B$7:$B$207,0),MATCH(M$8,'Actual-ACPSZL'!$H$6:$T$6,0))</f>
        <v>0</v>
      </c>
      <c r="N9" s="749">
        <f>INDEX('Budget-ACPSZL'!$K$7:$W$207,MATCH($B9,'Budget-ACPSZL'!$B$7:$B$207,0),MATCH(N$8,'Budget-ACPSZL'!$K$6:$W$6,0))</f>
        <v>0</v>
      </c>
      <c r="O9" s="750">
        <f t="shared" ref="O9:O13" si="2">M9-N9</f>
        <v>0</v>
      </c>
      <c r="P9" s="748"/>
      <c r="R9" s="749">
        <f>INDEX('Actual-ACPLSZ'!$H$7:$T$207,MATCH($B9,'Actual-ACPLSZ'!$B$7:$B$207,0),MATCH(R$8,'Actual-ACPLSZ'!$H$6:$T$6,0))</f>
        <v>0</v>
      </c>
      <c r="S9" s="749">
        <f>INDEX('Budget-ACPLSZ'!$K$7:$W$207,MATCH($B9,'Budget-ACPLSZ'!$B$7:$B$207,0),MATCH(S$8,'Budget-ACPLSZ'!$K$6:$W$6,0))</f>
        <v>0</v>
      </c>
      <c r="T9" s="750"/>
      <c r="U9" s="748"/>
      <c r="W9" s="749">
        <f>INDEX('Actual-ACPLGZ'!$H$7:$T$207,MATCH($B9,'Actual-ACPLGZ'!$B$7:$B$207,0),MATCH(W$8,'Actual-ACPLGZ'!$H$6:$T$6,0))</f>
        <v>0</v>
      </c>
      <c r="X9" s="749">
        <f>INDEX('Budget-ACPLGZ'!$K$7:$W$207,MATCH($B9,'Budget-ACPLGZ'!$B$7:$B$207,0),MATCH(X$8,'Budget-ACPLGZ'!$K$6:$W$6,0))</f>
        <v>0</v>
      </c>
      <c r="Y9" s="750"/>
      <c r="Z9" s="748"/>
      <c r="AB9" s="749">
        <f>INDEX('Actual-ACPLGZ'!$H$7:$T$207,MATCH($B9,'Actual-ACPLGZ'!$B$7:$B$207,0),MATCH(AB$8,'Actual-ACPLGZ'!$H$6:$T$6,0))</f>
        <v>0</v>
      </c>
      <c r="AC9" s="749">
        <f>INDEX('Budget-Yixing'!$K$7:$W$207,MATCH($B9,'Budget-Yixing'!$B$7:$B$207,0),MATCH(AC$8,'Budget-Yixing'!$K$6:$W$6,0))</f>
        <v>0</v>
      </c>
      <c r="AD9" s="750">
        <f t="shared" ref="AD9:AD13" si="3">AB9-AC9</f>
        <v>0</v>
      </c>
      <c r="AE9" s="748"/>
      <c r="AG9" s="751">
        <f>SUM(INDEX('Actual-ACPL'!$H$7:$T$207,MATCH($B9,'Actual-ACPL'!$B$7:$B$207,0),MATCH('Actual-ACPL'!H$6,'Actual-ACPL'!$H$6:$T$6,0)):INDEX('Actual-ACPL'!$H$7:$T$207,MATCH($B9,'Actual-ACPL'!$B$7:$B$207,0),MATCH(AG$8,'Actual-ACPL'!$H$6:$T$6,0)))</f>
        <v>0</v>
      </c>
      <c r="AH9" s="751">
        <f>SUM(INDEX('Budget-ACPL'!$K$7:$W$207,MATCH($B9,'Budget-ACPL'!$B$7:$B$207,0),MATCH('Budget-ACPL'!K$6,'Budget-ACPL'!$K$6:$W$6,0)):INDEX('Budget-ACPL'!$K$7:$W$207,MATCH($B9,'Budget-ACPL'!$B$7:$B$207,0),MATCH(AH$8,'Budget-ACPL'!$K$6:$W$6,0)))</f>
        <v>0</v>
      </c>
      <c r="AI9" s="747"/>
      <c r="AJ9" s="748"/>
      <c r="AL9" s="749">
        <f>SUM(INDEX('Actual-ACPLHK'!$H$7:$S$207,MATCH($B9,'Actual-ACPLHK'!$B$7:$B$207,0),MATCH('Actual-ACPLHK'!H$6,'Actual-ACPLHK'!$H$6:$T$6,0)):INDEX('Actual-ACPLHK'!$H$7:$S$207,MATCH($B9,'Actual-ACPLHK'!$B$7:$B$207,0),MATCH(AL$8,'Actual-ACPLHK'!$H$6:$T$6,0)))</f>
        <v>0</v>
      </c>
      <c r="AM9" s="749">
        <f>SUM(INDEX('Budget-ACPLHK'!$K$7:$W$207,MATCH($B9,'Budget-ACPLHK'!$B$7:$B$207,0),MATCH('Budget-ACPLHK'!K$6,'Budget-ACPLHK'!$K$6:$W$6,0)):INDEX('Budget-ACPLHK'!$K$7:$W$207,MATCH($B9,'Budget-ACPLHK'!$B$7:$B$207,0),MATCH(AM$8,'Budget-ACPLHK'!$K$6:$W$6,0)))</f>
        <v>0</v>
      </c>
      <c r="AN9" s="750"/>
      <c r="AO9" s="748"/>
      <c r="AQ9" s="749">
        <f>SUM(INDEX('Actual-ACPSZL'!$H$7:$T$207,MATCH($B9,'Actual-ACPSZL'!$B$7:$B$207,0),MATCH('Actual-ACPSZL'!H$6,'Actual-ACPSZL'!$H$6:$T$6,0)):INDEX('Actual-ACPSZL'!$H$7:$T$207,MATCH($B9,'Actual-ACPSZL'!$B$7:$B$207,0),MATCH(AQ$8,'Actual-ACPSZL'!$H$6:$T$6,0)))</f>
        <v>0</v>
      </c>
      <c r="AR9" s="749">
        <f>SUM(INDEX('Budget-ACPSZL'!$K$7:$W$207,MATCH($B9,'Budget-ACPSZL'!$B$7:$B$207,0),MATCH('Budget-ACPSZL'!K$6,'Budget-ACPSZL'!$K$6:$W$6,0)):INDEX('Budget-ACPSZL'!$K$7:$W$207,MATCH($B9,'Budget-ACPSZL'!$B$7:$B$207,0),MATCH(AR$8,'Budget-ACPSZL'!$K$6:$W$6,0)))</f>
        <v>0</v>
      </c>
      <c r="AS9" s="750"/>
      <c r="AT9" s="748"/>
      <c r="AV9" s="749">
        <f>SUM(INDEX('Actual-ACPLSZ'!$H$7:$T$207,MATCH($B9,'Actual-ACPLSZ'!$B$7:$B$207,0),MATCH('Actual-ACPLSZ'!H$6,'Actual-ACPLSZ'!$H$6:$T$6,0)):INDEX('Actual-ACPLSZ'!$H$7:$T$207,MATCH($B9,'Actual-ACPLSZ'!$B$7:$B$207,0),MATCH(AV$8,'Actual-ACPLSZ'!$H$6:$T$6,0)))</f>
        <v>0</v>
      </c>
      <c r="AW9" s="749">
        <f>SUM(INDEX('Budget-ACPLSZ'!$K$7:$W$207,MATCH($B9,'Budget-ACPLSZ'!$B$7:$B$207,0),MATCH('Budget-ACPLSZ'!K$6,'Budget-ACPLSZ'!$K$6:$W$6,0)):INDEX('Budget-ACPLSZ'!$K$7:$W$207,MATCH($B9,'Budget-ACPLSZ'!$B$7:$B$207,0),MATCH(AW$8,'Budget-ACPLSZ'!$K$6:$W$6,0)))</f>
        <v>0</v>
      </c>
      <c r="AX9" s="750"/>
      <c r="AY9" s="748"/>
      <c r="BA9" s="749">
        <f>SUM(INDEX('Actual-ACPLGZ'!$H$7:$T$207,MATCH($B9,'Actual-ACPLGZ'!$B$7:$B$207,0),MATCH('Actual-ACPLGZ'!H$6,'Actual-ACPLGZ'!$H$6:$T$6,0)):INDEX('Actual-ACPLGZ'!$H$7:$T$207,MATCH($B9,'Actual-ACPLGZ'!$B$7:$B$207,0),MATCH(BA$8,'Actual-ACPLGZ'!$H$6:$T$6,0)))</f>
        <v>0</v>
      </c>
      <c r="BB9" s="749">
        <f>SUM(INDEX('Budget-ACPLGZ'!$K$7:$W$207,MATCH($B9,'Budget-ACPLGZ'!$B$7:$B$207,0),MATCH('Budget-ACPLGZ'!K$6,'Budget-ACPLGZ'!$K$6:$W$6,0)):INDEX('Budget-ACPLGZ'!$K$7:$W$207,MATCH($B9,'Budget-ACPLGZ'!$B$7:$B$207,0),MATCH(BB$8,'Budget-ACPLGZ'!$K$6:$W$6,0)))</f>
        <v>0</v>
      </c>
      <c r="BC9" s="750"/>
      <c r="BD9" s="748"/>
      <c r="BF9" s="749">
        <f>SUM(INDEX('Actual-ACPLYixing'!$H$7:$T$207,MATCH($B9,'Actual-ACPLYixing'!$B$7:$B$207,0),MATCH('Actual-ACPLYixing'!H$6,'Actual-ACPLYixing'!$H$6:$T$6,0)):INDEX('Actual-ACPLYixing'!$H$7:$T$207,MATCH($B9,'Actual-ACPLYixing'!$B$7:$B$207,0),MATCH(BF$8,'Actual-ACPLYixing'!$H$6:$T$6,0)))</f>
        <v>0</v>
      </c>
      <c r="BG9" s="749">
        <f>SUM(INDEX('Budget-Yixing'!$K$7:$W$207,MATCH($B9,'Budget-Yixing'!$B$7:$B$207,0),MATCH('Budget-Yixing'!K$6,'Budget-Yixing'!$K$6:$W$6,0)):INDEX('Budget-Yixing'!$K$7:$W$207,MATCH($B9,'Budget-Yixing'!$B$7:$B$207,0),MATCH(BG$8,'Budget-Yixing'!$K$6:$W$6,0)))</f>
        <v>0</v>
      </c>
      <c r="BH9" s="750"/>
      <c r="BI9" s="748"/>
    </row>
    <row r="10" spans="1:61" ht="16.5" customHeight="1">
      <c r="A10" s="653" t="str">
        <f>'Budget-合并'!A8</f>
        <v>6001.01</v>
      </c>
      <c r="B10" s="653" t="str">
        <f>'Budget-合并'!B8</f>
        <v>基金管理费收入</v>
      </c>
      <c r="C10" s="746">
        <f>INDEX('Actual-ACPL'!$H$7:$T$207,MATCH($B10,'Actual-ACPL'!$B$7:$B$207,0),MATCH(C$8,'Actual-ACPL'!$H$6:$T$6,0))</f>
        <v>0</v>
      </c>
      <c r="D10" s="746">
        <f>INDEX('Budget-ACPL'!$K$7:$W$207,MATCH($B10,'Budget-ACPL'!$B$7:$B$207,0),MATCH(D$8,'Budget-ACPL'!$K$6:$W$6,0))</f>
        <v>0</v>
      </c>
      <c r="E10" s="746">
        <f>C10-D10</f>
        <v>0</v>
      </c>
      <c r="F10" s="752"/>
      <c r="H10" s="749">
        <f>INDEX('Actual-ACPLHK'!$H$7:$T$207,MATCH($B10,'Actual-ACPLHK'!$B$7:$B$207,0),MATCH(H$8,'Actual-ACPLHK'!$H$6:$T$6,0))</f>
        <v>0</v>
      </c>
      <c r="I10" s="749">
        <f>INDEX('Budget-ACPLHK'!$K$7:$W$207,MATCH($B10,'Budget-ACPLHK'!$B$7:$B$207,0),MATCH(I$8,'Budget-ACPLHK'!$K$6:$W$6,0))</f>
        <v>0</v>
      </c>
      <c r="J10" s="749">
        <f t="shared" ref="J10:J13" si="4">H10-I10</f>
        <v>0</v>
      </c>
      <c r="K10" s="748"/>
      <c r="M10" s="749">
        <f>INDEX('Actual-ACPSZL'!$H$7:$T$207,MATCH($B10,'Actual-ACPSZL'!$B$7:$B$207,0),MATCH(M$8,'Actual-ACPSZL'!$H$6:$T$6,0))</f>
        <v>0</v>
      </c>
      <c r="N10" s="749">
        <f>INDEX('Budget-ACPSZL'!$K$7:$W$207,MATCH($B10,'Budget-ACPSZL'!$B$7:$B$207,0),MATCH(N$8,'Budget-ACPSZL'!$K$6:$W$6,0))</f>
        <v>8333.3333333333339</v>
      </c>
      <c r="O10" s="749">
        <f t="shared" si="2"/>
        <v>-8333.3333333333339</v>
      </c>
      <c r="P10" s="748"/>
      <c r="R10" s="749">
        <f>INDEX('Actual-ACPLSZ'!$H$7:$T$207,MATCH($B10,'Actual-ACPLSZ'!$B$7:$B$207,0),MATCH(R$8,'Actual-ACPLSZ'!$H$6:$T$6,0))</f>
        <v>0</v>
      </c>
      <c r="S10" s="749">
        <f>INDEX('Budget-ACPLSZ'!$K$7:$W$207,MATCH($B10,'Budget-ACPLSZ'!$B$7:$B$207,0),MATCH(S$8,'Budget-ACPLSZ'!$K$6:$W$6,0))</f>
        <v>0</v>
      </c>
      <c r="T10" s="749">
        <f t="shared" ref="T10:T13" si="5">R10-S10</f>
        <v>0</v>
      </c>
      <c r="U10" s="748"/>
      <c r="W10" s="749">
        <f>INDEX('Actual-ACPLGZ'!$H$7:$T$207,MATCH($B10,'Actual-ACPLGZ'!$B$7:$B$207,0),MATCH(W$8,'Actual-ACPLGZ'!$H$6:$T$6,0))</f>
        <v>0</v>
      </c>
      <c r="X10" s="749">
        <f>INDEX('Budget-ACPLGZ'!$K$7:$W$207,MATCH($B10,'Budget-ACPLGZ'!$B$7:$B$207,0),MATCH(X$8,'Budget-ACPLGZ'!$K$6:$W$6,0))</f>
        <v>0</v>
      </c>
      <c r="Y10" s="749">
        <f t="shared" ref="Y10:Y13" si="6">W10-X10</f>
        <v>0</v>
      </c>
      <c r="Z10" s="748"/>
      <c r="AB10" s="749">
        <f>INDEX('Actual-ACPLGZ'!$H$7:$T$207,MATCH($B10,'Actual-ACPLGZ'!$B$7:$B$207,0),MATCH(AB$8,'Actual-ACPLGZ'!$H$6:$T$6,0))</f>
        <v>0</v>
      </c>
      <c r="AC10" s="749">
        <f>INDEX('Budget-Yixing'!$K$7:$W$207,MATCH($B10,'Budget-Yixing'!$B$7:$B$207,0),MATCH(AC$8,'Budget-Yixing'!$K$6:$W$6,0))</f>
        <v>0</v>
      </c>
      <c r="AD10" s="749">
        <f t="shared" si="3"/>
        <v>0</v>
      </c>
      <c r="AE10" s="748"/>
      <c r="AG10" s="751">
        <f>SUM(INDEX('Actual-ACPL'!$H$7:$T$207,MATCH($B10,'Actual-ACPL'!$B$7:$B$207,0),MATCH('Actual-ACPL'!H$6,'Actual-ACPL'!$H$6:$T$6,0)):INDEX('Actual-ACPL'!$H$7:$T$207,MATCH($B10,'Actual-ACPL'!$B$7:$B$207,0),MATCH(AG$8,'Actual-ACPL'!$H$6:$T$6,0)))</f>
        <v>0</v>
      </c>
      <c r="AH10" s="751">
        <f>SUM(INDEX('Budget-ACPL'!$K$7:$W$207,MATCH($B10,'Budget-ACPL'!$B$7:$B$207,0),MATCH('Budget-ACPL'!K$6,'Budget-ACPL'!$K$6:$W$6,0)):INDEX('Budget-ACPL'!$K$7:$W$207,MATCH($B10,'Budget-ACPL'!$B$7:$B$207,0),MATCH(AH$8,'Budget-ACPL'!$K$6:$W$6,0)))</f>
        <v>0</v>
      </c>
      <c r="AI10" s="747">
        <f>AG10-AH10</f>
        <v>0</v>
      </c>
      <c r="AJ10" s="748"/>
      <c r="AL10" s="749">
        <f>SUM(INDEX('Actual-ACPLHK'!$H$7:$S$207,MATCH($B10,'Actual-ACPLHK'!$B$7:$B$207,0),MATCH('Actual-ACPLHK'!H$6,'Actual-ACPLHK'!$H$6:$T$6,0)):INDEX('Actual-ACPLHK'!$H$7:$S$207,MATCH($B10,'Actual-ACPLHK'!$B$7:$B$207,0),MATCH(AL$8,'Actual-ACPLHK'!$H$6:$T$6,0)))</f>
        <v>0</v>
      </c>
      <c r="AM10" s="749">
        <f>SUM(INDEX('Budget-ACPLHK'!$K$7:$W$207,MATCH($B10,'Budget-ACPLHK'!$B$7:$B$207,0),MATCH('Budget-ACPLHK'!K$6,'Budget-ACPLHK'!$K$6:$W$6,0)):INDEX('Budget-ACPLHK'!$K$7:$W$207,MATCH($B10,'Budget-ACPLHK'!$B$7:$B$207,0),MATCH(AM$8,'Budget-ACPLHK'!$K$6:$W$6,0)))</f>
        <v>0</v>
      </c>
      <c r="AN10" s="750">
        <f t="shared" ref="AN10:AN14" si="7">AL10-AM10</f>
        <v>0</v>
      </c>
      <c r="AO10" s="748"/>
      <c r="AQ10" s="749">
        <f>SUM(INDEX('Actual-ACPSZL'!$H$7:$T$207,MATCH($B10,'Actual-ACPSZL'!$B$7:$B$207,0),MATCH('Actual-ACPSZL'!H$6,'Actual-ACPSZL'!$H$6:$T$6,0)):INDEX('Actual-ACPSZL'!$H$7:$T$207,MATCH($B10,'Actual-ACPSZL'!$B$7:$B$207,0),MATCH(AQ$8,'Actual-ACPSZL'!$H$6:$T$6,0)))</f>
        <v>0</v>
      </c>
      <c r="AR10" s="749">
        <f>SUM(INDEX('Budget-ACPSZL'!$K$7:$W$207,MATCH($B10,'Budget-ACPSZL'!$B$7:$B$207,0),MATCH('Budget-ACPSZL'!K$6,'Budget-ACPSZL'!$K$6:$W$6,0)):INDEX('Budget-ACPSZL'!$K$7:$W$207,MATCH($B10,'Budget-ACPSZL'!$B$7:$B$207,0),MATCH(AR$8,'Budget-ACPSZL'!$K$6:$W$6,0)))</f>
        <v>8333.3333333333339</v>
      </c>
      <c r="AS10" s="750">
        <f>AQ10-AR10</f>
        <v>-8333.3333333333339</v>
      </c>
      <c r="AT10" s="748"/>
      <c r="AV10" s="749">
        <f>SUM(INDEX('Actual-ACPLSZ'!$H$7:$T$207,MATCH($B10,'Actual-ACPLSZ'!$B$7:$B$207,0),MATCH('Actual-ACPLSZ'!H$6,'Actual-ACPLSZ'!$H$6:$T$6,0)):INDEX('Actual-ACPLSZ'!$H$7:$T$207,MATCH($B10,'Actual-ACPLSZ'!$B$7:$B$207,0),MATCH(AV$8,'Actual-ACPLSZ'!$H$6:$T$6,0)))</f>
        <v>0</v>
      </c>
      <c r="AW10" s="749">
        <f>SUM(INDEX('Budget-ACPLSZ'!$K$7:$W$207,MATCH($B10,'Budget-ACPLSZ'!$B$7:$B$207,0),MATCH('Budget-ACPLSZ'!K$6,'Budget-ACPLSZ'!$K$6:$W$6,0)):INDEX('Budget-ACPLSZ'!$K$7:$W$207,MATCH($B10,'Budget-ACPLSZ'!$B$7:$B$207,0),MATCH(AW$8,'Budget-ACPLSZ'!$K$6:$W$6,0)))</f>
        <v>0</v>
      </c>
      <c r="AX10" s="750">
        <f t="shared" ref="AX10:AX14" si="8">AV10-AW10</f>
        <v>0</v>
      </c>
      <c r="AY10" s="748"/>
      <c r="BA10" s="749">
        <f>SUM(INDEX('Actual-ACPLGZ'!$H$7:$T$207,MATCH($B10,'Actual-ACPLGZ'!$B$7:$B$207,0),MATCH('Actual-ACPLGZ'!H$6,'Actual-ACPLGZ'!$H$6:$T$6,0)):INDEX('Actual-ACPLGZ'!$H$7:$T$207,MATCH($B10,'Actual-ACPLGZ'!$B$7:$B$207,0),MATCH(BA$8,'Actual-ACPLGZ'!$H$6:$T$6,0)))</f>
        <v>0</v>
      </c>
      <c r="BB10" s="749">
        <f>SUM(INDEX('Budget-ACPLGZ'!$K$7:$W$207,MATCH($B10,'Budget-ACPLGZ'!$B$7:$B$207,0),MATCH('Budget-ACPLGZ'!K$6,'Budget-ACPLGZ'!$K$6:$W$6,0)):INDEX('Budget-ACPLGZ'!$K$7:$W$207,MATCH($B10,'Budget-ACPLGZ'!$B$7:$B$207,0),MATCH(BB$8,'Budget-ACPLGZ'!$K$6:$W$6,0)))</f>
        <v>0</v>
      </c>
      <c r="BC10" s="750">
        <f t="shared" ref="BC10:BC14" si="9">BA10-BB10</f>
        <v>0</v>
      </c>
      <c r="BD10" s="748"/>
      <c r="BF10" s="749">
        <f>SUM(INDEX('Actual-ACPLYixing'!$H$7:$T$207,MATCH($B10,'Actual-ACPLYixing'!$B$7:$B$207,0),MATCH('Actual-ACPLYixing'!H$6,'Actual-ACPLYixing'!$H$6:$T$6,0)):INDEX('Actual-ACPLYixing'!$H$7:$T$207,MATCH($B10,'Actual-ACPLYixing'!$B$7:$B$207,0),MATCH(BF$8,'Actual-ACPLYixing'!$H$6:$T$6,0)))</f>
        <v>0</v>
      </c>
      <c r="BG10" s="749">
        <f>SUM(INDEX('Budget-Yixing'!$K$7:$W$207,MATCH($B10,'Budget-Yixing'!$B$7:$B$207,0),MATCH('Budget-Yixing'!K$6,'Budget-Yixing'!$K$6:$W$6,0)):INDEX('Budget-Yixing'!$K$7:$W$207,MATCH($B10,'Budget-Yixing'!$B$7:$B$207,0),MATCH(BG$8,'Budget-Yixing'!$K$6:$W$6,0)))</f>
        <v>0</v>
      </c>
      <c r="BH10" s="750">
        <f t="shared" ref="BH10:BH14" si="10">BF10-BG10</f>
        <v>0</v>
      </c>
      <c r="BI10" s="748"/>
    </row>
    <row r="11" spans="1:61" ht="16.5" customHeight="1">
      <c r="A11" s="653" t="str">
        <f>'Budget-合并'!A9</f>
        <v>6001.02</v>
      </c>
      <c r="B11" s="653" t="str">
        <f>'Budget-合并'!B9</f>
        <v>咨询服务费收入</v>
      </c>
      <c r="C11" s="746">
        <f>INDEX('Actual-ACPL'!$H$7:$T$207,MATCH($B11,'Actual-ACPL'!$B$7:$B$207,0),MATCH(C$8,'Actual-ACPL'!$H$6:$T$6,0))</f>
        <v>0</v>
      </c>
      <c r="D11" s="746">
        <f>INDEX('Budget-ACPL'!$K$7:$W$207,MATCH($B11,'Budget-ACPL'!$B$7:$B$207,0),MATCH(D$8,'Budget-ACPL'!$K$6:$W$6,0))</f>
        <v>0</v>
      </c>
      <c r="E11" s="746">
        <f t="shared" ref="E11:E19" si="11">C11-D11</f>
        <v>0</v>
      </c>
      <c r="F11" s="752"/>
      <c r="H11" s="749">
        <f>INDEX('Actual-ACPLHK'!$H$7:$T$207,MATCH($B11,'Actual-ACPLHK'!$B$7:$B$207,0),MATCH(H$8,'Actual-ACPLHK'!$H$6:$T$6,0))</f>
        <v>0</v>
      </c>
      <c r="I11" s="749">
        <f>INDEX('Budget-ACPLHK'!$K$7:$W$207,MATCH($B11,'Budget-ACPLHK'!$B$7:$B$207,0),MATCH(I$8,'Budget-ACPLHK'!$K$6:$W$6,0))</f>
        <v>0</v>
      </c>
      <c r="J11" s="750">
        <f t="shared" si="4"/>
        <v>0</v>
      </c>
      <c r="K11" s="748"/>
      <c r="M11" s="749">
        <f>INDEX('Actual-ACPSZL'!$H$7:$T$207,MATCH($B11,'Actual-ACPSZL'!$B$7:$B$207,0),MATCH(M$8,'Actual-ACPSZL'!$H$6:$T$6,0))</f>
        <v>0</v>
      </c>
      <c r="N11" s="749">
        <f>INDEX('Budget-ACPSZL'!$K$7:$W$207,MATCH($B11,'Budget-ACPSZL'!$B$7:$B$207,0),MATCH(N$8,'Budget-ACPSZL'!$K$6:$W$6,0))</f>
        <v>0</v>
      </c>
      <c r="O11" s="749">
        <f t="shared" si="2"/>
        <v>0</v>
      </c>
      <c r="P11" s="748"/>
      <c r="R11" s="749">
        <f>INDEX('Actual-ACPLSZ'!$H$7:$T$207,MATCH($B11,'Actual-ACPLSZ'!$B$7:$B$207,0),MATCH(R$8,'Actual-ACPLSZ'!$H$6:$T$6,0))</f>
        <v>0</v>
      </c>
      <c r="S11" s="749">
        <f>INDEX('Budget-ACPLSZ'!$K$7:$W$207,MATCH($B11,'Budget-ACPLSZ'!$B$7:$B$207,0),MATCH(S$8,'Budget-ACPLSZ'!$K$6:$W$6,0))</f>
        <v>0</v>
      </c>
      <c r="T11" s="749">
        <f t="shared" si="5"/>
        <v>0</v>
      </c>
      <c r="U11" s="748"/>
      <c r="W11" s="749">
        <f>INDEX('Actual-ACPLGZ'!$H$7:$T$207,MATCH($B11,'Actual-ACPLGZ'!$B$7:$B$207,0),MATCH(W$8,'Actual-ACPLGZ'!$H$6:$T$6,0))</f>
        <v>0</v>
      </c>
      <c r="X11" s="749">
        <f>INDEX('Budget-ACPLGZ'!$K$7:$W$207,MATCH($B11,'Budget-ACPLGZ'!$B$7:$B$207,0),MATCH(X$8,'Budget-ACPLGZ'!$K$6:$W$6,0))</f>
        <v>0</v>
      </c>
      <c r="Y11" s="749">
        <f t="shared" ref="Y11:Y20" si="12">W11-X11</f>
        <v>0</v>
      </c>
      <c r="Z11" s="748"/>
      <c r="AB11" s="749">
        <f>INDEX('Actual-ACPLGZ'!$H$7:$T$207,MATCH($B11,'Actual-ACPLGZ'!$B$7:$B$207,0),MATCH(AB$8,'Actual-ACPLGZ'!$H$6:$T$6,0))</f>
        <v>0</v>
      </c>
      <c r="AC11" s="749">
        <f>INDEX('Budget-Yixing'!$K$7:$W$207,MATCH($B11,'Budget-Yixing'!$B$7:$B$207,0),MATCH(AC$8,'Budget-Yixing'!$K$6:$W$6,0))</f>
        <v>0</v>
      </c>
      <c r="AD11" s="749">
        <f t="shared" si="3"/>
        <v>0</v>
      </c>
      <c r="AE11" s="748"/>
      <c r="AG11" s="751">
        <f>SUM(INDEX('Actual-ACPL'!$H$7:$T$207,MATCH($B11,'Actual-ACPL'!$B$7:$B$207,0),MATCH('Actual-ACPL'!H$6,'Actual-ACPL'!$H$6:$T$6,0)):INDEX('Actual-ACPL'!$H$7:$T$207,MATCH($B11,'Actual-ACPL'!$B$7:$B$207,0),MATCH(AG$8,'Actual-ACPL'!$H$6:$T$6,0)))</f>
        <v>0</v>
      </c>
      <c r="AH11" s="751">
        <f>SUM(INDEX('Budget-ACPL'!$K$7:$W$207,MATCH($B11,'Budget-ACPL'!$B$7:$B$207,0),MATCH('Budget-ACPL'!K$6,'Budget-ACPL'!$K$6:$W$6,0)):INDEX('Budget-ACPL'!$K$7:$W$207,MATCH($B11,'Budget-ACPL'!$B$7:$B$207,0),MATCH(AH$8,'Budget-ACPL'!$K$6:$W$6,0)))</f>
        <v>0</v>
      </c>
      <c r="AI11" s="747">
        <f t="shared" ref="AI11:AI20" si="13">AG11-AH11</f>
        <v>0</v>
      </c>
      <c r="AJ11" s="748"/>
      <c r="AL11" s="749">
        <f>SUM(INDEX('Actual-ACPLHK'!$H$7:$S$207,MATCH($B11,'Actual-ACPLHK'!$B$7:$B$207,0),MATCH('Actual-ACPLHK'!H$6,'Actual-ACPLHK'!$H$6:$T$6,0)):INDEX('Actual-ACPLHK'!$H$7:$S$207,MATCH($B11,'Actual-ACPLHK'!$B$7:$B$207,0),MATCH(AL$8,'Actual-ACPLHK'!$H$6:$T$6,0)))</f>
        <v>0</v>
      </c>
      <c r="AM11" s="749">
        <f>SUM(INDEX('Budget-ACPLHK'!$K$7:$W$207,MATCH($B11,'Budget-ACPLHK'!$B$7:$B$207,0),MATCH('Budget-ACPLHK'!K$6,'Budget-ACPLHK'!$K$6:$W$6,0)):INDEX('Budget-ACPLHK'!$K$7:$W$207,MATCH($B11,'Budget-ACPLHK'!$B$7:$B$207,0),MATCH(AM$8,'Budget-ACPLHK'!$K$6:$W$6,0)))</f>
        <v>0</v>
      </c>
      <c r="AN11" s="749">
        <f t="shared" si="7"/>
        <v>0</v>
      </c>
      <c r="AO11" s="748"/>
      <c r="AQ11" s="749">
        <f>SUM(INDEX('Actual-ACPSZL'!$H$7:$T$207,MATCH($B11,'Actual-ACPSZL'!$B$7:$B$207,0),MATCH('Actual-ACPSZL'!H$6,'Actual-ACPSZL'!$H$6:$T$6,0)):INDEX('Actual-ACPSZL'!$H$7:$T$207,MATCH($B11,'Actual-ACPSZL'!$B$7:$B$207,0),MATCH(AQ$8,'Actual-ACPSZL'!$H$6:$T$6,0)))</f>
        <v>0</v>
      </c>
      <c r="AR11" s="749">
        <f>SUM(INDEX('Budget-ACPSZL'!$K$7:$W$207,MATCH($B11,'Budget-ACPSZL'!$B$7:$B$207,0),MATCH('Budget-ACPSZL'!K$6,'Budget-ACPSZL'!$K$6:$W$6,0)):INDEX('Budget-ACPSZL'!$K$7:$W$207,MATCH($B11,'Budget-ACPSZL'!$B$7:$B$207,0),MATCH(AR$8,'Budget-ACPSZL'!$K$6:$W$6,0)))</f>
        <v>0</v>
      </c>
      <c r="AS11" s="750">
        <f>AQ11-AR11</f>
        <v>0</v>
      </c>
      <c r="AT11" s="748"/>
      <c r="AV11" s="749">
        <f>SUM(INDEX('Actual-ACPLSZ'!$H$7:$T$207,MATCH($B11,'Actual-ACPLSZ'!$B$7:$B$207,0),MATCH('Actual-ACPLSZ'!H$6,'Actual-ACPLSZ'!$H$6:$T$6,0)):INDEX('Actual-ACPLSZ'!$H$7:$T$207,MATCH($B11,'Actual-ACPLSZ'!$B$7:$B$207,0),MATCH(AV$8,'Actual-ACPLSZ'!$H$6:$T$6,0)))</f>
        <v>0</v>
      </c>
      <c r="AW11" s="749">
        <f>SUM(INDEX('Budget-ACPLSZ'!$K$7:$W$207,MATCH($B11,'Budget-ACPLSZ'!$B$7:$B$207,0),MATCH('Budget-ACPLSZ'!K$6,'Budget-ACPLSZ'!$K$6:$W$6,0)):INDEX('Budget-ACPLSZ'!$K$7:$W$207,MATCH($B11,'Budget-ACPLSZ'!$B$7:$B$207,0),MATCH(AW$8,'Budget-ACPLSZ'!$K$6:$W$6,0)))</f>
        <v>0</v>
      </c>
      <c r="AX11" s="749">
        <f t="shared" si="8"/>
        <v>0</v>
      </c>
      <c r="AY11" s="748"/>
      <c r="BA11" s="749">
        <f>SUM(INDEX('Actual-ACPLGZ'!$H$7:$T$207,MATCH($B11,'Actual-ACPLGZ'!$B$7:$B$207,0),MATCH('Actual-ACPLGZ'!H$6,'Actual-ACPLGZ'!$H$6:$T$6,0)):INDEX('Actual-ACPLGZ'!$H$7:$T$207,MATCH($B11,'Actual-ACPLGZ'!$B$7:$B$207,0),MATCH(BA$8,'Actual-ACPLGZ'!$H$6:$T$6,0)))</f>
        <v>0</v>
      </c>
      <c r="BB11" s="749">
        <f>SUM(INDEX('Budget-ACPLGZ'!$K$7:$W$207,MATCH($B11,'Budget-ACPLGZ'!$B$7:$B$207,0),MATCH('Budget-ACPLGZ'!K$6,'Budget-ACPLGZ'!$K$6:$W$6,0)):INDEX('Budget-ACPLGZ'!$K$7:$W$207,MATCH($B11,'Budget-ACPLGZ'!$B$7:$B$207,0),MATCH(BB$8,'Budget-ACPLGZ'!$K$6:$W$6,0)))</f>
        <v>0</v>
      </c>
      <c r="BC11" s="750">
        <f t="shared" si="9"/>
        <v>0</v>
      </c>
      <c r="BD11" s="748"/>
      <c r="BF11" s="749">
        <f>SUM(INDEX('Actual-ACPLYixing'!$H$7:$T$207,MATCH($B11,'Actual-ACPLYixing'!$B$7:$B$207,0),MATCH('Actual-ACPLYixing'!H$6,'Actual-ACPLYixing'!$H$6:$T$6,0)):INDEX('Actual-ACPLYixing'!$H$7:$T$207,MATCH($B11,'Actual-ACPLYixing'!$B$7:$B$207,0),MATCH(BF$8,'Actual-ACPLYixing'!$H$6:$T$6,0)))</f>
        <v>0</v>
      </c>
      <c r="BG11" s="749">
        <f>SUM(INDEX('Budget-Yixing'!$K$7:$W$207,MATCH($B11,'Budget-Yixing'!$B$7:$B$207,0),MATCH('Budget-Yixing'!K$6,'Budget-Yixing'!$K$6:$W$6,0)):INDEX('Budget-Yixing'!$K$7:$W$207,MATCH($B11,'Budget-Yixing'!$B$7:$B$207,0),MATCH(BG$8,'Budget-Yixing'!$K$6:$W$6,0)))</f>
        <v>0</v>
      </c>
      <c r="BH11" s="750">
        <f t="shared" si="10"/>
        <v>0</v>
      </c>
      <c r="BI11" s="748"/>
    </row>
    <row r="12" spans="1:61" ht="16.5" customHeight="1">
      <c r="A12" s="653">
        <f>'Budget-合并'!A10</f>
        <v>0</v>
      </c>
      <c r="B12" s="653" t="str">
        <f>'Budget-合并'!B10</f>
        <v xml:space="preserve">   辉飏咨询服务费</v>
      </c>
      <c r="C12" s="746">
        <f>INDEX('Actual-ACPL'!$H$7:$T$207,MATCH($B12,'Actual-ACPL'!$B$7:$B$207,0),MATCH(C$8,'Actual-ACPL'!$H$6:$T$6,0))</f>
        <v>0</v>
      </c>
      <c r="D12" s="746">
        <f>INDEX('Budget-ACPL'!$K$7:$W$207,MATCH($B12,'Budget-ACPL'!$B$7:$B$207,0),MATCH(D$8,'Budget-ACPL'!$K$6:$W$6,0))</f>
        <v>0</v>
      </c>
      <c r="E12" s="746">
        <f t="shared" si="11"/>
        <v>0</v>
      </c>
      <c r="F12" s="752"/>
      <c r="H12" s="749">
        <f>INDEX('Actual-ACPLHK'!$H$7:$T$207,MATCH($B12,'Actual-ACPLHK'!$B$7:$B$207,0),MATCH(H$8,'Actual-ACPLHK'!$H$6:$T$6,0))</f>
        <v>0</v>
      </c>
      <c r="I12" s="749">
        <f>INDEX('Budget-ACPLHK'!$K$7:$W$207,MATCH($B12,'Budget-ACPLHK'!$B$7:$B$207,0),MATCH(I$8,'Budget-ACPLHK'!$K$6:$W$6,0))</f>
        <v>0</v>
      </c>
      <c r="J12" s="749">
        <f t="shared" si="4"/>
        <v>0</v>
      </c>
      <c r="K12" s="748"/>
      <c r="M12" s="749">
        <f>INDEX('Actual-ACPSZL'!$H$7:$T$207,MATCH($B12,'Actual-ACPSZL'!$B$7:$B$207,0),MATCH(M$8,'Actual-ACPSZL'!$H$6:$T$6,0))</f>
        <v>0</v>
      </c>
      <c r="N12" s="749">
        <f>INDEX('Budget-ACPSZL'!$K$7:$W$207,MATCH($B12,'Budget-ACPSZL'!$B$7:$B$207,0),MATCH(N$8,'Budget-ACPSZL'!$K$6:$W$6,0))</f>
        <v>0</v>
      </c>
      <c r="O12" s="749">
        <f t="shared" si="2"/>
        <v>0</v>
      </c>
      <c r="P12" s="748"/>
      <c r="R12" s="749">
        <f>INDEX('Actual-ACPLSZ'!$H$7:$T$207,MATCH($B12,'Actual-ACPLSZ'!$B$7:$B$207,0),MATCH(R$8,'Actual-ACPLSZ'!$H$6:$T$6,0))</f>
        <v>0</v>
      </c>
      <c r="S12" s="749">
        <f>INDEX('Budget-ACPLSZ'!$K$7:$W$207,MATCH($B12,'Budget-ACPLSZ'!$B$7:$B$207,0),MATCH(S$8,'Budget-ACPLSZ'!$K$6:$W$6,0))</f>
        <v>0</v>
      </c>
      <c r="T12" s="749">
        <f t="shared" si="5"/>
        <v>0</v>
      </c>
      <c r="U12" s="748"/>
      <c r="W12" s="749">
        <f>INDEX('Actual-ACPLGZ'!$H$7:$T$207,MATCH($B12,'Actual-ACPLGZ'!$B$7:$B$207,0),MATCH(W$8,'Actual-ACPLGZ'!$H$6:$T$6,0))</f>
        <v>0</v>
      </c>
      <c r="X12" s="749">
        <f>INDEX('Budget-ACPLGZ'!$K$7:$W$207,MATCH($B12,'Budget-ACPLGZ'!$B$7:$B$207,0),MATCH(X$8,'Budget-ACPLGZ'!$K$6:$W$6,0))</f>
        <v>0</v>
      </c>
      <c r="Y12" s="749">
        <f t="shared" si="12"/>
        <v>0</v>
      </c>
      <c r="Z12" s="748"/>
      <c r="AB12" s="749">
        <f>INDEX('Actual-ACPLGZ'!$H$7:$T$207,MATCH($B12,'Actual-ACPLGZ'!$B$7:$B$207,0),MATCH(AB$8,'Actual-ACPLGZ'!$H$6:$T$6,0))</f>
        <v>0</v>
      </c>
      <c r="AC12" s="749">
        <f>INDEX('Budget-Yixing'!$K$7:$W$207,MATCH($B12,'Budget-Yixing'!$B$7:$B$207,0),MATCH(AC$8,'Budget-Yixing'!$K$6:$W$6,0))</f>
        <v>0</v>
      </c>
      <c r="AD12" s="749">
        <f t="shared" si="3"/>
        <v>0</v>
      </c>
      <c r="AE12" s="748"/>
      <c r="AG12" s="751">
        <f>SUM(INDEX('Actual-ACPL'!$H$7:$T$207,MATCH($B12,'Actual-ACPL'!$B$7:$B$207,0),MATCH('Actual-ACPL'!H$6,'Actual-ACPL'!$H$6:$T$6,0)):INDEX('Actual-ACPL'!$H$7:$T$207,MATCH($B12,'Actual-ACPL'!$B$7:$B$207,0),MATCH(AG$8,'Actual-ACPL'!$H$6:$T$6,0)))</f>
        <v>0</v>
      </c>
      <c r="AH12" s="751">
        <f>SUM(INDEX('Budget-ACPL'!$K$7:$W$207,MATCH($B12,'Budget-ACPL'!$B$7:$B$207,0),MATCH('Budget-ACPL'!K$6,'Budget-ACPL'!$K$6:$W$6,0)):INDEX('Budget-ACPL'!$K$7:$W$207,MATCH($B12,'Budget-ACPL'!$B$7:$B$207,0),MATCH(AH$8,'Budget-ACPL'!$K$6:$W$6,0)))</f>
        <v>0</v>
      </c>
      <c r="AI12" s="747">
        <f t="shared" si="13"/>
        <v>0</v>
      </c>
      <c r="AJ12" s="748"/>
      <c r="AL12" s="749">
        <f>SUM(INDEX('Actual-ACPLHK'!$H$7:$S$207,MATCH($B12,'Actual-ACPLHK'!$B$7:$B$207,0),MATCH('Actual-ACPLHK'!H$6,'Actual-ACPLHK'!$H$6:$T$6,0)):INDEX('Actual-ACPLHK'!$H$7:$S$207,MATCH($B12,'Actual-ACPLHK'!$B$7:$B$207,0),MATCH(AL$8,'Actual-ACPLHK'!$H$6:$T$6,0)))</f>
        <v>0</v>
      </c>
      <c r="AM12" s="749">
        <f>SUM(INDEX('Budget-ACPLHK'!$K$7:$W$207,MATCH($B12,'Budget-ACPLHK'!$B$7:$B$207,0),MATCH('Budget-ACPLHK'!K$6,'Budget-ACPLHK'!$K$6:$W$6,0)):INDEX('Budget-ACPLHK'!$K$7:$W$207,MATCH($B12,'Budget-ACPLHK'!$B$7:$B$207,0),MATCH(AM$8,'Budget-ACPLHK'!$K$6:$W$6,0)))</f>
        <v>0</v>
      </c>
      <c r="AN12" s="749">
        <f t="shared" si="7"/>
        <v>0</v>
      </c>
      <c r="AO12" s="748"/>
      <c r="AQ12" s="749">
        <f>SUM(INDEX('Actual-ACPSZL'!$H$7:$T$207,MATCH($B12,'Actual-ACPSZL'!$B$7:$B$207,0),MATCH('Actual-ACPSZL'!H$6,'Actual-ACPSZL'!$H$6:$T$6,0)):INDEX('Actual-ACPSZL'!$H$7:$T$207,MATCH($B12,'Actual-ACPSZL'!$B$7:$B$207,0),MATCH(AQ$8,'Actual-ACPSZL'!$H$6:$T$6,0)))</f>
        <v>0</v>
      </c>
      <c r="AR12" s="749">
        <f>SUM(INDEX('Budget-ACPSZL'!$K$7:$W$207,MATCH($B12,'Budget-ACPSZL'!$B$7:$B$207,0),MATCH('Budget-ACPSZL'!K$6,'Budget-ACPSZL'!$K$6:$W$6,0)):INDEX('Budget-ACPSZL'!$K$7:$W$207,MATCH($B12,'Budget-ACPSZL'!$B$7:$B$207,0),MATCH(AR$8,'Budget-ACPSZL'!$K$6:$W$6,0)))</f>
        <v>0</v>
      </c>
      <c r="AS12" s="750">
        <f t="shared" ref="AS12:AS20" si="14">AQ12-AR12</f>
        <v>0</v>
      </c>
      <c r="AT12" s="748"/>
      <c r="AV12" s="749">
        <f>SUM(INDEX('Actual-ACPLSZ'!$H$7:$T$207,MATCH($B12,'Actual-ACPLSZ'!$B$7:$B$207,0),MATCH('Actual-ACPLSZ'!H$6,'Actual-ACPLSZ'!$H$6:$T$6,0)):INDEX('Actual-ACPLSZ'!$H$7:$T$207,MATCH($B12,'Actual-ACPLSZ'!$B$7:$B$207,0),MATCH(AV$8,'Actual-ACPLSZ'!$H$6:$T$6,0)))</f>
        <v>0</v>
      </c>
      <c r="AW12" s="749">
        <f>SUM(INDEX('Budget-ACPLSZ'!$K$7:$W$207,MATCH($B12,'Budget-ACPLSZ'!$B$7:$B$207,0),MATCH('Budget-ACPLSZ'!K$6,'Budget-ACPLSZ'!$K$6:$W$6,0)):INDEX('Budget-ACPLSZ'!$K$7:$W$207,MATCH($B12,'Budget-ACPLSZ'!$B$7:$B$207,0),MATCH(AW$8,'Budget-ACPLSZ'!$K$6:$W$6,0)))</f>
        <v>0</v>
      </c>
      <c r="AX12" s="749">
        <f t="shared" si="8"/>
        <v>0</v>
      </c>
      <c r="AY12" s="748"/>
      <c r="BA12" s="749">
        <f>SUM(INDEX('Actual-ACPLGZ'!$H$7:$T$207,MATCH($B12,'Actual-ACPLGZ'!$B$7:$B$207,0),MATCH('Actual-ACPLGZ'!H$6,'Actual-ACPLGZ'!$H$6:$T$6,0)):INDEX('Actual-ACPLGZ'!$H$7:$T$207,MATCH($B12,'Actual-ACPLGZ'!$B$7:$B$207,0),MATCH(BA$8,'Actual-ACPLGZ'!$H$6:$T$6,0)))</f>
        <v>0</v>
      </c>
      <c r="BB12" s="749">
        <f>SUM(INDEX('Budget-ACPLGZ'!$K$7:$W$207,MATCH($B12,'Budget-ACPLGZ'!$B$7:$B$207,0),MATCH('Budget-ACPLGZ'!K$6,'Budget-ACPLGZ'!$K$6:$W$6,0)):INDEX('Budget-ACPLGZ'!$K$7:$W$207,MATCH($B12,'Budget-ACPLGZ'!$B$7:$B$207,0),MATCH(BB$8,'Budget-ACPLGZ'!$K$6:$W$6,0)))</f>
        <v>0</v>
      </c>
      <c r="BC12" s="750">
        <f t="shared" si="9"/>
        <v>0</v>
      </c>
      <c r="BD12" s="748"/>
      <c r="BF12" s="749">
        <f>SUM(INDEX('Actual-ACPLYixing'!$H$7:$T$207,MATCH($B12,'Actual-ACPLYixing'!$B$7:$B$207,0),MATCH('Actual-ACPLYixing'!H$6,'Actual-ACPLYixing'!$H$6:$T$6,0)):INDEX('Actual-ACPLYixing'!$H$7:$T$207,MATCH($B12,'Actual-ACPLYixing'!$B$7:$B$207,0),MATCH(BF$8,'Actual-ACPLYixing'!$H$6:$T$6,0)))</f>
        <v>0</v>
      </c>
      <c r="BG12" s="749">
        <f>SUM(INDEX('Budget-Yixing'!$K$7:$W$207,MATCH($B12,'Budget-Yixing'!$B$7:$B$207,0),MATCH('Budget-Yixing'!K$6,'Budget-Yixing'!$K$6:$W$6,0)):INDEX('Budget-Yixing'!$K$7:$W$207,MATCH($B12,'Budget-Yixing'!$B$7:$B$207,0),MATCH(BG$8,'Budget-Yixing'!$K$6:$W$6,0)))</f>
        <v>0</v>
      </c>
      <c r="BH12" s="750">
        <f t="shared" si="10"/>
        <v>0</v>
      </c>
      <c r="BI12" s="748"/>
    </row>
    <row r="13" spans="1:61" ht="16.5" customHeight="1">
      <c r="A13" s="653">
        <f>'Budget-合并'!A11</f>
        <v>0</v>
      </c>
      <c r="B13" s="653" t="str">
        <f>'Budget-合并'!B11</f>
        <v xml:space="preserve">      MAA咨询管理费</v>
      </c>
      <c r="C13" s="746">
        <f>INDEX('Actual-ACPL'!$H$7:$T$207,MATCH($B13,'Actual-ACPL'!$B$7:$B$207,0),MATCH(C$8,'Actual-ACPL'!$H$6:$T$6,0))</f>
        <v>0</v>
      </c>
      <c r="D13" s="746">
        <f>INDEX('Budget-ACPL'!$K$7:$W$207,MATCH($B13,'Budget-ACPL'!$B$7:$B$207,0),MATCH(D$8,'Budget-ACPL'!$K$6:$W$6,0))</f>
        <v>0</v>
      </c>
      <c r="E13" s="746">
        <f t="shared" si="11"/>
        <v>0</v>
      </c>
      <c r="F13" s="752"/>
      <c r="H13" s="749">
        <f>INDEX('Actual-ACPLHK'!$H$7:$T$207,MATCH($B13,'Actual-ACPLHK'!$B$7:$B$207,0),MATCH(H$8,'Actual-ACPLHK'!$H$6:$T$6,0))</f>
        <v>0</v>
      </c>
      <c r="I13" s="749">
        <f>INDEX('Budget-ACPLHK'!$K$7:$W$207,MATCH($B13,'Budget-ACPLHK'!$B$7:$B$207,0),MATCH(I$8,'Budget-ACPLHK'!$K$6:$W$6,0))</f>
        <v>0</v>
      </c>
      <c r="J13" s="749">
        <f t="shared" si="4"/>
        <v>0</v>
      </c>
      <c r="K13" s="748"/>
      <c r="M13" s="749">
        <f>INDEX('Actual-ACPSZL'!$H$7:$T$207,MATCH($B13,'Actual-ACPSZL'!$B$7:$B$207,0),MATCH(M$8,'Actual-ACPSZL'!$H$6:$T$6,0))</f>
        <v>0</v>
      </c>
      <c r="N13" s="749">
        <f>INDEX('Budget-ACPSZL'!$K$7:$W$207,MATCH($B13,'Budget-ACPSZL'!$B$7:$B$207,0),MATCH(N$8,'Budget-ACPSZL'!$K$6:$W$6,0))</f>
        <v>0</v>
      </c>
      <c r="O13" s="749">
        <f t="shared" si="2"/>
        <v>0</v>
      </c>
      <c r="P13" s="748"/>
      <c r="R13" s="749">
        <f>INDEX('Actual-ACPLSZ'!$H$7:$T$207,MATCH($B13,'Actual-ACPLSZ'!$B$7:$B$207,0),MATCH(R$8,'Actual-ACPLSZ'!$H$6:$T$6,0))</f>
        <v>0</v>
      </c>
      <c r="S13" s="749">
        <f>INDEX('Budget-ACPLSZ'!$K$7:$W$207,MATCH($B13,'Budget-ACPLSZ'!$B$7:$B$207,0),MATCH(S$8,'Budget-ACPLSZ'!$K$6:$W$6,0))</f>
        <v>0</v>
      </c>
      <c r="T13" s="749">
        <f t="shared" si="5"/>
        <v>0</v>
      </c>
      <c r="U13" s="748"/>
      <c r="W13" s="749">
        <f>INDEX('Actual-ACPLGZ'!$H$7:$T$207,MATCH($B13,'Actual-ACPLGZ'!$B$7:$B$207,0),MATCH(W$8,'Actual-ACPLGZ'!$H$6:$T$6,0))</f>
        <v>0</v>
      </c>
      <c r="X13" s="749">
        <f>INDEX('Budget-ACPLGZ'!$K$7:$W$207,MATCH($B13,'Budget-ACPLGZ'!$B$7:$B$207,0),MATCH(X$8,'Budget-ACPLGZ'!$K$6:$W$6,0))</f>
        <v>0</v>
      </c>
      <c r="Y13" s="749">
        <f t="shared" si="6"/>
        <v>0</v>
      </c>
      <c r="Z13" s="748"/>
      <c r="AB13" s="749">
        <f>INDEX('Actual-ACPLGZ'!$H$7:$T$207,MATCH($B13,'Actual-ACPLGZ'!$B$7:$B$207,0),MATCH(AB$8,'Actual-ACPLGZ'!$H$6:$T$6,0))</f>
        <v>0</v>
      </c>
      <c r="AC13" s="749">
        <f>INDEX('Budget-Yixing'!$K$7:$W$207,MATCH($B13,'Budget-Yixing'!$B$7:$B$207,0),MATCH(AC$8,'Budget-Yixing'!$K$6:$W$6,0))</f>
        <v>0</v>
      </c>
      <c r="AD13" s="749">
        <f t="shared" si="3"/>
        <v>0</v>
      </c>
      <c r="AE13" s="748"/>
      <c r="AG13" s="751">
        <f>SUM(INDEX('Actual-ACPL'!$H$7:$T$207,MATCH($B13,'Actual-ACPL'!$B$7:$B$207,0),MATCH('Actual-ACPL'!H$6,'Actual-ACPL'!$H$6:$T$6,0)):INDEX('Actual-ACPL'!$H$7:$T$207,MATCH($B13,'Actual-ACPL'!$B$7:$B$207,0),MATCH(AG$8,'Actual-ACPL'!$H$6:$T$6,0)))</f>
        <v>0</v>
      </c>
      <c r="AH13" s="751">
        <f>SUM(INDEX('Budget-ACPL'!$K$7:$W$207,MATCH($B13,'Budget-ACPL'!$B$7:$B$207,0),MATCH('Budget-ACPL'!K$6,'Budget-ACPL'!$K$6:$W$6,0)):INDEX('Budget-ACPL'!$K$7:$W$207,MATCH($B13,'Budget-ACPL'!$B$7:$B$207,0),MATCH(AH$8,'Budget-ACPL'!$K$6:$W$6,0)))</f>
        <v>0</v>
      </c>
      <c r="AI13" s="747">
        <f t="shared" si="13"/>
        <v>0</v>
      </c>
      <c r="AJ13" s="748"/>
      <c r="AL13" s="749">
        <f>SUM(INDEX('Actual-ACPLHK'!$H$7:$S$207,MATCH($B13,'Actual-ACPLHK'!$B$7:$B$207,0),MATCH('Actual-ACPLHK'!H$6,'Actual-ACPLHK'!$H$6:$T$6,0)):INDEX('Actual-ACPLHK'!$H$7:$S$207,MATCH($B13,'Actual-ACPLHK'!$B$7:$B$207,0),MATCH(AL$8,'Actual-ACPLHK'!$H$6:$T$6,0)))</f>
        <v>0</v>
      </c>
      <c r="AM13" s="749">
        <f>SUM(INDEX('Budget-ACPLHK'!$K$7:$W$207,MATCH($B13,'Budget-ACPLHK'!$B$7:$B$207,0),MATCH('Budget-ACPLHK'!K$6,'Budget-ACPLHK'!$K$6:$W$6,0)):INDEX('Budget-ACPLHK'!$K$7:$W$207,MATCH($B13,'Budget-ACPLHK'!$B$7:$B$207,0),MATCH(AM$8,'Budget-ACPLHK'!$K$6:$W$6,0)))</f>
        <v>0</v>
      </c>
      <c r="AN13" s="749">
        <f t="shared" si="7"/>
        <v>0</v>
      </c>
      <c r="AO13" s="748"/>
      <c r="AQ13" s="749">
        <f>SUM(INDEX('Actual-ACPSZL'!$H$7:$T$207,MATCH($B13,'Actual-ACPSZL'!$B$7:$B$207,0),MATCH('Actual-ACPSZL'!H$6,'Actual-ACPSZL'!$H$6:$T$6,0)):INDEX('Actual-ACPSZL'!$H$7:$T$207,MATCH($B13,'Actual-ACPSZL'!$B$7:$B$207,0),MATCH(AQ$8,'Actual-ACPSZL'!$H$6:$T$6,0)))</f>
        <v>0</v>
      </c>
      <c r="AR13" s="749">
        <f>SUM(INDEX('Budget-ACPSZL'!$K$7:$W$207,MATCH($B13,'Budget-ACPSZL'!$B$7:$B$207,0),MATCH('Budget-ACPSZL'!K$6,'Budget-ACPSZL'!$K$6:$W$6,0)):INDEX('Budget-ACPSZL'!$K$7:$W$207,MATCH($B13,'Budget-ACPSZL'!$B$7:$B$207,0),MATCH(AR$8,'Budget-ACPSZL'!$K$6:$W$6,0)))</f>
        <v>0</v>
      </c>
      <c r="AS13" s="750">
        <f t="shared" si="14"/>
        <v>0</v>
      </c>
      <c r="AT13" s="748"/>
      <c r="AV13" s="749">
        <f>SUM(INDEX('Actual-ACPLSZ'!$H$7:$T$207,MATCH($B13,'Actual-ACPLSZ'!$B$7:$B$207,0),MATCH('Actual-ACPLSZ'!H$6,'Actual-ACPLSZ'!$H$6:$T$6,0)):INDEX('Actual-ACPLSZ'!$H$7:$T$207,MATCH($B13,'Actual-ACPLSZ'!$B$7:$B$207,0),MATCH(AV$8,'Actual-ACPLSZ'!$H$6:$T$6,0)))</f>
        <v>0</v>
      </c>
      <c r="AW13" s="749">
        <f>SUM(INDEX('Budget-ACPLSZ'!$K$7:$W$207,MATCH($B13,'Budget-ACPLSZ'!$B$7:$B$207,0),MATCH('Budget-ACPLSZ'!K$6,'Budget-ACPLSZ'!$K$6:$W$6,0)):INDEX('Budget-ACPLSZ'!$K$7:$W$207,MATCH($B13,'Budget-ACPLSZ'!$B$7:$B$207,0),MATCH(AW$8,'Budget-ACPLSZ'!$K$6:$W$6,0)))</f>
        <v>0</v>
      </c>
      <c r="AX13" s="749">
        <f t="shared" si="8"/>
        <v>0</v>
      </c>
      <c r="AY13" s="748"/>
      <c r="BA13" s="749">
        <f>SUM(INDEX('Actual-ACPLGZ'!$H$7:$T$207,MATCH($B13,'Actual-ACPLGZ'!$B$7:$B$207,0),MATCH('Actual-ACPLGZ'!H$6,'Actual-ACPLGZ'!$H$6:$T$6,0)):INDEX('Actual-ACPLGZ'!$H$7:$T$207,MATCH($B13,'Actual-ACPLGZ'!$B$7:$B$207,0),MATCH(BA$8,'Actual-ACPLGZ'!$H$6:$T$6,0)))</f>
        <v>0</v>
      </c>
      <c r="BB13" s="749">
        <f>SUM(INDEX('Budget-ACPLGZ'!$K$7:$W$207,MATCH($B13,'Budget-ACPLGZ'!$B$7:$B$207,0),MATCH('Budget-ACPLGZ'!K$6,'Budget-ACPLGZ'!$K$6:$W$6,0)):INDEX('Budget-ACPLGZ'!$K$7:$W$207,MATCH($B13,'Budget-ACPLGZ'!$B$7:$B$207,0),MATCH(BB$8,'Budget-ACPLGZ'!$K$6:$W$6,0)))</f>
        <v>0</v>
      </c>
      <c r="BC13" s="750">
        <f t="shared" si="9"/>
        <v>0</v>
      </c>
      <c r="BD13" s="748"/>
      <c r="BF13" s="749">
        <f>SUM(INDEX('Actual-ACPLYixing'!$H$7:$T$207,MATCH($B13,'Actual-ACPLYixing'!$B$7:$B$207,0),MATCH('Actual-ACPLYixing'!H$6,'Actual-ACPLYixing'!$H$6:$T$6,0)):INDEX('Actual-ACPLYixing'!$H$7:$T$207,MATCH($B13,'Actual-ACPLYixing'!$B$7:$B$207,0),MATCH(BF$8,'Actual-ACPLYixing'!$H$6:$T$6,0)))</f>
        <v>0</v>
      </c>
      <c r="BG13" s="749">
        <f>SUM(INDEX('Budget-Yixing'!$K$7:$W$207,MATCH($B13,'Budget-Yixing'!$B$7:$B$207,0),MATCH('Budget-Yixing'!K$6,'Budget-Yixing'!$K$6:$W$6,0)):INDEX('Budget-Yixing'!$K$7:$W$207,MATCH($B13,'Budget-Yixing'!$B$7:$B$207,0),MATCH(BG$8,'Budget-Yixing'!$K$6:$W$6,0)))</f>
        <v>0</v>
      </c>
      <c r="BH13" s="750">
        <f t="shared" si="10"/>
        <v>0</v>
      </c>
      <c r="BI13" s="748"/>
    </row>
    <row r="14" spans="1:61" ht="16.5" customHeight="1">
      <c r="A14" s="653">
        <f>'Budget-合并'!A12</f>
        <v>0</v>
      </c>
      <c r="B14" s="653" t="str">
        <f>'Budget-合并'!B12</f>
        <v>营业收入合计</v>
      </c>
      <c r="C14" s="746">
        <f>INDEX('Actual-ACPL'!$H$7:$T$207,MATCH($B14,'Actual-ACPL'!$B$7:$B$207,0),MATCH(C$8,'Actual-ACPL'!$H$6:$T$6,0))</f>
        <v>0</v>
      </c>
      <c r="D14" s="746">
        <f>INDEX('Budget-ACPL'!$K$7:$W$207,MATCH($B14,'Budget-ACPL'!$B$7:$B$207,0),MATCH(D$8,'Budget-ACPL'!$K$6:$W$6,0))</f>
        <v>0</v>
      </c>
      <c r="E14" s="746">
        <f t="shared" si="11"/>
        <v>0</v>
      </c>
      <c r="F14" s="753"/>
      <c r="H14" s="749">
        <f>INDEX('Actual-ACPLHK'!$H$7:$T$207,MATCH($B14,'Actual-ACPLHK'!$B$7:$B$207,0),MATCH(H$8,'Actual-ACPLHK'!$H$6:$T$6,0))</f>
        <v>0</v>
      </c>
      <c r="I14" s="749">
        <f>INDEX('Budget-ACPLHK'!$K$7:$W$207,MATCH($B14,'Budget-ACPLHK'!$B$7:$B$207,0),MATCH(I$8,'Budget-ACPLHK'!$K$6:$W$6,0))</f>
        <v>0</v>
      </c>
      <c r="J14" s="753">
        <f>SUM(J10,J11)</f>
        <v>0</v>
      </c>
      <c r="K14" s="746"/>
      <c r="M14" s="749">
        <f>INDEX('Actual-ACPSZL'!$H$7:$T$207,MATCH($B14,'Actual-ACPSZL'!$B$7:$B$207,0),MATCH(M$8,'Actual-ACPSZL'!$H$6:$T$6,0))</f>
        <v>0</v>
      </c>
      <c r="N14" s="749">
        <f>INDEX('Budget-ACPSZL'!$K$7:$W$207,MATCH($B14,'Budget-ACPSZL'!$B$7:$B$207,0),MATCH(N$8,'Budget-ACPSZL'!$K$6:$W$6,0))</f>
        <v>8333.3333333333339</v>
      </c>
      <c r="O14" s="753">
        <f>SUM(O10,O11)</f>
        <v>-8333.3333333333339</v>
      </c>
      <c r="P14" s="753"/>
      <c r="R14" s="749">
        <f>INDEX('Actual-ACPLSZ'!$H$7:$T$207,MATCH($B14,'Actual-ACPLSZ'!$B$7:$B$207,0),MATCH(R$8,'Actual-ACPLSZ'!$H$6:$T$6,0))</f>
        <v>0</v>
      </c>
      <c r="S14" s="749">
        <f>INDEX('Budget-ACPLSZ'!$K$7:$W$207,MATCH($B14,'Budget-ACPLSZ'!$B$7:$B$207,0),MATCH(S$8,'Budget-ACPLSZ'!$K$6:$W$6,0))</f>
        <v>0</v>
      </c>
      <c r="T14" s="753">
        <f>SUM(T10,T11)</f>
        <v>0</v>
      </c>
      <c r="U14" s="753"/>
      <c r="W14" s="749">
        <f>INDEX('Actual-ACPLGZ'!$H$7:$T$207,MATCH($B14,'Actual-ACPLGZ'!$B$7:$B$207,0),MATCH(W$8,'Actual-ACPLGZ'!$H$6:$T$6,0))</f>
        <v>0</v>
      </c>
      <c r="X14" s="749">
        <f>INDEX('Budget-ACPLGZ'!$K$7:$W$207,MATCH($B14,'Budget-ACPLGZ'!$B$7:$B$207,0),MATCH(X$8,'Budget-ACPLGZ'!$K$6:$W$6,0))</f>
        <v>0</v>
      </c>
      <c r="Y14" s="753">
        <f t="shared" ref="Y14" si="15">SUM(Y10,Y11)</f>
        <v>0</v>
      </c>
      <c r="Z14" s="753"/>
      <c r="AB14" s="749">
        <f>INDEX('Actual-ACPLGZ'!$H$7:$T$207,MATCH($B14,'Actual-ACPLGZ'!$B$7:$B$207,0),MATCH(AB$8,'Actual-ACPLGZ'!$H$6:$T$6,0))</f>
        <v>0</v>
      </c>
      <c r="AC14" s="749">
        <f>INDEX('Budget-Yixing'!$K$7:$W$207,MATCH($B14,'Budget-Yixing'!$B$7:$B$207,0),MATCH(AC$8,'Budget-Yixing'!$K$6:$W$6,0))</f>
        <v>0</v>
      </c>
      <c r="AD14" s="753">
        <f t="shared" ref="AD14" si="16">SUM(AD10,AD11)</f>
        <v>0</v>
      </c>
      <c r="AE14" s="753"/>
      <c r="AG14" s="751">
        <f>SUM(INDEX('Actual-ACPL'!$H$7:$T$207,MATCH($B14,'Actual-ACPL'!$B$7:$B$207,0),MATCH('Actual-ACPL'!H$6,'Actual-ACPL'!$H$6:$T$6,0)):INDEX('Actual-ACPL'!$H$7:$T$207,MATCH($B14,'Actual-ACPL'!$B$7:$B$207,0),MATCH(AG$8,'Actual-ACPL'!$H$6:$T$6,0)))</f>
        <v>0</v>
      </c>
      <c r="AH14" s="751">
        <f>SUM(INDEX('Budget-ACPL'!$K$7:$W$207,MATCH($B14,'Budget-ACPL'!$B$7:$B$207,0),MATCH('Budget-ACPL'!K$6,'Budget-ACPL'!$K$6:$W$6,0)):INDEX('Budget-ACPL'!$K$7:$W$207,MATCH($B14,'Budget-ACPL'!$B$7:$B$207,0),MATCH(AH$8,'Budget-ACPL'!$K$6:$W$6,0)))</f>
        <v>0</v>
      </c>
      <c r="AI14" s="747">
        <f t="shared" si="13"/>
        <v>0</v>
      </c>
      <c r="AJ14" s="748"/>
      <c r="AL14" s="749">
        <f>SUM(INDEX('Actual-ACPLHK'!$H$7:$S$207,MATCH($B14,'Actual-ACPLHK'!$B$7:$B$207,0),MATCH('Actual-ACPLHK'!H$6,'Actual-ACPLHK'!$H$6:$T$6,0)):INDEX('Actual-ACPLHK'!$H$7:$S$207,MATCH($B14,'Actual-ACPLHK'!$B$7:$B$207,0),MATCH(AL$8,'Actual-ACPLHK'!$H$6:$T$6,0)))</f>
        <v>0</v>
      </c>
      <c r="AM14" s="749">
        <f>SUM(INDEX('Budget-ACPLHK'!$K$7:$W$207,MATCH($B14,'Budget-ACPLHK'!$B$7:$B$207,0),MATCH('Budget-ACPLHK'!K$6,'Budget-ACPLHK'!$K$6:$W$6,0)):INDEX('Budget-ACPLHK'!$K$7:$W$207,MATCH($B14,'Budget-ACPLHK'!$B$7:$B$207,0),MATCH(AM$8,'Budget-ACPLHK'!$K$6:$W$6,0)))</f>
        <v>0</v>
      </c>
      <c r="AN14" s="753">
        <f t="shared" si="7"/>
        <v>0</v>
      </c>
      <c r="AO14" s="748"/>
      <c r="AQ14" s="749">
        <f>SUM(INDEX('Actual-ACPSZL'!$H$7:$T$207,MATCH($B14,'Actual-ACPSZL'!$B$7:$B$207,0),MATCH('Actual-ACPSZL'!H$6,'Actual-ACPSZL'!$H$6:$T$6,0)):INDEX('Actual-ACPSZL'!$H$7:$T$207,MATCH($B14,'Actual-ACPSZL'!$B$7:$B$207,0),MATCH(AQ$8,'Actual-ACPSZL'!$H$6:$T$6,0)))</f>
        <v>0</v>
      </c>
      <c r="AR14" s="749">
        <f>SUM(INDEX('Budget-ACPSZL'!$K$7:$W$207,MATCH($B14,'Budget-ACPSZL'!$B$7:$B$207,0),MATCH('Budget-ACPSZL'!K$6,'Budget-ACPSZL'!$K$6:$W$6,0)):INDEX('Budget-ACPSZL'!$K$7:$W$207,MATCH($B14,'Budget-ACPSZL'!$B$7:$B$207,0),MATCH(AR$8,'Budget-ACPSZL'!$K$6:$W$6,0)))</f>
        <v>8333.3333333333339</v>
      </c>
      <c r="AS14" s="753">
        <f t="shared" si="14"/>
        <v>-8333.3333333333339</v>
      </c>
      <c r="AT14" s="753"/>
      <c r="AV14" s="749">
        <f>SUM(INDEX('Actual-ACPLSZ'!$H$7:$T$207,MATCH($B14,'Actual-ACPLSZ'!$B$7:$B$207,0),MATCH('Actual-ACPLSZ'!H$6,'Actual-ACPLSZ'!$H$6:$T$6,0)):INDEX('Actual-ACPLSZ'!$H$7:$T$207,MATCH($B14,'Actual-ACPLSZ'!$B$7:$B$207,0),MATCH(AV$8,'Actual-ACPLSZ'!$H$6:$T$6,0)))</f>
        <v>0</v>
      </c>
      <c r="AW14" s="749">
        <f>SUM(INDEX('Budget-ACPLSZ'!$K$7:$W$207,MATCH($B14,'Budget-ACPLSZ'!$B$7:$B$207,0),MATCH('Budget-ACPLSZ'!K$6,'Budget-ACPLSZ'!$K$6:$W$6,0)):INDEX('Budget-ACPLSZ'!$K$7:$W$207,MATCH($B14,'Budget-ACPLSZ'!$B$7:$B$207,0),MATCH(AW$8,'Budget-ACPLSZ'!$K$6:$W$6,0)))</f>
        <v>0</v>
      </c>
      <c r="AX14" s="753">
        <f t="shared" si="8"/>
        <v>0</v>
      </c>
      <c r="AY14" s="753"/>
      <c r="BA14" s="749">
        <f>SUM(INDEX('Actual-ACPLGZ'!$H$7:$T$207,MATCH($B14,'Actual-ACPLGZ'!$B$7:$B$207,0),MATCH('Actual-ACPLGZ'!H$6,'Actual-ACPLGZ'!$H$6:$T$6,0)):INDEX('Actual-ACPLGZ'!$H$7:$T$207,MATCH($B14,'Actual-ACPLGZ'!$B$7:$B$207,0),MATCH(BA$8,'Actual-ACPLGZ'!$H$6:$T$6,0)))</f>
        <v>0</v>
      </c>
      <c r="BB14" s="749">
        <f>SUM(INDEX('Budget-ACPLGZ'!$K$7:$W$207,MATCH($B14,'Budget-ACPLGZ'!$B$7:$B$207,0),MATCH('Budget-ACPLGZ'!K$6,'Budget-ACPLGZ'!$K$6:$W$6,0)):INDEX('Budget-ACPLGZ'!$K$7:$W$207,MATCH($B14,'Budget-ACPLGZ'!$B$7:$B$207,0),MATCH(BB$8,'Budget-ACPLGZ'!$K$6:$W$6,0)))</f>
        <v>0</v>
      </c>
      <c r="BC14" s="753">
        <f t="shared" si="9"/>
        <v>0</v>
      </c>
      <c r="BD14" s="753"/>
      <c r="BF14" s="749">
        <f>SUM(INDEX('Actual-ACPLYixing'!$H$7:$T$207,MATCH($B14,'Actual-ACPLYixing'!$B$7:$B$207,0),MATCH('Actual-ACPLYixing'!H$6,'Actual-ACPLYixing'!$H$6:$T$6,0)):INDEX('Actual-ACPLYixing'!$H$7:$T$207,MATCH($B14,'Actual-ACPLYixing'!$B$7:$B$207,0),MATCH(BF$8,'Actual-ACPLYixing'!$H$6:$T$6,0)))</f>
        <v>0</v>
      </c>
      <c r="BG14" s="749">
        <f>SUM(INDEX('Budget-Yixing'!$K$7:$W$207,MATCH($B14,'Budget-Yixing'!$B$7:$B$207,0),MATCH('Budget-Yixing'!K$6,'Budget-Yixing'!$K$6:$W$6,0)):INDEX('Budget-Yixing'!$K$7:$W$207,MATCH($B14,'Budget-Yixing'!$B$7:$B$207,0),MATCH(BG$8,'Budget-Yixing'!$K$6:$W$6,0)))</f>
        <v>0</v>
      </c>
      <c r="BH14" s="753">
        <f t="shared" si="10"/>
        <v>0</v>
      </c>
      <c r="BI14" s="753"/>
    </row>
    <row r="15" spans="1:61" ht="16.5" customHeight="1">
      <c r="A15" s="653">
        <f>'Budget-合并'!A13</f>
        <v>0</v>
      </c>
      <c r="B15" s="653">
        <f>'Budget-合并'!B13</f>
        <v>0</v>
      </c>
      <c r="C15" s="746">
        <f>INDEX('Actual-ACPL'!$H$7:$T$207,MATCH($B15,'Actual-ACPL'!$B$7:$B$207,0),MATCH(C$8,'Actual-ACPL'!$H$6:$T$6,0))</f>
        <v>0</v>
      </c>
      <c r="D15" s="746">
        <f>INDEX('Budget-ACPL'!$K$7:$W$207,MATCH($B15,'Budget-ACPL'!$B$7:$B$207,0),MATCH(D$8,'Budget-ACPL'!$K$6:$W$6,0))</f>
        <v>0</v>
      </c>
      <c r="E15" s="746"/>
      <c r="F15" s="752"/>
      <c r="H15" s="749">
        <f>INDEX('Actual-ACPLHK'!$H$7:$T$207,MATCH($B15,'Actual-ACPLHK'!$B$7:$B$207,0),MATCH(H$8,'Actual-ACPLHK'!$H$6:$T$6,0))</f>
        <v>0</v>
      </c>
      <c r="I15" s="749">
        <f>INDEX('Budget-ACPLHK'!$K$7:$W$207,MATCH($B15,'Budget-ACPLHK'!$B$7:$B$207,0),MATCH(I$8,'Budget-ACPLHK'!$K$6:$W$6,0))</f>
        <v>0</v>
      </c>
      <c r="J15" s="749"/>
      <c r="K15" s="748"/>
      <c r="M15" s="749">
        <f>INDEX('Actual-ACPSZL'!$H$7:$T$207,MATCH($B15,'Actual-ACPSZL'!$B$7:$B$207,0),MATCH(M$8,'Actual-ACPSZL'!$H$6:$T$6,0))</f>
        <v>0</v>
      </c>
      <c r="N15" s="749">
        <f>INDEX('Budget-ACPSZL'!$K$7:$W$207,MATCH($B15,'Budget-ACPSZL'!$B$7:$B$207,0),MATCH(N$8,'Budget-ACPSZL'!$K$6:$W$6,0))</f>
        <v>0</v>
      </c>
      <c r="O15" s="749"/>
      <c r="P15" s="748"/>
      <c r="R15" s="749">
        <f>INDEX('Actual-ACPLSZ'!$H$7:$T$207,MATCH($B15,'Actual-ACPLSZ'!$B$7:$B$207,0),MATCH(R$8,'Actual-ACPLSZ'!$H$6:$T$6,0))</f>
        <v>0</v>
      </c>
      <c r="S15" s="749">
        <f>INDEX('Budget-ACPLSZ'!$K$7:$W$207,MATCH($B15,'Budget-ACPLSZ'!$B$7:$B$207,0),MATCH(S$8,'Budget-ACPLSZ'!$K$6:$W$6,0))</f>
        <v>0</v>
      </c>
      <c r="T15" s="749"/>
      <c r="U15" s="748"/>
      <c r="W15" s="749">
        <f>INDEX('Actual-ACPLGZ'!$H$7:$T$207,MATCH($B15,'Actual-ACPLGZ'!$B$7:$B$207,0),MATCH(W$8,'Actual-ACPLGZ'!$H$6:$T$6,0))</f>
        <v>0</v>
      </c>
      <c r="X15" s="749">
        <f>INDEX('Budget-ACPLGZ'!$K$7:$W$207,MATCH($B15,'Budget-ACPLGZ'!$B$7:$B$207,0),MATCH(X$8,'Budget-ACPLGZ'!$K$6:$W$6,0))</f>
        <v>0</v>
      </c>
      <c r="Y15" s="749"/>
      <c r="Z15" s="748"/>
      <c r="AB15" s="749">
        <f>INDEX('Actual-ACPLGZ'!$H$7:$T$207,MATCH($B15,'Actual-ACPLGZ'!$B$7:$B$207,0),MATCH(AB$8,'Actual-ACPLGZ'!$H$6:$T$6,0))</f>
        <v>0</v>
      </c>
      <c r="AC15" s="749">
        <f>INDEX('Budget-Yixing'!$K$7:$W$207,MATCH($B15,'Budget-Yixing'!$B$7:$B$207,0),MATCH(AC$8,'Budget-Yixing'!$K$6:$W$6,0))</f>
        <v>0</v>
      </c>
      <c r="AD15" s="749"/>
      <c r="AE15" s="748"/>
      <c r="AG15" s="751">
        <f>SUM(INDEX('Actual-ACPL'!$H$7:$T$207,MATCH($B15,'Actual-ACPL'!$B$7:$B$207,0),MATCH('Actual-ACPL'!H$6,'Actual-ACPL'!$H$6:$T$6,0)):INDEX('Actual-ACPL'!$H$7:$T$207,MATCH($B15,'Actual-ACPL'!$B$7:$B$207,0),MATCH(AG$8,'Actual-ACPL'!$H$6:$T$6,0)))</f>
        <v>0</v>
      </c>
      <c r="AH15" s="751">
        <f>SUM(INDEX('Budget-ACPL'!$K$7:$W$207,MATCH($B15,'Budget-ACPL'!$B$7:$B$207,0),MATCH('Budget-ACPL'!K$6,'Budget-ACPL'!$K$6:$W$6,0)):INDEX('Budget-ACPL'!$K$7:$W$207,MATCH($B15,'Budget-ACPL'!$B$7:$B$207,0),MATCH(AH$8,'Budget-ACPL'!$K$6:$W$6,0)))</f>
        <v>0</v>
      </c>
      <c r="AI15" s="746"/>
      <c r="AJ15" s="748"/>
      <c r="AL15" s="749">
        <f>SUM(INDEX('Actual-ACPLHK'!$H$7:$S$207,MATCH($B15,'Actual-ACPLHK'!$B$7:$B$207,0),MATCH('Actual-ACPLHK'!H$6,'Actual-ACPLHK'!$H$6:$T$6,0)):INDEX('Actual-ACPLHK'!$H$7:$S$207,MATCH($B15,'Actual-ACPLHK'!$B$7:$B$207,0),MATCH(AL$8,'Actual-ACPLHK'!$H$6:$T$6,0)))</f>
        <v>0</v>
      </c>
      <c r="AM15" s="749">
        <f>SUM(INDEX('Budget-ACPLHK'!$K$7:$W$207,MATCH($B15,'Budget-ACPLHK'!$B$7:$B$207,0),MATCH('Budget-ACPLHK'!K$6,'Budget-ACPLHK'!$K$6:$W$6,0)):INDEX('Budget-ACPLHK'!$K$7:$W$207,MATCH($B15,'Budget-ACPLHK'!$B$7:$B$207,0),MATCH(AM$8,'Budget-ACPLHK'!$K$6:$W$6,0)))</f>
        <v>0</v>
      </c>
      <c r="AN15" s="749"/>
      <c r="AO15" s="748"/>
      <c r="AQ15" s="749">
        <f>SUM(INDEX('Actual-ACPSZL'!$H$7:$T$207,MATCH($B15,'Actual-ACPSZL'!$B$7:$B$207,0),MATCH('Actual-ACPSZL'!H$6,'Actual-ACPSZL'!$H$6:$T$6,0)):INDEX('Actual-ACPSZL'!$H$7:$T$207,MATCH($B15,'Actual-ACPSZL'!$B$7:$B$207,0),MATCH(AQ$8,'Actual-ACPSZL'!$H$6:$T$6,0)))</f>
        <v>0</v>
      </c>
      <c r="AR15" s="749">
        <f>SUM(INDEX('Budget-ACPSZL'!$K$7:$W$207,MATCH($B15,'Budget-ACPSZL'!$B$7:$B$207,0),MATCH('Budget-ACPSZL'!K$6,'Budget-ACPSZL'!$K$6:$W$6,0)):INDEX('Budget-ACPSZL'!$K$7:$W$207,MATCH($B15,'Budget-ACPSZL'!$B$7:$B$207,0),MATCH(AR$8,'Budget-ACPSZL'!$K$6:$W$6,0)))</f>
        <v>0</v>
      </c>
      <c r="AS15" s="749"/>
      <c r="AT15" s="748"/>
      <c r="AV15" s="749">
        <f>SUM(INDEX('Actual-ACPLSZ'!$H$7:$T$207,MATCH($B15,'Actual-ACPLSZ'!$B$7:$B$207,0),MATCH('Actual-ACPLSZ'!H$6,'Actual-ACPLSZ'!$H$6:$T$6,0)):INDEX('Actual-ACPLSZ'!$H$7:$T$207,MATCH($B15,'Actual-ACPLSZ'!$B$7:$B$207,0),MATCH(AV$8,'Actual-ACPLSZ'!$H$6:$T$6,0)))</f>
        <v>0</v>
      </c>
      <c r="AW15" s="749">
        <f>SUM(INDEX('Budget-ACPLSZ'!$K$7:$W$207,MATCH($B15,'Budget-ACPLSZ'!$B$7:$B$207,0),MATCH('Budget-ACPLSZ'!K$6,'Budget-ACPLSZ'!$K$6:$W$6,0)):INDEX('Budget-ACPLSZ'!$K$7:$W$207,MATCH($B15,'Budget-ACPLSZ'!$B$7:$B$207,0),MATCH(AW$8,'Budget-ACPLSZ'!$K$6:$W$6,0)))</f>
        <v>0</v>
      </c>
      <c r="AX15" s="749"/>
      <c r="AY15" s="748"/>
      <c r="BA15" s="749">
        <f>SUM(INDEX('Actual-ACPLGZ'!$H$7:$T$207,MATCH($B15,'Actual-ACPLGZ'!$B$7:$B$207,0),MATCH('Actual-ACPLGZ'!H$6,'Actual-ACPLGZ'!$H$6:$T$6,0)):INDEX('Actual-ACPLGZ'!$H$7:$T$207,MATCH($B15,'Actual-ACPLGZ'!$B$7:$B$207,0),MATCH(BA$8,'Actual-ACPLGZ'!$H$6:$T$6,0)))</f>
        <v>0</v>
      </c>
      <c r="BB15" s="749">
        <f>SUM(INDEX('Budget-ACPLGZ'!$K$7:$W$207,MATCH($B15,'Budget-ACPLGZ'!$B$7:$B$207,0),MATCH('Budget-ACPLGZ'!K$6,'Budget-ACPLGZ'!$K$6:$W$6,0)):INDEX('Budget-ACPLGZ'!$K$7:$W$207,MATCH($B15,'Budget-ACPLGZ'!$B$7:$B$207,0),MATCH(BB$8,'Budget-ACPLGZ'!$K$6:$W$6,0)))</f>
        <v>0</v>
      </c>
      <c r="BC15" s="749"/>
      <c r="BD15" s="748"/>
      <c r="BF15" s="749">
        <f>SUM(INDEX('Actual-ACPLYixing'!$H$7:$T$207,MATCH($B15,'Actual-ACPLYixing'!$B$7:$B$207,0),MATCH('Actual-ACPLYixing'!H$6,'Actual-ACPLYixing'!$H$6:$T$6,0)):INDEX('Actual-ACPLYixing'!$H$7:$T$207,MATCH($B15,'Actual-ACPLYixing'!$B$7:$B$207,0),MATCH(BF$8,'Actual-ACPLYixing'!$H$6:$T$6,0)))</f>
        <v>0</v>
      </c>
      <c r="BG15" s="749">
        <f>SUM(INDEX('Budget-Yixing'!$K$7:$W$207,MATCH($B15,'Budget-Yixing'!$B$7:$B$207,0),MATCH('Budget-Yixing'!K$6,'Budget-Yixing'!$K$6:$W$6,0)):INDEX('Budget-Yixing'!$K$7:$W$207,MATCH($B15,'Budget-Yixing'!$B$7:$B$207,0),MATCH(BG$8,'Budget-Yixing'!$K$6:$W$6,0)))</f>
        <v>0</v>
      </c>
      <c r="BH15" s="749"/>
      <c r="BI15" s="748"/>
    </row>
    <row r="16" spans="1:61" ht="16.5" customHeight="1">
      <c r="A16" s="653" t="str">
        <f>'Budget-合并'!A14</f>
        <v>6405.01</v>
      </c>
      <c r="B16" s="653" t="str">
        <f>'Budget-合并'!B14</f>
        <v>印花税</v>
      </c>
      <c r="C16" s="746">
        <f>INDEX('Actual-ACPL'!$H$7:$T$207,MATCH($B16,'Actual-ACPL'!$B$7:$B$207,0),MATCH(C$8,'Actual-ACPL'!$H$6:$T$6,0))</f>
        <v>0</v>
      </c>
      <c r="D16" s="746">
        <f>INDEX('Budget-ACPL'!$K$7:$W$207,MATCH($B16,'Budget-ACPL'!$B$7:$B$207,0),MATCH(D$8,'Budget-ACPL'!$K$6:$W$6,0))</f>
        <v>0</v>
      </c>
      <c r="E16" s="746">
        <f t="shared" si="11"/>
        <v>0</v>
      </c>
      <c r="F16" s="752"/>
      <c r="H16" s="749">
        <f>INDEX('Actual-ACPLHK'!$H$7:$T$207,MATCH($B16,'Actual-ACPLHK'!$B$7:$B$207,0),MATCH(H$8,'Actual-ACPLHK'!$H$6:$T$6,0))</f>
        <v>0</v>
      </c>
      <c r="I16" s="749">
        <f>INDEX('Budget-ACPLHK'!$K$7:$W$207,MATCH($B16,'Budget-ACPLHK'!$B$7:$B$207,0),MATCH(I$8,'Budget-ACPLHK'!$K$6:$W$6,0))</f>
        <v>0</v>
      </c>
      <c r="J16" s="749">
        <f>H16-I16</f>
        <v>0</v>
      </c>
      <c r="K16" s="748"/>
      <c r="M16" s="749">
        <f>INDEX('Actual-ACPSZL'!$H$7:$T$207,MATCH($B16,'Actual-ACPSZL'!$B$7:$B$207,0),MATCH(M$8,'Actual-ACPSZL'!$H$6:$T$6,0))</f>
        <v>0</v>
      </c>
      <c r="N16" s="749">
        <f>INDEX('Budget-ACPSZL'!$K$7:$W$207,MATCH($B16,'Budget-ACPSZL'!$B$7:$B$207,0),MATCH(N$8,'Budget-ACPSZL'!$K$6:$W$6,0))</f>
        <v>0</v>
      </c>
      <c r="O16" s="754"/>
      <c r="P16" s="748"/>
      <c r="R16" s="749">
        <f>INDEX('Actual-ACPLSZ'!$H$7:$T$207,MATCH($B16,'Actual-ACPLSZ'!$B$7:$B$207,0),MATCH(R$8,'Actual-ACPLSZ'!$H$6:$T$6,0))</f>
        <v>0</v>
      </c>
      <c r="S16" s="749">
        <f>INDEX('Budget-ACPLSZ'!$K$7:$W$207,MATCH($B16,'Budget-ACPLSZ'!$B$7:$B$207,0),MATCH(S$8,'Budget-ACPLSZ'!$K$6:$W$6,0))</f>
        <v>0</v>
      </c>
      <c r="T16" s="754"/>
      <c r="U16" s="748"/>
      <c r="W16" s="749">
        <f>INDEX('Actual-ACPLGZ'!$H$7:$T$207,MATCH($B16,'Actual-ACPLGZ'!$B$7:$B$207,0),MATCH(W$8,'Actual-ACPLGZ'!$H$6:$T$6,0))</f>
        <v>0</v>
      </c>
      <c r="X16" s="749">
        <f>INDEX('Budget-ACPLGZ'!$K$7:$W$207,MATCH($B16,'Budget-ACPLGZ'!$B$7:$B$207,0),MATCH(X$8,'Budget-ACPLGZ'!$K$6:$W$6,0))</f>
        <v>0</v>
      </c>
      <c r="Y16" s="749">
        <f t="shared" si="12"/>
        <v>0</v>
      </c>
      <c r="Z16" s="748"/>
      <c r="AB16" s="749">
        <f>INDEX('Actual-ACPLGZ'!$H$7:$T$207,MATCH($B16,'Actual-ACPLGZ'!$B$7:$B$207,0),MATCH(AB$8,'Actual-ACPLGZ'!$H$6:$T$6,0))</f>
        <v>0</v>
      </c>
      <c r="AC16" s="749">
        <f>INDEX('Budget-Yixing'!$K$7:$W$207,MATCH($B16,'Budget-Yixing'!$B$7:$B$207,0),MATCH(AC$8,'Budget-Yixing'!$K$6:$W$6,0))</f>
        <v>0</v>
      </c>
      <c r="AD16" s="754"/>
      <c r="AE16" s="748"/>
      <c r="AG16" s="751">
        <f>SUM(INDEX('Actual-ACPL'!$H$7:$T$207,MATCH($B16,'Actual-ACPL'!$B$7:$B$207,0),MATCH('Actual-ACPL'!H$6,'Actual-ACPL'!$H$6:$T$6,0)):INDEX('Actual-ACPL'!$H$7:$T$207,MATCH($B16,'Actual-ACPL'!$B$7:$B$207,0),MATCH(AG$8,'Actual-ACPL'!$H$6:$T$6,0)))</f>
        <v>0</v>
      </c>
      <c r="AH16" s="751">
        <f>SUM(INDEX('Budget-ACPL'!$K$7:$W$207,MATCH($B16,'Budget-ACPL'!$B$7:$B$207,0),MATCH('Budget-ACPL'!K$6,'Budget-ACPL'!$K$6:$W$6,0)):INDEX('Budget-ACPL'!$K$7:$W$207,MATCH($B16,'Budget-ACPL'!$B$7:$B$207,0),MATCH(AH$8,'Budget-ACPL'!$K$6:$W$6,0)))</f>
        <v>0</v>
      </c>
      <c r="AI16" s="747">
        <f t="shared" si="13"/>
        <v>0</v>
      </c>
      <c r="AJ16" s="748"/>
      <c r="AL16" s="749">
        <f>SUM(INDEX('Actual-ACPLHK'!$H$7:$S$207,MATCH($B16,'Actual-ACPLHK'!$B$7:$B$207,0),MATCH('Actual-ACPLHK'!H$6,'Actual-ACPLHK'!$H$6:$T$6,0)):INDEX('Actual-ACPLHK'!$H$7:$S$207,MATCH($B16,'Actual-ACPLHK'!$B$7:$B$207,0),MATCH(AL$8,'Actual-ACPLHK'!$H$6:$T$6,0)))</f>
        <v>0</v>
      </c>
      <c r="AM16" s="749">
        <f>SUM(INDEX('Budget-ACPLHK'!$K$7:$W$207,MATCH($B16,'Budget-ACPLHK'!$B$7:$B$207,0),MATCH('Budget-ACPLHK'!K$6,'Budget-ACPLHK'!$K$6:$W$6,0)):INDEX('Budget-ACPLHK'!$K$7:$W$207,MATCH($B16,'Budget-ACPLHK'!$B$7:$B$207,0),MATCH(AM$8,'Budget-ACPLHK'!$K$6:$W$6,0)))</f>
        <v>0</v>
      </c>
      <c r="AN16" s="749">
        <f t="shared" ref="AN16:AN21" si="17">AL16-AM16</f>
        <v>0</v>
      </c>
      <c r="AO16" s="748"/>
      <c r="AQ16" s="749">
        <f>SUM(INDEX('Actual-ACPSZL'!$H$7:$T$207,MATCH($B16,'Actual-ACPSZL'!$B$7:$B$207,0),MATCH('Actual-ACPSZL'!H$6,'Actual-ACPSZL'!$H$6:$T$6,0)):INDEX('Actual-ACPSZL'!$H$7:$T$207,MATCH($B16,'Actual-ACPSZL'!$B$7:$B$207,0),MATCH(AQ$8,'Actual-ACPSZL'!$H$6:$T$6,0)))</f>
        <v>0</v>
      </c>
      <c r="AR16" s="749">
        <f>SUM(INDEX('Budget-ACPSZL'!$K$7:$W$207,MATCH($B16,'Budget-ACPSZL'!$B$7:$B$207,0),MATCH('Budget-ACPSZL'!K$6,'Budget-ACPSZL'!$K$6:$W$6,0)):INDEX('Budget-ACPSZL'!$K$7:$W$207,MATCH($B16,'Budget-ACPSZL'!$B$7:$B$207,0),MATCH(AR$8,'Budget-ACPSZL'!$K$6:$W$6,0)))</f>
        <v>0</v>
      </c>
      <c r="AS16" s="750">
        <f t="shared" si="14"/>
        <v>0</v>
      </c>
      <c r="AT16" s="748"/>
      <c r="AV16" s="749">
        <f>SUM(INDEX('Actual-ACPLSZ'!$H$7:$T$207,MATCH($B16,'Actual-ACPLSZ'!$B$7:$B$207,0),MATCH('Actual-ACPLSZ'!H$6,'Actual-ACPLSZ'!$H$6:$T$6,0)):INDEX('Actual-ACPLSZ'!$H$7:$T$207,MATCH($B16,'Actual-ACPLSZ'!$B$7:$B$207,0),MATCH(AV$8,'Actual-ACPLSZ'!$H$6:$T$6,0)))</f>
        <v>0</v>
      </c>
      <c r="AW16" s="749">
        <f>SUM(INDEX('Budget-ACPLSZ'!$K$7:$W$207,MATCH($B16,'Budget-ACPLSZ'!$B$7:$B$207,0),MATCH('Budget-ACPLSZ'!K$6,'Budget-ACPLSZ'!$K$6:$W$6,0)):INDEX('Budget-ACPLSZ'!$K$7:$W$207,MATCH($B16,'Budget-ACPLSZ'!$B$7:$B$207,0),MATCH(AW$8,'Budget-ACPLSZ'!$K$6:$W$6,0)))</f>
        <v>0</v>
      </c>
      <c r="AX16" s="750">
        <f>AV16-AW16</f>
        <v>0</v>
      </c>
      <c r="AY16" s="748"/>
      <c r="BA16" s="749">
        <f>SUM(INDEX('Actual-ACPLGZ'!$H$7:$T$207,MATCH($B16,'Actual-ACPLGZ'!$B$7:$B$207,0),MATCH('Actual-ACPLGZ'!H$6,'Actual-ACPLGZ'!$H$6:$T$6,0)):INDEX('Actual-ACPLGZ'!$H$7:$T$207,MATCH($B16,'Actual-ACPLGZ'!$B$7:$B$207,0),MATCH(BA$8,'Actual-ACPLGZ'!$H$6:$T$6,0)))</f>
        <v>0</v>
      </c>
      <c r="BB16" s="749">
        <f>SUM(INDEX('Budget-ACPLGZ'!$K$7:$W$207,MATCH($B16,'Budget-ACPLGZ'!$B$7:$B$207,0),MATCH('Budget-ACPLGZ'!K$6,'Budget-ACPLGZ'!$K$6:$W$6,0)):INDEX('Budget-ACPLGZ'!$K$7:$W$207,MATCH($B16,'Budget-ACPLGZ'!$B$7:$B$207,0),MATCH(BB$8,'Budget-ACPLGZ'!$K$6:$W$6,0)))</f>
        <v>0</v>
      </c>
      <c r="BC16" s="750">
        <f t="shared" ref="BC16:BC20" si="18">BA16-BB16</f>
        <v>0</v>
      </c>
      <c r="BD16" s="748"/>
      <c r="BF16" s="749">
        <f>SUM(INDEX('Actual-ACPLYixing'!$H$7:$T$207,MATCH($B16,'Actual-ACPLYixing'!$B$7:$B$207,0),MATCH('Actual-ACPLYixing'!H$6,'Actual-ACPLYixing'!$H$6:$T$6,0)):INDEX('Actual-ACPLYixing'!$H$7:$T$207,MATCH($B16,'Actual-ACPLYixing'!$B$7:$B$207,0),MATCH(BF$8,'Actual-ACPLYixing'!$H$6:$T$6,0)))</f>
        <v>0</v>
      </c>
      <c r="BG16" s="749">
        <f>SUM(INDEX('Budget-Yixing'!$K$7:$W$207,MATCH($B16,'Budget-Yixing'!$B$7:$B$207,0),MATCH('Budget-Yixing'!K$6,'Budget-Yixing'!$K$6:$W$6,0)):INDEX('Budget-Yixing'!$K$7:$W$207,MATCH($B16,'Budget-Yixing'!$B$7:$B$207,0),MATCH(BG$8,'Budget-Yixing'!$K$6:$W$6,0)))</f>
        <v>0</v>
      </c>
      <c r="BH16" s="750">
        <f t="shared" ref="BH16:BH20" si="19">BF16-BG16</f>
        <v>0</v>
      </c>
      <c r="BI16" s="748"/>
    </row>
    <row r="17" spans="1:61" ht="16.5" customHeight="1">
      <c r="A17" s="653" t="str">
        <f>'Budget-合并'!A15</f>
        <v>6405.02</v>
      </c>
      <c r="B17" s="653" t="str">
        <f>'Budget-合并'!B15</f>
        <v>城市维护建设税</v>
      </c>
      <c r="C17" s="746">
        <f>INDEX('Actual-ACPL'!$H$7:$T$207,MATCH($B17,'Actual-ACPL'!$B$7:$B$207,0),MATCH(C$8,'Actual-ACPL'!$H$6:$T$6,0))</f>
        <v>0</v>
      </c>
      <c r="D17" s="746">
        <f>INDEX('Budget-ACPL'!$K$7:$W$207,MATCH($B17,'Budget-ACPL'!$B$7:$B$207,0),MATCH(D$8,'Budget-ACPL'!$K$6:$W$6,0))</f>
        <v>0</v>
      </c>
      <c r="E17" s="746">
        <f t="shared" si="11"/>
        <v>0</v>
      </c>
      <c r="F17" s="752"/>
      <c r="H17" s="749">
        <f>INDEX('Actual-ACPLHK'!$H$7:$T$207,MATCH($B17,'Actual-ACPLHK'!$B$7:$B$207,0),MATCH(H$8,'Actual-ACPLHK'!$H$6:$T$6,0))</f>
        <v>0</v>
      </c>
      <c r="I17" s="749">
        <f>INDEX('Budget-ACPLHK'!$K$7:$W$207,MATCH($B17,'Budget-ACPLHK'!$B$7:$B$207,0),MATCH(I$8,'Budget-ACPLHK'!$K$6:$W$6,0))</f>
        <v>0</v>
      </c>
      <c r="J17" s="749">
        <f>H17-I17</f>
        <v>0</v>
      </c>
      <c r="K17" s="748"/>
      <c r="M17" s="749">
        <f>INDEX('Actual-ACPSZL'!$H$7:$T$207,MATCH($B17,'Actual-ACPSZL'!$B$7:$B$207,0),MATCH(M$8,'Actual-ACPSZL'!$H$6:$T$6,0))</f>
        <v>0</v>
      </c>
      <c r="N17" s="749">
        <f>INDEX('Budget-ACPSZL'!$K$7:$W$207,MATCH($B17,'Budget-ACPSZL'!$B$7:$B$207,0),MATCH(N$8,'Budget-ACPSZL'!$K$6:$W$6,0))</f>
        <v>0</v>
      </c>
      <c r="O17" s="749"/>
      <c r="P17" s="748"/>
      <c r="R17" s="749">
        <f>INDEX('Actual-ACPLSZ'!$H$7:$T$207,MATCH($B17,'Actual-ACPLSZ'!$B$7:$B$207,0),MATCH(R$8,'Actual-ACPLSZ'!$H$6:$T$6,0))</f>
        <v>0</v>
      </c>
      <c r="S17" s="749">
        <f>INDEX('Budget-ACPLSZ'!$K$7:$W$207,MATCH($B17,'Budget-ACPLSZ'!$B$7:$B$207,0),MATCH(S$8,'Budget-ACPLSZ'!$K$6:$W$6,0))</f>
        <v>0</v>
      </c>
      <c r="T17" s="749"/>
      <c r="U17" s="748"/>
      <c r="W17" s="749">
        <f>INDEX('Actual-ACPLGZ'!$H$7:$T$207,MATCH($B17,'Actual-ACPLGZ'!$B$7:$B$207,0),MATCH(W$8,'Actual-ACPLGZ'!$H$6:$T$6,0))</f>
        <v>0</v>
      </c>
      <c r="X17" s="749">
        <f>INDEX('Budget-ACPLGZ'!$K$7:$W$207,MATCH($B17,'Budget-ACPLGZ'!$B$7:$B$207,0),MATCH(X$8,'Budget-ACPLGZ'!$K$6:$W$6,0))</f>
        <v>0</v>
      </c>
      <c r="Y17" s="749">
        <f t="shared" si="12"/>
        <v>0</v>
      </c>
      <c r="Z17" s="748"/>
      <c r="AB17" s="749">
        <f>INDEX('Actual-ACPLGZ'!$H$7:$T$207,MATCH($B17,'Actual-ACPLGZ'!$B$7:$B$207,0),MATCH(AB$8,'Actual-ACPLGZ'!$H$6:$T$6,0))</f>
        <v>0</v>
      </c>
      <c r="AC17" s="749">
        <f>INDEX('Budget-Yixing'!$K$7:$W$207,MATCH($B17,'Budget-Yixing'!$B$7:$B$207,0),MATCH(AC$8,'Budget-Yixing'!$K$6:$W$6,0))</f>
        <v>0</v>
      </c>
      <c r="AD17" s="749"/>
      <c r="AE17" s="748"/>
      <c r="AG17" s="751">
        <f>SUM(INDEX('Actual-ACPL'!$H$7:$T$207,MATCH($B17,'Actual-ACPL'!$B$7:$B$207,0),MATCH('Actual-ACPL'!H$6,'Actual-ACPL'!$H$6:$T$6,0)):INDEX('Actual-ACPL'!$H$7:$T$207,MATCH($B17,'Actual-ACPL'!$B$7:$B$207,0),MATCH(AG$8,'Actual-ACPL'!$H$6:$T$6,0)))</f>
        <v>0</v>
      </c>
      <c r="AH17" s="751">
        <f>SUM(INDEX('Budget-ACPL'!$K$7:$W$207,MATCH($B17,'Budget-ACPL'!$B$7:$B$207,0),MATCH('Budget-ACPL'!K$6,'Budget-ACPL'!$K$6:$W$6,0)):INDEX('Budget-ACPL'!$K$7:$W$207,MATCH($B17,'Budget-ACPL'!$B$7:$B$207,0),MATCH(AH$8,'Budget-ACPL'!$K$6:$W$6,0)))</f>
        <v>0</v>
      </c>
      <c r="AI17" s="747">
        <f t="shared" si="13"/>
        <v>0</v>
      </c>
      <c r="AJ17" s="748"/>
      <c r="AL17" s="749">
        <f>SUM(INDEX('Actual-ACPLHK'!$H$7:$S$207,MATCH($B17,'Actual-ACPLHK'!$B$7:$B$207,0),MATCH('Actual-ACPLHK'!H$6,'Actual-ACPLHK'!$H$6:$T$6,0)):INDEX('Actual-ACPLHK'!$H$7:$S$207,MATCH($B17,'Actual-ACPLHK'!$B$7:$B$207,0),MATCH(AL$8,'Actual-ACPLHK'!$H$6:$T$6,0)))</f>
        <v>0</v>
      </c>
      <c r="AM17" s="749">
        <f>SUM(INDEX('Budget-ACPLHK'!$K$7:$W$207,MATCH($B17,'Budget-ACPLHK'!$B$7:$B$207,0),MATCH('Budget-ACPLHK'!K$6,'Budget-ACPLHK'!$K$6:$W$6,0)):INDEX('Budget-ACPLHK'!$K$7:$W$207,MATCH($B17,'Budget-ACPLHK'!$B$7:$B$207,0),MATCH(AM$8,'Budget-ACPLHK'!$K$6:$W$6,0)))</f>
        <v>0</v>
      </c>
      <c r="AN17" s="749">
        <f t="shared" si="17"/>
        <v>0</v>
      </c>
      <c r="AO17" s="748"/>
      <c r="AQ17" s="749">
        <f>SUM(INDEX('Actual-ACPSZL'!$H$7:$T$207,MATCH($B17,'Actual-ACPSZL'!$B$7:$B$207,0),MATCH('Actual-ACPSZL'!H$6,'Actual-ACPSZL'!$H$6:$T$6,0)):INDEX('Actual-ACPSZL'!$H$7:$T$207,MATCH($B17,'Actual-ACPSZL'!$B$7:$B$207,0),MATCH(AQ$8,'Actual-ACPSZL'!$H$6:$T$6,0)))</f>
        <v>0</v>
      </c>
      <c r="AR17" s="749">
        <f>SUM(INDEX('Budget-ACPSZL'!$K$7:$W$207,MATCH($B17,'Budget-ACPSZL'!$B$7:$B$207,0),MATCH('Budget-ACPSZL'!K$6,'Budget-ACPSZL'!$K$6:$W$6,0)):INDEX('Budget-ACPSZL'!$K$7:$W$207,MATCH($B17,'Budget-ACPSZL'!$B$7:$B$207,0),MATCH(AR$8,'Budget-ACPSZL'!$K$6:$W$6,0)))</f>
        <v>0</v>
      </c>
      <c r="AS17" s="750">
        <f t="shared" si="14"/>
        <v>0</v>
      </c>
      <c r="AT17" s="748"/>
      <c r="AV17" s="749">
        <f>SUM(INDEX('Actual-ACPLSZ'!$H$7:$T$207,MATCH($B17,'Actual-ACPLSZ'!$B$7:$B$207,0),MATCH('Actual-ACPLSZ'!H$6,'Actual-ACPLSZ'!$H$6:$T$6,0)):INDEX('Actual-ACPLSZ'!$H$7:$T$207,MATCH($B17,'Actual-ACPLSZ'!$B$7:$B$207,0),MATCH(AV$8,'Actual-ACPLSZ'!$H$6:$T$6,0)))</f>
        <v>0</v>
      </c>
      <c r="AW17" s="749">
        <f>SUM(INDEX('Budget-ACPLSZ'!$K$7:$W$207,MATCH($B17,'Budget-ACPLSZ'!$B$7:$B$207,0),MATCH('Budget-ACPLSZ'!K$6,'Budget-ACPLSZ'!$K$6:$W$6,0)):INDEX('Budget-ACPLSZ'!$K$7:$W$207,MATCH($B17,'Budget-ACPLSZ'!$B$7:$B$207,0),MATCH(AW$8,'Budget-ACPLSZ'!$K$6:$W$6,0)))</f>
        <v>0</v>
      </c>
      <c r="AX17" s="749">
        <f>AV17-AW17</f>
        <v>0</v>
      </c>
      <c r="AY17" s="748"/>
      <c r="BA17" s="749">
        <f>SUM(INDEX('Actual-ACPLGZ'!$H$7:$T$207,MATCH($B17,'Actual-ACPLGZ'!$B$7:$B$207,0),MATCH('Actual-ACPLGZ'!H$6,'Actual-ACPLGZ'!$H$6:$T$6,0)):INDEX('Actual-ACPLGZ'!$H$7:$T$207,MATCH($B17,'Actual-ACPLGZ'!$B$7:$B$207,0),MATCH(BA$8,'Actual-ACPLGZ'!$H$6:$T$6,0)))</f>
        <v>0</v>
      </c>
      <c r="BB17" s="749">
        <f>SUM(INDEX('Budget-ACPLGZ'!$K$7:$W$207,MATCH($B17,'Budget-ACPLGZ'!$B$7:$B$207,0),MATCH('Budget-ACPLGZ'!K$6,'Budget-ACPLGZ'!$K$6:$W$6,0)):INDEX('Budget-ACPLGZ'!$K$7:$W$207,MATCH($B17,'Budget-ACPLGZ'!$B$7:$B$207,0),MATCH(BB$8,'Budget-ACPLGZ'!$K$6:$W$6,0)))</f>
        <v>0</v>
      </c>
      <c r="BC17" s="750">
        <f t="shared" si="18"/>
        <v>0</v>
      </c>
      <c r="BD17" s="748"/>
      <c r="BF17" s="749">
        <f>SUM(INDEX('Actual-ACPLYixing'!$H$7:$T$207,MATCH($B17,'Actual-ACPLYixing'!$B$7:$B$207,0),MATCH('Actual-ACPLYixing'!H$6,'Actual-ACPLYixing'!$H$6:$T$6,0)):INDEX('Actual-ACPLYixing'!$H$7:$T$207,MATCH($B17,'Actual-ACPLYixing'!$B$7:$B$207,0),MATCH(BF$8,'Actual-ACPLYixing'!$H$6:$T$6,0)))</f>
        <v>0</v>
      </c>
      <c r="BG17" s="749">
        <f>SUM(INDEX('Budget-Yixing'!$K$7:$W$207,MATCH($B17,'Budget-Yixing'!$B$7:$B$207,0),MATCH('Budget-Yixing'!K$6,'Budget-Yixing'!$K$6:$W$6,0)):INDEX('Budget-Yixing'!$K$7:$W$207,MATCH($B17,'Budget-Yixing'!$B$7:$B$207,0),MATCH(BG$8,'Budget-Yixing'!$K$6:$W$6,0)))</f>
        <v>0</v>
      </c>
      <c r="BH17" s="750">
        <f t="shared" si="19"/>
        <v>0</v>
      </c>
      <c r="BI17" s="748"/>
    </row>
    <row r="18" spans="1:61" ht="16.5" customHeight="1">
      <c r="A18" s="653" t="str">
        <f>'Budget-合并'!A16</f>
        <v>6405.03</v>
      </c>
      <c r="B18" s="653" t="str">
        <f>'Budget-合并'!B16</f>
        <v>教育费附加</v>
      </c>
      <c r="C18" s="746">
        <f>INDEX('Actual-ACPL'!$H$7:$T$207,MATCH($B18,'Actual-ACPL'!$B$7:$B$207,0),MATCH(C$8,'Actual-ACPL'!$H$6:$T$6,0))</f>
        <v>0</v>
      </c>
      <c r="D18" s="746">
        <f>INDEX('Budget-ACPL'!$K$7:$W$207,MATCH($B18,'Budget-ACPL'!$B$7:$B$207,0),MATCH(D$8,'Budget-ACPL'!$K$6:$W$6,0))</f>
        <v>0</v>
      </c>
      <c r="E18" s="746">
        <f t="shared" si="11"/>
        <v>0</v>
      </c>
      <c r="F18" s="752"/>
      <c r="H18" s="749">
        <f>INDEX('Actual-ACPLHK'!$H$7:$T$207,MATCH($B18,'Actual-ACPLHK'!$B$7:$B$207,0),MATCH(H$8,'Actual-ACPLHK'!$H$6:$T$6,0))</f>
        <v>0</v>
      </c>
      <c r="I18" s="749">
        <f>INDEX('Budget-ACPLHK'!$K$7:$W$207,MATCH($B18,'Budget-ACPLHK'!$B$7:$B$207,0),MATCH(I$8,'Budget-ACPLHK'!$K$6:$W$6,0))</f>
        <v>0</v>
      </c>
      <c r="J18" s="749">
        <f>H18-I18</f>
        <v>0</v>
      </c>
      <c r="K18" s="748"/>
      <c r="M18" s="749">
        <f>INDEX('Actual-ACPSZL'!$H$7:$T$207,MATCH($B18,'Actual-ACPSZL'!$B$7:$B$207,0),MATCH(M$8,'Actual-ACPSZL'!$H$6:$T$6,0))</f>
        <v>0</v>
      </c>
      <c r="N18" s="749">
        <f>INDEX('Budget-ACPSZL'!$K$7:$W$207,MATCH($B18,'Budget-ACPSZL'!$B$7:$B$207,0),MATCH(N$8,'Budget-ACPSZL'!$K$6:$W$6,0))</f>
        <v>0</v>
      </c>
      <c r="O18" s="749">
        <f t="shared" ref="O18:O24" si="20">(M18-N18)*-1</f>
        <v>0</v>
      </c>
      <c r="P18" s="748"/>
      <c r="R18" s="749">
        <f>INDEX('Actual-ACPLSZ'!$H$7:$T$207,MATCH($B18,'Actual-ACPLSZ'!$B$7:$B$207,0),MATCH(R$8,'Actual-ACPLSZ'!$H$6:$T$6,0))</f>
        <v>0</v>
      </c>
      <c r="S18" s="749">
        <f>INDEX('Budget-ACPLSZ'!$K$7:$W$207,MATCH($B18,'Budget-ACPLSZ'!$B$7:$B$207,0),MATCH(S$8,'Budget-ACPLSZ'!$K$6:$W$6,0))</f>
        <v>0</v>
      </c>
      <c r="T18" s="749">
        <f t="shared" ref="T18:T31" si="21">(R18-S18)*-1</f>
        <v>0</v>
      </c>
      <c r="U18" s="748"/>
      <c r="W18" s="749">
        <f>INDEX('Actual-ACPLGZ'!$H$7:$T$207,MATCH($B18,'Actual-ACPLGZ'!$B$7:$B$207,0),MATCH(W$8,'Actual-ACPLGZ'!$H$6:$T$6,0))</f>
        <v>0</v>
      </c>
      <c r="X18" s="749">
        <f>INDEX('Budget-ACPLGZ'!$K$7:$W$207,MATCH($B18,'Budget-ACPLGZ'!$B$7:$B$207,0),MATCH(X$8,'Budget-ACPLGZ'!$K$6:$W$6,0))</f>
        <v>0</v>
      </c>
      <c r="Y18" s="749">
        <f t="shared" si="12"/>
        <v>0</v>
      </c>
      <c r="Z18" s="748"/>
      <c r="AB18" s="749">
        <f>INDEX('Actual-ACPLGZ'!$H$7:$T$207,MATCH($B18,'Actual-ACPLGZ'!$B$7:$B$207,0),MATCH(AB$8,'Actual-ACPLGZ'!$H$6:$T$6,0))</f>
        <v>0</v>
      </c>
      <c r="AC18" s="749">
        <f>INDEX('Budget-Yixing'!$K$7:$W$207,MATCH($B18,'Budget-Yixing'!$B$7:$B$207,0),MATCH(AC$8,'Budget-Yixing'!$K$6:$W$6,0))</f>
        <v>0</v>
      </c>
      <c r="AD18" s="749">
        <f t="shared" ref="AD18:AD31" si="22">(AB18-AC18)*-1</f>
        <v>0</v>
      </c>
      <c r="AE18" s="748"/>
      <c r="AG18" s="751">
        <f>SUM(INDEX('Actual-ACPL'!$H$7:$T$207,MATCH($B18,'Actual-ACPL'!$B$7:$B$207,0),MATCH('Actual-ACPL'!H$6,'Actual-ACPL'!$H$6:$T$6,0)):INDEX('Actual-ACPL'!$H$7:$T$207,MATCH($B18,'Actual-ACPL'!$B$7:$B$207,0),MATCH(AG$8,'Actual-ACPL'!$H$6:$T$6,0)))</f>
        <v>0</v>
      </c>
      <c r="AH18" s="751">
        <f>SUM(INDEX('Budget-ACPL'!$K$7:$W$207,MATCH($B18,'Budget-ACPL'!$B$7:$B$207,0),MATCH('Budget-ACPL'!K$6,'Budget-ACPL'!$K$6:$W$6,0)):INDEX('Budget-ACPL'!$K$7:$W$207,MATCH($B18,'Budget-ACPL'!$B$7:$B$207,0),MATCH(AH$8,'Budget-ACPL'!$K$6:$W$6,0)))</f>
        <v>0</v>
      </c>
      <c r="AI18" s="747">
        <f t="shared" si="13"/>
        <v>0</v>
      </c>
      <c r="AJ18" s="748"/>
      <c r="AL18" s="749">
        <f>SUM(INDEX('Actual-ACPLHK'!$H$7:$S$207,MATCH($B18,'Actual-ACPLHK'!$B$7:$B$207,0),MATCH('Actual-ACPLHK'!H$6,'Actual-ACPLHK'!$H$6:$T$6,0)):INDEX('Actual-ACPLHK'!$H$7:$S$207,MATCH($B18,'Actual-ACPLHK'!$B$7:$B$207,0),MATCH(AL$8,'Actual-ACPLHK'!$H$6:$T$6,0)))</f>
        <v>0</v>
      </c>
      <c r="AM18" s="749">
        <f>SUM(INDEX('Budget-ACPLHK'!$K$7:$W$207,MATCH($B18,'Budget-ACPLHK'!$B$7:$B$207,0),MATCH('Budget-ACPLHK'!K$6,'Budget-ACPLHK'!$K$6:$W$6,0)):INDEX('Budget-ACPLHK'!$K$7:$W$207,MATCH($B18,'Budget-ACPLHK'!$B$7:$B$207,0),MATCH(AM$8,'Budget-ACPLHK'!$K$6:$W$6,0)))</f>
        <v>0</v>
      </c>
      <c r="AN18" s="749">
        <f t="shared" si="17"/>
        <v>0</v>
      </c>
      <c r="AO18" s="748"/>
      <c r="AQ18" s="749">
        <f>SUM(INDEX('Actual-ACPSZL'!$H$7:$T$207,MATCH($B18,'Actual-ACPSZL'!$B$7:$B$207,0),MATCH('Actual-ACPSZL'!H$6,'Actual-ACPSZL'!$H$6:$T$6,0)):INDEX('Actual-ACPSZL'!$H$7:$T$207,MATCH($B18,'Actual-ACPSZL'!$B$7:$B$207,0),MATCH(AQ$8,'Actual-ACPSZL'!$H$6:$T$6,0)))</f>
        <v>0</v>
      </c>
      <c r="AR18" s="749">
        <f>SUM(INDEX('Budget-ACPSZL'!$K$7:$W$207,MATCH($B18,'Budget-ACPSZL'!$B$7:$B$207,0),MATCH('Budget-ACPSZL'!K$6,'Budget-ACPSZL'!$K$6:$W$6,0)):INDEX('Budget-ACPSZL'!$K$7:$W$207,MATCH($B18,'Budget-ACPSZL'!$B$7:$B$207,0),MATCH(AR$8,'Budget-ACPSZL'!$K$6:$W$6,0)))</f>
        <v>0</v>
      </c>
      <c r="AS18" s="750">
        <f t="shared" si="14"/>
        <v>0</v>
      </c>
      <c r="AT18" s="748"/>
      <c r="AV18" s="749">
        <f>SUM(INDEX('Actual-ACPLSZ'!$H$7:$T$207,MATCH($B18,'Actual-ACPLSZ'!$B$7:$B$207,0),MATCH('Actual-ACPLSZ'!H$6,'Actual-ACPLSZ'!$H$6:$T$6,0)):INDEX('Actual-ACPLSZ'!$H$7:$T$207,MATCH($B18,'Actual-ACPLSZ'!$B$7:$B$207,0),MATCH(AV$8,'Actual-ACPLSZ'!$H$6:$T$6,0)))</f>
        <v>0</v>
      </c>
      <c r="AW18" s="749">
        <f>SUM(INDEX('Budget-ACPLSZ'!$K$7:$W$207,MATCH($B18,'Budget-ACPLSZ'!$B$7:$B$207,0),MATCH('Budget-ACPLSZ'!K$6,'Budget-ACPLSZ'!$K$6:$W$6,0)):INDEX('Budget-ACPLSZ'!$K$7:$W$207,MATCH($B18,'Budget-ACPLSZ'!$B$7:$B$207,0),MATCH(AW$8,'Budget-ACPLSZ'!$K$6:$W$6,0)))</f>
        <v>0</v>
      </c>
      <c r="AX18" s="749">
        <f>AV18-AW18</f>
        <v>0</v>
      </c>
      <c r="AY18" s="748"/>
      <c r="BA18" s="749">
        <f>SUM(INDEX('Actual-ACPLGZ'!$H$7:$T$207,MATCH($B18,'Actual-ACPLGZ'!$B$7:$B$207,0),MATCH('Actual-ACPLGZ'!H$6,'Actual-ACPLGZ'!$H$6:$T$6,0)):INDEX('Actual-ACPLGZ'!$H$7:$T$207,MATCH($B18,'Actual-ACPLGZ'!$B$7:$B$207,0),MATCH(BA$8,'Actual-ACPLGZ'!$H$6:$T$6,0)))</f>
        <v>0</v>
      </c>
      <c r="BB18" s="749">
        <f>SUM(INDEX('Budget-ACPLGZ'!$K$7:$W$207,MATCH($B18,'Budget-ACPLGZ'!$B$7:$B$207,0),MATCH('Budget-ACPLGZ'!K$6,'Budget-ACPLGZ'!$K$6:$W$6,0)):INDEX('Budget-ACPLGZ'!$K$7:$W$207,MATCH($B18,'Budget-ACPLGZ'!$B$7:$B$207,0),MATCH(BB$8,'Budget-ACPLGZ'!$K$6:$W$6,0)))</f>
        <v>0</v>
      </c>
      <c r="BC18" s="750">
        <f t="shared" si="18"/>
        <v>0</v>
      </c>
      <c r="BD18" s="748"/>
      <c r="BF18" s="749">
        <f>SUM(INDEX('Actual-ACPLYixing'!$H$7:$T$207,MATCH($B18,'Actual-ACPLYixing'!$B$7:$B$207,0),MATCH('Actual-ACPLYixing'!H$6,'Actual-ACPLYixing'!$H$6:$T$6,0)):INDEX('Actual-ACPLYixing'!$H$7:$T$207,MATCH($B18,'Actual-ACPLYixing'!$B$7:$B$207,0),MATCH(BF$8,'Actual-ACPLYixing'!$H$6:$T$6,0)))</f>
        <v>0</v>
      </c>
      <c r="BG18" s="749">
        <f>SUM(INDEX('Budget-Yixing'!$K$7:$W$207,MATCH($B18,'Budget-Yixing'!$B$7:$B$207,0),MATCH('Budget-Yixing'!K$6,'Budget-Yixing'!$K$6:$W$6,0)):INDEX('Budget-Yixing'!$K$7:$W$207,MATCH($B18,'Budget-Yixing'!$B$7:$B$207,0),MATCH(BG$8,'Budget-Yixing'!$K$6:$W$6,0)))</f>
        <v>0</v>
      </c>
      <c r="BH18" s="750">
        <f t="shared" si="19"/>
        <v>0</v>
      </c>
      <c r="BI18" s="748"/>
    </row>
    <row r="19" spans="1:61" ht="16.5" customHeight="1">
      <c r="A19" s="653" t="str">
        <f>'Budget-合并'!A17</f>
        <v>6405.04</v>
      </c>
      <c r="B19" s="653" t="str">
        <f>'Budget-合并'!B17</f>
        <v>地方教育附加</v>
      </c>
      <c r="C19" s="746">
        <f>INDEX('Actual-ACPL'!$H$7:$T$207,MATCH($B19,'Actual-ACPL'!$B$7:$B$207,0),MATCH(C$8,'Actual-ACPL'!$H$6:$T$6,0))</f>
        <v>0</v>
      </c>
      <c r="D19" s="746">
        <f>INDEX('Budget-ACPL'!$K$7:$W$207,MATCH($B19,'Budget-ACPL'!$B$7:$B$207,0),MATCH(D$8,'Budget-ACPL'!$K$6:$W$6,0))</f>
        <v>0</v>
      </c>
      <c r="E19" s="746">
        <f t="shared" si="11"/>
        <v>0</v>
      </c>
      <c r="F19" s="752"/>
      <c r="H19" s="749">
        <f>INDEX('Actual-ACPLHK'!$H$7:$T$207,MATCH($B19,'Actual-ACPLHK'!$B$7:$B$207,0),MATCH(H$8,'Actual-ACPLHK'!$H$6:$T$6,0))</f>
        <v>0</v>
      </c>
      <c r="I19" s="749">
        <f>INDEX('Budget-ACPLHK'!$K$7:$W$207,MATCH($B19,'Budget-ACPLHK'!$B$7:$B$207,0),MATCH(I$8,'Budget-ACPLHK'!$K$6:$W$6,0))</f>
        <v>0</v>
      </c>
      <c r="J19" s="749">
        <f>H19-I19</f>
        <v>0</v>
      </c>
      <c r="K19" s="748"/>
      <c r="M19" s="749">
        <f>INDEX('Actual-ACPSZL'!$H$7:$T$207,MATCH($B19,'Actual-ACPSZL'!$B$7:$B$207,0),MATCH(M$8,'Actual-ACPSZL'!$H$6:$T$6,0))</f>
        <v>0</v>
      </c>
      <c r="N19" s="749">
        <f>INDEX('Budget-ACPSZL'!$K$7:$W$207,MATCH($B19,'Budget-ACPSZL'!$B$7:$B$207,0),MATCH(N$8,'Budget-ACPSZL'!$K$6:$W$6,0))</f>
        <v>0</v>
      </c>
      <c r="O19" s="749">
        <f t="shared" si="20"/>
        <v>0</v>
      </c>
      <c r="P19" s="748"/>
      <c r="R19" s="749">
        <f>INDEX('Actual-ACPLSZ'!$H$7:$T$207,MATCH($B19,'Actual-ACPLSZ'!$B$7:$B$207,0),MATCH(R$8,'Actual-ACPLSZ'!$H$6:$T$6,0))</f>
        <v>0</v>
      </c>
      <c r="S19" s="749">
        <f>INDEX('Budget-ACPLSZ'!$K$7:$W$207,MATCH($B19,'Budget-ACPLSZ'!$B$7:$B$207,0),MATCH(S$8,'Budget-ACPLSZ'!$K$6:$W$6,0))</f>
        <v>0</v>
      </c>
      <c r="T19" s="749">
        <f t="shared" si="21"/>
        <v>0</v>
      </c>
      <c r="U19" s="748"/>
      <c r="W19" s="749">
        <f>INDEX('Actual-ACPLGZ'!$H$7:$T$207,MATCH($B19,'Actual-ACPLGZ'!$B$7:$B$207,0),MATCH(W$8,'Actual-ACPLGZ'!$H$6:$T$6,0))</f>
        <v>0</v>
      </c>
      <c r="X19" s="749">
        <f>INDEX('Budget-ACPLGZ'!$K$7:$W$207,MATCH($B19,'Budget-ACPLGZ'!$B$7:$B$207,0),MATCH(X$8,'Budget-ACPLGZ'!$K$6:$W$6,0))</f>
        <v>0</v>
      </c>
      <c r="Y19" s="749">
        <f t="shared" si="12"/>
        <v>0</v>
      </c>
      <c r="Z19" s="748"/>
      <c r="AB19" s="749">
        <f>INDEX('Actual-ACPLGZ'!$H$7:$T$207,MATCH($B19,'Actual-ACPLGZ'!$B$7:$B$207,0),MATCH(AB$8,'Actual-ACPLGZ'!$H$6:$T$6,0))</f>
        <v>0</v>
      </c>
      <c r="AC19" s="749">
        <f>INDEX('Budget-Yixing'!$K$7:$W$207,MATCH($B19,'Budget-Yixing'!$B$7:$B$207,0),MATCH(AC$8,'Budget-Yixing'!$K$6:$W$6,0))</f>
        <v>0</v>
      </c>
      <c r="AD19" s="749">
        <f t="shared" si="22"/>
        <v>0</v>
      </c>
      <c r="AE19" s="748"/>
      <c r="AG19" s="751">
        <f>SUM(INDEX('Actual-ACPL'!$H$7:$T$207,MATCH($B19,'Actual-ACPL'!$B$7:$B$207,0),MATCH('Actual-ACPL'!H$6,'Actual-ACPL'!$H$6:$T$6,0)):INDEX('Actual-ACPL'!$H$7:$T$207,MATCH($B19,'Actual-ACPL'!$B$7:$B$207,0),MATCH(AG$8,'Actual-ACPL'!$H$6:$T$6,0)))</f>
        <v>0</v>
      </c>
      <c r="AH19" s="751">
        <f>SUM(INDEX('Budget-ACPL'!$K$7:$W$207,MATCH($B19,'Budget-ACPL'!$B$7:$B$207,0),MATCH('Budget-ACPL'!K$6,'Budget-ACPL'!$K$6:$W$6,0)):INDEX('Budget-ACPL'!$K$7:$W$207,MATCH($B19,'Budget-ACPL'!$B$7:$B$207,0),MATCH(AH$8,'Budget-ACPL'!$K$6:$W$6,0)))</f>
        <v>0</v>
      </c>
      <c r="AI19" s="750">
        <f t="shared" si="13"/>
        <v>0</v>
      </c>
      <c r="AJ19" s="748"/>
      <c r="AL19" s="749">
        <f>SUM(INDEX('Actual-ACPLHK'!$H$7:$S$207,MATCH($B19,'Actual-ACPLHK'!$B$7:$B$207,0),MATCH('Actual-ACPLHK'!H$6,'Actual-ACPLHK'!$H$6:$T$6,0)):INDEX('Actual-ACPLHK'!$H$7:$S$207,MATCH($B19,'Actual-ACPLHK'!$B$7:$B$207,0),MATCH(AL$8,'Actual-ACPLHK'!$H$6:$T$6,0)))</f>
        <v>0</v>
      </c>
      <c r="AM19" s="749">
        <f>SUM(INDEX('Budget-ACPLHK'!$K$7:$W$207,MATCH($B19,'Budget-ACPLHK'!$B$7:$B$207,0),MATCH('Budget-ACPLHK'!K$6,'Budget-ACPLHK'!$K$6:$W$6,0)):INDEX('Budget-ACPLHK'!$K$7:$W$207,MATCH($B19,'Budget-ACPLHK'!$B$7:$B$207,0),MATCH(AM$8,'Budget-ACPLHK'!$K$6:$W$6,0)))</f>
        <v>0</v>
      </c>
      <c r="AN19" s="749">
        <f t="shared" si="17"/>
        <v>0</v>
      </c>
      <c r="AO19" s="748"/>
      <c r="AQ19" s="749">
        <f>SUM(INDEX('Actual-ACPSZL'!$H$7:$T$207,MATCH($B19,'Actual-ACPSZL'!$B$7:$B$207,0),MATCH('Actual-ACPSZL'!H$6,'Actual-ACPSZL'!$H$6:$T$6,0)):INDEX('Actual-ACPSZL'!$H$7:$T$207,MATCH($B19,'Actual-ACPSZL'!$B$7:$B$207,0),MATCH(AQ$8,'Actual-ACPSZL'!$H$6:$T$6,0)))</f>
        <v>0</v>
      </c>
      <c r="AR19" s="749">
        <f>SUM(INDEX('Budget-ACPSZL'!$K$7:$W$207,MATCH($B19,'Budget-ACPSZL'!$B$7:$B$207,0),MATCH('Budget-ACPSZL'!K$6,'Budget-ACPSZL'!$K$6:$W$6,0)):INDEX('Budget-ACPSZL'!$K$7:$W$207,MATCH($B19,'Budget-ACPSZL'!$B$7:$B$207,0),MATCH(AR$8,'Budget-ACPSZL'!$K$6:$W$6,0)))</f>
        <v>0</v>
      </c>
      <c r="AS19" s="750">
        <f t="shared" si="14"/>
        <v>0</v>
      </c>
      <c r="AT19" s="748"/>
      <c r="AV19" s="749">
        <f>SUM(INDEX('Actual-ACPLSZ'!$H$7:$T$207,MATCH($B19,'Actual-ACPLSZ'!$B$7:$B$207,0),MATCH('Actual-ACPLSZ'!H$6,'Actual-ACPLSZ'!$H$6:$T$6,0)):INDEX('Actual-ACPLSZ'!$H$7:$T$207,MATCH($B19,'Actual-ACPLSZ'!$B$7:$B$207,0),MATCH(AV$8,'Actual-ACPLSZ'!$H$6:$T$6,0)))</f>
        <v>0</v>
      </c>
      <c r="AW19" s="749">
        <f>SUM(INDEX('Budget-ACPLSZ'!$K$7:$W$207,MATCH($B19,'Budget-ACPLSZ'!$B$7:$B$207,0),MATCH('Budget-ACPLSZ'!K$6,'Budget-ACPLSZ'!$K$6:$W$6,0)):INDEX('Budget-ACPLSZ'!$K$7:$W$207,MATCH($B19,'Budget-ACPLSZ'!$B$7:$B$207,0),MATCH(AW$8,'Budget-ACPLSZ'!$K$6:$W$6,0)))</f>
        <v>0</v>
      </c>
      <c r="AX19" s="749">
        <f>AV19-AW19</f>
        <v>0</v>
      </c>
      <c r="AY19" s="748"/>
      <c r="BA19" s="749">
        <f>SUM(INDEX('Actual-ACPLGZ'!$H$7:$T$207,MATCH($B19,'Actual-ACPLGZ'!$B$7:$B$207,0),MATCH('Actual-ACPLGZ'!H$6,'Actual-ACPLGZ'!$H$6:$T$6,0)):INDEX('Actual-ACPLGZ'!$H$7:$T$207,MATCH($B19,'Actual-ACPLGZ'!$B$7:$B$207,0),MATCH(BA$8,'Actual-ACPLGZ'!$H$6:$T$6,0)))</f>
        <v>0</v>
      </c>
      <c r="BB19" s="749">
        <f>SUM(INDEX('Budget-ACPLGZ'!$K$7:$W$207,MATCH($B19,'Budget-ACPLGZ'!$B$7:$B$207,0),MATCH('Budget-ACPLGZ'!K$6,'Budget-ACPLGZ'!$K$6:$W$6,0)):INDEX('Budget-ACPLGZ'!$K$7:$W$207,MATCH($B19,'Budget-ACPLGZ'!$B$7:$B$207,0),MATCH(BB$8,'Budget-ACPLGZ'!$K$6:$W$6,0)))</f>
        <v>0</v>
      </c>
      <c r="BC19" s="750">
        <f t="shared" si="18"/>
        <v>0</v>
      </c>
      <c r="BD19" s="748"/>
      <c r="BF19" s="749">
        <f>SUM(INDEX('Actual-ACPLYixing'!$H$7:$T$207,MATCH($B19,'Actual-ACPLYixing'!$B$7:$B$207,0),MATCH('Actual-ACPLYixing'!H$6,'Actual-ACPLYixing'!$H$6:$T$6,0)):INDEX('Actual-ACPLYixing'!$H$7:$T$207,MATCH($B19,'Actual-ACPLYixing'!$B$7:$B$207,0),MATCH(BF$8,'Actual-ACPLYixing'!$H$6:$T$6,0)))</f>
        <v>0</v>
      </c>
      <c r="BG19" s="749">
        <f>SUM(INDEX('Budget-Yixing'!$K$7:$W$207,MATCH($B19,'Budget-Yixing'!$B$7:$B$207,0),MATCH('Budget-Yixing'!K$6,'Budget-Yixing'!$K$6:$W$6,0)):INDEX('Budget-Yixing'!$K$7:$W$207,MATCH($B19,'Budget-Yixing'!$B$7:$B$207,0),MATCH(BG$8,'Budget-Yixing'!$K$6:$W$6,0)))</f>
        <v>0</v>
      </c>
      <c r="BH19" s="750">
        <f t="shared" si="19"/>
        <v>0</v>
      </c>
      <c r="BI19" s="748"/>
    </row>
    <row r="20" spans="1:61" ht="16.5" customHeight="1">
      <c r="A20" s="653" t="str">
        <f>'Budget-合并'!A18</f>
        <v>6405.05</v>
      </c>
      <c r="B20" s="653" t="str">
        <f>'Budget-合并'!B18</f>
        <v>水利建设基金</v>
      </c>
      <c r="C20" s="746">
        <f>INDEX('Actual-ACPL'!$H$7:$T$207,MATCH($B20,'Actual-ACPL'!$B$7:$B$207,0),MATCH(C$8,'Actual-ACPL'!$H$6:$T$6,0))</f>
        <v>0</v>
      </c>
      <c r="D20" s="746">
        <f>INDEX('Budget-ACPL'!$K$7:$W$207,MATCH($B20,'Budget-ACPL'!$B$7:$B$207,0),MATCH(D$8,'Budget-ACPL'!$K$6:$W$6,0))</f>
        <v>0</v>
      </c>
      <c r="E20" s="746">
        <f t="shared" ref="E20:E25" si="23">C20-D20</f>
        <v>0</v>
      </c>
      <c r="F20" s="752"/>
      <c r="H20" s="749">
        <f>INDEX('Actual-ACPLHK'!$H$7:$T$207,MATCH($B20,'Actual-ACPLHK'!$B$7:$B$207,0),MATCH(H$8,'Actual-ACPLHK'!$H$6:$T$6,0))</f>
        <v>0</v>
      </c>
      <c r="I20" s="749">
        <f>INDEX('Budget-ACPLHK'!$K$7:$W$207,MATCH($B20,'Budget-ACPLHK'!$B$7:$B$207,0),MATCH(I$8,'Budget-ACPLHK'!$K$6:$W$6,0))</f>
        <v>0</v>
      </c>
      <c r="J20" s="749">
        <f>H20-I20</f>
        <v>0</v>
      </c>
      <c r="K20" s="748"/>
      <c r="M20" s="749">
        <f>INDEX('Actual-ACPSZL'!$H$7:$T$207,MATCH($B20,'Actual-ACPSZL'!$B$7:$B$207,0),MATCH(M$8,'Actual-ACPSZL'!$H$6:$T$6,0))</f>
        <v>0</v>
      </c>
      <c r="N20" s="749">
        <f>INDEX('Budget-ACPSZL'!$K$7:$W$207,MATCH($B20,'Budget-ACPSZL'!$B$7:$B$207,0),MATCH(N$8,'Budget-ACPSZL'!$K$6:$W$6,0))</f>
        <v>0</v>
      </c>
      <c r="O20" s="749">
        <f t="shared" si="20"/>
        <v>0</v>
      </c>
      <c r="P20" s="748"/>
      <c r="R20" s="749">
        <f>INDEX('Actual-ACPLSZ'!$H$7:$T$207,MATCH($B20,'Actual-ACPLSZ'!$B$7:$B$207,0),MATCH(R$8,'Actual-ACPLSZ'!$H$6:$T$6,0))</f>
        <v>0</v>
      </c>
      <c r="S20" s="749">
        <f>INDEX('Budget-ACPLSZ'!$K$7:$W$207,MATCH($B20,'Budget-ACPLSZ'!$B$7:$B$207,0),MATCH(S$8,'Budget-ACPLSZ'!$K$6:$W$6,0))</f>
        <v>0</v>
      </c>
      <c r="T20" s="749">
        <f t="shared" si="21"/>
        <v>0</v>
      </c>
      <c r="U20" s="748"/>
      <c r="W20" s="749">
        <f>INDEX('Actual-ACPLGZ'!$H$7:$T$207,MATCH($B20,'Actual-ACPLGZ'!$B$7:$B$207,0),MATCH(W$8,'Actual-ACPLGZ'!$H$6:$T$6,0))</f>
        <v>0</v>
      </c>
      <c r="X20" s="749">
        <f>INDEX('Budget-ACPLGZ'!$K$7:$W$207,MATCH($B20,'Budget-ACPLGZ'!$B$7:$B$207,0),MATCH(X$8,'Budget-ACPLGZ'!$K$6:$W$6,0))</f>
        <v>0</v>
      </c>
      <c r="Y20" s="749">
        <f t="shared" si="12"/>
        <v>0</v>
      </c>
      <c r="Z20" s="748"/>
      <c r="AB20" s="749">
        <f>INDEX('Actual-ACPLGZ'!$H$7:$T$207,MATCH($B20,'Actual-ACPLGZ'!$B$7:$B$207,0),MATCH(AB$8,'Actual-ACPLGZ'!$H$6:$T$6,0))</f>
        <v>0</v>
      </c>
      <c r="AC20" s="749">
        <f>INDEX('Budget-Yixing'!$K$7:$W$207,MATCH($B20,'Budget-Yixing'!$B$7:$B$207,0),MATCH(AC$8,'Budget-Yixing'!$K$6:$W$6,0))</f>
        <v>0</v>
      </c>
      <c r="AD20" s="749">
        <f t="shared" si="22"/>
        <v>0</v>
      </c>
      <c r="AE20" s="748"/>
      <c r="AG20" s="751">
        <f>SUM(INDEX('Actual-ACPL'!$H$7:$T$207,MATCH($B20,'Actual-ACPL'!$B$7:$B$207,0),MATCH('Actual-ACPL'!H$6,'Actual-ACPL'!$H$6:$T$6,0)):INDEX('Actual-ACPL'!$H$7:$T$207,MATCH($B20,'Actual-ACPL'!$B$7:$B$207,0),MATCH(AG$8,'Actual-ACPL'!$H$6:$T$6,0)))</f>
        <v>0</v>
      </c>
      <c r="AH20" s="751">
        <f>SUM(INDEX('Budget-ACPL'!$K$7:$W$207,MATCH($B20,'Budget-ACPL'!$B$7:$B$207,0),MATCH('Budget-ACPL'!K$6,'Budget-ACPL'!$K$6:$W$6,0)):INDEX('Budget-ACPL'!$K$7:$W$207,MATCH($B20,'Budget-ACPL'!$B$7:$B$207,0),MATCH(AH$8,'Budget-ACPL'!$K$6:$W$6,0)))</f>
        <v>0</v>
      </c>
      <c r="AI20" s="750">
        <f t="shared" si="13"/>
        <v>0</v>
      </c>
      <c r="AJ20" s="748"/>
      <c r="AL20" s="749">
        <f>SUM(INDEX('Actual-ACPLHK'!$H$7:$S$207,MATCH($B20,'Actual-ACPLHK'!$B$7:$B$207,0),MATCH('Actual-ACPLHK'!H$6,'Actual-ACPLHK'!$H$6:$T$6,0)):INDEX('Actual-ACPLHK'!$H$7:$S$207,MATCH($B20,'Actual-ACPLHK'!$B$7:$B$207,0),MATCH(AL$8,'Actual-ACPLHK'!$H$6:$T$6,0)))</f>
        <v>0</v>
      </c>
      <c r="AM20" s="749">
        <f>SUM(INDEX('Budget-ACPLHK'!$K$7:$W$207,MATCH($B20,'Budget-ACPLHK'!$B$7:$B$207,0),MATCH('Budget-ACPLHK'!K$6,'Budget-ACPLHK'!$K$6:$W$6,0)):INDEX('Budget-ACPLHK'!$K$7:$W$207,MATCH($B20,'Budget-ACPLHK'!$B$7:$B$207,0),MATCH(AM$8,'Budget-ACPLHK'!$K$6:$W$6,0)))</f>
        <v>0</v>
      </c>
      <c r="AN20" s="749">
        <f t="shared" si="17"/>
        <v>0</v>
      </c>
      <c r="AO20" s="748"/>
      <c r="AQ20" s="749">
        <f>SUM(INDEX('Actual-ACPSZL'!$H$7:$T$207,MATCH($B20,'Actual-ACPSZL'!$B$7:$B$207,0),MATCH('Actual-ACPSZL'!H$6,'Actual-ACPSZL'!$H$6:$T$6,0)):INDEX('Actual-ACPSZL'!$H$7:$T$207,MATCH($B20,'Actual-ACPSZL'!$B$7:$B$207,0),MATCH(AQ$8,'Actual-ACPSZL'!$H$6:$T$6,0)))</f>
        <v>0</v>
      </c>
      <c r="AR20" s="749">
        <f>SUM(INDEX('Budget-ACPSZL'!$K$7:$W$207,MATCH($B20,'Budget-ACPSZL'!$B$7:$B$207,0),MATCH('Budget-ACPSZL'!K$6,'Budget-ACPSZL'!$K$6:$W$6,0)):INDEX('Budget-ACPSZL'!$K$7:$W$207,MATCH($B20,'Budget-ACPSZL'!$B$7:$B$207,0),MATCH(AR$8,'Budget-ACPSZL'!$K$6:$W$6,0)))</f>
        <v>0</v>
      </c>
      <c r="AS20" s="750">
        <f t="shared" si="14"/>
        <v>0</v>
      </c>
      <c r="AT20" s="748"/>
      <c r="AV20" s="749">
        <f>SUM(INDEX('Actual-ACPLSZ'!$H$7:$T$207,MATCH($B20,'Actual-ACPLSZ'!$B$7:$B$207,0),MATCH('Actual-ACPLSZ'!H$6,'Actual-ACPLSZ'!$H$6:$T$6,0)):INDEX('Actual-ACPLSZ'!$H$7:$T$207,MATCH($B20,'Actual-ACPLSZ'!$B$7:$B$207,0),MATCH(AV$8,'Actual-ACPLSZ'!$H$6:$T$6,0)))</f>
        <v>0</v>
      </c>
      <c r="AW20" s="749">
        <f>SUM(INDEX('Budget-ACPLSZ'!$K$7:$W$207,MATCH($B20,'Budget-ACPLSZ'!$B$7:$B$207,0),MATCH('Budget-ACPLSZ'!K$6,'Budget-ACPLSZ'!$K$6:$W$6,0)):INDEX('Budget-ACPLSZ'!$K$7:$W$207,MATCH($B20,'Budget-ACPLSZ'!$B$7:$B$207,0),MATCH(AW$8,'Budget-ACPLSZ'!$K$6:$W$6,0)))</f>
        <v>0</v>
      </c>
      <c r="AX20" s="749">
        <f>AV20-AW20</f>
        <v>0</v>
      </c>
      <c r="AY20" s="748"/>
      <c r="BA20" s="749">
        <f>SUM(INDEX('Actual-ACPLGZ'!$H$7:$T$207,MATCH($B20,'Actual-ACPLGZ'!$B$7:$B$207,0),MATCH('Actual-ACPLGZ'!H$6,'Actual-ACPLGZ'!$H$6:$T$6,0)):INDEX('Actual-ACPLGZ'!$H$7:$T$207,MATCH($B20,'Actual-ACPLGZ'!$B$7:$B$207,0),MATCH(BA$8,'Actual-ACPLGZ'!$H$6:$T$6,0)))</f>
        <v>0</v>
      </c>
      <c r="BB20" s="749">
        <f>SUM(INDEX('Budget-ACPLGZ'!$K$7:$W$207,MATCH($B20,'Budget-ACPLGZ'!$B$7:$B$207,0),MATCH('Budget-ACPLGZ'!K$6,'Budget-ACPLGZ'!$K$6:$W$6,0)):INDEX('Budget-ACPLGZ'!$K$7:$W$207,MATCH($B20,'Budget-ACPLGZ'!$B$7:$B$207,0),MATCH(BB$8,'Budget-ACPLGZ'!$K$6:$W$6,0)))</f>
        <v>0</v>
      </c>
      <c r="BC20" s="750">
        <f t="shared" si="18"/>
        <v>0</v>
      </c>
      <c r="BD20" s="748"/>
      <c r="BF20" s="749">
        <f>SUM(INDEX('Actual-ACPLYixing'!$H$7:$T$207,MATCH($B20,'Actual-ACPLYixing'!$B$7:$B$207,0),MATCH('Actual-ACPLYixing'!H$6,'Actual-ACPLYixing'!$H$6:$T$6,0)):INDEX('Actual-ACPLYixing'!$H$7:$T$207,MATCH($B20,'Actual-ACPLYixing'!$B$7:$B$207,0),MATCH(BF$8,'Actual-ACPLYixing'!$H$6:$T$6,0)))</f>
        <v>0</v>
      </c>
      <c r="BG20" s="749">
        <f>SUM(INDEX('Budget-Yixing'!$K$7:$W$207,MATCH($B20,'Budget-Yixing'!$B$7:$B$207,0),MATCH('Budget-Yixing'!K$6,'Budget-Yixing'!$K$6:$W$6,0)):INDEX('Budget-Yixing'!$K$7:$W$207,MATCH($B20,'Budget-Yixing'!$B$7:$B$207,0),MATCH(BG$8,'Budget-Yixing'!$K$6:$W$6,0)))</f>
        <v>0</v>
      </c>
      <c r="BH20" s="750">
        <f t="shared" si="19"/>
        <v>0</v>
      </c>
      <c r="BI20" s="748"/>
    </row>
    <row r="21" spans="1:61" ht="16.5" customHeight="1">
      <c r="A21" s="653">
        <f>'Budget-合并'!A19</f>
        <v>6401</v>
      </c>
      <c r="B21" s="653" t="str">
        <f>'Budget-合并'!B19</f>
        <v>税金及附加小计</v>
      </c>
      <c r="C21" s="746">
        <f>INDEX('Actual-ACPL'!$H$7:$T$207,MATCH($B21,'Actual-ACPL'!$B$7:$B$207,0),MATCH(C$8,'Actual-ACPL'!$H$6:$T$6,0))</f>
        <v>0</v>
      </c>
      <c r="D21" s="746">
        <f>INDEX('Budget-ACPL'!$K$7:$W$207,MATCH($B21,'Budget-ACPL'!$B$7:$B$207,0),MATCH(D$8,'Budget-ACPL'!$K$6:$W$6,0))</f>
        <v>0</v>
      </c>
      <c r="E21" s="746">
        <f t="shared" si="23"/>
        <v>0</v>
      </c>
      <c r="F21" s="752"/>
      <c r="H21" s="749">
        <f>INDEX('Actual-ACPLHK'!$H$7:$T$207,MATCH($B21,'Actual-ACPLHK'!$B$7:$B$207,0),MATCH(H$8,'Actual-ACPLHK'!$H$6:$T$6,0))</f>
        <v>0</v>
      </c>
      <c r="I21" s="749">
        <f>INDEX('Budget-ACPLHK'!$K$7:$W$207,MATCH($B21,'Budget-ACPLHK'!$B$7:$B$207,0),MATCH(I$8,'Budget-ACPLHK'!$K$6:$W$6,0))</f>
        <v>0</v>
      </c>
      <c r="J21" s="746">
        <f>(H21-I21)*-1</f>
        <v>0</v>
      </c>
      <c r="K21" s="746"/>
      <c r="M21" s="749">
        <f>INDEX('Actual-ACPSZL'!$H$7:$T$207,MATCH($B21,'Actual-ACPSZL'!$B$7:$B$207,0),MATCH(M$8,'Actual-ACPSZL'!$H$6:$T$6,0))</f>
        <v>0</v>
      </c>
      <c r="N21" s="749">
        <f>INDEX('Budget-ACPSZL'!$K$7:$W$207,MATCH($B21,'Budget-ACPSZL'!$B$7:$B$207,0),MATCH(N$8,'Budget-ACPSZL'!$K$6:$W$6,0))</f>
        <v>0</v>
      </c>
      <c r="O21" s="746">
        <f t="shared" si="20"/>
        <v>0</v>
      </c>
      <c r="P21" s="746"/>
      <c r="R21" s="749">
        <f>INDEX('Actual-ACPLSZ'!$H$7:$T$207,MATCH($B21,'Actual-ACPLSZ'!$B$7:$B$207,0),MATCH(R$8,'Actual-ACPLSZ'!$H$6:$T$6,0))</f>
        <v>0</v>
      </c>
      <c r="S21" s="749">
        <f>INDEX('Budget-ACPLSZ'!$K$7:$W$207,MATCH($B21,'Budget-ACPLSZ'!$B$7:$B$207,0),MATCH(S$8,'Budget-ACPLSZ'!$K$6:$W$6,0))</f>
        <v>0</v>
      </c>
      <c r="T21" s="753">
        <f t="shared" si="21"/>
        <v>0</v>
      </c>
      <c r="U21" s="753"/>
      <c r="W21" s="749">
        <f>INDEX('Actual-ACPLGZ'!$H$7:$T$207,MATCH($B21,'Actual-ACPLGZ'!$B$7:$B$207,0),MATCH(W$8,'Actual-ACPLGZ'!$H$6:$T$6,0))</f>
        <v>0</v>
      </c>
      <c r="X21" s="749">
        <f>INDEX('Budget-ACPLGZ'!$K$7:$W$207,MATCH($B21,'Budget-ACPLGZ'!$B$7:$B$207,0),MATCH(X$8,'Budget-ACPLGZ'!$K$6:$W$6,0))</f>
        <v>0</v>
      </c>
      <c r="Y21" s="753">
        <f>(W21-X21)*-1</f>
        <v>0</v>
      </c>
      <c r="Z21" s="753"/>
      <c r="AB21" s="749">
        <f>INDEX('Actual-ACPLGZ'!$H$7:$T$207,MATCH($B21,'Actual-ACPLGZ'!$B$7:$B$207,0),MATCH(AB$8,'Actual-ACPLGZ'!$H$6:$T$6,0))</f>
        <v>0</v>
      </c>
      <c r="AC21" s="749">
        <f>INDEX('Budget-Yixing'!$K$7:$W$207,MATCH($B21,'Budget-Yixing'!$B$7:$B$207,0),MATCH(AC$8,'Budget-Yixing'!$K$6:$W$6,0))</f>
        <v>0</v>
      </c>
      <c r="AD21" s="753">
        <f t="shared" si="22"/>
        <v>0</v>
      </c>
      <c r="AE21" s="753"/>
      <c r="AG21" s="751">
        <f>SUM(INDEX('Actual-ACPL'!$H$7:$T$207,MATCH($B21,'Actual-ACPL'!$B$7:$B$207,0),MATCH('Actual-ACPL'!H$6,'Actual-ACPL'!$H$6:$T$6,0)):INDEX('Actual-ACPL'!$H$7:$T$207,MATCH($B21,'Actual-ACPL'!$B$7:$B$207,0),MATCH(AG$8,'Actual-ACPL'!$H$6:$T$6,0)))</f>
        <v>0</v>
      </c>
      <c r="AH21" s="751">
        <f>SUM(INDEX('Budget-ACPL'!$K$7:$W$207,MATCH($B21,'Budget-ACPL'!$B$7:$B$207,0),MATCH('Budget-ACPL'!K$6,'Budget-ACPL'!$K$6:$W$6,0)):INDEX('Budget-ACPL'!$K$7:$W$207,MATCH($B21,'Budget-ACPL'!$B$7:$B$207,0),MATCH(AH$8,'Budget-ACPL'!$K$6:$W$6,0)))</f>
        <v>0</v>
      </c>
      <c r="AI21" s="753">
        <f t="shared" ref="AI21:AI23" si="24">(AG21-AH21)*-1</f>
        <v>0</v>
      </c>
      <c r="AJ21" s="748"/>
      <c r="AL21" s="749">
        <f>SUM(INDEX('Actual-ACPLHK'!$H$7:$S$207,MATCH($B21,'Actual-ACPLHK'!$B$7:$B$207,0),MATCH('Actual-ACPLHK'!H$6,'Actual-ACPLHK'!$H$6:$T$6,0)):INDEX('Actual-ACPLHK'!$H$7:$S$207,MATCH($B21,'Actual-ACPLHK'!$B$7:$B$207,0),MATCH(AL$8,'Actual-ACPLHK'!$H$6:$T$6,0)))</f>
        <v>0</v>
      </c>
      <c r="AM21" s="749">
        <f>SUM(INDEX('Budget-ACPLHK'!$K$7:$W$207,MATCH($B21,'Budget-ACPLHK'!$B$7:$B$207,0),MATCH('Budget-ACPLHK'!K$6,'Budget-ACPLHK'!$K$6:$W$6,0)):INDEX('Budget-ACPLHK'!$K$7:$W$207,MATCH($B21,'Budget-ACPLHK'!$B$7:$B$207,0),MATCH(AM$8,'Budget-ACPLHK'!$K$6:$W$6,0)))</f>
        <v>0</v>
      </c>
      <c r="AN21" s="749">
        <f t="shared" si="17"/>
        <v>0</v>
      </c>
      <c r="AO21" s="748"/>
      <c r="AQ21" s="749">
        <f>SUM(INDEX('Actual-ACPSZL'!$H$7:$T$207,MATCH($B21,'Actual-ACPSZL'!$B$7:$B$207,0),MATCH('Actual-ACPSZL'!H$6,'Actual-ACPSZL'!$H$6:$T$6,0)):INDEX('Actual-ACPSZL'!$H$7:$T$207,MATCH($B21,'Actual-ACPSZL'!$B$7:$B$207,0),MATCH(AQ$8,'Actual-ACPSZL'!$H$6:$T$6,0)))</f>
        <v>0</v>
      </c>
      <c r="AR21" s="749">
        <f>SUM(INDEX('Budget-ACPSZL'!$K$7:$W$207,MATCH($B21,'Budget-ACPSZL'!$B$7:$B$207,0),MATCH('Budget-ACPSZL'!K$6,'Budget-ACPSZL'!$K$6:$W$6,0)):INDEX('Budget-ACPSZL'!$K$7:$W$207,MATCH($B21,'Budget-ACPSZL'!$B$7:$B$207,0),MATCH(AR$8,'Budget-ACPSZL'!$K$6:$W$6,0)))</f>
        <v>0</v>
      </c>
      <c r="AS21" s="753">
        <f>(AQ21-AR21)*-1</f>
        <v>0</v>
      </c>
      <c r="AT21" s="753"/>
      <c r="AV21" s="749">
        <f>SUM(INDEX('Actual-ACPLSZ'!$H$7:$T$207,MATCH($B21,'Actual-ACPLSZ'!$B$7:$B$207,0),MATCH('Actual-ACPLSZ'!H$6,'Actual-ACPLSZ'!$H$6:$T$6,0)):INDEX('Actual-ACPLSZ'!$H$7:$T$207,MATCH($B21,'Actual-ACPLSZ'!$B$7:$B$207,0),MATCH(AV$8,'Actual-ACPLSZ'!$H$6:$T$6,0)))</f>
        <v>0</v>
      </c>
      <c r="AW21" s="749">
        <f>SUM(INDEX('Budget-ACPLSZ'!$K$7:$W$207,MATCH($B21,'Budget-ACPLSZ'!$B$7:$B$207,0),MATCH('Budget-ACPLSZ'!K$6,'Budget-ACPLSZ'!$K$6:$W$6,0)):INDEX('Budget-ACPLSZ'!$K$7:$W$207,MATCH($B21,'Budget-ACPLSZ'!$B$7:$B$207,0),MATCH(AW$8,'Budget-ACPLSZ'!$K$6:$W$6,0)))</f>
        <v>0</v>
      </c>
      <c r="AX21" s="753">
        <f t="shared" ref="AX21:AX23" si="25">(AV21-AW21)*-1</f>
        <v>0</v>
      </c>
      <c r="AY21" s="753"/>
      <c r="BA21" s="749">
        <f>SUM(INDEX('Actual-ACPLGZ'!$H$7:$T$207,MATCH($B21,'Actual-ACPLGZ'!$B$7:$B$207,0),MATCH('Actual-ACPLGZ'!H$6,'Actual-ACPLGZ'!$H$6:$T$6,0)):INDEX('Actual-ACPLGZ'!$H$7:$T$207,MATCH($B21,'Actual-ACPLGZ'!$B$7:$B$207,0),MATCH(BA$8,'Actual-ACPLGZ'!$H$6:$T$6,0)))</f>
        <v>0</v>
      </c>
      <c r="BB21" s="749">
        <f>SUM(INDEX('Budget-ACPLGZ'!$K$7:$W$207,MATCH($B21,'Budget-ACPLGZ'!$B$7:$B$207,0),MATCH('Budget-ACPLGZ'!K$6,'Budget-ACPLGZ'!$K$6:$W$6,0)):INDEX('Budget-ACPLGZ'!$K$7:$W$207,MATCH($B21,'Budget-ACPLGZ'!$B$7:$B$207,0),MATCH(BB$8,'Budget-ACPLGZ'!$K$6:$W$6,0)))</f>
        <v>0</v>
      </c>
      <c r="BC21" s="753">
        <f t="shared" ref="BC21:BC23" si="26">(BA21-BB21)*-1</f>
        <v>0</v>
      </c>
      <c r="BD21" s="753"/>
      <c r="BF21" s="749">
        <f>SUM(INDEX('Actual-ACPLYixing'!$H$7:$T$207,MATCH($B21,'Actual-ACPLYixing'!$B$7:$B$207,0),MATCH('Actual-ACPLYixing'!H$6,'Actual-ACPLYixing'!$H$6:$T$6,0)):INDEX('Actual-ACPLYixing'!$H$7:$T$207,MATCH($B21,'Actual-ACPLYixing'!$B$7:$B$207,0),MATCH(BF$8,'Actual-ACPLYixing'!$H$6:$T$6,0)))</f>
        <v>0</v>
      </c>
      <c r="BG21" s="749">
        <f>SUM(INDEX('Budget-Yixing'!$K$7:$W$207,MATCH($B21,'Budget-Yixing'!$B$7:$B$207,0),MATCH('Budget-Yixing'!K$6,'Budget-Yixing'!$K$6:$W$6,0)):INDEX('Budget-Yixing'!$K$7:$W$207,MATCH($B21,'Budget-Yixing'!$B$7:$B$207,0),MATCH(BG$8,'Budget-Yixing'!$K$6:$W$6,0)))</f>
        <v>0</v>
      </c>
      <c r="BH21" s="753">
        <f t="shared" ref="BH21:BH23" si="27">(BF21-BG21)*-1</f>
        <v>0</v>
      </c>
      <c r="BI21" s="753"/>
    </row>
    <row r="22" spans="1:61" ht="16.5" customHeight="1">
      <c r="A22" s="653">
        <f>'Budget-合并'!A20</f>
        <v>0</v>
      </c>
      <c r="B22" s="653">
        <f>'Budget-合并'!B20</f>
        <v>0</v>
      </c>
      <c r="C22" s="746">
        <f>INDEX('Actual-ACPL'!$H$7:$T$207,MATCH($B22,'Actual-ACPL'!$B$7:$B$207,0),MATCH(C$8,'Actual-ACPL'!$H$6:$T$6,0))</f>
        <v>0</v>
      </c>
      <c r="D22" s="746">
        <f>INDEX('Budget-ACPL'!$K$7:$W$207,MATCH($B22,'Budget-ACPL'!$B$7:$B$207,0),MATCH(D$8,'Budget-ACPL'!$K$6:$W$6,0))</f>
        <v>0</v>
      </c>
      <c r="E22" s="746">
        <f>(C22-D22)*-1</f>
        <v>0</v>
      </c>
      <c r="F22" s="752"/>
      <c r="H22" s="749">
        <f>INDEX('Actual-ACPLHK'!$H$7:$T$207,MATCH($B22,'Actual-ACPLHK'!$B$7:$B$207,0),MATCH(H$8,'Actual-ACPLHK'!$H$6:$T$6,0))</f>
        <v>0</v>
      </c>
      <c r="I22" s="749">
        <f>INDEX('Budget-ACPLHK'!$K$7:$W$207,MATCH($B22,'Budget-ACPLHK'!$B$7:$B$207,0),MATCH(I$8,'Budget-ACPLHK'!$K$6:$W$6,0))</f>
        <v>0</v>
      </c>
      <c r="J22" s="749">
        <f>(H22-I22)*-1</f>
        <v>0</v>
      </c>
      <c r="K22" s="748"/>
      <c r="M22" s="749">
        <f>INDEX('Actual-ACPSZL'!$H$7:$T$207,MATCH($B22,'Actual-ACPSZL'!$B$7:$B$207,0),MATCH(M$8,'Actual-ACPSZL'!$H$6:$T$6,0))</f>
        <v>0</v>
      </c>
      <c r="N22" s="749">
        <f>INDEX('Budget-ACPSZL'!$K$7:$W$207,MATCH($B22,'Budget-ACPSZL'!$B$7:$B$207,0),MATCH(N$8,'Budget-ACPSZL'!$K$6:$W$6,0))</f>
        <v>0</v>
      </c>
      <c r="O22" s="749">
        <f t="shared" si="20"/>
        <v>0</v>
      </c>
      <c r="P22" s="748"/>
      <c r="R22" s="749">
        <f>INDEX('Actual-ACPLSZ'!$H$7:$T$207,MATCH($B22,'Actual-ACPLSZ'!$B$7:$B$207,0),MATCH(R$8,'Actual-ACPLSZ'!$H$6:$T$6,0))</f>
        <v>0</v>
      </c>
      <c r="S22" s="749">
        <f>INDEX('Budget-ACPLSZ'!$K$7:$W$207,MATCH($B22,'Budget-ACPLSZ'!$B$7:$B$207,0),MATCH(S$8,'Budget-ACPLSZ'!$K$6:$W$6,0))</f>
        <v>0</v>
      </c>
      <c r="T22" s="749">
        <f t="shared" si="21"/>
        <v>0</v>
      </c>
      <c r="U22" s="748"/>
      <c r="W22" s="749">
        <f>INDEX('Actual-ACPLGZ'!$H$7:$T$207,MATCH($B22,'Actual-ACPLGZ'!$B$7:$B$207,0),MATCH(W$8,'Actual-ACPLGZ'!$H$6:$T$6,0))</f>
        <v>0</v>
      </c>
      <c r="X22" s="749">
        <f>INDEX('Budget-ACPLGZ'!$K$7:$W$207,MATCH($B22,'Budget-ACPLGZ'!$B$7:$B$207,0),MATCH(X$8,'Budget-ACPLGZ'!$K$6:$W$6,0))</f>
        <v>0</v>
      </c>
      <c r="Y22" s="749">
        <f>(W22-X22)*-1</f>
        <v>0</v>
      </c>
      <c r="Z22" s="748"/>
      <c r="AB22" s="749">
        <f>INDEX('Actual-ACPLGZ'!$H$7:$T$207,MATCH($B22,'Actual-ACPLGZ'!$B$7:$B$207,0),MATCH(AB$8,'Actual-ACPLGZ'!$H$6:$T$6,0))</f>
        <v>0</v>
      </c>
      <c r="AC22" s="749">
        <f>INDEX('Budget-Yixing'!$K$7:$W$207,MATCH($B22,'Budget-Yixing'!$B$7:$B$207,0),MATCH(AC$8,'Budget-Yixing'!$K$6:$W$6,0))</f>
        <v>0</v>
      </c>
      <c r="AD22" s="749">
        <f t="shared" si="22"/>
        <v>0</v>
      </c>
      <c r="AE22" s="748"/>
      <c r="AG22" s="751">
        <f>SUM(INDEX('Actual-ACPL'!$H$7:$T$207,MATCH($B22,'Actual-ACPL'!$B$7:$B$207,0),MATCH('Actual-ACPL'!H$6,'Actual-ACPL'!$H$6:$T$6,0)):INDEX('Actual-ACPL'!$H$7:$T$207,MATCH($B22,'Actual-ACPL'!$B$7:$B$207,0),MATCH(AG$8,'Actual-ACPL'!$H$6:$T$6,0)))</f>
        <v>0</v>
      </c>
      <c r="AH22" s="751">
        <f>SUM(INDEX('Budget-ACPL'!$K$7:$W$207,MATCH($B22,'Budget-ACPL'!$B$7:$B$207,0),MATCH('Budget-ACPL'!K$6,'Budget-ACPL'!$K$6:$W$6,0)):INDEX('Budget-ACPL'!$K$7:$W$207,MATCH($B22,'Budget-ACPL'!$B$7:$B$207,0),MATCH(AH$8,'Budget-ACPL'!$K$6:$W$6,0)))</f>
        <v>0</v>
      </c>
      <c r="AI22" s="749">
        <f t="shared" si="24"/>
        <v>0</v>
      </c>
      <c r="AJ22" s="748"/>
      <c r="AL22" s="749">
        <f>SUM(INDEX('Actual-ACPLHK'!$H$7:$S$207,MATCH($B22,'Actual-ACPLHK'!$B$7:$B$207,0),MATCH('Actual-ACPLHK'!H$6,'Actual-ACPLHK'!$H$6:$T$6,0)):INDEX('Actual-ACPLHK'!$H$7:$S$207,MATCH($B22,'Actual-ACPLHK'!$B$7:$B$207,0),MATCH(AL$8,'Actual-ACPLHK'!$H$6:$T$6,0)))</f>
        <v>0</v>
      </c>
      <c r="AM22" s="749">
        <f>SUM(INDEX('Budget-ACPLHK'!$K$7:$W$207,MATCH($B22,'Budget-ACPLHK'!$B$7:$B$207,0),MATCH('Budget-ACPLHK'!K$6,'Budget-ACPLHK'!$K$6:$W$6,0)):INDEX('Budget-ACPLHK'!$K$7:$W$207,MATCH($B22,'Budget-ACPLHK'!$B$7:$B$207,0),MATCH(AM$8,'Budget-ACPLHK'!$K$6:$W$6,0)))</f>
        <v>0</v>
      </c>
      <c r="AN22" s="749">
        <f t="shared" ref="AN22:AN23" si="28">(AL22-AM22)*-1</f>
        <v>0</v>
      </c>
      <c r="AO22" s="748"/>
      <c r="AQ22" s="749">
        <f>SUM(INDEX('Actual-ACPSZL'!$H$7:$T$207,MATCH($B22,'Actual-ACPSZL'!$B$7:$B$207,0),MATCH('Actual-ACPSZL'!H$6,'Actual-ACPSZL'!$H$6:$T$6,0)):INDEX('Actual-ACPSZL'!$H$7:$T$207,MATCH($B22,'Actual-ACPSZL'!$B$7:$B$207,0),MATCH(AQ$8,'Actual-ACPSZL'!$H$6:$T$6,0)))</f>
        <v>0</v>
      </c>
      <c r="AR22" s="749">
        <f>SUM(INDEX('Budget-ACPSZL'!$K$7:$W$207,MATCH($B22,'Budget-ACPSZL'!$B$7:$B$207,0),MATCH('Budget-ACPSZL'!K$6,'Budget-ACPSZL'!$K$6:$W$6,0)):INDEX('Budget-ACPSZL'!$K$7:$W$207,MATCH($B22,'Budget-ACPSZL'!$B$7:$B$207,0),MATCH(AR$8,'Budget-ACPSZL'!$K$6:$W$6,0)))</f>
        <v>0</v>
      </c>
      <c r="AS22" s="749">
        <f>(AQ22-AR22)*-1</f>
        <v>0</v>
      </c>
      <c r="AT22" s="748"/>
      <c r="AV22" s="749">
        <f>SUM(INDEX('Actual-ACPLSZ'!$H$7:$T$207,MATCH($B22,'Actual-ACPLSZ'!$B$7:$B$207,0),MATCH('Actual-ACPLSZ'!H$6,'Actual-ACPLSZ'!$H$6:$T$6,0)):INDEX('Actual-ACPLSZ'!$H$7:$T$207,MATCH($B22,'Actual-ACPLSZ'!$B$7:$B$207,0),MATCH(AV$8,'Actual-ACPLSZ'!$H$6:$T$6,0)))</f>
        <v>0</v>
      </c>
      <c r="AW22" s="749">
        <f>SUM(INDEX('Budget-ACPLSZ'!$K$7:$W$207,MATCH($B22,'Budget-ACPLSZ'!$B$7:$B$207,0),MATCH('Budget-ACPLSZ'!K$6,'Budget-ACPLSZ'!$K$6:$W$6,0)):INDEX('Budget-ACPLSZ'!$K$7:$W$207,MATCH($B22,'Budget-ACPLSZ'!$B$7:$B$207,0),MATCH(AW$8,'Budget-ACPLSZ'!$K$6:$W$6,0)))</f>
        <v>0</v>
      </c>
      <c r="AX22" s="749">
        <f t="shared" si="25"/>
        <v>0</v>
      </c>
      <c r="AY22" s="748"/>
      <c r="BA22" s="749">
        <f>SUM(INDEX('Actual-ACPLGZ'!$H$7:$T$207,MATCH($B22,'Actual-ACPLGZ'!$B$7:$B$207,0),MATCH('Actual-ACPLGZ'!H$6,'Actual-ACPLGZ'!$H$6:$T$6,0)):INDEX('Actual-ACPLGZ'!$H$7:$T$207,MATCH($B22,'Actual-ACPLGZ'!$B$7:$B$207,0),MATCH(BA$8,'Actual-ACPLGZ'!$H$6:$T$6,0)))</f>
        <v>0</v>
      </c>
      <c r="BB22" s="749">
        <f>SUM(INDEX('Budget-ACPLGZ'!$K$7:$W$207,MATCH($B22,'Budget-ACPLGZ'!$B$7:$B$207,0),MATCH('Budget-ACPLGZ'!K$6,'Budget-ACPLGZ'!$K$6:$W$6,0)):INDEX('Budget-ACPLGZ'!$K$7:$W$207,MATCH($B22,'Budget-ACPLGZ'!$B$7:$B$207,0),MATCH(BB$8,'Budget-ACPLGZ'!$K$6:$W$6,0)))</f>
        <v>0</v>
      </c>
      <c r="BC22" s="749">
        <f t="shared" si="26"/>
        <v>0</v>
      </c>
      <c r="BD22" s="748"/>
      <c r="BF22" s="749">
        <f>SUM(INDEX('Actual-ACPLYixing'!$H$7:$T$207,MATCH($B22,'Actual-ACPLYixing'!$B$7:$B$207,0),MATCH('Actual-ACPLYixing'!H$6,'Actual-ACPLYixing'!$H$6:$T$6,0)):INDEX('Actual-ACPLYixing'!$H$7:$T$207,MATCH($B22,'Actual-ACPLYixing'!$B$7:$B$207,0),MATCH(BF$8,'Actual-ACPLYixing'!$H$6:$T$6,0)))</f>
        <v>0</v>
      </c>
      <c r="BG22" s="749">
        <f>SUM(INDEX('Budget-Yixing'!$K$7:$W$207,MATCH($B22,'Budget-Yixing'!$B$7:$B$207,0),MATCH('Budget-Yixing'!K$6,'Budget-Yixing'!$K$6:$W$6,0)):INDEX('Budget-Yixing'!$K$7:$W$207,MATCH($B22,'Budget-Yixing'!$B$7:$B$207,0),MATCH(BG$8,'Budget-Yixing'!$K$6:$W$6,0)))</f>
        <v>0</v>
      </c>
      <c r="BH22" s="749">
        <f t="shared" si="27"/>
        <v>0</v>
      </c>
      <c r="BI22" s="748"/>
    </row>
    <row r="23" spans="1:61" ht="16.5" customHeight="1">
      <c r="A23" s="653">
        <f>'Budget-合并'!A21</f>
        <v>0</v>
      </c>
      <c r="B23" s="653">
        <f>'Budget-合并'!B21</f>
        <v>0</v>
      </c>
      <c r="C23" s="746">
        <f>INDEX('Actual-ACPL'!$H$7:$T$207,MATCH($B23,'Actual-ACPL'!$B$7:$B$207,0),MATCH(C$8,'Actual-ACPL'!$H$6:$T$6,0))</f>
        <v>0</v>
      </c>
      <c r="D23" s="746">
        <f>INDEX('Budget-ACPL'!$K$7:$W$207,MATCH($B23,'Budget-ACPL'!$B$7:$B$207,0),MATCH(D$8,'Budget-ACPL'!$K$6:$W$6,0))</f>
        <v>0</v>
      </c>
      <c r="E23" s="746">
        <f>(C23-D23)*-1</f>
        <v>0</v>
      </c>
      <c r="F23" s="752"/>
      <c r="H23" s="749">
        <f>INDEX('Actual-ACPLHK'!$H$7:$T$207,MATCH($B23,'Actual-ACPLHK'!$B$7:$B$207,0),MATCH(H$8,'Actual-ACPLHK'!$H$6:$T$6,0))</f>
        <v>0</v>
      </c>
      <c r="I23" s="749">
        <f>INDEX('Budget-ACPLHK'!$K$7:$W$207,MATCH($B23,'Budget-ACPLHK'!$B$7:$B$207,0),MATCH(I$8,'Budget-ACPLHK'!$K$6:$W$6,0))</f>
        <v>0</v>
      </c>
      <c r="J23" s="749">
        <f>(H23-I23)*-1</f>
        <v>0</v>
      </c>
      <c r="K23" s="748"/>
      <c r="M23" s="749">
        <f>INDEX('Actual-ACPSZL'!$H$7:$T$207,MATCH($B23,'Actual-ACPSZL'!$B$7:$B$207,0),MATCH(M$8,'Actual-ACPSZL'!$H$6:$T$6,0))</f>
        <v>0</v>
      </c>
      <c r="N23" s="749">
        <f>INDEX('Budget-ACPSZL'!$K$7:$W$207,MATCH($B23,'Budget-ACPSZL'!$B$7:$B$207,0),MATCH(N$8,'Budget-ACPSZL'!$K$6:$W$6,0))</f>
        <v>0</v>
      </c>
      <c r="O23" s="749">
        <f t="shared" si="20"/>
        <v>0</v>
      </c>
      <c r="P23" s="748"/>
      <c r="R23" s="749">
        <f>INDEX('Actual-ACPLSZ'!$H$7:$T$207,MATCH($B23,'Actual-ACPLSZ'!$B$7:$B$207,0),MATCH(R$8,'Actual-ACPLSZ'!$H$6:$T$6,0))</f>
        <v>0</v>
      </c>
      <c r="S23" s="749">
        <f>INDEX('Budget-ACPLSZ'!$K$7:$W$207,MATCH($B23,'Budget-ACPLSZ'!$B$7:$B$207,0),MATCH(S$8,'Budget-ACPLSZ'!$K$6:$W$6,0))</f>
        <v>0</v>
      </c>
      <c r="T23" s="749">
        <f t="shared" si="21"/>
        <v>0</v>
      </c>
      <c r="U23" s="748"/>
      <c r="W23" s="749">
        <f>INDEX('Actual-ACPLGZ'!$H$7:$T$207,MATCH($B23,'Actual-ACPLGZ'!$B$7:$B$207,0),MATCH(W$8,'Actual-ACPLGZ'!$H$6:$T$6,0))</f>
        <v>0</v>
      </c>
      <c r="X23" s="749">
        <f>INDEX('Budget-ACPLGZ'!$K$7:$W$207,MATCH($B23,'Budget-ACPLGZ'!$B$7:$B$207,0),MATCH(X$8,'Budget-ACPLGZ'!$K$6:$W$6,0))</f>
        <v>0</v>
      </c>
      <c r="Y23" s="749">
        <f>(W23-X23)*-1</f>
        <v>0</v>
      </c>
      <c r="Z23" s="748"/>
      <c r="AB23" s="749">
        <f>INDEX('Actual-ACPLGZ'!$H$7:$T$207,MATCH($B23,'Actual-ACPLGZ'!$B$7:$B$207,0),MATCH(AB$8,'Actual-ACPLGZ'!$H$6:$T$6,0))</f>
        <v>0</v>
      </c>
      <c r="AC23" s="749">
        <f>INDEX('Budget-Yixing'!$K$7:$W$207,MATCH($B23,'Budget-Yixing'!$B$7:$B$207,0),MATCH(AC$8,'Budget-Yixing'!$K$6:$W$6,0))</f>
        <v>0</v>
      </c>
      <c r="AD23" s="749">
        <f t="shared" si="22"/>
        <v>0</v>
      </c>
      <c r="AE23" s="748"/>
      <c r="AG23" s="751">
        <f>SUM(INDEX('Actual-ACPL'!$H$7:$T$207,MATCH($B23,'Actual-ACPL'!$B$7:$B$207,0),MATCH('Actual-ACPL'!H$6,'Actual-ACPL'!$H$6:$T$6,0)):INDEX('Actual-ACPL'!$H$7:$T$207,MATCH($B23,'Actual-ACPL'!$B$7:$B$207,0),MATCH(AG$8,'Actual-ACPL'!$H$6:$T$6,0)))</f>
        <v>0</v>
      </c>
      <c r="AH23" s="751">
        <f>SUM(INDEX('Budget-ACPL'!$K$7:$W$207,MATCH($B23,'Budget-ACPL'!$B$7:$B$207,0),MATCH('Budget-ACPL'!K$6,'Budget-ACPL'!$K$6:$W$6,0)):INDEX('Budget-ACPL'!$K$7:$W$207,MATCH($B23,'Budget-ACPL'!$B$7:$B$207,0),MATCH(AH$8,'Budget-ACPL'!$K$6:$W$6,0)))</f>
        <v>0</v>
      </c>
      <c r="AI23" s="749">
        <f t="shared" si="24"/>
        <v>0</v>
      </c>
      <c r="AJ23" s="748"/>
      <c r="AL23" s="749">
        <f>SUM(INDEX('Actual-ACPLHK'!$H$7:$S$207,MATCH($B23,'Actual-ACPLHK'!$B$7:$B$207,0),MATCH('Actual-ACPLHK'!H$6,'Actual-ACPLHK'!$H$6:$T$6,0)):INDEX('Actual-ACPLHK'!$H$7:$S$207,MATCH($B23,'Actual-ACPLHK'!$B$7:$B$207,0),MATCH(AL$8,'Actual-ACPLHK'!$H$6:$T$6,0)))</f>
        <v>0</v>
      </c>
      <c r="AM23" s="749">
        <f>SUM(INDEX('Budget-ACPLHK'!$K$7:$W$207,MATCH($B23,'Budget-ACPLHK'!$B$7:$B$207,0),MATCH('Budget-ACPLHK'!K$6,'Budget-ACPLHK'!$K$6:$W$6,0)):INDEX('Budget-ACPLHK'!$K$7:$W$207,MATCH($B23,'Budget-ACPLHK'!$B$7:$B$207,0),MATCH(AM$8,'Budget-ACPLHK'!$K$6:$W$6,0)))</f>
        <v>0</v>
      </c>
      <c r="AN23" s="749">
        <f t="shared" si="28"/>
        <v>0</v>
      </c>
      <c r="AO23" s="748"/>
      <c r="AQ23" s="749">
        <f>SUM(INDEX('Actual-ACPSZL'!$H$7:$T$207,MATCH($B23,'Actual-ACPSZL'!$B$7:$B$207,0),MATCH('Actual-ACPSZL'!H$6,'Actual-ACPSZL'!$H$6:$T$6,0)):INDEX('Actual-ACPSZL'!$H$7:$T$207,MATCH($B23,'Actual-ACPSZL'!$B$7:$B$207,0),MATCH(AQ$8,'Actual-ACPSZL'!$H$6:$T$6,0)))</f>
        <v>0</v>
      </c>
      <c r="AR23" s="749">
        <f>SUM(INDEX('Budget-ACPSZL'!$K$7:$W$207,MATCH($B23,'Budget-ACPSZL'!$B$7:$B$207,0),MATCH('Budget-ACPSZL'!K$6,'Budget-ACPSZL'!$K$6:$W$6,0)):INDEX('Budget-ACPSZL'!$K$7:$W$207,MATCH($B23,'Budget-ACPSZL'!$B$7:$B$207,0),MATCH(AR$8,'Budget-ACPSZL'!$K$6:$W$6,0)))</f>
        <v>0</v>
      </c>
      <c r="AS23" s="749">
        <f>(AQ23-AR23)*-1</f>
        <v>0</v>
      </c>
      <c r="AT23" s="748"/>
      <c r="AV23" s="749">
        <f>SUM(INDEX('Actual-ACPLSZ'!$H$7:$T$207,MATCH($B23,'Actual-ACPLSZ'!$B$7:$B$207,0),MATCH('Actual-ACPLSZ'!H$6,'Actual-ACPLSZ'!$H$6:$T$6,0)):INDEX('Actual-ACPLSZ'!$H$7:$T$207,MATCH($B23,'Actual-ACPLSZ'!$B$7:$B$207,0),MATCH(AV$8,'Actual-ACPLSZ'!$H$6:$T$6,0)))</f>
        <v>0</v>
      </c>
      <c r="AW23" s="749">
        <f>SUM(INDEX('Budget-ACPLSZ'!$K$7:$W$207,MATCH($B23,'Budget-ACPLSZ'!$B$7:$B$207,0),MATCH('Budget-ACPLSZ'!K$6,'Budget-ACPLSZ'!$K$6:$W$6,0)):INDEX('Budget-ACPLSZ'!$K$7:$W$207,MATCH($B23,'Budget-ACPLSZ'!$B$7:$B$207,0),MATCH(AW$8,'Budget-ACPLSZ'!$K$6:$W$6,0)))</f>
        <v>0</v>
      </c>
      <c r="AX23" s="749">
        <f t="shared" si="25"/>
        <v>0</v>
      </c>
      <c r="AY23" s="748"/>
      <c r="BA23" s="749">
        <f>SUM(INDEX('Actual-ACPLGZ'!$H$7:$T$207,MATCH($B23,'Actual-ACPLGZ'!$B$7:$B$207,0),MATCH('Actual-ACPLGZ'!H$6,'Actual-ACPLGZ'!$H$6:$T$6,0)):INDEX('Actual-ACPLGZ'!$H$7:$T$207,MATCH($B23,'Actual-ACPLGZ'!$B$7:$B$207,0),MATCH(BA$8,'Actual-ACPLGZ'!$H$6:$T$6,0)))</f>
        <v>0</v>
      </c>
      <c r="BB23" s="749">
        <f>SUM(INDEX('Budget-ACPLGZ'!$K$7:$W$207,MATCH($B23,'Budget-ACPLGZ'!$B$7:$B$207,0),MATCH('Budget-ACPLGZ'!K$6,'Budget-ACPLGZ'!$K$6:$W$6,0)):INDEX('Budget-ACPLGZ'!$K$7:$W$207,MATCH($B23,'Budget-ACPLGZ'!$B$7:$B$207,0),MATCH(BB$8,'Budget-ACPLGZ'!$K$6:$W$6,0)))</f>
        <v>0</v>
      </c>
      <c r="BC23" s="749">
        <f t="shared" si="26"/>
        <v>0</v>
      </c>
      <c r="BD23" s="748"/>
      <c r="BF23" s="749">
        <f>SUM(INDEX('Actual-ACPLYixing'!$H$7:$T$207,MATCH($B23,'Actual-ACPLYixing'!$B$7:$B$207,0),MATCH('Actual-ACPLYixing'!H$6,'Actual-ACPLYixing'!$H$6:$T$6,0)):INDEX('Actual-ACPLYixing'!$H$7:$T$207,MATCH($B23,'Actual-ACPLYixing'!$B$7:$B$207,0),MATCH(BF$8,'Actual-ACPLYixing'!$H$6:$T$6,0)))</f>
        <v>0</v>
      </c>
      <c r="BG23" s="749">
        <f>SUM(INDEX('Budget-Yixing'!$K$7:$W$207,MATCH($B23,'Budget-Yixing'!$B$7:$B$207,0),MATCH('Budget-Yixing'!K$6,'Budget-Yixing'!$K$6:$W$6,0)):INDEX('Budget-Yixing'!$K$7:$W$207,MATCH($B23,'Budget-Yixing'!$B$7:$B$207,0),MATCH(BG$8,'Budget-Yixing'!$K$6:$W$6,0)))</f>
        <v>0</v>
      </c>
      <c r="BH23" s="749">
        <f t="shared" si="27"/>
        <v>0</v>
      </c>
      <c r="BI23" s="748"/>
    </row>
    <row r="24" spans="1:61" ht="16.5" customHeight="1">
      <c r="A24" s="653" t="str">
        <f>'Budget-合并'!A22</f>
        <v>6602</v>
      </c>
      <c r="B24" s="653" t="str">
        <f>'Budget-合并'!B22</f>
        <v>管理费用</v>
      </c>
      <c r="C24" s="746">
        <f>INDEX('Actual-ACPL'!$H$7:$T$207,MATCH($B24,'Actual-ACPL'!$B$7:$B$207,0),MATCH(C$8,'Actual-ACPL'!$H$6:$T$6,0))</f>
        <v>0</v>
      </c>
      <c r="D24" s="746">
        <f>INDEX('Budget-ACPL'!$K$7:$W$207,MATCH($B24,'Budget-ACPL'!$B$7:$B$207,0),MATCH(D$8,'Budget-ACPL'!$K$6:$W$6,0))</f>
        <v>0</v>
      </c>
      <c r="E24" s="746">
        <f>(C24-D24)*-1</f>
        <v>0</v>
      </c>
      <c r="F24" s="752"/>
      <c r="H24" s="749">
        <f>INDEX('Actual-ACPLHK'!$H$7:$T$207,MATCH($B24,'Actual-ACPLHK'!$B$7:$B$207,0),MATCH(H$8,'Actual-ACPLHK'!$H$6:$T$6,0))</f>
        <v>0</v>
      </c>
      <c r="I24" s="749">
        <f>INDEX('Budget-ACPLHK'!$K$7:$W$207,MATCH($B24,'Budget-ACPLHK'!$B$7:$B$207,0),MATCH(I$8,'Budget-ACPLHK'!$K$6:$W$6,0))</f>
        <v>0</v>
      </c>
      <c r="J24" s="749">
        <f>(H24-I24)*-1</f>
        <v>0</v>
      </c>
      <c r="K24" s="748"/>
      <c r="M24" s="749">
        <f>INDEX('Actual-ACPSZL'!$H$7:$T$207,MATCH($B24,'Actual-ACPSZL'!$B$7:$B$207,0),MATCH(M$8,'Actual-ACPSZL'!$H$6:$T$6,0))</f>
        <v>0</v>
      </c>
      <c r="N24" s="749">
        <f>INDEX('Budget-ACPSZL'!$K$7:$W$207,MATCH($B24,'Budget-ACPSZL'!$B$7:$B$207,0),MATCH(N$8,'Budget-ACPSZL'!$K$6:$W$6,0))</f>
        <v>0</v>
      </c>
      <c r="O24" s="749">
        <f t="shared" si="20"/>
        <v>0</v>
      </c>
      <c r="P24" s="748"/>
      <c r="R24" s="749">
        <f>INDEX('Actual-ACPLSZ'!$H$7:$T$207,MATCH($B24,'Actual-ACPLSZ'!$B$7:$B$207,0),MATCH(R$8,'Actual-ACPLSZ'!$H$6:$T$6,0))</f>
        <v>0</v>
      </c>
      <c r="S24" s="749">
        <f>INDEX('Budget-ACPLSZ'!$K$7:$W$207,MATCH($B24,'Budget-ACPLSZ'!$B$7:$B$207,0),MATCH(S$8,'Budget-ACPLSZ'!$K$6:$W$6,0))</f>
        <v>0</v>
      </c>
      <c r="T24" s="749">
        <f t="shared" si="21"/>
        <v>0</v>
      </c>
      <c r="U24" s="748"/>
      <c r="W24" s="749">
        <f>INDEX('Actual-ACPLGZ'!$H$7:$T$207,MATCH($B24,'Actual-ACPLGZ'!$B$7:$B$207,0),MATCH(W$8,'Actual-ACPLGZ'!$H$6:$T$6,0))</f>
        <v>0</v>
      </c>
      <c r="X24" s="749">
        <f>INDEX('Budget-ACPLGZ'!$K$7:$W$207,MATCH($B24,'Budget-ACPLGZ'!$B$7:$B$207,0),MATCH(X$8,'Budget-ACPLGZ'!$K$6:$W$6,0))</f>
        <v>0</v>
      </c>
      <c r="Y24" s="749">
        <f>(W24-X24)*-1</f>
        <v>0</v>
      </c>
      <c r="Z24" s="748"/>
      <c r="AB24" s="749">
        <f>INDEX('Actual-ACPLGZ'!$H$7:$T$207,MATCH($B24,'Actual-ACPLGZ'!$B$7:$B$207,0),MATCH(AB$8,'Actual-ACPLGZ'!$H$6:$T$6,0))</f>
        <v>0</v>
      </c>
      <c r="AC24" s="749">
        <f>INDEX('Budget-Yixing'!$K$7:$W$207,MATCH($B24,'Budget-Yixing'!$B$7:$B$207,0),MATCH(AC$8,'Budget-Yixing'!$K$6:$W$6,0))</f>
        <v>0</v>
      </c>
      <c r="AD24" s="749">
        <f t="shared" si="22"/>
        <v>0</v>
      </c>
      <c r="AE24" s="748"/>
      <c r="AG24" s="751">
        <f>SUM(INDEX('Actual-ACPL'!$H$7:$T$207,MATCH($B24,'Actual-ACPL'!$B$7:$B$207,0),MATCH('Actual-ACPL'!H$6,'Actual-ACPL'!$H$6:$T$6,0)):INDEX('Actual-ACPL'!$H$7:$T$207,MATCH($B24,'Actual-ACPL'!$B$7:$B$207,0),MATCH(AG$8,'Actual-ACPL'!$H$6:$T$6,0)))</f>
        <v>0</v>
      </c>
      <c r="AH24" s="751">
        <f>SUM(INDEX('Budget-ACPL'!$K$7:$W$207,MATCH($B24,'Budget-ACPL'!$B$7:$B$207,0),MATCH('Budget-ACPL'!K$6,'Budget-ACPL'!$K$6:$W$6,0)):INDEX('Budget-ACPL'!$K$7:$W$207,MATCH($B24,'Budget-ACPL'!$B$7:$B$207,0),MATCH(AH$8,'Budget-ACPL'!$K$6:$W$6,0)))</f>
        <v>0</v>
      </c>
      <c r="AI24" s="749"/>
      <c r="AJ24" s="748"/>
      <c r="AL24" s="749">
        <f>SUM(INDEX('Actual-ACPLHK'!$H$7:$S$207,MATCH($B24,'Actual-ACPLHK'!$B$7:$B$207,0),MATCH('Actual-ACPLHK'!H$6,'Actual-ACPLHK'!$H$6:$T$6,0)):INDEX('Actual-ACPLHK'!$H$7:$S$207,MATCH($B24,'Actual-ACPLHK'!$B$7:$B$207,0),MATCH(AL$8,'Actual-ACPLHK'!$H$6:$T$6,0)))</f>
        <v>0</v>
      </c>
      <c r="AM24" s="749">
        <f>SUM(INDEX('Budget-ACPLHK'!$K$7:$W$207,MATCH($B24,'Budget-ACPLHK'!$B$7:$B$207,0),MATCH('Budget-ACPLHK'!K$6,'Budget-ACPLHK'!$K$6:$W$6,0)):INDEX('Budget-ACPLHK'!$K$7:$W$207,MATCH($B24,'Budget-ACPLHK'!$B$7:$B$207,0),MATCH(AM$8,'Budget-ACPLHK'!$K$6:$W$6,0)))</f>
        <v>0</v>
      </c>
      <c r="AN24" s="749"/>
      <c r="AO24" s="748"/>
      <c r="AQ24" s="749">
        <f>SUM(INDEX('Actual-ACPSZL'!$H$7:$T$207,MATCH($B24,'Actual-ACPSZL'!$B$7:$B$207,0),MATCH('Actual-ACPSZL'!H$6,'Actual-ACPSZL'!$H$6:$T$6,0)):INDEX('Actual-ACPSZL'!$H$7:$T$207,MATCH($B24,'Actual-ACPSZL'!$B$7:$B$207,0),MATCH(AQ$8,'Actual-ACPSZL'!$H$6:$T$6,0)))</f>
        <v>0</v>
      </c>
      <c r="AR24" s="749">
        <f>SUM(INDEX('Budget-ACPSZL'!$K$7:$W$207,MATCH($B24,'Budget-ACPSZL'!$B$7:$B$207,0),MATCH('Budget-ACPSZL'!K$6,'Budget-ACPSZL'!$K$6:$W$6,0)):INDEX('Budget-ACPSZL'!$K$7:$W$207,MATCH($B24,'Budget-ACPSZL'!$B$7:$B$207,0),MATCH(AR$8,'Budget-ACPSZL'!$K$6:$W$6,0)))</f>
        <v>0</v>
      </c>
      <c r="AS24" s="749"/>
      <c r="AT24" s="748"/>
      <c r="AV24" s="749">
        <f>SUM(INDEX('Actual-ACPLSZ'!$H$7:$T$207,MATCH($B24,'Actual-ACPLSZ'!$B$7:$B$207,0),MATCH('Actual-ACPLSZ'!H$6,'Actual-ACPLSZ'!$H$6:$T$6,0)):INDEX('Actual-ACPLSZ'!$H$7:$T$207,MATCH($B24,'Actual-ACPLSZ'!$B$7:$B$207,0),MATCH(AV$8,'Actual-ACPLSZ'!$H$6:$T$6,0)))</f>
        <v>0</v>
      </c>
      <c r="AW24" s="749">
        <f>SUM(INDEX('Budget-ACPLSZ'!$K$7:$W$207,MATCH($B24,'Budget-ACPLSZ'!$B$7:$B$207,0),MATCH('Budget-ACPLSZ'!K$6,'Budget-ACPLSZ'!$K$6:$W$6,0)):INDEX('Budget-ACPLSZ'!$K$7:$W$207,MATCH($B24,'Budget-ACPLSZ'!$B$7:$B$207,0),MATCH(AW$8,'Budget-ACPLSZ'!$K$6:$W$6,0)))</f>
        <v>0</v>
      </c>
      <c r="AX24" s="749"/>
      <c r="AY24" s="748"/>
      <c r="BA24" s="749">
        <f>SUM(INDEX('Actual-ACPLGZ'!$H$7:$T$207,MATCH($B24,'Actual-ACPLGZ'!$B$7:$B$207,0),MATCH('Actual-ACPLGZ'!H$6,'Actual-ACPLGZ'!$H$6:$T$6,0)):INDEX('Actual-ACPLGZ'!$H$7:$T$207,MATCH($B24,'Actual-ACPLGZ'!$B$7:$B$207,0),MATCH(BA$8,'Actual-ACPLGZ'!$H$6:$T$6,0)))</f>
        <v>0</v>
      </c>
      <c r="BB24" s="749">
        <f>SUM(INDEX('Budget-ACPLGZ'!$K$7:$W$207,MATCH($B24,'Budget-ACPLGZ'!$B$7:$B$207,0),MATCH('Budget-ACPLGZ'!K$6,'Budget-ACPLGZ'!$K$6:$W$6,0)):INDEX('Budget-ACPLGZ'!$K$7:$W$207,MATCH($B24,'Budget-ACPLGZ'!$B$7:$B$207,0),MATCH(BB$8,'Budget-ACPLGZ'!$K$6:$W$6,0)))</f>
        <v>0</v>
      </c>
      <c r="BC24" s="749"/>
      <c r="BD24" s="748"/>
      <c r="BF24" s="749">
        <f>SUM(INDEX('Actual-ACPLYixing'!$H$7:$T$207,MATCH($B24,'Actual-ACPLYixing'!$B$7:$B$207,0),MATCH('Actual-ACPLYixing'!H$6,'Actual-ACPLYixing'!$H$6:$T$6,0)):INDEX('Actual-ACPLYixing'!$H$7:$T$207,MATCH($B24,'Actual-ACPLYixing'!$B$7:$B$207,0),MATCH(BF$8,'Actual-ACPLYixing'!$H$6:$T$6,0)))</f>
        <v>0</v>
      </c>
      <c r="BG24" s="749">
        <f>SUM(INDEX('Budget-Yixing'!$K$7:$W$207,MATCH($B24,'Budget-Yixing'!$B$7:$B$207,0),MATCH('Budget-Yixing'!K$6,'Budget-Yixing'!$K$6:$W$6,0)):INDEX('Budget-Yixing'!$K$7:$W$207,MATCH($B24,'Budget-Yixing'!$B$7:$B$207,0),MATCH(BG$8,'Budget-Yixing'!$K$6:$W$6,0)))</f>
        <v>0</v>
      </c>
      <c r="BH24" s="749"/>
      <c r="BI24" s="748"/>
    </row>
    <row r="25" spans="1:61" ht="16.5" customHeight="1">
      <c r="A25" s="653" t="str">
        <f>'Budget-合并'!A23</f>
        <v>6602.01</v>
      </c>
      <c r="B25" s="653" t="str">
        <f>'Budget-合并'!B23</f>
        <v>工资薪金</v>
      </c>
      <c r="C25" s="746">
        <f>INDEX('Actual-ACPL'!$H$7:$T$207,MATCH($B25,'Actual-ACPL'!$B$7:$B$207,0),MATCH(C$8,'Actual-ACPL'!$H$6:$T$6,0))</f>
        <v>0</v>
      </c>
      <c r="D25" s="746">
        <f>INDEX('Budget-ACPL'!$K$7:$W$207,MATCH($B25,'Budget-ACPL'!$B$7:$B$207,0),MATCH(D$8,'Budget-ACPL'!$K$6:$W$6,0))</f>
        <v>364009.99999999988</v>
      </c>
      <c r="E25" s="746">
        <f t="shared" si="23"/>
        <v>-364009.99999999988</v>
      </c>
      <c r="F25" s="752"/>
      <c r="H25" s="749">
        <f>INDEX('Actual-ACPLHK'!$H$7:$T$207,MATCH($B25,'Actual-ACPLHK'!$B$7:$B$207,0),MATCH(H$8,'Actual-ACPLHK'!$H$6:$T$6,0))</f>
        <v>0</v>
      </c>
      <c r="I25" s="749">
        <f>INDEX('Budget-ACPLHK'!$K$7:$W$207,MATCH($B25,'Budget-ACPLHK'!$B$7:$B$207,0),MATCH(I$8,'Budget-ACPLHK'!$K$6:$W$6,0))</f>
        <v>236746.764</v>
      </c>
      <c r="J25" s="749">
        <f>H25-I25</f>
        <v>-236746.764</v>
      </c>
      <c r="K25" s="748"/>
      <c r="M25" s="749">
        <f>INDEX('Actual-ACPSZL'!$H$7:$T$207,MATCH($B25,'Actual-ACPSZL'!$B$7:$B$207,0),MATCH(M$8,'Actual-ACPSZL'!$H$6:$T$6,0))</f>
        <v>0</v>
      </c>
      <c r="N25" s="749">
        <f ca="1">INDEX('Budget-ACPSZL'!$K$7:$W$207,MATCH($B25,'Budget-ACPSZL'!$B$7:$B$207,0),MATCH(N$8,'Budget-ACPSZL'!$K$6:$W$6,0))</f>
        <v>215000</v>
      </c>
      <c r="O25" s="749">
        <f ca="1">M25-N25</f>
        <v>-215000</v>
      </c>
      <c r="P25" s="748"/>
      <c r="R25" s="749">
        <f>INDEX('Actual-ACPLSZ'!$H$7:$T$207,MATCH($B25,'Actual-ACPLSZ'!$B$7:$B$207,0),MATCH(R$8,'Actual-ACPLSZ'!$H$6:$T$6,0))</f>
        <v>0</v>
      </c>
      <c r="S25" s="749">
        <f ca="1">INDEX('Budget-ACPLSZ'!$K$7:$W$207,MATCH($B25,'Budget-ACPLSZ'!$B$7:$B$207,0),MATCH(S$8,'Budget-ACPLSZ'!$K$6:$W$6,0))</f>
        <v>300500</v>
      </c>
      <c r="T25" s="749">
        <f t="shared" ca="1" si="21"/>
        <v>300500</v>
      </c>
      <c r="U25" s="748"/>
      <c r="W25" s="749">
        <f>INDEX('Actual-ACPLGZ'!$H$7:$T$207,MATCH($B25,'Actual-ACPLGZ'!$B$7:$B$207,0),MATCH(W$8,'Actual-ACPLGZ'!$H$6:$T$6,0))</f>
        <v>0</v>
      </c>
      <c r="X25" s="749">
        <f>INDEX('Budget-ACPLGZ'!$K$7:$W$207,MATCH($B25,'Budget-ACPLGZ'!$B$7:$B$207,0),MATCH(X$8,'Budget-ACPLGZ'!$K$6:$W$6,0))</f>
        <v>0</v>
      </c>
      <c r="Y25" s="749">
        <f>W25-X25</f>
        <v>0</v>
      </c>
      <c r="Z25" s="748"/>
      <c r="AB25" s="749">
        <f>INDEX('Actual-ACPLGZ'!$H$7:$T$207,MATCH($B25,'Actual-ACPLGZ'!$B$7:$B$207,0),MATCH(AB$8,'Actual-ACPLGZ'!$H$6:$T$6,0))</f>
        <v>0</v>
      </c>
      <c r="AC25" s="749">
        <f>INDEX('Budget-Yixing'!$K$7:$W$207,MATCH($B25,'Budget-Yixing'!$B$7:$B$207,0),MATCH(AC$8,'Budget-Yixing'!$K$6:$W$6,0))</f>
        <v>0</v>
      </c>
      <c r="AD25" s="749">
        <f t="shared" si="22"/>
        <v>0</v>
      </c>
      <c r="AE25" s="748"/>
      <c r="AG25" s="751">
        <f>SUM(INDEX('Actual-ACPL'!$H$7:$T$207,MATCH($B25,'Actual-ACPL'!$B$7:$B$207,0),MATCH('Actual-ACPL'!H$6,'Actual-ACPL'!$H$6:$T$6,0)):INDEX('Actual-ACPL'!$H$7:$T$207,MATCH($B25,'Actual-ACPL'!$B$7:$B$207,0),MATCH(AG$8,'Actual-ACPL'!$H$6:$T$6,0)))</f>
        <v>0</v>
      </c>
      <c r="AH25" s="751">
        <f>SUM(INDEX('Budget-ACPL'!$K$7:$W$207,MATCH($B25,'Budget-ACPL'!$B$7:$B$207,0),MATCH('Budget-ACPL'!K$6,'Budget-ACPL'!$K$6:$W$6,0)):INDEX('Budget-ACPL'!$K$7:$W$207,MATCH($B25,'Budget-ACPL'!$B$7:$B$207,0),MATCH(AH$8,'Budget-ACPL'!$K$6:$W$6,0)))</f>
        <v>364009.99999999988</v>
      </c>
      <c r="AI25" s="749">
        <f>AG25-AH25</f>
        <v>-364009.99999999988</v>
      </c>
      <c r="AJ25" s="748"/>
      <c r="AL25" s="749">
        <f>SUM(INDEX('Actual-ACPLHK'!$H$7:$S$207,MATCH($B25,'Actual-ACPLHK'!$B$7:$B$207,0),MATCH('Actual-ACPLHK'!H$6,'Actual-ACPLHK'!$H$6:$T$6,0)):INDEX('Actual-ACPLHK'!$H$7:$S$207,MATCH($B25,'Actual-ACPLHK'!$B$7:$B$207,0),MATCH(AL$8,'Actual-ACPLHK'!$H$6:$T$6,0)))</f>
        <v>0</v>
      </c>
      <c r="AM25" s="749">
        <f>SUM(INDEX('Budget-ACPLHK'!$K$7:$W$207,MATCH($B25,'Budget-ACPLHK'!$B$7:$B$207,0),MATCH('Budget-ACPLHK'!K$6,'Budget-ACPLHK'!$K$6:$W$6,0)):INDEX('Budget-ACPLHK'!$K$7:$W$207,MATCH($B25,'Budget-ACPLHK'!$B$7:$B$207,0),MATCH(AM$8,'Budget-ACPLHK'!$K$6:$W$6,0)))</f>
        <v>236746.764</v>
      </c>
      <c r="AN25" s="749">
        <f>AL25-AM25</f>
        <v>-236746.764</v>
      </c>
      <c r="AO25" s="748"/>
      <c r="AQ25" s="749">
        <f>SUM(INDEX('Actual-ACPSZL'!$H$7:$T$207,MATCH($B25,'Actual-ACPSZL'!$B$7:$B$207,0),MATCH('Actual-ACPSZL'!H$6,'Actual-ACPSZL'!$H$6:$T$6,0)):INDEX('Actual-ACPSZL'!$H$7:$T$207,MATCH($B25,'Actual-ACPSZL'!$B$7:$B$207,0),MATCH(AQ$8,'Actual-ACPSZL'!$H$6:$T$6,0)))</f>
        <v>0</v>
      </c>
      <c r="AR25" s="749">
        <f ca="1">SUM(INDEX('Budget-ACPSZL'!$K$7:$W$207,MATCH($B25,'Budget-ACPSZL'!$B$7:$B$207,0),MATCH('Budget-ACPSZL'!K$6,'Budget-ACPSZL'!$K$6:$W$6,0)):INDEX('Budget-ACPSZL'!$K$7:$W$207,MATCH($B25,'Budget-ACPSZL'!$B$7:$B$207,0),MATCH(AR$8,'Budget-ACPSZL'!$K$6:$W$6,0)))</f>
        <v>215000</v>
      </c>
      <c r="AS25" s="750">
        <f ca="1">AQ25-AR25</f>
        <v>-215000</v>
      </c>
      <c r="AT25" s="748"/>
      <c r="AV25" s="749">
        <f>SUM(INDEX('Actual-ACPLSZ'!$H$7:$T$207,MATCH($B25,'Actual-ACPLSZ'!$B$7:$B$207,0),MATCH('Actual-ACPLSZ'!H$6,'Actual-ACPLSZ'!$H$6:$T$6,0)):INDEX('Actual-ACPLSZ'!$H$7:$T$207,MATCH($B25,'Actual-ACPLSZ'!$B$7:$B$207,0),MATCH(AV$8,'Actual-ACPLSZ'!$H$6:$T$6,0)))</f>
        <v>0</v>
      </c>
      <c r="AW25" s="749">
        <f ca="1">SUM(INDEX('Budget-ACPLSZ'!$K$7:$W$207,MATCH($B25,'Budget-ACPLSZ'!$B$7:$B$207,0),MATCH('Budget-ACPLSZ'!K$6,'Budget-ACPLSZ'!$K$6:$W$6,0)):INDEX('Budget-ACPLSZ'!$K$7:$W$207,MATCH($B25,'Budget-ACPLSZ'!$B$7:$B$207,0),MATCH(AW$8,'Budget-ACPLSZ'!$K$6:$W$6,0)))</f>
        <v>300500</v>
      </c>
      <c r="AX25" s="749">
        <f ca="1">AV25-AW25</f>
        <v>-300500</v>
      </c>
      <c r="AY25" s="748"/>
      <c r="BA25" s="749">
        <f>SUM(INDEX('Actual-ACPLGZ'!$H$7:$T$207,MATCH($B25,'Actual-ACPLGZ'!$B$7:$B$207,0),MATCH('Actual-ACPLGZ'!H$6,'Actual-ACPLGZ'!$H$6:$T$6,0)):INDEX('Actual-ACPLGZ'!$H$7:$T$207,MATCH($B25,'Actual-ACPLGZ'!$B$7:$B$207,0),MATCH(BA$8,'Actual-ACPLGZ'!$H$6:$T$6,0)))</f>
        <v>0</v>
      </c>
      <c r="BB25" s="749">
        <f>SUM(INDEX('Budget-ACPLGZ'!$K$7:$W$207,MATCH($B25,'Budget-ACPLGZ'!$B$7:$B$207,0),MATCH('Budget-ACPLGZ'!K$6,'Budget-ACPLGZ'!$K$6:$W$6,0)):INDEX('Budget-ACPLGZ'!$K$7:$W$207,MATCH($B25,'Budget-ACPLGZ'!$B$7:$B$207,0),MATCH(BB$8,'Budget-ACPLGZ'!$K$6:$W$6,0)))</f>
        <v>0</v>
      </c>
      <c r="BC25" s="750">
        <f t="shared" ref="BC25:BC31" si="29">BA25-BB25</f>
        <v>0</v>
      </c>
      <c r="BD25" s="748"/>
      <c r="BF25" s="749">
        <f>SUM(INDEX('Actual-ACPLYixing'!$H$7:$T$207,MATCH($B25,'Actual-ACPLYixing'!$B$7:$B$207,0),MATCH('Actual-ACPLYixing'!H$6,'Actual-ACPLYixing'!$H$6:$T$6,0)):INDEX('Actual-ACPLYixing'!$H$7:$T$207,MATCH($B25,'Actual-ACPLYixing'!$B$7:$B$207,0),MATCH(BF$8,'Actual-ACPLYixing'!$H$6:$T$6,0)))</f>
        <v>0</v>
      </c>
      <c r="BG25" s="749">
        <f>SUM(INDEX('Budget-Yixing'!$K$7:$W$207,MATCH($B25,'Budget-Yixing'!$B$7:$B$207,0),MATCH('Budget-Yixing'!K$6,'Budget-Yixing'!$K$6:$W$6,0)):INDEX('Budget-Yixing'!$K$7:$W$207,MATCH($B25,'Budget-Yixing'!$B$7:$B$207,0),MATCH(BG$8,'Budget-Yixing'!$K$6:$W$6,0)))</f>
        <v>0</v>
      </c>
      <c r="BH25" s="750">
        <f t="shared" ref="BH25:BH31" si="30">BF25-BG25</f>
        <v>0</v>
      </c>
      <c r="BI25" s="748"/>
    </row>
    <row r="26" spans="1:61" ht="18.95" customHeight="1">
      <c r="A26" s="653" t="str">
        <f>'Budget-合并'!A24</f>
        <v>6602.01.01</v>
      </c>
      <c r="B26" s="653" t="str">
        <f>'Budget-合并'!B24</f>
        <v>基本工资（专业）</v>
      </c>
      <c r="C26" s="746">
        <f>INDEX('Actual-ACPL'!$H$7:$T$207,MATCH($B26,'Actual-ACPL'!$B$7:$B$207,0),MATCH(C$8,'Actual-ACPL'!$H$6:$T$6,0))</f>
        <v>0</v>
      </c>
      <c r="D26" s="746">
        <f>INDEX('Budget-ACPL'!$K$7:$W$207,MATCH($B26,'Budget-ACPL'!$B$7:$B$207,0),MATCH(D$8,'Budget-ACPL'!$K$6:$W$6,0))</f>
        <v>108135</v>
      </c>
      <c r="E26" s="746">
        <f t="shared" ref="E26:E40" si="31">C26-D26</f>
        <v>-108135</v>
      </c>
      <c r="F26" s="752"/>
      <c r="H26" s="749">
        <f>INDEX('Actual-ACPLHK'!$H$7:$T$207,MATCH($B26,'Actual-ACPLHK'!$B$7:$B$207,0),MATCH(H$8,'Actual-ACPLHK'!$H$6:$T$6,0))</f>
        <v>0</v>
      </c>
      <c r="I26" s="749">
        <f>INDEX('Budget-ACPLHK'!$K$7:$W$207,MATCH($B26,'Budget-ACPLHK'!$B$7:$B$207,0),MATCH(I$8,'Budget-ACPLHK'!$K$6:$W$6,0))</f>
        <v>229270.764</v>
      </c>
      <c r="J26" s="749">
        <f>H26-I26</f>
        <v>-229270.764</v>
      </c>
      <c r="K26" s="748"/>
      <c r="M26" s="749">
        <f>INDEX('Actual-ACPSZL'!$H$7:$T$207,MATCH($B26,'Actual-ACPSZL'!$B$7:$B$207,0),MATCH(M$8,'Actual-ACPSZL'!$H$6:$T$6,0))</f>
        <v>0</v>
      </c>
      <c r="N26" s="749">
        <f ca="1">INDEX('Budget-ACPSZL'!$K$7:$W$207,MATCH($B26,'Budget-ACPSZL'!$B$7:$B$207,0),MATCH(N$8,'Budget-ACPSZL'!$K$6:$W$6,0))</f>
        <v>215000</v>
      </c>
      <c r="O26" s="749">
        <f ca="1">M26-N26</f>
        <v>-215000</v>
      </c>
      <c r="P26" s="748"/>
      <c r="R26" s="749">
        <f>INDEX('Actual-ACPLSZ'!$H$7:$T$207,MATCH($B26,'Actual-ACPLSZ'!$B$7:$B$207,0),MATCH(R$8,'Actual-ACPLSZ'!$H$6:$T$6,0))</f>
        <v>0</v>
      </c>
      <c r="S26" s="749">
        <f ca="1">INDEX('Budget-ACPLSZ'!$K$7:$W$207,MATCH($B26,'Budget-ACPLSZ'!$B$7:$B$207,0),MATCH(S$8,'Budget-ACPLSZ'!$K$6:$W$6,0))</f>
        <v>300500</v>
      </c>
      <c r="T26" s="749">
        <f t="shared" ca="1" si="21"/>
        <v>300500</v>
      </c>
      <c r="U26" s="748"/>
      <c r="W26" s="749">
        <f>INDEX('Actual-ACPLGZ'!$H$7:$T$207,MATCH($B26,'Actual-ACPLGZ'!$B$7:$B$207,0),MATCH(W$8,'Actual-ACPLGZ'!$H$6:$T$6,0))</f>
        <v>0</v>
      </c>
      <c r="X26" s="749">
        <f>INDEX('Budget-ACPLGZ'!$K$7:$W$207,MATCH($B26,'Budget-ACPLGZ'!$B$7:$B$207,0),MATCH(X$8,'Budget-ACPLGZ'!$K$6:$W$6,0))</f>
        <v>0</v>
      </c>
      <c r="Y26" s="749">
        <f t="shared" ref="Y26:Y41" si="32">W26-X26</f>
        <v>0</v>
      </c>
      <c r="Z26" s="748"/>
      <c r="AB26" s="749">
        <f>INDEX('Actual-ACPLGZ'!$H$7:$T$207,MATCH($B26,'Actual-ACPLGZ'!$B$7:$B$207,0),MATCH(AB$8,'Actual-ACPLGZ'!$H$6:$T$6,0))</f>
        <v>0</v>
      </c>
      <c r="AC26" s="749">
        <f>INDEX('Budget-Yixing'!$K$7:$W$207,MATCH($B26,'Budget-Yixing'!$B$7:$B$207,0),MATCH(AC$8,'Budget-Yixing'!$K$6:$W$6,0))</f>
        <v>0</v>
      </c>
      <c r="AD26" s="749">
        <f t="shared" si="22"/>
        <v>0</v>
      </c>
      <c r="AE26" s="748"/>
      <c r="AG26" s="751">
        <f>SUM(INDEX('Actual-ACPL'!$H$7:$T$207,MATCH($B26,'Actual-ACPL'!$B$7:$B$207,0),MATCH('Actual-ACPL'!H$6,'Actual-ACPL'!$H$6:$T$6,0)):INDEX('Actual-ACPL'!$H$7:$T$207,MATCH($B26,'Actual-ACPL'!$B$7:$B$207,0),MATCH(AG$8,'Actual-ACPL'!$H$6:$T$6,0)))</f>
        <v>0</v>
      </c>
      <c r="AH26" s="751">
        <f>SUM(INDEX('Budget-ACPL'!$K$7:$W$207,MATCH($B26,'Budget-ACPL'!$B$7:$B$207,0),MATCH('Budget-ACPL'!K$6,'Budget-ACPL'!$K$6:$W$6,0)):INDEX('Budget-ACPL'!$K$7:$W$207,MATCH($B26,'Budget-ACPL'!$B$7:$B$207,0),MATCH(AH$8,'Budget-ACPL'!$K$6:$W$6,0)))</f>
        <v>108135</v>
      </c>
      <c r="AI26" s="749">
        <f>AG26-AH26</f>
        <v>-108135</v>
      </c>
      <c r="AJ26" s="748"/>
      <c r="AL26" s="749">
        <f>SUM(INDEX('Actual-ACPLHK'!$H$7:$S$207,MATCH($B26,'Actual-ACPLHK'!$B$7:$B$207,0),MATCH('Actual-ACPLHK'!H$6,'Actual-ACPLHK'!$H$6:$T$6,0)):INDEX('Actual-ACPLHK'!$H$7:$S$207,MATCH($B26,'Actual-ACPLHK'!$B$7:$B$207,0),MATCH(AL$8,'Actual-ACPLHK'!$H$6:$T$6,0)))</f>
        <v>0</v>
      </c>
      <c r="AM26" s="749">
        <f>SUM(INDEX('Budget-ACPLHK'!$K$7:$W$207,MATCH($B26,'Budget-ACPLHK'!$B$7:$B$207,0),MATCH('Budget-ACPLHK'!K$6,'Budget-ACPLHK'!$K$6:$W$6,0)):INDEX('Budget-ACPLHK'!$K$7:$W$207,MATCH($B26,'Budget-ACPLHK'!$B$7:$B$207,0),MATCH(AM$8,'Budget-ACPLHK'!$K$6:$W$6,0)))</f>
        <v>229270.764</v>
      </c>
      <c r="AN26" s="749">
        <f>AL26-AM26</f>
        <v>-229270.764</v>
      </c>
      <c r="AO26" s="748"/>
      <c r="AQ26" s="749">
        <f>SUM(INDEX('Actual-ACPSZL'!$H$7:$T$207,MATCH($B26,'Actual-ACPSZL'!$B$7:$B$207,0),MATCH('Actual-ACPSZL'!H$6,'Actual-ACPSZL'!$H$6:$T$6,0)):INDEX('Actual-ACPSZL'!$H$7:$T$207,MATCH($B26,'Actual-ACPSZL'!$B$7:$B$207,0),MATCH(AQ$8,'Actual-ACPSZL'!$H$6:$T$6,0)))</f>
        <v>0</v>
      </c>
      <c r="AR26" s="749">
        <f ca="1">SUM(INDEX('Budget-ACPSZL'!$K$7:$W$207,MATCH($B26,'Budget-ACPSZL'!$B$7:$B$207,0),MATCH('Budget-ACPSZL'!K$6,'Budget-ACPSZL'!$K$6:$W$6,0)):INDEX('Budget-ACPSZL'!$K$7:$W$207,MATCH($B26,'Budget-ACPSZL'!$B$7:$B$207,0),MATCH(AR$8,'Budget-ACPSZL'!$K$6:$W$6,0)))</f>
        <v>215000</v>
      </c>
      <c r="AS26" s="750">
        <f t="shared" ref="AS26:AS31" ca="1" si="33">AQ26-AR26</f>
        <v>-215000</v>
      </c>
      <c r="AT26" s="748"/>
      <c r="AV26" s="749">
        <f>SUM(INDEX('Actual-ACPLSZ'!$H$7:$T$207,MATCH($B26,'Actual-ACPLSZ'!$B$7:$B$207,0),MATCH('Actual-ACPLSZ'!H$6,'Actual-ACPLSZ'!$H$6:$T$6,0)):INDEX('Actual-ACPLSZ'!$H$7:$T$207,MATCH($B26,'Actual-ACPLSZ'!$B$7:$B$207,0),MATCH(AV$8,'Actual-ACPLSZ'!$H$6:$T$6,0)))</f>
        <v>0</v>
      </c>
      <c r="AW26" s="749">
        <f ca="1">SUM(INDEX('Budget-ACPLSZ'!$K$7:$W$207,MATCH($B26,'Budget-ACPLSZ'!$B$7:$B$207,0),MATCH('Budget-ACPLSZ'!K$6,'Budget-ACPLSZ'!$K$6:$W$6,0)):INDEX('Budget-ACPLSZ'!$K$7:$W$207,MATCH($B26,'Budget-ACPLSZ'!$B$7:$B$207,0),MATCH(AW$8,'Budget-ACPLSZ'!$K$6:$W$6,0)))</f>
        <v>300500</v>
      </c>
      <c r="AX26" s="749">
        <f ca="1">AV26-AW26</f>
        <v>-300500</v>
      </c>
      <c r="AY26" s="748"/>
      <c r="BA26" s="749">
        <f>SUM(INDEX('Actual-ACPLGZ'!$H$7:$T$207,MATCH($B26,'Actual-ACPLGZ'!$B$7:$B$207,0),MATCH('Actual-ACPLGZ'!H$6,'Actual-ACPLGZ'!$H$6:$T$6,0)):INDEX('Actual-ACPLGZ'!$H$7:$T$207,MATCH($B26,'Actual-ACPLGZ'!$B$7:$B$207,0),MATCH(BA$8,'Actual-ACPLGZ'!$H$6:$T$6,0)))</f>
        <v>0</v>
      </c>
      <c r="BB26" s="749">
        <f>SUM(INDEX('Budget-ACPLGZ'!$K$7:$W$207,MATCH($B26,'Budget-ACPLGZ'!$B$7:$B$207,0),MATCH('Budget-ACPLGZ'!K$6,'Budget-ACPLGZ'!$K$6:$W$6,0)):INDEX('Budget-ACPLGZ'!$K$7:$W$207,MATCH($B26,'Budget-ACPLGZ'!$B$7:$B$207,0),MATCH(BB$8,'Budget-ACPLGZ'!$K$6:$W$6,0)))</f>
        <v>0</v>
      </c>
      <c r="BC26" s="750">
        <f t="shared" si="29"/>
        <v>0</v>
      </c>
      <c r="BD26" s="748"/>
      <c r="BF26" s="749">
        <f>SUM(INDEX('Actual-ACPLYixing'!$H$7:$T$207,MATCH($B26,'Actual-ACPLYixing'!$B$7:$B$207,0),MATCH('Actual-ACPLYixing'!H$6,'Actual-ACPLYixing'!$H$6:$T$6,0)):INDEX('Actual-ACPLYixing'!$H$7:$T$207,MATCH($B26,'Actual-ACPLYixing'!$B$7:$B$207,0),MATCH(BF$8,'Actual-ACPLYixing'!$H$6:$T$6,0)))</f>
        <v>0</v>
      </c>
      <c r="BG26" s="749">
        <f>SUM(INDEX('Budget-Yixing'!$K$7:$W$207,MATCH($B26,'Budget-Yixing'!$B$7:$B$207,0),MATCH('Budget-Yixing'!K$6,'Budget-Yixing'!$K$6:$W$6,0)):INDEX('Budget-Yixing'!$K$7:$W$207,MATCH($B26,'Budget-Yixing'!$B$7:$B$207,0),MATCH(BG$8,'Budget-Yixing'!$K$6:$W$6,0)))</f>
        <v>0</v>
      </c>
      <c r="BH26" s="750">
        <f t="shared" si="30"/>
        <v>0</v>
      </c>
      <c r="BI26" s="748"/>
    </row>
    <row r="27" spans="1:61" ht="16.5" customHeight="1">
      <c r="A27" s="653" t="str">
        <f>'Budget-合并'!A25</f>
        <v>6602.01.02</v>
      </c>
      <c r="B27" s="653" t="str">
        <f>'Budget-合并'!B25</f>
        <v>加班费</v>
      </c>
      <c r="C27" s="746">
        <f>INDEX('Actual-ACPL'!$H$7:$T$207,MATCH($B27,'Actual-ACPL'!$B$7:$B$207,0),MATCH(C$8,'Actual-ACPL'!$H$6:$T$6,0))</f>
        <v>0</v>
      </c>
      <c r="D27" s="746">
        <f>INDEX('Budget-ACPL'!$K$7:$W$207,MATCH($B27,'Budget-ACPL'!$B$7:$B$207,0),MATCH(D$8,'Budget-ACPL'!$K$6:$W$6,0))</f>
        <v>0</v>
      </c>
      <c r="E27" s="746">
        <f t="shared" si="31"/>
        <v>0</v>
      </c>
      <c r="F27" s="752"/>
      <c r="H27" s="749">
        <f>INDEX('Actual-ACPLHK'!$H$7:$T$207,MATCH($B27,'Actual-ACPLHK'!$B$7:$B$207,0),MATCH(H$8,'Actual-ACPLHK'!$H$6:$T$6,0))</f>
        <v>0</v>
      </c>
      <c r="I27" s="749">
        <f>INDEX('Budget-ACPLHK'!$K$7:$W$207,MATCH($B27,'Budget-ACPLHK'!$B$7:$B$207,0),MATCH(I$8,'Budget-ACPLHK'!$K$6:$W$6,0))</f>
        <v>0</v>
      </c>
      <c r="J27" s="749">
        <f t="shared" ref="J27:J41" si="34">H27-I27</f>
        <v>0</v>
      </c>
      <c r="K27" s="748"/>
      <c r="M27" s="749">
        <f>INDEX('Actual-ACPSZL'!$H$7:$T$207,MATCH($B27,'Actual-ACPSZL'!$B$7:$B$207,0),MATCH(M$8,'Actual-ACPSZL'!$H$6:$T$6,0))</f>
        <v>0</v>
      </c>
      <c r="N27" s="749">
        <f>INDEX('Budget-ACPSZL'!$K$7:$W$207,MATCH($B27,'Budget-ACPSZL'!$B$7:$B$207,0),MATCH(N$8,'Budget-ACPSZL'!$K$6:$W$6,0))</f>
        <v>0</v>
      </c>
      <c r="O27" s="749">
        <f t="shared" ref="O27:O41" si="35">M27-N27</f>
        <v>0</v>
      </c>
      <c r="P27" s="748"/>
      <c r="R27" s="749">
        <f>INDEX('Actual-ACPLSZ'!$H$7:$T$207,MATCH($B27,'Actual-ACPLSZ'!$B$7:$B$207,0),MATCH(R$8,'Actual-ACPLSZ'!$H$6:$T$6,0))</f>
        <v>0</v>
      </c>
      <c r="S27" s="749">
        <f>INDEX('Budget-ACPLSZ'!$K$7:$W$207,MATCH($B27,'Budget-ACPLSZ'!$B$7:$B$207,0),MATCH(S$8,'Budget-ACPLSZ'!$K$6:$W$6,0))</f>
        <v>0</v>
      </c>
      <c r="T27" s="749">
        <f t="shared" si="21"/>
        <v>0</v>
      </c>
      <c r="U27" s="748"/>
      <c r="W27" s="749">
        <f>INDEX('Actual-ACPLGZ'!$H$7:$T$207,MATCH($B27,'Actual-ACPLGZ'!$B$7:$B$207,0),MATCH(W$8,'Actual-ACPLGZ'!$H$6:$T$6,0))</f>
        <v>0</v>
      </c>
      <c r="X27" s="749">
        <f>INDEX('Budget-ACPLGZ'!$K$7:$W$207,MATCH($B27,'Budget-ACPLGZ'!$B$7:$B$207,0),MATCH(X$8,'Budget-ACPLGZ'!$K$6:$W$6,0))</f>
        <v>0</v>
      </c>
      <c r="Y27" s="749">
        <f t="shared" si="32"/>
        <v>0</v>
      </c>
      <c r="Z27" s="748"/>
      <c r="AB27" s="749">
        <f>INDEX('Actual-ACPLGZ'!$H$7:$T$207,MATCH($B27,'Actual-ACPLGZ'!$B$7:$B$207,0),MATCH(AB$8,'Actual-ACPLGZ'!$H$6:$T$6,0))</f>
        <v>0</v>
      </c>
      <c r="AC27" s="749">
        <f>INDEX('Budget-Yixing'!$K$7:$W$207,MATCH($B27,'Budget-Yixing'!$B$7:$B$207,0),MATCH(AC$8,'Budget-Yixing'!$K$6:$W$6,0))</f>
        <v>0</v>
      </c>
      <c r="AD27" s="749">
        <f t="shared" si="22"/>
        <v>0</v>
      </c>
      <c r="AE27" s="748"/>
      <c r="AG27" s="751">
        <f>SUM(INDEX('Actual-ACPL'!$H$7:$T$207,MATCH($B27,'Actual-ACPL'!$B$7:$B$207,0),MATCH('Actual-ACPL'!H$6,'Actual-ACPL'!$H$6:$T$6,0)):INDEX('Actual-ACPL'!$H$7:$T$207,MATCH($B27,'Actual-ACPL'!$B$7:$B$207,0),MATCH(AG$8,'Actual-ACPL'!$H$6:$T$6,0)))</f>
        <v>0</v>
      </c>
      <c r="AH27" s="751">
        <f>SUM(INDEX('Budget-ACPL'!$K$7:$W$207,MATCH($B27,'Budget-ACPL'!$B$7:$B$207,0),MATCH('Budget-ACPL'!K$6,'Budget-ACPL'!$K$6:$W$6,0)):INDEX('Budget-ACPL'!$K$7:$W$207,MATCH($B27,'Budget-ACPL'!$B$7:$B$207,0),MATCH(AH$8,'Budget-ACPL'!$K$6:$W$6,0)))</f>
        <v>0</v>
      </c>
      <c r="AI27" s="749">
        <f t="shared" ref="AI27:AI30" si="36">AG27-AH27</f>
        <v>0</v>
      </c>
      <c r="AJ27" s="748"/>
      <c r="AL27" s="749">
        <f>SUM(INDEX('Actual-ACPLHK'!$H$7:$S$207,MATCH($B27,'Actual-ACPLHK'!$B$7:$B$207,0),MATCH('Actual-ACPLHK'!H$6,'Actual-ACPLHK'!$H$6:$T$6,0)):INDEX('Actual-ACPLHK'!$H$7:$S$207,MATCH($B27,'Actual-ACPLHK'!$B$7:$B$207,0),MATCH(AL$8,'Actual-ACPLHK'!$H$6:$T$6,0)))</f>
        <v>0</v>
      </c>
      <c r="AM27" s="749">
        <f>SUM(INDEX('Budget-ACPLHK'!$K$7:$W$207,MATCH($B27,'Budget-ACPLHK'!$B$7:$B$207,0),MATCH('Budget-ACPLHK'!K$6,'Budget-ACPLHK'!$K$6:$W$6,0)):INDEX('Budget-ACPLHK'!$K$7:$W$207,MATCH($B27,'Budget-ACPLHK'!$B$7:$B$207,0),MATCH(AM$8,'Budget-ACPLHK'!$K$6:$W$6,0)))</f>
        <v>0</v>
      </c>
      <c r="AN27" s="749">
        <f t="shared" ref="AN27:AN41" si="37">AL27-AM27</f>
        <v>0</v>
      </c>
      <c r="AO27" s="748"/>
      <c r="AQ27" s="749">
        <f>SUM(INDEX('Actual-ACPSZL'!$H$7:$T$207,MATCH($B27,'Actual-ACPSZL'!$B$7:$B$207,0),MATCH('Actual-ACPSZL'!H$6,'Actual-ACPSZL'!$H$6:$T$6,0)):INDEX('Actual-ACPSZL'!$H$7:$T$207,MATCH($B27,'Actual-ACPSZL'!$B$7:$B$207,0),MATCH(AQ$8,'Actual-ACPSZL'!$H$6:$T$6,0)))</f>
        <v>0</v>
      </c>
      <c r="AR27" s="749">
        <f>SUM(INDEX('Budget-ACPSZL'!$K$7:$W$207,MATCH($B27,'Budget-ACPSZL'!$B$7:$B$207,0),MATCH('Budget-ACPSZL'!K$6,'Budget-ACPSZL'!$K$6:$W$6,0)):INDEX('Budget-ACPSZL'!$K$7:$W$207,MATCH($B27,'Budget-ACPSZL'!$B$7:$B$207,0),MATCH(AR$8,'Budget-ACPSZL'!$K$6:$W$6,0)))</f>
        <v>0</v>
      </c>
      <c r="AS27" s="750">
        <f t="shared" si="33"/>
        <v>0</v>
      </c>
      <c r="AT27" s="748"/>
      <c r="AV27" s="749">
        <f>SUM(INDEX('Actual-ACPLSZ'!$H$7:$T$207,MATCH($B27,'Actual-ACPLSZ'!$B$7:$B$207,0),MATCH('Actual-ACPLSZ'!H$6,'Actual-ACPLSZ'!$H$6:$T$6,0)):INDEX('Actual-ACPLSZ'!$H$7:$T$207,MATCH($B27,'Actual-ACPLSZ'!$B$7:$B$207,0),MATCH(AV$8,'Actual-ACPLSZ'!$H$6:$T$6,0)))</f>
        <v>0</v>
      </c>
      <c r="AW27" s="749">
        <f>SUM(INDEX('Budget-ACPLSZ'!$K$7:$W$207,MATCH($B27,'Budget-ACPLSZ'!$B$7:$B$207,0),MATCH('Budget-ACPLSZ'!K$6,'Budget-ACPLSZ'!$K$6:$W$6,0)):INDEX('Budget-ACPLSZ'!$K$7:$W$207,MATCH($B27,'Budget-ACPLSZ'!$B$7:$B$207,0),MATCH(AW$8,'Budget-ACPLSZ'!$K$6:$W$6,0)))</f>
        <v>0</v>
      </c>
      <c r="AX27" s="749">
        <f t="shared" ref="AX27:AX41" si="38">AV27-AW27</f>
        <v>0</v>
      </c>
      <c r="AY27" s="748"/>
      <c r="BA27" s="749">
        <f>SUM(INDEX('Actual-ACPLGZ'!$H$7:$T$207,MATCH($B27,'Actual-ACPLGZ'!$B$7:$B$207,0),MATCH('Actual-ACPLGZ'!H$6,'Actual-ACPLGZ'!$H$6:$T$6,0)):INDEX('Actual-ACPLGZ'!$H$7:$T$207,MATCH($B27,'Actual-ACPLGZ'!$B$7:$B$207,0),MATCH(BA$8,'Actual-ACPLGZ'!$H$6:$T$6,0)))</f>
        <v>0</v>
      </c>
      <c r="BB27" s="749">
        <f>SUM(INDEX('Budget-ACPLGZ'!$K$7:$W$207,MATCH($B27,'Budget-ACPLGZ'!$B$7:$B$207,0),MATCH('Budget-ACPLGZ'!K$6,'Budget-ACPLGZ'!$K$6:$W$6,0)):INDEX('Budget-ACPLGZ'!$K$7:$W$207,MATCH($B27,'Budget-ACPLGZ'!$B$7:$B$207,0),MATCH(BB$8,'Budget-ACPLGZ'!$K$6:$W$6,0)))</f>
        <v>0</v>
      </c>
      <c r="BC27" s="750">
        <f t="shared" si="29"/>
        <v>0</v>
      </c>
      <c r="BD27" s="748"/>
      <c r="BF27" s="749">
        <f>SUM(INDEX('Actual-ACPLYixing'!$H$7:$T$207,MATCH($B27,'Actual-ACPLYixing'!$B$7:$B$207,0),MATCH('Actual-ACPLYixing'!H$6,'Actual-ACPLYixing'!$H$6:$T$6,0)):INDEX('Actual-ACPLYixing'!$H$7:$T$207,MATCH($B27,'Actual-ACPLYixing'!$B$7:$B$207,0),MATCH(BF$8,'Actual-ACPLYixing'!$H$6:$T$6,0)))</f>
        <v>0</v>
      </c>
      <c r="BG27" s="749">
        <f>SUM(INDEX('Budget-Yixing'!$K$7:$W$207,MATCH($B27,'Budget-Yixing'!$B$7:$B$207,0),MATCH('Budget-Yixing'!K$6,'Budget-Yixing'!$K$6:$W$6,0)):INDEX('Budget-Yixing'!$K$7:$W$207,MATCH($B27,'Budget-Yixing'!$B$7:$B$207,0),MATCH(BG$8,'Budget-Yixing'!$K$6:$W$6,0)))</f>
        <v>0</v>
      </c>
      <c r="BH27" s="750">
        <f t="shared" si="30"/>
        <v>0</v>
      </c>
      <c r="BI27" s="748"/>
    </row>
    <row r="28" spans="1:61" ht="16.5" customHeight="1">
      <c r="A28" s="653" t="str">
        <f>'Budget-合并'!A26</f>
        <v>6602.01.03</v>
      </c>
      <c r="B28" s="653" t="str">
        <f>'Budget-合并'!B26</f>
        <v>员工奖金（专业）</v>
      </c>
      <c r="C28" s="746">
        <f>INDEX('Actual-ACPL'!$H$7:$T$207,MATCH($B28,'Actual-ACPL'!$B$7:$B$207,0),MATCH(C$8,'Actual-ACPL'!$H$6:$T$6,0))</f>
        <v>0</v>
      </c>
      <c r="D28" s="746">
        <f>INDEX('Budget-ACPL'!$K$7:$W$207,MATCH($B28,'Budget-ACPL'!$B$7:$B$207,0),MATCH(D$8,'Budget-ACPL'!$K$6:$W$6,0))</f>
        <v>0</v>
      </c>
      <c r="E28" s="746">
        <f t="shared" si="31"/>
        <v>0</v>
      </c>
      <c r="F28" s="752"/>
      <c r="H28" s="749">
        <f>INDEX('Actual-ACPLHK'!$H$7:$T$207,MATCH($B28,'Actual-ACPLHK'!$B$7:$B$207,0),MATCH(H$8,'Actual-ACPLHK'!$H$6:$T$6,0))</f>
        <v>0</v>
      </c>
      <c r="I28" s="749">
        <f>INDEX('Budget-ACPLHK'!$K$7:$W$207,MATCH($B28,'Budget-ACPLHK'!$B$7:$B$207,0),MATCH(I$8,'Budget-ACPLHK'!$K$6:$W$6,0))</f>
        <v>0</v>
      </c>
      <c r="J28" s="749">
        <f t="shared" si="34"/>
        <v>0</v>
      </c>
      <c r="K28" s="748"/>
      <c r="M28" s="749">
        <f>INDEX('Actual-ACPSZL'!$H$7:$T$207,MATCH($B28,'Actual-ACPSZL'!$B$7:$B$207,0),MATCH(M$8,'Actual-ACPSZL'!$H$6:$T$6,0))</f>
        <v>0</v>
      </c>
      <c r="N28" s="749">
        <f>INDEX('Budget-ACPSZL'!$K$7:$W$207,MATCH($B28,'Budget-ACPSZL'!$B$7:$B$207,0),MATCH(N$8,'Budget-ACPSZL'!$K$6:$W$6,0))</f>
        <v>0</v>
      </c>
      <c r="O28" s="749">
        <f t="shared" si="35"/>
        <v>0</v>
      </c>
      <c r="P28" s="748"/>
      <c r="R28" s="749">
        <f>INDEX('Actual-ACPLSZ'!$H$7:$T$207,MATCH($B28,'Actual-ACPLSZ'!$B$7:$B$207,0),MATCH(R$8,'Actual-ACPLSZ'!$H$6:$T$6,0))</f>
        <v>0</v>
      </c>
      <c r="S28" s="749">
        <f>INDEX('Budget-ACPLSZ'!$K$7:$W$207,MATCH($B28,'Budget-ACPLSZ'!$B$7:$B$207,0),MATCH(S$8,'Budget-ACPLSZ'!$K$6:$W$6,0))</f>
        <v>0</v>
      </c>
      <c r="T28" s="749">
        <f t="shared" si="21"/>
        <v>0</v>
      </c>
      <c r="U28" s="748"/>
      <c r="W28" s="749">
        <f>INDEX('Actual-ACPLGZ'!$H$7:$T$207,MATCH($B28,'Actual-ACPLGZ'!$B$7:$B$207,0),MATCH(W$8,'Actual-ACPLGZ'!$H$6:$T$6,0))</f>
        <v>0</v>
      </c>
      <c r="X28" s="749">
        <f>INDEX('Budget-ACPLGZ'!$K$7:$W$207,MATCH($B28,'Budget-ACPLGZ'!$B$7:$B$207,0),MATCH(X$8,'Budget-ACPLGZ'!$K$6:$W$6,0))</f>
        <v>0</v>
      </c>
      <c r="Y28" s="749">
        <f t="shared" si="32"/>
        <v>0</v>
      </c>
      <c r="Z28" s="748"/>
      <c r="AB28" s="749">
        <f>INDEX('Actual-ACPLGZ'!$H$7:$T$207,MATCH($B28,'Actual-ACPLGZ'!$B$7:$B$207,0),MATCH(AB$8,'Actual-ACPLGZ'!$H$6:$T$6,0))</f>
        <v>0</v>
      </c>
      <c r="AC28" s="749">
        <f>INDEX('Budget-Yixing'!$K$7:$W$207,MATCH($B28,'Budget-Yixing'!$B$7:$B$207,0),MATCH(AC$8,'Budget-Yixing'!$K$6:$W$6,0))</f>
        <v>0</v>
      </c>
      <c r="AD28" s="749">
        <f t="shared" si="22"/>
        <v>0</v>
      </c>
      <c r="AE28" s="748"/>
      <c r="AG28" s="751">
        <f>SUM(INDEX('Actual-ACPL'!$H$7:$T$207,MATCH($B28,'Actual-ACPL'!$B$7:$B$207,0),MATCH('Actual-ACPL'!H$6,'Actual-ACPL'!$H$6:$T$6,0)):INDEX('Actual-ACPL'!$H$7:$T$207,MATCH($B28,'Actual-ACPL'!$B$7:$B$207,0),MATCH(AG$8,'Actual-ACPL'!$H$6:$T$6,0)))</f>
        <v>0</v>
      </c>
      <c r="AH28" s="751">
        <f>SUM(INDEX('Budget-ACPL'!$K$7:$W$207,MATCH($B28,'Budget-ACPL'!$B$7:$B$207,0),MATCH('Budget-ACPL'!K$6,'Budget-ACPL'!$K$6:$W$6,0)):INDEX('Budget-ACPL'!$K$7:$W$207,MATCH($B28,'Budget-ACPL'!$B$7:$B$207,0),MATCH(AH$8,'Budget-ACPL'!$K$6:$W$6,0)))</f>
        <v>0</v>
      </c>
      <c r="AI28" s="749">
        <f t="shared" si="36"/>
        <v>0</v>
      </c>
      <c r="AJ28" s="748"/>
      <c r="AL28" s="749">
        <f>SUM(INDEX('Actual-ACPLHK'!$H$7:$S$207,MATCH($B28,'Actual-ACPLHK'!$B$7:$B$207,0),MATCH('Actual-ACPLHK'!H$6,'Actual-ACPLHK'!$H$6:$T$6,0)):INDEX('Actual-ACPLHK'!$H$7:$S$207,MATCH($B28,'Actual-ACPLHK'!$B$7:$B$207,0),MATCH(AL$8,'Actual-ACPLHK'!$H$6:$T$6,0)))</f>
        <v>0</v>
      </c>
      <c r="AM28" s="749">
        <f>SUM(INDEX('Budget-ACPLHK'!$K$7:$W$207,MATCH($B28,'Budget-ACPLHK'!$B$7:$B$207,0),MATCH('Budget-ACPLHK'!K$6,'Budget-ACPLHK'!$K$6:$W$6,0)):INDEX('Budget-ACPLHK'!$K$7:$W$207,MATCH($B28,'Budget-ACPLHK'!$B$7:$B$207,0),MATCH(AM$8,'Budget-ACPLHK'!$K$6:$W$6,0)))</f>
        <v>0</v>
      </c>
      <c r="AN28" s="749">
        <f t="shared" si="37"/>
        <v>0</v>
      </c>
      <c r="AO28" s="748"/>
      <c r="AQ28" s="749">
        <f>SUM(INDEX('Actual-ACPSZL'!$H$7:$T$207,MATCH($B28,'Actual-ACPSZL'!$B$7:$B$207,0),MATCH('Actual-ACPSZL'!H$6,'Actual-ACPSZL'!$H$6:$T$6,0)):INDEX('Actual-ACPSZL'!$H$7:$T$207,MATCH($B28,'Actual-ACPSZL'!$B$7:$B$207,0),MATCH(AQ$8,'Actual-ACPSZL'!$H$6:$T$6,0)))</f>
        <v>0</v>
      </c>
      <c r="AR28" s="749">
        <f>SUM(INDEX('Budget-ACPSZL'!$K$7:$W$207,MATCH($B28,'Budget-ACPSZL'!$B$7:$B$207,0),MATCH('Budget-ACPSZL'!K$6,'Budget-ACPSZL'!$K$6:$W$6,0)):INDEX('Budget-ACPSZL'!$K$7:$W$207,MATCH($B28,'Budget-ACPSZL'!$B$7:$B$207,0),MATCH(AR$8,'Budget-ACPSZL'!$K$6:$W$6,0)))</f>
        <v>0</v>
      </c>
      <c r="AS28" s="750">
        <f t="shared" si="33"/>
        <v>0</v>
      </c>
      <c r="AT28" s="748"/>
      <c r="AV28" s="749">
        <f>SUM(INDEX('Actual-ACPLSZ'!$H$7:$T$207,MATCH($B28,'Actual-ACPLSZ'!$B$7:$B$207,0),MATCH('Actual-ACPLSZ'!H$6,'Actual-ACPLSZ'!$H$6:$T$6,0)):INDEX('Actual-ACPLSZ'!$H$7:$T$207,MATCH($B28,'Actual-ACPLSZ'!$B$7:$B$207,0),MATCH(AV$8,'Actual-ACPLSZ'!$H$6:$T$6,0)))</f>
        <v>0</v>
      </c>
      <c r="AW28" s="749">
        <f>SUM(INDEX('Budget-ACPLSZ'!$K$7:$W$207,MATCH($B28,'Budget-ACPLSZ'!$B$7:$B$207,0),MATCH('Budget-ACPLSZ'!K$6,'Budget-ACPLSZ'!$K$6:$W$6,0)):INDEX('Budget-ACPLSZ'!$K$7:$W$207,MATCH($B28,'Budget-ACPLSZ'!$B$7:$B$207,0),MATCH(AW$8,'Budget-ACPLSZ'!$K$6:$W$6,0)))</f>
        <v>0</v>
      </c>
      <c r="AX28" s="749">
        <f t="shared" si="38"/>
        <v>0</v>
      </c>
      <c r="AY28" s="748"/>
      <c r="BA28" s="749">
        <f>SUM(INDEX('Actual-ACPLGZ'!$H$7:$T$207,MATCH($B28,'Actual-ACPLGZ'!$B$7:$B$207,0),MATCH('Actual-ACPLGZ'!H$6,'Actual-ACPLGZ'!$H$6:$T$6,0)):INDEX('Actual-ACPLGZ'!$H$7:$T$207,MATCH($B28,'Actual-ACPLGZ'!$B$7:$B$207,0),MATCH(BA$8,'Actual-ACPLGZ'!$H$6:$T$6,0)))</f>
        <v>0</v>
      </c>
      <c r="BB28" s="749">
        <f>SUM(INDEX('Budget-ACPLGZ'!$K$7:$W$207,MATCH($B28,'Budget-ACPLGZ'!$B$7:$B$207,0),MATCH('Budget-ACPLGZ'!K$6,'Budget-ACPLGZ'!$K$6:$W$6,0)):INDEX('Budget-ACPLGZ'!$K$7:$W$207,MATCH($B28,'Budget-ACPLGZ'!$B$7:$B$207,0),MATCH(BB$8,'Budget-ACPLGZ'!$K$6:$W$6,0)))</f>
        <v>0</v>
      </c>
      <c r="BC28" s="750">
        <f t="shared" si="29"/>
        <v>0</v>
      </c>
      <c r="BD28" s="748"/>
      <c r="BF28" s="749">
        <f>SUM(INDEX('Actual-ACPLYixing'!$H$7:$T$207,MATCH($B28,'Actual-ACPLYixing'!$B$7:$B$207,0),MATCH('Actual-ACPLYixing'!H$6,'Actual-ACPLYixing'!$H$6:$T$6,0)):INDEX('Actual-ACPLYixing'!$H$7:$T$207,MATCH($B28,'Actual-ACPLYixing'!$B$7:$B$207,0),MATCH(BF$8,'Actual-ACPLYixing'!$H$6:$T$6,0)))</f>
        <v>0</v>
      </c>
      <c r="BG28" s="749">
        <f>SUM(INDEX('Budget-Yixing'!$K$7:$W$207,MATCH($B28,'Budget-Yixing'!$B$7:$B$207,0),MATCH('Budget-Yixing'!K$6,'Budget-Yixing'!$K$6:$W$6,0)):INDEX('Budget-Yixing'!$K$7:$W$207,MATCH($B28,'Budget-Yixing'!$B$7:$B$207,0),MATCH(BG$8,'Budget-Yixing'!$K$6:$W$6,0)))</f>
        <v>0</v>
      </c>
      <c r="BH28" s="750">
        <f t="shared" si="30"/>
        <v>0</v>
      </c>
      <c r="BI28" s="748"/>
    </row>
    <row r="29" spans="1:61" ht="16.5" customHeight="1">
      <c r="A29" s="653" t="str">
        <f>'Budget-合并'!A27</f>
        <v>6602.01.04</v>
      </c>
      <c r="B29" s="653" t="str">
        <f>'Budget-合并'!B27</f>
        <v>员工遣散费</v>
      </c>
      <c r="C29" s="746">
        <f>INDEX('Actual-ACPL'!$H$7:$T$207,MATCH($B29,'Actual-ACPL'!$B$7:$B$207,0),MATCH(C$8,'Actual-ACPL'!$H$6:$T$6,0))</f>
        <v>0</v>
      </c>
      <c r="D29" s="746">
        <f>INDEX('Budget-ACPL'!$K$7:$W$207,MATCH($B29,'Budget-ACPL'!$B$7:$B$207,0),MATCH(D$8,'Budget-ACPL'!$K$6:$W$6,0))</f>
        <v>0</v>
      </c>
      <c r="E29" s="746">
        <f t="shared" si="31"/>
        <v>0</v>
      </c>
      <c r="F29" s="752"/>
      <c r="H29" s="749">
        <f>INDEX('Actual-ACPLHK'!$H$7:$T$207,MATCH($B29,'Actual-ACPLHK'!$B$7:$B$207,0),MATCH(H$8,'Actual-ACPLHK'!$H$6:$T$6,0))</f>
        <v>0</v>
      </c>
      <c r="I29" s="749">
        <f>INDEX('Budget-ACPLHK'!$K$7:$W$207,MATCH($B29,'Budget-ACPLHK'!$B$7:$B$207,0),MATCH(I$8,'Budget-ACPLHK'!$K$6:$W$6,0))</f>
        <v>0</v>
      </c>
      <c r="J29" s="749">
        <f t="shared" si="34"/>
        <v>0</v>
      </c>
      <c r="K29" s="748"/>
      <c r="M29" s="749">
        <f>INDEX('Actual-ACPSZL'!$H$7:$T$207,MATCH($B29,'Actual-ACPSZL'!$B$7:$B$207,0),MATCH(M$8,'Actual-ACPSZL'!$H$6:$T$6,0))</f>
        <v>0</v>
      </c>
      <c r="N29" s="749">
        <f>INDEX('Budget-ACPSZL'!$K$7:$W$207,MATCH($B29,'Budget-ACPSZL'!$B$7:$B$207,0),MATCH(N$8,'Budget-ACPSZL'!$K$6:$W$6,0))</f>
        <v>0</v>
      </c>
      <c r="O29" s="749">
        <f t="shared" si="35"/>
        <v>0</v>
      </c>
      <c r="P29" s="748"/>
      <c r="R29" s="749">
        <f>INDEX('Actual-ACPLSZ'!$H$7:$T$207,MATCH($B29,'Actual-ACPLSZ'!$B$7:$B$207,0),MATCH(R$8,'Actual-ACPLSZ'!$H$6:$T$6,0))</f>
        <v>0</v>
      </c>
      <c r="S29" s="749">
        <f>INDEX('Budget-ACPLSZ'!$K$7:$W$207,MATCH($B29,'Budget-ACPLSZ'!$B$7:$B$207,0),MATCH(S$8,'Budget-ACPLSZ'!$K$6:$W$6,0))</f>
        <v>0</v>
      </c>
      <c r="T29" s="749">
        <f t="shared" si="21"/>
        <v>0</v>
      </c>
      <c r="U29" s="748"/>
      <c r="W29" s="749">
        <f>INDEX('Actual-ACPLGZ'!$H$7:$T$207,MATCH($B29,'Actual-ACPLGZ'!$B$7:$B$207,0),MATCH(W$8,'Actual-ACPLGZ'!$H$6:$T$6,0))</f>
        <v>0</v>
      </c>
      <c r="X29" s="749">
        <f>INDEX('Budget-ACPLGZ'!$K$7:$W$207,MATCH($B29,'Budget-ACPLGZ'!$B$7:$B$207,0),MATCH(X$8,'Budget-ACPLGZ'!$K$6:$W$6,0))</f>
        <v>0</v>
      </c>
      <c r="Y29" s="749">
        <f t="shared" si="32"/>
        <v>0</v>
      </c>
      <c r="Z29" s="748"/>
      <c r="AB29" s="749">
        <f>INDEX('Actual-ACPLGZ'!$H$7:$T$207,MATCH($B29,'Actual-ACPLGZ'!$B$7:$B$207,0),MATCH(AB$8,'Actual-ACPLGZ'!$H$6:$T$6,0))</f>
        <v>0</v>
      </c>
      <c r="AC29" s="749">
        <f>INDEX('Budget-Yixing'!$K$7:$W$207,MATCH($B29,'Budget-Yixing'!$B$7:$B$207,0),MATCH(AC$8,'Budget-Yixing'!$K$6:$W$6,0))</f>
        <v>0</v>
      </c>
      <c r="AD29" s="749">
        <f t="shared" si="22"/>
        <v>0</v>
      </c>
      <c r="AE29" s="748"/>
      <c r="AG29" s="751">
        <f>SUM(INDEX('Actual-ACPL'!$H$7:$T$207,MATCH($B29,'Actual-ACPL'!$B$7:$B$207,0),MATCH('Actual-ACPL'!H$6,'Actual-ACPL'!$H$6:$T$6,0)):INDEX('Actual-ACPL'!$H$7:$T$207,MATCH($B29,'Actual-ACPL'!$B$7:$B$207,0),MATCH(AG$8,'Actual-ACPL'!$H$6:$T$6,0)))</f>
        <v>0</v>
      </c>
      <c r="AH29" s="751">
        <f>SUM(INDEX('Budget-ACPL'!$K$7:$W$207,MATCH($B29,'Budget-ACPL'!$B$7:$B$207,0),MATCH('Budget-ACPL'!K$6,'Budget-ACPL'!$K$6:$W$6,0)):INDEX('Budget-ACPL'!$K$7:$W$207,MATCH($B29,'Budget-ACPL'!$B$7:$B$207,0),MATCH(AH$8,'Budget-ACPL'!$K$6:$W$6,0)))</f>
        <v>0</v>
      </c>
      <c r="AI29" s="749">
        <f t="shared" si="36"/>
        <v>0</v>
      </c>
      <c r="AJ29" s="748"/>
      <c r="AL29" s="749">
        <f>SUM(INDEX('Actual-ACPLHK'!$H$7:$S$207,MATCH($B29,'Actual-ACPLHK'!$B$7:$B$207,0),MATCH('Actual-ACPLHK'!H$6,'Actual-ACPLHK'!$H$6:$T$6,0)):INDEX('Actual-ACPLHK'!$H$7:$S$207,MATCH($B29,'Actual-ACPLHK'!$B$7:$B$207,0),MATCH(AL$8,'Actual-ACPLHK'!$H$6:$T$6,0)))</f>
        <v>0</v>
      </c>
      <c r="AM29" s="749">
        <f>SUM(INDEX('Budget-ACPLHK'!$K$7:$W$207,MATCH($B29,'Budget-ACPLHK'!$B$7:$B$207,0),MATCH('Budget-ACPLHK'!K$6,'Budget-ACPLHK'!$K$6:$W$6,0)):INDEX('Budget-ACPLHK'!$K$7:$W$207,MATCH($B29,'Budget-ACPLHK'!$B$7:$B$207,0),MATCH(AM$8,'Budget-ACPLHK'!$K$6:$W$6,0)))</f>
        <v>0</v>
      </c>
      <c r="AN29" s="749">
        <f t="shared" si="37"/>
        <v>0</v>
      </c>
      <c r="AO29" s="748"/>
      <c r="AQ29" s="749">
        <f>SUM(INDEX('Actual-ACPSZL'!$H$7:$T$207,MATCH($B29,'Actual-ACPSZL'!$B$7:$B$207,0),MATCH('Actual-ACPSZL'!H$6,'Actual-ACPSZL'!$H$6:$T$6,0)):INDEX('Actual-ACPSZL'!$H$7:$T$207,MATCH($B29,'Actual-ACPSZL'!$B$7:$B$207,0),MATCH(AQ$8,'Actual-ACPSZL'!$H$6:$T$6,0)))</f>
        <v>0</v>
      </c>
      <c r="AR29" s="749">
        <f>SUM(INDEX('Budget-ACPSZL'!$K$7:$W$207,MATCH($B29,'Budget-ACPSZL'!$B$7:$B$207,0),MATCH('Budget-ACPSZL'!K$6,'Budget-ACPSZL'!$K$6:$W$6,0)):INDEX('Budget-ACPSZL'!$K$7:$W$207,MATCH($B29,'Budget-ACPSZL'!$B$7:$B$207,0),MATCH(AR$8,'Budget-ACPSZL'!$K$6:$W$6,0)))</f>
        <v>0</v>
      </c>
      <c r="AS29" s="750">
        <f t="shared" si="33"/>
        <v>0</v>
      </c>
      <c r="AT29" s="748"/>
      <c r="AV29" s="749">
        <f>SUM(INDEX('Actual-ACPLSZ'!$H$7:$T$207,MATCH($B29,'Actual-ACPLSZ'!$B$7:$B$207,0),MATCH('Actual-ACPLSZ'!H$6,'Actual-ACPLSZ'!$H$6:$T$6,0)):INDEX('Actual-ACPLSZ'!$H$7:$T$207,MATCH($B29,'Actual-ACPLSZ'!$B$7:$B$207,0),MATCH(AV$8,'Actual-ACPLSZ'!$H$6:$T$6,0)))</f>
        <v>0</v>
      </c>
      <c r="AW29" s="749">
        <f>SUM(INDEX('Budget-ACPLSZ'!$K$7:$W$207,MATCH($B29,'Budget-ACPLSZ'!$B$7:$B$207,0),MATCH('Budget-ACPLSZ'!K$6,'Budget-ACPLSZ'!$K$6:$W$6,0)):INDEX('Budget-ACPLSZ'!$K$7:$W$207,MATCH($B29,'Budget-ACPLSZ'!$B$7:$B$207,0),MATCH(AW$8,'Budget-ACPLSZ'!$K$6:$W$6,0)))</f>
        <v>0</v>
      </c>
      <c r="AX29" s="749">
        <f t="shared" si="38"/>
        <v>0</v>
      </c>
      <c r="AY29" s="748"/>
      <c r="BA29" s="749">
        <f>SUM(INDEX('Actual-ACPLGZ'!$H$7:$T$207,MATCH($B29,'Actual-ACPLGZ'!$B$7:$B$207,0),MATCH('Actual-ACPLGZ'!H$6,'Actual-ACPLGZ'!$H$6:$T$6,0)):INDEX('Actual-ACPLGZ'!$H$7:$T$207,MATCH($B29,'Actual-ACPLGZ'!$B$7:$B$207,0),MATCH(BA$8,'Actual-ACPLGZ'!$H$6:$T$6,0)))</f>
        <v>0</v>
      </c>
      <c r="BB29" s="749">
        <f>SUM(INDEX('Budget-ACPLGZ'!$K$7:$W$207,MATCH($B29,'Budget-ACPLGZ'!$B$7:$B$207,0),MATCH('Budget-ACPLGZ'!K$6,'Budget-ACPLGZ'!$K$6:$W$6,0)):INDEX('Budget-ACPLGZ'!$K$7:$W$207,MATCH($B29,'Budget-ACPLGZ'!$B$7:$B$207,0),MATCH(BB$8,'Budget-ACPLGZ'!$K$6:$W$6,0)))</f>
        <v>0</v>
      </c>
      <c r="BC29" s="750">
        <f t="shared" si="29"/>
        <v>0</v>
      </c>
      <c r="BD29" s="748"/>
      <c r="BF29" s="749">
        <f>SUM(INDEX('Actual-ACPLYixing'!$H$7:$T$207,MATCH($B29,'Actual-ACPLYixing'!$B$7:$B$207,0),MATCH('Actual-ACPLYixing'!H$6,'Actual-ACPLYixing'!$H$6:$T$6,0)):INDEX('Actual-ACPLYixing'!$H$7:$T$207,MATCH($B29,'Actual-ACPLYixing'!$B$7:$B$207,0),MATCH(BF$8,'Actual-ACPLYixing'!$H$6:$T$6,0)))</f>
        <v>0</v>
      </c>
      <c r="BG29" s="749">
        <f>SUM(INDEX('Budget-Yixing'!$K$7:$W$207,MATCH($B29,'Budget-Yixing'!$B$7:$B$207,0),MATCH('Budget-Yixing'!K$6,'Budget-Yixing'!$K$6:$W$6,0)):INDEX('Budget-Yixing'!$K$7:$W$207,MATCH($B29,'Budget-Yixing'!$B$7:$B$207,0),MATCH(BG$8,'Budget-Yixing'!$K$6:$W$6,0)))</f>
        <v>0</v>
      </c>
      <c r="BH29" s="750">
        <f t="shared" si="30"/>
        <v>0</v>
      </c>
      <c r="BI29" s="748"/>
    </row>
    <row r="30" spans="1:61" ht="16.5" customHeight="1">
      <c r="A30" s="653" t="str">
        <f>'Budget-合并'!A28</f>
        <v>6602.01.05</v>
      </c>
      <c r="B30" s="653" t="str">
        <f>'Budget-合并'!B28</f>
        <v>员工假期</v>
      </c>
      <c r="C30" s="746">
        <f>INDEX('Actual-ACPL'!$H$7:$T$207,MATCH($B30,'Actual-ACPL'!$B$7:$B$207,0),MATCH(C$8,'Actual-ACPL'!$H$6:$T$6,0))</f>
        <v>0</v>
      </c>
      <c r="D30" s="746">
        <f>INDEX('Budget-ACPL'!$K$7:$W$207,MATCH($B30,'Budget-ACPL'!$B$7:$B$207,0),MATCH(D$8,'Budget-ACPL'!$K$6:$W$6,0))</f>
        <v>0</v>
      </c>
      <c r="E30" s="746">
        <f t="shared" si="31"/>
        <v>0</v>
      </c>
      <c r="F30" s="752"/>
      <c r="H30" s="749">
        <f>INDEX('Actual-ACPLHK'!$H$7:$T$207,MATCH($B30,'Actual-ACPLHK'!$B$7:$B$207,0),MATCH(H$8,'Actual-ACPLHK'!$H$6:$T$6,0))</f>
        <v>0</v>
      </c>
      <c r="I30" s="749">
        <f>INDEX('Budget-ACPLHK'!$K$7:$W$207,MATCH($B30,'Budget-ACPLHK'!$B$7:$B$207,0),MATCH(I$8,'Budget-ACPLHK'!$K$6:$W$6,0))</f>
        <v>0</v>
      </c>
      <c r="J30" s="749">
        <f t="shared" si="34"/>
        <v>0</v>
      </c>
      <c r="K30" s="748"/>
      <c r="M30" s="749">
        <f>INDEX('Actual-ACPSZL'!$H$7:$T$207,MATCH($B30,'Actual-ACPSZL'!$B$7:$B$207,0),MATCH(M$8,'Actual-ACPSZL'!$H$6:$T$6,0))</f>
        <v>0</v>
      </c>
      <c r="N30" s="749">
        <f>INDEX('Budget-ACPSZL'!$K$7:$W$207,MATCH($B30,'Budget-ACPSZL'!$B$7:$B$207,0),MATCH(N$8,'Budget-ACPSZL'!$K$6:$W$6,0))</f>
        <v>0</v>
      </c>
      <c r="O30" s="749">
        <f t="shared" si="35"/>
        <v>0</v>
      </c>
      <c r="P30" s="748"/>
      <c r="R30" s="749">
        <f>INDEX('Actual-ACPLSZ'!$H$7:$T$207,MATCH($B30,'Actual-ACPLSZ'!$B$7:$B$207,0),MATCH(R$8,'Actual-ACPLSZ'!$H$6:$T$6,0))</f>
        <v>0</v>
      </c>
      <c r="S30" s="749">
        <f>INDEX('Budget-ACPLSZ'!$K$7:$W$207,MATCH($B30,'Budget-ACPLSZ'!$B$7:$B$207,0),MATCH(S$8,'Budget-ACPLSZ'!$K$6:$W$6,0))</f>
        <v>0</v>
      </c>
      <c r="T30" s="749">
        <f t="shared" si="21"/>
        <v>0</v>
      </c>
      <c r="U30" s="748"/>
      <c r="W30" s="749">
        <f>INDEX('Actual-ACPLGZ'!$H$7:$T$207,MATCH($B30,'Actual-ACPLGZ'!$B$7:$B$207,0),MATCH(W$8,'Actual-ACPLGZ'!$H$6:$T$6,0))</f>
        <v>0</v>
      </c>
      <c r="X30" s="749">
        <f>INDEX('Budget-ACPLGZ'!$K$7:$W$207,MATCH($B30,'Budget-ACPLGZ'!$B$7:$B$207,0),MATCH(X$8,'Budget-ACPLGZ'!$K$6:$W$6,0))</f>
        <v>0</v>
      </c>
      <c r="Y30" s="749">
        <f t="shared" si="32"/>
        <v>0</v>
      </c>
      <c r="Z30" s="748"/>
      <c r="AB30" s="749">
        <f>INDEX('Actual-ACPLGZ'!$H$7:$T$207,MATCH($B30,'Actual-ACPLGZ'!$B$7:$B$207,0),MATCH(AB$8,'Actual-ACPLGZ'!$H$6:$T$6,0))</f>
        <v>0</v>
      </c>
      <c r="AC30" s="749">
        <f>INDEX('Budget-Yixing'!$K$7:$W$207,MATCH($B30,'Budget-Yixing'!$B$7:$B$207,0),MATCH(AC$8,'Budget-Yixing'!$K$6:$W$6,0))</f>
        <v>0</v>
      </c>
      <c r="AD30" s="749">
        <f t="shared" si="22"/>
        <v>0</v>
      </c>
      <c r="AE30" s="748"/>
      <c r="AG30" s="751">
        <f>SUM(INDEX('Actual-ACPL'!$H$7:$T$207,MATCH($B30,'Actual-ACPL'!$B$7:$B$207,0),MATCH('Actual-ACPL'!H$6,'Actual-ACPL'!$H$6:$T$6,0)):INDEX('Actual-ACPL'!$H$7:$T$207,MATCH($B30,'Actual-ACPL'!$B$7:$B$207,0),MATCH(AG$8,'Actual-ACPL'!$H$6:$T$6,0)))</f>
        <v>0</v>
      </c>
      <c r="AH30" s="751">
        <f>SUM(INDEX('Budget-ACPL'!$K$7:$W$207,MATCH($B30,'Budget-ACPL'!$B$7:$B$207,0),MATCH('Budget-ACPL'!K$6,'Budget-ACPL'!$K$6:$W$6,0)):INDEX('Budget-ACPL'!$K$7:$W$207,MATCH($B30,'Budget-ACPL'!$B$7:$B$207,0),MATCH(AH$8,'Budget-ACPL'!$K$6:$W$6,0)))</f>
        <v>0</v>
      </c>
      <c r="AI30" s="749">
        <f t="shared" si="36"/>
        <v>0</v>
      </c>
      <c r="AJ30" s="748"/>
      <c r="AL30" s="749">
        <f>SUM(INDEX('Actual-ACPLHK'!$H$7:$S$207,MATCH($B30,'Actual-ACPLHK'!$B$7:$B$207,0),MATCH('Actual-ACPLHK'!H$6,'Actual-ACPLHK'!$H$6:$T$6,0)):INDEX('Actual-ACPLHK'!$H$7:$S$207,MATCH($B30,'Actual-ACPLHK'!$B$7:$B$207,0),MATCH(AL$8,'Actual-ACPLHK'!$H$6:$T$6,0)))</f>
        <v>0</v>
      </c>
      <c r="AM30" s="749">
        <f>SUM(INDEX('Budget-ACPLHK'!$K$7:$W$207,MATCH($B30,'Budget-ACPLHK'!$B$7:$B$207,0),MATCH('Budget-ACPLHK'!K$6,'Budget-ACPLHK'!$K$6:$W$6,0)):INDEX('Budget-ACPLHK'!$K$7:$W$207,MATCH($B30,'Budget-ACPLHK'!$B$7:$B$207,0),MATCH(AM$8,'Budget-ACPLHK'!$K$6:$W$6,0)))</f>
        <v>0</v>
      </c>
      <c r="AN30" s="749">
        <f t="shared" si="37"/>
        <v>0</v>
      </c>
      <c r="AO30" s="748"/>
      <c r="AQ30" s="749">
        <f>SUM(INDEX('Actual-ACPSZL'!$H$7:$T$207,MATCH($B30,'Actual-ACPSZL'!$B$7:$B$207,0),MATCH('Actual-ACPSZL'!H$6,'Actual-ACPSZL'!$H$6:$T$6,0)):INDEX('Actual-ACPSZL'!$H$7:$T$207,MATCH($B30,'Actual-ACPSZL'!$B$7:$B$207,0),MATCH(AQ$8,'Actual-ACPSZL'!$H$6:$T$6,0)))</f>
        <v>0</v>
      </c>
      <c r="AR30" s="749">
        <f>SUM(INDEX('Budget-ACPSZL'!$K$7:$W$207,MATCH($B30,'Budget-ACPSZL'!$B$7:$B$207,0),MATCH('Budget-ACPSZL'!K$6,'Budget-ACPSZL'!$K$6:$W$6,0)):INDEX('Budget-ACPSZL'!$K$7:$W$207,MATCH($B30,'Budget-ACPSZL'!$B$7:$B$207,0),MATCH(AR$8,'Budget-ACPSZL'!$K$6:$W$6,0)))</f>
        <v>0</v>
      </c>
      <c r="AS30" s="750">
        <f t="shared" si="33"/>
        <v>0</v>
      </c>
      <c r="AT30" s="748"/>
      <c r="AV30" s="749">
        <f>SUM(INDEX('Actual-ACPLSZ'!$H$7:$T$207,MATCH($B30,'Actual-ACPLSZ'!$B$7:$B$207,0),MATCH('Actual-ACPLSZ'!H$6,'Actual-ACPLSZ'!$H$6:$T$6,0)):INDEX('Actual-ACPLSZ'!$H$7:$T$207,MATCH($B30,'Actual-ACPLSZ'!$B$7:$B$207,0),MATCH(AV$8,'Actual-ACPLSZ'!$H$6:$T$6,0)))</f>
        <v>0</v>
      </c>
      <c r="AW30" s="749">
        <f>SUM(INDEX('Budget-ACPLSZ'!$K$7:$W$207,MATCH($B30,'Budget-ACPLSZ'!$B$7:$B$207,0),MATCH('Budget-ACPLSZ'!K$6,'Budget-ACPLSZ'!$K$6:$W$6,0)):INDEX('Budget-ACPLSZ'!$K$7:$W$207,MATCH($B30,'Budget-ACPLSZ'!$B$7:$B$207,0),MATCH(AW$8,'Budget-ACPLSZ'!$K$6:$W$6,0)))</f>
        <v>0</v>
      </c>
      <c r="AX30" s="749">
        <f t="shared" si="38"/>
        <v>0</v>
      </c>
      <c r="AY30" s="748"/>
      <c r="BA30" s="749">
        <f>SUM(INDEX('Actual-ACPLGZ'!$H$7:$T$207,MATCH($B30,'Actual-ACPLGZ'!$B$7:$B$207,0),MATCH('Actual-ACPLGZ'!H$6,'Actual-ACPLGZ'!$H$6:$T$6,0)):INDEX('Actual-ACPLGZ'!$H$7:$T$207,MATCH($B30,'Actual-ACPLGZ'!$B$7:$B$207,0),MATCH(BA$8,'Actual-ACPLGZ'!$H$6:$T$6,0)))</f>
        <v>0</v>
      </c>
      <c r="BB30" s="749">
        <f>SUM(INDEX('Budget-ACPLGZ'!$K$7:$W$207,MATCH($B30,'Budget-ACPLGZ'!$B$7:$B$207,0),MATCH('Budget-ACPLGZ'!K$6,'Budget-ACPLGZ'!$K$6:$W$6,0)):INDEX('Budget-ACPLGZ'!$K$7:$W$207,MATCH($B30,'Budget-ACPLGZ'!$B$7:$B$207,0),MATCH(BB$8,'Budget-ACPLGZ'!$K$6:$W$6,0)))</f>
        <v>0</v>
      </c>
      <c r="BC30" s="750">
        <f t="shared" si="29"/>
        <v>0</v>
      </c>
      <c r="BD30" s="748"/>
      <c r="BF30" s="749">
        <f>SUM(INDEX('Actual-ACPLYixing'!$H$7:$T$207,MATCH($B30,'Actual-ACPLYixing'!$B$7:$B$207,0),MATCH('Actual-ACPLYixing'!H$6,'Actual-ACPLYixing'!$H$6:$T$6,0)):INDEX('Actual-ACPLYixing'!$H$7:$T$207,MATCH($B30,'Actual-ACPLYixing'!$B$7:$B$207,0),MATCH(BF$8,'Actual-ACPLYixing'!$H$6:$T$6,0)))</f>
        <v>0</v>
      </c>
      <c r="BG30" s="749">
        <f>SUM(INDEX('Budget-Yixing'!$K$7:$W$207,MATCH($B30,'Budget-Yixing'!$B$7:$B$207,0),MATCH('Budget-Yixing'!K$6,'Budget-Yixing'!$K$6:$W$6,0)):INDEX('Budget-Yixing'!$K$7:$W$207,MATCH($B30,'Budget-Yixing'!$B$7:$B$207,0),MATCH(BG$8,'Budget-Yixing'!$K$6:$W$6,0)))</f>
        <v>0</v>
      </c>
      <c r="BH30" s="750">
        <f t="shared" si="30"/>
        <v>0</v>
      </c>
      <c r="BI30" s="748"/>
    </row>
    <row r="31" spans="1:61" ht="16.5" customHeight="1">
      <c r="A31" s="653" t="str">
        <f>'Budget-合并'!A29</f>
        <v>6602.01.06</v>
      </c>
      <c r="B31" s="653" t="str">
        <f>'Budget-合并'!B29</f>
        <v>劳务报酬</v>
      </c>
      <c r="C31" s="746">
        <f>INDEX('Actual-ACPL'!$H$7:$T$207,MATCH($B31,'Actual-ACPL'!$B$7:$B$207,0),MATCH(C$8,'Actual-ACPL'!$H$6:$T$6,0))</f>
        <v>0</v>
      </c>
      <c r="D31" s="746">
        <f>INDEX('Budget-ACPL'!$K$7:$W$207,MATCH($B31,'Budget-ACPL'!$B$7:$B$207,0),MATCH(D$8,'Budget-ACPL'!$K$6:$W$6,0))</f>
        <v>0</v>
      </c>
      <c r="E31" s="746">
        <f t="shared" si="31"/>
        <v>0</v>
      </c>
      <c r="F31" s="752"/>
      <c r="H31" s="749">
        <f>INDEX('Actual-ACPLHK'!$H$7:$T$207,MATCH($B31,'Actual-ACPLHK'!$B$7:$B$207,0),MATCH(H$8,'Actual-ACPLHK'!$H$6:$T$6,0))</f>
        <v>0</v>
      </c>
      <c r="I31" s="749">
        <f>INDEX('Budget-ACPLHK'!$K$7:$W$207,MATCH($B31,'Budget-ACPLHK'!$B$7:$B$207,0),MATCH(I$8,'Budget-ACPLHK'!$K$6:$W$6,0))</f>
        <v>0</v>
      </c>
      <c r="J31" s="749">
        <f t="shared" si="34"/>
        <v>0</v>
      </c>
      <c r="K31" s="748"/>
      <c r="M31" s="749">
        <f>INDEX('Actual-ACPSZL'!$H$7:$T$207,MATCH($B31,'Actual-ACPSZL'!$B$7:$B$207,0),MATCH(M$8,'Actual-ACPSZL'!$H$6:$T$6,0))</f>
        <v>0</v>
      </c>
      <c r="N31" s="749">
        <f>INDEX('Budget-ACPSZL'!$K$7:$W$207,MATCH($B31,'Budget-ACPSZL'!$B$7:$B$207,0),MATCH(N$8,'Budget-ACPSZL'!$K$6:$W$6,0))</f>
        <v>0</v>
      </c>
      <c r="O31" s="749">
        <f t="shared" si="35"/>
        <v>0</v>
      </c>
      <c r="P31" s="748"/>
      <c r="R31" s="749">
        <f>INDEX('Actual-ACPLSZ'!$H$7:$T$207,MATCH($B31,'Actual-ACPLSZ'!$B$7:$B$207,0),MATCH(R$8,'Actual-ACPLSZ'!$H$6:$T$6,0))</f>
        <v>0</v>
      </c>
      <c r="S31" s="749">
        <f>INDEX('Budget-ACPLSZ'!$K$7:$W$207,MATCH($B31,'Budget-ACPLSZ'!$B$7:$B$207,0),MATCH(S$8,'Budget-ACPLSZ'!$K$6:$W$6,0))</f>
        <v>0</v>
      </c>
      <c r="T31" s="749">
        <f t="shared" si="21"/>
        <v>0</v>
      </c>
      <c r="U31" s="748"/>
      <c r="W31" s="749">
        <f>INDEX('Actual-ACPLGZ'!$H$7:$T$207,MATCH($B31,'Actual-ACPLGZ'!$B$7:$B$207,0),MATCH(W$8,'Actual-ACPLGZ'!$H$6:$T$6,0))</f>
        <v>0</v>
      </c>
      <c r="X31" s="749">
        <f>INDEX('Budget-ACPLGZ'!$K$7:$W$207,MATCH($B31,'Budget-ACPLGZ'!$B$7:$B$207,0),MATCH(X$8,'Budget-ACPLGZ'!$K$6:$W$6,0))</f>
        <v>0</v>
      </c>
      <c r="Y31" s="749">
        <f t="shared" si="32"/>
        <v>0</v>
      </c>
      <c r="Z31" s="748"/>
      <c r="AB31" s="749">
        <f>INDEX('Actual-ACPLGZ'!$H$7:$T$207,MATCH($B31,'Actual-ACPLGZ'!$B$7:$B$207,0),MATCH(AB$8,'Actual-ACPLGZ'!$H$6:$T$6,0))</f>
        <v>0</v>
      </c>
      <c r="AC31" s="749">
        <f>INDEX('Budget-Yixing'!$K$7:$W$207,MATCH($B31,'Budget-Yixing'!$B$7:$B$207,0),MATCH(AC$8,'Budget-Yixing'!$K$6:$W$6,0))</f>
        <v>0</v>
      </c>
      <c r="AD31" s="749">
        <f t="shared" si="22"/>
        <v>0</v>
      </c>
      <c r="AE31" s="748"/>
      <c r="AG31" s="751">
        <f>SUM(INDEX('Actual-ACPL'!$H$7:$T$207,MATCH($B31,'Actual-ACPL'!$B$7:$B$207,0),MATCH('Actual-ACPL'!H$6,'Actual-ACPL'!$H$6:$T$6,0)):INDEX('Actual-ACPL'!$H$7:$T$207,MATCH($B31,'Actual-ACPL'!$B$7:$B$207,0),MATCH(AG$8,'Actual-ACPL'!$H$6:$T$6,0)))</f>
        <v>0</v>
      </c>
      <c r="AH31" s="751">
        <f>SUM(INDEX('Budget-ACPL'!$K$7:$W$207,MATCH($B31,'Budget-ACPL'!$B$7:$B$207,0),MATCH('Budget-ACPL'!K$6,'Budget-ACPL'!$K$6:$W$6,0)):INDEX('Budget-ACPL'!$K$7:$W$207,MATCH($B31,'Budget-ACPL'!$B$7:$B$207,0),MATCH(AH$8,'Budget-ACPL'!$K$6:$W$6,0)))</f>
        <v>0</v>
      </c>
      <c r="AI31" s="749">
        <f t="shared" ref="AI31:AI41" si="39">AG31-AH31</f>
        <v>0</v>
      </c>
      <c r="AJ31" s="748"/>
      <c r="AL31" s="749">
        <f>SUM(INDEX('Actual-ACPLHK'!$H$7:$S$207,MATCH($B31,'Actual-ACPLHK'!$B$7:$B$207,0),MATCH('Actual-ACPLHK'!H$6,'Actual-ACPLHK'!$H$6:$T$6,0)):INDEX('Actual-ACPLHK'!$H$7:$S$207,MATCH($B31,'Actual-ACPLHK'!$B$7:$B$207,0),MATCH(AL$8,'Actual-ACPLHK'!$H$6:$T$6,0)))</f>
        <v>0</v>
      </c>
      <c r="AM31" s="749">
        <f>SUM(INDEX('Budget-ACPLHK'!$K$7:$W$207,MATCH($B31,'Budget-ACPLHK'!$B$7:$B$207,0),MATCH('Budget-ACPLHK'!K$6,'Budget-ACPLHK'!$K$6:$W$6,0)):INDEX('Budget-ACPLHK'!$K$7:$W$207,MATCH($B31,'Budget-ACPLHK'!$B$7:$B$207,0),MATCH(AM$8,'Budget-ACPLHK'!$K$6:$W$6,0)))</f>
        <v>0</v>
      </c>
      <c r="AN31" s="749">
        <f t="shared" si="37"/>
        <v>0</v>
      </c>
      <c r="AO31" s="748"/>
      <c r="AQ31" s="749">
        <f>SUM(INDEX('Actual-ACPSZL'!$H$7:$T$207,MATCH($B31,'Actual-ACPSZL'!$B$7:$B$207,0),MATCH('Actual-ACPSZL'!H$6,'Actual-ACPSZL'!$H$6:$T$6,0)):INDEX('Actual-ACPSZL'!$H$7:$T$207,MATCH($B31,'Actual-ACPSZL'!$B$7:$B$207,0),MATCH(AQ$8,'Actual-ACPSZL'!$H$6:$T$6,0)))</f>
        <v>0</v>
      </c>
      <c r="AR31" s="749">
        <f>SUM(INDEX('Budget-ACPSZL'!$K$7:$W$207,MATCH($B31,'Budget-ACPSZL'!$B$7:$B$207,0),MATCH('Budget-ACPSZL'!K$6,'Budget-ACPSZL'!$K$6:$W$6,0)):INDEX('Budget-ACPSZL'!$K$7:$W$207,MATCH($B31,'Budget-ACPSZL'!$B$7:$B$207,0),MATCH(AR$8,'Budget-ACPSZL'!$K$6:$W$6,0)))</f>
        <v>0</v>
      </c>
      <c r="AS31" s="750">
        <f t="shared" si="33"/>
        <v>0</v>
      </c>
      <c r="AT31" s="748"/>
      <c r="AV31" s="749">
        <f>SUM(INDEX('Actual-ACPLSZ'!$H$7:$T$207,MATCH($B31,'Actual-ACPLSZ'!$B$7:$B$207,0),MATCH('Actual-ACPLSZ'!H$6,'Actual-ACPLSZ'!$H$6:$T$6,0)):INDEX('Actual-ACPLSZ'!$H$7:$T$207,MATCH($B31,'Actual-ACPLSZ'!$B$7:$B$207,0),MATCH(AV$8,'Actual-ACPLSZ'!$H$6:$T$6,0)))</f>
        <v>0</v>
      </c>
      <c r="AW31" s="749">
        <f>SUM(INDEX('Budget-ACPLSZ'!$K$7:$W$207,MATCH($B31,'Budget-ACPLSZ'!$B$7:$B$207,0),MATCH('Budget-ACPLSZ'!K$6,'Budget-ACPLSZ'!$K$6:$W$6,0)):INDEX('Budget-ACPLSZ'!$K$7:$W$207,MATCH($B31,'Budget-ACPLSZ'!$B$7:$B$207,0),MATCH(AW$8,'Budget-ACPLSZ'!$K$6:$W$6,0)))</f>
        <v>0</v>
      </c>
      <c r="AX31" s="749">
        <f t="shared" si="38"/>
        <v>0</v>
      </c>
      <c r="AY31" s="748"/>
      <c r="BA31" s="749">
        <f>SUM(INDEX('Actual-ACPLGZ'!$H$7:$T$207,MATCH($B31,'Actual-ACPLGZ'!$B$7:$B$207,0),MATCH('Actual-ACPLGZ'!H$6,'Actual-ACPLGZ'!$H$6:$T$6,0)):INDEX('Actual-ACPLGZ'!$H$7:$T$207,MATCH($B31,'Actual-ACPLGZ'!$B$7:$B$207,0),MATCH(BA$8,'Actual-ACPLGZ'!$H$6:$T$6,0)))</f>
        <v>0</v>
      </c>
      <c r="BB31" s="749">
        <f>SUM(INDEX('Budget-ACPLGZ'!$K$7:$W$207,MATCH($B31,'Budget-ACPLGZ'!$B$7:$B$207,0),MATCH('Budget-ACPLGZ'!K$6,'Budget-ACPLGZ'!$K$6:$W$6,0)):INDEX('Budget-ACPLGZ'!$K$7:$W$207,MATCH($B31,'Budget-ACPLGZ'!$B$7:$B$207,0),MATCH(BB$8,'Budget-ACPLGZ'!$K$6:$W$6,0)))</f>
        <v>0</v>
      </c>
      <c r="BC31" s="750">
        <f t="shared" si="29"/>
        <v>0</v>
      </c>
      <c r="BD31" s="748"/>
      <c r="BF31" s="749">
        <f>SUM(INDEX('Actual-ACPLYixing'!$H$7:$T$207,MATCH($B31,'Actual-ACPLYixing'!$B$7:$B$207,0),MATCH('Actual-ACPLYixing'!H$6,'Actual-ACPLYixing'!$H$6:$T$6,0)):INDEX('Actual-ACPLYixing'!$H$7:$T$207,MATCH($B31,'Actual-ACPLYixing'!$B$7:$B$207,0),MATCH(BF$8,'Actual-ACPLYixing'!$H$6:$T$6,0)))</f>
        <v>0</v>
      </c>
      <c r="BG31" s="749">
        <f>SUM(INDEX('Budget-Yixing'!$K$7:$W$207,MATCH($B31,'Budget-Yixing'!$B$7:$B$207,0),MATCH('Budget-Yixing'!K$6,'Budget-Yixing'!$K$6:$W$6,0)):INDEX('Budget-Yixing'!$K$7:$W$207,MATCH($B31,'Budget-Yixing'!$B$7:$B$207,0),MATCH(BG$8,'Budget-Yixing'!$K$6:$W$6,0)))</f>
        <v>0</v>
      </c>
      <c r="BH31" s="750">
        <f t="shared" si="30"/>
        <v>0</v>
      </c>
      <c r="BI31" s="748"/>
    </row>
    <row r="32" spans="1:61" ht="16.5" customHeight="1">
      <c r="A32" s="653" t="str">
        <f>'Budget-合并'!A30</f>
        <v>6602.01.07</v>
      </c>
      <c r="B32" s="653" t="str">
        <f>'Budget-合并'!B30</f>
        <v>集团内分摊</v>
      </c>
      <c r="C32" s="746">
        <f>INDEX('Actual-ACPL'!$H$7:$T$207,MATCH($B32,'Actual-ACPL'!$B$7:$B$207,0),MATCH(C$8,'Actual-ACPL'!$H$6:$T$6,0))</f>
        <v>0</v>
      </c>
      <c r="D32" s="746">
        <f>INDEX('Budget-ACPL'!$K$7:$W$207,MATCH($B32,'Budget-ACPL'!$B$7:$B$207,0),MATCH(D$8,'Budget-ACPL'!$K$6:$W$6,0))</f>
        <v>0</v>
      </c>
      <c r="E32" s="746">
        <f t="shared" si="31"/>
        <v>0</v>
      </c>
      <c r="F32" s="752"/>
      <c r="H32" s="749">
        <f>INDEX('Actual-ACPLHK'!$H$7:$T$207,MATCH($B32,'Actual-ACPLHK'!$B$7:$B$207,0),MATCH(H$8,'Actual-ACPLHK'!$H$6:$T$6,0))</f>
        <v>0</v>
      </c>
      <c r="I32" s="749">
        <f>INDEX('Budget-ACPLHK'!$K$7:$W$207,MATCH($B32,'Budget-ACPLHK'!$B$7:$B$207,0),MATCH(I$8,'Budget-ACPLHK'!$K$6:$W$6,0))</f>
        <v>0</v>
      </c>
      <c r="J32" s="749">
        <f t="shared" si="34"/>
        <v>0</v>
      </c>
      <c r="K32" s="748"/>
      <c r="M32" s="749">
        <f>INDEX('Actual-ACPSZL'!$H$7:$T$207,MATCH($B32,'Actual-ACPSZL'!$B$7:$B$207,0),MATCH(M$8,'Actual-ACPSZL'!$H$6:$T$6,0))</f>
        <v>0</v>
      </c>
      <c r="N32" s="749">
        <f>INDEX('Budget-ACPSZL'!$K$7:$W$207,MATCH($B32,'Budget-ACPSZL'!$B$7:$B$207,0),MATCH(N$8,'Budget-ACPSZL'!$K$6:$W$6,0))</f>
        <v>0</v>
      </c>
      <c r="O32" s="749">
        <f t="shared" si="35"/>
        <v>0</v>
      </c>
      <c r="P32" s="748"/>
      <c r="R32" s="749">
        <f>INDEX('Actual-ACPLSZ'!$H$7:$T$207,MATCH($B32,'Actual-ACPLSZ'!$B$7:$B$207,0),MATCH(R$8,'Actual-ACPLSZ'!$H$6:$T$6,0))</f>
        <v>0</v>
      </c>
      <c r="S32" s="749">
        <f>INDEX('Budget-ACPLSZ'!$K$7:$W$207,MATCH($B32,'Budget-ACPLSZ'!$B$7:$B$207,0),MATCH(S$8,'Budget-ACPLSZ'!$K$6:$W$6,0))</f>
        <v>0</v>
      </c>
      <c r="T32" s="749"/>
      <c r="U32" s="748"/>
      <c r="W32" s="749">
        <f>INDEX('Actual-ACPLGZ'!$H$7:$T$207,MATCH($B32,'Actual-ACPLGZ'!$B$7:$B$207,0),MATCH(W$8,'Actual-ACPLGZ'!$H$6:$T$6,0))</f>
        <v>0</v>
      </c>
      <c r="X32" s="749">
        <f>INDEX('Budget-ACPLGZ'!$K$7:$W$207,MATCH($B32,'Budget-ACPLGZ'!$B$7:$B$207,0),MATCH(X$8,'Budget-ACPLGZ'!$K$6:$W$6,0))</f>
        <v>0</v>
      </c>
      <c r="Y32" s="749">
        <f t="shared" si="32"/>
        <v>0</v>
      </c>
      <c r="Z32" s="748"/>
      <c r="AB32" s="749">
        <f>INDEX('Actual-ACPLGZ'!$H$7:$T$207,MATCH($B32,'Actual-ACPLGZ'!$B$7:$B$207,0),MATCH(AB$8,'Actual-ACPLGZ'!$H$6:$T$6,0))</f>
        <v>0</v>
      </c>
      <c r="AC32" s="749">
        <f>INDEX('Budget-Yixing'!$K$7:$W$207,MATCH($B32,'Budget-Yixing'!$B$7:$B$207,0),MATCH(AC$8,'Budget-Yixing'!$K$6:$W$6,0))</f>
        <v>0</v>
      </c>
      <c r="AD32" s="749"/>
      <c r="AE32" s="748"/>
      <c r="AG32" s="751">
        <f>SUM(INDEX('Actual-ACPL'!$H$7:$T$207,MATCH($B32,'Actual-ACPL'!$B$7:$B$207,0),MATCH('Actual-ACPL'!H$6,'Actual-ACPL'!$H$6:$T$6,0)):INDEX('Actual-ACPL'!$H$7:$T$207,MATCH($B32,'Actual-ACPL'!$B$7:$B$207,0),MATCH(AG$8,'Actual-ACPL'!$H$6:$T$6,0)))</f>
        <v>0</v>
      </c>
      <c r="AH32" s="751">
        <f>SUM(INDEX('Budget-ACPL'!$K$7:$W$207,MATCH($B32,'Budget-ACPL'!$B$7:$B$207,0),MATCH('Budget-ACPL'!K$6,'Budget-ACPL'!$K$6:$W$6,0)):INDEX('Budget-ACPL'!$K$7:$W$207,MATCH($B32,'Budget-ACPL'!$B$7:$B$207,0),MATCH(AH$8,'Budget-ACPL'!$K$6:$W$6,0)))</f>
        <v>0</v>
      </c>
      <c r="AI32" s="749">
        <f t="shared" si="39"/>
        <v>0</v>
      </c>
      <c r="AJ32" s="748"/>
      <c r="AL32" s="749">
        <f>SUM(INDEX('Actual-ACPLHK'!$H$7:$S$207,MATCH($B32,'Actual-ACPLHK'!$B$7:$B$207,0),MATCH('Actual-ACPLHK'!H$6,'Actual-ACPLHK'!$H$6:$T$6,0)):INDEX('Actual-ACPLHK'!$H$7:$S$207,MATCH($B32,'Actual-ACPLHK'!$B$7:$B$207,0),MATCH(AL$8,'Actual-ACPLHK'!$H$6:$T$6,0)))</f>
        <v>0</v>
      </c>
      <c r="AM32" s="749">
        <f>SUM(INDEX('Budget-ACPLHK'!$K$7:$W$207,MATCH($B32,'Budget-ACPLHK'!$B$7:$B$207,0),MATCH('Budget-ACPLHK'!K$6,'Budget-ACPLHK'!$K$6:$W$6,0)):INDEX('Budget-ACPLHK'!$K$7:$W$207,MATCH($B32,'Budget-ACPLHK'!$B$7:$B$207,0),MATCH(AM$8,'Budget-ACPLHK'!$K$6:$W$6,0)))</f>
        <v>0</v>
      </c>
      <c r="AN32" s="749">
        <f t="shared" si="37"/>
        <v>0</v>
      </c>
      <c r="AO32" s="748"/>
      <c r="AQ32" s="749">
        <f>SUM(INDEX('Actual-ACPSZL'!$H$7:$T$207,MATCH($B32,'Actual-ACPSZL'!$B$7:$B$207,0),MATCH('Actual-ACPSZL'!H$6,'Actual-ACPSZL'!$H$6:$T$6,0)):INDEX('Actual-ACPSZL'!$H$7:$T$207,MATCH($B32,'Actual-ACPSZL'!$B$7:$B$207,0),MATCH(AQ$8,'Actual-ACPSZL'!$H$6:$T$6,0)))</f>
        <v>0</v>
      </c>
      <c r="AR32" s="749">
        <f>SUM(INDEX('Budget-ACPSZL'!$K$7:$W$207,MATCH($B32,'Budget-ACPSZL'!$B$7:$B$207,0),MATCH('Budget-ACPSZL'!K$6,'Budget-ACPSZL'!$K$6:$W$6,0)):INDEX('Budget-ACPSZL'!$K$7:$W$207,MATCH($B32,'Budget-ACPSZL'!$B$7:$B$207,0),MATCH(AR$8,'Budget-ACPSZL'!$K$6:$W$6,0)))</f>
        <v>0</v>
      </c>
      <c r="AS32" s="750"/>
      <c r="AT32" s="748"/>
      <c r="AV32" s="749">
        <f>SUM(INDEX('Actual-ACPLSZ'!$H$7:$T$207,MATCH($B32,'Actual-ACPLSZ'!$B$7:$B$207,0),MATCH('Actual-ACPLSZ'!H$6,'Actual-ACPLSZ'!$H$6:$T$6,0)):INDEX('Actual-ACPLSZ'!$H$7:$T$207,MATCH($B32,'Actual-ACPLSZ'!$B$7:$B$207,0),MATCH(AV$8,'Actual-ACPLSZ'!$H$6:$T$6,0)))</f>
        <v>0</v>
      </c>
      <c r="AW32" s="749">
        <f>SUM(INDEX('Budget-ACPLSZ'!$K$7:$W$207,MATCH($B32,'Budget-ACPLSZ'!$B$7:$B$207,0),MATCH('Budget-ACPLSZ'!K$6,'Budget-ACPLSZ'!$K$6:$W$6,0)):INDEX('Budget-ACPLSZ'!$K$7:$W$207,MATCH($B32,'Budget-ACPLSZ'!$B$7:$B$207,0),MATCH(AW$8,'Budget-ACPLSZ'!$K$6:$W$6,0)))</f>
        <v>0</v>
      </c>
      <c r="AX32" s="749">
        <f t="shared" si="38"/>
        <v>0</v>
      </c>
      <c r="AY32" s="748"/>
      <c r="BA32" s="749">
        <f>SUM(INDEX('Actual-ACPLGZ'!$H$7:$T$207,MATCH($B32,'Actual-ACPLGZ'!$B$7:$B$207,0),MATCH('Actual-ACPLGZ'!H$6,'Actual-ACPLGZ'!$H$6:$T$6,0)):INDEX('Actual-ACPLGZ'!$H$7:$T$207,MATCH($B32,'Actual-ACPLGZ'!$B$7:$B$207,0),MATCH(BA$8,'Actual-ACPLGZ'!$H$6:$T$6,0)))</f>
        <v>0</v>
      </c>
      <c r="BB32" s="749">
        <f>SUM(INDEX('Budget-ACPLGZ'!$K$7:$W$207,MATCH($B32,'Budget-ACPLGZ'!$B$7:$B$207,0),MATCH('Budget-ACPLGZ'!K$6,'Budget-ACPLGZ'!$K$6:$W$6,0)):INDEX('Budget-ACPLGZ'!$K$7:$W$207,MATCH($B32,'Budget-ACPLGZ'!$B$7:$B$207,0),MATCH(BB$8,'Budget-ACPLGZ'!$K$6:$W$6,0)))</f>
        <v>0</v>
      </c>
      <c r="BC32" s="750"/>
      <c r="BD32" s="748"/>
      <c r="BF32" s="749">
        <f>SUM(INDEX('Actual-ACPLYixing'!$H$7:$T$207,MATCH($B32,'Actual-ACPLYixing'!$B$7:$B$207,0),MATCH('Actual-ACPLYixing'!H$6,'Actual-ACPLYixing'!$H$6:$T$6,0)):INDEX('Actual-ACPLYixing'!$H$7:$T$207,MATCH($B32,'Actual-ACPLYixing'!$B$7:$B$207,0),MATCH(BF$8,'Actual-ACPLYixing'!$H$6:$T$6,0)))</f>
        <v>0</v>
      </c>
      <c r="BG32" s="749">
        <f>SUM(INDEX('Budget-Yixing'!$K$7:$W$207,MATCH($B32,'Budget-Yixing'!$B$7:$B$207,0),MATCH('Budget-Yixing'!K$6,'Budget-Yixing'!$K$6:$W$6,0)):INDEX('Budget-Yixing'!$K$7:$W$207,MATCH($B32,'Budget-Yixing'!$B$7:$B$207,0),MATCH(BG$8,'Budget-Yixing'!$K$6:$W$6,0)))</f>
        <v>0</v>
      </c>
      <c r="BH32" s="750"/>
      <c r="BI32" s="748"/>
    </row>
    <row r="33" spans="1:61" ht="16.5" customHeight="1">
      <c r="A33" s="653" t="str">
        <f>'Budget-合并'!A31</f>
        <v>6602.01.08</v>
      </c>
      <c r="B33" s="653" t="str">
        <f>'Budget-合并'!B31</f>
        <v>基本工资（管理）</v>
      </c>
      <c r="C33" s="746">
        <f>INDEX('Actual-ACPL'!$H$7:$T$207,MATCH($B33,'Actual-ACPL'!$B$7:$B$207,0),MATCH(C$8,'Actual-ACPL'!$H$6:$T$6,0))</f>
        <v>0</v>
      </c>
      <c r="D33" s="746">
        <f>INDEX('Budget-ACPL'!$K$7:$W$207,MATCH($B33,'Budget-ACPL'!$B$7:$B$207,0),MATCH(D$8,'Budget-ACPL'!$K$6:$W$6,0))</f>
        <v>255874.99999999988</v>
      </c>
      <c r="E33" s="746">
        <f t="shared" si="31"/>
        <v>-255874.99999999988</v>
      </c>
      <c r="F33" s="752"/>
      <c r="H33" s="749">
        <f>INDEX('Actual-ACPLHK'!$H$7:$T$207,MATCH($B33,'Actual-ACPLHK'!$B$7:$B$207,0),MATCH(H$8,'Actual-ACPLHK'!$H$6:$T$6,0))</f>
        <v>0</v>
      </c>
      <c r="I33" s="749">
        <f>INDEX('Budget-ACPLHK'!$K$7:$W$207,MATCH($B33,'Budget-ACPLHK'!$B$7:$B$207,0),MATCH(I$8,'Budget-ACPLHK'!$K$6:$W$6,0))</f>
        <v>7476</v>
      </c>
      <c r="J33" s="749">
        <f t="shared" si="34"/>
        <v>-7476</v>
      </c>
      <c r="K33" s="748"/>
      <c r="M33" s="749">
        <f>INDEX('Actual-ACPSZL'!$H$7:$T$207,MATCH($B33,'Actual-ACPSZL'!$B$7:$B$207,0),MATCH(M$8,'Actual-ACPSZL'!$H$6:$T$6,0))</f>
        <v>0</v>
      </c>
      <c r="N33" s="749">
        <f>INDEX('Budget-ACPSZL'!$K$7:$W$207,MATCH($B33,'Budget-ACPSZL'!$B$7:$B$207,0),MATCH(N$8,'Budget-ACPSZL'!$K$6:$W$6,0))</f>
        <v>0</v>
      </c>
      <c r="O33" s="749">
        <f t="shared" si="35"/>
        <v>0</v>
      </c>
      <c r="P33" s="748"/>
      <c r="R33" s="749">
        <f>INDEX('Actual-ACPLSZ'!$H$7:$T$207,MATCH($B33,'Actual-ACPLSZ'!$B$7:$B$207,0),MATCH(R$8,'Actual-ACPLSZ'!$H$6:$T$6,0))</f>
        <v>0</v>
      </c>
      <c r="S33" s="749">
        <f>INDEX('Budget-ACPLSZ'!$K$7:$W$207,MATCH($B33,'Budget-ACPLSZ'!$B$7:$B$207,0),MATCH(S$8,'Budget-ACPLSZ'!$K$6:$W$6,0))</f>
        <v>0</v>
      </c>
      <c r="T33" s="749">
        <f t="shared" ref="T33:T41" si="40">(R33-S33)*-1</f>
        <v>0</v>
      </c>
      <c r="U33" s="748"/>
      <c r="W33" s="749">
        <f>INDEX('Actual-ACPLGZ'!$H$7:$T$207,MATCH($B33,'Actual-ACPLGZ'!$B$7:$B$207,0),MATCH(W$8,'Actual-ACPLGZ'!$H$6:$T$6,0))</f>
        <v>0</v>
      </c>
      <c r="X33" s="749">
        <f>INDEX('Budget-ACPLGZ'!$K$7:$W$207,MATCH($B33,'Budget-ACPLGZ'!$B$7:$B$207,0),MATCH(X$8,'Budget-ACPLGZ'!$K$6:$W$6,0))</f>
        <v>0</v>
      </c>
      <c r="Y33" s="749">
        <f t="shared" si="32"/>
        <v>0</v>
      </c>
      <c r="Z33" s="748"/>
      <c r="AB33" s="749">
        <f>INDEX('Actual-ACPLGZ'!$H$7:$T$207,MATCH($B33,'Actual-ACPLGZ'!$B$7:$B$207,0),MATCH(AB$8,'Actual-ACPLGZ'!$H$6:$T$6,0))</f>
        <v>0</v>
      </c>
      <c r="AC33" s="749">
        <f>INDEX('Budget-Yixing'!$K$7:$W$207,MATCH($B33,'Budget-Yixing'!$B$7:$B$207,0),MATCH(AC$8,'Budget-Yixing'!$K$6:$W$6,0))</f>
        <v>0</v>
      </c>
      <c r="AD33" s="749">
        <f t="shared" ref="AD33:AD41" si="41">(AB33-AC33)*-1</f>
        <v>0</v>
      </c>
      <c r="AE33" s="748"/>
      <c r="AG33" s="751">
        <f>SUM(INDEX('Actual-ACPL'!$H$7:$T$207,MATCH($B33,'Actual-ACPL'!$B$7:$B$207,0),MATCH('Actual-ACPL'!H$6,'Actual-ACPL'!$H$6:$T$6,0)):INDEX('Actual-ACPL'!$H$7:$T$207,MATCH($B33,'Actual-ACPL'!$B$7:$B$207,0),MATCH(AG$8,'Actual-ACPL'!$H$6:$T$6,0)))</f>
        <v>0</v>
      </c>
      <c r="AH33" s="751">
        <f>SUM(INDEX('Budget-ACPL'!$K$7:$W$207,MATCH($B33,'Budget-ACPL'!$B$7:$B$207,0),MATCH('Budget-ACPL'!K$6,'Budget-ACPL'!$K$6:$W$6,0)):INDEX('Budget-ACPL'!$K$7:$W$207,MATCH($B33,'Budget-ACPL'!$B$7:$B$207,0),MATCH(AH$8,'Budget-ACPL'!$K$6:$W$6,0)))</f>
        <v>255874.99999999988</v>
      </c>
      <c r="AI33" s="749">
        <f t="shared" si="39"/>
        <v>-255874.99999999988</v>
      </c>
      <c r="AJ33" s="748"/>
      <c r="AL33" s="749">
        <f>SUM(INDEX('Actual-ACPLHK'!$H$7:$S$207,MATCH($B33,'Actual-ACPLHK'!$B$7:$B$207,0),MATCH('Actual-ACPLHK'!H$6,'Actual-ACPLHK'!$H$6:$T$6,0)):INDEX('Actual-ACPLHK'!$H$7:$S$207,MATCH($B33,'Actual-ACPLHK'!$B$7:$B$207,0),MATCH(AL$8,'Actual-ACPLHK'!$H$6:$T$6,0)))</f>
        <v>0</v>
      </c>
      <c r="AM33" s="749">
        <f>SUM(INDEX('Budget-ACPLHK'!$K$7:$W$207,MATCH($B33,'Budget-ACPLHK'!$B$7:$B$207,0),MATCH('Budget-ACPLHK'!K$6,'Budget-ACPLHK'!$K$6:$W$6,0)):INDEX('Budget-ACPLHK'!$K$7:$W$207,MATCH($B33,'Budget-ACPLHK'!$B$7:$B$207,0),MATCH(AM$8,'Budget-ACPLHK'!$K$6:$W$6,0)))</f>
        <v>7476</v>
      </c>
      <c r="AN33" s="749">
        <f t="shared" si="37"/>
        <v>-7476</v>
      </c>
      <c r="AO33" s="748"/>
      <c r="AQ33" s="749">
        <f>SUM(INDEX('Actual-ACPSZL'!$H$7:$T$207,MATCH($B33,'Actual-ACPSZL'!$B$7:$B$207,0),MATCH('Actual-ACPSZL'!H$6,'Actual-ACPSZL'!$H$6:$T$6,0)):INDEX('Actual-ACPSZL'!$H$7:$T$207,MATCH($B33,'Actual-ACPSZL'!$B$7:$B$207,0),MATCH(AQ$8,'Actual-ACPSZL'!$H$6:$T$6,0)))</f>
        <v>0</v>
      </c>
      <c r="AR33" s="749">
        <f>SUM(INDEX('Budget-ACPSZL'!$K$7:$W$207,MATCH($B33,'Budget-ACPSZL'!$B$7:$B$207,0),MATCH('Budget-ACPSZL'!K$6,'Budget-ACPSZL'!$K$6:$W$6,0)):INDEX('Budget-ACPSZL'!$K$7:$W$207,MATCH($B33,'Budget-ACPSZL'!$B$7:$B$207,0),MATCH(AR$8,'Budget-ACPSZL'!$K$6:$W$6,0)))</f>
        <v>0</v>
      </c>
      <c r="AS33" s="749">
        <f>AQ33-AR33</f>
        <v>0</v>
      </c>
      <c r="AT33" s="748"/>
      <c r="AV33" s="749">
        <f>SUM(INDEX('Actual-ACPLSZ'!$H$7:$T$207,MATCH($B33,'Actual-ACPLSZ'!$B$7:$B$207,0),MATCH('Actual-ACPLSZ'!H$6,'Actual-ACPLSZ'!$H$6:$T$6,0)):INDEX('Actual-ACPLSZ'!$H$7:$T$207,MATCH($B33,'Actual-ACPLSZ'!$B$7:$B$207,0),MATCH(AV$8,'Actual-ACPLSZ'!$H$6:$T$6,0)))</f>
        <v>0</v>
      </c>
      <c r="AW33" s="749">
        <f>SUM(INDEX('Budget-ACPLSZ'!$K$7:$W$207,MATCH($B33,'Budget-ACPLSZ'!$B$7:$B$207,0),MATCH('Budget-ACPLSZ'!K$6,'Budget-ACPLSZ'!$K$6:$W$6,0)):INDEX('Budget-ACPLSZ'!$K$7:$W$207,MATCH($B33,'Budget-ACPLSZ'!$B$7:$B$207,0),MATCH(AW$8,'Budget-ACPLSZ'!$K$6:$W$6,0)))</f>
        <v>0</v>
      </c>
      <c r="AX33" s="749">
        <f t="shared" si="38"/>
        <v>0</v>
      </c>
      <c r="AY33" s="748"/>
      <c r="BA33" s="749">
        <f>SUM(INDEX('Actual-ACPLGZ'!$H$7:$T$207,MATCH($B33,'Actual-ACPLGZ'!$B$7:$B$207,0),MATCH('Actual-ACPLGZ'!H$6,'Actual-ACPLGZ'!$H$6:$T$6,0)):INDEX('Actual-ACPLGZ'!$H$7:$T$207,MATCH($B33,'Actual-ACPLGZ'!$B$7:$B$207,0),MATCH(BA$8,'Actual-ACPLGZ'!$H$6:$T$6,0)))</f>
        <v>0</v>
      </c>
      <c r="BB33" s="749">
        <f>SUM(INDEX('Budget-ACPLGZ'!$K$7:$W$207,MATCH($B33,'Budget-ACPLGZ'!$B$7:$B$207,0),MATCH('Budget-ACPLGZ'!K$6,'Budget-ACPLGZ'!$K$6:$W$6,0)):INDEX('Budget-ACPLGZ'!$K$7:$W$207,MATCH($B33,'Budget-ACPLGZ'!$B$7:$B$207,0),MATCH(BB$8,'Budget-ACPLGZ'!$K$6:$W$6,0)))</f>
        <v>0</v>
      </c>
      <c r="BC33" s="750">
        <f t="shared" ref="BC33:BC41" si="42">BA33-BB33</f>
        <v>0</v>
      </c>
      <c r="BD33" s="748"/>
      <c r="BF33" s="749">
        <f>SUM(INDEX('Actual-ACPLYixing'!$H$7:$T$207,MATCH($B33,'Actual-ACPLYixing'!$B$7:$B$207,0),MATCH('Actual-ACPLYixing'!H$6,'Actual-ACPLYixing'!$H$6:$T$6,0)):INDEX('Actual-ACPLYixing'!$H$7:$T$207,MATCH($B33,'Actual-ACPLYixing'!$B$7:$B$207,0),MATCH(BF$8,'Actual-ACPLYixing'!$H$6:$T$6,0)))</f>
        <v>0</v>
      </c>
      <c r="BG33" s="749">
        <f>SUM(INDEX('Budget-Yixing'!$K$7:$W$207,MATCH($B33,'Budget-Yixing'!$B$7:$B$207,0),MATCH('Budget-Yixing'!K$6,'Budget-Yixing'!$K$6:$W$6,0)):INDEX('Budget-Yixing'!$K$7:$W$207,MATCH($B33,'Budget-Yixing'!$B$7:$B$207,0),MATCH(BG$8,'Budget-Yixing'!$K$6:$W$6,0)))</f>
        <v>0</v>
      </c>
      <c r="BH33" s="750">
        <f t="shared" ref="BH33:BH41" si="43">BF33-BG33</f>
        <v>0</v>
      </c>
      <c r="BI33" s="748"/>
    </row>
    <row r="34" spans="1:61" ht="16.5" customHeight="1">
      <c r="A34" s="653" t="str">
        <f>'Budget-合并'!A32</f>
        <v>6602.01.09</v>
      </c>
      <c r="B34" s="653" t="str">
        <f>'Budget-合并'!B32</f>
        <v>员工奖金（管理）</v>
      </c>
      <c r="C34" s="746">
        <f>INDEX('Actual-ACPL'!$H$7:$T$207,MATCH($B34,'Actual-ACPL'!$B$7:$B$207,0),MATCH(C$8,'Actual-ACPL'!$H$6:$T$6,0))</f>
        <v>0</v>
      </c>
      <c r="D34" s="746">
        <f>INDEX('Budget-ACPL'!$K$7:$W$207,MATCH($B34,'Budget-ACPL'!$B$7:$B$207,0),MATCH(D$8,'Budget-ACPL'!$K$6:$W$6,0))</f>
        <v>0</v>
      </c>
      <c r="E34" s="746">
        <f t="shared" si="31"/>
        <v>0</v>
      </c>
      <c r="F34" s="752"/>
      <c r="H34" s="749">
        <f>INDEX('Actual-ACPLHK'!$H$7:$T$207,MATCH($B34,'Actual-ACPLHK'!$B$7:$B$207,0),MATCH(H$8,'Actual-ACPLHK'!$H$6:$T$6,0))</f>
        <v>0</v>
      </c>
      <c r="I34" s="749">
        <f>INDEX('Budget-ACPLHK'!$K$7:$W$207,MATCH($B34,'Budget-ACPLHK'!$B$7:$B$207,0),MATCH(I$8,'Budget-ACPLHK'!$K$6:$W$6,0))</f>
        <v>0</v>
      </c>
      <c r="J34" s="749">
        <f t="shared" si="34"/>
        <v>0</v>
      </c>
      <c r="K34" s="748"/>
      <c r="M34" s="749">
        <f>INDEX('Actual-ACPSZL'!$H$7:$T$207,MATCH($B34,'Actual-ACPSZL'!$B$7:$B$207,0),MATCH(M$8,'Actual-ACPSZL'!$H$6:$T$6,0))</f>
        <v>0</v>
      </c>
      <c r="N34" s="749">
        <f>INDEX('Budget-ACPSZL'!$K$7:$W$207,MATCH($B34,'Budget-ACPSZL'!$B$7:$B$207,0),MATCH(N$8,'Budget-ACPSZL'!$K$6:$W$6,0))</f>
        <v>0</v>
      </c>
      <c r="O34" s="749">
        <f t="shared" si="35"/>
        <v>0</v>
      </c>
      <c r="P34" s="748"/>
      <c r="R34" s="749">
        <f>INDEX('Actual-ACPLSZ'!$H$7:$T$207,MATCH($B34,'Actual-ACPLSZ'!$B$7:$B$207,0),MATCH(R$8,'Actual-ACPLSZ'!$H$6:$T$6,0))</f>
        <v>0</v>
      </c>
      <c r="S34" s="749">
        <f>INDEX('Budget-ACPLSZ'!$K$7:$W$207,MATCH($B34,'Budget-ACPLSZ'!$B$7:$B$207,0),MATCH(S$8,'Budget-ACPLSZ'!$K$6:$W$6,0))</f>
        <v>0</v>
      </c>
      <c r="T34" s="749">
        <f t="shared" si="40"/>
        <v>0</v>
      </c>
      <c r="U34" s="748"/>
      <c r="W34" s="749">
        <f>INDEX('Actual-ACPLGZ'!$H$7:$T$207,MATCH($B34,'Actual-ACPLGZ'!$B$7:$B$207,0),MATCH(W$8,'Actual-ACPLGZ'!$H$6:$T$6,0))</f>
        <v>0</v>
      </c>
      <c r="X34" s="749">
        <f>INDEX('Budget-ACPLGZ'!$K$7:$W$207,MATCH($B34,'Budget-ACPLGZ'!$B$7:$B$207,0),MATCH(X$8,'Budget-ACPLGZ'!$K$6:$W$6,0))</f>
        <v>0</v>
      </c>
      <c r="Y34" s="749">
        <f t="shared" si="32"/>
        <v>0</v>
      </c>
      <c r="Z34" s="748"/>
      <c r="AB34" s="749">
        <f>INDEX('Actual-ACPLGZ'!$H$7:$T$207,MATCH($B34,'Actual-ACPLGZ'!$B$7:$B$207,0),MATCH(AB$8,'Actual-ACPLGZ'!$H$6:$T$6,0))</f>
        <v>0</v>
      </c>
      <c r="AC34" s="749">
        <f>INDEX('Budget-Yixing'!$K$7:$W$207,MATCH($B34,'Budget-Yixing'!$B$7:$B$207,0),MATCH(AC$8,'Budget-Yixing'!$K$6:$W$6,0))</f>
        <v>0</v>
      </c>
      <c r="AD34" s="749">
        <f t="shared" si="41"/>
        <v>0</v>
      </c>
      <c r="AE34" s="748"/>
      <c r="AG34" s="751">
        <f>SUM(INDEX('Actual-ACPL'!$H$7:$T$207,MATCH($B34,'Actual-ACPL'!$B$7:$B$207,0),MATCH('Actual-ACPL'!H$6,'Actual-ACPL'!$H$6:$T$6,0)):INDEX('Actual-ACPL'!$H$7:$T$207,MATCH($B34,'Actual-ACPL'!$B$7:$B$207,0),MATCH(AG$8,'Actual-ACPL'!$H$6:$T$6,0)))</f>
        <v>0</v>
      </c>
      <c r="AH34" s="751">
        <f>SUM(INDEX('Budget-ACPL'!$K$7:$W$207,MATCH($B34,'Budget-ACPL'!$B$7:$B$207,0),MATCH('Budget-ACPL'!K$6,'Budget-ACPL'!$K$6:$W$6,0)):INDEX('Budget-ACPL'!$K$7:$W$207,MATCH($B34,'Budget-ACPL'!$B$7:$B$207,0),MATCH(AH$8,'Budget-ACPL'!$K$6:$W$6,0)))</f>
        <v>0</v>
      </c>
      <c r="AI34" s="749">
        <f t="shared" si="39"/>
        <v>0</v>
      </c>
      <c r="AJ34" s="748"/>
      <c r="AL34" s="749">
        <f>SUM(INDEX('Actual-ACPLHK'!$H$7:$S$207,MATCH($B34,'Actual-ACPLHK'!$B$7:$B$207,0),MATCH('Actual-ACPLHK'!H$6,'Actual-ACPLHK'!$H$6:$T$6,0)):INDEX('Actual-ACPLHK'!$H$7:$S$207,MATCH($B34,'Actual-ACPLHK'!$B$7:$B$207,0),MATCH(AL$8,'Actual-ACPLHK'!$H$6:$T$6,0)))</f>
        <v>0</v>
      </c>
      <c r="AM34" s="749">
        <f>SUM(INDEX('Budget-ACPLHK'!$K$7:$W$207,MATCH($B34,'Budget-ACPLHK'!$B$7:$B$207,0),MATCH('Budget-ACPLHK'!K$6,'Budget-ACPLHK'!$K$6:$W$6,0)):INDEX('Budget-ACPLHK'!$K$7:$W$207,MATCH($B34,'Budget-ACPLHK'!$B$7:$B$207,0),MATCH(AM$8,'Budget-ACPLHK'!$K$6:$W$6,0)))</f>
        <v>0</v>
      </c>
      <c r="AN34" s="749">
        <f t="shared" si="37"/>
        <v>0</v>
      </c>
      <c r="AO34" s="748"/>
      <c r="AQ34" s="749">
        <f>SUM(INDEX('Actual-ACPSZL'!$H$7:$T$207,MATCH($B34,'Actual-ACPSZL'!$B$7:$B$207,0),MATCH('Actual-ACPSZL'!H$6,'Actual-ACPSZL'!$H$6:$T$6,0)):INDEX('Actual-ACPSZL'!$H$7:$T$207,MATCH($B34,'Actual-ACPSZL'!$B$7:$B$207,0),MATCH(AQ$8,'Actual-ACPSZL'!$H$6:$T$6,0)))</f>
        <v>0</v>
      </c>
      <c r="AR34" s="749">
        <f>SUM(INDEX('Budget-ACPSZL'!$K$7:$W$207,MATCH($B34,'Budget-ACPSZL'!$B$7:$B$207,0),MATCH('Budget-ACPSZL'!K$6,'Budget-ACPSZL'!$K$6:$W$6,0)):INDEX('Budget-ACPSZL'!$K$7:$W$207,MATCH($B34,'Budget-ACPSZL'!$B$7:$B$207,0),MATCH(AR$8,'Budget-ACPSZL'!$K$6:$W$6,0)))</f>
        <v>0</v>
      </c>
      <c r="AS34" s="749">
        <f t="shared" ref="AS34:AS41" si="44">AQ34-AR34</f>
        <v>0</v>
      </c>
      <c r="AT34" s="748"/>
      <c r="AV34" s="749">
        <f>SUM(INDEX('Actual-ACPLSZ'!$H$7:$T$207,MATCH($B34,'Actual-ACPLSZ'!$B$7:$B$207,0),MATCH('Actual-ACPLSZ'!H$6,'Actual-ACPLSZ'!$H$6:$T$6,0)):INDEX('Actual-ACPLSZ'!$H$7:$T$207,MATCH($B34,'Actual-ACPLSZ'!$B$7:$B$207,0),MATCH(AV$8,'Actual-ACPLSZ'!$H$6:$T$6,0)))</f>
        <v>0</v>
      </c>
      <c r="AW34" s="749">
        <f>SUM(INDEX('Budget-ACPLSZ'!$K$7:$W$207,MATCH($B34,'Budget-ACPLSZ'!$B$7:$B$207,0),MATCH('Budget-ACPLSZ'!K$6,'Budget-ACPLSZ'!$K$6:$W$6,0)):INDEX('Budget-ACPLSZ'!$K$7:$W$207,MATCH($B34,'Budget-ACPLSZ'!$B$7:$B$207,0),MATCH(AW$8,'Budget-ACPLSZ'!$K$6:$W$6,0)))</f>
        <v>0</v>
      </c>
      <c r="AX34" s="749">
        <f t="shared" si="38"/>
        <v>0</v>
      </c>
      <c r="AY34" s="748"/>
      <c r="BA34" s="749">
        <f>SUM(INDEX('Actual-ACPLGZ'!$H$7:$T$207,MATCH($B34,'Actual-ACPLGZ'!$B$7:$B$207,0),MATCH('Actual-ACPLGZ'!H$6,'Actual-ACPLGZ'!$H$6:$T$6,0)):INDEX('Actual-ACPLGZ'!$H$7:$T$207,MATCH($B34,'Actual-ACPLGZ'!$B$7:$B$207,0),MATCH(BA$8,'Actual-ACPLGZ'!$H$6:$T$6,0)))</f>
        <v>0</v>
      </c>
      <c r="BB34" s="749">
        <f>SUM(INDEX('Budget-ACPLGZ'!$K$7:$W$207,MATCH($B34,'Budget-ACPLGZ'!$B$7:$B$207,0),MATCH('Budget-ACPLGZ'!K$6,'Budget-ACPLGZ'!$K$6:$W$6,0)):INDEX('Budget-ACPLGZ'!$K$7:$W$207,MATCH($B34,'Budget-ACPLGZ'!$B$7:$B$207,0),MATCH(BB$8,'Budget-ACPLGZ'!$K$6:$W$6,0)))</f>
        <v>0</v>
      </c>
      <c r="BC34" s="750">
        <f t="shared" si="42"/>
        <v>0</v>
      </c>
      <c r="BD34" s="748"/>
      <c r="BF34" s="749">
        <f>SUM(INDEX('Actual-ACPLYixing'!$H$7:$T$207,MATCH($B34,'Actual-ACPLYixing'!$B$7:$B$207,0),MATCH('Actual-ACPLYixing'!H$6,'Actual-ACPLYixing'!$H$6:$T$6,0)):INDEX('Actual-ACPLYixing'!$H$7:$T$207,MATCH($B34,'Actual-ACPLYixing'!$B$7:$B$207,0),MATCH(BF$8,'Actual-ACPLYixing'!$H$6:$T$6,0)))</f>
        <v>0</v>
      </c>
      <c r="BG34" s="749">
        <f>SUM(INDEX('Budget-Yixing'!$K$7:$W$207,MATCH($B34,'Budget-Yixing'!$B$7:$B$207,0),MATCH('Budget-Yixing'!K$6,'Budget-Yixing'!$K$6:$W$6,0)):INDEX('Budget-Yixing'!$K$7:$W$207,MATCH($B34,'Budget-Yixing'!$B$7:$B$207,0),MATCH(BG$8,'Budget-Yixing'!$K$6:$W$6,0)))</f>
        <v>0</v>
      </c>
      <c r="BH34" s="750">
        <f t="shared" si="43"/>
        <v>0</v>
      </c>
      <c r="BI34" s="748"/>
    </row>
    <row r="35" spans="1:61" ht="16.5" customHeight="1">
      <c r="A35" s="653" t="str">
        <f>'Budget-合并'!A33</f>
        <v>6602.02</v>
      </c>
      <c r="B35" s="653" t="str">
        <f>'Budget-合并'!B33</f>
        <v>职工福利</v>
      </c>
      <c r="C35" s="746">
        <f>INDEX('Actual-ACPL'!$H$7:$T$207,MATCH($B35,'Actual-ACPL'!$B$7:$B$207,0),MATCH(C$8,'Actual-ACPL'!$H$6:$T$6,0))</f>
        <v>0</v>
      </c>
      <c r="D35" s="746">
        <f>INDEX('Budget-ACPL'!$K$7:$W$207,MATCH($B35,'Budget-ACPL'!$B$7:$B$207,0),MATCH(D$8,'Budget-ACPL'!$K$6:$W$6,0))</f>
        <v>10416.666666666666</v>
      </c>
      <c r="E35" s="746">
        <f t="shared" si="31"/>
        <v>-10416.666666666666</v>
      </c>
      <c r="F35" s="752"/>
      <c r="H35" s="749">
        <f>INDEX('Actual-ACPLHK'!$H$7:$T$207,MATCH($B35,'Actual-ACPLHK'!$B$7:$B$207,0),MATCH(H$8,'Actual-ACPLHK'!$H$6:$T$6,0))</f>
        <v>0</v>
      </c>
      <c r="I35" s="749">
        <f>INDEX('Budget-ACPLHK'!$K$7:$W$207,MATCH($B35,'Budget-ACPLHK'!$B$7:$B$207,0),MATCH(I$8,'Budget-ACPLHK'!$K$6:$W$6,0))</f>
        <v>14124.958333333332</v>
      </c>
      <c r="J35" s="749">
        <f t="shared" si="34"/>
        <v>-14124.958333333332</v>
      </c>
      <c r="K35" s="748"/>
      <c r="M35" s="749">
        <f>INDEX('Actual-ACPSZL'!$H$7:$T$207,MATCH($B35,'Actual-ACPSZL'!$B$7:$B$207,0),MATCH(M$8,'Actual-ACPSZL'!$H$6:$T$6,0))</f>
        <v>0</v>
      </c>
      <c r="N35" s="749">
        <f>INDEX('Budget-ACPSZL'!$K$7:$W$207,MATCH($B35,'Budget-ACPSZL'!$B$7:$B$207,0),MATCH(N$8,'Budget-ACPSZL'!$K$6:$W$6,0))</f>
        <v>500</v>
      </c>
      <c r="O35" s="749">
        <f t="shared" si="35"/>
        <v>-500</v>
      </c>
      <c r="P35" s="748"/>
      <c r="R35" s="749">
        <f>INDEX('Actual-ACPLSZ'!$H$7:$T$207,MATCH($B35,'Actual-ACPLSZ'!$B$7:$B$207,0),MATCH(R$8,'Actual-ACPLSZ'!$H$6:$T$6,0))</f>
        <v>0</v>
      </c>
      <c r="S35" s="749">
        <f>INDEX('Budget-ACPLSZ'!$K$7:$W$207,MATCH($B35,'Budget-ACPLSZ'!$B$7:$B$207,0),MATCH(S$8,'Budget-ACPLSZ'!$K$6:$W$6,0))</f>
        <v>13750</v>
      </c>
      <c r="T35" s="749">
        <f t="shared" si="40"/>
        <v>13750</v>
      </c>
      <c r="U35" s="748"/>
      <c r="W35" s="749">
        <f>INDEX('Actual-ACPLGZ'!$H$7:$T$207,MATCH($B35,'Actual-ACPLGZ'!$B$7:$B$207,0),MATCH(W$8,'Actual-ACPLGZ'!$H$6:$T$6,0))</f>
        <v>0</v>
      </c>
      <c r="X35" s="749">
        <f>INDEX('Budget-ACPLGZ'!$K$7:$W$207,MATCH($B35,'Budget-ACPLGZ'!$B$7:$B$207,0),MATCH(X$8,'Budget-ACPLGZ'!$K$6:$W$6,0))</f>
        <v>0</v>
      </c>
      <c r="Y35" s="749">
        <f t="shared" si="32"/>
        <v>0</v>
      </c>
      <c r="Z35" s="748"/>
      <c r="AB35" s="749">
        <f>INDEX('Actual-ACPLGZ'!$H$7:$T$207,MATCH($B35,'Actual-ACPLGZ'!$B$7:$B$207,0),MATCH(AB$8,'Actual-ACPLGZ'!$H$6:$T$6,0))</f>
        <v>0</v>
      </c>
      <c r="AC35" s="749">
        <f>INDEX('Budget-Yixing'!$K$7:$W$207,MATCH($B35,'Budget-Yixing'!$B$7:$B$207,0),MATCH(AC$8,'Budget-Yixing'!$K$6:$W$6,0))</f>
        <v>0</v>
      </c>
      <c r="AD35" s="749">
        <f t="shared" si="41"/>
        <v>0</v>
      </c>
      <c r="AE35" s="748"/>
      <c r="AG35" s="751">
        <f>SUM(INDEX('Actual-ACPL'!$H$7:$T$207,MATCH($B35,'Actual-ACPL'!$B$7:$B$207,0),MATCH('Actual-ACPL'!H$6,'Actual-ACPL'!$H$6:$T$6,0)):INDEX('Actual-ACPL'!$H$7:$T$207,MATCH($B35,'Actual-ACPL'!$B$7:$B$207,0),MATCH(AG$8,'Actual-ACPL'!$H$6:$T$6,0)))</f>
        <v>0</v>
      </c>
      <c r="AH35" s="751">
        <f>SUM(INDEX('Budget-ACPL'!$K$7:$W$207,MATCH($B35,'Budget-ACPL'!$B$7:$B$207,0),MATCH('Budget-ACPL'!K$6,'Budget-ACPL'!$K$6:$W$6,0)):INDEX('Budget-ACPL'!$K$7:$W$207,MATCH($B35,'Budget-ACPL'!$B$7:$B$207,0),MATCH(AH$8,'Budget-ACPL'!$K$6:$W$6,0)))</f>
        <v>10416.666666666666</v>
      </c>
      <c r="AI35" s="749">
        <f t="shared" si="39"/>
        <v>-10416.666666666666</v>
      </c>
      <c r="AJ35" s="748"/>
      <c r="AL35" s="749">
        <f>SUM(INDEX('Actual-ACPLHK'!$H$7:$S$207,MATCH($B35,'Actual-ACPLHK'!$B$7:$B$207,0),MATCH('Actual-ACPLHK'!H$6,'Actual-ACPLHK'!$H$6:$T$6,0)):INDEX('Actual-ACPLHK'!$H$7:$S$207,MATCH($B35,'Actual-ACPLHK'!$B$7:$B$207,0),MATCH(AL$8,'Actual-ACPLHK'!$H$6:$T$6,0)))</f>
        <v>0</v>
      </c>
      <c r="AM35" s="749">
        <f>SUM(INDEX('Budget-ACPLHK'!$K$7:$W$207,MATCH($B35,'Budget-ACPLHK'!$B$7:$B$207,0),MATCH('Budget-ACPLHK'!K$6,'Budget-ACPLHK'!$K$6:$W$6,0)):INDEX('Budget-ACPLHK'!$K$7:$W$207,MATCH($B35,'Budget-ACPLHK'!$B$7:$B$207,0),MATCH(AM$8,'Budget-ACPLHK'!$K$6:$W$6,0)))</f>
        <v>14124.958333333332</v>
      </c>
      <c r="AN35" s="749">
        <f t="shared" si="37"/>
        <v>-14124.958333333332</v>
      </c>
      <c r="AO35" s="748"/>
      <c r="AQ35" s="749">
        <f>SUM(INDEX('Actual-ACPSZL'!$H$7:$T$207,MATCH($B35,'Actual-ACPSZL'!$B$7:$B$207,0),MATCH('Actual-ACPSZL'!H$6,'Actual-ACPSZL'!$H$6:$T$6,0)):INDEX('Actual-ACPSZL'!$H$7:$T$207,MATCH($B35,'Actual-ACPSZL'!$B$7:$B$207,0),MATCH(AQ$8,'Actual-ACPSZL'!$H$6:$T$6,0)))</f>
        <v>0</v>
      </c>
      <c r="AR35" s="749">
        <f>SUM(INDEX('Budget-ACPSZL'!$K$7:$W$207,MATCH($B35,'Budget-ACPSZL'!$B$7:$B$207,0),MATCH('Budget-ACPSZL'!K$6,'Budget-ACPSZL'!$K$6:$W$6,0)):INDEX('Budget-ACPSZL'!$K$7:$W$207,MATCH($B35,'Budget-ACPSZL'!$B$7:$B$207,0),MATCH(AR$8,'Budget-ACPSZL'!$K$6:$W$6,0)))</f>
        <v>500</v>
      </c>
      <c r="AS35" s="749">
        <f t="shared" si="44"/>
        <v>-500</v>
      </c>
      <c r="AT35" s="748"/>
      <c r="AV35" s="749">
        <f>SUM(INDEX('Actual-ACPLSZ'!$H$7:$T$207,MATCH($B35,'Actual-ACPLSZ'!$B$7:$B$207,0),MATCH('Actual-ACPLSZ'!H$6,'Actual-ACPLSZ'!$H$6:$T$6,0)):INDEX('Actual-ACPLSZ'!$H$7:$T$207,MATCH($B35,'Actual-ACPLSZ'!$B$7:$B$207,0),MATCH(AV$8,'Actual-ACPLSZ'!$H$6:$T$6,0)))</f>
        <v>0</v>
      </c>
      <c r="AW35" s="749">
        <f>SUM(INDEX('Budget-ACPLSZ'!$K$7:$W$207,MATCH($B35,'Budget-ACPLSZ'!$B$7:$B$207,0),MATCH('Budget-ACPLSZ'!K$6,'Budget-ACPLSZ'!$K$6:$W$6,0)):INDEX('Budget-ACPLSZ'!$K$7:$W$207,MATCH($B35,'Budget-ACPLSZ'!$B$7:$B$207,0),MATCH(AW$8,'Budget-ACPLSZ'!$K$6:$W$6,0)))</f>
        <v>13750</v>
      </c>
      <c r="AX35" s="749">
        <f t="shared" si="38"/>
        <v>-13750</v>
      </c>
      <c r="AY35" s="748"/>
      <c r="BA35" s="749">
        <f>SUM(INDEX('Actual-ACPLGZ'!$H$7:$T$207,MATCH($B35,'Actual-ACPLGZ'!$B$7:$B$207,0),MATCH('Actual-ACPLGZ'!H$6,'Actual-ACPLGZ'!$H$6:$T$6,0)):INDEX('Actual-ACPLGZ'!$H$7:$T$207,MATCH($B35,'Actual-ACPLGZ'!$B$7:$B$207,0),MATCH(BA$8,'Actual-ACPLGZ'!$H$6:$T$6,0)))</f>
        <v>0</v>
      </c>
      <c r="BB35" s="749">
        <f>SUM(INDEX('Budget-ACPLGZ'!$K$7:$W$207,MATCH($B35,'Budget-ACPLGZ'!$B$7:$B$207,0),MATCH('Budget-ACPLGZ'!K$6,'Budget-ACPLGZ'!$K$6:$W$6,0)):INDEX('Budget-ACPLGZ'!$K$7:$W$207,MATCH($B35,'Budget-ACPLGZ'!$B$7:$B$207,0),MATCH(BB$8,'Budget-ACPLGZ'!$K$6:$W$6,0)))</f>
        <v>0</v>
      </c>
      <c r="BC35" s="750">
        <f t="shared" si="42"/>
        <v>0</v>
      </c>
      <c r="BD35" s="748"/>
      <c r="BF35" s="749">
        <f>SUM(INDEX('Actual-ACPLYixing'!$H$7:$T$207,MATCH($B35,'Actual-ACPLYixing'!$B$7:$B$207,0),MATCH('Actual-ACPLYixing'!H$6,'Actual-ACPLYixing'!$H$6:$T$6,0)):INDEX('Actual-ACPLYixing'!$H$7:$T$207,MATCH($B35,'Actual-ACPLYixing'!$B$7:$B$207,0),MATCH(BF$8,'Actual-ACPLYixing'!$H$6:$T$6,0)))</f>
        <v>0</v>
      </c>
      <c r="BG35" s="749">
        <f>SUM(INDEX('Budget-Yixing'!$K$7:$W$207,MATCH($B35,'Budget-Yixing'!$B$7:$B$207,0),MATCH('Budget-Yixing'!K$6,'Budget-Yixing'!$K$6:$W$6,0)):INDEX('Budget-Yixing'!$K$7:$W$207,MATCH($B35,'Budget-Yixing'!$B$7:$B$207,0),MATCH(BG$8,'Budget-Yixing'!$K$6:$W$6,0)))</f>
        <v>0</v>
      </c>
      <c r="BH35" s="750">
        <f t="shared" si="43"/>
        <v>0</v>
      </c>
      <c r="BI35" s="748"/>
    </row>
    <row r="36" spans="1:61" ht="16.5" customHeight="1">
      <c r="A36" s="653" t="str">
        <f>'Budget-合并'!A34</f>
        <v>6602.02.01</v>
      </c>
      <c r="B36" s="653" t="str">
        <f>'Budget-合并'!B34</f>
        <v>员工福利</v>
      </c>
      <c r="C36" s="746">
        <f>INDEX('Actual-ACPL'!$H$7:$T$207,MATCH($B36,'Actual-ACPL'!$B$7:$B$207,0),MATCH(C$8,'Actual-ACPL'!$H$6:$T$6,0))</f>
        <v>0</v>
      </c>
      <c r="D36" s="746">
        <f>INDEX('Budget-ACPL'!$K$7:$W$207,MATCH($B36,'Budget-ACPL'!$B$7:$B$207,0),MATCH(D$8,'Budget-ACPL'!$K$6:$W$6,0))</f>
        <v>0</v>
      </c>
      <c r="E36" s="746">
        <f t="shared" si="31"/>
        <v>0</v>
      </c>
      <c r="F36" s="755"/>
      <c r="G36" s="756"/>
      <c r="H36" s="749">
        <f>INDEX('Actual-ACPLHK'!$H$7:$T$207,MATCH($B36,'Actual-ACPLHK'!$B$7:$B$207,0),MATCH(H$8,'Actual-ACPLHK'!$H$6:$T$6,0))</f>
        <v>0</v>
      </c>
      <c r="I36" s="749">
        <f>INDEX('Budget-ACPLHK'!$K$7:$W$207,MATCH($B36,'Budget-ACPLHK'!$B$7:$B$207,0),MATCH(I$8,'Budget-ACPLHK'!$K$6:$W$6,0))</f>
        <v>0</v>
      </c>
      <c r="J36" s="749">
        <f t="shared" si="34"/>
        <v>0</v>
      </c>
      <c r="K36" s="757"/>
      <c r="L36" s="756"/>
      <c r="M36" s="749">
        <f>INDEX('Actual-ACPSZL'!$H$7:$T$207,MATCH($B36,'Actual-ACPSZL'!$B$7:$B$207,0),MATCH(M$8,'Actual-ACPSZL'!$H$6:$T$6,0))</f>
        <v>0</v>
      </c>
      <c r="N36" s="749">
        <f>INDEX('Budget-ACPSZL'!$K$7:$W$207,MATCH($B36,'Budget-ACPSZL'!$B$7:$B$207,0),MATCH(N$8,'Budget-ACPSZL'!$K$6:$W$6,0))</f>
        <v>0</v>
      </c>
      <c r="O36" s="749">
        <f t="shared" si="35"/>
        <v>0</v>
      </c>
      <c r="P36" s="757"/>
      <c r="Q36" s="756"/>
      <c r="R36" s="749">
        <f>INDEX('Actual-ACPLSZ'!$H$7:$T$207,MATCH($B36,'Actual-ACPLSZ'!$B$7:$B$207,0),MATCH(R$8,'Actual-ACPLSZ'!$H$6:$T$6,0))</f>
        <v>0</v>
      </c>
      <c r="S36" s="749">
        <f>INDEX('Budget-ACPLSZ'!$K$7:$W$207,MATCH($B36,'Budget-ACPLSZ'!$B$7:$B$207,0),MATCH(S$8,'Budget-ACPLSZ'!$K$6:$W$6,0))</f>
        <v>0</v>
      </c>
      <c r="T36" s="749">
        <f t="shared" si="40"/>
        <v>0</v>
      </c>
      <c r="U36" s="757"/>
      <c r="V36" s="756"/>
      <c r="W36" s="749">
        <f>INDEX('Actual-ACPLGZ'!$H$7:$T$207,MATCH($B36,'Actual-ACPLGZ'!$B$7:$B$207,0),MATCH(W$8,'Actual-ACPLGZ'!$H$6:$T$6,0))</f>
        <v>0</v>
      </c>
      <c r="X36" s="749">
        <f>INDEX('Budget-ACPLGZ'!$K$7:$W$207,MATCH($B36,'Budget-ACPLGZ'!$B$7:$B$207,0),MATCH(X$8,'Budget-ACPLGZ'!$K$6:$W$6,0))</f>
        <v>0</v>
      </c>
      <c r="Y36" s="749">
        <f t="shared" si="32"/>
        <v>0</v>
      </c>
      <c r="Z36" s="757"/>
      <c r="AA36" s="756"/>
      <c r="AB36" s="749">
        <f>INDEX('Actual-ACPLGZ'!$H$7:$T$207,MATCH($B36,'Actual-ACPLGZ'!$B$7:$B$207,0),MATCH(AB$8,'Actual-ACPLGZ'!$H$6:$T$6,0))</f>
        <v>0</v>
      </c>
      <c r="AC36" s="749">
        <f>INDEX('Budget-Yixing'!$K$7:$W$207,MATCH($B36,'Budget-Yixing'!$B$7:$B$207,0),MATCH(AC$8,'Budget-Yixing'!$K$6:$W$6,0))</f>
        <v>0</v>
      </c>
      <c r="AD36" s="749">
        <f t="shared" si="41"/>
        <v>0</v>
      </c>
      <c r="AE36" s="757"/>
      <c r="AG36" s="751">
        <f>SUM(INDEX('Actual-ACPL'!$H$7:$T$207,MATCH($B36,'Actual-ACPL'!$B$7:$B$207,0),MATCH('Actual-ACPL'!H$6,'Actual-ACPL'!$H$6:$T$6,0)):INDEX('Actual-ACPL'!$H$7:$T$207,MATCH($B36,'Actual-ACPL'!$B$7:$B$207,0),MATCH(AG$8,'Actual-ACPL'!$H$6:$T$6,0)))</f>
        <v>0</v>
      </c>
      <c r="AH36" s="751">
        <f>SUM(INDEX('Budget-ACPL'!$K$7:$W$207,MATCH($B36,'Budget-ACPL'!$B$7:$B$207,0),MATCH('Budget-ACPL'!K$6,'Budget-ACPL'!$K$6:$W$6,0)):INDEX('Budget-ACPL'!$K$7:$W$207,MATCH($B36,'Budget-ACPL'!$B$7:$B$207,0),MATCH(AH$8,'Budget-ACPL'!$K$6:$W$6,0)))</f>
        <v>0</v>
      </c>
      <c r="AI36" s="749">
        <f t="shared" si="39"/>
        <v>0</v>
      </c>
      <c r="AJ36" s="757"/>
      <c r="AK36" s="756"/>
      <c r="AL36" s="749">
        <f>SUM(INDEX('Actual-ACPLHK'!$H$7:$S$207,MATCH($B36,'Actual-ACPLHK'!$B$7:$B$207,0),MATCH('Actual-ACPLHK'!H$6,'Actual-ACPLHK'!$H$6:$T$6,0)):INDEX('Actual-ACPLHK'!$H$7:$S$207,MATCH($B36,'Actual-ACPLHK'!$B$7:$B$207,0),MATCH(AL$8,'Actual-ACPLHK'!$H$6:$T$6,0)))</f>
        <v>0</v>
      </c>
      <c r="AM36" s="749">
        <f>SUM(INDEX('Budget-ACPLHK'!$K$7:$W$207,MATCH($B36,'Budget-ACPLHK'!$B$7:$B$207,0),MATCH('Budget-ACPLHK'!K$6,'Budget-ACPLHK'!$K$6:$W$6,0)):INDEX('Budget-ACPLHK'!$K$7:$W$207,MATCH($B36,'Budget-ACPLHK'!$B$7:$B$207,0),MATCH(AM$8,'Budget-ACPLHK'!$K$6:$W$6,0)))</f>
        <v>0</v>
      </c>
      <c r="AN36" s="749">
        <f t="shared" si="37"/>
        <v>0</v>
      </c>
      <c r="AO36" s="757"/>
      <c r="AP36" s="756"/>
      <c r="AQ36" s="749">
        <f>SUM(INDEX('Actual-ACPSZL'!$H$7:$T$207,MATCH($B36,'Actual-ACPSZL'!$B$7:$B$207,0),MATCH('Actual-ACPSZL'!H$6,'Actual-ACPSZL'!$H$6:$T$6,0)):INDEX('Actual-ACPSZL'!$H$7:$T$207,MATCH($B36,'Actual-ACPSZL'!$B$7:$B$207,0),MATCH(AQ$8,'Actual-ACPSZL'!$H$6:$T$6,0)))</f>
        <v>0</v>
      </c>
      <c r="AR36" s="749">
        <f>SUM(INDEX('Budget-ACPSZL'!$K$7:$W$207,MATCH($B36,'Budget-ACPSZL'!$B$7:$B$207,0),MATCH('Budget-ACPSZL'!K$6,'Budget-ACPSZL'!$K$6:$W$6,0)):INDEX('Budget-ACPSZL'!$K$7:$W$207,MATCH($B36,'Budget-ACPSZL'!$B$7:$B$207,0),MATCH(AR$8,'Budget-ACPSZL'!$K$6:$W$6,0)))</f>
        <v>0</v>
      </c>
      <c r="AS36" s="749">
        <f t="shared" si="44"/>
        <v>0</v>
      </c>
      <c r="AT36" s="757"/>
      <c r="AU36" s="756"/>
      <c r="AV36" s="749">
        <f>SUM(INDEX('Actual-ACPLSZ'!$H$7:$T$207,MATCH($B36,'Actual-ACPLSZ'!$B$7:$B$207,0),MATCH('Actual-ACPLSZ'!H$6,'Actual-ACPLSZ'!$H$6:$T$6,0)):INDEX('Actual-ACPLSZ'!$H$7:$T$207,MATCH($B36,'Actual-ACPLSZ'!$B$7:$B$207,0),MATCH(AV$8,'Actual-ACPLSZ'!$H$6:$T$6,0)))</f>
        <v>0</v>
      </c>
      <c r="AW36" s="749">
        <f>SUM(INDEX('Budget-ACPLSZ'!$K$7:$W$207,MATCH($B36,'Budget-ACPLSZ'!$B$7:$B$207,0),MATCH('Budget-ACPLSZ'!K$6,'Budget-ACPLSZ'!$K$6:$W$6,0)):INDEX('Budget-ACPLSZ'!$K$7:$W$207,MATCH($B36,'Budget-ACPLSZ'!$B$7:$B$207,0),MATCH(AW$8,'Budget-ACPLSZ'!$K$6:$W$6,0)))</f>
        <v>0</v>
      </c>
      <c r="AX36" s="749">
        <f t="shared" si="38"/>
        <v>0</v>
      </c>
      <c r="AY36" s="757"/>
      <c r="AZ36" s="756"/>
      <c r="BA36" s="749">
        <f>SUM(INDEX('Actual-ACPLGZ'!$H$7:$T$207,MATCH($B36,'Actual-ACPLGZ'!$B$7:$B$207,0),MATCH('Actual-ACPLGZ'!H$6,'Actual-ACPLGZ'!$H$6:$T$6,0)):INDEX('Actual-ACPLGZ'!$H$7:$T$207,MATCH($B36,'Actual-ACPLGZ'!$B$7:$B$207,0),MATCH(BA$8,'Actual-ACPLGZ'!$H$6:$T$6,0)))</f>
        <v>0</v>
      </c>
      <c r="BB36" s="749">
        <f>SUM(INDEX('Budget-ACPLGZ'!$K$7:$W$207,MATCH($B36,'Budget-ACPLGZ'!$B$7:$B$207,0),MATCH('Budget-ACPLGZ'!K$6,'Budget-ACPLGZ'!$K$6:$W$6,0)):INDEX('Budget-ACPLGZ'!$K$7:$W$207,MATCH($B36,'Budget-ACPLGZ'!$B$7:$B$207,0),MATCH(BB$8,'Budget-ACPLGZ'!$K$6:$W$6,0)))</f>
        <v>0</v>
      </c>
      <c r="BC36" s="750">
        <f t="shared" si="42"/>
        <v>0</v>
      </c>
      <c r="BD36" s="757"/>
      <c r="BE36" s="756"/>
      <c r="BF36" s="749">
        <f>SUM(INDEX('Actual-ACPLYixing'!$H$7:$T$207,MATCH($B36,'Actual-ACPLYixing'!$B$7:$B$207,0),MATCH('Actual-ACPLYixing'!H$6,'Actual-ACPLYixing'!$H$6:$T$6,0)):INDEX('Actual-ACPLYixing'!$H$7:$T$207,MATCH($B36,'Actual-ACPLYixing'!$B$7:$B$207,0),MATCH(BF$8,'Actual-ACPLYixing'!$H$6:$T$6,0)))</f>
        <v>0</v>
      </c>
      <c r="BG36" s="749">
        <f>SUM(INDEX('Budget-Yixing'!$K$7:$W$207,MATCH($B36,'Budget-Yixing'!$B$7:$B$207,0),MATCH('Budget-Yixing'!K$6,'Budget-Yixing'!$K$6:$W$6,0)):INDEX('Budget-Yixing'!$K$7:$W$207,MATCH($B36,'Budget-Yixing'!$B$7:$B$207,0),MATCH(BG$8,'Budget-Yixing'!$K$6:$W$6,0)))</f>
        <v>0</v>
      </c>
      <c r="BH36" s="750">
        <f t="shared" si="43"/>
        <v>0</v>
      </c>
      <c r="BI36" s="757"/>
    </row>
    <row r="37" spans="1:61" ht="16.5" customHeight="1">
      <c r="A37" s="653" t="str">
        <f>'Budget-合并'!A35</f>
        <v>6602.02.02</v>
      </c>
      <c r="B37" s="653" t="str">
        <f>'Budget-合并'!B35</f>
        <v>团建活动</v>
      </c>
      <c r="C37" s="746">
        <f>INDEX('Actual-ACPL'!$H$7:$T$207,MATCH($B37,'Actual-ACPL'!$B$7:$B$207,0),MATCH(C$8,'Actual-ACPL'!$H$6:$T$6,0))</f>
        <v>0</v>
      </c>
      <c r="D37" s="746">
        <f>INDEX('Budget-ACPL'!$K$7:$W$207,MATCH($B37,'Budget-ACPL'!$B$7:$B$207,0),MATCH(D$8,'Budget-ACPL'!$K$6:$W$6,0))</f>
        <v>0</v>
      </c>
      <c r="E37" s="746">
        <f t="shared" si="31"/>
        <v>0</v>
      </c>
      <c r="F37" s="752"/>
      <c r="H37" s="749">
        <f>INDEX('Actual-ACPLHK'!$H$7:$T$207,MATCH($B37,'Actual-ACPLHK'!$B$7:$B$207,0),MATCH(H$8,'Actual-ACPLHK'!$H$6:$T$6,0))</f>
        <v>0</v>
      </c>
      <c r="I37" s="749">
        <f>INDEX('Budget-ACPLHK'!$K$7:$W$207,MATCH($B37,'Budget-ACPLHK'!$B$7:$B$207,0),MATCH(I$8,'Budget-ACPLHK'!$K$6:$W$6,0))</f>
        <v>3708.2916666666665</v>
      </c>
      <c r="J37" s="749">
        <f t="shared" si="34"/>
        <v>-3708.2916666666665</v>
      </c>
      <c r="K37" s="748"/>
      <c r="M37" s="749">
        <f>INDEX('Actual-ACPSZL'!$H$7:$T$207,MATCH($B37,'Actual-ACPSZL'!$B$7:$B$207,0),MATCH(M$8,'Actual-ACPSZL'!$H$6:$T$6,0))</f>
        <v>0</v>
      </c>
      <c r="N37" s="749">
        <f>INDEX('Budget-ACPSZL'!$K$7:$W$207,MATCH($B37,'Budget-ACPSZL'!$B$7:$B$207,0),MATCH(N$8,'Budget-ACPSZL'!$K$6:$W$6,0))</f>
        <v>0</v>
      </c>
      <c r="O37" s="749">
        <f t="shared" si="35"/>
        <v>0</v>
      </c>
      <c r="P37" s="748"/>
      <c r="R37" s="749">
        <f>INDEX('Actual-ACPLSZ'!$H$7:$T$207,MATCH($B37,'Actual-ACPLSZ'!$B$7:$B$207,0),MATCH(R$8,'Actual-ACPLSZ'!$H$6:$T$6,0))</f>
        <v>0</v>
      </c>
      <c r="S37" s="749">
        <f>INDEX('Budget-ACPLSZ'!$K$7:$W$207,MATCH($B37,'Budget-ACPLSZ'!$B$7:$B$207,0),MATCH(S$8,'Budget-ACPLSZ'!$K$6:$W$6,0))</f>
        <v>12500</v>
      </c>
      <c r="T37" s="749">
        <f t="shared" si="40"/>
        <v>12500</v>
      </c>
      <c r="U37" s="748"/>
      <c r="W37" s="749">
        <f>INDEX('Actual-ACPLGZ'!$H$7:$T$207,MATCH($B37,'Actual-ACPLGZ'!$B$7:$B$207,0),MATCH(W$8,'Actual-ACPLGZ'!$H$6:$T$6,0))</f>
        <v>0</v>
      </c>
      <c r="X37" s="749">
        <f>INDEX('Budget-ACPLGZ'!$K$7:$W$207,MATCH($B37,'Budget-ACPLGZ'!$B$7:$B$207,0),MATCH(X$8,'Budget-ACPLGZ'!$K$6:$W$6,0))</f>
        <v>0</v>
      </c>
      <c r="Y37" s="749">
        <f t="shared" si="32"/>
        <v>0</v>
      </c>
      <c r="Z37" s="748"/>
      <c r="AB37" s="749">
        <f>INDEX('Actual-ACPLGZ'!$H$7:$T$207,MATCH($B37,'Actual-ACPLGZ'!$B$7:$B$207,0),MATCH(AB$8,'Actual-ACPLGZ'!$H$6:$T$6,0))</f>
        <v>0</v>
      </c>
      <c r="AC37" s="749">
        <f>INDEX('Budget-Yixing'!$K$7:$W$207,MATCH($B37,'Budget-Yixing'!$B$7:$B$207,0),MATCH(AC$8,'Budget-Yixing'!$K$6:$W$6,0))</f>
        <v>0</v>
      </c>
      <c r="AD37" s="749">
        <f t="shared" si="41"/>
        <v>0</v>
      </c>
      <c r="AE37" s="748"/>
      <c r="AG37" s="751">
        <f>SUM(INDEX('Actual-ACPL'!$H$7:$T$207,MATCH($B37,'Actual-ACPL'!$B$7:$B$207,0),MATCH('Actual-ACPL'!H$6,'Actual-ACPL'!$H$6:$T$6,0)):INDEX('Actual-ACPL'!$H$7:$T$207,MATCH($B37,'Actual-ACPL'!$B$7:$B$207,0),MATCH(AG$8,'Actual-ACPL'!$H$6:$T$6,0)))</f>
        <v>0</v>
      </c>
      <c r="AH37" s="751">
        <f>SUM(INDEX('Budget-ACPL'!$K$7:$W$207,MATCH($B37,'Budget-ACPL'!$B$7:$B$207,0),MATCH('Budget-ACPL'!K$6,'Budget-ACPL'!$K$6:$W$6,0)):INDEX('Budget-ACPL'!$K$7:$W$207,MATCH($B37,'Budget-ACPL'!$B$7:$B$207,0),MATCH(AH$8,'Budget-ACPL'!$K$6:$W$6,0)))</f>
        <v>0</v>
      </c>
      <c r="AI37" s="749">
        <f t="shared" si="39"/>
        <v>0</v>
      </c>
      <c r="AJ37" s="748"/>
      <c r="AL37" s="749">
        <f>SUM(INDEX('Actual-ACPLHK'!$H$7:$S$207,MATCH($B37,'Actual-ACPLHK'!$B$7:$B$207,0),MATCH('Actual-ACPLHK'!H$6,'Actual-ACPLHK'!$H$6:$T$6,0)):INDEX('Actual-ACPLHK'!$H$7:$S$207,MATCH($B37,'Actual-ACPLHK'!$B$7:$B$207,0),MATCH(AL$8,'Actual-ACPLHK'!$H$6:$T$6,0)))</f>
        <v>0</v>
      </c>
      <c r="AM37" s="749">
        <f>SUM(INDEX('Budget-ACPLHK'!$K$7:$W$207,MATCH($B37,'Budget-ACPLHK'!$B$7:$B$207,0),MATCH('Budget-ACPLHK'!K$6,'Budget-ACPLHK'!$K$6:$W$6,0)):INDEX('Budget-ACPLHK'!$K$7:$W$207,MATCH($B37,'Budget-ACPLHK'!$B$7:$B$207,0),MATCH(AM$8,'Budget-ACPLHK'!$K$6:$W$6,0)))</f>
        <v>3708.2916666666665</v>
      </c>
      <c r="AN37" s="749">
        <f t="shared" si="37"/>
        <v>-3708.2916666666665</v>
      </c>
      <c r="AO37" s="748"/>
      <c r="AQ37" s="749">
        <f>SUM(INDEX('Actual-ACPSZL'!$H$7:$T$207,MATCH($B37,'Actual-ACPSZL'!$B$7:$B$207,0),MATCH('Actual-ACPSZL'!H$6,'Actual-ACPSZL'!$H$6:$T$6,0)):INDEX('Actual-ACPSZL'!$H$7:$T$207,MATCH($B37,'Actual-ACPSZL'!$B$7:$B$207,0),MATCH(AQ$8,'Actual-ACPSZL'!$H$6:$T$6,0)))</f>
        <v>0</v>
      </c>
      <c r="AR37" s="749">
        <f>SUM(INDEX('Budget-ACPSZL'!$K$7:$W$207,MATCH($B37,'Budget-ACPSZL'!$B$7:$B$207,0),MATCH('Budget-ACPSZL'!K$6,'Budget-ACPSZL'!$K$6:$W$6,0)):INDEX('Budget-ACPSZL'!$K$7:$W$207,MATCH($B37,'Budget-ACPSZL'!$B$7:$B$207,0),MATCH(AR$8,'Budget-ACPSZL'!$K$6:$W$6,0)))</f>
        <v>0</v>
      </c>
      <c r="AS37" s="749">
        <f t="shared" si="44"/>
        <v>0</v>
      </c>
      <c r="AT37" s="748"/>
      <c r="AV37" s="749">
        <f>SUM(INDEX('Actual-ACPLSZ'!$H$7:$T$207,MATCH($B37,'Actual-ACPLSZ'!$B$7:$B$207,0),MATCH('Actual-ACPLSZ'!H$6,'Actual-ACPLSZ'!$H$6:$T$6,0)):INDEX('Actual-ACPLSZ'!$H$7:$T$207,MATCH($B37,'Actual-ACPLSZ'!$B$7:$B$207,0),MATCH(AV$8,'Actual-ACPLSZ'!$H$6:$T$6,0)))</f>
        <v>0</v>
      </c>
      <c r="AW37" s="749">
        <f>SUM(INDEX('Budget-ACPLSZ'!$K$7:$W$207,MATCH($B37,'Budget-ACPLSZ'!$B$7:$B$207,0),MATCH('Budget-ACPLSZ'!K$6,'Budget-ACPLSZ'!$K$6:$W$6,0)):INDEX('Budget-ACPLSZ'!$K$7:$W$207,MATCH($B37,'Budget-ACPLSZ'!$B$7:$B$207,0),MATCH(AW$8,'Budget-ACPLSZ'!$K$6:$W$6,0)))</f>
        <v>12500</v>
      </c>
      <c r="AX37" s="749">
        <f t="shared" si="38"/>
        <v>-12500</v>
      </c>
      <c r="AY37" s="748"/>
      <c r="BA37" s="749">
        <f>SUM(INDEX('Actual-ACPLGZ'!$H$7:$T$207,MATCH($B37,'Actual-ACPLGZ'!$B$7:$B$207,0),MATCH('Actual-ACPLGZ'!H$6,'Actual-ACPLGZ'!$H$6:$T$6,0)):INDEX('Actual-ACPLGZ'!$H$7:$T$207,MATCH($B37,'Actual-ACPLGZ'!$B$7:$B$207,0),MATCH(BA$8,'Actual-ACPLGZ'!$H$6:$T$6,0)))</f>
        <v>0</v>
      </c>
      <c r="BB37" s="749">
        <f>SUM(INDEX('Budget-ACPLGZ'!$K$7:$W$207,MATCH($B37,'Budget-ACPLGZ'!$B$7:$B$207,0),MATCH('Budget-ACPLGZ'!K$6,'Budget-ACPLGZ'!$K$6:$W$6,0)):INDEX('Budget-ACPLGZ'!$K$7:$W$207,MATCH($B37,'Budget-ACPLGZ'!$B$7:$B$207,0),MATCH(BB$8,'Budget-ACPLGZ'!$K$6:$W$6,0)))</f>
        <v>0</v>
      </c>
      <c r="BC37" s="750">
        <f t="shared" si="42"/>
        <v>0</v>
      </c>
      <c r="BD37" s="748"/>
      <c r="BF37" s="749">
        <f>SUM(INDEX('Actual-ACPLYixing'!$H$7:$T$207,MATCH($B37,'Actual-ACPLYixing'!$B$7:$B$207,0),MATCH('Actual-ACPLYixing'!H$6,'Actual-ACPLYixing'!$H$6:$T$6,0)):INDEX('Actual-ACPLYixing'!$H$7:$T$207,MATCH($B37,'Actual-ACPLYixing'!$B$7:$B$207,0),MATCH(BF$8,'Actual-ACPLYixing'!$H$6:$T$6,0)))</f>
        <v>0</v>
      </c>
      <c r="BG37" s="749">
        <f>SUM(INDEX('Budget-Yixing'!$K$7:$W$207,MATCH($B37,'Budget-Yixing'!$B$7:$B$207,0),MATCH('Budget-Yixing'!K$6,'Budget-Yixing'!$K$6:$W$6,0)):INDEX('Budget-Yixing'!$K$7:$W$207,MATCH($B37,'Budget-Yixing'!$B$7:$B$207,0),MATCH(BG$8,'Budget-Yixing'!$K$6:$W$6,0)))</f>
        <v>0</v>
      </c>
      <c r="BH37" s="750">
        <f t="shared" si="43"/>
        <v>0</v>
      </c>
      <c r="BI37" s="748"/>
    </row>
    <row r="38" spans="1:61" ht="16.5" customHeight="1">
      <c r="A38" s="653" t="str">
        <f>'Budget-合并'!A36</f>
        <v>6602.02.03</v>
      </c>
      <c r="B38" s="653" t="str">
        <f>'Budget-合并'!B36</f>
        <v>体检费</v>
      </c>
      <c r="C38" s="746">
        <f>INDEX('Actual-ACPL'!$H$7:$T$207,MATCH($B38,'Actual-ACPL'!$B$7:$B$207,0),MATCH(C$8,'Actual-ACPL'!$H$6:$T$6,0))</f>
        <v>0</v>
      </c>
      <c r="D38" s="746">
        <f>INDEX('Budget-ACPL'!$K$7:$W$207,MATCH($B38,'Budget-ACPL'!$B$7:$B$207,0),MATCH(D$8,'Budget-ACPL'!$K$6:$W$6,0))</f>
        <v>0</v>
      </c>
      <c r="E38" s="746">
        <f t="shared" si="31"/>
        <v>0</v>
      </c>
      <c r="F38" s="752"/>
      <c r="H38" s="749">
        <f>INDEX('Actual-ACPLHK'!$H$7:$T$207,MATCH($B38,'Actual-ACPLHK'!$B$7:$B$207,0),MATCH(H$8,'Actual-ACPLHK'!$H$6:$T$6,0))</f>
        <v>0</v>
      </c>
      <c r="I38" s="749">
        <f>INDEX('Budget-ACPLHK'!$K$7:$W$207,MATCH($B38,'Budget-ACPLHK'!$B$7:$B$207,0),MATCH(I$8,'Budget-ACPLHK'!$K$6:$W$6,0))</f>
        <v>0</v>
      </c>
      <c r="J38" s="749">
        <f t="shared" si="34"/>
        <v>0</v>
      </c>
      <c r="K38" s="748"/>
      <c r="M38" s="749">
        <f>INDEX('Actual-ACPSZL'!$H$7:$T$207,MATCH($B38,'Actual-ACPSZL'!$B$7:$B$207,0),MATCH(M$8,'Actual-ACPSZL'!$H$6:$T$6,0))</f>
        <v>0</v>
      </c>
      <c r="N38" s="749">
        <f>INDEX('Budget-ACPSZL'!$K$7:$W$207,MATCH($B38,'Budget-ACPSZL'!$B$7:$B$207,0),MATCH(N$8,'Budget-ACPSZL'!$K$6:$W$6,0))</f>
        <v>500</v>
      </c>
      <c r="O38" s="749">
        <f t="shared" si="35"/>
        <v>-500</v>
      </c>
      <c r="P38" s="748"/>
      <c r="R38" s="749">
        <f>INDEX('Actual-ACPLSZ'!$H$7:$T$207,MATCH($B38,'Actual-ACPLSZ'!$B$7:$B$207,0),MATCH(R$8,'Actual-ACPLSZ'!$H$6:$T$6,0))</f>
        <v>0</v>
      </c>
      <c r="S38" s="749">
        <f>INDEX('Budget-ACPLSZ'!$K$7:$W$207,MATCH($B38,'Budget-ACPLSZ'!$B$7:$B$207,0),MATCH(S$8,'Budget-ACPLSZ'!$K$6:$W$6,0))</f>
        <v>1250</v>
      </c>
      <c r="T38" s="749">
        <f t="shared" si="40"/>
        <v>1250</v>
      </c>
      <c r="U38" s="748"/>
      <c r="W38" s="749">
        <f>INDEX('Actual-ACPLGZ'!$H$7:$T$207,MATCH($B38,'Actual-ACPLGZ'!$B$7:$B$207,0),MATCH(W$8,'Actual-ACPLGZ'!$H$6:$T$6,0))</f>
        <v>0</v>
      </c>
      <c r="X38" s="749">
        <f>INDEX('Budget-ACPLGZ'!$K$7:$W$207,MATCH($B38,'Budget-ACPLGZ'!$B$7:$B$207,0),MATCH(X$8,'Budget-ACPLGZ'!$K$6:$W$6,0))</f>
        <v>0</v>
      </c>
      <c r="Y38" s="749">
        <f t="shared" si="32"/>
        <v>0</v>
      </c>
      <c r="Z38" s="748"/>
      <c r="AB38" s="749">
        <f>INDEX('Actual-ACPLGZ'!$H$7:$T$207,MATCH($B38,'Actual-ACPLGZ'!$B$7:$B$207,0),MATCH(AB$8,'Actual-ACPLGZ'!$H$6:$T$6,0))</f>
        <v>0</v>
      </c>
      <c r="AC38" s="749">
        <f>INDEX('Budget-Yixing'!$K$7:$W$207,MATCH($B38,'Budget-Yixing'!$B$7:$B$207,0),MATCH(AC$8,'Budget-Yixing'!$K$6:$W$6,0))</f>
        <v>0</v>
      </c>
      <c r="AD38" s="749">
        <f t="shared" si="41"/>
        <v>0</v>
      </c>
      <c r="AE38" s="748"/>
      <c r="AG38" s="751">
        <f>SUM(INDEX('Actual-ACPL'!$H$7:$T$207,MATCH($B38,'Actual-ACPL'!$B$7:$B$207,0),MATCH('Actual-ACPL'!H$6,'Actual-ACPL'!$H$6:$T$6,0)):INDEX('Actual-ACPL'!$H$7:$T$207,MATCH($B38,'Actual-ACPL'!$B$7:$B$207,0),MATCH(AG$8,'Actual-ACPL'!$H$6:$T$6,0)))</f>
        <v>0</v>
      </c>
      <c r="AH38" s="751">
        <f>SUM(INDEX('Budget-ACPL'!$K$7:$W$207,MATCH($B38,'Budget-ACPL'!$B$7:$B$207,0),MATCH('Budget-ACPL'!K$6,'Budget-ACPL'!$K$6:$W$6,0)):INDEX('Budget-ACPL'!$K$7:$W$207,MATCH($B38,'Budget-ACPL'!$B$7:$B$207,0),MATCH(AH$8,'Budget-ACPL'!$K$6:$W$6,0)))</f>
        <v>0</v>
      </c>
      <c r="AI38" s="749">
        <f t="shared" si="39"/>
        <v>0</v>
      </c>
      <c r="AJ38" s="748"/>
      <c r="AL38" s="749">
        <f>SUM(INDEX('Actual-ACPLHK'!$H$7:$S$207,MATCH($B38,'Actual-ACPLHK'!$B$7:$B$207,0),MATCH('Actual-ACPLHK'!H$6,'Actual-ACPLHK'!$H$6:$T$6,0)):INDEX('Actual-ACPLHK'!$H$7:$S$207,MATCH($B38,'Actual-ACPLHK'!$B$7:$B$207,0),MATCH(AL$8,'Actual-ACPLHK'!$H$6:$T$6,0)))</f>
        <v>0</v>
      </c>
      <c r="AM38" s="749">
        <f>SUM(INDEX('Budget-ACPLHK'!$K$7:$W$207,MATCH($B38,'Budget-ACPLHK'!$B$7:$B$207,0),MATCH('Budget-ACPLHK'!K$6,'Budget-ACPLHK'!$K$6:$W$6,0)):INDEX('Budget-ACPLHK'!$K$7:$W$207,MATCH($B38,'Budget-ACPLHK'!$B$7:$B$207,0),MATCH(AM$8,'Budget-ACPLHK'!$K$6:$W$6,0)))</f>
        <v>0</v>
      </c>
      <c r="AN38" s="749">
        <f t="shared" si="37"/>
        <v>0</v>
      </c>
      <c r="AO38" s="748"/>
      <c r="AQ38" s="749">
        <f>SUM(INDEX('Actual-ACPSZL'!$H$7:$T$207,MATCH($B38,'Actual-ACPSZL'!$B$7:$B$207,0),MATCH('Actual-ACPSZL'!H$6,'Actual-ACPSZL'!$H$6:$T$6,0)):INDEX('Actual-ACPSZL'!$H$7:$T$207,MATCH($B38,'Actual-ACPSZL'!$B$7:$B$207,0),MATCH(AQ$8,'Actual-ACPSZL'!$H$6:$T$6,0)))</f>
        <v>0</v>
      </c>
      <c r="AR38" s="749">
        <f>SUM(INDEX('Budget-ACPSZL'!$K$7:$W$207,MATCH($B38,'Budget-ACPSZL'!$B$7:$B$207,0),MATCH('Budget-ACPSZL'!K$6,'Budget-ACPSZL'!$K$6:$W$6,0)):INDEX('Budget-ACPSZL'!$K$7:$W$207,MATCH($B38,'Budget-ACPSZL'!$B$7:$B$207,0),MATCH(AR$8,'Budget-ACPSZL'!$K$6:$W$6,0)))</f>
        <v>500</v>
      </c>
      <c r="AS38" s="749">
        <f t="shared" si="44"/>
        <v>-500</v>
      </c>
      <c r="AT38" s="748"/>
      <c r="AV38" s="749">
        <f>SUM(INDEX('Actual-ACPLSZ'!$H$7:$T$207,MATCH($B38,'Actual-ACPLSZ'!$B$7:$B$207,0),MATCH('Actual-ACPLSZ'!H$6,'Actual-ACPLSZ'!$H$6:$T$6,0)):INDEX('Actual-ACPLSZ'!$H$7:$T$207,MATCH($B38,'Actual-ACPLSZ'!$B$7:$B$207,0),MATCH(AV$8,'Actual-ACPLSZ'!$H$6:$T$6,0)))</f>
        <v>0</v>
      </c>
      <c r="AW38" s="749">
        <f>SUM(INDEX('Budget-ACPLSZ'!$K$7:$W$207,MATCH($B38,'Budget-ACPLSZ'!$B$7:$B$207,0),MATCH('Budget-ACPLSZ'!K$6,'Budget-ACPLSZ'!$K$6:$W$6,0)):INDEX('Budget-ACPLSZ'!$K$7:$W$207,MATCH($B38,'Budget-ACPLSZ'!$B$7:$B$207,0),MATCH(AW$8,'Budget-ACPLSZ'!$K$6:$W$6,0)))</f>
        <v>1250</v>
      </c>
      <c r="AX38" s="749">
        <f t="shared" si="38"/>
        <v>-1250</v>
      </c>
      <c r="AY38" s="748"/>
      <c r="BA38" s="749">
        <f>SUM(INDEX('Actual-ACPLGZ'!$H$7:$T$207,MATCH($B38,'Actual-ACPLGZ'!$B$7:$B$207,0),MATCH('Actual-ACPLGZ'!H$6,'Actual-ACPLGZ'!$H$6:$T$6,0)):INDEX('Actual-ACPLGZ'!$H$7:$T$207,MATCH($B38,'Actual-ACPLGZ'!$B$7:$B$207,0),MATCH(BA$8,'Actual-ACPLGZ'!$H$6:$T$6,0)))</f>
        <v>0</v>
      </c>
      <c r="BB38" s="749">
        <f>SUM(INDEX('Budget-ACPLGZ'!$K$7:$W$207,MATCH($B38,'Budget-ACPLGZ'!$B$7:$B$207,0),MATCH('Budget-ACPLGZ'!K$6,'Budget-ACPLGZ'!$K$6:$W$6,0)):INDEX('Budget-ACPLGZ'!$K$7:$W$207,MATCH($B38,'Budget-ACPLGZ'!$B$7:$B$207,0),MATCH(BB$8,'Budget-ACPLGZ'!$K$6:$W$6,0)))</f>
        <v>0</v>
      </c>
      <c r="BC38" s="750">
        <f t="shared" si="42"/>
        <v>0</v>
      </c>
      <c r="BD38" s="748"/>
      <c r="BF38" s="749">
        <f>SUM(INDEX('Actual-ACPLYixing'!$H$7:$T$207,MATCH($B38,'Actual-ACPLYixing'!$B$7:$B$207,0),MATCH('Actual-ACPLYixing'!H$6,'Actual-ACPLYixing'!$H$6:$T$6,0)):INDEX('Actual-ACPLYixing'!$H$7:$T$207,MATCH($B38,'Actual-ACPLYixing'!$B$7:$B$207,0),MATCH(BF$8,'Actual-ACPLYixing'!$H$6:$T$6,0)))</f>
        <v>0</v>
      </c>
      <c r="BG38" s="749">
        <f>SUM(INDEX('Budget-Yixing'!$K$7:$W$207,MATCH($B38,'Budget-Yixing'!$B$7:$B$207,0),MATCH('Budget-Yixing'!K$6,'Budget-Yixing'!$K$6:$W$6,0)):INDEX('Budget-Yixing'!$K$7:$W$207,MATCH($B38,'Budget-Yixing'!$B$7:$B$207,0),MATCH(BG$8,'Budget-Yixing'!$K$6:$W$6,0)))</f>
        <v>0</v>
      </c>
      <c r="BH38" s="750">
        <f t="shared" si="43"/>
        <v>0</v>
      </c>
      <c r="BI38" s="748"/>
    </row>
    <row r="39" spans="1:61" ht="16.5" customHeight="1">
      <c r="A39" s="653" t="str">
        <f>'Budget-合并'!A37</f>
        <v>6602.02.04</v>
      </c>
      <c r="B39" s="653" t="str">
        <f>'Budget-合并'!B37</f>
        <v>商业保险 - 医疗</v>
      </c>
      <c r="C39" s="746">
        <f>INDEX('Actual-ACPL'!$H$7:$T$207,MATCH($B39,'Actual-ACPL'!$B$7:$B$207,0),MATCH(C$8,'Actual-ACPL'!$H$6:$T$6,0))</f>
        <v>0</v>
      </c>
      <c r="D39" s="746">
        <f>INDEX('Budget-ACPL'!$K$7:$W$207,MATCH($B39,'Budget-ACPL'!$B$7:$B$207,0),MATCH(D$8,'Budget-ACPL'!$K$6:$W$6,0))</f>
        <v>10416.666666666666</v>
      </c>
      <c r="E39" s="746">
        <f t="shared" si="31"/>
        <v>-10416.666666666666</v>
      </c>
      <c r="F39" s="752"/>
      <c r="H39" s="749">
        <f>INDEX('Actual-ACPLHK'!$H$7:$T$207,MATCH($B39,'Actual-ACPLHK'!$B$7:$B$207,0),MATCH(H$8,'Actual-ACPLHK'!$H$6:$T$6,0))</f>
        <v>0</v>
      </c>
      <c r="I39" s="749">
        <f>INDEX('Budget-ACPLHK'!$K$7:$W$207,MATCH($B39,'Budget-ACPLHK'!$B$7:$B$207,0),MATCH(I$8,'Budget-ACPLHK'!$K$6:$W$6,0))</f>
        <v>10416.666666666666</v>
      </c>
      <c r="J39" s="749">
        <f t="shared" si="34"/>
        <v>-10416.666666666666</v>
      </c>
      <c r="K39" s="748"/>
      <c r="M39" s="749">
        <f>INDEX('Actual-ACPSZL'!$H$7:$T$207,MATCH($B39,'Actual-ACPSZL'!$B$7:$B$207,0),MATCH(M$8,'Actual-ACPSZL'!$H$6:$T$6,0))</f>
        <v>0</v>
      </c>
      <c r="N39" s="749">
        <f>INDEX('Budget-ACPSZL'!$K$7:$W$207,MATCH($B39,'Budget-ACPSZL'!$B$7:$B$207,0),MATCH(N$8,'Budget-ACPSZL'!$K$6:$W$6,0))</f>
        <v>0</v>
      </c>
      <c r="O39" s="749">
        <f t="shared" si="35"/>
        <v>0</v>
      </c>
      <c r="P39" s="748"/>
      <c r="R39" s="749">
        <f>INDEX('Actual-ACPLSZ'!$H$7:$T$207,MATCH($B39,'Actual-ACPLSZ'!$B$7:$B$207,0),MATCH(R$8,'Actual-ACPLSZ'!$H$6:$T$6,0))</f>
        <v>0</v>
      </c>
      <c r="S39" s="749">
        <f>INDEX('Budget-ACPLSZ'!$K$7:$W$207,MATCH($B39,'Budget-ACPLSZ'!$B$7:$B$207,0),MATCH(S$8,'Budget-ACPLSZ'!$K$6:$W$6,0))</f>
        <v>0</v>
      </c>
      <c r="T39" s="749">
        <f t="shared" si="40"/>
        <v>0</v>
      </c>
      <c r="U39" s="748"/>
      <c r="W39" s="749">
        <f>INDEX('Actual-ACPLGZ'!$H$7:$T$207,MATCH($B39,'Actual-ACPLGZ'!$B$7:$B$207,0),MATCH(W$8,'Actual-ACPLGZ'!$H$6:$T$6,0))</f>
        <v>0</v>
      </c>
      <c r="X39" s="749">
        <f>INDEX('Budget-ACPLGZ'!$K$7:$W$207,MATCH($B39,'Budget-ACPLGZ'!$B$7:$B$207,0),MATCH(X$8,'Budget-ACPLGZ'!$K$6:$W$6,0))</f>
        <v>0</v>
      </c>
      <c r="Y39" s="749">
        <f t="shared" si="32"/>
        <v>0</v>
      </c>
      <c r="Z39" s="748"/>
      <c r="AB39" s="749">
        <f>INDEX('Actual-ACPLGZ'!$H$7:$T$207,MATCH($B39,'Actual-ACPLGZ'!$B$7:$B$207,0),MATCH(AB$8,'Actual-ACPLGZ'!$H$6:$T$6,0))</f>
        <v>0</v>
      </c>
      <c r="AC39" s="749">
        <f>INDEX('Budget-Yixing'!$K$7:$W$207,MATCH($B39,'Budget-Yixing'!$B$7:$B$207,0),MATCH(AC$8,'Budget-Yixing'!$K$6:$W$6,0))</f>
        <v>0</v>
      </c>
      <c r="AD39" s="749">
        <f t="shared" si="41"/>
        <v>0</v>
      </c>
      <c r="AE39" s="748"/>
      <c r="AG39" s="751">
        <f>SUM(INDEX('Actual-ACPL'!$H$7:$T$207,MATCH($B39,'Actual-ACPL'!$B$7:$B$207,0),MATCH('Actual-ACPL'!H$6,'Actual-ACPL'!$H$6:$T$6,0)):INDEX('Actual-ACPL'!$H$7:$T$207,MATCH($B39,'Actual-ACPL'!$B$7:$B$207,0),MATCH(AG$8,'Actual-ACPL'!$H$6:$T$6,0)))</f>
        <v>0</v>
      </c>
      <c r="AH39" s="751">
        <f>SUM(INDEX('Budget-ACPL'!$K$7:$W$207,MATCH($B39,'Budget-ACPL'!$B$7:$B$207,0),MATCH('Budget-ACPL'!K$6,'Budget-ACPL'!$K$6:$W$6,0)):INDEX('Budget-ACPL'!$K$7:$W$207,MATCH($B39,'Budget-ACPL'!$B$7:$B$207,0),MATCH(AH$8,'Budget-ACPL'!$K$6:$W$6,0)))</f>
        <v>10416.666666666666</v>
      </c>
      <c r="AI39" s="749">
        <f t="shared" si="39"/>
        <v>-10416.666666666666</v>
      </c>
      <c r="AJ39" s="748"/>
      <c r="AL39" s="749">
        <f>SUM(INDEX('Actual-ACPLHK'!$H$7:$S$207,MATCH($B39,'Actual-ACPLHK'!$B$7:$B$207,0),MATCH('Actual-ACPLHK'!H$6,'Actual-ACPLHK'!$H$6:$T$6,0)):INDEX('Actual-ACPLHK'!$H$7:$S$207,MATCH($B39,'Actual-ACPLHK'!$B$7:$B$207,0),MATCH(AL$8,'Actual-ACPLHK'!$H$6:$T$6,0)))</f>
        <v>0</v>
      </c>
      <c r="AM39" s="749">
        <f>SUM(INDEX('Budget-ACPLHK'!$K$7:$W$207,MATCH($B39,'Budget-ACPLHK'!$B$7:$B$207,0),MATCH('Budget-ACPLHK'!K$6,'Budget-ACPLHK'!$K$6:$W$6,0)):INDEX('Budget-ACPLHK'!$K$7:$W$207,MATCH($B39,'Budget-ACPLHK'!$B$7:$B$207,0),MATCH(AM$8,'Budget-ACPLHK'!$K$6:$W$6,0)))</f>
        <v>10416.666666666666</v>
      </c>
      <c r="AN39" s="749">
        <f t="shared" si="37"/>
        <v>-10416.666666666666</v>
      </c>
      <c r="AO39" s="748"/>
      <c r="AQ39" s="749">
        <f>SUM(INDEX('Actual-ACPSZL'!$H$7:$T$207,MATCH($B39,'Actual-ACPSZL'!$B$7:$B$207,0),MATCH('Actual-ACPSZL'!H$6,'Actual-ACPSZL'!$H$6:$T$6,0)):INDEX('Actual-ACPSZL'!$H$7:$T$207,MATCH($B39,'Actual-ACPSZL'!$B$7:$B$207,0),MATCH(AQ$8,'Actual-ACPSZL'!$H$6:$T$6,0)))</f>
        <v>0</v>
      </c>
      <c r="AR39" s="749">
        <f>SUM(INDEX('Budget-ACPSZL'!$K$7:$W$207,MATCH($B39,'Budget-ACPSZL'!$B$7:$B$207,0),MATCH('Budget-ACPSZL'!K$6,'Budget-ACPSZL'!$K$6:$W$6,0)):INDEX('Budget-ACPSZL'!$K$7:$W$207,MATCH($B39,'Budget-ACPSZL'!$B$7:$B$207,0),MATCH(AR$8,'Budget-ACPSZL'!$K$6:$W$6,0)))</f>
        <v>0</v>
      </c>
      <c r="AS39" s="749">
        <f t="shared" si="44"/>
        <v>0</v>
      </c>
      <c r="AT39" s="748"/>
      <c r="AV39" s="749">
        <f>SUM(INDEX('Actual-ACPLSZ'!$H$7:$T$207,MATCH($B39,'Actual-ACPLSZ'!$B$7:$B$207,0),MATCH('Actual-ACPLSZ'!H$6,'Actual-ACPLSZ'!$H$6:$T$6,0)):INDEX('Actual-ACPLSZ'!$H$7:$T$207,MATCH($B39,'Actual-ACPLSZ'!$B$7:$B$207,0),MATCH(AV$8,'Actual-ACPLSZ'!$H$6:$T$6,0)))</f>
        <v>0</v>
      </c>
      <c r="AW39" s="749">
        <f>SUM(INDEX('Budget-ACPLSZ'!$K$7:$W$207,MATCH($B39,'Budget-ACPLSZ'!$B$7:$B$207,0),MATCH('Budget-ACPLSZ'!K$6,'Budget-ACPLSZ'!$K$6:$W$6,0)):INDEX('Budget-ACPLSZ'!$K$7:$W$207,MATCH($B39,'Budget-ACPLSZ'!$B$7:$B$207,0),MATCH(AW$8,'Budget-ACPLSZ'!$K$6:$W$6,0)))</f>
        <v>0</v>
      </c>
      <c r="AX39" s="749">
        <f t="shared" si="38"/>
        <v>0</v>
      </c>
      <c r="AY39" s="748"/>
      <c r="BA39" s="749">
        <f>SUM(INDEX('Actual-ACPLGZ'!$H$7:$T$207,MATCH($B39,'Actual-ACPLGZ'!$B$7:$B$207,0),MATCH('Actual-ACPLGZ'!H$6,'Actual-ACPLGZ'!$H$6:$T$6,0)):INDEX('Actual-ACPLGZ'!$H$7:$T$207,MATCH($B39,'Actual-ACPLGZ'!$B$7:$B$207,0),MATCH(BA$8,'Actual-ACPLGZ'!$H$6:$T$6,0)))</f>
        <v>0</v>
      </c>
      <c r="BB39" s="749">
        <f>SUM(INDEX('Budget-ACPLGZ'!$K$7:$W$207,MATCH($B39,'Budget-ACPLGZ'!$B$7:$B$207,0),MATCH('Budget-ACPLGZ'!K$6,'Budget-ACPLGZ'!$K$6:$W$6,0)):INDEX('Budget-ACPLGZ'!$K$7:$W$207,MATCH($B39,'Budget-ACPLGZ'!$B$7:$B$207,0),MATCH(BB$8,'Budget-ACPLGZ'!$K$6:$W$6,0)))</f>
        <v>0</v>
      </c>
      <c r="BC39" s="750">
        <f t="shared" si="42"/>
        <v>0</v>
      </c>
      <c r="BD39" s="748"/>
      <c r="BF39" s="749">
        <f>SUM(INDEX('Actual-ACPLYixing'!$H$7:$T$207,MATCH($B39,'Actual-ACPLYixing'!$B$7:$B$207,0),MATCH('Actual-ACPLYixing'!H$6,'Actual-ACPLYixing'!$H$6:$T$6,0)):INDEX('Actual-ACPLYixing'!$H$7:$T$207,MATCH($B39,'Actual-ACPLYixing'!$B$7:$B$207,0),MATCH(BF$8,'Actual-ACPLYixing'!$H$6:$T$6,0)))</f>
        <v>0</v>
      </c>
      <c r="BG39" s="749">
        <f>SUM(INDEX('Budget-Yixing'!$K$7:$W$207,MATCH($B39,'Budget-Yixing'!$B$7:$B$207,0),MATCH('Budget-Yixing'!K$6,'Budget-Yixing'!$K$6:$W$6,0)):INDEX('Budget-Yixing'!$K$7:$W$207,MATCH($B39,'Budget-Yixing'!$B$7:$B$207,0),MATCH(BG$8,'Budget-Yixing'!$K$6:$W$6,0)))</f>
        <v>0</v>
      </c>
      <c r="BH39" s="750">
        <f t="shared" si="43"/>
        <v>0</v>
      </c>
      <c r="BI39" s="748"/>
    </row>
    <row r="40" spans="1:61" ht="16.5" customHeight="1">
      <c r="A40" s="653" t="str">
        <f>'Budget-合并'!A38</f>
        <v>6602.03</v>
      </c>
      <c r="B40" s="653" t="str">
        <f>'Budget-合并'!B38</f>
        <v>社保公积金</v>
      </c>
      <c r="C40" s="746">
        <f>INDEX('Actual-ACPL'!$H$7:$T$207,MATCH($B40,'Actual-ACPL'!$B$7:$B$207,0),MATCH(C$8,'Actual-ACPL'!$H$6:$T$6,0))</f>
        <v>0</v>
      </c>
      <c r="D40" s="746">
        <f>INDEX('Budget-ACPL'!$K$7:$W$207,MATCH($B40,'Budget-ACPL'!$B$7:$B$207,0),MATCH(D$8,'Budget-ACPL'!$K$6:$W$6,0))</f>
        <v>0</v>
      </c>
      <c r="E40" s="746">
        <f t="shared" si="31"/>
        <v>0</v>
      </c>
      <c r="F40" s="752"/>
      <c r="H40" s="749">
        <f>INDEX('Actual-ACPLHK'!$H$7:$T$207,MATCH($B40,'Actual-ACPLHK'!$B$7:$B$207,0),MATCH(H$8,'Actual-ACPLHK'!$H$6:$T$6,0))</f>
        <v>0</v>
      </c>
      <c r="I40" s="749">
        <f>INDEX('Budget-ACPLHK'!$K$7:$W$207,MATCH($B40,'Budget-ACPLHK'!$B$7:$B$207,0),MATCH(I$8,'Budget-ACPLHK'!$K$6:$W$6,0))</f>
        <v>0</v>
      </c>
      <c r="J40" s="749">
        <f t="shared" si="34"/>
        <v>0</v>
      </c>
      <c r="K40" s="748"/>
      <c r="M40" s="749">
        <f>INDEX('Actual-ACPSZL'!$H$7:$T$207,MATCH($B40,'Actual-ACPSZL'!$B$7:$B$207,0),MATCH(M$8,'Actual-ACPSZL'!$H$6:$T$6,0))</f>
        <v>0</v>
      </c>
      <c r="N40" s="749">
        <f ca="1">INDEX('Budget-ACPSZL'!$K$7:$W$207,MATCH($B40,'Budget-ACPSZL'!$B$7:$B$207,0),MATCH(N$8,'Budget-ACPSZL'!$K$6:$W$6,0))</f>
        <v>39969.009999999995</v>
      </c>
      <c r="O40" s="749">
        <f t="shared" ca="1" si="35"/>
        <v>-39969.009999999995</v>
      </c>
      <c r="P40" s="748"/>
      <c r="R40" s="749">
        <f>INDEX('Actual-ACPLSZ'!$H$7:$T$207,MATCH($B40,'Actual-ACPLSZ'!$B$7:$B$207,0),MATCH(R$8,'Actual-ACPLSZ'!$H$6:$T$6,0))</f>
        <v>0</v>
      </c>
      <c r="S40" s="749">
        <f ca="1">INDEX('Budget-ACPLSZ'!$K$7:$W$207,MATCH($B40,'Budget-ACPLSZ'!$B$7:$B$207,0),MATCH(S$8,'Budget-ACPLSZ'!$K$6:$W$6,0))</f>
        <v>85877.178000000029</v>
      </c>
      <c r="T40" s="749">
        <f t="shared" ca="1" si="40"/>
        <v>85877.178000000029</v>
      </c>
      <c r="U40" s="748"/>
      <c r="W40" s="749">
        <f>INDEX('Actual-ACPLGZ'!$H$7:$T$207,MATCH($B40,'Actual-ACPLGZ'!$B$7:$B$207,0),MATCH(W$8,'Actual-ACPLGZ'!$H$6:$T$6,0))</f>
        <v>0</v>
      </c>
      <c r="X40" s="749">
        <f>INDEX('Budget-ACPLGZ'!$K$7:$W$207,MATCH($B40,'Budget-ACPLGZ'!$B$7:$B$207,0),MATCH(X$8,'Budget-ACPLGZ'!$K$6:$W$6,0))</f>
        <v>0</v>
      </c>
      <c r="Y40" s="749">
        <f t="shared" si="32"/>
        <v>0</v>
      </c>
      <c r="Z40" s="748"/>
      <c r="AB40" s="749">
        <f>INDEX('Actual-ACPLGZ'!$H$7:$T$207,MATCH($B40,'Actual-ACPLGZ'!$B$7:$B$207,0),MATCH(AB$8,'Actual-ACPLGZ'!$H$6:$T$6,0))</f>
        <v>0</v>
      </c>
      <c r="AC40" s="749">
        <f>INDEX('Budget-Yixing'!$K$7:$W$207,MATCH($B40,'Budget-Yixing'!$B$7:$B$207,0),MATCH(AC$8,'Budget-Yixing'!$K$6:$W$6,0))</f>
        <v>0</v>
      </c>
      <c r="AD40" s="749">
        <f t="shared" si="41"/>
        <v>0</v>
      </c>
      <c r="AE40" s="748"/>
      <c r="AG40" s="751">
        <f>SUM(INDEX('Actual-ACPL'!$H$7:$T$207,MATCH($B40,'Actual-ACPL'!$B$7:$B$207,0),MATCH('Actual-ACPL'!H$6,'Actual-ACPL'!$H$6:$T$6,0)):INDEX('Actual-ACPL'!$H$7:$T$207,MATCH($B40,'Actual-ACPL'!$B$7:$B$207,0),MATCH(AG$8,'Actual-ACPL'!$H$6:$T$6,0)))</f>
        <v>0</v>
      </c>
      <c r="AH40" s="751">
        <f>SUM(INDEX('Budget-ACPL'!$K$7:$W$207,MATCH($B40,'Budget-ACPL'!$B$7:$B$207,0),MATCH('Budget-ACPL'!K$6,'Budget-ACPL'!$K$6:$W$6,0)):INDEX('Budget-ACPL'!$K$7:$W$207,MATCH($B40,'Budget-ACPL'!$B$7:$B$207,0),MATCH(AH$8,'Budget-ACPL'!$K$6:$W$6,0)))</f>
        <v>0</v>
      </c>
      <c r="AI40" s="749">
        <f t="shared" si="39"/>
        <v>0</v>
      </c>
      <c r="AJ40" s="748"/>
      <c r="AL40" s="749">
        <f>SUM(INDEX('Actual-ACPLHK'!$H$7:$S$207,MATCH($B40,'Actual-ACPLHK'!$B$7:$B$207,0),MATCH('Actual-ACPLHK'!H$6,'Actual-ACPLHK'!$H$6:$T$6,0)):INDEX('Actual-ACPLHK'!$H$7:$S$207,MATCH($B40,'Actual-ACPLHK'!$B$7:$B$207,0),MATCH(AL$8,'Actual-ACPLHK'!$H$6:$T$6,0)))</f>
        <v>0</v>
      </c>
      <c r="AM40" s="749">
        <f>SUM(INDEX('Budget-ACPLHK'!$K$7:$W$207,MATCH($B40,'Budget-ACPLHK'!$B$7:$B$207,0),MATCH('Budget-ACPLHK'!K$6,'Budget-ACPLHK'!$K$6:$W$6,0)):INDEX('Budget-ACPLHK'!$K$7:$W$207,MATCH($B40,'Budget-ACPLHK'!$B$7:$B$207,0),MATCH(AM$8,'Budget-ACPLHK'!$K$6:$W$6,0)))</f>
        <v>0</v>
      </c>
      <c r="AN40" s="749">
        <f t="shared" si="37"/>
        <v>0</v>
      </c>
      <c r="AO40" s="748"/>
      <c r="AQ40" s="749">
        <f>SUM(INDEX('Actual-ACPSZL'!$H$7:$T$207,MATCH($B40,'Actual-ACPSZL'!$B$7:$B$207,0),MATCH('Actual-ACPSZL'!H$6,'Actual-ACPSZL'!$H$6:$T$6,0)):INDEX('Actual-ACPSZL'!$H$7:$T$207,MATCH($B40,'Actual-ACPSZL'!$B$7:$B$207,0),MATCH(AQ$8,'Actual-ACPSZL'!$H$6:$T$6,0)))</f>
        <v>0</v>
      </c>
      <c r="AR40" s="749">
        <f ca="1">SUM(INDEX('Budget-ACPSZL'!$K$7:$W$207,MATCH($B40,'Budget-ACPSZL'!$B$7:$B$207,0),MATCH('Budget-ACPSZL'!K$6,'Budget-ACPSZL'!$K$6:$W$6,0)):INDEX('Budget-ACPSZL'!$K$7:$W$207,MATCH($B40,'Budget-ACPSZL'!$B$7:$B$207,0),MATCH(AR$8,'Budget-ACPSZL'!$K$6:$W$6,0)))</f>
        <v>39969.009999999995</v>
      </c>
      <c r="AS40" s="749">
        <f t="shared" ca="1" si="44"/>
        <v>-39969.009999999995</v>
      </c>
      <c r="AT40" s="748"/>
      <c r="AV40" s="749">
        <f>SUM(INDEX('Actual-ACPLSZ'!$H$7:$T$207,MATCH($B40,'Actual-ACPLSZ'!$B$7:$B$207,0),MATCH('Actual-ACPLSZ'!H$6,'Actual-ACPLSZ'!$H$6:$T$6,0)):INDEX('Actual-ACPLSZ'!$H$7:$T$207,MATCH($B40,'Actual-ACPLSZ'!$B$7:$B$207,0),MATCH(AV$8,'Actual-ACPLSZ'!$H$6:$T$6,0)))</f>
        <v>0</v>
      </c>
      <c r="AW40" s="749">
        <f ca="1">SUM(INDEX('Budget-ACPLSZ'!$K$7:$W$207,MATCH($B40,'Budget-ACPLSZ'!$B$7:$B$207,0),MATCH('Budget-ACPLSZ'!K$6,'Budget-ACPLSZ'!$K$6:$W$6,0)):INDEX('Budget-ACPLSZ'!$K$7:$W$207,MATCH($B40,'Budget-ACPLSZ'!$B$7:$B$207,0),MATCH(AW$8,'Budget-ACPLSZ'!$K$6:$W$6,0)))</f>
        <v>85877.178000000029</v>
      </c>
      <c r="AX40" s="749">
        <f t="shared" ca="1" si="38"/>
        <v>-85877.178000000029</v>
      </c>
      <c r="AY40" s="748"/>
      <c r="BA40" s="749">
        <f>SUM(INDEX('Actual-ACPLGZ'!$H$7:$T$207,MATCH($B40,'Actual-ACPLGZ'!$B$7:$B$207,0),MATCH('Actual-ACPLGZ'!H$6,'Actual-ACPLGZ'!$H$6:$T$6,0)):INDEX('Actual-ACPLGZ'!$H$7:$T$207,MATCH($B40,'Actual-ACPLGZ'!$B$7:$B$207,0),MATCH(BA$8,'Actual-ACPLGZ'!$H$6:$T$6,0)))</f>
        <v>0</v>
      </c>
      <c r="BB40" s="749">
        <f>SUM(INDEX('Budget-ACPLGZ'!$K$7:$W$207,MATCH($B40,'Budget-ACPLGZ'!$B$7:$B$207,0),MATCH('Budget-ACPLGZ'!K$6,'Budget-ACPLGZ'!$K$6:$W$6,0)):INDEX('Budget-ACPLGZ'!$K$7:$W$207,MATCH($B40,'Budget-ACPLGZ'!$B$7:$B$207,0),MATCH(BB$8,'Budget-ACPLGZ'!$K$6:$W$6,0)))</f>
        <v>0</v>
      </c>
      <c r="BC40" s="750">
        <f t="shared" si="42"/>
        <v>0</v>
      </c>
      <c r="BD40" s="748"/>
      <c r="BF40" s="749">
        <f>SUM(INDEX('Actual-ACPLYixing'!$H$7:$T$207,MATCH($B40,'Actual-ACPLYixing'!$B$7:$B$207,0),MATCH('Actual-ACPLYixing'!H$6,'Actual-ACPLYixing'!$H$6:$T$6,0)):INDEX('Actual-ACPLYixing'!$H$7:$T$207,MATCH($B40,'Actual-ACPLYixing'!$B$7:$B$207,0),MATCH(BF$8,'Actual-ACPLYixing'!$H$6:$T$6,0)))</f>
        <v>0</v>
      </c>
      <c r="BG40" s="749">
        <f>SUM(INDEX('Budget-Yixing'!$K$7:$W$207,MATCH($B40,'Budget-Yixing'!$B$7:$B$207,0),MATCH('Budget-Yixing'!K$6,'Budget-Yixing'!$K$6:$W$6,0)):INDEX('Budget-Yixing'!$K$7:$W$207,MATCH($B40,'Budget-Yixing'!$B$7:$B$207,0),MATCH(BG$8,'Budget-Yixing'!$K$6:$W$6,0)))</f>
        <v>0</v>
      </c>
      <c r="BH40" s="750">
        <f t="shared" si="43"/>
        <v>0</v>
      </c>
      <c r="BI40" s="748"/>
    </row>
    <row r="41" spans="1:61" ht="16.5" customHeight="1">
      <c r="A41" s="653" t="str">
        <f>'Budget-合并'!A39</f>
        <v>6602.03.01</v>
      </c>
      <c r="B41" s="653" t="str">
        <f>'Budget-合并'!B39</f>
        <v>员工社保福利</v>
      </c>
      <c r="C41" s="746">
        <f>INDEX('Actual-ACPL'!$H$7:$T$207,MATCH($B41,'Actual-ACPL'!$B$7:$B$207,0),MATCH(C$8,'Actual-ACPL'!$H$6:$T$6,0))</f>
        <v>0</v>
      </c>
      <c r="D41" s="746">
        <f>INDEX('Budget-ACPL'!$K$7:$W$207,MATCH($B41,'Budget-ACPL'!$B$7:$B$207,0),MATCH(D$8,'Budget-ACPL'!$K$6:$W$6,0))</f>
        <v>0</v>
      </c>
      <c r="E41" s="753">
        <f>(C41-D41)*-1</f>
        <v>0</v>
      </c>
      <c r="F41" s="752"/>
      <c r="G41" s="758"/>
      <c r="H41" s="749">
        <f>INDEX('Actual-ACPLHK'!$H$7:$T$207,MATCH($B41,'Actual-ACPLHK'!$B$7:$B$207,0),MATCH(H$8,'Actual-ACPLHK'!$H$6:$T$6,0))</f>
        <v>0</v>
      </c>
      <c r="I41" s="749">
        <f>INDEX('Budget-ACPLHK'!$K$7:$W$207,MATCH($B41,'Budget-ACPLHK'!$B$7:$B$207,0),MATCH(I$8,'Budget-ACPLHK'!$K$6:$W$6,0))</f>
        <v>0</v>
      </c>
      <c r="J41" s="753">
        <f t="shared" si="34"/>
        <v>0</v>
      </c>
      <c r="K41" s="746"/>
      <c r="L41" s="758"/>
      <c r="M41" s="749">
        <f>INDEX('Actual-ACPSZL'!$H$7:$T$207,MATCH($B41,'Actual-ACPSZL'!$B$7:$B$207,0),MATCH(M$8,'Actual-ACPSZL'!$H$6:$T$6,0))</f>
        <v>0</v>
      </c>
      <c r="N41" s="749">
        <f ca="1">INDEX('Budget-ACPSZL'!$K$7:$W$207,MATCH($B41,'Budget-ACPSZL'!$B$7:$B$207,0),MATCH(N$8,'Budget-ACPSZL'!$K$6:$W$6,0))</f>
        <v>24817.21</v>
      </c>
      <c r="O41" s="753">
        <f t="shared" ca="1" si="35"/>
        <v>-24817.21</v>
      </c>
      <c r="P41" s="746"/>
      <c r="Q41" s="758"/>
      <c r="R41" s="749">
        <f>INDEX('Actual-ACPLSZ'!$H$7:$T$207,MATCH($B41,'Actual-ACPLSZ'!$B$7:$B$207,0),MATCH(R$8,'Actual-ACPLSZ'!$H$6:$T$6,0))</f>
        <v>0</v>
      </c>
      <c r="S41" s="749">
        <f ca="1">INDEX('Budget-ACPLSZ'!$K$7:$W$207,MATCH($B41,'Budget-ACPLSZ'!$B$7:$B$207,0),MATCH(S$8,'Budget-ACPLSZ'!$K$6:$W$6,0))</f>
        <v>55460.988000000034</v>
      </c>
      <c r="T41" s="753">
        <f t="shared" ca="1" si="40"/>
        <v>55460.988000000034</v>
      </c>
      <c r="U41" s="753"/>
      <c r="V41" s="758"/>
      <c r="W41" s="749">
        <f>INDEX('Actual-ACPLGZ'!$H$7:$T$207,MATCH($B41,'Actual-ACPLGZ'!$B$7:$B$207,0),MATCH(W$8,'Actual-ACPLGZ'!$H$6:$T$6,0))</f>
        <v>0</v>
      </c>
      <c r="X41" s="749">
        <f>INDEX('Budget-ACPLGZ'!$K$7:$W$207,MATCH($B41,'Budget-ACPLGZ'!$B$7:$B$207,0),MATCH(X$8,'Budget-ACPLGZ'!$K$6:$W$6,0))</f>
        <v>0</v>
      </c>
      <c r="Y41" s="749">
        <f t="shared" si="32"/>
        <v>0</v>
      </c>
      <c r="Z41" s="753"/>
      <c r="AA41" s="758"/>
      <c r="AB41" s="749">
        <f>INDEX('Actual-ACPLGZ'!$H$7:$T$207,MATCH($B41,'Actual-ACPLGZ'!$B$7:$B$207,0),MATCH(AB$8,'Actual-ACPLGZ'!$H$6:$T$6,0))</f>
        <v>0</v>
      </c>
      <c r="AC41" s="749">
        <f>INDEX('Budget-Yixing'!$K$7:$W$207,MATCH($B41,'Budget-Yixing'!$B$7:$B$207,0),MATCH(AC$8,'Budget-Yixing'!$K$6:$W$6,0))</f>
        <v>0</v>
      </c>
      <c r="AD41" s="753">
        <f t="shared" si="41"/>
        <v>0</v>
      </c>
      <c r="AE41" s="759"/>
      <c r="AG41" s="751">
        <f>SUM(INDEX('Actual-ACPL'!$H$7:$T$207,MATCH($B41,'Actual-ACPL'!$B$7:$B$207,0),MATCH('Actual-ACPL'!H$6,'Actual-ACPL'!$H$6:$T$6,0)):INDEX('Actual-ACPL'!$H$7:$T$207,MATCH($B41,'Actual-ACPL'!$B$7:$B$207,0),MATCH(AG$8,'Actual-ACPL'!$H$6:$T$6,0)))</f>
        <v>0</v>
      </c>
      <c r="AH41" s="751">
        <f>SUM(INDEX('Budget-ACPL'!$K$7:$W$207,MATCH($B41,'Budget-ACPL'!$B$7:$B$207,0),MATCH('Budget-ACPL'!K$6,'Budget-ACPL'!$K$6:$W$6,0)):INDEX('Budget-ACPL'!$K$7:$W$207,MATCH($B41,'Budget-ACPL'!$B$7:$B$207,0),MATCH(AH$8,'Budget-ACPL'!$K$6:$W$6,0)))</f>
        <v>0</v>
      </c>
      <c r="AI41" s="753">
        <f t="shared" si="39"/>
        <v>0</v>
      </c>
      <c r="AJ41" s="748"/>
      <c r="AL41" s="749">
        <f>SUM(INDEX('Actual-ACPLHK'!$H$7:$S$207,MATCH($B41,'Actual-ACPLHK'!$B$7:$B$207,0),MATCH('Actual-ACPLHK'!H$6,'Actual-ACPLHK'!$H$6:$T$6,0)):INDEX('Actual-ACPLHK'!$H$7:$S$207,MATCH($B41,'Actual-ACPLHK'!$B$7:$B$207,0),MATCH(AL$8,'Actual-ACPLHK'!$H$6:$T$6,0)))</f>
        <v>0</v>
      </c>
      <c r="AM41" s="749">
        <f>SUM(INDEX('Budget-ACPLHK'!$K$7:$W$207,MATCH($B41,'Budget-ACPLHK'!$B$7:$B$207,0),MATCH('Budget-ACPLHK'!K$6,'Budget-ACPLHK'!$K$6:$W$6,0)):INDEX('Budget-ACPLHK'!$K$7:$W$207,MATCH($B41,'Budget-ACPLHK'!$B$7:$B$207,0),MATCH(AM$8,'Budget-ACPLHK'!$K$6:$W$6,0)))</f>
        <v>0</v>
      </c>
      <c r="AN41" s="753">
        <f t="shared" si="37"/>
        <v>0</v>
      </c>
      <c r="AO41" s="748"/>
      <c r="AQ41" s="749">
        <f>SUM(INDEX('Actual-ACPSZL'!$H$7:$T$207,MATCH($B41,'Actual-ACPSZL'!$B$7:$B$207,0),MATCH('Actual-ACPSZL'!H$6,'Actual-ACPSZL'!$H$6:$T$6,0)):INDEX('Actual-ACPSZL'!$H$7:$T$207,MATCH($B41,'Actual-ACPSZL'!$B$7:$B$207,0),MATCH(AQ$8,'Actual-ACPSZL'!$H$6:$T$6,0)))</f>
        <v>0</v>
      </c>
      <c r="AR41" s="749">
        <f ca="1">SUM(INDEX('Budget-ACPSZL'!$K$7:$W$207,MATCH($B41,'Budget-ACPSZL'!$B$7:$B$207,0),MATCH('Budget-ACPSZL'!K$6,'Budget-ACPSZL'!$K$6:$W$6,0)):INDEX('Budget-ACPSZL'!$K$7:$W$207,MATCH($B41,'Budget-ACPSZL'!$B$7:$B$207,0),MATCH(AR$8,'Budget-ACPSZL'!$K$6:$W$6,0)))</f>
        <v>24817.21</v>
      </c>
      <c r="AS41" s="753">
        <f t="shared" ca="1" si="44"/>
        <v>-24817.21</v>
      </c>
      <c r="AT41" s="753"/>
      <c r="AV41" s="749">
        <f>SUM(INDEX('Actual-ACPLSZ'!$H$7:$T$207,MATCH($B41,'Actual-ACPLSZ'!$B$7:$B$207,0),MATCH('Actual-ACPLSZ'!H$6,'Actual-ACPLSZ'!$H$6:$T$6,0)):INDEX('Actual-ACPLSZ'!$H$7:$T$207,MATCH($B41,'Actual-ACPLSZ'!$B$7:$B$207,0),MATCH(AV$8,'Actual-ACPLSZ'!$H$6:$T$6,0)))</f>
        <v>0</v>
      </c>
      <c r="AW41" s="749">
        <f ca="1">SUM(INDEX('Budget-ACPLSZ'!$K$7:$W$207,MATCH($B41,'Budget-ACPLSZ'!$B$7:$B$207,0),MATCH('Budget-ACPLSZ'!K$6,'Budget-ACPLSZ'!$K$6:$W$6,0)):INDEX('Budget-ACPLSZ'!$K$7:$W$207,MATCH($B41,'Budget-ACPLSZ'!$B$7:$B$207,0),MATCH(AW$8,'Budget-ACPLSZ'!$K$6:$W$6,0)))</f>
        <v>55460.988000000034</v>
      </c>
      <c r="AX41" s="753">
        <f t="shared" ca="1" si="38"/>
        <v>-55460.988000000034</v>
      </c>
      <c r="AY41" s="753"/>
      <c r="BA41" s="749">
        <f>SUM(INDEX('Actual-ACPLGZ'!$H$7:$T$207,MATCH($B41,'Actual-ACPLGZ'!$B$7:$B$207,0),MATCH('Actual-ACPLGZ'!H$6,'Actual-ACPLGZ'!$H$6:$T$6,0)):INDEX('Actual-ACPLGZ'!$H$7:$T$207,MATCH($B41,'Actual-ACPLGZ'!$B$7:$B$207,0),MATCH(BA$8,'Actual-ACPLGZ'!$H$6:$T$6,0)))</f>
        <v>0</v>
      </c>
      <c r="BB41" s="749">
        <f>SUM(INDEX('Budget-ACPLGZ'!$K$7:$W$207,MATCH($B41,'Budget-ACPLGZ'!$B$7:$B$207,0),MATCH('Budget-ACPLGZ'!K$6,'Budget-ACPLGZ'!$K$6:$W$6,0)):INDEX('Budget-ACPLGZ'!$K$7:$W$207,MATCH($B41,'Budget-ACPLGZ'!$B$7:$B$207,0),MATCH(BB$8,'Budget-ACPLGZ'!$K$6:$W$6,0)))</f>
        <v>0</v>
      </c>
      <c r="BC41" s="750">
        <f t="shared" si="42"/>
        <v>0</v>
      </c>
      <c r="BD41" s="748"/>
      <c r="BF41" s="749">
        <f>SUM(INDEX('Actual-ACPLYixing'!$H$7:$T$207,MATCH($B41,'Actual-ACPLYixing'!$B$7:$B$207,0),MATCH('Actual-ACPLYixing'!H$6,'Actual-ACPLYixing'!$H$6:$T$6,0)):INDEX('Actual-ACPLYixing'!$H$7:$T$207,MATCH($B41,'Actual-ACPLYixing'!$B$7:$B$207,0),MATCH(BF$8,'Actual-ACPLYixing'!$H$6:$T$6,0)))</f>
        <v>0</v>
      </c>
      <c r="BG41" s="749">
        <f>SUM(INDEX('Budget-Yixing'!$K$7:$W$207,MATCH($B41,'Budget-Yixing'!$B$7:$B$207,0),MATCH('Budget-Yixing'!K$6,'Budget-Yixing'!$K$6:$W$6,0)):INDEX('Budget-Yixing'!$K$7:$W$207,MATCH($B41,'Budget-Yixing'!$B$7:$B$207,0),MATCH(BG$8,'Budget-Yixing'!$K$6:$W$6,0)))</f>
        <v>0</v>
      </c>
      <c r="BH41" s="750">
        <f t="shared" si="43"/>
        <v>0</v>
      </c>
      <c r="BI41" s="748"/>
    </row>
    <row r="42" spans="1:61" ht="16.5" customHeight="1">
      <c r="A42" s="653" t="str">
        <f>'Budget-合并'!A40</f>
        <v>6602.03.02</v>
      </c>
      <c r="B42" s="653" t="str">
        <f>'Budget-合并'!B40</f>
        <v>员工公积金福利</v>
      </c>
      <c r="C42" s="746">
        <f>INDEX('Actual-ACPL'!$H$7:$T$207,MATCH($B42,'Actual-ACPL'!$B$7:$B$207,0),MATCH(C$8,'Actual-ACPL'!$H$6:$T$6,0))</f>
        <v>0</v>
      </c>
      <c r="D42" s="746">
        <f>INDEX('Budget-ACPL'!$K$7:$W$207,MATCH($B42,'Budget-ACPL'!$B$7:$B$207,0),MATCH(D$8,'Budget-ACPL'!$K$6:$W$6,0))</f>
        <v>0</v>
      </c>
      <c r="E42" s="746"/>
      <c r="F42" s="752"/>
      <c r="H42" s="749">
        <f>INDEX('Actual-ACPLHK'!$H$7:$T$207,MATCH($B42,'Actual-ACPLHK'!$B$7:$B$207,0),MATCH(H$8,'Actual-ACPLHK'!$H$6:$T$6,0))</f>
        <v>0</v>
      </c>
      <c r="I42" s="749">
        <f>INDEX('Budget-ACPLHK'!$K$7:$W$207,MATCH($B42,'Budget-ACPLHK'!$B$7:$B$207,0),MATCH(I$8,'Budget-ACPLHK'!$K$6:$W$6,0))</f>
        <v>0</v>
      </c>
      <c r="J42" s="749"/>
      <c r="K42" s="748"/>
      <c r="M42" s="749">
        <f>INDEX('Actual-ACPSZL'!$H$7:$T$207,MATCH($B42,'Actual-ACPSZL'!$B$7:$B$207,0),MATCH(M$8,'Actual-ACPSZL'!$H$6:$T$6,0))</f>
        <v>0</v>
      </c>
      <c r="N42" s="749">
        <f ca="1">INDEX('Budget-ACPSZL'!$K$7:$W$207,MATCH($B42,'Budget-ACPSZL'!$B$7:$B$207,0),MATCH(N$8,'Budget-ACPSZL'!$K$6:$W$6,0))</f>
        <v>15151.8</v>
      </c>
      <c r="O42" s="749"/>
      <c r="P42" s="748"/>
      <c r="R42" s="749">
        <f>INDEX('Actual-ACPLSZ'!$H$7:$T$207,MATCH($B42,'Actual-ACPLSZ'!$B$7:$B$207,0),MATCH(R$8,'Actual-ACPLSZ'!$H$6:$T$6,0))</f>
        <v>0</v>
      </c>
      <c r="S42" s="749">
        <f ca="1">INDEX('Budget-ACPLSZ'!$K$7:$W$207,MATCH($B42,'Budget-ACPLSZ'!$B$7:$B$207,0),MATCH(S$8,'Budget-ACPLSZ'!$K$6:$W$6,0))</f>
        <v>30416.19</v>
      </c>
      <c r="T42" s="749"/>
      <c r="U42" s="748"/>
      <c r="W42" s="749">
        <f>INDEX('Actual-ACPLGZ'!$H$7:$T$207,MATCH($B42,'Actual-ACPLGZ'!$B$7:$B$207,0),MATCH(W$8,'Actual-ACPLGZ'!$H$6:$T$6,0))</f>
        <v>0</v>
      </c>
      <c r="X42" s="749">
        <f>INDEX('Budget-ACPLGZ'!$K$7:$W$207,MATCH($B42,'Budget-ACPLGZ'!$B$7:$B$207,0),MATCH(X$8,'Budget-ACPLGZ'!$K$6:$W$6,0))</f>
        <v>0</v>
      </c>
      <c r="Y42" s="749"/>
      <c r="Z42" s="748"/>
      <c r="AB42" s="749">
        <f>INDEX('Actual-ACPLGZ'!$H$7:$T$207,MATCH($B42,'Actual-ACPLGZ'!$B$7:$B$207,0),MATCH(AB$8,'Actual-ACPLGZ'!$H$6:$T$6,0))</f>
        <v>0</v>
      </c>
      <c r="AC42" s="749">
        <f>INDEX('Budget-Yixing'!$K$7:$W$207,MATCH($B42,'Budget-Yixing'!$B$7:$B$207,0),MATCH(AC$8,'Budget-Yixing'!$K$6:$W$6,0))</f>
        <v>0</v>
      </c>
      <c r="AD42" s="749"/>
      <c r="AE42" s="748"/>
      <c r="AG42" s="751">
        <f>SUM(INDEX('Actual-ACPL'!$H$7:$T$207,MATCH($B42,'Actual-ACPL'!$B$7:$B$207,0),MATCH('Actual-ACPL'!H$6,'Actual-ACPL'!$H$6:$T$6,0)):INDEX('Actual-ACPL'!$H$7:$T$207,MATCH($B42,'Actual-ACPL'!$B$7:$B$207,0),MATCH(AG$8,'Actual-ACPL'!$H$6:$T$6,0)))</f>
        <v>0</v>
      </c>
      <c r="AH42" s="751">
        <f>SUM(INDEX('Budget-ACPL'!$K$7:$W$207,MATCH($B42,'Budget-ACPL'!$B$7:$B$207,0),MATCH('Budget-ACPL'!K$6,'Budget-ACPL'!$K$6:$W$6,0)):INDEX('Budget-ACPL'!$K$7:$W$207,MATCH($B42,'Budget-ACPL'!$B$7:$B$207,0),MATCH(AH$8,'Budget-ACPL'!$K$6:$W$6,0)))</f>
        <v>0</v>
      </c>
      <c r="AI42" s="749"/>
      <c r="AJ42" s="748"/>
      <c r="AL42" s="749">
        <f>SUM(INDEX('Actual-ACPLHK'!$H$7:$S$207,MATCH($B42,'Actual-ACPLHK'!$B$7:$B$207,0),MATCH('Actual-ACPLHK'!H$6,'Actual-ACPLHK'!$H$6:$T$6,0)):INDEX('Actual-ACPLHK'!$H$7:$S$207,MATCH($B42,'Actual-ACPLHK'!$B$7:$B$207,0),MATCH(AL$8,'Actual-ACPLHK'!$H$6:$T$6,0)))</f>
        <v>0</v>
      </c>
      <c r="AM42" s="749">
        <f>SUM(INDEX('Budget-ACPLHK'!$K$7:$W$207,MATCH($B42,'Budget-ACPLHK'!$B$7:$B$207,0),MATCH('Budget-ACPLHK'!K$6,'Budget-ACPLHK'!$K$6:$W$6,0)):INDEX('Budget-ACPLHK'!$K$7:$W$207,MATCH($B42,'Budget-ACPLHK'!$B$7:$B$207,0),MATCH(AM$8,'Budget-ACPLHK'!$K$6:$W$6,0)))</f>
        <v>0</v>
      </c>
      <c r="AN42" s="749"/>
      <c r="AO42" s="748"/>
      <c r="AQ42" s="749">
        <f>SUM(INDEX('Actual-ACPSZL'!$H$7:$T$207,MATCH($B42,'Actual-ACPSZL'!$B$7:$B$207,0),MATCH('Actual-ACPSZL'!H$6,'Actual-ACPSZL'!$H$6:$T$6,0)):INDEX('Actual-ACPSZL'!$H$7:$T$207,MATCH($B42,'Actual-ACPSZL'!$B$7:$B$207,0),MATCH(AQ$8,'Actual-ACPSZL'!$H$6:$T$6,0)))</f>
        <v>0</v>
      </c>
      <c r="AR42" s="749">
        <f ca="1">SUM(INDEX('Budget-ACPSZL'!$K$7:$W$207,MATCH($B42,'Budget-ACPSZL'!$B$7:$B$207,0),MATCH('Budget-ACPSZL'!K$6,'Budget-ACPSZL'!$K$6:$W$6,0)):INDEX('Budget-ACPSZL'!$K$7:$W$207,MATCH($B42,'Budget-ACPSZL'!$B$7:$B$207,0),MATCH(AR$8,'Budget-ACPSZL'!$K$6:$W$6,0)))</f>
        <v>15151.8</v>
      </c>
      <c r="AS42" s="749"/>
      <c r="AT42" s="748"/>
      <c r="AV42" s="749">
        <f>SUM(INDEX('Actual-ACPLSZ'!$H$7:$T$207,MATCH($B42,'Actual-ACPLSZ'!$B$7:$B$207,0),MATCH('Actual-ACPLSZ'!H$6,'Actual-ACPLSZ'!$H$6:$T$6,0)):INDEX('Actual-ACPLSZ'!$H$7:$T$207,MATCH($B42,'Actual-ACPLSZ'!$B$7:$B$207,0),MATCH(AV$8,'Actual-ACPLSZ'!$H$6:$T$6,0)))</f>
        <v>0</v>
      </c>
      <c r="AW42" s="749">
        <f ca="1">SUM(INDEX('Budget-ACPLSZ'!$K$7:$W$207,MATCH($B42,'Budget-ACPLSZ'!$B$7:$B$207,0),MATCH('Budget-ACPLSZ'!K$6,'Budget-ACPLSZ'!$K$6:$W$6,0)):INDEX('Budget-ACPLSZ'!$K$7:$W$207,MATCH($B42,'Budget-ACPLSZ'!$B$7:$B$207,0),MATCH(AW$8,'Budget-ACPLSZ'!$K$6:$W$6,0)))</f>
        <v>30416.19</v>
      </c>
      <c r="AX42" s="749"/>
      <c r="AY42" s="748"/>
      <c r="BA42" s="749">
        <f>SUM(INDEX('Actual-ACPLGZ'!$H$7:$T$207,MATCH($B42,'Actual-ACPLGZ'!$B$7:$B$207,0),MATCH('Actual-ACPLGZ'!H$6,'Actual-ACPLGZ'!$H$6:$T$6,0)):INDEX('Actual-ACPLGZ'!$H$7:$T$207,MATCH($B42,'Actual-ACPLGZ'!$B$7:$B$207,0),MATCH(BA$8,'Actual-ACPLGZ'!$H$6:$T$6,0)))</f>
        <v>0</v>
      </c>
      <c r="BB42" s="749">
        <f>SUM(INDEX('Budget-ACPLGZ'!$K$7:$W$207,MATCH($B42,'Budget-ACPLGZ'!$B$7:$B$207,0),MATCH('Budget-ACPLGZ'!K$6,'Budget-ACPLGZ'!$K$6:$W$6,0)):INDEX('Budget-ACPLGZ'!$K$7:$W$207,MATCH($B42,'Budget-ACPLGZ'!$B$7:$B$207,0),MATCH(BB$8,'Budget-ACPLGZ'!$K$6:$W$6,0)))</f>
        <v>0</v>
      </c>
      <c r="BC42" s="749"/>
      <c r="BD42" s="748"/>
      <c r="BF42" s="749">
        <f>SUM(INDEX('Actual-ACPLYixing'!$H$7:$T$207,MATCH($B42,'Actual-ACPLYixing'!$B$7:$B$207,0),MATCH('Actual-ACPLYixing'!H$6,'Actual-ACPLYixing'!$H$6:$T$6,0)):INDEX('Actual-ACPLYixing'!$H$7:$T$207,MATCH($B42,'Actual-ACPLYixing'!$B$7:$B$207,0),MATCH(BF$8,'Actual-ACPLYixing'!$H$6:$T$6,0)))</f>
        <v>0</v>
      </c>
      <c r="BG42" s="749">
        <f>SUM(INDEX('Budget-Yixing'!$K$7:$W$207,MATCH($B42,'Budget-Yixing'!$B$7:$B$207,0),MATCH('Budget-Yixing'!K$6,'Budget-Yixing'!$K$6:$W$6,0)):INDEX('Budget-Yixing'!$K$7:$W$207,MATCH($B42,'Budget-Yixing'!$B$7:$B$207,0),MATCH(BG$8,'Budget-Yixing'!$K$6:$W$6,0)))</f>
        <v>0</v>
      </c>
      <c r="BH42" s="749"/>
      <c r="BI42" s="748"/>
    </row>
    <row r="43" spans="1:61" ht="16.5" customHeight="1">
      <c r="A43" s="653" t="str">
        <f>'Budget-合并'!A41</f>
        <v>6602.03.03</v>
      </c>
      <c r="B43" s="653" t="str">
        <f>'Budget-合并'!B41</f>
        <v>员工强制性公积金福利</v>
      </c>
      <c r="C43" s="746">
        <f>INDEX('Actual-ACPL'!$H$7:$T$207,MATCH($B43,'Actual-ACPL'!$B$7:$B$207,0),MATCH(C$8,'Actual-ACPL'!$H$6:$T$6,0))</f>
        <v>0</v>
      </c>
      <c r="D43" s="746">
        <f>INDEX('Budget-ACPL'!$K$7:$W$207,MATCH($B43,'Budget-ACPL'!$B$7:$B$207,0),MATCH(D$8,'Budget-ACPL'!$K$6:$W$6,0))</f>
        <v>0</v>
      </c>
      <c r="E43" s="746">
        <f>C43-D43</f>
        <v>0</v>
      </c>
      <c r="F43" s="752"/>
      <c r="H43" s="749">
        <f>INDEX('Actual-ACPLHK'!$H$7:$T$207,MATCH($B43,'Actual-ACPLHK'!$B$7:$B$207,0),MATCH(H$8,'Actual-ACPLHK'!$H$6:$T$6,0))</f>
        <v>0</v>
      </c>
      <c r="I43" s="749">
        <f>INDEX('Budget-ACPLHK'!$K$7:$W$207,MATCH($B43,'Budget-ACPLHK'!$B$7:$B$207,0),MATCH(I$8,'Budget-ACPLHK'!$K$6:$W$6,0))</f>
        <v>0</v>
      </c>
      <c r="J43" s="749">
        <f>H43-I43</f>
        <v>0</v>
      </c>
      <c r="K43" s="748"/>
      <c r="M43" s="749">
        <f>INDEX('Actual-ACPSZL'!$H$7:$T$207,MATCH($B43,'Actual-ACPSZL'!$B$7:$B$207,0),MATCH(M$8,'Actual-ACPSZL'!$H$6:$T$6,0))</f>
        <v>0</v>
      </c>
      <c r="N43" s="749">
        <f>INDEX('Budget-ACPSZL'!$K$7:$W$207,MATCH($B43,'Budget-ACPSZL'!$B$7:$B$207,0),MATCH(N$8,'Budget-ACPSZL'!$K$6:$W$6,0))</f>
        <v>0</v>
      </c>
      <c r="O43" s="749">
        <f>M43-N43</f>
        <v>0</v>
      </c>
      <c r="P43" s="748"/>
      <c r="R43" s="749">
        <f>INDEX('Actual-ACPLSZ'!$H$7:$T$207,MATCH($B43,'Actual-ACPLSZ'!$B$7:$B$207,0),MATCH(R$8,'Actual-ACPLSZ'!$H$6:$T$6,0))</f>
        <v>0</v>
      </c>
      <c r="S43" s="749">
        <f>INDEX('Budget-ACPLSZ'!$K$7:$W$207,MATCH($B43,'Budget-ACPLSZ'!$B$7:$B$207,0),MATCH(S$8,'Budget-ACPLSZ'!$K$6:$W$6,0))</f>
        <v>0</v>
      </c>
      <c r="T43" s="749">
        <f t="shared" ref="T43:T68" si="45">(R43-S43)*-1</f>
        <v>0</v>
      </c>
      <c r="U43" s="748"/>
      <c r="W43" s="749">
        <f>INDEX('Actual-ACPLGZ'!$H$7:$T$207,MATCH($B43,'Actual-ACPLGZ'!$B$7:$B$207,0),MATCH(W$8,'Actual-ACPLGZ'!$H$6:$T$6,0))</f>
        <v>0</v>
      </c>
      <c r="X43" s="749">
        <f>INDEX('Budget-ACPLGZ'!$K$7:$W$207,MATCH($B43,'Budget-ACPLGZ'!$B$7:$B$207,0),MATCH(X$8,'Budget-ACPLGZ'!$K$6:$W$6,0))</f>
        <v>0</v>
      </c>
      <c r="Y43" s="749">
        <f>W43-X43</f>
        <v>0</v>
      </c>
      <c r="Z43" s="748"/>
      <c r="AB43" s="749">
        <f>INDEX('Actual-ACPLGZ'!$H$7:$T$207,MATCH($B43,'Actual-ACPLGZ'!$B$7:$B$207,0),MATCH(AB$8,'Actual-ACPLGZ'!$H$6:$T$6,0))</f>
        <v>0</v>
      </c>
      <c r="AC43" s="749">
        <f>INDEX('Budget-Yixing'!$K$7:$W$207,MATCH($B43,'Budget-Yixing'!$B$7:$B$207,0),MATCH(AC$8,'Budget-Yixing'!$K$6:$W$6,0))</f>
        <v>0</v>
      </c>
      <c r="AD43" s="749">
        <f t="shared" ref="AD43:AD68" si="46">(AB43-AC43)*-1</f>
        <v>0</v>
      </c>
      <c r="AE43" s="748"/>
      <c r="AG43" s="751">
        <f>SUM(INDEX('Actual-ACPL'!$H$7:$T$207,MATCH($B43,'Actual-ACPL'!$B$7:$B$207,0),MATCH('Actual-ACPL'!H$6,'Actual-ACPL'!$H$6:$T$6,0)):INDEX('Actual-ACPL'!$H$7:$T$207,MATCH($B43,'Actual-ACPL'!$B$7:$B$207,0),MATCH(AG$8,'Actual-ACPL'!$H$6:$T$6,0)))</f>
        <v>0</v>
      </c>
      <c r="AH43" s="751">
        <f>SUM(INDEX('Budget-ACPL'!$K$7:$W$207,MATCH($B43,'Budget-ACPL'!$B$7:$B$207,0),MATCH('Budget-ACPL'!K$6,'Budget-ACPL'!$K$6:$W$6,0)):INDEX('Budget-ACPL'!$K$7:$W$207,MATCH($B43,'Budget-ACPL'!$B$7:$B$207,0),MATCH(AH$8,'Budget-ACPL'!$K$6:$W$6,0)))</f>
        <v>0</v>
      </c>
      <c r="AI43" s="749">
        <f>AG43-AH43</f>
        <v>0</v>
      </c>
      <c r="AJ43" s="748"/>
      <c r="AL43" s="749">
        <f>SUM(INDEX('Actual-ACPLHK'!$H$7:$S$207,MATCH($B43,'Actual-ACPLHK'!$B$7:$B$207,0),MATCH('Actual-ACPLHK'!H$6,'Actual-ACPLHK'!$H$6:$T$6,0)):INDEX('Actual-ACPLHK'!$H$7:$S$207,MATCH($B43,'Actual-ACPLHK'!$B$7:$B$207,0),MATCH(AL$8,'Actual-ACPLHK'!$H$6:$T$6,0)))</f>
        <v>0</v>
      </c>
      <c r="AM43" s="749">
        <f>SUM(INDEX('Budget-ACPLHK'!$K$7:$W$207,MATCH($B43,'Budget-ACPLHK'!$B$7:$B$207,0),MATCH('Budget-ACPLHK'!K$6,'Budget-ACPLHK'!$K$6:$W$6,0)):INDEX('Budget-ACPLHK'!$K$7:$W$207,MATCH($B43,'Budget-ACPLHK'!$B$7:$B$207,0),MATCH(AM$8,'Budget-ACPLHK'!$K$6:$W$6,0)))</f>
        <v>0</v>
      </c>
      <c r="AN43" s="749">
        <f t="shared" ref="AN43:AN52" si="47">AL43-AM43</f>
        <v>0</v>
      </c>
      <c r="AO43" s="748"/>
      <c r="AQ43" s="749">
        <f>SUM(INDEX('Actual-ACPSZL'!$H$7:$T$207,MATCH($B43,'Actual-ACPSZL'!$B$7:$B$207,0),MATCH('Actual-ACPSZL'!H$6,'Actual-ACPSZL'!$H$6:$T$6,0)):INDEX('Actual-ACPSZL'!$H$7:$T$207,MATCH($B43,'Actual-ACPSZL'!$B$7:$B$207,0),MATCH(AQ$8,'Actual-ACPSZL'!$H$6:$T$6,0)))</f>
        <v>0</v>
      </c>
      <c r="AR43" s="749">
        <f>SUM(INDEX('Budget-ACPSZL'!$K$7:$W$207,MATCH($B43,'Budget-ACPSZL'!$B$7:$B$207,0),MATCH('Budget-ACPSZL'!K$6,'Budget-ACPSZL'!$K$6:$W$6,0)):INDEX('Budget-ACPSZL'!$K$7:$W$207,MATCH($B43,'Budget-ACPSZL'!$B$7:$B$207,0),MATCH(AR$8,'Budget-ACPSZL'!$K$6:$W$6,0)))</f>
        <v>0</v>
      </c>
      <c r="AS43" s="749">
        <f>AQ43-AR43</f>
        <v>0</v>
      </c>
      <c r="AT43" s="748"/>
      <c r="AV43" s="749">
        <f>SUM(INDEX('Actual-ACPLSZ'!$H$7:$T$207,MATCH($B43,'Actual-ACPLSZ'!$B$7:$B$207,0),MATCH('Actual-ACPLSZ'!H$6,'Actual-ACPLSZ'!$H$6:$T$6,0)):INDEX('Actual-ACPLSZ'!$H$7:$T$207,MATCH($B43,'Actual-ACPLSZ'!$B$7:$B$207,0),MATCH(AV$8,'Actual-ACPLSZ'!$H$6:$T$6,0)))</f>
        <v>0</v>
      </c>
      <c r="AW43" s="749">
        <f>SUM(INDEX('Budget-ACPLSZ'!$K$7:$W$207,MATCH($B43,'Budget-ACPLSZ'!$B$7:$B$207,0),MATCH('Budget-ACPLSZ'!K$6,'Budget-ACPLSZ'!$K$6:$W$6,0)):INDEX('Budget-ACPLSZ'!$K$7:$W$207,MATCH($B43,'Budget-ACPLSZ'!$B$7:$B$207,0),MATCH(AW$8,'Budget-ACPLSZ'!$K$6:$W$6,0)))</f>
        <v>0</v>
      </c>
      <c r="AX43" s="749">
        <f>AV43-AW43</f>
        <v>0</v>
      </c>
      <c r="AY43" s="748"/>
      <c r="BA43" s="749">
        <f>SUM(INDEX('Actual-ACPLGZ'!$H$7:$T$207,MATCH($B43,'Actual-ACPLGZ'!$B$7:$B$207,0),MATCH('Actual-ACPLGZ'!H$6,'Actual-ACPLGZ'!$H$6:$T$6,0)):INDEX('Actual-ACPLGZ'!$H$7:$T$207,MATCH($B43,'Actual-ACPLGZ'!$B$7:$B$207,0),MATCH(BA$8,'Actual-ACPLGZ'!$H$6:$T$6,0)))</f>
        <v>0</v>
      </c>
      <c r="BB43" s="749">
        <f>SUM(INDEX('Budget-ACPLGZ'!$K$7:$W$207,MATCH($B43,'Budget-ACPLGZ'!$B$7:$B$207,0),MATCH('Budget-ACPLGZ'!K$6,'Budget-ACPLGZ'!$K$6:$W$6,0)):INDEX('Budget-ACPLGZ'!$K$7:$W$207,MATCH($B43,'Budget-ACPLGZ'!$B$7:$B$207,0),MATCH(BB$8,'Budget-ACPLGZ'!$K$6:$W$6,0)))</f>
        <v>0</v>
      </c>
      <c r="BC43" s="749">
        <f t="shared" ref="BC43:BC68" si="48">BA43-BB43</f>
        <v>0</v>
      </c>
      <c r="BD43" s="748"/>
      <c r="BF43" s="749">
        <f>SUM(INDEX('Actual-ACPLYixing'!$H$7:$T$207,MATCH($B43,'Actual-ACPLYixing'!$B$7:$B$207,0),MATCH('Actual-ACPLYixing'!H$6,'Actual-ACPLYixing'!$H$6:$T$6,0)):INDEX('Actual-ACPLYixing'!$H$7:$T$207,MATCH($B43,'Actual-ACPLYixing'!$B$7:$B$207,0),MATCH(BF$8,'Actual-ACPLYixing'!$H$6:$T$6,0)))</f>
        <v>0</v>
      </c>
      <c r="BG43" s="749">
        <f>SUM(INDEX('Budget-Yixing'!$K$7:$W$207,MATCH($B43,'Budget-Yixing'!$B$7:$B$207,0),MATCH('Budget-Yixing'!K$6,'Budget-Yixing'!$K$6:$W$6,0)):INDEX('Budget-Yixing'!$K$7:$W$207,MATCH($B43,'Budget-Yixing'!$B$7:$B$207,0),MATCH(BG$8,'Budget-Yixing'!$K$6:$W$6,0)))</f>
        <v>0</v>
      </c>
      <c r="BH43" s="749">
        <f t="shared" ref="BH43:BH68" si="49">BF43-BG43</f>
        <v>0</v>
      </c>
      <c r="BI43" s="748"/>
    </row>
    <row r="44" spans="1:61" ht="16.5" customHeight="1">
      <c r="A44" s="653">
        <f>'Budget-合并'!A42</f>
        <v>0</v>
      </c>
      <c r="B44" s="653" t="str">
        <f>'Budget-合并'!B42</f>
        <v>管理人工费用小计</v>
      </c>
      <c r="C44" s="746">
        <f>INDEX('Actual-ACPL'!$H$7:$T$207,MATCH($B44,'Actual-ACPL'!$B$7:$B$207,0),MATCH(C$8,'Actual-ACPL'!$H$6:$T$6,0))</f>
        <v>0</v>
      </c>
      <c r="D44" s="746">
        <f>INDEX('Budget-ACPL'!$K$7:$W$207,MATCH($B44,'Budget-ACPL'!$B$7:$B$207,0),MATCH(D$8,'Budget-ACPL'!$K$6:$W$6,0))</f>
        <v>374426.66666666657</v>
      </c>
      <c r="E44" s="746">
        <f t="shared" ref="E44:E53" si="50">C44-D44</f>
        <v>-374426.66666666657</v>
      </c>
      <c r="F44" s="752"/>
      <c r="H44" s="749">
        <f>INDEX('Actual-ACPLHK'!$H$7:$T$207,MATCH($B44,'Actual-ACPLHK'!$B$7:$B$207,0),MATCH(H$8,'Actual-ACPLHK'!$H$6:$T$6,0))</f>
        <v>0</v>
      </c>
      <c r="I44" s="749">
        <f>INDEX('Budget-ACPLHK'!$K$7:$W$207,MATCH($B44,'Budget-ACPLHK'!$B$7:$B$207,0),MATCH(I$8,'Budget-ACPLHK'!$K$6:$W$6,0))</f>
        <v>250871.72233333334</v>
      </c>
      <c r="J44" s="749">
        <f>H44-I44</f>
        <v>-250871.72233333334</v>
      </c>
      <c r="K44" s="748"/>
      <c r="M44" s="749">
        <f>INDEX('Actual-ACPSZL'!$H$7:$T$207,MATCH($B44,'Actual-ACPSZL'!$B$7:$B$207,0),MATCH(M$8,'Actual-ACPSZL'!$H$6:$T$6,0))</f>
        <v>0</v>
      </c>
      <c r="N44" s="749">
        <f ca="1">INDEX('Budget-ACPSZL'!$K$7:$W$207,MATCH($B44,'Budget-ACPSZL'!$B$7:$B$207,0),MATCH(N$8,'Budget-ACPSZL'!$K$6:$W$6,0))</f>
        <v>255469.01</v>
      </c>
      <c r="O44" s="749">
        <f t="shared" ref="O44:O75" ca="1" si="51">M44-N44</f>
        <v>-255469.01</v>
      </c>
      <c r="P44" s="748"/>
      <c r="R44" s="749">
        <f>INDEX('Actual-ACPLSZ'!$H$7:$T$207,MATCH($B44,'Actual-ACPLSZ'!$B$7:$B$207,0),MATCH(R$8,'Actual-ACPLSZ'!$H$6:$T$6,0))</f>
        <v>0</v>
      </c>
      <c r="S44" s="749">
        <f ca="1">INDEX('Budget-ACPLSZ'!$K$7:$W$207,MATCH($B44,'Budget-ACPLSZ'!$B$7:$B$207,0),MATCH(S$8,'Budget-ACPLSZ'!$K$6:$W$6,0))</f>
        <v>400127.17800000001</v>
      </c>
      <c r="T44" s="750">
        <f t="shared" ca="1" si="45"/>
        <v>400127.17800000001</v>
      </c>
      <c r="U44" s="748"/>
      <c r="W44" s="749">
        <f>INDEX('Actual-ACPLGZ'!$H$7:$T$207,MATCH($B44,'Actual-ACPLGZ'!$B$7:$B$207,0),MATCH(W$8,'Actual-ACPLGZ'!$H$6:$T$6,0))</f>
        <v>0</v>
      </c>
      <c r="X44" s="749">
        <f>INDEX('Budget-ACPLGZ'!$K$7:$W$207,MATCH($B44,'Budget-ACPLGZ'!$B$7:$B$207,0),MATCH(X$8,'Budget-ACPLGZ'!$K$6:$W$6,0))</f>
        <v>0</v>
      </c>
      <c r="Y44" s="749">
        <f t="shared" ref="Y44:Y75" si="52">W44-X44</f>
        <v>0</v>
      </c>
      <c r="Z44" s="748"/>
      <c r="AB44" s="749">
        <f>INDEX('Actual-ACPLGZ'!$H$7:$T$207,MATCH($B44,'Actual-ACPLGZ'!$B$7:$B$207,0),MATCH(AB$8,'Actual-ACPLGZ'!$H$6:$T$6,0))</f>
        <v>0</v>
      </c>
      <c r="AC44" s="749">
        <f>INDEX('Budget-Yixing'!$K$7:$W$207,MATCH($B44,'Budget-Yixing'!$B$7:$B$207,0),MATCH(AC$8,'Budget-Yixing'!$K$6:$W$6,0))</f>
        <v>0</v>
      </c>
      <c r="AD44" s="750">
        <f t="shared" si="46"/>
        <v>0</v>
      </c>
      <c r="AE44" s="748"/>
      <c r="AG44" s="751">
        <f>SUM(INDEX('Actual-ACPL'!$H$7:$T$207,MATCH($B44,'Actual-ACPL'!$B$7:$B$207,0),MATCH('Actual-ACPL'!H$6,'Actual-ACPL'!$H$6:$T$6,0)):INDEX('Actual-ACPL'!$H$7:$T$207,MATCH($B44,'Actual-ACPL'!$B$7:$B$207,0),MATCH(AG$8,'Actual-ACPL'!$H$6:$T$6,0)))</f>
        <v>0</v>
      </c>
      <c r="AH44" s="751">
        <f>SUM(INDEX('Budget-ACPL'!$K$7:$W$207,MATCH($B44,'Budget-ACPL'!$B$7:$B$207,0),MATCH('Budget-ACPL'!K$6,'Budget-ACPL'!$K$6:$W$6,0)):INDEX('Budget-ACPL'!$K$7:$W$207,MATCH($B44,'Budget-ACPL'!$B$7:$B$207,0),MATCH(AH$8,'Budget-ACPL'!$K$6:$W$6,0)))</f>
        <v>374426.66666666657</v>
      </c>
      <c r="AI44" s="749">
        <f t="shared" ref="AI44:AI65" si="53">AG44-AH44</f>
        <v>-374426.66666666657</v>
      </c>
      <c r="AJ44" s="748"/>
      <c r="AL44" s="749">
        <f>SUM(INDEX('Actual-ACPLHK'!$H$7:$S$207,MATCH($B44,'Actual-ACPLHK'!$B$7:$B$207,0),MATCH('Actual-ACPLHK'!H$6,'Actual-ACPLHK'!$H$6:$T$6,0)):INDEX('Actual-ACPLHK'!$H$7:$S$207,MATCH($B44,'Actual-ACPLHK'!$B$7:$B$207,0),MATCH(AL$8,'Actual-ACPLHK'!$H$6:$T$6,0)))</f>
        <v>0</v>
      </c>
      <c r="AM44" s="749">
        <f>SUM(INDEX('Budget-ACPLHK'!$K$7:$W$207,MATCH($B44,'Budget-ACPLHK'!$B$7:$B$207,0),MATCH('Budget-ACPLHK'!K$6,'Budget-ACPLHK'!$K$6:$W$6,0)):INDEX('Budget-ACPLHK'!$K$7:$W$207,MATCH($B44,'Budget-ACPLHK'!$B$7:$B$207,0),MATCH(AM$8,'Budget-ACPLHK'!$K$6:$W$6,0)))</f>
        <v>250871.72233333334</v>
      </c>
      <c r="AN44" s="749">
        <f t="shared" si="47"/>
        <v>-250871.72233333334</v>
      </c>
      <c r="AO44" s="748"/>
      <c r="AQ44" s="749">
        <f>SUM(INDEX('Actual-ACPSZL'!$H$7:$T$207,MATCH($B44,'Actual-ACPSZL'!$B$7:$B$207,0),MATCH('Actual-ACPSZL'!H$6,'Actual-ACPSZL'!$H$6:$T$6,0)):INDEX('Actual-ACPSZL'!$H$7:$T$207,MATCH($B44,'Actual-ACPSZL'!$B$7:$B$207,0),MATCH(AQ$8,'Actual-ACPSZL'!$H$6:$T$6,0)))</f>
        <v>0</v>
      </c>
      <c r="AR44" s="749">
        <f ca="1">SUM(INDEX('Budget-ACPSZL'!$K$7:$W$207,MATCH($B44,'Budget-ACPSZL'!$B$7:$B$207,0),MATCH('Budget-ACPSZL'!K$6,'Budget-ACPSZL'!$K$6:$W$6,0)):INDEX('Budget-ACPSZL'!$K$7:$W$207,MATCH($B44,'Budget-ACPSZL'!$B$7:$B$207,0),MATCH(AR$8,'Budget-ACPSZL'!$K$6:$W$6,0)))</f>
        <v>255469.01</v>
      </c>
      <c r="AS44" s="749">
        <f t="shared" ref="AS44:AS54" ca="1" si="54">AQ44-AR44</f>
        <v>-255469.01</v>
      </c>
      <c r="AT44" s="748"/>
      <c r="AV44" s="749">
        <f>SUM(INDEX('Actual-ACPLSZ'!$H$7:$T$207,MATCH($B44,'Actual-ACPLSZ'!$B$7:$B$207,0),MATCH('Actual-ACPLSZ'!H$6,'Actual-ACPLSZ'!$H$6:$T$6,0)):INDEX('Actual-ACPLSZ'!$H$7:$T$207,MATCH($B44,'Actual-ACPLSZ'!$B$7:$B$207,0),MATCH(AV$8,'Actual-ACPLSZ'!$H$6:$T$6,0)))</f>
        <v>0</v>
      </c>
      <c r="AW44" s="749">
        <f ca="1">SUM(INDEX('Budget-ACPLSZ'!$K$7:$W$207,MATCH($B44,'Budget-ACPLSZ'!$B$7:$B$207,0),MATCH('Budget-ACPLSZ'!K$6,'Budget-ACPLSZ'!$K$6:$W$6,0)):INDEX('Budget-ACPLSZ'!$K$7:$W$207,MATCH($B44,'Budget-ACPLSZ'!$B$7:$B$207,0),MATCH(AW$8,'Budget-ACPLSZ'!$K$6:$W$6,0)))</f>
        <v>400127.17800000001</v>
      </c>
      <c r="AX44" s="749">
        <f t="shared" ref="AX44:AX75" ca="1" si="55">AV44-AW44</f>
        <v>-400127.17800000001</v>
      </c>
      <c r="AY44" s="748"/>
      <c r="BA44" s="749">
        <f>SUM(INDEX('Actual-ACPLGZ'!$H$7:$T$207,MATCH($B44,'Actual-ACPLGZ'!$B$7:$B$207,0),MATCH('Actual-ACPLGZ'!H$6,'Actual-ACPLGZ'!$H$6:$T$6,0)):INDEX('Actual-ACPLGZ'!$H$7:$T$207,MATCH($B44,'Actual-ACPLGZ'!$B$7:$B$207,0),MATCH(BA$8,'Actual-ACPLGZ'!$H$6:$T$6,0)))</f>
        <v>0</v>
      </c>
      <c r="BB44" s="749">
        <f>SUM(INDEX('Budget-ACPLGZ'!$K$7:$W$207,MATCH($B44,'Budget-ACPLGZ'!$B$7:$B$207,0),MATCH('Budget-ACPLGZ'!K$6,'Budget-ACPLGZ'!$K$6:$W$6,0)):INDEX('Budget-ACPLGZ'!$K$7:$W$207,MATCH($B44,'Budget-ACPLGZ'!$B$7:$B$207,0),MATCH(BB$8,'Budget-ACPLGZ'!$K$6:$W$6,0)))</f>
        <v>0</v>
      </c>
      <c r="BC44" s="749">
        <f t="shared" si="48"/>
        <v>0</v>
      </c>
      <c r="BD44" s="748"/>
      <c r="BF44" s="749">
        <f>SUM(INDEX('Actual-ACPLYixing'!$H$7:$T$207,MATCH($B44,'Actual-ACPLYixing'!$B$7:$B$207,0),MATCH('Actual-ACPLYixing'!H$6,'Actual-ACPLYixing'!$H$6:$T$6,0)):INDEX('Actual-ACPLYixing'!$H$7:$T$207,MATCH($B44,'Actual-ACPLYixing'!$B$7:$B$207,0),MATCH(BF$8,'Actual-ACPLYixing'!$H$6:$T$6,0)))</f>
        <v>0</v>
      </c>
      <c r="BG44" s="749">
        <f>SUM(INDEX('Budget-Yixing'!$K$7:$W$207,MATCH($B44,'Budget-Yixing'!$B$7:$B$207,0),MATCH('Budget-Yixing'!K$6,'Budget-Yixing'!$K$6:$W$6,0)):INDEX('Budget-Yixing'!$K$7:$W$207,MATCH($B44,'Budget-Yixing'!$B$7:$B$207,0),MATCH(BG$8,'Budget-Yixing'!$K$6:$W$6,0)))</f>
        <v>0</v>
      </c>
      <c r="BH44" s="749">
        <f t="shared" si="49"/>
        <v>0</v>
      </c>
      <c r="BI44" s="748"/>
    </row>
    <row r="45" spans="1:61" ht="16.5" customHeight="1">
      <c r="A45" s="653">
        <f>'Budget-合并'!A43</f>
        <v>0</v>
      </c>
      <c r="B45" s="653">
        <f>'Budget-合并'!B43</f>
        <v>0</v>
      </c>
      <c r="C45" s="746">
        <f>INDEX('Actual-ACPL'!$H$7:$T$207,MATCH($B45,'Actual-ACPL'!$B$7:$B$207,0),MATCH(C$8,'Actual-ACPL'!$H$6:$T$6,0))</f>
        <v>0</v>
      </c>
      <c r="D45" s="746">
        <f>INDEX('Budget-ACPL'!$K$7:$W$207,MATCH($B45,'Budget-ACPL'!$B$7:$B$207,0),MATCH(D$8,'Budget-ACPL'!$K$6:$W$6,0))</f>
        <v>0</v>
      </c>
      <c r="E45" s="746">
        <f t="shared" si="50"/>
        <v>0</v>
      </c>
      <c r="F45" s="752"/>
      <c r="H45" s="749">
        <f>INDEX('Actual-ACPLHK'!$H$7:$T$207,MATCH($B45,'Actual-ACPLHK'!$B$7:$B$207,0),MATCH(H$8,'Actual-ACPLHK'!$H$6:$T$6,0))</f>
        <v>0</v>
      </c>
      <c r="I45" s="749">
        <f>INDEX('Budget-ACPLHK'!$K$7:$W$207,MATCH($B45,'Budget-ACPLHK'!$B$7:$B$207,0),MATCH(I$8,'Budget-ACPLHK'!$K$6:$W$6,0))</f>
        <v>0</v>
      </c>
      <c r="J45" s="749">
        <f>H45-I45</f>
        <v>0</v>
      </c>
      <c r="K45" s="748"/>
      <c r="M45" s="749">
        <f>INDEX('Actual-ACPSZL'!$H$7:$T$207,MATCH($B45,'Actual-ACPSZL'!$B$7:$B$207,0),MATCH(M$8,'Actual-ACPSZL'!$H$6:$T$6,0))</f>
        <v>0</v>
      </c>
      <c r="N45" s="749">
        <f>INDEX('Budget-ACPSZL'!$K$7:$W$207,MATCH($B45,'Budget-ACPSZL'!$B$7:$B$207,0),MATCH(N$8,'Budget-ACPSZL'!$K$6:$W$6,0))</f>
        <v>0</v>
      </c>
      <c r="O45" s="749">
        <f t="shared" si="51"/>
        <v>0</v>
      </c>
      <c r="P45" s="748"/>
      <c r="R45" s="749">
        <f>INDEX('Actual-ACPLSZ'!$H$7:$T$207,MATCH($B45,'Actual-ACPLSZ'!$B$7:$B$207,0),MATCH(R$8,'Actual-ACPLSZ'!$H$6:$T$6,0))</f>
        <v>0</v>
      </c>
      <c r="S45" s="749">
        <f>INDEX('Budget-ACPLSZ'!$K$7:$W$207,MATCH($B45,'Budget-ACPLSZ'!$B$7:$B$207,0),MATCH(S$8,'Budget-ACPLSZ'!$K$6:$W$6,0))</f>
        <v>0</v>
      </c>
      <c r="T45" s="750">
        <f t="shared" si="45"/>
        <v>0</v>
      </c>
      <c r="U45" s="748"/>
      <c r="W45" s="749">
        <f>INDEX('Actual-ACPLGZ'!$H$7:$T$207,MATCH($B45,'Actual-ACPLGZ'!$B$7:$B$207,0),MATCH(W$8,'Actual-ACPLGZ'!$H$6:$T$6,0))</f>
        <v>0</v>
      </c>
      <c r="X45" s="749">
        <f>INDEX('Budget-ACPLGZ'!$K$7:$W$207,MATCH($B45,'Budget-ACPLGZ'!$B$7:$B$207,0),MATCH(X$8,'Budget-ACPLGZ'!$K$6:$W$6,0))</f>
        <v>0</v>
      </c>
      <c r="Y45" s="749">
        <f t="shared" si="52"/>
        <v>0</v>
      </c>
      <c r="Z45" s="748"/>
      <c r="AB45" s="749">
        <f>INDEX('Actual-ACPLGZ'!$H$7:$T$207,MATCH($B45,'Actual-ACPLGZ'!$B$7:$B$207,0),MATCH(AB$8,'Actual-ACPLGZ'!$H$6:$T$6,0))</f>
        <v>0</v>
      </c>
      <c r="AC45" s="749">
        <f>INDEX('Budget-Yixing'!$K$7:$W$207,MATCH($B45,'Budget-Yixing'!$B$7:$B$207,0),MATCH(AC$8,'Budget-Yixing'!$K$6:$W$6,0))</f>
        <v>0</v>
      </c>
      <c r="AD45" s="750">
        <f t="shared" si="46"/>
        <v>0</v>
      </c>
      <c r="AE45" s="748"/>
      <c r="AG45" s="751">
        <f>SUM(INDEX('Actual-ACPL'!$H$7:$T$207,MATCH($B45,'Actual-ACPL'!$B$7:$B$207,0),MATCH('Actual-ACPL'!H$6,'Actual-ACPL'!$H$6:$T$6,0)):INDEX('Actual-ACPL'!$H$7:$T$207,MATCH($B45,'Actual-ACPL'!$B$7:$B$207,0),MATCH(AG$8,'Actual-ACPL'!$H$6:$T$6,0)))</f>
        <v>0</v>
      </c>
      <c r="AH45" s="751">
        <f>SUM(INDEX('Budget-ACPL'!$K$7:$W$207,MATCH($B45,'Budget-ACPL'!$B$7:$B$207,0),MATCH('Budget-ACPL'!K$6,'Budget-ACPL'!$K$6:$W$6,0)):INDEX('Budget-ACPL'!$K$7:$W$207,MATCH($B45,'Budget-ACPL'!$B$7:$B$207,0),MATCH(AH$8,'Budget-ACPL'!$K$6:$W$6,0)))</f>
        <v>0</v>
      </c>
      <c r="AI45" s="749">
        <f t="shared" si="53"/>
        <v>0</v>
      </c>
      <c r="AJ45" s="748"/>
      <c r="AL45" s="749">
        <f>SUM(INDEX('Actual-ACPLHK'!$H$7:$S$207,MATCH($B45,'Actual-ACPLHK'!$B$7:$B$207,0),MATCH('Actual-ACPLHK'!H$6,'Actual-ACPLHK'!$H$6:$T$6,0)):INDEX('Actual-ACPLHK'!$H$7:$S$207,MATCH($B45,'Actual-ACPLHK'!$B$7:$B$207,0),MATCH(AL$8,'Actual-ACPLHK'!$H$6:$T$6,0)))</f>
        <v>0</v>
      </c>
      <c r="AM45" s="749">
        <f>SUM(INDEX('Budget-ACPLHK'!$K$7:$W$207,MATCH($B45,'Budget-ACPLHK'!$B$7:$B$207,0),MATCH('Budget-ACPLHK'!K$6,'Budget-ACPLHK'!$K$6:$W$6,0)):INDEX('Budget-ACPLHK'!$K$7:$W$207,MATCH($B45,'Budget-ACPLHK'!$B$7:$B$207,0),MATCH(AM$8,'Budget-ACPLHK'!$K$6:$W$6,0)))</f>
        <v>0</v>
      </c>
      <c r="AN45" s="749">
        <f t="shared" si="47"/>
        <v>0</v>
      </c>
      <c r="AO45" s="748"/>
      <c r="AQ45" s="749">
        <f>SUM(INDEX('Actual-ACPSZL'!$H$7:$T$207,MATCH($B45,'Actual-ACPSZL'!$B$7:$B$207,0),MATCH('Actual-ACPSZL'!H$6,'Actual-ACPSZL'!$H$6:$T$6,0)):INDEX('Actual-ACPSZL'!$H$7:$T$207,MATCH($B45,'Actual-ACPSZL'!$B$7:$B$207,0),MATCH(AQ$8,'Actual-ACPSZL'!$H$6:$T$6,0)))</f>
        <v>0</v>
      </c>
      <c r="AR45" s="749">
        <f>SUM(INDEX('Budget-ACPSZL'!$K$7:$W$207,MATCH($B45,'Budget-ACPSZL'!$B$7:$B$207,0),MATCH('Budget-ACPSZL'!K$6,'Budget-ACPSZL'!$K$6:$W$6,0)):INDEX('Budget-ACPSZL'!$K$7:$W$207,MATCH($B45,'Budget-ACPSZL'!$B$7:$B$207,0),MATCH(AR$8,'Budget-ACPSZL'!$K$6:$W$6,0)))</f>
        <v>0</v>
      </c>
      <c r="AS45" s="749">
        <f t="shared" si="54"/>
        <v>0</v>
      </c>
      <c r="AT45" s="748"/>
      <c r="AV45" s="749">
        <f>SUM(INDEX('Actual-ACPLSZ'!$H$7:$T$207,MATCH($B45,'Actual-ACPLSZ'!$B$7:$B$207,0),MATCH('Actual-ACPLSZ'!H$6,'Actual-ACPLSZ'!$H$6:$T$6,0)):INDEX('Actual-ACPLSZ'!$H$7:$T$207,MATCH($B45,'Actual-ACPLSZ'!$B$7:$B$207,0),MATCH(AV$8,'Actual-ACPLSZ'!$H$6:$T$6,0)))</f>
        <v>0</v>
      </c>
      <c r="AW45" s="749">
        <f>SUM(INDEX('Budget-ACPLSZ'!$K$7:$W$207,MATCH($B45,'Budget-ACPLSZ'!$B$7:$B$207,0),MATCH('Budget-ACPLSZ'!K$6,'Budget-ACPLSZ'!$K$6:$W$6,0)):INDEX('Budget-ACPLSZ'!$K$7:$W$207,MATCH($B45,'Budget-ACPLSZ'!$B$7:$B$207,0),MATCH(AW$8,'Budget-ACPLSZ'!$K$6:$W$6,0)))</f>
        <v>0</v>
      </c>
      <c r="AX45" s="749">
        <f t="shared" si="55"/>
        <v>0</v>
      </c>
      <c r="AY45" s="748"/>
      <c r="BA45" s="749">
        <f>SUM(INDEX('Actual-ACPLGZ'!$H$7:$T$207,MATCH($B45,'Actual-ACPLGZ'!$B$7:$B$207,0),MATCH('Actual-ACPLGZ'!H$6,'Actual-ACPLGZ'!$H$6:$T$6,0)):INDEX('Actual-ACPLGZ'!$H$7:$T$207,MATCH($B45,'Actual-ACPLGZ'!$B$7:$B$207,0),MATCH(BA$8,'Actual-ACPLGZ'!$H$6:$T$6,0)))</f>
        <v>0</v>
      </c>
      <c r="BB45" s="749">
        <f>SUM(INDEX('Budget-ACPLGZ'!$K$7:$W$207,MATCH($B45,'Budget-ACPLGZ'!$B$7:$B$207,0),MATCH('Budget-ACPLGZ'!K$6,'Budget-ACPLGZ'!$K$6:$W$6,0)):INDEX('Budget-ACPLGZ'!$K$7:$W$207,MATCH($B45,'Budget-ACPLGZ'!$B$7:$B$207,0),MATCH(BB$8,'Budget-ACPLGZ'!$K$6:$W$6,0)))</f>
        <v>0</v>
      </c>
      <c r="BC45" s="749">
        <f t="shared" si="48"/>
        <v>0</v>
      </c>
      <c r="BD45" s="748"/>
      <c r="BF45" s="749">
        <f>SUM(INDEX('Actual-ACPLYixing'!$H$7:$T$207,MATCH($B45,'Actual-ACPLYixing'!$B$7:$B$207,0),MATCH('Actual-ACPLYixing'!H$6,'Actual-ACPLYixing'!$H$6:$T$6,0)):INDEX('Actual-ACPLYixing'!$H$7:$T$207,MATCH($B45,'Actual-ACPLYixing'!$B$7:$B$207,0),MATCH(BF$8,'Actual-ACPLYixing'!$H$6:$T$6,0)))</f>
        <v>0</v>
      </c>
      <c r="BG45" s="749">
        <f>SUM(INDEX('Budget-Yixing'!$K$7:$W$207,MATCH($B45,'Budget-Yixing'!$B$7:$B$207,0),MATCH('Budget-Yixing'!K$6,'Budget-Yixing'!$K$6:$W$6,0)):INDEX('Budget-Yixing'!$K$7:$W$207,MATCH($B45,'Budget-Yixing'!$B$7:$B$207,0),MATCH(BG$8,'Budget-Yixing'!$K$6:$W$6,0)))</f>
        <v>0</v>
      </c>
      <c r="BH45" s="749">
        <f t="shared" si="49"/>
        <v>0</v>
      </c>
      <c r="BI45" s="748"/>
    </row>
    <row r="46" spans="1:61" ht="16.5" customHeight="1">
      <c r="A46" s="653" t="str">
        <f>'Budget-合并'!A44</f>
        <v>6602.04</v>
      </c>
      <c r="B46" s="653" t="str">
        <f>'Budget-合并'!B44</f>
        <v>咨询及专业服务费</v>
      </c>
      <c r="C46" s="746">
        <f>INDEX('Actual-ACPL'!$H$7:$T$207,MATCH($B46,'Actual-ACPL'!$B$7:$B$207,0),MATCH(C$8,'Actual-ACPL'!$H$6:$T$6,0))</f>
        <v>0</v>
      </c>
      <c r="D46" s="746">
        <f>INDEX('Budget-ACPL'!$K$7:$W$207,MATCH($B46,'Budget-ACPL'!$B$7:$B$207,0),MATCH(D$8,'Budget-ACPL'!$K$6:$W$6,0))</f>
        <v>13794.844999999999</v>
      </c>
      <c r="E46" s="746">
        <f t="shared" si="50"/>
        <v>-13794.844999999999</v>
      </c>
      <c r="F46" s="752"/>
      <c r="H46" s="749">
        <f>INDEX('Actual-ACPLHK'!$H$7:$T$207,MATCH($B46,'Actual-ACPLHK'!$B$7:$B$207,0),MATCH(H$8,'Actual-ACPLHK'!$H$6:$T$6,0))</f>
        <v>0</v>
      </c>
      <c r="I46" s="749">
        <f>INDEX('Budget-ACPLHK'!$K$7:$W$207,MATCH($B46,'Budget-ACPLHK'!$B$7:$B$207,0),MATCH(I$8,'Budget-ACPLHK'!$K$6:$W$6,0))</f>
        <v>24118.728999999999</v>
      </c>
      <c r="J46" s="749">
        <f>H46-I46</f>
        <v>-24118.728999999999</v>
      </c>
      <c r="K46" s="748"/>
      <c r="M46" s="749">
        <f>INDEX('Actual-ACPSZL'!$H$7:$T$207,MATCH($B46,'Actual-ACPSZL'!$B$7:$B$207,0),MATCH(M$8,'Actual-ACPSZL'!$H$6:$T$6,0))</f>
        <v>0</v>
      </c>
      <c r="N46" s="749">
        <f>INDEX('Budget-ACPSZL'!$K$7:$W$207,MATCH($B46,'Budget-ACPSZL'!$B$7:$B$207,0),MATCH(N$8,'Budget-ACPSZL'!$K$6:$W$6,0))</f>
        <v>1200</v>
      </c>
      <c r="O46" s="749">
        <f t="shared" si="51"/>
        <v>-1200</v>
      </c>
      <c r="P46" s="748"/>
      <c r="R46" s="749">
        <f>INDEX('Actual-ACPLSZ'!$H$7:$T$207,MATCH($B46,'Actual-ACPLSZ'!$B$7:$B$207,0),MATCH(R$8,'Actual-ACPLSZ'!$H$6:$T$6,0))</f>
        <v>0</v>
      </c>
      <c r="S46" s="749">
        <f>INDEX('Budget-ACPLSZ'!$K$7:$W$207,MATCH($B46,'Budget-ACPLSZ'!$B$7:$B$207,0),MATCH(S$8,'Budget-ACPLSZ'!$K$6:$W$6,0))</f>
        <v>26062.5</v>
      </c>
      <c r="T46" s="750">
        <f t="shared" si="45"/>
        <v>26062.5</v>
      </c>
      <c r="U46" s="748"/>
      <c r="W46" s="749">
        <f>INDEX('Actual-ACPLGZ'!$H$7:$T$207,MATCH($B46,'Actual-ACPLGZ'!$B$7:$B$207,0),MATCH(W$8,'Actual-ACPLGZ'!$H$6:$T$6,0))</f>
        <v>0</v>
      </c>
      <c r="X46" s="749">
        <f>INDEX('Budget-ACPLGZ'!$K$7:$W$207,MATCH($B46,'Budget-ACPLGZ'!$B$7:$B$207,0),MATCH(X$8,'Budget-ACPLGZ'!$K$6:$W$6,0))</f>
        <v>0</v>
      </c>
      <c r="Y46" s="749">
        <f t="shared" si="52"/>
        <v>0</v>
      </c>
      <c r="Z46" s="748"/>
      <c r="AB46" s="749">
        <f>INDEX('Actual-ACPLGZ'!$H$7:$T$207,MATCH($B46,'Actual-ACPLGZ'!$B$7:$B$207,0),MATCH(AB$8,'Actual-ACPLGZ'!$H$6:$T$6,0))</f>
        <v>0</v>
      </c>
      <c r="AC46" s="749">
        <f>INDEX('Budget-Yixing'!$K$7:$W$207,MATCH($B46,'Budget-Yixing'!$B$7:$B$207,0),MATCH(AC$8,'Budget-Yixing'!$K$6:$W$6,0))</f>
        <v>0</v>
      </c>
      <c r="AD46" s="750">
        <f t="shared" si="46"/>
        <v>0</v>
      </c>
      <c r="AE46" s="748"/>
      <c r="AG46" s="751">
        <f>SUM(INDEX('Actual-ACPL'!$H$7:$T$207,MATCH($B46,'Actual-ACPL'!$B$7:$B$207,0),MATCH('Actual-ACPL'!H$6,'Actual-ACPL'!$H$6:$T$6,0)):INDEX('Actual-ACPL'!$H$7:$T$207,MATCH($B46,'Actual-ACPL'!$B$7:$B$207,0),MATCH(AG$8,'Actual-ACPL'!$H$6:$T$6,0)))</f>
        <v>0</v>
      </c>
      <c r="AH46" s="749">
        <f>SUM(INDEX('Budget-ACPL'!$K$7:$W$207,MATCH($B46,'Budget-ACPL'!$B$7:$B$207,0),MATCH('Budget-ACPL'!K$6,'Budget-ACPL'!$K$6:$W$6,0)):INDEX('Budget-ACPL'!$K$7:$W$207,MATCH($B46,'Budget-ACPL'!$B$7:$B$207,0),MATCH(AH$8,'Budget-ACPL'!$K$6:$W$6,0)))</f>
        <v>13794.844999999999</v>
      </c>
      <c r="AI46" s="749">
        <f t="shared" si="53"/>
        <v>-13794.844999999999</v>
      </c>
      <c r="AJ46" s="748"/>
      <c r="AL46" s="749">
        <f>SUM(INDEX('Actual-ACPLHK'!$H$7:$S$207,MATCH($B46,'Actual-ACPLHK'!$B$7:$B$207,0),MATCH('Actual-ACPLHK'!H$6,'Actual-ACPLHK'!$H$6:$T$6,0)):INDEX('Actual-ACPLHK'!$H$7:$S$207,MATCH($B46,'Actual-ACPLHK'!$B$7:$B$207,0),MATCH(AL$8,'Actual-ACPLHK'!$H$6:$T$6,0)))</f>
        <v>0</v>
      </c>
      <c r="AM46" s="749">
        <f>SUM(INDEX('Budget-ACPLHK'!$K$7:$W$207,MATCH($B46,'Budget-ACPLHK'!$B$7:$B$207,0),MATCH('Budget-ACPLHK'!K$6,'Budget-ACPLHK'!$K$6:$W$6,0)):INDEX('Budget-ACPLHK'!$K$7:$W$207,MATCH($B46,'Budget-ACPLHK'!$B$7:$B$207,0),MATCH(AM$8,'Budget-ACPLHK'!$K$6:$W$6,0)))</f>
        <v>24118.728999999999</v>
      </c>
      <c r="AN46" s="749">
        <f t="shared" si="47"/>
        <v>-24118.728999999999</v>
      </c>
      <c r="AO46" s="748"/>
      <c r="AQ46" s="749">
        <f>SUM(INDEX('Actual-ACPSZL'!$H$7:$T$207,MATCH($B46,'Actual-ACPSZL'!$B$7:$B$207,0),MATCH('Actual-ACPSZL'!H$6,'Actual-ACPSZL'!$H$6:$T$6,0)):INDEX('Actual-ACPSZL'!$H$7:$T$207,MATCH($B46,'Actual-ACPSZL'!$B$7:$B$207,0),MATCH(AQ$8,'Actual-ACPSZL'!$H$6:$T$6,0)))</f>
        <v>0</v>
      </c>
      <c r="AR46" s="749">
        <f>SUM(INDEX('Budget-ACPSZL'!$K$7:$W$207,MATCH($B46,'Budget-ACPSZL'!$B$7:$B$207,0),MATCH('Budget-ACPSZL'!K$6,'Budget-ACPSZL'!$K$6:$W$6,0)):INDEX('Budget-ACPSZL'!$K$7:$W$207,MATCH($B46,'Budget-ACPSZL'!$B$7:$B$207,0),MATCH(AR$8,'Budget-ACPSZL'!$K$6:$W$6,0)))</f>
        <v>1200</v>
      </c>
      <c r="AS46" s="749">
        <f t="shared" si="54"/>
        <v>-1200</v>
      </c>
      <c r="AT46" s="748"/>
      <c r="AV46" s="749">
        <f>SUM(INDEX('Actual-ACPLSZ'!$H$7:$T$207,MATCH($B46,'Actual-ACPLSZ'!$B$7:$B$207,0),MATCH('Actual-ACPLSZ'!H$6,'Actual-ACPLSZ'!$H$6:$T$6,0)):INDEX('Actual-ACPLSZ'!$H$7:$T$207,MATCH($B46,'Actual-ACPLSZ'!$B$7:$B$207,0),MATCH(AV$8,'Actual-ACPLSZ'!$H$6:$T$6,0)))</f>
        <v>0</v>
      </c>
      <c r="AW46" s="749">
        <f>SUM(INDEX('Budget-ACPLSZ'!$K$7:$W$207,MATCH($B46,'Budget-ACPLSZ'!$B$7:$B$207,0),MATCH('Budget-ACPLSZ'!K$6,'Budget-ACPLSZ'!$K$6:$W$6,0)):INDEX('Budget-ACPLSZ'!$K$7:$W$207,MATCH($B46,'Budget-ACPLSZ'!$B$7:$B$207,0),MATCH(AW$8,'Budget-ACPLSZ'!$K$6:$W$6,0)))</f>
        <v>26062.5</v>
      </c>
      <c r="AX46" s="749">
        <f t="shared" si="55"/>
        <v>-26062.5</v>
      </c>
      <c r="AY46" s="748"/>
      <c r="BA46" s="749">
        <f>SUM(INDEX('Actual-ACPLGZ'!$H$7:$T$207,MATCH($B46,'Actual-ACPLGZ'!$B$7:$B$207,0),MATCH('Actual-ACPLGZ'!H$6,'Actual-ACPLGZ'!$H$6:$T$6,0)):INDEX('Actual-ACPLGZ'!$H$7:$T$207,MATCH($B46,'Actual-ACPLGZ'!$B$7:$B$207,0),MATCH(BA$8,'Actual-ACPLGZ'!$H$6:$T$6,0)))</f>
        <v>0</v>
      </c>
      <c r="BB46" s="749">
        <f>SUM(INDEX('Budget-ACPLGZ'!$K$7:$W$207,MATCH($B46,'Budget-ACPLGZ'!$B$7:$B$207,0),MATCH('Budget-ACPLGZ'!K$6,'Budget-ACPLGZ'!$K$6:$W$6,0)):INDEX('Budget-ACPLGZ'!$K$7:$W$207,MATCH($B46,'Budget-ACPLGZ'!$B$7:$B$207,0),MATCH(BB$8,'Budget-ACPLGZ'!$K$6:$W$6,0)))</f>
        <v>0</v>
      </c>
      <c r="BC46" s="749">
        <f t="shared" si="48"/>
        <v>0</v>
      </c>
      <c r="BD46" s="748"/>
      <c r="BF46" s="749">
        <f>SUM(INDEX('Actual-ACPLYixing'!$H$7:$T$207,MATCH($B46,'Actual-ACPLYixing'!$B$7:$B$207,0),MATCH('Actual-ACPLYixing'!H$6,'Actual-ACPLYixing'!$H$6:$T$6,0)):INDEX('Actual-ACPLYixing'!$H$7:$T$207,MATCH($B46,'Actual-ACPLYixing'!$B$7:$B$207,0),MATCH(BF$8,'Actual-ACPLYixing'!$H$6:$T$6,0)))</f>
        <v>0</v>
      </c>
      <c r="BG46" s="749">
        <f>SUM(INDEX('Budget-Yixing'!$K$7:$W$207,MATCH($B46,'Budget-Yixing'!$B$7:$B$207,0),MATCH('Budget-Yixing'!K$6,'Budget-Yixing'!$K$6:$W$6,0)):INDEX('Budget-Yixing'!$K$7:$W$207,MATCH($B46,'Budget-Yixing'!$B$7:$B$207,0),MATCH(BG$8,'Budget-Yixing'!$K$6:$W$6,0)))</f>
        <v>0</v>
      </c>
      <c r="BH46" s="749">
        <f t="shared" si="49"/>
        <v>0</v>
      </c>
      <c r="BI46" s="748"/>
    </row>
    <row r="47" spans="1:61" ht="16.5" customHeight="1">
      <c r="A47" s="653" t="str">
        <f>'Budget-合并'!A45</f>
        <v>6602.04.01</v>
      </c>
      <c r="B47" s="653" t="str">
        <f>'Budget-合并'!B45</f>
        <v>会计服务费</v>
      </c>
      <c r="C47" s="746">
        <f>INDEX('Actual-ACPL'!$H$7:$T$207,MATCH($B47,'Actual-ACPL'!$B$7:$B$207,0),MATCH(C$8,'Actual-ACPL'!$H$6:$T$6,0))</f>
        <v>0</v>
      </c>
      <c r="D47" s="746">
        <f>INDEX('Budget-ACPL'!$K$7:$W$207,MATCH($B47,'Budget-ACPL'!$B$7:$B$207,0),MATCH(D$8,'Budget-ACPL'!$K$6:$W$6,0))</f>
        <v>11569.869999999999</v>
      </c>
      <c r="E47" s="746">
        <f t="shared" si="50"/>
        <v>-11569.869999999999</v>
      </c>
      <c r="F47" s="752"/>
      <c r="H47" s="749">
        <f>INDEX('Actual-ACPLHK'!$H$7:$T$207,MATCH($B47,'Actual-ACPLHK'!$B$7:$B$207,0),MATCH(H$8,'Actual-ACPLHK'!$H$6:$T$6,0))</f>
        <v>0</v>
      </c>
      <c r="I47" s="749">
        <f>INDEX('Budget-ACPLHK'!$K$7:$W$207,MATCH($B47,'Budget-ACPLHK'!$B$7:$B$207,0),MATCH(I$8,'Budget-ACPLHK'!$K$6:$W$6,0))</f>
        <v>8009.91</v>
      </c>
      <c r="J47" s="749">
        <f t="shared" ref="J47:J53" si="56">H47-I47</f>
        <v>-8009.91</v>
      </c>
      <c r="K47" s="748"/>
      <c r="M47" s="749">
        <f>INDEX('Actual-ACPSZL'!$H$7:$T$207,MATCH($B47,'Actual-ACPSZL'!$B$7:$B$207,0),MATCH(M$8,'Actual-ACPSZL'!$H$6:$T$6,0))</f>
        <v>0</v>
      </c>
      <c r="N47" s="749">
        <f>INDEX('Budget-ACPSZL'!$K$7:$W$207,MATCH($B47,'Budget-ACPSZL'!$B$7:$B$207,0),MATCH(N$8,'Budget-ACPSZL'!$K$6:$W$6,0))</f>
        <v>0</v>
      </c>
      <c r="O47" s="749">
        <f t="shared" si="51"/>
        <v>0</v>
      </c>
      <c r="P47" s="748"/>
      <c r="R47" s="749">
        <f>INDEX('Actual-ACPLSZ'!$H$7:$T$207,MATCH($B47,'Actual-ACPLSZ'!$B$7:$B$207,0),MATCH(R$8,'Actual-ACPLSZ'!$H$6:$T$6,0))</f>
        <v>0</v>
      </c>
      <c r="S47" s="749">
        <f>INDEX('Budget-ACPLSZ'!$K$7:$W$207,MATCH($B47,'Budget-ACPLSZ'!$B$7:$B$207,0),MATCH(S$8,'Budget-ACPLSZ'!$K$6:$W$6,0))</f>
        <v>0</v>
      </c>
      <c r="T47" s="750">
        <f t="shared" si="45"/>
        <v>0</v>
      </c>
      <c r="U47" s="748"/>
      <c r="W47" s="749">
        <f>INDEX('Actual-ACPLGZ'!$H$7:$T$207,MATCH($B47,'Actual-ACPLGZ'!$B$7:$B$207,0),MATCH(W$8,'Actual-ACPLGZ'!$H$6:$T$6,0))</f>
        <v>0</v>
      </c>
      <c r="X47" s="749">
        <f>INDEX('Budget-ACPLGZ'!$K$7:$W$207,MATCH($B47,'Budget-ACPLGZ'!$B$7:$B$207,0),MATCH(X$8,'Budget-ACPLGZ'!$K$6:$W$6,0))</f>
        <v>0</v>
      </c>
      <c r="Y47" s="749">
        <f t="shared" si="52"/>
        <v>0</v>
      </c>
      <c r="Z47" s="748"/>
      <c r="AB47" s="749">
        <f>INDEX('Actual-ACPLGZ'!$H$7:$T$207,MATCH($B47,'Actual-ACPLGZ'!$B$7:$B$207,0),MATCH(AB$8,'Actual-ACPLGZ'!$H$6:$T$6,0))</f>
        <v>0</v>
      </c>
      <c r="AC47" s="749">
        <f>INDEX('Budget-Yixing'!$K$7:$W$207,MATCH($B47,'Budget-Yixing'!$B$7:$B$207,0),MATCH(AC$8,'Budget-Yixing'!$K$6:$W$6,0))</f>
        <v>0</v>
      </c>
      <c r="AD47" s="750">
        <f t="shared" si="46"/>
        <v>0</v>
      </c>
      <c r="AE47" s="748"/>
      <c r="AG47" s="751">
        <f>SUM(INDEX('Actual-ACPL'!$H$7:$T$207,MATCH($B47,'Actual-ACPL'!$B$7:$B$207,0),MATCH('Actual-ACPL'!H$6,'Actual-ACPL'!$H$6:$T$6,0)):INDEX('Actual-ACPL'!$H$7:$T$207,MATCH($B47,'Actual-ACPL'!$B$7:$B$207,0),MATCH(AG$8,'Actual-ACPL'!$H$6:$T$6,0)))</f>
        <v>0</v>
      </c>
      <c r="AH47" s="749">
        <f>SUM(INDEX('Budget-ACPL'!$K$7:$W$207,MATCH($B47,'Budget-ACPL'!$B$7:$B$207,0),MATCH('Budget-ACPL'!K$6,'Budget-ACPL'!$K$6:$W$6,0)):INDEX('Budget-ACPL'!$K$7:$W$207,MATCH($B47,'Budget-ACPL'!$B$7:$B$207,0),MATCH(AH$8,'Budget-ACPL'!$K$6:$W$6,0)))</f>
        <v>11569.869999999999</v>
      </c>
      <c r="AI47" s="749">
        <f t="shared" si="53"/>
        <v>-11569.869999999999</v>
      </c>
      <c r="AJ47" s="748"/>
      <c r="AL47" s="749">
        <f>SUM(INDEX('Actual-ACPLHK'!$H$7:$S$207,MATCH($B47,'Actual-ACPLHK'!$B$7:$B$207,0),MATCH('Actual-ACPLHK'!H$6,'Actual-ACPLHK'!$H$6:$T$6,0)):INDEX('Actual-ACPLHK'!$H$7:$S$207,MATCH($B47,'Actual-ACPLHK'!$B$7:$B$207,0),MATCH(AL$8,'Actual-ACPLHK'!$H$6:$T$6,0)))</f>
        <v>0</v>
      </c>
      <c r="AM47" s="749">
        <f>SUM(INDEX('Budget-ACPLHK'!$K$7:$W$207,MATCH($B47,'Budget-ACPLHK'!$B$7:$B$207,0),MATCH('Budget-ACPLHK'!K$6,'Budget-ACPLHK'!$K$6:$W$6,0)):INDEX('Budget-ACPLHK'!$K$7:$W$207,MATCH($B47,'Budget-ACPLHK'!$B$7:$B$207,0),MATCH(AM$8,'Budget-ACPLHK'!$K$6:$W$6,0)))</f>
        <v>8009.91</v>
      </c>
      <c r="AN47" s="749">
        <f t="shared" si="47"/>
        <v>-8009.91</v>
      </c>
      <c r="AO47" s="748"/>
      <c r="AQ47" s="749">
        <f>SUM(INDEX('Actual-ACPSZL'!$H$7:$T$207,MATCH($B47,'Actual-ACPSZL'!$B$7:$B$207,0),MATCH('Actual-ACPSZL'!H$6,'Actual-ACPSZL'!$H$6:$T$6,0)):INDEX('Actual-ACPSZL'!$H$7:$T$207,MATCH($B47,'Actual-ACPSZL'!$B$7:$B$207,0),MATCH(AQ$8,'Actual-ACPSZL'!$H$6:$T$6,0)))</f>
        <v>0</v>
      </c>
      <c r="AR47" s="749">
        <f>SUM(INDEX('Budget-ACPSZL'!$K$7:$W$207,MATCH($B47,'Budget-ACPSZL'!$B$7:$B$207,0),MATCH('Budget-ACPSZL'!K$6,'Budget-ACPSZL'!$K$6:$W$6,0)):INDEX('Budget-ACPSZL'!$K$7:$W$207,MATCH($B47,'Budget-ACPSZL'!$B$7:$B$207,0),MATCH(AR$8,'Budget-ACPSZL'!$K$6:$W$6,0)))</f>
        <v>0</v>
      </c>
      <c r="AS47" s="749">
        <f t="shared" si="54"/>
        <v>0</v>
      </c>
      <c r="AT47" s="748"/>
      <c r="AV47" s="749">
        <f>SUM(INDEX('Actual-ACPLSZ'!$H$7:$T$207,MATCH($B47,'Actual-ACPLSZ'!$B$7:$B$207,0),MATCH('Actual-ACPLSZ'!H$6,'Actual-ACPLSZ'!$H$6:$T$6,0)):INDEX('Actual-ACPLSZ'!$H$7:$T$207,MATCH($B47,'Actual-ACPLSZ'!$B$7:$B$207,0),MATCH(AV$8,'Actual-ACPLSZ'!$H$6:$T$6,0)))</f>
        <v>0</v>
      </c>
      <c r="AW47" s="749">
        <f>SUM(INDEX('Budget-ACPLSZ'!$K$7:$W$207,MATCH($B47,'Budget-ACPLSZ'!$B$7:$B$207,0),MATCH('Budget-ACPLSZ'!K$6,'Budget-ACPLSZ'!$K$6:$W$6,0)):INDEX('Budget-ACPLSZ'!$K$7:$W$207,MATCH($B47,'Budget-ACPLSZ'!$B$7:$B$207,0),MATCH(AW$8,'Budget-ACPLSZ'!$K$6:$W$6,0)))</f>
        <v>0</v>
      </c>
      <c r="AX47" s="749">
        <f t="shared" si="55"/>
        <v>0</v>
      </c>
      <c r="AY47" s="748"/>
      <c r="BA47" s="749">
        <f>SUM(INDEX('Actual-ACPLGZ'!$H$7:$T$207,MATCH($B47,'Actual-ACPLGZ'!$B$7:$B$207,0),MATCH('Actual-ACPLGZ'!H$6,'Actual-ACPLGZ'!$H$6:$T$6,0)):INDEX('Actual-ACPLGZ'!$H$7:$T$207,MATCH($B47,'Actual-ACPLGZ'!$B$7:$B$207,0),MATCH(BA$8,'Actual-ACPLGZ'!$H$6:$T$6,0)))</f>
        <v>0</v>
      </c>
      <c r="BB47" s="749">
        <f>SUM(INDEX('Budget-ACPLGZ'!$K$7:$W$207,MATCH($B47,'Budget-ACPLGZ'!$B$7:$B$207,0),MATCH('Budget-ACPLGZ'!K$6,'Budget-ACPLGZ'!$K$6:$W$6,0)):INDEX('Budget-ACPLGZ'!$K$7:$W$207,MATCH($B47,'Budget-ACPLGZ'!$B$7:$B$207,0),MATCH(BB$8,'Budget-ACPLGZ'!$K$6:$W$6,0)))</f>
        <v>0</v>
      </c>
      <c r="BC47" s="749">
        <f t="shared" si="48"/>
        <v>0</v>
      </c>
      <c r="BD47" s="748"/>
      <c r="BF47" s="749">
        <f>SUM(INDEX('Actual-ACPLYixing'!$H$7:$T$207,MATCH($B47,'Actual-ACPLYixing'!$B$7:$B$207,0),MATCH('Actual-ACPLYixing'!H$6,'Actual-ACPLYixing'!$H$6:$T$6,0)):INDEX('Actual-ACPLYixing'!$H$7:$T$207,MATCH($B47,'Actual-ACPLYixing'!$B$7:$B$207,0),MATCH(BF$8,'Actual-ACPLYixing'!$H$6:$T$6,0)))</f>
        <v>0</v>
      </c>
      <c r="BG47" s="749">
        <f>SUM(INDEX('Budget-Yixing'!$K$7:$W$207,MATCH($B47,'Budget-Yixing'!$B$7:$B$207,0),MATCH('Budget-Yixing'!K$6,'Budget-Yixing'!$K$6:$W$6,0)):INDEX('Budget-Yixing'!$K$7:$W$207,MATCH($B47,'Budget-Yixing'!$B$7:$B$207,0),MATCH(BG$8,'Budget-Yixing'!$K$6:$W$6,0)))</f>
        <v>0</v>
      </c>
      <c r="BH47" s="749">
        <f t="shared" si="49"/>
        <v>0</v>
      </c>
      <c r="BI47" s="748"/>
    </row>
    <row r="48" spans="1:61" ht="16.5" customHeight="1">
      <c r="A48" s="653" t="str">
        <f>'Budget-合并'!A46</f>
        <v>6602.04.02</v>
      </c>
      <c r="B48" s="653" t="str">
        <f>'Budget-合并'!B46</f>
        <v>审计服务费</v>
      </c>
      <c r="C48" s="746">
        <f>INDEX('Actual-ACPL'!$H$7:$T$207,MATCH($B48,'Actual-ACPL'!$B$7:$B$207,0),MATCH(C$8,'Actual-ACPL'!$H$6:$T$6,0))</f>
        <v>0</v>
      </c>
      <c r="D48" s="746">
        <f>INDEX('Budget-ACPL'!$K$7:$W$207,MATCH($B48,'Budget-ACPL'!$B$7:$B$207,0),MATCH(D$8,'Budget-ACPL'!$K$6:$W$6,0))</f>
        <v>0</v>
      </c>
      <c r="E48" s="746">
        <f t="shared" si="50"/>
        <v>0</v>
      </c>
      <c r="F48" s="752"/>
      <c r="H48" s="749">
        <f>INDEX('Actual-ACPLHK'!$H$7:$T$207,MATCH($B48,'Actual-ACPLHK'!$B$7:$B$207,0),MATCH(H$8,'Actual-ACPLHK'!$H$6:$T$6,0))</f>
        <v>0</v>
      </c>
      <c r="I48" s="749">
        <f>INDEX('Budget-ACPLHK'!$K$7:$W$207,MATCH($B48,'Budget-ACPLHK'!$B$7:$B$207,0),MATCH(I$8,'Budget-ACPLHK'!$K$6:$W$6,0))</f>
        <v>0</v>
      </c>
      <c r="J48" s="749">
        <f t="shared" si="56"/>
        <v>0</v>
      </c>
      <c r="K48" s="748"/>
      <c r="M48" s="749">
        <f>INDEX('Actual-ACPSZL'!$H$7:$T$207,MATCH($B48,'Actual-ACPSZL'!$B$7:$B$207,0),MATCH(M$8,'Actual-ACPSZL'!$H$6:$T$6,0))</f>
        <v>0</v>
      </c>
      <c r="N48" s="749">
        <f>INDEX('Budget-ACPSZL'!$K$7:$W$207,MATCH($B48,'Budget-ACPSZL'!$B$7:$B$207,0),MATCH(N$8,'Budget-ACPSZL'!$K$6:$W$6,0))</f>
        <v>0</v>
      </c>
      <c r="O48" s="749">
        <f t="shared" si="51"/>
        <v>0</v>
      </c>
      <c r="P48" s="748"/>
      <c r="R48" s="749">
        <f>INDEX('Actual-ACPLSZ'!$H$7:$T$207,MATCH($B48,'Actual-ACPLSZ'!$B$7:$B$207,0),MATCH(R$8,'Actual-ACPLSZ'!$H$6:$T$6,0))</f>
        <v>0</v>
      </c>
      <c r="S48" s="749">
        <f>INDEX('Budget-ACPLSZ'!$K$7:$W$207,MATCH($B48,'Budget-ACPLSZ'!$B$7:$B$207,0),MATCH(S$8,'Budget-ACPLSZ'!$K$6:$W$6,0))</f>
        <v>0</v>
      </c>
      <c r="T48" s="750">
        <f t="shared" si="45"/>
        <v>0</v>
      </c>
      <c r="U48" s="748"/>
      <c r="W48" s="749">
        <f>INDEX('Actual-ACPLGZ'!$H$7:$T$207,MATCH($B48,'Actual-ACPLGZ'!$B$7:$B$207,0),MATCH(W$8,'Actual-ACPLGZ'!$H$6:$T$6,0))</f>
        <v>0</v>
      </c>
      <c r="X48" s="749">
        <f>INDEX('Budget-ACPLGZ'!$K$7:$W$207,MATCH($B48,'Budget-ACPLGZ'!$B$7:$B$207,0),MATCH(X$8,'Budget-ACPLGZ'!$K$6:$W$6,0))</f>
        <v>0</v>
      </c>
      <c r="Y48" s="749">
        <f t="shared" si="52"/>
        <v>0</v>
      </c>
      <c r="Z48" s="748"/>
      <c r="AB48" s="749">
        <f>INDEX('Actual-ACPLGZ'!$H$7:$T$207,MATCH($B48,'Actual-ACPLGZ'!$B$7:$B$207,0),MATCH(AB$8,'Actual-ACPLGZ'!$H$6:$T$6,0))</f>
        <v>0</v>
      </c>
      <c r="AC48" s="749">
        <f>INDEX('Budget-Yixing'!$K$7:$W$207,MATCH($B48,'Budget-Yixing'!$B$7:$B$207,0),MATCH(AC$8,'Budget-Yixing'!$K$6:$W$6,0))</f>
        <v>0</v>
      </c>
      <c r="AD48" s="750">
        <f t="shared" si="46"/>
        <v>0</v>
      </c>
      <c r="AE48" s="748"/>
      <c r="AG48" s="751">
        <f>SUM(INDEX('Actual-ACPL'!$H$7:$T$207,MATCH($B48,'Actual-ACPL'!$B$7:$B$207,0),MATCH('Actual-ACPL'!H$6,'Actual-ACPL'!$H$6:$T$6,0)):INDEX('Actual-ACPL'!$H$7:$T$207,MATCH($B48,'Actual-ACPL'!$B$7:$B$207,0),MATCH(AG$8,'Actual-ACPL'!$H$6:$T$6,0)))</f>
        <v>0</v>
      </c>
      <c r="AH48" s="749">
        <f>SUM(INDEX('Budget-ACPL'!$K$7:$W$207,MATCH($B48,'Budget-ACPL'!$B$7:$B$207,0),MATCH('Budget-ACPL'!K$6,'Budget-ACPL'!$K$6:$W$6,0)):INDEX('Budget-ACPL'!$K$7:$W$207,MATCH($B48,'Budget-ACPL'!$B$7:$B$207,0),MATCH(AH$8,'Budget-ACPL'!$K$6:$W$6,0)))</f>
        <v>0</v>
      </c>
      <c r="AI48" s="749">
        <f t="shared" si="53"/>
        <v>0</v>
      </c>
      <c r="AJ48" s="748"/>
      <c r="AL48" s="749">
        <f>SUM(INDEX('Actual-ACPLHK'!$H$7:$S$207,MATCH($B48,'Actual-ACPLHK'!$B$7:$B$207,0),MATCH('Actual-ACPLHK'!H$6,'Actual-ACPLHK'!$H$6:$T$6,0)):INDEX('Actual-ACPLHK'!$H$7:$S$207,MATCH($B48,'Actual-ACPLHK'!$B$7:$B$207,0),MATCH(AL$8,'Actual-ACPLHK'!$H$6:$T$6,0)))</f>
        <v>0</v>
      </c>
      <c r="AM48" s="749">
        <f>SUM(INDEX('Budget-ACPLHK'!$K$7:$W$207,MATCH($B48,'Budget-ACPLHK'!$B$7:$B$207,0),MATCH('Budget-ACPLHK'!K$6,'Budget-ACPLHK'!$K$6:$W$6,0)):INDEX('Budget-ACPLHK'!$K$7:$W$207,MATCH($B48,'Budget-ACPLHK'!$B$7:$B$207,0),MATCH(AM$8,'Budget-ACPLHK'!$K$6:$W$6,0)))</f>
        <v>0</v>
      </c>
      <c r="AN48" s="749">
        <f t="shared" si="47"/>
        <v>0</v>
      </c>
      <c r="AO48" s="748"/>
      <c r="AQ48" s="749">
        <f>SUM(INDEX('Actual-ACPSZL'!$H$7:$T$207,MATCH($B48,'Actual-ACPSZL'!$B$7:$B$207,0),MATCH('Actual-ACPSZL'!H$6,'Actual-ACPSZL'!$H$6:$T$6,0)):INDEX('Actual-ACPSZL'!$H$7:$T$207,MATCH($B48,'Actual-ACPSZL'!$B$7:$B$207,0),MATCH(AQ$8,'Actual-ACPSZL'!$H$6:$T$6,0)))</f>
        <v>0</v>
      </c>
      <c r="AR48" s="749">
        <f>SUM(INDEX('Budget-ACPSZL'!$K$7:$W$207,MATCH($B48,'Budget-ACPSZL'!$B$7:$B$207,0),MATCH('Budget-ACPSZL'!K$6,'Budget-ACPSZL'!$K$6:$W$6,0)):INDEX('Budget-ACPSZL'!$K$7:$W$207,MATCH($B48,'Budget-ACPSZL'!$B$7:$B$207,0),MATCH(AR$8,'Budget-ACPSZL'!$K$6:$W$6,0)))</f>
        <v>0</v>
      </c>
      <c r="AS48" s="749">
        <f t="shared" si="54"/>
        <v>0</v>
      </c>
      <c r="AT48" s="748"/>
      <c r="AV48" s="749">
        <f>SUM(INDEX('Actual-ACPLSZ'!$H$7:$T$207,MATCH($B48,'Actual-ACPLSZ'!$B$7:$B$207,0),MATCH('Actual-ACPLSZ'!H$6,'Actual-ACPLSZ'!$H$6:$T$6,0)):INDEX('Actual-ACPLSZ'!$H$7:$T$207,MATCH($B48,'Actual-ACPLSZ'!$B$7:$B$207,0),MATCH(AV$8,'Actual-ACPLSZ'!$H$6:$T$6,0)))</f>
        <v>0</v>
      </c>
      <c r="AW48" s="749">
        <f>SUM(INDEX('Budget-ACPLSZ'!$K$7:$W$207,MATCH($B48,'Budget-ACPLSZ'!$B$7:$B$207,0),MATCH('Budget-ACPLSZ'!K$6,'Budget-ACPLSZ'!$K$6:$W$6,0)):INDEX('Budget-ACPLSZ'!$K$7:$W$207,MATCH($B48,'Budget-ACPLSZ'!$B$7:$B$207,0),MATCH(AW$8,'Budget-ACPLSZ'!$K$6:$W$6,0)))</f>
        <v>0</v>
      </c>
      <c r="AX48" s="749">
        <f t="shared" si="55"/>
        <v>0</v>
      </c>
      <c r="AY48" s="748"/>
      <c r="BA48" s="749">
        <f>SUM(INDEX('Actual-ACPLGZ'!$H$7:$T$207,MATCH($B48,'Actual-ACPLGZ'!$B$7:$B$207,0),MATCH('Actual-ACPLGZ'!H$6,'Actual-ACPLGZ'!$H$6:$T$6,0)):INDEX('Actual-ACPLGZ'!$H$7:$T$207,MATCH($B48,'Actual-ACPLGZ'!$B$7:$B$207,0),MATCH(BA$8,'Actual-ACPLGZ'!$H$6:$T$6,0)))</f>
        <v>0</v>
      </c>
      <c r="BB48" s="749">
        <f>SUM(INDEX('Budget-ACPLGZ'!$K$7:$W$207,MATCH($B48,'Budget-ACPLGZ'!$B$7:$B$207,0),MATCH('Budget-ACPLGZ'!K$6,'Budget-ACPLGZ'!$K$6:$W$6,0)):INDEX('Budget-ACPLGZ'!$K$7:$W$207,MATCH($B48,'Budget-ACPLGZ'!$B$7:$B$207,0),MATCH(BB$8,'Budget-ACPLGZ'!$K$6:$W$6,0)))</f>
        <v>0</v>
      </c>
      <c r="BC48" s="749">
        <f t="shared" si="48"/>
        <v>0</v>
      </c>
      <c r="BD48" s="748"/>
      <c r="BF48" s="749">
        <f>SUM(INDEX('Actual-ACPLYixing'!$H$7:$T$207,MATCH($B48,'Actual-ACPLYixing'!$B$7:$B$207,0),MATCH('Actual-ACPLYixing'!H$6,'Actual-ACPLYixing'!$H$6:$T$6,0)):INDEX('Actual-ACPLYixing'!$H$7:$T$207,MATCH($B48,'Actual-ACPLYixing'!$B$7:$B$207,0),MATCH(BF$8,'Actual-ACPLYixing'!$H$6:$T$6,0)))</f>
        <v>0</v>
      </c>
      <c r="BG48" s="749">
        <f>SUM(INDEX('Budget-Yixing'!$K$7:$W$207,MATCH($B48,'Budget-Yixing'!$B$7:$B$207,0),MATCH('Budget-Yixing'!K$6,'Budget-Yixing'!$K$6:$W$6,0)):INDEX('Budget-Yixing'!$K$7:$W$207,MATCH($B48,'Budget-Yixing'!$B$7:$B$207,0),MATCH(BG$8,'Budget-Yixing'!$K$6:$W$6,0)))</f>
        <v>0</v>
      </c>
      <c r="BH48" s="749">
        <f t="shared" si="49"/>
        <v>0</v>
      </c>
      <c r="BI48" s="748"/>
    </row>
    <row r="49" spans="1:61" ht="16.5" customHeight="1">
      <c r="A49" s="653" t="str">
        <f>'Budget-合并'!A47</f>
        <v>6602.04.03</v>
      </c>
      <c r="B49" s="653" t="str">
        <f>'Budget-合并'!B47</f>
        <v>顾问费</v>
      </c>
      <c r="C49" s="746">
        <f>INDEX('Actual-ACPL'!$H$7:$T$207,MATCH($B49,'Actual-ACPL'!$B$7:$B$207,0),MATCH(C$8,'Actual-ACPL'!$H$6:$T$6,0))</f>
        <v>0</v>
      </c>
      <c r="D49" s="746">
        <f>INDEX('Budget-ACPL'!$K$7:$W$207,MATCH($B49,'Budget-ACPL'!$B$7:$B$207,0),MATCH(D$8,'Budget-ACPL'!$K$6:$W$6,0))</f>
        <v>0</v>
      </c>
      <c r="E49" s="746">
        <f t="shared" si="50"/>
        <v>0</v>
      </c>
      <c r="F49" s="752"/>
      <c r="H49" s="749">
        <f>INDEX('Actual-ACPLHK'!$H$7:$T$207,MATCH($B49,'Actual-ACPLHK'!$B$7:$B$207,0),MATCH(H$8,'Actual-ACPLHK'!$H$6:$T$6,0))</f>
        <v>0</v>
      </c>
      <c r="I49" s="749">
        <f>INDEX('Budget-ACPLHK'!$K$7:$W$207,MATCH($B49,'Budget-ACPLHK'!$B$7:$B$207,0),MATCH(I$8,'Budget-ACPLHK'!$K$6:$W$6,0))</f>
        <v>0</v>
      </c>
      <c r="J49" s="749">
        <f t="shared" si="56"/>
        <v>0</v>
      </c>
      <c r="K49" s="748"/>
      <c r="M49" s="749">
        <f>INDEX('Actual-ACPSZL'!$H$7:$T$207,MATCH($B49,'Actual-ACPSZL'!$B$7:$B$207,0),MATCH(M$8,'Actual-ACPSZL'!$H$6:$T$6,0))</f>
        <v>0</v>
      </c>
      <c r="N49" s="749">
        <f>INDEX('Budget-ACPSZL'!$K$7:$W$207,MATCH($B49,'Budget-ACPSZL'!$B$7:$B$207,0),MATCH(N$8,'Budget-ACPSZL'!$K$6:$W$6,0))</f>
        <v>0</v>
      </c>
      <c r="O49" s="749">
        <f t="shared" si="51"/>
        <v>0</v>
      </c>
      <c r="P49" s="748"/>
      <c r="R49" s="749">
        <f>INDEX('Actual-ACPLSZ'!$H$7:$T$207,MATCH($B49,'Actual-ACPLSZ'!$B$7:$B$207,0),MATCH(R$8,'Actual-ACPLSZ'!$H$6:$T$6,0))</f>
        <v>0</v>
      </c>
      <c r="S49" s="749">
        <f>INDEX('Budget-ACPLSZ'!$K$7:$W$207,MATCH($B49,'Budget-ACPLSZ'!$B$7:$B$207,0),MATCH(S$8,'Budget-ACPLSZ'!$K$6:$W$6,0))</f>
        <v>0</v>
      </c>
      <c r="T49" s="750">
        <f t="shared" si="45"/>
        <v>0</v>
      </c>
      <c r="U49" s="748"/>
      <c r="W49" s="749">
        <f>INDEX('Actual-ACPLGZ'!$H$7:$T$207,MATCH($B49,'Actual-ACPLGZ'!$B$7:$B$207,0),MATCH(W$8,'Actual-ACPLGZ'!$H$6:$T$6,0))</f>
        <v>0</v>
      </c>
      <c r="X49" s="749">
        <f>INDEX('Budget-ACPLGZ'!$K$7:$W$207,MATCH($B49,'Budget-ACPLGZ'!$B$7:$B$207,0),MATCH(X$8,'Budget-ACPLGZ'!$K$6:$W$6,0))</f>
        <v>0</v>
      </c>
      <c r="Y49" s="749">
        <f t="shared" si="52"/>
        <v>0</v>
      </c>
      <c r="Z49" s="748"/>
      <c r="AB49" s="749">
        <f>INDEX('Actual-ACPLGZ'!$H$7:$T$207,MATCH($B49,'Actual-ACPLGZ'!$B$7:$B$207,0),MATCH(AB$8,'Actual-ACPLGZ'!$H$6:$T$6,0))</f>
        <v>0</v>
      </c>
      <c r="AC49" s="749">
        <f>INDEX('Budget-Yixing'!$K$7:$W$207,MATCH($B49,'Budget-Yixing'!$B$7:$B$207,0),MATCH(AC$8,'Budget-Yixing'!$K$6:$W$6,0))</f>
        <v>0</v>
      </c>
      <c r="AD49" s="750">
        <f t="shared" si="46"/>
        <v>0</v>
      </c>
      <c r="AE49" s="748"/>
      <c r="AG49" s="751">
        <f>SUM(INDEX('Actual-ACPL'!$H$7:$T$207,MATCH($B49,'Actual-ACPL'!$B$7:$B$207,0),MATCH('Actual-ACPL'!H$6,'Actual-ACPL'!$H$6:$T$6,0)):INDEX('Actual-ACPL'!$H$7:$T$207,MATCH($B49,'Actual-ACPL'!$B$7:$B$207,0),MATCH(AG$8,'Actual-ACPL'!$H$6:$T$6,0)))</f>
        <v>0</v>
      </c>
      <c r="AH49" s="749">
        <f>SUM(INDEX('Budget-ACPL'!$K$7:$W$207,MATCH($B49,'Budget-ACPL'!$B$7:$B$207,0),MATCH('Budget-ACPL'!K$6,'Budget-ACPL'!$K$6:$W$6,0)):INDEX('Budget-ACPL'!$K$7:$W$207,MATCH($B49,'Budget-ACPL'!$B$7:$B$207,0),MATCH(AH$8,'Budget-ACPL'!$K$6:$W$6,0)))</f>
        <v>0</v>
      </c>
      <c r="AI49" s="749">
        <f t="shared" si="53"/>
        <v>0</v>
      </c>
      <c r="AJ49" s="748"/>
      <c r="AL49" s="749">
        <f>SUM(INDEX('Actual-ACPLHK'!$H$7:$S$207,MATCH($B49,'Actual-ACPLHK'!$B$7:$B$207,0),MATCH('Actual-ACPLHK'!H$6,'Actual-ACPLHK'!$H$6:$T$6,0)):INDEX('Actual-ACPLHK'!$H$7:$S$207,MATCH($B49,'Actual-ACPLHK'!$B$7:$B$207,0),MATCH(AL$8,'Actual-ACPLHK'!$H$6:$T$6,0)))</f>
        <v>0</v>
      </c>
      <c r="AM49" s="749">
        <f>SUM(INDEX('Budget-ACPLHK'!$K$7:$W$207,MATCH($B49,'Budget-ACPLHK'!$B$7:$B$207,0),MATCH('Budget-ACPLHK'!K$6,'Budget-ACPLHK'!$K$6:$W$6,0)):INDEX('Budget-ACPLHK'!$K$7:$W$207,MATCH($B49,'Budget-ACPLHK'!$B$7:$B$207,0),MATCH(AM$8,'Budget-ACPLHK'!$K$6:$W$6,0)))</f>
        <v>0</v>
      </c>
      <c r="AN49" s="749">
        <f t="shared" si="47"/>
        <v>0</v>
      </c>
      <c r="AO49" s="748"/>
      <c r="AQ49" s="749">
        <f>SUM(INDEX('Actual-ACPSZL'!$H$7:$T$207,MATCH($B49,'Actual-ACPSZL'!$B$7:$B$207,0),MATCH('Actual-ACPSZL'!H$6,'Actual-ACPSZL'!$H$6:$T$6,0)):INDEX('Actual-ACPSZL'!$H$7:$T$207,MATCH($B49,'Actual-ACPSZL'!$B$7:$B$207,0),MATCH(AQ$8,'Actual-ACPSZL'!$H$6:$T$6,0)))</f>
        <v>0</v>
      </c>
      <c r="AR49" s="749">
        <f>SUM(INDEX('Budget-ACPSZL'!$K$7:$W$207,MATCH($B49,'Budget-ACPSZL'!$B$7:$B$207,0),MATCH('Budget-ACPSZL'!K$6,'Budget-ACPSZL'!$K$6:$W$6,0)):INDEX('Budget-ACPSZL'!$K$7:$W$207,MATCH($B49,'Budget-ACPSZL'!$B$7:$B$207,0),MATCH(AR$8,'Budget-ACPSZL'!$K$6:$W$6,0)))</f>
        <v>0</v>
      </c>
      <c r="AS49" s="749">
        <f t="shared" si="54"/>
        <v>0</v>
      </c>
      <c r="AT49" s="748"/>
      <c r="AV49" s="749">
        <f>SUM(INDEX('Actual-ACPLSZ'!$H$7:$T$207,MATCH($B49,'Actual-ACPLSZ'!$B$7:$B$207,0),MATCH('Actual-ACPLSZ'!H$6,'Actual-ACPLSZ'!$H$6:$T$6,0)):INDEX('Actual-ACPLSZ'!$H$7:$T$207,MATCH($B49,'Actual-ACPLSZ'!$B$7:$B$207,0),MATCH(AV$8,'Actual-ACPLSZ'!$H$6:$T$6,0)))</f>
        <v>0</v>
      </c>
      <c r="AW49" s="749">
        <f>SUM(INDEX('Budget-ACPLSZ'!$K$7:$W$207,MATCH($B49,'Budget-ACPLSZ'!$B$7:$B$207,0),MATCH('Budget-ACPLSZ'!K$6,'Budget-ACPLSZ'!$K$6:$W$6,0)):INDEX('Budget-ACPLSZ'!$K$7:$W$207,MATCH($B49,'Budget-ACPLSZ'!$B$7:$B$207,0),MATCH(AW$8,'Budget-ACPLSZ'!$K$6:$W$6,0)))</f>
        <v>0</v>
      </c>
      <c r="AX49" s="749">
        <f t="shared" si="55"/>
        <v>0</v>
      </c>
      <c r="AY49" s="748"/>
      <c r="BA49" s="749">
        <f>SUM(INDEX('Actual-ACPLGZ'!$H$7:$T$207,MATCH($B49,'Actual-ACPLGZ'!$B$7:$B$207,0),MATCH('Actual-ACPLGZ'!H$6,'Actual-ACPLGZ'!$H$6:$T$6,0)):INDEX('Actual-ACPLGZ'!$H$7:$T$207,MATCH($B49,'Actual-ACPLGZ'!$B$7:$B$207,0),MATCH(BA$8,'Actual-ACPLGZ'!$H$6:$T$6,0)))</f>
        <v>0</v>
      </c>
      <c r="BB49" s="749">
        <f>SUM(INDEX('Budget-ACPLGZ'!$K$7:$W$207,MATCH($B49,'Budget-ACPLGZ'!$B$7:$B$207,0),MATCH('Budget-ACPLGZ'!K$6,'Budget-ACPLGZ'!$K$6:$W$6,0)):INDEX('Budget-ACPLGZ'!$K$7:$W$207,MATCH($B49,'Budget-ACPLGZ'!$B$7:$B$207,0),MATCH(BB$8,'Budget-ACPLGZ'!$K$6:$W$6,0)))</f>
        <v>0</v>
      </c>
      <c r="BC49" s="749">
        <f t="shared" si="48"/>
        <v>0</v>
      </c>
      <c r="BD49" s="748"/>
      <c r="BF49" s="749">
        <f>SUM(INDEX('Actual-ACPLYixing'!$H$7:$T$207,MATCH($B49,'Actual-ACPLYixing'!$B$7:$B$207,0),MATCH('Actual-ACPLYixing'!H$6,'Actual-ACPLYixing'!$H$6:$T$6,0)):INDEX('Actual-ACPLYixing'!$H$7:$T$207,MATCH($B49,'Actual-ACPLYixing'!$B$7:$B$207,0),MATCH(BF$8,'Actual-ACPLYixing'!$H$6:$T$6,0)))</f>
        <v>0</v>
      </c>
      <c r="BG49" s="749">
        <f>SUM(INDEX('Budget-Yixing'!$K$7:$W$207,MATCH($B49,'Budget-Yixing'!$B$7:$B$207,0),MATCH('Budget-Yixing'!K$6,'Budget-Yixing'!$K$6:$W$6,0)):INDEX('Budget-Yixing'!$K$7:$W$207,MATCH($B49,'Budget-Yixing'!$B$7:$B$207,0),MATCH(BG$8,'Budget-Yixing'!$K$6:$W$6,0)))</f>
        <v>0</v>
      </c>
      <c r="BH49" s="749">
        <f t="shared" si="49"/>
        <v>0</v>
      </c>
      <c r="BI49" s="748"/>
    </row>
    <row r="50" spans="1:61" ht="16.5" customHeight="1">
      <c r="A50" s="653">
        <f>'Budget-合并'!A48</f>
        <v>0</v>
      </c>
      <c r="B50" s="653" t="str">
        <f>'Budget-合并'!B48</f>
        <v xml:space="preserve">    公司主体01</v>
      </c>
      <c r="C50" s="746">
        <f>INDEX('Actual-ACPL'!$H$7:$T$207,MATCH($B50,'Actual-ACPL'!$B$7:$B$207,0),MATCH(C$8,'Actual-ACPL'!$H$6:$T$6,0))</f>
        <v>0</v>
      </c>
      <c r="D50" s="746">
        <f>INDEX('Budget-ACPL'!$K$7:$W$207,MATCH($B50,'Budget-ACPL'!$B$7:$B$207,0),MATCH(D$8,'Budget-ACPL'!$K$6:$W$6,0))</f>
        <v>0</v>
      </c>
      <c r="E50" s="746">
        <f t="shared" si="50"/>
        <v>0</v>
      </c>
      <c r="F50" s="752"/>
      <c r="H50" s="749">
        <f>INDEX('Actual-ACPLHK'!$H$7:$T$207,MATCH($B50,'Actual-ACPLHK'!$B$7:$B$207,0),MATCH(H$8,'Actual-ACPLHK'!$H$6:$T$6,0))</f>
        <v>0</v>
      </c>
      <c r="I50" s="749">
        <f>INDEX('Budget-ACPLHK'!$K$7:$W$207,MATCH($B50,'Budget-ACPLHK'!$B$7:$B$207,0),MATCH(I$8,'Budget-ACPLHK'!$K$6:$W$6,0))</f>
        <v>0</v>
      </c>
      <c r="J50" s="749">
        <f t="shared" si="56"/>
        <v>0</v>
      </c>
      <c r="K50" s="748"/>
      <c r="M50" s="749">
        <f>INDEX('Actual-ACPSZL'!$H$7:$T$207,MATCH($B50,'Actual-ACPSZL'!$B$7:$B$207,0),MATCH(M$8,'Actual-ACPSZL'!$H$6:$T$6,0))</f>
        <v>0</v>
      </c>
      <c r="N50" s="749">
        <f>INDEX('Budget-ACPSZL'!$K$7:$W$207,MATCH($B50,'Budget-ACPSZL'!$B$7:$B$207,0),MATCH(N$8,'Budget-ACPSZL'!$K$6:$W$6,0))</f>
        <v>0</v>
      </c>
      <c r="O50" s="749">
        <f t="shared" si="51"/>
        <v>0</v>
      </c>
      <c r="P50" s="748"/>
      <c r="R50" s="749">
        <f>INDEX('Actual-ACPLSZ'!$H$7:$T$207,MATCH($B50,'Actual-ACPLSZ'!$B$7:$B$207,0),MATCH(R$8,'Actual-ACPLSZ'!$H$6:$T$6,0))</f>
        <v>0</v>
      </c>
      <c r="S50" s="749">
        <f>INDEX('Budget-ACPLSZ'!$K$7:$W$207,MATCH($B50,'Budget-ACPLSZ'!$B$7:$B$207,0),MATCH(S$8,'Budget-ACPLSZ'!$K$6:$W$6,0))</f>
        <v>0</v>
      </c>
      <c r="T50" s="750">
        <f t="shared" si="45"/>
        <v>0</v>
      </c>
      <c r="U50" s="748"/>
      <c r="W50" s="749">
        <f>INDEX('Actual-ACPLGZ'!$H$7:$T$207,MATCH($B50,'Actual-ACPLGZ'!$B$7:$B$207,0),MATCH(W$8,'Actual-ACPLGZ'!$H$6:$T$6,0))</f>
        <v>0</v>
      </c>
      <c r="X50" s="749">
        <f>INDEX('Budget-ACPLGZ'!$K$7:$W$207,MATCH($B50,'Budget-ACPLGZ'!$B$7:$B$207,0),MATCH(X$8,'Budget-ACPLGZ'!$K$6:$W$6,0))</f>
        <v>0</v>
      </c>
      <c r="Y50" s="749">
        <f t="shared" si="52"/>
        <v>0</v>
      </c>
      <c r="Z50" s="748"/>
      <c r="AB50" s="749">
        <f>INDEX('Actual-ACPLGZ'!$H$7:$T$207,MATCH($B50,'Actual-ACPLGZ'!$B$7:$B$207,0),MATCH(AB$8,'Actual-ACPLGZ'!$H$6:$T$6,0))</f>
        <v>0</v>
      </c>
      <c r="AC50" s="749">
        <f>INDEX('Budget-Yixing'!$K$7:$W$207,MATCH($B50,'Budget-Yixing'!$B$7:$B$207,0),MATCH(AC$8,'Budget-Yixing'!$K$6:$W$6,0))</f>
        <v>0</v>
      </c>
      <c r="AD50" s="750">
        <f t="shared" si="46"/>
        <v>0</v>
      </c>
      <c r="AE50" s="748"/>
      <c r="AG50" s="751">
        <f>SUM(INDEX('Actual-ACPL'!$H$7:$T$207,MATCH($B50,'Actual-ACPL'!$B$7:$B$207,0),MATCH('Actual-ACPL'!H$6,'Actual-ACPL'!$H$6:$T$6,0)):INDEX('Actual-ACPL'!$H$7:$T$207,MATCH($B50,'Actual-ACPL'!$B$7:$B$207,0),MATCH(AG$8,'Actual-ACPL'!$H$6:$T$6,0)))</f>
        <v>0</v>
      </c>
      <c r="AH50" s="749">
        <f>SUM(INDEX('Budget-ACPL'!$K$7:$W$207,MATCH($B50,'Budget-ACPL'!$B$7:$B$207,0),MATCH('Budget-ACPL'!K$6,'Budget-ACPL'!$K$6:$W$6,0)):INDEX('Budget-ACPL'!$K$7:$W$207,MATCH($B50,'Budget-ACPL'!$B$7:$B$207,0),MATCH(AH$8,'Budget-ACPL'!$K$6:$W$6,0)))</f>
        <v>0</v>
      </c>
      <c r="AI50" s="749">
        <f t="shared" si="53"/>
        <v>0</v>
      </c>
      <c r="AJ50" s="748"/>
      <c r="AL50" s="749">
        <f>SUM(INDEX('Actual-ACPLHK'!$H$7:$S$207,MATCH($B50,'Actual-ACPLHK'!$B$7:$B$207,0),MATCH('Actual-ACPLHK'!H$6,'Actual-ACPLHK'!$H$6:$T$6,0)):INDEX('Actual-ACPLHK'!$H$7:$S$207,MATCH($B50,'Actual-ACPLHK'!$B$7:$B$207,0),MATCH(AL$8,'Actual-ACPLHK'!$H$6:$T$6,0)))</f>
        <v>0</v>
      </c>
      <c r="AM50" s="749">
        <f>SUM(INDEX('Budget-ACPLHK'!$K$7:$W$207,MATCH($B50,'Budget-ACPLHK'!$B$7:$B$207,0),MATCH('Budget-ACPLHK'!K$6,'Budget-ACPLHK'!$K$6:$W$6,0)):INDEX('Budget-ACPLHK'!$K$7:$W$207,MATCH($B50,'Budget-ACPLHK'!$B$7:$B$207,0),MATCH(AM$8,'Budget-ACPLHK'!$K$6:$W$6,0)))</f>
        <v>0</v>
      </c>
      <c r="AN50" s="749">
        <f t="shared" si="47"/>
        <v>0</v>
      </c>
      <c r="AO50" s="748"/>
      <c r="AQ50" s="749">
        <f>SUM(INDEX('Actual-ACPSZL'!$H$7:$T$207,MATCH($B50,'Actual-ACPSZL'!$B$7:$B$207,0),MATCH('Actual-ACPSZL'!H$6,'Actual-ACPSZL'!$H$6:$T$6,0)):INDEX('Actual-ACPSZL'!$H$7:$T$207,MATCH($B50,'Actual-ACPSZL'!$B$7:$B$207,0),MATCH(AQ$8,'Actual-ACPSZL'!$H$6:$T$6,0)))</f>
        <v>0</v>
      </c>
      <c r="AR50" s="749">
        <f>SUM(INDEX('Budget-ACPSZL'!$K$7:$W$207,MATCH($B50,'Budget-ACPSZL'!$B$7:$B$207,0),MATCH('Budget-ACPSZL'!K$6,'Budget-ACPSZL'!$K$6:$W$6,0)):INDEX('Budget-ACPSZL'!$K$7:$W$207,MATCH($B50,'Budget-ACPSZL'!$B$7:$B$207,0),MATCH(AR$8,'Budget-ACPSZL'!$K$6:$W$6,0)))</f>
        <v>0</v>
      </c>
      <c r="AS50" s="749">
        <f t="shared" si="54"/>
        <v>0</v>
      </c>
      <c r="AT50" s="748"/>
      <c r="AV50" s="749">
        <f>SUM(INDEX('Actual-ACPLSZ'!$H$7:$T$207,MATCH($B50,'Actual-ACPLSZ'!$B$7:$B$207,0),MATCH('Actual-ACPLSZ'!H$6,'Actual-ACPLSZ'!$H$6:$T$6,0)):INDEX('Actual-ACPLSZ'!$H$7:$T$207,MATCH($B50,'Actual-ACPLSZ'!$B$7:$B$207,0),MATCH(AV$8,'Actual-ACPLSZ'!$H$6:$T$6,0)))</f>
        <v>0</v>
      </c>
      <c r="AW50" s="749">
        <f>SUM(INDEX('Budget-ACPLSZ'!$K$7:$W$207,MATCH($B50,'Budget-ACPLSZ'!$B$7:$B$207,0),MATCH('Budget-ACPLSZ'!K$6,'Budget-ACPLSZ'!$K$6:$W$6,0)):INDEX('Budget-ACPLSZ'!$K$7:$W$207,MATCH($B50,'Budget-ACPLSZ'!$B$7:$B$207,0),MATCH(AW$8,'Budget-ACPLSZ'!$K$6:$W$6,0)))</f>
        <v>0</v>
      </c>
      <c r="AX50" s="749">
        <f t="shared" si="55"/>
        <v>0</v>
      </c>
      <c r="AY50" s="748"/>
      <c r="BA50" s="749">
        <f>SUM(INDEX('Actual-ACPLGZ'!$H$7:$T$207,MATCH($B50,'Actual-ACPLGZ'!$B$7:$B$207,0),MATCH('Actual-ACPLGZ'!H$6,'Actual-ACPLGZ'!$H$6:$T$6,0)):INDEX('Actual-ACPLGZ'!$H$7:$T$207,MATCH($B50,'Actual-ACPLGZ'!$B$7:$B$207,0),MATCH(BA$8,'Actual-ACPLGZ'!$H$6:$T$6,0)))</f>
        <v>0</v>
      </c>
      <c r="BB50" s="749">
        <f>SUM(INDEX('Budget-ACPLGZ'!$K$7:$W$207,MATCH($B50,'Budget-ACPLGZ'!$B$7:$B$207,0),MATCH('Budget-ACPLGZ'!K$6,'Budget-ACPLGZ'!$K$6:$W$6,0)):INDEX('Budget-ACPLGZ'!$K$7:$W$207,MATCH($B50,'Budget-ACPLGZ'!$B$7:$B$207,0),MATCH(BB$8,'Budget-ACPLGZ'!$K$6:$W$6,0)))</f>
        <v>0</v>
      </c>
      <c r="BC50" s="749">
        <f t="shared" si="48"/>
        <v>0</v>
      </c>
      <c r="BD50" s="748"/>
      <c r="BF50" s="749">
        <f>SUM(INDEX('Actual-ACPLYixing'!$H$7:$T$207,MATCH($B50,'Actual-ACPLYixing'!$B$7:$B$207,0),MATCH('Actual-ACPLYixing'!H$6,'Actual-ACPLYixing'!$H$6:$T$6,0)):INDEX('Actual-ACPLYixing'!$H$7:$T$207,MATCH($B50,'Actual-ACPLYixing'!$B$7:$B$207,0),MATCH(BF$8,'Actual-ACPLYixing'!$H$6:$T$6,0)))</f>
        <v>0</v>
      </c>
      <c r="BG50" s="749">
        <f>SUM(INDEX('Budget-Yixing'!$K$7:$W$207,MATCH($B50,'Budget-Yixing'!$B$7:$B$207,0),MATCH('Budget-Yixing'!K$6,'Budget-Yixing'!$K$6:$W$6,0)):INDEX('Budget-Yixing'!$K$7:$W$207,MATCH($B50,'Budget-Yixing'!$B$7:$B$207,0),MATCH(BG$8,'Budget-Yixing'!$K$6:$W$6,0)))</f>
        <v>0</v>
      </c>
      <c r="BH50" s="749">
        <f t="shared" si="49"/>
        <v>0</v>
      </c>
      <c r="BI50" s="748"/>
    </row>
    <row r="51" spans="1:61" ht="16.5" customHeight="1">
      <c r="A51" s="653">
        <f>'Budget-合并'!A49</f>
        <v>0</v>
      </c>
      <c r="B51" s="653" t="str">
        <f>'Budget-合并'!B49</f>
        <v xml:space="preserve">    旭智富能01</v>
      </c>
      <c r="C51" s="746">
        <f>INDEX('Actual-ACPL'!$H$7:$T$207,MATCH($B51,'Actual-ACPL'!$B$7:$B$207,0),MATCH(C$8,'Actual-ACPL'!$H$6:$T$6,0))</f>
        <v>0</v>
      </c>
      <c r="D51" s="746">
        <f>INDEX('Budget-ACPL'!$K$7:$W$207,MATCH($B51,'Budget-ACPL'!$B$7:$B$207,0),MATCH(D$8,'Budget-ACPL'!$K$6:$W$6,0))</f>
        <v>0</v>
      </c>
      <c r="E51" s="746">
        <f t="shared" si="50"/>
        <v>0</v>
      </c>
      <c r="F51" s="752"/>
      <c r="H51" s="749">
        <f>INDEX('Actual-ACPLHK'!$H$7:$T$207,MATCH($B51,'Actual-ACPLHK'!$B$7:$B$207,0),MATCH(H$8,'Actual-ACPLHK'!$H$6:$T$6,0))</f>
        <v>0</v>
      </c>
      <c r="I51" s="749">
        <f>INDEX('Budget-ACPLHK'!$K$7:$W$207,MATCH($B51,'Budget-ACPLHK'!$B$7:$B$207,0),MATCH(I$8,'Budget-ACPLHK'!$K$6:$W$6,0))</f>
        <v>0</v>
      </c>
      <c r="J51" s="749">
        <f t="shared" si="56"/>
        <v>0</v>
      </c>
      <c r="K51" s="748"/>
      <c r="M51" s="749">
        <f>INDEX('Actual-ACPSZL'!$H$7:$T$207,MATCH($B51,'Actual-ACPSZL'!$B$7:$B$207,0),MATCH(M$8,'Actual-ACPSZL'!$H$6:$T$6,0))</f>
        <v>0</v>
      </c>
      <c r="N51" s="749">
        <f>INDEX('Budget-ACPSZL'!$K$7:$W$207,MATCH($B51,'Budget-ACPSZL'!$B$7:$B$207,0),MATCH(N$8,'Budget-ACPSZL'!$K$6:$W$6,0))</f>
        <v>0</v>
      </c>
      <c r="O51" s="749">
        <f t="shared" si="51"/>
        <v>0</v>
      </c>
      <c r="P51" s="748"/>
      <c r="R51" s="749">
        <f>INDEX('Actual-ACPLSZ'!$H$7:$T$207,MATCH($B51,'Actual-ACPLSZ'!$B$7:$B$207,0),MATCH(R$8,'Actual-ACPLSZ'!$H$6:$T$6,0))</f>
        <v>0</v>
      </c>
      <c r="S51" s="749">
        <f>INDEX('Budget-ACPLSZ'!$K$7:$W$207,MATCH($B51,'Budget-ACPLSZ'!$B$7:$B$207,0),MATCH(S$8,'Budget-ACPLSZ'!$K$6:$W$6,0))</f>
        <v>0</v>
      </c>
      <c r="T51" s="750">
        <f t="shared" si="45"/>
        <v>0</v>
      </c>
      <c r="U51" s="748"/>
      <c r="W51" s="749">
        <f>INDEX('Actual-ACPLGZ'!$H$7:$T$207,MATCH($B51,'Actual-ACPLGZ'!$B$7:$B$207,0),MATCH(W$8,'Actual-ACPLGZ'!$H$6:$T$6,0))</f>
        <v>0</v>
      </c>
      <c r="X51" s="749">
        <f>INDEX('Budget-ACPLGZ'!$K$7:$W$207,MATCH($B51,'Budget-ACPLGZ'!$B$7:$B$207,0),MATCH(X$8,'Budget-ACPLGZ'!$K$6:$W$6,0))</f>
        <v>0</v>
      </c>
      <c r="Y51" s="749">
        <f t="shared" si="52"/>
        <v>0</v>
      </c>
      <c r="Z51" s="748"/>
      <c r="AB51" s="749">
        <f>INDEX('Actual-ACPLGZ'!$H$7:$T$207,MATCH($B51,'Actual-ACPLGZ'!$B$7:$B$207,0),MATCH(AB$8,'Actual-ACPLGZ'!$H$6:$T$6,0))</f>
        <v>0</v>
      </c>
      <c r="AC51" s="749">
        <f>INDEX('Budget-Yixing'!$K$7:$W$207,MATCH($B51,'Budget-Yixing'!$B$7:$B$207,0),MATCH(AC$8,'Budget-Yixing'!$K$6:$W$6,0))</f>
        <v>0</v>
      </c>
      <c r="AD51" s="750">
        <f t="shared" si="46"/>
        <v>0</v>
      </c>
      <c r="AE51" s="748"/>
      <c r="AG51" s="751">
        <f>SUM(INDEX('Actual-ACPL'!$H$7:$T$207,MATCH($B51,'Actual-ACPL'!$B$7:$B$207,0),MATCH('Actual-ACPL'!H$6,'Actual-ACPL'!$H$6:$T$6,0)):INDEX('Actual-ACPL'!$H$7:$T$207,MATCH($B51,'Actual-ACPL'!$B$7:$B$207,0),MATCH(AG$8,'Actual-ACPL'!$H$6:$T$6,0)))</f>
        <v>0</v>
      </c>
      <c r="AH51" s="749">
        <f>SUM(INDEX('Budget-ACPL'!$K$7:$W$207,MATCH($B51,'Budget-ACPL'!$B$7:$B$207,0),MATCH('Budget-ACPL'!K$6,'Budget-ACPL'!$K$6:$W$6,0)):INDEX('Budget-ACPL'!$K$7:$W$207,MATCH($B51,'Budget-ACPL'!$B$7:$B$207,0),MATCH(AH$8,'Budget-ACPL'!$K$6:$W$6,0)))</f>
        <v>0</v>
      </c>
      <c r="AI51" s="749">
        <f t="shared" si="53"/>
        <v>0</v>
      </c>
      <c r="AJ51" s="748"/>
      <c r="AL51" s="749">
        <f>SUM(INDEX('Actual-ACPLHK'!$H$7:$S$207,MATCH($B51,'Actual-ACPLHK'!$B$7:$B$207,0),MATCH('Actual-ACPLHK'!H$6,'Actual-ACPLHK'!$H$6:$T$6,0)):INDEX('Actual-ACPLHK'!$H$7:$S$207,MATCH($B51,'Actual-ACPLHK'!$B$7:$B$207,0),MATCH(AL$8,'Actual-ACPLHK'!$H$6:$T$6,0)))</f>
        <v>0</v>
      </c>
      <c r="AM51" s="749">
        <f>SUM(INDEX('Budget-ACPLHK'!$K$7:$W$207,MATCH($B51,'Budget-ACPLHK'!$B$7:$B$207,0),MATCH('Budget-ACPLHK'!K$6,'Budget-ACPLHK'!$K$6:$W$6,0)):INDEX('Budget-ACPLHK'!$K$7:$W$207,MATCH($B51,'Budget-ACPLHK'!$B$7:$B$207,0),MATCH(AM$8,'Budget-ACPLHK'!$K$6:$W$6,0)))</f>
        <v>0</v>
      </c>
      <c r="AN51" s="749">
        <f t="shared" si="47"/>
        <v>0</v>
      </c>
      <c r="AO51" s="748"/>
      <c r="AQ51" s="749">
        <f>SUM(INDEX('Actual-ACPSZL'!$H$7:$T$207,MATCH($B51,'Actual-ACPSZL'!$B$7:$B$207,0),MATCH('Actual-ACPSZL'!H$6,'Actual-ACPSZL'!$H$6:$T$6,0)):INDEX('Actual-ACPSZL'!$H$7:$T$207,MATCH($B51,'Actual-ACPSZL'!$B$7:$B$207,0),MATCH(AQ$8,'Actual-ACPSZL'!$H$6:$T$6,0)))</f>
        <v>0</v>
      </c>
      <c r="AR51" s="749">
        <f>SUM(INDEX('Budget-ACPSZL'!$K$7:$W$207,MATCH($B51,'Budget-ACPSZL'!$B$7:$B$207,0),MATCH('Budget-ACPSZL'!K$6,'Budget-ACPSZL'!$K$6:$W$6,0)):INDEX('Budget-ACPSZL'!$K$7:$W$207,MATCH($B51,'Budget-ACPSZL'!$B$7:$B$207,0),MATCH(AR$8,'Budget-ACPSZL'!$K$6:$W$6,0)))</f>
        <v>0</v>
      </c>
      <c r="AS51" s="749">
        <f t="shared" si="54"/>
        <v>0</v>
      </c>
      <c r="AT51" s="748"/>
      <c r="AV51" s="749">
        <f>SUM(INDEX('Actual-ACPLSZ'!$H$7:$T$207,MATCH($B51,'Actual-ACPLSZ'!$B$7:$B$207,0),MATCH('Actual-ACPLSZ'!H$6,'Actual-ACPLSZ'!$H$6:$T$6,0)):INDEX('Actual-ACPLSZ'!$H$7:$T$207,MATCH($B51,'Actual-ACPLSZ'!$B$7:$B$207,0),MATCH(AV$8,'Actual-ACPLSZ'!$H$6:$T$6,0)))</f>
        <v>0</v>
      </c>
      <c r="AW51" s="749">
        <f>SUM(INDEX('Budget-ACPLSZ'!$K$7:$W$207,MATCH($B51,'Budget-ACPLSZ'!$B$7:$B$207,0),MATCH('Budget-ACPLSZ'!K$6,'Budget-ACPLSZ'!$K$6:$W$6,0)):INDEX('Budget-ACPLSZ'!$K$7:$W$207,MATCH($B51,'Budget-ACPLSZ'!$B$7:$B$207,0),MATCH(AW$8,'Budget-ACPLSZ'!$K$6:$W$6,0)))</f>
        <v>0</v>
      </c>
      <c r="AX51" s="749">
        <f t="shared" si="55"/>
        <v>0</v>
      </c>
      <c r="AY51" s="748"/>
      <c r="BA51" s="749">
        <f>SUM(INDEX('Actual-ACPLGZ'!$H$7:$T$207,MATCH($B51,'Actual-ACPLGZ'!$B$7:$B$207,0),MATCH('Actual-ACPLGZ'!H$6,'Actual-ACPLGZ'!$H$6:$T$6,0)):INDEX('Actual-ACPLGZ'!$H$7:$T$207,MATCH($B51,'Actual-ACPLGZ'!$B$7:$B$207,0),MATCH(BA$8,'Actual-ACPLGZ'!$H$6:$T$6,0)))</f>
        <v>0</v>
      </c>
      <c r="BB51" s="749">
        <f>SUM(INDEX('Budget-ACPLGZ'!$K$7:$W$207,MATCH($B51,'Budget-ACPLGZ'!$B$7:$B$207,0),MATCH('Budget-ACPLGZ'!K$6,'Budget-ACPLGZ'!$K$6:$W$6,0)):INDEX('Budget-ACPLGZ'!$K$7:$W$207,MATCH($B51,'Budget-ACPLGZ'!$B$7:$B$207,0),MATCH(BB$8,'Budget-ACPLGZ'!$K$6:$W$6,0)))</f>
        <v>0</v>
      </c>
      <c r="BC51" s="749">
        <f t="shared" si="48"/>
        <v>0</v>
      </c>
      <c r="BD51" s="748"/>
      <c r="BF51" s="749">
        <f>SUM(INDEX('Actual-ACPLYixing'!$H$7:$T$207,MATCH($B51,'Actual-ACPLYixing'!$B$7:$B$207,0),MATCH('Actual-ACPLYixing'!H$6,'Actual-ACPLYixing'!$H$6:$T$6,0)):INDEX('Actual-ACPLYixing'!$H$7:$T$207,MATCH($B51,'Actual-ACPLYixing'!$B$7:$B$207,0),MATCH(BF$8,'Actual-ACPLYixing'!$H$6:$T$6,0)))</f>
        <v>0</v>
      </c>
      <c r="BG51" s="749">
        <f>SUM(INDEX('Budget-Yixing'!$K$7:$W$207,MATCH($B51,'Budget-Yixing'!$B$7:$B$207,0),MATCH('Budget-Yixing'!K$6,'Budget-Yixing'!$K$6:$W$6,0)):INDEX('Budget-Yixing'!$K$7:$W$207,MATCH($B51,'Budget-Yixing'!$B$7:$B$207,0),MATCH(BG$8,'Budget-Yixing'!$K$6:$W$6,0)))</f>
        <v>0</v>
      </c>
      <c r="BH51" s="749">
        <f t="shared" si="49"/>
        <v>0</v>
      </c>
      <c r="BI51" s="748"/>
    </row>
    <row r="52" spans="1:61" ht="16.5" customHeight="1">
      <c r="A52" s="653">
        <f>'Budget-合并'!A50</f>
        <v>0</v>
      </c>
      <c r="B52" s="653" t="str">
        <f>'Budget-合并'!B50</f>
        <v xml:space="preserve">    其他项目01</v>
      </c>
      <c r="C52" s="746">
        <f>INDEX('Actual-ACPL'!$H$7:$T$207,MATCH($B52,'Actual-ACPL'!$B$7:$B$207,0),MATCH(C$8,'Actual-ACPL'!$H$6:$T$6,0))</f>
        <v>0</v>
      </c>
      <c r="D52" s="746">
        <f>INDEX('Budget-ACPL'!$K$7:$W$207,MATCH($B52,'Budget-ACPL'!$B$7:$B$207,0),MATCH(D$8,'Budget-ACPL'!$K$6:$W$6,0))</f>
        <v>0</v>
      </c>
      <c r="E52" s="746">
        <f t="shared" si="50"/>
        <v>0</v>
      </c>
      <c r="F52" s="752"/>
      <c r="H52" s="749">
        <f>INDEX('Actual-ACPLHK'!$H$7:$T$207,MATCH($B52,'Actual-ACPLHK'!$B$7:$B$207,0),MATCH(H$8,'Actual-ACPLHK'!$H$6:$T$6,0))</f>
        <v>0</v>
      </c>
      <c r="I52" s="749">
        <f>INDEX('Budget-ACPLHK'!$K$7:$W$207,MATCH($B52,'Budget-ACPLHK'!$B$7:$B$207,0),MATCH(I$8,'Budget-ACPLHK'!$K$6:$W$6,0))</f>
        <v>0</v>
      </c>
      <c r="J52" s="749">
        <f t="shared" si="56"/>
        <v>0</v>
      </c>
      <c r="K52" s="748"/>
      <c r="M52" s="749">
        <f>INDEX('Actual-ACPSZL'!$H$7:$T$207,MATCH($B52,'Actual-ACPSZL'!$B$7:$B$207,0),MATCH(M$8,'Actual-ACPSZL'!$H$6:$T$6,0))</f>
        <v>0</v>
      </c>
      <c r="N52" s="749">
        <f>INDEX('Budget-ACPSZL'!$K$7:$W$207,MATCH($B52,'Budget-ACPSZL'!$B$7:$B$207,0),MATCH(N$8,'Budget-ACPSZL'!$K$6:$W$6,0))</f>
        <v>0</v>
      </c>
      <c r="O52" s="749">
        <f t="shared" si="51"/>
        <v>0</v>
      </c>
      <c r="P52" s="748"/>
      <c r="R52" s="749">
        <f>INDEX('Actual-ACPLSZ'!$H$7:$T$207,MATCH($B52,'Actual-ACPLSZ'!$B$7:$B$207,0),MATCH(R$8,'Actual-ACPLSZ'!$H$6:$T$6,0))</f>
        <v>0</v>
      </c>
      <c r="S52" s="749">
        <f>INDEX('Budget-ACPLSZ'!$K$7:$W$207,MATCH($B52,'Budget-ACPLSZ'!$B$7:$B$207,0),MATCH(S$8,'Budget-ACPLSZ'!$K$6:$W$6,0))</f>
        <v>0</v>
      </c>
      <c r="T52" s="750">
        <f t="shared" si="45"/>
        <v>0</v>
      </c>
      <c r="U52" s="748"/>
      <c r="W52" s="749">
        <f>INDEX('Actual-ACPLGZ'!$H$7:$T$207,MATCH($B52,'Actual-ACPLGZ'!$B$7:$B$207,0),MATCH(W$8,'Actual-ACPLGZ'!$H$6:$T$6,0))</f>
        <v>0</v>
      </c>
      <c r="X52" s="749">
        <f>INDEX('Budget-ACPLGZ'!$K$7:$W$207,MATCH($B52,'Budget-ACPLGZ'!$B$7:$B$207,0),MATCH(X$8,'Budget-ACPLGZ'!$K$6:$W$6,0))</f>
        <v>0</v>
      </c>
      <c r="Y52" s="749">
        <f t="shared" si="52"/>
        <v>0</v>
      </c>
      <c r="Z52" s="748"/>
      <c r="AB52" s="749">
        <f>INDEX('Actual-ACPLGZ'!$H$7:$T$207,MATCH($B52,'Actual-ACPLGZ'!$B$7:$B$207,0),MATCH(AB$8,'Actual-ACPLGZ'!$H$6:$T$6,0))</f>
        <v>0</v>
      </c>
      <c r="AC52" s="749">
        <f>INDEX('Budget-Yixing'!$K$7:$W$207,MATCH($B52,'Budget-Yixing'!$B$7:$B$207,0),MATCH(AC$8,'Budget-Yixing'!$K$6:$W$6,0))</f>
        <v>0</v>
      </c>
      <c r="AD52" s="750">
        <f t="shared" si="46"/>
        <v>0</v>
      </c>
      <c r="AE52" s="748"/>
      <c r="AG52" s="751">
        <f>SUM(INDEX('Actual-ACPL'!$H$7:$T$207,MATCH($B52,'Actual-ACPL'!$B$7:$B$207,0),MATCH('Actual-ACPL'!H$6,'Actual-ACPL'!$H$6:$T$6,0)):INDEX('Actual-ACPL'!$H$7:$T$207,MATCH($B52,'Actual-ACPL'!$B$7:$B$207,0),MATCH(AG$8,'Actual-ACPL'!$H$6:$T$6,0)))</f>
        <v>0</v>
      </c>
      <c r="AH52" s="749">
        <f>SUM(INDEX('Budget-ACPL'!$K$7:$W$207,MATCH($B52,'Budget-ACPL'!$B$7:$B$207,0),MATCH('Budget-ACPL'!K$6,'Budget-ACPL'!$K$6:$W$6,0)):INDEX('Budget-ACPL'!$K$7:$W$207,MATCH($B52,'Budget-ACPL'!$B$7:$B$207,0),MATCH(AH$8,'Budget-ACPL'!$K$6:$W$6,0)))</f>
        <v>0</v>
      </c>
      <c r="AI52" s="749">
        <f t="shared" si="53"/>
        <v>0</v>
      </c>
      <c r="AJ52" s="748"/>
      <c r="AL52" s="749">
        <f>SUM(INDEX('Actual-ACPLHK'!$H$7:$S$207,MATCH($B52,'Actual-ACPLHK'!$B$7:$B$207,0),MATCH('Actual-ACPLHK'!H$6,'Actual-ACPLHK'!$H$6:$T$6,0)):INDEX('Actual-ACPLHK'!$H$7:$S$207,MATCH($B52,'Actual-ACPLHK'!$B$7:$B$207,0),MATCH(AL$8,'Actual-ACPLHK'!$H$6:$T$6,0)))</f>
        <v>0</v>
      </c>
      <c r="AM52" s="749">
        <f>SUM(INDEX('Budget-ACPLHK'!$K$7:$W$207,MATCH($B52,'Budget-ACPLHK'!$B$7:$B$207,0),MATCH('Budget-ACPLHK'!K$6,'Budget-ACPLHK'!$K$6:$W$6,0)):INDEX('Budget-ACPLHK'!$K$7:$W$207,MATCH($B52,'Budget-ACPLHK'!$B$7:$B$207,0),MATCH(AM$8,'Budget-ACPLHK'!$K$6:$W$6,0)))</f>
        <v>0</v>
      </c>
      <c r="AN52" s="749">
        <f t="shared" si="47"/>
        <v>0</v>
      </c>
      <c r="AO52" s="748"/>
      <c r="AQ52" s="749">
        <f>SUM(INDEX('Actual-ACPSZL'!$H$7:$T$207,MATCH($B52,'Actual-ACPSZL'!$B$7:$B$207,0),MATCH('Actual-ACPSZL'!H$6,'Actual-ACPSZL'!$H$6:$T$6,0)):INDEX('Actual-ACPSZL'!$H$7:$T$207,MATCH($B52,'Actual-ACPSZL'!$B$7:$B$207,0),MATCH(AQ$8,'Actual-ACPSZL'!$H$6:$T$6,0)))</f>
        <v>0</v>
      </c>
      <c r="AR52" s="749">
        <f>SUM(INDEX('Budget-ACPSZL'!$K$7:$W$207,MATCH($B52,'Budget-ACPSZL'!$B$7:$B$207,0),MATCH('Budget-ACPSZL'!K$6,'Budget-ACPSZL'!$K$6:$W$6,0)):INDEX('Budget-ACPSZL'!$K$7:$W$207,MATCH($B52,'Budget-ACPSZL'!$B$7:$B$207,0),MATCH(AR$8,'Budget-ACPSZL'!$K$6:$W$6,0)))</f>
        <v>0</v>
      </c>
      <c r="AS52" s="749">
        <f t="shared" si="54"/>
        <v>0</v>
      </c>
      <c r="AT52" s="748"/>
      <c r="AV52" s="749">
        <f>SUM(INDEX('Actual-ACPLSZ'!$H$7:$T$207,MATCH($B52,'Actual-ACPLSZ'!$B$7:$B$207,0),MATCH('Actual-ACPLSZ'!H$6,'Actual-ACPLSZ'!$H$6:$T$6,0)):INDEX('Actual-ACPLSZ'!$H$7:$T$207,MATCH($B52,'Actual-ACPLSZ'!$B$7:$B$207,0),MATCH(AV$8,'Actual-ACPLSZ'!$H$6:$T$6,0)))</f>
        <v>0</v>
      </c>
      <c r="AW52" s="749">
        <f>SUM(INDEX('Budget-ACPLSZ'!$K$7:$W$207,MATCH($B52,'Budget-ACPLSZ'!$B$7:$B$207,0),MATCH('Budget-ACPLSZ'!K$6,'Budget-ACPLSZ'!$K$6:$W$6,0)):INDEX('Budget-ACPLSZ'!$K$7:$W$207,MATCH($B52,'Budget-ACPLSZ'!$B$7:$B$207,0),MATCH(AW$8,'Budget-ACPLSZ'!$K$6:$W$6,0)))</f>
        <v>0</v>
      </c>
      <c r="AX52" s="749">
        <f t="shared" si="55"/>
        <v>0</v>
      </c>
      <c r="AY52" s="748"/>
      <c r="BA52" s="749">
        <f>SUM(INDEX('Actual-ACPLGZ'!$H$7:$T$207,MATCH($B52,'Actual-ACPLGZ'!$B$7:$B$207,0),MATCH('Actual-ACPLGZ'!H$6,'Actual-ACPLGZ'!$H$6:$T$6,0)):INDEX('Actual-ACPLGZ'!$H$7:$T$207,MATCH($B52,'Actual-ACPLGZ'!$B$7:$B$207,0),MATCH(BA$8,'Actual-ACPLGZ'!$H$6:$T$6,0)))</f>
        <v>0</v>
      </c>
      <c r="BB52" s="749">
        <f>SUM(INDEX('Budget-ACPLGZ'!$K$7:$W$207,MATCH($B52,'Budget-ACPLGZ'!$B$7:$B$207,0),MATCH('Budget-ACPLGZ'!K$6,'Budget-ACPLGZ'!$K$6:$W$6,0)):INDEX('Budget-ACPLGZ'!$K$7:$W$207,MATCH($B52,'Budget-ACPLGZ'!$B$7:$B$207,0),MATCH(BB$8,'Budget-ACPLGZ'!$K$6:$W$6,0)))</f>
        <v>0</v>
      </c>
      <c r="BC52" s="749">
        <f t="shared" si="48"/>
        <v>0</v>
      </c>
      <c r="BD52" s="748"/>
      <c r="BF52" s="749">
        <f>SUM(INDEX('Actual-ACPLYixing'!$H$7:$T$207,MATCH($B52,'Actual-ACPLYixing'!$B$7:$B$207,0),MATCH('Actual-ACPLYixing'!H$6,'Actual-ACPLYixing'!$H$6:$T$6,0)):INDEX('Actual-ACPLYixing'!$H$7:$T$207,MATCH($B52,'Actual-ACPLYixing'!$B$7:$B$207,0),MATCH(BF$8,'Actual-ACPLYixing'!$H$6:$T$6,0)))</f>
        <v>0</v>
      </c>
      <c r="BG52" s="749">
        <f>SUM(INDEX('Budget-Yixing'!$K$7:$W$207,MATCH($B52,'Budget-Yixing'!$B$7:$B$207,0),MATCH('Budget-Yixing'!K$6,'Budget-Yixing'!$K$6:$W$6,0)):INDEX('Budget-Yixing'!$K$7:$W$207,MATCH($B52,'Budget-Yixing'!$B$7:$B$207,0),MATCH(BG$8,'Budget-Yixing'!$K$6:$W$6,0)))</f>
        <v>0</v>
      </c>
      <c r="BH52" s="749">
        <f t="shared" si="49"/>
        <v>0</v>
      </c>
      <c r="BI52" s="748"/>
    </row>
    <row r="53" spans="1:61" ht="16.5" customHeight="1">
      <c r="A53" s="653" t="str">
        <f>'Budget-合并'!A51</f>
        <v>6602.04.04</v>
      </c>
      <c r="B53" s="653" t="str">
        <f>'Budget-合并'!B51</f>
        <v>税务服务费</v>
      </c>
      <c r="C53" s="746">
        <f>INDEX('Actual-ACPL'!$H$7:$T$207,MATCH($B53,'Actual-ACPL'!$B$7:$B$207,0),MATCH(C$8,'Actual-ACPL'!$H$6:$T$6,0))</f>
        <v>0</v>
      </c>
      <c r="D53" s="746">
        <f>INDEX('Budget-ACPL'!$K$7:$W$207,MATCH($B53,'Budget-ACPL'!$B$7:$B$207,0),MATCH(D$8,'Budget-ACPL'!$K$6:$W$6,0))</f>
        <v>0</v>
      </c>
      <c r="E53" s="746">
        <f t="shared" si="50"/>
        <v>0</v>
      </c>
      <c r="F53" s="752"/>
      <c r="H53" s="749">
        <f>INDEX('Actual-ACPLHK'!$H$7:$T$207,MATCH($B53,'Actual-ACPLHK'!$B$7:$B$207,0),MATCH(H$8,'Actual-ACPLHK'!$H$6:$T$6,0))</f>
        <v>0</v>
      </c>
      <c r="I53" s="749">
        <f>INDEX('Budget-ACPLHK'!$K$7:$W$207,MATCH($B53,'Budget-ACPLHK'!$B$7:$B$207,0),MATCH(I$8,'Budget-ACPLHK'!$K$6:$W$6,0))</f>
        <v>0</v>
      </c>
      <c r="J53" s="749">
        <f t="shared" si="56"/>
        <v>0</v>
      </c>
      <c r="K53" s="748"/>
      <c r="M53" s="749">
        <f>INDEX('Actual-ACPSZL'!$H$7:$T$207,MATCH($B53,'Actual-ACPSZL'!$B$7:$B$207,0),MATCH(M$8,'Actual-ACPSZL'!$H$6:$T$6,0))</f>
        <v>0</v>
      </c>
      <c r="N53" s="749">
        <f>INDEX('Budget-ACPSZL'!$K$7:$W$207,MATCH($B53,'Budget-ACPSZL'!$B$7:$B$207,0),MATCH(N$8,'Budget-ACPSZL'!$K$6:$W$6,0))</f>
        <v>0</v>
      </c>
      <c r="O53" s="749">
        <f t="shared" si="51"/>
        <v>0</v>
      </c>
      <c r="P53" s="748"/>
      <c r="R53" s="749">
        <f>INDEX('Actual-ACPLSZ'!$H$7:$T$207,MATCH($B53,'Actual-ACPLSZ'!$B$7:$B$207,0),MATCH(R$8,'Actual-ACPLSZ'!$H$6:$T$6,0))</f>
        <v>0</v>
      </c>
      <c r="S53" s="749">
        <f>INDEX('Budget-ACPLSZ'!$K$7:$W$207,MATCH($B53,'Budget-ACPLSZ'!$B$7:$B$207,0),MATCH(S$8,'Budget-ACPLSZ'!$K$6:$W$6,0))</f>
        <v>0</v>
      </c>
      <c r="T53" s="750">
        <f t="shared" si="45"/>
        <v>0</v>
      </c>
      <c r="U53" s="748"/>
      <c r="W53" s="749">
        <f>INDEX('Actual-ACPLGZ'!$H$7:$T$207,MATCH($B53,'Actual-ACPLGZ'!$B$7:$B$207,0),MATCH(W$8,'Actual-ACPLGZ'!$H$6:$T$6,0))</f>
        <v>0</v>
      </c>
      <c r="X53" s="749">
        <f>INDEX('Budget-ACPLGZ'!$K$7:$W$207,MATCH($B53,'Budget-ACPLGZ'!$B$7:$B$207,0),MATCH(X$8,'Budget-ACPLGZ'!$K$6:$W$6,0))</f>
        <v>0</v>
      </c>
      <c r="Y53" s="749">
        <f t="shared" si="52"/>
        <v>0</v>
      </c>
      <c r="Z53" s="748"/>
      <c r="AB53" s="749">
        <f>INDEX('Actual-ACPLGZ'!$H$7:$T$207,MATCH($B53,'Actual-ACPLGZ'!$B$7:$B$207,0),MATCH(AB$8,'Actual-ACPLGZ'!$H$6:$T$6,0))</f>
        <v>0</v>
      </c>
      <c r="AC53" s="749">
        <f>INDEX('Budget-Yixing'!$K$7:$W$207,MATCH($B53,'Budget-Yixing'!$B$7:$B$207,0),MATCH(AC$8,'Budget-Yixing'!$K$6:$W$6,0))</f>
        <v>0</v>
      </c>
      <c r="AD53" s="750">
        <f t="shared" si="46"/>
        <v>0</v>
      </c>
      <c r="AE53" s="748"/>
      <c r="AG53" s="751">
        <f>SUM(INDEX('Actual-ACPL'!$H$7:$T$207,MATCH($B53,'Actual-ACPL'!$B$7:$B$207,0),MATCH('Actual-ACPL'!H$6,'Actual-ACPL'!$H$6:$T$6,0)):INDEX('Actual-ACPL'!$H$7:$T$207,MATCH($B53,'Actual-ACPL'!$B$7:$B$207,0),MATCH(AG$8,'Actual-ACPL'!$H$6:$T$6,0)))</f>
        <v>0</v>
      </c>
      <c r="AH53" s="749">
        <f>SUM(INDEX('Budget-ACPL'!$K$7:$W$207,MATCH($B53,'Budget-ACPL'!$B$7:$B$207,0),MATCH('Budget-ACPL'!K$6,'Budget-ACPL'!$K$6:$W$6,0)):INDEX('Budget-ACPL'!$K$7:$W$207,MATCH($B53,'Budget-ACPL'!$B$7:$B$207,0),MATCH(AH$8,'Budget-ACPL'!$K$6:$W$6,0)))</f>
        <v>0</v>
      </c>
      <c r="AI53" s="749">
        <f t="shared" si="53"/>
        <v>0</v>
      </c>
      <c r="AJ53" s="748"/>
      <c r="AL53" s="749">
        <f>SUM(INDEX('Actual-ACPLHK'!$H$7:$S$207,MATCH($B53,'Actual-ACPLHK'!$B$7:$B$207,0),MATCH('Actual-ACPLHK'!H$6,'Actual-ACPLHK'!$H$6:$T$6,0)):INDEX('Actual-ACPLHK'!$H$7:$S$207,MATCH($B53,'Actual-ACPLHK'!$B$7:$B$207,0),MATCH(AL$8,'Actual-ACPLHK'!$H$6:$T$6,0)))</f>
        <v>0</v>
      </c>
      <c r="AM53" s="749">
        <f>SUM(INDEX('Budget-ACPLHK'!$K$7:$W$207,MATCH($B53,'Budget-ACPLHK'!$B$7:$B$207,0),MATCH('Budget-ACPLHK'!K$6,'Budget-ACPLHK'!$K$6:$W$6,0)):INDEX('Budget-ACPLHK'!$K$7:$W$207,MATCH($B53,'Budget-ACPLHK'!$B$7:$B$207,0),MATCH(AM$8,'Budget-ACPLHK'!$K$6:$W$6,0)))</f>
        <v>0</v>
      </c>
      <c r="AN53" s="749">
        <f t="shared" ref="AN53:AN76" si="57">AL53-AM53</f>
        <v>0</v>
      </c>
      <c r="AO53" s="748"/>
      <c r="AQ53" s="749">
        <f>SUM(INDEX('Actual-ACPSZL'!$H$7:$T$207,MATCH($B53,'Actual-ACPSZL'!$B$7:$B$207,0),MATCH('Actual-ACPSZL'!H$6,'Actual-ACPSZL'!$H$6:$T$6,0)):INDEX('Actual-ACPSZL'!$H$7:$T$207,MATCH($B53,'Actual-ACPSZL'!$B$7:$B$207,0),MATCH(AQ$8,'Actual-ACPSZL'!$H$6:$T$6,0)))</f>
        <v>0</v>
      </c>
      <c r="AR53" s="749">
        <f>SUM(INDEX('Budget-ACPSZL'!$K$7:$W$207,MATCH($B53,'Budget-ACPSZL'!$B$7:$B$207,0),MATCH('Budget-ACPSZL'!K$6,'Budget-ACPSZL'!$K$6:$W$6,0)):INDEX('Budget-ACPSZL'!$K$7:$W$207,MATCH($B53,'Budget-ACPSZL'!$B$7:$B$207,0),MATCH(AR$8,'Budget-ACPSZL'!$K$6:$W$6,0)))</f>
        <v>0</v>
      </c>
      <c r="AS53" s="749">
        <f t="shared" si="54"/>
        <v>0</v>
      </c>
      <c r="AT53" s="748"/>
      <c r="AV53" s="749">
        <f>SUM(INDEX('Actual-ACPLSZ'!$H$7:$T$207,MATCH($B53,'Actual-ACPLSZ'!$B$7:$B$207,0),MATCH('Actual-ACPLSZ'!H$6,'Actual-ACPLSZ'!$H$6:$T$6,0)):INDEX('Actual-ACPLSZ'!$H$7:$T$207,MATCH($B53,'Actual-ACPLSZ'!$B$7:$B$207,0),MATCH(AV$8,'Actual-ACPLSZ'!$H$6:$T$6,0)))</f>
        <v>0</v>
      </c>
      <c r="AW53" s="749">
        <f>SUM(INDEX('Budget-ACPLSZ'!$K$7:$W$207,MATCH($B53,'Budget-ACPLSZ'!$B$7:$B$207,0),MATCH('Budget-ACPLSZ'!K$6,'Budget-ACPLSZ'!$K$6:$W$6,0)):INDEX('Budget-ACPLSZ'!$K$7:$W$207,MATCH($B53,'Budget-ACPLSZ'!$B$7:$B$207,0),MATCH(AW$8,'Budget-ACPLSZ'!$K$6:$W$6,0)))</f>
        <v>0</v>
      </c>
      <c r="AX53" s="749">
        <f t="shared" si="55"/>
        <v>0</v>
      </c>
      <c r="AY53" s="748"/>
      <c r="BA53" s="749">
        <f>SUM(INDEX('Actual-ACPLGZ'!$H$7:$T$207,MATCH($B53,'Actual-ACPLGZ'!$B$7:$B$207,0),MATCH('Actual-ACPLGZ'!H$6,'Actual-ACPLGZ'!$H$6:$T$6,0)):INDEX('Actual-ACPLGZ'!$H$7:$T$207,MATCH($B53,'Actual-ACPLGZ'!$B$7:$B$207,0),MATCH(BA$8,'Actual-ACPLGZ'!$H$6:$T$6,0)))</f>
        <v>0</v>
      </c>
      <c r="BB53" s="749">
        <f>SUM(INDEX('Budget-ACPLGZ'!$K$7:$W$207,MATCH($B53,'Budget-ACPLGZ'!$B$7:$B$207,0),MATCH('Budget-ACPLGZ'!K$6,'Budget-ACPLGZ'!$K$6:$W$6,0)):INDEX('Budget-ACPLGZ'!$K$7:$W$207,MATCH($B53,'Budget-ACPLGZ'!$B$7:$B$207,0),MATCH(BB$8,'Budget-ACPLGZ'!$K$6:$W$6,0)))</f>
        <v>0</v>
      </c>
      <c r="BC53" s="749">
        <f t="shared" si="48"/>
        <v>0</v>
      </c>
      <c r="BD53" s="748"/>
      <c r="BF53" s="749">
        <f>SUM(INDEX('Actual-ACPLYixing'!$H$7:$T$207,MATCH($B53,'Actual-ACPLYixing'!$B$7:$B$207,0),MATCH('Actual-ACPLYixing'!H$6,'Actual-ACPLYixing'!$H$6:$T$6,0)):INDEX('Actual-ACPLYixing'!$H$7:$T$207,MATCH($B53,'Actual-ACPLYixing'!$B$7:$B$207,0),MATCH(BF$8,'Actual-ACPLYixing'!$H$6:$T$6,0)))</f>
        <v>0</v>
      </c>
      <c r="BG53" s="749">
        <f>SUM(INDEX('Budget-Yixing'!$K$7:$W$207,MATCH($B53,'Budget-Yixing'!$B$7:$B$207,0),MATCH('Budget-Yixing'!K$6,'Budget-Yixing'!$K$6:$W$6,0)):INDEX('Budget-Yixing'!$K$7:$W$207,MATCH($B53,'Budget-Yixing'!$B$7:$B$207,0),MATCH(BG$8,'Budget-Yixing'!$K$6:$W$6,0)))</f>
        <v>0</v>
      </c>
      <c r="BH53" s="749">
        <f t="shared" si="49"/>
        <v>0</v>
      </c>
      <c r="BI53" s="748"/>
    </row>
    <row r="54" spans="1:61" ht="16.5" customHeight="1">
      <c r="A54" s="653" t="str">
        <f>'Budget-合并'!A52</f>
        <v>6602.04.05</v>
      </c>
      <c r="B54" s="653" t="str">
        <f>'Budget-合并'!B52</f>
        <v>招聘服务费</v>
      </c>
      <c r="C54" s="746">
        <f>INDEX('Actual-ACPL'!$H$7:$T$207,MATCH($B54,'Actual-ACPL'!$B$7:$B$207,0),MATCH(C$8,'Actual-ACPL'!$H$6:$T$6,0))</f>
        <v>0</v>
      </c>
      <c r="D54" s="746">
        <f>INDEX('Budget-ACPL'!$K$7:$W$207,MATCH($B54,'Budget-ACPL'!$B$7:$B$207,0),MATCH(D$8,'Budget-ACPL'!$K$6:$W$6,0))</f>
        <v>0</v>
      </c>
      <c r="E54" s="746">
        <f t="shared" ref="E54:E60" si="58">C54-D54</f>
        <v>0</v>
      </c>
      <c r="F54" s="752"/>
      <c r="H54" s="749">
        <f>INDEX('Actual-ACPLHK'!$H$7:$T$207,MATCH($B54,'Actual-ACPLHK'!$B$7:$B$207,0),MATCH(H$8,'Actual-ACPLHK'!$H$6:$T$6,0))</f>
        <v>0</v>
      </c>
      <c r="I54" s="749">
        <f>INDEX('Budget-ACPLHK'!$K$7:$W$207,MATCH($B54,'Budget-ACPLHK'!$B$7:$B$207,0),MATCH(I$8,'Budget-ACPLHK'!$K$6:$W$6,0))</f>
        <v>0</v>
      </c>
      <c r="J54" s="749">
        <f t="shared" ref="J54:J60" si="59">H54-I54</f>
        <v>0</v>
      </c>
      <c r="K54" s="748"/>
      <c r="M54" s="749">
        <f>INDEX('Actual-ACPSZL'!$H$7:$T$207,MATCH($B54,'Actual-ACPSZL'!$B$7:$B$207,0),MATCH(M$8,'Actual-ACPSZL'!$H$6:$T$6,0))</f>
        <v>0</v>
      </c>
      <c r="N54" s="749">
        <f>INDEX('Budget-ACPSZL'!$K$7:$W$207,MATCH($B54,'Budget-ACPSZL'!$B$7:$B$207,0),MATCH(N$8,'Budget-ACPSZL'!$K$6:$W$6,0))</f>
        <v>0</v>
      </c>
      <c r="O54" s="749">
        <f t="shared" si="51"/>
        <v>0</v>
      </c>
      <c r="P54" s="748"/>
      <c r="R54" s="749">
        <f>INDEX('Actual-ACPLSZ'!$H$7:$T$207,MATCH($B54,'Actual-ACPLSZ'!$B$7:$B$207,0),MATCH(R$8,'Actual-ACPLSZ'!$H$6:$T$6,0))</f>
        <v>0</v>
      </c>
      <c r="S54" s="749">
        <f>INDEX('Budget-ACPLSZ'!$K$7:$W$207,MATCH($B54,'Budget-ACPLSZ'!$B$7:$B$207,0),MATCH(S$8,'Budget-ACPLSZ'!$K$6:$W$6,0))</f>
        <v>0</v>
      </c>
      <c r="T54" s="749">
        <f t="shared" si="45"/>
        <v>0</v>
      </c>
      <c r="U54" s="748"/>
      <c r="W54" s="749">
        <f>INDEX('Actual-ACPLGZ'!$H$7:$T$207,MATCH($B54,'Actual-ACPLGZ'!$B$7:$B$207,0),MATCH(W$8,'Actual-ACPLGZ'!$H$6:$T$6,0))</f>
        <v>0</v>
      </c>
      <c r="X54" s="749">
        <f>INDEX('Budget-ACPLGZ'!$K$7:$W$207,MATCH($B54,'Budget-ACPLGZ'!$B$7:$B$207,0),MATCH(X$8,'Budget-ACPLGZ'!$K$6:$W$6,0))</f>
        <v>0</v>
      </c>
      <c r="Y54" s="749">
        <f t="shared" si="52"/>
        <v>0</v>
      </c>
      <c r="Z54" s="748"/>
      <c r="AB54" s="749">
        <f>INDEX('Actual-ACPLGZ'!$H$7:$T$207,MATCH($B54,'Actual-ACPLGZ'!$B$7:$B$207,0),MATCH(AB$8,'Actual-ACPLGZ'!$H$6:$T$6,0))</f>
        <v>0</v>
      </c>
      <c r="AC54" s="749">
        <f>INDEX('Budget-Yixing'!$K$7:$W$207,MATCH($B54,'Budget-Yixing'!$B$7:$B$207,0),MATCH(AC$8,'Budget-Yixing'!$K$6:$W$6,0))</f>
        <v>0</v>
      </c>
      <c r="AD54" s="749">
        <f t="shared" si="46"/>
        <v>0</v>
      </c>
      <c r="AE54" s="748"/>
      <c r="AG54" s="751">
        <f>SUM(INDEX('Actual-ACPL'!$H$7:$T$207,MATCH($B54,'Actual-ACPL'!$B$7:$B$207,0),MATCH('Actual-ACPL'!H$6,'Actual-ACPL'!$H$6:$T$6,0)):INDEX('Actual-ACPL'!$H$7:$T$207,MATCH($B54,'Actual-ACPL'!$B$7:$B$207,0),MATCH(AG$8,'Actual-ACPL'!$H$6:$T$6,0)))</f>
        <v>0</v>
      </c>
      <c r="AH54" s="749">
        <f>SUM(INDEX('Budget-ACPL'!$K$7:$W$207,MATCH($B54,'Budget-ACPL'!$B$7:$B$207,0),MATCH('Budget-ACPL'!K$6,'Budget-ACPL'!$K$6:$W$6,0)):INDEX('Budget-ACPL'!$K$7:$W$207,MATCH($B54,'Budget-ACPL'!$B$7:$B$207,0),MATCH(AH$8,'Budget-ACPL'!$K$6:$W$6,0)))</f>
        <v>0</v>
      </c>
      <c r="AI54" s="749">
        <f t="shared" si="53"/>
        <v>0</v>
      </c>
      <c r="AJ54" s="748"/>
      <c r="AL54" s="749">
        <f>SUM(INDEX('Actual-ACPLHK'!$H$7:$S$207,MATCH($B54,'Actual-ACPLHK'!$B$7:$B$207,0),MATCH('Actual-ACPLHK'!H$6,'Actual-ACPLHK'!$H$6:$T$6,0)):INDEX('Actual-ACPLHK'!$H$7:$S$207,MATCH($B54,'Actual-ACPLHK'!$B$7:$B$207,0),MATCH(AL$8,'Actual-ACPLHK'!$H$6:$T$6,0)))</f>
        <v>0</v>
      </c>
      <c r="AM54" s="749">
        <f>SUM(INDEX('Budget-ACPLHK'!$K$7:$W$207,MATCH($B54,'Budget-ACPLHK'!$B$7:$B$207,0),MATCH('Budget-ACPLHK'!K$6,'Budget-ACPLHK'!$K$6:$W$6,0)):INDEX('Budget-ACPLHK'!$K$7:$W$207,MATCH($B54,'Budget-ACPLHK'!$B$7:$B$207,0),MATCH(AM$8,'Budget-ACPLHK'!$K$6:$W$6,0)))</f>
        <v>0</v>
      </c>
      <c r="AN54" s="749">
        <f t="shared" si="57"/>
        <v>0</v>
      </c>
      <c r="AO54" s="748"/>
      <c r="AQ54" s="749">
        <f>SUM(INDEX('Actual-ACPSZL'!$H$7:$T$207,MATCH($B54,'Actual-ACPSZL'!$B$7:$B$207,0),MATCH('Actual-ACPSZL'!H$6,'Actual-ACPSZL'!$H$6:$T$6,0)):INDEX('Actual-ACPSZL'!$H$7:$T$207,MATCH($B54,'Actual-ACPSZL'!$B$7:$B$207,0),MATCH(AQ$8,'Actual-ACPSZL'!$H$6:$T$6,0)))</f>
        <v>0</v>
      </c>
      <c r="AR54" s="749">
        <f>SUM(INDEX('Budget-ACPSZL'!$K$7:$W$207,MATCH($B54,'Budget-ACPSZL'!$B$7:$B$207,0),MATCH('Budget-ACPSZL'!K$6,'Budget-ACPSZL'!$K$6:$W$6,0)):INDEX('Budget-ACPSZL'!$K$7:$W$207,MATCH($B54,'Budget-ACPSZL'!$B$7:$B$207,0),MATCH(AR$8,'Budget-ACPSZL'!$K$6:$W$6,0)))</f>
        <v>0</v>
      </c>
      <c r="AS54" s="749">
        <f t="shared" si="54"/>
        <v>0</v>
      </c>
      <c r="AT54" s="748"/>
      <c r="AV54" s="749">
        <f>SUM(INDEX('Actual-ACPLSZ'!$H$7:$T$207,MATCH($B54,'Actual-ACPLSZ'!$B$7:$B$207,0),MATCH('Actual-ACPLSZ'!H$6,'Actual-ACPLSZ'!$H$6:$T$6,0)):INDEX('Actual-ACPLSZ'!$H$7:$T$207,MATCH($B54,'Actual-ACPLSZ'!$B$7:$B$207,0),MATCH(AV$8,'Actual-ACPLSZ'!$H$6:$T$6,0)))</f>
        <v>0</v>
      </c>
      <c r="AW54" s="749">
        <f>SUM(INDEX('Budget-ACPLSZ'!$K$7:$W$207,MATCH($B54,'Budget-ACPLSZ'!$B$7:$B$207,0),MATCH('Budget-ACPLSZ'!K$6,'Budget-ACPLSZ'!$K$6:$W$6,0)):INDEX('Budget-ACPLSZ'!$K$7:$W$207,MATCH($B54,'Budget-ACPLSZ'!$B$7:$B$207,0),MATCH(AW$8,'Budget-ACPLSZ'!$K$6:$W$6,0)))</f>
        <v>0</v>
      </c>
      <c r="AX54" s="749">
        <f t="shared" si="55"/>
        <v>0</v>
      </c>
      <c r="AY54" s="748"/>
      <c r="BA54" s="749">
        <f>SUM(INDEX('Actual-ACPLGZ'!$H$7:$T$207,MATCH($B54,'Actual-ACPLGZ'!$B$7:$B$207,0),MATCH('Actual-ACPLGZ'!H$6,'Actual-ACPLGZ'!$H$6:$T$6,0)):INDEX('Actual-ACPLGZ'!$H$7:$T$207,MATCH($B54,'Actual-ACPLGZ'!$B$7:$B$207,0),MATCH(BA$8,'Actual-ACPLGZ'!$H$6:$T$6,0)))</f>
        <v>0</v>
      </c>
      <c r="BB54" s="749">
        <f>SUM(INDEX('Budget-ACPLGZ'!$K$7:$W$207,MATCH($B54,'Budget-ACPLGZ'!$B$7:$B$207,0),MATCH('Budget-ACPLGZ'!K$6,'Budget-ACPLGZ'!$K$6:$W$6,0)):INDEX('Budget-ACPLGZ'!$K$7:$W$207,MATCH($B54,'Budget-ACPLGZ'!$B$7:$B$207,0),MATCH(BB$8,'Budget-ACPLGZ'!$K$6:$W$6,0)))</f>
        <v>0</v>
      </c>
      <c r="BC54" s="749">
        <f t="shared" si="48"/>
        <v>0</v>
      </c>
      <c r="BD54" s="748"/>
      <c r="BF54" s="749">
        <f>SUM(INDEX('Actual-ACPLYixing'!$H$7:$T$207,MATCH($B54,'Actual-ACPLYixing'!$B$7:$B$207,0),MATCH('Actual-ACPLYixing'!H$6,'Actual-ACPLYixing'!$H$6:$T$6,0)):INDEX('Actual-ACPLYixing'!$H$7:$T$207,MATCH($B54,'Actual-ACPLYixing'!$B$7:$B$207,0),MATCH(BF$8,'Actual-ACPLYixing'!$H$6:$T$6,0)))</f>
        <v>0</v>
      </c>
      <c r="BG54" s="749">
        <f>SUM(INDEX('Budget-Yixing'!$K$7:$W$207,MATCH($B54,'Budget-Yixing'!$B$7:$B$207,0),MATCH('Budget-Yixing'!K$6,'Budget-Yixing'!$K$6:$W$6,0)):INDEX('Budget-Yixing'!$K$7:$W$207,MATCH($B54,'Budget-Yixing'!$B$7:$B$207,0),MATCH(BG$8,'Budget-Yixing'!$K$6:$W$6,0)))</f>
        <v>0</v>
      </c>
      <c r="BH54" s="749">
        <f t="shared" si="49"/>
        <v>0</v>
      </c>
      <c r="BI54" s="748"/>
    </row>
    <row r="55" spans="1:61" ht="16.5" customHeight="1">
      <c r="A55" s="653" t="str">
        <f>'Budget-合并'!A53</f>
        <v>6602.04.06</v>
      </c>
      <c r="B55" s="653" t="str">
        <f>'Budget-合并'!B53</f>
        <v>法律服务费</v>
      </c>
      <c r="C55" s="746">
        <f>INDEX('Actual-ACPL'!$H$7:$T$207,MATCH($B55,'Actual-ACPL'!$B$7:$B$207,0),MATCH(C$8,'Actual-ACPL'!$H$6:$T$6,0))</f>
        <v>0</v>
      </c>
      <c r="D55" s="746">
        <f>INDEX('Budget-ACPL'!$K$7:$W$207,MATCH($B55,'Budget-ACPL'!$B$7:$B$207,0),MATCH(D$8,'Budget-ACPL'!$K$6:$W$6,0))</f>
        <v>0</v>
      </c>
      <c r="E55" s="746">
        <f t="shared" si="58"/>
        <v>0</v>
      </c>
      <c r="F55" s="752"/>
      <c r="H55" s="749">
        <f>INDEX('Actual-ACPLHK'!$H$7:$T$207,MATCH($B55,'Actual-ACPLHK'!$B$7:$B$207,0),MATCH(H$8,'Actual-ACPLHK'!$H$6:$T$6,0))</f>
        <v>0</v>
      </c>
      <c r="I55" s="749">
        <f>INDEX('Budget-ACPLHK'!$K$7:$W$207,MATCH($B55,'Budget-ACPLHK'!$B$7:$B$207,0),MATCH(I$8,'Budget-ACPLHK'!$K$6:$W$6,0))</f>
        <v>0</v>
      </c>
      <c r="J55" s="749">
        <f t="shared" si="59"/>
        <v>0</v>
      </c>
      <c r="K55" s="748"/>
      <c r="M55" s="749">
        <f>INDEX('Actual-ACPSZL'!$H$7:$T$207,MATCH($B55,'Actual-ACPSZL'!$B$7:$B$207,0),MATCH(M$8,'Actual-ACPSZL'!$H$6:$T$6,0))</f>
        <v>0</v>
      </c>
      <c r="N55" s="749">
        <f>INDEX('Budget-ACPSZL'!$K$7:$W$207,MATCH($B55,'Budget-ACPSZL'!$B$7:$B$207,0),MATCH(N$8,'Budget-ACPSZL'!$K$6:$W$6,0))</f>
        <v>0</v>
      </c>
      <c r="O55" s="749">
        <f t="shared" si="51"/>
        <v>0</v>
      </c>
      <c r="P55" s="748"/>
      <c r="R55" s="749">
        <f>INDEX('Actual-ACPLSZ'!$H$7:$T$207,MATCH($B55,'Actual-ACPLSZ'!$B$7:$B$207,0),MATCH(R$8,'Actual-ACPLSZ'!$H$6:$T$6,0))</f>
        <v>0</v>
      </c>
      <c r="S55" s="749">
        <f>INDEX('Budget-ACPLSZ'!$K$7:$W$207,MATCH($B55,'Budget-ACPLSZ'!$B$7:$B$207,0),MATCH(S$8,'Budget-ACPLSZ'!$K$6:$W$6,0))</f>
        <v>0</v>
      </c>
      <c r="T55" s="750">
        <f t="shared" si="45"/>
        <v>0</v>
      </c>
      <c r="U55" s="748"/>
      <c r="W55" s="749">
        <f>INDEX('Actual-ACPLGZ'!$H$7:$T$207,MATCH($B55,'Actual-ACPLGZ'!$B$7:$B$207,0),MATCH(W$8,'Actual-ACPLGZ'!$H$6:$T$6,0))</f>
        <v>0</v>
      </c>
      <c r="X55" s="749">
        <f>INDEX('Budget-ACPLGZ'!$K$7:$W$207,MATCH($B55,'Budget-ACPLGZ'!$B$7:$B$207,0),MATCH(X$8,'Budget-ACPLGZ'!$K$6:$W$6,0))</f>
        <v>0</v>
      </c>
      <c r="Y55" s="749">
        <f t="shared" si="52"/>
        <v>0</v>
      </c>
      <c r="Z55" s="748"/>
      <c r="AB55" s="749">
        <f>INDEX('Actual-ACPLGZ'!$H$7:$T$207,MATCH($B55,'Actual-ACPLGZ'!$B$7:$B$207,0),MATCH(AB$8,'Actual-ACPLGZ'!$H$6:$T$6,0))</f>
        <v>0</v>
      </c>
      <c r="AC55" s="749">
        <f>INDEX('Budget-Yixing'!$K$7:$W$207,MATCH($B55,'Budget-Yixing'!$B$7:$B$207,0),MATCH(AC$8,'Budget-Yixing'!$K$6:$W$6,0))</f>
        <v>0</v>
      </c>
      <c r="AD55" s="750">
        <f t="shared" si="46"/>
        <v>0</v>
      </c>
      <c r="AE55" s="748"/>
      <c r="AG55" s="751">
        <f>SUM(INDEX('Actual-ACPL'!$H$7:$T$207,MATCH($B55,'Actual-ACPL'!$B$7:$B$207,0),MATCH('Actual-ACPL'!H$6,'Actual-ACPL'!$H$6:$T$6,0)):INDEX('Actual-ACPL'!$H$7:$T$207,MATCH($B55,'Actual-ACPL'!$B$7:$B$207,0),MATCH(AG$8,'Actual-ACPL'!$H$6:$T$6,0)))</f>
        <v>0</v>
      </c>
      <c r="AH55" s="749">
        <f>SUM(INDEX('Budget-ACPL'!$K$7:$W$207,MATCH($B55,'Budget-ACPL'!$B$7:$B$207,0),MATCH('Budget-ACPL'!K$6,'Budget-ACPL'!$K$6:$W$6,0)):INDEX('Budget-ACPL'!$K$7:$W$207,MATCH($B55,'Budget-ACPL'!$B$7:$B$207,0),MATCH(AH$8,'Budget-ACPL'!$K$6:$W$6,0)))</f>
        <v>0</v>
      </c>
      <c r="AI55" s="749">
        <f t="shared" si="53"/>
        <v>0</v>
      </c>
      <c r="AJ55" s="748"/>
      <c r="AL55" s="749">
        <f>SUM(INDEX('Actual-ACPLHK'!$H$7:$S$207,MATCH($B55,'Actual-ACPLHK'!$B$7:$B$207,0),MATCH('Actual-ACPLHK'!H$6,'Actual-ACPLHK'!$H$6:$T$6,0)):INDEX('Actual-ACPLHK'!$H$7:$S$207,MATCH($B55,'Actual-ACPLHK'!$B$7:$B$207,0),MATCH(AL$8,'Actual-ACPLHK'!$H$6:$T$6,0)))</f>
        <v>0</v>
      </c>
      <c r="AM55" s="749">
        <f>SUM(INDEX('Budget-ACPLHK'!$K$7:$W$207,MATCH($B55,'Budget-ACPLHK'!$B$7:$B$207,0),MATCH('Budget-ACPLHK'!K$6,'Budget-ACPLHK'!$K$6:$W$6,0)):INDEX('Budget-ACPLHK'!$K$7:$W$207,MATCH($B55,'Budget-ACPLHK'!$B$7:$B$207,0),MATCH(AM$8,'Budget-ACPLHK'!$K$6:$W$6,0)))</f>
        <v>0</v>
      </c>
      <c r="AN55" s="749">
        <f t="shared" si="57"/>
        <v>0</v>
      </c>
      <c r="AO55" s="748"/>
      <c r="AQ55" s="749">
        <f>SUM(INDEX('Actual-ACPSZL'!$H$7:$T$207,MATCH($B55,'Actual-ACPSZL'!$B$7:$B$207,0),MATCH('Actual-ACPSZL'!H$6,'Actual-ACPSZL'!$H$6:$T$6,0)):INDEX('Actual-ACPSZL'!$H$7:$T$207,MATCH($B55,'Actual-ACPSZL'!$B$7:$B$207,0),MATCH(AQ$8,'Actual-ACPSZL'!$H$6:$T$6,0)))</f>
        <v>0</v>
      </c>
      <c r="AR55" s="749">
        <f>SUM(INDEX('Budget-ACPSZL'!$K$7:$W$207,MATCH($B55,'Budget-ACPSZL'!$B$7:$B$207,0),MATCH('Budget-ACPSZL'!K$6,'Budget-ACPSZL'!$K$6:$W$6,0)):INDEX('Budget-ACPSZL'!$K$7:$W$207,MATCH($B55,'Budget-ACPSZL'!$B$7:$B$207,0),MATCH(AR$8,'Budget-ACPSZL'!$K$6:$W$6,0)))</f>
        <v>0</v>
      </c>
      <c r="AS55" s="749">
        <f t="shared" ref="AS55:AS74" si="60">AQ55-AR55</f>
        <v>0</v>
      </c>
      <c r="AT55" s="748"/>
      <c r="AV55" s="749">
        <f>SUM(INDEX('Actual-ACPLSZ'!$H$7:$T$207,MATCH($B55,'Actual-ACPLSZ'!$B$7:$B$207,0),MATCH('Actual-ACPLSZ'!H$6,'Actual-ACPLSZ'!$H$6:$T$6,0)):INDEX('Actual-ACPLSZ'!$H$7:$T$207,MATCH($B55,'Actual-ACPLSZ'!$B$7:$B$207,0),MATCH(AV$8,'Actual-ACPLSZ'!$H$6:$T$6,0)))</f>
        <v>0</v>
      </c>
      <c r="AW55" s="749">
        <f>SUM(INDEX('Budget-ACPLSZ'!$K$7:$W$207,MATCH($B55,'Budget-ACPLSZ'!$B$7:$B$207,0),MATCH('Budget-ACPLSZ'!K$6,'Budget-ACPLSZ'!$K$6:$W$6,0)):INDEX('Budget-ACPLSZ'!$K$7:$W$207,MATCH($B55,'Budget-ACPLSZ'!$B$7:$B$207,0),MATCH(AW$8,'Budget-ACPLSZ'!$K$6:$W$6,0)))</f>
        <v>0</v>
      </c>
      <c r="AX55" s="749">
        <f t="shared" si="55"/>
        <v>0</v>
      </c>
      <c r="AY55" s="748"/>
      <c r="BA55" s="749">
        <f>SUM(INDEX('Actual-ACPLGZ'!$H$7:$T$207,MATCH($B55,'Actual-ACPLGZ'!$B$7:$B$207,0),MATCH('Actual-ACPLGZ'!H$6,'Actual-ACPLGZ'!$H$6:$T$6,0)):INDEX('Actual-ACPLGZ'!$H$7:$T$207,MATCH($B55,'Actual-ACPLGZ'!$B$7:$B$207,0),MATCH(BA$8,'Actual-ACPLGZ'!$H$6:$T$6,0)))</f>
        <v>0</v>
      </c>
      <c r="BB55" s="749">
        <f>SUM(INDEX('Budget-ACPLGZ'!$K$7:$W$207,MATCH($B55,'Budget-ACPLGZ'!$B$7:$B$207,0),MATCH('Budget-ACPLGZ'!K$6,'Budget-ACPLGZ'!$K$6:$W$6,0)):INDEX('Budget-ACPLGZ'!$K$7:$W$207,MATCH($B55,'Budget-ACPLGZ'!$B$7:$B$207,0),MATCH(BB$8,'Budget-ACPLGZ'!$K$6:$W$6,0)))</f>
        <v>0</v>
      </c>
      <c r="BC55" s="749">
        <f t="shared" si="48"/>
        <v>0</v>
      </c>
      <c r="BD55" s="748"/>
      <c r="BF55" s="749">
        <f>SUM(INDEX('Actual-ACPLYixing'!$H$7:$T$207,MATCH($B55,'Actual-ACPLYixing'!$B$7:$B$207,0),MATCH('Actual-ACPLYixing'!H$6,'Actual-ACPLYixing'!$H$6:$T$6,0)):INDEX('Actual-ACPLYixing'!$H$7:$T$207,MATCH($B55,'Actual-ACPLYixing'!$B$7:$B$207,0),MATCH(BF$8,'Actual-ACPLYixing'!$H$6:$T$6,0)))</f>
        <v>0</v>
      </c>
      <c r="BG55" s="749">
        <f>SUM(INDEX('Budget-Yixing'!$K$7:$W$207,MATCH($B55,'Budget-Yixing'!$B$7:$B$207,0),MATCH('Budget-Yixing'!K$6,'Budget-Yixing'!$K$6:$W$6,0)):INDEX('Budget-Yixing'!$K$7:$W$207,MATCH($B55,'Budget-Yixing'!$B$7:$B$207,0),MATCH(BG$8,'Budget-Yixing'!$K$6:$W$6,0)))</f>
        <v>0</v>
      </c>
      <c r="BH55" s="749">
        <f t="shared" si="49"/>
        <v>0</v>
      </c>
      <c r="BI55" s="748"/>
    </row>
    <row r="56" spans="1:61" ht="16.5" customHeight="1">
      <c r="A56" s="653" t="str">
        <f>'Budget-合并'!A54</f>
        <v>6602.04.07</v>
      </c>
      <c r="B56" s="653" t="str">
        <f>'Budget-合并'!B54</f>
        <v>人力资源服务费</v>
      </c>
      <c r="C56" s="746">
        <f>INDEX('Actual-ACPL'!$H$7:$T$207,MATCH($B56,'Actual-ACPL'!$B$7:$B$207,0),MATCH(C$8,'Actual-ACPL'!$H$6:$T$6,0))</f>
        <v>0</v>
      </c>
      <c r="D56" s="746">
        <f>INDEX('Budget-ACPL'!$K$7:$W$207,MATCH($B56,'Budget-ACPL'!$B$7:$B$207,0),MATCH(D$8,'Budget-ACPL'!$K$6:$W$6,0))</f>
        <v>2224.9749999999999</v>
      </c>
      <c r="E56" s="746">
        <f t="shared" si="58"/>
        <v>-2224.9749999999999</v>
      </c>
      <c r="F56" s="752"/>
      <c r="H56" s="749">
        <f>INDEX('Actual-ACPLHK'!$H$7:$T$207,MATCH($B56,'Actual-ACPLHK'!$B$7:$B$207,0),MATCH(H$8,'Actual-ACPLHK'!$H$6:$T$6,0))</f>
        <v>0</v>
      </c>
      <c r="I56" s="749">
        <f>INDEX('Budget-ACPLHK'!$K$7:$W$207,MATCH($B56,'Budget-ACPLHK'!$B$7:$B$207,0),MATCH(I$8,'Budget-ACPLHK'!$K$6:$W$6,0))</f>
        <v>2224.9749999999999</v>
      </c>
      <c r="J56" s="749">
        <f t="shared" si="59"/>
        <v>-2224.9749999999999</v>
      </c>
      <c r="K56" s="748"/>
      <c r="M56" s="749">
        <f>INDEX('Actual-ACPSZL'!$H$7:$T$207,MATCH($B56,'Actual-ACPSZL'!$B$7:$B$207,0),MATCH(M$8,'Actual-ACPSZL'!$H$6:$T$6,0))</f>
        <v>0</v>
      </c>
      <c r="N56" s="749">
        <f>INDEX('Budget-ACPSZL'!$K$7:$W$207,MATCH($B56,'Budget-ACPSZL'!$B$7:$B$207,0),MATCH(N$8,'Budget-ACPSZL'!$K$6:$W$6,0))</f>
        <v>1200</v>
      </c>
      <c r="O56" s="749">
        <f t="shared" si="51"/>
        <v>-1200</v>
      </c>
      <c r="P56" s="748"/>
      <c r="R56" s="749">
        <f>INDEX('Actual-ACPLSZ'!$H$7:$T$207,MATCH($B56,'Actual-ACPLSZ'!$B$7:$B$207,0),MATCH(R$8,'Actual-ACPLSZ'!$H$6:$T$6,0))</f>
        <v>0</v>
      </c>
      <c r="S56" s="749">
        <f>INDEX('Budget-ACPLSZ'!$K$7:$W$207,MATCH($B56,'Budget-ACPLSZ'!$B$7:$B$207,0),MATCH(S$8,'Budget-ACPLSZ'!$K$6:$W$6,0))</f>
        <v>3400</v>
      </c>
      <c r="T56" s="750">
        <f t="shared" si="45"/>
        <v>3400</v>
      </c>
      <c r="U56" s="748"/>
      <c r="W56" s="749">
        <f>INDEX('Actual-ACPLGZ'!$H$7:$T$207,MATCH($B56,'Actual-ACPLGZ'!$B$7:$B$207,0),MATCH(W$8,'Actual-ACPLGZ'!$H$6:$T$6,0))</f>
        <v>0</v>
      </c>
      <c r="X56" s="749">
        <f>INDEX('Budget-ACPLGZ'!$K$7:$W$207,MATCH($B56,'Budget-ACPLGZ'!$B$7:$B$207,0),MATCH(X$8,'Budget-ACPLGZ'!$K$6:$W$6,0))</f>
        <v>0</v>
      </c>
      <c r="Y56" s="749">
        <f t="shared" si="52"/>
        <v>0</v>
      </c>
      <c r="Z56" s="748"/>
      <c r="AB56" s="749">
        <f>INDEX('Actual-ACPLGZ'!$H$7:$T$207,MATCH($B56,'Actual-ACPLGZ'!$B$7:$B$207,0),MATCH(AB$8,'Actual-ACPLGZ'!$H$6:$T$6,0))</f>
        <v>0</v>
      </c>
      <c r="AC56" s="749">
        <f>INDEX('Budget-Yixing'!$K$7:$W$207,MATCH($B56,'Budget-Yixing'!$B$7:$B$207,0),MATCH(AC$8,'Budget-Yixing'!$K$6:$W$6,0))</f>
        <v>0</v>
      </c>
      <c r="AD56" s="750">
        <f t="shared" si="46"/>
        <v>0</v>
      </c>
      <c r="AE56" s="748"/>
      <c r="AG56" s="751">
        <f>SUM(INDEX('Actual-ACPL'!$H$7:$T$207,MATCH($B56,'Actual-ACPL'!$B$7:$B$207,0),MATCH('Actual-ACPL'!H$6,'Actual-ACPL'!$H$6:$T$6,0)):INDEX('Actual-ACPL'!$H$7:$T$207,MATCH($B56,'Actual-ACPL'!$B$7:$B$207,0),MATCH(AG$8,'Actual-ACPL'!$H$6:$T$6,0)))</f>
        <v>0</v>
      </c>
      <c r="AH56" s="749">
        <f>SUM(INDEX('Budget-ACPL'!$K$7:$W$207,MATCH($B56,'Budget-ACPL'!$B$7:$B$207,0),MATCH('Budget-ACPL'!K$6,'Budget-ACPL'!$K$6:$W$6,0)):INDEX('Budget-ACPL'!$K$7:$W$207,MATCH($B56,'Budget-ACPL'!$B$7:$B$207,0),MATCH(AH$8,'Budget-ACPL'!$K$6:$W$6,0)))</f>
        <v>2224.9749999999999</v>
      </c>
      <c r="AI56" s="749">
        <f t="shared" si="53"/>
        <v>-2224.9749999999999</v>
      </c>
      <c r="AJ56" s="748"/>
      <c r="AL56" s="749">
        <f>SUM(INDEX('Actual-ACPLHK'!$H$7:$S$207,MATCH($B56,'Actual-ACPLHK'!$B$7:$B$207,0),MATCH('Actual-ACPLHK'!H$6,'Actual-ACPLHK'!$H$6:$T$6,0)):INDEX('Actual-ACPLHK'!$H$7:$S$207,MATCH($B56,'Actual-ACPLHK'!$B$7:$B$207,0),MATCH(AL$8,'Actual-ACPLHK'!$H$6:$T$6,0)))</f>
        <v>0</v>
      </c>
      <c r="AM56" s="749">
        <f>SUM(INDEX('Budget-ACPLHK'!$K$7:$W$207,MATCH($B56,'Budget-ACPLHK'!$B$7:$B$207,0),MATCH('Budget-ACPLHK'!K$6,'Budget-ACPLHK'!$K$6:$W$6,0)):INDEX('Budget-ACPLHK'!$K$7:$W$207,MATCH($B56,'Budget-ACPLHK'!$B$7:$B$207,0),MATCH(AM$8,'Budget-ACPLHK'!$K$6:$W$6,0)))</f>
        <v>2224.9749999999999</v>
      </c>
      <c r="AN56" s="749">
        <f t="shared" si="57"/>
        <v>-2224.9749999999999</v>
      </c>
      <c r="AO56" s="748"/>
      <c r="AQ56" s="749">
        <f>SUM(INDEX('Actual-ACPSZL'!$H$7:$T$207,MATCH($B56,'Actual-ACPSZL'!$B$7:$B$207,0),MATCH('Actual-ACPSZL'!H$6,'Actual-ACPSZL'!$H$6:$T$6,0)):INDEX('Actual-ACPSZL'!$H$7:$T$207,MATCH($B56,'Actual-ACPSZL'!$B$7:$B$207,0),MATCH(AQ$8,'Actual-ACPSZL'!$H$6:$T$6,0)))</f>
        <v>0</v>
      </c>
      <c r="AR56" s="749">
        <f>SUM(INDEX('Budget-ACPSZL'!$K$7:$W$207,MATCH($B56,'Budget-ACPSZL'!$B$7:$B$207,0),MATCH('Budget-ACPSZL'!K$6,'Budget-ACPSZL'!$K$6:$W$6,0)):INDEX('Budget-ACPSZL'!$K$7:$W$207,MATCH($B56,'Budget-ACPSZL'!$B$7:$B$207,0),MATCH(AR$8,'Budget-ACPSZL'!$K$6:$W$6,0)))</f>
        <v>1200</v>
      </c>
      <c r="AS56" s="749">
        <f t="shared" si="60"/>
        <v>-1200</v>
      </c>
      <c r="AT56" s="748"/>
      <c r="AV56" s="749">
        <f>SUM(INDEX('Actual-ACPLSZ'!$H$7:$T$207,MATCH($B56,'Actual-ACPLSZ'!$B$7:$B$207,0),MATCH('Actual-ACPLSZ'!H$6,'Actual-ACPLSZ'!$H$6:$T$6,0)):INDEX('Actual-ACPLSZ'!$H$7:$T$207,MATCH($B56,'Actual-ACPLSZ'!$B$7:$B$207,0),MATCH(AV$8,'Actual-ACPLSZ'!$H$6:$T$6,0)))</f>
        <v>0</v>
      </c>
      <c r="AW56" s="749">
        <f>SUM(INDEX('Budget-ACPLSZ'!$K$7:$W$207,MATCH($B56,'Budget-ACPLSZ'!$B$7:$B$207,0),MATCH('Budget-ACPLSZ'!K$6,'Budget-ACPLSZ'!$K$6:$W$6,0)):INDEX('Budget-ACPLSZ'!$K$7:$W$207,MATCH($B56,'Budget-ACPLSZ'!$B$7:$B$207,0),MATCH(AW$8,'Budget-ACPLSZ'!$K$6:$W$6,0)))</f>
        <v>3400</v>
      </c>
      <c r="AX56" s="749">
        <f t="shared" si="55"/>
        <v>-3400</v>
      </c>
      <c r="AY56" s="748"/>
      <c r="BA56" s="749">
        <f>SUM(INDEX('Actual-ACPLGZ'!$H$7:$T$207,MATCH($B56,'Actual-ACPLGZ'!$B$7:$B$207,0),MATCH('Actual-ACPLGZ'!H$6,'Actual-ACPLGZ'!$H$6:$T$6,0)):INDEX('Actual-ACPLGZ'!$H$7:$T$207,MATCH($B56,'Actual-ACPLGZ'!$B$7:$B$207,0),MATCH(BA$8,'Actual-ACPLGZ'!$H$6:$T$6,0)))</f>
        <v>0</v>
      </c>
      <c r="BB56" s="749">
        <f>SUM(INDEX('Budget-ACPLGZ'!$K$7:$W$207,MATCH($B56,'Budget-ACPLGZ'!$B$7:$B$207,0),MATCH('Budget-ACPLGZ'!K$6,'Budget-ACPLGZ'!$K$6:$W$6,0)):INDEX('Budget-ACPLGZ'!$K$7:$W$207,MATCH($B56,'Budget-ACPLGZ'!$B$7:$B$207,0),MATCH(BB$8,'Budget-ACPLGZ'!$K$6:$W$6,0)))</f>
        <v>0</v>
      </c>
      <c r="BC56" s="749">
        <f t="shared" si="48"/>
        <v>0</v>
      </c>
      <c r="BD56" s="748"/>
      <c r="BF56" s="749">
        <f>SUM(INDEX('Actual-ACPLYixing'!$H$7:$T$207,MATCH($B56,'Actual-ACPLYixing'!$B$7:$B$207,0),MATCH('Actual-ACPLYixing'!H$6,'Actual-ACPLYixing'!$H$6:$T$6,0)):INDEX('Actual-ACPLYixing'!$H$7:$T$207,MATCH($B56,'Actual-ACPLYixing'!$B$7:$B$207,0),MATCH(BF$8,'Actual-ACPLYixing'!$H$6:$T$6,0)))</f>
        <v>0</v>
      </c>
      <c r="BG56" s="749">
        <f>SUM(INDEX('Budget-Yixing'!$K$7:$W$207,MATCH($B56,'Budget-Yixing'!$B$7:$B$207,0),MATCH('Budget-Yixing'!K$6,'Budget-Yixing'!$K$6:$W$6,0)):INDEX('Budget-Yixing'!$K$7:$W$207,MATCH($B56,'Budget-Yixing'!$B$7:$B$207,0),MATCH(BG$8,'Budget-Yixing'!$K$6:$W$6,0)))</f>
        <v>0</v>
      </c>
      <c r="BH56" s="749">
        <f t="shared" si="49"/>
        <v>0</v>
      </c>
      <c r="BI56" s="748"/>
    </row>
    <row r="57" spans="1:61" ht="16.5" customHeight="1">
      <c r="A57" s="653" t="str">
        <f>'Budget-合并'!A55</f>
        <v>6602.04.08</v>
      </c>
      <c r="B57" s="653" t="str">
        <f>'Budget-合并'!B55</f>
        <v>背景调查费</v>
      </c>
      <c r="C57" s="746">
        <f>INDEX('Actual-ACPL'!$H$7:$T$207,MATCH($B57,'Actual-ACPL'!$B$7:$B$207,0),MATCH(C$8,'Actual-ACPL'!$H$6:$T$6,0))</f>
        <v>0</v>
      </c>
      <c r="D57" s="746">
        <f>INDEX('Budget-ACPL'!$K$7:$W$207,MATCH($B57,'Budget-ACPL'!$B$7:$B$207,0),MATCH(D$8,'Budget-ACPL'!$K$6:$W$6,0))</f>
        <v>0</v>
      </c>
      <c r="E57" s="746">
        <f t="shared" si="58"/>
        <v>0</v>
      </c>
      <c r="F57" s="752"/>
      <c r="H57" s="749">
        <f>INDEX('Actual-ACPLHK'!$H$7:$T$207,MATCH($B57,'Actual-ACPLHK'!$B$7:$B$207,0),MATCH(H$8,'Actual-ACPLHK'!$H$6:$T$6,0))</f>
        <v>0</v>
      </c>
      <c r="I57" s="749">
        <f>INDEX('Budget-ACPLHK'!$K$7:$W$207,MATCH($B57,'Budget-ACPLHK'!$B$7:$B$207,0),MATCH(I$8,'Budget-ACPLHK'!$K$6:$W$6,0))</f>
        <v>0</v>
      </c>
      <c r="J57" s="749">
        <f t="shared" si="59"/>
        <v>0</v>
      </c>
      <c r="K57" s="748"/>
      <c r="M57" s="749">
        <f>INDEX('Actual-ACPSZL'!$H$7:$T$207,MATCH($B57,'Actual-ACPSZL'!$B$7:$B$207,0),MATCH(M$8,'Actual-ACPSZL'!$H$6:$T$6,0))</f>
        <v>0</v>
      </c>
      <c r="N57" s="749">
        <f>INDEX('Budget-ACPSZL'!$K$7:$W$207,MATCH($B57,'Budget-ACPSZL'!$B$7:$B$207,0),MATCH(N$8,'Budget-ACPSZL'!$K$6:$W$6,0))</f>
        <v>0</v>
      </c>
      <c r="O57" s="749">
        <f t="shared" si="51"/>
        <v>0</v>
      </c>
      <c r="P57" s="748"/>
      <c r="R57" s="749">
        <f>INDEX('Actual-ACPLSZ'!$H$7:$T$207,MATCH($B57,'Actual-ACPLSZ'!$B$7:$B$207,0),MATCH(R$8,'Actual-ACPLSZ'!$H$6:$T$6,0))</f>
        <v>0</v>
      </c>
      <c r="S57" s="749">
        <f>INDEX('Budget-ACPLSZ'!$K$7:$W$207,MATCH($B57,'Budget-ACPLSZ'!$B$7:$B$207,0),MATCH(S$8,'Budget-ACPLSZ'!$K$6:$W$6,0))</f>
        <v>612.5</v>
      </c>
      <c r="T57" s="750">
        <f t="shared" si="45"/>
        <v>612.5</v>
      </c>
      <c r="U57" s="748"/>
      <c r="W57" s="749">
        <f>INDEX('Actual-ACPLGZ'!$H$7:$T$207,MATCH($B57,'Actual-ACPLGZ'!$B$7:$B$207,0),MATCH(W$8,'Actual-ACPLGZ'!$H$6:$T$6,0))</f>
        <v>0</v>
      </c>
      <c r="X57" s="749">
        <f>INDEX('Budget-ACPLGZ'!$K$7:$W$207,MATCH($B57,'Budget-ACPLGZ'!$B$7:$B$207,0),MATCH(X$8,'Budget-ACPLGZ'!$K$6:$W$6,0))</f>
        <v>0</v>
      </c>
      <c r="Y57" s="749">
        <f t="shared" si="52"/>
        <v>0</v>
      </c>
      <c r="Z57" s="748"/>
      <c r="AB57" s="749">
        <f>INDEX('Actual-ACPLGZ'!$H$7:$T$207,MATCH($B57,'Actual-ACPLGZ'!$B$7:$B$207,0),MATCH(AB$8,'Actual-ACPLGZ'!$H$6:$T$6,0))</f>
        <v>0</v>
      </c>
      <c r="AC57" s="749">
        <f>INDEX('Budget-Yixing'!$K$7:$W$207,MATCH($B57,'Budget-Yixing'!$B$7:$B$207,0),MATCH(AC$8,'Budget-Yixing'!$K$6:$W$6,0))</f>
        <v>0</v>
      </c>
      <c r="AD57" s="750">
        <f t="shared" si="46"/>
        <v>0</v>
      </c>
      <c r="AE57" s="748"/>
      <c r="AG57" s="751">
        <f>SUM(INDEX('Actual-ACPL'!$H$7:$T$207,MATCH($B57,'Actual-ACPL'!$B$7:$B$207,0),MATCH('Actual-ACPL'!H$6,'Actual-ACPL'!$H$6:$T$6,0)):INDEX('Actual-ACPL'!$H$7:$T$207,MATCH($B57,'Actual-ACPL'!$B$7:$B$207,0),MATCH(AG$8,'Actual-ACPL'!$H$6:$T$6,0)))</f>
        <v>0</v>
      </c>
      <c r="AH57" s="749">
        <f>SUM(INDEX('Budget-ACPL'!$K$7:$W$207,MATCH($B57,'Budget-ACPL'!$B$7:$B$207,0),MATCH('Budget-ACPL'!K$6,'Budget-ACPL'!$K$6:$W$6,0)):INDEX('Budget-ACPL'!$K$7:$W$207,MATCH($B57,'Budget-ACPL'!$B$7:$B$207,0),MATCH(AH$8,'Budget-ACPL'!$K$6:$W$6,0)))</f>
        <v>0</v>
      </c>
      <c r="AI57" s="749">
        <f t="shared" si="53"/>
        <v>0</v>
      </c>
      <c r="AJ57" s="748"/>
      <c r="AL57" s="749">
        <f>SUM(INDEX('Actual-ACPLHK'!$H$7:$S$207,MATCH($B57,'Actual-ACPLHK'!$B$7:$B$207,0),MATCH('Actual-ACPLHK'!H$6,'Actual-ACPLHK'!$H$6:$T$6,0)):INDEX('Actual-ACPLHK'!$H$7:$S$207,MATCH($B57,'Actual-ACPLHK'!$B$7:$B$207,0),MATCH(AL$8,'Actual-ACPLHK'!$H$6:$T$6,0)))</f>
        <v>0</v>
      </c>
      <c r="AM57" s="749">
        <f>SUM(INDEX('Budget-ACPLHK'!$K$7:$W$207,MATCH($B57,'Budget-ACPLHK'!$B$7:$B$207,0),MATCH('Budget-ACPLHK'!K$6,'Budget-ACPLHK'!$K$6:$W$6,0)):INDEX('Budget-ACPLHK'!$K$7:$W$207,MATCH($B57,'Budget-ACPLHK'!$B$7:$B$207,0),MATCH(AM$8,'Budget-ACPLHK'!$K$6:$W$6,0)))</f>
        <v>0</v>
      </c>
      <c r="AN57" s="749">
        <f t="shared" si="57"/>
        <v>0</v>
      </c>
      <c r="AO57" s="748"/>
      <c r="AQ57" s="749">
        <f>SUM(INDEX('Actual-ACPSZL'!$H$7:$T$207,MATCH($B57,'Actual-ACPSZL'!$B$7:$B$207,0),MATCH('Actual-ACPSZL'!H$6,'Actual-ACPSZL'!$H$6:$T$6,0)):INDEX('Actual-ACPSZL'!$H$7:$T$207,MATCH($B57,'Actual-ACPSZL'!$B$7:$B$207,0),MATCH(AQ$8,'Actual-ACPSZL'!$H$6:$T$6,0)))</f>
        <v>0</v>
      </c>
      <c r="AR57" s="749">
        <f>SUM(INDEX('Budget-ACPSZL'!$K$7:$W$207,MATCH($B57,'Budget-ACPSZL'!$B$7:$B$207,0),MATCH('Budget-ACPSZL'!K$6,'Budget-ACPSZL'!$K$6:$W$6,0)):INDEX('Budget-ACPSZL'!$K$7:$W$207,MATCH($B57,'Budget-ACPSZL'!$B$7:$B$207,0),MATCH(AR$8,'Budget-ACPSZL'!$K$6:$W$6,0)))</f>
        <v>0</v>
      </c>
      <c r="AS57" s="749">
        <f t="shared" si="60"/>
        <v>0</v>
      </c>
      <c r="AT57" s="748"/>
      <c r="AV57" s="749">
        <f>SUM(INDEX('Actual-ACPLSZ'!$H$7:$T$207,MATCH($B57,'Actual-ACPLSZ'!$B$7:$B$207,0),MATCH('Actual-ACPLSZ'!H$6,'Actual-ACPLSZ'!$H$6:$T$6,0)):INDEX('Actual-ACPLSZ'!$H$7:$T$207,MATCH($B57,'Actual-ACPLSZ'!$B$7:$B$207,0),MATCH(AV$8,'Actual-ACPLSZ'!$H$6:$T$6,0)))</f>
        <v>0</v>
      </c>
      <c r="AW57" s="749">
        <f>SUM(INDEX('Budget-ACPLSZ'!$K$7:$W$207,MATCH($B57,'Budget-ACPLSZ'!$B$7:$B$207,0),MATCH('Budget-ACPLSZ'!K$6,'Budget-ACPLSZ'!$K$6:$W$6,0)):INDEX('Budget-ACPLSZ'!$K$7:$W$207,MATCH($B57,'Budget-ACPLSZ'!$B$7:$B$207,0),MATCH(AW$8,'Budget-ACPLSZ'!$K$6:$W$6,0)))</f>
        <v>612.5</v>
      </c>
      <c r="AX57" s="749">
        <f t="shared" si="55"/>
        <v>-612.5</v>
      </c>
      <c r="AY57" s="748"/>
      <c r="BA57" s="749">
        <f>SUM(INDEX('Actual-ACPLGZ'!$H$7:$T$207,MATCH($B57,'Actual-ACPLGZ'!$B$7:$B$207,0),MATCH('Actual-ACPLGZ'!H$6,'Actual-ACPLGZ'!$H$6:$T$6,0)):INDEX('Actual-ACPLGZ'!$H$7:$T$207,MATCH($B57,'Actual-ACPLGZ'!$B$7:$B$207,0),MATCH(BA$8,'Actual-ACPLGZ'!$H$6:$T$6,0)))</f>
        <v>0</v>
      </c>
      <c r="BB57" s="749">
        <f>SUM(INDEX('Budget-ACPLGZ'!$K$7:$W$207,MATCH($B57,'Budget-ACPLGZ'!$B$7:$B$207,0),MATCH('Budget-ACPLGZ'!K$6,'Budget-ACPLGZ'!$K$6:$W$6,0)):INDEX('Budget-ACPLGZ'!$K$7:$W$207,MATCH($B57,'Budget-ACPLGZ'!$B$7:$B$207,0),MATCH(BB$8,'Budget-ACPLGZ'!$K$6:$W$6,0)))</f>
        <v>0</v>
      </c>
      <c r="BC57" s="749">
        <f t="shared" si="48"/>
        <v>0</v>
      </c>
      <c r="BD57" s="748"/>
      <c r="BF57" s="749">
        <f>SUM(INDEX('Actual-ACPLYixing'!$H$7:$T$207,MATCH($B57,'Actual-ACPLYixing'!$B$7:$B$207,0),MATCH('Actual-ACPLYixing'!H$6,'Actual-ACPLYixing'!$H$6:$T$6,0)):INDEX('Actual-ACPLYixing'!$H$7:$T$207,MATCH($B57,'Actual-ACPLYixing'!$B$7:$B$207,0),MATCH(BF$8,'Actual-ACPLYixing'!$H$6:$T$6,0)))</f>
        <v>0</v>
      </c>
      <c r="BG57" s="749">
        <f>SUM(INDEX('Budget-Yixing'!$K$7:$W$207,MATCH($B57,'Budget-Yixing'!$B$7:$B$207,0),MATCH('Budget-Yixing'!K$6,'Budget-Yixing'!$K$6:$W$6,0)):INDEX('Budget-Yixing'!$K$7:$W$207,MATCH($B57,'Budget-Yixing'!$B$7:$B$207,0),MATCH(BG$8,'Budget-Yixing'!$K$6:$W$6,0)))</f>
        <v>0</v>
      </c>
      <c r="BH57" s="749">
        <f t="shared" si="49"/>
        <v>0</v>
      </c>
      <c r="BI57" s="748"/>
    </row>
    <row r="58" spans="1:61" ht="16.5" customHeight="1">
      <c r="A58" s="653" t="str">
        <f>'Budget-合并'!A56</f>
        <v>6602.04.09</v>
      </c>
      <c r="B58" s="653" t="str">
        <f>'Budget-合并'!B56</f>
        <v>翻译服务费</v>
      </c>
      <c r="C58" s="746">
        <f>INDEX('Actual-ACPL'!$H$7:$T$207,MATCH($B58,'Actual-ACPL'!$B$7:$B$207,0),MATCH(C$8,'Actual-ACPL'!$H$6:$T$6,0))</f>
        <v>0</v>
      </c>
      <c r="D58" s="746">
        <f>INDEX('Budget-ACPL'!$K$7:$W$207,MATCH($B58,'Budget-ACPL'!$B$7:$B$207,0),MATCH(D$8,'Budget-ACPL'!$K$6:$W$6,0))</f>
        <v>0</v>
      </c>
      <c r="E58" s="746">
        <f t="shared" si="58"/>
        <v>0</v>
      </c>
      <c r="F58" s="752"/>
      <c r="H58" s="749">
        <f>INDEX('Actual-ACPLHK'!$H$7:$T$207,MATCH($B58,'Actual-ACPLHK'!$B$7:$B$207,0),MATCH(H$8,'Actual-ACPLHK'!$H$6:$T$6,0))</f>
        <v>0</v>
      </c>
      <c r="I58" s="749">
        <f>INDEX('Budget-ACPLHK'!$K$7:$W$207,MATCH($B58,'Budget-ACPLHK'!$B$7:$B$207,0),MATCH(I$8,'Budget-ACPLHK'!$K$6:$W$6,0))</f>
        <v>0</v>
      </c>
      <c r="J58" s="749">
        <f t="shared" si="59"/>
        <v>0</v>
      </c>
      <c r="K58" s="748"/>
      <c r="M58" s="749">
        <f>INDEX('Actual-ACPSZL'!$H$7:$T$207,MATCH($B58,'Actual-ACPSZL'!$B$7:$B$207,0),MATCH(M$8,'Actual-ACPSZL'!$H$6:$T$6,0))</f>
        <v>0</v>
      </c>
      <c r="N58" s="749">
        <f>INDEX('Budget-ACPSZL'!$K$7:$W$207,MATCH($B58,'Budget-ACPSZL'!$B$7:$B$207,0),MATCH(N$8,'Budget-ACPSZL'!$K$6:$W$6,0))</f>
        <v>0</v>
      </c>
      <c r="O58" s="749">
        <f t="shared" si="51"/>
        <v>0</v>
      </c>
      <c r="P58" s="748"/>
      <c r="R58" s="749">
        <f>INDEX('Actual-ACPLSZ'!$H$7:$T$207,MATCH($B58,'Actual-ACPLSZ'!$B$7:$B$207,0),MATCH(R$8,'Actual-ACPLSZ'!$H$6:$T$6,0))</f>
        <v>0</v>
      </c>
      <c r="S58" s="749">
        <f>INDEX('Budget-ACPLSZ'!$K$7:$W$207,MATCH($B58,'Budget-ACPLSZ'!$B$7:$B$207,0),MATCH(S$8,'Budget-ACPLSZ'!$K$6:$W$6,0))</f>
        <v>0</v>
      </c>
      <c r="T58" s="750">
        <f t="shared" si="45"/>
        <v>0</v>
      </c>
      <c r="U58" s="748"/>
      <c r="W58" s="749">
        <f>INDEX('Actual-ACPLGZ'!$H$7:$T$207,MATCH($B58,'Actual-ACPLGZ'!$B$7:$B$207,0),MATCH(W$8,'Actual-ACPLGZ'!$H$6:$T$6,0))</f>
        <v>0</v>
      </c>
      <c r="X58" s="749">
        <f>INDEX('Budget-ACPLGZ'!$K$7:$W$207,MATCH($B58,'Budget-ACPLGZ'!$B$7:$B$207,0),MATCH(X$8,'Budget-ACPLGZ'!$K$6:$W$6,0))</f>
        <v>0</v>
      </c>
      <c r="Y58" s="749">
        <f t="shared" si="52"/>
        <v>0</v>
      </c>
      <c r="Z58" s="748"/>
      <c r="AB58" s="749">
        <f>INDEX('Actual-ACPLGZ'!$H$7:$T$207,MATCH($B58,'Actual-ACPLGZ'!$B$7:$B$207,0),MATCH(AB$8,'Actual-ACPLGZ'!$H$6:$T$6,0))</f>
        <v>0</v>
      </c>
      <c r="AC58" s="749">
        <f>INDEX('Budget-Yixing'!$K$7:$W$207,MATCH($B58,'Budget-Yixing'!$B$7:$B$207,0),MATCH(AC$8,'Budget-Yixing'!$K$6:$W$6,0))</f>
        <v>0</v>
      </c>
      <c r="AD58" s="750">
        <f t="shared" si="46"/>
        <v>0</v>
      </c>
      <c r="AE58" s="748"/>
      <c r="AG58" s="751">
        <f>SUM(INDEX('Actual-ACPL'!$H$7:$T$207,MATCH($B58,'Actual-ACPL'!$B$7:$B$207,0),MATCH('Actual-ACPL'!H$6,'Actual-ACPL'!$H$6:$T$6,0)):INDEX('Actual-ACPL'!$H$7:$T$207,MATCH($B58,'Actual-ACPL'!$B$7:$B$207,0),MATCH(AG$8,'Actual-ACPL'!$H$6:$T$6,0)))</f>
        <v>0</v>
      </c>
      <c r="AH58" s="749">
        <f>SUM(INDEX('Budget-ACPL'!$K$7:$W$207,MATCH($B58,'Budget-ACPL'!$B$7:$B$207,0),MATCH('Budget-ACPL'!K$6,'Budget-ACPL'!$K$6:$W$6,0)):INDEX('Budget-ACPL'!$K$7:$W$207,MATCH($B58,'Budget-ACPL'!$B$7:$B$207,0),MATCH(AH$8,'Budget-ACPL'!$K$6:$W$6,0)))</f>
        <v>0</v>
      </c>
      <c r="AI58" s="749">
        <f t="shared" si="53"/>
        <v>0</v>
      </c>
      <c r="AJ58" s="748"/>
      <c r="AL58" s="749">
        <f>SUM(INDEX('Actual-ACPLHK'!$H$7:$S$207,MATCH($B58,'Actual-ACPLHK'!$B$7:$B$207,0),MATCH('Actual-ACPLHK'!H$6,'Actual-ACPLHK'!$H$6:$T$6,0)):INDEX('Actual-ACPLHK'!$H$7:$S$207,MATCH($B58,'Actual-ACPLHK'!$B$7:$B$207,0),MATCH(AL$8,'Actual-ACPLHK'!$H$6:$T$6,0)))</f>
        <v>0</v>
      </c>
      <c r="AM58" s="749">
        <f>SUM(INDEX('Budget-ACPLHK'!$K$7:$W$207,MATCH($B58,'Budget-ACPLHK'!$B$7:$B$207,0),MATCH('Budget-ACPLHK'!K$6,'Budget-ACPLHK'!$K$6:$W$6,0)):INDEX('Budget-ACPLHK'!$K$7:$W$207,MATCH($B58,'Budget-ACPLHK'!$B$7:$B$207,0),MATCH(AM$8,'Budget-ACPLHK'!$K$6:$W$6,0)))</f>
        <v>0</v>
      </c>
      <c r="AN58" s="749">
        <f t="shared" si="57"/>
        <v>0</v>
      </c>
      <c r="AO58" s="748"/>
      <c r="AQ58" s="749">
        <f>SUM(INDEX('Actual-ACPSZL'!$H$7:$T$207,MATCH($B58,'Actual-ACPSZL'!$B$7:$B$207,0),MATCH('Actual-ACPSZL'!H$6,'Actual-ACPSZL'!$H$6:$T$6,0)):INDEX('Actual-ACPSZL'!$H$7:$T$207,MATCH($B58,'Actual-ACPSZL'!$B$7:$B$207,0),MATCH(AQ$8,'Actual-ACPSZL'!$H$6:$T$6,0)))</f>
        <v>0</v>
      </c>
      <c r="AR58" s="749">
        <f>SUM(INDEX('Budget-ACPSZL'!$K$7:$W$207,MATCH($B58,'Budget-ACPSZL'!$B$7:$B$207,0),MATCH('Budget-ACPSZL'!K$6,'Budget-ACPSZL'!$K$6:$W$6,0)):INDEX('Budget-ACPSZL'!$K$7:$W$207,MATCH($B58,'Budget-ACPSZL'!$B$7:$B$207,0),MATCH(AR$8,'Budget-ACPSZL'!$K$6:$W$6,0)))</f>
        <v>0</v>
      </c>
      <c r="AS58" s="749">
        <f t="shared" si="60"/>
        <v>0</v>
      </c>
      <c r="AT58" s="748"/>
      <c r="AV58" s="749">
        <f>SUM(INDEX('Actual-ACPLSZ'!$H$7:$T$207,MATCH($B58,'Actual-ACPLSZ'!$B$7:$B$207,0),MATCH('Actual-ACPLSZ'!H$6,'Actual-ACPLSZ'!$H$6:$T$6,0)):INDEX('Actual-ACPLSZ'!$H$7:$T$207,MATCH($B58,'Actual-ACPLSZ'!$B$7:$B$207,0),MATCH(AV$8,'Actual-ACPLSZ'!$H$6:$T$6,0)))</f>
        <v>0</v>
      </c>
      <c r="AW58" s="749">
        <f>SUM(INDEX('Budget-ACPLSZ'!$K$7:$W$207,MATCH($B58,'Budget-ACPLSZ'!$B$7:$B$207,0),MATCH('Budget-ACPLSZ'!K$6,'Budget-ACPLSZ'!$K$6:$W$6,0)):INDEX('Budget-ACPLSZ'!$K$7:$W$207,MATCH($B58,'Budget-ACPLSZ'!$B$7:$B$207,0),MATCH(AW$8,'Budget-ACPLSZ'!$K$6:$W$6,0)))</f>
        <v>0</v>
      </c>
      <c r="AX58" s="749">
        <f t="shared" si="55"/>
        <v>0</v>
      </c>
      <c r="AY58" s="748"/>
      <c r="BA58" s="749">
        <f>SUM(INDEX('Actual-ACPLGZ'!$H$7:$T$207,MATCH($B58,'Actual-ACPLGZ'!$B$7:$B$207,0),MATCH('Actual-ACPLGZ'!H$6,'Actual-ACPLGZ'!$H$6:$T$6,0)):INDEX('Actual-ACPLGZ'!$H$7:$T$207,MATCH($B58,'Actual-ACPLGZ'!$B$7:$B$207,0),MATCH(BA$8,'Actual-ACPLGZ'!$H$6:$T$6,0)))</f>
        <v>0</v>
      </c>
      <c r="BB58" s="749">
        <f>SUM(INDEX('Budget-ACPLGZ'!$K$7:$W$207,MATCH($B58,'Budget-ACPLGZ'!$B$7:$B$207,0),MATCH('Budget-ACPLGZ'!K$6,'Budget-ACPLGZ'!$K$6:$W$6,0)):INDEX('Budget-ACPLGZ'!$K$7:$W$207,MATCH($B58,'Budget-ACPLGZ'!$B$7:$B$207,0),MATCH(BB$8,'Budget-ACPLGZ'!$K$6:$W$6,0)))</f>
        <v>0</v>
      </c>
      <c r="BC58" s="749">
        <f t="shared" si="48"/>
        <v>0</v>
      </c>
      <c r="BD58" s="748"/>
      <c r="BF58" s="749">
        <f>SUM(INDEX('Actual-ACPLYixing'!$H$7:$T$207,MATCH($B58,'Actual-ACPLYixing'!$B$7:$B$207,0),MATCH('Actual-ACPLYixing'!H$6,'Actual-ACPLYixing'!$H$6:$T$6,0)):INDEX('Actual-ACPLYixing'!$H$7:$T$207,MATCH($B58,'Actual-ACPLYixing'!$B$7:$B$207,0),MATCH(BF$8,'Actual-ACPLYixing'!$H$6:$T$6,0)))</f>
        <v>0</v>
      </c>
      <c r="BG58" s="749">
        <f>SUM(INDEX('Budget-Yixing'!$K$7:$W$207,MATCH($B58,'Budget-Yixing'!$B$7:$B$207,0),MATCH('Budget-Yixing'!K$6,'Budget-Yixing'!$K$6:$W$6,0)):INDEX('Budget-Yixing'!$K$7:$W$207,MATCH($B58,'Budget-Yixing'!$B$7:$B$207,0),MATCH(BG$8,'Budget-Yixing'!$K$6:$W$6,0)))</f>
        <v>0</v>
      </c>
      <c r="BH58" s="749">
        <f t="shared" si="49"/>
        <v>0</v>
      </c>
      <c r="BI58" s="748"/>
    </row>
    <row r="59" spans="1:61" ht="16.5" customHeight="1">
      <c r="A59" s="653" t="str">
        <f>'Budget-合并'!A57</f>
        <v>6602.04.10</v>
      </c>
      <c r="B59" s="653" t="str">
        <f>'Budget-合并'!B57</f>
        <v>评估费</v>
      </c>
      <c r="C59" s="746">
        <f>INDEX('Actual-ACPL'!$H$7:$T$207,MATCH($B59,'Actual-ACPL'!$B$7:$B$207,0),MATCH(C$8,'Actual-ACPL'!$H$6:$T$6,0))</f>
        <v>0</v>
      </c>
      <c r="D59" s="746">
        <f>INDEX('Budget-ACPL'!$K$7:$W$207,MATCH($B59,'Budget-ACPL'!$B$7:$B$207,0),MATCH(D$8,'Budget-ACPL'!$K$6:$W$6,0))</f>
        <v>0</v>
      </c>
      <c r="E59" s="746">
        <f t="shared" si="58"/>
        <v>0</v>
      </c>
      <c r="F59" s="752"/>
      <c r="H59" s="749">
        <f>INDEX('Actual-ACPLHK'!$H$7:$T$207,MATCH($B59,'Actual-ACPLHK'!$B$7:$B$207,0),MATCH(H$8,'Actual-ACPLHK'!$H$6:$T$6,0))</f>
        <v>0</v>
      </c>
      <c r="I59" s="749">
        <f>INDEX('Budget-ACPLHK'!$K$7:$W$207,MATCH($B59,'Budget-ACPLHK'!$B$7:$B$207,0),MATCH(I$8,'Budget-ACPLHK'!$K$6:$W$6,0))</f>
        <v>0</v>
      </c>
      <c r="J59" s="749">
        <f t="shared" si="59"/>
        <v>0</v>
      </c>
      <c r="K59" s="748"/>
      <c r="M59" s="749">
        <f>INDEX('Actual-ACPSZL'!$H$7:$T$207,MATCH($B59,'Actual-ACPSZL'!$B$7:$B$207,0),MATCH(M$8,'Actual-ACPSZL'!$H$6:$T$6,0))</f>
        <v>0</v>
      </c>
      <c r="N59" s="749">
        <f>INDEX('Budget-ACPSZL'!$K$7:$W$207,MATCH($B59,'Budget-ACPSZL'!$B$7:$B$207,0),MATCH(N$8,'Budget-ACPSZL'!$K$6:$W$6,0))</f>
        <v>0</v>
      </c>
      <c r="O59" s="749">
        <f t="shared" si="51"/>
        <v>0</v>
      </c>
      <c r="P59" s="748"/>
      <c r="R59" s="749">
        <f>INDEX('Actual-ACPLSZ'!$H$7:$T$207,MATCH($B59,'Actual-ACPLSZ'!$B$7:$B$207,0),MATCH(R$8,'Actual-ACPLSZ'!$H$6:$T$6,0))</f>
        <v>0</v>
      </c>
      <c r="S59" s="749">
        <f>INDEX('Budget-ACPLSZ'!$K$7:$W$207,MATCH($B59,'Budget-ACPLSZ'!$B$7:$B$207,0),MATCH(S$8,'Budget-ACPLSZ'!$K$6:$W$6,0))</f>
        <v>0</v>
      </c>
      <c r="T59" s="750">
        <f t="shared" si="45"/>
        <v>0</v>
      </c>
      <c r="U59" s="748"/>
      <c r="W59" s="749">
        <f>INDEX('Actual-ACPLGZ'!$H$7:$T$207,MATCH($B59,'Actual-ACPLGZ'!$B$7:$B$207,0),MATCH(W$8,'Actual-ACPLGZ'!$H$6:$T$6,0))</f>
        <v>0</v>
      </c>
      <c r="X59" s="749">
        <f>INDEX('Budget-ACPLGZ'!$K$7:$W$207,MATCH($B59,'Budget-ACPLGZ'!$B$7:$B$207,0),MATCH(X$8,'Budget-ACPLGZ'!$K$6:$W$6,0))</f>
        <v>0</v>
      </c>
      <c r="Y59" s="749">
        <f t="shared" si="52"/>
        <v>0</v>
      </c>
      <c r="Z59" s="748"/>
      <c r="AB59" s="749">
        <f>INDEX('Actual-ACPLGZ'!$H$7:$T$207,MATCH($B59,'Actual-ACPLGZ'!$B$7:$B$207,0),MATCH(AB$8,'Actual-ACPLGZ'!$H$6:$T$6,0))</f>
        <v>0</v>
      </c>
      <c r="AC59" s="749">
        <f>INDEX('Budget-Yixing'!$K$7:$W$207,MATCH($B59,'Budget-Yixing'!$B$7:$B$207,0),MATCH(AC$8,'Budget-Yixing'!$K$6:$W$6,0))</f>
        <v>0</v>
      </c>
      <c r="AD59" s="750">
        <f t="shared" si="46"/>
        <v>0</v>
      </c>
      <c r="AE59" s="748"/>
      <c r="AG59" s="751">
        <f>SUM(INDEX('Actual-ACPL'!$H$7:$T$207,MATCH($B59,'Actual-ACPL'!$B$7:$B$207,0),MATCH('Actual-ACPL'!H$6,'Actual-ACPL'!$H$6:$T$6,0)):INDEX('Actual-ACPL'!$H$7:$T$207,MATCH($B59,'Actual-ACPL'!$B$7:$B$207,0),MATCH(AG$8,'Actual-ACPL'!$H$6:$T$6,0)))</f>
        <v>0</v>
      </c>
      <c r="AH59" s="749">
        <f>SUM(INDEX('Budget-ACPL'!$K$7:$W$207,MATCH($B59,'Budget-ACPL'!$B$7:$B$207,0),MATCH('Budget-ACPL'!K$6,'Budget-ACPL'!$K$6:$W$6,0)):INDEX('Budget-ACPL'!$K$7:$W$207,MATCH($B59,'Budget-ACPL'!$B$7:$B$207,0),MATCH(AH$8,'Budget-ACPL'!$K$6:$W$6,0)))</f>
        <v>0</v>
      </c>
      <c r="AI59" s="749">
        <f t="shared" si="53"/>
        <v>0</v>
      </c>
      <c r="AJ59" s="748"/>
      <c r="AL59" s="749">
        <f>SUM(INDEX('Actual-ACPLHK'!$H$7:$S$207,MATCH($B59,'Actual-ACPLHK'!$B$7:$B$207,0),MATCH('Actual-ACPLHK'!H$6,'Actual-ACPLHK'!$H$6:$T$6,0)):INDEX('Actual-ACPLHK'!$H$7:$S$207,MATCH($B59,'Actual-ACPLHK'!$B$7:$B$207,0),MATCH(AL$8,'Actual-ACPLHK'!$H$6:$T$6,0)))</f>
        <v>0</v>
      </c>
      <c r="AM59" s="749">
        <f>SUM(INDEX('Budget-ACPLHK'!$K$7:$W$207,MATCH($B59,'Budget-ACPLHK'!$B$7:$B$207,0),MATCH('Budget-ACPLHK'!K$6,'Budget-ACPLHK'!$K$6:$W$6,0)):INDEX('Budget-ACPLHK'!$K$7:$W$207,MATCH($B59,'Budget-ACPLHK'!$B$7:$B$207,0),MATCH(AM$8,'Budget-ACPLHK'!$K$6:$W$6,0)))</f>
        <v>0</v>
      </c>
      <c r="AN59" s="749">
        <f t="shared" si="57"/>
        <v>0</v>
      </c>
      <c r="AO59" s="748"/>
      <c r="AQ59" s="749">
        <f>SUM(INDEX('Actual-ACPSZL'!$H$7:$T$207,MATCH($B59,'Actual-ACPSZL'!$B$7:$B$207,0),MATCH('Actual-ACPSZL'!H$6,'Actual-ACPSZL'!$H$6:$T$6,0)):INDEX('Actual-ACPSZL'!$H$7:$T$207,MATCH($B59,'Actual-ACPSZL'!$B$7:$B$207,0),MATCH(AQ$8,'Actual-ACPSZL'!$H$6:$T$6,0)))</f>
        <v>0</v>
      </c>
      <c r="AR59" s="749">
        <f>SUM(INDEX('Budget-ACPSZL'!$K$7:$W$207,MATCH($B59,'Budget-ACPSZL'!$B$7:$B$207,0),MATCH('Budget-ACPSZL'!K$6,'Budget-ACPSZL'!$K$6:$W$6,0)):INDEX('Budget-ACPSZL'!$K$7:$W$207,MATCH($B59,'Budget-ACPSZL'!$B$7:$B$207,0),MATCH(AR$8,'Budget-ACPSZL'!$K$6:$W$6,0)))</f>
        <v>0</v>
      </c>
      <c r="AS59" s="749">
        <f t="shared" si="60"/>
        <v>0</v>
      </c>
      <c r="AT59" s="748"/>
      <c r="AV59" s="749">
        <f>SUM(INDEX('Actual-ACPLSZ'!$H$7:$T$207,MATCH($B59,'Actual-ACPLSZ'!$B$7:$B$207,0),MATCH('Actual-ACPLSZ'!H$6,'Actual-ACPLSZ'!$H$6:$T$6,0)):INDEX('Actual-ACPLSZ'!$H$7:$T$207,MATCH($B59,'Actual-ACPLSZ'!$B$7:$B$207,0),MATCH(AV$8,'Actual-ACPLSZ'!$H$6:$T$6,0)))</f>
        <v>0</v>
      </c>
      <c r="AW59" s="749">
        <f>SUM(INDEX('Budget-ACPLSZ'!$K$7:$W$207,MATCH($B59,'Budget-ACPLSZ'!$B$7:$B$207,0),MATCH('Budget-ACPLSZ'!K$6,'Budget-ACPLSZ'!$K$6:$W$6,0)):INDEX('Budget-ACPLSZ'!$K$7:$W$207,MATCH($B59,'Budget-ACPLSZ'!$B$7:$B$207,0),MATCH(AW$8,'Budget-ACPLSZ'!$K$6:$W$6,0)))</f>
        <v>0</v>
      </c>
      <c r="AX59" s="749">
        <f t="shared" si="55"/>
        <v>0</v>
      </c>
      <c r="AY59" s="748"/>
      <c r="BA59" s="749">
        <f>SUM(INDEX('Actual-ACPLGZ'!$H$7:$T$207,MATCH($B59,'Actual-ACPLGZ'!$B$7:$B$207,0),MATCH('Actual-ACPLGZ'!H$6,'Actual-ACPLGZ'!$H$6:$T$6,0)):INDEX('Actual-ACPLGZ'!$H$7:$T$207,MATCH($B59,'Actual-ACPLGZ'!$B$7:$B$207,0),MATCH(BA$8,'Actual-ACPLGZ'!$H$6:$T$6,0)))</f>
        <v>0</v>
      </c>
      <c r="BB59" s="749">
        <f>SUM(INDEX('Budget-ACPLGZ'!$K$7:$W$207,MATCH($B59,'Budget-ACPLGZ'!$B$7:$B$207,0),MATCH('Budget-ACPLGZ'!K$6,'Budget-ACPLGZ'!$K$6:$W$6,0)):INDEX('Budget-ACPLGZ'!$K$7:$W$207,MATCH($B59,'Budget-ACPLGZ'!$B$7:$B$207,0),MATCH(BB$8,'Budget-ACPLGZ'!$K$6:$W$6,0)))</f>
        <v>0</v>
      </c>
      <c r="BC59" s="749">
        <f t="shared" si="48"/>
        <v>0</v>
      </c>
      <c r="BD59" s="748"/>
      <c r="BF59" s="749">
        <f>SUM(INDEX('Actual-ACPLYixing'!$H$7:$T$207,MATCH($B59,'Actual-ACPLYixing'!$B$7:$B$207,0),MATCH('Actual-ACPLYixing'!H$6,'Actual-ACPLYixing'!$H$6:$T$6,0)):INDEX('Actual-ACPLYixing'!$H$7:$T$207,MATCH($B59,'Actual-ACPLYixing'!$B$7:$B$207,0),MATCH(BF$8,'Actual-ACPLYixing'!$H$6:$T$6,0)))</f>
        <v>0</v>
      </c>
      <c r="BG59" s="749">
        <f>SUM(INDEX('Budget-Yixing'!$K$7:$W$207,MATCH($B59,'Budget-Yixing'!$B$7:$B$207,0),MATCH('Budget-Yixing'!K$6,'Budget-Yixing'!$K$6:$W$6,0)):INDEX('Budget-Yixing'!$K$7:$W$207,MATCH($B59,'Budget-Yixing'!$B$7:$B$207,0),MATCH(BG$8,'Budget-Yixing'!$K$6:$W$6,0)))</f>
        <v>0</v>
      </c>
      <c r="BH59" s="749">
        <f t="shared" si="49"/>
        <v>0</v>
      </c>
      <c r="BI59" s="748"/>
    </row>
    <row r="60" spans="1:61" ht="16.5" customHeight="1">
      <c r="A60" s="653" t="str">
        <f>'Budget-合并'!A58</f>
        <v>6602.04.11</v>
      </c>
      <c r="B60" s="653" t="str">
        <f>'Budget-合并'!B58</f>
        <v>技术服务费</v>
      </c>
      <c r="C60" s="746">
        <f>INDEX('Actual-ACPL'!$H$7:$T$207,MATCH($B60,'Actual-ACPL'!$B$7:$B$207,0),MATCH(C$8,'Actual-ACPL'!$H$6:$T$6,0))</f>
        <v>0</v>
      </c>
      <c r="D60" s="746">
        <f>INDEX('Budget-ACPL'!$K$7:$W$207,MATCH($B60,'Budget-ACPL'!$B$7:$B$207,0),MATCH(D$8,'Budget-ACPL'!$K$6:$W$6,0))</f>
        <v>0</v>
      </c>
      <c r="E60" s="746">
        <f t="shared" si="58"/>
        <v>0</v>
      </c>
      <c r="F60" s="752"/>
      <c r="H60" s="749">
        <f>INDEX('Actual-ACPLHK'!$H$7:$T$207,MATCH($B60,'Actual-ACPLHK'!$B$7:$B$207,0),MATCH(H$8,'Actual-ACPLHK'!$H$6:$T$6,0))</f>
        <v>0</v>
      </c>
      <c r="I60" s="749">
        <f>INDEX('Budget-ACPLHK'!$K$7:$W$207,MATCH($B60,'Budget-ACPLHK'!$B$7:$B$207,0),MATCH(I$8,'Budget-ACPLHK'!$K$6:$W$6,0))</f>
        <v>0</v>
      </c>
      <c r="J60" s="749">
        <f t="shared" si="59"/>
        <v>0</v>
      </c>
      <c r="K60" s="748"/>
      <c r="M60" s="749">
        <f>INDEX('Actual-ACPSZL'!$H$7:$T$207,MATCH($B60,'Actual-ACPSZL'!$B$7:$B$207,0),MATCH(M$8,'Actual-ACPSZL'!$H$6:$T$6,0))</f>
        <v>0</v>
      </c>
      <c r="N60" s="749">
        <f>INDEX('Budget-ACPSZL'!$K$7:$W$207,MATCH($B60,'Budget-ACPSZL'!$B$7:$B$207,0),MATCH(N$8,'Budget-ACPSZL'!$K$6:$W$6,0))</f>
        <v>0</v>
      </c>
      <c r="O60" s="749">
        <f t="shared" si="51"/>
        <v>0</v>
      </c>
      <c r="P60" s="748"/>
      <c r="R60" s="749">
        <f>INDEX('Actual-ACPLSZ'!$H$7:$T$207,MATCH($B60,'Actual-ACPLSZ'!$B$7:$B$207,0),MATCH(R$8,'Actual-ACPLSZ'!$H$6:$T$6,0))</f>
        <v>0</v>
      </c>
      <c r="S60" s="749">
        <f>INDEX('Budget-ACPLSZ'!$K$7:$W$207,MATCH($B60,'Budget-ACPLSZ'!$B$7:$B$207,0),MATCH(S$8,'Budget-ACPLSZ'!$K$6:$W$6,0))</f>
        <v>0</v>
      </c>
      <c r="T60" s="750">
        <f t="shared" si="45"/>
        <v>0</v>
      </c>
      <c r="U60" s="748"/>
      <c r="W60" s="749">
        <f>INDEX('Actual-ACPLGZ'!$H$7:$T$207,MATCH($B60,'Actual-ACPLGZ'!$B$7:$B$207,0),MATCH(W$8,'Actual-ACPLGZ'!$H$6:$T$6,0))</f>
        <v>0</v>
      </c>
      <c r="X60" s="749">
        <f>INDEX('Budget-ACPLGZ'!$K$7:$W$207,MATCH($B60,'Budget-ACPLGZ'!$B$7:$B$207,0),MATCH(X$8,'Budget-ACPLGZ'!$K$6:$W$6,0))</f>
        <v>0</v>
      </c>
      <c r="Y60" s="749">
        <f t="shared" si="52"/>
        <v>0</v>
      </c>
      <c r="Z60" s="748"/>
      <c r="AB60" s="749">
        <f>INDEX('Actual-ACPLGZ'!$H$7:$T$207,MATCH($B60,'Actual-ACPLGZ'!$B$7:$B$207,0),MATCH(AB$8,'Actual-ACPLGZ'!$H$6:$T$6,0))</f>
        <v>0</v>
      </c>
      <c r="AC60" s="749">
        <f>INDEX('Budget-Yixing'!$K$7:$W$207,MATCH($B60,'Budget-Yixing'!$B$7:$B$207,0),MATCH(AC$8,'Budget-Yixing'!$K$6:$W$6,0))</f>
        <v>0</v>
      </c>
      <c r="AD60" s="750">
        <f t="shared" si="46"/>
        <v>0</v>
      </c>
      <c r="AE60" s="748"/>
      <c r="AG60" s="751">
        <f>SUM(INDEX('Actual-ACPL'!$H$7:$T$207,MATCH($B60,'Actual-ACPL'!$B$7:$B$207,0),MATCH('Actual-ACPL'!H$6,'Actual-ACPL'!$H$6:$T$6,0)):INDEX('Actual-ACPL'!$H$7:$T$207,MATCH($B60,'Actual-ACPL'!$B$7:$B$207,0),MATCH(AG$8,'Actual-ACPL'!$H$6:$T$6,0)))</f>
        <v>0</v>
      </c>
      <c r="AH60" s="749">
        <f>SUM(INDEX('Budget-ACPL'!$K$7:$W$207,MATCH($B60,'Budget-ACPL'!$B$7:$B$207,0),MATCH('Budget-ACPL'!K$6,'Budget-ACPL'!$K$6:$W$6,0)):INDEX('Budget-ACPL'!$K$7:$W$207,MATCH($B60,'Budget-ACPL'!$B$7:$B$207,0),MATCH(AH$8,'Budget-ACPL'!$K$6:$W$6,0)))</f>
        <v>0</v>
      </c>
      <c r="AI60" s="749">
        <f t="shared" si="53"/>
        <v>0</v>
      </c>
      <c r="AJ60" s="748"/>
      <c r="AL60" s="749">
        <f>SUM(INDEX('Actual-ACPLHK'!$H$7:$S$207,MATCH($B60,'Actual-ACPLHK'!$B$7:$B$207,0),MATCH('Actual-ACPLHK'!H$6,'Actual-ACPLHK'!$H$6:$T$6,0)):INDEX('Actual-ACPLHK'!$H$7:$S$207,MATCH($B60,'Actual-ACPLHK'!$B$7:$B$207,0),MATCH(AL$8,'Actual-ACPLHK'!$H$6:$T$6,0)))</f>
        <v>0</v>
      </c>
      <c r="AM60" s="749">
        <f>SUM(INDEX('Budget-ACPLHK'!$K$7:$W$207,MATCH($B60,'Budget-ACPLHK'!$B$7:$B$207,0),MATCH('Budget-ACPLHK'!K$6,'Budget-ACPLHK'!$K$6:$W$6,0)):INDEX('Budget-ACPLHK'!$K$7:$W$207,MATCH($B60,'Budget-ACPLHK'!$B$7:$B$207,0),MATCH(AM$8,'Budget-ACPLHK'!$K$6:$W$6,0)))</f>
        <v>0</v>
      </c>
      <c r="AN60" s="749">
        <f t="shared" si="57"/>
        <v>0</v>
      </c>
      <c r="AO60" s="748"/>
      <c r="AQ60" s="749">
        <f>SUM(INDEX('Actual-ACPSZL'!$H$7:$T$207,MATCH($B60,'Actual-ACPSZL'!$B$7:$B$207,0),MATCH('Actual-ACPSZL'!H$6,'Actual-ACPSZL'!$H$6:$T$6,0)):INDEX('Actual-ACPSZL'!$H$7:$T$207,MATCH($B60,'Actual-ACPSZL'!$B$7:$B$207,0),MATCH(AQ$8,'Actual-ACPSZL'!$H$6:$T$6,0)))</f>
        <v>0</v>
      </c>
      <c r="AR60" s="749">
        <f>SUM(INDEX('Budget-ACPSZL'!$K$7:$W$207,MATCH($B60,'Budget-ACPSZL'!$B$7:$B$207,0),MATCH('Budget-ACPSZL'!K$6,'Budget-ACPSZL'!$K$6:$W$6,0)):INDEX('Budget-ACPSZL'!$K$7:$W$207,MATCH($B60,'Budget-ACPSZL'!$B$7:$B$207,0),MATCH(AR$8,'Budget-ACPSZL'!$K$6:$W$6,0)))</f>
        <v>0</v>
      </c>
      <c r="AS60" s="749">
        <f t="shared" si="60"/>
        <v>0</v>
      </c>
      <c r="AT60" s="748"/>
      <c r="AV60" s="749">
        <f>SUM(INDEX('Actual-ACPLSZ'!$H$7:$T$207,MATCH($B60,'Actual-ACPLSZ'!$B$7:$B$207,0),MATCH('Actual-ACPLSZ'!H$6,'Actual-ACPLSZ'!$H$6:$T$6,0)):INDEX('Actual-ACPLSZ'!$H$7:$T$207,MATCH($B60,'Actual-ACPLSZ'!$B$7:$B$207,0),MATCH(AV$8,'Actual-ACPLSZ'!$H$6:$T$6,0)))</f>
        <v>0</v>
      </c>
      <c r="AW60" s="749">
        <f>SUM(INDEX('Budget-ACPLSZ'!$K$7:$W$207,MATCH($B60,'Budget-ACPLSZ'!$B$7:$B$207,0),MATCH('Budget-ACPLSZ'!K$6,'Budget-ACPLSZ'!$K$6:$W$6,0)):INDEX('Budget-ACPLSZ'!$K$7:$W$207,MATCH($B60,'Budget-ACPLSZ'!$B$7:$B$207,0),MATCH(AW$8,'Budget-ACPLSZ'!$K$6:$W$6,0)))</f>
        <v>0</v>
      </c>
      <c r="AX60" s="749">
        <f t="shared" si="55"/>
        <v>0</v>
      </c>
      <c r="AY60" s="748"/>
      <c r="BA60" s="749">
        <f>SUM(INDEX('Actual-ACPLGZ'!$H$7:$T$207,MATCH($B60,'Actual-ACPLGZ'!$B$7:$B$207,0),MATCH('Actual-ACPLGZ'!H$6,'Actual-ACPLGZ'!$H$6:$T$6,0)):INDEX('Actual-ACPLGZ'!$H$7:$T$207,MATCH($B60,'Actual-ACPLGZ'!$B$7:$B$207,0),MATCH(BA$8,'Actual-ACPLGZ'!$H$6:$T$6,0)))</f>
        <v>0</v>
      </c>
      <c r="BB60" s="749">
        <f>SUM(INDEX('Budget-ACPLGZ'!$K$7:$W$207,MATCH($B60,'Budget-ACPLGZ'!$B$7:$B$207,0),MATCH('Budget-ACPLGZ'!K$6,'Budget-ACPLGZ'!$K$6:$W$6,0)):INDEX('Budget-ACPLGZ'!$K$7:$W$207,MATCH($B60,'Budget-ACPLGZ'!$B$7:$B$207,0),MATCH(BB$8,'Budget-ACPLGZ'!$K$6:$W$6,0)))</f>
        <v>0</v>
      </c>
      <c r="BC60" s="749">
        <f t="shared" si="48"/>
        <v>0</v>
      </c>
      <c r="BD60" s="748"/>
      <c r="BF60" s="749">
        <f>SUM(INDEX('Actual-ACPLYixing'!$H$7:$T$207,MATCH($B60,'Actual-ACPLYixing'!$B$7:$B$207,0),MATCH('Actual-ACPLYixing'!H$6,'Actual-ACPLYixing'!$H$6:$T$6,0)):INDEX('Actual-ACPLYixing'!$H$7:$T$207,MATCH($B60,'Actual-ACPLYixing'!$B$7:$B$207,0),MATCH(BF$8,'Actual-ACPLYixing'!$H$6:$T$6,0)))</f>
        <v>0</v>
      </c>
      <c r="BG60" s="749">
        <f>SUM(INDEX('Budget-Yixing'!$K$7:$W$207,MATCH($B60,'Budget-Yixing'!$B$7:$B$207,0),MATCH('Budget-Yixing'!K$6,'Budget-Yixing'!$K$6:$W$6,0)):INDEX('Budget-Yixing'!$K$7:$W$207,MATCH($B60,'Budget-Yixing'!$B$7:$B$207,0),MATCH(BG$8,'Budget-Yixing'!$K$6:$W$6,0)))</f>
        <v>0</v>
      </c>
      <c r="BH60" s="749">
        <f t="shared" si="49"/>
        <v>0</v>
      </c>
      <c r="BI60" s="748"/>
    </row>
    <row r="61" spans="1:61" ht="16.5" customHeight="1">
      <c r="A61" s="653" t="str">
        <f>'Budget-合并'!A59</f>
        <v>6602.04.12</v>
      </c>
      <c r="B61" s="653" t="str">
        <f>'Budget-合并'!B59</f>
        <v>合规支持服务</v>
      </c>
      <c r="C61" s="746">
        <f>INDEX('Actual-ACPL'!$H$7:$T$207,MATCH($B61,'Actual-ACPL'!$B$7:$B$207,0),MATCH(C$8,'Actual-ACPL'!$H$6:$T$6,0))</f>
        <v>0</v>
      </c>
      <c r="D61" s="746">
        <f>INDEX('Budget-ACPL'!$K$7:$W$207,MATCH($B61,'Budget-ACPL'!$B$7:$B$207,0),MATCH(D$8,'Budget-ACPL'!$K$6:$W$6,0))</f>
        <v>0</v>
      </c>
      <c r="E61" s="746">
        <f t="shared" ref="E61:E92" si="61">C61-D61</f>
        <v>0</v>
      </c>
      <c r="F61" s="752"/>
      <c r="H61" s="749">
        <f>INDEX('Actual-ACPLHK'!$H$7:$T$207,MATCH($B61,'Actual-ACPLHK'!$B$7:$B$207,0),MATCH(H$8,'Actual-ACPLHK'!$H$6:$T$6,0))</f>
        <v>0</v>
      </c>
      <c r="I61" s="749">
        <f>INDEX('Budget-ACPLHK'!$K$7:$W$207,MATCH($B61,'Budget-ACPLHK'!$B$7:$B$207,0),MATCH(I$8,'Budget-ACPLHK'!$K$6:$W$6,0))</f>
        <v>13883.843999999999</v>
      </c>
      <c r="J61" s="749">
        <f t="shared" ref="J61:J92" si="62">H61-I61</f>
        <v>-13883.843999999999</v>
      </c>
      <c r="K61" s="748"/>
      <c r="M61" s="749">
        <f>INDEX('Actual-ACPSZL'!$H$7:$T$207,MATCH($B61,'Actual-ACPSZL'!$B$7:$B$207,0),MATCH(M$8,'Actual-ACPSZL'!$H$6:$T$6,0))</f>
        <v>0</v>
      </c>
      <c r="N61" s="749">
        <f>INDEX('Budget-ACPSZL'!$K$7:$W$207,MATCH($B61,'Budget-ACPSZL'!$B$7:$B$207,0),MATCH(N$8,'Budget-ACPSZL'!$K$6:$W$6,0))</f>
        <v>0</v>
      </c>
      <c r="O61" s="749">
        <f t="shared" si="51"/>
        <v>0</v>
      </c>
      <c r="P61" s="748"/>
      <c r="R61" s="749">
        <f>INDEX('Actual-ACPLSZ'!$H$7:$T$207,MATCH($B61,'Actual-ACPLSZ'!$B$7:$B$207,0),MATCH(R$8,'Actual-ACPLSZ'!$H$6:$T$6,0))</f>
        <v>0</v>
      </c>
      <c r="S61" s="749">
        <f>INDEX('Budget-ACPLSZ'!$K$7:$W$207,MATCH($B61,'Budget-ACPLSZ'!$B$7:$B$207,0),MATCH(S$8,'Budget-ACPLSZ'!$K$6:$W$6,0))</f>
        <v>0</v>
      </c>
      <c r="T61" s="750">
        <f t="shared" si="45"/>
        <v>0</v>
      </c>
      <c r="U61" s="748"/>
      <c r="W61" s="749">
        <f>INDEX('Actual-ACPLGZ'!$H$7:$T$207,MATCH($B61,'Actual-ACPLGZ'!$B$7:$B$207,0),MATCH(W$8,'Actual-ACPLGZ'!$H$6:$T$6,0))</f>
        <v>0</v>
      </c>
      <c r="X61" s="749">
        <f>INDEX('Budget-ACPLGZ'!$K$7:$W$207,MATCH($B61,'Budget-ACPLGZ'!$B$7:$B$207,0),MATCH(X$8,'Budget-ACPLGZ'!$K$6:$W$6,0))</f>
        <v>0</v>
      </c>
      <c r="Y61" s="749">
        <f t="shared" si="52"/>
        <v>0</v>
      </c>
      <c r="Z61" s="748"/>
      <c r="AB61" s="749">
        <f>INDEX('Actual-ACPLGZ'!$H$7:$T$207,MATCH($B61,'Actual-ACPLGZ'!$B$7:$B$207,0),MATCH(AB$8,'Actual-ACPLGZ'!$H$6:$T$6,0))</f>
        <v>0</v>
      </c>
      <c r="AC61" s="749">
        <f>INDEX('Budget-Yixing'!$K$7:$W$207,MATCH($B61,'Budget-Yixing'!$B$7:$B$207,0),MATCH(AC$8,'Budget-Yixing'!$K$6:$W$6,0))</f>
        <v>0</v>
      </c>
      <c r="AD61" s="750">
        <f t="shared" si="46"/>
        <v>0</v>
      </c>
      <c r="AE61" s="748"/>
      <c r="AG61" s="751">
        <f>SUM(INDEX('Actual-ACPL'!$H$7:$T$207,MATCH($B61,'Actual-ACPL'!$B$7:$B$207,0),MATCH('Actual-ACPL'!H$6,'Actual-ACPL'!$H$6:$T$6,0)):INDEX('Actual-ACPL'!$H$7:$T$207,MATCH($B61,'Actual-ACPL'!$B$7:$B$207,0),MATCH(AG$8,'Actual-ACPL'!$H$6:$T$6,0)))</f>
        <v>0</v>
      </c>
      <c r="AH61" s="749">
        <f>SUM(INDEX('Budget-ACPL'!$K$7:$W$207,MATCH($B61,'Budget-ACPL'!$B$7:$B$207,0),MATCH('Budget-ACPL'!K$6,'Budget-ACPL'!$K$6:$W$6,0)):INDEX('Budget-ACPL'!$K$7:$W$207,MATCH($B61,'Budget-ACPL'!$B$7:$B$207,0),MATCH(AH$8,'Budget-ACPL'!$K$6:$W$6,0)))</f>
        <v>0</v>
      </c>
      <c r="AI61" s="749">
        <f t="shared" si="53"/>
        <v>0</v>
      </c>
      <c r="AJ61" s="748"/>
      <c r="AL61" s="749">
        <f>SUM(INDEX('Actual-ACPLHK'!$H$7:$S$207,MATCH($B61,'Actual-ACPLHK'!$B$7:$B$207,0),MATCH('Actual-ACPLHK'!H$6,'Actual-ACPLHK'!$H$6:$T$6,0)):INDEX('Actual-ACPLHK'!$H$7:$S$207,MATCH($B61,'Actual-ACPLHK'!$B$7:$B$207,0),MATCH(AL$8,'Actual-ACPLHK'!$H$6:$T$6,0)))</f>
        <v>0</v>
      </c>
      <c r="AM61" s="749">
        <f>SUM(INDEX('Budget-ACPLHK'!$K$7:$W$207,MATCH($B61,'Budget-ACPLHK'!$B$7:$B$207,0),MATCH('Budget-ACPLHK'!K$6,'Budget-ACPLHK'!$K$6:$W$6,0)):INDEX('Budget-ACPLHK'!$K$7:$W$207,MATCH($B61,'Budget-ACPLHK'!$B$7:$B$207,0),MATCH(AM$8,'Budget-ACPLHK'!$K$6:$W$6,0)))</f>
        <v>13883.843999999999</v>
      </c>
      <c r="AN61" s="749">
        <f t="shared" si="57"/>
        <v>-13883.843999999999</v>
      </c>
      <c r="AO61" s="748"/>
      <c r="AQ61" s="749">
        <f>SUM(INDEX('Actual-ACPSZL'!$H$7:$T$207,MATCH($B61,'Actual-ACPSZL'!$B$7:$B$207,0),MATCH('Actual-ACPSZL'!H$6,'Actual-ACPSZL'!$H$6:$T$6,0)):INDEX('Actual-ACPSZL'!$H$7:$T$207,MATCH($B61,'Actual-ACPSZL'!$B$7:$B$207,0),MATCH(AQ$8,'Actual-ACPSZL'!$H$6:$T$6,0)))</f>
        <v>0</v>
      </c>
      <c r="AR61" s="749">
        <f>SUM(INDEX('Budget-ACPSZL'!$K$7:$W$207,MATCH($B61,'Budget-ACPSZL'!$B$7:$B$207,0),MATCH('Budget-ACPSZL'!K$6,'Budget-ACPSZL'!$K$6:$W$6,0)):INDEX('Budget-ACPSZL'!$K$7:$W$207,MATCH($B61,'Budget-ACPSZL'!$B$7:$B$207,0),MATCH(AR$8,'Budget-ACPSZL'!$K$6:$W$6,0)))</f>
        <v>0</v>
      </c>
      <c r="AS61" s="749">
        <f t="shared" si="60"/>
        <v>0</v>
      </c>
      <c r="AT61" s="748"/>
      <c r="AV61" s="749">
        <f>SUM(INDEX('Actual-ACPLSZ'!$H$7:$T$207,MATCH($B61,'Actual-ACPLSZ'!$B$7:$B$207,0),MATCH('Actual-ACPLSZ'!H$6,'Actual-ACPLSZ'!$H$6:$T$6,0)):INDEX('Actual-ACPLSZ'!$H$7:$T$207,MATCH($B61,'Actual-ACPLSZ'!$B$7:$B$207,0),MATCH(AV$8,'Actual-ACPLSZ'!$H$6:$T$6,0)))</f>
        <v>0</v>
      </c>
      <c r="AW61" s="749">
        <f>SUM(INDEX('Budget-ACPLSZ'!$K$7:$W$207,MATCH($B61,'Budget-ACPLSZ'!$B$7:$B$207,0),MATCH('Budget-ACPLSZ'!K$6,'Budget-ACPLSZ'!$K$6:$W$6,0)):INDEX('Budget-ACPLSZ'!$K$7:$W$207,MATCH($B61,'Budget-ACPLSZ'!$B$7:$B$207,0),MATCH(AW$8,'Budget-ACPLSZ'!$K$6:$W$6,0)))</f>
        <v>0</v>
      </c>
      <c r="AX61" s="749">
        <f t="shared" si="55"/>
        <v>0</v>
      </c>
      <c r="AY61" s="748"/>
      <c r="BA61" s="749">
        <f>SUM(INDEX('Actual-ACPLGZ'!$H$7:$T$207,MATCH($B61,'Actual-ACPLGZ'!$B$7:$B$207,0),MATCH('Actual-ACPLGZ'!H$6,'Actual-ACPLGZ'!$H$6:$T$6,0)):INDEX('Actual-ACPLGZ'!$H$7:$T$207,MATCH($B61,'Actual-ACPLGZ'!$B$7:$B$207,0),MATCH(BA$8,'Actual-ACPLGZ'!$H$6:$T$6,0)))</f>
        <v>0</v>
      </c>
      <c r="BB61" s="749">
        <f>SUM(INDEX('Budget-ACPLGZ'!$K$7:$W$207,MATCH($B61,'Budget-ACPLGZ'!$B$7:$B$207,0),MATCH('Budget-ACPLGZ'!K$6,'Budget-ACPLGZ'!$K$6:$W$6,0)):INDEX('Budget-ACPLGZ'!$K$7:$W$207,MATCH($B61,'Budget-ACPLGZ'!$B$7:$B$207,0),MATCH(BB$8,'Budget-ACPLGZ'!$K$6:$W$6,0)))</f>
        <v>0</v>
      </c>
      <c r="BC61" s="749">
        <f t="shared" si="48"/>
        <v>0</v>
      </c>
      <c r="BD61" s="748"/>
      <c r="BF61" s="749">
        <f>SUM(INDEX('Actual-ACPLYixing'!$H$7:$T$207,MATCH($B61,'Actual-ACPLYixing'!$B$7:$B$207,0),MATCH('Actual-ACPLYixing'!H$6,'Actual-ACPLYixing'!$H$6:$T$6,0)):INDEX('Actual-ACPLYixing'!$H$7:$T$207,MATCH($B61,'Actual-ACPLYixing'!$B$7:$B$207,0),MATCH(BF$8,'Actual-ACPLYixing'!$H$6:$T$6,0)))</f>
        <v>0</v>
      </c>
      <c r="BG61" s="749">
        <f>SUM(INDEX('Budget-Yixing'!$K$7:$W$207,MATCH($B61,'Budget-Yixing'!$B$7:$B$207,0),MATCH('Budget-Yixing'!K$6,'Budget-Yixing'!$K$6:$W$6,0)):INDEX('Budget-Yixing'!$K$7:$W$207,MATCH($B61,'Budget-Yixing'!$B$7:$B$207,0),MATCH(BG$8,'Budget-Yixing'!$K$6:$W$6,0)))</f>
        <v>0</v>
      </c>
      <c r="BH61" s="749">
        <f t="shared" si="49"/>
        <v>0</v>
      </c>
      <c r="BI61" s="748"/>
    </row>
    <row r="62" spans="1:61" ht="16.5" customHeight="1">
      <c r="A62" s="653" t="str">
        <f>'Budget-合并'!A60</f>
        <v>6602.04.13</v>
      </c>
      <c r="B62" s="653" t="str">
        <f>'Budget-合并'!B60</f>
        <v>咨询费</v>
      </c>
      <c r="C62" s="746">
        <f>INDEX('Actual-ACPL'!$H$7:$T$207,MATCH($B62,'Actual-ACPL'!$B$7:$B$207,0),MATCH(C$8,'Actual-ACPL'!$H$6:$T$6,0))</f>
        <v>0</v>
      </c>
      <c r="D62" s="746">
        <f>INDEX('Budget-ACPL'!$K$7:$W$207,MATCH($B62,'Budget-ACPL'!$B$7:$B$207,0),MATCH(D$8,'Budget-ACPL'!$K$6:$W$6,0))</f>
        <v>0</v>
      </c>
      <c r="E62" s="746">
        <f t="shared" si="61"/>
        <v>0</v>
      </c>
      <c r="F62" s="752"/>
      <c r="H62" s="749">
        <f>INDEX('Actual-ACPLHK'!$H$7:$T$207,MATCH($B62,'Actual-ACPLHK'!$B$7:$B$207,0),MATCH(H$8,'Actual-ACPLHK'!$H$6:$T$6,0))</f>
        <v>0</v>
      </c>
      <c r="I62" s="749">
        <f>INDEX('Budget-ACPLHK'!$K$7:$W$207,MATCH($B62,'Budget-ACPLHK'!$B$7:$B$207,0),MATCH(I$8,'Budget-ACPLHK'!$K$6:$W$6,0))</f>
        <v>0</v>
      </c>
      <c r="J62" s="749">
        <f t="shared" si="62"/>
        <v>0</v>
      </c>
      <c r="K62" s="748"/>
      <c r="M62" s="749">
        <f>INDEX('Actual-ACPSZL'!$H$7:$T$207,MATCH($B62,'Actual-ACPSZL'!$B$7:$B$207,0),MATCH(M$8,'Actual-ACPSZL'!$H$6:$T$6,0))</f>
        <v>0</v>
      </c>
      <c r="N62" s="749">
        <f>INDEX('Budget-ACPSZL'!$K$7:$W$207,MATCH($B62,'Budget-ACPSZL'!$B$7:$B$207,0),MATCH(N$8,'Budget-ACPSZL'!$K$6:$W$6,0))</f>
        <v>0</v>
      </c>
      <c r="O62" s="749">
        <f t="shared" si="51"/>
        <v>0</v>
      </c>
      <c r="P62" s="748"/>
      <c r="R62" s="749">
        <f>INDEX('Actual-ACPLSZ'!$H$7:$T$207,MATCH($B62,'Actual-ACPLSZ'!$B$7:$B$207,0),MATCH(R$8,'Actual-ACPLSZ'!$H$6:$T$6,0))</f>
        <v>0</v>
      </c>
      <c r="S62" s="749">
        <f>INDEX('Budget-ACPLSZ'!$K$7:$W$207,MATCH($B62,'Budget-ACPLSZ'!$B$7:$B$207,0),MATCH(S$8,'Budget-ACPLSZ'!$K$6:$W$6,0))</f>
        <v>22050</v>
      </c>
      <c r="T62" s="750">
        <f t="shared" si="45"/>
        <v>22050</v>
      </c>
      <c r="U62" s="748"/>
      <c r="W62" s="749">
        <f>INDEX('Actual-ACPLGZ'!$H$7:$T$207,MATCH($B62,'Actual-ACPLGZ'!$B$7:$B$207,0),MATCH(W$8,'Actual-ACPLGZ'!$H$6:$T$6,0))</f>
        <v>0</v>
      </c>
      <c r="X62" s="749">
        <f>INDEX('Budget-ACPLGZ'!$K$7:$W$207,MATCH($B62,'Budget-ACPLGZ'!$B$7:$B$207,0),MATCH(X$8,'Budget-ACPLGZ'!$K$6:$W$6,0))</f>
        <v>0</v>
      </c>
      <c r="Y62" s="749">
        <f t="shared" si="52"/>
        <v>0</v>
      </c>
      <c r="Z62" s="748"/>
      <c r="AB62" s="749">
        <f>INDEX('Actual-ACPLGZ'!$H$7:$T$207,MATCH($B62,'Actual-ACPLGZ'!$B$7:$B$207,0),MATCH(AB$8,'Actual-ACPLGZ'!$H$6:$T$6,0))</f>
        <v>0</v>
      </c>
      <c r="AC62" s="749">
        <f>INDEX('Budget-Yixing'!$K$7:$W$207,MATCH($B62,'Budget-Yixing'!$B$7:$B$207,0),MATCH(AC$8,'Budget-Yixing'!$K$6:$W$6,0))</f>
        <v>0</v>
      </c>
      <c r="AD62" s="750">
        <f t="shared" si="46"/>
        <v>0</v>
      </c>
      <c r="AE62" s="748"/>
      <c r="AG62" s="751">
        <f>SUM(INDEX('Actual-ACPL'!$H$7:$T$207,MATCH($B62,'Actual-ACPL'!$B$7:$B$207,0),MATCH('Actual-ACPL'!H$6,'Actual-ACPL'!$H$6:$T$6,0)):INDEX('Actual-ACPL'!$H$7:$T$207,MATCH($B62,'Actual-ACPL'!$B$7:$B$207,0),MATCH(AG$8,'Actual-ACPL'!$H$6:$T$6,0)))</f>
        <v>0</v>
      </c>
      <c r="AH62" s="749">
        <f>SUM(INDEX('Budget-ACPL'!$K$7:$W$207,MATCH($B62,'Budget-ACPL'!$B$7:$B$207,0),MATCH('Budget-ACPL'!K$6,'Budget-ACPL'!$K$6:$W$6,0)):INDEX('Budget-ACPL'!$K$7:$W$207,MATCH($B62,'Budget-ACPL'!$B$7:$B$207,0),MATCH(AH$8,'Budget-ACPL'!$K$6:$W$6,0)))</f>
        <v>0</v>
      </c>
      <c r="AI62" s="749">
        <f t="shared" si="53"/>
        <v>0</v>
      </c>
      <c r="AJ62" s="748"/>
      <c r="AL62" s="749">
        <f>SUM(INDEX('Actual-ACPLHK'!$H$7:$S$207,MATCH($B62,'Actual-ACPLHK'!$B$7:$B$207,0),MATCH('Actual-ACPLHK'!H$6,'Actual-ACPLHK'!$H$6:$T$6,0)):INDEX('Actual-ACPLHK'!$H$7:$S$207,MATCH($B62,'Actual-ACPLHK'!$B$7:$B$207,0),MATCH(AL$8,'Actual-ACPLHK'!$H$6:$T$6,0)))</f>
        <v>0</v>
      </c>
      <c r="AM62" s="749">
        <f>SUM(INDEX('Budget-ACPLHK'!$K$7:$W$207,MATCH($B62,'Budget-ACPLHK'!$B$7:$B$207,0),MATCH('Budget-ACPLHK'!K$6,'Budget-ACPLHK'!$K$6:$W$6,0)):INDEX('Budget-ACPLHK'!$K$7:$W$207,MATCH($B62,'Budget-ACPLHK'!$B$7:$B$207,0),MATCH(AM$8,'Budget-ACPLHK'!$K$6:$W$6,0)))</f>
        <v>0</v>
      </c>
      <c r="AN62" s="749">
        <f t="shared" si="57"/>
        <v>0</v>
      </c>
      <c r="AO62" s="748"/>
      <c r="AQ62" s="749">
        <f>SUM(INDEX('Actual-ACPSZL'!$H$7:$T$207,MATCH($B62,'Actual-ACPSZL'!$B$7:$B$207,0),MATCH('Actual-ACPSZL'!H$6,'Actual-ACPSZL'!$H$6:$T$6,0)):INDEX('Actual-ACPSZL'!$H$7:$T$207,MATCH($B62,'Actual-ACPSZL'!$B$7:$B$207,0),MATCH(AQ$8,'Actual-ACPSZL'!$H$6:$T$6,0)))</f>
        <v>0</v>
      </c>
      <c r="AR62" s="749">
        <f>SUM(INDEX('Budget-ACPSZL'!$K$7:$W$207,MATCH($B62,'Budget-ACPSZL'!$B$7:$B$207,0),MATCH('Budget-ACPSZL'!K$6,'Budget-ACPSZL'!$K$6:$W$6,0)):INDEX('Budget-ACPSZL'!$K$7:$W$207,MATCH($B62,'Budget-ACPSZL'!$B$7:$B$207,0),MATCH(AR$8,'Budget-ACPSZL'!$K$6:$W$6,0)))</f>
        <v>0</v>
      </c>
      <c r="AS62" s="749">
        <f t="shared" si="60"/>
        <v>0</v>
      </c>
      <c r="AT62" s="748"/>
      <c r="AV62" s="749">
        <f>SUM(INDEX('Actual-ACPLSZ'!$H$7:$T$207,MATCH($B62,'Actual-ACPLSZ'!$B$7:$B$207,0),MATCH('Actual-ACPLSZ'!H$6,'Actual-ACPLSZ'!$H$6:$T$6,0)):INDEX('Actual-ACPLSZ'!$H$7:$T$207,MATCH($B62,'Actual-ACPLSZ'!$B$7:$B$207,0),MATCH(AV$8,'Actual-ACPLSZ'!$H$6:$T$6,0)))</f>
        <v>0</v>
      </c>
      <c r="AW62" s="749">
        <f>SUM(INDEX('Budget-ACPLSZ'!$K$7:$W$207,MATCH($B62,'Budget-ACPLSZ'!$B$7:$B$207,0),MATCH('Budget-ACPLSZ'!K$6,'Budget-ACPLSZ'!$K$6:$W$6,0)):INDEX('Budget-ACPLSZ'!$K$7:$W$207,MATCH($B62,'Budget-ACPLSZ'!$B$7:$B$207,0),MATCH(AW$8,'Budget-ACPLSZ'!$K$6:$W$6,0)))</f>
        <v>22050</v>
      </c>
      <c r="AX62" s="749">
        <f t="shared" si="55"/>
        <v>-22050</v>
      </c>
      <c r="AY62" s="748"/>
      <c r="BA62" s="749">
        <f>SUM(INDEX('Actual-ACPLGZ'!$H$7:$T$207,MATCH($B62,'Actual-ACPLGZ'!$B$7:$B$207,0),MATCH('Actual-ACPLGZ'!H$6,'Actual-ACPLGZ'!$H$6:$T$6,0)):INDEX('Actual-ACPLGZ'!$H$7:$T$207,MATCH($B62,'Actual-ACPLGZ'!$B$7:$B$207,0),MATCH(BA$8,'Actual-ACPLGZ'!$H$6:$T$6,0)))</f>
        <v>0</v>
      </c>
      <c r="BB62" s="749">
        <f>SUM(INDEX('Budget-ACPLGZ'!$K$7:$W$207,MATCH($B62,'Budget-ACPLGZ'!$B$7:$B$207,0),MATCH('Budget-ACPLGZ'!K$6,'Budget-ACPLGZ'!$K$6:$W$6,0)):INDEX('Budget-ACPLGZ'!$K$7:$W$207,MATCH($B62,'Budget-ACPLGZ'!$B$7:$B$207,0),MATCH(BB$8,'Budget-ACPLGZ'!$K$6:$W$6,0)))</f>
        <v>0</v>
      </c>
      <c r="BC62" s="749">
        <f t="shared" si="48"/>
        <v>0</v>
      </c>
      <c r="BD62" s="748"/>
      <c r="BF62" s="749">
        <f>SUM(INDEX('Actual-ACPLYixing'!$H$7:$T$207,MATCH($B62,'Actual-ACPLYixing'!$B$7:$B$207,0),MATCH('Actual-ACPLYixing'!H$6,'Actual-ACPLYixing'!$H$6:$T$6,0)):INDEX('Actual-ACPLYixing'!$H$7:$T$207,MATCH($B62,'Actual-ACPLYixing'!$B$7:$B$207,0),MATCH(BF$8,'Actual-ACPLYixing'!$H$6:$T$6,0)))</f>
        <v>0</v>
      </c>
      <c r="BG62" s="749">
        <f>SUM(INDEX('Budget-Yixing'!$K$7:$W$207,MATCH($B62,'Budget-Yixing'!$B$7:$B$207,0),MATCH('Budget-Yixing'!K$6,'Budget-Yixing'!$K$6:$W$6,0)):INDEX('Budget-Yixing'!$K$7:$W$207,MATCH($B62,'Budget-Yixing'!$B$7:$B$207,0),MATCH(BG$8,'Budget-Yixing'!$K$6:$W$6,0)))</f>
        <v>0</v>
      </c>
      <c r="BH62" s="749">
        <f t="shared" si="49"/>
        <v>0</v>
      </c>
      <c r="BI62" s="748"/>
    </row>
    <row r="63" spans="1:61" ht="16.5" customHeight="1">
      <c r="A63" s="653" t="str">
        <f>'Budget-合并'!A61</f>
        <v>6602.04.99</v>
      </c>
      <c r="B63" s="653" t="str">
        <f>'Budget-合并'!B61</f>
        <v>其他</v>
      </c>
      <c r="C63" s="746">
        <f>INDEX('Actual-ACPL'!$H$7:$T$207,MATCH($B63,'Actual-ACPL'!$B$7:$B$207,0),MATCH(C$8,'Actual-ACPL'!$H$6:$T$6,0))</f>
        <v>0</v>
      </c>
      <c r="D63" s="746">
        <f>INDEX('Budget-ACPL'!$K$7:$W$207,MATCH($B63,'Budget-ACPL'!$B$7:$B$207,0),MATCH(D$8,'Budget-ACPL'!$K$6:$W$6,0))</f>
        <v>0</v>
      </c>
      <c r="E63" s="746">
        <f t="shared" si="61"/>
        <v>0</v>
      </c>
      <c r="F63" s="752"/>
      <c r="H63" s="749">
        <f>INDEX('Actual-ACPLHK'!$H$7:$T$207,MATCH($B63,'Actual-ACPLHK'!$B$7:$B$207,0),MATCH(H$8,'Actual-ACPLHK'!$H$6:$T$6,0))</f>
        <v>0</v>
      </c>
      <c r="I63" s="749">
        <f>INDEX('Budget-ACPLHK'!$K$7:$W$207,MATCH($B63,'Budget-ACPLHK'!$B$7:$B$207,0),MATCH(I$8,'Budget-ACPLHK'!$K$6:$W$6,0))</f>
        <v>0</v>
      </c>
      <c r="J63" s="749">
        <f t="shared" si="62"/>
        <v>0</v>
      </c>
      <c r="K63" s="748"/>
      <c r="M63" s="749">
        <f>INDEX('Actual-ACPSZL'!$H$7:$T$207,MATCH($B63,'Actual-ACPSZL'!$B$7:$B$207,0),MATCH(M$8,'Actual-ACPSZL'!$H$6:$T$6,0))</f>
        <v>0</v>
      </c>
      <c r="N63" s="749">
        <f>INDEX('Budget-ACPSZL'!$K$7:$W$207,MATCH($B63,'Budget-ACPSZL'!$B$7:$B$207,0),MATCH(N$8,'Budget-ACPSZL'!$K$6:$W$6,0))</f>
        <v>0</v>
      </c>
      <c r="O63" s="749">
        <f t="shared" si="51"/>
        <v>0</v>
      </c>
      <c r="P63" s="748"/>
      <c r="R63" s="749">
        <f>INDEX('Actual-ACPLSZ'!$H$7:$T$207,MATCH($B63,'Actual-ACPLSZ'!$B$7:$B$207,0),MATCH(R$8,'Actual-ACPLSZ'!$H$6:$T$6,0))</f>
        <v>0</v>
      </c>
      <c r="S63" s="749">
        <f>INDEX('Budget-ACPLSZ'!$K$7:$W$207,MATCH($B63,'Budget-ACPLSZ'!$B$7:$B$207,0),MATCH(S$8,'Budget-ACPLSZ'!$K$6:$W$6,0))</f>
        <v>0</v>
      </c>
      <c r="T63" s="750">
        <f t="shared" si="45"/>
        <v>0</v>
      </c>
      <c r="U63" s="748"/>
      <c r="W63" s="749">
        <f>INDEX('Actual-ACPLGZ'!$H$7:$T$207,MATCH($B63,'Actual-ACPLGZ'!$B$7:$B$207,0),MATCH(W$8,'Actual-ACPLGZ'!$H$6:$T$6,0))</f>
        <v>0</v>
      </c>
      <c r="X63" s="749">
        <f>INDEX('Budget-ACPLGZ'!$K$7:$W$207,MATCH($B63,'Budget-ACPLGZ'!$B$7:$B$207,0),MATCH(X$8,'Budget-ACPLGZ'!$K$6:$W$6,0))</f>
        <v>0</v>
      </c>
      <c r="Y63" s="749">
        <f t="shared" si="52"/>
        <v>0</v>
      </c>
      <c r="Z63" s="748"/>
      <c r="AB63" s="749">
        <f>INDEX('Actual-ACPLGZ'!$H$7:$T$207,MATCH($B63,'Actual-ACPLGZ'!$B$7:$B$207,0),MATCH(AB$8,'Actual-ACPLGZ'!$H$6:$T$6,0))</f>
        <v>0</v>
      </c>
      <c r="AC63" s="749">
        <f>INDEX('Budget-Yixing'!$K$7:$W$207,MATCH($B63,'Budget-Yixing'!$B$7:$B$207,0),MATCH(AC$8,'Budget-Yixing'!$K$6:$W$6,0))</f>
        <v>0</v>
      </c>
      <c r="AD63" s="750">
        <f t="shared" si="46"/>
        <v>0</v>
      </c>
      <c r="AE63" s="748"/>
      <c r="AG63" s="751">
        <f>SUM(INDEX('Actual-ACPL'!$H$7:$T$207,MATCH($B63,'Actual-ACPL'!$B$7:$B$207,0),MATCH('Actual-ACPL'!H$6,'Actual-ACPL'!$H$6:$T$6,0)):INDEX('Actual-ACPL'!$H$7:$T$207,MATCH($B63,'Actual-ACPL'!$B$7:$B$207,0),MATCH(AG$8,'Actual-ACPL'!$H$6:$T$6,0)))</f>
        <v>0</v>
      </c>
      <c r="AH63" s="749">
        <f>SUM(INDEX('Budget-ACPL'!$K$7:$W$207,MATCH($B63,'Budget-ACPL'!$B$7:$B$207,0),MATCH('Budget-ACPL'!K$6,'Budget-ACPL'!$K$6:$W$6,0)):INDEX('Budget-ACPL'!$K$7:$W$207,MATCH($B63,'Budget-ACPL'!$B$7:$B$207,0),MATCH(AH$8,'Budget-ACPL'!$K$6:$W$6,0)))</f>
        <v>0</v>
      </c>
      <c r="AI63" s="749">
        <f t="shared" si="53"/>
        <v>0</v>
      </c>
      <c r="AJ63" s="748"/>
      <c r="AL63" s="749">
        <f>SUM(INDEX('Actual-ACPLHK'!$H$7:$S$207,MATCH($B63,'Actual-ACPLHK'!$B$7:$B$207,0),MATCH('Actual-ACPLHK'!H$6,'Actual-ACPLHK'!$H$6:$T$6,0)):INDEX('Actual-ACPLHK'!$H$7:$S$207,MATCH($B63,'Actual-ACPLHK'!$B$7:$B$207,0),MATCH(AL$8,'Actual-ACPLHK'!$H$6:$T$6,0)))</f>
        <v>0</v>
      </c>
      <c r="AM63" s="749">
        <f>SUM(INDEX('Budget-ACPLHK'!$K$7:$W$207,MATCH($B63,'Budget-ACPLHK'!$B$7:$B$207,0),MATCH('Budget-ACPLHK'!K$6,'Budget-ACPLHK'!$K$6:$W$6,0)):INDEX('Budget-ACPLHK'!$K$7:$W$207,MATCH($B63,'Budget-ACPLHK'!$B$7:$B$207,0),MATCH(AM$8,'Budget-ACPLHK'!$K$6:$W$6,0)))</f>
        <v>0</v>
      </c>
      <c r="AN63" s="749">
        <f t="shared" si="57"/>
        <v>0</v>
      </c>
      <c r="AO63" s="748"/>
      <c r="AQ63" s="749">
        <f>SUM(INDEX('Actual-ACPSZL'!$H$7:$T$207,MATCH($B63,'Actual-ACPSZL'!$B$7:$B$207,0),MATCH('Actual-ACPSZL'!H$6,'Actual-ACPSZL'!$H$6:$T$6,0)):INDEX('Actual-ACPSZL'!$H$7:$T$207,MATCH($B63,'Actual-ACPSZL'!$B$7:$B$207,0),MATCH(AQ$8,'Actual-ACPSZL'!$H$6:$T$6,0)))</f>
        <v>0</v>
      </c>
      <c r="AR63" s="749">
        <f>SUM(INDEX('Budget-ACPSZL'!$K$7:$W$207,MATCH($B63,'Budget-ACPSZL'!$B$7:$B$207,0),MATCH('Budget-ACPSZL'!K$6,'Budget-ACPSZL'!$K$6:$W$6,0)):INDEX('Budget-ACPSZL'!$K$7:$W$207,MATCH($B63,'Budget-ACPSZL'!$B$7:$B$207,0),MATCH(AR$8,'Budget-ACPSZL'!$K$6:$W$6,0)))</f>
        <v>0</v>
      </c>
      <c r="AS63" s="749">
        <f t="shared" si="60"/>
        <v>0</v>
      </c>
      <c r="AT63" s="748"/>
      <c r="AV63" s="749">
        <f>SUM(INDEX('Actual-ACPLSZ'!$H$7:$T$207,MATCH($B63,'Actual-ACPLSZ'!$B$7:$B$207,0),MATCH('Actual-ACPLSZ'!H$6,'Actual-ACPLSZ'!$H$6:$T$6,0)):INDEX('Actual-ACPLSZ'!$H$7:$T$207,MATCH($B63,'Actual-ACPLSZ'!$B$7:$B$207,0),MATCH(AV$8,'Actual-ACPLSZ'!$H$6:$T$6,0)))</f>
        <v>0</v>
      </c>
      <c r="AW63" s="749">
        <f>SUM(INDEX('Budget-ACPLSZ'!$K$7:$W$207,MATCH($B63,'Budget-ACPLSZ'!$B$7:$B$207,0),MATCH('Budget-ACPLSZ'!K$6,'Budget-ACPLSZ'!$K$6:$W$6,0)):INDEX('Budget-ACPLSZ'!$K$7:$W$207,MATCH($B63,'Budget-ACPLSZ'!$B$7:$B$207,0),MATCH(AW$8,'Budget-ACPLSZ'!$K$6:$W$6,0)))</f>
        <v>0</v>
      </c>
      <c r="AX63" s="749">
        <f t="shared" si="55"/>
        <v>0</v>
      </c>
      <c r="AY63" s="748"/>
      <c r="BA63" s="749">
        <f>SUM(INDEX('Actual-ACPLGZ'!$H$7:$T$207,MATCH($B63,'Actual-ACPLGZ'!$B$7:$B$207,0),MATCH('Actual-ACPLGZ'!H$6,'Actual-ACPLGZ'!$H$6:$T$6,0)):INDEX('Actual-ACPLGZ'!$H$7:$T$207,MATCH($B63,'Actual-ACPLGZ'!$B$7:$B$207,0),MATCH(BA$8,'Actual-ACPLGZ'!$H$6:$T$6,0)))</f>
        <v>0</v>
      </c>
      <c r="BB63" s="749">
        <f>SUM(INDEX('Budget-ACPLGZ'!$K$7:$W$207,MATCH($B63,'Budget-ACPLGZ'!$B$7:$B$207,0),MATCH('Budget-ACPLGZ'!K$6,'Budget-ACPLGZ'!$K$6:$W$6,0)):INDEX('Budget-ACPLGZ'!$K$7:$W$207,MATCH($B63,'Budget-ACPLGZ'!$B$7:$B$207,0),MATCH(BB$8,'Budget-ACPLGZ'!$K$6:$W$6,0)))</f>
        <v>0</v>
      </c>
      <c r="BC63" s="749">
        <f t="shared" si="48"/>
        <v>0</v>
      </c>
      <c r="BD63" s="748"/>
      <c r="BF63" s="749">
        <f>SUM(INDEX('Actual-ACPLYixing'!$H$7:$T$207,MATCH($B63,'Actual-ACPLYixing'!$B$7:$B$207,0),MATCH('Actual-ACPLYixing'!H$6,'Actual-ACPLYixing'!$H$6:$T$6,0)):INDEX('Actual-ACPLYixing'!$H$7:$T$207,MATCH($B63,'Actual-ACPLYixing'!$B$7:$B$207,0),MATCH(BF$8,'Actual-ACPLYixing'!$H$6:$T$6,0)))</f>
        <v>0</v>
      </c>
      <c r="BG63" s="749">
        <f>SUM(INDEX('Budget-Yixing'!$K$7:$W$207,MATCH($B63,'Budget-Yixing'!$B$7:$B$207,0),MATCH('Budget-Yixing'!K$6,'Budget-Yixing'!$K$6:$W$6,0)):INDEX('Budget-Yixing'!$K$7:$W$207,MATCH($B63,'Budget-Yixing'!$B$7:$B$207,0),MATCH(BG$8,'Budget-Yixing'!$K$6:$W$6,0)))</f>
        <v>0</v>
      </c>
      <c r="BH63" s="749">
        <f t="shared" si="49"/>
        <v>0</v>
      </c>
      <c r="BI63" s="748"/>
    </row>
    <row r="64" spans="1:61" ht="16.5" customHeight="1">
      <c r="A64" s="653" t="str">
        <f>'Budget-合并'!A62</f>
        <v>6602.05</v>
      </c>
      <c r="B64" s="653" t="str">
        <f>'Budget-合并'!B62</f>
        <v>占用费</v>
      </c>
      <c r="C64" s="746">
        <f>INDEX('Actual-ACPL'!$H$7:$T$207,MATCH($B64,'Actual-ACPL'!$B$7:$B$207,0),MATCH(C$8,'Actual-ACPL'!$H$6:$T$6,0))</f>
        <v>0</v>
      </c>
      <c r="D64" s="746">
        <f>INDEX('Budget-ACPL'!$K$7:$W$207,MATCH($B64,'Budget-ACPL'!$B$7:$B$207,0),MATCH(D$8,'Budget-ACPL'!$K$6:$W$6,0))</f>
        <v>0</v>
      </c>
      <c r="E64" s="746">
        <f t="shared" si="61"/>
        <v>0</v>
      </c>
      <c r="F64" s="752"/>
      <c r="H64" s="749">
        <f>INDEX('Actual-ACPLHK'!$H$7:$T$207,MATCH($B64,'Actual-ACPLHK'!$B$7:$B$207,0),MATCH(H$8,'Actual-ACPLHK'!$H$6:$T$6,0))</f>
        <v>0</v>
      </c>
      <c r="I64" s="749">
        <f>INDEX('Budget-ACPLHK'!$K$7:$W$207,MATCH($B64,'Budget-ACPLHK'!$B$7:$B$207,0),MATCH(I$8,'Budget-ACPLHK'!$K$6:$W$6,0))</f>
        <v>38317.0974795</v>
      </c>
      <c r="J64" s="749">
        <f t="shared" si="62"/>
        <v>-38317.0974795</v>
      </c>
      <c r="K64" s="748"/>
      <c r="M64" s="749">
        <f>INDEX('Actual-ACPSZL'!$H$7:$T$207,MATCH($B64,'Actual-ACPSZL'!$B$7:$B$207,0),MATCH(M$8,'Actual-ACPSZL'!$H$6:$T$6,0))</f>
        <v>0</v>
      </c>
      <c r="N64" s="749">
        <f>INDEX('Budget-ACPSZL'!$K$7:$W$207,MATCH($B64,'Budget-ACPSZL'!$B$7:$B$207,0),MATCH(N$8,'Budget-ACPSZL'!$K$6:$W$6,0))</f>
        <v>0</v>
      </c>
      <c r="O64" s="749">
        <f t="shared" si="51"/>
        <v>0</v>
      </c>
      <c r="P64" s="748"/>
      <c r="R64" s="749">
        <f>INDEX('Actual-ACPLSZ'!$H$7:$T$207,MATCH($B64,'Actual-ACPLSZ'!$B$7:$B$207,0),MATCH(R$8,'Actual-ACPLSZ'!$H$6:$T$6,0))</f>
        <v>0</v>
      </c>
      <c r="S64" s="749">
        <f>INDEX('Budget-ACPLSZ'!$K$7:$W$207,MATCH($B64,'Budget-ACPLSZ'!$B$7:$B$207,0),MATCH(S$8,'Budget-ACPLSZ'!$K$6:$W$6,0))</f>
        <v>0</v>
      </c>
      <c r="T64" s="750">
        <f t="shared" si="45"/>
        <v>0</v>
      </c>
      <c r="U64" s="748"/>
      <c r="W64" s="749">
        <f>INDEX('Actual-ACPLGZ'!$H$7:$T$207,MATCH($B64,'Actual-ACPLGZ'!$B$7:$B$207,0),MATCH(W$8,'Actual-ACPLGZ'!$H$6:$T$6,0))</f>
        <v>0</v>
      </c>
      <c r="X64" s="749">
        <f>INDEX('Budget-ACPLGZ'!$K$7:$W$207,MATCH($B64,'Budget-ACPLGZ'!$B$7:$B$207,0),MATCH(X$8,'Budget-ACPLGZ'!$K$6:$W$6,0))</f>
        <v>0</v>
      </c>
      <c r="Y64" s="749">
        <f t="shared" si="52"/>
        <v>0</v>
      </c>
      <c r="Z64" s="748"/>
      <c r="AB64" s="749">
        <f>INDEX('Actual-ACPLGZ'!$H$7:$T$207,MATCH($B64,'Actual-ACPLGZ'!$B$7:$B$207,0),MATCH(AB$8,'Actual-ACPLGZ'!$H$6:$T$6,0))</f>
        <v>0</v>
      </c>
      <c r="AC64" s="749">
        <f>INDEX('Budget-Yixing'!$K$7:$W$207,MATCH($B64,'Budget-Yixing'!$B$7:$B$207,0),MATCH(AC$8,'Budget-Yixing'!$K$6:$W$6,0))</f>
        <v>0</v>
      </c>
      <c r="AD64" s="750">
        <f t="shared" si="46"/>
        <v>0</v>
      </c>
      <c r="AE64" s="748"/>
      <c r="AG64" s="751">
        <f>SUM(INDEX('Actual-ACPL'!$H$7:$T$207,MATCH($B64,'Actual-ACPL'!$B$7:$B$207,0),MATCH('Actual-ACPL'!H$6,'Actual-ACPL'!$H$6:$T$6,0)):INDEX('Actual-ACPL'!$H$7:$T$207,MATCH($B64,'Actual-ACPL'!$B$7:$B$207,0),MATCH(AG$8,'Actual-ACPL'!$H$6:$T$6,0)))</f>
        <v>0</v>
      </c>
      <c r="AH64" s="749">
        <f>SUM(INDEX('Budget-ACPL'!$K$7:$W$207,MATCH($B64,'Budget-ACPL'!$B$7:$B$207,0),MATCH('Budget-ACPL'!K$6,'Budget-ACPL'!$K$6:$W$6,0)):INDEX('Budget-ACPL'!$K$7:$W$207,MATCH($B64,'Budget-ACPL'!$B$7:$B$207,0),MATCH(AH$8,'Budget-ACPL'!$K$6:$W$6,0)))</f>
        <v>0</v>
      </c>
      <c r="AI64" s="749">
        <f t="shared" si="53"/>
        <v>0</v>
      </c>
      <c r="AJ64" s="748"/>
      <c r="AL64" s="749">
        <f>SUM(INDEX('Actual-ACPLHK'!$H$7:$S$207,MATCH($B64,'Actual-ACPLHK'!$B$7:$B$207,0),MATCH('Actual-ACPLHK'!H$6,'Actual-ACPLHK'!$H$6:$T$6,0)):INDEX('Actual-ACPLHK'!$H$7:$S$207,MATCH($B64,'Actual-ACPLHK'!$B$7:$B$207,0),MATCH(AL$8,'Actual-ACPLHK'!$H$6:$T$6,0)))</f>
        <v>0</v>
      </c>
      <c r="AM64" s="749">
        <f>SUM(INDEX('Budget-ACPLHK'!$K$7:$W$207,MATCH($B64,'Budget-ACPLHK'!$B$7:$B$207,0),MATCH('Budget-ACPLHK'!K$6,'Budget-ACPLHK'!$K$6:$W$6,0)):INDEX('Budget-ACPLHK'!$K$7:$W$207,MATCH($B64,'Budget-ACPLHK'!$B$7:$B$207,0),MATCH(AM$8,'Budget-ACPLHK'!$K$6:$W$6,0)))</f>
        <v>38317.0974795</v>
      </c>
      <c r="AN64" s="749">
        <f t="shared" si="57"/>
        <v>-38317.0974795</v>
      </c>
      <c r="AO64" s="748"/>
      <c r="AQ64" s="749">
        <f>SUM(INDEX('Actual-ACPSZL'!$H$7:$T$207,MATCH($B64,'Actual-ACPSZL'!$B$7:$B$207,0),MATCH('Actual-ACPSZL'!H$6,'Actual-ACPSZL'!$H$6:$T$6,0)):INDEX('Actual-ACPSZL'!$H$7:$T$207,MATCH($B64,'Actual-ACPSZL'!$B$7:$B$207,0),MATCH(AQ$8,'Actual-ACPSZL'!$H$6:$T$6,0)))</f>
        <v>0</v>
      </c>
      <c r="AR64" s="749">
        <f>SUM(INDEX('Budget-ACPSZL'!$K$7:$W$207,MATCH($B64,'Budget-ACPSZL'!$B$7:$B$207,0),MATCH('Budget-ACPSZL'!K$6,'Budget-ACPSZL'!$K$6:$W$6,0)):INDEX('Budget-ACPSZL'!$K$7:$W$207,MATCH($B64,'Budget-ACPSZL'!$B$7:$B$207,0),MATCH(AR$8,'Budget-ACPSZL'!$K$6:$W$6,0)))</f>
        <v>0</v>
      </c>
      <c r="AS64" s="749">
        <f t="shared" si="60"/>
        <v>0</v>
      </c>
      <c r="AT64" s="748"/>
      <c r="AV64" s="749">
        <f>SUM(INDEX('Actual-ACPLSZ'!$H$7:$T$207,MATCH($B64,'Actual-ACPLSZ'!$B$7:$B$207,0),MATCH('Actual-ACPLSZ'!H$6,'Actual-ACPLSZ'!$H$6:$T$6,0)):INDEX('Actual-ACPLSZ'!$H$7:$T$207,MATCH($B64,'Actual-ACPLSZ'!$B$7:$B$207,0),MATCH(AV$8,'Actual-ACPLSZ'!$H$6:$T$6,0)))</f>
        <v>0</v>
      </c>
      <c r="AW64" s="749">
        <f>SUM(INDEX('Budget-ACPLSZ'!$K$7:$W$207,MATCH($B64,'Budget-ACPLSZ'!$B$7:$B$207,0),MATCH('Budget-ACPLSZ'!K$6,'Budget-ACPLSZ'!$K$6:$W$6,0)):INDEX('Budget-ACPLSZ'!$K$7:$W$207,MATCH($B64,'Budget-ACPLSZ'!$B$7:$B$207,0),MATCH(AW$8,'Budget-ACPLSZ'!$K$6:$W$6,0)))</f>
        <v>0</v>
      </c>
      <c r="AX64" s="749">
        <f t="shared" si="55"/>
        <v>0</v>
      </c>
      <c r="AY64" s="748"/>
      <c r="BA64" s="749">
        <f>SUM(INDEX('Actual-ACPLGZ'!$H$7:$T$207,MATCH($B64,'Actual-ACPLGZ'!$B$7:$B$207,0),MATCH('Actual-ACPLGZ'!H$6,'Actual-ACPLGZ'!$H$6:$T$6,0)):INDEX('Actual-ACPLGZ'!$H$7:$T$207,MATCH($B64,'Actual-ACPLGZ'!$B$7:$B$207,0),MATCH(BA$8,'Actual-ACPLGZ'!$H$6:$T$6,0)))</f>
        <v>0</v>
      </c>
      <c r="BB64" s="749">
        <f>SUM(INDEX('Budget-ACPLGZ'!$K$7:$W$207,MATCH($B64,'Budget-ACPLGZ'!$B$7:$B$207,0),MATCH('Budget-ACPLGZ'!K$6,'Budget-ACPLGZ'!$K$6:$W$6,0)):INDEX('Budget-ACPLGZ'!$K$7:$W$207,MATCH($B64,'Budget-ACPLGZ'!$B$7:$B$207,0),MATCH(BB$8,'Budget-ACPLGZ'!$K$6:$W$6,0)))</f>
        <v>0</v>
      </c>
      <c r="BC64" s="749">
        <f t="shared" si="48"/>
        <v>0</v>
      </c>
      <c r="BD64" s="748"/>
      <c r="BF64" s="749">
        <f>SUM(INDEX('Actual-ACPLYixing'!$H$7:$T$207,MATCH($B64,'Actual-ACPLYixing'!$B$7:$B$207,0),MATCH('Actual-ACPLYixing'!H$6,'Actual-ACPLYixing'!$H$6:$T$6,0)):INDEX('Actual-ACPLYixing'!$H$7:$T$207,MATCH($B64,'Actual-ACPLYixing'!$B$7:$B$207,0),MATCH(BF$8,'Actual-ACPLYixing'!$H$6:$T$6,0)))</f>
        <v>0</v>
      </c>
      <c r="BG64" s="749">
        <f>SUM(INDEX('Budget-Yixing'!$K$7:$W$207,MATCH($B64,'Budget-Yixing'!$B$7:$B$207,0),MATCH('Budget-Yixing'!K$6,'Budget-Yixing'!$K$6:$W$6,0)):INDEX('Budget-Yixing'!$K$7:$W$207,MATCH($B64,'Budget-Yixing'!$B$7:$B$207,0),MATCH(BG$8,'Budget-Yixing'!$K$6:$W$6,0)))</f>
        <v>0</v>
      </c>
      <c r="BH64" s="749">
        <f t="shared" si="49"/>
        <v>0</v>
      </c>
      <c r="BI64" s="748"/>
    </row>
    <row r="65" spans="1:61" ht="16.5" customHeight="1">
      <c r="A65" s="653" t="str">
        <f>'Budget-合并'!A63</f>
        <v>6602.05.01</v>
      </c>
      <c r="B65" s="653" t="str">
        <f>'Budget-合并'!B63</f>
        <v>办公室租赁费</v>
      </c>
      <c r="C65" s="746">
        <f>INDEX('Actual-ACPL'!$H$7:$T$207,MATCH($B65,'Actual-ACPL'!$B$7:$B$207,0),MATCH(C$8,'Actual-ACPL'!$H$6:$T$6,0))</f>
        <v>0</v>
      </c>
      <c r="D65" s="746">
        <f>INDEX('Budget-ACPL'!$K$7:$W$207,MATCH($B65,'Budget-ACPL'!$B$7:$B$207,0),MATCH(D$8,'Budget-ACPL'!$K$6:$W$6,0))</f>
        <v>0</v>
      </c>
      <c r="E65" s="746">
        <f t="shared" si="61"/>
        <v>0</v>
      </c>
      <c r="F65" s="752"/>
      <c r="H65" s="749">
        <f>INDEX('Actual-ACPLHK'!$H$7:$T$207,MATCH($B65,'Actual-ACPLHK'!$B$7:$B$207,0),MATCH(H$8,'Actual-ACPLHK'!$H$6:$T$6,0))</f>
        <v>0</v>
      </c>
      <c r="I65" s="749">
        <f>INDEX('Budget-ACPLHK'!$K$7:$W$207,MATCH($B65,'Budget-ACPLHK'!$B$7:$B$207,0),MATCH(I$8,'Budget-ACPLHK'!$K$6:$W$6,0))</f>
        <v>0</v>
      </c>
      <c r="J65" s="749">
        <f t="shared" si="62"/>
        <v>0</v>
      </c>
      <c r="K65" s="748"/>
      <c r="M65" s="749">
        <f>INDEX('Actual-ACPSZL'!$H$7:$T$207,MATCH($B65,'Actual-ACPSZL'!$B$7:$B$207,0),MATCH(M$8,'Actual-ACPSZL'!$H$6:$T$6,0))</f>
        <v>0</v>
      </c>
      <c r="N65" s="749">
        <f>INDEX('Budget-ACPSZL'!$K$7:$W$207,MATCH($B65,'Budget-ACPSZL'!$B$7:$B$207,0),MATCH(N$8,'Budget-ACPSZL'!$K$6:$W$6,0))</f>
        <v>0</v>
      </c>
      <c r="O65" s="749">
        <f t="shared" si="51"/>
        <v>0</v>
      </c>
      <c r="P65" s="748"/>
      <c r="R65" s="749">
        <f>INDEX('Actual-ACPLSZ'!$H$7:$T$207,MATCH($B65,'Actual-ACPLSZ'!$B$7:$B$207,0),MATCH(R$8,'Actual-ACPLSZ'!$H$6:$T$6,0))</f>
        <v>0</v>
      </c>
      <c r="S65" s="749">
        <f>INDEX('Budget-ACPLSZ'!$K$7:$W$207,MATCH($B65,'Budget-ACPLSZ'!$B$7:$B$207,0),MATCH(S$8,'Budget-ACPLSZ'!$K$6:$W$6,0))</f>
        <v>0</v>
      </c>
      <c r="T65" s="750">
        <f t="shared" si="45"/>
        <v>0</v>
      </c>
      <c r="U65" s="748"/>
      <c r="W65" s="749">
        <f>INDEX('Actual-ACPLGZ'!$H$7:$T$207,MATCH($B65,'Actual-ACPLGZ'!$B$7:$B$207,0),MATCH(W$8,'Actual-ACPLGZ'!$H$6:$T$6,0))</f>
        <v>0</v>
      </c>
      <c r="X65" s="749">
        <f>INDEX('Budget-ACPLGZ'!$K$7:$W$207,MATCH($B65,'Budget-ACPLGZ'!$B$7:$B$207,0),MATCH(X$8,'Budget-ACPLGZ'!$K$6:$W$6,0))</f>
        <v>0</v>
      </c>
      <c r="Y65" s="749">
        <f t="shared" si="52"/>
        <v>0</v>
      </c>
      <c r="Z65" s="748"/>
      <c r="AB65" s="749">
        <f>INDEX('Actual-ACPLGZ'!$H$7:$T$207,MATCH($B65,'Actual-ACPLGZ'!$B$7:$B$207,0),MATCH(AB$8,'Actual-ACPLGZ'!$H$6:$T$6,0))</f>
        <v>0</v>
      </c>
      <c r="AC65" s="749">
        <f>INDEX('Budget-Yixing'!$K$7:$W$207,MATCH($B65,'Budget-Yixing'!$B$7:$B$207,0),MATCH(AC$8,'Budget-Yixing'!$K$6:$W$6,0))</f>
        <v>0</v>
      </c>
      <c r="AD65" s="750">
        <f t="shared" si="46"/>
        <v>0</v>
      </c>
      <c r="AE65" s="748"/>
      <c r="AG65" s="751">
        <f>SUM(INDEX('Actual-ACPL'!$H$7:$T$207,MATCH($B65,'Actual-ACPL'!$B$7:$B$207,0),MATCH('Actual-ACPL'!H$6,'Actual-ACPL'!$H$6:$T$6,0)):INDEX('Actual-ACPL'!$H$7:$T$207,MATCH($B65,'Actual-ACPL'!$B$7:$B$207,0),MATCH(AG$8,'Actual-ACPL'!$H$6:$T$6,0)))</f>
        <v>0</v>
      </c>
      <c r="AH65" s="749">
        <f>SUM(INDEX('Budget-ACPL'!$K$7:$W$207,MATCH($B65,'Budget-ACPL'!$B$7:$B$207,0),MATCH('Budget-ACPL'!K$6,'Budget-ACPL'!$K$6:$W$6,0)):INDEX('Budget-ACPL'!$K$7:$W$207,MATCH($B65,'Budget-ACPL'!$B$7:$B$207,0),MATCH(AH$8,'Budget-ACPL'!$K$6:$W$6,0)))</f>
        <v>0</v>
      </c>
      <c r="AI65" s="749">
        <f t="shared" si="53"/>
        <v>0</v>
      </c>
      <c r="AJ65" s="748"/>
      <c r="AL65" s="749">
        <f>SUM(INDEX('Actual-ACPLHK'!$H$7:$S$207,MATCH($B65,'Actual-ACPLHK'!$B$7:$B$207,0),MATCH('Actual-ACPLHK'!H$6,'Actual-ACPLHK'!$H$6:$T$6,0)):INDEX('Actual-ACPLHK'!$H$7:$S$207,MATCH($B65,'Actual-ACPLHK'!$B$7:$B$207,0),MATCH(AL$8,'Actual-ACPLHK'!$H$6:$T$6,0)))</f>
        <v>0</v>
      </c>
      <c r="AM65" s="749">
        <f>SUM(INDEX('Budget-ACPLHK'!$K$7:$W$207,MATCH($B65,'Budget-ACPLHK'!$B$7:$B$207,0),MATCH('Budget-ACPLHK'!K$6,'Budget-ACPLHK'!$K$6:$W$6,0)):INDEX('Budget-ACPLHK'!$K$7:$W$207,MATCH($B65,'Budget-ACPLHK'!$B$7:$B$207,0),MATCH(AM$8,'Budget-ACPLHK'!$K$6:$W$6,0)))</f>
        <v>0</v>
      </c>
      <c r="AN65" s="749">
        <f t="shared" si="57"/>
        <v>0</v>
      </c>
      <c r="AO65" s="748"/>
      <c r="AQ65" s="749">
        <f>SUM(INDEX('Actual-ACPSZL'!$H$7:$T$207,MATCH($B65,'Actual-ACPSZL'!$B$7:$B$207,0),MATCH('Actual-ACPSZL'!H$6,'Actual-ACPSZL'!$H$6:$T$6,0)):INDEX('Actual-ACPSZL'!$H$7:$T$207,MATCH($B65,'Actual-ACPSZL'!$B$7:$B$207,0),MATCH(AQ$8,'Actual-ACPSZL'!$H$6:$T$6,0)))</f>
        <v>0</v>
      </c>
      <c r="AR65" s="749">
        <f>SUM(INDEX('Budget-ACPSZL'!$K$7:$W$207,MATCH($B65,'Budget-ACPSZL'!$B$7:$B$207,0),MATCH('Budget-ACPSZL'!K$6,'Budget-ACPSZL'!$K$6:$W$6,0)):INDEX('Budget-ACPSZL'!$K$7:$W$207,MATCH($B65,'Budget-ACPSZL'!$B$7:$B$207,0),MATCH(AR$8,'Budget-ACPSZL'!$K$6:$W$6,0)))</f>
        <v>0</v>
      </c>
      <c r="AS65" s="749">
        <f t="shared" si="60"/>
        <v>0</v>
      </c>
      <c r="AT65" s="748"/>
      <c r="AV65" s="749">
        <f>SUM(INDEX('Actual-ACPLSZ'!$H$7:$T$207,MATCH($B65,'Actual-ACPLSZ'!$B$7:$B$207,0),MATCH('Actual-ACPLSZ'!H$6,'Actual-ACPLSZ'!$H$6:$T$6,0)):INDEX('Actual-ACPLSZ'!$H$7:$T$207,MATCH($B65,'Actual-ACPLSZ'!$B$7:$B$207,0),MATCH(AV$8,'Actual-ACPLSZ'!$H$6:$T$6,0)))</f>
        <v>0</v>
      </c>
      <c r="AW65" s="749">
        <f>SUM(INDEX('Budget-ACPLSZ'!$K$7:$W$207,MATCH($B65,'Budget-ACPLSZ'!$B$7:$B$207,0),MATCH('Budget-ACPLSZ'!K$6,'Budget-ACPLSZ'!$K$6:$W$6,0)):INDEX('Budget-ACPLSZ'!$K$7:$W$207,MATCH($B65,'Budget-ACPLSZ'!$B$7:$B$207,0),MATCH(AW$8,'Budget-ACPLSZ'!$K$6:$W$6,0)))</f>
        <v>0</v>
      </c>
      <c r="AX65" s="749">
        <f t="shared" si="55"/>
        <v>0</v>
      </c>
      <c r="AY65" s="748"/>
      <c r="BA65" s="749">
        <f>SUM(INDEX('Actual-ACPLGZ'!$H$7:$T$207,MATCH($B65,'Actual-ACPLGZ'!$B$7:$B$207,0),MATCH('Actual-ACPLGZ'!H$6,'Actual-ACPLGZ'!$H$6:$T$6,0)):INDEX('Actual-ACPLGZ'!$H$7:$T$207,MATCH($B65,'Actual-ACPLGZ'!$B$7:$B$207,0),MATCH(BA$8,'Actual-ACPLGZ'!$H$6:$T$6,0)))</f>
        <v>0</v>
      </c>
      <c r="BB65" s="749">
        <f>SUM(INDEX('Budget-ACPLGZ'!$K$7:$W$207,MATCH($B65,'Budget-ACPLGZ'!$B$7:$B$207,0),MATCH('Budget-ACPLGZ'!K$6,'Budget-ACPLGZ'!$K$6:$W$6,0)):INDEX('Budget-ACPLGZ'!$K$7:$W$207,MATCH($B65,'Budget-ACPLGZ'!$B$7:$B$207,0),MATCH(BB$8,'Budget-ACPLGZ'!$K$6:$W$6,0)))</f>
        <v>0</v>
      </c>
      <c r="BC65" s="749">
        <f t="shared" si="48"/>
        <v>0</v>
      </c>
      <c r="BD65" s="748"/>
      <c r="BF65" s="749">
        <f>SUM(INDEX('Actual-ACPLYixing'!$H$7:$T$207,MATCH($B65,'Actual-ACPLYixing'!$B$7:$B$207,0),MATCH('Actual-ACPLYixing'!H$6,'Actual-ACPLYixing'!$H$6:$T$6,0)):INDEX('Actual-ACPLYixing'!$H$7:$T$207,MATCH($B65,'Actual-ACPLYixing'!$B$7:$B$207,0),MATCH(BF$8,'Actual-ACPLYixing'!$H$6:$T$6,0)))</f>
        <v>0</v>
      </c>
      <c r="BG65" s="749">
        <f>SUM(INDEX('Budget-Yixing'!$K$7:$W$207,MATCH($B65,'Budget-Yixing'!$B$7:$B$207,0),MATCH('Budget-Yixing'!K$6,'Budget-Yixing'!$K$6:$W$6,0)):INDEX('Budget-Yixing'!$K$7:$W$207,MATCH($B65,'Budget-Yixing'!$B$7:$B$207,0),MATCH(BG$8,'Budget-Yixing'!$K$6:$W$6,0)))</f>
        <v>0</v>
      </c>
      <c r="BH65" s="749">
        <f t="shared" si="49"/>
        <v>0</v>
      </c>
      <c r="BI65" s="748"/>
    </row>
    <row r="66" spans="1:61" ht="16.5" customHeight="1">
      <c r="A66" s="653" t="str">
        <f>'Budget-合并'!A64</f>
        <v>6602.05.01.01</v>
      </c>
      <c r="B66" s="653" t="str">
        <f>'Budget-合并'!B64</f>
        <v>旭智咨询--鼎和大厦1606</v>
      </c>
      <c r="C66" s="746">
        <f>INDEX('Actual-ACPL'!$H$7:$T$207,MATCH($B66,'Actual-ACPL'!$B$7:$B$207,0),MATCH(C$8,'Actual-ACPL'!$H$6:$T$6,0))</f>
        <v>0</v>
      </c>
      <c r="D66" s="746">
        <f>INDEX('Budget-ACPL'!$K$7:$W$207,MATCH($B66,'Budget-ACPL'!$B$7:$B$207,0),MATCH(D$8,'Budget-ACPL'!$K$6:$W$6,0))</f>
        <v>0</v>
      </c>
      <c r="E66" s="746">
        <f t="shared" si="61"/>
        <v>0</v>
      </c>
      <c r="F66" s="752"/>
      <c r="H66" s="749">
        <f>INDEX('Actual-ACPLHK'!$H$7:$T$207,MATCH($B66,'Actual-ACPLHK'!$B$7:$B$207,0),MATCH(H$8,'Actual-ACPLHK'!$H$6:$T$6,0))</f>
        <v>0</v>
      </c>
      <c r="I66" s="749">
        <f>INDEX('Budget-ACPLHK'!$K$7:$W$207,MATCH($B66,'Budget-ACPLHK'!$B$7:$B$207,0),MATCH(I$8,'Budget-ACPLHK'!$K$6:$W$6,0))</f>
        <v>0</v>
      </c>
      <c r="J66" s="749">
        <f t="shared" si="62"/>
        <v>0</v>
      </c>
      <c r="K66" s="748"/>
      <c r="M66" s="749">
        <f>INDEX('Actual-ACPSZL'!$H$7:$T$207,MATCH($B66,'Actual-ACPSZL'!$B$7:$B$207,0),MATCH(M$8,'Actual-ACPSZL'!$H$6:$T$6,0))</f>
        <v>0</v>
      </c>
      <c r="N66" s="749">
        <f>INDEX('Budget-ACPSZL'!$K$7:$W$207,MATCH($B66,'Budget-ACPSZL'!$B$7:$B$207,0),MATCH(N$8,'Budget-ACPSZL'!$K$6:$W$6,0))</f>
        <v>0</v>
      </c>
      <c r="O66" s="749">
        <f t="shared" si="51"/>
        <v>0</v>
      </c>
      <c r="P66" s="748"/>
      <c r="R66" s="749">
        <f>INDEX('Actual-ACPLSZ'!$H$7:$T$207,MATCH($B66,'Actual-ACPLSZ'!$B$7:$B$207,0),MATCH(R$8,'Actual-ACPLSZ'!$H$6:$T$6,0))</f>
        <v>0</v>
      </c>
      <c r="S66" s="749">
        <f>INDEX('Budget-ACPLSZ'!$K$7:$W$207,MATCH($B66,'Budget-ACPLSZ'!$B$7:$B$207,0),MATCH(S$8,'Budget-ACPLSZ'!$K$6:$W$6,0))</f>
        <v>0</v>
      </c>
      <c r="T66" s="750">
        <f t="shared" si="45"/>
        <v>0</v>
      </c>
      <c r="U66" s="748"/>
      <c r="W66" s="749">
        <f>INDEX('Actual-ACPLGZ'!$H$7:$T$207,MATCH($B66,'Actual-ACPLGZ'!$B$7:$B$207,0),MATCH(W$8,'Actual-ACPLGZ'!$H$6:$T$6,0))</f>
        <v>0</v>
      </c>
      <c r="X66" s="749">
        <f>INDEX('Budget-ACPLGZ'!$K$7:$W$207,MATCH($B66,'Budget-ACPLGZ'!$B$7:$B$207,0),MATCH(X$8,'Budget-ACPLGZ'!$K$6:$W$6,0))</f>
        <v>0</v>
      </c>
      <c r="Y66" s="749">
        <f t="shared" si="52"/>
        <v>0</v>
      </c>
      <c r="Z66" s="748"/>
      <c r="AB66" s="749">
        <f>INDEX('Actual-ACPLGZ'!$H$7:$T$207,MATCH($B66,'Actual-ACPLGZ'!$B$7:$B$207,0),MATCH(AB$8,'Actual-ACPLGZ'!$H$6:$T$6,0))</f>
        <v>0</v>
      </c>
      <c r="AC66" s="749">
        <f>INDEX('Budget-Yixing'!$K$7:$W$207,MATCH($B66,'Budget-Yixing'!$B$7:$B$207,0),MATCH(AC$8,'Budget-Yixing'!$K$6:$W$6,0))</f>
        <v>0</v>
      </c>
      <c r="AD66" s="750">
        <f t="shared" si="46"/>
        <v>0</v>
      </c>
      <c r="AE66" s="748"/>
      <c r="AG66" s="751">
        <f>SUM(INDEX('Actual-ACPL'!$H$7:$T$207,MATCH($B66,'Actual-ACPL'!$B$7:$B$207,0),MATCH('Actual-ACPL'!H$6,'Actual-ACPL'!$H$6:$T$6,0)):INDEX('Actual-ACPL'!$H$7:$T$207,MATCH($B66,'Actual-ACPL'!$B$7:$B$207,0),MATCH(AG$8,'Actual-ACPL'!$H$6:$T$6,0)))</f>
        <v>0</v>
      </c>
      <c r="AH66" s="749">
        <f>SUM(INDEX('Budget-ACPL'!$K$7:$W$207,MATCH($B66,'Budget-ACPL'!$B$7:$B$207,0),MATCH('Budget-ACPL'!K$6,'Budget-ACPL'!$K$6:$W$6,0)):INDEX('Budget-ACPL'!$K$7:$W$207,MATCH($B66,'Budget-ACPL'!$B$7:$B$207,0),MATCH(AH$8,'Budget-ACPL'!$K$6:$W$6,0)))</f>
        <v>0</v>
      </c>
      <c r="AI66" s="749">
        <f t="shared" ref="AI66:AI72" si="63">AG66-AH66</f>
        <v>0</v>
      </c>
      <c r="AJ66" s="748"/>
      <c r="AL66" s="749">
        <f>SUM(INDEX('Actual-ACPLHK'!$H$7:$S$207,MATCH($B66,'Actual-ACPLHK'!$B$7:$B$207,0),MATCH('Actual-ACPLHK'!H$6,'Actual-ACPLHK'!$H$6:$T$6,0)):INDEX('Actual-ACPLHK'!$H$7:$S$207,MATCH($B66,'Actual-ACPLHK'!$B$7:$B$207,0),MATCH(AL$8,'Actual-ACPLHK'!$H$6:$T$6,0)))</f>
        <v>0</v>
      </c>
      <c r="AM66" s="749">
        <f>SUM(INDEX('Budget-ACPLHK'!$K$7:$W$207,MATCH($B66,'Budget-ACPLHK'!$B$7:$B$207,0),MATCH('Budget-ACPLHK'!K$6,'Budget-ACPLHK'!$K$6:$W$6,0)):INDEX('Budget-ACPLHK'!$K$7:$W$207,MATCH($B66,'Budget-ACPLHK'!$B$7:$B$207,0),MATCH(AM$8,'Budget-ACPLHK'!$K$6:$W$6,0)))</f>
        <v>0</v>
      </c>
      <c r="AN66" s="749">
        <f t="shared" si="57"/>
        <v>0</v>
      </c>
      <c r="AO66" s="748"/>
      <c r="AQ66" s="749">
        <f>SUM(INDEX('Actual-ACPSZL'!$H$7:$T$207,MATCH($B66,'Actual-ACPSZL'!$B$7:$B$207,0),MATCH('Actual-ACPSZL'!H$6,'Actual-ACPSZL'!$H$6:$T$6,0)):INDEX('Actual-ACPSZL'!$H$7:$T$207,MATCH($B66,'Actual-ACPSZL'!$B$7:$B$207,0),MATCH(AQ$8,'Actual-ACPSZL'!$H$6:$T$6,0)))</f>
        <v>0</v>
      </c>
      <c r="AR66" s="749">
        <f>SUM(INDEX('Budget-ACPSZL'!$K$7:$W$207,MATCH($B66,'Budget-ACPSZL'!$B$7:$B$207,0),MATCH('Budget-ACPSZL'!K$6,'Budget-ACPSZL'!$K$6:$W$6,0)):INDEX('Budget-ACPSZL'!$K$7:$W$207,MATCH($B66,'Budget-ACPSZL'!$B$7:$B$207,0),MATCH(AR$8,'Budget-ACPSZL'!$K$6:$W$6,0)))</f>
        <v>0</v>
      </c>
      <c r="AS66" s="749">
        <f t="shared" si="60"/>
        <v>0</v>
      </c>
      <c r="AT66" s="748"/>
      <c r="AV66" s="749">
        <f>SUM(INDEX('Actual-ACPLSZ'!$H$7:$T$207,MATCH($B66,'Actual-ACPLSZ'!$B$7:$B$207,0),MATCH('Actual-ACPLSZ'!H$6,'Actual-ACPLSZ'!$H$6:$T$6,0)):INDEX('Actual-ACPLSZ'!$H$7:$T$207,MATCH($B66,'Actual-ACPLSZ'!$B$7:$B$207,0),MATCH(AV$8,'Actual-ACPLSZ'!$H$6:$T$6,0)))</f>
        <v>0</v>
      </c>
      <c r="AW66" s="749">
        <f>SUM(INDEX('Budget-ACPLSZ'!$K$7:$W$207,MATCH($B66,'Budget-ACPLSZ'!$B$7:$B$207,0),MATCH('Budget-ACPLSZ'!K$6,'Budget-ACPLSZ'!$K$6:$W$6,0)):INDEX('Budget-ACPLSZ'!$K$7:$W$207,MATCH($B66,'Budget-ACPLSZ'!$B$7:$B$207,0),MATCH(AW$8,'Budget-ACPLSZ'!$K$6:$W$6,0)))</f>
        <v>0</v>
      </c>
      <c r="AX66" s="749">
        <f t="shared" si="55"/>
        <v>0</v>
      </c>
      <c r="AY66" s="748"/>
      <c r="BA66" s="749">
        <f>SUM(INDEX('Actual-ACPLGZ'!$H$7:$T$207,MATCH($B66,'Actual-ACPLGZ'!$B$7:$B$207,0),MATCH('Actual-ACPLGZ'!H$6,'Actual-ACPLGZ'!$H$6:$T$6,0)):INDEX('Actual-ACPLGZ'!$H$7:$T$207,MATCH($B66,'Actual-ACPLGZ'!$B$7:$B$207,0),MATCH(BA$8,'Actual-ACPLGZ'!$H$6:$T$6,0)))</f>
        <v>0</v>
      </c>
      <c r="BB66" s="749">
        <f>SUM(INDEX('Budget-ACPLGZ'!$K$7:$W$207,MATCH($B66,'Budget-ACPLGZ'!$B$7:$B$207,0),MATCH('Budget-ACPLGZ'!K$6,'Budget-ACPLGZ'!$K$6:$W$6,0)):INDEX('Budget-ACPLGZ'!$K$7:$W$207,MATCH($B66,'Budget-ACPLGZ'!$B$7:$B$207,0),MATCH(BB$8,'Budget-ACPLGZ'!$K$6:$W$6,0)))</f>
        <v>0</v>
      </c>
      <c r="BC66" s="749">
        <f t="shared" si="48"/>
        <v>0</v>
      </c>
      <c r="BD66" s="748"/>
      <c r="BF66" s="749">
        <f>SUM(INDEX('Actual-ACPLYixing'!$H$7:$T$207,MATCH($B66,'Actual-ACPLYixing'!$B$7:$B$207,0),MATCH('Actual-ACPLYixing'!H$6,'Actual-ACPLYixing'!$H$6:$T$6,0)):INDEX('Actual-ACPLYixing'!$H$7:$T$207,MATCH($B66,'Actual-ACPLYixing'!$B$7:$B$207,0),MATCH(BF$8,'Actual-ACPLYixing'!$H$6:$T$6,0)))</f>
        <v>0</v>
      </c>
      <c r="BG66" s="749">
        <f>SUM(INDEX('Budget-Yixing'!$K$7:$W$207,MATCH($B66,'Budget-Yixing'!$B$7:$B$207,0),MATCH('Budget-Yixing'!K$6,'Budget-Yixing'!$K$6:$W$6,0)):INDEX('Budget-Yixing'!$K$7:$W$207,MATCH($B66,'Budget-Yixing'!$B$7:$B$207,0),MATCH(BG$8,'Budget-Yixing'!$K$6:$W$6,0)))</f>
        <v>0</v>
      </c>
      <c r="BH66" s="749">
        <f t="shared" si="49"/>
        <v>0</v>
      </c>
      <c r="BI66" s="748"/>
    </row>
    <row r="67" spans="1:61" ht="16.5" customHeight="1">
      <c r="A67" s="653" t="str">
        <f>'Budget-合并'!A65</f>
        <v>6602.05.01.02</v>
      </c>
      <c r="B67" s="653" t="str">
        <f>'Budget-合并'!B65</f>
        <v>广州注册地址403房J015</v>
      </c>
      <c r="C67" s="746">
        <f>INDEX('Actual-ACPL'!$H$7:$T$207,MATCH($B67,'Actual-ACPL'!$B$7:$B$207,0),MATCH(C$8,'Actual-ACPL'!$H$6:$T$6,0))</f>
        <v>0</v>
      </c>
      <c r="D67" s="746">
        <f>INDEX('Budget-ACPL'!$K$7:$W$207,MATCH($B67,'Budget-ACPL'!$B$7:$B$207,0),MATCH(D$8,'Budget-ACPL'!$K$6:$W$6,0))</f>
        <v>0</v>
      </c>
      <c r="E67" s="746">
        <f t="shared" si="61"/>
        <v>0</v>
      </c>
      <c r="F67" s="752"/>
      <c r="H67" s="749">
        <f>INDEX('Actual-ACPLHK'!$H$7:$T$207,MATCH($B67,'Actual-ACPLHK'!$B$7:$B$207,0),MATCH(H$8,'Actual-ACPLHK'!$H$6:$T$6,0))</f>
        <v>0</v>
      </c>
      <c r="I67" s="749">
        <f>INDEX('Budget-ACPLHK'!$K$7:$W$207,MATCH($B67,'Budget-ACPLHK'!$B$7:$B$207,0),MATCH(I$8,'Budget-ACPLHK'!$K$6:$W$6,0))</f>
        <v>0</v>
      </c>
      <c r="J67" s="749">
        <f t="shared" si="62"/>
        <v>0</v>
      </c>
      <c r="K67" s="748"/>
      <c r="M67" s="749">
        <f>INDEX('Actual-ACPSZL'!$H$7:$T$207,MATCH($B67,'Actual-ACPSZL'!$B$7:$B$207,0),MATCH(M$8,'Actual-ACPSZL'!$H$6:$T$6,0))</f>
        <v>0</v>
      </c>
      <c r="N67" s="749">
        <f>INDEX('Budget-ACPSZL'!$K$7:$W$207,MATCH($B67,'Budget-ACPSZL'!$B$7:$B$207,0),MATCH(N$8,'Budget-ACPSZL'!$K$6:$W$6,0))</f>
        <v>0</v>
      </c>
      <c r="O67" s="749">
        <f t="shared" si="51"/>
        <v>0</v>
      </c>
      <c r="P67" s="748"/>
      <c r="R67" s="749">
        <f>INDEX('Actual-ACPLSZ'!$H$7:$T$207,MATCH($B67,'Actual-ACPLSZ'!$B$7:$B$207,0),MATCH(R$8,'Actual-ACPLSZ'!$H$6:$T$6,0))</f>
        <v>0</v>
      </c>
      <c r="S67" s="749">
        <f>INDEX('Budget-ACPLSZ'!$K$7:$W$207,MATCH($B67,'Budget-ACPLSZ'!$B$7:$B$207,0),MATCH(S$8,'Budget-ACPLSZ'!$K$6:$W$6,0))</f>
        <v>0</v>
      </c>
      <c r="T67" s="750">
        <f t="shared" si="45"/>
        <v>0</v>
      </c>
      <c r="U67" s="748"/>
      <c r="W67" s="749">
        <f>INDEX('Actual-ACPLGZ'!$H$7:$T$207,MATCH($B67,'Actual-ACPLGZ'!$B$7:$B$207,0),MATCH(W$8,'Actual-ACPLGZ'!$H$6:$T$6,0))</f>
        <v>0</v>
      </c>
      <c r="X67" s="749">
        <f>INDEX('Budget-ACPLGZ'!$K$7:$W$207,MATCH($B67,'Budget-ACPLGZ'!$B$7:$B$207,0),MATCH(X$8,'Budget-ACPLGZ'!$K$6:$W$6,0))</f>
        <v>0</v>
      </c>
      <c r="Y67" s="749">
        <f t="shared" si="52"/>
        <v>0</v>
      </c>
      <c r="Z67" s="748"/>
      <c r="AB67" s="749">
        <f>INDEX('Actual-ACPLGZ'!$H$7:$T$207,MATCH($B67,'Actual-ACPLGZ'!$B$7:$B$207,0),MATCH(AB$8,'Actual-ACPLGZ'!$H$6:$T$6,0))</f>
        <v>0</v>
      </c>
      <c r="AC67" s="749">
        <f>INDEX('Budget-Yixing'!$K$7:$W$207,MATCH($B67,'Budget-Yixing'!$B$7:$B$207,0),MATCH(AC$8,'Budget-Yixing'!$K$6:$W$6,0))</f>
        <v>0</v>
      </c>
      <c r="AD67" s="750">
        <f t="shared" si="46"/>
        <v>0</v>
      </c>
      <c r="AE67" s="748"/>
      <c r="AG67" s="751">
        <f>SUM(INDEX('Actual-ACPL'!$H$7:$T$207,MATCH($B67,'Actual-ACPL'!$B$7:$B$207,0),MATCH('Actual-ACPL'!H$6,'Actual-ACPL'!$H$6:$T$6,0)):INDEX('Actual-ACPL'!$H$7:$T$207,MATCH($B67,'Actual-ACPL'!$B$7:$B$207,0),MATCH(AG$8,'Actual-ACPL'!$H$6:$T$6,0)))</f>
        <v>0</v>
      </c>
      <c r="AH67" s="749">
        <f>SUM(INDEX('Budget-ACPL'!$K$7:$W$207,MATCH($B67,'Budget-ACPL'!$B$7:$B$207,0),MATCH('Budget-ACPL'!K$6,'Budget-ACPL'!$K$6:$W$6,0)):INDEX('Budget-ACPL'!$K$7:$W$207,MATCH($B67,'Budget-ACPL'!$B$7:$B$207,0),MATCH(AH$8,'Budget-ACPL'!$K$6:$W$6,0)))</f>
        <v>0</v>
      </c>
      <c r="AI67" s="749">
        <f t="shared" si="63"/>
        <v>0</v>
      </c>
      <c r="AJ67" s="748"/>
      <c r="AL67" s="749">
        <f>SUM(INDEX('Actual-ACPLHK'!$H$7:$S$207,MATCH($B67,'Actual-ACPLHK'!$B$7:$B$207,0),MATCH('Actual-ACPLHK'!H$6,'Actual-ACPLHK'!$H$6:$T$6,0)):INDEX('Actual-ACPLHK'!$H$7:$S$207,MATCH($B67,'Actual-ACPLHK'!$B$7:$B$207,0),MATCH(AL$8,'Actual-ACPLHK'!$H$6:$T$6,0)))</f>
        <v>0</v>
      </c>
      <c r="AM67" s="749">
        <f>SUM(INDEX('Budget-ACPLHK'!$K$7:$W$207,MATCH($B67,'Budget-ACPLHK'!$B$7:$B$207,0),MATCH('Budget-ACPLHK'!K$6,'Budget-ACPLHK'!$K$6:$W$6,0)):INDEX('Budget-ACPLHK'!$K$7:$W$207,MATCH($B67,'Budget-ACPLHK'!$B$7:$B$207,0),MATCH(AM$8,'Budget-ACPLHK'!$K$6:$W$6,0)))</f>
        <v>0</v>
      </c>
      <c r="AN67" s="749">
        <f t="shared" si="57"/>
        <v>0</v>
      </c>
      <c r="AO67" s="748"/>
      <c r="AQ67" s="749">
        <f>SUM(INDEX('Actual-ACPSZL'!$H$7:$T$207,MATCH($B67,'Actual-ACPSZL'!$B$7:$B$207,0),MATCH('Actual-ACPSZL'!H$6,'Actual-ACPSZL'!$H$6:$T$6,0)):INDEX('Actual-ACPSZL'!$H$7:$T$207,MATCH($B67,'Actual-ACPSZL'!$B$7:$B$207,0),MATCH(AQ$8,'Actual-ACPSZL'!$H$6:$T$6,0)))</f>
        <v>0</v>
      </c>
      <c r="AR67" s="749">
        <f>SUM(INDEX('Budget-ACPSZL'!$K$7:$W$207,MATCH($B67,'Budget-ACPSZL'!$B$7:$B$207,0),MATCH('Budget-ACPSZL'!K$6,'Budget-ACPSZL'!$K$6:$W$6,0)):INDEX('Budget-ACPSZL'!$K$7:$W$207,MATCH($B67,'Budget-ACPSZL'!$B$7:$B$207,0),MATCH(AR$8,'Budget-ACPSZL'!$K$6:$W$6,0)))</f>
        <v>0</v>
      </c>
      <c r="AS67" s="749">
        <f t="shared" si="60"/>
        <v>0</v>
      </c>
      <c r="AT67" s="748"/>
      <c r="AV67" s="749">
        <f>SUM(INDEX('Actual-ACPLSZ'!$H$7:$T$207,MATCH($B67,'Actual-ACPLSZ'!$B$7:$B$207,0),MATCH('Actual-ACPLSZ'!H$6,'Actual-ACPLSZ'!$H$6:$T$6,0)):INDEX('Actual-ACPLSZ'!$H$7:$T$207,MATCH($B67,'Actual-ACPLSZ'!$B$7:$B$207,0),MATCH(AV$8,'Actual-ACPLSZ'!$H$6:$T$6,0)))</f>
        <v>0</v>
      </c>
      <c r="AW67" s="749">
        <f>SUM(INDEX('Budget-ACPLSZ'!$K$7:$W$207,MATCH($B67,'Budget-ACPLSZ'!$B$7:$B$207,0),MATCH('Budget-ACPLSZ'!K$6,'Budget-ACPLSZ'!$K$6:$W$6,0)):INDEX('Budget-ACPLSZ'!$K$7:$W$207,MATCH($B67,'Budget-ACPLSZ'!$B$7:$B$207,0),MATCH(AW$8,'Budget-ACPLSZ'!$K$6:$W$6,0)))</f>
        <v>0</v>
      </c>
      <c r="AX67" s="749">
        <f t="shared" si="55"/>
        <v>0</v>
      </c>
      <c r="AY67" s="748"/>
      <c r="BA67" s="749">
        <f>SUM(INDEX('Actual-ACPLGZ'!$H$7:$T$207,MATCH($B67,'Actual-ACPLGZ'!$B$7:$B$207,0),MATCH('Actual-ACPLGZ'!H$6,'Actual-ACPLGZ'!$H$6:$T$6,0)):INDEX('Actual-ACPLGZ'!$H$7:$T$207,MATCH($B67,'Actual-ACPLGZ'!$B$7:$B$207,0),MATCH(BA$8,'Actual-ACPLGZ'!$H$6:$T$6,0)))</f>
        <v>0</v>
      </c>
      <c r="BB67" s="749">
        <f>SUM(INDEX('Budget-ACPLGZ'!$K$7:$W$207,MATCH($B67,'Budget-ACPLGZ'!$B$7:$B$207,0),MATCH('Budget-ACPLGZ'!K$6,'Budget-ACPLGZ'!$K$6:$W$6,0)):INDEX('Budget-ACPLGZ'!$K$7:$W$207,MATCH($B67,'Budget-ACPLGZ'!$B$7:$B$207,0),MATCH(BB$8,'Budget-ACPLGZ'!$K$6:$W$6,0)))</f>
        <v>0</v>
      </c>
      <c r="BC67" s="749">
        <f t="shared" si="48"/>
        <v>0</v>
      </c>
      <c r="BD67" s="748"/>
      <c r="BF67" s="749">
        <f>SUM(INDEX('Actual-ACPLYixing'!$H$7:$T$207,MATCH($B67,'Actual-ACPLYixing'!$B$7:$B$207,0),MATCH('Actual-ACPLYixing'!H$6,'Actual-ACPLYixing'!$H$6:$T$6,0)):INDEX('Actual-ACPLYixing'!$H$7:$T$207,MATCH($B67,'Actual-ACPLYixing'!$B$7:$B$207,0),MATCH(BF$8,'Actual-ACPLYixing'!$H$6:$T$6,0)))</f>
        <v>0</v>
      </c>
      <c r="BG67" s="749">
        <f>SUM(INDEX('Budget-Yixing'!$K$7:$W$207,MATCH($B67,'Budget-Yixing'!$B$7:$B$207,0),MATCH('Budget-Yixing'!K$6,'Budget-Yixing'!$K$6:$W$6,0)):INDEX('Budget-Yixing'!$K$7:$W$207,MATCH($B67,'Budget-Yixing'!$B$7:$B$207,0),MATCH(BG$8,'Budget-Yixing'!$K$6:$W$6,0)))</f>
        <v>0</v>
      </c>
      <c r="BH67" s="749">
        <f t="shared" si="49"/>
        <v>0</v>
      </c>
      <c r="BI67" s="748"/>
    </row>
    <row r="68" spans="1:61" ht="16.5" customHeight="1">
      <c r="A68" s="653" t="str">
        <f>'Budget-合并'!A66</f>
        <v>6602.05.01.03</v>
      </c>
      <c r="B68" s="653" t="str">
        <f>'Budget-合并'!B66</f>
        <v>广州注册地址403房J016</v>
      </c>
      <c r="C68" s="746">
        <f>INDEX('Actual-ACPL'!$H$7:$T$207,MATCH($B68,'Actual-ACPL'!$B$7:$B$207,0),MATCH(C$8,'Actual-ACPL'!$H$6:$T$6,0))</f>
        <v>0</v>
      </c>
      <c r="D68" s="746">
        <f>INDEX('Budget-ACPL'!$K$7:$W$207,MATCH($B68,'Budget-ACPL'!$B$7:$B$207,0),MATCH(D$8,'Budget-ACPL'!$K$6:$W$6,0))</f>
        <v>0</v>
      </c>
      <c r="E68" s="746">
        <f t="shared" si="61"/>
        <v>0</v>
      </c>
      <c r="F68" s="752"/>
      <c r="H68" s="749">
        <f>INDEX('Actual-ACPLHK'!$H$7:$T$207,MATCH($B68,'Actual-ACPLHK'!$B$7:$B$207,0),MATCH(H$8,'Actual-ACPLHK'!$H$6:$T$6,0))</f>
        <v>0</v>
      </c>
      <c r="I68" s="749">
        <f>INDEX('Budget-ACPLHK'!$K$7:$W$207,MATCH($B68,'Budget-ACPLHK'!$B$7:$B$207,0),MATCH(I$8,'Budget-ACPLHK'!$K$6:$W$6,0))</f>
        <v>0</v>
      </c>
      <c r="J68" s="749">
        <f t="shared" si="62"/>
        <v>0</v>
      </c>
      <c r="K68" s="748"/>
      <c r="M68" s="749">
        <f>INDEX('Actual-ACPSZL'!$H$7:$T$207,MATCH($B68,'Actual-ACPSZL'!$B$7:$B$207,0),MATCH(M$8,'Actual-ACPSZL'!$H$6:$T$6,0))</f>
        <v>0</v>
      </c>
      <c r="N68" s="749">
        <f>INDEX('Budget-ACPSZL'!$K$7:$W$207,MATCH($B68,'Budget-ACPSZL'!$B$7:$B$207,0),MATCH(N$8,'Budget-ACPSZL'!$K$6:$W$6,0))</f>
        <v>0</v>
      </c>
      <c r="O68" s="749">
        <f t="shared" si="51"/>
        <v>0</v>
      </c>
      <c r="P68" s="748"/>
      <c r="R68" s="749">
        <f>INDEX('Actual-ACPLSZ'!$H$7:$T$207,MATCH($B68,'Actual-ACPLSZ'!$B$7:$B$207,0),MATCH(R$8,'Actual-ACPLSZ'!$H$6:$T$6,0))</f>
        <v>0</v>
      </c>
      <c r="S68" s="749">
        <f>INDEX('Budget-ACPLSZ'!$K$7:$W$207,MATCH($B68,'Budget-ACPLSZ'!$B$7:$B$207,0),MATCH(S$8,'Budget-ACPLSZ'!$K$6:$W$6,0))</f>
        <v>0</v>
      </c>
      <c r="T68" s="750">
        <f t="shared" si="45"/>
        <v>0</v>
      </c>
      <c r="U68" s="748"/>
      <c r="W68" s="749">
        <f>INDEX('Actual-ACPLGZ'!$H$7:$T$207,MATCH($B68,'Actual-ACPLGZ'!$B$7:$B$207,0),MATCH(W$8,'Actual-ACPLGZ'!$H$6:$T$6,0))</f>
        <v>0</v>
      </c>
      <c r="X68" s="749">
        <f>INDEX('Budget-ACPLGZ'!$K$7:$W$207,MATCH($B68,'Budget-ACPLGZ'!$B$7:$B$207,0),MATCH(X$8,'Budget-ACPLGZ'!$K$6:$W$6,0))</f>
        <v>0</v>
      </c>
      <c r="Y68" s="749">
        <f t="shared" si="52"/>
        <v>0</v>
      </c>
      <c r="Z68" s="748"/>
      <c r="AB68" s="749">
        <f>INDEX('Actual-ACPLGZ'!$H$7:$T$207,MATCH($B68,'Actual-ACPLGZ'!$B$7:$B$207,0),MATCH(AB$8,'Actual-ACPLGZ'!$H$6:$T$6,0))</f>
        <v>0</v>
      </c>
      <c r="AC68" s="749">
        <f>INDEX('Budget-Yixing'!$K$7:$W$207,MATCH($B68,'Budget-Yixing'!$B$7:$B$207,0),MATCH(AC$8,'Budget-Yixing'!$K$6:$W$6,0))</f>
        <v>0</v>
      </c>
      <c r="AD68" s="750">
        <f t="shared" si="46"/>
        <v>0</v>
      </c>
      <c r="AE68" s="748"/>
      <c r="AG68" s="751">
        <f>SUM(INDEX('Actual-ACPL'!$H$7:$T$207,MATCH($B68,'Actual-ACPL'!$B$7:$B$207,0),MATCH('Actual-ACPL'!H$6,'Actual-ACPL'!$H$6:$T$6,0)):INDEX('Actual-ACPL'!$H$7:$T$207,MATCH($B68,'Actual-ACPL'!$B$7:$B$207,0),MATCH(AG$8,'Actual-ACPL'!$H$6:$T$6,0)))</f>
        <v>0</v>
      </c>
      <c r="AH68" s="749">
        <f>SUM(INDEX('Budget-ACPL'!$K$7:$W$207,MATCH($B68,'Budget-ACPL'!$B$7:$B$207,0),MATCH('Budget-ACPL'!K$6,'Budget-ACPL'!$K$6:$W$6,0)):INDEX('Budget-ACPL'!$K$7:$W$207,MATCH($B68,'Budget-ACPL'!$B$7:$B$207,0),MATCH(AH$8,'Budget-ACPL'!$K$6:$W$6,0)))</f>
        <v>0</v>
      </c>
      <c r="AI68" s="749">
        <f t="shared" si="63"/>
        <v>0</v>
      </c>
      <c r="AJ68" s="748"/>
      <c r="AL68" s="749">
        <f>SUM(INDEX('Actual-ACPLHK'!$H$7:$S$207,MATCH($B68,'Actual-ACPLHK'!$B$7:$B$207,0),MATCH('Actual-ACPLHK'!H$6,'Actual-ACPLHK'!$H$6:$T$6,0)):INDEX('Actual-ACPLHK'!$H$7:$S$207,MATCH($B68,'Actual-ACPLHK'!$B$7:$B$207,0),MATCH(AL$8,'Actual-ACPLHK'!$H$6:$T$6,0)))</f>
        <v>0</v>
      </c>
      <c r="AM68" s="749">
        <f>SUM(INDEX('Budget-ACPLHK'!$K$7:$W$207,MATCH($B68,'Budget-ACPLHK'!$B$7:$B$207,0),MATCH('Budget-ACPLHK'!K$6,'Budget-ACPLHK'!$K$6:$W$6,0)):INDEX('Budget-ACPLHK'!$K$7:$W$207,MATCH($B68,'Budget-ACPLHK'!$B$7:$B$207,0),MATCH(AM$8,'Budget-ACPLHK'!$K$6:$W$6,0)))</f>
        <v>0</v>
      </c>
      <c r="AN68" s="749">
        <f t="shared" si="57"/>
        <v>0</v>
      </c>
      <c r="AO68" s="748"/>
      <c r="AQ68" s="749">
        <f>SUM(INDEX('Actual-ACPSZL'!$H$7:$T$207,MATCH($B68,'Actual-ACPSZL'!$B$7:$B$207,0),MATCH('Actual-ACPSZL'!H$6,'Actual-ACPSZL'!$H$6:$T$6,0)):INDEX('Actual-ACPSZL'!$H$7:$T$207,MATCH($B68,'Actual-ACPSZL'!$B$7:$B$207,0),MATCH(AQ$8,'Actual-ACPSZL'!$H$6:$T$6,0)))</f>
        <v>0</v>
      </c>
      <c r="AR68" s="749">
        <f>SUM(INDEX('Budget-ACPSZL'!$K$7:$W$207,MATCH($B68,'Budget-ACPSZL'!$B$7:$B$207,0),MATCH('Budget-ACPSZL'!K$6,'Budget-ACPSZL'!$K$6:$W$6,0)):INDEX('Budget-ACPSZL'!$K$7:$W$207,MATCH($B68,'Budget-ACPSZL'!$B$7:$B$207,0),MATCH(AR$8,'Budget-ACPSZL'!$K$6:$W$6,0)))</f>
        <v>0</v>
      </c>
      <c r="AS68" s="749">
        <f t="shared" si="60"/>
        <v>0</v>
      </c>
      <c r="AT68" s="748"/>
      <c r="AV68" s="749">
        <f>SUM(INDEX('Actual-ACPLSZ'!$H$7:$T$207,MATCH($B68,'Actual-ACPLSZ'!$B$7:$B$207,0),MATCH('Actual-ACPLSZ'!H$6,'Actual-ACPLSZ'!$H$6:$T$6,0)):INDEX('Actual-ACPLSZ'!$H$7:$T$207,MATCH($B68,'Actual-ACPLSZ'!$B$7:$B$207,0),MATCH(AV$8,'Actual-ACPLSZ'!$H$6:$T$6,0)))</f>
        <v>0</v>
      </c>
      <c r="AW68" s="749">
        <f>SUM(INDEX('Budget-ACPLSZ'!$K$7:$W$207,MATCH($B68,'Budget-ACPLSZ'!$B$7:$B$207,0),MATCH('Budget-ACPLSZ'!K$6,'Budget-ACPLSZ'!$K$6:$W$6,0)):INDEX('Budget-ACPLSZ'!$K$7:$W$207,MATCH($B68,'Budget-ACPLSZ'!$B$7:$B$207,0),MATCH(AW$8,'Budget-ACPLSZ'!$K$6:$W$6,0)))</f>
        <v>0</v>
      </c>
      <c r="AX68" s="749">
        <f t="shared" si="55"/>
        <v>0</v>
      </c>
      <c r="AY68" s="748"/>
      <c r="BA68" s="749">
        <f>SUM(INDEX('Actual-ACPLGZ'!$H$7:$T$207,MATCH($B68,'Actual-ACPLGZ'!$B$7:$B$207,0),MATCH('Actual-ACPLGZ'!H$6,'Actual-ACPLGZ'!$H$6:$T$6,0)):INDEX('Actual-ACPLGZ'!$H$7:$T$207,MATCH($B68,'Actual-ACPLGZ'!$B$7:$B$207,0),MATCH(BA$8,'Actual-ACPLGZ'!$H$6:$T$6,0)))</f>
        <v>0</v>
      </c>
      <c r="BB68" s="749">
        <f>SUM(INDEX('Budget-ACPLGZ'!$K$7:$W$207,MATCH($B68,'Budget-ACPLGZ'!$B$7:$B$207,0),MATCH('Budget-ACPLGZ'!K$6,'Budget-ACPLGZ'!$K$6:$W$6,0)):INDEX('Budget-ACPLGZ'!$K$7:$W$207,MATCH($B68,'Budget-ACPLGZ'!$B$7:$B$207,0),MATCH(BB$8,'Budget-ACPLGZ'!$K$6:$W$6,0)))</f>
        <v>0</v>
      </c>
      <c r="BC68" s="749">
        <f t="shared" si="48"/>
        <v>0</v>
      </c>
      <c r="BD68" s="748"/>
      <c r="BF68" s="749">
        <f>SUM(INDEX('Actual-ACPLYixing'!$H$7:$T$207,MATCH($B68,'Actual-ACPLYixing'!$B$7:$B$207,0),MATCH('Actual-ACPLYixing'!H$6,'Actual-ACPLYixing'!$H$6:$T$6,0)):INDEX('Actual-ACPLYixing'!$H$7:$T$207,MATCH($B68,'Actual-ACPLYixing'!$B$7:$B$207,0),MATCH(BF$8,'Actual-ACPLYixing'!$H$6:$T$6,0)))</f>
        <v>0</v>
      </c>
      <c r="BG68" s="749">
        <f>SUM(INDEX('Budget-Yixing'!$K$7:$W$207,MATCH($B68,'Budget-Yixing'!$B$7:$B$207,0),MATCH('Budget-Yixing'!K$6,'Budget-Yixing'!$K$6:$W$6,0)):INDEX('Budget-Yixing'!$K$7:$W$207,MATCH($B68,'Budget-Yixing'!$B$7:$B$207,0),MATCH(BG$8,'Budget-Yixing'!$K$6:$W$6,0)))</f>
        <v>0</v>
      </c>
      <c r="BH68" s="749">
        <f t="shared" si="49"/>
        <v>0</v>
      </c>
      <c r="BI68" s="748"/>
    </row>
    <row r="69" spans="1:61" ht="16.5" customHeight="1">
      <c r="A69" s="653" t="str">
        <f>'Budget-合并'!A67</f>
        <v>6602.05.02</v>
      </c>
      <c r="B69" s="653" t="str">
        <f>'Budget-合并'!B67</f>
        <v>管理费</v>
      </c>
      <c r="C69" s="746">
        <f>INDEX('Actual-ACPL'!$H$7:$T$207,MATCH($B69,'Actual-ACPL'!$B$7:$B$207,0),MATCH(C$8,'Actual-ACPL'!$H$6:$T$6,0))</f>
        <v>0</v>
      </c>
      <c r="D69" s="746">
        <f>INDEX('Budget-ACPL'!$K$7:$W$207,MATCH($B69,'Budget-ACPL'!$B$7:$B$207,0),MATCH(D$8,'Budget-ACPL'!$K$6:$W$6,0))</f>
        <v>0</v>
      </c>
      <c r="E69" s="746">
        <f t="shared" si="61"/>
        <v>0</v>
      </c>
      <c r="F69" s="752"/>
      <c r="H69" s="749">
        <f>INDEX('Actual-ACPLHK'!$H$7:$T$207,MATCH($B69,'Actual-ACPLHK'!$B$7:$B$207,0),MATCH(H$8,'Actual-ACPLHK'!$H$6:$T$6,0))</f>
        <v>0</v>
      </c>
      <c r="I69" s="749">
        <f>INDEX('Budget-ACPLHK'!$K$7:$W$207,MATCH($B69,'Budget-ACPLHK'!$B$7:$B$207,0),MATCH(I$8,'Budget-ACPLHK'!$K$6:$W$6,0))</f>
        <v>35233.282129500003</v>
      </c>
      <c r="J69" s="749">
        <f t="shared" si="62"/>
        <v>-35233.282129500003</v>
      </c>
      <c r="K69" s="748"/>
      <c r="M69" s="749">
        <f>INDEX('Actual-ACPSZL'!$H$7:$T$207,MATCH($B69,'Actual-ACPSZL'!$B$7:$B$207,0),MATCH(M$8,'Actual-ACPSZL'!$H$6:$T$6,0))</f>
        <v>0</v>
      </c>
      <c r="N69" s="749">
        <f>INDEX('Budget-ACPSZL'!$K$7:$W$207,MATCH($B69,'Budget-ACPSZL'!$B$7:$B$207,0),MATCH(N$8,'Budget-ACPSZL'!$K$6:$W$6,0))</f>
        <v>0</v>
      </c>
      <c r="O69" s="749">
        <f t="shared" si="51"/>
        <v>0</v>
      </c>
      <c r="P69" s="748"/>
      <c r="R69" s="749">
        <f>INDEX('Actual-ACPLSZ'!$H$7:$T$207,MATCH($B69,'Actual-ACPLSZ'!$B$7:$B$207,0),MATCH(R$8,'Actual-ACPLSZ'!$H$6:$T$6,0))</f>
        <v>0</v>
      </c>
      <c r="S69" s="749">
        <f>INDEX('Budget-ACPLSZ'!$K$7:$W$207,MATCH($B69,'Budget-ACPLSZ'!$B$7:$B$207,0),MATCH(S$8,'Budget-ACPLSZ'!$K$6:$W$6,0))</f>
        <v>0</v>
      </c>
      <c r="T69" s="750"/>
      <c r="U69" s="748"/>
      <c r="W69" s="749">
        <f>INDEX('Actual-ACPLGZ'!$H$7:$T$207,MATCH($B69,'Actual-ACPLGZ'!$B$7:$B$207,0),MATCH(W$8,'Actual-ACPLGZ'!$H$6:$T$6,0))</f>
        <v>0</v>
      </c>
      <c r="X69" s="749">
        <f>INDEX('Budget-ACPLGZ'!$K$7:$W$207,MATCH($B69,'Budget-ACPLGZ'!$B$7:$B$207,0),MATCH(X$8,'Budget-ACPLGZ'!$K$6:$W$6,0))</f>
        <v>0</v>
      </c>
      <c r="Y69" s="749">
        <f t="shared" si="52"/>
        <v>0</v>
      </c>
      <c r="Z69" s="748"/>
      <c r="AB69" s="749">
        <f>INDEX('Actual-ACPLGZ'!$H$7:$T$207,MATCH($B69,'Actual-ACPLGZ'!$B$7:$B$207,0),MATCH(AB$8,'Actual-ACPLGZ'!$H$6:$T$6,0))</f>
        <v>0</v>
      </c>
      <c r="AC69" s="749">
        <f>INDEX('Budget-Yixing'!$K$7:$W$207,MATCH($B69,'Budget-Yixing'!$B$7:$B$207,0),MATCH(AC$8,'Budget-Yixing'!$K$6:$W$6,0))</f>
        <v>0</v>
      </c>
      <c r="AD69" s="750"/>
      <c r="AE69" s="748"/>
      <c r="AG69" s="751">
        <f>SUM(INDEX('Actual-ACPL'!$H$7:$T$207,MATCH($B69,'Actual-ACPL'!$B$7:$B$207,0),MATCH('Actual-ACPL'!H$6,'Actual-ACPL'!$H$6:$T$6,0)):INDEX('Actual-ACPL'!$H$7:$T$207,MATCH($B69,'Actual-ACPL'!$B$7:$B$207,0),MATCH(AG$8,'Actual-ACPL'!$H$6:$T$6,0)))</f>
        <v>0</v>
      </c>
      <c r="AH69" s="749">
        <f>SUM(INDEX('Budget-ACPL'!$K$7:$W$207,MATCH($B69,'Budget-ACPL'!$B$7:$B$207,0),MATCH('Budget-ACPL'!K$6,'Budget-ACPL'!$K$6:$W$6,0)):INDEX('Budget-ACPL'!$K$7:$W$207,MATCH($B69,'Budget-ACPL'!$B$7:$B$207,0),MATCH(AH$8,'Budget-ACPL'!$K$6:$W$6,0)))</f>
        <v>0</v>
      </c>
      <c r="AI69" s="749">
        <f t="shared" si="63"/>
        <v>0</v>
      </c>
      <c r="AJ69" s="748"/>
      <c r="AL69" s="749">
        <f>SUM(INDEX('Actual-ACPLHK'!$H$7:$S$207,MATCH($B69,'Actual-ACPLHK'!$B$7:$B$207,0),MATCH('Actual-ACPLHK'!H$6,'Actual-ACPLHK'!$H$6:$T$6,0)):INDEX('Actual-ACPLHK'!$H$7:$S$207,MATCH($B69,'Actual-ACPLHK'!$B$7:$B$207,0),MATCH(AL$8,'Actual-ACPLHK'!$H$6:$T$6,0)))</f>
        <v>0</v>
      </c>
      <c r="AM69" s="749">
        <f>SUM(INDEX('Budget-ACPLHK'!$K$7:$W$207,MATCH($B69,'Budget-ACPLHK'!$B$7:$B$207,0),MATCH('Budget-ACPLHK'!K$6,'Budget-ACPLHK'!$K$6:$W$6,0)):INDEX('Budget-ACPLHK'!$K$7:$W$207,MATCH($B69,'Budget-ACPLHK'!$B$7:$B$207,0),MATCH(AM$8,'Budget-ACPLHK'!$K$6:$W$6,0)))</f>
        <v>35233.282129500003</v>
      </c>
      <c r="AN69" s="749">
        <f t="shared" si="57"/>
        <v>-35233.282129500003</v>
      </c>
      <c r="AO69" s="748"/>
      <c r="AQ69" s="749">
        <f>SUM(INDEX('Actual-ACPSZL'!$H$7:$T$207,MATCH($B69,'Actual-ACPSZL'!$B$7:$B$207,0),MATCH('Actual-ACPSZL'!H$6,'Actual-ACPSZL'!$H$6:$T$6,0)):INDEX('Actual-ACPSZL'!$H$7:$T$207,MATCH($B69,'Actual-ACPSZL'!$B$7:$B$207,0),MATCH(AQ$8,'Actual-ACPSZL'!$H$6:$T$6,0)))</f>
        <v>0</v>
      </c>
      <c r="AR69" s="749">
        <f>SUM(INDEX('Budget-ACPSZL'!$K$7:$W$207,MATCH($B69,'Budget-ACPSZL'!$B$7:$B$207,0),MATCH('Budget-ACPSZL'!K$6,'Budget-ACPSZL'!$K$6:$W$6,0)):INDEX('Budget-ACPSZL'!$K$7:$W$207,MATCH($B69,'Budget-ACPSZL'!$B$7:$B$207,0),MATCH(AR$8,'Budget-ACPSZL'!$K$6:$W$6,0)))</f>
        <v>0</v>
      </c>
      <c r="AS69" s="749">
        <f t="shared" si="60"/>
        <v>0</v>
      </c>
      <c r="AT69" s="748"/>
      <c r="AV69" s="749">
        <f>SUM(INDEX('Actual-ACPLSZ'!$H$7:$T$207,MATCH($B69,'Actual-ACPLSZ'!$B$7:$B$207,0),MATCH('Actual-ACPLSZ'!H$6,'Actual-ACPLSZ'!$H$6:$T$6,0)):INDEX('Actual-ACPLSZ'!$H$7:$T$207,MATCH($B69,'Actual-ACPLSZ'!$B$7:$B$207,0),MATCH(AV$8,'Actual-ACPLSZ'!$H$6:$T$6,0)))</f>
        <v>0</v>
      </c>
      <c r="AW69" s="749">
        <f>SUM(INDEX('Budget-ACPLSZ'!$K$7:$W$207,MATCH($B69,'Budget-ACPLSZ'!$B$7:$B$207,0),MATCH('Budget-ACPLSZ'!K$6,'Budget-ACPLSZ'!$K$6:$W$6,0)):INDEX('Budget-ACPLSZ'!$K$7:$W$207,MATCH($B69,'Budget-ACPLSZ'!$B$7:$B$207,0),MATCH(AW$8,'Budget-ACPLSZ'!$K$6:$W$6,0)))</f>
        <v>0</v>
      </c>
      <c r="AX69" s="749">
        <f t="shared" si="55"/>
        <v>0</v>
      </c>
      <c r="AY69" s="748"/>
      <c r="BA69" s="749">
        <f>SUM(INDEX('Actual-ACPLGZ'!$H$7:$T$207,MATCH($B69,'Actual-ACPLGZ'!$B$7:$B$207,0),MATCH('Actual-ACPLGZ'!H$6,'Actual-ACPLGZ'!$H$6:$T$6,0)):INDEX('Actual-ACPLGZ'!$H$7:$T$207,MATCH($B69,'Actual-ACPLGZ'!$B$7:$B$207,0),MATCH(BA$8,'Actual-ACPLGZ'!$H$6:$T$6,0)))</f>
        <v>0</v>
      </c>
      <c r="BB69" s="749">
        <f>SUM(INDEX('Budget-ACPLGZ'!$K$7:$W$207,MATCH($B69,'Budget-ACPLGZ'!$B$7:$B$207,0),MATCH('Budget-ACPLGZ'!K$6,'Budget-ACPLGZ'!$K$6:$W$6,0)):INDEX('Budget-ACPLGZ'!$K$7:$W$207,MATCH($B69,'Budget-ACPLGZ'!$B$7:$B$207,0),MATCH(BB$8,'Budget-ACPLGZ'!$K$6:$W$6,0)))</f>
        <v>0</v>
      </c>
      <c r="BC69" s="749"/>
      <c r="BD69" s="748"/>
      <c r="BF69" s="749">
        <f>SUM(INDEX('Actual-ACPLYixing'!$H$7:$T$207,MATCH($B69,'Actual-ACPLYixing'!$B$7:$B$207,0),MATCH('Actual-ACPLYixing'!H$6,'Actual-ACPLYixing'!$H$6:$T$6,0)):INDEX('Actual-ACPLYixing'!$H$7:$T$207,MATCH($B69,'Actual-ACPLYixing'!$B$7:$B$207,0),MATCH(BF$8,'Actual-ACPLYixing'!$H$6:$T$6,0)))</f>
        <v>0</v>
      </c>
      <c r="BG69" s="749">
        <f>SUM(INDEX('Budget-Yixing'!$K$7:$W$207,MATCH($B69,'Budget-Yixing'!$B$7:$B$207,0),MATCH('Budget-Yixing'!K$6,'Budget-Yixing'!$K$6:$W$6,0)):INDEX('Budget-Yixing'!$K$7:$W$207,MATCH($B69,'Budget-Yixing'!$B$7:$B$207,0),MATCH(BG$8,'Budget-Yixing'!$K$6:$W$6,0)))</f>
        <v>0</v>
      </c>
      <c r="BH69" s="749"/>
      <c r="BI69" s="748"/>
    </row>
    <row r="70" spans="1:61" ht="16.5" customHeight="1">
      <c r="A70" s="653" t="str">
        <f>'Budget-合并'!A68</f>
        <v>6602.05.03</v>
      </c>
      <c r="B70" s="653" t="str">
        <f>'Budget-合并'!B68</f>
        <v>电费</v>
      </c>
      <c r="C70" s="746">
        <f>INDEX('Actual-ACPL'!$H$7:$T$207,MATCH($B70,'Actual-ACPL'!$B$7:$B$207,0),MATCH(C$8,'Actual-ACPL'!$H$6:$T$6,0))</f>
        <v>0</v>
      </c>
      <c r="D70" s="746">
        <f>INDEX('Budget-ACPL'!$K$7:$W$207,MATCH($B70,'Budget-ACPL'!$B$7:$B$207,0),MATCH(D$8,'Budget-ACPL'!$K$6:$W$6,0))</f>
        <v>0</v>
      </c>
      <c r="E70" s="746">
        <f t="shared" si="61"/>
        <v>0</v>
      </c>
      <c r="F70" s="752"/>
      <c r="H70" s="749">
        <f>INDEX('Actual-ACPLHK'!$H$7:$T$207,MATCH($B70,'Actual-ACPLHK'!$B$7:$B$207,0),MATCH(H$8,'Actual-ACPLHK'!$H$6:$T$6,0))</f>
        <v>0</v>
      </c>
      <c r="I70" s="749">
        <f>INDEX('Budget-ACPLHK'!$K$7:$W$207,MATCH($B70,'Budget-ACPLHK'!$B$7:$B$207,0),MATCH(I$8,'Budget-ACPLHK'!$K$6:$W$6,0))</f>
        <v>747.59159999999997</v>
      </c>
      <c r="J70" s="749">
        <f t="shared" si="62"/>
        <v>-747.59159999999997</v>
      </c>
      <c r="K70" s="748"/>
      <c r="M70" s="749">
        <f>INDEX('Actual-ACPSZL'!$H$7:$T$207,MATCH($B70,'Actual-ACPSZL'!$B$7:$B$207,0),MATCH(M$8,'Actual-ACPSZL'!$H$6:$T$6,0))</f>
        <v>0</v>
      </c>
      <c r="N70" s="749">
        <f>INDEX('Budget-ACPSZL'!$K$7:$W$207,MATCH($B70,'Budget-ACPSZL'!$B$7:$B$207,0),MATCH(N$8,'Budget-ACPSZL'!$K$6:$W$6,0))</f>
        <v>0</v>
      </c>
      <c r="O70" s="749">
        <f t="shared" si="51"/>
        <v>0</v>
      </c>
      <c r="P70" s="748"/>
      <c r="R70" s="749">
        <f>INDEX('Actual-ACPLSZ'!$H$7:$T$207,MATCH($B70,'Actual-ACPLSZ'!$B$7:$B$207,0),MATCH(R$8,'Actual-ACPLSZ'!$H$6:$T$6,0))</f>
        <v>0</v>
      </c>
      <c r="S70" s="749">
        <f>INDEX('Budget-ACPLSZ'!$K$7:$W$207,MATCH($B70,'Budget-ACPLSZ'!$B$7:$B$207,0),MATCH(S$8,'Budget-ACPLSZ'!$K$6:$W$6,0))</f>
        <v>0</v>
      </c>
      <c r="T70" s="750">
        <f t="shared" ref="T70:T83" si="64">(R70-S70)*-1</f>
        <v>0</v>
      </c>
      <c r="U70" s="748"/>
      <c r="W70" s="749">
        <f>INDEX('Actual-ACPLGZ'!$H$7:$T$207,MATCH($B70,'Actual-ACPLGZ'!$B$7:$B$207,0),MATCH(W$8,'Actual-ACPLGZ'!$H$6:$T$6,0))</f>
        <v>0</v>
      </c>
      <c r="X70" s="749">
        <f>INDEX('Budget-ACPLGZ'!$K$7:$W$207,MATCH($B70,'Budget-ACPLGZ'!$B$7:$B$207,0),MATCH(X$8,'Budget-ACPLGZ'!$K$6:$W$6,0))</f>
        <v>0</v>
      </c>
      <c r="Y70" s="749">
        <f t="shared" si="52"/>
        <v>0</v>
      </c>
      <c r="Z70" s="748"/>
      <c r="AB70" s="749">
        <f>INDEX('Actual-ACPLGZ'!$H$7:$T$207,MATCH($B70,'Actual-ACPLGZ'!$B$7:$B$207,0),MATCH(AB$8,'Actual-ACPLGZ'!$H$6:$T$6,0))</f>
        <v>0</v>
      </c>
      <c r="AC70" s="749">
        <f>INDEX('Budget-Yixing'!$K$7:$W$207,MATCH($B70,'Budget-Yixing'!$B$7:$B$207,0),MATCH(AC$8,'Budget-Yixing'!$K$6:$W$6,0))</f>
        <v>0</v>
      </c>
      <c r="AD70" s="750">
        <f t="shared" ref="AD70:AD83" si="65">(AB70-AC70)*-1</f>
        <v>0</v>
      </c>
      <c r="AE70" s="748"/>
      <c r="AG70" s="751">
        <f>SUM(INDEX('Actual-ACPL'!$H$7:$T$207,MATCH($B70,'Actual-ACPL'!$B$7:$B$207,0),MATCH('Actual-ACPL'!H$6,'Actual-ACPL'!$H$6:$T$6,0)):INDEX('Actual-ACPL'!$H$7:$T$207,MATCH($B70,'Actual-ACPL'!$B$7:$B$207,0),MATCH(AG$8,'Actual-ACPL'!$H$6:$T$6,0)))</f>
        <v>0</v>
      </c>
      <c r="AH70" s="749">
        <f>SUM(INDEX('Budget-ACPL'!$K$7:$W$207,MATCH($B70,'Budget-ACPL'!$B$7:$B$207,0),MATCH('Budget-ACPL'!K$6,'Budget-ACPL'!$K$6:$W$6,0)):INDEX('Budget-ACPL'!$K$7:$W$207,MATCH($B70,'Budget-ACPL'!$B$7:$B$207,0),MATCH(AH$8,'Budget-ACPL'!$K$6:$W$6,0)))</f>
        <v>0</v>
      </c>
      <c r="AI70" s="749">
        <f t="shared" si="63"/>
        <v>0</v>
      </c>
      <c r="AJ70" s="748"/>
      <c r="AL70" s="749">
        <f>SUM(INDEX('Actual-ACPLHK'!$H$7:$S$207,MATCH($B70,'Actual-ACPLHK'!$B$7:$B$207,0),MATCH('Actual-ACPLHK'!H$6,'Actual-ACPLHK'!$H$6:$T$6,0)):INDEX('Actual-ACPLHK'!$H$7:$S$207,MATCH($B70,'Actual-ACPLHK'!$B$7:$B$207,0),MATCH(AL$8,'Actual-ACPLHK'!$H$6:$T$6,0)))</f>
        <v>0</v>
      </c>
      <c r="AM70" s="749">
        <f>SUM(INDEX('Budget-ACPLHK'!$K$7:$W$207,MATCH($B70,'Budget-ACPLHK'!$B$7:$B$207,0),MATCH('Budget-ACPLHK'!K$6,'Budget-ACPLHK'!$K$6:$W$6,0)):INDEX('Budget-ACPLHK'!$K$7:$W$207,MATCH($B70,'Budget-ACPLHK'!$B$7:$B$207,0),MATCH(AM$8,'Budget-ACPLHK'!$K$6:$W$6,0)))</f>
        <v>747.59159999999997</v>
      </c>
      <c r="AN70" s="749">
        <f t="shared" si="57"/>
        <v>-747.59159999999997</v>
      </c>
      <c r="AO70" s="748"/>
      <c r="AQ70" s="749">
        <f>SUM(INDEX('Actual-ACPSZL'!$H$7:$T$207,MATCH($B70,'Actual-ACPSZL'!$B$7:$B$207,0),MATCH('Actual-ACPSZL'!H$6,'Actual-ACPSZL'!$H$6:$T$6,0)):INDEX('Actual-ACPSZL'!$H$7:$T$207,MATCH($B70,'Actual-ACPSZL'!$B$7:$B$207,0),MATCH(AQ$8,'Actual-ACPSZL'!$H$6:$T$6,0)))</f>
        <v>0</v>
      </c>
      <c r="AR70" s="749">
        <f>SUM(INDEX('Budget-ACPSZL'!$K$7:$W$207,MATCH($B70,'Budget-ACPSZL'!$B$7:$B$207,0),MATCH('Budget-ACPSZL'!K$6,'Budget-ACPSZL'!$K$6:$W$6,0)):INDEX('Budget-ACPSZL'!$K$7:$W$207,MATCH($B70,'Budget-ACPSZL'!$B$7:$B$207,0),MATCH(AR$8,'Budget-ACPSZL'!$K$6:$W$6,0)))</f>
        <v>0</v>
      </c>
      <c r="AS70" s="749">
        <f t="shared" si="60"/>
        <v>0</v>
      </c>
      <c r="AT70" s="748"/>
      <c r="AV70" s="749">
        <f>SUM(INDEX('Actual-ACPLSZ'!$H$7:$T$207,MATCH($B70,'Actual-ACPLSZ'!$B$7:$B$207,0),MATCH('Actual-ACPLSZ'!H$6,'Actual-ACPLSZ'!$H$6:$T$6,0)):INDEX('Actual-ACPLSZ'!$H$7:$T$207,MATCH($B70,'Actual-ACPLSZ'!$B$7:$B$207,0),MATCH(AV$8,'Actual-ACPLSZ'!$H$6:$T$6,0)))</f>
        <v>0</v>
      </c>
      <c r="AW70" s="749">
        <f>SUM(INDEX('Budget-ACPLSZ'!$K$7:$W$207,MATCH($B70,'Budget-ACPLSZ'!$B$7:$B$207,0),MATCH('Budget-ACPLSZ'!K$6,'Budget-ACPLSZ'!$K$6:$W$6,0)):INDEX('Budget-ACPLSZ'!$K$7:$W$207,MATCH($B70,'Budget-ACPLSZ'!$B$7:$B$207,0),MATCH(AW$8,'Budget-ACPLSZ'!$K$6:$W$6,0)))</f>
        <v>0</v>
      </c>
      <c r="AX70" s="749">
        <f t="shared" si="55"/>
        <v>0</v>
      </c>
      <c r="AY70" s="748"/>
      <c r="BA70" s="749">
        <f>SUM(INDEX('Actual-ACPLGZ'!$H$7:$T$207,MATCH($B70,'Actual-ACPLGZ'!$B$7:$B$207,0),MATCH('Actual-ACPLGZ'!H$6,'Actual-ACPLGZ'!$H$6:$T$6,0)):INDEX('Actual-ACPLGZ'!$H$7:$T$207,MATCH($B70,'Actual-ACPLGZ'!$B$7:$B$207,0),MATCH(BA$8,'Actual-ACPLGZ'!$H$6:$T$6,0)))</f>
        <v>0</v>
      </c>
      <c r="BB70" s="749">
        <f>SUM(INDEX('Budget-ACPLGZ'!$K$7:$W$207,MATCH($B70,'Budget-ACPLGZ'!$B$7:$B$207,0),MATCH('Budget-ACPLGZ'!K$6,'Budget-ACPLGZ'!$K$6:$W$6,0)):INDEX('Budget-ACPLGZ'!$K$7:$W$207,MATCH($B70,'Budget-ACPLGZ'!$B$7:$B$207,0),MATCH(BB$8,'Budget-ACPLGZ'!$K$6:$W$6,0)))</f>
        <v>0</v>
      </c>
      <c r="BC70" s="749">
        <f t="shared" ref="BC70:BC83" si="66">BA70-BB70</f>
        <v>0</v>
      </c>
      <c r="BD70" s="748"/>
      <c r="BF70" s="749">
        <f>SUM(INDEX('Actual-ACPLYixing'!$H$7:$T$207,MATCH($B70,'Actual-ACPLYixing'!$B$7:$B$207,0),MATCH('Actual-ACPLYixing'!H$6,'Actual-ACPLYixing'!$H$6:$T$6,0)):INDEX('Actual-ACPLYixing'!$H$7:$T$207,MATCH($B70,'Actual-ACPLYixing'!$B$7:$B$207,0),MATCH(BF$8,'Actual-ACPLYixing'!$H$6:$T$6,0)))</f>
        <v>0</v>
      </c>
      <c r="BG70" s="749">
        <f>SUM(INDEX('Budget-Yixing'!$K$7:$W$207,MATCH($B70,'Budget-Yixing'!$B$7:$B$207,0),MATCH('Budget-Yixing'!K$6,'Budget-Yixing'!$K$6:$W$6,0)):INDEX('Budget-Yixing'!$K$7:$W$207,MATCH($B70,'Budget-Yixing'!$B$7:$B$207,0),MATCH(BG$8,'Budget-Yixing'!$K$6:$W$6,0)))</f>
        <v>0</v>
      </c>
      <c r="BH70" s="749">
        <f t="shared" ref="BH70:BH83" si="67">BF70-BG70</f>
        <v>0</v>
      </c>
      <c r="BI70" s="748"/>
    </row>
    <row r="71" spans="1:61" ht="16.5" customHeight="1">
      <c r="A71" s="653" t="str">
        <f>'Budget-合并'!A69</f>
        <v>6602.05.04</v>
      </c>
      <c r="B71" s="653" t="str">
        <f>'Budget-合并'!B69</f>
        <v>水费</v>
      </c>
      <c r="C71" s="746">
        <f>INDEX('Actual-ACPL'!$H$7:$T$207,MATCH($B71,'Actual-ACPL'!$B$7:$B$207,0),MATCH(C$8,'Actual-ACPL'!$H$6:$T$6,0))</f>
        <v>0</v>
      </c>
      <c r="D71" s="746">
        <f>INDEX('Budget-ACPL'!$K$7:$W$207,MATCH($B71,'Budget-ACPL'!$B$7:$B$207,0),MATCH(D$8,'Budget-ACPL'!$K$6:$W$6,0))</f>
        <v>0</v>
      </c>
      <c r="E71" s="746">
        <f t="shared" si="61"/>
        <v>0</v>
      </c>
      <c r="F71" s="752"/>
      <c r="H71" s="749">
        <f>INDEX('Actual-ACPLHK'!$H$7:$T$207,MATCH($B71,'Actual-ACPLHK'!$B$7:$B$207,0),MATCH(H$8,'Actual-ACPLHK'!$H$6:$T$6,0))</f>
        <v>0</v>
      </c>
      <c r="I71" s="749">
        <f>INDEX('Budget-ACPLHK'!$K$7:$W$207,MATCH($B71,'Budget-ACPLHK'!$B$7:$B$207,0),MATCH(I$8,'Budget-ACPLHK'!$K$6:$W$6,0))</f>
        <v>0</v>
      </c>
      <c r="J71" s="749">
        <f t="shared" si="62"/>
        <v>0</v>
      </c>
      <c r="K71" s="748"/>
      <c r="M71" s="749">
        <f>INDEX('Actual-ACPSZL'!$H$7:$T$207,MATCH($B71,'Actual-ACPSZL'!$B$7:$B$207,0),MATCH(M$8,'Actual-ACPSZL'!$H$6:$T$6,0))</f>
        <v>0</v>
      </c>
      <c r="N71" s="749">
        <f>INDEX('Budget-ACPSZL'!$K$7:$W$207,MATCH($B71,'Budget-ACPSZL'!$B$7:$B$207,0),MATCH(N$8,'Budget-ACPSZL'!$K$6:$W$6,0))</f>
        <v>0</v>
      </c>
      <c r="O71" s="749">
        <f t="shared" si="51"/>
        <v>0</v>
      </c>
      <c r="P71" s="748"/>
      <c r="R71" s="749">
        <f>INDEX('Actual-ACPLSZ'!$H$7:$T$207,MATCH($B71,'Actual-ACPLSZ'!$B$7:$B$207,0),MATCH(R$8,'Actual-ACPLSZ'!$H$6:$T$6,0))</f>
        <v>0</v>
      </c>
      <c r="S71" s="749">
        <f>INDEX('Budget-ACPLSZ'!$K$7:$W$207,MATCH($B71,'Budget-ACPLSZ'!$B$7:$B$207,0),MATCH(S$8,'Budget-ACPLSZ'!$K$6:$W$6,0))</f>
        <v>0</v>
      </c>
      <c r="T71" s="749">
        <f t="shared" si="64"/>
        <v>0</v>
      </c>
      <c r="U71" s="748"/>
      <c r="W71" s="749">
        <f>INDEX('Actual-ACPLGZ'!$H$7:$T$207,MATCH($B71,'Actual-ACPLGZ'!$B$7:$B$207,0),MATCH(W$8,'Actual-ACPLGZ'!$H$6:$T$6,0))</f>
        <v>0</v>
      </c>
      <c r="X71" s="749">
        <f>INDEX('Budget-ACPLGZ'!$K$7:$W$207,MATCH($B71,'Budget-ACPLGZ'!$B$7:$B$207,0),MATCH(X$8,'Budget-ACPLGZ'!$K$6:$W$6,0))</f>
        <v>0</v>
      </c>
      <c r="Y71" s="749">
        <f t="shared" si="52"/>
        <v>0</v>
      </c>
      <c r="Z71" s="748"/>
      <c r="AB71" s="749">
        <f>INDEX('Actual-ACPLGZ'!$H$7:$T$207,MATCH($B71,'Actual-ACPLGZ'!$B$7:$B$207,0),MATCH(AB$8,'Actual-ACPLGZ'!$H$6:$T$6,0))</f>
        <v>0</v>
      </c>
      <c r="AC71" s="749">
        <f>INDEX('Budget-Yixing'!$K$7:$W$207,MATCH($B71,'Budget-Yixing'!$B$7:$B$207,0),MATCH(AC$8,'Budget-Yixing'!$K$6:$W$6,0))</f>
        <v>0</v>
      </c>
      <c r="AD71" s="749">
        <f t="shared" si="65"/>
        <v>0</v>
      </c>
      <c r="AE71" s="748"/>
      <c r="AG71" s="751">
        <f>SUM(INDEX('Actual-ACPL'!$H$7:$T$207,MATCH($B71,'Actual-ACPL'!$B$7:$B$207,0),MATCH('Actual-ACPL'!H$6,'Actual-ACPL'!$H$6:$T$6,0)):INDEX('Actual-ACPL'!$H$7:$T$207,MATCH($B71,'Actual-ACPL'!$B$7:$B$207,0),MATCH(AG$8,'Actual-ACPL'!$H$6:$T$6,0)))</f>
        <v>0</v>
      </c>
      <c r="AH71" s="749">
        <f>SUM(INDEX('Budget-ACPL'!$K$7:$W$207,MATCH($B71,'Budget-ACPL'!$B$7:$B$207,0),MATCH('Budget-ACPL'!K$6,'Budget-ACPL'!$K$6:$W$6,0)):INDEX('Budget-ACPL'!$K$7:$W$207,MATCH($B71,'Budget-ACPL'!$B$7:$B$207,0),MATCH(AH$8,'Budget-ACPL'!$K$6:$W$6,0)))</f>
        <v>0</v>
      </c>
      <c r="AI71" s="749">
        <f t="shared" si="63"/>
        <v>0</v>
      </c>
      <c r="AJ71" s="748"/>
      <c r="AL71" s="749">
        <f>SUM(INDEX('Actual-ACPLHK'!$H$7:$S$207,MATCH($B71,'Actual-ACPLHK'!$B$7:$B$207,0),MATCH('Actual-ACPLHK'!H$6,'Actual-ACPLHK'!$H$6:$T$6,0)):INDEX('Actual-ACPLHK'!$H$7:$S$207,MATCH($B71,'Actual-ACPLHK'!$B$7:$B$207,0),MATCH(AL$8,'Actual-ACPLHK'!$H$6:$T$6,0)))</f>
        <v>0</v>
      </c>
      <c r="AM71" s="749">
        <f>SUM(INDEX('Budget-ACPLHK'!$K$7:$W$207,MATCH($B71,'Budget-ACPLHK'!$B$7:$B$207,0),MATCH('Budget-ACPLHK'!K$6,'Budget-ACPLHK'!$K$6:$W$6,0)):INDEX('Budget-ACPLHK'!$K$7:$W$207,MATCH($B71,'Budget-ACPLHK'!$B$7:$B$207,0),MATCH(AM$8,'Budget-ACPLHK'!$K$6:$W$6,0)))</f>
        <v>0</v>
      </c>
      <c r="AN71" s="749">
        <f t="shared" si="57"/>
        <v>0</v>
      </c>
      <c r="AO71" s="748"/>
      <c r="AQ71" s="749">
        <f>SUM(INDEX('Actual-ACPSZL'!$H$7:$T$207,MATCH($B71,'Actual-ACPSZL'!$B$7:$B$207,0),MATCH('Actual-ACPSZL'!H$6,'Actual-ACPSZL'!$H$6:$T$6,0)):INDEX('Actual-ACPSZL'!$H$7:$T$207,MATCH($B71,'Actual-ACPSZL'!$B$7:$B$207,0),MATCH(AQ$8,'Actual-ACPSZL'!$H$6:$T$6,0)))</f>
        <v>0</v>
      </c>
      <c r="AR71" s="749">
        <f>SUM(INDEX('Budget-ACPSZL'!$K$7:$W$207,MATCH($B71,'Budget-ACPSZL'!$B$7:$B$207,0),MATCH('Budget-ACPSZL'!K$6,'Budget-ACPSZL'!$K$6:$W$6,0)):INDEX('Budget-ACPSZL'!$K$7:$W$207,MATCH($B71,'Budget-ACPSZL'!$B$7:$B$207,0),MATCH(AR$8,'Budget-ACPSZL'!$K$6:$W$6,0)))</f>
        <v>0</v>
      </c>
      <c r="AS71" s="749">
        <f t="shared" si="60"/>
        <v>0</v>
      </c>
      <c r="AT71" s="748"/>
      <c r="AV71" s="749">
        <f>SUM(INDEX('Actual-ACPLSZ'!$H$7:$T$207,MATCH($B71,'Actual-ACPLSZ'!$B$7:$B$207,0),MATCH('Actual-ACPLSZ'!H$6,'Actual-ACPLSZ'!$H$6:$T$6,0)):INDEX('Actual-ACPLSZ'!$H$7:$T$207,MATCH($B71,'Actual-ACPLSZ'!$B$7:$B$207,0),MATCH(AV$8,'Actual-ACPLSZ'!$H$6:$T$6,0)))</f>
        <v>0</v>
      </c>
      <c r="AW71" s="749">
        <f>SUM(INDEX('Budget-ACPLSZ'!$K$7:$W$207,MATCH($B71,'Budget-ACPLSZ'!$B$7:$B$207,0),MATCH('Budget-ACPLSZ'!K$6,'Budget-ACPLSZ'!$K$6:$W$6,0)):INDEX('Budget-ACPLSZ'!$K$7:$W$207,MATCH($B71,'Budget-ACPLSZ'!$B$7:$B$207,0),MATCH(AW$8,'Budget-ACPLSZ'!$K$6:$W$6,0)))</f>
        <v>0</v>
      </c>
      <c r="AX71" s="749">
        <f t="shared" si="55"/>
        <v>0</v>
      </c>
      <c r="AY71" s="748"/>
      <c r="BA71" s="749">
        <f>SUM(INDEX('Actual-ACPLGZ'!$H$7:$T$207,MATCH($B71,'Actual-ACPLGZ'!$B$7:$B$207,0),MATCH('Actual-ACPLGZ'!H$6,'Actual-ACPLGZ'!$H$6:$T$6,0)):INDEX('Actual-ACPLGZ'!$H$7:$T$207,MATCH($B71,'Actual-ACPLGZ'!$B$7:$B$207,0),MATCH(BA$8,'Actual-ACPLGZ'!$H$6:$T$6,0)))</f>
        <v>0</v>
      </c>
      <c r="BB71" s="749">
        <f>SUM(INDEX('Budget-ACPLGZ'!$K$7:$W$207,MATCH($B71,'Budget-ACPLGZ'!$B$7:$B$207,0),MATCH('Budget-ACPLGZ'!K$6,'Budget-ACPLGZ'!$K$6:$W$6,0)):INDEX('Budget-ACPLGZ'!$K$7:$W$207,MATCH($B71,'Budget-ACPLGZ'!$B$7:$B$207,0),MATCH(BB$8,'Budget-ACPLGZ'!$K$6:$W$6,0)))</f>
        <v>0</v>
      </c>
      <c r="BC71" s="749">
        <f t="shared" si="66"/>
        <v>0</v>
      </c>
      <c r="BD71" s="748"/>
      <c r="BF71" s="749">
        <f>SUM(INDEX('Actual-ACPLYixing'!$H$7:$T$207,MATCH($B71,'Actual-ACPLYixing'!$B$7:$B$207,0),MATCH('Actual-ACPLYixing'!H$6,'Actual-ACPLYixing'!$H$6:$T$6,0)):INDEX('Actual-ACPLYixing'!$H$7:$T$207,MATCH($B71,'Actual-ACPLYixing'!$B$7:$B$207,0),MATCH(BF$8,'Actual-ACPLYixing'!$H$6:$T$6,0)))</f>
        <v>0</v>
      </c>
      <c r="BG71" s="749">
        <f>SUM(INDEX('Budget-Yixing'!$K$7:$W$207,MATCH($B71,'Budget-Yixing'!$B$7:$B$207,0),MATCH('Budget-Yixing'!K$6,'Budget-Yixing'!$K$6:$W$6,0)):INDEX('Budget-Yixing'!$K$7:$W$207,MATCH($B71,'Budget-Yixing'!$B$7:$B$207,0),MATCH(BG$8,'Budget-Yixing'!$K$6:$W$6,0)))</f>
        <v>0</v>
      </c>
      <c r="BH71" s="749">
        <f t="shared" si="67"/>
        <v>0</v>
      </c>
      <c r="BI71" s="748"/>
    </row>
    <row r="72" spans="1:61" ht="16.5" customHeight="1">
      <c r="A72" s="653" t="str">
        <f>'Budget-合并'!A70</f>
        <v>6602.05.05</v>
      </c>
      <c r="B72" s="653" t="str">
        <f>'Budget-合并'!B70</f>
        <v>维修费</v>
      </c>
      <c r="C72" s="746">
        <f>INDEX('Actual-ACPL'!$H$7:$T$207,MATCH($B72,'Actual-ACPL'!$B$7:$B$207,0),MATCH(C$8,'Actual-ACPL'!$H$6:$T$6,0))</f>
        <v>0</v>
      </c>
      <c r="D72" s="746">
        <f>INDEX('Budget-ACPL'!$K$7:$W$207,MATCH($B72,'Budget-ACPL'!$B$7:$B$207,0),MATCH(D$8,'Budget-ACPL'!$K$6:$W$6,0))</f>
        <v>0</v>
      </c>
      <c r="E72" s="746">
        <f t="shared" si="61"/>
        <v>0</v>
      </c>
      <c r="F72" s="752"/>
      <c r="H72" s="749">
        <f>INDEX('Actual-ACPLHK'!$H$7:$T$207,MATCH($B72,'Actual-ACPLHK'!$B$7:$B$207,0),MATCH(H$8,'Actual-ACPLHK'!$H$6:$T$6,0))</f>
        <v>0</v>
      </c>
      <c r="I72" s="749">
        <f>INDEX('Budget-ACPLHK'!$K$7:$W$207,MATCH($B72,'Budget-ACPLHK'!$B$7:$B$207,0),MATCH(I$8,'Budget-ACPLHK'!$K$6:$W$6,0))</f>
        <v>2336.2237499999997</v>
      </c>
      <c r="J72" s="749">
        <f t="shared" si="62"/>
        <v>-2336.2237499999997</v>
      </c>
      <c r="K72" s="748"/>
      <c r="M72" s="749">
        <f>INDEX('Actual-ACPSZL'!$H$7:$T$207,MATCH($B72,'Actual-ACPSZL'!$B$7:$B$207,0),MATCH(M$8,'Actual-ACPSZL'!$H$6:$T$6,0))</f>
        <v>0</v>
      </c>
      <c r="N72" s="749">
        <f>INDEX('Budget-ACPSZL'!$K$7:$W$207,MATCH($B72,'Budget-ACPSZL'!$B$7:$B$207,0),MATCH(N$8,'Budget-ACPSZL'!$K$6:$W$6,0))</f>
        <v>0</v>
      </c>
      <c r="O72" s="749">
        <f t="shared" si="51"/>
        <v>0</v>
      </c>
      <c r="P72" s="748"/>
      <c r="R72" s="749">
        <f>INDEX('Actual-ACPLSZ'!$H$7:$T$207,MATCH($B72,'Actual-ACPLSZ'!$B$7:$B$207,0),MATCH(R$8,'Actual-ACPLSZ'!$H$6:$T$6,0))</f>
        <v>0</v>
      </c>
      <c r="S72" s="749">
        <f>INDEX('Budget-ACPLSZ'!$K$7:$W$207,MATCH($B72,'Budget-ACPLSZ'!$B$7:$B$207,0),MATCH(S$8,'Budget-ACPLSZ'!$K$6:$W$6,0))</f>
        <v>0</v>
      </c>
      <c r="T72" s="749">
        <f t="shared" si="64"/>
        <v>0</v>
      </c>
      <c r="U72" s="748"/>
      <c r="W72" s="749">
        <f>INDEX('Actual-ACPLGZ'!$H$7:$T$207,MATCH($B72,'Actual-ACPLGZ'!$B$7:$B$207,0),MATCH(W$8,'Actual-ACPLGZ'!$H$6:$T$6,0))</f>
        <v>0</v>
      </c>
      <c r="X72" s="749">
        <f>INDEX('Budget-ACPLGZ'!$K$7:$W$207,MATCH($B72,'Budget-ACPLGZ'!$B$7:$B$207,0),MATCH(X$8,'Budget-ACPLGZ'!$K$6:$W$6,0))</f>
        <v>0</v>
      </c>
      <c r="Y72" s="749">
        <f t="shared" si="52"/>
        <v>0</v>
      </c>
      <c r="Z72" s="748"/>
      <c r="AB72" s="749">
        <f>INDEX('Actual-ACPLGZ'!$H$7:$T$207,MATCH($B72,'Actual-ACPLGZ'!$B$7:$B$207,0),MATCH(AB$8,'Actual-ACPLGZ'!$H$6:$T$6,0))</f>
        <v>0</v>
      </c>
      <c r="AC72" s="749">
        <f>INDEX('Budget-Yixing'!$K$7:$W$207,MATCH($B72,'Budget-Yixing'!$B$7:$B$207,0),MATCH(AC$8,'Budget-Yixing'!$K$6:$W$6,0))</f>
        <v>0</v>
      </c>
      <c r="AD72" s="749">
        <f t="shared" si="65"/>
        <v>0</v>
      </c>
      <c r="AE72" s="748"/>
      <c r="AG72" s="751">
        <f>SUM(INDEX('Actual-ACPL'!$H$7:$T$207,MATCH($B72,'Actual-ACPL'!$B$7:$B$207,0),MATCH('Actual-ACPL'!H$6,'Actual-ACPL'!$H$6:$T$6,0)):INDEX('Actual-ACPL'!$H$7:$T$207,MATCH($B72,'Actual-ACPL'!$B$7:$B$207,0),MATCH(AG$8,'Actual-ACPL'!$H$6:$T$6,0)))</f>
        <v>0</v>
      </c>
      <c r="AH72" s="749">
        <f>SUM(INDEX('Budget-ACPL'!$K$7:$W$207,MATCH($B72,'Budget-ACPL'!$B$7:$B$207,0),MATCH('Budget-ACPL'!K$6,'Budget-ACPL'!$K$6:$W$6,0)):INDEX('Budget-ACPL'!$K$7:$W$207,MATCH($B72,'Budget-ACPL'!$B$7:$B$207,0),MATCH(AH$8,'Budget-ACPL'!$K$6:$W$6,0)))</f>
        <v>0</v>
      </c>
      <c r="AI72" s="749">
        <f t="shared" si="63"/>
        <v>0</v>
      </c>
      <c r="AJ72" s="748"/>
      <c r="AL72" s="749">
        <f>SUM(INDEX('Actual-ACPLHK'!$H$7:$S$207,MATCH($B72,'Actual-ACPLHK'!$B$7:$B$207,0),MATCH('Actual-ACPLHK'!H$6,'Actual-ACPLHK'!$H$6:$T$6,0)):INDEX('Actual-ACPLHK'!$H$7:$S$207,MATCH($B72,'Actual-ACPLHK'!$B$7:$B$207,0),MATCH(AL$8,'Actual-ACPLHK'!$H$6:$T$6,0)))</f>
        <v>0</v>
      </c>
      <c r="AM72" s="749">
        <f>SUM(INDEX('Budget-ACPLHK'!$K$7:$W$207,MATCH($B72,'Budget-ACPLHK'!$B$7:$B$207,0),MATCH('Budget-ACPLHK'!K$6,'Budget-ACPLHK'!$K$6:$W$6,0)):INDEX('Budget-ACPLHK'!$K$7:$W$207,MATCH($B72,'Budget-ACPLHK'!$B$7:$B$207,0),MATCH(AM$8,'Budget-ACPLHK'!$K$6:$W$6,0)))</f>
        <v>2336.2237499999997</v>
      </c>
      <c r="AN72" s="749">
        <f t="shared" si="57"/>
        <v>-2336.2237499999997</v>
      </c>
      <c r="AO72" s="748"/>
      <c r="AQ72" s="749">
        <f>SUM(INDEX('Actual-ACPSZL'!$H$7:$T$207,MATCH($B72,'Actual-ACPSZL'!$B$7:$B$207,0),MATCH('Actual-ACPSZL'!H$6,'Actual-ACPSZL'!$H$6:$T$6,0)):INDEX('Actual-ACPSZL'!$H$7:$T$207,MATCH($B72,'Actual-ACPSZL'!$B$7:$B$207,0),MATCH(AQ$8,'Actual-ACPSZL'!$H$6:$T$6,0)))</f>
        <v>0</v>
      </c>
      <c r="AR72" s="749">
        <f>SUM(INDEX('Budget-ACPSZL'!$K$7:$W$207,MATCH($B72,'Budget-ACPSZL'!$B$7:$B$207,0),MATCH('Budget-ACPSZL'!K$6,'Budget-ACPSZL'!$K$6:$W$6,0)):INDEX('Budget-ACPSZL'!$K$7:$W$207,MATCH($B72,'Budget-ACPSZL'!$B$7:$B$207,0),MATCH(AR$8,'Budget-ACPSZL'!$K$6:$W$6,0)))</f>
        <v>0</v>
      </c>
      <c r="AS72" s="749">
        <f t="shared" si="60"/>
        <v>0</v>
      </c>
      <c r="AT72" s="748"/>
      <c r="AV72" s="749">
        <f>SUM(INDEX('Actual-ACPLSZ'!$H$7:$T$207,MATCH($B72,'Actual-ACPLSZ'!$B$7:$B$207,0),MATCH('Actual-ACPLSZ'!H$6,'Actual-ACPLSZ'!$H$6:$T$6,0)):INDEX('Actual-ACPLSZ'!$H$7:$T$207,MATCH($B72,'Actual-ACPLSZ'!$B$7:$B$207,0),MATCH(AV$8,'Actual-ACPLSZ'!$H$6:$T$6,0)))</f>
        <v>0</v>
      </c>
      <c r="AW72" s="749">
        <f>SUM(INDEX('Budget-ACPLSZ'!$K$7:$W$207,MATCH($B72,'Budget-ACPLSZ'!$B$7:$B$207,0),MATCH('Budget-ACPLSZ'!K$6,'Budget-ACPLSZ'!$K$6:$W$6,0)):INDEX('Budget-ACPLSZ'!$K$7:$W$207,MATCH($B72,'Budget-ACPLSZ'!$B$7:$B$207,0),MATCH(AW$8,'Budget-ACPLSZ'!$K$6:$W$6,0)))</f>
        <v>0</v>
      </c>
      <c r="AX72" s="749">
        <f t="shared" si="55"/>
        <v>0</v>
      </c>
      <c r="AY72" s="748"/>
      <c r="BA72" s="749">
        <f>SUM(INDEX('Actual-ACPLGZ'!$H$7:$T$207,MATCH($B72,'Actual-ACPLGZ'!$B$7:$B$207,0),MATCH('Actual-ACPLGZ'!H$6,'Actual-ACPLGZ'!$H$6:$T$6,0)):INDEX('Actual-ACPLGZ'!$H$7:$T$207,MATCH($B72,'Actual-ACPLGZ'!$B$7:$B$207,0),MATCH(BA$8,'Actual-ACPLGZ'!$H$6:$T$6,0)))</f>
        <v>0</v>
      </c>
      <c r="BB72" s="749">
        <f>SUM(INDEX('Budget-ACPLGZ'!$K$7:$W$207,MATCH($B72,'Budget-ACPLGZ'!$B$7:$B$207,0),MATCH('Budget-ACPLGZ'!K$6,'Budget-ACPLGZ'!$K$6:$W$6,0)):INDEX('Budget-ACPLGZ'!$K$7:$W$207,MATCH($B72,'Budget-ACPLGZ'!$B$7:$B$207,0),MATCH(BB$8,'Budget-ACPLGZ'!$K$6:$W$6,0)))</f>
        <v>0</v>
      </c>
      <c r="BC72" s="749">
        <f t="shared" si="66"/>
        <v>0</v>
      </c>
      <c r="BD72" s="748"/>
      <c r="BF72" s="749">
        <f>SUM(INDEX('Actual-ACPLYixing'!$H$7:$T$207,MATCH($B72,'Actual-ACPLYixing'!$B$7:$B$207,0),MATCH('Actual-ACPLYixing'!H$6,'Actual-ACPLYixing'!$H$6:$T$6,0)):INDEX('Actual-ACPLYixing'!$H$7:$T$207,MATCH($B72,'Actual-ACPLYixing'!$B$7:$B$207,0),MATCH(BF$8,'Actual-ACPLYixing'!$H$6:$T$6,0)))</f>
        <v>0</v>
      </c>
      <c r="BG72" s="749">
        <f>SUM(INDEX('Budget-Yixing'!$K$7:$W$207,MATCH($B72,'Budget-Yixing'!$B$7:$B$207,0),MATCH('Budget-Yixing'!K$6,'Budget-Yixing'!$K$6:$W$6,0)):INDEX('Budget-Yixing'!$K$7:$W$207,MATCH($B72,'Budget-Yixing'!$B$7:$B$207,0),MATCH(BG$8,'Budget-Yixing'!$K$6:$W$6,0)))</f>
        <v>0</v>
      </c>
      <c r="BH72" s="749">
        <f t="shared" si="67"/>
        <v>0</v>
      </c>
      <c r="BI72" s="748"/>
    </row>
    <row r="73" spans="1:61" ht="16.5" customHeight="1">
      <c r="A73" s="653" t="str">
        <f>'Budget-合并'!A71</f>
        <v>6602.05.06</v>
      </c>
      <c r="B73" s="653" t="str">
        <f>'Budget-合并'!B71</f>
        <v>装修费</v>
      </c>
      <c r="C73" s="746">
        <f>INDEX('Actual-ACPL'!$H$7:$T$207,MATCH($B73,'Actual-ACPL'!$B$7:$B$207,0),MATCH(C$8,'Actual-ACPL'!$H$6:$T$6,0))</f>
        <v>0</v>
      </c>
      <c r="D73" s="746">
        <f>INDEX('Budget-ACPL'!$K$7:$W$207,MATCH($B73,'Budget-ACPL'!$B$7:$B$207,0),MATCH(D$8,'Budget-ACPL'!$K$6:$W$6,0))</f>
        <v>0</v>
      </c>
      <c r="E73" s="746">
        <f t="shared" si="61"/>
        <v>0</v>
      </c>
      <c r="F73" s="752"/>
      <c r="H73" s="749">
        <f>INDEX('Actual-ACPLHK'!$H$7:$T$207,MATCH($B73,'Actual-ACPLHK'!$B$7:$B$207,0),MATCH(H$8,'Actual-ACPLHK'!$H$6:$T$6,0))</f>
        <v>0</v>
      </c>
      <c r="I73" s="749">
        <f>INDEX('Budget-ACPLHK'!$K$7:$W$207,MATCH($B73,'Budget-ACPLHK'!$B$7:$B$207,0),MATCH(I$8,'Budget-ACPLHK'!$K$6:$W$6,0))</f>
        <v>0</v>
      </c>
      <c r="J73" s="749">
        <f t="shared" si="62"/>
        <v>0</v>
      </c>
      <c r="K73" s="748"/>
      <c r="M73" s="749">
        <f>INDEX('Actual-ACPSZL'!$H$7:$T$207,MATCH($B73,'Actual-ACPSZL'!$B$7:$B$207,0),MATCH(M$8,'Actual-ACPSZL'!$H$6:$T$6,0))</f>
        <v>0</v>
      </c>
      <c r="N73" s="749">
        <f>INDEX('Budget-ACPSZL'!$K$7:$W$207,MATCH($B73,'Budget-ACPSZL'!$B$7:$B$207,0),MATCH(N$8,'Budget-ACPSZL'!$K$6:$W$6,0))</f>
        <v>0</v>
      </c>
      <c r="O73" s="749">
        <f t="shared" si="51"/>
        <v>0</v>
      </c>
      <c r="P73" s="748"/>
      <c r="R73" s="749">
        <f>INDEX('Actual-ACPLSZ'!$H$7:$T$207,MATCH($B73,'Actual-ACPLSZ'!$B$7:$B$207,0),MATCH(R$8,'Actual-ACPLSZ'!$H$6:$T$6,0))</f>
        <v>0</v>
      </c>
      <c r="S73" s="749">
        <f>INDEX('Budget-ACPLSZ'!$K$7:$W$207,MATCH($B73,'Budget-ACPLSZ'!$B$7:$B$207,0),MATCH(S$8,'Budget-ACPLSZ'!$K$6:$W$6,0))</f>
        <v>0</v>
      </c>
      <c r="T73" s="749">
        <f t="shared" si="64"/>
        <v>0</v>
      </c>
      <c r="U73" s="748"/>
      <c r="W73" s="749">
        <f>INDEX('Actual-ACPLGZ'!$H$7:$T$207,MATCH($B73,'Actual-ACPLGZ'!$B$7:$B$207,0),MATCH(W$8,'Actual-ACPLGZ'!$H$6:$T$6,0))</f>
        <v>0</v>
      </c>
      <c r="X73" s="749">
        <f>INDEX('Budget-ACPLGZ'!$K$7:$W$207,MATCH($B73,'Budget-ACPLGZ'!$B$7:$B$207,0),MATCH(X$8,'Budget-ACPLGZ'!$K$6:$W$6,0))</f>
        <v>0</v>
      </c>
      <c r="Y73" s="749">
        <f t="shared" si="52"/>
        <v>0</v>
      </c>
      <c r="Z73" s="748"/>
      <c r="AB73" s="749">
        <f>INDEX('Actual-ACPLGZ'!$H$7:$T$207,MATCH($B73,'Actual-ACPLGZ'!$B$7:$B$207,0),MATCH(AB$8,'Actual-ACPLGZ'!$H$6:$T$6,0))</f>
        <v>0</v>
      </c>
      <c r="AC73" s="749">
        <f>INDEX('Budget-Yixing'!$K$7:$W$207,MATCH($B73,'Budget-Yixing'!$B$7:$B$207,0),MATCH(AC$8,'Budget-Yixing'!$K$6:$W$6,0))</f>
        <v>0</v>
      </c>
      <c r="AD73" s="749">
        <f t="shared" si="65"/>
        <v>0</v>
      </c>
      <c r="AE73" s="748"/>
      <c r="AG73" s="751">
        <f>SUM(INDEX('Actual-ACPL'!$H$7:$T$207,MATCH($B73,'Actual-ACPL'!$B$7:$B$207,0),MATCH('Actual-ACPL'!H$6,'Actual-ACPL'!$H$6:$T$6,0)):INDEX('Actual-ACPL'!$H$7:$T$207,MATCH($B73,'Actual-ACPL'!$B$7:$B$207,0),MATCH(AG$8,'Actual-ACPL'!$H$6:$T$6,0)))</f>
        <v>0</v>
      </c>
      <c r="AH73" s="749">
        <f>SUM(INDEX('Budget-ACPL'!$K$7:$W$207,MATCH($B73,'Budget-ACPL'!$B$7:$B$207,0),MATCH('Budget-ACPL'!K$6,'Budget-ACPL'!$K$6:$W$6,0)):INDEX('Budget-ACPL'!$K$7:$W$207,MATCH($B73,'Budget-ACPL'!$B$7:$B$207,0),MATCH(AH$8,'Budget-ACPL'!$K$6:$W$6,0)))</f>
        <v>0</v>
      </c>
      <c r="AI73" s="749">
        <f t="shared" ref="AI73:AI88" si="68">AG73-AH73</f>
        <v>0</v>
      </c>
      <c r="AJ73" s="748"/>
      <c r="AL73" s="749">
        <f>SUM(INDEX('Actual-ACPLHK'!$H$7:$S$207,MATCH($B73,'Actual-ACPLHK'!$B$7:$B$207,0),MATCH('Actual-ACPLHK'!H$6,'Actual-ACPLHK'!$H$6:$T$6,0)):INDEX('Actual-ACPLHK'!$H$7:$S$207,MATCH($B73,'Actual-ACPLHK'!$B$7:$B$207,0),MATCH(AL$8,'Actual-ACPLHK'!$H$6:$T$6,0)))</f>
        <v>0</v>
      </c>
      <c r="AM73" s="749">
        <f>SUM(INDEX('Budget-ACPLHK'!$K$7:$W$207,MATCH($B73,'Budget-ACPLHK'!$B$7:$B$207,0),MATCH('Budget-ACPLHK'!K$6,'Budget-ACPLHK'!$K$6:$W$6,0)):INDEX('Budget-ACPLHK'!$K$7:$W$207,MATCH($B73,'Budget-ACPLHK'!$B$7:$B$207,0),MATCH(AM$8,'Budget-ACPLHK'!$K$6:$W$6,0)))</f>
        <v>0</v>
      </c>
      <c r="AN73" s="749">
        <f t="shared" si="57"/>
        <v>0</v>
      </c>
      <c r="AO73" s="748"/>
      <c r="AQ73" s="749">
        <f>SUM(INDEX('Actual-ACPSZL'!$H$7:$T$207,MATCH($B73,'Actual-ACPSZL'!$B$7:$B$207,0),MATCH('Actual-ACPSZL'!H$6,'Actual-ACPSZL'!$H$6:$T$6,0)):INDEX('Actual-ACPSZL'!$H$7:$T$207,MATCH($B73,'Actual-ACPSZL'!$B$7:$B$207,0),MATCH(AQ$8,'Actual-ACPSZL'!$H$6:$T$6,0)))</f>
        <v>0</v>
      </c>
      <c r="AR73" s="749">
        <f>SUM(INDEX('Budget-ACPSZL'!$K$7:$W$207,MATCH($B73,'Budget-ACPSZL'!$B$7:$B$207,0),MATCH('Budget-ACPSZL'!K$6,'Budget-ACPSZL'!$K$6:$W$6,0)):INDEX('Budget-ACPSZL'!$K$7:$W$207,MATCH($B73,'Budget-ACPSZL'!$B$7:$B$207,0),MATCH(AR$8,'Budget-ACPSZL'!$K$6:$W$6,0)))</f>
        <v>0</v>
      </c>
      <c r="AS73" s="749">
        <f t="shared" si="60"/>
        <v>0</v>
      </c>
      <c r="AT73" s="748"/>
      <c r="AV73" s="749">
        <f>SUM(INDEX('Actual-ACPLSZ'!$H$7:$T$207,MATCH($B73,'Actual-ACPLSZ'!$B$7:$B$207,0),MATCH('Actual-ACPLSZ'!H$6,'Actual-ACPLSZ'!$H$6:$T$6,0)):INDEX('Actual-ACPLSZ'!$H$7:$T$207,MATCH($B73,'Actual-ACPLSZ'!$B$7:$B$207,0),MATCH(AV$8,'Actual-ACPLSZ'!$H$6:$T$6,0)))</f>
        <v>0</v>
      </c>
      <c r="AW73" s="749">
        <f>SUM(INDEX('Budget-ACPLSZ'!$K$7:$W$207,MATCH($B73,'Budget-ACPLSZ'!$B$7:$B$207,0),MATCH('Budget-ACPLSZ'!K$6,'Budget-ACPLSZ'!$K$6:$W$6,0)):INDEX('Budget-ACPLSZ'!$K$7:$W$207,MATCH($B73,'Budget-ACPLSZ'!$B$7:$B$207,0),MATCH(AW$8,'Budget-ACPLSZ'!$K$6:$W$6,0)))</f>
        <v>0</v>
      </c>
      <c r="AX73" s="749">
        <f t="shared" si="55"/>
        <v>0</v>
      </c>
      <c r="AY73" s="748"/>
      <c r="BA73" s="749">
        <f>SUM(INDEX('Actual-ACPLGZ'!$H$7:$T$207,MATCH($B73,'Actual-ACPLGZ'!$B$7:$B$207,0),MATCH('Actual-ACPLGZ'!H$6,'Actual-ACPLGZ'!$H$6:$T$6,0)):INDEX('Actual-ACPLGZ'!$H$7:$T$207,MATCH($B73,'Actual-ACPLGZ'!$B$7:$B$207,0),MATCH(BA$8,'Actual-ACPLGZ'!$H$6:$T$6,0)))</f>
        <v>0</v>
      </c>
      <c r="BB73" s="749">
        <f>SUM(INDEX('Budget-ACPLGZ'!$K$7:$W$207,MATCH($B73,'Budget-ACPLGZ'!$B$7:$B$207,0),MATCH('Budget-ACPLGZ'!K$6,'Budget-ACPLGZ'!$K$6:$W$6,0)):INDEX('Budget-ACPLGZ'!$K$7:$W$207,MATCH($B73,'Budget-ACPLGZ'!$B$7:$B$207,0),MATCH(BB$8,'Budget-ACPLGZ'!$K$6:$W$6,0)))</f>
        <v>0</v>
      </c>
      <c r="BC73" s="749">
        <f t="shared" si="66"/>
        <v>0</v>
      </c>
      <c r="BD73" s="748"/>
      <c r="BF73" s="749">
        <f>SUM(INDEX('Actual-ACPLYixing'!$H$7:$T$207,MATCH($B73,'Actual-ACPLYixing'!$B$7:$B$207,0),MATCH('Actual-ACPLYixing'!H$6,'Actual-ACPLYixing'!$H$6:$T$6,0)):INDEX('Actual-ACPLYixing'!$H$7:$T$207,MATCH($B73,'Actual-ACPLYixing'!$B$7:$B$207,0),MATCH(BF$8,'Actual-ACPLYixing'!$H$6:$T$6,0)))</f>
        <v>0</v>
      </c>
      <c r="BG73" s="749">
        <f>SUM(INDEX('Budget-Yixing'!$K$7:$W$207,MATCH($B73,'Budget-Yixing'!$B$7:$B$207,0),MATCH('Budget-Yixing'!K$6,'Budget-Yixing'!$K$6:$W$6,0)):INDEX('Budget-Yixing'!$K$7:$W$207,MATCH($B73,'Budget-Yixing'!$B$7:$B$207,0),MATCH(BG$8,'Budget-Yixing'!$K$6:$W$6,0)))</f>
        <v>0</v>
      </c>
      <c r="BH73" s="749">
        <f t="shared" si="67"/>
        <v>0</v>
      </c>
      <c r="BI73" s="748"/>
    </row>
    <row r="74" spans="1:61" ht="16.5" customHeight="1">
      <c r="A74" s="653" t="str">
        <f>'Budget-合并'!A72</f>
        <v>6602.05.07</v>
      </c>
      <c r="B74" s="653" t="str">
        <f>'Budget-合并'!B72</f>
        <v>租金及物业费</v>
      </c>
      <c r="C74" s="746">
        <f>INDEX('Actual-ACPL'!$H$7:$T$207,MATCH($B74,'Actual-ACPL'!$B$7:$B$207,0),MATCH(C$8,'Actual-ACPL'!$H$6:$T$6,0))</f>
        <v>0</v>
      </c>
      <c r="D74" s="746">
        <f>INDEX('Budget-ACPL'!$K$7:$W$207,MATCH($B74,'Budget-ACPL'!$B$7:$B$207,0),MATCH(D$8,'Budget-ACPL'!$K$6:$W$6,0))</f>
        <v>0</v>
      </c>
      <c r="E74" s="746">
        <f t="shared" si="61"/>
        <v>0</v>
      </c>
      <c r="F74" s="752"/>
      <c r="H74" s="749">
        <f>INDEX('Actual-ACPLHK'!$H$7:$T$207,MATCH($B74,'Actual-ACPLHK'!$B$7:$B$207,0),MATCH(H$8,'Actual-ACPLHK'!$H$6:$T$6,0))</f>
        <v>0</v>
      </c>
      <c r="I74" s="749">
        <f>INDEX('Budget-ACPLHK'!$K$7:$W$207,MATCH($B74,'Budget-ACPLHK'!$B$7:$B$207,0),MATCH(I$8,'Budget-ACPLHK'!$K$6:$W$6,0))</f>
        <v>0</v>
      </c>
      <c r="J74" s="749">
        <f t="shared" si="62"/>
        <v>0</v>
      </c>
      <c r="K74" s="748"/>
      <c r="M74" s="749">
        <f>INDEX('Actual-ACPSZL'!$H$7:$T$207,MATCH($B74,'Actual-ACPSZL'!$B$7:$B$207,0),MATCH(M$8,'Actual-ACPSZL'!$H$6:$T$6,0))</f>
        <v>0</v>
      </c>
      <c r="N74" s="749">
        <f>INDEX('Budget-ACPSZL'!$K$7:$W$207,MATCH($B74,'Budget-ACPSZL'!$B$7:$B$207,0),MATCH(N$8,'Budget-ACPSZL'!$K$6:$W$6,0))</f>
        <v>0</v>
      </c>
      <c r="O74" s="749">
        <f t="shared" si="51"/>
        <v>0</v>
      </c>
      <c r="P74" s="748"/>
      <c r="R74" s="749">
        <f>INDEX('Actual-ACPLSZ'!$H$7:$T$207,MATCH($B74,'Actual-ACPLSZ'!$B$7:$B$207,0),MATCH(R$8,'Actual-ACPLSZ'!$H$6:$T$6,0))</f>
        <v>0</v>
      </c>
      <c r="S74" s="749">
        <f>INDEX('Budget-ACPLSZ'!$K$7:$W$207,MATCH($B74,'Budget-ACPLSZ'!$B$7:$B$207,0),MATCH(S$8,'Budget-ACPLSZ'!$K$6:$W$6,0))</f>
        <v>0</v>
      </c>
      <c r="T74" s="749">
        <f t="shared" si="64"/>
        <v>0</v>
      </c>
      <c r="U74" s="748"/>
      <c r="W74" s="749">
        <f>INDEX('Actual-ACPLGZ'!$H$7:$T$207,MATCH($B74,'Actual-ACPLGZ'!$B$7:$B$207,0),MATCH(W$8,'Actual-ACPLGZ'!$H$6:$T$6,0))</f>
        <v>0</v>
      </c>
      <c r="X74" s="749">
        <f>INDEX('Budget-ACPLGZ'!$K$7:$W$207,MATCH($B74,'Budget-ACPLGZ'!$B$7:$B$207,0),MATCH(X$8,'Budget-ACPLGZ'!$K$6:$W$6,0))</f>
        <v>0</v>
      </c>
      <c r="Y74" s="749">
        <f t="shared" si="52"/>
        <v>0</v>
      </c>
      <c r="Z74" s="748"/>
      <c r="AB74" s="749">
        <f>INDEX('Actual-ACPLGZ'!$H$7:$T$207,MATCH($B74,'Actual-ACPLGZ'!$B$7:$B$207,0),MATCH(AB$8,'Actual-ACPLGZ'!$H$6:$T$6,0))</f>
        <v>0</v>
      </c>
      <c r="AC74" s="749">
        <f>INDEX('Budget-Yixing'!$K$7:$W$207,MATCH($B74,'Budget-Yixing'!$B$7:$B$207,0),MATCH(AC$8,'Budget-Yixing'!$K$6:$W$6,0))</f>
        <v>0</v>
      </c>
      <c r="AD74" s="749">
        <f t="shared" si="65"/>
        <v>0</v>
      </c>
      <c r="AE74" s="748"/>
      <c r="AG74" s="751">
        <f>SUM(INDEX('Actual-ACPL'!$H$7:$T$207,MATCH($B74,'Actual-ACPL'!$B$7:$B$207,0),MATCH('Actual-ACPL'!H$6,'Actual-ACPL'!$H$6:$T$6,0)):INDEX('Actual-ACPL'!$H$7:$T$207,MATCH($B74,'Actual-ACPL'!$B$7:$B$207,0),MATCH(AG$8,'Actual-ACPL'!$H$6:$T$6,0)))</f>
        <v>0</v>
      </c>
      <c r="AH74" s="749">
        <f>SUM(INDEX('Budget-ACPL'!$K$7:$W$207,MATCH($B74,'Budget-ACPL'!$B$7:$B$207,0),MATCH('Budget-ACPL'!K$6,'Budget-ACPL'!$K$6:$W$6,0)):INDEX('Budget-ACPL'!$K$7:$W$207,MATCH($B74,'Budget-ACPL'!$B$7:$B$207,0),MATCH(AH$8,'Budget-ACPL'!$K$6:$W$6,0)))</f>
        <v>0</v>
      </c>
      <c r="AI74" s="749">
        <f t="shared" si="68"/>
        <v>0</v>
      </c>
      <c r="AJ74" s="748"/>
      <c r="AL74" s="749">
        <f>SUM(INDEX('Actual-ACPLHK'!$H$7:$S$207,MATCH($B74,'Actual-ACPLHK'!$B$7:$B$207,0),MATCH('Actual-ACPLHK'!H$6,'Actual-ACPLHK'!$H$6:$T$6,0)):INDEX('Actual-ACPLHK'!$H$7:$S$207,MATCH($B74,'Actual-ACPLHK'!$B$7:$B$207,0),MATCH(AL$8,'Actual-ACPLHK'!$H$6:$T$6,0)))</f>
        <v>0</v>
      </c>
      <c r="AM74" s="749">
        <f>SUM(INDEX('Budget-ACPLHK'!$K$7:$W$207,MATCH($B74,'Budget-ACPLHK'!$B$7:$B$207,0),MATCH('Budget-ACPLHK'!K$6,'Budget-ACPLHK'!$K$6:$W$6,0)):INDEX('Budget-ACPLHK'!$K$7:$W$207,MATCH($B74,'Budget-ACPLHK'!$B$7:$B$207,0),MATCH(AM$8,'Budget-ACPLHK'!$K$6:$W$6,0)))</f>
        <v>0</v>
      </c>
      <c r="AN74" s="749">
        <f t="shared" si="57"/>
        <v>0</v>
      </c>
      <c r="AO74" s="748"/>
      <c r="AQ74" s="749">
        <f>SUM(INDEX('Actual-ACPSZL'!$H$7:$T$207,MATCH($B74,'Actual-ACPSZL'!$B$7:$B$207,0),MATCH('Actual-ACPSZL'!H$6,'Actual-ACPSZL'!$H$6:$T$6,0)):INDEX('Actual-ACPSZL'!$H$7:$T$207,MATCH($B74,'Actual-ACPSZL'!$B$7:$B$207,0),MATCH(AQ$8,'Actual-ACPSZL'!$H$6:$T$6,0)))</f>
        <v>0</v>
      </c>
      <c r="AR74" s="749">
        <f>SUM(INDEX('Budget-ACPSZL'!$K$7:$W$207,MATCH($B74,'Budget-ACPSZL'!$B$7:$B$207,0),MATCH('Budget-ACPSZL'!K$6,'Budget-ACPSZL'!$K$6:$W$6,0)):INDEX('Budget-ACPSZL'!$K$7:$W$207,MATCH($B74,'Budget-ACPSZL'!$B$7:$B$207,0),MATCH(AR$8,'Budget-ACPSZL'!$K$6:$W$6,0)))</f>
        <v>0</v>
      </c>
      <c r="AS74" s="749">
        <f t="shared" si="60"/>
        <v>0</v>
      </c>
      <c r="AT74" s="748"/>
      <c r="AV74" s="749">
        <f>SUM(INDEX('Actual-ACPLSZ'!$H$7:$T$207,MATCH($B74,'Actual-ACPLSZ'!$B$7:$B$207,0),MATCH('Actual-ACPLSZ'!H$6,'Actual-ACPLSZ'!$H$6:$T$6,0)):INDEX('Actual-ACPLSZ'!$H$7:$T$207,MATCH($B74,'Actual-ACPLSZ'!$B$7:$B$207,0),MATCH(AV$8,'Actual-ACPLSZ'!$H$6:$T$6,0)))</f>
        <v>0</v>
      </c>
      <c r="AW74" s="749">
        <f>SUM(INDEX('Budget-ACPLSZ'!$K$7:$W$207,MATCH($B74,'Budget-ACPLSZ'!$B$7:$B$207,0),MATCH('Budget-ACPLSZ'!K$6,'Budget-ACPLSZ'!$K$6:$W$6,0)):INDEX('Budget-ACPLSZ'!$K$7:$W$207,MATCH($B74,'Budget-ACPLSZ'!$B$7:$B$207,0),MATCH(AW$8,'Budget-ACPLSZ'!$K$6:$W$6,0)))</f>
        <v>0</v>
      </c>
      <c r="AX74" s="749">
        <f t="shared" si="55"/>
        <v>0</v>
      </c>
      <c r="AY74" s="748"/>
      <c r="BA74" s="749">
        <f>SUM(INDEX('Actual-ACPLGZ'!$H$7:$T$207,MATCH($B74,'Actual-ACPLGZ'!$B$7:$B$207,0),MATCH('Actual-ACPLGZ'!H$6,'Actual-ACPLGZ'!$H$6:$T$6,0)):INDEX('Actual-ACPLGZ'!$H$7:$T$207,MATCH($B74,'Actual-ACPLGZ'!$B$7:$B$207,0),MATCH(BA$8,'Actual-ACPLGZ'!$H$6:$T$6,0)))</f>
        <v>0</v>
      </c>
      <c r="BB74" s="749">
        <f>SUM(INDEX('Budget-ACPLGZ'!$K$7:$W$207,MATCH($B74,'Budget-ACPLGZ'!$B$7:$B$207,0),MATCH('Budget-ACPLGZ'!K$6,'Budget-ACPLGZ'!$K$6:$W$6,0)):INDEX('Budget-ACPLGZ'!$K$7:$W$207,MATCH($B74,'Budget-ACPLGZ'!$B$7:$B$207,0),MATCH(BB$8,'Budget-ACPLGZ'!$K$6:$W$6,0)))</f>
        <v>0</v>
      </c>
      <c r="BC74" s="749">
        <f t="shared" si="66"/>
        <v>0</v>
      </c>
      <c r="BD74" s="748"/>
      <c r="BF74" s="749">
        <f>SUM(INDEX('Actual-ACPLYixing'!$H$7:$T$207,MATCH($B74,'Actual-ACPLYixing'!$B$7:$B$207,0),MATCH('Actual-ACPLYixing'!H$6,'Actual-ACPLYixing'!$H$6:$T$6,0)):INDEX('Actual-ACPLYixing'!$H$7:$T$207,MATCH($B74,'Actual-ACPLYixing'!$B$7:$B$207,0),MATCH(BF$8,'Actual-ACPLYixing'!$H$6:$T$6,0)))</f>
        <v>0</v>
      </c>
      <c r="BG74" s="749">
        <f>SUM(INDEX('Budget-Yixing'!$K$7:$W$207,MATCH($B74,'Budget-Yixing'!$B$7:$B$207,0),MATCH('Budget-Yixing'!K$6,'Budget-Yixing'!$K$6:$W$6,0)):INDEX('Budget-Yixing'!$K$7:$W$207,MATCH($B74,'Budget-Yixing'!$B$7:$B$207,0),MATCH(BG$8,'Budget-Yixing'!$K$6:$W$6,0)))</f>
        <v>0</v>
      </c>
      <c r="BH74" s="749">
        <f t="shared" si="67"/>
        <v>0</v>
      </c>
      <c r="BI74" s="748"/>
    </row>
    <row r="75" spans="1:61" ht="16.5" customHeight="1">
      <c r="A75" s="653" t="str">
        <f>'Budget-合并'!A73</f>
        <v>6602.05.08</v>
      </c>
      <c r="B75" s="653" t="str">
        <f>'Budget-合并'!B73</f>
        <v>集团内分摊</v>
      </c>
      <c r="C75" s="746">
        <f>INDEX('Actual-ACPL'!$H$7:$T$207,MATCH($B75,'Actual-ACPL'!$B$7:$B$207,0),MATCH(C$8,'Actual-ACPL'!$H$6:$T$6,0))</f>
        <v>0</v>
      </c>
      <c r="D75" s="746">
        <f>INDEX('Budget-ACPL'!$K$7:$W$207,MATCH($B75,'Budget-ACPL'!$B$7:$B$207,0),MATCH(D$8,'Budget-ACPL'!$K$6:$W$6,0))</f>
        <v>0</v>
      </c>
      <c r="E75" s="746">
        <f t="shared" si="61"/>
        <v>0</v>
      </c>
      <c r="F75" s="752"/>
      <c r="H75" s="749">
        <f>INDEX('Actual-ACPLHK'!$H$7:$T$207,MATCH($B75,'Actual-ACPLHK'!$B$7:$B$207,0),MATCH(H$8,'Actual-ACPLHK'!$H$6:$T$6,0))</f>
        <v>0</v>
      </c>
      <c r="I75" s="749">
        <f>INDEX('Budget-ACPLHK'!$K$7:$W$207,MATCH($B75,'Budget-ACPLHK'!$B$7:$B$207,0),MATCH(I$8,'Budget-ACPLHK'!$K$6:$W$6,0))</f>
        <v>0</v>
      </c>
      <c r="J75" s="749">
        <f t="shared" si="62"/>
        <v>0</v>
      </c>
      <c r="K75" s="748"/>
      <c r="M75" s="749">
        <f>INDEX('Actual-ACPSZL'!$H$7:$T$207,MATCH($B75,'Actual-ACPSZL'!$B$7:$B$207,0),MATCH(M$8,'Actual-ACPSZL'!$H$6:$T$6,0))</f>
        <v>0</v>
      </c>
      <c r="N75" s="749">
        <f>INDEX('Budget-ACPSZL'!$K$7:$W$207,MATCH($B75,'Budget-ACPSZL'!$B$7:$B$207,0),MATCH(N$8,'Budget-ACPSZL'!$K$6:$W$6,0))</f>
        <v>0</v>
      </c>
      <c r="O75" s="749">
        <f t="shared" si="51"/>
        <v>0</v>
      </c>
      <c r="P75" s="748"/>
      <c r="R75" s="749">
        <f>INDEX('Actual-ACPLSZ'!$H$7:$T$207,MATCH($B75,'Actual-ACPLSZ'!$B$7:$B$207,0),MATCH(R$8,'Actual-ACPLSZ'!$H$6:$T$6,0))</f>
        <v>0</v>
      </c>
      <c r="S75" s="749">
        <f>INDEX('Budget-ACPLSZ'!$K$7:$W$207,MATCH($B75,'Budget-ACPLSZ'!$B$7:$B$207,0),MATCH(S$8,'Budget-ACPLSZ'!$K$6:$W$6,0))</f>
        <v>0</v>
      </c>
      <c r="T75" s="749">
        <f t="shared" si="64"/>
        <v>0</v>
      </c>
      <c r="U75" s="748"/>
      <c r="W75" s="749">
        <f>INDEX('Actual-ACPLGZ'!$H$7:$T$207,MATCH($B75,'Actual-ACPLGZ'!$B$7:$B$207,0),MATCH(W$8,'Actual-ACPLGZ'!$H$6:$T$6,0))</f>
        <v>0</v>
      </c>
      <c r="X75" s="749">
        <f>INDEX('Budget-ACPLGZ'!$K$7:$W$207,MATCH($B75,'Budget-ACPLGZ'!$B$7:$B$207,0),MATCH(X$8,'Budget-ACPLGZ'!$K$6:$W$6,0))</f>
        <v>0</v>
      </c>
      <c r="Y75" s="749">
        <f t="shared" si="52"/>
        <v>0</v>
      </c>
      <c r="Z75" s="748"/>
      <c r="AB75" s="749">
        <f>INDEX('Actual-ACPLGZ'!$H$7:$T$207,MATCH($B75,'Actual-ACPLGZ'!$B$7:$B$207,0),MATCH(AB$8,'Actual-ACPLGZ'!$H$6:$T$6,0))</f>
        <v>0</v>
      </c>
      <c r="AC75" s="749">
        <f>INDEX('Budget-Yixing'!$K$7:$W$207,MATCH($B75,'Budget-Yixing'!$B$7:$B$207,0),MATCH(AC$8,'Budget-Yixing'!$K$6:$W$6,0))</f>
        <v>0</v>
      </c>
      <c r="AD75" s="749">
        <f t="shared" si="65"/>
        <v>0</v>
      </c>
      <c r="AE75" s="748"/>
      <c r="AG75" s="751">
        <f>SUM(INDEX('Actual-ACPL'!$H$7:$T$207,MATCH($B75,'Actual-ACPL'!$B$7:$B$207,0),MATCH('Actual-ACPL'!H$6,'Actual-ACPL'!$H$6:$T$6,0)):INDEX('Actual-ACPL'!$H$7:$T$207,MATCH($B75,'Actual-ACPL'!$B$7:$B$207,0),MATCH(AG$8,'Actual-ACPL'!$H$6:$T$6,0)))</f>
        <v>0</v>
      </c>
      <c r="AH75" s="749">
        <f>SUM(INDEX('Budget-ACPL'!$K$7:$W$207,MATCH($B75,'Budget-ACPL'!$B$7:$B$207,0),MATCH('Budget-ACPL'!K$6,'Budget-ACPL'!$K$6:$W$6,0)):INDEX('Budget-ACPL'!$K$7:$W$207,MATCH($B75,'Budget-ACPL'!$B$7:$B$207,0),MATCH(AH$8,'Budget-ACPL'!$K$6:$W$6,0)))</f>
        <v>0</v>
      </c>
      <c r="AI75" s="749">
        <f t="shared" si="68"/>
        <v>0</v>
      </c>
      <c r="AJ75" s="748"/>
      <c r="AL75" s="749">
        <f>SUM(INDEX('Actual-ACPLHK'!$H$7:$S$207,MATCH($B75,'Actual-ACPLHK'!$B$7:$B$207,0),MATCH('Actual-ACPLHK'!H$6,'Actual-ACPLHK'!$H$6:$T$6,0)):INDEX('Actual-ACPLHK'!$H$7:$S$207,MATCH($B75,'Actual-ACPLHK'!$B$7:$B$207,0),MATCH(AL$8,'Actual-ACPLHK'!$H$6:$T$6,0)))</f>
        <v>0</v>
      </c>
      <c r="AM75" s="749">
        <f>SUM(INDEX('Budget-ACPLHK'!$K$7:$W$207,MATCH($B75,'Budget-ACPLHK'!$B$7:$B$207,0),MATCH('Budget-ACPLHK'!K$6,'Budget-ACPLHK'!$K$6:$W$6,0)):INDEX('Budget-ACPLHK'!$K$7:$W$207,MATCH($B75,'Budget-ACPLHK'!$B$7:$B$207,0),MATCH(AM$8,'Budget-ACPLHK'!$K$6:$W$6,0)))</f>
        <v>0</v>
      </c>
      <c r="AN75" s="749">
        <f t="shared" si="57"/>
        <v>0</v>
      </c>
      <c r="AO75" s="748"/>
      <c r="AQ75" s="749">
        <f>SUM(INDEX('Actual-ACPSZL'!$H$7:$T$207,MATCH($B75,'Actual-ACPSZL'!$B$7:$B$207,0),MATCH('Actual-ACPSZL'!H$6,'Actual-ACPSZL'!$H$6:$T$6,0)):INDEX('Actual-ACPSZL'!$H$7:$T$207,MATCH($B75,'Actual-ACPSZL'!$B$7:$B$207,0),MATCH(AQ$8,'Actual-ACPSZL'!$H$6:$T$6,0)))</f>
        <v>0</v>
      </c>
      <c r="AR75" s="749">
        <f>SUM(INDEX('Budget-ACPSZL'!$K$7:$W$207,MATCH($B75,'Budget-ACPSZL'!$B$7:$B$207,0),MATCH('Budget-ACPSZL'!K$6,'Budget-ACPSZL'!$K$6:$W$6,0)):INDEX('Budget-ACPSZL'!$K$7:$W$207,MATCH($B75,'Budget-ACPSZL'!$B$7:$B$207,0),MATCH(AR$8,'Budget-ACPSZL'!$K$6:$W$6,0)))</f>
        <v>0</v>
      </c>
      <c r="AS75" s="749">
        <f t="shared" ref="AS75:AS106" si="69">AQ75-AR75</f>
        <v>0</v>
      </c>
      <c r="AT75" s="748"/>
      <c r="AV75" s="749">
        <f>SUM(INDEX('Actual-ACPLSZ'!$H$7:$T$207,MATCH($B75,'Actual-ACPLSZ'!$B$7:$B$207,0),MATCH('Actual-ACPLSZ'!H$6,'Actual-ACPLSZ'!$H$6:$T$6,0)):INDEX('Actual-ACPLSZ'!$H$7:$T$207,MATCH($B75,'Actual-ACPLSZ'!$B$7:$B$207,0),MATCH(AV$8,'Actual-ACPLSZ'!$H$6:$T$6,0)))</f>
        <v>0</v>
      </c>
      <c r="AW75" s="749">
        <f>SUM(INDEX('Budget-ACPLSZ'!$K$7:$W$207,MATCH($B75,'Budget-ACPLSZ'!$B$7:$B$207,0),MATCH('Budget-ACPLSZ'!K$6,'Budget-ACPLSZ'!$K$6:$W$6,0)):INDEX('Budget-ACPLSZ'!$K$7:$W$207,MATCH($B75,'Budget-ACPLSZ'!$B$7:$B$207,0),MATCH(AW$8,'Budget-ACPLSZ'!$K$6:$W$6,0)))</f>
        <v>0</v>
      </c>
      <c r="AX75" s="749">
        <f t="shared" si="55"/>
        <v>0</v>
      </c>
      <c r="AY75" s="748"/>
      <c r="BA75" s="749">
        <f>SUM(INDEX('Actual-ACPLGZ'!$H$7:$T$207,MATCH($B75,'Actual-ACPLGZ'!$B$7:$B$207,0),MATCH('Actual-ACPLGZ'!H$6,'Actual-ACPLGZ'!$H$6:$T$6,0)):INDEX('Actual-ACPLGZ'!$H$7:$T$207,MATCH($B75,'Actual-ACPLGZ'!$B$7:$B$207,0),MATCH(BA$8,'Actual-ACPLGZ'!$H$6:$T$6,0)))</f>
        <v>0</v>
      </c>
      <c r="BB75" s="749">
        <f>SUM(INDEX('Budget-ACPLGZ'!$K$7:$W$207,MATCH($B75,'Budget-ACPLGZ'!$B$7:$B$207,0),MATCH('Budget-ACPLGZ'!K$6,'Budget-ACPLGZ'!$K$6:$W$6,0)):INDEX('Budget-ACPLGZ'!$K$7:$W$207,MATCH($B75,'Budget-ACPLGZ'!$B$7:$B$207,0),MATCH(BB$8,'Budget-ACPLGZ'!$K$6:$W$6,0)))</f>
        <v>0</v>
      </c>
      <c r="BC75" s="749">
        <f t="shared" si="66"/>
        <v>0</v>
      </c>
      <c r="BD75" s="748"/>
      <c r="BF75" s="749">
        <f>SUM(INDEX('Actual-ACPLYixing'!$H$7:$T$207,MATCH($B75,'Actual-ACPLYixing'!$B$7:$B$207,0),MATCH('Actual-ACPLYixing'!H$6,'Actual-ACPLYixing'!$H$6:$T$6,0)):INDEX('Actual-ACPLYixing'!$H$7:$T$207,MATCH($B75,'Actual-ACPLYixing'!$B$7:$B$207,0),MATCH(BF$8,'Actual-ACPLYixing'!$H$6:$T$6,0)))</f>
        <v>0</v>
      </c>
      <c r="BG75" s="749">
        <f>SUM(INDEX('Budget-Yixing'!$K$7:$W$207,MATCH($B75,'Budget-Yixing'!$B$7:$B$207,0),MATCH('Budget-Yixing'!K$6,'Budget-Yixing'!$K$6:$W$6,0)):INDEX('Budget-Yixing'!$K$7:$W$207,MATCH($B75,'Budget-Yixing'!$B$7:$B$207,0),MATCH(BG$8,'Budget-Yixing'!$K$6:$W$6,0)))</f>
        <v>0</v>
      </c>
      <c r="BH75" s="749">
        <f t="shared" si="67"/>
        <v>0</v>
      </c>
      <c r="BI75" s="748"/>
    </row>
    <row r="76" spans="1:61" ht="16.5" customHeight="1">
      <c r="A76" s="653" t="str">
        <f>'Budget-合并'!A74</f>
        <v>6602.05.99</v>
      </c>
      <c r="B76" s="653" t="str">
        <f>'Budget-合并'!B74</f>
        <v>其他</v>
      </c>
      <c r="C76" s="746">
        <f>INDEX('Actual-ACPL'!$H$7:$T$207,MATCH($B76,'Actual-ACPL'!$B$7:$B$207,0),MATCH(C$8,'Actual-ACPL'!$H$6:$T$6,0))</f>
        <v>0</v>
      </c>
      <c r="D76" s="746">
        <f>INDEX('Budget-ACPL'!$K$7:$W$207,MATCH($B76,'Budget-ACPL'!$B$7:$B$207,0),MATCH(D$8,'Budget-ACPL'!$K$6:$W$6,0))</f>
        <v>0</v>
      </c>
      <c r="E76" s="746">
        <f t="shared" si="61"/>
        <v>0</v>
      </c>
      <c r="F76" s="752"/>
      <c r="H76" s="749">
        <f>INDEX('Actual-ACPLHK'!$H$7:$T$207,MATCH($B76,'Actual-ACPLHK'!$B$7:$B$207,0),MATCH(H$8,'Actual-ACPLHK'!$H$6:$T$6,0))</f>
        <v>0</v>
      </c>
      <c r="I76" s="749">
        <f>INDEX('Budget-ACPLHK'!$K$7:$W$207,MATCH($B76,'Budget-ACPLHK'!$B$7:$B$207,0),MATCH(I$8,'Budget-ACPLHK'!$K$6:$W$6,0))</f>
        <v>0</v>
      </c>
      <c r="J76" s="749">
        <f t="shared" si="62"/>
        <v>0</v>
      </c>
      <c r="K76" s="748"/>
      <c r="M76" s="749">
        <f>INDEX('Actual-ACPSZL'!$H$7:$T$207,MATCH($B76,'Actual-ACPSZL'!$B$7:$B$207,0),MATCH(M$8,'Actual-ACPSZL'!$H$6:$T$6,0))</f>
        <v>0</v>
      </c>
      <c r="N76" s="749">
        <f>INDEX('Budget-ACPSZL'!$K$7:$W$207,MATCH($B76,'Budget-ACPSZL'!$B$7:$B$207,0),MATCH(N$8,'Budget-ACPSZL'!$K$6:$W$6,0))</f>
        <v>0</v>
      </c>
      <c r="O76" s="749">
        <f t="shared" ref="O76:O107" si="70">M76-N76</f>
        <v>0</v>
      </c>
      <c r="P76" s="748"/>
      <c r="R76" s="749">
        <f>INDEX('Actual-ACPLSZ'!$H$7:$T$207,MATCH($B76,'Actual-ACPLSZ'!$B$7:$B$207,0),MATCH(R$8,'Actual-ACPLSZ'!$H$6:$T$6,0))</f>
        <v>0</v>
      </c>
      <c r="S76" s="749">
        <f>INDEX('Budget-ACPLSZ'!$K$7:$W$207,MATCH($B76,'Budget-ACPLSZ'!$B$7:$B$207,0),MATCH(S$8,'Budget-ACPLSZ'!$K$6:$W$6,0))</f>
        <v>0</v>
      </c>
      <c r="T76" s="749">
        <f t="shared" si="64"/>
        <v>0</v>
      </c>
      <c r="U76" s="748"/>
      <c r="W76" s="749">
        <f>INDEX('Actual-ACPLGZ'!$H$7:$T$207,MATCH($B76,'Actual-ACPLGZ'!$B$7:$B$207,0),MATCH(W$8,'Actual-ACPLGZ'!$H$6:$T$6,0))</f>
        <v>0</v>
      </c>
      <c r="X76" s="749">
        <f>INDEX('Budget-ACPLGZ'!$K$7:$W$207,MATCH($B76,'Budget-ACPLGZ'!$B$7:$B$207,0),MATCH(X$8,'Budget-ACPLGZ'!$K$6:$W$6,0))</f>
        <v>0</v>
      </c>
      <c r="Y76" s="749">
        <f t="shared" ref="Y76:Y107" si="71">W76-X76</f>
        <v>0</v>
      </c>
      <c r="Z76" s="748"/>
      <c r="AB76" s="749">
        <f>INDEX('Actual-ACPLGZ'!$H$7:$T$207,MATCH($B76,'Actual-ACPLGZ'!$B$7:$B$207,0),MATCH(AB$8,'Actual-ACPLGZ'!$H$6:$T$6,0))</f>
        <v>0</v>
      </c>
      <c r="AC76" s="749">
        <f>INDEX('Budget-Yixing'!$K$7:$W$207,MATCH($B76,'Budget-Yixing'!$B$7:$B$207,0),MATCH(AC$8,'Budget-Yixing'!$K$6:$W$6,0))</f>
        <v>0</v>
      </c>
      <c r="AD76" s="749">
        <f t="shared" si="65"/>
        <v>0</v>
      </c>
      <c r="AE76" s="748"/>
      <c r="AG76" s="751">
        <f>SUM(INDEX('Actual-ACPL'!$H$7:$T$207,MATCH($B76,'Actual-ACPL'!$B$7:$B$207,0),MATCH('Actual-ACPL'!H$6,'Actual-ACPL'!$H$6:$T$6,0)):INDEX('Actual-ACPL'!$H$7:$T$207,MATCH($B76,'Actual-ACPL'!$B$7:$B$207,0),MATCH(AG$8,'Actual-ACPL'!$H$6:$T$6,0)))</f>
        <v>0</v>
      </c>
      <c r="AH76" s="749">
        <f>SUM(INDEX('Budget-ACPL'!$K$7:$W$207,MATCH($B76,'Budget-ACPL'!$B$7:$B$207,0),MATCH('Budget-ACPL'!K$6,'Budget-ACPL'!$K$6:$W$6,0)):INDEX('Budget-ACPL'!$K$7:$W$207,MATCH($B76,'Budget-ACPL'!$B$7:$B$207,0),MATCH(AH$8,'Budget-ACPL'!$K$6:$W$6,0)))</f>
        <v>0</v>
      </c>
      <c r="AI76" s="749">
        <f t="shared" si="68"/>
        <v>0</v>
      </c>
      <c r="AJ76" s="748"/>
      <c r="AL76" s="749">
        <f>SUM(INDEX('Actual-ACPLHK'!$H$7:$S$207,MATCH($B76,'Actual-ACPLHK'!$B$7:$B$207,0),MATCH('Actual-ACPLHK'!H$6,'Actual-ACPLHK'!$H$6:$T$6,0)):INDEX('Actual-ACPLHK'!$H$7:$S$207,MATCH($B76,'Actual-ACPLHK'!$B$7:$B$207,0),MATCH(AL$8,'Actual-ACPLHK'!$H$6:$T$6,0)))</f>
        <v>0</v>
      </c>
      <c r="AM76" s="749">
        <f>SUM(INDEX('Budget-ACPLHK'!$K$7:$W$207,MATCH($B76,'Budget-ACPLHK'!$B$7:$B$207,0),MATCH('Budget-ACPLHK'!K$6,'Budget-ACPLHK'!$K$6:$W$6,0)):INDEX('Budget-ACPLHK'!$K$7:$W$207,MATCH($B76,'Budget-ACPLHK'!$B$7:$B$207,0),MATCH(AM$8,'Budget-ACPLHK'!$K$6:$W$6,0)))</f>
        <v>0</v>
      </c>
      <c r="AN76" s="749">
        <f t="shared" si="57"/>
        <v>0</v>
      </c>
      <c r="AO76" s="748"/>
      <c r="AQ76" s="749">
        <f>SUM(INDEX('Actual-ACPSZL'!$H$7:$T$207,MATCH($B76,'Actual-ACPSZL'!$B$7:$B$207,0),MATCH('Actual-ACPSZL'!H$6,'Actual-ACPSZL'!$H$6:$T$6,0)):INDEX('Actual-ACPSZL'!$H$7:$T$207,MATCH($B76,'Actual-ACPSZL'!$B$7:$B$207,0),MATCH(AQ$8,'Actual-ACPSZL'!$H$6:$T$6,0)))</f>
        <v>0</v>
      </c>
      <c r="AR76" s="749">
        <f>SUM(INDEX('Budget-ACPSZL'!$K$7:$W$207,MATCH($B76,'Budget-ACPSZL'!$B$7:$B$207,0),MATCH('Budget-ACPSZL'!K$6,'Budget-ACPSZL'!$K$6:$W$6,0)):INDEX('Budget-ACPSZL'!$K$7:$W$207,MATCH($B76,'Budget-ACPSZL'!$B$7:$B$207,0),MATCH(AR$8,'Budget-ACPSZL'!$K$6:$W$6,0)))</f>
        <v>0</v>
      </c>
      <c r="AS76" s="749">
        <f t="shared" si="69"/>
        <v>0</v>
      </c>
      <c r="AT76" s="748"/>
      <c r="AV76" s="749">
        <f>SUM(INDEX('Actual-ACPLSZ'!$H$7:$T$207,MATCH($B76,'Actual-ACPLSZ'!$B$7:$B$207,0),MATCH('Actual-ACPLSZ'!H$6,'Actual-ACPLSZ'!$H$6:$T$6,0)):INDEX('Actual-ACPLSZ'!$H$7:$T$207,MATCH($B76,'Actual-ACPLSZ'!$B$7:$B$207,0),MATCH(AV$8,'Actual-ACPLSZ'!$H$6:$T$6,0)))</f>
        <v>0</v>
      </c>
      <c r="AW76" s="749">
        <f>SUM(INDEX('Budget-ACPLSZ'!$K$7:$W$207,MATCH($B76,'Budget-ACPLSZ'!$B$7:$B$207,0),MATCH('Budget-ACPLSZ'!K$6,'Budget-ACPLSZ'!$K$6:$W$6,0)):INDEX('Budget-ACPLSZ'!$K$7:$W$207,MATCH($B76,'Budget-ACPLSZ'!$B$7:$B$207,0),MATCH(AW$8,'Budget-ACPLSZ'!$K$6:$W$6,0)))</f>
        <v>0</v>
      </c>
      <c r="AX76" s="749">
        <f t="shared" ref="AX76:AX107" si="72">AV76-AW76</f>
        <v>0</v>
      </c>
      <c r="AY76" s="748"/>
      <c r="BA76" s="749">
        <f>SUM(INDEX('Actual-ACPLGZ'!$H$7:$T$207,MATCH($B76,'Actual-ACPLGZ'!$B$7:$B$207,0),MATCH('Actual-ACPLGZ'!H$6,'Actual-ACPLGZ'!$H$6:$T$6,0)):INDEX('Actual-ACPLGZ'!$H$7:$T$207,MATCH($B76,'Actual-ACPLGZ'!$B$7:$B$207,0),MATCH(BA$8,'Actual-ACPLGZ'!$H$6:$T$6,0)))</f>
        <v>0</v>
      </c>
      <c r="BB76" s="749">
        <f>SUM(INDEX('Budget-ACPLGZ'!$K$7:$W$207,MATCH($B76,'Budget-ACPLGZ'!$B$7:$B$207,0),MATCH('Budget-ACPLGZ'!K$6,'Budget-ACPLGZ'!$K$6:$W$6,0)):INDEX('Budget-ACPLGZ'!$K$7:$W$207,MATCH($B76,'Budget-ACPLGZ'!$B$7:$B$207,0),MATCH(BB$8,'Budget-ACPLGZ'!$K$6:$W$6,0)))</f>
        <v>0</v>
      </c>
      <c r="BC76" s="749">
        <f t="shared" si="66"/>
        <v>0</v>
      </c>
      <c r="BD76" s="748"/>
      <c r="BF76" s="749">
        <f>SUM(INDEX('Actual-ACPLYixing'!$H$7:$T$207,MATCH($B76,'Actual-ACPLYixing'!$B$7:$B$207,0),MATCH('Actual-ACPLYixing'!H$6,'Actual-ACPLYixing'!$H$6:$T$6,0)):INDEX('Actual-ACPLYixing'!$H$7:$T$207,MATCH($B76,'Actual-ACPLYixing'!$B$7:$B$207,0),MATCH(BF$8,'Actual-ACPLYixing'!$H$6:$T$6,0)))</f>
        <v>0</v>
      </c>
      <c r="BG76" s="749">
        <f>SUM(INDEX('Budget-Yixing'!$K$7:$W$207,MATCH($B76,'Budget-Yixing'!$B$7:$B$207,0),MATCH('Budget-Yixing'!K$6,'Budget-Yixing'!$K$6:$W$6,0)):INDEX('Budget-Yixing'!$K$7:$W$207,MATCH($B76,'Budget-Yixing'!$B$7:$B$207,0),MATCH(BG$8,'Budget-Yixing'!$K$6:$W$6,0)))</f>
        <v>0</v>
      </c>
      <c r="BH76" s="749">
        <f t="shared" si="67"/>
        <v>0</v>
      </c>
      <c r="BI76" s="748"/>
    </row>
    <row r="77" spans="1:61" ht="16.5" customHeight="1">
      <c r="A77" s="653" t="str">
        <f>'Budget-合并'!A75</f>
        <v>6602.06</v>
      </c>
      <c r="B77" s="653" t="str">
        <f>'Budget-合并'!B75</f>
        <v>业务招待费</v>
      </c>
      <c r="C77" s="746">
        <f>INDEX('Actual-ACPL'!$H$7:$T$207,MATCH($B77,'Actual-ACPL'!$B$7:$B$207,0),MATCH(C$8,'Actual-ACPL'!$H$6:$T$6,0))</f>
        <v>0</v>
      </c>
      <c r="D77" s="746">
        <f>INDEX('Budget-ACPL'!$K$7:$W$207,MATCH($B77,'Budget-ACPL'!$B$7:$B$207,0),MATCH(D$8,'Budget-ACPL'!$K$6:$W$6,0))</f>
        <v>2224.9749999999999</v>
      </c>
      <c r="E77" s="746">
        <f t="shared" si="61"/>
        <v>-2224.9749999999999</v>
      </c>
      <c r="F77" s="752"/>
      <c r="H77" s="749">
        <f>INDEX('Actual-ACPLHK'!$H$7:$T$207,MATCH($B77,'Actual-ACPLHK'!$B$7:$B$207,0),MATCH(H$8,'Actual-ACPLHK'!$H$6:$T$6,0))</f>
        <v>0</v>
      </c>
      <c r="I77" s="749">
        <f>INDEX('Budget-ACPLHK'!$K$7:$W$207,MATCH($B77,'Budget-ACPLHK'!$B$7:$B$207,0),MATCH(I$8,'Budget-ACPLHK'!$K$6:$W$6,0))</f>
        <v>0</v>
      </c>
      <c r="J77" s="749">
        <f t="shared" si="62"/>
        <v>0</v>
      </c>
      <c r="K77" s="748"/>
      <c r="M77" s="749">
        <f>INDEX('Actual-ACPSZL'!$H$7:$T$207,MATCH($B77,'Actual-ACPSZL'!$B$7:$B$207,0),MATCH(M$8,'Actual-ACPSZL'!$H$6:$T$6,0))</f>
        <v>0</v>
      </c>
      <c r="N77" s="749">
        <f>INDEX('Budget-ACPSZL'!$K$7:$W$207,MATCH($B77,'Budget-ACPSZL'!$B$7:$B$207,0),MATCH(N$8,'Budget-ACPSZL'!$K$6:$W$6,0))</f>
        <v>3333.3333333333335</v>
      </c>
      <c r="O77" s="749">
        <f t="shared" si="70"/>
        <v>-3333.3333333333335</v>
      </c>
      <c r="P77" s="748"/>
      <c r="R77" s="749">
        <f>INDEX('Actual-ACPLSZ'!$H$7:$T$207,MATCH($B77,'Actual-ACPLSZ'!$B$7:$B$207,0),MATCH(R$8,'Actual-ACPLSZ'!$H$6:$T$6,0))</f>
        <v>0</v>
      </c>
      <c r="S77" s="749">
        <f>INDEX('Budget-ACPLSZ'!$K$7:$W$207,MATCH($B77,'Budget-ACPLSZ'!$B$7:$B$207,0),MATCH(S$8,'Budget-ACPLSZ'!$K$6:$W$6,0))</f>
        <v>8333.3333333333339</v>
      </c>
      <c r="T77" s="749">
        <f t="shared" si="64"/>
        <v>8333.3333333333339</v>
      </c>
      <c r="U77" s="748"/>
      <c r="W77" s="749">
        <f>INDEX('Actual-ACPLGZ'!$H$7:$T$207,MATCH($B77,'Actual-ACPLGZ'!$B$7:$B$207,0),MATCH(W$8,'Actual-ACPLGZ'!$H$6:$T$6,0))</f>
        <v>0</v>
      </c>
      <c r="X77" s="749">
        <f>INDEX('Budget-ACPLGZ'!$K$7:$W$207,MATCH($B77,'Budget-ACPLGZ'!$B$7:$B$207,0),MATCH(X$8,'Budget-ACPLGZ'!$K$6:$W$6,0))</f>
        <v>0</v>
      </c>
      <c r="Y77" s="749">
        <f t="shared" si="71"/>
        <v>0</v>
      </c>
      <c r="Z77" s="748"/>
      <c r="AB77" s="749">
        <f>INDEX('Actual-ACPLGZ'!$H$7:$T$207,MATCH($B77,'Actual-ACPLGZ'!$B$7:$B$207,0),MATCH(AB$8,'Actual-ACPLGZ'!$H$6:$T$6,0))</f>
        <v>0</v>
      </c>
      <c r="AC77" s="749">
        <f>INDEX('Budget-Yixing'!$K$7:$W$207,MATCH($B77,'Budget-Yixing'!$B$7:$B$207,0),MATCH(AC$8,'Budget-Yixing'!$K$6:$W$6,0))</f>
        <v>0</v>
      </c>
      <c r="AD77" s="749">
        <f t="shared" si="65"/>
        <v>0</v>
      </c>
      <c r="AE77" s="748"/>
      <c r="AG77" s="751">
        <f>SUM(INDEX('Actual-ACPL'!$H$7:$T$207,MATCH($B77,'Actual-ACPL'!$B$7:$B$207,0),MATCH('Actual-ACPL'!H$6,'Actual-ACPL'!$H$6:$T$6,0)):INDEX('Actual-ACPL'!$H$7:$T$207,MATCH($B77,'Actual-ACPL'!$B$7:$B$207,0),MATCH(AG$8,'Actual-ACPL'!$H$6:$T$6,0)))</f>
        <v>0</v>
      </c>
      <c r="AH77" s="749">
        <f>SUM(INDEX('Budget-ACPL'!$K$7:$W$207,MATCH($B77,'Budget-ACPL'!$B$7:$B$207,0),MATCH('Budget-ACPL'!K$6,'Budget-ACPL'!$K$6:$W$6,0)):INDEX('Budget-ACPL'!$K$7:$W$207,MATCH($B77,'Budget-ACPL'!$B$7:$B$207,0),MATCH(AH$8,'Budget-ACPL'!$K$6:$W$6,0)))</f>
        <v>2224.9749999999999</v>
      </c>
      <c r="AI77" s="749">
        <f t="shared" si="68"/>
        <v>-2224.9749999999999</v>
      </c>
      <c r="AJ77" s="748"/>
      <c r="AL77" s="749">
        <f>SUM(INDEX('Actual-ACPLHK'!$H$7:$S$207,MATCH($B77,'Actual-ACPLHK'!$B$7:$B$207,0),MATCH('Actual-ACPLHK'!H$6,'Actual-ACPLHK'!$H$6:$T$6,0)):INDEX('Actual-ACPLHK'!$H$7:$S$207,MATCH($B77,'Actual-ACPLHK'!$B$7:$B$207,0),MATCH(AL$8,'Actual-ACPLHK'!$H$6:$T$6,0)))</f>
        <v>0</v>
      </c>
      <c r="AM77" s="749">
        <f>SUM(INDEX('Budget-ACPLHK'!$K$7:$W$207,MATCH($B77,'Budget-ACPLHK'!$B$7:$B$207,0),MATCH('Budget-ACPLHK'!K$6,'Budget-ACPLHK'!$K$6:$W$6,0)):INDEX('Budget-ACPLHK'!$K$7:$W$207,MATCH($B77,'Budget-ACPLHK'!$B$7:$B$207,0),MATCH(AM$8,'Budget-ACPLHK'!$K$6:$W$6,0)))</f>
        <v>0</v>
      </c>
      <c r="AN77" s="749">
        <f t="shared" ref="AN77:AN90" si="73">AL77-AM77</f>
        <v>0</v>
      </c>
      <c r="AO77" s="748"/>
      <c r="AQ77" s="749">
        <f>SUM(INDEX('Actual-ACPSZL'!$H$7:$T$207,MATCH($B77,'Actual-ACPSZL'!$B$7:$B$207,0),MATCH('Actual-ACPSZL'!H$6,'Actual-ACPSZL'!$H$6:$T$6,0)):INDEX('Actual-ACPSZL'!$H$7:$T$207,MATCH($B77,'Actual-ACPSZL'!$B$7:$B$207,0),MATCH(AQ$8,'Actual-ACPSZL'!$H$6:$T$6,0)))</f>
        <v>0</v>
      </c>
      <c r="AR77" s="749">
        <f>SUM(INDEX('Budget-ACPSZL'!$K$7:$W$207,MATCH($B77,'Budget-ACPSZL'!$B$7:$B$207,0),MATCH('Budget-ACPSZL'!K$6,'Budget-ACPSZL'!$K$6:$W$6,0)):INDEX('Budget-ACPSZL'!$K$7:$W$207,MATCH($B77,'Budget-ACPSZL'!$B$7:$B$207,0),MATCH(AR$8,'Budget-ACPSZL'!$K$6:$W$6,0)))</f>
        <v>3333.3333333333335</v>
      </c>
      <c r="AS77" s="749">
        <f t="shared" si="69"/>
        <v>-3333.3333333333335</v>
      </c>
      <c r="AT77" s="748"/>
      <c r="AV77" s="749">
        <f>SUM(INDEX('Actual-ACPLSZ'!$H$7:$T$207,MATCH($B77,'Actual-ACPLSZ'!$B$7:$B$207,0),MATCH('Actual-ACPLSZ'!H$6,'Actual-ACPLSZ'!$H$6:$T$6,0)):INDEX('Actual-ACPLSZ'!$H$7:$T$207,MATCH($B77,'Actual-ACPLSZ'!$B$7:$B$207,0),MATCH(AV$8,'Actual-ACPLSZ'!$H$6:$T$6,0)))</f>
        <v>0</v>
      </c>
      <c r="AW77" s="749">
        <f>SUM(INDEX('Budget-ACPLSZ'!$K$7:$W$207,MATCH($B77,'Budget-ACPLSZ'!$B$7:$B$207,0),MATCH('Budget-ACPLSZ'!K$6,'Budget-ACPLSZ'!$K$6:$W$6,0)):INDEX('Budget-ACPLSZ'!$K$7:$W$207,MATCH($B77,'Budget-ACPLSZ'!$B$7:$B$207,0),MATCH(AW$8,'Budget-ACPLSZ'!$K$6:$W$6,0)))</f>
        <v>8333.3333333333339</v>
      </c>
      <c r="AX77" s="749">
        <f t="shared" si="72"/>
        <v>-8333.3333333333339</v>
      </c>
      <c r="AY77" s="748"/>
      <c r="BA77" s="749">
        <f>SUM(INDEX('Actual-ACPLGZ'!$H$7:$T$207,MATCH($B77,'Actual-ACPLGZ'!$B$7:$B$207,0),MATCH('Actual-ACPLGZ'!H$6,'Actual-ACPLGZ'!$H$6:$T$6,0)):INDEX('Actual-ACPLGZ'!$H$7:$T$207,MATCH($B77,'Actual-ACPLGZ'!$B$7:$B$207,0),MATCH(BA$8,'Actual-ACPLGZ'!$H$6:$T$6,0)))</f>
        <v>0</v>
      </c>
      <c r="BB77" s="749">
        <f>SUM(INDEX('Budget-ACPLGZ'!$K$7:$W$207,MATCH($B77,'Budget-ACPLGZ'!$B$7:$B$207,0),MATCH('Budget-ACPLGZ'!K$6,'Budget-ACPLGZ'!$K$6:$W$6,0)):INDEX('Budget-ACPLGZ'!$K$7:$W$207,MATCH($B77,'Budget-ACPLGZ'!$B$7:$B$207,0),MATCH(BB$8,'Budget-ACPLGZ'!$K$6:$W$6,0)))</f>
        <v>0</v>
      </c>
      <c r="BC77" s="749">
        <f t="shared" si="66"/>
        <v>0</v>
      </c>
      <c r="BD77" s="748"/>
      <c r="BF77" s="749">
        <f>SUM(INDEX('Actual-ACPLYixing'!$H$7:$T$207,MATCH($B77,'Actual-ACPLYixing'!$B$7:$B$207,0),MATCH('Actual-ACPLYixing'!H$6,'Actual-ACPLYixing'!$H$6:$T$6,0)):INDEX('Actual-ACPLYixing'!$H$7:$T$207,MATCH($B77,'Actual-ACPLYixing'!$B$7:$B$207,0),MATCH(BF$8,'Actual-ACPLYixing'!$H$6:$T$6,0)))</f>
        <v>0</v>
      </c>
      <c r="BG77" s="749">
        <f>SUM(INDEX('Budget-Yixing'!$K$7:$W$207,MATCH($B77,'Budget-Yixing'!$B$7:$B$207,0),MATCH('Budget-Yixing'!K$6,'Budget-Yixing'!$K$6:$W$6,0)):INDEX('Budget-Yixing'!$K$7:$W$207,MATCH($B77,'Budget-Yixing'!$B$7:$B$207,0),MATCH(BG$8,'Budget-Yixing'!$K$6:$W$6,0)))</f>
        <v>0</v>
      </c>
      <c r="BH77" s="749">
        <f t="shared" si="67"/>
        <v>0</v>
      </c>
      <c r="BI77" s="748"/>
    </row>
    <row r="78" spans="1:61" ht="16.5" customHeight="1">
      <c r="A78" s="653">
        <f>'Budget-合并'!A76</f>
        <v>0</v>
      </c>
      <c r="B78" s="653" t="str">
        <f>'Budget-合并'!B76</f>
        <v xml:space="preserve">    公司主体02</v>
      </c>
      <c r="C78" s="746">
        <f>INDEX('Actual-ACPL'!$H$7:$T$207,MATCH($B78,'Actual-ACPL'!$B$7:$B$207,0),MATCH(C$8,'Actual-ACPL'!$H$6:$T$6,0))</f>
        <v>0</v>
      </c>
      <c r="D78" s="746">
        <f>INDEX('Budget-ACPL'!$K$7:$W$207,MATCH($B78,'Budget-ACPL'!$B$7:$B$207,0),MATCH(D$8,'Budget-ACPL'!$K$6:$W$6,0))</f>
        <v>0</v>
      </c>
      <c r="E78" s="746">
        <f t="shared" si="61"/>
        <v>0</v>
      </c>
      <c r="F78" s="752"/>
      <c r="H78" s="749">
        <f>INDEX('Actual-ACPLHK'!$H$7:$T$207,MATCH($B78,'Actual-ACPLHK'!$B$7:$B$207,0),MATCH(H$8,'Actual-ACPLHK'!$H$6:$T$6,0))</f>
        <v>0</v>
      </c>
      <c r="I78" s="749">
        <f>INDEX('Budget-ACPLHK'!$K$7:$W$207,MATCH($B78,'Budget-ACPLHK'!$B$7:$B$207,0),MATCH(I$8,'Budget-ACPLHK'!$K$6:$W$6,0))</f>
        <v>0</v>
      </c>
      <c r="J78" s="749">
        <f t="shared" si="62"/>
        <v>0</v>
      </c>
      <c r="K78" s="748"/>
      <c r="M78" s="749">
        <f>INDEX('Actual-ACPSZL'!$H$7:$T$207,MATCH($B78,'Actual-ACPSZL'!$B$7:$B$207,0),MATCH(M$8,'Actual-ACPSZL'!$H$6:$T$6,0))</f>
        <v>0</v>
      </c>
      <c r="N78" s="749">
        <f>INDEX('Budget-ACPSZL'!$K$7:$W$207,MATCH($B78,'Budget-ACPSZL'!$B$7:$B$207,0),MATCH(N$8,'Budget-ACPSZL'!$K$6:$W$6,0))</f>
        <v>0</v>
      </c>
      <c r="O78" s="749">
        <f t="shared" si="70"/>
        <v>0</v>
      </c>
      <c r="P78" s="748"/>
      <c r="R78" s="749">
        <f>INDEX('Actual-ACPLSZ'!$H$7:$T$207,MATCH($B78,'Actual-ACPLSZ'!$B$7:$B$207,0),MATCH(R$8,'Actual-ACPLSZ'!$H$6:$T$6,0))</f>
        <v>0</v>
      </c>
      <c r="S78" s="749">
        <f>INDEX('Budget-ACPLSZ'!$K$7:$W$207,MATCH($B78,'Budget-ACPLSZ'!$B$7:$B$207,0),MATCH(S$8,'Budget-ACPLSZ'!$K$6:$W$6,0))</f>
        <v>0</v>
      </c>
      <c r="T78" s="749">
        <f t="shared" si="64"/>
        <v>0</v>
      </c>
      <c r="U78" s="748"/>
      <c r="W78" s="749">
        <f>INDEX('Actual-ACPLGZ'!$H$7:$T$207,MATCH($B78,'Actual-ACPLGZ'!$B$7:$B$207,0),MATCH(W$8,'Actual-ACPLGZ'!$H$6:$T$6,0))</f>
        <v>0</v>
      </c>
      <c r="X78" s="749">
        <f>INDEX('Budget-ACPLGZ'!$K$7:$W$207,MATCH($B78,'Budget-ACPLGZ'!$B$7:$B$207,0),MATCH(X$8,'Budget-ACPLGZ'!$K$6:$W$6,0))</f>
        <v>0</v>
      </c>
      <c r="Y78" s="749">
        <f t="shared" si="71"/>
        <v>0</v>
      </c>
      <c r="Z78" s="748"/>
      <c r="AB78" s="749">
        <f>INDEX('Actual-ACPLGZ'!$H$7:$T$207,MATCH($B78,'Actual-ACPLGZ'!$B$7:$B$207,0),MATCH(AB$8,'Actual-ACPLGZ'!$H$6:$T$6,0))</f>
        <v>0</v>
      </c>
      <c r="AC78" s="749">
        <f>INDEX('Budget-Yixing'!$K$7:$W$207,MATCH($B78,'Budget-Yixing'!$B$7:$B$207,0),MATCH(AC$8,'Budget-Yixing'!$K$6:$W$6,0))</f>
        <v>0</v>
      </c>
      <c r="AD78" s="749">
        <f t="shared" si="65"/>
        <v>0</v>
      </c>
      <c r="AE78" s="748"/>
      <c r="AG78" s="751">
        <f>SUM(INDEX('Actual-ACPL'!$H$7:$T$207,MATCH($B78,'Actual-ACPL'!$B$7:$B$207,0),MATCH('Actual-ACPL'!H$6,'Actual-ACPL'!$H$6:$T$6,0)):INDEX('Actual-ACPL'!$H$7:$T$207,MATCH($B78,'Actual-ACPL'!$B$7:$B$207,0),MATCH(AG$8,'Actual-ACPL'!$H$6:$T$6,0)))</f>
        <v>0</v>
      </c>
      <c r="AH78" s="749">
        <f>SUM(INDEX('Budget-ACPL'!$K$7:$W$207,MATCH($B78,'Budget-ACPL'!$B$7:$B$207,0),MATCH('Budget-ACPL'!K$6,'Budget-ACPL'!$K$6:$W$6,0)):INDEX('Budget-ACPL'!$K$7:$W$207,MATCH($B78,'Budget-ACPL'!$B$7:$B$207,0),MATCH(AH$8,'Budget-ACPL'!$K$6:$W$6,0)))</f>
        <v>0</v>
      </c>
      <c r="AI78" s="749">
        <f t="shared" si="68"/>
        <v>0</v>
      </c>
      <c r="AJ78" s="748"/>
      <c r="AL78" s="749">
        <f>SUM(INDEX('Actual-ACPLHK'!$H$7:$S$207,MATCH($B78,'Actual-ACPLHK'!$B$7:$B$207,0),MATCH('Actual-ACPLHK'!H$6,'Actual-ACPLHK'!$H$6:$T$6,0)):INDEX('Actual-ACPLHK'!$H$7:$S$207,MATCH($B78,'Actual-ACPLHK'!$B$7:$B$207,0),MATCH(AL$8,'Actual-ACPLHK'!$H$6:$T$6,0)))</f>
        <v>0</v>
      </c>
      <c r="AM78" s="749">
        <f>SUM(INDEX('Budget-ACPLHK'!$K$7:$W$207,MATCH($B78,'Budget-ACPLHK'!$B$7:$B$207,0),MATCH('Budget-ACPLHK'!K$6,'Budget-ACPLHK'!$K$6:$W$6,0)):INDEX('Budget-ACPLHK'!$K$7:$W$207,MATCH($B78,'Budget-ACPLHK'!$B$7:$B$207,0),MATCH(AM$8,'Budget-ACPLHK'!$K$6:$W$6,0)))</f>
        <v>0</v>
      </c>
      <c r="AN78" s="749">
        <f t="shared" si="73"/>
        <v>0</v>
      </c>
      <c r="AO78" s="748"/>
      <c r="AQ78" s="749">
        <f>SUM(INDEX('Actual-ACPSZL'!$H$7:$T$207,MATCH($B78,'Actual-ACPSZL'!$B$7:$B$207,0),MATCH('Actual-ACPSZL'!H$6,'Actual-ACPSZL'!$H$6:$T$6,0)):INDEX('Actual-ACPSZL'!$H$7:$T$207,MATCH($B78,'Actual-ACPSZL'!$B$7:$B$207,0),MATCH(AQ$8,'Actual-ACPSZL'!$H$6:$T$6,0)))</f>
        <v>0</v>
      </c>
      <c r="AR78" s="749">
        <f>SUM(INDEX('Budget-ACPSZL'!$K$7:$W$207,MATCH($B78,'Budget-ACPSZL'!$B$7:$B$207,0),MATCH('Budget-ACPSZL'!K$6,'Budget-ACPSZL'!$K$6:$W$6,0)):INDEX('Budget-ACPSZL'!$K$7:$W$207,MATCH($B78,'Budget-ACPSZL'!$B$7:$B$207,0),MATCH(AR$8,'Budget-ACPSZL'!$K$6:$W$6,0)))</f>
        <v>0</v>
      </c>
      <c r="AS78" s="749">
        <f t="shared" si="69"/>
        <v>0</v>
      </c>
      <c r="AT78" s="748"/>
      <c r="AV78" s="749">
        <f>SUM(INDEX('Actual-ACPLSZ'!$H$7:$T$207,MATCH($B78,'Actual-ACPLSZ'!$B$7:$B$207,0),MATCH('Actual-ACPLSZ'!H$6,'Actual-ACPLSZ'!$H$6:$T$6,0)):INDEX('Actual-ACPLSZ'!$H$7:$T$207,MATCH($B78,'Actual-ACPLSZ'!$B$7:$B$207,0),MATCH(AV$8,'Actual-ACPLSZ'!$H$6:$T$6,0)))</f>
        <v>0</v>
      </c>
      <c r="AW78" s="749">
        <f>SUM(INDEX('Budget-ACPLSZ'!$K$7:$W$207,MATCH($B78,'Budget-ACPLSZ'!$B$7:$B$207,0),MATCH('Budget-ACPLSZ'!K$6,'Budget-ACPLSZ'!$K$6:$W$6,0)):INDEX('Budget-ACPLSZ'!$K$7:$W$207,MATCH($B78,'Budget-ACPLSZ'!$B$7:$B$207,0),MATCH(AW$8,'Budget-ACPLSZ'!$K$6:$W$6,0)))</f>
        <v>0</v>
      </c>
      <c r="AX78" s="749">
        <f t="shared" si="72"/>
        <v>0</v>
      </c>
      <c r="AY78" s="748"/>
      <c r="BA78" s="749">
        <f>SUM(INDEX('Actual-ACPLGZ'!$H$7:$T$207,MATCH($B78,'Actual-ACPLGZ'!$B$7:$B$207,0),MATCH('Actual-ACPLGZ'!H$6,'Actual-ACPLGZ'!$H$6:$T$6,0)):INDEX('Actual-ACPLGZ'!$H$7:$T$207,MATCH($B78,'Actual-ACPLGZ'!$B$7:$B$207,0),MATCH(BA$8,'Actual-ACPLGZ'!$H$6:$T$6,0)))</f>
        <v>0</v>
      </c>
      <c r="BB78" s="749">
        <f>SUM(INDEX('Budget-ACPLGZ'!$K$7:$W$207,MATCH($B78,'Budget-ACPLGZ'!$B$7:$B$207,0),MATCH('Budget-ACPLGZ'!K$6,'Budget-ACPLGZ'!$K$6:$W$6,0)):INDEX('Budget-ACPLGZ'!$K$7:$W$207,MATCH($B78,'Budget-ACPLGZ'!$B$7:$B$207,0),MATCH(BB$8,'Budget-ACPLGZ'!$K$6:$W$6,0)))</f>
        <v>0</v>
      </c>
      <c r="BC78" s="749">
        <f t="shared" si="66"/>
        <v>0</v>
      </c>
      <c r="BD78" s="748"/>
      <c r="BF78" s="749">
        <f>SUM(INDEX('Actual-ACPLYixing'!$H$7:$T$207,MATCH($B78,'Actual-ACPLYixing'!$B$7:$B$207,0),MATCH('Actual-ACPLYixing'!H$6,'Actual-ACPLYixing'!$H$6:$T$6,0)):INDEX('Actual-ACPLYixing'!$H$7:$T$207,MATCH($B78,'Actual-ACPLYixing'!$B$7:$B$207,0),MATCH(BF$8,'Actual-ACPLYixing'!$H$6:$T$6,0)))</f>
        <v>0</v>
      </c>
      <c r="BG78" s="749">
        <f>SUM(INDEX('Budget-Yixing'!$K$7:$W$207,MATCH($B78,'Budget-Yixing'!$B$7:$B$207,0),MATCH('Budget-Yixing'!K$6,'Budget-Yixing'!$K$6:$W$6,0)):INDEX('Budget-Yixing'!$K$7:$W$207,MATCH($B78,'Budget-Yixing'!$B$7:$B$207,0),MATCH(BG$8,'Budget-Yixing'!$K$6:$W$6,0)))</f>
        <v>0</v>
      </c>
      <c r="BH78" s="749">
        <f t="shared" si="67"/>
        <v>0</v>
      </c>
      <c r="BI78" s="748"/>
    </row>
    <row r="79" spans="1:61" ht="16.5" customHeight="1">
      <c r="A79" s="653">
        <f>'Budget-合并'!A77</f>
        <v>0</v>
      </c>
      <c r="B79" s="653" t="str">
        <f>'Budget-合并'!B77</f>
        <v xml:space="preserve">    旭智富能02</v>
      </c>
      <c r="C79" s="746">
        <f>INDEX('Actual-ACPL'!$H$7:$T$207,MATCH($B79,'Actual-ACPL'!$B$7:$B$207,0),MATCH(C$8,'Actual-ACPL'!$H$6:$T$6,0))</f>
        <v>0</v>
      </c>
      <c r="D79" s="746">
        <f>INDEX('Budget-ACPL'!$K$7:$W$207,MATCH($B79,'Budget-ACPL'!$B$7:$B$207,0),MATCH(D$8,'Budget-ACPL'!$K$6:$W$6,0))</f>
        <v>2224.9749999999999</v>
      </c>
      <c r="E79" s="746">
        <f t="shared" si="61"/>
        <v>-2224.9749999999999</v>
      </c>
      <c r="F79" s="752"/>
      <c r="H79" s="749">
        <f>INDEX('Actual-ACPLHK'!$H$7:$T$207,MATCH($B79,'Actual-ACPLHK'!$B$7:$B$207,0),MATCH(H$8,'Actual-ACPLHK'!$H$6:$T$6,0))</f>
        <v>0</v>
      </c>
      <c r="I79" s="749">
        <f>INDEX('Budget-ACPLHK'!$K$7:$W$207,MATCH($B79,'Budget-ACPLHK'!$B$7:$B$207,0),MATCH(I$8,'Budget-ACPLHK'!$K$6:$W$6,0))</f>
        <v>0</v>
      </c>
      <c r="J79" s="749">
        <f t="shared" si="62"/>
        <v>0</v>
      </c>
      <c r="K79" s="748"/>
      <c r="M79" s="749">
        <f>INDEX('Actual-ACPSZL'!$H$7:$T$207,MATCH($B79,'Actual-ACPSZL'!$B$7:$B$207,0),MATCH(M$8,'Actual-ACPSZL'!$H$6:$T$6,0))</f>
        <v>0</v>
      </c>
      <c r="N79" s="749">
        <f>INDEX('Budget-ACPSZL'!$K$7:$W$207,MATCH($B79,'Budget-ACPSZL'!$B$7:$B$207,0),MATCH(N$8,'Budget-ACPSZL'!$K$6:$W$6,0))</f>
        <v>3333.3333333333335</v>
      </c>
      <c r="O79" s="749">
        <f t="shared" si="70"/>
        <v>-3333.3333333333335</v>
      </c>
      <c r="P79" s="748"/>
      <c r="R79" s="749">
        <f>INDEX('Actual-ACPLSZ'!$H$7:$T$207,MATCH($B79,'Actual-ACPLSZ'!$B$7:$B$207,0),MATCH(R$8,'Actual-ACPLSZ'!$H$6:$T$6,0))</f>
        <v>0</v>
      </c>
      <c r="S79" s="749">
        <f>INDEX('Budget-ACPLSZ'!$K$7:$W$207,MATCH($B79,'Budget-ACPLSZ'!$B$7:$B$207,0),MATCH(S$8,'Budget-ACPLSZ'!$K$6:$W$6,0))</f>
        <v>8333.3333333333339</v>
      </c>
      <c r="T79" s="749">
        <f t="shared" si="64"/>
        <v>8333.3333333333339</v>
      </c>
      <c r="U79" s="748"/>
      <c r="W79" s="749">
        <f>INDEX('Actual-ACPLGZ'!$H$7:$T$207,MATCH($B79,'Actual-ACPLGZ'!$B$7:$B$207,0),MATCH(W$8,'Actual-ACPLGZ'!$H$6:$T$6,0))</f>
        <v>0</v>
      </c>
      <c r="X79" s="749">
        <f>INDEX('Budget-ACPLGZ'!$K$7:$W$207,MATCH($B79,'Budget-ACPLGZ'!$B$7:$B$207,0),MATCH(X$8,'Budget-ACPLGZ'!$K$6:$W$6,0))</f>
        <v>0</v>
      </c>
      <c r="Y79" s="749">
        <f t="shared" si="71"/>
        <v>0</v>
      </c>
      <c r="Z79" s="748"/>
      <c r="AB79" s="749">
        <f>INDEX('Actual-ACPLGZ'!$H$7:$T$207,MATCH($B79,'Actual-ACPLGZ'!$B$7:$B$207,0),MATCH(AB$8,'Actual-ACPLGZ'!$H$6:$T$6,0))</f>
        <v>0</v>
      </c>
      <c r="AC79" s="749">
        <f>INDEX('Budget-Yixing'!$K$7:$W$207,MATCH($B79,'Budget-Yixing'!$B$7:$B$207,0),MATCH(AC$8,'Budget-Yixing'!$K$6:$W$6,0))</f>
        <v>0</v>
      </c>
      <c r="AD79" s="749">
        <f t="shared" si="65"/>
        <v>0</v>
      </c>
      <c r="AE79" s="748"/>
      <c r="AG79" s="751">
        <f>SUM(INDEX('Actual-ACPL'!$H$7:$T$207,MATCH($B79,'Actual-ACPL'!$B$7:$B$207,0),MATCH('Actual-ACPL'!H$6,'Actual-ACPL'!$H$6:$T$6,0)):INDEX('Actual-ACPL'!$H$7:$T$207,MATCH($B79,'Actual-ACPL'!$B$7:$B$207,0),MATCH(AG$8,'Actual-ACPL'!$H$6:$T$6,0)))</f>
        <v>0</v>
      </c>
      <c r="AH79" s="749">
        <f>SUM(INDEX('Budget-ACPL'!$K$7:$W$207,MATCH($B79,'Budget-ACPL'!$B$7:$B$207,0),MATCH('Budget-ACPL'!K$6,'Budget-ACPL'!$K$6:$W$6,0)):INDEX('Budget-ACPL'!$K$7:$W$207,MATCH($B79,'Budget-ACPL'!$B$7:$B$207,0),MATCH(AH$8,'Budget-ACPL'!$K$6:$W$6,0)))</f>
        <v>2224.9749999999999</v>
      </c>
      <c r="AI79" s="749">
        <f t="shared" si="68"/>
        <v>-2224.9749999999999</v>
      </c>
      <c r="AJ79" s="748"/>
      <c r="AL79" s="749">
        <f>SUM(INDEX('Actual-ACPLHK'!$H$7:$S$207,MATCH($B79,'Actual-ACPLHK'!$B$7:$B$207,0),MATCH('Actual-ACPLHK'!H$6,'Actual-ACPLHK'!$H$6:$T$6,0)):INDEX('Actual-ACPLHK'!$H$7:$S$207,MATCH($B79,'Actual-ACPLHK'!$B$7:$B$207,0),MATCH(AL$8,'Actual-ACPLHK'!$H$6:$T$6,0)))</f>
        <v>0</v>
      </c>
      <c r="AM79" s="749">
        <f>SUM(INDEX('Budget-ACPLHK'!$K$7:$W$207,MATCH($B79,'Budget-ACPLHK'!$B$7:$B$207,0),MATCH('Budget-ACPLHK'!K$6,'Budget-ACPLHK'!$K$6:$W$6,0)):INDEX('Budget-ACPLHK'!$K$7:$W$207,MATCH($B79,'Budget-ACPLHK'!$B$7:$B$207,0),MATCH(AM$8,'Budget-ACPLHK'!$K$6:$W$6,0)))</f>
        <v>0</v>
      </c>
      <c r="AN79" s="749">
        <f t="shared" si="73"/>
        <v>0</v>
      </c>
      <c r="AO79" s="748"/>
      <c r="AQ79" s="749">
        <f>SUM(INDEX('Actual-ACPSZL'!$H$7:$T$207,MATCH($B79,'Actual-ACPSZL'!$B$7:$B$207,0),MATCH('Actual-ACPSZL'!H$6,'Actual-ACPSZL'!$H$6:$T$6,0)):INDEX('Actual-ACPSZL'!$H$7:$T$207,MATCH($B79,'Actual-ACPSZL'!$B$7:$B$207,0),MATCH(AQ$8,'Actual-ACPSZL'!$H$6:$T$6,0)))</f>
        <v>0</v>
      </c>
      <c r="AR79" s="749">
        <f>SUM(INDEX('Budget-ACPSZL'!$K$7:$W$207,MATCH($B79,'Budget-ACPSZL'!$B$7:$B$207,0),MATCH('Budget-ACPSZL'!K$6,'Budget-ACPSZL'!$K$6:$W$6,0)):INDEX('Budget-ACPSZL'!$K$7:$W$207,MATCH($B79,'Budget-ACPSZL'!$B$7:$B$207,0),MATCH(AR$8,'Budget-ACPSZL'!$K$6:$W$6,0)))</f>
        <v>3333.3333333333335</v>
      </c>
      <c r="AS79" s="749">
        <f t="shared" si="69"/>
        <v>-3333.3333333333335</v>
      </c>
      <c r="AT79" s="748"/>
      <c r="AV79" s="749">
        <f>SUM(INDEX('Actual-ACPLSZ'!$H$7:$T$207,MATCH($B79,'Actual-ACPLSZ'!$B$7:$B$207,0),MATCH('Actual-ACPLSZ'!H$6,'Actual-ACPLSZ'!$H$6:$T$6,0)):INDEX('Actual-ACPLSZ'!$H$7:$T$207,MATCH($B79,'Actual-ACPLSZ'!$B$7:$B$207,0),MATCH(AV$8,'Actual-ACPLSZ'!$H$6:$T$6,0)))</f>
        <v>0</v>
      </c>
      <c r="AW79" s="749">
        <f>SUM(INDEX('Budget-ACPLSZ'!$K$7:$W$207,MATCH($B79,'Budget-ACPLSZ'!$B$7:$B$207,0),MATCH('Budget-ACPLSZ'!K$6,'Budget-ACPLSZ'!$K$6:$W$6,0)):INDEX('Budget-ACPLSZ'!$K$7:$W$207,MATCH($B79,'Budget-ACPLSZ'!$B$7:$B$207,0),MATCH(AW$8,'Budget-ACPLSZ'!$K$6:$W$6,0)))</f>
        <v>8333.3333333333339</v>
      </c>
      <c r="AX79" s="749">
        <f t="shared" si="72"/>
        <v>-8333.3333333333339</v>
      </c>
      <c r="AY79" s="748"/>
      <c r="BA79" s="749">
        <f>SUM(INDEX('Actual-ACPLGZ'!$H$7:$T$207,MATCH($B79,'Actual-ACPLGZ'!$B$7:$B$207,0),MATCH('Actual-ACPLGZ'!H$6,'Actual-ACPLGZ'!$H$6:$T$6,0)):INDEX('Actual-ACPLGZ'!$H$7:$T$207,MATCH($B79,'Actual-ACPLGZ'!$B$7:$B$207,0),MATCH(BA$8,'Actual-ACPLGZ'!$H$6:$T$6,0)))</f>
        <v>0</v>
      </c>
      <c r="BB79" s="749">
        <f>SUM(INDEX('Budget-ACPLGZ'!$K$7:$W$207,MATCH($B79,'Budget-ACPLGZ'!$B$7:$B$207,0),MATCH('Budget-ACPLGZ'!K$6,'Budget-ACPLGZ'!$K$6:$W$6,0)):INDEX('Budget-ACPLGZ'!$K$7:$W$207,MATCH($B79,'Budget-ACPLGZ'!$B$7:$B$207,0),MATCH(BB$8,'Budget-ACPLGZ'!$K$6:$W$6,0)))</f>
        <v>0</v>
      </c>
      <c r="BC79" s="749">
        <f t="shared" si="66"/>
        <v>0</v>
      </c>
      <c r="BD79" s="748"/>
      <c r="BF79" s="749">
        <f>SUM(INDEX('Actual-ACPLYixing'!$H$7:$T$207,MATCH($B79,'Actual-ACPLYixing'!$B$7:$B$207,0),MATCH('Actual-ACPLYixing'!H$6,'Actual-ACPLYixing'!$H$6:$T$6,0)):INDEX('Actual-ACPLYixing'!$H$7:$T$207,MATCH($B79,'Actual-ACPLYixing'!$B$7:$B$207,0),MATCH(BF$8,'Actual-ACPLYixing'!$H$6:$T$6,0)))</f>
        <v>0</v>
      </c>
      <c r="BG79" s="749">
        <f>SUM(INDEX('Budget-Yixing'!$K$7:$W$207,MATCH($B79,'Budget-Yixing'!$B$7:$B$207,0),MATCH('Budget-Yixing'!K$6,'Budget-Yixing'!$K$6:$W$6,0)):INDEX('Budget-Yixing'!$K$7:$W$207,MATCH($B79,'Budget-Yixing'!$B$7:$B$207,0),MATCH(BG$8,'Budget-Yixing'!$K$6:$W$6,0)))</f>
        <v>0</v>
      </c>
      <c r="BH79" s="749">
        <f t="shared" si="67"/>
        <v>0</v>
      </c>
      <c r="BI79" s="748"/>
    </row>
    <row r="80" spans="1:61" ht="16.5" customHeight="1">
      <c r="A80" s="653">
        <f>'Budget-合并'!A78</f>
        <v>0</v>
      </c>
      <c r="B80" s="653" t="str">
        <f>'Budget-合并'!B78</f>
        <v xml:space="preserve">    其他项目02</v>
      </c>
      <c r="C80" s="746">
        <f>INDEX('Actual-ACPL'!$H$7:$T$207,MATCH($B80,'Actual-ACPL'!$B$7:$B$207,0),MATCH(C$8,'Actual-ACPL'!$H$6:$T$6,0))</f>
        <v>0</v>
      </c>
      <c r="D80" s="746">
        <f>INDEX('Budget-ACPL'!$K$7:$W$207,MATCH($B80,'Budget-ACPL'!$B$7:$B$207,0),MATCH(D$8,'Budget-ACPL'!$K$6:$W$6,0))</f>
        <v>0</v>
      </c>
      <c r="E80" s="746">
        <f t="shared" si="61"/>
        <v>0</v>
      </c>
      <c r="F80" s="752"/>
      <c r="H80" s="749">
        <f>INDEX('Actual-ACPLHK'!$H$7:$T$207,MATCH($B80,'Actual-ACPLHK'!$B$7:$B$207,0),MATCH(H$8,'Actual-ACPLHK'!$H$6:$T$6,0))</f>
        <v>0</v>
      </c>
      <c r="I80" s="749">
        <f>INDEX('Budget-ACPLHK'!$K$7:$W$207,MATCH($B80,'Budget-ACPLHK'!$B$7:$B$207,0),MATCH(I$8,'Budget-ACPLHK'!$K$6:$W$6,0))</f>
        <v>0</v>
      </c>
      <c r="J80" s="749">
        <f t="shared" si="62"/>
        <v>0</v>
      </c>
      <c r="K80" s="748"/>
      <c r="M80" s="749">
        <f>INDEX('Actual-ACPSZL'!$H$7:$T$207,MATCH($B80,'Actual-ACPSZL'!$B$7:$B$207,0),MATCH(M$8,'Actual-ACPSZL'!$H$6:$T$6,0))</f>
        <v>0</v>
      </c>
      <c r="N80" s="749">
        <f>INDEX('Budget-ACPSZL'!$K$7:$W$207,MATCH($B80,'Budget-ACPSZL'!$B$7:$B$207,0),MATCH(N$8,'Budget-ACPSZL'!$K$6:$W$6,0))</f>
        <v>0</v>
      </c>
      <c r="O80" s="749">
        <f t="shared" si="70"/>
        <v>0</v>
      </c>
      <c r="P80" s="748"/>
      <c r="R80" s="749">
        <f>INDEX('Actual-ACPLSZ'!$H$7:$T$207,MATCH($B80,'Actual-ACPLSZ'!$B$7:$B$207,0),MATCH(R$8,'Actual-ACPLSZ'!$H$6:$T$6,0))</f>
        <v>0</v>
      </c>
      <c r="S80" s="749">
        <f>INDEX('Budget-ACPLSZ'!$K$7:$W$207,MATCH($B80,'Budget-ACPLSZ'!$B$7:$B$207,0),MATCH(S$8,'Budget-ACPLSZ'!$K$6:$W$6,0))</f>
        <v>0</v>
      </c>
      <c r="T80" s="749">
        <f t="shared" si="64"/>
        <v>0</v>
      </c>
      <c r="U80" s="748"/>
      <c r="W80" s="749">
        <f>INDEX('Actual-ACPLGZ'!$H$7:$T$207,MATCH($B80,'Actual-ACPLGZ'!$B$7:$B$207,0),MATCH(W$8,'Actual-ACPLGZ'!$H$6:$T$6,0))</f>
        <v>0</v>
      </c>
      <c r="X80" s="749">
        <f>INDEX('Budget-ACPLGZ'!$K$7:$W$207,MATCH($B80,'Budget-ACPLGZ'!$B$7:$B$207,0),MATCH(X$8,'Budget-ACPLGZ'!$K$6:$W$6,0))</f>
        <v>0</v>
      </c>
      <c r="Y80" s="749">
        <f t="shared" si="71"/>
        <v>0</v>
      </c>
      <c r="Z80" s="748"/>
      <c r="AB80" s="749">
        <f>INDEX('Actual-ACPLGZ'!$H$7:$T$207,MATCH($B80,'Actual-ACPLGZ'!$B$7:$B$207,0),MATCH(AB$8,'Actual-ACPLGZ'!$H$6:$T$6,0))</f>
        <v>0</v>
      </c>
      <c r="AC80" s="749">
        <f>INDEX('Budget-Yixing'!$K$7:$W$207,MATCH($B80,'Budget-Yixing'!$B$7:$B$207,0),MATCH(AC$8,'Budget-Yixing'!$K$6:$W$6,0))</f>
        <v>0</v>
      </c>
      <c r="AD80" s="749">
        <f t="shared" si="65"/>
        <v>0</v>
      </c>
      <c r="AE80" s="748"/>
      <c r="AG80" s="751">
        <f>SUM(INDEX('Actual-ACPL'!$H$7:$T$207,MATCH($B80,'Actual-ACPL'!$B$7:$B$207,0),MATCH('Actual-ACPL'!H$6,'Actual-ACPL'!$H$6:$T$6,0)):INDEX('Actual-ACPL'!$H$7:$T$207,MATCH($B80,'Actual-ACPL'!$B$7:$B$207,0),MATCH(AG$8,'Actual-ACPL'!$H$6:$T$6,0)))</f>
        <v>0</v>
      </c>
      <c r="AH80" s="749">
        <f>SUM(INDEX('Budget-ACPL'!$K$7:$W$207,MATCH($B80,'Budget-ACPL'!$B$7:$B$207,0),MATCH('Budget-ACPL'!K$6,'Budget-ACPL'!$K$6:$W$6,0)):INDEX('Budget-ACPL'!$K$7:$W$207,MATCH($B80,'Budget-ACPL'!$B$7:$B$207,0),MATCH(AH$8,'Budget-ACPL'!$K$6:$W$6,0)))</f>
        <v>0</v>
      </c>
      <c r="AI80" s="749">
        <f t="shared" si="68"/>
        <v>0</v>
      </c>
      <c r="AJ80" s="748"/>
      <c r="AL80" s="749">
        <f>SUM(INDEX('Actual-ACPLHK'!$H$7:$S$207,MATCH($B80,'Actual-ACPLHK'!$B$7:$B$207,0),MATCH('Actual-ACPLHK'!H$6,'Actual-ACPLHK'!$H$6:$T$6,0)):INDEX('Actual-ACPLHK'!$H$7:$S$207,MATCH($B80,'Actual-ACPLHK'!$B$7:$B$207,0),MATCH(AL$8,'Actual-ACPLHK'!$H$6:$T$6,0)))</f>
        <v>0</v>
      </c>
      <c r="AM80" s="749">
        <f>SUM(INDEX('Budget-ACPLHK'!$K$7:$W$207,MATCH($B80,'Budget-ACPLHK'!$B$7:$B$207,0),MATCH('Budget-ACPLHK'!K$6,'Budget-ACPLHK'!$K$6:$W$6,0)):INDEX('Budget-ACPLHK'!$K$7:$W$207,MATCH($B80,'Budget-ACPLHK'!$B$7:$B$207,0),MATCH(AM$8,'Budget-ACPLHK'!$K$6:$W$6,0)))</f>
        <v>0</v>
      </c>
      <c r="AN80" s="749">
        <f t="shared" si="73"/>
        <v>0</v>
      </c>
      <c r="AO80" s="748"/>
      <c r="AQ80" s="749">
        <f>SUM(INDEX('Actual-ACPSZL'!$H$7:$T$207,MATCH($B80,'Actual-ACPSZL'!$B$7:$B$207,0),MATCH('Actual-ACPSZL'!H$6,'Actual-ACPSZL'!$H$6:$T$6,0)):INDEX('Actual-ACPSZL'!$H$7:$T$207,MATCH($B80,'Actual-ACPSZL'!$B$7:$B$207,0),MATCH(AQ$8,'Actual-ACPSZL'!$H$6:$T$6,0)))</f>
        <v>0</v>
      </c>
      <c r="AR80" s="749">
        <f>SUM(INDEX('Budget-ACPSZL'!$K$7:$W$207,MATCH($B80,'Budget-ACPSZL'!$B$7:$B$207,0),MATCH('Budget-ACPSZL'!K$6,'Budget-ACPSZL'!$K$6:$W$6,0)):INDEX('Budget-ACPSZL'!$K$7:$W$207,MATCH($B80,'Budget-ACPSZL'!$B$7:$B$207,0),MATCH(AR$8,'Budget-ACPSZL'!$K$6:$W$6,0)))</f>
        <v>0</v>
      </c>
      <c r="AS80" s="749">
        <f t="shared" si="69"/>
        <v>0</v>
      </c>
      <c r="AT80" s="748"/>
      <c r="AV80" s="749">
        <f>SUM(INDEX('Actual-ACPLSZ'!$H$7:$T$207,MATCH($B80,'Actual-ACPLSZ'!$B$7:$B$207,0),MATCH('Actual-ACPLSZ'!H$6,'Actual-ACPLSZ'!$H$6:$T$6,0)):INDEX('Actual-ACPLSZ'!$H$7:$T$207,MATCH($B80,'Actual-ACPLSZ'!$B$7:$B$207,0),MATCH(AV$8,'Actual-ACPLSZ'!$H$6:$T$6,0)))</f>
        <v>0</v>
      </c>
      <c r="AW80" s="749">
        <f>SUM(INDEX('Budget-ACPLSZ'!$K$7:$W$207,MATCH($B80,'Budget-ACPLSZ'!$B$7:$B$207,0),MATCH('Budget-ACPLSZ'!K$6,'Budget-ACPLSZ'!$K$6:$W$6,0)):INDEX('Budget-ACPLSZ'!$K$7:$W$207,MATCH($B80,'Budget-ACPLSZ'!$B$7:$B$207,0),MATCH(AW$8,'Budget-ACPLSZ'!$K$6:$W$6,0)))</f>
        <v>0</v>
      </c>
      <c r="AX80" s="749">
        <f t="shared" si="72"/>
        <v>0</v>
      </c>
      <c r="AY80" s="748"/>
      <c r="BA80" s="749">
        <f>SUM(INDEX('Actual-ACPLGZ'!$H$7:$T$207,MATCH($B80,'Actual-ACPLGZ'!$B$7:$B$207,0),MATCH('Actual-ACPLGZ'!H$6,'Actual-ACPLGZ'!$H$6:$T$6,0)):INDEX('Actual-ACPLGZ'!$H$7:$T$207,MATCH($B80,'Actual-ACPLGZ'!$B$7:$B$207,0),MATCH(BA$8,'Actual-ACPLGZ'!$H$6:$T$6,0)))</f>
        <v>0</v>
      </c>
      <c r="BB80" s="749">
        <f>SUM(INDEX('Budget-ACPLGZ'!$K$7:$W$207,MATCH($B80,'Budget-ACPLGZ'!$B$7:$B$207,0),MATCH('Budget-ACPLGZ'!K$6,'Budget-ACPLGZ'!$K$6:$W$6,0)):INDEX('Budget-ACPLGZ'!$K$7:$W$207,MATCH($B80,'Budget-ACPLGZ'!$B$7:$B$207,0),MATCH(BB$8,'Budget-ACPLGZ'!$K$6:$W$6,0)))</f>
        <v>0</v>
      </c>
      <c r="BC80" s="749">
        <f t="shared" si="66"/>
        <v>0</v>
      </c>
      <c r="BD80" s="748"/>
      <c r="BF80" s="749">
        <f>SUM(INDEX('Actual-ACPLYixing'!$H$7:$T$207,MATCH($B80,'Actual-ACPLYixing'!$B$7:$B$207,0),MATCH('Actual-ACPLYixing'!H$6,'Actual-ACPLYixing'!$H$6:$T$6,0)):INDEX('Actual-ACPLYixing'!$H$7:$T$207,MATCH($B80,'Actual-ACPLYixing'!$B$7:$B$207,0),MATCH(BF$8,'Actual-ACPLYixing'!$H$6:$T$6,0)))</f>
        <v>0</v>
      </c>
      <c r="BG80" s="749">
        <f>SUM(INDEX('Budget-Yixing'!$K$7:$W$207,MATCH($B80,'Budget-Yixing'!$B$7:$B$207,0),MATCH('Budget-Yixing'!K$6,'Budget-Yixing'!$K$6:$W$6,0)):INDEX('Budget-Yixing'!$K$7:$W$207,MATCH($B80,'Budget-Yixing'!$B$7:$B$207,0),MATCH(BG$8,'Budget-Yixing'!$K$6:$W$6,0)))</f>
        <v>0</v>
      </c>
      <c r="BH80" s="749">
        <f t="shared" si="67"/>
        <v>0</v>
      </c>
      <c r="BI80" s="748"/>
    </row>
    <row r="81" spans="1:61" ht="16.5" customHeight="1">
      <c r="A81" s="653" t="str">
        <f>'Budget-合并'!A79</f>
        <v>6602.07</v>
      </c>
      <c r="B81" s="653" t="str">
        <f>'Budget-合并'!B79</f>
        <v>广告费和业务宣传费</v>
      </c>
      <c r="C81" s="746">
        <f>INDEX('Actual-ACPL'!$H$7:$T$207,MATCH($B81,'Actual-ACPL'!$B$7:$B$207,0),MATCH(C$8,'Actual-ACPL'!$H$6:$T$6,0))</f>
        <v>0</v>
      </c>
      <c r="D81" s="746">
        <f>INDEX('Budget-ACPL'!$K$7:$W$207,MATCH($B81,'Budget-ACPL'!$B$7:$B$207,0),MATCH(D$8,'Budget-ACPL'!$K$6:$W$6,0))</f>
        <v>0</v>
      </c>
      <c r="E81" s="746">
        <f t="shared" si="61"/>
        <v>0</v>
      </c>
      <c r="F81" s="752"/>
      <c r="H81" s="749">
        <f>INDEX('Actual-ACPLHK'!$H$7:$T$207,MATCH($B81,'Actual-ACPLHK'!$B$7:$B$207,0),MATCH(H$8,'Actual-ACPLHK'!$H$6:$T$6,0))</f>
        <v>0</v>
      </c>
      <c r="I81" s="749">
        <f>INDEX('Budget-ACPLHK'!$K$7:$W$207,MATCH($B81,'Budget-ACPLHK'!$B$7:$B$207,0),MATCH(I$8,'Budget-ACPLHK'!$K$6:$W$6,0))</f>
        <v>0</v>
      </c>
      <c r="J81" s="749">
        <f t="shared" si="62"/>
        <v>0</v>
      </c>
      <c r="K81" s="748"/>
      <c r="M81" s="749">
        <f>INDEX('Actual-ACPSZL'!$H$7:$T$207,MATCH($B81,'Actual-ACPSZL'!$B$7:$B$207,0),MATCH(M$8,'Actual-ACPSZL'!$H$6:$T$6,0))</f>
        <v>0</v>
      </c>
      <c r="N81" s="749">
        <f>INDEX('Budget-ACPSZL'!$K$7:$W$207,MATCH($B81,'Budget-ACPSZL'!$B$7:$B$207,0),MATCH(N$8,'Budget-ACPSZL'!$K$6:$W$6,0))</f>
        <v>0</v>
      </c>
      <c r="O81" s="749">
        <f t="shared" si="70"/>
        <v>0</v>
      </c>
      <c r="P81" s="748"/>
      <c r="R81" s="749">
        <f>INDEX('Actual-ACPLSZ'!$H$7:$T$207,MATCH($B81,'Actual-ACPLSZ'!$B$7:$B$207,0),MATCH(R$8,'Actual-ACPLSZ'!$H$6:$T$6,0))</f>
        <v>0</v>
      </c>
      <c r="S81" s="749">
        <f>INDEX('Budget-ACPLSZ'!$K$7:$W$207,MATCH($B81,'Budget-ACPLSZ'!$B$7:$B$207,0),MATCH(S$8,'Budget-ACPLSZ'!$K$6:$W$6,0))</f>
        <v>0</v>
      </c>
      <c r="T81" s="749">
        <f t="shared" si="64"/>
        <v>0</v>
      </c>
      <c r="U81" s="748"/>
      <c r="W81" s="749">
        <f>INDEX('Actual-ACPLGZ'!$H$7:$T$207,MATCH($B81,'Actual-ACPLGZ'!$B$7:$B$207,0),MATCH(W$8,'Actual-ACPLGZ'!$H$6:$T$6,0))</f>
        <v>0</v>
      </c>
      <c r="X81" s="749">
        <f>INDEX('Budget-ACPLGZ'!$K$7:$W$207,MATCH($B81,'Budget-ACPLGZ'!$B$7:$B$207,0),MATCH(X$8,'Budget-ACPLGZ'!$K$6:$W$6,0))</f>
        <v>0</v>
      </c>
      <c r="Y81" s="749">
        <f t="shared" si="71"/>
        <v>0</v>
      </c>
      <c r="Z81" s="748"/>
      <c r="AB81" s="749">
        <f>INDEX('Actual-ACPLGZ'!$H$7:$T$207,MATCH($B81,'Actual-ACPLGZ'!$B$7:$B$207,0),MATCH(AB$8,'Actual-ACPLGZ'!$H$6:$T$6,0))</f>
        <v>0</v>
      </c>
      <c r="AC81" s="749">
        <f>INDEX('Budget-Yixing'!$K$7:$W$207,MATCH($B81,'Budget-Yixing'!$B$7:$B$207,0),MATCH(AC$8,'Budget-Yixing'!$K$6:$W$6,0))</f>
        <v>0</v>
      </c>
      <c r="AD81" s="749">
        <f t="shared" si="65"/>
        <v>0</v>
      </c>
      <c r="AE81" s="748"/>
      <c r="AG81" s="751">
        <f>SUM(INDEX('Actual-ACPL'!$H$7:$T$207,MATCH($B81,'Actual-ACPL'!$B$7:$B$207,0),MATCH('Actual-ACPL'!H$6,'Actual-ACPL'!$H$6:$T$6,0)):INDEX('Actual-ACPL'!$H$7:$T$207,MATCH($B81,'Actual-ACPL'!$B$7:$B$207,0),MATCH(AG$8,'Actual-ACPL'!$H$6:$T$6,0)))</f>
        <v>0</v>
      </c>
      <c r="AH81" s="749">
        <f>SUM(INDEX('Budget-ACPL'!$K$7:$W$207,MATCH($B81,'Budget-ACPL'!$B$7:$B$207,0),MATCH('Budget-ACPL'!K$6,'Budget-ACPL'!$K$6:$W$6,0)):INDEX('Budget-ACPL'!$K$7:$W$207,MATCH($B81,'Budget-ACPL'!$B$7:$B$207,0),MATCH(AH$8,'Budget-ACPL'!$K$6:$W$6,0)))</f>
        <v>0</v>
      </c>
      <c r="AI81" s="749">
        <f t="shared" si="68"/>
        <v>0</v>
      </c>
      <c r="AJ81" s="748"/>
      <c r="AL81" s="749">
        <f>SUM(INDEX('Actual-ACPLHK'!$H$7:$S$207,MATCH($B81,'Actual-ACPLHK'!$B$7:$B$207,0),MATCH('Actual-ACPLHK'!H$6,'Actual-ACPLHK'!$H$6:$T$6,0)):INDEX('Actual-ACPLHK'!$H$7:$S$207,MATCH($B81,'Actual-ACPLHK'!$B$7:$B$207,0),MATCH(AL$8,'Actual-ACPLHK'!$H$6:$T$6,0)))</f>
        <v>0</v>
      </c>
      <c r="AM81" s="749">
        <f>SUM(INDEX('Budget-ACPLHK'!$K$7:$W$207,MATCH($B81,'Budget-ACPLHK'!$B$7:$B$207,0),MATCH('Budget-ACPLHK'!K$6,'Budget-ACPLHK'!$K$6:$W$6,0)):INDEX('Budget-ACPLHK'!$K$7:$W$207,MATCH($B81,'Budget-ACPLHK'!$B$7:$B$207,0),MATCH(AM$8,'Budget-ACPLHK'!$K$6:$W$6,0)))</f>
        <v>0</v>
      </c>
      <c r="AN81" s="749">
        <f t="shared" si="73"/>
        <v>0</v>
      </c>
      <c r="AO81" s="748"/>
      <c r="AQ81" s="749">
        <f>SUM(INDEX('Actual-ACPSZL'!$H$7:$T$207,MATCH($B81,'Actual-ACPSZL'!$B$7:$B$207,0),MATCH('Actual-ACPSZL'!H$6,'Actual-ACPSZL'!$H$6:$T$6,0)):INDEX('Actual-ACPSZL'!$H$7:$T$207,MATCH($B81,'Actual-ACPSZL'!$B$7:$B$207,0),MATCH(AQ$8,'Actual-ACPSZL'!$H$6:$T$6,0)))</f>
        <v>0</v>
      </c>
      <c r="AR81" s="749">
        <f>SUM(INDEX('Budget-ACPSZL'!$K$7:$W$207,MATCH($B81,'Budget-ACPSZL'!$B$7:$B$207,0),MATCH('Budget-ACPSZL'!K$6,'Budget-ACPSZL'!$K$6:$W$6,0)):INDEX('Budget-ACPSZL'!$K$7:$W$207,MATCH($B81,'Budget-ACPSZL'!$B$7:$B$207,0),MATCH(AR$8,'Budget-ACPSZL'!$K$6:$W$6,0)))</f>
        <v>0</v>
      </c>
      <c r="AS81" s="749">
        <f t="shared" si="69"/>
        <v>0</v>
      </c>
      <c r="AT81" s="748"/>
      <c r="AV81" s="749">
        <f>SUM(INDEX('Actual-ACPLSZ'!$H$7:$T$207,MATCH($B81,'Actual-ACPLSZ'!$B$7:$B$207,0),MATCH('Actual-ACPLSZ'!H$6,'Actual-ACPLSZ'!$H$6:$T$6,0)):INDEX('Actual-ACPLSZ'!$H$7:$T$207,MATCH($B81,'Actual-ACPLSZ'!$B$7:$B$207,0),MATCH(AV$8,'Actual-ACPLSZ'!$H$6:$T$6,0)))</f>
        <v>0</v>
      </c>
      <c r="AW81" s="749">
        <f>SUM(INDEX('Budget-ACPLSZ'!$K$7:$W$207,MATCH($B81,'Budget-ACPLSZ'!$B$7:$B$207,0),MATCH('Budget-ACPLSZ'!K$6,'Budget-ACPLSZ'!$K$6:$W$6,0)):INDEX('Budget-ACPLSZ'!$K$7:$W$207,MATCH($B81,'Budget-ACPLSZ'!$B$7:$B$207,0),MATCH(AW$8,'Budget-ACPLSZ'!$K$6:$W$6,0)))</f>
        <v>0</v>
      </c>
      <c r="AX81" s="749">
        <f t="shared" si="72"/>
        <v>0</v>
      </c>
      <c r="AY81" s="748"/>
      <c r="BA81" s="749">
        <f>SUM(INDEX('Actual-ACPLGZ'!$H$7:$T$207,MATCH($B81,'Actual-ACPLGZ'!$B$7:$B$207,0),MATCH('Actual-ACPLGZ'!H$6,'Actual-ACPLGZ'!$H$6:$T$6,0)):INDEX('Actual-ACPLGZ'!$H$7:$T$207,MATCH($B81,'Actual-ACPLGZ'!$B$7:$B$207,0),MATCH(BA$8,'Actual-ACPLGZ'!$H$6:$T$6,0)))</f>
        <v>0</v>
      </c>
      <c r="BB81" s="749">
        <f>SUM(INDEX('Budget-ACPLGZ'!$K$7:$W$207,MATCH($B81,'Budget-ACPLGZ'!$B$7:$B$207,0),MATCH('Budget-ACPLGZ'!K$6,'Budget-ACPLGZ'!$K$6:$W$6,0)):INDEX('Budget-ACPLGZ'!$K$7:$W$207,MATCH($B81,'Budget-ACPLGZ'!$B$7:$B$207,0),MATCH(BB$8,'Budget-ACPLGZ'!$K$6:$W$6,0)))</f>
        <v>0</v>
      </c>
      <c r="BC81" s="749">
        <f t="shared" si="66"/>
        <v>0</v>
      </c>
      <c r="BD81" s="748"/>
      <c r="BF81" s="749">
        <f>SUM(INDEX('Actual-ACPLYixing'!$H$7:$T$207,MATCH($B81,'Actual-ACPLYixing'!$B$7:$B$207,0),MATCH('Actual-ACPLYixing'!H$6,'Actual-ACPLYixing'!$H$6:$T$6,0)):INDEX('Actual-ACPLYixing'!$H$7:$T$207,MATCH($B81,'Actual-ACPLYixing'!$B$7:$B$207,0),MATCH(BF$8,'Actual-ACPLYixing'!$H$6:$T$6,0)))</f>
        <v>0</v>
      </c>
      <c r="BG81" s="749">
        <f>SUM(INDEX('Budget-Yixing'!$K$7:$W$207,MATCH($B81,'Budget-Yixing'!$B$7:$B$207,0),MATCH('Budget-Yixing'!K$6,'Budget-Yixing'!$K$6:$W$6,0)):INDEX('Budget-Yixing'!$K$7:$W$207,MATCH($B81,'Budget-Yixing'!$B$7:$B$207,0),MATCH(BG$8,'Budget-Yixing'!$K$6:$W$6,0)))</f>
        <v>0</v>
      </c>
      <c r="BH81" s="749">
        <f t="shared" si="67"/>
        <v>0</v>
      </c>
      <c r="BI81" s="748"/>
    </row>
    <row r="82" spans="1:61" ht="16.5" customHeight="1">
      <c r="A82" s="653" t="str">
        <f>'Budget-合并'!A80</f>
        <v>6602.08</v>
      </c>
      <c r="B82" s="653" t="str">
        <f>'Budget-合并'!B80</f>
        <v>事务费用</v>
      </c>
      <c r="C82" s="746">
        <f>INDEX('Actual-ACPL'!$H$7:$T$207,MATCH($B82,'Actual-ACPL'!$B$7:$B$207,0),MATCH(C$8,'Actual-ACPL'!$H$6:$T$6,0))</f>
        <v>0</v>
      </c>
      <c r="D82" s="746">
        <f>INDEX('Budget-ACPL'!$K$7:$W$207,MATCH($B82,'Budget-ACPL'!$B$7:$B$207,0),MATCH(D$8,'Budget-ACPL'!$K$6:$W$6,0))</f>
        <v>31676.512955124996</v>
      </c>
      <c r="E82" s="746">
        <f t="shared" si="61"/>
        <v>-31676.512955124996</v>
      </c>
      <c r="F82" s="752"/>
      <c r="H82" s="749">
        <f>INDEX('Actual-ACPLHK'!$H$7:$T$207,MATCH($B82,'Actual-ACPLHK'!$B$7:$B$207,0),MATCH(H$8,'Actual-ACPLHK'!$H$6:$T$6,0))</f>
        <v>0</v>
      </c>
      <c r="I82" s="749">
        <f>INDEX('Budget-ACPLHK'!$K$7:$W$207,MATCH($B82,'Budget-ACPLHK'!$B$7:$B$207,0),MATCH(I$8,'Budget-ACPLHK'!$K$6:$W$6,0))</f>
        <v>22447.846940833333</v>
      </c>
      <c r="J82" s="749">
        <f t="shared" si="62"/>
        <v>-22447.846940833333</v>
      </c>
      <c r="K82" s="748"/>
      <c r="M82" s="749">
        <f>INDEX('Actual-ACPSZL'!$H$7:$T$207,MATCH($B82,'Actual-ACPSZL'!$B$7:$B$207,0),MATCH(M$8,'Actual-ACPSZL'!$H$6:$T$6,0))</f>
        <v>0</v>
      </c>
      <c r="N82" s="749">
        <f>INDEX('Budget-ACPSZL'!$K$7:$W$207,MATCH($B82,'Budget-ACPSZL'!$B$7:$B$207,0),MATCH(N$8,'Budget-ACPSZL'!$K$6:$W$6,0))</f>
        <v>1260</v>
      </c>
      <c r="O82" s="749">
        <f t="shared" si="70"/>
        <v>-1260</v>
      </c>
      <c r="P82" s="748"/>
      <c r="R82" s="749">
        <f>INDEX('Actual-ACPLSZ'!$H$7:$T$207,MATCH($B82,'Actual-ACPLSZ'!$B$7:$B$207,0),MATCH(R$8,'Actual-ACPLSZ'!$H$6:$T$6,0))</f>
        <v>0</v>
      </c>
      <c r="S82" s="749">
        <f>INDEX('Budget-ACPLSZ'!$K$7:$W$207,MATCH($B82,'Budget-ACPLSZ'!$B$7:$B$207,0),MATCH(S$8,'Budget-ACPLSZ'!$K$6:$W$6,0))</f>
        <v>5436.95</v>
      </c>
      <c r="T82" s="749">
        <f t="shared" si="64"/>
        <v>5436.95</v>
      </c>
      <c r="U82" s="748"/>
      <c r="W82" s="749">
        <f>INDEX('Actual-ACPLGZ'!$H$7:$T$207,MATCH($B82,'Actual-ACPLGZ'!$B$7:$B$207,0),MATCH(W$8,'Actual-ACPLGZ'!$H$6:$T$6,0))</f>
        <v>0</v>
      </c>
      <c r="X82" s="749">
        <f>INDEX('Budget-ACPLGZ'!$K$7:$W$207,MATCH($B82,'Budget-ACPLGZ'!$B$7:$B$207,0),MATCH(X$8,'Budget-ACPLGZ'!$K$6:$W$6,0))</f>
        <v>0</v>
      </c>
      <c r="Y82" s="749">
        <f t="shared" si="71"/>
        <v>0</v>
      </c>
      <c r="Z82" s="748"/>
      <c r="AB82" s="749">
        <f>INDEX('Actual-ACPLGZ'!$H$7:$T$207,MATCH($B82,'Actual-ACPLGZ'!$B$7:$B$207,0),MATCH(AB$8,'Actual-ACPLGZ'!$H$6:$T$6,0))</f>
        <v>0</v>
      </c>
      <c r="AC82" s="749">
        <f>INDEX('Budget-Yixing'!$K$7:$W$207,MATCH($B82,'Budget-Yixing'!$B$7:$B$207,0),MATCH(AC$8,'Budget-Yixing'!$K$6:$W$6,0))</f>
        <v>0</v>
      </c>
      <c r="AD82" s="749">
        <f t="shared" si="65"/>
        <v>0</v>
      </c>
      <c r="AE82" s="748"/>
      <c r="AG82" s="751">
        <f>SUM(INDEX('Actual-ACPL'!$H$7:$T$207,MATCH($B82,'Actual-ACPL'!$B$7:$B$207,0),MATCH('Actual-ACPL'!H$6,'Actual-ACPL'!$H$6:$T$6,0)):INDEX('Actual-ACPL'!$H$7:$T$207,MATCH($B82,'Actual-ACPL'!$B$7:$B$207,0),MATCH(AG$8,'Actual-ACPL'!$H$6:$T$6,0)))</f>
        <v>0</v>
      </c>
      <c r="AH82" s="749">
        <f>SUM(INDEX('Budget-ACPL'!$K$7:$W$207,MATCH($B82,'Budget-ACPL'!$B$7:$B$207,0),MATCH('Budget-ACPL'!K$6,'Budget-ACPL'!$K$6:$W$6,0)):INDEX('Budget-ACPL'!$K$7:$W$207,MATCH($B82,'Budget-ACPL'!$B$7:$B$207,0),MATCH(AH$8,'Budget-ACPL'!$K$6:$W$6,0)))</f>
        <v>31676.512955124996</v>
      </c>
      <c r="AI82" s="749">
        <f t="shared" si="68"/>
        <v>-31676.512955124996</v>
      </c>
      <c r="AJ82" s="748"/>
      <c r="AL82" s="749">
        <f>SUM(INDEX('Actual-ACPLHK'!$H$7:$S$207,MATCH($B82,'Actual-ACPLHK'!$B$7:$B$207,0),MATCH('Actual-ACPLHK'!H$6,'Actual-ACPLHK'!$H$6:$T$6,0)):INDEX('Actual-ACPLHK'!$H$7:$S$207,MATCH($B82,'Actual-ACPLHK'!$B$7:$B$207,0),MATCH(AL$8,'Actual-ACPLHK'!$H$6:$T$6,0)))</f>
        <v>0</v>
      </c>
      <c r="AM82" s="749">
        <f>SUM(INDEX('Budget-ACPLHK'!$K$7:$W$207,MATCH($B82,'Budget-ACPLHK'!$B$7:$B$207,0),MATCH('Budget-ACPLHK'!K$6,'Budget-ACPLHK'!$K$6:$W$6,0)):INDEX('Budget-ACPLHK'!$K$7:$W$207,MATCH($B82,'Budget-ACPLHK'!$B$7:$B$207,0),MATCH(AM$8,'Budget-ACPLHK'!$K$6:$W$6,0)))</f>
        <v>22447.846940833333</v>
      </c>
      <c r="AN82" s="749">
        <f t="shared" si="73"/>
        <v>-22447.846940833333</v>
      </c>
      <c r="AO82" s="748"/>
      <c r="AQ82" s="749">
        <f>SUM(INDEX('Actual-ACPSZL'!$H$7:$T$207,MATCH($B82,'Actual-ACPSZL'!$B$7:$B$207,0),MATCH('Actual-ACPSZL'!H$6,'Actual-ACPSZL'!$H$6:$T$6,0)):INDEX('Actual-ACPSZL'!$H$7:$T$207,MATCH($B82,'Actual-ACPSZL'!$B$7:$B$207,0),MATCH(AQ$8,'Actual-ACPSZL'!$H$6:$T$6,0)))</f>
        <v>0</v>
      </c>
      <c r="AR82" s="749">
        <f>SUM(INDEX('Budget-ACPSZL'!$K$7:$W$207,MATCH($B82,'Budget-ACPSZL'!$B$7:$B$207,0),MATCH('Budget-ACPSZL'!K$6,'Budget-ACPSZL'!$K$6:$W$6,0)):INDEX('Budget-ACPSZL'!$K$7:$W$207,MATCH($B82,'Budget-ACPSZL'!$B$7:$B$207,0),MATCH(AR$8,'Budget-ACPSZL'!$K$6:$W$6,0)))</f>
        <v>1260</v>
      </c>
      <c r="AS82" s="749">
        <f t="shared" si="69"/>
        <v>-1260</v>
      </c>
      <c r="AT82" s="748"/>
      <c r="AV82" s="749">
        <f>SUM(INDEX('Actual-ACPLSZ'!$H$7:$T$207,MATCH($B82,'Actual-ACPLSZ'!$B$7:$B$207,0),MATCH('Actual-ACPLSZ'!H$6,'Actual-ACPLSZ'!$H$6:$T$6,0)):INDEX('Actual-ACPLSZ'!$H$7:$T$207,MATCH($B82,'Actual-ACPLSZ'!$B$7:$B$207,0),MATCH(AV$8,'Actual-ACPLSZ'!$H$6:$T$6,0)))</f>
        <v>0</v>
      </c>
      <c r="AW82" s="749">
        <f>SUM(INDEX('Budget-ACPLSZ'!$K$7:$W$207,MATCH($B82,'Budget-ACPLSZ'!$B$7:$B$207,0),MATCH('Budget-ACPLSZ'!K$6,'Budget-ACPLSZ'!$K$6:$W$6,0)):INDEX('Budget-ACPLSZ'!$K$7:$W$207,MATCH($B82,'Budget-ACPLSZ'!$B$7:$B$207,0),MATCH(AW$8,'Budget-ACPLSZ'!$K$6:$W$6,0)))</f>
        <v>5436.95</v>
      </c>
      <c r="AX82" s="749">
        <f t="shared" si="72"/>
        <v>-5436.95</v>
      </c>
      <c r="AY82" s="748"/>
      <c r="BA82" s="749">
        <f>SUM(INDEX('Actual-ACPLGZ'!$H$7:$T$207,MATCH($B82,'Actual-ACPLGZ'!$B$7:$B$207,0),MATCH('Actual-ACPLGZ'!H$6,'Actual-ACPLGZ'!$H$6:$T$6,0)):INDEX('Actual-ACPLGZ'!$H$7:$T$207,MATCH($B82,'Actual-ACPLGZ'!$B$7:$B$207,0),MATCH(BA$8,'Actual-ACPLGZ'!$H$6:$T$6,0)))</f>
        <v>0</v>
      </c>
      <c r="BB82" s="749">
        <f>SUM(INDEX('Budget-ACPLGZ'!$K$7:$W$207,MATCH($B82,'Budget-ACPLGZ'!$B$7:$B$207,0),MATCH('Budget-ACPLGZ'!K$6,'Budget-ACPLGZ'!$K$6:$W$6,0)):INDEX('Budget-ACPLGZ'!$K$7:$W$207,MATCH($B82,'Budget-ACPLGZ'!$B$7:$B$207,0),MATCH(BB$8,'Budget-ACPLGZ'!$K$6:$W$6,0)))</f>
        <v>0</v>
      </c>
      <c r="BC82" s="749">
        <f t="shared" si="66"/>
        <v>0</v>
      </c>
      <c r="BD82" s="748"/>
      <c r="BF82" s="749">
        <f>SUM(INDEX('Actual-ACPLYixing'!$H$7:$T$207,MATCH($B82,'Actual-ACPLYixing'!$B$7:$B$207,0),MATCH('Actual-ACPLYixing'!H$6,'Actual-ACPLYixing'!$H$6:$T$6,0)):INDEX('Actual-ACPLYixing'!$H$7:$T$207,MATCH($B82,'Actual-ACPLYixing'!$B$7:$B$207,0),MATCH(BF$8,'Actual-ACPLYixing'!$H$6:$T$6,0)))</f>
        <v>0</v>
      </c>
      <c r="BG82" s="749">
        <f>SUM(INDEX('Budget-Yixing'!$K$7:$W$207,MATCH($B82,'Budget-Yixing'!$B$7:$B$207,0),MATCH('Budget-Yixing'!K$6,'Budget-Yixing'!$K$6:$W$6,0)):INDEX('Budget-Yixing'!$K$7:$W$207,MATCH($B82,'Budget-Yixing'!$B$7:$B$207,0),MATCH(BG$8,'Budget-Yixing'!$K$6:$W$6,0)))</f>
        <v>0</v>
      </c>
      <c r="BH82" s="749">
        <f t="shared" si="67"/>
        <v>0</v>
      </c>
      <c r="BI82" s="748"/>
    </row>
    <row r="83" spans="1:61" ht="16.5" customHeight="1">
      <c r="A83" s="653" t="str">
        <f>'Budget-合并'!A81</f>
        <v>6602.08.01</v>
      </c>
      <c r="B83" s="653" t="str">
        <f>'Budget-合并'!B81</f>
        <v>通信费</v>
      </c>
      <c r="C83" s="746">
        <f>INDEX('Actual-ACPL'!$H$7:$T$207,MATCH($B83,'Actual-ACPL'!$B$7:$B$207,0),MATCH(C$8,'Actual-ACPL'!$H$6:$T$6,0))</f>
        <v>0</v>
      </c>
      <c r="D83" s="746">
        <f>INDEX('Budget-ACPL'!$K$7:$W$207,MATCH($B83,'Budget-ACPL'!$B$7:$B$207,0),MATCH(D$8,'Budget-ACPL'!$K$6:$W$6,0))</f>
        <v>3622.0813019999996</v>
      </c>
      <c r="E83" s="746">
        <f t="shared" si="61"/>
        <v>-3622.0813019999996</v>
      </c>
      <c r="F83" s="752"/>
      <c r="H83" s="749">
        <f>INDEX('Actual-ACPLHK'!$H$7:$T$207,MATCH($B83,'Actual-ACPLHK'!$B$7:$B$207,0),MATCH(H$8,'Actual-ACPLHK'!$H$6:$T$6,0))</f>
        <v>0</v>
      </c>
      <c r="I83" s="749">
        <f>INDEX('Budget-ACPLHK'!$K$7:$W$207,MATCH($B83,'Budget-ACPLHK'!$B$7:$B$207,0),MATCH(I$8,'Budget-ACPLHK'!$K$6:$W$6,0))</f>
        <v>0</v>
      </c>
      <c r="J83" s="749">
        <f t="shared" si="62"/>
        <v>0</v>
      </c>
      <c r="K83" s="748"/>
      <c r="M83" s="749">
        <f>INDEX('Actual-ACPSZL'!$H$7:$T$207,MATCH($B83,'Actual-ACPSZL'!$B$7:$B$207,0),MATCH(M$8,'Actual-ACPSZL'!$H$6:$T$6,0))</f>
        <v>0</v>
      </c>
      <c r="N83" s="749">
        <f>INDEX('Budget-ACPSZL'!$K$7:$W$207,MATCH($B83,'Budget-ACPSZL'!$B$7:$B$207,0),MATCH(N$8,'Budget-ACPSZL'!$K$6:$W$6,0))</f>
        <v>1260</v>
      </c>
      <c r="O83" s="749">
        <f t="shared" si="70"/>
        <v>-1260</v>
      </c>
      <c r="P83" s="748"/>
      <c r="R83" s="749">
        <f>INDEX('Actual-ACPLSZ'!$H$7:$T$207,MATCH($B83,'Actual-ACPLSZ'!$B$7:$B$207,0),MATCH(R$8,'Actual-ACPLSZ'!$H$6:$T$6,0))</f>
        <v>0</v>
      </c>
      <c r="S83" s="749">
        <f>INDEX('Budget-ACPLSZ'!$K$7:$W$207,MATCH($B83,'Budget-ACPLSZ'!$B$7:$B$207,0),MATCH(S$8,'Budget-ACPLSZ'!$K$6:$W$6,0))</f>
        <v>3631.95</v>
      </c>
      <c r="T83" s="749">
        <f t="shared" si="64"/>
        <v>3631.95</v>
      </c>
      <c r="U83" s="748"/>
      <c r="W83" s="749">
        <f>INDEX('Actual-ACPLGZ'!$H$7:$T$207,MATCH($B83,'Actual-ACPLGZ'!$B$7:$B$207,0),MATCH(W$8,'Actual-ACPLGZ'!$H$6:$T$6,0))</f>
        <v>0</v>
      </c>
      <c r="X83" s="749">
        <f>INDEX('Budget-ACPLGZ'!$K$7:$W$207,MATCH($B83,'Budget-ACPLGZ'!$B$7:$B$207,0),MATCH(X$8,'Budget-ACPLGZ'!$K$6:$W$6,0))</f>
        <v>0</v>
      </c>
      <c r="Y83" s="749">
        <f t="shared" si="71"/>
        <v>0</v>
      </c>
      <c r="Z83" s="748"/>
      <c r="AB83" s="749">
        <f>INDEX('Actual-ACPLGZ'!$H$7:$T$207,MATCH($B83,'Actual-ACPLGZ'!$B$7:$B$207,0),MATCH(AB$8,'Actual-ACPLGZ'!$H$6:$T$6,0))</f>
        <v>0</v>
      </c>
      <c r="AC83" s="749">
        <f>INDEX('Budget-Yixing'!$K$7:$W$207,MATCH($B83,'Budget-Yixing'!$B$7:$B$207,0),MATCH(AC$8,'Budget-Yixing'!$K$6:$W$6,0))</f>
        <v>0</v>
      </c>
      <c r="AD83" s="749">
        <f t="shared" si="65"/>
        <v>0</v>
      </c>
      <c r="AE83" s="748"/>
      <c r="AG83" s="751">
        <f>SUM(INDEX('Actual-ACPL'!$H$7:$T$207,MATCH($B83,'Actual-ACPL'!$B$7:$B$207,0),MATCH('Actual-ACPL'!H$6,'Actual-ACPL'!$H$6:$T$6,0)):INDEX('Actual-ACPL'!$H$7:$T$207,MATCH($B83,'Actual-ACPL'!$B$7:$B$207,0),MATCH(AG$8,'Actual-ACPL'!$H$6:$T$6,0)))</f>
        <v>0</v>
      </c>
      <c r="AH83" s="749">
        <f>SUM(INDEX('Budget-ACPL'!$K$7:$W$207,MATCH($B83,'Budget-ACPL'!$B$7:$B$207,0),MATCH('Budget-ACPL'!K$6,'Budget-ACPL'!$K$6:$W$6,0)):INDEX('Budget-ACPL'!$K$7:$W$207,MATCH($B83,'Budget-ACPL'!$B$7:$B$207,0),MATCH(AH$8,'Budget-ACPL'!$K$6:$W$6,0)))</f>
        <v>3622.0813019999996</v>
      </c>
      <c r="AI83" s="749">
        <f t="shared" si="68"/>
        <v>-3622.0813019999996</v>
      </c>
      <c r="AJ83" s="748"/>
      <c r="AL83" s="749">
        <f>SUM(INDEX('Actual-ACPLHK'!$H$7:$S$207,MATCH($B83,'Actual-ACPLHK'!$B$7:$B$207,0),MATCH('Actual-ACPLHK'!H$6,'Actual-ACPLHK'!$H$6:$T$6,0)):INDEX('Actual-ACPLHK'!$H$7:$S$207,MATCH($B83,'Actual-ACPLHK'!$B$7:$B$207,0),MATCH(AL$8,'Actual-ACPLHK'!$H$6:$T$6,0)))</f>
        <v>0</v>
      </c>
      <c r="AM83" s="749">
        <f>SUM(INDEX('Budget-ACPLHK'!$K$7:$W$207,MATCH($B83,'Budget-ACPLHK'!$B$7:$B$207,0),MATCH('Budget-ACPLHK'!K$6,'Budget-ACPLHK'!$K$6:$W$6,0)):INDEX('Budget-ACPLHK'!$K$7:$W$207,MATCH($B83,'Budget-ACPLHK'!$B$7:$B$207,0),MATCH(AM$8,'Budget-ACPLHK'!$K$6:$W$6,0)))</f>
        <v>0</v>
      </c>
      <c r="AN83" s="749">
        <f t="shared" si="73"/>
        <v>0</v>
      </c>
      <c r="AO83" s="748"/>
      <c r="AQ83" s="749">
        <f>SUM(INDEX('Actual-ACPSZL'!$H$7:$T$207,MATCH($B83,'Actual-ACPSZL'!$B$7:$B$207,0),MATCH('Actual-ACPSZL'!H$6,'Actual-ACPSZL'!$H$6:$T$6,0)):INDEX('Actual-ACPSZL'!$H$7:$T$207,MATCH($B83,'Actual-ACPSZL'!$B$7:$B$207,0),MATCH(AQ$8,'Actual-ACPSZL'!$H$6:$T$6,0)))</f>
        <v>0</v>
      </c>
      <c r="AR83" s="749">
        <f>SUM(INDEX('Budget-ACPSZL'!$K$7:$W$207,MATCH($B83,'Budget-ACPSZL'!$B$7:$B$207,0),MATCH('Budget-ACPSZL'!K$6,'Budget-ACPSZL'!$K$6:$W$6,0)):INDEX('Budget-ACPSZL'!$K$7:$W$207,MATCH($B83,'Budget-ACPSZL'!$B$7:$B$207,0),MATCH(AR$8,'Budget-ACPSZL'!$K$6:$W$6,0)))</f>
        <v>1260</v>
      </c>
      <c r="AS83" s="749">
        <f t="shared" si="69"/>
        <v>-1260</v>
      </c>
      <c r="AT83" s="748"/>
      <c r="AV83" s="749">
        <f>SUM(INDEX('Actual-ACPLSZ'!$H$7:$T$207,MATCH($B83,'Actual-ACPLSZ'!$B$7:$B$207,0),MATCH('Actual-ACPLSZ'!H$6,'Actual-ACPLSZ'!$H$6:$T$6,0)):INDEX('Actual-ACPLSZ'!$H$7:$T$207,MATCH($B83,'Actual-ACPLSZ'!$B$7:$B$207,0),MATCH(AV$8,'Actual-ACPLSZ'!$H$6:$T$6,0)))</f>
        <v>0</v>
      </c>
      <c r="AW83" s="749">
        <f>SUM(INDEX('Budget-ACPLSZ'!$K$7:$W$207,MATCH($B83,'Budget-ACPLSZ'!$B$7:$B$207,0),MATCH('Budget-ACPLSZ'!K$6,'Budget-ACPLSZ'!$K$6:$W$6,0)):INDEX('Budget-ACPLSZ'!$K$7:$W$207,MATCH($B83,'Budget-ACPLSZ'!$B$7:$B$207,0),MATCH(AW$8,'Budget-ACPLSZ'!$K$6:$W$6,0)))</f>
        <v>3631.95</v>
      </c>
      <c r="AX83" s="749">
        <f t="shared" si="72"/>
        <v>-3631.95</v>
      </c>
      <c r="AY83" s="748"/>
      <c r="BA83" s="749">
        <f>SUM(INDEX('Actual-ACPLGZ'!$H$7:$T$207,MATCH($B83,'Actual-ACPLGZ'!$B$7:$B$207,0),MATCH('Actual-ACPLGZ'!H$6,'Actual-ACPLGZ'!$H$6:$T$6,0)):INDEX('Actual-ACPLGZ'!$H$7:$T$207,MATCH($B83,'Actual-ACPLGZ'!$B$7:$B$207,0),MATCH(BA$8,'Actual-ACPLGZ'!$H$6:$T$6,0)))</f>
        <v>0</v>
      </c>
      <c r="BB83" s="749">
        <f>SUM(INDEX('Budget-ACPLGZ'!$K$7:$W$207,MATCH($B83,'Budget-ACPLGZ'!$B$7:$B$207,0),MATCH('Budget-ACPLGZ'!K$6,'Budget-ACPLGZ'!$K$6:$W$6,0)):INDEX('Budget-ACPLGZ'!$K$7:$W$207,MATCH($B83,'Budget-ACPLGZ'!$B$7:$B$207,0),MATCH(BB$8,'Budget-ACPLGZ'!$K$6:$W$6,0)))</f>
        <v>0</v>
      </c>
      <c r="BC83" s="749">
        <f t="shared" si="66"/>
        <v>0</v>
      </c>
      <c r="BD83" s="748"/>
      <c r="BF83" s="749">
        <f>SUM(INDEX('Actual-ACPLYixing'!$H$7:$T$207,MATCH($B83,'Actual-ACPLYixing'!$B$7:$B$207,0),MATCH('Actual-ACPLYixing'!H$6,'Actual-ACPLYixing'!$H$6:$T$6,0)):INDEX('Actual-ACPLYixing'!$H$7:$T$207,MATCH($B83,'Actual-ACPLYixing'!$B$7:$B$207,0),MATCH(BF$8,'Actual-ACPLYixing'!$H$6:$T$6,0)))</f>
        <v>0</v>
      </c>
      <c r="BG83" s="749">
        <f>SUM(INDEX('Budget-Yixing'!$K$7:$W$207,MATCH($B83,'Budget-Yixing'!$B$7:$B$207,0),MATCH('Budget-Yixing'!K$6,'Budget-Yixing'!$K$6:$W$6,0)):INDEX('Budget-Yixing'!$K$7:$W$207,MATCH($B83,'Budget-Yixing'!$B$7:$B$207,0),MATCH(BG$8,'Budget-Yixing'!$K$6:$W$6,0)))</f>
        <v>0</v>
      </c>
      <c r="BH83" s="749">
        <f t="shared" si="67"/>
        <v>0</v>
      </c>
      <c r="BI83" s="748"/>
    </row>
    <row r="84" spans="1:61" ht="16.5" customHeight="1">
      <c r="A84" s="653" t="str">
        <f>'Budget-合并'!A82</f>
        <v>6602.08.02</v>
      </c>
      <c r="B84" s="653" t="str">
        <f>'Budget-合并'!B82</f>
        <v>电脑软件费</v>
      </c>
      <c r="C84" s="746">
        <f>INDEX('Actual-ACPL'!$H$7:$T$207,MATCH($B84,'Actual-ACPL'!$B$7:$B$207,0),MATCH(C$8,'Actual-ACPL'!$H$6:$T$6,0))</f>
        <v>0</v>
      </c>
      <c r="D84" s="746">
        <f>INDEX('Budget-ACPL'!$K$7:$W$207,MATCH($B84,'Budget-ACPL'!$B$7:$B$207,0),MATCH(D$8,'Budget-ACPL'!$K$6:$W$6,0))</f>
        <v>0</v>
      </c>
      <c r="E84" s="746">
        <f t="shared" si="61"/>
        <v>0</v>
      </c>
      <c r="F84" s="752"/>
      <c r="H84" s="749">
        <f>INDEX('Actual-ACPLHK'!$H$7:$T$207,MATCH($B84,'Actual-ACPLHK'!$B$7:$B$207,0),MATCH(H$8,'Actual-ACPLHK'!$H$6:$T$6,0))</f>
        <v>0</v>
      </c>
      <c r="I84" s="749">
        <f>INDEX('Budget-ACPLHK'!$K$7:$W$207,MATCH($B84,'Budget-ACPLHK'!$B$7:$B$207,0),MATCH(I$8,'Budget-ACPLHK'!$K$6:$W$6,0))</f>
        <v>0</v>
      </c>
      <c r="J84" s="749">
        <f t="shared" si="62"/>
        <v>0</v>
      </c>
      <c r="K84" s="748"/>
      <c r="M84" s="749">
        <f>INDEX('Actual-ACPSZL'!$H$7:$T$207,MATCH($B84,'Actual-ACPSZL'!$B$7:$B$207,0),MATCH(M$8,'Actual-ACPSZL'!$H$6:$T$6,0))</f>
        <v>0</v>
      </c>
      <c r="N84" s="749">
        <f>INDEX('Budget-ACPSZL'!$K$7:$W$207,MATCH($B84,'Budget-ACPSZL'!$B$7:$B$207,0),MATCH(N$8,'Budget-ACPSZL'!$K$6:$W$6,0))</f>
        <v>0</v>
      </c>
      <c r="O84" s="749">
        <f t="shared" si="70"/>
        <v>0</v>
      </c>
      <c r="P84" s="748"/>
      <c r="R84" s="749">
        <f>INDEX('Actual-ACPLSZ'!$H$7:$T$207,MATCH($B84,'Actual-ACPLSZ'!$B$7:$B$207,0),MATCH(R$8,'Actual-ACPLSZ'!$H$6:$T$6,0))</f>
        <v>0</v>
      </c>
      <c r="S84" s="749">
        <f>INDEX('Budget-ACPLSZ'!$K$7:$W$207,MATCH($B84,'Budget-ACPLSZ'!$B$7:$B$207,0),MATCH(S$8,'Budget-ACPLSZ'!$K$6:$W$6,0))</f>
        <v>0</v>
      </c>
      <c r="T84" s="749"/>
      <c r="U84" s="748"/>
      <c r="W84" s="749">
        <f>INDEX('Actual-ACPLGZ'!$H$7:$T$207,MATCH($B84,'Actual-ACPLGZ'!$B$7:$B$207,0),MATCH(W$8,'Actual-ACPLGZ'!$H$6:$T$6,0))</f>
        <v>0</v>
      </c>
      <c r="X84" s="749">
        <f>INDEX('Budget-ACPLGZ'!$K$7:$W$207,MATCH($B84,'Budget-ACPLGZ'!$B$7:$B$207,0),MATCH(X$8,'Budget-ACPLGZ'!$K$6:$W$6,0))</f>
        <v>0</v>
      </c>
      <c r="Y84" s="749">
        <f t="shared" si="71"/>
        <v>0</v>
      </c>
      <c r="Z84" s="748"/>
      <c r="AB84" s="749">
        <f>INDEX('Actual-ACPLGZ'!$H$7:$T$207,MATCH($B84,'Actual-ACPLGZ'!$B$7:$B$207,0),MATCH(AB$8,'Actual-ACPLGZ'!$H$6:$T$6,0))</f>
        <v>0</v>
      </c>
      <c r="AC84" s="749">
        <f>INDEX('Budget-Yixing'!$K$7:$W$207,MATCH($B84,'Budget-Yixing'!$B$7:$B$207,0),MATCH(AC$8,'Budget-Yixing'!$K$6:$W$6,0))</f>
        <v>0</v>
      </c>
      <c r="AD84" s="749"/>
      <c r="AE84" s="748"/>
      <c r="AG84" s="751">
        <f>SUM(INDEX('Actual-ACPL'!$H$7:$T$207,MATCH($B84,'Actual-ACPL'!$B$7:$B$207,0),MATCH('Actual-ACPL'!H$6,'Actual-ACPL'!$H$6:$T$6,0)):INDEX('Actual-ACPL'!$H$7:$T$207,MATCH($B84,'Actual-ACPL'!$B$7:$B$207,0),MATCH(AG$8,'Actual-ACPL'!$H$6:$T$6,0)))</f>
        <v>0</v>
      </c>
      <c r="AH84" s="749">
        <f>SUM(INDEX('Budget-ACPL'!$K$7:$W$207,MATCH($B84,'Budget-ACPL'!$B$7:$B$207,0),MATCH('Budget-ACPL'!K$6,'Budget-ACPL'!$K$6:$W$6,0)):INDEX('Budget-ACPL'!$K$7:$W$207,MATCH($B84,'Budget-ACPL'!$B$7:$B$207,0),MATCH(AH$8,'Budget-ACPL'!$K$6:$W$6,0)))</f>
        <v>0</v>
      </c>
      <c r="AI84" s="749">
        <f t="shared" si="68"/>
        <v>0</v>
      </c>
      <c r="AJ84" s="748"/>
      <c r="AL84" s="749">
        <f>SUM(INDEX('Actual-ACPLHK'!$H$7:$S$207,MATCH($B84,'Actual-ACPLHK'!$B$7:$B$207,0),MATCH('Actual-ACPLHK'!H$6,'Actual-ACPLHK'!$H$6:$T$6,0)):INDEX('Actual-ACPLHK'!$H$7:$S$207,MATCH($B84,'Actual-ACPLHK'!$B$7:$B$207,0),MATCH(AL$8,'Actual-ACPLHK'!$H$6:$T$6,0)))</f>
        <v>0</v>
      </c>
      <c r="AM84" s="749">
        <f>SUM(INDEX('Budget-ACPLHK'!$K$7:$W$207,MATCH($B84,'Budget-ACPLHK'!$B$7:$B$207,0),MATCH('Budget-ACPLHK'!K$6,'Budget-ACPLHK'!$K$6:$W$6,0)):INDEX('Budget-ACPLHK'!$K$7:$W$207,MATCH($B84,'Budget-ACPLHK'!$B$7:$B$207,0),MATCH(AM$8,'Budget-ACPLHK'!$K$6:$W$6,0)))</f>
        <v>0</v>
      </c>
      <c r="AN84" s="749">
        <f t="shared" si="73"/>
        <v>0</v>
      </c>
      <c r="AO84" s="748"/>
      <c r="AQ84" s="749">
        <f>SUM(INDEX('Actual-ACPSZL'!$H$7:$T$207,MATCH($B84,'Actual-ACPSZL'!$B$7:$B$207,0),MATCH('Actual-ACPSZL'!H$6,'Actual-ACPSZL'!$H$6:$T$6,0)):INDEX('Actual-ACPSZL'!$H$7:$T$207,MATCH($B84,'Actual-ACPSZL'!$B$7:$B$207,0),MATCH(AQ$8,'Actual-ACPSZL'!$H$6:$T$6,0)))</f>
        <v>0</v>
      </c>
      <c r="AR84" s="749">
        <f>SUM(INDEX('Budget-ACPSZL'!$K$7:$W$207,MATCH($B84,'Budget-ACPSZL'!$B$7:$B$207,0),MATCH('Budget-ACPSZL'!K$6,'Budget-ACPSZL'!$K$6:$W$6,0)):INDEX('Budget-ACPSZL'!$K$7:$W$207,MATCH($B84,'Budget-ACPSZL'!$B$7:$B$207,0),MATCH(AR$8,'Budget-ACPSZL'!$K$6:$W$6,0)))</f>
        <v>0</v>
      </c>
      <c r="AS84" s="749">
        <f t="shared" si="69"/>
        <v>0</v>
      </c>
      <c r="AT84" s="748"/>
      <c r="AV84" s="749">
        <f>SUM(INDEX('Actual-ACPLSZ'!$H$7:$T$207,MATCH($B84,'Actual-ACPLSZ'!$B$7:$B$207,0),MATCH('Actual-ACPLSZ'!H$6,'Actual-ACPLSZ'!$H$6:$T$6,0)):INDEX('Actual-ACPLSZ'!$H$7:$T$207,MATCH($B84,'Actual-ACPLSZ'!$B$7:$B$207,0),MATCH(AV$8,'Actual-ACPLSZ'!$H$6:$T$6,0)))</f>
        <v>0</v>
      </c>
      <c r="AW84" s="749">
        <f>SUM(INDEX('Budget-ACPLSZ'!$K$7:$W$207,MATCH($B84,'Budget-ACPLSZ'!$B$7:$B$207,0),MATCH('Budget-ACPLSZ'!K$6,'Budget-ACPLSZ'!$K$6:$W$6,0)):INDEX('Budget-ACPLSZ'!$K$7:$W$207,MATCH($B84,'Budget-ACPLSZ'!$B$7:$B$207,0),MATCH(AW$8,'Budget-ACPLSZ'!$K$6:$W$6,0)))</f>
        <v>0</v>
      </c>
      <c r="AX84" s="749">
        <f t="shared" si="72"/>
        <v>0</v>
      </c>
      <c r="AY84" s="748"/>
      <c r="BA84" s="749">
        <f>SUM(INDEX('Actual-ACPLGZ'!$H$7:$T$207,MATCH($B84,'Actual-ACPLGZ'!$B$7:$B$207,0),MATCH('Actual-ACPLGZ'!H$6,'Actual-ACPLGZ'!$H$6:$T$6,0)):INDEX('Actual-ACPLGZ'!$H$7:$T$207,MATCH($B84,'Actual-ACPLGZ'!$B$7:$B$207,0),MATCH(BA$8,'Actual-ACPLGZ'!$H$6:$T$6,0)))</f>
        <v>0</v>
      </c>
      <c r="BB84" s="749">
        <f>SUM(INDEX('Budget-ACPLGZ'!$K$7:$W$207,MATCH($B84,'Budget-ACPLGZ'!$B$7:$B$207,0),MATCH('Budget-ACPLGZ'!K$6,'Budget-ACPLGZ'!$K$6:$W$6,0)):INDEX('Budget-ACPLGZ'!$K$7:$W$207,MATCH($B84,'Budget-ACPLGZ'!$B$7:$B$207,0),MATCH(BB$8,'Budget-ACPLGZ'!$K$6:$W$6,0)))</f>
        <v>0</v>
      </c>
      <c r="BC84" s="749"/>
      <c r="BD84" s="748"/>
      <c r="BF84" s="749">
        <f>SUM(INDEX('Actual-ACPLYixing'!$H$7:$T$207,MATCH($B84,'Actual-ACPLYixing'!$B$7:$B$207,0),MATCH('Actual-ACPLYixing'!H$6,'Actual-ACPLYixing'!$H$6:$T$6,0)):INDEX('Actual-ACPLYixing'!$H$7:$T$207,MATCH($B84,'Actual-ACPLYixing'!$B$7:$B$207,0),MATCH(BF$8,'Actual-ACPLYixing'!$H$6:$T$6,0)))</f>
        <v>0</v>
      </c>
      <c r="BG84" s="749">
        <f>SUM(INDEX('Budget-Yixing'!$K$7:$W$207,MATCH($B84,'Budget-Yixing'!$B$7:$B$207,0),MATCH('Budget-Yixing'!K$6,'Budget-Yixing'!$K$6:$W$6,0)):INDEX('Budget-Yixing'!$K$7:$W$207,MATCH($B84,'Budget-Yixing'!$B$7:$B$207,0),MATCH(BG$8,'Budget-Yixing'!$K$6:$W$6,0)))</f>
        <v>0</v>
      </c>
      <c r="BH84" s="749"/>
      <c r="BI84" s="748"/>
    </row>
    <row r="85" spans="1:61" ht="16.5" customHeight="1">
      <c r="A85" s="653" t="str">
        <f>'Budget-合并'!A83</f>
        <v>6602.08.03</v>
      </c>
      <c r="B85" s="653" t="str">
        <f>'Budget-合并'!B83</f>
        <v>办公用品</v>
      </c>
      <c r="C85" s="746">
        <f>INDEX('Actual-ACPL'!$H$7:$T$207,MATCH($B85,'Actual-ACPL'!$B$7:$B$207,0),MATCH(C$8,'Actual-ACPL'!$H$6:$T$6,0))</f>
        <v>0</v>
      </c>
      <c r="D85" s="746">
        <f>INDEX('Budget-ACPL'!$K$7:$W$207,MATCH($B85,'Budget-ACPL'!$B$7:$B$207,0),MATCH(D$8,'Budget-ACPL'!$K$6:$W$6,0))</f>
        <v>1483.3166666666666</v>
      </c>
      <c r="E85" s="746">
        <f t="shared" si="61"/>
        <v>-1483.3166666666666</v>
      </c>
      <c r="F85" s="752"/>
      <c r="H85" s="749">
        <f>INDEX('Actual-ACPLHK'!$H$7:$T$207,MATCH($B85,'Actual-ACPLHK'!$B$7:$B$207,0),MATCH(H$8,'Actual-ACPLHK'!$H$6:$T$6,0))</f>
        <v>0</v>
      </c>
      <c r="I85" s="749">
        <f>INDEX('Budget-ACPLHK'!$K$7:$W$207,MATCH($B85,'Budget-ACPLHK'!$B$7:$B$207,0),MATCH(I$8,'Budget-ACPLHK'!$K$6:$W$6,0))</f>
        <v>1868.9789999999998</v>
      </c>
      <c r="J85" s="749">
        <f t="shared" si="62"/>
        <v>-1868.9789999999998</v>
      </c>
      <c r="K85" s="748"/>
      <c r="M85" s="749">
        <f>INDEX('Actual-ACPSZL'!$H$7:$T$207,MATCH($B85,'Actual-ACPSZL'!$B$7:$B$207,0),MATCH(M$8,'Actual-ACPSZL'!$H$6:$T$6,0))</f>
        <v>0</v>
      </c>
      <c r="N85" s="749">
        <f>INDEX('Budget-ACPSZL'!$K$7:$W$207,MATCH($B85,'Budget-ACPSZL'!$B$7:$B$207,0),MATCH(N$8,'Budget-ACPSZL'!$K$6:$W$6,0))</f>
        <v>0</v>
      </c>
      <c r="O85" s="749">
        <f t="shared" si="70"/>
        <v>0</v>
      </c>
      <c r="P85" s="748"/>
      <c r="R85" s="749">
        <f>INDEX('Actual-ACPLSZ'!$H$7:$T$207,MATCH($B85,'Actual-ACPLSZ'!$B$7:$B$207,0),MATCH(R$8,'Actual-ACPLSZ'!$H$6:$T$6,0))</f>
        <v>0</v>
      </c>
      <c r="S85" s="749">
        <f>INDEX('Budget-ACPLSZ'!$K$7:$W$207,MATCH($B85,'Budget-ACPLSZ'!$B$7:$B$207,0),MATCH(S$8,'Budget-ACPLSZ'!$K$6:$W$6,0))</f>
        <v>875</v>
      </c>
      <c r="T85" s="749"/>
      <c r="U85" s="748"/>
      <c r="W85" s="749">
        <f>INDEX('Actual-ACPLGZ'!$H$7:$T$207,MATCH($B85,'Actual-ACPLGZ'!$B$7:$B$207,0),MATCH(W$8,'Actual-ACPLGZ'!$H$6:$T$6,0))</f>
        <v>0</v>
      </c>
      <c r="X85" s="749">
        <f>INDEX('Budget-ACPLGZ'!$K$7:$W$207,MATCH($B85,'Budget-ACPLGZ'!$B$7:$B$207,0),MATCH(X$8,'Budget-ACPLGZ'!$K$6:$W$6,0))</f>
        <v>0</v>
      </c>
      <c r="Y85" s="749">
        <f t="shared" si="71"/>
        <v>0</v>
      </c>
      <c r="Z85" s="748"/>
      <c r="AB85" s="749">
        <f>INDEX('Actual-ACPLGZ'!$H$7:$T$207,MATCH($B85,'Actual-ACPLGZ'!$B$7:$B$207,0),MATCH(AB$8,'Actual-ACPLGZ'!$H$6:$T$6,0))</f>
        <v>0</v>
      </c>
      <c r="AC85" s="749">
        <f>INDEX('Budget-Yixing'!$K$7:$W$207,MATCH($B85,'Budget-Yixing'!$B$7:$B$207,0),MATCH(AC$8,'Budget-Yixing'!$K$6:$W$6,0))</f>
        <v>0</v>
      </c>
      <c r="AD85" s="749"/>
      <c r="AE85" s="748"/>
      <c r="AG85" s="751">
        <f>SUM(INDEX('Actual-ACPL'!$H$7:$T$207,MATCH($B85,'Actual-ACPL'!$B$7:$B$207,0),MATCH('Actual-ACPL'!H$6,'Actual-ACPL'!$H$6:$T$6,0)):INDEX('Actual-ACPL'!$H$7:$T$207,MATCH($B85,'Actual-ACPL'!$B$7:$B$207,0),MATCH(AG$8,'Actual-ACPL'!$H$6:$T$6,0)))</f>
        <v>0</v>
      </c>
      <c r="AH85" s="749">
        <f>SUM(INDEX('Budget-ACPL'!$K$7:$W$207,MATCH($B85,'Budget-ACPL'!$B$7:$B$207,0),MATCH('Budget-ACPL'!K$6,'Budget-ACPL'!$K$6:$W$6,0)):INDEX('Budget-ACPL'!$K$7:$W$207,MATCH($B85,'Budget-ACPL'!$B$7:$B$207,0),MATCH(AH$8,'Budget-ACPL'!$K$6:$W$6,0)))</f>
        <v>1483.3166666666666</v>
      </c>
      <c r="AI85" s="749">
        <f t="shared" si="68"/>
        <v>-1483.3166666666666</v>
      </c>
      <c r="AJ85" s="748"/>
      <c r="AL85" s="749">
        <f>SUM(INDEX('Actual-ACPLHK'!$H$7:$S$207,MATCH($B85,'Actual-ACPLHK'!$B$7:$B$207,0),MATCH('Actual-ACPLHK'!H$6,'Actual-ACPLHK'!$H$6:$T$6,0)):INDEX('Actual-ACPLHK'!$H$7:$S$207,MATCH($B85,'Actual-ACPLHK'!$B$7:$B$207,0),MATCH(AL$8,'Actual-ACPLHK'!$H$6:$T$6,0)))</f>
        <v>0</v>
      </c>
      <c r="AM85" s="749">
        <f>SUM(INDEX('Budget-ACPLHK'!$K$7:$W$207,MATCH($B85,'Budget-ACPLHK'!$B$7:$B$207,0),MATCH('Budget-ACPLHK'!K$6,'Budget-ACPLHK'!$K$6:$W$6,0)):INDEX('Budget-ACPLHK'!$K$7:$W$207,MATCH($B85,'Budget-ACPLHK'!$B$7:$B$207,0),MATCH(AM$8,'Budget-ACPLHK'!$K$6:$W$6,0)))</f>
        <v>1868.9789999999998</v>
      </c>
      <c r="AN85" s="749">
        <f t="shared" si="73"/>
        <v>-1868.9789999999998</v>
      </c>
      <c r="AO85" s="748"/>
      <c r="AQ85" s="749">
        <f>SUM(INDEX('Actual-ACPSZL'!$H$7:$T$207,MATCH($B85,'Actual-ACPSZL'!$B$7:$B$207,0),MATCH('Actual-ACPSZL'!H$6,'Actual-ACPSZL'!$H$6:$T$6,0)):INDEX('Actual-ACPSZL'!$H$7:$T$207,MATCH($B85,'Actual-ACPSZL'!$B$7:$B$207,0),MATCH(AQ$8,'Actual-ACPSZL'!$H$6:$T$6,0)))</f>
        <v>0</v>
      </c>
      <c r="AR85" s="749">
        <f>SUM(INDEX('Budget-ACPSZL'!$K$7:$W$207,MATCH($B85,'Budget-ACPSZL'!$B$7:$B$207,0),MATCH('Budget-ACPSZL'!K$6,'Budget-ACPSZL'!$K$6:$W$6,0)):INDEX('Budget-ACPSZL'!$K$7:$W$207,MATCH($B85,'Budget-ACPSZL'!$B$7:$B$207,0),MATCH(AR$8,'Budget-ACPSZL'!$K$6:$W$6,0)))</f>
        <v>0</v>
      </c>
      <c r="AS85" s="749">
        <f t="shared" si="69"/>
        <v>0</v>
      </c>
      <c r="AT85" s="748"/>
      <c r="AV85" s="749">
        <f>SUM(INDEX('Actual-ACPLSZ'!$H$7:$T$207,MATCH($B85,'Actual-ACPLSZ'!$B$7:$B$207,0),MATCH('Actual-ACPLSZ'!H$6,'Actual-ACPLSZ'!$H$6:$T$6,0)):INDEX('Actual-ACPLSZ'!$H$7:$T$207,MATCH($B85,'Actual-ACPLSZ'!$B$7:$B$207,0),MATCH(AV$8,'Actual-ACPLSZ'!$H$6:$T$6,0)))</f>
        <v>0</v>
      </c>
      <c r="AW85" s="749">
        <f>SUM(INDEX('Budget-ACPLSZ'!$K$7:$W$207,MATCH($B85,'Budget-ACPLSZ'!$B$7:$B$207,0),MATCH('Budget-ACPLSZ'!K$6,'Budget-ACPLSZ'!$K$6:$W$6,0)):INDEX('Budget-ACPLSZ'!$K$7:$W$207,MATCH($B85,'Budget-ACPLSZ'!$B$7:$B$207,0),MATCH(AW$8,'Budget-ACPLSZ'!$K$6:$W$6,0)))</f>
        <v>875</v>
      </c>
      <c r="AX85" s="749">
        <f t="shared" si="72"/>
        <v>-875</v>
      </c>
      <c r="AY85" s="748"/>
      <c r="BA85" s="749">
        <f>SUM(INDEX('Actual-ACPLGZ'!$H$7:$T$207,MATCH($B85,'Actual-ACPLGZ'!$B$7:$B$207,0),MATCH('Actual-ACPLGZ'!H$6,'Actual-ACPLGZ'!$H$6:$T$6,0)):INDEX('Actual-ACPLGZ'!$H$7:$T$207,MATCH($B85,'Actual-ACPLGZ'!$B$7:$B$207,0),MATCH(BA$8,'Actual-ACPLGZ'!$H$6:$T$6,0)))</f>
        <v>0</v>
      </c>
      <c r="BB85" s="749">
        <f>SUM(INDEX('Budget-ACPLGZ'!$K$7:$W$207,MATCH($B85,'Budget-ACPLGZ'!$B$7:$B$207,0),MATCH('Budget-ACPLGZ'!K$6,'Budget-ACPLGZ'!$K$6:$W$6,0)):INDEX('Budget-ACPLGZ'!$K$7:$W$207,MATCH($B85,'Budget-ACPLGZ'!$B$7:$B$207,0),MATCH(BB$8,'Budget-ACPLGZ'!$K$6:$W$6,0)))</f>
        <v>0</v>
      </c>
      <c r="BC85" s="749"/>
      <c r="BD85" s="748"/>
      <c r="BF85" s="749">
        <f>SUM(INDEX('Actual-ACPLYixing'!$H$7:$T$207,MATCH($B85,'Actual-ACPLYixing'!$B$7:$B$207,0),MATCH('Actual-ACPLYixing'!H$6,'Actual-ACPLYixing'!$H$6:$T$6,0)):INDEX('Actual-ACPLYixing'!$H$7:$T$207,MATCH($B85,'Actual-ACPLYixing'!$B$7:$B$207,0),MATCH(BF$8,'Actual-ACPLYixing'!$H$6:$T$6,0)))</f>
        <v>0</v>
      </c>
      <c r="BG85" s="749">
        <f>SUM(INDEX('Budget-Yixing'!$K$7:$W$207,MATCH($B85,'Budget-Yixing'!$B$7:$B$207,0),MATCH('Budget-Yixing'!K$6,'Budget-Yixing'!$K$6:$W$6,0)):INDEX('Budget-Yixing'!$K$7:$W$207,MATCH($B85,'Budget-Yixing'!$B$7:$B$207,0),MATCH(BG$8,'Budget-Yixing'!$K$6:$W$6,0)))</f>
        <v>0</v>
      </c>
      <c r="BH85" s="749"/>
      <c r="BI85" s="748"/>
    </row>
    <row r="86" spans="1:61" ht="16.5" customHeight="1">
      <c r="A86" s="653" t="str">
        <f>'Budget-合并'!A84</f>
        <v>6602.08.04</v>
      </c>
      <c r="B86" s="653" t="str">
        <f>'Budget-合并'!B84</f>
        <v>事务保金</v>
      </c>
      <c r="C86" s="746">
        <f>INDEX('Actual-ACPL'!$H$7:$T$207,MATCH($B86,'Actual-ACPL'!$B$7:$B$207,0),MATCH(C$8,'Actual-ACPL'!$H$6:$T$6,0))</f>
        <v>0</v>
      </c>
      <c r="D86" s="746">
        <f>INDEX('Budget-ACPL'!$K$7:$W$207,MATCH($B86,'Budget-ACPL'!$B$7:$B$207,0),MATCH(D$8,'Budget-ACPL'!$K$6:$W$6,0))</f>
        <v>375.742653125</v>
      </c>
      <c r="E86" s="746">
        <f t="shared" si="61"/>
        <v>-375.742653125</v>
      </c>
      <c r="F86" s="752"/>
      <c r="H86" s="749">
        <f>INDEX('Actual-ACPLHK'!$H$7:$T$207,MATCH($B86,'Actual-ACPLHK'!$B$7:$B$207,0),MATCH(H$8,'Actual-ACPLHK'!$H$6:$T$6,0))</f>
        <v>0</v>
      </c>
      <c r="I86" s="749">
        <f>INDEX('Budget-ACPLHK'!$K$7:$W$207,MATCH($B86,'Budget-ACPLHK'!$B$7:$B$207,0),MATCH(I$8,'Budget-ACPLHK'!$K$6:$W$6,0))</f>
        <v>4751.8791074999999</v>
      </c>
      <c r="J86" s="749">
        <f t="shared" si="62"/>
        <v>-4751.8791074999999</v>
      </c>
      <c r="K86" s="748"/>
      <c r="M86" s="749">
        <f>INDEX('Actual-ACPSZL'!$H$7:$T$207,MATCH($B86,'Actual-ACPSZL'!$B$7:$B$207,0),MATCH(M$8,'Actual-ACPSZL'!$H$6:$T$6,0))</f>
        <v>0</v>
      </c>
      <c r="N86" s="749">
        <f>INDEX('Budget-ACPSZL'!$K$7:$W$207,MATCH($B86,'Budget-ACPSZL'!$B$7:$B$207,0),MATCH(N$8,'Budget-ACPSZL'!$K$6:$W$6,0))</f>
        <v>0</v>
      </c>
      <c r="O86" s="749">
        <f t="shared" si="70"/>
        <v>0</v>
      </c>
      <c r="P86" s="748"/>
      <c r="R86" s="749">
        <f>INDEX('Actual-ACPLSZ'!$H$7:$T$207,MATCH($B86,'Actual-ACPLSZ'!$B$7:$B$207,0),MATCH(R$8,'Actual-ACPLSZ'!$H$6:$T$6,0))</f>
        <v>0</v>
      </c>
      <c r="S86" s="749">
        <f>INDEX('Budget-ACPLSZ'!$K$7:$W$207,MATCH($B86,'Budget-ACPLSZ'!$B$7:$B$207,0),MATCH(S$8,'Budget-ACPLSZ'!$K$6:$W$6,0))</f>
        <v>0</v>
      </c>
      <c r="T86" s="749">
        <f>(R86-S86)*-1</f>
        <v>0</v>
      </c>
      <c r="U86" s="748"/>
      <c r="W86" s="749">
        <f>INDEX('Actual-ACPLGZ'!$H$7:$T$207,MATCH($B86,'Actual-ACPLGZ'!$B$7:$B$207,0),MATCH(W$8,'Actual-ACPLGZ'!$H$6:$T$6,0))</f>
        <v>0</v>
      </c>
      <c r="X86" s="749">
        <f>INDEX('Budget-ACPLGZ'!$K$7:$W$207,MATCH($B86,'Budget-ACPLGZ'!$B$7:$B$207,0),MATCH(X$8,'Budget-ACPLGZ'!$K$6:$W$6,0))</f>
        <v>0</v>
      </c>
      <c r="Y86" s="749">
        <f t="shared" si="71"/>
        <v>0</v>
      </c>
      <c r="Z86" s="748"/>
      <c r="AB86" s="749">
        <f>INDEX('Actual-ACPLGZ'!$H$7:$T$207,MATCH($B86,'Actual-ACPLGZ'!$B$7:$B$207,0),MATCH(AB$8,'Actual-ACPLGZ'!$H$6:$T$6,0))</f>
        <v>0</v>
      </c>
      <c r="AC86" s="749">
        <f>INDEX('Budget-Yixing'!$K$7:$W$207,MATCH($B86,'Budget-Yixing'!$B$7:$B$207,0),MATCH(AC$8,'Budget-Yixing'!$K$6:$W$6,0))</f>
        <v>0</v>
      </c>
      <c r="AD86" s="749">
        <f>(AB86-AC86)*-1</f>
        <v>0</v>
      </c>
      <c r="AE86" s="748"/>
      <c r="AG86" s="751">
        <f>SUM(INDEX('Actual-ACPL'!$H$7:$T$207,MATCH($B86,'Actual-ACPL'!$B$7:$B$207,0),MATCH('Actual-ACPL'!H$6,'Actual-ACPL'!$H$6:$T$6,0)):INDEX('Actual-ACPL'!$H$7:$T$207,MATCH($B86,'Actual-ACPL'!$B$7:$B$207,0),MATCH(AG$8,'Actual-ACPL'!$H$6:$T$6,0)))</f>
        <v>0</v>
      </c>
      <c r="AH86" s="749">
        <f>SUM(INDEX('Budget-ACPL'!$K$7:$W$207,MATCH($B86,'Budget-ACPL'!$B$7:$B$207,0),MATCH('Budget-ACPL'!K$6,'Budget-ACPL'!$K$6:$W$6,0)):INDEX('Budget-ACPL'!$K$7:$W$207,MATCH($B86,'Budget-ACPL'!$B$7:$B$207,0),MATCH(AH$8,'Budget-ACPL'!$K$6:$W$6,0)))</f>
        <v>375.742653125</v>
      </c>
      <c r="AI86" s="749">
        <f t="shared" si="68"/>
        <v>-375.742653125</v>
      </c>
      <c r="AJ86" s="748"/>
      <c r="AL86" s="749">
        <f>SUM(INDEX('Actual-ACPLHK'!$H$7:$S$207,MATCH($B86,'Actual-ACPLHK'!$B$7:$B$207,0),MATCH('Actual-ACPLHK'!H$6,'Actual-ACPLHK'!$H$6:$T$6,0)):INDEX('Actual-ACPLHK'!$H$7:$S$207,MATCH($B86,'Actual-ACPLHK'!$B$7:$B$207,0),MATCH(AL$8,'Actual-ACPLHK'!$H$6:$T$6,0)))</f>
        <v>0</v>
      </c>
      <c r="AM86" s="749">
        <f>SUM(INDEX('Budget-ACPLHK'!$K$7:$W$207,MATCH($B86,'Budget-ACPLHK'!$B$7:$B$207,0),MATCH('Budget-ACPLHK'!K$6,'Budget-ACPLHK'!$K$6:$W$6,0)):INDEX('Budget-ACPLHK'!$K$7:$W$207,MATCH($B86,'Budget-ACPLHK'!$B$7:$B$207,0),MATCH(AM$8,'Budget-ACPLHK'!$K$6:$W$6,0)))</f>
        <v>4751.8791074999999</v>
      </c>
      <c r="AN86" s="749">
        <f t="shared" si="73"/>
        <v>-4751.8791074999999</v>
      </c>
      <c r="AO86" s="748"/>
      <c r="AQ86" s="749">
        <f>SUM(INDEX('Actual-ACPSZL'!$H$7:$T$207,MATCH($B86,'Actual-ACPSZL'!$B$7:$B$207,0),MATCH('Actual-ACPSZL'!H$6,'Actual-ACPSZL'!$H$6:$T$6,0)):INDEX('Actual-ACPSZL'!$H$7:$T$207,MATCH($B86,'Actual-ACPSZL'!$B$7:$B$207,0),MATCH(AQ$8,'Actual-ACPSZL'!$H$6:$T$6,0)))</f>
        <v>0</v>
      </c>
      <c r="AR86" s="749">
        <f>SUM(INDEX('Budget-ACPSZL'!$K$7:$W$207,MATCH($B86,'Budget-ACPSZL'!$B$7:$B$207,0),MATCH('Budget-ACPSZL'!K$6,'Budget-ACPSZL'!$K$6:$W$6,0)):INDEX('Budget-ACPSZL'!$K$7:$W$207,MATCH($B86,'Budget-ACPSZL'!$B$7:$B$207,0),MATCH(AR$8,'Budget-ACPSZL'!$K$6:$W$6,0)))</f>
        <v>0</v>
      </c>
      <c r="AS86" s="749">
        <f t="shared" si="69"/>
        <v>0</v>
      </c>
      <c r="AT86" s="748"/>
      <c r="AV86" s="749">
        <f>SUM(INDEX('Actual-ACPLSZ'!$H$7:$T$207,MATCH($B86,'Actual-ACPLSZ'!$B$7:$B$207,0),MATCH('Actual-ACPLSZ'!H$6,'Actual-ACPLSZ'!$H$6:$T$6,0)):INDEX('Actual-ACPLSZ'!$H$7:$T$207,MATCH($B86,'Actual-ACPLSZ'!$B$7:$B$207,0),MATCH(AV$8,'Actual-ACPLSZ'!$H$6:$T$6,0)))</f>
        <v>0</v>
      </c>
      <c r="AW86" s="749">
        <f>SUM(INDEX('Budget-ACPLSZ'!$K$7:$W$207,MATCH($B86,'Budget-ACPLSZ'!$B$7:$B$207,0),MATCH('Budget-ACPLSZ'!K$6,'Budget-ACPLSZ'!$K$6:$W$6,0)):INDEX('Budget-ACPLSZ'!$K$7:$W$207,MATCH($B86,'Budget-ACPLSZ'!$B$7:$B$207,0),MATCH(AW$8,'Budget-ACPLSZ'!$K$6:$W$6,0)))</f>
        <v>0</v>
      </c>
      <c r="AX86" s="749">
        <f t="shared" si="72"/>
        <v>0</v>
      </c>
      <c r="AY86" s="748"/>
      <c r="BA86" s="749">
        <f>SUM(INDEX('Actual-ACPLGZ'!$H$7:$T$207,MATCH($B86,'Actual-ACPLGZ'!$B$7:$B$207,0),MATCH('Actual-ACPLGZ'!H$6,'Actual-ACPLGZ'!$H$6:$T$6,0)):INDEX('Actual-ACPLGZ'!$H$7:$T$207,MATCH($B86,'Actual-ACPLGZ'!$B$7:$B$207,0),MATCH(BA$8,'Actual-ACPLGZ'!$H$6:$T$6,0)))</f>
        <v>0</v>
      </c>
      <c r="BB86" s="749">
        <f>SUM(INDEX('Budget-ACPLGZ'!$K$7:$W$207,MATCH($B86,'Budget-ACPLGZ'!$B$7:$B$207,0),MATCH('Budget-ACPLGZ'!K$6,'Budget-ACPLGZ'!$K$6:$W$6,0)):INDEX('Budget-ACPLGZ'!$K$7:$W$207,MATCH($B86,'Budget-ACPLGZ'!$B$7:$B$207,0),MATCH(BB$8,'Budget-ACPLGZ'!$K$6:$W$6,0)))</f>
        <v>0</v>
      </c>
      <c r="BC86" s="749">
        <f>BA86-BB86</f>
        <v>0</v>
      </c>
      <c r="BD86" s="748"/>
      <c r="BF86" s="749">
        <f>SUM(INDEX('Actual-ACPLYixing'!$H$7:$T$207,MATCH($B86,'Actual-ACPLYixing'!$B$7:$B$207,0),MATCH('Actual-ACPLYixing'!H$6,'Actual-ACPLYixing'!$H$6:$T$6,0)):INDEX('Actual-ACPLYixing'!$H$7:$T$207,MATCH($B86,'Actual-ACPLYixing'!$B$7:$B$207,0),MATCH(BF$8,'Actual-ACPLYixing'!$H$6:$T$6,0)))</f>
        <v>0</v>
      </c>
      <c r="BG86" s="749">
        <f>SUM(INDEX('Budget-Yixing'!$K$7:$W$207,MATCH($B86,'Budget-Yixing'!$B$7:$B$207,0),MATCH('Budget-Yixing'!K$6,'Budget-Yixing'!$K$6:$W$6,0)):INDEX('Budget-Yixing'!$K$7:$W$207,MATCH($B86,'Budget-Yixing'!$B$7:$B$207,0),MATCH(BG$8,'Budget-Yixing'!$K$6:$W$6,0)))</f>
        <v>0</v>
      </c>
      <c r="BH86" s="749">
        <f>BF86-BG86</f>
        <v>0</v>
      </c>
      <c r="BI86" s="748"/>
    </row>
    <row r="87" spans="1:61" ht="16.5" customHeight="1">
      <c r="A87" s="653" t="str">
        <f>'Budget-合并'!A85</f>
        <v>6602.08.05</v>
      </c>
      <c r="B87" s="653" t="str">
        <f>'Budget-合并'!B85</f>
        <v>邮费/邮递费</v>
      </c>
      <c r="C87" s="746">
        <f>INDEX('Actual-ACPL'!$H$7:$T$207,MATCH($B87,'Actual-ACPL'!$B$7:$B$207,0),MATCH(C$8,'Actual-ACPL'!$H$6:$T$6,0))</f>
        <v>0</v>
      </c>
      <c r="D87" s="746">
        <f>INDEX('Budget-ACPL'!$K$7:$W$207,MATCH($B87,'Budget-ACPL'!$B$7:$B$207,0),MATCH(D$8,'Budget-ACPL'!$K$6:$W$6,0))</f>
        <v>467.24474999999995</v>
      </c>
      <c r="E87" s="746">
        <f t="shared" si="61"/>
        <v>-467.24474999999995</v>
      </c>
      <c r="F87" s="752"/>
      <c r="H87" s="749">
        <f>INDEX('Actual-ACPLHK'!$H$7:$T$207,MATCH($B87,'Actual-ACPLHK'!$B$7:$B$207,0),MATCH(H$8,'Actual-ACPLHK'!$H$6:$T$6,0))</f>
        <v>0</v>
      </c>
      <c r="I87" s="749">
        <f>INDEX('Budget-ACPLHK'!$K$7:$W$207,MATCH($B87,'Budget-ACPLHK'!$B$7:$B$207,0),MATCH(I$8,'Budget-ACPLHK'!$K$6:$W$6,0))</f>
        <v>0</v>
      </c>
      <c r="J87" s="749">
        <f t="shared" si="62"/>
        <v>0</v>
      </c>
      <c r="K87" s="748"/>
      <c r="M87" s="749">
        <f>INDEX('Actual-ACPSZL'!$H$7:$T$207,MATCH($B87,'Actual-ACPSZL'!$B$7:$B$207,0),MATCH(M$8,'Actual-ACPSZL'!$H$6:$T$6,0))</f>
        <v>0</v>
      </c>
      <c r="N87" s="749">
        <f>INDEX('Budget-ACPSZL'!$K$7:$W$207,MATCH($B87,'Budget-ACPSZL'!$B$7:$B$207,0),MATCH(N$8,'Budget-ACPSZL'!$K$6:$W$6,0))</f>
        <v>0</v>
      </c>
      <c r="O87" s="749">
        <f t="shared" si="70"/>
        <v>0</v>
      </c>
      <c r="P87" s="748"/>
      <c r="R87" s="749">
        <f>INDEX('Actual-ACPLSZ'!$H$7:$T$207,MATCH($B87,'Actual-ACPLSZ'!$B$7:$B$207,0),MATCH(R$8,'Actual-ACPLSZ'!$H$6:$T$6,0))</f>
        <v>0</v>
      </c>
      <c r="S87" s="749">
        <f>INDEX('Budget-ACPLSZ'!$K$7:$W$207,MATCH($B87,'Budget-ACPLSZ'!$B$7:$B$207,0),MATCH(S$8,'Budget-ACPLSZ'!$K$6:$W$6,0))</f>
        <v>630</v>
      </c>
      <c r="T87" s="749">
        <f>(R87-S87)*-1</f>
        <v>630</v>
      </c>
      <c r="U87" s="748"/>
      <c r="W87" s="749">
        <f>INDEX('Actual-ACPLGZ'!$H$7:$T$207,MATCH($B87,'Actual-ACPLGZ'!$B$7:$B$207,0),MATCH(W$8,'Actual-ACPLGZ'!$H$6:$T$6,0))</f>
        <v>0</v>
      </c>
      <c r="X87" s="749">
        <f>INDEX('Budget-ACPLGZ'!$K$7:$W$207,MATCH($B87,'Budget-ACPLGZ'!$B$7:$B$207,0),MATCH(X$8,'Budget-ACPLGZ'!$K$6:$W$6,0))</f>
        <v>0</v>
      </c>
      <c r="Y87" s="749">
        <f t="shared" si="71"/>
        <v>0</v>
      </c>
      <c r="Z87" s="748"/>
      <c r="AB87" s="749">
        <f>INDEX('Actual-ACPLGZ'!$H$7:$T$207,MATCH($B87,'Actual-ACPLGZ'!$B$7:$B$207,0),MATCH(AB$8,'Actual-ACPLGZ'!$H$6:$T$6,0))</f>
        <v>0</v>
      </c>
      <c r="AC87" s="749">
        <f>INDEX('Budget-Yixing'!$K$7:$W$207,MATCH($B87,'Budget-Yixing'!$B$7:$B$207,0),MATCH(AC$8,'Budget-Yixing'!$K$6:$W$6,0))</f>
        <v>0</v>
      </c>
      <c r="AD87" s="749">
        <f>(AB87-AC87)*-1</f>
        <v>0</v>
      </c>
      <c r="AE87" s="748"/>
      <c r="AG87" s="751">
        <f>SUM(INDEX('Actual-ACPL'!$H$7:$T$207,MATCH($B87,'Actual-ACPL'!$B$7:$B$207,0),MATCH('Actual-ACPL'!H$6,'Actual-ACPL'!$H$6:$T$6,0)):INDEX('Actual-ACPL'!$H$7:$T$207,MATCH($B87,'Actual-ACPL'!$B$7:$B$207,0),MATCH(AG$8,'Actual-ACPL'!$H$6:$T$6,0)))</f>
        <v>0</v>
      </c>
      <c r="AH87" s="749">
        <f>SUM(INDEX('Budget-ACPL'!$K$7:$W$207,MATCH($B87,'Budget-ACPL'!$B$7:$B$207,0),MATCH('Budget-ACPL'!K$6,'Budget-ACPL'!$K$6:$W$6,0)):INDEX('Budget-ACPL'!$K$7:$W$207,MATCH($B87,'Budget-ACPL'!$B$7:$B$207,0),MATCH(AH$8,'Budget-ACPL'!$K$6:$W$6,0)))</f>
        <v>467.24474999999995</v>
      </c>
      <c r="AI87" s="749">
        <f t="shared" si="68"/>
        <v>-467.24474999999995</v>
      </c>
      <c r="AJ87" s="748"/>
      <c r="AL87" s="749">
        <f>SUM(INDEX('Actual-ACPLHK'!$H$7:$S$207,MATCH($B87,'Actual-ACPLHK'!$B$7:$B$207,0),MATCH('Actual-ACPLHK'!H$6,'Actual-ACPLHK'!$H$6:$T$6,0)):INDEX('Actual-ACPLHK'!$H$7:$S$207,MATCH($B87,'Actual-ACPLHK'!$B$7:$B$207,0),MATCH(AL$8,'Actual-ACPLHK'!$H$6:$T$6,0)))</f>
        <v>0</v>
      </c>
      <c r="AM87" s="749">
        <f>SUM(INDEX('Budget-ACPLHK'!$K$7:$W$207,MATCH($B87,'Budget-ACPLHK'!$B$7:$B$207,0),MATCH('Budget-ACPLHK'!K$6,'Budget-ACPLHK'!$K$6:$W$6,0)):INDEX('Budget-ACPLHK'!$K$7:$W$207,MATCH($B87,'Budget-ACPLHK'!$B$7:$B$207,0),MATCH(AM$8,'Budget-ACPLHK'!$K$6:$W$6,0)))</f>
        <v>0</v>
      </c>
      <c r="AN87" s="749">
        <f t="shared" si="73"/>
        <v>0</v>
      </c>
      <c r="AO87" s="748"/>
      <c r="AQ87" s="749">
        <f>SUM(INDEX('Actual-ACPSZL'!$H$7:$T$207,MATCH($B87,'Actual-ACPSZL'!$B$7:$B$207,0),MATCH('Actual-ACPSZL'!H$6,'Actual-ACPSZL'!$H$6:$T$6,0)):INDEX('Actual-ACPSZL'!$H$7:$T$207,MATCH($B87,'Actual-ACPSZL'!$B$7:$B$207,0),MATCH(AQ$8,'Actual-ACPSZL'!$H$6:$T$6,0)))</f>
        <v>0</v>
      </c>
      <c r="AR87" s="749">
        <f>SUM(INDEX('Budget-ACPSZL'!$K$7:$W$207,MATCH($B87,'Budget-ACPSZL'!$B$7:$B$207,0),MATCH('Budget-ACPSZL'!K$6,'Budget-ACPSZL'!$K$6:$W$6,0)):INDEX('Budget-ACPSZL'!$K$7:$W$207,MATCH($B87,'Budget-ACPSZL'!$B$7:$B$207,0),MATCH(AR$8,'Budget-ACPSZL'!$K$6:$W$6,0)))</f>
        <v>0</v>
      </c>
      <c r="AS87" s="749">
        <f t="shared" si="69"/>
        <v>0</v>
      </c>
      <c r="AT87" s="748"/>
      <c r="AV87" s="749">
        <f>SUM(INDEX('Actual-ACPLSZ'!$H$7:$T$207,MATCH($B87,'Actual-ACPLSZ'!$B$7:$B$207,0),MATCH('Actual-ACPLSZ'!H$6,'Actual-ACPLSZ'!$H$6:$T$6,0)):INDEX('Actual-ACPLSZ'!$H$7:$T$207,MATCH($B87,'Actual-ACPLSZ'!$B$7:$B$207,0),MATCH(AV$8,'Actual-ACPLSZ'!$H$6:$T$6,0)))</f>
        <v>0</v>
      </c>
      <c r="AW87" s="749">
        <f>SUM(INDEX('Budget-ACPLSZ'!$K$7:$W$207,MATCH($B87,'Budget-ACPLSZ'!$B$7:$B$207,0),MATCH('Budget-ACPLSZ'!K$6,'Budget-ACPLSZ'!$K$6:$W$6,0)):INDEX('Budget-ACPLSZ'!$K$7:$W$207,MATCH($B87,'Budget-ACPLSZ'!$B$7:$B$207,0),MATCH(AW$8,'Budget-ACPLSZ'!$K$6:$W$6,0)))</f>
        <v>630</v>
      </c>
      <c r="AX87" s="749">
        <f t="shared" si="72"/>
        <v>-630</v>
      </c>
      <c r="AY87" s="748"/>
      <c r="BA87" s="749">
        <f>SUM(INDEX('Actual-ACPLGZ'!$H$7:$T$207,MATCH($B87,'Actual-ACPLGZ'!$B$7:$B$207,0),MATCH('Actual-ACPLGZ'!H$6,'Actual-ACPLGZ'!$H$6:$T$6,0)):INDEX('Actual-ACPLGZ'!$H$7:$T$207,MATCH($B87,'Actual-ACPLGZ'!$B$7:$B$207,0),MATCH(BA$8,'Actual-ACPLGZ'!$H$6:$T$6,0)))</f>
        <v>0</v>
      </c>
      <c r="BB87" s="749">
        <f>SUM(INDEX('Budget-ACPLGZ'!$K$7:$W$207,MATCH($B87,'Budget-ACPLGZ'!$B$7:$B$207,0),MATCH('Budget-ACPLGZ'!K$6,'Budget-ACPLGZ'!$K$6:$W$6,0)):INDEX('Budget-ACPLGZ'!$K$7:$W$207,MATCH($B87,'Budget-ACPLGZ'!$B$7:$B$207,0),MATCH(BB$8,'Budget-ACPLGZ'!$K$6:$W$6,0)))</f>
        <v>0</v>
      </c>
      <c r="BC87" s="749">
        <f>BA87-BB87</f>
        <v>0</v>
      </c>
      <c r="BD87" s="748"/>
      <c r="BF87" s="749">
        <f>SUM(INDEX('Actual-ACPLYixing'!$H$7:$T$207,MATCH($B87,'Actual-ACPLYixing'!$B$7:$B$207,0),MATCH('Actual-ACPLYixing'!H$6,'Actual-ACPLYixing'!$H$6:$T$6,0)):INDEX('Actual-ACPLYixing'!$H$7:$T$207,MATCH($B87,'Actual-ACPLYixing'!$B$7:$B$207,0),MATCH(BF$8,'Actual-ACPLYixing'!$H$6:$T$6,0)))</f>
        <v>0</v>
      </c>
      <c r="BG87" s="749">
        <f>SUM(INDEX('Budget-Yixing'!$K$7:$W$207,MATCH($B87,'Budget-Yixing'!$B$7:$B$207,0),MATCH('Budget-Yixing'!K$6,'Budget-Yixing'!$K$6:$W$6,0)):INDEX('Budget-Yixing'!$K$7:$W$207,MATCH($B87,'Budget-Yixing'!$B$7:$B$207,0),MATCH(BG$8,'Budget-Yixing'!$K$6:$W$6,0)))</f>
        <v>0</v>
      </c>
      <c r="BH87" s="749">
        <f>BF87-BG87</f>
        <v>0</v>
      </c>
      <c r="BI87" s="748"/>
    </row>
    <row r="88" spans="1:61" ht="16.5" customHeight="1">
      <c r="A88" s="653" t="str">
        <f>'Budget-合并'!A86</f>
        <v>6602.08.06</v>
      </c>
      <c r="B88" s="653" t="str">
        <f>'Budget-合并'!B86</f>
        <v>IT专业人士及微软服务</v>
      </c>
      <c r="C88" s="746">
        <f>INDEX('Actual-ACPL'!$H$7:$T$207,MATCH($B88,'Actual-ACPL'!$B$7:$B$207,0),MATCH(C$8,'Actual-ACPL'!$H$6:$T$6,0))</f>
        <v>0</v>
      </c>
      <c r="D88" s="746">
        <f>INDEX('Budget-ACPL'!$K$7:$W$207,MATCH($B88,'Budget-ACPL'!$B$7:$B$207,0),MATCH(D$8,'Budget-ACPL'!$K$6:$W$6,0))</f>
        <v>7342.4174999999996</v>
      </c>
      <c r="E88" s="746">
        <f t="shared" si="61"/>
        <v>-7342.4174999999996</v>
      </c>
      <c r="F88" s="752"/>
      <c r="H88" s="749">
        <f>INDEX('Actual-ACPLHK'!$H$7:$T$207,MATCH($B88,'Actual-ACPLHK'!$B$7:$B$207,0),MATCH(H$8,'Actual-ACPLHK'!$H$6:$T$6,0))</f>
        <v>0</v>
      </c>
      <c r="I88" s="749">
        <f>INDEX('Budget-ACPLHK'!$K$7:$W$207,MATCH($B88,'Budget-ACPLHK'!$B$7:$B$207,0),MATCH(I$8,'Budget-ACPLHK'!$K$6:$W$6,0))</f>
        <v>7342.4174999999996</v>
      </c>
      <c r="J88" s="749">
        <f t="shared" si="62"/>
        <v>-7342.4174999999996</v>
      </c>
      <c r="K88" s="748"/>
      <c r="M88" s="749">
        <f>INDEX('Actual-ACPSZL'!$H$7:$T$207,MATCH($B88,'Actual-ACPSZL'!$B$7:$B$207,0),MATCH(M$8,'Actual-ACPSZL'!$H$6:$T$6,0))</f>
        <v>0</v>
      </c>
      <c r="N88" s="749">
        <f>INDEX('Budget-ACPSZL'!$K$7:$W$207,MATCH($B88,'Budget-ACPSZL'!$B$7:$B$207,0),MATCH(N$8,'Budget-ACPSZL'!$K$6:$W$6,0))</f>
        <v>0</v>
      </c>
      <c r="O88" s="749">
        <f t="shared" si="70"/>
        <v>0</v>
      </c>
      <c r="P88" s="748"/>
      <c r="R88" s="749">
        <f>INDEX('Actual-ACPLSZ'!$H$7:$T$207,MATCH($B88,'Actual-ACPLSZ'!$B$7:$B$207,0),MATCH(R$8,'Actual-ACPLSZ'!$H$6:$T$6,0))</f>
        <v>0</v>
      </c>
      <c r="S88" s="749">
        <f>INDEX('Budget-ACPLSZ'!$K$7:$W$207,MATCH($B88,'Budget-ACPLSZ'!$B$7:$B$207,0),MATCH(S$8,'Budget-ACPLSZ'!$K$6:$W$6,0))</f>
        <v>0</v>
      </c>
      <c r="T88" s="749">
        <f>(R88-S88)*-1</f>
        <v>0</v>
      </c>
      <c r="U88" s="748"/>
      <c r="W88" s="749">
        <f>INDEX('Actual-ACPLGZ'!$H$7:$T$207,MATCH($B88,'Actual-ACPLGZ'!$B$7:$B$207,0),MATCH(W$8,'Actual-ACPLGZ'!$H$6:$T$6,0))</f>
        <v>0</v>
      </c>
      <c r="X88" s="749">
        <f>INDEX('Budget-ACPLGZ'!$K$7:$W$207,MATCH($B88,'Budget-ACPLGZ'!$B$7:$B$207,0),MATCH(X$8,'Budget-ACPLGZ'!$K$6:$W$6,0))</f>
        <v>0</v>
      </c>
      <c r="Y88" s="749">
        <f t="shared" si="71"/>
        <v>0</v>
      </c>
      <c r="Z88" s="748"/>
      <c r="AB88" s="749">
        <f>INDEX('Actual-ACPLGZ'!$H$7:$T$207,MATCH($B88,'Actual-ACPLGZ'!$B$7:$B$207,0),MATCH(AB$8,'Actual-ACPLGZ'!$H$6:$T$6,0))</f>
        <v>0</v>
      </c>
      <c r="AC88" s="749">
        <f>INDEX('Budget-Yixing'!$K$7:$W$207,MATCH($B88,'Budget-Yixing'!$B$7:$B$207,0),MATCH(AC$8,'Budget-Yixing'!$K$6:$W$6,0))</f>
        <v>0</v>
      </c>
      <c r="AD88" s="749">
        <f>(AB88-AC88)*-1</f>
        <v>0</v>
      </c>
      <c r="AE88" s="748"/>
      <c r="AG88" s="751">
        <f>SUM(INDEX('Actual-ACPL'!$H$7:$T$207,MATCH($B88,'Actual-ACPL'!$B$7:$B$207,0),MATCH('Actual-ACPL'!H$6,'Actual-ACPL'!$H$6:$T$6,0)):INDEX('Actual-ACPL'!$H$7:$T$207,MATCH($B88,'Actual-ACPL'!$B$7:$B$207,0),MATCH(AG$8,'Actual-ACPL'!$H$6:$T$6,0)))</f>
        <v>0</v>
      </c>
      <c r="AH88" s="749">
        <f>SUM(INDEX('Budget-ACPL'!$K$7:$W$207,MATCH($B88,'Budget-ACPL'!$B$7:$B$207,0),MATCH('Budget-ACPL'!K$6,'Budget-ACPL'!$K$6:$W$6,0)):INDEX('Budget-ACPL'!$K$7:$W$207,MATCH($B88,'Budget-ACPL'!$B$7:$B$207,0),MATCH(AH$8,'Budget-ACPL'!$K$6:$W$6,0)))</f>
        <v>7342.4174999999996</v>
      </c>
      <c r="AI88" s="749">
        <f t="shared" si="68"/>
        <v>-7342.4174999999996</v>
      </c>
      <c r="AJ88" s="748"/>
      <c r="AL88" s="749">
        <f>SUM(INDEX('Actual-ACPLHK'!$H$7:$S$207,MATCH($B88,'Actual-ACPLHK'!$B$7:$B$207,0),MATCH('Actual-ACPLHK'!H$6,'Actual-ACPLHK'!$H$6:$T$6,0)):INDEX('Actual-ACPLHK'!$H$7:$S$207,MATCH($B88,'Actual-ACPLHK'!$B$7:$B$207,0),MATCH(AL$8,'Actual-ACPLHK'!$H$6:$T$6,0)))</f>
        <v>0</v>
      </c>
      <c r="AM88" s="749">
        <f>SUM(INDEX('Budget-ACPLHK'!$K$7:$W$207,MATCH($B88,'Budget-ACPLHK'!$B$7:$B$207,0),MATCH('Budget-ACPLHK'!K$6,'Budget-ACPLHK'!$K$6:$W$6,0)):INDEX('Budget-ACPLHK'!$K$7:$W$207,MATCH($B88,'Budget-ACPLHK'!$B$7:$B$207,0),MATCH(AM$8,'Budget-ACPLHK'!$K$6:$W$6,0)))</f>
        <v>7342.4174999999996</v>
      </c>
      <c r="AN88" s="749">
        <f t="shared" si="73"/>
        <v>-7342.4174999999996</v>
      </c>
      <c r="AO88" s="748"/>
      <c r="AQ88" s="749">
        <f>SUM(INDEX('Actual-ACPSZL'!$H$7:$T$207,MATCH($B88,'Actual-ACPSZL'!$B$7:$B$207,0),MATCH('Actual-ACPSZL'!H$6,'Actual-ACPSZL'!$H$6:$T$6,0)):INDEX('Actual-ACPSZL'!$H$7:$T$207,MATCH($B88,'Actual-ACPSZL'!$B$7:$B$207,0),MATCH(AQ$8,'Actual-ACPSZL'!$H$6:$T$6,0)))</f>
        <v>0</v>
      </c>
      <c r="AR88" s="749">
        <f>SUM(INDEX('Budget-ACPSZL'!$K$7:$W$207,MATCH($B88,'Budget-ACPSZL'!$B$7:$B$207,0),MATCH('Budget-ACPSZL'!K$6,'Budget-ACPSZL'!$K$6:$W$6,0)):INDEX('Budget-ACPSZL'!$K$7:$W$207,MATCH($B88,'Budget-ACPSZL'!$B$7:$B$207,0),MATCH(AR$8,'Budget-ACPSZL'!$K$6:$W$6,0)))</f>
        <v>0</v>
      </c>
      <c r="AS88" s="749">
        <f t="shared" si="69"/>
        <v>0</v>
      </c>
      <c r="AT88" s="748"/>
      <c r="AV88" s="749">
        <f>SUM(INDEX('Actual-ACPLSZ'!$H$7:$T$207,MATCH($B88,'Actual-ACPLSZ'!$B$7:$B$207,0),MATCH('Actual-ACPLSZ'!H$6,'Actual-ACPLSZ'!$H$6:$T$6,0)):INDEX('Actual-ACPLSZ'!$H$7:$T$207,MATCH($B88,'Actual-ACPLSZ'!$B$7:$B$207,0),MATCH(AV$8,'Actual-ACPLSZ'!$H$6:$T$6,0)))</f>
        <v>0</v>
      </c>
      <c r="AW88" s="749">
        <f>SUM(INDEX('Budget-ACPLSZ'!$K$7:$W$207,MATCH($B88,'Budget-ACPLSZ'!$B$7:$B$207,0),MATCH('Budget-ACPLSZ'!K$6,'Budget-ACPLSZ'!$K$6:$W$6,0)):INDEX('Budget-ACPLSZ'!$K$7:$W$207,MATCH($B88,'Budget-ACPLSZ'!$B$7:$B$207,0),MATCH(AW$8,'Budget-ACPLSZ'!$K$6:$W$6,0)))</f>
        <v>0</v>
      </c>
      <c r="AX88" s="749">
        <f t="shared" si="72"/>
        <v>0</v>
      </c>
      <c r="AY88" s="748"/>
      <c r="BA88" s="749">
        <f>SUM(INDEX('Actual-ACPLGZ'!$H$7:$T$207,MATCH($B88,'Actual-ACPLGZ'!$B$7:$B$207,0),MATCH('Actual-ACPLGZ'!H$6,'Actual-ACPLGZ'!$H$6:$T$6,0)):INDEX('Actual-ACPLGZ'!$H$7:$T$207,MATCH($B88,'Actual-ACPLGZ'!$B$7:$B$207,0),MATCH(BA$8,'Actual-ACPLGZ'!$H$6:$T$6,0)))</f>
        <v>0</v>
      </c>
      <c r="BB88" s="749">
        <f>SUM(INDEX('Budget-ACPLGZ'!$K$7:$W$207,MATCH($B88,'Budget-ACPLGZ'!$B$7:$B$207,0),MATCH('Budget-ACPLGZ'!K$6,'Budget-ACPLGZ'!$K$6:$W$6,0)):INDEX('Budget-ACPLGZ'!$K$7:$W$207,MATCH($B88,'Budget-ACPLGZ'!$B$7:$B$207,0),MATCH(BB$8,'Budget-ACPLGZ'!$K$6:$W$6,0)))</f>
        <v>0</v>
      </c>
      <c r="BC88" s="749">
        <f>BA88-BB88</f>
        <v>0</v>
      </c>
      <c r="BD88" s="748"/>
      <c r="BF88" s="749">
        <f>SUM(INDEX('Actual-ACPLYixing'!$H$7:$T$207,MATCH($B88,'Actual-ACPLYixing'!$B$7:$B$207,0),MATCH('Actual-ACPLYixing'!H$6,'Actual-ACPLYixing'!$H$6:$T$6,0)):INDEX('Actual-ACPLYixing'!$H$7:$T$207,MATCH($B88,'Actual-ACPLYixing'!$B$7:$B$207,0),MATCH(BF$8,'Actual-ACPLYixing'!$H$6:$T$6,0)))</f>
        <v>0</v>
      </c>
      <c r="BG88" s="749">
        <f>SUM(INDEX('Budget-Yixing'!$K$7:$W$207,MATCH($B88,'Budget-Yixing'!$B$7:$B$207,0),MATCH('Budget-Yixing'!K$6,'Budget-Yixing'!$K$6:$W$6,0)):INDEX('Budget-Yixing'!$K$7:$W$207,MATCH($B88,'Budget-Yixing'!$B$7:$B$207,0),MATCH(BG$8,'Budget-Yixing'!$K$6:$W$6,0)))</f>
        <v>0</v>
      </c>
      <c r="BH88" s="749">
        <f>BF88-BG88</f>
        <v>0</v>
      </c>
      <c r="BI88" s="748"/>
    </row>
    <row r="89" spans="1:61" ht="16.5" customHeight="1">
      <c r="A89" s="653" t="str">
        <f>'Budget-合并'!A87</f>
        <v>6602.08.07</v>
      </c>
      <c r="B89" s="653" t="str">
        <f>'Budget-合并'!B87</f>
        <v>软件许可证费用</v>
      </c>
      <c r="C89" s="746">
        <f>INDEX('Actual-ACPL'!$H$7:$T$207,MATCH($B89,'Actual-ACPL'!$B$7:$B$207,0),MATCH(C$8,'Actual-ACPL'!$H$6:$T$6,0))</f>
        <v>0</v>
      </c>
      <c r="D89" s="746">
        <f>INDEX('Budget-ACPL'!$K$7:$W$207,MATCH($B89,'Budget-ACPL'!$B$7:$B$207,0),MATCH(D$8,'Budget-ACPL'!$K$6:$W$6,0))</f>
        <v>15582.241583333333</v>
      </c>
      <c r="E89" s="746">
        <f t="shared" si="61"/>
        <v>-15582.241583333333</v>
      </c>
      <c r="F89" s="752"/>
      <c r="H89" s="749">
        <f>INDEX('Actual-ACPLHK'!$H$7:$T$207,MATCH($B89,'Actual-ACPLHK'!$B$7:$B$207,0),MATCH(H$8,'Actual-ACPLHK'!$H$6:$T$6,0))</f>
        <v>0</v>
      </c>
      <c r="I89" s="749">
        <f>INDEX('Budget-ACPLHK'!$K$7:$W$207,MATCH($B89,'Budget-ACPLHK'!$B$7:$B$207,0),MATCH(I$8,'Budget-ACPLHK'!$K$6:$W$6,0))</f>
        <v>8484.5713333333333</v>
      </c>
      <c r="J89" s="749">
        <f t="shared" si="62"/>
        <v>-8484.5713333333333</v>
      </c>
      <c r="K89" s="748"/>
      <c r="M89" s="749">
        <f>INDEX('Actual-ACPSZL'!$H$7:$T$207,MATCH($B89,'Actual-ACPSZL'!$B$7:$B$207,0),MATCH(M$8,'Actual-ACPSZL'!$H$6:$T$6,0))</f>
        <v>0</v>
      </c>
      <c r="N89" s="749">
        <f>INDEX('Budget-ACPSZL'!$K$7:$W$207,MATCH($B89,'Budget-ACPSZL'!$B$7:$B$207,0),MATCH(N$8,'Budget-ACPSZL'!$K$6:$W$6,0))</f>
        <v>0</v>
      </c>
      <c r="O89" s="749">
        <f t="shared" si="70"/>
        <v>0</v>
      </c>
      <c r="P89" s="748"/>
      <c r="R89" s="749">
        <f>INDEX('Actual-ACPLSZ'!$H$7:$T$207,MATCH($B89,'Actual-ACPLSZ'!$B$7:$B$207,0),MATCH(R$8,'Actual-ACPLSZ'!$H$6:$T$6,0))</f>
        <v>0</v>
      </c>
      <c r="S89" s="749">
        <f>INDEX('Budget-ACPLSZ'!$K$7:$W$207,MATCH($B89,'Budget-ACPLSZ'!$B$7:$B$207,0),MATCH(S$8,'Budget-ACPLSZ'!$K$6:$W$6,0))</f>
        <v>0</v>
      </c>
      <c r="T89" s="749">
        <f>(R89-S89)*-1</f>
        <v>0</v>
      </c>
      <c r="U89" s="748"/>
      <c r="W89" s="749">
        <f>INDEX('Actual-ACPLGZ'!$H$7:$T$207,MATCH($B89,'Actual-ACPLGZ'!$B$7:$B$207,0),MATCH(W$8,'Actual-ACPLGZ'!$H$6:$T$6,0))</f>
        <v>0</v>
      </c>
      <c r="X89" s="749">
        <f>INDEX('Budget-ACPLGZ'!$K$7:$W$207,MATCH($B89,'Budget-ACPLGZ'!$B$7:$B$207,0),MATCH(X$8,'Budget-ACPLGZ'!$K$6:$W$6,0))</f>
        <v>0</v>
      </c>
      <c r="Y89" s="749">
        <f t="shared" si="71"/>
        <v>0</v>
      </c>
      <c r="Z89" s="748"/>
      <c r="AB89" s="749">
        <f>INDEX('Actual-ACPLGZ'!$H$7:$T$207,MATCH($B89,'Actual-ACPLGZ'!$B$7:$B$207,0),MATCH(AB$8,'Actual-ACPLGZ'!$H$6:$T$6,0))</f>
        <v>0</v>
      </c>
      <c r="AC89" s="749">
        <f>INDEX('Budget-Yixing'!$K$7:$W$207,MATCH($B89,'Budget-Yixing'!$B$7:$B$207,0),MATCH(AC$8,'Budget-Yixing'!$K$6:$W$6,0))</f>
        <v>0</v>
      </c>
      <c r="AD89" s="749">
        <f>(AB89-AC89)*-1</f>
        <v>0</v>
      </c>
      <c r="AE89" s="748"/>
      <c r="AG89" s="751">
        <f>SUM(INDEX('Actual-ACPL'!$H$7:$T$207,MATCH($B89,'Actual-ACPL'!$B$7:$B$207,0),MATCH('Actual-ACPL'!H$6,'Actual-ACPL'!$H$6:$T$6,0)):INDEX('Actual-ACPL'!$H$7:$T$207,MATCH($B89,'Actual-ACPL'!$B$7:$B$207,0),MATCH(AG$8,'Actual-ACPL'!$H$6:$T$6,0)))</f>
        <v>0</v>
      </c>
      <c r="AH89" s="749">
        <f>SUM(INDEX('Budget-ACPL'!$K$7:$W$207,MATCH($B89,'Budget-ACPL'!$B$7:$B$207,0),MATCH('Budget-ACPL'!K$6,'Budget-ACPL'!$K$6:$W$6,0)):INDEX('Budget-ACPL'!$K$7:$W$207,MATCH($B89,'Budget-ACPL'!$B$7:$B$207,0),MATCH(AH$8,'Budget-ACPL'!$K$6:$W$6,0)))</f>
        <v>15582.241583333333</v>
      </c>
      <c r="AI89" s="749">
        <f t="shared" ref="AI89:AI115" si="74">AG89-AH89</f>
        <v>-15582.241583333333</v>
      </c>
      <c r="AJ89" s="748"/>
      <c r="AL89" s="749">
        <f>SUM(INDEX('Actual-ACPLHK'!$H$7:$S$207,MATCH($B89,'Actual-ACPLHK'!$B$7:$B$207,0),MATCH('Actual-ACPLHK'!H$6,'Actual-ACPLHK'!$H$6:$T$6,0)):INDEX('Actual-ACPLHK'!$H$7:$S$207,MATCH($B89,'Actual-ACPLHK'!$B$7:$B$207,0),MATCH(AL$8,'Actual-ACPLHK'!$H$6:$T$6,0)))</f>
        <v>0</v>
      </c>
      <c r="AM89" s="749">
        <f>SUM(INDEX('Budget-ACPLHK'!$K$7:$W$207,MATCH($B89,'Budget-ACPLHK'!$B$7:$B$207,0),MATCH('Budget-ACPLHK'!K$6,'Budget-ACPLHK'!$K$6:$W$6,0)):INDEX('Budget-ACPLHK'!$K$7:$W$207,MATCH($B89,'Budget-ACPLHK'!$B$7:$B$207,0),MATCH(AM$8,'Budget-ACPLHK'!$K$6:$W$6,0)))</f>
        <v>8484.5713333333333</v>
      </c>
      <c r="AN89" s="749">
        <f t="shared" si="73"/>
        <v>-8484.5713333333333</v>
      </c>
      <c r="AO89" s="748"/>
      <c r="AQ89" s="749">
        <f>SUM(INDEX('Actual-ACPSZL'!$H$7:$T$207,MATCH($B89,'Actual-ACPSZL'!$B$7:$B$207,0),MATCH('Actual-ACPSZL'!H$6,'Actual-ACPSZL'!$H$6:$T$6,0)):INDEX('Actual-ACPSZL'!$H$7:$T$207,MATCH($B89,'Actual-ACPSZL'!$B$7:$B$207,0),MATCH(AQ$8,'Actual-ACPSZL'!$H$6:$T$6,0)))</f>
        <v>0</v>
      </c>
      <c r="AR89" s="749">
        <f>SUM(INDEX('Budget-ACPSZL'!$K$7:$W$207,MATCH($B89,'Budget-ACPSZL'!$B$7:$B$207,0),MATCH('Budget-ACPSZL'!K$6,'Budget-ACPSZL'!$K$6:$W$6,0)):INDEX('Budget-ACPSZL'!$K$7:$W$207,MATCH($B89,'Budget-ACPSZL'!$B$7:$B$207,0),MATCH(AR$8,'Budget-ACPSZL'!$K$6:$W$6,0)))</f>
        <v>0</v>
      </c>
      <c r="AS89" s="749">
        <f t="shared" si="69"/>
        <v>0</v>
      </c>
      <c r="AT89" s="748"/>
      <c r="AV89" s="749">
        <f>SUM(INDEX('Actual-ACPLSZ'!$H$7:$T$207,MATCH($B89,'Actual-ACPLSZ'!$B$7:$B$207,0),MATCH('Actual-ACPLSZ'!H$6,'Actual-ACPLSZ'!$H$6:$T$6,0)):INDEX('Actual-ACPLSZ'!$H$7:$T$207,MATCH($B89,'Actual-ACPLSZ'!$B$7:$B$207,0),MATCH(AV$8,'Actual-ACPLSZ'!$H$6:$T$6,0)))</f>
        <v>0</v>
      </c>
      <c r="AW89" s="749">
        <f>SUM(INDEX('Budget-ACPLSZ'!$K$7:$W$207,MATCH($B89,'Budget-ACPLSZ'!$B$7:$B$207,0),MATCH('Budget-ACPLSZ'!K$6,'Budget-ACPLSZ'!$K$6:$W$6,0)):INDEX('Budget-ACPLSZ'!$K$7:$W$207,MATCH($B89,'Budget-ACPLSZ'!$B$7:$B$207,0),MATCH(AW$8,'Budget-ACPLSZ'!$K$6:$W$6,0)))</f>
        <v>0</v>
      </c>
      <c r="AX89" s="749">
        <f t="shared" si="72"/>
        <v>0</v>
      </c>
      <c r="AY89" s="748"/>
      <c r="BA89" s="749">
        <f>SUM(INDEX('Actual-ACPLGZ'!$H$7:$T$207,MATCH($B89,'Actual-ACPLGZ'!$B$7:$B$207,0),MATCH('Actual-ACPLGZ'!H$6,'Actual-ACPLGZ'!$H$6:$T$6,0)):INDEX('Actual-ACPLGZ'!$H$7:$T$207,MATCH($B89,'Actual-ACPLGZ'!$B$7:$B$207,0),MATCH(BA$8,'Actual-ACPLGZ'!$H$6:$T$6,0)))</f>
        <v>0</v>
      </c>
      <c r="BB89" s="749">
        <f>SUM(INDEX('Budget-ACPLGZ'!$K$7:$W$207,MATCH($B89,'Budget-ACPLGZ'!$B$7:$B$207,0),MATCH('Budget-ACPLGZ'!K$6,'Budget-ACPLGZ'!$K$6:$W$6,0)):INDEX('Budget-ACPLGZ'!$K$7:$W$207,MATCH($B89,'Budget-ACPLGZ'!$B$7:$B$207,0),MATCH(BB$8,'Budget-ACPLGZ'!$K$6:$W$6,0)))</f>
        <v>0</v>
      </c>
      <c r="BC89" s="749">
        <f>BA89-BB89</f>
        <v>0</v>
      </c>
      <c r="BD89" s="748"/>
      <c r="BF89" s="749">
        <f>SUM(INDEX('Actual-ACPLYixing'!$H$7:$T$207,MATCH($B89,'Actual-ACPLYixing'!$B$7:$B$207,0),MATCH('Actual-ACPLYixing'!H$6,'Actual-ACPLYixing'!$H$6:$T$6,0)):INDEX('Actual-ACPLYixing'!$H$7:$T$207,MATCH($B89,'Actual-ACPLYixing'!$B$7:$B$207,0),MATCH(BF$8,'Actual-ACPLYixing'!$H$6:$T$6,0)))</f>
        <v>0</v>
      </c>
      <c r="BG89" s="749">
        <f>SUM(INDEX('Budget-Yixing'!$K$7:$W$207,MATCH($B89,'Budget-Yixing'!$B$7:$B$207,0),MATCH('Budget-Yixing'!K$6,'Budget-Yixing'!$K$6:$W$6,0)):INDEX('Budget-Yixing'!$K$7:$W$207,MATCH($B89,'Budget-Yixing'!$B$7:$B$207,0),MATCH(BG$8,'Budget-Yixing'!$K$6:$W$6,0)))</f>
        <v>0</v>
      </c>
      <c r="BH89" s="749">
        <f>BF89-BG89</f>
        <v>0</v>
      </c>
      <c r="BI89" s="748"/>
    </row>
    <row r="90" spans="1:61" ht="16.5" customHeight="1">
      <c r="A90" s="653" t="str">
        <f>'Budget-合并'!A88</f>
        <v>6602.08.08</v>
      </c>
      <c r="B90" s="653" t="str">
        <f>'Budget-合并'!B88</f>
        <v>软件使用费</v>
      </c>
      <c r="C90" s="746">
        <f>INDEX('Actual-ACPL'!$H$7:$T$207,MATCH($B90,'Actual-ACPL'!$B$7:$B$207,0),MATCH(C$8,'Actual-ACPL'!$H$6:$T$6,0))</f>
        <v>0</v>
      </c>
      <c r="D90" s="746">
        <f>INDEX('Budget-ACPL'!$K$7:$W$207,MATCH($B90,'Budget-ACPL'!$B$7:$B$207,0),MATCH(D$8,'Budget-ACPL'!$K$6:$W$6,0))</f>
        <v>0</v>
      </c>
      <c r="E90" s="746">
        <f t="shared" si="61"/>
        <v>0</v>
      </c>
      <c r="F90" s="752"/>
      <c r="H90" s="749">
        <f>INDEX('Actual-ACPLHK'!$H$7:$T$207,MATCH($B90,'Actual-ACPLHK'!$B$7:$B$207,0),MATCH(H$8,'Actual-ACPLHK'!$H$6:$T$6,0))</f>
        <v>0</v>
      </c>
      <c r="I90" s="749">
        <f>INDEX('Budget-ACPLHK'!$K$7:$W$207,MATCH($B90,'Budget-ACPLHK'!$B$7:$B$207,0),MATCH(I$8,'Budget-ACPLHK'!$K$6:$W$6,0))</f>
        <v>0</v>
      </c>
      <c r="J90" s="749">
        <f t="shared" si="62"/>
        <v>0</v>
      </c>
      <c r="K90" s="748"/>
      <c r="M90" s="749">
        <f>INDEX('Actual-ACPSZL'!$H$7:$T$207,MATCH($B90,'Actual-ACPSZL'!$B$7:$B$207,0),MATCH(M$8,'Actual-ACPSZL'!$H$6:$T$6,0))</f>
        <v>0</v>
      </c>
      <c r="N90" s="749">
        <f>INDEX('Budget-ACPSZL'!$K$7:$W$207,MATCH($B90,'Budget-ACPSZL'!$B$7:$B$207,0),MATCH(N$8,'Budget-ACPSZL'!$K$6:$W$6,0))</f>
        <v>0</v>
      </c>
      <c r="O90" s="749">
        <f t="shared" si="70"/>
        <v>0</v>
      </c>
      <c r="P90" s="748"/>
      <c r="R90" s="749">
        <f>INDEX('Actual-ACPLSZ'!$H$7:$T$207,MATCH($B90,'Actual-ACPLSZ'!$B$7:$B$207,0),MATCH(R$8,'Actual-ACPLSZ'!$H$6:$T$6,0))</f>
        <v>0</v>
      </c>
      <c r="S90" s="749">
        <f>INDEX('Budget-ACPLSZ'!$K$7:$W$207,MATCH($B90,'Budget-ACPLSZ'!$B$7:$B$207,0),MATCH(S$8,'Budget-ACPLSZ'!$K$6:$W$6,0))</f>
        <v>0</v>
      </c>
      <c r="T90" s="749">
        <f>(R90-S90)*-1</f>
        <v>0</v>
      </c>
      <c r="U90" s="748"/>
      <c r="W90" s="749">
        <f>INDEX('Actual-ACPLGZ'!$H$7:$T$207,MATCH($B90,'Actual-ACPLGZ'!$B$7:$B$207,0),MATCH(W$8,'Actual-ACPLGZ'!$H$6:$T$6,0))</f>
        <v>0</v>
      </c>
      <c r="X90" s="749">
        <f>INDEX('Budget-ACPLGZ'!$K$7:$W$207,MATCH($B90,'Budget-ACPLGZ'!$B$7:$B$207,0),MATCH(X$8,'Budget-ACPLGZ'!$K$6:$W$6,0))</f>
        <v>0</v>
      </c>
      <c r="Y90" s="749">
        <f t="shared" si="71"/>
        <v>0</v>
      </c>
      <c r="Z90" s="748"/>
      <c r="AB90" s="749">
        <f>INDEX('Actual-ACPLGZ'!$H$7:$T$207,MATCH($B90,'Actual-ACPLGZ'!$B$7:$B$207,0),MATCH(AB$8,'Actual-ACPLGZ'!$H$6:$T$6,0))</f>
        <v>0</v>
      </c>
      <c r="AC90" s="749">
        <f>INDEX('Budget-Yixing'!$K$7:$W$207,MATCH($B90,'Budget-Yixing'!$B$7:$B$207,0),MATCH(AC$8,'Budget-Yixing'!$K$6:$W$6,0))</f>
        <v>0</v>
      </c>
      <c r="AD90" s="749">
        <f>(AB90-AC90)*-1</f>
        <v>0</v>
      </c>
      <c r="AE90" s="748"/>
      <c r="AG90" s="751">
        <f>SUM(INDEX('Actual-ACPL'!$H$7:$T$207,MATCH($B90,'Actual-ACPL'!$B$7:$B$207,0),MATCH('Actual-ACPL'!H$6,'Actual-ACPL'!$H$6:$T$6,0)):INDEX('Actual-ACPL'!$H$7:$T$207,MATCH($B90,'Actual-ACPL'!$B$7:$B$207,0),MATCH(AG$8,'Actual-ACPL'!$H$6:$T$6,0)))</f>
        <v>0</v>
      </c>
      <c r="AH90" s="749">
        <f>SUM(INDEX('Budget-ACPL'!$K$7:$W$207,MATCH($B90,'Budget-ACPL'!$B$7:$B$207,0),MATCH('Budget-ACPL'!K$6,'Budget-ACPL'!$K$6:$W$6,0)):INDEX('Budget-ACPL'!$K$7:$W$207,MATCH($B90,'Budget-ACPL'!$B$7:$B$207,0),MATCH(AH$8,'Budget-ACPL'!$K$6:$W$6,0)))</f>
        <v>0</v>
      </c>
      <c r="AI90" s="749">
        <f t="shared" si="74"/>
        <v>0</v>
      </c>
      <c r="AJ90" s="748"/>
      <c r="AL90" s="749">
        <f>SUM(INDEX('Actual-ACPLHK'!$H$7:$S$207,MATCH($B90,'Actual-ACPLHK'!$B$7:$B$207,0),MATCH('Actual-ACPLHK'!H$6,'Actual-ACPLHK'!$H$6:$T$6,0)):INDEX('Actual-ACPLHK'!$H$7:$S$207,MATCH($B90,'Actual-ACPLHK'!$B$7:$B$207,0),MATCH(AL$8,'Actual-ACPLHK'!$H$6:$T$6,0)))</f>
        <v>0</v>
      </c>
      <c r="AM90" s="749">
        <f>SUM(INDEX('Budget-ACPLHK'!$K$7:$W$207,MATCH($B90,'Budget-ACPLHK'!$B$7:$B$207,0),MATCH('Budget-ACPLHK'!K$6,'Budget-ACPLHK'!$K$6:$W$6,0)):INDEX('Budget-ACPLHK'!$K$7:$W$207,MATCH($B90,'Budget-ACPLHK'!$B$7:$B$207,0),MATCH(AM$8,'Budget-ACPLHK'!$K$6:$W$6,0)))</f>
        <v>0</v>
      </c>
      <c r="AN90" s="749">
        <f t="shared" si="73"/>
        <v>0</v>
      </c>
      <c r="AO90" s="748"/>
      <c r="AQ90" s="749">
        <f>SUM(INDEX('Actual-ACPSZL'!$H$7:$T$207,MATCH($B90,'Actual-ACPSZL'!$B$7:$B$207,0),MATCH('Actual-ACPSZL'!H$6,'Actual-ACPSZL'!$H$6:$T$6,0)):INDEX('Actual-ACPSZL'!$H$7:$T$207,MATCH($B90,'Actual-ACPSZL'!$B$7:$B$207,0),MATCH(AQ$8,'Actual-ACPSZL'!$H$6:$T$6,0)))</f>
        <v>0</v>
      </c>
      <c r="AR90" s="749">
        <f>SUM(INDEX('Budget-ACPSZL'!$K$7:$W$207,MATCH($B90,'Budget-ACPSZL'!$B$7:$B$207,0),MATCH('Budget-ACPSZL'!K$6,'Budget-ACPSZL'!$K$6:$W$6,0)):INDEX('Budget-ACPSZL'!$K$7:$W$207,MATCH($B90,'Budget-ACPSZL'!$B$7:$B$207,0),MATCH(AR$8,'Budget-ACPSZL'!$K$6:$W$6,0)))</f>
        <v>0</v>
      </c>
      <c r="AS90" s="749">
        <f t="shared" si="69"/>
        <v>0</v>
      </c>
      <c r="AT90" s="748"/>
      <c r="AV90" s="749">
        <f>SUM(INDEX('Actual-ACPLSZ'!$H$7:$T$207,MATCH($B90,'Actual-ACPLSZ'!$B$7:$B$207,0),MATCH('Actual-ACPLSZ'!H$6,'Actual-ACPLSZ'!$H$6:$T$6,0)):INDEX('Actual-ACPLSZ'!$H$7:$T$207,MATCH($B90,'Actual-ACPLSZ'!$B$7:$B$207,0),MATCH(AV$8,'Actual-ACPLSZ'!$H$6:$T$6,0)))</f>
        <v>0</v>
      </c>
      <c r="AW90" s="749">
        <f>SUM(INDEX('Budget-ACPLSZ'!$K$7:$W$207,MATCH($B90,'Budget-ACPLSZ'!$B$7:$B$207,0),MATCH('Budget-ACPLSZ'!K$6,'Budget-ACPLSZ'!$K$6:$W$6,0)):INDEX('Budget-ACPLSZ'!$K$7:$W$207,MATCH($B90,'Budget-ACPLSZ'!$B$7:$B$207,0),MATCH(AW$8,'Budget-ACPLSZ'!$K$6:$W$6,0)))</f>
        <v>0</v>
      </c>
      <c r="AX90" s="749">
        <f t="shared" si="72"/>
        <v>0</v>
      </c>
      <c r="AY90" s="748"/>
      <c r="BA90" s="749">
        <f>SUM(INDEX('Actual-ACPLGZ'!$H$7:$T$207,MATCH($B90,'Actual-ACPLGZ'!$B$7:$B$207,0),MATCH('Actual-ACPLGZ'!H$6,'Actual-ACPLGZ'!$H$6:$T$6,0)):INDEX('Actual-ACPLGZ'!$H$7:$T$207,MATCH($B90,'Actual-ACPLGZ'!$B$7:$B$207,0),MATCH(BA$8,'Actual-ACPLGZ'!$H$6:$T$6,0)))</f>
        <v>0</v>
      </c>
      <c r="BB90" s="749">
        <f>SUM(INDEX('Budget-ACPLGZ'!$K$7:$W$207,MATCH($B90,'Budget-ACPLGZ'!$B$7:$B$207,0),MATCH('Budget-ACPLGZ'!K$6,'Budget-ACPLGZ'!$K$6:$W$6,0)):INDEX('Budget-ACPLGZ'!$K$7:$W$207,MATCH($B90,'Budget-ACPLGZ'!$B$7:$B$207,0),MATCH(BB$8,'Budget-ACPLGZ'!$K$6:$W$6,0)))</f>
        <v>0</v>
      </c>
      <c r="BC90" s="749">
        <f>BA90-BB90</f>
        <v>0</v>
      </c>
      <c r="BD90" s="748"/>
      <c r="BF90" s="749">
        <f>SUM(INDEX('Actual-ACPLYixing'!$H$7:$T$207,MATCH($B90,'Actual-ACPLYixing'!$B$7:$B$207,0),MATCH('Actual-ACPLYixing'!H$6,'Actual-ACPLYixing'!$H$6:$T$6,0)):INDEX('Actual-ACPLYixing'!$H$7:$T$207,MATCH($B90,'Actual-ACPLYixing'!$B$7:$B$207,0),MATCH(BF$8,'Actual-ACPLYixing'!$H$6:$T$6,0)))</f>
        <v>0</v>
      </c>
      <c r="BG90" s="749">
        <f>SUM(INDEX('Budget-Yixing'!$K$7:$W$207,MATCH($B90,'Budget-Yixing'!$B$7:$B$207,0),MATCH('Budget-Yixing'!K$6,'Budget-Yixing'!$K$6:$W$6,0)):INDEX('Budget-Yixing'!$K$7:$W$207,MATCH($B90,'Budget-Yixing'!$B$7:$B$207,0),MATCH(BG$8,'Budget-Yixing'!$K$6:$W$6,0)))</f>
        <v>0</v>
      </c>
      <c r="BH90" s="749">
        <f>BF90-BG90</f>
        <v>0</v>
      </c>
      <c r="BI90" s="748"/>
    </row>
    <row r="91" spans="1:61" ht="16.5" customHeight="1">
      <c r="A91" s="653" t="str">
        <f>'Budget-合并'!A89</f>
        <v>6602.08.09</v>
      </c>
      <c r="B91" s="653" t="str">
        <f>'Budget-合并'!B89</f>
        <v>清洁服务</v>
      </c>
      <c r="C91" s="746">
        <f>INDEX('Actual-ACPL'!$H$7:$T$207,MATCH($B91,'Actual-ACPL'!$B$7:$B$207,0),MATCH(C$8,'Actual-ACPL'!$H$6:$T$6,0))</f>
        <v>0</v>
      </c>
      <c r="D91" s="746">
        <f>INDEX('Budget-ACPL'!$K$7:$W$207,MATCH($B91,'Budget-ACPL'!$B$7:$B$207,0),MATCH(D$8,'Budget-ACPL'!$K$6:$W$6,0))</f>
        <v>2803.4684999999999</v>
      </c>
      <c r="E91" s="746">
        <f t="shared" si="61"/>
        <v>-2803.4684999999999</v>
      </c>
      <c r="F91" s="752"/>
      <c r="H91" s="749">
        <f>INDEX('Actual-ACPLHK'!$H$7:$T$207,MATCH($B91,'Actual-ACPLHK'!$B$7:$B$207,0),MATCH(H$8,'Actual-ACPLHK'!$H$6:$T$6,0))</f>
        <v>0</v>
      </c>
      <c r="I91" s="749">
        <f>INDEX('Budget-ACPLHK'!$K$7:$W$207,MATCH($B91,'Budget-ACPLHK'!$B$7:$B$207,0),MATCH(I$8,'Budget-ACPLHK'!$K$6:$W$6,0))</f>
        <v>0</v>
      </c>
      <c r="J91" s="749">
        <f t="shared" si="62"/>
        <v>0</v>
      </c>
      <c r="K91" s="748"/>
      <c r="M91" s="749">
        <f>INDEX('Actual-ACPSZL'!$H$7:$T$207,MATCH($B91,'Actual-ACPSZL'!$B$7:$B$207,0),MATCH(M$8,'Actual-ACPSZL'!$H$6:$T$6,0))</f>
        <v>0</v>
      </c>
      <c r="N91" s="749">
        <f>INDEX('Budget-ACPSZL'!$K$7:$W$207,MATCH($B91,'Budget-ACPSZL'!$B$7:$B$207,0),MATCH(N$8,'Budget-ACPSZL'!$K$6:$W$6,0))</f>
        <v>0</v>
      </c>
      <c r="O91" s="749">
        <f t="shared" si="70"/>
        <v>0</v>
      </c>
      <c r="P91" s="748"/>
      <c r="R91" s="749">
        <f>INDEX('Actual-ACPLSZ'!$H$7:$T$207,MATCH($B91,'Actual-ACPLSZ'!$B$7:$B$207,0),MATCH(R$8,'Actual-ACPLSZ'!$H$6:$T$6,0))</f>
        <v>0</v>
      </c>
      <c r="S91" s="749">
        <f>INDEX('Budget-ACPLSZ'!$K$7:$W$207,MATCH($B91,'Budget-ACPLSZ'!$B$7:$B$207,0),MATCH(S$8,'Budget-ACPLSZ'!$K$6:$W$6,0))</f>
        <v>0</v>
      </c>
      <c r="T91" s="749"/>
      <c r="U91" s="748"/>
      <c r="W91" s="749">
        <f>INDEX('Actual-ACPLGZ'!$H$7:$T$207,MATCH($B91,'Actual-ACPLGZ'!$B$7:$B$207,0),MATCH(W$8,'Actual-ACPLGZ'!$H$6:$T$6,0))</f>
        <v>0</v>
      </c>
      <c r="X91" s="749">
        <f>INDEX('Budget-ACPLGZ'!$K$7:$W$207,MATCH($B91,'Budget-ACPLGZ'!$B$7:$B$207,0),MATCH(X$8,'Budget-ACPLGZ'!$K$6:$W$6,0))</f>
        <v>0</v>
      </c>
      <c r="Y91" s="749">
        <f t="shared" si="71"/>
        <v>0</v>
      </c>
      <c r="Z91" s="748"/>
      <c r="AB91" s="749">
        <f>INDEX('Actual-ACPLGZ'!$H$7:$T$207,MATCH($B91,'Actual-ACPLGZ'!$B$7:$B$207,0),MATCH(AB$8,'Actual-ACPLGZ'!$H$6:$T$6,0))</f>
        <v>0</v>
      </c>
      <c r="AC91" s="749">
        <f>INDEX('Budget-Yixing'!$K$7:$W$207,MATCH($B91,'Budget-Yixing'!$B$7:$B$207,0),MATCH(AC$8,'Budget-Yixing'!$K$6:$W$6,0))</f>
        <v>0</v>
      </c>
      <c r="AD91" s="749"/>
      <c r="AE91" s="748"/>
      <c r="AG91" s="751">
        <f>SUM(INDEX('Actual-ACPL'!$H$7:$T$207,MATCH($B91,'Actual-ACPL'!$B$7:$B$207,0),MATCH('Actual-ACPL'!H$6,'Actual-ACPL'!$H$6:$T$6,0)):INDEX('Actual-ACPL'!$H$7:$T$207,MATCH($B91,'Actual-ACPL'!$B$7:$B$207,0),MATCH(AG$8,'Actual-ACPL'!$H$6:$T$6,0)))</f>
        <v>0</v>
      </c>
      <c r="AH91" s="749">
        <f>SUM(INDEX('Budget-ACPL'!$K$7:$W$207,MATCH($B91,'Budget-ACPL'!$B$7:$B$207,0),MATCH('Budget-ACPL'!K$6,'Budget-ACPL'!$K$6:$W$6,0)):INDEX('Budget-ACPL'!$K$7:$W$207,MATCH($B91,'Budget-ACPL'!$B$7:$B$207,0),MATCH(AH$8,'Budget-ACPL'!$K$6:$W$6,0)))</f>
        <v>2803.4684999999999</v>
      </c>
      <c r="AI91" s="749">
        <f t="shared" si="74"/>
        <v>-2803.4684999999999</v>
      </c>
      <c r="AJ91" s="748"/>
      <c r="AL91" s="749">
        <f>SUM(INDEX('Actual-ACPLHK'!$H$7:$S$207,MATCH($B91,'Actual-ACPLHK'!$B$7:$B$207,0),MATCH('Actual-ACPLHK'!H$6,'Actual-ACPLHK'!$H$6:$T$6,0)):INDEX('Actual-ACPLHK'!$H$7:$S$207,MATCH($B91,'Actual-ACPLHK'!$B$7:$B$207,0),MATCH(AL$8,'Actual-ACPLHK'!$H$6:$T$6,0)))</f>
        <v>0</v>
      </c>
      <c r="AM91" s="749">
        <f>SUM(INDEX('Budget-ACPLHK'!$K$7:$W$207,MATCH($B91,'Budget-ACPLHK'!$B$7:$B$207,0),MATCH('Budget-ACPLHK'!K$6,'Budget-ACPLHK'!$K$6:$W$6,0)):INDEX('Budget-ACPLHK'!$K$7:$W$207,MATCH($B91,'Budget-ACPLHK'!$B$7:$B$207,0),MATCH(AM$8,'Budget-ACPLHK'!$K$6:$W$6,0)))</f>
        <v>0</v>
      </c>
      <c r="AN91" s="749"/>
      <c r="AO91" s="748"/>
      <c r="AQ91" s="749">
        <f>SUM(INDEX('Actual-ACPSZL'!$H$7:$T$207,MATCH($B91,'Actual-ACPSZL'!$B$7:$B$207,0),MATCH('Actual-ACPSZL'!H$6,'Actual-ACPSZL'!$H$6:$T$6,0)):INDEX('Actual-ACPSZL'!$H$7:$T$207,MATCH($B91,'Actual-ACPSZL'!$B$7:$B$207,0),MATCH(AQ$8,'Actual-ACPSZL'!$H$6:$T$6,0)))</f>
        <v>0</v>
      </c>
      <c r="AR91" s="749">
        <f>SUM(INDEX('Budget-ACPSZL'!$K$7:$W$207,MATCH($B91,'Budget-ACPSZL'!$B$7:$B$207,0),MATCH('Budget-ACPSZL'!K$6,'Budget-ACPSZL'!$K$6:$W$6,0)):INDEX('Budget-ACPSZL'!$K$7:$W$207,MATCH($B91,'Budget-ACPSZL'!$B$7:$B$207,0),MATCH(AR$8,'Budget-ACPSZL'!$K$6:$W$6,0)))</f>
        <v>0</v>
      </c>
      <c r="AS91" s="749">
        <f t="shared" si="69"/>
        <v>0</v>
      </c>
      <c r="AT91" s="748"/>
      <c r="AV91" s="749">
        <f>SUM(INDEX('Actual-ACPLSZ'!$H$7:$T$207,MATCH($B91,'Actual-ACPLSZ'!$B$7:$B$207,0),MATCH('Actual-ACPLSZ'!H$6,'Actual-ACPLSZ'!$H$6:$T$6,0)):INDEX('Actual-ACPLSZ'!$H$7:$T$207,MATCH($B91,'Actual-ACPLSZ'!$B$7:$B$207,0),MATCH(AV$8,'Actual-ACPLSZ'!$H$6:$T$6,0)))</f>
        <v>0</v>
      </c>
      <c r="AW91" s="749">
        <f>SUM(INDEX('Budget-ACPLSZ'!$K$7:$W$207,MATCH($B91,'Budget-ACPLSZ'!$B$7:$B$207,0),MATCH('Budget-ACPLSZ'!K$6,'Budget-ACPLSZ'!$K$6:$W$6,0)):INDEX('Budget-ACPLSZ'!$K$7:$W$207,MATCH($B91,'Budget-ACPLSZ'!$B$7:$B$207,0),MATCH(AW$8,'Budget-ACPLSZ'!$K$6:$W$6,0)))</f>
        <v>0</v>
      </c>
      <c r="AX91" s="749">
        <f t="shared" si="72"/>
        <v>0</v>
      </c>
      <c r="AY91" s="748"/>
      <c r="BA91" s="749">
        <f>SUM(INDEX('Actual-ACPLGZ'!$H$7:$T$207,MATCH($B91,'Actual-ACPLGZ'!$B$7:$B$207,0),MATCH('Actual-ACPLGZ'!H$6,'Actual-ACPLGZ'!$H$6:$T$6,0)):INDEX('Actual-ACPLGZ'!$H$7:$T$207,MATCH($B91,'Actual-ACPLGZ'!$B$7:$B$207,0),MATCH(BA$8,'Actual-ACPLGZ'!$H$6:$T$6,0)))</f>
        <v>0</v>
      </c>
      <c r="BB91" s="749">
        <f>SUM(INDEX('Budget-ACPLGZ'!$K$7:$W$207,MATCH($B91,'Budget-ACPLGZ'!$B$7:$B$207,0),MATCH('Budget-ACPLGZ'!K$6,'Budget-ACPLGZ'!$K$6:$W$6,0)):INDEX('Budget-ACPLGZ'!$K$7:$W$207,MATCH($B91,'Budget-ACPLGZ'!$B$7:$B$207,0),MATCH(BB$8,'Budget-ACPLGZ'!$K$6:$W$6,0)))</f>
        <v>0</v>
      </c>
      <c r="BC91" s="749"/>
      <c r="BD91" s="748"/>
      <c r="BF91" s="749">
        <f>SUM(INDEX('Actual-ACPLYixing'!$H$7:$T$207,MATCH($B91,'Actual-ACPLYixing'!$B$7:$B$207,0),MATCH('Actual-ACPLYixing'!H$6,'Actual-ACPLYixing'!$H$6:$T$6,0)):INDEX('Actual-ACPLYixing'!$H$7:$T$207,MATCH($B91,'Actual-ACPLYixing'!$B$7:$B$207,0),MATCH(BF$8,'Actual-ACPLYixing'!$H$6:$T$6,0)))</f>
        <v>0</v>
      </c>
      <c r="BG91" s="749">
        <f>SUM(INDEX('Budget-Yixing'!$K$7:$W$207,MATCH($B91,'Budget-Yixing'!$B$7:$B$207,0),MATCH('Budget-Yixing'!K$6,'Budget-Yixing'!$K$6:$W$6,0)):INDEX('Budget-Yixing'!$K$7:$W$207,MATCH($B91,'Budget-Yixing'!$B$7:$B$207,0),MATCH(BG$8,'Budget-Yixing'!$K$6:$W$6,0)))</f>
        <v>0</v>
      </c>
      <c r="BH91" s="749"/>
      <c r="BI91" s="748"/>
    </row>
    <row r="92" spans="1:61" ht="16.5" customHeight="1">
      <c r="A92" s="653" t="str">
        <f>'Budget-合并'!A90</f>
        <v>6602.08.10</v>
      </c>
      <c r="B92" s="653" t="str">
        <f>'Budget-合并'!B90</f>
        <v>电话国际直拨/电话会议收费</v>
      </c>
      <c r="C92" s="746">
        <f>INDEX('Actual-ACPL'!$H$7:$T$207,MATCH($B92,'Actual-ACPL'!$B$7:$B$207,0),MATCH(C$8,'Actual-ACPL'!$H$6:$T$6,0))</f>
        <v>0</v>
      </c>
      <c r="D92" s="746">
        <f>INDEX('Budget-ACPL'!$K$7:$W$207,MATCH($B92,'Budget-ACPL'!$B$7:$B$207,0),MATCH(D$8,'Budget-ACPL'!$K$6:$W$6,0))</f>
        <v>0</v>
      </c>
      <c r="E92" s="746">
        <f t="shared" si="61"/>
        <v>0</v>
      </c>
      <c r="F92" s="752"/>
      <c r="H92" s="749">
        <f>INDEX('Actual-ACPLHK'!$H$7:$T$207,MATCH($B92,'Actual-ACPLHK'!$B$7:$B$207,0),MATCH(H$8,'Actual-ACPLHK'!$H$6:$T$6,0))</f>
        <v>0</v>
      </c>
      <c r="I92" s="749">
        <f>INDEX('Budget-ACPLHK'!$K$7:$W$207,MATCH($B92,'Budget-ACPLHK'!$B$7:$B$207,0),MATCH(I$8,'Budget-ACPLHK'!$K$6:$W$6,0))</f>
        <v>0</v>
      </c>
      <c r="J92" s="749">
        <f t="shared" si="62"/>
        <v>0</v>
      </c>
      <c r="K92" s="748"/>
      <c r="M92" s="749">
        <f>INDEX('Actual-ACPSZL'!$H$7:$T$207,MATCH($B92,'Actual-ACPSZL'!$B$7:$B$207,0),MATCH(M$8,'Actual-ACPSZL'!$H$6:$T$6,0))</f>
        <v>0</v>
      </c>
      <c r="N92" s="749">
        <f>INDEX('Budget-ACPSZL'!$K$7:$W$207,MATCH($B92,'Budget-ACPSZL'!$B$7:$B$207,0),MATCH(N$8,'Budget-ACPSZL'!$K$6:$W$6,0))</f>
        <v>0</v>
      </c>
      <c r="O92" s="749">
        <f t="shared" si="70"/>
        <v>0</v>
      </c>
      <c r="P92" s="748"/>
      <c r="R92" s="749">
        <f>INDEX('Actual-ACPLSZ'!$H$7:$T$207,MATCH($B92,'Actual-ACPLSZ'!$B$7:$B$207,0),MATCH(R$8,'Actual-ACPLSZ'!$H$6:$T$6,0))</f>
        <v>0</v>
      </c>
      <c r="S92" s="749">
        <f>INDEX('Budget-ACPLSZ'!$K$7:$W$207,MATCH($B92,'Budget-ACPLSZ'!$B$7:$B$207,0),MATCH(S$8,'Budget-ACPLSZ'!$K$6:$W$6,0))</f>
        <v>300</v>
      </c>
      <c r="T92" s="749">
        <f>(R92-S92)*-1</f>
        <v>300</v>
      </c>
      <c r="U92" s="748"/>
      <c r="W92" s="749">
        <f>INDEX('Actual-ACPLGZ'!$H$7:$T$207,MATCH($B92,'Actual-ACPLGZ'!$B$7:$B$207,0),MATCH(W$8,'Actual-ACPLGZ'!$H$6:$T$6,0))</f>
        <v>0</v>
      </c>
      <c r="X92" s="749">
        <f>INDEX('Budget-ACPLGZ'!$K$7:$W$207,MATCH($B92,'Budget-ACPLGZ'!$B$7:$B$207,0),MATCH(X$8,'Budget-ACPLGZ'!$K$6:$W$6,0))</f>
        <v>0</v>
      </c>
      <c r="Y92" s="749">
        <f t="shared" si="71"/>
        <v>0</v>
      </c>
      <c r="Z92" s="748"/>
      <c r="AB92" s="749">
        <f>INDEX('Actual-ACPLGZ'!$H$7:$T$207,MATCH($B92,'Actual-ACPLGZ'!$B$7:$B$207,0),MATCH(AB$8,'Actual-ACPLGZ'!$H$6:$T$6,0))</f>
        <v>0</v>
      </c>
      <c r="AC92" s="749">
        <f>INDEX('Budget-Yixing'!$K$7:$W$207,MATCH($B92,'Budget-Yixing'!$B$7:$B$207,0),MATCH(AC$8,'Budget-Yixing'!$K$6:$W$6,0))</f>
        <v>0</v>
      </c>
      <c r="AD92" s="749">
        <f>(AB92-AC92)*-1</f>
        <v>0</v>
      </c>
      <c r="AE92" s="748"/>
      <c r="AG92" s="751">
        <f>SUM(INDEX('Actual-ACPL'!$H$7:$T$207,MATCH($B92,'Actual-ACPL'!$B$7:$B$207,0),MATCH('Actual-ACPL'!H$6,'Actual-ACPL'!$H$6:$T$6,0)):INDEX('Actual-ACPL'!$H$7:$T$207,MATCH($B92,'Actual-ACPL'!$B$7:$B$207,0),MATCH(AG$8,'Actual-ACPL'!$H$6:$T$6,0)))</f>
        <v>0</v>
      </c>
      <c r="AH92" s="749">
        <f>SUM(INDEX('Budget-ACPL'!$K$7:$W$207,MATCH($B92,'Budget-ACPL'!$B$7:$B$207,0),MATCH('Budget-ACPL'!K$6,'Budget-ACPL'!$K$6:$W$6,0)):INDEX('Budget-ACPL'!$K$7:$W$207,MATCH($B92,'Budget-ACPL'!$B$7:$B$207,0),MATCH(AH$8,'Budget-ACPL'!$K$6:$W$6,0)))</f>
        <v>0</v>
      </c>
      <c r="AI92" s="749">
        <f t="shared" si="74"/>
        <v>0</v>
      </c>
      <c r="AJ92" s="748"/>
      <c r="AL92" s="749">
        <f>SUM(INDEX('Actual-ACPLHK'!$H$7:$S$207,MATCH($B92,'Actual-ACPLHK'!$B$7:$B$207,0),MATCH('Actual-ACPLHK'!H$6,'Actual-ACPLHK'!$H$6:$T$6,0)):INDEX('Actual-ACPLHK'!$H$7:$S$207,MATCH($B92,'Actual-ACPLHK'!$B$7:$B$207,0),MATCH(AL$8,'Actual-ACPLHK'!$H$6:$T$6,0)))</f>
        <v>0</v>
      </c>
      <c r="AM92" s="749">
        <f>SUM(INDEX('Budget-ACPLHK'!$K$7:$W$207,MATCH($B92,'Budget-ACPLHK'!$B$7:$B$207,0),MATCH('Budget-ACPLHK'!K$6,'Budget-ACPLHK'!$K$6:$W$6,0)):INDEX('Budget-ACPLHK'!$K$7:$W$207,MATCH($B92,'Budget-ACPLHK'!$B$7:$B$207,0),MATCH(AM$8,'Budget-ACPLHK'!$K$6:$W$6,0)))</f>
        <v>0</v>
      </c>
      <c r="AN92" s="749">
        <f>AL92-AM92</f>
        <v>0</v>
      </c>
      <c r="AO92" s="748"/>
      <c r="AQ92" s="749">
        <f>SUM(INDEX('Actual-ACPSZL'!$H$7:$T$207,MATCH($B92,'Actual-ACPSZL'!$B$7:$B$207,0),MATCH('Actual-ACPSZL'!H$6,'Actual-ACPSZL'!$H$6:$T$6,0)):INDEX('Actual-ACPSZL'!$H$7:$T$207,MATCH($B92,'Actual-ACPSZL'!$B$7:$B$207,0),MATCH(AQ$8,'Actual-ACPSZL'!$H$6:$T$6,0)))</f>
        <v>0</v>
      </c>
      <c r="AR92" s="749">
        <f>SUM(INDEX('Budget-ACPSZL'!$K$7:$W$207,MATCH($B92,'Budget-ACPSZL'!$B$7:$B$207,0),MATCH('Budget-ACPSZL'!K$6,'Budget-ACPSZL'!$K$6:$W$6,0)):INDEX('Budget-ACPSZL'!$K$7:$W$207,MATCH($B92,'Budget-ACPSZL'!$B$7:$B$207,0),MATCH(AR$8,'Budget-ACPSZL'!$K$6:$W$6,0)))</f>
        <v>0</v>
      </c>
      <c r="AS92" s="749">
        <f t="shared" si="69"/>
        <v>0</v>
      </c>
      <c r="AT92" s="748"/>
      <c r="AV92" s="749">
        <f>SUM(INDEX('Actual-ACPLSZ'!$H$7:$T$207,MATCH($B92,'Actual-ACPLSZ'!$B$7:$B$207,0),MATCH('Actual-ACPLSZ'!H$6,'Actual-ACPLSZ'!$H$6:$T$6,0)):INDEX('Actual-ACPLSZ'!$H$7:$T$207,MATCH($B92,'Actual-ACPLSZ'!$B$7:$B$207,0),MATCH(AV$8,'Actual-ACPLSZ'!$H$6:$T$6,0)))</f>
        <v>0</v>
      </c>
      <c r="AW92" s="749">
        <f>SUM(INDEX('Budget-ACPLSZ'!$K$7:$W$207,MATCH($B92,'Budget-ACPLSZ'!$B$7:$B$207,0),MATCH('Budget-ACPLSZ'!K$6,'Budget-ACPLSZ'!$K$6:$W$6,0)):INDEX('Budget-ACPLSZ'!$K$7:$W$207,MATCH($B92,'Budget-ACPLSZ'!$B$7:$B$207,0),MATCH(AW$8,'Budget-ACPLSZ'!$K$6:$W$6,0)))</f>
        <v>300</v>
      </c>
      <c r="AX92" s="749">
        <f t="shared" si="72"/>
        <v>-300</v>
      </c>
      <c r="AY92" s="748"/>
      <c r="BA92" s="749">
        <f>SUM(INDEX('Actual-ACPLGZ'!$H$7:$T$207,MATCH($B92,'Actual-ACPLGZ'!$B$7:$B$207,0),MATCH('Actual-ACPLGZ'!H$6,'Actual-ACPLGZ'!$H$6:$T$6,0)):INDEX('Actual-ACPLGZ'!$H$7:$T$207,MATCH($B92,'Actual-ACPLGZ'!$B$7:$B$207,0),MATCH(BA$8,'Actual-ACPLGZ'!$H$6:$T$6,0)))</f>
        <v>0</v>
      </c>
      <c r="BB92" s="749">
        <f>SUM(INDEX('Budget-ACPLGZ'!$K$7:$W$207,MATCH($B92,'Budget-ACPLGZ'!$B$7:$B$207,0),MATCH('Budget-ACPLGZ'!K$6,'Budget-ACPLGZ'!$K$6:$W$6,0)):INDEX('Budget-ACPLGZ'!$K$7:$W$207,MATCH($B92,'Budget-ACPLGZ'!$B$7:$B$207,0),MATCH(BB$8,'Budget-ACPLGZ'!$K$6:$W$6,0)))</f>
        <v>0</v>
      </c>
      <c r="BC92" s="749">
        <f>BA92-BB92</f>
        <v>0</v>
      </c>
      <c r="BD92" s="748"/>
      <c r="BF92" s="749">
        <f>SUM(INDEX('Actual-ACPLYixing'!$H$7:$T$207,MATCH($B92,'Actual-ACPLYixing'!$B$7:$B$207,0),MATCH('Actual-ACPLYixing'!H$6,'Actual-ACPLYixing'!$H$6:$T$6,0)):INDEX('Actual-ACPLYixing'!$H$7:$T$207,MATCH($B92,'Actual-ACPLYixing'!$B$7:$B$207,0),MATCH(BF$8,'Actual-ACPLYixing'!$H$6:$T$6,0)))</f>
        <v>0</v>
      </c>
      <c r="BG92" s="749">
        <f>SUM(INDEX('Budget-Yixing'!$K$7:$W$207,MATCH($B92,'Budget-Yixing'!$B$7:$B$207,0),MATCH('Budget-Yixing'!K$6,'Budget-Yixing'!$K$6:$W$6,0)):INDEX('Budget-Yixing'!$K$7:$W$207,MATCH($B92,'Budget-Yixing'!$B$7:$B$207,0),MATCH(BG$8,'Budget-Yixing'!$K$6:$W$6,0)))</f>
        <v>0</v>
      </c>
      <c r="BH92" s="749">
        <f>BF92-BG92</f>
        <v>0</v>
      </c>
      <c r="BI92" s="748"/>
    </row>
    <row r="93" spans="1:61" ht="16.5" customHeight="1">
      <c r="A93" s="653" t="str">
        <f>'Budget-合并'!A91</f>
        <v>6602.08.99</v>
      </c>
      <c r="B93" s="653" t="str">
        <f>'Budget-合并'!B91</f>
        <v>其他</v>
      </c>
      <c r="C93" s="746">
        <f>INDEX('Actual-ACPL'!$H$7:$T$207,MATCH($B93,'Actual-ACPL'!$B$7:$B$207,0),MATCH(C$8,'Actual-ACPL'!$H$6:$T$6,0))</f>
        <v>0</v>
      </c>
      <c r="D93" s="746">
        <f>INDEX('Budget-ACPL'!$K$7:$W$207,MATCH($B93,'Budget-ACPL'!$B$7:$B$207,0),MATCH(D$8,'Budget-ACPL'!$K$6:$W$6,0))</f>
        <v>0</v>
      </c>
      <c r="E93" s="746">
        <f t="shared" ref="E93:E124" si="75">C93-D93</f>
        <v>0</v>
      </c>
      <c r="F93" s="752"/>
      <c r="H93" s="749">
        <f>INDEX('Actual-ACPLHK'!$H$7:$T$207,MATCH($B93,'Actual-ACPLHK'!$B$7:$B$207,0),MATCH(H$8,'Actual-ACPLHK'!$H$6:$T$6,0))</f>
        <v>0</v>
      </c>
      <c r="I93" s="749">
        <f>INDEX('Budget-ACPLHK'!$K$7:$W$207,MATCH($B93,'Budget-ACPLHK'!$B$7:$B$207,0),MATCH(I$8,'Budget-ACPLHK'!$K$6:$W$6,0))</f>
        <v>0</v>
      </c>
      <c r="J93" s="749">
        <f t="shared" ref="J93:J124" si="76">H93-I93</f>
        <v>0</v>
      </c>
      <c r="K93" s="748"/>
      <c r="M93" s="749">
        <f>INDEX('Actual-ACPSZL'!$H$7:$T$207,MATCH($B93,'Actual-ACPSZL'!$B$7:$B$207,0),MATCH(M$8,'Actual-ACPSZL'!$H$6:$T$6,0))</f>
        <v>0</v>
      </c>
      <c r="N93" s="749">
        <f>INDEX('Budget-ACPSZL'!$K$7:$W$207,MATCH($B93,'Budget-ACPSZL'!$B$7:$B$207,0),MATCH(N$8,'Budget-ACPSZL'!$K$6:$W$6,0))</f>
        <v>0</v>
      </c>
      <c r="O93" s="749">
        <f t="shared" si="70"/>
        <v>0</v>
      </c>
      <c r="P93" s="748"/>
      <c r="R93" s="749">
        <f>INDEX('Actual-ACPLSZ'!$H$7:$T$207,MATCH($B93,'Actual-ACPLSZ'!$B$7:$B$207,0),MATCH(R$8,'Actual-ACPLSZ'!$H$6:$T$6,0))</f>
        <v>0</v>
      </c>
      <c r="S93" s="749">
        <f>INDEX('Budget-ACPLSZ'!$K$7:$W$207,MATCH($B93,'Budget-ACPLSZ'!$B$7:$B$207,0),MATCH(S$8,'Budget-ACPLSZ'!$K$6:$W$6,0))</f>
        <v>0</v>
      </c>
      <c r="T93" s="749">
        <f>(R93-S93)*-1</f>
        <v>0</v>
      </c>
      <c r="U93" s="748"/>
      <c r="W93" s="749">
        <f>INDEX('Actual-ACPLGZ'!$H$7:$T$207,MATCH($B93,'Actual-ACPLGZ'!$B$7:$B$207,0),MATCH(W$8,'Actual-ACPLGZ'!$H$6:$T$6,0))</f>
        <v>0</v>
      </c>
      <c r="X93" s="749">
        <f>INDEX('Budget-ACPLGZ'!$K$7:$W$207,MATCH($B93,'Budget-ACPLGZ'!$B$7:$B$207,0),MATCH(X$8,'Budget-ACPLGZ'!$K$6:$W$6,0))</f>
        <v>0</v>
      </c>
      <c r="Y93" s="749">
        <f t="shared" si="71"/>
        <v>0</v>
      </c>
      <c r="Z93" s="748"/>
      <c r="AB93" s="749">
        <f>INDEX('Actual-ACPLGZ'!$H$7:$T$207,MATCH($B93,'Actual-ACPLGZ'!$B$7:$B$207,0),MATCH(AB$8,'Actual-ACPLGZ'!$H$6:$T$6,0))</f>
        <v>0</v>
      </c>
      <c r="AC93" s="749">
        <f>INDEX('Budget-Yixing'!$K$7:$W$207,MATCH($B93,'Budget-Yixing'!$B$7:$B$207,0),MATCH(AC$8,'Budget-Yixing'!$K$6:$W$6,0))</f>
        <v>0</v>
      </c>
      <c r="AD93" s="749">
        <f>(AB93-AC93)*-1</f>
        <v>0</v>
      </c>
      <c r="AE93" s="748"/>
      <c r="AG93" s="751">
        <f>SUM(INDEX('Actual-ACPL'!$H$7:$T$207,MATCH($B93,'Actual-ACPL'!$B$7:$B$207,0),MATCH('Actual-ACPL'!H$6,'Actual-ACPL'!$H$6:$T$6,0)):INDEX('Actual-ACPL'!$H$7:$T$207,MATCH($B93,'Actual-ACPL'!$B$7:$B$207,0),MATCH(AG$8,'Actual-ACPL'!$H$6:$T$6,0)))</f>
        <v>0</v>
      </c>
      <c r="AH93" s="749">
        <f>SUM(INDEX('Budget-ACPL'!$K$7:$W$207,MATCH($B93,'Budget-ACPL'!$B$7:$B$207,0),MATCH('Budget-ACPL'!K$6,'Budget-ACPL'!$K$6:$W$6,0)):INDEX('Budget-ACPL'!$K$7:$W$207,MATCH($B93,'Budget-ACPL'!$B$7:$B$207,0),MATCH(AH$8,'Budget-ACPL'!$K$6:$W$6,0)))</f>
        <v>0</v>
      </c>
      <c r="AI93" s="749">
        <f t="shared" si="74"/>
        <v>0</v>
      </c>
      <c r="AJ93" s="748"/>
      <c r="AL93" s="749">
        <f>SUM(INDEX('Actual-ACPLHK'!$H$7:$S$207,MATCH($B93,'Actual-ACPLHK'!$B$7:$B$207,0),MATCH('Actual-ACPLHK'!H$6,'Actual-ACPLHK'!$H$6:$T$6,0)):INDEX('Actual-ACPLHK'!$H$7:$S$207,MATCH($B93,'Actual-ACPLHK'!$B$7:$B$207,0),MATCH(AL$8,'Actual-ACPLHK'!$H$6:$T$6,0)))</f>
        <v>0</v>
      </c>
      <c r="AM93" s="749">
        <f>SUM(INDEX('Budget-ACPLHK'!$K$7:$W$207,MATCH($B93,'Budget-ACPLHK'!$B$7:$B$207,0),MATCH('Budget-ACPLHK'!K$6,'Budget-ACPLHK'!$K$6:$W$6,0)):INDEX('Budget-ACPLHK'!$K$7:$W$207,MATCH($B93,'Budget-ACPLHK'!$B$7:$B$207,0),MATCH(AM$8,'Budget-ACPLHK'!$K$6:$W$6,0)))</f>
        <v>0</v>
      </c>
      <c r="AN93" s="749">
        <f>AL93-AM93</f>
        <v>0</v>
      </c>
      <c r="AO93" s="748"/>
      <c r="AQ93" s="749">
        <f>SUM(INDEX('Actual-ACPSZL'!$H$7:$T$207,MATCH($B93,'Actual-ACPSZL'!$B$7:$B$207,0),MATCH('Actual-ACPSZL'!H$6,'Actual-ACPSZL'!$H$6:$T$6,0)):INDEX('Actual-ACPSZL'!$H$7:$T$207,MATCH($B93,'Actual-ACPSZL'!$B$7:$B$207,0),MATCH(AQ$8,'Actual-ACPSZL'!$H$6:$T$6,0)))</f>
        <v>0</v>
      </c>
      <c r="AR93" s="749">
        <f>SUM(INDEX('Budget-ACPSZL'!$K$7:$W$207,MATCH($B93,'Budget-ACPSZL'!$B$7:$B$207,0),MATCH('Budget-ACPSZL'!K$6,'Budget-ACPSZL'!$K$6:$W$6,0)):INDEX('Budget-ACPSZL'!$K$7:$W$207,MATCH($B93,'Budget-ACPSZL'!$B$7:$B$207,0),MATCH(AR$8,'Budget-ACPSZL'!$K$6:$W$6,0)))</f>
        <v>0</v>
      </c>
      <c r="AS93" s="749">
        <f t="shared" si="69"/>
        <v>0</v>
      </c>
      <c r="AT93" s="748"/>
      <c r="AV93" s="749">
        <f>SUM(INDEX('Actual-ACPLSZ'!$H$7:$T$207,MATCH($B93,'Actual-ACPLSZ'!$B$7:$B$207,0),MATCH('Actual-ACPLSZ'!H$6,'Actual-ACPLSZ'!$H$6:$T$6,0)):INDEX('Actual-ACPLSZ'!$H$7:$T$207,MATCH($B93,'Actual-ACPLSZ'!$B$7:$B$207,0),MATCH(AV$8,'Actual-ACPLSZ'!$H$6:$T$6,0)))</f>
        <v>0</v>
      </c>
      <c r="AW93" s="749">
        <f>SUM(INDEX('Budget-ACPLSZ'!$K$7:$W$207,MATCH($B93,'Budget-ACPLSZ'!$B$7:$B$207,0),MATCH('Budget-ACPLSZ'!K$6,'Budget-ACPLSZ'!$K$6:$W$6,0)):INDEX('Budget-ACPLSZ'!$K$7:$W$207,MATCH($B93,'Budget-ACPLSZ'!$B$7:$B$207,0),MATCH(AW$8,'Budget-ACPLSZ'!$K$6:$W$6,0)))</f>
        <v>0</v>
      </c>
      <c r="AX93" s="749">
        <f t="shared" si="72"/>
        <v>0</v>
      </c>
      <c r="AY93" s="748"/>
      <c r="BA93" s="749">
        <f>SUM(INDEX('Actual-ACPLGZ'!$H$7:$T$207,MATCH($B93,'Actual-ACPLGZ'!$B$7:$B$207,0),MATCH('Actual-ACPLGZ'!H$6,'Actual-ACPLGZ'!$H$6:$T$6,0)):INDEX('Actual-ACPLGZ'!$H$7:$T$207,MATCH($B93,'Actual-ACPLGZ'!$B$7:$B$207,0),MATCH(BA$8,'Actual-ACPLGZ'!$H$6:$T$6,0)))</f>
        <v>0</v>
      </c>
      <c r="BB93" s="749">
        <f>SUM(INDEX('Budget-ACPLGZ'!$K$7:$W$207,MATCH($B93,'Budget-ACPLGZ'!$B$7:$B$207,0),MATCH('Budget-ACPLGZ'!K$6,'Budget-ACPLGZ'!$K$6:$W$6,0)):INDEX('Budget-ACPLGZ'!$K$7:$W$207,MATCH($B93,'Budget-ACPLGZ'!$B$7:$B$207,0),MATCH(BB$8,'Budget-ACPLGZ'!$K$6:$W$6,0)))</f>
        <v>0</v>
      </c>
      <c r="BC93" s="749">
        <f>BA93-BB93</f>
        <v>0</v>
      </c>
      <c r="BD93" s="748"/>
      <c r="BF93" s="749">
        <f>SUM(INDEX('Actual-ACPLYixing'!$H$7:$T$207,MATCH($B93,'Actual-ACPLYixing'!$B$7:$B$207,0),MATCH('Actual-ACPLYixing'!H$6,'Actual-ACPLYixing'!$H$6:$T$6,0)):INDEX('Actual-ACPLYixing'!$H$7:$T$207,MATCH($B93,'Actual-ACPLYixing'!$B$7:$B$207,0),MATCH(BF$8,'Actual-ACPLYixing'!$H$6:$T$6,0)))</f>
        <v>0</v>
      </c>
      <c r="BG93" s="749">
        <f>SUM(INDEX('Budget-Yixing'!$K$7:$W$207,MATCH($B93,'Budget-Yixing'!$B$7:$B$207,0),MATCH('Budget-Yixing'!K$6,'Budget-Yixing'!$K$6:$W$6,0)):INDEX('Budget-Yixing'!$K$7:$W$207,MATCH($B93,'Budget-Yixing'!$B$7:$B$207,0),MATCH(BG$8,'Budget-Yixing'!$K$6:$W$6,0)))</f>
        <v>0</v>
      </c>
      <c r="BH93" s="749">
        <f>BF93-BG93</f>
        <v>0</v>
      </c>
      <c r="BI93" s="748"/>
    </row>
    <row r="94" spans="1:61" ht="16.5" customHeight="1">
      <c r="A94" s="653" t="str">
        <f>'Budget-合并'!A92</f>
        <v>6602.09</v>
      </c>
      <c r="B94" s="653" t="str">
        <f>'Budget-合并'!B92</f>
        <v>差旅费</v>
      </c>
      <c r="C94" s="746">
        <f>INDEX('Actual-ACPL'!$H$7:$T$207,MATCH($B94,'Actual-ACPL'!$B$7:$B$207,0),MATCH(C$8,'Actual-ACPL'!$H$6:$T$6,0))</f>
        <v>0</v>
      </c>
      <c r="D94" s="746">
        <f ca="1">INDEX('Budget-ACPL'!$K$7:$W$207,MATCH($B94,'Budget-ACPL'!$B$7:$B$207,0),MATCH(D$8,'Budget-ACPL'!$K$6:$W$6,0))</f>
        <v>30645.32233333333</v>
      </c>
      <c r="E94" s="746">
        <f t="shared" ca="1" si="75"/>
        <v>-30645.32233333333</v>
      </c>
      <c r="F94" s="752"/>
      <c r="H94" s="749">
        <f>INDEX('Actual-ACPLHK'!$H$7:$T$207,MATCH($B94,'Actual-ACPLHK'!$B$7:$B$207,0),MATCH(H$8,'Actual-ACPLHK'!$H$6:$T$6,0))</f>
        <v>0</v>
      </c>
      <c r="I94" s="749">
        <f ca="1">INDEX('Budget-ACPLHK'!$K$7:$W$207,MATCH($B94,'Budget-ACPLHK'!$B$7:$B$207,0),MATCH(I$8,'Budget-ACPLHK'!$K$6:$W$6,0))</f>
        <v>14625.502333333332</v>
      </c>
      <c r="J94" s="749">
        <f t="shared" ca="1" si="76"/>
        <v>-14625.502333333332</v>
      </c>
      <c r="K94" s="748"/>
      <c r="M94" s="749">
        <f>INDEX('Actual-ACPSZL'!$H$7:$T$207,MATCH($B94,'Actual-ACPSZL'!$B$7:$B$207,0),MATCH(M$8,'Actual-ACPSZL'!$H$6:$T$6,0))</f>
        <v>0</v>
      </c>
      <c r="N94" s="749">
        <f>INDEX('Budget-ACPSZL'!$K$7:$W$207,MATCH($B94,'Budget-ACPSZL'!$B$7:$B$207,0),MATCH(N$8,'Budget-ACPSZL'!$K$6:$W$6,0))</f>
        <v>38675.333333333336</v>
      </c>
      <c r="O94" s="749">
        <f t="shared" si="70"/>
        <v>-38675.333333333336</v>
      </c>
      <c r="P94" s="748"/>
      <c r="R94" s="749">
        <f>INDEX('Actual-ACPLSZ'!$H$7:$T$207,MATCH($B94,'Actual-ACPLSZ'!$B$7:$B$207,0),MATCH(R$8,'Actual-ACPLSZ'!$H$6:$T$6,0))</f>
        <v>0</v>
      </c>
      <c r="S94" s="749">
        <f>INDEX('Budget-ACPLSZ'!$K$7:$W$207,MATCH($B94,'Budget-ACPLSZ'!$B$7:$B$207,0),MATCH(S$8,'Budget-ACPLSZ'!$K$6:$W$6,0))</f>
        <v>118762.66666666667</v>
      </c>
      <c r="T94" s="749">
        <f>(R94-S94)*-1</f>
        <v>118762.66666666667</v>
      </c>
      <c r="U94" s="748"/>
      <c r="W94" s="749">
        <f>INDEX('Actual-ACPLGZ'!$H$7:$T$207,MATCH($B94,'Actual-ACPLGZ'!$B$7:$B$207,0),MATCH(W$8,'Actual-ACPLGZ'!$H$6:$T$6,0))</f>
        <v>0</v>
      </c>
      <c r="X94" s="749">
        <f>INDEX('Budget-ACPLGZ'!$K$7:$W$207,MATCH($B94,'Budget-ACPLGZ'!$B$7:$B$207,0),MATCH(X$8,'Budget-ACPLGZ'!$K$6:$W$6,0))</f>
        <v>225</v>
      </c>
      <c r="Y94" s="749">
        <f t="shared" si="71"/>
        <v>-225</v>
      </c>
      <c r="Z94" s="748"/>
      <c r="AB94" s="749">
        <f>INDEX('Actual-ACPLGZ'!$H$7:$T$207,MATCH($B94,'Actual-ACPLGZ'!$B$7:$B$207,0),MATCH(AB$8,'Actual-ACPLGZ'!$H$6:$T$6,0))</f>
        <v>0</v>
      </c>
      <c r="AC94" s="749">
        <f>INDEX('Budget-Yixing'!$K$7:$W$207,MATCH($B94,'Budget-Yixing'!$B$7:$B$207,0),MATCH(AC$8,'Budget-Yixing'!$K$6:$W$6,0))</f>
        <v>0</v>
      </c>
      <c r="AD94" s="749">
        <f>(AB94-AC94)*-1</f>
        <v>0</v>
      </c>
      <c r="AE94" s="748"/>
      <c r="AG94" s="751">
        <f>SUM(INDEX('Actual-ACPL'!$H$7:$T$207,MATCH($B94,'Actual-ACPL'!$B$7:$B$207,0),MATCH('Actual-ACPL'!H$6,'Actual-ACPL'!$H$6:$T$6,0)):INDEX('Actual-ACPL'!$H$7:$T$207,MATCH($B94,'Actual-ACPL'!$B$7:$B$207,0),MATCH(AG$8,'Actual-ACPL'!$H$6:$T$6,0)))</f>
        <v>0</v>
      </c>
      <c r="AH94" s="749">
        <f ca="1">SUM(INDEX('Budget-ACPL'!$K$7:$W$207,MATCH($B94,'Budget-ACPL'!$B$7:$B$207,0),MATCH('Budget-ACPL'!K$6,'Budget-ACPL'!$K$6:$W$6,0)):INDEX('Budget-ACPL'!$K$7:$W$207,MATCH($B94,'Budget-ACPL'!$B$7:$B$207,0),MATCH(AH$8,'Budget-ACPL'!$K$6:$W$6,0)))</f>
        <v>30645.32233333333</v>
      </c>
      <c r="AI94" s="749">
        <f t="shared" ca="1" si="74"/>
        <v>-30645.32233333333</v>
      </c>
      <c r="AJ94" s="748"/>
      <c r="AL94" s="749">
        <f>SUM(INDEX('Actual-ACPLHK'!$H$7:$S$207,MATCH($B94,'Actual-ACPLHK'!$B$7:$B$207,0),MATCH('Actual-ACPLHK'!H$6,'Actual-ACPLHK'!$H$6:$T$6,0)):INDEX('Actual-ACPLHK'!$H$7:$S$207,MATCH($B94,'Actual-ACPLHK'!$B$7:$B$207,0),MATCH(AL$8,'Actual-ACPLHK'!$H$6:$T$6,0)))</f>
        <v>0</v>
      </c>
      <c r="AM94" s="749">
        <f ca="1">SUM(INDEX('Budget-ACPLHK'!$K$7:$W$207,MATCH($B94,'Budget-ACPLHK'!$B$7:$B$207,0),MATCH('Budget-ACPLHK'!K$6,'Budget-ACPLHK'!$K$6:$W$6,0)):INDEX('Budget-ACPLHK'!$K$7:$W$207,MATCH($B94,'Budget-ACPLHK'!$B$7:$B$207,0),MATCH(AM$8,'Budget-ACPLHK'!$K$6:$W$6,0)))</f>
        <v>14625.502333333332</v>
      </c>
      <c r="AN94" s="749">
        <f ca="1">AL94-AM94</f>
        <v>-14625.502333333332</v>
      </c>
      <c r="AO94" s="748"/>
      <c r="AQ94" s="749">
        <f>SUM(INDEX('Actual-ACPSZL'!$H$7:$T$207,MATCH($B94,'Actual-ACPSZL'!$B$7:$B$207,0),MATCH('Actual-ACPSZL'!H$6,'Actual-ACPSZL'!$H$6:$T$6,0)):INDEX('Actual-ACPSZL'!$H$7:$T$207,MATCH($B94,'Actual-ACPSZL'!$B$7:$B$207,0),MATCH(AQ$8,'Actual-ACPSZL'!$H$6:$T$6,0)))</f>
        <v>0</v>
      </c>
      <c r="AR94" s="749">
        <f>SUM(INDEX('Budget-ACPSZL'!$K$7:$W$207,MATCH($B94,'Budget-ACPSZL'!$B$7:$B$207,0),MATCH('Budget-ACPSZL'!K$6,'Budget-ACPSZL'!$K$6:$W$6,0)):INDEX('Budget-ACPSZL'!$K$7:$W$207,MATCH($B94,'Budget-ACPSZL'!$B$7:$B$207,0),MATCH(AR$8,'Budget-ACPSZL'!$K$6:$W$6,0)))</f>
        <v>38675.333333333336</v>
      </c>
      <c r="AS94" s="749">
        <f t="shared" si="69"/>
        <v>-38675.333333333336</v>
      </c>
      <c r="AT94" s="748"/>
      <c r="AV94" s="749">
        <f>SUM(INDEX('Actual-ACPLSZ'!$H$7:$T$207,MATCH($B94,'Actual-ACPLSZ'!$B$7:$B$207,0),MATCH('Actual-ACPLSZ'!H$6,'Actual-ACPLSZ'!$H$6:$T$6,0)):INDEX('Actual-ACPLSZ'!$H$7:$T$207,MATCH($B94,'Actual-ACPLSZ'!$B$7:$B$207,0),MATCH(AV$8,'Actual-ACPLSZ'!$H$6:$T$6,0)))</f>
        <v>0</v>
      </c>
      <c r="AW94" s="749">
        <f>SUM(INDEX('Budget-ACPLSZ'!$K$7:$W$207,MATCH($B94,'Budget-ACPLSZ'!$B$7:$B$207,0),MATCH('Budget-ACPLSZ'!K$6,'Budget-ACPLSZ'!$K$6:$W$6,0)):INDEX('Budget-ACPLSZ'!$K$7:$W$207,MATCH($B94,'Budget-ACPLSZ'!$B$7:$B$207,0),MATCH(AW$8,'Budget-ACPLSZ'!$K$6:$W$6,0)))</f>
        <v>118762.66666666667</v>
      </c>
      <c r="AX94" s="749">
        <f t="shared" si="72"/>
        <v>-118762.66666666667</v>
      </c>
      <c r="AY94" s="748"/>
      <c r="BA94" s="749">
        <f>SUM(INDEX('Actual-ACPLGZ'!$H$7:$T$207,MATCH($B94,'Actual-ACPLGZ'!$B$7:$B$207,0),MATCH('Actual-ACPLGZ'!H$6,'Actual-ACPLGZ'!$H$6:$T$6,0)):INDEX('Actual-ACPLGZ'!$H$7:$T$207,MATCH($B94,'Actual-ACPLGZ'!$B$7:$B$207,0),MATCH(BA$8,'Actual-ACPLGZ'!$H$6:$T$6,0)))</f>
        <v>0</v>
      </c>
      <c r="BB94" s="749">
        <f>SUM(INDEX('Budget-ACPLGZ'!$K$7:$W$207,MATCH($B94,'Budget-ACPLGZ'!$B$7:$B$207,0),MATCH('Budget-ACPLGZ'!K$6,'Budget-ACPLGZ'!$K$6:$W$6,0)):INDEX('Budget-ACPLGZ'!$K$7:$W$207,MATCH($B94,'Budget-ACPLGZ'!$B$7:$B$207,0),MATCH(BB$8,'Budget-ACPLGZ'!$K$6:$W$6,0)))</f>
        <v>225</v>
      </c>
      <c r="BC94" s="749">
        <f>BA94-BB94</f>
        <v>-225</v>
      </c>
      <c r="BD94" s="748"/>
      <c r="BF94" s="749">
        <f>SUM(INDEX('Actual-ACPLYixing'!$H$7:$T$207,MATCH($B94,'Actual-ACPLYixing'!$B$7:$B$207,0),MATCH('Actual-ACPLYixing'!H$6,'Actual-ACPLYixing'!$H$6:$T$6,0)):INDEX('Actual-ACPLYixing'!$H$7:$T$207,MATCH($B94,'Actual-ACPLYixing'!$B$7:$B$207,0),MATCH(BF$8,'Actual-ACPLYixing'!$H$6:$T$6,0)))</f>
        <v>0</v>
      </c>
      <c r="BG94" s="749">
        <f>SUM(INDEX('Budget-Yixing'!$K$7:$W$207,MATCH($B94,'Budget-Yixing'!$B$7:$B$207,0),MATCH('Budget-Yixing'!K$6,'Budget-Yixing'!$K$6:$W$6,0)):INDEX('Budget-Yixing'!$K$7:$W$207,MATCH($B94,'Budget-Yixing'!$B$7:$B$207,0),MATCH(BG$8,'Budget-Yixing'!$K$6:$W$6,0)))</f>
        <v>0</v>
      </c>
      <c r="BH94" s="749">
        <f>BF94-BG94</f>
        <v>0</v>
      </c>
      <c r="BI94" s="748"/>
    </row>
    <row r="95" spans="1:61" ht="16.5" customHeight="1">
      <c r="A95" s="653" t="str">
        <f>'Budget-合并'!A93</f>
        <v>6602.09.01</v>
      </c>
      <c r="B95" s="653" t="str">
        <f>'Budget-合并'!B93</f>
        <v>住宿费</v>
      </c>
      <c r="C95" s="746">
        <f>INDEX('Actual-ACPL'!$H$7:$T$207,MATCH($B95,'Actual-ACPL'!$B$7:$B$207,0),MATCH(C$8,'Actual-ACPL'!$H$6:$T$6,0))</f>
        <v>0</v>
      </c>
      <c r="D95" s="746">
        <f ca="1">INDEX('Budget-ACPL'!$K$7:$W$207,MATCH($B95,'Budget-ACPL'!$B$7:$B$207,0),MATCH(D$8,'Budget-ACPL'!$K$6:$W$6,0))</f>
        <v>11347.372499999999</v>
      </c>
      <c r="E95" s="746">
        <f t="shared" ca="1" si="75"/>
        <v>-11347.372499999999</v>
      </c>
      <c r="F95" s="752"/>
      <c r="H95" s="749">
        <f>INDEX('Actual-ACPLHK'!$H$7:$T$207,MATCH($B95,'Actual-ACPLHK'!$B$7:$B$207,0),MATCH(H$8,'Actual-ACPLHK'!$H$6:$T$6,0))</f>
        <v>0</v>
      </c>
      <c r="I95" s="749">
        <f ca="1">INDEX('Budget-ACPLHK'!$K$7:$W$207,MATCH($B95,'Budget-ACPLHK'!$B$7:$B$207,0),MATCH(I$8,'Budget-ACPLHK'!$K$6:$W$6,0))</f>
        <v>5606.9369999999999</v>
      </c>
      <c r="J95" s="749">
        <f t="shared" ca="1" si="76"/>
        <v>-5606.9369999999999</v>
      </c>
      <c r="K95" s="748"/>
      <c r="M95" s="749">
        <f>INDEX('Actual-ACPSZL'!$H$7:$T$207,MATCH($B95,'Actual-ACPSZL'!$B$7:$B$207,0),MATCH(M$8,'Actual-ACPSZL'!$H$6:$T$6,0))</f>
        <v>0</v>
      </c>
      <c r="N95" s="749">
        <f>INDEX('Budget-ACPSZL'!$K$7:$W$207,MATCH($B95,'Budget-ACPSZL'!$B$7:$B$207,0),MATCH(N$8,'Budget-ACPSZL'!$K$6:$W$6,0))</f>
        <v>14800</v>
      </c>
      <c r="O95" s="749">
        <f t="shared" si="70"/>
        <v>-14800</v>
      </c>
      <c r="P95" s="748"/>
      <c r="R95" s="749">
        <f>INDEX('Actual-ACPLSZ'!$H$7:$T$207,MATCH($B95,'Actual-ACPLSZ'!$B$7:$B$207,0),MATCH(R$8,'Actual-ACPLSZ'!$H$6:$T$6,0))</f>
        <v>0</v>
      </c>
      <c r="S95" s="749">
        <f>INDEX('Budget-ACPLSZ'!$K$7:$W$207,MATCH($B95,'Budget-ACPLSZ'!$B$7:$B$207,0),MATCH(S$8,'Budget-ACPLSZ'!$K$6:$W$6,0))</f>
        <v>44650</v>
      </c>
      <c r="T95" s="749">
        <f>(R95-S95)*-1</f>
        <v>44650</v>
      </c>
      <c r="U95" s="748"/>
      <c r="W95" s="749">
        <f>INDEX('Actual-ACPLGZ'!$H$7:$T$207,MATCH($B95,'Actual-ACPLGZ'!$B$7:$B$207,0),MATCH(W$8,'Actual-ACPLGZ'!$H$6:$T$6,0))</f>
        <v>0</v>
      </c>
      <c r="X95" s="749">
        <f>INDEX('Budget-ACPLGZ'!$K$7:$W$207,MATCH($B95,'Budget-ACPLGZ'!$B$7:$B$207,0),MATCH(X$8,'Budget-ACPLGZ'!$K$6:$W$6,0))</f>
        <v>0</v>
      </c>
      <c r="Y95" s="749">
        <f t="shared" si="71"/>
        <v>0</v>
      </c>
      <c r="Z95" s="748"/>
      <c r="AB95" s="749">
        <f>INDEX('Actual-ACPLGZ'!$H$7:$T$207,MATCH($B95,'Actual-ACPLGZ'!$B$7:$B$207,0),MATCH(AB$8,'Actual-ACPLGZ'!$H$6:$T$6,0))</f>
        <v>0</v>
      </c>
      <c r="AC95" s="749">
        <f>INDEX('Budget-Yixing'!$K$7:$W$207,MATCH($B95,'Budget-Yixing'!$B$7:$B$207,0),MATCH(AC$8,'Budget-Yixing'!$K$6:$W$6,0))</f>
        <v>0</v>
      </c>
      <c r="AD95" s="749">
        <f>(AB95-AC95)*-1</f>
        <v>0</v>
      </c>
      <c r="AE95" s="748"/>
      <c r="AG95" s="751">
        <f>SUM(INDEX('Actual-ACPL'!$H$7:$T$207,MATCH($B95,'Actual-ACPL'!$B$7:$B$207,0),MATCH('Actual-ACPL'!H$6,'Actual-ACPL'!$H$6:$T$6,0)):INDEX('Actual-ACPL'!$H$7:$T$207,MATCH($B95,'Actual-ACPL'!$B$7:$B$207,0),MATCH(AG$8,'Actual-ACPL'!$H$6:$T$6,0)))</f>
        <v>0</v>
      </c>
      <c r="AH95" s="749">
        <f ca="1">SUM(INDEX('Budget-ACPL'!$K$7:$W$207,MATCH($B95,'Budget-ACPL'!$B$7:$B$207,0),MATCH('Budget-ACPL'!K$6,'Budget-ACPL'!$K$6:$W$6,0)):INDEX('Budget-ACPL'!$K$7:$W$207,MATCH($B95,'Budget-ACPL'!$B$7:$B$207,0),MATCH(AH$8,'Budget-ACPL'!$K$6:$W$6,0)))</f>
        <v>11347.372499999999</v>
      </c>
      <c r="AI95" s="749">
        <f t="shared" ca="1" si="74"/>
        <v>-11347.372499999999</v>
      </c>
      <c r="AJ95" s="748"/>
      <c r="AL95" s="749">
        <f>SUM(INDEX('Actual-ACPLHK'!$H$7:$S$207,MATCH($B95,'Actual-ACPLHK'!$B$7:$B$207,0),MATCH('Actual-ACPLHK'!H$6,'Actual-ACPLHK'!$H$6:$T$6,0)):INDEX('Actual-ACPLHK'!$H$7:$S$207,MATCH($B95,'Actual-ACPLHK'!$B$7:$B$207,0),MATCH(AL$8,'Actual-ACPLHK'!$H$6:$T$6,0)))</f>
        <v>0</v>
      </c>
      <c r="AM95" s="749">
        <f ca="1">SUM(INDEX('Budget-ACPLHK'!$K$7:$W$207,MATCH($B95,'Budget-ACPLHK'!$B$7:$B$207,0),MATCH('Budget-ACPLHK'!K$6,'Budget-ACPLHK'!$K$6:$W$6,0)):INDEX('Budget-ACPLHK'!$K$7:$W$207,MATCH($B95,'Budget-ACPLHK'!$B$7:$B$207,0),MATCH(AM$8,'Budget-ACPLHK'!$K$6:$W$6,0)))</f>
        <v>5606.9369999999999</v>
      </c>
      <c r="AN95" s="749">
        <f ca="1">AL95-AM95</f>
        <v>-5606.9369999999999</v>
      </c>
      <c r="AO95" s="748"/>
      <c r="AQ95" s="749">
        <f>SUM(INDEX('Actual-ACPSZL'!$H$7:$T$207,MATCH($B95,'Actual-ACPSZL'!$B$7:$B$207,0),MATCH('Actual-ACPSZL'!H$6,'Actual-ACPSZL'!$H$6:$T$6,0)):INDEX('Actual-ACPSZL'!$H$7:$T$207,MATCH($B95,'Actual-ACPSZL'!$B$7:$B$207,0),MATCH(AQ$8,'Actual-ACPSZL'!$H$6:$T$6,0)))</f>
        <v>0</v>
      </c>
      <c r="AR95" s="749">
        <f>SUM(INDEX('Budget-ACPSZL'!$K$7:$W$207,MATCH($B95,'Budget-ACPSZL'!$B$7:$B$207,0),MATCH('Budget-ACPSZL'!K$6,'Budget-ACPSZL'!$K$6:$W$6,0)):INDEX('Budget-ACPSZL'!$K$7:$W$207,MATCH($B95,'Budget-ACPSZL'!$B$7:$B$207,0),MATCH(AR$8,'Budget-ACPSZL'!$K$6:$W$6,0)))</f>
        <v>14800</v>
      </c>
      <c r="AS95" s="749">
        <f t="shared" si="69"/>
        <v>-14800</v>
      </c>
      <c r="AT95" s="748"/>
      <c r="AV95" s="749">
        <f>SUM(INDEX('Actual-ACPLSZ'!$H$7:$T$207,MATCH($B95,'Actual-ACPLSZ'!$B$7:$B$207,0),MATCH('Actual-ACPLSZ'!H$6,'Actual-ACPLSZ'!$H$6:$T$6,0)):INDEX('Actual-ACPLSZ'!$H$7:$T$207,MATCH($B95,'Actual-ACPLSZ'!$B$7:$B$207,0),MATCH(AV$8,'Actual-ACPLSZ'!$H$6:$T$6,0)))</f>
        <v>0</v>
      </c>
      <c r="AW95" s="749">
        <f>SUM(INDEX('Budget-ACPLSZ'!$K$7:$W$207,MATCH($B95,'Budget-ACPLSZ'!$B$7:$B$207,0),MATCH('Budget-ACPLSZ'!K$6,'Budget-ACPLSZ'!$K$6:$W$6,0)):INDEX('Budget-ACPLSZ'!$K$7:$W$207,MATCH($B95,'Budget-ACPLSZ'!$B$7:$B$207,0),MATCH(AW$8,'Budget-ACPLSZ'!$K$6:$W$6,0)))</f>
        <v>44650</v>
      </c>
      <c r="AX95" s="749">
        <f t="shared" si="72"/>
        <v>-44650</v>
      </c>
      <c r="AY95" s="748"/>
      <c r="BA95" s="749">
        <f>SUM(INDEX('Actual-ACPLGZ'!$H$7:$T$207,MATCH($B95,'Actual-ACPLGZ'!$B$7:$B$207,0),MATCH('Actual-ACPLGZ'!H$6,'Actual-ACPLGZ'!$H$6:$T$6,0)):INDEX('Actual-ACPLGZ'!$H$7:$T$207,MATCH($B95,'Actual-ACPLGZ'!$B$7:$B$207,0),MATCH(BA$8,'Actual-ACPLGZ'!$H$6:$T$6,0)))</f>
        <v>0</v>
      </c>
      <c r="BB95" s="749">
        <f>SUM(INDEX('Budget-ACPLGZ'!$K$7:$W$207,MATCH($B95,'Budget-ACPLGZ'!$B$7:$B$207,0),MATCH('Budget-ACPLGZ'!K$6,'Budget-ACPLGZ'!$K$6:$W$6,0)):INDEX('Budget-ACPLGZ'!$K$7:$W$207,MATCH($B95,'Budget-ACPLGZ'!$B$7:$B$207,0),MATCH(BB$8,'Budget-ACPLGZ'!$K$6:$W$6,0)))</f>
        <v>0</v>
      </c>
      <c r="BC95" s="749">
        <f>BA95-BB95</f>
        <v>0</v>
      </c>
      <c r="BD95" s="748"/>
      <c r="BF95" s="749">
        <f>SUM(INDEX('Actual-ACPLYixing'!$H$7:$T$207,MATCH($B95,'Actual-ACPLYixing'!$B$7:$B$207,0),MATCH('Actual-ACPLYixing'!H$6,'Actual-ACPLYixing'!$H$6:$T$6,0)):INDEX('Actual-ACPLYixing'!$H$7:$T$207,MATCH($B95,'Actual-ACPLYixing'!$B$7:$B$207,0),MATCH(BF$8,'Actual-ACPLYixing'!$H$6:$T$6,0)))</f>
        <v>0</v>
      </c>
      <c r="BG95" s="749">
        <f>SUM(INDEX('Budget-Yixing'!$K$7:$W$207,MATCH($B95,'Budget-Yixing'!$B$7:$B$207,0),MATCH('Budget-Yixing'!K$6,'Budget-Yixing'!$K$6:$W$6,0)):INDEX('Budget-Yixing'!$K$7:$W$207,MATCH($B95,'Budget-Yixing'!$B$7:$B$207,0),MATCH(BG$8,'Budget-Yixing'!$K$6:$W$6,0)))</f>
        <v>0</v>
      </c>
      <c r="BH95" s="749">
        <f>BF95-BG95</f>
        <v>0</v>
      </c>
      <c r="BI95" s="748"/>
    </row>
    <row r="96" spans="1:61" ht="16.5" customHeight="1">
      <c r="A96" s="653">
        <f>'Budget-合并'!A94</f>
        <v>0</v>
      </c>
      <c r="B96" s="653" t="str">
        <f>'Budget-合并'!B94</f>
        <v xml:space="preserve">    公司主体03</v>
      </c>
      <c r="C96" s="746">
        <f>INDEX('Actual-ACPL'!$H$7:$T$207,MATCH($B96,'Actual-ACPL'!$B$7:$B$207,0),MATCH(C$8,'Actual-ACPL'!$H$6:$T$6,0))</f>
        <v>0</v>
      </c>
      <c r="D96" s="746">
        <f ca="1">INDEX('Budget-ACPL'!$K$7:$W$207,MATCH($B96,'Budget-ACPL'!$B$7:$B$207,0),MATCH(D$8,'Budget-ACPL'!$K$6:$W$6,0))</f>
        <v>1475.1584250000001</v>
      </c>
      <c r="E96" s="746">
        <f t="shared" ca="1" si="75"/>
        <v>-1475.1584250000001</v>
      </c>
      <c r="F96" s="752"/>
      <c r="H96" s="749">
        <f>INDEX('Actual-ACPLHK'!$H$7:$T$207,MATCH($B96,'Actual-ACPLHK'!$B$7:$B$207,0),MATCH(H$8,'Actual-ACPLHK'!$H$6:$T$6,0))</f>
        <v>0</v>
      </c>
      <c r="I96" s="749">
        <f ca="1">INDEX('Budget-ACPLHK'!$K$7:$W$207,MATCH($B96,'Budget-ACPLHK'!$B$7:$B$207,0),MATCH(I$8,'Budget-ACPLHK'!$K$6:$W$6,0))</f>
        <v>2971.67661</v>
      </c>
      <c r="J96" s="749">
        <f t="shared" ca="1" si="76"/>
        <v>-2971.67661</v>
      </c>
      <c r="K96" s="748"/>
      <c r="M96" s="749">
        <f>INDEX('Actual-ACPSZL'!$H$7:$T$207,MATCH($B96,'Actual-ACPSZL'!$B$7:$B$207,0),MATCH(M$8,'Actual-ACPSZL'!$H$6:$T$6,0))</f>
        <v>0</v>
      </c>
      <c r="N96" s="749">
        <f>INDEX('Budget-ACPSZL'!$K$7:$W$207,MATCH($B96,'Budget-ACPSZL'!$B$7:$B$207,0),MATCH(N$8,'Budget-ACPSZL'!$K$6:$W$6,0))</f>
        <v>1332</v>
      </c>
      <c r="O96" s="749">
        <f t="shared" si="70"/>
        <v>-1332</v>
      </c>
      <c r="P96" s="748"/>
      <c r="R96" s="749">
        <f>INDEX('Actual-ACPLSZ'!$H$7:$T$207,MATCH($B96,'Actual-ACPLSZ'!$B$7:$B$207,0),MATCH(R$8,'Actual-ACPLSZ'!$H$6:$T$6,0))</f>
        <v>0</v>
      </c>
      <c r="S96" s="749">
        <f>INDEX('Budget-ACPLSZ'!$K$7:$W$207,MATCH($B96,'Budget-ACPLSZ'!$B$7:$B$207,0),MATCH(S$8,'Budget-ACPLSZ'!$K$6:$W$6,0))</f>
        <v>2232.5</v>
      </c>
      <c r="T96" s="749"/>
      <c r="U96" s="748"/>
      <c r="W96" s="749">
        <f>INDEX('Actual-ACPLGZ'!$H$7:$T$207,MATCH($B96,'Actual-ACPLGZ'!$B$7:$B$207,0),MATCH(W$8,'Actual-ACPLGZ'!$H$6:$T$6,0))</f>
        <v>0</v>
      </c>
      <c r="X96" s="749">
        <f>INDEX('Budget-ACPLGZ'!$K$7:$W$207,MATCH($B96,'Budget-ACPLGZ'!$B$7:$B$207,0),MATCH(X$8,'Budget-ACPLGZ'!$K$6:$W$6,0))</f>
        <v>0</v>
      </c>
      <c r="Y96" s="749">
        <f t="shared" si="71"/>
        <v>0</v>
      </c>
      <c r="Z96" s="748"/>
      <c r="AB96" s="749">
        <f>INDEX('Actual-ACPLGZ'!$H$7:$T$207,MATCH($B96,'Actual-ACPLGZ'!$B$7:$B$207,0),MATCH(AB$8,'Actual-ACPLGZ'!$H$6:$T$6,0))</f>
        <v>0</v>
      </c>
      <c r="AC96" s="749">
        <f>INDEX('Budget-Yixing'!$K$7:$W$207,MATCH($B96,'Budget-Yixing'!$B$7:$B$207,0),MATCH(AC$8,'Budget-Yixing'!$K$6:$W$6,0))</f>
        <v>0</v>
      </c>
      <c r="AD96" s="749"/>
      <c r="AE96" s="748"/>
      <c r="AG96" s="751">
        <f>SUM(INDEX('Actual-ACPL'!$H$7:$T$207,MATCH($B96,'Actual-ACPL'!$B$7:$B$207,0),MATCH('Actual-ACPL'!H$6,'Actual-ACPL'!$H$6:$T$6,0)):INDEX('Actual-ACPL'!$H$7:$T$207,MATCH($B96,'Actual-ACPL'!$B$7:$B$207,0),MATCH(AG$8,'Actual-ACPL'!$H$6:$T$6,0)))</f>
        <v>0</v>
      </c>
      <c r="AH96" s="749">
        <f ca="1">SUM(INDEX('Budget-ACPL'!$K$7:$W$207,MATCH($B96,'Budget-ACPL'!$B$7:$B$207,0),MATCH('Budget-ACPL'!K$6,'Budget-ACPL'!$K$6:$W$6,0)):INDEX('Budget-ACPL'!$K$7:$W$207,MATCH($B96,'Budget-ACPL'!$B$7:$B$207,0),MATCH(AH$8,'Budget-ACPL'!$K$6:$W$6,0)))</f>
        <v>1475.1584250000001</v>
      </c>
      <c r="AI96" s="749">
        <f t="shared" ca="1" si="74"/>
        <v>-1475.1584250000001</v>
      </c>
      <c r="AJ96" s="748"/>
      <c r="AL96" s="749">
        <f>SUM(INDEX('Actual-ACPLHK'!$H$7:$S$207,MATCH($B96,'Actual-ACPLHK'!$B$7:$B$207,0),MATCH('Actual-ACPLHK'!H$6,'Actual-ACPLHK'!$H$6:$T$6,0)):INDEX('Actual-ACPLHK'!$H$7:$S$207,MATCH($B96,'Actual-ACPLHK'!$B$7:$B$207,0),MATCH(AL$8,'Actual-ACPLHK'!$H$6:$T$6,0)))</f>
        <v>0</v>
      </c>
      <c r="AM96" s="749">
        <f ca="1">SUM(INDEX('Budget-ACPLHK'!$K$7:$W$207,MATCH($B96,'Budget-ACPLHK'!$B$7:$B$207,0),MATCH('Budget-ACPLHK'!K$6,'Budget-ACPLHK'!$K$6:$W$6,0)):INDEX('Budget-ACPLHK'!$K$7:$W$207,MATCH($B96,'Budget-ACPLHK'!$B$7:$B$207,0),MATCH(AM$8,'Budget-ACPLHK'!$K$6:$W$6,0)))</f>
        <v>2971.67661</v>
      </c>
      <c r="AN96" s="749"/>
      <c r="AO96" s="748"/>
      <c r="AQ96" s="749">
        <f>SUM(INDEX('Actual-ACPSZL'!$H$7:$T$207,MATCH($B96,'Actual-ACPSZL'!$B$7:$B$207,0),MATCH('Actual-ACPSZL'!H$6,'Actual-ACPSZL'!$H$6:$T$6,0)):INDEX('Actual-ACPSZL'!$H$7:$T$207,MATCH($B96,'Actual-ACPSZL'!$B$7:$B$207,0),MATCH(AQ$8,'Actual-ACPSZL'!$H$6:$T$6,0)))</f>
        <v>0</v>
      </c>
      <c r="AR96" s="749">
        <f>SUM(INDEX('Budget-ACPSZL'!$K$7:$W$207,MATCH($B96,'Budget-ACPSZL'!$B$7:$B$207,0),MATCH('Budget-ACPSZL'!K$6,'Budget-ACPSZL'!$K$6:$W$6,0)):INDEX('Budget-ACPSZL'!$K$7:$W$207,MATCH($B96,'Budget-ACPSZL'!$B$7:$B$207,0),MATCH(AR$8,'Budget-ACPSZL'!$K$6:$W$6,0)))</f>
        <v>1332</v>
      </c>
      <c r="AS96" s="749">
        <f t="shared" si="69"/>
        <v>-1332</v>
      </c>
      <c r="AT96" s="748"/>
      <c r="AV96" s="749">
        <f>SUM(INDEX('Actual-ACPLSZ'!$H$7:$T$207,MATCH($B96,'Actual-ACPLSZ'!$B$7:$B$207,0),MATCH('Actual-ACPLSZ'!H$6,'Actual-ACPLSZ'!$H$6:$T$6,0)):INDEX('Actual-ACPLSZ'!$H$7:$T$207,MATCH($B96,'Actual-ACPLSZ'!$B$7:$B$207,0),MATCH(AV$8,'Actual-ACPLSZ'!$H$6:$T$6,0)))</f>
        <v>0</v>
      </c>
      <c r="AW96" s="749">
        <f>SUM(INDEX('Budget-ACPLSZ'!$K$7:$W$207,MATCH($B96,'Budget-ACPLSZ'!$B$7:$B$207,0),MATCH('Budget-ACPLSZ'!K$6,'Budget-ACPLSZ'!$K$6:$W$6,0)):INDEX('Budget-ACPLSZ'!$K$7:$W$207,MATCH($B96,'Budget-ACPLSZ'!$B$7:$B$207,0),MATCH(AW$8,'Budget-ACPLSZ'!$K$6:$W$6,0)))</f>
        <v>2232.5</v>
      </c>
      <c r="AX96" s="749">
        <f t="shared" si="72"/>
        <v>-2232.5</v>
      </c>
      <c r="AY96" s="748"/>
      <c r="BA96" s="749">
        <f>SUM(INDEX('Actual-ACPLGZ'!$H$7:$T$207,MATCH($B96,'Actual-ACPLGZ'!$B$7:$B$207,0),MATCH('Actual-ACPLGZ'!H$6,'Actual-ACPLGZ'!$H$6:$T$6,0)):INDEX('Actual-ACPLGZ'!$H$7:$T$207,MATCH($B96,'Actual-ACPLGZ'!$B$7:$B$207,0),MATCH(BA$8,'Actual-ACPLGZ'!$H$6:$T$6,0)))</f>
        <v>0</v>
      </c>
      <c r="BB96" s="749">
        <f>SUM(INDEX('Budget-ACPLGZ'!$K$7:$W$207,MATCH($B96,'Budget-ACPLGZ'!$B$7:$B$207,0),MATCH('Budget-ACPLGZ'!K$6,'Budget-ACPLGZ'!$K$6:$W$6,0)):INDEX('Budget-ACPLGZ'!$K$7:$W$207,MATCH($B96,'Budget-ACPLGZ'!$B$7:$B$207,0),MATCH(BB$8,'Budget-ACPLGZ'!$K$6:$W$6,0)))</f>
        <v>0</v>
      </c>
      <c r="BC96" s="749"/>
      <c r="BD96" s="748"/>
      <c r="BF96" s="749">
        <f>SUM(INDEX('Actual-ACPLYixing'!$H$7:$T$207,MATCH($B96,'Actual-ACPLYixing'!$B$7:$B$207,0),MATCH('Actual-ACPLYixing'!H$6,'Actual-ACPLYixing'!$H$6:$T$6,0)):INDEX('Actual-ACPLYixing'!$H$7:$T$207,MATCH($B96,'Actual-ACPLYixing'!$B$7:$B$207,0),MATCH(BF$8,'Actual-ACPLYixing'!$H$6:$T$6,0)))</f>
        <v>0</v>
      </c>
      <c r="BG96" s="749">
        <f>SUM(INDEX('Budget-Yixing'!$K$7:$W$207,MATCH($B96,'Budget-Yixing'!$B$7:$B$207,0),MATCH('Budget-Yixing'!K$6,'Budget-Yixing'!$K$6:$W$6,0)):INDEX('Budget-Yixing'!$K$7:$W$207,MATCH($B96,'Budget-Yixing'!$B$7:$B$207,0),MATCH(BG$8,'Budget-Yixing'!$K$6:$W$6,0)))</f>
        <v>0</v>
      </c>
      <c r="BH96" s="749"/>
      <c r="BI96" s="748"/>
    </row>
    <row r="97" spans="1:61" ht="16.5" customHeight="1">
      <c r="A97" s="653">
        <f>'Budget-合并'!A95</f>
        <v>0</v>
      </c>
      <c r="B97" s="653" t="str">
        <f>'Budget-合并'!B95</f>
        <v xml:space="preserve">    旭智富能03</v>
      </c>
      <c r="C97" s="746">
        <f>INDEX('Actual-ACPL'!$H$7:$T$207,MATCH($B97,'Actual-ACPL'!$B$7:$B$207,0),MATCH(C$8,'Actual-ACPL'!$H$6:$T$6,0))</f>
        <v>0</v>
      </c>
      <c r="D97" s="746">
        <f ca="1">INDEX('Budget-ACPL'!$K$7:$W$207,MATCH($B97,'Budget-ACPL'!$B$7:$B$207,0),MATCH(D$8,'Budget-ACPL'!$K$6:$W$6,0))</f>
        <v>9872.2140749999999</v>
      </c>
      <c r="E97" s="746">
        <f t="shared" ca="1" si="75"/>
        <v>-9872.2140749999999</v>
      </c>
      <c r="F97" s="752"/>
      <c r="H97" s="749">
        <f>INDEX('Actual-ACPLHK'!$H$7:$T$207,MATCH($B97,'Actual-ACPLHK'!$B$7:$B$207,0),MATCH(H$8,'Actual-ACPLHK'!$H$6:$T$6,0))</f>
        <v>0</v>
      </c>
      <c r="I97" s="749">
        <f ca="1">INDEX('Budget-ACPLHK'!$K$7:$W$207,MATCH($B97,'Budget-ACPLHK'!$B$7:$B$207,0),MATCH(I$8,'Budget-ACPLHK'!$K$6:$W$6,0))</f>
        <v>2635.2603899999999</v>
      </c>
      <c r="J97" s="749">
        <f t="shared" ca="1" si="76"/>
        <v>-2635.2603899999999</v>
      </c>
      <c r="K97" s="748"/>
      <c r="M97" s="749">
        <f>INDEX('Actual-ACPSZL'!$H$7:$T$207,MATCH($B97,'Actual-ACPSZL'!$B$7:$B$207,0),MATCH(M$8,'Actual-ACPSZL'!$H$6:$T$6,0))</f>
        <v>0</v>
      </c>
      <c r="N97" s="749">
        <f>INDEX('Budget-ACPSZL'!$K$7:$W$207,MATCH($B97,'Budget-ACPSZL'!$B$7:$B$207,0),MATCH(N$8,'Budget-ACPSZL'!$K$6:$W$6,0))</f>
        <v>13468</v>
      </c>
      <c r="O97" s="749">
        <f t="shared" si="70"/>
        <v>-13468</v>
      </c>
      <c r="P97" s="748"/>
      <c r="R97" s="749">
        <f>INDEX('Actual-ACPLSZ'!$H$7:$T$207,MATCH($B97,'Actual-ACPLSZ'!$B$7:$B$207,0),MATCH(R$8,'Actual-ACPLSZ'!$H$6:$T$6,0))</f>
        <v>0</v>
      </c>
      <c r="S97" s="749">
        <f>INDEX('Budget-ACPLSZ'!$K$7:$W$207,MATCH($B97,'Budget-ACPLSZ'!$B$7:$B$207,0),MATCH(S$8,'Budget-ACPLSZ'!$K$6:$W$6,0))</f>
        <v>42417.5</v>
      </c>
      <c r="T97" s="749">
        <f>(R97-S97)*-1</f>
        <v>42417.5</v>
      </c>
      <c r="U97" s="748"/>
      <c r="W97" s="749">
        <f>INDEX('Actual-ACPLGZ'!$H$7:$T$207,MATCH($B97,'Actual-ACPLGZ'!$B$7:$B$207,0),MATCH(W$8,'Actual-ACPLGZ'!$H$6:$T$6,0))</f>
        <v>0</v>
      </c>
      <c r="X97" s="749">
        <f>INDEX('Budget-ACPLGZ'!$K$7:$W$207,MATCH($B97,'Budget-ACPLGZ'!$B$7:$B$207,0),MATCH(X$8,'Budget-ACPLGZ'!$K$6:$W$6,0))</f>
        <v>0</v>
      </c>
      <c r="Y97" s="749">
        <f t="shared" si="71"/>
        <v>0</v>
      </c>
      <c r="Z97" s="748"/>
      <c r="AB97" s="749">
        <f>INDEX('Actual-ACPLGZ'!$H$7:$T$207,MATCH($B97,'Actual-ACPLGZ'!$B$7:$B$207,0),MATCH(AB$8,'Actual-ACPLGZ'!$H$6:$T$6,0))</f>
        <v>0</v>
      </c>
      <c r="AC97" s="749">
        <f>INDEX('Budget-Yixing'!$K$7:$W$207,MATCH($B97,'Budget-Yixing'!$B$7:$B$207,0),MATCH(AC$8,'Budget-Yixing'!$K$6:$W$6,0))</f>
        <v>0</v>
      </c>
      <c r="AD97" s="749">
        <f>(AB97-AC97)*-1</f>
        <v>0</v>
      </c>
      <c r="AE97" s="748"/>
      <c r="AG97" s="751">
        <f>SUM(INDEX('Actual-ACPL'!$H$7:$T$207,MATCH($B97,'Actual-ACPL'!$B$7:$B$207,0),MATCH('Actual-ACPL'!H$6,'Actual-ACPL'!$H$6:$T$6,0)):INDEX('Actual-ACPL'!$H$7:$T$207,MATCH($B97,'Actual-ACPL'!$B$7:$B$207,0),MATCH(AG$8,'Actual-ACPL'!$H$6:$T$6,0)))</f>
        <v>0</v>
      </c>
      <c r="AH97" s="749">
        <f ca="1">SUM(INDEX('Budget-ACPL'!$K$7:$W$207,MATCH($B97,'Budget-ACPL'!$B$7:$B$207,0),MATCH('Budget-ACPL'!K$6,'Budget-ACPL'!$K$6:$W$6,0)):INDEX('Budget-ACPL'!$K$7:$W$207,MATCH($B97,'Budget-ACPL'!$B$7:$B$207,0),MATCH(AH$8,'Budget-ACPL'!$K$6:$W$6,0)))</f>
        <v>9872.2140749999999</v>
      </c>
      <c r="AI97" s="749">
        <f t="shared" ca="1" si="74"/>
        <v>-9872.2140749999999</v>
      </c>
      <c r="AJ97" s="748"/>
      <c r="AL97" s="749">
        <f>SUM(INDEX('Actual-ACPLHK'!$H$7:$S$207,MATCH($B97,'Actual-ACPLHK'!$B$7:$B$207,0),MATCH('Actual-ACPLHK'!H$6,'Actual-ACPLHK'!$H$6:$T$6,0)):INDEX('Actual-ACPLHK'!$H$7:$S$207,MATCH($B97,'Actual-ACPLHK'!$B$7:$B$207,0),MATCH(AL$8,'Actual-ACPLHK'!$H$6:$T$6,0)))</f>
        <v>0</v>
      </c>
      <c r="AM97" s="749">
        <f ca="1">SUM(INDEX('Budget-ACPLHK'!$K$7:$W$207,MATCH($B97,'Budget-ACPLHK'!$B$7:$B$207,0),MATCH('Budget-ACPLHK'!K$6,'Budget-ACPLHK'!$K$6:$W$6,0)):INDEX('Budget-ACPLHK'!$K$7:$W$207,MATCH($B97,'Budget-ACPLHK'!$B$7:$B$207,0),MATCH(AM$8,'Budget-ACPLHK'!$K$6:$W$6,0)))</f>
        <v>2635.2603899999999</v>
      </c>
      <c r="AN97" s="749">
        <f ca="1">AL97-AM97</f>
        <v>-2635.2603899999999</v>
      </c>
      <c r="AO97" s="748"/>
      <c r="AQ97" s="749">
        <f>SUM(INDEX('Actual-ACPSZL'!$H$7:$T$207,MATCH($B97,'Actual-ACPSZL'!$B$7:$B$207,0),MATCH('Actual-ACPSZL'!H$6,'Actual-ACPSZL'!$H$6:$T$6,0)):INDEX('Actual-ACPSZL'!$H$7:$T$207,MATCH($B97,'Actual-ACPSZL'!$B$7:$B$207,0),MATCH(AQ$8,'Actual-ACPSZL'!$H$6:$T$6,0)))</f>
        <v>0</v>
      </c>
      <c r="AR97" s="749">
        <f>SUM(INDEX('Budget-ACPSZL'!$K$7:$W$207,MATCH($B97,'Budget-ACPSZL'!$B$7:$B$207,0),MATCH('Budget-ACPSZL'!K$6,'Budget-ACPSZL'!$K$6:$W$6,0)):INDEX('Budget-ACPSZL'!$K$7:$W$207,MATCH($B97,'Budget-ACPSZL'!$B$7:$B$207,0),MATCH(AR$8,'Budget-ACPSZL'!$K$6:$W$6,0)))</f>
        <v>13468</v>
      </c>
      <c r="AS97" s="749">
        <f t="shared" si="69"/>
        <v>-13468</v>
      </c>
      <c r="AT97" s="748"/>
      <c r="AV97" s="749">
        <f>SUM(INDEX('Actual-ACPLSZ'!$H$7:$T$207,MATCH($B97,'Actual-ACPLSZ'!$B$7:$B$207,0),MATCH('Actual-ACPLSZ'!H$6,'Actual-ACPLSZ'!$H$6:$T$6,0)):INDEX('Actual-ACPLSZ'!$H$7:$T$207,MATCH($B97,'Actual-ACPLSZ'!$B$7:$B$207,0),MATCH(AV$8,'Actual-ACPLSZ'!$H$6:$T$6,0)))</f>
        <v>0</v>
      </c>
      <c r="AW97" s="749">
        <f>SUM(INDEX('Budget-ACPLSZ'!$K$7:$W$207,MATCH($B97,'Budget-ACPLSZ'!$B$7:$B$207,0),MATCH('Budget-ACPLSZ'!K$6,'Budget-ACPLSZ'!$K$6:$W$6,0)):INDEX('Budget-ACPLSZ'!$K$7:$W$207,MATCH($B97,'Budget-ACPLSZ'!$B$7:$B$207,0),MATCH(AW$8,'Budget-ACPLSZ'!$K$6:$W$6,0)))</f>
        <v>42417.5</v>
      </c>
      <c r="AX97" s="749">
        <f t="shared" si="72"/>
        <v>-42417.5</v>
      </c>
      <c r="AY97" s="748"/>
      <c r="BA97" s="749">
        <f>SUM(INDEX('Actual-ACPLGZ'!$H$7:$T$207,MATCH($B97,'Actual-ACPLGZ'!$B$7:$B$207,0),MATCH('Actual-ACPLGZ'!H$6,'Actual-ACPLGZ'!$H$6:$T$6,0)):INDEX('Actual-ACPLGZ'!$H$7:$T$207,MATCH($B97,'Actual-ACPLGZ'!$B$7:$B$207,0),MATCH(BA$8,'Actual-ACPLGZ'!$H$6:$T$6,0)))</f>
        <v>0</v>
      </c>
      <c r="BB97" s="749">
        <f>SUM(INDEX('Budget-ACPLGZ'!$K$7:$W$207,MATCH($B97,'Budget-ACPLGZ'!$B$7:$B$207,0),MATCH('Budget-ACPLGZ'!K$6,'Budget-ACPLGZ'!$K$6:$W$6,0)):INDEX('Budget-ACPLGZ'!$K$7:$W$207,MATCH($B97,'Budget-ACPLGZ'!$B$7:$B$207,0),MATCH(BB$8,'Budget-ACPLGZ'!$K$6:$W$6,0)))</f>
        <v>0</v>
      </c>
      <c r="BC97" s="749">
        <f>BA97-BB97</f>
        <v>0</v>
      </c>
      <c r="BD97" s="748"/>
      <c r="BF97" s="749">
        <f>SUM(INDEX('Actual-ACPLYixing'!$H$7:$T$207,MATCH($B97,'Actual-ACPLYixing'!$B$7:$B$207,0),MATCH('Actual-ACPLYixing'!H$6,'Actual-ACPLYixing'!$H$6:$T$6,0)):INDEX('Actual-ACPLYixing'!$H$7:$T$207,MATCH($B97,'Actual-ACPLYixing'!$B$7:$B$207,0),MATCH(BF$8,'Actual-ACPLYixing'!$H$6:$T$6,0)))</f>
        <v>0</v>
      </c>
      <c r="BG97" s="749">
        <f>SUM(INDEX('Budget-Yixing'!$K$7:$W$207,MATCH($B97,'Budget-Yixing'!$B$7:$B$207,0),MATCH('Budget-Yixing'!K$6,'Budget-Yixing'!$K$6:$W$6,0)):INDEX('Budget-Yixing'!$K$7:$W$207,MATCH($B97,'Budget-Yixing'!$B$7:$B$207,0),MATCH(BG$8,'Budget-Yixing'!$K$6:$W$6,0)))</f>
        <v>0</v>
      </c>
      <c r="BH97" s="749">
        <f>BF97-BG97</f>
        <v>0</v>
      </c>
      <c r="BI97" s="748"/>
    </row>
    <row r="98" spans="1:61" ht="16.5" customHeight="1">
      <c r="A98" s="653">
        <f>'Budget-合并'!A96</f>
        <v>0</v>
      </c>
      <c r="B98" s="653" t="str">
        <f>'Budget-合并'!B96</f>
        <v xml:space="preserve">    其他项目03</v>
      </c>
      <c r="C98" s="746">
        <f>INDEX('Actual-ACPL'!$H$7:$T$207,MATCH($B98,'Actual-ACPL'!$B$7:$B$207,0),MATCH(C$8,'Actual-ACPL'!$H$6:$T$6,0))</f>
        <v>0</v>
      </c>
      <c r="D98" s="746">
        <f>INDEX('Budget-ACPL'!$K$7:$W$207,MATCH($B98,'Budget-ACPL'!$B$7:$B$207,0),MATCH(D$8,'Budget-ACPL'!$K$6:$W$6,0))</f>
        <v>0</v>
      </c>
      <c r="E98" s="746">
        <f t="shared" si="75"/>
        <v>0</v>
      </c>
      <c r="F98" s="752"/>
      <c r="H98" s="749">
        <f>INDEX('Actual-ACPLHK'!$H$7:$T$207,MATCH($B98,'Actual-ACPLHK'!$B$7:$B$207,0),MATCH(H$8,'Actual-ACPLHK'!$H$6:$T$6,0))</f>
        <v>0</v>
      </c>
      <c r="I98" s="749">
        <f>INDEX('Budget-ACPLHK'!$K$7:$W$207,MATCH($B98,'Budget-ACPLHK'!$B$7:$B$207,0),MATCH(I$8,'Budget-ACPLHK'!$K$6:$W$6,0))</f>
        <v>0</v>
      </c>
      <c r="J98" s="749">
        <f t="shared" si="76"/>
        <v>0</v>
      </c>
      <c r="K98" s="748"/>
      <c r="M98" s="749">
        <f>INDEX('Actual-ACPSZL'!$H$7:$T$207,MATCH($B98,'Actual-ACPSZL'!$B$7:$B$207,0),MATCH(M$8,'Actual-ACPSZL'!$H$6:$T$6,0))</f>
        <v>0</v>
      </c>
      <c r="N98" s="749">
        <f>INDEX('Budget-ACPSZL'!$K$7:$W$207,MATCH($B98,'Budget-ACPSZL'!$B$7:$B$207,0),MATCH(N$8,'Budget-ACPSZL'!$K$6:$W$6,0))</f>
        <v>0</v>
      </c>
      <c r="O98" s="749">
        <f t="shared" si="70"/>
        <v>0</v>
      </c>
      <c r="P98" s="748"/>
      <c r="R98" s="749">
        <f>INDEX('Actual-ACPLSZ'!$H$7:$T$207,MATCH($B98,'Actual-ACPLSZ'!$B$7:$B$207,0),MATCH(R$8,'Actual-ACPLSZ'!$H$6:$T$6,0))</f>
        <v>0</v>
      </c>
      <c r="S98" s="749">
        <f>INDEX('Budget-ACPLSZ'!$K$7:$W$207,MATCH($B98,'Budget-ACPLSZ'!$B$7:$B$207,0),MATCH(S$8,'Budget-ACPLSZ'!$K$6:$W$6,0))</f>
        <v>0</v>
      </c>
      <c r="T98" s="749">
        <f>(R98-S98)*-1</f>
        <v>0</v>
      </c>
      <c r="U98" s="748"/>
      <c r="W98" s="749">
        <f>INDEX('Actual-ACPLGZ'!$H$7:$T$207,MATCH($B98,'Actual-ACPLGZ'!$B$7:$B$207,0),MATCH(W$8,'Actual-ACPLGZ'!$H$6:$T$6,0))</f>
        <v>0</v>
      </c>
      <c r="X98" s="749">
        <f>INDEX('Budget-ACPLGZ'!$K$7:$W$207,MATCH($B98,'Budget-ACPLGZ'!$B$7:$B$207,0),MATCH(X$8,'Budget-ACPLGZ'!$K$6:$W$6,0))</f>
        <v>0</v>
      </c>
      <c r="Y98" s="749">
        <f t="shared" si="71"/>
        <v>0</v>
      </c>
      <c r="Z98" s="748"/>
      <c r="AB98" s="749">
        <f>INDEX('Actual-ACPLGZ'!$H$7:$T$207,MATCH($B98,'Actual-ACPLGZ'!$B$7:$B$207,0),MATCH(AB$8,'Actual-ACPLGZ'!$H$6:$T$6,0))</f>
        <v>0</v>
      </c>
      <c r="AC98" s="749">
        <f>INDEX('Budget-Yixing'!$K$7:$W$207,MATCH($B98,'Budget-Yixing'!$B$7:$B$207,0),MATCH(AC$8,'Budget-Yixing'!$K$6:$W$6,0))</f>
        <v>0</v>
      </c>
      <c r="AD98" s="749">
        <f>(AB98-AC98)*-1</f>
        <v>0</v>
      </c>
      <c r="AE98" s="748"/>
      <c r="AG98" s="751">
        <f>SUM(INDEX('Actual-ACPL'!$H$7:$T$207,MATCH($B98,'Actual-ACPL'!$B$7:$B$207,0),MATCH('Actual-ACPL'!H$6,'Actual-ACPL'!$H$6:$T$6,0)):INDEX('Actual-ACPL'!$H$7:$T$207,MATCH($B98,'Actual-ACPL'!$B$7:$B$207,0),MATCH(AG$8,'Actual-ACPL'!$H$6:$T$6,0)))</f>
        <v>0</v>
      </c>
      <c r="AH98" s="749">
        <f>SUM(INDEX('Budget-ACPL'!$K$7:$W$207,MATCH($B98,'Budget-ACPL'!$B$7:$B$207,0),MATCH('Budget-ACPL'!K$6,'Budget-ACPL'!$K$6:$W$6,0)):INDEX('Budget-ACPL'!$K$7:$W$207,MATCH($B98,'Budget-ACPL'!$B$7:$B$207,0),MATCH(AH$8,'Budget-ACPL'!$K$6:$W$6,0)))</f>
        <v>0</v>
      </c>
      <c r="AI98" s="749">
        <f t="shared" si="74"/>
        <v>0</v>
      </c>
      <c r="AJ98" s="748"/>
      <c r="AL98" s="749">
        <f>SUM(INDEX('Actual-ACPLHK'!$H$7:$S$207,MATCH($B98,'Actual-ACPLHK'!$B$7:$B$207,0),MATCH('Actual-ACPLHK'!H$6,'Actual-ACPLHK'!$H$6:$T$6,0)):INDEX('Actual-ACPLHK'!$H$7:$S$207,MATCH($B98,'Actual-ACPLHK'!$B$7:$B$207,0),MATCH(AL$8,'Actual-ACPLHK'!$H$6:$T$6,0)))</f>
        <v>0</v>
      </c>
      <c r="AM98" s="749">
        <f>SUM(INDEX('Budget-ACPLHK'!$K$7:$W$207,MATCH($B98,'Budget-ACPLHK'!$B$7:$B$207,0),MATCH('Budget-ACPLHK'!K$6,'Budget-ACPLHK'!$K$6:$W$6,0)):INDEX('Budget-ACPLHK'!$K$7:$W$207,MATCH($B98,'Budget-ACPLHK'!$B$7:$B$207,0),MATCH(AM$8,'Budget-ACPLHK'!$K$6:$W$6,0)))</f>
        <v>0</v>
      </c>
      <c r="AN98" s="749">
        <f>AL98-AM98</f>
        <v>0</v>
      </c>
      <c r="AO98" s="748"/>
      <c r="AQ98" s="749">
        <f>SUM(INDEX('Actual-ACPSZL'!$H$7:$T$207,MATCH($B98,'Actual-ACPSZL'!$B$7:$B$207,0),MATCH('Actual-ACPSZL'!H$6,'Actual-ACPSZL'!$H$6:$T$6,0)):INDEX('Actual-ACPSZL'!$H$7:$T$207,MATCH($B98,'Actual-ACPSZL'!$B$7:$B$207,0),MATCH(AQ$8,'Actual-ACPSZL'!$H$6:$T$6,0)))</f>
        <v>0</v>
      </c>
      <c r="AR98" s="749">
        <f>SUM(INDEX('Budget-ACPSZL'!$K$7:$W$207,MATCH($B98,'Budget-ACPSZL'!$B$7:$B$207,0),MATCH('Budget-ACPSZL'!K$6,'Budget-ACPSZL'!$K$6:$W$6,0)):INDEX('Budget-ACPSZL'!$K$7:$W$207,MATCH($B98,'Budget-ACPSZL'!$B$7:$B$207,0),MATCH(AR$8,'Budget-ACPSZL'!$K$6:$W$6,0)))</f>
        <v>0</v>
      </c>
      <c r="AS98" s="749">
        <f t="shared" si="69"/>
        <v>0</v>
      </c>
      <c r="AT98" s="748"/>
      <c r="AV98" s="749">
        <f>SUM(INDEX('Actual-ACPLSZ'!$H$7:$T$207,MATCH($B98,'Actual-ACPLSZ'!$B$7:$B$207,0),MATCH('Actual-ACPLSZ'!H$6,'Actual-ACPLSZ'!$H$6:$T$6,0)):INDEX('Actual-ACPLSZ'!$H$7:$T$207,MATCH($B98,'Actual-ACPLSZ'!$B$7:$B$207,0),MATCH(AV$8,'Actual-ACPLSZ'!$H$6:$T$6,0)))</f>
        <v>0</v>
      </c>
      <c r="AW98" s="749">
        <f>SUM(INDEX('Budget-ACPLSZ'!$K$7:$W$207,MATCH($B98,'Budget-ACPLSZ'!$B$7:$B$207,0),MATCH('Budget-ACPLSZ'!K$6,'Budget-ACPLSZ'!$K$6:$W$6,0)):INDEX('Budget-ACPLSZ'!$K$7:$W$207,MATCH($B98,'Budget-ACPLSZ'!$B$7:$B$207,0),MATCH(AW$8,'Budget-ACPLSZ'!$K$6:$W$6,0)))</f>
        <v>0</v>
      </c>
      <c r="AX98" s="749">
        <f t="shared" si="72"/>
        <v>0</v>
      </c>
      <c r="AY98" s="748"/>
      <c r="BA98" s="749">
        <f>SUM(INDEX('Actual-ACPLGZ'!$H$7:$T$207,MATCH($B98,'Actual-ACPLGZ'!$B$7:$B$207,0),MATCH('Actual-ACPLGZ'!H$6,'Actual-ACPLGZ'!$H$6:$T$6,0)):INDEX('Actual-ACPLGZ'!$H$7:$T$207,MATCH($B98,'Actual-ACPLGZ'!$B$7:$B$207,0),MATCH(BA$8,'Actual-ACPLGZ'!$H$6:$T$6,0)))</f>
        <v>0</v>
      </c>
      <c r="BB98" s="749">
        <f>SUM(INDEX('Budget-ACPLGZ'!$K$7:$W$207,MATCH($B98,'Budget-ACPLGZ'!$B$7:$B$207,0),MATCH('Budget-ACPLGZ'!K$6,'Budget-ACPLGZ'!$K$6:$W$6,0)):INDEX('Budget-ACPLGZ'!$K$7:$W$207,MATCH($B98,'Budget-ACPLGZ'!$B$7:$B$207,0),MATCH(BB$8,'Budget-ACPLGZ'!$K$6:$W$6,0)))</f>
        <v>0</v>
      </c>
      <c r="BC98" s="749">
        <f>BA98-BB98</f>
        <v>0</v>
      </c>
      <c r="BD98" s="748"/>
      <c r="BF98" s="749">
        <f>SUM(INDEX('Actual-ACPLYixing'!$H$7:$T$207,MATCH($B98,'Actual-ACPLYixing'!$B$7:$B$207,0),MATCH('Actual-ACPLYixing'!H$6,'Actual-ACPLYixing'!$H$6:$T$6,0)):INDEX('Actual-ACPLYixing'!$H$7:$T$207,MATCH($B98,'Actual-ACPLYixing'!$B$7:$B$207,0),MATCH(BF$8,'Actual-ACPLYixing'!$H$6:$T$6,0)))</f>
        <v>0</v>
      </c>
      <c r="BG98" s="749">
        <f>SUM(INDEX('Budget-Yixing'!$K$7:$W$207,MATCH($B98,'Budget-Yixing'!$B$7:$B$207,0),MATCH('Budget-Yixing'!K$6,'Budget-Yixing'!$K$6:$W$6,0)):INDEX('Budget-Yixing'!$K$7:$W$207,MATCH($B98,'Budget-Yixing'!$B$7:$B$207,0),MATCH(BG$8,'Budget-Yixing'!$K$6:$W$6,0)))</f>
        <v>0</v>
      </c>
      <c r="BH98" s="749">
        <f>BF98-BG98</f>
        <v>0</v>
      </c>
      <c r="BI98" s="748"/>
    </row>
    <row r="99" spans="1:61" ht="16.5" customHeight="1">
      <c r="A99" s="653" t="str">
        <f>'Budget-合并'!A97</f>
        <v>6602.09.02</v>
      </c>
      <c r="B99" s="653" t="str">
        <f>'Budget-合并'!B97</f>
        <v>伙食费</v>
      </c>
      <c r="C99" s="746">
        <f>INDEX('Actual-ACPL'!$H$7:$T$207,MATCH($B99,'Actual-ACPL'!$B$7:$B$207,0),MATCH(C$8,'Actual-ACPL'!$H$6:$T$6,0))</f>
        <v>0</v>
      </c>
      <c r="D99" s="746">
        <f ca="1">INDEX('Budget-ACPL'!$K$7:$W$207,MATCH($B99,'Budget-ACPL'!$B$7:$B$207,0),MATCH(D$8,'Budget-ACPL'!$K$6:$W$6,0))</f>
        <v>4405.4504999999999</v>
      </c>
      <c r="E99" s="746">
        <f t="shared" ca="1" si="75"/>
        <v>-4405.4504999999999</v>
      </c>
      <c r="F99" s="752"/>
      <c r="H99" s="749">
        <f>INDEX('Actual-ACPLHK'!$H$7:$T$207,MATCH($B99,'Actual-ACPLHK'!$B$7:$B$207,0),MATCH(H$8,'Actual-ACPLHK'!$H$6:$T$6,0))</f>
        <v>0</v>
      </c>
      <c r="I99" s="749">
        <f ca="1">INDEX('Budget-ACPLHK'!$K$7:$W$207,MATCH($B99,'Budget-ACPLHK'!$B$7:$B$207,0),MATCH(I$8,'Budget-ACPLHK'!$K$6:$W$6,0))</f>
        <v>2313.9739999999997</v>
      </c>
      <c r="J99" s="749">
        <f t="shared" ca="1" si="76"/>
        <v>-2313.9739999999997</v>
      </c>
      <c r="K99" s="748"/>
      <c r="M99" s="749">
        <f>INDEX('Actual-ACPSZL'!$H$7:$T$207,MATCH($B99,'Actual-ACPSZL'!$B$7:$B$207,0),MATCH(M$8,'Actual-ACPSZL'!$H$6:$T$6,0))</f>
        <v>0</v>
      </c>
      <c r="N99" s="749">
        <f>INDEX('Budget-ACPSZL'!$K$7:$W$207,MATCH($B99,'Budget-ACPSZL'!$B$7:$B$207,0),MATCH(N$8,'Budget-ACPSZL'!$K$6:$W$6,0))</f>
        <v>6100</v>
      </c>
      <c r="O99" s="749">
        <f t="shared" si="70"/>
        <v>-6100</v>
      </c>
      <c r="P99" s="748"/>
      <c r="R99" s="749">
        <f>INDEX('Actual-ACPLSZ'!$H$7:$T$207,MATCH($B99,'Actual-ACPLSZ'!$B$7:$B$207,0),MATCH(R$8,'Actual-ACPLSZ'!$H$6:$T$6,0))</f>
        <v>0</v>
      </c>
      <c r="S99" s="749">
        <f>INDEX('Budget-ACPLSZ'!$K$7:$W$207,MATCH($B99,'Budget-ACPLSZ'!$B$7:$B$207,0),MATCH(S$8,'Budget-ACPLSZ'!$K$6:$W$6,0))</f>
        <v>17800</v>
      </c>
      <c r="T99" s="749">
        <f>(R99-S99)*-1</f>
        <v>17800</v>
      </c>
      <c r="U99" s="748"/>
      <c r="W99" s="749">
        <f>INDEX('Actual-ACPLGZ'!$H$7:$T$207,MATCH($B99,'Actual-ACPLGZ'!$B$7:$B$207,0),MATCH(W$8,'Actual-ACPLGZ'!$H$6:$T$6,0))</f>
        <v>0</v>
      </c>
      <c r="X99" s="749">
        <f>INDEX('Budget-ACPLGZ'!$K$7:$W$207,MATCH($B99,'Budget-ACPLGZ'!$B$7:$B$207,0),MATCH(X$8,'Budget-ACPLGZ'!$K$6:$W$6,0))</f>
        <v>75</v>
      </c>
      <c r="Y99" s="749">
        <f t="shared" si="71"/>
        <v>-75</v>
      </c>
      <c r="Z99" s="748"/>
      <c r="AB99" s="749">
        <f>INDEX('Actual-ACPLGZ'!$H$7:$T$207,MATCH($B99,'Actual-ACPLGZ'!$B$7:$B$207,0),MATCH(AB$8,'Actual-ACPLGZ'!$H$6:$T$6,0))</f>
        <v>0</v>
      </c>
      <c r="AC99" s="749">
        <f>INDEX('Budget-Yixing'!$K$7:$W$207,MATCH($B99,'Budget-Yixing'!$B$7:$B$207,0),MATCH(AC$8,'Budget-Yixing'!$K$6:$W$6,0))</f>
        <v>0</v>
      </c>
      <c r="AD99" s="749">
        <f>(AB99-AC99)*-1</f>
        <v>0</v>
      </c>
      <c r="AE99" s="748"/>
      <c r="AG99" s="751">
        <f>SUM(INDEX('Actual-ACPL'!$H$7:$T$207,MATCH($B99,'Actual-ACPL'!$B$7:$B$207,0),MATCH('Actual-ACPL'!H$6,'Actual-ACPL'!$H$6:$T$6,0)):INDEX('Actual-ACPL'!$H$7:$T$207,MATCH($B99,'Actual-ACPL'!$B$7:$B$207,0),MATCH(AG$8,'Actual-ACPL'!$H$6:$T$6,0)))</f>
        <v>0</v>
      </c>
      <c r="AH99" s="749">
        <f ca="1">SUM(INDEX('Budget-ACPL'!$K$7:$W$207,MATCH($B99,'Budget-ACPL'!$B$7:$B$207,0),MATCH('Budget-ACPL'!K$6,'Budget-ACPL'!$K$6:$W$6,0)):INDEX('Budget-ACPL'!$K$7:$W$207,MATCH($B99,'Budget-ACPL'!$B$7:$B$207,0),MATCH(AH$8,'Budget-ACPL'!$K$6:$W$6,0)))</f>
        <v>4405.4504999999999</v>
      </c>
      <c r="AI99" s="749">
        <f t="shared" ca="1" si="74"/>
        <v>-4405.4504999999999</v>
      </c>
      <c r="AJ99" s="748"/>
      <c r="AL99" s="749">
        <f>SUM(INDEX('Actual-ACPLHK'!$H$7:$S$207,MATCH($B99,'Actual-ACPLHK'!$B$7:$B$207,0),MATCH('Actual-ACPLHK'!H$6,'Actual-ACPLHK'!$H$6:$T$6,0)):INDEX('Actual-ACPLHK'!$H$7:$S$207,MATCH($B99,'Actual-ACPLHK'!$B$7:$B$207,0),MATCH(AL$8,'Actual-ACPLHK'!$H$6:$T$6,0)))</f>
        <v>0</v>
      </c>
      <c r="AM99" s="749">
        <f ca="1">SUM(INDEX('Budget-ACPLHK'!$K$7:$W$207,MATCH($B99,'Budget-ACPLHK'!$B$7:$B$207,0),MATCH('Budget-ACPLHK'!K$6,'Budget-ACPLHK'!$K$6:$W$6,0)):INDEX('Budget-ACPLHK'!$K$7:$W$207,MATCH($B99,'Budget-ACPLHK'!$B$7:$B$207,0),MATCH(AM$8,'Budget-ACPLHK'!$K$6:$W$6,0)))</f>
        <v>2313.9739999999997</v>
      </c>
      <c r="AN99" s="749">
        <f ca="1">AL99-AM99</f>
        <v>-2313.9739999999997</v>
      </c>
      <c r="AO99" s="748"/>
      <c r="AQ99" s="749">
        <f>SUM(INDEX('Actual-ACPSZL'!$H$7:$T$207,MATCH($B99,'Actual-ACPSZL'!$B$7:$B$207,0),MATCH('Actual-ACPSZL'!H$6,'Actual-ACPSZL'!$H$6:$T$6,0)):INDEX('Actual-ACPSZL'!$H$7:$T$207,MATCH($B99,'Actual-ACPSZL'!$B$7:$B$207,0),MATCH(AQ$8,'Actual-ACPSZL'!$H$6:$T$6,0)))</f>
        <v>0</v>
      </c>
      <c r="AR99" s="749">
        <f>SUM(INDEX('Budget-ACPSZL'!$K$7:$W$207,MATCH($B99,'Budget-ACPSZL'!$B$7:$B$207,0),MATCH('Budget-ACPSZL'!K$6,'Budget-ACPSZL'!$K$6:$W$6,0)):INDEX('Budget-ACPSZL'!$K$7:$W$207,MATCH($B99,'Budget-ACPSZL'!$B$7:$B$207,0),MATCH(AR$8,'Budget-ACPSZL'!$K$6:$W$6,0)))</f>
        <v>6100</v>
      </c>
      <c r="AS99" s="749">
        <f t="shared" si="69"/>
        <v>-6100</v>
      </c>
      <c r="AT99" s="748"/>
      <c r="AV99" s="749">
        <f>SUM(INDEX('Actual-ACPLSZ'!$H$7:$T$207,MATCH($B99,'Actual-ACPLSZ'!$B$7:$B$207,0),MATCH('Actual-ACPLSZ'!H$6,'Actual-ACPLSZ'!$H$6:$T$6,0)):INDEX('Actual-ACPLSZ'!$H$7:$T$207,MATCH($B99,'Actual-ACPLSZ'!$B$7:$B$207,0),MATCH(AV$8,'Actual-ACPLSZ'!$H$6:$T$6,0)))</f>
        <v>0</v>
      </c>
      <c r="AW99" s="749">
        <f>SUM(INDEX('Budget-ACPLSZ'!$K$7:$W$207,MATCH($B99,'Budget-ACPLSZ'!$B$7:$B$207,0),MATCH('Budget-ACPLSZ'!K$6,'Budget-ACPLSZ'!$K$6:$W$6,0)):INDEX('Budget-ACPLSZ'!$K$7:$W$207,MATCH($B99,'Budget-ACPLSZ'!$B$7:$B$207,0),MATCH(AW$8,'Budget-ACPLSZ'!$K$6:$W$6,0)))</f>
        <v>17800</v>
      </c>
      <c r="AX99" s="749">
        <f t="shared" si="72"/>
        <v>-17800</v>
      </c>
      <c r="AY99" s="748"/>
      <c r="BA99" s="749">
        <f>SUM(INDEX('Actual-ACPLGZ'!$H$7:$T$207,MATCH($B99,'Actual-ACPLGZ'!$B$7:$B$207,0),MATCH('Actual-ACPLGZ'!H$6,'Actual-ACPLGZ'!$H$6:$T$6,0)):INDEX('Actual-ACPLGZ'!$H$7:$T$207,MATCH($B99,'Actual-ACPLGZ'!$B$7:$B$207,0),MATCH(BA$8,'Actual-ACPLGZ'!$H$6:$T$6,0)))</f>
        <v>0</v>
      </c>
      <c r="BB99" s="749">
        <f>SUM(INDEX('Budget-ACPLGZ'!$K$7:$W$207,MATCH($B99,'Budget-ACPLGZ'!$B$7:$B$207,0),MATCH('Budget-ACPLGZ'!K$6,'Budget-ACPLGZ'!$K$6:$W$6,0)):INDEX('Budget-ACPLGZ'!$K$7:$W$207,MATCH($B99,'Budget-ACPLGZ'!$B$7:$B$207,0),MATCH(BB$8,'Budget-ACPLGZ'!$K$6:$W$6,0)))</f>
        <v>75</v>
      </c>
      <c r="BC99" s="749">
        <f>BA99-BB99</f>
        <v>-75</v>
      </c>
      <c r="BD99" s="748"/>
      <c r="BF99" s="749">
        <f>SUM(INDEX('Actual-ACPLYixing'!$H$7:$T$207,MATCH($B99,'Actual-ACPLYixing'!$B$7:$B$207,0),MATCH('Actual-ACPLYixing'!H$6,'Actual-ACPLYixing'!$H$6:$T$6,0)):INDEX('Actual-ACPLYixing'!$H$7:$T$207,MATCH($B99,'Actual-ACPLYixing'!$B$7:$B$207,0),MATCH(BF$8,'Actual-ACPLYixing'!$H$6:$T$6,0)))</f>
        <v>0</v>
      </c>
      <c r="BG99" s="749">
        <f>SUM(INDEX('Budget-Yixing'!$K$7:$W$207,MATCH($B99,'Budget-Yixing'!$B$7:$B$207,0),MATCH('Budget-Yixing'!K$6,'Budget-Yixing'!$K$6:$W$6,0)):INDEX('Budget-Yixing'!$K$7:$W$207,MATCH($B99,'Budget-Yixing'!$B$7:$B$207,0),MATCH(BG$8,'Budget-Yixing'!$K$6:$W$6,0)))</f>
        <v>0</v>
      </c>
      <c r="BH99" s="749">
        <f>BF99-BG99</f>
        <v>0</v>
      </c>
      <c r="BI99" s="748"/>
    </row>
    <row r="100" spans="1:61" ht="16.5" customHeight="1">
      <c r="A100" s="653">
        <f>'Budget-合并'!A98</f>
        <v>0</v>
      </c>
      <c r="B100" s="653" t="str">
        <f>'Budget-合并'!B98</f>
        <v xml:space="preserve">    公司主体04</v>
      </c>
      <c r="C100" s="746">
        <f>INDEX('Actual-ACPL'!$H$7:$T$207,MATCH($B100,'Actual-ACPL'!$B$7:$B$207,0),MATCH(C$8,'Actual-ACPL'!$H$6:$T$6,0))</f>
        <v>0</v>
      </c>
      <c r="D100" s="746">
        <f ca="1">INDEX('Budget-ACPL'!$K$7:$W$207,MATCH($B100,'Budget-ACPL'!$B$7:$B$207,0),MATCH(D$8,'Budget-ACPL'!$K$6:$W$6,0))</f>
        <v>572.70856500000002</v>
      </c>
      <c r="E100" s="746">
        <f t="shared" ca="1" si="75"/>
        <v>-572.70856500000002</v>
      </c>
      <c r="F100" s="752"/>
      <c r="H100" s="749">
        <f>INDEX('Actual-ACPLHK'!$H$7:$T$207,MATCH($B100,'Actual-ACPLHK'!$B$7:$B$207,0),MATCH(H$8,'Actual-ACPLHK'!$H$6:$T$6,0))</f>
        <v>0</v>
      </c>
      <c r="I100" s="749">
        <f ca="1">INDEX('Budget-ACPLHK'!$K$7:$W$207,MATCH($B100,'Budget-ACPLHK'!$B$7:$B$207,0),MATCH(I$8,'Budget-ACPLHK'!$K$6:$W$6,0))</f>
        <v>1226.4062199999998</v>
      </c>
      <c r="J100" s="749">
        <f t="shared" ca="1" si="76"/>
        <v>-1226.4062199999998</v>
      </c>
      <c r="K100" s="748"/>
      <c r="M100" s="749">
        <f>INDEX('Actual-ACPSZL'!$H$7:$T$207,MATCH($B100,'Actual-ACPSZL'!$B$7:$B$207,0),MATCH(M$8,'Actual-ACPSZL'!$H$6:$T$6,0))</f>
        <v>0</v>
      </c>
      <c r="N100" s="749">
        <f>INDEX('Budget-ACPSZL'!$K$7:$W$207,MATCH($B100,'Budget-ACPSZL'!$B$7:$B$207,0),MATCH(N$8,'Budget-ACPSZL'!$K$6:$W$6,0))</f>
        <v>549</v>
      </c>
      <c r="O100" s="749">
        <f t="shared" si="70"/>
        <v>-549</v>
      </c>
      <c r="P100" s="748"/>
      <c r="R100" s="749">
        <f>INDEX('Actual-ACPLSZ'!$H$7:$T$207,MATCH($B100,'Actual-ACPLSZ'!$B$7:$B$207,0),MATCH(R$8,'Actual-ACPLSZ'!$H$6:$T$6,0))</f>
        <v>0</v>
      </c>
      <c r="S100" s="749">
        <f>INDEX('Budget-ACPLSZ'!$K$7:$W$207,MATCH($B100,'Budget-ACPLSZ'!$B$7:$B$207,0),MATCH(S$8,'Budget-ACPLSZ'!$K$6:$W$6,0))</f>
        <v>890</v>
      </c>
      <c r="T100" s="749">
        <f>(R100-S100)*-1</f>
        <v>890</v>
      </c>
      <c r="U100" s="748"/>
      <c r="W100" s="749">
        <f>INDEX('Actual-ACPLGZ'!$H$7:$T$207,MATCH($B100,'Actual-ACPLGZ'!$B$7:$B$207,0),MATCH(W$8,'Actual-ACPLGZ'!$H$6:$T$6,0))</f>
        <v>0</v>
      </c>
      <c r="X100" s="749">
        <f>INDEX('Budget-ACPLGZ'!$K$7:$W$207,MATCH($B100,'Budget-ACPLGZ'!$B$7:$B$207,0),MATCH(X$8,'Budget-ACPLGZ'!$K$6:$W$6,0))</f>
        <v>75</v>
      </c>
      <c r="Y100" s="749">
        <f t="shared" si="71"/>
        <v>-75</v>
      </c>
      <c r="Z100" s="748"/>
      <c r="AB100" s="749">
        <f>INDEX('Actual-ACPLGZ'!$H$7:$T$207,MATCH($B100,'Actual-ACPLGZ'!$B$7:$B$207,0),MATCH(AB$8,'Actual-ACPLGZ'!$H$6:$T$6,0))</f>
        <v>0</v>
      </c>
      <c r="AC100" s="749">
        <f>INDEX('Budget-Yixing'!$K$7:$W$207,MATCH($B100,'Budget-Yixing'!$B$7:$B$207,0),MATCH(AC$8,'Budget-Yixing'!$K$6:$W$6,0))</f>
        <v>0</v>
      </c>
      <c r="AD100" s="749">
        <f>(AB100-AC100)*-1</f>
        <v>0</v>
      </c>
      <c r="AE100" s="748"/>
      <c r="AG100" s="751">
        <f>SUM(INDEX('Actual-ACPL'!$H$7:$T$207,MATCH($B100,'Actual-ACPL'!$B$7:$B$207,0),MATCH('Actual-ACPL'!H$6,'Actual-ACPL'!$H$6:$T$6,0)):INDEX('Actual-ACPL'!$H$7:$T$207,MATCH($B100,'Actual-ACPL'!$B$7:$B$207,0),MATCH(AG$8,'Actual-ACPL'!$H$6:$T$6,0)))</f>
        <v>0</v>
      </c>
      <c r="AH100" s="749">
        <f ca="1">SUM(INDEX('Budget-ACPL'!$K$7:$W$207,MATCH($B100,'Budget-ACPL'!$B$7:$B$207,0),MATCH('Budget-ACPL'!K$6,'Budget-ACPL'!$K$6:$W$6,0)):INDEX('Budget-ACPL'!$K$7:$W$207,MATCH($B100,'Budget-ACPL'!$B$7:$B$207,0),MATCH(AH$8,'Budget-ACPL'!$K$6:$W$6,0)))</f>
        <v>572.70856500000002</v>
      </c>
      <c r="AI100" s="749">
        <f t="shared" ca="1" si="74"/>
        <v>-572.70856500000002</v>
      </c>
      <c r="AJ100" s="748"/>
      <c r="AL100" s="749">
        <f>SUM(INDEX('Actual-ACPLHK'!$H$7:$S$207,MATCH($B100,'Actual-ACPLHK'!$B$7:$B$207,0),MATCH('Actual-ACPLHK'!H$6,'Actual-ACPLHK'!$H$6:$T$6,0)):INDEX('Actual-ACPLHK'!$H$7:$S$207,MATCH($B100,'Actual-ACPLHK'!$B$7:$B$207,0),MATCH(AL$8,'Actual-ACPLHK'!$H$6:$T$6,0)))</f>
        <v>0</v>
      </c>
      <c r="AM100" s="749">
        <f ca="1">SUM(INDEX('Budget-ACPLHK'!$K$7:$W$207,MATCH($B100,'Budget-ACPLHK'!$B$7:$B$207,0),MATCH('Budget-ACPLHK'!K$6,'Budget-ACPLHK'!$K$6:$W$6,0)):INDEX('Budget-ACPLHK'!$K$7:$W$207,MATCH($B100,'Budget-ACPLHK'!$B$7:$B$207,0),MATCH(AM$8,'Budget-ACPLHK'!$K$6:$W$6,0)))</f>
        <v>1226.4062199999998</v>
      </c>
      <c r="AN100" s="749">
        <f ca="1">AL100-AM100</f>
        <v>-1226.4062199999998</v>
      </c>
      <c r="AO100" s="748"/>
      <c r="AQ100" s="749">
        <f>SUM(INDEX('Actual-ACPSZL'!$H$7:$T$207,MATCH($B100,'Actual-ACPSZL'!$B$7:$B$207,0),MATCH('Actual-ACPSZL'!H$6,'Actual-ACPSZL'!$H$6:$T$6,0)):INDEX('Actual-ACPSZL'!$H$7:$T$207,MATCH($B100,'Actual-ACPSZL'!$B$7:$B$207,0),MATCH(AQ$8,'Actual-ACPSZL'!$H$6:$T$6,0)))</f>
        <v>0</v>
      </c>
      <c r="AR100" s="749">
        <f>SUM(INDEX('Budget-ACPSZL'!$K$7:$W$207,MATCH($B100,'Budget-ACPSZL'!$B$7:$B$207,0),MATCH('Budget-ACPSZL'!K$6,'Budget-ACPSZL'!$K$6:$W$6,0)):INDEX('Budget-ACPSZL'!$K$7:$W$207,MATCH($B100,'Budget-ACPSZL'!$B$7:$B$207,0),MATCH(AR$8,'Budget-ACPSZL'!$K$6:$W$6,0)))</f>
        <v>549</v>
      </c>
      <c r="AS100" s="749">
        <f t="shared" si="69"/>
        <v>-549</v>
      </c>
      <c r="AT100" s="748"/>
      <c r="AV100" s="749">
        <f>SUM(INDEX('Actual-ACPLSZ'!$H$7:$T$207,MATCH($B100,'Actual-ACPLSZ'!$B$7:$B$207,0),MATCH('Actual-ACPLSZ'!H$6,'Actual-ACPLSZ'!$H$6:$T$6,0)):INDEX('Actual-ACPLSZ'!$H$7:$T$207,MATCH($B100,'Actual-ACPLSZ'!$B$7:$B$207,0),MATCH(AV$8,'Actual-ACPLSZ'!$H$6:$T$6,0)))</f>
        <v>0</v>
      </c>
      <c r="AW100" s="749">
        <f>SUM(INDEX('Budget-ACPLSZ'!$K$7:$W$207,MATCH($B100,'Budget-ACPLSZ'!$B$7:$B$207,0),MATCH('Budget-ACPLSZ'!K$6,'Budget-ACPLSZ'!$K$6:$W$6,0)):INDEX('Budget-ACPLSZ'!$K$7:$W$207,MATCH($B100,'Budget-ACPLSZ'!$B$7:$B$207,0),MATCH(AW$8,'Budget-ACPLSZ'!$K$6:$W$6,0)))</f>
        <v>890</v>
      </c>
      <c r="AX100" s="749">
        <f t="shared" si="72"/>
        <v>-890</v>
      </c>
      <c r="AY100" s="748"/>
      <c r="BA100" s="749">
        <f>SUM(INDEX('Actual-ACPLGZ'!$H$7:$T$207,MATCH($B100,'Actual-ACPLGZ'!$B$7:$B$207,0),MATCH('Actual-ACPLGZ'!H$6,'Actual-ACPLGZ'!$H$6:$T$6,0)):INDEX('Actual-ACPLGZ'!$H$7:$T$207,MATCH($B100,'Actual-ACPLGZ'!$B$7:$B$207,0),MATCH(BA$8,'Actual-ACPLGZ'!$H$6:$T$6,0)))</f>
        <v>0</v>
      </c>
      <c r="BB100" s="749">
        <f>SUM(INDEX('Budget-ACPLGZ'!$K$7:$W$207,MATCH($B100,'Budget-ACPLGZ'!$B$7:$B$207,0),MATCH('Budget-ACPLGZ'!K$6,'Budget-ACPLGZ'!$K$6:$W$6,0)):INDEX('Budget-ACPLGZ'!$K$7:$W$207,MATCH($B100,'Budget-ACPLGZ'!$B$7:$B$207,0),MATCH(BB$8,'Budget-ACPLGZ'!$K$6:$W$6,0)))</f>
        <v>75</v>
      </c>
      <c r="BC100" s="749">
        <f>BA100-BB100</f>
        <v>-75</v>
      </c>
      <c r="BD100" s="748"/>
      <c r="BF100" s="749">
        <f>SUM(INDEX('Actual-ACPLYixing'!$H$7:$T$207,MATCH($B100,'Actual-ACPLYixing'!$B$7:$B$207,0),MATCH('Actual-ACPLYixing'!H$6,'Actual-ACPLYixing'!$H$6:$T$6,0)):INDEX('Actual-ACPLYixing'!$H$7:$T$207,MATCH($B100,'Actual-ACPLYixing'!$B$7:$B$207,0),MATCH(BF$8,'Actual-ACPLYixing'!$H$6:$T$6,0)))</f>
        <v>0</v>
      </c>
      <c r="BG100" s="749">
        <f>SUM(INDEX('Budget-Yixing'!$K$7:$W$207,MATCH($B100,'Budget-Yixing'!$B$7:$B$207,0),MATCH('Budget-Yixing'!K$6,'Budget-Yixing'!$K$6:$W$6,0)):INDEX('Budget-Yixing'!$K$7:$W$207,MATCH($B100,'Budget-Yixing'!$B$7:$B$207,0),MATCH(BG$8,'Budget-Yixing'!$K$6:$W$6,0)))</f>
        <v>0</v>
      </c>
      <c r="BH100" s="749">
        <f>BF100-BG100</f>
        <v>0</v>
      </c>
      <c r="BI100" s="748"/>
    </row>
    <row r="101" spans="1:61" ht="16.5" customHeight="1">
      <c r="A101" s="653">
        <f>'Budget-合并'!A99</f>
        <v>0</v>
      </c>
      <c r="B101" s="653" t="str">
        <f>'Budget-合并'!B99</f>
        <v xml:space="preserve">    旭智富能04</v>
      </c>
      <c r="C101" s="746">
        <f>INDEX('Actual-ACPL'!$H$7:$T$207,MATCH($B101,'Actual-ACPL'!$B$7:$B$207,0),MATCH(C$8,'Actual-ACPL'!$H$6:$T$6,0))</f>
        <v>0</v>
      </c>
      <c r="D101" s="746">
        <f ca="1">INDEX('Budget-ACPL'!$K$7:$W$207,MATCH($B101,'Budget-ACPL'!$B$7:$B$207,0),MATCH(D$8,'Budget-ACPL'!$K$6:$W$6,0))</f>
        <v>3832.741935</v>
      </c>
      <c r="E101" s="746">
        <f t="shared" ca="1" si="75"/>
        <v>-3832.741935</v>
      </c>
      <c r="F101" s="752"/>
      <c r="H101" s="749">
        <f>INDEX('Actual-ACPLHK'!$H$7:$T$207,MATCH($B101,'Actual-ACPLHK'!$B$7:$B$207,0),MATCH(H$8,'Actual-ACPLHK'!$H$6:$T$6,0))</f>
        <v>0</v>
      </c>
      <c r="I101" s="749">
        <f ca="1">INDEX('Budget-ACPLHK'!$K$7:$W$207,MATCH($B101,'Budget-ACPLHK'!$B$7:$B$207,0),MATCH(I$8,'Budget-ACPLHK'!$K$6:$W$6,0))</f>
        <v>1087.5677799999999</v>
      </c>
      <c r="J101" s="749">
        <f t="shared" ca="1" si="76"/>
        <v>-1087.5677799999999</v>
      </c>
      <c r="K101" s="748"/>
      <c r="M101" s="749">
        <f>INDEX('Actual-ACPSZL'!$H$7:$T$207,MATCH($B101,'Actual-ACPSZL'!$B$7:$B$207,0),MATCH(M$8,'Actual-ACPSZL'!$H$6:$T$6,0))</f>
        <v>0</v>
      </c>
      <c r="N101" s="749">
        <f>INDEX('Budget-ACPSZL'!$K$7:$W$207,MATCH($B101,'Budget-ACPSZL'!$B$7:$B$207,0),MATCH(N$8,'Budget-ACPSZL'!$K$6:$W$6,0))</f>
        <v>5551</v>
      </c>
      <c r="O101" s="749">
        <f t="shared" si="70"/>
        <v>-5551</v>
      </c>
      <c r="P101" s="748"/>
      <c r="R101" s="749">
        <f>INDEX('Actual-ACPLSZ'!$H$7:$T$207,MATCH($B101,'Actual-ACPLSZ'!$B$7:$B$207,0),MATCH(R$8,'Actual-ACPLSZ'!$H$6:$T$6,0))</f>
        <v>0</v>
      </c>
      <c r="S101" s="749">
        <f>INDEX('Budget-ACPLSZ'!$K$7:$W$207,MATCH($B101,'Budget-ACPLSZ'!$B$7:$B$207,0),MATCH(S$8,'Budget-ACPLSZ'!$K$6:$W$6,0))</f>
        <v>16910</v>
      </c>
      <c r="T101" s="749"/>
      <c r="U101" s="748"/>
      <c r="W101" s="749">
        <f>INDEX('Actual-ACPLGZ'!$H$7:$T$207,MATCH($B101,'Actual-ACPLGZ'!$B$7:$B$207,0),MATCH(W$8,'Actual-ACPLGZ'!$H$6:$T$6,0))</f>
        <v>0</v>
      </c>
      <c r="X101" s="749">
        <f>INDEX('Budget-ACPLGZ'!$K$7:$W$207,MATCH($B101,'Budget-ACPLGZ'!$B$7:$B$207,0),MATCH(X$8,'Budget-ACPLGZ'!$K$6:$W$6,0))</f>
        <v>0</v>
      </c>
      <c r="Y101" s="749">
        <f t="shared" si="71"/>
        <v>0</v>
      </c>
      <c r="Z101" s="748"/>
      <c r="AB101" s="749">
        <f>INDEX('Actual-ACPLGZ'!$H$7:$T$207,MATCH($B101,'Actual-ACPLGZ'!$B$7:$B$207,0),MATCH(AB$8,'Actual-ACPLGZ'!$H$6:$T$6,0))</f>
        <v>0</v>
      </c>
      <c r="AC101" s="749">
        <f>INDEX('Budget-Yixing'!$K$7:$W$207,MATCH($B101,'Budget-Yixing'!$B$7:$B$207,0),MATCH(AC$8,'Budget-Yixing'!$K$6:$W$6,0))</f>
        <v>0</v>
      </c>
      <c r="AD101" s="749"/>
      <c r="AE101" s="748"/>
      <c r="AG101" s="751">
        <f>SUM(INDEX('Actual-ACPL'!$H$7:$T$207,MATCH($B101,'Actual-ACPL'!$B$7:$B$207,0),MATCH('Actual-ACPL'!H$6,'Actual-ACPL'!$H$6:$T$6,0)):INDEX('Actual-ACPL'!$H$7:$T$207,MATCH($B101,'Actual-ACPL'!$B$7:$B$207,0),MATCH(AG$8,'Actual-ACPL'!$H$6:$T$6,0)))</f>
        <v>0</v>
      </c>
      <c r="AH101" s="749">
        <f ca="1">SUM(INDEX('Budget-ACPL'!$K$7:$W$207,MATCH($B101,'Budget-ACPL'!$B$7:$B$207,0),MATCH('Budget-ACPL'!K$6,'Budget-ACPL'!$K$6:$W$6,0)):INDEX('Budget-ACPL'!$K$7:$W$207,MATCH($B101,'Budget-ACPL'!$B$7:$B$207,0),MATCH(AH$8,'Budget-ACPL'!$K$6:$W$6,0)))</f>
        <v>3832.741935</v>
      </c>
      <c r="AI101" s="749">
        <f t="shared" ca="1" si="74"/>
        <v>-3832.741935</v>
      </c>
      <c r="AJ101" s="748"/>
      <c r="AL101" s="749">
        <f>SUM(INDEX('Actual-ACPLHK'!$H$7:$S$207,MATCH($B101,'Actual-ACPLHK'!$B$7:$B$207,0),MATCH('Actual-ACPLHK'!H$6,'Actual-ACPLHK'!$H$6:$T$6,0)):INDEX('Actual-ACPLHK'!$H$7:$S$207,MATCH($B101,'Actual-ACPLHK'!$B$7:$B$207,0),MATCH(AL$8,'Actual-ACPLHK'!$H$6:$T$6,0)))</f>
        <v>0</v>
      </c>
      <c r="AM101" s="749">
        <f ca="1">SUM(INDEX('Budget-ACPLHK'!$K$7:$W$207,MATCH($B101,'Budget-ACPLHK'!$B$7:$B$207,0),MATCH('Budget-ACPLHK'!K$6,'Budget-ACPLHK'!$K$6:$W$6,0)):INDEX('Budget-ACPLHK'!$K$7:$W$207,MATCH($B101,'Budget-ACPLHK'!$B$7:$B$207,0),MATCH(AM$8,'Budget-ACPLHK'!$K$6:$W$6,0)))</f>
        <v>1087.5677799999999</v>
      </c>
      <c r="AN101" s="749"/>
      <c r="AO101" s="748"/>
      <c r="AQ101" s="749">
        <f>SUM(INDEX('Actual-ACPSZL'!$H$7:$T$207,MATCH($B101,'Actual-ACPSZL'!$B$7:$B$207,0),MATCH('Actual-ACPSZL'!H$6,'Actual-ACPSZL'!$H$6:$T$6,0)):INDEX('Actual-ACPSZL'!$H$7:$T$207,MATCH($B101,'Actual-ACPSZL'!$B$7:$B$207,0),MATCH(AQ$8,'Actual-ACPSZL'!$H$6:$T$6,0)))</f>
        <v>0</v>
      </c>
      <c r="AR101" s="749">
        <f>SUM(INDEX('Budget-ACPSZL'!$K$7:$W$207,MATCH($B101,'Budget-ACPSZL'!$B$7:$B$207,0),MATCH('Budget-ACPSZL'!K$6,'Budget-ACPSZL'!$K$6:$W$6,0)):INDEX('Budget-ACPSZL'!$K$7:$W$207,MATCH($B101,'Budget-ACPSZL'!$B$7:$B$207,0),MATCH(AR$8,'Budget-ACPSZL'!$K$6:$W$6,0)))</f>
        <v>5551</v>
      </c>
      <c r="AS101" s="749">
        <f t="shared" si="69"/>
        <v>-5551</v>
      </c>
      <c r="AT101" s="748"/>
      <c r="AV101" s="749">
        <f>SUM(INDEX('Actual-ACPLSZ'!$H$7:$T$207,MATCH($B101,'Actual-ACPLSZ'!$B$7:$B$207,0),MATCH('Actual-ACPLSZ'!H$6,'Actual-ACPLSZ'!$H$6:$T$6,0)):INDEX('Actual-ACPLSZ'!$H$7:$T$207,MATCH($B101,'Actual-ACPLSZ'!$B$7:$B$207,0),MATCH(AV$8,'Actual-ACPLSZ'!$H$6:$T$6,0)))</f>
        <v>0</v>
      </c>
      <c r="AW101" s="749">
        <f>SUM(INDEX('Budget-ACPLSZ'!$K$7:$W$207,MATCH($B101,'Budget-ACPLSZ'!$B$7:$B$207,0),MATCH('Budget-ACPLSZ'!K$6,'Budget-ACPLSZ'!$K$6:$W$6,0)):INDEX('Budget-ACPLSZ'!$K$7:$W$207,MATCH($B101,'Budget-ACPLSZ'!$B$7:$B$207,0),MATCH(AW$8,'Budget-ACPLSZ'!$K$6:$W$6,0)))</f>
        <v>16910</v>
      </c>
      <c r="AX101" s="749">
        <f t="shared" si="72"/>
        <v>-16910</v>
      </c>
      <c r="AY101" s="748"/>
      <c r="BA101" s="749">
        <f>SUM(INDEX('Actual-ACPLGZ'!$H$7:$T$207,MATCH($B101,'Actual-ACPLGZ'!$B$7:$B$207,0),MATCH('Actual-ACPLGZ'!H$6,'Actual-ACPLGZ'!$H$6:$T$6,0)):INDEX('Actual-ACPLGZ'!$H$7:$T$207,MATCH($B101,'Actual-ACPLGZ'!$B$7:$B$207,0),MATCH(BA$8,'Actual-ACPLGZ'!$H$6:$T$6,0)))</f>
        <v>0</v>
      </c>
      <c r="BB101" s="749">
        <f>SUM(INDEX('Budget-ACPLGZ'!$K$7:$W$207,MATCH($B101,'Budget-ACPLGZ'!$B$7:$B$207,0),MATCH('Budget-ACPLGZ'!K$6,'Budget-ACPLGZ'!$K$6:$W$6,0)):INDEX('Budget-ACPLGZ'!$K$7:$W$207,MATCH($B101,'Budget-ACPLGZ'!$B$7:$B$207,0),MATCH(BB$8,'Budget-ACPLGZ'!$K$6:$W$6,0)))</f>
        <v>0</v>
      </c>
      <c r="BC101" s="749"/>
      <c r="BD101" s="748"/>
      <c r="BF101" s="749">
        <f>SUM(INDEX('Actual-ACPLYixing'!$H$7:$T$207,MATCH($B101,'Actual-ACPLYixing'!$B$7:$B$207,0),MATCH('Actual-ACPLYixing'!H$6,'Actual-ACPLYixing'!$H$6:$T$6,0)):INDEX('Actual-ACPLYixing'!$H$7:$T$207,MATCH($B101,'Actual-ACPLYixing'!$B$7:$B$207,0),MATCH(BF$8,'Actual-ACPLYixing'!$H$6:$T$6,0)))</f>
        <v>0</v>
      </c>
      <c r="BG101" s="749">
        <f>SUM(INDEX('Budget-Yixing'!$K$7:$W$207,MATCH($B101,'Budget-Yixing'!$B$7:$B$207,0),MATCH('Budget-Yixing'!K$6,'Budget-Yixing'!$K$6:$W$6,0)):INDEX('Budget-Yixing'!$K$7:$W$207,MATCH($B101,'Budget-Yixing'!$B$7:$B$207,0),MATCH(BG$8,'Budget-Yixing'!$K$6:$W$6,0)))</f>
        <v>0</v>
      </c>
      <c r="BH101" s="749"/>
      <c r="BI101" s="748"/>
    </row>
    <row r="102" spans="1:61" ht="16.5" customHeight="1">
      <c r="A102" s="653">
        <f>'Budget-合并'!A100</f>
        <v>0</v>
      </c>
      <c r="B102" s="653" t="str">
        <f>'Budget-合并'!B100</f>
        <v xml:space="preserve">    其他项目04</v>
      </c>
      <c r="C102" s="746">
        <f>INDEX('Actual-ACPL'!$H$7:$T$207,MATCH($B102,'Actual-ACPL'!$B$7:$B$207,0),MATCH(C$8,'Actual-ACPL'!$H$6:$T$6,0))</f>
        <v>0</v>
      </c>
      <c r="D102" s="746">
        <f>INDEX('Budget-ACPL'!$K$7:$W$207,MATCH($B102,'Budget-ACPL'!$B$7:$B$207,0),MATCH(D$8,'Budget-ACPL'!$K$6:$W$6,0))</f>
        <v>0</v>
      </c>
      <c r="E102" s="746">
        <f t="shared" si="75"/>
        <v>0</v>
      </c>
      <c r="F102" s="752"/>
      <c r="H102" s="749">
        <f>INDEX('Actual-ACPLHK'!$H$7:$T$207,MATCH($B102,'Actual-ACPLHK'!$B$7:$B$207,0),MATCH(H$8,'Actual-ACPLHK'!$H$6:$T$6,0))</f>
        <v>0</v>
      </c>
      <c r="I102" s="749">
        <f>INDEX('Budget-ACPLHK'!$K$7:$W$207,MATCH($B102,'Budget-ACPLHK'!$B$7:$B$207,0),MATCH(I$8,'Budget-ACPLHK'!$K$6:$W$6,0))</f>
        <v>0</v>
      </c>
      <c r="J102" s="749">
        <f t="shared" si="76"/>
        <v>0</v>
      </c>
      <c r="K102" s="748"/>
      <c r="M102" s="749">
        <f>INDEX('Actual-ACPSZL'!$H$7:$T$207,MATCH($B102,'Actual-ACPSZL'!$B$7:$B$207,0),MATCH(M$8,'Actual-ACPSZL'!$H$6:$T$6,0))</f>
        <v>0</v>
      </c>
      <c r="N102" s="749">
        <f>INDEX('Budget-ACPSZL'!$K$7:$W$207,MATCH($B102,'Budget-ACPSZL'!$B$7:$B$207,0),MATCH(N$8,'Budget-ACPSZL'!$K$6:$W$6,0))</f>
        <v>0</v>
      </c>
      <c r="O102" s="749">
        <f t="shared" si="70"/>
        <v>0</v>
      </c>
      <c r="P102" s="748"/>
      <c r="R102" s="749">
        <f>INDEX('Actual-ACPLSZ'!$H$7:$T$207,MATCH($B102,'Actual-ACPLSZ'!$B$7:$B$207,0),MATCH(R$8,'Actual-ACPLSZ'!$H$6:$T$6,0))</f>
        <v>0</v>
      </c>
      <c r="S102" s="749">
        <f>INDEX('Budget-ACPLSZ'!$K$7:$W$207,MATCH($B102,'Budget-ACPLSZ'!$B$7:$B$207,0),MATCH(S$8,'Budget-ACPLSZ'!$K$6:$W$6,0))</f>
        <v>0</v>
      </c>
      <c r="T102" s="749">
        <f>(R102-S102)*-1</f>
        <v>0</v>
      </c>
      <c r="U102" s="748"/>
      <c r="W102" s="749">
        <f>INDEX('Actual-ACPLGZ'!$H$7:$T$207,MATCH($B102,'Actual-ACPLGZ'!$B$7:$B$207,0),MATCH(W$8,'Actual-ACPLGZ'!$H$6:$T$6,0))</f>
        <v>0</v>
      </c>
      <c r="X102" s="749">
        <f>INDEX('Budget-ACPLGZ'!$K$7:$W$207,MATCH($B102,'Budget-ACPLGZ'!$B$7:$B$207,0),MATCH(X$8,'Budget-ACPLGZ'!$K$6:$W$6,0))</f>
        <v>0</v>
      </c>
      <c r="Y102" s="749">
        <f t="shared" si="71"/>
        <v>0</v>
      </c>
      <c r="Z102" s="748"/>
      <c r="AB102" s="749">
        <f>INDEX('Actual-ACPLGZ'!$H$7:$T$207,MATCH($B102,'Actual-ACPLGZ'!$B$7:$B$207,0),MATCH(AB$8,'Actual-ACPLGZ'!$H$6:$T$6,0))</f>
        <v>0</v>
      </c>
      <c r="AC102" s="749">
        <f>INDEX('Budget-Yixing'!$K$7:$W$207,MATCH($B102,'Budget-Yixing'!$B$7:$B$207,0),MATCH(AC$8,'Budget-Yixing'!$K$6:$W$6,0))</f>
        <v>0</v>
      </c>
      <c r="AD102" s="749">
        <f>(AB102-AC102)*-1</f>
        <v>0</v>
      </c>
      <c r="AE102" s="748"/>
      <c r="AG102" s="751">
        <f>SUM(INDEX('Actual-ACPL'!$H$7:$T$207,MATCH($B102,'Actual-ACPL'!$B$7:$B$207,0),MATCH('Actual-ACPL'!H$6,'Actual-ACPL'!$H$6:$T$6,0)):INDEX('Actual-ACPL'!$H$7:$T$207,MATCH($B102,'Actual-ACPL'!$B$7:$B$207,0),MATCH(AG$8,'Actual-ACPL'!$H$6:$T$6,0)))</f>
        <v>0</v>
      </c>
      <c r="AH102" s="749">
        <f>SUM(INDEX('Budget-ACPL'!$K$7:$W$207,MATCH($B102,'Budget-ACPL'!$B$7:$B$207,0),MATCH('Budget-ACPL'!K$6,'Budget-ACPL'!$K$6:$W$6,0)):INDEX('Budget-ACPL'!$K$7:$W$207,MATCH($B102,'Budget-ACPL'!$B$7:$B$207,0),MATCH(AH$8,'Budget-ACPL'!$K$6:$W$6,0)))</f>
        <v>0</v>
      </c>
      <c r="AI102" s="749">
        <f t="shared" si="74"/>
        <v>0</v>
      </c>
      <c r="AJ102" s="748"/>
      <c r="AL102" s="749">
        <f>SUM(INDEX('Actual-ACPLHK'!$H$7:$S$207,MATCH($B102,'Actual-ACPLHK'!$B$7:$B$207,0),MATCH('Actual-ACPLHK'!H$6,'Actual-ACPLHK'!$H$6:$T$6,0)):INDEX('Actual-ACPLHK'!$H$7:$S$207,MATCH($B102,'Actual-ACPLHK'!$B$7:$B$207,0),MATCH(AL$8,'Actual-ACPLHK'!$H$6:$T$6,0)))</f>
        <v>0</v>
      </c>
      <c r="AM102" s="749">
        <f>SUM(INDEX('Budget-ACPLHK'!$K$7:$W$207,MATCH($B102,'Budget-ACPLHK'!$B$7:$B$207,0),MATCH('Budget-ACPLHK'!K$6,'Budget-ACPLHK'!$K$6:$W$6,0)):INDEX('Budget-ACPLHK'!$K$7:$W$207,MATCH($B102,'Budget-ACPLHK'!$B$7:$B$207,0),MATCH(AM$8,'Budget-ACPLHK'!$K$6:$W$6,0)))</f>
        <v>0</v>
      </c>
      <c r="AN102" s="749">
        <f>AL102-AM102</f>
        <v>0</v>
      </c>
      <c r="AO102" s="748"/>
      <c r="AQ102" s="749">
        <f>SUM(INDEX('Actual-ACPSZL'!$H$7:$T$207,MATCH($B102,'Actual-ACPSZL'!$B$7:$B$207,0),MATCH('Actual-ACPSZL'!H$6,'Actual-ACPSZL'!$H$6:$T$6,0)):INDEX('Actual-ACPSZL'!$H$7:$T$207,MATCH($B102,'Actual-ACPSZL'!$B$7:$B$207,0),MATCH(AQ$8,'Actual-ACPSZL'!$H$6:$T$6,0)))</f>
        <v>0</v>
      </c>
      <c r="AR102" s="749">
        <f>SUM(INDEX('Budget-ACPSZL'!$K$7:$W$207,MATCH($B102,'Budget-ACPSZL'!$B$7:$B$207,0),MATCH('Budget-ACPSZL'!K$6,'Budget-ACPSZL'!$K$6:$W$6,0)):INDEX('Budget-ACPSZL'!$K$7:$W$207,MATCH($B102,'Budget-ACPSZL'!$B$7:$B$207,0),MATCH(AR$8,'Budget-ACPSZL'!$K$6:$W$6,0)))</f>
        <v>0</v>
      </c>
      <c r="AS102" s="749">
        <f t="shared" si="69"/>
        <v>0</v>
      </c>
      <c r="AT102" s="748"/>
      <c r="AV102" s="749">
        <f>SUM(INDEX('Actual-ACPLSZ'!$H$7:$T$207,MATCH($B102,'Actual-ACPLSZ'!$B$7:$B$207,0),MATCH('Actual-ACPLSZ'!H$6,'Actual-ACPLSZ'!$H$6:$T$6,0)):INDEX('Actual-ACPLSZ'!$H$7:$T$207,MATCH($B102,'Actual-ACPLSZ'!$B$7:$B$207,0),MATCH(AV$8,'Actual-ACPLSZ'!$H$6:$T$6,0)))</f>
        <v>0</v>
      </c>
      <c r="AW102" s="749">
        <f>SUM(INDEX('Budget-ACPLSZ'!$K$7:$W$207,MATCH($B102,'Budget-ACPLSZ'!$B$7:$B$207,0),MATCH('Budget-ACPLSZ'!K$6,'Budget-ACPLSZ'!$K$6:$W$6,0)):INDEX('Budget-ACPLSZ'!$K$7:$W$207,MATCH($B102,'Budget-ACPLSZ'!$B$7:$B$207,0),MATCH(AW$8,'Budget-ACPLSZ'!$K$6:$W$6,0)))</f>
        <v>0</v>
      </c>
      <c r="AX102" s="749">
        <f t="shared" si="72"/>
        <v>0</v>
      </c>
      <c r="AY102" s="748"/>
      <c r="BA102" s="749">
        <f>SUM(INDEX('Actual-ACPLGZ'!$H$7:$T$207,MATCH($B102,'Actual-ACPLGZ'!$B$7:$B$207,0),MATCH('Actual-ACPLGZ'!H$6,'Actual-ACPLGZ'!$H$6:$T$6,0)):INDEX('Actual-ACPLGZ'!$H$7:$T$207,MATCH($B102,'Actual-ACPLGZ'!$B$7:$B$207,0),MATCH(BA$8,'Actual-ACPLGZ'!$H$6:$T$6,0)))</f>
        <v>0</v>
      </c>
      <c r="BB102" s="749">
        <f>SUM(INDEX('Budget-ACPLGZ'!$K$7:$W$207,MATCH($B102,'Budget-ACPLGZ'!$B$7:$B$207,0),MATCH('Budget-ACPLGZ'!K$6,'Budget-ACPLGZ'!$K$6:$W$6,0)):INDEX('Budget-ACPLGZ'!$K$7:$W$207,MATCH($B102,'Budget-ACPLGZ'!$B$7:$B$207,0),MATCH(BB$8,'Budget-ACPLGZ'!$K$6:$W$6,0)))</f>
        <v>0</v>
      </c>
      <c r="BC102" s="749">
        <f>BA102-BB102</f>
        <v>0</v>
      </c>
      <c r="BD102" s="748"/>
      <c r="BF102" s="749">
        <f>SUM(INDEX('Actual-ACPLYixing'!$H$7:$T$207,MATCH($B102,'Actual-ACPLYixing'!$B$7:$B$207,0),MATCH('Actual-ACPLYixing'!H$6,'Actual-ACPLYixing'!$H$6:$T$6,0)):INDEX('Actual-ACPLYixing'!$H$7:$T$207,MATCH($B102,'Actual-ACPLYixing'!$B$7:$B$207,0),MATCH(BF$8,'Actual-ACPLYixing'!$H$6:$T$6,0)))</f>
        <v>0</v>
      </c>
      <c r="BG102" s="749">
        <f>SUM(INDEX('Budget-Yixing'!$K$7:$W$207,MATCH($B102,'Budget-Yixing'!$B$7:$B$207,0),MATCH('Budget-Yixing'!K$6,'Budget-Yixing'!$K$6:$W$6,0)):INDEX('Budget-Yixing'!$K$7:$W$207,MATCH($B102,'Budget-Yixing'!$B$7:$B$207,0),MATCH(BG$8,'Budget-Yixing'!$K$6:$W$6,0)))</f>
        <v>0</v>
      </c>
      <c r="BH102" s="749">
        <f>BF102-BG102</f>
        <v>0</v>
      </c>
      <c r="BI102" s="748"/>
    </row>
    <row r="103" spans="1:61" ht="16.5" customHeight="1">
      <c r="A103" s="653" t="str">
        <f>'Budget-合并'!A101</f>
        <v>6602.09.03</v>
      </c>
      <c r="B103" s="653" t="str">
        <f>'Budget-合并'!B101</f>
        <v>地面交通费</v>
      </c>
      <c r="C103" s="746">
        <f>INDEX('Actual-ACPL'!$H$7:$T$207,MATCH($B103,'Actual-ACPL'!$B$7:$B$207,0),MATCH(C$8,'Actual-ACPL'!$H$6:$T$6,0))</f>
        <v>0</v>
      </c>
      <c r="D103" s="746">
        <f ca="1">INDEX('Budget-ACPL'!$K$7:$W$207,MATCH($B103,'Budget-ACPL'!$B$7:$B$207,0),MATCH(D$8,'Budget-ACPL'!$K$6:$W$6,0))</f>
        <v>6185.4304999999995</v>
      </c>
      <c r="E103" s="746">
        <f t="shared" ca="1" si="75"/>
        <v>-6185.4304999999995</v>
      </c>
      <c r="F103" s="752"/>
      <c r="H103" s="749">
        <f>INDEX('Actual-ACPLHK'!$H$7:$T$207,MATCH($B103,'Actual-ACPLHK'!$B$7:$B$207,0),MATCH(H$8,'Actual-ACPLHK'!$H$6:$T$6,0))</f>
        <v>0</v>
      </c>
      <c r="I103" s="749">
        <f ca="1">INDEX('Budget-ACPLHK'!$K$7:$W$207,MATCH($B103,'Budget-ACPLHK'!$B$7:$B$207,0),MATCH(I$8,'Budget-ACPLHK'!$K$6:$W$6,0))</f>
        <v>4093.9539999999997</v>
      </c>
      <c r="J103" s="749">
        <f t="shared" ca="1" si="76"/>
        <v>-4093.9539999999997</v>
      </c>
      <c r="K103" s="748"/>
      <c r="M103" s="749">
        <f>INDEX('Actual-ACPSZL'!$H$7:$T$207,MATCH($B103,'Actual-ACPSZL'!$B$7:$B$207,0),MATCH(M$8,'Actual-ACPSZL'!$H$6:$T$6,0))</f>
        <v>0</v>
      </c>
      <c r="N103" s="749">
        <f>INDEX('Budget-ACPSZL'!$K$7:$W$207,MATCH($B103,'Budget-ACPSZL'!$B$7:$B$207,0),MATCH(N$8,'Budget-ACPSZL'!$K$6:$W$6,0))</f>
        <v>10600</v>
      </c>
      <c r="O103" s="749">
        <f t="shared" si="70"/>
        <v>-10600</v>
      </c>
      <c r="P103" s="748"/>
      <c r="R103" s="749">
        <f>INDEX('Actual-ACPLSZ'!$H$7:$T$207,MATCH($B103,'Actual-ACPLSZ'!$B$7:$B$207,0),MATCH(R$8,'Actual-ACPLSZ'!$H$6:$T$6,0))</f>
        <v>0</v>
      </c>
      <c r="S103" s="749">
        <f>INDEX('Budget-ACPLSZ'!$K$7:$W$207,MATCH($B103,'Budget-ACPLSZ'!$B$7:$B$207,0),MATCH(S$8,'Budget-ACPLSZ'!$K$6:$W$6,0))</f>
        <v>27800</v>
      </c>
      <c r="T103" s="749">
        <f>(R103-S103)*-1</f>
        <v>27800</v>
      </c>
      <c r="U103" s="748"/>
      <c r="W103" s="749">
        <f>INDEX('Actual-ACPLGZ'!$H$7:$T$207,MATCH($B103,'Actual-ACPLGZ'!$B$7:$B$207,0),MATCH(W$8,'Actual-ACPLGZ'!$H$6:$T$6,0))</f>
        <v>0</v>
      </c>
      <c r="X103" s="749">
        <f>INDEX('Budget-ACPLGZ'!$K$7:$W$207,MATCH($B103,'Budget-ACPLGZ'!$B$7:$B$207,0),MATCH(X$8,'Budget-ACPLGZ'!$K$6:$W$6,0))</f>
        <v>150</v>
      </c>
      <c r="Y103" s="749">
        <f t="shared" si="71"/>
        <v>-150</v>
      </c>
      <c r="Z103" s="748"/>
      <c r="AB103" s="749">
        <f>INDEX('Actual-ACPLGZ'!$H$7:$T$207,MATCH($B103,'Actual-ACPLGZ'!$B$7:$B$207,0),MATCH(AB$8,'Actual-ACPLGZ'!$H$6:$T$6,0))</f>
        <v>0</v>
      </c>
      <c r="AC103" s="749">
        <f>INDEX('Budget-Yixing'!$K$7:$W$207,MATCH($B103,'Budget-Yixing'!$B$7:$B$207,0),MATCH(AC$8,'Budget-Yixing'!$K$6:$W$6,0))</f>
        <v>0</v>
      </c>
      <c r="AD103" s="749">
        <f>(AB103-AC103)*-1</f>
        <v>0</v>
      </c>
      <c r="AE103" s="748"/>
      <c r="AG103" s="751">
        <f>SUM(INDEX('Actual-ACPL'!$H$7:$T$207,MATCH($B103,'Actual-ACPL'!$B$7:$B$207,0),MATCH('Actual-ACPL'!H$6,'Actual-ACPL'!$H$6:$T$6,0)):INDEX('Actual-ACPL'!$H$7:$T$207,MATCH($B103,'Actual-ACPL'!$B$7:$B$207,0),MATCH(AG$8,'Actual-ACPL'!$H$6:$T$6,0)))</f>
        <v>0</v>
      </c>
      <c r="AH103" s="749">
        <f ca="1">SUM(INDEX('Budget-ACPL'!$K$7:$W$207,MATCH($B103,'Budget-ACPL'!$B$7:$B$207,0),MATCH('Budget-ACPL'!K$6,'Budget-ACPL'!$K$6:$W$6,0)):INDEX('Budget-ACPL'!$K$7:$W$207,MATCH($B103,'Budget-ACPL'!$B$7:$B$207,0),MATCH(AH$8,'Budget-ACPL'!$K$6:$W$6,0)))</f>
        <v>6185.4304999999995</v>
      </c>
      <c r="AI103" s="749">
        <f t="shared" ca="1" si="74"/>
        <v>-6185.4304999999995</v>
      </c>
      <c r="AJ103" s="748"/>
      <c r="AL103" s="749">
        <f>SUM(INDEX('Actual-ACPLHK'!$H$7:$S$207,MATCH($B103,'Actual-ACPLHK'!$B$7:$B$207,0),MATCH('Actual-ACPLHK'!H$6,'Actual-ACPLHK'!$H$6:$T$6,0)):INDEX('Actual-ACPLHK'!$H$7:$S$207,MATCH($B103,'Actual-ACPLHK'!$B$7:$B$207,0),MATCH(AL$8,'Actual-ACPLHK'!$H$6:$T$6,0)))</f>
        <v>0</v>
      </c>
      <c r="AM103" s="749">
        <f ca="1">SUM(INDEX('Budget-ACPLHK'!$K$7:$W$207,MATCH($B103,'Budget-ACPLHK'!$B$7:$B$207,0),MATCH('Budget-ACPLHK'!K$6,'Budget-ACPLHK'!$K$6:$W$6,0)):INDEX('Budget-ACPLHK'!$K$7:$W$207,MATCH($B103,'Budget-ACPLHK'!$B$7:$B$207,0),MATCH(AM$8,'Budget-ACPLHK'!$K$6:$W$6,0)))</f>
        <v>4093.9539999999997</v>
      </c>
      <c r="AN103" s="749">
        <f ca="1">AL103-AM103</f>
        <v>-4093.9539999999997</v>
      </c>
      <c r="AO103" s="748"/>
      <c r="AQ103" s="749">
        <f>SUM(INDEX('Actual-ACPSZL'!$H$7:$T$207,MATCH($B103,'Actual-ACPSZL'!$B$7:$B$207,0),MATCH('Actual-ACPSZL'!H$6,'Actual-ACPSZL'!$H$6:$T$6,0)):INDEX('Actual-ACPSZL'!$H$7:$T$207,MATCH($B103,'Actual-ACPSZL'!$B$7:$B$207,0),MATCH(AQ$8,'Actual-ACPSZL'!$H$6:$T$6,0)))</f>
        <v>0</v>
      </c>
      <c r="AR103" s="749">
        <f>SUM(INDEX('Budget-ACPSZL'!$K$7:$W$207,MATCH($B103,'Budget-ACPSZL'!$B$7:$B$207,0),MATCH('Budget-ACPSZL'!K$6,'Budget-ACPSZL'!$K$6:$W$6,0)):INDEX('Budget-ACPSZL'!$K$7:$W$207,MATCH($B103,'Budget-ACPSZL'!$B$7:$B$207,0),MATCH(AR$8,'Budget-ACPSZL'!$K$6:$W$6,0)))</f>
        <v>10600</v>
      </c>
      <c r="AS103" s="749">
        <f t="shared" si="69"/>
        <v>-10600</v>
      </c>
      <c r="AT103" s="748"/>
      <c r="AV103" s="749">
        <f>SUM(INDEX('Actual-ACPLSZ'!$H$7:$T$207,MATCH($B103,'Actual-ACPLSZ'!$B$7:$B$207,0),MATCH('Actual-ACPLSZ'!H$6,'Actual-ACPLSZ'!$H$6:$T$6,0)):INDEX('Actual-ACPLSZ'!$H$7:$T$207,MATCH($B103,'Actual-ACPLSZ'!$B$7:$B$207,0),MATCH(AV$8,'Actual-ACPLSZ'!$H$6:$T$6,0)))</f>
        <v>0</v>
      </c>
      <c r="AW103" s="749">
        <f>SUM(INDEX('Budget-ACPLSZ'!$K$7:$W$207,MATCH($B103,'Budget-ACPLSZ'!$B$7:$B$207,0),MATCH('Budget-ACPLSZ'!K$6,'Budget-ACPLSZ'!$K$6:$W$6,0)):INDEX('Budget-ACPLSZ'!$K$7:$W$207,MATCH($B103,'Budget-ACPLSZ'!$B$7:$B$207,0),MATCH(AW$8,'Budget-ACPLSZ'!$K$6:$W$6,0)))</f>
        <v>27800</v>
      </c>
      <c r="AX103" s="749">
        <f t="shared" si="72"/>
        <v>-27800</v>
      </c>
      <c r="AY103" s="748"/>
      <c r="BA103" s="749">
        <f>SUM(INDEX('Actual-ACPLGZ'!$H$7:$T$207,MATCH($B103,'Actual-ACPLGZ'!$B$7:$B$207,0),MATCH('Actual-ACPLGZ'!H$6,'Actual-ACPLGZ'!$H$6:$T$6,0)):INDEX('Actual-ACPLGZ'!$H$7:$T$207,MATCH($B103,'Actual-ACPLGZ'!$B$7:$B$207,0),MATCH(BA$8,'Actual-ACPLGZ'!$H$6:$T$6,0)))</f>
        <v>0</v>
      </c>
      <c r="BB103" s="749">
        <f>SUM(INDEX('Budget-ACPLGZ'!$K$7:$W$207,MATCH($B103,'Budget-ACPLGZ'!$B$7:$B$207,0),MATCH('Budget-ACPLGZ'!K$6,'Budget-ACPLGZ'!$K$6:$W$6,0)):INDEX('Budget-ACPLGZ'!$K$7:$W$207,MATCH($B103,'Budget-ACPLGZ'!$B$7:$B$207,0),MATCH(BB$8,'Budget-ACPLGZ'!$K$6:$W$6,0)))</f>
        <v>150</v>
      </c>
      <c r="BC103" s="749">
        <f>BA103-BB103</f>
        <v>-150</v>
      </c>
      <c r="BD103" s="748"/>
      <c r="BF103" s="749">
        <f>SUM(INDEX('Actual-ACPLYixing'!$H$7:$T$207,MATCH($B103,'Actual-ACPLYixing'!$B$7:$B$207,0),MATCH('Actual-ACPLYixing'!H$6,'Actual-ACPLYixing'!$H$6:$T$6,0)):INDEX('Actual-ACPLYixing'!$H$7:$T$207,MATCH($B103,'Actual-ACPLYixing'!$B$7:$B$207,0),MATCH(BF$8,'Actual-ACPLYixing'!$H$6:$T$6,0)))</f>
        <v>0</v>
      </c>
      <c r="BG103" s="749">
        <f>SUM(INDEX('Budget-Yixing'!$K$7:$W$207,MATCH($B103,'Budget-Yixing'!$B$7:$B$207,0),MATCH('Budget-Yixing'!K$6,'Budget-Yixing'!$K$6:$W$6,0)):INDEX('Budget-Yixing'!$K$7:$W$207,MATCH($B103,'Budget-Yixing'!$B$7:$B$207,0),MATCH(BG$8,'Budget-Yixing'!$K$6:$W$6,0)))</f>
        <v>0</v>
      </c>
      <c r="BH103" s="749">
        <f>BF103-BG103</f>
        <v>0</v>
      </c>
      <c r="BI103" s="748"/>
    </row>
    <row r="104" spans="1:61" ht="16.5" customHeight="1">
      <c r="A104" s="653">
        <f>'Budget-合并'!A102</f>
        <v>0</v>
      </c>
      <c r="B104" s="653" t="str">
        <f>'Budget-合并'!B102</f>
        <v xml:space="preserve">    公司主体05</v>
      </c>
      <c r="C104" s="746">
        <f>INDEX('Actual-ACPL'!$H$7:$T$207,MATCH($B104,'Actual-ACPL'!$B$7:$B$207,0),MATCH(C$8,'Actual-ACPL'!$H$6:$T$6,0))</f>
        <v>0</v>
      </c>
      <c r="D104" s="746">
        <f ca="1">INDEX('Budget-ACPL'!$K$7:$W$207,MATCH($B104,'Budget-ACPL'!$B$7:$B$207,0),MATCH(D$8,'Budget-ACPL'!$K$6:$W$6,0))</f>
        <v>804.10596499999997</v>
      </c>
      <c r="E104" s="746">
        <f t="shared" ca="1" si="75"/>
        <v>-804.10596499999997</v>
      </c>
      <c r="F104" s="752"/>
      <c r="H104" s="749">
        <f>INDEX('Actual-ACPLHK'!$H$7:$T$207,MATCH($B104,'Actual-ACPLHK'!$B$7:$B$207,0),MATCH(H$8,'Actual-ACPLHK'!$H$6:$T$6,0))</f>
        <v>0</v>
      </c>
      <c r="I104" s="749">
        <f ca="1">INDEX('Budget-ACPLHK'!$K$7:$W$207,MATCH($B104,'Budget-ACPLHK'!$B$7:$B$207,0),MATCH(I$8,'Budget-ACPLHK'!$K$6:$W$6,0))</f>
        <v>2169.7956199999999</v>
      </c>
      <c r="J104" s="749">
        <f t="shared" ca="1" si="76"/>
        <v>-2169.7956199999999</v>
      </c>
      <c r="K104" s="748"/>
      <c r="M104" s="749">
        <f>INDEX('Actual-ACPSZL'!$H$7:$T$207,MATCH($B104,'Actual-ACPSZL'!$B$7:$B$207,0),MATCH(M$8,'Actual-ACPSZL'!$H$6:$T$6,0))</f>
        <v>0</v>
      </c>
      <c r="N104" s="749">
        <f>INDEX('Budget-ACPSZL'!$K$7:$W$207,MATCH($B104,'Budget-ACPSZL'!$B$7:$B$207,0),MATCH(N$8,'Budget-ACPSZL'!$K$6:$W$6,0))</f>
        <v>954</v>
      </c>
      <c r="O104" s="749">
        <f t="shared" si="70"/>
        <v>-954</v>
      </c>
      <c r="P104" s="748"/>
      <c r="R104" s="749">
        <f>INDEX('Actual-ACPLSZ'!$H$7:$T$207,MATCH($B104,'Actual-ACPLSZ'!$B$7:$B$207,0),MATCH(R$8,'Actual-ACPLSZ'!$H$6:$T$6,0))</f>
        <v>0</v>
      </c>
      <c r="S104" s="749">
        <f>INDEX('Budget-ACPLSZ'!$K$7:$W$207,MATCH($B104,'Budget-ACPLSZ'!$B$7:$B$207,0),MATCH(S$8,'Budget-ACPLSZ'!$K$6:$W$6,0))</f>
        <v>1390</v>
      </c>
      <c r="T104" s="749">
        <f>(R104-S104)*-1</f>
        <v>1390</v>
      </c>
      <c r="U104" s="748"/>
      <c r="W104" s="749">
        <f>INDEX('Actual-ACPLGZ'!$H$7:$T$207,MATCH($B104,'Actual-ACPLGZ'!$B$7:$B$207,0),MATCH(W$8,'Actual-ACPLGZ'!$H$6:$T$6,0))</f>
        <v>0</v>
      </c>
      <c r="X104" s="749">
        <f>INDEX('Budget-ACPLGZ'!$K$7:$W$207,MATCH($B104,'Budget-ACPLGZ'!$B$7:$B$207,0),MATCH(X$8,'Budget-ACPLGZ'!$K$6:$W$6,0))</f>
        <v>150</v>
      </c>
      <c r="Y104" s="749">
        <f t="shared" si="71"/>
        <v>-150</v>
      </c>
      <c r="Z104" s="748"/>
      <c r="AB104" s="749">
        <f>INDEX('Actual-ACPLGZ'!$H$7:$T$207,MATCH($B104,'Actual-ACPLGZ'!$B$7:$B$207,0),MATCH(AB$8,'Actual-ACPLGZ'!$H$6:$T$6,0))</f>
        <v>0</v>
      </c>
      <c r="AC104" s="749">
        <f>INDEX('Budget-Yixing'!$K$7:$W$207,MATCH($B104,'Budget-Yixing'!$B$7:$B$207,0),MATCH(AC$8,'Budget-Yixing'!$K$6:$W$6,0))</f>
        <v>0</v>
      </c>
      <c r="AD104" s="749">
        <f>(AB104-AC104)*-1</f>
        <v>0</v>
      </c>
      <c r="AE104" s="748"/>
      <c r="AG104" s="751">
        <f>SUM(INDEX('Actual-ACPL'!$H$7:$T$207,MATCH($B104,'Actual-ACPL'!$B$7:$B$207,0),MATCH('Actual-ACPL'!H$6,'Actual-ACPL'!$H$6:$T$6,0)):INDEX('Actual-ACPL'!$H$7:$T$207,MATCH($B104,'Actual-ACPL'!$B$7:$B$207,0),MATCH(AG$8,'Actual-ACPL'!$H$6:$T$6,0)))</f>
        <v>0</v>
      </c>
      <c r="AH104" s="749">
        <f ca="1">SUM(INDEX('Budget-ACPL'!$K$7:$W$207,MATCH($B104,'Budget-ACPL'!$B$7:$B$207,0),MATCH('Budget-ACPL'!K$6,'Budget-ACPL'!$K$6:$W$6,0)):INDEX('Budget-ACPL'!$K$7:$W$207,MATCH($B104,'Budget-ACPL'!$B$7:$B$207,0),MATCH(AH$8,'Budget-ACPL'!$K$6:$W$6,0)))</f>
        <v>804.10596499999997</v>
      </c>
      <c r="AI104" s="749">
        <f t="shared" ca="1" si="74"/>
        <v>-804.10596499999997</v>
      </c>
      <c r="AJ104" s="748"/>
      <c r="AL104" s="749">
        <f>SUM(INDEX('Actual-ACPLHK'!$H$7:$S$207,MATCH($B104,'Actual-ACPLHK'!$B$7:$B$207,0),MATCH('Actual-ACPLHK'!H$6,'Actual-ACPLHK'!$H$6:$T$6,0)):INDEX('Actual-ACPLHK'!$H$7:$S$207,MATCH($B104,'Actual-ACPLHK'!$B$7:$B$207,0),MATCH(AL$8,'Actual-ACPLHK'!$H$6:$T$6,0)))</f>
        <v>0</v>
      </c>
      <c r="AM104" s="749">
        <f ca="1">SUM(INDEX('Budget-ACPLHK'!$K$7:$W$207,MATCH($B104,'Budget-ACPLHK'!$B$7:$B$207,0),MATCH('Budget-ACPLHK'!K$6,'Budget-ACPLHK'!$K$6:$W$6,0)):INDEX('Budget-ACPLHK'!$K$7:$W$207,MATCH($B104,'Budget-ACPLHK'!$B$7:$B$207,0),MATCH(AM$8,'Budget-ACPLHK'!$K$6:$W$6,0)))</f>
        <v>2169.7956199999999</v>
      </c>
      <c r="AN104" s="749">
        <f ca="1">AL104-AM104</f>
        <v>-2169.7956199999999</v>
      </c>
      <c r="AO104" s="748"/>
      <c r="AQ104" s="749">
        <f>SUM(INDEX('Actual-ACPSZL'!$H$7:$T$207,MATCH($B104,'Actual-ACPSZL'!$B$7:$B$207,0),MATCH('Actual-ACPSZL'!H$6,'Actual-ACPSZL'!$H$6:$T$6,0)):INDEX('Actual-ACPSZL'!$H$7:$T$207,MATCH($B104,'Actual-ACPSZL'!$B$7:$B$207,0),MATCH(AQ$8,'Actual-ACPSZL'!$H$6:$T$6,0)))</f>
        <v>0</v>
      </c>
      <c r="AR104" s="749">
        <f>SUM(INDEX('Budget-ACPSZL'!$K$7:$W$207,MATCH($B104,'Budget-ACPSZL'!$B$7:$B$207,0),MATCH('Budget-ACPSZL'!K$6,'Budget-ACPSZL'!$K$6:$W$6,0)):INDEX('Budget-ACPSZL'!$K$7:$W$207,MATCH($B104,'Budget-ACPSZL'!$B$7:$B$207,0),MATCH(AR$8,'Budget-ACPSZL'!$K$6:$W$6,0)))</f>
        <v>954</v>
      </c>
      <c r="AS104" s="749">
        <f t="shared" si="69"/>
        <v>-954</v>
      </c>
      <c r="AT104" s="748"/>
      <c r="AV104" s="749">
        <f>SUM(INDEX('Actual-ACPLSZ'!$H$7:$T$207,MATCH($B104,'Actual-ACPLSZ'!$B$7:$B$207,0),MATCH('Actual-ACPLSZ'!H$6,'Actual-ACPLSZ'!$H$6:$T$6,0)):INDEX('Actual-ACPLSZ'!$H$7:$T$207,MATCH($B104,'Actual-ACPLSZ'!$B$7:$B$207,0),MATCH(AV$8,'Actual-ACPLSZ'!$H$6:$T$6,0)))</f>
        <v>0</v>
      </c>
      <c r="AW104" s="749">
        <f>SUM(INDEX('Budget-ACPLSZ'!$K$7:$W$207,MATCH($B104,'Budget-ACPLSZ'!$B$7:$B$207,0),MATCH('Budget-ACPLSZ'!K$6,'Budget-ACPLSZ'!$K$6:$W$6,0)):INDEX('Budget-ACPLSZ'!$K$7:$W$207,MATCH($B104,'Budget-ACPLSZ'!$B$7:$B$207,0),MATCH(AW$8,'Budget-ACPLSZ'!$K$6:$W$6,0)))</f>
        <v>1390</v>
      </c>
      <c r="AX104" s="749">
        <f t="shared" si="72"/>
        <v>-1390</v>
      </c>
      <c r="AY104" s="748"/>
      <c r="BA104" s="749">
        <f>SUM(INDEX('Actual-ACPLGZ'!$H$7:$T$207,MATCH($B104,'Actual-ACPLGZ'!$B$7:$B$207,0),MATCH('Actual-ACPLGZ'!H$6,'Actual-ACPLGZ'!$H$6:$T$6,0)):INDEX('Actual-ACPLGZ'!$H$7:$T$207,MATCH($B104,'Actual-ACPLGZ'!$B$7:$B$207,0),MATCH(BA$8,'Actual-ACPLGZ'!$H$6:$T$6,0)))</f>
        <v>0</v>
      </c>
      <c r="BB104" s="749">
        <f>SUM(INDEX('Budget-ACPLGZ'!$K$7:$W$207,MATCH($B104,'Budget-ACPLGZ'!$B$7:$B$207,0),MATCH('Budget-ACPLGZ'!K$6,'Budget-ACPLGZ'!$K$6:$W$6,0)):INDEX('Budget-ACPLGZ'!$K$7:$W$207,MATCH($B104,'Budget-ACPLGZ'!$B$7:$B$207,0),MATCH(BB$8,'Budget-ACPLGZ'!$K$6:$W$6,0)))</f>
        <v>150</v>
      </c>
      <c r="BC104" s="749">
        <f>BA104-BB104</f>
        <v>-150</v>
      </c>
      <c r="BD104" s="748"/>
      <c r="BF104" s="749">
        <f>SUM(INDEX('Actual-ACPLYixing'!$H$7:$T$207,MATCH($B104,'Actual-ACPLYixing'!$B$7:$B$207,0),MATCH('Actual-ACPLYixing'!H$6,'Actual-ACPLYixing'!$H$6:$T$6,0)):INDEX('Actual-ACPLYixing'!$H$7:$T$207,MATCH($B104,'Actual-ACPLYixing'!$B$7:$B$207,0),MATCH(BF$8,'Actual-ACPLYixing'!$H$6:$T$6,0)))</f>
        <v>0</v>
      </c>
      <c r="BG104" s="749">
        <f>SUM(INDEX('Budget-Yixing'!$K$7:$W$207,MATCH($B104,'Budget-Yixing'!$B$7:$B$207,0),MATCH('Budget-Yixing'!K$6,'Budget-Yixing'!$K$6:$W$6,0)):INDEX('Budget-Yixing'!$K$7:$W$207,MATCH($B104,'Budget-Yixing'!$B$7:$B$207,0),MATCH(BG$8,'Budget-Yixing'!$K$6:$W$6,0)))</f>
        <v>0</v>
      </c>
      <c r="BH104" s="749">
        <f>BF104-BG104</f>
        <v>0</v>
      </c>
      <c r="BI104" s="748"/>
    </row>
    <row r="105" spans="1:61" ht="16.5" customHeight="1">
      <c r="A105" s="653">
        <f>'Budget-合并'!A103</f>
        <v>0</v>
      </c>
      <c r="B105" s="653" t="str">
        <f>'Budget-合并'!B103</f>
        <v xml:space="preserve">    旭智富能05</v>
      </c>
      <c r="C105" s="746">
        <f>INDEX('Actual-ACPL'!$H$7:$T$207,MATCH($B105,'Actual-ACPL'!$B$7:$B$207,0),MATCH(C$8,'Actual-ACPL'!$H$6:$T$6,0))</f>
        <v>0</v>
      </c>
      <c r="D105" s="746">
        <f ca="1">INDEX('Budget-ACPL'!$K$7:$W$207,MATCH($B105,'Budget-ACPL'!$B$7:$B$207,0),MATCH(D$8,'Budget-ACPL'!$K$6:$W$6,0))</f>
        <v>5381.3245349999997</v>
      </c>
      <c r="E105" s="746">
        <f t="shared" ca="1" si="75"/>
        <v>-5381.3245349999997</v>
      </c>
      <c r="F105" s="752"/>
      <c r="H105" s="749">
        <f>INDEX('Actual-ACPLHK'!$H$7:$T$207,MATCH($B105,'Actual-ACPLHK'!$B$7:$B$207,0),MATCH(H$8,'Actual-ACPLHK'!$H$6:$T$6,0))</f>
        <v>0</v>
      </c>
      <c r="I105" s="749">
        <f ca="1">INDEX('Budget-ACPLHK'!$K$7:$W$207,MATCH($B105,'Budget-ACPLHK'!$B$7:$B$207,0),MATCH(I$8,'Budget-ACPLHK'!$K$6:$W$6,0))</f>
        <v>1924.1583799999999</v>
      </c>
      <c r="J105" s="749">
        <f t="shared" ca="1" si="76"/>
        <v>-1924.1583799999999</v>
      </c>
      <c r="K105" s="748"/>
      <c r="M105" s="749">
        <f>INDEX('Actual-ACPSZL'!$H$7:$T$207,MATCH($B105,'Actual-ACPSZL'!$B$7:$B$207,0),MATCH(M$8,'Actual-ACPSZL'!$H$6:$T$6,0))</f>
        <v>0</v>
      </c>
      <c r="N105" s="749">
        <f>INDEX('Budget-ACPSZL'!$K$7:$W$207,MATCH($B105,'Budget-ACPSZL'!$B$7:$B$207,0),MATCH(N$8,'Budget-ACPSZL'!$K$6:$W$6,0))</f>
        <v>9646</v>
      </c>
      <c r="O105" s="749">
        <f t="shared" si="70"/>
        <v>-9646</v>
      </c>
      <c r="P105" s="748"/>
      <c r="R105" s="749">
        <f>INDEX('Actual-ACPLSZ'!$H$7:$T$207,MATCH($B105,'Actual-ACPLSZ'!$B$7:$B$207,0),MATCH(R$8,'Actual-ACPLSZ'!$H$6:$T$6,0))</f>
        <v>0</v>
      </c>
      <c r="S105" s="749">
        <f>INDEX('Budget-ACPLSZ'!$K$7:$W$207,MATCH($B105,'Budget-ACPLSZ'!$B$7:$B$207,0),MATCH(S$8,'Budget-ACPLSZ'!$K$6:$W$6,0))</f>
        <v>26410</v>
      </c>
      <c r="T105" s="749">
        <f>(R105-S105)*-1</f>
        <v>26410</v>
      </c>
      <c r="U105" s="748"/>
      <c r="W105" s="749">
        <f>INDEX('Actual-ACPLGZ'!$H$7:$T$207,MATCH($B105,'Actual-ACPLGZ'!$B$7:$B$207,0),MATCH(W$8,'Actual-ACPLGZ'!$H$6:$T$6,0))</f>
        <v>0</v>
      </c>
      <c r="X105" s="749">
        <f>INDEX('Budget-ACPLGZ'!$K$7:$W$207,MATCH($B105,'Budget-ACPLGZ'!$B$7:$B$207,0),MATCH(X$8,'Budget-ACPLGZ'!$K$6:$W$6,0))</f>
        <v>0</v>
      </c>
      <c r="Y105" s="749">
        <f t="shared" si="71"/>
        <v>0</v>
      </c>
      <c r="Z105" s="748"/>
      <c r="AB105" s="749">
        <f>INDEX('Actual-ACPLGZ'!$H$7:$T$207,MATCH($B105,'Actual-ACPLGZ'!$B$7:$B$207,0),MATCH(AB$8,'Actual-ACPLGZ'!$H$6:$T$6,0))</f>
        <v>0</v>
      </c>
      <c r="AC105" s="749">
        <f>INDEX('Budget-Yixing'!$K$7:$W$207,MATCH($B105,'Budget-Yixing'!$B$7:$B$207,0),MATCH(AC$8,'Budget-Yixing'!$K$6:$W$6,0))</f>
        <v>0</v>
      </c>
      <c r="AD105" s="749">
        <f>(AB105-AC105)*-1</f>
        <v>0</v>
      </c>
      <c r="AE105" s="748"/>
      <c r="AG105" s="751">
        <f>SUM(INDEX('Actual-ACPL'!$H$7:$T$207,MATCH($B105,'Actual-ACPL'!$B$7:$B$207,0),MATCH('Actual-ACPL'!H$6,'Actual-ACPL'!$H$6:$T$6,0)):INDEX('Actual-ACPL'!$H$7:$T$207,MATCH($B105,'Actual-ACPL'!$B$7:$B$207,0),MATCH(AG$8,'Actual-ACPL'!$H$6:$T$6,0)))</f>
        <v>0</v>
      </c>
      <c r="AH105" s="749">
        <f ca="1">SUM(INDEX('Budget-ACPL'!$K$7:$W$207,MATCH($B105,'Budget-ACPL'!$B$7:$B$207,0),MATCH('Budget-ACPL'!K$6,'Budget-ACPL'!$K$6:$W$6,0)):INDEX('Budget-ACPL'!$K$7:$W$207,MATCH($B105,'Budget-ACPL'!$B$7:$B$207,0),MATCH(AH$8,'Budget-ACPL'!$K$6:$W$6,0)))</f>
        <v>5381.3245349999997</v>
      </c>
      <c r="AI105" s="749">
        <f t="shared" ca="1" si="74"/>
        <v>-5381.3245349999997</v>
      </c>
      <c r="AJ105" s="748"/>
      <c r="AL105" s="749">
        <f>SUM(INDEX('Actual-ACPLHK'!$H$7:$S$207,MATCH($B105,'Actual-ACPLHK'!$B$7:$B$207,0),MATCH('Actual-ACPLHK'!H$6,'Actual-ACPLHK'!$H$6:$T$6,0)):INDEX('Actual-ACPLHK'!$H$7:$S$207,MATCH($B105,'Actual-ACPLHK'!$B$7:$B$207,0),MATCH(AL$8,'Actual-ACPLHK'!$H$6:$T$6,0)))</f>
        <v>0</v>
      </c>
      <c r="AM105" s="749">
        <f ca="1">SUM(INDEX('Budget-ACPLHK'!$K$7:$W$207,MATCH($B105,'Budget-ACPLHK'!$B$7:$B$207,0),MATCH('Budget-ACPLHK'!K$6,'Budget-ACPLHK'!$K$6:$W$6,0)):INDEX('Budget-ACPLHK'!$K$7:$W$207,MATCH($B105,'Budget-ACPLHK'!$B$7:$B$207,0),MATCH(AM$8,'Budget-ACPLHK'!$K$6:$W$6,0)))</f>
        <v>1924.1583799999999</v>
      </c>
      <c r="AN105" s="749">
        <f ca="1">AL105-AM105</f>
        <v>-1924.1583799999999</v>
      </c>
      <c r="AO105" s="748"/>
      <c r="AQ105" s="749">
        <f>SUM(INDEX('Actual-ACPSZL'!$H$7:$T$207,MATCH($B105,'Actual-ACPSZL'!$B$7:$B$207,0),MATCH('Actual-ACPSZL'!H$6,'Actual-ACPSZL'!$H$6:$T$6,0)):INDEX('Actual-ACPSZL'!$H$7:$T$207,MATCH($B105,'Actual-ACPSZL'!$B$7:$B$207,0),MATCH(AQ$8,'Actual-ACPSZL'!$H$6:$T$6,0)))</f>
        <v>0</v>
      </c>
      <c r="AR105" s="749">
        <f>SUM(INDEX('Budget-ACPSZL'!$K$7:$W$207,MATCH($B105,'Budget-ACPSZL'!$B$7:$B$207,0),MATCH('Budget-ACPSZL'!K$6,'Budget-ACPSZL'!$K$6:$W$6,0)):INDEX('Budget-ACPSZL'!$K$7:$W$207,MATCH($B105,'Budget-ACPSZL'!$B$7:$B$207,0),MATCH(AR$8,'Budget-ACPSZL'!$K$6:$W$6,0)))</f>
        <v>9646</v>
      </c>
      <c r="AS105" s="749">
        <f t="shared" si="69"/>
        <v>-9646</v>
      </c>
      <c r="AT105" s="748"/>
      <c r="AV105" s="749">
        <f>SUM(INDEX('Actual-ACPLSZ'!$H$7:$T$207,MATCH($B105,'Actual-ACPLSZ'!$B$7:$B$207,0),MATCH('Actual-ACPLSZ'!H$6,'Actual-ACPLSZ'!$H$6:$T$6,0)):INDEX('Actual-ACPLSZ'!$H$7:$T$207,MATCH($B105,'Actual-ACPLSZ'!$B$7:$B$207,0),MATCH(AV$8,'Actual-ACPLSZ'!$H$6:$T$6,0)))</f>
        <v>0</v>
      </c>
      <c r="AW105" s="749">
        <f>SUM(INDEX('Budget-ACPLSZ'!$K$7:$W$207,MATCH($B105,'Budget-ACPLSZ'!$B$7:$B$207,0),MATCH('Budget-ACPLSZ'!K$6,'Budget-ACPLSZ'!$K$6:$W$6,0)):INDEX('Budget-ACPLSZ'!$K$7:$W$207,MATCH($B105,'Budget-ACPLSZ'!$B$7:$B$207,0),MATCH(AW$8,'Budget-ACPLSZ'!$K$6:$W$6,0)))</f>
        <v>26410</v>
      </c>
      <c r="AX105" s="749">
        <f t="shared" si="72"/>
        <v>-26410</v>
      </c>
      <c r="AY105" s="748"/>
      <c r="BA105" s="749">
        <f>SUM(INDEX('Actual-ACPLGZ'!$H$7:$T$207,MATCH($B105,'Actual-ACPLGZ'!$B$7:$B$207,0),MATCH('Actual-ACPLGZ'!H$6,'Actual-ACPLGZ'!$H$6:$T$6,0)):INDEX('Actual-ACPLGZ'!$H$7:$T$207,MATCH($B105,'Actual-ACPLGZ'!$B$7:$B$207,0),MATCH(BA$8,'Actual-ACPLGZ'!$H$6:$T$6,0)))</f>
        <v>0</v>
      </c>
      <c r="BB105" s="749">
        <f>SUM(INDEX('Budget-ACPLGZ'!$K$7:$W$207,MATCH($B105,'Budget-ACPLGZ'!$B$7:$B$207,0),MATCH('Budget-ACPLGZ'!K$6,'Budget-ACPLGZ'!$K$6:$W$6,0)):INDEX('Budget-ACPLGZ'!$K$7:$W$207,MATCH($B105,'Budget-ACPLGZ'!$B$7:$B$207,0),MATCH(BB$8,'Budget-ACPLGZ'!$K$6:$W$6,0)))</f>
        <v>0</v>
      </c>
      <c r="BC105" s="749">
        <f>BA105-BB105</f>
        <v>0</v>
      </c>
      <c r="BD105" s="748"/>
      <c r="BF105" s="749">
        <f>SUM(INDEX('Actual-ACPLYixing'!$H$7:$T$207,MATCH($B105,'Actual-ACPLYixing'!$B$7:$B$207,0),MATCH('Actual-ACPLYixing'!H$6,'Actual-ACPLYixing'!$H$6:$T$6,0)):INDEX('Actual-ACPLYixing'!$H$7:$T$207,MATCH($B105,'Actual-ACPLYixing'!$B$7:$B$207,0),MATCH(BF$8,'Actual-ACPLYixing'!$H$6:$T$6,0)))</f>
        <v>0</v>
      </c>
      <c r="BG105" s="749">
        <f>SUM(INDEX('Budget-Yixing'!$K$7:$W$207,MATCH($B105,'Budget-Yixing'!$B$7:$B$207,0),MATCH('Budget-Yixing'!K$6,'Budget-Yixing'!$K$6:$W$6,0)):INDEX('Budget-Yixing'!$K$7:$W$207,MATCH($B105,'Budget-Yixing'!$B$7:$B$207,0),MATCH(BG$8,'Budget-Yixing'!$K$6:$W$6,0)))</f>
        <v>0</v>
      </c>
      <c r="BH105" s="749">
        <f>BF105-BG105</f>
        <v>0</v>
      </c>
      <c r="BI105" s="748"/>
    </row>
    <row r="106" spans="1:61" ht="16.5" customHeight="1">
      <c r="A106" s="653">
        <f>'Budget-合并'!A104</f>
        <v>0</v>
      </c>
      <c r="B106" s="653" t="str">
        <f>'Budget-合并'!B104</f>
        <v xml:space="preserve">    其他项目05</v>
      </c>
      <c r="C106" s="746">
        <f>INDEX('Actual-ACPL'!$H$7:$T$207,MATCH($B106,'Actual-ACPL'!$B$7:$B$207,0),MATCH(C$8,'Actual-ACPL'!$H$6:$T$6,0))</f>
        <v>0</v>
      </c>
      <c r="D106" s="746">
        <f>INDEX('Budget-ACPL'!$K$7:$W$207,MATCH($B106,'Budget-ACPL'!$B$7:$B$207,0),MATCH(D$8,'Budget-ACPL'!$K$6:$W$6,0))</f>
        <v>0</v>
      </c>
      <c r="E106" s="746">
        <f t="shared" si="75"/>
        <v>0</v>
      </c>
      <c r="F106" s="752"/>
      <c r="H106" s="749">
        <f>INDEX('Actual-ACPLHK'!$H$7:$T$207,MATCH($B106,'Actual-ACPLHK'!$B$7:$B$207,0),MATCH(H$8,'Actual-ACPLHK'!$H$6:$T$6,0))</f>
        <v>0</v>
      </c>
      <c r="I106" s="749">
        <f>INDEX('Budget-ACPLHK'!$K$7:$W$207,MATCH($B106,'Budget-ACPLHK'!$B$7:$B$207,0),MATCH(I$8,'Budget-ACPLHK'!$K$6:$W$6,0))</f>
        <v>0</v>
      </c>
      <c r="J106" s="749">
        <f t="shared" si="76"/>
        <v>0</v>
      </c>
      <c r="K106" s="748"/>
      <c r="M106" s="749">
        <f>INDEX('Actual-ACPSZL'!$H$7:$T$207,MATCH($B106,'Actual-ACPSZL'!$B$7:$B$207,0),MATCH(M$8,'Actual-ACPSZL'!$H$6:$T$6,0))</f>
        <v>0</v>
      </c>
      <c r="N106" s="749">
        <f>INDEX('Budget-ACPSZL'!$K$7:$W$207,MATCH($B106,'Budget-ACPSZL'!$B$7:$B$207,0),MATCH(N$8,'Budget-ACPSZL'!$K$6:$W$6,0))</f>
        <v>0</v>
      </c>
      <c r="O106" s="749">
        <f t="shared" si="70"/>
        <v>0</v>
      </c>
      <c r="P106" s="748"/>
      <c r="R106" s="749">
        <f>INDEX('Actual-ACPLSZ'!$H$7:$T$207,MATCH($B106,'Actual-ACPLSZ'!$B$7:$B$207,0),MATCH(R$8,'Actual-ACPLSZ'!$H$6:$T$6,0))</f>
        <v>0</v>
      </c>
      <c r="S106" s="749">
        <f>INDEX('Budget-ACPLSZ'!$K$7:$W$207,MATCH($B106,'Budget-ACPLSZ'!$B$7:$B$207,0),MATCH(S$8,'Budget-ACPLSZ'!$K$6:$W$6,0))</f>
        <v>0</v>
      </c>
      <c r="T106" s="749"/>
      <c r="U106" s="748"/>
      <c r="W106" s="749">
        <f>INDEX('Actual-ACPLGZ'!$H$7:$T$207,MATCH($B106,'Actual-ACPLGZ'!$B$7:$B$207,0),MATCH(W$8,'Actual-ACPLGZ'!$H$6:$T$6,0))</f>
        <v>0</v>
      </c>
      <c r="X106" s="749">
        <f>INDEX('Budget-ACPLGZ'!$K$7:$W$207,MATCH($B106,'Budget-ACPLGZ'!$B$7:$B$207,0),MATCH(X$8,'Budget-ACPLGZ'!$K$6:$W$6,0))</f>
        <v>0</v>
      </c>
      <c r="Y106" s="749">
        <f t="shared" si="71"/>
        <v>0</v>
      </c>
      <c r="Z106" s="748"/>
      <c r="AB106" s="749">
        <f>INDEX('Actual-ACPLGZ'!$H$7:$T$207,MATCH($B106,'Actual-ACPLGZ'!$B$7:$B$207,0),MATCH(AB$8,'Actual-ACPLGZ'!$H$6:$T$6,0))</f>
        <v>0</v>
      </c>
      <c r="AC106" s="749">
        <f>INDEX('Budget-Yixing'!$K$7:$W$207,MATCH($B106,'Budget-Yixing'!$B$7:$B$207,0),MATCH(AC$8,'Budget-Yixing'!$K$6:$W$6,0))</f>
        <v>0</v>
      </c>
      <c r="AD106" s="749"/>
      <c r="AE106" s="748"/>
      <c r="AG106" s="751">
        <f>SUM(INDEX('Actual-ACPL'!$H$7:$T$207,MATCH($B106,'Actual-ACPL'!$B$7:$B$207,0),MATCH('Actual-ACPL'!H$6,'Actual-ACPL'!$H$6:$T$6,0)):INDEX('Actual-ACPL'!$H$7:$T$207,MATCH($B106,'Actual-ACPL'!$B$7:$B$207,0),MATCH(AG$8,'Actual-ACPL'!$H$6:$T$6,0)))</f>
        <v>0</v>
      </c>
      <c r="AH106" s="749">
        <f>SUM(INDEX('Budget-ACPL'!$K$7:$W$207,MATCH($B106,'Budget-ACPL'!$B$7:$B$207,0),MATCH('Budget-ACPL'!K$6,'Budget-ACPL'!$K$6:$W$6,0)):INDEX('Budget-ACPL'!$K$7:$W$207,MATCH($B106,'Budget-ACPL'!$B$7:$B$207,0),MATCH(AH$8,'Budget-ACPL'!$K$6:$W$6,0)))</f>
        <v>0</v>
      </c>
      <c r="AI106" s="749">
        <f t="shared" si="74"/>
        <v>0</v>
      </c>
      <c r="AJ106" s="748"/>
      <c r="AL106" s="749">
        <f>SUM(INDEX('Actual-ACPLHK'!$H$7:$S$207,MATCH($B106,'Actual-ACPLHK'!$B$7:$B$207,0),MATCH('Actual-ACPLHK'!H$6,'Actual-ACPLHK'!$H$6:$T$6,0)):INDEX('Actual-ACPLHK'!$H$7:$S$207,MATCH($B106,'Actual-ACPLHK'!$B$7:$B$207,0),MATCH(AL$8,'Actual-ACPLHK'!$H$6:$T$6,0)))</f>
        <v>0</v>
      </c>
      <c r="AM106" s="749">
        <f>SUM(INDEX('Budget-ACPLHK'!$K$7:$W$207,MATCH($B106,'Budget-ACPLHK'!$B$7:$B$207,0),MATCH('Budget-ACPLHK'!K$6,'Budget-ACPLHK'!$K$6:$W$6,0)):INDEX('Budget-ACPLHK'!$K$7:$W$207,MATCH($B106,'Budget-ACPLHK'!$B$7:$B$207,0),MATCH(AM$8,'Budget-ACPLHK'!$K$6:$W$6,0)))</f>
        <v>0</v>
      </c>
      <c r="AN106" s="749"/>
      <c r="AO106" s="748"/>
      <c r="AQ106" s="749">
        <f>SUM(INDEX('Actual-ACPSZL'!$H$7:$T$207,MATCH($B106,'Actual-ACPSZL'!$B$7:$B$207,0),MATCH('Actual-ACPSZL'!H$6,'Actual-ACPSZL'!$H$6:$T$6,0)):INDEX('Actual-ACPSZL'!$H$7:$T$207,MATCH($B106,'Actual-ACPSZL'!$B$7:$B$207,0),MATCH(AQ$8,'Actual-ACPSZL'!$H$6:$T$6,0)))</f>
        <v>0</v>
      </c>
      <c r="AR106" s="749">
        <f>SUM(INDEX('Budget-ACPSZL'!$K$7:$W$207,MATCH($B106,'Budget-ACPSZL'!$B$7:$B$207,0),MATCH('Budget-ACPSZL'!K$6,'Budget-ACPSZL'!$K$6:$W$6,0)):INDEX('Budget-ACPSZL'!$K$7:$W$207,MATCH($B106,'Budget-ACPSZL'!$B$7:$B$207,0),MATCH(AR$8,'Budget-ACPSZL'!$K$6:$W$6,0)))</f>
        <v>0</v>
      </c>
      <c r="AS106" s="749">
        <f t="shared" si="69"/>
        <v>0</v>
      </c>
      <c r="AT106" s="748"/>
      <c r="AV106" s="749">
        <f>SUM(INDEX('Actual-ACPLSZ'!$H$7:$T$207,MATCH($B106,'Actual-ACPLSZ'!$B$7:$B$207,0),MATCH('Actual-ACPLSZ'!H$6,'Actual-ACPLSZ'!$H$6:$T$6,0)):INDEX('Actual-ACPLSZ'!$H$7:$T$207,MATCH($B106,'Actual-ACPLSZ'!$B$7:$B$207,0),MATCH(AV$8,'Actual-ACPLSZ'!$H$6:$T$6,0)))</f>
        <v>0</v>
      </c>
      <c r="AW106" s="749">
        <f>SUM(INDEX('Budget-ACPLSZ'!$K$7:$W$207,MATCH($B106,'Budget-ACPLSZ'!$B$7:$B$207,0),MATCH('Budget-ACPLSZ'!K$6,'Budget-ACPLSZ'!$K$6:$W$6,0)):INDEX('Budget-ACPLSZ'!$K$7:$W$207,MATCH($B106,'Budget-ACPLSZ'!$B$7:$B$207,0),MATCH(AW$8,'Budget-ACPLSZ'!$K$6:$W$6,0)))</f>
        <v>0</v>
      </c>
      <c r="AX106" s="749">
        <f t="shared" si="72"/>
        <v>0</v>
      </c>
      <c r="AY106" s="748"/>
      <c r="BA106" s="749">
        <f>SUM(INDEX('Actual-ACPLGZ'!$H$7:$T$207,MATCH($B106,'Actual-ACPLGZ'!$B$7:$B$207,0),MATCH('Actual-ACPLGZ'!H$6,'Actual-ACPLGZ'!$H$6:$T$6,0)):INDEX('Actual-ACPLGZ'!$H$7:$T$207,MATCH($B106,'Actual-ACPLGZ'!$B$7:$B$207,0),MATCH(BA$8,'Actual-ACPLGZ'!$H$6:$T$6,0)))</f>
        <v>0</v>
      </c>
      <c r="BB106" s="749">
        <f>SUM(INDEX('Budget-ACPLGZ'!$K$7:$W$207,MATCH($B106,'Budget-ACPLGZ'!$B$7:$B$207,0),MATCH('Budget-ACPLGZ'!K$6,'Budget-ACPLGZ'!$K$6:$W$6,0)):INDEX('Budget-ACPLGZ'!$K$7:$W$207,MATCH($B106,'Budget-ACPLGZ'!$B$7:$B$207,0),MATCH(BB$8,'Budget-ACPLGZ'!$K$6:$W$6,0)))</f>
        <v>0</v>
      </c>
      <c r="BC106" s="749"/>
      <c r="BD106" s="748"/>
      <c r="BF106" s="749">
        <f>SUM(INDEX('Actual-ACPLYixing'!$H$7:$T$207,MATCH($B106,'Actual-ACPLYixing'!$B$7:$B$207,0),MATCH('Actual-ACPLYixing'!H$6,'Actual-ACPLYixing'!$H$6:$T$6,0)):INDEX('Actual-ACPLYixing'!$H$7:$T$207,MATCH($B106,'Actual-ACPLYixing'!$B$7:$B$207,0),MATCH(BF$8,'Actual-ACPLYixing'!$H$6:$T$6,0)))</f>
        <v>0</v>
      </c>
      <c r="BG106" s="749">
        <f>SUM(INDEX('Budget-Yixing'!$K$7:$W$207,MATCH($B106,'Budget-Yixing'!$B$7:$B$207,0),MATCH('Budget-Yixing'!K$6,'Budget-Yixing'!$K$6:$W$6,0)):INDEX('Budget-Yixing'!$K$7:$W$207,MATCH($B106,'Budget-Yixing'!$B$7:$B$207,0),MATCH(BG$8,'Budget-Yixing'!$K$6:$W$6,0)))</f>
        <v>0</v>
      </c>
      <c r="BH106" s="749"/>
      <c r="BI106" s="748"/>
    </row>
    <row r="107" spans="1:61" ht="16.5" customHeight="1">
      <c r="A107" s="653" t="str">
        <f>'Budget-合并'!A105</f>
        <v>6602.09.04</v>
      </c>
      <c r="B107" s="653" t="str">
        <f>'Budget-合并'!B105</f>
        <v>空中交通费</v>
      </c>
      <c r="C107" s="746">
        <f>INDEX('Actual-ACPL'!$H$7:$T$207,MATCH($B107,'Actual-ACPL'!$B$7:$B$207,0),MATCH(C$8,'Actual-ACPL'!$H$6:$T$6,0))</f>
        <v>0</v>
      </c>
      <c r="D107" s="746">
        <f ca="1">INDEX('Budget-ACPL'!$K$7:$W$207,MATCH($B107,'Budget-ACPL'!$B$7:$B$207,0),MATCH(D$8,'Budget-ACPL'!$K$6:$W$6,0))</f>
        <v>7965.4105</v>
      </c>
      <c r="E107" s="746">
        <f t="shared" ca="1" si="75"/>
        <v>-7965.4105</v>
      </c>
      <c r="F107" s="752"/>
      <c r="H107" s="749">
        <f>INDEX('Actual-ACPLHK'!$H$7:$T$207,MATCH($B107,'Actual-ACPLHK'!$B$7:$B$207,0),MATCH(H$8,'Actual-ACPLHK'!$H$6:$T$6,0))</f>
        <v>0</v>
      </c>
      <c r="I107" s="749">
        <f ca="1">INDEX('Budget-ACPLHK'!$K$7:$W$207,MATCH($B107,'Budget-ACPLHK'!$B$7:$B$207,0),MATCH(I$8,'Budget-ACPLHK'!$K$6:$W$6,0))</f>
        <v>1868.9789999999998</v>
      </c>
      <c r="J107" s="749">
        <f t="shared" ca="1" si="76"/>
        <v>-1868.9789999999998</v>
      </c>
      <c r="K107" s="748"/>
      <c r="M107" s="749">
        <f>INDEX('Actual-ACPSZL'!$H$7:$T$207,MATCH($B107,'Actual-ACPSZL'!$B$7:$B$207,0),MATCH(M$8,'Actual-ACPSZL'!$H$6:$T$6,0))</f>
        <v>0</v>
      </c>
      <c r="N107" s="749">
        <f>INDEX('Budget-ACPSZL'!$K$7:$W$207,MATCH($B107,'Budget-ACPSZL'!$B$7:$B$207,0),MATCH(N$8,'Budget-ACPSZL'!$K$6:$W$6,0))</f>
        <v>5600</v>
      </c>
      <c r="O107" s="749">
        <f t="shared" si="70"/>
        <v>-5600</v>
      </c>
      <c r="P107" s="748"/>
      <c r="R107" s="749">
        <f>INDEX('Actual-ACPLSZ'!$H$7:$T$207,MATCH($B107,'Actual-ACPLSZ'!$B$7:$B$207,0),MATCH(R$8,'Actual-ACPLSZ'!$H$6:$T$6,0))</f>
        <v>0</v>
      </c>
      <c r="S107" s="749">
        <f>INDEX('Budget-ACPLSZ'!$K$7:$W$207,MATCH($B107,'Budget-ACPLSZ'!$B$7:$B$207,0),MATCH(S$8,'Budget-ACPLSZ'!$K$6:$W$6,0))</f>
        <v>24550</v>
      </c>
      <c r="T107" s="749">
        <f>(R107-S107)*-1</f>
        <v>24550</v>
      </c>
      <c r="U107" s="748"/>
      <c r="W107" s="749">
        <f>INDEX('Actual-ACPLGZ'!$H$7:$T$207,MATCH($B107,'Actual-ACPLGZ'!$B$7:$B$207,0),MATCH(W$8,'Actual-ACPLGZ'!$H$6:$T$6,0))</f>
        <v>0</v>
      </c>
      <c r="X107" s="749">
        <f>INDEX('Budget-ACPLGZ'!$K$7:$W$207,MATCH($B107,'Budget-ACPLGZ'!$B$7:$B$207,0),MATCH(X$8,'Budget-ACPLGZ'!$K$6:$W$6,0))</f>
        <v>0</v>
      </c>
      <c r="Y107" s="749">
        <f t="shared" si="71"/>
        <v>0</v>
      </c>
      <c r="Z107" s="748"/>
      <c r="AB107" s="749">
        <f>INDEX('Actual-ACPLGZ'!$H$7:$T$207,MATCH($B107,'Actual-ACPLGZ'!$B$7:$B$207,0),MATCH(AB$8,'Actual-ACPLGZ'!$H$6:$T$6,0))</f>
        <v>0</v>
      </c>
      <c r="AC107" s="749">
        <f>INDEX('Budget-Yixing'!$K$7:$W$207,MATCH($B107,'Budget-Yixing'!$B$7:$B$207,0),MATCH(AC$8,'Budget-Yixing'!$K$6:$W$6,0))</f>
        <v>0</v>
      </c>
      <c r="AD107" s="749">
        <f>(AB107-AC107)*-1</f>
        <v>0</v>
      </c>
      <c r="AE107" s="748"/>
      <c r="AG107" s="751">
        <f>SUM(INDEX('Actual-ACPL'!$H$7:$T$207,MATCH($B107,'Actual-ACPL'!$B$7:$B$207,0),MATCH('Actual-ACPL'!H$6,'Actual-ACPL'!$H$6:$T$6,0)):INDEX('Actual-ACPL'!$H$7:$T$207,MATCH($B107,'Actual-ACPL'!$B$7:$B$207,0),MATCH(AG$8,'Actual-ACPL'!$H$6:$T$6,0)))</f>
        <v>0</v>
      </c>
      <c r="AH107" s="749">
        <f ca="1">SUM(INDEX('Budget-ACPL'!$K$7:$W$207,MATCH($B107,'Budget-ACPL'!$B$7:$B$207,0),MATCH('Budget-ACPL'!K$6,'Budget-ACPL'!$K$6:$W$6,0)):INDEX('Budget-ACPL'!$K$7:$W$207,MATCH($B107,'Budget-ACPL'!$B$7:$B$207,0),MATCH(AH$8,'Budget-ACPL'!$K$6:$W$6,0)))</f>
        <v>7965.4105</v>
      </c>
      <c r="AI107" s="749">
        <f t="shared" ca="1" si="74"/>
        <v>-7965.4105</v>
      </c>
      <c r="AJ107" s="748"/>
      <c r="AL107" s="749">
        <f>SUM(INDEX('Actual-ACPLHK'!$H$7:$S$207,MATCH($B107,'Actual-ACPLHK'!$B$7:$B$207,0),MATCH('Actual-ACPLHK'!H$6,'Actual-ACPLHK'!$H$6:$T$6,0)):INDEX('Actual-ACPLHK'!$H$7:$S$207,MATCH($B107,'Actual-ACPLHK'!$B$7:$B$207,0),MATCH(AL$8,'Actual-ACPLHK'!$H$6:$T$6,0)))</f>
        <v>0</v>
      </c>
      <c r="AM107" s="749">
        <f ca="1">SUM(INDEX('Budget-ACPLHK'!$K$7:$W$207,MATCH($B107,'Budget-ACPLHK'!$B$7:$B$207,0),MATCH('Budget-ACPLHK'!K$6,'Budget-ACPLHK'!$K$6:$W$6,0)):INDEX('Budget-ACPLHK'!$K$7:$W$207,MATCH($B107,'Budget-ACPLHK'!$B$7:$B$207,0),MATCH(AM$8,'Budget-ACPLHK'!$K$6:$W$6,0)))</f>
        <v>1868.9789999999998</v>
      </c>
      <c r="AN107" s="749">
        <f ca="1">AL107-AM107</f>
        <v>-1868.9789999999998</v>
      </c>
      <c r="AO107" s="748"/>
      <c r="AQ107" s="749">
        <f>SUM(INDEX('Actual-ACPSZL'!$H$7:$T$207,MATCH($B107,'Actual-ACPSZL'!$B$7:$B$207,0),MATCH('Actual-ACPSZL'!H$6,'Actual-ACPSZL'!$H$6:$T$6,0)):INDEX('Actual-ACPSZL'!$H$7:$T$207,MATCH($B107,'Actual-ACPSZL'!$B$7:$B$207,0),MATCH(AQ$8,'Actual-ACPSZL'!$H$6:$T$6,0)))</f>
        <v>0</v>
      </c>
      <c r="AR107" s="749">
        <f>SUM(INDEX('Budget-ACPSZL'!$K$7:$W$207,MATCH($B107,'Budget-ACPSZL'!$B$7:$B$207,0),MATCH('Budget-ACPSZL'!K$6,'Budget-ACPSZL'!$K$6:$W$6,0)):INDEX('Budget-ACPSZL'!$K$7:$W$207,MATCH($B107,'Budget-ACPSZL'!$B$7:$B$207,0),MATCH(AR$8,'Budget-ACPSZL'!$K$6:$W$6,0)))</f>
        <v>5600</v>
      </c>
      <c r="AS107" s="749">
        <f t="shared" ref="AS107:AS138" si="77">AQ107-AR107</f>
        <v>-5600</v>
      </c>
      <c r="AT107" s="748"/>
      <c r="AV107" s="749">
        <f>SUM(INDEX('Actual-ACPLSZ'!$H$7:$T$207,MATCH($B107,'Actual-ACPLSZ'!$B$7:$B$207,0),MATCH('Actual-ACPLSZ'!H$6,'Actual-ACPLSZ'!$H$6:$T$6,0)):INDEX('Actual-ACPLSZ'!$H$7:$T$207,MATCH($B107,'Actual-ACPLSZ'!$B$7:$B$207,0),MATCH(AV$8,'Actual-ACPLSZ'!$H$6:$T$6,0)))</f>
        <v>0</v>
      </c>
      <c r="AW107" s="749">
        <f>SUM(INDEX('Budget-ACPLSZ'!$K$7:$W$207,MATCH($B107,'Budget-ACPLSZ'!$B$7:$B$207,0),MATCH('Budget-ACPLSZ'!K$6,'Budget-ACPLSZ'!$K$6:$W$6,0)):INDEX('Budget-ACPLSZ'!$K$7:$W$207,MATCH($B107,'Budget-ACPLSZ'!$B$7:$B$207,0),MATCH(AW$8,'Budget-ACPLSZ'!$K$6:$W$6,0)))</f>
        <v>24550</v>
      </c>
      <c r="AX107" s="749">
        <f t="shared" si="72"/>
        <v>-24550</v>
      </c>
      <c r="AY107" s="748"/>
      <c r="BA107" s="749">
        <f>SUM(INDEX('Actual-ACPLGZ'!$H$7:$T$207,MATCH($B107,'Actual-ACPLGZ'!$B$7:$B$207,0),MATCH('Actual-ACPLGZ'!H$6,'Actual-ACPLGZ'!$H$6:$T$6,0)):INDEX('Actual-ACPLGZ'!$H$7:$T$207,MATCH($B107,'Actual-ACPLGZ'!$B$7:$B$207,0),MATCH(BA$8,'Actual-ACPLGZ'!$H$6:$T$6,0)))</f>
        <v>0</v>
      </c>
      <c r="BB107" s="749">
        <f>SUM(INDEX('Budget-ACPLGZ'!$K$7:$W$207,MATCH($B107,'Budget-ACPLGZ'!$B$7:$B$207,0),MATCH('Budget-ACPLGZ'!K$6,'Budget-ACPLGZ'!$K$6:$W$6,0)):INDEX('Budget-ACPLGZ'!$K$7:$W$207,MATCH($B107,'Budget-ACPLGZ'!$B$7:$B$207,0),MATCH(BB$8,'Budget-ACPLGZ'!$K$6:$W$6,0)))</f>
        <v>0</v>
      </c>
      <c r="BC107" s="749">
        <f>BA107-BB107</f>
        <v>0</v>
      </c>
      <c r="BD107" s="748"/>
      <c r="BF107" s="749">
        <f>SUM(INDEX('Actual-ACPLYixing'!$H$7:$T$207,MATCH($B107,'Actual-ACPLYixing'!$B$7:$B$207,0),MATCH('Actual-ACPLYixing'!H$6,'Actual-ACPLYixing'!$H$6:$T$6,0)):INDEX('Actual-ACPLYixing'!$H$7:$T$207,MATCH($B107,'Actual-ACPLYixing'!$B$7:$B$207,0),MATCH(BF$8,'Actual-ACPLYixing'!$H$6:$T$6,0)))</f>
        <v>0</v>
      </c>
      <c r="BG107" s="749">
        <f>SUM(INDEX('Budget-Yixing'!$K$7:$W$207,MATCH($B107,'Budget-Yixing'!$B$7:$B$207,0),MATCH('Budget-Yixing'!K$6,'Budget-Yixing'!$K$6:$W$6,0)):INDEX('Budget-Yixing'!$K$7:$W$207,MATCH($B107,'Budget-Yixing'!$B$7:$B$207,0),MATCH(BG$8,'Budget-Yixing'!$K$6:$W$6,0)))</f>
        <v>0</v>
      </c>
      <c r="BH107" s="749">
        <f>BF107-BG107</f>
        <v>0</v>
      </c>
      <c r="BI107" s="748"/>
    </row>
    <row r="108" spans="1:61" ht="16.5" customHeight="1">
      <c r="A108" s="653">
        <f>'Budget-合并'!A106</f>
        <v>0</v>
      </c>
      <c r="B108" s="653" t="str">
        <f>'Budget-合并'!B106</f>
        <v xml:space="preserve">    公司主体06</v>
      </c>
      <c r="C108" s="746">
        <f>INDEX('Actual-ACPL'!$H$7:$T$207,MATCH($B108,'Actual-ACPL'!$B$7:$B$207,0),MATCH(C$8,'Actual-ACPL'!$H$6:$T$6,0))</f>
        <v>0</v>
      </c>
      <c r="D108" s="746">
        <f ca="1">INDEX('Budget-ACPL'!$K$7:$W$207,MATCH($B108,'Budget-ACPL'!$B$7:$B$207,0),MATCH(D$8,'Budget-ACPL'!$K$6:$W$6,0))</f>
        <v>1035.503365</v>
      </c>
      <c r="E108" s="746">
        <f t="shared" ca="1" si="75"/>
        <v>-1035.503365</v>
      </c>
      <c r="F108" s="752"/>
      <c r="H108" s="749">
        <f>INDEX('Actual-ACPLHK'!$H$7:$T$207,MATCH($B108,'Actual-ACPLHK'!$B$7:$B$207,0),MATCH(H$8,'Actual-ACPLHK'!$H$6:$T$6,0))</f>
        <v>0</v>
      </c>
      <c r="I108" s="749">
        <f ca="1">INDEX('Budget-ACPLHK'!$K$7:$W$207,MATCH($B108,'Budget-ACPLHK'!$B$7:$B$207,0),MATCH(I$8,'Budget-ACPLHK'!$K$6:$W$6,0))</f>
        <v>990.55886999999996</v>
      </c>
      <c r="J108" s="749">
        <f t="shared" ca="1" si="76"/>
        <v>-990.55886999999996</v>
      </c>
      <c r="K108" s="748"/>
      <c r="M108" s="749">
        <f>INDEX('Actual-ACPSZL'!$H$7:$T$207,MATCH($B108,'Actual-ACPSZL'!$B$7:$B$207,0),MATCH(M$8,'Actual-ACPSZL'!$H$6:$T$6,0))</f>
        <v>0</v>
      </c>
      <c r="N108" s="749">
        <f>INDEX('Budget-ACPSZL'!$K$7:$W$207,MATCH($B108,'Budget-ACPSZL'!$B$7:$B$207,0),MATCH(N$8,'Budget-ACPSZL'!$K$6:$W$6,0))</f>
        <v>504</v>
      </c>
      <c r="O108" s="749">
        <f t="shared" ref="O108:O139" si="78">M108-N108</f>
        <v>-504</v>
      </c>
      <c r="P108" s="748"/>
      <c r="R108" s="749">
        <f>INDEX('Actual-ACPLSZ'!$H$7:$T$207,MATCH($B108,'Actual-ACPLSZ'!$B$7:$B$207,0),MATCH(R$8,'Actual-ACPLSZ'!$H$6:$T$6,0))</f>
        <v>0</v>
      </c>
      <c r="S108" s="749">
        <f>INDEX('Budget-ACPLSZ'!$K$7:$W$207,MATCH($B108,'Budget-ACPLSZ'!$B$7:$B$207,0),MATCH(S$8,'Budget-ACPLSZ'!$K$6:$W$6,0))</f>
        <v>1227.5</v>
      </c>
      <c r="T108" s="749">
        <f>(R108-S108)*-1</f>
        <v>1227.5</v>
      </c>
      <c r="U108" s="748"/>
      <c r="W108" s="749">
        <f>INDEX('Actual-ACPLGZ'!$H$7:$T$207,MATCH($B108,'Actual-ACPLGZ'!$B$7:$B$207,0),MATCH(W$8,'Actual-ACPLGZ'!$H$6:$T$6,0))</f>
        <v>0</v>
      </c>
      <c r="X108" s="749">
        <f>INDEX('Budget-ACPLGZ'!$K$7:$W$207,MATCH($B108,'Budget-ACPLGZ'!$B$7:$B$207,0),MATCH(X$8,'Budget-ACPLGZ'!$K$6:$W$6,0))</f>
        <v>0</v>
      </c>
      <c r="Y108" s="749">
        <f t="shared" ref="Y108:Y139" si="79">W108-X108</f>
        <v>0</v>
      </c>
      <c r="Z108" s="748"/>
      <c r="AB108" s="749">
        <f>INDEX('Actual-ACPLGZ'!$H$7:$T$207,MATCH($B108,'Actual-ACPLGZ'!$B$7:$B$207,0),MATCH(AB$8,'Actual-ACPLGZ'!$H$6:$T$6,0))</f>
        <v>0</v>
      </c>
      <c r="AC108" s="749">
        <f>INDEX('Budget-Yixing'!$K$7:$W$207,MATCH($B108,'Budget-Yixing'!$B$7:$B$207,0),MATCH(AC$8,'Budget-Yixing'!$K$6:$W$6,0))</f>
        <v>0</v>
      </c>
      <c r="AD108" s="749">
        <f>(AB108-AC108)*-1</f>
        <v>0</v>
      </c>
      <c r="AE108" s="748"/>
      <c r="AG108" s="751">
        <f>SUM(INDEX('Actual-ACPL'!$H$7:$T$207,MATCH($B108,'Actual-ACPL'!$B$7:$B$207,0),MATCH('Actual-ACPL'!H$6,'Actual-ACPL'!$H$6:$T$6,0)):INDEX('Actual-ACPL'!$H$7:$T$207,MATCH($B108,'Actual-ACPL'!$B$7:$B$207,0),MATCH(AG$8,'Actual-ACPL'!$H$6:$T$6,0)))</f>
        <v>0</v>
      </c>
      <c r="AH108" s="749">
        <f ca="1">SUM(INDEX('Budget-ACPL'!$K$7:$W$207,MATCH($B108,'Budget-ACPL'!$B$7:$B$207,0),MATCH('Budget-ACPL'!K$6,'Budget-ACPL'!$K$6:$W$6,0)):INDEX('Budget-ACPL'!$K$7:$W$207,MATCH($B108,'Budget-ACPL'!$B$7:$B$207,0),MATCH(AH$8,'Budget-ACPL'!$K$6:$W$6,0)))</f>
        <v>1035.503365</v>
      </c>
      <c r="AI108" s="749">
        <f t="shared" ca="1" si="74"/>
        <v>-1035.503365</v>
      </c>
      <c r="AJ108" s="748"/>
      <c r="AL108" s="749">
        <f>SUM(INDEX('Actual-ACPLHK'!$H$7:$S$207,MATCH($B108,'Actual-ACPLHK'!$B$7:$B$207,0),MATCH('Actual-ACPLHK'!H$6,'Actual-ACPLHK'!$H$6:$T$6,0)):INDEX('Actual-ACPLHK'!$H$7:$S$207,MATCH($B108,'Actual-ACPLHK'!$B$7:$B$207,0),MATCH(AL$8,'Actual-ACPLHK'!$H$6:$T$6,0)))</f>
        <v>0</v>
      </c>
      <c r="AM108" s="749">
        <f ca="1">SUM(INDEX('Budget-ACPLHK'!$K$7:$W$207,MATCH($B108,'Budget-ACPLHK'!$B$7:$B$207,0),MATCH('Budget-ACPLHK'!K$6,'Budget-ACPLHK'!$K$6:$W$6,0)):INDEX('Budget-ACPLHK'!$K$7:$W$207,MATCH($B108,'Budget-ACPLHK'!$B$7:$B$207,0),MATCH(AM$8,'Budget-ACPLHK'!$K$6:$W$6,0)))</f>
        <v>990.55886999999996</v>
      </c>
      <c r="AN108" s="749">
        <f ca="1">AL108-AM108</f>
        <v>-990.55886999999996</v>
      </c>
      <c r="AO108" s="748"/>
      <c r="AQ108" s="749">
        <f>SUM(INDEX('Actual-ACPSZL'!$H$7:$T$207,MATCH($B108,'Actual-ACPSZL'!$B$7:$B$207,0),MATCH('Actual-ACPSZL'!H$6,'Actual-ACPSZL'!$H$6:$T$6,0)):INDEX('Actual-ACPSZL'!$H$7:$T$207,MATCH($B108,'Actual-ACPSZL'!$B$7:$B$207,0),MATCH(AQ$8,'Actual-ACPSZL'!$H$6:$T$6,0)))</f>
        <v>0</v>
      </c>
      <c r="AR108" s="749">
        <f>SUM(INDEX('Budget-ACPSZL'!$K$7:$W$207,MATCH($B108,'Budget-ACPSZL'!$B$7:$B$207,0),MATCH('Budget-ACPSZL'!K$6,'Budget-ACPSZL'!$K$6:$W$6,0)):INDEX('Budget-ACPSZL'!$K$7:$W$207,MATCH($B108,'Budget-ACPSZL'!$B$7:$B$207,0),MATCH(AR$8,'Budget-ACPSZL'!$K$6:$W$6,0)))</f>
        <v>504</v>
      </c>
      <c r="AS108" s="749">
        <f t="shared" si="77"/>
        <v>-504</v>
      </c>
      <c r="AT108" s="748"/>
      <c r="AV108" s="749">
        <f>SUM(INDEX('Actual-ACPLSZ'!$H$7:$T$207,MATCH($B108,'Actual-ACPLSZ'!$B$7:$B$207,0),MATCH('Actual-ACPLSZ'!H$6,'Actual-ACPLSZ'!$H$6:$T$6,0)):INDEX('Actual-ACPLSZ'!$H$7:$T$207,MATCH($B108,'Actual-ACPLSZ'!$B$7:$B$207,0),MATCH(AV$8,'Actual-ACPLSZ'!$H$6:$T$6,0)))</f>
        <v>0</v>
      </c>
      <c r="AW108" s="749">
        <f>SUM(INDEX('Budget-ACPLSZ'!$K$7:$W$207,MATCH($B108,'Budget-ACPLSZ'!$B$7:$B$207,0),MATCH('Budget-ACPLSZ'!K$6,'Budget-ACPLSZ'!$K$6:$W$6,0)):INDEX('Budget-ACPLSZ'!$K$7:$W$207,MATCH($B108,'Budget-ACPLSZ'!$B$7:$B$207,0),MATCH(AW$8,'Budget-ACPLSZ'!$K$6:$W$6,0)))</f>
        <v>1227.5</v>
      </c>
      <c r="AX108" s="749">
        <f t="shared" ref="AX108:AX139" si="80">AV108-AW108</f>
        <v>-1227.5</v>
      </c>
      <c r="AY108" s="748"/>
      <c r="BA108" s="749">
        <f>SUM(INDEX('Actual-ACPLGZ'!$H$7:$T$207,MATCH($B108,'Actual-ACPLGZ'!$B$7:$B$207,0),MATCH('Actual-ACPLGZ'!H$6,'Actual-ACPLGZ'!$H$6:$T$6,0)):INDEX('Actual-ACPLGZ'!$H$7:$T$207,MATCH($B108,'Actual-ACPLGZ'!$B$7:$B$207,0),MATCH(BA$8,'Actual-ACPLGZ'!$H$6:$T$6,0)))</f>
        <v>0</v>
      </c>
      <c r="BB108" s="749">
        <f>SUM(INDEX('Budget-ACPLGZ'!$K$7:$W$207,MATCH($B108,'Budget-ACPLGZ'!$B$7:$B$207,0),MATCH('Budget-ACPLGZ'!K$6,'Budget-ACPLGZ'!$K$6:$W$6,0)):INDEX('Budget-ACPLGZ'!$K$7:$W$207,MATCH($B108,'Budget-ACPLGZ'!$B$7:$B$207,0),MATCH(BB$8,'Budget-ACPLGZ'!$K$6:$W$6,0)))</f>
        <v>0</v>
      </c>
      <c r="BC108" s="749">
        <f>BA108-BB108</f>
        <v>0</v>
      </c>
      <c r="BD108" s="748"/>
      <c r="BF108" s="749">
        <f>SUM(INDEX('Actual-ACPLYixing'!$H$7:$T$207,MATCH($B108,'Actual-ACPLYixing'!$B$7:$B$207,0),MATCH('Actual-ACPLYixing'!H$6,'Actual-ACPLYixing'!$H$6:$T$6,0)):INDEX('Actual-ACPLYixing'!$H$7:$T$207,MATCH($B108,'Actual-ACPLYixing'!$B$7:$B$207,0),MATCH(BF$8,'Actual-ACPLYixing'!$H$6:$T$6,0)))</f>
        <v>0</v>
      </c>
      <c r="BG108" s="749">
        <f>SUM(INDEX('Budget-Yixing'!$K$7:$W$207,MATCH($B108,'Budget-Yixing'!$B$7:$B$207,0),MATCH('Budget-Yixing'!K$6,'Budget-Yixing'!$K$6:$W$6,0)):INDEX('Budget-Yixing'!$K$7:$W$207,MATCH($B108,'Budget-Yixing'!$B$7:$B$207,0),MATCH(BG$8,'Budget-Yixing'!$K$6:$W$6,0)))</f>
        <v>0</v>
      </c>
      <c r="BH108" s="749">
        <f>BF108-BG108</f>
        <v>0</v>
      </c>
      <c r="BI108" s="748"/>
    </row>
    <row r="109" spans="1:61" ht="16.5" customHeight="1">
      <c r="A109" s="653">
        <f>'Budget-合并'!A107</f>
        <v>0</v>
      </c>
      <c r="B109" s="653" t="str">
        <f>'Budget-合并'!B107</f>
        <v xml:space="preserve">    旭智富能06</v>
      </c>
      <c r="C109" s="746">
        <f>INDEX('Actual-ACPL'!$H$7:$T$207,MATCH($B109,'Actual-ACPL'!$B$7:$B$207,0),MATCH(C$8,'Actual-ACPL'!$H$6:$T$6,0))</f>
        <v>0</v>
      </c>
      <c r="D109" s="746">
        <f ca="1">INDEX('Budget-ACPL'!$K$7:$W$207,MATCH($B109,'Budget-ACPL'!$B$7:$B$207,0),MATCH(D$8,'Budget-ACPL'!$K$6:$W$6,0))</f>
        <v>6929.9071350000004</v>
      </c>
      <c r="E109" s="746">
        <f t="shared" ca="1" si="75"/>
        <v>-6929.9071350000004</v>
      </c>
      <c r="F109" s="752"/>
      <c r="H109" s="749">
        <f>INDEX('Actual-ACPLHK'!$H$7:$T$207,MATCH($B109,'Actual-ACPLHK'!$B$7:$B$207,0),MATCH(H$8,'Actual-ACPLHK'!$H$6:$T$6,0))</f>
        <v>0</v>
      </c>
      <c r="I109" s="749">
        <f ca="1">INDEX('Budget-ACPLHK'!$K$7:$W$207,MATCH($B109,'Budget-ACPLHK'!$B$7:$B$207,0),MATCH(I$8,'Budget-ACPLHK'!$K$6:$W$6,0))</f>
        <v>878.42012999999986</v>
      </c>
      <c r="J109" s="749">
        <f t="shared" ca="1" si="76"/>
        <v>-878.42012999999986</v>
      </c>
      <c r="K109" s="748"/>
      <c r="M109" s="749">
        <f>INDEX('Actual-ACPSZL'!$H$7:$T$207,MATCH($B109,'Actual-ACPSZL'!$B$7:$B$207,0),MATCH(M$8,'Actual-ACPSZL'!$H$6:$T$6,0))</f>
        <v>0</v>
      </c>
      <c r="N109" s="749">
        <f>INDEX('Budget-ACPSZL'!$K$7:$W$207,MATCH($B109,'Budget-ACPSZL'!$B$7:$B$207,0),MATCH(N$8,'Budget-ACPSZL'!$K$6:$W$6,0))</f>
        <v>5096</v>
      </c>
      <c r="O109" s="749">
        <f t="shared" si="78"/>
        <v>-5096</v>
      </c>
      <c r="P109" s="748"/>
      <c r="R109" s="749">
        <f>INDEX('Actual-ACPLSZ'!$H$7:$T$207,MATCH($B109,'Actual-ACPLSZ'!$B$7:$B$207,0),MATCH(R$8,'Actual-ACPLSZ'!$H$6:$T$6,0))</f>
        <v>0</v>
      </c>
      <c r="S109" s="749">
        <f>INDEX('Budget-ACPLSZ'!$K$7:$W$207,MATCH($B109,'Budget-ACPLSZ'!$B$7:$B$207,0),MATCH(S$8,'Budget-ACPLSZ'!$K$6:$W$6,0))</f>
        <v>23322.5</v>
      </c>
      <c r="T109" s="749">
        <f>(R109-S109)*-1</f>
        <v>23322.5</v>
      </c>
      <c r="U109" s="748"/>
      <c r="W109" s="749">
        <f>INDEX('Actual-ACPLGZ'!$H$7:$T$207,MATCH($B109,'Actual-ACPLGZ'!$B$7:$B$207,0),MATCH(W$8,'Actual-ACPLGZ'!$H$6:$T$6,0))</f>
        <v>0</v>
      </c>
      <c r="X109" s="749">
        <f>INDEX('Budget-ACPLGZ'!$K$7:$W$207,MATCH($B109,'Budget-ACPLGZ'!$B$7:$B$207,0),MATCH(X$8,'Budget-ACPLGZ'!$K$6:$W$6,0))</f>
        <v>0</v>
      </c>
      <c r="Y109" s="749">
        <f t="shared" si="79"/>
        <v>0</v>
      </c>
      <c r="Z109" s="748"/>
      <c r="AB109" s="749">
        <f>INDEX('Actual-ACPLGZ'!$H$7:$T$207,MATCH($B109,'Actual-ACPLGZ'!$B$7:$B$207,0),MATCH(AB$8,'Actual-ACPLGZ'!$H$6:$T$6,0))</f>
        <v>0</v>
      </c>
      <c r="AC109" s="749">
        <f>INDEX('Budget-Yixing'!$K$7:$W$207,MATCH($B109,'Budget-Yixing'!$B$7:$B$207,0),MATCH(AC$8,'Budget-Yixing'!$K$6:$W$6,0))</f>
        <v>0</v>
      </c>
      <c r="AD109" s="749">
        <f>(AB109-AC109)*-1</f>
        <v>0</v>
      </c>
      <c r="AE109" s="748"/>
      <c r="AG109" s="751">
        <f>SUM(INDEX('Actual-ACPL'!$H$7:$T$207,MATCH($B109,'Actual-ACPL'!$B$7:$B$207,0),MATCH('Actual-ACPL'!H$6,'Actual-ACPL'!$H$6:$T$6,0)):INDEX('Actual-ACPL'!$H$7:$T$207,MATCH($B109,'Actual-ACPL'!$B$7:$B$207,0),MATCH(AG$8,'Actual-ACPL'!$H$6:$T$6,0)))</f>
        <v>0</v>
      </c>
      <c r="AH109" s="749">
        <f ca="1">SUM(INDEX('Budget-ACPL'!$K$7:$W$207,MATCH($B109,'Budget-ACPL'!$B$7:$B$207,0),MATCH('Budget-ACPL'!K$6,'Budget-ACPL'!$K$6:$W$6,0)):INDEX('Budget-ACPL'!$K$7:$W$207,MATCH($B109,'Budget-ACPL'!$B$7:$B$207,0),MATCH(AH$8,'Budget-ACPL'!$K$6:$W$6,0)))</f>
        <v>6929.9071350000004</v>
      </c>
      <c r="AI109" s="749">
        <f t="shared" ca="1" si="74"/>
        <v>-6929.9071350000004</v>
      </c>
      <c r="AJ109" s="748"/>
      <c r="AL109" s="749">
        <f>SUM(INDEX('Actual-ACPLHK'!$H$7:$S$207,MATCH($B109,'Actual-ACPLHK'!$B$7:$B$207,0),MATCH('Actual-ACPLHK'!H$6,'Actual-ACPLHK'!$H$6:$T$6,0)):INDEX('Actual-ACPLHK'!$H$7:$S$207,MATCH($B109,'Actual-ACPLHK'!$B$7:$B$207,0),MATCH(AL$8,'Actual-ACPLHK'!$H$6:$T$6,0)))</f>
        <v>0</v>
      </c>
      <c r="AM109" s="749">
        <f ca="1">SUM(INDEX('Budget-ACPLHK'!$K$7:$W$207,MATCH($B109,'Budget-ACPLHK'!$B$7:$B$207,0),MATCH('Budget-ACPLHK'!K$6,'Budget-ACPLHK'!$K$6:$W$6,0)):INDEX('Budget-ACPLHK'!$K$7:$W$207,MATCH($B109,'Budget-ACPLHK'!$B$7:$B$207,0),MATCH(AM$8,'Budget-ACPLHK'!$K$6:$W$6,0)))</f>
        <v>878.42012999999986</v>
      </c>
      <c r="AN109" s="749">
        <f ca="1">AL109-AM109</f>
        <v>-878.42012999999986</v>
      </c>
      <c r="AO109" s="748"/>
      <c r="AQ109" s="749">
        <f>SUM(INDEX('Actual-ACPSZL'!$H$7:$T$207,MATCH($B109,'Actual-ACPSZL'!$B$7:$B$207,0),MATCH('Actual-ACPSZL'!H$6,'Actual-ACPSZL'!$H$6:$T$6,0)):INDEX('Actual-ACPSZL'!$H$7:$T$207,MATCH($B109,'Actual-ACPSZL'!$B$7:$B$207,0),MATCH(AQ$8,'Actual-ACPSZL'!$H$6:$T$6,0)))</f>
        <v>0</v>
      </c>
      <c r="AR109" s="749">
        <f>SUM(INDEX('Budget-ACPSZL'!$K$7:$W$207,MATCH($B109,'Budget-ACPSZL'!$B$7:$B$207,0),MATCH('Budget-ACPSZL'!K$6,'Budget-ACPSZL'!$K$6:$W$6,0)):INDEX('Budget-ACPSZL'!$K$7:$W$207,MATCH($B109,'Budget-ACPSZL'!$B$7:$B$207,0),MATCH(AR$8,'Budget-ACPSZL'!$K$6:$W$6,0)))</f>
        <v>5096</v>
      </c>
      <c r="AS109" s="749">
        <f t="shared" si="77"/>
        <v>-5096</v>
      </c>
      <c r="AT109" s="748"/>
      <c r="AV109" s="749">
        <f>SUM(INDEX('Actual-ACPLSZ'!$H$7:$T$207,MATCH($B109,'Actual-ACPLSZ'!$B$7:$B$207,0),MATCH('Actual-ACPLSZ'!H$6,'Actual-ACPLSZ'!$H$6:$T$6,0)):INDEX('Actual-ACPLSZ'!$H$7:$T$207,MATCH($B109,'Actual-ACPLSZ'!$B$7:$B$207,0),MATCH(AV$8,'Actual-ACPLSZ'!$H$6:$T$6,0)))</f>
        <v>0</v>
      </c>
      <c r="AW109" s="749">
        <f>SUM(INDEX('Budget-ACPLSZ'!$K$7:$W$207,MATCH($B109,'Budget-ACPLSZ'!$B$7:$B$207,0),MATCH('Budget-ACPLSZ'!K$6,'Budget-ACPLSZ'!$K$6:$W$6,0)):INDEX('Budget-ACPLSZ'!$K$7:$W$207,MATCH($B109,'Budget-ACPLSZ'!$B$7:$B$207,0),MATCH(AW$8,'Budget-ACPLSZ'!$K$6:$W$6,0)))</f>
        <v>23322.5</v>
      </c>
      <c r="AX109" s="749">
        <f t="shared" si="80"/>
        <v>-23322.5</v>
      </c>
      <c r="AY109" s="748"/>
      <c r="BA109" s="749">
        <f>SUM(INDEX('Actual-ACPLGZ'!$H$7:$T$207,MATCH($B109,'Actual-ACPLGZ'!$B$7:$B$207,0),MATCH('Actual-ACPLGZ'!H$6,'Actual-ACPLGZ'!$H$6:$T$6,0)):INDEX('Actual-ACPLGZ'!$H$7:$T$207,MATCH($B109,'Actual-ACPLGZ'!$B$7:$B$207,0),MATCH(BA$8,'Actual-ACPLGZ'!$H$6:$T$6,0)))</f>
        <v>0</v>
      </c>
      <c r="BB109" s="749">
        <f>SUM(INDEX('Budget-ACPLGZ'!$K$7:$W$207,MATCH($B109,'Budget-ACPLGZ'!$B$7:$B$207,0),MATCH('Budget-ACPLGZ'!K$6,'Budget-ACPLGZ'!$K$6:$W$6,0)):INDEX('Budget-ACPLGZ'!$K$7:$W$207,MATCH($B109,'Budget-ACPLGZ'!$B$7:$B$207,0),MATCH(BB$8,'Budget-ACPLGZ'!$K$6:$W$6,0)))</f>
        <v>0</v>
      </c>
      <c r="BC109" s="749">
        <f>BA109-BB109</f>
        <v>0</v>
      </c>
      <c r="BD109" s="748"/>
      <c r="BF109" s="749">
        <f>SUM(INDEX('Actual-ACPLYixing'!$H$7:$T$207,MATCH($B109,'Actual-ACPLYixing'!$B$7:$B$207,0),MATCH('Actual-ACPLYixing'!H$6,'Actual-ACPLYixing'!$H$6:$T$6,0)):INDEX('Actual-ACPLYixing'!$H$7:$T$207,MATCH($B109,'Actual-ACPLYixing'!$B$7:$B$207,0),MATCH(BF$8,'Actual-ACPLYixing'!$H$6:$T$6,0)))</f>
        <v>0</v>
      </c>
      <c r="BG109" s="749">
        <f>SUM(INDEX('Budget-Yixing'!$K$7:$W$207,MATCH($B109,'Budget-Yixing'!$B$7:$B$207,0),MATCH('Budget-Yixing'!K$6,'Budget-Yixing'!$K$6:$W$6,0)):INDEX('Budget-Yixing'!$K$7:$W$207,MATCH($B109,'Budget-Yixing'!$B$7:$B$207,0),MATCH(BG$8,'Budget-Yixing'!$K$6:$W$6,0)))</f>
        <v>0</v>
      </c>
      <c r="BH109" s="749">
        <f>BF109-BG109</f>
        <v>0</v>
      </c>
      <c r="BI109" s="748"/>
    </row>
    <row r="110" spans="1:61" ht="16.5" customHeight="1">
      <c r="A110" s="653">
        <f>'Budget-合并'!A108</f>
        <v>0</v>
      </c>
      <c r="B110" s="653" t="str">
        <f>'Budget-合并'!B108</f>
        <v xml:space="preserve">    其他项目06</v>
      </c>
      <c r="C110" s="746">
        <f>INDEX('Actual-ACPL'!$H$7:$T$207,MATCH($B110,'Actual-ACPL'!$B$7:$B$207,0),MATCH(C$8,'Actual-ACPL'!$H$6:$T$6,0))</f>
        <v>0</v>
      </c>
      <c r="D110" s="746">
        <f>INDEX('Budget-ACPL'!$K$7:$W$207,MATCH($B110,'Budget-ACPL'!$B$7:$B$207,0),MATCH(D$8,'Budget-ACPL'!$K$6:$W$6,0))</f>
        <v>0</v>
      </c>
      <c r="E110" s="746">
        <f t="shared" si="75"/>
        <v>0</v>
      </c>
      <c r="F110" s="752"/>
      <c r="H110" s="749">
        <f>INDEX('Actual-ACPLHK'!$H$7:$T$207,MATCH($B110,'Actual-ACPLHK'!$B$7:$B$207,0),MATCH(H$8,'Actual-ACPLHK'!$H$6:$T$6,0))</f>
        <v>0</v>
      </c>
      <c r="I110" s="749">
        <f>INDEX('Budget-ACPLHK'!$K$7:$W$207,MATCH($B110,'Budget-ACPLHK'!$B$7:$B$207,0),MATCH(I$8,'Budget-ACPLHK'!$K$6:$W$6,0))</f>
        <v>0</v>
      </c>
      <c r="J110" s="749">
        <f t="shared" si="76"/>
        <v>0</v>
      </c>
      <c r="K110" s="748"/>
      <c r="M110" s="749">
        <f>INDEX('Actual-ACPSZL'!$H$7:$T$207,MATCH($B110,'Actual-ACPSZL'!$B$7:$B$207,0),MATCH(M$8,'Actual-ACPSZL'!$H$6:$T$6,0))</f>
        <v>0</v>
      </c>
      <c r="N110" s="749">
        <f>INDEX('Budget-ACPSZL'!$K$7:$W$207,MATCH($B110,'Budget-ACPSZL'!$B$7:$B$207,0),MATCH(N$8,'Budget-ACPSZL'!$K$6:$W$6,0))</f>
        <v>0</v>
      </c>
      <c r="O110" s="749">
        <f t="shared" si="78"/>
        <v>0</v>
      </c>
      <c r="P110" s="748"/>
      <c r="R110" s="749">
        <f>INDEX('Actual-ACPLSZ'!$H$7:$T$207,MATCH($B110,'Actual-ACPLSZ'!$B$7:$B$207,0),MATCH(R$8,'Actual-ACPLSZ'!$H$6:$T$6,0))</f>
        <v>0</v>
      </c>
      <c r="S110" s="749">
        <f>INDEX('Budget-ACPLSZ'!$K$7:$W$207,MATCH($B110,'Budget-ACPLSZ'!$B$7:$B$207,0),MATCH(S$8,'Budget-ACPLSZ'!$K$6:$W$6,0))</f>
        <v>0</v>
      </c>
      <c r="T110" s="749">
        <f>(R110-S110)*-1</f>
        <v>0</v>
      </c>
      <c r="U110" s="748"/>
      <c r="W110" s="749">
        <f>INDEX('Actual-ACPLGZ'!$H$7:$T$207,MATCH($B110,'Actual-ACPLGZ'!$B$7:$B$207,0),MATCH(W$8,'Actual-ACPLGZ'!$H$6:$T$6,0))</f>
        <v>0</v>
      </c>
      <c r="X110" s="749">
        <f>INDEX('Budget-ACPLGZ'!$K$7:$W$207,MATCH($B110,'Budget-ACPLGZ'!$B$7:$B$207,0),MATCH(X$8,'Budget-ACPLGZ'!$K$6:$W$6,0))</f>
        <v>0</v>
      </c>
      <c r="Y110" s="749">
        <f t="shared" si="79"/>
        <v>0</v>
      </c>
      <c r="Z110" s="748"/>
      <c r="AB110" s="749">
        <f>INDEX('Actual-ACPLGZ'!$H$7:$T$207,MATCH($B110,'Actual-ACPLGZ'!$B$7:$B$207,0),MATCH(AB$8,'Actual-ACPLGZ'!$H$6:$T$6,0))</f>
        <v>0</v>
      </c>
      <c r="AC110" s="749">
        <f>INDEX('Budget-Yixing'!$K$7:$W$207,MATCH($B110,'Budget-Yixing'!$B$7:$B$207,0),MATCH(AC$8,'Budget-Yixing'!$K$6:$W$6,0))</f>
        <v>0</v>
      </c>
      <c r="AD110" s="749">
        <f>(AB110-AC110)*-1</f>
        <v>0</v>
      </c>
      <c r="AE110" s="748"/>
      <c r="AG110" s="751">
        <f>SUM(INDEX('Actual-ACPL'!$H$7:$T$207,MATCH($B110,'Actual-ACPL'!$B$7:$B$207,0),MATCH('Actual-ACPL'!H$6,'Actual-ACPL'!$H$6:$T$6,0)):INDEX('Actual-ACPL'!$H$7:$T$207,MATCH($B110,'Actual-ACPL'!$B$7:$B$207,0),MATCH(AG$8,'Actual-ACPL'!$H$6:$T$6,0)))</f>
        <v>0</v>
      </c>
      <c r="AH110" s="749">
        <f>SUM(INDEX('Budget-ACPL'!$K$7:$W$207,MATCH($B110,'Budget-ACPL'!$B$7:$B$207,0),MATCH('Budget-ACPL'!K$6,'Budget-ACPL'!$K$6:$W$6,0)):INDEX('Budget-ACPL'!$K$7:$W$207,MATCH($B110,'Budget-ACPL'!$B$7:$B$207,0),MATCH(AH$8,'Budget-ACPL'!$K$6:$W$6,0)))</f>
        <v>0</v>
      </c>
      <c r="AI110" s="749">
        <f t="shared" si="74"/>
        <v>0</v>
      </c>
      <c r="AJ110" s="748"/>
      <c r="AL110" s="749">
        <f>SUM(INDEX('Actual-ACPLHK'!$H$7:$S$207,MATCH($B110,'Actual-ACPLHK'!$B$7:$B$207,0),MATCH('Actual-ACPLHK'!H$6,'Actual-ACPLHK'!$H$6:$T$6,0)):INDEX('Actual-ACPLHK'!$H$7:$S$207,MATCH($B110,'Actual-ACPLHK'!$B$7:$B$207,0),MATCH(AL$8,'Actual-ACPLHK'!$H$6:$T$6,0)))</f>
        <v>0</v>
      </c>
      <c r="AM110" s="749">
        <f>SUM(INDEX('Budget-ACPLHK'!$K$7:$W$207,MATCH($B110,'Budget-ACPLHK'!$B$7:$B$207,0),MATCH('Budget-ACPLHK'!K$6,'Budget-ACPLHK'!$K$6:$W$6,0)):INDEX('Budget-ACPLHK'!$K$7:$W$207,MATCH($B110,'Budget-ACPLHK'!$B$7:$B$207,0),MATCH(AM$8,'Budget-ACPLHK'!$K$6:$W$6,0)))</f>
        <v>0</v>
      </c>
      <c r="AN110" s="749">
        <f>AL110-AM110</f>
        <v>0</v>
      </c>
      <c r="AO110" s="748"/>
      <c r="AQ110" s="749">
        <f>SUM(INDEX('Actual-ACPSZL'!$H$7:$T$207,MATCH($B110,'Actual-ACPSZL'!$B$7:$B$207,0),MATCH('Actual-ACPSZL'!H$6,'Actual-ACPSZL'!$H$6:$T$6,0)):INDEX('Actual-ACPSZL'!$H$7:$T$207,MATCH($B110,'Actual-ACPSZL'!$B$7:$B$207,0),MATCH(AQ$8,'Actual-ACPSZL'!$H$6:$T$6,0)))</f>
        <v>0</v>
      </c>
      <c r="AR110" s="749">
        <f>SUM(INDEX('Budget-ACPSZL'!$K$7:$W$207,MATCH($B110,'Budget-ACPSZL'!$B$7:$B$207,0),MATCH('Budget-ACPSZL'!K$6,'Budget-ACPSZL'!$K$6:$W$6,0)):INDEX('Budget-ACPSZL'!$K$7:$W$207,MATCH($B110,'Budget-ACPSZL'!$B$7:$B$207,0),MATCH(AR$8,'Budget-ACPSZL'!$K$6:$W$6,0)))</f>
        <v>0</v>
      </c>
      <c r="AS110" s="749">
        <f t="shared" si="77"/>
        <v>0</v>
      </c>
      <c r="AT110" s="748"/>
      <c r="AV110" s="749">
        <f>SUM(INDEX('Actual-ACPLSZ'!$H$7:$T$207,MATCH($B110,'Actual-ACPLSZ'!$B$7:$B$207,0),MATCH('Actual-ACPLSZ'!H$6,'Actual-ACPLSZ'!$H$6:$T$6,0)):INDEX('Actual-ACPLSZ'!$H$7:$T$207,MATCH($B110,'Actual-ACPLSZ'!$B$7:$B$207,0),MATCH(AV$8,'Actual-ACPLSZ'!$H$6:$T$6,0)))</f>
        <v>0</v>
      </c>
      <c r="AW110" s="749">
        <f>SUM(INDEX('Budget-ACPLSZ'!$K$7:$W$207,MATCH($B110,'Budget-ACPLSZ'!$B$7:$B$207,0),MATCH('Budget-ACPLSZ'!K$6,'Budget-ACPLSZ'!$K$6:$W$6,0)):INDEX('Budget-ACPLSZ'!$K$7:$W$207,MATCH($B110,'Budget-ACPLSZ'!$B$7:$B$207,0),MATCH(AW$8,'Budget-ACPLSZ'!$K$6:$W$6,0)))</f>
        <v>0</v>
      </c>
      <c r="AX110" s="749">
        <f t="shared" si="80"/>
        <v>0</v>
      </c>
      <c r="AY110" s="748"/>
      <c r="BA110" s="749">
        <f>SUM(INDEX('Actual-ACPLGZ'!$H$7:$T$207,MATCH($B110,'Actual-ACPLGZ'!$B$7:$B$207,0),MATCH('Actual-ACPLGZ'!H$6,'Actual-ACPLGZ'!$H$6:$T$6,0)):INDEX('Actual-ACPLGZ'!$H$7:$T$207,MATCH($B110,'Actual-ACPLGZ'!$B$7:$B$207,0),MATCH(BA$8,'Actual-ACPLGZ'!$H$6:$T$6,0)))</f>
        <v>0</v>
      </c>
      <c r="BB110" s="749">
        <f>SUM(INDEX('Budget-ACPLGZ'!$K$7:$W$207,MATCH($B110,'Budget-ACPLGZ'!$B$7:$B$207,0),MATCH('Budget-ACPLGZ'!K$6,'Budget-ACPLGZ'!$K$6:$W$6,0)):INDEX('Budget-ACPLGZ'!$K$7:$W$207,MATCH($B110,'Budget-ACPLGZ'!$B$7:$B$207,0),MATCH(BB$8,'Budget-ACPLGZ'!$K$6:$W$6,0)))</f>
        <v>0</v>
      </c>
      <c r="BC110" s="749">
        <f>BA110-BB110</f>
        <v>0</v>
      </c>
      <c r="BD110" s="748"/>
      <c r="BF110" s="749">
        <f>SUM(INDEX('Actual-ACPLYixing'!$H$7:$T$207,MATCH($B110,'Actual-ACPLYixing'!$B$7:$B$207,0),MATCH('Actual-ACPLYixing'!H$6,'Actual-ACPLYixing'!$H$6:$T$6,0)):INDEX('Actual-ACPLYixing'!$H$7:$T$207,MATCH($B110,'Actual-ACPLYixing'!$B$7:$B$207,0),MATCH(BF$8,'Actual-ACPLYixing'!$H$6:$T$6,0)))</f>
        <v>0</v>
      </c>
      <c r="BG110" s="749">
        <f>SUM(INDEX('Budget-Yixing'!$K$7:$W$207,MATCH($B110,'Budget-Yixing'!$B$7:$B$207,0),MATCH('Budget-Yixing'!K$6,'Budget-Yixing'!$K$6:$W$6,0)):INDEX('Budget-Yixing'!$K$7:$W$207,MATCH($B110,'Budget-Yixing'!$B$7:$B$207,0),MATCH(BG$8,'Budget-Yixing'!$K$6:$W$6,0)))</f>
        <v>0</v>
      </c>
      <c r="BH110" s="749">
        <f>BF110-BG110</f>
        <v>0</v>
      </c>
      <c r="BI110" s="748"/>
    </row>
    <row r="111" spans="1:61" ht="16.5" customHeight="1">
      <c r="A111" s="653" t="str">
        <f>'Budget-合并'!A109</f>
        <v>6602.09.05</v>
      </c>
      <c r="B111" s="653" t="str">
        <f>'Budget-合并'!B109</f>
        <v>租车</v>
      </c>
      <c r="C111" s="746">
        <f>INDEX('Actual-ACPL'!$H$7:$T$207,MATCH($B111,'Actual-ACPL'!$B$7:$B$207,0),MATCH(C$8,'Actual-ACPL'!$H$6:$T$6,0))</f>
        <v>0</v>
      </c>
      <c r="D111" s="746">
        <f>INDEX('Budget-ACPL'!$K$7:$W$207,MATCH($B111,'Budget-ACPL'!$B$7:$B$207,0),MATCH(D$8,'Budget-ACPL'!$K$6:$W$6,0))</f>
        <v>0</v>
      </c>
      <c r="E111" s="746">
        <f t="shared" si="75"/>
        <v>0</v>
      </c>
      <c r="F111" s="752"/>
      <c r="H111" s="749">
        <f>INDEX('Actual-ACPLHK'!$H$7:$T$207,MATCH($B111,'Actual-ACPLHK'!$B$7:$B$207,0),MATCH(H$8,'Actual-ACPLHK'!$H$6:$T$6,0))</f>
        <v>0</v>
      </c>
      <c r="I111" s="749">
        <f>INDEX('Budget-ACPLHK'!$K$7:$W$207,MATCH($B111,'Budget-ACPLHK'!$B$7:$B$207,0),MATCH(I$8,'Budget-ACPLHK'!$K$6:$W$6,0))</f>
        <v>0</v>
      </c>
      <c r="J111" s="749">
        <f t="shared" si="76"/>
        <v>0</v>
      </c>
      <c r="K111" s="748"/>
      <c r="M111" s="749">
        <f>INDEX('Actual-ACPSZL'!$H$7:$T$207,MATCH($B111,'Actual-ACPSZL'!$B$7:$B$207,0),MATCH(M$8,'Actual-ACPSZL'!$H$6:$T$6,0))</f>
        <v>0</v>
      </c>
      <c r="N111" s="749">
        <f>INDEX('Budget-ACPSZL'!$K$7:$W$207,MATCH($B111,'Budget-ACPSZL'!$B$7:$B$207,0),MATCH(N$8,'Budget-ACPSZL'!$K$6:$W$6,0))</f>
        <v>0</v>
      </c>
      <c r="O111" s="749">
        <f t="shared" si="78"/>
        <v>0</v>
      </c>
      <c r="P111" s="748"/>
      <c r="R111" s="749">
        <f>INDEX('Actual-ACPLSZ'!$H$7:$T$207,MATCH($B111,'Actual-ACPLSZ'!$B$7:$B$207,0),MATCH(R$8,'Actual-ACPLSZ'!$H$6:$T$6,0))</f>
        <v>0</v>
      </c>
      <c r="S111" s="749">
        <f>INDEX('Budget-ACPLSZ'!$K$7:$W$207,MATCH($B111,'Budget-ACPLSZ'!$B$7:$B$207,0),MATCH(S$8,'Budget-ACPLSZ'!$K$6:$W$6,0))</f>
        <v>0</v>
      </c>
      <c r="T111" s="749"/>
      <c r="U111" s="748"/>
      <c r="W111" s="749">
        <f>INDEX('Actual-ACPLGZ'!$H$7:$T$207,MATCH($B111,'Actual-ACPLGZ'!$B$7:$B$207,0),MATCH(W$8,'Actual-ACPLGZ'!$H$6:$T$6,0))</f>
        <v>0</v>
      </c>
      <c r="X111" s="749">
        <f>INDEX('Budget-ACPLGZ'!$K$7:$W$207,MATCH($B111,'Budget-ACPLGZ'!$B$7:$B$207,0),MATCH(X$8,'Budget-ACPLGZ'!$K$6:$W$6,0))</f>
        <v>0</v>
      </c>
      <c r="Y111" s="749">
        <f t="shared" si="79"/>
        <v>0</v>
      </c>
      <c r="Z111" s="748"/>
      <c r="AB111" s="749">
        <f>INDEX('Actual-ACPLGZ'!$H$7:$T$207,MATCH($B111,'Actual-ACPLGZ'!$B$7:$B$207,0),MATCH(AB$8,'Actual-ACPLGZ'!$H$6:$T$6,0))</f>
        <v>0</v>
      </c>
      <c r="AC111" s="749">
        <f>INDEX('Budget-Yixing'!$K$7:$W$207,MATCH($B111,'Budget-Yixing'!$B$7:$B$207,0),MATCH(AC$8,'Budget-Yixing'!$K$6:$W$6,0))</f>
        <v>0</v>
      </c>
      <c r="AD111" s="749"/>
      <c r="AE111" s="748"/>
      <c r="AG111" s="751">
        <f>SUM(INDEX('Actual-ACPL'!$H$7:$T$207,MATCH($B111,'Actual-ACPL'!$B$7:$B$207,0),MATCH('Actual-ACPL'!H$6,'Actual-ACPL'!$H$6:$T$6,0)):INDEX('Actual-ACPL'!$H$7:$T$207,MATCH($B111,'Actual-ACPL'!$B$7:$B$207,0),MATCH(AG$8,'Actual-ACPL'!$H$6:$T$6,0)))</f>
        <v>0</v>
      </c>
      <c r="AH111" s="749">
        <f>SUM(INDEX('Budget-ACPL'!$K$7:$W$207,MATCH($B111,'Budget-ACPL'!$B$7:$B$207,0),MATCH('Budget-ACPL'!K$6,'Budget-ACPL'!$K$6:$W$6,0)):INDEX('Budget-ACPL'!$K$7:$W$207,MATCH($B111,'Budget-ACPL'!$B$7:$B$207,0),MATCH(AH$8,'Budget-ACPL'!$K$6:$W$6,0)))</f>
        <v>0</v>
      </c>
      <c r="AI111" s="749">
        <f t="shared" si="74"/>
        <v>0</v>
      </c>
      <c r="AJ111" s="748"/>
      <c r="AL111" s="749">
        <f>SUM(INDEX('Actual-ACPLHK'!$H$7:$S$207,MATCH($B111,'Actual-ACPLHK'!$B$7:$B$207,0),MATCH('Actual-ACPLHK'!H$6,'Actual-ACPLHK'!$H$6:$T$6,0)):INDEX('Actual-ACPLHK'!$H$7:$S$207,MATCH($B111,'Actual-ACPLHK'!$B$7:$B$207,0),MATCH(AL$8,'Actual-ACPLHK'!$H$6:$T$6,0)))</f>
        <v>0</v>
      </c>
      <c r="AM111" s="749">
        <f>SUM(INDEX('Budget-ACPLHK'!$K$7:$W$207,MATCH($B111,'Budget-ACPLHK'!$B$7:$B$207,0),MATCH('Budget-ACPLHK'!K$6,'Budget-ACPLHK'!$K$6:$W$6,0)):INDEX('Budget-ACPLHK'!$K$7:$W$207,MATCH($B111,'Budget-ACPLHK'!$B$7:$B$207,0),MATCH(AM$8,'Budget-ACPLHK'!$K$6:$W$6,0)))</f>
        <v>0</v>
      </c>
      <c r="AN111" s="749"/>
      <c r="AO111" s="748"/>
      <c r="AQ111" s="749">
        <f>SUM(INDEX('Actual-ACPSZL'!$H$7:$T$207,MATCH($B111,'Actual-ACPSZL'!$B$7:$B$207,0),MATCH('Actual-ACPSZL'!H$6,'Actual-ACPSZL'!$H$6:$T$6,0)):INDEX('Actual-ACPSZL'!$H$7:$T$207,MATCH($B111,'Actual-ACPSZL'!$B$7:$B$207,0),MATCH(AQ$8,'Actual-ACPSZL'!$H$6:$T$6,0)))</f>
        <v>0</v>
      </c>
      <c r="AR111" s="749">
        <f>SUM(INDEX('Budget-ACPSZL'!$K$7:$W$207,MATCH($B111,'Budget-ACPSZL'!$B$7:$B$207,0),MATCH('Budget-ACPSZL'!K$6,'Budget-ACPSZL'!$K$6:$W$6,0)):INDEX('Budget-ACPSZL'!$K$7:$W$207,MATCH($B111,'Budget-ACPSZL'!$B$7:$B$207,0),MATCH(AR$8,'Budget-ACPSZL'!$K$6:$W$6,0)))</f>
        <v>0</v>
      </c>
      <c r="AS111" s="749">
        <f t="shared" si="77"/>
        <v>0</v>
      </c>
      <c r="AT111" s="748"/>
      <c r="AV111" s="749">
        <f>SUM(INDEX('Actual-ACPLSZ'!$H$7:$T$207,MATCH($B111,'Actual-ACPLSZ'!$B$7:$B$207,0),MATCH('Actual-ACPLSZ'!H$6,'Actual-ACPLSZ'!$H$6:$T$6,0)):INDEX('Actual-ACPLSZ'!$H$7:$T$207,MATCH($B111,'Actual-ACPLSZ'!$B$7:$B$207,0),MATCH(AV$8,'Actual-ACPLSZ'!$H$6:$T$6,0)))</f>
        <v>0</v>
      </c>
      <c r="AW111" s="749">
        <f>SUM(INDEX('Budget-ACPLSZ'!$K$7:$W$207,MATCH($B111,'Budget-ACPLSZ'!$B$7:$B$207,0),MATCH('Budget-ACPLSZ'!K$6,'Budget-ACPLSZ'!$K$6:$W$6,0)):INDEX('Budget-ACPLSZ'!$K$7:$W$207,MATCH($B111,'Budget-ACPLSZ'!$B$7:$B$207,0),MATCH(AW$8,'Budget-ACPLSZ'!$K$6:$W$6,0)))</f>
        <v>0</v>
      </c>
      <c r="AX111" s="749">
        <f t="shared" si="80"/>
        <v>0</v>
      </c>
      <c r="AY111" s="748"/>
      <c r="BA111" s="749">
        <f>SUM(INDEX('Actual-ACPLGZ'!$H$7:$T$207,MATCH($B111,'Actual-ACPLGZ'!$B$7:$B$207,0),MATCH('Actual-ACPLGZ'!H$6,'Actual-ACPLGZ'!$H$6:$T$6,0)):INDEX('Actual-ACPLGZ'!$H$7:$T$207,MATCH($B111,'Actual-ACPLGZ'!$B$7:$B$207,0),MATCH(BA$8,'Actual-ACPLGZ'!$H$6:$T$6,0)))</f>
        <v>0</v>
      </c>
      <c r="BB111" s="749">
        <f>SUM(INDEX('Budget-ACPLGZ'!$K$7:$W$207,MATCH($B111,'Budget-ACPLGZ'!$B$7:$B$207,0),MATCH('Budget-ACPLGZ'!K$6,'Budget-ACPLGZ'!$K$6:$W$6,0)):INDEX('Budget-ACPLGZ'!$K$7:$W$207,MATCH($B111,'Budget-ACPLGZ'!$B$7:$B$207,0),MATCH(BB$8,'Budget-ACPLGZ'!$K$6:$W$6,0)))</f>
        <v>0</v>
      </c>
      <c r="BC111" s="749"/>
      <c r="BD111" s="748"/>
      <c r="BF111" s="749">
        <f>SUM(INDEX('Actual-ACPLYixing'!$H$7:$T$207,MATCH($B111,'Actual-ACPLYixing'!$B$7:$B$207,0),MATCH('Actual-ACPLYixing'!H$6,'Actual-ACPLYixing'!$H$6:$T$6,0)):INDEX('Actual-ACPLYixing'!$H$7:$T$207,MATCH($B111,'Actual-ACPLYixing'!$B$7:$B$207,0),MATCH(BF$8,'Actual-ACPLYixing'!$H$6:$T$6,0)))</f>
        <v>0</v>
      </c>
      <c r="BG111" s="749">
        <f>SUM(INDEX('Budget-Yixing'!$K$7:$W$207,MATCH($B111,'Budget-Yixing'!$B$7:$B$207,0),MATCH('Budget-Yixing'!K$6,'Budget-Yixing'!$K$6:$W$6,0)):INDEX('Budget-Yixing'!$K$7:$W$207,MATCH($B111,'Budget-Yixing'!$B$7:$B$207,0),MATCH(BG$8,'Budget-Yixing'!$K$6:$W$6,0)))</f>
        <v>0</v>
      </c>
      <c r="BH111" s="749"/>
      <c r="BI111" s="748"/>
    </row>
    <row r="112" spans="1:61" ht="16.5" customHeight="1">
      <c r="A112" s="653">
        <f>'Budget-合并'!A110</f>
        <v>0</v>
      </c>
      <c r="B112" s="653" t="str">
        <f>'Budget-合并'!B110</f>
        <v xml:space="preserve">    公司主体07</v>
      </c>
      <c r="C112" s="746">
        <f>INDEX('Actual-ACPL'!$H$7:$T$207,MATCH($B112,'Actual-ACPL'!$B$7:$B$207,0),MATCH(C$8,'Actual-ACPL'!$H$6:$T$6,0))</f>
        <v>0</v>
      </c>
      <c r="D112" s="746">
        <f>INDEX('Budget-ACPL'!$K$7:$W$207,MATCH($B112,'Budget-ACPL'!$B$7:$B$207,0),MATCH(D$8,'Budget-ACPL'!$K$6:$W$6,0))</f>
        <v>0</v>
      </c>
      <c r="E112" s="746">
        <f t="shared" si="75"/>
        <v>0</v>
      </c>
      <c r="F112" s="752"/>
      <c r="H112" s="749">
        <f>INDEX('Actual-ACPLHK'!$H$7:$T$207,MATCH($B112,'Actual-ACPLHK'!$B$7:$B$207,0),MATCH(H$8,'Actual-ACPLHK'!$H$6:$T$6,0))</f>
        <v>0</v>
      </c>
      <c r="I112" s="749">
        <f>INDEX('Budget-ACPLHK'!$K$7:$W$207,MATCH($B112,'Budget-ACPLHK'!$B$7:$B$207,0),MATCH(I$8,'Budget-ACPLHK'!$K$6:$W$6,0))</f>
        <v>0</v>
      </c>
      <c r="J112" s="749">
        <f t="shared" si="76"/>
        <v>0</v>
      </c>
      <c r="K112" s="748"/>
      <c r="M112" s="749">
        <f>INDEX('Actual-ACPSZL'!$H$7:$T$207,MATCH($B112,'Actual-ACPSZL'!$B$7:$B$207,0),MATCH(M$8,'Actual-ACPSZL'!$H$6:$T$6,0))</f>
        <v>0</v>
      </c>
      <c r="N112" s="749">
        <f>INDEX('Budget-ACPSZL'!$K$7:$W$207,MATCH($B112,'Budget-ACPSZL'!$B$7:$B$207,0),MATCH(N$8,'Budget-ACPSZL'!$K$6:$W$6,0))</f>
        <v>0</v>
      </c>
      <c r="O112" s="749">
        <f t="shared" si="78"/>
        <v>0</v>
      </c>
      <c r="P112" s="748"/>
      <c r="R112" s="749">
        <f>INDEX('Actual-ACPLSZ'!$H$7:$T$207,MATCH($B112,'Actual-ACPLSZ'!$B$7:$B$207,0),MATCH(R$8,'Actual-ACPLSZ'!$H$6:$T$6,0))</f>
        <v>0</v>
      </c>
      <c r="S112" s="749">
        <f>INDEX('Budget-ACPLSZ'!$K$7:$W$207,MATCH($B112,'Budget-ACPLSZ'!$B$7:$B$207,0),MATCH(S$8,'Budget-ACPLSZ'!$K$6:$W$6,0))</f>
        <v>0</v>
      </c>
      <c r="T112" s="749">
        <f>(R112-S112)*-1</f>
        <v>0</v>
      </c>
      <c r="U112" s="748"/>
      <c r="W112" s="749">
        <f>INDEX('Actual-ACPLGZ'!$H$7:$T$207,MATCH($B112,'Actual-ACPLGZ'!$B$7:$B$207,0),MATCH(W$8,'Actual-ACPLGZ'!$H$6:$T$6,0))</f>
        <v>0</v>
      </c>
      <c r="X112" s="749">
        <f>INDEX('Budget-ACPLGZ'!$K$7:$W$207,MATCH($B112,'Budget-ACPLGZ'!$B$7:$B$207,0),MATCH(X$8,'Budget-ACPLGZ'!$K$6:$W$6,0))</f>
        <v>0</v>
      </c>
      <c r="Y112" s="749">
        <f t="shared" si="79"/>
        <v>0</v>
      </c>
      <c r="Z112" s="748"/>
      <c r="AB112" s="749">
        <f>INDEX('Actual-ACPLGZ'!$H$7:$T$207,MATCH($B112,'Actual-ACPLGZ'!$B$7:$B$207,0),MATCH(AB$8,'Actual-ACPLGZ'!$H$6:$T$6,0))</f>
        <v>0</v>
      </c>
      <c r="AC112" s="749">
        <f>INDEX('Budget-Yixing'!$K$7:$W$207,MATCH($B112,'Budget-Yixing'!$B$7:$B$207,0),MATCH(AC$8,'Budget-Yixing'!$K$6:$W$6,0))</f>
        <v>0</v>
      </c>
      <c r="AD112" s="749">
        <f>(AB112-AC112)*-1</f>
        <v>0</v>
      </c>
      <c r="AE112" s="748"/>
      <c r="AG112" s="751">
        <f>SUM(INDEX('Actual-ACPL'!$H$7:$T$207,MATCH($B112,'Actual-ACPL'!$B$7:$B$207,0),MATCH('Actual-ACPL'!H$6,'Actual-ACPL'!$H$6:$T$6,0)):INDEX('Actual-ACPL'!$H$7:$T$207,MATCH($B112,'Actual-ACPL'!$B$7:$B$207,0),MATCH(AG$8,'Actual-ACPL'!$H$6:$T$6,0)))</f>
        <v>0</v>
      </c>
      <c r="AH112" s="749">
        <f>SUM(INDEX('Budget-ACPL'!$K$7:$W$207,MATCH($B112,'Budget-ACPL'!$B$7:$B$207,0),MATCH('Budget-ACPL'!K$6,'Budget-ACPL'!$K$6:$W$6,0)):INDEX('Budget-ACPL'!$K$7:$W$207,MATCH($B112,'Budget-ACPL'!$B$7:$B$207,0),MATCH(AH$8,'Budget-ACPL'!$K$6:$W$6,0)))</f>
        <v>0</v>
      </c>
      <c r="AI112" s="749">
        <f t="shared" si="74"/>
        <v>0</v>
      </c>
      <c r="AJ112" s="748"/>
      <c r="AL112" s="749">
        <f>SUM(INDEX('Actual-ACPLHK'!$H$7:$S$207,MATCH($B112,'Actual-ACPLHK'!$B$7:$B$207,0),MATCH('Actual-ACPLHK'!H$6,'Actual-ACPLHK'!$H$6:$T$6,0)):INDEX('Actual-ACPLHK'!$H$7:$S$207,MATCH($B112,'Actual-ACPLHK'!$B$7:$B$207,0),MATCH(AL$8,'Actual-ACPLHK'!$H$6:$T$6,0)))</f>
        <v>0</v>
      </c>
      <c r="AM112" s="749">
        <f>SUM(INDEX('Budget-ACPLHK'!$K$7:$W$207,MATCH($B112,'Budget-ACPLHK'!$B$7:$B$207,0),MATCH('Budget-ACPLHK'!K$6,'Budget-ACPLHK'!$K$6:$W$6,0)):INDEX('Budget-ACPLHK'!$K$7:$W$207,MATCH($B112,'Budget-ACPLHK'!$B$7:$B$207,0),MATCH(AM$8,'Budget-ACPLHK'!$K$6:$W$6,0)))</f>
        <v>0</v>
      </c>
      <c r="AN112" s="749">
        <f>AL112-AM112</f>
        <v>0</v>
      </c>
      <c r="AO112" s="748"/>
      <c r="AQ112" s="749">
        <f>SUM(INDEX('Actual-ACPSZL'!$H$7:$T$207,MATCH($B112,'Actual-ACPSZL'!$B$7:$B$207,0),MATCH('Actual-ACPSZL'!H$6,'Actual-ACPSZL'!$H$6:$T$6,0)):INDEX('Actual-ACPSZL'!$H$7:$T$207,MATCH($B112,'Actual-ACPSZL'!$B$7:$B$207,0),MATCH(AQ$8,'Actual-ACPSZL'!$H$6:$T$6,0)))</f>
        <v>0</v>
      </c>
      <c r="AR112" s="749">
        <f>SUM(INDEX('Budget-ACPSZL'!$K$7:$W$207,MATCH($B112,'Budget-ACPSZL'!$B$7:$B$207,0),MATCH('Budget-ACPSZL'!K$6,'Budget-ACPSZL'!$K$6:$W$6,0)):INDEX('Budget-ACPSZL'!$K$7:$W$207,MATCH($B112,'Budget-ACPSZL'!$B$7:$B$207,0),MATCH(AR$8,'Budget-ACPSZL'!$K$6:$W$6,0)))</f>
        <v>0</v>
      </c>
      <c r="AS112" s="749">
        <f t="shared" si="77"/>
        <v>0</v>
      </c>
      <c r="AT112" s="748"/>
      <c r="AV112" s="749">
        <f>SUM(INDEX('Actual-ACPLSZ'!$H$7:$T$207,MATCH($B112,'Actual-ACPLSZ'!$B$7:$B$207,0),MATCH('Actual-ACPLSZ'!H$6,'Actual-ACPLSZ'!$H$6:$T$6,0)):INDEX('Actual-ACPLSZ'!$H$7:$T$207,MATCH($B112,'Actual-ACPLSZ'!$B$7:$B$207,0),MATCH(AV$8,'Actual-ACPLSZ'!$H$6:$T$6,0)))</f>
        <v>0</v>
      </c>
      <c r="AW112" s="749">
        <f>SUM(INDEX('Budget-ACPLSZ'!$K$7:$W$207,MATCH($B112,'Budget-ACPLSZ'!$B$7:$B$207,0),MATCH('Budget-ACPLSZ'!K$6,'Budget-ACPLSZ'!$K$6:$W$6,0)):INDEX('Budget-ACPLSZ'!$K$7:$W$207,MATCH($B112,'Budget-ACPLSZ'!$B$7:$B$207,0),MATCH(AW$8,'Budget-ACPLSZ'!$K$6:$W$6,0)))</f>
        <v>0</v>
      </c>
      <c r="AX112" s="749">
        <f t="shared" si="80"/>
        <v>0</v>
      </c>
      <c r="AY112" s="748"/>
      <c r="BA112" s="749">
        <f>SUM(INDEX('Actual-ACPLGZ'!$H$7:$T$207,MATCH($B112,'Actual-ACPLGZ'!$B$7:$B$207,0),MATCH('Actual-ACPLGZ'!H$6,'Actual-ACPLGZ'!$H$6:$T$6,0)):INDEX('Actual-ACPLGZ'!$H$7:$T$207,MATCH($B112,'Actual-ACPLGZ'!$B$7:$B$207,0),MATCH(BA$8,'Actual-ACPLGZ'!$H$6:$T$6,0)))</f>
        <v>0</v>
      </c>
      <c r="BB112" s="749">
        <f>SUM(INDEX('Budget-ACPLGZ'!$K$7:$W$207,MATCH($B112,'Budget-ACPLGZ'!$B$7:$B$207,0),MATCH('Budget-ACPLGZ'!K$6,'Budget-ACPLGZ'!$K$6:$W$6,0)):INDEX('Budget-ACPLGZ'!$K$7:$W$207,MATCH($B112,'Budget-ACPLGZ'!$B$7:$B$207,0),MATCH(BB$8,'Budget-ACPLGZ'!$K$6:$W$6,0)))</f>
        <v>0</v>
      </c>
      <c r="BC112" s="749">
        <f>BA112-BB112</f>
        <v>0</v>
      </c>
      <c r="BD112" s="748"/>
      <c r="BF112" s="749">
        <f>SUM(INDEX('Actual-ACPLYixing'!$H$7:$T$207,MATCH($B112,'Actual-ACPLYixing'!$B$7:$B$207,0),MATCH('Actual-ACPLYixing'!H$6,'Actual-ACPLYixing'!$H$6:$T$6,0)):INDEX('Actual-ACPLYixing'!$H$7:$T$207,MATCH($B112,'Actual-ACPLYixing'!$B$7:$B$207,0),MATCH(BF$8,'Actual-ACPLYixing'!$H$6:$T$6,0)))</f>
        <v>0</v>
      </c>
      <c r="BG112" s="749">
        <f>SUM(INDEX('Budget-Yixing'!$K$7:$W$207,MATCH($B112,'Budget-Yixing'!$B$7:$B$207,0),MATCH('Budget-Yixing'!K$6,'Budget-Yixing'!$K$6:$W$6,0)):INDEX('Budget-Yixing'!$K$7:$W$207,MATCH($B112,'Budget-Yixing'!$B$7:$B$207,0),MATCH(BG$8,'Budget-Yixing'!$K$6:$W$6,0)))</f>
        <v>0</v>
      </c>
      <c r="BH112" s="749">
        <f>BF112-BG112</f>
        <v>0</v>
      </c>
      <c r="BI112" s="748"/>
    </row>
    <row r="113" spans="1:61" ht="16.5" customHeight="1">
      <c r="A113" s="653">
        <f>'Budget-合并'!A111</f>
        <v>0</v>
      </c>
      <c r="B113" s="653" t="str">
        <f>'Budget-合并'!B111</f>
        <v xml:space="preserve">    旭智富能07</v>
      </c>
      <c r="C113" s="746">
        <f>INDEX('Actual-ACPL'!$H$7:$T$207,MATCH($B113,'Actual-ACPL'!$B$7:$B$207,0),MATCH(C$8,'Actual-ACPL'!$H$6:$T$6,0))</f>
        <v>0</v>
      </c>
      <c r="D113" s="746">
        <f>INDEX('Budget-ACPL'!$K$7:$W$207,MATCH($B113,'Budget-ACPL'!$B$7:$B$207,0),MATCH(D$8,'Budget-ACPL'!$K$6:$W$6,0))</f>
        <v>0</v>
      </c>
      <c r="E113" s="746">
        <f t="shared" si="75"/>
        <v>0</v>
      </c>
      <c r="F113" s="752"/>
      <c r="H113" s="749">
        <f>INDEX('Actual-ACPLHK'!$H$7:$T$207,MATCH($B113,'Actual-ACPLHK'!$B$7:$B$207,0),MATCH(H$8,'Actual-ACPLHK'!$H$6:$T$6,0))</f>
        <v>0</v>
      </c>
      <c r="I113" s="749">
        <f>INDEX('Budget-ACPLHK'!$K$7:$W$207,MATCH($B113,'Budget-ACPLHK'!$B$7:$B$207,0),MATCH(I$8,'Budget-ACPLHK'!$K$6:$W$6,0))</f>
        <v>0</v>
      </c>
      <c r="J113" s="749">
        <f t="shared" si="76"/>
        <v>0</v>
      </c>
      <c r="K113" s="748"/>
      <c r="M113" s="749">
        <f>INDEX('Actual-ACPSZL'!$H$7:$T$207,MATCH($B113,'Actual-ACPSZL'!$B$7:$B$207,0),MATCH(M$8,'Actual-ACPSZL'!$H$6:$T$6,0))</f>
        <v>0</v>
      </c>
      <c r="N113" s="749">
        <f>INDEX('Budget-ACPSZL'!$K$7:$W$207,MATCH($B113,'Budget-ACPSZL'!$B$7:$B$207,0),MATCH(N$8,'Budget-ACPSZL'!$K$6:$W$6,0))</f>
        <v>0</v>
      </c>
      <c r="O113" s="749">
        <f t="shared" si="78"/>
        <v>0</v>
      </c>
      <c r="P113" s="748"/>
      <c r="R113" s="749">
        <f>INDEX('Actual-ACPLSZ'!$H$7:$T$207,MATCH($B113,'Actual-ACPLSZ'!$B$7:$B$207,0),MATCH(R$8,'Actual-ACPLSZ'!$H$6:$T$6,0))</f>
        <v>0</v>
      </c>
      <c r="S113" s="749">
        <f>INDEX('Budget-ACPLSZ'!$K$7:$W$207,MATCH($B113,'Budget-ACPLSZ'!$B$7:$B$207,0),MATCH(S$8,'Budget-ACPLSZ'!$K$6:$W$6,0))</f>
        <v>0</v>
      </c>
      <c r="T113" s="749">
        <f>(R113-S113)*-1</f>
        <v>0</v>
      </c>
      <c r="U113" s="748"/>
      <c r="W113" s="749">
        <f>INDEX('Actual-ACPLGZ'!$H$7:$T$207,MATCH($B113,'Actual-ACPLGZ'!$B$7:$B$207,0),MATCH(W$8,'Actual-ACPLGZ'!$H$6:$T$6,0))</f>
        <v>0</v>
      </c>
      <c r="X113" s="749">
        <f>INDEX('Budget-ACPLGZ'!$K$7:$W$207,MATCH($B113,'Budget-ACPLGZ'!$B$7:$B$207,0),MATCH(X$8,'Budget-ACPLGZ'!$K$6:$W$6,0))</f>
        <v>0</v>
      </c>
      <c r="Y113" s="749">
        <f t="shared" si="79"/>
        <v>0</v>
      </c>
      <c r="Z113" s="748"/>
      <c r="AB113" s="749">
        <f>INDEX('Actual-ACPLGZ'!$H$7:$T$207,MATCH($B113,'Actual-ACPLGZ'!$B$7:$B$207,0),MATCH(AB$8,'Actual-ACPLGZ'!$H$6:$T$6,0))</f>
        <v>0</v>
      </c>
      <c r="AC113" s="749">
        <f>INDEX('Budget-Yixing'!$K$7:$W$207,MATCH($B113,'Budget-Yixing'!$B$7:$B$207,0),MATCH(AC$8,'Budget-Yixing'!$K$6:$W$6,0))</f>
        <v>0</v>
      </c>
      <c r="AD113" s="749">
        <f>(AB113-AC113)*-1</f>
        <v>0</v>
      </c>
      <c r="AE113" s="748"/>
      <c r="AG113" s="751">
        <f>SUM(INDEX('Actual-ACPL'!$H$7:$T$207,MATCH($B113,'Actual-ACPL'!$B$7:$B$207,0),MATCH('Actual-ACPL'!H$6,'Actual-ACPL'!$H$6:$T$6,0)):INDEX('Actual-ACPL'!$H$7:$T$207,MATCH($B113,'Actual-ACPL'!$B$7:$B$207,0),MATCH(AG$8,'Actual-ACPL'!$H$6:$T$6,0)))</f>
        <v>0</v>
      </c>
      <c r="AH113" s="749">
        <f>SUM(INDEX('Budget-ACPL'!$K$7:$W$207,MATCH($B113,'Budget-ACPL'!$B$7:$B$207,0),MATCH('Budget-ACPL'!K$6,'Budget-ACPL'!$K$6:$W$6,0)):INDEX('Budget-ACPL'!$K$7:$W$207,MATCH($B113,'Budget-ACPL'!$B$7:$B$207,0),MATCH(AH$8,'Budget-ACPL'!$K$6:$W$6,0)))</f>
        <v>0</v>
      </c>
      <c r="AI113" s="749">
        <f t="shared" si="74"/>
        <v>0</v>
      </c>
      <c r="AJ113" s="748"/>
      <c r="AL113" s="749">
        <f>SUM(INDEX('Actual-ACPLHK'!$H$7:$S$207,MATCH($B113,'Actual-ACPLHK'!$B$7:$B$207,0),MATCH('Actual-ACPLHK'!H$6,'Actual-ACPLHK'!$H$6:$T$6,0)):INDEX('Actual-ACPLHK'!$H$7:$S$207,MATCH($B113,'Actual-ACPLHK'!$B$7:$B$207,0),MATCH(AL$8,'Actual-ACPLHK'!$H$6:$T$6,0)))</f>
        <v>0</v>
      </c>
      <c r="AM113" s="749">
        <f>SUM(INDEX('Budget-ACPLHK'!$K$7:$W$207,MATCH($B113,'Budget-ACPLHK'!$B$7:$B$207,0),MATCH('Budget-ACPLHK'!K$6,'Budget-ACPLHK'!$K$6:$W$6,0)):INDEX('Budget-ACPLHK'!$K$7:$W$207,MATCH($B113,'Budget-ACPLHK'!$B$7:$B$207,0),MATCH(AM$8,'Budget-ACPLHK'!$K$6:$W$6,0)))</f>
        <v>0</v>
      </c>
      <c r="AN113" s="749">
        <f>AL113-AM113</f>
        <v>0</v>
      </c>
      <c r="AO113" s="748"/>
      <c r="AQ113" s="749">
        <f>SUM(INDEX('Actual-ACPSZL'!$H$7:$T$207,MATCH($B113,'Actual-ACPSZL'!$B$7:$B$207,0),MATCH('Actual-ACPSZL'!H$6,'Actual-ACPSZL'!$H$6:$T$6,0)):INDEX('Actual-ACPSZL'!$H$7:$T$207,MATCH($B113,'Actual-ACPSZL'!$B$7:$B$207,0),MATCH(AQ$8,'Actual-ACPSZL'!$H$6:$T$6,0)))</f>
        <v>0</v>
      </c>
      <c r="AR113" s="749">
        <f>SUM(INDEX('Budget-ACPSZL'!$K$7:$W$207,MATCH($B113,'Budget-ACPSZL'!$B$7:$B$207,0),MATCH('Budget-ACPSZL'!K$6,'Budget-ACPSZL'!$K$6:$W$6,0)):INDEX('Budget-ACPSZL'!$K$7:$W$207,MATCH($B113,'Budget-ACPSZL'!$B$7:$B$207,0),MATCH(AR$8,'Budget-ACPSZL'!$K$6:$W$6,0)))</f>
        <v>0</v>
      </c>
      <c r="AS113" s="749">
        <f t="shared" si="77"/>
        <v>0</v>
      </c>
      <c r="AT113" s="748"/>
      <c r="AV113" s="749">
        <f>SUM(INDEX('Actual-ACPLSZ'!$H$7:$T$207,MATCH($B113,'Actual-ACPLSZ'!$B$7:$B$207,0),MATCH('Actual-ACPLSZ'!H$6,'Actual-ACPLSZ'!$H$6:$T$6,0)):INDEX('Actual-ACPLSZ'!$H$7:$T$207,MATCH($B113,'Actual-ACPLSZ'!$B$7:$B$207,0),MATCH(AV$8,'Actual-ACPLSZ'!$H$6:$T$6,0)))</f>
        <v>0</v>
      </c>
      <c r="AW113" s="749">
        <f>SUM(INDEX('Budget-ACPLSZ'!$K$7:$W$207,MATCH($B113,'Budget-ACPLSZ'!$B$7:$B$207,0),MATCH('Budget-ACPLSZ'!K$6,'Budget-ACPLSZ'!$K$6:$W$6,0)):INDEX('Budget-ACPLSZ'!$K$7:$W$207,MATCH($B113,'Budget-ACPLSZ'!$B$7:$B$207,0),MATCH(AW$8,'Budget-ACPLSZ'!$K$6:$W$6,0)))</f>
        <v>0</v>
      </c>
      <c r="AX113" s="749">
        <f t="shared" si="80"/>
        <v>0</v>
      </c>
      <c r="AY113" s="748"/>
      <c r="BA113" s="749">
        <f>SUM(INDEX('Actual-ACPLGZ'!$H$7:$T$207,MATCH($B113,'Actual-ACPLGZ'!$B$7:$B$207,0),MATCH('Actual-ACPLGZ'!H$6,'Actual-ACPLGZ'!$H$6:$T$6,0)):INDEX('Actual-ACPLGZ'!$H$7:$T$207,MATCH($B113,'Actual-ACPLGZ'!$B$7:$B$207,0),MATCH(BA$8,'Actual-ACPLGZ'!$H$6:$T$6,0)))</f>
        <v>0</v>
      </c>
      <c r="BB113" s="749">
        <f>SUM(INDEX('Budget-ACPLGZ'!$K$7:$W$207,MATCH($B113,'Budget-ACPLGZ'!$B$7:$B$207,0),MATCH('Budget-ACPLGZ'!K$6,'Budget-ACPLGZ'!$K$6:$W$6,0)):INDEX('Budget-ACPLGZ'!$K$7:$W$207,MATCH($B113,'Budget-ACPLGZ'!$B$7:$B$207,0),MATCH(BB$8,'Budget-ACPLGZ'!$K$6:$W$6,0)))</f>
        <v>0</v>
      </c>
      <c r="BC113" s="749">
        <f>BA113-BB113</f>
        <v>0</v>
      </c>
      <c r="BD113" s="748"/>
      <c r="BF113" s="749">
        <f>SUM(INDEX('Actual-ACPLYixing'!$H$7:$T$207,MATCH($B113,'Actual-ACPLYixing'!$B$7:$B$207,0),MATCH('Actual-ACPLYixing'!H$6,'Actual-ACPLYixing'!$H$6:$T$6,0)):INDEX('Actual-ACPLYixing'!$H$7:$T$207,MATCH($B113,'Actual-ACPLYixing'!$B$7:$B$207,0),MATCH(BF$8,'Actual-ACPLYixing'!$H$6:$T$6,0)))</f>
        <v>0</v>
      </c>
      <c r="BG113" s="749">
        <f>SUM(INDEX('Budget-Yixing'!$K$7:$W$207,MATCH($B113,'Budget-Yixing'!$B$7:$B$207,0),MATCH('Budget-Yixing'!K$6,'Budget-Yixing'!$K$6:$W$6,0)):INDEX('Budget-Yixing'!$K$7:$W$207,MATCH($B113,'Budget-Yixing'!$B$7:$B$207,0),MATCH(BG$8,'Budget-Yixing'!$K$6:$W$6,0)))</f>
        <v>0</v>
      </c>
      <c r="BH113" s="749">
        <f>BF113-BG113</f>
        <v>0</v>
      </c>
      <c r="BI113" s="748"/>
    </row>
    <row r="114" spans="1:61" ht="16.5" customHeight="1">
      <c r="A114" s="653">
        <f>'Budget-合并'!A112</f>
        <v>0</v>
      </c>
      <c r="B114" s="653" t="str">
        <f>'Budget-合并'!B112</f>
        <v xml:space="preserve">    其他项目07</v>
      </c>
      <c r="C114" s="746">
        <f>INDEX('Actual-ACPL'!$H$7:$T$207,MATCH($B114,'Actual-ACPL'!$B$7:$B$207,0),MATCH(C$8,'Actual-ACPL'!$H$6:$T$6,0))</f>
        <v>0</v>
      </c>
      <c r="D114" s="746">
        <f>INDEX('Budget-ACPL'!$K$7:$W$207,MATCH($B114,'Budget-ACPL'!$B$7:$B$207,0),MATCH(D$8,'Budget-ACPL'!$K$6:$W$6,0))</f>
        <v>0</v>
      </c>
      <c r="E114" s="746">
        <f t="shared" si="75"/>
        <v>0</v>
      </c>
      <c r="F114" s="752"/>
      <c r="H114" s="749">
        <f>INDEX('Actual-ACPLHK'!$H$7:$T$207,MATCH($B114,'Actual-ACPLHK'!$B$7:$B$207,0),MATCH(H$8,'Actual-ACPLHK'!$H$6:$T$6,0))</f>
        <v>0</v>
      </c>
      <c r="I114" s="749">
        <f>INDEX('Budget-ACPLHK'!$K$7:$W$207,MATCH($B114,'Budget-ACPLHK'!$B$7:$B$207,0),MATCH(I$8,'Budget-ACPLHK'!$K$6:$W$6,0))</f>
        <v>0</v>
      </c>
      <c r="J114" s="749">
        <f t="shared" si="76"/>
        <v>0</v>
      </c>
      <c r="K114" s="748"/>
      <c r="M114" s="749">
        <f>INDEX('Actual-ACPSZL'!$H$7:$T$207,MATCH($B114,'Actual-ACPSZL'!$B$7:$B$207,0),MATCH(M$8,'Actual-ACPSZL'!$H$6:$T$6,0))</f>
        <v>0</v>
      </c>
      <c r="N114" s="749">
        <f>INDEX('Budget-ACPSZL'!$K$7:$W$207,MATCH($B114,'Budget-ACPSZL'!$B$7:$B$207,0),MATCH(N$8,'Budget-ACPSZL'!$K$6:$W$6,0))</f>
        <v>0</v>
      </c>
      <c r="O114" s="749">
        <f t="shared" si="78"/>
        <v>0</v>
      </c>
      <c r="P114" s="748"/>
      <c r="R114" s="749">
        <f>INDEX('Actual-ACPLSZ'!$H$7:$T$207,MATCH($B114,'Actual-ACPLSZ'!$B$7:$B$207,0),MATCH(R$8,'Actual-ACPLSZ'!$H$6:$T$6,0))</f>
        <v>0</v>
      </c>
      <c r="S114" s="749">
        <f>INDEX('Budget-ACPLSZ'!$K$7:$W$207,MATCH($B114,'Budget-ACPLSZ'!$B$7:$B$207,0),MATCH(S$8,'Budget-ACPLSZ'!$K$6:$W$6,0))</f>
        <v>0</v>
      </c>
      <c r="T114" s="749">
        <f>(R114-S114)*-1</f>
        <v>0</v>
      </c>
      <c r="U114" s="748"/>
      <c r="W114" s="749">
        <f>INDEX('Actual-ACPLGZ'!$H$7:$T$207,MATCH($B114,'Actual-ACPLGZ'!$B$7:$B$207,0),MATCH(W$8,'Actual-ACPLGZ'!$H$6:$T$6,0))</f>
        <v>0</v>
      </c>
      <c r="X114" s="749">
        <f>INDEX('Budget-ACPLGZ'!$K$7:$W$207,MATCH($B114,'Budget-ACPLGZ'!$B$7:$B$207,0),MATCH(X$8,'Budget-ACPLGZ'!$K$6:$W$6,0))</f>
        <v>0</v>
      </c>
      <c r="Y114" s="749">
        <f t="shared" si="79"/>
        <v>0</v>
      </c>
      <c r="Z114" s="748"/>
      <c r="AB114" s="749">
        <f>INDEX('Actual-ACPLGZ'!$H$7:$T$207,MATCH($B114,'Actual-ACPLGZ'!$B$7:$B$207,0),MATCH(AB$8,'Actual-ACPLGZ'!$H$6:$T$6,0))</f>
        <v>0</v>
      </c>
      <c r="AC114" s="749">
        <f>INDEX('Budget-Yixing'!$K$7:$W$207,MATCH($B114,'Budget-Yixing'!$B$7:$B$207,0),MATCH(AC$8,'Budget-Yixing'!$K$6:$W$6,0))</f>
        <v>0</v>
      </c>
      <c r="AD114" s="749">
        <f>(AB114-AC114)*-1</f>
        <v>0</v>
      </c>
      <c r="AE114" s="748"/>
      <c r="AG114" s="751">
        <f>SUM(INDEX('Actual-ACPL'!$H$7:$T$207,MATCH($B114,'Actual-ACPL'!$B$7:$B$207,0),MATCH('Actual-ACPL'!H$6,'Actual-ACPL'!$H$6:$T$6,0)):INDEX('Actual-ACPL'!$H$7:$T$207,MATCH($B114,'Actual-ACPL'!$B$7:$B$207,0),MATCH(AG$8,'Actual-ACPL'!$H$6:$T$6,0)))</f>
        <v>0</v>
      </c>
      <c r="AH114" s="749">
        <f>SUM(INDEX('Budget-ACPL'!$K$7:$W$207,MATCH($B114,'Budget-ACPL'!$B$7:$B$207,0),MATCH('Budget-ACPL'!K$6,'Budget-ACPL'!$K$6:$W$6,0)):INDEX('Budget-ACPL'!$K$7:$W$207,MATCH($B114,'Budget-ACPL'!$B$7:$B$207,0),MATCH(AH$8,'Budget-ACPL'!$K$6:$W$6,0)))</f>
        <v>0</v>
      </c>
      <c r="AI114" s="749">
        <f t="shared" si="74"/>
        <v>0</v>
      </c>
      <c r="AJ114" s="748"/>
      <c r="AL114" s="749">
        <f>SUM(INDEX('Actual-ACPLHK'!$H$7:$S$207,MATCH($B114,'Actual-ACPLHK'!$B$7:$B$207,0),MATCH('Actual-ACPLHK'!H$6,'Actual-ACPLHK'!$H$6:$T$6,0)):INDEX('Actual-ACPLHK'!$H$7:$S$207,MATCH($B114,'Actual-ACPLHK'!$B$7:$B$207,0),MATCH(AL$8,'Actual-ACPLHK'!$H$6:$T$6,0)))</f>
        <v>0</v>
      </c>
      <c r="AM114" s="749">
        <f>SUM(INDEX('Budget-ACPLHK'!$K$7:$W$207,MATCH($B114,'Budget-ACPLHK'!$B$7:$B$207,0),MATCH('Budget-ACPLHK'!K$6,'Budget-ACPLHK'!$K$6:$W$6,0)):INDEX('Budget-ACPLHK'!$K$7:$W$207,MATCH($B114,'Budget-ACPLHK'!$B$7:$B$207,0),MATCH(AM$8,'Budget-ACPLHK'!$K$6:$W$6,0)))</f>
        <v>0</v>
      </c>
      <c r="AN114" s="749">
        <f>AL114-AM114</f>
        <v>0</v>
      </c>
      <c r="AO114" s="748"/>
      <c r="AQ114" s="749">
        <f>SUM(INDEX('Actual-ACPSZL'!$H$7:$T$207,MATCH($B114,'Actual-ACPSZL'!$B$7:$B$207,0),MATCH('Actual-ACPSZL'!H$6,'Actual-ACPSZL'!$H$6:$T$6,0)):INDEX('Actual-ACPSZL'!$H$7:$T$207,MATCH($B114,'Actual-ACPSZL'!$B$7:$B$207,0),MATCH(AQ$8,'Actual-ACPSZL'!$H$6:$T$6,0)))</f>
        <v>0</v>
      </c>
      <c r="AR114" s="749">
        <f>SUM(INDEX('Budget-ACPSZL'!$K$7:$W$207,MATCH($B114,'Budget-ACPSZL'!$B$7:$B$207,0),MATCH('Budget-ACPSZL'!K$6,'Budget-ACPSZL'!$K$6:$W$6,0)):INDEX('Budget-ACPSZL'!$K$7:$W$207,MATCH($B114,'Budget-ACPSZL'!$B$7:$B$207,0),MATCH(AR$8,'Budget-ACPSZL'!$K$6:$W$6,0)))</f>
        <v>0</v>
      </c>
      <c r="AS114" s="749">
        <f t="shared" si="77"/>
        <v>0</v>
      </c>
      <c r="AT114" s="748"/>
      <c r="AV114" s="749">
        <f>SUM(INDEX('Actual-ACPLSZ'!$H$7:$T$207,MATCH($B114,'Actual-ACPLSZ'!$B$7:$B$207,0),MATCH('Actual-ACPLSZ'!H$6,'Actual-ACPLSZ'!$H$6:$T$6,0)):INDEX('Actual-ACPLSZ'!$H$7:$T$207,MATCH($B114,'Actual-ACPLSZ'!$B$7:$B$207,0),MATCH(AV$8,'Actual-ACPLSZ'!$H$6:$T$6,0)))</f>
        <v>0</v>
      </c>
      <c r="AW114" s="749">
        <f>SUM(INDEX('Budget-ACPLSZ'!$K$7:$W$207,MATCH($B114,'Budget-ACPLSZ'!$B$7:$B$207,0),MATCH('Budget-ACPLSZ'!K$6,'Budget-ACPLSZ'!$K$6:$W$6,0)):INDEX('Budget-ACPLSZ'!$K$7:$W$207,MATCH($B114,'Budget-ACPLSZ'!$B$7:$B$207,0),MATCH(AW$8,'Budget-ACPLSZ'!$K$6:$W$6,0)))</f>
        <v>0</v>
      </c>
      <c r="AX114" s="749">
        <f t="shared" si="80"/>
        <v>0</v>
      </c>
      <c r="AY114" s="748"/>
      <c r="BA114" s="749">
        <f>SUM(INDEX('Actual-ACPLGZ'!$H$7:$T$207,MATCH($B114,'Actual-ACPLGZ'!$B$7:$B$207,0),MATCH('Actual-ACPLGZ'!H$6,'Actual-ACPLGZ'!$H$6:$T$6,0)):INDEX('Actual-ACPLGZ'!$H$7:$T$207,MATCH($B114,'Actual-ACPLGZ'!$B$7:$B$207,0),MATCH(BA$8,'Actual-ACPLGZ'!$H$6:$T$6,0)))</f>
        <v>0</v>
      </c>
      <c r="BB114" s="749">
        <f>SUM(INDEX('Budget-ACPLGZ'!$K$7:$W$207,MATCH($B114,'Budget-ACPLGZ'!$B$7:$B$207,0),MATCH('Budget-ACPLGZ'!K$6,'Budget-ACPLGZ'!$K$6:$W$6,0)):INDEX('Budget-ACPLGZ'!$K$7:$W$207,MATCH($B114,'Budget-ACPLGZ'!$B$7:$B$207,0),MATCH(BB$8,'Budget-ACPLGZ'!$K$6:$W$6,0)))</f>
        <v>0</v>
      </c>
      <c r="BC114" s="749">
        <f>BA114-BB114</f>
        <v>0</v>
      </c>
      <c r="BD114" s="748"/>
      <c r="BF114" s="749">
        <f>SUM(INDEX('Actual-ACPLYixing'!$H$7:$T$207,MATCH($B114,'Actual-ACPLYixing'!$B$7:$B$207,0),MATCH('Actual-ACPLYixing'!H$6,'Actual-ACPLYixing'!$H$6:$T$6,0)):INDEX('Actual-ACPLYixing'!$H$7:$T$207,MATCH($B114,'Actual-ACPLYixing'!$B$7:$B$207,0),MATCH(BF$8,'Actual-ACPLYixing'!$H$6:$T$6,0)))</f>
        <v>0</v>
      </c>
      <c r="BG114" s="749">
        <f>SUM(INDEX('Budget-Yixing'!$K$7:$W$207,MATCH($B114,'Budget-Yixing'!$B$7:$B$207,0),MATCH('Budget-Yixing'!K$6,'Budget-Yixing'!$K$6:$W$6,0)):INDEX('Budget-Yixing'!$K$7:$W$207,MATCH($B114,'Budget-Yixing'!$B$7:$B$207,0),MATCH(BG$8,'Budget-Yixing'!$K$6:$W$6,0)))</f>
        <v>0</v>
      </c>
      <c r="BH114" s="749">
        <f>BF114-BG114</f>
        <v>0</v>
      </c>
      <c r="BI114" s="748"/>
    </row>
    <row r="115" spans="1:61" ht="16.5" customHeight="1">
      <c r="A115" s="653" t="str">
        <f>'Budget-合并'!A113</f>
        <v>6602.09.06</v>
      </c>
      <c r="B115" s="653" t="str">
        <f>'Budget-合并'!B113</f>
        <v>其他汽车费用</v>
      </c>
      <c r="C115" s="746">
        <f>INDEX('Actual-ACPL'!$H$7:$T$207,MATCH($B115,'Actual-ACPL'!$B$7:$B$207,0),MATCH(C$8,'Actual-ACPL'!$H$6:$T$6,0))</f>
        <v>0</v>
      </c>
      <c r="D115" s="746">
        <f>INDEX('Budget-ACPL'!$K$7:$W$207,MATCH($B115,'Budget-ACPL'!$B$7:$B$207,0),MATCH(D$8,'Budget-ACPL'!$K$6:$W$6,0))</f>
        <v>0</v>
      </c>
      <c r="E115" s="746">
        <f t="shared" si="75"/>
        <v>0</v>
      </c>
      <c r="F115" s="752"/>
      <c r="H115" s="749">
        <f>INDEX('Actual-ACPLHK'!$H$7:$T$207,MATCH($B115,'Actual-ACPLHK'!$B$7:$B$207,0),MATCH(H$8,'Actual-ACPLHK'!$H$6:$T$6,0))</f>
        <v>0</v>
      </c>
      <c r="I115" s="749">
        <f>INDEX('Budget-ACPLHK'!$K$7:$W$207,MATCH($B115,'Budget-ACPLHK'!$B$7:$B$207,0),MATCH(I$8,'Budget-ACPLHK'!$K$6:$W$6,0))</f>
        <v>0</v>
      </c>
      <c r="J115" s="749">
        <f t="shared" si="76"/>
        <v>0</v>
      </c>
      <c r="K115" s="748"/>
      <c r="M115" s="749">
        <f>INDEX('Actual-ACPSZL'!$H$7:$T$207,MATCH($B115,'Actual-ACPSZL'!$B$7:$B$207,0),MATCH(M$8,'Actual-ACPSZL'!$H$6:$T$6,0))</f>
        <v>0</v>
      </c>
      <c r="N115" s="749">
        <f>INDEX('Budget-ACPSZL'!$K$7:$W$207,MATCH($B115,'Budget-ACPSZL'!$B$7:$B$207,0),MATCH(N$8,'Budget-ACPSZL'!$K$6:$W$6,0))</f>
        <v>0</v>
      </c>
      <c r="O115" s="749">
        <f t="shared" si="78"/>
        <v>0</v>
      </c>
      <c r="P115" s="748"/>
      <c r="R115" s="749">
        <f>INDEX('Actual-ACPLSZ'!$H$7:$T$207,MATCH($B115,'Actual-ACPLSZ'!$B$7:$B$207,0),MATCH(R$8,'Actual-ACPLSZ'!$H$6:$T$6,0))</f>
        <v>0</v>
      </c>
      <c r="S115" s="749">
        <f>INDEX('Budget-ACPLSZ'!$K$7:$W$207,MATCH($B115,'Budget-ACPLSZ'!$B$7:$B$207,0),MATCH(S$8,'Budget-ACPLSZ'!$K$6:$W$6,0))</f>
        <v>0</v>
      </c>
      <c r="T115" s="749">
        <f>(R115-S115)*-1</f>
        <v>0</v>
      </c>
      <c r="U115" s="748"/>
      <c r="W115" s="749">
        <f>INDEX('Actual-ACPLGZ'!$H$7:$T$207,MATCH($B115,'Actual-ACPLGZ'!$B$7:$B$207,0),MATCH(W$8,'Actual-ACPLGZ'!$H$6:$T$6,0))</f>
        <v>0</v>
      </c>
      <c r="X115" s="749">
        <f>INDEX('Budget-ACPLGZ'!$K$7:$W$207,MATCH($B115,'Budget-ACPLGZ'!$B$7:$B$207,0),MATCH(X$8,'Budget-ACPLGZ'!$K$6:$W$6,0))</f>
        <v>0</v>
      </c>
      <c r="Y115" s="749">
        <f t="shared" si="79"/>
        <v>0</v>
      </c>
      <c r="Z115" s="748"/>
      <c r="AB115" s="749">
        <f>INDEX('Actual-ACPLGZ'!$H$7:$T$207,MATCH($B115,'Actual-ACPLGZ'!$B$7:$B$207,0),MATCH(AB$8,'Actual-ACPLGZ'!$H$6:$T$6,0))</f>
        <v>0</v>
      </c>
      <c r="AC115" s="749">
        <f>INDEX('Budget-Yixing'!$K$7:$W$207,MATCH($B115,'Budget-Yixing'!$B$7:$B$207,0),MATCH(AC$8,'Budget-Yixing'!$K$6:$W$6,0))</f>
        <v>0</v>
      </c>
      <c r="AD115" s="749">
        <f>(AB115-AC115)*-1</f>
        <v>0</v>
      </c>
      <c r="AE115" s="748"/>
      <c r="AG115" s="751">
        <f>SUM(INDEX('Actual-ACPL'!$H$7:$T$207,MATCH($B115,'Actual-ACPL'!$B$7:$B$207,0),MATCH('Actual-ACPL'!H$6,'Actual-ACPL'!$H$6:$T$6,0)):INDEX('Actual-ACPL'!$H$7:$T$207,MATCH($B115,'Actual-ACPL'!$B$7:$B$207,0),MATCH(AG$8,'Actual-ACPL'!$H$6:$T$6,0)))</f>
        <v>0</v>
      </c>
      <c r="AH115" s="749">
        <f>SUM(INDEX('Budget-ACPL'!$K$7:$W$207,MATCH($B115,'Budget-ACPL'!$B$7:$B$207,0),MATCH('Budget-ACPL'!K$6,'Budget-ACPL'!$K$6:$W$6,0)):INDEX('Budget-ACPL'!$K$7:$W$207,MATCH($B115,'Budget-ACPL'!$B$7:$B$207,0),MATCH(AH$8,'Budget-ACPL'!$K$6:$W$6,0)))</f>
        <v>0</v>
      </c>
      <c r="AI115" s="749">
        <f t="shared" si="74"/>
        <v>0</v>
      </c>
      <c r="AJ115" s="748"/>
      <c r="AL115" s="749">
        <f>SUM(INDEX('Actual-ACPLHK'!$H$7:$S$207,MATCH($B115,'Actual-ACPLHK'!$B$7:$B$207,0),MATCH('Actual-ACPLHK'!H$6,'Actual-ACPLHK'!$H$6:$T$6,0)):INDEX('Actual-ACPLHK'!$H$7:$S$207,MATCH($B115,'Actual-ACPLHK'!$B$7:$B$207,0),MATCH(AL$8,'Actual-ACPLHK'!$H$6:$T$6,0)))</f>
        <v>0</v>
      </c>
      <c r="AM115" s="749">
        <f>SUM(INDEX('Budget-ACPLHK'!$K$7:$W$207,MATCH($B115,'Budget-ACPLHK'!$B$7:$B$207,0),MATCH('Budget-ACPLHK'!K$6,'Budget-ACPLHK'!$K$6:$W$6,0)):INDEX('Budget-ACPLHK'!$K$7:$W$207,MATCH($B115,'Budget-ACPLHK'!$B$7:$B$207,0),MATCH(AM$8,'Budget-ACPLHK'!$K$6:$W$6,0)))</f>
        <v>0</v>
      </c>
      <c r="AN115" s="749">
        <f>AL115-AM115</f>
        <v>0</v>
      </c>
      <c r="AO115" s="748"/>
      <c r="AQ115" s="749">
        <f>SUM(INDEX('Actual-ACPSZL'!$H$7:$T$207,MATCH($B115,'Actual-ACPSZL'!$B$7:$B$207,0),MATCH('Actual-ACPSZL'!H$6,'Actual-ACPSZL'!$H$6:$T$6,0)):INDEX('Actual-ACPSZL'!$H$7:$T$207,MATCH($B115,'Actual-ACPSZL'!$B$7:$B$207,0),MATCH(AQ$8,'Actual-ACPSZL'!$H$6:$T$6,0)))</f>
        <v>0</v>
      </c>
      <c r="AR115" s="749">
        <f>SUM(INDEX('Budget-ACPSZL'!$K$7:$W$207,MATCH($B115,'Budget-ACPSZL'!$B$7:$B$207,0),MATCH('Budget-ACPSZL'!K$6,'Budget-ACPSZL'!$K$6:$W$6,0)):INDEX('Budget-ACPSZL'!$K$7:$W$207,MATCH($B115,'Budget-ACPSZL'!$B$7:$B$207,0),MATCH(AR$8,'Budget-ACPSZL'!$K$6:$W$6,0)))</f>
        <v>0</v>
      </c>
      <c r="AS115" s="749">
        <f t="shared" si="77"/>
        <v>0</v>
      </c>
      <c r="AT115" s="748"/>
      <c r="AV115" s="749">
        <f>SUM(INDEX('Actual-ACPLSZ'!$H$7:$T$207,MATCH($B115,'Actual-ACPLSZ'!$B$7:$B$207,0),MATCH('Actual-ACPLSZ'!H$6,'Actual-ACPLSZ'!$H$6:$T$6,0)):INDEX('Actual-ACPLSZ'!$H$7:$T$207,MATCH($B115,'Actual-ACPLSZ'!$B$7:$B$207,0),MATCH(AV$8,'Actual-ACPLSZ'!$H$6:$T$6,0)))</f>
        <v>0</v>
      </c>
      <c r="AW115" s="749">
        <f>SUM(INDEX('Budget-ACPLSZ'!$K$7:$W$207,MATCH($B115,'Budget-ACPLSZ'!$B$7:$B$207,0),MATCH('Budget-ACPLSZ'!K$6,'Budget-ACPLSZ'!$K$6:$W$6,0)):INDEX('Budget-ACPLSZ'!$K$7:$W$207,MATCH($B115,'Budget-ACPLSZ'!$B$7:$B$207,0),MATCH(AW$8,'Budget-ACPLSZ'!$K$6:$W$6,0)))</f>
        <v>0</v>
      </c>
      <c r="AX115" s="749">
        <f t="shared" si="80"/>
        <v>0</v>
      </c>
      <c r="AY115" s="748"/>
      <c r="BA115" s="749">
        <f>SUM(INDEX('Actual-ACPLGZ'!$H$7:$T$207,MATCH($B115,'Actual-ACPLGZ'!$B$7:$B$207,0),MATCH('Actual-ACPLGZ'!H$6,'Actual-ACPLGZ'!$H$6:$T$6,0)):INDEX('Actual-ACPLGZ'!$H$7:$T$207,MATCH($B115,'Actual-ACPLGZ'!$B$7:$B$207,0),MATCH(BA$8,'Actual-ACPLGZ'!$H$6:$T$6,0)))</f>
        <v>0</v>
      </c>
      <c r="BB115" s="749">
        <f>SUM(INDEX('Budget-ACPLGZ'!$K$7:$W$207,MATCH($B115,'Budget-ACPLGZ'!$B$7:$B$207,0),MATCH('Budget-ACPLGZ'!K$6,'Budget-ACPLGZ'!$K$6:$W$6,0)):INDEX('Budget-ACPLGZ'!$K$7:$W$207,MATCH($B115,'Budget-ACPLGZ'!$B$7:$B$207,0),MATCH(BB$8,'Budget-ACPLGZ'!$K$6:$W$6,0)))</f>
        <v>0</v>
      </c>
      <c r="BC115" s="749">
        <f>BA115-BB115</f>
        <v>0</v>
      </c>
      <c r="BD115" s="748"/>
      <c r="BF115" s="749">
        <f>SUM(INDEX('Actual-ACPLYixing'!$H$7:$T$207,MATCH($B115,'Actual-ACPLYixing'!$B$7:$B$207,0),MATCH('Actual-ACPLYixing'!H$6,'Actual-ACPLYixing'!$H$6:$T$6,0)):INDEX('Actual-ACPLYixing'!$H$7:$T$207,MATCH($B115,'Actual-ACPLYixing'!$B$7:$B$207,0),MATCH(BF$8,'Actual-ACPLYixing'!$H$6:$T$6,0)))</f>
        <v>0</v>
      </c>
      <c r="BG115" s="749">
        <f>SUM(INDEX('Budget-Yixing'!$K$7:$W$207,MATCH($B115,'Budget-Yixing'!$B$7:$B$207,0),MATCH('Budget-Yixing'!K$6,'Budget-Yixing'!$K$6:$W$6,0)):INDEX('Budget-Yixing'!$K$7:$W$207,MATCH($B115,'Budget-Yixing'!$B$7:$B$207,0),MATCH(BG$8,'Budget-Yixing'!$K$6:$W$6,0)))</f>
        <v>0</v>
      </c>
      <c r="BH115" s="749">
        <f>BF115-BG115</f>
        <v>0</v>
      </c>
      <c r="BI115" s="748"/>
    </row>
    <row r="116" spans="1:61" ht="16.5" customHeight="1">
      <c r="A116" s="653">
        <f>'Budget-合并'!A114</f>
        <v>0</v>
      </c>
      <c r="B116" s="653" t="str">
        <f>'Budget-合并'!B114</f>
        <v xml:space="preserve">    公司主体08</v>
      </c>
      <c r="C116" s="746">
        <f>INDEX('Actual-ACPL'!$H$7:$T$207,MATCH($B116,'Actual-ACPL'!$B$7:$B$207,0),MATCH(C$8,'Actual-ACPL'!$H$6:$T$6,0))</f>
        <v>0</v>
      </c>
      <c r="D116" s="746">
        <f>INDEX('Budget-ACPL'!$K$7:$W$207,MATCH($B116,'Budget-ACPL'!$B$7:$B$207,0),MATCH(D$8,'Budget-ACPL'!$K$6:$W$6,0))</f>
        <v>0</v>
      </c>
      <c r="E116" s="746">
        <f t="shared" si="75"/>
        <v>0</v>
      </c>
      <c r="F116" s="752"/>
      <c r="H116" s="749">
        <f>INDEX('Actual-ACPLHK'!$H$7:$T$207,MATCH($B116,'Actual-ACPLHK'!$B$7:$B$207,0),MATCH(H$8,'Actual-ACPLHK'!$H$6:$T$6,0))</f>
        <v>0</v>
      </c>
      <c r="I116" s="749">
        <f>INDEX('Budget-ACPLHK'!$K$7:$W$207,MATCH($B116,'Budget-ACPLHK'!$B$7:$B$207,0),MATCH(I$8,'Budget-ACPLHK'!$K$6:$W$6,0))</f>
        <v>0</v>
      </c>
      <c r="J116" s="749">
        <f t="shared" si="76"/>
        <v>0</v>
      </c>
      <c r="K116" s="748"/>
      <c r="M116" s="749">
        <f>INDEX('Actual-ACPSZL'!$H$7:$T$207,MATCH($B116,'Actual-ACPSZL'!$B$7:$B$207,0),MATCH(M$8,'Actual-ACPSZL'!$H$6:$T$6,0))</f>
        <v>0</v>
      </c>
      <c r="N116" s="749">
        <f>INDEX('Budget-ACPSZL'!$K$7:$W$207,MATCH($B116,'Budget-ACPSZL'!$B$7:$B$207,0),MATCH(N$8,'Budget-ACPSZL'!$K$6:$W$6,0))</f>
        <v>0</v>
      </c>
      <c r="O116" s="749">
        <f t="shared" si="78"/>
        <v>0</v>
      </c>
      <c r="P116" s="748"/>
      <c r="R116" s="749">
        <f>INDEX('Actual-ACPLSZ'!$H$7:$T$207,MATCH($B116,'Actual-ACPLSZ'!$B$7:$B$207,0),MATCH(R$8,'Actual-ACPLSZ'!$H$6:$T$6,0))</f>
        <v>0</v>
      </c>
      <c r="S116" s="749">
        <f>INDEX('Budget-ACPLSZ'!$K$7:$W$207,MATCH($B116,'Budget-ACPLSZ'!$B$7:$B$207,0),MATCH(S$8,'Budget-ACPLSZ'!$K$6:$W$6,0))</f>
        <v>0</v>
      </c>
      <c r="T116" s="749"/>
      <c r="U116" s="748"/>
      <c r="W116" s="749">
        <f>INDEX('Actual-ACPLGZ'!$H$7:$T$207,MATCH($B116,'Actual-ACPLGZ'!$B$7:$B$207,0),MATCH(W$8,'Actual-ACPLGZ'!$H$6:$T$6,0))</f>
        <v>0</v>
      </c>
      <c r="X116" s="749">
        <f>INDEX('Budget-ACPLGZ'!$K$7:$W$207,MATCH($B116,'Budget-ACPLGZ'!$B$7:$B$207,0),MATCH(X$8,'Budget-ACPLGZ'!$K$6:$W$6,0))</f>
        <v>0</v>
      </c>
      <c r="Y116" s="749">
        <f t="shared" si="79"/>
        <v>0</v>
      </c>
      <c r="Z116" s="748"/>
      <c r="AB116" s="749">
        <f>INDEX('Actual-ACPLGZ'!$H$7:$T$207,MATCH($B116,'Actual-ACPLGZ'!$B$7:$B$207,0),MATCH(AB$8,'Actual-ACPLGZ'!$H$6:$T$6,0))</f>
        <v>0</v>
      </c>
      <c r="AC116" s="749">
        <f>INDEX('Budget-Yixing'!$K$7:$W$207,MATCH($B116,'Budget-Yixing'!$B$7:$B$207,0),MATCH(AC$8,'Budget-Yixing'!$K$6:$W$6,0))</f>
        <v>0</v>
      </c>
      <c r="AD116" s="749"/>
      <c r="AE116" s="748"/>
      <c r="AG116" s="751">
        <f>SUM(INDEX('Actual-ACPL'!$H$7:$T$207,MATCH($B116,'Actual-ACPL'!$B$7:$B$207,0),MATCH('Actual-ACPL'!H$6,'Actual-ACPL'!$H$6:$T$6,0)):INDEX('Actual-ACPL'!$H$7:$T$207,MATCH($B116,'Actual-ACPL'!$B$7:$B$207,0),MATCH(AG$8,'Actual-ACPL'!$H$6:$T$6,0)))</f>
        <v>0</v>
      </c>
      <c r="AH116" s="749">
        <f>SUM(INDEX('Budget-ACPL'!$K$7:$W$207,MATCH($B116,'Budget-ACPL'!$B$7:$B$207,0),MATCH('Budget-ACPL'!K$6,'Budget-ACPL'!$K$6:$W$6,0)):INDEX('Budget-ACPL'!$K$7:$W$207,MATCH($B116,'Budget-ACPL'!$B$7:$B$207,0),MATCH(AH$8,'Budget-ACPL'!$K$6:$W$6,0)))</f>
        <v>0</v>
      </c>
      <c r="AI116" s="749"/>
      <c r="AJ116" s="748"/>
      <c r="AL116" s="749">
        <f>SUM(INDEX('Actual-ACPLHK'!$H$7:$S$207,MATCH($B116,'Actual-ACPLHK'!$B$7:$B$207,0),MATCH('Actual-ACPLHK'!H$6,'Actual-ACPLHK'!$H$6:$T$6,0)):INDEX('Actual-ACPLHK'!$H$7:$S$207,MATCH($B116,'Actual-ACPLHK'!$B$7:$B$207,0),MATCH(AL$8,'Actual-ACPLHK'!$H$6:$T$6,0)))</f>
        <v>0</v>
      </c>
      <c r="AM116" s="749">
        <f>SUM(INDEX('Budget-ACPLHK'!$K$7:$W$207,MATCH($B116,'Budget-ACPLHK'!$B$7:$B$207,0),MATCH('Budget-ACPLHK'!K$6,'Budget-ACPLHK'!$K$6:$W$6,0)):INDEX('Budget-ACPLHK'!$K$7:$W$207,MATCH($B116,'Budget-ACPLHK'!$B$7:$B$207,0),MATCH(AM$8,'Budget-ACPLHK'!$K$6:$W$6,0)))</f>
        <v>0</v>
      </c>
      <c r="AN116" s="749"/>
      <c r="AO116" s="748"/>
      <c r="AQ116" s="749">
        <f>SUM(INDEX('Actual-ACPSZL'!$H$7:$T$207,MATCH($B116,'Actual-ACPSZL'!$B$7:$B$207,0),MATCH('Actual-ACPSZL'!H$6,'Actual-ACPSZL'!$H$6:$T$6,0)):INDEX('Actual-ACPSZL'!$H$7:$T$207,MATCH($B116,'Actual-ACPSZL'!$B$7:$B$207,0),MATCH(AQ$8,'Actual-ACPSZL'!$H$6:$T$6,0)))</f>
        <v>0</v>
      </c>
      <c r="AR116" s="749">
        <f>SUM(INDEX('Budget-ACPSZL'!$K$7:$W$207,MATCH($B116,'Budget-ACPSZL'!$B$7:$B$207,0),MATCH('Budget-ACPSZL'!K$6,'Budget-ACPSZL'!$K$6:$W$6,0)):INDEX('Budget-ACPSZL'!$K$7:$W$207,MATCH($B116,'Budget-ACPSZL'!$B$7:$B$207,0),MATCH(AR$8,'Budget-ACPSZL'!$K$6:$W$6,0)))</f>
        <v>0</v>
      </c>
      <c r="AS116" s="749">
        <f t="shared" si="77"/>
        <v>0</v>
      </c>
      <c r="AT116" s="748"/>
      <c r="AV116" s="749">
        <f>SUM(INDEX('Actual-ACPLSZ'!$H$7:$T$207,MATCH($B116,'Actual-ACPLSZ'!$B$7:$B$207,0),MATCH('Actual-ACPLSZ'!H$6,'Actual-ACPLSZ'!$H$6:$T$6,0)):INDEX('Actual-ACPLSZ'!$H$7:$T$207,MATCH($B116,'Actual-ACPLSZ'!$B$7:$B$207,0),MATCH(AV$8,'Actual-ACPLSZ'!$H$6:$T$6,0)))</f>
        <v>0</v>
      </c>
      <c r="AW116" s="749">
        <f>SUM(INDEX('Budget-ACPLSZ'!$K$7:$W$207,MATCH($B116,'Budget-ACPLSZ'!$B$7:$B$207,0),MATCH('Budget-ACPLSZ'!K$6,'Budget-ACPLSZ'!$K$6:$W$6,0)):INDEX('Budget-ACPLSZ'!$K$7:$W$207,MATCH($B116,'Budget-ACPLSZ'!$B$7:$B$207,0),MATCH(AW$8,'Budget-ACPLSZ'!$K$6:$W$6,0)))</f>
        <v>0</v>
      </c>
      <c r="AX116" s="749">
        <f t="shared" si="80"/>
        <v>0</v>
      </c>
      <c r="AY116" s="748"/>
      <c r="BA116" s="749">
        <f>SUM(INDEX('Actual-ACPLGZ'!$H$7:$T$207,MATCH($B116,'Actual-ACPLGZ'!$B$7:$B$207,0),MATCH('Actual-ACPLGZ'!H$6,'Actual-ACPLGZ'!$H$6:$T$6,0)):INDEX('Actual-ACPLGZ'!$H$7:$T$207,MATCH($B116,'Actual-ACPLGZ'!$B$7:$B$207,0),MATCH(BA$8,'Actual-ACPLGZ'!$H$6:$T$6,0)))</f>
        <v>0</v>
      </c>
      <c r="BB116" s="749">
        <f>SUM(INDEX('Budget-ACPLGZ'!$K$7:$W$207,MATCH($B116,'Budget-ACPLGZ'!$B$7:$B$207,0),MATCH('Budget-ACPLGZ'!K$6,'Budget-ACPLGZ'!$K$6:$W$6,0)):INDEX('Budget-ACPLGZ'!$K$7:$W$207,MATCH($B116,'Budget-ACPLGZ'!$B$7:$B$207,0),MATCH(BB$8,'Budget-ACPLGZ'!$K$6:$W$6,0)))</f>
        <v>0</v>
      </c>
      <c r="BC116" s="749"/>
      <c r="BD116" s="748"/>
      <c r="BF116" s="749">
        <f>SUM(INDEX('Actual-ACPLYixing'!$H$7:$T$207,MATCH($B116,'Actual-ACPLYixing'!$B$7:$B$207,0),MATCH('Actual-ACPLYixing'!H$6,'Actual-ACPLYixing'!$H$6:$T$6,0)):INDEX('Actual-ACPLYixing'!$H$7:$T$207,MATCH($B116,'Actual-ACPLYixing'!$B$7:$B$207,0),MATCH(BF$8,'Actual-ACPLYixing'!$H$6:$T$6,0)))</f>
        <v>0</v>
      </c>
      <c r="BG116" s="749">
        <f>SUM(INDEX('Budget-Yixing'!$K$7:$W$207,MATCH($B116,'Budget-Yixing'!$B$7:$B$207,0),MATCH('Budget-Yixing'!K$6,'Budget-Yixing'!$K$6:$W$6,0)):INDEX('Budget-Yixing'!$K$7:$W$207,MATCH($B116,'Budget-Yixing'!$B$7:$B$207,0),MATCH(BG$8,'Budget-Yixing'!$K$6:$W$6,0)))</f>
        <v>0</v>
      </c>
      <c r="BH116" s="749"/>
      <c r="BI116" s="748"/>
    </row>
    <row r="117" spans="1:61" ht="16.5" customHeight="1">
      <c r="A117" s="653">
        <f>'Budget-合并'!A115</f>
        <v>0</v>
      </c>
      <c r="B117" s="653" t="str">
        <f>'Budget-合并'!B115</f>
        <v xml:space="preserve">    旭智富能08</v>
      </c>
      <c r="C117" s="746">
        <f>INDEX('Actual-ACPL'!$H$7:$T$207,MATCH($B117,'Actual-ACPL'!$B$7:$B$207,0),MATCH(C$8,'Actual-ACPL'!$H$6:$T$6,0))</f>
        <v>0</v>
      </c>
      <c r="D117" s="746">
        <f>INDEX('Budget-ACPL'!$K$7:$W$207,MATCH($B117,'Budget-ACPL'!$B$7:$B$207,0),MATCH(D$8,'Budget-ACPL'!$K$6:$W$6,0))</f>
        <v>0</v>
      </c>
      <c r="E117" s="746">
        <f t="shared" si="75"/>
        <v>0</v>
      </c>
      <c r="F117" s="752"/>
      <c r="H117" s="749">
        <f>INDEX('Actual-ACPLHK'!$H$7:$T$207,MATCH($B117,'Actual-ACPLHK'!$B$7:$B$207,0),MATCH(H$8,'Actual-ACPLHK'!$H$6:$T$6,0))</f>
        <v>0</v>
      </c>
      <c r="I117" s="749">
        <f>INDEX('Budget-ACPLHK'!$K$7:$W$207,MATCH($B117,'Budget-ACPLHK'!$B$7:$B$207,0),MATCH(I$8,'Budget-ACPLHK'!$K$6:$W$6,0))</f>
        <v>0</v>
      </c>
      <c r="J117" s="749">
        <f t="shared" si="76"/>
        <v>0</v>
      </c>
      <c r="K117" s="748"/>
      <c r="M117" s="749">
        <f>INDEX('Actual-ACPSZL'!$H$7:$T$207,MATCH($B117,'Actual-ACPSZL'!$B$7:$B$207,0),MATCH(M$8,'Actual-ACPSZL'!$H$6:$T$6,0))</f>
        <v>0</v>
      </c>
      <c r="N117" s="749">
        <f>INDEX('Budget-ACPSZL'!$K$7:$W$207,MATCH($B117,'Budget-ACPSZL'!$B$7:$B$207,0),MATCH(N$8,'Budget-ACPSZL'!$K$6:$W$6,0))</f>
        <v>0</v>
      </c>
      <c r="O117" s="749">
        <f t="shared" si="78"/>
        <v>0</v>
      </c>
      <c r="P117" s="748"/>
      <c r="R117" s="749">
        <f>INDEX('Actual-ACPLSZ'!$H$7:$T$207,MATCH($B117,'Actual-ACPLSZ'!$B$7:$B$207,0),MATCH(R$8,'Actual-ACPLSZ'!$H$6:$T$6,0))</f>
        <v>0</v>
      </c>
      <c r="S117" s="749">
        <f>INDEX('Budget-ACPLSZ'!$K$7:$W$207,MATCH($B117,'Budget-ACPLSZ'!$B$7:$B$207,0),MATCH(S$8,'Budget-ACPLSZ'!$K$6:$W$6,0))</f>
        <v>0</v>
      </c>
      <c r="T117" s="749">
        <f>(R117-S117)*-1</f>
        <v>0</v>
      </c>
      <c r="U117" s="748"/>
      <c r="W117" s="749">
        <f>INDEX('Actual-ACPLGZ'!$H$7:$T$207,MATCH($B117,'Actual-ACPLGZ'!$B$7:$B$207,0),MATCH(W$8,'Actual-ACPLGZ'!$H$6:$T$6,0))</f>
        <v>0</v>
      </c>
      <c r="X117" s="749">
        <f>INDEX('Budget-ACPLGZ'!$K$7:$W$207,MATCH($B117,'Budget-ACPLGZ'!$B$7:$B$207,0),MATCH(X$8,'Budget-ACPLGZ'!$K$6:$W$6,0))</f>
        <v>0</v>
      </c>
      <c r="Y117" s="749">
        <f t="shared" si="79"/>
        <v>0</v>
      </c>
      <c r="Z117" s="748"/>
      <c r="AB117" s="749">
        <f>INDEX('Actual-ACPLGZ'!$H$7:$T$207,MATCH($B117,'Actual-ACPLGZ'!$B$7:$B$207,0),MATCH(AB$8,'Actual-ACPLGZ'!$H$6:$T$6,0))</f>
        <v>0</v>
      </c>
      <c r="AC117" s="749">
        <f>INDEX('Budget-Yixing'!$K$7:$W$207,MATCH($B117,'Budget-Yixing'!$B$7:$B$207,0),MATCH(AC$8,'Budget-Yixing'!$K$6:$W$6,0))</f>
        <v>0</v>
      </c>
      <c r="AD117" s="749">
        <f>(AB117-AC117)*-1</f>
        <v>0</v>
      </c>
      <c r="AE117" s="748"/>
      <c r="AG117" s="751">
        <f>SUM(INDEX('Actual-ACPL'!$H$7:$T$207,MATCH($B117,'Actual-ACPL'!$B$7:$B$207,0),MATCH('Actual-ACPL'!H$6,'Actual-ACPL'!$H$6:$T$6,0)):INDEX('Actual-ACPL'!$H$7:$T$207,MATCH($B117,'Actual-ACPL'!$B$7:$B$207,0),MATCH(AG$8,'Actual-ACPL'!$H$6:$T$6,0)))</f>
        <v>0</v>
      </c>
      <c r="AH117" s="749">
        <f>SUM(INDEX('Budget-ACPL'!$K$7:$W$207,MATCH($B117,'Budget-ACPL'!$B$7:$B$207,0),MATCH('Budget-ACPL'!K$6,'Budget-ACPL'!$K$6:$W$6,0)):INDEX('Budget-ACPL'!$K$7:$W$207,MATCH($B117,'Budget-ACPL'!$B$7:$B$207,0),MATCH(AH$8,'Budget-ACPL'!$K$6:$W$6,0)))</f>
        <v>0</v>
      </c>
      <c r="AI117" s="749">
        <f>AG117-AH117</f>
        <v>0</v>
      </c>
      <c r="AJ117" s="748"/>
      <c r="AL117" s="749">
        <f>SUM(INDEX('Actual-ACPLHK'!$H$7:$S$207,MATCH($B117,'Actual-ACPLHK'!$B$7:$B$207,0),MATCH('Actual-ACPLHK'!H$6,'Actual-ACPLHK'!$H$6:$T$6,0)):INDEX('Actual-ACPLHK'!$H$7:$S$207,MATCH($B117,'Actual-ACPLHK'!$B$7:$B$207,0),MATCH(AL$8,'Actual-ACPLHK'!$H$6:$T$6,0)))</f>
        <v>0</v>
      </c>
      <c r="AM117" s="749">
        <f>SUM(INDEX('Budget-ACPLHK'!$K$7:$W$207,MATCH($B117,'Budget-ACPLHK'!$B$7:$B$207,0),MATCH('Budget-ACPLHK'!K$6,'Budget-ACPLHK'!$K$6:$W$6,0)):INDEX('Budget-ACPLHK'!$K$7:$W$207,MATCH($B117,'Budget-ACPLHK'!$B$7:$B$207,0),MATCH(AM$8,'Budget-ACPLHK'!$K$6:$W$6,0)))</f>
        <v>0</v>
      </c>
      <c r="AN117" s="749">
        <f>AL117-AM117</f>
        <v>0</v>
      </c>
      <c r="AO117" s="748"/>
      <c r="AQ117" s="749">
        <f>SUM(INDEX('Actual-ACPSZL'!$H$7:$T$207,MATCH($B117,'Actual-ACPSZL'!$B$7:$B$207,0),MATCH('Actual-ACPSZL'!H$6,'Actual-ACPSZL'!$H$6:$T$6,0)):INDEX('Actual-ACPSZL'!$H$7:$T$207,MATCH($B117,'Actual-ACPSZL'!$B$7:$B$207,0),MATCH(AQ$8,'Actual-ACPSZL'!$H$6:$T$6,0)))</f>
        <v>0</v>
      </c>
      <c r="AR117" s="749">
        <f>SUM(INDEX('Budget-ACPSZL'!$K$7:$W$207,MATCH($B117,'Budget-ACPSZL'!$B$7:$B$207,0),MATCH('Budget-ACPSZL'!K$6,'Budget-ACPSZL'!$K$6:$W$6,0)):INDEX('Budget-ACPSZL'!$K$7:$W$207,MATCH($B117,'Budget-ACPSZL'!$B$7:$B$207,0),MATCH(AR$8,'Budget-ACPSZL'!$K$6:$W$6,0)))</f>
        <v>0</v>
      </c>
      <c r="AS117" s="749">
        <f t="shared" si="77"/>
        <v>0</v>
      </c>
      <c r="AT117" s="748"/>
      <c r="AV117" s="749">
        <f>SUM(INDEX('Actual-ACPLSZ'!$H$7:$T$207,MATCH($B117,'Actual-ACPLSZ'!$B$7:$B$207,0),MATCH('Actual-ACPLSZ'!H$6,'Actual-ACPLSZ'!$H$6:$T$6,0)):INDEX('Actual-ACPLSZ'!$H$7:$T$207,MATCH($B117,'Actual-ACPLSZ'!$B$7:$B$207,0),MATCH(AV$8,'Actual-ACPLSZ'!$H$6:$T$6,0)))</f>
        <v>0</v>
      </c>
      <c r="AW117" s="749">
        <f>SUM(INDEX('Budget-ACPLSZ'!$K$7:$W$207,MATCH($B117,'Budget-ACPLSZ'!$B$7:$B$207,0),MATCH('Budget-ACPLSZ'!K$6,'Budget-ACPLSZ'!$K$6:$W$6,0)):INDEX('Budget-ACPLSZ'!$K$7:$W$207,MATCH($B117,'Budget-ACPLSZ'!$B$7:$B$207,0),MATCH(AW$8,'Budget-ACPLSZ'!$K$6:$W$6,0)))</f>
        <v>0</v>
      </c>
      <c r="AX117" s="749">
        <f t="shared" si="80"/>
        <v>0</v>
      </c>
      <c r="AY117" s="748"/>
      <c r="BA117" s="749">
        <f>SUM(INDEX('Actual-ACPLGZ'!$H$7:$T$207,MATCH($B117,'Actual-ACPLGZ'!$B$7:$B$207,0),MATCH('Actual-ACPLGZ'!H$6,'Actual-ACPLGZ'!$H$6:$T$6,0)):INDEX('Actual-ACPLGZ'!$H$7:$T$207,MATCH($B117,'Actual-ACPLGZ'!$B$7:$B$207,0),MATCH(BA$8,'Actual-ACPLGZ'!$H$6:$T$6,0)))</f>
        <v>0</v>
      </c>
      <c r="BB117" s="749">
        <f>SUM(INDEX('Budget-ACPLGZ'!$K$7:$W$207,MATCH($B117,'Budget-ACPLGZ'!$B$7:$B$207,0),MATCH('Budget-ACPLGZ'!K$6,'Budget-ACPLGZ'!$K$6:$W$6,0)):INDEX('Budget-ACPLGZ'!$K$7:$W$207,MATCH($B117,'Budget-ACPLGZ'!$B$7:$B$207,0),MATCH(BB$8,'Budget-ACPLGZ'!$K$6:$W$6,0)))</f>
        <v>0</v>
      </c>
      <c r="BC117" s="749">
        <f>BA117-BB117</f>
        <v>0</v>
      </c>
      <c r="BD117" s="748"/>
      <c r="BF117" s="749">
        <f>SUM(INDEX('Actual-ACPLYixing'!$H$7:$T$207,MATCH($B117,'Actual-ACPLYixing'!$B$7:$B$207,0),MATCH('Actual-ACPLYixing'!H$6,'Actual-ACPLYixing'!$H$6:$T$6,0)):INDEX('Actual-ACPLYixing'!$H$7:$T$207,MATCH($B117,'Actual-ACPLYixing'!$B$7:$B$207,0),MATCH(BF$8,'Actual-ACPLYixing'!$H$6:$T$6,0)))</f>
        <v>0</v>
      </c>
      <c r="BG117" s="749">
        <f>SUM(INDEX('Budget-Yixing'!$K$7:$W$207,MATCH($B117,'Budget-Yixing'!$B$7:$B$207,0),MATCH('Budget-Yixing'!K$6,'Budget-Yixing'!$K$6:$W$6,0)):INDEX('Budget-Yixing'!$K$7:$W$207,MATCH($B117,'Budget-Yixing'!$B$7:$B$207,0),MATCH(BG$8,'Budget-Yixing'!$K$6:$W$6,0)))</f>
        <v>0</v>
      </c>
      <c r="BH117" s="749">
        <f>BF117-BG117</f>
        <v>0</v>
      </c>
      <c r="BI117" s="748"/>
    </row>
    <row r="118" spans="1:61" ht="16.5" customHeight="1">
      <c r="A118" s="653">
        <f>'Budget-合并'!A116</f>
        <v>0</v>
      </c>
      <c r="B118" s="653" t="str">
        <f>'Budget-合并'!B116</f>
        <v xml:space="preserve">    其他项目08</v>
      </c>
      <c r="C118" s="746">
        <f>INDEX('Actual-ACPL'!$H$7:$T$207,MATCH($B118,'Actual-ACPL'!$B$7:$B$207,0),MATCH(C$8,'Actual-ACPL'!$H$6:$T$6,0))</f>
        <v>0</v>
      </c>
      <c r="D118" s="746">
        <f>INDEX('Budget-ACPL'!$K$7:$W$207,MATCH($B118,'Budget-ACPL'!$B$7:$B$207,0),MATCH(D$8,'Budget-ACPL'!$K$6:$W$6,0))</f>
        <v>0</v>
      </c>
      <c r="E118" s="746">
        <f t="shared" si="75"/>
        <v>0</v>
      </c>
      <c r="F118" s="752"/>
      <c r="H118" s="749">
        <f>INDEX('Actual-ACPLHK'!$H$7:$T$207,MATCH($B118,'Actual-ACPLHK'!$B$7:$B$207,0),MATCH(H$8,'Actual-ACPLHK'!$H$6:$T$6,0))</f>
        <v>0</v>
      </c>
      <c r="I118" s="749">
        <f>INDEX('Budget-ACPLHK'!$K$7:$W$207,MATCH($B118,'Budget-ACPLHK'!$B$7:$B$207,0),MATCH(I$8,'Budget-ACPLHK'!$K$6:$W$6,0))</f>
        <v>0</v>
      </c>
      <c r="J118" s="749">
        <f t="shared" si="76"/>
        <v>0</v>
      </c>
      <c r="K118" s="748"/>
      <c r="M118" s="749">
        <f>INDEX('Actual-ACPSZL'!$H$7:$T$207,MATCH($B118,'Actual-ACPSZL'!$B$7:$B$207,0),MATCH(M$8,'Actual-ACPSZL'!$H$6:$T$6,0))</f>
        <v>0</v>
      </c>
      <c r="N118" s="749">
        <f>INDEX('Budget-ACPSZL'!$K$7:$W$207,MATCH($B118,'Budget-ACPSZL'!$B$7:$B$207,0),MATCH(N$8,'Budget-ACPSZL'!$K$6:$W$6,0))</f>
        <v>0</v>
      </c>
      <c r="O118" s="749">
        <f t="shared" si="78"/>
        <v>0</v>
      </c>
      <c r="P118" s="748"/>
      <c r="R118" s="749">
        <f>INDEX('Actual-ACPLSZ'!$H$7:$T$207,MATCH($B118,'Actual-ACPLSZ'!$B$7:$B$207,0),MATCH(R$8,'Actual-ACPLSZ'!$H$6:$T$6,0))</f>
        <v>0</v>
      </c>
      <c r="S118" s="749">
        <f>INDEX('Budget-ACPLSZ'!$K$7:$W$207,MATCH($B118,'Budget-ACPLSZ'!$B$7:$B$207,0),MATCH(S$8,'Budget-ACPLSZ'!$K$6:$W$6,0))</f>
        <v>0</v>
      </c>
      <c r="T118" s="749">
        <f>(R118-S118)*-1</f>
        <v>0</v>
      </c>
      <c r="U118" s="748"/>
      <c r="W118" s="749">
        <f>INDEX('Actual-ACPLGZ'!$H$7:$T$207,MATCH($B118,'Actual-ACPLGZ'!$B$7:$B$207,0),MATCH(W$8,'Actual-ACPLGZ'!$H$6:$T$6,0))</f>
        <v>0</v>
      </c>
      <c r="X118" s="749">
        <f>INDEX('Budget-ACPLGZ'!$K$7:$W$207,MATCH($B118,'Budget-ACPLGZ'!$B$7:$B$207,0),MATCH(X$8,'Budget-ACPLGZ'!$K$6:$W$6,0))</f>
        <v>0</v>
      </c>
      <c r="Y118" s="749">
        <f t="shared" si="79"/>
        <v>0</v>
      </c>
      <c r="Z118" s="748"/>
      <c r="AB118" s="749">
        <f>INDEX('Actual-ACPLGZ'!$H$7:$T$207,MATCH($B118,'Actual-ACPLGZ'!$B$7:$B$207,0),MATCH(AB$8,'Actual-ACPLGZ'!$H$6:$T$6,0))</f>
        <v>0</v>
      </c>
      <c r="AC118" s="749">
        <f>INDEX('Budget-Yixing'!$K$7:$W$207,MATCH($B118,'Budget-Yixing'!$B$7:$B$207,0),MATCH(AC$8,'Budget-Yixing'!$K$6:$W$6,0))</f>
        <v>0</v>
      </c>
      <c r="AD118" s="749">
        <f>(AB118-AC118)*-1</f>
        <v>0</v>
      </c>
      <c r="AE118" s="748"/>
      <c r="AG118" s="751">
        <f>SUM(INDEX('Actual-ACPL'!$H$7:$T$207,MATCH($B118,'Actual-ACPL'!$B$7:$B$207,0),MATCH('Actual-ACPL'!H$6,'Actual-ACPL'!$H$6:$T$6,0)):INDEX('Actual-ACPL'!$H$7:$T$207,MATCH($B118,'Actual-ACPL'!$B$7:$B$207,0),MATCH(AG$8,'Actual-ACPL'!$H$6:$T$6,0)))</f>
        <v>0</v>
      </c>
      <c r="AH118" s="749">
        <f>SUM(INDEX('Budget-ACPL'!$K$7:$W$207,MATCH($B118,'Budget-ACPL'!$B$7:$B$207,0),MATCH('Budget-ACPL'!K$6,'Budget-ACPL'!$K$6:$W$6,0)):INDEX('Budget-ACPL'!$K$7:$W$207,MATCH($B118,'Budget-ACPL'!$B$7:$B$207,0),MATCH(AH$8,'Budget-ACPL'!$K$6:$W$6,0)))</f>
        <v>0</v>
      </c>
      <c r="AI118" s="749">
        <f>AG118-AH118</f>
        <v>0</v>
      </c>
      <c r="AJ118" s="748"/>
      <c r="AL118" s="749">
        <f>SUM(INDEX('Actual-ACPLHK'!$H$7:$S$207,MATCH($B118,'Actual-ACPLHK'!$B$7:$B$207,0),MATCH('Actual-ACPLHK'!H$6,'Actual-ACPLHK'!$H$6:$T$6,0)):INDEX('Actual-ACPLHK'!$H$7:$S$207,MATCH($B118,'Actual-ACPLHK'!$B$7:$B$207,0),MATCH(AL$8,'Actual-ACPLHK'!$H$6:$T$6,0)))</f>
        <v>0</v>
      </c>
      <c r="AM118" s="749">
        <f>SUM(INDEX('Budget-ACPLHK'!$K$7:$W$207,MATCH($B118,'Budget-ACPLHK'!$B$7:$B$207,0),MATCH('Budget-ACPLHK'!K$6,'Budget-ACPLHK'!$K$6:$W$6,0)):INDEX('Budget-ACPLHK'!$K$7:$W$207,MATCH($B118,'Budget-ACPLHK'!$B$7:$B$207,0),MATCH(AM$8,'Budget-ACPLHK'!$K$6:$W$6,0)))</f>
        <v>0</v>
      </c>
      <c r="AN118" s="749">
        <f>AL118-AM118</f>
        <v>0</v>
      </c>
      <c r="AO118" s="748"/>
      <c r="AQ118" s="749">
        <f>SUM(INDEX('Actual-ACPSZL'!$H$7:$T$207,MATCH($B118,'Actual-ACPSZL'!$B$7:$B$207,0),MATCH('Actual-ACPSZL'!H$6,'Actual-ACPSZL'!$H$6:$T$6,0)):INDEX('Actual-ACPSZL'!$H$7:$T$207,MATCH($B118,'Actual-ACPSZL'!$B$7:$B$207,0),MATCH(AQ$8,'Actual-ACPSZL'!$H$6:$T$6,0)))</f>
        <v>0</v>
      </c>
      <c r="AR118" s="749">
        <f>SUM(INDEX('Budget-ACPSZL'!$K$7:$W$207,MATCH($B118,'Budget-ACPSZL'!$B$7:$B$207,0),MATCH('Budget-ACPSZL'!K$6,'Budget-ACPSZL'!$K$6:$W$6,0)):INDEX('Budget-ACPSZL'!$K$7:$W$207,MATCH($B118,'Budget-ACPSZL'!$B$7:$B$207,0),MATCH(AR$8,'Budget-ACPSZL'!$K$6:$W$6,0)))</f>
        <v>0</v>
      </c>
      <c r="AS118" s="749">
        <f t="shared" si="77"/>
        <v>0</v>
      </c>
      <c r="AT118" s="748"/>
      <c r="AV118" s="749">
        <f>SUM(INDEX('Actual-ACPLSZ'!$H$7:$T$207,MATCH($B118,'Actual-ACPLSZ'!$B$7:$B$207,0),MATCH('Actual-ACPLSZ'!H$6,'Actual-ACPLSZ'!$H$6:$T$6,0)):INDEX('Actual-ACPLSZ'!$H$7:$T$207,MATCH($B118,'Actual-ACPLSZ'!$B$7:$B$207,0),MATCH(AV$8,'Actual-ACPLSZ'!$H$6:$T$6,0)))</f>
        <v>0</v>
      </c>
      <c r="AW118" s="749">
        <f>SUM(INDEX('Budget-ACPLSZ'!$K$7:$W$207,MATCH($B118,'Budget-ACPLSZ'!$B$7:$B$207,0),MATCH('Budget-ACPLSZ'!K$6,'Budget-ACPLSZ'!$K$6:$W$6,0)):INDEX('Budget-ACPLSZ'!$K$7:$W$207,MATCH($B118,'Budget-ACPLSZ'!$B$7:$B$207,0),MATCH(AW$8,'Budget-ACPLSZ'!$K$6:$W$6,0)))</f>
        <v>0</v>
      </c>
      <c r="AX118" s="749">
        <f t="shared" si="80"/>
        <v>0</v>
      </c>
      <c r="AY118" s="748"/>
      <c r="BA118" s="749">
        <f>SUM(INDEX('Actual-ACPLGZ'!$H$7:$T$207,MATCH($B118,'Actual-ACPLGZ'!$B$7:$B$207,0),MATCH('Actual-ACPLGZ'!H$6,'Actual-ACPLGZ'!$H$6:$T$6,0)):INDEX('Actual-ACPLGZ'!$H$7:$T$207,MATCH($B118,'Actual-ACPLGZ'!$B$7:$B$207,0),MATCH(BA$8,'Actual-ACPLGZ'!$H$6:$T$6,0)))</f>
        <v>0</v>
      </c>
      <c r="BB118" s="749">
        <f>SUM(INDEX('Budget-ACPLGZ'!$K$7:$W$207,MATCH($B118,'Budget-ACPLGZ'!$B$7:$B$207,0),MATCH('Budget-ACPLGZ'!K$6,'Budget-ACPLGZ'!$K$6:$W$6,0)):INDEX('Budget-ACPLGZ'!$K$7:$W$207,MATCH($B118,'Budget-ACPLGZ'!$B$7:$B$207,0),MATCH(BB$8,'Budget-ACPLGZ'!$K$6:$W$6,0)))</f>
        <v>0</v>
      </c>
      <c r="BC118" s="749">
        <f>BA118-BB118</f>
        <v>0</v>
      </c>
      <c r="BD118" s="748"/>
      <c r="BF118" s="749">
        <f>SUM(INDEX('Actual-ACPLYixing'!$H$7:$T$207,MATCH($B118,'Actual-ACPLYixing'!$B$7:$B$207,0),MATCH('Actual-ACPLYixing'!H$6,'Actual-ACPLYixing'!$H$6:$T$6,0)):INDEX('Actual-ACPLYixing'!$H$7:$T$207,MATCH($B118,'Actual-ACPLYixing'!$B$7:$B$207,0),MATCH(BF$8,'Actual-ACPLYixing'!$H$6:$T$6,0)))</f>
        <v>0</v>
      </c>
      <c r="BG118" s="749">
        <f>SUM(INDEX('Budget-Yixing'!$K$7:$W$207,MATCH($B118,'Budget-Yixing'!$B$7:$B$207,0),MATCH('Budget-Yixing'!K$6,'Budget-Yixing'!$K$6:$W$6,0)):INDEX('Budget-Yixing'!$K$7:$W$207,MATCH($B118,'Budget-Yixing'!$B$7:$B$207,0),MATCH(BG$8,'Budget-Yixing'!$K$6:$W$6,0)))</f>
        <v>0</v>
      </c>
      <c r="BH118" s="749">
        <f>BF118-BG118</f>
        <v>0</v>
      </c>
      <c r="BI118" s="748"/>
    </row>
    <row r="119" spans="1:61" ht="16.5" customHeight="1">
      <c r="A119" s="653" t="str">
        <f>'Budget-合并'!A117</f>
        <v>6602.09.07</v>
      </c>
      <c r="B119" s="653" t="str">
        <f>'Budget-合并'!B117</f>
        <v>检测费</v>
      </c>
      <c r="C119" s="746">
        <f>INDEX('Actual-ACPL'!$H$7:$T$207,MATCH($B119,'Actual-ACPL'!$B$7:$B$207,0),MATCH(C$8,'Actual-ACPL'!$H$6:$T$6,0))</f>
        <v>0</v>
      </c>
      <c r="D119" s="746">
        <f>INDEX('Budget-ACPL'!$K$7:$W$207,MATCH($B119,'Budget-ACPL'!$B$7:$B$207,0),MATCH(D$8,'Budget-ACPL'!$K$6:$W$6,0))</f>
        <v>0</v>
      </c>
      <c r="E119" s="746">
        <f t="shared" si="75"/>
        <v>0</v>
      </c>
      <c r="F119" s="752"/>
      <c r="H119" s="749">
        <f>INDEX('Actual-ACPLHK'!$H$7:$T$207,MATCH($B119,'Actual-ACPLHK'!$B$7:$B$207,0),MATCH(H$8,'Actual-ACPLHK'!$H$6:$T$6,0))</f>
        <v>0</v>
      </c>
      <c r="I119" s="749">
        <f>INDEX('Budget-ACPLHK'!$K$7:$W$207,MATCH($B119,'Budget-ACPLHK'!$B$7:$B$207,0),MATCH(I$8,'Budget-ACPLHK'!$K$6:$W$6,0))</f>
        <v>0</v>
      </c>
      <c r="J119" s="749">
        <f t="shared" si="76"/>
        <v>0</v>
      </c>
      <c r="K119" s="748"/>
      <c r="M119" s="749">
        <f>INDEX('Actual-ACPSZL'!$H$7:$T$207,MATCH($B119,'Actual-ACPSZL'!$B$7:$B$207,0),MATCH(M$8,'Actual-ACPSZL'!$H$6:$T$6,0))</f>
        <v>0</v>
      </c>
      <c r="N119" s="749">
        <f>INDEX('Budget-ACPSZL'!$K$7:$W$207,MATCH($B119,'Budget-ACPSZL'!$B$7:$B$207,0),MATCH(N$8,'Budget-ACPSZL'!$K$6:$W$6,0))</f>
        <v>0</v>
      </c>
      <c r="O119" s="749">
        <f t="shared" si="78"/>
        <v>0</v>
      </c>
      <c r="P119" s="748"/>
      <c r="R119" s="749">
        <f>INDEX('Actual-ACPLSZ'!$H$7:$T$207,MATCH($B119,'Actual-ACPLSZ'!$B$7:$B$207,0),MATCH(R$8,'Actual-ACPLSZ'!$H$6:$T$6,0))</f>
        <v>0</v>
      </c>
      <c r="S119" s="749">
        <f>INDEX('Budget-ACPLSZ'!$K$7:$W$207,MATCH($B119,'Budget-ACPLSZ'!$B$7:$B$207,0),MATCH(S$8,'Budget-ACPLSZ'!$K$6:$W$6,0))</f>
        <v>0</v>
      </c>
      <c r="T119" s="749">
        <f>(R119-S119)*-1</f>
        <v>0</v>
      </c>
      <c r="U119" s="748"/>
      <c r="W119" s="749">
        <f>INDEX('Actual-ACPLGZ'!$H$7:$T$207,MATCH($B119,'Actual-ACPLGZ'!$B$7:$B$207,0),MATCH(W$8,'Actual-ACPLGZ'!$H$6:$T$6,0))</f>
        <v>0</v>
      </c>
      <c r="X119" s="749">
        <f>INDEX('Budget-ACPLGZ'!$K$7:$W$207,MATCH($B119,'Budget-ACPLGZ'!$B$7:$B$207,0),MATCH(X$8,'Budget-ACPLGZ'!$K$6:$W$6,0))</f>
        <v>0</v>
      </c>
      <c r="Y119" s="749">
        <f t="shared" si="79"/>
        <v>0</v>
      </c>
      <c r="Z119" s="748"/>
      <c r="AB119" s="749">
        <f>INDEX('Actual-ACPLGZ'!$H$7:$T$207,MATCH($B119,'Actual-ACPLGZ'!$B$7:$B$207,0),MATCH(AB$8,'Actual-ACPLGZ'!$H$6:$T$6,0))</f>
        <v>0</v>
      </c>
      <c r="AC119" s="749">
        <f>INDEX('Budget-Yixing'!$K$7:$W$207,MATCH($B119,'Budget-Yixing'!$B$7:$B$207,0),MATCH(AC$8,'Budget-Yixing'!$K$6:$W$6,0))</f>
        <v>0</v>
      </c>
      <c r="AD119" s="749">
        <f>(AB119-AC119)*-1</f>
        <v>0</v>
      </c>
      <c r="AE119" s="748"/>
      <c r="AG119" s="751">
        <f>SUM(INDEX('Actual-ACPL'!$H$7:$T$207,MATCH($B119,'Actual-ACPL'!$B$7:$B$207,0),MATCH('Actual-ACPL'!H$6,'Actual-ACPL'!$H$6:$T$6,0)):INDEX('Actual-ACPL'!$H$7:$T$207,MATCH($B119,'Actual-ACPL'!$B$7:$B$207,0),MATCH(AG$8,'Actual-ACPL'!$H$6:$T$6,0)))</f>
        <v>0</v>
      </c>
      <c r="AH119" s="749">
        <f>SUM(INDEX('Budget-ACPL'!$K$7:$W$207,MATCH($B119,'Budget-ACPL'!$B$7:$B$207,0),MATCH('Budget-ACPL'!K$6,'Budget-ACPL'!$K$6:$W$6,0)):INDEX('Budget-ACPL'!$K$7:$W$207,MATCH($B119,'Budget-ACPL'!$B$7:$B$207,0),MATCH(AH$8,'Budget-ACPL'!$K$6:$W$6,0)))</f>
        <v>0</v>
      </c>
      <c r="AI119" s="749">
        <f>AG119-AH119</f>
        <v>0</v>
      </c>
      <c r="AJ119" s="748"/>
      <c r="AL119" s="749">
        <f>SUM(INDEX('Actual-ACPLHK'!$H$7:$S$207,MATCH($B119,'Actual-ACPLHK'!$B$7:$B$207,0),MATCH('Actual-ACPLHK'!H$6,'Actual-ACPLHK'!$H$6:$T$6,0)):INDEX('Actual-ACPLHK'!$H$7:$S$207,MATCH($B119,'Actual-ACPLHK'!$B$7:$B$207,0),MATCH(AL$8,'Actual-ACPLHK'!$H$6:$T$6,0)))</f>
        <v>0</v>
      </c>
      <c r="AM119" s="749">
        <f>SUM(INDEX('Budget-ACPLHK'!$K$7:$W$207,MATCH($B119,'Budget-ACPLHK'!$B$7:$B$207,0),MATCH('Budget-ACPLHK'!K$6,'Budget-ACPLHK'!$K$6:$W$6,0)):INDEX('Budget-ACPLHK'!$K$7:$W$207,MATCH($B119,'Budget-ACPLHK'!$B$7:$B$207,0),MATCH(AM$8,'Budget-ACPLHK'!$K$6:$W$6,0)))</f>
        <v>0</v>
      </c>
      <c r="AN119" s="749">
        <f>AL119-AM119</f>
        <v>0</v>
      </c>
      <c r="AO119" s="748"/>
      <c r="AQ119" s="749">
        <f>SUM(INDEX('Actual-ACPSZL'!$H$7:$T$207,MATCH($B119,'Actual-ACPSZL'!$B$7:$B$207,0),MATCH('Actual-ACPSZL'!H$6,'Actual-ACPSZL'!$H$6:$T$6,0)):INDEX('Actual-ACPSZL'!$H$7:$T$207,MATCH($B119,'Actual-ACPSZL'!$B$7:$B$207,0),MATCH(AQ$8,'Actual-ACPSZL'!$H$6:$T$6,0)))</f>
        <v>0</v>
      </c>
      <c r="AR119" s="749">
        <f>SUM(INDEX('Budget-ACPSZL'!$K$7:$W$207,MATCH($B119,'Budget-ACPSZL'!$B$7:$B$207,0),MATCH('Budget-ACPSZL'!K$6,'Budget-ACPSZL'!$K$6:$W$6,0)):INDEX('Budget-ACPSZL'!$K$7:$W$207,MATCH($B119,'Budget-ACPSZL'!$B$7:$B$207,0),MATCH(AR$8,'Budget-ACPSZL'!$K$6:$W$6,0)))</f>
        <v>0</v>
      </c>
      <c r="AS119" s="749">
        <f t="shared" si="77"/>
        <v>0</v>
      </c>
      <c r="AT119" s="748"/>
      <c r="AV119" s="749">
        <f>SUM(INDEX('Actual-ACPLSZ'!$H$7:$T$207,MATCH($B119,'Actual-ACPLSZ'!$B$7:$B$207,0),MATCH('Actual-ACPLSZ'!H$6,'Actual-ACPLSZ'!$H$6:$T$6,0)):INDEX('Actual-ACPLSZ'!$H$7:$T$207,MATCH($B119,'Actual-ACPLSZ'!$B$7:$B$207,0),MATCH(AV$8,'Actual-ACPLSZ'!$H$6:$T$6,0)))</f>
        <v>0</v>
      </c>
      <c r="AW119" s="749">
        <f>SUM(INDEX('Budget-ACPLSZ'!$K$7:$W$207,MATCH($B119,'Budget-ACPLSZ'!$B$7:$B$207,0),MATCH('Budget-ACPLSZ'!K$6,'Budget-ACPLSZ'!$K$6:$W$6,0)):INDEX('Budget-ACPLSZ'!$K$7:$W$207,MATCH($B119,'Budget-ACPLSZ'!$B$7:$B$207,0),MATCH(AW$8,'Budget-ACPLSZ'!$K$6:$W$6,0)))</f>
        <v>0</v>
      </c>
      <c r="AX119" s="749">
        <f t="shared" si="80"/>
        <v>0</v>
      </c>
      <c r="AY119" s="748"/>
      <c r="BA119" s="749">
        <f>SUM(INDEX('Actual-ACPLGZ'!$H$7:$T$207,MATCH($B119,'Actual-ACPLGZ'!$B$7:$B$207,0),MATCH('Actual-ACPLGZ'!H$6,'Actual-ACPLGZ'!$H$6:$T$6,0)):INDEX('Actual-ACPLGZ'!$H$7:$T$207,MATCH($B119,'Actual-ACPLGZ'!$B$7:$B$207,0),MATCH(BA$8,'Actual-ACPLGZ'!$H$6:$T$6,0)))</f>
        <v>0</v>
      </c>
      <c r="BB119" s="749">
        <f>SUM(INDEX('Budget-ACPLGZ'!$K$7:$W$207,MATCH($B119,'Budget-ACPLGZ'!$B$7:$B$207,0),MATCH('Budget-ACPLGZ'!K$6,'Budget-ACPLGZ'!$K$6:$W$6,0)):INDEX('Budget-ACPLGZ'!$K$7:$W$207,MATCH($B119,'Budget-ACPLGZ'!$B$7:$B$207,0),MATCH(BB$8,'Budget-ACPLGZ'!$K$6:$W$6,0)))</f>
        <v>0</v>
      </c>
      <c r="BC119" s="749">
        <f>BA119-BB119</f>
        <v>0</v>
      </c>
      <c r="BD119" s="748"/>
      <c r="BF119" s="749">
        <f>SUM(INDEX('Actual-ACPLYixing'!$H$7:$T$207,MATCH($B119,'Actual-ACPLYixing'!$B$7:$B$207,0),MATCH('Actual-ACPLYixing'!H$6,'Actual-ACPLYixing'!$H$6:$T$6,0)):INDEX('Actual-ACPLYixing'!$H$7:$T$207,MATCH($B119,'Actual-ACPLYixing'!$B$7:$B$207,0),MATCH(BF$8,'Actual-ACPLYixing'!$H$6:$T$6,0)))</f>
        <v>0</v>
      </c>
      <c r="BG119" s="749">
        <f>SUM(INDEX('Budget-Yixing'!$K$7:$W$207,MATCH($B119,'Budget-Yixing'!$B$7:$B$207,0),MATCH('Budget-Yixing'!K$6,'Budget-Yixing'!$K$6:$W$6,0)):INDEX('Budget-Yixing'!$K$7:$W$207,MATCH($B119,'Budget-Yixing'!$B$7:$B$207,0),MATCH(BG$8,'Budget-Yixing'!$K$6:$W$6,0)))</f>
        <v>0</v>
      </c>
      <c r="BH119" s="749">
        <f>BF119-BG119</f>
        <v>0</v>
      </c>
      <c r="BI119" s="748"/>
    </row>
    <row r="120" spans="1:61" ht="16.5" customHeight="1">
      <c r="A120" s="653" t="str">
        <f>'Budget-合并'!A118</f>
        <v>6602.09.08</v>
      </c>
      <c r="B120" s="653" t="str">
        <f>'Budget-合并'!B118</f>
        <v>退改费用（机票/火车等）</v>
      </c>
      <c r="C120" s="746">
        <f>INDEX('Actual-ACPL'!$H$7:$T$207,MATCH($B120,'Actual-ACPL'!$B$7:$B$207,0),MATCH(C$8,'Actual-ACPL'!$H$6:$T$6,0))</f>
        <v>0</v>
      </c>
      <c r="D120" s="746">
        <f>INDEX('Budget-ACPL'!$K$7:$W$207,MATCH($B120,'Budget-ACPL'!$B$7:$B$207,0),MATCH(D$8,'Budget-ACPL'!$K$6:$W$6,0))</f>
        <v>0</v>
      </c>
      <c r="E120" s="746">
        <f t="shared" si="75"/>
        <v>0</v>
      </c>
      <c r="F120" s="752"/>
      <c r="H120" s="749">
        <f>INDEX('Actual-ACPLHK'!$H$7:$T$207,MATCH($B120,'Actual-ACPLHK'!$B$7:$B$207,0),MATCH(H$8,'Actual-ACPLHK'!$H$6:$T$6,0))</f>
        <v>0</v>
      </c>
      <c r="I120" s="749">
        <f>INDEX('Budget-ACPLHK'!$K$7:$W$207,MATCH($B120,'Budget-ACPLHK'!$B$7:$B$207,0),MATCH(I$8,'Budget-ACPLHK'!$K$6:$W$6,0))</f>
        <v>0</v>
      </c>
      <c r="J120" s="749">
        <f t="shared" si="76"/>
        <v>0</v>
      </c>
      <c r="K120" s="748"/>
      <c r="M120" s="749">
        <f>INDEX('Actual-ACPSZL'!$H$7:$T$207,MATCH($B120,'Actual-ACPSZL'!$B$7:$B$207,0),MATCH(M$8,'Actual-ACPSZL'!$H$6:$T$6,0))</f>
        <v>0</v>
      </c>
      <c r="N120" s="749">
        <f>INDEX('Budget-ACPSZL'!$K$7:$W$207,MATCH($B120,'Budget-ACPSZL'!$B$7:$B$207,0),MATCH(N$8,'Budget-ACPSZL'!$K$6:$W$6,0))</f>
        <v>0</v>
      </c>
      <c r="O120" s="749">
        <f t="shared" si="78"/>
        <v>0</v>
      </c>
      <c r="P120" s="748"/>
      <c r="R120" s="749">
        <f>INDEX('Actual-ACPLSZ'!$H$7:$T$207,MATCH($B120,'Actual-ACPLSZ'!$B$7:$B$207,0),MATCH(R$8,'Actual-ACPLSZ'!$H$6:$T$6,0))</f>
        <v>0</v>
      </c>
      <c r="S120" s="749">
        <f>INDEX('Budget-ACPLSZ'!$K$7:$W$207,MATCH($B120,'Budget-ACPLSZ'!$B$7:$B$207,0),MATCH(S$8,'Budget-ACPLSZ'!$K$6:$W$6,0))</f>
        <v>0</v>
      </c>
      <c r="T120" s="749">
        <f>(R120-S120)*-1</f>
        <v>0</v>
      </c>
      <c r="U120" s="748"/>
      <c r="W120" s="749">
        <f>INDEX('Actual-ACPLGZ'!$H$7:$T$207,MATCH($B120,'Actual-ACPLGZ'!$B$7:$B$207,0),MATCH(W$8,'Actual-ACPLGZ'!$H$6:$T$6,0))</f>
        <v>0</v>
      </c>
      <c r="X120" s="749">
        <f>INDEX('Budget-ACPLGZ'!$K$7:$W$207,MATCH($B120,'Budget-ACPLGZ'!$B$7:$B$207,0),MATCH(X$8,'Budget-ACPLGZ'!$K$6:$W$6,0))</f>
        <v>0</v>
      </c>
      <c r="Y120" s="749">
        <f t="shared" si="79"/>
        <v>0</v>
      </c>
      <c r="Z120" s="748"/>
      <c r="AB120" s="749">
        <f>INDEX('Actual-ACPLGZ'!$H$7:$T$207,MATCH($B120,'Actual-ACPLGZ'!$B$7:$B$207,0),MATCH(AB$8,'Actual-ACPLGZ'!$H$6:$T$6,0))</f>
        <v>0</v>
      </c>
      <c r="AC120" s="749">
        <f>INDEX('Budget-Yixing'!$K$7:$W$207,MATCH($B120,'Budget-Yixing'!$B$7:$B$207,0),MATCH(AC$8,'Budget-Yixing'!$K$6:$W$6,0))</f>
        <v>0</v>
      </c>
      <c r="AD120" s="749">
        <f>(AB120-AC120)*-1</f>
        <v>0</v>
      </c>
      <c r="AE120" s="748"/>
      <c r="AG120" s="751">
        <f>SUM(INDEX('Actual-ACPL'!$H$7:$T$207,MATCH($B120,'Actual-ACPL'!$B$7:$B$207,0),MATCH('Actual-ACPL'!H$6,'Actual-ACPL'!$H$6:$T$6,0)):INDEX('Actual-ACPL'!$H$7:$T$207,MATCH($B120,'Actual-ACPL'!$B$7:$B$207,0),MATCH(AG$8,'Actual-ACPL'!$H$6:$T$6,0)))</f>
        <v>0</v>
      </c>
      <c r="AH120" s="749">
        <f>SUM(INDEX('Budget-ACPL'!$K$7:$W$207,MATCH($B120,'Budget-ACPL'!$B$7:$B$207,0),MATCH('Budget-ACPL'!K$6,'Budget-ACPL'!$K$6:$W$6,0)):INDEX('Budget-ACPL'!$K$7:$W$207,MATCH($B120,'Budget-ACPL'!$B$7:$B$207,0),MATCH(AH$8,'Budget-ACPL'!$K$6:$W$6,0)))</f>
        <v>0</v>
      </c>
      <c r="AI120" s="749">
        <f>AG120-AH120</f>
        <v>0</v>
      </c>
      <c r="AJ120" s="748"/>
      <c r="AL120" s="749">
        <f>SUM(INDEX('Actual-ACPLHK'!$H$7:$S$207,MATCH($B120,'Actual-ACPLHK'!$B$7:$B$207,0),MATCH('Actual-ACPLHK'!H$6,'Actual-ACPLHK'!$H$6:$T$6,0)):INDEX('Actual-ACPLHK'!$H$7:$S$207,MATCH($B120,'Actual-ACPLHK'!$B$7:$B$207,0),MATCH(AL$8,'Actual-ACPLHK'!$H$6:$T$6,0)))</f>
        <v>0</v>
      </c>
      <c r="AM120" s="749">
        <f>SUM(INDEX('Budget-ACPLHK'!$K$7:$W$207,MATCH($B120,'Budget-ACPLHK'!$B$7:$B$207,0),MATCH('Budget-ACPLHK'!K$6,'Budget-ACPLHK'!$K$6:$W$6,0)):INDEX('Budget-ACPLHK'!$K$7:$W$207,MATCH($B120,'Budget-ACPLHK'!$B$7:$B$207,0),MATCH(AM$8,'Budget-ACPLHK'!$K$6:$W$6,0)))</f>
        <v>0</v>
      </c>
      <c r="AN120" s="749">
        <f>AL120-AM120</f>
        <v>0</v>
      </c>
      <c r="AO120" s="748"/>
      <c r="AQ120" s="749">
        <f>SUM(INDEX('Actual-ACPSZL'!$H$7:$T$207,MATCH($B120,'Actual-ACPSZL'!$B$7:$B$207,0),MATCH('Actual-ACPSZL'!H$6,'Actual-ACPSZL'!$H$6:$T$6,0)):INDEX('Actual-ACPSZL'!$H$7:$T$207,MATCH($B120,'Actual-ACPSZL'!$B$7:$B$207,0),MATCH(AQ$8,'Actual-ACPSZL'!$H$6:$T$6,0)))</f>
        <v>0</v>
      </c>
      <c r="AR120" s="749">
        <f>SUM(INDEX('Budget-ACPSZL'!$K$7:$W$207,MATCH($B120,'Budget-ACPSZL'!$B$7:$B$207,0),MATCH('Budget-ACPSZL'!K$6,'Budget-ACPSZL'!$K$6:$W$6,0)):INDEX('Budget-ACPSZL'!$K$7:$W$207,MATCH($B120,'Budget-ACPSZL'!$B$7:$B$207,0),MATCH(AR$8,'Budget-ACPSZL'!$K$6:$W$6,0)))</f>
        <v>0</v>
      </c>
      <c r="AS120" s="749">
        <f t="shared" si="77"/>
        <v>0</v>
      </c>
      <c r="AT120" s="748"/>
      <c r="AV120" s="749">
        <f>SUM(INDEX('Actual-ACPLSZ'!$H$7:$T$207,MATCH($B120,'Actual-ACPLSZ'!$B$7:$B$207,0),MATCH('Actual-ACPLSZ'!H$6,'Actual-ACPLSZ'!$H$6:$T$6,0)):INDEX('Actual-ACPLSZ'!$H$7:$T$207,MATCH($B120,'Actual-ACPLSZ'!$B$7:$B$207,0),MATCH(AV$8,'Actual-ACPLSZ'!$H$6:$T$6,0)))</f>
        <v>0</v>
      </c>
      <c r="AW120" s="749">
        <f>SUM(INDEX('Budget-ACPLSZ'!$K$7:$W$207,MATCH($B120,'Budget-ACPLSZ'!$B$7:$B$207,0),MATCH('Budget-ACPLSZ'!K$6,'Budget-ACPLSZ'!$K$6:$W$6,0)):INDEX('Budget-ACPLSZ'!$K$7:$W$207,MATCH($B120,'Budget-ACPLSZ'!$B$7:$B$207,0),MATCH(AW$8,'Budget-ACPLSZ'!$K$6:$W$6,0)))</f>
        <v>0</v>
      </c>
      <c r="AX120" s="749">
        <f t="shared" si="80"/>
        <v>0</v>
      </c>
      <c r="AY120" s="748"/>
      <c r="BA120" s="749">
        <f>SUM(INDEX('Actual-ACPLGZ'!$H$7:$T$207,MATCH($B120,'Actual-ACPLGZ'!$B$7:$B$207,0),MATCH('Actual-ACPLGZ'!H$6,'Actual-ACPLGZ'!$H$6:$T$6,0)):INDEX('Actual-ACPLGZ'!$H$7:$T$207,MATCH($B120,'Actual-ACPLGZ'!$B$7:$B$207,0),MATCH(BA$8,'Actual-ACPLGZ'!$H$6:$T$6,0)))</f>
        <v>0</v>
      </c>
      <c r="BB120" s="749">
        <f>SUM(INDEX('Budget-ACPLGZ'!$K$7:$W$207,MATCH($B120,'Budget-ACPLGZ'!$B$7:$B$207,0),MATCH('Budget-ACPLGZ'!K$6,'Budget-ACPLGZ'!$K$6:$W$6,0)):INDEX('Budget-ACPLGZ'!$K$7:$W$207,MATCH($B120,'Budget-ACPLGZ'!$B$7:$B$207,0),MATCH(BB$8,'Budget-ACPLGZ'!$K$6:$W$6,0)))</f>
        <v>0</v>
      </c>
      <c r="BC120" s="749">
        <f>BA120-BB120</f>
        <v>0</v>
      </c>
      <c r="BD120" s="748"/>
      <c r="BF120" s="749">
        <f>SUM(INDEX('Actual-ACPLYixing'!$H$7:$T$207,MATCH($B120,'Actual-ACPLYixing'!$B$7:$B$207,0),MATCH('Actual-ACPLYixing'!H$6,'Actual-ACPLYixing'!$H$6:$T$6,0)):INDEX('Actual-ACPLYixing'!$H$7:$T$207,MATCH($B120,'Actual-ACPLYixing'!$B$7:$B$207,0),MATCH(BF$8,'Actual-ACPLYixing'!$H$6:$T$6,0)))</f>
        <v>0</v>
      </c>
      <c r="BG120" s="749">
        <f>SUM(INDEX('Budget-Yixing'!$K$7:$W$207,MATCH($B120,'Budget-Yixing'!$B$7:$B$207,0),MATCH('Budget-Yixing'!K$6,'Budget-Yixing'!$K$6:$W$6,0)):INDEX('Budget-Yixing'!$K$7:$W$207,MATCH($B120,'Budget-Yixing'!$B$7:$B$207,0),MATCH(BG$8,'Budget-Yixing'!$K$6:$W$6,0)))</f>
        <v>0</v>
      </c>
      <c r="BH120" s="749">
        <f>BF120-BG120</f>
        <v>0</v>
      </c>
      <c r="BI120" s="748"/>
    </row>
    <row r="121" spans="1:61" ht="16.5" customHeight="1">
      <c r="A121" s="653">
        <f>'Budget-合并'!A119</f>
        <v>0</v>
      </c>
      <c r="B121" s="653" t="str">
        <f>'Budget-合并'!B119</f>
        <v xml:space="preserve">    公司主体09</v>
      </c>
      <c r="C121" s="746">
        <f>INDEX('Actual-ACPL'!$H$7:$T$207,MATCH($B121,'Actual-ACPL'!$B$7:$B$207,0),MATCH(C$8,'Actual-ACPL'!$H$6:$T$6,0))</f>
        <v>0</v>
      </c>
      <c r="D121" s="746">
        <f>INDEX('Budget-ACPL'!$K$7:$W$207,MATCH($B121,'Budget-ACPL'!$B$7:$B$207,0),MATCH(D$8,'Budget-ACPL'!$K$6:$W$6,0))</f>
        <v>0</v>
      </c>
      <c r="E121" s="746">
        <f t="shared" si="75"/>
        <v>0</v>
      </c>
      <c r="F121" s="752"/>
      <c r="H121" s="749">
        <f>INDEX('Actual-ACPLHK'!$H$7:$T$207,MATCH($B121,'Actual-ACPLHK'!$B$7:$B$207,0),MATCH(H$8,'Actual-ACPLHK'!$H$6:$T$6,0))</f>
        <v>0</v>
      </c>
      <c r="I121" s="749">
        <f>INDEX('Budget-ACPLHK'!$K$7:$W$207,MATCH($B121,'Budget-ACPLHK'!$B$7:$B$207,0),MATCH(I$8,'Budget-ACPLHK'!$K$6:$W$6,0))</f>
        <v>0</v>
      </c>
      <c r="J121" s="749">
        <f t="shared" si="76"/>
        <v>0</v>
      </c>
      <c r="K121" s="748"/>
      <c r="M121" s="749">
        <f>INDEX('Actual-ACPSZL'!$H$7:$T$207,MATCH($B121,'Actual-ACPSZL'!$B$7:$B$207,0),MATCH(M$8,'Actual-ACPSZL'!$H$6:$T$6,0))</f>
        <v>0</v>
      </c>
      <c r="N121" s="749">
        <f>INDEX('Budget-ACPSZL'!$K$7:$W$207,MATCH($B121,'Budget-ACPSZL'!$B$7:$B$207,0),MATCH(N$8,'Budget-ACPSZL'!$K$6:$W$6,0))</f>
        <v>0</v>
      </c>
      <c r="O121" s="749">
        <f t="shared" si="78"/>
        <v>0</v>
      </c>
      <c r="P121" s="748"/>
      <c r="R121" s="749">
        <f>INDEX('Actual-ACPLSZ'!$H$7:$T$207,MATCH($B121,'Actual-ACPLSZ'!$B$7:$B$207,0),MATCH(R$8,'Actual-ACPLSZ'!$H$6:$T$6,0))</f>
        <v>0</v>
      </c>
      <c r="S121" s="749">
        <f>INDEX('Budget-ACPLSZ'!$K$7:$W$207,MATCH($B121,'Budget-ACPLSZ'!$B$7:$B$207,0),MATCH(S$8,'Budget-ACPLSZ'!$K$6:$W$6,0))</f>
        <v>0</v>
      </c>
      <c r="T121" s="749">
        <f>(R121-S121)*-1</f>
        <v>0</v>
      </c>
      <c r="U121" s="748"/>
      <c r="W121" s="749">
        <f>INDEX('Actual-ACPLGZ'!$H$7:$T$207,MATCH($B121,'Actual-ACPLGZ'!$B$7:$B$207,0),MATCH(W$8,'Actual-ACPLGZ'!$H$6:$T$6,0))</f>
        <v>0</v>
      </c>
      <c r="X121" s="749">
        <f>INDEX('Budget-ACPLGZ'!$K$7:$W$207,MATCH($B121,'Budget-ACPLGZ'!$B$7:$B$207,0),MATCH(X$8,'Budget-ACPLGZ'!$K$6:$W$6,0))</f>
        <v>0</v>
      </c>
      <c r="Y121" s="749">
        <f t="shared" si="79"/>
        <v>0</v>
      </c>
      <c r="Z121" s="748"/>
      <c r="AB121" s="749">
        <f>INDEX('Actual-ACPLGZ'!$H$7:$T$207,MATCH($B121,'Actual-ACPLGZ'!$B$7:$B$207,0),MATCH(AB$8,'Actual-ACPLGZ'!$H$6:$T$6,0))</f>
        <v>0</v>
      </c>
      <c r="AC121" s="749">
        <f>INDEX('Budget-Yixing'!$K$7:$W$207,MATCH($B121,'Budget-Yixing'!$B$7:$B$207,0),MATCH(AC$8,'Budget-Yixing'!$K$6:$W$6,0))</f>
        <v>0</v>
      </c>
      <c r="AD121" s="749">
        <f>(AB121-AC121)*-1</f>
        <v>0</v>
      </c>
      <c r="AE121" s="748"/>
      <c r="AG121" s="751">
        <f>SUM(INDEX('Actual-ACPL'!$H$7:$T$207,MATCH($B121,'Actual-ACPL'!$B$7:$B$207,0),MATCH('Actual-ACPL'!H$6,'Actual-ACPL'!$H$6:$T$6,0)):INDEX('Actual-ACPL'!$H$7:$T$207,MATCH($B121,'Actual-ACPL'!$B$7:$B$207,0),MATCH(AG$8,'Actual-ACPL'!$H$6:$T$6,0)))</f>
        <v>0</v>
      </c>
      <c r="AH121" s="749">
        <f>SUM(INDEX('Budget-ACPL'!$K$7:$W$207,MATCH($B121,'Budget-ACPL'!$B$7:$B$207,0),MATCH('Budget-ACPL'!K$6,'Budget-ACPL'!$K$6:$W$6,0)):INDEX('Budget-ACPL'!$K$7:$W$207,MATCH($B121,'Budget-ACPL'!$B$7:$B$207,0),MATCH(AH$8,'Budget-ACPL'!$K$6:$W$6,0)))</f>
        <v>0</v>
      </c>
      <c r="AI121" s="749">
        <f>AG121-AH121</f>
        <v>0</v>
      </c>
      <c r="AJ121" s="748"/>
      <c r="AL121" s="749">
        <f>SUM(INDEX('Actual-ACPLHK'!$H$7:$S$207,MATCH($B121,'Actual-ACPLHK'!$B$7:$B$207,0),MATCH('Actual-ACPLHK'!H$6,'Actual-ACPLHK'!$H$6:$T$6,0)):INDEX('Actual-ACPLHK'!$H$7:$S$207,MATCH($B121,'Actual-ACPLHK'!$B$7:$B$207,0),MATCH(AL$8,'Actual-ACPLHK'!$H$6:$T$6,0)))</f>
        <v>0</v>
      </c>
      <c r="AM121" s="749">
        <f>SUM(INDEX('Budget-ACPLHK'!$K$7:$W$207,MATCH($B121,'Budget-ACPLHK'!$B$7:$B$207,0),MATCH('Budget-ACPLHK'!K$6,'Budget-ACPLHK'!$K$6:$W$6,0)):INDEX('Budget-ACPLHK'!$K$7:$W$207,MATCH($B121,'Budget-ACPLHK'!$B$7:$B$207,0),MATCH(AM$8,'Budget-ACPLHK'!$K$6:$W$6,0)))</f>
        <v>0</v>
      </c>
      <c r="AN121" s="749">
        <f>AL121-AM121</f>
        <v>0</v>
      </c>
      <c r="AO121" s="748"/>
      <c r="AQ121" s="749">
        <f>SUM(INDEX('Actual-ACPSZL'!$H$7:$T$207,MATCH($B121,'Actual-ACPSZL'!$B$7:$B$207,0),MATCH('Actual-ACPSZL'!H$6,'Actual-ACPSZL'!$H$6:$T$6,0)):INDEX('Actual-ACPSZL'!$H$7:$T$207,MATCH($B121,'Actual-ACPSZL'!$B$7:$B$207,0),MATCH(AQ$8,'Actual-ACPSZL'!$H$6:$T$6,0)))</f>
        <v>0</v>
      </c>
      <c r="AR121" s="749">
        <f>SUM(INDEX('Budget-ACPSZL'!$K$7:$W$207,MATCH($B121,'Budget-ACPSZL'!$B$7:$B$207,0),MATCH('Budget-ACPSZL'!K$6,'Budget-ACPSZL'!$K$6:$W$6,0)):INDEX('Budget-ACPSZL'!$K$7:$W$207,MATCH($B121,'Budget-ACPSZL'!$B$7:$B$207,0),MATCH(AR$8,'Budget-ACPSZL'!$K$6:$W$6,0)))</f>
        <v>0</v>
      </c>
      <c r="AS121" s="749">
        <f t="shared" si="77"/>
        <v>0</v>
      </c>
      <c r="AT121" s="748"/>
      <c r="AV121" s="749">
        <f>SUM(INDEX('Actual-ACPLSZ'!$H$7:$T$207,MATCH($B121,'Actual-ACPLSZ'!$B$7:$B$207,0),MATCH('Actual-ACPLSZ'!H$6,'Actual-ACPLSZ'!$H$6:$T$6,0)):INDEX('Actual-ACPLSZ'!$H$7:$T$207,MATCH($B121,'Actual-ACPLSZ'!$B$7:$B$207,0),MATCH(AV$8,'Actual-ACPLSZ'!$H$6:$T$6,0)))</f>
        <v>0</v>
      </c>
      <c r="AW121" s="749">
        <f>SUM(INDEX('Budget-ACPLSZ'!$K$7:$W$207,MATCH($B121,'Budget-ACPLSZ'!$B$7:$B$207,0),MATCH('Budget-ACPLSZ'!K$6,'Budget-ACPLSZ'!$K$6:$W$6,0)):INDEX('Budget-ACPLSZ'!$K$7:$W$207,MATCH($B121,'Budget-ACPLSZ'!$B$7:$B$207,0),MATCH(AW$8,'Budget-ACPLSZ'!$K$6:$W$6,0)))</f>
        <v>0</v>
      </c>
      <c r="AX121" s="749">
        <f t="shared" si="80"/>
        <v>0</v>
      </c>
      <c r="AY121" s="748"/>
      <c r="BA121" s="749">
        <f>SUM(INDEX('Actual-ACPLGZ'!$H$7:$T$207,MATCH($B121,'Actual-ACPLGZ'!$B$7:$B$207,0),MATCH('Actual-ACPLGZ'!H$6,'Actual-ACPLGZ'!$H$6:$T$6,0)):INDEX('Actual-ACPLGZ'!$H$7:$T$207,MATCH($B121,'Actual-ACPLGZ'!$B$7:$B$207,0),MATCH(BA$8,'Actual-ACPLGZ'!$H$6:$T$6,0)))</f>
        <v>0</v>
      </c>
      <c r="BB121" s="749">
        <f>SUM(INDEX('Budget-ACPLGZ'!$K$7:$W$207,MATCH($B121,'Budget-ACPLGZ'!$B$7:$B$207,0),MATCH('Budget-ACPLGZ'!K$6,'Budget-ACPLGZ'!$K$6:$W$6,0)):INDEX('Budget-ACPLGZ'!$K$7:$W$207,MATCH($B121,'Budget-ACPLGZ'!$B$7:$B$207,0),MATCH(BB$8,'Budget-ACPLGZ'!$K$6:$W$6,0)))</f>
        <v>0</v>
      </c>
      <c r="BC121" s="749">
        <f>BA121-BB121</f>
        <v>0</v>
      </c>
      <c r="BD121" s="748"/>
      <c r="BF121" s="749">
        <f>SUM(INDEX('Actual-ACPLYixing'!$H$7:$T$207,MATCH($B121,'Actual-ACPLYixing'!$B$7:$B$207,0),MATCH('Actual-ACPLYixing'!H$6,'Actual-ACPLYixing'!$H$6:$T$6,0)):INDEX('Actual-ACPLYixing'!$H$7:$T$207,MATCH($B121,'Actual-ACPLYixing'!$B$7:$B$207,0),MATCH(BF$8,'Actual-ACPLYixing'!$H$6:$T$6,0)))</f>
        <v>0</v>
      </c>
      <c r="BG121" s="749">
        <f>SUM(INDEX('Budget-Yixing'!$K$7:$W$207,MATCH($B121,'Budget-Yixing'!$B$7:$B$207,0),MATCH('Budget-Yixing'!K$6,'Budget-Yixing'!$K$6:$W$6,0)):INDEX('Budget-Yixing'!$K$7:$W$207,MATCH($B121,'Budget-Yixing'!$B$7:$B$207,0),MATCH(BG$8,'Budget-Yixing'!$K$6:$W$6,0)))</f>
        <v>0</v>
      </c>
      <c r="BH121" s="749">
        <f>BF121-BG121</f>
        <v>0</v>
      </c>
      <c r="BI121" s="748"/>
    </row>
    <row r="122" spans="1:61" ht="16.5" customHeight="1">
      <c r="A122" s="653">
        <f>'Budget-合并'!A120</f>
        <v>0</v>
      </c>
      <c r="B122" s="653" t="str">
        <f>'Budget-合并'!B120</f>
        <v xml:space="preserve">    旭智富能09</v>
      </c>
      <c r="C122" s="746">
        <f>INDEX('Actual-ACPL'!$H$7:$T$207,MATCH($B122,'Actual-ACPL'!$B$7:$B$207,0),MATCH(C$8,'Actual-ACPL'!$H$6:$T$6,0))</f>
        <v>0</v>
      </c>
      <c r="D122" s="746">
        <f>INDEX('Budget-ACPL'!$K$7:$W$207,MATCH($B122,'Budget-ACPL'!$B$7:$B$207,0),MATCH(D$8,'Budget-ACPL'!$K$6:$W$6,0))</f>
        <v>0</v>
      </c>
      <c r="E122" s="746">
        <f t="shared" si="75"/>
        <v>0</v>
      </c>
      <c r="F122" s="752"/>
      <c r="H122" s="749">
        <f>INDEX('Actual-ACPLHK'!$H$7:$T$207,MATCH($B122,'Actual-ACPLHK'!$B$7:$B$207,0),MATCH(H$8,'Actual-ACPLHK'!$H$6:$T$6,0))</f>
        <v>0</v>
      </c>
      <c r="I122" s="749">
        <f>INDEX('Budget-ACPLHK'!$K$7:$W$207,MATCH($B122,'Budget-ACPLHK'!$B$7:$B$207,0),MATCH(I$8,'Budget-ACPLHK'!$K$6:$W$6,0))</f>
        <v>0</v>
      </c>
      <c r="J122" s="749">
        <f t="shared" si="76"/>
        <v>0</v>
      </c>
      <c r="K122" s="748"/>
      <c r="M122" s="749">
        <f>INDEX('Actual-ACPSZL'!$H$7:$T$207,MATCH($B122,'Actual-ACPSZL'!$B$7:$B$207,0),MATCH(M$8,'Actual-ACPSZL'!$H$6:$T$6,0))</f>
        <v>0</v>
      </c>
      <c r="N122" s="749">
        <f>INDEX('Budget-ACPSZL'!$K$7:$W$207,MATCH($B122,'Budget-ACPSZL'!$B$7:$B$207,0),MATCH(N$8,'Budget-ACPSZL'!$K$6:$W$6,0))</f>
        <v>0</v>
      </c>
      <c r="O122" s="749">
        <f t="shared" si="78"/>
        <v>0</v>
      </c>
      <c r="P122" s="748"/>
      <c r="R122" s="749">
        <f>INDEX('Actual-ACPLSZ'!$H$7:$T$207,MATCH($B122,'Actual-ACPLSZ'!$B$7:$B$207,0),MATCH(R$8,'Actual-ACPLSZ'!$H$6:$T$6,0))</f>
        <v>0</v>
      </c>
      <c r="S122" s="749">
        <f>INDEX('Budget-ACPLSZ'!$K$7:$W$207,MATCH($B122,'Budget-ACPLSZ'!$B$7:$B$207,0),MATCH(S$8,'Budget-ACPLSZ'!$K$6:$W$6,0))</f>
        <v>0</v>
      </c>
      <c r="T122" s="749"/>
      <c r="U122" s="748"/>
      <c r="W122" s="749">
        <f>INDEX('Actual-ACPLGZ'!$H$7:$T$207,MATCH($B122,'Actual-ACPLGZ'!$B$7:$B$207,0),MATCH(W$8,'Actual-ACPLGZ'!$H$6:$T$6,0))</f>
        <v>0</v>
      </c>
      <c r="X122" s="749">
        <f>INDEX('Budget-ACPLGZ'!$K$7:$W$207,MATCH($B122,'Budget-ACPLGZ'!$B$7:$B$207,0),MATCH(X$8,'Budget-ACPLGZ'!$K$6:$W$6,0))</f>
        <v>0</v>
      </c>
      <c r="Y122" s="749">
        <f t="shared" si="79"/>
        <v>0</v>
      </c>
      <c r="Z122" s="748"/>
      <c r="AB122" s="749">
        <f>INDEX('Actual-ACPLGZ'!$H$7:$T$207,MATCH($B122,'Actual-ACPLGZ'!$B$7:$B$207,0),MATCH(AB$8,'Actual-ACPLGZ'!$H$6:$T$6,0))</f>
        <v>0</v>
      </c>
      <c r="AC122" s="749">
        <f>INDEX('Budget-Yixing'!$K$7:$W$207,MATCH($B122,'Budget-Yixing'!$B$7:$B$207,0),MATCH(AC$8,'Budget-Yixing'!$K$6:$W$6,0))</f>
        <v>0</v>
      </c>
      <c r="AD122" s="749"/>
      <c r="AE122" s="748"/>
      <c r="AG122" s="751">
        <f>SUM(INDEX('Actual-ACPL'!$H$7:$T$207,MATCH($B122,'Actual-ACPL'!$B$7:$B$207,0),MATCH('Actual-ACPL'!H$6,'Actual-ACPL'!$H$6:$T$6,0)):INDEX('Actual-ACPL'!$H$7:$T$207,MATCH($B122,'Actual-ACPL'!$B$7:$B$207,0),MATCH(AG$8,'Actual-ACPL'!$H$6:$T$6,0)))</f>
        <v>0</v>
      </c>
      <c r="AH122" s="749">
        <f>SUM(INDEX('Budget-ACPL'!$K$7:$W$207,MATCH($B122,'Budget-ACPL'!$B$7:$B$207,0),MATCH('Budget-ACPL'!K$6,'Budget-ACPL'!$K$6:$W$6,0)):INDEX('Budget-ACPL'!$K$7:$W$207,MATCH($B122,'Budget-ACPL'!$B$7:$B$207,0),MATCH(AH$8,'Budget-ACPL'!$K$6:$W$6,0)))</f>
        <v>0</v>
      </c>
      <c r="AI122" s="749"/>
      <c r="AJ122" s="748"/>
      <c r="AL122" s="749">
        <f>SUM(INDEX('Actual-ACPLHK'!$H$7:$S$207,MATCH($B122,'Actual-ACPLHK'!$B$7:$B$207,0),MATCH('Actual-ACPLHK'!H$6,'Actual-ACPLHK'!$H$6:$T$6,0)):INDEX('Actual-ACPLHK'!$H$7:$S$207,MATCH($B122,'Actual-ACPLHK'!$B$7:$B$207,0),MATCH(AL$8,'Actual-ACPLHK'!$H$6:$T$6,0)))</f>
        <v>0</v>
      </c>
      <c r="AM122" s="749">
        <f>SUM(INDEX('Budget-ACPLHK'!$K$7:$W$207,MATCH($B122,'Budget-ACPLHK'!$B$7:$B$207,0),MATCH('Budget-ACPLHK'!K$6,'Budget-ACPLHK'!$K$6:$W$6,0)):INDEX('Budget-ACPLHK'!$K$7:$W$207,MATCH($B122,'Budget-ACPLHK'!$B$7:$B$207,0),MATCH(AM$8,'Budget-ACPLHK'!$K$6:$W$6,0)))</f>
        <v>0</v>
      </c>
      <c r="AN122" s="749"/>
      <c r="AO122" s="748"/>
      <c r="AQ122" s="749">
        <f>SUM(INDEX('Actual-ACPSZL'!$H$7:$T$207,MATCH($B122,'Actual-ACPSZL'!$B$7:$B$207,0),MATCH('Actual-ACPSZL'!H$6,'Actual-ACPSZL'!$H$6:$T$6,0)):INDEX('Actual-ACPSZL'!$H$7:$T$207,MATCH($B122,'Actual-ACPSZL'!$B$7:$B$207,0),MATCH(AQ$8,'Actual-ACPSZL'!$H$6:$T$6,0)))</f>
        <v>0</v>
      </c>
      <c r="AR122" s="749">
        <f>SUM(INDEX('Budget-ACPSZL'!$K$7:$W$207,MATCH($B122,'Budget-ACPSZL'!$B$7:$B$207,0),MATCH('Budget-ACPSZL'!K$6,'Budget-ACPSZL'!$K$6:$W$6,0)):INDEX('Budget-ACPSZL'!$K$7:$W$207,MATCH($B122,'Budget-ACPSZL'!$B$7:$B$207,0),MATCH(AR$8,'Budget-ACPSZL'!$K$6:$W$6,0)))</f>
        <v>0</v>
      </c>
      <c r="AS122" s="749">
        <f t="shared" si="77"/>
        <v>0</v>
      </c>
      <c r="AT122" s="748"/>
      <c r="AV122" s="749">
        <f>SUM(INDEX('Actual-ACPLSZ'!$H$7:$T$207,MATCH($B122,'Actual-ACPLSZ'!$B$7:$B$207,0),MATCH('Actual-ACPLSZ'!H$6,'Actual-ACPLSZ'!$H$6:$T$6,0)):INDEX('Actual-ACPLSZ'!$H$7:$T$207,MATCH($B122,'Actual-ACPLSZ'!$B$7:$B$207,0),MATCH(AV$8,'Actual-ACPLSZ'!$H$6:$T$6,0)))</f>
        <v>0</v>
      </c>
      <c r="AW122" s="749">
        <f>SUM(INDEX('Budget-ACPLSZ'!$K$7:$W$207,MATCH($B122,'Budget-ACPLSZ'!$B$7:$B$207,0),MATCH('Budget-ACPLSZ'!K$6,'Budget-ACPLSZ'!$K$6:$W$6,0)):INDEX('Budget-ACPLSZ'!$K$7:$W$207,MATCH($B122,'Budget-ACPLSZ'!$B$7:$B$207,0),MATCH(AW$8,'Budget-ACPLSZ'!$K$6:$W$6,0)))</f>
        <v>0</v>
      </c>
      <c r="AX122" s="749">
        <f t="shared" si="80"/>
        <v>0</v>
      </c>
      <c r="AY122" s="748"/>
      <c r="BA122" s="749">
        <f>SUM(INDEX('Actual-ACPLGZ'!$H$7:$T$207,MATCH($B122,'Actual-ACPLGZ'!$B$7:$B$207,0),MATCH('Actual-ACPLGZ'!H$6,'Actual-ACPLGZ'!$H$6:$T$6,0)):INDEX('Actual-ACPLGZ'!$H$7:$T$207,MATCH($B122,'Actual-ACPLGZ'!$B$7:$B$207,0),MATCH(BA$8,'Actual-ACPLGZ'!$H$6:$T$6,0)))</f>
        <v>0</v>
      </c>
      <c r="BB122" s="749">
        <f>SUM(INDEX('Budget-ACPLGZ'!$K$7:$W$207,MATCH($B122,'Budget-ACPLGZ'!$B$7:$B$207,0),MATCH('Budget-ACPLGZ'!K$6,'Budget-ACPLGZ'!$K$6:$W$6,0)):INDEX('Budget-ACPLGZ'!$K$7:$W$207,MATCH($B122,'Budget-ACPLGZ'!$B$7:$B$207,0),MATCH(BB$8,'Budget-ACPLGZ'!$K$6:$W$6,0)))</f>
        <v>0</v>
      </c>
      <c r="BC122" s="749"/>
      <c r="BD122" s="748"/>
      <c r="BF122" s="749">
        <f>SUM(INDEX('Actual-ACPLYixing'!$H$7:$T$207,MATCH($B122,'Actual-ACPLYixing'!$B$7:$B$207,0),MATCH('Actual-ACPLYixing'!H$6,'Actual-ACPLYixing'!$H$6:$T$6,0)):INDEX('Actual-ACPLYixing'!$H$7:$T$207,MATCH($B122,'Actual-ACPLYixing'!$B$7:$B$207,0),MATCH(BF$8,'Actual-ACPLYixing'!$H$6:$T$6,0)))</f>
        <v>0</v>
      </c>
      <c r="BG122" s="749">
        <f>SUM(INDEX('Budget-Yixing'!$K$7:$W$207,MATCH($B122,'Budget-Yixing'!$B$7:$B$207,0),MATCH('Budget-Yixing'!K$6,'Budget-Yixing'!$K$6:$W$6,0)):INDEX('Budget-Yixing'!$K$7:$W$207,MATCH($B122,'Budget-Yixing'!$B$7:$B$207,0),MATCH(BG$8,'Budget-Yixing'!$K$6:$W$6,0)))</f>
        <v>0</v>
      </c>
      <c r="BH122" s="749"/>
      <c r="BI122" s="748"/>
    </row>
    <row r="123" spans="1:61" ht="16.5" customHeight="1">
      <c r="A123" s="653">
        <f>'Budget-合并'!A121</f>
        <v>0</v>
      </c>
      <c r="B123" s="653" t="str">
        <f>'Budget-合并'!B121</f>
        <v xml:space="preserve">    其他项目09</v>
      </c>
      <c r="C123" s="746">
        <f>INDEX('Actual-ACPL'!$H$7:$T$207,MATCH($B123,'Actual-ACPL'!$B$7:$B$207,0),MATCH(C$8,'Actual-ACPL'!$H$6:$T$6,0))</f>
        <v>0</v>
      </c>
      <c r="D123" s="746">
        <f>INDEX('Budget-ACPL'!$K$7:$W$207,MATCH($B123,'Budget-ACPL'!$B$7:$B$207,0),MATCH(D$8,'Budget-ACPL'!$K$6:$W$6,0))</f>
        <v>0</v>
      </c>
      <c r="E123" s="746">
        <f t="shared" si="75"/>
        <v>0</v>
      </c>
      <c r="F123" s="752"/>
      <c r="H123" s="749">
        <f>INDEX('Actual-ACPLHK'!$H$7:$T$207,MATCH($B123,'Actual-ACPLHK'!$B$7:$B$207,0),MATCH(H$8,'Actual-ACPLHK'!$H$6:$T$6,0))</f>
        <v>0</v>
      </c>
      <c r="I123" s="749">
        <f>INDEX('Budget-ACPLHK'!$K$7:$W$207,MATCH($B123,'Budget-ACPLHK'!$B$7:$B$207,0),MATCH(I$8,'Budget-ACPLHK'!$K$6:$W$6,0))</f>
        <v>0</v>
      </c>
      <c r="J123" s="749">
        <f t="shared" si="76"/>
        <v>0</v>
      </c>
      <c r="K123" s="748"/>
      <c r="M123" s="749">
        <f>INDEX('Actual-ACPSZL'!$H$7:$T$207,MATCH($B123,'Actual-ACPSZL'!$B$7:$B$207,0),MATCH(M$8,'Actual-ACPSZL'!$H$6:$T$6,0))</f>
        <v>0</v>
      </c>
      <c r="N123" s="749">
        <f>INDEX('Budget-ACPSZL'!$K$7:$W$207,MATCH($B123,'Budget-ACPSZL'!$B$7:$B$207,0),MATCH(N$8,'Budget-ACPSZL'!$K$6:$W$6,0))</f>
        <v>0</v>
      </c>
      <c r="O123" s="749">
        <f t="shared" si="78"/>
        <v>0</v>
      </c>
      <c r="P123" s="748"/>
      <c r="R123" s="749">
        <f>INDEX('Actual-ACPLSZ'!$H$7:$T$207,MATCH($B123,'Actual-ACPLSZ'!$B$7:$B$207,0),MATCH(R$8,'Actual-ACPLSZ'!$H$6:$T$6,0))</f>
        <v>0</v>
      </c>
      <c r="S123" s="749">
        <f>INDEX('Budget-ACPLSZ'!$K$7:$W$207,MATCH($B123,'Budget-ACPLSZ'!$B$7:$B$207,0),MATCH(S$8,'Budget-ACPLSZ'!$K$6:$W$6,0))</f>
        <v>0</v>
      </c>
      <c r="T123" s="749">
        <f>(R123-S123)*-1</f>
        <v>0</v>
      </c>
      <c r="U123" s="748"/>
      <c r="W123" s="749">
        <f>INDEX('Actual-ACPLGZ'!$H$7:$T$207,MATCH($B123,'Actual-ACPLGZ'!$B$7:$B$207,0),MATCH(W$8,'Actual-ACPLGZ'!$H$6:$T$6,0))</f>
        <v>0</v>
      </c>
      <c r="X123" s="749">
        <f>INDEX('Budget-ACPLGZ'!$K$7:$W$207,MATCH($B123,'Budget-ACPLGZ'!$B$7:$B$207,0),MATCH(X$8,'Budget-ACPLGZ'!$K$6:$W$6,0))</f>
        <v>0</v>
      </c>
      <c r="Y123" s="749">
        <f t="shared" si="79"/>
        <v>0</v>
      </c>
      <c r="Z123" s="748"/>
      <c r="AB123" s="749">
        <f>INDEX('Actual-ACPLGZ'!$H$7:$T$207,MATCH($B123,'Actual-ACPLGZ'!$B$7:$B$207,0),MATCH(AB$8,'Actual-ACPLGZ'!$H$6:$T$6,0))</f>
        <v>0</v>
      </c>
      <c r="AC123" s="749">
        <f>INDEX('Budget-Yixing'!$K$7:$W$207,MATCH($B123,'Budget-Yixing'!$B$7:$B$207,0),MATCH(AC$8,'Budget-Yixing'!$K$6:$W$6,0))</f>
        <v>0</v>
      </c>
      <c r="AD123" s="749">
        <f>(AB123-AC123)*-1</f>
        <v>0</v>
      </c>
      <c r="AE123" s="748"/>
      <c r="AG123" s="751">
        <f>SUM(INDEX('Actual-ACPL'!$H$7:$T$207,MATCH($B123,'Actual-ACPL'!$B$7:$B$207,0),MATCH('Actual-ACPL'!H$6,'Actual-ACPL'!$H$6:$T$6,0)):INDEX('Actual-ACPL'!$H$7:$T$207,MATCH($B123,'Actual-ACPL'!$B$7:$B$207,0),MATCH(AG$8,'Actual-ACPL'!$H$6:$T$6,0)))</f>
        <v>0</v>
      </c>
      <c r="AH123" s="749">
        <f>SUM(INDEX('Budget-ACPL'!$K$7:$W$207,MATCH($B123,'Budget-ACPL'!$B$7:$B$207,0),MATCH('Budget-ACPL'!K$6,'Budget-ACPL'!$K$6:$W$6,0)):INDEX('Budget-ACPL'!$K$7:$W$207,MATCH($B123,'Budget-ACPL'!$B$7:$B$207,0),MATCH(AH$8,'Budget-ACPL'!$K$6:$W$6,0)))</f>
        <v>0</v>
      </c>
      <c r="AI123" s="749">
        <f>AG123-AH123</f>
        <v>0</v>
      </c>
      <c r="AJ123" s="748"/>
      <c r="AL123" s="749">
        <f>SUM(INDEX('Actual-ACPLHK'!$H$7:$S$207,MATCH($B123,'Actual-ACPLHK'!$B$7:$B$207,0),MATCH('Actual-ACPLHK'!H$6,'Actual-ACPLHK'!$H$6:$T$6,0)):INDEX('Actual-ACPLHK'!$H$7:$S$207,MATCH($B123,'Actual-ACPLHK'!$B$7:$B$207,0),MATCH(AL$8,'Actual-ACPLHK'!$H$6:$T$6,0)))</f>
        <v>0</v>
      </c>
      <c r="AM123" s="749">
        <f>SUM(INDEX('Budget-ACPLHK'!$K$7:$W$207,MATCH($B123,'Budget-ACPLHK'!$B$7:$B$207,0),MATCH('Budget-ACPLHK'!K$6,'Budget-ACPLHK'!$K$6:$W$6,0)):INDEX('Budget-ACPLHK'!$K$7:$W$207,MATCH($B123,'Budget-ACPLHK'!$B$7:$B$207,0),MATCH(AM$8,'Budget-ACPLHK'!$K$6:$W$6,0)))</f>
        <v>0</v>
      </c>
      <c r="AN123" s="749">
        <f>AL123-AM123</f>
        <v>0</v>
      </c>
      <c r="AO123" s="748"/>
      <c r="AQ123" s="749">
        <f>SUM(INDEX('Actual-ACPSZL'!$H$7:$T$207,MATCH($B123,'Actual-ACPSZL'!$B$7:$B$207,0),MATCH('Actual-ACPSZL'!H$6,'Actual-ACPSZL'!$H$6:$T$6,0)):INDEX('Actual-ACPSZL'!$H$7:$T$207,MATCH($B123,'Actual-ACPSZL'!$B$7:$B$207,0),MATCH(AQ$8,'Actual-ACPSZL'!$H$6:$T$6,0)))</f>
        <v>0</v>
      </c>
      <c r="AR123" s="749">
        <f>SUM(INDEX('Budget-ACPSZL'!$K$7:$W$207,MATCH($B123,'Budget-ACPSZL'!$B$7:$B$207,0),MATCH('Budget-ACPSZL'!K$6,'Budget-ACPSZL'!$K$6:$W$6,0)):INDEX('Budget-ACPSZL'!$K$7:$W$207,MATCH($B123,'Budget-ACPSZL'!$B$7:$B$207,0),MATCH(AR$8,'Budget-ACPSZL'!$K$6:$W$6,0)))</f>
        <v>0</v>
      </c>
      <c r="AS123" s="749">
        <f t="shared" si="77"/>
        <v>0</v>
      </c>
      <c r="AT123" s="748"/>
      <c r="AV123" s="749">
        <f>SUM(INDEX('Actual-ACPLSZ'!$H$7:$T$207,MATCH($B123,'Actual-ACPLSZ'!$B$7:$B$207,0),MATCH('Actual-ACPLSZ'!H$6,'Actual-ACPLSZ'!$H$6:$T$6,0)):INDEX('Actual-ACPLSZ'!$H$7:$T$207,MATCH($B123,'Actual-ACPLSZ'!$B$7:$B$207,0),MATCH(AV$8,'Actual-ACPLSZ'!$H$6:$T$6,0)))</f>
        <v>0</v>
      </c>
      <c r="AW123" s="749">
        <f>SUM(INDEX('Budget-ACPLSZ'!$K$7:$W$207,MATCH($B123,'Budget-ACPLSZ'!$B$7:$B$207,0),MATCH('Budget-ACPLSZ'!K$6,'Budget-ACPLSZ'!$K$6:$W$6,0)):INDEX('Budget-ACPLSZ'!$K$7:$W$207,MATCH($B123,'Budget-ACPLSZ'!$B$7:$B$207,0),MATCH(AW$8,'Budget-ACPLSZ'!$K$6:$W$6,0)))</f>
        <v>0</v>
      </c>
      <c r="AX123" s="749">
        <f t="shared" si="80"/>
        <v>0</v>
      </c>
      <c r="AY123" s="748"/>
      <c r="BA123" s="749">
        <f>SUM(INDEX('Actual-ACPLGZ'!$H$7:$T$207,MATCH($B123,'Actual-ACPLGZ'!$B$7:$B$207,0),MATCH('Actual-ACPLGZ'!H$6,'Actual-ACPLGZ'!$H$6:$T$6,0)):INDEX('Actual-ACPLGZ'!$H$7:$T$207,MATCH($B123,'Actual-ACPLGZ'!$B$7:$B$207,0),MATCH(BA$8,'Actual-ACPLGZ'!$H$6:$T$6,0)))</f>
        <v>0</v>
      </c>
      <c r="BB123" s="749">
        <f>SUM(INDEX('Budget-ACPLGZ'!$K$7:$W$207,MATCH($B123,'Budget-ACPLGZ'!$B$7:$B$207,0),MATCH('Budget-ACPLGZ'!K$6,'Budget-ACPLGZ'!$K$6:$W$6,0)):INDEX('Budget-ACPLGZ'!$K$7:$W$207,MATCH($B123,'Budget-ACPLGZ'!$B$7:$B$207,0),MATCH(BB$8,'Budget-ACPLGZ'!$K$6:$W$6,0)))</f>
        <v>0</v>
      </c>
      <c r="BC123" s="749">
        <f>BA123-BB123</f>
        <v>0</v>
      </c>
      <c r="BD123" s="748"/>
      <c r="BF123" s="749">
        <f>SUM(INDEX('Actual-ACPLYixing'!$H$7:$T$207,MATCH($B123,'Actual-ACPLYixing'!$B$7:$B$207,0),MATCH('Actual-ACPLYixing'!H$6,'Actual-ACPLYixing'!$H$6:$T$6,0)):INDEX('Actual-ACPLYixing'!$H$7:$T$207,MATCH($B123,'Actual-ACPLYixing'!$B$7:$B$207,0),MATCH(BF$8,'Actual-ACPLYixing'!$H$6:$T$6,0)))</f>
        <v>0</v>
      </c>
      <c r="BG123" s="749">
        <f>SUM(INDEX('Budget-Yixing'!$K$7:$W$207,MATCH($B123,'Budget-Yixing'!$B$7:$B$207,0),MATCH('Budget-Yixing'!K$6,'Budget-Yixing'!$K$6:$W$6,0)):INDEX('Budget-Yixing'!$K$7:$W$207,MATCH($B123,'Budget-Yixing'!$B$7:$B$207,0),MATCH(BG$8,'Budget-Yixing'!$K$6:$W$6,0)))</f>
        <v>0</v>
      </c>
      <c r="BH123" s="749">
        <f>BF123-BG123</f>
        <v>0</v>
      </c>
      <c r="BI123" s="748"/>
    </row>
    <row r="124" spans="1:61" ht="16.5" customHeight="1">
      <c r="A124" s="653" t="str">
        <f>'Budget-合并'!A122</f>
        <v>6602.09.09</v>
      </c>
      <c r="B124" s="653" t="str">
        <f>'Budget-合并'!B122</f>
        <v>携程服务费</v>
      </c>
      <c r="C124" s="746">
        <f>INDEX('Actual-ACPL'!$H$7:$T$207,MATCH($B124,'Actual-ACPL'!$B$7:$B$207,0),MATCH(C$8,'Actual-ACPL'!$H$6:$T$6,0))</f>
        <v>0</v>
      </c>
      <c r="D124" s="746">
        <f>INDEX('Budget-ACPL'!$K$7:$W$207,MATCH($B124,'Budget-ACPL'!$B$7:$B$207,0),MATCH(D$8,'Budget-ACPL'!$K$6:$W$6,0))</f>
        <v>0</v>
      </c>
      <c r="E124" s="746">
        <f t="shared" si="75"/>
        <v>0</v>
      </c>
      <c r="F124" s="752"/>
      <c r="H124" s="749">
        <f>INDEX('Actual-ACPLHK'!$H$7:$T$207,MATCH($B124,'Actual-ACPLHK'!$B$7:$B$207,0),MATCH(H$8,'Actual-ACPLHK'!$H$6:$T$6,0))</f>
        <v>0</v>
      </c>
      <c r="I124" s="749">
        <f>INDEX('Budget-ACPLHK'!$K$7:$W$207,MATCH($B124,'Budget-ACPLHK'!$B$7:$B$207,0),MATCH(I$8,'Budget-ACPLHK'!$K$6:$W$6,0))</f>
        <v>0</v>
      </c>
      <c r="J124" s="749">
        <f t="shared" si="76"/>
        <v>0</v>
      </c>
      <c r="K124" s="748"/>
      <c r="M124" s="749">
        <f>INDEX('Actual-ACPSZL'!$H$7:$T$207,MATCH($B124,'Actual-ACPSZL'!$B$7:$B$207,0),MATCH(M$8,'Actual-ACPSZL'!$H$6:$T$6,0))</f>
        <v>0</v>
      </c>
      <c r="N124" s="749">
        <f>INDEX('Budget-ACPSZL'!$K$7:$W$207,MATCH($B124,'Budget-ACPSZL'!$B$7:$B$207,0),MATCH(N$8,'Budget-ACPSZL'!$K$6:$W$6,0))</f>
        <v>742</v>
      </c>
      <c r="O124" s="749">
        <f t="shared" si="78"/>
        <v>-742</v>
      </c>
      <c r="P124" s="748"/>
      <c r="R124" s="749">
        <f>INDEX('Actual-ACPLSZ'!$H$7:$T$207,MATCH($B124,'Actual-ACPLSZ'!$B$7:$B$207,0),MATCH(R$8,'Actual-ACPLSZ'!$H$6:$T$6,0))</f>
        <v>0</v>
      </c>
      <c r="S124" s="749">
        <f>INDEX('Budget-ACPLSZ'!$K$7:$W$207,MATCH($B124,'Budget-ACPLSZ'!$B$7:$B$207,0),MATCH(S$8,'Budget-ACPLSZ'!$K$6:$W$6,0))</f>
        <v>2296</v>
      </c>
      <c r="T124" s="749">
        <f>(R124-S124)*-1</f>
        <v>2296</v>
      </c>
      <c r="U124" s="748"/>
      <c r="W124" s="749">
        <f>INDEX('Actual-ACPLGZ'!$H$7:$T$207,MATCH($B124,'Actual-ACPLGZ'!$B$7:$B$207,0),MATCH(W$8,'Actual-ACPLGZ'!$H$6:$T$6,0))</f>
        <v>0</v>
      </c>
      <c r="X124" s="749">
        <f>INDEX('Budget-ACPLGZ'!$K$7:$W$207,MATCH($B124,'Budget-ACPLGZ'!$B$7:$B$207,0),MATCH(X$8,'Budget-ACPLGZ'!$K$6:$W$6,0))</f>
        <v>0</v>
      </c>
      <c r="Y124" s="749">
        <f t="shared" si="79"/>
        <v>0</v>
      </c>
      <c r="Z124" s="748"/>
      <c r="AB124" s="749">
        <f>INDEX('Actual-ACPLGZ'!$H$7:$T$207,MATCH($B124,'Actual-ACPLGZ'!$B$7:$B$207,0),MATCH(AB$8,'Actual-ACPLGZ'!$H$6:$T$6,0))</f>
        <v>0</v>
      </c>
      <c r="AC124" s="749">
        <f>INDEX('Budget-Yixing'!$K$7:$W$207,MATCH($B124,'Budget-Yixing'!$B$7:$B$207,0),MATCH(AC$8,'Budget-Yixing'!$K$6:$W$6,0))</f>
        <v>0</v>
      </c>
      <c r="AD124" s="749">
        <f>(AB124-AC124)*-1</f>
        <v>0</v>
      </c>
      <c r="AE124" s="748"/>
      <c r="AG124" s="751">
        <f>SUM(INDEX('Actual-ACPL'!$H$7:$T$207,MATCH($B124,'Actual-ACPL'!$B$7:$B$207,0),MATCH('Actual-ACPL'!H$6,'Actual-ACPL'!$H$6:$T$6,0)):INDEX('Actual-ACPL'!$H$7:$T$207,MATCH($B124,'Actual-ACPL'!$B$7:$B$207,0),MATCH(AG$8,'Actual-ACPL'!$H$6:$T$6,0)))</f>
        <v>0</v>
      </c>
      <c r="AH124" s="749">
        <f>SUM(INDEX('Budget-ACPL'!$K$7:$W$207,MATCH($B124,'Budget-ACPL'!$B$7:$B$207,0),MATCH('Budget-ACPL'!K$6,'Budget-ACPL'!$K$6:$W$6,0)):INDEX('Budget-ACPL'!$K$7:$W$207,MATCH($B124,'Budget-ACPL'!$B$7:$B$207,0),MATCH(AH$8,'Budget-ACPL'!$K$6:$W$6,0)))</f>
        <v>0</v>
      </c>
      <c r="AI124" s="749">
        <f>AG124-AH124</f>
        <v>0</v>
      </c>
      <c r="AJ124" s="748"/>
      <c r="AL124" s="749">
        <f>SUM(INDEX('Actual-ACPLHK'!$H$7:$S$207,MATCH($B124,'Actual-ACPLHK'!$B$7:$B$207,0),MATCH('Actual-ACPLHK'!H$6,'Actual-ACPLHK'!$H$6:$T$6,0)):INDEX('Actual-ACPLHK'!$H$7:$S$207,MATCH($B124,'Actual-ACPLHK'!$B$7:$B$207,0),MATCH(AL$8,'Actual-ACPLHK'!$H$6:$T$6,0)))</f>
        <v>0</v>
      </c>
      <c r="AM124" s="749">
        <f>SUM(INDEX('Budget-ACPLHK'!$K$7:$W$207,MATCH($B124,'Budget-ACPLHK'!$B$7:$B$207,0),MATCH('Budget-ACPLHK'!K$6,'Budget-ACPLHK'!$K$6:$W$6,0)):INDEX('Budget-ACPLHK'!$K$7:$W$207,MATCH($B124,'Budget-ACPLHK'!$B$7:$B$207,0),MATCH(AM$8,'Budget-ACPLHK'!$K$6:$W$6,0)))</f>
        <v>0</v>
      </c>
      <c r="AN124" s="749">
        <f>AL124-AM124</f>
        <v>0</v>
      </c>
      <c r="AO124" s="748"/>
      <c r="AQ124" s="749">
        <f>SUM(INDEX('Actual-ACPSZL'!$H$7:$T$207,MATCH($B124,'Actual-ACPSZL'!$B$7:$B$207,0),MATCH('Actual-ACPSZL'!H$6,'Actual-ACPSZL'!$H$6:$T$6,0)):INDEX('Actual-ACPSZL'!$H$7:$T$207,MATCH($B124,'Actual-ACPSZL'!$B$7:$B$207,0),MATCH(AQ$8,'Actual-ACPSZL'!$H$6:$T$6,0)))</f>
        <v>0</v>
      </c>
      <c r="AR124" s="749">
        <f>SUM(INDEX('Budget-ACPSZL'!$K$7:$W$207,MATCH($B124,'Budget-ACPSZL'!$B$7:$B$207,0),MATCH('Budget-ACPSZL'!K$6,'Budget-ACPSZL'!$K$6:$W$6,0)):INDEX('Budget-ACPSZL'!$K$7:$W$207,MATCH($B124,'Budget-ACPSZL'!$B$7:$B$207,0),MATCH(AR$8,'Budget-ACPSZL'!$K$6:$W$6,0)))</f>
        <v>742</v>
      </c>
      <c r="AS124" s="749">
        <f t="shared" si="77"/>
        <v>-742</v>
      </c>
      <c r="AT124" s="748"/>
      <c r="AV124" s="749">
        <f>SUM(INDEX('Actual-ACPLSZ'!$H$7:$T$207,MATCH($B124,'Actual-ACPLSZ'!$B$7:$B$207,0),MATCH('Actual-ACPLSZ'!H$6,'Actual-ACPLSZ'!$H$6:$T$6,0)):INDEX('Actual-ACPLSZ'!$H$7:$T$207,MATCH($B124,'Actual-ACPLSZ'!$B$7:$B$207,0),MATCH(AV$8,'Actual-ACPLSZ'!$H$6:$T$6,0)))</f>
        <v>0</v>
      </c>
      <c r="AW124" s="749">
        <f>SUM(INDEX('Budget-ACPLSZ'!$K$7:$W$207,MATCH($B124,'Budget-ACPLSZ'!$B$7:$B$207,0),MATCH('Budget-ACPLSZ'!K$6,'Budget-ACPLSZ'!$K$6:$W$6,0)):INDEX('Budget-ACPLSZ'!$K$7:$W$207,MATCH($B124,'Budget-ACPLSZ'!$B$7:$B$207,0),MATCH(AW$8,'Budget-ACPLSZ'!$K$6:$W$6,0)))</f>
        <v>2296</v>
      </c>
      <c r="AX124" s="749">
        <f t="shared" si="80"/>
        <v>-2296</v>
      </c>
      <c r="AY124" s="748"/>
      <c r="BA124" s="749">
        <f>SUM(INDEX('Actual-ACPLGZ'!$H$7:$T$207,MATCH($B124,'Actual-ACPLGZ'!$B$7:$B$207,0),MATCH('Actual-ACPLGZ'!H$6,'Actual-ACPLGZ'!$H$6:$T$6,0)):INDEX('Actual-ACPLGZ'!$H$7:$T$207,MATCH($B124,'Actual-ACPLGZ'!$B$7:$B$207,0),MATCH(BA$8,'Actual-ACPLGZ'!$H$6:$T$6,0)))</f>
        <v>0</v>
      </c>
      <c r="BB124" s="749">
        <f>SUM(INDEX('Budget-ACPLGZ'!$K$7:$W$207,MATCH($B124,'Budget-ACPLGZ'!$B$7:$B$207,0),MATCH('Budget-ACPLGZ'!K$6,'Budget-ACPLGZ'!$K$6:$W$6,0)):INDEX('Budget-ACPLGZ'!$K$7:$W$207,MATCH($B124,'Budget-ACPLGZ'!$B$7:$B$207,0),MATCH(BB$8,'Budget-ACPLGZ'!$K$6:$W$6,0)))</f>
        <v>0</v>
      </c>
      <c r="BC124" s="749">
        <f>BA124-BB124</f>
        <v>0</v>
      </c>
      <c r="BD124" s="748"/>
      <c r="BF124" s="749">
        <f>SUM(INDEX('Actual-ACPLYixing'!$H$7:$T$207,MATCH($B124,'Actual-ACPLYixing'!$B$7:$B$207,0),MATCH('Actual-ACPLYixing'!H$6,'Actual-ACPLYixing'!$H$6:$T$6,0)):INDEX('Actual-ACPLYixing'!$H$7:$T$207,MATCH($B124,'Actual-ACPLYixing'!$B$7:$B$207,0),MATCH(BF$8,'Actual-ACPLYixing'!$H$6:$T$6,0)))</f>
        <v>0</v>
      </c>
      <c r="BG124" s="749">
        <f>SUM(INDEX('Budget-Yixing'!$K$7:$W$207,MATCH($B124,'Budget-Yixing'!$B$7:$B$207,0),MATCH('Budget-Yixing'!K$6,'Budget-Yixing'!$K$6:$W$6,0)):INDEX('Budget-Yixing'!$K$7:$W$207,MATCH($B124,'Budget-Yixing'!$B$7:$B$207,0),MATCH(BG$8,'Budget-Yixing'!$K$6:$W$6,0)))</f>
        <v>0</v>
      </c>
      <c r="BH124" s="749">
        <f>BF124-BG124</f>
        <v>0</v>
      </c>
      <c r="BI124" s="748"/>
    </row>
    <row r="125" spans="1:61" ht="16.5" customHeight="1">
      <c r="A125" s="653">
        <f>'Budget-合并'!A123</f>
        <v>0</v>
      </c>
      <c r="B125" s="653" t="str">
        <f>'Budget-合并'!B123</f>
        <v xml:space="preserve">    公司主体10</v>
      </c>
      <c r="C125" s="746">
        <f>INDEX('Actual-ACPL'!$H$7:$T$207,MATCH($B125,'Actual-ACPL'!$B$7:$B$207,0),MATCH(C$8,'Actual-ACPL'!$H$6:$T$6,0))</f>
        <v>0</v>
      </c>
      <c r="D125" s="746">
        <f>INDEX('Budget-ACPL'!$K$7:$W$207,MATCH($B125,'Budget-ACPL'!$B$7:$B$207,0),MATCH(D$8,'Budget-ACPL'!$K$6:$W$6,0))</f>
        <v>0</v>
      </c>
      <c r="E125" s="746">
        <f t="shared" ref="E125:E156" si="81">C125-D125</f>
        <v>0</v>
      </c>
      <c r="F125" s="752"/>
      <c r="H125" s="749">
        <f>INDEX('Actual-ACPLHK'!$H$7:$T$207,MATCH($B125,'Actual-ACPLHK'!$B$7:$B$207,0),MATCH(H$8,'Actual-ACPLHK'!$H$6:$T$6,0))</f>
        <v>0</v>
      </c>
      <c r="I125" s="749">
        <f>INDEX('Budget-ACPLHK'!$K$7:$W$207,MATCH($B125,'Budget-ACPLHK'!$B$7:$B$207,0),MATCH(I$8,'Budget-ACPLHK'!$K$6:$W$6,0))</f>
        <v>0</v>
      </c>
      <c r="J125" s="749">
        <f t="shared" ref="J125:J169" si="82">H125-I125</f>
        <v>0</v>
      </c>
      <c r="K125" s="748"/>
      <c r="M125" s="749">
        <f>INDEX('Actual-ACPSZL'!$H$7:$T$207,MATCH($B125,'Actual-ACPSZL'!$B$7:$B$207,0),MATCH(M$8,'Actual-ACPSZL'!$H$6:$T$6,0))</f>
        <v>0</v>
      </c>
      <c r="N125" s="749">
        <f>INDEX('Budget-ACPSZL'!$K$7:$W$207,MATCH($B125,'Budget-ACPSZL'!$B$7:$B$207,0),MATCH(N$8,'Budget-ACPSZL'!$K$6:$W$6,0))</f>
        <v>66.78</v>
      </c>
      <c r="O125" s="749">
        <f t="shared" si="78"/>
        <v>-66.78</v>
      </c>
      <c r="P125" s="748"/>
      <c r="R125" s="749">
        <f>INDEX('Actual-ACPLSZ'!$H$7:$T$207,MATCH($B125,'Actual-ACPLSZ'!$B$7:$B$207,0),MATCH(R$8,'Actual-ACPLSZ'!$H$6:$T$6,0))</f>
        <v>0</v>
      </c>
      <c r="S125" s="749">
        <f>INDEX('Budget-ACPLSZ'!$K$7:$W$207,MATCH($B125,'Budget-ACPLSZ'!$B$7:$B$207,0),MATCH(S$8,'Budget-ACPLSZ'!$K$6:$W$6,0))</f>
        <v>114.80000000000001</v>
      </c>
      <c r="T125" s="749">
        <f>(R125-S125)*-1</f>
        <v>114.80000000000001</v>
      </c>
      <c r="U125" s="748"/>
      <c r="W125" s="749">
        <f>INDEX('Actual-ACPLGZ'!$H$7:$T$207,MATCH($B125,'Actual-ACPLGZ'!$B$7:$B$207,0),MATCH(W$8,'Actual-ACPLGZ'!$H$6:$T$6,0))</f>
        <v>0</v>
      </c>
      <c r="X125" s="749">
        <f>INDEX('Budget-ACPLGZ'!$K$7:$W$207,MATCH($B125,'Budget-ACPLGZ'!$B$7:$B$207,0),MATCH(X$8,'Budget-ACPLGZ'!$K$6:$W$6,0))</f>
        <v>0</v>
      </c>
      <c r="Y125" s="749">
        <f t="shared" si="79"/>
        <v>0</v>
      </c>
      <c r="Z125" s="748"/>
      <c r="AB125" s="749">
        <f>INDEX('Actual-ACPLGZ'!$H$7:$T$207,MATCH($B125,'Actual-ACPLGZ'!$B$7:$B$207,0),MATCH(AB$8,'Actual-ACPLGZ'!$H$6:$T$6,0))</f>
        <v>0</v>
      </c>
      <c r="AC125" s="749">
        <f>INDEX('Budget-Yixing'!$K$7:$W$207,MATCH($B125,'Budget-Yixing'!$B$7:$B$207,0),MATCH(AC$8,'Budget-Yixing'!$K$6:$W$6,0))</f>
        <v>0</v>
      </c>
      <c r="AD125" s="749">
        <f>(AB125-AC125)*-1</f>
        <v>0</v>
      </c>
      <c r="AE125" s="748"/>
      <c r="AG125" s="751">
        <f>SUM(INDEX('Actual-ACPL'!$H$7:$T$207,MATCH($B125,'Actual-ACPL'!$B$7:$B$207,0),MATCH('Actual-ACPL'!H$6,'Actual-ACPL'!$H$6:$T$6,0)):INDEX('Actual-ACPL'!$H$7:$T$207,MATCH($B125,'Actual-ACPL'!$B$7:$B$207,0),MATCH(AG$8,'Actual-ACPL'!$H$6:$T$6,0)))</f>
        <v>0</v>
      </c>
      <c r="AH125" s="749">
        <f>SUM(INDEX('Budget-ACPL'!$K$7:$W$207,MATCH($B125,'Budget-ACPL'!$B$7:$B$207,0),MATCH('Budget-ACPL'!K$6,'Budget-ACPL'!$K$6:$W$6,0)):INDEX('Budget-ACPL'!$K$7:$W$207,MATCH($B125,'Budget-ACPL'!$B$7:$B$207,0),MATCH(AH$8,'Budget-ACPL'!$K$6:$W$6,0)))</f>
        <v>0</v>
      </c>
      <c r="AI125" s="749">
        <f>AG125-AH125</f>
        <v>0</v>
      </c>
      <c r="AJ125" s="748"/>
      <c r="AL125" s="749">
        <f>SUM(INDEX('Actual-ACPLHK'!$H$7:$S$207,MATCH($B125,'Actual-ACPLHK'!$B$7:$B$207,0),MATCH('Actual-ACPLHK'!H$6,'Actual-ACPLHK'!$H$6:$T$6,0)):INDEX('Actual-ACPLHK'!$H$7:$S$207,MATCH($B125,'Actual-ACPLHK'!$B$7:$B$207,0),MATCH(AL$8,'Actual-ACPLHK'!$H$6:$T$6,0)))</f>
        <v>0</v>
      </c>
      <c r="AM125" s="749">
        <f>SUM(INDEX('Budget-ACPLHK'!$K$7:$W$207,MATCH($B125,'Budget-ACPLHK'!$B$7:$B$207,0),MATCH('Budget-ACPLHK'!K$6,'Budget-ACPLHK'!$K$6:$W$6,0)):INDEX('Budget-ACPLHK'!$K$7:$W$207,MATCH($B125,'Budget-ACPLHK'!$B$7:$B$207,0),MATCH(AM$8,'Budget-ACPLHK'!$K$6:$W$6,0)))</f>
        <v>0</v>
      </c>
      <c r="AN125" s="749">
        <f>AL125-AM125</f>
        <v>0</v>
      </c>
      <c r="AO125" s="748"/>
      <c r="AQ125" s="749">
        <f>SUM(INDEX('Actual-ACPSZL'!$H$7:$T$207,MATCH($B125,'Actual-ACPSZL'!$B$7:$B$207,0),MATCH('Actual-ACPSZL'!H$6,'Actual-ACPSZL'!$H$6:$T$6,0)):INDEX('Actual-ACPSZL'!$H$7:$T$207,MATCH($B125,'Actual-ACPSZL'!$B$7:$B$207,0),MATCH(AQ$8,'Actual-ACPSZL'!$H$6:$T$6,0)))</f>
        <v>0</v>
      </c>
      <c r="AR125" s="749">
        <f>SUM(INDEX('Budget-ACPSZL'!$K$7:$W$207,MATCH($B125,'Budget-ACPSZL'!$B$7:$B$207,0),MATCH('Budget-ACPSZL'!K$6,'Budget-ACPSZL'!$K$6:$W$6,0)):INDEX('Budget-ACPSZL'!$K$7:$W$207,MATCH($B125,'Budget-ACPSZL'!$B$7:$B$207,0),MATCH(AR$8,'Budget-ACPSZL'!$K$6:$W$6,0)))</f>
        <v>66.78</v>
      </c>
      <c r="AS125" s="749">
        <f t="shared" si="77"/>
        <v>-66.78</v>
      </c>
      <c r="AT125" s="748"/>
      <c r="AV125" s="749">
        <f>SUM(INDEX('Actual-ACPLSZ'!$H$7:$T$207,MATCH($B125,'Actual-ACPLSZ'!$B$7:$B$207,0),MATCH('Actual-ACPLSZ'!H$6,'Actual-ACPLSZ'!$H$6:$T$6,0)):INDEX('Actual-ACPLSZ'!$H$7:$T$207,MATCH($B125,'Actual-ACPLSZ'!$B$7:$B$207,0),MATCH(AV$8,'Actual-ACPLSZ'!$H$6:$T$6,0)))</f>
        <v>0</v>
      </c>
      <c r="AW125" s="749">
        <f>SUM(INDEX('Budget-ACPLSZ'!$K$7:$W$207,MATCH($B125,'Budget-ACPLSZ'!$B$7:$B$207,0),MATCH('Budget-ACPLSZ'!K$6,'Budget-ACPLSZ'!$K$6:$W$6,0)):INDEX('Budget-ACPLSZ'!$K$7:$W$207,MATCH($B125,'Budget-ACPLSZ'!$B$7:$B$207,0),MATCH(AW$8,'Budget-ACPLSZ'!$K$6:$W$6,0)))</f>
        <v>114.80000000000001</v>
      </c>
      <c r="AX125" s="749">
        <f t="shared" si="80"/>
        <v>-114.80000000000001</v>
      </c>
      <c r="AY125" s="748"/>
      <c r="BA125" s="749">
        <f>SUM(INDEX('Actual-ACPLGZ'!$H$7:$T$207,MATCH($B125,'Actual-ACPLGZ'!$B$7:$B$207,0),MATCH('Actual-ACPLGZ'!H$6,'Actual-ACPLGZ'!$H$6:$T$6,0)):INDEX('Actual-ACPLGZ'!$H$7:$T$207,MATCH($B125,'Actual-ACPLGZ'!$B$7:$B$207,0),MATCH(BA$8,'Actual-ACPLGZ'!$H$6:$T$6,0)))</f>
        <v>0</v>
      </c>
      <c r="BB125" s="749">
        <f>SUM(INDEX('Budget-ACPLGZ'!$K$7:$W$207,MATCH($B125,'Budget-ACPLGZ'!$B$7:$B$207,0),MATCH('Budget-ACPLGZ'!K$6,'Budget-ACPLGZ'!$K$6:$W$6,0)):INDEX('Budget-ACPLGZ'!$K$7:$W$207,MATCH($B125,'Budget-ACPLGZ'!$B$7:$B$207,0),MATCH(BB$8,'Budget-ACPLGZ'!$K$6:$W$6,0)))</f>
        <v>0</v>
      </c>
      <c r="BC125" s="749">
        <f>BA125-BB125</f>
        <v>0</v>
      </c>
      <c r="BD125" s="748"/>
      <c r="BF125" s="749">
        <f>SUM(INDEX('Actual-ACPLYixing'!$H$7:$T$207,MATCH($B125,'Actual-ACPLYixing'!$B$7:$B$207,0),MATCH('Actual-ACPLYixing'!H$6,'Actual-ACPLYixing'!$H$6:$T$6,0)):INDEX('Actual-ACPLYixing'!$H$7:$T$207,MATCH($B125,'Actual-ACPLYixing'!$B$7:$B$207,0),MATCH(BF$8,'Actual-ACPLYixing'!$H$6:$T$6,0)))</f>
        <v>0</v>
      </c>
      <c r="BG125" s="749">
        <f>SUM(INDEX('Budget-Yixing'!$K$7:$W$207,MATCH($B125,'Budget-Yixing'!$B$7:$B$207,0),MATCH('Budget-Yixing'!K$6,'Budget-Yixing'!$K$6:$W$6,0)):INDEX('Budget-Yixing'!$K$7:$W$207,MATCH($B125,'Budget-Yixing'!$B$7:$B$207,0),MATCH(BG$8,'Budget-Yixing'!$K$6:$W$6,0)))</f>
        <v>0</v>
      </c>
      <c r="BH125" s="749">
        <f>BF125-BG125</f>
        <v>0</v>
      </c>
      <c r="BI125" s="748"/>
    </row>
    <row r="126" spans="1:61" ht="16.5" customHeight="1">
      <c r="A126" s="653">
        <f>'Budget-合并'!A124</f>
        <v>0</v>
      </c>
      <c r="B126" s="653" t="str">
        <f>'Budget-合并'!B124</f>
        <v xml:space="preserve">    旭智富能10</v>
      </c>
      <c r="C126" s="746">
        <f>INDEX('Actual-ACPL'!$H$7:$T$207,MATCH($B126,'Actual-ACPL'!$B$7:$B$207,0),MATCH(C$8,'Actual-ACPL'!$H$6:$T$6,0))</f>
        <v>0</v>
      </c>
      <c r="D126" s="746">
        <f>INDEX('Budget-ACPL'!$K$7:$W$207,MATCH($B126,'Budget-ACPL'!$B$7:$B$207,0),MATCH(D$8,'Budget-ACPL'!$K$6:$W$6,0))</f>
        <v>0</v>
      </c>
      <c r="E126" s="746">
        <f t="shared" si="81"/>
        <v>0</v>
      </c>
      <c r="F126" s="752"/>
      <c r="H126" s="749">
        <f>INDEX('Actual-ACPLHK'!$H$7:$T$207,MATCH($B126,'Actual-ACPLHK'!$B$7:$B$207,0),MATCH(H$8,'Actual-ACPLHK'!$H$6:$T$6,0))</f>
        <v>0</v>
      </c>
      <c r="I126" s="749">
        <f>INDEX('Budget-ACPLHK'!$K$7:$W$207,MATCH($B126,'Budget-ACPLHK'!$B$7:$B$207,0),MATCH(I$8,'Budget-ACPLHK'!$K$6:$W$6,0))</f>
        <v>0</v>
      </c>
      <c r="J126" s="749">
        <f t="shared" si="82"/>
        <v>0</v>
      </c>
      <c r="K126" s="748"/>
      <c r="M126" s="749">
        <f>INDEX('Actual-ACPSZL'!$H$7:$T$207,MATCH($B126,'Actual-ACPSZL'!$B$7:$B$207,0),MATCH(M$8,'Actual-ACPSZL'!$H$6:$T$6,0))</f>
        <v>0</v>
      </c>
      <c r="N126" s="749">
        <f>INDEX('Budget-ACPSZL'!$K$7:$W$207,MATCH($B126,'Budget-ACPSZL'!$B$7:$B$207,0),MATCH(N$8,'Budget-ACPSZL'!$K$6:$W$6,0))</f>
        <v>675.22</v>
      </c>
      <c r="O126" s="749">
        <f t="shared" si="78"/>
        <v>-675.22</v>
      </c>
      <c r="P126" s="748"/>
      <c r="R126" s="749">
        <f>INDEX('Actual-ACPLSZ'!$H$7:$T$207,MATCH($B126,'Actual-ACPLSZ'!$B$7:$B$207,0),MATCH(R$8,'Actual-ACPLSZ'!$H$6:$T$6,0))</f>
        <v>0</v>
      </c>
      <c r="S126" s="749">
        <f>INDEX('Budget-ACPLSZ'!$K$7:$W$207,MATCH($B126,'Budget-ACPLSZ'!$B$7:$B$207,0),MATCH(S$8,'Budget-ACPLSZ'!$K$6:$W$6,0))</f>
        <v>2181.1999999999998</v>
      </c>
      <c r="T126" s="749">
        <f>(R126-S126)*-1</f>
        <v>2181.1999999999998</v>
      </c>
      <c r="U126" s="748"/>
      <c r="W126" s="749">
        <f>INDEX('Actual-ACPLGZ'!$H$7:$T$207,MATCH($B126,'Actual-ACPLGZ'!$B$7:$B$207,0),MATCH(W$8,'Actual-ACPLGZ'!$H$6:$T$6,0))</f>
        <v>0</v>
      </c>
      <c r="X126" s="749">
        <f>INDEX('Budget-ACPLGZ'!$K$7:$W$207,MATCH($B126,'Budget-ACPLGZ'!$B$7:$B$207,0),MATCH(X$8,'Budget-ACPLGZ'!$K$6:$W$6,0))</f>
        <v>0</v>
      </c>
      <c r="Y126" s="749">
        <f t="shared" si="79"/>
        <v>0</v>
      </c>
      <c r="Z126" s="748"/>
      <c r="AB126" s="749">
        <f>INDEX('Actual-ACPLGZ'!$H$7:$T$207,MATCH($B126,'Actual-ACPLGZ'!$B$7:$B$207,0),MATCH(AB$8,'Actual-ACPLGZ'!$H$6:$T$6,0))</f>
        <v>0</v>
      </c>
      <c r="AC126" s="749">
        <f>INDEX('Budget-Yixing'!$K$7:$W$207,MATCH($B126,'Budget-Yixing'!$B$7:$B$207,0),MATCH(AC$8,'Budget-Yixing'!$K$6:$W$6,0))</f>
        <v>0</v>
      </c>
      <c r="AD126" s="749">
        <f>(AB126-AC126)*-1</f>
        <v>0</v>
      </c>
      <c r="AE126" s="748"/>
      <c r="AG126" s="751">
        <f>SUM(INDEX('Actual-ACPL'!$H$7:$T$207,MATCH($B126,'Actual-ACPL'!$B$7:$B$207,0),MATCH('Actual-ACPL'!H$6,'Actual-ACPL'!$H$6:$T$6,0)):INDEX('Actual-ACPL'!$H$7:$T$207,MATCH($B126,'Actual-ACPL'!$B$7:$B$207,0),MATCH(AG$8,'Actual-ACPL'!$H$6:$T$6,0)))</f>
        <v>0</v>
      </c>
      <c r="AH126" s="749">
        <f>SUM(INDEX('Budget-ACPL'!$K$7:$W$207,MATCH($B126,'Budget-ACPL'!$B$7:$B$207,0),MATCH('Budget-ACPL'!K$6,'Budget-ACPL'!$K$6:$W$6,0)):INDEX('Budget-ACPL'!$K$7:$W$207,MATCH($B126,'Budget-ACPL'!$B$7:$B$207,0),MATCH(AH$8,'Budget-ACPL'!$K$6:$W$6,0)))</f>
        <v>0</v>
      </c>
      <c r="AI126" s="749">
        <f>AG126-AH126</f>
        <v>0</v>
      </c>
      <c r="AJ126" s="748"/>
      <c r="AL126" s="749">
        <f>SUM(INDEX('Actual-ACPLHK'!$H$7:$S$207,MATCH($B126,'Actual-ACPLHK'!$B$7:$B$207,0),MATCH('Actual-ACPLHK'!H$6,'Actual-ACPLHK'!$H$6:$T$6,0)):INDEX('Actual-ACPLHK'!$H$7:$S$207,MATCH($B126,'Actual-ACPLHK'!$B$7:$B$207,0),MATCH(AL$8,'Actual-ACPLHK'!$H$6:$T$6,0)))</f>
        <v>0</v>
      </c>
      <c r="AM126" s="749">
        <f>SUM(INDEX('Budget-ACPLHK'!$K$7:$W$207,MATCH($B126,'Budget-ACPLHK'!$B$7:$B$207,0),MATCH('Budget-ACPLHK'!K$6,'Budget-ACPLHK'!$K$6:$W$6,0)):INDEX('Budget-ACPLHK'!$K$7:$W$207,MATCH($B126,'Budget-ACPLHK'!$B$7:$B$207,0),MATCH(AM$8,'Budget-ACPLHK'!$K$6:$W$6,0)))</f>
        <v>0</v>
      </c>
      <c r="AN126" s="749">
        <f>AL126-AM126</f>
        <v>0</v>
      </c>
      <c r="AO126" s="748"/>
      <c r="AQ126" s="749">
        <f>SUM(INDEX('Actual-ACPSZL'!$H$7:$T$207,MATCH($B126,'Actual-ACPSZL'!$B$7:$B$207,0),MATCH('Actual-ACPSZL'!H$6,'Actual-ACPSZL'!$H$6:$T$6,0)):INDEX('Actual-ACPSZL'!$H$7:$T$207,MATCH($B126,'Actual-ACPSZL'!$B$7:$B$207,0),MATCH(AQ$8,'Actual-ACPSZL'!$H$6:$T$6,0)))</f>
        <v>0</v>
      </c>
      <c r="AR126" s="749">
        <f>SUM(INDEX('Budget-ACPSZL'!$K$7:$W$207,MATCH($B126,'Budget-ACPSZL'!$B$7:$B$207,0),MATCH('Budget-ACPSZL'!K$6,'Budget-ACPSZL'!$K$6:$W$6,0)):INDEX('Budget-ACPSZL'!$K$7:$W$207,MATCH($B126,'Budget-ACPSZL'!$B$7:$B$207,0),MATCH(AR$8,'Budget-ACPSZL'!$K$6:$W$6,0)))</f>
        <v>675.22</v>
      </c>
      <c r="AS126" s="749">
        <f t="shared" si="77"/>
        <v>-675.22</v>
      </c>
      <c r="AT126" s="748"/>
      <c r="AV126" s="749">
        <f>SUM(INDEX('Actual-ACPLSZ'!$H$7:$T$207,MATCH($B126,'Actual-ACPLSZ'!$B$7:$B$207,0),MATCH('Actual-ACPLSZ'!H$6,'Actual-ACPLSZ'!$H$6:$T$6,0)):INDEX('Actual-ACPLSZ'!$H$7:$T$207,MATCH($B126,'Actual-ACPLSZ'!$B$7:$B$207,0),MATCH(AV$8,'Actual-ACPLSZ'!$H$6:$T$6,0)))</f>
        <v>0</v>
      </c>
      <c r="AW126" s="749">
        <f>SUM(INDEX('Budget-ACPLSZ'!$K$7:$W$207,MATCH($B126,'Budget-ACPLSZ'!$B$7:$B$207,0),MATCH('Budget-ACPLSZ'!K$6,'Budget-ACPLSZ'!$K$6:$W$6,0)):INDEX('Budget-ACPLSZ'!$K$7:$W$207,MATCH($B126,'Budget-ACPLSZ'!$B$7:$B$207,0),MATCH(AW$8,'Budget-ACPLSZ'!$K$6:$W$6,0)))</f>
        <v>2181.1999999999998</v>
      </c>
      <c r="AX126" s="749">
        <f t="shared" si="80"/>
        <v>-2181.1999999999998</v>
      </c>
      <c r="AY126" s="748"/>
      <c r="BA126" s="749">
        <f>SUM(INDEX('Actual-ACPLGZ'!$H$7:$T$207,MATCH($B126,'Actual-ACPLGZ'!$B$7:$B$207,0),MATCH('Actual-ACPLGZ'!H$6,'Actual-ACPLGZ'!$H$6:$T$6,0)):INDEX('Actual-ACPLGZ'!$H$7:$T$207,MATCH($B126,'Actual-ACPLGZ'!$B$7:$B$207,0),MATCH(BA$8,'Actual-ACPLGZ'!$H$6:$T$6,0)))</f>
        <v>0</v>
      </c>
      <c r="BB126" s="749">
        <f>SUM(INDEX('Budget-ACPLGZ'!$K$7:$W$207,MATCH($B126,'Budget-ACPLGZ'!$B$7:$B$207,0),MATCH('Budget-ACPLGZ'!K$6,'Budget-ACPLGZ'!$K$6:$W$6,0)):INDEX('Budget-ACPLGZ'!$K$7:$W$207,MATCH($B126,'Budget-ACPLGZ'!$B$7:$B$207,0),MATCH(BB$8,'Budget-ACPLGZ'!$K$6:$W$6,0)))</f>
        <v>0</v>
      </c>
      <c r="BC126" s="749">
        <f>BA126-BB126</f>
        <v>0</v>
      </c>
      <c r="BD126" s="748"/>
      <c r="BF126" s="749">
        <f>SUM(INDEX('Actual-ACPLYixing'!$H$7:$T$207,MATCH($B126,'Actual-ACPLYixing'!$B$7:$B$207,0),MATCH('Actual-ACPLYixing'!H$6,'Actual-ACPLYixing'!$H$6:$T$6,0)):INDEX('Actual-ACPLYixing'!$H$7:$T$207,MATCH($B126,'Actual-ACPLYixing'!$B$7:$B$207,0),MATCH(BF$8,'Actual-ACPLYixing'!$H$6:$T$6,0)))</f>
        <v>0</v>
      </c>
      <c r="BG126" s="749">
        <f>SUM(INDEX('Budget-Yixing'!$K$7:$W$207,MATCH($B126,'Budget-Yixing'!$B$7:$B$207,0),MATCH('Budget-Yixing'!K$6,'Budget-Yixing'!$K$6:$W$6,0)):INDEX('Budget-Yixing'!$K$7:$W$207,MATCH($B126,'Budget-Yixing'!$B$7:$B$207,0),MATCH(BG$8,'Budget-Yixing'!$K$6:$W$6,0)))</f>
        <v>0</v>
      </c>
      <c r="BH126" s="749">
        <f>BF126-BG126</f>
        <v>0</v>
      </c>
      <c r="BI126" s="748"/>
    </row>
    <row r="127" spans="1:61" ht="16.5" customHeight="1">
      <c r="A127" s="653">
        <f>'Budget-合并'!A125</f>
        <v>0</v>
      </c>
      <c r="B127" s="653" t="str">
        <f>'Budget-合并'!B125</f>
        <v xml:space="preserve">    其他项目10</v>
      </c>
      <c r="C127" s="746">
        <f>INDEX('Actual-ACPL'!$H$7:$T$207,MATCH($B127,'Actual-ACPL'!$B$7:$B$207,0),MATCH(C$8,'Actual-ACPL'!$H$6:$T$6,0))</f>
        <v>0</v>
      </c>
      <c r="D127" s="746">
        <f>INDEX('Budget-ACPL'!$K$7:$W$207,MATCH($B127,'Budget-ACPL'!$B$7:$B$207,0),MATCH(D$8,'Budget-ACPL'!$K$6:$W$6,0))</f>
        <v>0</v>
      </c>
      <c r="E127" s="746">
        <f t="shared" si="81"/>
        <v>0</v>
      </c>
      <c r="F127" s="752"/>
      <c r="H127" s="749">
        <f>INDEX('Actual-ACPLHK'!$H$7:$T$207,MATCH($B127,'Actual-ACPLHK'!$B$7:$B$207,0),MATCH(H$8,'Actual-ACPLHK'!$H$6:$T$6,0))</f>
        <v>0</v>
      </c>
      <c r="I127" s="749">
        <f>INDEX('Budget-ACPLHK'!$K$7:$W$207,MATCH($B127,'Budget-ACPLHK'!$B$7:$B$207,0),MATCH(I$8,'Budget-ACPLHK'!$K$6:$W$6,0))</f>
        <v>0</v>
      </c>
      <c r="J127" s="749">
        <f t="shared" si="82"/>
        <v>0</v>
      </c>
      <c r="K127" s="748"/>
      <c r="M127" s="749">
        <f>INDEX('Actual-ACPSZL'!$H$7:$T$207,MATCH($B127,'Actual-ACPSZL'!$B$7:$B$207,0),MATCH(M$8,'Actual-ACPSZL'!$H$6:$T$6,0))</f>
        <v>0</v>
      </c>
      <c r="N127" s="749">
        <f>INDEX('Budget-ACPSZL'!$K$7:$W$207,MATCH($B127,'Budget-ACPSZL'!$B$7:$B$207,0),MATCH(N$8,'Budget-ACPSZL'!$K$6:$W$6,0))</f>
        <v>0</v>
      </c>
      <c r="O127" s="749">
        <f t="shared" si="78"/>
        <v>0</v>
      </c>
      <c r="P127" s="748"/>
      <c r="R127" s="749">
        <f>INDEX('Actual-ACPLSZ'!$H$7:$T$207,MATCH($B127,'Actual-ACPLSZ'!$B$7:$B$207,0),MATCH(R$8,'Actual-ACPLSZ'!$H$6:$T$6,0))</f>
        <v>0</v>
      </c>
      <c r="S127" s="749">
        <f>INDEX('Budget-ACPLSZ'!$K$7:$W$207,MATCH($B127,'Budget-ACPLSZ'!$B$7:$B$207,0),MATCH(S$8,'Budget-ACPLSZ'!$K$6:$W$6,0))</f>
        <v>0</v>
      </c>
      <c r="T127" s="749"/>
      <c r="U127" s="748"/>
      <c r="W127" s="749">
        <f>INDEX('Actual-ACPLGZ'!$H$7:$T$207,MATCH($B127,'Actual-ACPLGZ'!$B$7:$B$207,0),MATCH(W$8,'Actual-ACPLGZ'!$H$6:$T$6,0))</f>
        <v>0</v>
      </c>
      <c r="X127" s="749">
        <f>INDEX('Budget-ACPLGZ'!$K$7:$W$207,MATCH($B127,'Budget-ACPLGZ'!$B$7:$B$207,0),MATCH(X$8,'Budget-ACPLGZ'!$K$6:$W$6,0))</f>
        <v>0</v>
      </c>
      <c r="Y127" s="749">
        <f t="shared" si="79"/>
        <v>0</v>
      </c>
      <c r="Z127" s="748"/>
      <c r="AB127" s="749">
        <f>INDEX('Actual-ACPLGZ'!$H$7:$T$207,MATCH($B127,'Actual-ACPLGZ'!$B$7:$B$207,0),MATCH(AB$8,'Actual-ACPLGZ'!$H$6:$T$6,0))</f>
        <v>0</v>
      </c>
      <c r="AC127" s="749">
        <f>INDEX('Budget-Yixing'!$K$7:$W$207,MATCH($B127,'Budget-Yixing'!$B$7:$B$207,0),MATCH(AC$8,'Budget-Yixing'!$K$6:$W$6,0))</f>
        <v>0</v>
      </c>
      <c r="AD127" s="749"/>
      <c r="AE127" s="748"/>
      <c r="AG127" s="751">
        <f>SUM(INDEX('Actual-ACPL'!$H$7:$T$207,MATCH($B127,'Actual-ACPL'!$B$7:$B$207,0),MATCH('Actual-ACPL'!H$6,'Actual-ACPL'!$H$6:$T$6,0)):INDEX('Actual-ACPL'!$H$7:$T$207,MATCH($B127,'Actual-ACPL'!$B$7:$B$207,0),MATCH(AG$8,'Actual-ACPL'!$H$6:$T$6,0)))</f>
        <v>0</v>
      </c>
      <c r="AH127" s="749">
        <f>SUM(INDEX('Budget-ACPL'!$K$7:$W$207,MATCH($B127,'Budget-ACPL'!$B$7:$B$207,0),MATCH('Budget-ACPL'!K$6,'Budget-ACPL'!$K$6:$W$6,0)):INDEX('Budget-ACPL'!$K$7:$W$207,MATCH($B127,'Budget-ACPL'!$B$7:$B$207,0),MATCH(AH$8,'Budget-ACPL'!$K$6:$W$6,0)))</f>
        <v>0</v>
      </c>
      <c r="AI127" s="749"/>
      <c r="AJ127" s="748"/>
      <c r="AL127" s="749">
        <f>SUM(INDEX('Actual-ACPLHK'!$H$7:$S$207,MATCH($B127,'Actual-ACPLHK'!$B$7:$B$207,0),MATCH('Actual-ACPLHK'!H$6,'Actual-ACPLHK'!$H$6:$T$6,0)):INDEX('Actual-ACPLHK'!$H$7:$S$207,MATCH($B127,'Actual-ACPLHK'!$B$7:$B$207,0),MATCH(AL$8,'Actual-ACPLHK'!$H$6:$T$6,0)))</f>
        <v>0</v>
      </c>
      <c r="AM127" s="749">
        <f>SUM(INDEX('Budget-ACPLHK'!$K$7:$W$207,MATCH($B127,'Budget-ACPLHK'!$B$7:$B$207,0),MATCH('Budget-ACPLHK'!K$6,'Budget-ACPLHK'!$K$6:$W$6,0)):INDEX('Budget-ACPLHK'!$K$7:$W$207,MATCH($B127,'Budget-ACPLHK'!$B$7:$B$207,0),MATCH(AM$8,'Budget-ACPLHK'!$K$6:$W$6,0)))</f>
        <v>0</v>
      </c>
      <c r="AN127" s="749"/>
      <c r="AO127" s="748"/>
      <c r="AQ127" s="749">
        <f>SUM(INDEX('Actual-ACPSZL'!$H$7:$T$207,MATCH($B127,'Actual-ACPSZL'!$B$7:$B$207,0),MATCH('Actual-ACPSZL'!H$6,'Actual-ACPSZL'!$H$6:$T$6,0)):INDEX('Actual-ACPSZL'!$H$7:$T$207,MATCH($B127,'Actual-ACPSZL'!$B$7:$B$207,0),MATCH(AQ$8,'Actual-ACPSZL'!$H$6:$T$6,0)))</f>
        <v>0</v>
      </c>
      <c r="AR127" s="749">
        <f>SUM(INDEX('Budget-ACPSZL'!$K$7:$W$207,MATCH($B127,'Budget-ACPSZL'!$B$7:$B$207,0),MATCH('Budget-ACPSZL'!K$6,'Budget-ACPSZL'!$K$6:$W$6,0)):INDEX('Budget-ACPSZL'!$K$7:$W$207,MATCH($B127,'Budget-ACPSZL'!$B$7:$B$207,0),MATCH(AR$8,'Budget-ACPSZL'!$K$6:$W$6,0)))</f>
        <v>0</v>
      </c>
      <c r="AS127" s="749">
        <f t="shared" si="77"/>
        <v>0</v>
      </c>
      <c r="AT127" s="748"/>
      <c r="AV127" s="749">
        <f>SUM(INDEX('Actual-ACPLSZ'!$H$7:$T$207,MATCH($B127,'Actual-ACPLSZ'!$B$7:$B$207,0),MATCH('Actual-ACPLSZ'!H$6,'Actual-ACPLSZ'!$H$6:$T$6,0)):INDEX('Actual-ACPLSZ'!$H$7:$T$207,MATCH($B127,'Actual-ACPLSZ'!$B$7:$B$207,0),MATCH(AV$8,'Actual-ACPLSZ'!$H$6:$T$6,0)))</f>
        <v>0</v>
      </c>
      <c r="AW127" s="749">
        <f>SUM(INDEX('Budget-ACPLSZ'!$K$7:$W$207,MATCH($B127,'Budget-ACPLSZ'!$B$7:$B$207,0),MATCH('Budget-ACPLSZ'!K$6,'Budget-ACPLSZ'!$K$6:$W$6,0)):INDEX('Budget-ACPLSZ'!$K$7:$W$207,MATCH($B127,'Budget-ACPLSZ'!$B$7:$B$207,0),MATCH(AW$8,'Budget-ACPLSZ'!$K$6:$W$6,0)))</f>
        <v>0</v>
      </c>
      <c r="AX127" s="749">
        <f t="shared" si="80"/>
        <v>0</v>
      </c>
      <c r="AY127" s="748"/>
      <c r="BA127" s="749">
        <f>SUM(INDEX('Actual-ACPLGZ'!$H$7:$T$207,MATCH($B127,'Actual-ACPLGZ'!$B$7:$B$207,0),MATCH('Actual-ACPLGZ'!H$6,'Actual-ACPLGZ'!$H$6:$T$6,0)):INDEX('Actual-ACPLGZ'!$H$7:$T$207,MATCH($B127,'Actual-ACPLGZ'!$B$7:$B$207,0),MATCH(BA$8,'Actual-ACPLGZ'!$H$6:$T$6,0)))</f>
        <v>0</v>
      </c>
      <c r="BB127" s="749">
        <f>SUM(INDEX('Budget-ACPLGZ'!$K$7:$W$207,MATCH($B127,'Budget-ACPLGZ'!$B$7:$B$207,0),MATCH('Budget-ACPLGZ'!K$6,'Budget-ACPLGZ'!$K$6:$W$6,0)):INDEX('Budget-ACPLGZ'!$K$7:$W$207,MATCH($B127,'Budget-ACPLGZ'!$B$7:$B$207,0),MATCH(BB$8,'Budget-ACPLGZ'!$K$6:$W$6,0)))</f>
        <v>0</v>
      </c>
      <c r="BC127" s="749"/>
      <c r="BD127" s="748"/>
      <c r="BF127" s="749">
        <f>SUM(INDEX('Actual-ACPLYixing'!$H$7:$T$207,MATCH($B127,'Actual-ACPLYixing'!$B$7:$B$207,0),MATCH('Actual-ACPLYixing'!H$6,'Actual-ACPLYixing'!$H$6:$T$6,0)):INDEX('Actual-ACPLYixing'!$H$7:$T$207,MATCH($B127,'Actual-ACPLYixing'!$B$7:$B$207,0),MATCH(BF$8,'Actual-ACPLYixing'!$H$6:$T$6,0)))</f>
        <v>0</v>
      </c>
      <c r="BG127" s="749">
        <f>SUM(INDEX('Budget-Yixing'!$K$7:$W$207,MATCH($B127,'Budget-Yixing'!$B$7:$B$207,0),MATCH('Budget-Yixing'!K$6,'Budget-Yixing'!$K$6:$W$6,0)):INDEX('Budget-Yixing'!$K$7:$W$207,MATCH($B127,'Budget-Yixing'!$B$7:$B$207,0),MATCH(BG$8,'Budget-Yixing'!$K$6:$W$6,0)))</f>
        <v>0</v>
      </c>
      <c r="BH127" s="749"/>
      <c r="BI127" s="748"/>
    </row>
    <row r="128" spans="1:61" ht="16.5" customHeight="1">
      <c r="A128" s="653" t="str">
        <f>'Budget-合并'!A126</f>
        <v>6602.09.99</v>
      </c>
      <c r="B128" s="653" t="str">
        <f>'Budget-合并'!B126</f>
        <v>其他</v>
      </c>
      <c r="C128" s="746">
        <f>INDEX('Actual-ACPL'!$H$7:$T$207,MATCH($B128,'Actual-ACPL'!$B$7:$B$207,0),MATCH(C$8,'Actual-ACPL'!$H$6:$T$6,0))</f>
        <v>0</v>
      </c>
      <c r="D128" s="746">
        <f>INDEX('Budget-ACPL'!$K$7:$W$207,MATCH($B128,'Budget-ACPL'!$B$7:$B$207,0),MATCH(D$8,'Budget-ACPL'!$K$6:$W$6,0))</f>
        <v>0</v>
      </c>
      <c r="E128" s="746">
        <f t="shared" si="81"/>
        <v>0</v>
      </c>
      <c r="F128" s="752"/>
      <c r="H128" s="749">
        <f>INDEX('Actual-ACPLHK'!$H$7:$T$207,MATCH($B128,'Actual-ACPLHK'!$B$7:$B$207,0),MATCH(H$8,'Actual-ACPLHK'!$H$6:$T$6,0))</f>
        <v>0</v>
      </c>
      <c r="I128" s="749">
        <f>INDEX('Budget-ACPLHK'!$K$7:$W$207,MATCH($B128,'Budget-ACPLHK'!$B$7:$B$207,0),MATCH(I$8,'Budget-ACPLHK'!$K$6:$W$6,0))</f>
        <v>0</v>
      </c>
      <c r="J128" s="749">
        <f t="shared" si="82"/>
        <v>0</v>
      </c>
      <c r="K128" s="748"/>
      <c r="M128" s="749">
        <f>INDEX('Actual-ACPSZL'!$H$7:$T$207,MATCH($B128,'Actual-ACPSZL'!$B$7:$B$207,0),MATCH(M$8,'Actual-ACPSZL'!$H$6:$T$6,0))</f>
        <v>0</v>
      </c>
      <c r="N128" s="749">
        <f>INDEX('Budget-ACPSZL'!$K$7:$W$207,MATCH($B128,'Budget-ACPSZL'!$B$7:$B$207,0),MATCH(N$8,'Budget-ACPSZL'!$K$6:$W$6,0))</f>
        <v>0</v>
      </c>
      <c r="O128" s="749">
        <f t="shared" si="78"/>
        <v>0</v>
      </c>
      <c r="P128" s="748"/>
      <c r="R128" s="749">
        <f>INDEX('Actual-ACPLSZ'!$H$7:$T$207,MATCH($B128,'Actual-ACPLSZ'!$B$7:$B$207,0),MATCH(R$8,'Actual-ACPLSZ'!$H$6:$T$6,0))</f>
        <v>0</v>
      </c>
      <c r="S128" s="749">
        <f>INDEX('Budget-ACPLSZ'!$K$7:$W$207,MATCH($B128,'Budget-ACPLSZ'!$B$7:$B$207,0),MATCH(S$8,'Budget-ACPLSZ'!$K$6:$W$6,0))</f>
        <v>0</v>
      </c>
      <c r="T128" s="749">
        <f t="shared" ref="T128:T175" si="83">(R128-S128)*-1</f>
        <v>0</v>
      </c>
      <c r="U128" s="748"/>
      <c r="W128" s="749">
        <f>INDEX('Actual-ACPLGZ'!$H$7:$T$207,MATCH($B128,'Actual-ACPLGZ'!$B$7:$B$207,0),MATCH(W$8,'Actual-ACPLGZ'!$H$6:$T$6,0))</f>
        <v>0</v>
      </c>
      <c r="X128" s="749">
        <f>INDEX('Budget-ACPLGZ'!$K$7:$W$207,MATCH($B128,'Budget-ACPLGZ'!$B$7:$B$207,0),MATCH(X$8,'Budget-ACPLGZ'!$K$6:$W$6,0))</f>
        <v>0</v>
      </c>
      <c r="Y128" s="749">
        <f t="shared" si="79"/>
        <v>0</v>
      </c>
      <c r="Z128" s="748"/>
      <c r="AB128" s="749">
        <f>INDEX('Actual-ACPLGZ'!$H$7:$T$207,MATCH($B128,'Actual-ACPLGZ'!$B$7:$B$207,0),MATCH(AB$8,'Actual-ACPLGZ'!$H$6:$T$6,0))</f>
        <v>0</v>
      </c>
      <c r="AC128" s="749">
        <f>INDEX('Budget-Yixing'!$K$7:$W$207,MATCH($B128,'Budget-Yixing'!$B$7:$B$207,0),MATCH(AC$8,'Budget-Yixing'!$K$6:$W$6,0))</f>
        <v>0</v>
      </c>
      <c r="AD128" s="749">
        <f t="shared" ref="AD128:AD175" si="84">(AB128-AC128)*-1</f>
        <v>0</v>
      </c>
      <c r="AE128" s="748"/>
      <c r="AG128" s="751">
        <f>SUM(INDEX('Actual-ACPL'!$H$7:$T$207,MATCH($B128,'Actual-ACPL'!$B$7:$B$207,0),MATCH('Actual-ACPL'!H$6,'Actual-ACPL'!$H$6:$T$6,0)):INDEX('Actual-ACPL'!$H$7:$T$207,MATCH($B128,'Actual-ACPL'!$B$7:$B$207,0),MATCH(AG$8,'Actual-ACPL'!$H$6:$T$6,0)))</f>
        <v>0</v>
      </c>
      <c r="AH128" s="749">
        <f>SUM(INDEX('Budget-ACPL'!$K$7:$W$207,MATCH($B128,'Budget-ACPL'!$B$7:$B$207,0),MATCH('Budget-ACPL'!K$6,'Budget-ACPL'!$K$6:$W$6,0)):INDEX('Budget-ACPL'!$K$7:$W$207,MATCH($B128,'Budget-ACPL'!$B$7:$B$207,0),MATCH(AH$8,'Budget-ACPL'!$K$6:$W$6,0)))</f>
        <v>0</v>
      </c>
      <c r="AI128" s="749">
        <f>AG128-AH128</f>
        <v>0</v>
      </c>
      <c r="AJ128" s="748"/>
      <c r="AL128" s="749">
        <f>SUM(INDEX('Actual-ACPLHK'!$H$7:$S$207,MATCH($B128,'Actual-ACPLHK'!$B$7:$B$207,0),MATCH('Actual-ACPLHK'!H$6,'Actual-ACPLHK'!$H$6:$T$6,0)):INDEX('Actual-ACPLHK'!$H$7:$S$207,MATCH($B128,'Actual-ACPLHK'!$B$7:$B$207,0),MATCH(AL$8,'Actual-ACPLHK'!$H$6:$T$6,0)))</f>
        <v>0</v>
      </c>
      <c r="AM128" s="749">
        <f>SUM(INDEX('Budget-ACPLHK'!$K$7:$W$207,MATCH($B128,'Budget-ACPLHK'!$B$7:$B$207,0),MATCH('Budget-ACPLHK'!K$6,'Budget-ACPLHK'!$K$6:$W$6,0)):INDEX('Budget-ACPLHK'!$K$7:$W$207,MATCH($B128,'Budget-ACPLHK'!$B$7:$B$207,0),MATCH(AM$8,'Budget-ACPLHK'!$K$6:$W$6,0)))</f>
        <v>0</v>
      </c>
      <c r="AN128" s="749">
        <f t="shared" ref="AN128:AN175" si="85">AL128-AM128</f>
        <v>0</v>
      </c>
      <c r="AO128" s="748"/>
      <c r="AQ128" s="749">
        <f>SUM(INDEX('Actual-ACPSZL'!$H$7:$T$207,MATCH($B128,'Actual-ACPSZL'!$B$7:$B$207,0),MATCH('Actual-ACPSZL'!H$6,'Actual-ACPSZL'!$H$6:$T$6,0)):INDEX('Actual-ACPSZL'!$H$7:$T$207,MATCH($B128,'Actual-ACPSZL'!$B$7:$B$207,0),MATCH(AQ$8,'Actual-ACPSZL'!$H$6:$T$6,0)))</f>
        <v>0</v>
      </c>
      <c r="AR128" s="749">
        <f>SUM(INDEX('Budget-ACPSZL'!$K$7:$W$207,MATCH($B128,'Budget-ACPSZL'!$B$7:$B$207,0),MATCH('Budget-ACPSZL'!K$6,'Budget-ACPSZL'!$K$6:$W$6,0)):INDEX('Budget-ACPSZL'!$K$7:$W$207,MATCH($B128,'Budget-ACPSZL'!$B$7:$B$207,0),MATCH(AR$8,'Budget-ACPSZL'!$K$6:$W$6,0)))</f>
        <v>0</v>
      </c>
      <c r="AS128" s="749">
        <f t="shared" si="77"/>
        <v>0</v>
      </c>
      <c r="AT128" s="748"/>
      <c r="AV128" s="749">
        <f>SUM(INDEX('Actual-ACPLSZ'!$H$7:$T$207,MATCH($B128,'Actual-ACPLSZ'!$B$7:$B$207,0),MATCH('Actual-ACPLSZ'!H$6,'Actual-ACPLSZ'!$H$6:$T$6,0)):INDEX('Actual-ACPLSZ'!$H$7:$T$207,MATCH($B128,'Actual-ACPLSZ'!$B$7:$B$207,0),MATCH(AV$8,'Actual-ACPLSZ'!$H$6:$T$6,0)))</f>
        <v>0</v>
      </c>
      <c r="AW128" s="749">
        <f>SUM(INDEX('Budget-ACPLSZ'!$K$7:$W$207,MATCH($B128,'Budget-ACPLSZ'!$B$7:$B$207,0),MATCH('Budget-ACPLSZ'!K$6,'Budget-ACPLSZ'!$K$6:$W$6,0)):INDEX('Budget-ACPLSZ'!$K$7:$W$207,MATCH($B128,'Budget-ACPLSZ'!$B$7:$B$207,0),MATCH(AW$8,'Budget-ACPLSZ'!$K$6:$W$6,0)))</f>
        <v>0</v>
      </c>
      <c r="AX128" s="749">
        <f t="shared" si="80"/>
        <v>0</v>
      </c>
      <c r="AY128" s="748"/>
      <c r="BA128" s="749">
        <f>SUM(INDEX('Actual-ACPLGZ'!$H$7:$T$207,MATCH($B128,'Actual-ACPLGZ'!$B$7:$B$207,0),MATCH('Actual-ACPLGZ'!H$6,'Actual-ACPLGZ'!$H$6:$T$6,0)):INDEX('Actual-ACPLGZ'!$H$7:$T$207,MATCH($B128,'Actual-ACPLGZ'!$B$7:$B$207,0),MATCH(BA$8,'Actual-ACPLGZ'!$H$6:$T$6,0)))</f>
        <v>0</v>
      </c>
      <c r="BB128" s="749">
        <f>SUM(INDEX('Budget-ACPLGZ'!$K$7:$W$207,MATCH($B128,'Budget-ACPLGZ'!$B$7:$B$207,0),MATCH('Budget-ACPLGZ'!K$6,'Budget-ACPLGZ'!$K$6:$W$6,0)):INDEX('Budget-ACPLGZ'!$K$7:$W$207,MATCH($B128,'Budget-ACPLGZ'!$B$7:$B$207,0),MATCH(BB$8,'Budget-ACPLGZ'!$K$6:$W$6,0)))</f>
        <v>0</v>
      </c>
      <c r="BC128" s="749">
        <f t="shared" ref="BC128:BC178" si="86">BA128-BB128</f>
        <v>0</v>
      </c>
      <c r="BD128" s="748"/>
      <c r="BF128" s="749">
        <f>SUM(INDEX('Actual-ACPLYixing'!$H$7:$T$207,MATCH($B128,'Actual-ACPLYixing'!$B$7:$B$207,0),MATCH('Actual-ACPLYixing'!H$6,'Actual-ACPLYixing'!$H$6:$T$6,0)):INDEX('Actual-ACPLYixing'!$H$7:$T$207,MATCH($B128,'Actual-ACPLYixing'!$B$7:$B$207,0),MATCH(BF$8,'Actual-ACPLYixing'!$H$6:$T$6,0)))</f>
        <v>0</v>
      </c>
      <c r="BG128" s="749">
        <f>SUM(INDEX('Budget-Yixing'!$K$7:$W$207,MATCH($B128,'Budget-Yixing'!$B$7:$B$207,0),MATCH('Budget-Yixing'!K$6,'Budget-Yixing'!$K$6:$W$6,0)):INDEX('Budget-Yixing'!$K$7:$W$207,MATCH($B128,'Budget-Yixing'!$B$7:$B$207,0),MATCH(BG$8,'Budget-Yixing'!$K$6:$W$6,0)))</f>
        <v>0</v>
      </c>
      <c r="BH128" s="749">
        <f t="shared" ref="BH128:BH175" si="87">BF128-BG128</f>
        <v>0</v>
      </c>
      <c r="BI128" s="748"/>
    </row>
    <row r="129" spans="1:61" ht="16.5" customHeight="1">
      <c r="A129" s="653" t="str">
        <f>'Budget-合并'!A127</f>
        <v>6602.10</v>
      </c>
      <c r="B129" s="653" t="str">
        <f>'Budget-合并'!B127</f>
        <v>折旧费</v>
      </c>
      <c r="C129" s="746">
        <f>INDEX('Actual-ACPL'!$H$7:$T$207,MATCH($B129,'Actual-ACPL'!$B$7:$B$207,0),MATCH(C$8,'Actual-ACPL'!$H$6:$T$6,0))</f>
        <v>0</v>
      </c>
      <c r="D129" s="746">
        <f>INDEX('Budget-ACPL'!$K$7:$W$207,MATCH($B129,'Budget-ACPL'!$B$7:$B$207,0),MATCH(D$8,'Budget-ACPL'!$K$6:$W$6,0))</f>
        <v>741.6583333333333</v>
      </c>
      <c r="E129" s="746">
        <f t="shared" si="81"/>
        <v>-741.6583333333333</v>
      </c>
      <c r="F129" s="752"/>
      <c r="H129" s="749">
        <f>INDEX('Actual-ACPLHK'!$H$7:$T$207,MATCH($B129,'Actual-ACPLHK'!$B$7:$B$207,0),MATCH(H$8,'Actual-ACPLHK'!$H$6:$T$6,0))</f>
        <v>0</v>
      </c>
      <c r="I129" s="749">
        <f>INDEX('Budget-ACPLHK'!$K$7:$W$207,MATCH($B129,'Budget-ACPLHK'!$B$7:$B$207,0),MATCH(I$8,'Budget-ACPLHK'!$K$6:$W$6,0))</f>
        <v>0</v>
      </c>
      <c r="J129" s="749">
        <f t="shared" si="82"/>
        <v>0</v>
      </c>
      <c r="K129" s="748"/>
      <c r="M129" s="749">
        <f>INDEX('Actual-ACPSZL'!$H$7:$T$207,MATCH($B129,'Actual-ACPSZL'!$B$7:$B$207,0),MATCH(M$8,'Actual-ACPSZL'!$H$6:$T$6,0))</f>
        <v>0</v>
      </c>
      <c r="N129" s="749">
        <f>INDEX('Budget-ACPSZL'!$K$7:$W$207,MATCH($B129,'Budget-ACPSZL'!$B$7:$B$207,0),MATCH(N$8,'Budget-ACPSZL'!$K$6:$W$6,0))</f>
        <v>40.929166666666703</v>
      </c>
      <c r="O129" s="749">
        <f t="shared" si="78"/>
        <v>-40.929166666666703</v>
      </c>
      <c r="P129" s="748"/>
      <c r="R129" s="749">
        <f>INDEX('Actual-ACPLSZ'!$H$7:$T$207,MATCH($B129,'Actual-ACPLSZ'!$B$7:$B$207,0),MATCH(R$8,'Actual-ACPLSZ'!$H$6:$T$6,0))</f>
        <v>0</v>
      </c>
      <c r="S129" s="749">
        <f>INDEX('Budget-ACPLSZ'!$K$7:$W$207,MATCH($B129,'Budget-ACPLSZ'!$B$7:$B$207,0),MATCH(S$8,'Budget-ACPLSZ'!$K$6:$W$6,0))</f>
        <v>4557.6822222222218</v>
      </c>
      <c r="T129" s="749">
        <f t="shared" si="83"/>
        <v>4557.6822222222218</v>
      </c>
      <c r="U129" s="748"/>
      <c r="W129" s="749">
        <f>INDEX('Actual-ACPLGZ'!$H$7:$T$207,MATCH($B129,'Actual-ACPLGZ'!$B$7:$B$207,0),MATCH(W$8,'Actual-ACPLGZ'!$H$6:$T$6,0))</f>
        <v>0</v>
      </c>
      <c r="X129" s="749">
        <f>INDEX('Budget-ACPLGZ'!$K$7:$W$207,MATCH($B129,'Budget-ACPLGZ'!$B$7:$B$207,0),MATCH(X$8,'Budget-ACPLGZ'!$K$6:$W$6,0))</f>
        <v>0</v>
      </c>
      <c r="Y129" s="749">
        <f t="shared" si="79"/>
        <v>0</v>
      </c>
      <c r="Z129" s="748"/>
      <c r="AB129" s="749">
        <f>INDEX('Actual-ACPLGZ'!$H$7:$T$207,MATCH($B129,'Actual-ACPLGZ'!$B$7:$B$207,0),MATCH(AB$8,'Actual-ACPLGZ'!$H$6:$T$6,0))</f>
        <v>0</v>
      </c>
      <c r="AC129" s="749">
        <f>INDEX('Budget-Yixing'!$K$7:$W$207,MATCH($B129,'Budget-Yixing'!$B$7:$B$207,0),MATCH(AC$8,'Budget-Yixing'!$K$6:$W$6,0))</f>
        <v>0</v>
      </c>
      <c r="AD129" s="749">
        <f t="shared" si="84"/>
        <v>0</v>
      </c>
      <c r="AE129" s="748"/>
      <c r="AG129" s="751">
        <f>SUM(INDEX('Actual-ACPL'!$H$7:$T$207,MATCH($B129,'Actual-ACPL'!$B$7:$B$207,0),MATCH('Actual-ACPL'!H$6,'Actual-ACPL'!$H$6:$T$6,0)):INDEX('Actual-ACPL'!$H$7:$T$207,MATCH($B129,'Actual-ACPL'!$B$7:$B$207,0),MATCH(AG$8,'Actual-ACPL'!$H$6:$T$6,0)))</f>
        <v>0</v>
      </c>
      <c r="AH129" s="749">
        <f>SUM(INDEX('Budget-ACPL'!$K$7:$W$207,MATCH($B129,'Budget-ACPL'!$B$7:$B$207,0),MATCH('Budget-ACPL'!K$6,'Budget-ACPL'!$K$6:$W$6,0)):INDEX('Budget-ACPL'!$K$7:$W$207,MATCH($B129,'Budget-ACPL'!$B$7:$B$207,0),MATCH(AH$8,'Budget-ACPL'!$K$6:$W$6,0)))</f>
        <v>741.6583333333333</v>
      </c>
      <c r="AI129" s="749">
        <f>AG129-AH129</f>
        <v>-741.6583333333333</v>
      </c>
      <c r="AJ129" s="748"/>
      <c r="AL129" s="749">
        <f>SUM(INDEX('Actual-ACPLHK'!$H$7:$S$207,MATCH($B129,'Actual-ACPLHK'!$B$7:$B$207,0),MATCH('Actual-ACPLHK'!H$6,'Actual-ACPLHK'!$H$6:$T$6,0)):INDEX('Actual-ACPLHK'!$H$7:$S$207,MATCH($B129,'Actual-ACPLHK'!$B$7:$B$207,0),MATCH(AL$8,'Actual-ACPLHK'!$H$6:$T$6,0)))</f>
        <v>0</v>
      </c>
      <c r="AM129" s="749">
        <f>SUM(INDEX('Budget-ACPLHK'!$K$7:$W$207,MATCH($B129,'Budget-ACPLHK'!$B$7:$B$207,0),MATCH('Budget-ACPLHK'!K$6,'Budget-ACPLHK'!$K$6:$W$6,0)):INDEX('Budget-ACPLHK'!$K$7:$W$207,MATCH($B129,'Budget-ACPLHK'!$B$7:$B$207,0),MATCH(AM$8,'Budget-ACPLHK'!$K$6:$W$6,0)))</f>
        <v>0</v>
      </c>
      <c r="AN129" s="749">
        <f t="shared" si="85"/>
        <v>0</v>
      </c>
      <c r="AO129" s="748"/>
      <c r="AQ129" s="749">
        <f>SUM(INDEX('Actual-ACPSZL'!$H$7:$T$207,MATCH($B129,'Actual-ACPSZL'!$B$7:$B$207,0),MATCH('Actual-ACPSZL'!H$6,'Actual-ACPSZL'!$H$6:$T$6,0)):INDEX('Actual-ACPSZL'!$H$7:$T$207,MATCH($B129,'Actual-ACPSZL'!$B$7:$B$207,0),MATCH(AQ$8,'Actual-ACPSZL'!$H$6:$T$6,0)))</f>
        <v>0</v>
      </c>
      <c r="AR129" s="749">
        <f>SUM(INDEX('Budget-ACPSZL'!$K$7:$W$207,MATCH($B129,'Budget-ACPSZL'!$B$7:$B$207,0),MATCH('Budget-ACPSZL'!K$6,'Budget-ACPSZL'!$K$6:$W$6,0)):INDEX('Budget-ACPSZL'!$K$7:$W$207,MATCH($B129,'Budget-ACPSZL'!$B$7:$B$207,0),MATCH(AR$8,'Budget-ACPSZL'!$K$6:$W$6,0)))</f>
        <v>40.929166666666703</v>
      </c>
      <c r="AS129" s="749">
        <f t="shared" si="77"/>
        <v>-40.929166666666703</v>
      </c>
      <c r="AT129" s="748"/>
      <c r="AV129" s="749">
        <f>SUM(INDEX('Actual-ACPLSZ'!$H$7:$T$207,MATCH($B129,'Actual-ACPLSZ'!$B$7:$B$207,0),MATCH('Actual-ACPLSZ'!H$6,'Actual-ACPLSZ'!$H$6:$T$6,0)):INDEX('Actual-ACPLSZ'!$H$7:$T$207,MATCH($B129,'Actual-ACPLSZ'!$B$7:$B$207,0),MATCH(AV$8,'Actual-ACPLSZ'!$H$6:$T$6,0)))</f>
        <v>0</v>
      </c>
      <c r="AW129" s="749">
        <f>SUM(INDEX('Budget-ACPLSZ'!$K$7:$W$207,MATCH($B129,'Budget-ACPLSZ'!$B$7:$B$207,0),MATCH('Budget-ACPLSZ'!K$6,'Budget-ACPLSZ'!$K$6:$W$6,0)):INDEX('Budget-ACPLSZ'!$K$7:$W$207,MATCH($B129,'Budget-ACPLSZ'!$B$7:$B$207,0),MATCH(AW$8,'Budget-ACPLSZ'!$K$6:$W$6,0)))</f>
        <v>4557.6822222222218</v>
      </c>
      <c r="AX129" s="749">
        <f t="shared" si="80"/>
        <v>-4557.6822222222218</v>
      </c>
      <c r="AY129" s="748"/>
      <c r="BA129" s="749">
        <f>SUM(INDEX('Actual-ACPLGZ'!$H$7:$T$207,MATCH($B129,'Actual-ACPLGZ'!$B$7:$B$207,0),MATCH('Actual-ACPLGZ'!H$6,'Actual-ACPLGZ'!$H$6:$T$6,0)):INDEX('Actual-ACPLGZ'!$H$7:$T$207,MATCH($B129,'Actual-ACPLGZ'!$B$7:$B$207,0),MATCH(BA$8,'Actual-ACPLGZ'!$H$6:$T$6,0)))</f>
        <v>0</v>
      </c>
      <c r="BB129" s="749">
        <f>SUM(INDEX('Budget-ACPLGZ'!$K$7:$W$207,MATCH($B129,'Budget-ACPLGZ'!$B$7:$B$207,0),MATCH('Budget-ACPLGZ'!K$6,'Budget-ACPLGZ'!$K$6:$W$6,0)):INDEX('Budget-ACPLGZ'!$K$7:$W$207,MATCH($B129,'Budget-ACPLGZ'!$B$7:$B$207,0),MATCH(BB$8,'Budget-ACPLGZ'!$K$6:$W$6,0)))</f>
        <v>0</v>
      </c>
      <c r="BC129" s="749">
        <f t="shared" si="86"/>
        <v>0</v>
      </c>
      <c r="BD129" s="748"/>
      <c r="BF129" s="749">
        <f>SUM(INDEX('Actual-ACPLYixing'!$H$7:$T$207,MATCH($B129,'Actual-ACPLYixing'!$B$7:$B$207,0),MATCH('Actual-ACPLYixing'!H$6,'Actual-ACPLYixing'!$H$6:$T$6,0)):INDEX('Actual-ACPLYixing'!$H$7:$T$207,MATCH($B129,'Actual-ACPLYixing'!$B$7:$B$207,0),MATCH(BF$8,'Actual-ACPLYixing'!$H$6:$T$6,0)))</f>
        <v>0</v>
      </c>
      <c r="BG129" s="749">
        <f>SUM(INDEX('Budget-Yixing'!$K$7:$W$207,MATCH($B129,'Budget-Yixing'!$B$7:$B$207,0),MATCH('Budget-Yixing'!K$6,'Budget-Yixing'!$K$6:$W$6,0)):INDEX('Budget-Yixing'!$K$7:$W$207,MATCH($B129,'Budget-Yixing'!$B$7:$B$207,0),MATCH(BG$8,'Budget-Yixing'!$K$6:$W$6,0)))</f>
        <v>0</v>
      </c>
      <c r="BH129" s="749">
        <f t="shared" si="87"/>
        <v>0</v>
      </c>
      <c r="BI129" s="748"/>
    </row>
    <row r="130" spans="1:61" ht="16.5" customHeight="1">
      <c r="A130" s="653" t="str">
        <f>'Budget-合并'!A128</f>
        <v>6602.10.01</v>
      </c>
      <c r="B130" s="653" t="str">
        <f>'Budget-合并'!B128</f>
        <v>电子设备</v>
      </c>
      <c r="C130" s="746">
        <f>INDEX('Actual-ACPL'!$H$7:$T$207,MATCH($B130,'Actual-ACPL'!$B$7:$B$207,0),MATCH(C$8,'Actual-ACPL'!$H$6:$T$6,0))</f>
        <v>0</v>
      </c>
      <c r="D130" s="746">
        <f>INDEX('Budget-ACPL'!$K$7:$W$207,MATCH($B130,'Budget-ACPL'!$B$7:$B$207,0),MATCH(D$8,'Budget-ACPL'!$K$6:$W$6,0))</f>
        <v>741.6583333333333</v>
      </c>
      <c r="E130" s="746">
        <f t="shared" si="81"/>
        <v>-741.6583333333333</v>
      </c>
      <c r="F130" s="752"/>
      <c r="H130" s="749">
        <f>INDEX('Actual-ACPLHK'!$H$7:$T$207,MATCH($B130,'Actual-ACPLHK'!$B$7:$B$207,0),MATCH(H$8,'Actual-ACPLHK'!$H$6:$T$6,0))</f>
        <v>0</v>
      </c>
      <c r="I130" s="749">
        <f>INDEX('Budget-ACPLHK'!$K$7:$W$207,MATCH($B130,'Budget-ACPLHK'!$B$7:$B$207,0),MATCH(I$8,'Budget-ACPLHK'!$K$6:$W$6,0))</f>
        <v>0</v>
      </c>
      <c r="J130" s="749">
        <f t="shared" si="82"/>
        <v>0</v>
      </c>
      <c r="K130" s="748"/>
      <c r="M130" s="749">
        <f>INDEX('Actual-ACPSZL'!$H$7:$T$207,MATCH($B130,'Actual-ACPSZL'!$B$7:$B$207,0),MATCH(M$8,'Actual-ACPSZL'!$H$6:$T$6,0))</f>
        <v>0</v>
      </c>
      <c r="N130" s="749">
        <f>INDEX('Budget-ACPSZL'!$K$7:$W$207,MATCH($B130,'Budget-ACPSZL'!$B$7:$B$207,0),MATCH(N$8,'Budget-ACPSZL'!$K$6:$W$6,0))</f>
        <v>40.929166666666703</v>
      </c>
      <c r="O130" s="749">
        <f t="shared" si="78"/>
        <v>-40.929166666666703</v>
      </c>
      <c r="P130" s="748"/>
      <c r="R130" s="749">
        <f>INDEX('Actual-ACPLSZ'!$H$7:$T$207,MATCH($B130,'Actual-ACPLSZ'!$B$7:$B$207,0),MATCH(R$8,'Actual-ACPLSZ'!$H$6:$T$6,0))</f>
        <v>0</v>
      </c>
      <c r="S130" s="749">
        <f>INDEX('Budget-ACPLSZ'!$K$7:$W$207,MATCH($B130,'Budget-ACPLSZ'!$B$7:$B$207,0),MATCH(S$8,'Budget-ACPLSZ'!$K$6:$W$6,0))</f>
        <v>3879.5922222222221</v>
      </c>
      <c r="T130" s="749">
        <f t="shared" si="83"/>
        <v>3879.5922222222221</v>
      </c>
      <c r="U130" s="748"/>
      <c r="W130" s="749">
        <f>INDEX('Actual-ACPLGZ'!$H$7:$T$207,MATCH($B130,'Actual-ACPLGZ'!$B$7:$B$207,0),MATCH(W$8,'Actual-ACPLGZ'!$H$6:$T$6,0))</f>
        <v>0</v>
      </c>
      <c r="X130" s="749">
        <f>INDEX('Budget-ACPLGZ'!$K$7:$W$207,MATCH($B130,'Budget-ACPLGZ'!$B$7:$B$207,0),MATCH(X$8,'Budget-ACPLGZ'!$K$6:$W$6,0))</f>
        <v>0</v>
      </c>
      <c r="Y130" s="749">
        <f t="shared" si="79"/>
        <v>0</v>
      </c>
      <c r="Z130" s="748"/>
      <c r="AB130" s="749">
        <f>INDEX('Actual-ACPLGZ'!$H$7:$T$207,MATCH($B130,'Actual-ACPLGZ'!$B$7:$B$207,0),MATCH(AB$8,'Actual-ACPLGZ'!$H$6:$T$6,0))</f>
        <v>0</v>
      </c>
      <c r="AC130" s="749">
        <f>INDEX('Budget-Yixing'!$K$7:$W$207,MATCH($B130,'Budget-Yixing'!$B$7:$B$207,0),MATCH(AC$8,'Budget-Yixing'!$K$6:$W$6,0))</f>
        <v>0</v>
      </c>
      <c r="AD130" s="749">
        <f t="shared" si="84"/>
        <v>0</v>
      </c>
      <c r="AE130" s="748"/>
      <c r="AG130" s="751">
        <f>SUM(INDEX('Actual-ACPL'!$H$7:$T$207,MATCH($B130,'Actual-ACPL'!$B$7:$B$207,0),MATCH('Actual-ACPL'!H$6,'Actual-ACPL'!$H$6:$T$6,0)):INDEX('Actual-ACPL'!$H$7:$T$207,MATCH($B130,'Actual-ACPL'!$B$7:$B$207,0),MATCH(AG$8,'Actual-ACPL'!$H$6:$T$6,0)))</f>
        <v>0</v>
      </c>
      <c r="AH130" s="749">
        <f>SUM(INDEX('Budget-ACPL'!$K$7:$W$207,MATCH($B130,'Budget-ACPL'!$B$7:$B$207,0),MATCH('Budget-ACPL'!K$6,'Budget-ACPL'!$K$6:$W$6,0)):INDEX('Budget-ACPL'!$K$7:$W$207,MATCH($B130,'Budget-ACPL'!$B$7:$B$207,0),MATCH(AH$8,'Budget-ACPL'!$K$6:$W$6,0)))</f>
        <v>741.6583333333333</v>
      </c>
      <c r="AI130" s="749">
        <f t="shared" ref="AI130:AI161" si="88">AG130-AH130</f>
        <v>-741.6583333333333</v>
      </c>
      <c r="AJ130" s="748"/>
      <c r="AL130" s="749">
        <f>SUM(INDEX('Actual-ACPLHK'!$H$7:$S$207,MATCH($B130,'Actual-ACPLHK'!$B$7:$B$207,0),MATCH('Actual-ACPLHK'!H$6,'Actual-ACPLHK'!$H$6:$T$6,0)):INDEX('Actual-ACPLHK'!$H$7:$S$207,MATCH($B130,'Actual-ACPLHK'!$B$7:$B$207,0),MATCH(AL$8,'Actual-ACPLHK'!$H$6:$T$6,0)))</f>
        <v>0</v>
      </c>
      <c r="AM130" s="749">
        <f>SUM(INDEX('Budget-ACPLHK'!$K$7:$W$207,MATCH($B130,'Budget-ACPLHK'!$B$7:$B$207,0),MATCH('Budget-ACPLHK'!K$6,'Budget-ACPLHK'!$K$6:$W$6,0)):INDEX('Budget-ACPLHK'!$K$7:$W$207,MATCH($B130,'Budget-ACPLHK'!$B$7:$B$207,0),MATCH(AM$8,'Budget-ACPLHK'!$K$6:$W$6,0)))</f>
        <v>0</v>
      </c>
      <c r="AN130" s="749">
        <f t="shared" si="85"/>
        <v>0</v>
      </c>
      <c r="AO130" s="748"/>
      <c r="AQ130" s="749">
        <f>SUM(INDEX('Actual-ACPSZL'!$H$7:$T$207,MATCH($B130,'Actual-ACPSZL'!$B$7:$B$207,0),MATCH('Actual-ACPSZL'!H$6,'Actual-ACPSZL'!$H$6:$T$6,0)):INDEX('Actual-ACPSZL'!$H$7:$T$207,MATCH($B130,'Actual-ACPSZL'!$B$7:$B$207,0),MATCH(AQ$8,'Actual-ACPSZL'!$H$6:$T$6,0)))</f>
        <v>0</v>
      </c>
      <c r="AR130" s="749">
        <f>SUM(INDEX('Budget-ACPSZL'!$K$7:$W$207,MATCH($B130,'Budget-ACPSZL'!$B$7:$B$207,0),MATCH('Budget-ACPSZL'!K$6,'Budget-ACPSZL'!$K$6:$W$6,0)):INDEX('Budget-ACPSZL'!$K$7:$W$207,MATCH($B130,'Budget-ACPSZL'!$B$7:$B$207,0),MATCH(AR$8,'Budget-ACPSZL'!$K$6:$W$6,0)))</f>
        <v>40.929166666666703</v>
      </c>
      <c r="AS130" s="749">
        <f t="shared" si="77"/>
        <v>-40.929166666666703</v>
      </c>
      <c r="AT130" s="748"/>
      <c r="AV130" s="749">
        <f>SUM(INDEX('Actual-ACPLSZ'!$H$7:$T$207,MATCH($B130,'Actual-ACPLSZ'!$B$7:$B$207,0),MATCH('Actual-ACPLSZ'!H$6,'Actual-ACPLSZ'!$H$6:$T$6,0)):INDEX('Actual-ACPLSZ'!$H$7:$T$207,MATCH($B130,'Actual-ACPLSZ'!$B$7:$B$207,0),MATCH(AV$8,'Actual-ACPLSZ'!$H$6:$T$6,0)))</f>
        <v>0</v>
      </c>
      <c r="AW130" s="749">
        <f>SUM(INDEX('Budget-ACPLSZ'!$K$7:$W$207,MATCH($B130,'Budget-ACPLSZ'!$B$7:$B$207,0),MATCH('Budget-ACPLSZ'!K$6,'Budget-ACPLSZ'!$K$6:$W$6,0)):INDEX('Budget-ACPLSZ'!$K$7:$W$207,MATCH($B130,'Budget-ACPLSZ'!$B$7:$B$207,0),MATCH(AW$8,'Budget-ACPLSZ'!$K$6:$W$6,0)))</f>
        <v>3879.5922222222221</v>
      </c>
      <c r="AX130" s="749">
        <f t="shared" si="80"/>
        <v>-3879.5922222222221</v>
      </c>
      <c r="AY130" s="748"/>
      <c r="BA130" s="749">
        <f>SUM(INDEX('Actual-ACPLGZ'!$H$7:$T$207,MATCH($B130,'Actual-ACPLGZ'!$B$7:$B$207,0),MATCH('Actual-ACPLGZ'!H$6,'Actual-ACPLGZ'!$H$6:$T$6,0)):INDEX('Actual-ACPLGZ'!$H$7:$T$207,MATCH($B130,'Actual-ACPLGZ'!$B$7:$B$207,0),MATCH(BA$8,'Actual-ACPLGZ'!$H$6:$T$6,0)))</f>
        <v>0</v>
      </c>
      <c r="BB130" s="749">
        <f>SUM(INDEX('Budget-ACPLGZ'!$K$7:$W$207,MATCH($B130,'Budget-ACPLGZ'!$B$7:$B$207,0),MATCH('Budget-ACPLGZ'!K$6,'Budget-ACPLGZ'!$K$6:$W$6,0)):INDEX('Budget-ACPLGZ'!$K$7:$W$207,MATCH($B130,'Budget-ACPLGZ'!$B$7:$B$207,0),MATCH(BB$8,'Budget-ACPLGZ'!$K$6:$W$6,0)))</f>
        <v>0</v>
      </c>
      <c r="BC130" s="749">
        <f t="shared" si="86"/>
        <v>0</v>
      </c>
      <c r="BD130" s="748"/>
      <c r="BF130" s="749">
        <f>SUM(INDEX('Actual-ACPLYixing'!$H$7:$T$207,MATCH($B130,'Actual-ACPLYixing'!$B$7:$B$207,0),MATCH('Actual-ACPLYixing'!H$6,'Actual-ACPLYixing'!$H$6:$T$6,0)):INDEX('Actual-ACPLYixing'!$H$7:$T$207,MATCH($B130,'Actual-ACPLYixing'!$B$7:$B$207,0),MATCH(BF$8,'Actual-ACPLYixing'!$H$6:$T$6,0)))</f>
        <v>0</v>
      </c>
      <c r="BG130" s="749">
        <f>SUM(INDEX('Budget-Yixing'!$K$7:$W$207,MATCH($B130,'Budget-Yixing'!$B$7:$B$207,0),MATCH('Budget-Yixing'!K$6,'Budget-Yixing'!$K$6:$W$6,0)):INDEX('Budget-Yixing'!$K$7:$W$207,MATCH($B130,'Budget-Yixing'!$B$7:$B$207,0),MATCH(BG$8,'Budget-Yixing'!$K$6:$W$6,0)))</f>
        <v>0</v>
      </c>
      <c r="BH130" s="749">
        <f t="shared" si="87"/>
        <v>0</v>
      </c>
      <c r="BI130" s="748"/>
    </row>
    <row r="131" spans="1:61" ht="16.5" customHeight="1">
      <c r="A131" s="653" t="str">
        <f>'Budget-合并'!A129</f>
        <v>6602.10.02</v>
      </c>
      <c r="B131" s="653" t="str">
        <f>'Budget-合并'!B129</f>
        <v>房屋建筑物</v>
      </c>
      <c r="C131" s="746">
        <f>INDEX('Actual-ACPL'!$H$7:$T$207,MATCH($B131,'Actual-ACPL'!$B$7:$B$207,0),MATCH(C$8,'Actual-ACPL'!$H$6:$T$6,0))</f>
        <v>0</v>
      </c>
      <c r="D131" s="746">
        <f>INDEX('Budget-ACPL'!$K$7:$W$207,MATCH($B131,'Budget-ACPL'!$B$7:$B$207,0),MATCH(D$8,'Budget-ACPL'!$K$6:$W$6,0))</f>
        <v>0</v>
      </c>
      <c r="E131" s="746">
        <f t="shared" si="81"/>
        <v>0</v>
      </c>
      <c r="F131" s="752"/>
      <c r="H131" s="749">
        <f>INDEX('Actual-ACPLHK'!$H$7:$T$207,MATCH($B131,'Actual-ACPLHK'!$B$7:$B$207,0),MATCH(H$8,'Actual-ACPLHK'!$H$6:$T$6,0))</f>
        <v>0</v>
      </c>
      <c r="I131" s="749">
        <f>INDEX('Budget-ACPLHK'!$K$7:$W$207,MATCH($B131,'Budget-ACPLHK'!$B$7:$B$207,0),MATCH(I$8,'Budget-ACPLHK'!$K$6:$W$6,0))</f>
        <v>0</v>
      </c>
      <c r="J131" s="749">
        <f t="shared" si="82"/>
        <v>0</v>
      </c>
      <c r="K131" s="748"/>
      <c r="M131" s="749">
        <f>INDEX('Actual-ACPSZL'!$H$7:$T$207,MATCH($B131,'Actual-ACPSZL'!$B$7:$B$207,0),MATCH(M$8,'Actual-ACPSZL'!$H$6:$T$6,0))</f>
        <v>0</v>
      </c>
      <c r="N131" s="749">
        <f>INDEX('Budget-ACPSZL'!$K$7:$W$207,MATCH($B131,'Budget-ACPSZL'!$B$7:$B$207,0),MATCH(N$8,'Budget-ACPSZL'!$K$6:$W$6,0))</f>
        <v>0</v>
      </c>
      <c r="O131" s="749">
        <f t="shared" si="78"/>
        <v>0</v>
      </c>
      <c r="P131" s="748"/>
      <c r="R131" s="749">
        <f>INDEX('Actual-ACPLSZ'!$H$7:$T$207,MATCH($B131,'Actual-ACPLSZ'!$B$7:$B$207,0),MATCH(R$8,'Actual-ACPLSZ'!$H$6:$T$6,0))</f>
        <v>0</v>
      </c>
      <c r="S131" s="749">
        <f>INDEX('Budget-ACPLSZ'!$K$7:$W$207,MATCH($B131,'Budget-ACPLSZ'!$B$7:$B$207,0),MATCH(S$8,'Budget-ACPLSZ'!$K$6:$W$6,0))</f>
        <v>0</v>
      </c>
      <c r="T131" s="749">
        <f t="shared" si="83"/>
        <v>0</v>
      </c>
      <c r="U131" s="748"/>
      <c r="W131" s="749">
        <f>INDEX('Actual-ACPLGZ'!$H$7:$T$207,MATCH($B131,'Actual-ACPLGZ'!$B$7:$B$207,0),MATCH(W$8,'Actual-ACPLGZ'!$H$6:$T$6,0))</f>
        <v>0</v>
      </c>
      <c r="X131" s="749">
        <f>INDEX('Budget-ACPLGZ'!$K$7:$W$207,MATCH($B131,'Budget-ACPLGZ'!$B$7:$B$207,0),MATCH(X$8,'Budget-ACPLGZ'!$K$6:$W$6,0))</f>
        <v>0</v>
      </c>
      <c r="Y131" s="749">
        <f t="shared" si="79"/>
        <v>0</v>
      </c>
      <c r="Z131" s="748"/>
      <c r="AB131" s="749">
        <f>INDEX('Actual-ACPLGZ'!$H$7:$T$207,MATCH($B131,'Actual-ACPLGZ'!$B$7:$B$207,0),MATCH(AB$8,'Actual-ACPLGZ'!$H$6:$T$6,0))</f>
        <v>0</v>
      </c>
      <c r="AC131" s="749">
        <f>INDEX('Budget-Yixing'!$K$7:$W$207,MATCH($B131,'Budget-Yixing'!$B$7:$B$207,0),MATCH(AC$8,'Budget-Yixing'!$K$6:$W$6,0))</f>
        <v>0</v>
      </c>
      <c r="AD131" s="749">
        <f t="shared" si="84"/>
        <v>0</v>
      </c>
      <c r="AE131" s="748"/>
      <c r="AG131" s="751">
        <f>SUM(INDEX('Actual-ACPL'!$H$7:$T$207,MATCH($B131,'Actual-ACPL'!$B$7:$B$207,0),MATCH('Actual-ACPL'!H$6,'Actual-ACPL'!$H$6:$T$6,0)):INDEX('Actual-ACPL'!$H$7:$T$207,MATCH($B131,'Actual-ACPL'!$B$7:$B$207,0),MATCH(AG$8,'Actual-ACPL'!$H$6:$T$6,0)))</f>
        <v>0</v>
      </c>
      <c r="AH131" s="749">
        <f>SUM(INDEX('Budget-ACPL'!$K$7:$W$207,MATCH($B131,'Budget-ACPL'!$B$7:$B$207,0),MATCH('Budget-ACPL'!K$6,'Budget-ACPL'!$K$6:$W$6,0)):INDEX('Budget-ACPL'!$K$7:$W$207,MATCH($B131,'Budget-ACPL'!$B$7:$B$207,0),MATCH(AH$8,'Budget-ACPL'!$K$6:$W$6,0)))</f>
        <v>0</v>
      </c>
      <c r="AI131" s="749">
        <f t="shared" si="88"/>
        <v>0</v>
      </c>
      <c r="AJ131" s="748"/>
      <c r="AL131" s="749">
        <f>SUM(INDEX('Actual-ACPLHK'!$H$7:$S$207,MATCH($B131,'Actual-ACPLHK'!$B$7:$B$207,0),MATCH('Actual-ACPLHK'!H$6,'Actual-ACPLHK'!$H$6:$T$6,0)):INDEX('Actual-ACPLHK'!$H$7:$S$207,MATCH($B131,'Actual-ACPLHK'!$B$7:$B$207,0),MATCH(AL$8,'Actual-ACPLHK'!$H$6:$T$6,0)))</f>
        <v>0</v>
      </c>
      <c r="AM131" s="749">
        <f>SUM(INDEX('Budget-ACPLHK'!$K$7:$W$207,MATCH($B131,'Budget-ACPLHK'!$B$7:$B$207,0),MATCH('Budget-ACPLHK'!K$6,'Budget-ACPLHK'!$K$6:$W$6,0)):INDEX('Budget-ACPLHK'!$K$7:$W$207,MATCH($B131,'Budget-ACPLHK'!$B$7:$B$207,0),MATCH(AM$8,'Budget-ACPLHK'!$K$6:$W$6,0)))</f>
        <v>0</v>
      </c>
      <c r="AN131" s="749">
        <f t="shared" si="85"/>
        <v>0</v>
      </c>
      <c r="AO131" s="748"/>
      <c r="AQ131" s="749">
        <f>SUM(INDEX('Actual-ACPSZL'!$H$7:$T$207,MATCH($B131,'Actual-ACPSZL'!$B$7:$B$207,0),MATCH('Actual-ACPSZL'!H$6,'Actual-ACPSZL'!$H$6:$T$6,0)):INDEX('Actual-ACPSZL'!$H$7:$T$207,MATCH($B131,'Actual-ACPSZL'!$B$7:$B$207,0),MATCH(AQ$8,'Actual-ACPSZL'!$H$6:$T$6,0)))</f>
        <v>0</v>
      </c>
      <c r="AR131" s="749">
        <f>SUM(INDEX('Budget-ACPSZL'!$K$7:$W$207,MATCH($B131,'Budget-ACPSZL'!$B$7:$B$207,0),MATCH('Budget-ACPSZL'!K$6,'Budget-ACPSZL'!$K$6:$W$6,0)):INDEX('Budget-ACPSZL'!$K$7:$W$207,MATCH($B131,'Budget-ACPSZL'!$B$7:$B$207,0),MATCH(AR$8,'Budget-ACPSZL'!$K$6:$W$6,0)))</f>
        <v>0</v>
      </c>
      <c r="AS131" s="749">
        <f t="shared" si="77"/>
        <v>0</v>
      </c>
      <c r="AT131" s="748"/>
      <c r="AV131" s="749">
        <f>SUM(INDEX('Actual-ACPLSZ'!$H$7:$T$207,MATCH($B131,'Actual-ACPLSZ'!$B$7:$B$207,0),MATCH('Actual-ACPLSZ'!H$6,'Actual-ACPLSZ'!$H$6:$T$6,0)):INDEX('Actual-ACPLSZ'!$H$7:$T$207,MATCH($B131,'Actual-ACPLSZ'!$B$7:$B$207,0),MATCH(AV$8,'Actual-ACPLSZ'!$H$6:$T$6,0)))</f>
        <v>0</v>
      </c>
      <c r="AW131" s="749">
        <f>SUM(INDEX('Budget-ACPLSZ'!$K$7:$W$207,MATCH($B131,'Budget-ACPLSZ'!$B$7:$B$207,0),MATCH('Budget-ACPLSZ'!K$6,'Budget-ACPLSZ'!$K$6:$W$6,0)):INDEX('Budget-ACPLSZ'!$K$7:$W$207,MATCH($B131,'Budget-ACPLSZ'!$B$7:$B$207,0),MATCH(AW$8,'Budget-ACPLSZ'!$K$6:$W$6,0)))</f>
        <v>0</v>
      </c>
      <c r="AX131" s="749">
        <f t="shared" si="80"/>
        <v>0</v>
      </c>
      <c r="AY131" s="748"/>
      <c r="BA131" s="749">
        <f>SUM(INDEX('Actual-ACPLGZ'!$H$7:$T$207,MATCH($B131,'Actual-ACPLGZ'!$B$7:$B$207,0),MATCH('Actual-ACPLGZ'!H$6,'Actual-ACPLGZ'!$H$6:$T$6,0)):INDEX('Actual-ACPLGZ'!$H$7:$T$207,MATCH($B131,'Actual-ACPLGZ'!$B$7:$B$207,0),MATCH(BA$8,'Actual-ACPLGZ'!$H$6:$T$6,0)))</f>
        <v>0</v>
      </c>
      <c r="BB131" s="749">
        <f>SUM(INDEX('Budget-ACPLGZ'!$K$7:$W$207,MATCH($B131,'Budget-ACPLGZ'!$B$7:$B$207,0),MATCH('Budget-ACPLGZ'!K$6,'Budget-ACPLGZ'!$K$6:$W$6,0)):INDEX('Budget-ACPLGZ'!$K$7:$W$207,MATCH($B131,'Budget-ACPLGZ'!$B$7:$B$207,0),MATCH(BB$8,'Budget-ACPLGZ'!$K$6:$W$6,0)))</f>
        <v>0</v>
      </c>
      <c r="BC131" s="749">
        <f t="shared" si="86"/>
        <v>0</v>
      </c>
      <c r="BD131" s="748"/>
      <c r="BF131" s="749">
        <f>SUM(INDEX('Actual-ACPLYixing'!$H$7:$T$207,MATCH($B131,'Actual-ACPLYixing'!$B$7:$B$207,0),MATCH('Actual-ACPLYixing'!H$6,'Actual-ACPLYixing'!$H$6:$T$6,0)):INDEX('Actual-ACPLYixing'!$H$7:$T$207,MATCH($B131,'Actual-ACPLYixing'!$B$7:$B$207,0),MATCH(BF$8,'Actual-ACPLYixing'!$H$6:$T$6,0)))</f>
        <v>0</v>
      </c>
      <c r="BG131" s="749">
        <f>SUM(INDEX('Budget-Yixing'!$K$7:$W$207,MATCH($B131,'Budget-Yixing'!$B$7:$B$207,0),MATCH('Budget-Yixing'!K$6,'Budget-Yixing'!$K$6:$W$6,0)):INDEX('Budget-Yixing'!$K$7:$W$207,MATCH($B131,'Budget-Yixing'!$B$7:$B$207,0),MATCH(BG$8,'Budget-Yixing'!$K$6:$W$6,0)))</f>
        <v>0</v>
      </c>
      <c r="BH131" s="749">
        <f t="shared" si="87"/>
        <v>0</v>
      </c>
      <c r="BI131" s="748"/>
    </row>
    <row r="132" spans="1:61" ht="16.5" customHeight="1">
      <c r="A132" s="653" t="str">
        <f>'Budget-合并'!A130</f>
        <v>6602.10.03</v>
      </c>
      <c r="B132" s="653" t="str">
        <f>'Budget-合并'!B130</f>
        <v>机器设备</v>
      </c>
      <c r="C132" s="746">
        <f>INDEX('Actual-ACPL'!$H$7:$T$207,MATCH($B132,'Actual-ACPL'!$B$7:$B$207,0),MATCH(C$8,'Actual-ACPL'!$H$6:$T$6,0))</f>
        <v>0</v>
      </c>
      <c r="D132" s="746">
        <f>INDEX('Budget-ACPL'!$K$7:$W$207,MATCH($B132,'Budget-ACPL'!$B$7:$B$207,0),MATCH(D$8,'Budget-ACPL'!$K$6:$W$6,0))</f>
        <v>0</v>
      </c>
      <c r="E132" s="746">
        <f t="shared" si="81"/>
        <v>0</v>
      </c>
      <c r="F132" s="752"/>
      <c r="H132" s="749">
        <f>INDEX('Actual-ACPLHK'!$H$7:$T$207,MATCH($B132,'Actual-ACPLHK'!$B$7:$B$207,0),MATCH(H$8,'Actual-ACPLHK'!$H$6:$T$6,0))</f>
        <v>0</v>
      </c>
      <c r="I132" s="749">
        <f>INDEX('Budget-ACPLHK'!$K$7:$W$207,MATCH($B132,'Budget-ACPLHK'!$B$7:$B$207,0),MATCH(I$8,'Budget-ACPLHK'!$K$6:$W$6,0))</f>
        <v>0</v>
      </c>
      <c r="J132" s="749">
        <f t="shared" si="82"/>
        <v>0</v>
      </c>
      <c r="K132" s="748"/>
      <c r="M132" s="749">
        <f>INDEX('Actual-ACPSZL'!$H$7:$T$207,MATCH($B132,'Actual-ACPSZL'!$B$7:$B$207,0),MATCH(M$8,'Actual-ACPSZL'!$H$6:$T$6,0))</f>
        <v>0</v>
      </c>
      <c r="N132" s="749">
        <f>INDEX('Budget-ACPSZL'!$K$7:$W$207,MATCH($B132,'Budget-ACPSZL'!$B$7:$B$207,0),MATCH(N$8,'Budget-ACPSZL'!$K$6:$W$6,0))</f>
        <v>0</v>
      </c>
      <c r="O132" s="749">
        <f t="shared" si="78"/>
        <v>0</v>
      </c>
      <c r="P132" s="748"/>
      <c r="R132" s="749">
        <f>INDEX('Actual-ACPLSZ'!$H$7:$T$207,MATCH($B132,'Actual-ACPLSZ'!$B$7:$B$207,0),MATCH(R$8,'Actual-ACPLSZ'!$H$6:$T$6,0))</f>
        <v>0</v>
      </c>
      <c r="S132" s="749">
        <f>INDEX('Budget-ACPLSZ'!$K$7:$W$207,MATCH($B132,'Budget-ACPLSZ'!$B$7:$B$207,0),MATCH(S$8,'Budget-ACPLSZ'!$K$6:$W$6,0))</f>
        <v>0</v>
      </c>
      <c r="T132" s="749">
        <f t="shared" si="83"/>
        <v>0</v>
      </c>
      <c r="U132" s="748"/>
      <c r="W132" s="749">
        <f>INDEX('Actual-ACPLGZ'!$H$7:$T$207,MATCH($B132,'Actual-ACPLGZ'!$B$7:$B$207,0),MATCH(W$8,'Actual-ACPLGZ'!$H$6:$T$6,0))</f>
        <v>0</v>
      </c>
      <c r="X132" s="749">
        <f>INDEX('Budget-ACPLGZ'!$K$7:$W$207,MATCH($B132,'Budget-ACPLGZ'!$B$7:$B$207,0),MATCH(X$8,'Budget-ACPLGZ'!$K$6:$W$6,0))</f>
        <v>0</v>
      </c>
      <c r="Y132" s="749">
        <f t="shared" si="79"/>
        <v>0</v>
      </c>
      <c r="Z132" s="748"/>
      <c r="AB132" s="749">
        <f>INDEX('Actual-ACPLGZ'!$H$7:$T$207,MATCH($B132,'Actual-ACPLGZ'!$B$7:$B$207,0),MATCH(AB$8,'Actual-ACPLGZ'!$H$6:$T$6,0))</f>
        <v>0</v>
      </c>
      <c r="AC132" s="749">
        <f>INDEX('Budget-Yixing'!$K$7:$W$207,MATCH($B132,'Budget-Yixing'!$B$7:$B$207,0),MATCH(AC$8,'Budget-Yixing'!$K$6:$W$6,0))</f>
        <v>0</v>
      </c>
      <c r="AD132" s="749">
        <f t="shared" si="84"/>
        <v>0</v>
      </c>
      <c r="AE132" s="748"/>
      <c r="AG132" s="751">
        <f>SUM(INDEX('Actual-ACPL'!$H$7:$T$207,MATCH($B132,'Actual-ACPL'!$B$7:$B$207,0),MATCH('Actual-ACPL'!H$6,'Actual-ACPL'!$H$6:$T$6,0)):INDEX('Actual-ACPL'!$H$7:$T$207,MATCH($B132,'Actual-ACPL'!$B$7:$B$207,0),MATCH(AG$8,'Actual-ACPL'!$H$6:$T$6,0)))</f>
        <v>0</v>
      </c>
      <c r="AH132" s="749">
        <f>SUM(INDEX('Budget-ACPL'!$K$7:$W$207,MATCH($B132,'Budget-ACPL'!$B$7:$B$207,0),MATCH('Budget-ACPL'!K$6,'Budget-ACPL'!$K$6:$W$6,0)):INDEX('Budget-ACPL'!$K$7:$W$207,MATCH($B132,'Budget-ACPL'!$B$7:$B$207,0),MATCH(AH$8,'Budget-ACPL'!$K$6:$W$6,0)))</f>
        <v>0</v>
      </c>
      <c r="AI132" s="749">
        <f t="shared" si="88"/>
        <v>0</v>
      </c>
      <c r="AJ132" s="748"/>
      <c r="AL132" s="749">
        <f>SUM(INDEX('Actual-ACPLHK'!$H$7:$S$207,MATCH($B132,'Actual-ACPLHK'!$B$7:$B$207,0),MATCH('Actual-ACPLHK'!H$6,'Actual-ACPLHK'!$H$6:$T$6,0)):INDEX('Actual-ACPLHK'!$H$7:$S$207,MATCH($B132,'Actual-ACPLHK'!$B$7:$B$207,0),MATCH(AL$8,'Actual-ACPLHK'!$H$6:$T$6,0)))</f>
        <v>0</v>
      </c>
      <c r="AM132" s="749">
        <f>SUM(INDEX('Budget-ACPLHK'!$K$7:$W$207,MATCH($B132,'Budget-ACPLHK'!$B$7:$B$207,0),MATCH('Budget-ACPLHK'!K$6,'Budget-ACPLHK'!$K$6:$W$6,0)):INDEX('Budget-ACPLHK'!$K$7:$W$207,MATCH($B132,'Budget-ACPLHK'!$B$7:$B$207,0),MATCH(AM$8,'Budget-ACPLHK'!$K$6:$W$6,0)))</f>
        <v>0</v>
      </c>
      <c r="AN132" s="749">
        <f t="shared" si="85"/>
        <v>0</v>
      </c>
      <c r="AO132" s="748"/>
      <c r="AQ132" s="749">
        <f>SUM(INDEX('Actual-ACPSZL'!$H$7:$T$207,MATCH($B132,'Actual-ACPSZL'!$B$7:$B$207,0),MATCH('Actual-ACPSZL'!H$6,'Actual-ACPSZL'!$H$6:$T$6,0)):INDEX('Actual-ACPSZL'!$H$7:$T$207,MATCH($B132,'Actual-ACPSZL'!$B$7:$B$207,0),MATCH(AQ$8,'Actual-ACPSZL'!$H$6:$T$6,0)))</f>
        <v>0</v>
      </c>
      <c r="AR132" s="749">
        <f>SUM(INDEX('Budget-ACPSZL'!$K$7:$W$207,MATCH($B132,'Budget-ACPSZL'!$B$7:$B$207,0),MATCH('Budget-ACPSZL'!K$6,'Budget-ACPSZL'!$K$6:$W$6,0)):INDEX('Budget-ACPSZL'!$K$7:$W$207,MATCH($B132,'Budget-ACPSZL'!$B$7:$B$207,0),MATCH(AR$8,'Budget-ACPSZL'!$K$6:$W$6,0)))</f>
        <v>0</v>
      </c>
      <c r="AS132" s="749">
        <f t="shared" si="77"/>
        <v>0</v>
      </c>
      <c r="AT132" s="748"/>
      <c r="AV132" s="749">
        <f>SUM(INDEX('Actual-ACPLSZ'!$H$7:$T$207,MATCH($B132,'Actual-ACPLSZ'!$B$7:$B$207,0),MATCH('Actual-ACPLSZ'!H$6,'Actual-ACPLSZ'!$H$6:$T$6,0)):INDEX('Actual-ACPLSZ'!$H$7:$T$207,MATCH($B132,'Actual-ACPLSZ'!$B$7:$B$207,0),MATCH(AV$8,'Actual-ACPLSZ'!$H$6:$T$6,0)))</f>
        <v>0</v>
      </c>
      <c r="AW132" s="749">
        <f>SUM(INDEX('Budget-ACPLSZ'!$K$7:$W$207,MATCH($B132,'Budget-ACPLSZ'!$B$7:$B$207,0),MATCH('Budget-ACPLSZ'!K$6,'Budget-ACPLSZ'!$K$6:$W$6,0)):INDEX('Budget-ACPLSZ'!$K$7:$W$207,MATCH($B132,'Budget-ACPLSZ'!$B$7:$B$207,0),MATCH(AW$8,'Budget-ACPLSZ'!$K$6:$W$6,0)))</f>
        <v>0</v>
      </c>
      <c r="AX132" s="749">
        <f t="shared" si="80"/>
        <v>0</v>
      </c>
      <c r="AY132" s="748"/>
      <c r="BA132" s="749">
        <f>SUM(INDEX('Actual-ACPLGZ'!$H$7:$T$207,MATCH($B132,'Actual-ACPLGZ'!$B$7:$B$207,0),MATCH('Actual-ACPLGZ'!H$6,'Actual-ACPLGZ'!$H$6:$T$6,0)):INDEX('Actual-ACPLGZ'!$H$7:$T$207,MATCH($B132,'Actual-ACPLGZ'!$B$7:$B$207,0),MATCH(BA$8,'Actual-ACPLGZ'!$H$6:$T$6,0)))</f>
        <v>0</v>
      </c>
      <c r="BB132" s="749">
        <f>SUM(INDEX('Budget-ACPLGZ'!$K$7:$W$207,MATCH($B132,'Budget-ACPLGZ'!$B$7:$B$207,0),MATCH('Budget-ACPLGZ'!K$6,'Budget-ACPLGZ'!$K$6:$W$6,0)):INDEX('Budget-ACPLGZ'!$K$7:$W$207,MATCH($B132,'Budget-ACPLGZ'!$B$7:$B$207,0),MATCH(BB$8,'Budget-ACPLGZ'!$K$6:$W$6,0)))</f>
        <v>0</v>
      </c>
      <c r="BC132" s="749">
        <f t="shared" si="86"/>
        <v>0</v>
      </c>
      <c r="BD132" s="748"/>
      <c r="BF132" s="749">
        <f>SUM(INDEX('Actual-ACPLYixing'!$H$7:$T$207,MATCH($B132,'Actual-ACPLYixing'!$B$7:$B$207,0),MATCH('Actual-ACPLYixing'!H$6,'Actual-ACPLYixing'!$H$6:$T$6,0)):INDEX('Actual-ACPLYixing'!$H$7:$T$207,MATCH($B132,'Actual-ACPLYixing'!$B$7:$B$207,0),MATCH(BF$8,'Actual-ACPLYixing'!$H$6:$T$6,0)))</f>
        <v>0</v>
      </c>
      <c r="BG132" s="749">
        <f>SUM(INDEX('Budget-Yixing'!$K$7:$W$207,MATCH($B132,'Budget-Yixing'!$B$7:$B$207,0),MATCH('Budget-Yixing'!K$6,'Budget-Yixing'!$K$6:$W$6,0)):INDEX('Budget-Yixing'!$K$7:$W$207,MATCH($B132,'Budget-Yixing'!$B$7:$B$207,0),MATCH(BG$8,'Budget-Yixing'!$K$6:$W$6,0)))</f>
        <v>0</v>
      </c>
      <c r="BH132" s="749">
        <f t="shared" si="87"/>
        <v>0</v>
      </c>
      <c r="BI132" s="748"/>
    </row>
    <row r="133" spans="1:61" ht="16.5" customHeight="1">
      <c r="A133" s="653" t="str">
        <f>'Budget-合并'!A131</f>
        <v>6602.10.04</v>
      </c>
      <c r="B133" s="653" t="str">
        <f>'Budget-合并'!B131</f>
        <v>家具设备</v>
      </c>
      <c r="C133" s="746">
        <f>INDEX('Actual-ACPL'!$H$7:$T$207,MATCH($B133,'Actual-ACPL'!$B$7:$B$207,0),MATCH(C$8,'Actual-ACPL'!$H$6:$T$6,0))</f>
        <v>0</v>
      </c>
      <c r="D133" s="746">
        <f>INDEX('Budget-ACPL'!$K$7:$W$207,MATCH($B133,'Budget-ACPL'!$B$7:$B$207,0),MATCH(D$8,'Budget-ACPL'!$K$6:$W$6,0))</f>
        <v>0</v>
      </c>
      <c r="E133" s="746">
        <f t="shared" si="81"/>
        <v>0</v>
      </c>
      <c r="F133" s="752"/>
      <c r="H133" s="749">
        <f>INDEX('Actual-ACPLHK'!$H$7:$T$207,MATCH($B133,'Actual-ACPLHK'!$B$7:$B$207,0),MATCH(H$8,'Actual-ACPLHK'!$H$6:$T$6,0))</f>
        <v>0</v>
      </c>
      <c r="I133" s="749">
        <f>INDEX('Budget-ACPLHK'!$K$7:$W$207,MATCH($B133,'Budget-ACPLHK'!$B$7:$B$207,0),MATCH(I$8,'Budget-ACPLHK'!$K$6:$W$6,0))</f>
        <v>0</v>
      </c>
      <c r="J133" s="749">
        <f t="shared" si="82"/>
        <v>0</v>
      </c>
      <c r="K133" s="748"/>
      <c r="M133" s="749">
        <f>INDEX('Actual-ACPSZL'!$H$7:$T$207,MATCH($B133,'Actual-ACPSZL'!$B$7:$B$207,0),MATCH(M$8,'Actual-ACPSZL'!$H$6:$T$6,0))</f>
        <v>0</v>
      </c>
      <c r="N133" s="749">
        <f>INDEX('Budget-ACPSZL'!$K$7:$W$207,MATCH($B133,'Budget-ACPSZL'!$B$7:$B$207,0),MATCH(N$8,'Budget-ACPSZL'!$K$6:$W$6,0))</f>
        <v>0</v>
      </c>
      <c r="O133" s="749">
        <f t="shared" si="78"/>
        <v>0</v>
      </c>
      <c r="P133" s="748"/>
      <c r="R133" s="749">
        <f>INDEX('Actual-ACPLSZ'!$H$7:$T$207,MATCH($B133,'Actual-ACPLSZ'!$B$7:$B$207,0),MATCH(R$8,'Actual-ACPLSZ'!$H$6:$T$6,0))</f>
        <v>0</v>
      </c>
      <c r="S133" s="749">
        <f>INDEX('Budget-ACPLSZ'!$K$7:$W$207,MATCH($B133,'Budget-ACPLSZ'!$B$7:$B$207,0),MATCH(S$8,'Budget-ACPLSZ'!$K$6:$W$6,0))</f>
        <v>678.09</v>
      </c>
      <c r="T133" s="749">
        <f t="shared" si="83"/>
        <v>678.09</v>
      </c>
      <c r="U133" s="748"/>
      <c r="W133" s="749">
        <f>INDEX('Actual-ACPLGZ'!$H$7:$T$207,MATCH($B133,'Actual-ACPLGZ'!$B$7:$B$207,0),MATCH(W$8,'Actual-ACPLGZ'!$H$6:$T$6,0))</f>
        <v>0</v>
      </c>
      <c r="X133" s="749">
        <f>INDEX('Budget-ACPLGZ'!$K$7:$W$207,MATCH($B133,'Budget-ACPLGZ'!$B$7:$B$207,0),MATCH(X$8,'Budget-ACPLGZ'!$K$6:$W$6,0))</f>
        <v>0</v>
      </c>
      <c r="Y133" s="749">
        <f t="shared" si="79"/>
        <v>0</v>
      </c>
      <c r="Z133" s="748"/>
      <c r="AB133" s="749">
        <f>INDEX('Actual-ACPLGZ'!$H$7:$T$207,MATCH($B133,'Actual-ACPLGZ'!$B$7:$B$207,0),MATCH(AB$8,'Actual-ACPLGZ'!$H$6:$T$6,0))</f>
        <v>0</v>
      </c>
      <c r="AC133" s="749">
        <f>INDEX('Budget-Yixing'!$K$7:$W$207,MATCH($B133,'Budget-Yixing'!$B$7:$B$207,0),MATCH(AC$8,'Budget-Yixing'!$K$6:$W$6,0))</f>
        <v>0</v>
      </c>
      <c r="AD133" s="749">
        <f t="shared" si="84"/>
        <v>0</v>
      </c>
      <c r="AE133" s="748"/>
      <c r="AG133" s="751">
        <f>SUM(INDEX('Actual-ACPL'!$H$7:$T$207,MATCH($B133,'Actual-ACPL'!$B$7:$B$207,0),MATCH('Actual-ACPL'!H$6,'Actual-ACPL'!$H$6:$T$6,0)):INDEX('Actual-ACPL'!$H$7:$T$207,MATCH($B133,'Actual-ACPL'!$B$7:$B$207,0),MATCH(AG$8,'Actual-ACPL'!$H$6:$T$6,0)))</f>
        <v>0</v>
      </c>
      <c r="AH133" s="749">
        <f>SUM(INDEX('Budget-ACPL'!$K$7:$W$207,MATCH($B133,'Budget-ACPL'!$B$7:$B$207,0),MATCH('Budget-ACPL'!K$6,'Budget-ACPL'!$K$6:$W$6,0)):INDEX('Budget-ACPL'!$K$7:$W$207,MATCH($B133,'Budget-ACPL'!$B$7:$B$207,0),MATCH(AH$8,'Budget-ACPL'!$K$6:$W$6,0)))</f>
        <v>0</v>
      </c>
      <c r="AI133" s="749">
        <f t="shared" si="88"/>
        <v>0</v>
      </c>
      <c r="AJ133" s="748"/>
      <c r="AL133" s="749">
        <f>SUM(INDEX('Actual-ACPLHK'!$H$7:$S$207,MATCH($B133,'Actual-ACPLHK'!$B$7:$B$207,0),MATCH('Actual-ACPLHK'!H$6,'Actual-ACPLHK'!$H$6:$T$6,0)):INDEX('Actual-ACPLHK'!$H$7:$S$207,MATCH($B133,'Actual-ACPLHK'!$B$7:$B$207,0),MATCH(AL$8,'Actual-ACPLHK'!$H$6:$T$6,0)))</f>
        <v>0</v>
      </c>
      <c r="AM133" s="749">
        <f>SUM(INDEX('Budget-ACPLHK'!$K$7:$W$207,MATCH($B133,'Budget-ACPLHK'!$B$7:$B$207,0),MATCH('Budget-ACPLHK'!K$6,'Budget-ACPLHK'!$K$6:$W$6,0)):INDEX('Budget-ACPLHK'!$K$7:$W$207,MATCH($B133,'Budget-ACPLHK'!$B$7:$B$207,0),MATCH(AM$8,'Budget-ACPLHK'!$K$6:$W$6,0)))</f>
        <v>0</v>
      </c>
      <c r="AN133" s="749">
        <f t="shared" si="85"/>
        <v>0</v>
      </c>
      <c r="AO133" s="748"/>
      <c r="AQ133" s="749">
        <f>SUM(INDEX('Actual-ACPSZL'!$H$7:$T$207,MATCH($B133,'Actual-ACPSZL'!$B$7:$B$207,0),MATCH('Actual-ACPSZL'!H$6,'Actual-ACPSZL'!$H$6:$T$6,0)):INDEX('Actual-ACPSZL'!$H$7:$T$207,MATCH($B133,'Actual-ACPSZL'!$B$7:$B$207,0),MATCH(AQ$8,'Actual-ACPSZL'!$H$6:$T$6,0)))</f>
        <v>0</v>
      </c>
      <c r="AR133" s="749">
        <f>SUM(INDEX('Budget-ACPSZL'!$K$7:$W$207,MATCH($B133,'Budget-ACPSZL'!$B$7:$B$207,0),MATCH('Budget-ACPSZL'!K$6,'Budget-ACPSZL'!$K$6:$W$6,0)):INDEX('Budget-ACPSZL'!$K$7:$W$207,MATCH($B133,'Budget-ACPSZL'!$B$7:$B$207,0),MATCH(AR$8,'Budget-ACPSZL'!$K$6:$W$6,0)))</f>
        <v>0</v>
      </c>
      <c r="AS133" s="749">
        <f t="shared" si="77"/>
        <v>0</v>
      </c>
      <c r="AT133" s="748"/>
      <c r="AV133" s="749">
        <f>SUM(INDEX('Actual-ACPLSZ'!$H$7:$T$207,MATCH($B133,'Actual-ACPLSZ'!$B$7:$B$207,0),MATCH('Actual-ACPLSZ'!H$6,'Actual-ACPLSZ'!$H$6:$T$6,0)):INDEX('Actual-ACPLSZ'!$H$7:$T$207,MATCH($B133,'Actual-ACPLSZ'!$B$7:$B$207,0),MATCH(AV$8,'Actual-ACPLSZ'!$H$6:$T$6,0)))</f>
        <v>0</v>
      </c>
      <c r="AW133" s="749">
        <f>SUM(INDEX('Budget-ACPLSZ'!$K$7:$W$207,MATCH($B133,'Budget-ACPLSZ'!$B$7:$B$207,0),MATCH('Budget-ACPLSZ'!K$6,'Budget-ACPLSZ'!$K$6:$W$6,0)):INDEX('Budget-ACPLSZ'!$K$7:$W$207,MATCH($B133,'Budget-ACPLSZ'!$B$7:$B$207,0),MATCH(AW$8,'Budget-ACPLSZ'!$K$6:$W$6,0)))</f>
        <v>678.09</v>
      </c>
      <c r="AX133" s="749">
        <f t="shared" si="80"/>
        <v>-678.09</v>
      </c>
      <c r="AY133" s="748"/>
      <c r="BA133" s="749">
        <f>SUM(INDEX('Actual-ACPLGZ'!$H$7:$T$207,MATCH($B133,'Actual-ACPLGZ'!$B$7:$B$207,0),MATCH('Actual-ACPLGZ'!H$6,'Actual-ACPLGZ'!$H$6:$T$6,0)):INDEX('Actual-ACPLGZ'!$H$7:$T$207,MATCH($B133,'Actual-ACPLGZ'!$B$7:$B$207,0),MATCH(BA$8,'Actual-ACPLGZ'!$H$6:$T$6,0)))</f>
        <v>0</v>
      </c>
      <c r="BB133" s="749">
        <f>SUM(INDEX('Budget-ACPLGZ'!$K$7:$W$207,MATCH($B133,'Budget-ACPLGZ'!$B$7:$B$207,0),MATCH('Budget-ACPLGZ'!K$6,'Budget-ACPLGZ'!$K$6:$W$6,0)):INDEX('Budget-ACPLGZ'!$K$7:$W$207,MATCH($B133,'Budget-ACPLGZ'!$B$7:$B$207,0),MATCH(BB$8,'Budget-ACPLGZ'!$K$6:$W$6,0)))</f>
        <v>0</v>
      </c>
      <c r="BC133" s="749">
        <f t="shared" si="86"/>
        <v>0</v>
      </c>
      <c r="BD133" s="748"/>
      <c r="BF133" s="749">
        <f>SUM(INDEX('Actual-ACPLYixing'!$H$7:$T$207,MATCH($B133,'Actual-ACPLYixing'!$B$7:$B$207,0),MATCH('Actual-ACPLYixing'!H$6,'Actual-ACPLYixing'!$H$6:$T$6,0)):INDEX('Actual-ACPLYixing'!$H$7:$T$207,MATCH($B133,'Actual-ACPLYixing'!$B$7:$B$207,0),MATCH(BF$8,'Actual-ACPLYixing'!$H$6:$T$6,0)))</f>
        <v>0</v>
      </c>
      <c r="BG133" s="749">
        <f>SUM(INDEX('Budget-Yixing'!$K$7:$W$207,MATCH($B133,'Budget-Yixing'!$B$7:$B$207,0),MATCH('Budget-Yixing'!K$6,'Budget-Yixing'!$K$6:$W$6,0)):INDEX('Budget-Yixing'!$K$7:$W$207,MATCH($B133,'Budget-Yixing'!$B$7:$B$207,0),MATCH(BG$8,'Budget-Yixing'!$K$6:$W$6,0)))</f>
        <v>0</v>
      </c>
      <c r="BH133" s="749">
        <f t="shared" si="87"/>
        <v>0</v>
      </c>
      <c r="BI133" s="748"/>
    </row>
    <row r="134" spans="1:61" ht="16.5" customHeight="1">
      <c r="A134" s="653" t="str">
        <f>'Budget-合并'!A132</f>
        <v>6602.12</v>
      </c>
      <c r="B134" s="653" t="str">
        <f>'Budget-合并'!B132</f>
        <v>使用权资产折旧</v>
      </c>
      <c r="C134" s="746">
        <f>INDEX('Actual-ACPL'!$H$7:$T$207,MATCH($B134,'Actual-ACPL'!$B$7:$B$207,0),MATCH(C$8,'Actual-ACPL'!$H$6:$T$6,0))</f>
        <v>0</v>
      </c>
      <c r="D134" s="746">
        <f>INDEX('Budget-ACPL'!$K$7:$W$207,MATCH($B134,'Budget-ACPL'!$B$7:$B$207,0),MATCH(D$8,'Budget-ACPL'!$K$6:$W$6,0))</f>
        <v>0</v>
      </c>
      <c r="E134" s="746">
        <f t="shared" si="81"/>
        <v>0</v>
      </c>
      <c r="F134" s="752"/>
      <c r="H134" s="749">
        <f>INDEX('Actual-ACPLHK'!$H$7:$T$207,MATCH($B134,'Actual-ACPLHK'!$B$7:$B$207,0),MATCH(H$8,'Actual-ACPLHK'!$H$6:$T$6,0))</f>
        <v>0</v>
      </c>
      <c r="I134" s="749">
        <f>INDEX('Budget-ACPLHK'!$K$7:$W$207,MATCH($B134,'Budget-ACPLHK'!$B$7:$B$207,0),MATCH(I$8,'Budget-ACPLHK'!$K$6:$W$6,0))</f>
        <v>71794.122715400008</v>
      </c>
      <c r="J134" s="749">
        <f t="shared" si="82"/>
        <v>-71794.122715400008</v>
      </c>
      <c r="K134" s="748"/>
      <c r="M134" s="749">
        <f>INDEX('Actual-ACPSZL'!$H$7:$T$207,MATCH($B134,'Actual-ACPSZL'!$B$7:$B$207,0),MATCH(M$8,'Actual-ACPSZL'!$H$6:$T$6,0))</f>
        <v>0</v>
      </c>
      <c r="N134" s="749">
        <f>INDEX('Budget-ACPSZL'!$K$7:$W$207,MATCH($B134,'Budget-ACPSZL'!$B$7:$B$207,0),MATCH(N$8,'Budget-ACPSZL'!$K$6:$W$6,0))</f>
        <v>12694.4</v>
      </c>
      <c r="O134" s="749">
        <f t="shared" si="78"/>
        <v>-12694.4</v>
      </c>
      <c r="P134" s="748"/>
      <c r="R134" s="749">
        <f>INDEX('Actual-ACPLSZ'!$H$7:$T$207,MATCH($B134,'Actual-ACPLSZ'!$B$7:$B$207,0),MATCH(R$8,'Actual-ACPLSZ'!$H$6:$T$6,0))</f>
        <v>0</v>
      </c>
      <c r="S134" s="749">
        <f>INDEX('Budget-ACPLSZ'!$K$7:$W$207,MATCH($B134,'Budget-ACPLSZ'!$B$7:$B$207,0),MATCH(S$8,'Budget-ACPLSZ'!$K$6:$W$6,0))</f>
        <v>0</v>
      </c>
      <c r="T134" s="749">
        <f t="shared" si="83"/>
        <v>0</v>
      </c>
      <c r="U134" s="748"/>
      <c r="W134" s="749">
        <f>INDEX('Actual-ACPLGZ'!$H$7:$T$207,MATCH($B134,'Actual-ACPLGZ'!$B$7:$B$207,0),MATCH(W$8,'Actual-ACPLGZ'!$H$6:$T$6,0))</f>
        <v>0</v>
      </c>
      <c r="X134" s="749">
        <f>INDEX('Budget-ACPLGZ'!$K$7:$W$207,MATCH($B134,'Budget-ACPLGZ'!$B$7:$B$207,0),MATCH(X$8,'Budget-ACPLGZ'!$K$6:$W$6,0))</f>
        <v>416.66666666666669</v>
      </c>
      <c r="Y134" s="749">
        <f t="shared" si="79"/>
        <v>-416.66666666666669</v>
      </c>
      <c r="Z134" s="748"/>
      <c r="AB134" s="749">
        <f>INDEX('Actual-ACPLGZ'!$H$7:$T$207,MATCH($B134,'Actual-ACPLGZ'!$B$7:$B$207,0),MATCH(AB$8,'Actual-ACPLGZ'!$H$6:$T$6,0))</f>
        <v>0</v>
      </c>
      <c r="AC134" s="749">
        <f>INDEX('Budget-Yixing'!$K$7:$W$207,MATCH($B134,'Budget-Yixing'!$B$7:$B$207,0),MATCH(AC$8,'Budget-Yixing'!$K$6:$W$6,0))</f>
        <v>0</v>
      </c>
      <c r="AD134" s="749">
        <f t="shared" si="84"/>
        <v>0</v>
      </c>
      <c r="AE134" s="748"/>
      <c r="AG134" s="751">
        <f>SUM(INDEX('Actual-ACPL'!$H$7:$T$207,MATCH($B134,'Actual-ACPL'!$B$7:$B$207,0),MATCH('Actual-ACPL'!H$6,'Actual-ACPL'!$H$6:$T$6,0)):INDEX('Actual-ACPL'!$H$7:$T$207,MATCH($B134,'Actual-ACPL'!$B$7:$B$207,0),MATCH(AG$8,'Actual-ACPL'!$H$6:$T$6,0)))</f>
        <v>0</v>
      </c>
      <c r="AH134" s="749">
        <f>SUM(INDEX('Budget-ACPL'!$K$7:$W$207,MATCH($B134,'Budget-ACPL'!$B$7:$B$207,0),MATCH('Budget-ACPL'!K$6,'Budget-ACPL'!$K$6:$W$6,0)):INDEX('Budget-ACPL'!$K$7:$W$207,MATCH($B134,'Budget-ACPL'!$B$7:$B$207,0),MATCH(AH$8,'Budget-ACPL'!$K$6:$W$6,0)))</f>
        <v>0</v>
      </c>
      <c r="AI134" s="749">
        <f t="shared" si="88"/>
        <v>0</v>
      </c>
      <c r="AJ134" s="748"/>
      <c r="AL134" s="749">
        <f>SUM(INDEX('Actual-ACPLHK'!$H$7:$S$207,MATCH($B134,'Actual-ACPLHK'!$B$7:$B$207,0),MATCH('Actual-ACPLHK'!H$6,'Actual-ACPLHK'!$H$6:$T$6,0)):INDEX('Actual-ACPLHK'!$H$7:$S$207,MATCH($B134,'Actual-ACPLHK'!$B$7:$B$207,0),MATCH(AL$8,'Actual-ACPLHK'!$H$6:$T$6,0)))</f>
        <v>0</v>
      </c>
      <c r="AM134" s="749">
        <f>SUM(INDEX('Budget-ACPLHK'!$K$7:$W$207,MATCH($B134,'Budget-ACPLHK'!$B$7:$B$207,0),MATCH('Budget-ACPLHK'!K$6,'Budget-ACPLHK'!$K$6:$W$6,0)):INDEX('Budget-ACPLHK'!$K$7:$W$207,MATCH($B134,'Budget-ACPLHK'!$B$7:$B$207,0),MATCH(AM$8,'Budget-ACPLHK'!$K$6:$W$6,0)))</f>
        <v>71794.122715400008</v>
      </c>
      <c r="AN134" s="749">
        <f t="shared" si="85"/>
        <v>-71794.122715400008</v>
      </c>
      <c r="AO134" s="748"/>
      <c r="AQ134" s="749">
        <f>SUM(INDEX('Actual-ACPSZL'!$H$7:$T$207,MATCH($B134,'Actual-ACPSZL'!$B$7:$B$207,0),MATCH('Actual-ACPSZL'!H$6,'Actual-ACPSZL'!$H$6:$T$6,0)):INDEX('Actual-ACPSZL'!$H$7:$T$207,MATCH($B134,'Actual-ACPSZL'!$B$7:$B$207,0),MATCH(AQ$8,'Actual-ACPSZL'!$H$6:$T$6,0)))</f>
        <v>0</v>
      </c>
      <c r="AR134" s="749">
        <f>SUM(INDEX('Budget-ACPSZL'!$K$7:$W$207,MATCH($B134,'Budget-ACPSZL'!$B$7:$B$207,0),MATCH('Budget-ACPSZL'!K$6,'Budget-ACPSZL'!$K$6:$W$6,0)):INDEX('Budget-ACPSZL'!$K$7:$W$207,MATCH($B134,'Budget-ACPSZL'!$B$7:$B$207,0),MATCH(AR$8,'Budget-ACPSZL'!$K$6:$W$6,0)))</f>
        <v>12694.4</v>
      </c>
      <c r="AS134" s="749">
        <f t="shared" si="77"/>
        <v>-12694.4</v>
      </c>
      <c r="AT134" s="748"/>
      <c r="AV134" s="749">
        <f>SUM(INDEX('Actual-ACPLSZ'!$H$7:$T$207,MATCH($B134,'Actual-ACPLSZ'!$B$7:$B$207,0),MATCH('Actual-ACPLSZ'!H$6,'Actual-ACPLSZ'!$H$6:$T$6,0)):INDEX('Actual-ACPLSZ'!$H$7:$T$207,MATCH($B134,'Actual-ACPLSZ'!$B$7:$B$207,0),MATCH(AV$8,'Actual-ACPLSZ'!$H$6:$T$6,0)))</f>
        <v>0</v>
      </c>
      <c r="AW134" s="749">
        <f>SUM(INDEX('Budget-ACPLSZ'!$K$7:$W$207,MATCH($B134,'Budget-ACPLSZ'!$B$7:$B$207,0),MATCH('Budget-ACPLSZ'!K$6,'Budget-ACPLSZ'!$K$6:$W$6,0)):INDEX('Budget-ACPLSZ'!$K$7:$W$207,MATCH($B134,'Budget-ACPLSZ'!$B$7:$B$207,0),MATCH(AW$8,'Budget-ACPLSZ'!$K$6:$W$6,0)))</f>
        <v>0</v>
      </c>
      <c r="AX134" s="749">
        <f t="shared" si="80"/>
        <v>0</v>
      </c>
      <c r="AY134" s="748"/>
      <c r="BA134" s="749">
        <f>SUM(INDEX('Actual-ACPLGZ'!$H$7:$T$207,MATCH($B134,'Actual-ACPLGZ'!$B$7:$B$207,0),MATCH('Actual-ACPLGZ'!H$6,'Actual-ACPLGZ'!$H$6:$T$6,0)):INDEX('Actual-ACPLGZ'!$H$7:$T$207,MATCH($B134,'Actual-ACPLGZ'!$B$7:$B$207,0),MATCH(BA$8,'Actual-ACPLGZ'!$H$6:$T$6,0)))</f>
        <v>0</v>
      </c>
      <c r="BB134" s="749">
        <f>SUM(INDEX('Budget-ACPLGZ'!$K$7:$W$207,MATCH($B134,'Budget-ACPLGZ'!$B$7:$B$207,0),MATCH('Budget-ACPLGZ'!K$6,'Budget-ACPLGZ'!$K$6:$W$6,0)):INDEX('Budget-ACPLGZ'!$K$7:$W$207,MATCH($B134,'Budget-ACPLGZ'!$B$7:$B$207,0),MATCH(BB$8,'Budget-ACPLGZ'!$K$6:$W$6,0)))</f>
        <v>416.66666666666669</v>
      </c>
      <c r="BC134" s="749">
        <f t="shared" si="86"/>
        <v>-416.66666666666669</v>
      </c>
      <c r="BD134" s="748"/>
      <c r="BF134" s="749">
        <f>SUM(INDEX('Actual-ACPLYixing'!$H$7:$T$207,MATCH($B134,'Actual-ACPLYixing'!$B$7:$B$207,0),MATCH('Actual-ACPLYixing'!H$6,'Actual-ACPLYixing'!$H$6:$T$6,0)):INDEX('Actual-ACPLYixing'!$H$7:$T$207,MATCH($B134,'Actual-ACPLYixing'!$B$7:$B$207,0),MATCH(BF$8,'Actual-ACPLYixing'!$H$6:$T$6,0)))</f>
        <v>0</v>
      </c>
      <c r="BG134" s="749">
        <f>SUM(INDEX('Budget-Yixing'!$K$7:$W$207,MATCH($B134,'Budget-Yixing'!$B$7:$B$207,0),MATCH('Budget-Yixing'!K$6,'Budget-Yixing'!$K$6:$W$6,0)):INDEX('Budget-Yixing'!$K$7:$W$207,MATCH($B134,'Budget-Yixing'!$B$7:$B$207,0),MATCH(BG$8,'Budget-Yixing'!$K$6:$W$6,0)))</f>
        <v>0</v>
      </c>
      <c r="BH134" s="749">
        <f t="shared" si="87"/>
        <v>0</v>
      </c>
      <c r="BI134" s="748"/>
    </row>
    <row r="135" spans="1:61" ht="16.5" customHeight="1">
      <c r="A135" s="653" t="str">
        <f>'Budget-合并'!A133</f>
        <v>6602.12.01</v>
      </c>
      <c r="B135" s="653" t="str">
        <f>'Budget-合并'!B133</f>
        <v>打印机租赁</v>
      </c>
      <c r="C135" s="746">
        <f>INDEX('Actual-ACPL'!$H$7:$T$207,MATCH($B135,'Actual-ACPL'!$B$7:$B$207,0),MATCH(C$8,'Actual-ACPL'!$H$6:$T$6,0))</f>
        <v>0</v>
      </c>
      <c r="D135" s="746">
        <f>INDEX('Budget-ACPL'!$K$7:$W$207,MATCH($B135,'Budget-ACPL'!$B$7:$B$207,0),MATCH(D$8,'Budget-ACPL'!$K$6:$W$6,0))</f>
        <v>0</v>
      </c>
      <c r="E135" s="746">
        <f t="shared" si="81"/>
        <v>0</v>
      </c>
      <c r="F135" s="752"/>
      <c r="H135" s="749">
        <f>INDEX('Actual-ACPLHK'!$H$7:$T$207,MATCH($B135,'Actual-ACPLHK'!$B$7:$B$207,0),MATCH(H$8,'Actual-ACPLHK'!$H$6:$T$6,0))</f>
        <v>0</v>
      </c>
      <c r="I135" s="749">
        <f>INDEX('Budget-ACPLHK'!$K$7:$W$207,MATCH($B135,'Budget-ACPLHK'!$B$7:$B$207,0),MATCH(I$8,'Budget-ACPLHK'!$K$6:$W$6,0))</f>
        <v>0</v>
      </c>
      <c r="J135" s="749">
        <f t="shared" si="82"/>
        <v>0</v>
      </c>
      <c r="K135" s="748"/>
      <c r="M135" s="749">
        <f>INDEX('Actual-ACPSZL'!$H$7:$T$207,MATCH($B135,'Actual-ACPSZL'!$B$7:$B$207,0),MATCH(M$8,'Actual-ACPSZL'!$H$6:$T$6,0))</f>
        <v>0</v>
      </c>
      <c r="N135" s="749">
        <f>INDEX('Budget-ACPSZL'!$K$7:$W$207,MATCH($B135,'Budget-ACPSZL'!$B$7:$B$207,0),MATCH(N$8,'Budget-ACPSZL'!$K$6:$W$6,0))</f>
        <v>0</v>
      </c>
      <c r="O135" s="749">
        <f t="shared" si="78"/>
        <v>0</v>
      </c>
      <c r="P135" s="748"/>
      <c r="R135" s="749">
        <f>INDEX('Actual-ACPLSZ'!$H$7:$T$207,MATCH($B135,'Actual-ACPLSZ'!$B$7:$B$207,0),MATCH(R$8,'Actual-ACPLSZ'!$H$6:$T$6,0))</f>
        <v>0</v>
      </c>
      <c r="S135" s="749">
        <f>INDEX('Budget-ACPLSZ'!$K$7:$W$207,MATCH($B135,'Budget-ACPLSZ'!$B$7:$B$207,0),MATCH(S$8,'Budget-ACPLSZ'!$K$6:$W$6,0))</f>
        <v>0</v>
      </c>
      <c r="T135" s="749">
        <f t="shared" si="83"/>
        <v>0</v>
      </c>
      <c r="U135" s="748"/>
      <c r="W135" s="749">
        <f>INDEX('Actual-ACPLGZ'!$H$7:$T$207,MATCH($B135,'Actual-ACPLGZ'!$B$7:$B$207,0),MATCH(W$8,'Actual-ACPLGZ'!$H$6:$T$6,0))</f>
        <v>0</v>
      </c>
      <c r="X135" s="749">
        <f>INDEX('Budget-ACPLGZ'!$K$7:$W$207,MATCH($B135,'Budget-ACPLGZ'!$B$7:$B$207,0),MATCH(X$8,'Budget-ACPLGZ'!$K$6:$W$6,0))</f>
        <v>0</v>
      </c>
      <c r="Y135" s="749">
        <f t="shared" si="79"/>
        <v>0</v>
      </c>
      <c r="Z135" s="748"/>
      <c r="AB135" s="749">
        <f>INDEX('Actual-ACPLGZ'!$H$7:$T$207,MATCH($B135,'Actual-ACPLGZ'!$B$7:$B$207,0),MATCH(AB$8,'Actual-ACPLGZ'!$H$6:$T$6,0))</f>
        <v>0</v>
      </c>
      <c r="AC135" s="749">
        <f>INDEX('Budget-Yixing'!$K$7:$W$207,MATCH($B135,'Budget-Yixing'!$B$7:$B$207,0),MATCH(AC$8,'Budget-Yixing'!$K$6:$W$6,0))</f>
        <v>0</v>
      </c>
      <c r="AD135" s="749">
        <f t="shared" si="84"/>
        <v>0</v>
      </c>
      <c r="AE135" s="748"/>
      <c r="AG135" s="751">
        <f>SUM(INDEX('Actual-ACPL'!$H$7:$T$207,MATCH($B135,'Actual-ACPL'!$B$7:$B$207,0),MATCH('Actual-ACPL'!H$6,'Actual-ACPL'!$H$6:$T$6,0)):INDEX('Actual-ACPL'!$H$7:$T$207,MATCH($B135,'Actual-ACPL'!$B$7:$B$207,0),MATCH(AG$8,'Actual-ACPL'!$H$6:$T$6,0)))</f>
        <v>0</v>
      </c>
      <c r="AH135" s="749">
        <f>SUM(INDEX('Budget-ACPL'!$K$7:$W$207,MATCH($B135,'Budget-ACPL'!$B$7:$B$207,0),MATCH('Budget-ACPL'!K$6,'Budget-ACPL'!$K$6:$W$6,0)):INDEX('Budget-ACPL'!$K$7:$W$207,MATCH($B135,'Budget-ACPL'!$B$7:$B$207,0),MATCH(AH$8,'Budget-ACPL'!$K$6:$W$6,0)))</f>
        <v>0</v>
      </c>
      <c r="AI135" s="749">
        <f t="shared" si="88"/>
        <v>0</v>
      </c>
      <c r="AJ135" s="748"/>
      <c r="AL135" s="749">
        <f>SUM(INDEX('Actual-ACPLHK'!$H$7:$S$207,MATCH($B135,'Actual-ACPLHK'!$B$7:$B$207,0),MATCH('Actual-ACPLHK'!H$6,'Actual-ACPLHK'!$H$6:$T$6,0)):INDEX('Actual-ACPLHK'!$H$7:$S$207,MATCH($B135,'Actual-ACPLHK'!$B$7:$B$207,0),MATCH(AL$8,'Actual-ACPLHK'!$H$6:$T$6,0)))</f>
        <v>0</v>
      </c>
      <c r="AM135" s="749">
        <f>SUM(INDEX('Budget-ACPLHK'!$K$7:$W$207,MATCH($B135,'Budget-ACPLHK'!$B$7:$B$207,0),MATCH('Budget-ACPLHK'!K$6,'Budget-ACPLHK'!$K$6:$W$6,0)):INDEX('Budget-ACPLHK'!$K$7:$W$207,MATCH($B135,'Budget-ACPLHK'!$B$7:$B$207,0),MATCH(AM$8,'Budget-ACPLHK'!$K$6:$W$6,0)))</f>
        <v>0</v>
      </c>
      <c r="AN135" s="749">
        <f t="shared" si="85"/>
        <v>0</v>
      </c>
      <c r="AO135" s="748"/>
      <c r="AQ135" s="749">
        <f>SUM(INDEX('Actual-ACPSZL'!$H$7:$T$207,MATCH($B135,'Actual-ACPSZL'!$B$7:$B$207,0),MATCH('Actual-ACPSZL'!H$6,'Actual-ACPSZL'!$H$6:$T$6,0)):INDEX('Actual-ACPSZL'!$H$7:$T$207,MATCH($B135,'Actual-ACPSZL'!$B$7:$B$207,0),MATCH(AQ$8,'Actual-ACPSZL'!$H$6:$T$6,0)))</f>
        <v>0</v>
      </c>
      <c r="AR135" s="749">
        <f>SUM(INDEX('Budget-ACPSZL'!$K$7:$W$207,MATCH($B135,'Budget-ACPSZL'!$B$7:$B$207,0),MATCH('Budget-ACPSZL'!K$6,'Budget-ACPSZL'!$K$6:$W$6,0)):INDEX('Budget-ACPSZL'!$K$7:$W$207,MATCH($B135,'Budget-ACPSZL'!$B$7:$B$207,0),MATCH(AR$8,'Budget-ACPSZL'!$K$6:$W$6,0)))</f>
        <v>0</v>
      </c>
      <c r="AS135" s="749">
        <f t="shared" si="77"/>
        <v>0</v>
      </c>
      <c r="AT135" s="748"/>
      <c r="AV135" s="749">
        <f>SUM(INDEX('Actual-ACPLSZ'!$H$7:$T$207,MATCH($B135,'Actual-ACPLSZ'!$B$7:$B$207,0),MATCH('Actual-ACPLSZ'!H$6,'Actual-ACPLSZ'!$H$6:$T$6,0)):INDEX('Actual-ACPLSZ'!$H$7:$T$207,MATCH($B135,'Actual-ACPLSZ'!$B$7:$B$207,0),MATCH(AV$8,'Actual-ACPLSZ'!$H$6:$T$6,0)))</f>
        <v>0</v>
      </c>
      <c r="AW135" s="749">
        <f>SUM(INDEX('Budget-ACPLSZ'!$K$7:$W$207,MATCH($B135,'Budget-ACPLSZ'!$B$7:$B$207,0),MATCH('Budget-ACPLSZ'!K$6,'Budget-ACPLSZ'!$K$6:$W$6,0)):INDEX('Budget-ACPLSZ'!$K$7:$W$207,MATCH($B135,'Budget-ACPLSZ'!$B$7:$B$207,0),MATCH(AW$8,'Budget-ACPLSZ'!$K$6:$W$6,0)))</f>
        <v>0</v>
      </c>
      <c r="AX135" s="749">
        <f t="shared" si="80"/>
        <v>0</v>
      </c>
      <c r="AY135" s="748"/>
      <c r="BA135" s="749">
        <f>SUM(INDEX('Actual-ACPLGZ'!$H$7:$T$207,MATCH($B135,'Actual-ACPLGZ'!$B$7:$B$207,0),MATCH('Actual-ACPLGZ'!H$6,'Actual-ACPLGZ'!$H$6:$T$6,0)):INDEX('Actual-ACPLGZ'!$H$7:$T$207,MATCH($B135,'Actual-ACPLGZ'!$B$7:$B$207,0),MATCH(BA$8,'Actual-ACPLGZ'!$H$6:$T$6,0)))</f>
        <v>0</v>
      </c>
      <c r="BB135" s="749">
        <f>SUM(INDEX('Budget-ACPLGZ'!$K$7:$W$207,MATCH($B135,'Budget-ACPLGZ'!$B$7:$B$207,0),MATCH('Budget-ACPLGZ'!K$6,'Budget-ACPLGZ'!$K$6:$W$6,0)):INDEX('Budget-ACPLGZ'!$K$7:$W$207,MATCH($B135,'Budget-ACPLGZ'!$B$7:$B$207,0),MATCH(BB$8,'Budget-ACPLGZ'!$K$6:$W$6,0)))</f>
        <v>0</v>
      </c>
      <c r="BC135" s="749">
        <f t="shared" si="86"/>
        <v>0</v>
      </c>
      <c r="BD135" s="748"/>
      <c r="BF135" s="749">
        <f>SUM(INDEX('Actual-ACPLYixing'!$H$7:$T$207,MATCH($B135,'Actual-ACPLYixing'!$B$7:$B$207,0),MATCH('Actual-ACPLYixing'!H$6,'Actual-ACPLYixing'!$H$6:$T$6,0)):INDEX('Actual-ACPLYixing'!$H$7:$T$207,MATCH($B135,'Actual-ACPLYixing'!$B$7:$B$207,0),MATCH(BF$8,'Actual-ACPLYixing'!$H$6:$T$6,0)))</f>
        <v>0</v>
      </c>
      <c r="BG135" s="749">
        <f>SUM(INDEX('Budget-Yixing'!$K$7:$W$207,MATCH($B135,'Budget-Yixing'!$B$7:$B$207,0),MATCH('Budget-Yixing'!K$6,'Budget-Yixing'!$K$6:$W$6,0)):INDEX('Budget-Yixing'!$K$7:$W$207,MATCH($B135,'Budget-Yixing'!$B$7:$B$207,0),MATCH(BG$8,'Budget-Yixing'!$K$6:$W$6,0)))</f>
        <v>0</v>
      </c>
      <c r="BH135" s="749">
        <f t="shared" si="87"/>
        <v>0</v>
      </c>
      <c r="BI135" s="748"/>
    </row>
    <row r="136" spans="1:61" ht="16.5" customHeight="1">
      <c r="A136" s="653" t="str">
        <f>'Budget-合并'!A134</f>
        <v>6602.12.02</v>
      </c>
      <c r="B136" s="653" t="str">
        <f>'Budget-合并'!B134</f>
        <v>办公地址</v>
      </c>
      <c r="C136" s="746">
        <f>INDEX('Actual-ACPL'!$H$7:$T$207,MATCH($B136,'Actual-ACPL'!$B$7:$B$207,0),MATCH(C$8,'Actual-ACPL'!$H$6:$T$6,0))</f>
        <v>0</v>
      </c>
      <c r="D136" s="746">
        <f>INDEX('Budget-ACPL'!$K$7:$W$207,MATCH($B136,'Budget-ACPL'!$B$7:$B$207,0),MATCH(D$8,'Budget-ACPL'!$K$6:$W$6,0))</f>
        <v>0</v>
      </c>
      <c r="E136" s="746">
        <f t="shared" si="81"/>
        <v>0</v>
      </c>
      <c r="F136" s="752"/>
      <c r="H136" s="749">
        <f>INDEX('Actual-ACPLHK'!$H$7:$T$207,MATCH($B136,'Actual-ACPLHK'!$B$7:$B$207,0),MATCH(H$8,'Actual-ACPLHK'!$H$6:$T$6,0))</f>
        <v>0</v>
      </c>
      <c r="I136" s="749">
        <f>INDEX('Budget-ACPLHK'!$K$7:$W$207,MATCH($B136,'Budget-ACPLHK'!$B$7:$B$207,0),MATCH(I$8,'Budget-ACPLHK'!$K$6:$W$6,0))</f>
        <v>71794.122715400008</v>
      </c>
      <c r="J136" s="749">
        <f t="shared" si="82"/>
        <v>-71794.122715400008</v>
      </c>
      <c r="K136" s="748"/>
      <c r="M136" s="749">
        <f>INDEX('Actual-ACPSZL'!$H$7:$T$207,MATCH($B136,'Actual-ACPSZL'!$B$7:$B$207,0),MATCH(M$8,'Actual-ACPSZL'!$H$6:$T$6,0))</f>
        <v>0</v>
      </c>
      <c r="N136" s="749">
        <f>INDEX('Budget-ACPSZL'!$K$7:$W$207,MATCH($B136,'Budget-ACPSZL'!$B$7:$B$207,0),MATCH(N$8,'Budget-ACPSZL'!$K$6:$W$6,0))</f>
        <v>0</v>
      </c>
      <c r="O136" s="749">
        <f t="shared" si="78"/>
        <v>0</v>
      </c>
      <c r="P136" s="748"/>
      <c r="R136" s="749">
        <f>INDEX('Actual-ACPLSZ'!$H$7:$T$207,MATCH($B136,'Actual-ACPLSZ'!$B$7:$B$207,0),MATCH(R$8,'Actual-ACPLSZ'!$H$6:$T$6,0))</f>
        <v>0</v>
      </c>
      <c r="S136" s="749">
        <f>INDEX('Budget-ACPLSZ'!$K$7:$W$207,MATCH($B136,'Budget-ACPLSZ'!$B$7:$B$207,0),MATCH(S$8,'Budget-ACPLSZ'!$K$6:$W$6,0))</f>
        <v>0</v>
      </c>
      <c r="T136" s="749">
        <f t="shared" si="83"/>
        <v>0</v>
      </c>
      <c r="U136" s="748"/>
      <c r="W136" s="749">
        <f>INDEX('Actual-ACPLGZ'!$H$7:$T$207,MATCH($B136,'Actual-ACPLGZ'!$B$7:$B$207,0),MATCH(W$8,'Actual-ACPLGZ'!$H$6:$T$6,0))</f>
        <v>0</v>
      </c>
      <c r="X136" s="749">
        <f>INDEX('Budget-ACPLGZ'!$K$7:$W$207,MATCH($B136,'Budget-ACPLGZ'!$B$7:$B$207,0),MATCH(X$8,'Budget-ACPLGZ'!$K$6:$W$6,0))</f>
        <v>0</v>
      </c>
      <c r="Y136" s="749">
        <f t="shared" si="79"/>
        <v>0</v>
      </c>
      <c r="Z136" s="748"/>
      <c r="AB136" s="749">
        <f>INDEX('Actual-ACPLGZ'!$H$7:$T$207,MATCH($B136,'Actual-ACPLGZ'!$B$7:$B$207,0),MATCH(AB$8,'Actual-ACPLGZ'!$H$6:$T$6,0))</f>
        <v>0</v>
      </c>
      <c r="AC136" s="749">
        <f>INDEX('Budget-Yixing'!$K$7:$W$207,MATCH($B136,'Budget-Yixing'!$B$7:$B$207,0),MATCH(AC$8,'Budget-Yixing'!$K$6:$W$6,0))</f>
        <v>0</v>
      </c>
      <c r="AD136" s="749">
        <f t="shared" si="84"/>
        <v>0</v>
      </c>
      <c r="AE136" s="748"/>
      <c r="AG136" s="751">
        <f>SUM(INDEX('Actual-ACPL'!$H$7:$T$207,MATCH($B136,'Actual-ACPL'!$B$7:$B$207,0),MATCH('Actual-ACPL'!H$6,'Actual-ACPL'!$H$6:$T$6,0)):INDEX('Actual-ACPL'!$H$7:$T$207,MATCH($B136,'Actual-ACPL'!$B$7:$B$207,0),MATCH(AG$8,'Actual-ACPL'!$H$6:$T$6,0)))</f>
        <v>0</v>
      </c>
      <c r="AH136" s="749">
        <f>SUM(INDEX('Budget-ACPL'!$K$7:$W$207,MATCH($B136,'Budget-ACPL'!$B$7:$B$207,0),MATCH('Budget-ACPL'!K$6,'Budget-ACPL'!$K$6:$W$6,0)):INDEX('Budget-ACPL'!$K$7:$W$207,MATCH($B136,'Budget-ACPL'!$B$7:$B$207,0),MATCH(AH$8,'Budget-ACPL'!$K$6:$W$6,0)))</f>
        <v>0</v>
      </c>
      <c r="AI136" s="749">
        <f t="shared" si="88"/>
        <v>0</v>
      </c>
      <c r="AJ136" s="748"/>
      <c r="AL136" s="749">
        <f>SUM(INDEX('Actual-ACPLHK'!$H$7:$S$207,MATCH($B136,'Actual-ACPLHK'!$B$7:$B$207,0),MATCH('Actual-ACPLHK'!H$6,'Actual-ACPLHK'!$H$6:$T$6,0)):INDEX('Actual-ACPLHK'!$H$7:$S$207,MATCH($B136,'Actual-ACPLHK'!$B$7:$B$207,0),MATCH(AL$8,'Actual-ACPLHK'!$H$6:$T$6,0)))</f>
        <v>0</v>
      </c>
      <c r="AM136" s="749">
        <f>SUM(INDEX('Budget-ACPLHK'!$K$7:$W$207,MATCH($B136,'Budget-ACPLHK'!$B$7:$B$207,0),MATCH('Budget-ACPLHK'!K$6,'Budget-ACPLHK'!$K$6:$W$6,0)):INDEX('Budget-ACPLHK'!$K$7:$W$207,MATCH($B136,'Budget-ACPLHK'!$B$7:$B$207,0),MATCH(AM$8,'Budget-ACPLHK'!$K$6:$W$6,0)))</f>
        <v>71794.122715400008</v>
      </c>
      <c r="AN136" s="749">
        <f t="shared" si="85"/>
        <v>-71794.122715400008</v>
      </c>
      <c r="AO136" s="748"/>
      <c r="AQ136" s="749">
        <f>SUM(INDEX('Actual-ACPSZL'!$H$7:$T$207,MATCH($B136,'Actual-ACPSZL'!$B$7:$B$207,0),MATCH('Actual-ACPSZL'!H$6,'Actual-ACPSZL'!$H$6:$T$6,0)):INDEX('Actual-ACPSZL'!$H$7:$T$207,MATCH($B136,'Actual-ACPSZL'!$B$7:$B$207,0),MATCH(AQ$8,'Actual-ACPSZL'!$H$6:$T$6,0)))</f>
        <v>0</v>
      </c>
      <c r="AR136" s="749">
        <f>SUM(INDEX('Budget-ACPSZL'!$K$7:$W$207,MATCH($B136,'Budget-ACPSZL'!$B$7:$B$207,0),MATCH('Budget-ACPSZL'!K$6,'Budget-ACPSZL'!$K$6:$W$6,0)):INDEX('Budget-ACPSZL'!$K$7:$W$207,MATCH($B136,'Budget-ACPSZL'!$B$7:$B$207,0),MATCH(AR$8,'Budget-ACPSZL'!$K$6:$W$6,0)))</f>
        <v>0</v>
      </c>
      <c r="AS136" s="749">
        <f t="shared" si="77"/>
        <v>0</v>
      </c>
      <c r="AT136" s="748"/>
      <c r="AV136" s="749">
        <f>SUM(INDEX('Actual-ACPLSZ'!$H$7:$T$207,MATCH($B136,'Actual-ACPLSZ'!$B$7:$B$207,0),MATCH('Actual-ACPLSZ'!H$6,'Actual-ACPLSZ'!$H$6:$T$6,0)):INDEX('Actual-ACPLSZ'!$H$7:$T$207,MATCH($B136,'Actual-ACPLSZ'!$B$7:$B$207,0),MATCH(AV$8,'Actual-ACPLSZ'!$H$6:$T$6,0)))</f>
        <v>0</v>
      </c>
      <c r="AW136" s="749">
        <f>SUM(INDEX('Budget-ACPLSZ'!$K$7:$W$207,MATCH($B136,'Budget-ACPLSZ'!$B$7:$B$207,0),MATCH('Budget-ACPLSZ'!K$6,'Budget-ACPLSZ'!$K$6:$W$6,0)):INDEX('Budget-ACPLSZ'!$K$7:$W$207,MATCH($B136,'Budget-ACPLSZ'!$B$7:$B$207,0),MATCH(AW$8,'Budget-ACPLSZ'!$K$6:$W$6,0)))</f>
        <v>0</v>
      </c>
      <c r="AX136" s="749">
        <f t="shared" si="80"/>
        <v>0</v>
      </c>
      <c r="AY136" s="748"/>
      <c r="BA136" s="749">
        <f>SUM(INDEX('Actual-ACPLGZ'!$H$7:$T$207,MATCH($B136,'Actual-ACPLGZ'!$B$7:$B$207,0),MATCH('Actual-ACPLGZ'!H$6,'Actual-ACPLGZ'!$H$6:$T$6,0)):INDEX('Actual-ACPLGZ'!$H$7:$T$207,MATCH($B136,'Actual-ACPLGZ'!$B$7:$B$207,0),MATCH(BA$8,'Actual-ACPLGZ'!$H$6:$T$6,0)))</f>
        <v>0</v>
      </c>
      <c r="BB136" s="749">
        <f>SUM(INDEX('Budget-ACPLGZ'!$K$7:$W$207,MATCH($B136,'Budget-ACPLGZ'!$B$7:$B$207,0),MATCH('Budget-ACPLGZ'!K$6,'Budget-ACPLGZ'!$K$6:$W$6,0)):INDEX('Budget-ACPLGZ'!$K$7:$W$207,MATCH($B136,'Budget-ACPLGZ'!$B$7:$B$207,0),MATCH(BB$8,'Budget-ACPLGZ'!$K$6:$W$6,0)))</f>
        <v>0</v>
      </c>
      <c r="BC136" s="749">
        <f t="shared" si="86"/>
        <v>0</v>
      </c>
      <c r="BD136" s="748"/>
      <c r="BF136" s="749">
        <f>SUM(INDEX('Actual-ACPLYixing'!$H$7:$T$207,MATCH($B136,'Actual-ACPLYixing'!$B$7:$B$207,0),MATCH('Actual-ACPLYixing'!H$6,'Actual-ACPLYixing'!$H$6:$T$6,0)):INDEX('Actual-ACPLYixing'!$H$7:$T$207,MATCH($B136,'Actual-ACPLYixing'!$B$7:$B$207,0),MATCH(BF$8,'Actual-ACPLYixing'!$H$6:$T$6,0)))</f>
        <v>0</v>
      </c>
      <c r="BG136" s="749">
        <f>SUM(INDEX('Budget-Yixing'!$K$7:$W$207,MATCH($B136,'Budget-Yixing'!$B$7:$B$207,0),MATCH('Budget-Yixing'!K$6,'Budget-Yixing'!$K$6:$W$6,0)):INDEX('Budget-Yixing'!$K$7:$W$207,MATCH($B136,'Budget-Yixing'!$B$7:$B$207,0),MATCH(BG$8,'Budget-Yixing'!$K$6:$W$6,0)))</f>
        <v>0</v>
      </c>
      <c r="BH136" s="749">
        <f t="shared" si="87"/>
        <v>0</v>
      </c>
      <c r="BI136" s="748"/>
    </row>
    <row r="137" spans="1:61" ht="16.5" customHeight="1">
      <c r="A137" s="653" t="str">
        <f>'Budget-合并'!A135</f>
        <v>6602.12.02.01</v>
      </c>
      <c r="B137" s="653" t="str">
        <f>'Budget-合并'!B135</f>
        <v>旭智咨询--鼎和大厦1606</v>
      </c>
      <c r="C137" s="746">
        <f>INDEX('Actual-ACPL'!$H$7:$T$207,MATCH($B137,'Actual-ACPL'!$B$7:$B$207,0),MATCH(C$8,'Actual-ACPL'!$H$6:$T$6,0))</f>
        <v>0</v>
      </c>
      <c r="D137" s="746">
        <f>INDEX('Budget-ACPL'!$K$7:$W$207,MATCH($B137,'Budget-ACPL'!$B$7:$B$207,0),MATCH(D$8,'Budget-ACPL'!$K$6:$W$6,0))</f>
        <v>0</v>
      </c>
      <c r="E137" s="746">
        <f t="shared" si="81"/>
        <v>0</v>
      </c>
      <c r="F137" s="752"/>
      <c r="H137" s="749">
        <f>INDEX('Actual-ACPLHK'!$H$7:$T$207,MATCH($B137,'Actual-ACPLHK'!$B$7:$B$207,0),MATCH(H$8,'Actual-ACPLHK'!$H$6:$T$6,0))</f>
        <v>0</v>
      </c>
      <c r="I137" s="749">
        <f>INDEX('Budget-ACPLHK'!$K$7:$W$207,MATCH($B137,'Budget-ACPLHK'!$B$7:$B$207,0),MATCH(I$8,'Budget-ACPLHK'!$K$6:$W$6,0))</f>
        <v>0</v>
      </c>
      <c r="J137" s="749">
        <f t="shared" si="82"/>
        <v>0</v>
      </c>
      <c r="K137" s="748"/>
      <c r="M137" s="749">
        <f>INDEX('Actual-ACPSZL'!$H$7:$T$207,MATCH($B137,'Actual-ACPSZL'!$B$7:$B$207,0),MATCH(M$8,'Actual-ACPSZL'!$H$6:$T$6,0))</f>
        <v>0</v>
      </c>
      <c r="N137" s="749">
        <f>INDEX('Budget-ACPSZL'!$K$7:$W$207,MATCH($B137,'Budget-ACPSZL'!$B$7:$B$207,0),MATCH(N$8,'Budget-ACPSZL'!$K$6:$W$6,0))</f>
        <v>0</v>
      </c>
      <c r="O137" s="749">
        <f t="shared" si="78"/>
        <v>0</v>
      </c>
      <c r="P137" s="748"/>
      <c r="R137" s="749">
        <f>INDEX('Actual-ACPLSZ'!$H$7:$T$207,MATCH($B137,'Actual-ACPLSZ'!$B$7:$B$207,0),MATCH(R$8,'Actual-ACPLSZ'!$H$6:$T$6,0))</f>
        <v>0</v>
      </c>
      <c r="S137" s="749">
        <f>INDEX('Budget-ACPLSZ'!$K$7:$W$207,MATCH($B137,'Budget-ACPLSZ'!$B$7:$B$207,0),MATCH(S$8,'Budget-ACPLSZ'!$K$6:$W$6,0))</f>
        <v>0</v>
      </c>
      <c r="T137" s="749">
        <f t="shared" si="83"/>
        <v>0</v>
      </c>
      <c r="U137" s="748"/>
      <c r="W137" s="749">
        <f>INDEX('Actual-ACPLGZ'!$H$7:$T$207,MATCH($B137,'Actual-ACPLGZ'!$B$7:$B$207,0),MATCH(W$8,'Actual-ACPLGZ'!$H$6:$T$6,0))</f>
        <v>0</v>
      </c>
      <c r="X137" s="749">
        <f>INDEX('Budget-ACPLGZ'!$K$7:$W$207,MATCH($B137,'Budget-ACPLGZ'!$B$7:$B$207,0),MATCH(X$8,'Budget-ACPLGZ'!$K$6:$W$6,0))</f>
        <v>0</v>
      </c>
      <c r="Y137" s="749">
        <f t="shared" si="79"/>
        <v>0</v>
      </c>
      <c r="Z137" s="748"/>
      <c r="AB137" s="749">
        <f>INDEX('Actual-ACPLGZ'!$H$7:$T$207,MATCH($B137,'Actual-ACPLGZ'!$B$7:$B$207,0),MATCH(AB$8,'Actual-ACPLGZ'!$H$6:$T$6,0))</f>
        <v>0</v>
      </c>
      <c r="AC137" s="749">
        <f>INDEX('Budget-Yixing'!$K$7:$W$207,MATCH($B137,'Budget-Yixing'!$B$7:$B$207,0),MATCH(AC$8,'Budget-Yixing'!$K$6:$W$6,0))</f>
        <v>0</v>
      </c>
      <c r="AD137" s="749">
        <f t="shared" si="84"/>
        <v>0</v>
      </c>
      <c r="AE137" s="748"/>
      <c r="AG137" s="751">
        <f>SUM(INDEX('Actual-ACPL'!$H$7:$T$207,MATCH($B137,'Actual-ACPL'!$B$7:$B$207,0),MATCH('Actual-ACPL'!H$6,'Actual-ACPL'!$H$6:$T$6,0)):INDEX('Actual-ACPL'!$H$7:$T$207,MATCH($B137,'Actual-ACPL'!$B$7:$B$207,0),MATCH(AG$8,'Actual-ACPL'!$H$6:$T$6,0)))</f>
        <v>0</v>
      </c>
      <c r="AH137" s="749">
        <f>SUM(INDEX('Budget-ACPL'!$K$7:$W$207,MATCH($B137,'Budget-ACPL'!$B$7:$B$207,0),MATCH('Budget-ACPL'!K$6,'Budget-ACPL'!$K$6:$W$6,0)):INDEX('Budget-ACPL'!$K$7:$W$207,MATCH($B137,'Budget-ACPL'!$B$7:$B$207,0),MATCH(AH$8,'Budget-ACPL'!$K$6:$W$6,0)))</f>
        <v>0</v>
      </c>
      <c r="AI137" s="749">
        <f t="shared" si="88"/>
        <v>0</v>
      </c>
      <c r="AJ137" s="748"/>
      <c r="AL137" s="749">
        <f>SUM(INDEX('Actual-ACPLHK'!$H$7:$S$207,MATCH($B137,'Actual-ACPLHK'!$B$7:$B$207,0),MATCH('Actual-ACPLHK'!H$6,'Actual-ACPLHK'!$H$6:$T$6,0)):INDEX('Actual-ACPLHK'!$H$7:$S$207,MATCH($B137,'Actual-ACPLHK'!$B$7:$B$207,0),MATCH(AL$8,'Actual-ACPLHK'!$H$6:$T$6,0)))</f>
        <v>0</v>
      </c>
      <c r="AM137" s="749">
        <f>SUM(INDEX('Budget-ACPLHK'!$K$7:$W$207,MATCH($B137,'Budget-ACPLHK'!$B$7:$B$207,0),MATCH('Budget-ACPLHK'!K$6,'Budget-ACPLHK'!$K$6:$W$6,0)):INDEX('Budget-ACPLHK'!$K$7:$W$207,MATCH($B137,'Budget-ACPLHK'!$B$7:$B$207,0),MATCH(AM$8,'Budget-ACPLHK'!$K$6:$W$6,0)))</f>
        <v>0</v>
      </c>
      <c r="AN137" s="749">
        <f t="shared" si="85"/>
        <v>0</v>
      </c>
      <c r="AO137" s="748"/>
      <c r="AQ137" s="749">
        <f>SUM(INDEX('Actual-ACPSZL'!$H$7:$T$207,MATCH($B137,'Actual-ACPSZL'!$B$7:$B$207,0),MATCH('Actual-ACPSZL'!H$6,'Actual-ACPSZL'!$H$6:$T$6,0)):INDEX('Actual-ACPSZL'!$H$7:$T$207,MATCH($B137,'Actual-ACPSZL'!$B$7:$B$207,0),MATCH(AQ$8,'Actual-ACPSZL'!$H$6:$T$6,0)))</f>
        <v>0</v>
      </c>
      <c r="AR137" s="749">
        <f>SUM(INDEX('Budget-ACPSZL'!$K$7:$W$207,MATCH($B137,'Budget-ACPSZL'!$B$7:$B$207,0),MATCH('Budget-ACPSZL'!K$6,'Budget-ACPSZL'!$K$6:$W$6,0)):INDEX('Budget-ACPSZL'!$K$7:$W$207,MATCH($B137,'Budget-ACPSZL'!$B$7:$B$207,0),MATCH(AR$8,'Budget-ACPSZL'!$K$6:$W$6,0)))</f>
        <v>0</v>
      </c>
      <c r="AS137" s="749">
        <f t="shared" si="77"/>
        <v>0</v>
      </c>
      <c r="AT137" s="748"/>
      <c r="AV137" s="749">
        <f>SUM(INDEX('Actual-ACPLSZ'!$H$7:$T$207,MATCH($B137,'Actual-ACPLSZ'!$B$7:$B$207,0),MATCH('Actual-ACPLSZ'!H$6,'Actual-ACPLSZ'!$H$6:$T$6,0)):INDEX('Actual-ACPLSZ'!$H$7:$T$207,MATCH($B137,'Actual-ACPLSZ'!$B$7:$B$207,0),MATCH(AV$8,'Actual-ACPLSZ'!$H$6:$T$6,0)))</f>
        <v>0</v>
      </c>
      <c r="AW137" s="749">
        <f>SUM(INDEX('Budget-ACPLSZ'!$K$7:$W$207,MATCH($B137,'Budget-ACPLSZ'!$B$7:$B$207,0),MATCH('Budget-ACPLSZ'!K$6,'Budget-ACPLSZ'!$K$6:$W$6,0)):INDEX('Budget-ACPLSZ'!$K$7:$W$207,MATCH($B137,'Budget-ACPLSZ'!$B$7:$B$207,0),MATCH(AW$8,'Budget-ACPLSZ'!$K$6:$W$6,0)))</f>
        <v>0</v>
      </c>
      <c r="AX137" s="749">
        <f t="shared" si="80"/>
        <v>0</v>
      </c>
      <c r="AY137" s="748"/>
      <c r="BA137" s="749">
        <f>SUM(INDEX('Actual-ACPLGZ'!$H$7:$T$207,MATCH($B137,'Actual-ACPLGZ'!$B$7:$B$207,0),MATCH('Actual-ACPLGZ'!H$6,'Actual-ACPLGZ'!$H$6:$T$6,0)):INDEX('Actual-ACPLGZ'!$H$7:$T$207,MATCH($B137,'Actual-ACPLGZ'!$B$7:$B$207,0),MATCH(BA$8,'Actual-ACPLGZ'!$H$6:$T$6,0)))</f>
        <v>0</v>
      </c>
      <c r="BB137" s="749">
        <f>SUM(INDEX('Budget-ACPLGZ'!$K$7:$W$207,MATCH($B137,'Budget-ACPLGZ'!$B$7:$B$207,0),MATCH('Budget-ACPLGZ'!K$6,'Budget-ACPLGZ'!$K$6:$W$6,0)):INDEX('Budget-ACPLGZ'!$K$7:$W$207,MATCH($B137,'Budget-ACPLGZ'!$B$7:$B$207,0),MATCH(BB$8,'Budget-ACPLGZ'!$K$6:$W$6,0)))</f>
        <v>0</v>
      </c>
      <c r="BC137" s="749">
        <f t="shared" si="86"/>
        <v>0</v>
      </c>
      <c r="BD137" s="748"/>
      <c r="BF137" s="749">
        <f>SUM(INDEX('Actual-ACPLYixing'!$H$7:$T$207,MATCH($B137,'Actual-ACPLYixing'!$B$7:$B$207,0),MATCH('Actual-ACPLYixing'!H$6,'Actual-ACPLYixing'!$H$6:$T$6,0)):INDEX('Actual-ACPLYixing'!$H$7:$T$207,MATCH($B137,'Actual-ACPLYixing'!$B$7:$B$207,0),MATCH(BF$8,'Actual-ACPLYixing'!$H$6:$T$6,0)))</f>
        <v>0</v>
      </c>
      <c r="BG137" s="749">
        <f>SUM(INDEX('Budget-Yixing'!$K$7:$W$207,MATCH($B137,'Budget-Yixing'!$B$7:$B$207,0),MATCH('Budget-Yixing'!K$6,'Budget-Yixing'!$K$6:$W$6,0)):INDEX('Budget-Yixing'!$K$7:$W$207,MATCH($B137,'Budget-Yixing'!$B$7:$B$207,0),MATCH(BG$8,'Budget-Yixing'!$K$6:$W$6,0)))</f>
        <v>0</v>
      </c>
      <c r="BH137" s="749">
        <f t="shared" si="87"/>
        <v>0</v>
      </c>
      <c r="BI137" s="748"/>
    </row>
    <row r="138" spans="1:61" ht="16.5" customHeight="1">
      <c r="A138" s="653" t="str">
        <f>'Budget-合并'!A136</f>
        <v>6602.12.02.02</v>
      </c>
      <c r="B138" s="653" t="str">
        <f>'Budget-合并'!B136</f>
        <v>旭智资本（香港）--冯氏大厦</v>
      </c>
      <c r="C138" s="746">
        <f>INDEX('Actual-ACPL'!$H$7:$T$207,MATCH($B138,'Actual-ACPL'!$B$7:$B$207,0),MATCH(C$8,'Actual-ACPL'!$H$6:$T$6,0))</f>
        <v>0</v>
      </c>
      <c r="D138" s="746">
        <f>INDEX('Budget-ACPL'!$K$7:$W$207,MATCH($B138,'Budget-ACPL'!$B$7:$B$207,0),MATCH(D$8,'Budget-ACPL'!$K$6:$W$6,0))</f>
        <v>0</v>
      </c>
      <c r="E138" s="746">
        <f t="shared" si="81"/>
        <v>0</v>
      </c>
      <c r="F138" s="752"/>
      <c r="H138" s="749">
        <f>INDEX('Actual-ACPLHK'!$H$7:$T$207,MATCH($B138,'Actual-ACPLHK'!$B$7:$B$207,0),MATCH(H$8,'Actual-ACPLHK'!$H$6:$T$6,0))</f>
        <v>0</v>
      </c>
      <c r="I138" s="749">
        <f>INDEX('Budget-ACPLHK'!$K$7:$W$207,MATCH($B138,'Budget-ACPLHK'!$B$7:$B$207,0),MATCH(I$8,'Budget-ACPLHK'!$K$6:$W$6,0))</f>
        <v>71794.122715400008</v>
      </c>
      <c r="J138" s="749">
        <f t="shared" si="82"/>
        <v>-71794.122715400008</v>
      </c>
      <c r="K138" s="748"/>
      <c r="M138" s="749">
        <f>INDEX('Actual-ACPSZL'!$H$7:$T$207,MATCH($B138,'Actual-ACPSZL'!$B$7:$B$207,0),MATCH(M$8,'Actual-ACPSZL'!$H$6:$T$6,0))</f>
        <v>0</v>
      </c>
      <c r="N138" s="749">
        <f>INDEX('Budget-ACPSZL'!$K$7:$W$207,MATCH($B138,'Budget-ACPSZL'!$B$7:$B$207,0),MATCH(N$8,'Budget-ACPSZL'!$K$6:$W$6,0))</f>
        <v>0</v>
      </c>
      <c r="O138" s="749">
        <f t="shared" si="78"/>
        <v>0</v>
      </c>
      <c r="P138" s="748"/>
      <c r="R138" s="749">
        <f>INDEX('Actual-ACPLSZ'!$H$7:$T$207,MATCH($B138,'Actual-ACPLSZ'!$B$7:$B$207,0),MATCH(R$8,'Actual-ACPLSZ'!$H$6:$T$6,0))</f>
        <v>0</v>
      </c>
      <c r="S138" s="749">
        <f>INDEX('Budget-ACPLSZ'!$K$7:$W$207,MATCH($B138,'Budget-ACPLSZ'!$B$7:$B$207,0),MATCH(S$8,'Budget-ACPLSZ'!$K$6:$W$6,0))</f>
        <v>0</v>
      </c>
      <c r="T138" s="749">
        <f t="shared" si="83"/>
        <v>0</v>
      </c>
      <c r="U138" s="748"/>
      <c r="W138" s="749">
        <f>INDEX('Actual-ACPLGZ'!$H$7:$T$207,MATCH($B138,'Actual-ACPLGZ'!$B$7:$B$207,0),MATCH(W$8,'Actual-ACPLGZ'!$H$6:$T$6,0))</f>
        <v>0</v>
      </c>
      <c r="X138" s="749">
        <f>INDEX('Budget-ACPLGZ'!$K$7:$W$207,MATCH($B138,'Budget-ACPLGZ'!$B$7:$B$207,0),MATCH(X$8,'Budget-ACPLGZ'!$K$6:$W$6,0))</f>
        <v>0</v>
      </c>
      <c r="Y138" s="749">
        <f t="shared" si="79"/>
        <v>0</v>
      </c>
      <c r="Z138" s="748"/>
      <c r="AB138" s="749">
        <f>INDEX('Actual-ACPLGZ'!$H$7:$T$207,MATCH($B138,'Actual-ACPLGZ'!$B$7:$B$207,0),MATCH(AB$8,'Actual-ACPLGZ'!$H$6:$T$6,0))</f>
        <v>0</v>
      </c>
      <c r="AC138" s="749">
        <f>INDEX('Budget-Yixing'!$K$7:$W$207,MATCH($B138,'Budget-Yixing'!$B$7:$B$207,0),MATCH(AC$8,'Budget-Yixing'!$K$6:$W$6,0))</f>
        <v>0</v>
      </c>
      <c r="AD138" s="749">
        <f t="shared" si="84"/>
        <v>0</v>
      </c>
      <c r="AE138" s="748"/>
      <c r="AG138" s="751">
        <f>SUM(INDEX('Actual-ACPL'!$H$7:$T$207,MATCH($B138,'Actual-ACPL'!$B$7:$B$207,0),MATCH('Actual-ACPL'!H$6,'Actual-ACPL'!$H$6:$T$6,0)):INDEX('Actual-ACPL'!$H$7:$T$207,MATCH($B138,'Actual-ACPL'!$B$7:$B$207,0),MATCH(AG$8,'Actual-ACPL'!$H$6:$T$6,0)))</f>
        <v>0</v>
      </c>
      <c r="AH138" s="749">
        <f>SUM(INDEX('Budget-ACPL'!$K$7:$W$207,MATCH($B138,'Budget-ACPL'!$B$7:$B$207,0),MATCH('Budget-ACPL'!K$6,'Budget-ACPL'!$K$6:$W$6,0)):INDEX('Budget-ACPL'!$K$7:$W$207,MATCH($B138,'Budget-ACPL'!$B$7:$B$207,0),MATCH(AH$8,'Budget-ACPL'!$K$6:$W$6,0)))</f>
        <v>0</v>
      </c>
      <c r="AI138" s="749">
        <f t="shared" si="88"/>
        <v>0</v>
      </c>
      <c r="AJ138" s="748"/>
      <c r="AL138" s="749">
        <f>SUM(INDEX('Actual-ACPLHK'!$H$7:$S$207,MATCH($B138,'Actual-ACPLHK'!$B$7:$B$207,0),MATCH('Actual-ACPLHK'!H$6,'Actual-ACPLHK'!$H$6:$T$6,0)):INDEX('Actual-ACPLHK'!$H$7:$S$207,MATCH($B138,'Actual-ACPLHK'!$B$7:$B$207,0),MATCH(AL$8,'Actual-ACPLHK'!$H$6:$T$6,0)))</f>
        <v>0</v>
      </c>
      <c r="AM138" s="749">
        <f>SUM(INDEX('Budget-ACPLHK'!$K$7:$W$207,MATCH($B138,'Budget-ACPLHK'!$B$7:$B$207,0),MATCH('Budget-ACPLHK'!K$6,'Budget-ACPLHK'!$K$6:$W$6,0)):INDEX('Budget-ACPLHK'!$K$7:$W$207,MATCH($B138,'Budget-ACPLHK'!$B$7:$B$207,0),MATCH(AM$8,'Budget-ACPLHK'!$K$6:$W$6,0)))</f>
        <v>71794.122715400008</v>
      </c>
      <c r="AN138" s="749">
        <f t="shared" si="85"/>
        <v>-71794.122715400008</v>
      </c>
      <c r="AO138" s="748"/>
      <c r="AQ138" s="749">
        <f>SUM(INDEX('Actual-ACPSZL'!$H$7:$T$207,MATCH($B138,'Actual-ACPSZL'!$B$7:$B$207,0),MATCH('Actual-ACPSZL'!H$6,'Actual-ACPSZL'!$H$6:$T$6,0)):INDEX('Actual-ACPSZL'!$H$7:$T$207,MATCH($B138,'Actual-ACPSZL'!$B$7:$B$207,0),MATCH(AQ$8,'Actual-ACPSZL'!$H$6:$T$6,0)))</f>
        <v>0</v>
      </c>
      <c r="AR138" s="749">
        <f>SUM(INDEX('Budget-ACPSZL'!$K$7:$W$207,MATCH($B138,'Budget-ACPSZL'!$B$7:$B$207,0),MATCH('Budget-ACPSZL'!K$6,'Budget-ACPSZL'!$K$6:$W$6,0)):INDEX('Budget-ACPSZL'!$K$7:$W$207,MATCH($B138,'Budget-ACPSZL'!$B$7:$B$207,0),MATCH(AR$8,'Budget-ACPSZL'!$K$6:$W$6,0)))</f>
        <v>0</v>
      </c>
      <c r="AS138" s="749">
        <f t="shared" si="77"/>
        <v>0</v>
      </c>
      <c r="AT138" s="748"/>
      <c r="AV138" s="749">
        <f>SUM(INDEX('Actual-ACPLSZ'!$H$7:$T$207,MATCH($B138,'Actual-ACPLSZ'!$B$7:$B$207,0),MATCH('Actual-ACPLSZ'!H$6,'Actual-ACPLSZ'!$H$6:$T$6,0)):INDEX('Actual-ACPLSZ'!$H$7:$T$207,MATCH($B138,'Actual-ACPLSZ'!$B$7:$B$207,0),MATCH(AV$8,'Actual-ACPLSZ'!$H$6:$T$6,0)))</f>
        <v>0</v>
      </c>
      <c r="AW138" s="749">
        <f>SUM(INDEX('Budget-ACPLSZ'!$K$7:$W$207,MATCH($B138,'Budget-ACPLSZ'!$B$7:$B$207,0),MATCH('Budget-ACPLSZ'!K$6,'Budget-ACPLSZ'!$K$6:$W$6,0)):INDEX('Budget-ACPLSZ'!$K$7:$W$207,MATCH($B138,'Budget-ACPLSZ'!$B$7:$B$207,0),MATCH(AW$8,'Budget-ACPLSZ'!$K$6:$W$6,0)))</f>
        <v>0</v>
      </c>
      <c r="AX138" s="749">
        <f t="shared" si="80"/>
        <v>0</v>
      </c>
      <c r="AY138" s="748"/>
      <c r="BA138" s="749">
        <f>SUM(INDEX('Actual-ACPLGZ'!$H$7:$T$207,MATCH($B138,'Actual-ACPLGZ'!$B$7:$B$207,0),MATCH('Actual-ACPLGZ'!H$6,'Actual-ACPLGZ'!$H$6:$T$6,0)):INDEX('Actual-ACPLGZ'!$H$7:$T$207,MATCH($B138,'Actual-ACPLGZ'!$B$7:$B$207,0),MATCH(BA$8,'Actual-ACPLGZ'!$H$6:$T$6,0)))</f>
        <v>0</v>
      </c>
      <c r="BB138" s="749">
        <f>SUM(INDEX('Budget-ACPLGZ'!$K$7:$W$207,MATCH($B138,'Budget-ACPLGZ'!$B$7:$B$207,0),MATCH('Budget-ACPLGZ'!K$6,'Budget-ACPLGZ'!$K$6:$W$6,0)):INDEX('Budget-ACPLGZ'!$K$7:$W$207,MATCH($B138,'Budget-ACPLGZ'!$B$7:$B$207,0),MATCH(BB$8,'Budget-ACPLGZ'!$K$6:$W$6,0)))</f>
        <v>0</v>
      </c>
      <c r="BC138" s="749">
        <f t="shared" si="86"/>
        <v>0</v>
      </c>
      <c r="BD138" s="748"/>
      <c r="BF138" s="749">
        <f>SUM(INDEX('Actual-ACPLYixing'!$H$7:$T$207,MATCH($B138,'Actual-ACPLYixing'!$B$7:$B$207,0),MATCH('Actual-ACPLYixing'!H$6,'Actual-ACPLYixing'!$H$6:$T$6,0)):INDEX('Actual-ACPLYixing'!$H$7:$T$207,MATCH($B138,'Actual-ACPLYixing'!$B$7:$B$207,0),MATCH(BF$8,'Actual-ACPLYixing'!$H$6:$T$6,0)))</f>
        <v>0</v>
      </c>
      <c r="BG138" s="749">
        <f>SUM(INDEX('Budget-Yixing'!$K$7:$W$207,MATCH($B138,'Budget-Yixing'!$B$7:$B$207,0),MATCH('Budget-Yixing'!K$6,'Budget-Yixing'!$K$6:$W$6,0)):INDEX('Budget-Yixing'!$K$7:$W$207,MATCH($B138,'Budget-Yixing'!$B$7:$B$207,0),MATCH(BG$8,'Budget-Yixing'!$K$6:$W$6,0)))</f>
        <v>0</v>
      </c>
      <c r="BH138" s="749">
        <f t="shared" si="87"/>
        <v>0</v>
      </c>
      <c r="BI138" s="748"/>
    </row>
    <row r="139" spans="1:61" ht="16.5" customHeight="1">
      <c r="A139" s="653" t="str">
        <f>'Budget-合并'!A137</f>
        <v>6602.12.03</v>
      </c>
      <c r="B139" s="653" t="str">
        <f>'Budget-合并'!B137</f>
        <v>注册地址</v>
      </c>
      <c r="C139" s="746">
        <f>INDEX('Actual-ACPL'!$H$7:$T$207,MATCH($B139,'Actual-ACPL'!$B$7:$B$207,0),MATCH(C$8,'Actual-ACPL'!$H$6:$T$6,0))</f>
        <v>0</v>
      </c>
      <c r="D139" s="746">
        <f>INDEX('Budget-ACPL'!$K$7:$W$207,MATCH($B139,'Budget-ACPL'!$B$7:$B$207,0),MATCH(D$8,'Budget-ACPL'!$K$6:$W$6,0))</f>
        <v>0</v>
      </c>
      <c r="E139" s="746">
        <f t="shared" si="81"/>
        <v>0</v>
      </c>
      <c r="F139" s="752"/>
      <c r="H139" s="749">
        <f>INDEX('Actual-ACPLHK'!$H$7:$T$207,MATCH($B139,'Actual-ACPLHK'!$B$7:$B$207,0),MATCH(H$8,'Actual-ACPLHK'!$H$6:$T$6,0))</f>
        <v>0</v>
      </c>
      <c r="I139" s="749">
        <f>INDEX('Budget-ACPLHK'!$K$7:$W$207,MATCH($B139,'Budget-ACPLHK'!$B$7:$B$207,0),MATCH(I$8,'Budget-ACPLHK'!$K$6:$W$6,0))</f>
        <v>0</v>
      </c>
      <c r="J139" s="749">
        <f t="shared" si="82"/>
        <v>0</v>
      </c>
      <c r="K139" s="748"/>
      <c r="M139" s="749">
        <f>INDEX('Actual-ACPSZL'!$H$7:$T$207,MATCH($B139,'Actual-ACPSZL'!$B$7:$B$207,0),MATCH(M$8,'Actual-ACPSZL'!$H$6:$T$6,0))</f>
        <v>0</v>
      </c>
      <c r="N139" s="749">
        <f>INDEX('Budget-ACPSZL'!$K$7:$W$207,MATCH($B139,'Budget-ACPSZL'!$B$7:$B$207,0),MATCH(N$8,'Budget-ACPSZL'!$K$6:$W$6,0))</f>
        <v>12694.4</v>
      </c>
      <c r="O139" s="749">
        <f t="shared" si="78"/>
        <v>-12694.4</v>
      </c>
      <c r="P139" s="748"/>
      <c r="R139" s="749">
        <f>INDEX('Actual-ACPLSZ'!$H$7:$T$207,MATCH($B139,'Actual-ACPLSZ'!$B$7:$B$207,0),MATCH(R$8,'Actual-ACPLSZ'!$H$6:$T$6,0))</f>
        <v>0</v>
      </c>
      <c r="S139" s="749">
        <f>INDEX('Budget-ACPLSZ'!$K$7:$W$207,MATCH($B139,'Budget-ACPLSZ'!$B$7:$B$207,0),MATCH(S$8,'Budget-ACPLSZ'!$K$6:$W$6,0))</f>
        <v>0</v>
      </c>
      <c r="T139" s="749">
        <f t="shared" si="83"/>
        <v>0</v>
      </c>
      <c r="U139" s="748"/>
      <c r="W139" s="749">
        <f>INDEX('Actual-ACPLGZ'!$H$7:$T$207,MATCH($B139,'Actual-ACPLGZ'!$B$7:$B$207,0),MATCH(W$8,'Actual-ACPLGZ'!$H$6:$T$6,0))</f>
        <v>0</v>
      </c>
      <c r="X139" s="749">
        <f>INDEX('Budget-ACPLGZ'!$K$7:$W$207,MATCH($B139,'Budget-ACPLGZ'!$B$7:$B$207,0),MATCH(X$8,'Budget-ACPLGZ'!$K$6:$W$6,0))</f>
        <v>416.66666666666669</v>
      </c>
      <c r="Y139" s="749">
        <f t="shared" si="79"/>
        <v>-416.66666666666669</v>
      </c>
      <c r="Z139" s="748"/>
      <c r="AB139" s="749">
        <f>INDEX('Actual-ACPLGZ'!$H$7:$T$207,MATCH($B139,'Actual-ACPLGZ'!$B$7:$B$207,0),MATCH(AB$8,'Actual-ACPLGZ'!$H$6:$T$6,0))</f>
        <v>0</v>
      </c>
      <c r="AC139" s="749">
        <f>INDEX('Budget-Yixing'!$K$7:$W$207,MATCH($B139,'Budget-Yixing'!$B$7:$B$207,0),MATCH(AC$8,'Budget-Yixing'!$K$6:$W$6,0))</f>
        <v>0</v>
      </c>
      <c r="AD139" s="749">
        <f t="shared" si="84"/>
        <v>0</v>
      </c>
      <c r="AE139" s="748"/>
      <c r="AG139" s="751">
        <f>SUM(INDEX('Actual-ACPL'!$H$7:$T$207,MATCH($B139,'Actual-ACPL'!$B$7:$B$207,0),MATCH('Actual-ACPL'!H$6,'Actual-ACPL'!$H$6:$T$6,0)):INDEX('Actual-ACPL'!$H$7:$T$207,MATCH($B139,'Actual-ACPL'!$B$7:$B$207,0),MATCH(AG$8,'Actual-ACPL'!$H$6:$T$6,0)))</f>
        <v>0</v>
      </c>
      <c r="AH139" s="749">
        <f>SUM(INDEX('Budget-ACPL'!$K$7:$W$207,MATCH($B139,'Budget-ACPL'!$B$7:$B$207,0),MATCH('Budget-ACPL'!K$6,'Budget-ACPL'!$K$6:$W$6,0)):INDEX('Budget-ACPL'!$K$7:$W$207,MATCH($B139,'Budget-ACPL'!$B$7:$B$207,0),MATCH(AH$8,'Budget-ACPL'!$K$6:$W$6,0)))</f>
        <v>0</v>
      </c>
      <c r="AI139" s="749">
        <f t="shared" si="88"/>
        <v>0</v>
      </c>
      <c r="AJ139" s="748"/>
      <c r="AL139" s="749">
        <f>SUM(INDEX('Actual-ACPLHK'!$H$7:$S$207,MATCH($B139,'Actual-ACPLHK'!$B$7:$B$207,0),MATCH('Actual-ACPLHK'!H$6,'Actual-ACPLHK'!$H$6:$T$6,0)):INDEX('Actual-ACPLHK'!$H$7:$S$207,MATCH($B139,'Actual-ACPLHK'!$B$7:$B$207,0),MATCH(AL$8,'Actual-ACPLHK'!$H$6:$T$6,0)))</f>
        <v>0</v>
      </c>
      <c r="AM139" s="749">
        <f>SUM(INDEX('Budget-ACPLHK'!$K$7:$W$207,MATCH($B139,'Budget-ACPLHK'!$B$7:$B$207,0),MATCH('Budget-ACPLHK'!K$6,'Budget-ACPLHK'!$K$6:$W$6,0)):INDEX('Budget-ACPLHK'!$K$7:$W$207,MATCH($B139,'Budget-ACPLHK'!$B$7:$B$207,0),MATCH(AM$8,'Budget-ACPLHK'!$K$6:$W$6,0)))</f>
        <v>0</v>
      </c>
      <c r="AN139" s="749">
        <f t="shared" si="85"/>
        <v>0</v>
      </c>
      <c r="AO139" s="748"/>
      <c r="AQ139" s="749">
        <f>SUM(INDEX('Actual-ACPSZL'!$H$7:$T$207,MATCH($B139,'Actual-ACPSZL'!$B$7:$B$207,0),MATCH('Actual-ACPSZL'!H$6,'Actual-ACPSZL'!$H$6:$T$6,0)):INDEX('Actual-ACPSZL'!$H$7:$T$207,MATCH($B139,'Actual-ACPSZL'!$B$7:$B$207,0),MATCH(AQ$8,'Actual-ACPSZL'!$H$6:$T$6,0)))</f>
        <v>0</v>
      </c>
      <c r="AR139" s="749">
        <f>SUM(INDEX('Budget-ACPSZL'!$K$7:$W$207,MATCH($B139,'Budget-ACPSZL'!$B$7:$B$207,0),MATCH('Budget-ACPSZL'!K$6,'Budget-ACPSZL'!$K$6:$W$6,0)):INDEX('Budget-ACPSZL'!$K$7:$W$207,MATCH($B139,'Budget-ACPSZL'!$B$7:$B$207,0),MATCH(AR$8,'Budget-ACPSZL'!$K$6:$W$6,0)))</f>
        <v>12694.4</v>
      </c>
      <c r="AS139" s="749">
        <f t="shared" ref="AS139:AS170" si="89">AQ139-AR139</f>
        <v>-12694.4</v>
      </c>
      <c r="AT139" s="748"/>
      <c r="AV139" s="749">
        <f>SUM(INDEX('Actual-ACPLSZ'!$H$7:$T$207,MATCH($B139,'Actual-ACPLSZ'!$B$7:$B$207,0),MATCH('Actual-ACPLSZ'!H$6,'Actual-ACPLSZ'!$H$6:$T$6,0)):INDEX('Actual-ACPLSZ'!$H$7:$T$207,MATCH($B139,'Actual-ACPLSZ'!$B$7:$B$207,0),MATCH(AV$8,'Actual-ACPLSZ'!$H$6:$T$6,0)))</f>
        <v>0</v>
      </c>
      <c r="AW139" s="749">
        <f>SUM(INDEX('Budget-ACPLSZ'!$K$7:$W$207,MATCH($B139,'Budget-ACPLSZ'!$B$7:$B$207,0),MATCH('Budget-ACPLSZ'!K$6,'Budget-ACPLSZ'!$K$6:$W$6,0)):INDEX('Budget-ACPLSZ'!$K$7:$W$207,MATCH($B139,'Budget-ACPLSZ'!$B$7:$B$207,0),MATCH(AW$8,'Budget-ACPLSZ'!$K$6:$W$6,0)))</f>
        <v>0</v>
      </c>
      <c r="AX139" s="749">
        <f t="shared" si="80"/>
        <v>0</v>
      </c>
      <c r="AY139" s="748"/>
      <c r="BA139" s="749">
        <f>SUM(INDEX('Actual-ACPLGZ'!$H$7:$T$207,MATCH($B139,'Actual-ACPLGZ'!$B$7:$B$207,0),MATCH('Actual-ACPLGZ'!H$6,'Actual-ACPLGZ'!$H$6:$T$6,0)):INDEX('Actual-ACPLGZ'!$H$7:$T$207,MATCH($B139,'Actual-ACPLGZ'!$B$7:$B$207,0),MATCH(BA$8,'Actual-ACPLGZ'!$H$6:$T$6,0)))</f>
        <v>0</v>
      </c>
      <c r="BB139" s="749">
        <f>SUM(INDEX('Budget-ACPLGZ'!$K$7:$W$207,MATCH($B139,'Budget-ACPLGZ'!$B$7:$B$207,0),MATCH('Budget-ACPLGZ'!K$6,'Budget-ACPLGZ'!$K$6:$W$6,0)):INDEX('Budget-ACPLGZ'!$K$7:$W$207,MATCH($B139,'Budget-ACPLGZ'!$B$7:$B$207,0),MATCH(BB$8,'Budget-ACPLGZ'!$K$6:$W$6,0)))</f>
        <v>416.66666666666669</v>
      </c>
      <c r="BC139" s="749">
        <f t="shared" si="86"/>
        <v>-416.66666666666669</v>
      </c>
      <c r="BD139" s="748"/>
      <c r="BF139" s="749">
        <f>SUM(INDEX('Actual-ACPLYixing'!$H$7:$T$207,MATCH($B139,'Actual-ACPLYixing'!$B$7:$B$207,0),MATCH('Actual-ACPLYixing'!H$6,'Actual-ACPLYixing'!$H$6:$T$6,0)):INDEX('Actual-ACPLYixing'!$H$7:$T$207,MATCH($B139,'Actual-ACPLYixing'!$B$7:$B$207,0),MATCH(BF$8,'Actual-ACPLYixing'!$H$6:$T$6,0)))</f>
        <v>0</v>
      </c>
      <c r="BG139" s="749">
        <f>SUM(INDEX('Budget-Yixing'!$K$7:$W$207,MATCH($B139,'Budget-Yixing'!$B$7:$B$207,0),MATCH('Budget-Yixing'!K$6,'Budget-Yixing'!$K$6:$W$6,0)):INDEX('Budget-Yixing'!$K$7:$W$207,MATCH($B139,'Budget-Yixing'!$B$7:$B$207,0),MATCH(BG$8,'Budget-Yixing'!$K$6:$W$6,0)))</f>
        <v>0</v>
      </c>
      <c r="BH139" s="749">
        <f t="shared" si="87"/>
        <v>0</v>
      </c>
      <c r="BI139" s="748"/>
    </row>
    <row r="140" spans="1:61" ht="16.5" customHeight="1">
      <c r="A140" s="653" t="str">
        <f>'Budget-合并'!A138</f>
        <v>6602.12.03.01</v>
      </c>
      <c r="B140" s="653" t="str">
        <f>'Budget-合并'!B138</f>
        <v>旭智私募--前海壹号B座701E</v>
      </c>
      <c r="C140" s="746">
        <f>INDEX('Actual-ACPL'!$H$7:$T$207,MATCH($B140,'Actual-ACPL'!$B$7:$B$207,0),MATCH(C$8,'Actual-ACPL'!$H$6:$T$6,0))</f>
        <v>0</v>
      </c>
      <c r="D140" s="746">
        <f>INDEX('Budget-ACPL'!$K$7:$W$207,MATCH($B140,'Budget-ACPL'!$B$7:$B$207,0),MATCH(D$8,'Budget-ACPL'!$K$6:$W$6,0))</f>
        <v>0</v>
      </c>
      <c r="E140" s="746">
        <f t="shared" si="81"/>
        <v>0</v>
      </c>
      <c r="F140" s="752"/>
      <c r="H140" s="749">
        <f>INDEX('Actual-ACPLHK'!$H$7:$T$207,MATCH($B140,'Actual-ACPLHK'!$B$7:$B$207,0),MATCH(H$8,'Actual-ACPLHK'!$H$6:$T$6,0))</f>
        <v>0</v>
      </c>
      <c r="I140" s="749">
        <f>INDEX('Budget-ACPLHK'!$K$7:$W$207,MATCH($B140,'Budget-ACPLHK'!$B$7:$B$207,0),MATCH(I$8,'Budget-ACPLHK'!$K$6:$W$6,0))</f>
        <v>0</v>
      </c>
      <c r="J140" s="749">
        <f t="shared" si="82"/>
        <v>0</v>
      </c>
      <c r="K140" s="748"/>
      <c r="M140" s="749">
        <f>INDEX('Actual-ACPSZL'!$H$7:$T$207,MATCH($B140,'Actual-ACPSZL'!$B$7:$B$207,0),MATCH(M$8,'Actual-ACPSZL'!$H$6:$T$6,0))</f>
        <v>0</v>
      </c>
      <c r="N140" s="749">
        <f>INDEX('Budget-ACPSZL'!$K$7:$W$207,MATCH($B140,'Budget-ACPSZL'!$B$7:$B$207,0),MATCH(N$8,'Budget-ACPSZL'!$K$6:$W$6,0))</f>
        <v>12694.4</v>
      </c>
      <c r="O140" s="749">
        <f t="shared" ref="O140:O171" si="90">M140-N140</f>
        <v>-12694.4</v>
      </c>
      <c r="P140" s="748"/>
      <c r="R140" s="749">
        <f>INDEX('Actual-ACPLSZ'!$H$7:$T$207,MATCH($B140,'Actual-ACPLSZ'!$B$7:$B$207,0),MATCH(R$8,'Actual-ACPLSZ'!$H$6:$T$6,0))</f>
        <v>0</v>
      </c>
      <c r="S140" s="749">
        <f>INDEX('Budget-ACPLSZ'!$K$7:$W$207,MATCH($B140,'Budget-ACPLSZ'!$B$7:$B$207,0),MATCH(S$8,'Budget-ACPLSZ'!$K$6:$W$6,0))</f>
        <v>0</v>
      </c>
      <c r="T140" s="749">
        <f t="shared" si="83"/>
        <v>0</v>
      </c>
      <c r="U140" s="748"/>
      <c r="W140" s="749">
        <f>INDEX('Actual-ACPLGZ'!$H$7:$T$207,MATCH($B140,'Actual-ACPLGZ'!$B$7:$B$207,0),MATCH(W$8,'Actual-ACPLGZ'!$H$6:$T$6,0))</f>
        <v>0</v>
      </c>
      <c r="X140" s="749">
        <f>INDEX('Budget-ACPLGZ'!$K$7:$W$207,MATCH($B140,'Budget-ACPLGZ'!$B$7:$B$207,0),MATCH(X$8,'Budget-ACPLGZ'!$K$6:$W$6,0))</f>
        <v>0</v>
      </c>
      <c r="Y140" s="749">
        <f t="shared" ref="Y140:Y171" si="91">W140-X140</f>
        <v>0</v>
      </c>
      <c r="Z140" s="748"/>
      <c r="AB140" s="749">
        <f>INDEX('Actual-ACPLGZ'!$H$7:$T$207,MATCH($B140,'Actual-ACPLGZ'!$B$7:$B$207,0),MATCH(AB$8,'Actual-ACPLGZ'!$H$6:$T$6,0))</f>
        <v>0</v>
      </c>
      <c r="AC140" s="749">
        <f>INDEX('Budget-Yixing'!$K$7:$W$207,MATCH($B140,'Budget-Yixing'!$B$7:$B$207,0),MATCH(AC$8,'Budget-Yixing'!$K$6:$W$6,0))</f>
        <v>0</v>
      </c>
      <c r="AD140" s="749">
        <f t="shared" si="84"/>
        <v>0</v>
      </c>
      <c r="AE140" s="748"/>
      <c r="AG140" s="751">
        <f>SUM(INDEX('Actual-ACPL'!$H$7:$T$207,MATCH($B140,'Actual-ACPL'!$B$7:$B$207,0),MATCH('Actual-ACPL'!H$6,'Actual-ACPL'!$H$6:$T$6,0)):INDEX('Actual-ACPL'!$H$7:$T$207,MATCH($B140,'Actual-ACPL'!$B$7:$B$207,0),MATCH(AG$8,'Actual-ACPL'!$H$6:$T$6,0)))</f>
        <v>0</v>
      </c>
      <c r="AH140" s="749">
        <f>SUM(INDEX('Budget-ACPL'!$K$7:$W$207,MATCH($B140,'Budget-ACPL'!$B$7:$B$207,0),MATCH('Budget-ACPL'!K$6,'Budget-ACPL'!$K$6:$W$6,0)):INDEX('Budget-ACPL'!$K$7:$W$207,MATCH($B140,'Budget-ACPL'!$B$7:$B$207,0),MATCH(AH$8,'Budget-ACPL'!$K$6:$W$6,0)))</f>
        <v>0</v>
      </c>
      <c r="AI140" s="749">
        <f t="shared" si="88"/>
        <v>0</v>
      </c>
      <c r="AJ140" s="748"/>
      <c r="AL140" s="749">
        <f>SUM(INDEX('Actual-ACPLHK'!$H$7:$S$207,MATCH($B140,'Actual-ACPLHK'!$B$7:$B$207,0),MATCH('Actual-ACPLHK'!H$6,'Actual-ACPLHK'!$H$6:$T$6,0)):INDEX('Actual-ACPLHK'!$H$7:$S$207,MATCH($B140,'Actual-ACPLHK'!$B$7:$B$207,0),MATCH(AL$8,'Actual-ACPLHK'!$H$6:$T$6,0)))</f>
        <v>0</v>
      </c>
      <c r="AM140" s="749">
        <f>SUM(INDEX('Budget-ACPLHK'!$K$7:$W$207,MATCH($B140,'Budget-ACPLHK'!$B$7:$B$207,0),MATCH('Budget-ACPLHK'!K$6,'Budget-ACPLHK'!$K$6:$W$6,0)):INDEX('Budget-ACPLHK'!$K$7:$W$207,MATCH($B140,'Budget-ACPLHK'!$B$7:$B$207,0),MATCH(AM$8,'Budget-ACPLHK'!$K$6:$W$6,0)))</f>
        <v>0</v>
      </c>
      <c r="AN140" s="749">
        <f t="shared" si="85"/>
        <v>0</v>
      </c>
      <c r="AO140" s="748"/>
      <c r="AQ140" s="749">
        <f>SUM(INDEX('Actual-ACPSZL'!$H$7:$T$207,MATCH($B140,'Actual-ACPSZL'!$B$7:$B$207,0),MATCH('Actual-ACPSZL'!H$6,'Actual-ACPSZL'!$H$6:$T$6,0)):INDEX('Actual-ACPSZL'!$H$7:$T$207,MATCH($B140,'Actual-ACPSZL'!$B$7:$B$207,0),MATCH(AQ$8,'Actual-ACPSZL'!$H$6:$T$6,0)))</f>
        <v>0</v>
      </c>
      <c r="AR140" s="749">
        <f>SUM(INDEX('Budget-ACPSZL'!$K$7:$W$207,MATCH($B140,'Budget-ACPSZL'!$B$7:$B$207,0),MATCH('Budget-ACPSZL'!K$6,'Budget-ACPSZL'!$K$6:$W$6,0)):INDEX('Budget-ACPSZL'!$K$7:$W$207,MATCH($B140,'Budget-ACPSZL'!$B$7:$B$207,0),MATCH(AR$8,'Budget-ACPSZL'!$K$6:$W$6,0)))</f>
        <v>12694.4</v>
      </c>
      <c r="AS140" s="749">
        <f t="shared" si="89"/>
        <v>-12694.4</v>
      </c>
      <c r="AT140" s="748"/>
      <c r="AV140" s="749">
        <f>SUM(INDEX('Actual-ACPLSZ'!$H$7:$T$207,MATCH($B140,'Actual-ACPLSZ'!$B$7:$B$207,0),MATCH('Actual-ACPLSZ'!H$6,'Actual-ACPLSZ'!$H$6:$T$6,0)):INDEX('Actual-ACPLSZ'!$H$7:$T$207,MATCH($B140,'Actual-ACPLSZ'!$B$7:$B$207,0),MATCH(AV$8,'Actual-ACPLSZ'!$H$6:$T$6,0)))</f>
        <v>0</v>
      </c>
      <c r="AW140" s="749">
        <f>SUM(INDEX('Budget-ACPLSZ'!$K$7:$W$207,MATCH($B140,'Budget-ACPLSZ'!$B$7:$B$207,0),MATCH('Budget-ACPLSZ'!K$6,'Budget-ACPLSZ'!$K$6:$W$6,0)):INDEX('Budget-ACPLSZ'!$K$7:$W$207,MATCH($B140,'Budget-ACPLSZ'!$B$7:$B$207,0),MATCH(AW$8,'Budget-ACPLSZ'!$K$6:$W$6,0)))</f>
        <v>0</v>
      </c>
      <c r="AX140" s="749">
        <f t="shared" ref="AX140:AX171" si="92">AV140-AW140</f>
        <v>0</v>
      </c>
      <c r="AY140" s="748"/>
      <c r="BA140" s="749">
        <f>SUM(INDEX('Actual-ACPLGZ'!$H$7:$T$207,MATCH($B140,'Actual-ACPLGZ'!$B$7:$B$207,0),MATCH('Actual-ACPLGZ'!H$6,'Actual-ACPLGZ'!$H$6:$T$6,0)):INDEX('Actual-ACPLGZ'!$H$7:$T$207,MATCH($B140,'Actual-ACPLGZ'!$B$7:$B$207,0),MATCH(BA$8,'Actual-ACPLGZ'!$H$6:$T$6,0)))</f>
        <v>0</v>
      </c>
      <c r="BB140" s="749">
        <f>SUM(INDEX('Budget-ACPLGZ'!$K$7:$W$207,MATCH($B140,'Budget-ACPLGZ'!$B$7:$B$207,0),MATCH('Budget-ACPLGZ'!K$6,'Budget-ACPLGZ'!$K$6:$W$6,0)):INDEX('Budget-ACPLGZ'!$K$7:$W$207,MATCH($B140,'Budget-ACPLGZ'!$B$7:$B$207,0),MATCH(BB$8,'Budget-ACPLGZ'!$K$6:$W$6,0)))</f>
        <v>0</v>
      </c>
      <c r="BC140" s="749">
        <f t="shared" si="86"/>
        <v>0</v>
      </c>
      <c r="BD140" s="748"/>
      <c r="BF140" s="749">
        <f>SUM(INDEX('Actual-ACPLYixing'!$H$7:$T$207,MATCH($B140,'Actual-ACPLYixing'!$B$7:$B$207,0),MATCH('Actual-ACPLYixing'!H$6,'Actual-ACPLYixing'!$H$6:$T$6,0)):INDEX('Actual-ACPLYixing'!$H$7:$T$207,MATCH($B140,'Actual-ACPLYixing'!$B$7:$B$207,0),MATCH(BF$8,'Actual-ACPLYixing'!$H$6:$T$6,0)))</f>
        <v>0</v>
      </c>
      <c r="BG140" s="749">
        <f>SUM(INDEX('Budget-Yixing'!$K$7:$W$207,MATCH($B140,'Budget-Yixing'!$B$7:$B$207,0),MATCH('Budget-Yixing'!K$6,'Budget-Yixing'!$K$6:$W$6,0)):INDEX('Budget-Yixing'!$K$7:$W$207,MATCH($B140,'Budget-Yixing'!$B$7:$B$207,0),MATCH(BG$8,'Budget-Yixing'!$K$6:$W$6,0)))</f>
        <v>0</v>
      </c>
      <c r="BH140" s="749">
        <f t="shared" si="87"/>
        <v>0</v>
      </c>
      <c r="BI140" s="748"/>
    </row>
    <row r="141" spans="1:61" ht="16.5" customHeight="1">
      <c r="A141" s="653" t="str">
        <f>'Budget-合并'!A139</f>
        <v>6602.12.03.02</v>
      </c>
      <c r="B141" s="653" t="str">
        <f>'Budget-合并'!B139</f>
        <v>广州旭智--802房F028</v>
      </c>
      <c r="C141" s="746">
        <f>INDEX('Actual-ACPL'!$H$7:$T$207,MATCH($B141,'Actual-ACPL'!$B$7:$B$207,0),MATCH(C$8,'Actual-ACPL'!$H$6:$T$6,0))</f>
        <v>0</v>
      </c>
      <c r="D141" s="746">
        <f>INDEX('Budget-ACPL'!$K$7:$W$207,MATCH($B141,'Budget-ACPL'!$B$7:$B$207,0),MATCH(D$8,'Budget-ACPL'!$K$6:$W$6,0))</f>
        <v>0</v>
      </c>
      <c r="E141" s="746">
        <f t="shared" si="81"/>
        <v>0</v>
      </c>
      <c r="F141" s="752"/>
      <c r="H141" s="749">
        <f>INDEX('Actual-ACPLHK'!$H$7:$T$207,MATCH($B141,'Actual-ACPLHK'!$B$7:$B$207,0),MATCH(H$8,'Actual-ACPLHK'!$H$6:$T$6,0))</f>
        <v>0</v>
      </c>
      <c r="I141" s="749">
        <f>INDEX('Budget-ACPLHK'!$K$7:$W$207,MATCH($B141,'Budget-ACPLHK'!$B$7:$B$207,0),MATCH(I$8,'Budget-ACPLHK'!$K$6:$W$6,0))</f>
        <v>0</v>
      </c>
      <c r="J141" s="749">
        <f t="shared" si="82"/>
        <v>0</v>
      </c>
      <c r="K141" s="748"/>
      <c r="M141" s="749">
        <f>INDEX('Actual-ACPSZL'!$H$7:$T$207,MATCH($B141,'Actual-ACPSZL'!$B$7:$B$207,0),MATCH(M$8,'Actual-ACPSZL'!$H$6:$T$6,0))</f>
        <v>0</v>
      </c>
      <c r="N141" s="749">
        <f>INDEX('Budget-ACPSZL'!$K$7:$W$207,MATCH($B141,'Budget-ACPSZL'!$B$7:$B$207,0),MATCH(N$8,'Budget-ACPSZL'!$K$6:$W$6,0))</f>
        <v>0</v>
      </c>
      <c r="O141" s="749">
        <f t="shared" si="90"/>
        <v>0</v>
      </c>
      <c r="P141" s="748"/>
      <c r="R141" s="749">
        <f>INDEX('Actual-ACPLSZ'!$H$7:$T$207,MATCH($B141,'Actual-ACPLSZ'!$B$7:$B$207,0),MATCH(R$8,'Actual-ACPLSZ'!$H$6:$T$6,0))</f>
        <v>0</v>
      </c>
      <c r="S141" s="749">
        <f>INDEX('Budget-ACPLSZ'!$K$7:$W$207,MATCH($B141,'Budget-ACPLSZ'!$B$7:$B$207,0),MATCH(S$8,'Budget-ACPLSZ'!$K$6:$W$6,0))</f>
        <v>0</v>
      </c>
      <c r="T141" s="749">
        <f t="shared" si="83"/>
        <v>0</v>
      </c>
      <c r="U141" s="748"/>
      <c r="W141" s="749">
        <f>INDEX('Actual-ACPLGZ'!$H$7:$T$207,MATCH($B141,'Actual-ACPLGZ'!$B$7:$B$207,0),MATCH(W$8,'Actual-ACPLGZ'!$H$6:$T$6,0))</f>
        <v>0</v>
      </c>
      <c r="X141" s="749">
        <f>INDEX('Budget-ACPLGZ'!$K$7:$W$207,MATCH($B141,'Budget-ACPLGZ'!$B$7:$B$207,0),MATCH(X$8,'Budget-ACPLGZ'!$K$6:$W$6,0))</f>
        <v>416.66666666666669</v>
      </c>
      <c r="Y141" s="749">
        <f t="shared" si="91"/>
        <v>-416.66666666666669</v>
      </c>
      <c r="Z141" s="748"/>
      <c r="AB141" s="749">
        <f>INDEX('Actual-ACPLGZ'!$H$7:$T$207,MATCH($B141,'Actual-ACPLGZ'!$B$7:$B$207,0),MATCH(AB$8,'Actual-ACPLGZ'!$H$6:$T$6,0))</f>
        <v>0</v>
      </c>
      <c r="AC141" s="749">
        <f>INDEX('Budget-Yixing'!$K$7:$W$207,MATCH($B141,'Budget-Yixing'!$B$7:$B$207,0),MATCH(AC$8,'Budget-Yixing'!$K$6:$W$6,0))</f>
        <v>0</v>
      </c>
      <c r="AD141" s="749">
        <f t="shared" si="84"/>
        <v>0</v>
      </c>
      <c r="AE141" s="748"/>
      <c r="AG141" s="751">
        <f>SUM(INDEX('Actual-ACPL'!$H$7:$T$207,MATCH($B141,'Actual-ACPL'!$B$7:$B$207,0),MATCH('Actual-ACPL'!H$6,'Actual-ACPL'!$H$6:$T$6,0)):INDEX('Actual-ACPL'!$H$7:$T$207,MATCH($B141,'Actual-ACPL'!$B$7:$B$207,0),MATCH(AG$8,'Actual-ACPL'!$H$6:$T$6,0)))</f>
        <v>0</v>
      </c>
      <c r="AH141" s="749">
        <f>SUM(INDEX('Budget-ACPL'!$K$7:$W$207,MATCH($B141,'Budget-ACPL'!$B$7:$B$207,0),MATCH('Budget-ACPL'!K$6,'Budget-ACPL'!$K$6:$W$6,0)):INDEX('Budget-ACPL'!$K$7:$W$207,MATCH($B141,'Budget-ACPL'!$B$7:$B$207,0),MATCH(AH$8,'Budget-ACPL'!$K$6:$W$6,0)))</f>
        <v>0</v>
      </c>
      <c r="AI141" s="749">
        <f t="shared" si="88"/>
        <v>0</v>
      </c>
      <c r="AJ141" s="748"/>
      <c r="AL141" s="749">
        <f>SUM(INDEX('Actual-ACPLHK'!$H$7:$S$207,MATCH($B141,'Actual-ACPLHK'!$B$7:$B$207,0),MATCH('Actual-ACPLHK'!H$6,'Actual-ACPLHK'!$H$6:$T$6,0)):INDEX('Actual-ACPLHK'!$H$7:$S$207,MATCH($B141,'Actual-ACPLHK'!$B$7:$B$207,0),MATCH(AL$8,'Actual-ACPLHK'!$H$6:$T$6,0)))</f>
        <v>0</v>
      </c>
      <c r="AM141" s="749">
        <f>SUM(INDEX('Budget-ACPLHK'!$K$7:$W$207,MATCH($B141,'Budget-ACPLHK'!$B$7:$B$207,0),MATCH('Budget-ACPLHK'!K$6,'Budget-ACPLHK'!$K$6:$W$6,0)):INDEX('Budget-ACPLHK'!$K$7:$W$207,MATCH($B141,'Budget-ACPLHK'!$B$7:$B$207,0),MATCH(AM$8,'Budget-ACPLHK'!$K$6:$W$6,0)))</f>
        <v>0</v>
      </c>
      <c r="AN141" s="749">
        <f t="shared" si="85"/>
        <v>0</v>
      </c>
      <c r="AO141" s="748"/>
      <c r="AQ141" s="749">
        <f>SUM(INDEX('Actual-ACPSZL'!$H$7:$T$207,MATCH($B141,'Actual-ACPSZL'!$B$7:$B$207,0),MATCH('Actual-ACPSZL'!H$6,'Actual-ACPSZL'!$H$6:$T$6,0)):INDEX('Actual-ACPSZL'!$H$7:$T$207,MATCH($B141,'Actual-ACPSZL'!$B$7:$B$207,0),MATCH(AQ$8,'Actual-ACPSZL'!$H$6:$T$6,0)))</f>
        <v>0</v>
      </c>
      <c r="AR141" s="749">
        <f>SUM(INDEX('Budget-ACPSZL'!$K$7:$W$207,MATCH($B141,'Budget-ACPSZL'!$B$7:$B$207,0),MATCH('Budget-ACPSZL'!K$6,'Budget-ACPSZL'!$K$6:$W$6,0)):INDEX('Budget-ACPSZL'!$K$7:$W$207,MATCH($B141,'Budget-ACPSZL'!$B$7:$B$207,0),MATCH(AR$8,'Budget-ACPSZL'!$K$6:$W$6,0)))</f>
        <v>0</v>
      </c>
      <c r="AS141" s="749">
        <f t="shared" si="89"/>
        <v>0</v>
      </c>
      <c r="AT141" s="748"/>
      <c r="AV141" s="749">
        <f>SUM(INDEX('Actual-ACPLSZ'!$H$7:$T$207,MATCH($B141,'Actual-ACPLSZ'!$B$7:$B$207,0),MATCH('Actual-ACPLSZ'!H$6,'Actual-ACPLSZ'!$H$6:$T$6,0)):INDEX('Actual-ACPLSZ'!$H$7:$T$207,MATCH($B141,'Actual-ACPLSZ'!$B$7:$B$207,0),MATCH(AV$8,'Actual-ACPLSZ'!$H$6:$T$6,0)))</f>
        <v>0</v>
      </c>
      <c r="AW141" s="749">
        <f>SUM(INDEX('Budget-ACPLSZ'!$K$7:$W$207,MATCH($B141,'Budget-ACPLSZ'!$B$7:$B$207,0),MATCH('Budget-ACPLSZ'!K$6,'Budget-ACPLSZ'!$K$6:$W$6,0)):INDEX('Budget-ACPLSZ'!$K$7:$W$207,MATCH($B141,'Budget-ACPLSZ'!$B$7:$B$207,0),MATCH(AW$8,'Budget-ACPLSZ'!$K$6:$W$6,0)))</f>
        <v>0</v>
      </c>
      <c r="AX141" s="749">
        <f t="shared" si="92"/>
        <v>0</v>
      </c>
      <c r="AY141" s="748"/>
      <c r="BA141" s="749">
        <f>SUM(INDEX('Actual-ACPLGZ'!$H$7:$T$207,MATCH($B141,'Actual-ACPLGZ'!$B$7:$B$207,0),MATCH('Actual-ACPLGZ'!H$6,'Actual-ACPLGZ'!$H$6:$T$6,0)):INDEX('Actual-ACPLGZ'!$H$7:$T$207,MATCH($B141,'Actual-ACPLGZ'!$B$7:$B$207,0),MATCH(BA$8,'Actual-ACPLGZ'!$H$6:$T$6,0)))</f>
        <v>0</v>
      </c>
      <c r="BB141" s="749">
        <f>SUM(INDEX('Budget-ACPLGZ'!$K$7:$W$207,MATCH($B141,'Budget-ACPLGZ'!$B$7:$B$207,0),MATCH('Budget-ACPLGZ'!K$6,'Budget-ACPLGZ'!$K$6:$W$6,0)):INDEX('Budget-ACPLGZ'!$K$7:$W$207,MATCH($B141,'Budget-ACPLGZ'!$B$7:$B$207,0),MATCH(BB$8,'Budget-ACPLGZ'!$K$6:$W$6,0)))</f>
        <v>416.66666666666669</v>
      </c>
      <c r="BC141" s="749">
        <f t="shared" si="86"/>
        <v>-416.66666666666669</v>
      </c>
      <c r="BD141" s="748"/>
      <c r="BF141" s="749">
        <f>SUM(INDEX('Actual-ACPLYixing'!$H$7:$T$207,MATCH($B141,'Actual-ACPLYixing'!$B$7:$B$207,0),MATCH('Actual-ACPLYixing'!H$6,'Actual-ACPLYixing'!$H$6:$T$6,0)):INDEX('Actual-ACPLYixing'!$H$7:$T$207,MATCH($B141,'Actual-ACPLYixing'!$B$7:$B$207,0),MATCH(BF$8,'Actual-ACPLYixing'!$H$6:$T$6,0)))</f>
        <v>0</v>
      </c>
      <c r="BG141" s="749">
        <f>SUM(INDEX('Budget-Yixing'!$K$7:$W$207,MATCH($B141,'Budget-Yixing'!$B$7:$B$207,0),MATCH('Budget-Yixing'!K$6,'Budget-Yixing'!$K$6:$W$6,0)):INDEX('Budget-Yixing'!$K$7:$W$207,MATCH($B141,'Budget-Yixing'!$B$7:$B$207,0),MATCH(BG$8,'Budget-Yixing'!$K$6:$W$6,0)))</f>
        <v>0</v>
      </c>
      <c r="BH141" s="749">
        <f t="shared" si="87"/>
        <v>0</v>
      </c>
      <c r="BI141" s="748"/>
    </row>
    <row r="142" spans="1:61" ht="16.5" customHeight="1">
      <c r="A142" s="653" t="str">
        <f>'Budget-合并'!A140</f>
        <v>6602.13</v>
      </c>
      <c r="B142" s="653" t="str">
        <f>'Budget-合并'!B140</f>
        <v>物业管理费</v>
      </c>
      <c r="C142" s="746">
        <f>INDEX('Actual-ACPL'!$H$7:$T$207,MATCH($B142,'Actual-ACPL'!$B$7:$B$207,0),MATCH(C$8,'Actual-ACPL'!$H$6:$T$6,0))</f>
        <v>0</v>
      </c>
      <c r="D142" s="746">
        <f>INDEX('Budget-ACPL'!$K$7:$W$207,MATCH($B142,'Budget-ACPL'!$B$7:$B$207,0),MATCH(D$8,'Budget-ACPL'!$K$6:$W$6,0))</f>
        <v>0</v>
      </c>
      <c r="E142" s="746">
        <f t="shared" si="81"/>
        <v>0</v>
      </c>
      <c r="F142" s="752"/>
      <c r="H142" s="749">
        <f>INDEX('Actual-ACPLHK'!$H$7:$T$207,MATCH($B142,'Actual-ACPLHK'!$B$7:$B$207,0),MATCH(H$8,'Actual-ACPLHK'!$H$6:$T$6,0))</f>
        <v>0</v>
      </c>
      <c r="I142" s="749">
        <f>INDEX('Budget-ACPLHK'!$K$7:$W$207,MATCH($B142,'Budget-ACPLHK'!$B$7:$B$207,0),MATCH(I$8,'Budget-ACPLHK'!$K$6:$W$6,0))</f>
        <v>0</v>
      </c>
      <c r="J142" s="749">
        <f t="shared" si="82"/>
        <v>0</v>
      </c>
      <c r="K142" s="748"/>
      <c r="M142" s="749">
        <f>INDEX('Actual-ACPSZL'!$H$7:$T$207,MATCH($B142,'Actual-ACPSZL'!$B$7:$B$207,0),MATCH(M$8,'Actual-ACPSZL'!$H$6:$T$6,0))</f>
        <v>0</v>
      </c>
      <c r="N142" s="749">
        <f>INDEX('Budget-ACPSZL'!$K$7:$W$207,MATCH($B142,'Budget-ACPSZL'!$B$7:$B$207,0),MATCH(N$8,'Budget-ACPSZL'!$K$6:$W$6,0))</f>
        <v>0</v>
      </c>
      <c r="O142" s="749">
        <f t="shared" si="90"/>
        <v>0</v>
      </c>
      <c r="P142" s="748"/>
      <c r="R142" s="749">
        <f>INDEX('Actual-ACPLSZ'!$H$7:$T$207,MATCH($B142,'Actual-ACPLSZ'!$B$7:$B$207,0),MATCH(R$8,'Actual-ACPLSZ'!$H$6:$T$6,0))</f>
        <v>0</v>
      </c>
      <c r="S142" s="749">
        <f>INDEX('Budget-ACPLSZ'!$K$7:$W$207,MATCH($B142,'Budget-ACPLSZ'!$B$7:$B$207,0),MATCH(S$8,'Budget-ACPLSZ'!$K$6:$W$6,0))</f>
        <v>0</v>
      </c>
      <c r="T142" s="749">
        <f t="shared" si="83"/>
        <v>0</v>
      </c>
      <c r="U142" s="748"/>
      <c r="W142" s="749">
        <f>INDEX('Actual-ACPLGZ'!$H$7:$T$207,MATCH($B142,'Actual-ACPLGZ'!$B$7:$B$207,0),MATCH(W$8,'Actual-ACPLGZ'!$H$6:$T$6,0))</f>
        <v>0</v>
      </c>
      <c r="X142" s="749">
        <f>INDEX('Budget-ACPLGZ'!$K$7:$W$207,MATCH($B142,'Budget-ACPLGZ'!$B$7:$B$207,0),MATCH(X$8,'Budget-ACPLGZ'!$K$6:$W$6,0))</f>
        <v>0</v>
      </c>
      <c r="Y142" s="749">
        <f t="shared" si="91"/>
        <v>0</v>
      </c>
      <c r="Z142" s="748"/>
      <c r="AB142" s="749">
        <f>INDEX('Actual-ACPLGZ'!$H$7:$T$207,MATCH($B142,'Actual-ACPLGZ'!$B$7:$B$207,0),MATCH(AB$8,'Actual-ACPLGZ'!$H$6:$T$6,0))</f>
        <v>0</v>
      </c>
      <c r="AC142" s="749">
        <f>INDEX('Budget-Yixing'!$K$7:$W$207,MATCH($B142,'Budget-Yixing'!$B$7:$B$207,0),MATCH(AC$8,'Budget-Yixing'!$K$6:$W$6,0))</f>
        <v>0</v>
      </c>
      <c r="AD142" s="749">
        <f t="shared" si="84"/>
        <v>0</v>
      </c>
      <c r="AE142" s="748"/>
      <c r="AG142" s="751">
        <f>SUM(INDEX('Actual-ACPL'!$H$7:$T$207,MATCH($B142,'Actual-ACPL'!$B$7:$B$207,0),MATCH('Actual-ACPL'!H$6,'Actual-ACPL'!$H$6:$T$6,0)):INDEX('Actual-ACPL'!$H$7:$T$207,MATCH($B142,'Actual-ACPL'!$B$7:$B$207,0),MATCH(AG$8,'Actual-ACPL'!$H$6:$T$6,0)))</f>
        <v>0</v>
      </c>
      <c r="AH142" s="749">
        <f>SUM(INDEX('Budget-ACPL'!$K$7:$W$207,MATCH($B142,'Budget-ACPL'!$B$7:$B$207,0),MATCH('Budget-ACPL'!K$6,'Budget-ACPL'!$K$6:$W$6,0)):INDEX('Budget-ACPL'!$K$7:$W$207,MATCH($B142,'Budget-ACPL'!$B$7:$B$207,0),MATCH(AH$8,'Budget-ACPL'!$K$6:$W$6,0)))</f>
        <v>0</v>
      </c>
      <c r="AI142" s="749">
        <f t="shared" si="88"/>
        <v>0</v>
      </c>
      <c r="AJ142" s="748"/>
      <c r="AL142" s="749">
        <f>SUM(INDEX('Actual-ACPLHK'!$H$7:$S$207,MATCH($B142,'Actual-ACPLHK'!$B$7:$B$207,0),MATCH('Actual-ACPLHK'!H$6,'Actual-ACPLHK'!$H$6:$T$6,0)):INDEX('Actual-ACPLHK'!$H$7:$S$207,MATCH($B142,'Actual-ACPLHK'!$B$7:$B$207,0),MATCH(AL$8,'Actual-ACPLHK'!$H$6:$T$6,0)))</f>
        <v>0</v>
      </c>
      <c r="AM142" s="749">
        <f>SUM(INDEX('Budget-ACPLHK'!$K$7:$W$207,MATCH($B142,'Budget-ACPLHK'!$B$7:$B$207,0),MATCH('Budget-ACPLHK'!K$6,'Budget-ACPLHK'!$K$6:$W$6,0)):INDEX('Budget-ACPLHK'!$K$7:$W$207,MATCH($B142,'Budget-ACPLHK'!$B$7:$B$207,0),MATCH(AM$8,'Budget-ACPLHK'!$K$6:$W$6,0)))</f>
        <v>0</v>
      </c>
      <c r="AN142" s="749">
        <f t="shared" si="85"/>
        <v>0</v>
      </c>
      <c r="AO142" s="748"/>
      <c r="AQ142" s="749">
        <f>SUM(INDEX('Actual-ACPSZL'!$H$7:$T$207,MATCH($B142,'Actual-ACPSZL'!$B$7:$B$207,0),MATCH('Actual-ACPSZL'!H$6,'Actual-ACPSZL'!$H$6:$T$6,0)):INDEX('Actual-ACPSZL'!$H$7:$T$207,MATCH($B142,'Actual-ACPSZL'!$B$7:$B$207,0),MATCH(AQ$8,'Actual-ACPSZL'!$H$6:$T$6,0)))</f>
        <v>0</v>
      </c>
      <c r="AR142" s="749">
        <f>SUM(INDEX('Budget-ACPSZL'!$K$7:$W$207,MATCH($B142,'Budget-ACPSZL'!$B$7:$B$207,0),MATCH('Budget-ACPSZL'!K$6,'Budget-ACPSZL'!$K$6:$W$6,0)):INDEX('Budget-ACPSZL'!$K$7:$W$207,MATCH($B142,'Budget-ACPSZL'!$B$7:$B$207,0),MATCH(AR$8,'Budget-ACPSZL'!$K$6:$W$6,0)))</f>
        <v>0</v>
      </c>
      <c r="AS142" s="749">
        <f t="shared" si="89"/>
        <v>0</v>
      </c>
      <c r="AT142" s="748"/>
      <c r="AV142" s="749">
        <f>SUM(INDEX('Actual-ACPLSZ'!$H$7:$T$207,MATCH($B142,'Actual-ACPLSZ'!$B$7:$B$207,0),MATCH('Actual-ACPLSZ'!H$6,'Actual-ACPLSZ'!$H$6:$T$6,0)):INDEX('Actual-ACPLSZ'!$H$7:$T$207,MATCH($B142,'Actual-ACPLSZ'!$B$7:$B$207,0),MATCH(AV$8,'Actual-ACPLSZ'!$H$6:$T$6,0)))</f>
        <v>0</v>
      </c>
      <c r="AW142" s="749">
        <f>SUM(INDEX('Budget-ACPLSZ'!$K$7:$W$207,MATCH($B142,'Budget-ACPLSZ'!$B$7:$B$207,0),MATCH('Budget-ACPLSZ'!K$6,'Budget-ACPLSZ'!$K$6:$W$6,0)):INDEX('Budget-ACPLSZ'!$K$7:$W$207,MATCH($B142,'Budget-ACPLSZ'!$B$7:$B$207,0),MATCH(AW$8,'Budget-ACPLSZ'!$K$6:$W$6,0)))</f>
        <v>0</v>
      </c>
      <c r="AX142" s="749">
        <f t="shared" si="92"/>
        <v>0</v>
      </c>
      <c r="AY142" s="748"/>
      <c r="BA142" s="749">
        <f>SUM(INDEX('Actual-ACPLGZ'!$H$7:$T$207,MATCH($B142,'Actual-ACPLGZ'!$B$7:$B$207,0),MATCH('Actual-ACPLGZ'!H$6,'Actual-ACPLGZ'!$H$6:$T$6,0)):INDEX('Actual-ACPLGZ'!$H$7:$T$207,MATCH($B142,'Actual-ACPLGZ'!$B$7:$B$207,0),MATCH(BA$8,'Actual-ACPLGZ'!$H$6:$T$6,0)))</f>
        <v>0</v>
      </c>
      <c r="BB142" s="749">
        <f>SUM(INDEX('Budget-ACPLGZ'!$K$7:$W$207,MATCH($B142,'Budget-ACPLGZ'!$B$7:$B$207,0),MATCH('Budget-ACPLGZ'!K$6,'Budget-ACPLGZ'!$K$6:$W$6,0)):INDEX('Budget-ACPLGZ'!$K$7:$W$207,MATCH($B142,'Budget-ACPLGZ'!$B$7:$B$207,0),MATCH(BB$8,'Budget-ACPLGZ'!$K$6:$W$6,0)))</f>
        <v>0</v>
      </c>
      <c r="BC142" s="749">
        <f t="shared" si="86"/>
        <v>0</v>
      </c>
      <c r="BD142" s="748"/>
      <c r="BF142" s="749">
        <f>SUM(INDEX('Actual-ACPLYixing'!$H$7:$T$207,MATCH($B142,'Actual-ACPLYixing'!$B$7:$B$207,0),MATCH('Actual-ACPLYixing'!H$6,'Actual-ACPLYixing'!$H$6:$T$6,0)):INDEX('Actual-ACPLYixing'!$H$7:$T$207,MATCH($B142,'Actual-ACPLYixing'!$B$7:$B$207,0),MATCH(BF$8,'Actual-ACPLYixing'!$H$6:$T$6,0)))</f>
        <v>0</v>
      </c>
      <c r="BG142" s="749">
        <f>SUM(INDEX('Budget-Yixing'!$K$7:$W$207,MATCH($B142,'Budget-Yixing'!$B$7:$B$207,0),MATCH('Budget-Yixing'!K$6,'Budget-Yixing'!$K$6:$W$6,0)):INDEX('Budget-Yixing'!$K$7:$W$207,MATCH($B142,'Budget-Yixing'!$B$7:$B$207,0),MATCH(BG$8,'Budget-Yixing'!$K$6:$W$6,0)))</f>
        <v>0</v>
      </c>
      <c r="BH142" s="749">
        <f t="shared" si="87"/>
        <v>0</v>
      </c>
      <c r="BI142" s="748"/>
    </row>
    <row r="143" spans="1:61" ht="16.5" customHeight="1">
      <c r="A143" s="653" t="str">
        <f>'Budget-合并'!A141</f>
        <v>6602.14</v>
      </c>
      <c r="B143" s="653" t="str">
        <f>'Budget-合并'!B141</f>
        <v>修理费</v>
      </c>
      <c r="C143" s="746">
        <f>INDEX('Actual-ACPL'!$H$7:$T$207,MATCH($B143,'Actual-ACPL'!$B$7:$B$207,0),MATCH(C$8,'Actual-ACPL'!$H$6:$T$6,0))</f>
        <v>0</v>
      </c>
      <c r="D143" s="746">
        <f>INDEX('Budget-ACPL'!$K$7:$W$207,MATCH($B143,'Budget-ACPL'!$B$7:$B$207,0),MATCH(D$8,'Budget-ACPL'!$K$6:$W$6,0))</f>
        <v>0</v>
      </c>
      <c r="E143" s="746">
        <f t="shared" si="81"/>
        <v>0</v>
      </c>
      <c r="F143" s="752"/>
      <c r="H143" s="749">
        <f>INDEX('Actual-ACPLHK'!$H$7:$T$207,MATCH($B143,'Actual-ACPLHK'!$B$7:$B$207,0),MATCH(H$8,'Actual-ACPLHK'!$H$6:$T$6,0))</f>
        <v>0</v>
      </c>
      <c r="I143" s="749">
        <f>INDEX('Budget-ACPLHK'!$K$7:$W$207,MATCH($B143,'Budget-ACPLHK'!$B$7:$B$207,0),MATCH(I$8,'Budget-ACPLHK'!$K$6:$W$6,0))</f>
        <v>0</v>
      </c>
      <c r="J143" s="749">
        <f t="shared" si="82"/>
        <v>0</v>
      </c>
      <c r="K143" s="748"/>
      <c r="M143" s="749">
        <f>INDEX('Actual-ACPSZL'!$H$7:$T$207,MATCH($B143,'Actual-ACPSZL'!$B$7:$B$207,0),MATCH(M$8,'Actual-ACPSZL'!$H$6:$T$6,0))</f>
        <v>0</v>
      </c>
      <c r="N143" s="749">
        <f>INDEX('Budget-ACPSZL'!$K$7:$W$207,MATCH($B143,'Budget-ACPSZL'!$B$7:$B$207,0),MATCH(N$8,'Budget-ACPSZL'!$K$6:$W$6,0))</f>
        <v>0</v>
      </c>
      <c r="O143" s="749">
        <f t="shared" si="90"/>
        <v>0</v>
      </c>
      <c r="P143" s="748"/>
      <c r="R143" s="749">
        <f>INDEX('Actual-ACPLSZ'!$H$7:$T$207,MATCH($B143,'Actual-ACPLSZ'!$B$7:$B$207,0),MATCH(R$8,'Actual-ACPLSZ'!$H$6:$T$6,0))</f>
        <v>0</v>
      </c>
      <c r="S143" s="749">
        <f>INDEX('Budget-ACPLSZ'!$K$7:$W$207,MATCH($B143,'Budget-ACPLSZ'!$B$7:$B$207,0),MATCH(S$8,'Budget-ACPLSZ'!$K$6:$W$6,0))</f>
        <v>0</v>
      </c>
      <c r="T143" s="749">
        <f t="shared" si="83"/>
        <v>0</v>
      </c>
      <c r="U143" s="748"/>
      <c r="W143" s="749">
        <f>INDEX('Actual-ACPLGZ'!$H$7:$T$207,MATCH($B143,'Actual-ACPLGZ'!$B$7:$B$207,0),MATCH(W$8,'Actual-ACPLGZ'!$H$6:$T$6,0))</f>
        <v>0</v>
      </c>
      <c r="X143" s="749">
        <f>INDEX('Budget-ACPLGZ'!$K$7:$W$207,MATCH($B143,'Budget-ACPLGZ'!$B$7:$B$207,0),MATCH(X$8,'Budget-ACPLGZ'!$K$6:$W$6,0))</f>
        <v>0</v>
      </c>
      <c r="Y143" s="749">
        <f t="shared" si="91"/>
        <v>0</v>
      </c>
      <c r="Z143" s="748"/>
      <c r="AB143" s="749">
        <f>INDEX('Actual-ACPLGZ'!$H$7:$T$207,MATCH($B143,'Actual-ACPLGZ'!$B$7:$B$207,0),MATCH(AB$8,'Actual-ACPLGZ'!$H$6:$T$6,0))</f>
        <v>0</v>
      </c>
      <c r="AC143" s="749">
        <f>INDEX('Budget-Yixing'!$K$7:$W$207,MATCH($B143,'Budget-Yixing'!$B$7:$B$207,0),MATCH(AC$8,'Budget-Yixing'!$K$6:$W$6,0))</f>
        <v>0</v>
      </c>
      <c r="AD143" s="749">
        <f t="shared" si="84"/>
        <v>0</v>
      </c>
      <c r="AE143" s="748"/>
      <c r="AG143" s="751">
        <f>SUM(INDEX('Actual-ACPL'!$H$7:$T$207,MATCH($B143,'Actual-ACPL'!$B$7:$B$207,0),MATCH('Actual-ACPL'!H$6,'Actual-ACPL'!$H$6:$T$6,0)):INDEX('Actual-ACPL'!$H$7:$T$207,MATCH($B143,'Actual-ACPL'!$B$7:$B$207,0),MATCH(AG$8,'Actual-ACPL'!$H$6:$T$6,0)))</f>
        <v>0</v>
      </c>
      <c r="AH143" s="749">
        <f>SUM(INDEX('Budget-ACPL'!$K$7:$W$207,MATCH($B143,'Budget-ACPL'!$B$7:$B$207,0),MATCH('Budget-ACPL'!K$6,'Budget-ACPL'!$K$6:$W$6,0)):INDEX('Budget-ACPL'!$K$7:$W$207,MATCH($B143,'Budget-ACPL'!$B$7:$B$207,0),MATCH(AH$8,'Budget-ACPL'!$K$6:$W$6,0)))</f>
        <v>0</v>
      </c>
      <c r="AI143" s="749">
        <f t="shared" si="88"/>
        <v>0</v>
      </c>
      <c r="AJ143" s="748"/>
      <c r="AL143" s="749">
        <f>SUM(INDEX('Actual-ACPLHK'!$H$7:$S$207,MATCH($B143,'Actual-ACPLHK'!$B$7:$B$207,0),MATCH('Actual-ACPLHK'!H$6,'Actual-ACPLHK'!$H$6:$T$6,0)):INDEX('Actual-ACPLHK'!$H$7:$S$207,MATCH($B143,'Actual-ACPLHK'!$B$7:$B$207,0),MATCH(AL$8,'Actual-ACPLHK'!$H$6:$T$6,0)))</f>
        <v>0</v>
      </c>
      <c r="AM143" s="749">
        <f>SUM(INDEX('Budget-ACPLHK'!$K$7:$W$207,MATCH($B143,'Budget-ACPLHK'!$B$7:$B$207,0),MATCH('Budget-ACPLHK'!K$6,'Budget-ACPLHK'!$K$6:$W$6,0)):INDEX('Budget-ACPLHK'!$K$7:$W$207,MATCH($B143,'Budget-ACPLHK'!$B$7:$B$207,0),MATCH(AM$8,'Budget-ACPLHK'!$K$6:$W$6,0)))</f>
        <v>0</v>
      </c>
      <c r="AN143" s="749">
        <f t="shared" si="85"/>
        <v>0</v>
      </c>
      <c r="AO143" s="748"/>
      <c r="AQ143" s="749">
        <f>SUM(INDEX('Actual-ACPSZL'!$H$7:$T$207,MATCH($B143,'Actual-ACPSZL'!$B$7:$B$207,0),MATCH('Actual-ACPSZL'!H$6,'Actual-ACPSZL'!$H$6:$T$6,0)):INDEX('Actual-ACPSZL'!$H$7:$T$207,MATCH($B143,'Actual-ACPSZL'!$B$7:$B$207,0),MATCH(AQ$8,'Actual-ACPSZL'!$H$6:$T$6,0)))</f>
        <v>0</v>
      </c>
      <c r="AR143" s="749">
        <f>SUM(INDEX('Budget-ACPSZL'!$K$7:$W$207,MATCH($B143,'Budget-ACPSZL'!$B$7:$B$207,0),MATCH('Budget-ACPSZL'!K$6,'Budget-ACPSZL'!$K$6:$W$6,0)):INDEX('Budget-ACPSZL'!$K$7:$W$207,MATCH($B143,'Budget-ACPSZL'!$B$7:$B$207,0),MATCH(AR$8,'Budget-ACPSZL'!$K$6:$W$6,0)))</f>
        <v>0</v>
      </c>
      <c r="AS143" s="749">
        <f t="shared" si="89"/>
        <v>0</v>
      </c>
      <c r="AT143" s="748"/>
      <c r="AV143" s="749">
        <f>SUM(INDEX('Actual-ACPLSZ'!$H$7:$T$207,MATCH($B143,'Actual-ACPLSZ'!$B$7:$B$207,0),MATCH('Actual-ACPLSZ'!H$6,'Actual-ACPLSZ'!$H$6:$T$6,0)):INDEX('Actual-ACPLSZ'!$H$7:$T$207,MATCH($B143,'Actual-ACPLSZ'!$B$7:$B$207,0),MATCH(AV$8,'Actual-ACPLSZ'!$H$6:$T$6,0)))</f>
        <v>0</v>
      </c>
      <c r="AW143" s="749">
        <f>SUM(INDEX('Budget-ACPLSZ'!$K$7:$W$207,MATCH($B143,'Budget-ACPLSZ'!$B$7:$B$207,0),MATCH('Budget-ACPLSZ'!K$6,'Budget-ACPLSZ'!$K$6:$W$6,0)):INDEX('Budget-ACPLSZ'!$K$7:$W$207,MATCH($B143,'Budget-ACPLSZ'!$B$7:$B$207,0),MATCH(AW$8,'Budget-ACPLSZ'!$K$6:$W$6,0)))</f>
        <v>0</v>
      </c>
      <c r="AX143" s="749">
        <f t="shared" si="92"/>
        <v>0</v>
      </c>
      <c r="AY143" s="748"/>
      <c r="BA143" s="749">
        <f>SUM(INDEX('Actual-ACPLGZ'!$H$7:$T$207,MATCH($B143,'Actual-ACPLGZ'!$B$7:$B$207,0),MATCH('Actual-ACPLGZ'!H$6,'Actual-ACPLGZ'!$H$6:$T$6,0)):INDEX('Actual-ACPLGZ'!$H$7:$T$207,MATCH($B143,'Actual-ACPLGZ'!$B$7:$B$207,0),MATCH(BA$8,'Actual-ACPLGZ'!$H$6:$T$6,0)))</f>
        <v>0</v>
      </c>
      <c r="BB143" s="749">
        <f>SUM(INDEX('Budget-ACPLGZ'!$K$7:$W$207,MATCH($B143,'Budget-ACPLGZ'!$B$7:$B$207,0),MATCH('Budget-ACPLGZ'!K$6,'Budget-ACPLGZ'!$K$6:$W$6,0)):INDEX('Budget-ACPLGZ'!$K$7:$W$207,MATCH($B143,'Budget-ACPLGZ'!$B$7:$B$207,0),MATCH(BB$8,'Budget-ACPLGZ'!$K$6:$W$6,0)))</f>
        <v>0</v>
      </c>
      <c r="BC143" s="749">
        <f t="shared" si="86"/>
        <v>0</v>
      </c>
      <c r="BD143" s="748"/>
      <c r="BF143" s="749">
        <f>SUM(INDEX('Actual-ACPLYixing'!$H$7:$T$207,MATCH($B143,'Actual-ACPLYixing'!$B$7:$B$207,0),MATCH('Actual-ACPLYixing'!H$6,'Actual-ACPLYixing'!$H$6:$T$6,0)):INDEX('Actual-ACPLYixing'!$H$7:$T$207,MATCH($B143,'Actual-ACPLYixing'!$B$7:$B$207,0),MATCH(BF$8,'Actual-ACPLYixing'!$H$6:$T$6,0)))</f>
        <v>0</v>
      </c>
      <c r="BG143" s="749">
        <f>SUM(INDEX('Budget-Yixing'!$K$7:$W$207,MATCH($B143,'Budget-Yixing'!$B$7:$B$207,0),MATCH('Budget-Yixing'!K$6,'Budget-Yixing'!$K$6:$W$6,0)):INDEX('Budget-Yixing'!$K$7:$W$207,MATCH($B143,'Budget-Yixing'!$B$7:$B$207,0),MATCH(BG$8,'Budget-Yixing'!$K$6:$W$6,0)))</f>
        <v>0</v>
      </c>
      <c r="BH143" s="749">
        <f t="shared" si="87"/>
        <v>0</v>
      </c>
      <c r="BI143" s="748"/>
    </row>
    <row r="144" spans="1:61" ht="16.5" customHeight="1">
      <c r="A144" s="653" t="str">
        <f>'Budget-合并'!A142</f>
        <v>6602.15</v>
      </c>
      <c r="B144" s="653" t="str">
        <f>'Budget-合并'!B142</f>
        <v>服务费</v>
      </c>
      <c r="C144" s="746">
        <f>INDEX('Actual-ACPL'!$H$7:$T$207,MATCH($B144,'Actual-ACPL'!$B$7:$B$207,0),MATCH(C$8,'Actual-ACPL'!$H$6:$T$6,0))</f>
        <v>0</v>
      </c>
      <c r="D144" s="746">
        <f>INDEX('Budget-ACPL'!$K$7:$W$207,MATCH($B144,'Budget-ACPL'!$B$7:$B$207,0),MATCH(D$8,'Budget-ACPL'!$K$6:$W$6,0))</f>
        <v>0</v>
      </c>
      <c r="E144" s="746">
        <f t="shared" si="81"/>
        <v>0</v>
      </c>
      <c r="F144" s="752"/>
      <c r="H144" s="749">
        <f>INDEX('Actual-ACPLHK'!$H$7:$T$207,MATCH($B144,'Actual-ACPLHK'!$B$7:$B$207,0),MATCH(H$8,'Actual-ACPLHK'!$H$6:$T$6,0))</f>
        <v>0</v>
      </c>
      <c r="I144" s="749">
        <f>INDEX('Budget-ACPLHK'!$K$7:$W$207,MATCH($B144,'Budget-ACPLHK'!$B$7:$B$207,0),MATCH(I$8,'Budget-ACPLHK'!$K$6:$W$6,0))</f>
        <v>0</v>
      </c>
      <c r="J144" s="749">
        <f t="shared" si="82"/>
        <v>0</v>
      </c>
      <c r="K144" s="748"/>
      <c r="M144" s="749">
        <f>INDEX('Actual-ACPSZL'!$H$7:$T$207,MATCH($B144,'Actual-ACPSZL'!$B$7:$B$207,0),MATCH(M$8,'Actual-ACPSZL'!$H$6:$T$6,0))</f>
        <v>0</v>
      </c>
      <c r="N144" s="749">
        <f>INDEX('Budget-ACPSZL'!$K$7:$W$207,MATCH($B144,'Budget-ACPSZL'!$B$7:$B$207,0),MATCH(N$8,'Budget-ACPSZL'!$K$6:$W$6,0))</f>
        <v>833.33333333333337</v>
      </c>
      <c r="O144" s="749">
        <f t="shared" si="90"/>
        <v>-833.33333333333337</v>
      </c>
      <c r="P144" s="748"/>
      <c r="R144" s="749">
        <f>INDEX('Actual-ACPLSZ'!$H$7:$T$207,MATCH($B144,'Actual-ACPLSZ'!$B$7:$B$207,0),MATCH(R$8,'Actual-ACPLSZ'!$H$6:$T$6,0))</f>
        <v>0</v>
      </c>
      <c r="S144" s="749">
        <f>INDEX('Budget-ACPLSZ'!$K$7:$W$207,MATCH($B144,'Budget-ACPLSZ'!$B$7:$B$207,0),MATCH(S$8,'Budget-ACPLSZ'!$K$6:$W$6,0))</f>
        <v>0</v>
      </c>
      <c r="T144" s="749">
        <f t="shared" si="83"/>
        <v>0</v>
      </c>
      <c r="U144" s="748"/>
      <c r="W144" s="749">
        <f>INDEX('Actual-ACPLGZ'!$H$7:$T$207,MATCH($B144,'Actual-ACPLGZ'!$B$7:$B$207,0),MATCH(W$8,'Actual-ACPLGZ'!$H$6:$T$6,0))</f>
        <v>0</v>
      </c>
      <c r="X144" s="749">
        <f>INDEX('Budget-ACPLGZ'!$K$7:$W$207,MATCH($B144,'Budget-ACPLGZ'!$B$7:$B$207,0),MATCH(X$8,'Budget-ACPLGZ'!$K$6:$W$6,0))</f>
        <v>0</v>
      </c>
      <c r="Y144" s="749">
        <f t="shared" si="91"/>
        <v>0</v>
      </c>
      <c r="Z144" s="748"/>
      <c r="AB144" s="749">
        <f>INDEX('Actual-ACPLGZ'!$H$7:$T$207,MATCH($B144,'Actual-ACPLGZ'!$B$7:$B$207,0),MATCH(AB$8,'Actual-ACPLGZ'!$H$6:$T$6,0))</f>
        <v>0</v>
      </c>
      <c r="AC144" s="749">
        <f>INDEX('Budget-Yixing'!$K$7:$W$207,MATCH($B144,'Budget-Yixing'!$B$7:$B$207,0),MATCH(AC$8,'Budget-Yixing'!$K$6:$W$6,0))</f>
        <v>0</v>
      </c>
      <c r="AD144" s="749">
        <f t="shared" si="84"/>
        <v>0</v>
      </c>
      <c r="AE144" s="748"/>
      <c r="AG144" s="751">
        <f>SUM(INDEX('Actual-ACPL'!$H$7:$T$207,MATCH($B144,'Actual-ACPL'!$B$7:$B$207,0),MATCH('Actual-ACPL'!H$6,'Actual-ACPL'!$H$6:$T$6,0)):INDEX('Actual-ACPL'!$H$7:$T$207,MATCH($B144,'Actual-ACPL'!$B$7:$B$207,0),MATCH(AG$8,'Actual-ACPL'!$H$6:$T$6,0)))</f>
        <v>0</v>
      </c>
      <c r="AH144" s="749">
        <f>SUM(INDEX('Budget-ACPL'!$K$7:$W$207,MATCH($B144,'Budget-ACPL'!$B$7:$B$207,0),MATCH('Budget-ACPL'!K$6,'Budget-ACPL'!$K$6:$W$6,0)):INDEX('Budget-ACPL'!$K$7:$W$207,MATCH($B144,'Budget-ACPL'!$B$7:$B$207,0),MATCH(AH$8,'Budget-ACPL'!$K$6:$W$6,0)))</f>
        <v>0</v>
      </c>
      <c r="AI144" s="749">
        <f t="shared" si="88"/>
        <v>0</v>
      </c>
      <c r="AJ144" s="748"/>
      <c r="AL144" s="749">
        <f>SUM(INDEX('Actual-ACPLHK'!$H$7:$S$207,MATCH($B144,'Actual-ACPLHK'!$B$7:$B$207,0),MATCH('Actual-ACPLHK'!H$6,'Actual-ACPLHK'!$H$6:$T$6,0)):INDEX('Actual-ACPLHK'!$H$7:$S$207,MATCH($B144,'Actual-ACPLHK'!$B$7:$B$207,0),MATCH(AL$8,'Actual-ACPLHK'!$H$6:$T$6,0)))</f>
        <v>0</v>
      </c>
      <c r="AM144" s="749">
        <f>SUM(INDEX('Budget-ACPLHK'!$K$7:$W$207,MATCH($B144,'Budget-ACPLHK'!$B$7:$B$207,0),MATCH('Budget-ACPLHK'!K$6,'Budget-ACPLHK'!$K$6:$W$6,0)):INDEX('Budget-ACPLHK'!$K$7:$W$207,MATCH($B144,'Budget-ACPLHK'!$B$7:$B$207,0),MATCH(AM$8,'Budget-ACPLHK'!$K$6:$W$6,0)))</f>
        <v>0</v>
      </c>
      <c r="AN144" s="749">
        <f t="shared" si="85"/>
        <v>0</v>
      </c>
      <c r="AO144" s="748"/>
      <c r="AQ144" s="749">
        <f>SUM(INDEX('Actual-ACPSZL'!$H$7:$T$207,MATCH($B144,'Actual-ACPSZL'!$B$7:$B$207,0),MATCH('Actual-ACPSZL'!H$6,'Actual-ACPSZL'!$H$6:$T$6,0)):INDEX('Actual-ACPSZL'!$H$7:$T$207,MATCH($B144,'Actual-ACPSZL'!$B$7:$B$207,0),MATCH(AQ$8,'Actual-ACPSZL'!$H$6:$T$6,0)))</f>
        <v>0</v>
      </c>
      <c r="AR144" s="749">
        <f>SUM(INDEX('Budget-ACPSZL'!$K$7:$W$207,MATCH($B144,'Budget-ACPSZL'!$B$7:$B$207,0),MATCH('Budget-ACPSZL'!K$6,'Budget-ACPSZL'!$K$6:$W$6,0)):INDEX('Budget-ACPSZL'!$K$7:$W$207,MATCH($B144,'Budget-ACPSZL'!$B$7:$B$207,0),MATCH(AR$8,'Budget-ACPSZL'!$K$6:$W$6,0)))</f>
        <v>833.33333333333337</v>
      </c>
      <c r="AS144" s="749">
        <f t="shared" si="89"/>
        <v>-833.33333333333337</v>
      </c>
      <c r="AT144" s="748"/>
      <c r="AV144" s="749">
        <f>SUM(INDEX('Actual-ACPLSZ'!$H$7:$T$207,MATCH($B144,'Actual-ACPLSZ'!$B$7:$B$207,0),MATCH('Actual-ACPLSZ'!H$6,'Actual-ACPLSZ'!$H$6:$T$6,0)):INDEX('Actual-ACPLSZ'!$H$7:$T$207,MATCH($B144,'Actual-ACPLSZ'!$B$7:$B$207,0),MATCH(AV$8,'Actual-ACPLSZ'!$H$6:$T$6,0)))</f>
        <v>0</v>
      </c>
      <c r="AW144" s="749">
        <f>SUM(INDEX('Budget-ACPLSZ'!$K$7:$W$207,MATCH($B144,'Budget-ACPLSZ'!$B$7:$B$207,0),MATCH('Budget-ACPLSZ'!K$6,'Budget-ACPLSZ'!$K$6:$W$6,0)):INDEX('Budget-ACPLSZ'!$K$7:$W$207,MATCH($B144,'Budget-ACPLSZ'!$B$7:$B$207,0),MATCH(AW$8,'Budget-ACPLSZ'!$K$6:$W$6,0)))</f>
        <v>0</v>
      </c>
      <c r="AX144" s="749">
        <f t="shared" si="92"/>
        <v>0</v>
      </c>
      <c r="AY144" s="748"/>
      <c r="BA144" s="749">
        <f>SUM(INDEX('Actual-ACPLGZ'!$H$7:$T$207,MATCH($B144,'Actual-ACPLGZ'!$B$7:$B$207,0),MATCH('Actual-ACPLGZ'!H$6,'Actual-ACPLGZ'!$H$6:$T$6,0)):INDEX('Actual-ACPLGZ'!$H$7:$T$207,MATCH($B144,'Actual-ACPLGZ'!$B$7:$B$207,0),MATCH(BA$8,'Actual-ACPLGZ'!$H$6:$T$6,0)))</f>
        <v>0</v>
      </c>
      <c r="BB144" s="749">
        <f>SUM(INDEX('Budget-ACPLGZ'!$K$7:$W$207,MATCH($B144,'Budget-ACPLGZ'!$B$7:$B$207,0),MATCH('Budget-ACPLGZ'!K$6,'Budget-ACPLGZ'!$K$6:$W$6,0)):INDEX('Budget-ACPLGZ'!$K$7:$W$207,MATCH($B144,'Budget-ACPLGZ'!$B$7:$B$207,0),MATCH(BB$8,'Budget-ACPLGZ'!$K$6:$W$6,0)))</f>
        <v>0</v>
      </c>
      <c r="BC144" s="749">
        <f t="shared" si="86"/>
        <v>0</v>
      </c>
      <c r="BD144" s="748"/>
      <c r="BF144" s="749">
        <f>SUM(INDEX('Actual-ACPLYixing'!$H$7:$T$207,MATCH($B144,'Actual-ACPLYixing'!$B$7:$B$207,0),MATCH('Actual-ACPLYixing'!H$6,'Actual-ACPLYixing'!$H$6:$T$6,0)):INDEX('Actual-ACPLYixing'!$H$7:$T$207,MATCH($B144,'Actual-ACPLYixing'!$B$7:$B$207,0),MATCH(BF$8,'Actual-ACPLYixing'!$H$6:$T$6,0)))</f>
        <v>0</v>
      </c>
      <c r="BG144" s="749">
        <f>SUM(INDEX('Budget-Yixing'!$K$7:$W$207,MATCH($B144,'Budget-Yixing'!$B$7:$B$207,0),MATCH('Budget-Yixing'!K$6,'Budget-Yixing'!$K$6:$W$6,0)):INDEX('Budget-Yixing'!$K$7:$W$207,MATCH($B144,'Budget-Yixing'!$B$7:$B$207,0),MATCH(BG$8,'Budget-Yixing'!$K$6:$W$6,0)))</f>
        <v>0</v>
      </c>
      <c r="BH144" s="749">
        <f t="shared" si="87"/>
        <v>0</v>
      </c>
      <c r="BI144" s="748"/>
    </row>
    <row r="145" spans="1:61" ht="16.5" customHeight="1">
      <c r="A145" s="653" t="str">
        <f>'Budget-合并'!A143</f>
        <v>6602.16</v>
      </c>
      <c r="B145" s="653" t="str">
        <f>'Budget-合并'!B143</f>
        <v>董事会费</v>
      </c>
      <c r="C145" s="746">
        <f>INDEX('Actual-ACPL'!$H$7:$T$207,MATCH($B145,'Actual-ACPL'!$B$7:$B$207,0),MATCH(C$8,'Actual-ACPL'!$H$6:$T$6,0))</f>
        <v>0</v>
      </c>
      <c r="D145" s="746">
        <f>INDEX('Budget-ACPL'!$K$7:$W$207,MATCH($B145,'Budget-ACPL'!$B$7:$B$207,0),MATCH(D$8,'Budget-ACPL'!$K$6:$W$6,0))</f>
        <v>0</v>
      </c>
      <c r="E145" s="746">
        <f t="shared" si="81"/>
        <v>0</v>
      </c>
      <c r="F145" s="752"/>
      <c r="H145" s="749">
        <f>INDEX('Actual-ACPLHK'!$H$7:$T$207,MATCH($B145,'Actual-ACPLHK'!$B$7:$B$207,0),MATCH(H$8,'Actual-ACPLHK'!$H$6:$T$6,0))</f>
        <v>0</v>
      </c>
      <c r="I145" s="749">
        <f>INDEX('Budget-ACPLHK'!$K$7:$W$207,MATCH($B145,'Budget-ACPLHK'!$B$7:$B$207,0),MATCH(I$8,'Budget-ACPLHK'!$K$6:$W$6,0))</f>
        <v>0</v>
      </c>
      <c r="J145" s="749">
        <f t="shared" si="82"/>
        <v>0</v>
      </c>
      <c r="K145" s="748"/>
      <c r="M145" s="749">
        <f>INDEX('Actual-ACPSZL'!$H$7:$T$207,MATCH($B145,'Actual-ACPSZL'!$B$7:$B$207,0),MATCH(M$8,'Actual-ACPSZL'!$H$6:$T$6,0))</f>
        <v>0</v>
      </c>
      <c r="N145" s="749">
        <f>INDEX('Budget-ACPSZL'!$K$7:$W$207,MATCH($B145,'Budget-ACPSZL'!$B$7:$B$207,0),MATCH(N$8,'Budget-ACPSZL'!$K$6:$W$6,0))</f>
        <v>0</v>
      </c>
      <c r="O145" s="749">
        <f t="shared" si="90"/>
        <v>0</v>
      </c>
      <c r="P145" s="748"/>
      <c r="R145" s="749">
        <f>INDEX('Actual-ACPLSZ'!$H$7:$T$207,MATCH($B145,'Actual-ACPLSZ'!$B$7:$B$207,0),MATCH(R$8,'Actual-ACPLSZ'!$H$6:$T$6,0))</f>
        <v>0</v>
      </c>
      <c r="S145" s="749">
        <f>INDEX('Budget-ACPLSZ'!$K$7:$W$207,MATCH($B145,'Budget-ACPLSZ'!$B$7:$B$207,0),MATCH(S$8,'Budget-ACPLSZ'!$K$6:$W$6,0))</f>
        <v>0</v>
      </c>
      <c r="T145" s="749">
        <f t="shared" si="83"/>
        <v>0</v>
      </c>
      <c r="U145" s="748"/>
      <c r="W145" s="749">
        <f>INDEX('Actual-ACPLGZ'!$H$7:$T$207,MATCH($B145,'Actual-ACPLGZ'!$B$7:$B$207,0),MATCH(W$8,'Actual-ACPLGZ'!$H$6:$T$6,0))</f>
        <v>0</v>
      </c>
      <c r="X145" s="749">
        <f>INDEX('Budget-ACPLGZ'!$K$7:$W$207,MATCH($B145,'Budget-ACPLGZ'!$B$7:$B$207,0),MATCH(X$8,'Budget-ACPLGZ'!$K$6:$W$6,0))</f>
        <v>0</v>
      </c>
      <c r="Y145" s="749">
        <f t="shared" si="91"/>
        <v>0</v>
      </c>
      <c r="Z145" s="748"/>
      <c r="AB145" s="749">
        <f>INDEX('Actual-ACPLGZ'!$H$7:$T$207,MATCH($B145,'Actual-ACPLGZ'!$B$7:$B$207,0),MATCH(AB$8,'Actual-ACPLGZ'!$H$6:$T$6,0))</f>
        <v>0</v>
      </c>
      <c r="AC145" s="749">
        <f>INDEX('Budget-Yixing'!$K$7:$W$207,MATCH($B145,'Budget-Yixing'!$B$7:$B$207,0),MATCH(AC$8,'Budget-Yixing'!$K$6:$W$6,0))</f>
        <v>0</v>
      </c>
      <c r="AD145" s="749">
        <f t="shared" si="84"/>
        <v>0</v>
      </c>
      <c r="AE145" s="748"/>
      <c r="AG145" s="751">
        <f>SUM(INDEX('Actual-ACPL'!$H$7:$T$207,MATCH($B145,'Actual-ACPL'!$B$7:$B$207,0),MATCH('Actual-ACPL'!H$6,'Actual-ACPL'!$H$6:$T$6,0)):INDEX('Actual-ACPL'!$H$7:$T$207,MATCH($B145,'Actual-ACPL'!$B$7:$B$207,0),MATCH(AG$8,'Actual-ACPL'!$H$6:$T$6,0)))</f>
        <v>0</v>
      </c>
      <c r="AH145" s="749">
        <f>SUM(INDEX('Budget-ACPL'!$K$7:$W$207,MATCH($B145,'Budget-ACPL'!$B$7:$B$207,0),MATCH('Budget-ACPL'!K$6,'Budget-ACPL'!$K$6:$W$6,0)):INDEX('Budget-ACPL'!$K$7:$W$207,MATCH($B145,'Budget-ACPL'!$B$7:$B$207,0),MATCH(AH$8,'Budget-ACPL'!$K$6:$W$6,0)))</f>
        <v>0</v>
      </c>
      <c r="AI145" s="749">
        <f t="shared" si="88"/>
        <v>0</v>
      </c>
      <c r="AJ145" s="748"/>
      <c r="AL145" s="749">
        <f>SUM(INDEX('Actual-ACPLHK'!$H$7:$S$207,MATCH($B145,'Actual-ACPLHK'!$B$7:$B$207,0),MATCH('Actual-ACPLHK'!H$6,'Actual-ACPLHK'!$H$6:$T$6,0)):INDEX('Actual-ACPLHK'!$H$7:$S$207,MATCH($B145,'Actual-ACPLHK'!$B$7:$B$207,0),MATCH(AL$8,'Actual-ACPLHK'!$H$6:$T$6,0)))</f>
        <v>0</v>
      </c>
      <c r="AM145" s="749">
        <f>SUM(INDEX('Budget-ACPLHK'!$K$7:$W$207,MATCH($B145,'Budget-ACPLHK'!$B$7:$B$207,0),MATCH('Budget-ACPLHK'!K$6,'Budget-ACPLHK'!$K$6:$W$6,0)):INDEX('Budget-ACPLHK'!$K$7:$W$207,MATCH($B145,'Budget-ACPLHK'!$B$7:$B$207,0),MATCH(AM$8,'Budget-ACPLHK'!$K$6:$W$6,0)))</f>
        <v>0</v>
      </c>
      <c r="AN145" s="749">
        <f t="shared" si="85"/>
        <v>0</v>
      </c>
      <c r="AO145" s="748"/>
      <c r="AQ145" s="749">
        <f>SUM(INDEX('Actual-ACPSZL'!$H$7:$T$207,MATCH($B145,'Actual-ACPSZL'!$B$7:$B$207,0),MATCH('Actual-ACPSZL'!H$6,'Actual-ACPSZL'!$H$6:$T$6,0)):INDEX('Actual-ACPSZL'!$H$7:$T$207,MATCH($B145,'Actual-ACPSZL'!$B$7:$B$207,0),MATCH(AQ$8,'Actual-ACPSZL'!$H$6:$T$6,0)))</f>
        <v>0</v>
      </c>
      <c r="AR145" s="749">
        <f>SUM(INDEX('Budget-ACPSZL'!$K$7:$W$207,MATCH($B145,'Budget-ACPSZL'!$B$7:$B$207,0),MATCH('Budget-ACPSZL'!K$6,'Budget-ACPSZL'!$K$6:$W$6,0)):INDEX('Budget-ACPSZL'!$K$7:$W$207,MATCH($B145,'Budget-ACPSZL'!$B$7:$B$207,0),MATCH(AR$8,'Budget-ACPSZL'!$K$6:$W$6,0)))</f>
        <v>0</v>
      </c>
      <c r="AS145" s="749">
        <f t="shared" si="89"/>
        <v>0</v>
      </c>
      <c r="AT145" s="748"/>
      <c r="AV145" s="749">
        <f>SUM(INDEX('Actual-ACPLSZ'!$H$7:$T$207,MATCH($B145,'Actual-ACPLSZ'!$B$7:$B$207,0),MATCH('Actual-ACPLSZ'!H$6,'Actual-ACPLSZ'!$H$6:$T$6,0)):INDEX('Actual-ACPLSZ'!$H$7:$T$207,MATCH($B145,'Actual-ACPLSZ'!$B$7:$B$207,0),MATCH(AV$8,'Actual-ACPLSZ'!$H$6:$T$6,0)))</f>
        <v>0</v>
      </c>
      <c r="AW145" s="749">
        <f>SUM(INDEX('Budget-ACPLSZ'!$K$7:$W$207,MATCH($B145,'Budget-ACPLSZ'!$B$7:$B$207,0),MATCH('Budget-ACPLSZ'!K$6,'Budget-ACPLSZ'!$K$6:$W$6,0)):INDEX('Budget-ACPLSZ'!$K$7:$W$207,MATCH($B145,'Budget-ACPLSZ'!$B$7:$B$207,0),MATCH(AW$8,'Budget-ACPLSZ'!$K$6:$W$6,0)))</f>
        <v>0</v>
      </c>
      <c r="AX145" s="749">
        <f t="shared" si="92"/>
        <v>0</v>
      </c>
      <c r="AY145" s="748"/>
      <c r="BA145" s="749">
        <f>SUM(INDEX('Actual-ACPLGZ'!$H$7:$T$207,MATCH($B145,'Actual-ACPLGZ'!$B$7:$B$207,0),MATCH('Actual-ACPLGZ'!H$6,'Actual-ACPLGZ'!$H$6:$T$6,0)):INDEX('Actual-ACPLGZ'!$H$7:$T$207,MATCH($B145,'Actual-ACPLGZ'!$B$7:$B$207,0),MATCH(BA$8,'Actual-ACPLGZ'!$H$6:$T$6,0)))</f>
        <v>0</v>
      </c>
      <c r="BB145" s="749">
        <f>SUM(INDEX('Budget-ACPLGZ'!$K$7:$W$207,MATCH($B145,'Budget-ACPLGZ'!$B$7:$B$207,0),MATCH('Budget-ACPLGZ'!K$6,'Budget-ACPLGZ'!$K$6:$W$6,0)):INDEX('Budget-ACPLGZ'!$K$7:$W$207,MATCH($B145,'Budget-ACPLGZ'!$B$7:$B$207,0),MATCH(BB$8,'Budget-ACPLGZ'!$K$6:$W$6,0)))</f>
        <v>0</v>
      </c>
      <c r="BC145" s="749">
        <f t="shared" si="86"/>
        <v>0</v>
      </c>
      <c r="BD145" s="748"/>
      <c r="BF145" s="749">
        <f>SUM(INDEX('Actual-ACPLYixing'!$H$7:$T$207,MATCH($B145,'Actual-ACPLYixing'!$B$7:$B$207,0),MATCH('Actual-ACPLYixing'!H$6,'Actual-ACPLYixing'!$H$6:$T$6,0)):INDEX('Actual-ACPLYixing'!$H$7:$T$207,MATCH($B145,'Actual-ACPLYixing'!$B$7:$B$207,0),MATCH(BF$8,'Actual-ACPLYixing'!$H$6:$T$6,0)))</f>
        <v>0</v>
      </c>
      <c r="BG145" s="749">
        <f>SUM(INDEX('Budget-Yixing'!$K$7:$W$207,MATCH($B145,'Budget-Yixing'!$B$7:$B$207,0),MATCH('Budget-Yixing'!K$6,'Budget-Yixing'!$K$6:$W$6,0)):INDEX('Budget-Yixing'!$K$7:$W$207,MATCH($B145,'Budget-Yixing'!$B$7:$B$207,0),MATCH(BG$8,'Budget-Yixing'!$K$6:$W$6,0)))</f>
        <v>0</v>
      </c>
      <c r="BH145" s="749">
        <f t="shared" si="87"/>
        <v>0</v>
      </c>
      <c r="BI145" s="748"/>
    </row>
    <row r="146" spans="1:61" ht="16.5" customHeight="1">
      <c r="A146" s="653" t="str">
        <f>'Budget-合并'!A144</f>
        <v>6602.17</v>
      </c>
      <c r="B146" s="653" t="str">
        <f>'Budget-合并'!B144</f>
        <v>聘请中介机构费</v>
      </c>
      <c r="C146" s="746">
        <f>INDEX('Actual-ACPL'!$H$7:$T$207,MATCH($B146,'Actual-ACPL'!$B$7:$B$207,0),MATCH(C$8,'Actual-ACPL'!$H$6:$T$6,0))</f>
        <v>0</v>
      </c>
      <c r="D146" s="746">
        <f>INDEX('Budget-ACPL'!$K$7:$W$207,MATCH($B146,'Budget-ACPL'!$B$7:$B$207,0),MATCH(D$8,'Budget-ACPL'!$K$6:$W$6,0))</f>
        <v>0</v>
      </c>
      <c r="E146" s="746">
        <f t="shared" si="81"/>
        <v>0</v>
      </c>
      <c r="F146" s="752"/>
      <c r="H146" s="749">
        <f>INDEX('Actual-ACPLHK'!$H$7:$T$207,MATCH($B146,'Actual-ACPLHK'!$B$7:$B$207,0),MATCH(H$8,'Actual-ACPLHK'!$H$6:$T$6,0))</f>
        <v>0</v>
      </c>
      <c r="I146" s="749">
        <f>INDEX('Budget-ACPLHK'!$K$7:$W$207,MATCH($B146,'Budget-ACPLHK'!$B$7:$B$207,0),MATCH(I$8,'Budget-ACPLHK'!$K$6:$W$6,0))</f>
        <v>0</v>
      </c>
      <c r="J146" s="749">
        <f t="shared" si="82"/>
        <v>0</v>
      </c>
      <c r="K146" s="748"/>
      <c r="M146" s="749">
        <f>INDEX('Actual-ACPSZL'!$H$7:$T$207,MATCH($B146,'Actual-ACPSZL'!$B$7:$B$207,0),MATCH(M$8,'Actual-ACPSZL'!$H$6:$T$6,0))</f>
        <v>0</v>
      </c>
      <c r="N146" s="749">
        <f>INDEX('Budget-ACPSZL'!$K$7:$W$207,MATCH($B146,'Budget-ACPSZL'!$B$7:$B$207,0),MATCH(N$8,'Budget-ACPSZL'!$K$6:$W$6,0))</f>
        <v>0</v>
      </c>
      <c r="O146" s="749">
        <f t="shared" si="90"/>
        <v>0</v>
      </c>
      <c r="P146" s="748"/>
      <c r="R146" s="749">
        <f>INDEX('Actual-ACPLSZ'!$H$7:$T$207,MATCH($B146,'Actual-ACPLSZ'!$B$7:$B$207,0),MATCH(R$8,'Actual-ACPLSZ'!$H$6:$T$6,0))</f>
        <v>0</v>
      </c>
      <c r="S146" s="749">
        <f>INDEX('Budget-ACPLSZ'!$K$7:$W$207,MATCH($B146,'Budget-ACPLSZ'!$B$7:$B$207,0),MATCH(S$8,'Budget-ACPLSZ'!$K$6:$W$6,0))</f>
        <v>0</v>
      </c>
      <c r="T146" s="749">
        <f t="shared" si="83"/>
        <v>0</v>
      </c>
      <c r="U146" s="748"/>
      <c r="W146" s="749">
        <f>INDEX('Actual-ACPLGZ'!$H$7:$T$207,MATCH($B146,'Actual-ACPLGZ'!$B$7:$B$207,0),MATCH(W$8,'Actual-ACPLGZ'!$H$6:$T$6,0))</f>
        <v>0</v>
      </c>
      <c r="X146" s="749">
        <f>INDEX('Budget-ACPLGZ'!$K$7:$W$207,MATCH($B146,'Budget-ACPLGZ'!$B$7:$B$207,0),MATCH(X$8,'Budget-ACPLGZ'!$K$6:$W$6,0))</f>
        <v>0</v>
      </c>
      <c r="Y146" s="749">
        <f t="shared" si="91"/>
        <v>0</v>
      </c>
      <c r="Z146" s="748"/>
      <c r="AB146" s="749">
        <f>INDEX('Actual-ACPLGZ'!$H$7:$T$207,MATCH($B146,'Actual-ACPLGZ'!$B$7:$B$207,0),MATCH(AB$8,'Actual-ACPLGZ'!$H$6:$T$6,0))</f>
        <v>0</v>
      </c>
      <c r="AC146" s="749">
        <f>INDEX('Budget-Yixing'!$K$7:$W$207,MATCH($B146,'Budget-Yixing'!$B$7:$B$207,0),MATCH(AC$8,'Budget-Yixing'!$K$6:$W$6,0))</f>
        <v>0</v>
      </c>
      <c r="AD146" s="749">
        <f t="shared" si="84"/>
        <v>0</v>
      </c>
      <c r="AE146" s="748"/>
      <c r="AG146" s="751">
        <f>SUM(INDEX('Actual-ACPL'!$H$7:$T$207,MATCH($B146,'Actual-ACPL'!$B$7:$B$207,0),MATCH('Actual-ACPL'!H$6,'Actual-ACPL'!$H$6:$T$6,0)):INDEX('Actual-ACPL'!$H$7:$T$207,MATCH($B146,'Actual-ACPL'!$B$7:$B$207,0),MATCH(AG$8,'Actual-ACPL'!$H$6:$T$6,0)))</f>
        <v>0</v>
      </c>
      <c r="AH146" s="749">
        <f>SUM(INDEX('Budget-ACPL'!$K$7:$W$207,MATCH($B146,'Budget-ACPL'!$B$7:$B$207,0),MATCH('Budget-ACPL'!K$6,'Budget-ACPL'!$K$6:$W$6,0)):INDEX('Budget-ACPL'!$K$7:$W$207,MATCH($B146,'Budget-ACPL'!$B$7:$B$207,0),MATCH(AH$8,'Budget-ACPL'!$K$6:$W$6,0)))</f>
        <v>0</v>
      </c>
      <c r="AI146" s="749">
        <f t="shared" si="88"/>
        <v>0</v>
      </c>
      <c r="AJ146" s="748"/>
      <c r="AL146" s="749">
        <f>SUM(INDEX('Actual-ACPLHK'!$H$7:$S$207,MATCH($B146,'Actual-ACPLHK'!$B$7:$B$207,0),MATCH('Actual-ACPLHK'!H$6,'Actual-ACPLHK'!$H$6:$T$6,0)):INDEX('Actual-ACPLHK'!$H$7:$S$207,MATCH($B146,'Actual-ACPLHK'!$B$7:$B$207,0),MATCH(AL$8,'Actual-ACPLHK'!$H$6:$T$6,0)))</f>
        <v>0</v>
      </c>
      <c r="AM146" s="749">
        <f>SUM(INDEX('Budget-ACPLHK'!$K$7:$W$207,MATCH($B146,'Budget-ACPLHK'!$B$7:$B$207,0),MATCH('Budget-ACPLHK'!K$6,'Budget-ACPLHK'!$K$6:$W$6,0)):INDEX('Budget-ACPLHK'!$K$7:$W$207,MATCH($B146,'Budget-ACPLHK'!$B$7:$B$207,0),MATCH(AM$8,'Budget-ACPLHK'!$K$6:$W$6,0)))</f>
        <v>0</v>
      </c>
      <c r="AN146" s="749">
        <f t="shared" si="85"/>
        <v>0</v>
      </c>
      <c r="AO146" s="748"/>
      <c r="AQ146" s="749">
        <f>SUM(INDEX('Actual-ACPSZL'!$H$7:$T$207,MATCH($B146,'Actual-ACPSZL'!$B$7:$B$207,0),MATCH('Actual-ACPSZL'!H$6,'Actual-ACPSZL'!$H$6:$T$6,0)):INDEX('Actual-ACPSZL'!$H$7:$T$207,MATCH($B146,'Actual-ACPSZL'!$B$7:$B$207,0),MATCH(AQ$8,'Actual-ACPSZL'!$H$6:$T$6,0)))</f>
        <v>0</v>
      </c>
      <c r="AR146" s="749">
        <f>SUM(INDEX('Budget-ACPSZL'!$K$7:$W$207,MATCH($B146,'Budget-ACPSZL'!$B$7:$B$207,0),MATCH('Budget-ACPSZL'!K$6,'Budget-ACPSZL'!$K$6:$W$6,0)):INDEX('Budget-ACPSZL'!$K$7:$W$207,MATCH($B146,'Budget-ACPSZL'!$B$7:$B$207,0),MATCH(AR$8,'Budget-ACPSZL'!$K$6:$W$6,0)))</f>
        <v>0</v>
      </c>
      <c r="AS146" s="749">
        <f t="shared" si="89"/>
        <v>0</v>
      </c>
      <c r="AT146" s="748"/>
      <c r="AV146" s="749">
        <f>SUM(INDEX('Actual-ACPLSZ'!$H$7:$T$207,MATCH($B146,'Actual-ACPLSZ'!$B$7:$B$207,0),MATCH('Actual-ACPLSZ'!H$6,'Actual-ACPLSZ'!$H$6:$T$6,0)):INDEX('Actual-ACPLSZ'!$H$7:$T$207,MATCH($B146,'Actual-ACPLSZ'!$B$7:$B$207,0),MATCH(AV$8,'Actual-ACPLSZ'!$H$6:$T$6,0)))</f>
        <v>0</v>
      </c>
      <c r="AW146" s="749">
        <f>SUM(INDEX('Budget-ACPLSZ'!$K$7:$W$207,MATCH($B146,'Budget-ACPLSZ'!$B$7:$B$207,0),MATCH('Budget-ACPLSZ'!K$6,'Budget-ACPLSZ'!$K$6:$W$6,0)):INDEX('Budget-ACPLSZ'!$K$7:$W$207,MATCH($B146,'Budget-ACPLSZ'!$B$7:$B$207,0),MATCH(AW$8,'Budget-ACPLSZ'!$K$6:$W$6,0)))</f>
        <v>0</v>
      </c>
      <c r="AX146" s="749">
        <f t="shared" si="92"/>
        <v>0</v>
      </c>
      <c r="AY146" s="748"/>
      <c r="BA146" s="749">
        <f>SUM(INDEX('Actual-ACPLGZ'!$H$7:$T$207,MATCH($B146,'Actual-ACPLGZ'!$B$7:$B$207,0),MATCH('Actual-ACPLGZ'!H$6,'Actual-ACPLGZ'!$H$6:$T$6,0)):INDEX('Actual-ACPLGZ'!$H$7:$T$207,MATCH($B146,'Actual-ACPLGZ'!$B$7:$B$207,0),MATCH(BA$8,'Actual-ACPLGZ'!$H$6:$T$6,0)))</f>
        <v>0</v>
      </c>
      <c r="BB146" s="749">
        <f>SUM(INDEX('Budget-ACPLGZ'!$K$7:$W$207,MATCH($B146,'Budget-ACPLGZ'!$B$7:$B$207,0),MATCH('Budget-ACPLGZ'!K$6,'Budget-ACPLGZ'!$K$6:$W$6,0)):INDEX('Budget-ACPLGZ'!$K$7:$W$207,MATCH($B146,'Budget-ACPLGZ'!$B$7:$B$207,0),MATCH(BB$8,'Budget-ACPLGZ'!$K$6:$W$6,0)))</f>
        <v>0</v>
      </c>
      <c r="BC146" s="749">
        <f t="shared" si="86"/>
        <v>0</v>
      </c>
      <c r="BD146" s="748"/>
      <c r="BF146" s="749">
        <f>SUM(INDEX('Actual-ACPLYixing'!$H$7:$T$207,MATCH($B146,'Actual-ACPLYixing'!$B$7:$B$207,0),MATCH('Actual-ACPLYixing'!H$6,'Actual-ACPLYixing'!$H$6:$T$6,0)):INDEX('Actual-ACPLYixing'!$H$7:$T$207,MATCH($B146,'Actual-ACPLYixing'!$B$7:$B$207,0),MATCH(BF$8,'Actual-ACPLYixing'!$H$6:$T$6,0)))</f>
        <v>0</v>
      </c>
      <c r="BG146" s="749">
        <f>SUM(INDEX('Budget-Yixing'!$K$7:$W$207,MATCH($B146,'Budget-Yixing'!$B$7:$B$207,0),MATCH('Budget-Yixing'!K$6,'Budget-Yixing'!$K$6:$W$6,0)):INDEX('Budget-Yixing'!$K$7:$W$207,MATCH($B146,'Budget-Yixing'!$B$7:$B$207,0),MATCH(BG$8,'Budget-Yixing'!$K$6:$W$6,0)))</f>
        <v>0</v>
      </c>
      <c r="BH146" s="749">
        <f t="shared" si="87"/>
        <v>0</v>
      </c>
      <c r="BI146" s="748"/>
    </row>
    <row r="147" spans="1:61" ht="16.5" customHeight="1">
      <c r="A147" s="653" t="str">
        <f>'Budget-合并'!A145</f>
        <v>6602.18</v>
      </c>
      <c r="B147" s="653" t="str">
        <f>'Budget-合并'!B145</f>
        <v>存货盘亏或盘盈</v>
      </c>
      <c r="C147" s="746">
        <f>INDEX('Actual-ACPL'!$H$7:$T$207,MATCH($B147,'Actual-ACPL'!$B$7:$B$207,0),MATCH(C$8,'Actual-ACPL'!$H$6:$T$6,0))</f>
        <v>0</v>
      </c>
      <c r="D147" s="746">
        <f>INDEX('Budget-ACPL'!$K$7:$W$207,MATCH($B147,'Budget-ACPL'!$B$7:$B$207,0),MATCH(D$8,'Budget-ACPL'!$K$6:$W$6,0))</f>
        <v>0</v>
      </c>
      <c r="E147" s="746">
        <f t="shared" si="81"/>
        <v>0</v>
      </c>
      <c r="F147" s="752"/>
      <c r="H147" s="749">
        <f>INDEX('Actual-ACPLHK'!$H$7:$T$207,MATCH($B147,'Actual-ACPLHK'!$B$7:$B$207,0),MATCH(H$8,'Actual-ACPLHK'!$H$6:$T$6,0))</f>
        <v>0</v>
      </c>
      <c r="I147" s="749">
        <f>INDEX('Budget-ACPLHK'!$K$7:$W$207,MATCH($B147,'Budget-ACPLHK'!$B$7:$B$207,0),MATCH(I$8,'Budget-ACPLHK'!$K$6:$W$6,0))</f>
        <v>0</v>
      </c>
      <c r="J147" s="749">
        <f t="shared" si="82"/>
        <v>0</v>
      </c>
      <c r="K147" s="748"/>
      <c r="M147" s="749">
        <f>INDEX('Actual-ACPSZL'!$H$7:$T$207,MATCH($B147,'Actual-ACPSZL'!$B$7:$B$207,0),MATCH(M$8,'Actual-ACPSZL'!$H$6:$T$6,0))</f>
        <v>0</v>
      </c>
      <c r="N147" s="749">
        <f>INDEX('Budget-ACPSZL'!$K$7:$W$207,MATCH($B147,'Budget-ACPSZL'!$B$7:$B$207,0),MATCH(N$8,'Budget-ACPSZL'!$K$6:$W$6,0))</f>
        <v>0</v>
      </c>
      <c r="O147" s="749">
        <f t="shared" si="90"/>
        <v>0</v>
      </c>
      <c r="P147" s="748"/>
      <c r="R147" s="749">
        <f>INDEX('Actual-ACPLSZ'!$H$7:$T$207,MATCH($B147,'Actual-ACPLSZ'!$B$7:$B$207,0),MATCH(R$8,'Actual-ACPLSZ'!$H$6:$T$6,0))</f>
        <v>0</v>
      </c>
      <c r="S147" s="749">
        <f>INDEX('Budget-ACPLSZ'!$K$7:$W$207,MATCH($B147,'Budget-ACPLSZ'!$B$7:$B$207,0),MATCH(S$8,'Budget-ACPLSZ'!$K$6:$W$6,0))</f>
        <v>0</v>
      </c>
      <c r="T147" s="749">
        <f t="shared" si="83"/>
        <v>0</v>
      </c>
      <c r="U147" s="748"/>
      <c r="W147" s="749">
        <f>INDEX('Actual-ACPLGZ'!$H$7:$T$207,MATCH($B147,'Actual-ACPLGZ'!$B$7:$B$207,0),MATCH(W$8,'Actual-ACPLGZ'!$H$6:$T$6,0))</f>
        <v>0</v>
      </c>
      <c r="X147" s="749">
        <f>INDEX('Budget-ACPLGZ'!$K$7:$W$207,MATCH($B147,'Budget-ACPLGZ'!$B$7:$B$207,0),MATCH(X$8,'Budget-ACPLGZ'!$K$6:$W$6,0))</f>
        <v>0</v>
      </c>
      <c r="Y147" s="749">
        <f t="shared" si="91"/>
        <v>0</v>
      </c>
      <c r="Z147" s="748"/>
      <c r="AB147" s="749">
        <f>INDEX('Actual-ACPLGZ'!$H$7:$T$207,MATCH($B147,'Actual-ACPLGZ'!$B$7:$B$207,0),MATCH(AB$8,'Actual-ACPLGZ'!$H$6:$T$6,0))</f>
        <v>0</v>
      </c>
      <c r="AC147" s="749">
        <f>INDEX('Budget-Yixing'!$K$7:$W$207,MATCH($B147,'Budget-Yixing'!$B$7:$B$207,0),MATCH(AC$8,'Budget-Yixing'!$K$6:$W$6,0))</f>
        <v>0</v>
      </c>
      <c r="AD147" s="749">
        <f t="shared" si="84"/>
        <v>0</v>
      </c>
      <c r="AE147" s="748"/>
      <c r="AG147" s="751">
        <f>SUM(INDEX('Actual-ACPL'!$H$7:$T$207,MATCH($B147,'Actual-ACPL'!$B$7:$B$207,0),MATCH('Actual-ACPL'!H$6,'Actual-ACPL'!$H$6:$T$6,0)):INDEX('Actual-ACPL'!$H$7:$T$207,MATCH($B147,'Actual-ACPL'!$B$7:$B$207,0),MATCH(AG$8,'Actual-ACPL'!$H$6:$T$6,0)))</f>
        <v>0</v>
      </c>
      <c r="AH147" s="749">
        <f>SUM(INDEX('Budget-ACPL'!$K$7:$W$207,MATCH($B147,'Budget-ACPL'!$B$7:$B$207,0),MATCH('Budget-ACPL'!K$6,'Budget-ACPL'!$K$6:$W$6,0)):INDEX('Budget-ACPL'!$K$7:$W$207,MATCH($B147,'Budget-ACPL'!$B$7:$B$207,0),MATCH(AH$8,'Budget-ACPL'!$K$6:$W$6,0)))</f>
        <v>0</v>
      </c>
      <c r="AI147" s="749">
        <f t="shared" si="88"/>
        <v>0</v>
      </c>
      <c r="AJ147" s="748"/>
      <c r="AL147" s="749">
        <f>SUM(INDEX('Actual-ACPLHK'!$H$7:$S$207,MATCH($B147,'Actual-ACPLHK'!$B$7:$B$207,0),MATCH('Actual-ACPLHK'!H$6,'Actual-ACPLHK'!$H$6:$T$6,0)):INDEX('Actual-ACPLHK'!$H$7:$S$207,MATCH($B147,'Actual-ACPLHK'!$B$7:$B$207,0),MATCH(AL$8,'Actual-ACPLHK'!$H$6:$T$6,0)))</f>
        <v>0</v>
      </c>
      <c r="AM147" s="749">
        <f>SUM(INDEX('Budget-ACPLHK'!$K$7:$W$207,MATCH($B147,'Budget-ACPLHK'!$B$7:$B$207,0),MATCH('Budget-ACPLHK'!K$6,'Budget-ACPLHK'!$K$6:$W$6,0)):INDEX('Budget-ACPLHK'!$K$7:$W$207,MATCH($B147,'Budget-ACPLHK'!$B$7:$B$207,0),MATCH(AM$8,'Budget-ACPLHK'!$K$6:$W$6,0)))</f>
        <v>0</v>
      </c>
      <c r="AN147" s="749">
        <f t="shared" si="85"/>
        <v>0</v>
      </c>
      <c r="AO147" s="748"/>
      <c r="AQ147" s="749">
        <f>SUM(INDEX('Actual-ACPSZL'!$H$7:$T$207,MATCH($B147,'Actual-ACPSZL'!$B$7:$B$207,0),MATCH('Actual-ACPSZL'!H$6,'Actual-ACPSZL'!$H$6:$T$6,0)):INDEX('Actual-ACPSZL'!$H$7:$T$207,MATCH($B147,'Actual-ACPSZL'!$B$7:$B$207,0),MATCH(AQ$8,'Actual-ACPSZL'!$H$6:$T$6,0)))</f>
        <v>0</v>
      </c>
      <c r="AR147" s="749">
        <f>SUM(INDEX('Budget-ACPSZL'!$K$7:$W$207,MATCH($B147,'Budget-ACPSZL'!$B$7:$B$207,0),MATCH('Budget-ACPSZL'!K$6,'Budget-ACPSZL'!$K$6:$W$6,0)):INDEX('Budget-ACPSZL'!$K$7:$W$207,MATCH($B147,'Budget-ACPSZL'!$B$7:$B$207,0),MATCH(AR$8,'Budget-ACPSZL'!$K$6:$W$6,0)))</f>
        <v>0</v>
      </c>
      <c r="AS147" s="749">
        <f t="shared" si="89"/>
        <v>0</v>
      </c>
      <c r="AT147" s="748"/>
      <c r="AV147" s="749">
        <f>SUM(INDEX('Actual-ACPLSZ'!$H$7:$T$207,MATCH($B147,'Actual-ACPLSZ'!$B$7:$B$207,0),MATCH('Actual-ACPLSZ'!H$6,'Actual-ACPLSZ'!$H$6:$T$6,0)):INDEX('Actual-ACPLSZ'!$H$7:$T$207,MATCH($B147,'Actual-ACPLSZ'!$B$7:$B$207,0),MATCH(AV$8,'Actual-ACPLSZ'!$H$6:$T$6,0)))</f>
        <v>0</v>
      </c>
      <c r="AW147" s="749">
        <f>SUM(INDEX('Budget-ACPLSZ'!$K$7:$W$207,MATCH($B147,'Budget-ACPLSZ'!$B$7:$B$207,0),MATCH('Budget-ACPLSZ'!K$6,'Budget-ACPLSZ'!$K$6:$W$6,0)):INDEX('Budget-ACPLSZ'!$K$7:$W$207,MATCH($B147,'Budget-ACPLSZ'!$B$7:$B$207,0),MATCH(AW$8,'Budget-ACPLSZ'!$K$6:$W$6,0)))</f>
        <v>0</v>
      </c>
      <c r="AX147" s="749">
        <f t="shared" si="92"/>
        <v>0</v>
      </c>
      <c r="AY147" s="748"/>
      <c r="BA147" s="749">
        <f>SUM(INDEX('Actual-ACPLGZ'!$H$7:$T$207,MATCH($B147,'Actual-ACPLGZ'!$B$7:$B$207,0),MATCH('Actual-ACPLGZ'!H$6,'Actual-ACPLGZ'!$H$6:$T$6,0)):INDEX('Actual-ACPLGZ'!$H$7:$T$207,MATCH($B147,'Actual-ACPLGZ'!$B$7:$B$207,0),MATCH(BA$8,'Actual-ACPLGZ'!$H$6:$T$6,0)))</f>
        <v>0</v>
      </c>
      <c r="BB147" s="749">
        <f>SUM(INDEX('Budget-ACPLGZ'!$K$7:$W$207,MATCH($B147,'Budget-ACPLGZ'!$B$7:$B$207,0),MATCH('Budget-ACPLGZ'!K$6,'Budget-ACPLGZ'!$K$6:$W$6,0)):INDEX('Budget-ACPLGZ'!$K$7:$W$207,MATCH($B147,'Budget-ACPLGZ'!$B$7:$B$207,0),MATCH(BB$8,'Budget-ACPLGZ'!$K$6:$W$6,0)))</f>
        <v>0</v>
      </c>
      <c r="BC147" s="749">
        <f t="shared" si="86"/>
        <v>0</v>
      </c>
      <c r="BD147" s="748"/>
      <c r="BF147" s="749">
        <f>SUM(INDEX('Actual-ACPLYixing'!$H$7:$T$207,MATCH($B147,'Actual-ACPLYixing'!$B$7:$B$207,0),MATCH('Actual-ACPLYixing'!H$6,'Actual-ACPLYixing'!$H$6:$T$6,0)):INDEX('Actual-ACPLYixing'!$H$7:$T$207,MATCH($B147,'Actual-ACPLYixing'!$B$7:$B$207,0),MATCH(BF$8,'Actual-ACPLYixing'!$H$6:$T$6,0)))</f>
        <v>0</v>
      </c>
      <c r="BG147" s="749">
        <f>SUM(INDEX('Budget-Yixing'!$K$7:$W$207,MATCH($B147,'Budget-Yixing'!$B$7:$B$207,0),MATCH('Budget-Yixing'!K$6,'Budget-Yixing'!$K$6:$W$6,0)):INDEX('Budget-Yixing'!$K$7:$W$207,MATCH($B147,'Budget-Yixing'!$B$7:$B$207,0),MATCH(BG$8,'Budget-Yixing'!$K$6:$W$6,0)))</f>
        <v>0</v>
      </c>
      <c r="BH147" s="749">
        <f t="shared" si="87"/>
        <v>0</v>
      </c>
      <c r="BI147" s="748"/>
    </row>
    <row r="148" spans="1:61" ht="16.5" customHeight="1">
      <c r="A148" s="653" t="str">
        <f>'Budget-合并'!A146</f>
        <v>6602.19</v>
      </c>
      <c r="B148" s="653" t="str">
        <f>'Budget-合并'!B146</f>
        <v>会费（公司）</v>
      </c>
      <c r="C148" s="746">
        <f>INDEX('Actual-ACPL'!$H$7:$T$207,MATCH($B148,'Actual-ACPL'!$B$7:$B$207,0),MATCH(C$8,'Actual-ACPL'!$H$6:$T$6,0))</f>
        <v>0</v>
      </c>
      <c r="D148" s="746">
        <f>INDEX('Budget-ACPL'!$K$7:$W$207,MATCH($B148,'Budget-ACPL'!$B$7:$B$207,0),MATCH(D$8,'Budget-ACPL'!$K$6:$W$6,0))</f>
        <v>0</v>
      </c>
      <c r="E148" s="746">
        <f t="shared" si="81"/>
        <v>0</v>
      </c>
      <c r="F148" s="752"/>
      <c r="H148" s="749">
        <f>INDEX('Actual-ACPLHK'!$H$7:$T$207,MATCH($B148,'Actual-ACPLHK'!$B$7:$B$207,0),MATCH(H$8,'Actual-ACPLHK'!$H$6:$T$6,0))</f>
        <v>0</v>
      </c>
      <c r="I148" s="749">
        <f>INDEX('Budget-ACPLHK'!$K$7:$W$207,MATCH($B148,'Budget-ACPLHK'!$B$7:$B$207,0),MATCH(I$8,'Budget-ACPLHK'!$K$6:$W$6,0))</f>
        <v>0</v>
      </c>
      <c r="J148" s="749">
        <f t="shared" si="82"/>
        <v>0</v>
      </c>
      <c r="K148" s="748"/>
      <c r="M148" s="749">
        <f>INDEX('Actual-ACPSZL'!$H$7:$T$207,MATCH($B148,'Actual-ACPSZL'!$B$7:$B$207,0),MATCH(M$8,'Actual-ACPSZL'!$H$6:$T$6,0))</f>
        <v>0</v>
      </c>
      <c r="N148" s="749">
        <f>INDEX('Budget-ACPSZL'!$K$7:$W$207,MATCH($B148,'Budget-ACPSZL'!$B$7:$B$207,0),MATCH(N$8,'Budget-ACPSZL'!$K$6:$W$6,0))</f>
        <v>0</v>
      </c>
      <c r="O148" s="749">
        <f t="shared" si="90"/>
        <v>0</v>
      </c>
      <c r="P148" s="748"/>
      <c r="R148" s="749">
        <f>INDEX('Actual-ACPLSZ'!$H$7:$T$207,MATCH($B148,'Actual-ACPLSZ'!$B$7:$B$207,0),MATCH(R$8,'Actual-ACPLSZ'!$H$6:$T$6,0))</f>
        <v>0</v>
      </c>
      <c r="S148" s="749">
        <f>INDEX('Budget-ACPLSZ'!$K$7:$W$207,MATCH($B148,'Budget-ACPLSZ'!$B$7:$B$207,0),MATCH(S$8,'Budget-ACPLSZ'!$K$6:$W$6,0))</f>
        <v>0</v>
      </c>
      <c r="T148" s="749">
        <f t="shared" si="83"/>
        <v>0</v>
      </c>
      <c r="U148" s="748"/>
      <c r="W148" s="749">
        <f>INDEX('Actual-ACPLGZ'!$H$7:$T$207,MATCH($B148,'Actual-ACPLGZ'!$B$7:$B$207,0),MATCH(W$8,'Actual-ACPLGZ'!$H$6:$T$6,0))</f>
        <v>0</v>
      </c>
      <c r="X148" s="749">
        <f>INDEX('Budget-ACPLGZ'!$K$7:$W$207,MATCH($B148,'Budget-ACPLGZ'!$B$7:$B$207,0),MATCH(X$8,'Budget-ACPLGZ'!$K$6:$W$6,0))</f>
        <v>0</v>
      </c>
      <c r="Y148" s="749">
        <f t="shared" si="91"/>
        <v>0</v>
      </c>
      <c r="Z148" s="748"/>
      <c r="AB148" s="749">
        <f>INDEX('Actual-ACPLGZ'!$H$7:$T$207,MATCH($B148,'Actual-ACPLGZ'!$B$7:$B$207,0),MATCH(AB$8,'Actual-ACPLGZ'!$H$6:$T$6,0))</f>
        <v>0</v>
      </c>
      <c r="AC148" s="749">
        <f>INDEX('Budget-Yixing'!$K$7:$W$207,MATCH($B148,'Budget-Yixing'!$B$7:$B$207,0),MATCH(AC$8,'Budget-Yixing'!$K$6:$W$6,0))</f>
        <v>0</v>
      </c>
      <c r="AD148" s="749">
        <f t="shared" si="84"/>
        <v>0</v>
      </c>
      <c r="AE148" s="748"/>
      <c r="AG148" s="751">
        <f>SUM(INDEX('Actual-ACPL'!$H$7:$T$207,MATCH($B148,'Actual-ACPL'!$B$7:$B$207,0),MATCH('Actual-ACPL'!H$6,'Actual-ACPL'!$H$6:$T$6,0)):INDEX('Actual-ACPL'!$H$7:$T$207,MATCH($B148,'Actual-ACPL'!$B$7:$B$207,0),MATCH(AG$8,'Actual-ACPL'!$H$6:$T$6,0)))</f>
        <v>0</v>
      </c>
      <c r="AH148" s="749">
        <f>SUM(INDEX('Budget-ACPL'!$K$7:$W$207,MATCH($B148,'Budget-ACPL'!$B$7:$B$207,0),MATCH('Budget-ACPL'!K$6,'Budget-ACPL'!$K$6:$W$6,0)):INDEX('Budget-ACPL'!$K$7:$W$207,MATCH($B148,'Budget-ACPL'!$B$7:$B$207,0),MATCH(AH$8,'Budget-ACPL'!$K$6:$W$6,0)))</f>
        <v>0</v>
      </c>
      <c r="AI148" s="749">
        <f t="shared" si="88"/>
        <v>0</v>
      </c>
      <c r="AJ148" s="748"/>
      <c r="AL148" s="749">
        <f>SUM(INDEX('Actual-ACPLHK'!$H$7:$S$207,MATCH($B148,'Actual-ACPLHK'!$B$7:$B$207,0),MATCH('Actual-ACPLHK'!H$6,'Actual-ACPLHK'!$H$6:$T$6,0)):INDEX('Actual-ACPLHK'!$H$7:$S$207,MATCH($B148,'Actual-ACPLHK'!$B$7:$B$207,0),MATCH(AL$8,'Actual-ACPLHK'!$H$6:$T$6,0)))</f>
        <v>0</v>
      </c>
      <c r="AM148" s="749">
        <f>SUM(INDEX('Budget-ACPLHK'!$K$7:$W$207,MATCH($B148,'Budget-ACPLHK'!$B$7:$B$207,0),MATCH('Budget-ACPLHK'!K$6,'Budget-ACPLHK'!$K$6:$W$6,0)):INDEX('Budget-ACPLHK'!$K$7:$W$207,MATCH($B148,'Budget-ACPLHK'!$B$7:$B$207,0),MATCH(AM$8,'Budget-ACPLHK'!$K$6:$W$6,0)))</f>
        <v>0</v>
      </c>
      <c r="AN148" s="749">
        <f t="shared" si="85"/>
        <v>0</v>
      </c>
      <c r="AO148" s="748"/>
      <c r="AQ148" s="749">
        <f>SUM(INDEX('Actual-ACPSZL'!$H$7:$T$207,MATCH($B148,'Actual-ACPSZL'!$B$7:$B$207,0),MATCH('Actual-ACPSZL'!H$6,'Actual-ACPSZL'!$H$6:$T$6,0)):INDEX('Actual-ACPSZL'!$H$7:$T$207,MATCH($B148,'Actual-ACPSZL'!$B$7:$B$207,0),MATCH(AQ$8,'Actual-ACPSZL'!$H$6:$T$6,0)))</f>
        <v>0</v>
      </c>
      <c r="AR148" s="749">
        <f>SUM(INDEX('Budget-ACPSZL'!$K$7:$W$207,MATCH($B148,'Budget-ACPSZL'!$B$7:$B$207,0),MATCH('Budget-ACPSZL'!K$6,'Budget-ACPSZL'!$K$6:$W$6,0)):INDEX('Budget-ACPSZL'!$K$7:$W$207,MATCH($B148,'Budget-ACPSZL'!$B$7:$B$207,0),MATCH(AR$8,'Budget-ACPSZL'!$K$6:$W$6,0)))</f>
        <v>0</v>
      </c>
      <c r="AS148" s="749">
        <f t="shared" si="89"/>
        <v>0</v>
      </c>
      <c r="AT148" s="748"/>
      <c r="AV148" s="749">
        <f>SUM(INDEX('Actual-ACPLSZ'!$H$7:$T$207,MATCH($B148,'Actual-ACPLSZ'!$B$7:$B$207,0),MATCH('Actual-ACPLSZ'!H$6,'Actual-ACPLSZ'!$H$6:$T$6,0)):INDEX('Actual-ACPLSZ'!$H$7:$T$207,MATCH($B148,'Actual-ACPLSZ'!$B$7:$B$207,0),MATCH(AV$8,'Actual-ACPLSZ'!$H$6:$T$6,0)))</f>
        <v>0</v>
      </c>
      <c r="AW148" s="749">
        <f>SUM(INDEX('Budget-ACPLSZ'!$K$7:$W$207,MATCH($B148,'Budget-ACPLSZ'!$B$7:$B$207,0),MATCH('Budget-ACPLSZ'!K$6,'Budget-ACPLSZ'!$K$6:$W$6,0)):INDEX('Budget-ACPLSZ'!$K$7:$W$207,MATCH($B148,'Budget-ACPLSZ'!$B$7:$B$207,0),MATCH(AW$8,'Budget-ACPLSZ'!$K$6:$W$6,0)))</f>
        <v>0</v>
      </c>
      <c r="AX148" s="749">
        <f t="shared" si="92"/>
        <v>0</v>
      </c>
      <c r="AY148" s="748"/>
      <c r="BA148" s="749">
        <f>SUM(INDEX('Actual-ACPLGZ'!$H$7:$T$207,MATCH($B148,'Actual-ACPLGZ'!$B$7:$B$207,0),MATCH('Actual-ACPLGZ'!H$6,'Actual-ACPLGZ'!$H$6:$T$6,0)):INDEX('Actual-ACPLGZ'!$H$7:$T$207,MATCH($B148,'Actual-ACPLGZ'!$B$7:$B$207,0),MATCH(BA$8,'Actual-ACPLGZ'!$H$6:$T$6,0)))</f>
        <v>0</v>
      </c>
      <c r="BB148" s="749">
        <f>SUM(INDEX('Budget-ACPLGZ'!$K$7:$W$207,MATCH($B148,'Budget-ACPLGZ'!$B$7:$B$207,0),MATCH('Budget-ACPLGZ'!K$6,'Budget-ACPLGZ'!$K$6:$W$6,0)):INDEX('Budget-ACPLGZ'!$K$7:$W$207,MATCH($B148,'Budget-ACPLGZ'!$B$7:$B$207,0),MATCH(BB$8,'Budget-ACPLGZ'!$K$6:$W$6,0)))</f>
        <v>0</v>
      </c>
      <c r="BC148" s="749">
        <f t="shared" si="86"/>
        <v>0</v>
      </c>
      <c r="BD148" s="748"/>
      <c r="BF148" s="749">
        <f>SUM(INDEX('Actual-ACPLYixing'!$H$7:$T$207,MATCH($B148,'Actual-ACPLYixing'!$B$7:$B$207,0),MATCH('Actual-ACPLYixing'!H$6,'Actual-ACPLYixing'!$H$6:$T$6,0)):INDEX('Actual-ACPLYixing'!$H$7:$T$207,MATCH($B148,'Actual-ACPLYixing'!$B$7:$B$207,0),MATCH(BF$8,'Actual-ACPLYixing'!$H$6:$T$6,0)))</f>
        <v>0</v>
      </c>
      <c r="BG148" s="749">
        <f>SUM(INDEX('Budget-Yixing'!$K$7:$W$207,MATCH($B148,'Budget-Yixing'!$B$7:$B$207,0),MATCH('Budget-Yixing'!K$6,'Budget-Yixing'!$K$6:$W$6,0)):INDEX('Budget-Yixing'!$K$7:$W$207,MATCH($B148,'Budget-Yixing'!$B$7:$B$207,0),MATCH(BG$8,'Budget-Yixing'!$K$6:$W$6,0)))</f>
        <v>0</v>
      </c>
      <c r="BH148" s="749">
        <f t="shared" si="87"/>
        <v>0</v>
      </c>
      <c r="BI148" s="748"/>
    </row>
    <row r="149" spans="1:61" ht="16.5" customHeight="1">
      <c r="A149" s="653" t="str">
        <f>'Budget-合并'!A147</f>
        <v>6602.20</v>
      </c>
      <c r="B149" s="653" t="str">
        <f>'Budget-合并'!B147</f>
        <v>职工教育经费</v>
      </c>
      <c r="C149" s="746">
        <f>INDEX('Actual-ACPL'!$H$7:$T$207,MATCH($B149,'Actual-ACPL'!$B$7:$B$207,0),MATCH(C$8,'Actual-ACPL'!$H$6:$T$6,0))</f>
        <v>0</v>
      </c>
      <c r="D149" s="746">
        <f>INDEX('Budget-ACPL'!$K$7:$W$207,MATCH($B149,'Budget-ACPL'!$B$7:$B$207,0),MATCH(D$8,'Budget-ACPL'!$K$6:$W$6,0))</f>
        <v>393.07891666666666</v>
      </c>
      <c r="E149" s="746">
        <f t="shared" si="81"/>
        <v>-393.07891666666666</v>
      </c>
      <c r="F149" s="752"/>
      <c r="H149" s="749">
        <f>INDEX('Actual-ACPLHK'!$H$7:$T$207,MATCH($B149,'Actual-ACPLHK'!$B$7:$B$207,0),MATCH(H$8,'Actual-ACPLHK'!$H$6:$T$6,0))</f>
        <v>0</v>
      </c>
      <c r="I149" s="749">
        <f>INDEX('Budget-ACPLHK'!$K$7:$W$207,MATCH($B149,'Budget-ACPLHK'!$B$7:$B$207,0),MATCH(I$8,'Budget-ACPLHK'!$K$6:$W$6,0))</f>
        <v>1260.8191666666667</v>
      </c>
      <c r="J149" s="749">
        <f t="shared" si="82"/>
        <v>-1260.8191666666667</v>
      </c>
      <c r="K149" s="748"/>
      <c r="M149" s="749">
        <f>INDEX('Actual-ACPSZL'!$H$7:$T$207,MATCH($B149,'Actual-ACPSZL'!$B$7:$B$207,0),MATCH(M$8,'Actual-ACPSZL'!$H$6:$T$6,0))</f>
        <v>0</v>
      </c>
      <c r="N149" s="749">
        <f>INDEX('Budget-ACPSZL'!$K$7:$W$207,MATCH($B149,'Budget-ACPSZL'!$B$7:$B$207,0),MATCH(N$8,'Budget-ACPSZL'!$K$6:$W$6,0))</f>
        <v>833.33333333333337</v>
      </c>
      <c r="O149" s="749">
        <f t="shared" si="90"/>
        <v>-833.33333333333337</v>
      </c>
      <c r="P149" s="748"/>
      <c r="R149" s="749">
        <f>INDEX('Actual-ACPLSZ'!$H$7:$T$207,MATCH($B149,'Actual-ACPLSZ'!$B$7:$B$207,0),MATCH(R$8,'Actual-ACPLSZ'!$H$6:$T$6,0))</f>
        <v>0</v>
      </c>
      <c r="S149" s="749">
        <f>INDEX('Budget-ACPLSZ'!$K$7:$W$207,MATCH($B149,'Budget-ACPLSZ'!$B$7:$B$207,0),MATCH(S$8,'Budget-ACPLSZ'!$K$6:$W$6,0))</f>
        <v>833.33333333333337</v>
      </c>
      <c r="T149" s="749">
        <f t="shared" si="83"/>
        <v>833.33333333333337</v>
      </c>
      <c r="U149" s="748"/>
      <c r="W149" s="749">
        <f>INDEX('Actual-ACPLGZ'!$H$7:$T$207,MATCH($B149,'Actual-ACPLGZ'!$B$7:$B$207,0),MATCH(W$8,'Actual-ACPLGZ'!$H$6:$T$6,0))</f>
        <v>0</v>
      </c>
      <c r="X149" s="749">
        <f>INDEX('Budget-ACPLGZ'!$K$7:$W$207,MATCH($B149,'Budget-ACPLGZ'!$B$7:$B$207,0),MATCH(X$8,'Budget-ACPLGZ'!$K$6:$W$6,0))</f>
        <v>0</v>
      </c>
      <c r="Y149" s="749">
        <f t="shared" si="91"/>
        <v>0</v>
      </c>
      <c r="Z149" s="748"/>
      <c r="AB149" s="749">
        <f>INDEX('Actual-ACPLGZ'!$H$7:$T$207,MATCH($B149,'Actual-ACPLGZ'!$B$7:$B$207,0),MATCH(AB$8,'Actual-ACPLGZ'!$H$6:$T$6,0))</f>
        <v>0</v>
      </c>
      <c r="AC149" s="749">
        <f>INDEX('Budget-Yixing'!$K$7:$W$207,MATCH($B149,'Budget-Yixing'!$B$7:$B$207,0),MATCH(AC$8,'Budget-Yixing'!$K$6:$W$6,0))</f>
        <v>0</v>
      </c>
      <c r="AD149" s="749">
        <f t="shared" si="84"/>
        <v>0</v>
      </c>
      <c r="AE149" s="748"/>
      <c r="AG149" s="751">
        <f>SUM(INDEX('Actual-ACPL'!$H$7:$T$207,MATCH($B149,'Actual-ACPL'!$B$7:$B$207,0),MATCH('Actual-ACPL'!H$6,'Actual-ACPL'!$H$6:$T$6,0)):INDEX('Actual-ACPL'!$H$7:$T$207,MATCH($B149,'Actual-ACPL'!$B$7:$B$207,0),MATCH(AG$8,'Actual-ACPL'!$H$6:$T$6,0)))</f>
        <v>0</v>
      </c>
      <c r="AH149" s="749">
        <f>SUM(INDEX('Budget-ACPL'!$K$7:$W$207,MATCH($B149,'Budget-ACPL'!$B$7:$B$207,0),MATCH('Budget-ACPL'!K$6,'Budget-ACPL'!$K$6:$W$6,0)):INDEX('Budget-ACPL'!$K$7:$W$207,MATCH($B149,'Budget-ACPL'!$B$7:$B$207,0),MATCH(AH$8,'Budget-ACPL'!$K$6:$W$6,0)))</f>
        <v>393.07891666666666</v>
      </c>
      <c r="AI149" s="749">
        <f t="shared" si="88"/>
        <v>-393.07891666666666</v>
      </c>
      <c r="AJ149" s="748"/>
      <c r="AL149" s="749">
        <f>SUM(INDEX('Actual-ACPLHK'!$H$7:$S$207,MATCH($B149,'Actual-ACPLHK'!$B$7:$B$207,0),MATCH('Actual-ACPLHK'!H$6,'Actual-ACPLHK'!$H$6:$T$6,0)):INDEX('Actual-ACPLHK'!$H$7:$S$207,MATCH($B149,'Actual-ACPLHK'!$B$7:$B$207,0),MATCH(AL$8,'Actual-ACPLHK'!$H$6:$T$6,0)))</f>
        <v>0</v>
      </c>
      <c r="AM149" s="749">
        <f>SUM(INDEX('Budget-ACPLHK'!$K$7:$W$207,MATCH($B149,'Budget-ACPLHK'!$B$7:$B$207,0),MATCH('Budget-ACPLHK'!K$6,'Budget-ACPLHK'!$K$6:$W$6,0)):INDEX('Budget-ACPLHK'!$K$7:$W$207,MATCH($B149,'Budget-ACPLHK'!$B$7:$B$207,0),MATCH(AM$8,'Budget-ACPLHK'!$K$6:$W$6,0)))</f>
        <v>1260.8191666666667</v>
      </c>
      <c r="AN149" s="749">
        <f t="shared" si="85"/>
        <v>-1260.8191666666667</v>
      </c>
      <c r="AO149" s="748"/>
      <c r="AQ149" s="749">
        <f>SUM(INDEX('Actual-ACPSZL'!$H$7:$T$207,MATCH($B149,'Actual-ACPSZL'!$B$7:$B$207,0),MATCH('Actual-ACPSZL'!H$6,'Actual-ACPSZL'!$H$6:$T$6,0)):INDEX('Actual-ACPSZL'!$H$7:$T$207,MATCH($B149,'Actual-ACPSZL'!$B$7:$B$207,0),MATCH(AQ$8,'Actual-ACPSZL'!$H$6:$T$6,0)))</f>
        <v>0</v>
      </c>
      <c r="AR149" s="749">
        <f>SUM(INDEX('Budget-ACPSZL'!$K$7:$W$207,MATCH($B149,'Budget-ACPSZL'!$B$7:$B$207,0),MATCH('Budget-ACPSZL'!K$6,'Budget-ACPSZL'!$K$6:$W$6,0)):INDEX('Budget-ACPSZL'!$K$7:$W$207,MATCH($B149,'Budget-ACPSZL'!$B$7:$B$207,0),MATCH(AR$8,'Budget-ACPSZL'!$K$6:$W$6,0)))</f>
        <v>833.33333333333337</v>
      </c>
      <c r="AS149" s="749">
        <f t="shared" si="89"/>
        <v>-833.33333333333337</v>
      </c>
      <c r="AT149" s="748"/>
      <c r="AV149" s="749">
        <f>SUM(INDEX('Actual-ACPLSZ'!$H$7:$T$207,MATCH($B149,'Actual-ACPLSZ'!$B$7:$B$207,0),MATCH('Actual-ACPLSZ'!H$6,'Actual-ACPLSZ'!$H$6:$T$6,0)):INDEX('Actual-ACPLSZ'!$H$7:$T$207,MATCH($B149,'Actual-ACPLSZ'!$B$7:$B$207,0),MATCH(AV$8,'Actual-ACPLSZ'!$H$6:$T$6,0)))</f>
        <v>0</v>
      </c>
      <c r="AW149" s="749">
        <f>SUM(INDEX('Budget-ACPLSZ'!$K$7:$W$207,MATCH($B149,'Budget-ACPLSZ'!$B$7:$B$207,0),MATCH('Budget-ACPLSZ'!K$6,'Budget-ACPLSZ'!$K$6:$W$6,0)):INDEX('Budget-ACPLSZ'!$K$7:$W$207,MATCH($B149,'Budget-ACPLSZ'!$B$7:$B$207,0),MATCH(AW$8,'Budget-ACPLSZ'!$K$6:$W$6,0)))</f>
        <v>833.33333333333337</v>
      </c>
      <c r="AX149" s="749">
        <f t="shared" si="92"/>
        <v>-833.33333333333337</v>
      </c>
      <c r="AY149" s="748"/>
      <c r="BA149" s="749">
        <f>SUM(INDEX('Actual-ACPLGZ'!$H$7:$T$207,MATCH($B149,'Actual-ACPLGZ'!$B$7:$B$207,0),MATCH('Actual-ACPLGZ'!H$6,'Actual-ACPLGZ'!$H$6:$T$6,0)):INDEX('Actual-ACPLGZ'!$H$7:$T$207,MATCH($B149,'Actual-ACPLGZ'!$B$7:$B$207,0),MATCH(BA$8,'Actual-ACPLGZ'!$H$6:$T$6,0)))</f>
        <v>0</v>
      </c>
      <c r="BB149" s="749">
        <f>SUM(INDEX('Budget-ACPLGZ'!$K$7:$W$207,MATCH($B149,'Budget-ACPLGZ'!$B$7:$B$207,0),MATCH('Budget-ACPLGZ'!K$6,'Budget-ACPLGZ'!$K$6:$W$6,0)):INDEX('Budget-ACPLGZ'!$K$7:$W$207,MATCH($B149,'Budget-ACPLGZ'!$B$7:$B$207,0),MATCH(BB$8,'Budget-ACPLGZ'!$K$6:$W$6,0)))</f>
        <v>0</v>
      </c>
      <c r="BC149" s="749">
        <f t="shared" si="86"/>
        <v>0</v>
      </c>
      <c r="BD149" s="748"/>
      <c r="BF149" s="749">
        <f>SUM(INDEX('Actual-ACPLYixing'!$H$7:$T$207,MATCH($B149,'Actual-ACPLYixing'!$B$7:$B$207,0),MATCH('Actual-ACPLYixing'!H$6,'Actual-ACPLYixing'!$H$6:$T$6,0)):INDEX('Actual-ACPLYixing'!$H$7:$T$207,MATCH($B149,'Actual-ACPLYixing'!$B$7:$B$207,0),MATCH(BF$8,'Actual-ACPLYixing'!$H$6:$T$6,0)))</f>
        <v>0</v>
      </c>
      <c r="BG149" s="749">
        <f>SUM(INDEX('Budget-Yixing'!$K$7:$W$207,MATCH($B149,'Budget-Yixing'!$B$7:$B$207,0),MATCH('Budget-Yixing'!K$6,'Budget-Yixing'!$K$6:$W$6,0)):INDEX('Budget-Yixing'!$K$7:$W$207,MATCH($B149,'Budget-Yixing'!$B$7:$B$207,0),MATCH(BG$8,'Budget-Yixing'!$K$6:$W$6,0)))</f>
        <v>0</v>
      </c>
      <c r="BH149" s="749">
        <f t="shared" si="87"/>
        <v>0</v>
      </c>
      <c r="BI149" s="748"/>
    </row>
    <row r="150" spans="1:61" ht="16.5" customHeight="1">
      <c r="A150" s="653" t="str">
        <f>'Budget-合并'!A148</f>
        <v>6602.21</v>
      </c>
      <c r="B150" s="653" t="str">
        <f>'Budget-合并'!B148</f>
        <v>公司秘书费</v>
      </c>
      <c r="C150" s="746">
        <f>INDEX('Actual-ACPL'!$H$7:$T$207,MATCH($B150,'Actual-ACPL'!$B$7:$B$207,0),MATCH(C$8,'Actual-ACPL'!$H$6:$T$6,0))</f>
        <v>0</v>
      </c>
      <c r="D150" s="746">
        <f>INDEX('Budget-ACPL'!$K$7:$W$207,MATCH($B150,'Budget-ACPL'!$B$7:$B$207,0),MATCH(D$8,'Budget-ACPL'!$K$6:$W$6,0))</f>
        <v>81285.234172500001</v>
      </c>
      <c r="E150" s="746">
        <f t="shared" si="81"/>
        <v>-81285.234172500001</v>
      </c>
      <c r="F150" s="752"/>
      <c r="H150" s="749">
        <f>INDEX('Actual-ACPLHK'!$H$7:$T$207,MATCH($B150,'Actual-ACPLHK'!$B$7:$B$207,0),MATCH(H$8,'Actual-ACPLHK'!$H$6:$T$6,0))</f>
        <v>0</v>
      </c>
      <c r="I150" s="749">
        <f>INDEX('Budget-ACPLHK'!$K$7:$W$207,MATCH($B150,'Budget-ACPLHK'!$B$7:$B$207,0),MATCH(I$8,'Budget-ACPLHK'!$K$6:$W$6,0))</f>
        <v>13398.799449999999</v>
      </c>
      <c r="J150" s="749">
        <f t="shared" si="82"/>
        <v>-13398.799449999999</v>
      </c>
      <c r="K150" s="748"/>
      <c r="M150" s="749">
        <f>INDEX('Actual-ACPSZL'!$H$7:$T$207,MATCH($B150,'Actual-ACPSZL'!$B$7:$B$207,0),MATCH(M$8,'Actual-ACPSZL'!$H$6:$T$6,0))</f>
        <v>0</v>
      </c>
      <c r="N150" s="749">
        <f>INDEX('Budget-ACPSZL'!$K$7:$W$207,MATCH($B150,'Budget-ACPSZL'!$B$7:$B$207,0),MATCH(N$8,'Budget-ACPSZL'!$K$6:$W$6,0))</f>
        <v>0</v>
      </c>
      <c r="O150" s="749">
        <f t="shared" si="90"/>
        <v>0</v>
      </c>
      <c r="P150" s="748"/>
      <c r="R150" s="749">
        <f>INDEX('Actual-ACPLSZ'!$H$7:$T$207,MATCH($B150,'Actual-ACPLSZ'!$B$7:$B$207,0),MATCH(R$8,'Actual-ACPLSZ'!$H$6:$T$6,0))</f>
        <v>0</v>
      </c>
      <c r="S150" s="749">
        <f>INDEX('Budget-ACPLSZ'!$K$7:$W$207,MATCH($B150,'Budget-ACPLSZ'!$B$7:$B$207,0),MATCH(S$8,'Budget-ACPLSZ'!$K$6:$W$6,0))</f>
        <v>0</v>
      </c>
      <c r="T150" s="749">
        <f t="shared" si="83"/>
        <v>0</v>
      </c>
      <c r="U150" s="748"/>
      <c r="W150" s="749">
        <f>INDEX('Actual-ACPLGZ'!$H$7:$T$207,MATCH($B150,'Actual-ACPLGZ'!$B$7:$B$207,0),MATCH(W$8,'Actual-ACPLGZ'!$H$6:$T$6,0))</f>
        <v>0</v>
      </c>
      <c r="X150" s="749">
        <f>INDEX('Budget-ACPLGZ'!$K$7:$W$207,MATCH($B150,'Budget-ACPLGZ'!$B$7:$B$207,0),MATCH(X$8,'Budget-ACPLGZ'!$K$6:$W$6,0))</f>
        <v>0</v>
      </c>
      <c r="Y150" s="749">
        <f t="shared" si="91"/>
        <v>0</v>
      </c>
      <c r="Z150" s="748"/>
      <c r="AB150" s="749">
        <f>INDEX('Actual-ACPLGZ'!$H$7:$T$207,MATCH($B150,'Actual-ACPLGZ'!$B$7:$B$207,0),MATCH(AB$8,'Actual-ACPLGZ'!$H$6:$T$6,0))</f>
        <v>0</v>
      </c>
      <c r="AC150" s="749">
        <f>INDEX('Budget-Yixing'!$K$7:$W$207,MATCH($B150,'Budget-Yixing'!$B$7:$B$207,0),MATCH(AC$8,'Budget-Yixing'!$K$6:$W$6,0))</f>
        <v>0</v>
      </c>
      <c r="AD150" s="749">
        <f t="shared" si="84"/>
        <v>0</v>
      </c>
      <c r="AE150" s="748"/>
      <c r="AG150" s="751">
        <f>SUM(INDEX('Actual-ACPL'!$H$7:$T$207,MATCH($B150,'Actual-ACPL'!$B$7:$B$207,0),MATCH('Actual-ACPL'!H$6,'Actual-ACPL'!$H$6:$T$6,0)):INDEX('Actual-ACPL'!$H$7:$T$207,MATCH($B150,'Actual-ACPL'!$B$7:$B$207,0),MATCH(AG$8,'Actual-ACPL'!$H$6:$T$6,0)))</f>
        <v>0</v>
      </c>
      <c r="AH150" s="749">
        <f>SUM(INDEX('Budget-ACPL'!$K$7:$W$207,MATCH($B150,'Budget-ACPL'!$B$7:$B$207,0),MATCH('Budget-ACPL'!K$6,'Budget-ACPL'!$K$6:$W$6,0)):INDEX('Budget-ACPL'!$K$7:$W$207,MATCH($B150,'Budget-ACPL'!$B$7:$B$207,0),MATCH(AH$8,'Budget-ACPL'!$K$6:$W$6,0)))</f>
        <v>81285.234172500001</v>
      </c>
      <c r="AI150" s="749">
        <f t="shared" si="88"/>
        <v>-81285.234172500001</v>
      </c>
      <c r="AJ150" s="748"/>
      <c r="AL150" s="749">
        <f>SUM(INDEX('Actual-ACPLHK'!$H$7:$S$207,MATCH($B150,'Actual-ACPLHK'!$B$7:$B$207,0),MATCH('Actual-ACPLHK'!H$6,'Actual-ACPLHK'!$H$6:$T$6,0)):INDEX('Actual-ACPLHK'!$H$7:$S$207,MATCH($B150,'Actual-ACPLHK'!$B$7:$B$207,0),MATCH(AL$8,'Actual-ACPLHK'!$H$6:$T$6,0)))</f>
        <v>0</v>
      </c>
      <c r="AM150" s="749">
        <f>SUM(INDEX('Budget-ACPLHK'!$K$7:$W$207,MATCH($B150,'Budget-ACPLHK'!$B$7:$B$207,0),MATCH('Budget-ACPLHK'!K$6,'Budget-ACPLHK'!$K$6:$W$6,0)):INDEX('Budget-ACPLHK'!$K$7:$W$207,MATCH($B150,'Budget-ACPLHK'!$B$7:$B$207,0),MATCH(AM$8,'Budget-ACPLHK'!$K$6:$W$6,0)))</f>
        <v>13398.799449999999</v>
      </c>
      <c r="AN150" s="749">
        <f t="shared" si="85"/>
        <v>-13398.799449999999</v>
      </c>
      <c r="AO150" s="748"/>
      <c r="AQ150" s="749">
        <f>SUM(INDEX('Actual-ACPSZL'!$H$7:$T$207,MATCH($B150,'Actual-ACPSZL'!$B$7:$B$207,0),MATCH('Actual-ACPSZL'!H$6,'Actual-ACPSZL'!$H$6:$T$6,0)):INDEX('Actual-ACPSZL'!$H$7:$T$207,MATCH($B150,'Actual-ACPSZL'!$B$7:$B$207,0),MATCH(AQ$8,'Actual-ACPSZL'!$H$6:$T$6,0)))</f>
        <v>0</v>
      </c>
      <c r="AR150" s="749">
        <f>SUM(INDEX('Budget-ACPSZL'!$K$7:$W$207,MATCH($B150,'Budget-ACPSZL'!$B$7:$B$207,0),MATCH('Budget-ACPSZL'!K$6,'Budget-ACPSZL'!$K$6:$W$6,0)):INDEX('Budget-ACPSZL'!$K$7:$W$207,MATCH($B150,'Budget-ACPSZL'!$B$7:$B$207,0),MATCH(AR$8,'Budget-ACPSZL'!$K$6:$W$6,0)))</f>
        <v>0</v>
      </c>
      <c r="AS150" s="749">
        <f t="shared" si="89"/>
        <v>0</v>
      </c>
      <c r="AT150" s="748"/>
      <c r="AV150" s="749">
        <f>SUM(INDEX('Actual-ACPLSZ'!$H$7:$T$207,MATCH($B150,'Actual-ACPLSZ'!$B$7:$B$207,0),MATCH('Actual-ACPLSZ'!H$6,'Actual-ACPLSZ'!$H$6:$T$6,0)):INDEX('Actual-ACPLSZ'!$H$7:$T$207,MATCH($B150,'Actual-ACPLSZ'!$B$7:$B$207,0),MATCH(AV$8,'Actual-ACPLSZ'!$H$6:$T$6,0)))</f>
        <v>0</v>
      </c>
      <c r="AW150" s="749">
        <f>SUM(INDEX('Budget-ACPLSZ'!$K$7:$W$207,MATCH($B150,'Budget-ACPLSZ'!$B$7:$B$207,0),MATCH('Budget-ACPLSZ'!K$6,'Budget-ACPLSZ'!$K$6:$W$6,0)):INDEX('Budget-ACPLSZ'!$K$7:$W$207,MATCH($B150,'Budget-ACPLSZ'!$B$7:$B$207,0),MATCH(AW$8,'Budget-ACPLSZ'!$K$6:$W$6,0)))</f>
        <v>0</v>
      </c>
      <c r="AX150" s="749">
        <f t="shared" si="92"/>
        <v>0</v>
      </c>
      <c r="AY150" s="748"/>
      <c r="BA150" s="749">
        <f>SUM(INDEX('Actual-ACPLGZ'!$H$7:$T$207,MATCH($B150,'Actual-ACPLGZ'!$B$7:$B$207,0),MATCH('Actual-ACPLGZ'!H$6,'Actual-ACPLGZ'!$H$6:$T$6,0)):INDEX('Actual-ACPLGZ'!$H$7:$T$207,MATCH($B150,'Actual-ACPLGZ'!$B$7:$B$207,0),MATCH(BA$8,'Actual-ACPLGZ'!$H$6:$T$6,0)))</f>
        <v>0</v>
      </c>
      <c r="BB150" s="749">
        <f>SUM(INDEX('Budget-ACPLGZ'!$K$7:$W$207,MATCH($B150,'Budget-ACPLGZ'!$B$7:$B$207,0),MATCH('Budget-ACPLGZ'!K$6,'Budget-ACPLGZ'!$K$6:$W$6,0)):INDEX('Budget-ACPLGZ'!$K$7:$W$207,MATCH($B150,'Budget-ACPLGZ'!$B$7:$B$207,0),MATCH(BB$8,'Budget-ACPLGZ'!$K$6:$W$6,0)))</f>
        <v>0</v>
      </c>
      <c r="BC150" s="749">
        <f t="shared" si="86"/>
        <v>0</v>
      </c>
      <c r="BD150" s="748"/>
      <c r="BF150" s="749">
        <f>SUM(INDEX('Actual-ACPLYixing'!$H$7:$T$207,MATCH($B150,'Actual-ACPLYixing'!$B$7:$B$207,0),MATCH('Actual-ACPLYixing'!H$6,'Actual-ACPLYixing'!$H$6:$T$6,0)):INDEX('Actual-ACPLYixing'!$H$7:$T$207,MATCH($B150,'Actual-ACPLYixing'!$B$7:$B$207,0),MATCH(BF$8,'Actual-ACPLYixing'!$H$6:$T$6,0)))</f>
        <v>0</v>
      </c>
      <c r="BG150" s="749">
        <f>SUM(INDEX('Budget-Yixing'!$K$7:$W$207,MATCH($B150,'Budget-Yixing'!$B$7:$B$207,0),MATCH('Budget-Yixing'!K$6,'Budget-Yixing'!$K$6:$W$6,0)):INDEX('Budget-Yixing'!$K$7:$W$207,MATCH($B150,'Budget-Yixing'!$B$7:$B$207,0),MATCH(BG$8,'Budget-Yixing'!$K$6:$W$6,0)))</f>
        <v>0</v>
      </c>
      <c r="BH150" s="749">
        <f t="shared" si="87"/>
        <v>0</v>
      </c>
      <c r="BI150" s="748"/>
    </row>
    <row r="151" spans="1:61" ht="16.5" customHeight="1">
      <c r="A151" s="653" t="str">
        <f>'Budget-合并'!A149</f>
        <v>6602.22</v>
      </c>
      <c r="B151" s="653" t="str">
        <f>'Budget-合并'!B149</f>
        <v>工会经费</v>
      </c>
      <c r="C151" s="746">
        <f>INDEX('Actual-ACPL'!$H$7:$T$207,MATCH($B151,'Actual-ACPL'!$B$7:$B$207,0),MATCH(C$8,'Actual-ACPL'!$H$6:$T$6,0))</f>
        <v>0</v>
      </c>
      <c r="D151" s="746">
        <f>INDEX('Budget-ACPL'!$K$7:$W$207,MATCH($B151,'Budget-ACPL'!$B$7:$B$207,0),MATCH(D$8,'Budget-ACPL'!$K$6:$W$6,0))</f>
        <v>0</v>
      </c>
      <c r="E151" s="746">
        <f t="shared" si="81"/>
        <v>0</v>
      </c>
      <c r="F151" s="752"/>
      <c r="H151" s="749">
        <f>INDEX('Actual-ACPLHK'!$H$7:$T$207,MATCH($B151,'Actual-ACPLHK'!$B$7:$B$207,0),MATCH(H$8,'Actual-ACPLHK'!$H$6:$T$6,0))</f>
        <v>0</v>
      </c>
      <c r="I151" s="749">
        <f>INDEX('Budget-ACPLHK'!$K$7:$W$207,MATCH($B151,'Budget-ACPLHK'!$B$7:$B$207,0),MATCH(I$8,'Budget-ACPLHK'!$K$6:$W$6,0))</f>
        <v>0</v>
      </c>
      <c r="J151" s="749">
        <f t="shared" si="82"/>
        <v>0</v>
      </c>
      <c r="K151" s="748"/>
      <c r="M151" s="749">
        <f>INDEX('Actual-ACPSZL'!$H$7:$T$207,MATCH($B151,'Actual-ACPSZL'!$B$7:$B$207,0),MATCH(M$8,'Actual-ACPSZL'!$H$6:$T$6,0))</f>
        <v>0</v>
      </c>
      <c r="N151" s="749">
        <f>INDEX('Budget-ACPSZL'!$K$7:$W$207,MATCH($B151,'Budget-ACPSZL'!$B$7:$B$207,0),MATCH(N$8,'Budget-ACPSZL'!$K$6:$W$6,0))</f>
        <v>0</v>
      </c>
      <c r="O151" s="749">
        <f t="shared" si="90"/>
        <v>0</v>
      </c>
      <c r="P151" s="748"/>
      <c r="R151" s="749">
        <f>INDEX('Actual-ACPLSZ'!$H$7:$T$207,MATCH($B151,'Actual-ACPLSZ'!$B$7:$B$207,0),MATCH(R$8,'Actual-ACPLSZ'!$H$6:$T$6,0))</f>
        <v>0</v>
      </c>
      <c r="S151" s="749">
        <f>INDEX('Budget-ACPLSZ'!$K$7:$W$207,MATCH($B151,'Budget-ACPLSZ'!$B$7:$B$207,0),MATCH(S$8,'Budget-ACPLSZ'!$K$6:$W$6,0))</f>
        <v>0</v>
      </c>
      <c r="T151" s="749">
        <f t="shared" si="83"/>
        <v>0</v>
      </c>
      <c r="U151" s="748"/>
      <c r="W151" s="749">
        <f>INDEX('Actual-ACPLGZ'!$H$7:$T$207,MATCH($B151,'Actual-ACPLGZ'!$B$7:$B$207,0),MATCH(W$8,'Actual-ACPLGZ'!$H$6:$T$6,0))</f>
        <v>0</v>
      </c>
      <c r="X151" s="749">
        <f>INDEX('Budget-ACPLGZ'!$K$7:$W$207,MATCH($B151,'Budget-ACPLGZ'!$B$7:$B$207,0),MATCH(X$8,'Budget-ACPLGZ'!$K$6:$W$6,0))</f>
        <v>0</v>
      </c>
      <c r="Y151" s="749">
        <f t="shared" si="91"/>
        <v>0</v>
      </c>
      <c r="Z151" s="748"/>
      <c r="AB151" s="749">
        <f>INDEX('Actual-ACPLGZ'!$H$7:$T$207,MATCH($B151,'Actual-ACPLGZ'!$B$7:$B$207,0),MATCH(AB$8,'Actual-ACPLGZ'!$H$6:$T$6,0))</f>
        <v>0</v>
      </c>
      <c r="AC151" s="749">
        <f>INDEX('Budget-Yixing'!$K$7:$W$207,MATCH($B151,'Budget-Yixing'!$B$7:$B$207,0),MATCH(AC$8,'Budget-Yixing'!$K$6:$W$6,0))</f>
        <v>0</v>
      </c>
      <c r="AD151" s="749">
        <f t="shared" si="84"/>
        <v>0</v>
      </c>
      <c r="AE151" s="748"/>
      <c r="AG151" s="751">
        <f>SUM(INDEX('Actual-ACPL'!$H$7:$T$207,MATCH($B151,'Actual-ACPL'!$B$7:$B$207,0),MATCH('Actual-ACPL'!H$6,'Actual-ACPL'!$H$6:$T$6,0)):INDEX('Actual-ACPL'!$H$7:$T$207,MATCH($B151,'Actual-ACPL'!$B$7:$B$207,0),MATCH(AG$8,'Actual-ACPL'!$H$6:$T$6,0)))</f>
        <v>0</v>
      </c>
      <c r="AH151" s="749">
        <f>SUM(INDEX('Budget-ACPL'!$K$7:$W$207,MATCH($B151,'Budget-ACPL'!$B$7:$B$207,0),MATCH('Budget-ACPL'!K$6,'Budget-ACPL'!$K$6:$W$6,0)):INDEX('Budget-ACPL'!$K$7:$W$207,MATCH($B151,'Budget-ACPL'!$B$7:$B$207,0),MATCH(AH$8,'Budget-ACPL'!$K$6:$W$6,0)))</f>
        <v>0</v>
      </c>
      <c r="AI151" s="749">
        <f t="shared" si="88"/>
        <v>0</v>
      </c>
      <c r="AJ151" s="748"/>
      <c r="AL151" s="749">
        <f>SUM(INDEX('Actual-ACPLHK'!$H$7:$S$207,MATCH($B151,'Actual-ACPLHK'!$B$7:$B$207,0),MATCH('Actual-ACPLHK'!H$6,'Actual-ACPLHK'!$H$6:$T$6,0)):INDEX('Actual-ACPLHK'!$H$7:$S$207,MATCH($B151,'Actual-ACPLHK'!$B$7:$B$207,0),MATCH(AL$8,'Actual-ACPLHK'!$H$6:$T$6,0)))</f>
        <v>0</v>
      </c>
      <c r="AM151" s="749">
        <f>SUM(INDEX('Budget-ACPLHK'!$K$7:$W$207,MATCH($B151,'Budget-ACPLHK'!$B$7:$B$207,0),MATCH('Budget-ACPLHK'!K$6,'Budget-ACPLHK'!$K$6:$W$6,0)):INDEX('Budget-ACPLHK'!$K$7:$W$207,MATCH($B151,'Budget-ACPLHK'!$B$7:$B$207,0),MATCH(AM$8,'Budget-ACPLHK'!$K$6:$W$6,0)))</f>
        <v>0</v>
      </c>
      <c r="AN151" s="749">
        <f t="shared" si="85"/>
        <v>0</v>
      </c>
      <c r="AO151" s="748"/>
      <c r="AQ151" s="749">
        <f>SUM(INDEX('Actual-ACPSZL'!$H$7:$T$207,MATCH($B151,'Actual-ACPSZL'!$B$7:$B$207,0),MATCH('Actual-ACPSZL'!H$6,'Actual-ACPSZL'!$H$6:$T$6,0)):INDEX('Actual-ACPSZL'!$H$7:$T$207,MATCH($B151,'Actual-ACPSZL'!$B$7:$B$207,0),MATCH(AQ$8,'Actual-ACPSZL'!$H$6:$T$6,0)))</f>
        <v>0</v>
      </c>
      <c r="AR151" s="749">
        <f>SUM(INDEX('Budget-ACPSZL'!$K$7:$W$207,MATCH($B151,'Budget-ACPSZL'!$B$7:$B$207,0),MATCH('Budget-ACPSZL'!K$6,'Budget-ACPSZL'!$K$6:$W$6,0)):INDEX('Budget-ACPSZL'!$K$7:$W$207,MATCH($B151,'Budget-ACPSZL'!$B$7:$B$207,0),MATCH(AR$8,'Budget-ACPSZL'!$K$6:$W$6,0)))</f>
        <v>0</v>
      </c>
      <c r="AS151" s="749">
        <f t="shared" si="89"/>
        <v>0</v>
      </c>
      <c r="AT151" s="748"/>
      <c r="AV151" s="749">
        <f>SUM(INDEX('Actual-ACPLSZ'!$H$7:$T$207,MATCH($B151,'Actual-ACPLSZ'!$B$7:$B$207,0),MATCH('Actual-ACPLSZ'!H$6,'Actual-ACPLSZ'!$H$6:$T$6,0)):INDEX('Actual-ACPLSZ'!$H$7:$T$207,MATCH($B151,'Actual-ACPLSZ'!$B$7:$B$207,0),MATCH(AV$8,'Actual-ACPLSZ'!$H$6:$T$6,0)))</f>
        <v>0</v>
      </c>
      <c r="AW151" s="749">
        <f>SUM(INDEX('Budget-ACPLSZ'!$K$7:$W$207,MATCH($B151,'Budget-ACPLSZ'!$B$7:$B$207,0),MATCH('Budget-ACPLSZ'!K$6,'Budget-ACPLSZ'!$K$6:$W$6,0)):INDEX('Budget-ACPLSZ'!$K$7:$W$207,MATCH($B151,'Budget-ACPLSZ'!$B$7:$B$207,0),MATCH(AW$8,'Budget-ACPLSZ'!$K$6:$W$6,0)))</f>
        <v>0</v>
      </c>
      <c r="AX151" s="749">
        <f t="shared" si="92"/>
        <v>0</v>
      </c>
      <c r="AY151" s="748"/>
      <c r="BA151" s="749">
        <f>SUM(INDEX('Actual-ACPLGZ'!$H$7:$T$207,MATCH($B151,'Actual-ACPLGZ'!$B$7:$B$207,0),MATCH('Actual-ACPLGZ'!H$6,'Actual-ACPLGZ'!$H$6:$T$6,0)):INDEX('Actual-ACPLGZ'!$H$7:$T$207,MATCH($B151,'Actual-ACPLGZ'!$B$7:$B$207,0),MATCH(BA$8,'Actual-ACPLGZ'!$H$6:$T$6,0)))</f>
        <v>0</v>
      </c>
      <c r="BB151" s="749">
        <f>SUM(INDEX('Budget-ACPLGZ'!$K$7:$W$207,MATCH($B151,'Budget-ACPLGZ'!$B$7:$B$207,0),MATCH('Budget-ACPLGZ'!K$6,'Budget-ACPLGZ'!$K$6:$W$6,0)):INDEX('Budget-ACPLGZ'!$K$7:$W$207,MATCH($B151,'Budget-ACPLGZ'!$B$7:$B$207,0),MATCH(BB$8,'Budget-ACPLGZ'!$K$6:$W$6,0)))</f>
        <v>0</v>
      </c>
      <c r="BC151" s="749">
        <f t="shared" si="86"/>
        <v>0</v>
      </c>
      <c r="BD151" s="748"/>
      <c r="BF151" s="749">
        <f>SUM(INDEX('Actual-ACPLYixing'!$H$7:$T$207,MATCH($B151,'Actual-ACPLYixing'!$B$7:$B$207,0),MATCH('Actual-ACPLYixing'!H$6,'Actual-ACPLYixing'!$H$6:$T$6,0)):INDEX('Actual-ACPLYixing'!$H$7:$T$207,MATCH($B151,'Actual-ACPLYixing'!$B$7:$B$207,0),MATCH(BF$8,'Actual-ACPLYixing'!$H$6:$T$6,0)))</f>
        <v>0</v>
      </c>
      <c r="BG151" s="749">
        <f>SUM(INDEX('Budget-Yixing'!$K$7:$W$207,MATCH($B151,'Budget-Yixing'!$B$7:$B$207,0),MATCH('Budget-Yixing'!K$6,'Budget-Yixing'!$K$6:$W$6,0)):INDEX('Budget-Yixing'!$K$7:$W$207,MATCH($B151,'Budget-Yixing'!$B$7:$B$207,0),MATCH(BG$8,'Budget-Yixing'!$K$6:$W$6,0)))</f>
        <v>0</v>
      </c>
      <c r="BH151" s="749">
        <f t="shared" si="87"/>
        <v>0</v>
      </c>
      <c r="BI151" s="748"/>
    </row>
    <row r="152" spans="1:61" ht="16.5" customHeight="1">
      <c r="A152" s="653" t="str">
        <f>'Budget-合并'!A150</f>
        <v>6602.23</v>
      </c>
      <c r="B152" s="653" t="str">
        <f>'Budget-合并'!B150</f>
        <v>无形资产摊销</v>
      </c>
      <c r="C152" s="746">
        <f>INDEX('Actual-ACPL'!$H$7:$T$207,MATCH($B152,'Actual-ACPL'!$B$7:$B$207,0),MATCH(C$8,'Actual-ACPL'!$H$6:$T$6,0))</f>
        <v>0</v>
      </c>
      <c r="D152" s="746">
        <f>INDEX('Budget-ACPL'!$K$7:$W$207,MATCH($B152,'Budget-ACPL'!$B$7:$B$207,0),MATCH(D$8,'Budget-ACPL'!$K$6:$W$6,0))</f>
        <v>0</v>
      </c>
      <c r="E152" s="746">
        <f t="shared" si="81"/>
        <v>0</v>
      </c>
      <c r="F152" s="752"/>
      <c r="H152" s="749">
        <f>INDEX('Actual-ACPLHK'!$H$7:$T$207,MATCH($B152,'Actual-ACPLHK'!$B$7:$B$207,0),MATCH(H$8,'Actual-ACPLHK'!$H$6:$T$6,0))</f>
        <v>0</v>
      </c>
      <c r="I152" s="749">
        <f>INDEX('Budget-ACPLHK'!$K$7:$W$207,MATCH($B152,'Budget-ACPLHK'!$B$7:$B$207,0),MATCH(I$8,'Budget-ACPLHK'!$K$6:$W$6,0))</f>
        <v>0</v>
      </c>
      <c r="J152" s="749">
        <f t="shared" si="82"/>
        <v>0</v>
      </c>
      <c r="K152" s="748"/>
      <c r="M152" s="749">
        <f>INDEX('Actual-ACPSZL'!$H$7:$T$207,MATCH($B152,'Actual-ACPSZL'!$B$7:$B$207,0),MATCH(M$8,'Actual-ACPSZL'!$H$6:$T$6,0))</f>
        <v>0</v>
      </c>
      <c r="N152" s="749">
        <f>INDEX('Budget-ACPSZL'!$K$7:$W$207,MATCH($B152,'Budget-ACPSZL'!$B$7:$B$207,0),MATCH(N$8,'Budget-ACPSZL'!$K$6:$W$6,0))</f>
        <v>0</v>
      </c>
      <c r="O152" s="749">
        <f t="shared" si="90"/>
        <v>0</v>
      </c>
      <c r="P152" s="748"/>
      <c r="R152" s="749">
        <f>INDEX('Actual-ACPLSZ'!$H$7:$T$207,MATCH($B152,'Actual-ACPLSZ'!$B$7:$B$207,0),MATCH(R$8,'Actual-ACPLSZ'!$H$6:$T$6,0))</f>
        <v>0</v>
      </c>
      <c r="S152" s="749">
        <f>INDEX('Budget-ACPLSZ'!$K$7:$W$207,MATCH($B152,'Budget-ACPLSZ'!$B$7:$B$207,0),MATCH(S$8,'Budget-ACPLSZ'!$K$6:$W$6,0))</f>
        <v>0</v>
      </c>
      <c r="T152" s="749">
        <f t="shared" si="83"/>
        <v>0</v>
      </c>
      <c r="U152" s="748"/>
      <c r="W152" s="749">
        <f>INDEX('Actual-ACPLGZ'!$H$7:$T$207,MATCH($B152,'Actual-ACPLGZ'!$B$7:$B$207,0),MATCH(W$8,'Actual-ACPLGZ'!$H$6:$T$6,0))</f>
        <v>0</v>
      </c>
      <c r="X152" s="749">
        <f>INDEX('Budget-ACPLGZ'!$K$7:$W$207,MATCH($B152,'Budget-ACPLGZ'!$B$7:$B$207,0),MATCH(X$8,'Budget-ACPLGZ'!$K$6:$W$6,0))</f>
        <v>0</v>
      </c>
      <c r="Y152" s="749">
        <f t="shared" si="91"/>
        <v>0</v>
      </c>
      <c r="Z152" s="748"/>
      <c r="AB152" s="749">
        <f>INDEX('Actual-ACPLGZ'!$H$7:$T$207,MATCH($B152,'Actual-ACPLGZ'!$B$7:$B$207,0),MATCH(AB$8,'Actual-ACPLGZ'!$H$6:$T$6,0))</f>
        <v>0</v>
      </c>
      <c r="AC152" s="749">
        <f>INDEX('Budget-Yixing'!$K$7:$W$207,MATCH($B152,'Budget-Yixing'!$B$7:$B$207,0),MATCH(AC$8,'Budget-Yixing'!$K$6:$W$6,0))</f>
        <v>0</v>
      </c>
      <c r="AD152" s="749">
        <f t="shared" si="84"/>
        <v>0</v>
      </c>
      <c r="AE152" s="748"/>
      <c r="AG152" s="751">
        <f>SUM(INDEX('Actual-ACPL'!$H$7:$T$207,MATCH($B152,'Actual-ACPL'!$B$7:$B$207,0),MATCH('Actual-ACPL'!H$6,'Actual-ACPL'!$H$6:$T$6,0)):INDEX('Actual-ACPL'!$H$7:$T$207,MATCH($B152,'Actual-ACPL'!$B$7:$B$207,0),MATCH(AG$8,'Actual-ACPL'!$H$6:$T$6,0)))</f>
        <v>0</v>
      </c>
      <c r="AH152" s="749">
        <f>SUM(INDEX('Budget-ACPL'!$K$7:$W$207,MATCH($B152,'Budget-ACPL'!$B$7:$B$207,0),MATCH('Budget-ACPL'!K$6,'Budget-ACPL'!$K$6:$W$6,0)):INDEX('Budget-ACPL'!$K$7:$W$207,MATCH($B152,'Budget-ACPL'!$B$7:$B$207,0),MATCH(AH$8,'Budget-ACPL'!$K$6:$W$6,0)))</f>
        <v>0</v>
      </c>
      <c r="AI152" s="749">
        <f t="shared" si="88"/>
        <v>0</v>
      </c>
      <c r="AJ152" s="748"/>
      <c r="AL152" s="749">
        <f>SUM(INDEX('Actual-ACPLHK'!$H$7:$S$207,MATCH($B152,'Actual-ACPLHK'!$B$7:$B$207,0),MATCH('Actual-ACPLHK'!H$6,'Actual-ACPLHK'!$H$6:$T$6,0)):INDEX('Actual-ACPLHK'!$H$7:$S$207,MATCH($B152,'Actual-ACPLHK'!$B$7:$B$207,0),MATCH(AL$8,'Actual-ACPLHK'!$H$6:$T$6,0)))</f>
        <v>0</v>
      </c>
      <c r="AM152" s="749">
        <f>SUM(INDEX('Budget-ACPLHK'!$K$7:$W$207,MATCH($B152,'Budget-ACPLHK'!$B$7:$B$207,0),MATCH('Budget-ACPLHK'!K$6,'Budget-ACPLHK'!$K$6:$W$6,0)):INDEX('Budget-ACPLHK'!$K$7:$W$207,MATCH($B152,'Budget-ACPLHK'!$B$7:$B$207,0),MATCH(AM$8,'Budget-ACPLHK'!$K$6:$W$6,0)))</f>
        <v>0</v>
      </c>
      <c r="AN152" s="749">
        <f t="shared" si="85"/>
        <v>0</v>
      </c>
      <c r="AO152" s="748"/>
      <c r="AQ152" s="749">
        <f>SUM(INDEX('Actual-ACPSZL'!$H$7:$T$207,MATCH($B152,'Actual-ACPSZL'!$B$7:$B$207,0),MATCH('Actual-ACPSZL'!H$6,'Actual-ACPSZL'!$H$6:$T$6,0)):INDEX('Actual-ACPSZL'!$H$7:$T$207,MATCH($B152,'Actual-ACPSZL'!$B$7:$B$207,0),MATCH(AQ$8,'Actual-ACPSZL'!$H$6:$T$6,0)))</f>
        <v>0</v>
      </c>
      <c r="AR152" s="749">
        <f>SUM(INDEX('Budget-ACPSZL'!$K$7:$W$207,MATCH($B152,'Budget-ACPSZL'!$B$7:$B$207,0),MATCH('Budget-ACPSZL'!K$6,'Budget-ACPSZL'!$K$6:$W$6,0)):INDEX('Budget-ACPSZL'!$K$7:$W$207,MATCH($B152,'Budget-ACPSZL'!$B$7:$B$207,0),MATCH(AR$8,'Budget-ACPSZL'!$K$6:$W$6,0)))</f>
        <v>0</v>
      </c>
      <c r="AS152" s="749">
        <f t="shared" si="89"/>
        <v>0</v>
      </c>
      <c r="AT152" s="748"/>
      <c r="AV152" s="749">
        <f>SUM(INDEX('Actual-ACPLSZ'!$H$7:$T$207,MATCH($B152,'Actual-ACPLSZ'!$B$7:$B$207,0),MATCH('Actual-ACPLSZ'!H$6,'Actual-ACPLSZ'!$H$6:$T$6,0)):INDEX('Actual-ACPLSZ'!$H$7:$T$207,MATCH($B152,'Actual-ACPLSZ'!$B$7:$B$207,0),MATCH(AV$8,'Actual-ACPLSZ'!$H$6:$T$6,0)))</f>
        <v>0</v>
      </c>
      <c r="AW152" s="749">
        <f>SUM(INDEX('Budget-ACPLSZ'!$K$7:$W$207,MATCH($B152,'Budget-ACPLSZ'!$B$7:$B$207,0),MATCH('Budget-ACPLSZ'!K$6,'Budget-ACPLSZ'!$K$6:$W$6,0)):INDEX('Budget-ACPLSZ'!$K$7:$W$207,MATCH($B152,'Budget-ACPLSZ'!$B$7:$B$207,0),MATCH(AW$8,'Budget-ACPLSZ'!$K$6:$W$6,0)))</f>
        <v>0</v>
      </c>
      <c r="AX152" s="749">
        <f t="shared" si="92"/>
        <v>0</v>
      </c>
      <c r="AY152" s="748"/>
      <c r="BA152" s="749">
        <f>SUM(INDEX('Actual-ACPLGZ'!$H$7:$T$207,MATCH($B152,'Actual-ACPLGZ'!$B$7:$B$207,0),MATCH('Actual-ACPLGZ'!H$6,'Actual-ACPLGZ'!$H$6:$T$6,0)):INDEX('Actual-ACPLGZ'!$H$7:$T$207,MATCH($B152,'Actual-ACPLGZ'!$B$7:$B$207,0),MATCH(BA$8,'Actual-ACPLGZ'!$H$6:$T$6,0)))</f>
        <v>0</v>
      </c>
      <c r="BB152" s="749">
        <f>SUM(INDEX('Budget-ACPLGZ'!$K$7:$W$207,MATCH($B152,'Budget-ACPLGZ'!$B$7:$B$207,0),MATCH('Budget-ACPLGZ'!K$6,'Budget-ACPLGZ'!$K$6:$W$6,0)):INDEX('Budget-ACPLGZ'!$K$7:$W$207,MATCH($B152,'Budget-ACPLGZ'!$B$7:$B$207,0),MATCH(BB$8,'Budget-ACPLGZ'!$K$6:$W$6,0)))</f>
        <v>0</v>
      </c>
      <c r="BC152" s="749">
        <f t="shared" si="86"/>
        <v>0</v>
      </c>
      <c r="BD152" s="748"/>
      <c r="BF152" s="749">
        <f>SUM(INDEX('Actual-ACPLYixing'!$H$7:$T$207,MATCH($B152,'Actual-ACPLYixing'!$B$7:$B$207,0),MATCH('Actual-ACPLYixing'!H$6,'Actual-ACPLYixing'!$H$6:$T$6,0)):INDEX('Actual-ACPLYixing'!$H$7:$T$207,MATCH($B152,'Actual-ACPLYixing'!$B$7:$B$207,0),MATCH(BF$8,'Actual-ACPLYixing'!$H$6:$T$6,0)))</f>
        <v>0</v>
      </c>
      <c r="BG152" s="749">
        <f>SUM(INDEX('Budget-Yixing'!$K$7:$W$207,MATCH($B152,'Budget-Yixing'!$B$7:$B$207,0),MATCH('Budget-Yixing'!K$6,'Budget-Yixing'!$K$6:$W$6,0)):INDEX('Budget-Yixing'!$K$7:$W$207,MATCH($B152,'Budget-Yixing'!$B$7:$B$207,0),MATCH(BG$8,'Budget-Yixing'!$K$6:$W$6,0)))</f>
        <v>0</v>
      </c>
      <c r="BH152" s="749">
        <f t="shared" si="87"/>
        <v>0</v>
      </c>
      <c r="BI152" s="748"/>
    </row>
    <row r="153" spans="1:61" ht="16.5" customHeight="1">
      <c r="A153" s="653" t="str">
        <f>'Budget-合并'!A151</f>
        <v>6602.24</v>
      </c>
      <c r="B153" s="653" t="str">
        <f>'Budget-合并'!B151</f>
        <v>监管费用</v>
      </c>
      <c r="C153" s="746">
        <f>INDEX('Actual-ACPL'!$H$7:$T$207,MATCH($B153,'Actual-ACPL'!$B$7:$B$207,0),MATCH(C$8,'Actual-ACPL'!$H$6:$T$6,0))</f>
        <v>0</v>
      </c>
      <c r="D153" s="746">
        <f>INDEX('Budget-ACPL'!$K$7:$W$207,MATCH($B153,'Budget-ACPL'!$B$7:$B$207,0),MATCH(D$8,'Budget-ACPL'!$K$6:$W$6,0))</f>
        <v>0</v>
      </c>
      <c r="E153" s="746">
        <f t="shared" si="81"/>
        <v>0</v>
      </c>
      <c r="F153" s="752"/>
      <c r="H153" s="749">
        <f>INDEX('Actual-ACPLHK'!$H$7:$T$207,MATCH($B153,'Actual-ACPLHK'!$B$7:$B$207,0),MATCH(H$8,'Actual-ACPLHK'!$H$6:$T$6,0))</f>
        <v>0</v>
      </c>
      <c r="I153" s="749">
        <f>INDEX('Budget-ACPLHK'!$K$7:$W$207,MATCH($B153,'Budget-ACPLHK'!$B$7:$B$207,0),MATCH(I$8,'Budget-ACPLHK'!$K$6:$W$6,0))</f>
        <v>9480</v>
      </c>
      <c r="J153" s="749">
        <f t="shared" si="82"/>
        <v>-9480</v>
      </c>
      <c r="K153" s="748"/>
      <c r="M153" s="749">
        <f>INDEX('Actual-ACPSZL'!$H$7:$T$207,MATCH($B153,'Actual-ACPSZL'!$B$7:$B$207,0),MATCH(M$8,'Actual-ACPSZL'!$H$6:$T$6,0))</f>
        <v>0</v>
      </c>
      <c r="N153" s="749">
        <f>INDEX('Budget-ACPSZL'!$K$7:$W$207,MATCH($B153,'Budget-ACPSZL'!$B$7:$B$207,0),MATCH(N$8,'Budget-ACPSZL'!$K$6:$W$6,0))</f>
        <v>0</v>
      </c>
      <c r="O153" s="749">
        <f t="shared" si="90"/>
        <v>0</v>
      </c>
      <c r="P153" s="748"/>
      <c r="R153" s="749">
        <f>INDEX('Actual-ACPLSZ'!$H$7:$T$207,MATCH($B153,'Actual-ACPLSZ'!$B$7:$B$207,0),MATCH(R$8,'Actual-ACPLSZ'!$H$6:$T$6,0))</f>
        <v>0</v>
      </c>
      <c r="S153" s="749">
        <f>INDEX('Budget-ACPLSZ'!$K$7:$W$207,MATCH($B153,'Budget-ACPLSZ'!$B$7:$B$207,0),MATCH(S$8,'Budget-ACPLSZ'!$K$6:$W$6,0))</f>
        <v>0</v>
      </c>
      <c r="T153" s="749">
        <f t="shared" si="83"/>
        <v>0</v>
      </c>
      <c r="U153" s="748"/>
      <c r="W153" s="749">
        <f>INDEX('Actual-ACPLGZ'!$H$7:$T$207,MATCH($B153,'Actual-ACPLGZ'!$B$7:$B$207,0),MATCH(W$8,'Actual-ACPLGZ'!$H$6:$T$6,0))</f>
        <v>0</v>
      </c>
      <c r="X153" s="749">
        <f>INDEX('Budget-ACPLGZ'!$K$7:$W$207,MATCH($B153,'Budget-ACPLGZ'!$B$7:$B$207,0),MATCH(X$8,'Budget-ACPLGZ'!$K$6:$W$6,0))</f>
        <v>0</v>
      </c>
      <c r="Y153" s="749">
        <f t="shared" si="91"/>
        <v>0</v>
      </c>
      <c r="Z153" s="748"/>
      <c r="AB153" s="749">
        <f>INDEX('Actual-ACPLGZ'!$H$7:$T$207,MATCH($B153,'Actual-ACPLGZ'!$B$7:$B$207,0),MATCH(AB$8,'Actual-ACPLGZ'!$H$6:$T$6,0))</f>
        <v>0</v>
      </c>
      <c r="AC153" s="749">
        <f>INDEX('Budget-Yixing'!$K$7:$W$207,MATCH($B153,'Budget-Yixing'!$B$7:$B$207,0),MATCH(AC$8,'Budget-Yixing'!$K$6:$W$6,0))</f>
        <v>0</v>
      </c>
      <c r="AD153" s="749">
        <f t="shared" si="84"/>
        <v>0</v>
      </c>
      <c r="AE153" s="748"/>
      <c r="AG153" s="751">
        <f>SUM(INDEX('Actual-ACPL'!$H$7:$T$207,MATCH($B153,'Actual-ACPL'!$B$7:$B$207,0),MATCH('Actual-ACPL'!H$6,'Actual-ACPL'!$H$6:$T$6,0)):INDEX('Actual-ACPL'!$H$7:$T$207,MATCH($B153,'Actual-ACPL'!$B$7:$B$207,0),MATCH(AG$8,'Actual-ACPL'!$H$6:$T$6,0)))</f>
        <v>0</v>
      </c>
      <c r="AH153" s="749">
        <f>SUM(INDEX('Budget-ACPL'!$K$7:$W$207,MATCH($B153,'Budget-ACPL'!$B$7:$B$207,0),MATCH('Budget-ACPL'!K$6,'Budget-ACPL'!$K$6:$W$6,0)):INDEX('Budget-ACPL'!$K$7:$W$207,MATCH($B153,'Budget-ACPL'!$B$7:$B$207,0),MATCH(AH$8,'Budget-ACPL'!$K$6:$W$6,0)))</f>
        <v>0</v>
      </c>
      <c r="AI153" s="749">
        <f t="shared" si="88"/>
        <v>0</v>
      </c>
      <c r="AJ153" s="748"/>
      <c r="AL153" s="749">
        <f>SUM(INDEX('Actual-ACPLHK'!$H$7:$S$207,MATCH($B153,'Actual-ACPLHK'!$B$7:$B$207,0),MATCH('Actual-ACPLHK'!H$6,'Actual-ACPLHK'!$H$6:$T$6,0)):INDEX('Actual-ACPLHK'!$H$7:$S$207,MATCH($B153,'Actual-ACPLHK'!$B$7:$B$207,0),MATCH(AL$8,'Actual-ACPLHK'!$H$6:$T$6,0)))</f>
        <v>0</v>
      </c>
      <c r="AM153" s="749">
        <f>SUM(INDEX('Budget-ACPLHK'!$K$7:$W$207,MATCH($B153,'Budget-ACPLHK'!$B$7:$B$207,0),MATCH('Budget-ACPLHK'!K$6,'Budget-ACPLHK'!$K$6:$W$6,0)):INDEX('Budget-ACPLHK'!$K$7:$W$207,MATCH($B153,'Budget-ACPLHK'!$B$7:$B$207,0),MATCH(AM$8,'Budget-ACPLHK'!$K$6:$W$6,0)))</f>
        <v>9480</v>
      </c>
      <c r="AN153" s="749">
        <f t="shared" si="85"/>
        <v>-9480</v>
      </c>
      <c r="AO153" s="748"/>
      <c r="AQ153" s="749">
        <f>SUM(INDEX('Actual-ACPSZL'!$H$7:$T$207,MATCH($B153,'Actual-ACPSZL'!$B$7:$B$207,0),MATCH('Actual-ACPSZL'!H$6,'Actual-ACPSZL'!$H$6:$T$6,0)):INDEX('Actual-ACPSZL'!$H$7:$T$207,MATCH($B153,'Actual-ACPSZL'!$B$7:$B$207,0),MATCH(AQ$8,'Actual-ACPSZL'!$H$6:$T$6,0)))</f>
        <v>0</v>
      </c>
      <c r="AR153" s="749">
        <f>SUM(INDEX('Budget-ACPSZL'!$K$7:$W$207,MATCH($B153,'Budget-ACPSZL'!$B$7:$B$207,0),MATCH('Budget-ACPSZL'!K$6,'Budget-ACPSZL'!$K$6:$W$6,0)):INDEX('Budget-ACPSZL'!$K$7:$W$207,MATCH($B153,'Budget-ACPSZL'!$B$7:$B$207,0),MATCH(AR$8,'Budget-ACPSZL'!$K$6:$W$6,0)))</f>
        <v>0</v>
      </c>
      <c r="AS153" s="749">
        <f t="shared" si="89"/>
        <v>0</v>
      </c>
      <c r="AT153" s="748"/>
      <c r="AV153" s="749">
        <f>SUM(INDEX('Actual-ACPLSZ'!$H$7:$T$207,MATCH($B153,'Actual-ACPLSZ'!$B$7:$B$207,0),MATCH('Actual-ACPLSZ'!H$6,'Actual-ACPLSZ'!$H$6:$T$6,0)):INDEX('Actual-ACPLSZ'!$H$7:$T$207,MATCH($B153,'Actual-ACPLSZ'!$B$7:$B$207,0),MATCH(AV$8,'Actual-ACPLSZ'!$H$6:$T$6,0)))</f>
        <v>0</v>
      </c>
      <c r="AW153" s="749">
        <f>SUM(INDEX('Budget-ACPLSZ'!$K$7:$W$207,MATCH($B153,'Budget-ACPLSZ'!$B$7:$B$207,0),MATCH('Budget-ACPLSZ'!K$6,'Budget-ACPLSZ'!$K$6:$W$6,0)):INDEX('Budget-ACPLSZ'!$K$7:$W$207,MATCH($B153,'Budget-ACPLSZ'!$B$7:$B$207,0),MATCH(AW$8,'Budget-ACPLSZ'!$K$6:$W$6,0)))</f>
        <v>0</v>
      </c>
      <c r="AX153" s="749">
        <f t="shared" si="92"/>
        <v>0</v>
      </c>
      <c r="AY153" s="748"/>
      <c r="BA153" s="749">
        <f>SUM(INDEX('Actual-ACPLGZ'!$H$7:$T$207,MATCH($B153,'Actual-ACPLGZ'!$B$7:$B$207,0),MATCH('Actual-ACPLGZ'!H$6,'Actual-ACPLGZ'!$H$6:$T$6,0)):INDEX('Actual-ACPLGZ'!$H$7:$T$207,MATCH($B153,'Actual-ACPLGZ'!$B$7:$B$207,0),MATCH(BA$8,'Actual-ACPLGZ'!$H$6:$T$6,0)))</f>
        <v>0</v>
      </c>
      <c r="BB153" s="749">
        <f>SUM(INDEX('Budget-ACPLGZ'!$K$7:$W$207,MATCH($B153,'Budget-ACPLGZ'!$B$7:$B$207,0),MATCH('Budget-ACPLGZ'!K$6,'Budget-ACPLGZ'!$K$6:$W$6,0)):INDEX('Budget-ACPLGZ'!$K$7:$W$207,MATCH($B153,'Budget-ACPLGZ'!$B$7:$B$207,0),MATCH(BB$8,'Budget-ACPLGZ'!$K$6:$W$6,0)))</f>
        <v>0</v>
      </c>
      <c r="BC153" s="749">
        <f t="shared" si="86"/>
        <v>0</v>
      </c>
      <c r="BD153" s="748"/>
      <c r="BF153" s="749">
        <f>SUM(INDEX('Actual-ACPLYixing'!$H$7:$T$207,MATCH($B153,'Actual-ACPLYixing'!$B$7:$B$207,0),MATCH('Actual-ACPLYixing'!H$6,'Actual-ACPLYixing'!$H$6:$T$6,0)):INDEX('Actual-ACPLYixing'!$H$7:$T$207,MATCH($B153,'Actual-ACPLYixing'!$B$7:$B$207,0),MATCH(BF$8,'Actual-ACPLYixing'!$H$6:$T$6,0)))</f>
        <v>0</v>
      </c>
      <c r="BG153" s="749">
        <f>SUM(INDEX('Budget-Yixing'!$K$7:$W$207,MATCH($B153,'Budget-Yixing'!$B$7:$B$207,0),MATCH('Budget-Yixing'!K$6,'Budget-Yixing'!$K$6:$W$6,0)):INDEX('Budget-Yixing'!$K$7:$W$207,MATCH($B153,'Budget-Yixing'!$B$7:$B$207,0),MATCH(BG$8,'Budget-Yixing'!$K$6:$W$6,0)))</f>
        <v>0</v>
      </c>
      <c r="BH153" s="749">
        <f t="shared" si="87"/>
        <v>0</v>
      </c>
      <c r="BI153" s="748"/>
    </row>
    <row r="154" spans="1:61" ht="16.5" customHeight="1">
      <c r="A154" s="653" t="str">
        <f>'Budget-合并'!A152</f>
        <v>6602.99</v>
      </c>
      <c r="B154" s="653" t="str">
        <f>'Budget-合并'!B152</f>
        <v>其他</v>
      </c>
      <c r="C154" s="746">
        <f>INDEX('Actual-ACPL'!$H$7:$T$207,MATCH($B154,'Actual-ACPL'!$B$7:$B$207,0),MATCH(C$8,'Actual-ACPL'!$H$6:$T$6,0))</f>
        <v>0</v>
      </c>
      <c r="D154" s="746">
        <f>INDEX('Budget-ACPL'!$K$7:$W$207,MATCH($B154,'Budget-ACPL'!$B$7:$B$207,0),MATCH(D$8,'Budget-ACPL'!$K$6:$W$6,0))</f>
        <v>0</v>
      </c>
      <c r="E154" s="746">
        <f t="shared" si="81"/>
        <v>0</v>
      </c>
      <c r="F154" s="752"/>
      <c r="H154" s="749">
        <f>INDEX('Actual-ACPLHK'!$H$7:$T$207,MATCH($B154,'Actual-ACPLHK'!$B$7:$B$207,0),MATCH(H$8,'Actual-ACPLHK'!$H$6:$T$6,0))</f>
        <v>0</v>
      </c>
      <c r="I154" s="749">
        <f>INDEX('Budget-ACPLHK'!$K$7:$W$207,MATCH($B154,'Budget-ACPLHK'!$B$7:$B$207,0),MATCH(I$8,'Budget-ACPLHK'!$K$6:$W$6,0))</f>
        <v>0</v>
      </c>
      <c r="J154" s="749">
        <f t="shared" si="82"/>
        <v>0</v>
      </c>
      <c r="K154" s="748"/>
      <c r="M154" s="749">
        <f>INDEX('Actual-ACPSZL'!$H$7:$T$207,MATCH($B154,'Actual-ACPSZL'!$B$7:$B$207,0),MATCH(M$8,'Actual-ACPSZL'!$H$6:$T$6,0))</f>
        <v>0</v>
      </c>
      <c r="N154" s="749">
        <f>INDEX('Budget-ACPSZL'!$K$7:$W$207,MATCH($B154,'Budget-ACPSZL'!$B$7:$B$207,0),MATCH(N$8,'Budget-ACPSZL'!$K$6:$W$6,0))</f>
        <v>0</v>
      </c>
      <c r="O154" s="749">
        <f t="shared" si="90"/>
        <v>0</v>
      </c>
      <c r="P154" s="748"/>
      <c r="R154" s="749">
        <f>INDEX('Actual-ACPLSZ'!$H$7:$T$207,MATCH($B154,'Actual-ACPLSZ'!$B$7:$B$207,0),MATCH(R$8,'Actual-ACPLSZ'!$H$6:$T$6,0))</f>
        <v>0</v>
      </c>
      <c r="S154" s="749">
        <f>INDEX('Budget-ACPLSZ'!$K$7:$W$207,MATCH($B154,'Budget-ACPLSZ'!$B$7:$B$207,0),MATCH(S$8,'Budget-ACPLSZ'!$K$6:$W$6,0))</f>
        <v>0</v>
      </c>
      <c r="T154" s="749">
        <f t="shared" si="83"/>
        <v>0</v>
      </c>
      <c r="U154" s="748"/>
      <c r="W154" s="749">
        <f>INDEX('Actual-ACPLGZ'!$H$7:$T$207,MATCH($B154,'Actual-ACPLGZ'!$B$7:$B$207,0),MATCH(W$8,'Actual-ACPLGZ'!$H$6:$T$6,0))</f>
        <v>0</v>
      </c>
      <c r="X154" s="749">
        <f>INDEX('Budget-ACPLGZ'!$K$7:$W$207,MATCH($B154,'Budget-ACPLGZ'!$B$7:$B$207,0),MATCH(X$8,'Budget-ACPLGZ'!$K$6:$W$6,0))</f>
        <v>0</v>
      </c>
      <c r="Y154" s="749">
        <f t="shared" si="91"/>
        <v>0</v>
      </c>
      <c r="Z154" s="748"/>
      <c r="AB154" s="749">
        <f>INDEX('Actual-ACPLGZ'!$H$7:$T$207,MATCH($B154,'Actual-ACPLGZ'!$B$7:$B$207,0),MATCH(AB$8,'Actual-ACPLGZ'!$H$6:$T$6,0))</f>
        <v>0</v>
      </c>
      <c r="AC154" s="749">
        <f>INDEX('Budget-Yixing'!$K$7:$W$207,MATCH($B154,'Budget-Yixing'!$B$7:$B$207,0),MATCH(AC$8,'Budget-Yixing'!$K$6:$W$6,0))</f>
        <v>0</v>
      </c>
      <c r="AD154" s="749">
        <f t="shared" si="84"/>
        <v>0</v>
      </c>
      <c r="AE154" s="748"/>
      <c r="AG154" s="751">
        <f>SUM(INDEX('Actual-ACPL'!$H$7:$T$207,MATCH($B154,'Actual-ACPL'!$B$7:$B$207,0),MATCH('Actual-ACPL'!H$6,'Actual-ACPL'!$H$6:$T$6,0)):INDEX('Actual-ACPL'!$H$7:$T$207,MATCH($B154,'Actual-ACPL'!$B$7:$B$207,0),MATCH(AG$8,'Actual-ACPL'!$H$6:$T$6,0)))</f>
        <v>0</v>
      </c>
      <c r="AH154" s="749">
        <f>SUM(INDEX('Budget-ACPL'!$K$7:$W$207,MATCH($B154,'Budget-ACPL'!$B$7:$B$207,0),MATCH('Budget-ACPL'!K$6,'Budget-ACPL'!$K$6:$W$6,0)):INDEX('Budget-ACPL'!$K$7:$W$207,MATCH($B154,'Budget-ACPL'!$B$7:$B$207,0),MATCH(AH$8,'Budget-ACPL'!$K$6:$W$6,0)))</f>
        <v>0</v>
      </c>
      <c r="AI154" s="749">
        <f t="shared" si="88"/>
        <v>0</v>
      </c>
      <c r="AJ154" s="748"/>
      <c r="AL154" s="749">
        <f>SUM(INDEX('Actual-ACPLHK'!$H$7:$S$207,MATCH($B154,'Actual-ACPLHK'!$B$7:$B$207,0),MATCH('Actual-ACPLHK'!H$6,'Actual-ACPLHK'!$H$6:$T$6,0)):INDEX('Actual-ACPLHK'!$H$7:$S$207,MATCH($B154,'Actual-ACPLHK'!$B$7:$B$207,0),MATCH(AL$8,'Actual-ACPLHK'!$H$6:$T$6,0)))</f>
        <v>0</v>
      </c>
      <c r="AM154" s="749">
        <f>SUM(INDEX('Budget-ACPLHK'!$K$7:$W$207,MATCH($B154,'Budget-ACPLHK'!$B$7:$B$207,0),MATCH('Budget-ACPLHK'!K$6,'Budget-ACPLHK'!$K$6:$W$6,0)):INDEX('Budget-ACPLHK'!$K$7:$W$207,MATCH($B154,'Budget-ACPLHK'!$B$7:$B$207,0),MATCH(AM$8,'Budget-ACPLHK'!$K$6:$W$6,0)))</f>
        <v>0</v>
      </c>
      <c r="AN154" s="749">
        <f t="shared" si="85"/>
        <v>0</v>
      </c>
      <c r="AO154" s="748"/>
      <c r="AQ154" s="749">
        <f>SUM(INDEX('Actual-ACPSZL'!$H$7:$T$207,MATCH($B154,'Actual-ACPSZL'!$B$7:$B$207,0),MATCH('Actual-ACPSZL'!H$6,'Actual-ACPSZL'!$H$6:$T$6,0)):INDEX('Actual-ACPSZL'!$H$7:$T$207,MATCH($B154,'Actual-ACPSZL'!$B$7:$B$207,0),MATCH(AQ$8,'Actual-ACPSZL'!$H$6:$T$6,0)))</f>
        <v>0</v>
      </c>
      <c r="AR154" s="749">
        <f>SUM(INDEX('Budget-ACPSZL'!$K$7:$W$207,MATCH($B154,'Budget-ACPSZL'!$B$7:$B$207,0),MATCH('Budget-ACPSZL'!K$6,'Budget-ACPSZL'!$K$6:$W$6,0)):INDEX('Budget-ACPSZL'!$K$7:$W$207,MATCH($B154,'Budget-ACPSZL'!$B$7:$B$207,0),MATCH(AR$8,'Budget-ACPSZL'!$K$6:$W$6,0)))</f>
        <v>0</v>
      </c>
      <c r="AS154" s="749">
        <f t="shared" si="89"/>
        <v>0</v>
      </c>
      <c r="AT154" s="748"/>
      <c r="AV154" s="749">
        <f>SUM(INDEX('Actual-ACPLSZ'!$H$7:$T$207,MATCH($B154,'Actual-ACPLSZ'!$B$7:$B$207,0),MATCH('Actual-ACPLSZ'!H$6,'Actual-ACPLSZ'!$H$6:$T$6,0)):INDEX('Actual-ACPLSZ'!$H$7:$T$207,MATCH($B154,'Actual-ACPLSZ'!$B$7:$B$207,0),MATCH(AV$8,'Actual-ACPLSZ'!$H$6:$T$6,0)))</f>
        <v>0</v>
      </c>
      <c r="AW154" s="749">
        <f>SUM(INDEX('Budget-ACPLSZ'!$K$7:$W$207,MATCH($B154,'Budget-ACPLSZ'!$B$7:$B$207,0),MATCH('Budget-ACPLSZ'!K$6,'Budget-ACPLSZ'!$K$6:$W$6,0)):INDEX('Budget-ACPLSZ'!$K$7:$W$207,MATCH($B154,'Budget-ACPLSZ'!$B$7:$B$207,0),MATCH(AW$8,'Budget-ACPLSZ'!$K$6:$W$6,0)))</f>
        <v>0</v>
      </c>
      <c r="AX154" s="749">
        <f t="shared" si="92"/>
        <v>0</v>
      </c>
      <c r="AY154" s="748"/>
      <c r="BA154" s="749">
        <f>SUM(INDEX('Actual-ACPLGZ'!$H$7:$T$207,MATCH($B154,'Actual-ACPLGZ'!$B$7:$B$207,0),MATCH('Actual-ACPLGZ'!H$6,'Actual-ACPLGZ'!$H$6:$T$6,0)):INDEX('Actual-ACPLGZ'!$H$7:$T$207,MATCH($B154,'Actual-ACPLGZ'!$B$7:$B$207,0),MATCH(BA$8,'Actual-ACPLGZ'!$H$6:$T$6,0)))</f>
        <v>0</v>
      </c>
      <c r="BB154" s="749">
        <f>SUM(INDEX('Budget-ACPLGZ'!$K$7:$W$207,MATCH($B154,'Budget-ACPLGZ'!$B$7:$B$207,0),MATCH('Budget-ACPLGZ'!K$6,'Budget-ACPLGZ'!$K$6:$W$6,0)):INDEX('Budget-ACPLGZ'!$K$7:$W$207,MATCH($B154,'Budget-ACPLGZ'!$B$7:$B$207,0),MATCH(BB$8,'Budget-ACPLGZ'!$K$6:$W$6,0)))</f>
        <v>0</v>
      </c>
      <c r="BC154" s="749">
        <f t="shared" si="86"/>
        <v>0</v>
      </c>
      <c r="BD154" s="748"/>
      <c r="BF154" s="749">
        <f>SUM(INDEX('Actual-ACPLYixing'!$H$7:$T$207,MATCH($B154,'Actual-ACPLYixing'!$B$7:$B$207,0),MATCH('Actual-ACPLYixing'!H$6,'Actual-ACPLYixing'!$H$6:$T$6,0)):INDEX('Actual-ACPLYixing'!$H$7:$T$207,MATCH($B154,'Actual-ACPLYixing'!$B$7:$B$207,0),MATCH(BF$8,'Actual-ACPLYixing'!$H$6:$T$6,0)))</f>
        <v>0</v>
      </c>
      <c r="BG154" s="749">
        <f>SUM(INDEX('Budget-Yixing'!$K$7:$W$207,MATCH($B154,'Budget-Yixing'!$B$7:$B$207,0),MATCH('Budget-Yixing'!K$6,'Budget-Yixing'!$K$6:$W$6,0)):INDEX('Budget-Yixing'!$K$7:$W$207,MATCH($B154,'Budget-Yixing'!$B$7:$B$207,0),MATCH(BG$8,'Budget-Yixing'!$K$6:$W$6,0)))</f>
        <v>0</v>
      </c>
      <c r="BH154" s="749">
        <f t="shared" si="87"/>
        <v>0</v>
      </c>
      <c r="BI154" s="748"/>
    </row>
    <row r="155" spans="1:61" ht="16.5" customHeight="1">
      <c r="A155" s="653">
        <f>'Budget-合并'!A153</f>
        <v>0</v>
      </c>
      <c r="B155" s="653" t="str">
        <f>'Budget-合并'!B153</f>
        <v>管理费用合计</v>
      </c>
      <c r="C155" s="746">
        <f>INDEX('Actual-ACPL'!$H$7:$T$207,MATCH($B155,'Actual-ACPL'!$B$7:$B$207,0),MATCH(C$8,'Actual-ACPL'!$H$6:$T$6,0))</f>
        <v>0</v>
      </c>
      <c r="D155" s="746">
        <f ca="1">INDEX('Budget-ACPL'!$K$7:$W$207,MATCH($B155,'Budget-ACPL'!$B$7:$B$207,0),MATCH(D$8,'Budget-ACPL'!$K$6:$W$6,0))</f>
        <v>160761.62671095831</v>
      </c>
      <c r="E155" s="746">
        <f t="shared" ca="1" si="81"/>
        <v>-160761.62671095831</v>
      </c>
      <c r="F155" s="752"/>
      <c r="H155" s="749">
        <f>INDEX('Actual-ACPLHK'!$H$7:$T$207,MATCH($B155,'Actual-ACPLHK'!$B$7:$B$207,0),MATCH(H$8,'Actual-ACPLHK'!$H$6:$T$6,0))</f>
        <v>0</v>
      </c>
      <c r="I155" s="749">
        <f ca="1">INDEX('Budget-ACPLHK'!$K$7:$W$207,MATCH($B155,'Budget-ACPLHK'!$B$7:$B$207,0),MATCH(I$8,'Budget-ACPLHK'!$K$6:$W$6,0))</f>
        <v>195442.91708573332</v>
      </c>
      <c r="J155" s="749">
        <f t="shared" ca="1" si="82"/>
        <v>-195442.91708573332</v>
      </c>
      <c r="K155" s="748"/>
      <c r="M155" s="749">
        <f>INDEX('Actual-ACPSZL'!$H$7:$T$207,MATCH($B155,'Actual-ACPSZL'!$B$7:$B$207,0),MATCH(M$8,'Actual-ACPSZL'!$H$6:$T$6,0))</f>
        <v>0</v>
      </c>
      <c r="N155" s="749">
        <f>INDEX('Budget-ACPSZL'!$K$7:$W$207,MATCH($B155,'Budget-ACPSZL'!$B$7:$B$207,0),MATCH(N$8,'Budget-ACPSZL'!$K$6:$W$6,0))</f>
        <v>58870.662500000013</v>
      </c>
      <c r="O155" s="749">
        <f t="shared" si="90"/>
        <v>-58870.662500000013</v>
      </c>
      <c r="P155" s="748"/>
      <c r="R155" s="749">
        <f>INDEX('Actual-ACPLSZ'!$H$7:$T$207,MATCH($B155,'Actual-ACPLSZ'!$B$7:$B$207,0),MATCH(R$8,'Actual-ACPLSZ'!$H$6:$T$6,0))</f>
        <v>0</v>
      </c>
      <c r="S155" s="749">
        <f>INDEX('Budget-ACPLSZ'!$K$7:$W$207,MATCH($B155,'Budget-ACPLSZ'!$B$7:$B$207,0),MATCH(S$8,'Budget-ACPLSZ'!$K$6:$W$6,0))</f>
        <v>163986.46555555557</v>
      </c>
      <c r="T155" s="749">
        <f t="shared" si="83"/>
        <v>163986.46555555557</v>
      </c>
      <c r="U155" s="748"/>
      <c r="W155" s="749">
        <f>INDEX('Actual-ACPLGZ'!$H$7:$T$207,MATCH($B155,'Actual-ACPLGZ'!$B$7:$B$207,0),MATCH(W$8,'Actual-ACPLGZ'!$H$6:$T$6,0))</f>
        <v>0</v>
      </c>
      <c r="X155" s="749">
        <f>INDEX('Budget-ACPLGZ'!$K$7:$W$207,MATCH($B155,'Budget-ACPLGZ'!$B$7:$B$207,0),MATCH(X$8,'Budget-ACPLGZ'!$K$6:$W$6,0))</f>
        <v>641.66666666666674</v>
      </c>
      <c r="Y155" s="749">
        <f t="shared" si="91"/>
        <v>-641.66666666666674</v>
      </c>
      <c r="Z155" s="748"/>
      <c r="AB155" s="749">
        <f>INDEX('Actual-ACPLGZ'!$H$7:$T$207,MATCH($B155,'Actual-ACPLGZ'!$B$7:$B$207,0),MATCH(AB$8,'Actual-ACPLGZ'!$H$6:$T$6,0))</f>
        <v>0</v>
      </c>
      <c r="AC155" s="749">
        <f>INDEX('Budget-Yixing'!$K$7:$W$207,MATCH($B155,'Budget-Yixing'!$B$7:$B$207,0),MATCH(AC$8,'Budget-Yixing'!$K$6:$W$6,0))</f>
        <v>0</v>
      </c>
      <c r="AD155" s="749">
        <f t="shared" si="84"/>
        <v>0</v>
      </c>
      <c r="AE155" s="748"/>
      <c r="AG155" s="751">
        <f>SUM(INDEX('Actual-ACPL'!$H$7:$T$207,MATCH($B155,'Actual-ACPL'!$B$7:$B$207,0),MATCH('Actual-ACPL'!H$6,'Actual-ACPL'!$H$6:$T$6,0)):INDEX('Actual-ACPL'!$H$7:$T$207,MATCH($B155,'Actual-ACPL'!$B$7:$B$207,0),MATCH(AG$8,'Actual-ACPL'!$H$6:$T$6,0)))</f>
        <v>0</v>
      </c>
      <c r="AH155" s="749">
        <f ca="1">SUM(INDEX('Budget-ACPL'!$K$7:$W$207,MATCH($B155,'Budget-ACPL'!$B$7:$B$207,0),MATCH('Budget-ACPL'!K$6,'Budget-ACPL'!$K$6:$W$6,0)):INDEX('Budget-ACPL'!$K$7:$W$207,MATCH($B155,'Budget-ACPL'!$B$7:$B$207,0),MATCH(AH$8,'Budget-ACPL'!$K$6:$W$6,0)))</f>
        <v>160761.62671095831</v>
      </c>
      <c r="AI155" s="749">
        <f t="shared" ca="1" si="88"/>
        <v>-160761.62671095831</v>
      </c>
      <c r="AJ155" s="748"/>
      <c r="AL155" s="749">
        <f>SUM(INDEX('Actual-ACPLHK'!$H$7:$S$207,MATCH($B155,'Actual-ACPLHK'!$B$7:$B$207,0),MATCH('Actual-ACPLHK'!H$6,'Actual-ACPLHK'!$H$6:$T$6,0)):INDEX('Actual-ACPLHK'!$H$7:$S$207,MATCH($B155,'Actual-ACPLHK'!$B$7:$B$207,0),MATCH(AL$8,'Actual-ACPLHK'!$H$6:$T$6,0)))</f>
        <v>0</v>
      </c>
      <c r="AM155" s="749">
        <f ca="1">SUM(INDEX('Budget-ACPLHK'!$K$7:$W$207,MATCH($B155,'Budget-ACPLHK'!$B$7:$B$207,0),MATCH('Budget-ACPLHK'!K$6,'Budget-ACPLHK'!$K$6:$W$6,0)):INDEX('Budget-ACPLHK'!$K$7:$W$207,MATCH($B155,'Budget-ACPLHK'!$B$7:$B$207,0),MATCH(AM$8,'Budget-ACPLHK'!$K$6:$W$6,0)))</f>
        <v>195442.91708573332</v>
      </c>
      <c r="AN155" s="749">
        <f t="shared" ca="1" si="85"/>
        <v>-195442.91708573332</v>
      </c>
      <c r="AO155" s="748"/>
      <c r="AQ155" s="749">
        <f>SUM(INDEX('Actual-ACPSZL'!$H$7:$T$207,MATCH($B155,'Actual-ACPSZL'!$B$7:$B$207,0),MATCH('Actual-ACPSZL'!H$6,'Actual-ACPSZL'!$H$6:$T$6,0)):INDEX('Actual-ACPSZL'!$H$7:$T$207,MATCH($B155,'Actual-ACPSZL'!$B$7:$B$207,0),MATCH(AQ$8,'Actual-ACPSZL'!$H$6:$T$6,0)))</f>
        <v>0</v>
      </c>
      <c r="AR155" s="749">
        <f>SUM(INDEX('Budget-ACPSZL'!$K$7:$W$207,MATCH($B155,'Budget-ACPSZL'!$B$7:$B$207,0),MATCH('Budget-ACPSZL'!K$6,'Budget-ACPSZL'!$K$6:$W$6,0)):INDEX('Budget-ACPSZL'!$K$7:$W$207,MATCH($B155,'Budget-ACPSZL'!$B$7:$B$207,0),MATCH(AR$8,'Budget-ACPSZL'!$K$6:$W$6,0)))</f>
        <v>58870.662500000013</v>
      </c>
      <c r="AS155" s="749">
        <f t="shared" si="89"/>
        <v>-58870.662500000013</v>
      </c>
      <c r="AT155" s="748"/>
      <c r="AV155" s="749">
        <f>SUM(INDEX('Actual-ACPLSZ'!$H$7:$T$207,MATCH($B155,'Actual-ACPLSZ'!$B$7:$B$207,0),MATCH('Actual-ACPLSZ'!H$6,'Actual-ACPLSZ'!$H$6:$T$6,0)):INDEX('Actual-ACPLSZ'!$H$7:$T$207,MATCH($B155,'Actual-ACPLSZ'!$B$7:$B$207,0),MATCH(AV$8,'Actual-ACPLSZ'!$H$6:$T$6,0)))</f>
        <v>0</v>
      </c>
      <c r="AW155" s="749">
        <f>SUM(INDEX('Budget-ACPLSZ'!$K$7:$W$207,MATCH($B155,'Budget-ACPLSZ'!$B$7:$B$207,0),MATCH('Budget-ACPLSZ'!K$6,'Budget-ACPLSZ'!$K$6:$W$6,0)):INDEX('Budget-ACPLSZ'!$K$7:$W$207,MATCH($B155,'Budget-ACPLSZ'!$B$7:$B$207,0),MATCH(AW$8,'Budget-ACPLSZ'!$K$6:$W$6,0)))</f>
        <v>163986.46555555557</v>
      </c>
      <c r="AX155" s="749">
        <f t="shared" si="92"/>
        <v>-163986.46555555557</v>
      </c>
      <c r="AY155" s="748"/>
      <c r="BA155" s="749">
        <f>SUM(INDEX('Actual-ACPLGZ'!$H$7:$T$207,MATCH($B155,'Actual-ACPLGZ'!$B$7:$B$207,0),MATCH('Actual-ACPLGZ'!H$6,'Actual-ACPLGZ'!$H$6:$T$6,0)):INDEX('Actual-ACPLGZ'!$H$7:$T$207,MATCH($B155,'Actual-ACPLGZ'!$B$7:$B$207,0),MATCH(BA$8,'Actual-ACPLGZ'!$H$6:$T$6,0)))</f>
        <v>0</v>
      </c>
      <c r="BB155" s="749">
        <f>SUM(INDEX('Budget-ACPLGZ'!$K$7:$W$207,MATCH($B155,'Budget-ACPLGZ'!$B$7:$B$207,0),MATCH('Budget-ACPLGZ'!K$6,'Budget-ACPLGZ'!$K$6:$W$6,0)):INDEX('Budget-ACPLGZ'!$K$7:$W$207,MATCH($B155,'Budget-ACPLGZ'!$B$7:$B$207,0),MATCH(BB$8,'Budget-ACPLGZ'!$K$6:$W$6,0)))</f>
        <v>641.66666666666674</v>
      </c>
      <c r="BC155" s="749">
        <f t="shared" si="86"/>
        <v>-641.66666666666674</v>
      </c>
      <c r="BD155" s="748"/>
      <c r="BF155" s="749">
        <f>SUM(INDEX('Actual-ACPLYixing'!$H$7:$T$207,MATCH($B155,'Actual-ACPLYixing'!$B$7:$B$207,0),MATCH('Actual-ACPLYixing'!H$6,'Actual-ACPLYixing'!$H$6:$T$6,0)):INDEX('Actual-ACPLYixing'!$H$7:$T$207,MATCH($B155,'Actual-ACPLYixing'!$B$7:$B$207,0),MATCH(BF$8,'Actual-ACPLYixing'!$H$6:$T$6,0)))</f>
        <v>0</v>
      </c>
      <c r="BG155" s="749">
        <f>SUM(INDEX('Budget-Yixing'!$K$7:$W$207,MATCH($B155,'Budget-Yixing'!$B$7:$B$207,0),MATCH('Budget-Yixing'!K$6,'Budget-Yixing'!$K$6:$W$6,0)):INDEX('Budget-Yixing'!$K$7:$W$207,MATCH($B155,'Budget-Yixing'!$B$7:$B$207,0),MATCH(BG$8,'Budget-Yixing'!$K$6:$W$6,0)))</f>
        <v>0</v>
      </c>
      <c r="BH155" s="749">
        <f t="shared" si="87"/>
        <v>0</v>
      </c>
      <c r="BI155" s="748"/>
    </row>
    <row r="156" spans="1:61" ht="16.5" customHeight="1">
      <c r="A156" s="653">
        <f>'Budget-合并'!A154</f>
        <v>0</v>
      </c>
      <c r="B156" s="653">
        <f>'Budget-合并'!B154</f>
        <v>0</v>
      </c>
      <c r="C156" s="746">
        <f>INDEX('Actual-ACPL'!$H$7:$T$207,MATCH($B156,'Actual-ACPL'!$B$7:$B$207,0),MATCH(C$8,'Actual-ACPL'!$H$6:$T$6,0))</f>
        <v>0</v>
      </c>
      <c r="D156" s="746">
        <f>INDEX('Budget-ACPL'!$K$7:$W$207,MATCH($B156,'Budget-ACPL'!$B$7:$B$207,0),MATCH(D$8,'Budget-ACPL'!$K$6:$W$6,0))</f>
        <v>0</v>
      </c>
      <c r="E156" s="746">
        <f t="shared" si="81"/>
        <v>0</v>
      </c>
      <c r="F156" s="752"/>
      <c r="H156" s="749">
        <f>INDEX('Actual-ACPLHK'!$H$7:$T$207,MATCH($B156,'Actual-ACPLHK'!$B$7:$B$207,0),MATCH(H$8,'Actual-ACPLHK'!$H$6:$T$6,0))</f>
        <v>0</v>
      </c>
      <c r="I156" s="749">
        <f>INDEX('Budget-ACPLHK'!$K$7:$W$207,MATCH($B156,'Budget-ACPLHK'!$B$7:$B$207,0),MATCH(I$8,'Budget-ACPLHK'!$K$6:$W$6,0))</f>
        <v>0</v>
      </c>
      <c r="J156" s="749">
        <f t="shared" si="82"/>
        <v>0</v>
      </c>
      <c r="K156" s="748"/>
      <c r="M156" s="749">
        <f>INDEX('Actual-ACPSZL'!$H$7:$T$207,MATCH($B156,'Actual-ACPSZL'!$B$7:$B$207,0),MATCH(M$8,'Actual-ACPSZL'!$H$6:$T$6,0))</f>
        <v>0</v>
      </c>
      <c r="N156" s="749">
        <f>INDEX('Budget-ACPSZL'!$K$7:$W$207,MATCH($B156,'Budget-ACPSZL'!$B$7:$B$207,0),MATCH(N$8,'Budget-ACPSZL'!$K$6:$W$6,0))</f>
        <v>0</v>
      </c>
      <c r="O156" s="749">
        <f t="shared" si="90"/>
        <v>0</v>
      </c>
      <c r="P156" s="748"/>
      <c r="R156" s="749">
        <f>INDEX('Actual-ACPLSZ'!$H$7:$T$207,MATCH($B156,'Actual-ACPLSZ'!$B$7:$B$207,0),MATCH(R$8,'Actual-ACPLSZ'!$H$6:$T$6,0))</f>
        <v>0</v>
      </c>
      <c r="S156" s="749">
        <f>INDEX('Budget-ACPLSZ'!$K$7:$W$207,MATCH($B156,'Budget-ACPLSZ'!$B$7:$B$207,0),MATCH(S$8,'Budget-ACPLSZ'!$K$6:$W$6,0))</f>
        <v>0</v>
      </c>
      <c r="T156" s="749">
        <f t="shared" si="83"/>
        <v>0</v>
      </c>
      <c r="U156" s="748"/>
      <c r="W156" s="749">
        <f>INDEX('Actual-ACPLGZ'!$H$7:$T$207,MATCH($B156,'Actual-ACPLGZ'!$B$7:$B$207,0),MATCH(W$8,'Actual-ACPLGZ'!$H$6:$T$6,0))</f>
        <v>0</v>
      </c>
      <c r="X156" s="749">
        <f>INDEX('Budget-ACPLGZ'!$K$7:$W$207,MATCH($B156,'Budget-ACPLGZ'!$B$7:$B$207,0),MATCH(X$8,'Budget-ACPLGZ'!$K$6:$W$6,0))</f>
        <v>0</v>
      </c>
      <c r="Y156" s="749">
        <f t="shared" si="91"/>
        <v>0</v>
      </c>
      <c r="Z156" s="748"/>
      <c r="AB156" s="749">
        <f>INDEX('Actual-ACPLGZ'!$H$7:$T$207,MATCH($B156,'Actual-ACPLGZ'!$B$7:$B$207,0),MATCH(AB$8,'Actual-ACPLGZ'!$H$6:$T$6,0))</f>
        <v>0</v>
      </c>
      <c r="AC156" s="749">
        <f>INDEX('Budget-Yixing'!$K$7:$W$207,MATCH($B156,'Budget-Yixing'!$B$7:$B$207,0),MATCH(AC$8,'Budget-Yixing'!$K$6:$W$6,0))</f>
        <v>0</v>
      </c>
      <c r="AD156" s="749">
        <f t="shared" si="84"/>
        <v>0</v>
      </c>
      <c r="AE156" s="748"/>
      <c r="AG156" s="751">
        <f>SUM(INDEX('Actual-ACPL'!$H$7:$T$207,MATCH($B156,'Actual-ACPL'!$B$7:$B$207,0),MATCH('Actual-ACPL'!H$6,'Actual-ACPL'!$H$6:$T$6,0)):INDEX('Actual-ACPL'!$H$7:$T$207,MATCH($B156,'Actual-ACPL'!$B$7:$B$207,0),MATCH(AG$8,'Actual-ACPL'!$H$6:$T$6,0)))</f>
        <v>0</v>
      </c>
      <c r="AH156" s="749">
        <f>SUM(INDEX('Budget-ACPL'!$K$7:$W$207,MATCH($B156,'Budget-ACPL'!$B$7:$B$207,0),MATCH('Budget-ACPL'!K$6,'Budget-ACPL'!$K$6:$W$6,0)):INDEX('Budget-ACPL'!$K$7:$W$207,MATCH($B156,'Budget-ACPL'!$B$7:$B$207,0),MATCH(AH$8,'Budget-ACPL'!$K$6:$W$6,0)))</f>
        <v>0</v>
      </c>
      <c r="AI156" s="749">
        <f t="shared" si="88"/>
        <v>0</v>
      </c>
      <c r="AJ156" s="748"/>
      <c r="AL156" s="749">
        <f>SUM(INDEX('Actual-ACPLHK'!$H$7:$S$207,MATCH($B156,'Actual-ACPLHK'!$B$7:$B$207,0),MATCH('Actual-ACPLHK'!H$6,'Actual-ACPLHK'!$H$6:$T$6,0)):INDEX('Actual-ACPLHK'!$H$7:$S$207,MATCH($B156,'Actual-ACPLHK'!$B$7:$B$207,0),MATCH(AL$8,'Actual-ACPLHK'!$H$6:$T$6,0)))</f>
        <v>0</v>
      </c>
      <c r="AM156" s="749">
        <f>SUM(INDEX('Budget-ACPLHK'!$K$7:$W$207,MATCH($B156,'Budget-ACPLHK'!$B$7:$B$207,0),MATCH('Budget-ACPLHK'!K$6,'Budget-ACPLHK'!$K$6:$W$6,0)):INDEX('Budget-ACPLHK'!$K$7:$W$207,MATCH($B156,'Budget-ACPLHK'!$B$7:$B$207,0),MATCH(AM$8,'Budget-ACPLHK'!$K$6:$W$6,0)))</f>
        <v>0</v>
      </c>
      <c r="AN156" s="749">
        <f t="shared" si="85"/>
        <v>0</v>
      </c>
      <c r="AO156" s="748"/>
      <c r="AQ156" s="749">
        <f>SUM(INDEX('Actual-ACPSZL'!$H$7:$T$207,MATCH($B156,'Actual-ACPSZL'!$B$7:$B$207,0),MATCH('Actual-ACPSZL'!H$6,'Actual-ACPSZL'!$H$6:$T$6,0)):INDEX('Actual-ACPSZL'!$H$7:$T$207,MATCH($B156,'Actual-ACPSZL'!$B$7:$B$207,0),MATCH(AQ$8,'Actual-ACPSZL'!$H$6:$T$6,0)))</f>
        <v>0</v>
      </c>
      <c r="AR156" s="749">
        <f>SUM(INDEX('Budget-ACPSZL'!$K$7:$W$207,MATCH($B156,'Budget-ACPSZL'!$B$7:$B$207,0),MATCH('Budget-ACPSZL'!K$6,'Budget-ACPSZL'!$K$6:$W$6,0)):INDEX('Budget-ACPSZL'!$K$7:$W$207,MATCH($B156,'Budget-ACPSZL'!$B$7:$B$207,0),MATCH(AR$8,'Budget-ACPSZL'!$K$6:$W$6,0)))</f>
        <v>0</v>
      </c>
      <c r="AS156" s="749">
        <f t="shared" si="89"/>
        <v>0</v>
      </c>
      <c r="AT156" s="748"/>
      <c r="AV156" s="749">
        <f>SUM(INDEX('Actual-ACPLSZ'!$H$7:$T$207,MATCH($B156,'Actual-ACPLSZ'!$B$7:$B$207,0),MATCH('Actual-ACPLSZ'!H$6,'Actual-ACPLSZ'!$H$6:$T$6,0)):INDEX('Actual-ACPLSZ'!$H$7:$T$207,MATCH($B156,'Actual-ACPLSZ'!$B$7:$B$207,0),MATCH(AV$8,'Actual-ACPLSZ'!$H$6:$T$6,0)))</f>
        <v>0</v>
      </c>
      <c r="AW156" s="749">
        <f>SUM(INDEX('Budget-ACPLSZ'!$K$7:$W$207,MATCH($B156,'Budget-ACPLSZ'!$B$7:$B$207,0),MATCH('Budget-ACPLSZ'!K$6,'Budget-ACPLSZ'!$K$6:$W$6,0)):INDEX('Budget-ACPLSZ'!$K$7:$W$207,MATCH($B156,'Budget-ACPLSZ'!$B$7:$B$207,0),MATCH(AW$8,'Budget-ACPLSZ'!$K$6:$W$6,0)))</f>
        <v>0</v>
      </c>
      <c r="AX156" s="749">
        <f t="shared" si="92"/>
        <v>0</v>
      </c>
      <c r="AY156" s="748"/>
      <c r="BA156" s="749">
        <f>SUM(INDEX('Actual-ACPLGZ'!$H$7:$T$207,MATCH($B156,'Actual-ACPLGZ'!$B$7:$B$207,0),MATCH('Actual-ACPLGZ'!H$6,'Actual-ACPLGZ'!$H$6:$T$6,0)):INDEX('Actual-ACPLGZ'!$H$7:$T$207,MATCH($B156,'Actual-ACPLGZ'!$B$7:$B$207,0),MATCH(BA$8,'Actual-ACPLGZ'!$H$6:$T$6,0)))</f>
        <v>0</v>
      </c>
      <c r="BB156" s="749">
        <f>SUM(INDEX('Budget-ACPLGZ'!$K$7:$W$207,MATCH($B156,'Budget-ACPLGZ'!$B$7:$B$207,0),MATCH('Budget-ACPLGZ'!K$6,'Budget-ACPLGZ'!$K$6:$W$6,0)):INDEX('Budget-ACPLGZ'!$K$7:$W$207,MATCH($B156,'Budget-ACPLGZ'!$B$7:$B$207,0),MATCH(BB$8,'Budget-ACPLGZ'!$K$6:$W$6,0)))</f>
        <v>0</v>
      </c>
      <c r="BC156" s="749">
        <f t="shared" si="86"/>
        <v>0</v>
      </c>
      <c r="BD156" s="748"/>
      <c r="BF156" s="749">
        <f>SUM(INDEX('Actual-ACPLYixing'!$H$7:$T$207,MATCH($B156,'Actual-ACPLYixing'!$B$7:$B$207,0),MATCH('Actual-ACPLYixing'!H$6,'Actual-ACPLYixing'!$H$6:$T$6,0)):INDEX('Actual-ACPLYixing'!$H$7:$T$207,MATCH($B156,'Actual-ACPLYixing'!$B$7:$B$207,0),MATCH(BF$8,'Actual-ACPLYixing'!$H$6:$T$6,0)))</f>
        <v>0</v>
      </c>
      <c r="BG156" s="749">
        <f>SUM(INDEX('Budget-Yixing'!$K$7:$W$207,MATCH($B156,'Budget-Yixing'!$B$7:$B$207,0),MATCH('Budget-Yixing'!K$6,'Budget-Yixing'!$K$6:$W$6,0)):INDEX('Budget-Yixing'!$K$7:$W$207,MATCH($B156,'Budget-Yixing'!$B$7:$B$207,0),MATCH(BG$8,'Budget-Yixing'!$K$6:$W$6,0)))</f>
        <v>0</v>
      </c>
      <c r="BH156" s="749">
        <f t="shared" si="87"/>
        <v>0</v>
      </c>
      <c r="BI156" s="748"/>
    </row>
    <row r="157" spans="1:61" ht="16.5" customHeight="1">
      <c r="A157" s="653" t="str">
        <f>'Budget-合并'!A155</f>
        <v>6603</v>
      </c>
      <c r="B157" s="653" t="str">
        <f>'Budget-合并'!B155</f>
        <v>财务费用</v>
      </c>
      <c r="C157" s="746">
        <f>INDEX('Actual-ACPL'!$H$7:$T$207,MATCH($B157,'Actual-ACPL'!$B$7:$B$207,0),MATCH(C$8,'Actual-ACPL'!$H$6:$T$6,0))</f>
        <v>0</v>
      </c>
      <c r="D157" s="746">
        <f>INDEX('Budget-ACPL'!$K$7:$W$207,MATCH($B157,'Budget-ACPL'!$B$7:$B$207,0),MATCH(D$8,'Budget-ACPL'!$K$6:$W$6,0))</f>
        <v>0</v>
      </c>
      <c r="E157" s="746">
        <f t="shared" ref="E157:E188" si="93">C157-D157</f>
        <v>0</v>
      </c>
      <c r="F157" s="752"/>
      <c r="H157" s="749">
        <f>INDEX('Actual-ACPLHK'!$H$7:$T$207,MATCH($B157,'Actual-ACPLHK'!$B$7:$B$207,0),MATCH(H$8,'Actual-ACPLHK'!$H$6:$T$6,0))</f>
        <v>0</v>
      </c>
      <c r="I157" s="749">
        <f>INDEX('Budget-ACPLHK'!$K$7:$W$207,MATCH($B157,'Budget-ACPLHK'!$B$7:$B$207,0),MATCH(I$8,'Budget-ACPLHK'!$K$6:$W$6,0))</f>
        <v>0</v>
      </c>
      <c r="J157" s="749">
        <f t="shared" si="82"/>
        <v>0</v>
      </c>
      <c r="K157" s="748"/>
      <c r="M157" s="749">
        <f>INDEX('Actual-ACPSZL'!$H$7:$T$207,MATCH($B157,'Actual-ACPSZL'!$B$7:$B$207,0),MATCH(M$8,'Actual-ACPSZL'!$H$6:$T$6,0))</f>
        <v>0</v>
      </c>
      <c r="N157" s="749">
        <f>INDEX('Budget-ACPSZL'!$K$7:$W$207,MATCH($B157,'Budget-ACPSZL'!$B$7:$B$207,0),MATCH(N$8,'Budget-ACPSZL'!$K$6:$W$6,0))</f>
        <v>0</v>
      </c>
      <c r="O157" s="749">
        <f t="shared" si="90"/>
        <v>0</v>
      </c>
      <c r="P157" s="748"/>
      <c r="R157" s="749">
        <f>INDEX('Actual-ACPLSZ'!$H$7:$T$207,MATCH($B157,'Actual-ACPLSZ'!$B$7:$B$207,0),MATCH(R$8,'Actual-ACPLSZ'!$H$6:$T$6,0))</f>
        <v>0</v>
      </c>
      <c r="S157" s="749">
        <f>INDEX('Budget-ACPLSZ'!$K$7:$W$207,MATCH($B157,'Budget-ACPLSZ'!$B$7:$B$207,0),MATCH(S$8,'Budget-ACPLSZ'!$K$6:$W$6,0))</f>
        <v>0</v>
      </c>
      <c r="T157" s="749">
        <f t="shared" si="83"/>
        <v>0</v>
      </c>
      <c r="U157" s="748"/>
      <c r="W157" s="749">
        <f>INDEX('Actual-ACPLGZ'!$H$7:$T$207,MATCH($B157,'Actual-ACPLGZ'!$B$7:$B$207,0),MATCH(W$8,'Actual-ACPLGZ'!$H$6:$T$6,0))</f>
        <v>0</v>
      </c>
      <c r="X157" s="749">
        <f>INDEX('Budget-ACPLGZ'!$K$7:$W$207,MATCH($B157,'Budget-ACPLGZ'!$B$7:$B$207,0),MATCH(X$8,'Budget-ACPLGZ'!$K$6:$W$6,0))</f>
        <v>0</v>
      </c>
      <c r="Y157" s="749">
        <f t="shared" si="91"/>
        <v>0</v>
      </c>
      <c r="Z157" s="748"/>
      <c r="AB157" s="749">
        <f>INDEX('Actual-ACPLGZ'!$H$7:$T$207,MATCH($B157,'Actual-ACPLGZ'!$B$7:$B$207,0),MATCH(AB$8,'Actual-ACPLGZ'!$H$6:$T$6,0))</f>
        <v>0</v>
      </c>
      <c r="AC157" s="749">
        <f>INDEX('Budget-Yixing'!$K$7:$W$207,MATCH($B157,'Budget-Yixing'!$B$7:$B$207,0),MATCH(AC$8,'Budget-Yixing'!$K$6:$W$6,0))</f>
        <v>0</v>
      </c>
      <c r="AD157" s="749">
        <f t="shared" si="84"/>
        <v>0</v>
      </c>
      <c r="AE157" s="748"/>
      <c r="AG157" s="751">
        <f>SUM(INDEX('Actual-ACPL'!$H$7:$T$207,MATCH($B157,'Actual-ACPL'!$B$7:$B$207,0),MATCH('Actual-ACPL'!H$6,'Actual-ACPL'!$H$6:$T$6,0)):INDEX('Actual-ACPL'!$H$7:$T$207,MATCH($B157,'Actual-ACPL'!$B$7:$B$207,0),MATCH(AG$8,'Actual-ACPL'!$H$6:$T$6,0)))</f>
        <v>0</v>
      </c>
      <c r="AH157" s="749">
        <f>SUM(INDEX('Budget-ACPL'!$K$7:$W$207,MATCH($B157,'Budget-ACPL'!$B$7:$B$207,0),MATCH('Budget-ACPL'!K$6,'Budget-ACPL'!$K$6:$W$6,0)):INDEX('Budget-ACPL'!$K$7:$W$207,MATCH($B157,'Budget-ACPL'!$B$7:$B$207,0),MATCH(AH$8,'Budget-ACPL'!$K$6:$W$6,0)))</f>
        <v>0</v>
      </c>
      <c r="AI157" s="749">
        <f t="shared" si="88"/>
        <v>0</v>
      </c>
      <c r="AJ157" s="748"/>
      <c r="AL157" s="749">
        <f>SUM(INDEX('Actual-ACPLHK'!$H$7:$S$207,MATCH($B157,'Actual-ACPLHK'!$B$7:$B$207,0),MATCH('Actual-ACPLHK'!H$6,'Actual-ACPLHK'!$H$6:$T$6,0)):INDEX('Actual-ACPLHK'!$H$7:$S$207,MATCH($B157,'Actual-ACPLHK'!$B$7:$B$207,0),MATCH(AL$8,'Actual-ACPLHK'!$H$6:$T$6,0)))</f>
        <v>0</v>
      </c>
      <c r="AM157" s="749">
        <f>SUM(INDEX('Budget-ACPLHK'!$K$7:$W$207,MATCH($B157,'Budget-ACPLHK'!$B$7:$B$207,0),MATCH('Budget-ACPLHK'!K$6,'Budget-ACPLHK'!$K$6:$W$6,0)):INDEX('Budget-ACPLHK'!$K$7:$W$207,MATCH($B157,'Budget-ACPLHK'!$B$7:$B$207,0),MATCH(AM$8,'Budget-ACPLHK'!$K$6:$W$6,0)))</f>
        <v>0</v>
      </c>
      <c r="AN157" s="749">
        <f t="shared" si="85"/>
        <v>0</v>
      </c>
      <c r="AO157" s="748"/>
      <c r="AQ157" s="749">
        <f>SUM(INDEX('Actual-ACPSZL'!$H$7:$T$207,MATCH($B157,'Actual-ACPSZL'!$B$7:$B$207,0),MATCH('Actual-ACPSZL'!H$6,'Actual-ACPSZL'!$H$6:$T$6,0)):INDEX('Actual-ACPSZL'!$H$7:$T$207,MATCH($B157,'Actual-ACPSZL'!$B$7:$B$207,0),MATCH(AQ$8,'Actual-ACPSZL'!$H$6:$T$6,0)))</f>
        <v>0</v>
      </c>
      <c r="AR157" s="749">
        <f>SUM(INDEX('Budget-ACPSZL'!$K$7:$W$207,MATCH($B157,'Budget-ACPSZL'!$B$7:$B$207,0),MATCH('Budget-ACPSZL'!K$6,'Budget-ACPSZL'!$K$6:$W$6,0)):INDEX('Budget-ACPSZL'!$K$7:$W$207,MATCH($B157,'Budget-ACPSZL'!$B$7:$B$207,0),MATCH(AR$8,'Budget-ACPSZL'!$K$6:$W$6,0)))</f>
        <v>0</v>
      </c>
      <c r="AS157" s="749">
        <f t="shared" si="89"/>
        <v>0</v>
      </c>
      <c r="AT157" s="748"/>
      <c r="AV157" s="749">
        <f>SUM(INDEX('Actual-ACPLSZ'!$H$7:$T$207,MATCH($B157,'Actual-ACPLSZ'!$B$7:$B$207,0),MATCH('Actual-ACPLSZ'!H$6,'Actual-ACPLSZ'!$H$6:$T$6,0)):INDEX('Actual-ACPLSZ'!$H$7:$T$207,MATCH($B157,'Actual-ACPLSZ'!$B$7:$B$207,0),MATCH(AV$8,'Actual-ACPLSZ'!$H$6:$T$6,0)))</f>
        <v>0</v>
      </c>
      <c r="AW157" s="749">
        <f>SUM(INDEX('Budget-ACPLSZ'!$K$7:$W$207,MATCH($B157,'Budget-ACPLSZ'!$B$7:$B$207,0),MATCH('Budget-ACPLSZ'!K$6,'Budget-ACPLSZ'!$K$6:$W$6,0)):INDEX('Budget-ACPLSZ'!$K$7:$W$207,MATCH($B157,'Budget-ACPLSZ'!$B$7:$B$207,0),MATCH(AW$8,'Budget-ACPLSZ'!$K$6:$W$6,0)))</f>
        <v>0</v>
      </c>
      <c r="AX157" s="749">
        <f t="shared" si="92"/>
        <v>0</v>
      </c>
      <c r="AY157" s="748"/>
      <c r="BA157" s="749">
        <f>SUM(INDEX('Actual-ACPLGZ'!$H$7:$T$207,MATCH($B157,'Actual-ACPLGZ'!$B$7:$B$207,0),MATCH('Actual-ACPLGZ'!H$6,'Actual-ACPLGZ'!$H$6:$T$6,0)):INDEX('Actual-ACPLGZ'!$H$7:$T$207,MATCH($B157,'Actual-ACPLGZ'!$B$7:$B$207,0),MATCH(BA$8,'Actual-ACPLGZ'!$H$6:$T$6,0)))</f>
        <v>0</v>
      </c>
      <c r="BB157" s="749">
        <f>SUM(INDEX('Budget-ACPLGZ'!$K$7:$W$207,MATCH($B157,'Budget-ACPLGZ'!$B$7:$B$207,0),MATCH('Budget-ACPLGZ'!K$6,'Budget-ACPLGZ'!$K$6:$W$6,0)):INDEX('Budget-ACPLGZ'!$K$7:$W$207,MATCH($B157,'Budget-ACPLGZ'!$B$7:$B$207,0),MATCH(BB$8,'Budget-ACPLGZ'!$K$6:$W$6,0)))</f>
        <v>0</v>
      </c>
      <c r="BC157" s="749">
        <f t="shared" si="86"/>
        <v>0</v>
      </c>
      <c r="BD157" s="748"/>
      <c r="BF157" s="749">
        <f>SUM(INDEX('Actual-ACPLYixing'!$H$7:$T$207,MATCH($B157,'Actual-ACPLYixing'!$B$7:$B$207,0),MATCH('Actual-ACPLYixing'!H$6,'Actual-ACPLYixing'!$H$6:$T$6,0)):INDEX('Actual-ACPLYixing'!$H$7:$T$207,MATCH($B157,'Actual-ACPLYixing'!$B$7:$B$207,0),MATCH(BF$8,'Actual-ACPLYixing'!$H$6:$T$6,0)))</f>
        <v>0</v>
      </c>
      <c r="BG157" s="749">
        <f>SUM(INDEX('Budget-Yixing'!$K$7:$W$207,MATCH($B157,'Budget-Yixing'!$B$7:$B$207,0),MATCH('Budget-Yixing'!K$6,'Budget-Yixing'!$K$6:$W$6,0)):INDEX('Budget-Yixing'!$K$7:$W$207,MATCH($B157,'Budget-Yixing'!$B$7:$B$207,0),MATCH(BG$8,'Budget-Yixing'!$K$6:$W$6,0)))</f>
        <v>0</v>
      </c>
      <c r="BH157" s="749">
        <f t="shared" si="87"/>
        <v>0</v>
      </c>
      <c r="BI157" s="748"/>
    </row>
    <row r="158" spans="1:61" ht="16.5" customHeight="1">
      <c r="A158" s="653" t="str">
        <f>'Budget-合并'!A156</f>
        <v>6603.01</v>
      </c>
      <c r="B158" s="653" t="str">
        <f>'Budget-合并'!B156</f>
        <v>汇兑损益</v>
      </c>
      <c r="C158" s="746">
        <f>INDEX('Actual-ACPL'!$H$7:$T$207,MATCH($B158,'Actual-ACPL'!$B$7:$B$207,0),MATCH(C$8,'Actual-ACPL'!$H$6:$T$6,0))</f>
        <v>0</v>
      </c>
      <c r="D158" s="746">
        <f>INDEX('Budget-ACPL'!$K$7:$W$207,MATCH($B158,'Budget-ACPL'!$B$7:$B$207,0),MATCH(D$8,'Budget-ACPL'!$K$6:$W$6,0))</f>
        <v>0</v>
      </c>
      <c r="E158" s="746">
        <f t="shared" si="93"/>
        <v>0</v>
      </c>
      <c r="F158" s="752"/>
      <c r="H158" s="749">
        <f>INDEX('Actual-ACPLHK'!$H$7:$T$207,MATCH($B158,'Actual-ACPLHK'!$B$7:$B$207,0),MATCH(H$8,'Actual-ACPLHK'!$H$6:$T$6,0))</f>
        <v>0</v>
      </c>
      <c r="I158" s="749">
        <f>INDEX('Budget-ACPLHK'!$K$7:$W$207,MATCH($B158,'Budget-ACPLHK'!$B$7:$B$207,0),MATCH(I$8,'Budget-ACPLHK'!$K$6:$W$6,0))</f>
        <v>0</v>
      </c>
      <c r="J158" s="749">
        <f t="shared" si="82"/>
        <v>0</v>
      </c>
      <c r="K158" s="748"/>
      <c r="M158" s="749">
        <f>INDEX('Actual-ACPSZL'!$H$7:$T$207,MATCH($B158,'Actual-ACPSZL'!$B$7:$B$207,0),MATCH(M$8,'Actual-ACPSZL'!$H$6:$T$6,0))</f>
        <v>0</v>
      </c>
      <c r="N158" s="749">
        <f>INDEX('Budget-ACPSZL'!$K$7:$W$207,MATCH($B158,'Budget-ACPSZL'!$B$7:$B$207,0),MATCH(N$8,'Budget-ACPSZL'!$K$6:$W$6,0))</f>
        <v>0</v>
      </c>
      <c r="O158" s="749">
        <f t="shared" si="90"/>
        <v>0</v>
      </c>
      <c r="P158" s="748"/>
      <c r="R158" s="749">
        <f>INDEX('Actual-ACPLSZ'!$H$7:$T$207,MATCH($B158,'Actual-ACPLSZ'!$B$7:$B$207,0),MATCH(R$8,'Actual-ACPLSZ'!$H$6:$T$6,0))</f>
        <v>0</v>
      </c>
      <c r="S158" s="749">
        <f>INDEX('Budget-ACPLSZ'!$K$7:$W$207,MATCH($B158,'Budget-ACPLSZ'!$B$7:$B$207,0),MATCH(S$8,'Budget-ACPLSZ'!$K$6:$W$6,0))</f>
        <v>0</v>
      </c>
      <c r="T158" s="749">
        <f t="shared" si="83"/>
        <v>0</v>
      </c>
      <c r="U158" s="748"/>
      <c r="W158" s="749">
        <f>INDEX('Actual-ACPLGZ'!$H$7:$T$207,MATCH($B158,'Actual-ACPLGZ'!$B$7:$B$207,0),MATCH(W$8,'Actual-ACPLGZ'!$H$6:$T$6,0))</f>
        <v>0</v>
      </c>
      <c r="X158" s="749">
        <f>INDEX('Budget-ACPLGZ'!$K$7:$W$207,MATCH($B158,'Budget-ACPLGZ'!$B$7:$B$207,0),MATCH(X$8,'Budget-ACPLGZ'!$K$6:$W$6,0))</f>
        <v>0</v>
      </c>
      <c r="Y158" s="749">
        <f t="shared" si="91"/>
        <v>0</v>
      </c>
      <c r="Z158" s="748"/>
      <c r="AB158" s="749">
        <f>INDEX('Actual-ACPLGZ'!$H$7:$T$207,MATCH($B158,'Actual-ACPLGZ'!$B$7:$B$207,0),MATCH(AB$8,'Actual-ACPLGZ'!$H$6:$T$6,0))</f>
        <v>0</v>
      </c>
      <c r="AC158" s="749">
        <f>INDEX('Budget-Yixing'!$K$7:$W$207,MATCH($B158,'Budget-Yixing'!$B$7:$B$207,0),MATCH(AC$8,'Budget-Yixing'!$K$6:$W$6,0))</f>
        <v>0</v>
      </c>
      <c r="AD158" s="749">
        <f t="shared" si="84"/>
        <v>0</v>
      </c>
      <c r="AE158" s="748"/>
      <c r="AG158" s="751">
        <f>SUM(INDEX('Actual-ACPL'!$H$7:$T$207,MATCH($B158,'Actual-ACPL'!$B$7:$B$207,0),MATCH('Actual-ACPL'!H$6,'Actual-ACPL'!$H$6:$T$6,0)):INDEX('Actual-ACPL'!$H$7:$T$207,MATCH($B158,'Actual-ACPL'!$B$7:$B$207,0),MATCH(AG$8,'Actual-ACPL'!$H$6:$T$6,0)))</f>
        <v>0</v>
      </c>
      <c r="AH158" s="749">
        <f>SUM(INDEX('Budget-ACPL'!$K$7:$W$207,MATCH($B158,'Budget-ACPL'!$B$7:$B$207,0),MATCH('Budget-ACPL'!K$6,'Budget-ACPL'!$K$6:$W$6,0)):INDEX('Budget-ACPL'!$K$7:$W$207,MATCH($B158,'Budget-ACPL'!$B$7:$B$207,0),MATCH(AH$8,'Budget-ACPL'!$K$6:$W$6,0)))</f>
        <v>0</v>
      </c>
      <c r="AI158" s="749">
        <f t="shared" si="88"/>
        <v>0</v>
      </c>
      <c r="AJ158" s="748"/>
      <c r="AL158" s="749">
        <f>SUM(INDEX('Actual-ACPLHK'!$H$7:$S$207,MATCH($B158,'Actual-ACPLHK'!$B$7:$B$207,0),MATCH('Actual-ACPLHK'!H$6,'Actual-ACPLHK'!$H$6:$T$6,0)):INDEX('Actual-ACPLHK'!$H$7:$S$207,MATCH($B158,'Actual-ACPLHK'!$B$7:$B$207,0),MATCH(AL$8,'Actual-ACPLHK'!$H$6:$T$6,0)))</f>
        <v>0</v>
      </c>
      <c r="AM158" s="749">
        <f>SUM(INDEX('Budget-ACPLHK'!$K$7:$W$207,MATCH($B158,'Budget-ACPLHK'!$B$7:$B$207,0),MATCH('Budget-ACPLHK'!K$6,'Budget-ACPLHK'!$K$6:$W$6,0)):INDEX('Budget-ACPLHK'!$K$7:$W$207,MATCH($B158,'Budget-ACPLHK'!$B$7:$B$207,0),MATCH(AM$8,'Budget-ACPLHK'!$K$6:$W$6,0)))</f>
        <v>0</v>
      </c>
      <c r="AN158" s="749">
        <f t="shared" si="85"/>
        <v>0</v>
      </c>
      <c r="AO158" s="748"/>
      <c r="AQ158" s="749">
        <f>SUM(INDEX('Actual-ACPSZL'!$H$7:$T$207,MATCH($B158,'Actual-ACPSZL'!$B$7:$B$207,0),MATCH('Actual-ACPSZL'!H$6,'Actual-ACPSZL'!$H$6:$T$6,0)):INDEX('Actual-ACPSZL'!$H$7:$T$207,MATCH($B158,'Actual-ACPSZL'!$B$7:$B$207,0),MATCH(AQ$8,'Actual-ACPSZL'!$H$6:$T$6,0)))</f>
        <v>0</v>
      </c>
      <c r="AR158" s="749">
        <f>SUM(INDEX('Budget-ACPSZL'!$K$7:$W$207,MATCH($B158,'Budget-ACPSZL'!$B$7:$B$207,0),MATCH('Budget-ACPSZL'!K$6,'Budget-ACPSZL'!$K$6:$W$6,0)):INDEX('Budget-ACPSZL'!$K$7:$W$207,MATCH($B158,'Budget-ACPSZL'!$B$7:$B$207,0),MATCH(AR$8,'Budget-ACPSZL'!$K$6:$W$6,0)))</f>
        <v>0</v>
      </c>
      <c r="AS158" s="749">
        <f t="shared" si="89"/>
        <v>0</v>
      </c>
      <c r="AT158" s="748"/>
      <c r="AV158" s="749">
        <f>SUM(INDEX('Actual-ACPLSZ'!$H$7:$T$207,MATCH($B158,'Actual-ACPLSZ'!$B$7:$B$207,0),MATCH('Actual-ACPLSZ'!H$6,'Actual-ACPLSZ'!$H$6:$T$6,0)):INDEX('Actual-ACPLSZ'!$H$7:$T$207,MATCH($B158,'Actual-ACPLSZ'!$B$7:$B$207,0),MATCH(AV$8,'Actual-ACPLSZ'!$H$6:$T$6,0)))</f>
        <v>0</v>
      </c>
      <c r="AW158" s="749">
        <f>SUM(INDEX('Budget-ACPLSZ'!$K$7:$W$207,MATCH($B158,'Budget-ACPLSZ'!$B$7:$B$207,0),MATCH('Budget-ACPLSZ'!K$6,'Budget-ACPLSZ'!$K$6:$W$6,0)):INDEX('Budget-ACPLSZ'!$K$7:$W$207,MATCH($B158,'Budget-ACPLSZ'!$B$7:$B$207,0),MATCH(AW$8,'Budget-ACPLSZ'!$K$6:$W$6,0)))</f>
        <v>0</v>
      </c>
      <c r="AX158" s="749">
        <f t="shared" si="92"/>
        <v>0</v>
      </c>
      <c r="AY158" s="748"/>
      <c r="BA158" s="749">
        <f>SUM(INDEX('Actual-ACPLGZ'!$H$7:$T$207,MATCH($B158,'Actual-ACPLGZ'!$B$7:$B$207,0),MATCH('Actual-ACPLGZ'!H$6,'Actual-ACPLGZ'!$H$6:$T$6,0)):INDEX('Actual-ACPLGZ'!$H$7:$T$207,MATCH($B158,'Actual-ACPLGZ'!$B$7:$B$207,0),MATCH(BA$8,'Actual-ACPLGZ'!$H$6:$T$6,0)))</f>
        <v>0</v>
      </c>
      <c r="BB158" s="749">
        <f>SUM(INDEX('Budget-ACPLGZ'!$K$7:$W$207,MATCH($B158,'Budget-ACPLGZ'!$B$7:$B$207,0),MATCH('Budget-ACPLGZ'!K$6,'Budget-ACPLGZ'!$K$6:$W$6,0)):INDEX('Budget-ACPLGZ'!$K$7:$W$207,MATCH($B158,'Budget-ACPLGZ'!$B$7:$B$207,0),MATCH(BB$8,'Budget-ACPLGZ'!$K$6:$W$6,0)))</f>
        <v>0</v>
      </c>
      <c r="BC158" s="749">
        <f t="shared" si="86"/>
        <v>0</v>
      </c>
      <c r="BD158" s="748"/>
      <c r="BF158" s="749">
        <f>SUM(INDEX('Actual-ACPLYixing'!$H$7:$T$207,MATCH($B158,'Actual-ACPLYixing'!$B$7:$B$207,0),MATCH('Actual-ACPLYixing'!H$6,'Actual-ACPLYixing'!$H$6:$T$6,0)):INDEX('Actual-ACPLYixing'!$H$7:$T$207,MATCH($B158,'Actual-ACPLYixing'!$B$7:$B$207,0),MATCH(BF$8,'Actual-ACPLYixing'!$H$6:$T$6,0)))</f>
        <v>0</v>
      </c>
      <c r="BG158" s="749">
        <f>SUM(INDEX('Budget-Yixing'!$K$7:$W$207,MATCH($B158,'Budget-Yixing'!$B$7:$B$207,0),MATCH('Budget-Yixing'!K$6,'Budget-Yixing'!$K$6:$W$6,0)):INDEX('Budget-Yixing'!$K$7:$W$207,MATCH($B158,'Budget-Yixing'!$B$7:$B$207,0),MATCH(BG$8,'Budget-Yixing'!$K$6:$W$6,0)))</f>
        <v>0</v>
      </c>
      <c r="BH158" s="749">
        <f t="shared" si="87"/>
        <v>0</v>
      </c>
      <c r="BI158" s="748"/>
    </row>
    <row r="159" spans="1:61" ht="16.5" customHeight="1">
      <c r="A159" s="653" t="str">
        <f>'Budget-合并'!A157</f>
        <v>6603.02</v>
      </c>
      <c r="B159" s="653" t="str">
        <f>'Budget-合并'!B157</f>
        <v>利息费用</v>
      </c>
      <c r="C159" s="746">
        <f>INDEX('Actual-ACPL'!$H$7:$T$207,MATCH($B159,'Actual-ACPL'!$B$7:$B$207,0),MATCH(C$8,'Actual-ACPL'!$H$6:$T$6,0))</f>
        <v>0</v>
      </c>
      <c r="D159" s="746">
        <f>INDEX('Budget-ACPL'!$K$7:$W$207,MATCH($B159,'Budget-ACPL'!$B$7:$B$207,0),MATCH(D$8,'Budget-ACPL'!$K$6:$W$6,0))</f>
        <v>0</v>
      </c>
      <c r="E159" s="746">
        <f t="shared" si="93"/>
        <v>0</v>
      </c>
      <c r="F159" s="752"/>
      <c r="H159" s="749">
        <f>INDEX('Actual-ACPLHK'!$H$7:$T$207,MATCH($B159,'Actual-ACPLHK'!$B$7:$B$207,0),MATCH(H$8,'Actual-ACPLHK'!$H$6:$T$6,0))</f>
        <v>0</v>
      </c>
      <c r="I159" s="749">
        <f>INDEX('Budget-ACPLHK'!$K$7:$W$207,MATCH($B159,'Budget-ACPLHK'!$B$7:$B$207,0),MATCH(I$8,'Budget-ACPLHK'!$K$6:$W$6,0))</f>
        <v>2698.8679752999997</v>
      </c>
      <c r="J159" s="749">
        <f t="shared" si="82"/>
        <v>-2698.8679752999997</v>
      </c>
      <c r="K159" s="748"/>
      <c r="M159" s="749">
        <f>INDEX('Actual-ACPSZL'!$H$7:$T$207,MATCH($B159,'Actual-ACPSZL'!$B$7:$B$207,0),MATCH(M$8,'Actual-ACPSZL'!$H$6:$T$6,0))</f>
        <v>0</v>
      </c>
      <c r="N159" s="749">
        <f>INDEX('Budget-ACPSZL'!$K$7:$W$207,MATCH($B159,'Budget-ACPSZL'!$B$7:$B$207,0),MATCH(N$8,'Budget-ACPSZL'!$K$6:$W$6,0))</f>
        <v>0</v>
      </c>
      <c r="O159" s="749">
        <f t="shared" si="90"/>
        <v>0</v>
      </c>
      <c r="P159" s="748"/>
      <c r="R159" s="749">
        <f>INDEX('Actual-ACPLSZ'!$H$7:$T$207,MATCH($B159,'Actual-ACPLSZ'!$B$7:$B$207,0),MATCH(R$8,'Actual-ACPLSZ'!$H$6:$T$6,0))</f>
        <v>0</v>
      </c>
      <c r="S159" s="749">
        <f>INDEX('Budget-ACPLSZ'!$K$7:$W$207,MATCH($B159,'Budget-ACPLSZ'!$B$7:$B$207,0),MATCH(S$8,'Budget-ACPLSZ'!$K$6:$W$6,0))</f>
        <v>0</v>
      </c>
      <c r="T159" s="749">
        <f t="shared" si="83"/>
        <v>0</v>
      </c>
      <c r="U159" s="748"/>
      <c r="W159" s="749">
        <f>INDEX('Actual-ACPLGZ'!$H$7:$T$207,MATCH($B159,'Actual-ACPLGZ'!$B$7:$B$207,0),MATCH(W$8,'Actual-ACPLGZ'!$H$6:$T$6,0))</f>
        <v>0</v>
      </c>
      <c r="X159" s="749">
        <f>INDEX('Budget-ACPLGZ'!$K$7:$W$207,MATCH($B159,'Budget-ACPLGZ'!$B$7:$B$207,0),MATCH(X$8,'Budget-ACPLGZ'!$K$6:$W$6,0))</f>
        <v>0</v>
      </c>
      <c r="Y159" s="749">
        <f t="shared" si="91"/>
        <v>0</v>
      </c>
      <c r="Z159" s="748"/>
      <c r="AB159" s="749">
        <f>INDEX('Actual-ACPLGZ'!$H$7:$T$207,MATCH($B159,'Actual-ACPLGZ'!$B$7:$B$207,0),MATCH(AB$8,'Actual-ACPLGZ'!$H$6:$T$6,0))</f>
        <v>0</v>
      </c>
      <c r="AC159" s="749">
        <f>INDEX('Budget-Yixing'!$K$7:$W$207,MATCH($B159,'Budget-Yixing'!$B$7:$B$207,0),MATCH(AC$8,'Budget-Yixing'!$K$6:$W$6,0))</f>
        <v>0</v>
      </c>
      <c r="AD159" s="749">
        <f t="shared" si="84"/>
        <v>0</v>
      </c>
      <c r="AE159" s="748"/>
      <c r="AG159" s="751">
        <f>SUM(INDEX('Actual-ACPL'!$H$7:$T$207,MATCH($B159,'Actual-ACPL'!$B$7:$B$207,0),MATCH('Actual-ACPL'!H$6,'Actual-ACPL'!$H$6:$T$6,0)):INDEX('Actual-ACPL'!$H$7:$T$207,MATCH($B159,'Actual-ACPL'!$B$7:$B$207,0),MATCH(AG$8,'Actual-ACPL'!$H$6:$T$6,0)))</f>
        <v>0</v>
      </c>
      <c r="AH159" s="749">
        <f>SUM(INDEX('Budget-ACPL'!$K$7:$W$207,MATCH($B159,'Budget-ACPL'!$B$7:$B$207,0),MATCH('Budget-ACPL'!K$6,'Budget-ACPL'!$K$6:$W$6,0)):INDEX('Budget-ACPL'!$K$7:$W$207,MATCH($B159,'Budget-ACPL'!$B$7:$B$207,0),MATCH(AH$8,'Budget-ACPL'!$K$6:$W$6,0)))</f>
        <v>0</v>
      </c>
      <c r="AI159" s="749">
        <f t="shared" si="88"/>
        <v>0</v>
      </c>
      <c r="AJ159" s="748"/>
      <c r="AL159" s="749">
        <f>SUM(INDEX('Actual-ACPLHK'!$H$7:$S$207,MATCH($B159,'Actual-ACPLHK'!$B$7:$B$207,0),MATCH('Actual-ACPLHK'!H$6,'Actual-ACPLHK'!$H$6:$T$6,0)):INDEX('Actual-ACPLHK'!$H$7:$S$207,MATCH($B159,'Actual-ACPLHK'!$B$7:$B$207,0),MATCH(AL$8,'Actual-ACPLHK'!$H$6:$T$6,0)))</f>
        <v>0</v>
      </c>
      <c r="AM159" s="749">
        <f>SUM(INDEX('Budget-ACPLHK'!$K$7:$W$207,MATCH($B159,'Budget-ACPLHK'!$B$7:$B$207,0),MATCH('Budget-ACPLHK'!K$6,'Budget-ACPLHK'!$K$6:$W$6,0)):INDEX('Budget-ACPLHK'!$K$7:$W$207,MATCH($B159,'Budget-ACPLHK'!$B$7:$B$207,0),MATCH(AM$8,'Budget-ACPLHK'!$K$6:$W$6,0)))</f>
        <v>2698.8679752999997</v>
      </c>
      <c r="AN159" s="749">
        <f t="shared" si="85"/>
        <v>-2698.8679752999997</v>
      </c>
      <c r="AO159" s="748"/>
      <c r="AQ159" s="749">
        <f>SUM(INDEX('Actual-ACPSZL'!$H$7:$T$207,MATCH($B159,'Actual-ACPSZL'!$B$7:$B$207,0),MATCH('Actual-ACPSZL'!H$6,'Actual-ACPSZL'!$H$6:$T$6,0)):INDEX('Actual-ACPSZL'!$H$7:$T$207,MATCH($B159,'Actual-ACPSZL'!$B$7:$B$207,0),MATCH(AQ$8,'Actual-ACPSZL'!$H$6:$T$6,0)))</f>
        <v>0</v>
      </c>
      <c r="AR159" s="749">
        <f>SUM(INDEX('Budget-ACPSZL'!$K$7:$W$207,MATCH($B159,'Budget-ACPSZL'!$B$7:$B$207,0),MATCH('Budget-ACPSZL'!K$6,'Budget-ACPSZL'!$K$6:$W$6,0)):INDEX('Budget-ACPSZL'!$K$7:$W$207,MATCH($B159,'Budget-ACPSZL'!$B$7:$B$207,0),MATCH(AR$8,'Budget-ACPSZL'!$K$6:$W$6,0)))</f>
        <v>0</v>
      </c>
      <c r="AS159" s="749">
        <f t="shared" si="89"/>
        <v>0</v>
      </c>
      <c r="AT159" s="748"/>
      <c r="AV159" s="749">
        <f>SUM(INDEX('Actual-ACPLSZ'!$H$7:$T$207,MATCH($B159,'Actual-ACPLSZ'!$B$7:$B$207,0),MATCH('Actual-ACPLSZ'!H$6,'Actual-ACPLSZ'!$H$6:$T$6,0)):INDEX('Actual-ACPLSZ'!$H$7:$T$207,MATCH($B159,'Actual-ACPLSZ'!$B$7:$B$207,0),MATCH(AV$8,'Actual-ACPLSZ'!$H$6:$T$6,0)))</f>
        <v>0</v>
      </c>
      <c r="AW159" s="749">
        <f>SUM(INDEX('Budget-ACPLSZ'!$K$7:$W$207,MATCH($B159,'Budget-ACPLSZ'!$B$7:$B$207,0),MATCH('Budget-ACPLSZ'!K$6,'Budget-ACPLSZ'!$K$6:$W$6,0)):INDEX('Budget-ACPLSZ'!$K$7:$W$207,MATCH($B159,'Budget-ACPLSZ'!$B$7:$B$207,0),MATCH(AW$8,'Budget-ACPLSZ'!$K$6:$W$6,0)))</f>
        <v>0</v>
      </c>
      <c r="AX159" s="749">
        <f t="shared" si="92"/>
        <v>0</v>
      </c>
      <c r="AY159" s="748"/>
      <c r="BA159" s="749">
        <f>SUM(INDEX('Actual-ACPLGZ'!$H$7:$T$207,MATCH($B159,'Actual-ACPLGZ'!$B$7:$B$207,0),MATCH('Actual-ACPLGZ'!H$6,'Actual-ACPLGZ'!$H$6:$T$6,0)):INDEX('Actual-ACPLGZ'!$H$7:$T$207,MATCH($B159,'Actual-ACPLGZ'!$B$7:$B$207,0),MATCH(BA$8,'Actual-ACPLGZ'!$H$6:$T$6,0)))</f>
        <v>0</v>
      </c>
      <c r="BB159" s="749">
        <f>SUM(INDEX('Budget-ACPLGZ'!$K$7:$W$207,MATCH($B159,'Budget-ACPLGZ'!$B$7:$B$207,0),MATCH('Budget-ACPLGZ'!K$6,'Budget-ACPLGZ'!$K$6:$W$6,0)):INDEX('Budget-ACPLGZ'!$K$7:$W$207,MATCH($B159,'Budget-ACPLGZ'!$B$7:$B$207,0),MATCH(BB$8,'Budget-ACPLGZ'!$K$6:$W$6,0)))</f>
        <v>0</v>
      </c>
      <c r="BC159" s="749">
        <f t="shared" si="86"/>
        <v>0</v>
      </c>
      <c r="BD159" s="748"/>
      <c r="BF159" s="749">
        <f>SUM(INDEX('Actual-ACPLYixing'!$H$7:$T$207,MATCH($B159,'Actual-ACPLYixing'!$B$7:$B$207,0),MATCH('Actual-ACPLYixing'!H$6,'Actual-ACPLYixing'!$H$6:$T$6,0)):INDEX('Actual-ACPLYixing'!$H$7:$T$207,MATCH($B159,'Actual-ACPLYixing'!$B$7:$B$207,0),MATCH(BF$8,'Actual-ACPLYixing'!$H$6:$T$6,0)))</f>
        <v>0</v>
      </c>
      <c r="BG159" s="749">
        <f>SUM(INDEX('Budget-Yixing'!$K$7:$W$207,MATCH($B159,'Budget-Yixing'!$B$7:$B$207,0),MATCH('Budget-Yixing'!K$6,'Budget-Yixing'!$K$6:$W$6,0)):INDEX('Budget-Yixing'!$K$7:$W$207,MATCH($B159,'Budget-Yixing'!$B$7:$B$207,0),MATCH(BG$8,'Budget-Yixing'!$K$6:$W$6,0)))</f>
        <v>0</v>
      </c>
      <c r="BH159" s="749">
        <f t="shared" si="87"/>
        <v>0</v>
      </c>
      <c r="BI159" s="748"/>
    </row>
    <row r="160" spans="1:61" ht="16.5" customHeight="1">
      <c r="A160" s="653" t="str">
        <f>'Budget-合并'!A158</f>
        <v>6603.02.01</v>
      </c>
      <c r="B160" s="653" t="str">
        <f>'Budget-合并'!B158</f>
        <v>打印机租赁</v>
      </c>
      <c r="C160" s="746">
        <f>INDEX('Actual-ACPL'!$H$7:$T$207,MATCH($B160,'Actual-ACPL'!$B$7:$B$207,0),MATCH(C$8,'Actual-ACPL'!$H$6:$T$6,0))</f>
        <v>0</v>
      </c>
      <c r="D160" s="746">
        <f>INDEX('Budget-ACPL'!$K$7:$W$207,MATCH($B160,'Budget-ACPL'!$B$7:$B$207,0),MATCH(D$8,'Budget-ACPL'!$K$6:$W$6,0))</f>
        <v>0</v>
      </c>
      <c r="E160" s="746">
        <f t="shared" si="93"/>
        <v>0</v>
      </c>
      <c r="F160" s="752"/>
      <c r="H160" s="749">
        <f>INDEX('Actual-ACPLHK'!$H$7:$T$207,MATCH($B160,'Actual-ACPLHK'!$B$7:$B$207,0),MATCH(H$8,'Actual-ACPLHK'!$H$6:$T$6,0))</f>
        <v>0</v>
      </c>
      <c r="I160" s="749">
        <f>INDEX('Budget-ACPLHK'!$K$7:$W$207,MATCH($B160,'Budget-ACPLHK'!$B$7:$B$207,0),MATCH(I$8,'Budget-ACPLHK'!$K$6:$W$6,0))</f>
        <v>0</v>
      </c>
      <c r="J160" s="749">
        <f t="shared" si="82"/>
        <v>0</v>
      </c>
      <c r="K160" s="748"/>
      <c r="M160" s="749">
        <f>INDEX('Actual-ACPSZL'!$H$7:$T$207,MATCH($B160,'Actual-ACPSZL'!$B$7:$B$207,0),MATCH(M$8,'Actual-ACPSZL'!$H$6:$T$6,0))</f>
        <v>0</v>
      </c>
      <c r="N160" s="749">
        <f>INDEX('Budget-ACPSZL'!$K$7:$W$207,MATCH($B160,'Budget-ACPSZL'!$B$7:$B$207,0),MATCH(N$8,'Budget-ACPSZL'!$K$6:$W$6,0))</f>
        <v>0</v>
      </c>
      <c r="O160" s="749">
        <f t="shared" si="90"/>
        <v>0</v>
      </c>
      <c r="P160" s="748"/>
      <c r="R160" s="749">
        <f>INDEX('Actual-ACPLSZ'!$H$7:$T$207,MATCH($B160,'Actual-ACPLSZ'!$B$7:$B$207,0),MATCH(R$8,'Actual-ACPLSZ'!$H$6:$T$6,0))</f>
        <v>0</v>
      </c>
      <c r="S160" s="749">
        <f>INDEX('Budget-ACPLSZ'!$K$7:$W$207,MATCH($B160,'Budget-ACPLSZ'!$B$7:$B$207,0),MATCH(S$8,'Budget-ACPLSZ'!$K$6:$W$6,0))</f>
        <v>0</v>
      </c>
      <c r="T160" s="749">
        <f t="shared" si="83"/>
        <v>0</v>
      </c>
      <c r="U160" s="748"/>
      <c r="W160" s="749">
        <f>INDEX('Actual-ACPLGZ'!$H$7:$T$207,MATCH($B160,'Actual-ACPLGZ'!$B$7:$B$207,0),MATCH(W$8,'Actual-ACPLGZ'!$H$6:$T$6,0))</f>
        <v>0</v>
      </c>
      <c r="X160" s="749">
        <f>INDEX('Budget-ACPLGZ'!$K$7:$W$207,MATCH($B160,'Budget-ACPLGZ'!$B$7:$B$207,0),MATCH(X$8,'Budget-ACPLGZ'!$K$6:$W$6,0))</f>
        <v>0</v>
      </c>
      <c r="Y160" s="749">
        <f t="shared" si="91"/>
        <v>0</v>
      </c>
      <c r="Z160" s="748"/>
      <c r="AB160" s="749">
        <f>INDEX('Actual-ACPLGZ'!$H$7:$T$207,MATCH($B160,'Actual-ACPLGZ'!$B$7:$B$207,0),MATCH(AB$8,'Actual-ACPLGZ'!$H$6:$T$6,0))</f>
        <v>0</v>
      </c>
      <c r="AC160" s="749">
        <f>INDEX('Budget-Yixing'!$K$7:$W$207,MATCH($B160,'Budget-Yixing'!$B$7:$B$207,0),MATCH(AC$8,'Budget-Yixing'!$K$6:$W$6,0))</f>
        <v>0</v>
      </c>
      <c r="AD160" s="749">
        <f t="shared" si="84"/>
        <v>0</v>
      </c>
      <c r="AE160" s="748"/>
      <c r="AG160" s="751">
        <f>SUM(INDEX('Actual-ACPL'!$H$7:$T$207,MATCH($B160,'Actual-ACPL'!$B$7:$B$207,0),MATCH('Actual-ACPL'!H$6,'Actual-ACPL'!$H$6:$T$6,0)):INDEX('Actual-ACPL'!$H$7:$T$207,MATCH($B160,'Actual-ACPL'!$B$7:$B$207,0),MATCH(AG$8,'Actual-ACPL'!$H$6:$T$6,0)))</f>
        <v>0</v>
      </c>
      <c r="AH160" s="749">
        <f>SUM(INDEX('Budget-ACPL'!$K$7:$W$207,MATCH($B160,'Budget-ACPL'!$B$7:$B$207,0),MATCH('Budget-ACPL'!K$6,'Budget-ACPL'!$K$6:$W$6,0)):INDEX('Budget-ACPL'!$K$7:$W$207,MATCH($B160,'Budget-ACPL'!$B$7:$B$207,0),MATCH(AH$8,'Budget-ACPL'!$K$6:$W$6,0)))</f>
        <v>0</v>
      </c>
      <c r="AI160" s="749">
        <f t="shared" si="88"/>
        <v>0</v>
      </c>
      <c r="AJ160" s="748"/>
      <c r="AL160" s="749">
        <f>SUM(INDEX('Actual-ACPLHK'!$H$7:$S$207,MATCH($B160,'Actual-ACPLHK'!$B$7:$B$207,0),MATCH('Actual-ACPLHK'!H$6,'Actual-ACPLHK'!$H$6:$T$6,0)):INDEX('Actual-ACPLHK'!$H$7:$S$207,MATCH($B160,'Actual-ACPLHK'!$B$7:$B$207,0),MATCH(AL$8,'Actual-ACPLHK'!$H$6:$T$6,0)))</f>
        <v>0</v>
      </c>
      <c r="AM160" s="749">
        <f>SUM(INDEX('Budget-ACPLHK'!$K$7:$W$207,MATCH($B160,'Budget-ACPLHK'!$B$7:$B$207,0),MATCH('Budget-ACPLHK'!K$6,'Budget-ACPLHK'!$K$6:$W$6,0)):INDEX('Budget-ACPLHK'!$K$7:$W$207,MATCH($B160,'Budget-ACPLHK'!$B$7:$B$207,0),MATCH(AM$8,'Budget-ACPLHK'!$K$6:$W$6,0)))</f>
        <v>0</v>
      </c>
      <c r="AN160" s="749">
        <f t="shared" si="85"/>
        <v>0</v>
      </c>
      <c r="AO160" s="748"/>
      <c r="AQ160" s="749">
        <f>SUM(INDEX('Actual-ACPSZL'!$H$7:$T$207,MATCH($B160,'Actual-ACPSZL'!$B$7:$B$207,0),MATCH('Actual-ACPSZL'!H$6,'Actual-ACPSZL'!$H$6:$T$6,0)):INDEX('Actual-ACPSZL'!$H$7:$T$207,MATCH($B160,'Actual-ACPSZL'!$B$7:$B$207,0),MATCH(AQ$8,'Actual-ACPSZL'!$H$6:$T$6,0)))</f>
        <v>0</v>
      </c>
      <c r="AR160" s="749">
        <f>SUM(INDEX('Budget-ACPSZL'!$K$7:$W$207,MATCH($B160,'Budget-ACPSZL'!$B$7:$B$207,0),MATCH('Budget-ACPSZL'!K$6,'Budget-ACPSZL'!$K$6:$W$6,0)):INDEX('Budget-ACPSZL'!$K$7:$W$207,MATCH($B160,'Budget-ACPSZL'!$B$7:$B$207,0),MATCH(AR$8,'Budget-ACPSZL'!$K$6:$W$6,0)))</f>
        <v>0</v>
      </c>
      <c r="AS160" s="749">
        <f t="shared" si="89"/>
        <v>0</v>
      </c>
      <c r="AT160" s="748"/>
      <c r="AV160" s="749">
        <f>SUM(INDEX('Actual-ACPLSZ'!$H$7:$T$207,MATCH($B160,'Actual-ACPLSZ'!$B$7:$B$207,0),MATCH('Actual-ACPLSZ'!H$6,'Actual-ACPLSZ'!$H$6:$T$6,0)):INDEX('Actual-ACPLSZ'!$H$7:$T$207,MATCH($B160,'Actual-ACPLSZ'!$B$7:$B$207,0),MATCH(AV$8,'Actual-ACPLSZ'!$H$6:$T$6,0)))</f>
        <v>0</v>
      </c>
      <c r="AW160" s="749">
        <f>SUM(INDEX('Budget-ACPLSZ'!$K$7:$W$207,MATCH($B160,'Budget-ACPLSZ'!$B$7:$B$207,0),MATCH('Budget-ACPLSZ'!K$6,'Budget-ACPLSZ'!$K$6:$W$6,0)):INDEX('Budget-ACPLSZ'!$K$7:$W$207,MATCH($B160,'Budget-ACPLSZ'!$B$7:$B$207,0),MATCH(AW$8,'Budget-ACPLSZ'!$K$6:$W$6,0)))</f>
        <v>0</v>
      </c>
      <c r="AX160" s="749">
        <f t="shared" si="92"/>
        <v>0</v>
      </c>
      <c r="AY160" s="748"/>
      <c r="BA160" s="749">
        <f>SUM(INDEX('Actual-ACPLGZ'!$H$7:$T$207,MATCH($B160,'Actual-ACPLGZ'!$B$7:$B$207,0),MATCH('Actual-ACPLGZ'!H$6,'Actual-ACPLGZ'!$H$6:$T$6,0)):INDEX('Actual-ACPLGZ'!$H$7:$T$207,MATCH($B160,'Actual-ACPLGZ'!$B$7:$B$207,0),MATCH(BA$8,'Actual-ACPLGZ'!$H$6:$T$6,0)))</f>
        <v>0</v>
      </c>
      <c r="BB160" s="749">
        <f>SUM(INDEX('Budget-ACPLGZ'!$K$7:$W$207,MATCH($B160,'Budget-ACPLGZ'!$B$7:$B$207,0),MATCH('Budget-ACPLGZ'!K$6,'Budget-ACPLGZ'!$K$6:$W$6,0)):INDEX('Budget-ACPLGZ'!$K$7:$W$207,MATCH($B160,'Budget-ACPLGZ'!$B$7:$B$207,0),MATCH(BB$8,'Budget-ACPLGZ'!$K$6:$W$6,0)))</f>
        <v>0</v>
      </c>
      <c r="BC160" s="749">
        <f t="shared" si="86"/>
        <v>0</v>
      </c>
      <c r="BD160" s="748"/>
      <c r="BF160" s="749">
        <f>SUM(INDEX('Actual-ACPLYixing'!$H$7:$T$207,MATCH($B160,'Actual-ACPLYixing'!$B$7:$B$207,0),MATCH('Actual-ACPLYixing'!H$6,'Actual-ACPLYixing'!$H$6:$T$6,0)):INDEX('Actual-ACPLYixing'!$H$7:$T$207,MATCH($B160,'Actual-ACPLYixing'!$B$7:$B$207,0),MATCH(BF$8,'Actual-ACPLYixing'!$H$6:$T$6,0)))</f>
        <v>0</v>
      </c>
      <c r="BG160" s="749">
        <f>SUM(INDEX('Budget-Yixing'!$K$7:$W$207,MATCH($B160,'Budget-Yixing'!$B$7:$B$207,0),MATCH('Budget-Yixing'!K$6,'Budget-Yixing'!$K$6:$W$6,0)):INDEX('Budget-Yixing'!$K$7:$W$207,MATCH($B160,'Budget-Yixing'!$B$7:$B$207,0),MATCH(BG$8,'Budget-Yixing'!$K$6:$W$6,0)))</f>
        <v>0</v>
      </c>
      <c r="BH160" s="749">
        <f t="shared" si="87"/>
        <v>0</v>
      </c>
      <c r="BI160" s="748"/>
    </row>
    <row r="161" spans="1:61" ht="16.5" customHeight="1">
      <c r="A161" s="653" t="str">
        <f>'Budget-合并'!A159</f>
        <v>6603.02.02</v>
      </c>
      <c r="B161" s="653" t="str">
        <f>'Budget-合并'!B159</f>
        <v>办公地址</v>
      </c>
      <c r="C161" s="746">
        <f>INDEX('Actual-ACPL'!$H$7:$T$207,MATCH($B161,'Actual-ACPL'!$B$7:$B$207,0),MATCH(C$8,'Actual-ACPL'!$H$6:$T$6,0))</f>
        <v>0</v>
      </c>
      <c r="D161" s="746">
        <f>INDEX('Budget-ACPL'!$K$7:$W$207,MATCH($B161,'Budget-ACPL'!$B$7:$B$207,0),MATCH(D$8,'Budget-ACPL'!$K$6:$W$6,0))</f>
        <v>0</v>
      </c>
      <c r="E161" s="746">
        <f t="shared" si="93"/>
        <v>0</v>
      </c>
      <c r="F161" s="752"/>
      <c r="H161" s="749">
        <f>INDEX('Actual-ACPLHK'!$H$7:$T$207,MATCH($B161,'Actual-ACPLHK'!$B$7:$B$207,0),MATCH(H$8,'Actual-ACPLHK'!$H$6:$T$6,0))</f>
        <v>0</v>
      </c>
      <c r="I161" s="749">
        <f>INDEX('Budget-ACPLHK'!$K$7:$W$207,MATCH($B161,'Budget-ACPLHK'!$B$7:$B$207,0),MATCH(I$8,'Budget-ACPLHK'!$K$6:$W$6,0))</f>
        <v>71794.122715400008</v>
      </c>
      <c r="J161" s="749">
        <f t="shared" si="82"/>
        <v>-71794.122715400008</v>
      </c>
      <c r="K161" s="748"/>
      <c r="M161" s="749">
        <f>INDEX('Actual-ACPSZL'!$H$7:$T$207,MATCH($B161,'Actual-ACPSZL'!$B$7:$B$207,0),MATCH(M$8,'Actual-ACPSZL'!$H$6:$T$6,0))</f>
        <v>0</v>
      </c>
      <c r="N161" s="749">
        <f>INDEX('Budget-ACPSZL'!$K$7:$W$207,MATCH($B161,'Budget-ACPSZL'!$B$7:$B$207,0),MATCH(N$8,'Budget-ACPSZL'!$K$6:$W$6,0))</f>
        <v>0</v>
      </c>
      <c r="O161" s="749">
        <f t="shared" si="90"/>
        <v>0</v>
      </c>
      <c r="P161" s="748"/>
      <c r="R161" s="749">
        <f>INDEX('Actual-ACPLSZ'!$H$7:$T$207,MATCH($B161,'Actual-ACPLSZ'!$B$7:$B$207,0),MATCH(R$8,'Actual-ACPLSZ'!$H$6:$T$6,0))</f>
        <v>0</v>
      </c>
      <c r="S161" s="749">
        <f>INDEX('Budget-ACPLSZ'!$K$7:$W$207,MATCH($B161,'Budget-ACPLSZ'!$B$7:$B$207,0),MATCH(S$8,'Budget-ACPLSZ'!$K$6:$W$6,0))</f>
        <v>0</v>
      </c>
      <c r="T161" s="749">
        <f t="shared" si="83"/>
        <v>0</v>
      </c>
      <c r="U161" s="748"/>
      <c r="W161" s="749">
        <f>INDEX('Actual-ACPLGZ'!$H$7:$T$207,MATCH($B161,'Actual-ACPLGZ'!$B$7:$B$207,0),MATCH(W$8,'Actual-ACPLGZ'!$H$6:$T$6,0))</f>
        <v>0</v>
      </c>
      <c r="X161" s="749">
        <f>INDEX('Budget-ACPLGZ'!$K$7:$W$207,MATCH($B161,'Budget-ACPLGZ'!$B$7:$B$207,0),MATCH(X$8,'Budget-ACPLGZ'!$K$6:$W$6,0))</f>
        <v>0</v>
      </c>
      <c r="Y161" s="749">
        <f t="shared" si="91"/>
        <v>0</v>
      </c>
      <c r="Z161" s="748"/>
      <c r="AB161" s="749">
        <f>INDEX('Actual-ACPLGZ'!$H$7:$T$207,MATCH($B161,'Actual-ACPLGZ'!$B$7:$B$207,0),MATCH(AB$8,'Actual-ACPLGZ'!$H$6:$T$6,0))</f>
        <v>0</v>
      </c>
      <c r="AC161" s="749">
        <f>INDEX('Budget-Yixing'!$K$7:$W$207,MATCH($B161,'Budget-Yixing'!$B$7:$B$207,0),MATCH(AC$8,'Budget-Yixing'!$K$6:$W$6,0))</f>
        <v>0</v>
      </c>
      <c r="AD161" s="749">
        <f t="shared" si="84"/>
        <v>0</v>
      </c>
      <c r="AE161" s="748"/>
      <c r="AG161" s="751">
        <f>SUM(INDEX('Actual-ACPL'!$H$7:$T$207,MATCH($B161,'Actual-ACPL'!$B$7:$B$207,0),MATCH('Actual-ACPL'!H$6,'Actual-ACPL'!$H$6:$T$6,0)):INDEX('Actual-ACPL'!$H$7:$T$207,MATCH($B161,'Actual-ACPL'!$B$7:$B$207,0),MATCH(AG$8,'Actual-ACPL'!$H$6:$T$6,0)))</f>
        <v>0</v>
      </c>
      <c r="AH161" s="749">
        <f>SUM(INDEX('Budget-ACPL'!$K$7:$W$207,MATCH($B161,'Budget-ACPL'!$B$7:$B$207,0),MATCH('Budget-ACPL'!K$6,'Budget-ACPL'!$K$6:$W$6,0)):INDEX('Budget-ACPL'!$K$7:$W$207,MATCH($B161,'Budget-ACPL'!$B$7:$B$207,0),MATCH(AH$8,'Budget-ACPL'!$K$6:$W$6,0)))</f>
        <v>0</v>
      </c>
      <c r="AI161" s="749">
        <f t="shared" si="88"/>
        <v>0</v>
      </c>
      <c r="AJ161" s="748"/>
      <c r="AL161" s="749">
        <f>SUM(INDEX('Actual-ACPLHK'!$H$7:$S$207,MATCH($B161,'Actual-ACPLHK'!$B$7:$B$207,0),MATCH('Actual-ACPLHK'!H$6,'Actual-ACPLHK'!$H$6:$T$6,0)):INDEX('Actual-ACPLHK'!$H$7:$S$207,MATCH($B161,'Actual-ACPLHK'!$B$7:$B$207,0),MATCH(AL$8,'Actual-ACPLHK'!$H$6:$T$6,0)))</f>
        <v>0</v>
      </c>
      <c r="AM161" s="749">
        <f>SUM(INDEX('Budget-ACPLHK'!$K$7:$W$207,MATCH($B161,'Budget-ACPLHK'!$B$7:$B$207,0),MATCH('Budget-ACPLHK'!K$6,'Budget-ACPLHK'!$K$6:$W$6,0)):INDEX('Budget-ACPLHK'!$K$7:$W$207,MATCH($B161,'Budget-ACPLHK'!$B$7:$B$207,0),MATCH(AM$8,'Budget-ACPLHK'!$K$6:$W$6,0)))</f>
        <v>71794.122715400008</v>
      </c>
      <c r="AN161" s="749">
        <f t="shared" si="85"/>
        <v>-71794.122715400008</v>
      </c>
      <c r="AO161" s="748"/>
      <c r="AQ161" s="749">
        <f>SUM(INDEX('Actual-ACPSZL'!$H$7:$T$207,MATCH($B161,'Actual-ACPSZL'!$B$7:$B$207,0),MATCH('Actual-ACPSZL'!H$6,'Actual-ACPSZL'!$H$6:$T$6,0)):INDEX('Actual-ACPSZL'!$H$7:$T$207,MATCH($B161,'Actual-ACPSZL'!$B$7:$B$207,0),MATCH(AQ$8,'Actual-ACPSZL'!$H$6:$T$6,0)))</f>
        <v>0</v>
      </c>
      <c r="AR161" s="749">
        <f>SUM(INDEX('Budget-ACPSZL'!$K$7:$W$207,MATCH($B161,'Budget-ACPSZL'!$B$7:$B$207,0),MATCH('Budget-ACPSZL'!K$6,'Budget-ACPSZL'!$K$6:$W$6,0)):INDEX('Budget-ACPSZL'!$K$7:$W$207,MATCH($B161,'Budget-ACPSZL'!$B$7:$B$207,0),MATCH(AR$8,'Budget-ACPSZL'!$K$6:$W$6,0)))</f>
        <v>0</v>
      </c>
      <c r="AS161" s="749">
        <f t="shared" si="89"/>
        <v>0</v>
      </c>
      <c r="AT161" s="748"/>
      <c r="AV161" s="749">
        <f>SUM(INDEX('Actual-ACPLSZ'!$H$7:$T$207,MATCH($B161,'Actual-ACPLSZ'!$B$7:$B$207,0),MATCH('Actual-ACPLSZ'!H$6,'Actual-ACPLSZ'!$H$6:$T$6,0)):INDEX('Actual-ACPLSZ'!$H$7:$T$207,MATCH($B161,'Actual-ACPLSZ'!$B$7:$B$207,0),MATCH(AV$8,'Actual-ACPLSZ'!$H$6:$T$6,0)))</f>
        <v>0</v>
      </c>
      <c r="AW161" s="749">
        <f>SUM(INDEX('Budget-ACPLSZ'!$K$7:$W$207,MATCH($B161,'Budget-ACPLSZ'!$B$7:$B$207,0),MATCH('Budget-ACPLSZ'!K$6,'Budget-ACPLSZ'!$K$6:$W$6,0)):INDEX('Budget-ACPLSZ'!$K$7:$W$207,MATCH($B161,'Budget-ACPLSZ'!$B$7:$B$207,0),MATCH(AW$8,'Budget-ACPLSZ'!$K$6:$W$6,0)))</f>
        <v>0</v>
      </c>
      <c r="AX161" s="749">
        <f t="shared" si="92"/>
        <v>0</v>
      </c>
      <c r="AY161" s="748"/>
      <c r="BA161" s="749">
        <f>SUM(INDEX('Actual-ACPLGZ'!$H$7:$T$207,MATCH($B161,'Actual-ACPLGZ'!$B$7:$B$207,0),MATCH('Actual-ACPLGZ'!H$6,'Actual-ACPLGZ'!$H$6:$T$6,0)):INDEX('Actual-ACPLGZ'!$H$7:$T$207,MATCH($B161,'Actual-ACPLGZ'!$B$7:$B$207,0),MATCH(BA$8,'Actual-ACPLGZ'!$H$6:$T$6,0)))</f>
        <v>0</v>
      </c>
      <c r="BB161" s="749">
        <f>SUM(INDEX('Budget-ACPLGZ'!$K$7:$W$207,MATCH($B161,'Budget-ACPLGZ'!$B$7:$B$207,0),MATCH('Budget-ACPLGZ'!K$6,'Budget-ACPLGZ'!$K$6:$W$6,0)):INDEX('Budget-ACPLGZ'!$K$7:$W$207,MATCH($B161,'Budget-ACPLGZ'!$B$7:$B$207,0),MATCH(BB$8,'Budget-ACPLGZ'!$K$6:$W$6,0)))</f>
        <v>0</v>
      </c>
      <c r="BC161" s="749">
        <f t="shared" si="86"/>
        <v>0</v>
      </c>
      <c r="BD161" s="748"/>
      <c r="BF161" s="749">
        <f>SUM(INDEX('Actual-ACPLYixing'!$H$7:$T$207,MATCH($B161,'Actual-ACPLYixing'!$B$7:$B$207,0),MATCH('Actual-ACPLYixing'!H$6,'Actual-ACPLYixing'!$H$6:$T$6,0)):INDEX('Actual-ACPLYixing'!$H$7:$T$207,MATCH($B161,'Actual-ACPLYixing'!$B$7:$B$207,0),MATCH(BF$8,'Actual-ACPLYixing'!$H$6:$T$6,0)))</f>
        <v>0</v>
      </c>
      <c r="BG161" s="749">
        <f>SUM(INDEX('Budget-Yixing'!$K$7:$W$207,MATCH($B161,'Budget-Yixing'!$B$7:$B$207,0),MATCH('Budget-Yixing'!K$6,'Budget-Yixing'!$K$6:$W$6,0)):INDEX('Budget-Yixing'!$K$7:$W$207,MATCH($B161,'Budget-Yixing'!$B$7:$B$207,0),MATCH(BG$8,'Budget-Yixing'!$K$6:$W$6,0)))</f>
        <v>0</v>
      </c>
      <c r="BH161" s="749">
        <f t="shared" si="87"/>
        <v>0</v>
      </c>
      <c r="BI161" s="748"/>
    </row>
    <row r="162" spans="1:61" ht="16.5" customHeight="1">
      <c r="A162" s="653" t="str">
        <f>'Budget-合并'!A160</f>
        <v>6603.02.02.01</v>
      </c>
      <c r="B162" s="653" t="str">
        <f>'Budget-合并'!B160</f>
        <v>旭智咨询--鼎和大厦1606</v>
      </c>
      <c r="C162" s="746">
        <f>INDEX('Actual-ACPL'!$H$7:$T$207,MATCH($B162,'Actual-ACPL'!$B$7:$B$207,0),MATCH(C$8,'Actual-ACPL'!$H$6:$T$6,0))</f>
        <v>0</v>
      </c>
      <c r="D162" s="746">
        <f>INDEX('Budget-ACPL'!$K$7:$W$207,MATCH($B162,'Budget-ACPL'!$B$7:$B$207,0),MATCH(D$8,'Budget-ACPL'!$K$6:$W$6,0))</f>
        <v>0</v>
      </c>
      <c r="E162" s="746">
        <f t="shared" si="93"/>
        <v>0</v>
      </c>
      <c r="F162" s="752"/>
      <c r="H162" s="749">
        <f>INDEX('Actual-ACPLHK'!$H$7:$T$207,MATCH($B162,'Actual-ACPLHK'!$B$7:$B$207,0),MATCH(H$8,'Actual-ACPLHK'!$H$6:$T$6,0))</f>
        <v>0</v>
      </c>
      <c r="I162" s="749">
        <f>INDEX('Budget-ACPLHK'!$K$7:$W$207,MATCH($B162,'Budget-ACPLHK'!$B$7:$B$207,0),MATCH(I$8,'Budget-ACPLHK'!$K$6:$W$6,0))</f>
        <v>0</v>
      </c>
      <c r="J162" s="749">
        <f t="shared" si="82"/>
        <v>0</v>
      </c>
      <c r="K162" s="748"/>
      <c r="M162" s="749">
        <f>INDEX('Actual-ACPSZL'!$H$7:$T$207,MATCH($B162,'Actual-ACPSZL'!$B$7:$B$207,0),MATCH(M$8,'Actual-ACPSZL'!$H$6:$T$6,0))</f>
        <v>0</v>
      </c>
      <c r="N162" s="749">
        <f>INDEX('Budget-ACPSZL'!$K$7:$W$207,MATCH($B162,'Budget-ACPSZL'!$B$7:$B$207,0),MATCH(N$8,'Budget-ACPSZL'!$K$6:$W$6,0))</f>
        <v>0</v>
      </c>
      <c r="O162" s="749">
        <f t="shared" si="90"/>
        <v>0</v>
      </c>
      <c r="P162" s="748"/>
      <c r="R162" s="749">
        <f>INDEX('Actual-ACPLSZ'!$H$7:$T$207,MATCH($B162,'Actual-ACPLSZ'!$B$7:$B$207,0),MATCH(R$8,'Actual-ACPLSZ'!$H$6:$T$6,0))</f>
        <v>0</v>
      </c>
      <c r="S162" s="749">
        <f>INDEX('Budget-ACPLSZ'!$K$7:$W$207,MATCH($B162,'Budget-ACPLSZ'!$B$7:$B$207,0),MATCH(S$8,'Budget-ACPLSZ'!$K$6:$W$6,0))</f>
        <v>0</v>
      </c>
      <c r="T162" s="749">
        <f t="shared" si="83"/>
        <v>0</v>
      </c>
      <c r="U162" s="748"/>
      <c r="W162" s="749">
        <f>INDEX('Actual-ACPLGZ'!$H$7:$T$207,MATCH($B162,'Actual-ACPLGZ'!$B$7:$B$207,0),MATCH(W$8,'Actual-ACPLGZ'!$H$6:$T$6,0))</f>
        <v>0</v>
      </c>
      <c r="X162" s="749">
        <f>INDEX('Budget-ACPLGZ'!$K$7:$W$207,MATCH($B162,'Budget-ACPLGZ'!$B$7:$B$207,0),MATCH(X$8,'Budget-ACPLGZ'!$K$6:$W$6,0))</f>
        <v>0</v>
      </c>
      <c r="Y162" s="749">
        <f t="shared" si="91"/>
        <v>0</v>
      </c>
      <c r="Z162" s="748"/>
      <c r="AB162" s="749">
        <f>INDEX('Actual-ACPLGZ'!$H$7:$T$207,MATCH($B162,'Actual-ACPLGZ'!$B$7:$B$207,0),MATCH(AB$8,'Actual-ACPLGZ'!$H$6:$T$6,0))</f>
        <v>0</v>
      </c>
      <c r="AC162" s="749">
        <f>INDEX('Budget-Yixing'!$K$7:$W$207,MATCH($B162,'Budget-Yixing'!$B$7:$B$207,0),MATCH(AC$8,'Budget-Yixing'!$K$6:$W$6,0))</f>
        <v>0</v>
      </c>
      <c r="AD162" s="749">
        <f t="shared" si="84"/>
        <v>0</v>
      </c>
      <c r="AE162" s="748"/>
      <c r="AG162" s="751">
        <f>SUM(INDEX('Actual-ACPL'!$H$7:$T$207,MATCH($B162,'Actual-ACPL'!$B$7:$B$207,0),MATCH('Actual-ACPL'!H$6,'Actual-ACPL'!$H$6:$T$6,0)):INDEX('Actual-ACPL'!$H$7:$T$207,MATCH($B162,'Actual-ACPL'!$B$7:$B$207,0),MATCH(AG$8,'Actual-ACPL'!$H$6:$T$6,0)))</f>
        <v>0</v>
      </c>
      <c r="AH162" s="749">
        <f>SUM(INDEX('Budget-ACPL'!$K$7:$W$207,MATCH($B162,'Budget-ACPL'!$B$7:$B$207,0),MATCH('Budget-ACPL'!K$6,'Budget-ACPL'!$K$6:$W$6,0)):INDEX('Budget-ACPL'!$K$7:$W$207,MATCH($B162,'Budget-ACPL'!$B$7:$B$207,0),MATCH(AH$8,'Budget-ACPL'!$K$6:$W$6,0)))</f>
        <v>0</v>
      </c>
      <c r="AI162" s="749">
        <f t="shared" ref="AI162:AI179" si="94">AG162-AH162</f>
        <v>0</v>
      </c>
      <c r="AJ162" s="748"/>
      <c r="AL162" s="749">
        <f>SUM(INDEX('Actual-ACPLHK'!$H$7:$S$207,MATCH($B162,'Actual-ACPLHK'!$B$7:$B$207,0),MATCH('Actual-ACPLHK'!H$6,'Actual-ACPLHK'!$H$6:$T$6,0)):INDEX('Actual-ACPLHK'!$H$7:$S$207,MATCH($B162,'Actual-ACPLHK'!$B$7:$B$207,0),MATCH(AL$8,'Actual-ACPLHK'!$H$6:$T$6,0)))</f>
        <v>0</v>
      </c>
      <c r="AM162" s="749">
        <f>SUM(INDEX('Budget-ACPLHK'!$K$7:$W$207,MATCH($B162,'Budget-ACPLHK'!$B$7:$B$207,0),MATCH('Budget-ACPLHK'!K$6,'Budget-ACPLHK'!$K$6:$W$6,0)):INDEX('Budget-ACPLHK'!$K$7:$W$207,MATCH($B162,'Budget-ACPLHK'!$B$7:$B$207,0),MATCH(AM$8,'Budget-ACPLHK'!$K$6:$W$6,0)))</f>
        <v>0</v>
      </c>
      <c r="AN162" s="749">
        <f t="shared" si="85"/>
        <v>0</v>
      </c>
      <c r="AO162" s="748"/>
      <c r="AQ162" s="749">
        <f>SUM(INDEX('Actual-ACPSZL'!$H$7:$T$207,MATCH($B162,'Actual-ACPSZL'!$B$7:$B$207,0),MATCH('Actual-ACPSZL'!H$6,'Actual-ACPSZL'!$H$6:$T$6,0)):INDEX('Actual-ACPSZL'!$H$7:$T$207,MATCH($B162,'Actual-ACPSZL'!$B$7:$B$207,0),MATCH(AQ$8,'Actual-ACPSZL'!$H$6:$T$6,0)))</f>
        <v>0</v>
      </c>
      <c r="AR162" s="749">
        <f>SUM(INDEX('Budget-ACPSZL'!$K$7:$W$207,MATCH($B162,'Budget-ACPSZL'!$B$7:$B$207,0),MATCH('Budget-ACPSZL'!K$6,'Budget-ACPSZL'!$K$6:$W$6,0)):INDEX('Budget-ACPSZL'!$K$7:$W$207,MATCH($B162,'Budget-ACPSZL'!$B$7:$B$207,0),MATCH(AR$8,'Budget-ACPSZL'!$K$6:$W$6,0)))</f>
        <v>0</v>
      </c>
      <c r="AS162" s="749">
        <f t="shared" si="89"/>
        <v>0</v>
      </c>
      <c r="AT162" s="748"/>
      <c r="AV162" s="749">
        <f>SUM(INDEX('Actual-ACPLSZ'!$H$7:$T$207,MATCH($B162,'Actual-ACPLSZ'!$B$7:$B$207,0),MATCH('Actual-ACPLSZ'!H$6,'Actual-ACPLSZ'!$H$6:$T$6,0)):INDEX('Actual-ACPLSZ'!$H$7:$T$207,MATCH($B162,'Actual-ACPLSZ'!$B$7:$B$207,0),MATCH(AV$8,'Actual-ACPLSZ'!$H$6:$T$6,0)))</f>
        <v>0</v>
      </c>
      <c r="AW162" s="749">
        <f>SUM(INDEX('Budget-ACPLSZ'!$K$7:$W$207,MATCH($B162,'Budget-ACPLSZ'!$B$7:$B$207,0),MATCH('Budget-ACPLSZ'!K$6,'Budget-ACPLSZ'!$K$6:$W$6,0)):INDEX('Budget-ACPLSZ'!$K$7:$W$207,MATCH($B162,'Budget-ACPLSZ'!$B$7:$B$207,0),MATCH(AW$8,'Budget-ACPLSZ'!$K$6:$W$6,0)))</f>
        <v>0</v>
      </c>
      <c r="AX162" s="749">
        <f t="shared" si="92"/>
        <v>0</v>
      </c>
      <c r="AY162" s="748"/>
      <c r="BA162" s="749">
        <f>SUM(INDEX('Actual-ACPLGZ'!$H$7:$T$207,MATCH($B162,'Actual-ACPLGZ'!$B$7:$B$207,0),MATCH('Actual-ACPLGZ'!H$6,'Actual-ACPLGZ'!$H$6:$T$6,0)):INDEX('Actual-ACPLGZ'!$H$7:$T$207,MATCH($B162,'Actual-ACPLGZ'!$B$7:$B$207,0),MATCH(BA$8,'Actual-ACPLGZ'!$H$6:$T$6,0)))</f>
        <v>0</v>
      </c>
      <c r="BB162" s="749">
        <f>SUM(INDEX('Budget-ACPLGZ'!$K$7:$W$207,MATCH($B162,'Budget-ACPLGZ'!$B$7:$B$207,0),MATCH('Budget-ACPLGZ'!K$6,'Budget-ACPLGZ'!$K$6:$W$6,0)):INDEX('Budget-ACPLGZ'!$K$7:$W$207,MATCH($B162,'Budget-ACPLGZ'!$B$7:$B$207,0),MATCH(BB$8,'Budget-ACPLGZ'!$K$6:$W$6,0)))</f>
        <v>0</v>
      </c>
      <c r="BC162" s="749">
        <f t="shared" si="86"/>
        <v>0</v>
      </c>
      <c r="BD162" s="748"/>
      <c r="BF162" s="749">
        <f>SUM(INDEX('Actual-ACPLYixing'!$H$7:$T$207,MATCH($B162,'Actual-ACPLYixing'!$B$7:$B$207,0),MATCH('Actual-ACPLYixing'!H$6,'Actual-ACPLYixing'!$H$6:$T$6,0)):INDEX('Actual-ACPLYixing'!$H$7:$T$207,MATCH($B162,'Actual-ACPLYixing'!$B$7:$B$207,0),MATCH(BF$8,'Actual-ACPLYixing'!$H$6:$T$6,0)))</f>
        <v>0</v>
      </c>
      <c r="BG162" s="749">
        <f>SUM(INDEX('Budget-Yixing'!$K$7:$W$207,MATCH($B162,'Budget-Yixing'!$B$7:$B$207,0),MATCH('Budget-Yixing'!K$6,'Budget-Yixing'!$K$6:$W$6,0)):INDEX('Budget-Yixing'!$K$7:$W$207,MATCH($B162,'Budget-Yixing'!$B$7:$B$207,0),MATCH(BG$8,'Budget-Yixing'!$K$6:$W$6,0)))</f>
        <v>0</v>
      </c>
      <c r="BH162" s="749">
        <f t="shared" si="87"/>
        <v>0</v>
      </c>
      <c r="BI162" s="748"/>
    </row>
    <row r="163" spans="1:61" ht="16.5" customHeight="1">
      <c r="A163" s="653" t="str">
        <f>'Budget-合并'!A161</f>
        <v>6603.02.02.02</v>
      </c>
      <c r="B163" s="653" t="str">
        <f>'Budget-合并'!B161</f>
        <v>旭智资本（香港）--冯氏大厦</v>
      </c>
      <c r="C163" s="746">
        <f>INDEX('Actual-ACPL'!$H$7:$T$207,MATCH($B163,'Actual-ACPL'!$B$7:$B$207,0),MATCH(C$8,'Actual-ACPL'!$H$6:$T$6,0))</f>
        <v>0</v>
      </c>
      <c r="D163" s="746">
        <f>INDEX('Budget-ACPL'!$K$7:$W$207,MATCH($B163,'Budget-ACPL'!$B$7:$B$207,0),MATCH(D$8,'Budget-ACPL'!$K$6:$W$6,0))</f>
        <v>0</v>
      </c>
      <c r="E163" s="746">
        <f t="shared" si="93"/>
        <v>0</v>
      </c>
      <c r="F163" s="752"/>
      <c r="H163" s="749">
        <f>INDEX('Actual-ACPLHK'!$H$7:$T$207,MATCH($B163,'Actual-ACPLHK'!$B$7:$B$207,0),MATCH(H$8,'Actual-ACPLHK'!$H$6:$T$6,0))</f>
        <v>0</v>
      </c>
      <c r="I163" s="749">
        <f>INDEX('Budget-ACPLHK'!$K$7:$W$207,MATCH($B163,'Budget-ACPLHK'!$B$7:$B$207,0),MATCH(I$8,'Budget-ACPLHK'!$K$6:$W$6,0))</f>
        <v>71794.122715400008</v>
      </c>
      <c r="J163" s="749">
        <f t="shared" si="82"/>
        <v>-71794.122715400008</v>
      </c>
      <c r="K163" s="748"/>
      <c r="M163" s="749">
        <f>INDEX('Actual-ACPSZL'!$H$7:$T$207,MATCH($B163,'Actual-ACPSZL'!$B$7:$B$207,0),MATCH(M$8,'Actual-ACPSZL'!$H$6:$T$6,0))</f>
        <v>0</v>
      </c>
      <c r="N163" s="749">
        <f>INDEX('Budget-ACPSZL'!$K$7:$W$207,MATCH($B163,'Budget-ACPSZL'!$B$7:$B$207,0),MATCH(N$8,'Budget-ACPSZL'!$K$6:$W$6,0))</f>
        <v>0</v>
      </c>
      <c r="O163" s="749">
        <f t="shared" si="90"/>
        <v>0</v>
      </c>
      <c r="P163" s="748"/>
      <c r="R163" s="749">
        <f>INDEX('Actual-ACPLSZ'!$H$7:$T$207,MATCH($B163,'Actual-ACPLSZ'!$B$7:$B$207,0),MATCH(R$8,'Actual-ACPLSZ'!$H$6:$T$6,0))</f>
        <v>0</v>
      </c>
      <c r="S163" s="749">
        <f>INDEX('Budget-ACPLSZ'!$K$7:$W$207,MATCH($B163,'Budget-ACPLSZ'!$B$7:$B$207,0),MATCH(S$8,'Budget-ACPLSZ'!$K$6:$W$6,0))</f>
        <v>0</v>
      </c>
      <c r="T163" s="749">
        <f t="shared" si="83"/>
        <v>0</v>
      </c>
      <c r="U163" s="748"/>
      <c r="W163" s="749">
        <f>INDEX('Actual-ACPLGZ'!$H$7:$T$207,MATCH($B163,'Actual-ACPLGZ'!$B$7:$B$207,0),MATCH(W$8,'Actual-ACPLGZ'!$H$6:$T$6,0))</f>
        <v>0</v>
      </c>
      <c r="X163" s="749">
        <f>INDEX('Budget-ACPLGZ'!$K$7:$W$207,MATCH($B163,'Budget-ACPLGZ'!$B$7:$B$207,0),MATCH(X$8,'Budget-ACPLGZ'!$K$6:$W$6,0))</f>
        <v>0</v>
      </c>
      <c r="Y163" s="749">
        <f t="shared" si="91"/>
        <v>0</v>
      </c>
      <c r="Z163" s="748"/>
      <c r="AB163" s="749">
        <f>INDEX('Actual-ACPLGZ'!$H$7:$T$207,MATCH($B163,'Actual-ACPLGZ'!$B$7:$B$207,0),MATCH(AB$8,'Actual-ACPLGZ'!$H$6:$T$6,0))</f>
        <v>0</v>
      </c>
      <c r="AC163" s="749">
        <f>INDEX('Budget-Yixing'!$K$7:$W$207,MATCH($B163,'Budget-Yixing'!$B$7:$B$207,0),MATCH(AC$8,'Budget-Yixing'!$K$6:$W$6,0))</f>
        <v>0</v>
      </c>
      <c r="AD163" s="749">
        <f t="shared" si="84"/>
        <v>0</v>
      </c>
      <c r="AE163" s="748"/>
      <c r="AG163" s="751">
        <f>SUM(INDEX('Actual-ACPL'!$H$7:$T$207,MATCH($B163,'Actual-ACPL'!$B$7:$B$207,0),MATCH('Actual-ACPL'!H$6,'Actual-ACPL'!$H$6:$T$6,0)):INDEX('Actual-ACPL'!$H$7:$T$207,MATCH($B163,'Actual-ACPL'!$B$7:$B$207,0),MATCH(AG$8,'Actual-ACPL'!$H$6:$T$6,0)))</f>
        <v>0</v>
      </c>
      <c r="AH163" s="749">
        <f>SUM(INDEX('Budget-ACPL'!$K$7:$W$207,MATCH($B163,'Budget-ACPL'!$B$7:$B$207,0),MATCH('Budget-ACPL'!K$6,'Budget-ACPL'!$K$6:$W$6,0)):INDEX('Budget-ACPL'!$K$7:$W$207,MATCH($B163,'Budget-ACPL'!$B$7:$B$207,0),MATCH(AH$8,'Budget-ACPL'!$K$6:$W$6,0)))</f>
        <v>0</v>
      </c>
      <c r="AI163" s="749">
        <f t="shared" si="94"/>
        <v>0</v>
      </c>
      <c r="AJ163" s="748"/>
      <c r="AL163" s="749">
        <f>SUM(INDEX('Actual-ACPLHK'!$H$7:$S$207,MATCH($B163,'Actual-ACPLHK'!$B$7:$B$207,0),MATCH('Actual-ACPLHK'!H$6,'Actual-ACPLHK'!$H$6:$T$6,0)):INDEX('Actual-ACPLHK'!$H$7:$S$207,MATCH($B163,'Actual-ACPLHK'!$B$7:$B$207,0),MATCH(AL$8,'Actual-ACPLHK'!$H$6:$T$6,0)))</f>
        <v>0</v>
      </c>
      <c r="AM163" s="749">
        <f>SUM(INDEX('Budget-ACPLHK'!$K$7:$W$207,MATCH($B163,'Budget-ACPLHK'!$B$7:$B$207,0),MATCH('Budget-ACPLHK'!K$6,'Budget-ACPLHK'!$K$6:$W$6,0)):INDEX('Budget-ACPLHK'!$K$7:$W$207,MATCH($B163,'Budget-ACPLHK'!$B$7:$B$207,0),MATCH(AM$8,'Budget-ACPLHK'!$K$6:$W$6,0)))</f>
        <v>71794.122715400008</v>
      </c>
      <c r="AN163" s="749">
        <f t="shared" si="85"/>
        <v>-71794.122715400008</v>
      </c>
      <c r="AO163" s="748"/>
      <c r="AQ163" s="749">
        <f>SUM(INDEX('Actual-ACPSZL'!$H$7:$T$207,MATCH($B163,'Actual-ACPSZL'!$B$7:$B$207,0),MATCH('Actual-ACPSZL'!H$6,'Actual-ACPSZL'!$H$6:$T$6,0)):INDEX('Actual-ACPSZL'!$H$7:$T$207,MATCH($B163,'Actual-ACPSZL'!$B$7:$B$207,0),MATCH(AQ$8,'Actual-ACPSZL'!$H$6:$T$6,0)))</f>
        <v>0</v>
      </c>
      <c r="AR163" s="749">
        <f>SUM(INDEX('Budget-ACPSZL'!$K$7:$W$207,MATCH($B163,'Budget-ACPSZL'!$B$7:$B$207,0),MATCH('Budget-ACPSZL'!K$6,'Budget-ACPSZL'!$K$6:$W$6,0)):INDEX('Budget-ACPSZL'!$K$7:$W$207,MATCH($B163,'Budget-ACPSZL'!$B$7:$B$207,0),MATCH(AR$8,'Budget-ACPSZL'!$K$6:$W$6,0)))</f>
        <v>0</v>
      </c>
      <c r="AS163" s="749">
        <f t="shared" si="89"/>
        <v>0</v>
      </c>
      <c r="AT163" s="748"/>
      <c r="AV163" s="749">
        <f>SUM(INDEX('Actual-ACPLSZ'!$H$7:$T$207,MATCH($B163,'Actual-ACPLSZ'!$B$7:$B$207,0),MATCH('Actual-ACPLSZ'!H$6,'Actual-ACPLSZ'!$H$6:$T$6,0)):INDEX('Actual-ACPLSZ'!$H$7:$T$207,MATCH($B163,'Actual-ACPLSZ'!$B$7:$B$207,0),MATCH(AV$8,'Actual-ACPLSZ'!$H$6:$T$6,0)))</f>
        <v>0</v>
      </c>
      <c r="AW163" s="749">
        <f>SUM(INDEX('Budget-ACPLSZ'!$K$7:$W$207,MATCH($B163,'Budget-ACPLSZ'!$B$7:$B$207,0),MATCH('Budget-ACPLSZ'!K$6,'Budget-ACPLSZ'!$K$6:$W$6,0)):INDEX('Budget-ACPLSZ'!$K$7:$W$207,MATCH($B163,'Budget-ACPLSZ'!$B$7:$B$207,0),MATCH(AW$8,'Budget-ACPLSZ'!$K$6:$W$6,0)))</f>
        <v>0</v>
      </c>
      <c r="AX163" s="749">
        <f t="shared" si="92"/>
        <v>0</v>
      </c>
      <c r="AY163" s="748"/>
      <c r="BA163" s="749">
        <f>SUM(INDEX('Actual-ACPLGZ'!$H$7:$T$207,MATCH($B163,'Actual-ACPLGZ'!$B$7:$B$207,0),MATCH('Actual-ACPLGZ'!H$6,'Actual-ACPLGZ'!$H$6:$T$6,0)):INDEX('Actual-ACPLGZ'!$H$7:$T$207,MATCH($B163,'Actual-ACPLGZ'!$B$7:$B$207,0),MATCH(BA$8,'Actual-ACPLGZ'!$H$6:$T$6,0)))</f>
        <v>0</v>
      </c>
      <c r="BB163" s="749">
        <f>SUM(INDEX('Budget-ACPLGZ'!$K$7:$W$207,MATCH($B163,'Budget-ACPLGZ'!$B$7:$B$207,0),MATCH('Budget-ACPLGZ'!K$6,'Budget-ACPLGZ'!$K$6:$W$6,0)):INDEX('Budget-ACPLGZ'!$K$7:$W$207,MATCH($B163,'Budget-ACPLGZ'!$B$7:$B$207,0),MATCH(BB$8,'Budget-ACPLGZ'!$K$6:$W$6,0)))</f>
        <v>0</v>
      </c>
      <c r="BC163" s="749">
        <f t="shared" si="86"/>
        <v>0</v>
      </c>
      <c r="BD163" s="748"/>
      <c r="BF163" s="749">
        <f>SUM(INDEX('Actual-ACPLYixing'!$H$7:$T$207,MATCH($B163,'Actual-ACPLYixing'!$B$7:$B$207,0),MATCH('Actual-ACPLYixing'!H$6,'Actual-ACPLYixing'!$H$6:$T$6,0)):INDEX('Actual-ACPLYixing'!$H$7:$T$207,MATCH($B163,'Actual-ACPLYixing'!$B$7:$B$207,0),MATCH(BF$8,'Actual-ACPLYixing'!$H$6:$T$6,0)))</f>
        <v>0</v>
      </c>
      <c r="BG163" s="749">
        <f>SUM(INDEX('Budget-Yixing'!$K$7:$W$207,MATCH($B163,'Budget-Yixing'!$B$7:$B$207,0),MATCH('Budget-Yixing'!K$6,'Budget-Yixing'!$K$6:$W$6,0)):INDEX('Budget-Yixing'!$K$7:$W$207,MATCH($B163,'Budget-Yixing'!$B$7:$B$207,0),MATCH(BG$8,'Budget-Yixing'!$K$6:$W$6,0)))</f>
        <v>0</v>
      </c>
      <c r="BH163" s="749">
        <f t="shared" si="87"/>
        <v>0</v>
      </c>
      <c r="BI163" s="748"/>
    </row>
    <row r="164" spans="1:61" ht="16.5" customHeight="1">
      <c r="A164" s="653" t="str">
        <f>'Budget-合并'!A162</f>
        <v>6603.02.03</v>
      </c>
      <c r="B164" s="653" t="str">
        <f>'Budget-合并'!B162</f>
        <v>注册地址</v>
      </c>
      <c r="C164" s="746">
        <f>INDEX('Actual-ACPL'!$H$7:$T$207,MATCH($B164,'Actual-ACPL'!$B$7:$B$207,0),MATCH(C$8,'Actual-ACPL'!$H$6:$T$6,0))</f>
        <v>0</v>
      </c>
      <c r="D164" s="746">
        <f>INDEX('Budget-ACPL'!$K$7:$W$207,MATCH($B164,'Budget-ACPL'!$B$7:$B$207,0),MATCH(D$8,'Budget-ACPL'!$K$6:$W$6,0))</f>
        <v>0</v>
      </c>
      <c r="E164" s="746">
        <f t="shared" si="93"/>
        <v>0</v>
      </c>
      <c r="F164" s="752"/>
      <c r="H164" s="749">
        <f>INDEX('Actual-ACPLHK'!$H$7:$T$207,MATCH($B164,'Actual-ACPLHK'!$B$7:$B$207,0),MATCH(H$8,'Actual-ACPLHK'!$H$6:$T$6,0))</f>
        <v>0</v>
      </c>
      <c r="I164" s="749">
        <f>INDEX('Budget-ACPLHK'!$K$7:$W$207,MATCH($B164,'Budget-ACPLHK'!$B$7:$B$207,0),MATCH(I$8,'Budget-ACPLHK'!$K$6:$W$6,0))</f>
        <v>0</v>
      </c>
      <c r="J164" s="749">
        <f t="shared" si="82"/>
        <v>0</v>
      </c>
      <c r="K164" s="748"/>
      <c r="M164" s="749">
        <f>INDEX('Actual-ACPSZL'!$H$7:$T$207,MATCH($B164,'Actual-ACPSZL'!$B$7:$B$207,0),MATCH(M$8,'Actual-ACPSZL'!$H$6:$T$6,0))</f>
        <v>0</v>
      </c>
      <c r="N164" s="749">
        <f>INDEX('Budget-ACPSZL'!$K$7:$W$207,MATCH($B164,'Budget-ACPSZL'!$B$7:$B$207,0),MATCH(N$8,'Budget-ACPSZL'!$K$6:$W$6,0))</f>
        <v>12694.4</v>
      </c>
      <c r="O164" s="749">
        <f t="shared" si="90"/>
        <v>-12694.4</v>
      </c>
      <c r="P164" s="748"/>
      <c r="R164" s="749">
        <f>INDEX('Actual-ACPLSZ'!$H$7:$T$207,MATCH($B164,'Actual-ACPLSZ'!$B$7:$B$207,0),MATCH(R$8,'Actual-ACPLSZ'!$H$6:$T$6,0))</f>
        <v>0</v>
      </c>
      <c r="S164" s="749">
        <f>INDEX('Budget-ACPLSZ'!$K$7:$W$207,MATCH($B164,'Budget-ACPLSZ'!$B$7:$B$207,0),MATCH(S$8,'Budget-ACPLSZ'!$K$6:$W$6,0))</f>
        <v>0</v>
      </c>
      <c r="T164" s="749">
        <f t="shared" si="83"/>
        <v>0</v>
      </c>
      <c r="U164" s="748"/>
      <c r="W164" s="749">
        <f>INDEX('Actual-ACPLGZ'!$H$7:$T$207,MATCH($B164,'Actual-ACPLGZ'!$B$7:$B$207,0),MATCH(W$8,'Actual-ACPLGZ'!$H$6:$T$6,0))</f>
        <v>0</v>
      </c>
      <c r="X164" s="749">
        <f>INDEX('Budget-ACPLGZ'!$K$7:$W$207,MATCH($B164,'Budget-ACPLGZ'!$B$7:$B$207,0),MATCH(X$8,'Budget-ACPLGZ'!$K$6:$W$6,0))</f>
        <v>416.66666666666669</v>
      </c>
      <c r="Y164" s="749">
        <f t="shared" si="91"/>
        <v>-416.66666666666669</v>
      </c>
      <c r="Z164" s="748"/>
      <c r="AB164" s="749">
        <f>INDEX('Actual-ACPLGZ'!$H$7:$T$207,MATCH($B164,'Actual-ACPLGZ'!$B$7:$B$207,0),MATCH(AB$8,'Actual-ACPLGZ'!$H$6:$T$6,0))</f>
        <v>0</v>
      </c>
      <c r="AC164" s="749">
        <f>INDEX('Budget-Yixing'!$K$7:$W$207,MATCH($B164,'Budget-Yixing'!$B$7:$B$207,0),MATCH(AC$8,'Budget-Yixing'!$K$6:$W$6,0))</f>
        <v>0</v>
      </c>
      <c r="AD164" s="749">
        <f t="shared" si="84"/>
        <v>0</v>
      </c>
      <c r="AE164" s="748"/>
      <c r="AG164" s="751">
        <f>SUM(INDEX('Actual-ACPL'!$H$7:$T$207,MATCH($B164,'Actual-ACPL'!$B$7:$B$207,0),MATCH('Actual-ACPL'!H$6,'Actual-ACPL'!$H$6:$T$6,0)):INDEX('Actual-ACPL'!$H$7:$T$207,MATCH($B164,'Actual-ACPL'!$B$7:$B$207,0),MATCH(AG$8,'Actual-ACPL'!$H$6:$T$6,0)))</f>
        <v>0</v>
      </c>
      <c r="AH164" s="749">
        <f>SUM(INDEX('Budget-ACPL'!$K$7:$W$207,MATCH($B164,'Budget-ACPL'!$B$7:$B$207,0),MATCH('Budget-ACPL'!K$6,'Budget-ACPL'!$K$6:$W$6,0)):INDEX('Budget-ACPL'!$K$7:$W$207,MATCH($B164,'Budget-ACPL'!$B$7:$B$207,0),MATCH(AH$8,'Budget-ACPL'!$K$6:$W$6,0)))</f>
        <v>0</v>
      </c>
      <c r="AI164" s="749">
        <f t="shared" si="94"/>
        <v>0</v>
      </c>
      <c r="AJ164" s="748"/>
      <c r="AL164" s="749">
        <f>SUM(INDEX('Actual-ACPLHK'!$H$7:$S$207,MATCH($B164,'Actual-ACPLHK'!$B$7:$B$207,0),MATCH('Actual-ACPLHK'!H$6,'Actual-ACPLHK'!$H$6:$T$6,0)):INDEX('Actual-ACPLHK'!$H$7:$S$207,MATCH($B164,'Actual-ACPLHK'!$B$7:$B$207,0),MATCH(AL$8,'Actual-ACPLHK'!$H$6:$T$6,0)))</f>
        <v>0</v>
      </c>
      <c r="AM164" s="749">
        <f>SUM(INDEX('Budget-ACPLHK'!$K$7:$W$207,MATCH($B164,'Budget-ACPLHK'!$B$7:$B$207,0),MATCH('Budget-ACPLHK'!K$6,'Budget-ACPLHK'!$K$6:$W$6,0)):INDEX('Budget-ACPLHK'!$K$7:$W$207,MATCH($B164,'Budget-ACPLHK'!$B$7:$B$207,0),MATCH(AM$8,'Budget-ACPLHK'!$K$6:$W$6,0)))</f>
        <v>0</v>
      </c>
      <c r="AN164" s="749">
        <f t="shared" si="85"/>
        <v>0</v>
      </c>
      <c r="AO164" s="748"/>
      <c r="AQ164" s="749">
        <f>SUM(INDEX('Actual-ACPSZL'!$H$7:$T$207,MATCH($B164,'Actual-ACPSZL'!$B$7:$B$207,0),MATCH('Actual-ACPSZL'!H$6,'Actual-ACPSZL'!$H$6:$T$6,0)):INDEX('Actual-ACPSZL'!$H$7:$T$207,MATCH($B164,'Actual-ACPSZL'!$B$7:$B$207,0),MATCH(AQ$8,'Actual-ACPSZL'!$H$6:$T$6,0)))</f>
        <v>0</v>
      </c>
      <c r="AR164" s="749">
        <f>SUM(INDEX('Budget-ACPSZL'!$K$7:$W$207,MATCH($B164,'Budget-ACPSZL'!$B$7:$B$207,0),MATCH('Budget-ACPSZL'!K$6,'Budget-ACPSZL'!$K$6:$W$6,0)):INDEX('Budget-ACPSZL'!$K$7:$W$207,MATCH($B164,'Budget-ACPSZL'!$B$7:$B$207,0),MATCH(AR$8,'Budget-ACPSZL'!$K$6:$W$6,0)))</f>
        <v>12694.4</v>
      </c>
      <c r="AS164" s="749">
        <f t="shared" si="89"/>
        <v>-12694.4</v>
      </c>
      <c r="AT164" s="748"/>
      <c r="AV164" s="749">
        <f>SUM(INDEX('Actual-ACPLSZ'!$H$7:$T$207,MATCH($B164,'Actual-ACPLSZ'!$B$7:$B$207,0),MATCH('Actual-ACPLSZ'!H$6,'Actual-ACPLSZ'!$H$6:$T$6,0)):INDEX('Actual-ACPLSZ'!$H$7:$T$207,MATCH($B164,'Actual-ACPLSZ'!$B$7:$B$207,0),MATCH(AV$8,'Actual-ACPLSZ'!$H$6:$T$6,0)))</f>
        <v>0</v>
      </c>
      <c r="AW164" s="749">
        <f>SUM(INDEX('Budget-ACPLSZ'!$K$7:$W$207,MATCH($B164,'Budget-ACPLSZ'!$B$7:$B$207,0),MATCH('Budget-ACPLSZ'!K$6,'Budget-ACPLSZ'!$K$6:$W$6,0)):INDEX('Budget-ACPLSZ'!$K$7:$W$207,MATCH($B164,'Budget-ACPLSZ'!$B$7:$B$207,0),MATCH(AW$8,'Budget-ACPLSZ'!$K$6:$W$6,0)))</f>
        <v>0</v>
      </c>
      <c r="AX164" s="749">
        <f t="shared" si="92"/>
        <v>0</v>
      </c>
      <c r="AY164" s="748"/>
      <c r="BA164" s="749">
        <f>SUM(INDEX('Actual-ACPLGZ'!$H$7:$T$207,MATCH($B164,'Actual-ACPLGZ'!$B$7:$B$207,0),MATCH('Actual-ACPLGZ'!H$6,'Actual-ACPLGZ'!$H$6:$T$6,0)):INDEX('Actual-ACPLGZ'!$H$7:$T$207,MATCH($B164,'Actual-ACPLGZ'!$B$7:$B$207,0),MATCH(BA$8,'Actual-ACPLGZ'!$H$6:$T$6,0)))</f>
        <v>0</v>
      </c>
      <c r="BB164" s="749">
        <f>SUM(INDEX('Budget-ACPLGZ'!$K$7:$W$207,MATCH($B164,'Budget-ACPLGZ'!$B$7:$B$207,0),MATCH('Budget-ACPLGZ'!K$6,'Budget-ACPLGZ'!$K$6:$W$6,0)):INDEX('Budget-ACPLGZ'!$K$7:$W$207,MATCH($B164,'Budget-ACPLGZ'!$B$7:$B$207,0),MATCH(BB$8,'Budget-ACPLGZ'!$K$6:$W$6,0)))</f>
        <v>416.66666666666669</v>
      </c>
      <c r="BC164" s="749">
        <f t="shared" si="86"/>
        <v>-416.66666666666669</v>
      </c>
      <c r="BD164" s="748"/>
      <c r="BF164" s="749">
        <f>SUM(INDEX('Actual-ACPLYixing'!$H$7:$T$207,MATCH($B164,'Actual-ACPLYixing'!$B$7:$B$207,0),MATCH('Actual-ACPLYixing'!H$6,'Actual-ACPLYixing'!$H$6:$T$6,0)):INDEX('Actual-ACPLYixing'!$H$7:$T$207,MATCH($B164,'Actual-ACPLYixing'!$B$7:$B$207,0),MATCH(BF$8,'Actual-ACPLYixing'!$H$6:$T$6,0)))</f>
        <v>0</v>
      </c>
      <c r="BG164" s="749">
        <f>SUM(INDEX('Budget-Yixing'!$K$7:$W$207,MATCH($B164,'Budget-Yixing'!$B$7:$B$207,0),MATCH('Budget-Yixing'!K$6,'Budget-Yixing'!$K$6:$W$6,0)):INDEX('Budget-Yixing'!$K$7:$W$207,MATCH($B164,'Budget-Yixing'!$B$7:$B$207,0),MATCH(BG$8,'Budget-Yixing'!$K$6:$W$6,0)))</f>
        <v>0</v>
      </c>
      <c r="BH164" s="749">
        <f t="shared" si="87"/>
        <v>0</v>
      </c>
      <c r="BI164" s="748"/>
    </row>
    <row r="165" spans="1:61" ht="16.5" customHeight="1">
      <c r="A165" s="653" t="str">
        <f>'Budget-合并'!A163</f>
        <v>6603.02.03.01</v>
      </c>
      <c r="B165" s="653" t="str">
        <f>'Budget-合并'!B163</f>
        <v>旭智私募--前海壹号B座701E</v>
      </c>
      <c r="C165" s="746">
        <f>INDEX('Actual-ACPL'!$H$7:$T$207,MATCH($B165,'Actual-ACPL'!$B$7:$B$207,0),MATCH(C$8,'Actual-ACPL'!$H$6:$T$6,0))</f>
        <v>0</v>
      </c>
      <c r="D165" s="746">
        <f>INDEX('Budget-ACPL'!$K$7:$W$207,MATCH($B165,'Budget-ACPL'!$B$7:$B$207,0),MATCH(D$8,'Budget-ACPL'!$K$6:$W$6,0))</f>
        <v>0</v>
      </c>
      <c r="E165" s="746">
        <f t="shared" si="93"/>
        <v>0</v>
      </c>
      <c r="F165" s="752"/>
      <c r="H165" s="749">
        <f>INDEX('Actual-ACPLHK'!$H$7:$T$207,MATCH($B165,'Actual-ACPLHK'!$B$7:$B$207,0),MATCH(H$8,'Actual-ACPLHK'!$H$6:$T$6,0))</f>
        <v>0</v>
      </c>
      <c r="I165" s="749">
        <f>INDEX('Budget-ACPLHK'!$K$7:$W$207,MATCH($B165,'Budget-ACPLHK'!$B$7:$B$207,0),MATCH(I$8,'Budget-ACPLHK'!$K$6:$W$6,0))</f>
        <v>0</v>
      </c>
      <c r="J165" s="749">
        <f t="shared" si="82"/>
        <v>0</v>
      </c>
      <c r="K165" s="748"/>
      <c r="M165" s="749">
        <f>INDEX('Actual-ACPSZL'!$H$7:$T$207,MATCH($B165,'Actual-ACPSZL'!$B$7:$B$207,0),MATCH(M$8,'Actual-ACPSZL'!$H$6:$T$6,0))</f>
        <v>0</v>
      </c>
      <c r="N165" s="749">
        <f>INDEX('Budget-ACPSZL'!$K$7:$W$207,MATCH($B165,'Budget-ACPSZL'!$B$7:$B$207,0),MATCH(N$8,'Budget-ACPSZL'!$K$6:$W$6,0))</f>
        <v>12694.4</v>
      </c>
      <c r="O165" s="749">
        <f t="shared" si="90"/>
        <v>-12694.4</v>
      </c>
      <c r="P165" s="748"/>
      <c r="R165" s="749">
        <f>INDEX('Actual-ACPLSZ'!$H$7:$T$207,MATCH($B165,'Actual-ACPLSZ'!$B$7:$B$207,0),MATCH(R$8,'Actual-ACPLSZ'!$H$6:$T$6,0))</f>
        <v>0</v>
      </c>
      <c r="S165" s="749">
        <f>INDEX('Budget-ACPLSZ'!$K$7:$W$207,MATCH($B165,'Budget-ACPLSZ'!$B$7:$B$207,0),MATCH(S$8,'Budget-ACPLSZ'!$K$6:$W$6,0))</f>
        <v>0</v>
      </c>
      <c r="T165" s="749">
        <f t="shared" si="83"/>
        <v>0</v>
      </c>
      <c r="U165" s="748"/>
      <c r="W165" s="749">
        <f>INDEX('Actual-ACPLGZ'!$H$7:$T$207,MATCH($B165,'Actual-ACPLGZ'!$B$7:$B$207,0),MATCH(W$8,'Actual-ACPLGZ'!$H$6:$T$6,0))</f>
        <v>0</v>
      </c>
      <c r="X165" s="749">
        <f>INDEX('Budget-ACPLGZ'!$K$7:$W$207,MATCH($B165,'Budget-ACPLGZ'!$B$7:$B$207,0),MATCH(X$8,'Budget-ACPLGZ'!$K$6:$W$6,0))</f>
        <v>0</v>
      </c>
      <c r="Y165" s="749">
        <f t="shared" si="91"/>
        <v>0</v>
      </c>
      <c r="Z165" s="748"/>
      <c r="AB165" s="749">
        <f>INDEX('Actual-ACPLGZ'!$H$7:$T$207,MATCH($B165,'Actual-ACPLGZ'!$B$7:$B$207,0),MATCH(AB$8,'Actual-ACPLGZ'!$H$6:$T$6,0))</f>
        <v>0</v>
      </c>
      <c r="AC165" s="749">
        <f>INDEX('Budget-Yixing'!$K$7:$W$207,MATCH($B165,'Budget-Yixing'!$B$7:$B$207,0),MATCH(AC$8,'Budget-Yixing'!$K$6:$W$6,0))</f>
        <v>0</v>
      </c>
      <c r="AD165" s="749">
        <f t="shared" si="84"/>
        <v>0</v>
      </c>
      <c r="AE165" s="748"/>
      <c r="AG165" s="751">
        <f>SUM(INDEX('Actual-ACPL'!$H$7:$T$207,MATCH($B165,'Actual-ACPL'!$B$7:$B$207,0),MATCH('Actual-ACPL'!H$6,'Actual-ACPL'!$H$6:$T$6,0)):INDEX('Actual-ACPL'!$H$7:$T$207,MATCH($B165,'Actual-ACPL'!$B$7:$B$207,0),MATCH(AG$8,'Actual-ACPL'!$H$6:$T$6,0)))</f>
        <v>0</v>
      </c>
      <c r="AH165" s="749">
        <f>SUM(INDEX('Budget-ACPL'!$K$7:$W$207,MATCH($B165,'Budget-ACPL'!$B$7:$B$207,0),MATCH('Budget-ACPL'!K$6,'Budget-ACPL'!$K$6:$W$6,0)):INDEX('Budget-ACPL'!$K$7:$W$207,MATCH($B165,'Budget-ACPL'!$B$7:$B$207,0),MATCH(AH$8,'Budget-ACPL'!$K$6:$W$6,0)))</f>
        <v>0</v>
      </c>
      <c r="AI165" s="749">
        <f t="shared" si="94"/>
        <v>0</v>
      </c>
      <c r="AJ165" s="748"/>
      <c r="AL165" s="749">
        <f>SUM(INDEX('Actual-ACPLHK'!$H$7:$S$207,MATCH($B165,'Actual-ACPLHK'!$B$7:$B$207,0),MATCH('Actual-ACPLHK'!H$6,'Actual-ACPLHK'!$H$6:$T$6,0)):INDEX('Actual-ACPLHK'!$H$7:$S$207,MATCH($B165,'Actual-ACPLHK'!$B$7:$B$207,0),MATCH(AL$8,'Actual-ACPLHK'!$H$6:$T$6,0)))</f>
        <v>0</v>
      </c>
      <c r="AM165" s="749">
        <f>SUM(INDEX('Budget-ACPLHK'!$K$7:$W$207,MATCH($B165,'Budget-ACPLHK'!$B$7:$B$207,0),MATCH('Budget-ACPLHK'!K$6,'Budget-ACPLHK'!$K$6:$W$6,0)):INDEX('Budget-ACPLHK'!$K$7:$W$207,MATCH($B165,'Budget-ACPLHK'!$B$7:$B$207,0),MATCH(AM$8,'Budget-ACPLHK'!$K$6:$W$6,0)))</f>
        <v>0</v>
      </c>
      <c r="AN165" s="749">
        <f t="shared" si="85"/>
        <v>0</v>
      </c>
      <c r="AO165" s="748"/>
      <c r="AQ165" s="749">
        <f>SUM(INDEX('Actual-ACPSZL'!$H$7:$T$207,MATCH($B165,'Actual-ACPSZL'!$B$7:$B$207,0),MATCH('Actual-ACPSZL'!H$6,'Actual-ACPSZL'!$H$6:$T$6,0)):INDEX('Actual-ACPSZL'!$H$7:$T$207,MATCH($B165,'Actual-ACPSZL'!$B$7:$B$207,0),MATCH(AQ$8,'Actual-ACPSZL'!$H$6:$T$6,0)))</f>
        <v>0</v>
      </c>
      <c r="AR165" s="749">
        <f>SUM(INDEX('Budget-ACPSZL'!$K$7:$W$207,MATCH($B165,'Budget-ACPSZL'!$B$7:$B$207,0),MATCH('Budget-ACPSZL'!K$6,'Budget-ACPSZL'!$K$6:$W$6,0)):INDEX('Budget-ACPSZL'!$K$7:$W$207,MATCH($B165,'Budget-ACPSZL'!$B$7:$B$207,0),MATCH(AR$8,'Budget-ACPSZL'!$K$6:$W$6,0)))</f>
        <v>12694.4</v>
      </c>
      <c r="AS165" s="749">
        <f t="shared" si="89"/>
        <v>-12694.4</v>
      </c>
      <c r="AT165" s="748"/>
      <c r="AV165" s="749">
        <f>SUM(INDEX('Actual-ACPLSZ'!$H$7:$T$207,MATCH($B165,'Actual-ACPLSZ'!$B$7:$B$207,0),MATCH('Actual-ACPLSZ'!H$6,'Actual-ACPLSZ'!$H$6:$T$6,0)):INDEX('Actual-ACPLSZ'!$H$7:$T$207,MATCH($B165,'Actual-ACPLSZ'!$B$7:$B$207,0),MATCH(AV$8,'Actual-ACPLSZ'!$H$6:$T$6,0)))</f>
        <v>0</v>
      </c>
      <c r="AW165" s="749">
        <f>SUM(INDEX('Budget-ACPLSZ'!$K$7:$W$207,MATCH($B165,'Budget-ACPLSZ'!$B$7:$B$207,0),MATCH('Budget-ACPLSZ'!K$6,'Budget-ACPLSZ'!$K$6:$W$6,0)):INDEX('Budget-ACPLSZ'!$K$7:$W$207,MATCH($B165,'Budget-ACPLSZ'!$B$7:$B$207,0),MATCH(AW$8,'Budget-ACPLSZ'!$K$6:$W$6,0)))</f>
        <v>0</v>
      </c>
      <c r="AX165" s="749">
        <f t="shared" si="92"/>
        <v>0</v>
      </c>
      <c r="AY165" s="748"/>
      <c r="BA165" s="749">
        <f>SUM(INDEX('Actual-ACPLGZ'!$H$7:$T$207,MATCH($B165,'Actual-ACPLGZ'!$B$7:$B$207,0),MATCH('Actual-ACPLGZ'!H$6,'Actual-ACPLGZ'!$H$6:$T$6,0)):INDEX('Actual-ACPLGZ'!$H$7:$T$207,MATCH($B165,'Actual-ACPLGZ'!$B$7:$B$207,0),MATCH(BA$8,'Actual-ACPLGZ'!$H$6:$T$6,0)))</f>
        <v>0</v>
      </c>
      <c r="BB165" s="749">
        <f>SUM(INDEX('Budget-ACPLGZ'!$K$7:$W$207,MATCH($B165,'Budget-ACPLGZ'!$B$7:$B$207,0),MATCH('Budget-ACPLGZ'!K$6,'Budget-ACPLGZ'!$K$6:$W$6,0)):INDEX('Budget-ACPLGZ'!$K$7:$W$207,MATCH($B165,'Budget-ACPLGZ'!$B$7:$B$207,0),MATCH(BB$8,'Budget-ACPLGZ'!$K$6:$W$6,0)))</f>
        <v>0</v>
      </c>
      <c r="BC165" s="749">
        <f t="shared" si="86"/>
        <v>0</v>
      </c>
      <c r="BD165" s="748"/>
      <c r="BF165" s="749">
        <f>SUM(INDEX('Actual-ACPLYixing'!$H$7:$T$207,MATCH($B165,'Actual-ACPLYixing'!$B$7:$B$207,0),MATCH('Actual-ACPLYixing'!H$6,'Actual-ACPLYixing'!$H$6:$T$6,0)):INDEX('Actual-ACPLYixing'!$H$7:$T$207,MATCH($B165,'Actual-ACPLYixing'!$B$7:$B$207,0),MATCH(BF$8,'Actual-ACPLYixing'!$H$6:$T$6,0)))</f>
        <v>0</v>
      </c>
      <c r="BG165" s="749">
        <f>SUM(INDEX('Budget-Yixing'!$K$7:$W$207,MATCH($B165,'Budget-Yixing'!$B$7:$B$207,0),MATCH('Budget-Yixing'!K$6,'Budget-Yixing'!$K$6:$W$6,0)):INDEX('Budget-Yixing'!$K$7:$W$207,MATCH($B165,'Budget-Yixing'!$B$7:$B$207,0),MATCH(BG$8,'Budget-Yixing'!$K$6:$W$6,0)))</f>
        <v>0</v>
      </c>
      <c r="BH165" s="749">
        <f t="shared" si="87"/>
        <v>0</v>
      </c>
      <c r="BI165" s="748"/>
    </row>
    <row r="166" spans="1:61" ht="16.5" customHeight="1">
      <c r="A166" s="653" t="str">
        <f>'Budget-合并'!A164</f>
        <v>6603.02.03.02</v>
      </c>
      <c r="B166" s="653" t="str">
        <f>'Budget-合并'!B164</f>
        <v>广州旭智--802房F028</v>
      </c>
      <c r="C166" s="746">
        <f>INDEX('Actual-ACPL'!$H$7:$T$207,MATCH($B166,'Actual-ACPL'!$B$7:$B$207,0),MATCH(C$8,'Actual-ACPL'!$H$6:$T$6,0))</f>
        <v>0</v>
      </c>
      <c r="D166" s="746">
        <f>INDEX('Budget-ACPL'!$K$7:$W$207,MATCH($B166,'Budget-ACPL'!$B$7:$B$207,0),MATCH(D$8,'Budget-ACPL'!$K$6:$W$6,0))</f>
        <v>0</v>
      </c>
      <c r="E166" s="746">
        <f t="shared" si="93"/>
        <v>0</v>
      </c>
      <c r="F166" s="752"/>
      <c r="H166" s="749">
        <f>INDEX('Actual-ACPLHK'!$H$7:$T$207,MATCH($B166,'Actual-ACPLHK'!$B$7:$B$207,0),MATCH(H$8,'Actual-ACPLHK'!$H$6:$T$6,0))</f>
        <v>0</v>
      </c>
      <c r="I166" s="749">
        <f>INDEX('Budget-ACPLHK'!$K$7:$W$207,MATCH($B166,'Budget-ACPLHK'!$B$7:$B$207,0),MATCH(I$8,'Budget-ACPLHK'!$K$6:$W$6,0))</f>
        <v>0</v>
      </c>
      <c r="J166" s="749">
        <f t="shared" si="82"/>
        <v>0</v>
      </c>
      <c r="K166" s="748"/>
      <c r="M166" s="749">
        <f>INDEX('Actual-ACPSZL'!$H$7:$T$207,MATCH($B166,'Actual-ACPSZL'!$B$7:$B$207,0),MATCH(M$8,'Actual-ACPSZL'!$H$6:$T$6,0))</f>
        <v>0</v>
      </c>
      <c r="N166" s="749">
        <f>INDEX('Budget-ACPSZL'!$K$7:$W$207,MATCH($B166,'Budget-ACPSZL'!$B$7:$B$207,0),MATCH(N$8,'Budget-ACPSZL'!$K$6:$W$6,0))</f>
        <v>0</v>
      </c>
      <c r="O166" s="749">
        <f t="shared" si="90"/>
        <v>0</v>
      </c>
      <c r="P166" s="748"/>
      <c r="R166" s="749">
        <f>INDEX('Actual-ACPLSZ'!$H$7:$T$207,MATCH($B166,'Actual-ACPLSZ'!$B$7:$B$207,0),MATCH(R$8,'Actual-ACPLSZ'!$H$6:$T$6,0))</f>
        <v>0</v>
      </c>
      <c r="S166" s="749">
        <f>INDEX('Budget-ACPLSZ'!$K$7:$W$207,MATCH($B166,'Budget-ACPLSZ'!$B$7:$B$207,0),MATCH(S$8,'Budget-ACPLSZ'!$K$6:$W$6,0))</f>
        <v>0</v>
      </c>
      <c r="T166" s="749">
        <f t="shared" si="83"/>
        <v>0</v>
      </c>
      <c r="U166" s="748"/>
      <c r="W166" s="749">
        <f>INDEX('Actual-ACPLGZ'!$H$7:$T$207,MATCH($B166,'Actual-ACPLGZ'!$B$7:$B$207,0),MATCH(W$8,'Actual-ACPLGZ'!$H$6:$T$6,0))</f>
        <v>0</v>
      </c>
      <c r="X166" s="749">
        <f>INDEX('Budget-ACPLGZ'!$K$7:$W$207,MATCH($B166,'Budget-ACPLGZ'!$B$7:$B$207,0),MATCH(X$8,'Budget-ACPLGZ'!$K$6:$W$6,0))</f>
        <v>416.66666666666669</v>
      </c>
      <c r="Y166" s="749">
        <f t="shared" si="91"/>
        <v>-416.66666666666669</v>
      </c>
      <c r="Z166" s="748"/>
      <c r="AB166" s="749">
        <f>INDEX('Actual-ACPLGZ'!$H$7:$T$207,MATCH($B166,'Actual-ACPLGZ'!$B$7:$B$207,0),MATCH(AB$8,'Actual-ACPLGZ'!$H$6:$T$6,0))</f>
        <v>0</v>
      </c>
      <c r="AC166" s="749">
        <f>INDEX('Budget-Yixing'!$K$7:$W$207,MATCH($B166,'Budget-Yixing'!$B$7:$B$207,0),MATCH(AC$8,'Budget-Yixing'!$K$6:$W$6,0))</f>
        <v>0</v>
      </c>
      <c r="AD166" s="749">
        <f t="shared" si="84"/>
        <v>0</v>
      </c>
      <c r="AE166" s="748"/>
      <c r="AG166" s="751">
        <f>SUM(INDEX('Actual-ACPL'!$H$7:$T$207,MATCH($B166,'Actual-ACPL'!$B$7:$B$207,0),MATCH('Actual-ACPL'!H$6,'Actual-ACPL'!$H$6:$T$6,0)):INDEX('Actual-ACPL'!$H$7:$T$207,MATCH($B166,'Actual-ACPL'!$B$7:$B$207,0),MATCH(AG$8,'Actual-ACPL'!$H$6:$T$6,0)))</f>
        <v>0</v>
      </c>
      <c r="AH166" s="749">
        <f>SUM(INDEX('Budget-ACPL'!$K$7:$W$207,MATCH($B166,'Budget-ACPL'!$B$7:$B$207,0),MATCH('Budget-ACPL'!K$6,'Budget-ACPL'!$K$6:$W$6,0)):INDEX('Budget-ACPL'!$K$7:$W$207,MATCH($B166,'Budget-ACPL'!$B$7:$B$207,0),MATCH(AH$8,'Budget-ACPL'!$K$6:$W$6,0)))</f>
        <v>0</v>
      </c>
      <c r="AI166" s="749">
        <f t="shared" si="94"/>
        <v>0</v>
      </c>
      <c r="AJ166" s="748"/>
      <c r="AL166" s="749">
        <f>SUM(INDEX('Actual-ACPLHK'!$H$7:$S$207,MATCH($B166,'Actual-ACPLHK'!$B$7:$B$207,0),MATCH('Actual-ACPLHK'!H$6,'Actual-ACPLHK'!$H$6:$T$6,0)):INDEX('Actual-ACPLHK'!$H$7:$S$207,MATCH($B166,'Actual-ACPLHK'!$B$7:$B$207,0),MATCH(AL$8,'Actual-ACPLHK'!$H$6:$T$6,0)))</f>
        <v>0</v>
      </c>
      <c r="AM166" s="749">
        <f>SUM(INDEX('Budget-ACPLHK'!$K$7:$W$207,MATCH($B166,'Budget-ACPLHK'!$B$7:$B$207,0),MATCH('Budget-ACPLHK'!K$6,'Budget-ACPLHK'!$K$6:$W$6,0)):INDEX('Budget-ACPLHK'!$K$7:$W$207,MATCH($B166,'Budget-ACPLHK'!$B$7:$B$207,0),MATCH(AM$8,'Budget-ACPLHK'!$K$6:$W$6,0)))</f>
        <v>0</v>
      </c>
      <c r="AN166" s="749">
        <f t="shared" si="85"/>
        <v>0</v>
      </c>
      <c r="AO166" s="748"/>
      <c r="AQ166" s="749">
        <f>SUM(INDEX('Actual-ACPSZL'!$H$7:$T$207,MATCH($B166,'Actual-ACPSZL'!$B$7:$B$207,0),MATCH('Actual-ACPSZL'!H$6,'Actual-ACPSZL'!$H$6:$T$6,0)):INDEX('Actual-ACPSZL'!$H$7:$T$207,MATCH($B166,'Actual-ACPSZL'!$B$7:$B$207,0),MATCH(AQ$8,'Actual-ACPSZL'!$H$6:$T$6,0)))</f>
        <v>0</v>
      </c>
      <c r="AR166" s="749">
        <f>SUM(INDEX('Budget-ACPSZL'!$K$7:$W$207,MATCH($B166,'Budget-ACPSZL'!$B$7:$B$207,0),MATCH('Budget-ACPSZL'!K$6,'Budget-ACPSZL'!$K$6:$W$6,0)):INDEX('Budget-ACPSZL'!$K$7:$W$207,MATCH($B166,'Budget-ACPSZL'!$B$7:$B$207,0),MATCH(AR$8,'Budget-ACPSZL'!$K$6:$W$6,0)))</f>
        <v>0</v>
      </c>
      <c r="AS166" s="749">
        <f t="shared" si="89"/>
        <v>0</v>
      </c>
      <c r="AT166" s="748"/>
      <c r="AV166" s="749">
        <f>SUM(INDEX('Actual-ACPLSZ'!$H$7:$T$207,MATCH($B166,'Actual-ACPLSZ'!$B$7:$B$207,0),MATCH('Actual-ACPLSZ'!H$6,'Actual-ACPLSZ'!$H$6:$T$6,0)):INDEX('Actual-ACPLSZ'!$H$7:$T$207,MATCH($B166,'Actual-ACPLSZ'!$B$7:$B$207,0),MATCH(AV$8,'Actual-ACPLSZ'!$H$6:$T$6,0)))</f>
        <v>0</v>
      </c>
      <c r="AW166" s="749">
        <f>SUM(INDEX('Budget-ACPLSZ'!$K$7:$W$207,MATCH($B166,'Budget-ACPLSZ'!$B$7:$B$207,0),MATCH('Budget-ACPLSZ'!K$6,'Budget-ACPLSZ'!$K$6:$W$6,0)):INDEX('Budget-ACPLSZ'!$K$7:$W$207,MATCH($B166,'Budget-ACPLSZ'!$B$7:$B$207,0),MATCH(AW$8,'Budget-ACPLSZ'!$K$6:$W$6,0)))</f>
        <v>0</v>
      </c>
      <c r="AX166" s="749">
        <f t="shared" si="92"/>
        <v>0</v>
      </c>
      <c r="AY166" s="748"/>
      <c r="BA166" s="749">
        <f>SUM(INDEX('Actual-ACPLGZ'!$H$7:$T$207,MATCH($B166,'Actual-ACPLGZ'!$B$7:$B$207,0),MATCH('Actual-ACPLGZ'!H$6,'Actual-ACPLGZ'!$H$6:$T$6,0)):INDEX('Actual-ACPLGZ'!$H$7:$T$207,MATCH($B166,'Actual-ACPLGZ'!$B$7:$B$207,0),MATCH(BA$8,'Actual-ACPLGZ'!$H$6:$T$6,0)))</f>
        <v>0</v>
      </c>
      <c r="BB166" s="749">
        <f>SUM(INDEX('Budget-ACPLGZ'!$K$7:$W$207,MATCH($B166,'Budget-ACPLGZ'!$B$7:$B$207,0),MATCH('Budget-ACPLGZ'!K$6,'Budget-ACPLGZ'!$K$6:$W$6,0)):INDEX('Budget-ACPLGZ'!$K$7:$W$207,MATCH($B166,'Budget-ACPLGZ'!$B$7:$B$207,0),MATCH(BB$8,'Budget-ACPLGZ'!$K$6:$W$6,0)))</f>
        <v>416.66666666666669</v>
      </c>
      <c r="BC166" s="749">
        <f t="shared" si="86"/>
        <v>-416.66666666666669</v>
      </c>
      <c r="BD166" s="748"/>
      <c r="BF166" s="749">
        <f>SUM(INDEX('Actual-ACPLYixing'!$H$7:$T$207,MATCH($B166,'Actual-ACPLYixing'!$B$7:$B$207,0),MATCH('Actual-ACPLYixing'!H$6,'Actual-ACPLYixing'!$H$6:$T$6,0)):INDEX('Actual-ACPLYixing'!$H$7:$T$207,MATCH($B166,'Actual-ACPLYixing'!$B$7:$B$207,0),MATCH(BF$8,'Actual-ACPLYixing'!$H$6:$T$6,0)))</f>
        <v>0</v>
      </c>
      <c r="BG166" s="749">
        <f>SUM(INDEX('Budget-Yixing'!$K$7:$W$207,MATCH($B166,'Budget-Yixing'!$B$7:$B$207,0),MATCH('Budget-Yixing'!K$6,'Budget-Yixing'!$K$6:$W$6,0)):INDEX('Budget-Yixing'!$K$7:$W$207,MATCH($B166,'Budget-Yixing'!$B$7:$B$207,0),MATCH(BG$8,'Budget-Yixing'!$K$6:$W$6,0)))</f>
        <v>0</v>
      </c>
      <c r="BH166" s="749">
        <f t="shared" si="87"/>
        <v>0</v>
      </c>
      <c r="BI166" s="748"/>
    </row>
    <row r="167" spans="1:61" ht="16.5" customHeight="1">
      <c r="A167" s="653" t="str">
        <f>'Budget-合并'!A165</f>
        <v>6603.03</v>
      </c>
      <c r="B167" s="653" t="str">
        <f>'Budget-合并'!B165</f>
        <v>银行手续费</v>
      </c>
      <c r="C167" s="746">
        <f>INDEX('Actual-ACPL'!$H$7:$T$207,MATCH($B167,'Actual-ACPL'!$B$7:$B$207,0),MATCH(C$8,'Actual-ACPL'!$H$6:$T$6,0))</f>
        <v>0</v>
      </c>
      <c r="D167" s="746">
        <f>INDEX('Budget-ACPL'!$K$7:$W$207,MATCH($B167,'Budget-ACPL'!$B$7:$B$207,0),MATCH(D$8,'Budget-ACPL'!$K$6:$W$6,0))</f>
        <v>177.99799999999999</v>
      </c>
      <c r="E167" s="746">
        <f t="shared" si="93"/>
        <v>-177.99799999999999</v>
      </c>
      <c r="F167" s="752"/>
      <c r="H167" s="749">
        <f>INDEX('Actual-ACPLHK'!$H$7:$T$207,MATCH($B167,'Actual-ACPLHK'!$B$7:$B$207,0),MATCH(H$8,'Actual-ACPLHK'!$H$6:$T$6,0))</f>
        <v>0</v>
      </c>
      <c r="I167" s="749">
        <f>INDEX('Budget-ACPLHK'!$K$7:$W$207,MATCH($B167,'Budget-ACPLHK'!$B$7:$B$207,0),MATCH(I$8,'Budget-ACPLHK'!$K$6:$W$6,0))</f>
        <v>177.99799999999999</v>
      </c>
      <c r="J167" s="749">
        <f t="shared" si="82"/>
        <v>-177.99799999999999</v>
      </c>
      <c r="K167" s="748"/>
      <c r="M167" s="749">
        <f>INDEX('Actual-ACPSZL'!$H$7:$T$207,MATCH($B167,'Actual-ACPSZL'!$B$7:$B$207,0),MATCH(M$8,'Actual-ACPSZL'!$H$6:$T$6,0))</f>
        <v>0</v>
      </c>
      <c r="N167" s="749">
        <f>INDEX('Budget-ACPSZL'!$K$7:$W$207,MATCH($B167,'Budget-ACPSZL'!$B$7:$B$207,0),MATCH(N$8,'Budget-ACPSZL'!$K$6:$W$6,0))</f>
        <v>83.333333333333329</v>
      </c>
      <c r="O167" s="749">
        <f t="shared" si="90"/>
        <v>-83.333333333333329</v>
      </c>
      <c r="P167" s="748"/>
      <c r="R167" s="749">
        <f>INDEX('Actual-ACPLSZ'!$H$7:$T$207,MATCH($B167,'Actual-ACPLSZ'!$B$7:$B$207,0),MATCH(R$8,'Actual-ACPLSZ'!$H$6:$T$6,0))</f>
        <v>0</v>
      </c>
      <c r="S167" s="749">
        <f>INDEX('Budget-ACPLSZ'!$K$7:$W$207,MATCH($B167,'Budget-ACPLSZ'!$B$7:$B$207,0),MATCH(S$8,'Budget-ACPLSZ'!$K$6:$W$6,0))</f>
        <v>83.333333333333329</v>
      </c>
      <c r="T167" s="749">
        <f t="shared" si="83"/>
        <v>83.333333333333329</v>
      </c>
      <c r="U167" s="748"/>
      <c r="W167" s="749">
        <f>INDEX('Actual-ACPLGZ'!$H$7:$T$207,MATCH($B167,'Actual-ACPLGZ'!$B$7:$B$207,0),MATCH(W$8,'Actual-ACPLGZ'!$H$6:$T$6,0))</f>
        <v>0</v>
      </c>
      <c r="X167" s="749">
        <f>INDEX('Budget-ACPLGZ'!$K$7:$W$207,MATCH($B167,'Budget-ACPLGZ'!$B$7:$B$207,0),MATCH(X$8,'Budget-ACPLGZ'!$K$6:$W$6,0))</f>
        <v>250</v>
      </c>
      <c r="Y167" s="749">
        <f t="shared" si="91"/>
        <v>-250</v>
      </c>
      <c r="Z167" s="748"/>
      <c r="AB167" s="749">
        <f>INDEX('Actual-ACPLGZ'!$H$7:$T$207,MATCH($B167,'Actual-ACPLGZ'!$B$7:$B$207,0),MATCH(AB$8,'Actual-ACPLGZ'!$H$6:$T$6,0))</f>
        <v>0</v>
      </c>
      <c r="AC167" s="749">
        <f>INDEX('Budget-Yixing'!$K$7:$W$207,MATCH($B167,'Budget-Yixing'!$B$7:$B$207,0),MATCH(AC$8,'Budget-Yixing'!$K$6:$W$6,0))</f>
        <v>83.333333333333329</v>
      </c>
      <c r="AD167" s="749">
        <f t="shared" si="84"/>
        <v>83.333333333333329</v>
      </c>
      <c r="AE167" s="748"/>
      <c r="AG167" s="751">
        <f>SUM(INDEX('Actual-ACPL'!$H$7:$T$207,MATCH($B167,'Actual-ACPL'!$B$7:$B$207,0),MATCH('Actual-ACPL'!H$6,'Actual-ACPL'!$H$6:$T$6,0)):INDEX('Actual-ACPL'!$H$7:$T$207,MATCH($B167,'Actual-ACPL'!$B$7:$B$207,0),MATCH(AG$8,'Actual-ACPL'!$H$6:$T$6,0)))</f>
        <v>0</v>
      </c>
      <c r="AH167" s="749">
        <f>SUM(INDEX('Budget-ACPL'!$K$7:$W$207,MATCH($B167,'Budget-ACPL'!$B$7:$B$207,0),MATCH('Budget-ACPL'!K$6,'Budget-ACPL'!$K$6:$W$6,0)):INDEX('Budget-ACPL'!$K$7:$W$207,MATCH($B167,'Budget-ACPL'!$B$7:$B$207,0),MATCH(AH$8,'Budget-ACPL'!$K$6:$W$6,0)))</f>
        <v>177.99799999999999</v>
      </c>
      <c r="AI167" s="749">
        <f t="shared" si="94"/>
        <v>-177.99799999999999</v>
      </c>
      <c r="AJ167" s="748"/>
      <c r="AL167" s="749">
        <f>SUM(INDEX('Actual-ACPLHK'!$H$7:$S$207,MATCH($B167,'Actual-ACPLHK'!$B$7:$B$207,0),MATCH('Actual-ACPLHK'!H$6,'Actual-ACPLHK'!$H$6:$T$6,0)):INDEX('Actual-ACPLHK'!$H$7:$S$207,MATCH($B167,'Actual-ACPLHK'!$B$7:$B$207,0),MATCH(AL$8,'Actual-ACPLHK'!$H$6:$T$6,0)))</f>
        <v>0</v>
      </c>
      <c r="AM167" s="749">
        <f>SUM(INDEX('Budget-ACPLHK'!$K$7:$W$207,MATCH($B167,'Budget-ACPLHK'!$B$7:$B$207,0),MATCH('Budget-ACPLHK'!K$6,'Budget-ACPLHK'!$K$6:$W$6,0)):INDEX('Budget-ACPLHK'!$K$7:$W$207,MATCH($B167,'Budget-ACPLHK'!$B$7:$B$207,0),MATCH(AM$8,'Budget-ACPLHK'!$K$6:$W$6,0)))</f>
        <v>177.99799999999999</v>
      </c>
      <c r="AN167" s="749">
        <f t="shared" si="85"/>
        <v>-177.99799999999999</v>
      </c>
      <c r="AO167" s="748"/>
      <c r="AQ167" s="749">
        <f>SUM(INDEX('Actual-ACPSZL'!$H$7:$T$207,MATCH($B167,'Actual-ACPSZL'!$B$7:$B$207,0),MATCH('Actual-ACPSZL'!H$6,'Actual-ACPSZL'!$H$6:$T$6,0)):INDEX('Actual-ACPSZL'!$H$7:$T$207,MATCH($B167,'Actual-ACPSZL'!$B$7:$B$207,0),MATCH(AQ$8,'Actual-ACPSZL'!$H$6:$T$6,0)))</f>
        <v>0</v>
      </c>
      <c r="AR167" s="749">
        <f>SUM(INDEX('Budget-ACPSZL'!$K$7:$W$207,MATCH($B167,'Budget-ACPSZL'!$B$7:$B$207,0),MATCH('Budget-ACPSZL'!K$6,'Budget-ACPSZL'!$K$6:$W$6,0)):INDEX('Budget-ACPSZL'!$K$7:$W$207,MATCH($B167,'Budget-ACPSZL'!$B$7:$B$207,0),MATCH(AR$8,'Budget-ACPSZL'!$K$6:$W$6,0)))</f>
        <v>83.333333333333329</v>
      </c>
      <c r="AS167" s="749">
        <f t="shared" si="89"/>
        <v>-83.333333333333329</v>
      </c>
      <c r="AT167" s="748"/>
      <c r="AV167" s="749">
        <f>SUM(INDEX('Actual-ACPLSZ'!$H$7:$T$207,MATCH($B167,'Actual-ACPLSZ'!$B$7:$B$207,0),MATCH('Actual-ACPLSZ'!H$6,'Actual-ACPLSZ'!$H$6:$T$6,0)):INDEX('Actual-ACPLSZ'!$H$7:$T$207,MATCH($B167,'Actual-ACPLSZ'!$B$7:$B$207,0),MATCH(AV$8,'Actual-ACPLSZ'!$H$6:$T$6,0)))</f>
        <v>0</v>
      </c>
      <c r="AW167" s="749">
        <f>SUM(INDEX('Budget-ACPLSZ'!$K$7:$W$207,MATCH($B167,'Budget-ACPLSZ'!$B$7:$B$207,0),MATCH('Budget-ACPLSZ'!K$6,'Budget-ACPLSZ'!$K$6:$W$6,0)):INDEX('Budget-ACPLSZ'!$K$7:$W$207,MATCH($B167,'Budget-ACPLSZ'!$B$7:$B$207,0),MATCH(AW$8,'Budget-ACPLSZ'!$K$6:$W$6,0)))</f>
        <v>83.333333333333329</v>
      </c>
      <c r="AX167" s="749">
        <f t="shared" si="92"/>
        <v>-83.333333333333329</v>
      </c>
      <c r="AY167" s="748"/>
      <c r="BA167" s="749">
        <f>SUM(INDEX('Actual-ACPLGZ'!$H$7:$T$207,MATCH($B167,'Actual-ACPLGZ'!$B$7:$B$207,0),MATCH('Actual-ACPLGZ'!H$6,'Actual-ACPLGZ'!$H$6:$T$6,0)):INDEX('Actual-ACPLGZ'!$H$7:$T$207,MATCH($B167,'Actual-ACPLGZ'!$B$7:$B$207,0),MATCH(BA$8,'Actual-ACPLGZ'!$H$6:$T$6,0)))</f>
        <v>0</v>
      </c>
      <c r="BB167" s="749">
        <f>SUM(INDEX('Budget-ACPLGZ'!$K$7:$W$207,MATCH($B167,'Budget-ACPLGZ'!$B$7:$B$207,0),MATCH('Budget-ACPLGZ'!K$6,'Budget-ACPLGZ'!$K$6:$W$6,0)):INDEX('Budget-ACPLGZ'!$K$7:$W$207,MATCH($B167,'Budget-ACPLGZ'!$B$7:$B$207,0),MATCH(BB$8,'Budget-ACPLGZ'!$K$6:$W$6,0)))</f>
        <v>250</v>
      </c>
      <c r="BC167" s="749">
        <f t="shared" si="86"/>
        <v>-250</v>
      </c>
      <c r="BD167" s="748"/>
      <c r="BF167" s="749">
        <f>SUM(INDEX('Actual-ACPLYixing'!$H$7:$T$207,MATCH($B167,'Actual-ACPLYixing'!$B$7:$B$207,0),MATCH('Actual-ACPLYixing'!H$6,'Actual-ACPLYixing'!$H$6:$T$6,0)):INDEX('Actual-ACPLYixing'!$H$7:$T$207,MATCH($B167,'Actual-ACPLYixing'!$B$7:$B$207,0),MATCH(BF$8,'Actual-ACPLYixing'!$H$6:$T$6,0)))</f>
        <v>0</v>
      </c>
      <c r="BG167" s="749">
        <f>SUM(INDEX('Budget-Yixing'!$K$7:$W$207,MATCH($B167,'Budget-Yixing'!$B$7:$B$207,0),MATCH('Budget-Yixing'!K$6,'Budget-Yixing'!$K$6:$W$6,0)):INDEX('Budget-Yixing'!$K$7:$W$207,MATCH($B167,'Budget-Yixing'!$B$7:$B$207,0),MATCH(BG$8,'Budget-Yixing'!$K$6:$W$6,0)))</f>
        <v>83.333333333333329</v>
      </c>
      <c r="BH167" s="749">
        <f t="shared" si="87"/>
        <v>-83.333333333333329</v>
      </c>
      <c r="BI167" s="748"/>
    </row>
    <row r="168" spans="1:61" ht="16.5" customHeight="1">
      <c r="A168" s="653" t="str">
        <f>'Budget-合并'!A166</f>
        <v>6603.04</v>
      </c>
      <c r="B168" s="653" t="str">
        <f>'Budget-合并'!B166</f>
        <v>利息收入</v>
      </c>
      <c r="C168" s="746">
        <f>INDEX('Actual-ACPL'!$H$7:$T$207,MATCH($B168,'Actual-ACPL'!$B$7:$B$207,0),MATCH(C$8,'Actual-ACPL'!$H$6:$T$6,0))</f>
        <v>0</v>
      </c>
      <c r="D168" s="746">
        <f>INDEX('Budget-ACPL'!$K$7:$W$207,MATCH($B168,'Budget-ACPL'!$B$7:$B$207,0),MATCH(D$8,'Budget-ACPL'!$K$6:$W$6,0))</f>
        <v>0</v>
      </c>
      <c r="E168" s="746">
        <f t="shared" si="93"/>
        <v>0</v>
      </c>
      <c r="F168" s="752"/>
      <c r="H168" s="749">
        <f>INDEX('Actual-ACPLHK'!$H$7:$T$207,MATCH($B168,'Actual-ACPLHK'!$B$7:$B$207,0),MATCH(H$8,'Actual-ACPLHK'!$H$6:$T$6,0))</f>
        <v>0</v>
      </c>
      <c r="I168" s="749">
        <f>INDEX('Budget-ACPLHK'!$K$7:$W$207,MATCH($B168,'Budget-ACPLHK'!$B$7:$B$207,0),MATCH(I$8,'Budget-ACPLHK'!$K$6:$W$6,0))</f>
        <v>0</v>
      </c>
      <c r="J168" s="749">
        <f t="shared" si="82"/>
        <v>0</v>
      </c>
      <c r="K168" s="748"/>
      <c r="M168" s="749">
        <f>INDEX('Actual-ACPSZL'!$H$7:$T$207,MATCH($B168,'Actual-ACPSZL'!$B$7:$B$207,0),MATCH(M$8,'Actual-ACPSZL'!$H$6:$T$6,0))</f>
        <v>0</v>
      </c>
      <c r="N168" s="749">
        <f>INDEX('Budget-ACPSZL'!$K$7:$W$207,MATCH($B168,'Budget-ACPSZL'!$B$7:$B$207,0),MATCH(N$8,'Budget-ACPSZL'!$K$6:$W$6,0))</f>
        <v>0</v>
      </c>
      <c r="O168" s="749">
        <f t="shared" si="90"/>
        <v>0</v>
      </c>
      <c r="P168" s="748"/>
      <c r="R168" s="749">
        <f>INDEX('Actual-ACPLSZ'!$H$7:$T$207,MATCH($B168,'Actual-ACPLSZ'!$B$7:$B$207,0),MATCH(R$8,'Actual-ACPLSZ'!$H$6:$T$6,0))</f>
        <v>0</v>
      </c>
      <c r="S168" s="749">
        <f>INDEX('Budget-ACPLSZ'!$K$7:$W$207,MATCH($B168,'Budget-ACPLSZ'!$B$7:$B$207,0),MATCH(S$8,'Budget-ACPLSZ'!$K$6:$W$6,0))</f>
        <v>0</v>
      </c>
      <c r="T168" s="749">
        <f t="shared" si="83"/>
        <v>0</v>
      </c>
      <c r="U168" s="748"/>
      <c r="W168" s="749">
        <f>INDEX('Actual-ACPLGZ'!$H$7:$T$207,MATCH($B168,'Actual-ACPLGZ'!$B$7:$B$207,0),MATCH(W$8,'Actual-ACPLGZ'!$H$6:$T$6,0))</f>
        <v>0</v>
      </c>
      <c r="X168" s="749">
        <f>INDEX('Budget-ACPLGZ'!$K$7:$W$207,MATCH($B168,'Budget-ACPLGZ'!$B$7:$B$207,0),MATCH(X$8,'Budget-ACPLGZ'!$K$6:$W$6,0))</f>
        <v>0</v>
      </c>
      <c r="Y168" s="749">
        <f t="shared" si="91"/>
        <v>0</v>
      </c>
      <c r="Z168" s="748"/>
      <c r="AB168" s="749">
        <f>INDEX('Actual-ACPLGZ'!$H$7:$T$207,MATCH($B168,'Actual-ACPLGZ'!$B$7:$B$207,0),MATCH(AB$8,'Actual-ACPLGZ'!$H$6:$T$6,0))</f>
        <v>0</v>
      </c>
      <c r="AC168" s="749">
        <f>INDEX('Budget-Yixing'!$K$7:$W$207,MATCH($B168,'Budget-Yixing'!$B$7:$B$207,0),MATCH(AC$8,'Budget-Yixing'!$K$6:$W$6,0))</f>
        <v>0</v>
      </c>
      <c r="AD168" s="749">
        <f t="shared" si="84"/>
        <v>0</v>
      </c>
      <c r="AE168" s="748"/>
      <c r="AG168" s="751">
        <f>SUM(INDEX('Actual-ACPL'!$H$7:$T$207,MATCH($B168,'Actual-ACPL'!$B$7:$B$207,0),MATCH('Actual-ACPL'!H$6,'Actual-ACPL'!$H$6:$T$6,0)):INDEX('Actual-ACPL'!$H$7:$T$207,MATCH($B168,'Actual-ACPL'!$B$7:$B$207,0),MATCH(AG$8,'Actual-ACPL'!$H$6:$T$6,0)))</f>
        <v>0</v>
      </c>
      <c r="AH168" s="749">
        <f>SUM(INDEX('Budget-ACPL'!$K$7:$W$207,MATCH($B168,'Budget-ACPL'!$B$7:$B$207,0),MATCH('Budget-ACPL'!K$6,'Budget-ACPL'!$K$6:$W$6,0)):INDEX('Budget-ACPL'!$K$7:$W$207,MATCH($B168,'Budget-ACPL'!$B$7:$B$207,0),MATCH(AH$8,'Budget-ACPL'!$K$6:$W$6,0)))</f>
        <v>0</v>
      </c>
      <c r="AI168" s="749">
        <f t="shared" si="94"/>
        <v>0</v>
      </c>
      <c r="AJ168" s="748"/>
      <c r="AL168" s="749">
        <f>SUM(INDEX('Actual-ACPLHK'!$H$7:$S$207,MATCH($B168,'Actual-ACPLHK'!$B$7:$B$207,0),MATCH('Actual-ACPLHK'!H$6,'Actual-ACPLHK'!$H$6:$T$6,0)):INDEX('Actual-ACPLHK'!$H$7:$S$207,MATCH($B168,'Actual-ACPLHK'!$B$7:$B$207,0),MATCH(AL$8,'Actual-ACPLHK'!$H$6:$T$6,0)))</f>
        <v>0</v>
      </c>
      <c r="AM168" s="749">
        <f>SUM(INDEX('Budget-ACPLHK'!$K$7:$W$207,MATCH($B168,'Budget-ACPLHK'!$B$7:$B$207,0),MATCH('Budget-ACPLHK'!K$6,'Budget-ACPLHK'!$K$6:$W$6,0)):INDEX('Budget-ACPLHK'!$K$7:$W$207,MATCH($B168,'Budget-ACPLHK'!$B$7:$B$207,0),MATCH(AM$8,'Budget-ACPLHK'!$K$6:$W$6,0)))</f>
        <v>0</v>
      </c>
      <c r="AN168" s="749">
        <f t="shared" si="85"/>
        <v>0</v>
      </c>
      <c r="AO168" s="748"/>
      <c r="AQ168" s="749">
        <f>SUM(INDEX('Actual-ACPSZL'!$H$7:$T$207,MATCH($B168,'Actual-ACPSZL'!$B$7:$B$207,0),MATCH('Actual-ACPSZL'!H$6,'Actual-ACPSZL'!$H$6:$T$6,0)):INDEX('Actual-ACPSZL'!$H$7:$T$207,MATCH($B168,'Actual-ACPSZL'!$B$7:$B$207,0),MATCH(AQ$8,'Actual-ACPSZL'!$H$6:$T$6,0)))</f>
        <v>0</v>
      </c>
      <c r="AR168" s="749">
        <f>SUM(INDEX('Budget-ACPSZL'!$K$7:$W$207,MATCH($B168,'Budget-ACPSZL'!$B$7:$B$207,0),MATCH('Budget-ACPSZL'!K$6,'Budget-ACPSZL'!$K$6:$W$6,0)):INDEX('Budget-ACPSZL'!$K$7:$W$207,MATCH($B168,'Budget-ACPSZL'!$B$7:$B$207,0),MATCH(AR$8,'Budget-ACPSZL'!$K$6:$W$6,0)))</f>
        <v>0</v>
      </c>
      <c r="AS168" s="749">
        <f t="shared" si="89"/>
        <v>0</v>
      </c>
      <c r="AT168" s="748"/>
      <c r="AV168" s="749">
        <f>SUM(INDEX('Actual-ACPLSZ'!$H$7:$T$207,MATCH($B168,'Actual-ACPLSZ'!$B$7:$B$207,0),MATCH('Actual-ACPLSZ'!H$6,'Actual-ACPLSZ'!$H$6:$T$6,0)):INDEX('Actual-ACPLSZ'!$H$7:$T$207,MATCH($B168,'Actual-ACPLSZ'!$B$7:$B$207,0),MATCH(AV$8,'Actual-ACPLSZ'!$H$6:$T$6,0)))</f>
        <v>0</v>
      </c>
      <c r="AW168" s="749">
        <f>SUM(INDEX('Budget-ACPLSZ'!$K$7:$W$207,MATCH($B168,'Budget-ACPLSZ'!$B$7:$B$207,0),MATCH('Budget-ACPLSZ'!K$6,'Budget-ACPLSZ'!$K$6:$W$6,0)):INDEX('Budget-ACPLSZ'!$K$7:$W$207,MATCH($B168,'Budget-ACPLSZ'!$B$7:$B$207,0),MATCH(AW$8,'Budget-ACPLSZ'!$K$6:$W$6,0)))</f>
        <v>0</v>
      </c>
      <c r="AX168" s="749">
        <f t="shared" si="92"/>
        <v>0</v>
      </c>
      <c r="AY168" s="748"/>
      <c r="BA168" s="749">
        <f>SUM(INDEX('Actual-ACPLGZ'!$H$7:$T$207,MATCH($B168,'Actual-ACPLGZ'!$B$7:$B$207,0),MATCH('Actual-ACPLGZ'!H$6,'Actual-ACPLGZ'!$H$6:$T$6,0)):INDEX('Actual-ACPLGZ'!$H$7:$T$207,MATCH($B168,'Actual-ACPLGZ'!$B$7:$B$207,0),MATCH(BA$8,'Actual-ACPLGZ'!$H$6:$T$6,0)))</f>
        <v>0</v>
      </c>
      <c r="BB168" s="749">
        <f>SUM(INDEX('Budget-ACPLGZ'!$K$7:$W$207,MATCH($B168,'Budget-ACPLGZ'!$B$7:$B$207,0),MATCH('Budget-ACPLGZ'!K$6,'Budget-ACPLGZ'!$K$6:$W$6,0)):INDEX('Budget-ACPLGZ'!$K$7:$W$207,MATCH($B168,'Budget-ACPLGZ'!$B$7:$B$207,0),MATCH(BB$8,'Budget-ACPLGZ'!$K$6:$W$6,0)))</f>
        <v>0</v>
      </c>
      <c r="BC168" s="749">
        <f t="shared" si="86"/>
        <v>0</v>
      </c>
      <c r="BD168" s="748"/>
      <c r="BF168" s="749">
        <f>SUM(INDEX('Actual-ACPLYixing'!$H$7:$T$207,MATCH($B168,'Actual-ACPLYixing'!$B$7:$B$207,0),MATCH('Actual-ACPLYixing'!H$6,'Actual-ACPLYixing'!$H$6:$T$6,0)):INDEX('Actual-ACPLYixing'!$H$7:$T$207,MATCH($B168,'Actual-ACPLYixing'!$B$7:$B$207,0),MATCH(BF$8,'Actual-ACPLYixing'!$H$6:$T$6,0)))</f>
        <v>0</v>
      </c>
      <c r="BG168" s="749">
        <f>SUM(INDEX('Budget-Yixing'!$K$7:$W$207,MATCH($B168,'Budget-Yixing'!$B$7:$B$207,0),MATCH('Budget-Yixing'!K$6,'Budget-Yixing'!$K$6:$W$6,0)):INDEX('Budget-Yixing'!$K$7:$W$207,MATCH($B168,'Budget-Yixing'!$B$7:$B$207,0),MATCH(BG$8,'Budget-Yixing'!$K$6:$W$6,0)))</f>
        <v>0</v>
      </c>
      <c r="BH168" s="749">
        <f t="shared" si="87"/>
        <v>0</v>
      </c>
      <c r="BI168" s="748"/>
    </row>
    <row r="169" spans="1:61" ht="16.5" customHeight="1">
      <c r="A169" s="653" t="str">
        <f>'Budget-合并'!A167</f>
        <v>6603.05</v>
      </c>
      <c r="B169" s="653" t="str">
        <f>'Budget-合并'!B167</f>
        <v>利息支出</v>
      </c>
      <c r="C169" s="746">
        <f>INDEX('Actual-ACPL'!$H$7:$T$207,MATCH($B169,'Actual-ACPL'!$B$7:$B$207,0),MATCH(C$8,'Actual-ACPL'!$H$6:$T$6,0))</f>
        <v>0</v>
      </c>
      <c r="D169" s="746">
        <f>INDEX('Budget-ACPL'!$K$7:$W$207,MATCH($B169,'Budget-ACPL'!$B$7:$B$207,0),MATCH(D$8,'Budget-ACPL'!$K$6:$W$6,0))</f>
        <v>0</v>
      </c>
      <c r="E169" s="746">
        <f t="shared" si="93"/>
        <v>0</v>
      </c>
      <c r="F169" s="752"/>
      <c r="H169" s="749">
        <f>INDEX('Actual-ACPLHK'!$H$7:$T$207,MATCH($B169,'Actual-ACPLHK'!$B$7:$B$207,0),MATCH(H$8,'Actual-ACPLHK'!$H$6:$T$6,0))</f>
        <v>0</v>
      </c>
      <c r="I169" s="749">
        <f>INDEX('Budget-ACPLHK'!$K$7:$W$207,MATCH($B169,'Budget-ACPLHK'!$B$7:$B$207,0),MATCH(I$8,'Budget-ACPLHK'!$K$6:$W$6,0))</f>
        <v>0</v>
      </c>
      <c r="J169" s="749">
        <f t="shared" si="82"/>
        <v>0</v>
      </c>
      <c r="K169" s="748"/>
      <c r="M169" s="749">
        <f>INDEX('Actual-ACPSZL'!$H$7:$T$207,MATCH($B169,'Actual-ACPSZL'!$B$7:$B$207,0),MATCH(M$8,'Actual-ACPSZL'!$H$6:$T$6,0))</f>
        <v>0</v>
      </c>
      <c r="N169" s="749">
        <f>INDEX('Budget-ACPSZL'!$K$7:$W$207,MATCH($B169,'Budget-ACPSZL'!$B$7:$B$207,0),MATCH(N$8,'Budget-ACPSZL'!$K$6:$W$6,0))</f>
        <v>0</v>
      </c>
      <c r="O169" s="749">
        <f t="shared" si="90"/>
        <v>0</v>
      </c>
      <c r="P169" s="748"/>
      <c r="R169" s="749">
        <f>INDEX('Actual-ACPLSZ'!$H$7:$T$207,MATCH($B169,'Actual-ACPLSZ'!$B$7:$B$207,0),MATCH(R$8,'Actual-ACPLSZ'!$H$6:$T$6,0))</f>
        <v>0</v>
      </c>
      <c r="S169" s="749">
        <f>INDEX('Budget-ACPLSZ'!$K$7:$W$207,MATCH($B169,'Budget-ACPLSZ'!$B$7:$B$207,0),MATCH(S$8,'Budget-ACPLSZ'!$K$6:$W$6,0))</f>
        <v>0</v>
      </c>
      <c r="T169" s="749">
        <f t="shared" si="83"/>
        <v>0</v>
      </c>
      <c r="U169" s="748"/>
      <c r="W169" s="749">
        <f>INDEX('Actual-ACPLGZ'!$H$7:$T$207,MATCH($B169,'Actual-ACPLGZ'!$B$7:$B$207,0),MATCH(W$8,'Actual-ACPLGZ'!$H$6:$T$6,0))</f>
        <v>0</v>
      </c>
      <c r="X169" s="749">
        <f>INDEX('Budget-ACPLGZ'!$K$7:$W$207,MATCH($B169,'Budget-ACPLGZ'!$B$7:$B$207,0),MATCH(X$8,'Budget-ACPLGZ'!$K$6:$W$6,0))</f>
        <v>0</v>
      </c>
      <c r="Y169" s="749">
        <f t="shared" si="91"/>
        <v>0</v>
      </c>
      <c r="Z169" s="748"/>
      <c r="AB169" s="749">
        <f>INDEX('Actual-ACPLGZ'!$H$7:$T$207,MATCH($B169,'Actual-ACPLGZ'!$B$7:$B$207,0),MATCH(AB$8,'Actual-ACPLGZ'!$H$6:$T$6,0))</f>
        <v>0</v>
      </c>
      <c r="AC169" s="749">
        <f>INDEX('Budget-Yixing'!$K$7:$W$207,MATCH($B169,'Budget-Yixing'!$B$7:$B$207,0),MATCH(AC$8,'Budget-Yixing'!$K$6:$W$6,0))</f>
        <v>47350.68</v>
      </c>
      <c r="AD169" s="749">
        <f t="shared" si="84"/>
        <v>47350.68</v>
      </c>
      <c r="AE169" s="748"/>
      <c r="AG169" s="751">
        <f>SUM(INDEX('Actual-ACPL'!$H$7:$T$207,MATCH($B169,'Actual-ACPL'!$B$7:$B$207,0),MATCH('Actual-ACPL'!H$6,'Actual-ACPL'!$H$6:$T$6,0)):INDEX('Actual-ACPL'!$H$7:$T$207,MATCH($B169,'Actual-ACPL'!$B$7:$B$207,0),MATCH(AG$8,'Actual-ACPL'!$H$6:$T$6,0)))</f>
        <v>0</v>
      </c>
      <c r="AH169" s="749">
        <f>SUM(INDEX('Budget-ACPL'!$K$7:$W$207,MATCH($B169,'Budget-ACPL'!$B$7:$B$207,0),MATCH('Budget-ACPL'!K$6,'Budget-ACPL'!$K$6:$W$6,0)):INDEX('Budget-ACPL'!$K$7:$W$207,MATCH($B169,'Budget-ACPL'!$B$7:$B$207,0),MATCH(AH$8,'Budget-ACPL'!$K$6:$W$6,0)))</f>
        <v>0</v>
      </c>
      <c r="AI169" s="749">
        <f t="shared" si="94"/>
        <v>0</v>
      </c>
      <c r="AJ169" s="748"/>
      <c r="AL169" s="749">
        <f>SUM(INDEX('Actual-ACPLHK'!$H$7:$S$207,MATCH($B169,'Actual-ACPLHK'!$B$7:$B$207,0),MATCH('Actual-ACPLHK'!H$6,'Actual-ACPLHK'!$H$6:$T$6,0)):INDEX('Actual-ACPLHK'!$H$7:$S$207,MATCH($B169,'Actual-ACPLHK'!$B$7:$B$207,0),MATCH(AL$8,'Actual-ACPLHK'!$H$6:$T$6,0)))</f>
        <v>0</v>
      </c>
      <c r="AM169" s="749">
        <f>SUM(INDEX('Budget-ACPLHK'!$K$7:$W$207,MATCH($B169,'Budget-ACPLHK'!$B$7:$B$207,0),MATCH('Budget-ACPLHK'!K$6,'Budget-ACPLHK'!$K$6:$W$6,0)):INDEX('Budget-ACPLHK'!$K$7:$W$207,MATCH($B169,'Budget-ACPLHK'!$B$7:$B$207,0),MATCH(AM$8,'Budget-ACPLHK'!$K$6:$W$6,0)))</f>
        <v>0</v>
      </c>
      <c r="AN169" s="749">
        <f t="shared" si="85"/>
        <v>0</v>
      </c>
      <c r="AO169" s="748"/>
      <c r="AQ169" s="749">
        <f>SUM(INDEX('Actual-ACPSZL'!$H$7:$T$207,MATCH($B169,'Actual-ACPSZL'!$B$7:$B$207,0),MATCH('Actual-ACPSZL'!H$6,'Actual-ACPSZL'!$H$6:$T$6,0)):INDEX('Actual-ACPSZL'!$H$7:$T$207,MATCH($B169,'Actual-ACPSZL'!$B$7:$B$207,0),MATCH(AQ$8,'Actual-ACPSZL'!$H$6:$T$6,0)))</f>
        <v>0</v>
      </c>
      <c r="AR169" s="749">
        <f>SUM(INDEX('Budget-ACPSZL'!$K$7:$W$207,MATCH($B169,'Budget-ACPSZL'!$B$7:$B$207,0),MATCH('Budget-ACPSZL'!K$6,'Budget-ACPSZL'!$K$6:$W$6,0)):INDEX('Budget-ACPSZL'!$K$7:$W$207,MATCH($B169,'Budget-ACPSZL'!$B$7:$B$207,0),MATCH(AR$8,'Budget-ACPSZL'!$K$6:$W$6,0)))</f>
        <v>0</v>
      </c>
      <c r="AS169" s="749">
        <f t="shared" si="89"/>
        <v>0</v>
      </c>
      <c r="AT169" s="748"/>
      <c r="AV169" s="749">
        <f>SUM(INDEX('Actual-ACPLSZ'!$H$7:$T$207,MATCH($B169,'Actual-ACPLSZ'!$B$7:$B$207,0),MATCH('Actual-ACPLSZ'!H$6,'Actual-ACPLSZ'!$H$6:$T$6,0)):INDEX('Actual-ACPLSZ'!$H$7:$T$207,MATCH($B169,'Actual-ACPLSZ'!$B$7:$B$207,0),MATCH(AV$8,'Actual-ACPLSZ'!$H$6:$T$6,0)))</f>
        <v>0</v>
      </c>
      <c r="AW169" s="749">
        <f>SUM(INDEX('Budget-ACPLSZ'!$K$7:$W$207,MATCH($B169,'Budget-ACPLSZ'!$B$7:$B$207,0),MATCH('Budget-ACPLSZ'!K$6,'Budget-ACPLSZ'!$K$6:$W$6,0)):INDEX('Budget-ACPLSZ'!$K$7:$W$207,MATCH($B169,'Budget-ACPLSZ'!$B$7:$B$207,0),MATCH(AW$8,'Budget-ACPLSZ'!$K$6:$W$6,0)))</f>
        <v>0</v>
      </c>
      <c r="AX169" s="749">
        <f t="shared" si="92"/>
        <v>0</v>
      </c>
      <c r="AY169" s="748"/>
      <c r="BA169" s="749">
        <f>SUM(INDEX('Actual-ACPLGZ'!$H$7:$T$207,MATCH($B169,'Actual-ACPLGZ'!$B$7:$B$207,0),MATCH('Actual-ACPLGZ'!H$6,'Actual-ACPLGZ'!$H$6:$T$6,0)):INDEX('Actual-ACPLGZ'!$H$7:$T$207,MATCH($B169,'Actual-ACPLGZ'!$B$7:$B$207,0),MATCH(BA$8,'Actual-ACPLGZ'!$H$6:$T$6,0)))</f>
        <v>0</v>
      </c>
      <c r="BB169" s="749">
        <f>SUM(INDEX('Budget-ACPLGZ'!$K$7:$W$207,MATCH($B169,'Budget-ACPLGZ'!$B$7:$B$207,0),MATCH('Budget-ACPLGZ'!K$6,'Budget-ACPLGZ'!$K$6:$W$6,0)):INDEX('Budget-ACPLGZ'!$K$7:$W$207,MATCH($B169,'Budget-ACPLGZ'!$B$7:$B$207,0),MATCH(BB$8,'Budget-ACPLGZ'!$K$6:$W$6,0)))</f>
        <v>0</v>
      </c>
      <c r="BC169" s="749">
        <f t="shared" si="86"/>
        <v>0</v>
      </c>
      <c r="BD169" s="748"/>
      <c r="BF169" s="749">
        <f>SUM(INDEX('Actual-ACPLYixing'!$H$7:$T$207,MATCH($B169,'Actual-ACPLYixing'!$B$7:$B$207,0),MATCH('Actual-ACPLYixing'!H$6,'Actual-ACPLYixing'!$H$6:$T$6,0)):INDEX('Actual-ACPLYixing'!$H$7:$T$207,MATCH($B169,'Actual-ACPLYixing'!$B$7:$B$207,0),MATCH(BF$8,'Actual-ACPLYixing'!$H$6:$T$6,0)))</f>
        <v>0</v>
      </c>
      <c r="BG169" s="749">
        <f>SUM(INDEX('Budget-Yixing'!$K$7:$W$207,MATCH($B169,'Budget-Yixing'!$B$7:$B$207,0),MATCH('Budget-Yixing'!K$6,'Budget-Yixing'!$K$6:$W$6,0)):INDEX('Budget-Yixing'!$K$7:$W$207,MATCH($B169,'Budget-Yixing'!$B$7:$B$207,0),MATCH(BG$8,'Budget-Yixing'!$K$6:$W$6,0)))</f>
        <v>47350.68</v>
      </c>
      <c r="BH169" s="749">
        <f t="shared" si="87"/>
        <v>-47350.68</v>
      </c>
      <c r="BI169" s="748"/>
    </row>
    <row r="170" spans="1:61" ht="16.5" customHeight="1">
      <c r="A170" s="653" t="str">
        <f>'Budget-合并'!A168</f>
        <v>6603.05.01</v>
      </c>
      <c r="B170" s="653" t="str">
        <f>'Budget-合并'!B168</f>
        <v>兴业金融租赁有限责任公司</v>
      </c>
      <c r="C170" s="746">
        <f>INDEX('Actual-ACPL'!$H$7:$T$207,MATCH($B170,'Actual-ACPL'!$B$7:$B$207,0),MATCH(C$8,'Actual-ACPL'!$H$6:$T$6,0))</f>
        <v>0</v>
      </c>
      <c r="D170" s="746">
        <f>INDEX('Budget-ACPL'!$K$7:$W$207,MATCH($B170,'Budget-ACPL'!$B$7:$B$207,0),MATCH(D$8,'Budget-ACPL'!$K$6:$W$6,0))</f>
        <v>0</v>
      </c>
      <c r="E170" s="746">
        <f t="shared" si="93"/>
        <v>0</v>
      </c>
      <c r="F170" s="752"/>
      <c r="H170" s="749">
        <f>INDEX('Actual-ACPLHK'!$H$7:$T$207,MATCH($B170,'Actual-ACPLHK'!$B$7:$B$207,0),MATCH(H$8,'Actual-ACPLHK'!$H$6:$T$6,0))</f>
        <v>0</v>
      </c>
      <c r="I170" s="749">
        <f>INDEX('Budget-ACPLHK'!$K$7:$W$207,MATCH($B170,'Budget-ACPLHK'!$B$7:$B$207,0),MATCH(I$8,'Budget-ACPLHK'!$K$6:$W$6,0))</f>
        <v>0</v>
      </c>
      <c r="J170" s="749">
        <f t="shared" ref="J170:J188" si="95">H170-I170</f>
        <v>0</v>
      </c>
      <c r="K170" s="748"/>
      <c r="M170" s="749">
        <f>INDEX('Actual-ACPSZL'!$H$7:$T$207,MATCH($B170,'Actual-ACPSZL'!$B$7:$B$207,0),MATCH(M$8,'Actual-ACPSZL'!$H$6:$T$6,0))</f>
        <v>0</v>
      </c>
      <c r="N170" s="749">
        <f>INDEX('Budget-ACPSZL'!$K$7:$W$207,MATCH($B170,'Budget-ACPSZL'!$B$7:$B$207,0),MATCH(N$8,'Budget-ACPSZL'!$K$6:$W$6,0))</f>
        <v>0</v>
      </c>
      <c r="O170" s="749">
        <f t="shared" si="90"/>
        <v>0</v>
      </c>
      <c r="P170" s="748"/>
      <c r="R170" s="749">
        <f>INDEX('Actual-ACPLSZ'!$H$7:$T$207,MATCH($B170,'Actual-ACPLSZ'!$B$7:$B$207,0),MATCH(R$8,'Actual-ACPLSZ'!$H$6:$T$6,0))</f>
        <v>0</v>
      </c>
      <c r="S170" s="749">
        <f>INDEX('Budget-ACPLSZ'!$K$7:$W$207,MATCH($B170,'Budget-ACPLSZ'!$B$7:$B$207,0),MATCH(S$8,'Budget-ACPLSZ'!$K$6:$W$6,0))</f>
        <v>0</v>
      </c>
      <c r="T170" s="749">
        <f t="shared" si="83"/>
        <v>0</v>
      </c>
      <c r="U170" s="748"/>
      <c r="W170" s="749">
        <f>INDEX('Actual-ACPLGZ'!$H$7:$T$207,MATCH($B170,'Actual-ACPLGZ'!$B$7:$B$207,0),MATCH(W$8,'Actual-ACPLGZ'!$H$6:$T$6,0))</f>
        <v>0</v>
      </c>
      <c r="X170" s="749">
        <f>INDEX('Budget-ACPLGZ'!$K$7:$W$207,MATCH($B170,'Budget-ACPLGZ'!$B$7:$B$207,0),MATCH(X$8,'Budget-ACPLGZ'!$K$6:$W$6,0))</f>
        <v>0</v>
      </c>
      <c r="Y170" s="749">
        <f t="shared" si="91"/>
        <v>0</v>
      </c>
      <c r="Z170" s="748"/>
      <c r="AB170" s="749">
        <f>INDEX('Actual-ACPLGZ'!$H$7:$T$207,MATCH($B170,'Actual-ACPLGZ'!$B$7:$B$207,0),MATCH(AB$8,'Actual-ACPLGZ'!$H$6:$T$6,0))</f>
        <v>0</v>
      </c>
      <c r="AC170" s="749">
        <f>INDEX('Budget-Yixing'!$K$7:$W$207,MATCH($B170,'Budget-Yixing'!$B$7:$B$207,0),MATCH(AC$8,'Budget-Yixing'!$K$6:$W$6,0))</f>
        <v>0</v>
      </c>
      <c r="AD170" s="749">
        <f t="shared" si="84"/>
        <v>0</v>
      </c>
      <c r="AE170" s="748"/>
      <c r="AG170" s="751">
        <f>SUM(INDEX('Actual-ACPL'!$H$7:$T$207,MATCH($B170,'Actual-ACPL'!$B$7:$B$207,0),MATCH('Actual-ACPL'!H$6,'Actual-ACPL'!$H$6:$T$6,0)):INDEX('Actual-ACPL'!$H$7:$T$207,MATCH($B170,'Actual-ACPL'!$B$7:$B$207,0),MATCH(AG$8,'Actual-ACPL'!$H$6:$T$6,0)))</f>
        <v>0</v>
      </c>
      <c r="AH170" s="749">
        <f>SUM(INDEX('Budget-ACPL'!$K$7:$W$207,MATCH($B170,'Budget-ACPL'!$B$7:$B$207,0),MATCH('Budget-ACPL'!K$6,'Budget-ACPL'!$K$6:$W$6,0)):INDEX('Budget-ACPL'!$K$7:$W$207,MATCH($B170,'Budget-ACPL'!$B$7:$B$207,0),MATCH(AH$8,'Budget-ACPL'!$K$6:$W$6,0)))</f>
        <v>0</v>
      </c>
      <c r="AI170" s="749">
        <f t="shared" si="94"/>
        <v>0</v>
      </c>
      <c r="AJ170" s="748"/>
      <c r="AL170" s="749">
        <f>SUM(INDEX('Actual-ACPLHK'!$H$7:$S$207,MATCH($B170,'Actual-ACPLHK'!$B$7:$B$207,0),MATCH('Actual-ACPLHK'!H$6,'Actual-ACPLHK'!$H$6:$T$6,0)):INDEX('Actual-ACPLHK'!$H$7:$S$207,MATCH($B170,'Actual-ACPLHK'!$B$7:$B$207,0),MATCH(AL$8,'Actual-ACPLHK'!$H$6:$T$6,0)))</f>
        <v>0</v>
      </c>
      <c r="AM170" s="749">
        <f>SUM(INDEX('Budget-ACPLHK'!$K$7:$W$207,MATCH($B170,'Budget-ACPLHK'!$B$7:$B$207,0),MATCH('Budget-ACPLHK'!K$6,'Budget-ACPLHK'!$K$6:$W$6,0)):INDEX('Budget-ACPLHK'!$K$7:$W$207,MATCH($B170,'Budget-ACPLHK'!$B$7:$B$207,0),MATCH(AM$8,'Budget-ACPLHK'!$K$6:$W$6,0)))</f>
        <v>0</v>
      </c>
      <c r="AN170" s="749">
        <f t="shared" si="85"/>
        <v>0</v>
      </c>
      <c r="AO170" s="748"/>
      <c r="AQ170" s="749">
        <f>SUM(INDEX('Actual-ACPSZL'!$H$7:$T$207,MATCH($B170,'Actual-ACPSZL'!$B$7:$B$207,0),MATCH('Actual-ACPSZL'!H$6,'Actual-ACPSZL'!$H$6:$T$6,0)):INDEX('Actual-ACPSZL'!$H$7:$T$207,MATCH($B170,'Actual-ACPSZL'!$B$7:$B$207,0),MATCH(AQ$8,'Actual-ACPSZL'!$H$6:$T$6,0)))</f>
        <v>0</v>
      </c>
      <c r="AR170" s="749">
        <f>SUM(INDEX('Budget-ACPSZL'!$K$7:$W$207,MATCH($B170,'Budget-ACPSZL'!$B$7:$B$207,0),MATCH('Budget-ACPSZL'!K$6,'Budget-ACPSZL'!$K$6:$W$6,0)):INDEX('Budget-ACPSZL'!$K$7:$W$207,MATCH($B170,'Budget-ACPSZL'!$B$7:$B$207,0),MATCH(AR$8,'Budget-ACPSZL'!$K$6:$W$6,0)))</f>
        <v>0</v>
      </c>
      <c r="AS170" s="749">
        <f t="shared" si="89"/>
        <v>0</v>
      </c>
      <c r="AT170" s="748"/>
      <c r="AV170" s="749">
        <f>SUM(INDEX('Actual-ACPLSZ'!$H$7:$T$207,MATCH($B170,'Actual-ACPLSZ'!$B$7:$B$207,0),MATCH('Actual-ACPLSZ'!H$6,'Actual-ACPLSZ'!$H$6:$T$6,0)):INDEX('Actual-ACPLSZ'!$H$7:$T$207,MATCH($B170,'Actual-ACPLSZ'!$B$7:$B$207,0),MATCH(AV$8,'Actual-ACPLSZ'!$H$6:$T$6,0)))</f>
        <v>0</v>
      </c>
      <c r="AW170" s="749">
        <f>SUM(INDEX('Budget-ACPLSZ'!$K$7:$W$207,MATCH($B170,'Budget-ACPLSZ'!$B$7:$B$207,0),MATCH('Budget-ACPLSZ'!K$6,'Budget-ACPLSZ'!$K$6:$W$6,0)):INDEX('Budget-ACPLSZ'!$K$7:$W$207,MATCH($B170,'Budget-ACPLSZ'!$B$7:$B$207,0),MATCH(AW$8,'Budget-ACPLSZ'!$K$6:$W$6,0)))</f>
        <v>0</v>
      </c>
      <c r="AX170" s="749">
        <f t="shared" si="92"/>
        <v>0</v>
      </c>
      <c r="AY170" s="748"/>
      <c r="BA170" s="749">
        <f>SUM(INDEX('Actual-ACPLGZ'!$H$7:$T$207,MATCH($B170,'Actual-ACPLGZ'!$B$7:$B$207,0),MATCH('Actual-ACPLGZ'!H$6,'Actual-ACPLGZ'!$H$6:$T$6,0)):INDEX('Actual-ACPLGZ'!$H$7:$T$207,MATCH($B170,'Actual-ACPLGZ'!$B$7:$B$207,0),MATCH(BA$8,'Actual-ACPLGZ'!$H$6:$T$6,0)))</f>
        <v>0</v>
      </c>
      <c r="BB170" s="749">
        <f>SUM(INDEX('Budget-ACPLGZ'!$K$7:$W$207,MATCH($B170,'Budget-ACPLGZ'!$B$7:$B$207,0),MATCH('Budget-ACPLGZ'!K$6,'Budget-ACPLGZ'!$K$6:$W$6,0)):INDEX('Budget-ACPLGZ'!$K$7:$W$207,MATCH($B170,'Budget-ACPLGZ'!$B$7:$B$207,0),MATCH(BB$8,'Budget-ACPLGZ'!$K$6:$W$6,0)))</f>
        <v>0</v>
      </c>
      <c r="BC170" s="749">
        <f t="shared" si="86"/>
        <v>0</v>
      </c>
      <c r="BD170" s="748"/>
      <c r="BF170" s="749">
        <f>SUM(INDEX('Actual-ACPLYixing'!$H$7:$T$207,MATCH($B170,'Actual-ACPLYixing'!$B$7:$B$207,0),MATCH('Actual-ACPLYixing'!H$6,'Actual-ACPLYixing'!$H$6:$T$6,0)):INDEX('Actual-ACPLYixing'!$H$7:$T$207,MATCH($B170,'Actual-ACPLYixing'!$B$7:$B$207,0),MATCH(BF$8,'Actual-ACPLYixing'!$H$6:$T$6,0)))</f>
        <v>0</v>
      </c>
      <c r="BG170" s="749">
        <f>SUM(INDEX('Budget-Yixing'!$K$7:$W$207,MATCH($B170,'Budget-Yixing'!$B$7:$B$207,0),MATCH('Budget-Yixing'!K$6,'Budget-Yixing'!$K$6:$W$6,0)):INDEX('Budget-Yixing'!$K$7:$W$207,MATCH($B170,'Budget-Yixing'!$B$7:$B$207,0),MATCH(BG$8,'Budget-Yixing'!$K$6:$W$6,0)))</f>
        <v>0</v>
      </c>
      <c r="BH170" s="749">
        <f t="shared" si="87"/>
        <v>0</v>
      </c>
      <c r="BI170" s="748"/>
    </row>
    <row r="171" spans="1:61" ht="16.5" customHeight="1">
      <c r="A171" s="653" t="str">
        <f>'Budget-合并'!A169</f>
        <v>6603.05.02</v>
      </c>
      <c r="B171" s="653" t="str">
        <f>'Budget-合并'!B169</f>
        <v>湖南三一智慧新能源设计有限公司</v>
      </c>
      <c r="C171" s="746">
        <f>INDEX('Actual-ACPL'!$H$7:$T$207,MATCH($B171,'Actual-ACPL'!$B$7:$B$207,0),MATCH(C$8,'Actual-ACPL'!$H$6:$T$6,0))</f>
        <v>0</v>
      </c>
      <c r="D171" s="746">
        <f>INDEX('Budget-ACPL'!$K$7:$W$207,MATCH($B171,'Budget-ACPL'!$B$7:$B$207,0),MATCH(D$8,'Budget-ACPL'!$K$6:$W$6,0))</f>
        <v>0</v>
      </c>
      <c r="E171" s="746">
        <f t="shared" si="93"/>
        <v>0</v>
      </c>
      <c r="F171" s="752"/>
      <c r="H171" s="749">
        <f>INDEX('Actual-ACPLHK'!$H$7:$T$207,MATCH($B171,'Actual-ACPLHK'!$B$7:$B$207,0),MATCH(H$8,'Actual-ACPLHK'!$H$6:$T$6,0))</f>
        <v>0</v>
      </c>
      <c r="I171" s="749">
        <f>INDEX('Budget-ACPLHK'!$K$7:$W$207,MATCH($B171,'Budget-ACPLHK'!$B$7:$B$207,0),MATCH(I$8,'Budget-ACPLHK'!$K$6:$W$6,0))</f>
        <v>0</v>
      </c>
      <c r="J171" s="749">
        <f t="shared" si="95"/>
        <v>0</v>
      </c>
      <c r="K171" s="748"/>
      <c r="M171" s="749">
        <f>INDEX('Actual-ACPSZL'!$H$7:$T$207,MATCH($B171,'Actual-ACPSZL'!$B$7:$B$207,0),MATCH(M$8,'Actual-ACPSZL'!$H$6:$T$6,0))</f>
        <v>0</v>
      </c>
      <c r="N171" s="749">
        <f>INDEX('Budget-ACPSZL'!$K$7:$W$207,MATCH($B171,'Budget-ACPSZL'!$B$7:$B$207,0),MATCH(N$8,'Budget-ACPSZL'!$K$6:$W$6,0))</f>
        <v>0</v>
      </c>
      <c r="O171" s="749">
        <f t="shared" si="90"/>
        <v>0</v>
      </c>
      <c r="P171" s="748"/>
      <c r="R171" s="749">
        <f>INDEX('Actual-ACPLSZ'!$H$7:$T$207,MATCH($B171,'Actual-ACPLSZ'!$B$7:$B$207,0),MATCH(R$8,'Actual-ACPLSZ'!$H$6:$T$6,0))</f>
        <v>0</v>
      </c>
      <c r="S171" s="749">
        <f>INDEX('Budget-ACPLSZ'!$K$7:$W$207,MATCH($B171,'Budget-ACPLSZ'!$B$7:$B$207,0),MATCH(S$8,'Budget-ACPLSZ'!$K$6:$W$6,0))</f>
        <v>0</v>
      </c>
      <c r="T171" s="749">
        <f t="shared" si="83"/>
        <v>0</v>
      </c>
      <c r="U171" s="748"/>
      <c r="W171" s="749">
        <f>INDEX('Actual-ACPLGZ'!$H$7:$T$207,MATCH($B171,'Actual-ACPLGZ'!$B$7:$B$207,0),MATCH(W$8,'Actual-ACPLGZ'!$H$6:$T$6,0))</f>
        <v>0</v>
      </c>
      <c r="X171" s="749">
        <f>INDEX('Budget-ACPLGZ'!$K$7:$W$207,MATCH($B171,'Budget-ACPLGZ'!$B$7:$B$207,0),MATCH(X$8,'Budget-ACPLGZ'!$K$6:$W$6,0))</f>
        <v>0</v>
      </c>
      <c r="Y171" s="749">
        <f t="shared" si="91"/>
        <v>0</v>
      </c>
      <c r="Z171" s="748"/>
      <c r="AB171" s="749">
        <f>INDEX('Actual-ACPLGZ'!$H$7:$T$207,MATCH($B171,'Actual-ACPLGZ'!$B$7:$B$207,0),MATCH(AB$8,'Actual-ACPLGZ'!$H$6:$T$6,0))</f>
        <v>0</v>
      </c>
      <c r="AC171" s="749">
        <f>INDEX('Budget-Yixing'!$K$7:$W$207,MATCH($B171,'Budget-Yixing'!$B$7:$B$207,0),MATCH(AC$8,'Budget-Yixing'!$K$6:$W$6,0))</f>
        <v>0</v>
      </c>
      <c r="AD171" s="749">
        <f t="shared" si="84"/>
        <v>0</v>
      </c>
      <c r="AE171" s="748"/>
      <c r="AG171" s="751">
        <f>SUM(INDEX('Actual-ACPL'!$H$7:$T$207,MATCH($B171,'Actual-ACPL'!$B$7:$B$207,0),MATCH('Actual-ACPL'!H$6,'Actual-ACPL'!$H$6:$T$6,0)):INDEX('Actual-ACPL'!$H$7:$T$207,MATCH($B171,'Actual-ACPL'!$B$7:$B$207,0),MATCH(AG$8,'Actual-ACPL'!$H$6:$T$6,0)))</f>
        <v>0</v>
      </c>
      <c r="AH171" s="749">
        <f>SUM(INDEX('Budget-ACPL'!$K$7:$W$207,MATCH($B171,'Budget-ACPL'!$B$7:$B$207,0),MATCH('Budget-ACPL'!K$6,'Budget-ACPL'!$K$6:$W$6,0)):INDEX('Budget-ACPL'!$K$7:$W$207,MATCH($B171,'Budget-ACPL'!$B$7:$B$207,0),MATCH(AH$8,'Budget-ACPL'!$K$6:$W$6,0)))</f>
        <v>0</v>
      </c>
      <c r="AI171" s="749">
        <f t="shared" si="94"/>
        <v>0</v>
      </c>
      <c r="AJ171" s="748"/>
      <c r="AL171" s="749">
        <f>SUM(INDEX('Actual-ACPLHK'!$H$7:$S$207,MATCH($B171,'Actual-ACPLHK'!$B$7:$B$207,0),MATCH('Actual-ACPLHK'!H$6,'Actual-ACPLHK'!$H$6:$T$6,0)):INDEX('Actual-ACPLHK'!$H$7:$S$207,MATCH($B171,'Actual-ACPLHK'!$B$7:$B$207,0),MATCH(AL$8,'Actual-ACPLHK'!$H$6:$T$6,0)))</f>
        <v>0</v>
      </c>
      <c r="AM171" s="749">
        <f>SUM(INDEX('Budget-ACPLHK'!$K$7:$W$207,MATCH($B171,'Budget-ACPLHK'!$B$7:$B$207,0),MATCH('Budget-ACPLHK'!K$6,'Budget-ACPLHK'!$K$6:$W$6,0)):INDEX('Budget-ACPLHK'!$K$7:$W$207,MATCH($B171,'Budget-ACPLHK'!$B$7:$B$207,0),MATCH(AM$8,'Budget-ACPLHK'!$K$6:$W$6,0)))</f>
        <v>0</v>
      </c>
      <c r="AN171" s="749">
        <f t="shared" si="85"/>
        <v>0</v>
      </c>
      <c r="AO171" s="748"/>
      <c r="AQ171" s="749">
        <f>SUM(INDEX('Actual-ACPSZL'!$H$7:$T$207,MATCH($B171,'Actual-ACPSZL'!$B$7:$B$207,0),MATCH('Actual-ACPSZL'!H$6,'Actual-ACPSZL'!$H$6:$T$6,0)):INDEX('Actual-ACPSZL'!$H$7:$T$207,MATCH($B171,'Actual-ACPSZL'!$B$7:$B$207,0),MATCH(AQ$8,'Actual-ACPSZL'!$H$6:$T$6,0)))</f>
        <v>0</v>
      </c>
      <c r="AR171" s="749">
        <f>SUM(INDEX('Budget-ACPSZL'!$K$7:$W$207,MATCH($B171,'Budget-ACPSZL'!$B$7:$B$207,0),MATCH('Budget-ACPSZL'!K$6,'Budget-ACPSZL'!$K$6:$W$6,0)):INDEX('Budget-ACPSZL'!$K$7:$W$207,MATCH($B171,'Budget-ACPSZL'!$B$7:$B$207,0),MATCH(AR$8,'Budget-ACPSZL'!$K$6:$W$6,0)))</f>
        <v>0</v>
      </c>
      <c r="AS171" s="749">
        <f t="shared" ref="AS171:AS190" si="96">AQ171-AR171</f>
        <v>0</v>
      </c>
      <c r="AT171" s="748"/>
      <c r="AV171" s="749">
        <f>SUM(INDEX('Actual-ACPLSZ'!$H$7:$T$207,MATCH($B171,'Actual-ACPLSZ'!$B$7:$B$207,0),MATCH('Actual-ACPLSZ'!H$6,'Actual-ACPLSZ'!$H$6:$T$6,0)):INDEX('Actual-ACPLSZ'!$H$7:$T$207,MATCH($B171,'Actual-ACPLSZ'!$B$7:$B$207,0),MATCH(AV$8,'Actual-ACPLSZ'!$H$6:$T$6,0)))</f>
        <v>0</v>
      </c>
      <c r="AW171" s="749">
        <f>SUM(INDEX('Budget-ACPLSZ'!$K$7:$W$207,MATCH($B171,'Budget-ACPLSZ'!$B$7:$B$207,0),MATCH('Budget-ACPLSZ'!K$6,'Budget-ACPLSZ'!$K$6:$W$6,0)):INDEX('Budget-ACPLSZ'!$K$7:$W$207,MATCH($B171,'Budget-ACPLSZ'!$B$7:$B$207,0),MATCH(AW$8,'Budget-ACPLSZ'!$K$6:$W$6,0)))</f>
        <v>0</v>
      </c>
      <c r="AX171" s="749">
        <f t="shared" si="92"/>
        <v>0</v>
      </c>
      <c r="AY171" s="748"/>
      <c r="BA171" s="749">
        <f>SUM(INDEX('Actual-ACPLGZ'!$H$7:$T$207,MATCH($B171,'Actual-ACPLGZ'!$B$7:$B$207,0),MATCH('Actual-ACPLGZ'!H$6,'Actual-ACPLGZ'!$H$6:$T$6,0)):INDEX('Actual-ACPLGZ'!$H$7:$T$207,MATCH($B171,'Actual-ACPLGZ'!$B$7:$B$207,0),MATCH(BA$8,'Actual-ACPLGZ'!$H$6:$T$6,0)))</f>
        <v>0</v>
      </c>
      <c r="BB171" s="749">
        <f>SUM(INDEX('Budget-ACPLGZ'!$K$7:$W$207,MATCH($B171,'Budget-ACPLGZ'!$B$7:$B$207,0),MATCH('Budget-ACPLGZ'!K$6,'Budget-ACPLGZ'!$K$6:$W$6,0)):INDEX('Budget-ACPLGZ'!$K$7:$W$207,MATCH($B171,'Budget-ACPLGZ'!$B$7:$B$207,0),MATCH(BB$8,'Budget-ACPLGZ'!$K$6:$W$6,0)))</f>
        <v>0</v>
      </c>
      <c r="BC171" s="749">
        <f t="shared" si="86"/>
        <v>0</v>
      </c>
      <c r="BD171" s="748"/>
      <c r="BF171" s="749">
        <f>SUM(INDEX('Actual-ACPLYixing'!$H$7:$T$207,MATCH($B171,'Actual-ACPLYixing'!$B$7:$B$207,0),MATCH('Actual-ACPLYixing'!H$6,'Actual-ACPLYixing'!$H$6:$T$6,0)):INDEX('Actual-ACPLYixing'!$H$7:$T$207,MATCH($B171,'Actual-ACPLYixing'!$B$7:$B$207,0),MATCH(BF$8,'Actual-ACPLYixing'!$H$6:$T$6,0)))</f>
        <v>0</v>
      </c>
      <c r="BG171" s="749">
        <f>SUM(INDEX('Budget-Yixing'!$K$7:$W$207,MATCH($B171,'Budget-Yixing'!$B$7:$B$207,0),MATCH('Budget-Yixing'!K$6,'Budget-Yixing'!$K$6:$W$6,0)):INDEX('Budget-Yixing'!$K$7:$W$207,MATCH($B171,'Budget-Yixing'!$B$7:$B$207,0),MATCH(BG$8,'Budget-Yixing'!$K$6:$W$6,0)))</f>
        <v>0</v>
      </c>
      <c r="BH171" s="749">
        <f t="shared" si="87"/>
        <v>0</v>
      </c>
      <c r="BI171" s="748"/>
    </row>
    <row r="172" spans="1:61" ht="16.5" customHeight="1">
      <c r="A172" s="653" t="str">
        <f>'Budget-合并'!A170</f>
        <v>6603.05.03</v>
      </c>
      <c r="B172" s="653" t="str">
        <f>'Budget-合并'!B170</f>
        <v>和谐天明投资管理(北京)有限公司</v>
      </c>
      <c r="C172" s="746">
        <f>INDEX('Actual-ACPL'!$H$7:$T$207,MATCH($B172,'Actual-ACPL'!$B$7:$B$207,0),MATCH(C$8,'Actual-ACPL'!$H$6:$T$6,0))</f>
        <v>0</v>
      </c>
      <c r="D172" s="746">
        <f>INDEX('Budget-ACPL'!$K$7:$W$207,MATCH($B172,'Budget-ACPL'!$B$7:$B$207,0),MATCH(D$8,'Budget-ACPL'!$K$6:$W$6,0))</f>
        <v>0</v>
      </c>
      <c r="E172" s="746">
        <f t="shared" si="93"/>
        <v>0</v>
      </c>
      <c r="F172" s="752"/>
      <c r="H172" s="749">
        <f>INDEX('Actual-ACPLHK'!$H$7:$T$207,MATCH($B172,'Actual-ACPLHK'!$B$7:$B$207,0),MATCH(H$8,'Actual-ACPLHK'!$H$6:$T$6,0))</f>
        <v>0</v>
      </c>
      <c r="I172" s="749">
        <f>INDEX('Budget-ACPLHK'!$K$7:$W$207,MATCH($B172,'Budget-ACPLHK'!$B$7:$B$207,0),MATCH(I$8,'Budget-ACPLHK'!$K$6:$W$6,0))</f>
        <v>0</v>
      </c>
      <c r="J172" s="749">
        <f t="shared" si="95"/>
        <v>0</v>
      </c>
      <c r="K172" s="748"/>
      <c r="M172" s="749">
        <f>INDEX('Actual-ACPSZL'!$H$7:$T$207,MATCH($B172,'Actual-ACPSZL'!$B$7:$B$207,0),MATCH(M$8,'Actual-ACPSZL'!$H$6:$T$6,0))</f>
        <v>0</v>
      </c>
      <c r="N172" s="749">
        <f>INDEX('Budget-ACPSZL'!$K$7:$W$207,MATCH($B172,'Budget-ACPSZL'!$B$7:$B$207,0),MATCH(N$8,'Budget-ACPSZL'!$K$6:$W$6,0))</f>
        <v>0</v>
      </c>
      <c r="O172" s="749">
        <f t="shared" ref="O172:O190" si="97">M172-N172</f>
        <v>0</v>
      </c>
      <c r="P172" s="748"/>
      <c r="R172" s="749">
        <f>INDEX('Actual-ACPLSZ'!$H$7:$T$207,MATCH($B172,'Actual-ACPLSZ'!$B$7:$B$207,0),MATCH(R$8,'Actual-ACPLSZ'!$H$6:$T$6,0))</f>
        <v>0</v>
      </c>
      <c r="S172" s="749">
        <f>INDEX('Budget-ACPLSZ'!$K$7:$W$207,MATCH($B172,'Budget-ACPLSZ'!$B$7:$B$207,0),MATCH(S$8,'Budget-ACPLSZ'!$K$6:$W$6,0))</f>
        <v>0</v>
      </c>
      <c r="T172" s="749">
        <f t="shared" si="83"/>
        <v>0</v>
      </c>
      <c r="U172" s="748"/>
      <c r="W172" s="749">
        <f>INDEX('Actual-ACPLGZ'!$H$7:$T$207,MATCH($B172,'Actual-ACPLGZ'!$B$7:$B$207,0),MATCH(W$8,'Actual-ACPLGZ'!$H$6:$T$6,0))</f>
        <v>0</v>
      </c>
      <c r="X172" s="749">
        <f>INDEX('Budget-ACPLGZ'!$K$7:$W$207,MATCH($B172,'Budget-ACPLGZ'!$B$7:$B$207,0),MATCH(X$8,'Budget-ACPLGZ'!$K$6:$W$6,0))</f>
        <v>0</v>
      </c>
      <c r="Y172" s="749">
        <f t="shared" ref="Y172:Y190" si="98">W172-X172</f>
        <v>0</v>
      </c>
      <c r="Z172" s="748"/>
      <c r="AB172" s="749">
        <f>INDEX('Actual-ACPLGZ'!$H$7:$T$207,MATCH($B172,'Actual-ACPLGZ'!$B$7:$B$207,0),MATCH(AB$8,'Actual-ACPLGZ'!$H$6:$T$6,0))</f>
        <v>0</v>
      </c>
      <c r="AC172" s="749">
        <f>INDEX('Budget-Yixing'!$K$7:$W$207,MATCH($B172,'Budget-Yixing'!$B$7:$B$207,0),MATCH(AC$8,'Budget-Yixing'!$K$6:$W$6,0))</f>
        <v>47350.68</v>
      </c>
      <c r="AD172" s="749">
        <f t="shared" si="84"/>
        <v>47350.68</v>
      </c>
      <c r="AE172" s="748"/>
      <c r="AG172" s="751">
        <f>SUM(INDEX('Actual-ACPL'!$H$7:$T$207,MATCH($B172,'Actual-ACPL'!$B$7:$B$207,0),MATCH('Actual-ACPL'!H$6,'Actual-ACPL'!$H$6:$T$6,0)):INDEX('Actual-ACPL'!$H$7:$T$207,MATCH($B172,'Actual-ACPL'!$B$7:$B$207,0),MATCH(AG$8,'Actual-ACPL'!$H$6:$T$6,0)))</f>
        <v>0</v>
      </c>
      <c r="AH172" s="749">
        <f>SUM(INDEX('Budget-ACPL'!$K$7:$W$207,MATCH($B172,'Budget-ACPL'!$B$7:$B$207,0),MATCH('Budget-ACPL'!K$6,'Budget-ACPL'!$K$6:$W$6,0)):INDEX('Budget-ACPL'!$K$7:$W$207,MATCH($B172,'Budget-ACPL'!$B$7:$B$207,0),MATCH(AH$8,'Budget-ACPL'!$K$6:$W$6,0)))</f>
        <v>0</v>
      </c>
      <c r="AI172" s="749">
        <f t="shared" si="94"/>
        <v>0</v>
      </c>
      <c r="AJ172" s="748"/>
      <c r="AL172" s="749">
        <f>SUM(INDEX('Actual-ACPLHK'!$H$7:$S$207,MATCH($B172,'Actual-ACPLHK'!$B$7:$B$207,0),MATCH('Actual-ACPLHK'!H$6,'Actual-ACPLHK'!$H$6:$T$6,0)):INDEX('Actual-ACPLHK'!$H$7:$S$207,MATCH($B172,'Actual-ACPLHK'!$B$7:$B$207,0),MATCH(AL$8,'Actual-ACPLHK'!$H$6:$T$6,0)))</f>
        <v>0</v>
      </c>
      <c r="AM172" s="749">
        <f>SUM(INDEX('Budget-ACPLHK'!$K$7:$W$207,MATCH($B172,'Budget-ACPLHK'!$B$7:$B$207,0),MATCH('Budget-ACPLHK'!K$6,'Budget-ACPLHK'!$K$6:$W$6,0)):INDEX('Budget-ACPLHK'!$K$7:$W$207,MATCH($B172,'Budget-ACPLHK'!$B$7:$B$207,0),MATCH(AM$8,'Budget-ACPLHK'!$K$6:$W$6,0)))</f>
        <v>0</v>
      </c>
      <c r="AN172" s="749">
        <f t="shared" si="85"/>
        <v>0</v>
      </c>
      <c r="AO172" s="748"/>
      <c r="AQ172" s="749">
        <f>SUM(INDEX('Actual-ACPSZL'!$H$7:$T$207,MATCH($B172,'Actual-ACPSZL'!$B$7:$B$207,0),MATCH('Actual-ACPSZL'!H$6,'Actual-ACPSZL'!$H$6:$T$6,0)):INDEX('Actual-ACPSZL'!$H$7:$T$207,MATCH($B172,'Actual-ACPSZL'!$B$7:$B$207,0),MATCH(AQ$8,'Actual-ACPSZL'!$H$6:$T$6,0)))</f>
        <v>0</v>
      </c>
      <c r="AR172" s="749">
        <f>SUM(INDEX('Budget-ACPSZL'!$K$7:$W$207,MATCH($B172,'Budget-ACPSZL'!$B$7:$B$207,0),MATCH('Budget-ACPSZL'!K$6,'Budget-ACPSZL'!$K$6:$W$6,0)):INDEX('Budget-ACPSZL'!$K$7:$W$207,MATCH($B172,'Budget-ACPSZL'!$B$7:$B$207,0),MATCH(AR$8,'Budget-ACPSZL'!$K$6:$W$6,0)))</f>
        <v>0</v>
      </c>
      <c r="AS172" s="749">
        <f t="shared" si="96"/>
        <v>0</v>
      </c>
      <c r="AT172" s="748"/>
      <c r="AV172" s="749">
        <f>SUM(INDEX('Actual-ACPLSZ'!$H$7:$T$207,MATCH($B172,'Actual-ACPLSZ'!$B$7:$B$207,0),MATCH('Actual-ACPLSZ'!H$6,'Actual-ACPLSZ'!$H$6:$T$6,0)):INDEX('Actual-ACPLSZ'!$H$7:$T$207,MATCH($B172,'Actual-ACPLSZ'!$B$7:$B$207,0),MATCH(AV$8,'Actual-ACPLSZ'!$H$6:$T$6,0)))</f>
        <v>0</v>
      </c>
      <c r="AW172" s="749">
        <f>SUM(INDEX('Budget-ACPLSZ'!$K$7:$W$207,MATCH($B172,'Budget-ACPLSZ'!$B$7:$B$207,0),MATCH('Budget-ACPLSZ'!K$6,'Budget-ACPLSZ'!$K$6:$W$6,0)):INDEX('Budget-ACPLSZ'!$K$7:$W$207,MATCH($B172,'Budget-ACPLSZ'!$B$7:$B$207,0),MATCH(AW$8,'Budget-ACPLSZ'!$K$6:$W$6,0)))</f>
        <v>0</v>
      </c>
      <c r="AX172" s="749">
        <f t="shared" ref="AX172:AX190" si="99">AV172-AW172</f>
        <v>0</v>
      </c>
      <c r="AY172" s="748"/>
      <c r="BA172" s="749">
        <f>SUM(INDEX('Actual-ACPLGZ'!$H$7:$T$207,MATCH($B172,'Actual-ACPLGZ'!$B$7:$B$207,0),MATCH('Actual-ACPLGZ'!H$6,'Actual-ACPLGZ'!$H$6:$T$6,0)):INDEX('Actual-ACPLGZ'!$H$7:$T$207,MATCH($B172,'Actual-ACPLGZ'!$B$7:$B$207,0),MATCH(BA$8,'Actual-ACPLGZ'!$H$6:$T$6,0)))</f>
        <v>0</v>
      </c>
      <c r="BB172" s="749">
        <f>SUM(INDEX('Budget-ACPLGZ'!$K$7:$W$207,MATCH($B172,'Budget-ACPLGZ'!$B$7:$B$207,0),MATCH('Budget-ACPLGZ'!K$6,'Budget-ACPLGZ'!$K$6:$W$6,0)):INDEX('Budget-ACPLGZ'!$K$7:$W$207,MATCH($B172,'Budget-ACPLGZ'!$B$7:$B$207,0),MATCH(BB$8,'Budget-ACPLGZ'!$K$6:$W$6,0)))</f>
        <v>0</v>
      </c>
      <c r="BC172" s="749">
        <f t="shared" si="86"/>
        <v>0</v>
      </c>
      <c r="BD172" s="748"/>
      <c r="BF172" s="749">
        <f>SUM(INDEX('Actual-ACPLYixing'!$H$7:$T$207,MATCH($B172,'Actual-ACPLYixing'!$B$7:$B$207,0),MATCH('Actual-ACPLYixing'!H$6,'Actual-ACPLYixing'!$H$6:$T$6,0)):INDEX('Actual-ACPLYixing'!$H$7:$T$207,MATCH($B172,'Actual-ACPLYixing'!$B$7:$B$207,0),MATCH(BF$8,'Actual-ACPLYixing'!$H$6:$T$6,0)))</f>
        <v>0</v>
      </c>
      <c r="BG172" s="749">
        <f>SUM(INDEX('Budget-Yixing'!$K$7:$W$207,MATCH($B172,'Budget-Yixing'!$B$7:$B$207,0),MATCH('Budget-Yixing'!K$6,'Budget-Yixing'!$K$6:$W$6,0)):INDEX('Budget-Yixing'!$K$7:$W$207,MATCH($B172,'Budget-Yixing'!$B$7:$B$207,0),MATCH(BG$8,'Budget-Yixing'!$K$6:$W$6,0)))</f>
        <v>47350.68</v>
      </c>
      <c r="BH172" s="749">
        <f t="shared" si="87"/>
        <v>-47350.68</v>
      </c>
      <c r="BI172" s="748"/>
    </row>
    <row r="173" spans="1:61" ht="16.5" customHeight="1">
      <c r="A173" s="653" t="str">
        <f>'Budget-合并'!A171</f>
        <v>6603.99</v>
      </c>
      <c r="B173" s="653" t="str">
        <f>'Budget-合并'!B171</f>
        <v>其他</v>
      </c>
      <c r="C173" s="746">
        <f>INDEX('Actual-ACPL'!$H$7:$T$207,MATCH($B173,'Actual-ACPL'!$B$7:$B$207,0),MATCH(C$8,'Actual-ACPL'!$H$6:$T$6,0))</f>
        <v>0</v>
      </c>
      <c r="D173" s="746">
        <f>INDEX('Budget-ACPL'!$K$7:$W$207,MATCH($B173,'Budget-ACPL'!$B$7:$B$207,0),MATCH(D$8,'Budget-ACPL'!$K$6:$W$6,0))</f>
        <v>0</v>
      </c>
      <c r="E173" s="746">
        <f t="shared" si="93"/>
        <v>0</v>
      </c>
      <c r="F173" s="752"/>
      <c r="H173" s="749">
        <f>INDEX('Actual-ACPLHK'!$H$7:$T$207,MATCH($B173,'Actual-ACPLHK'!$B$7:$B$207,0),MATCH(H$8,'Actual-ACPLHK'!$H$6:$T$6,0))</f>
        <v>0</v>
      </c>
      <c r="I173" s="749">
        <f>INDEX('Budget-ACPLHK'!$K$7:$W$207,MATCH($B173,'Budget-ACPLHK'!$B$7:$B$207,0),MATCH(I$8,'Budget-ACPLHK'!$K$6:$W$6,0))</f>
        <v>0</v>
      </c>
      <c r="J173" s="749">
        <f t="shared" si="95"/>
        <v>0</v>
      </c>
      <c r="K173" s="748"/>
      <c r="M173" s="749">
        <f>INDEX('Actual-ACPSZL'!$H$7:$T$207,MATCH($B173,'Actual-ACPSZL'!$B$7:$B$207,0),MATCH(M$8,'Actual-ACPSZL'!$H$6:$T$6,0))</f>
        <v>0</v>
      </c>
      <c r="N173" s="749">
        <f>INDEX('Budget-ACPSZL'!$K$7:$W$207,MATCH($B173,'Budget-ACPSZL'!$B$7:$B$207,0),MATCH(N$8,'Budget-ACPSZL'!$K$6:$W$6,0))</f>
        <v>0</v>
      </c>
      <c r="O173" s="749">
        <f t="shared" si="97"/>
        <v>0</v>
      </c>
      <c r="P173" s="748"/>
      <c r="R173" s="749">
        <f>INDEX('Actual-ACPLSZ'!$H$7:$T$207,MATCH($B173,'Actual-ACPLSZ'!$B$7:$B$207,0),MATCH(R$8,'Actual-ACPLSZ'!$H$6:$T$6,0))</f>
        <v>0</v>
      </c>
      <c r="S173" s="749">
        <f>INDEX('Budget-ACPLSZ'!$K$7:$W$207,MATCH($B173,'Budget-ACPLSZ'!$B$7:$B$207,0),MATCH(S$8,'Budget-ACPLSZ'!$K$6:$W$6,0))</f>
        <v>0</v>
      </c>
      <c r="T173" s="749">
        <f t="shared" si="83"/>
        <v>0</v>
      </c>
      <c r="U173" s="748"/>
      <c r="W173" s="749">
        <f>INDEX('Actual-ACPLGZ'!$H$7:$T$207,MATCH($B173,'Actual-ACPLGZ'!$B$7:$B$207,0),MATCH(W$8,'Actual-ACPLGZ'!$H$6:$T$6,0))</f>
        <v>0</v>
      </c>
      <c r="X173" s="749">
        <f>INDEX('Budget-ACPLGZ'!$K$7:$W$207,MATCH($B173,'Budget-ACPLGZ'!$B$7:$B$207,0),MATCH(X$8,'Budget-ACPLGZ'!$K$6:$W$6,0))</f>
        <v>0</v>
      </c>
      <c r="Y173" s="749">
        <f t="shared" si="98"/>
        <v>0</v>
      </c>
      <c r="Z173" s="748"/>
      <c r="AB173" s="749">
        <f>INDEX('Actual-ACPLGZ'!$H$7:$T$207,MATCH($B173,'Actual-ACPLGZ'!$B$7:$B$207,0),MATCH(AB$8,'Actual-ACPLGZ'!$H$6:$T$6,0))</f>
        <v>0</v>
      </c>
      <c r="AC173" s="749">
        <f>INDEX('Budget-Yixing'!$K$7:$W$207,MATCH($B173,'Budget-Yixing'!$B$7:$B$207,0),MATCH(AC$8,'Budget-Yixing'!$K$6:$W$6,0))</f>
        <v>0</v>
      </c>
      <c r="AD173" s="749">
        <f t="shared" si="84"/>
        <v>0</v>
      </c>
      <c r="AE173" s="748"/>
      <c r="AG173" s="751">
        <f>SUM(INDEX('Actual-ACPL'!$H$7:$T$207,MATCH($B173,'Actual-ACPL'!$B$7:$B$207,0),MATCH('Actual-ACPL'!H$6,'Actual-ACPL'!$H$6:$T$6,0)):INDEX('Actual-ACPL'!$H$7:$T$207,MATCH($B173,'Actual-ACPL'!$B$7:$B$207,0),MATCH(AG$8,'Actual-ACPL'!$H$6:$T$6,0)))</f>
        <v>0</v>
      </c>
      <c r="AH173" s="749">
        <f>SUM(INDEX('Budget-ACPL'!$K$7:$W$207,MATCH($B173,'Budget-ACPL'!$B$7:$B$207,0),MATCH('Budget-ACPL'!K$6,'Budget-ACPL'!$K$6:$W$6,0)):INDEX('Budget-ACPL'!$K$7:$W$207,MATCH($B173,'Budget-ACPL'!$B$7:$B$207,0),MATCH(AH$8,'Budget-ACPL'!$K$6:$W$6,0)))</f>
        <v>0</v>
      </c>
      <c r="AI173" s="749">
        <f t="shared" si="94"/>
        <v>0</v>
      </c>
      <c r="AJ173" s="748"/>
      <c r="AL173" s="749">
        <f>SUM(INDEX('Actual-ACPLHK'!$H$7:$S$207,MATCH($B173,'Actual-ACPLHK'!$B$7:$B$207,0),MATCH('Actual-ACPLHK'!H$6,'Actual-ACPLHK'!$H$6:$T$6,0)):INDEX('Actual-ACPLHK'!$H$7:$S$207,MATCH($B173,'Actual-ACPLHK'!$B$7:$B$207,0),MATCH(AL$8,'Actual-ACPLHK'!$H$6:$T$6,0)))</f>
        <v>0</v>
      </c>
      <c r="AM173" s="749">
        <f>SUM(INDEX('Budget-ACPLHK'!$K$7:$W$207,MATCH($B173,'Budget-ACPLHK'!$B$7:$B$207,0),MATCH('Budget-ACPLHK'!K$6,'Budget-ACPLHK'!$K$6:$W$6,0)):INDEX('Budget-ACPLHK'!$K$7:$W$207,MATCH($B173,'Budget-ACPLHK'!$B$7:$B$207,0),MATCH(AM$8,'Budget-ACPLHK'!$K$6:$W$6,0)))</f>
        <v>0</v>
      </c>
      <c r="AN173" s="749">
        <f t="shared" si="85"/>
        <v>0</v>
      </c>
      <c r="AO173" s="748"/>
      <c r="AQ173" s="749">
        <f>SUM(INDEX('Actual-ACPSZL'!$H$7:$T$207,MATCH($B173,'Actual-ACPSZL'!$B$7:$B$207,0),MATCH('Actual-ACPSZL'!H$6,'Actual-ACPSZL'!$H$6:$T$6,0)):INDEX('Actual-ACPSZL'!$H$7:$T$207,MATCH($B173,'Actual-ACPSZL'!$B$7:$B$207,0),MATCH(AQ$8,'Actual-ACPSZL'!$H$6:$T$6,0)))</f>
        <v>0</v>
      </c>
      <c r="AR173" s="749">
        <f>SUM(INDEX('Budget-ACPSZL'!$K$7:$W$207,MATCH($B173,'Budget-ACPSZL'!$B$7:$B$207,0),MATCH('Budget-ACPSZL'!K$6,'Budget-ACPSZL'!$K$6:$W$6,0)):INDEX('Budget-ACPSZL'!$K$7:$W$207,MATCH($B173,'Budget-ACPSZL'!$B$7:$B$207,0),MATCH(AR$8,'Budget-ACPSZL'!$K$6:$W$6,0)))</f>
        <v>0</v>
      </c>
      <c r="AS173" s="749">
        <f t="shared" si="96"/>
        <v>0</v>
      </c>
      <c r="AT173" s="748"/>
      <c r="AV173" s="749">
        <f>SUM(INDEX('Actual-ACPLSZ'!$H$7:$T$207,MATCH($B173,'Actual-ACPLSZ'!$B$7:$B$207,0),MATCH('Actual-ACPLSZ'!H$6,'Actual-ACPLSZ'!$H$6:$T$6,0)):INDEX('Actual-ACPLSZ'!$H$7:$T$207,MATCH($B173,'Actual-ACPLSZ'!$B$7:$B$207,0),MATCH(AV$8,'Actual-ACPLSZ'!$H$6:$T$6,0)))</f>
        <v>0</v>
      </c>
      <c r="AW173" s="749">
        <f>SUM(INDEX('Budget-ACPLSZ'!$K$7:$W$207,MATCH($B173,'Budget-ACPLSZ'!$B$7:$B$207,0),MATCH('Budget-ACPLSZ'!K$6,'Budget-ACPLSZ'!$K$6:$W$6,0)):INDEX('Budget-ACPLSZ'!$K$7:$W$207,MATCH($B173,'Budget-ACPLSZ'!$B$7:$B$207,0),MATCH(AW$8,'Budget-ACPLSZ'!$K$6:$W$6,0)))</f>
        <v>0</v>
      </c>
      <c r="AX173" s="749">
        <f t="shared" si="99"/>
        <v>0</v>
      </c>
      <c r="AY173" s="748"/>
      <c r="BA173" s="749">
        <f>SUM(INDEX('Actual-ACPLGZ'!$H$7:$T$207,MATCH($B173,'Actual-ACPLGZ'!$B$7:$B$207,0),MATCH('Actual-ACPLGZ'!H$6,'Actual-ACPLGZ'!$H$6:$T$6,0)):INDEX('Actual-ACPLGZ'!$H$7:$T$207,MATCH($B173,'Actual-ACPLGZ'!$B$7:$B$207,0),MATCH(BA$8,'Actual-ACPLGZ'!$H$6:$T$6,0)))</f>
        <v>0</v>
      </c>
      <c r="BB173" s="749">
        <f>SUM(INDEX('Budget-ACPLGZ'!$K$7:$W$207,MATCH($B173,'Budget-ACPLGZ'!$B$7:$B$207,0),MATCH('Budget-ACPLGZ'!K$6,'Budget-ACPLGZ'!$K$6:$W$6,0)):INDEX('Budget-ACPLGZ'!$K$7:$W$207,MATCH($B173,'Budget-ACPLGZ'!$B$7:$B$207,0),MATCH(BB$8,'Budget-ACPLGZ'!$K$6:$W$6,0)))</f>
        <v>0</v>
      </c>
      <c r="BC173" s="749">
        <f t="shared" si="86"/>
        <v>0</v>
      </c>
      <c r="BD173" s="748"/>
      <c r="BF173" s="749">
        <f>SUM(INDEX('Actual-ACPLYixing'!$H$7:$T$207,MATCH($B173,'Actual-ACPLYixing'!$B$7:$B$207,0),MATCH('Actual-ACPLYixing'!H$6,'Actual-ACPLYixing'!$H$6:$T$6,0)):INDEX('Actual-ACPLYixing'!$H$7:$T$207,MATCH($B173,'Actual-ACPLYixing'!$B$7:$B$207,0),MATCH(BF$8,'Actual-ACPLYixing'!$H$6:$T$6,0)))</f>
        <v>0</v>
      </c>
      <c r="BG173" s="749">
        <f>SUM(INDEX('Budget-Yixing'!$K$7:$W$207,MATCH($B173,'Budget-Yixing'!$B$7:$B$207,0),MATCH('Budget-Yixing'!K$6,'Budget-Yixing'!$K$6:$W$6,0)):INDEX('Budget-Yixing'!$K$7:$W$207,MATCH($B173,'Budget-Yixing'!$B$7:$B$207,0),MATCH(BG$8,'Budget-Yixing'!$K$6:$W$6,0)))</f>
        <v>0</v>
      </c>
      <c r="BH173" s="749">
        <f t="shared" si="87"/>
        <v>0</v>
      </c>
      <c r="BI173" s="748"/>
    </row>
    <row r="174" spans="1:61" ht="16.5" customHeight="1">
      <c r="A174" s="653">
        <f>'Budget-合并'!A172</f>
        <v>0</v>
      </c>
      <c r="B174" s="653" t="str">
        <f>'Budget-合并'!B172</f>
        <v>财务费用合计</v>
      </c>
      <c r="C174" s="746">
        <f>INDEX('Actual-ACPL'!$H$7:$T$207,MATCH($B174,'Actual-ACPL'!$B$7:$B$207,0),MATCH(C$8,'Actual-ACPL'!$H$6:$T$6,0))</f>
        <v>0</v>
      </c>
      <c r="D174" s="746">
        <f>INDEX('Budget-ACPL'!$K$7:$W$207,MATCH($B174,'Budget-ACPL'!$B$7:$B$207,0),MATCH(D$8,'Budget-ACPL'!$K$6:$W$6,0))</f>
        <v>177.99799999999999</v>
      </c>
      <c r="E174" s="746">
        <f t="shared" si="93"/>
        <v>-177.99799999999999</v>
      </c>
      <c r="F174" s="752"/>
      <c r="H174" s="749">
        <f>INDEX('Actual-ACPLHK'!$H$7:$T$207,MATCH($B174,'Actual-ACPLHK'!$B$7:$B$207,0),MATCH(H$8,'Actual-ACPLHK'!$H$6:$T$6,0))</f>
        <v>0</v>
      </c>
      <c r="I174" s="749">
        <f>INDEX('Budget-ACPLHK'!$K$7:$W$207,MATCH($B174,'Budget-ACPLHK'!$B$7:$B$207,0),MATCH(I$8,'Budget-ACPLHK'!$K$6:$W$6,0))</f>
        <v>2876.8659752999997</v>
      </c>
      <c r="J174" s="749">
        <f t="shared" si="95"/>
        <v>-2876.8659752999997</v>
      </c>
      <c r="K174" s="748"/>
      <c r="M174" s="749">
        <f>INDEX('Actual-ACPSZL'!$H$7:$T$207,MATCH($B174,'Actual-ACPSZL'!$B$7:$B$207,0),MATCH(M$8,'Actual-ACPSZL'!$H$6:$T$6,0))</f>
        <v>0</v>
      </c>
      <c r="N174" s="749">
        <f>INDEX('Budget-ACPSZL'!$K$7:$W$207,MATCH($B174,'Budget-ACPSZL'!$B$7:$B$207,0),MATCH(N$8,'Budget-ACPSZL'!$K$6:$W$6,0))</f>
        <v>83.333333333333329</v>
      </c>
      <c r="O174" s="749">
        <f t="shared" si="97"/>
        <v>-83.333333333333329</v>
      </c>
      <c r="P174" s="748"/>
      <c r="R174" s="749">
        <f>INDEX('Actual-ACPLSZ'!$H$7:$T$207,MATCH($B174,'Actual-ACPLSZ'!$B$7:$B$207,0),MATCH(R$8,'Actual-ACPLSZ'!$H$6:$T$6,0))</f>
        <v>0</v>
      </c>
      <c r="S174" s="749">
        <f>INDEX('Budget-ACPLSZ'!$K$7:$W$207,MATCH($B174,'Budget-ACPLSZ'!$B$7:$B$207,0),MATCH(S$8,'Budget-ACPLSZ'!$K$6:$W$6,0))</f>
        <v>83.333333333333329</v>
      </c>
      <c r="T174" s="749">
        <f t="shared" si="83"/>
        <v>83.333333333333329</v>
      </c>
      <c r="U174" s="748"/>
      <c r="W174" s="749">
        <f>INDEX('Actual-ACPLGZ'!$H$7:$T$207,MATCH($B174,'Actual-ACPLGZ'!$B$7:$B$207,0),MATCH(W$8,'Actual-ACPLGZ'!$H$6:$T$6,0))</f>
        <v>0</v>
      </c>
      <c r="X174" s="749">
        <f>INDEX('Budget-ACPLGZ'!$K$7:$W$207,MATCH($B174,'Budget-ACPLGZ'!$B$7:$B$207,0),MATCH(X$8,'Budget-ACPLGZ'!$K$6:$W$6,0))</f>
        <v>250</v>
      </c>
      <c r="Y174" s="749">
        <f t="shared" si="98"/>
        <v>-250</v>
      </c>
      <c r="Z174" s="748"/>
      <c r="AB174" s="749">
        <f>INDEX('Actual-ACPLGZ'!$H$7:$T$207,MATCH($B174,'Actual-ACPLGZ'!$B$7:$B$207,0),MATCH(AB$8,'Actual-ACPLGZ'!$H$6:$T$6,0))</f>
        <v>0</v>
      </c>
      <c r="AC174" s="749">
        <f>INDEX('Budget-Yixing'!$K$7:$W$207,MATCH($B174,'Budget-Yixing'!$B$7:$B$207,0),MATCH(AC$8,'Budget-Yixing'!$K$6:$W$6,0))</f>
        <v>47434.013333333336</v>
      </c>
      <c r="AD174" s="749">
        <f t="shared" si="84"/>
        <v>47434.013333333336</v>
      </c>
      <c r="AE174" s="748"/>
      <c r="AG174" s="751">
        <f>SUM(INDEX('Actual-ACPL'!$H$7:$T$207,MATCH($B174,'Actual-ACPL'!$B$7:$B$207,0),MATCH('Actual-ACPL'!H$6,'Actual-ACPL'!$H$6:$T$6,0)):INDEX('Actual-ACPL'!$H$7:$T$207,MATCH($B174,'Actual-ACPL'!$B$7:$B$207,0),MATCH(AG$8,'Actual-ACPL'!$H$6:$T$6,0)))</f>
        <v>0</v>
      </c>
      <c r="AH174" s="749">
        <f>SUM(INDEX('Budget-ACPL'!$K$7:$W$207,MATCH($B174,'Budget-ACPL'!$B$7:$B$207,0),MATCH('Budget-ACPL'!K$6,'Budget-ACPL'!$K$6:$W$6,0)):INDEX('Budget-ACPL'!$K$7:$W$207,MATCH($B174,'Budget-ACPL'!$B$7:$B$207,0),MATCH(AH$8,'Budget-ACPL'!$K$6:$W$6,0)))</f>
        <v>177.99799999999999</v>
      </c>
      <c r="AI174" s="749">
        <f t="shared" si="94"/>
        <v>-177.99799999999999</v>
      </c>
      <c r="AJ174" s="748"/>
      <c r="AL174" s="749">
        <f>SUM(INDEX('Actual-ACPLHK'!$H$7:$S$207,MATCH($B174,'Actual-ACPLHK'!$B$7:$B$207,0),MATCH('Actual-ACPLHK'!H$6,'Actual-ACPLHK'!$H$6:$T$6,0)):INDEX('Actual-ACPLHK'!$H$7:$S$207,MATCH($B174,'Actual-ACPLHK'!$B$7:$B$207,0),MATCH(AL$8,'Actual-ACPLHK'!$H$6:$T$6,0)))</f>
        <v>0</v>
      </c>
      <c r="AM174" s="749">
        <f>SUM(INDEX('Budget-ACPLHK'!$K$7:$W$207,MATCH($B174,'Budget-ACPLHK'!$B$7:$B$207,0),MATCH('Budget-ACPLHK'!K$6,'Budget-ACPLHK'!$K$6:$W$6,0)):INDEX('Budget-ACPLHK'!$K$7:$W$207,MATCH($B174,'Budget-ACPLHK'!$B$7:$B$207,0),MATCH(AM$8,'Budget-ACPLHK'!$K$6:$W$6,0)))</f>
        <v>2876.8659752999997</v>
      </c>
      <c r="AN174" s="749">
        <f t="shared" si="85"/>
        <v>-2876.8659752999997</v>
      </c>
      <c r="AO174" s="748"/>
      <c r="AQ174" s="749">
        <f>SUM(INDEX('Actual-ACPSZL'!$H$7:$T$207,MATCH($B174,'Actual-ACPSZL'!$B$7:$B$207,0),MATCH('Actual-ACPSZL'!H$6,'Actual-ACPSZL'!$H$6:$T$6,0)):INDEX('Actual-ACPSZL'!$H$7:$T$207,MATCH($B174,'Actual-ACPSZL'!$B$7:$B$207,0),MATCH(AQ$8,'Actual-ACPSZL'!$H$6:$T$6,0)))</f>
        <v>0</v>
      </c>
      <c r="AR174" s="749">
        <f>SUM(INDEX('Budget-ACPSZL'!$K$7:$W$207,MATCH($B174,'Budget-ACPSZL'!$B$7:$B$207,0),MATCH('Budget-ACPSZL'!K$6,'Budget-ACPSZL'!$K$6:$W$6,0)):INDEX('Budget-ACPSZL'!$K$7:$W$207,MATCH($B174,'Budget-ACPSZL'!$B$7:$B$207,0),MATCH(AR$8,'Budget-ACPSZL'!$K$6:$W$6,0)))</f>
        <v>83.333333333333329</v>
      </c>
      <c r="AS174" s="749">
        <f t="shared" si="96"/>
        <v>-83.333333333333329</v>
      </c>
      <c r="AT174" s="748"/>
      <c r="AV174" s="749">
        <f>SUM(INDEX('Actual-ACPLSZ'!$H$7:$T$207,MATCH($B174,'Actual-ACPLSZ'!$B$7:$B$207,0),MATCH('Actual-ACPLSZ'!H$6,'Actual-ACPLSZ'!$H$6:$T$6,0)):INDEX('Actual-ACPLSZ'!$H$7:$T$207,MATCH($B174,'Actual-ACPLSZ'!$B$7:$B$207,0),MATCH(AV$8,'Actual-ACPLSZ'!$H$6:$T$6,0)))</f>
        <v>0</v>
      </c>
      <c r="AW174" s="749">
        <f>SUM(INDEX('Budget-ACPLSZ'!$K$7:$W$207,MATCH($B174,'Budget-ACPLSZ'!$B$7:$B$207,0),MATCH('Budget-ACPLSZ'!K$6,'Budget-ACPLSZ'!$K$6:$W$6,0)):INDEX('Budget-ACPLSZ'!$K$7:$W$207,MATCH($B174,'Budget-ACPLSZ'!$B$7:$B$207,0),MATCH(AW$8,'Budget-ACPLSZ'!$K$6:$W$6,0)))</f>
        <v>83.333333333333329</v>
      </c>
      <c r="AX174" s="749">
        <f t="shared" si="99"/>
        <v>-83.333333333333329</v>
      </c>
      <c r="AY174" s="748"/>
      <c r="BA174" s="749">
        <f>SUM(INDEX('Actual-ACPLGZ'!$H$7:$T$207,MATCH($B174,'Actual-ACPLGZ'!$B$7:$B$207,0),MATCH('Actual-ACPLGZ'!H$6,'Actual-ACPLGZ'!$H$6:$T$6,0)):INDEX('Actual-ACPLGZ'!$H$7:$T$207,MATCH($B174,'Actual-ACPLGZ'!$B$7:$B$207,0),MATCH(BA$8,'Actual-ACPLGZ'!$H$6:$T$6,0)))</f>
        <v>0</v>
      </c>
      <c r="BB174" s="749">
        <f>SUM(INDEX('Budget-ACPLGZ'!$K$7:$W$207,MATCH($B174,'Budget-ACPLGZ'!$B$7:$B$207,0),MATCH('Budget-ACPLGZ'!K$6,'Budget-ACPLGZ'!$K$6:$W$6,0)):INDEX('Budget-ACPLGZ'!$K$7:$W$207,MATCH($B174,'Budget-ACPLGZ'!$B$7:$B$207,0),MATCH(BB$8,'Budget-ACPLGZ'!$K$6:$W$6,0)))</f>
        <v>250</v>
      </c>
      <c r="BC174" s="749">
        <f t="shared" si="86"/>
        <v>-250</v>
      </c>
      <c r="BD174" s="748"/>
      <c r="BF174" s="749">
        <f>SUM(INDEX('Actual-ACPLYixing'!$H$7:$T$207,MATCH($B174,'Actual-ACPLYixing'!$B$7:$B$207,0),MATCH('Actual-ACPLYixing'!H$6,'Actual-ACPLYixing'!$H$6:$T$6,0)):INDEX('Actual-ACPLYixing'!$H$7:$T$207,MATCH($B174,'Actual-ACPLYixing'!$B$7:$B$207,0),MATCH(BF$8,'Actual-ACPLYixing'!$H$6:$T$6,0)))</f>
        <v>0</v>
      </c>
      <c r="BG174" s="749">
        <f>SUM(INDEX('Budget-Yixing'!$K$7:$W$207,MATCH($B174,'Budget-Yixing'!$B$7:$B$207,0),MATCH('Budget-Yixing'!K$6,'Budget-Yixing'!$K$6:$W$6,0)):INDEX('Budget-Yixing'!$K$7:$W$207,MATCH($B174,'Budget-Yixing'!$B$7:$B$207,0),MATCH(BG$8,'Budget-Yixing'!$K$6:$W$6,0)))</f>
        <v>47434.013333333336</v>
      </c>
      <c r="BH174" s="749">
        <f t="shared" si="87"/>
        <v>-47434.013333333336</v>
      </c>
      <c r="BI174" s="748"/>
    </row>
    <row r="175" spans="1:61" ht="16.5" customHeight="1">
      <c r="A175" s="653">
        <f>'Budget-合并'!A173</f>
        <v>0</v>
      </c>
      <c r="B175" s="653">
        <f>'Budget-合并'!B173</f>
        <v>0</v>
      </c>
      <c r="C175" s="746">
        <f>INDEX('Actual-ACPL'!$H$7:$T$207,MATCH($B175,'Actual-ACPL'!$B$7:$B$207,0),MATCH(C$8,'Actual-ACPL'!$H$6:$T$6,0))</f>
        <v>0</v>
      </c>
      <c r="D175" s="746">
        <f>INDEX('Budget-ACPL'!$K$7:$W$207,MATCH($B175,'Budget-ACPL'!$B$7:$B$207,0),MATCH(D$8,'Budget-ACPL'!$K$6:$W$6,0))</f>
        <v>0</v>
      </c>
      <c r="E175" s="746">
        <f t="shared" si="93"/>
        <v>0</v>
      </c>
      <c r="F175" s="752"/>
      <c r="H175" s="749">
        <f>INDEX('Actual-ACPLHK'!$H$7:$T$207,MATCH($B175,'Actual-ACPLHK'!$B$7:$B$207,0),MATCH(H$8,'Actual-ACPLHK'!$H$6:$T$6,0))</f>
        <v>0</v>
      </c>
      <c r="I175" s="749">
        <f>INDEX('Budget-ACPLHK'!$K$7:$W$207,MATCH($B175,'Budget-ACPLHK'!$B$7:$B$207,0),MATCH(I$8,'Budget-ACPLHK'!$K$6:$W$6,0))</f>
        <v>0</v>
      </c>
      <c r="J175" s="749">
        <f t="shared" si="95"/>
        <v>0</v>
      </c>
      <c r="K175" s="748"/>
      <c r="M175" s="749">
        <f>INDEX('Actual-ACPSZL'!$H$7:$T$207,MATCH($B175,'Actual-ACPSZL'!$B$7:$B$207,0),MATCH(M$8,'Actual-ACPSZL'!$H$6:$T$6,0))</f>
        <v>0</v>
      </c>
      <c r="N175" s="749">
        <f>INDEX('Budget-ACPSZL'!$K$7:$W$207,MATCH($B175,'Budget-ACPSZL'!$B$7:$B$207,0),MATCH(N$8,'Budget-ACPSZL'!$K$6:$W$6,0))</f>
        <v>0</v>
      </c>
      <c r="O175" s="749">
        <f t="shared" si="97"/>
        <v>0</v>
      </c>
      <c r="P175" s="748"/>
      <c r="R175" s="749">
        <f>INDEX('Actual-ACPLSZ'!$H$7:$T$207,MATCH($B175,'Actual-ACPLSZ'!$B$7:$B$207,0),MATCH(R$8,'Actual-ACPLSZ'!$H$6:$T$6,0))</f>
        <v>0</v>
      </c>
      <c r="S175" s="749">
        <f>INDEX('Budget-ACPLSZ'!$K$7:$W$207,MATCH($B175,'Budget-ACPLSZ'!$B$7:$B$207,0),MATCH(S$8,'Budget-ACPLSZ'!$K$6:$W$6,0))</f>
        <v>0</v>
      </c>
      <c r="T175" s="749">
        <f t="shared" si="83"/>
        <v>0</v>
      </c>
      <c r="U175" s="748"/>
      <c r="W175" s="749">
        <f>INDEX('Actual-ACPLGZ'!$H$7:$T$207,MATCH($B175,'Actual-ACPLGZ'!$B$7:$B$207,0),MATCH(W$8,'Actual-ACPLGZ'!$H$6:$T$6,0))</f>
        <v>0</v>
      </c>
      <c r="X175" s="749">
        <f>INDEX('Budget-ACPLGZ'!$K$7:$W$207,MATCH($B175,'Budget-ACPLGZ'!$B$7:$B$207,0),MATCH(X$8,'Budget-ACPLGZ'!$K$6:$W$6,0))</f>
        <v>0</v>
      </c>
      <c r="Y175" s="749">
        <f t="shared" si="98"/>
        <v>0</v>
      </c>
      <c r="Z175" s="748"/>
      <c r="AB175" s="749">
        <f>INDEX('Actual-ACPLGZ'!$H$7:$T$207,MATCH($B175,'Actual-ACPLGZ'!$B$7:$B$207,0),MATCH(AB$8,'Actual-ACPLGZ'!$H$6:$T$6,0))</f>
        <v>0</v>
      </c>
      <c r="AC175" s="749">
        <f>INDEX('Budget-Yixing'!$K$7:$W$207,MATCH($B175,'Budget-Yixing'!$B$7:$B$207,0),MATCH(AC$8,'Budget-Yixing'!$K$6:$W$6,0))</f>
        <v>0</v>
      </c>
      <c r="AD175" s="749">
        <f t="shared" si="84"/>
        <v>0</v>
      </c>
      <c r="AE175" s="748"/>
      <c r="AG175" s="751">
        <f>SUM(INDEX('Actual-ACPL'!$H$7:$T$207,MATCH($B175,'Actual-ACPL'!$B$7:$B$207,0),MATCH('Actual-ACPL'!H$6,'Actual-ACPL'!$H$6:$T$6,0)):INDEX('Actual-ACPL'!$H$7:$T$207,MATCH($B175,'Actual-ACPL'!$B$7:$B$207,0),MATCH(AG$8,'Actual-ACPL'!$H$6:$T$6,0)))</f>
        <v>0</v>
      </c>
      <c r="AH175" s="749">
        <f>SUM(INDEX('Budget-ACPL'!$K$7:$W$207,MATCH($B175,'Budget-ACPL'!$B$7:$B$207,0),MATCH('Budget-ACPL'!K$6,'Budget-ACPL'!$K$6:$W$6,0)):INDEX('Budget-ACPL'!$K$7:$W$207,MATCH($B175,'Budget-ACPL'!$B$7:$B$207,0),MATCH(AH$8,'Budget-ACPL'!$K$6:$W$6,0)))</f>
        <v>0</v>
      </c>
      <c r="AI175" s="749">
        <f t="shared" si="94"/>
        <v>0</v>
      </c>
      <c r="AJ175" s="748"/>
      <c r="AL175" s="749">
        <f>SUM(INDEX('Actual-ACPLHK'!$H$7:$S$207,MATCH($B175,'Actual-ACPLHK'!$B$7:$B$207,0),MATCH('Actual-ACPLHK'!H$6,'Actual-ACPLHK'!$H$6:$T$6,0)):INDEX('Actual-ACPLHK'!$H$7:$S$207,MATCH($B175,'Actual-ACPLHK'!$B$7:$B$207,0),MATCH(AL$8,'Actual-ACPLHK'!$H$6:$T$6,0)))</f>
        <v>0</v>
      </c>
      <c r="AM175" s="749">
        <f>SUM(INDEX('Budget-ACPLHK'!$K$7:$W$207,MATCH($B175,'Budget-ACPLHK'!$B$7:$B$207,0),MATCH('Budget-ACPLHK'!K$6,'Budget-ACPLHK'!$K$6:$W$6,0)):INDEX('Budget-ACPLHK'!$K$7:$W$207,MATCH($B175,'Budget-ACPLHK'!$B$7:$B$207,0),MATCH(AM$8,'Budget-ACPLHK'!$K$6:$W$6,0)))</f>
        <v>0</v>
      </c>
      <c r="AN175" s="749">
        <f t="shared" si="85"/>
        <v>0</v>
      </c>
      <c r="AO175" s="748"/>
      <c r="AQ175" s="749">
        <f>SUM(INDEX('Actual-ACPSZL'!$H$7:$T$207,MATCH($B175,'Actual-ACPSZL'!$B$7:$B$207,0),MATCH('Actual-ACPSZL'!H$6,'Actual-ACPSZL'!$H$6:$T$6,0)):INDEX('Actual-ACPSZL'!$H$7:$T$207,MATCH($B175,'Actual-ACPSZL'!$B$7:$B$207,0),MATCH(AQ$8,'Actual-ACPSZL'!$H$6:$T$6,0)))</f>
        <v>0</v>
      </c>
      <c r="AR175" s="749">
        <f>SUM(INDEX('Budget-ACPSZL'!$K$7:$W$207,MATCH($B175,'Budget-ACPSZL'!$B$7:$B$207,0),MATCH('Budget-ACPSZL'!K$6,'Budget-ACPSZL'!$K$6:$W$6,0)):INDEX('Budget-ACPSZL'!$K$7:$W$207,MATCH($B175,'Budget-ACPSZL'!$B$7:$B$207,0),MATCH(AR$8,'Budget-ACPSZL'!$K$6:$W$6,0)))</f>
        <v>0</v>
      </c>
      <c r="AS175" s="749">
        <f t="shared" si="96"/>
        <v>0</v>
      </c>
      <c r="AT175" s="748"/>
      <c r="AV175" s="749">
        <f>SUM(INDEX('Actual-ACPLSZ'!$H$7:$T$207,MATCH($B175,'Actual-ACPLSZ'!$B$7:$B$207,0),MATCH('Actual-ACPLSZ'!H$6,'Actual-ACPLSZ'!$H$6:$T$6,0)):INDEX('Actual-ACPLSZ'!$H$7:$T$207,MATCH($B175,'Actual-ACPLSZ'!$B$7:$B$207,0),MATCH(AV$8,'Actual-ACPLSZ'!$H$6:$T$6,0)))</f>
        <v>0</v>
      </c>
      <c r="AW175" s="749">
        <f>SUM(INDEX('Budget-ACPLSZ'!$K$7:$W$207,MATCH($B175,'Budget-ACPLSZ'!$B$7:$B$207,0),MATCH('Budget-ACPLSZ'!K$6,'Budget-ACPLSZ'!$K$6:$W$6,0)):INDEX('Budget-ACPLSZ'!$K$7:$W$207,MATCH($B175,'Budget-ACPLSZ'!$B$7:$B$207,0),MATCH(AW$8,'Budget-ACPLSZ'!$K$6:$W$6,0)))</f>
        <v>0</v>
      </c>
      <c r="AX175" s="749">
        <f t="shared" si="99"/>
        <v>0</v>
      </c>
      <c r="AY175" s="748"/>
      <c r="BA175" s="749">
        <f>SUM(INDEX('Actual-ACPLGZ'!$H$7:$T$207,MATCH($B175,'Actual-ACPLGZ'!$B$7:$B$207,0),MATCH('Actual-ACPLGZ'!H$6,'Actual-ACPLGZ'!$H$6:$T$6,0)):INDEX('Actual-ACPLGZ'!$H$7:$T$207,MATCH($B175,'Actual-ACPLGZ'!$B$7:$B$207,0),MATCH(BA$8,'Actual-ACPLGZ'!$H$6:$T$6,0)))</f>
        <v>0</v>
      </c>
      <c r="BB175" s="749">
        <f>SUM(INDEX('Budget-ACPLGZ'!$K$7:$W$207,MATCH($B175,'Budget-ACPLGZ'!$B$7:$B$207,0),MATCH('Budget-ACPLGZ'!K$6,'Budget-ACPLGZ'!$K$6:$W$6,0)):INDEX('Budget-ACPLGZ'!$K$7:$W$207,MATCH($B175,'Budget-ACPLGZ'!$B$7:$B$207,0),MATCH(BB$8,'Budget-ACPLGZ'!$K$6:$W$6,0)))</f>
        <v>0</v>
      </c>
      <c r="BC175" s="749">
        <f t="shared" si="86"/>
        <v>0</v>
      </c>
      <c r="BD175" s="748"/>
      <c r="BF175" s="749">
        <f>SUM(INDEX('Actual-ACPLYixing'!$H$7:$T$207,MATCH($B175,'Actual-ACPLYixing'!$B$7:$B$207,0),MATCH('Actual-ACPLYixing'!H$6,'Actual-ACPLYixing'!$H$6:$T$6,0)):INDEX('Actual-ACPLYixing'!$H$7:$T$207,MATCH($B175,'Actual-ACPLYixing'!$B$7:$B$207,0),MATCH(BF$8,'Actual-ACPLYixing'!$H$6:$T$6,0)))</f>
        <v>0</v>
      </c>
      <c r="BG175" s="749">
        <f>SUM(INDEX('Budget-Yixing'!$K$7:$W$207,MATCH($B175,'Budget-Yixing'!$B$7:$B$207,0),MATCH('Budget-Yixing'!K$6,'Budget-Yixing'!$K$6:$W$6,0)):INDEX('Budget-Yixing'!$K$7:$W$207,MATCH($B175,'Budget-Yixing'!$B$7:$B$207,0),MATCH(BG$8,'Budget-Yixing'!$K$6:$W$6,0)))</f>
        <v>0</v>
      </c>
      <c r="BH175" s="749">
        <f t="shared" si="87"/>
        <v>0</v>
      </c>
      <c r="BI175" s="748"/>
    </row>
    <row r="176" spans="1:61" ht="16.5" customHeight="1">
      <c r="A176" s="653" t="str">
        <f>'Budget-合并'!A174</f>
        <v>6051</v>
      </c>
      <c r="B176" s="653" t="str">
        <f>'Budget-合并'!B174</f>
        <v>其他业务收入</v>
      </c>
      <c r="C176" s="746">
        <f>INDEX('Actual-ACPL'!$H$7:$T$207,MATCH($B176,'Actual-ACPL'!$B$7:$B$207,0),MATCH(C$8,'Actual-ACPL'!$H$6:$T$6,0))</f>
        <v>0</v>
      </c>
      <c r="D176" s="746">
        <f>INDEX('Budget-ACPL'!$K$7:$W$207,MATCH($B176,'Budget-ACPL'!$B$7:$B$207,0),MATCH(D$8,'Budget-ACPL'!$K$6:$W$6,0))</f>
        <v>0</v>
      </c>
      <c r="E176" s="746">
        <f t="shared" si="93"/>
        <v>0</v>
      </c>
      <c r="F176" s="752"/>
      <c r="H176" s="749">
        <f>INDEX('Actual-ACPLHK'!$H$7:$T$207,MATCH($B176,'Actual-ACPLHK'!$B$7:$B$207,0),MATCH(H$8,'Actual-ACPLHK'!$H$6:$T$6,0))</f>
        <v>0</v>
      </c>
      <c r="I176" s="749">
        <f>INDEX('Budget-ACPLHK'!$K$7:$W$207,MATCH($B176,'Budget-ACPLHK'!$B$7:$B$207,0),MATCH(I$8,'Budget-ACPLHK'!$K$6:$W$6,0))</f>
        <v>0</v>
      </c>
      <c r="J176" s="749">
        <f t="shared" si="95"/>
        <v>0</v>
      </c>
      <c r="K176" s="748"/>
      <c r="M176" s="749">
        <f>INDEX('Actual-ACPSZL'!$H$7:$T$207,MATCH($B176,'Actual-ACPSZL'!$B$7:$B$207,0),MATCH(M$8,'Actual-ACPSZL'!$H$6:$T$6,0))</f>
        <v>0</v>
      </c>
      <c r="N176" s="749">
        <f>INDEX('Budget-ACPSZL'!$K$7:$W$207,MATCH($B176,'Budget-ACPSZL'!$B$7:$B$207,0),MATCH(N$8,'Budget-ACPSZL'!$K$6:$W$6,0))</f>
        <v>0</v>
      </c>
      <c r="O176" s="749">
        <f t="shared" si="97"/>
        <v>0</v>
      </c>
      <c r="P176" s="748"/>
      <c r="R176" s="749">
        <f>INDEX('Actual-ACPLSZ'!$H$7:$T$207,MATCH($B176,'Actual-ACPLSZ'!$B$7:$B$207,0),MATCH(R$8,'Actual-ACPLSZ'!$H$6:$T$6,0))</f>
        <v>0</v>
      </c>
      <c r="S176" s="749">
        <f>INDEX('Budget-ACPLSZ'!$K$7:$W$207,MATCH($B176,'Budget-ACPLSZ'!$B$7:$B$207,0),MATCH(S$8,'Budget-ACPLSZ'!$K$6:$W$6,0))</f>
        <v>0</v>
      </c>
      <c r="T176" s="749"/>
      <c r="U176" s="748"/>
      <c r="W176" s="749">
        <f>INDEX('Actual-ACPLGZ'!$H$7:$T$207,MATCH($B176,'Actual-ACPLGZ'!$B$7:$B$207,0),MATCH(W$8,'Actual-ACPLGZ'!$H$6:$T$6,0))</f>
        <v>0</v>
      </c>
      <c r="X176" s="749">
        <f>INDEX('Budget-ACPLGZ'!$K$7:$W$207,MATCH($B176,'Budget-ACPLGZ'!$B$7:$B$207,0),MATCH(X$8,'Budget-ACPLGZ'!$K$6:$W$6,0))</f>
        <v>0</v>
      </c>
      <c r="Y176" s="749">
        <f t="shared" si="98"/>
        <v>0</v>
      </c>
      <c r="Z176" s="748"/>
      <c r="AB176" s="749">
        <f>INDEX('Actual-ACPLGZ'!$H$7:$T$207,MATCH($B176,'Actual-ACPLGZ'!$B$7:$B$207,0),MATCH(AB$8,'Actual-ACPLGZ'!$H$6:$T$6,0))</f>
        <v>0</v>
      </c>
      <c r="AC176" s="749">
        <f>INDEX('Budget-Yixing'!$K$7:$W$207,MATCH($B176,'Budget-Yixing'!$B$7:$B$207,0),MATCH(AC$8,'Budget-Yixing'!$K$6:$W$6,0))</f>
        <v>0</v>
      </c>
      <c r="AD176" s="749"/>
      <c r="AE176" s="748"/>
      <c r="AG176" s="751">
        <f>SUM(INDEX('Actual-ACPL'!$H$7:$T$207,MATCH($B176,'Actual-ACPL'!$B$7:$B$207,0),MATCH('Actual-ACPL'!H$6,'Actual-ACPL'!$H$6:$T$6,0)):INDEX('Actual-ACPL'!$H$7:$T$207,MATCH($B176,'Actual-ACPL'!$B$7:$B$207,0),MATCH(AG$8,'Actual-ACPL'!$H$6:$T$6,0)))</f>
        <v>0</v>
      </c>
      <c r="AH176" s="749">
        <f>SUM(INDEX('Budget-ACPL'!$K$7:$W$207,MATCH($B176,'Budget-ACPL'!$B$7:$B$207,0),MATCH('Budget-ACPL'!K$6,'Budget-ACPL'!$K$6:$W$6,0)):INDEX('Budget-ACPL'!$K$7:$W$207,MATCH($B176,'Budget-ACPL'!$B$7:$B$207,0),MATCH(AH$8,'Budget-ACPL'!$K$6:$W$6,0)))</f>
        <v>0</v>
      </c>
      <c r="AI176" s="749">
        <f t="shared" si="94"/>
        <v>0</v>
      </c>
      <c r="AJ176" s="748"/>
      <c r="AL176" s="749">
        <f>SUM(INDEX('Actual-ACPLHK'!$H$7:$S$207,MATCH($B176,'Actual-ACPLHK'!$B$7:$B$207,0),MATCH('Actual-ACPLHK'!H$6,'Actual-ACPLHK'!$H$6:$T$6,0)):INDEX('Actual-ACPLHK'!$H$7:$S$207,MATCH($B176,'Actual-ACPLHK'!$B$7:$B$207,0),MATCH(AL$8,'Actual-ACPLHK'!$H$6:$T$6,0)))</f>
        <v>0</v>
      </c>
      <c r="AM176" s="749">
        <f>SUM(INDEX('Budget-ACPLHK'!$K$7:$W$207,MATCH($B176,'Budget-ACPLHK'!$B$7:$B$207,0),MATCH('Budget-ACPLHK'!K$6,'Budget-ACPLHK'!$K$6:$W$6,0)):INDEX('Budget-ACPLHK'!$K$7:$W$207,MATCH($B176,'Budget-ACPLHK'!$B$7:$B$207,0),MATCH(AM$8,'Budget-ACPLHK'!$K$6:$W$6,0)))</f>
        <v>0</v>
      </c>
      <c r="AN176" s="749"/>
      <c r="AO176" s="748"/>
      <c r="AQ176" s="749">
        <f>SUM(INDEX('Actual-ACPSZL'!$H$7:$T$207,MATCH($B176,'Actual-ACPSZL'!$B$7:$B$207,0),MATCH('Actual-ACPSZL'!H$6,'Actual-ACPSZL'!$H$6:$T$6,0)):INDEX('Actual-ACPSZL'!$H$7:$T$207,MATCH($B176,'Actual-ACPSZL'!$B$7:$B$207,0),MATCH(AQ$8,'Actual-ACPSZL'!$H$6:$T$6,0)))</f>
        <v>0</v>
      </c>
      <c r="AR176" s="749">
        <f>SUM(INDEX('Budget-ACPSZL'!$K$7:$W$207,MATCH($B176,'Budget-ACPSZL'!$B$7:$B$207,0),MATCH('Budget-ACPSZL'!K$6,'Budget-ACPSZL'!$K$6:$W$6,0)):INDEX('Budget-ACPSZL'!$K$7:$W$207,MATCH($B176,'Budget-ACPSZL'!$B$7:$B$207,0),MATCH(AR$8,'Budget-ACPSZL'!$K$6:$W$6,0)))</f>
        <v>0</v>
      </c>
      <c r="AS176" s="749">
        <f t="shared" si="96"/>
        <v>0</v>
      </c>
      <c r="AT176" s="748"/>
      <c r="AV176" s="749">
        <f>SUM(INDEX('Actual-ACPLSZ'!$H$7:$T$207,MATCH($B176,'Actual-ACPLSZ'!$B$7:$B$207,0),MATCH('Actual-ACPLSZ'!H$6,'Actual-ACPLSZ'!$H$6:$T$6,0)):INDEX('Actual-ACPLSZ'!$H$7:$T$207,MATCH($B176,'Actual-ACPLSZ'!$B$7:$B$207,0),MATCH(AV$8,'Actual-ACPLSZ'!$H$6:$T$6,0)))</f>
        <v>0</v>
      </c>
      <c r="AW176" s="749">
        <f>SUM(INDEX('Budget-ACPLSZ'!$K$7:$W$207,MATCH($B176,'Budget-ACPLSZ'!$B$7:$B$207,0),MATCH('Budget-ACPLSZ'!K$6,'Budget-ACPLSZ'!$K$6:$W$6,0)):INDEX('Budget-ACPLSZ'!$K$7:$W$207,MATCH($B176,'Budget-ACPLSZ'!$B$7:$B$207,0),MATCH(AW$8,'Budget-ACPLSZ'!$K$6:$W$6,0)))</f>
        <v>0</v>
      </c>
      <c r="AX176" s="749">
        <f t="shared" si="99"/>
        <v>0</v>
      </c>
      <c r="AY176" s="748"/>
      <c r="BA176" s="749">
        <f>SUM(INDEX('Actual-ACPLGZ'!$H$7:$T$207,MATCH($B176,'Actual-ACPLGZ'!$B$7:$B$207,0),MATCH('Actual-ACPLGZ'!H$6,'Actual-ACPLGZ'!$H$6:$T$6,0)):INDEX('Actual-ACPLGZ'!$H$7:$T$207,MATCH($B176,'Actual-ACPLGZ'!$B$7:$B$207,0),MATCH(BA$8,'Actual-ACPLGZ'!$H$6:$T$6,0)))</f>
        <v>0</v>
      </c>
      <c r="BB176" s="749">
        <f>SUM(INDEX('Budget-ACPLGZ'!$K$7:$W$207,MATCH($B176,'Budget-ACPLGZ'!$B$7:$B$207,0),MATCH('Budget-ACPLGZ'!K$6,'Budget-ACPLGZ'!$K$6:$W$6,0)):INDEX('Budget-ACPLGZ'!$K$7:$W$207,MATCH($B176,'Budget-ACPLGZ'!$B$7:$B$207,0),MATCH(BB$8,'Budget-ACPLGZ'!$K$6:$W$6,0)))</f>
        <v>0</v>
      </c>
      <c r="BC176" s="749">
        <f t="shared" si="86"/>
        <v>0</v>
      </c>
      <c r="BD176" s="748"/>
      <c r="BF176" s="749">
        <f>SUM(INDEX('Actual-ACPLYixing'!$H$7:$T$207,MATCH($B176,'Actual-ACPLYixing'!$B$7:$B$207,0),MATCH('Actual-ACPLYixing'!H$6,'Actual-ACPLYixing'!$H$6:$T$6,0)):INDEX('Actual-ACPLYixing'!$H$7:$T$207,MATCH($B176,'Actual-ACPLYixing'!$B$7:$B$207,0),MATCH(BF$8,'Actual-ACPLYixing'!$H$6:$T$6,0)))</f>
        <v>0</v>
      </c>
      <c r="BG176" s="749">
        <f>SUM(INDEX('Budget-Yixing'!$K$7:$W$207,MATCH($B176,'Budget-Yixing'!$B$7:$B$207,0),MATCH('Budget-Yixing'!K$6,'Budget-Yixing'!$K$6:$W$6,0)):INDEX('Budget-Yixing'!$K$7:$W$207,MATCH($B176,'Budget-Yixing'!$B$7:$B$207,0),MATCH(BG$8,'Budget-Yixing'!$K$6:$W$6,0)))</f>
        <v>0</v>
      </c>
      <c r="BH176" s="749"/>
      <c r="BI176" s="748"/>
    </row>
    <row r="177" spans="1:61" ht="16.5" customHeight="1">
      <c r="A177" s="653" t="str">
        <f>'Budget-合并'!A175</f>
        <v>6101</v>
      </c>
      <c r="B177" s="653" t="str">
        <f>'Budget-合并'!B175</f>
        <v>公允价值变动损益</v>
      </c>
      <c r="C177" s="746">
        <f>INDEX('Actual-ACPL'!$H$7:$T$207,MATCH($B177,'Actual-ACPL'!$B$7:$B$207,0),MATCH(C$8,'Actual-ACPL'!$H$6:$T$6,0))</f>
        <v>0</v>
      </c>
      <c r="D177" s="746">
        <f>INDEX('Budget-ACPL'!$K$7:$W$207,MATCH($B177,'Budget-ACPL'!$B$7:$B$207,0),MATCH(D$8,'Budget-ACPL'!$K$6:$W$6,0))</f>
        <v>0</v>
      </c>
      <c r="E177" s="746">
        <f t="shared" si="93"/>
        <v>0</v>
      </c>
      <c r="F177" s="752"/>
      <c r="H177" s="749">
        <f>INDEX('Actual-ACPLHK'!$H$7:$T$207,MATCH($B177,'Actual-ACPLHK'!$B$7:$B$207,0),MATCH(H$8,'Actual-ACPLHK'!$H$6:$T$6,0))</f>
        <v>0</v>
      </c>
      <c r="I177" s="749">
        <f>INDEX('Budget-ACPLHK'!$K$7:$W$207,MATCH($B177,'Budget-ACPLHK'!$B$7:$B$207,0),MATCH(I$8,'Budget-ACPLHK'!$K$6:$W$6,0))</f>
        <v>0</v>
      </c>
      <c r="J177" s="749">
        <f t="shared" si="95"/>
        <v>0</v>
      </c>
      <c r="K177" s="748"/>
      <c r="M177" s="749">
        <f>INDEX('Actual-ACPSZL'!$H$7:$T$207,MATCH($B177,'Actual-ACPSZL'!$B$7:$B$207,0),MATCH(M$8,'Actual-ACPSZL'!$H$6:$T$6,0))</f>
        <v>0</v>
      </c>
      <c r="N177" s="749">
        <f>INDEX('Budget-ACPSZL'!$K$7:$W$207,MATCH($B177,'Budget-ACPSZL'!$B$7:$B$207,0),MATCH(N$8,'Budget-ACPSZL'!$K$6:$W$6,0))</f>
        <v>0</v>
      </c>
      <c r="O177" s="749">
        <f t="shared" si="97"/>
        <v>0</v>
      </c>
      <c r="P177" s="748"/>
      <c r="R177" s="749">
        <f>INDEX('Actual-ACPLSZ'!$H$7:$T$207,MATCH($B177,'Actual-ACPLSZ'!$B$7:$B$207,0),MATCH(R$8,'Actual-ACPLSZ'!$H$6:$T$6,0))</f>
        <v>0</v>
      </c>
      <c r="S177" s="749">
        <f>INDEX('Budget-ACPLSZ'!$K$7:$W$207,MATCH($B177,'Budget-ACPLSZ'!$B$7:$B$207,0),MATCH(S$8,'Budget-ACPLSZ'!$K$6:$W$6,0))</f>
        <v>0</v>
      </c>
      <c r="T177" s="749">
        <f t="shared" ref="T177:T186" si="100">(R177-S177)*-1</f>
        <v>0</v>
      </c>
      <c r="U177" s="748"/>
      <c r="W177" s="749">
        <f>INDEX('Actual-ACPLGZ'!$H$7:$T$207,MATCH($B177,'Actual-ACPLGZ'!$B$7:$B$207,0),MATCH(W$8,'Actual-ACPLGZ'!$H$6:$T$6,0))</f>
        <v>0</v>
      </c>
      <c r="X177" s="749">
        <f>INDEX('Budget-ACPLGZ'!$K$7:$W$207,MATCH($B177,'Budget-ACPLGZ'!$B$7:$B$207,0),MATCH(X$8,'Budget-ACPLGZ'!$K$6:$W$6,0))</f>
        <v>0</v>
      </c>
      <c r="Y177" s="749">
        <f t="shared" si="98"/>
        <v>0</v>
      </c>
      <c r="Z177" s="748"/>
      <c r="AB177" s="749">
        <f>INDEX('Actual-ACPLGZ'!$H$7:$T$207,MATCH($B177,'Actual-ACPLGZ'!$B$7:$B$207,0),MATCH(AB$8,'Actual-ACPLGZ'!$H$6:$T$6,0))</f>
        <v>0</v>
      </c>
      <c r="AC177" s="749">
        <f>INDEX('Budget-Yixing'!$K$7:$W$207,MATCH($B177,'Budget-Yixing'!$B$7:$B$207,0),MATCH(AC$8,'Budget-Yixing'!$K$6:$W$6,0))</f>
        <v>0</v>
      </c>
      <c r="AD177" s="749">
        <f t="shared" ref="AD177:AD186" si="101">(AB177-AC177)*-1</f>
        <v>0</v>
      </c>
      <c r="AE177" s="748"/>
      <c r="AG177" s="751">
        <f>SUM(INDEX('Actual-ACPL'!$H$7:$T$207,MATCH($B177,'Actual-ACPL'!$B$7:$B$207,0),MATCH('Actual-ACPL'!H$6,'Actual-ACPL'!$H$6:$T$6,0)):INDEX('Actual-ACPL'!$H$7:$T$207,MATCH($B177,'Actual-ACPL'!$B$7:$B$207,0),MATCH(AG$8,'Actual-ACPL'!$H$6:$T$6,0)))</f>
        <v>0</v>
      </c>
      <c r="AH177" s="749">
        <f>SUM(INDEX('Budget-ACPL'!$K$7:$W$207,MATCH($B177,'Budget-ACPL'!$B$7:$B$207,0),MATCH('Budget-ACPL'!K$6,'Budget-ACPL'!$K$6:$W$6,0)):INDEX('Budget-ACPL'!$K$7:$W$207,MATCH($B177,'Budget-ACPL'!$B$7:$B$207,0),MATCH(AH$8,'Budget-ACPL'!$K$6:$W$6,0)))</f>
        <v>0</v>
      </c>
      <c r="AI177" s="749">
        <f t="shared" si="94"/>
        <v>0</v>
      </c>
      <c r="AJ177" s="748"/>
      <c r="AL177" s="749">
        <f>SUM(INDEX('Actual-ACPLHK'!$H$7:$S$207,MATCH($B177,'Actual-ACPLHK'!$B$7:$B$207,0),MATCH('Actual-ACPLHK'!H$6,'Actual-ACPLHK'!$H$6:$T$6,0)):INDEX('Actual-ACPLHK'!$H$7:$S$207,MATCH($B177,'Actual-ACPLHK'!$B$7:$B$207,0),MATCH(AL$8,'Actual-ACPLHK'!$H$6:$T$6,0)))</f>
        <v>0</v>
      </c>
      <c r="AM177" s="749">
        <f>SUM(INDEX('Budget-ACPLHK'!$K$7:$W$207,MATCH($B177,'Budget-ACPLHK'!$B$7:$B$207,0),MATCH('Budget-ACPLHK'!K$6,'Budget-ACPLHK'!$K$6:$W$6,0)):INDEX('Budget-ACPLHK'!$K$7:$W$207,MATCH($B177,'Budget-ACPLHK'!$B$7:$B$207,0),MATCH(AM$8,'Budget-ACPLHK'!$K$6:$W$6,0)))</f>
        <v>0</v>
      </c>
      <c r="AN177" s="749">
        <f t="shared" ref="AN177:AN190" si="102">AL177-AM177</f>
        <v>0</v>
      </c>
      <c r="AO177" s="748"/>
      <c r="AQ177" s="749">
        <f>SUM(INDEX('Actual-ACPSZL'!$H$7:$T$207,MATCH($B177,'Actual-ACPSZL'!$B$7:$B$207,0),MATCH('Actual-ACPSZL'!H$6,'Actual-ACPSZL'!$H$6:$T$6,0)):INDEX('Actual-ACPSZL'!$H$7:$T$207,MATCH($B177,'Actual-ACPSZL'!$B$7:$B$207,0),MATCH(AQ$8,'Actual-ACPSZL'!$H$6:$T$6,0)))</f>
        <v>0</v>
      </c>
      <c r="AR177" s="749">
        <f>SUM(INDEX('Budget-ACPSZL'!$K$7:$W$207,MATCH($B177,'Budget-ACPSZL'!$B$7:$B$207,0),MATCH('Budget-ACPSZL'!K$6,'Budget-ACPSZL'!$K$6:$W$6,0)):INDEX('Budget-ACPSZL'!$K$7:$W$207,MATCH($B177,'Budget-ACPSZL'!$B$7:$B$207,0),MATCH(AR$8,'Budget-ACPSZL'!$K$6:$W$6,0)))</f>
        <v>0</v>
      </c>
      <c r="AS177" s="749">
        <f t="shared" si="96"/>
        <v>0</v>
      </c>
      <c r="AT177" s="748"/>
      <c r="AV177" s="749">
        <f>SUM(INDEX('Actual-ACPLSZ'!$H$7:$T$207,MATCH($B177,'Actual-ACPLSZ'!$B$7:$B$207,0),MATCH('Actual-ACPLSZ'!H$6,'Actual-ACPLSZ'!$H$6:$T$6,0)):INDEX('Actual-ACPLSZ'!$H$7:$T$207,MATCH($B177,'Actual-ACPLSZ'!$B$7:$B$207,0),MATCH(AV$8,'Actual-ACPLSZ'!$H$6:$T$6,0)))</f>
        <v>0</v>
      </c>
      <c r="AW177" s="749">
        <f>SUM(INDEX('Budget-ACPLSZ'!$K$7:$W$207,MATCH($B177,'Budget-ACPLSZ'!$B$7:$B$207,0),MATCH('Budget-ACPLSZ'!K$6,'Budget-ACPLSZ'!$K$6:$W$6,0)):INDEX('Budget-ACPLSZ'!$K$7:$W$207,MATCH($B177,'Budget-ACPLSZ'!$B$7:$B$207,0),MATCH(AW$8,'Budget-ACPLSZ'!$K$6:$W$6,0)))</f>
        <v>0</v>
      </c>
      <c r="AX177" s="749">
        <f t="shared" si="99"/>
        <v>0</v>
      </c>
      <c r="AY177" s="748"/>
      <c r="BA177" s="749">
        <f>SUM(INDEX('Actual-ACPLGZ'!$H$7:$T$207,MATCH($B177,'Actual-ACPLGZ'!$B$7:$B$207,0),MATCH('Actual-ACPLGZ'!H$6,'Actual-ACPLGZ'!$H$6:$T$6,0)):INDEX('Actual-ACPLGZ'!$H$7:$T$207,MATCH($B177,'Actual-ACPLGZ'!$B$7:$B$207,0),MATCH(BA$8,'Actual-ACPLGZ'!$H$6:$T$6,0)))</f>
        <v>0</v>
      </c>
      <c r="BB177" s="749">
        <f>SUM(INDEX('Budget-ACPLGZ'!$K$7:$W$207,MATCH($B177,'Budget-ACPLGZ'!$B$7:$B$207,0),MATCH('Budget-ACPLGZ'!K$6,'Budget-ACPLGZ'!$K$6:$W$6,0)):INDEX('Budget-ACPLGZ'!$K$7:$W$207,MATCH($B177,'Budget-ACPLGZ'!$B$7:$B$207,0),MATCH(BB$8,'Budget-ACPLGZ'!$K$6:$W$6,0)))</f>
        <v>0</v>
      </c>
      <c r="BC177" s="749">
        <f t="shared" si="86"/>
        <v>0</v>
      </c>
      <c r="BD177" s="748"/>
      <c r="BF177" s="749">
        <f>SUM(INDEX('Actual-ACPLYixing'!$H$7:$T$207,MATCH($B177,'Actual-ACPLYixing'!$B$7:$B$207,0),MATCH('Actual-ACPLYixing'!H$6,'Actual-ACPLYixing'!$H$6:$T$6,0)):INDEX('Actual-ACPLYixing'!$H$7:$T$207,MATCH($B177,'Actual-ACPLYixing'!$B$7:$B$207,0),MATCH(BF$8,'Actual-ACPLYixing'!$H$6:$T$6,0)))</f>
        <v>0</v>
      </c>
      <c r="BG177" s="749">
        <f>SUM(INDEX('Budget-Yixing'!$K$7:$W$207,MATCH($B177,'Budget-Yixing'!$B$7:$B$207,0),MATCH('Budget-Yixing'!K$6,'Budget-Yixing'!$K$6:$W$6,0)):INDEX('Budget-Yixing'!$K$7:$W$207,MATCH($B177,'Budget-Yixing'!$B$7:$B$207,0),MATCH(BG$8,'Budget-Yixing'!$K$6:$W$6,0)))</f>
        <v>0</v>
      </c>
      <c r="BH177" s="749">
        <f t="shared" ref="BH177:BH186" si="103">BF177-BG177</f>
        <v>0</v>
      </c>
      <c r="BI177" s="748"/>
    </row>
    <row r="178" spans="1:61" ht="16.5" customHeight="1">
      <c r="A178" s="653" t="str">
        <f>'Budget-合并'!A176</f>
        <v>6111</v>
      </c>
      <c r="B178" s="653" t="str">
        <f>'Budget-合并'!B176</f>
        <v>投资收益</v>
      </c>
      <c r="C178" s="746">
        <f>INDEX('Actual-ACPL'!$H$7:$T$207,MATCH($B178,'Actual-ACPL'!$B$7:$B$207,0),MATCH(C$8,'Actual-ACPL'!$H$6:$T$6,0))</f>
        <v>0</v>
      </c>
      <c r="D178" s="746">
        <f>INDEX('Budget-ACPL'!$K$7:$W$207,MATCH($B178,'Budget-ACPL'!$B$7:$B$207,0),MATCH(D$8,'Budget-ACPL'!$K$6:$W$6,0))</f>
        <v>0</v>
      </c>
      <c r="E178" s="746">
        <f t="shared" si="93"/>
        <v>0</v>
      </c>
      <c r="F178" s="752"/>
      <c r="H178" s="749">
        <f>INDEX('Actual-ACPLHK'!$H$7:$T$207,MATCH($B178,'Actual-ACPLHK'!$B$7:$B$207,0),MATCH(H$8,'Actual-ACPLHK'!$H$6:$T$6,0))</f>
        <v>0</v>
      </c>
      <c r="I178" s="749">
        <f>INDEX('Budget-ACPLHK'!$K$7:$W$207,MATCH($B178,'Budget-ACPLHK'!$B$7:$B$207,0),MATCH(I$8,'Budget-ACPLHK'!$K$6:$W$6,0))</f>
        <v>0</v>
      </c>
      <c r="J178" s="749">
        <f t="shared" si="95"/>
        <v>0</v>
      </c>
      <c r="K178" s="748"/>
      <c r="M178" s="749">
        <f>INDEX('Actual-ACPSZL'!$H$7:$T$207,MATCH($B178,'Actual-ACPSZL'!$B$7:$B$207,0),MATCH(M$8,'Actual-ACPSZL'!$H$6:$T$6,0))</f>
        <v>0</v>
      </c>
      <c r="N178" s="749">
        <f>INDEX('Budget-ACPSZL'!$K$7:$W$207,MATCH($B178,'Budget-ACPSZL'!$B$7:$B$207,0),MATCH(N$8,'Budget-ACPSZL'!$K$6:$W$6,0))</f>
        <v>0</v>
      </c>
      <c r="O178" s="749">
        <f t="shared" si="97"/>
        <v>0</v>
      </c>
      <c r="P178" s="748"/>
      <c r="R178" s="749">
        <f>INDEX('Actual-ACPLSZ'!$H$7:$T$207,MATCH($B178,'Actual-ACPLSZ'!$B$7:$B$207,0),MATCH(R$8,'Actual-ACPLSZ'!$H$6:$T$6,0))</f>
        <v>0</v>
      </c>
      <c r="S178" s="749">
        <f>INDEX('Budget-ACPLSZ'!$K$7:$W$207,MATCH($B178,'Budget-ACPLSZ'!$B$7:$B$207,0),MATCH(S$8,'Budget-ACPLSZ'!$K$6:$W$6,0))</f>
        <v>0</v>
      </c>
      <c r="T178" s="749">
        <f t="shared" si="100"/>
        <v>0</v>
      </c>
      <c r="U178" s="748"/>
      <c r="W178" s="749">
        <f>INDEX('Actual-ACPLGZ'!$H$7:$T$207,MATCH($B178,'Actual-ACPLGZ'!$B$7:$B$207,0),MATCH(W$8,'Actual-ACPLGZ'!$H$6:$T$6,0))</f>
        <v>0</v>
      </c>
      <c r="X178" s="749">
        <f>INDEX('Budget-ACPLGZ'!$K$7:$W$207,MATCH($B178,'Budget-ACPLGZ'!$B$7:$B$207,0),MATCH(X$8,'Budget-ACPLGZ'!$K$6:$W$6,0))</f>
        <v>0</v>
      </c>
      <c r="Y178" s="749">
        <f t="shared" si="98"/>
        <v>0</v>
      </c>
      <c r="Z178" s="748"/>
      <c r="AB178" s="749">
        <f>INDEX('Actual-ACPLGZ'!$H$7:$T$207,MATCH($B178,'Actual-ACPLGZ'!$B$7:$B$207,0),MATCH(AB$8,'Actual-ACPLGZ'!$H$6:$T$6,0))</f>
        <v>0</v>
      </c>
      <c r="AC178" s="749">
        <f>INDEX('Budget-Yixing'!$K$7:$W$207,MATCH($B178,'Budget-Yixing'!$B$7:$B$207,0),MATCH(AC$8,'Budget-Yixing'!$K$6:$W$6,0))</f>
        <v>0</v>
      </c>
      <c r="AD178" s="749">
        <f t="shared" si="101"/>
        <v>0</v>
      </c>
      <c r="AE178" s="748"/>
      <c r="AG178" s="751">
        <f>SUM(INDEX('Actual-ACPL'!$H$7:$T$207,MATCH($B178,'Actual-ACPL'!$B$7:$B$207,0),MATCH('Actual-ACPL'!H$6,'Actual-ACPL'!$H$6:$T$6,0)):INDEX('Actual-ACPL'!$H$7:$T$207,MATCH($B178,'Actual-ACPL'!$B$7:$B$207,0),MATCH(AG$8,'Actual-ACPL'!$H$6:$T$6,0)))</f>
        <v>0</v>
      </c>
      <c r="AH178" s="749">
        <f>SUM(INDEX('Budget-ACPL'!$K$7:$W$207,MATCH($B178,'Budget-ACPL'!$B$7:$B$207,0),MATCH('Budget-ACPL'!K$6,'Budget-ACPL'!$K$6:$W$6,0)):INDEX('Budget-ACPL'!$K$7:$W$207,MATCH($B178,'Budget-ACPL'!$B$7:$B$207,0),MATCH(AH$8,'Budget-ACPL'!$K$6:$W$6,0)))</f>
        <v>0</v>
      </c>
      <c r="AI178" s="749">
        <f t="shared" si="94"/>
        <v>0</v>
      </c>
      <c r="AJ178" s="748"/>
      <c r="AL178" s="749">
        <f>SUM(INDEX('Actual-ACPLHK'!$H$7:$S$207,MATCH($B178,'Actual-ACPLHK'!$B$7:$B$207,0),MATCH('Actual-ACPLHK'!H$6,'Actual-ACPLHK'!$H$6:$T$6,0)):INDEX('Actual-ACPLHK'!$H$7:$S$207,MATCH($B178,'Actual-ACPLHK'!$B$7:$B$207,0),MATCH(AL$8,'Actual-ACPLHK'!$H$6:$T$6,0)))</f>
        <v>0</v>
      </c>
      <c r="AM178" s="749">
        <f>SUM(INDEX('Budget-ACPLHK'!$K$7:$W$207,MATCH($B178,'Budget-ACPLHK'!$B$7:$B$207,0),MATCH('Budget-ACPLHK'!K$6,'Budget-ACPLHK'!$K$6:$W$6,0)):INDEX('Budget-ACPLHK'!$K$7:$W$207,MATCH($B178,'Budget-ACPLHK'!$B$7:$B$207,0),MATCH(AM$8,'Budget-ACPLHK'!$K$6:$W$6,0)))</f>
        <v>0</v>
      </c>
      <c r="AN178" s="749">
        <f t="shared" si="102"/>
        <v>0</v>
      </c>
      <c r="AO178" s="748"/>
      <c r="AQ178" s="749">
        <f>SUM(INDEX('Actual-ACPSZL'!$H$7:$T$207,MATCH($B178,'Actual-ACPSZL'!$B$7:$B$207,0),MATCH('Actual-ACPSZL'!H$6,'Actual-ACPSZL'!$H$6:$T$6,0)):INDEX('Actual-ACPSZL'!$H$7:$T$207,MATCH($B178,'Actual-ACPSZL'!$B$7:$B$207,0),MATCH(AQ$8,'Actual-ACPSZL'!$H$6:$T$6,0)))</f>
        <v>0</v>
      </c>
      <c r="AR178" s="749">
        <f>SUM(INDEX('Budget-ACPSZL'!$K$7:$W$207,MATCH($B178,'Budget-ACPSZL'!$B$7:$B$207,0),MATCH('Budget-ACPSZL'!K$6,'Budget-ACPSZL'!$K$6:$W$6,0)):INDEX('Budget-ACPSZL'!$K$7:$W$207,MATCH($B178,'Budget-ACPSZL'!$B$7:$B$207,0),MATCH(AR$8,'Budget-ACPSZL'!$K$6:$W$6,0)))</f>
        <v>0</v>
      </c>
      <c r="AS178" s="749">
        <f t="shared" si="96"/>
        <v>0</v>
      </c>
      <c r="AT178" s="748"/>
      <c r="AV178" s="749">
        <f>SUM(INDEX('Actual-ACPLSZ'!$H$7:$T$207,MATCH($B178,'Actual-ACPLSZ'!$B$7:$B$207,0),MATCH('Actual-ACPLSZ'!H$6,'Actual-ACPLSZ'!$H$6:$T$6,0)):INDEX('Actual-ACPLSZ'!$H$7:$T$207,MATCH($B178,'Actual-ACPLSZ'!$B$7:$B$207,0),MATCH(AV$8,'Actual-ACPLSZ'!$H$6:$T$6,0)))</f>
        <v>0</v>
      </c>
      <c r="AW178" s="749">
        <f>SUM(INDEX('Budget-ACPLSZ'!$K$7:$W$207,MATCH($B178,'Budget-ACPLSZ'!$B$7:$B$207,0),MATCH('Budget-ACPLSZ'!K$6,'Budget-ACPLSZ'!$K$6:$W$6,0)):INDEX('Budget-ACPLSZ'!$K$7:$W$207,MATCH($B178,'Budget-ACPLSZ'!$B$7:$B$207,0),MATCH(AW$8,'Budget-ACPLSZ'!$K$6:$W$6,0)))</f>
        <v>0</v>
      </c>
      <c r="AX178" s="749">
        <f t="shared" si="99"/>
        <v>0</v>
      </c>
      <c r="AY178" s="748"/>
      <c r="BA178" s="749">
        <f>SUM(INDEX('Actual-ACPLGZ'!$H$7:$T$207,MATCH($B178,'Actual-ACPLGZ'!$B$7:$B$207,0),MATCH('Actual-ACPLGZ'!H$6,'Actual-ACPLGZ'!$H$6:$T$6,0)):INDEX('Actual-ACPLGZ'!$H$7:$T$207,MATCH($B178,'Actual-ACPLGZ'!$B$7:$B$207,0),MATCH(BA$8,'Actual-ACPLGZ'!$H$6:$T$6,0)))</f>
        <v>0</v>
      </c>
      <c r="BB178" s="749">
        <f>SUM(INDEX('Budget-ACPLGZ'!$K$7:$W$207,MATCH($B178,'Budget-ACPLGZ'!$B$7:$B$207,0),MATCH('Budget-ACPLGZ'!K$6,'Budget-ACPLGZ'!$K$6:$W$6,0)):INDEX('Budget-ACPLGZ'!$K$7:$W$207,MATCH($B178,'Budget-ACPLGZ'!$B$7:$B$207,0),MATCH(BB$8,'Budget-ACPLGZ'!$K$6:$W$6,0)))</f>
        <v>0</v>
      </c>
      <c r="BC178" s="749">
        <f t="shared" si="86"/>
        <v>0</v>
      </c>
      <c r="BD178" s="748"/>
      <c r="BF178" s="749">
        <f>SUM(INDEX('Actual-ACPLYixing'!$H$7:$T$207,MATCH($B178,'Actual-ACPLYixing'!$B$7:$B$207,0),MATCH('Actual-ACPLYixing'!H$6,'Actual-ACPLYixing'!$H$6:$T$6,0)):INDEX('Actual-ACPLYixing'!$H$7:$T$207,MATCH($B178,'Actual-ACPLYixing'!$B$7:$B$207,0),MATCH(BF$8,'Actual-ACPLYixing'!$H$6:$T$6,0)))</f>
        <v>0</v>
      </c>
      <c r="BG178" s="749">
        <f>SUM(INDEX('Budget-Yixing'!$K$7:$W$207,MATCH($B178,'Budget-Yixing'!$B$7:$B$207,0),MATCH('Budget-Yixing'!K$6,'Budget-Yixing'!$K$6:$W$6,0)):INDEX('Budget-Yixing'!$K$7:$W$207,MATCH($B178,'Budget-Yixing'!$B$7:$B$207,0),MATCH(BG$8,'Budget-Yixing'!$K$6:$W$6,0)))</f>
        <v>0</v>
      </c>
      <c r="BH178" s="749">
        <f t="shared" si="103"/>
        <v>0</v>
      </c>
      <c r="BI178" s="748"/>
    </row>
    <row r="179" spans="1:61" ht="16.5" customHeight="1">
      <c r="A179" s="653" t="str">
        <f>'Budget-合并'!A177</f>
        <v>6115</v>
      </c>
      <c r="B179" s="653" t="str">
        <f>'Budget-合并'!B177</f>
        <v>其他收益</v>
      </c>
      <c r="C179" s="746">
        <f>INDEX('Actual-ACPL'!$H$7:$T$207,MATCH($B179,'Actual-ACPL'!$B$7:$B$207,0),MATCH(C$8,'Actual-ACPL'!$H$6:$T$6,0))</f>
        <v>0</v>
      </c>
      <c r="D179" s="746">
        <f>INDEX('Budget-ACPL'!$K$7:$W$207,MATCH($B179,'Budget-ACPL'!$B$7:$B$207,0),MATCH(D$8,'Budget-ACPL'!$K$6:$W$6,0))</f>
        <v>0</v>
      </c>
      <c r="E179" s="746">
        <f t="shared" si="93"/>
        <v>0</v>
      </c>
      <c r="F179" s="752"/>
      <c r="H179" s="749">
        <f>INDEX('Actual-ACPLHK'!$H$7:$T$207,MATCH($B179,'Actual-ACPLHK'!$B$7:$B$207,0),MATCH(H$8,'Actual-ACPLHK'!$H$6:$T$6,0))</f>
        <v>0</v>
      </c>
      <c r="I179" s="749">
        <f>INDEX('Budget-ACPLHK'!$K$7:$W$207,MATCH($B179,'Budget-ACPLHK'!$B$7:$B$207,0),MATCH(I$8,'Budget-ACPLHK'!$K$6:$W$6,0))</f>
        <v>0</v>
      </c>
      <c r="J179" s="749">
        <f t="shared" si="95"/>
        <v>0</v>
      </c>
      <c r="K179" s="748"/>
      <c r="M179" s="749">
        <f>INDEX('Actual-ACPSZL'!$H$7:$T$207,MATCH($B179,'Actual-ACPSZL'!$B$7:$B$207,0),MATCH(M$8,'Actual-ACPSZL'!$H$6:$T$6,0))</f>
        <v>0</v>
      </c>
      <c r="N179" s="749">
        <f>INDEX('Budget-ACPSZL'!$K$7:$W$207,MATCH($B179,'Budget-ACPSZL'!$B$7:$B$207,0),MATCH(N$8,'Budget-ACPSZL'!$K$6:$W$6,0))</f>
        <v>0</v>
      </c>
      <c r="O179" s="749">
        <f t="shared" si="97"/>
        <v>0</v>
      </c>
      <c r="P179" s="748"/>
      <c r="R179" s="749">
        <f>INDEX('Actual-ACPLSZ'!$H$7:$T$207,MATCH($B179,'Actual-ACPLSZ'!$B$7:$B$207,0),MATCH(R$8,'Actual-ACPLSZ'!$H$6:$T$6,0))</f>
        <v>0</v>
      </c>
      <c r="S179" s="749">
        <f>INDEX('Budget-ACPLSZ'!$K$7:$W$207,MATCH($B179,'Budget-ACPLSZ'!$B$7:$B$207,0),MATCH(S$8,'Budget-ACPLSZ'!$K$6:$W$6,0))</f>
        <v>0</v>
      </c>
      <c r="T179" s="749">
        <f t="shared" si="100"/>
        <v>0</v>
      </c>
      <c r="U179" s="748"/>
      <c r="W179" s="749">
        <f>INDEX('Actual-ACPLGZ'!$H$7:$T$207,MATCH($B179,'Actual-ACPLGZ'!$B$7:$B$207,0),MATCH(W$8,'Actual-ACPLGZ'!$H$6:$T$6,0))</f>
        <v>0</v>
      </c>
      <c r="X179" s="749">
        <f>INDEX('Budget-ACPLGZ'!$K$7:$W$207,MATCH($B179,'Budget-ACPLGZ'!$B$7:$B$207,0),MATCH(X$8,'Budget-ACPLGZ'!$K$6:$W$6,0))</f>
        <v>0</v>
      </c>
      <c r="Y179" s="749">
        <f t="shared" si="98"/>
        <v>0</v>
      </c>
      <c r="Z179" s="748"/>
      <c r="AB179" s="749">
        <f>INDEX('Actual-ACPLGZ'!$H$7:$T$207,MATCH($B179,'Actual-ACPLGZ'!$B$7:$B$207,0),MATCH(AB$8,'Actual-ACPLGZ'!$H$6:$T$6,0))</f>
        <v>0</v>
      </c>
      <c r="AC179" s="749">
        <f>INDEX('Budget-Yixing'!$K$7:$W$207,MATCH($B179,'Budget-Yixing'!$B$7:$B$207,0),MATCH(AC$8,'Budget-Yixing'!$K$6:$W$6,0))</f>
        <v>0</v>
      </c>
      <c r="AD179" s="749">
        <f t="shared" si="101"/>
        <v>0</v>
      </c>
      <c r="AE179" s="748"/>
      <c r="AG179" s="751">
        <f>SUM(INDEX('Actual-ACPL'!$H$7:$T$207,MATCH($B179,'Actual-ACPL'!$B$7:$B$207,0),MATCH('Actual-ACPL'!H$6,'Actual-ACPL'!$H$6:$T$6,0)):INDEX('Actual-ACPL'!$H$7:$T$207,MATCH($B179,'Actual-ACPL'!$B$7:$B$207,0),MATCH(AG$8,'Actual-ACPL'!$H$6:$T$6,0)))</f>
        <v>0</v>
      </c>
      <c r="AH179" s="749">
        <f>SUM(INDEX('Budget-ACPL'!$K$7:$W$207,MATCH($B179,'Budget-ACPL'!$B$7:$B$207,0),MATCH('Budget-ACPL'!K$6,'Budget-ACPL'!$K$6:$W$6,0)):INDEX('Budget-ACPL'!$K$7:$W$207,MATCH($B179,'Budget-ACPL'!$B$7:$B$207,0),MATCH(AH$8,'Budget-ACPL'!$K$6:$W$6,0)))</f>
        <v>0</v>
      </c>
      <c r="AI179" s="749">
        <f t="shared" si="94"/>
        <v>0</v>
      </c>
      <c r="AJ179" s="748"/>
      <c r="AL179" s="749">
        <f>SUM(INDEX('Actual-ACPLHK'!$H$7:$S$207,MATCH($B179,'Actual-ACPLHK'!$B$7:$B$207,0),MATCH('Actual-ACPLHK'!H$6,'Actual-ACPLHK'!$H$6:$T$6,0)):INDEX('Actual-ACPLHK'!$H$7:$S$207,MATCH($B179,'Actual-ACPLHK'!$B$7:$B$207,0),MATCH(AL$8,'Actual-ACPLHK'!$H$6:$T$6,0)))</f>
        <v>0</v>
      </c>
      <c r="AM179" s="749">
        <f>SUM(INDEX('Budget-ACPLHK'!$K$7:$W$207,MATCH($B179,'Budget-ACPLHK'!$B$7:$B$207,0),MATCH('Budget-ACPLHK'!K$6,'Budget-ACPLHK'!$K$6:$W$6,0)):INDEX('Budget-ACPLHK'!$K$7:$W$207,MATCH($B179,'Budget-ACPLHK'!$B$7:$B$207,0),MATCH(AM$8,'Budget-ACPLHK'!$K$6:$W$6,0)))</f>
        <v>0</v>
      </c>
      <c r="AN179" s="749">
        <f t="shared" si="102"/>
        <v>0</v>
      </c>
      <c r="AO179" s="748"/>
      <c r="AQ179" s="749">
        <f>SUM(INDEX('Actual-ACPSZL'!$H$7:$T$207,MATCH($B179,'Actual-ACPSZL'!$B$7:$B$207,0),MATCH('Actual-ACPSZL'!H$6,'Actual-ACPSZL'!$H$6:$T$6,0)):INDEX('Actual-ACPSZL'!$H$7:$T$207,MATCH($B179,'Actual-ACPSZL'!$B$7:$B$207,0),MATCH(AQ$8,'Actual-ACPSZL'!$H$6:$T$6,0)))</f>
        <v>0</v>
      </c>
      <c r="AR179" s="749">
        <f>SUM(INDEX('Budget-ACPSZL'!$K$7:$W$207,MATCH($B179,'Budget-ACPSZL'!$B$7:$B$207,0),MATCH('Budget-ACPSZL'!K$6,'Budget-ACPSZL'!$K$6:$W$6,0)):INDEX('Budget-ACPSZL'!$K$7:$W$207,MATCH($B179,'Budget-ACPSZL'!$B$7:$B$207,0),MATCH(AR$8,'Budget-ACPSZL'!$K$6:$W$6,0)))</f>
        <v>0</v>
      </c>
      <c r="AS179" s="749">
        <f t="shared" si="96"/>
        <v>0</v>
      </c>
      <c r="AT179" s="748"/>
      <c r="AV179" s="749">
        <f>SUM(INDEX('Actual-ACPLSZ'!$H$7:$T$207,MATCH($B179,'Actual-ACPLSZ'!$B$7:$B$207,0),MATCH('Actual-ACPLSZ'!H$6,'Actual-ACPLSZ'!$H$6:$T$6,0)):INDEX('Actual-ACPLSZ'!$H$7:$T$207,MATCH($B179,'Actual-ACPLSZ'!$B$7:$B$207,0),MATCH(AV$8,'Actual-ACPLSZ'!$H$6:$T$6,0)))</f>
        <v>0</v>
      </c>
      <c r="AW179" s="749">
        <f>SUM(INDEX('Budget-ACPLSZ'!$K$7:$W$207,MATCH($B179,'Budget-ACPLSZ'!$B$7:$B$207,0),MATCH('Budget-ACPLSZ'!K$6,'Budget-ACPLSZ'!$K$6:$W$6,0)):INDEX('Budget-ACPLSZ'!$K$7:$W$207,MATCH($B179,'Budget-ACPLSZ'!$B$7:$B$207,0),MATCH(AW$8,'Budget-ACPLSZ'!$K$6:$W$6,0)))</f>
        <v>0</v>
      </c>
      <c r="AX179" s="749">
        <f t="shared" si="99"/>
        <v>0</v>
      </c>
      <c r="AY179" s="748"/>
      <c r="BA179" s="749">
        <f>SUM(INDEX('Actual-ACPLGZ'!$H$7:$T$207,MATCH($B179,'Actual-ACPLGZ'!$B$7:$B$207,0),MATCH('Actual-ACPLGZ'!H$6,'Actual-ACPLGZ'!$H$6:$T$6,0)):INDEX('Actual-ACPLGZ'!$H$7:$T$207,MATCH($B179,'Actual-ACPLGZ'!$B$7:$B$207,0),MATCH(BA$8,'Actual-ACPLGZ'!$H$6:$T$6,0)))</f>
        <v>0</v>
      </c>
      <c r="BB179" s="749">
        <f>SUM(INDEX('Budget-ACPLGZ'!$K$7:$W$207,MATCH($B179,'Budget-ACPLGZ'!$B$7:$B$207,0),MATCH('Budget-ACPLGZ'!K$6,'Budget-ACPLGZ'!$K$6:$W$6,0)):INDEX('Budget-ACPLGZ'!$K$7:$W$207,MATCH($B179,'Budget-ACPLGZ'!$B$7:$B$207,0),MATCH(BB$8,'Budget-ACPLGZ'!$K$6:$W$6,0)))</f>
        <v>0</v>
      </c>
      <c r="BC179" s="749">
        <f t="shared" ref="BC179:BC186" si="104">BA179-BB179</f>
        <v>0</v>
      </c>
      <c r="BD179" s="748"/>
      <c r="BF179" s="749">
        <f>SUM(INDEX('Actual-ACPLYixing'!$H$7:$T$207,MATCH($B179,'Actual-ACPLYixing'!$B$7:$B$207,0),MATCH('Actual-ACPLYixing'!H$6,'Actual-ACPLYixing'!$H$6:$T$6,0)):INDEX('Actual-ACPLYixing'!$H$7:$T$207,MATCH($B179,'Actual-ACPLYixing'!$B$7:$B$207,0),MATCH(BF$8,'Actual-ACPLYixing'!$H$6:$T$6,0)))</f>
        <v>0</v>
      </c>
      <c r="BG179" s="749">
        <f>SUM(INDEX('Budget-Yixing'!$K$7:$W$207,MATCH($B179,'Budget-Yixing'!$B$7:$B$207,0),MATCH('Budget-Yixing'!K$6,'Budget-Yixing'!$K$6:$W$6,0)):INDEX('Budget-Yixing'!$K$7:$W$207,MATCH($B179,'Budget-Yixing'!$B$7:$B$207,0),MATCH(BG$8,'Budget-Yixing'!$K$6:$W$6,0)))</f>
        <v>0</v>
      </c>
      <c r="BH179" s="749">
        <f t="shared" si="103"/>
        <v>0</v>
      </c>
      <c r="BI179" s="748"/>
    </row>
    <row r="180" spans="1:61" ht="16.5" customHeight="1">
      <c r="A180" s="653" t="str">
        <f>'Budget-合并'!A178</f>
        <v>6115.01</v>
      </c>
      <c r="B180" s="653" t="str">
        <f>'Budget-合并'!B178</f>
        <v>政府补助</v>
      </c>
      <c r="C180" s="746">
        <f>INDEX('Actual-ACPL'!$H$7:$T$207,MATCH($B180,'Actual-ACPL'!$B$7:$B$207,0),MATCH(C$8,'Actual-ACPL'!$H$6:$T$6,0))</f>
        <v>0</v>
      </c>
      <c r="D180" s="746">
        <f>INDEX('Budget-ACPL'!$K$7:$W$207,MATCH($B180,'Budget-ACPL'!$B$7:$B$207,0),MATCH(D$8,'Budget-ACPL'!$K$6:$W$6,0))</f>
        <v>0</v>
      </c>
      <c r="E180" s="746">
        <f t="shared" si="93"/>
        <v>0</v>
      </c>
      <c r="F180" s="752"/>
      <c r="H180" s="749">
        <f>INDEX('Actual-ACPLHK'!$H$7:$T$207,MATCH($B180,'Actual-ACPLHK'!$B$7:$B$207,0),MATCH(H$8,'Actual-ACPLHK'!$H$6:$T$6,0))</f>
        <v>0</v>
      </c>
      <c r="I180" s="749">
        <f>INDEX('Budget-ACPLHK'!$K$7:$W$207,MATCH($B180,'Budget-ACPLHK'!$B$7:$B$207,0),MATCH(I$8,'Budget-ACPLHK'!$K$6:$W$6,0))</f>
        <v>0</v>
      </c>
      <c r="J180" s="749">
        <f t="shared" si="95"/>
        <v>0</v>
      </c>
      <c r="K180" s="748"/>
      <c r="M180" s="749">
        <f>INDEX('Actual-ACPSZL'!$H$7:$T$207,MATCH($B180,'Actual-ACPSZL'!$B$7:$B$207,0),MATCH(M$8,'Actual-ACPSZL'!$H$6:$T$6,0))</f>
        <v>0</v>
      </c>
      <c r="N180" s="749">
        <f>INDEX('Budget-ACPSZL'!$K$7:$W$207,MATCH($B180,'Budget-ACPSZL'!$B$7:$B$207,0),MATCH(N$8,'Budget-ACPSZL'!$K$6:$W$6,0))</f>
        <v>0</v>
      </c>
      <c r="O180" s="749">
        <f t="shared" si="97"/>
        <v>0</v>
      </c>
      <c r="P180" s="748"/>
      <c r="R180" s="749">
        <f>INDEX('Actual-ACPLSZ'!$H$7:$T$207,MATCH($B180,'Actual-ACPLSZ'!$B$7:$B$207,0),MATCH(R$8,'Actual-ACPLSZ'!$H$6:$T$6,0))</f>
        <v>0</v>
      </c>
      <c r="S180" s="749">
        <f>INDEX('Budget-ACPLSZ'!$K$7:$W$207,MATCH($B180,'Budget-ACPLSZ'!$B$7:$B$207,0),MATCH(S$8,'Budget-ACPLSZ'!$K$6:$W$6,0))</f>
        <v>0</v>
      </c>
      <c r="T180" s="749">
        <f t="shared" si="100"/>
        <v>0</v>
      </c>
      <c r="U180" s="748"/>
      <c r="W180" s="749">
        <f>INDEX('Actual-ACPLGZ'!$H$7:$T$207,MATCH($B180,'Actual-ACPLGZ'!$B$7:$B$207,0),MATCH(W$8,'Actual-ACPLGZ'!$H$6:$T$6,0))</f>
        <v>0</v>
      </c>
      <c r="X180" s="749">
        <f>INDEX('Budget-ACPLGZ'!$K$7:$W$207,MATCH($B180,'Budget-ACPLGZ'!$B$7:$B$207,0),MATCH(X$8,'Budget-ACPLGZ'!$K$6:$W$6,0))</f>
        <v>0</v>
      </c>
      <c r="Y180" s="749">
        <f t="shared" si="98"/>
        <v>0</v>
      </c>
      <c r="Z180" s="748"/>
      <c r="AB180" s="749">
        <f>INDEX('Actual-ACPLGZ'!$H$7:$T$207,MATCH($B180,'Actual-ACPLGZ'!$B$7:$B$207,0),MATCH(AB$8,'Actual-ACPLGZ'!$H$6:$T$6,0))</f>
        <v>0</v>
      </c>
      <c r="AC180" s="749">
        <f>INDEX('Budget-Yixing'!$K$7:$W$207,MATCH($B180,'Budget-Yixing'!$B$7:$B$207,0),MATCH(AC$8,'Budget-Yixing'!$K$6:$W$6,0))</f>
        <v>0</v>
      </c>
      <c r="AD180" s="749">
        <f t="shared" si="101"/>
        <v>0</v>
      </c>
      <c r="AE180" s="748"/>
      <c r="AG180" s="751">
        <f>SUM(INDEX('Actual-ACPL'!$H$7:$T$207,MATCH($B180,'Actual-ACPL'!$B$7:$B$207,0),MATCH('Actual-ACPL'!H$6,'Actual-ACPL'!$H$6:$T$6,0)):INDEX('Actual-ACPL'!$H$7:$T$207,MATCH($B180,'Actual-ACPL'!$B$7:$B$207,0),MATCH(AG$8,'Actual-ACPL'!$H$6:$T$6,0)))</f>
        <v>0</v>
      </c>
      <c r="AH180" s="749">
        <f>SUM(INDEX('Budget-ACPL'!$K$7:$W$207,MATCH($B180,'Budget-ACPL'!$B$7:$B$207,0),MATCH('Budget-ACPL'!K$6,'Budget-ACPL'!$K$6:$W$6,0)):INDEX('Budget-ACPL'!$K$7:$W$207,MATCH($B180,'Budget-ACPL'!$B$7:$B$207,0),MATCH(AH$8,'Budget-ACPL'!$K$6:$W$6,0)))</f>
        <v>0</v>
      </c>
      <c r="AI180" s="749">
        <f t="shared" ref="AI180:AI190" si="105">AG180-AH180</f>
        <v>0</v>
      </c>
      <c r="AJ180" s="748"/>
      <c r="AL180" s="749">
        <f>SUM(INDEX('Actual-ACPLHK'!$H$7:$S$207,MATCH($B180,'Actual-ACPLHK'!$B$7:$B$207,0),MATCH('Actual-ACPLHK'!H$6,'Actual-ACPLHK'!$H$6:$T$6,0)):INDEX('Actual-ACPLHK'!$H$7:$S$207,MATCH($B180,'Actual-ACPLHK'!$B$7:$B$207,0),MATCH(AL$8,'Actual-ACPLHK'!$H$6:$T$6,0)))</f>
        <v>0</v>
      </c>
      <c r="AM180" s="749">
        <f>SUM(INDEX('Budget-ACPLHK'!$K$7:$W$207,MATCH($B180,'Budget-ACPLHK'!$B$7:$B$207,0),MATCH('Budget-ACPLHK'!K$6,'Budget-ACPLHK'!$K$6:$W$6,0)):INDEX('Budget-ACPLHK'!$K$7:$W$207,MATCH($B180,'Budget-ACPLHK'!$B$7:$B$207,0),MATCH(AM$8,'Budget-ACPLHK'!$K$6:$W$6,0)))</f>
        <v>0</v>
      </c>
      <c r="AN180" s="749">
        <f t="shared" si="102"/>
        <v>0</v>
      </c>
      <c r="AO180" s="748"/>
      <c r="AQ180" s="749">
        <f>SUM(INDEX('Actual-ACPSZL'!$H$7:$T$207,MATCH($B180,'Actual-ACPSZL'!$B$7:$B$207,0),MATCH('Actual-ACPSZL'!H$6,'Actual-ACPSZL'!$H$6:$T$6,0)):INDEX('Actual-ACPSZL'!$H$7:$T$207,MATCH($B180,'Actual-ACPSZL'!$B$7:$B$207,0),MATCH(AQ$8,'Actual-ACPSZL'!$H$6:$T$6,0)))</f>
        <v>0</v>
      </c>
      <c r="AR180" s="749">
        <f>SUM(INDEX('Budget-ACPSZL'!$K$7:$W$207,MATCH($B180,'Budget-ACPSZL'!$B$7:$B$207,0),MATCH('Budget-ACPSZL'!K$6,'Budget-ACPSZL'!$K$6:$W$6,0)):INDEX('Budget-ACPSZL'!$K$7:$W$207,MATCH($B180,'Budget-ACPSZL'!$B$7:$B$207,0),MATCH(AR$8,'Budget-ACPSZL'!$K$6:$W$6,0)))</f>
        <v>0</v>
      </c>
      <c r="AS180" s="749">
        <f t="shared" si="96"/>
        <v>0</v>
      </c>
      <c r="AT180" s="748"/>
      <c r="AV180" s="749">
        <f>SUM(INDEX('Actual-ACPLSZ'!$H$7:$T$207,MATCH($B180,'Actual-ACPLSZ'!$B$7:$B$207,0),MATCH('Actual-ACPLSZ'!H$6,'Actual-ACPLSZ'!$H$6:$T$6,0)):INDEX('Actual-ACPLSZ'!$H$7:$T$207,MATCH($B180,'Actual-ACPLSZ'!$B$7:$B$207,0),MATCH(AV$8,'Actual-ACPLSZ'!$H$6:$T$6,0)))</f>
        <v>0</v>
      </c>
      <c r="AW180" s="749">
        <f>SUM(INDEX('Budget-ACPLSZ'!$K$7:$W$207,MATCH($B180,'Budget-ACPLSZ'!$B$7:$B$207,0),MATCH('Budget-ACPLSZ'!K$6,'Budget-ACPLSZ'!$K$6:$W$6,0)):INDEX('Budget-ACPLSZ'!$K$7:$W$207,MATCH($B180,'Budget-ACPLSZ'!$B$7:$B$207,0),MATCH(AW$8,'Budget-ACPLSZ'!$K$6:$W$6,0)))</f>
        <v>0</v>
      </c>
      <c r="AX180" s="749">
        <f t="shared" si="99"/>
        <v>0</v>
      </c>
      <c r="AY180" s="748"/>
      <c r="BA180" s="749">
        <f>SUM(INDEX('Actual-ACPLGZ'!$H$7:$T$207,MATCH($B180,'Actual-ACPLGZ'!$B$7:$B$207,0),MATCH('Actual-ACPLGZ'!H$6,'Actual-ACPLGZ'!$H$6:$T$6,0)):INDEX('Actual-ACPLGZ'!$H$7:$T$207,MATCH($B180,'Actual-ACPLGZ'!$B$7:$B$207,0),MATCH(BA$8,'Actual-ACPLGZ'!$H$6:$T$6,0)))</f>
        <v>0</v>
      </c>
      <c r="BB180" s="749">
        <f>SUM(INDEX('Budget-ACPLGZ'!$K$7:$W$207,MATCH($B180,'Budget-ACPLGZ'!$B$7:$B$207,0),MATCH('Budget-ACPLGZ'!K$6,'Budget-ACPLGZ'!$K$6:$W$6,0)):INDEX('Budget-ACPLGZ'!$K$7:$W$207,MATCH($B180,'Budget-ACPLGZ'!$B$7:$B$207,0),MATCH(BB$8,'Budget-ACPLGZ'!$K$6:$W$6,0)))</f>
        <v>0</v>
      </c>
      <c r="BC180" s="749">
        <f t="shared" si="104"/>
        <v>0</v>
      </c>
      <c r="BD180" s="748"/>
      <c r="BF180" s="749">
        <f>SUM(INDEX('Actual-ACPLYixing'!$H$7:$T$207,MATCH($B180,'Actual-ACPLYixing'!$B$7:$B$207,0),MATCH('Actual-ACPLYixing'!H$6,'Actual-ACPLYixing'!$H$6:$T$6,0)):INDEX('Actual-ACPLYixing'!$H$7:$T$207,MATCH($B180,'Actual-ACPLYixing'!$B$7:$B$207,0),MATCH(BF$8,'Actual-ACPLYixing'!$H$6:$T$6,0)))</f>
        <v>0</v>
      </c>
      <c r="BG180" s="749">
        <f>SUM(INDEX('Budget-Yixing'!$K$7:$W$207,MATCH($B180,'Budget-Yixing'!$B$7:$B$207,0),MATCH('Budget-Yixing'!K$6,'Budget-Yixing'!$K$6:$W$6,0)):INDEX('Budget-Yixing'!$K$7:$W$207,MATCH($B180,'Budget-Yixing'!$B$7:$B$207,0),MATCH(BG$8,'Budget-Yixing'!$K$6:$W$6,0)))</f>
        <v>0</v>
      </c>
      <c r="BH180" s="749">
        <f t="shared" si="103"/>
        <v>0</v>
      </c>
      <c r="BI180" s="748"/>
    </row>
    <row r="181" spans="1:61" ht="16.5" customHeight="1">
      <c r="A181" s="653" t="str">
        <f>'Budget-合并'!A179</f>
        <v>6115.02</v>
      </c>
      <c r="B181" s="653" t="str">
        <f>'Budget-合并'!B179</f>
        <v>个税手续费返还</v>
      </c>
      <c r="C181" s="746">
        <f>INDEX('Actual-ACPL'!$H$7:$T$207,MATCH($B181,'Actual-ACPL'!$B$7:$B$207,0),MATCH(C$8,'Actual-ACPL'!$H$6:$T$6,0))</f>
        <v>0</v>
      </c>
      <c r="D181" s="746">
        <f>INDEX('Budget-ACPL'!$K$7:$W$207,MATCH($B181,'Budget-ACPL'!$B$7:$B$207,0),MATCH(D$8,'Budget-ACPL'!$K$6:$W$6,0))</f>
        <v>0</v>
      </c>
      <c r="E181" s="746">
        <f t="shared" si="93"/>
        <v>0</v>
      </c>
      <c r="F181" s="752"/>
      <c r="H181" s="749">
        <f>INDEX('Actual-ACPLHK'!$H$7:$T$207,MATCH($B181,'Actual-ACPLHK'!$B$7:$B$207,0),MATCH(H$8,'Actual-ACPLHK'!$H$6:$T$6,0))</f>
        <v>0</v>
      </c>
      <c r="I181" s="749">
        <f>INDEX('Budget-ACPLHK'!$K$7:$W$207,MATCH($B181,'Budget-ACPLHK'!$B$7:$B$207,0),MATCH(I$8,'Budget-ACPLHK'!$K$6:$W$6,0))</f>
        <v>0</v>
      </c>
      <c r="J181" s="749">
        <f t="shared" si="95"/>
        <v>0</v>
      </c>
      <c r="K181" s="748"/>
      <c r="M181" s="749">
        <f>INDEX('Actual-ACPSZL'!$H$7:$T$207,MATCH($B181,'Actual-ACPSZL'!$B$7:$B$207,0),MATCH(M$8,'Actual-ACPSZL'!$H$6:$T$6,0))</f>
        <v>0</v>
      </c>
      <c r="N181" s="749">
        <f>INDEX('Budget-ACPSZL'!$K$7:$W$207,MATCH($B181,'Budget-ACPSZL'!$B$7:$B$207,0),MATCH(N$8,'Budget-ACPSZL'!$K$6:$W$6,0))</f>
        <v>0</v>
      </c>
      <c r="O181" s="749">
        <f t="shared" si="97"/>
        <v>0</v>
      </c>
      <c r="P181" s="748"/>
      <c r="R181" s="749">
        <f>INDEX('Actual-ACPLSZ'!$H$7:$T$207,MATCH($B181,'Actual-ACPLSZ'!$B$7:$B$207,0),MATCH(R$8,'Actual-ACPLSZ'!$H$6:$T$6,0))</f>
        <v>0</v>
      </c>
      <c r="S181" s="749">
        <f>INDEX('Budget-ACPLSZ'!$K$7:$W$207,MATCH($B181,'Budget-ACPLSZ'!$B$7:$B$207,0),MATCH(S$8,'Budget-ACPLSZ'!$K$6:$W$6,0))</f>
        <v>0</v>
      </c>
      <c r="T181" s="749">
        <f t="shared" si="100"/>
        <v>0</v>
      </c>
      <c r="U181" s="748"/>
      <c r="W181" s="749">
        <f>INDEX('Actual-ACPLGZ'!$H$7:$T$207,MATCH($B181,'Actual-ACPLGZ'!$B$7:$B$207,0),MATCH(W$8,'Actual-ACPLGZ'!$H$6:$T$6,0))</f>
        <v>0</v>
      </c>
      <c r="X181" s="749">
        <f>INDEX('Budget-ACPLGZ'!$K$7:$W$207,MATCH($B181,'Budget-ACPLGZ'!$B$7:$B$207,0),MATCH(X$8,'Budget-ACPLGZ'!$K$6:$W$6,0))</f>
        <v>0</v>
      </c>
      <c r="Y181" s="749">
        <f t="shared" si="98"/>
        <v>0</v>
      </c>
      <c r="Z181" s="748"/>
      <c r="AB181" s="749">
        <f>INDEX('Actual-ACPLGZ'!$H$7:$T$207,MATCH($B181,'Actual-ACPLGZ'!$B$7:$B$207,0),MATCH(AB$8,'Actual-ACPLGZ'!$H$6:$T$6,0))</f>
        <v>0</v>
      </c>
      <c r="AC181" s="749">
        <f>INDEX('Budget-Yixing'!$K$7:$W$207,MATCH($B181,'Budget-Yixing'!$B$7:$B$207,0),MATCH(AC$8,'Budget-Yixing'!$K$6:$W$6,0))</f>
        <v>0</v>
      </c>
      <c r="AD181" s="749">
        <f t="shared" si="101"/>
        <v>0</v>
      </c>
      <c r="AE181" s="748"/>
      <c r="AG181" s="751">
        <f>SUM(INDEX('Actual-ACPL'!$H$7:$T$207,MATCH($B181,'Actual-ACPL'!$B$7:$B$207,0),MATCH('Actual-ACPL'!H$6,'Actual-ACPL'!$H$6:$T$6,0)):INDEX('Actual-ACPL'!$H$7:$T$207,MATCH($B181,'Actual-ACPL'!$B$7:$B$207,0),MATCH(AG$8,'Actual-ACPL'!$H$6:$T$6,0)))</f>
        <v>0</v>
      </c>
      <c r="AH181" s="749">
        <f>SUM(INDEX('Budget-ACPL'!$K$7:$W$207,MATCH($B181,'Budget-ACPL'!$B$7:$B$207,0),MATCH('Budget-ACPL'!K$6,'Budget-ACPL'!$K$6:$W$6,0)):INDEX('Budget-ACPL'!$K$7:$W$207,MATCH($B181,'Budget-ACPL'!$B$7:$B$207,0),MATCH(AH$8,'Budget-ACPL'!$K$6:$W$6,0)))</f>
        <v>0</v>
      </c>
      <c r="AI181" s="749">
        <f t="shared" si="105"/>
        <v>0</v>
      </c>
      <c r="AJ181" s="748"/>
      <c r="AL181" s="749">
        <f>SUM(INDEX('Actual-ACPLHK'!$H$7:$S$207,MATCH($B181,'Actual-ACPLHK'!$B$7:$B$207,0),MATCH('Actual-ACPLHK'!H$6,'Actual-ACPLHK'!$H$6:$T$6,0)):INDEX('Actual-ACPLHK'!$H$7:$S$207,MATCH($B181,'Actual-ACPLHK'!$B$7:$B$207,0),MATCH(AL$8,'Actual-ACPLHK'!$H$6:$T$6,0)))</f>
        <v>0</v>
      </c>
      <c r="AM181" s="749">
        <f>SUM(INDEX('Budget-ACPLHK'!$K$7:$W$207,MATCH($B181,'Budget-ACPLHK'!$B$7:$B$207,0),MATCH('Budget-ACPLHK'!K$6,'Budget-ACPLHK'!$K$6:$W$6,0)):INDEX('Budget-ACPLHK'!$K$7:$W$207,MATCH($B181,'Budget-ACPLHK'!$B$7:$B$207,0),MATCH(AM$8,'Budget-ACPLHK'!$K$6:$W$6,0)))</f>
        <v>0</v>
      </c>
      <c r="AN181" s="749">
        <f t="shared" si="102"/>
        <v>0</v>
      </c>
      <c r="AO181" s="748"/>
      <c r="AQ181" s="749">
        <f>SUM(INDEX('Actual-ACPSZL'!$H$7:$T$207,MATCH($B181,'Actual-ACPSZL'!$B$7:$B$207,0),MATCH('Actual-ACPSZL'!H$6,'Actual-ACPSZL'!$H$6:$T$6,0)):INDEX('Actual-ACPSZL'!$H$7:$T$207,MATCH($B181,'Actual-ACPSZL'!$B$7:$B$207,0),MATCH(AQ$8,'Actual-ACPSZL'!$H$6:$T$6,0)))</f>
        <v>0</v>
      </c>
      <c r="AR181" s="749">
        <f>SUM(INDEX('Budget-ACPSZL'!$K$7:$W$207,MATCH($B181,'Budget-ACPSZL'!$B$7:$B$207,0),MATCH('Budget-ACPSZL'!K$6,'Budget-ACPSZL'!$K$6:$W$6,0)):INDEX('Budget-ACPSZL'!$K$7:$W$207,MATCH($B181,'Budget-ACPSZL'!$B$7:$B$207,0),MATCH(AR$8,'Budget-ACPSZL'!$K$6:$W$6,0)))</f>
        <v>0</v>
      </c>
      <c r="AS181" s="749">
        <f t="shared" si="96"/>
        <v>0</v>
      </c>
      <c r="AT181" s="748"/>
      <c r="AV181" s="749">
        <f>SUM(INDEX('Actual-ACPLSZ'!$H$7:$T$207,MATCH($B181,'Actual-ACPLSZ'!$B$7:$B$207,0),MATCH('Actual-ACPLSZ'!H$6,'Actual-ACPLSZ'!$H$6:$T$6,0)):INDEX('Actual-ACPLSZ'!$H$7:$T$207,MATCH($B181,'Actual-ACPLSZ'!$B$7:$B$207,0),MATCH(AV$8,'Actual-ACPLSZ'!$H$6:$T$6,0)))</f>
        <v>0</v>
      </c>
      <c r="AW181" s="749">
        <f>SUM(INDEX('Budget-ACPLSZ'!$K$7:$W$207,MATCH($B181,'Budget-ACPLSZ'!$B$7:$B$207,0),MATCH('Budget-ACPLSZ'!K$6,'Budget-ACPLSZ'!$K$6:$W$6,0)):INDEX('Budget-ACPLSZ'!$K$7:$W$207,MATCH($B181,'Budget-ACPLSZ'!$B$7:$B$207,0),MATCH(AW$8,'Budget-ACPLSZ'!$K$6:$W$6,0)))</f>
        <v>0</v>
      </c>
      <c r="AX181" s="749">
        <f t="shared" si="99"/>
        <v>0</v>
      </c>
      <c r="AY181" s="748"/>
      <c r="BA181" s="749">
        <f>SUM(INDEX('Actual-ACPLGZ'!$H$7:$T$207,MATCH($B181,'Actual-ACPLGZ'!$B$7:$B$207,0),MATCH('Actual-ACPLGZ'!H$6,'Actual-ACPLGZ'!$H$6:$T$6,0)):INDEX('Actual-ACPLGZ'!$H$7:$T$207,MATCH($B181,'Actual-ACPLGZ'!$B$7:$B$207,0),MATCH(BA$8,'Actual-ACPLGZ'!$H$6:$T$6,0)))</f>
        <v>0</v>
      </c>
      <c r="BB181" s="749">
        <f>SUM(INDEX('Budget-ACPLGZ'!$K$7:$W$207,MATCH($B181,'Budget-ACPLGZ'!$B$7:$B$207,0),MATCH('Budget-ACPLGZ'!K$6,'Budget-ACPLGZ'!$K$6:$W$6,0)):INDEX('Budget-ACPLGZ'!$K$7:$W$207,MATCH($B181,'Budget-ACPLGZ'!$B$7:$B$207,0),MATCH(BB$8,'Budget-ACPLGZ'!$K$6:$W$6,0)))</f>
        <v>0</v>
      </c>
      <c r="BC181" s="749">
        <f t="shared" si="104"/>
        <v>0</v>
      </c>
      <c r="BD181" s="748"/>
      <c r="BF181" s="749">
        <f>SUM(INDEX('Actual-ACPLYixing'!$H$7:$T$207,MATCH($B181,'Actual-ACPLYixing'!$B$7:$B$207,0),MATCH('Actual-ACPLYixing'!H$6,'Actual-ACPLYixing'!$H$6:$T$6,0)):INDEX('Actual-ACPLYixing'!$H$7:$T$207,MATCH($B181,'Actual-ACPLYixing'!$B$7:$B$207,0),MATCH(BF$8,'Actual-ACPLYixing'!$H$6:$T$6,0)))</f>
        <v>0</v>
      </c>
      <c r="BG181" s="749">
        <f>SUM(INDEX('Budget-Yixing'!$K$7:$W$207,MATCH($B181,'Budget-Yixing'!$B$7:$B$207,0),MATCH('Budget-Yixing'!K$6,'Budget-Yixing'!$K$6:$W$6,0)):INDEX('Budget-Yixing'!$K$7:$W$207,MATCH($B181,'Budget-Yixing'!$B$7:$B$207,0),MATCH(BG$8,'Budget-Yixing'!$K$6:$W$6,0)))</f>
        <v>0</v>
      </c>
      <c r="BH181" s="749">
        <f t="shared" si="103"/>
        <v>0</v>
      </c>
      <c r="BI181" s="748"/>
    </row>
    <row r="182" spans="1:61" ht="16.5" customHeight="1">
      <c r="A182" s="653" t="str">
        <f>'Budget-合并'!A180</f>
        <v>6115.99</v>
      </c>
      <c r="B182" s="653" t="str">
        <f>'Budget-合并'!B180</f>
        <v>其他</v>
      </c>
      <c r="C182" s="746">
        <f>INDEX('Actual-ACPL'!$H$7:$T$207,MATCH($B182,'Actual-ACPL'!$B$7:$B$207,0),MATCH(C$8,'Actual-ACPL'!$H$6:$T$6,0))</f>
        <v>0</v>
      </c>
      <c r="D182" s="746">
        <f>INDEX('Budget-ACPL'!$K$7:$W$207,MATCH($B182,'Budget-ACPL'!$B$7:$B$207,0),MATCH(D$8,'Budget-ACPL'!$K$6:$W$6,0))</f>
        <v>0</v>
      </c>
      <c r="E182" s="746">
        <f t="shared" si="93"/>
        <v>0</v>
      </c>
      <c r="F182" s="752"/>
      <c r="H182" s="749">
        <f>INDEX('Actual-ACPLHK'!$H$7:$T$207,MATCH($B182,'Actual-ACPLHK'!$B$7:$B$207,0),MATCH(H$8,'Actual-ACPLHK'!$H$6:$T$6,0))</f>
        <v>0</v>
      </c>
      <c r="I182" s="749">
        <f>INDEX('Budget-ACPLHK'!$K$7:$W$207,MATCH($B182,'Budget-ACPLHK'!$B$7:$B$207,0),MATCH(I$8,'Budget-ACPLHK'!$K$6:$W$6,0))</f>
        <v>0</v>
      </c>
      <c r="J182" s="749">
        <f t="shared" si="95"/>
        <v>0</v>
      </c>
      <c r="K182" s="748"/>
      <c r="M182" s="749">
        <f>INDEX('Actual-ACPSZL'!$H$7:$T$207,MATCH($B182,'Actual-ACPSZL'!$B$7:$B$207,0),MATCH(M$8,'Actual-ACPSZL'!$H$6:$T$6,0))</f>
        <v>0</v>
      </c>
      <c r="N182" s="749">
        <f>INDEX('Budget-ACPSZL'!$K$7:$W$207,MATCH($B182,'Budget-ACPSZL'!$B$7:$B$207,0),MATCH(N$8,'Budget-ACPSZL'!$K$6:$W$6,0))</f>
        <v>0</v>
      </c>
      <c r="O182" s="749">
        <f t="shared" si="97"/>
        <v>0</v>
      </c>
      <c r="P182" s="748"/>
      <c r="R182" s="749">
        <f>INDEX('Actual-ACPLSZ'!$H$7:$T$207,MATCH($B182,'Actual-ACPLSZ'!$B$7:$B$207,0),MATCH(R$8,'Actual-ACPLSZ'!$H$6:$T$6,0))</f>
        <v>0</v>
      </c>
      <c r="S182" s="749">
        <f>INDEX('Budget-ACPLSZ'!$K$7:$W$207,MATCH($B182,'Budget-ACPLSZ'!$B$7:$B$207,0),MATCH(S$8,'Budget-ACPLSZ'!$K$6:$W$6,0))</f>
        <v>0</v>
      </c>
      <c r="T182" s="749">
        <f t="shared" si="100"/>
        <v>0</v>
      </c>
      <c r="U182" s="748"/>
      <c r="W182" s="749">
        <f>INDEX('Actual-ACPLGZ'!$H$7:$T$207,MATCH($B182,'Actual-ACPLGZ'!$B$7:$B$207,0),MATCH(W$8,'Actual-ACPLGZ'!$H$6:$T$6,0))</f>
        <v>0</v>
      </c>
      <c r="X182" s="749">
        <f>INDEX('Budget-ACPLGZ'!$K$7:$W$207,MATCH($B182,'Budget-ACPLGZ'!$B$7:$B$207,0),MATCH(X$8,'Budget-ACPLGZ'!$K$6:$W$6,0))</f>
        <v>0</v>
      </c>
      <c r="Y182" s="749">
        <f t="shared" si="98"/>
        <v>0</v>
      </c>
      <c r="Z182" s="748"/>
      <c r="AB182" s="749">
        <f>INDEX('Actual-ACPLGZ'!$H$7:$T$207,MATCH($B182,'Actual-ACPLGZ'!$B$7:$B$207,0),MATCH(AB$8,'Actual-ACPLGZ'!$H$6:$T$6,0))</f>
        <v>0</v>
      </c>
      <c r="AC182" s="749">
        <f>INDEX('Budget-Yixing'!$K$7:$W$207,MATCH($B182,'Budget-Yixing'!$B$7:$B$207,0),MATCH(AC$8,'Budget-Yixing'!$K$6:$W$6,0))</f>
        <v>0</v>
      </c>
      <c r="AD182" s="749">
        <f t="shared" si="101"/>
        <v>0</v>
      </c>
      <c r="AE182" s="748"/>
      <c r="AG182" s="751">
        <f>SUM(INDEX('Actual-ACPL'!$H$7:$T$207,MATCH($B182,'Actual-ACPL'!$B$7:$B$207,0),MATCH('Actual-ACPL'!H$6,'Actual-ACPL'!$H$6:$T$6,0)):INDEX('Actual-ACPL'!$H$7:$T$207,MATCH($B182,'Actual-ACPL'!$B$7:$B$207,0),MATCH(AG$8,'Actual-ACPL'!$H$6:$T$6,0)))</f>
        <v>0</v>
      </c>
      <c r="AH182" s="749">
        <f>SUM(INDEX('Budget-ACPL'!$K$7:$W$207,MATCH($B182,'Budget-ACPL'!$B$7:$B$207,0),MATCH('Budget-ACPL'!K$6,'Budget-ACPL'!$K$6:$W$6,0)):INDEX('Budget-ACPL'!$K$7:$W$207,MATCH($B182,'Budget-ACPL'!$B$7:$B$207,0),MATCH(AH$8,'Budget-ACPL'!$K$6:$W$6,0)))</f>
        <v>0</v>
      </c>
      <c r="AI182" s="749">
        <f t="shared" si="105"/>
        <v>0</v>
      </c>
      <c r="AJ182" s="748"/>
      <c r="AL182" s="749">
        <f>SUM(INDEX('Actual-ACPLHK'!$H$7:$S$207,MATCH($B182,'Actual-ACPLHK'!$B$7:$B$207,0),MATCH('Actual-ACPLHK'!H$6,'Actual-ACPLHK'!$H$6:$T$6,0)):INDEX('Actual-ACPLHK'!$H$7:$S$207,MATCH($B182,'Actual-ACPLHK'!$B$7:$B$207,0),MATCH(AL$8,'Actual-ACPLHK'!$H$6:$T$6,0)))</f>
        <v>0</v>
      </c>
      <c r="AM182" s="749">
        <f>SUM(INDEX('Budget-ACPLHK'!$K$7:$W$207,MATCH($B182,'Budget-ACPLHK'!$B$7:$B$207,0),MATCH('Budget-ACPLHK'!K$6,'Budget-ACPLHK'!$K$6:$W$6,0)):INDEX('Budget-ACPLHK'!$K$7:$W$207,MATCH($B182,'Budget-ACPLHK'!$B$7:$B$207,0),MATCH(AM$8,'Budget-ACPLHK'!$K$6:$W$6,0)))</f>
        <v>0</v>
      </c>
      <c r="AN182" s="749">
        <f t="shared" si="102"/>
        <v>0</v>
      </c>
      <c r="AO182" s="748"/>
      <c r="AQ182" s="749">
        <f>SUM(INDEX('Actual-ACPSZL'!$H$7:$T$207,MATCH($B182,'Actual-ACPSZL'!$B$7:$B$207,0),MATCH('Actual-ACPSZL'!H$6,'Actual-ACPSZL'!$H$6:$T$6,0)):INDEX('Actual-ACPSZL'!$H$7:$T$207,MATCH($B182,'Actual-ACPSZL'!$B$7:$B$207,0),MATCH(AQ$8,'Actual-ACPSZL'!$H$6:$T$6,0)))</f>
        <v>0</v>
      </c>
      <c r="AR182" s="749">
        <f>SUM(INDEX('Budget-ACPSZL'!$K$7:$W$207,MATCH($B182,'Budget-ACPSZL'!$B$7:$B$207,0),MATCH('Budget-ACPSZL'!K$6,'Budget-ACPSZL'!$K$6:$W$6,0)):INDEX('Budget-ACPSZL'!$K$7:$W$207,MATCH($B182,'Budget-ACPSZL'!$B$7:$B$207,0),MATCH(AR$8,'Budget-ACPSZL'!$K$6:$W$6,0)))</f>
        <v>0</v>
      </c>
      <c r="AS182" s="749">
        <f t="shared" si="96"/>
        <v>0</v>
      </c>
      <c r="AT182" s="748"/>
      <c r="AV182" s="749">
        <f>SUM(INDEX('Actual-ACPLSZ'!$H$7:$T$207,MATCH($B182,'Actual-ACPLSZ'!$B$7:$B$207,0),MATCH('Actual-ACPLSZ'!H$6,'Actual-ACPLSZ'!$H$6:$T$6,0)):INDEX('Actual-ACPLSZ'!$H$7:$T$207,MATCH($B182,'Actual-ACPLSZ'!$B$7:$B$207,0),MATCH(AV$8,'Actual-ACPLSZ'!$H$6:$T$6,0)))</f>
        <v>0</v>
      </c>
      <c r="AW182" s="749">
        <f>SUM(INDEX('Budget-ACPLSZ'!$K$7:$W$207,MATCH($B182,'Budget-ACPLSZ'!$B$7:$B$207,0),MATCH('Budget-ACPLSZ'!K$6,'Budget-ACPLSZ'!$K$6:$W$6,0)):INDEX('Budget-ACPLSZ'!$K$7:$W$207,MATCH($B182,'Budget-ACPLSZ'!$B$7:$B$207,0),MATCH(AW$8,'Budget-ACPLSZ'!$K$6:$W$6,0)))</f>
        <v>0</v>
      </c>
      <c r="AX182" s="749">
        <f t="shared" si="99"/>
        <v>0</v>
      </c>
      <c r="AY182" s="748"/>
      <c r="BA182" s="749">
        <f>SUM(INDEX('Actual-ACPLGZ'!$H$7:$T$207,MATCH($B182,'Actual-ACPLGZ'!$B$7:$B$207,0),MATCH('Actual-ACPLGZ'!H$6,'Actual-ACPLGZ'!$H$6:$T$6,0)):INDEX('Actual-ACPLGZ'!$H$7:$T$207,MATCH($B182,'Actual-ACPLGZ'!$B$7:$B$207,0),MATCH(BA$8,'Actual-ACPLGZ'!$H$6:$T$6,0)))</f>
        <v>0</v>
      </c>
      <c r="BB182" s="749">
        <f>SUM(INDEX('Budget-ACPLGZ'!$K$7:$W$207,MATCH($B182,'Budget-ACPLGZ'!$B$7:$B$207,0),MATCH('Budget-ACPLGZ'!K$6,'Budget-ACPLGZ'!$K$6:$W$6,0)):INDEX('Budget-ACPLGZ'!$K$7:$W$207,MATCH($B182,'Budget-ACPLGZ'!$B$7:$B$207,0),MATCH(BB$8,'Budget-ACPLGZ'!$K$6:$W$6,0)))</f>
        <v>0</v>
      </c>
      <c r="BC182" s="749">
        <f t="shared" si="104"/>
        <v>0</v>
      </c>
      <c r="BD182" s="748"/>
      <c r="BF182" s="749">
        <f>SUM(INDEX('Actual-ACPLYixing'!$H$7:$T$207,MATCH($B182,'Actual-ACPLYixing'!$B$7:$B$207,0),MATCH('Actual-ACPLYixing'!H$6,'Actual-ACPLYixing'!$H$6:$T$6,0)):INDEX('Actual-ACPLYixing'!$H$7:$T$207,MATCH($B182,'Actual-ACPLYixing'!$B$7:$B$207,0),MATCH(BF$8,'Actual-ACPLYixing'!$H$6:$T$6,0)))</f>
        <v>0</v>
      </c>
      <c r="BG182" s="749">
        <f>SUM(INDEX('Budget-Yixing'!$K$7:$W$207,MATCH($B182,'Budget-Yixing'!$B$7:$B$207,0),MATCH('Budget-Yixing'!K$6,'Budget-Yixing'!$K$6:$W$6,0)):INDEX('Budget-Yixing'!$K$7:$W$207,MATCH($B182,'Budget-Yixing'!$B$7:$B$207,0),MATCH(BG$8,'Budget-Yixing'!$K$6:$W$6,0)))</f>
        <v>0</v>
      </c>
      <c r="BH182" s="749">
        <f t="shared" si="103"/>
        <v>0</v>
      </c>
      <c r="BI182" s="748"/>
    </row>
    <row r="183" spans="1:61" ht="16.5" customHeight="1">
      <c r="A183" s="653" t="str">
        <f>'Budget-合并'!A181</f>
        <v>6117</v>
      </c>
      <c r="B183" s="653" t="str">
        <f>'Budget-合并'!B181</f>
        <v>资产处置损益</v>
      </c>
      <c r="C183" s="746">
        <f>INDEX('Actual-ACPL'!$H$7:$T$207,MATCH($B183,'Actual-ACPL'!$B$7:$B$207,0),MATCH(C$8,'Actual-ACPL'!$H$6:$T$6,0))</f>
        <v>0</v>
      </c>
      <c r="D183" s="746">
        <f>INDEX('Budget-ACPL'!$K$7:$W$207,MATCH($B183,'Budget-ACPL'!$B$7:$B$207,0),MATCH(D$8,'Budget-ACPL'!$K$6:$W$6,0))</f>
        <v>0</v>
      </c>
      <c r="E183" s="746">
        <f t="shared" si="93"/>
        <v>0</v>
      </c>
      <c r="F183" s="752"/>
      <c r="H183" s="749">
        <f>INDEX('Actual-ACPLHK'!$H$7:$T$207,MATCH($B183,'Actual-ACPLHK'!$B$7:$B$207,0),MATCH(H$8,'Actual-ACPLHK'!$H$6:$T$6,0))</f>
        <v>0</v>
      </c>
      <c r="I183" s="749">
        <f>INDEX('Budget-ACPLHK'!$K$7:$W$207,MATCH($B183,'Budget-ACPLHK'!$B$7:$B$207,0),MATCH(I$8,'Budget-ACPLHK'!$K$6:$W$6,0))</f>
        <v>0</v>
      </c>
      <c r="J183" s="749">
        <f t="shared" si="95"/>
        <v>0</v>
      </c>
      <c r="K183" s="748"/>
      <c r="M183" s="749">
        <f>INDEX('Actual-ACPSZL'!$H$7:$T$207,MATCH($B183,'Actual-ACPSZL'!$B$7:$B$207,0),MATCH(M$8,'Actual-ACPSZL'!$H$6:$T$6,0))</f>
        <v>0</v>
      </c>
      <c r="N183" s="749">
        <f>INDEX('Budget-ACPSZL'!$K$7:$W$207,MATCH($B183,'Budget-ACPSZL'!$B$7:$B$207,0),MATCH(N$8,'Budget-ACPSZL'!$K$6:$W$6,0))</f>
        <v>0</v>
      </c>
      <c r="O183" s="749">
        <f t="shared" si="97"/>
        <v>0</v>
      </c>
      <c r="P183" s="748"/>
      <c r="R183" s="749">
        <f>INDEX('Actual-ACPLSZ'!$H$7:$T$207,MATCH($B183,'Actual-ACPLSZ'!$B$7:$B$207,0),MATCH(R$8,'Actual-ACPLSZ'!$H$6:$T$6,0))</f>
        <v>0</v>
      </c>
      <c r="S183" s="749">
        <f>INDEX('Budget-ACPLSZ'!$K$7:$W$207,MATCH($B183,'Budget-ACPLSZ'!$B$7:$B$207,0),MATCH(S$8,'Budget-ACPLSZ'!$K$6:$W$6,0))</f>
        <v>0</v>
      </c>
      <c r="T183" s="749">
        <f t="shared" si="100"/>
        <v>0</v>
      </c>
      <c r="U183" s="748"/>
      <c r="W183" s="749">
        <f>INDEX('Actual-ACPLGZ'!$H$7:$T$207,MATCH($B183,'Actual-ACPLGZ'!$B$7:$B$207,0),MATCH(W$8,'Actual-ACPLGZ'!$H$6:$T$6,0))</f>
        <v>0</v>
      </c>
      <c r="X183" s="749">
        <f>INDEX('Budget-ACPLGZ'!$K$7:$W$207,MATCH($B183,'Budget-ACPLGZ'!$B$7:$B$207,0),MATCH(X$8,'Budget-ACPLGZ'!$K$6:$W$6,0))</f>
        <v>0</v>
      </c>
      <c r="Y183" s="749">
        <f t="shared" si="98"/>
        <v>0</v>
      </c>
      <c r="Z183" s="748"/>
      <c r="AB183" s="749">
        <f>INDEX('Actual-ACPLGZ'!$H$7:$T$207,MATCH($B183,'Actual-ACPLGZ'!$B$7:$B$207,0),MATCH(AB$8,'Actual-ACPLGZ'!$H$6:$T$6,0))</f>
        <v>0</v>
      </c>
      <c r="AC183" s="749">
        <f>INDEX('Budget-Yixing'!$K$7:$W$207,MATCH($B183,'Budget-Yixing'!$B$7:$B$207,0),MATCH(AC$8,'Budget-Yixing'!$K$6:$W$6,0))</f>
        <v>0</v>
      </c>
      <c r="AD183" s="749">
        <f t="shared" si="101"/>
        <v>0</v>
      </c>
      <c r="AE183" s="748"/>
      <c r="AG183" s="751">
        <f>SUM(INDEX('Actual-ACPL'!$H$7:$T$207,MATCH($B183,'Actual-ACPL'!$B$7:$B$207,0),MATCH('Actual-ACPL'!H$6,'Actual-ACPL'!$H$6:$T$6,0)):INDEX('Actual-ACPL'!$H$7:$T$207,MATCH($B183,'Actual-ACPL'!$B$7:$B$207,0),MATCH(AG$8,'Actual-ACPL'!$H$6:$T$6,0)))</f>
        <v>0</v>
      </c>
      <c r="AH183" s="749">
        <f>SUM(INDEX('Budget-ACPL'!$K$7:$W$207,MATCH($B183,'Budget-ACPL'!$B$7:$B$207,0),MATCH('Budget-ACPL'!K$6,'Budget-ACPL'!$K$6:$W$6,0)):INDEX('Budget-ACPL'!$K$7:$W$207,MATCH($B183,'Budget-ACPL'!$B$7:$B$207,0),MATCH(AH$8,'Budget-ACPL'!$K$6:$W$6,0)))</f>
        <v>0</v>
      </c>
      <c r="AI183" s="749">
        <f t="shared" si="105"/>
        <v>0</v>
      </c>
      <c r="AJ183" s="748"/>
      <c r="AL183" s="749">
        <f>SUM(INDEX('Actual-ACPLHK'!$H$7:$S$207,MATCH($B183,'Actual-ACPLHK'!$B$7:$B$207,0),MATCH('Actual-ACPLHK'!H$6,'Actual-ACPLHK'!$H$6:$T$6,0)):INDEX('Actual-ACPLHK'!$H$7:$S$207,MATCH($B183,'Actual-ACPLHK'!$B$7:$B$207,0),MATCH(AL$8,'Actual-ACPLHK'!$H$6:$T$6,0)))</f>
        <v>0</v>
      </c>
      <c r="AM183" s="749">
        <f>SUM(INDEX('Budget-ACPLHK'!$K$7:$W$207,MATCH($B183,'Budget-ACPLHK'!$B$7:$B$207,0),MATCH('Budget-ACPLHK'!K$6,'Budget-ACPLHK'!$K$6:$W$6,0)):INDEX('Budget-ACPLHK'!$K$7:$W$207,MATCH($B183,'Budget-ACPLHK'!$B$7:$B$207,0),MATCH(AM$8,'Budget-ACPLHK'!$K$6:$W$6,0)))</f>
        <v>0</v>
      </c>
      <c r="AN183" s="749">
        <f t="shared" si="102"/>
        <v>0</v>
      </c>
      <c r="AO183" s="748"/>
      <c r="AQ183" s="749">
        <f>SUM(INDEX('Actual-ACPSZL'!$H$7:$T$207,MATCH($B183,'Actual-ACPSZL'!$B$7:$B$207,0),MATCH('Actual-ACPSZL'!H$6,'Actual-ACPSZL'!$H$6:$T$6,0)):INDEX('Actual-ACPSZL'!$H$7:$T$207,MATCH($B183,'Actual-ACPSZL'!$B$7:$B$207,0),MATCH(AQ$8,'Actual-ACPSZL'!$H$6:$T$6,0)))</f>
        <v>0</v>
      </c>
      <c r="AR183" s="749">
        <f>SUM(INDEX('Budget-ACPSZL'!$K$7:$W$207,MATCH($B183,'Budget-ACPSZL'!$B$7:$B$207,0),MATCH('Budget-ACPSZL'!K$6,'Budget-ACPSZL'!$K$6:$W$6,0)):INDEX('Budget-ACPSZL'!$K$7:$W$207,MATCH($B183,'Budget-ACPSZL'!$B$7:$B$207,0),MATCH(AR$8,'Budget-ACPSZL'!$K$6:$W$6,0)))</f>
        <v>0</v>
      </c>
      <c r="AS183" s="749">
        <f t="shared" si="96"/>
        <v>0</v>
      </c>
      <c r="AT183" s="748"/>
      <c r="AV183" s="749">
        <f>SUM(INDEX('Actual-ACPLSZ'!$H$7:$T$207,MATCH($B183,'Actual-ACPLSZ'!$B$7:$B$207,0),MATCH('Actual-ACPLSZ'!H$6,'Actual-ACPLSZ'!$H$6:$T$6,0)):INDEX('Actual-ACPLSZ'!$H$7:$T$207,MATCH($B183,'Actual-ACPLSZ'!$B$7:$B$207,0),MATCH(AV$8,'Actual-ACPLSZ'!$H$6:$T$6,0)))</f>
        <v>0</v>
      </c>
      <c r="AW183" s="749">
        <f>SUM(INDEX('Budget-ACPLSZ'!$K$7:$W$207,MATCH($B183,'Budget-ACPLSZ'!$B$7:$B$207,0),MATCH('Budget-ACPLSZ'!K$6,'Budget-ACPLSZ'!$K$6:$W$6,0)):INDEX('Budget-ACPLSZ'!$K$7:$W$207,MATCH($B183,'Budget-ACPLSZ'!$B$7:$B$207,0),MATCH(AW$8,'Budget-ACPLSZ'!$K$6:$W$6,0)))</f>
        <v>0</v>
      </c>
      <c r="AX183" s="749">
        <f t="shared" si="99"/>
        <v>0</v>
      </c>
      <c r="AY183" s="748"/>
      <c r="BA183" s="749">
        <f>SUM(INDEX('Actual-ACPLGZ'!$H$7:$T$207,MATCH($B183,'Actual-ACPLGZ'!$B$7:$B$207,0),MATCH('Actual-ACPLGZ'!H$6,'Actual-ACPLGZ'!$H$6:$T$6,0)):INDEX('Actual-ACPLGZ'!$H$7:$T$207,MATCH($B183,'Actual-ACPLGZ'!$B$7:$B$207,0),MATCH(BA$8,'Actual-ACPLGZ'!$H$6:$T$6,0)))</f>
        <v>0</v>
      </c>
      <c r="BB183" s="749">
        <f>SUM(INDEX('Budget-ACPLGZ'!$K$7:$W$207,MATCH($B183,'Budget-ACPLGZ'!$B$7:$B$207,0),MATCH('Budget-ACPLGZ'!K$6,'Budget-ACPLGZ'!$K$6:$W$6,0)):INDEX('Budget-ACPLGZ'!$K$7:$W$207,MATCH($B183,'Budget-ACPLGZ'!$B$7:$B$207,0),MATCH(BB$8,'Budget-ACPLGZ'!$K$6:$W$6,0)))</f>
        <v>0</v>
      </c>
      <c r="BC183" s="749">
        <f t="shared" si="104"/>
        <v>0</v>
      </c>
      <c r="BD183" s="748"/>
      <c r="BF183" s="749">
        <f>SUM(INDEX('Actual-ACPLYixing'!$H$7:$T$207,MATCH($B183,'Actual-ACPLYixing'!$B$7:$B$207,0),MATCH('Actual-ACPLYixing'!H$6,'Actual-ACPLYixing'!$H$6:$T$6,0)):INDEX('Actual-ACPLYixing'!$H$7:$T$207,MATCH($B183,'Actual-ACPLYixing'!$B$7:$B$207,0),MATCH(BF$8,'Actual-ACPLYixing'!$H$6:$T$6,0)))</f>
        <v>0</v>
      </c>
      <c r="BG183" s="749">
        <f>SUM(INDEX('Budget-Yixing'!$K$7:$W$207,MATCH($B183,'Budget-Yixing'!$B$7:$B$207,0),MATCH('Budget-Yixing'!K$6,'Budget-Yixing'!$K$6:$W$6,0)):INDEX('Budget-Yixing'!$K$7:$W$207,MATCH($B183,'Budget-Yixing'!$B$7:$B$207,0),MATCH(BG$8,'Budget-Yixing'!$K$6:$W$6,0)))</f>
        <v>0</v>
      </c>
      <c r="BH183" s="749">
        <f t="shared" si="103"/>
        <v>0</v>
      </c>
      <c r="BI183" s="748"/>
    </row>
    <row r="184" spans="1:61" ht="16.5" customHeight="1">
      <c r="A184" s="653" t="str">
        <f>'Budget-合并'!A182</f>
        <v>6118</v>
      </c>
      <c r="B184" s="653" t="str">
        <f>'Budget-合并'!B182</f>
        <v>净敞口套期损益</v>
      </c>
      <c r="C184" s="746">
        <f>INDEX('Actual-ACPL'!$H$7:$T$207,MATCH($B184,'Actual-ACPL'!$B$7:$B$207,0),MATCH(C$8,'Actual-ACPL'!$H$6:$T$6,0))</f>
        <v>0</v>
      </c>
      <c r="D184" s="746">
        <f>INDEX('Budget-ACPL'!$K$7:$W$207,MATCH($B184,'Budget-ACPL'!$B$7:$B$207,0),MATCH(D$8,'Budget-ACPL'!$K$6:$W$6,0))</f>
        <v>0</v>
      </c>
      <c r="E184" s="746">
        <f t="shared" si="93"/>
        <v>0</v>
      </c>
      <c r="F184" s="752"/>
      <c r="H184" s="749">
        <f>INDEX('Actual-ACPLHK'!$H$7:$T$207,MATCH($B184,'Actual-ACPLHK'!$B$7:$B$207,0),MATCH(H$8,'Actual-ACPLHK'!$H$6:$T$6,0))</f>
        <v>0</v>
      </c>
      <c r="I184" s="749">
        <f>INDEX('Budget-ACPLHK'!$K$7:$W$207,MATCH($B184,'Budget-ACPLHK'!$B$7:$B$207,0),MATCH(I$8,'Budget-ACPLHK'!$K$6:$W$6,0))</f>
        <v>0</v>
      </c>
      <c r="J184" s="749">
        <f t="shared" si="95"/>
        <v>0</v>
      </c>
      <c r="K184" s="748"/>
      <c r="M184" s="749">
        <f>INDEX('Actual-ACPSZL'!$H$7:$T$207,MATCH($B184,'Actual-ACPSZL'!$B$7:$B$207,0),MATCH(M$8,'Actual-ACPSZL'!$H$6:$T$6,0))</f>
        <v>0</v>
      </c>
      <c r="N184" s="749">
        <f>INDEX('Budget-ACPSZL'!$K$7:$W$207,MATCH($B184,'Budget-ACPSZL'!$B$7:$B$207,0),MATCH(N$8,'Budget-ACPSZL'!$K$6:$W$6,0))</f>
        <v>0</v>
      </c>
      <c r="O184" s="749">
        <f t="shared" si="97"/>
        <v>0</v>
      </c>
      <c r="P184" s="748"/>
      <c r="R184" s="749">
        <f>INDEX('Actual-ACPLSZ'!$H$7:$T$207,MATCH($B184,'Actual-ACPLSZ'!$B$7:$B$207,0),MATCH(R$8,'Actual-ACPLSZ'!$H$6:$T$6,0))</f>
        <v>0</v>
      </c>
      <c r="S184" s="749">
        <f>INDEX('Budget-ACPLSZ'!$K$7:$W$207,MATCH($B184,'Budget-ACPLSZ'!$B$7:$B$207,0),MATCH(S$8,'Budget-ACPLSZ'!$K$6:$W$6,0))</f>
        <v>0</v>
      </c>
      <c r="T184" s="749">
        <f t="shared" si="100"/>
        <v>0</v>
      </c>
      <c r="U184" s="748"/>
      <c r="W184" s="749">
        <f>INDEX('Actual-ACPLGZ'!$H$7:$T$207,MATCH($B184,'Actual-ACPLGZ'!$B$7:$B$207,0),MATCH(W$8,'Actual-ACPLGZ'!$H$6:$T$6,0))</f>
        <v>0</v>
      </c>
      <c r="X184" s="749">
        <f>INDEX('Budget-ACPLGZ'!$K$7:$W$207,MATCH($B184,'Budget-ACPLGZ'!$B$7:$B$207,0),MATCH(X$8,'Budget-ACPLGZ'!$K$6:$W$6,0))</f>
        <v>0</v>
      </c>
      <c r="Y184" s="749">
        <f t="shared" si="98"/>
        <v>0</v>
      </c>
      <c r="Z184" s="748"/>
      <c r="AB184" s="749">
        <f>INDEX('Actual-ACPLGZ'!$H$7:$T$207,MATCH($B184,'Actual-ACPLGZ'!$B$7:$B$207,0),MATCH(AB$8,'Actual-ACPLGZ'!$H$6:$T$6,0))</f>
        <v>0</v>
      </c>
      <c r="AC184" s="749">
        <f>INDEX('Budget-Yixing'!$K$7:$W$207,MATCH($B184,'Budget-Yixing'!$B$7:$B$207,0),MATCH(AC$8,'Budget-Yixing'!$K$6:$W$6,0))</f>
        <v>0</v>
      </c>
      <c r="AD184" s="749">
        <f t="shared" si="101"/>
        <v>0</v>
      </c>
      <c r="AE184" s="748"/>
      <c r="AG184" s="751">
        <f>SUM(INDEX('Actual-ACPL'!$H$7:$T$207,MATCH($B184,'Actual-ACPL'!$B$7:$B$207,0),MATCH('Actual-ACPL'!H$6,'Actual-ACPL'!$H$6:$T$6,0)):INDEX('Actual-ACPL'!$H$7:$T$207,MATCH($B184,'Actual-ACPL'!$B$7:$B$207,0),MATCH(AG$8,'Actual-ACPL'!$H$6:$T$6,0)))</f>
        <v>0</v>
      </c>
      <c r="AH184" s="749">
        <f>SUM(INDEX('Budget-ACPL'!$K$7:$W$207,MATCH($B184,'Budget-ACPL'!$B$7:$B$207,0),MATCH('Budget-ACPL'!K$6,'Budget-ACPL'!$K$6:$W$6,0)):INDEX('Budget-ACPL'!$K$7:$W$207,MATCH($B184,'Budget-ACPL'!$B$7:$B$207,0),MATCH(AH$8,'Budget-ACPL'!$K$6:$W$6,0)))</f>
        <v>0</v>
      </c>
      <c r="AI184" s="749">
        <f t="shared" si="105"/>
        <v>0</v>
      </c>
      <c r="AJ184" s="748"/>
      <c r="AL184" s="749">
        <f>SUM(INDEX('Actual-ACPLHK'!$H$7:$S$207,MATCH($B184,'Actual-ACPLHK'!$B$7:$B$207,0),MATCH('Actual-ACPLHK'!H$6,'Actual-ACPLHK'!$H$6:$T$6,0)):INDEX('Actual-ACPLHK'!$H$7:$S$207,MATCH($B184,'Actual-ACPLHK'!$B$7:$B$207,0),MATCH(AL$8,'Actual-ACPLHK'!$H$6:$T$6,0)))</f>
        <v>0</v>
      </c>
      <c r="AM184" s="749">
        <f>SUM(INDEX('Budget-ACPLHK'!$K$7:$W$207,MATCH($B184,'Budget-ACPLHK'!$B$7:$B$207,0),MATCH('Budget-ACPLHK'!K$6,'Budget-ACPLHK'!$K$6:$W$6,0)):INDEX('Budget-ACPLHK'!$K$7:$W$207,MATCH($B184,'Budget-ACPLHK'!$B$7:$B$207,0),MATCH(AM$8,'Budget-ACPLHK'!$K$6:$W$6,0)))</f>
        <v>0</v>
      </c>
      <c r="AN184" s="749">
        <f t="shared" si="102"/>
        <v>0</v>
      </c>
      <c r="AO184" s="748"/>
      <c r="AQ184" s="749">
        <f>SUM(INDEX('Actual-ACPSZL'!$H$7:$T$207,MATCH($B184,'Actual-ACPSZL'!$B$7:$B$207,0),MATCH('Actual-ACPSZL'!H$6,'Actual-ACPSZL'!$H$6:$T$6,0)):INDEX('Actual-ACPSZL'!$H$7:$T$207,MATCH($B184,'Actual-ACPSZL'!$B$7:$B$207,0),MATCH(AQ$8,'Actual-ACPSZL'!$H$6:$T$6,0)))</f>
        <v>0</v>
      </c>
      <c r="AR184" s="749">
        <f>SUM(INDEX('Budget-ACPSZL'!$K$7:$W$207,MATCH($B184,'Budget-ACPSZL'!$B$7:$B$207,0),MATCH('Budget-ACPSZL'!K$6,'Budget-ACPSZL'!$K$6:$W$6,0)):INDEX('Budget-ACPSZL'!$K$7:$W$207,MATCH($B184,'Budget-ACPSZL'!$B$7:$B$207,0),MATCH(AR$8,'Budget-ACPSZL'!$K$6:$W$6,0)))</f>
        <v>0</v>
      </c>
      <c r="AS184" s="749">
        <f t="shared" si="96"/>
        <v>0</v>
      </c>
      <c r="AT184" s="748"/>
      <c r="AV184" s="749">
        <f>SUM(INDEX('Actual-ACPLSZ'!$H$7:$T$207,MATCH($B184,'Actual-ACPLSZ'!$B$7:$B$207,0),MATCH('Actual-ACPLSZ'!H$6,'Actual-ACPLSZ'!$H$6:$T$6,0)):INDEX('Actual-ACPLSZ'!$H$7:$T$207,MATCH($B184,'Actual-ACPLSZ'!$B$7:$B$207,0),MATCH(AV$8,'Actual-ACPLSZ'!$H$6:$T$6,0)))</f>
        <v>0</v>
      </c>
      <c r="AW184" s="749">
        <f>SUM(INDEX('Budget-ACPLSZ'!$K$7:$W$207,MATCH($B184,'Budget-ACPLSZ'!$B$7:$B$207,0),MATCH('Budget-ACPLSZ'!K$6,'Budget-ACPLSZ'!$K$6:$W$6,0)):INDEX('Budget-ACPLSZ'!$K$7:$W$207,MATCH($B184,'Budget-ACPLSZ'!$B$7:$B$207,0),MATCH(AW$8,'Budget-ACPLSZ'!$K$6:$W$6,0)))</f>
        <v>0</v>
      </c>
      <c r="AX184" s="749">
        <f t="shared" si="99"/>
        <v>0</v>
      </c>
      <c r="AY184" s="748"/>
      <c r="BA184" s="749">
        <f>SUM(INDEX('Actual-ACPLGZ'!$H$7:$T$207,MATCH($B184,'Actual-ACPLGZ'!$B$7:$B$207,0),MATCH('Actual-ACPLGZ'!H$6,'Actual-ACPLGZ'!$H$6:$T$6,0)):INDEX('Actual-ACPLGZ'!$H$7:$T$207,MATCH($B184,'Actual-ACPLGZ'!$B$7:$B$207,0),MATCH(BA$8,'Actual-ACPLGZ'!$H$6:$T$6,0)))</f>
        <v>0</v>
      </c>
      <c r="BB184" s="749">
        <f>SUM(INDEX('Budget-ACPLGZ'!$K$7:$W$207,MATCH($B184,'Budget-ACPLGZ'!$B$7:$B$207,0),MATCH('Budget-ACPLGZ'!K$6,'Budget-ACPLGZ'!$K$6:$W$6,0)):INDEX('Budget-ACPLGZ'!$K$7:$W$207,MATCH($B184,'Budget-ACPLGZ'!$B$7:$B$207,0),MATCH(BB$8,'Budget-ACPLGZ'!$K$6:$W$6,0)))</f>
        <v>0</v>
      </c>
      <c r="BC184" s="749">
        <f t="shared" si="104"/>
        <v>0</v>
      </c>
      <c r="BD184" s="748"/>
      <c r="BF184" s="749">
        <f>SUM(INDEX('Actual-ACPLYixing'!$H$7:$T$207,MATCH($B184,'Actual-ACPLYixing'!$B$7:$B$207,0),MATCH('Actual-ACPLYixing'!H$6,'Actual-ACPLYixing'!$H$6:$T$6,0)):INDEX('Actual-ACPLYixing'!$H$7:$T$207,MATCH($B184,'Actual-ACPLYixing'!$B$7:$B$207,0),MATCH(BF$8,'Actual-ACPLYixing'!$H$6:$T$6,0)))</f>
        <v>0</v>
      </c>
      <c r="BG184" s="749">
        <f>SUM(INDEX('Budget-Yixing'!$K$7:$W$207,MATCH($B184,'Budget-Yixing'!$B$7:$B$207,0),MATCH('Budget-Yixing'!K$6,'Budget-Yixing'!$K$6:$W$6,0)):INDEX('Budget-Yixing'!$K$7:$W$207,MATCH($B184,'Budget-Yixing'!$B$7:$B$207,0),MATCH(BG$8,'Budget-Yixing'!$K$6:$W$6,0)))</f>
        <v>0</v>
      </c>
      <c r="BH184" s="749">
        <f t="shared" si="103"/>
        <v>0</v>
      </c>
      <c r="BI184" s="748"/>
    </row>
    <row r="185" spans="1:61" ht="16.5" customHeight="1">
      <c r="A185" s="653">
        <f>'Budget-合并'!A183</f>
        <v>0</v>
      </c>
      <c r="B185" s="653" t="str">
        <f>'Budget-合并'!B183</f>
        <v>其他收益合计</v>
      </c>
      <c r="C185" s="746">
        <f>INDEX('Actual-ACPL'!$H$7:$T$207,MATCH($B185,'Actual-ACPL'!$B$7:$B$207,0),MATCH(C$8,'Actual-ACPL'!$H$6:$T$6,0))</f>
        <v>0</v>
      </c>
      <c r="D185" s="746">
        <f>INDEX('Budget-ACPL'!$K$7:$W$207,MATCH($B185,'Budget-ACPL'!$B$7:$B$207,0),MATCH(D$8,'Budget-ACPL'!$K$6:$W$6,0))</f>
        <v>0</v>
      </c>
      <c r="E185" s="746">
        <f t="shared" si="93"/>
        <v>0</v>
      </c>
      <c r="F185" s="752"/>
      <c r="H185" s="749">
        <f>INDEX('Actual-ACPLHK'!$H$7:$T$207,MATCH($B185,'Actual-ACPLHK'!$B$7:$B$207,0),MATCH(H$8,'Actual-ACPLHK'!$H$6:$T$6,0))</f>
        <v>0</v>
      </c>
      <c r="I185" s="749">
        <f>INDEX('Budget-ACPLHK'!$K$7:$W$207,MATCH($B185,'Budget-ACPLHK'!$B$7:$B$207,0),MATCH(I$8,'Budget-ACPLHK'!$K$6:$W$6,0))</f>
        <v>0</v>
      </c>
      <c r="J185" s="749">
        <f t="shared" si="95"/>
        <v>0</v>
      </c>
      <c r="K185" s="748"/>
      <c r="M185" s="749">
        <f>INDEX('Actual-ACPSZL'!$H$7:$T$207,MATCH($B185,'Actual-ACPSZL'!$B$7:$B$207,0),MATCH(M$8,'Actual-ACPSZL'!$H$6:$T$6,0))</f>
        <v>0</v>
      </c>
      <c r="N185" s="749">
        <f>INDEX('Budget-ACPSZL'!$K$7:$W$207,MATCH($B185,'Budget-ACPSZL'!$B$7:$B$207,0),MATCH(N$8,'Budget-ACPSZL'!$K$6:$W$6,0))</f>
        <v>0</v>
      </c>
      <c r="O185" s="749">
        <f t="shared" si="97"/>
        <v>0</v>
      </c>
      <c r="P185" s="748"/>
      <c r="R185" s="749">
        <f>INDEX('Actual-ACPLSZ'!$H$7:$T$207,MATCH($B185,'Actual-ACPLSZ'!$B$7:$B$207,0),MATCH(R$8,'Actual-ACPLSZ'!$H$6:$T$6,0))</f>
        <v>0</v>
      </c>
      <c r="S185" s="749">
        <f>INDEX('Budget-ACPLSZ'!$K$7:$W$207,MATCH($B185,'Budget-ACPLSZ'!$B$7:$B$207,0),MATCH(S$8,'Budget-ACPLSZ'!$K$6:$W$6,0))</f>
        <v>0</v>
      </c>
      <c r="T185" s="749">
        <f t="shared" si="100"/>
        <v>0</v>
      </c>
      <c r="U185" s="748"/>
      <c r="W185" s="749">
        <f>INDEX('Actual-ACPLGZ'!$H$7:$T$207,MATCH($B185,'Actual-ACPLGZ'!$B$7:$B$207,0),MATCH(W$8,'Actual-ACPLGZ'!$H$6:$T$6,0))</f>
        <v>0</v>
      </c>
      <c r="X185" s="749">
        <f>INDEX('Budget-ACPLGZ'!$K$7:$W$207,MATCH($B185,'Budget-ACPLGZ'!$B$7:$B$207,0),MATCH(X$8,'Budget-ACPLGZ'!$K$6:$W$6,0))</f>
        <v>0</v>
      </c>
      <c r="Y185" s="749">
        <f t="shared" si="98"/>
        <v>0</v>
      </c>
      <c r="Z185" s="748"/>
      <c r="AB185" s="749">
        <f>INDEX('Actual-ACPLGZ'!$H$7:$T$207,MATCH($B185,'Actual-ACPLGZ'!$B$7:$B$207,0),MATCH(AB$8,'Actual-ACPLGZ'!$H$6:$T$6,0))</f>
        <v>0</v>
      </c>
      <c r="AC185" s="749">
        <f>INDEX('Budget-Yixing'!$K$7:$W$207,MATCH($B185,'Budget-Yixing'!$B$7:$B$207,0),MATCH(AC$8,'Budget-Yixing'!$K$6:$W$6,0))</f>
        <v>0</v>
      </c>
      <c r="AD185" s="749">
        <f t="shared" si="101"/>
        <v>0</v>
      </c>
      <c r="AE185" s="748"/>
      <c r="AG185" s="751">
        <f>SUM(INDEX('Actual-ACPL'!$H$7:$T$207,MATCH($B185,'Actual-ACPL'!$B$7:$B$207,0),MATCH('Actual-ACPL'!H$6,'Actual-ACPL'!$H$6:$T$6,0)):INDEX('Actual-ACPL'!$H$7:$T$207,MATCH($B185,'Actual-ACPL'!$B$7:$B$207,0),MATCH(AG$8,'Actual-ACPL'!$H$6:$T$6,0)))</f>
        <v>0</v>
      </c>
      <c r="AH185" s="749">
        <f>SUM(INDEX('Budget-ACPL'!$K$7:$W$207,MATCH($B185,'Budget-ACPL'!$B$7:$B$207,0),MATCH('Budget-ACPL'!K$6,'Budget-ACPL'!$K$6:$W$6,0)):INDEX('Budget-ACPL'!$K$7:$W$207,MATCH($B185,'Budget-ACPL'!$B$7:$B$207,0),MATCH(AH$8,'Budget-ACPL'!$K$6:$W$6,0)))</f>
        <v>0</v>
      </c>
      <c r="AI185" s="749">
        <f t="shared" si="105"/>
        <v>0</v>
      </c>
      <c r="AJ185" s="748"/>
      <c r="AL185" s="749">
        <f>SUM(INDEX('Actual-ACPLHK'!$H$7:$S$207,MATCH($B185,'Actual-ACPLHK'!$B$7:$B$207,0),MATCH('Actual-ACPLHK'!H$6,'Actual-ACPLHK'!$H$6:$T$6,0)):INDEX('Actual-ACPLHK'!$H$7:$S$207,MATCH($B185,'Actual-ACPLHK'!$B$7:$B$207,0),MATCH(AL$8,'Actual-ACPLHK'!$H$6:$T$6,0)))</f>
        <v>0</v>
      </c>
      <c r="AM185" s="749">
        <f>SUM(INDEX('Budget-ACPLHK'!$K$7:$W$207,MATCH($B185,'Budget-ACPLHK'!$B$7:$B$207,0),MATCH('Budget-ACPLHK'!K$6,'Budget-ACPLHK'!$K$6:$W$6,0)):INDEX('Budget-ACPLHK'!$K$7:$W$207,MATCH($B185,'Budget-ACPLHK'!$B$7:$B$207,0),MATCH(AM$8,'Budget-ACPLHK'!$K$6:$W$6,0)))</f>
        <v>0</v>
      </c>
      <c r="AN185" s="749">
        <f t="shared" si="102"/>
        <v>0</v>
      </c>
      <c r="AO185" s="748"/>
      <c r="AQ185" s="749">
        <f>SUM(INDEX('Actual-ACPSZL'!$H$7:$T$207,MATCH($B185,'Actual-ACPSZL'!$B$7:$B$207,0),MATCH('Actual-ACPSZL'!H$6,'Actual-ACPSZL'!$H$6:$T$6,0)):INDEX('Actual-ACPSZL'!$H$7:$T$207,MATCH($B185,'Actual-ACPSZL'!$B$7:$B$207,0),MATCH(AQ$8,'Actual-ACPSZL'!$H$6:$T$6,0)))</f>
        <v>0</v>
      </c>
      <c r="AR185" s="749">
        <f>SUM(INDEX('Budget-ACPSZL'!$K$7:$W$207,MATCH($B185,'Budget-ACPSZL'!$B$7:$B$207,0),MATCH('Budget-ACPSZL'!K$6,'Budget-ACPSZL'!$K$6:$W$6,0)):INDEX('Budget-ACPSZL'!$K$7:$W$207,MATCH($B185,'Budget-ACPSZL'!$B$7:$B$207,0),MATCH(AR$8,'Budget-ACPSZL'!$K$6:$W$6,0)))</f>
        <v>0</v>
      </c>
      <c r="AS185" s="749">
        <f t="shared" si="96"/>
        <v>0</v>
      </c>
      <c r="AT185" s="748"/>
      <c r="AV185" s="749">
        <f>SUM(INDEX('Actual-ACPLSZ'!$H$7:$T$207,MATCH($B185,'Actual-ACPLSZ'!$B$7:$B$207,0),MATCH('Actual-ACPLSZ'!H$6,'Actual-ACPLSZ'!$H$6:$T$6,0)):INDEX('Actual-ACPLSZ'!$H$7:$T$207,MATCH($B185,'Actual-ACPLSZ'!$B$7:$B$207,0),MATCH(AV$8,'Actual-ACPLSZ'!$H$6:$T$6,0)))</f>
        <v>0</v>
      </c>
      <c r="AW185" s="749">
        <f>SUM(INDEX('Budget-ACPLSZ'!$K$7:$W$207,MATCH($B185,'Budget-ACPLSZ'!$B$7:$B$207,0),MATCH('Budget-ACPLSZ'!K$6,'Budget-ACPLSZ'!$K$6:$W$6,0)):INDEX('Budget-ACPLSZ'!$K$7:$W$207,MATCH($B185,'Budget-ACPLSZ'!$B$7:$B$207,0),MATCH(AW$8,'Budget-ACPLSZ'!$K$6:$W$6,0)))</f>
        <v>0</v>
      </c>
      <c r="AX185" s="749">
        <f t="shared" si="99"/>
        <v>0</v>
      </c>
      <c r="AY185" s="748"/>
      <c r="BA185" s="749">
        <f>SUM(INDEX('Actual-ACPLGZ'!$H$7:$T$207,MATCH($B185,'Actual-ACPLGZ'!$B$7:$B$207,0),MATCH('Actual-ACPLGZ'!H$6,'Actual-ACPLGZ'!$H$6:$T$6,0)):INDEX('Actual-ACPLGZ'!$H$7:$T$207,MATCH($B185,'Actual-ACPLGZ'!$B$7:$B$207,0),MATCH(BA$8,'Actual-ACPLGZ'!$H$6:$T$6,0)))</f>
        <v>0</v>
      </c>
      <c r="BB185" s="749">
        <f>SUM(INDEX('Budget-ACPLGZ'!$K$7:$W$207,MATCH($B185,'Budget-ACPLGZ'!$B$7:$B$207,0),MATCH('Budget-ACPLGZ'!K$6,'Budget-ACPLGZ'!$K$6:$W$6,0)):INDEX('Budget-ACPLGZ'!$K$7:$W$207,MATCH($B185,'Budget-ACPLGZ'!$B$7:$B$207,0),MATCH(BB$8,'Budget-ACPLGZ'!$K$6:$W$6,0)))</f>
        <v>0</v>
      </c>
      <c r="BC185" s="749">
        <f t="shared" si="104"/>
        <v>0</v>
      </c>
      <c r="BD185" s="748"/>
      <c r="BF185" s="749">
        <f>SUM(INDEX('Actual-ACPLYixing'!$H$7:$T$207,MATCH($B185,'Actual-ACPLYixing'!$B$7:$B$207,0),MATCH('Actual-ACPLYixing'!H$6,'Actual-ACPLYixing'!$H$6:$T$6,0)):INDEX('Actual-ACPLYixing'!$H$7:$T$207,MATCH($B185,'Actual-ACPLYixing'!$B$7:$B$207,0),MATCH(BF$8,'Actual-ACPLYixing'!$H$6:$T$6,0)))</f>
        <v>0</v>
      </c>
      <c r="BG185" s="749">
        <f>SUM(INDEX('Budget-Yixing'!$K$7:$W$207,MATCH($B185,'Budget-Yixing'!$B$7:$B$207,0),MATCH('Budget-Yixing'!K$6,'Budget-Yixing'!$K$6:$W$6,0)):INDEX('Budget-Yixing'!$K$7:$W$207,MATCH($B185,'Budget-Yixing'!$B$7:$B$207,0),MATCH(BG$8,'Budget-Yixing'!$K$6:$W$6,0)))</f>
        <v>0</v>
      </c>
      <c r="BH185" s="749">
        <f t="shared" si="103"/>
        <v>0</v>
      </c>
      <c r="BI185" s="748"/>
    </row>
    <row r="186" spans="1:61" ht="16.5" customHeight="1">
      <c r="A186" s="653">
        <f>'Budget-合并'!A184</f>
        <v>0</v>
      </c>
      <c r="B186" s="653">
        <f>'Budget-合并'!B184</f>
        <v>0</v>
      </c>
      <c r="C186" s="746">
        <f>INDEX('Actual-ACPL'!$H$7:$T$207,MATCH($B186,'Actual-ACPL'!$B$7:$B$207,0),MATCH(C$8,'Actual-ACPL'!$H$6:$T$6,0))</f>
        <v>0</v>
      </c>
      <c r="D186" s="746">
        <f>INDEX('Budget-ACPL'!$K$7:$W$207,MATCH($B186,'Budget-ACPL'!$B$7:$B$207,0),MATCH(D$8,'Budget-ACPL'!$K$6:$W$6,0))</f>
        <v>0</v>
      </c>
      <c r="E186" s="746">
        <f t="shared" si="93"/>
        <v>0</v>
      </c>
      <c r="F186" s="752"/>
      <c r="H186" s="749">
        <f>INDEX('Actual-ACPLHK'!$H$7:$T$207,MATCH($B186,'Actual-ACPLHK'!$B$7:$B$207,0),MATCH(H$8,'Actual-ACPLHK'!$H$6:$T$6,0))</f>
        <v>0</v>
      </c>
      <c r="I186" s="749">
        <f>INDEX('Budget-ACPLHK'!$K$7:$W$207,MATCH($B186,'Budget-ACPLHK'!$B$7:$B$207,0),MATCH(I$8,'Budget-ACPLHK'!$K$6:$W$6,0))</f>
        <v>0</v>
      </c>
      <c r="J186" s="749">
        <f t="shared" si="95"/>
        <v>0</v>
      </c>
      <c r="K186" s="748"/>
      <c r="M186" s="749">
        <f>INDEX('Actual-ACPSZL'!$H$7:$T$207,MATCH($B186,'Actual-ACPSZL'!$B$7:$B$207,0),MATCH(M$8,'Actual-ACPSZL'!$H$6:$T$6,0))</f>
        <v>0</v>
      </c>
      <c r="N186" s="749">
        <f>INDEX('Budget-ACPSZL'!$K$7:$W$207,MATCH($B186,'Budget-ACPSZL'!$B$7:$B$207,0),MATCH(N$8,'Budget-ACPSZL'!$K$6:$W$6,0))</f>
        <v>0</v>
      </c>
      <c r="O186" s="749">
        <f t="shared" si="97"/>
        <v>0</v>
      </c>
      <c r="P186" s="748"/>
      <c r="R186" s="749">
        <f>INDEX('Actual-ACPLSZ'!$H$7:$T$207,MATCH($B186,'Actual-ACPLSZ'!$B$7:$B$207,0),MATCH(R$8,'Actual-ACPLSZ'!$H$6:$T$6,0))</f>
        <v>0</v>
      </c>
      <c r="S186" s="749">
        <f>INDEX('Budget-ACPLSZ'!$K$7:$W$207,MATCH($B186,'Budget-ACPLSZ'!$B$7:$B$207,0),MATCH(S$8,'Budget-ACPLSZ'!$K$6:$W$6,0))</f>
        <v>0</v>
      </c>
      <c r="T186" s="749">
        <f t="shared" si="100"/>
        <v>0</v>
      </c>
      <c r="U186" s="748"/>
      <c r="W186" s="749">
        <f>INDEX('Actual-ACPLGZ'!$H$7:$T$207,MATCH($B186,'Actual-ACPLGZ'!$B$7:$B$207,0),MATCH(W$8,'Actual-ACPLGZ'!$H$6:$T$6,0))</f>
        <v>0</v>
      </c>
      <c r="X186" s="749">
        <f>INDEX('Budget-ACPLGZ'!$K$7:$W$207,MATCH($B186,'Budget-ACPLGZ'!$B$7:$B$207,0),MATCH(X$8,'Budget-ACPLGZ'!$K$6:$W$6,0))</f>
        <v>0</v>
      </c>
      <c r="Y186" s="749">
        <f t="shared" si="98"/>
        <v>0</v>
      </c>
      <c r="Z186" s="748"/>
      <c r="AB186" s="749">
        <f>INDEX('Actual-ACPLGZ'!$H$7:$T$207,MATCH($B186,'Actual-ACPLGZ'!$B$7:$B$207,0),MATCH(AB$8,'Actual-ACPLGZ'!$H$6:$T$6,0))</f>
        <v>0</v>
      </c>
      <c r="AC186" s="749">
        <f>INDEX('Budget-Yixing'!$K$7:$W$207,MATCH($B186,'Budget-Yixing'!$B$7:$B$207,0),MATCH(AC$8,'Budget-Yixing'!$K$6:$W$6,0))</f>
        <v>0</v>
      </c>
      <c r="AD186" s="749">
        <f t="shared" si="101"/>
        <v>0</v>
      </c>
      <c r="AE186" s="748"/>
      <c r="AG186" s="751">
        <f>SUM(INDEX('Actual-ACPL'!$H$7:$T$207,MATCH($B186,'Actual-ACPL'!$B$7:$B$207,0),MATCH('Actual-ACPL'!H$6,'Actual-ACPL'!$H$6:$T$6,0)):INDEX('Actual-ACPL'!$H$7:$T$207,MATCH($B186,'Actual-ACPL'!$B$7:$B$207,0),MATCH(AG$8,'Actual-ACPL'!$H$6:$T$6,0)))</f>
        <v>0</v>
      </c>
      <c r="AH186" s="749">
        <f>SUM(INDEX('Budget-ACPL'!$K$7:$W$207,MATCH($B186,'Budget-ACPL'!$B$7:$B$207,0),MATCH('Budget-ACPL'!K$6,'Budget-ACPL'!$K$6:$W$6,0)):INDEX('Budget-ACPL'!$K$7:$W$207,MATCH($B186,'Budget-ACPL'!$B$7:$B$207,0),MATCH(AH$8,'Budget-ACPL'!$K$6:$W$6,0)))</f>
        <v>0</v>
      </c>
      <c r="AI186" s="749">
        <f t="shared" si="105"/>
        <v>0</v>
      </c>
      <c r="AJ186" s="748"/>
      <c r="AL186" s="749">
        <f>SUM(INDEX('Actual-ACPLHK'!$H$7:$S$207,MATCH($B186,'Actual-ACPLHK'!$B$7:$B$207,0),MATCH('Actual-ACPLHK'!H$6,'Actual-ACPLHK'!$H$6:$T$6,0)):INDEX('Actual-ACPLHK'!$H$7:$S$207,MATCH($B186,'Actual-ACPLHK'!$B$7:$B$207,0),MATCH(AL$8,'Actual-ACPLHK'!$H$6:$T$6,0)))</f>
        <v>0</v>
      </c>
      <c r="AM186" s="749">
        <f>SUM(INDEX('Budget-ACPLHK'!$K$7:$W$207,MATCH($B186,'Budget-ACPLHK'!$B$7:$B$207,0),MATCH('Budget-ACPLHK'!K$6,'Budget-ACPLHK'!$K$6:$W$6,0)):INDEX('Budget-ACPLHK'!$K$7:$W$207,MATCH($B186,'Budget-ACPLHK'!$B$7:$B$207,0),MATCH(AM$8,'Budget-ACPLHK'!$K$6:$W$6,0)))</f>
        <v>0</v>
      </c>
      <c r="AN186" s="749">
        <f t="shared" si="102"/>
        <v>0</v>
      </c>
      <c r="AO186" s="748"/>
      <c r="AQ186" s="749">
        <f>SUM(INDEX('Actual-ACPSZL'!$H$7:$T$207,MATCH($B186,'Actual-ACPSZL'!$B$7:$B$207,0),MATCH('Actual-ACPSZL'!H$6,'Actual-ACPSZL'!$H$6:$T$6,0)):INDEX('Actual-ACPSZL'!$H$7:$T$207,MATCH($B186,'Actual-ACPSZL'!$B$7:$B$207,0),MATCH(AQ$8,'Actual-ACPSZL'!$H$6:$T$6,0)))</f>
        <v>0</v>
      </c>
      <c r="AR186" s="749">
        <f>SUM(INDEX('Budget-ACPSZL'!$K$7:$W$207,MATCH($B186,'Budget-ACPSZL'!$B$7:$B$207,0),MATCH('Budget-ACPSZL'!K$6,'Budget-ACPSZL'!$K$6:$W$6,0)):INDEX('Budget-ACPSZL'!$K$7:$W$207,MATCH($B186,'Budget-ACPSZL'!$B$7:$B$207,0),MATCH(AR$8,'Budget-ACPSZL'!$K$6:$W$6,0)))</f>
        <v>0</v>
      </c>
      <c r="AS186" s="749">
        <f t="shared" si="96"/>
        <v>0</v>
      </c>
      <c r="AT186" s="748"/>
      <c r="AV186" s="749">
        <f>SUM(INDEX('Actual-ACPLSZ'!$H$7:$T$207,MATCH($B186,'Actual-ACPLSZ'!$B$7:$B$207,0),MATCH('Actual-ACPLSZ'!H$6,'Actual-ACPLSZ'!$H$6:$T$6,0)):INDEX('Actual-ACPLSZ'!$H$7:$T$207,MATCH($B186,'Actual-ACPLSZ'!$B$7:$B$207,0),MATCH(AV$8,'Actual-ACPLSZ'!$H$6:$T$6,0)))</f>
        <v>0</v>
      </c>
      <c r="AW186" s="749">
        <f>SUM(INDEX('Budget-ACPLSZ'!$K$7:$W$207,MATCH($B186,'Budget-ACPLSZ'!$B$7:$B$207,0),MATCH('Budget-ACPLSZ'!K$6,'Budget-ACPLSZ'!$K$6:$W$6,0)):INDEX('Budget-ACPLSZ'!$K$7:$W$207,MATCH($B186,'Budget-ACPLSZ'!$B$7:$B$207,0),MATCH(AW$8,'Budget-ACPLSZ'!$K$6:$W$6,0)))</f>
        <v>0</v>
      </c>
      <c r="AX186" s="749">
        <f t="shared" si="99"/>
        <v>0</v>
      </c>
      <c r="AY186" s="748"/>
      <c r="BA186" s="749">
        <f>SUM(INDEX('Actual-ACPLGZ'!$H$7:$T$207,MATCH($B186,'Actual-ACPLGZ'!$B$7:$B$207,0),MATCH('Actual-ACPLGZ'!H$6,'Actual-ACPLGZ'!$H$6:$T$6,0)):INDEX('Actual-ACPLGZ'!$H$7:$T$207,MATCH($B186,'Actual-ACPLGZ'!$B$7:$B$207,0),MATCH(BA$8,'Actual-ACPLGZ'!$H$6:$T$6,0)))</f>
        <v>0</v>
      </c>
      <c r="BB186" s="749">
        <f>SUM(INDEX('Budget-ACPLGZ'!$K$7:$W$207,MATCH($B186,'Budget-ACPLGZ'!$B$7:$B$207,0),MATCH('Budget-ACPLGZ'!K$6,'Budget-ACPLGZ'!$K$6:$W$6,0)):INDEX('Budget-ACPLGZ'!$K$7:$W$207,MATCH($B186,'Budget-ACPLGZ'!$B$7:$B$207,0),MATCH(BB$8,'Budget-ACPLGZ'!$K$6:$W$6,0)))</f>
        <v>0</v>
      </c>
      <c r="BC186" s="749">
        <f t="shared" si="104"/>
        <v>0</v>
      </c>
      <c r="BD186" s="748"/>
      <c r="BF186" s="749">
        <f>SUM(INDEX('Actual-ACPLYixing'!$H$7:$T$207,MATCH($B186,'Actual-ACPLYixing'!$B$7:$B$207,0),MATCH('Actual-ACPLYixing'!H$6,'Actual-ACPLYixing'!$H$6:$T$6,0)):INDEX('Actual-ACPLYixing'!$H$7:$T$207,MATCH($B186,'Actual-ACPLYixing'!$B$7:$B$207,0),MATCH(BF$8,'Actual-ACPLYixing'!$H$6:$T$6,0)))</f>
        <v>0</v>
      </c>
      <c r="BG186" s="749">
        <f>SUM(INDEX('Budget-Yixing'!$K$7:$W$207,MATCH($B186,'Budget-Yixing'!$B$7:$B$207,0),MATCH('Budget-Yixing'!K$6,'Budget-Yixing'!$K$6:$W$6,0)):INDEX('Budget-Yixing'!$K$7:$W$207,MATCH($B186,'Budget-Yixing'!$B$7:$B$207,0),MATCH(BG$8,'Budget-Yixing'!$K$6:$W$6,0)))</f>
        <v>0</v>
      </c>
      <c r="BH186" s="749">
        <f t="shared" si="103"/>
        <v>0</v>
      </c>
      <c r="BI186" s="748"/>
    </row>
    <row r="187" spans="1:61" ht="16.5" customHeight="1">
      <c r="A187" s="653">
        <f>'Budget-合并'!A185</f>
        <v>0</v>
      </c>
      <c r="B187" s="653" t="str">
        <f>'Budget-合并'!B185</f>
        <v>营业利润</v>
      </c>
      <c r="C187" s="746">
        <f>INDEX('Actual-ACPL'!$H$7:$T$207,MATCH($B187,'Actual-ACPL'!$B$7:$B$207,0),MATCH(C$8,'Actual-ACPL'!$H$6:$T$6,0))</f>
        <v>0</v>
      </c>
      <c r="D187" s="746">
        <f ca="1">INDEX('Budget-ACPL'!$K$7:$W$207,MATCH($B187,'Budget-ACPL'!$B$7:$B$207,0),MATCH(D$8,'Budget-ACPL'!$K$6:$W$6,0))</f>
        <v>-535366.29137762485</v>
      </c>
      <c r="E187" s="746">
        <f t="shared" ca="1" si="93"/>
        <v>535366.29137762485</v>
      </c>
      <c r="F187" s="752"/>
      <c r="H187" s="749">
        <f>INDEX('Actual-ACPLHK'!$H$7:$T$207,MATCH($B187,'Actual-ACPLHK'!$B$7:$B$207,0),MATCH(H$8,'Actual-ACPLHK'!$H$6:$T$6,0))</f>
        <v>0</v>
      </c>
      <c r="I187" s="749">
        <f ca="1">INDEX('Budget-ACPLHK'!$K$7:$W$207,MATCH($B187,'Budget-ACPLHK'!$B$7:$B$207,0),MATCH(I$8,'Budget-ACPLHK'!$K$6:$W$6,0))</f>
        <v>-449191.50539436669</v>
      </c>
      <c r="J187" s="749">
        <f t="shared" ca="1" si="95"/>
        <v>449191.50539436669</v>
      </c>
      <c r="K187" s="748"/>
      <c r="M187" s="749">
        <f>INDEX('Actual-ACPSZL'!$H$7:$T$207,MATCH($B187,'Actual-ACPSZL'!$B$7:$B$207,0),MATCH(M$8,'Actual-ACPSZL'!$H$6:$T$6,0))</f>
        <v>0</v>
      </c>
      <c r="N187" s="749">
        <f ca="1">INDEX('Budget-ACPSZL'!$K$7:$W$207,MATCH($B187,'Budget-ACPSZL'!$B$7:$B$207,0),MATCH(N$8,'Budget-ACPSZL'!$K$6:$W$6,0))</f>
        <v>-306089.67249999999</v>
      </c>
      <c r="O187" s="749">
        <f t="shared" ca="1" si="97"/>
        <v>306089.67249999999</v>
      </c>
      <c r="P187" s="748"/>
      <c r="R187" s="749">
        <f>INDEX('Actual-ACPLSZ'!$H$7:$T$207,MATCH($B187,'Actual-ACPLSZ'!$B$7:$B$207,0),MATCH(R$8,'Actual-ACPLSZ'!$H$6:$T$6,0))</f>
        <v>0</v>
      </c>
      <c r="S187" s="749">
        <f ca="1">INDEX('Budget-ACPLSZ'!$K$7:$W$207,MATCH($B187,'Budget-ACPLSZ'!$B$7:$B$207,0),MATCH(S$8,'Budget-ACPLSZ'!$K$6:$W$6,0))</f>
        <v>-564196.97688888898</v>
      </c>
      <c r="T187" s="749"/>
      <c r="U187" s="748"/>
      <c r="W187" s="749">
        <f>INDEX('Actual-ACPLGZ'!$H$7:$T$207,MATCH($B187,'Actual-ACPLGZ'!$B$7:$B$207,0),MATCH(W$8,'Actual-ACPLGZ'!$H$6:$T$6,0))</f>
        <v>0</v>
      </c>
      <c r="X187" s="749">
        <f>INDEX('Budget-ACPLGZ'!$K$7:$W$207,MATCH($B187,'Budget-ACPLGZ'!$B$7:$B$207,0),MATCH(X$8,'Budget-ACPLGZ'!$K$6:$W$6,0))</f>
        <v>-891.66666666666674</v>
      </c>
      <c r="Y187" s="749">
        <f t="shared" si="98"/>
        <v>891.66666666666674</v>
      </c>
      <c r="Z187" s="748"/>
      <c r="AB187" s="749">
        <f>INDEX('Actual-ACPLGZ'!$H$7:$T$207,MATCH($B187,'Actual-ACPLGZ'!$B$7:$B$207,0),MATCH(AB$8,'Actual-ACPLGZ'!$H$6:$T$6,0))</f>
        <v>0</v>
      </c>
      <c r="AC187" s="749">
        <f>INDEX('Budget-Yixing'!$K$7:$W$207,MATCH($B187,'Budget-Yixing'!$B$7:$B$207,0),MATCH(AC$8,'Budget-Yixing'!$K$6:$W$6,0))</f>
        <v>-47434.013333333336</v>
      </c>
      <c r="AD187" s="749"/>
      <c r="AE187" s="748"/>
      <c r="AG187" s="751">
        <f>SUM(INDEX('Actual-ACPL'!$H$7:$T$207,MATCH($B187,'Actual-ACPL'!$B$7:$B$207,0),MATCH('Actual-ACPL'!H$6,'Actual-ACPL'!$H$6:$T$6,0)):INDEX('Actual-ACPL'!$H$7:$T$207,MATCH($B187,'Actual-ACPL'!$B$7:$B$207,0),MATCH(AG$8,'Actual-ACPL'!$H$6:$T$6,0)))</f>
        <v>0</v>
      </c>
      <c r="AH187" s="749">
        <f ca="1">SUM(INDEX('Budget-ACPL'!$K$7:$W$207,MATCH($B187,'Budget-ACPL'!$B$7:$B$207,0),MATCH('Budget-ACPL'!K$6,'Budget-ACPL'!$K$6:$W$6,0)):INDEX('Budget-ACPL'!$K$7:$W$207,MATCH($B187,'Budget-ACPL'!$B$7:$B$207,0),MATCH(AH$8,'Budget-ACPL'!$K$6:$W$6,0)))</f>
        <v>-535366.29137762485</v>
      </c>
      <c r="AI187" s="749">
        <f t="shared" ca="1" si="105"/>
        <v>535366.29137762485</v>
      </c>
      <c r="AJ187" s="748"/>
      <c r="AL187" s="749">
        <f>SUM(INDEX('Actual-ACPLHK'!$H$7:$S$207,MATCH($B187,'Actual-ACPLHK'!$B$7:$B$207,0),MATCH('Actual-ACPLHK'!H$6,'Actual-ACPLHK'!$H$6:$T$6,0)):INDEX('Actual-ACPLHK'!$H$7:$S$207,MATCH($B187,'Actual-ACPLHK'!$B$7:$B$207,0),MATCH(AL$8,'Actual-ACPLHK'!$H$6:$T$6,0)))</f>
        <v>0</v>
      </c>
      <c r="AM187" s="749">
        <f ca="1">SUM(INDEX('Budget-ACPLHK'!$K$7:$W$207,MATCH($B187,'Budget-ACPLHK'!$B$7:$B$207,0),MATCH('Budget-ACPLHK'!K$6,'Budget-ACPLHK'!$K$6:$W$6,0)):INDEX('Budget-ACPLHK'!$K$7:$W$207,MATCH($B187,'Budget-ACPLHK'!$B$7:$B$207,0),MATCH(AM$8,'Budget-ACPLHK'!$K$6:$W$6,0)))</f>
        <v>-449191.50539436669</v>
      </c>
      <c r="AN187" s="749">
        <f t="shared" ca="1" si="102"/>
        <v>449191.50539436669</v>
      </c>
      <c r="AO187" s="748"/>
      <c r="AQ187" s="749">
        <f>SUM(INDEX('Actual-ACPSZL'!$H$7:$T$207,MATCH($B187,'Actual-ACPSZL'!$B$7:$B$207,0),MATCH('Actual-ACPSZL'!H$6,'Actual-ACPSZL'!$H$6:$T$6,0)):INDEX('Actual-ACPSZL'!$H$7:$T$207,MATCH($B187,'Actual-ACPSZL'!$B$7:$B$207,0),MATCH(AQ$8,'Actual-ACPSZL'!$H$6:$T$6,0)))</f>
        <v>0</v>
      </c>
      <c r="AR187" s="749">
        <f ca="1">SUM(INDEX('Budget-ACPSZL'!$K$7:$W$207,MATCH($B187,'Budget-ACPSZL'!$B$7:$B$207,0),MATCH('Budget-ACPSZL'!K$6,'Budget-ACPSZL'!$K$6:$W$6,0)):INDEX('Budget-ACPSZL'!$K$7:$W$207,MATCH($B187,'Budget-ACPSZL'!$B$7:$B$207,0),MATCH(AR$8,'Budget-ACPSZL'!$K$6:$W$6,0)))</f>
        <v>-306089.67249999999</v>
      </c>
      <c r="AS187" s="749">
        <f t="shared" ca="1" si="96"/>
        <v>306089.67249999999</v>
      </c>
      <c r="AT187" s="748"/>
      <c r="AV187" s="749">
        <f>SUM(INDEX('Actual-ACPLSZ'!$H$7:$T$207,MATCH($B187,'Actual-ACPLSZ'!$B$7:$B$207,0),MATCH('Actual-ACPLSZ'!H$6,'Actual-ACPLSZ'!$H$6:$T$6,0)):INDEX('Actual-ACPLSZ'!$H$7:$T$207,MATCH($B187,'Actual-ACPLSZ'!$B$7:$B$207,0),MATCH(AV$8,'Actual-ACPLSZ'!$H$6:$T$6,0)))</f>
        <v>0</v>
      </c>
      <c r="AW187" s="749">
        <f ca="1">SUM(INDEX('Budget-ACPLSZ'!$K$7:$W$207,MATCH($B187,'Budget-ACPLSZ'!$B$7:$B$207,0),MATCH('Budget-ACPLSZ'!K$6,'Budget-ACPLSZ'!$K$6:$W$6,0)):INDEX('Budget-ACPLSZ'!$K$7:$W$207,MATCH($B187,'Budget-ACPLSZ'!$B$7:$B$207,0),MATCH(AW$8,'Budget-ACPLSZ'!$K$6:$W$6,0)))</f>
        <v>-564196.97688888898</v>
      </c>
      <c r="AX187" s="749">
        <f t="shared" ca="1" si="99"/>
        <v>564196.97688888898</v>
      </c>
      <c r="AY187" s="748"/>
      <c r="BA187" s="749">
        <f>SUM(INDEX('Actual-ACPLGZ'!$H$7:$T$207,MATCH($B187,'Actual-ACPLGZ'!$B$7:$B$207,0),MATCH('Actual-ACPLGZ'!H$6,'Actual-ACPLGZ'!$H$6:$T$6,0)):INDEX('Actual-ACPLGZ'!$H$7:$T$207,MATCH($B187,'Actual-ACPLGZ'!$B$7:$B$207,0),MATCH(BA$8,'Actual-ACPLGZ'!$H$6:$T$6,0)))</f>
        <v>0</v>
      </c>
      <c r="BB187" s="749">
        <f>SUM(INDEX('Budget-ACPLGZ'!$K$7:$W$207,MATCH($B187,'Budget-ACPLGZ'!$B$7:$B$207,0),MATCH('Budget-ACPLGZ'!K$6,'Budget-ACPLGZ'!$K$6:$W$6,0)):INDEX('Budget-ACPLGZ'!$K$7:$W$207,MATCH($B187,'Budget-ACPLGZ'!$B$7:$B$207,0),MATCH(BB$8,'Budget-ACPLGZ'!$K$6:$W$6,0)))</f>
        <v>-891.66666666666674</v>
      </c>
      <c r="BC187" s="749"/>
      <c r="BD187" s="748"/>
      <c r="BF187" s="749">
        <f>SUM(INDEX('Actual-ACPLYixing'!$H$7:$T$207,MATCH($B187,'Actual-ACPLYixing'!$B$7:$B$207,0),MATCH('Actual-ACPLYixing'!H$6,'Actual-ACPLYixing'!$H$6:$T$6,0)):INDEX('Actual-ACPLYixing'!$H$7:$T$207,MATCH($B187,'Actual-ACPLYixing'!$B$7:$B$207,0),MATCH(BF$8,'Actual-ACPLYixing'!$H$6:$T$6,0)))</f>
        <v>0</v>
      </c>
      <c r="BG187" s="749">
        <f>SUM(INDEX('Budget-Yixing'!$K$7:$W$207,MATCH($B187,'Budget-Yixing'!$B$7:$B$207,0),MATCH('Budget-Yixing'!K$6,'Budget-Yixing'!$K$6:$W$6,0)):INDEX('Budget-Yixing'!$K$7:$W$207,MATCH($B187,'Budget-Yixing'!$B$7:$B$207,0),MATCH(BG$8,'Budget-Yixing'!$K$6:$W$6,0)))</f>
        <v>-47434.013333333336</v>
      </c>
      <c r="BH187" s="749"/>
      <c r="BI187" s="748"/>
    </row>
    <row r="188" spans="1:61" ht="16.5" customHeight="1">
      <c r="A188" s="653">
        <f>'Budget-合并'!A186</f>
        <v>0</v>
      </c>
      <c r="B188" s="653">
        <f>'Budget-合并'!B186</f>
        <v>0</v>
      </c>
      <c r="C188" s="746">
        <f>INDEX('Actual-ACPL'!$H$7:$T$207,MATCH($B188,'Actual-ACPL'!$B$7:$B$207,0),MATCH(C$8,'Actual-ACPL'!$H$6:$T$6,0))</f>
        <v>0</v>
      </c>
      <c r="D188" s="746">
        <f>INDEX('Budget-ACPL'!$K$7:$W$207,MATCH($B188,'Budget-ACPL'!$B$7:$B$207,0),MATCH(D$8,'Budget-ACPL'!$K$6:$W$6,0))</f>
        <v>0</v>
      </c>
      <c r="E188" s="746">
        <f t="shared" si="93"/>
        <v>0</v>
      </c>
      <c r="F188" s="752"/>
      <c r="H188" s="749">
        <f>INDEX('Actual-ACPLHK'!$H$7:$T$207,MATCH($B188,'Actual-ACPLHK'!$B$7:$B$207,0),MATCH(H$8,'Actual-ACPLHK'!$H$6:$T$6,0))</f>
        <v>0</v>
      </c>
      <c r="I188" s="749">
        <f>INDEX('Budget-ACPLHK'!$K$7:$W$207,MATCH($B188,'Budget-ACPLHK'!$B$7:$B$207,0),MATCH(I$8,'Budget-ACPLHK'!$K$6:$W$6,0))</f>
        <v>0</v>
      </c>
      <c r="J188" s="749">
        <f t="shared" si="95"/>
        <v>0</v>
      </c>
      <c r="K188" s="748"/>
      <c r="M188" s="749">
        <f>INDEX('Actual-ACPSZL'!$H$7:$T$207,MATCH($B188,'Actual-ACPSZL'!$B$7:$B$207,0),MATCH(M$8,'Actual-ACPSZL'!$H$6:$T$6,0))</f>
        <v>0</v>
      </c>
      <c r="N188" s="749">
        <f>INDEX('Budget-ACPSZL'!$K$7:$W$207,MATCH($B188,'Budget-ACPSZL'!$B$7:$B$207,0),MATCH(N$8,'Budget-ACPSZL'!$K$6:$W$6,0))</f>
        <v>0</v>
      </c>
      <c r="O188" s="749">
        <f t="shared" si="97"/>
        <v>0</v>
      </c>
      <c r="P188" s="748"/>
      <c r="R188" s="749">
        <f>INDEX('Actual-ACPLSZ'!$H$7:$T$207,MATCH($B188,'Actual-ACPLSZ'!$B$7:$B$207,0),MATCH(R$8,'Actual-ACPLSZ'!$H$6:$T$6,0))</f>
        <v>0</v>
      </c>
      <c r="S188" s="749">
        <f>INDEX('Budget-ACPLSZ'!$K$7:$W$207,MATCH($B188,'Budget-ACPLSZ'!$B$7:$B$207,0),MATCH(S$8,'Budget-ACPLSZ'!$K$6:$W$6,0))</f>
        <v>0</v>
      </c>
      <c r="T188" s="749"/>
      <c r="U188" s="748"/>
      <c r="W188" s="749">
        <f>INDEX('Actual-ACPLGZ'!$H$7:$T$207,MATCH($B188,'Actual-ACPLGZ'!$B$7:$B$207,0),MATCH(W$8,'Actual-ACPLGZ'!$H$6:$T$6,0))</f>
        <v>0</v>
      </c>
      <c r="X188" s="749">
        <f>INDEX('Budget-ACPLGZ'!$K$7:$W$207,MATCH($B188,'Budget-ACPLGZ'!$B$7:$B$207,0),MATCH(X$8,'Budget-ACPLGZ'!$K$6:$W$6,0))</f>
        <v>0</v>
      </c>
      <c r="Y188" s="749">
        <f t="shared" si="98"/>
        <v>0</v>
      </c>
      <c r="Z188" s="748"/>
      <c r="AB188" s="749">
        <f>INDEX('Actual-ACPLGZ'!$H$7:$T$207,MATCH($B188,'Actual-ACPLGZ'!$B$7:$B$207,0),MATCH(AB$8,'Actual-ACPLGZ'!$H$6:$T$6,0))</f>
        <v>0</v>
      </c>
      <c r="AC188" s="749">
        <f>INDEX('Budget-Yixing'!$K$7:$W$207,MATCH($B188,'Budget-Yixing'!$B$7:$B$207,0),MATCH(AC$8,'Budget-Yixing'!$K$6:$W$6,0))</f>
        <v>0</v>
      </c>
      <c r="AD188" s="749"/>
      <c r="AE188" s="748"/>
      <c r="AG188" s="751">
        <f>SUM(INDEX('Actual-ACPL'!$H$7:$T$207,MATCH($B188,'Actual-ACPL'!$B$7:$B$207,0),MATCH('Actual-ACPL'!H$6,'Actual-ACPL'!$H$6:$T$6,0)):INDEX('Actual-ACPL'!$H$7:$T$207,MATCH($B188,'Actual-ACPL'!$B$7:$B$207,0),MATCH(AG$8,'Actual-ACPL'!$H$6:$T$6,0)))</f>
        <v>0</v>
      </c>
      <c r="AH188" s="749">
        <f>SUM(INDEX('Budget-ACPL'!$K$7:$W$207,MATCH($B188,'Budget-ACPL'!$B$7:$B$207,0),MATCH('Budget-ACPL'!K$6,'Budget-ACPL'!$K$6:$W$6,0)):INDEX('Budget-ACPL'!$K$7:$W$207,MATCH($B188,'Budget-ACPL'!$B$7:$B$207,0),MATCH(AH$8,'Budget-ACPL'!$K$6:$W$6,0)))</f>
        <v>0</v>
      </c>
      <c r="AI188" s="749">
        <f t="shared" si="105"/>
        <v>0</v>
      </c>
      <c r="AJ188" s="748"/>
      <c r="AL188" s="749">
        <f>SUM(INDEX('Actual-ACPLHK'!$H$7:$S$207,MATCH($B188,'Actual-ACPLHK'!$B$7:$B$207,0),MATCH('Actual-ACPLHK'!H$6,'Actual-ACPLHK'!$H$6:$T$6,0)):INDEX('Actual-ACPLHK'!$H$7:$S$207,MATCH($B188,'Actual-ACPLHK'!$B$7:$B$207,0),MATCH(AL$8,'Actual-ACPLHK'!$H$6:$T$6,0)))</f>
        <v>0</v>
      </c>
      <c r="AM188" s="749">
        <f>SUM(INDEX('Budget-ACPLHK'!$K$7:$W$207,MATCH($B188,'Budget-ACPLHK'!$B$7:$B$207,0),MATCH('Budget-ACPLHK'!K$6,'Budget-ACPLHK'!$K$6:$W$6,0)):INDEX('Budget-ACPLHK'!$K$7:$W$207,MATCH($B188,'Budget-ACPLHK'!$B$7:$B$207,0),MATCH(AM$8,'Budget-ACPLHK'!$K$6:$W$6,0)))</f>
        <v>0</v>
      </c>
      <c r="AN188" s="749">
        <f t="shared" si="102"/>
        <v>0</v>
      </c>
      <c r="AO188" s="748"/>
      <c r="AQ188" s="749">
        <f>SUM(INDEX('Actual-ACPSZL'!$H$7:$T$207,MATCH($B188,'Actual-ACPSZL'!$B$7:$B$207,0),MATCH('Actual-ACPSZL'!H$6,'Actual-ACPSZL'!$H$6:$T$6,0)):INDEX('Actual-ACPSZL'!$H$7:$T$207,MATCH($B188,'Actual-ACPSZL'!$B$7:$B$207,0),MATCH(AQ$8,'Actual-ACPSZL'!$H$6:$T$6,0)))</f>
        <v>0</v>
      </c>
      <c r="AR188" s="749">
        <f>SUM(INDEX('Budget-ACPSZL'!$K$7:$W$207,MATCH($B188,'Budget-ACPSZL'!$B$7:$B$207,0),MATCH('Budget-ACPSZL'!K$6,'Budget-ACPSZL'!$K$6:$W$6,0)):INDEX('Budget-ACPSZL'!$K$7:$W$207,MATCH($B188,'Budget-ACPSZL'!$B$7:$B$207,0),MATCH(AR$8,'Budget-ACPSZL'!$K$6:$W$6,0)))</f>
        <v>0</v>
      </c>
      <c r="AS188" s="749">
        <f t="shared" si="96"/>
        <v>0</v>
      </c>
      <c r="AT188" s="748"/>
      <c r="AV188" s="749">
        <f>SUM(INDEX('Actual-ACPLSZ'!$H$7:$T$207,MATCH($B188,'Actual-ACPLSZ'!$B$7:$B$207,0),MATCH('Actual-ACPLSZ'!H$6,'Actual-ACPLSZ'!$H$6:$T$6,0)):INDEX('Actual-ACPLSZ'!$H$7:$T$207,MATCH($B188,'Actual-ACPLSZ'!$B$7:$B$207,0),MATCH(AV$8,'Actual-ACPLSZ'!$H$6:$T$6,0)))</f>
        <v>0</v>
      </c>
      <c r="AW188" s="749">
        <f>SUM(INDEX('Budget-ACPLSZ'!$K$7:$W$207,MATCH($B188,'Budget-ACPLSZ'!$B$7:$B$207,0),MATCH('Budget-ACPLSZ'!K$6,'Budget-ACPLSZ'!$K$6:$W$6,0)):INDEX('Budget-ACPLSZ'!$K$7:$W$207,MATCH($B188,'Budget-ACPLSZ'!$B$7:$B$207,0),MATCH(AW$8,'Budget-ACPLSZ'!$K$6:$W$6,0)))</f>
        <v>0</v>
      </c>
      <c r="AX188" s="749">
        <f t="shared" si="99"/>
        <v>0</v>
      </c>
      <c r="AY188" s="748"/>
      <c r="BA188" s="749">
        <f>SUM(INDEX('Actual-ACPLGZ'!$H$7:$T$207,MATCH($B188,'Actual-ACPLGZ'!$B$7:$B$207,0),MATCH('Actual-ACPLGZ'!H$6,'Actual-ACPLGZ'!$H$6:$T$6,0)):INDEX('Actual-ACPLGZ'!$H$7:$T$207,MATCH($B188,'Actual-ACPLGZ'!$B$7:$B$207,0),MATCH(BA$8,'Actual-ACPLGZ'!$H$6:$T$6,0)))</f>
        <v>0</v>
      </c>
      <c r="BB188" s="749">
        <f>SUM(INDEX('Budget-ACPLGZ'!$K$7:$W$207,MATCH($B188,'Budget-ACPLGZ'!$B$7:$B$207,0),MATCH('Budget-ACPLGZ'!K$6,'Budget-ACPLGZ'!$K$6:$W$6,0)):INDEX('Budget-ACPLGZ'!$K$7:$W$207,MATCH($B188,'Budget-ACPLGZ'!$B$7:$B$207,0),MATCH(BB$8,'Budget-ACPLGZ'!$K$6:$W$6,0)))</f>
        <v>0</v>
      </c>
      <c r="BC188" s="749"/>
      <c r="BD188" s="748"/>
      <c r="BF188" s="749">
        <f>SUM(INDEX('Actual-ACPLYixing'!$H$7:$T$207,MATCH($B188,'Actual-ACPLYixing'!$B$7:$B$207,0),MATCH('Actual-ACPLYixing'!H$6,'Actual-ACPLYixing'!$H$6:$T$6,0)):INDEX('Actual-ACPLYixing'!$H$7:$T$207,MATCH($B188,'Actual-ACPLYixing'!$B$7:$B$207,0),MATCH(BF$8,'Actual-ACPLYixing'!$H$6:$T$6,0)))</f>
        <v>0</v>
      </c>
      <c r="BG188" s="749">
        <f>SUM(INDEX('Budget-Yixing'!$K$7:$W$207,MATCH($B188,'Budget-Yixing'!$B$7:$B$207,0),MATCH('Budget-Yixing'!K$6,'Budget-Yixing'!$K$6:$W$6,0)):INDEX('Budget-Yixing'!$K$7:$W$207,MATCH($B188,'Budget-Yixing'!$B$7:$B$207,0),MATCH(BG$8,'Budget-Yixing'!$K$6:$W$6,0)))</f>
        <v>0</v>
      </c>
      <c r="BH188" s="749"/>
      <c r="BI188" s="748"/>
    </row>
    <row r="189" spans="1:61" ht="16.5" customHeight="1">
      <c r="A189" s="653" t="str">
        <f>'Budget-合并'!A187</f>
        <v>6301</v>
      </c>
      <c r="B189" s="653" t="str">
        <f>'Budget-合并'!B187</f>
        <v>营业外收入</v>
      </c>
      <c r="C189" s="746">
        <f>INDEX('Actual-ACPL'!$H$7:$T$207,MATCH($B189,'Actual-ACPL'!$B$7:$B$207,0),MATCH(C$8,'Actual-ACPL'!$H$6:$T$6,0))</f>
        <v>0</v>
      </c>
      <c r="D189" s="746">
        <f>INDEX('Budget-ACPL'!$K$7:$W$207,MATCH($B189,'Budget-ACPL'!$B$7:$B$207,0),MATCH(D$8,'Budget-ACPL'!$K$6:$W$6,0))</f>
        <v>0</v>
      </c>
      <c r="E189" s="746">
        <f t="shared" ref="E189:E193" si="106">C189-D189</f>
        <v>0</v>
      </c>
      <c r="F189" s="752"/>
      <c r="H189" s="749">
        <f>INDEX('Actual-ACPLHK'!$H$7:$T$207,MATCH($B189,'Actual-ACPLHK'!$B$7:$B$207,0),MATCH(H$8,'Actual-ACPLHK'!$H$6:$T$6,0))</f>
        <v>0</v>
      </c>
      <c r="I189" s="749">
        <f>INDEX('Budget-ACPLHK'!$K$7:$W$207,MATCH($B189,'Budget-ACPLHK'!$B$7:$B$207,0),MATCH(I$8,'Budget-ACPLHK'!$K$6:$W$6,0))</f>
        <v>0</v>
      </c>
      <c r="J189" s="749">
        <f t="shared" ref="J189:J193" si="107">H189-I189</f>
        <v>0</v>
      </c>
      <c r="K189" s="748"/>
      <c r="M189" s="749">
        <f>INDEX('Actual-ACPSZL'!$H$7:$T$207,MATCH($B189,'Actual-ACPSZL'!$B$7:$B$207,0),MATCH(M$8,'Actual-ACPSZL'!$H$6:$T$6,0))</f>
        <v>0</v>
      </c>
      <c r="N189" s="749">
        <f>INDEX('Budget-ACPSZL'!$K$7:$W$207,MATCH($B189,'Budget-ACPSZL'!$B$7:$B$207,0),MATCH(N$8,'Budget-ACPSZL'!$K$6:$W$6,0))</f>
        <v>0</v>
      </c>
      <c r="O189" s="749">
        <f t="shared" si="97"/>
        <v>0</v>
      </c>
      <c r="P189" s="748"/>
      <c r="R189" s="749">
        <f>INDEX('Actual-ACPLSZ'!$H$7:$T$207,MATCH($B189,'Actual-ACPLSZ'!$B$7:$B$207,0),MATCH(R$8,'Actual-ACPLSZ'!$H$6:$T$6,0))</f>
        <v>0</v>
      </c>
      <c r="S189" s="749">
        <f>INDEX('Budget-ACPLSZ'!$K$7:$W$207,MATCH($B189,'Budget-ACPLSZ'!$B$7:$B$207,0),MATCH(S$8,'Budget-ACPLSZ'!$K$6:$W$6,0))</f>
        <v>0</v>
      </c>
      <c r="T189" s="749">
        <f t="shared" ref="T189:T206" si="108">(R189-S189)*-1</f>
        <v>0</v>
      </c>
      <c r="U189" s="748"/>
      <c r="W189" s="749">
        <f>INDEX('Actual-ACPLGZ'!$H$7:$T$207,MATCH($B189,'Actual-ACPLGZ'!$B$7:$B$207,0),MATCH(W$8,'Actual-ACPLGZ'!$H$6:$T$6,0))</f>
        <v>0</v>
      </c>
      <c r="X189" s="749">
        <f>INDEX('Budget-ACPLGZ'!$K$7:$W$207,MATCH($B189,'Budget-ACPLGZ'!$B$7:$B$207,0),MATCH(X$8,'Budget-ACPLGZ'!$K$6:$W$6,0))</f>
        <v>0</v>
      </c>
      <c r="Y189" s="749">
        <f t="shared" si="98"/>
        <v>0</v>
      </c>
      <c r="Z189" s="748"/>
      <c r="AB189" s="749">
        <f>INDEX('Actual-ACPLGZ'!$H$7:$T$207,MATCH($B189,'Actual-ACPLGZ'!$B$7:$B$207,0),MATCH(AB$8,'Actual-ACPLGZ'!$H$6:$T$6,0))</f>
        <v>0</v>
      </c>
      <c r="AC189" s="749">
        <f>INDEX('Budget-Yixing'!$K$7:$W$207,MATCH($B189,'Budget-Yixing'!$B$7:$B$207,0),MATCH(AC$8,'Budget-Yixing'!$K$6:$W$6,0))</f>
        <v>0</v>
      </c>
      <c r="AD189" s="749">
        <f t="shared" ref="AD189:AD206" si="109">(AB189-AC189)*-1</f>
        <v>0</v>
      </c>
      <c r="AE189" s="748"/>
      <c r="AG189" s="751">
        <f>SUM(INDEX('Actual-ACPL'!$H$7:$T$207,MATCH($B189,'Actual-ACPL'!$B$7:$B$207,0),MATCH('Actual-ACPL'!H$6,'Actual-ACPL'!$H$6:$T$6,0)):INDEX('Actual-ACPL'!$H$7:$T$207,MATCH($B189,'Actual-ACPL'!$B$7:$B$207,0),MATCH(AG$8,'Actual-ACPL'!$H$6:$T$6,0)))</f>
        <v>0</v>
      </c>
      <c r="AH189" s="749">
        <f>SUM(INDEX('Budget-ACPL'!$K$7:$W$207,MATCH($B189,'Budget-ACPL'!$B$7:$B$207,0),MATCH('Budget-ACPL'!K$6,'Budget-ACPL'!$K$6:$W$6,0)):INDEX('Budget-ACPL'!$K$7:$W$207,MATCH($B189,'Budget-ACPL'!$B$7:$B$207,0),MATCH(AH$8,'Budget-ACPL'!$K$6:$W$6,0)))</f>
        <v>0</v>
      </c>
      <c r="AI189" s="749">
        <f t="shared" si="105"/>
        <v>0</v>
      </c>
      <c r="AJ189" s="748"/>
      <c r="AL189" s="749">
        <f>SUM(INDEX('Actual-ACPLHK'!$H$7:$S$207,MATCH($B189,'Actual-ACPLHK'!$B$7:$B$207,0),MATCH('Actual-ACPLHK'!H$6,'Actual-ACPLHK'!$H$6:$T$6,0)):INDEX('Actual-ACPLHK'!$H$7:$S$207,MATCH($B189,'Actual-ACPLHK'!$B$7:$B$207,0),MATCH(AL$8,'Actual-ACPLHK'!$H$6:$T$6,0)))</f>
        <v>0</v>
      </c>
      <c r="AM189" s="749">
        <f>SUM(INDEX('Budget-ACPLHK'!$K$7:$W$207,MATCH($B189,'Budget-ACPLHK'!$B$7:$B$207,0),MATCH('Budget-ACPLHK'!K$6,'Budget-ACPLHK'!$K$6:$W$6,0)):INDEX('Budget-ACPLHK'!$K$7:$W$207,MATCH($B189,'Budget-ACPLHK'!$B$7:$B$207,0),MATCH(AM$8,'Budget-ACPLHK'!$K$6:$W$6,0)))</f>
        <v>0</v>
      </c>
      <c r="AN189" s="749">
        <f t="shared" si="102"/>
        <v>0</v>
      </c>
      <c r="AO189" s="748"/>
      <c r="AQ189" s="749">
        <f>SUM(INDEX('Actual-ACPSZL'!$H$7:$T$207,MATCH($B189,'Actual-ACPSZL'!$B$7:$B$207,0),MATCH('Actual-ACPSZL'!H$6,'Actual-ACPSZL'!$H$6:$T$6,0)):INDEX('Actual-ACPSZL'!$H$7:$T$207,MATCH($B189,'Actual-ACPSZL'!$B$7:$B$207,0),MATCH(AQ$8,'Actual-ACPSZL'!$H$6:$T$6,0)))</f>
        <v>0</v>
      </c>
      <c r="AR189" s="749">
        <f>SUM(INDEX('Budget-ACPSZL'!$K$7:$W$207,MATCH($B189,'Budget-ACPSZL'!$B$7:$B$207,0),MATCH('Budget-ACPSZL'!K$6,'Budget-ACPSZL'!$K$6:$W$6,0)):INDEX('Budget-ACPSZL'!$K$7:$W$207,MATCH($B189,'Budget-ACPSZL'!$B$7:$B$207,0),MATCH(AR$8,'Budget-ACPSZL'!$K$6:$W$6,0)))</f>
        <v>0</v>
      </c>
      <c r="AS189" s="749">
        <f t="shared" si="96"/>
        <v>0</v>
      </c>
      <c r="AT189" s="748"/>
      <c r="AV189" s="749">
        <f>SUM(INDEX('Actual-ACPLSZ'!$H$7:$T$207,MATCH($B189,'Actual-ACPLSZ'!$B$7:$B$207,0),MATCH('Actual-ACPLSZ'!H$6,'Actual-ACPLSZ'!$H$6:$T$6,0)):INDEX('Actual-ACPLSZ'!$H$7:$T$207,MATCH($B189,'Actual-ACPLSZ'!$B$7:$B$207,0),MATCH(AV$8,'Actual-ACPLSZ'!$H$6:$T$6,0)))</f>
        <v>0</v>
      </c>
      <c r="AW189" s="749">
        <f>SUM(INDEX('Budget-ACPLSZ'!$K$7:$W$207,MATCH($B189,'Budget-ACPLSZ'!$B$7:$B$207,0),MATCH('Budget-ACPLSZ'!K$6,'Budget-ACPLSZ'!$K$6:$W$6,0)):INDEX('Budget-ACPLSZ'!$K$7:$W$207,MATCH($B189,'Budget-ACPLSZ'!$B$7:$B$207,0),MATCH(AW$8,'Budget-ACPLSZ'!$K$6:$W$6,0)))</f>
        <v>0</v>
      </c>
      <c r="AX189" s="749">
        <f t="shared" si="99"/>
        <v>0</v>
      </c>
      <c r="AY189" s="748"/>
      <c r="BA189" s="749">
        <f>SUM(INDEX('Actual-ACPLGZ'!$H$7:$T$207,MATCH($B189,'Actual-ACPLGZ'!$B$7:$B$207,0),MATCH('Actual-ACPLGZ'!H$6,'Actual-ACPLGZ'!$H$6:$T$6,0)):INDEX('Actual-ACPLGZ'!$H$7:$T$207,MATCH($B189,'Actual-ACPLGZ'!$B$7:$B$207,0),MATCH(BA$8,'Actual-ACPLGZ'!$H$6:$T$6,0)))</f>
        <v>0</v>
      </c>
      <c r="BB189" s="749">
        <f>SUM(INDEX('Budget-ACPLGZ'!$K$7:$W$207,MATCH($B189,'Budget-ACPLGZ'!$B$7:$B$207,0),MATCH('Budget-ACPLGZ'!K$6,'Budget-ACPLGZ'!$K$6:$W$6,0)):INDEX('Budget-ACPLGZ'!$K$7:$W$207,MATCH($B189,'Budget-ACPLGZ'!$B$7:$B$207,0),MATCH(BB$8,'Budget-ACPLGZ'!$K$6:$W$6,0)))</f>
        <v>0</v>
      </c>
      <c r="BC189" s="749">
        <f>BA189-BB189</f>
        <v>0</v>
      </c>
      <c r="BD189" s="748"/>
      <c r="BF189" s="749">
        <f>SUM(INDEX('Actual-ACPLYixing'!$H$7:$T$207,MATCH($B189,'Actual-ACPLYixing'!$B$7:$B$207,0),MATCH('Actual-ACPLYixing'!H$6,'Actual-ACPLYixing'!$H$6:$T$6,0)):INDEX('Actual-ACPLYixing'!$H$7:$T$207,MATCH($B189,'Actual-ACPLYixing'!$B$7:$B$207,0),MATCH(BF$8,'Actual-ACPLYixing'!$H$6:$T$6,0)))</f>
        <v>0</v>
      </c>
      <c r="BG189" s="749">
        <f>SUM(INDEX('Budget-Yixing'!$K$7:$W$207,MATCH($B189,'Budget-Yixing'!$B$7:$B$207,0),MATCH('Budget-Yixing'!K$6,'Budget-Yixing'!$K$6:$W$6,0)):INDEX('Budget-Yixing'!$K$7:$W$207,MATCH($B189,'Budget-Yixing'!$B$7:$B$207,0),MATCH(BG$8,'Budget-Yixing'!$K$6:$W$6,0)))</f>
        <v>0</v>
      </c>
      <c r="BH189" s="749">
        <f>BF189-BG189</f>
        <v>0</v>
      </c>
      <c r="BI189" s="748"/>
    </row>
    <row r="190" spans="1:61" ht="16.5" customHeight="1">
      <c r="A190" s="653" t="str">
        <f>'Budget-合并'!A188</f>
        <v>6301.01</v>
      </c>
      <c r="B190" s="653" t="str">
        <f>'Budget-合并'!B188</f>
        <v>非流动资产处置利得</v>
      </c>
      <c r="C190" s="746">
        <f>INDEX('Actual-ACPL'!$H$7:$T$207,MATCH($B190,'Actual-ACPL'!$B$7:$B$207,0),MATCH(C$8,'Actual-ACPL'!$H$6:$T$6,0))</f>
        <v>0</v>
      </c>
      <c r="D190" s="746">
        <f>INDEX('Budget-ACPL'!$K$7:$W$207,MATCH($B190,'Budget-ACPL'!$B$7:$B$207,0),MATCH(D$8,'Budget-ACPL'!$K$6:$W$6,0))</f>
        <v>0</v>
      </c>
      <c r="E190" s="753">
        <f t="shared" si="106"/>
        <v>0</v>
      </c>
      <c r="F190" s="753"/>
      <c r="H190" s="749">
        <f>INDEX('Actual-ACPLHK'!$H$7:$T$207,MATCH($B190,'Actual-ACPLHK'!$B$7:$B$207,0),MATCH(H$8,'Actual-ACPLHK'!$H$6:$T$6,0))</f>
        <v>0</v>
      </c>
      <c r="I190" s="749">
        <f>INDEX('Budget-ACPLHK'!$K$7:$W$207,MATCH($B190,'Budget-ACPLHK'!$B$7:$B$207,0),MATCH(I$8,'Budget-ACPLHK'!$K$6:$W$6,0))</f>
        <v>0</v>
      </c>
      <c r="J190" s="753">
        <f t="shared" si="107"/>
        <v>0</v>
      </c>
      <c r="K190" s="753"/>
      <c r="M190" s="749">
        <f>INDEX('Actual-ACPSZL'!$H$7:$T$207,MATCH($B190,'Actual-ACPSZL'!$B$7:$B$207,0),MATCH(M$8,'Actual-ACPSZL'!$H$6:$T$6,0))</f>
        <v>0</v>
      </c>
      <c r="N190" s="749">
        <f>INDEX('Budget-ACPSZL'!$K$7:$W$207,MATCH($B190,'Budget-ACPSZL'!$B$7:$B$207,0),MATCH(N$8,'Budget-ACPSZL'!$K$6:$W$6,0))</f>
        <v>0</v>
      </c>
      <c r="O190" s="753">
        <f t="shared" si="97"/>
        <v>0</v>
      </c>
      <c r="P190" s="753"/>
      <c r="R190" s="749">
        <f>INDEX('Actual-ACPLSZ'!$H$7:$T$207,MATCH($B190,'Actual-ACPLSZ'!$B$7:$B$207,0),MATCH(R$8,'Actual-ACPLSZ'!$H$6:$T$6,0))</f>
        <v>0</v>
      </c>
      <c r="S190" s="749">
        <f>INDEX('Budget-ACPLSZ'!$K$7:$W$207,MATCH($B190,'Budget-ACPLSZ'!$B$7:$B$207,0),MATCH(S$8,'Budget-ACPLSZ'!$K$6:$W$6,0))</f>
        <v>0</v>
      </c>
      <c r="T190" s="753">
        <f t="shared" si="108"/>
        <v>0</v>
      </c>
      <c r="U190" s="753"/>
      <c r="W190" s="749">
        <f>INDEX('Actual-ACPLGZ'!$H$7:$T$207,MATCH($B190,'Actual-ACPLGZ'!$B$7:$B$207,0),MATCH(W$8,'Actual-ACPLGZ'!$H$6:$T$6,0))</f>
        <v>0</v>
      </c>
      <c r="X190" s="749">
        <f>INDEX('Budget-ACPLGZ'!$K$7:$W$207,MATCH($B190,'Budget-ACPLGZ'!$B$7:$B$207,0),MATCH(X$8,'Budget-ACPLGZ'!$K$6:$W$6,0))</f>
        <v>0</v>
      </c>
      <c r="Y190" s="753">
        <f t="shared" si="98"/>
        <v>0</v>
      </c>
      <c r="Z190" s="753"/>
      <c r="AB190" s="749">
        <f>INDEX('Actual-ACPLGZ'!$H$7:$T$207,MATCH($B190,'Actual-ACPLGZ'!$B$7:$B$207,0),MATCH(AB$8,'Actual-ACPLGZ'!$H$6:$T$6,0))</f>
        <v>0</v>
      </c>
      <c r="AC190" s="749">
        <f>INDEX('Budget-Yixing'!$K$7:$W$207,MATCH($B190,'Budget-Yixing'!$B$7:$B$207,0),MATCH(AC$8,'Budget-Yixing'!$K$6:$W$6,0))</f>
        <v>0</v>
      </c>
      <c r="AD190" s="753">
        <f t="shared" si="109"/>
        <v>0</v>
      </c>
      <c r="AE190" s="753"/>
      <c r="AG190" s="751">
        <f>SUM(INDEX('Actual-ACPL'!$H$7:$T$207,MATCH($B190,'Actual-ACPL'!$B$7:$B$207,0),MATCH('Actual-ACPL'!H$6,'Actual-ACPL'!$H$6:$T$6,0)):INDEX('Actual-ACPL'!$H$7:$T$207,MATCH($B190,'Actual-ACPL'!$B$7:$B$207,0),MATCH(AG$8,'Actual-ACPL'!$H$6:$T$6,0)))</f>
        <v>0</v>
      </c>
      <c r="AH190" s="749">
        <f>SUM(INDEX('Budget-ACPL'!$K$7:$W$207,MATCH($B190,'Budget-ACPL'!$B$7:$B$207,0),MATCH('Budget-ACPL'!K$6,'Budget-ACPL'!$K$6:$W$6,0)):INDEX('Budget-ACPL'!$K$7:$W$207,MATCH($B190,'Budget-ACPL'!$B$7:$B$207,0),MATCH(AH$8,'Budget-ACPL'!$K$6:$W$6,0)))</f>
        <v>0</v>
      </c>
      <c r="AI190" s="753">
        <f t="shared" si="105"/>
        <v>0</v>
      </c>
      <c r="AJ190" s="753"/>
      <c r="AL190" s="749">
        <f>SUM(INDEX('Actual-ACPLHK'!$H$7:$S$207,MATCH($B190,'Actual-ACPLHK'!$B$7:$B$207,0),MATCH('Actual-ACPLHK'!H$6,'Actual-ACPLHK'!$H$6:$T$6,0)):INDEX('Actual-ACPLHK'!$H$7:$S$207,MATCH($B190,'Actual-ACPLHK'!$B$7:$B$207,0),MATCH(AL$8,'Actual-ACPLHK'!$H$6:$T$6,0)))</f>
        <v>0</v>
      </c>
      <c r="AM190" s="749">
        <f>SUM(INDEX('Budget-ACPLHK'!$K$7:$W$207,MATCH($B190,'Budget-ACPLHK'!$B$7:$B$207,0),MATCH('Budget-ACPLHK'!K$6,'Budget-ACPLHK'!$K$6:$W$6,0)):INDEX('Budget-ACPLHK'!$K$7:$W$207,MATCH($B190,'Budget-ACPLHK'!$B$7:$B$207,0),MATCH(AM$8,'Budget-ACPLHK'!$K$6:$W$6,0)))</f>
        <v>0</v>
      </c>
      <c r="AN190" s="753">
        <f t="shared" si="102"/>
        <v>0</v>
      </c>
      <c r="AO190" s="748"/>
      <c r="AQ190" s="749">
        <f>SUM(INDEX('Actual-ACPSZL'!$H$7:$T$207,MATCH($B190,'Actual-ACPSZL'!$B$7:$B$207,0),MATCH('Actual-ACPSZL'!H$6,'Actual-ACPSZL'!$H$6:$T$6,0)):INDEX('Actual-ACPSZL'!$H$7:$T$207,MATCH($B190,'Actual-ACPSZL'!$B$7:$B$207,0),MATCH(AQ$8,'Actual-ACPSZL'!$H$6:$T$6,0)))</f>
        <v>0</v>
      </c>
      <c r="AR190" s="749">
        <f>SUM(INDEX('Budget-ACPSZL'!$K$7:$W$207,MATCH($B190,'Budget-ACPSZL'!$B$7:$B$207,0),MATCH('Budget-ACPSZL'!K$6,'Budget-ACPSZL'!$K$6:$W$6,0)):INDEX('Budget-ACPSZL'!$K$7:$W$207,MATCH($B190,'Budget-ACPSZL'!$B$7:$B$207,0),MATCH(AR$8,'Budget-ACPSZL'!$K$6:$W$6,0)))</f>
        <v>0</v>
      </c>
      <c r="AS190" s="753">
        <f t="shared" si="96"/>
        <v>0</v>
      </c>
      <c r="AT190" s="753"/>
      <c r="AV190" s="749">
        <f>SUM(INDEX('Actual-ACPLSZ'!$H$7:$T$207,MATCH($B190,'Actual-ACPLSZ'!$B$7:$B$207,0),MATCH('Actual-ACPLSZ'!H$6,'Actual-ACPLSZ'!$H$6:$T$6,0)):INDEX('Actual-ACPLSZ'!$H$7:$T$207,MATCH($B190,'Actual-ACPLSZ'!$B$7:$B$207,0),MATCH(AV$8,'Actual-ACPLSZ'!$H$6:$T$6,0)))</f>
        <v>0</v>
      </c>
      <c r="AW190" s="749">
        <f>SUM(INDEX('Budget-ACPLSZ'!$K$7:$W$207,MATCH($B190,'Budget-ACPLSZ'!$B$7:$B$207,0),MATCH('Budget-ACPLSZ'!K$6,'Budget-ACPLSZ'!$K$6:$W$6,0)):INDEX('Budget-ACPLSZ'!$K$7:$W$207,MATCH($B190,'Budget-ACPLSZ'!$B$7:$B$207,0),MATCH(AW$8,'Budget-ACPLSZ'!$K$6:$W$6,0)))</f>
        <v>0</v>
      </c>
      <c r="AX190" s="753">
        <f t="shared" si="99"/>
        <v>0</v>
      </c>
      <c r="AY190" s="753"/>
      <c r="BA190" s="749">
        <f>SUM(INDEX('Actual-ACPLGZ'!$H$7:$T$207,MATCH($B190,'Actual-ACPLGZ'!$B$7:$B$207,0),MATCH('Actual-ACPLGZ'!H$6,'Actual-ACPLGZ'!$H$6:$T$6,0)):INDEX('Actual-ACPLGZ'!$H$7:$T$207,MATCH($B190,'Actual-ACPLGZ'!$B$7:$B$207,0),MATCH(BA$8,'Actual-ACPLGZ'!$H$6:$T$6,0)))</f>
        <v>0</v>
      </c>
      <c r="BB190" s="749">
        <f>SUM(INDEX('Budget-ACPLGZ'!$K$7:$W$207,MATCH($B190,'Budget-ACPLGZ'!$B$7:$B$207,0),MATCH('Budget-ACPLGZ'!K$6,'Budget-ACPLGZ'!$K$6:$W$6,0)):INDEX('Budget-ACPLGZ'!$K$7:$W$207,MATCH($B190,'Budget-ACPLGZ'!$B$7:$B$207,0),MATCH(BB$8,'Budget-ACPLGZ'!$K$6:$W$6,0)))</f>
        <v>0</v>
      </c>
      <c r="BC190" s="753">
        <f>BA190-BB190</f>
        <v>0</v>
      </c>
      <c r="BD190" s="753"/>
      <c r="BF190" s="749">
        <f>SUM(INDEX('Actual-ACPLYixing'!$H$7:$T$207,MATCH($B190,'Actual-ACPLYixing'!$B$7:$B$207,0),MATCH('Actual-ACPLYixing'!H$6,'Actual-ACPLYixing'!$H$6:$T$6,0)):INDEX('Actual-ACPLYixing'!$H$7:$T$207,MATCH($B190,'Actual-ACPLYixing'!$B$7:$B$207,0),MATCH(BF$8,'Actual-ACPLYixing'!$H$6:$T$6,0)))</f>
        <v>0</v>
      </c>
      <c r="BG190" s="749">
        <f>SUM(INDEX('Budget-Yixing'!$K$7:$W$207,MATCH($B190,'Budget-Yixing'!$B$7:$B$207,0),MATCH('Budget-Yixing'!K$6,'Budget-Yixing'!$K$6:$W$6,0)):INDEX('Budget-Yixing'!$K$7:$W$207,MATCH($B190,'Budget-Yixing'!$B$7:$B$207,0),MATCH(BG$8,'Budget-Yixing'!$K$6:$W$6,0)))</f>
        <v>0</v>
      </c>
      <c r="BH190" s="753">
        <f>BF190-BG190</f>
        <v>0</v>
      </c>
      <c r="BI190" s="748"/>
    </row>
    <row r="191" spans="1:61" ht="16.5" customHeight="1">
      <c r="A191" s="653" t="str">
        <f>'Budget-合并'!A189</f>
        <v>6301.02</v>
      </c>
      <c r="B191" s="653" t="str">
        <f>'Budget-合并'!B189</f>
        <v>债务重组利得</v>
      </c>
      <c r="C191" s="746">
        <f>INDEX('Actual-ACPL'!$H$7:$T$207,MATCH($B191,'Actual-ACPL'!$B$7:$B$207,0),MATCH(C$8,'Actual-ACPL'!$H$6:$T$6,0))</f>
        <v>0</v>
      </c>
      <c r="D191" s="746">
        <f>INDEX('Budget-ACPL'!$K$7:$W$207,MATCH($B191,'Budget-ACPL'!$B$7:$B$207,0),MATCH(D$8,'Budget-ACPL'!$K$6:$W$6,0))</f>
        <v>0</v>
      </c>
      <c r="E191" s="746">
        <f>(C191-D191)*-1</f>
        <v>0</v>
      </c>
      <c r="F191" s="752"/>
      <c r="H191" s="749">
        <f>INDEX('Actual-ACPLHK'!$H$7:$T$207,MATCH($B191,'Actual-ACPLHK'!$B$7:$B$207,0),MATCH(H$8,'Actual-ACPLHK'!$H$6:$T$6,0))</f>
        <v>0</v>
      </c>
      <c r="I191" s="749">
        <f>INDEX('Budget-ACPLHK'!$K$7:$W$207,MATCH($B191,'Budget-ACPLHK'!$B$7:$B$207,0),MATCH(I$8,'Budget-ACPLHK'!$K$6:$W$6,0))</f>
        <v>0</v>
      </c>
      <c r="J191" s="746">
        <f>(H191-I191)*-1</f>
        <v>0</v>
      </c>
      <c r="K191" s="752"/>
      <c r="M191" s="749">
        <f>INDEX('Actual-ACPSZL'!$H$7:$T$207,MATCH($B191,'Actual-ACPSZL'!$B$7:$B$207,0),MATCH(M$8,'Actual-ACPSZL'!$H$6:$T$6,0))</f>
        <v>0</v>
      </c>
      <c r="N191" s="749">
        <f>INDEX('Budget-ACPSZL'!$K$7:$W$207,MATCH($B191,'Budget-ACPSZL'!$B$7:$B$207,0),MATCH(N$8,'Budget-ACPSZL'!$K$6:$W$6,0))</f>
        <v>0</v>
      </c>
      <c r="O191" s="746">
        <f>(M191-N191)*-1</f>
        <v>0</v>
      </c>
      <c r="P191" s="752"/>
      <c r="R191" s="749">
        <f>INDEX('Actual-ACPLSZ'!$H$7:$T$207,MATCH($B191,'Actual-ACPLSZ'!$B$7:$B$207,0),MATCH(R$8,'Actual-ACPLSZ'!$H$6:$T$6,0))</f>
        <v>0</v>
      </c>
      <c r="S191" s="749">
        <f>INDEX('Budget-ACPLSZ'!$K$7:$W$207,MATCH($B191,'Budget-ACPLSZ'!$B$7:$B$207,0),MATCH(S$8,'Budget-ACPLSZ'!$K$6:$W$6,0))</f>
        <v>0</v>
      </c>
      <c r="T191" s="746">
        <f t="shared" si="108"/>
        <v>0</v>
      </c>
      <c r="U191" s="752"/>
      <c r="W191" s="749">
        <f>INDEX('Actual-ACPLGZ'!$H$7:$T$207,MATCH($B191,'Actual-ACPLGZ'!$B$7:$B$207,0),MATCH(W$8,'Actual-ACPLGZ'!$H$6:$T$6,0))</f>
        <v>0</v>
      </c>
      <c r="X191" s="749">
        <f>INDEX('Budget-ACPLGZ'!$K$7:$W$207,MATCH($B191,'Budget-ACPLGZ'!$B$7:$B$207,0),MATCH(X$8,'Budget-ACPLGZ'!$K$6:$W$6,0))</f>
        <v>0</v>
      </c>
      <c r="Y191" s="746">
        <f>(W191-X191)*-1</f>
        <v>0</v>
      </c>
      <c r="Z191" s="752"/>
      <c r="AB191" s="749">
        <f>INDEX('Actual-ACPLGZ'!$H$7:$T$207,MATCH($B191,'Actual-ACPLGZ'!$B$7:$B$207,0),MATCH(AB$8,'Actual-ACPLGZ'!$H$6:$T$6,0))</f>
        <v>0</v>
      </c>
      <c r="AC191" s="749">
        <f>INDEX('Budget-Yixing'!$K$7:$W$207,MATCH($B191,'Budget-Yixing'!$B$7:$B$207,0),MATCH(AC$8,'Budget-Yixing'!$K$6:$W$6,0))</f>
        <v>0</v>
      </c>
      <c r="AD191" s="746">
        <f t="shared" si="109"/>
        <v>0</v>
      </c>
      <c r="AE191" s="752"/>
      <c r="AG191" s="751">
        <f>SUM(INDEX('Actual-ACPL'!$H$7:$T$207,MATCH($B191,'Actual-ACPL'!$B$7:$B$207,0),MATCH('Actual-ACPL'!H$6,'Actual-ACPL'!$H$6:$T$6,0)):INDEX('Actual-ACPL'!$H$7:$T$207,MATCH($B191,'Actual-ACPL'!$B$7:$B$207,0),MATCH(AG$8,'Actual-ACPL'!$H$6:$T$6,0)))</f>
        <v>0</v>
      </c>
      <c r="AH191" s="749">
        <f>SUM(INDEX('Budget-ACPL'!$K$7:$W$207,MATCH($B191,'Budget-ACPL'!$B$7:$B$207,0),MATCH('Budget-ACPL'!K$6,'Budget-ACPL'!$K$6:$W$6,0)):INDEX('Budget-ACPL'!$K$7:$W$207,MATCH($B191,'Budget-ACPL'!$B$7:$B$207,0),MATCH(AH$8,'Budget-ACPL'!$K$6:$W$6,0)))</f>
        <v>0</v>
      </c>
      <c r="AI191" s="749">
        <f>(AG191-AH191)*-1</f>
        <v>0</v>
      </c>
      <c r="AJ191" s="748"/>
      <c r="AL191" s="749">
        <f>SUM(INDEX('Actual-ACPLHK'!$H$7:$S$207,MATCH($B191,'Actual-ACPLHK'!$B$7:$B$207,0),MATCH('Actual-ACPLHK'!H$6,'Actual-ACPLHK'!$H$6:$T$6,0)):INDEX('Actual-ACPLHK'!$H$7:$S$207,MATCH($B191,'Actual-ACPLHK'!$B$7:$B$207,0),MATCH(AL$8,'Actual-ACPLHK'!$H$6:$T$6,0)))</f>
        <v>0</v>
      </c>
      <c r="AM191" s="749">
        <f>SUM(INDEX('Budget-ACPLHK'!$K$7:$W$207,MATCH($B191,'Budget-ACPLHK'!$B$7:$B$207,0),MATCH('Budget-ACPLHK'!K$6,'Budget-ACPLHK'!$K$6:$W$6,0)):INDEX('Budget-ACPLHK'!$K$7:$W$207,MATCH($B191,'Budget-ACPLHK'!$B$7:$B$207,0),MATCH(AM$8,'Budget-ACPLHK'!$K$6:$W$6,0)))</f>
        <v>0</v>
      </c>
      <c r="AN191" s="749">
        <f>(AL191-AM191)*-1</f>
        <v>0</v>
      </c>
      <c r="AO191" s="748"/>
      <c r="AQ191" s="749">
        <f>SUM(INDEX('Actual-ACPSZL'!$H$7:$T$207,MATCH($B191,'Actual-ACPSZL'!$B$7:$B$207,0),MATCH('Actual-ACPSZL'!H$6,'Actual-ACPSZL'!$H$6:$T$6,0)):INDEX('Actual-ACPSZL'!$H$7:$T$207,MATCH($B191,'Actual-ACPSZL'!$B$7:$B$207,0),MATCH(AQ$8,'Actual-ACPSZL'!$H$6:$T$6,0)))</f>
        <v>0</v>
      </c>
      <c r="AR191" s="749">
        <f>SUM(INDEX('Budget-ACPSZL'!$K$7:$W$207,MATCH($B191,'Budget-ACPSZL'!$B$7:$B$207,0),MATCH('Budget-ACPSZL'!K$6,'Budget-ACPSZL'!$K$6:$W$6,0)):INDEX('Budget-ACPSZL'!$K$7:$W$207,MATCH($B191,'Budget-ACPSZL'!$B$7:$B$207,0),MATCH(AR$8,'Budget-ACPSZL'!$K$6:$W$6,0)))</f>
        <v>0</v>
      </c>
      <c r="AS191" s="749">
        <f>(AQ191-AR191)*-1</f>
        <v>0</v>
      </c>
      <c r="AT191" s="748"/>
      <c r="AV191" s="749">
        <f>SUM(INDEX('Actual-ACPLSZ'!$H$7:$T$207,MATCH($B191,'Actual-ACPLSZ'!$B$7:$B$207,0),MATCH('Actual-ACPLSZ'!H$6,'Actual-ACPLSZ'!$H$6:$T$6,0)):INDEX('Actual-ACPLSZ'!$H$7:$T$207,MATCH($B191,'Actual-ACPLSZ'!$B$7:$B$207,0),MATCH(AV$8,'Actual-ACPLSZ'!$H$6:$T$6,0)))</f>
        <v>0</v>
      </c>
      <c r="AW191" s="749">
        <f>SUM(INDEX('Budget-ACPLSZ'!$K$7:$W$207,MATCH($B191,'Budget-ACPLSZ'!$B$7:$B$207,0),MATCH('Budget-ACPLSZ'!K$6,'Budget-ACPLSZ'!$K$6:$W$6,0)):INDEX('Budget-ACPLSZ'!$K$7:$W$207,MATCH($B191,'Budget-ACPLSZ'!$B$7:$B$207,0),MATCH(AW$8,'Budget-ACPLSZ'!$K$6:$W$6,0)))</f>
        <v>0</v>
      </c>
      <c r="AX191" s="749">
        <f>(AV191-AW191)*-1</f>
        <v>0</v>
      </c>
      <c r="AY191" s="748"/>
      <c r="BA191" s="749">
        <f>SUM(INDEX('Actual-ACPLGZ'!$H$7:$T$207,MATCH($B191,'Actual-ACPLGZ'!$B$7:$B$207,0),MATCH('Actual-ACPLGZ'!H$6,'Actual-ACPLGZ'!$H$6:$T$6,0)):INDEX('Actual-ACPLGZ'!$H$7:$T$207,MATCH($B191,'Actual-ACPLGZ'!$B$7:$B$207,0),MATCH(BA$8,'Actual-ACPLGZ'!$H$6:$T$6,0)))</f>
        <v>0</v>
      </c>
      <c r="BB191" s="749">
        <f>SUM(INDEX('Budget-ACPLGZ'!$K$7:$W$207,MATCH($B191,'Budget-ACPLGZ'!$B$7:$B$207,0),MATCH('Budget-ACPLGZ'!K$6,'Budget-ACPLGZ'!$K$6:$W$6,0)):INDEX('Budget-ACPLGZ'!$K$7:$W$207,MATCH($B191,'Budget-ACPLGZ'!$B$7:$B$207,0),MATCH(BB$8,'Budget-ACPLGZ'!$K$6:$W$6,0)))</f>
        <v>0</v>
      </c>
      <c r="BC191" s="749">
        <f>(BA191-BB191)*-1</f>
        <v>0</v>
      </c>
      <c r="BD191" s="748"/>
      <c r="BF191" s="749">
        <f>SUM(INDEX('Actual-ACPLYixing'!$H$7:$T$207,MATCH($B191,'Actual-ACPLYixing'!$B$7:$B$207,0),MATCH('Actual-ACPLYixing'!H$6,'Actual-ACPLYixing'!$H$6:$T$6,0)):INDEX('Actual-ACPLYixing'!$H$7:$T$207,MATCH($B191,'Actual-ACPLYixing'!$B$7:$B$207,0),MATCH(BF$8,'Actual-ACPLYixing'!$H$6:$T$6,0)))</f>
        <v>0</v>
      </c>
      <c r="BG191" s="749">
        <f>SUM(INDEX('Budget-Yixing'!$K$7:$W$207,MATCH($B191,'Budget-Yixing'!$B$7:$B$207,0),MATCH('Budget-Yixing'!K$6,'Budget-Yixing'!$K$6:$W$6,0)):INDEX('Budget-Yixing'!$K$7:$W$207,MATCH($B191,'Budget-Yixing'!$B$7:$B$207,0),MATCH(BG$8,'Budget-Yixing'!$K$6:$W$6,0)))</f>
        <v>0</v>
      </c>
      <c r="BH191" s="749">
        <f>(BF191-BG191)*-1</f>
        <v>0</v>
      </c>
      <c r="BI191" s="748"/>
    </row>
    <row r="192" spans="1:61" ht="16.5" customHeight="1">
      <c r="A192" s="653" t="str">
        <f>'Budget-合并'!A190</f>
        <v>6301.03</v>
      </c>
      <c r="B192" s="653" t="str">
        <f>'Budget-合并'!B190</f>
        <v>盘盈利得</v>
      </c>
      <c r="C192" s="746">
        <f>INDEX('Actual-ACPL'!$H$7:$T$207,MATCH($B192,'Actual-ACPL'!$B$7:$B$207,0),MATCH(C$8,'Actual-ACPL'!$H$6:$T$6,0))</f>
        <v>0</v>
      </c>
      <c r="D192" s="746">
        <f>INDEX('Budget-ACPL'!$K$7:$W$207,MATCH($B192,'Budget-ACPL'!$B$7:$B$207,0),MATCH(D$8,'Budget-ACPL'!$K$6:$W$6,0))</f>
        <v>0</v>
      </c>
      <c r="E192" s="746">
        <f>(C192-D192)*-1</f>
        <v>0</v>
      </c>
      <c r="F192" s="752"/>
      <c r="H192" s="749">
        <f>INDEX('Actual-ACPLHK'!$H$7:$T$207,MATCH($B192,'Actual-ACPLHK'!$B$7:$B$207,0),MATCH(H$8,'Actual-ACPLHK'!$H$6:$T$6,0))</f>
        <v>0</v>
      </c>
      <c r="I192" s="749">
        <f>INDEX('Budget-ACPLHK'!$K$7:$W$207,MATCH($B192,'Budget-ACPLHK'!$B$7:$B$207,0),MATCH(I$8,'Budget-ACPLHK'!$K$6:$W$6,0))</f>
        <v>0</v>
      </c>
      <c r="J192" s="746">
        <f>(H192-I192)*-1</f>
        <v>0</v>
      </c>
      <c r="K192" s="752"/>
      <c r="M192" s="749">
        <f>INDEX('Actual-ACPSZL'!$H$7:$T$207,MATCH($B192,'Actual-ACPSZL'!$B$7:$B$207,0),MATCH(M$8,'Actual-ACPSZL'!$H$6:$T$6,0))</f>
        <v>0</v>
      </c>
      <c r="N192" s="749">
        <f>INDEX('Budget-ACPSZL'!$K$7:$W$207,MATCH($B192,'Budget-ACPSZL'!$B$7:$B$207,0),MATCH(N$8,'Budget-ACPSZL'!$K$6:$W$6,0))</f>
        <v>0</v>
      </c>
      <c r="O192" s="746">
        <f>(M192-N192)*-1</f>
        <v>0</v>
      </c>
      <c r="P192" s="752"/>
      <c r="R192" s="749">
        <f>INDEX('Actual-ACPLSZ'!$H$7:$T$207,MATCH($B192,'Actual-ACPLSZ'!$B$7:$B$207,0),MATCH(R$8,'Actual-ACPLSZ'!$H$6:$T$6,0))</f>
        <v>0</v>
      </c>
      <c r="S192" s="749">
        <f>INDEX('Budget-ACPLSZ'!$K$7:$W$207,MATCH($B192,'Budget-ACPLSZ'!$B$7:$B$207,0),MATCH(S$8,'Budget-ACPLSZ'!$K$6:$W$6,0))</f>
        <v>0</v>
      </c>
      <c r="T192" s="746">
        <f t="shared" si="108"/>
        <v>0</v>
      </c>
      <c r="U192" s="752"/>
      <c r="W192" s="749">
        <f>INDEX('Actual-ACPLGZ'!$H$7:$T$207,MATCH($B192,'Actual-ACPLGZ'!$B$7:$B$207,0),MATCH(W$8,'Actual-ACPLGZ'!$H$6:$T$6,0))</f>
        <v>0</v>
      </c>
      <c r="X192" s="749">
        <f>INDEX('Budget-ACPLGZ'!$K$7:$W$207,MATCH($B192,'Budget-ACPLGZ'!$B$7:$B$207,0),MATCH(X$8,'Budget-ACPLGZ'!$K$6:$W$6,0))</f>
        <v>0</v>
      </c>
      <c r="Y192" s="746">
        <f>(W192-X192)*-1</f>
        <v>0</v>
      </c>
      <c r="Z192" s="752"/>
      <c r="AB192" s="749">
        <f>INDEX('Actual-ACPLGZ'!$H$7:$T$207,MATCH($B192,'Actual-ACPLGZ'!$B$7:$B$207,0),MATCH(AB$8,'Actual-ACPLGZ'!$H$6:$T$6,0))</f>
        <v>0</v>
      </c>
      <c r="AC192" s="749">
        <f>INDEX('Budget-Yixing'!$K$7:$W$207,MATCH($B192,'Budget-Yixing'!$B$7:$B$207,0),MATCH(AC$8,'Budget-Yixing'!$K$6:$W$6,0))</f>
        <v>0</v>
      </c>
      <c r="AD192" s="746">
        <f t="shared" si="109"/>
        <v>0</v>
      </c>
      <c r="AE192" s="752"/>
      <c r="AG192" s="751">
        <f>SUM(INDEX('Actual-ACPL'!$H$7:$T$207,MATCH($B192,'Actual-ACPL'!$B$7:$B$207,0),MATCH('Actual-ACPL'!H$6,'Actual-ACPL'!$H$6:$T$6,0)):INDEX('Actual-ACPL'!$H$7:$T$207,MATCH($B192,'Actual-ACPL'!$B$7:$B$207,0),MATCH(AG$8,'Actual-ACPL'!$H$6:$T$6,0)))</f>
        <v>0</v>
      </c>
      <c r="AH192" s="749">
        <f>SUM(INDEX('Budget-ACPL'!$K$7:$W$207,MATCH($B192,'Budget-ACPL'!$B$7:$B$207,0),MATCH('Budget-ACPL'!K$6,'Budget-ACPL'!$K$6:$W$6,0)):INDEX('Budget-ACPL'!$K$7:$W$207,MATCH($B192,'Budget-ACPL'!$B$7:$B$207,0),MATCH(AH$8,'Budget-ACPL'!$K$6:$W$6,0)))</f>
        <v>0</v>
      </c>
      <c r="AI192" s="749">
        <f>(AG192-AH192)*-1</f>
        <v>0</v>
      </c>
      <c r="AJ192" s="748"/>
      <c r="AL192" s="749">
        <f>SUM(INDEX('Actual-ACPLHK'!$H$7:$S$207,MATCH($B192,'Actual-ACPLHK'!$B$7:$B$207,0),MATCH('Actual-ACPLHK'!H$6,'Actual-ACPLHK'!$H$6:$T$6,0)):INDEX('Actual-ACPLHK'!$H$7:$S$207,MATCH($B192,'Actual-ACPLHK'!$B$7:$B$207,0),MATCH(AL$8,'Actual-ACPLHK'!$H$6:$T$6,0)))</f>
        <v>0</v>
      </c>
      <c r="AM192" s="749">
        <f>SUM(INDEX('Budget-ACPLHK'!$K$7:$W$207,MATCH($B192,'Budget-ACPLHK'!$B$7:$B$207,0),MATCH('Budget-ACPLHK'!K$6,'Budget-ACPLHK'!$K$6:$W$6,0)):INDEX('Budget-ACPLHK'!$K$7:$W$207,MATCH($B192,'Budget-ACPLHK'!$B$7:$B$207,0),MATCH(AM$8,'Budget-ACPLHK'!$K$6:$W$6,0)))</f>
        <v>0</v>
      </c>
      <c r="AN192" s="749">
        <f>(AL192-AM192)*-1</f>
        <v>0</v>
      </c>
      <c r="AO192" s="748"/>
      <c r="AQ192" s="749">
        <f>SUM(INDEX('Actual-ACPSZL'!$H$7:$T$207,MATCH($B192,'Actual-ACPSZL'!$B$7:$B$207,0),MATCH('Actual-ACPSZL'!H$6,'Actual-ACPSZL'!$H$6:$T$6,0)):INDEX('Actual-ACPSZL'!$H$7:$T$207,MATCH($B192,'Actual-ACPSZL'!$B$7:$B$207,0),MATCH(AQ$8,'Actual-ACPSZL'!$H$6:$T$6,0)))</f>
        <v>0</v>
      </c>
      <c r="AR192" s="749">
        <f>SUM(INDEX('Budget-ACPSZL'!$K$7:$W$207,MATCH($B192,'Budget-ACPSZL'!$B$7:$B$207,0),MATCH('Budget-ACPSZL'!K$6,'Budget-ACPSZL'!$K$6:$W$6,0)):INDEX('Budget-ACPSZL'!$K$7:$W$207,MATCH($B192,'Budget-ACPSZL'!$B$7:$B$207,0),MATCH(AR$8,'Budget-ACPSZL'!$K$6:$W$6,0)))</f>
        <v>0</v>
      </c>
      <c r="AS192" s="749">
        <f>(AQ192-AR192)*-1</f>
        <v>0</v>
      </c>
      <c r="AT192" s="748"/>
      <c r="AV192" s="749">
        <f>SUM(INDEX('Actual-ACPLSZ'!$H$7:$T$207,MATCH($B192,'Actual-ACPLSZ'!$B$7:$B$207,0),MATCH('Actual-ACPLSZ'!H$6,'Actual-ACPLSZ'!$H$6:$T$6,0)):INDEX('Actual-ACPLSZ'!$H$7:$T$207,MATCH($B192,'Actual-ACPLSZ'!$B$7:$B$207,0),MATCH(AV$8,'Actual-ACPLSZ'!$H$6:$T$6,0)))</f>
        <v>0</v>
      </c>
      <c r="AW192" s="749">
        <f>SUM(INDEX('Budget-ACPLSZ'!$K$7:$W$207,MATCH($B192,'Budget-ACPLSZ'!$B$7:$B$207,0),MATCH('Budget-ACPLSZ'!K$6,'Budget-ACPLSZ'!$K$6:$W$6,0)):INDEX('Budget-ACPLSZ'!$K$7:$W$207,MATCH($B192,'Budget-ACPLSZ'!$B$7:$B$207,0),MATCH(AW$8,'Budget-ACPLSZ'!$K$6:$W$6,0)))</f>
        <v>0</v>
      </c>
      <c r="AX192" s="749">
        <f>(AV192-AW192)*-1</f>
        <v>0</v>
      </c>
      <c r="AY192" s="748"/>
      <c r="BA192" s="749">
        <f>SUM(INDEX('Actual-ACPLGZ'!$H$7:$T$207,MATCH($B192,'Actual-ACPLGZ'!$B$7:$B$207,0),MATCH('Actual-ACPLGZ'!H$6,'Actual-ACPLGZ'!$H$6:$T$6,0)):INDEX('Actual-ACPLGZ'!$H$7:$T$207,MATCH($B192,'Actual-ACPLGZ'!$B$7:$B$207,0),MATCH(BA$8,'Actual-ACPLGZ'!$H$6:$T$6,0)))</f>
        <v>0</v>
      </c>
      <c r="BB192" s="749">
        <f>SUM(INDEX('Budget-ACPLGZ'!$K$7:$W$207,MATCH($B192,'Budget-ACPLGZ'!$B$7:$B$207,0),MATCH('Budget-ACPLGZ'!K$6,'Budget-ACPLGZ'!$K$6:$W$6,0)):INDEX('Budget-ACPLGZ'!$K$7:$W$207,MATCH($B192,'Budget-ACPLGZ'!$B$7:$B$207,0),MATCH(BB$8,'Budget-ACPLGZ'!$K$6:$W$6,0)))</f>
        <v>0</v>
      </c>
      <c r="BC192" s="749">
        <f>(BA192-BB192)*-1</f>
        <v>0</v>
      </c>
      <c r="BD192" s="748"/>
      <c r="BF192" s="749">
        <f>SUM(INDEX('Actual-ACPLYixing'!$H$7:$T$207,MATCH($B192,'Actual-ACPLYixing'!$B$7:$B$207,0),MATCH('Actual-ACPLYixing'!H$6,'Actual-ACPLYixing'!$H$6:$T$6,0)):INDEX('Actual-ACPLYixing'!$H$7:$T$207,MATCH($B192,'Actual-ACPLYixing'!$B$7:$B$207,0),MATCH(BF$8,'Actual-ACPLYixing'!$H$6:$T$6,0)))</f>
        <v>0</v>
      </c>
      <c r="BG192" s="749">
        <f>SUM(INDEX('Budget-Yixing'!$K$7:$W$207,MATCH($B192,'Budget-Yixing'!$B$7:$B$207,0),MATCH('Budget-Yixing'!K$6,'Budget-Yixing'!$K$6:$W$6,0)):INDEX('Budget-Yixing'!$K$7:$W$207,MATCH($B192,'Budget-Yixing'!$B$7:$B$207,0),MATCH(BG$8,'Budget-Yixing'!$K$6:$W$6,0)))</f>
        <v>0</v>
      </c>
      <c r="BH192" s="749">
        <f>(BF192-BG192)*-1</f>
        <v>0</v>
      </c>
      <c r="BI192" s="748"/>
    </row>
    <row r="193" spans="1:61" ht="16.5" customHeight="1">
      <c r="A193" s="653" t="str">
        <f>'Budget-合并'!A191</f>
        <v>6301.04</v>
      </c>
      <c r="B193" s="653" t="str">
        <f>'Budget-合并'!B191</f>
        <v>捐赠利得</v>
      </c>
      <c r="C193" s="746">
        <f>INDEX('Actual-ACPL'!$H$7:$T$207,MATCH($B193,'Actual-ACPL'!$B$7:$B$207,0),MATCH(C$8,'Actual-ACPL'!$H$6:$T$6,0))</f>
        <v>0</v>
      </c>
      <c r="D193" s="746">
        <f>INDEX('Budget-ACPL'!$K$7:$W$207,MATCH($B193,'Budget-ACPL'!$B$7:$B$207,0),MATCH(D$8,'Budget-ACPL'!$K$6:$W$6,0))</f>
        <v>0</v>
      </c>
      <c r="E193" s="746">
        <f t="shared" si="106"/>
        <v>0</v>
      </c>
      <c r="F193" s="752"/>
      <c r="H193" s="749">
        <f>INDEX('Actual-ACPLHK'!$H$7:$T$207,MATCH($B193,'Actual-ACPLHK'!$B$7:$B$207,0),MATCH(H$8,'Actual-ACPLHK'!$H$6:$T$6,0))</f>
        <v>0</v>
      </c>
      <c r="I193" s="749">
        <f>INDEX('Budget-ACPLHK'!$K$7:$W$207,MATCH($B193,'Budget-ACPLHK'!$B$7:$B$207,0),MATCH(I$8,'Budget-ACPLHK'!$K$6:$W$6,0))</f>
        <v>0</v>
      </c>
      <c r="J193" s="749">
        <f t="shared" si="107"/>
        <v>0</v>
      </c>
      <c r="K193" s="752"/>
      <c r="M193" s="749">
        <f>INDEX('Actual-ACPSZL'!$H$7:$T$207,MATCH($B193,'Actual-ACPSZL'!$B$7:$B$207,0),MATCH(M$8,'Actual-ACPSZL'!$H$6:$T$6,0))</f>
        <v>0</v>
      </c>
      <c r="N193" s="749">
        <f>INDEX('Budget-ACPSZL'!$K$7:$W$207,MATCH($B193,'Budget-ACPSZL'!$B$7:$B$207,0),MATCH(N$8,'Budget-ACPSZL'!$K$6:$W$6,0))</f>
        <v>0</v>
      </c>
      <c r="O193" s="749">
        <f>M193-N193</f>
        <v>0</v>
      </c>
      <c r="P193" s="752"/>
      <c r="R193" s="749">
        <f>INDEX('Actual-ACPLSZ'!$H$7:$T$207,MATCH($B193,'Actual-ACPLSZ'!$B$7:$B$207,0),MATCH(R$8,'Actual-ACPLSZ'!$H$6:$T$6,0))</f>
        <v>0</v>
      </c>
      <c r="S193" s="749">
        <f>INDEX('Budget-ACPLSZ'!$K$7:$W$207,MATCH($B193,'Budget-ACPLSZ'!$B$7:$B$207,0),MATCH(S$8,'Budget-ACPLSZ'!$K$6:$W$6,0))</f>
        <v>0</v>
      </c>
      <c r="T193" s="749">
        <f t="shared" si="108"/>
        <v>0</v>
      </c>
      <c r="U193" s="752"/>
      <c r="W193" s="749">
        <f>INDEX('Actual-ACPLGZ'!$H$7:$T$207,MATCH($B193,'Actual-ACPLGZ'!$B$7:$B$207,0),MATCH(W$8,'Actual-ACPLGZ'!$H$6:$T$6,0))</f>
        <v>0</v>
      </c>
      <c r="X193" s="749">
        <f>INDEX('Budget-ACPLGZ'!$K$7:$W$207,MATCH($B193,'Budget-ACPLGZ'!$B$7:$B$207,0),MATCH(X$8,'Budget-ACPLGZ'!$K$6:$W$6,0))</f>
        <v>0</v>
      </c>
      <c r="Y193" s="749">
        <f>W193-X193</f>
        <v>0</v>
      </c>
      <c r="Z193" s="752"/>
      <c r="AB193" s="749">
        <f>INDEX('Actual-ACPLGZ'!$H$7:$T$207,MATCH($B193,'Actual-ACPLGZ'!$B$7:$B$207,0),MATCH(AB$8,'Actual-ACPLGZ'!$H$6:$T$6,0))</f>
        <v>0</v>
      </c>
      <c r="AC193" s="749">
        <f>INDEX('Budget-Yixing'!$K$7:$W$207,MATCH($B193,'Budget-Yixing'!$B$7:$B$207,0),MATCH(AC$8,'Budget-Yixing'!$K$6:$W$6,0))</f>
        <v>0</v>
      </c>
      <c r="AD193" s="749">
        <f t="shared" si="109"/>
        <v>0</v>
      </c>
      <c r="AE193" s="752"/>
      <c r="AG193" s="751">
        <f>SUM(INDEX('Actual-ACPL'!$H$7:$T$207,MATCH($B193,'Actual-ACPL'!$B$7:$B$207,0),MATCH('Actual-ACPL'!H$6,'Actual-ACPL'!$H$6:$T$6,0)):INDEX('Actual-ACPL'!$H$7:$T$207,MATCH($B193,'Actual-ACPL'!$B$7:$B$207,0),MATCH(AG$8,'Actual-ACPL'!$H$6:$T$6,0)))</f>
        <v>0</v>
      </c>
      <c r="AH193" s="749">
        <f>SUM(INDEX('Budget-ACPL'!$K$7:$W$207,MATCH($B193,'Budget-ACPL'!$B$7:$B$207,0),MATCH('Budget-ACPL'!K$6,'Budget-ACPL'!$K$6:$W$6,0)):INDEX('Budget-ACPL'!$K$7:$W$207,MATCH($B193,'Budget-ACPL'!$B$7:$B$207,0),MATCH(AH$8,'Budget-ACPL'!$K$6:$W$6,0)))</f>
        <v>0</v>
      </c>
      <c r="AI193" s="749">
        <f>AG193-AH193</f>
        <v>0</v>
      </c>
      <c r="AJ193" s="748"/>
      <c r="AL193" s="749">
        <f>SUM(INDEX('Actual-ACPLHK'!$H$7:$S$207,MATCH($B193,'Actual-ACPLHK'!$B$7:$B$207,0),MATCH('Actual-ACPLHK'!H$6,'Actual-ACPLHK'!$H$6:$T$6,0)):INDEX('Actual-ACPLHK'!$H$7:$S$207,MATCH($B193,'Actual-ACPLHK'!$B$7:$B$207,0),MATCH(AL$8,'Actual-ACPLHK'!$H$6:$T$6,0)))</f>
        <v>0</v>
      </c>
      <c r="AM193" s="749">
        <f>SUM(INDEX('Budget-ACPLHK'!$K$7:$W$207,MATCH($B193,'Budget-ACPLHK'!$B$7:$B$207,0),MATCH('Budget-ACPLHK'!K$6,'Budget-ACPLHK'!$K$6:$W$6,0)):INDEX('Budget-ACPLHK'!$K$7:$W$207,MATCH($B193,'Budget-ACPLHK'!$B$7:$B$207,0),MATCH(AM$8,'Budget-ACPLHK'!$K$6:$W$6,0)))</f>
        <v>0</v>
      </c>
      <c r="AN193" s="749">
        <f t="shared" ref="AN193:AN209" si="110">AL193-AM193</f>
        <v>0</v>
      </c>
      <c r="AO193" s="748"/>
      <c r="AQ193" s="749">
        <f>SUM(INDEX('Actual-ACPSZL'!$H$7:$T$207,MATCH($B193,'Actual-ACPSZL'!$B$7:$B$207,0),MATCH('Actual-ACPSZL'!H$6,'Actual-ACPSZL'!$H$6:$T$6,0)):INDEX('Actual-ACPSZL'!$H$7:$T$207,MATCH($B193,'Actual-ACPSZL'!$B$7:$B$207,0),MATCH(AQ$8,'Actual-ACPSZL'!$H$6:$T$6,0)))</f>
        <v>0</v>
      </c>
      <c r="AR193" s="749">
        <f>SUM(INDEX('Budget-ACPSZL'!$K$7:$W$207,MATCH($B193,'Budget-ACPSZL'!$B$7:$B$207,0),MATCH('Budget-ACPSZL'!K$6,'Budget-ACPSZL'!$K$6:$W$6,0)):INDEX('Budget-ACPSZL'!$K$7:$W$207,MATCH($B193,'Budget-ACPSZL'!$B$7:$B$207,0),MATCH(AR$8,'Budget-ACPSZL'!$K$6:$W$6,0)))</f>
        <v>0</v>
      </c>
      <c r="AS193" s="749">
        <f>AQ193-AR193</f>
        <v>0</v>
      </c>
      <c r="AT193" s="748"/>
      <c r="AV193" s="749">
        <f>SUM(INDEX('Actual-ACPLSZ'!$H$7:$T$207,MATCH($B193,'Actual-ACPLSZ'!$B$7:$B$207,0),MATCH('Actual-ACPLSZ'!H$6,'Actual-ACPLSZ'!$H$6:$T$6,0)):INDEX('Actual-ACPLSZ'!$H$7:$T$207,MATCH($B193,'Actual-ACPLSZ'!$B$7:$B$207,0),MATCH(AV$8,'Actual-ACPLSZ'!$H$6:$T$6,0)))</f>
        <v>0</v>
      </c>
      <c r="AW193" s="749">
        <f>SUM(INDEX('Budget-ACPLSZ'!$K$7:$W$207,MATCH($B193,'Budget-ACPLSZ'!$B$7:$B$207,0),MATCH('Budget-ACPLSZ'!K$6,'Budget-ACPLSZ'!$K$6:$W$6,0)):INDEX('Budget-ACPLSZ'!$K$7:$W$207,MATCH($B193,'Budget-ACPLSZ'!$B$7:$B$207,0),MATCH(AW$8,'Budget-ACPLSZ'!$K$6:$W$6,0)))</f>
        <v>0</v>
      </c>
      <c r="AX193" s="749">
        <f>AV193-AW193</f>
        <v>0</v>
      </c>
      <c r="AY193" s="748"/>
      <c r="BA193" s="749">
        <f>SUM(INDEX('Actual-ACPLGZ'!$H$7:$T$207,MATCH($B193,'Actual-ACPLGZ'!$B$7:$B$207,0),MATCH('Actual-ACPLGZ'!H$6,'Actual-ACPLGZ'!$H$6:$T$6,0)):INDEX('Actual-ACPLGZ'!$H$7:$T$207,MATCH($B193,'Actual-ACPLGZ'!$B$7:$B$207,0),MATCH(BA$8,'Actual-ACPLGZ'!$H$6:$T$6,0)))</f>
        <v>0</v>
      </c>
      <c r="BB193" s="749">
        <f>SUM(INDEX('Budget-ACPLGZ'!$K$7:$W$207,MATCH($B193,'Budget-ACPLGZ'!$B$7:$B$207,0),MATCH('Budget-ACPLGZ'!K$6,'Budget-ACPLGZ'!$K$6:$W$6,0)):INDEX('Budget-ACPLGZ'!$K$7:$W$207,MATCH($B193,'Budget-ACPLGZ'!$B$7:$B$207,0),MATCH(BB$8,'Budget-ACPLGZ'!$K$6:$W$6,0)))</f>
        <v>0</v>
      </c>
      <c r="BC193" s="749">
        <f t="shared" ref="BC193:BC209" si="111">BA193-BB193</f>
        <v>0</v>
      </c>
      <c r="BD193" s="748"/>
      <c r="BF193" s="749">
        <f>SUM(INDEX('Actual-ACPLYixing'!$H$7:$T$207,MATCH($B193,'Actual-ACPLYixing'!$B$7:$B$207,0),MATCH('Actual-ACPLYixing'!H$6,'Actual-ACPLYixing'!$H$6:$T$6,0)):INDEX('Actual-ACPLYixing'!$H$7:$T$207,MATCH($B193,'Actual-ACPLYixing'!$B$7:$B$207,0),MATCH(BF$8,'Actual-ACPLYixing'!$H$6:$T$6,0)))</f>
        <v>0</v>
      </c>
      <c r="BG193" s="749">
        <f>SUM(INDEX('Budget-Yixing'!$K$7:$W$207,MATCH($B193,'Budget-Yixing'!$B$7:$B$207,0),MATCH('Budget-Yixing'!K$6,'Budget-Yixing'!$K$6:$W$6,0)):INDEX('Budget-Yixing'!$K$7:$W$207,MATCH($B193,'Budget-Yixing'!$B$7:$B$207,0),MATCH(BG$8,'Budget-Yixing'!$K$6:$W$6,0)))</f>
        <v>0</v>
      </c>
      <c r="BH193" s="749">
        <f t="shared" ref="BH193:BH209" si="112">BF193-BG193</f>
        <v>0</v>
      </c>
      <c r="BI193" s="748"/>
    </row>
    <row r="194" spans="1:61" ht="16.5" customHeight="1">
      <c r="A194" s="653" t="str">
        <f>'Budget-合并'!A192</f>
        <v>6301.99</v>
      </c>
      <c r="B194" s="653" t="str">
        <f>'Budget-合并'!B192</f>
        <v>其他</v>
      </c>
      <c r="C194" s="746">
        <f>INDEX('Actual-ACPL'!$H$7:$T$207,MATCH($B194,'Actual-ACPL'!$B$7:$B$207,0),MATCH(C$8,'Actual-ACPL'!$H$6:$T$6,0))</f>
        <v>0</v>
      </c>
      <c r="D194" s="746">
        <f>INDEX('Budget-ACPL'!$K$7:$W$207,MATCH($B194,'Budget-ACPL'!$B$7:$B$207,0),MATCH(D$8,'Budget-ACPL'!$K$6:$W$6,0))</f>
        <v>0</v>
      </c>
      <c r="E194" s="746">
        <f t="shared" ref="E194:E207" si="113">C194-D194</f>
        <v>0</v>
      </c>
      <c r="F194" s="752"/>
      <c r="H194" s="749">
        <f>INDEX('Actual-ACPLHK'!$H$7:$T$207,MATCH($B194,'Actual-ACPLHK'!$B$7:$B$207,0),MATCH(H$8,'Actual-ACPLHK'!$H$6:$T$6,0))</f>
        <v>0</v>
      </c>
      <c r="I194" s="749">
        <f>INDEX('Budget-ACPLHK'!$K$7:$W$207,MATCH($B194,'Budget-ACPLHK'!$B$7:$B$207,0),MATCH(I$8,'Budget-ACPLHK'!$K$6:$W$6,0))</f>
        <v>0</v>
      </c>
      <c r="J194" s="749">
        <f t="shared" ref="J194:J207" si="114">H194-I194</f>
        <v>0</v>
      </c>
      <c r="K194" s="748"/>
      <c r="M194" s="749">
        <f>INDEX('Actual-ACPSZL'!$H$7:$T$207,MATCH($B194,'Actual-ACPSZL'!$B$7:$B$207,0),MATCH(M$8,'Actual-ACPSZL'!$H$6:$T$6,0))</f>
        <v>0</v>
      </c>
      <c r="N194" s="749">
        <f>INDEX('Budget-ACPSZL'!$K$7:$W$207,MATCH($B194,'Budget-ACPSZL'!$B$7:$B$207,0),MATCH(N$8,'Budget-ACPSZL'!$K$6:$W$6,0))</f>
        <v>0</v>
      </c>
      <c r="O194" s="749">
        <f t="shared" ref="O194:O206" si="115">M194-N194</f>
        <v>0</v>
      </c>
      <c r="P194" s="748"/>
      <c r="R194" s="749">
        <f>INDEX('Actual-ACPLSZ'!$H$7:$T$207,MATCH($B194,'Actual-ACPLSZ'!$B$7:$B$207,0),MATCH(R$8,'Actual-ACPLSZ'!$H$6:$T$6,0))</f>
        <v>0</v>
      </c>
      <c r="S194" s="749">
        <f>INDEX('Budget-ACPLSZ'!$K$7:$W$207,MATCH($B194,'Budget-ACPLSZ'!$B$7:$B$207,0),MATCH(S$8,'Budget-ACPLSZ'!$K$6:$W$6,0))</f>
        <v>0</v>
      </c>
      <c r="T194" s="749">
        <f t="shared" si="108"/>
        <v>0</v>
      </c>
      <c r="U194" s="748"/>
      <c r="W194" s="749">
        <f>INDEX('Actual-ACPLGZ'!$H$7:$T$207,MATCH($B194,'Actual-ACPLGZ'!$B$7:$B$207,0),MATCH(W$8,'Actual-ACPLGZ'!$H$6:$T$6,0))</f>
        <v>0</v>
      </c>
      <c r="X194" s="749">
        <f>INDEX('Budget-ACPLGZ'!$K$7:$W$207,MATCH($B194,'Budget-ACPLGZ'!$B$7:$B$207,0),MATCH(X$8,'Budget-ACPLGZ'!$K$6:$W$6,0))</f>
        <v>0</v>
      </c>
      <c r="Y194" s="749">
        <f t="shared" ref="Y194:Y206" si="116">W194-X194</f>
        <v>0</v>
      </c>
      <c r="Z194" s="748"/>
      <c r="AB194" s="749">
        <f>INDEX('Actual-ACPLGZ'!$H$7:$T$207,MATCH($B194,'Actual-ACPLGZ'!$B$7:$B$207,0),MATCH(AB$8,'Actual-ACPLGZ'!$H$6:$T$6,0))</f>
        <v>0</v>
      </c>
      <c r="AC194" s="749">
        <f>INDEX('Budget-Yixing'!$K$7:$W$207,MATCH($B194,'Budget-Yixing'!$B$7:$B$207,0),MATCH(AC$8,'Budget-Yixing'!$K$6:$W$6,0))</f>
        <v>0</v>
      </c>
      <c r="AD194" s="749">
        <f t="shared" si="109"/>
        <v>0</v>
      </c>
      <c r="AE194" s="748"/>
      <c r="AG194" s="751">
        <f>SUM(INDEX('Actual-ACPL'!$H$7:$T$207,MATCH($B194,'Actual-ACPL'!$B$7:$B$207,0),MATCH('Actual-ACPL'!H$6,'Actual-ACPL'!$H$6:$T$6,0)):INDEX('Actual-ACPL'!$H$7:$T$207,MATCH($B194,'Actual-ACPL'!$B$7:$B$207,0),MATCH(AG$8,'Actual-ACPL'!$H$6:$T$6,0)))</f>
        <v>0</v>
      </c>
      <c r="AH194" s="749">
        <f>SUM(INDEX('Budget-ACPL'!$K$7:$W$207,MATCH($B194,'Budget-ACPL'!$B$7:$B$207,0),MATCH('Budget-ACPL'!K$6,'Budget-ACPL'!$K$6:$W$6,0)):INDEX('Budget-ACPL'!$K$7:$W$207,MATCH($B194,'Budget-ACPL'!$B$7:$B$207,0),MATCH(AH$8,'Budget-ACPL'!$K$6:$W$6,0)))</f>
        <v>0</v>
      </c>
      <c r="AI194" s="749">
        <f t="shared" ref="AI194:AI209" si="117">AG194-AH194</f>
        <v>0</v>
      </c>
      <c r="AJ194" s="748"/>
      <c r="AL194" s="749">
        <f>SUM(INDEX('Actual-ACPLHK'!$H$7:$S$207,MATCH($B194,'Actual-ACPLHK'!$B$7:$B$207,0),MATCH('Actual-ACPLHK'!H$6,'Actual-ACPLHK'!$H$6:$T$6,0)):INDEX('Actual-ACPLHK'!$H$7:$S$207,MATCH($B194,'Actual-ACPLHK'!$B$7:$B$207,0),MATCH(AL$8,'Actual-ACPLHK'!$H$6:$T$6,0)))</f>
        <v>0</v>
      </c>
      <c r="AM194" s="749">
        <f>SUM(INDEX('Budget-ACPLHK'!$K$7:$W$207,MATCH($B194,'Budget-ACPLHK'!$B$7:$B$207,0),MATCH('Budget-ACPLHK'!K$6,'Budget-ACPLHK'!$K$6:$W$6,0)):INDEX('Budget-ACPLHK'!$K$7:$W$207,MATCH($B194,'Budget-ACPLHK'!$B$7:$B$207,0),MATCH(AM$8,'Budget-ACPLHK'!$K$6:$W$6,0)))</f>
        <v>0</v>
      </c>
      <c r="AN194" s="749">
        <f t="shared" si="110"/>
        <v>0</v>
      </c>
      <c r="AO194" s="748"/>
      <c r="AQ194" s="749">
        <f>SUM(INDEX('Actual-ACPSZL'!$H$7:$T$207,MATCH($B194,'Actual-ACPSZL'!$B$7:$B$207,0),MATCH('Actual-ACPSZL'!H$6,'Actual-ACPSZL'!$H$6:$T$6,0)):INDEX('Actual-ACPSZL'!$H$7:$T$207,MATCH($B194,'Actual-ACPSZL'!$B$7:$B$207,0),MATCH(AQ$8,'Actual-ACPSZL'!$H$6:$T$6,0)))</f>
        <v>0</v>
      </c>
      <c r="AR194" s="749">
        <f>SUM(INDEX('Budget-ACPSZL'!$K$7:$W$207,MATCH($B194,'Budget-ACPSZL'!$B$7:$B$207,0),MATCH('Budget-ACPSZL'!K$6,'Budget-ACPSZL'!$K$6:$W$6,0)):INDEX('Budget-ACPSZL'!$K$7:$W$207,MATCH($B194,'Budget-ACPSZL'!$B$7:$B$207,0),MATCH(AR$8,'Budget-ACPSZL'!$K$6:$W$6,0)))</f>
        <v>0</v>
      </c>
      <c r="AS194" s="749">
        <f t="shared" ref="AS194:AS209" si="118">AQ194-AR194</f>
        <v>0</v>
      </c>
      <c r="AT194" s="748"/>
      <c r="AV194" s="749">
        <f>SUM(INDEX('Actual-ACPLSZ'!$H$7:$T$207,MATCH($B194,'Actual-ACPLSZ'!$B$7:$B$207,0),MATCH('Actual-ACPLSZ'!H$6,'Actual-ACPLSZ'!$H$6:$T$6,0)):INDEX('Actual-ACPLSZ'!$H$7:$T$207,MATCH($B194,'Actual-ACPLSZ'!$B$7:$B$207,0),MATCH(AV$8,'Actual-ACPLSZ'!$H$6:$T$6,0)))</f>
        <v>0</v>
      </c>
      <c r="AW194" s="749">
        <f>SUM(INDEX('Budget-ACPLSZ'!$K$7:$W$207,MATCH($B194,'Budget-ACPLSZ'!$B$7:$B$207,0),MATCH('Budget-ACPLSZ'!K$6,'Budget-ACPLSZ'!$K$6:$W$6,0)):INDEX('Budget-ACPLSZ'!$K$7:$W$207,MATCH($B194,'Budget-ACPLSZ'!$B$7:$B$207,0),MATCH(AW$8,'Budget-ACPLSZ'!$K$6:$W$6,0)))</f>
        <v>0</v>
      </c>
      <c r="AX194" s="749">
        <f t="shared" ref="AX194:AX209" si="119">AV194-AW194</f>
        <v>0</v>
      </c>
      <c r="AY194" s="748"/>
      <c r="BA194" s="749">
        <f>SUM(INDEX('Actual-ACPLGZ'!$H$7:$T$207,MATCH($B194,'Actual-ACPLGZ'!$B$7:$B$207,0),MATCH('Actual-ACPLGZ'!H$6,'Actual-ACPLGZ'!$H$6:$T$6,0)):INDEX('Actual-ACPLGZ'!$H$7:$T$207,MATCH($B194,'Actual-ACPLGZ'!$B$7:$B$207,0),MATCH(BA$8,'Actual-ACPLGZ'!$H$6:$T$6,0)))</f>
        <v>0</v>
      </c>
      <c r="BB194" s="749">
        <f>SUM(INDEX('Budget-ACPLGZ'!$K$7:$W$207,MATCH($B194,'Budget-ACPLGZ'!$B$7:$B$207,0),MATCH('Budget-ACPLGZ'!K$6,'Budget-ACPLGZ'!$K$6:$W$6,0)):INDEX('Budget-ACPLGZ'!$K$7:$W$207,MATCH($B194,'Budget-ACPLGZ'!$B$7:$B$207,0),MATCH(BB$8,'Budget-ACPLGZ'!$K$6:$W$6,0)))</f>
        <v>0</v>
      </c>
      <c r="BC194" s="749">
        <f t="shared" si="111"/>
        <v>0</v>
      </c>
      <c r="BD194" s="748"/>
      <c r="BF194" s="749">
        <f>SUM(INDEX('Actual-ACPLYixing'!$H$7:$T$207,MATCH($B194,'Actual-ACPLYixing'!$B$7:$B$207,0),MATCH('Actual-ACPLYixing'!H$6,'Actual-ACPLYixing'!$H$6:$T$6,0)):INDEX('Actual-ACPLYixing'!$H$7:$T$207,MATCH($B194,'Actual-ACPLYixing'!$B$7:$B$207,0),MATCH(BF$8,'Actual-ACPLYixing'!$H$6:$T$6,0)))</f>
        <v>0</v>
      </c>
      <c r="BG194" s="749">
        <f>SUM(INDEX('Budget-Yixing'!$K$7:$W$207,MATCH($B194,'Budget-Yixing'!$B$7:$B$207,0),MATCH('Budget-Yixing'!K$6,'Budget-Yixing'!$K$6:$W$6,0)):INDEX('Budget-Yixing'!$K$7:$W$207,MATCH($B194,'Budget-Yixing'!$B$7:$B$207,0),MATCH(BG$8,'Budget-Yixing'!$K$6:$W$6,0)))</f>
        <v>0</v>
      </c>
      <c r="BH194" s="749">
        <f t="shared" si="112"/>
        <v>0</v>
      </c>
      <c r="BI194" s="748"/>
    </row>
    <row r="195" spans="1:61" ht="16.5" customHeight="1">
      <c r="A195" s="653" t="str">
        <f>'Budget-合并'!A193</f>
        <v>6402</v>
      </c>
      <c r="B195" s="653" t="str">
        <f>'Budget-合并'!B193</f>
        <v>其他业务成本</v>
      </c>
      <c r="C195" s="746">
        <f>INDEX('Actual-ACPL'!$H$7:$T$207,MATCH($B195,'Actual-ACPL'!$B$7:$B$207,0),MATCH(C$8,'Actual-ACPL'!$H$6:$T$6,0))</f>
        <v>0</v>
      </c>
      <c r="D195" s="746">
        <f>INDEX('Budget-ACPL'!$K$7:$W$207,MATCH($B195,'Budget-ACPL'!$B$7:$B$207,0),MATCH(D$8,'Budget-ACPL'!$K$6:$W$6,0))</f>
        <v>0</v>
      </c>
      <c r="E195" s="746">
        <f t="shared" si="113"/>
        <v>0</v>
      </c>
      <c r="F195" s="752"/>
      <c r="H195" s="749">
        <f>INDEX('Actual-ACPLHK'!$H$7:$T$207,MATCH($B195,'Actual-ACPLHK'!$B$7:$B$207,0),MATCH(H$8,'Actual-ACPLHK'!$H$6:$T$6,0))</f>
        <v>0</v>
      </c>
      <c r="I195" s="749">
        <f>INDEX('Budget-ACPLHK'!$K$7:$W$207,MATCH($B195,'Budget-ACPLHK'!$B$7:$B$207,0),MATCH(I$8,'Budget-ACPLHK'!$K$6:$W$6,0))</f>
        <v>0</v>
      </c>
      <c r="J195" s="749">
        <f t="shared" si="114"/>
        <v>0</v>
      </c>
      <c r="K195" s="748"/>
      <c r="M195" s="749">
        <f>INDEX('Actual-ACPSZL'!$H$7:$T$207,MATCH($B195,'Actual-ACPSZL'!$B$7:$B$207,0),MATCH(M$8,'Actual-ACPSZL'!$H$6:$T$6,0))</f>
        <v>0</v>
      </c>
      <c r="N195" s="749">
        <f>INDEX('Budget-ACPSZL'!$K$7:$W$207,MATCH($B195,'Budget-ACPSZL'!$B$7:$B$207,0),MATCH(N$8,'Budget-ACPSZL'!$K$6:$W$6,0))</f>
        <v>0</v>
      </c>
      <c r="O195" s="749">
        <f t="shared" si="115"/>
        <v>0</v>
      </c>
      <c r="P195" s="748"/>
      <c r="R195" s="749">
        <f>INDEX('Actual-ACPLSZ'!$H$7:$T$207,MATCH($B195,'Actual-ACPLSZ'!$B$7:$B$207,0),MATCH(R$8,'Actual-ACPLSZ'!$H$6:$T$6,0))</f>
        <v>0</v>
      </c>
      <c r="S195" s="749">
        <f>INDEX('Budget-ACPLSZ'!$K$7:$W$207,MATCH($B195,'Budget-ACPLSZ'!$B$7:$B$207,0),MATCH(S$8,'Budget-ACPLSZ'!$K$6:$W$6,0))</f>
        <v>0</v>
      </c>
      <c r="T195" s="749">
        <f t="shared" si="108"/>
        <v>0</v>
      </c>
      <c r="U195" s="748"/>
      <c r="W195" s="749">
        <f>INDEX('Actual-ACPLGZ'!$H$7:$T$207,MATCH($B195,'Actual-ACPLGZ'!$B$7:$B$207,0),MATCH(W$8,'Actual-ACPLGZ'!$H$6:$T$6,0))</f>
        <v>0</v>
      </c>
      <c r="X195" s="749">
        <f>INDEX('Budget-ACPLGZ'!$K$7:$W$207,MATCH($B195,'Budget-ACPLGZ'!$B$7:$B$207,0),MATCH(X$8,'Budget-ACPLGZ'!$K$6:$W$6,0))</f>
        <v>0</v>
      </c>
      <c r="Y195" s="749">
        <f t="shared" si="116"/>
        <v>0</v>
      </c>
      <c r="Z195" s="748"/>
      <c r="AB195" s="749">
        <f>INDEX('Actual-ACPLGZ'!$H$7:$T$207,MATCH($B195,'Actual-ACPLGZ'!$B$7:$B$207,0),MATCH(AB$8,'Actual-ACPLGZ'!$H$6:$T$6,0))</f>
        <v>0</v>
      </c>
      <c r="AC195" s="749">
        <f>INDEX('Budget-Yixing'!$K$7:$W$207,MATCH($B195,'Budget-Yixing'!$B$7:$B$207,0),MATCH(AC$8,'Budget-Yixing'!$K$6:$W$6,0))</f>
        <v>0</v>
      </c>
      <c r="AD195" s="749">
        <f t="shared" si="109"/>
        <v>0</v>
      </c>
      <c r="AE195" s="748"/>
      <c r="AG195" s="751">
        <f>SUM(INDEX('Actual-ACPL'!$H$7:$T$207,MATCH($B195,'Actual-ACPL'!$B$7:$B$207,0),MATCH('Actual-ACPL'!H$6,'Actual-ACPL'!$H$6:$T$6,0)):INDEX('Actual-ACPL'!$H$7:$T$207,MATCH($B195,'Actual-ACPL'!$B$7:$B$207,0),MATCH(AG$8,'Actual-ACPL'!$H$6:$T$6,0)))</f>
        <v>0</v>
      </c>
      <c r="AH195" s="749">
        <f>SUM(INDEX('Budget-ACPL'!$K$7:$W$207,MATCH($B195,'Budget-ACPL'!$B$7:$B$207,0),MATCH('Budget-ACPL'!K$6,'Budget-ACPL'!$K$6:$W$6,0)):INDEX('Budget-ACPL'!$K$7:$W$207,MATCH($B195,'Budget-ACPL'!$B$7:$B$207,0),MATCH(AH$8,'Budget-ACPL'!$K$6:$W$6,0)))</f>
        <v>0</v>
      </c>
      <c r="AI195" s="749">
        <f t="shared" si="117"/>
        <v>0</v>
      </c>
      <c r="AJ195" s="748"/>
      <c r="AL195" s="749">
        <f>SUM(INDEX('Actual-ACPLHK'!$H$7:$S$207,MATCH($B195,'Actual-ACPLHK'!$B$7:$B$207,0),MATCH('Actual-ACPLHK'!H$6,'Actual-ACPLHK'!$H$6:$T$6,0)):INDEX('Actual-ACPLHK'!$H$7:$S$207,MATCH($B195,'Actual-ACPLHK'!$B$7:$B$207,0),MATCH(AL$8,'Actual-ACPLHK'!$H$6:$T$6,0)))</f>
        <v>0</v>
      </c>
      <c r="AM195" s="749">
        <f>SUM(INDEX('Budget-ACPLHK'!$K$7:$W$207,MATCH($B195,'Budget-ACPLHK'!$B$7:$B$207,0),MATCH('Budget-ACPLHK'!K$6,'Budget-ACPLHK'!$K$6:$W$6,0)):INDEX('Budget-ACPLHK'!$K$7:$W$207,MATCH($B195,'Budget-ACPLHK'!$B$7:$B$207,0),MATCH(AM$8,'Budget-ACPLHK'!$K$6:$W$6,0)))</f>
        <v>0</v>
      </c>
      <c r="AN195" s="749">
        <f t="shared" si="110"/>
        <v>0</v>
      </c>
      <c r="AO195" s="748"/>
      <c r="AQ195" s="749">
        <f>SUM(INDEX('Actual-ACPSZL'!$H$7:$T$207,MATCH($B195,'Actual-ACPSZL'!$B$7:$B$207,0),MATCH('Actual-ACPSZL'!H$6,'Actual-ACPSZL'!$H$6:$T$6,0)):INDEX('Actual-ACPSZL'!$H$7:$T$207,MATCH($B195,'Actual-ACPSZL'!$B$7:$B$207,0),MATCH(AQ$8,'Actual-ACPSZL'!$H$6:$T$6,0)))</f>
        <v>0</v>
      </c>
      <c r="AR195" s="749">
        <f>SUM(INDEX('Budget-ACPSZL'!$K$7:$W$207,MATCH($B195,'Budget-ACPSZL'!$B$7:$B$207,0),MATCH('Budget-ACPSZL'!K$6,'Budget-ACPSZL'!$K$6:$W$6,0)):INDEX('Budget-ACPSZL'!$K$7:$W$207,MATCH($B195,'Budget-ACPSZL'!$B$7:$B$207,0),MATCH(AR$8,'Budget-ACPSZL'!$K$6:$W$6,0)))</f>
        <v>0</v>
      </c>
      <c r="AS195" s="749">
        <f t="shared" si="118"/>
        <v>0</v>
      </c>
      <c r="AT195" s="748"/>
      <c r="AV195" s="749">
        <f>SUM(INDEX('Actual-ACPLSZ'!$H$7:$T$207,MATCH($B195,'Actual-ACPLSZ'!$B$7:$B$207,0),MATCH('Actual-ACPLSZ'!H$6,'Actual-ACPLSZ'!$H$6:$T$6,0)):INDEX('Actual-ACPLSZ'!$H$7:$T$207,MATCH($B195,'Actual-ACPLSZ'!$B$7:$B$207,0),MATCH(AV$8,'Actual-ACPLSZ'!$H$6:$T$6,0)))</f>
        <v>0</v>
      </c>
      <c r="AW195" s="749">
        <f>SUM(INDEX('Budget-ACPLSZ'!$K$7:$W$207,MATCH($B195,'Budget-ACPLSZ'!$B$7:$B$207,0),MATCH('Budget-ACPLSZ'!K$6,'Budget-ACPLSZ'!$K$6:$W$6,0)):INDEX('Budget-ACPLSZ'!$K$7:$W$207,MATCH($B195,'Budget-ACPLSZ'!$B$7:$B$207,0),MATCH(AW$8,'Budget-ACPLSZ'!$K$6:$W$6,0)))</f>
        <v>0</v>
      </c>
      <c r="AX195" s="749">
        <f t="shared" si="119"/>
        <v>0</v>
      </c>
      <c r="AY195" s="748"/>
      <c r="BA195" s="749">
        <f>SUM(INDEX('Actual-ACPLGZ'!$H$7:$T$207,MATCH($B195,'Actual-ACPLGZ'!$B$7:$B$207,0),MATCH('Actual-ACPLGZ'!H$6,'Actual-ACPLGZ'!$H$6:$T$6,0)):INDEX('Actual-ACPLGZ'!$H$7:$T$207,MATCH($B195,'Actual-ACPLGZ'!$B$7:$B$207,0),MATCH(BA$8,'Actual-ACPLGZ'!$H$6:$T$6,0)))</f>
        <v>0</v>
      </c>
      <c r="BB195" s="749">
        <f>SUM(INDEX('Budget-ACPLGZ'!$K$7:$W$207,MATCH($B195,'Budget-ACPLGZ'!$B$7:$B$207,0),MATCH('Budget-ACPLGZ'!K$6,'Budget-ACPLGZ'!$K$6:$W$6,0)):INDEX('Budget-ACPLGZ'!$K$7:$W$207,MATCH($B195,'Budget-ACPLGZ'!$B$7:$B$207,0),MATCH(BB$8,'Budget-ACPLGZ'!$K$6:$W$6,0)))</f>
        <v>0</v>
      </c>
      <c r="BC195" s="749">
        <f t="shared" si="111"/>
        <v>0</v>
      </c>
      <c r="BD195" s="748"/>
      <c r="BF195" s="749">
        <f>SUM(INDEX('Actual-ACPLYixing'!$H$7:$T$207,MATCH($B195,'Actual-ACPLYixing'!$B$7:$B$207,0),MATCH('Actual-ACPLYixing'!H$6,'Actual-ACPLYixing'!$H$6:$T$6,0)):INDEX('Actual-ACPLYixing'!$H$7:$T$207,MATCH($B195,'Actual-ACPLYixing'!$B$7:$B$207,0),MATCH(BF$8,'Actual-ACPLYixing'!$H$6:$T$6,0)))</f>
        <v>0</v>
      </c>
      <c r="BG195" s="749">
        <f>SUM(INDEX('Budget-Yixing'!$K$7:$W$207,MATCH($B195,'Budget-Yixing'!$B$7:$B$207,0),MATCH('Budget-Yixing'!K$6,'Budget-Yixing'!$K$6:$W$6,0)):INDEX('Budget-Yixing'!$K$7:$W$207,MATCH($B195,'Budget-Yixing'!$B$7:$B$207,0),MATCH(BG$8,'Budget-Yixing'!$K$6:$W$6,0)))</f>
        <v>0</v>
      </c>
      <c r="BH195" s="749">
        <f t="shared" si="112"/>
        <v>0</v>
      </c>
      <c r="BI195" s="748"/>
    </row>
    <row r="196" spans="1:61" ht="16.5" customHeight="1">
      <c r="A196" s="653" t="str">
        <f>'Budget-合并'!A194</f>
        <v>6701</v>
      </c>
      <c r="B196" s="653" t="str">
        <f>'Budget-合并'!B194</f>
        <v>资产减值损失</v>
      </c>
      <c r="C196" s="746">
        <f>INDEX('Actual-ACPL'!$H$7:$T$207,MATCH($B196,'Actual-ACPL'!$B$7:$B$207,0),MATCH(C$8,'Actual-ACPL'!$H$6:$T$6,0))</f>
        <v>0</v>
      </c>
      <c r="D196" s="746">
        <f>INDEX('Budget-ACPL'!$K$7:$W$207,MATCH($B196,'Budget-ACPL'!$B$7:$B$207,0),MATCH(D$8,'Budget-ACPL'!$K$6:$W$6,0))</f>
        <v>0</v>
      </c>
      <c r="E196" s="746">
        <f t="shared" si="113"/>
        <v>0</v>
      </c>
      <c r="F196" s="752"/>
      <c r="H196" s="749">
        <f>INDEX('Actual-ACPLHK'!$H$7:$T$207,MATCH($B196,'Actual-ACPLHK'!$B$7:$B$207,0),MATCH(H$8,'Actual-ACPLHK'!$H$6:$T$6,0))</f>
        <v>0</v>
      </c>
      <c r="I196" s="749">
        <f>INDEX('Budget-ACPLHK'!$K$7:$W$207,MATCH($B196,'Budget-ACPLHK'!$B$7:$B$207,0),MATCH(I$8,'Budget-ACPLHK'!$K$6:$W$6,0))</f>
        <v>0</v>
      </c>
      <c r="J196" s="749">
        <f t="shared" si="114"/>
        <v>0</v>
      </c>
      <c r="K196" s="748"/>
      <c r="M196" s="749">
        <f>INDEX('Actual-ACPSZL'!$H$7:$T$207,MATCH($B196,'Actual-ACPSZL'!$B$7:$B$207,0),MATCH(M$8,'Actual-ACPSZL'!$H$6:$T$6,0))</f>
        <v>0</v>
      </c>
      <c r="N196" s="749">
        <f>INDEX('Budget-ACPSZL'!$K$7:$W$207,MATCH($B196,'Budget-ACPSZL'!$B$7:$B$207,0),MATCH(N$8,'Budget-ACPSZL'!$K$6:$W$6,0))</f>
        <v>0</v>
      </c>
      <c r="O196" s="749">
        <f t="shared" si="115"/>
        <v>0</v>
      </c>
      <c r="P196" s="748"/>
      <c r="R196" s="749">
        <f>INDEX('Actual-ACPLSZ'!$H$7:$T$207,MATCH($B196,'Actual-ACPLSZ'!$B$7:$B$207,0),MATCH(R$8,'Actual-ACPLSZ'!$H$6:$T$6,0))</f>
        <v>0</v>
      </c>
      <c r="S196" s="749">
        <f>INDEX('Budget-ACPLSZ'!$K$7:$W$207,MATCH($B196,'Budget-ACPLSZ'!$B$7:$B$207,0),MATCH(S$8,'Budget-ACPLSZ'!$K$6:$W$6,0))</f>
        <v>0</v>
      </c>
      <c r="T196" s="749">
        <f t="shared" si="108"/>
        <v>0</v>
      </c>
      <c r="U196" s="748"/>
      <c r="W196" s="749">
        <f>INDEX('Actual-ACPLGZ'!$H$7:$T$207,MATCH($B196,'Actual-ACPLGZ'!$B$7:$B$207,0),MATCH(W$8,'Actual-ACPLGZ'!$H$6:$T$6,0))</f>
        <v>0</v>
      </c>
      <c r="X196" s="749">
        <f>INDEX('Budget-ACPLGZ'!$K$7:$W$207,MATCH($B196,'Budget-ACPLGZ'!$B$7:$B$207,0),MATCH(X$8,'Budget-ACPLGZ'!$K$6:$W$6,0))</f>
        <v>0</v>
      </c>
      <c r="Y196" s="749">
        <f t="shared" si="116"/>
        <v>0</v>
      </c>
      <c r="Z196" s="748"/>
      <c r="AB196" s="749">
        <f>INDEX('Actual-ACPLGZ'!$H$7:$T$207,MATCH($B196,'Actual-ACPLGZ'!$B$7:$B$207,0),MATCH(AB$8,'Actual-ACPLGZ'!$H$6:$T$6,0))</f>
        <v>0</v>
      </c>
      <c r="AC196" s="749">
        <f>INDEX('Budget-Yixing'!$K$7:$W$207,MATCH($B196,'Budget-Yixing'!$B$7:$B$207,0),MATCH(AC$8,'Budget-Yixing'!$K$6:$W$6,0))</f>
        <v>0</v>
      </c>
      <c r="AD196" s="749">
        <f t="shared" si="109"/>
        <v>0</v>
      </c>
      <c r="AE196" s="748"/>
      <c r="AG196" s="751">
        <f>SUM(INDEX('Actual-ACPL'!$H$7:$T$207,MATCH($B196,'Actual-ACPL'!$B$7:$B$207,0),MATCH('Actual-ACPL'!H$6,'Actual-ACPL'!$H$6:$T$6,0)):INDEX('Actual-ACPL'!$H$7:$T$207,MATCH($B196,'Actual-ACPL'!$B$7:$B$207,0),MATCH(AG$8,'Actual-ACPL'!$H$6:$T$6,0)))</f>
        <v>0</v>
      </c>
      <c r="AH196" s="749">
        <f>SUM(INDEX('Budget-ACPL'!$K$7:$W$207,MATCH($B196,'Budget-ACPL'!$B$7:$B$207,0),MATCH('Budget-ACPL'!K$6,'Budget-ACPL'!$K$6:$W$6,0)):INDEX('Budget-ACPL'!$K$7:$W$207,MATCH($B196,'Budget-ACPL'!$B$7:$B$207,0),MATCH(AH$8,'Budget-ACPL'!$K$6:$W$6,0)))</f>
        <v>0</v>
      </c>
      <c r="AI196" s="749">
        <f t="shared" si="117"/>
        <v>0</v>
      </c>
      <c r="AJ196" s="748"/>
      <c r="AL196" s="749">
        <f>SUM(INDEX('Actual-ACPLHK'!$H$7:$S$207,MATCH($B196,'Actual-ACPLHK'!$B$7:$B$207,0),MATCH('Actual-ACPLHK'!H$6,'Actual-ACPLHK'!$H$6:$T$6,0)):INDEX('Actual-ACPLHK'!$H$7:$S$207,MATCH($B196,'Actual-ACPLHK'!$B$7:$B$207,0),MATCH(AL$8,'Actual-ACPLHK'!$H$6:$T$6,0)))</f>
        <v>0</v>
      </c>
      <c r="AM196" s="749">
        <f>SUM(INDEX('Budget-ACPLHK'!$K$7:$W$207,MATCH($B196,'Budget-ACPLHK'!$B$7:$B$207,0),MATCH('Budget-ACPLHK'!K$6,'Budget-ACPLHK'!$K$6:$W$6,0)):INDEX('Budget-ACPLHK'!$K$7:$W$207,MATCH($B196,'Budget-ACPLHK'!$B$7:$B$207,0),MATCH(AM$8,'Budget-ACPLHK'!$K$6:$W$6,0)))</f>
        <v>0</v>
      </c>
      <c r="AN196" s="749">
        <f t="shared" si="110"/>
        <v>0</v>
      </c>
      <c r="AO196" s="748"/>
      <c r="AQ196" s="749">
        <f>SUM(INDEX('Actual-ACPSZL'!$H$7:$T$207,MATCH($B196,'Actual-ACPSZL'!$B$7:$B$207,0),MATCH('Actual-ACPSZL'!H$6,'Actual-ACPSZL'!$H$6:$T$6,0)):INDEX('Actual-ACPSZL'!$H$7:$T$207,MATCH($B196,'Actual-ACPSZL'!$B$7:$B$207,0),MATCH(AQ$8,'Actual-ACPSZL'!$H$6:$T$6,0)))</f>
        <v>0</v>
      </c>
      <c r="AR196" s="749">
        <f>SUM(INDEX('Budget-ACPSZL'!$K$7:$W$207,MATCH($B196,'Budget-ACPSZL'!$B$7:$B$207,0),MATCH('Budget-ACPSZL'!K$6,'Budget-ACPSZL'!$K$6:$W$6,0)):INDEX('Budget-ACPSZL'!$K$7:$W$207,MATCH($B196,'Budget-ACPSZL'!$B$7:$B$207,0),MATCH(AR$8,'Budget-ACPSZL'!$K$6:$W$6,0)))</f>
        <v>0</v>
      </c>
      <c r="AS196" s="749">
        <f t="shared" si="118"/>
        <v>0</v>
      </c>
      <c r="AT196" s="748"/>
      <c r="AV196" s="749">
        <f>SUM(INDEX('Actual-ACPLSZ'!$H$7:$T$207,MATCH($B196,'Actual-ACPLSZ'!$B$7:$B$207,0),MATCH('Actual-ACPLSZ'!H$6,'Actual-ACPLSZ'!$H$6:$T$6,0)):INDEX('Actual-ACPLSZ'!$H$7:$T$207,MATCH($B196,'Actual-ACPLSZ'!$B$7:$B$207,0),MATCH(AV$8,'Actual-ACPLSZ'!$H$6:$T$6,0)))</f>
        <v>0</v>
      </c>
      <c r="AW196" s="749">
        <f>SUM(INDEX('Budget-ACPLSZ'!$K$7:$W$207,MATCH($B196,'Budget-ACPLSZ'!$B$7:$B$207,0),MATCH('Budget-ACPLSZ'!K$6,'Budget-ACPLSZ'!$K$6:$W$6,0)):INDEX('Budget-ACPLSZ'!$K$7:$W$207,MATCH($B196,'Budget-ACPLSZ'!$B$7:$B$207,0),MATCH(AW$8,'Budget-ACPLSZ'!$K$6:$W$6,0)))</f>
        <v>0</v>
      </c>
      <c r="AX196" s="749">
        <f t="shared" si="119"/>
        <v>0</v>
      </c>
      <c r="AY196" s="748"/>
      <c r="BA196" s="749">
        <f>SUM(INDEX('Actual-ACPLGZ'!$H$7:$T$207,MATCH($B196,'Actual-ACPLGZ'!$B$7:$B$207,0),MATCH('Actual-ACPLGZ'!H$6,'Actual-ACPLGZ'!$H$6:$T$6,0)):INDEX('Actual-ACPLGZ'!$H$7:$T$207,MATCH($B196,'Actual-ACPLGZ'!$B$7:$B$207,0),MATCH(BA$8,'Actual-ACPLGZ'!$H$6:$T$6,0)))</f>
        <v>0</v>
      </c>
      <c r="BB196" s="749">
        <f>SUM(INDEX('Budget-ACPLGZ'!$K$7:$W$207,MATCH($B196,'Budget-ACPLGZ'!$B$7:$B$207,0),MATCH('Budget-ACPLGZ'!K$6,'Budget-ACPLGZ'!$K$6:$W$6,0)):INDEX('Budget-ACPLGZ'!$K$7:$W$207,MATCH($B196,'Budget-ACPLGZ'!$B$7:$B$207,0),MATCH(BB$8,'Budget-ACPLGZ'!$K$6:$W$6,0)))</f>
        <v>0</v>
      </c>
      <c r="BC196" s="749">
        <f t="shared" si="111"/>
        <v>0</v>
      </c>
      <c r="BD196" s="748"/>
      <c r="BF196" s="749">
        <f>SUM(INDEX('Actual-ACPLYixing'!$H$7:$T$207,MATCH($B196,'Actual-ACPLYixing'!$B$7:$B$207,0),MATCH('Actual-ACPLYixing'!H$6,'Actual-ACPLYixing'!$H$6:$T$6,0)):INDEX('Actual-ACPLYixing'!$H$7:$T$207,MATCH($B196,'Actual-ACPLYixing'!$B$7:$B$207,0),MATCH(BF$8,'Actual-ACPLYixing'!$H$6:$T$6,0)))</f>
        <v>0</v>
      </c>
      <c r="BG196" s="749">
        <f>SUM(INDEX('Budget-Yixing'!$K$7:$W$207,MATCH($B196,'Budget-Yixing'!$B$7:$B$207,0),MATCH('Budget-Yixing'!K$6,'Budget-Yixing'!$K$6:$W$6,0)):INDEX('Budget-Yixing'!$K$7:$W$207,MATCH($B196,'Budget-Yixing'!$B$7:$B$207,0),MATCH(BG$8,'Budget-Yixing'!$K$6:$W$6,0)))</f>
        <v>0</v>
      </c>
      <c r="BH196" s="749">
        <f t="shared" si="112"/>
        <v>0</v>
      </c>
      <c r="BI196" s="748"/>
    </row>
    <row r="197" spans="1:61" ht="16.5" customHeight="1">
      <c r="A197" s="653" t="str">
        <f>'Budget-合并'!A195</f>
        <v>6711</v>
      </c>
      <c r="B197" s="653" t="str">
        <f>'Budget-合并'!B195</f>
        <v>营业外支出</v>
      </c>
      <c r="C197" s="746">
        <f>INDEX('Actual-ACPL'!$H$7:$T$207,MATCH($B197,'Actual-ACPL'!$B$7:$B$207,0),MATCH(C$8,'Actual-ACPL'!$H$6:$T$6,0))</f>
        <v>0</v>
      </c>
      <c r="D197" s="746">
        <f>INDEX('Budget-ACPL'!$K$7:$W$207,MATCH($B197,'Budget-ACPL'!$B$7:$B$207,0),MATCH(D$8,'Budget-ACPL'!$K$6:$W$6,0))</f>
        <v>0</v>
      </c>
      <c r="E197" s="746">
        <f t="shared" si="113"/>
        <v>0</v>
      </c>
      <c r="F197" s="752"/>
      <c r="H197" s="749">
        <f>INDEX('Actual-ACPLHK'!$H$7:$T$207,MATCH($B197,'Actual-ACPLHK'!$B$7:$B$207,0),MATCH(H$8,'Actual-ACPLHK'!$H$6:$T$6,0))</f>
        <v>0</v>
      </c>
      <c r="I197" s="749">
        <f>INDEX('Budget-ACPLHK'!$K$7:$W$207,MATCH($B197,'Budget-ACPLHK'!$B$7:$B$207,0),MATCH(I$8,'Budget-ACPLHK'!$K$6:$W$6,0))</f>
        <v>0</v>
      </c>
      <c r="J197" s="749">
        <f t="shared" si="114"/>
        <v>0</v>
      </c>
      <c r="K197" s="748"/>
      <c r="M197" s="749">
        <f>INDEX('Actual-ACPSZL'!$H$7:$T$207,MATCH($B197,'Actual-ACPSZL'!$B$7:$B$207,0),MATCH(M$8,'Actual-ACPSZL'!$H$6:$T$6,0))</f>
        <v>0</v>
      </c>
      <c r="N197" s="749">
        <f>INDEX('Budget-ACPSZL'!$K$7:$W$207,MATCH($B197,'Budget-ACPSZL'!$B$7:$B$207,0),MATCH(N$8,'Budget-ACPSZL'!$K$6:$W$6,0))</f>
        <v>0</v>
      </c>
      <c r="O197" s="749">
        <f t="shared" si="115"/>
        <v>0</v>
      </c>
      <c r="P197" s="748"/>
      <c r="R197" s="749">
        <f>INDEX('Actual-ACPLSZ'!$H$7:$T$207,MATCH($B197,'Actual-ACPLSZ'!$B$7:$B$207,0),MATCH(R$8,'Actual-ACPLSZ'!$H$6:$T$6,0))</f>
        <v>0</v>
      </c>
      <c r="S197" s="749">
        <f>INDEX('Budget-ACPLSZ'!$K$7:$W$207,MATCH($B197,'Budget-ACPLSZ'!$B$7:$B$207,0),MATCH(S$8,'Budget-ACPLSZ'!$K$6:$W$6,0))</f>
        <v>0</v>
      </c>
      <c r="T197" s="749">
        <f t="shared" si="108"/>
        <v>0</v>
      </c>
      <c r="U197" s="748"/>
      <c r="W197" s="749">
        <f>INDEX('Actual-ACPLGZ'!$H$7:$T$207,MATCH($B197,'Actual-ACPLGZ'!$B$7:$B$207,0),MATCH(W$8,'Actual-ACPLGZ'!$H$6:$T$6,0))</f>
        <v>0</v>
      </c>
      <c r="X197" s="749">
        <f>INDEX('Budget-ACPLGZ'!$K$7:$W$207,MATCH($B197,'Budget-ACPLGZ'!$B$7:$B$207,0),MATCH(X$8,'Budget-ACPLGZ'!$K$6:$W$6,0))</f>
        <v>0</v>
      </c>
      <c r="Y197" s="749">
        <f t="shared" si="116"/>
        <v>0</v>
      </c>
      <c r="Z197" s="748"/>
      <c r="AB197" s="749">
        <f>INDEX('Actual-ACPLGZ'!$H$7:$T$207,MATCH($B197,'Actual-ACPLGZ'!$B$7:$B$207,0),MATCH(AB$8,'Actual-ACPLGZ'!$H$6:$T$6,0))</f>
        <v>0</v>
      </c>
      <c r="AC197" s="749">
        <f>INDEX('Budget-Yixing'!$K$7:$W$207,MATCH($B197,'Budget-Yixing'!$B$7:$B$207,0),MATCH(AC$8,'Budget-Yixing'!$K$6:$W$6,0))</f>
        <v>0</v>
      </c>
      <c r="AD197" s="749">
        <f t="shared" si="109"/>
        <v>0</v>
      </c>
      <c r="AE197" s="748"/>
      <c r="AG197" s="751">
        <f>SUM(INDEX('Actual-ACPL'!$H$7:$T$207,MATCH($B197,'Actual-ACPL'!$B$7:$B$207,0),MATCH('Actual-ACPL'!H$6,'Actual-ACPL'!$H$6:$T$6,0)):INDEX('Actual-ACPL'!$H$7:$T$207,MATCH($B197,'Actual-ACPL'!$B$7:$B$207,0),MATCH(AG$8,'Actual-ACPL'!$H$6:$T$6,0)))</f>
        <v>0</v>
      </c>
      <c r="AH197" s="749">
        <f>SUM(INDEX('Budget-ACPL'!$K$7:$W$207,MATCH($B197,'Budget-ACPL'!$B$7:$B$207,0),MATCH('Budget-ACPL'!K$6,'Budget-ACPL'!$K$6:$W$6,0)):INDEX('Budget-ACPL'!$K$7:$W$207,MATCH($B197,'Budget-ACPL'!$B$7:$B$207,0),MATCH(AH$8,'Budget-ACPL'!$K$6:$W$6,0)))</f>
        <v>0</v>
      </c>
      <c r="AI197" s="749">
        <f t="shared" si="117"/>
        <v>0</v>
      </c>
      <c r="AJ197" s="748"/>
      <c r="AL197" s="749">
        <f>SUM(INDEX('Actual-ACPLHK'!$H$7:$S$207,MATCH($B197,'Actual-ACPLHK'!$B$7:$B$207,0),MATCH('Actual-ACPLHK'!H$6,'Actual-ACPLHK'!$H$6:$T$6,0)):INDEX('Actual-ACPLHK'!$H$7:$S$207,MATCH($B197,'Actual-ACPLHK'!$B$7:$B$207,0),MATCH(AL$8,'Actual-ACPLHK'!$H$6:$T$6,0)))</f>
        <v>0</v>
      </c>
      <c r="AM197" s="749">
        <f>SUM(INDEX('Budget-ACPLHK'!$K$7:$W$207,MATCH($B197,'Budget-ACPLHK'!$B$7:$B$207,0),MATCH('Budget-ACPLHK'!K$6,'Budget-ACPLHK'!$K$6:$W$6,0)):INDEX('Budget-ACPLHK'!$K$7:$W$207,MATCH($B197,'Budget-ACPLHK'!$B$7:$B$207,0),MATCH(AM$8,'Budget-ACPLHK'!$K$6:$W$6,0)))</f>
        <v>0</v>
      </c>
      <c r="AN197" s="749">
        <f t="shared" si="110"/>
        <v>0</v>
      </c>
      <c r="AO197" s="748"/>
      <c r="AQ197" s="749">
        <f>SUM(INDEX('Actual-ACPSZL'!$H$7:$T$207,MATCH($B197,'Actual-ACPSZL'!$B$7:$B$207,0),MATCH('Actual-ACPSZL'!H$6,'Actual-ACPSZL'!$H$6:$T$6,0)):INDEX('Actual-ACPSZL'!$H$7:$T$207,MATCH($B197,'Actual-ACPSZL'!$B$7:$B$207,0),MATCH(AQ$8,'Actual-ACPSZL'!$H$6:$T$6,0)))</f>
        <v>0</v>
      </c>
      <c r="AR197" s="749">
        <f>SUM(INDEX('Budget-ACPSZL'!$K$7:$W$207,MATCH($B197,'Budget-ACPSZL'!$B$7:$B$207,0),MATCH('Budget-ACPSZL'!K$6,'Budget-ACPSZL'!$K$6:$W$6,0)):INDEX('Budget-ACPSZL'!$K$7:$W$207,MATCH($B197,'Budget-ACPSZL'!$B$7:$B$207,0),MATCH(AR$8,'Budget-ACPSZL'!$K$6:$W$6,0)))</f>
        <v>0</v>
      </c>
      <c r="AS197" s="749">
        <f t="shared" si="118"/>
        <v>0</v>
      </c>
      <c r="AT197" s="748"/>
      <c r="AV197" s="749">
        <f>SUM(INDEX('Actual-ACPLSZ'!$H$7:$T$207,MATCH($B197,'Actual-ACPLSZ'!$B$7:$B$207,0),MATCH('Actual-ACPLSZ'!H$6,'Actual-ACPLSZ'!$H$6:$T$6,0)):INDEX('Actual-ACPLSZ'!$H$7:$T$207,MATCH($B197,'Actual-ACPLSZ'!$B$7:$B$207,0),MATCH(AV$8,'Actual-ACPLSZ'!$H$6:$T$6,0)))</f>
        <v>0</v>
      </c>
      <c r="AW197" s="749">
        <f>SUM(INDEX('Budget-ACPLSZ'!$K$7:$W$207,MATCH($B197,'Budget-ACPLSZ'!$B$7:$B$207,0),MATCH('Budget-ACPLSZ'!K$6,'Budget-ACPLSZ'!$K$6:$W$6,0)):INDEX('Budget-ACPLSZ'!$K$7:$W$207,MATCH($B197,'Budget-ACPLSZ'!$B$7:$B$207,0),MATCH(AW$8,'Budget-ACPLSZ'!$K$6:$W$6,0)))</f>
        <v>0</v>
      </c>
      <c r="AX197" s="749">
        <f t="shared" si="119"/>
        <v>0</v>
      </c>
      <c r="AY197" s="748"/>
      <c r="BA197" s="749">
        <f>SUM(INDEX('Actual-ACPLGZ'!$H$7:$T$207,MATCH($B197,'Actual-ACPLGZ'!$B$7:$B$207,0),MATCH('Actual-ACPLGZ'!H$6,'Actual-ACPLGZ'!$H$6:$T$6,0)):INDEX('Actual-ACPLGZ'!$H$7:$T$207,MATCH($B197,'Actual-ACPLGZ'!$B$7:$B$207,0),MATCH(BA$8,'Actual-ACPLGZ'!$H$6:$T$6,0)))</f>
        <v>0</v>
      </c>
      <c r="BB197" s="749">
        <f>SUM(INDEX('Budget-ACPLGZ'!$K$7:$W$207,MATCH($B197,'Budget-ACPLGZ'!$B$7:$B$207,0),MATCH('Budget-ACPLGZ'!K$6,'Budget-ACPLGZ'!$K$6:$W$6,0)):INDEX('Budget-ACPLGZ'!$K$7:$W$207,MATCH($B197,'Budget-ACPLGZ'!$B$7:$B$207,0),MATCH(BB$8,'Budget-ACPLGZ'!$K$6:$W$6,0)))</f>
        <v>0</v>
      </c>
      <c r="BC197" s="749">
        <f t="shared" si="111"/>
        <v>0</v>
      </c>
      <c r="BD197" s="748"/>
      <c r="BF197" s="749">
        <f>SUM(INDEX('Actual-ACPLYixing'!$H$7:$T$207,MATCH($B197,'Actual-ACPLYixing'!$B$7:$B$207,0),MATCH('Actual-ACPLYixing'!H$6,'Actual-ACPLYixing'!$H$6:$T$6,0)):INDEX('Actual-ACPLYixing'!$H$7:$T$207,MATCH($B197,'Actual-ACPLYixing'!$B$7:$B$207,0),MATCH(BF$8,'Actual-ACPLYixing'!$H$6:$T$6,0)))</f>
        <v>0</v>
      </c>
      <c r="BG197" s="749">
        <f>SUM(INDEX('Budget-Yixing'!$K$7:$W$207,MATCH($B197,'Budget-Yixing'!$B$7:$B$207,0),MATCH('Budget-Yixing'!K$6,'Budget-Yixing'!$K$6:$W$6,0)):INDEX('Budget-Yixing'!$K$7:$W$207,MATCH($B197,'Budget-Yixing'!$B$7:$B$207,0),MATCH(BG$8,'Budget-Yixing'!$K$6:$W$6,0)))</f>
        <v>0</v>
      </c>
      <c r="BH197" s="749">
        <f t="shared" si="112"/>
        <v>0</v>
      </c>
      <c r="BI197" s="748"/>
    </row>
    <row r="198" spans="1:61" ht="16.5" customHeight="1">
      <c r="A198" s="653" t="str">
        <f>'Budget-合并'!A196</f>
        <v>6711.01</v>
      </c>
      <c r="B198" s="653" t="str">
        <f>'Budget-合并'!B196</f>
        <v>滞纳金</v>
      </c>
      <c r="C198" s="746">
        <f>INDEX('Actual-ACPL'!$H$7:$T$207,MATCH($B198,'Actual-ACPL'!$B$7:$B$207,0),MATCH(C$8,'Actual-ACPL'!$H$6:$T$6,0))</f>
        <v>0</v>
      </c>
      <c r="D198" s="746">
        <f>INDEX('Budget-ACPL'!$K$7:$W$207,MATCH($B198,'Budget-ACPL'!$B$7:$B$207,0),MATCH(D$8,'Budget-ACPL'!$K$6:$W$6,0))</f>
        <v>0</v>
      </c>
      <c r="E198" s="746">
        <f t="shared" si="113"/>
        <v>0</v>
      </c>
      <c r="F198" s="752"/>
      <c r="H198" s="749">
        <f>INDEX('Actual-ACPLHK'!$H$7:$T$207,MATCH($B198,'Actual-ACPLHK'!$B$7:$B$207,0),MATCH(H$8,'Actual-ACPLHK'!$H$6:$T$6,0))</f>
        <v>0</v>
      </c>
      <c r="I198" s="749">
        <f>INDEX('Budget-ACPLHK'!$K$7:$W$207,MATCH($B198,'Budget-ACPLHK'!$B$7:$B$207,0),MATCH(I$8,'Budget-ACPLHK'!$K$6:$W$6,0))</f>
        <v>0</v>
      </c>
      <c r="J198" s="749">
        <f t="shared" si="114"/>
        <v>0</v>
      </c>
      <c r="K198" s="748"/>
      <c r="M198" s="749">
        <f>INDEX('Actual-ACPSZL'!$H$7:$T$207,MATCH($B198,'Actual-ACPSZL'!$B$7:$B$207,0),MATCH(M$8,'Actual-ACPSZL'!$H$6:$T$6,0))</f>
        <v>0</v>
      </c>
      <c r="N198" s="749">
        <f>INDEX('Budget-ACPSZL'!$K$7:$W$207,MATCH($B198,'Budget-ACPSZL'!$B$7:$B$207,0),MATCH(N$8,'Budget-ACPSZL'!$K$6:$W$6,0))</f>
        <v>0</v>
      </c>
      <c r="O198" s="749">
        <f t="shared" si="115"/>
        <v>0</v>
      </c>
      <c r="P198" s="748"/>
      <c r="R198" s="749">
        <f>INDEX('Actual-ACPLSZ'!$H$7:$T$207,MATCH($B198,'Actual-ACPLSZ'!$B$7:$B$207,0),MATCH(R$8,'Actual-ACPLSZ'!$H$6:$T$6,0))</f>
        <v>0</v>
      </c>
      <c r="S198" s="749">
        <f>INDEX('Budget-ACPLSZ'!$K$7:$W$207,MATCH($B198,'Budget-ACPLSZ'!$B$7:$B$207,0),MATCH(S$8,'Budget-ACPLSZ'!$K$6:$W$6,0))</f>
        <v>0</v>
      </c>
      <c r="T198" s="749">
        <f t="shared" si="108"/>
        <v>0</v>
      </c>
      <c r="U198" s="748"/>
      <c r="W198" s="749">
        <f>INDEX('Actual-ACPLGZ'!$H$7:$T$207,MATCH($B198,'Actual-ACPLGZ'!$B$7:$B$207,0),MATCH(W$8,'Actual-ACPLGZ'!$H$6:$T$6,0))</f>
        <v>0</v>
      </c>
      <c r="X198" s="749">
        <f>INDEX('Budget-ACPLGZ'!$K$7:$W$207,MATCH($B198,'Budget-ACPLGZ'!$B$7:$B$207,0),MATCH(X$8,'Budget-ACPLGZ'!$K$6:$W$6,0))</f>
        <v>0</v>
      </c>
      <c r="Y198" s="749">
        <f t="shared" si="116"/>
        <v>0</v>
      </c>
      <c r="Z198" s="748"/>
      <c r="AB198" s="749">
        <f>INDEX('Actual-ACPLGZ'!$H$7:$T$207,MATCH($B198,'Actual-ACPLGZ'!$B$7:$B$207,0),MATCH(AB$8,'Actual-ACPLGZ'!$H$6:$T$6,0))</f>
        <v>0</v>
      </c>
      <c r="AC198" s="749">
        <f>INDEX('Budget-Yixing'!$K$7:$W$207,MATCH($B198,'Budget-Yixing'!$B$7:$B$207,0),MATCH(AC$8,'Budget-Yixing'!$K$6:$W$6,0))</f>
        <v>0</v>
      </c>
      <c r="AD198" s="749">
        <f t="shared" si="109"/>
        <v>0</v>
      </c>
      <c r="AE198" s="748"/>
      <c r="AG198" s="751">
        <f>SUM(INDEX('Actual-ACPL'!$H$7:$T$207,MATCH($B198,'Actual-ACPL'!$B$7:$B$207,0),MATCH('Actual-ACPL'!H$6,'Actual-ACPL'!$H$6:$T$6,0)):INDEX('Actual-ACPL'!$H$7:$T$207,MATCH($B198,'Actual-ACPL'!$B$7:$B$207,0),MATCH(AG$8,'Actual-ACPL'!$H$6:$T$6,0)))</f>
        <v>0</v>
      </c>
      <c r="AH198" s="749">
        <f>SUM(INDEX('Budget-ACPL'!$K$7:$W$207,MATCH($B198,'Budget-ACPL'!$B$7:$B$207,0),MATCH('Budget-ACPL'!K$6,'Budget-ACPL'!$K$6:$W$6,0)):INDEX('Budget-ACPL'!$K$7:$W$207,MATCH($B198,'Budget-ACPL'!$B$7:$B$207,0),MATCH(AH$8,'Budget-ACPL'!$K$6:$W$6,0)))</f>
        <v>0</v>
      </c>
      <c r="AI198" s="749">
        <f t="shared" si="117"/>
        <v>0</v>
      </c>
      <c r="AJ198" s="748"/>
      <c r="AL198" s="749">
        <f>SUM(INDEX('Actual-ACPLHK'!$H$7:$S$207,MATCH($B198,'Actual-ACPLHK'!$B$7:$B$207,0),MATCH('Actual-ACPLHK'!H$6,'Actual-ACPLHK'!$H$6:$T$6,0)):INDEX('Actual-ACPLHK'!$H$7:$S$207,MATCH($B198,'Actual-ACPLHK'!$B$7:$B$207,0),MATCH(AL$8,'Actual-ACPLHK'!$H$6:$T$6,0)))</f>
        <v>0</v>
      </c>
      <c r="AM198" s="749">
        <f>SUM(INDEX('Budget-ACPLHK'!$K$7:$W$207,MATCH($B198,'Budget-ACPLHK'!$B$7:$B$207,0),MATCH('Budget-ACPLHK'!K$6,'Budget-ACPLHK'!$K$6:$W$6,0)):INDEX('Budget-ACPLHK'!$K$7:$W$207,MATCH($B198,'Budget-ACPLHK'!$B$7:$B$207,0),MATCH(AM$8,'Budget-ACPLHK'!$K$6:$W$6,0)))</f>
        <v>0</v>
      </c>
      <c r="AN198" s="749">
        <f t="shared" si="110"/>
        <v>0</v>
      </c>
      <c r="AO198" s="748"/>
      <c r="AQ198" s="749">
        <f>SUM(INDEX('Actual-ACPSZL'!$H$7:$T$207,MATCH($B198,'Actual-ACPSZL'!$B$7:$B$207,0),MATCH('Actual-ACPSZL'!H$6,'Actual-ACPSZL'!$H$6:$T$6,0)):INDEX('Actual-ACPSZL'!$H$7:$T$207,MATCH($B198,'Actual-ACPSZL'!$B$7:$B$207,0),MATCH(AQ$8,'Actual-ACPSZL'!$H$6:$T$6,0)))</f>
        <v>0</v>
      </c>
      <c r="AR198" s="749">
        <f>SUM(INDEX('Budget-ACPSZL'!$K$7:$W$207,MATCH($B198,'Budget-ACPSZL'!$B$7:$B$207,0),MATCH('Budget-ACPSZL'!K$6,'Budget-ACPSZL'!$K$6:$W$6,0)):INDEX('Budget-ACPSZL'!$K$7:$W$207,MATCH($B198,'Budget-ACPSZL'!$B$7:$B$207,0),MATCH(AR$8,'Budget-ACPSZL'!$K$6:$W$6,0)))</f>
        <v>0</v>
      </c>
      <c r="AS198" s="749">
        <f t="shared" si="118"/>
        <v>0</v>
      </c>
      <c r="AT198" s="748"/>
      <c r="AV198" s="749">
        <f>SUM(INDEX('Actual-ACPLSZ'!$H$7:$T$207,MATCH($B198,'Actual-ACPLSZ'!$B$7:$B$207,0),MATCH('Actual-ACPLSZ'!H$6,'Actual-ACPLSZ'!$H$6:$T$6,0)):INDEX('Actual-ACPLSZ'!$H$7:$T$207,MATCH($B198,'Actual-ACPLSZ'!$B$7:$B$207,0),MATCH(AV$8,'Actual-ACPLSZ'!$H$6:$T$6,0)))</f>
        <v>0</v>
      </c>
      <c r="AW198" s="749">
        <f>SUM(INDEX('Budget-ACPLSZ'!$K$7:$W$207,MATCH($B198,'Budget-ACPLSZ'!$B$7:$B$207,0),MATCH('Budget-ACPLSZ'!K$6,'Budget-ACPLSZ'!$K$6:$W$6,0)):INDEX('Budget-ACPLSZ'!$K$7:$W$207,MATCH($B198,'Budget-ACPLSZ'!$B$7:$B$207,0),MATCH(AW$8,'Budget-ACPLSZ'!$K$6:$W$6,0)))</f>
        <v>0</v>
      </c>
      <c r="AX198" s="749">
        <f t="shared" si="119"/>
        <v>0</v>
      </c>
      <c r="AY198" s="748"/>
      <c r="BA198" s="749">
        <f>SUM(INDEX('Actual-ACPLGZ'!$H$7:$T$207,MATCH($B198,'Actual-ACPLGZ'!$B$7:$B$207,0),MATCH('Actual-ACPLGZ'!H$6,'Actual-ACPLGZ'!$H$6:$T$6,0)):INDEX('Actual-ACPLGZ'!$H$7:$T$207,MATCH($B198,'Actual-ACPLGZ'!$B$7:$B$207,0),MATCH(BA$8,'Actual-ACPLGZ'!$H$6:$T$6,0)))</f>
        <v>0</v>
      </c>
      <c r="BB198" s="749">
        <f>SUM(INDEX('Budget-ACPLGZ'!$K$7:$W$207,MATCH($B198,'Budget-ACPLGZ'!$B$7:$B$207,0),MATCH('Budget-ACPLGZ'!K$6,'Budget-ACPLGZ'!$K$6:$W$6,0)):INDEX('Budget-ACPLGZ'!$K$7:$W$207,MATCH($B198,'Budget-ACPLGZ'!$B$7:$B$207,0),MATCH(BB$8,'Budget-ACPLGZ'!$K$6:$W$6,0)))</f>
        <v>0</v>
      </c>
      <c r="BC198" s="749">
        <f t="shared" si="111"/>
        <v>0</v>
      </c>
      <c r="BD198" s="748"/>
      <c r="BF198" s="749">
        <f>SUM(INDEX('Actual-ACPLYixing'!$H$7:$T$207,MATCH($B198,'Actual-ACPLYixing'!$B$7:$B$207,0),MATCH('Actual-ACPLYixing'!H$6,'Actual-ACPLYixing'!$H$6:$T$6,0)):INDEX('Actual-ACPLYixing'!$H$7:$T$207,MATCH($B198,'Actual-ACPLYixing'!$B$7:$B$207,0),MATCH(BF$8,'Actual-ACPLYixing'!$H$6:$T$6,0)))</f>
        <v>0</v>
      </c>
      <c r="BG198" s="749">
        <f>SUM(INDEX('Budget-Yixing'!$K$7:$W$207,MATCH($B198,'Budget-Yixing'!$B$7:$B$207,0),MATCH('Budget-Yixing'!K$6,'Budget-Yixing'!$K$6:$W$6,0)):INDEX('Budget-Yixing'!$K$7:$W$207,MATCH($B198,'Budget-Yixing'!$B$7:$B$207,0),MATCH(BG$8,'Budget-Yixing'!$K$6:$W$6,0)))</f>
        <v>0</v>
      </c>
      <c r="BH198" s="749">
        <f t="shared" si="112"/>
        <v>0</v>
      </c>
      <c r="BI198" s="748"/>
    </row>
    <row r="199" spans="1:61" ht="16.5" customHeight="1">
      <c r="A199" s="653" t="str">
        <f>'Budget-合并'!A197</f>
        <v>6711.02</v>
      </c>
      <c r="B199" s="653" t="str">
        <f>'Budget-合并'!B197</f>
        <v>非流动资产处置损失</v>
      </c>
      <c r="C199" s="746">
        <f>INDEX('Actual-ACPL'!$H$7:$T$207,MATCH($B199,'Actual-ACPL'!$B$7:$B$207,0),MATCH(C$8,'Actual-ACPL'!$H$6:$T$6,0))</f>
        <v>0</v>
      </c>
      <c r="D199" s="746">
        <f>INDEX('Budget-ACPL'!$K$7:$W$207,MATCH($B199,'Budget-ACPL'!$B$7:$B$207,0),MATCH(D$8,'Budget-ACPL'!$K$6:$W$6,0))</f>
        <v>0</v>
      </c>
      <c r="E199" s="746">
        <f t="shared" si="113"/>
        <v>0</v>
      </c>
      <c r="F199" s="752"/>
      <c r="H199" s="749">
        <f>INDEX('Actual-ACPLHK'!$H$7:$T$207,MATCH($B199,'Actual-ACPLHK'!$B$7:$B$207,0),MATCH(H$8,'Actual-ACPLHK'!$H$6:$T$6,0))</f>
        <v>0</v>
      </c>
      <c r="I199" s="749">
        <f>INDEX('Budget-ACPLHK'!$K$7:$W$207,MATCH($B199,'Budget-ACPLHK'!$B$7:$B$207,0),MATCH(I$8,'Budget-ACPLHK'!$K$6:$W$6,0))</f>
        <v>0</v>
      </c>
      <c r="J199" s="749">
        <f t="shared" si="114"/>
        <v>0</v>
      </c>
      <c r="K199" s="752"/>
      <c r="M199" s="749">
        <f>INDEX('Actual-ACPSZL'!$H$7:$T$207,MATCH($B199,'Actual-ACPSZL'!$B$7:$B$207,0),MATCH(M$8,'Actual-ACPSZL'!$H$6:$T$6,0))</f>
        <v>0</v>
      </c>
      <c r="N199" s="749">
        <f>INDEX('Budget-ACPSZL'!$K$7:$W$207,MATCH($B199,'Budget-ACPSZL'!$B$7:$B$207,0),MATCH(N$8,'Budget-ACPSZL'!$K$6:$W$6,0))</f>
        <v>0</v>
      </c>
      <c r="O199" s="749">
        <f t="shared" si="115"/>
        <v>0</v>
      </c>
      <c r="P199" s="752"/>
      <c r="R199" s="749">
        <f>INDEX('Actual-ACPLSZ'!$H$7:$T$207,MATCH($B199,'Actual-ACPLSZ'!$B$7:$B$207,0),MATCH(R$8,'Actual-ACPLSZ'!$H$6:$T$6,0))</f>
        <v>0</v>
      </c>
      <c r="S199" s="749">
        <f>INDEX('Budget-ACPLSZ'!$K$7:$W$207,MATCH($B199,'Budget-ACPLSZ'!$B$7:$B$207,0),MATCH(S$8,'Budget-ACPLSZ'!$K$6:$W$6,0))</f>
        <v>0</v>
      </c>
      <c r="T199" s="749">
        <f t="shared" si="108"/>
        <v>0</v>
      </c>
      <c r="U199" s="752"/>
      <c r="W199" s="749">
        <f>INDEX('Actual-ACPLGZ'!$H$7:$T$207,MATCH($B199,'Actual-ACPLGZ'!$B$7:$B$207,0),MATCH(W$8,'Actual-ACPLGZ'!$H$6:$T$6,0))</f>
        <v>0</v>
      </c>
      <c r="X199" s="749">
        <f>INDEX('Budget-ACPLGZ'!$K$7:$W$207,MATCH($B199,'Budget-ACPLGZ'!$B$7:$B$207,0),MATCH(X$8,'Budget-ACPLGZ'!$K$6:$W$6,0))</f>
        <v>0</v>
      </c>
      <c r="Y199" s="749">
        <f t="shared" si="116"/>
        <v>0</v>
      </c>
      <c r="Z199" s="752"/>
      <c r="AB199" s="749">
        <f>INDEX('Actual-ACPLGZ'!$H$7:$T$207,MATCH($B199,'Actual-ACPLGZ'!$B$7:$B$207,0),MATCH(AB$8,'Actual-ACPLGZ'!$H$6:$T$6,0))</f>
        <v>0</v>
      </c>
      <c r="AC199" s="749">
        <f>INDEX('Budget-Yixing'!$K$7:$W$207,MATCH($B199,'Budget-Yixing'!$B$7:$B$207,0),MATCH(AC$8,'Budget-Yixing'!$K$6:$W$6,0))</f>
        <v>0</v>
      </c>
      <c r="AD199" s="749">
        <f t="shared" si="109"/>
        <v>0</v>
      </c>
      <c r="AE199" s="752"/>
      <c r="AG199" s="751">
        <f>SUM(INDEX('Actual-ACPL'!$H$7:$T$207,MATCH($B199,'Actual-ACPL'!$B$7:$B$207,0),MATCH('Actual-ACPL'!H$6,'Actual-ACPL'!$H$6:$T$6,0)):INDEX('Actual-ACPL'!$H$7:$T$207,MATCH($B199,'Actual-ACPL'!$B$7:$B$207,0),MATCH(AG$8,'Actual-ACPL'!$H$6:$T$6,0)))</f>
        <v>0</v>
      </c>
      <c r="AH199" s="749">
        <f>SUM(INDEX('Budget-ACPL'!$K$7:$W$207,MATCH($B199,'Budget-ACPL'!$B$7:$B$207,0),MATCH('Budget-ACPL'!K$6,'Budget-ACPL'!$K$6:$W$6,0)):INDEX('Budget-ACPL'!$K$7:$W$207,MATCH($B199,'Budget-ACPL'!$B$7:$B$207,0),MATCH(AH$8,'Budget-ACPL'!$K$6:$W$6,0)))</f>
        <v>0</v>
      </c>
      <c r="AI199" s="749">
        <f t="shared" si="117"/>
        <v>0</v>
      </c>
      <c r="AJ199" s="748"/>
      <c r="AL199" s="749">
        <f>SUM(INDEX('Actual-ACPLHK'!$H$7:$S$207,MATCH($B199,'Actual-ACPLHK'!$B$7:$B$207,0),MATCH('Actual-ACPLHK'!H$6,'Actual-ACPLHK'!$H$6:$T$6,0)):INDEX('Actual-ACPLHK'!$H$7:$S$207,MATCH($B199,'Actual-ACPLHK'!$B$7:$B$207,0),MATCH(AL$8,'Actual-ACPLHK'!$H$6:$T$6,0)))</f>
        <v>0</v>
      </c>
      <c r="AM199" s="749">
        <f>SUM(INDEX('Budget-ACPLHK'!$K$7:$W$207,MATCH($B199,'Budget-ACPLHK'!$B$7:$B$207,0),MATCH('Budget-ACPLHK'!K$6,'Budget-ACPLHK'!$K$6:$W$6,0)):INDEX('Budget-ACPLHK'!$K$7:$W$207,MATCH($B199,'Budget-ACPLHK'!$B$7:$B$207,0),MATCH(AM$8,'Budget-ACPLHK'!$K$6:$W$6,0)))</f>
        <v>0</v>
      </c>
      <c r="AN199" s="749">
        <f t="shared" si="110"/>
        <v>0</v>
      </c>
      <c r="AO199" s="748"/>
      <c r="AQ199" s="749">
        <f>SUM(INDEX('Actual-ACPSZL'!$H$7:$T$207,MATCH($B199,'Actual-ACPSZL'!$B$7:$B$207,0),MATCH('Actual-ACPSZL'!H$6,'Actual-ACPSZL'!$H$6:$T$6,0)):INDEX('Actual-ACPSZL'!$H$7:$T$207,MATCH($B199,'Actual-ACPSZL'!$B$7:$B$207,0),MATCH(AQ$8,'Actual-ACPSZL'!$H$6:$T$6,0)))</f>
        <v>0</v>
      </c>
      <c r="AR199" s="749">
        <f>SUM(INDEX('Budget-ACPSZL'!$K$7:$W$207,MATCH($B199,'Budget-ACPSZL'!$B$7:$B$207,0),MATCH('Budget-ACPSZL'!K$6,'Budget-ACPSZL'!$K$6:$W$6,0)):INDEX('Budget-ACPSZL'!$K$7:$W$207,MATCH($B199,'Budget-ACPSZL'!$B$7:$B$207,0),MATCH(AR$8,'Budget-ACPSZL'!$K$6:$W$6,0)))</f>
        <v>0</v>
      </c>
      <c r="AS199" s="749">
        <f t="shared" si="118"/>
        <v>0</v>
      </c>
      <c r="AT199" s="748"/>
      <c r="AV199" s="749">
        <f>SUM(INDEX('Actual-ACPLSZ'!$H$7:$T$207,MATCH($B199,'Actual-ACPLSZ'!$B$7:$B$207,0),MATCH('Actual-ACPLSZ'!H$6,'Actual-ACPLSZ'!$H$6:$T$6,0)):INDEX('Actual-ACPLSZ'!$H$7:$T$207,MATCH($B199,'Actual-ACPLSZ'!$B$7:$B$207,0),MATCH(AV$8,'Actual-ACPLSZ'!$H$6:$T$6,0)))</f>
        <v>0</v>
      </c>
      <c r="AW199" s="749">
        <f>SUM(INDEX('Budget-ACPLSZ'!$K$7:$W$207,MATCH($B199,'Budget-ACPLSZ'!$B$7:$B$207,0),MATCH('Budget-ACPLSZ'!K$6,'Budget-ACPLSZ'!$K$6:$W$6,0)):INDEX('Budget-ACPLSZ'!$K$7:$W$207,MATCH($B199,'Budget-ACPLSZ'!$B$7:$B$207,0),MATCH(AW$8,'Budget-ACPLSZ'!$K$6:$W$6,0)))</f>
        <v>0</v>
      </c>
      <c r="AX199" s="749">
        <f t="shared" si="119"/>
        <v>0</v>
      </c>
      <c r="AY199" s="748"/>
      <c r="BA199" s="749">
        <f>SUM(INDEX('Actual-ACPLGZ'!$H$7:$T$207,MATCH($B199,'Actual-ACPLGZ'!$B$7:$B$207,0),MATCH('Actual-ACPLGZ'!H$6,'Actual-ACPLGZ'!$H$6:$T$6,0)):INDEX('Actual-ACPLGZ'!$H$7:$T$207,MATCH($B199,'Actual-ACPLGZ'!$B$7:$B$207,0),MATCH(BA$8,'Actual-ACPLGZ'!$H$6:$T$6,0)))</f>
        <v>0</v>
      </c>
      <c r="BB199" s="749">
        <f>SUM(INDEX('Budget-ACPLGZ'!$K$7:$W$207,MATCH($B199,'Budget-ACPLGZ'!$B$7:$B$207,0),MATCH('Budget-ACPLGZ'!K$6,'Budget-ACPLGZ'!$K$6:$W$6,0)):INDEX('Budget-ACPLGZ'!$K$7:$W$207,MATCH($B199,'Budget-ACPLGZ'!$B$7:$B$207,0),MATCH(BB$8,'Budget-ACPLGZ'!$K$6:$W$6,0)))</f>
        <v>0</v>
      </c>
      <c r="BC199" s="749">
        <f t="shared" si="111"/>
        <v>0</v>
      </c>
      <c r="BD199" s="748"/>
      <c r="BF199" s="749">
        <f>SUM(INDEX('Actual-ACPLYixing'!$H$7:$T$207,MATCH($B199,'Actual-ACPLYixing'!$B$7:$B$207,0),MATCH('Actual-ACPLYixing'!H$6,'Actual-ACPLYixing'!$H$6:$T$6,0)):INDEX('Actual-ACPLYixing'!$H$7:$T$207,MATCH($B199,'Actual-ACPLYixing'!$B$7:$B$207,0),MATCH(BF$8,'Actual-ACPLYixing'!$H$6:$T$6,0)))</f>
        <v>0</v>
      </c>
      <c r="BG199" s="749">
        <f>SUM(INDEX('Budget-Yixing'!$K$7:$W$207,MATCH($B199,'Budget-Yixing'!$B$7:$B$207,0),MATCH('Budget-Yixing'!K$6,'Budget-Yixing'!$K$6:$W$6,0)):INDEX('Budget-Yixing'!$K$7:$W$207,MATCH($B199,'Budget-Yixing'!$B$7:$B$207,0),MATCH(BG$8,'Budget-Yixing'!$K$6:$W$6,0)))</f>
        <v>0</v>
      </c>
      <c r="BH199" s="749">
        <f t="shared" si="112"/>
        <v>0</v>
      </c>
      <c r="BI199" s="748"/>
    </row>
    <row r="200" spans="1:61" ht="16.5" customHeight="1">
      <c r="A200" s="653" t="str">
        <f>'Budget-合并'!A198</f>
        <v>6901</v>
      </c>
      <c r="B200" s="653" t="str">
        <f>'Budget-合并'!B198</f>
        <v>以前年度损益调整</v>
      </c>
      <c r="C200" s="746">
        <f>INDEX('Actual-ACPL'!$H$7:$T$207,MATCH($B200,'Actual-ACPL'!$B$7:$B$207,0),MATCH(C$8,'Actual-ACPL'!$H$6:$T$6,0))</f>
        <v>0</v>
      </c>
      <c r="D200" s="746">
        <f>INDEX('Budget-ACPL'!$K$7:$W$207,MATCH($B200,'Budget-ACPL'!$B$7:$B$207,0),MATCH(D$8,'Budget-ACPL'!$K$6:$W$6,0))</f>
        <v>0</v>
      </c>
      <c r="E200" s="746">
        <f t="shared" si="113"/>
        <v>0</v>
      </c>
      <c r="F200" s="752"/>
      <c r="H200" s="749">
        <f>INDEX('Actual-ACPLHK'!$H$7:$T$207,MATCH($B200,'Actual-ACPLHK'!$B$7:$B$207,0),MATCH(H$8,'Actual-ACPLHK'!$H$6:$T$6,0))</f>
        <v>0</v>
      </c>
      <c r="I200" s="749">
        <f>INDEX('Budget-ACPLHK'!$K$7:$W$207,MATCH($B200,'Budget-ACPLHK'!$B$7:$B$207,0),MATCH(I$8,'Budget-ACPLHK'!$K$6:$W$6,0))</f>
        <v>0</v>
      </c>
      <c r="J200" s="749">
        <f t="shared" si="114"/>
        <v>0</v>
      </c>
      <c r="K200" s="748"/>
      <c r="M200" s="749">
        <f>INDEX('Actual-ACPSZL'!$H$7:$T$207,MATCH($B200,'Actual-ACPSZL'!$B$7:$B$207,0),MATCH(M$8,'Actual-ACPSZL'!$H$6:$T$6,0))</f>
        <v>0</v>
      </c>
      <c r="N200" s="749">
        <f>INDEX('Budget-ACPSZL'!$K$7:$W$207,MATCH($B200,'Budget-ACPSZL'!$B$7:$B$207,0),MATCH(N$8,'Budget-ACPSZL'!$K$6:$W$6,0))</f>
        <v>0</v>
      </c>
      <c r="O200" s="749">
        <f t="shared" si="115"/>
        <v>0</v>
      </c>
      <c r="P200" s="748"/>
      <c r="R200" s="749">
        <f>INDEX('Actual-ACPLSZ'!$H$7:$T$207,MATCH($B200,'Actual-ACPLSZ'!$B$7:$B$207,0),MATCH(R$8,'Actual-ACPLSZ'!$H$6:$T$6,0))</f>
        <v>0</v>
      </c>
      <c r="S200" s="749">
        <f>INDEX('Budget-ACPLSZ'!$K$7:$W$207,MATCH($B200,'Budget-ACPLSZ'!$B$7:$B$207,0),MATCH(S$8,'Budget-ACPLSZ'!$K$6:$W$6,0))</f>
        <v>0</v>
      </c>
      <c r="T200" s="749">
        <f t="shared" si="108"/>
        <v>0</v>
      </c>
      <c r="U200" s="748"/>
      <c r="W200" s="749">
        <f>INDEX('Actual-ACPLGZ'!$H$7:$T$207,MATCH($B200,'Actual-ACPLGZ'!$B$7:$B$207,0),MATCH(W$8,'Actual-ACPLGZ'!$H$6:$T$6,0))</f>
        <v>0</v>
      </c>
      <c r="X200" s="749">
        <f>INDEX('Budget-ACPLGZ'!$K$7:$W$207,MATCH($B200,'Budget-ACPLGZ'!$B$7:$B$207,0),MATCH(X$8,'Budget-ACPLGZ'!$K$6:$W$6,0))</f>
        <v>0</v>
      </c>
      <c r="Y200" s="749">
        <f t="shared" si="116"/>
        <v>0</v>
      </c>
      <c r="Z200" s="748"/>
      <c r="AB200" s="749">
        <f>INDEX('Actual-ACPLGZ'!$H$7:$T$207,MATCH($B200,'Actual-ACPLGZ'!$B$7:$B$207,0),MATCH(AB$8,'Actual-ACPLGZ'!$H$6:$T$6,0))</f>
        <v>0</v>
      </c>
      <c r="AC200" s="749">
        <f>INDEX('Budget-Yixing'!$K$7:$W$207,MATCH($B200,'Budget-Yixing'!$B$7:$B$207,0),MATCH(AC$8,'Budget-Yixing'!$K$6:$W$6,0))</f>
        <v>0</v>
      </c>
      <c r="AD200" s="749">
        <f t="shared" si="109"/>
        <v>0</v>
      </c>
      <c r="AE200" s="748"/>
      <c r="AG200" s="751">
        <f>SUM(INDEX('Actual-ACPL'!$H$7:$T$207,MATCH($B200,'Actual-ACPL'!$B$7:$B$207,0),MATCH('Actual-ACPL'!H$6,'Actual-ACPL'!$H$6:$T$6,0)):INDEX('Actual-ACPL'!$H$7:$T$207,MATCH($B200,'Actual-ACPL'!$B$7:$B$207,0),MATCH(AG$8,'Actual-ACPL'!$H$6:$T$6,0)))</f>
        <v>0</v>
      </c>
      <c r="AH200" s="749">
        <f>SUM(INDEX('Budget-ACPL'!$K$7:$W$207,MATCH($B200,'Budget-ACPL'!$B$7:$B$207,0),MATCH('Budget-ACPL'!K$6,'Budget-ACPL'!$K$6:$W$6,0)):INDEX('Budget-ACPL'!$K$7:$W$207,MATCH($B200,'Budget-ACPL'!$B$7:$B$207,0),MATCH(AH$8,'Budget-ACPL'!$K$6:$W$6,0)))</f>
        <v>0</v>
      </c>
      <c r="AI200" s="749">
        <f t="shared" si="117"/>
        <v>0</v>
      </c>
      <c r="AJ200" s="748"/>
      <c r="AL200" s="749">
        <f>SUM(INDEX('Actual-ACPLHK'!$H$7:$S$207,MATCH($B200,'Actual-ACPLHK'!$B$7:$B$207,0),MATCH('Actual-ACPLHK'!H$6,'Actual-ACPLHK'!$H$6:$T$6,0)):INDEX('Actual-ACPLHK'!$H$7:$S$207,MATCH($B200,'Actual-ACPLHK'!$B$7:$B$207,0),MATCH(AL$8,'Actual-ACPLHK'!$H$6:$T$6,0)))</f>
        <v>0</v>
      </c>
      <c r="AM200" s="749">
        <f>SUM(INDEX('Budget-ACPLHK'!$K$7:$W$207,MATCH($B200,'Budget-ACPLHK'!$B$7:$B$207,0),MATCH('Budget-ACPLHK'!K$6,'Budget-ACPLHK'!$K$6:$W$6,0)):INDEX('Budget-ACPLHK'!$K$7:$W$207,MATCH($B200,'Budget-ACPLHK'!$B$7:$B$207,0),MATCH(AM$8,'Budget-ACPLHK'!$K$6:$W$6,0)))</f>
        <v>0</v>
      </c>
      <c r="AN200" s="749">
        <f t="shared" si="110"/>
        <v>0</v>
      </c>
      <c r="AO200" s="748"/>
      <c r="AQ200" s="749">
        <f>SUM(INDEX('Actual-ACPSZL'!$H$7:$T$207,MATCH($B200,'Actual-ACPSZL'!$B$7:$B$207,0),MATCH('Actual-ACPSZL'!H$6,'Actual-ACPSZL'!$H$6:$T$6,0)):INDEX('Actual-ACPSZL'!$H$7:$T$207,MATCH($B200,'Actual-ACPSZL'!$B$7:$B$207,0),MATCH(AQ$8,'Actual-ACPSZL'!$H$6:$T$6,0)))</f>
        <v>0</v>
      </c>
      <c r="AR200" s="749">
        <f>SUM(INDEX('Budget-ACPSZL'!$K$7:$W$207,MATCH($B200,'Budget-ACPSZL'!$B$7:$B$207,0),MATCH('Budget-ACPSZL'!K$6,'Budget-ACPSZL'!$K$6:$W$6,0)):INDEX('Budget-ACPSZL'!$K$7:$W$207,MATCH($B200,'Budget-ACPSZL'!$B$7:$B$207,0),MATCH(AR$8,'Budget-ACPSZL'!$K$6:$W$6,0)))</f>
        <v>0</v>
      </c>
      <c r="AS200" s="749">
        <f t="shared" si="118"/>
        <v>0</v>
      </c>
      <c r="AT200" s="748"/>
      <c r="AV200" s="749">
        <f>SUM(INDEX('Actual-ACPLSZ'!$H$7:$T$207,MATCH($B200,'Actual-ACPLSZ'!$B$7:$B$207,0),MATCH('Actual-ACPLSZ'!H$6,'Actual-ACPLSZ'!$H$6:$T$6,0)):INDEX('Actual-ACPLSZ'!$H$7:$T$207,MATCH($B200,'Actual-ACPLSZ'!$B$7:$B$207,0),MATCH(AV$8,'Actual-ACPLSZ'!$H$6:$T$6,0)))</f>
        <v>0</v>
      </c>
      <c r="AW200" s="749">
        <f>SUM(INDEX('Budget-ACPLSZ'!$K$7:$W$207,MATCH($B200,'Budget-ACPLSZ'!$B$7:$B$207,0),MATCH('Budget-ACPLSZ'!K$6,'Budget-ACPLSZ'!$K$6:$W$6,0)):INDEX('Budget-ACPLSZ'!$K$7:$W$207,MATCH($B200,'Budget-ACPLSZ'!$B$7:$B$207,0),MATCH(AW$8,'Budget-ACPLSZ'!$K$6:$W$6,0)))</f>
        <v>0</v>
      </c>
      <c r="AX200" s="749">
        <f t="shared" si="119"/>
        <v>0</v>
      </c>
      <c r="AY200" s="748"/>
      <c r="BA200" s="749">
        <f>SUM(INDEX('Actual-ACPLGZ'!$H$7:$T$207,MATCH($B200,'Actual-ACPLGZ'!$B$7:$B$207,0),MATCH('Actual-ACPLGZ'!H$6,'Actual-ACPLGZ'!$H$6:$T$6,0)):INDEX('Actual-ACPLGZ'!$H$7:$T$207,MATCH($B200,'Actual-ACPLGZ'!$B$7:$B$207,0),MATCH(BA$8,'Actual-ACPLGZ'!$H$6:$T$6,0)))</f>
        <v>0</v>
      </c>
      <c r="BB200" s="749">
        <f>SUM(INDEX('Budget-ACPLGZ'!$K$7:$W$207,MATCH($B200,'Budget-ACPLGZ'!$B$7:$B$207,0),MATCH('Budget-ACPLGZ'!K$6,'Budget-ACPLGZ'!$K$6:$W$6,0)):INDEX('Budget-ACPLGZ'!$K$7:$W$207,MATCH($B200,'Budget-ACPLGZ'!$B$7:$B$207,0),MATCH(BB$8,'Budget-ACPLGZ'!$K$6:$W$6,0)))</f>
        <v>0</v>
      </c>
      <c r="BC200" s="749">
        <f t="shared" si="111"/>
        <v>0</v>
      </c>
      <c r="BD200" s="748"/>
      <c r="BF200" s="749">
        <f>SUM(INDEX('Actual-ACPLYixing'!$H$7:$T$207,MATCH($B200,'Actual-ACPLYixing'!$B$7:$B$207,0),MATCH('Actual-ACPLYixing'!H$6,'Actual-ACPLYixing'!$H$6:$T$6,0)):INDEX('Actual-ACPLYixing'!$H$7:$T$207,MATCH($B200,'Actual-ACPLYixing'!$B$7:$B$207,0),MATCH(BF$8,'Actual-ACPLYixing'!$H$6:$T$6,0)))</f>
        <v>0</v>
      </c>
      <c r="BG200" s="749">
        <f>SUM(INDEX('Budget-Yixing'!$K$7:$W$207,MATCH($B200,'Budget-Yixing'!$B$7:$B$207,0),MATCH('Budget-Yixing'!K$6,'Budget-Yixing'!$K$6:$W$6,0)):INDEX('Budget-Yixing'!$K$7:$W$207,MATCH($B200,'Budget-Yixing'!$B$7:$B$207,0),MATCH(BG$8,'Budget-Yixing'!$K$6:$W$6,0)))</f>
        <v>0</v>
      </c>
      <c r="BH200" s="749">
        <f t="shared" si="112"/>
        <v>0</v>
      </c>
      <c r="BI200" s="748"/>
    </row>
    <row r="201" spans="1:61" ht="16.5" customHeight="1">
      <c r="A201" s="653">
        <f>'Budget-合并'!A199</f>
        <v>0</v>
      </c>
      <c r="B201" s="653" t="str">
        <f>'Budget-合并'!B199</f>
        <v>营业外收入 (支-, 收+):</v>
      </c>
      <c r="C201" s="746">
        <f>INDEX('Actual-ACPL'!$H$7:$T$207,MATCH($B201,'Actual-ACPL'!$B$7:$B$207,0),MATCH(C$8,'Actual-ACPL'!$H$6:$T$6,0))</f>
        <v>0</v>
      </c>
      <c r="D201" s="746">
        <f>INDEX('Budget-ACPL'!$K$7:$W$207,MATCH($B201,'Budget-ACPL'!$B$7:$B$207,0),MATCH(D$8,'Budget-ACPL'!$K$6:$W$6,0))</f>
        <v>0</v>
      </c>
      <c r="E201" s="746">
        <f t="shared" si="113"/>
        <v>0</v>
      </c>
      <c r="F201" s="752"/>
      <c r="H201" s="749">
        <f>INDEX('Actual-ACPLHK'!$H$7:$T$207,MATCH($B201,'Actual-ACPLHK'!$B$7:$B$207,0),MATCH(H$8,'Actual-ACPLHK'!$H$6:$T$6,0))</f>
        <v>0</v>
      </c>
      <c r="I201" s="749">
        <f>INDEX('Budget-ACPLHK'!$K$7:$W$207,MATCH($B201,'Budget-ACPLHK'!$B$7:$B$207,0),MATCH(I$8,'Budget-ACPLHK'!$K$6:$W$6,0))</f>
        <v>0</v>
      </c>
      <c r="J201" s="749">
        <f t="shared" si="114"/>
        <v>0</v>
      </c>
      <c r="K201" s="748"/>
      <c r="M201" s="749">
        <f>INDEX('Actual-ACPSZL'!$H$7:$T$207,MATCH($B201,'Actual-ACPSZL'!$B$7:$B$207,0),MATCH(M$8,'Actual-ACPSZL'!$H$6:$T$6,0))</f>
        <v>0</v>
      </c>
      <c r="N201" s="749">
        <f>INDEX('Budget-ACPSZL'!$K$7:$W$207,MATCH($B201,'Budget-ACPSZL'!$B$7:$B$207,0),MATCH(N$8,'Budget-ACPSZL'!$K$6:$W$6,0))</f>
        <v>0</v>
      </c>
      <c r="O201" s="749">
        <f t="shared" si="115"/>
        <v>0</v>
      </c>
      <c r="P201" s="748"/>
      <c r="R201" s="749">
        <f>INDEX('Actual-ACPLSZ'!$H$7:$T$207,MATCH($B201,'Actual-ACPLSZ'!$B$7:$B$207,0),MATCH(R$8,'Actual-ACPLSZ'!$H$6:$T$6,0))</f>
        <v>0</v>
      </c>
      <c r="S201" s="749">
        <f>INDEX('Budget-ACPLSZ'!$K$7:$W$207,MATCH($B201,'Budget-ACPLSZ'!$B$7:$B$207,0),MATCH(S$8,'Budget-ACPLSZ'!$K$6:$W$6,0))</f>
        <v>0</v>
      </c>
      <c r="T201" s="749">
        <f t="shared" si="108"/>
        <v>0</v>
      </c>
      <c r="U201" s="748"/>
      <c r="W201" s="749">
        <f>INDEX('Actual-ACPLGZ'!$H$7:$T$207,MATCH($B201,'Actual-ACPLGZ'!$B$7:$B$207,0),MATCH(W$8,'Actual-ACPLGZ'!$H$6:$T$6,0))</f>
        <v>0</v>
      </c>
      <c r="X201" s="749">
        <f>INDEX('Budget-ACPLGZ'!$K$7:$W$207,MATCH($B201,'Budget-ACPLGZ'!$B$7:$B$207,0),MATCH(X$8,'Budget-ACPLGZ'!$K$6:$W$6,0))</f>
        <v>0</v>
      </c>
      <c r="Y201" s="749">
        <f t="shared" si="116"/>
        <v>0</v>
      </c>
      <c r="Z201" s="748"/>
      <c r="AB201" s="749">
        <f>INDEX('Actual-ACPLGZ'!$H$7:$T$207,MATCH($B201,'Actual-ACPLGZ'!$B$7:$B$207,0),MATCH(AB$8,'Actual-ACPLGZ'!$H$6:$T$6,0))</f>
        <v>0</v>
      </c>
      <c r="AC201" s="749">
        <f>INDEX('Budget-Yixing'!$K$7:$W$207,MATCH($B201,'Budget-Yixing'!$B$7:$B$207,0),MATCH(AC$8,'Budget-Yixing'!$K$6:$W$6,0))</f>
        <v>0</v>
      </c>
      <c r="AD201" s="749">
        <f t="shared" si="109"/>
        <v>0</v>
      </c>
      <c r="AE201" s="748"/>
      <c r="AG201" s="751">
        <f>SUM(INDEX('Actual-ACPL'!$H$7:$T$207,MATCH($B201,'Actual-ACPL'!$B$7:$B$207,0),MATCH('Actual-ACPL'!H$6,'Actual-ACPL'!$H$6:$T$6,0)):INDEX('Actual-ACPL'!$H$7:$T$207,MATCH($B201,'Actual-ACPL'!$B$7:$B$207,0),MATCH(AG$8,'Actual-ACPL'!$H$6:$T$6,0)))</f>
        <v>0</v>
      </c>
      <c r="AH201" s="749">
        <f>SUM(INDEX('Budget-ACPL'!$K$7:$W$207,MATCH($B201,'Budget-ACPL'!$B$7:$B$207,0),MATCH('Budget-ACPL'!K$6,'Budget-ACPL'!$K$6:$W$6,0)):INDEX('Budget-ACPL'!$K$7:$W$207,MATCH($B201,'Budget-ACPL'!$B$7:$B$207,0),MATCH(AH$8,'Budget-ACPL'!$K$6:$W$6,0)))</f>
        <v>0</v>
      </c>
      <c r="AI201" s="749">
        <f t="shared" si="117"/>
        <v>0</v>
      </c>
      <c r="AJ201" s="748"/>
      <c r="AL201" s="749">
        <f>SUM(INDEX('Actual-ACPLHK'!$H$7:$S$207,MATCH($B201,'Actual-ACPLHK'!$B$7:$B$207,0),MATCH('Actual-ACPLHK'!H$6,'Actual-ACPLHK'!$H$6:$T$6,0)):INDEX('Actual-ACPLHK'!$H$7:$S$207,MATCH($B201,'Actual-ACPLHK'!$B$7:$B$207,0),MATCH(AL$8,'Actual-ACPLHK'!$H$6:$T$6,0)))</f>
        <v>0</v>
      </c>
      <c r="AM201" s="749">
        <f>SUM(INDEX('Budget-ACPLHK'!$K$7:$W$207,MATCH($B201,'Budget-ACPLHK'!$B$7:$B$207,0),MATCH('Budget-ACPLHK'!K$6,'Budget-ACPLHK'!$K$6:$W$6,0)):INDEX('Budget-ACPLHK'!$K$7:$W$207,MATCH($B201,'Budget-ACPLHK'!$B$7:$B$207,0),MATCH(AM$8,'Budget-ACPLHK'!$K$6:$W$6,0)))</f>
        <v>0</v>
      </c>
      <c r="AN201" s="749">
        <f t="shared" si="110"/>
        <v>0</v>
      </c>
      <c r="AO201" s="748"/>
      <c r="AQ201" s="749">
        <f>SUM(INDEX('Actual-ACPSZL'!$H$7:$T$207,MATCH($B201,'Actual-ACPSZL'!$B$7:$B$207,0),MATCH('Actual-ACPSZL'!H$6,'Actual-ACPSZL'!$H$6:$T$6,0)):INDEX('Actual-ACPSZL'!$H$7:$T$207,MATCH($B201,'Actual-ACPSZL'!$B$7:$B$207,0),MATCH(AQ$8,'Actual-ACPSZL'!$H$6:$T$6,0)))</f>
        <v>0</v>
      </c>
      <c r="AR201" s="749">
        <f>SUM(INDEX('Budget-ACPSZL'!$K$7:$W$207,MATCH($B201,'Budget-ACPSZL'!$B$7:$B$207,0),MATCH('Budget-ACPSZL'!K$6,'Budget-ACPSZL'!$K$6:$W$6,0)):INDEX('Budget-ACPSZL'!$K$7:$W$207,MATCH($B201,'Budget-ACPSZL'!$B$7:$B$207,0),MATCH(AR$8,'Budget-ACPSZL'!$K$6:$W$6,0)))</f>
        <v>0</v>
      </c>
      <c r="AS201" s="749">
        <f t="shared" si="118"/>
        <v>0</v>
      </c>
      <c r="AT201" s="748"/>
      <c r="AV201" s="749">
        <f>SUM(INDEX('Actual-ACPLSZ'!$H$7:$T$207,MATCH($B201,'Actual-ACPLSZ'!$B$7:$B$207,0),MATCH('Actual-ACPLSZ'!H$6,'Actual-ACPLSZ'!$H$6:$T$6,0)):INDEX('Actual-ACPLSZ'!$H$7:$T$207,MATCH($B201,'Actual-ACPLSZ'!$B$7:$B$207,0),MATCH(AV$8,'Actual-ACPLSZ'!$H$6:$T$6,0)))</f>
        <v>0</v>
      </c>
      <c r="AW201" s="749">
        <f>SUM(INDEX('Budget-ACPLSZ'!$K$7:$W$207,MATCH($B201,'Budget-ACPLSZ'!$B$7:$B$207,0),MATCH('Budget-ACPLSZ'!K$6,'Budget-ACPLSZ'!$K$6:$W$6,0)):INDEX('Budget-ACPLSZ'!$K$7:$W$207,MATCH($B201,'Budget-ACPLSZ'!$B$7:$B$207,0),MATCH(AW$8,'Budget-ACPLSZ'!$K$6:$W$6,0)))</f>
        <v>0</v>
      </c>
      <c r="AX201" s="749">
        <f t="shared" si="119"/>
        <v>0</v>
      </c>
      <c r="AY201" s="748"/>
      <c r="BA201" s="749">
        <f>SUM(INDEX('Actual-ACPLGZ'!$H$7:$T$207,MATCH($B201,'Actual-ACPLGZ'!$B$7:$B$207,0),MATCH('Actual-ACPLGZ'!H$6,'Actual-ACPLGZ'!$H$6:$T$6,0)):INDEX('Actual-ACPLGZ'!$H$7:$T$207,MATCH($B201,'Actual-ACPLGZ'!$B$7:$B$207,0),MATCH(BA$8,'Actual-ACPLGZ'!$H$6:$T$6,0)))</f>
        <v>0</v>
      </c>
      <c r="BB201" s="749">
        <f>SUM(INDEX('Budget-ACPLGZ'!$K$7:$W$207,MATCH($B201,'Budget-ACPLGZ'!$B$7:$B$207,0),MATCH('Budget-ACPLGZ'!K$6,'Budget-ACPLGZ'!$K$6:$W$6,0)):INDEX('Budget-ACPLGZ'!$K$7:$W$207,MATCH($B201,'Budget-ACPLGZ'!$B$7:$B$207,0),MATCH(BB$8,'Budget-ACPLGZ'!$K$6:$W$6,0)))</f>
        <v>0</v>
      </c>
      <c r="BC201" s="749">
        <f t="shared" si="111"/>
        <v>0</v>
      </c>
      <c r="BD201" s="748"/>
      <c r="BF201" s="749">
        <f>SUM(INDEX('Actual-ACPLYixing'!$H$7:$T$207,MATCH($B201,'Actual-ACPLYixing'!$B$7:$B$207,0),MATCH('Actual-ACPLYixing'!H$6,'Actual-ACPLYixing'!$H$6:$T$6,0)):INDEX('Actual-ACPLYixing'!$H$7:$T$207,MATCH($B201,'Actual-ACPLYixing'!$B$7:$B$207,0),MATCH(BF$8,'Actual-ACPLYixing'!$H$6:$T$6,0)))</f>
        <v>0</v>
      </c>
      <c r="BG201" s="749">
        <f>SUM(INDEX('Budget-Yixing'!$K$7:$W$207,MATCH($B201,'Budget-Yixing'!$B$7:$B$207,0),MATCH('Budget-Yixing'!K$6,'Budget-Yixing'!$K$6:$W$6,0)):INDEX('Budget-Yixing'!$K$7:$W$207,MATCH($B201,'Budget-Yixing'!$B$7:$B$207,0),MATCH(BG$8,'Budget-Yixing'!$K$6:$W$6,0)))</f>
        <v>0</v>
      </c>
      <c r="BH201" s="749">
        <f t="shared" si="112"/>
        <v>0</v>
      </c>
      <c r="BI201" s="748"/>
    </row>
    <row r="202" spans="1:61" ht="16.5" customHeight="1">
      <c r="A202" s="653">
        <f>'Budget-合并'!A200</f>
        <v>0</v>
      </c>
      <c r="B202" s="653">
        <f>'Budget-合并'!B200</f>
        <v>0</v>
      </c>
      <c r="C202" s="746">
        <f>INDEX('Actual-ACPL'!$H$7:$T$207,MATCH($B202,'Actual-ACPL'!$B$7:$B$207,0),MATCH(C$8,'Actual-ACPL'!$H$6:$T$6,0))</f>
        <v>0</v>
      </c>
      <c r="D202" s="746">
        <f>INDEX('Budget-ACPL'!$K$7:$W$207,MATCH($B202,'Budget-ACPL'!$B$7:$B$207,0),MATCH(D$8,'Budget-ACPL'!$K$6:$W$6,0))</f>
        <v>0</v>
      </c>
      <c r="E202" s="746">
        <f t="shared" si="113"/>
        <v>0</v>
      </c>
      <c r="F202" s="752"/>
      <c r="H202" s="749">
        <f>INDEX('Actual-ACPLHK'!$H$7:$T$207,MATCH($B202,'Actual-ACPLHK'!$B$7:$B$207,0),MATCH(H$8,'Actual-ACPLHK'!$H$6:$T$6,0))</f>
        <v>0</v>
      </c>
      <c r="I202" s="749">
        <f>INDEX('Budget-ACPLHK'!$K$7:$W$207,MATCH($B202,'Budget-ACPLHK'!$B$7:$B$207,0),MATCH(I$8,'Budget-ACPLHK'!$K$6:$W$6,0))</f>
        <v>0</v>
      </c>
      <c r="J202" s="749">
        <f t="shared" si="114"/>
        <v>0</v>
      </c>
      <c r="K202" s="748"/>
      <c r="M202" s="749">
        <f>INDEX('Actual-ACPSZL'!$H$7:$T$207,MATCH($B202,'Actual-ACPSZL'!$B$7:$B$207,0),MATCH(M$8,'Actual-ACPSZL'!$H$6:$T$6,0))</f>
        <v>0</v>
      </c>
      <c r="N202" s="749">
        <f>INDEX('Budget-ACPSZL'!$K$7:$W$207,MATCH($B202,'Budget-ACPSZL'!$B$7:$B$207,0),MATCH(N$8,'Budget-ACPSZL'!$K$6:$W$6,0))</f>
        <v>0</v>
      </c>
      <c r="O202" s="749">
        <f t="shared" si="115"/>
        <v>0</v>
      </c>
      <c r="P202" s="748"/>
      <c r="R202" s="749">
        <f>INDEX('Actual-ACPLSZ'!$H$7:$T$207,MATCH($B202,'Actual-ACPLSZ'!$B$7:$B$207,0),MATCH(R$8,'Actual-ACPLSZ'!$H$6:$T$6,0))</f>
        <v>0</v>
      </c>
      <c r="S202" s="749">
        <f>INDEX('Budget-ACPLSZ'!$K$7:$W$207,MATCH($B202,'Budget-ACPLSZ'!$B$7:$B$207,0),MATCH(S$8,'Budget-ACPLSZ'!$K$6:$W$6,0))</f>
        <v>0</v>
      </c>
      <c r="T202" s="749">
        <f t="shared" si="108"/>
        <v>0</v>
      </c>
      <c r="U202" s="748"/>
      <c r="W202" s="749">
        <f>INDEX('Actual-ACPLGZ'!$H$7:$T$207,MATCH($B202,'Actual-ACPLGZ'!$B$7:$B$207,0),MATCH(W$8,'Actual-ACPLGZ'!$H$6:$T$6,0))</f>
        <v>0</v>
      </c>
      <c r="X202" s="749">
        <f>INDEX('Budget-ACPLGZ'!$K$7:$W$207,MATCH($B202,'Budget-ACPLGZ'!$B$7:$B$207,0),MATCH(X$8,'Budget-ACPLGZ'!$K$6:$W$6,0))</f>
        <v>0</v>
      </c>
      <c r="Y202" s="749">
        <f t="shared" si="116"/>
        <v>0</v>
      </c>
      <c r="Z202" s="748"/>
      <c r="AB202" s="749">
        <f>INDEX('Actual-ACPLGZ'!$H$7:$T$207,MATCH($B202,'Actual-ACPLGZ'!$B$7:$B$207,0),MATCH(AB$8,'Actual-ACPLGZ'!$H$6:$T$6,0))</f>
        <v>0</v>
      </c>
      <c r="AC202" s="749">
        <f>INDEX('Budget-Yixing'!$K$7:$W$207,MATCH($B202,'Budget-Yixing'!$B$7:$B$207,0),MATCH(AC$8,'Budget-Yixing'!$K$6:$W$6,0))</f>
        <v>0</v>
      </c>
      <c r="AD202" s="749">
        <f t="shared" si="109"/>
        <v>0</v>
      </c>
      <c r="AE202" s="748"/>
      <c r="AG202" s="751">
        <f>SUM(INDEX('Actual-ACPL'!$H$7:$T$207,MATCH($B202,'Actual-ACPL'!$B$7:$B$207,0),MATCH('Actual-ACPL'!H$6,'Actual-ACPL'!$H$6:$T$6,0)):INDEX('Actual-ACPL'!$H$7:$T$207,MATCH($B202,'Actual-ACPL'!$B$7:$B$207,0),MATCH(AG$8,'Actual-ACPL'!$H$6:$T$6,0)))</f>
        <v>0</v>
      </c>
      <c r="AH202" s="749">
        <f>SUM(INDEX('Budget-ACPL'!$K$7:$W$207,MATCH($B202,'Budget-ACPL'!$B$7:$B$207,0),MATCH('Budget-ACPL'!K$6,'Budget-ACPL'!$K$6:$W$6,0)):INDEX('Budget-ACPL'!$K$7:$W$207,MATCH($B202,'Budget-ACPL'!$B$7:$B$207,0),MATCH(AH$8,'Budget-ACPL'!$K$6:$W$6,0)))</f>
        <v>0</v>
      </c>
      <c r="AI202" s="749">
        <f t="shared" si="117"/>
        <v>0</v>
      </c>
      <c r="AJ202" s="748"/>
      <c r="AL202" s="749">
        <f>SUM(INDEX('Actual-ACPLHK'!$H$7:$S$207,MATCH($B202,'Actual-ACPLHK'!$B$7:$B$207,0),MATCH('Actual-ACPLHK'!H$6,'Actual-ACPLHK'!$H$6:$T$6,0)):INDEX('Actual-ACPLHK'!$H$7:$S$207,MATCH($B202,'Actual-ACPLHK'!$B$7:$B$207,0),MATCH(AL$8,'Actual-ACPLHK'!$H$6:$T$6,0)))</f>
        <v>0</v>
      </c>
      <c r="AM202" s="749">
        <f>SUM(INDEX('Budget-ACPLHK'!$K$7:$W$207,MATCH($B202,'Budget-ACPLHK'!$B$7:$B$207,0),MATCH('Budget-ACPLHK'!K$6,'Budget-ACPLHK'!$K$6:$W$6,0)):INDEX('Budget-ACPLHK'!$K$7:$W$207,MATCH($B202,'Budget-ACPLHK'!$B$7:$B$207,0),MATCH(AM$8,'Budget-ACPLHK'!$K$6:$W$6,0)))</f>
        <v>0</v>
      </c>
      <c r="AN202" s="749">
        <f t="shared" si="110"/>
        <v>0</v>
      </c>
      <c r="AO202" s="748"/>
      <c r="AQ202" s="749">
        <f>SUM(INDEX('Actual-ACPSZL'!$H$7:$T$207,MATCH($B202,'Actual-ACPSZL'!$B$7:$B$207,0),MATCH('Actual-ACPSZL'!H$6,'Actual-ACPSZL'!$H$6:$T$6,0)):INDEX('Actual-ACPSZL'!$H$7:$T$207,MATCH($B202,'Actual-ACPSZL'!$B$7:$B$207,0),MATCH(AQ$8,'Actual-ACPSZL'!$H$6:$T$6,0)))</f>
        <v>0</v>
      </c>
      <c r="AR202" s="749">
        <f>SUM(INDEX('Budget-ACPSZL'!$K$7:$W$207,MATCH($B202,'Budget-ACPSZL'!$B$7:$B$207,0),MATCH('Budget-ACPSZL'!K$6,'Budget-ACPSZL'!$K$6:$W$6,0)):INDEX('Budget-ACPSZL'!$K$7:$W$207,MATCH($B202,'Budget-ACPSZL'!$B$7:$B$207,0),MATCH(AR$8,'Budget-ACPSZL'!$K$6:$W$6,0)))</f>
        <v>0</v>
      </c>
      <c r="AS202" s="749">
        <f t="shared" si="118"/>
        <v>0</v>
      </c>
      <c r="AT202" s="748"/>
      <c r="AV202" s="749">
        <f>SUM(INDEX('Actual-ACPLSZ'!$H$7:$T$207,MATCH($B202,'Actual-ACPLSZ'!$B$7:$B$207,0),MATCH('Actual-ACPLSZ'!H$6,'Actual-ACPLSZ'!$H$6:$T$6,0)):INDEX('Actual-ACPLSZ'!$H$7:$T$207,MATCH($B202,'Actual-ACPLSZ'!$B$7:$B$207,0),MATCH(AV$8,'Actual-ACPLSZ'!$H$6:$T$6,0)))</f>
        <v>0</v>
      </c>
      <c r="AW202" s="749">
        <f>SUM(INDEX('Budget-ACPLSZ'!$K$7:$W$207,MATCH($B202,'Budget-ACPLSZ'!$B$7:$B$207,0),MATCH('Budget-ACPLSZ'!K$6,'Budget-ACPLSZ'!$K$6:$W$6,0)):INDEX('Budget-ACPLSZ'!$K$7:$W$207,MATCH($B202,'Budget-ACPLSZ'!$B$7:$B$207,0),MATCH(AW$8,'Budget-ACPLSZ'!$K$6:$W$6,0)))</f>
        <v>0</v>
      </c>
      <c r="AX202" s="749">
        <f t="shared" si="119"/>
        <v>0</v>
      </c>
      <c r="AY202" s="748"/>
      <c r="BA202" s="749">
        <f>SUM(INDEX('Actual-ACPLGZ'!$H$7:$T$207,MATCH($B202,'Actual-ACPLGZ'!$B$7:$B$207,0),MATCH('Actual-ACPLGZ'!H$6,'Actual-ACPLGZ'!$H$6:$T$6,0)):INDEX('Actual-ACPLGZ'!$H$7:$T$207,MATCH($B202,'Actual-ACPLGZ'!$B$7:$B$207,0),MATCH(BA$8,'Actual-ACPLGZ'!$H$6:$T$6,0)))</f>
        <v>0</v>
      </c>
      <c r="BB202" s="749">
        <f>SUM(INDEX('Budget-ACPLGZ'!$K$7:$W$207,MATCH($B202,'Budget-ACPLGZ'!$B$7:$B$207,0),MATCH('Budget-ACPLGZ'!K$6,'Budget-ACPLGZ'!$K$6:$W$6,0)):INDEX('Budget-ACPLGZ'!$K$7:$W$207,MATCH($B202,'Budget-ACPLGZ'!$B$7:$B$207,0),MATCH(BB$8,'Budget-ACPLGZ'!$K$6:$W$6,0)))</f>
        <v>0</v>
      </c>
      <c r="BC202" s="749">
        <f t="shared" si="111"/>
        <v>0</v>
      </c>
      <c r="BD202" s="748"/>
      <c r="BF202" s="749">
        <f>SUM(INDEX('Actual-ACPLYixing'!$H$7:$T$207,MATCH($B202,'Actual-ACPLYixing'!$B$7:$B$207,0),MATCH('Actual-ACPLYixing'!H$6,'Actual-ACPLYixing'!$H$6:$T$6,0)):INDEX('Actual-ACPLYixing'!$H$7:$T$207,MATCH($B202,'Actual-ACPLYixing'!$B$7:$B$207,0),MATCH(BF$8,'Actual-ACPLYixing'!$H$6:$T$6,0)))</f>
        <v>0</v>
      </c>
      <c r="BG202" s="749">
        <f>SUM(INDEX('Budget-Yixing'!$K$7:$W$207,MATCH($B202,'Budget-Yixing'!$B$7:$B$207,0),MATCH('Budget-Yixing'!K$6,'Budget-Yixing'!$K$6:$W$6,0)):INDEX('Budget-Yixing'!$K$7:$W$207,MATCH($B202,'Budget-Yixing'!$B$7:$B$207,0),MATCH(BG$8,'Budget-Yixing'!$K$6:$W$6,0)))</f>
        <v>0</v>
      </c>
      <c r="BH202" s="749">
        <f t="shared" si="112"/>
        <v>0</v>
      </c>
      <c r="BI202" s="748"/>
    </row>
    <row r="203" spans="1:61" ht="16.5" customHeight="1">
      <c r="A203" s="653">
        <f>'Budget-合并'!A201</f>
        <v>0</v>
      </c>
      <c r="B203" s="653" t="str">
        <f>'Budget-合并'!B201</f>
        <v>利润总额 (税前利润)</v>
      </c>
      <c r="C203" s="746">
        <f>INDEX('Actual-ACPL'!$H$7:$T$207,MATCH($B203,'Actual-ACPL'!$B$7:$B$207,0),MATCH(C$8,'Actual-ACPL'!$H$6:$T$6,0))</f>
        <v>0</v>
      </c>
      <c r="D203" s="746">
        <f ca="1">INDEX('Budget-ACPL'!$K$7:$W$207,MATCH($B203,'Budget-ACPL'!$B$7:$B$207,0),MATCH(D$8,'Budget-ACPL'!$K$6:$W$6,0))</f>
        <v>-535366.29137762485</v>
      </c>
      <c r="E203" s="746">
        <f t="shared" ca="1" si="113"/>
        <v>535366.29137762485</v>
      </c>
      <c r="F203" s="752"/>
      <c r="H203" s="749">
        <f>INDEX('Actual-ACPLHK'!$H$7:$T$207,MATCH($B203,'Actual-ACPLHK'!$B$7:$B$207,0),MATCH(H$8,'Actual-ACPLHK'!$H$6:$T$6,0))</f>
        <v>0</v>
      </c>
      <c r="I203" s="749">
        <f ca="1">INDEX('Budget-ACPLHK'!$K$7:$W$207,MATCH($B203,'Budget-ACPLHK'!$B$7:$B$207,0),MATCH(I$8,'Budget-ACPLHK'!$K$6:$W$6,0))</f>
        <v>-449191.50539436669</v>
      </c>
      <c r="J203" s="749">
        <f t="shared" ca="1" si="114"/>
        <v>449191.50539436669</v>
      </c>
      <c r="K203" s="748"/>
      <c r="M203" s="749">
        <f>INDEX('Actual-ACPSZL'!$H$7:$T$207,MATCH($B203,'Actual-ACPSZL'!$B$7:$B$207,0),MATCH(M$8,'Actual-ACPSZL'!$H$6:$T$6,0))</f>
        <v>0</v>
      </c>
      <c r="N203" s="749">
        <f ca="1">INDEX('Budget-ACPSZL'!$K$7:$W$207,MATCH($B203,'Budget-ACPSZL'!$B$7:$B$207,0),MATCH(N$8,'Budget-ACPSZL'!$K$6:$W$6,0))</f>
        <v>-306089.67249999999</v>
      </c>
      <c r="O203" s="749">
        <f t="shared" ca="1" si="115"/>
        <v>306089.67249999999</v>
      </c>
      <c r="P203" s="748"/>
      <c r="R203" s="749">
        <f>INDEX('Actual-ACPLSZ'!$H$7:$T$207,MATCH($B203,'Actual-ACPLSZ'!$B$7:$B$207,0),MATCH(R$8,'Actual-ACPLSZ'!$H$6:$T$6,0))</f>
        <v>0</v>
      </c>
      <c r="S203" s="749">
        <f ca="1">INDEX('Budget-ACPLSZ'!$K$7:$W$207,MATCH($B203,'Budget-ACPLSZ'!$B$7:$B$207,0),MATCH(S$8,'Budget-ACPLSZ'!$K$6:$W$6,0))</f>
        <v>-564196.97688888898</v>
      </c>
      <c r="T203" s="749">
        <f t="shared" ca="1" si="108"/>
        <v>-564196.97688888898</v>
      </c>
      <c r="U203" s="748"/>
      <c r="W203" s="749">
        <f>INDEX('Actual-ACPLGZ'!$H$7:$T$207,MATCH($B203,'Actual-ACPLGZ'!$B$7:$B$207,0),MATCH(W$8,'Actual-ACPLGZ'!$H$6:$T$6,0))</f>
        <v>0</v>
      </c>
      <c r="X203" s="749">
        <f>INDEX('Budget-ACPLGZ'!$K$7:$W$207,MATCH($B203,'Budget-ACPLGZ'!$B$7:$B$207,0),MATCH(X$8,'Budget-ACPLGZ'!$K$6:$W$6,0))</f>
        <v>-891.66666666666674</v>
      </c>
      <c r="Y203" s="749">
        <f t="shared" si="116"/>
        <v>891.66666666666674</v>
      </c>
      <c r="Z203" s="748"/>
      <c r="AB203" s="749">
        <f>INDEX('Actual-ACPLGZ'!$H$7:$T$207,MATCH($B203,'Actual-ACPLGZ'!$B$7:$B$207,0),MATCH(AB$8,'Actual-ACPLGZ'!$H$6:$T$6,0))</f>
        <v>0</v>
      </c>
      <c r="AC203" s="749">
        <f>INDEX('Budget-Yixing'!$K$7:$W$207,MATCH($B203,'Budget-Yixing'!$B$7:$B$207,0),MATCH(AC$8,'Budget-Yixing'!$K$6:$W$6,0))</f>
        <v>-47434.013333333336</v>
      </c>
      <c r="AD203" s="749">
        <f t="shared" si="109"/>
        <v>-47434.013333333336</v>
      </c>
      <c r="AE203" s="748"/>
      <c r="AG203" s="751">
        <f>SUM(INDEX('Actual-ACPL'!$H$7:$T$207,MATCH($B203,'Actual-ACPL'!$B$7:$B$207,0),MATCH('Actual-ACPL'!H$6,'Actual-ACPL'!$H$6:$T$6,0)):INDEX('Actual-ACPL'!$H$7:$T$207,MATCH($B203,'Actual-ACPL'!$B$7:$B$207,0),MATCH(AG$8,'Actual-ACPL'!$H$6:$T$6,0)))</f>
        <v>0</v>
      </c>
      <c r="AH203" s="749">
        <f ca="1">SUM(INDEX('Budget-ACPL'!$K$7:$W$207,MATCH($B203,'Budget-ACPL'!$B$7:$B$207,0),MATCH('Budget-ACPL'!K$6,'Budget-ACPL'!$K$6:$W$6,0)):INDEX('Budget-ACPL'!$K$7:$W$207,MATCH($B203,'Budget-ACPL'!$B$7:$B$207,0),MATCH(AH$8,'Budget-ACPL'!$K$6:$W$6,0)))</f>
        <v>-535366.29137762485</v>
      </c>
      <c r="AI203" s="749">
        <f t="shared" ca="1" si="117"/>
        <v>535366.29137762485</v>
      </c>
      <c r="AJ203" s="748"/>
      <c r="AL203" s="749">
        <f>SUM(INDEX('Actual-ACPLHK'!$H$7:$S$207,MATCH($B203,'Actual-ACPLHK'!$B$7:$B$207,0),MATCH('Actual-ACPLHK'!H$6,'Actual-ACPLHK'!$H$6:$T$6,0)):INDEX('Actual-ACPLHK'!$H$7:$S$207,MATCH($B203,'Actual-ACPLHK'!$B$7:$B$207,0),MATCH(AL$8,'Actual-ACPLHK'!$H$6:$T$6,0)))</f>
        <v>0</v>
      </c>
      <c r="AM203" s="749">
        <f ca="1">SUM(INDEX('Budget-ACPLHK'!$K$7:$W$207,MATCH($B203,'Budget-ACPLHK'!$B$7:$B$207,0),MATCH('Budget-ACPLHK'!K$6,'Budget-ACPLHK'!$K$6:$W$6,0)):INDEX('Budget-ACPLHK'!$K$7:$W$207,MATCH($B203,'Budget-ACPLHK'!$B$7:$B$207,0),MATCH(AM$8,'Budget-ACPLHK'!$K$6:$W$6,0)))</f>
        <v>-449191.50539436669</v>
      </c>
      <c r="AN203" s="749">
        <f t="shared" ca="1" si="110"/>
        <v>449191.50539436669</v>
      </c>
      <c r="AO203" s="748"/>
      <c r="AQ203" s="749">
        <f>SUM(INDEX('Actual-ACPSZL'!$H$7:$T$207,MATCH($B203,'Actual-ACPSZL'!$B$7:$B$207,0),MATCH('Actual-ACPSZL'!H$6,'Actual-ACPSZL'!$H$6:$T$6,0)):INDEX('Actual-ACPSZL'!$H$7:$T$207,MATCH($B203,'Actual-ACPSZL'!$B$7:$B$207,0),MATCH(AQ$8,'Actual-ACPSZL'!$H$6:$T$6,0)))</f>
        <v>0</v>
      </c>
      <c r="AR203" s="749">
        <f ca="1">SUM(INDEX('Budget-ACPSZL'!$K$7:$W$207,MATCH($B203,'Budget-ACPSZL'!$B$7:$B$207,0),MATCH('Budget-ACPSZL'!K$6,'Budget-ACPSZL'!$K$6:$W$6,0)):INDEX('Budget-ACPSZL'!$K$7:$W$207,MATCH($B203,'Budget-ACPSZL'!$B$7:$B$207,0),MATCH(AR$8,'Budget-ACPSZL'!$K$6:$W$6,0)))</f>
        <v>-306089.67249999999</v>
      </c>
      <c r="AS203" s="749">
        <f t="shared" ca="1" si="118"/>
        <v>306089.67249999999</v>
      </c>
      <c r="AT203" s="748"/>
      <c r="AV203" s="749">
        <f>SUM(INDEX('Actual-ACPLSZ'!$H$7:$T$207,MATCH($B203,'Actual-ACPLSZ'!$B$7:$B$207,0),MATCH('Actual-ACPLSZ'!H$6,'Actual-ACPLSZ'!$H$6:$T$6,0)):INDEX('Actual-ACPLSZ'!$H$7:$T$207,MATCH($B203,'Actual-ACPLSZ'!$B$7:$B$207,0),MATCH(AV$8,'Actual-ACPLSZ'!$H$6:$T$6,0)))</f>
        <v>0</v>
      </c>
      <c r="AW203" s="749">
        <f ca="1">SUM(INDEX('Budget-ACPLSZ'!$K$7:$W$207,MATCH($B203,'Budget-ACPLSZ'!$B$7:$B$207,0),MATCH('Budget-ACPLSZ'!K$6,'Budget-ACPLSZ'!$K$6:$W$6,0)):INDEX('Budget-ACPLSZ'!$K$7:$W$207,MATCH($B203,'Budget-ACPLSZ'!$B$7:$B$207,0),MATCH(AW$8,'Budget-ACPLSZ'!$K$6:$W$6,0)))</f>
        <v>-564196.97688888898</v>
      </c>
      <c r="AX203" s="749">
        <f t="shared" ca="1" si="119"/>
        <v>564196.97688888898</v>
      </c>
      <c r="AY203" s="748"/>
      <c r="BA203" s="749">
        <f>SUM(INDEX('Actual-ACPLGZ'!$H$7:$T$207,MATCH($B203,'Actual-ACPLGZ'!$B$7:$B$207,0),MATCH('Actual-ACPLGZ'!H$6,'Actual-ACPLGZ'!$H$6:$T$6,0)):INDEX('Actual-ACPLGZ'!$H$7:$T$207,MATCH($B203,'Actual-ACPLGZ'!$B$7:$B$207,0),MATCH(BA$8,'Actual-ACPLGZ'!$H$6:$T$6,0)))</f>
        <v>0</v>
      </c>
      <c r="BB203" s="749">
        <f>SUM(INDEX('Budget-ACPLGZ'!$K$7:$W$207,MATCH($B203,'Budget-ACPLGZ'!$B$7:$B$207,0),MATCH('Budget-ACPLGZ'!K$6,'Budget-ACPLGZ'!$K$6:$W$6,0)):INDEX('Budget-ACPLGZ'!$K$7:$W$207,MATCH($B203,'Budget-ACPLGZ'!$B$7:$B$207,0),MATCH(BB$8,'Budget-ACPLGZ'!$K$6:$W$6,0)))</f>
        <v>-891.66666666666674</v>
      </c>
      <c r="BC203" s="749">
        <f t="shared" si="111"/>
        <v>891.66666666666674</v>
      </c>
      <c r="BD203" s="748"/>
      <c r="BF203" s="749">
        <f>SUM(INDEX('Actual-ACPLYixing'!$H$7:$T$207,MATCH($B203,'Actual-ACPLYixing'!$B$7:$B$207,0),MATCH('Actual-ACPLYixing'!H$6,'Actual-ACPLYixing'!$H$6:$T$6,0)):INDEX('Actual-ACPLYixing'!$H$7:$T$207,MATCH($B203,'Actual-ACPLYixing'!$B$7:$B$207,0),MATCH(BF$8,'Actual-ACPLYixing'!$H$6:$T$6,0)))</f>
        <v>0</v>
      </c>
      <c r="BG203" s="749">
        <f>SUM(INDEX('Budget-Yixing'!$K$7:$W$207,MATCH($B203,'Budget-Yixing'!$B$7:$B$207,0),MATCH('Budget-Yixing'!K$6,'Budget-Yixing'!$K$6:$W$6,0)):INDEX('Budget-Yixing'!$K$7:$W$207,MATCH($B203,'Budget-Yixing'!$B$7:$B$207,0),MATCH(BG$8,'Budget-Yixing'!$K$6:$W$6,0)))</f>
        <v>-47434.013333333336</v>
      </c>
      <c r="BH203" s="749">
        <f t="shared" si="112"/>
        <v>47434.013333333336</v>
      </c>
      <c r="BI203" s="748"/>
    </row>
    <row r="204" spans="1:61" ht="16.5" customHeight="1">
      <c r="A204" s="653">
        <f>'Budget-合并'!A202</f>
        <v>0</v>
      </c>
      <c r="B204" s="653">
        <f>'Budget-合并'!B202</f>
        <v>0</v>
      </c>
      <c r="C204" s="746">
        <f>INDEX('Actual-ACPL'!$H$7:$T$207,MATCH($B204,'Actual-ACPL'!$B$7:$B$207,0),MATCH(C$8,'Actual-ACPL'!$H$6:$T$6,0))</f>
        <v>0</v>
      </c>
      <c r="D204" s="746">
        <f>INDEX('Budget-ACPL'!$K$7:$W$207,MATCH($B204,'Budget-ACPL'!$B$7:$B$207,0),MATCH(D$8,'Budget-ACPL'!$K$6:$W$6,0))</f>
        <v>0</v>
      </c>
      <c r="E204" s="746">
        <f t="shared" si="113"/>
        <v>0</v>
      </c>
      <c r="F204" s="752"/>
      <c r="H204" s="749">
        <f>INDEX('Actual-ACPLHK'!$H$7:$T$207,MATCH($B204,'Actual-ACPLHK'!$B$7:$B$207,0),MATCH(H$8,'Actual-ACPLHK'!$H$6:$T$6,0))</f>
        <v>0</v>
      </c>
      <c r="I204" s="749">
        <f>INDEX('Budget-ACPLHK'!$K$7:$W$207,MATCH($B204,'Budget-ACPLHK'!$B$7:$B$207,0),MATCH(I$8,'Budget-ACPLHK'!$K$6:$W$6,0))</f>
        <v>0</v>
      </c>
      <c r="J204" s="749">
        <f t="shared" si="114"/>
        <v>0</v>
      </c>
      <c r="K204" s="748"/>
      <c r="M204" s="749">
        <f>INDEX('Actual-ACPSZL'!$H$7:$T$207,MATCH($B204,'Actual-ACPSZL'!$B$7:$B$207,0),MATCH(M$8,'Actual-ACPSZL'!$H$6:$T$6,0))</f>
        <v>0</v>
      </c>
      <c r="N204" s="749">
        <f>INDEX('Budget-ACPSZL'!$K$7:$W$207,MATCH($B204,'Budget-ACPSZL'!$B$7:$B$207,0),MATCH(N$8,'Budget-ACPSZL'!$K$6:$W$6,0))</f>
        <v>0</v>
      </c>
      <c r="O204" s="749">
        <f t="shared" si="115"/>
        <v>0</v>
      </c>
      <c r="P204" s="748"/>
      <c r="R204" s="749">
        <f>INDEX('Actual-ACPLSZ'!$H$7:$T$207,MATCH($B204,'Actual-ACPLSZ'!$B$7:$B$207,0),MATCH(R$8,'Actual-ACPLSZ'!$H$6:$T$6,0))</f>
        <v>0</v>
      </c>
      <c r="S204" s="749">
        <f>INDEX('Budget-ACPLSZ'!$K$7:$W$207,MATCH($B204,'Budget-ACPLSZ'!$B$7:$B$207,0),MATCH(S$8,'Budget-ACPLSZ'!$K$6:$W$6,0))</f>
        <v>0</v>
      </c>
      <c r="T204" s="749">
        <f t="shared" si="108"/>
        <v>0</v>
      </c>
      <c r="U204" s="748"/>
      <c r="W204" s="749">
        <f>INDEX('Actual-ACPLGZ'!$H$7:$T$207,MATCH($B204,'Actual-ACPLGZ'!$B$7:$B$207,0),MATCH(W$8,'Actual-ACPLGZ'!$H$6:$T$6,0))</f>
        <v>0</v>
      </c>
      <c r="X204" s="749">
        <f>INDEX('Budget-ACPLGZ'!$K$7:$W$207,MATCH($B204,'Budget-ACPLGZ'!$B$7:$B$207,0),MATCH(X$8,'Budget-ACPLGZ'!$K$6:$W$6,0))</f>
        <v>0</v>
      </c>
      <c r="Y204" s="749">
        <f t="shared" si="116"/>
        <v>0</v>
      </c>
      <c r="Z204" s="748"/>
      <c r="AB204" s="749">
        <f>INDEX('Actual-ACPLGZ'!$H$7:$T$207,MATCH($B204,'Actual-ACPLGZ'!$B$7:$B$207,0),MATCH(AB$8,'Actual-ACPLGZ'!$H$6:$T$6,0))</f>
        <v>0</v>
      </c>
      <c r="AC204" s="749">
        <f>INDEX('Budget-Yixing'!$K$7:$W$207,MATCH($B204,'Budget-Yixing'!$B$7:$B$207,0),MATCH(AC$8,'Budget-Yixing'!$K$6:$W$6,0))</f>
        <v>0</v>
      </c>
      <c r="AD204" s="749">
        <f t="shared" si="109"/>
        <v>0</v>
      </c>
      <c r="AE204" s="748"/>
      <c r="AG204" s="751">
        <f>SUM(INDEX('Actual-ACPL'!$H$7:$T$207,MATCH($B204,'Actual-ACPL'!$B$7:$B$207,0),MATCH('Actual-ACPL'!H$6,'Actual-ACPL'!$H$6:$T$6,0)):INDEX('Actual-ACPL'!$H$7:$T$207,MATCH($B204,'Actual-ACPL'!$B$7:$B$207,0),MATCH(AG$8,'Actual-ACPL'!$H$6:$T$6,0)))</f>
        <v>0</v>
      </c>
      <c r="AH204" s="749">
        <f>SUM(INDEX('Budget-ACPL'!$K$7:$W$207,MATCH($B204,'Budget-ACPL'!$B$7:$B$207,0),MATCH('Budget-ACPL'!K$6,'Budget-ACPL'!$K$6:$W$6,0)):INDEX('Budget-ACPL'!$K$7:$W$207,MATCH($B204,'Budget-ACPL'!$B$7:$B$207,0),MATCH(AH$8,'Budget-ACPL'!$K$6:$W$6,0)))</f>
        <v>0</v>
      </c>
      <c r="AI204" s="749">
        <f t="shared" si="117"/>
        <v>0</v>
      </c>
      <c r="AJ204" s="748"/>
      <c r="AL204" s="749">
        <f>SUM(INDEX('Actual-ACPLHK'!$H$7:$S$207,MATCH($B204,'Actual-ACPLHK'!$B$7:$B$207,0),MATCH('Actual-ACPLHK'!H$6,'Actual-ACPLHK'!$H$6:$T$6,0)):INDEX('Actual-ACPLHK'!$H$7:$S$207,MATCH($B204,'Actual-ACPLHK'!$B$7:$B$207,0),MATCH(AL$8,'Actual-ACPLHK'!$H$6:$T$6,0)))</f>
        <v>0</v>
      </c>
      <c r="AM204" s="749">
        <f>SUM(INDEX('Budget-ACPLHK'!$K$7:$W$207,MATCH($B204,'Budget-ACPLHK'!$B$7:$B$207,0),MATCH('Budget-ACPLHK'!K$6,'Budget-ACPLHK'!$K$6:$W$6,0)):INDEX('Budget-ACPLHK'!$K$7:$W$207,MATCH($B204,'Budget-ACPLHK'!$B$7:$B$207,0),MATCH(AM$8,'Budget-ACPLHK'!$K$6:$W$6,0)))</f>
        <v>0</v>
      </c>
      <c r="AN204" s="749">
        <f t="shared" si="110"/>
        <v>0</v>
      </c>
      <c r="AO204" s="748"/>
      <c r="AQ204" s="749">
        <f>SUM(INDEX('Actual-ACPSZL'!$H$7:$T$207,MATCH($B204,'Actual-ACPSZL'!$B$7:$B$207,0),MATCH('Actual-ACPSZL'!H$6,'Actual-ACPSZL'!$H$6:$T$6,0)):INDEX('Actual-ACPSZL'!$H$7:$T$207,MATCH($B204,'Actual-ACPSZL'!$B$7:$B$207,0),MATCH(AQ$8,'Actual-ACPSZL'!$H$6:$T$6,0)))</f>
        <v>0</v>
      </c>
      <c r="AR204" s="749">
        <f>SUM(INDEX('Budget-ACPSZL'!$K$7:$W$207,MATCH($B204,'Budget-ACPSZL'!$B$7:$B$207,0),MATCH('Budget-ACPSZL'!K$6,'Budget-ACPSZL'!$K$6:$W$6,0)):INDEX('Budget-ACPSZL'!$K$7:$W$207,MATCH($B204,'Budget-ACPSZL'!$B$7:$B$207,0),MATCH(AR$8,'Budget-ACPSZL'!$K$6:$W$6,0)))</f>
        <v>0</v>
      </c>
      <c r="AS204" s="749">
        <f t="shared" si="118"/>
        <v>0</v>
      </c>
      <c r="AT204" s="748"/>
      <c r="AV204" s="749">
        <f>SUM(INDEX('Actual-ACPLSZ'!$H$7:$T$207,MATCH($B204,'Actual-ACPLSZ'!$B$7:$B$207,0),MATCH('Actual-ACPLSZ'!H$6,'Actual-ACPLSZ'!$H$6:$T$6,0)):INDEX('Actual-ACPLSZ'!$H$7:$T$207,MATCH($B204,'Actual-ACPLSZ'!$B$7:$B$207,0),MATCH(AV$8,'Actual-ACPLSZ'!$H$6:$T$6,0)))</f>
        <v>0</v>
      </c>
      <c r="AW204" s="749">
        <f>SUM(INDEX('Budget-ACPLSZ'!$K$7:$W$207,MATCH($B204,'Budget-ACPLSZ'!$B$7:$B$207,0),MATCH('Budget-ACPLSZ'!K$6,'Budget-ACPLSZ'!$K$6:$W$6,0)):INDEX('Budget-ACPLSZ'!$K$7:$W$207,MATCH($B204,'Budget-ACPLSZ'!$B$7:$B$207,0),MATCH(AW$8,'Budget-ACPLSZ'!$K$6:$W$6,0)))</f>
        <v>0</v>
      </c>
      <c r="AX204" s="749">
        <f t="shared" si="119"/>
        <v>0</v>
      </c>
      <c r="AY204" s="748"/>
      <c r="BA204" s="749">
        <f>SUM(INDEX('Actual-ACPLGZ'!$H$7:$T$207,MATCH($B204,'Actual-ACPLGZ'!$B$7:$B$207,0),MATCH('Actual-ACPLGZ'!H$6,'Actual-ACPLGZ'!$H$6:$T$6,0)):INDEX('Actual-ACPLGZ'!$H$7:$T$207,MATCH($B204,'Actual-ACPLGZ'!$B$7:$B$207,0),MATCH(BA$8,'Actual-ACPLGZ'!$H$6:$T$6,0)))</f>
        <v>0</v>
      </c>
      <c r="BB204" s="749">
        <f>SUM(INDEX('Budget-ACPLGZ'!$K$7:$W$207,MATCH($B204,'Budget-ACPLGZ'!$B$7:$B$207,0),MATCH('Budget-ACPLGZ'!K$6,'Budget-ACPLGZ'!$K$6:$W$6,0)):INDEX('Budget-ACPLGZ'!$K$7:$W$207,MATCH($B204,'Budget-ACPLGZ'!$B$7:$B$207,0),MATCH(BB$8,'Budget-ACPLGZ'!$K$6:$W$6,0)))</f>
        <v>0</v>
      </c>
      <c r="BC204" s="749">
        <f t="shared" si="111"/>
        <v>0</v>
      </c>
      <c r="BD204" s="748"/>
      <c r="BF204" s="749">
        <f>SUM(INDEX('Actual-ACPLYixing'!$H$7:$T$207,MATCH($B204,'Actual-ACPLYixing'!$B$7:$B$207,0),MATCH('Actual-ACPLYixing'!H$6,'Actual-ACPLYixing'!$H$6:$T$6,0)):INDEX('Actual-ACPLYixing'!$H$7:$T$207,MATCH($B204,'Actual-ACPLYixing'!$B$7:$B$207,0),MATCH(BF$8,'Actual-ACPLYixing'!$H$6:$T$6,0)))</f>
        <v>0</v>
      </c>
      <c r="BG204" s="749">
        <f>SUM(INDEX('Budget-Yixing'!$K$7:$W$207,MATCH($B204,'Budget-Yixing'!$B$7:$B$207,0),MATCH('Budget-Yixing'!K$6,'Budget-Yixing'!$K$6:$W$6,0)):INDEX('Budget-Yixing'!$K$7:$W$207,MATCH($B204,'Budget-Yixing'!$B$7:$B$207,0),MATCH(BG$8,'Budget-Yixing'!$K$6:$W$6,0)))</f>
        <v>0</v>
      </c>
      <c r="BH204" s="749">
        <f t="shared" si="112"/>
        <v>0</v>
      </c>
      <c r="BI204" s="748"/>
    </row>
    <row r="205" spans="1:61" ht="16.5" customHeight="1">
      <c r="A205" s="653" t="str">
        <f>'Budget-合并'!A203</f>
        <v>6801.01</v>
      </c>
      <c r="B205" s="653" t="str">
        <f>'Budget-合并'!B203</f>
        <v>当期所得税费用</v>
      </c>
      <c r="C205" s="746">
        <f>INDEX('Actual-ACPL'!$H$7:$T$207,MATCH($B205,'Actual-ACPL'!$B$7:$B$207,0),MATCH(C$8,'Actual-ACPL'!$H$6:$T$6,0))</f>
        <v>0</v>
      </c>
      <c r="D205" s="746">
        <f>INDEX('Budget-ACPL'!$K$7:$W$207,MATCH($B205,'Budget-ACPL'!$B$7:$B$207,0),MATCH(D$8,'Budget-ACPL'!$K$6:$W$6,0))</f>
        <v>0</v>
      </c>
      <c r="E205" s="746">
        <f t="shared" si="113"/>
        <v>0</v>
      </c>
      <c r="F205" s="752"/>
      <c r="H205" s="749">
        <f>INDEX('Actual-ACPLHK'!$H$7:$T$207,MATCH($B205,'Actual-ACPLHK'!$B$7:$B$207,0),MATCH(H$8,'Actual-ACPLHK'!$H$6:$T$6,0))</f>
        <v>0</v>
      </c>
      <c r="I205" s="749">
        <f>INDEX('Budget-ACPLHK'!$K$7:$W$207,MATCH($B205,'Budget-ACPLHK'!$B$7:$B$207,0),MATCH(I$8,'Budget-ACPLHK'!$K$6:$W$6,0))</f>
        <v>0</v>
      </c>
      <c r="J205" s="749">
        <f t="shared" si="114"/>
        <v>0</v>
      </c>
      <c r="K205" s="748"/>
      <c r="M205" s="749">
        <f>INDEX('Actual-ACPSZL'!$H$7:$T$207,MATCH($B205,'Actual-ACPSZL'!$B$7:$B$207,0),MATCH(M$8,'Actual-ACPSZL'!$H$6:$T$6,0))</f>
        <v>0</v>
      </c>
      <c r="N205" s="749">
        <f>INDEX('Budget-ACPSZL'!$K$7:$W$207,MATCH($B205,'Budget-ACPSZL'!$B$7:$B$207,0),MATCH(N$8,'Budget-ACPSZL'!$K$6:$W$6,0))</f>
        <v>0</v>
      </c>
      <c r="O205" s="749">
        <f t="shared" si="115"/>
        <v>0</v>
      </c>
      <c r="P205" s="748"/>
      <c r="R205" s="749">
        <f>INDEX('Actual-ACPLSZ'!$H$7:$T$207,MATCH($B205,'Actual-ACPLSZ'!$B$7:$B$207,0),MATCH(R$8,'Actual-ACPLSZ'!$H$6:$T$6,0))</f>
        <v>0</v>
      </c>
      <c r="S205" s="749">
        <f>INDEX('Budget-ACPLSZ'!$K$7:$W$207,MATCH($B205,'Budget-ACPLSZ'!$B$7:$B$207,0),MATCH(S$8,'Budget-ACPLSZ'!$K$6:$W$6,0))</f>
        <v>0</v>
      </c>
      <c r="T205" s="749">
        <f t="shared" si="108"/>
        <v>0</v>
      </c>
      <c r="U205" s="748"/>
      <c r="W205" s="749">
        <f>INDEX('Actual-ACPLGZ'!$H$7:$T$207,MATCH($B205,'Actual-ACPLGZ'!$B$7:$B$207,0),MATCH(W$8,'Actual-ACPLGZ'!$H$6:$T$6,0))</f>
        <v>0</v>
      </c>
      <c r="X205" s="749">
        <f>INDEX('Budget-ACPLGZ'!$K$7:$W$207,MATCH($B205,'Budget-ACPLGZ'!$B$7:$B$207,0),MATCH(X$8,'Budget-ACPLGZ'!$K$6:$W$6,0))</f>
        <v>0</v>
      </c>
      <c r="Y205" s="749">
        <f t="shared" si="116"/>
        <v>0</v>
      </c>
      <c r="Z205" s="748"/>
      <c r="AB205" s="749">
        <f>INDEX('Actual-ACPLGZ'!$H$7:$T$207,MATCH($B205,'Actual-ACPLGZ'!$B$7:$B$207,0),MATCH(AB$8,'Actual-ACPLGZ'!$H$6:$T$6,0))</f>
        <v>0</v>
      </c>
      <c r="AC205" s="749">
        <f>INDEX('Budget-Yixing'!$K$7:$W$207,MATCH($B205,'Budget-Yixing'!$B$7:$B$207,0),MATCH(AC$8,'Budget-Yixing'!$K$6:$W$6,0))</f>
        <v>0</v>
      </c>
      <c r="AD205" s="749">
        <f t="shared" si="109"/>
        <v>0</v>
      </c>
      <c r="AE205" s="748"/>
      <c r="AG205" s="751">
        <f>SUM(INDEX('Actual-ACPL'!$H$7:$T$207,MATCH($B205,'Actual-ACPL'!$B$7:$B$207,0),MATCH('Actual-ACPL'!H$6,'Actual-ACPL'!$H$6:$T$6,0)):INDEX('Actual-ACPL'!$H$7:$T$207,MATCH($B205,'Actual-ACPL'!$B$7:$B$207,0),MATCH(AG$8,'Actual-ACPL'!$H$6:$T$6,0)))</f>
        <v>0</v>
      </c>
      <c r="AH205" s="749">
        <f>SUM(INDEX('Budget-ACPL'!$K$7:$W$207,MATCH($B205,'Budget-ACPL'!$B$7:$B$207,0),MATCH('Budget-ACPL'!K$6,'Budget-ACPL'!$K$6:$W$6,0)):INDEX('Budget-ACPL'!$K$7:$W$207,MATCH($B205,'Budget-ACPL'!$B$7:$B$207,0),MATCH(AH$8,'Budget-ACPL'!$K$6:$W$6,0)))</f>
        <v>0</v>
      </c>
      <c r="AI205" s="749">
        <f t="shared" si="117"/>
        <v>0</v>
      </c>
      <c r="AJ205" s="748"/>
      <c r="AL205" s="749">
        <f>SUM(INDEX('Actual-ACPLHK'!$H$7:$S$207,MATCH($B205,'Actual-ACPLHK'!$B$7:$B$207,0),MATCH('Actual-ACPLHK'!H$6,'Actual-ACPLHK'!$H$6:$T$6,0)):INDEX('Actual-ACPLHK'!$H$7:$S$207,MATCH($B205,'Actual-ACPLHK'!$B$7:$B$207,0),MATCH(AL$8,'Actual-ACPLHK'!$H$6:$T$6,0)))</f>
        <v>0</v>
      </c>
      <c r="AM205" s="749">
        <f>SUM(INDEX('Budget-ACPLHK'!$K$7:$W$207,MATCH($B205,'Budget-ACPLHK'!$B$7:$B$207,0),MATCH('Budget-ACPLHK'!K$6,'Budget-ACPLHK'!$K$6:$W$6,0)):INDEX('Budget-ACPLHK'!$K$7:$W$207,MATCH($B205,'Budget-ACPLHK'!$B$7:$B$207,0),MATCH(AM$8,'Budget-ACPLHK'!$K$6:$W$6,0)))</f>
        <v>0</v>
      </c>
      <c r="AN205" s="749">
        <f t="shared" si="110"/>
        <v>0</v>
      </c>
      <c r="AO205" s="748"/>
      <c r="AQ205" s="749">
        <f>SUM(INDEX('Actual-ACPSZL'!$H$7:$T$207,MATCH($B205,'Actual-ACPSZL'!$B$7:$B$207,0),MATCH('Actual-ACPSZL'!H$6,'Actual-ACPSZL'!$H$6:$T$6,0)):INDEX('Actual-ACPSZL'!$H$7:$T$207,MATCH($B205,'Actual-ACPSZL'!$B$7:$B$207,0),MATCH(AQ$8,'Actual-ACPSZL'!$H$6:$T$6,0)))</f>
        <v>0</v>
      </c>
      <c r="AR205" s="749">
        <f>SUM(INDEX('Budget-ACPSZL'!$K$7:$W$207,MATCH($B205,'Budget-ACPSZL'!$B$7:$B$207,0),MATCH('Budget-ACPSZL'!K$6,'Budget-ACPSZL'!$K$6:$W$6,0)):INDEX('Budget-ACPSZL'!$K$7:$W$207,MATCH($B205,'Budget-ACPSZL'!$B$7:$B$207,0),MATCH(AR$8,'Budget-ACPSZL'!$K$6:$W$6,0)))</f>
        <v>0</v>
      </c>
      <c r="AS205" s="749">
        <f t="shared" si="118"/>
        <v>0</v>
      </c>
      <c r="AT205" s="748"/>
      <c r="AV205" s="749">
        <f>SUM(INDEX('Actual-ACPLSZ'!$H$7:$T$207,MATCH($B205,'Actual-ACPLSZ'!$B$7:$B$207,0),MATCH('Actual-ACPLSZ'!H$6,'Actual-ACPLSZ'!$H$6:$T$6,0)):INDEX('Actual-ACPLSZ'!$H$7:$T$207,MATCH($B205,'Actual-ACPLSZ'!$B$7:$B$207,0),MATCH(AV$8,'Actual-ACPLSZ'!$H$6:$T$6,0)))</f>
        <v>0</v>
      </c>
      <c r="AW205" s="749">
        <f>SUM(INDEX('Budget-ACPLSZ'!$K$7:$W$207,MATCH($B205,'Budget-ACPLSZ'!$B$7:$B$207,0),MATCH('Budget-ACPLSZ'!K$6,'Budget-ACPLSZ'!$K$6:$W$6,0)):INDEX('Budget-ACPLSZ'!$K$7:$W$207,MATCH($B205,'Budget-ACPLSZ'!$B$7:$B$207,0),MATCH(AW$8,'Budget-ACPLSZ'!$K$6:$W$6,0)))</f>
        <v>0</v>
      </c>
      <c r="AX205" s="749">
        <f t="shared" si="119"/>
        <v>0</v>
      </c>
      <c r="AY205" s="748"/>
      <c r="BA205" s="749">
        <f>SUM(INDEX('Actual-ACPLGZ'!$H$7:$T$207,MATCH($B205,'Actual-ACPLGZ'!$B$7:$B$207,0),MATCH('Actual-ACPLGZ'!H$6,'Actual-ACPLGZ'!$H$6:$T$6,0)):INDEX('Actual-ACPLGZ'!$H$7:$T$207,MATCH($B205,'Actual-ACPLGZ'!$B$7:$B$207,0),MATCH(BA$8,'Actual-ACPLGZ'!$H$6:$T$6,0)))</f>
        <v>0</v>
      </c>
      <c r="BB205" s="749">
        <f>SUM(INDEX('Budget-ACPLGZ'!$K$7:$W$207,MATCH($B205,'Budget-ACPLGZ'!$B$7:$B$207,0),MATCH('Budget-ACPLGZ'!K$6,'Budget-ACPLGZ'!$K$6:$W$6,0)):INDEX('Budget-ACPLGZ'!$K$7:$W$207,MATCH($B205,'Budget-ACPLGZ'!$B$7:$B$207,0),MATCH(BB$8,'Budget-ACPLGZ'!$K$6:$W$6,0)))</f>
        <v>0</v>
      </c>
      <c r="BC205" s="749">
        <f t="shared" si="111"/>
        <v>0</v>
      </c>
      <c r="BD205" s="748"/>
      <c r="BF205" s="749">
        <f>SUM(INDEX('Actual-ACPLYixing'!$H$7:$T$207,MATCH($B205,'Actual-ACPLYixing'!$B$7:$B$207,0),MATCH('Actual-ACPLYixing'!H$6,'Actual-ACPLYixing'!$H$6:$T$6,0)):INDEX('Actual-ACPLYixing'!$H$7:$T$207,MATCH($B205,'Actual-ACPLYixing'!$B$7:$B$207,0),MATCH(BF$8,'Actual-ACPLYixing'!$H$6:$T$6,0)))</f>
        <v>0</v>
      </c>
      <c r="BG205" s="749">
        <f>SUM(INDEX('Budget-Yixing'!$K$7:$W$207,MATCH($B205,'Budget-Yixing'!$B$7:$B$207,0),MATCH('Budget-Yixing'!K$6,'Budget-Yixing'!$K$6:$W$6,0)):INDEX('Budget-Yixing'!$K$7:$W$207,MATCH($B205,'Budget-Yixing'!$B$7:$B$207,0),MATCH(BG$8,'Budget-Yixing'!$K$6:$W$6,0)))</f>
        <v>0</v>
      </c>
      <c r="BH205" s="749">
        <f t="shared" si="112"/>
        <v>0</v>
      </c>
      <c r="BI205" s="748"/>
    </row>
    <row r="206" spans="1:61" ht="16.5" customHeight="1">
      <c r="A206" s="653" t="str">
        <f>'Budget-合并'!A204</f>
        <v>6801.02</v>
      </c>
      <c r="B206" s="653" t="str">
        <f>'Budget-合并'!B204</f>
        <v>递延所得税费用</v>
      </c>
      <c r="C206" s="746">
        <f>INDEX('Actual-ACPL'!$H$7:$T$207,MATCH($B206,'Actual-ACPL'!$B$7:$B$207,0),MATCH(C$8,'Actual-ACPL'!$H$6:$T$6,0))</f>
        <v>0</v>
      </c>
      <c r="D206" s="746">
        <f>INDEX('Budget-ACPL'!$K$7:$W$207,MATCH($B206,'Budget-ACPL'!$B$7:$B$207,0),MATCH(D$8,'Budget-ACPL'!$K$6:$W$6,0))</f>
        <v>0</v>
      </c>
      <c r="E206" s="746">
        <f t="shared" si="113"/>
        <v>0</v>
      </c>
      <c r="F206" s="752"/>
      <c r="H206" s="749">
        <f>INDEX('Actual-ACPLHK'!$H$7:$T$207,MATCH($B206,'Actual-ACPLHK'!$B$7:$B$207,0),MATCH(H$8,'Actual-ACPLHK'!$H$6:$T$6,0))</f>
        <v>0</v>
      </c>
      <c r="I206" s="749">
        <f>INDEX('Budget-ACPLHK'!$K$7:$W$207,MATCH($B206,'Budget-ACPLHK'!$B$7:$B$207,0),MATCH(I$8,'Budget-ACPLHK'!$K$6:$W$6,0))</f>
        <v>0</v>
      </c>
      <c r="J206" s="749">
        <f t="shared" si="114"/>
        <v>0</v>
      </c>
      <c r="K206" s="748"/>
      <c r="M206" s="749">
        <f>INDEX('Actual-ACPSZL'!$H$7:$T$207,MATCH($B206,'Actual-ACPSZL'!$B$7:$B$207,0),MATCH(M$8,'Actual-ACPSZL'!$H$6:$T$6,0))</f>
        <v>0</v>
      </c>
      <c r="N206" s="749">
        <f>INDEX('Budget-ACPSZL'!$K$7:$W$207,MATCH($B206,'Budget-ACPSZL'!$B$7:$B$207,0),MATCH(N$8,'Budget-ACPSZL'!$K$6:$W$6,0))</f>
        <v>0</v>
      </c>
      <c r="O206" s="749">
        <f t="shared" si="115"/>
        <v>0</v>
      </c>
      <c r="P206" s="748"/>
      <c r="R206" s="749">
        <f>INDEX('Actual-ACPLSZ'!$H$7:$T$207,MATCH($B206,'Actual-ACPLSZ'!$B$7:$B$207,0),MATCH(R$8,'Actual-ACPLSZ'!$H$6:$T$6,0))</f>
        <v>0</v>
      </c>
      <c r="S206" s="749">
        <f>INDEX('Budget-ACPLSZ'!$K$7:$W$207,MATCH($B206,'Budget-ACPLSZ'!$B$7:$B$207,0),MATCH(S$8,'Budget-ACPLSZ'!$K$6:$W$6,0))</f>
        <v>0</v>
      </c>
      <c r="T206" s="750">
        <f t="shared" si="108"/>
        <v>0</v>
      </c>
      <c r="U206" s="748"/>
      <c r="W206" s="749">
        <f>INDEX('Actual-ACPLGZ'!$H$7:$T$207,MATCH($B206,'Actual-ACPLGZ'!$B$7:$B$207,0),MATCH(W$8,'Actual-ACPLGZ'!$H$6:$T$6,0))</f>
        <v>0</v>
      </c>
      <c r="X206" s="749">
        <f>INDEX('Budget-ACPLGZ'!$K$7:$W$207,MATCH($B206,'Budget-ACPLGZ'!$B$7:$B$207,0),MATCH(X$8,'Budget-ACPLGZ'!$K$6:$W$6,0))</f>
        <v>0</v>
      </c>
      <c r="Y206" s="749">
        <f t="shared" si="116"/>
        <v>0</v>
      </c>
      <c r="Z206" s="748"/>
      <c r="AB206" s="749">
        <f>INDEX('Actual-ACPLGZ'!$H$7:$T$207,MATCH($B206,'Actual-ACPLGZ'!$B$7:$B$207,0),MATCH(AB$8,'Actual-ACPLGZ'!$H$6:$T$6,0))</f>
        <v>0</v>
      </c>
      <c r="AC206" s="749">
        <f>INDEX('Budget-Yixing'!$K$7:$W$207,MATCH($B206,'Budget-Yixing'!$B$7:$B$207,0),MATCH(AC$8,'Budget-Yixing'!$K$6:$W$6,0))</f>
        <v>0</v>
      </c>
      <c r="AD206" s="750">
        <f t="shared" si="109"/>
        <v>0</v>
      </c>
      <c r="AE206" s="748"/>
      <c r="AG206" s="751">
        <f>SUM(INDEX('Actual-ACPL'!$H$7:$T$207,MATCH($B206,'Actual-ACPL'!$B$7:$B$207,0),MATCH('Actual-ACPL'!H$6,'Actual-ACPL'!$H$6:$T$6,0)):INDEX('Actual-ACPL'!$H$7:$T$207,MATCH($B206,'Actual-ACPL'!$B$7:$B$207,0),MATCH(AG$8,'Actual-ACPL'!$H$6:$T$6,0)))</f>
        <v>0</v>
      </c>
      <c r="AH206" s="749">
        <f>SUM(INDEX('Budget-ACPL'!$K$7:$W$207,MATCH($B206,'Budget-ACPL'!$B$7:$B$207,0),MATCH('Budget-ACPL'!K$6,'Budget-ACPL'!$K$6:$W$6,0)):INDEX('Budget-ACPL'!$K$7:$W$207,MATCH($B206,'Budget-ACPL'!$B$7:$B$207,0),MATCH(AH$8,'Budget-ACPL'!$K$6:$W$6,0)))</f>
        <v>0</v>
      </c>
      <c r="AI206" s="749">
        <f t="shared" si="117"/>
        <v>0</v>
      </c>
      <c r="AJ206" s="748"/>
      <c r="AL206" s="749">
        <f>SUM(INDEX('Actual-ACPLHK'!$H$7:$S$207,MATCH($B206,'Actual-ACPLHK'!$B$7:$B$207,0),MATCH('Actual-ACPLHK'!H$6,'Actual-ACPLHK'!$H$6:$T$6,0)):INDEX('Actual-ACPLHK'!$H$7:$S$207,MATCH($B206,'Actual-ACPLHK'!$B$7:$B$207,0),MATCH(AL$8,'Actual-ACPLHK'!$H$6:$T$6,0)))</f>
        <v>0</v>
      </c>
      <c r="AM206" s="749">
        <f>SUM(INDEX('Budget-ACPLHK'!$K$7:$W$207,MATCH($B206,'Budget-ACPLHK'!$B$7:$B$207,0),MATCH('Budget-ACPLHK'!K$6,'Budget-ACPLHK'!$K$6:$W$6,0)):INDEX('Budget-ACPLHK'!$K$7:$W$207,MATCH($B206,'Budget-ACPLHK'!$B$7:$B$207,0),MATCH(AM$8,'Budget-ACPLHK'!$K$6:$W$6,0)))</f>
        <v>0</v>
      </c>
      <c r="AN206" s="749">
        <f t="shared" si="110"/>
        <v>0</v>
      </c>
      <c r="AO206" s="748"/>
      <c r="AQ206" s="749">
        <f>SUM(INDEX('Actual-ACPSZL'!$H$7:$T$207,MATCH($B206,'Actual-ACPSZL'!$B$7:$B$207,0),MATCH('Actual-ACPSZL'!H$6,'Actual-ACPSZL'!$H$6:$T$6,0)):INDEX('Actual-ACPSZL'!$H$7:$T$207,MATCH($B206,'Actual-ACPSZL'!$B$7:$B$207,0),MATCH(AQ$8,'Actual-ACPSZL'!$H$6:$T$6,0)))</f>
        <v>0</v>
      </c>
      <c r="AR206" s="749">
        <f>SUM(INDEX('Budget-ACPSZL'!$K$7:$W$207,MATCH($B206,'Budget-ACPSZL'!$B$7:$B$207,0),MATCH('Budget-ACPSZL'!K$6,'Budget-ACPSZL'!$K$6:$W$6,0)):INDEX('Budget-ACPSZL'!$K$7:$W$207,MATCH($B206,'Budget-ACPSZL'!$B$7:$B$207,0),MATCH(AR$8,'Budget-ACPSZL'!$K$6:$W$6,0)))</f>
        <v>0</v>
      </c>
      <c r="AS206" s="749">
        <f t="shared" si="118"/>
        <v>0</v>
      </c>
      <c r="AT206" s="748"/>
      <c r="AV206" s="749">
        <f>SUM(INDEX('Actual-ACPLSZ'!$H$7:$T$207,MATCH($B206,'Actual-ACPLSZ'!$B$7:$B$207,0),MATCH('Actual-ACPLSZ'!H$6,'Actual-ACPLSZ'!$H$6:$T$6,0)):INDEX('Actual-ACPLSZ'!$H$7:$T$207,MATCH($B206,'Actual-ACPLSZ'!$B$7:$B$207,0),MATCH(AV$8,'Actual-ACPLSZ'!$H$6:$T$6,0)))</f>
        <v>0</v>
      </c>
      <c r="AW206" s="749">
        <f>SUM(INDEX('Budget-ACPLSZ'!$K$7:$W$207,MATCH($B206,'Budget-ACPLSZ'!$B$7:$B$207,0),MATCH('Budget-ACPLSZ'!K$6,'Budget-ACPLSZ'!$K$6:$W$6,0)):INDEX('Budget-ACPLSZ'!$K$7:$W$207,MATCH($B206,'Budget-ACPLSZ'!$B$7:$B$207,0),MATCH(AW$8,'Budget-ACPLSZ'!$K$6:$W$6,0)))</f>
        <v>0</v>
      </c>
      <c r="AX206" s="749">
        <f t="shared" si="119"/>
        <v>0</v>
      </c>
      <c r="AY206" s="748"/>
      <c r="BA206" s="749">
        <f>SUM(INDEX('Actual-ACPLGZ'!$H$7:$T$207,MATCH($B206,'Actual-ACPLGZ'!$B$7:$B$207,0),MATCH('Actual-ACPLGZ'!H$6,'Actual-ACPLGZ'!$H$6:$T$6,0)):INDEX('Actual-ACPLGZ'!$H$7:$T$207,MATCH($B206,'Actual-ACPLGZ'!$B$7:$B$207,0),MATCH(BA$8,'Actual-ACPLGZ'!$H$6:$T$6,0)))</f>
        <v>0</v>
      </c>
      <c r="BB206" s="749">
        <f>SUM(INDEX('Budget-ACPLGZ'!$K$7:$W$207,MATCH($B206,'Budget-ACPLGZ'!$B$7:$B$207,0),MATCH('Budget-ACPLGZ'!K$6,'Budget-ACPLGZ'!$K$6:$W$6,0)):INDEX('Budget-ACPLGZ'!$K$7:$W$207,MATCH($B206,'Budget-ACPLGZ'!$B$7:$B$207,0),MATCH(BB$8,'Budget-ACPLGZ'!$K$6:$W$6,0)))</f>
        <v>0</v>
      </c>
      <c r="BC206" s="749">
        <f t="shared" si="111"/>
        <v>0</v>
      </c>
      <c r="BD206" s="748"/>
      <c r="BF206" s="749">
        <f>SUM(INDEX('Actual-ACPLYixing'!$H$7:$T$207,MATCH($B206,'Actual-ACPLYixing'!$B$7:$B$207,0),MATCH('Actual-ACPLYixing'!H$6,'Actual-ACPLYixing'!$H$6:$T$6,0)):INDEX('Actual-ACPLYixing'!$H$7:$T$207,MATCH($B206,'Actual-ACPLYixing'!$B$7:$B$207,0),MATCH(BF$8,'Actual-ACPLYixing'!$H$6:$T$6,0)))</f>
        <v>0</v>
      </c>
      <c r="BG206" s="749">
        <f>SUM(INDEX('Budget-Yixing'!$K$7:$W$207,MATCH($B206,'Budget-Yixing'!$B$7:$B$207,0),MATCH('Budget-Yixing'!K$6,'Budget-Yixing'!$K$6:$W$6,0)):INDEX('Budget-Yixing'!$K$7:$W$207,MATCH($B206,'Budget-Yixing'!$B$7:$B$207,0),MATCH(BG$8,'Budget-Yixing'!$K$6:$W$6,0)))</f>
        <v>0</v>
      </c>
      <c r="BH206" s="749">
        <f t="shared" si="112"/>
        <v>0</v>
      </c>
      <c r="BI206" s="748"/>
    </row>
    <row r="207" spans="1:61" ht="16.5" customHeight="1">
      <c r="A207" s="653" t="str">
        <f>'Budget-合并'!A205</f>
        <v>6801.03</v>
      </c>
      <c r="B207" s="653" t="str">
        <f>'Budget-合并'!B205</f>
        <v>以前年度所得税费用</v>
      </c>
      <c r="C207" s="746">
        <f>INDEX('Actual-ACPL'!$H$7:$T$207,MATCH($B207,'Actual-ACPL'!$B$7:$B$207,0),MATCH(C$8,'Actual-ACPL'!$H$6:$T$6,0))</f>
        <v>0</v>
      </c>
      <c r="D207" s="746">
        <f>INDEX('Budget-ACPL'!$K$7:$W$207,MATCH($B207,'Budget-ACPL'!$B$7:$B$207,0),MATCH(D$8,'Budget-ACPL'!$K$6:$W$6,0))</f>
        <v>0</v>
      </c>
      <c r="E207" s="754">
        <f t="shared" si="113"/>
        <v>0</v>
      </c>
      <c r="F207" s="754"/>
      <c r="H207" s="749">
        <f>INDEX('Actual-ACPLHK'!$H$7:$T$207,MATCH($B207,'Actual-ACPLHK'!$B$7:$B$207,0),MATCH(H$8,'Actual-ACPLHK'!$H$6:$T$6,0))</f>
        <v>0</v>
      </c>
      <c r="I207" s="749">
        <f>INDEX('Budget-ACPLHK'!$K$7:$W$207,MATCH($B207,'Budget-ACPLHK'!$B$7:$B$207,0),MATCH(I$8,'Budget-ACPLHK'!$K$6:$W$6,0))</f>
        <v>0</v>
      </c>
      <c r="J207" s="753">
        <f t="shared" si="114"/>
        <v>0</v>
      </c>
      <c r="K207" s="753"/>
      <c r="M207" s="749">
        <f>INDEX('Actual-ACPSZL'!$H$7:$T$207,MATCH($B207,'Actual-ACPSZL'!$B$7:$B$207,0),MATCH(M$8,'Actual-ACPSZL'!$H$6:$T$6,0))</f>
        <v>0</v>
      </c>
      <c r="N207" s="749">
        <f>INDEX('Budget-ACPSZL'!$K$7:$W$207,MATCH($B207,'Budget-ACPSZL'!$B$7:$B$207,0),MATCH(N$8,'Budget-ACPSZL'!$K$6:$W$6,0))</f>
        <v>0</v>
      </c>
      <c r="O207" s="753">
        <f t="shared" ref="O207:O209" si="120">M207-N207</f>
        <v>0</v>
      </c>
      <c r="P207" s="753"/>
      <c r="R207" s="749">
        <f>INDEX('Actual-ACPLSZ'!$H$7:$T$207,MATCH($B207,'Actual-ACPLSZ'!$B$7:$B$207,0),MATCH(R$8,'Actual-ACPLSZ'!$H$6:$T$6,0))</f>
        <v>0</v>
      </c>
      <c r="S207" s="749">
        <f>INDEX('Budget-ACPLSZ'!$K$7:$W$207,MATCH($B207,'Budget-ACPLSZ'!$B$7:$B$207,0),MATCH(S$8,'Budget-ACPLSZ'!$K$6:$W$6,0))</f>
        <v>0</v>
      </c>
      <c r="T207" s="753">
        <f>R207-S207</f>
        <v>0</v>
      </c>
      <c r="U207" s="753"/>
      <c r="W207" s="749">
        <f>INDEX('Actual-ACPLGZ'!$H$7:$T$207,MATCH($B207,'Actual-ACPLGZ'!$B$7:$B$207,0),MATCH(W$8,'Actual-ACPLGZ'!$H$6:$T$6,0))</f>
        <v>0</v>
      </c>
      <c r="X207" s="749">
        <f>INDEX('Budget-ACPLGZ'!$K$7:$W$207,MATCH($B207,'Budget-ACPLGZ'!$B$7:$B$207,0),MATCH(X$8,'Budget-ACPLGZ'!$K$6:$W$6,0))</f>
        <v>0</v>
      </c>
      <c r="Y207" s="753">
        <f t="shared" ref="Y207:Y209" si="121">W207-X207</f>
        <v>0</v>
      </c>
      <c r="Z207" s="753"/>
      <c r="AB207" s="749">
        <f>INDEX('Actual-ACPLGZ'!$H$7:$T$207,MATCH($B207,'Actual-ACPLGZ'!$B$7:$B$207,0),MATCH(AB$8,'Actual-ACPLGZ'!$H$6:$T$6,0))</f>
        <v>0</v>
      </c>
      <c r="AC207" s="749">
        <f>INDEX('Budget-Yixing'!$K$7:$W$207,MATCH($B207,'Budget-Yixing'!$B$7:$B$207,0),MATCH(AC$8,'Budget-Yixing'!$K$6:$W$6,0))</f>
        <v>0</v>
      </c>
      <c r="AD207" s="753">
        <f>AB207-AC207</f>
        <v>0</v>
      </c>
      <c r="AE207" s="748"/>
      <c r="AG207" s="751">
        <f>SUM(INDEX('Actual-ACPL'!$H$7:$T$207,MATCH($B207,'Actual-ACPL'!$B$7:$B$207,0),MATCH('Actual-ACPL'!H$6,'Actual-ACPL'!$H$6:$T$6,0)):INDEX('Actual-ACPL'!$H$7:$T$207,MATCH($B207,'Actual-ACPL'!$B$7:$B$207,0),MATCH(AG$8,'Actual-ACPL'!$H$6:$T$6,0)))</f>
        <v>0</v>
      </c>
      <c r="AH207" s="749">
        <f>SUM(INDEX('Budget-ACPL'!$K$7:$W$207,MATCH($B207,'Budget-ACPL'!$B$7:$B$207,0),MATCH('Budget-ACPL'!K$6,'Budget-ACPL'!$K$6:$W$6,0)):INDEX('Budget-ACPL'!$K$7:$W$207,MATCH($B207,'Budget-ACPL'!$B$7:$B$207,0),MATCH(AH$8,'Budget-ACPL'!$K$6:$W$6,0)))</f>
        <v>0</v>
      </c>
      <c r="AI207" s="753">
        <f t="shared" si="117"/>
        <v>0</v>
      </c>
      <c r="AJ207" s="748"/>
      <c r="AL207" s="749">
        <f>SUM(INDEX('Actual-ACPLHK'!$H$7:$S$207,MATCH($B207,'Actual-ACPLHK'!$B$7:$B$207,0),MATCH('Actual-ACPLHK'!H$6,'Actual-ACPLHK'!$H$6:$T$6,0)):INDEX('Actual-ACPLHK'!$H$7:$S$207,MATCH($B207,'Actual-ACPLHK'!$B$7:$B$207,0),MATCH(AL$8,'Actual-ACPLHK'!$H$6:$T$6,0)))</f>
        <v>0</v>
      </c>
      <c r="AM207" s="749">
        <f>SUM(INDEX('Budget-ACPLHK'!$K$7:$W$207,MATCH($B207,'Budget-ACPLHK'!$B$7:$B$207,0),MATCH('Budget-ACPLHK'!K$6,'Budget-ACPLHK'!$K$6:$W$6,0)):INDEX('Budget-ACPLHK'!$K$7:$W$207,MATCH($B207,'Budget-ACPLHK'!$B$7:$B$207,0),MATCH(AM$8,'Budget-ACPLHK'!$K$6:$W$6,0)))</f>
        <v>0</v>
      </c>
      <c r="AN207" s="753">
        <f t="shared" si="110"/>
        <v>0</v>
      </c>
      <c r="AO207" s="748"/>
      <c r="AQ207" s="749">
        <f>SUM(INDEX('Actual-ACPSZL'!$H$7:$T$207,MATCH($B207,'Actual-ACPSZL'!$B$7:$B$207,0),MATCH('Actual-ACPSZL'!H$6,'Actual-ACPSZL'!$H$6:$T$6,0)):INDEX('Actual-ACPSZL'!$H$7:$T$207,MATCH($B207,'Actual-ACPSZL'!$B$7:$B$207,0),MATCH(AQ$8,'Actual-ACPSZL'!$H$6:$T$6,0)))</f>
        <v>0</v>
      </c>
      <c r="AR207" s="749">
        <f>SUM(INDEX('Budget-ACPSZL'!$K$7:$W$207,MATCH($B207,'Budget-ACPSZL'!$B$7:$B$207,0),MATCH('Budget-ACPSZL'!K$6,'Budget-ACPSZL'!$K$6:$W$6,0)):INDEX('Budget-ACPSZL'!$K$7:$W$207,MATCH($B207,'Budget-ACPSZL'!$B$7:$B$207,0),MATCH(AR$8,'Budget-ACPSZL'!$K$6:$W$6,0)))</f>
        <v>0</v>
      </c>
      <c r="AS207" s="753">
        <f t="shared" si="118"/>
        <v>0</v>
      </c>
      <c r="AT207" s="753"/>
      <c r="AV207" s="749">
        <f>SUM(INDEX('Actual-ACPLSZ'!$H$7:$T$207,MATCH($B207,'Actual-ACPLSZ'!$B$7:$B$207,0),MATCH('Actual-ACPLSZ'!H$6,'Actual-ACPLSZ'!$H$6:$T$6,0)):INDEX('Actual-ACPLSZ'!$H$7:$T$207,MATCH($B207,'Actual-ACPLSZ'!$B$7:$B$207,0),MATCH(AV$8,'Actual-ACPLSZ'!$H$6:$T$6,0)))</f>
        <v>0</v>
      </c>
      <c r="AW207" s="749">
        <f>SUM(INDEX('Budget-ACPLSZ'!$K$7:$W$207,MATCH($B207,'Budget-ACPLSZ'!$B$7:$B$207,0),MATCH('Budget-ACPLSZ'!K$6,'Budget-ACPLSZ'!$K$6:$W$6,0)):INDEX('Budget-ACPLSZ'!$K$7:$W$207,MATCH($B207,'Budget-ACPLSZ'!$B$7:$B$207,0),MATCH(AW$8,'Budget-ACPLSZ'!$K$6:$W$6,0)))</f>
        <v>0</v>
      </c>
      <c r="AX207" s="753">
        <f t="shared" si="119"/>
        <v>0</v>
      </c>
      <c r="AY207" s="753"/>
      <c r="BA207" s="749">
        <f>SUM(INDEX('Actual-ACPLGZ'!$H$7:$T$207,MATCH($B207,'Actual-ACPLGZ'!$B$7:$B$207,0),MATCH('Actual-ACPLGZ'!H$6,'Actual-ACPLGZ'!$H$6:$T$6,0)):INDEX('Actual-ACPLGZ'!$H$7:$T$207,MATCH($B207,'Actual-ACPLGZ'!$B$7:$B$207,0),MATCH(BA$8,'Actual-ACPLGZ'!$H$6:$T$6,0)))</f>
        <v>0</v>
      </c>
      <c r="BB207" s="749">
        <f>SUM(INDEX('Budget-ACPLGZ'!$K$7:$W$207,MATCH($B207,'Budget-ACPLGZ'!$B$7:$B$207,0),MATCH('Budget-ACPLGZ'!K$6,'Budget-ACPLGZ'!$K$6:$W$6,0)):INDEX('Budget-ACPLGZ'!$K$7:$W$207,MATCH($B207,'Budget-ACPLGZ'!$B$7:$B$207,0),MATCH(BB$8,'Budget-ACPLGZ'!$K$6:$W$6,0)))</f>
        <v>0</v>
      </c>
      <c r="BC207" s="753">
        <f t="shared" si="111"/>
        <v>0</v>
      </c>
      <c r="BD207" s="753"/>
      <c r="BF207" s="749">
        <f>SUM(INDEX('Actual-ACPLYixing'!$H$7:$T$207,MATCH($B207,'Actual-ACPLYixing'!$B$7:$B$207,0),MATCH('Actual-ACPLYixing'!H$6,'Actual-ACPLYixing'!$H$6:$T$6,0)):INDEX('Actual-ACPLYixing'!$H$7:$T$207,MATCH($B207,'Actual-ACPLYixing'!$B$7:$B$207,0),MATCH(BF$8,'Actual-ACPLYixing'!$H$6:$T$6,0)))</f>
        <v>0</v>
      </c>
      <c r="BG207" s="749">
        <f>SUM(INDEX('Budget-Yixing'!$K$7:$W$207,MATCH($B207,'Budget-Yixing'!$B$7:$B$207,0),MATCH('Budget-Yixing'!K$6,'Budget-Yixing'!$K$6:$W$6,0)):INDEX('Budget-Yixing'!$K$7:$W$207,MATCH($B207,'Budget-Yixing'!$B$7:$B$207,0),MATCH(BG$8,'Budget-Yixing'!$K$6:$W$6,0)))</f>
        <v>0</v>
      </c>
      <c r="BH207" s="753">
        <f t="shared" si="112"/>
        <v>0</v>
      </c>
      <c r="BI207" s="753"/>
    </row>
    <row r="208" spans="1:61" ht="16.5" customHeight="1">
      <c r="A208" s="653">
        <f>'Budget-合并'!A206</f>
        <v>0</v>
      </c>
      <c r="B208" s="653">
        <f>'Budget-合并'!B206</f>
        <v>0</v>
      </c>
      <c r="C208" s="746">
        <f>INDEX('Actual-ACPL'!$H$7:$T$207,MATCH($B208,'Actual-ACPL'!$B$7:$B$207,0),MATCH(C$8,'Actual-ACPL'!$H$6:$T$6,0))</f>
        <v>0</v>
      </c>
      <c r="D208" s="746">
        <f>INDEX('Budget-ACPL'!$K$7:$W$207,MATCH($B208,'Budget-ACPL'!$B$7:$B$207,0),MATCH(D$8,'Budget-ACPL'!$K$6:$W$6,0))</f>
        <v>0</v>
      </c>
      <c r="E208" s="746">
        <f t="shared" ref="E208:E209" si="122">C208-D208</f>
        <v>0</v>
      </c>
      <c r="F208" s="752"/>
      <c r="H208" s="749">
        <f>INDEX('Actual-ACPLHK'!$H$7:$T$207,MATCH($B208,'Actual-ACPLHK'!$B$7:$B$207,0),MATCH(H$8,'Actual-ACPLHK'!$H$6:$T$6,0))</f>
        <v>0</v>
      </c>
      <c r="I208" s="749">
        <f>INDEX('Budget-ACPLHK'!$K$7:$W$207,MATCH($B208,'Budget-ACPLHK'!$B$7:$B$207,0),MATCH(I$8,'Budget-ACPLHK'!$K$6:$W$6,0))</f>
        <v>0</v>
      </c>
      <c r="J208" s="749">
        <f t="shared" ref="J208:J209" si="123">H208-I208</f>
        <v>0</v>
      </c>
      <c r="K208" s="748"/>
      <c r="M208" s="749">
        <f>INDEX('Actual-ACPSZL'!$H$7:$T$207,MATCH($B208,'Actual-ACPSZL'!$B$7:$B$207,0),MATCH(M$8,'Actual-ACPSZL'!$H$6:$T$6,0))</f>
        <v>0</v>
      </c>
      <c r="N208" s="749">
        <f>INDEX('Budget-ACPSZL'!$K$7:$W$207,MATCH($B208,'Budget-ACPSZL'!$B$7:$B$207,0),MATCH(N$8,'Budget-ACPSZL'!$K$6:$W$6,0))</f>
        <v>0</v>
      </c>
      <c r="O208" s="749">
        <f t="shared" si="120"/>
        <v>0</v>
      </c>
      <c r="P208" s="748"/>
      <c r="R208" s="749">
        <f>INDEX('Actual-ACPLSZ'!$H$7:$T$207,MATCH($B208,'Actual-ACPLSZ'!$B$7:$B$207,0),MATCH(R$8,'Actual-ACPLSZ'!$H$6:$T$6,0))</f>
        <v>0</v>
      </c>
      <c r="S208" s="749">
        <f>INDEX('Budget-ACPLSZ'!$K$7:$W$207,MATCH($B208,'Budget-ACPLSZ'!$B$7:$B$207,0),MATCH(S$8,'Budget-ACPLSZ'!$K$6:$W$6,0))</f>
        <v>0</v>
      </c>
      <c r="T208" s="749">
        <f>R208-S208</f>
        <v>0</v>
      </c>
      <c r="U208" s="748"/>
      <c r="W208" s="749">
        <f>INDEX('Actual-ACPLGZ'!$H$7:$T$207,MATCH($B208,'Actual-ACPLGZ'!$B$7:$B$207,0),MATCH(W$8,'Actual-ACPLGZ'!$H$6:$T$6,0))</f>
        <v>0</v>
      </c>
      <c r="X208" s="749">
        <f>INDEX('Budget-ACPLGZ'!$K$7:$W$207,MATCH($B208,'Budget-ACPLGZ'!$B$7:$B$207,0),MATCH(X$8,'Budget-ACPLGZ'!$K$6:$W$6,0))</f>
        <v>0</v>
      </c>
      <c r="Y208" s="749">
        <f t="shared" si="121"/>
        <v>0</v>
      </c>
      <c r="Z208" s="748"/>
      <c r="AB208" s="749">
        <f>INDEX('Actual-ACPLGZ'!$H$7:$T$207,MATCH($B208,'Actual-ACPLGZ'!$B$7:$B$207,0),MATCH(AB$8,'Actual-ACPLGZ'!$H$6:$T$6,0))</f>
        <v>0</v>
      </c>
      <c r="AC208" s="749">
        <f>INDEX('Budget-Yixing'!$K$7:$W$207,MATCH($B208,'Budget-Yixing'!$B$7:$B$207,0),MATCH(AC$8,'Budget-Yixing'!$K$6:$W$6,0))</f>
        <v>0</v>
      </c>
      <c r="AD208" s="749">
        <f>AB208-AC208</f>
        <v>0</v>
      </c>
      <c r="AE208" s="748"/>
      <c r="AG208" s="751">
        <f>SUM(INDEX('Actual-ACPL'!$H$7:$T$207,MATCH($B208,'Actual-ACPL'!$B$7:$B$207,0),MATCH('Actual-ACPL'!H$6,'Actual-ACPL'!$H$6:$T$6,0)):INDEX('Actual-ACPL'!$H$7:$T$207,MATCH($B208,'Actual-ACPL'!$B$7:$B$207,0),MATCH(AG$8,'Actual-ACPL'!$H$6:$T$6,0)))</f>
        <v>0</v>
      </c>
      <c r="AH208" s="749">
        <f>SUM(INDEX('Budget-ACPL'!$K$7:$W$207,MATCH($B208,'Budget-ACPL'!$B$7:$B$207,0),MATCH('Budget-ACPL'!K$6,'Budget-ACPL'!$K$6:$W$6,0)):INDEX('Budget-ACPL'!$K$7:$W$207,MATCH($B208,'Budget-ACPL'!$B$7:$B$207,0),MATCH(AH$8,'Budget-ACPL'!$K$6:$W$6,0)))</f>
        <v>0</v>
      </c>
      <c r="AI208" s="749">
        <f t="shared" si="117"/>
        <v>0</v>
      </c>
      <c r="AJ208" s="748"/>
      <c r="AL208" s="749">
        <f>SUM(INDEX('Actual-ACPLHK'!$H$7:$S$207,MATCH($B208,'Actual-ACPLHK'!$B$7:$B$207,0),MATCH('Actual-ACPLHK'!H$6,'Actual-ACPLHK'!$H$6:$T$6,0)):INDEX('Actual-ACPLHK'!$H$7:$S$207,MATCH($B208,'Actual-ACPLHK'!$B$7:$B$207,0),MATCH(AL$8,'Actual-ACPLHK'!$H$6:$T$6,0)))</f>
        <v>0</v>
      </c>
      <c r="AM208" s="749">
        <f>SUM(INDEX('Budget-ACPLHK'!$K$7:$W$207,MATCH($B208,'Budget-ACPLHK'!$B$7:$B$207,0),MATCH('Budget-ACPLHK'!K$6,'Budget-ACPLHK'!$K$6:$W$6,0)):INDEX('Budget-ACPLHK'!$K$7:$W$207,MATCH($B208,'Budget-ACPLHK'!$B$7:$B$207,0),MATCH(AM$8,'Budget-ACPLHK'!$K$6:$W$6,0)))</f>
        <v>0</v>
      </c>
      <c r="AN208" s="749">
        <f t="shared" si="110"/>
        <v>0</v>
      </c>
      <c r="AO208" s="748"/>
      <c r="AQ208" s="749">
        <f>SUM(INDEX('Actual-ACPSZL'!$H$7:$T$207,MATCH($B208,'Actual-ACPSZL'!$B$7:$B$207,0),MATCH('Actual-ACPSZL'!H$6,'Actual-ACPSZL'!$H$6:$T$6,0)):INDEX('Actual-ACPSZL'!$H$7:$T$207,MATCH($B208,'Actual-ACPSZL'!$B$7:$B$207,0),MATCH(AQ$8,'Actual-ACPSZL'!$H$6:$T$6,0)))</f>
        <v>0</v>
      </c>
      <c r="AR208" s="749">
        <f>SUM(INDEX('Budget-ACPSZL'!$K$7:$W$207,MATCH($B208,'Budget-ACPSZL'!$B$7:$B$207,0),MATCH('Budget-ACPSZL'!K$6,'Budget-ACPSZL'!$K$6:$W$6,0)):INDEX('Budget-ACPSZL'!$K$7:$W$207,MATCH($B208,'Budget-ACPSZL'!$B$7:$B$207,0),MATCH(AR$8,'Budget-ACPSZL'!$K$6:$W$6,0)))</f>
        <v>0</v>
      </c>
      <c r="AS208" s="749">
        <f t="shared" si="118"/>
        <v>0</v>
      </c>
      <c r="AT208" s="748"/>
      <c r="AV208" s="749">
        <f>SUM(INDEX('Actual-ACPLSZ'!$H$7:$T$207,MATCH($B208,'Actual-ACPLSZ'!$B$7:$B$207,0),MATCH('Actual-ACPLSZ'!H$6,'Actual-ACPLSZ'!$H$6:$T$6,0)):INDEX('Actual-ACPLSZ'!$H$7:$T$207,MATCH($B208,'Actual-ACPLSZ'!$B$7:$B$207,0),MATCH(AV$8,'Actual-ACPLSZ'!$H$6:$T$6,0)))</f>
        <v>0</v>
      </c>
      <c r="AW208" s="749">
        <f>SUM(INDEX('Budget-ACPLSZ'!$K$7:$W$207,MATCH($B208,'Budget-ACPLSZ'!$B$7:$B$207,0),MATCH('Budget-ACPLSZ'!K$6,'Budget-ACPLSZ'!$K$6:$W$6,0)):INDEX('Budget-ACPLSZ'!$K$7:$W$207,MATCH($B208,'Budget-ACPLSZ'!$B$7:$B$207,0),MATCH(AW$8,'Budget-ACPLSZ'!$K$6:$W$6,0)))</f>
        <v>0</v>
      </c>
      <c r="AX208" s="749">
        <f t="shared" si="119"/>
        <v>0</v>
      </c>
      <c r="AY208" s="748"/>
      <c r="BA208" s="749">
        <f>SUM(INDEX('Actual-ACPLGZ'!$H$7:$T$207,MATCH($B208,'Actual-ACPLGZ'!$B$7:$B$207,0),MATCH('Actual-ACPLGZ'!H$6,'Actual-ACPLGZ'!$H$6:$T$6,0)):INDEX('Actual-ACPLGZ'!$H$7:$T$207,MATCH($B208,'Actual-ACPLGZ'!$B$7:$B$207,0),MATCH(BA$8,'Actual-ACPLGZ'!$H$6:$T$6,0)))</f>
        <v>0</v>
      </c>
      <c r="BB208" s="749">
        <f>SUM(INDEX('Budget-ACPLGZ'!$K$7:$W$207,MATCH($B208,'Budget-ACPLGZ'!$B$7:$B$207,0),MATCH('Budget-ACPLGZ'!K$6,'Budget-ACPLGZ'!$K$6:$W$6,0)):INDEX('Budget-ACPLGZ'!$K$7:$W$207,MATCH($B208,'Budget-ACPLGZ'!$B$7:$B$207,0),MATCH(BB$8,'Budget-ACPLGZ'!$K$6:$W$6,0)))</f>
        <v>0</v>
      </c>
      <c r="BC208" s="749">
        <f t="shared" si="111"/>
        <v>0</v>
      </c>
      <c r="BD208" s="748"/>
      <c r="BF208" s="749">
        <f>SUM(INDEX('Actual-ACPLYixing'!$H$7:$T$207,MATCH($B208,'Actual-ACPLYixing'!$B$7:$B$207,0),MATCH('Actual-ACPLYixing'!H$6,'Actual-ACPLYixing'!$H$6:$T$6,0)):INDEX('Actual-ACPLYixing'!$H$7:$T$207,MATCH($B208,'Actual-ACPLYixing'!$B$7:$B$207,0),MATCH(BF$8,'Actual-ACPLYixing'!$H$6:$T$6,0)))</f>
        <v>0</v>
      </c>
      <c r="BG208" s="749">
        <f>SUM(INDEX('Budget-Yixing'!$K$7:$W$207,MATCH($B208,'Budget-Yixing'!$B$7:$B$207,0),MATCH('Budget-Yixing'!K$6,'Budget-Yixing'!$K$6:$W$6,0)):INDEX('Budget-Yixing'!$K$7:$W$207,MATCH($B208,'Budget-Yixing'!$B$7:$B$207,0),MATCH(BG$8,'Budget-Yixing'!$K$6:$W$6,0)))</f>
        <v>0</v>
      </c>
      <c r="BH208" s="749">
        <f t="shared" si="112"/>
        <v>0</v>
      </c>
      <c r="BI208" s="748"/>
    </row>
    <row r="209" spans="1:61" ht="16.5" customHeight="1">
      <c r="A209" s="653">
        <f>'Budget-合并'!A207</f>
        <v>0</v>
      </c>
      <c r="B209" s="653" t="str">
        <f>'Budget-合并'!B207</f>
        <v>五  税后利润</v>
      </c>
      <c r="C209" s="746">
        <f>INDEX('Actual-ACPL'!$H$7:$T$207,MATCH($B209,'Actual-ACPL'!$B$7:$B$207,0),MATCH(C$8,'Actual-ACPL'!$H$6:$T$6,0))</f>
        <v>0</v>
      </c>
      <c r="D209" s="746">
        <f ca="1">INDEX('Budget-ACPL'!$K$7:$W$207,MATCH($B209,'Budget-ACPL'!$B$7:$B$207,0),MATCH(D$8,'Budget-ACPL'!$K$6:$W$6,0))</f>
        <v>-535366.29137762485</v>
      </c>
      <c r="E209" s="746">
        <f t="shared" ca="1" si="122"/>
        <v>535366.29137762485</v>
      </c>
      <c r="F209" s="752"/>
      <c r="H209" s="749">
        <f>INDEX('Actual-ACPLHK'!$H$7:$T$207,MATCH($B209,'Actual-ACPLHK'!$B$7:$B$207,0),MATCH(H$8,'Actual-ACPLHK'!$H$6:$T$6,0))</f>
        <v>0</v>
      </c>
      <c r="I209" s="749">
        <f ca="1">INDEX('Budget-ACPLHK'!$K$7:$W$207,MATCH($B209,'Budget-ACPLHK'!$B$7:$B$207,0),MATCH(I$8,'Budget-ACPLHK'!$K$6:$W$6,0))</f>
        <v>-449191.50539436669</v>
      </c>
      <c r="J209" s="749">
        <f t="shared" ca="1" si="123"/>
        <v>449191.50539436669</v>
      </c>
      <c r="K209" s="748"/>
      <c r="M209" s="749">
        <f>INDEX('Actual-ACPSZL'!$H$7:$T$207,MATCH($B209,'Actual-ACPSZL'!$B$7:$B$207,0),MATCH(M$8,'Actual-ACPSZL'!$H$6:$T$6,0))</f>
        <v>0</v>
      </c>
      <c r="N209" s="749">
        <f ca="1">INDEX('Budget-ACPSZL'!$K$7:$W$207,MATCH($B209,'Budget-ACPSZL'!$B$7:$B$207,0),MATCH(N$8,'Budget-ACPSZL'!$K$6:$W$6,0))</f>
        <v>-306089.67249999999</v>
      </c>
      <c r="O209" s="749">
        <f t="shared" ca="1" si="120"/>
        <v>306089.67249999999</v>
      </c>
      <c r="P209" s="748"/>
      <c r="R209" s="749">
        <f>INDEX('Actual-ACPLSZ'!$H$7:$T$207,MATCH($B209,'Actual-ACPLSZ'!$B$7:$B$207,0),MATCH(R$8,'Actual-ACPLSZ'!$H$6:$T$6,0))</f>
        <v>0</v>
      </c>
      <c r="S209" s="749">
        <f ca="1">INDEX('Budget-ACPLSZ'!$K$7:$W$207,MATCH($B209,'Budget-ACPLSZ'!$B$7:$B$207,0),MATCH(S$8,'Budget-ACPLSZ'!$K$6:$W$6,0))</f>
        <v>-564196.97688888898</v>
      </c>
      <c r="T209" s="749">
        <f ca="1">R209-S209</f>
        <v>564196.97688888898</v>
      </c>
      <c r="U209" s="748"/>
      <c r="W209" s="749">
        <f>INDEX('Actual-ACPLGZ'!$H$7:$T$207,MATCH($B209,'Actual-ACPLGZ'!$B$7:$B$207,0),MATCH(W$8,'Actual-ACPLGZ'!$H$6:$T$6,0))</f>
        <v>0</v>
      </c>
      <c r="X209" s="749">
        <f>INDEX('Budget-ACPLGZ'!$K$7:$W$207,MATCH($B209,'Budget-ACPLGZ'!$B$7:$B$207,0),MATCH(X$8,'Budget-ACPLGZ'!$K$6:$W$6,0))</f>
        <v>-891.66666666666674</v>
      </c>
      <c r="Y209" s="749">
        <f t="shared" si="121"/>
        <v>891.66666666666674</v>
      </c>
      <c r="Z209" s="748"/>
      <c r="AB209" s="749">
        <f>INDEX('Actual-ACPLGZ'!$H$7:$T$207,MATCH($B209,'Actual-ACPLGZ'!$B$7:$B$207,0),MATCH(AB$8,'Actual-ACPLGZ'!$H$6:$T$6,0))</f>
        <v>0</v>
      </c>
      <c r="AC209" s="749">
        <f>INDEX('Budget-Yixing'!$K$7:$W$207,MATCH($B209,'Budget-Yixing'!$B$7:$B$207,0),MATCH(AC$8,'Budget-Yixing'!$K$6:$W$6,0))</f>
        <v>-47434.013333333336</v>
      </c>
      <c r="AD209" s="749">
        <f>AB209-AC209</f>
        <v>47434.013333333336</v>
      </c>
      <c r="AE209" s="748"/>
      <c r="AG209" s="751">
        <f>SUM(INDEX('Actual-ACPL'!$H$7:$T$207,MATCH($B209,'Actual-ACPL'!$B$7:$B$207,0),MATCH('Actual-ACPL'!H$6,'Actual-ACPL'!$H$6:$T$6,0)):INDEX('Actual-ACPL'!$H$7:$T$207,MATCH($B209,'Actual-ACPL'!$B$7:$B$207,0),MATCH(AG$8,'Actual-ACPL'!$H$6:$T$6,0)))</f>
        <v>0</v>
      </c>
      <c r="AH209" s="749">
        <f ca="1">SUM(INDEX('Budget-ACPL'!$K$7:$W$207,MATCH($B209,'Budget-ACPL'!$B$7:$B$207,0),MATCH('Budget-ACPL'!K$6,'Budget-ACPL'!$K$6:$W$6,0)):INDEX('Budget-ACPL'!$K$7:$W$207,MATCH($B209,'Budget-ACPL'!$B$7:$B$207,0),MATCH(AH$8,'Budget-ACPL'!$K$6:$W$6,0)))</f>
        <v>-535366.29137762485</v>
      </c>
      <c r="AI209" s="749">
        <f t="shared" ca="1" si="117"/>
        <v>535366.29137762485</v>
      </c>
      <c r="AJ209" s="748"/>
      <c r="AL209" s="749">
        <f>SUM(INDEX('Actual-ACPLHK'!$H$7:$S$207,MATCH($B209,'Actual-ACPLHK'!$B$7:$B$207,0),MATCH('Actual-ACPLHK'!H$6,'Actual-ACPLHK'!$H$6:$T$6,0)):INDEX('Actual-ACPLHK'!$H$7:$S$207,MATCH($B209,'Actual-ACPLHK'!$B$7:$B$207,0),MATCH(AL$8,'Actual-ACPLHK'!$H$6:$T$6,0)))</f>
        <v>0</v>
      </c>
      <c r="AM209" s="749">
        <f ca="1">SUM(INDEX('Budget-ACPLHK'!$K$7:$W$207,MATCH($B209,'Budget-ACPLHK'!$B$7:$B$207,0),MATCH('Budget-ACPLHK'!K$6,'Budget-ACPLHK'!$K$6:$W$6,0)):INDEX('Budget-ACPLHK'!$K$7:$W$207,MATCH($B209,'Budget-ACPLHK'!$B$7:$B$207,0),MATCH(AM$8,'Budget-ACPLHK'!$K$6:$W$6,0)))</f>
        <v>-449191.50539436669</v>
      </c>
      <c r="AN209" s="749">
        <f t="shared" ca="1" si="110"/>
        <v>449191.50539436669</v>
      </c>
      <c r="AO209" s="748"/>
      <c r="AQ209" s="749">
        <f>SUM(INDEX('Actual-ACPSZL'!$H$7:$T$207,MATCH($B209,'Actual-ACPSZL'!$B$7:$B$207,0),MATCH('Actual-ACPSZL'!H$6,'Actual-ACPSZL'!$H$6:$T$6,0)):INDEX('Actual-ACPSZL'!$H$7:$T$207,MATCH($B209,'Actual-ACPSZL'!$B$7:$B$207,0),MATCH(AQ$8,'Actual-ACPSZL'!$H$6:$T$6,0)))</f>
        <v>0</v>
      </c>
      <c r="AR209" s="749">
        <f ca="1">SUM(INDEX('Budget-ACPSZL'!$K$7:$W$207,MATCH($B209,'Budget-ACPSZL'!$B$7:$B$207,0),MATCH('Budget-ACPSZL'!K$6,'Budget-ACPSZL'!$K$6:$W$6,0)):INDEX('Budget-ACPSZL'!$K$7:$W$207,MATCH($B209,'Budget-ACPSZL'!$B$7:$B$207,0),MATCH(AR$8,'Budget-ACPSZL'!$K$6:$W$6,0)))</f>
        <v>-306089.67249999999</v>
      </c>
      <c r="AS209" s="749">
        <f t="shared" ca="1" si="118"/>
        <v>306089.67249999999</v>
      </c>
      <c r="AT209" s="748"/>
      <c r="AV209" s="749">
        <f>SUM(INDEX('Actual-ACPLSZ'!$H$7:$T$207,MATCH($B209,'Actual-ACPLSZ'!$B$7:$B$207,0),MATCH('Actual-ACPLSZ'!H$6,'Actual-ACPLSZ'!$H$6:$T$6,0)):INDEX('Actual-ACPLSZ'!$H$7:$T$207,MATCH($B209,'Actual-ACPLSZ'!$B$7:$B$207,0),MATCH(AV$8,'Actual-ACPLSZ'!$H$6:$T$6,0)))</f>
        <v>0</v>
      </c>
      <c r="AW209" s="749">
        <f ca="1">SUM(INDEX('Budget-ACPLSZ'!$K$7:$W$207,MATCH($B209,'Budget-ACPLSZ'!$B$7:$B$207,0),MATCH('Budget-ACPLSZ'!K$6,'Budget-ACPLSZ'!$K$6:$W$6,0)):INDEX('Budget-ACPLSZ'!$K$7:$W$207,MATCH($B209,'Budget-ACPLSZ'!$B$7:$B$207,0),MATCH(AW$8,'Budget-ACPLSZ'!$K$6:$W$6,0)))</f>
        <v>-564196.97688888898</v>
      </c>
      <c r="AX209" s="749">
        <f t="shared" ca="1" si="119"/>
        <v>564196.97688888898</v>
      </c>
      <c r="AY209" s="748"/>
      <c r="BA209" s="749">
        <f>SUM(INDEX('Actual-ACPLGZ'!$H$7:$T$207,MATCH($B209,'Actual-ACPLGZ'!$B$7:$B$207,0),MATCH('Actual-ACPLGZ'!H$6,'Actual-ACPLGZ'!$H$6:$T$6,0)):INDEX('Actual-ACPLGZ'!$H$7:$T$207,MATCH($B209,'Actual-ACPLGZ'!$B$7:$B$207,0),MATCH(BA$8,'Actual-ACPLGZ'!$H$6:$T$6,0)))</f>
        <v>0</v>
      </c>
      <c r="BB209" s="749">
        <f>SUM(INDEX('Budget-ACPLGZ'!$K$7:$W$207,MATCH($B209,'Budget-ACPLGZ'!$B$7:$B$207,0),MATCH('Budget-ACPLGZ'!K$6,'Budget-ACPLGZ'!$K$6:$W$6,0)):INDEX('Budget-ACPLGZ'!$K$7:$W$207,MATCH($B209,'Budget-ACPLGZ'!$B$7:$B$207,0),MATCH(BB$8,'Budget-ACPLGZ'!$K$6:$W$6,0)))</f>
        <v>-891.66666666666674</v>
      </c>
      <c r="BC209" s="749">
        <f t="shared" si="111"/>
        <v>891.66666666666674</v>
      </c>
      <c r="BD209" s="748"/>
      <c r="BF209" s="749">
        <f>SUM(INDEX('Actual-ACPLYixing'!$H$7:$T$207,MATCH($B209,'Actual-ACPLYixing'!$B$7:$B$207,0),MATCH('Actual-ACPLYixing'!H$6,'Actual-ACPLYixing'!$H$6:$T$6,0)):INDEX('Actual-ACPLYixing'!$H$7:$T$207,MATCH($B209,'Actual-ACPLYixing'!$B$7:$B$207,0),MATCH(BF$8,'Actual-ACPLYixing'!$H$6:$T$6,0)))</f>
        <v>0</v>
      </c>
      <c r="BG209" s="749">
        <f>SUM(INDEX('Budget-Yixing'!$K$7:$W$207,MATCH($B209,'Budget-Yixing'!$B$7:$B$207,0),MATCH('Budget-Yixing'!K$6,'Budget-Yixing'!$K$6:$W$6,0)):INDEX('Budget-Yixing'!$K$7:$W$207,MATCH($B209,'Budget-Yixing'!$B$7:$B$207,0),MATCH(BG$8,'Budget-Yixing'!$K$6:$W$6,0)))</f>
        <v>-47434.013333333336</v>
      </c>
      <c r="BH209" s="749">
        <f t="shared" si="112"/>
        <v>47434.013333333336</v>
      </c>
      <c r="BI209" s="748"/>
    </row>
    <row r="210" spans="1:61">
      <c r="A210" s="653">
        <f>'Budget-合并'!A245</f>
        <v>0</v>
      </c>
    </row>
    <row r="211" spans="1:61">
      <c r="A211" s="653">
        <f>'Budget-合并'!A246</f>
        <v>0</v>
      </c>
    </row>
    <row r="212" spans="1:61">
      <c r="A212" s="653">
        <f>'Budget-合并'!A247</f>
        <v>0</v>
      </c>
    </row>
    <row r="213" spans="1:61">
      <c r="A213" s="653">
        <f>'Budget-合并'!A248</f>
        <v>0</v>
      </c>
    </row>
    <row r="214" spans="1:61">
      <c r="A214" s="653">
        <f>'Budget-合并'!A249</f>
        <v>0</v>
      </c>
    </row>
    <row r="215" spans="1:61">
      <c r="A215" s="653">
        <f>'Budget-合并'!A250</f>
        <v>0</v>
      </c>
    </row>
  </sheetData>
  <conditionalFormatting sqref="C6">
    <cfRule type="cellIs" dxfId="243" priority="64" stopIfTrue="1" operator="equal">
      <formula>"Actual"</formula>
    </cfRule>
    <cfRule type="cellIs" dxfId="242" priority="65" stopIfTrue="1" operator="equal">
      <formula>"Forecast"</formula>
    </cfRule>
    <cfRule type="cellIs" dxfId="241" priority="66" stopIfTrue="1" operator="equal">
      <formula>"Budget"</formula>
    </cfRule>
  </conditionalFormatting>
  <conditionalFormatting sqref="D6">
    <cfRule type="cellIs" dxfId="240" priority="69" stopIfTrue="1" operator="equal">
      <formula>"Budget"</formula>
    </cfRule>
    <cfRule type="cellIs" dxfId="239" priority="67" stopIfTrue="1" operator="equal">
      <formula>"Actual"</formula>
    </cfRule>
    <cfRule type="cellIs" dxfId="238" priority="68" stopIfTrue="1" operator="equal">
      <formula>"Forecast"</formula>
    </cfRule>
  </conditionalFormatting>
  <conditionalFormatting sqref="E6:G6">
    <cfRule type="cellIs" dxfId="237" priority="71" stopIfTrue="1" operator="equal">
      <formula>"预测数"</formula>
    </cfRule>
    <cfRule type="cellIs" dxfId="236" priority="72" stopIfTrue="1" operator="equal">
      <formula>"计划数"</formula>
    </cfRule>
    <cfRule type="cellIs" dxfId="235" priority="70" stopIfTrue="1" operator="equal">
      <formula>"实际数"</formula>
    </cfRule>
  </conditionalFormatting>
  <conditionalFormatting sqref="H6">
    <cfRule type="cellIs" dxfId="234" priority="57" stopIfTrue="1" operator="equal">
      <formula>"Budget"</formula>
    </cfRule>
    <cfRule type="cellIs" dxfId="233" priority="56" stopIfTrue="1" operator="equal">
      <formula>"Forecast"</formula>
    </cfRule>
    <cfRule type="cellIs" dxfId="232" priority="55" stopIfTrue="1" operator="equal">
      <formula>"Actual"</formula>
    </cfRule>
  </conditionalFormatting>
  <conditionalFormatting sqref="I6">
    <cfRule type="cellIs" dxfId="231" priority="58" stopIfTrue="1" operator="equal">
      <formula>"Actual"</formula>
    </cfRule>
    <cfRule type="cellIs" dxfId="230" priority="59" stopIfTrue="1" operator="equal">
      <formula>"Forecast"</formula>
    </cfRule>
    <cfRule type="cellIs" dxfId="229" priority="60" stopIfTrue="1" operator="equal">
      <formula>"Budget"</formula>
    </cfRule>
  </conditionalFormatting>
  <conditionalFormatting sqref="J6:L6">
    <cfRule type="cellIs" dxfId="228" priority="61" stopIfTrue="1" operator="equal">
      <formula>"实际数"</formula>
    </cfRule>
    <cfRule type="cellIs" dxfId="227" priority="62" stopIfTrue="1" operator="equal">
      <formula>"预测数"</formula>
    </cfRule>
    <cfRule type="cellIs" dxfId="226" priority="63" stopIfTrue="1" operator="equal">
      <formula>"计划数"</formula>
    </cfRule>
  </conditionalFormatting>
  <conditionalFormatting sqref="M6 AQ6">
    <cfRule type="cellIs" dxfId="225" priority="93" stopIfTrue="1" operator="equal">
      <formula>"Budget"</formula>
    </cfRule>
    <cfRule type="cellIs" dxfId="224" priority="92" stopIfTrue="1" operator="equal">
      <formula>"Forecast"</formula>
    </cfRule>
    <cfRule type="cellIs" dxfId="223" priority="91" stopIfTrue="1" operator="equal">
      <formula>"Actual"</formula>
    </cfRule>
  </conditionalFormatting>
  <conditionalFormatting sqref="N6 AR6">
    <cfRule type="cellIs" dxfId="222" priority="96" stopIfTrue="1" operator="equal">
      <formula>"Budget"</formula>
    </cfRule>
    <cfRule type="cellIs" dxfId="221" priority="95" stopIfTrue="1" operator="equal">
      <formula>"Forecast"</formula>
    </cfRule>
    <cfRule type="cellIs" dxfId="220" priority="94" stopIfTrue="1" operator="equal">
      <formula>"Actual"</formula>
    </cfRule>
  </conditionalFormatting>
  <conditionalFormatting sqref="O6:Q6 AS6:AU6">
    <cfRule type="cellIs" dxfId="219" priority="99" stopIfTrue="1" operator="equal">
      <formula>"计划数"</formula>
    </cfRule>
    <cfRule type="cellIs" dxfId="218" priority="98" stopIfTrue="1" operator="equal">
      <formula>"预测数"</formula>
    </cfRule>
    <cfRule type="cellIs" dxfId="217" priority="97" stopIfTrue="1" operator="equal">
      <formula>"实际数"</formula>
    </cfRule>
  </conditionalFormatting>
  <conditionalFormatting sqref="R6">
    <cfRule type="cellIs" dxfId="216" priority="82" stopIfTrue="1" operator="equal">
      <formula>"Actual"</formula>
    </cfRule>
    <cfRule type="cellIs" dxfId="215" priority="83" stopIfTrue="1" operator="equal">
      <formula>"Forecast"</formula>
    </cfRule>
    <cfRule type="cellIs" dxfId="214" priority="84" stopIfTrue="1" operator="equal">
      <formula>"Budget"</formula>
    </cfRule>
  </conditionalFormatting>
  <conditionalFormatting sqref="S6">
    <cfRule type="cellIs" dxfId="213" priority="85" stopIfTrue="1" operator="equal">
      <formula>"Actual"</formula>
    </cfRule>
    <cfRule type="cellIs" dxfId="212" priority="86" stopIfTrue="1" operator="equal">
      <formula>"Forecast"</formula>
    </cfRule>
    <cfRule type="cellIs" dxfId="211" priority="87" stopIfTrue="1" operator="equal">
      <formula>"Budget"</formula>
    </cfRule>
  </conditionalFormatting>
  <conditionalFormatting sqref="T6:V6">
    <cfRule type="cellIs" dxfId="210" priority="88" stopIfTrue="1" operator="equal">
      <formula>"实际数"</formula>
    </cfRule>
    <cfRule type="cellIs" dxfId="209" priority="89" stopIfTrue="1" operator="equal">
      <formula>"预测数"</formula>
    </cfRule>
    <cfRule type="cellIs" dxfId="208" priority="90" stopIfTrue="1" operator="equal">
      <formula>"计划数"</formula>
    </cfRule>
  </conditionalFormatting>
  <conditionalFormatting sqref="W6">
    <cfRule type="cellIs" dxfId="207" priority="75" stopIfTrue="1" operator="equal">
      <formula>"Budget"</formula>
    </cfRule>
    <cfRule type="cellIs" dxfId="206" priority="74" stopIfTrue="1" operator="equal">
      <formula>"Forecast"</formula>
    </cfRule>
    <cfRule type="cellIs" dxfId="205" priority="73" stopIfTrue="1" operator="equal">
      <formula>"Actual"</formula>
    </cfRule>
  </conditionalFormatting>
  <conditionalFormatting sqref="X6">
    <cfRule type="cellIs" dxfId="204" priority="76" stopIfTrue="1" operator="equal">
      <formula>"Actual"</formula>
    </cfRule>
    <cfRule type="cellIs" dxfId="203" priority="77" stopIfTrue="1" operator="equal">
      <formula>"Forecast"</formula>
    </cfRule>
    <cfRule type="cellIs" dxfId="202" priority="78" stopIfTrue="1" operator="equal">
      <formula>"Budget"</formula>
    </cfRule>
  </conditionalFormatting>
  <conditionalFormatting sqref="Y6:AA6">
    <cfRule type="cellIs" dxfId="201" priority="81" stopIfTrue="1" operator="equal">
      <formula>"计划数"</formula>
    </cfRule>
    <cfRule type="cellIs" dxfId="200" priority="79" stopIfTrue="1" operator="equal">
      <formula>"实际数"</formula>
    </cfRule>
    <cfRule type="cellIs" dxfId="199" priority="80" stopIfTrue="1" operator="equal">
      <formula>"预测数"</formula>
    </cfRule>
  </conditionalFormatting>
  <conditionalFormatting sqref="AB6">
    <cfRule type="cellIs" dxfId="198" priority="46" stopIfTrue="1" operator="equal">
      <formula>"Actual"</formula>
    </cfRule>
    <cfRule type="cellIs" dxfId="197" priority="47" stopIfTrue="1" operator="equal">
      <formula>"Forecast"</formula>
    </cfRule>
    <cfRule type="cellIs" dxfId="196" priority="48" stopIfTrue="1" operator="equal">
      <formula>"Budget"</formula>
    </cfRule>
  </conditionalFormatting>
  <conditionalFormatting sqref="AC6">
    <cfRule type="cellIs" dxfId="195" priority="49" stopIfTrue="1" operator="equal">
      <formula>"Actual"</formula>
    </cfRule>
    <cfRule type="cellIs" dxfId="194" priority="50" stopIfTrue="1" operator="equal">
      <formula>"Forecast"</formula>
    </cfRule>
    <cfRule type="cellIs" dxfId="193" priority="51" stopIfTrue="1" operator="equal">
      <formula>"Budget"</formula>
    </cfRule>
  </conditionalFormatting>
  <conditionalFormatting sqref="AD6:AE6">
    <cfRule type="cellIs" dxfId="192" priority="52" stopIfTrue="1" operator="equal">
      <formula>"实际数"</formula>
    </cfRule>
    <cfRule type="cellIs" dxfId="191" priority="53" stopIfTrue="1" operator="equal">
      <formula>"预测数"</formula>
    </cfRule>
    <cfRule type="cellIs" dxfId="190" priority="54" stopIfTrue="1" operator="equal">
      <formula>"计划数"</formula>
    </cfRule>
  </conditionalFormatting>
  <conditionalFormatting sqref="AG6">
    <cfRule type="cellIs" dxfId="189" priority="10" stopIfTrue="1" operator="equal">
      <formula>"Actual"</formula>
    </cfRule>
    <cfRule type="cellIs" dxfId="188" priority="11" stopIfTrue="1" operator="equal">
      <formula>"Forecast"</formula>
    </cfRule>
    <cfRule type="cellIs" dxfId="187" priority="12" stopIfTrue="1" operator="equal">
      <formula>"Budget"</formula>
    </cfRule>
  </conditionalFormatting>
  <conditionalFormatting sqref="AH6">
    <cfRule type="cellIs" dxfId="186" priority="13" stopIfTrue="1" operator="equal">
      <formula>"Actual"</formula>
    </cfRule>
    <cfRule type="cellIs" dxfId="185" priority="14" stopIfTrue="1" operator="equal">
      <formula>"Forecast"</formula>
    </cfRule>
    <cfRule type="cellIs" dxfId="184" priority="15" stopIfTrue="1" operator="equal">
      <formula>"Budget"</formula>
    </cfRule>
  </conditionalFormatting>
  <conditionalFormatting sqref="AI6:AK6">
    <cfRule type="cellIs" dxfId="183" priority="18" stopIfTrue="1" operator="equal">
      <formula>"计划数"</formula>
    </cfRule>
    <cfRule type="cellIs" dxfId="182" priority="16" stopIfTrue="1" operator="equal">
      <formula>"实际数"</formula>
    </cfRule>
    <cfRule type="cellIs" dxfId="181" priority="17" stopIfTrue="1" operator="equal">
      <formula>"预测数"</formula>
    </cfRule>
  </conditionalFormatting>
  <conditionalFormatting sqref="AL6">
    <cfRule type="cellIs" dxfId="180" priority="21" stopIfTrue="1" operator="equal">
      <formula>"Budget"</formula>
    </cfRule>
    <cfRule type="cellIs" dxfId="179" priority="19" stopIfTrue="1" operator="equal">
      <formula>"Actual"</formula>
    </cfRule>
    <cfRule type="cellIs" dxfId="178" priority="20" stopIfTrue="1" operator="equal">
      <formula>"Forecast"</formula>
    </cfRule>
  </conditionalFormatting>
  <conditionalFormatting sqref="AM6">
    <cfRule type="cellIs" dxfId="177" priority="22" stopIfTrue="1" operator="equal">
      <formula>"Actual"</formula>
    </cfRule>
    <cfRule type="cellIs" dxfId="176" priority="24" stopIfTrue="1" operator="equal">
      <formula>"Budget"</formula>
    </cfRule>
    <cfRule type="cellIs" dxfId="175" priority="23" stopIfTrue="1" operator="equal">
      <formula>"Forecast"</formula>
    </cfRule>
  </conditionalFormatting>
  <conditionalFormatting sqref="AN6:AP6">
    <cfRule type="cellIs" dxfId="174" priority="25" stopIfTrue="1" operator="equal">
      <formula>"实际数"</formula>
    </cfRule>
    <cfRule type="cellIs" dxfId="173" priority="27" stopIfTrue="1" operator="equal">
      <formula>"计划数"</formula>
    </cfRule>
    <cfRule type="cellIs" dxfId="172" priority="26" stopIfTrue="1" operator="equal">
      <formula>"预测数"</formula>
    </cfRule>
  </conditionalFormatting>
  <conditionalFormatting sqref="AV6">
    <cfRule type="cellIs" dxfId="171" priority="28" stopIfTrue="1" operator="equal">
      <formula>"Actual"</formula>
    </cfRule>
    <cfRule type="cellIs" dxfId="170" priority="29" stopIfTrue="1" operator="equal">
      <formula>"Forecast"</formula>
    </cfRule>
    <cfRule type="cellIs" dxfId="169" priority="30" stopIfTrue="1" operator="equal">
      <formula>"Budget"</formula>
    </cfRule>
  </conditionalFormatting>
  <conditionalFormatting sqref="AW6">
    <cfRule type="cellIs" dxfId="168" priority="31" stopIfTrue="1" operator="equal">
      <formula>"Actual"</formula>
    </cfRule>
    <cfRule type="cellIs" dxfId="167" priority="32" stopIfTrue="1" operator="equal">
      <formula>"Forecast"</formula>
    </cfRule>
    <cfRule type="cellIs" dxfId="166" priority="33" stopIfTrue="1" operator="equal">
      <formula>"Budget"</formula>
    </cfRule>
  </conditionalFormatting>
  <conditionalFormatting sqref="AX6:AZ6">
    <cfRule type="cellIs" dxfId="165" priority="34" stopIfTrue="1" operator="equal">
      <formula>"实际数"</formula>
    </cfRule>
    <cfRule type="cellIs" dxfId="164" priority="35" stopIfTrue="1" operator="equal">
      <formula>"预测数"</formula>
    </cfRule>
    <cfRule type="cellIs" dxfId="163" priority="36" stopIfTrue="1" operator="equal">
      <formula>"计划数"</formula>
    </cfRule>
  </conditionalFormatting>
  <conditionalFormatting sqref="BA6">
    <cfRule type="cellIs" dxfId="162" priority="37" stopIfTrue="1" operator="equal">
      <formula>"Actual"</formula>
    </cfRule>
    <cfRule type="cellIs" dxfId="161" priority="38" stopIfTrue="1" operator="equal">
      <formula>"Forecast"</formula>
    </cfRule>
    <cfRule type="cellIs" dxfId="160" priority="39" stopIfTrue="1" operator="equal">
      <formula>"Budget"</formula>
    </cfRule>
  </conditionalFormatting>
  <conditionalFormatting sqref="BB6">
    <cfRule type="cellIs" dxfId="159" priority="41" stopIfTrue="1" operator="equal">
      <formula>"Forecast"</formula>
    </cfRule>
    <cfRule type="cellIs" dxfId="158" priority="42" stopIfTrue="1" operator="equal">
      <formula>"Budget"</formula>
    </cfRule>
    <cfRule type="cellIs" dxfId="157" priority="40" stopIfTrue="1" operator="equal">
      <formula>"Actual"</formula>
    </cfRule>
  </conditionalFormatting>
  <conditionalFormatting sqref="BC6:BE6">
    <cfRule type="cellIs" dxfId="156" priority="45" stopIfTrue="1" operator="equal">
      <formula>"计划数"</formula>
    </cfRule>
    <cfRule type="cellIs" dxfId="155" priority="44" stopIfTrue="1" operator="equal">
      <formula>"预测数"</formula>
    </cfRule>
    <cfRule type="cellIs" dxfId="154" priority="43" stopIfTrue="1" operator="equal">
      <formula>"实际数"</formula>
    </cfRule>
  </conditionalFormatting>
  <conditionalFormatting sqref="BF6">
    <cfRule type="cellIs" dxfId="153" priority="1" stopIfTrue="1" operator="equal">
      <formula>"Actual"</formula>
    </cfRule>
    <cfRule type="cellIs" dxfId="152" priority="3" stopIfTrue="1" operator="equal">
      <formula>"Budget"</formula>
    </cfRule>
    <cfRule type="cellIs" dxfId="151" priority="2" stopIfTrue="1" operator="equal">
      <formula>"Forecast"</formula>
    </cfRule>
  </conditionalFormatting>
  <conditionalFormatting sqref="BG6">
    <cfRule type="cellIs" dxfId="150" priority="6" stopIfTrue="1" operator="equal">
      <formula>"Budget"</formula>
    </cfRule>
    <cfRule type="cellIs" dxfId="149" priority="5" stopIfTrue="1" operator="equal">
      <formula>"Forecast"</formula>
    </cfRule>
    <cfRule type="cellIs" dxfId="148" priority="4" stopIfTrue="1" operator="equal">
      <formula>"Actual"</formula>
    </cfRule>
  </conditionalFormatting>
  <conditionalFormatting sqref="BH6:BI6">
    <cfRule type="cellIs" dxfId="147" priority="9" stopIfTrue="1" operator="equal">
      <formula>"计划数"</formula>
    </cfRule>
    <cfRule type="cellIs" dxfId="146" priority="8" stopIfTrue="1" operator="equal">
      <formula>"预测数"</formula>
    </cfRule>
    <cfRule type="cellIs" dxfId="145" priority="7" stopIfTrue="1" operator="equal">
      <formula>"实际数"</formula>
    </cfRule>
  </conditionalFormatting>
  <pageMargins left="0.75" right="0.75" top="1" bottom="1" header="0.5" footer="0.5"/>
  <pageSetup paperSize="9" orientation="portrait" r:id="rId1"/>
  <headerFooter scaleWithDoc="0" alignWithMargins="0"/>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FFFF00"/>
    <pageSetUpPr fitToPage="1"/>
  </sheetPr>
  <dimension ref="A1:AK216"/>
  <sheetViews>
    <sheetView zoomScale="74" workbookViewId="0">
      <pane xSplit="3" ySplit="6" topLeftCell="N127" activePane="bottomRight" state="frozen"/>
      <selection pane="topRight" activeCell="D1" sqref="D1"/>
      <selection pane="bottomLeft" activeCell="A7" sqref="A7"/>
      <selection pane="bottomRight" activeCell="W132" sqref="W132"/>
    </sheetView>
  </sheetViews>
  <sheetFormatPr defaultColWidth="8.75" defaultRowHeight="13.5" customHeight="1" outlineLevelCol="2"/>
  <cols>
    <col min="1" max="1" width="9.125" style="652" customWidth="1"/>
    <col min="2" max="2" width="19.875" style="652" customWidth="1"/>
    <col min="3" max="3" width="15.875" style="652" hidden="1" customWidth="1" outlineLevel="1"/>
    <col min="4" max="4" width="12.25" style="654" hidden="1" customWidth="1" outlineLevel="2" collapsed="1"/>
    <col min="5" max="9" width="12.25" style="654" hidden="1" customWidth="1" outlineLevel="2"/>
    <col min="10" max="10" width="2.625" style="654" customWidth="1" collapsed="1"/>
    <col min="11" max="23" width="10.375" style="652" customWidth="1"/>
    <col min="24" max="24" width="8.75" style="652" customWidth="1"/>
    <col min="25" max="25" width="8.75" style="652" hidden="1" customWidth="1" outlineLevel="1"/>
    <col min="26" max="33" width="0" style="652" hidden="1" customWidth="1" outlineLevel="1"/>
    <col min="34" max="34" width="10.5" style="652" hidden="1" customWidth="1" outlineLevel="1"/>
    <col min="35" max="36" width="0" style="652" hidden="1" customWidth="1" outlineLevel="1"/>
    <col min="37" max="37" width="10.875" style="652" customWidth="1" collapsed="1"/>
    <col min="38" max="16384" width="8.75" style="652"/>
  </cols>
  <sheetData>
    <row r="1" spans="1:37" ht="16.5" customHeight="1">
      <c r="B1" s="5" t="s">
        <v>2482</v>
      </c>
      <c r="C1" s="5"/>
      <c r="D1" s="612" t="s">
        <v>2483</v>
      </c>
      <c r="E1" s="612"/>
      <c r="F1" s="612"/>
    </row>
    <row r="2" spans="1:37" ht="16.5" customHeight="1"/>
    <row r="3" spans="1:37" ht="16.5" customHeight="1">
      <c r="B3" s="682" t="s">
        <v>2484</v>
      </c>
      <c r="C3" s="682"/>
    </row>
    <row r="4" spans="1:37" ht="16.5" customHeight="1">
      <c r="K4" s="662"/>
    </row>
    <row r="5" spans="1:37" ht="13.5" customHeight="1">
      <c r="B5" s="682"/>
      <c r="D5" s="664" t="s">
        <v>2495</v>
      </c>
      <c r="E5" s="664" t="s">
        <v>2496</v>
      </c>
      <c r="F5" s="664" t="s">
        <v>2497</v>
      </c>
      <c r="G5" s="664" t="s">
        <v>2498</v>
      </c>
      <c r="H5" s="664" t="s">
        <v>2499</v>
      </c>
      <c r="I5" s="664" t="s">
        <v>2500</v>
      </c>
      <c r="J5" s="665"/>
      <c r="K5" s="666" t="s">
        <v>2501</v>
      </c>
      <c r="L5" s="666" t="s">
        <v>2501</v>
      </c>
      <c r="M5" s="666" t="s">
        <v>2501</v>
      </c>
      <c r="N5" s="666" t="s">
        <v>2501</v>
      </c>
      <c r="O5" s="666" t="s">
        <v>2501</v>
      </c>
      <c r="P5" s="666" t="s">
        <v>2501</v>
      </c>
      <c r="Q5" s="666" t="s">
        <v>2501</v>
      </c>
      <c r="R5" s="666" t="s">
        <v>2501</v>
      </c>
      <c r="S5" s="666" t="s">
        <v>2501</v>
      </c>
      <c r="T5" s="666" t="s">
        <v>2501</v>
      </c>
      <c r="U5" s="666" t="s">
        <v>2501</v>
      </c>
      <c r="V5" s="666" t="s">
        <v>2501</v>
      </c>
      <c r="W5" s="666" t="s">
        <v>2501</v>
      </c>
      <c r="Y5" s="666" t="s">
        <v>2502</v>
      </c>
      <c r="Z5" s="666" t="s">
        <v>2502</v>
      </c>
      <c r="AA5" s="666" t="s">
        <v>2502</v>
      </c>
      <c r="AB5" s="666" t="s">
        <v>2502</v>
      </c>
      <c r="AC5" s="666" t="s">
        <v>2502</v>
      </c>
      <c r="AD5" s="666" t="s">
        <v>2502</v>
      </c>
      <c r="AE5" s="666" t="s">
        <v>2502</v>
      </c>
      <c r="AF5" s="666" t="s">
        <v>2502</v>
      </c>
      <c r="AG5" s="666" t="s">
        <v>2502</v>
      </c>
      <c r="AH5" s="666" t="s">
        <v>2502</v>
      </c>
      <c r="AI5" s="666" t="s">
        <v>2502</v>
      </c>
      <c r="AJ5" s="666" t="s">
        <v>2502</v>
      </c>
      <c r="AK5" s="666" t="s">
        <v>2502</v>
      </c>
    </row>
    <row r="6" spans="1:37" s="648" customFormat="1" ht="13.5" customHeight="1">
      <c r="A6" s="649" t="s">
        <v>2488</v>
      </c>
      <c r="D6" s="668">
        <f>'Flash Report'!$C$2</f>
        <v>46023</v>
      </c>
      <c r="E6" s="668">
        <f>D6-365</f>
        <v>45658</v>
      </c>
      <c r="F6" s="683" t="s">
        <v>2503</v>
      </c>
      <c r="G6" s="684">
        <f>D6</f>
        <v>46023</v>
      </c>
      <c r="H6" s="684">
        <f>E6</f>
        <v>45658</v>
      </c>
      <c r="I6" s="685" t="s">
        <v>2503</v>
      </c>
      <c r="J6" s="669"/>
      <c r="K6" s="670">
        <v>46023</v>
      </c>
      <c r="L6" s="670">
        <v>46054</v>
      </c>
      <c r="M6" s="670">
        <v>46082</v>
      </c>
      <c r="N6" s="670">
        <v>46113</v>
      </c>
      <c r="O6" s="670">
        <v>46143</v>
      </c>
      <c r="P6" s="670">
        <v>46174</v>
      </c>
      <c r="Q6" s="670">
        <v>46204</v>
      </c>
      <c r="R6" s="670">
        <v>46235</v>
      </c>
      <c r="S6" s="670">
        <v>46266</v>
      </c>
      <c r="T6" s="670">
        <v>46296</v>
      </c>
      <c r="U6" s="670">
        <v>46327</v>
      </c>
      <c r="V6" s="670">
        <v>46357</v>
      </c>
      <c r="W6" s="671" t="s">
        <v>2504</v>
      </c>
      <c r="Y6" s="670">
        <v>46388</v>
      </c>
      <c r="Z6" s="670">
        <v>46419</v>
      </c>
      <c r="AA6" s="670">
        <v>46447</v>
      </c>
      <c r="AB6" s="670">
        <v>46478</v>
      </c>
      <c r="AC6" s="670">
        <v>46508</v>
      </c>
      <c r="AD6" s="670">
        <v>46539</v>
      </c>
      <c r="AE6" s="670">
        <v>46569</v>
      </c>
      <c r="AF6" s="670">
        <v>46600</v>
      </c>
      <c r="AG6" s="670">
        <v>46631</v>
      </c>
      <c r="AH6" s="670">
        <v>46661</v>
      </c>
      <c r="AI6" s="670">
        <v>46692</v>
      </c>
      <c r="AJ6" s="670">
        <v>46722</v>
      </c>
      <c r="AK6" s="671" t="s">
        <v>3127</v>
      </c>
    </row>
    <row r="7" spans="1:37" s="649" customFormat="1" ht="13.5" customHeight="1">
      <c r="A7" s="712" t="s">
        <v>1350</v>
      </c>
      <c r="B7" s="649" t="s">
        <v>1353</v>
      </c>
      <c r="C7" s="687">
        <f>VLOOKUP(A7,Account!A:F,4,0)</f>
        <v>0</v>
      </c>
      <c r="D7" s="674"/>
      <c r="E7" s="674"/>
      <c r="F7" s="674"/>
      <c r="G7" s="674"/>
      <c r="H7" s="674"/>
      <c r="I7" s="674"/>
      <c r="J7" s="674"/>
      <c r="K7" s="674"/>
      <c r="L7" s="674"/>
      <c r="M7" s="674"/>
      <c r="N7" s="674"/>
      <c r="O7" s="674"/>
      <c r="P7" s="674"/>
      <c r="Q7" s="674"/>
      <c r="R7" s="674"/>
      <c r="S7" s="674"/>
      <c r="T7" s="674"/>
      <c r="U7" s="674"/>
      <c r="V7" s="674"/>
      <c r="W7" s="674"/>
    </row>
    <row r="8" spans="1:37" ht="13.5" customHeight="1">
      <c r="A8" s="713" t="s">
        <v>1354</v>
      </c>
      <c r="B8" s="687" t="s">
        <v>1355</v>
      </c>
      <c r="C8" s="687" t="str">
        <f>VLOOKUP(A8,Account!A:F,4,0)</f>
        <v>Fund Management Fee</v>
      </c>
      <c r="D8" s="676">
        <f ca="1">INDEX($K8:$W8,1,MATCH(D$6,$K$6:$W$6))</f>
        <v>8333.3333333333339</v>
      </c>
      <c r="E8" s="676" t="e">
        <f t="shared" ref="E8:E12" si="0">INDEX($Y8:$AJ8,1,MATCH(E$6,$Y$6:$AJ$6))</f>
        <v>#N/A</v>
      </c>
      <c r="F8" s="676" t="e">
        <f ca="1">D8-E8</f>
        <v>#N/A</v>
      </c>
      <c r="G8" s="676">
        <f ca="1">SUM($K8:OFFSET($K8,0,MATCH(G$6,$K$6:$W$6)-1))</f>
        <v>8333.3333333333339</v>
      </c>
      <c r="H8" s="676" t="e">
        <f t="shared" ref="H8:H12" ca="1" si="1">SUM($Y8:OFFSET($Y8,0,MATCH(H$6,$Y$6:$AJ$6)-1))</f>
        <v>#N/A</v>
      </c>
      <c r="I8" s="676" t="e">
        <f ca="1">G8-H8</f>
        <v>#N/A</v>
      </c>
      <c r="K8" s="676">
        <f ca="1">SUMIF('Budget-ACPL'!$A:$A,$A8,'Budget-ACPL'!K:K)+SUMIF('Budget-ACPLHK'!$A:$A,$A8,'Budget-ACPLHK'!K:K)+SUMIF('Budget-ACPSZL'!$A:$A,$A8,'Budget-ACPSZL'!K:K)+SUMIF('Budget-ACPLSZ'!$A:$A,$A8,'Budget-ACPLSZ'!K:K)+SUMIF('Budget-ACPLGZ'!$A:$A,$A8,'Budget-ACPLGZ'!K:K)+SUMIF('Budget-Yixing'!$A:$A,$A8,'Budget-Yixing'!K:K)</f>
        <v>8333.3333333333339</v>
      </c>
      <c r="L8" s="676">
        <f ca="1">SUMIF('Budget-ACPL'!$A:$A,$A8,'Budget-ACPL'!L:L)+SUMIF('Budget-ACPLHK'!$A:$A,$A8,'Budget-ACPLHK'!L:L)+SUMIF('Budget-ACPSZL'!$A:$A,$A8,'Budget-ACPSZL'!L:L)+SUMIF('Budget-ACPLSZ'!$A:$A,$A8,'Budget-ACPLSZ'!L:L)+SUMIF('Budget-ACPLGZ'!$A:$A,$A8,'Budget-ACPLGZ'!L:L)+SUMIF('Budget-Yixing'!$A:$A,$A8,'Budget-Yixing'!L:L)</f>
        <v>8333.3333333333303</v>
      </c>
      <c r="M8" s="676">
        <f ca="1">SUMIF('Budget-ACPL'!$A:$A,$A8,'Budget-ACPL'!M:M)+SUMIF('Budget-ACPLHK'!$A:$A,$A8,'Budget-ACPLHK'!M:M)+SUMIF('Budget-ACPSZL'!$A:$A,$A8,'Budget-ACPSZL'!M:M)+SUMIF('Budget-ACPLSZ'!$A:$A,$A8,'Budget-ACPLSZ'!M:M)+SUMIF('Budget-ACPLGZ'!$A:$A,$A8,'Budget-ACPLGZ'!M:M)+SUMIF('Budget-Yixing'!$A:$A,$A8,'Budget-Yixing'!M:M)</f>
        <v>8333.3333333333303</v>
      </c>
      <c r="N8" s="676">
        <f ca="1">SUMIF('Budget-ACPL'!$A:$A,$A8,'Budget-ACPL'!N:N)+SUMIF('Budget-ACPLHK'!$A:$A,$A8,'Budget-ACPLHK'!N:N)+SUMIF('Budget-ACPSZL'!$A:$A,$A8,'Budget-ACPSZL'!N:N)+SUMIF('Budget-ACPLSZ'!$A:$A,$A8,'Budget-ACPLSZ'!N:N)+SUMIF('Budget-ACPLGZ'!$A:$A,$A8,'Budget-ACPLGZ'!N:N)+SUMIF('Budget-Yixing'!$A:$A,$A8,'Budget-Yixing'!N:N)</f>
        <v>190478.51218308703</v>
      </c>
      <c r="O8" s="676">
        <f ca="1">SUMIF('Budget-ACPL'!$A:$A,$A8,'Budget-ACPL'!O:O)+SUMIF('Budget-ACPLHK'!$A:$A,$A8,'Budget-ACPLHK'!O:O)+SUMIF('Budget-ACPSZL'!$A:$A,$A8,'Budget-ACPSZL'!O:O)+SUMIF('Budget-ACPLSZ'!$A:$A,$A8,'Budget-ACPLSZ'!O:O)+SUMIF('Budget-ACPLGZ'!$A:$A,$A8,'Budget-ACPLGZ'!O:O)+SUMIF('Budget-Yixing'!$A:$A,$A8,'Budget-Yixing'!O:O)</f>
        <v>8333.3333333333303</v>
      </c>
      <c r="P8" s="676">
        <f ca="1">SUMIF('Budget-ACPL'!$A:$A,$A8,'Budget-ACPL'!P:P)+SUMIF('Budget-ACPLHK'!$A:$A,$A8,'Budget-ACPLHK'!P:P)+SUMIF('Budget-ACPSZL'!$A:$A,$A8,'Budget-ACPSZL'!P:P)+SUMIF('Budget-ACPLSZ'!$A:$A,$A8,'Budget-ACPLSZ'!P:P)+SUMIF('Budget-ACPLGZ'!$A:$A,$A8,'Budget-ACPLGZ'!P:P)+SUMIF('Budget-Yixing'!$A:$A,$A8,'Budget-Yixing'!P:P)</f>
        <v>446254.80705217068</v>
      </c>
      <c r="Q8" s="676">
        <f ca="1">SUMIF('Budget-ACPL'!$A:$A,$A8,'Budget-ACPL'!Q:Q)+SUMIF('Budget-ACPLHK'!$A:$A,$A8,'Budget-ACPLHK'!Q:Q)+SUMIF('Budget-ACPSZL'!$A:$A,$A8,'Budget-ACPSZL'!Q:Q)+SUMIF('Budget-ACPLSZ'!$A:$A,$A8,'Budget-ACPLSZ'!Q:Q)+SUMIF('Budget-ACPLGZ'!$A:$A,$A8,'Budget-ACPLGZ'!Q:Q)+SUMIF('Budget-Yixing'!$A:$A,$A8,'Budget-Yixing'!Q:Q)</f>
        <v>8333.3333333333303</v>
      </c>
      <c r="R8" s="676">
        <f ca="1">SUMIF('Budget-ACPL'!$A:$A,$A8,'Budget-ACPL'!R:R)+SUMIF('Budget-ACPLHK'!$A:$A,$A8,'Budget-ACPLHK'!R:R)+SUMIF('Budget-ACPSZL'!$A:$A,$A8,'Budget-ACPSZL'!R:R)+SUMIF('Budget-ACPLSZ'!$A:$A,$A8,'Budget-ACPLSZ'!R:R)+SUMIF('Budget-ACPLGZ'!$A:$A,$A8,'Budget-ACPLGZ'!R:R)+SUMIF('Budget-Yixing'!$A:$A,$A8,'Budget-Yixing'!R:R)</f>
        <v>8333.3333333333303</v>
      </c>
      <c r="S8" s="676">
        <f ca="1">SUMIF('Budget-ACPL'!$A:$A,$A8,'Budget-ACPL'!S:S)+SUMIF('Budget-ACPLHK'!$A:$A,$A8,'Budget-ACPLHK'!S:S)+SUMIF('Budget-ACPSZL'!$A:$A,$A8,'Budget-ACPSZL'!S:S)+SUMIF('Budget-ACPLSZ'!$A:$A,$A8,'Budget-ACPLSZ'!S:S)+SUMIF('Budget-ACPLGZ'!$A:$A,$A8,'Budget-ACPLGZ'!S:S)+SUMIF('Budget-Yixing'!$A:$A,$A8,'Budget-Yixing'!S:S)</f>
        <v>8333.3333333333303</v>
      </c>
      <c r="T8" s="676">
        <f ca="1">SUMIF('Budget-ACPL'!$A:$A,$A8,'Budget-ACPL'!T:T)+SUMIF('Budget-ACPLHK'!$A:$A,$A8,'Budget-ACPLHK'!T:T)+SUMIF('Budget-ACPSZL'!$A:$A,$A8,'Budget-ACPSZL'!T:T)+SUMIF('Budget-ACPLSZ'!$A:$A,$A8,'Budget-ACPLSZ'!T:T)+SUMIF('Budget-ACPLGZ'!$A:$A,$A8,'Budget-ACPLGZ'!T:T)+SUMIF('Budget-Yixing'!$A:$A,$A8,'Budget-Yixing'!T:T)</f>
        <v>8333.3333333333303</v>
      </c>
      <c r="U8" s="676">
        <f ca="1">SUMIF('Budget-ACPL'!$A:$A,$A8,'Budget-ACPL'!U:U)+SUMIF('Budget-ACPLHK'!$A:$A,$A8,'Budget-ACPLHK'!U:U)+SUMIF('Budget-ACPSZL'!$A:$A,$A8,'Budget-ACPSZL'!U:U)+SUMIF('Budget-ACPLSZ'!$A:$A,$A8,'Budget-ACPLSZ'!U:U)+SUMIF('Budget-ACPLGZ'!$A:$A,$A8,'Budget-ACPLGZ'!U:U)+SUMIF('Budget-Yixing'!$A:$A,$A8,'Budget-Yixing'!U:U)</f>
        <v>8333.3333333333303</v>
      </c>
      <c r="V8" s="676">
        <f ca="1">SUMIF('Budget-ACPL'!$A:$A,$A8,'Budget-ACPL'!V:V)+SUMIF('Budget-ACPLHK'!$A:$A,$A8,'Budget-ACPLHK'!V:V)+SUMIF('Budget-ACPSZL'!$A:$A,$A8,'Budget-ACPSZL'!V:V)+SUMIF('Budget-ACPLSZ'!$A:$A,$A8,'Budget-ACPLSZ'!V:V)+SUMIF('Budget-ACPLGZ'!$A:$A,$A8,'Budget-ACPLGZ'!V:V)+SUMIF('Budget-Yixing'!$A:$A,$A8,'Budget-Yixing'!V:V)</f>
        <v>255049.65655521359</v>
      </c>
      <c r="W8" s="676">
        <f ca="1">SUM(K8:V8)</f>
        <v>966782.97579047154</v>
      </c>
      <c r="Y8" s="688">
        <f ca="1">SUMIF('Budget-ACPL'!$A:$A,$A8,'Budget-ACPL'!Y:Y)+SUMIF('Budget-ACPLHK'!$A:$A,$A8,'Budget-ACPLHK'!Y:Y)+SUMIF('Budget-ACPSZL'!$A:$A,$A8,'Budget-ACPSZL'!Y:Y)+SUMIF('Budget-ACPLSZ'!$A:$A,$A8,'Budget-ACPLSZ'!Y:Y)+SUMIF('Budget-ACPLGZ'!$A:$A,$A8,'Budget-ACPLGZ'!Y:Y)+SUMIF('Budget-Yixing'!$A:$A,$A8,'Budget-Yixing'!Y:Y)</f>
        <v>0</v>
      </c>
      <c r="Z8" s="688">
        <f ca="1">SUMIF('Budget-ACPL'!$A:$A,$A8,'Budget-ACPL'!Z:Z)+SUMIF('Budget-ACPLHK'!$A:$A,$A8,'Budget-ACPLHK'!Z:Z)+SUMIF('Budget-ACPSZL'!$A:$A,$A8,'Budget-ACPSZL'!Z:Z)+SUMIF('Budget-ACPLSZ'!$A:$A,$A8,'Budget-ACPLSZ'!Z:Z)+SUMIF('Budget-ACPLGZ'!$A:$A,$A8,'Budget-ACPLGZ'!Z:Z)+SUMIF('Budget-Yixing'!$A:$A,$A8,'Budget-Yixing'!Z:Z)</f>
        <v>0</v>
      </c>
      <c r="AA8" s="688">
        <f ca="1">SUMIF('Budget-ACPL'!$A:$A,$A8,'Budget-ACPL'!AA:AA)+SUMIF('Budget-ACPLHK'!$A:$A,$A8,'Budget-ACPLHK'!AA:AA)+SUMIF('Budget-ACPSZL'!$A:$A,$A8,'Budget-ACPSZL'!AA:AA)+SUMIF('Budget-ACPLSZ'!$A:$A,$A8,'Budget-ACPLSZ'!AA:AA)+SUMIF('Budget-ACPLGZ'!$A:$A,$A8,'Budget-ACPLGZ'!AA:AA)+SUMIF('Budget-Yixing'!$A:$A,$A8,'Budget-Yixing'!AA:AA)</f>
        <v>0</v>
      </c>
      <c r="AB8" s="688">
        <f ca="1">SUMIF('Budget-ACPL'!$A:$A,$A8,'Budget-ACPL'!AB:AB)+SUMIF('Budget-ACPLHK'!$A:$A,$A8,'Budget-ACPLHK'!AB:AB)+SUMIF('Budget-ACPSZL'!$A:$A,$A8,'Budget-ACPSZL'!AB:AB)+SUMIF('Budget-ACPLSZ'!$A:$A,$A8,'Budget-ACPLSZ'!AB:AB)+SUMIF('Budget-ACPLGZ'!$A:$A,$A8,'Budget-ACPLGZ'!AB:AB)+SUMIF('Budget-Yixing'!$A:$A,$A8,'Budget-Yixing'!AB:AB)</f>
        <v>0</v>
      </c>
      <c r="AC8" s="688">
        <f ca="1">SUMIF('Budget-ACPL'!$A:$A,$A8,'Budget-ACPL'!AC:AC)+SUMIF('Budget-ACPLHK'!$A:$A,$A8,'Budget-ACPLHK'!AC:AC)+SUMIF('Budget-ACPSZL'!$A:$A,$A8,'Budget-ACPSZL'!AC:AC)+SUMIF('Budget-ACPLSZ'!$A:$A,$A8,'Budget-ACPLSZ'!AC:AC)+SUMIF('Budget-ACPLGZ'!$A:$A,$A8,'Budget-ACPLGZ'!AC:AC)+SUMIF('Budget-Yixing'!$A:$A,$A8,'Budget-Yixing'!AC:AC)</f>
        <v>0</v>
      </c>
      <c r="AD8" s="688">
        <f ca="1">SUMIF('Budget-ACPL'!$A:$A,$A8,'Budget-ACPL'!AD:AD)+SUMIF('Budget-ACPLHK'!$A:$A,$A8,'Budget-ACPLHK'!AD:AD)+SUMIF('Budget-ACPSZL'!$A:$A,$A8,'Budget-ACPSZL'!AD:AD)+SUMIF('Budget-ACPLSZ'!$A:$A,$A8,'Budget-ACPLSZ'!AD:AD)+SUMIF('Budget-ACPLGZ'!$A:$A,$A8,'Budget-ACPLGZ'!AD:AD)+SUMIF('Budget-Yixing'!$A:$A,$A8,'Budget-Yixing'!AD:AD)</f>
        <v>0</v>
      </c>
      <c r="AE8" s="688">
        <f ca="1">SUMIF('Budget-ACPL'!$A:$A,$A8,'Budget-ACPL'!AE:AE)+SUMIF('Budget-ACPLHK'!$A:$A,$A8,'Budget-ACPLHK'!AE:AE)+SUMIF('Budget-ACPSZL'!$A:$A,$A8,'Budget-ACPSZL'!AE:AE)+SUMIF('Budget-ACPLSZ'!$A:$A,$A8,'Budget-ACPLSZ'!AE:AE)+SUMIF('Budget-ACPLGZ'!$A:$A,$A8,'Budget-ACPLGZ'!AE:AE)+SUMIF('Budget-Yixing'!$A:$A,$A8,'Budget-Yixing'!AE:AE)</f>
        <v>0</v>
      </c>
      <c r="AF8" s="688">
        <f ca="1">SUMIF('Budget-ACPL'!$A:$A,$A8,'Budget-ACPL'!AF:AF)+SUMIF('Budget-ACPLHK'!$A:$A,$A8,'Budget-ACPLHK'!AF:AF)+SUMIF('Budget-ACPSZL'!$A:$A,$A8,'Budget-ACPSZL'!AF:AF)+SUMIF('Budget-ACPLSZ'!$A:$A,$A8,'Budget-ACPLSZ'!AF:AF)+SUMIF('Budget-ACPLGZ'!$A:$A,$A8,'Budget-ACPLGZ'!AF:AF)+SUMIF('Budget-Yixing'!$A:$A,$A8,'Budget-Yixing'!AF:AF)</f>
        <v>0</v>
      </c>
      <c r="AG8" s="688">
        <f ca="1">SUMIF('Budget-ACPL'!$A:$A,$A8,'Budget-ACPL'!AG:AG)+SUMIF('Budget-ACPLHK'!$A:$A,$A8,'Budget-ACPLHK'!AG:AG)+SUMIF('Budget-ACPSZL'!$A:$A,$A8,'Budget-ACPSZL'!AG:AG)+SUMIF('Budget-ACPLSZ'!$A:$A,$A8,'Budget-ACPLSZ'!AG:AG)+SUMIF('Budget-ACPLGZ'!$A:$A,$A8,'Budget-ACPLGZ'!AG:AG)+SUMIF('Budget-Yixing'!$A:$A,$A8,'Budget-Yixing'!AG:AG)</f>
        <v>0</v>
      </c>
      <c r="AH8" s="688">
        <f ca="1">SUMIF('Budget-ACPL'!$A:$A,$A8,'Budget-ACPL'!AH:AH)+SUMIF('Budget-ACPLHK'!$A:$A,$A8,'Budget-ACPLHK'!AH:AH)+SUMIF('Budget-ACPSZL'!$A:$A,$A8,'Budget-ACPSZL'!AH:AH)+SUMIF('Budget-ACPLSZ'!$A:$A,$A8,'Budget-ACPLSZ'!AH:AH)+SUMIF('Budget-ACPLGZ'!$A:$A,$A8,'Budget-ACPLGZ'!AH:AH)+SUMIF('Budget-Yixing'!$A:$A,$A8,'Budget-Yixing'!AH:AH)</f>
        <v>0</v>
      </c>
      <c r="AI8" s="688">
        <f ca="1">SUMIF('Budget-ACPL'!$A:$A,$A8,'Budget-ACPL'!AI:AI)+SUMIF('Budget-ACPLHK'!$A:$A,$A8,'Budget-ACPLHK'!AI:AI)+SUMIF('Budget-ACPSZL'!$A:$A,$A8,'Budget-ACPSZL'!AI:AI)+SUMIF('Budget-ACPLSZ'!$A:$A,$A8,'Budget-ACPLSZ'!AI:AI)+SUMIF('Budget-ACPLGZ'!$A:$A,$A8,'Budget-ACPLGZ'!AI:AI)+SUMIF('Budget-Yixing'!$A:$A,$A8,'Budget-Yixing'!AI:AI)</f>
        <v>0</v>
      </c>
      <c r="AJ8" s="688">
        <f ca="1">SUMIF('Budget-ACPL'!$A:$A,$A8,'Budget-ACPL'!AJ:AJ)+SUMIF('Budget-ACPLHK'!$A:$A,$A8,'Budget-ACPLHK'!AJ:AJ)+SUMIF('Budget-ACPSZL'!$A:$A,$A8,'Budget-ACPSZL'!AJ:AJ)+SUMIF('Budget-ACPLSZ'!$A:$A,$A8,'Budget-ACPLSZ'!AJ:AJ)+SUMIF('Budget-ACPLGZ'!$A:$A,$A8,'Budget-ACPLGZ'!AJ:AJ)+SUMIF('Budget-Yixing'!$A:$A,$A8,'Budget-Yixing'!AJ:AJ)</f>
        <v>5210.6499999999996</v>
      </c>
      <c r="AK8" s="688">
        <f t="shared" ref="AK8:AK11" ca="1" si="2">SUM(Y8:AJ8)</f>
        <v>5210.6499999999996</v>
      </c>
    </row>
    <row r="9" spans="1:37" ht="13.5" customHeight="1">
      <c r="A9" s="713" t="s">
        <v>1367</v>
      </c>
      <c r="B9" s="687" t="s">
        <v>1368</v>
      </c>
      <c r="C9" s="687" t="str">
        <f>VLOOKUP(A9,Account!A:F,4,0)</f>
        <v>Advisory Fee Income</v>
      </c>
      <c r="D9" s="676">
        <f ca="1">INDEX($K9:$W9,1,MATCH(D$6,$K$6:$W$6))</f>
        <v>0</v>
      </c>
      <c r="E9" s="676" t="e">
        <f t="shared" si="0"/>
        <v>#N/A</v>
      </c>
      <c r="F9" s="676" t="e">
        <f t="shared" ref="F9:F18" ca="1" si="3">D9-E9</f>
        <v>#N/A</v>
      </c>
      <c r="G9" s="676">
        <f t="shared" ref="G9:G19" ca="1" si="4">SUM($K9:OFFSET($K9,0,MATCH(G$6,$K$6:$W$6)-1))</f>
        <v>0</v>
      </c>
      <c r="H9" s="676" t="e">
        <f t="shared" ca="1" si="1"/>
        <v>#N/A</v>
      </c>
      <c r="I9" s="676" t="e">
        <f t="shared" ref="I9:I18" ca="1" si="5">G9-H9</f>
        <v>#N/A</v>
      </c>
      <c r="K9" s="676">
        <f ca="1">SUMIF('Budget-ACPL'!$A:$A,$A9,'Budget-ACPL'!K:K)+SUMIF('Budget-ACPLHK'!$A:$A,$A9,'Budget-ACPLHK'!K:K)+SUMIF('Budget-ACPSZL'!$A:$A,$A9,'Budget-ACPSZL'!K:K)+SUMIF('Budget-ACPLSZ'!$A:$A,$A9,'Budget-ACPLSZ'!K:K)+SUMIF('Budget-ACPLGZ'!$A:$A,$A9,'Budget-ACPLGZ'!K:K)+SUMIF('Budget-Yixing'!$A:$A,$A9,'Budget-Yixing'!K:K)</f>
        <v>0</v>
      </c>
      <c r="L9" s="676">
        <f ca="1">SUMIF('Budget-ACPL'!$A:$A,$A9,'Budget-ACPL'!L:L)+SUMIF('Budget-ACPLHK'!$A:$A,$A9,'Budget-ACPLHK'!L:L)+SUMIF('Budget-ACPSZL'!$A:$A,$A9,'Budget-ACPSZL'!L:L)+SUMIF('Budget-ACPLSZ'!$A:$A,$A9,'Budget-ACPLSZ'!L:L)+SUMIF('Budget-ACPLGZ'!$A:$A,$A9,'Budget-ACPLGZ'!L:L)+SUMIF('Budget-Yixing'!$A:$A,$A9,'Budget-Yixing'!L:L)</f>
        <v>0</v>
      </c>
      <c r="M9" s="676">
        <f ca="1">SUMIF('Budget-ACPL'!$A:$A,$A9,'Budget-ACPL'!M:M)+SUMIF('Budget-ACPLHK'!$A:$A,$A9,'Budget-ACPLHK'!M:M)+SUMIF('Budget-ACPSZL'!$A:$A,$A9,'Budget-ACPSZL'!M:M)+SUMIF('Budget-ACPLSZ'!$A:$A,$A9,'Budget-ACPLSZ'!M:M)+SUMIF('Budget-ACPLGZ'!$A:$A,$A9,'Budget-ACPLGZ'!M:M)+SUMIF('Budget-Yixing'!$A:$A,$A9,'Budget-Yixing'!M:M)</f>
        <v>0</v>
      </c>
      <c r="N9" s="676">
        <f ca="1">SUMIF('Budget-ACPL'!$A:$A,$A9,'Budget-ACPL'!N:N)+SUMIF('Budget-ACPLHK'!$A:$A,$A9,'Budget-ACPLHK'!N:N)+SUMIF('Budget-ACPSZL'!$A:$A,$A9,'Budget-ACPSZL'!N:N)+SUMIF('Budget-ACPLSZ'!$A:$A,$A9,'Budget-ACPLSZ'!N:N)+SUMIF('Budget-ACPLGZ'!$A:$A,$A9,'Budget-ACPLGZ'!N:N)+SUMIF('Budget-Yixing'!$A:$A,$A9,'Budget-Yixing'!N:N)</f>
        <v>0</v>
      </c>
      <c r="O9" s="676">
        <f ca="1">SUMIF('Budget-ACPL'!$A:$A,$A9,'Budget-ACPL'!O:O)+SUMIF('Budget-ACPLHK'!$A:$A,$A9,'Budget-ACPLHK'!O:O)+SUMIF('Budget-ACPSZL'!$A:$A,$A9,'Budget-ACPSZL'!O:O)+SUMIF('Budget-ACPLSZ'!$A:$A,$A9,'Budget-ACPLSZ'!O:O)+SUMIF('Budget-ACPLGZ'!$A:$A,$A9,'Budget-ACPLGZ'!O:O)+SUMIF('Budget-Yixing'!$A:$A,$A9,'Budget-Yixing'!O:O)</f>
        <v>3066726.1040889891</v>
      </c>
      <c r="P9" s="676">
        <f ca="1">SUMIF('Budget-ACPL'!$A:$A,$A9,'Budget-ACPL'!P:P)+SUMIF('Budget-ACPLHK'!$A:$A,$A9,'Budget-ACPLHK'!P:P)+SUMIF('Budget-ACPSZL'!$A:$A,$A9,'Budget-ACPSZL'!P:P)+SUMIF('Budget-ACPLSZ'!$A:$A,$A9,'Budget-ACPLSZ'!P:P)+SUMIF('Budget-ACPLGZ'!$A:$A,$A9,'Budget-ACPLGZ'!P:P)+SUMIF('Budget-Yixing'!$A:$A,$A9,'Budget-Yixing'!P:P)</f>
        <v>0</v>
      </c>
      <c r="Q9" s="676">
        <f ca="1">SUMIF('Budget-ACPL'!$A:$A,$A9,'Budget-ACPL'!Q:Q)+SUMIF('Budget-ACPLHK'!$A:$A,$A9,'Budget-ACPLHK'!Q:Q)+SUMIF('Budget-ACPSZL'!$A:$A,$A9,'Budget-ACPSZL'!Q:Q)+SUMIF('Budget-ACPLSZ'!$A:$A,$A9,'Budget-ACPLSZ'!Q:Q)+SUMIF('Budget-ACPLGZ'!$A:$A,$A9,'Budget-ACPLGZ'!Q:Q)+SUMIF('Budget-Yixing'!$A:$A,$A9,'Budget-Yixing'!Q:Q)</f>
        <v>1652002.1337334199</v>
      </c>
      <c r="R9" s="676">
        <f ca="1">SUMIF('Budget-ACPL'!$A:$A,$A9,'Budget-ACPL'!R:R)+SUMIF('Budget-ACPLHK'!$A:$A,$A9,'Budget-ACPLHK'!R:R)+SUMIF('Budget-ACPSZL'!$A:$A,$A9,'Budget-ACPSZL'!R:R)+SUMIF('Budget-ACPLSZ'!$A:$A,$A9,'Budget-ACPLSZ'!R:R)+SUMIF('Budget-ACPLGZ'!$A:$A,$A9,'Budget-ACPLGZ'!R:R)+SUMIF('Budget-Yixing'!$A:$A,$A9,'Budget-Yixing'!R:R)</f>
        <v>0</v>
      </c>
      <c r="S9" s="676">
        <f ca="1">SUMIF('Budget-ACPL'!$A:$A,$A9,'Budget-ACPL'!S:S)+SUMIF('Budget-ACPLHK'!$A:$A,$A9,'Budget-ACPLHK'!S:S)+SUMIF('Budget-ACPSZL'!$A:$A,$A9,'Budget-ACPSZL'!S:S)+SUMIF('Budget-ACPLSZ'!$A:$A,$A9,'Budget-ACPLSZ'!S:S)+SUMIF('Budget-ACPLGZ'!$A:$A,$A9,'Budget-ACPLGZ'!S:S)+SUMIF('Budget-Yixing'!$A:$A,$A9,'Budget-Yixing'!S:S)</f>
        <v>0</v>
      </c>
      <c r="T9" s="676">
        <f ca="1">SUMIF('Budget-ACPL'!$A:$A,$A9,'Budget-ACPL'!T:T)+SUMIF('Budget-ACPLHK'!$A:$A,$A9,'Budget-ACPLHK'!T:T)+SUMIF('Budget-ACPSZL'!$A:$A,$A9,'Budget-ACPSZL'!T:T)+SUMIF('Budget-ACPLSZ'!$A:$A,$A9,'Budget-ACPLSZ'!T:T)+SUMIF('Budget-ACPLGZ'!$A:$A,$A9,'Budget-ACPLGZ'!T:T)+SUMIF('Budget-Yixing'!$A:$A,$A9,'Budget-Yixing'!T:T)</f>
        <v>3580880.6579123605</v>
      </c>
      <c r="U9" s="676">
        <f ca="1">SUMIF('Budget-ACPL'!$A:$A,$A9,'Budget-ACPL'!U:U)+SUMIF('Budget-ACPLHK'!$A:$A,$A9,'Budget-ACPLHK'!U:U)+SUMIF('Budget-ACPSZL'!$A:$A,$A9,'Budget-ACPSZL'!U:U)+SUMIF('Budget-ACPLSZ'!$A:$A,$A9,'Budget-ACPLSZ'!U:U)+SUMIF('Budget-ACPLGZ'!$A:$A,$A9,'Budget-ACPLGZ'!U:U)+SUMIF('Budget-Yixing'!$A:$A,$A9,'Budget-Yixing'!U:U)</f>
        <v>0</v>
      </c>
      <c r="V9" s="676">
        <f ca="1">SUMIF('Budget-ACPL'!$A:$A,$A9,'Budget-ACPL'!V:V)+SUMIF('Budget-ACPLHK'!$A:$A,$A9,'Budget-ACPLHK'!V:V)+SUMIF('Budget-ACPSZL'!$A:$A,$A9,'Budget-ACPSZL'!V:V)+SUMIF('Budget-ACPLSZ'!$A:$A,$A9,'Budget-ACPLSZ'!V:V)+SUMIF('Budget-ACPLGZ'!$A:$A,$A9,'Budget-ACPLGZ'!V:V)+SUMIF('Budget-Yixing'!$A:$A,$A9,'Budget-Yixing'!V:V)</f>
        <v>0</v>
      </c>
      <c r="W9" s="676">
        <f ca="1">SUM(K9:V9)</f>
        <v>8299608.8957347693</v>
      </c>
      <c r="Y9" s="688">
        <f ca="1">SUMIF('Budget-ACPL'!$A:$A,$A9,'Budget-ACPL'!Y:Y)+SUMIF('Budget-ACPLHK'!$A:$A,$A9,'Budget-ACPLHK'!Y:Y)+SUMIF('Budget-ACPSZL'!$A:$A,$A9,'Budget-ACPSZL'!Y:Y)+SUMIF('Budget-ACPLSZ'!$A:$A,$A9,'Budget-ACPLSZ'!Y:Y)+SUMIF('Budget-ACPLGZ'!$A:$A,$A9,'Budget-ACPLGZ'!Y:Y)+SUMIF('Budget-Yixing'!$A:$A,$A9,'Budget-Yixing'!Y:Y)</f>
        <v>720619.93</v>
      </c>
      <c r="Z9" s="688">
        <f ca="1">SUMIF('Budget-ACPL'!$A:$A,$A9,'Budget-ACPL'!Z:Z)+SUMIF('Budget-ACPLHK'!$A:$A,$A9,'Budget-ACPLHK'!Z:Z)+SUMIF('Budget-ACPSZL'!$A:$A,$A9,'Budget-ACPSZL'!Z:Z)+SUMIF('Budget-ACPLSZ'!$A:$A,$A9,'Budget-ACPLSZ'!Z:Z)+SUMIF('Budget-ACPLGZ'!$A:$A,$A9,'Budget-ACPLGZ'!Z:Z)+SUMIF('Budget-Yixing'!$A:$A,$A9,'Budget-Yixing'!Z:Z)</f>
        <v>720619.93</v>
      </c>
      <c r="AA9" s="688">
        <f ca="1">SUMIF('Budget-ACPL'!$A:$A,$A9,'Budget-ACPL'!AA:AA)+SUMIF('Budget-ACPLHK'!$A:$A,$A9,'Budget-ACPLHK'!AA:AA)+SUMIF('Budget-ACPSZL'!$A:$A,$A9,'Budget-ACPSZL'!AA:AA)+SUMIF('Budget-ACPLSZ'!$A:$A,$A9,'Budget-ACPLSZ'!AA:AA)+SUMIF('Budget-ACPLGZ'!$A:$A,$A9,'Budget-ACPLGZ'!AA:AA)+SUMIF('Budget-Yixing'!$A:$A,$A9,'Budget-Yixing'!AA:AA)</f>
        <v>912677.89</v>
      </c>
      <c r="AB9" s="688">
        <f ca="1">SUMIF('Budget-ACPL'!$A:$A,$A9,'Budget-ACPL'!AB:AB)+SUMIF('Budget-ACPLHK'!$A:$A,$A9,'Budget-ACPLHK'!AB:AB)+SUMIF('Budget-ACPSZL'!$A:$A,$A9,'Budget-ACPSZL'!AB:AB)+SUMIF('Budget-ACPLSZ'!$A:$A,$A9,'Budget-ACPLSZ'!AB:AB)+SUMIF('Budget-ACPLGZ'!$A:$A,$A9,'Budget-ACPLGZ'!AB:AB)+SUMIF('Budget-Yixing'!$A:$A,$A9,'Budget-Yixing'!AB:AB)</f>
        <v>877559.6</v>
      </c>
      <c r="AC9" s="688">
        <f ca="1">SUMIF('Budget-ACPL'!$A:$A,$A9,'Budget-ACPL'!AC:AC)+SUMIF('Budget-ACPLHK'!$A:$A,$A9,'Budget-ACPLHK'!AC:AC)+SUMIF('Budget-ACPSZL'!$A:$A,$A9,'Budget-ACPSZL'!AC:AC)+SUMIF('Budget-ACPLSZ'!$A:$A,$A9,'Budget-ACPLSZ'!AC:AC)+SUMIF('Budget-ACPLGZ'!$A:$A,$A9,'Budget-ACPLGZ'!AC:AC)+SUMIF('Budget-Yixing'!$A:$A,$A9,'Budget-Yixing'!AC:AC)</f>
        <v>867968.26</v>
      </c>
      <c r="AD9" s="688">
        <f ca="1">SUMIF('Budget-ACPL'!$A:$A,$A9,'Budget-ACPL'!AD:AD)+SUMIF('Budget-ACPLHK'!$A:$A,$A9,'Budget-ACPLHK'!AD:AD)+SUMIF('Budget-ACPSZL'!$A:$A,$A9,'Budget-ACPSZL'!AD:AD)+SUMIF('Budget-ACPLSZ'!$A:$A,$A9,'Budget-ACPLSZ'!AD:AD)+SUMIF('Budget-ACPLGZ'!$A:$A,$A9,'Budget-ACPLGZ'!AD:AD)+SUMIF('Budget-Yixing'!$A:$A,$A9,'Budget-Yixing'!AD:AD)</f>
        <v>150425</v>
      </c>
      <c r="AE9" s="688">
        <f ca="1">SUMIF('Budget-ACPL'!$A:$A,$A9,'Budget-ACPL'!AE:AE)+SUMIF('Budget-ACPLHK'!$A:$A,$A9,'Budget-ACPLHK'!AE:AE)+SUMIF('Budget-ACPSZL'!$A:$A,$A9,'Budget-ACPSZL'!AE:AE)+SUMIF('Budget-ACPLSZ'!$A:$A,$A9,'Budget-ACPLSZ'!AE:AE)+SUMIF('Budget-ACPLGZ'!$A:$A,$A9,'Budget-ACPLGZ'!AE:AE)+SUMIF('Budget-Yixing'!$A:$A,$A9,'Budget-Yixing'!AE:AE)</f>
        <v>149978.13</v>
      </c>
      <c r="AF9" s="688">
        <f ca="1">SUMIF('Budget-ACPL'!$A:$A,$A9,'Budget-ACPL'!AF:AF)+SUMIF('Budget-ACPLHK'!$A:$A,$A9,'Budget-ACPLHK'!AF:AF)+SUMIF('Budget-ACPSZL'!$A:$A,$A9,'Budget-ACPSZL'!AF:AF)+SUMIF('Budget-ACPLSZ'!$A:$A,$A9,'Budget-ACPLSZ'!AF:AF)+SUMIF('Budget-ACPLGZ'!$A:$A,$A9,'Budget-ACPLGZ'!AF:AF)+SUMIF('Budget-Yixing'!$A:$A,$A9,'Budget-Yixing'!AF:AF)</f>
        <v>150301.25</v>
      </c>
      <c r="AG9" s="688">
        <f ca="1">SUMIF('Budget-ACPL'!$A:$A,$A9,'Budget-ACPL'!AG:AG)+SUMIF('Budget-ACPLHK'!$A:$A,$A9,'Budget-ACPLHK'!AG:AG)+SUMIF('Budget-ACPSZL'!$A:$A,$A9,'Budget-ACPSZL'!AG:AG)+SUMIF('Budget-ACPLSZ'!$A:$A,$A9,'Budget-ACPLSZ'!AG:AG)+SUMIF('Budget-ACPLGZ'!$A:$A,$A9,'Budget-ACPLGZ'!AG:AG)+SUMIF('Budget-Yixing'!$A:$A,$A9,'Budget-Yixing'!AG:AG)</f>
        <v>150266.88</v>
      </c>
      <c r="AH9" s="688">
        <f ca="1">SUMIF('Budget-ACPL'!$A:$A,$A9,'Budget-ACPL'!AH:AH)+SUMIF('Budget-ACPLHK'!$A:$A,$A9,'Budget-ACPLHK'!AH:AH)+SUMIF('Budget-ACPSZL'!$A:$A,$A9,'Budget-ACPSZL'!AH:AH)+SUMIF('Budget-ACPLSZ'!$A:$A,$A9,'Budget-ACPLSZ'!AH:AH)+SUMIF('Budget-ACPLGZ'!$A:$A,$A9,'Budget-ACPLGZ'!AH:AH)+SUMIF('Budget-Yixing'!$A:$A,$A9,'Budget-Yixing'!AH:AH)</f>
        <v>-1398219.76</v>
      </c>
      <c r="AI9" s="688">
        <f ca="1">SUMIF('Budget-ACPL'!$A:$A,$A9,'Budget-ACPL'!AI:AI)+SUMIF('Budget-ACPLHK'!$A:$A,$A9,'Budget-ACPLHK'!AI:AI)+SUMIF('Budget-ACPSZL'!$A:$A,$A9,'Budget-ACPSZL'!AI:AI)+SUMIF('Budget-ACPLSZ'!$A:$A,$A9,'Budget-ACPLSZ'!AI:AI)+SUMIF('Budget-ACPLGZ'!$A:$A,$A9,'Budget-ACPLGZ'!AI:AI)+SUMIF('Budget-Yixing'!$A:$A,$A9,'Budget-Yixing'!AI:AI)</f>
        <v>0</v>
      </c>
      <c r="AJ9" s="688">
        <f ca="1">SUMIF('Budget-ACPL'!$A:$A,$A9,'Budget-ACPL'!AJ:AJ)+SUMIF('Budget-ACPLHK'!$A:$A,$A9,'Budget-ACPLHK'!AJ:AJ)+SUMIF('Budget-ACPSZL'!$A:$A,$A9,'Budget-ACPSZL'!AJ:AJ)+SUMIF('Budget-ACPLSZ'!$A:$A,$A9,'Budget-ACPLSZ'!AJ:AJ)+SUMIF('Budget-ACPLGZ'!$A:$A,$A9,'Budget-ACPLGZ'!AJ:AJ)+SUMIF('Budget-Yixing'!$A:$A,$A9,'Budget-Yixing'!AJ:AJ)</f>
        <v>0</v>
      </c>
      <c r="AK9" s="688">
        <f t="shared" ca="1" si="2"/>
        <v>3302197.1100000003</v>
      </c>
    </row>
    <row r="10" spans="1:37" ht="13.5" hidden="1" customHeight="1">
      <c r="A10" s="713"/>
      <c r="B10" s="687" t="s">
        <v>2506</v>
      </c>
      <c r="C10" s="687" t="s">
        <v>2507</v>
      </c>
      <c r="D10" s="676">
        <f>INDEX($K10:$W10,1,MATCH(D$6,$K$6:$W$6))</f>
        <v>0</v>
      </c>
      <c r="E10" s="676" t="e">
        <f t="shared" si="0"/>
        <v>#N/A</v>
      </c>
      <c r="F10" s="676" t="e">
        <f t="shared" si="3"/>
        <v>#N/A</v>
      </c>
      <c r="G10" s="676">
        <f t="shared" ca="1" si="4"/>
        <v>0</v>
      </c>
      <c r="H10" s="676" t="e">
        <f t="shared" ca="1" si="1"/>
        <v>#N/A</v>
      </c>
      <c r="I10" s="676" t="e">
        <f t="shared" ca="1" si="5"/>
        <v>#N/A</v>
      </c>
      <c r="K10" s="676">
        <f>SUMIF('Budget-ACPL'!$B:$B,$B10,'Budget-ACPL'!K:K)+SUMIF('Budget-ACPLHK'!$B:$B,$B10,'Budget-ACPLHK'!K:K)+SUMIF('Budget-ACPSZL'!$B:$B,$B10,'Budget-ACPSZL'!K:K)+SUMIF('Budget-ACPLSZ'!$B:$B,$B10,'Budget-ACPLSZ'!K:K)+SUMIF('Budget-ACPLGZ'!$B:$B,$B10,'Budget-ACPLGZ'!K:K)+SUMIF('Budget-Yixing'!$B:$B,$B10,'Budget-Yixing'!K:K)</f>
        <v>0</v>
      </c>
      <c r="L10" s="676">
        <f>SUMIF('Budget-ACPL'!$B:$B,$B10,'Budget-ACPL'!L:L)+SUMIF('Budget-ACPLHK'!$B:$B,$B10,'Budget-ACPLHK'!L:L)+SUMIF('Budget-ACPSZL'!$B:$B,$B10,'Budget-ACPSZL'!L:L)+SUMIF('Budget-ACPLSZ'!$B:$B,$B10,'Budget-ACPLSZ'!L:L)+SUMIF('Budget-ACPLGZ'!$B:$B,$B10,'Budget-ACPLGZ'!L:L)+SUMIF('Budget-Yixing'!$B:$B,$B10,'Budget-Yixing'!L:L)</f>
        <v>0</v>
      </c>
      <c r="M10" s="676">
        <f>SUMIF('Budget-ACPL'!$B:$B,$B10,'Budget-ACPL'!M:M)+SUMIF('Budget-ACPLHK'!$B:$B,$B10,'Budget-ACPLHK'!M:M)+SUMIF('Budget-ACPSZL'!$B:$B,$B10,'Budget-ACPSZL'!M:M)+SUMIF('Budget-ACPLSZ'!$B:$B,$B10,'Budget-ACPLSZ'!M:M)+SUMIF('Budget-ACPLGZ'!$B:$B,$B10,'Budget-ACPLGZ'!M:M)+SUMIF('Budget-Yixing'!$B:$B,$B10,'Budget-Yixing'!M:M)</f>
        <v>0</v>
      </c>
      <c r="N10" s="676">
        <f>SUMIF('Budget-ACPL'!$B:$B,$B10,'Budget-ACPL'!N:N)+SUMIF('Budget-ACPLHK'!$B:$B,$B10,'Budget-ACPLHK'!N:N)+SUMIF('Budget-ACPSZL'!$B:$B,$B10,'Budget-ACPSZL'!N:N)+SUMIF('Budget-ACPLSZ'!$B:$B,$B10,'Budget-ACPLSZ'!N:N)+SUMIF('Budget-ACPLGZ'!$B:$B,$B10,'Budget-ACPLGZ'!N:N)+SUMIF('Budget-Yixing'!$B:$B,$B10,'Budget-Yixing'!N:N)</f>
        <v>0</v>
      </c>
      <c r="O10" s="676">
        <f>SUMIF('Budget-ACPL'!$B:$B,$B10,'Budget-ACPL'!O:O)+SUMIF('Budget-ACPLHK'!$B:$B,$B10,'Budget-ACPLHK'!O:O)+SUMIF('Budget-ACPSZL'!$B:$B,$B10,'Budget-ACPSZL'!O:O)+SUMIF('Budget-ACPLSZ'!$B:$B,$B10,'Budget-ACPLSZ'!O:O)+SUMIF('Budget-ACPLGZ'!$B:$B,$B10,'Budget-ACPLGZ'!O:O)+SUMIF('Budget-Yixing'!$B:$B,$B10,'Budget-Yixing'!O:O)</f>
        <v>0</v>
      </c>
      <c r="P10" s="676">
        <f>SUMIF('Budget-ACPL'!$B:$B,$B10,'Budget-ACPL'!P:P)+SUMIF('Budget-ACPLHK'!$B:$B,$B10,'Budget-ACPLHK'!P:P)+SUMIF('Budget-ACPSZL'!$B:$B,$B10,'Budget-ACPSZL'!P:P)+SUMIF('Budget-ACPLSZ'!$B:$B,$B10,'Budget-ACPLSZ'!P:P)+SUMIF('Budget-ACPLGZ'!$B:$B,$B10,'Budget-ACPLGZ'!P:P)+SUMIF('Budget-Yixing'!$B:$B,$B10,'Budget-Yixing'!P:P)</f>
        <v>0</v>
      </c>
      <c r="Q10" s="676">
        <f>SUMIF('Budget-ACPL'!$B:$B,$B10,'Budget-ACPL'!Q:Q)+SUMIF('Budget-ACPLHK'!$B:$B,$B10,'Budget-ACPLHK'!Q:Q)+SUMIF('Budget-ACPSZL'!$B:$B,$B10,'Budget-ACPSZL'!Q:Q)+SUMIF('Budget-ACPLSZ'!$B:$B,$B10,'Budget-ACPLSZ'!Q:Q)+SUMIF('Budget-ACPLGZ'!$B:$B,$B10,'Budget-ACPLGZ'!Q:Q)+SUMIF('Budget-Yixing'!$B:$B,$B10,'Budget-Yixing'!Q:Q)</f>
        <v>0</v>
      </c>
      <c r="R10" s="676">
        <f>SUMIF('Budget-ACPL'!$B:$B,$B10,'Budget-ACPL'!R:R)+SUMIF('Budget-ACPLHK'!$B:$B,$B10,'Budget-ACPLHK'!R:R)+SUMIF('Budget-ACPSZL'!$B:$B,$B10,'Budget-ACPSZL'!R:R)+SUMIF('Budget-ACPLSZ'!$B:$B,$B10,'Budget-ACPLSZ'!R:R)+SUMIF('Budget-ACPLGZ'!$B:$B,$B10,'Budget-ACPLGZ'!R:R)+SUMIF('Budget-Yixing'!$B:$B,$B10,'Budget-Yixing'!R:R)</f>
        <v>0</v>
      </c>
      <c r="S10" s="676">
        <f>SUMIF('Budget-ACPL'!$B:$B,$B10,'Budget-ACPL'!S:S)+SUMIF('Budget-ACPLHK'!$B:$B,$B10,'Budget-ACPLHK'!S:S)+SUMIF('Budget-ACPSZL'!$B:$B,$B10,'Budget-ACPSZL'!S:S)+SUMIF('Budget-ACPLSZ'!$B:$B,$B10,'Budget-ACPLSZ'!S:S)+SUMIF('Budget-ACPLGZ'!$B:$B,$B10,'Budget-ACPLGZ'!S:S)+SUMIF('Budget-Yixing'!$B:$B,$B10,'Budget-Yixing'!S:S)</f>
        <v>0</v>
      </c>
      <c r="T10" s="676">
        <f>SUMIF('Budget-ACPL'!$B:$B,$B10,'Budget-ACPL'!T:T)+SUMIF('Budget-ACPLHK'!$B:$B,$B10,'Budget-ACPLHK'!T:T)+SUMIF('Budget-ACPSZL'!$B:$B,$B10,'Budget-ACPSZL'!T:T)+SUMIF('Budget-ACPLSZ'!$B:$B,$B10,'Budget-ACPLSZ'!T:T)+SUMIF('Budget-ACPLGZ'!$B:$B,$B10,'Budget-ACPLGZ'!T:T)+SUMIF('Budget-Yixing'!$B:$B,$B10,'Budget-Yixing'!T:T)</f>
        <v>0</v>
      </c>
      <c r="U10" s="676">
        <f>SUMIF('Budget-ACPL'!$B:$B,$B10,'Budget-ACPL'!U:U)+SUMIF('Budget-ACPLHK'!$B:$B,$B10,'Budget-ACPLHK'!U:U)+SUMIF('Budget-ACPSZL'!$B:$B,$B10,'Budget-ACPSZL'!U:U)+SUMIF('Budget-ACPLSZ'!$B:$B,$B10,'Budget-ACPLSZ'!U:U)+SUMIF('Budget-ACPLGZ'!$B:$B,$B10,'Budget-ACPLGZ'!U:U)+SUMIF('Budget-Yixing'!$B:$B,$B10,'Budget-Yixing'!U:U)</f>
        <v>0</v>
      </c>
      <c r="V10" s="676">
        <f>SUMIF('Budget-ACPL'!$B:$B,$B10,'Budget-ACPL'!V:V)+SUMIF('Budget-ACPLHK'!$B:$B,$B10,'Budget-ACPLHK'!V:V)+SUMIF('Budget-ACPSZL'!$B:$B,$B10,'Budget-ACPSZL'!V:V)+SUMIF('Budget-ACPLSZ'!$B:$B,$B10,'Budget-ACPLSZ'!V:V)+SUMIF('Budget-ACPLGZ'!$B:$B,$B10,'Budget-ACPLGZ'!V:V)+SUMIF('Budget-Yixing'!$B:$B,$B10,'Budget-Yixing'!V:V)</f>
        <v>0</v>
      </c>
      <c r="W10" s="676">
        <f t="shared" ref="W10:W18" si="6">SUM(K10:V10)</f>
        <v>0</v>
      </c>
      <c r="Y10" s="688"/>
      <c r="Z10" s="688"/>
      <c r="AA10" s="688"/>
      <c r="AB10" s="688"/>
      <c r="AC10" s="688"/>
      <c r="AD10" s="688"/>
      <c r="AE10" s="688"/>
      <c r="AF10" s="688"/>
      <c r="AG10" s="688"/>
      <c r="AH10" s="688"/>
      <c r="AI10" s="688"/>
      <c r="AJ10" s="688"/>
      <c r="AK10" s="688">
        <f t="shared" si="2"/>
        <v>0</v>
      </c>
    </row>
    <row r="11" spans="1:37" ht="13.5" customHeight="1">
      <c r="A11" s="713"/>
      <c r="B11" s="687" t="s">
        <v>2508</v>
      </c>
      <c r="C11" s="687" t="s">
        <v>2509</v>
      </c>
      <c r="D11" s="676">
        <f t="shared" ref="D11:D19" si="7">INDEX($K11:$W11,1,MATCH(D$6,$K$6:$W$6))</f>
        <v>0</v>
      </c>
      <c r="E11" s="676" t="e">
        <f t="shared" si="0"/>
        <v>#N/A</v>
      </c>
      <c r="F11" s="676" t="e">
        <f t="shared" si="3"/>
        <v>#N/A</v>
      </c>
      <c r="G11" s="676">
        <f t="shared" ca="1" si="4"/>
        <v>0</v>
      </c>
      <c r="H11" s="676" t="e">
        <f t="shared" ca="1" si="1"/>
        <v>#N/A</v>
      </c>
      <c r="I11" s="676" t="e">
        <f t="shared" ca="1" si="5"/>
        <v>#N/A</v>
      </c>
      <c r="K11" s="676">
        <f>SUMIF('Budget-ACPL'!$B:$B,$B11,'Budget-ACPL'!K:K)+SUMIF('Budget-ACPLHK'!$B:$B,$B11,'Budget-ACPLHK'!K:K)+SUMIF('Budget-ACPSZL'!$B:$B,$B11,'Budget-ACPSZL'!K:K)+SUMIF('Budget-ACPLSZ'!$B:$B,$B11,'Budget-ACPLSZ'!K:K)+SUMIF('Budget-ACPLGZ'!$B:$B,$B11,'Budget-ACPLGZ'!K:K)+SUMIF('Budget-Yixing'!$B:$B,$B11,'Budget-Yixing'!K:K)</f>
        <v>0</v>
      </c>
      <c r="L11" s="676">
        <f>SUMIF('Budget-ACPL'!$B:$B,$B11,'Budget-ACPL'!L:L)+SUMIF('Budget-ACPLHK'!$B:$B,$B11,'Budget-ACPLHK'!L:L)+SUMIF('Budget-ACPSZL'!$B:$B,$B11,'Budget-ACPSZL'!L:L)+SUMIF('Budget-ACPLSZ'!$B:$B,$B11,'Budget-ACPLSZ'!L:L)+SUMIF('Budget-ACPLGZ'!$B:$B,$B11,'Budget-ACPLGZ'!L:L)+SUMIF('Budget-Yixing'!$B:$B,$B11,'Budget-Yixing'!L:L)</f>
        <v>0</v>
      </c>
      <c r="M11" s="676">
        <f>SUMIF('Budget-ACPL'!$B:$B,$B11,'Budget-ACPL'!M:M)+SUMIF('Budget-ACPLHK'!$B:$B,$B11,'Budget-ACPLHK'!M:M)+SUMIF('Budget-ACPSZL'!$B:$B,$B11,'Budget-ACPSZL'!M:M)+SUMIF('Budget-ACPLSZ'!$B:$B,$B11,'Budget-ACPLSZ'!M:M)+SUMIF('Budget-ACPLGZ'!$B:$B,$B11,'Budget-ACPLGZ'!M:M)+SUMIF('Budget-Yixing'!$B:$B,$B11,'Budget-Yixing'!M:M)</f>
        <v>0</v>
      </c>
      <c r="N11" s="676">
        <f>SUMIF('Budget-ACPL'!$B:$B,$B11,'Budget-ACPL'!N:N)+SUMIF('Budget-ACPLHK'!$B:$B,$B11,'Budget-ACPLHK'!N:N)+SUMIF('Budget-ACPSZL'!$B:$B,$B11,'Budget-ACPSZL'!N:N)+SUMIF('Budget-ACPLSZ'!$B:$B,$B11,'Budget-ACPLSZ'!N:N)+SUMIF('Budget-ACPLGZ'!$B:$B,$B11,'Budget-ACPLGZ'!N:N)+SUMIF('Budget-Yixing'!$B:$B,$B11,'Budget-Yixing'!N:N)</f>
        <v>0</v>
      </c>
      <c r="O11" s="676">
        <f>SUMIF('Budget-ACPL'!$B:$B,$B11,'Budget-ACPL'!O:O)+SUMIF('Budget-ACPLHK'!$B:$B,$B11,'Budget-ACPLHK'!O:O)+SUMIF('Budget-ACPSZL'!$B:$B,$B11,'Budget-ACPSZL'!O:O)+SUMIF('Budget-ACPLSZ'!$B:$B,$B11,'Budget-ACPLSZ'!O:O)+SUMIF('Budget-ACPLGZ'!$B:$B,$B11,'Budget-ACPLGZ'!O:O)+SUMIF('Budget-Yixing'!$B:$B,$B11,'Budget-Yixing'!O:O)</f>
        <v>3066726.1040889891</v>
      </c>
      <c r="P11" s="676">
        <f>SUMIF('Budget-ACPL'!$B:$B,$B11,'Budget-ACPL'!P:P)+SUMIF('Budget-ACPLHK'!$B:$B,$B11,'Budget-ACPLHK'!P:P)+SUMIF('Budget-ACPSZL'!$B:$B,$B11,'Budget-ACPSZL'!P:P)+SUMIF('Budget-ACPLSZ'!$B:$B,$B11,'Budget-ACPLSZ'!P:P)+SUMIF('Budget-ACPLGZ'!$B:$B,$B11,'Budget-ACPLGZ'!P:P)+SUMIF('Budget-Yixing'!$B:$B,$B11,'Budget-Yixing'!P:P)</f>
        <v>0</v>
      </c>
      <c r="Q11" s="676">
        <f>SUMIF('Budget-ACPL'!$B:$B,$B11,'Budget-ACPL'!Q:Q)+SUMIF('Budget-ACPLHK'!$B:$B,$B11,'Budget-ACPLHK'!Q:Q)+SUMIF('Budget-ACPSZL'!$B:$B,$B11,'Budget-ACPSZL'!Q:Q)+SUMIF('Budget-ACPLSZ'!$B:$B,$B11,'Budget-ACPLSZ'!Q:Q)+SUMIF('Budget-ACPLGZ'!$B:$B,$B11,'Budget-ACPLGZ'!Q:Q)+SUMIF('Budget-Yixing'!$B:$B,$B11,'Budget-Yixing'!Q:Q)</f>
        <v>1652002.1337334199</v>
      </c>
      <c r="R11" s="676">
        <f>SUMIF('Budget-ACPL'!$B:$B,$B11,'Budget-ACPL'!R:R)+SUMIF('Budget-ACPLHK'!$B:$B,$B11,'Budget-ACPLHK'!R:R)+SUMIF('Budget-ACPSZL'!$B:$B,$B11,'Budget-ACPSZL'!R:R)+SUMIF('Budget-ACPLSZ'!$B:$B,$B11,'Budget-ACPLSZ'!R:R)+SUMIF('Budget-ACPLGZ'!$B:$B,$B11,'Budget-ACPLGZ'!R:R)+SUMIF('Budget-Yixing'!$B:$B,$B11,'Budget-Yixing'!R:R)</f>
        <v>0</v>
      </c>
      <c r="S11" s="676">
        <f>SUMIF('Budget-ACPL'!$B:$B,$B11,'Budget-ACPL'!S:S)+SUMIF('Budget-ACPLHK'!$B:$B,$B11,'Budget-ACPLHK'!S:S)+SUMIF('Budget-ACPSZL'!$B:$B,$B11,'Budget-ACPSZL'!S:S)+SUMIF('Budget-ACPLSZ'!$B:$B,$B11,'Budget-ACPLSZ'!S:S)+SUMIF('Budget-ACPLGZ'!$B:$B,$B11,'Budget-ACPLGZ'!S:S)+SUMIF('Budget-Yixing'!$B:$B,$B11,'Budget-Yixing'!S:S)</f>
        <v>0</v>
      </c>
      <c r="T11" s="676">
        <f>SUMIF('Budget-ACPL'!$B:$B,$B11,'Budget-ACPL'!T:T)+SUMIF('Budget-ACPLHK'!$B:$B,$B11,'Budget-ACPLHK'!T:T)+SUMIF('Budget-ACPSZL'!$B:$B,$B11,'Budget-ACPSZL'!T:T)+SUMIF('Budget-ACPLSZ'!$B:$B,$B11,'Budget-ACPLSZ'!T:T)+SUMIF('Budget-ACPLGZ'!$B:$B,$B11,'Budget-ACPLGZ'!T:T)+SUMIF('Budget-Yixing'!$B:$B,$B11,'Budget-Yixing'!T:T)</f>
        <v>3580880.6579123605</v>
      </c>
      <c r="U11" s="676">
        <f>SUMIF('Budget-ACPL'!$B:$B,$B11,'Budget-ACPL'!U:U)+SUMIF('Budget-ACPLHK'!$B:$B,$B11,'Budget-ACPLHK'!U:U)+SUMIF('Budget-ACPSZL'!$B:$B,$B11,'Budget-ACPSZL'!U:U)+SUMIF('Budget-ACPLSZ'!$B:$B,$B11,'Budget-ACPLSZ'!U:U)+SUMIF('Budget-ACPLGZ'!$B:$B,$B11,'Budget-ACPLGZ'!U:U)+SUMIF('Budget-Yixing'!$B:$B,$B11,'Budget-Yixing'!U:U)</f>
        <v>0</v>
      </c>
      <c r="V11" s="676">
        <f>SUMIF('Budget-ACPL'!$B:$B,$B11,'Budget-ACPL'!V:V)+SUMIF('Budget-ACPLHK'!$B:$B,$B11,'Budget-ACPLHK'!V:V)+SUMIF('Budget-ACPSZL'!$B:$B,$B11,'Budget-ACPSZL'!V:V)+SUMIF('Budget-ACPLSZ'!$B:$B,$B11,'Budget-ACPLSZ'!V:V)+SUMIF('Budget-ACPLGZ'!$B:$B,$B11,'Budget-ACPLGZ'!V:V)+SUMIF('Budget-Yixing'!$B:$B,$B11,'Budget-Yixing'!V:V)</f>
        <v>0</v>
      </c>
      <c r="W11" s="676">
        <f t="shared" si="6"/>
        <v>8299608.8957347693</v>
      </c>
      <c r="Y11" s="688"/>
      <c r="Z11" s="688"/>
      <c r="AA11" s="688"/>
      <c r="AB11" s="688"/>
      <c r="AC11" s="688"/>
      <c r="AD11" s="688"/>
      <c r="AE11" s="688"/>
      <c r="AF11" s="688"/>
      <c r="AG11" s="688"/>
      <c r="AH11" s="688"/>
      <c r="AI11" s="688"/>
      <c r="AJ11" s="688"/>
      <c r="AK11" s="688">
        <f t="shared" si="2"/>
        <v>0</v>
      </c>
    </row>
    <row r="12" spans="1:37" s="680" customFormat="1" ht="13.5" customHeight="1">
      <c r="A12" s="713"/>
      <c r="B12" s="649" t="s">
        <v>2087</v>
      </c>
      <c r="C12" s="687"/>
      <c r="D12" s="674">
        <f t="shared" ca="1" si="7"/>
        <v>8333.3333333333339</v>
      </c>
      <c r="E12" s="674" t="e">
        <f t="shared" si="0"/>
        <v>#N/A</v>
      </c>
      <c r="F12" s="674" t="e">
        <f t="shared" ca="1" si="3"/>
        <v>#N/A</v>
      </c>
      <c r="G12" s="674">
        <f t="shared" ca="1" si="4"/>
        <v>8333.3333333333339</v>
      </c>
      <c r="H12" s="674" t="e">
        <f t="shared" ca="1" si="1"/>
        <v>#N/A</v>
      </c>
      <c r="I12" s="674" t="e">
        <f t="shared" ca="1" si="5"/>
        <v>#N/A</v>
      </c>
      <c r="J12" s="654"/>
      <c r="K12" s="674">
        <f ca="1">SUM(K8,K9)</f>
        <v>8333.3333333333339</v>
      </c>
      <c r="L12" s="674">
        <f ca="1">SUM(L8,L9)</f>
        <v>8333.3333333333303</v>
      </c>
      <c r="M12" s="674">
        <f t="shared" ref="M12:W12" ca="1" si="8">SUM(M8,M9)</f>
        <v>8333.3333333333303</v>
      </c>
      <c r="N12" s="674">
        <f t="shared" ca="1" si="8"/>
        <v>190478.51218308703</v>
      </c>
      <c r="O12" s="674">
        <f t="shared" ca="1" si="8"/>
        <v>3075059.4374223226</v>
      </c>
      <c r="P12" s="674">
        <f t="shared" ca="1" si="8"/>
        <v>446254.80705217068</v>
      </c>
      <c r="Q12" s="674">
        <f t="shared" ca="1" si="8"/>
        <v>1660335.4670667532</v>
      </c>
      <c r="R12" s="674">
        <f t="shared" ca="1" si="8"/>
        <v>8333.3333333333303</v>
      </c>
      <c r="S12" s="674">
        <f t="shared" ca="1" si="8"/>
        <v>8333.3333333333303</v>
      </c>
      <c r="T12" s="674">
        <f t="shared" ca="1" si="8"/>
        <v>3589213.991245694</v>
      </c>
      <c r="U12" s="674">
        <f t="shared" ca="1" si="8"/>
        <v>8333.3333333333303</v>
      </c>
      <c r="V12" s="674">
        <f t="shared" ca="1" si="8"/>
        <v>255049.65655521359</v>
      </c>
      <c r="W12" s="674">
        <f t="shared" ca="1" si="8"/>
        <v>9266391.8715252411</v>
      </c>
      <c r="Y12" s="654">
        <f t="shared" ref="Y12:AK12" ca="1" si="9">SUM(Y8,Y9)</f>
        <v>720619.93</v>
      </c>
      <c r="Z12" s="654">
        <f t="shared" ca="1" si="9"/>
        <v>720619.93</v>
      </c>
      <c r="AA12" s="654">
        <f t="shared" ca="1" si="9"/>
        <v>912677.89</v>
      </c>
      <c r="AB12" s="654">
        <f t="shared" ca="1" si="9"/>
        <v>877559.6</v>
      </c>
      <c r="AC12" s="654">
        <f t="shared" ca="1" si="9"/>
        <v>867968.26</v>
      </c>
      <c r="AD12" s="654">
        <f t="shared" ca="1" si="9"/>
        <v>150425</v>
      </c>
      <c r="AE12" s="654">
        <f t="shared" ca="1" si="9"/>
        <v>149978.13</v>
      </c>
      <c r="AF12" s="654">
        <f t="shared" ca="1" si="9"/>
        <v>150301.25</v>
      </c>
      <c r="AG12" s="654">
        <f t="shared" ca="1" si="9"/>
        <v>150266.88</v>
      </c>
      <c r="AH12" s="654">
        <f t="shared" ca="1" si="9"/>
        <v>-1398219.76</v>
      </c>
      <c r="AI12" s="654">
        <f t="shared" ca="1" si="9"/>
        <v>0</v>
      </c>
      <c r="AJ12" s="654">
        <f t="shared" ca="1" si="9"/>
        <v>5210.6499999999996</v>
      </c>
      <c r="AK12" s="654">
        <f t="shared" ca="1" si="9"/>
        <v>3307407.7600000002</v>
      </c>
    </row>
    <row r="13" spans="1:37" ht="13.5" customHeight="1">
      <c r="A13" s="713"/>
      <c r="K13" s="654"/>
      <c r="L13" s="654"/>
      <c r="M13" s="654"/>
      <c r="N13" s="654"/>
      <c r="O13" s="654"/>
      <c r="P13" s="654"/>
      <c r="Q13" s="654"/>
      <c r="R13" s="654"/>
      <c r="S13" s="654"/>
      <c r="T13" s="654"/>
      <c r="U13" s="654"/>
      <c r="V13" s="654"/>
      <c r="W13" s="654"/>
    </row>
    <row r="14" spans="1:37" ht="13.5" hidden="1" customHeight="1">
      <c r="A14" s="713" t="s">
        <v>1400</v>
      </c>
      <c r="B14" s="687" t="str">
        <f>VLOOKUP(A14,Account!A:B,2,0)</f>
        <v>印花税</v>
      </c>
      <c r="C14" s="687" t="str">
        <f>VLOOKUP(A14,Account!A:F,4,0)</f>
        <v>Stamp Duty</v>
      </c>
      <c r="D14" s="676">
        <f t="shared" ca="1" si="7"/>
        <v>0</v>
      </c>
      <c r="E14" s="676" t="e">
        <f t="shared" ref="E14:E18" si="10">INDEX($Y14:$AJ14,1,MATCH(E$6,$Y$6:$AJ$6))</f>
        <v>#N/A</v>
      </c>
      <c r="F14" s="676" t="e">
        <f t="shared" ca="1" si="3"/>
        <v>#N/A</v>
      </c>
      <c r="G14" s="676">
        <f t="shared" ca="1" si="4"/>
        <v>0</v>
      </c>
      <c r="H14" s="676" t="e">
        <f t="shared" ref="H14:H19" ca="1" si="11">SUM($Y14:OFFSET($Y14,0,MATCH(H$6,$Y$6:$AJ$6)-1))</f>
        <v>#N/A</v>
      </c>
      <c r="I14" s="676" t="e">
        <f t="shared" ca="1" si="5"/>
        <v>#N/A</v>
      </c>
      <c r="K14" s="676">
        <f ca="1">SUMIF('Budget-ACPL'!$A:$A,$A14,'Budget-ACPL'!K:K)+SUMIF('Budget-ACPLHK'!$A:$A,$A14,'Budget-ACPLHK'!K:K)+SUMIF('Budget-ACPSZL'!$A:$A,$A14,'Budget-ACPSZL'!K:K)+SUMIF('Budget-ACPLSZ'!$A:$A,$A14,'Budget-ACPLSZ'!K:K)+SUMIF('Budget-ACPLGZ'!$A:$A,$A14,'Budget-ACPLGZ'!K:K)+SUMIF('Budget-Yixing'!$A:$A,$A14,'Budget-Yixing'!K:K)</f>
        <v>0</v>
      </c>
      <c r="L14" s="676">
        <f ca="1">SUMIF('Budget-ACPL'!$A:$A,$A14,'Budget-ACPL'!L:L)+SUMIF('Budget-ACPLHK'!$A:$A,$A14,'Budget-ACPLHK'!L:L)+SUMIF('Budget-ACPSZL'!$A:$A,$A14,'Budget-ACPSZL'!L:L)+SUMIF('Budget-ACPLSZ'!$A:$A,$A14,'Budget-ACPLSZ'!L:L)+SUMIF('Budget-ACPLGZ'!$A:$A,$A14,'Budget-ACPLGZ'!L:L)+SUMIF('Budget-Yixing'!$A:$A,$A14,'Budget-Yixing'!L:L)</f>
        <v>0</v>
      </c>
      <c r="M14" s="676">
        <f ca="1">SUMIF('Budget-ACPL'!$A:$A,$A14,'Budget-ACPL'!M:M)+SUMIF('Budget-ACPLHK'!$A:$A,$A14,'Budget-ACPLHK'!M:M)+SUMIF('Budget-ACPSZL'!$A:$A,$A14,'Budget-ACPSZL'!M:M)+SUMIF('Budget-ACPLSZ'!$A:$A,$A14,'Budget-ACPLSZ'!M:M)+SUMIF('Budget-ACPLGZ'!$A:$A,$A14,'Budget-ACPLGZ'!M:M)+SUMIF('Budget-Yixing'!$A:$A,$A14,'Budget-Yixing'!M:M)</f>
        <v>0</v>
      </c>
      <c r="N14" s="676">
        <f ca="1">SUMIF('Budget-ACPL'!$A:$A,$A14,'Budget-ACPL'!N:N)+SUMIF('Budget-ACPLHK'!$A:$A,$A14,'Budget-ACPLHK'!N:N)+SUMIF('Budget-ACPSZL'!$A:$A,$A14,'Budget-ACPSZL'!N:N)+SUMIF('Budget-ACPLSZ'!$A:$A,$A14,'Budget-ACPLSZ'!N:N)+SUMIF('Budget-ACPLGZ'!$A:$A,$A14,'Budget-ACPLGZ'!N:N)+SUMIF('Budget-Yixing'!$A:$A,$A14,'Budget-Yixing'!N:N)</f>
        <v>0</v>
      </c>
      <c r="O14" s="676">
        <f ca="1">SUMIF('Budget-ACPL'!$A:$A,$A14,'Budget-ACPL'!O:O)+SUMIF('Budget-ACPLHK'!$A:$A,$A14,'Budget-ACPLHK'!O:O)+SUMIF('Budget-ACPSZL'!$A:$A,$A14,'Budget-ACPSZL'!O:O)+SUMIF('Budget-ACPLSZ'!$A:$A,$A14,'Budget-ACPLSZ'!O:O)+SUMIF('Budget-ACPLGZ'!$A:$A,$A14,'Budget-ACPLGZ'!O:O)+SUMIF('Budget-Yixing'!$A:$A,$A14,'Budget-Yixing'!O:O)</f>
        <v>0</v>
      </c>
      <c r="P14" s="676">
        <f ca="1">SUMIF('Budget-ACPL'!$A:$A,$A14,'Budget-ACPL'!P:P)+SUMIF('Budget-ACPLHK'!$A:$A,$A14,'Budget-ACPLHK'!P:P)+SUMIF('Budget-ACPSZL'!$A:$A,$A14,'Budget-ACPSZL'!P:P)+SUMIF('Budget-ACPLSZ'!$A:$A,$A14,'Budget-ACPLSZ'!P:P)+SUMIF('Budget-ACPLGZ'!$A:$A,$A14,'Budget-ACPLGZ'!P:P)+SUMIF('Budget-Yixing'!$A:$A,$A14,'Budget-Yixing'!P:P)</f>
        <v>0</v>
      </c>
      <c r="Q14" s="676">
        <f ca="1">SUMIF('Budget-ACPL'!$A:$A,$A14,'Budget-ACPL'!Q:Q)+SUMIF('Budget-ACPLHK'!$A:$A,$A14,'Budget-ACPLHK'!Q:Q)+SUMIF('Budget-ACPSZL'!$A:$A,$A14,'Budget-ACPSZL'!Q:Q)+SUMIF('Budget-ACPLSZ'!$A:$A,$A14,'Budget-ACPLSZ'!Q:Q)+SUMIF('Budget-ACPLGZ'!$A:$A,$A14,'Budget-ACPLGZ'!Q:Q)+SUMIF('Budget-Yixing'!$A:$A,$A14,'Budget-Yixing'!Q:Q)</f>
        <v>0</v>
      </c>
      <c r="R14" s="676">
        <f ca="1">SUMIF('Budget-ACPL'!$A:$A,$A14,'Budget-ACPL'!R:R)+SUMIF('Budget-ACPLHK'!$A:$A,$A14,'Budget-ACPLHK'!R:R)+SUMIF('Budget-ACPSZL'!$A:$A,$A14,'Budget-ACPSZL'!R:R)+SUMIF('Budget-ACPLSZ'!$A:$A,$A14,'Budget-ACPLSZ'!R:R)+SUMIF('Budget-ACPLGZ'!$A:$A,$A14,'Budget-ACPLGZ'!R:R)+SUMIF('Budget-Yixing'!$A:$A,$A14,'Budget-Yixing'!R:R)</f>
        <v>0</v>
      </c>
      <c r="S14" s="676">
        <f ca="1">SUMIF('Budget-ACPL'!$A:$A,$A14,'Budget-ACPL'!S:S)+SUMIF('Budget-ACPLHK'!$A:$A,$A14,'Budget-ACPLHK'!S:S)+SUMIF('Budget-ACPSZL'!$A:$A,$A14,'Budget-ACPSZL'!S:S)+SUMIF('Budget-ACPLSZ'!$A:$A,$A14,'Budget-ACPLSZ'!S:S)+SUMIF('Budget-ACPLGZ'!$A:$A,$A14,'Budget-ACPLGZ'!S:S)+SUMIF('Budget-Yixing'!$A:$A,$A14,'Budget-Yixing'!S:S)</f>
        <v>0</v>
      </c>
      <c r="T14" s="676">
        <f ca="1">SUMIF('Budget-ACPL'!$A:$A,$A14,'Budget-ACPL'!T:T)+SUMIF('Budget-ACPLHK'!$A:$A,$A14,'Budget-ACPLHK'!T:T)+SUMIF('Budget-ACPSZL'!$A:$A,$A14,'Budget-ACPSZL'!T:T)+SUMIF('Budget-ACPLSZ'!$A:$A,$A14,'Budget-ACPLSZ'!T:T)+SUMIF('Budget-ACPLGZ'!$A:$A,$A14,'Budget-ACPLGZ'!T:T)+SUMIF('Budget-Yixing'!$A:$A,$A14,'Budget-Yixing'!T:T)</f>
        <v>0</v>
      </c>
      <c r="U14" s="676">
        <f ca="1">SUMIF('Budget-ACPL'!$A:$A,$A14,'Budget-ACPL'!U:U)+SUMIF('Budget-ACPLHK'!$A:$A,$A14,'Budget-ACPLHK'!U:U)+SUMIF('Budget-ACPSZL'!$A:$A,$A14,'Budget-ACPSZL'!U:U)+SUMIF('Budget-ACPLSZ'!$A:$A,$A14,'Budget-ACPLSZ'!U:U)+SUMIF('Budget-ACPLGZ'!$A:$A,$A14,'Budget-ACPLGZ'!U:U)+SUMIF('Budget-Yixing'!$A:$A,$A14,'Budget-Yixing'!U:U)</f>
        <v>0</v>
      </c>
      <c r="V14" s="676">
        <f ca="1">SUMIF('Budget-ACPL'!$A:$A,$A14,'Budget-ACPL'!V:V)+SUMIF('Budget-ACPLHK'!$A:$A,$A14,'Budget-ACPLHK'!V:V)+SUMIF('Budget-ACPSZL'!$A:$A,$A14,'Budget-ACPSZL'!V:V)+SUMIF('Budget-ACPLSZ'!$A:$A,$A14,'Budget-ACPLSZ'!V:V)+SUMIF('Budget-ACPLGZ'!$A:$A,$A14,'Budget-ACPLGZ'!V:V)+SUMIF('Budget-Yixing'!$A:$A,$A14,'Budget-Yixing'!V:V)</f>
        <v>0</v>
      </c>
      <c r="W14" s="676">
        <f t="shared" ca="1" si="6"/>
        <v>0</v>
      </c>
      <c r="Y14" s="688">
        <f ca="1">SUMIF('Budget-ACPL'!$A:$A,$A14,'Budget-ACPL'!Y:Y)+SUMIF('Budget-ACPLHK'!$A:$A,$A14,'Budget-ACPLHK'!Y:Y)+SUMIF('Budget-ACPSZL'!$A:$A,$A14,'Budget-ACPSZL'!Y:Y)+SUMIF('Budget-ACPLSZ'!$A:$A,$A14,'Budget-ACPLSZ'!Y:Y)+SUMIF('Budget-ACPLGZ'!$A:$A,$A14,'Budget-ACPLGZ'!Y:Y)+SUMIF('Budget-Yixing'!$A:$A,$A14,'Budget-Yixing'!Y:Y)</f>
        <v>0</v>
      </c>
      <c r="Z14" s="688">
        <f ca="1">SUMIF('Budget-ACPL'!$A:$A,$A14,'Budget-ACPL'!Z:Z)+SUMIF('Budget-ACPLHK'!$A:$A,$A14,'Budget-ACPLHK'!Z:Z)+SUMIF('Budget-ACPSZL'!$A:$A,$A14,'Budget-ACPSZL'!Z:Z)+SUMIF('Budget-ACPLSZ'!$A:$A,$A14,'Budget-ACPLSZ'!Z:Z)+SUMIF('Budget-ACPLGZ'!$A:$A,$A14,'Budget-ACPLGZ'!Z:Z)+SUMIF('Budget-Yixing'!$A:$A,$A14,'Budget-Yixing'!Z:Z)</f>
        <v>0</v>
      </c>
      <c r="AA14" s="688">
        <f ca="1">SUMIF('Budget-ACPL'!$A:$A,$A14,'Budget-ACPL'!AA:AA)+SUMIF('Budget-ACPLHK'!$A:$A,$A14,'Budget-ACPLHK'!AA:AA)+SUMIF('Budget-ACPSZL'!$A:$A,$A14,'Budget-ACPSZL'!AA:AA)+SUMIF('Budget-ACPLSZ'!$A:$A,$A14,'Budget-ACPLSZ'!AA:AA)+SUMIF('Budget-ACPLGZ'!$A:$A,$A14,'Budget-ACPLGZ'!AA:AA)+SUMIF('Budget-Yixing'!$A:$A,$A14,'Budget-Yixing'!AA:AA)</f>
        <v>0</v>
      </c>
      <c r="AB14" s="688">
        <f ca="1">SUMIF('Budget-ACPL'!$A:$A,$A14,'Budget-ACPL'!AB:AB)+SUMIF('Budget-ACPLHK'!$A:$A,$A14,'Budget-ACPLHK'!AB:AB)+SUMIF('Budget-ACPSZL'!$A:$A,$A14,'Budget-ACPSZL'!AB:AB)+SUMIF('Budget-ACPLSZ'!$A:$A,$A14,'Budget-ACPLSZ'!AB:AB)+SUMIF('Budget-ACPLGZ'!$A:$A,$A14,'Budget-ACPLGZ'!AB:AB)+SUMIF('Budget-Yixing'!$A:$A,$A14,'Budget-Yixing'!AB:AB)</f>
        <v>2.5</v>
      </c>
      <c r="AC14" s="688">
        <f ca="1">SUMIF('Budget-ACPL'!$A:$A,$A14,'Budget-ACPL'!AC:AC)+SUMIF('Budget-ACPLHK'!$A:$A,$A14,'Budget-ACPLHK'!AC:AC)+SUMIF('Budget-ACPSZL'!$A:$A,$A14,'Budget-ACPSZL'!AC:AC)+SUMIF('Budget-ACPLSZ'!$A:$A,$A14,'Budget-ACPLSZ'!AC:AC)+SUMIF('Budget-ACPLGZ'!$A:$A,$A14,'Budget-ACPLGZ'!AC:AC)+SUMIF('Budget-Yixing'!$A:$A,$A14,'Budget-Yixing'!AC:AC)</f>
        <v>0</v>
      </c>
      <c r="AD14" s="688">
        <f ca="1">SUMIF('Budget-ACPL'!$A:$A,$A14,'Budget-ACPL'!AD:AD)+SUMIF('Budget-ACPLHK'!$A:$A,$A14,'Budget-ACPLHK'!AD:AD)+SUMIF('Budget-ACPSZL'!$A:$A,$A14,'Budget-ACPSZL'!AD:AD)+SUMIF('Budget-ACPLSZ'!$A:$A,$A14,'Budget-ACPLSZ'!AD:AD)+SUMIF('Budget-ACPLGZ'!$A:$A,$A14,'Budget-ACPLGZ'!AD:AD)+SUMIF('Budget-Yixing'!$A:$A,$A14,'Budget-Yixing'!AD:AD)</f>
        <v>0</v>
      </c>
      <c r="AE14" s="688">
        <f ca="1">SUMIF('Budget-ACPL'!$A:$A,$A14,'Budget-ACPL'!AE:AE)+SUMIF('Budget-ACPLHK'!$A:$A,$A14,'Budget-ACPLHK'!AE:AE)+SUMIF('Budget-ACPSZL'!$A:$A,$A14,'Budget-ACPSZL'!AE:AE)+SUMIF('Budget-ACPLSZ'!$A:$A,$A14,'Budget-ACPLSZ'!AE:AE)+SUMIF('Budget-ACPLGZ'!$A:$A,$A14,'Budget-ACPLGZ'!AE:AE)+SUMIF('Budget-Yixing'!$A:$A,$A14,'Budget-Yixing'!AE:AE)</f>
        <v>0</v>
      </c>
      <c r="AF14" s="688">
        <f ca="1">SUMIF('Budget-ACPL'!$A:$A,$A14,'Budget-ACPL'!AF:AF)+SUMIF('Budget-ACPLHK'!$A:$A,$A14,'Budget-ACPLHK'!AF:AF)+SUMIF('Budget-ACPSZL'!$A:$A,$A14,'Budget-ACPSZL'!AF:AF)+SUMIF('Budget-ACPLSZ'!$A:$A,$A14,'Budget-ACPLSZ'!AF:AF)+SUMIF('Budget-ACPLGZ'!$A:$A,$A14,'Budget-ACPLGZ'!AF:AF)+SUMIF('Budget-Yixing'!$A:$A,$A14,'Budget-Yixing'!AF:AF)</f>
        <v>0</v>
      </c>
      <c r="AG14" s="688">
        <f ca="1">SUMIF('Budget-ACPL'!$A:$A,$A14,'Budget-ACPL'!AG:AG)+SUMIF('Budget-ACPLHK'!$A:$A,$A14,'Budget-ACPLHK'!AG:AG)+SUMIF('Budget-ACPSZL'!$A:$A,$A14,'Budget-ACPSZL'!AG:AG)+SUMIF('Budget-ACPLSZ'!$A:$A,$A14,'Budget-ACPLSZ'!AG:AG)+SUMIF('Budget-ACPLGZ'!$A:$A,$A14,'Budget-ACPLGZ'!AG:AG)+SUMIF('Budget-Yixing'!$A:$A,$A14,'Budget-Yixing'!AG:AG)</f>
        <v>0</v>
      </c>
      <c r="AH14" s="688">
        <f ca="1">SUMIF('Budget-ACPL'!$A:$A,$A14,'Budget-ACPL'!AH:AH)+SUMIF('Budget-ACPLHK'!$A:$A,$A14,'Budget-ACPLHK'!AH:AH)+SUMIF('Budget-ACPSZL'!$A:$A,$A14,'Budget-ACPSZL'!AH:AH)+SUMIF('Budget-ACPLSZ'!$A:$A,$A14,'Budget-ACPLSZ'!AH:AH)+SUMIF('Budget-ACPLGZ'!$A:$A,$A14,'Budget-ACPLGZ'!AH:AH)+SUMIF('Budget-Yixing'!$A:$A,$A14,'Budget-Yixing'!AH:AH)</f>
        <v>0</v>
      </c>
      <c r="AI14" s="688">
        <f ca="1">SUMIF('Budget-ACPL'!$A:$A,$A14,'Budget-ACPL'!AI:AI)+SUMIF('Budget-ACPLHK'!$A:$A,$A14,'Budget-ACPLHK'!AI:AI)+SUMIF('Budget-ACPSZL'!$A:$A,$A14,'Budget-ACPSZL'!AI:AI)+SUMIF('Budget-ACPLSZ'!$A:$A,$A14,'Budget-ACPLSZ'!AI:AI)+SUMIF('Budget-ACPLGZ'!$A:$A,$A14,'Budget-ACPLGZ'!AI:AI)+SUMIF('Budget-Yixing'!$A:$A,$A14,'Budget-Yixing'!AI:AI)</f>
        <v>0</v>
      </c>
      <c r="AJ14" s="688">
        <f ca="1">SUMIF('Budget-ACPL'!$A:$A,$A14,'Budget-ACPL'!AJ:AJ)+SUMIF('Budget-ACPLHK'!$A:$A,$A14,'Budget-ACPLHK'!AJ:AJ)+SUMIF('Budget-ACPSZL'!$A:$A,$A14,'Budget-ACPSZL'!AJ:AJ)+SUMIF('Budget-ACPLSZ'!$A:$A,$A14,'Budget-ACPLSZ'!AJ:AJ)+SUMIF('Budget-ACPLGZ'!$A:$A,$A14,'Budget-ACPLGZ'!AJ:AJ)+SUMIF('Budget-Yixing'!$A:$A,$A14,'Budget-Yixing'!AJ:AJ)</f>
        <v>0</v>
      </c>
      <c r="AK14" s="688">
        <f t="shared" ref="AK14:AK18" ca="1" si="12">SUM(Y14:AJ14)</f>
        <v>2.5</v>
      </c>
    </row>
    <row r="15" spans="1:37" ht="13.5" customHeight="1">
      <c r="A15" s="713" t="s">
        <v>1404</v>
      </c>
      <c r="B15" s="687" t="str">
        <f>VLOOKUP(A15,Account!A:B,2,0)</f>
        <v>城市维护建设税</v>
      </c>
      <c r="C15" s="687" t="str">
        <f>VLOOKUP(A15,Account!A:F,4,0)</f>
        <v>VAT surcharge</v>
      </c>
      <c r="D15" s="676">
        <f t="shared" ca="1" si="7"/>
        <v>0</v>
      </c>
      <c r="E15" s="676" t="e">
        <f t="shared" si="10"/>
        <v>#N/A</v>
      </c>
      <c r="F15" s="676" t="e">
        <f t="shared" ca="1" si="3"/>
        <v>#N/A</v>
      </c>
      <c r="G15" s="676">
        <f t="shared" ca="1" si="4"/>
        <v>0</v>
      </c>
      <c r="H15" s="676" t="e">
        <f t="shared" ca="1" si="11"/>
        <v>#N/A</v>
      </c>
      <c r="I15" s="676" t="e">
        <f t="shared" ca="1" si="5"/>
        <v>#N/A</v>
      </c>
      <c r="K15" s="676">
        <f ca="1">SUMIF('Budget-ACPL'!$A:$A,$A15,'Budget-ACPL'!K:K)+SUMIF('Budget-ACPLHK'!$A:$A,$A15,'Budget-ACPLHK'!K:K)+SUMIF('Budget-ACPSZL'!$A:$A,$A15,'Budget-ACPSZL'!K:K)+SUMIF('Budget-ACPLSZ'!$A:$A,$A15,'Budget-ACPLSZ'!K:K)+SUMIF('Budget-ACPLGZ'!$A:$A,$A15,'Budget-ACPLGZ'!K:K)+SUMIF('Budget-Yixing'!$A:$A,$A15,'Budget-Yixing'!K:K)</f>
        <v>0</v>
      </c>
      <c r="L15" s="676">
        <f ca="1">SUMIF('Budget-ACPL'!$A:$A,$A15,'Budget-ACPL'!L:L)+SUMIF('Budget-ACPLHK'!$A:$A,$A15,'Budget-ACPLHK'!L:L)+SUMIF('Budget-ACPSZL'!$A:$A,$A15,'Budget-ACPSZL'!L:L)+SUMIF('Budget-ACPLSZ'!$A:$A,$A15,'Budget-ACPLSZ'!L:L)+SUMIF('Budget-ACPLGZ'!$A:$A,$A15,'Budget-ACPLGZ'!L:L)+SUMIF('Budget-Yixing'!$A:$A,$A15,'Budget-Yixing'!L:L)</f>
        <v>0</v>
      </c>
      <c r="M15" s="676">
        <f ca="1">SUMIF('Budget-ACPL'!$A:$A,$A15,'Budget-ACPL'!M:M)+SUMIF('Budget-ACPLHK'!$A:$A,$A15,'Budget-ACPLHK'!M:M)+SUMIF('Budget-ACPSZL'!$A:$A,$A15,'Budget-ACPSZL'!M:M)+SUMIF('Budget-ACPLSZ'!$A:$A,$A15,'Budget-ACPLSZ'!M:M)+SUMIF('Budget-ACPLGZ'!$A:$A,$A15,'Budget-ACPLGZ'!M:M)+SUMIF('Budget-Yixing'!$A:$A,$A15,'Budget-Yixing'!M:M)</f>
        <v>0</v>
      </c>
      <c r="N15" s="676">
        <f ca="1">SUMIF('Budget-ACPL'!$A:$A,$A15,'Budget-ACPL'!N:N)+SUMIF('Budget-ACPLHK'!$A:$A,$A15,'Budget-ACPLHK'!N:N)+SUMIF('Budget-ACPSZL'!$A:$A,$A15,'Budget-ACPSZL'!N:N)+SUMIF('Budget-ACPLSZ'!$A:$A,$A15,'Budget-ACPLSZ'!N:N)+SUMIF('Budget-ACPLGZ'!$A:$A,$A15,'Budget-ACPLGZ'!N:N)+SUMIF('Budget-Yixing'!$A:$A,$A15,'Budget-Yixing'!N:N)</f>
        <v>765.01</v>
      </c>
      <c r="O15" s="676">
        <f ca="1">SUMIF('Budget-ACPL'!$A:$A,$A15,'Budget-ACPL'!O:O)+SUMIF('Budget-ACPLHK'!$A:$A,$A15,'Budget-ACPLHK'!O:O)+SUMIF('Budget-ACPSZL'!$A:$A,$A15,'Budget-ACPSZL'!O:O)+SUMIF('Budget-ACPLSZ'!$A:$A,$A15,'Budget-ACPLSZ'!O:O)+SUMIF('Budget-ACPLGZ'!$A:$A,$A15,'Budget-ACPLGZ'!O:O)+SUMIF('Budget-Yixing'!$A:$A,$A15,'Budget-Yixing'!O:O)</f>
        <v>11884.35</v>
      </c>
      <c r="P15" s="676">
        <f ca="1">SUMIF('Budget-ACPL'!$A:$A,$A15,'Budget-ACPL'!P:P)+SUMIF('Budget-ACPLHK'!$A:$A,$A15,'Budget-ACPLHK'!P:P)+SUMIF('Budget-ACPSZL'!$A:$A,$A15,'Budget-ACPSZL'!P:P)+SUMIF('Budget-ACPLSZ'!$A:$A,$A15,'Budget-ACPLSZ'!P:P)+SUMIF('Budget-ACPLGZ'!$A:$A,$A15,'Budget-ACPLGZ'!P:P)+SUMIF('Budget-Yixing'!$A:$A,$A15,'Budget-Yixing'!P:P)</f>
        <v>1839.27</v>
      </c>
      <c r="Q15" s="676">
        <f ca="1">SUMIF('Budget-ACPL'!$A:$A,$A15,'Budget-ACPL'!Q:Q)+SUMIF('Budget-ACPLHK'!$A:$A,$A15,'Budget-ACPLHK'!Q:Q)+SUMIF('Budget-ACPSZL'!$A:$A,$A15,'Budget-ACPSZL'!Q:Q)+SUMIF('Budget-ACPLSZ'!$A:$A,$A15,'Budget-ACPLSZ'!Q:Q)+SUMIF('Budget-ACPLGZ'!$A:$A,$A15,'Budget-ACPLGZ'!Q:Q)+SUMIF('Budget-Yixing'!$A:$A,$A15,'Budget-Yixing'!Q:Q)</f>
        <v>5269.68</v>
      </c>
      <c r="R15" s="676">
        <f ca="1">SUMIF('Budget-ACPL'!$A:$A,$A15,'Budget-ACPL'!R:R)+SUMIF('Budget-ACPLHK'!$A:$A,$A15,'Budget-ACPLHK'!R:R)+SUMIF('Budget-ACPSZL'!$A:$A,$A15,'Budget-ACPSZL'!R:R)+SUMIF('Budget-ACPLSZ'!$A:$A,$A15,'Budget-ACPLSZ'!R:R)+SUMIF('Budget-ACPLGZ'!$A:$A,$A15,'Budget-ACPLGZ'!R:R)+SUMIF('Budget-Yixing'!$A:$A,$A15,'Budget-Yixing'!R:R)</f>
        <v>0</v>
      </c>
      <c r="S15" s="676">
        <f ca="1">SUMIF('Budget-ACPL'!$A:$A,$A15,'Budget-ACPL'!S:S)+SUMIF('Budget-ACPLHK'!$A:$A,$A15,'Budget-ACPLHK'!S:S)+SUMIF('Budget-ACPSZL'!$A:$A,$A15,'Budget-ACPSZL'!S:S)+SUMIF('Budget-ACPLSZ'!$A:$A,$A15,'Budget-ACPLSZ'!S:S)+SUMIF('Budget-ACPLGZ'!$A:$A,$A15,'Budget-ACPLGZ'!S:S)+SUMIF('Budget-Yixing'!$A:$A,$A15,'Budget-Yixing'!S:S)</f>
        <v>0</v>
      </c>
      <c r="T15" s="676">
        <f ca="1">SUMIF('Budget-ACPL'!$A:$A,$A15,'Budget-ACPL'!T:T)+SUMIF('Budget-ACPLHK'!$A:$A,$A15,'Budget-ACPLHK'!T:T)+SUMIF('Budget-ACPSZL'!$A:$A,$A15,'Budget-ACPSZL'!T:T)+SUMIF('Budget-ACPLSZ'!$A:$A,$A15,'Budget-ACPLSZ'!T:T)+SUMIF('Budget-ACPLGZ'!$A:$A,$A15,'Budget-ACPLGZ'!T:T)+SUMIF('Budget-Yixing'!$A:$A,$A15,'Budget-Yixing'!T:T)</f>
        <v>11422.56</v>
      </c>
      <c r="U15" s="676">
        <f ca="1">SUMIF('Budget-ACPL'!$A:$A,$A15,'Budget-ACPL'!U:U)+SUMIF('Budget-ACPLHK'!$A:$A,$A15,'Budget-ACPLHK'!U:U)+SUMIF('Budget-ACPSZL'!$A:$A,$A15,'Budget-ACPSZL'!U:U)+SUMIF('Budget-ACPLSZ'!$A:$A,$A15,'Budget-ACPLSZ'!U:U)+SUMIF('Budget-ACPLGZ'!$A:$A,$A15,'Budget-ACPLGZ'!U:U)+SUMIF('Budget-Yixing'!$A:$A,$A15,'Budget-Yixing'!U:U)</f>
        <v>0</v>
      </c>
      <c r="V15" s="676">
        <f ca="1">SUMIF('Budget-ACPL'!$A:$A,$A15,'Budget-ACPL'!V:V)+SUMIF('Budget-ACPLHK'!$A:$A,$A15,'Budget-ACPLHK'!V:V)+SUMIF('Budget-ACPSZL'!$A:$A,$A15,'Budget-ACPSZL'!V:V)+SUMIF('Budget-ACPLSZ'!$A:$A,$A15,'Budget-ACPLSZ'!V:V)+SUMIF('Budget-ACPLGZ'!$A:$A,$A15,'Budget-ACPLGZ'!V:V)+SUMIF('Budget-Yixing'!$A:$A,$A15,'Budget-Yixing'!V:V)</f>
        <v>1036.21</v>
      </c>
      <c r="W15" s="676">
        <f t="shared" ca="1" si="6"/>
        <v>32217.08</v>
      </c>
      <c r="Y15" s="688">
        <f ca="1">SUMIF('Budget-ACPL'!$A:$A,$A15,'Budget-ACPL'!Y:Y)+SUMIF('Budget-ACPLHK'!$A:$A,$A15,'Budget-ACPLHK'!Y:Y)+SUMIF('Budget-ACPSZL'!$A:$A,$A15,'Budget-ACPSZL'!Y:Y)+SUMIF('Budget-ACPLSZ'!$A:$A,$A15,'Budget-ACPLSZ'!Y:Y)+SUMIF('Budget-ACPLGZ'!$A:$A,$A15,'Budget-ACPLGZ'!Y:Y)+SUMIF('Budget-Yixing'!$A:$A,$A15,'Budget-Yixing'!Y:Y)</f>
        <v>1463.19</v>
      </c>
      <c r="Z15" s="688">
        <f ca="1">SUMIF('Budget-ACPL'!$A:$A,$A15,'Budget-ACPL'!Z:Z)+SUMIF('Budget-ACPLHK'!$A:$A,$A15,'Budget-ACPLHK'!Z:Z)+SUMIF('Budget-ACPSZL'!$A:$A,$A15,'Budget-ACPSZL'!Z:Z)+SUMIF('Budget-ACPLSZ'!$A:$A,$A15,'Budget-ACPLSZ'!Z:Z)+SUMIF('Budget-ACPLGZ'!$A:$A,$A15,'Budget-ACPLGZ'!Z:Z)+SUMIF('Budget-Yixing'!$A:$A,$A15,'Budget-Yixing'!Z:Z)</f>
        <v>706.89</v>
      </c>
      <c r="AA15" s="688">
        <f ca="1">SUMIF('Budget-ACPL'!$A:$A,$A15,'Budget-ACPL'!AA:AA)+SUMIF('Budget-ACPLHK'!$A:$A,$A15,'Budget-ACPLHK'!AA:AA)+SUMIF('Budget-ACPSZL'!$A:$A,$A15,'Budget-ACPSZL'!AA:AA)+SUMIF('Budget-ACPLSZ'!$A:$A,$A15,'Budget-ACPLSZ'!AA:AA)+SUMIF('Budget-ACPLGZ'!$A:$A,$A15,'Budget-ACPLGZ'!AA:AA)+SUMIF('Budget-Yixing'!$A:$A,$A15,'Budget-Yixing'!AA:AA)</f>
        <v>1552.46</v>
      </c>
      <c r="AB15" s="688">
        <f ca="1">SUMIF('Budget-ACPL'!$A:$A,$A15,'Budget-ACPL'!AB:AB)+SUMIF('Budget-ACPLHK'!$A:$A,$A15,'Budget-ACPLHK'!AB:AB)+SUMIF('Budget-ACPSZL'!$A:$A,$A15,'Budget-ACPSZL'!AB:AB)+SUMIF('Budget-ACPLSZ'!$A:$A,$A15,'Budget-ACPLSZ'!AB:AB)+SUMIF('Budget-ACPLGZ'!$A:$A,$A15,'Budget-ACPLGZ'!AB:AB)+SUMIF('Budget-Yixing'!$A:$A,$A15,'Budget-Yixing'!AB:AB)</f>
        <v>0</v>
      </c>
      <c r="AC15" s="688">
        <f ca="1">SUMIF('Budget-ACPL'!$A:$A,$A15,'Budget-ACPL'!AC:AC)+SUMIF('Budget-ACPLHK'!$A:$A,$A15,'Budget-ACPLHK'!AC:AC)+SUMIF('Budget-ACPSZL'!$A:$A,$A15,'Budget-ACPSZL'!AC:AC)+SUMIF('Budget-ACPLSZ'!$A:$A,$A15,'Budget-ACPLSZ'!AC:AC)+SUMIF('Budget-ACPLGZ'!$A:$A,$A15,'Budget-ACPLGZ'!AC:AC)+SUMIF('Budget-Yixing'!$A:$A,$A15,'Budget-Yixing'!AC:AC)</f>
        <v>1805.39</v>
      </c>
      <c r="AD15" s="688">
        <f ca="1">SUMIF('Budget-ACPL'!$A:$A,$A15,'Budget-ACPL'!AD:AD)+SUMIF('Budget-ACPLHK'!$A:$A,$A15,'Budget-ACPLHK'!AD:AD)+SUMIF('Budget-ACPSZL'!$A:$A,$A15,'Budget-ACPSZL'!AD:AD)+SUMIF('Budget-ACPLSZ'!$A:$A,$A15,'Budget-ACPLSZ'!AD:AD)+SUMIF('Budget-ACPLGZ'!$A:$A,$A15,'Budget-ACPLGZ'!AD:AD)+SUMIF('Budget-Yixing'!$A:$A,$A15,'Budget-Yixing'!AD:AD)</f>
        <v>0</v>
      </c>
      <c r="AE15" s="688">
        <f ca="1">SUMIF('Budget-ACPL'!$A:$A,$A15,'Budget-ACPL'!AE:AE)+SUMIF('Budget-ACPLHK'!$A:$A,$A15,'Budget-ACPLHK'!AE:AE)+SUMIF('Budget-ACPSZL'!$A:$A,$A15,'Budget-ACPSZL'!AE:AE)+SUMIF('Budget-ACPLSZ'!$A:$A,$A15,'Budget-ACPLSZ'!AE:AE)+SUMIF('Budget-ACPLGZ'!$A:$A,$A15,'Budget-ACPLGZ'!AE:AE)+SUMIF('Budget-Yixing'!$A:$A,$A15,'Budget-Yixing'!AE:AE)</f>
        <v>0</v>
      </c>
      <c r="AF15" s="688">
        <f ca="1">SUMIF('Budget-ACPL'!$A:$A,$A15,'Budget-ACPL'!AF:AF)+SUMIF('Budget-ACPLHK'!$A:$A,$A15,'Budget-ACPLHK'!AF:AF)+SUMIF('Budget-ACPSZL'!$A:$A,$A15,'Budget-ACPSZL'!AF:AF)+SUMIF('Budget-ACPLSZ'!$A:$A,$A15,'Budget-ACPLSZ'!AF:AF)+SUMIF('Budget-ACPLGZ'!$A:$A,$A15,'Budget-ACPLGZ'!AF:AF)+SUMIF('Budget-Yixing'!$A:$A,$A15,'Budget-Yixing'!AF:AF)</f>
        <v>0</v>
      </c>
      <c r="AG15" s="688">
        <f ca="1">SUMIF('Budget-ACPL'!$A:$A,$A15,'Budget-ACPL'!AG:AG)+SUMIF('Budget-ACPLHK'!$A:$A,$A15,'Budget-ACPLHK'!AG:AG)+SUMIF('Budget-ACPSZL'!$A:$A,$A15,'Budget-ACPSZL'!AG:AG)+SUMIF('Budget-ACPLSZ'!$A:$A,$A15,'Budget-ACPLSZ'!AG:AG)+SUMIF('Budget-ACPLGZ'!$A:$A,$A15,'Budget-ACPLGZ'!AG:AG)+SUMIF('Budget-Yixing'!$A:$A,$A15,'Budget-Yixing'!AG:AG)</f>
        <v>0</v>
      </c>
      <c r="AH15" s="688">
        <f ca="1">SUMIF('Budget-ACPL'!$A:$A,$A15,'Budget-ACPL'!AH:AH)+SUMIF('Budget-ACPLHK'!$A:$A,$A15,'Budget-ACPLHK'!AH:AH)+SUMIF('Budget-ACPSZL'!$A:$A,$A15,'Budget-ACPSZL'!AH:AH)+SUMIF('Budget-ACPLSZ'!$A:$A,$A15,'Budget-ACPLSZ'!AH:AH)+SUMIF('Budget-ACPLGZ'!$A:$A,$A15,'Budget-ACPLGZ'!AH:AH)+SUMIF('Budget-Yixing'!$A:$A,$A15,'Budget-Yixing'!AH:AH)</f>
        <v>0</v>
      </c>
      <c r="AI15" s="688">
        <f ca="1">SUMIF('Budget-ACPL'!$A:$A,$A15,'Budget-ACPL'!AI:AI)+SUMIF('Budget-ACPLHK'!$A:$A,$A15,'Budget-ACPLHK'!AI:AI)+SUMIF('Budget-ACPSZL'!$A:$A,$A15,'Budget-ACPSZL'!AI:AI)+SUMIF('Budget-ACPLSZ'!$A:$A,$A15,'Budget-ACPLSZ'!AI:AI)+SUMIF('Budget-ACPLGZ'!$A:$A,$A15,'Budget-ACPLGZ'!AI:AI)+SUMIF('Budget-Yixing'!$A:$A,$A15,'Budget-Yixing'!AI:AI)</f>
        <v>0</v>
      </c>
      <c r="AJ15" s="688">
        <f ca="1">SUMIF('Budget-ACPL'!$A:$A,$A15,'Budget-ACPL'!AJ:AJ)+SUMIF('Budget-ACPLHK'!$A:$A,$A15,'Budget-ACPLHK'!AJ:AJ)+SUMIF('Budget-ACPSZL'!$A:$A,$A15,'Budget-ACPSZL'!AJ:AJ)+SUMIF('Budget-ACPLSZ'!$A:$A,$A15,'Budget-ACPLSZ'!AJ:AJ)+SUMIF('Budget-ACPLGZ'!$A:$A,$A15,'Budget-ACPLGZ'!AJ:AJ)+SUMIF('Budget-Yixing'!$A:$A,$A15,'Budget-Yixing'!AJ:AJ)</f>
        <v>0</v>
      </c>
      <c r="AK15" s="688">
        <f t="shared" ca="1" si="12"/>
        <v>5527.93</v>
      </c>
    </row>
    <row r="16" spans="1:37" ht="13.5" customHeight="1">
      <c r="A16" s="713" t="s">
        <v>1409</v>
      </c>
      <c r="B16" s="687" t="str">
        <f>VLOOKUP(A16,Account!A:B,2,0)</f>
        <v>教育费附加</v>
      </c>
      <c r="C16" s="687" t="str">
        <f>VLOOKUP(A16,Account!A:F,4,0)</f>
        <v>VAT surcharge</v>
      </c>
      <c r="D16" s="676">
        <f t="shared" ca="1" si="7"/>
        <v>0</v>
      </c>
      <c r="E16" s="676" t="e">
        <f t="shared" si="10"/>
        <v>#N/A</v>
      </c>
      <c r="F16" s="676" t="e">
        <f t="shared" ca="1" si="3"/>
        <v>#N/A</v>
      </c>
      <c r="G16" s="676">
        <f t="shared" ca="1" si="4"/>
        <v>0</v>
      </c>
      <c r="H16" s="676" t="e">
        <f t="shared" ca="1" si="11"/>
        <v>#N/A</v>
      </c>
      <c r="I16" s="676" t="e">
        <f t="shared" ca="1" si="5"/>
        <v>#N/A</v>
      </c>
      <c r="K16" s="676">
        <f ca="1">SUMIF('Budget-ACPL'!$A:$A,$A16,'Budget-ACPL'!K:K)+SUMIF('Budget-ACPLHK'!$A:$A,$A16,'Budget-ACPLHK'!K:K)+SUMIF('Budget-ACPSZL'!$A:$A,$A16,'Budget-ACPSZL'!K:K)+SUMIF('Budget-ACPLSZ'!$A:$A,$A16,'Budget-ACPLSZ'!K:K)+SUMIF('Budget-ACPLGZ'!$A:$A,$A16,'Budget-ACPLGZ'!K:K)+SUMIF('Budget-Yixing'!$A:$A,$A16,'Budget-Yixing'!K:K)</f>
        <v>0</v>
      </c>
      <c r="L16" s="676">
        <f ca="1">SUMIF('Budget-ACPL'!$A:$A,$A16,'Budget-ACPL'!L:L)+SUMIF('Budget-ACPLHK'!$A:$A,$A16,'Budget-ACPLHK'!L:L)+SUMIF('Budget-ACPSZL'!$A:$A,$A16,'Budget-ACPSZL'!L:L)+SUMIF('Budget-ACPLSZ'!$A:$A,$A16,'Budget-ACPLSZ'!L:L)+SUMIF('Budget-ACPLGZ'!$A:$A,$A16,'Budget-ACPLGZ'!L:L)+SUMIF('Budget-Yixing'!$A:$A,$A16,'Budget-Yixing'!L:L)</f>
        <v>0</v>
      </c>
      <c r="M16" s="676">
        <f ca="1">SUMIF('Budget-ACPL'!$A:$A,$A16,'Budget-ACPL'!M:M)+SUMIF('Budget-ACPLHK'!$A:$A,$A16,'Budget-ACPLHK'!M:M)+SUMIF('Budget-ACPSZL'!$A:$A,$A16,'Budget-ACPSZL'!M:M)+SUMIF('Budget-ACPLSZ'!$A:$A,$A16,'Budget-ACPLSZ'!M:M)+SUMIF('Budget-ACPLGZ'!$A:$A,$A16,'Budget-ACPLGZ'!M:M)+SUMIF('Budget-Yixing'!$A:$A,$A16,'Budget-Yixing'!M:M)</f>
        <v>0</v>
      </c>
      <c r="N16" s="676">
        <f ca="1">SUMIF('Budget-ACPL'!$A:$A,$A16,'Budget-ACPL'!N:N)+SUMIF('Budget-ACPLHK'!$A:$A,$A16,'Budget-ACPLHK'!N:N)+SUMIF('Budget-ACPSZL'!$A:$A,$A16,'Budget-ACPSZL'!N:N)+SUMIF('Budget-ACPLSZ'!$A:$A,$A16,'Budget-ACPLSZ'!N:N)+SUMIF('Budget-ACPLGZ'!$A:$A,$A16,'Budget-ACPLGZ'!N:N)+SUMIF('Budget-Yixing'!$A:$A,$A16,'Budget-Yixing'!N:N)</f>
        <v>327.86</v>
      </c>
      <c r="O16" s="676">
        <f ca="1">SUMIF('Budget-ACPL'!$A:$A,$A16,'Budget-ACPL'!O:O)+SUMIF('Budget-ACPLHK'!$A:$A,$A16,'Budget-ACPLHK'!O:O)+SUMIF('Budget-ACPSZL'!$A:$A,$A16,'Budget-ACPSZL'!O:O)+SUMIF('Budget-ACPLSZ'!$A:$A,$A16,'Budget-ACPLSZ'!O:O)+SUMIF('Budget-ACPLGZ'!$A:$A,$A16,'Budget-ACPLGZ'!O:O)+SUMIF('Budget-Yixing'!$A:$A,$A16,'Budget-Yixing'!O:O)</f>
        <v>5093.29</v>
      </c>
      <c r="P16" s="676">
        <f ca="1">SUMIF('Budget-ACPL'!$A:$A,$A16,'Budget-ACPL'!P:P)+SUMIF('Budget-ACPLHK'!$A:$A,$A16,'Budget-ACPLHK'!P:P)+SUMIF('Budget-ACPSZL'!$A:$A,$A16,'Budget-ACPSZL'!P:P)+SUMIF('Budget-ACPLSZ'!$A:$A,$A16,'Budget-ACPLSZ'!P:P)+SUMIF('Budget-ACPLGZ'!$A:$A,$A16,'Budget-ACPLGZ'!P:P)+SUMIF('Budget-Yixing'!$A:$A,$A16,'Budget-Yixing'!P:P)</f>
        <v>788.26</v>
      </c>
      <c r="Q16" s="676">
        <f ca="1">SUMIF('Budget-ACPL'!$A:$A,$A16,'Budget-ACPL'!Q:Q)+SUMIF('Budget-ACPLHK'!$A:$A,$A16,'Budget-ACPLHK'!Q:Q)+SUMIF('Budget-ACPSZL'!$A:$A,$A16,'Budget-ACPSZL'!Q:Q)+SUMIF('Budget-ACPLSZ'!$A:$A,$A16,'Budget-ACPLSZ'!Q:Q)+SUMIF('Budget-ACPLGZ'!$A:$A,$A16,'Budget-ACPLGZ'!Q:Q)+SUMIF('Budget-Yixing'!$A:$A,$A16,'Budget-Yixing'!Q:Q)</f>
        <v>2258.4299999999998</v>
      </c>
      <c r="R16" s="676">
        <f ca="1">SUMIF('Budget-ACPL'!$A:$A,$A16,'Budget-ACPL'!R:R)+SUMIF('Budget-ACPLHK'!$A:$A,$A16,'Budget-ACPLHK'!R:R)+SUMIF('Budget-ACPSZL'!$A:$A,$A16,'Budget-ACPSZL'!R:R)+SUMIF('Budget-ACPLSZ'!$A:$A,$A16,'Budget-ACPLSZ'!R:R)+SUMIF('Budget-ACPLGZ'!$A:$A,$A16,'Budget-ACPLGZ'!R:R)+SUMIF('Budget-Yixing'!$A:$A,$A16,'Budget-Yixing'!R:R)</f>
        <v>0</v>
      </c>
      <c r="S16" s="676">
        <f ca="1">SUMIF('Budget-ACPL'!$A:$A,$A16,'Budget-ACPL'!S:S)+SUMIF('Budget-ACPLHK'!$A:$A,$A16,'Budget-ACPLHK'!S:S)+SUMIF('Budget-ACPSZL'!$A:$A,$A16,'Budget-ACPSZL'!S:S)+SUMIF('Budget-ACPLSZ'!$A:$A,$A16,'Budget-ACPLSZ'!S:S)+SUMIF('Budget-ACPLGZ'!$A:$A,$A16,'Budget-ACPLGZ'!S:S)+SUMIF('Budget-Yixing'!$A:$A,$A16,'Budget-Yixing'!S:S)</f>
        <v>0</v>
      </c>
      <c r="T16" s="676">
        <f ca="1">SUMIF('Budget-ACPL'!$A:$A,$A16,'Budget-ACPL'!T:T)+SUMIF('Budget-ACPLHK'!$A:$A,$A16,'Budget-ACPLHK'!T:T)+SUMIF('Budget-ACPSZL'!$A:$A,$A16,'Budget-ACPSZL'!T:T)+SUMIF('Budget-ACPLSZ'!$A:$A,$A16,'Budget-ACPLSZ'!T:T)+SUMIF('Budget-ACPLGZ'!$A:$A,$A16,'Budget-ACPLGZ'!T:T)+SUMIF('Budget-Yixing'!$A:$A,$A16,'Budget-Yixing'!T:T)</f>
        <v>4895.38</v>
      </c>
      <c r="U16" s="676">
        <f ca="1">SUMIF('Budget-ACPL'!$A:$A,$A16,'Budget-ACPL'!U:U)+SUMIF('Budget-ACPLHK'!$A:$A,$A16,'Budget-ACPLHK'!U:U)+SUMIF('Budget-ACPSZL'!$A:$A,$A16,'Budget-ACPSZL'!U:U)+SUMIF('Budget-ACPLSZ'!$A:$A,$A16,'Budget-ACPLSZ'!U:U)+SUMIF('Budget-ACPLGZ'!$A:$A,$A16,'Budget-ACPLGZ'!U:U)+SUMIF('Budget-Yixing'!$A:$A,$A16,'Budget-Yixing'!U:U)</f>
        <v>0</v>
      </c>
      <c r="V16" s="676">
        <f ca="1">SUMIF('Budget-ACPL'!$A:$A,$A16,'Budget-ACPL'!V:V)+SUMIF('Budget-ACPLHK'!$A:$A,$A16,'Budget-ACPLHK'!V:V)+SUMIF('Budget-ACPSZL'!$A:$A,$A16,'Budget-ACPSZL'!V:V)+SUMIF('Budget-ACPLSZ'!$A:$A,$A16,'Budget-ACPLSZ'!V:V)+SUMIF('Budget-ACPLGZ'!$A:$A,$A16,'Budget-ACPLGZ'!V:V)+SUMIF('Budget-Yixing'!$A:$A,$A16,'Budget-Yixing'!V:V)</f>
        <v>444.09</v>
      </c>
      <c r="W16" s="676">
        <f t="shared" ca="1" si="6"/>
        <v>13807.310000000001</v>
      </c>
      <c r="Y16" s="688">
        <f ca="1">SUMIF('Budget-ACPL'!$A:$A,$A16,'Budget-ACPL'!Y:Y)+SUMIF('Budget-ACPLHK'!$A:$A,$A16,'Budget-ACPLHK'!Y:Y)+SUMIF('Budget-ACPSZL'!$A:$A,$A16,'Budget-ACPSZL'!Y:Y)+SUMIF('Budget-ACPLSZ'!$A:$A,$A16,'Budget-ACPLSZ'!Y:Y)+SUMIF('Budget-ACPLGZ'!$A:$A,$A16,'Budget-ACPLGZ'!Y:Y)+SUMIF('Budget-Yixing'!$A:$A,$A16,'Budget-Yixing'!Y:Y)</f>
        <v>627.08000000000004</v>
      </c>
      <c r="Z16" s="688">
        <f ca="1">SUMIF('Budget-ACPL'!$A:$A,$A16,'Budget-ACPL'!Z:Z)+SUMIF('Budget-ACPLHK'!$A:$A,$A16,'Budget-ACPLHK'!Z:Z)+SUMIF('Budget-ACPSZL'!$A:$A,$A16,'Budget-ACPSZL'!Z:Z)+SUMIF('Budget-ACPLSZ'!$A:$A,$A16,'Budget-ACPLSZ'!Z:Z)+SUMIF('Budget-ACPLGZ'!$A:$A,$A16,'Budget-ACPLGZ'!Z:Z)+SUMIF('Budget-Yixing'!$A:$A,$A16,'Budget-Yixing'!Z:Z)</f>
        <v>302.95</v>
      </c>
      <c r="AA16" s="688">
        <f ca="1">SUMIF('Budget-ACPL'!$A:$A,$A16,'Budget-ACPL'!AA:AA)+SUMIF('Budget-ACPLHK'!$A:$A,$A16,'Budget-ACPLHK'!AA:AA)+SUMIF('Budget-ACPSZL'!$A:$A,$A16,'Budget-ACPSZL'!AA:AA)+SUMIF('Budget-ACPLSZ'!$A:$A,$A16,'Budget-ACPLSZ'!AA:AA)+SUMIF('Budget-ACPLGZ'!$A:$A,$A16,'Budget-ACPLGZ'!AA:AA)+SUMIF('Budget-Yixing'!$A:$A,$A16,'Budget-Yixing'!AA:AA)</f>
        <v>665.34</v>
      </c>
      <c r="AB16" s="688">
        <f ca="1">SUMIF('Budget-ACPL'!$A:$A,$A16,'Budget-ACPL'!AB:AB)+SUMIF('Budget-ACPLHK'!$A:$A,$A16,'Budget-ACPLHK'!AB:AB)+SUMIF('Budget-ACPSZL'!$A:$A,$A16,'Budget-ACPSZL'!AB:AB)+SUMIF('Budget-ACPLSZ'!$A:$A,$A16,'Budget-ACPLSZ'!AB:AB)+SUMIF('Budget-ACPLGZ'!$A:$A,$A16,'Budget-ACPLGZ'!AB:AB)+SUMIF('Budget-Yixing'!$A:$A,$A16,'Budget-Yixing'!AB:AB)</f>
        <v>0</v>
      </c>
      <c r="AC16" s="688">
        <f ca="1">SUMIF('Budget-ACPL'!$A:$A,$A16,'Budget-ACPL'!AC:AC)+SUMIF('Budget-ACPLHK'!$A:$A,$A16,'Budget-ACPLHK'!AC:AC)+SUMIF('Budget-ACPSZL'!$A:$A,$A16,'Budget-ACPSZL'!AC:AC)+SUMIF('Budget-ACPLSZ'!$A:$A,$A16,'Budget-ACPLSZ'!AC:AC)+SUMIF('Budget-ACPLGZ'!$A:$A,$A16,'Budget-ACPLGZ'!AC:AC)+SUMIF('Budget-Yixing'!$A:$A,$A16,'Budget-Yixing'!AC:AC)</f>
        <v>773.74</v>
      </c>
      <c r="AD16" s="688">
        <f ca="1">SUMIF('Budget-ACPL'!$A:$A,$A16,'Budget-ACPL'!AD:AD)+SUMIF('Budget-ACPLHK'!$A:$A,$A16,'Budget-ACPLHK'!AD:AD)+SUMIF('Budget-ACPSZL'!$A:$A,$A16,'Budget-ACPSZL'!AD:AD)+SUMIF('Budget-ACPLSZ'!$A:$A,$A16,'Budget-ACPLSZ'!AD:AD)+SUMIF('Budget-ACPLGZ'!$A:$A,$A16,'Budget-ACPLGZ'!AD:AD)+SUMIF('Budget-Yixing'!$A:$A,$A16,'Budget-Yixing'!AD:AD)</f>
        <v>0</v>
      </c>
      <c r="AE16" s="688">
        <f ca="1">SUMIF('Budget-ACPL'!$A:$A,$A16,'Budget-ACPL'!AE:AE)+SUMIF('Budget-ACPLHK'!$A:$A,$A16,'Budget-ACPLHK'!AE:AE)+SUMIF('Budget-ACPSZL'!$A:$A,$A16,'Budget-ACPSZL'!AE:AE)+SUMIF('Budget-ACPLSZ'!$A:$A,$A16,'Budget-ACPLSZ'!AE:AE)+SUMIF('Budget-ACPLGZ'!$A:$A,$A16,'Budget-ACPLGZ'!AE:AE)+SUMIF('Budget-Yixing'!$A:$A,$A16,'Budget-Yixing'!AE:AE)</f>
        <v>0</v>
      </c>
      <c r="AF16" s="688">
        <f ca="1">SUMIF('Budget-ACPL'!$A:$A,$A16,'Budget-ACPL'!AF:AF)+SUMIF('Budget-ACPLHK'!$A:$A,$A16,'Budget-ACPLHK'!AF:AF)+SUMIF('Budget-ACPSZL'!$A:$A,$A16,'Budget-ACPSZL'!AF:AF)+SUMIF('Budget-ACPLSZ'!$A:$A,$A16,'Budget-ACPLSZ'!AF:AF)+SUMIF('Budget-ACPLGZ'!$A:$A,$A16,'Budget-ACPLGZ'!AF:AF)+SUMIF('Budget-Yixing'!$A:$A,$A16,'Budget-Yixing'!AF:AF)</f>
        <v>0</v>
      </c>
      <c r="AG16" s="688">
        <f ca="1">SUMIF('Budget-ACPL'!$A:$A,$A16,'Budget-ACPL'!AG:AG)+SUMIF('Budget-ACPLHK'!$A:$A,$A16,'Budget-ACPLHK'!AG:AG)+SUMIF('Budget-ACPSZL'!$A:$A,$A16,'Budget-ACPSZL'!AG:AG)+SUMIF('Budget-ACPLSZ'!$A:$A,$A16,'Budget-ACPLSZ'!AG:AG)+SUMIF('Budget-ACPLGZ'!$A:$A,$A16,'Budget-ACPLGZ'!AG:AG)+SUMIF('Budget-Yixing'!$A:$A,$A16,'Budget-Yixing'!AG:AG)</f>
        <v>0</v>
      </c>
      <c r="AH16" s="688">
        <f ca="1">SUMIF('Budget-ACPL'!$A:$A,$A16,'Budget-ACPL'!AH:AH)+SUMIF('Budget-ACPLHK'!$A:$A,$A16,'Budget-ACPLHK'!AH:AH)+SUMIF('Budget-ACPSZL'!$A:$A,$A16,'Budget-ACPSZL'!AH:AH)+SUMIF('Budget-ACPLSZ'!$A:$A,$A16,'Budget-ACPLSZ'!AH:AH)+SUMIF('Budget-ACPLGZ'!$A:$A,$A16,'Budget-ACPLGZ'!AH:AH)+SUMIF('Budget-Yixing'!$A:$A,$A16,'Budget-Yixing'!AH:AH)</f>
        <v>0</v>
      </c>
      <c r="AI16" s="688">
        <f ca="1">SUMIF('Budget-ACPL'!$A:$A,$A16,'Budget-ACPL'!AI:AI)+SUMIF('Budget-ACPLHK'!$A:$A,$A16,'Budget-ACPLHK'!AI:AI)+SUMIF('Budget-ACPSZL'!$A:$A,$A16,'Budget-ACPSZL'!AI:AI)+SUMIF('Budget-ACPLSZ'!$A:$A,$A16,'Budget-ACPLSZ'!AI:AI)+SUMIF('Budget-ACPLGZ'!$A:$A,$A16,'Budget-ACPLGZ'!AI:AI)+SUMIF('Budget-Yixing'!$A:$A,$A16,'Budget-Yixing'!AI:AI)</f>
        <v>0</v>
      </c>
      <c r="AJ16" s="688">
        <f ca="1">SUMIF('Budget-ACPL'!$A:$A,$A16,'Budget-ACPL'!AJ:AJ)+SUMIF('Budget-ACPLHK'!$A:$A,$A16,'Budget-ACPLHK'!AJ:AJ)+SUMIF('Budget-ACPSZL'!$A:$A,$A16,'Budget-ACPSZL'!AJ:AJ)+SUMIF('Budget-ACPLSZ'!$A:$A,$A16,'Budget-ACPLSZ'!AJ:AJ)+SUMIF('Budget-ACPLGZ'!$A:$A,$A16,'Budget-ACPLGZ'!AJ:AJ)+SUMIF('Budget-Yixing'!$A:$A,$A16,'Budget-Yixing'!AJ:AJ)</f>
        <v>0</v>
      </c>
      <c r="AK16" s="688">
        <f t="shared" ca="1" si="12"/>
        <v>2369.1099999999997</v>
      </c>
    </row>
    <row r="17" spans="1:37" ht="13.5" customHeight="1">
      <c r="A17" s="713" t="s">
        <v>1413</v>
      </c>
      <c r="B17" s="687" t="str">
        <f>VLOOKUP(A17,Account!A:B,2,0)</f>
        <v>地方教育附加</v>
      </c>
      <c r="C17" s="687" t="str">
        <f>VLOOKUP(A17,Account!A:F,4,0)</f>
        <v>VAT surcharge</v>
      </c>
      <c r="D17" s="676">
        <f t="shared" ca="1" si="7"/>
        <v>0</v>
      </c>
      <c r="E17" s="676" t="e">
        <f t="shared" si="10"/>
        <v>#N/A</v>
      </c>
      <c r="F17" s="676" t="e">
        <f t="shared" ca="1" si="3"/>
        <v>#N/A</v>
      </c>
      <c r="G17" s="676">
        <f t="shared" ca="1" si="4"/>
        <v>0</v>
      </c>
      <c r="H17" s="676" t="e">
        <f t="shared" ca="1" si="11"/>
        <v>#N/A</v>
      </c>
      <c r="I17" s="676" t="e">
        <f t="shared" ca="1" si="5"/>
        <v>#N/A</v>
      </c>
      <c r="K17" s="676">
        <f ca="1">SUMIF('Budget-ACPL'!$A:$A,$A17,'Budget-ACPL'!K:K)+SUMIF('Budget-ACPLHK'!$A:$A,$A17,'Budget-ACPLHK'!K:K)+SUMIF('Budget-ACPSZL'!$A:$A,$A17,'Budget-ACPSZL'!K:K)+SUMIF('Budget-ACPLSZ'!$A:$A,$A17,'Budget-ACPLSZ'!K:K)+SUMIF('Budget-ACPLGZ'!$A:$A,$A17,'Budget-ACPLGZ'!K:K)+SUMIF('Budget-Yixing'!$A:$A,$A17,'Budget-Yixing'!K:K)</f>
        <v>0</v>
      </c>
      <c r="L17" s="676">
        <f ca="1">SUMIF('Budget-ACPL'!$A:$A,$A17,'Budget-ACPL'!L:L)+SUMIF('Budget-ACPLHK'!$A:$A,$A17,'Budget-ACPLHK'!L:L)+SUMIF('Budget-ACPSZL'!$A:$A,$A17,'Budget-ACPSZL'!L:L)+SUMIF('Budget-ACPLSZ'!$A:$A,$A17,'Budget-ACPLSZ'!L:L)+SUMIF('Budget-ACPLGZ'!$A:$A,$A17,'Budget-ACPLGZ'!L:L)+SUMIF('Budget-Yixing'!$A:$A,$A17,'Budget-Yixing'!L:L)</f>
        <v>0</v>
      </c>
      <c r="M17" s="676">
        <f ca="1">SUMIF('Budget-ACPL'!$A:$A,$A17,'Budget-ACPL'!M:M)+SUMIF('Budget-ACPLHK'!$A:$A,$A17,'Budget-ACPLHK'!M:M)+SUMIF('Budget-ACPSZL'!$A:$A,$A17,'Budget-ACPSZL'!M:M)+SUMIF('Budget-ACPLSZ'!$A:$A,$A17,'Budget-ACPLSZ'!M:M)+SUMIF('Budget-ACPLGZ'!$A:$A,$A17,'Budget-ACPLGZ'!M:M)+SUMIF('Budget-Yixing'!$A:$A,$A17,'Budget-Yixing'!M:M)</f>
        <v>0</v>
      </c>
      <c r="N17" s="676">
        <f ca="1">SUMIF('Budget-ACPL'!$A:$A,$A17,'Budget-ACPL'!N:N)+SUMIF('Budget-ACPLHK'!$A:$A,$A17,'Budget-ACPLHK'!N:N)+SUMIF('Budget-ACPSZL'!$A:$A,$A17,'Budget-ACPSZL'!N:N)+SUMIF('Budget-ACPLSZ'!$A:$A,$A17,'Budget-ACPLSZ'!N:N)+SUMIF('Budget-ACPLGZ'!$A:$A,$A17,'Budget-ACPLGZ'!N:N)+SUMIF('Budget-Yixing'!$A:$A,$A17,'Budget-Yixing'!N:N)</f>
        <v>218.57</v>
      </c>
      <c r="O17" s="676">
        <f ca="1">SUMIF('Budget-ACPL'!$A:$A,$A17,'Budget-ACPL'!O:O)+SUMIF('Budget-ACPLHK'!$A:$A,$A17,'Budget-ACPLHK'!O:O)+SUMIF('Budget-ACPSZL'!$A:$A,$A17,'Budget-ACPSZL'!O:O)+SUMIF('Budget-ACPLSZ'!$A:$A,$A17,'Budget-ACPLSZ'!O:O)+SUMIF('Budget-ACPLGZ'!$A:$A,$A17,'Budget-ACPLGZ'!O:O)+SUMIF('Budget-Yixing'!$A:$A,$A17,'Budget-Yixing'!O:O)</f>
        <v>3395.53</v>
      </c>
      <c r="P17" s="676">
        <f ca="1">SUMIF('Budget-ACPL'!$A:$A,$A17,'Budget-ACPL'!P:P)+SUMIF('Budget-ACPLHK'!$A:$A,$A17,'Budget-ACPLHK'!P:P)+SUMIF('Budget-ACPSZL'!$A:$A,$A17,'Budget-ACPSZL'!P:P)+SUMIF('Budget-ACPLSZ'!$A:$A,$A17,'Budget-ACPLSZ'!P:P)+SUMIF('Budget-ACPLGZ'!$A:$A,$A17,'Budget-ACPLGZ'!P:P)+SUMIF('Budget-Yixing'!$A:$A,$A17,'Budget-Yixing'!P:P)</f>
        <v>525.51</v>
      </c>
      <c r="Q17" s="676">
        <f ca="1">SUMIF('Budget-ACPL'!$A:$A,$A17,'Budget-ACPL'!Q:Q)+SUMIF('Budget-ACPLHK'!$A:$A,$A17,'Budget-ACPLHK'!Q:Q)+SUMIF('Budget-ACPSZL'!$A:$A,$A17,'Budget-ACPSZL'!Q:Q)+SUMIF('Budget-ACPLSZ'!$A:$A,$A17,'Budget-ACPLSZ'!Q:Q)+SUMIF('Budget-ACPLGZ'!$A:$A,$A17,'Budget-ACPLGZ'!Q:Q)+SUMIF('Budget-Yixing'!$A:$A,$A17,'Budget-Yixing'!Q:Q)</f>
        <v>1505.62</v>
      </c>
      <c r="R17" s="676">
        <f ca="1">SUMIF('Budget-ACPL'!$A:$A,$A17,'Budget-ACPL'!R:R)+SUMIF('Budget-ACPLHK'!$A:$A,$A17,'Budget-ACPLHK'!R:R)+SUMIF('Budget-ACPSZL'!$A:$A,$A17,'Budget-ACPSZL'!R:R)+SUMIF('Budget-ACPLSZ'!$A:$A,$A17,'Budget-ACPLSZ'!R:R)+SUMIF('Budget-ACPLGZ'!$A:$A,$A17,'Budget-ACPLGZ'!R:R)+SUMIF('Budget-Yixing'!$A:$A,$A17,'Budget-Yixing'!R:R)</f>
        <v>0</v>
      </c>
      <c r="S17" s="676">
        <f ca="1">SUMIF('Budget-ACPL'!$A:$A,$A17,'Budget-ACPL'!S:S)+SUMIF('Budget-ACPLHK'!$A:$A,$A17,'Budget-ACPLHK'!S:S)+SUMIF('Budget-ACPSZL'!$A:$A,$A17,'Budget-ACPSZL'!S:S)+SUMIF('Budget-ACPLSZ'!$A:$A,$A17,'Budget-ACPLSZ'!S:S)+SUMIF('Budget-ACPLGZ'!$A:$A,$A17,'Budget-ACPLGZ'!S:S)+SUMIF('Budget-Yixing'!$A:$A,$A17,'Budget-Yixing'!S:S)</f>
        <v>0</v>
      </c>
      <c r="T17" s="676">
        <f ca="1">SUMIF('Budget-ACPL'!$A:$A,$A17,'Budget-ACPL'!T:T)+SUMIF('Budget-ACPLHK'!$A:$A,$A17,'Budget-ACPLHK'!T:T)+SUMIF('Budget-ACPSZL'!$A:$A,$A17,'Budget-ACPSZL'!T:T)+SUMIF('Budget-ACPLSZ'!$A:$A,$A17,'Budget-ACPLSZ'!T:T)+SUMIF('Budget-ACPLGZ'!$A:$A,$A17,'Budget-ACPLGZ'!T:T)+SUMIF('Budget-Yixing'!$A:$A,$A17,'Budget-Yixing'!T:T)</f>
        <v>3263.59</v>
      </c>
      <c r="U17" s="676">
        <f ca="1">SUMIF('Budget-ACPL'!$A:$A,$A17,'Budget-ACPL'!U:U)+SUMIF('Budget-ACPLHK'!$A:$A,$A17,'Budget-ACPLHK'!U:U)+SUMIF('Budget-ACPSZL'!$A:$A,$A17,'Budget-ACPSZL'!U:U)+SUMIF('Budget-ACPLSZ'!$A:$A,$A17,'Budget-ACPLSZ'!U:U)+SUMIF('Budget-ACPLGZ'!$A:$A,$A17,'Budget-ACPLGZ'!U:U)+SUMIF('Budget-Yixing'!$A:$A,$A17,'Budget-Yixing'!U:U)</f>
        <v>0</v>
      </c>
      <c r="V17" s="676">
        <f ca="1">SUMIF('Budget-ACPL'!$A:$A,$A17,'Budget-ACPL'!V:V)+SUMIF('Budget-ACPLHK'!$A:$A,$A17,'Budget-ACPLHK'!V:V)+SUMIF('Budget-ACPSZL'!$A:$A,$A17,'Budget-ACPSZL'!V:V)+SUMIF('Budget-ACPLSZ'!$A:$A,$A17,'Budget-ACPLSZ'!V:V)+SUMIF('Budget-ACPLGZ'!$A:$A,$A17,'Budget-ACPLGZ'!V:V)+SUMIF('Budget-Yixing'!$A:$A,$A17,'Budget-Yixing'!V:V)</f>
        <v>296.06</v>
      </c>
      <c r="W17" s="676">
        <f t="shared" ca="1" si="6"/>
        <v>9204.8799999999992</v>
      </c>
      <c r="Y17" s="688">
        <f ca="1">SUMIF('Budget-ACPL'!$A:$A,$A17,'Budget-ACPL'!Y:Y)+SUMIF('Budget-ACPLHK'!$A:$A,$A17,'Budget-ACPLHK'!Y:Y)+SUMIF('Budget-ACPSZL'!$A:$A,$A17,'Budget-ACPSZL'!Y:Y)+SUMIF('Budget-ACPLSZ'!$A:$A,$A17,'Budget-ACPLSZ'!Y:Y)+SUMIF('Budget-ACPLGZ'!$A:$A,$A17,'Budget-ACPLGZ'!Y:Y)+SUMIF('Budget-Yixing'!$A:$A,$A17,'Budget-Yixing'!Y:Y)</f>
        <v>418.05</v>
      </c>
      <c r="Z17" s="688">
        <f ca="1">SUMIF('Budget-ACPL'!$A:$A,$A17,'Budget-ACPL'!Z:Z)+SUMIF('Budget-ACPLHK'!$A:$A,$A17,'Budget-ACPLHK'!Z:Z)+SUMIF('Budget-ACPSZL'!$A:$A,$A17,'Budget-ACPSZL'!Z:Z)+SUMIF('Budget-ACPLSZ'!$A:$A,$A17,'Budget-ACPLSZ'!Z:Z)+SUMIF('Budget-ACPLGZ'!$A:$A,$A17,'Budget-ACPLGZ'!Z:Z)+SUMIF('Budget-Yixing'!$A:$A,$A17,'Budget-Yixing'!Z:Z)</f>
        <v>201.97</v>
      </c>
      <c r="AA17" s="688">
        <f ca="1">SUMIF('Budget-ACPL'!$A:$A,$A17,'Budget-ACPL'!AA:AA)+SUMIF('Budget-ACPLHK'!$A:$A,$A17,'Budget-ACPLHK'!AA:AA)+SUMIF('Budget-ACPSZL'!$A:$A,$A17,'Budget-ACPSZL'!AA:AA)+SUMIF('Budget-ACPLSZ'!$A:$A,$A17,'Budget-ACPLSZ'!AA:AA)+SUMIF('Budget-ACPLGZ'!$A:$A,$A17,'Budget-ACPLGZ'!AA:AA)+SUMIF('Budget-Yixing'!$A:$A,$A17,'Budget-Yixing'!AA:AA)</f>
        <v>443.56</v>
      </c>
      <c r="AB17" s="688">
        <f ca="1">SUMIF('Budget-ACPL'!$A:$A,$A17,'Budget-ACPL'!AB:AB)+SUMIF('Budget-ACPLHK'!$A:$A,$A17,'Budget-ACPLHK'!AB:AB)+SUMIF('Budget-ACPSZL'!$A:$A,$A17,'Budget-ACPSZL'!AB:AB)+SUMIF('Budget-ACPLSZ'!$A:$A,$A17,'Budget-ACPLSZ'!AB:AB)+SUMIF('Budget-ACPLGZ'!$A:$A,$A17,'Budget-ACPLGZ'!AB:AB)+SUMIF('Budget-Yixing'!$A:$A,$A17,'Budget-Yixing'!AB:AB)</f>
        <v>0</v>
      </c>
      <c r="AC17" s="688">
        <f ca="1">SUMIF('Budget-ACPL'!$A:$A,$A17,'Budget-ACPL'!AC:AC)+SUMIF('Budget-ACPLHK'!$A:$A,$A17,'Budget-ACPLHK'!AC:AC)+SUMIF('Budget-ACPSZL'!$A:$A,$A17,'Budget-ACPSZL'!AC:AC)+SUMIF('Budget-ACPLSZ'!$A:$A,$A17,'Budget-ACPLSZ'!AC:AC)+SUMIF('Budget-ACPLGZ'!$A:$A,$A17,'Budget-ACPLGZ'!AC:AC)+SUMIF('Budget-Yixing'!$A:$A,$A17,'Budget-Yixing'!AC:AC)</f>
        <v>515.82000000000005</v>
      </c>
      <c r="AD17" s="688">
        <f ca="1">SUMIF('Budget-ACPL'!$A:$A,$A17,'Budget-ACPL'!AD:AD)+SUMIF('Budget-ACPLHK'!$A:$A,$A17,'Budget-ACPLHK'!AD:AD)+SUMIF('Budget-ACPSZL'!$A:$A,$A17,'Budget-ACPSZL'!AD:AD)+SUMIF('Budget-ACPLSZ'!$A:$A,$A17,'Budget-ACPLSZ'!AD:AD)+SUMIF('Budget-ACPLGZ'!$A:$A,$A17,'Budget-ACPLGZ'!AD:AD)+SUMIF('Budget-Yixing'!$A:$A,$A17,'Budget-Yixing'!AD:AD)</f>
        <v>0</v>
      </c>
      <c r="AE17" s="688">
        <f ca="1">SUMIF('Budget-ACPL'!$A:$A,$A17,'Budget-ACPL'!AE:AE)+SUMIF('Budget-ACPLHK'!$A:$A,$A17,'Budget-ACPLHK'!AE:AE)+SUMIF('Budget-ACPSZL'!$A:$A,$A17,'Budget-ACPSZL'!AE:AE)+SUMIF('Budget-ACPLSZ'!$A:$A,$A17,'Budget-ACPLSZ'!AE:AE)+SUMIF('Budget-ACPLGZ'!$A:$A,$A17,'Budget-ACPLGZ'!AE:AE)+SUMIF('Budget-Yixing'!$A:$A,$A17,'Budget-Yixing'!AE:AE)</f>
        <v>0</v>
      </c>
      <c r="AF17" s="688">
        <f ca="1">SUMIF('Budget-ACPL'!$A:$A,$A17,'Budget-ACPL'!AF:AF)+SUMIF('Budget-ACPLHK'!$A:$A,$A17,'Budget-ACPLHK'!AF:AF)+SUMIF('Budget-ACPSZL'!$A:$A,$A17,'Budget-ACPSZL'!AF:AF)+SUMIF('Budget-ACPLSZ'!$A:$A,$A17,'Budget-ACPLSZ'!AF:AF)+SUMIF('Budget-ACPLGZ'!$A:$A,$A17,'Budget-ACPLGZ'!AF:AF)+SUMIF('Budget-Yixing'!$A:$A,$A17,'Budget-Yixing'!AF:AF)</f>
        <v>0</v>
      </c>
      <c r="AG17" s="688">
        <f ca="1">SUMIF('Budget-ACPL'!$A:$A,$A17,'Budget-ACPL'!AG:AG)+SUMIF('Budget-ACPLHK'!$A:$A,$A17,'Budget-ACPLHK'!AG:AG)+SUMIF('Budget-ACPSZL'!$A:$A,$A17,'Budget-ACPSZL'!AG:AG)+SUMIF('Budget-ACPLSZ'!$A:$A,$A17,'Budget-ACPLSZ'!AG:AG)+SUMIF('Budget-ACPLGZ'!$A:$A,$A17,'Budget-ACPLGZ'!AG:AG)+SUMIF('Budget-Yixing'!$A:$A,$A17,'Budget-Yixing'!AG:AG)</f>
        <v>0</v>
      </c>
      <c r="AH17" s="688">
        <f ca="1">SUMIF('Budget-ACPL'!$A:$A,$A17,'Budget-ACPL'!AH:AH)+SUMIF('Budget-ACPLHK'!$A:$A,$A17,'Budget-ACPLHK'!AH:AH)+SUMIF('Budget-ACPSZL'!$A:$A,$A17,'Budget-ACPSZL'!AH:AH)+SUMIF('Budget-ACPLSZ'!$A:$A,$A17,'Budget-ACPLSZ'!AH:AH)+SUMIF('Budget-ACPLGZ'!$A:$A,$A17,'Budget-ACPLGZ'!AH:AH)+SUMIF('Budget-Yixing'!$A:$A,$A17,'Budget-Yixing'!AH:AH)</f>
        <v>0</v>
      </c>
      <c r="AI17" s="688">
        <f ca="1">SUMIF('Budget-ACPL'!$A:$A,$A17,'Budget-ACPL'!AI:AI)+SUMIF('Budget-ACPLHK'!$A:$A,$A17,'Budget-ACPLHK'!AI:AI)+SUMIF('Budget-ACPSZL'!$A:$A,$A17,'Budget-ACPSZL'!AI:AI)+SUMIF('Budget-ACPLSZ'!$A:$A,$A17,'Budget-ACPLSZ'!AI:AI)+SUMIF('Budget-ACPLGZ'!$A:$A,$A17,'Budget-ACPLGZ'!AI:AI)+SUMIF('Budget-Yixing'!$A:$A,$A17,'Budget-Yixing'!AI:AI)</f>
        <v>0</v>
      </c>
      <c r="AJ17" s="688">
        <f ca="1">SUMIF('Budget-ACPL'!$A:$A,$A17,'Budget-ACPL'!AJ:AJ)+SUMIF('Budget-ACPLHK'!$A:$A,$A17,'Budget-ACPLHK'!AJ:AJ)+SUMIF('Budget-ACPSZL'!$A:$A,$A17,'Budget-ACPSZL'!AJ:AJ)+SUMIF('Budget-ACPLSZ'!$A:$A,$A17,'Budget-ACPLSZ'!AJ:AJ)+SUMIF('Budget-ACPLGZ'!$A:$A,$A17,'Budget-ACPLGZ'!AJ:AJ)+SUMIF('Budget-Yixing'!$A:$A,$A17,'Budget-Yixing'!AJ:AJ)</f>
        <v>0</v>
      </c>
      <c r="AK17" s="688">
        <f t="shared" ca="1" si="12"/>
        <v>1579.4</v>
      </c>
    </row>
    <row r="18" spans="1:37" ht="13.5" hidden="1" customHeight="1">
      <c r="A18" s="713" t="s">
        <v>1417</v>
      </c>
      <c r="B18" s="687" t="str">
        <f>VLOOKUP(A18,Account!A:B,2,0)</f>
        <v>水利建设基金</v>
      </c>
      <c r="C18" s="687">
        <f>VLOOKUP(A18,Account!A:F,4,0)</f>
        <v>0</v>
      </c>
      <c r="D18" s="676">
        <f t="shared" ca="1" si="7"/>
        <v>0</v>
      </c>
      <c r="E18" s="676" t="e">
        <f t="shared" si="10"/>
        <v>#N/A</v>
      </c>
      <c r="F18" s="676" t="e">
        <f t="shared" ca="1" si="3"/>
        <v>#N/A</v>
      </c>
      <c r="G18" s="676">
        <f t="shared" ca="1" si="4"/>
        <v>0</v>
      </c>
      <c r="H18" s="676" t="e">
        <f t="shared" ca="1" si="11"/>
        <v>#N/A</v>
      </c>
      <c r="I18" s="676" t="e">
        <f t="shared" ca="1" si="5"/>
        <v>#N/A</v>
      </c>
      <c r="K18" s="676">
        <f ca="1">SUMIF('Budget-ACPL'!$A:$A,$A18,'Budget-ACPL'!K:K)+SUMIF('Budget-ACPLHK'!$A:$A,$A18,'Budget-ACPLHK'!K:K)+SUMIF('Budget-ACPSZL'!$A:$A,$A18,'Budget-ACPSZL'!K:K)+SUMIF('Budget-ACPLSZ'!$A:$A,$A18,'Budget-ACPLSZ'!K:K)+SUMIF('Budget-ACPLGZ'!$A:$A,$A18,'Budget-ACPLGZ'!K:K)+SUMIF('Budget-Yixing'!$A:$A,$A18,'Budget-Yixing'!K:K)</f>
        <v>0</v>
      </c>
      <c r="L18" s="676">
        <f ca="1">SUMIF('Budget-ACPL'!$A:$A,$A18,'Budget-ACPL'!L:L)+SUMIF('Budget-ACPLHK'!$A:$A,$A18,'Budget-ACPLHK'!L:L)+SUMIF('Budget-ACPSZL'!$A:$A,$A18,'Budget-ACPSZL'!L:L)+SUMIF('Budget-ACPLSZ'!$A:$A,$A18,'Budget-ACPLSZ'!L:L)+SUMIF('Budget-ACPLGZ'!$A:$A,$A18,'Budget-ACPLGZ'!L:L)+SUMIF('Budget-Yixing'!$A:$A,$A18,'Budget-Yixing'!L:L)</f>
        <v>0</v>
      </c>
      <c r="M18" s="676">
        <f ca="1">SUMIF('Budget-ACPL'!$A:$A,$A18,'Budget-ACPL'!M:M)+SUMIF('Budget-ACPLHK'!$A:$A,$A18,'Budget-ACPLHK'!M:M)+SUMIF('Budget-ACPSZL'!$A:$A,$A18,'Budget-ACPSZL'!M:M)+SUMIF('Budget-ACPLSZ'!$A:$A,$A18,'Budget-ACPLSZ'!M:M)+SUMIF('Budget-ACPLGZ'!$A:$A,$A18,'Budget-ACPLGZ'!M:M)+SUMIF('Budget-Yixing'!$A:$A,$A18,'Budget-Yixing'!M:M)</f>
        <v>0</v>
      </c>
      <c r="N18" s="676">
        <f ca="1">SUMIF('Budget-ACPL'!$A:$A,$A18,'Budget-ACPL'!N:N)+SUMIF('Budget-ACPLHK'!$A:$A,$A18,'Budget-ACPLHK'!N:N)+SUMIF('Budget-ACPSZL'!$A:$A,$A18,'Budget-ACPSZL'!N:N)+SUMIF('Budget-ACPLSZ'!$A:$A,$A18,'Budget-ACPLSZ'!N:N)+SUMIF('Budget-ACPLGZ'!$A:$A,$A18,'Budget-ACPLGZ'!N:N)+SUMIF('Budget-Yixing'!$A:$A,$A18,'Budget-Yixing'!N:N)</f>
        <v>0</v>
      </c>
      <c r="O18" s="676">
        <f ca="1">SUMIF('Budget-ACPL'!$A:$A,$A18,'Budget-ACPL'!O:O)+SUMIF('Budget-ACPLHK'!$A:$A,$A18,'Budget-ACPLHK'!O:O)+SUMIF('Budget-ACPSZL'!$A:$A,$A18,'Budget-ACPSZL'!O:O)+SUMIF('Budget-ACPLSZ'!$A:$A,$A18,'Budget-ACPLSZ'!O:O)+SUMIF('Budget-ACPLGZ'!$A:$A,$A18,'Budget-ACPLGZ'!O:O)+SUMIF('Budget-Yixing'!$A:$A,$A18,'Budget-Yixing'!O:O)</f>
        <v>0</v>
      </c>
      <c r="P18" s="676">
        <f ca="1">SUMIF('Budget-ACPL'!$A:$A,$A18,'Budget-ACPL'!P:P)+SUMIF('Budget-ACPLHK'!$A:$A,$A18,'Budget-ACPLHK'!P:P)+SUMIF('Budget-ACPSZL'!$A:$A,$A18,'Budget-ACPSZL'!P:P)+SUMIF('Budget-ACPLSZ'!$A:$A,$A18,'Budget-ACPLSZ'!P:P)+SUMIF('Budget-ACPLGZ'!$A:$A,$A18,'Budget-ACPLGZ'!P:P)+SUMIF('Budget-Yixing'!$A:$A,$A18,'Budget-Yixing'!P:P)</f>
        <v>0</v>
      </c>
      <c r="Q18" s="676">
        <f ca="1">SUMIF('Budget-ACPL'!$A:$A,$A18,'Budget-ACPL'!Q:Q)+SUMIF('Budget-ACPLHK'!$A:$A,$A18,'Budget-ACPLHK'!Q:Q)+SUMIF('Budget-ACPSZL'!$A:$A,$A18,'Budget-ACPSZL'!Q:Q)+SUMIF('Budget-ACPLSZ'!$A:$A,$A18,'Budget-ACPLSZ'!Q:Q)+SUMIF('Budget-ACPLGZ'!$A:$A,$A18,'Budget-ACPLGZ'!Q:Q)+SUMIF('Budget-Yixing'!$A:$A,$A18,'Budget-Yixing'!Q:Q)</f>
        <v>0</v>
      </c>
      <c r="R18" s="676">
        <f ca="1">SUMIF('Budget-ACPL'!$A:$A,$A18,'Budget-ACPL'!R:R)+SUMIF('Budget-ACPLHK'!$A:$A,$A18,'Budget-ACPLHK'!R:R)+SUMIF('Budget-ACPSZL'!$A:$A,$A18,'Budget-ACPSZL'!R:R)+SUMIF('Budget-ACPLSZ'!$A:$A,$A18,'Budget-ACPLSZ'!R:R)+SUMIF('Budget-ACPLGZ'!$A:$A,$A18,'Budget-ACPLGZ'!R:R)+SUMIF('Budget-Yixing'!$A:$A,$A18,'Budget-Yixing'!R:R)</f>
        <v>0</v>
      </c>
      <c r="S18" s="676">
        <f ca="1">SUMIF('Budget-ACPL'!$A:$A,$A18,'Budget-ACPL'!S:S)+SUMIF('Budget-ACPLHK'!$A:$A,$A18,'Budget-ACPLHK'!S:S)+SUMIF('Budget-ACPSZL'!$A:$A,$A18,'Budget-ACPSZL'!S:S)+SUMIF('Budget-ACPLSZ'!$A:$A,$A18,'Budget-ACPLSZ'!S:S)+SUMIF('Budget-ACPLGZ'!$A:$A,$A18,'Budget-ACPLGZ'!S:S)+SUMIF('Budget-Yixing'!$A:$A,$A18,'Budget-Yixing'!S:S)</f>
        <v>0</v>
      </c>
      <c r="T18" s="676">
        <f ca="1">SUMIF('Budget-ACPL'!$A:$A,$A18,'Budget-ACPL'!T:T)+SUMIF('Budget-ACPLHK'!$A:$A,$A18,'Budget-ACPLHK'!T:T)+SUMIF('Budget-ACPSZL'!$A:$A,$A18,'Budget-ACPSZL'!T:T)+SUMIF('Budget-ACPLSZ'!$A:$A,$A18,'Budget-ACPLSZ'!T:T)+SUMIF('Budget-ACPLGZ'!$A:$A,$A18,'Budget-ACPLGZ'!T:T)+SUMIF('Budget-Yixing'!$A:$A,$A18,'Budget-Yixing'!T:T)</f>
        <v>0</v>
      </c>
      <c r="U18" s="676">
        <f ca="1">SUMIF('Budget-ACPL'!$A:$A,$A18,'Budget-ACPL'!U:U)+SUMIF('Budget-ACPLHK'!$A:$A,$A18,'Budget-ACPLHK'!U:U)+SUMIF('Budget-ACPSZL'!$A:$A,$A18,'Budget-ACPSZL'!U:U)+SUMIF('Budget-ACPLSZ'!$A:$A,$A18,'Budget-ACPLSZ'!U:U)+SUMIF('Budget-ACPLGZ'!$A:$A,$A18,'Budget-ACPLGZ'!U:U)+SUMIF('Budget-Yixing'!$A:$A,$A18,'Budget-Yixing'!U:U)</f>
        <v>0</v>
      </c>
      <c r="V18" s="676">
        <f ca="1">SUMIF('Budget-ACPL'!$A:$A,$A18,'Budget-ACPL'!V:V)+SUMIF('Budget-ACPLHK'!$A:$A,$A18,'Budget-ACPLHK'!V:V)+SUMIF('Budget-ACPSZL'!$A:$A,$A18,'Budget-ACPSZL'!V:V)+SUMIF('Budget-ACPLSZ'!$A:$A,$A18,'Budget-ACPLSZ'!V:V)+SUMIF('Budget-ACPLGZ'!$A:$A,$A18,'Budget-ACPLGZ'!V:V)+SUMIF('Budget-Yixing'!$A:$A,$A18,'Budget-Yixing'!V:V)</f>
        <v>0</v>
      </c>
      <c r="W18" s="676">
        <f t="shared" ca="1" si="6"/>
        <v>0</v>
      </c>
      <c r="Y18" s="688">
        <f ca="1">SUMIF('Budget-ACPL'!$A:$A,$A18,'Budget-ACPL'!Y:Y)+SUMIF('Budget-ACPLHK'!$A:$A,$A18,'Budget-ACPLHK'!Y:Y)+SUMIF('Budget-ACPSZL'!$A:$A,$A18,'Budget-ACPSZL'!Y:Y)+SUMIF('Budget-ACPLSZ'!$A:$A,$A18,'Budget-ACPLSZ'!Y:Y)+SUMIF('Budget-ACPLGZ'!$A:$A,$A18,'Budget-ACPLGZ'!Y:Y)+SUMIF('Budget-Yixing'!$A:$A,$A18,'Budget-Yixing'!Y:Y)</f>
        <v>0</v>
      </c>
      <c r="Z18" s="688">
        <f ca="1">SUMIF('Budget-ACPL'!$A:$A,$A18,'Budget-ACPL'!Z:Z)+SUMIF('Budget-ACPLHK'!$A:$A,$A18,'Budget-ACPLHK'!Z:Z)+SUMIF('Budget-ACPSZL'!$A:$A,$A18,'Budget-ACPSZL'!Z:Z)+SUMIF('Budget-ACPLSZ'!$A:$A,$A18,'Budget-ACPLSZ'!Z:Z)+SUMIF('Budget-ACPLGZ'!$A:$A,$A18,'Budget-ACPLGZ'!Z:Z)+SUMIF('Budget-Yixing'!$A:$A,$A18,'Budget-Yixing'!Z:Z)</f>
        <v>0</v>
      </c>
      <c r="AA18" s="688">
        <f ca="1">SUMIF('Budget-ACPL'!$A:$A,$A18,'Budget-ACPL'!AA:AA)+SUMIF('Budget-ACPLHK'!$A:$A,$A18,'Budget-ACPLHK'!AA:AA)+SUMIF('Budget-ACPSZL'!$A:$A,$A18,'Budget-ACPSZL'!AA:AA)+SUMIF('Budget-ACPLSZ'!$A:$A,$A18,'Budget-ACPLSZ'!AA:AA)+SUMIF('Budget-ACPLGZ'!$A:$A,$A18,'Budget-ACPLGZ'!AA:AA)+SUMIF('Budget-Yixing'!$A:$A,$A18,'Budget-Yixing'!AA:AA)</f>
        <v>0</v>
      </c>
      <c r="AB18" s="688">
        <f ca="1">SUMIF('Budget-ACPL'!$A:$A,$A18,'Budget-ACPL'!AB:AB)+SUMIF('Budget-ACPLHK'!$A:$A,$A18,'Budget-ACPLHK'!AB:AB)+SUMIF('Budget-ACPSZL'!$A:$A,$A18,'Budget-ACPSZL'!AB:AB)+SUMIF('Budget-ACPLSZ'!$A:$A,$A18,'Budget-ACPLSZ'!AB:AB)+SUMIF('Budget-ACPLGZ'!$A:$A,$A18,'Budget-ACPLGZ'!AB:AB)+SUMIF('Budget-Yixing'!$A:$A,$A18,'Budget-Yixing'!AB:AB)</f>
        <v>0</v>
      </c>
      <c r="AC18" s="688">
        <f ca="1">SUMIF('Budget-ACPL'!$A:$A,$A18,'Budget-ACPL'!AC:AC)+SUMIF('Budget-ACPLHK'!$A:$A,$A18,'Budget-ACPLHK'!AC:AC)+SUMIF('Budget-ACPSZL'!$A:$A,$A18,'Budget-ACPSZL'!AC:AC)+SUMIF('Budget-ACPLSZ'!$A:$A,$A18,'Budget-ACPLSZ'!AC:AC)+SUMIF('Budget-ACPLGZ'!$A:$A,$A18,'Budget-ACPLGZ'!AC:AC)+SUMIF('Budget-Yixing'!$A:$A,$A18,'Budget-Yixing'!AC:AC)</f>
        <v>0</v>
      </c>
      <c r="AD18" s="688">
        <f ca="1">SUMIF('Budget-ACPL'!$A:$A,$A18,'Budget-ACPL'!AD:AD)+SUMIF('Budget-ACPLHK'!$A:$A,$A18,'Budget-ACPLHK'!AD:AD)+SUMIF('Budget-ACPSZL'!$A:$A,$A18,'Budget-ACPSZL'!AD:AD)+SUMIF('Budget-ACPLSZ'!$A:$A,$A18,'Budget-ACPLSZ'!AD:AD)+SUMIF('Budget-ACPLGZ'!$A:$A,$A18,'Budget-ACPLGZ'!AD:AD)+SUMIF('Budget-Yixing'!$A:$A,$A18,'Budget-Yixing'!AD:AD)</f>
        <v>0</v>
      </c>
      <c r="AE18" s="688">
        <f ca="1">SUMIF('Budget-ACPL'!$A:$A,$A18,'Budget-ACPL'!AE:AE)+SUMIF('Budget-ACPLHK'!$A:$A,$A18,'Budget-ACPLHK'!AE:AE)+SUMIF('Budget-ACPSZL'!$A:$A,$A18,'Budget-ACPSZL'!AE:AE)+SUMIF('Budget-ACPLSZ'!$A:$A,$A18,'Budget-ACPLSZ'!AE:AE)+SUMIF('Budget-ACPLGZ'!$A:$A,$A18,'Budget-ACPLGZ'!AE:AE)+SUMIF('Budget-Yixing'!$A:$A,$A18,'Budget-Yixing'!AE:AE)</f>
        <v>0</v>
      </c>
      <c r="AF18" s="688">
        <f ca="1">SUMIF('Budget-ACPL'!$A:$A,$A18,'Budget-ACPL'!AF:AF)+SUMIF('Budget-ACPLHK'!$A:$A,$A18,'Budget-ACPLHK'!AF:AF)+SUMIF('Budget-ACPSZL'!$A:$A,$A18,'Budget-ACPSZL'!AF:AF)+SUMIF('Budget-ACPLSZ'!$A:$A,$A18,'Budget-ACPLSZ'!AF:AF)+SUMIF('Budget-ACPLGZ'!$A:$A,$A18,'Budget-ACPLGZ'!AF:AF)+SUMIF('Budget-Yixing'!$A:$A,$A18,'Budget-Yixing'!AF:AF)</f>
        <v>0</v>
      </c>
      <c r="AG18" s="688">
        <f ca="1">SUMIF('Budget-ACPL'!$A:$A,$A18,'Budget-ACPL'!AG:AG)+SUMIF('Budget-ACPLHK'!$A:$A,$A18,'Budget-ACPLHK'!AG:AG)+SUMIF('Budget-ACPSZL'!$A:$A,$A18,'Budget-ACPSZL'!AG:AG)+SUMIF('Budget-ACPLSZ'!$A:$A,$A18,'Budget-ACPLSZ'!AG:AG)+SUMIF('Budget-ACPLGZ'!$A:$A,$A18,'Budget-ACPLGZ'!AG:AG)+SUMIF('Budget-Yixing'!$A:$A,$A18,'Budget-Yixing'!AG:AG)</f>
        <v>0</v>
      </c>
      <c r="AH18" s="688">
        <f ca="1">SUMIF('Budget-ACPL'!$A:$A,$A18,'Budget-ACPL'!AH:AH)+SUMIF('Budget-ACPLHK'!$A:$A,$A18,'Budget-ACPLHK'!AH:AH)+SUMIF('Budget-ACPSZL'!$A:$A,$A18,'Budget-ACPSZL'!AH:AH)+SUMIF('Budget-ACPLSZ'!$A:$A,$A18,'Budget-ACPLSZ'!AH:AH)+SUMIF('Budget-ACPLGZ'!$A:$A,$A18,'Budget-ACPLGZ'!AH:AH)+SUMIF('Budget-Yixing'!$A:$A,$A18,'Budget-Yixing'!AH:AH)</f>
        <v>0</v>
      </c>
      <c r="AI18" s="688">
        <f ca="1">SUMIF('Budget-ACPL'!$A:$A,$A18,'Budget-ACPL'!AI:AI)+SUMIF('Budget-ACPLHK'!$A:$A,$A18,'Budget-ACPLHK'!AI:AI)+SUMIF('Budget-ACPSZL'!$A:$A,$A18,'Budget-ACPSZL'!AI:AI)+SUMIF('Budget-ACPLSZ'!$A:$A,$A18,'Budget-ACPLSZ'!AI:AI)+SUMIF('Budget-ACPLGZ'!$A:$A,$A18,'Budget-ACPLGZ'!AI:AI)+SUMIF('Budget-Yixing'!$A:$A,$A18,'Budget-Yixing'!AI:AI)</f>
        <v>0</v>
      </c>
      <c r="AJ18" s="688">
        <f ca="1">SUMIF('Budget-ACPL'!$A:$A,$A18,'Budget-ACPL'!AJ:AJ)+SUMIF('Budget-ACPLHK'!$A:$A,$A18,'Budget-ACPLHK'!AJ:AJ)+SUMIF('Budget-ACPSZL'!$A:$A,$A18,'Budget-ACPSZL'!AJ:AJ)+SUMIF('Budget-ACPLSZ'!$A:$A,$A18,'Budget-ACPLSZ'!AJ:AJ)+SUMIF('Budget-ACPLGZ'!$A:$A,$A18,'Budget-ACPLGZ'!AJ:AJ)+SUMIF('Budget-Yixing'!$A:$A,$A18,'Budget-Yixing'!AJ:AJ)</f>
        <v>0</v>
      </c>
      <c r="AK18" s="688">
        <f t="shared" ca="1" si="12"/>
        <v>0</v>
      </c>
    </row>
    <row r="19" spans="1:37" ht="13.5" customHeight="1">
      <c r="A19" s="712">
        <v>6401</v>
      </c>
      <c r="B19" s="649" t="s">
        <v>2088</v>
      </c>
      <c r="C19" s="687"/>
      <c r="D19" s="674">
        <f t="shared" ca="1" si="7"/>
        <v>0</v>
      </c>
      <c r="E19" s="674" t="e">
        <f t="shared" ref="E19:E42" si="13">INDEX($Y19:$AJ19,1,MATCH(E$6,$Y$6:$AJ$6))</f>
        <v>#N/A</v>
      </c>
      <c r="F19" s="674" t="e">
        <f t="shared" ref="F19:F41" ca="1" si="14">D19-E19</f>
        <v>#N/A</v>
      </c>
      <c r="G19" s="674">
        <f t="shared" ca="1" si="4"/>
        <v>0</v>
      </c>
      <c r="H19" s="674" t="e">
        <f t="shared" ca="1" si="11"/>
        <v>#N/A</v>
      </c>
      <c r="I19" s="674" t="e">
        <f t="shared" ref="I19:I42" ca="1" si="15">G19-H19</f>
        <v>#N/A</v>
      </c>
      <c r="K19" s="674">
        <f t="shared" ref="K19:W19" ca="1" si="16">SUM(K14:K18)</f>
        <v>0</v>
      </c>
      <c r="L19" s="674">
        <f t="shared" ca="1" si="16"/>
        <v>0</v>
      </c>
      <c r="M19" s="674">
        <f t="shared" ca="1" si="16"/>
        <v>0</v>
      </c>
      <c r="N19" s="674">
        <f t="shared" ca="1" si="16"/>
        <v>1311.4399999999998</v>
      </c>
      <c r="O19" s="674">
        <f t="shared" ca="1" si="16"/>
        <v>20373.169999999998</v>
      </c>
      <c r="P19" s="674">
        <f t="shared" ca="1" si="16"/>
        <v>3153.04</v>
      </c>
      <c r="Q19" s="674">
        <f t="shared" ca="1" si="16"/>
        <v>9033.73</v>
      </c>
      <c r="R19" s="674">
        <f t="shared" ca="1" si="16"/>
        <v>0</v>
      </c>
      <c r="S19" s="674">
        <f t="shared" ca="1" si="16"/>
        <v>0</v>
      </c>
      <c r="T19" s="674">
        <f t="shared" ca="1" si="16"/>
        <v>19581.53</v>
      </c>
      <c r="U19" s="674">
        <f t="shared" ca="1" si="16"/>
        <v>0</v>
      </c>
      <c r="V19" s="674">
        <f t="shared" ca="1" si="16"/>
        <v>1776.36</v>
      </c>
      <c r="W19" s="674">
        <f t="shared" ca="1" si="16"/>
        <v>55229.27</v>
      </c>
      <c r="Y19" s="654">
        <f t="shared" ref="Y19:AK19" ca="1" si="17">SUM(Y14:Y18)</f>
        <v>2508.3200000000002</v>
      </c>
      <c r="Z19" s="654">
        <f t="shared" ca="1" si="17"/>
        <v>1211.81</v>
      </c>
      <c r="AA19" s="654">
        <f t="shared" ca="1" si="17"/>
        <v>2661.36</v>
      </c>
      <c r="AB19" s="654">
        <f t="shared" ca="1" si="17"/>
        <v>2.5</v>
      </c>
      <c r="AC19" s="654">
        <f t="shared" ca="1" si="17"/>
        <v>3094.9500000000003</v>
      </c>
      <c r="AD19" s="654">
        <f t="shared" ca="1" si="17"/>
        <v>0</v>
      </c>
      <c r="AE19" s="654">
        <f t="shared" ca="1" si="17"/>
        <v>0</v>
      </c>
      <c r="AF19" s="654">
        <f t="shared" ca="1" si="17"/>
        <v>0</v>
      </c>
      <c r="AG19" s="654">
        <f t="shared" ca="1" si="17"/>
        <v>0</v>
      </c>
      <c r="AH19" s="654">
        <f t="shared" ca="1" si="17"/>
        <v>0</v>
      </c>
      <c r="AI19" s="654">
        <f t="shared" ca="1" si="17"/>
        <v>0</v>
      </c>
      <c r="AJ19" s="654">
        <f t="shared" ca="1" si="17"/>
        <v>0</v>
      </c>
      <c r="AK19" s="654">
        <f t="shared" ca="1" si="17"/>
        <v>9478.94</v>
      </c>
    </row>
    <row r="20" spans="1:37" ht="13.5" customHeight="1">
      <c r="A20" s="713"/>
      <c r="K20" s="654"/>
      <c r="L20" s="654"/>
      <c r="M20" s="654"/>
      <c r="N20" s="654"/>
      <c r="O20" s="654"/>
      <c r="P20" s="654"/>
      <c r="Q20" s="654"/>
      <c r="R20" s="654"/>
      <c r="S20" s="654"/>
      <c r="T20" s="654"/>
      <c r="U20" s="654"/>
      <c r="V20" s="654"/>
      <c r="W20" s="654"/>
    </row>
    <row r="21" spans="1:37" ht="13.5" customHeight="1">
      <c r="A21" s="713"/>
      <c r="B21" s="714"/>
      <c r="C21" s="714"/>
      <c r="D21" s="677"/>
      <c r="E21" s="677"/>
      <c r="F21" s="677"/>
      <c r="G21" s="677"/>
      <c r="H21" s="677"/>
      <c r="I21" s="677"/>
      <c r="K21" s="677"/>
      <c r="L21" s="677"/>
      <c r="M21" s="677"/>
      <c r="N21" s="677"/>
      <c r="O21" s="677"/>
      <c r="P21" s="677"/>
      <c r="Q21" s="677"/>
      <c r="R21" s="677"/>
      <c r="S21" s="677"/>
      <c r="T21" s="677"/>
      <c r="U21" s="677"/>
      <c r="V21" s="677"/>
      <c r="W21" s="677"/>
    </row>
    <row r="22" spans="1:37" ht="13.5" customHeight="1">
      <c r="A22" s="715" t="s">
        <v>1425</v>
      </c>
      <c r="B22" s="649" t="s">
        <v>1426</v>
      </c>
      <c r="C22" s="687">
        <f>VLOOKUP(A22,Account!A:F,4,0)</f>
        <v>0</v>
      </c>
      <c r="D22" s="677"/>
      <c r="E22" s="677"/>
      <c r="F22" s="677"/>
      <c r="G22" s="677"/>
      <c r="H22" s="677"/>
      <c r="I22" s="677"/>
      <c r="K22" s="677"/>
      <c r="L22" s="677"/>
      <c r="M22" s="677"/>
      <c r="N22" s="677"/>
      <c r="O22" s="677"/>
      <c r="P22" s="677"/>
      <c r="Q22" s="677"/>
      <c r="R22" s="677"/>
      <c r="S22" s="677"/>
      <c r="T22" s="677"/>
      <c r="U22" s="677"/>
      <c r="V22" s="677"/>
      <c r="W22" s="677"/>
    </row>
    <row r="23" spans="1:37" ht="13.5" customHeight="1">
      <c r="A23" s="716" t="s">
        <v>1428</v>
      </c>
      <c r="B23" s="717" t="str">
        <f>VLOOKUP(A23,Account!A:B,2,0)</f>
        <v>工资薪金</v>
      </c>
      <c r="C23" s="687">
        <f>VLOOKUP(A23,Account!A:F,4,0)</f>
        <v>0</v>
      </c>
      <c r="D23" s="676">
        <f t="shared" ref="D23:D42" ca="1" si="18">INDEX($K23:$W23,1,MATCH(D$6,$K$6:$W$6))</f>
        <v>1116256.764</v>
      </c>
      <c r="E23" s="676" t="e">
        <f t="shared" si="13"/>
        <v>#N/A</v>
      </c>
      <c r="F23" s="676" t="e">
        <f t="shared" ca="1" si="14"/>
        <v>#N/A</v>
      </c>
      <c r="G23" s="676">
        <f t="shared" ref="G23:G42" ca="1" si="19">SUM($K23:OFFSET($K23,0,MATCH(G$6,$K$6:$W$6)-1))</f>
        <v>1116256.764</v>
      </c>
      <c r="H23" s="676" t="e">
        <f t="shared" ref="H23:H42" ca="1" si="20">SUM($Y23:OFFSET($Y23,0,MATCH(H$6,$Y$6:$AJ$6)-1))</f>
        <v>#N/A</v>
      </c>
      <c r="I23" s="676" t="e">
        <f t="shared" ca="1" si="15"/>
        <v>#N/A</v>
      </c>
      <c r="K23" s="676">
        <f ca="1">SUMIF('Budget-ACPL'!$A:$A,$A23,'Budget-ACPL'!K:K)+SUMIF('Budget-ACPLHK'!$A:$A,$A23,'Budget-ACPLHK'!K:K)+SUMIF('Budget-ACPSZL'!$A:$A,$A23,'Budget-ACPSZL'!K:K)+SUMIF('Budget-ACPLSZ'!$A:$A,$A23,'Budget-ACPLSZ'!K:K)+SUMIF('Budget-ACPLGZ'!$A:$A,$A23,'Budget-ACPLGZ'!K:K)+SUMIF('Budget-Yixing'!$A:$A,$A23,'Budget-Yixing'!K:K)</f>
        <v>1116256.764</v>
      </c>
      <c r="L23" s="676">
        <f ca="1">SUMIF('Budget-ACPL'!$A:$A,$A23,'Budget-ACPL'!L:L)+SUMIF('Budget-ACPLHK'!$A:$A,$A23,'Budget-ACPLHK'!L:L)+SUMIF('Budget-ACPSZL'!$A:$A,$A23,'Budget-ACPSZL'!L:L)+SUMIF('Budget-ACPLSZ'!$A:$A,$A23,'Budget-ACPLSZ'!L:L)+SUMIF('Budget-ACPLGZ'!$A:$A,$A23,'Budget-ACPLGZ'!L:L)+SUMIF('Budget-Yixing'!$A:$A,$A23,'Budget-Yixing'!L:L)</f>
        <v>1167056.764</v>
      </c>
      <c r="M23" s="676">
        <f ca="1">SUMIF('Budget-ACPL'!$A:$A,$A23,'Budget-ACPL'!M:M)+SUMIF('Budget-ACPLHK'!$A:$A,$A23,'Budget-ACPLHK'!M:M)+SUMIF('Budget-ACPSZL'!$A:$A,$A23,'Budget-ACPSZL'!M:M)+SUMIF('Budget-ACPLSZ'!$A:$A,$A23,'Budget-ACPLSZ'!M:M)+SUMIF('Budget-ACPLGZ'!$A:$A,$A23,'Budget-ACPLGZ'!M:M)+SUMIF('Budget-Yixing'!$A:$A,$A23,'Budget-Yixing'!M:M)</f>
        <v>1176206.764</v>
      </c>
      <c r="N23" s="676">
        <f ca="1">SUMIF('Budget-ACPL'!$A:$A,$A23,'Budget-ACPL'!N:N)+SUMIF('Budget-ACPLHK'!$A:$A,$A23,'Budget-ACPLHK'!N:N)+SUMIF('Budget-ACPSZL'!$A:$A,$A23,'Budget-ACPSZL'!N:N)+SUMIF('Budget-ACPLSZ'!$A:$A,$A23,'Budget-ACPLSZ'!N:N)+SUMIF('Budget-ACPLGZ'!$A:$A,$A23,'Budget-ACPLGZ'!N:N)+SUMIF('Budget-Yixing'!$A:$A,$A23,'Budget-Yixing'!N:N)</f>
        <v>3369762.764</v>
      </c>
      <c r="O23" s="676">
        <f ca="1">SUMIF('Budget-ACPL'!$A:$A,$A23,'Budget-ACPL'!O:O)+SUMIF('Budget-ACPLHK'!$A:$A,$A23,'Budget-ACPLHK'!O:O)+SUMIF('Budget-ACPSZL'!$A:$A,$A23,'Budget-ACPSZL'!O:O)+SUMIF('Budget-ACPLSZ'!$A:$A,$A23,'Budget-ACPLSZ'!O:O)+SUMIF('Budget-ACPLGZ'!$A:$A,$A23,'Budget-ACPLGZ'!O:O)+SUMIF('Budget-Yixing'!$A:$A,$A23,'Budget-Yixing'!O:O)</f>
        <v>1499456.764</v>
      </c>
      <c r="P23" s="676">
        <f ca="1">SUMIF('Budget-ACPL'!$A:$A,$A23,'Budget-ACPL'!P:P)+SUMIF('Budget-ACPLHK'!$A:$A,$A23,'Budget-ACPLHK'!P:P)+SUMIF('Budget-ACPSZL'!$A:$A,$A23,'Budget-ACPSZL'!P:P)+SUMIF('Budget-ACPLSZ'!$A:$A,$A23,'Budget-ACPLSZ'!P:P)+SUMIF('Budget-ACPLGZ'!$A:$A,$A23,'Budget-ACPLGZ'!P:P)+SUMIF('Budget-Yixing'!$A:$A,$A23,'Budget-Yixing'!P:P)</f>
        <v>1499456.764</v>
      </c>
      <c r="Q23" s="676">
        <f ca="1">SUMIF('Budget-ACPL'!$A:$A,$A23,'Budget-ACPL'!Q:Q)+SUMIF('Budget-ACPLHK'!$A:$A,$A23,'Budget-ACPLHK'!Q:Q)+SUMIF('Budget-ACPSZL'!$A:$A,$A23,'Budget-ACPSZL'!Q:Q)+SUMIF('Budget-ACPLSZ'!$A:$A,$A23,'Budget-ACPLSZ'!Q:Q)+SUMIF('Budget-ACPLGZ'!$A:$A,$A23,'Budget-ACPLGZ'!Q:Q)+SUMIF('Budget-Yixing'!$A:$A,$A23,'Budget-Yixing'!Q:Q)</f>
        <v>1499456.764</v>
      </c>
      <c r="R23" s="676">
        <f ca="1">SUMIF('Budget-ACPL'!$A:$A,$A23,'Budget-ACPL'!R:R)+SUMIF('Budget-ACPLHK'!$A:$A,$A23,'Budget-ACPLHK'!R:R)+SUMIF('Budget-ACPSZL'!$A:$A,$A23,'Budget-ACPSZL'!R:R)+SUMIF('Budget-ACPLSZ'!$A:$A,$A23,'Budget-ACPLSZ'!R:R)+SUMIF('Budget-ACPLGZ'!$A:$A,$A23,'Budget-ACPLGZ'!R:R)+SUMIF('Budget-Yixing'!$A:$A,$A23,'Budget-Yixing'!R:R)</f>
        <v>1516456.764</v>
      </c>
      <c r="S23" s="676">
        <f ca="1">SUMIF('Budget-ACPL'!$A:$A,$A23,'Budget-ACPL'!S:S)+SUMIF('Budget-ACPLHK'!$A:$A,$A23,'Budget-ACPLHK'!S:S)+SUMIF('Budget-ACPSZL'!$A:$A,$A23,'Budget-ACPSZL'!S:S)+SUMIF('Budget-ACPLSZ'!$A:$A,$A23,'Budget-ACPLSZ'!S:S)+SUMIF('Budget-ACPLGZ'!$A:$A,$A23,'Budget-ACPLGZ'!S:S)+SUMIF('Budget-Yixing'!$A:$A,$A23,'Budget-Yixing'!S:S)</f>
        <v>1516456.764</v>
      </c>
      <c r="T23" s="676">
        <f ca="1">SUMIF('Budget-ACPL'!$A:$A,$A23,'Budget-ACPL'!T:T)+SUMIF('Budget-ACPLHK'!$A:$A,$A23,'Budget-ACPLHK'!T:T)+SUMIF('Budget-ACPSZL'!$A:$A,$A23,'Budget-ACPSZL'!T:T)+SUMIF('Budget-ACPLSZ'!$A:$A,$A23,'Budget-ACPLSZ'!T:T)+SUMIF('Budget-ACPLGZ'!$A:$A,$A23,'Budget-ACPLGZ'!T:T)+SUMIF('Budget-Yixing'!$A:$A,$A23,'Budget-Yixing'!T:T)</f>
        <v>1516456.764</v>
      </c>
      <c r="U23" s="676">
        <f ca="1">SUMIF('Budget-ACPL'!$A:$A,$A23,'Budget-ACPL'!U:U)+SUMIF('Budget-ACPLHK'!$A:$A,$A23,'Budget-ACPLHK'!U:U)+SUMIF('Budget-ACPSZL'!$A:$A,$A23,'Budget-ACPSZL'!U:U)+SUMIF('Budget-ACPLSZ'!$A:$A,$A23,'Budget-ACPLSZ'!U:U)+SUMIF('Budget-ACPLGZ'!$A:$A,$A23,'Budget-ACPLGZ'!U:U)+SUMIF('Budget-Yixing'!$A:$A,$A23,'Budget-Yixing'!U:U)</f>
        <v>1516456.764</v>
      </c>
      <c r="V23" s="676">
        <f ca="1">SUMIF('Budget-ACPL'!$A:$A,$A23,'Budget-ACPL'!V:V)+SUMIF('Budget-ACPLHK'!$A:$A,$A23,'Budget-ACPLHK'!V:V)+SUMIF('Budget-ACPSZL'!$A:$A,$A23,'Budget-ACPSZL'!V:V)+SUMIF('Budget-ACPLSZ'!$A:$A,$A23,'Budget-ACPLSZ'!V:V)+SUMIF('Budget-ACPLGZ'!$A:$A,$A23,'Budget-ACPLGZ'!V:V)+SUMIF('Budget-Yixing'!$A:$A,$A23,'Budget-Yixing'!V:V)</f>
        <v>2839885.3354285713</v>
      </c>
      <c r="W23" s="676">
        <f t="shared" ref="W23:W32" ca="1" si="21">SUM(K23:V23)</f>
        <v>20233365.739428572</v>
      </c>
      <c r="Y23" s="688">
        <f ca="1">SUMIF('Budget-ACPL'!$A:$A,$A23,'Budget-ACPL'!Y:Y)+SUMIF('Budget-ACPLHK'!$A:$A,$A23,'Budget-ACPLHK'!Y:Y)+SUMIF('Budget-ACPSZL'!$A:$A,$A23,'Budget-ACPSZL'!Y:Y)+SUMIF('Budget-ACPLSZ'!$A:$A,$A23,'Budget-ACPLSZ'!Y:Y)+SUMIF('Budget-ACPLGZ'!$A:$A,$A23,'Budget-ACPLGZ'!Y:Y)+SUMIF('Budget-Yixing'!$A:$A,$A23,'Budget-Yixing'!Y:Y)</f>
        <v>1356235.5</v>
      </c>
      <c r="Z23" s="688">
        <f ca="1">SUMIF('Budget-ACPL'!$A:$A,$A23,'Budget-ACPL'!Z:Z)+SUMIF('Budget-ACPLHK'!$A:$A,$A23,'Budget-ACPLHK'!Z:Z)+SUMIF('Budget-ACPSZL'!$A:$A,$A23,'Budget-ACPSZL'!Z:Z)+SUMIF('Budget-ACPLSZ'!$A:$A,$A23,'Budget-ACPLSZ'!Z:Z)+SUMIF('Budget-ACPLGZ'!$A:$A,$A23,'Budget-ACPLGZ'!Z:Z)+SUMIF('Budget-Yixing'!$A:$A,$A23,'Budget-Yixing'!Z:Z)</f>
        <v>1369031.48</v>
      </c>
      <c r="AA23" s="688">
        <f ca="1">SUMIF('Budget-ACPL'!$A:$A,$A23,'Budget-ACPL'!AA:AA)+SUMIF('Budget-ACPLHK'!$A:$A,$A23,'Budget-ACPLHK'!AA:AA)+SUMIF('Budget-ACPSZL'!$A:$A,$A23,'Budget-ACPSZL'!AA:AA)+SUMIF('Budget-ACPLSZ'!$A:$A,$A23,'Budget-ACPLSZ'!AA:AA)+SUMIF('Budget-ACPLGZ'!$A:$A,$A23,'Budget-ACPLGZ'!AA:AA)+SUMIF('Budget-Yixing'!$A:$A,$A23,'Budget-Yixing'!AA:AA)</f>
        <v>1532634.58</v>
      </c>
      <c r="AB23" s="688">
        <f ca="1">SUMIF('Budget-ACPL'!$A:$A,$A23,'Budget-ACPL'!AB:AB)+SUMIF('Budget-ACPLHK'!$A:$A,$A23,'Budget-ACPLHK'!AB:AB)+SUMIF('Budget-ACPSZL'!$A:$A,$A23,'Budget-ACPSZL'!AB:AB)+SUMIF('Budget-ACPLSZ'!$A:$A,$A23,'Budget-ACPLSZ'!AB:AB)+SUMIF('Budget-ACPLGZ'!$A:$A,$A23,'Budget-ACPLGZ'!AB:AB)+SUMIF('Budget-Yixing'!$A:$A,$A23,'Budget-Yixing'!AB:AB)</f>
        <v>1346335.5</v>
      </c>
      <c r="AC23" s="688">
        <f ca="1">SUMIF('Budget-ACPL'!$A:$A,$A23,'Budget-ACPL'!AC:AC)+SUMIF('Budget-ACPLHK'!$A:$A,$A23,'Budget-ACPLHK'!AC:AC)+SUMIF('Budget-ACPSZL'!$A:$A,$A23,'Budget-ACPSZL'!AC:AC)+SUMIF('Budget-ACPLSZ'!$A:$A,$A23,'Budget-ACPLSZ'!AC:AC)+SUMIF('Budget-ACPLGZ'!$A:$A,$A23,'Budget-ACPLGZ'!AC:AC)+SUMIF('Budget-Yixing'!$A:$A,$A23,'Budget-Yixing'!AC:AC)</f>
        <v>1486503.32</v>
      </c>
      <c r="AD23" s="688">
        <f ca="1">SUMIF('Budget-ACPL'!$A:$A,$A23,'Budget-ACPL'!AD:AD)+SUMIF('Budget-ACPLHK'!$A:$A,$A23,'Budget-ACPLHK'!AD:AD)+SUMIF('Budget-ACPSZL'!$A:$A,$A23,'Budget-ACPSZL'!AD:AD)+SUMIF('Budget-ACPLSZ'!$A:$A,$A23,'Budget-ACPLSZ'!AD:AD)+SUMIF('Budget-ACPLGZ'!$A:$A,$A23,'Budget-ACPLGZ'!AD:AD)+SUMIF('Budget-Yixing'!$A:$A,$A23,'Budget-Yixing'!AD:AD)</f>
        <v>1375418.48</v>
      </c>
      <c r="AE23" s="688">
        <f ca="1">SUMIF('Budget-ACPL'!$A:$A,$A23,'Budget-ACPL'!AE:AE)+SUMIF('Budget-ACPLHK'!$A:$A,$A23,'Budget-ACPLHK'!AE:AE)+SUMIF('Budget-ACPSZL'!$A:$A,$A23,'Budget-ACPSZL'!AE:AE)+SUMIF('Budget-ACPLSZ'!$A:$A,$A23,'Budget-ACPLSZ'!AE:AE)+SUMIF('Budget-ACPLGZ'!$A:$A,$A23,'Budget-ACPLGZ'!AE:AE)+SUMIF('Budget-Yixing'!$A:$A,$A23,'Budget-Yixing'!AE:AE)</f>
        <v>1321347.5900000001</v>
      </c>
      <c r="AF23" s="688">
        <f ca="1">SUMIF('Budget-ACPL'!$A:$A,$A23,'Budget-ACPL'!AF:AF)+SUMIF('Budget-ACPLHK'!$A:$A,$A23,'Budget-ACPLHK'!AF:AF)+SUMIF('Budget-ACPSZL'!$A:$A,$A23,'Budget-ACPSZL'!AF:AF)+SUMIF('Budget-ACPLSZ'!$A:$A,$A23,'Budget-ACPLSZ'!AF:AF)+SUMIF('Budget-ACPLGZ'!$A:$A,$A23,'Budget-ACPLGZ'!AF:AF)+SUMIF('Budget-Yixing'!$A:$A,$A23,'Budget-Yixing'!AF:AF)</f>
        <v>1180879.6599999999</v>
      </c>
      <c r="AG23" s="688">
        <f ca="1">SUMIF('Budget-ACPL'!$A:$A,$A23,'Budget-ACPL'!AG:AG)+SUMIF('Budget-ACPLHK'!$A:$A,$A23,'Budget-ACPLHK'!AG:AG)+SUMIF('Budget-ACPSZL'!$A:$A,$A23,'Budget-ACPSZL'!AG:AG)+SUMIF('Budget-ACPLSZ'!$A:$A,$A23,'Budget-ACPLSZ'!AG:AG)+SUMIF('Budget-ACPLGZ'!$A:$A,$A23,'Budget-ACPLGZ'!AG:AG)+SUMIF('Budget-Yixing'!$A:$A,$A23,'Budget-Yixing'!AG:AG)</f>
        <v>1308167.94</v>
      </c>
      <c r="AH23" s="688">
        <f ca="1">SUMIF('Budget-ACPL'!$A:$A,$A23,'Budget-ACPL'!AH:AH)+SUMIF('Budget-ACPLHK'!$A:$A,$A23,'Budget-ACPLHK'!AH:AH)+SUMIF('Budget-ACPSZL'!$A:$A,$A23,'Budget-ACPSZL'!AH:AH)+SUMIF('Budget-ACPLSZ'!$A:$A,$A23,'Budget-ACPLSZ'!AH:AH)+SUMIF('Budget-ACPLGZ'!$A:$A,$A23,'Budget-ACPLGZ'!AH:AH)+SUMIF('Budget-Yixing'!$A:$A,$A23,'Budget-Yixing'!AH:AH)</f>
        <v>1270608.56</v>
      </c>
      <c r="AI23" s="688">
        <f ca="1">SUMIF('Budget-ACPL'!$A:$A,$A23,'Budget-ACPL'!AI:AI)+SUMIF('Budget-ACPLHK'!$A:$A,$A23,'Budget-ACPLHK'!AI:AI)+SUMIF('Budget-ACPSZL'!$A:$A,$A23,'Budget-ACPSZL'!AI:AI)+SUMIF('Budget-ACPLSZ'!$A:$A,$A23,'Budget-ACPLSZ'!AI:AI)+SUMIF('Budget-ACPLGZ'!$A:$A,$A23,'Budget-ACPLGZ'!AI:AI)+SUMIF('Budget-Yixing'!$A:$A,$A23,'Budget-Yixing'!AI:AI)</f>
        <v>1163274.71</v>
      </c>
      <c r="AJ23" s="688">
        <f ca="1">SUMIF('Budget-ACPL'!$A:$A,$A23,'Budget-ACPL'!AJ:AJ)+SUMIF('Budget-ACPLHK'!$A:$A,$A23,'Budget-ACPLHK'!AJ:AJ)+SUMIF('Budget-ACPSZL'!$A:$A,$A23,'Budget-ACPSZL'!AJ:AJ)+SUMIF('Budget-ACPLSZ'!$A:$A,$A23,'Budget-ACPLSZ'!AJ:AJ)+SUMIF('Budget-ACPLGZ'!$A:$A,$A23,'Budget-ACPLGZ'!AJ:AJ)+SUMIF('Budget-Yixing'!$A:$A,$A23,'Budget-Yixing'!AJ:AJ)</f>
        <v>1197484.93</v>
      </c>
      <c r="AK23" s="688">
        <f t="shared" ref="AK23:AK41" ca="1" si="22">SUM(Y23:AJ23)</f>
        <v>15907922.25</v>
      </c>
    </row>
    <row r="24" spans="1:37" ht="13.5" customHeight="1">
      <c r="A24" s="713" t="s">
        <v>1432</v>
      </c>
      <c r="B24" s="687" t="str">
        <f>VLOOKUP(A24,Account!A:B,2,0)</f>
        <v>基本工资（专业）</v>
      </c>
      <c r="C24" s="687" t="str">
        <f>VLOOKUP(A24,Account!A:F,4,0)</f>
        <v>Salary Professional</v>
      </c>
      <c r="D24" s="676">
        <f t="shared" ca="1" si="18"/>
        <v>852905.76399999997</v>
      </c>
      <c r="E24" s="676" t="e">
        <f t="shared" si="13"/>
        <v>#N/A</v>
      </c>
      <c r="F24" s="676" t="e">
        <f t="shared" ca="1" si="14"/>
        <v>#N/A</v>
      </c>
      <c r="G24" s="676">
        <f t="shared" ca="1" si="19"/>
        <v>852905.76399999997</v>
      </c>
      <c r="H24" s="676" t="e">
        <f t="shared" ca="1" si="20"/>
        <v>#N/A</v>
      </c>
      <c r="I24" s="676" t="e">
        <f t="shared" ca="1" si="15"/>
        <v>#N/A</v>
      </c>
      <c r="K24" s="676">
        <f ca="1">SUMIF('Budget-ACPL'!$A:$A,$A24,'Budget-ACPL'!K:K)+SUMIF('Budget-ACPLHK'!$A:$A,$A24,'Budget-ACPLHK'!K:K)+SUMIF('Budget-ACPSZL'!$A:$A,$A24,'Budget-ACPSZL'!K:K)+SUMIF('Budget-ACPLSZ'!$A:$A,$A24,'Budget-ACPLSZ'!K:K)+SUMIF('Budget-ACPLGZ'!$A:$A,$A24,'Budget-ACPLGZ'!K:K)+SUMIF('Budget-Yixing'!$A:$A,$A24,'Budget-Yixing'!K:K)</f>
        <v>852905.76399999997</v>
      </c>
      <c r="L24" s="676">
        <f ca="1">SUMIF('Budget-ACPL'!$A:$A,$A24,'Budget-ACPL'!L:L)+SUMIF('Budget-ACPLHK'!$A:$A,$A24,'Budget-ACPLHK'!L:L)+SUMIF('Budget-ACPSZL'!$A:$A,$A24,'Budget-ACPSZL'!L:L)+SUMIF('Budget-ACPLSZ'!$A:$A,$A24,'Budget-ACPLSZ'!L:L)+SUMIF('Budget-ACPLGZ'!$A:$A,$A24,'Budget-ACPLGZ'!L:L)+SUMIF('Budget-Yixing'!$A:$A,$A24,'Budget-Yixing'!L:L)</f>
        <v>903705.76399999997</v>
      </c>
      <c r="M24" s="676">
        <f ca="1">SUMIF('Budget-ACPL'!$A:$A,$A24,'Budget-ACPL'!M:M)+SUMIF('Budget-ACPLHK'!$A:$A,$A24,'Budget-ACPLHK'!M:M)+SUMIF('Budget-ACPSZL'!$A:$A,$A24,'Budget-ACPSZL'!M:M)+SUMIF('Budget-ACPLSZ'!$A:$A,$A24,'Budget-ACPLSZ'!M:M)+SUMIF('Budget-ACPLGZ'!$A:$A,$A24,'Budget-ACPLGZ'!M:M)+SUMIF('Budget-Yixing'!$A:$A,$A24,'Budget-Yixing'!M:M)</f>
        <v>912855.76399999997</v>
      </c>
      <c r="N24" s="676">
        <f ca="1">SUMIF('Budget-ACPL'!$A:$A,$A24,'Budget-ACPL'!N:N)+SUMIF('Budget-ACPLHK'!$A:$A,$A24,'Budget-ACPLHK'!N:N)+SUMIF('Budget-ACPSZL'!$A:$A,$A24,'Budget-ACPSZL'!N:N)+SUMIF('Budget-ACPLSZ'!$A:$A,$A24,'Budget-ACPLSZ'!N:N)+SUMIF('Budget-ACPLGZ'!$A:$A,$A24,'Budget-ACPLGZ'!N:N)+SUMIF('Budget-Yixing'!$A:$A,$A24,'Budget-Yixing'!N:N)</f>
        <v>970105.76399999997</v>
      </c>
      <c r="O24" s="676">
        <f ca="1">SUMIF('Budget-ACPL'!$A:$A,$A24,'Budget-ACPL'!O:O)+SUMIF('Budget-ACPLHK'!$A:$A,$A24,'Budget-ACPLHK'!O:O)+SUMIF('Budget-ACPSZL'!$A:$A,$A24,'Budget-ACPSZL'!O:O)+SUMIF('Budget-ACPLSZ'!$A:$A,$A24,'Budget-ACPLSZ'!O:O)+SUMIF('Budget-ACPLGZ'!$A:$A,$A24,'Budget-ACPLGZ'!O:O)+SUMIF('Budget-Yixing'!$A:$A,$A24,'Budget-Yixing'!O:O)</f>
        <v>1236105.764</v>
      </c>
      <c r="P24" s="676">
        <f ca="1">SUMIF('Budget-ACPL'!$A:$A,$A24,'Budget-ACPL'!P:P)+SUMIF('Budget-ACPLHK'!$A:$A,$A24,'Budget-ACPLHK'!P:P)+SUMIF('Budget-ACPSZL'!$A:$A,$A24,'Budget-ACPSZL'!P:P)+SUMIF('Budget-ACPLSZ'!$A:$A,$A24,'Budget-ACPLSZ'!P:P)+SUMIF('Budget-ACPLGZ'!$A:$A,$A24,'Budget-ACPLGZ'!P:P)+SUMIF('Budget-Yixing'!$A:$A,$A24,'Budget-Yixing'!P:P)</f>
        <v>1236105.764</v>
      </c>
      <c r="Q24" s="676">
        <f ca="1">SUMIF('Budget-ACPL'!$A:$A,$A24,'Budget-ACPL'!Q:Q)+SUMIF('Budget-ACPLHK'!$A:$A,$A24,'Budget-ACPLHK'!Q:Q)+SUMIF('Budget-ACPSZL'!$A:$A,$A24,'Budget-ACPSZL'!Q:Q)+SUMIF('Budget-ACPLSZ'!$A:$A,$A24,'Budget-ACPLSZ'!Q:Q)+SUMIF('Budget-ACPLGZ'!$A:$A,$A24,'Budget-ACPLGZ'!Q:Q)+SUMIF('Budget-Yixing'!$A:$A,$A24,'Budget-Yixing'!Q:Q)</f>
        <v>1236105.764</v>
      </c>
      <c r="R24" s="676">
        <f ca="1">SUMIF('Budget-ACPL'!$A:$A,$A24,'Budget-ACPL'!R:R)+SUMIF('Budget-ACPLHK'!$A:$A,$A24,'Budget-ACPLHK'!R:R)+SUMIF('Budget-ACPSZL'!$A:$A,$A24,'Budget-ACPSZL'!R:R)+SUMIF('Budget-ACPLSZ'!$A:$A,$A24,'Budget-ACPLSZ'!R:R)+SUMIF('Budget-ACPLGZ'!$A:$A,$A24,'Budget-ACPLGZ'!R:R)+SUMIF('Budget-Yixing'!$A:$A,$A24,'Budget-Yixing'!R:R)</f>
        <v>1253105.764</v>
      </c>
      <c r="S24" s="676">
        <f ca="1">SUMIF('Budget-ACPL'!$A:$A,$A24,'Budget-ACPL'!S:S)+SUMIF('Budget-ACPLHK'!$A:$A,$A24,'Budget-ACPLHK'!S:S)+SUMIF('Budget-ACPSZL'!$A:$A,$A24,'Budget-ACPSZL'!S:S)+SUMIF('Budget-ACPLSZ'!$A:$A,$A24,'Budget-ACPLSZ'!S:S)+SUMIF('Budget-ACPLGZ'!$A:$A,$A24,'Budget-ACPLGZ'!S:S)+SUMIF('Budget-Yixing'!$A:$A,$A24,'Budget-Yixing'!S:S)</f>
        <v>1253105.764</v>
      </c>
      <c r="T24" s="676">
        <f ca="1">SUMIF('Budget-ACPL'!$A:$A,$A24,'Budget-ACPL'!T:T)+SUMIF('Budget-ACPLHK'!$A:$A,$A24,'Budget-ACPLHK'!T:T)+SUMIF('Budget-ACPSZL'!$A:$A,$A24,'Budget-ACPSZL'!T:T)+SUMIF('Budget-ACPLSZ'!$A:$A,$A24,'Budget-ACPLSZ'!T:T)+SUMIF('Budget-ACPLGZ'!$A:$A,$A24,'Budget-ACPLGZ'!T:T)+SUMIF('Budget-Yixing'!$A:$A,$A24,'Budget-Yixing'!T:T)</f>
        <v>1253105.764</v>
      </c>
      <c r="U24" s="676">
        <f ca="1">SUMIF('Budget-ACPL'!$A:$A,$A24,'Budget-ACPL'!U:U)+SUMIF('Budget-ACPLHK'!$A:$A,$A24,'Budget-ACPLHK'!U:U)+SUMIF('Budget-ACPSZL'!$A:$A,$A24,'Budget-ACPSZL'!U:U)+SUMIF('Budget-ACPLSZ'!$A:$A,$A24,'Budget-ACPLSZ'!U:U)+SUMIF('Budget-ACPLGZ'!$A:$A,$A24,'Budget-ACPLGZ'!U:U)+SUMIF('Budget-Yixing'!$A:$A,$A24,'Budget-Yixing'!U:U)</f>
        <v>1253105.764</v>
      </c>
      <c r="V24" s="676">
        <f ca="1">SUMIF('Budget-ACPL'!$A:$A,$A24,'Budget-ACPL'!V:V)+SUMIF('Budget-ACPLHK'!$A:$A,$A24,'Budget-ACPLHK'!V:V)+SUMIF('Budget-ACPSZL'!$A:$A,$A24,'Budget-ACPSZL'!V:V)+SUMIF('Budget-ACPLSZ'!$A:$A,$A24,'Budget-ACPLSZ'!V:V)+SUMIF('Budget-ACPLGZ'!$A:$A,$A24,'Budget-ACPLGZ'!V:V)+SUMIF('Budget-Yixing'!$A:$A,$A24,'Budget-Yixing'!V:V)</f>
        <v>2576534.3354285713</v>
      </c>
      <c r="W24" s="676">
        <f t="shared" ca="1" si="21"/>
        <v>14936847.739428574</v>
      </c>
      <c r="Y24" s="688">
        <f ca="1">SUMIF('Budget-ACPL'!$A:$A,$A24,'Budget-ACPL'!Y:Y)+SUMIF('Budget-ACPLHK'!$A:$A,$A24,'Budget-ACPLHK'!Y:Y)+SUMIF('Budget-ACPSZL'!$A:$A,$A24,'Budget-ACPSZL'!Y:Y)+SUMIF('Budget-ACPLSZ'!$A:$A,$A24,'Budget-ACPLSZ'!Y:Y)+SUMIF('Budget-ACPLGZ'!$A:$A,$A24,'Budget-ACPLGZ'!Y:Y)+SUMIF('Budget-Yixing'!$A:$A,$A24,'Budget-Yixing'!Y:Y)</f>
        <v>757000</v>
      </c>
      <c r="Z24" s="688">
        <f ca="1">SUMIF('Budget-ACPL'!$A:$A,$A24,'Budget-ACPL'!Z:Z)+SUMIF('Budget-ACPLHK'!$A:$A,$A24,'Budget-ACPLHK'!Z:Z)+SUMIF('Budget-ACPSZL'!$A:$A,$A24,'Budget-ACPSZL'!Z:Z)+SUMIF('Budget-ACPLSZ'!$A:$A,$A24,'Budget-ACPLSZ'!Z:Z)+SUMIF('Budget-ACPLGZ'!$A:$A,$A24,'Budget-ACPLGZ'!Z:Z)+SUMIF('Budget-Yixing'!$A:$A,$A24,'Budget-Yixing'!Z:Z)</f>
        <v>769795.98</v>
      </c>
      <c r="AA24" s="688">
        <f ca="1">SUMIF('Budget-ACPL'!$A:$A,$A24,'Budget-ACPL'!AA:AA)+SUMIF('Budget-ACPLHK'!$A:$A,$A24,'Budget-ACPLHK'!AA:AA)+SUMIF('Budget-ACPSZL'!$A:$A,$A24,'Budget-ACPSZL'!AA:AA)+SUMIF('Budget-ACPLSZ'!$A:$A,$A24,'Budget-ACPLSZ'!AA:AA)+SUMIF('Budget-ACPLGZ'!$A:$A,$A24,'Budget-ACPLGZ'!AA:AA)+SUMIF('Budget-Yixing'!$A:$A,$A24,'Budget-Yixing'!AA:AA)</f>
        <v>792000.1</v>
      </c>
      <c r="AB24" s="688">
        <f ca="1">SUMIF('Budget-ACPL'!$A:$A,$A24,'Budget-ACPL'!AB:AB)+SUMIF('Budget-ACPLHK'!$A:$A,$A24,'Budget-ACPLHK'!AB:AB)+SUMIF('Budget-ACPSZL'!$A:$A,$A24,'Budget-ACPSZL'!AB:AB)+SUMIF('Budget-ACPLSZ'!$A:$A,$A24,'Budget-ACPLSZ'!AB:AB)+SUMIF('Budget-ACPLGZ'!$A:$A,$A24,'Budget-ACPLGZ'!AB:AB)+SUMIF('Budget-Yixing'!$A:$A,$A24,'Budget-Yixing'!AB:AB)</f>
        <v>792000</v>
      </c>
      <c r="AC24" s="688">
        <f ca="1">SUMIF('Budget-ACPL'!$A:$A,$A24,'Budget-ACPL'!AC:AC)+SUMIF('Budget-ACPLHK'!$A:$A,$A24,'Budget-ACPLHK'!AC:AC)+SUMIF('Budget-ACPSZL'!$A:$A,$A24,'Budget-ACPSZL'!AC:AC)+SUMIF('Budget-ACPLSZ'!$A:$A,$A24,'Budget-ACPLSZ'!AC:AC)+SUMIF('Budget-ACPLGZ'!$A:$A,$A24,'Budget-ACPLGZ'!AC:AC)+SUMIF('Budget-Yixing'!$A:$A,$A24,'Budget-Yixing'!AC:AC)</f>
        <v>933567.82000000007</v>
      </c>
      <c r="AD24" s="688">
        <f ca="1">SUMIF('Budget-ACPL'!$A:$A,$A24,'Budget-ACPL'!AD:AD)+SUMIF('Budget-ACPLHK'!$A:$A,$A24,'Budget-ACPLHK'!AD:AD)+SUMIF('Budget-ACPSZL'!$A:$A,$A24,'Budget-ACPSZL'!AD:AD)+SUMIF('Budget-ACPLSZ'!$A:$A,$A24,'Budget-ACPLSZ'!AD:AD)+SUMIF('Budget-ACPLGZ'!$A:$A,$A24,'Budget-ACPLGZ'!AD:AD)+SUMIF('Budget-Yixing'!$A:$A,$A24,'Budget-Yixing'!AD:AD)</f>
        <v>888632.17999999993</v>
      </c>
      <c r="AE24" s="688">
        <f ca="1">SUMIF('Budget-ACPL'!$A:$A,$A24,'Budget-ACPL'!AE:AE)+SUMIF('Budget-ACPLHK'!$A:$A,$A24,'Budget-ACPLHK'!AE:AE)+SUMIF('Budget-ACPSZL'!$A:$A,$A24,'Budget-ACPSZL'!AE:AE)+SUMIF('Budget-ACPLSZ'!$A:$A,$A24,'Budget-ACPLSZ'!AE:AE)+SUMIF('Budget-ACPLGZ'!$A:$A,$A24,'Budget-ACPLGZ'!AE:AE)+SUMIF('Budget-Yixing'!$A:$A,$A24,'Budget-Yixing'!AE:AE)</f>
        <v>833900</v>
      </c>
      <c r="AF24" s="688">
        <f ca="1">SUMIF('Budget-ACPL'!$A:$A,$A24,'Budget-ACPL'!AF:AF)+SUMIF('Budget-ACPLHK'!$A:$A,$A24,'Budget-ACPLHK'!AF:AF)+SUMIF('Budget-ACPSZL'!$A:$A,$A24,'Budget-ACPSZL'!AF:AF)+SUMIF('Budget-ACPLSZ'!$A:$A,$A24,'Budget-ACPLSZ'!AF:AF)+SUMIF('Budget-ACPLGZ'!$A:$A,$A24,'Budget-ACPLGZ'!AF:AF)+SUMIF('Budget-Yixing'!$A:$A,$A24,'Budget-Yixing'!AF:AF)</f>
        <v>825500</v>
      </c>
      <c r="AG24" s="688">
        <f ca="1">SUMIF('Budget-ACPL'!$A:$A,$A24,'Budget-ACPL'!AG:AG)+SUMIF('Budget-ACPLHK'!$A:$A,$A24,'Budget-ACPLHK'!AG:AG)+SUMIF('Budget-ACPSZL'!$A:$A,$A24,'Budget-ACPSZL'!AG:AG)+SUMIF('Budget-ACPLSZ'!$A:$A,$A24,'Budget-ACPLSZ'!AG:AG)+SUMIF('Budget-ACPLGZ'!$A:$A,$A24,'Budget-ACPLGZ'!AG:AG)+SUMIF('Budget-Yixing'!$A:$A,$A24,'Budget-Yixing'!AG:AG)</f>
        <v>825500</v>
      </c>
      <c r="AH24" s="688">
        <f ca="1">SUMIF('Budget-ACPL'!$A:$A,$A24,'Budget-ACPL'!AH:AH)+SUMIF('Budget-ACPLHK'!$A:$A,$A24,'Budget-ACPLHK'!AH:AH)+SUMIF('Budget-ACPSZL'!$A:$A,$A24,'Budget-ACPSZL'!AH:AH)+SUMIF('Budget-ACPLSZ'!$A:$A,$A24,'Budget-ACPLSZ'!AH:AH)+SUMIF('Budget-ACPLGZ'!$A:$A,$A24,'Budget-ACPLGZ'!AH:AH)+SUMIF('Budget-Yixing'!$A:$A,$A24,'Budget-Yixing'!AH:AH)</f>
        <v>825500</v>
      </c>
      <c r="AI24" s="688">
        <f ca="1">SUMIF('Budget-ACPL'!$A:$A,$A24,'Budget-ACPL'!AI:AI)+SUMIF('Budget-ACPLHK'!$A:$A,$A24,'Budget-ACPLHK'!AI:AI)+SUMIF('Budget-ACPSZL'!$A:$A,$A24,'Budget-ACPSZL'!AI:AI)+SUMIF('Budget-ACPLSZ'!$A:$A,$A24,'Budget-ACPLSZ'!AI:AI)+SUMIF('Budget-ACPLGZ'!$A:$A,$A24,'Budget-ACPLGZ'!AI:AI)+SUMIF('Budget-Yixing'!$A:$A,$A24,'Budget-Yixing'!AI:AI)</f>
        <v>829500</v>
      </c>
      <c r="AJ24" s="688">
        <f ca="1">SUMIF('Budget-ACPL'!$A:$A,$A24,'Budget-ACPL'!AJ:AJ)+SUMIF('Budget-ACPLHK'!$A:$A,$A24,'Budget-ACPLHK'!AJ:AJ)+SUMIF('Budget-ACPSZL'!$A:$A,$A24,'Budget-ACPSZL'!AJ:AJ)+SUMIF('Budget-ACPLSZ'!$A:$A,$A24,'Budget-ACPLSZ'!AJ:AJ)+SUMIF('Budget-ACPLGZ'!$A:$A,$A24,'Budget-ACPLGZ'!AJ:AJ)+SUMIF('Budget-Yixing'!$A:$A,$A24,'Budget-Yixing'!AJ:AJ)</f>
        <v>822649.42999999993</v>
      </c>
      <c r="AK24" s="688">
        <f t="shared" ca="1" si="22"/>
        <v>9895545.5099999998</v>
      </c>
    </row>
    <row r="25" spans="1:37" ht="13.5" hidden="1" customHeight="1">
      <c r="A25" s="713" t="s">
        <v>1437</v>
      </c>
      <c r="B25" s="687" t="str">
        <f>VLOOKUP(A25,Account!A:B,2,0)</f>
        <v>加班费</v>
      </c>
      <c r="C25" s="687">
        <f>VLOOKUP(A25,Account!A:F,4,0)</f>
        <v>0</v>
      </c>
      <c r="D25" s="676">
        <f t="shared" ca="1" si="18"/>
        <v>0</v>
      </c>
      <c r="E25" s="676" t="e">
        <f t="shared" si="13"/>
        <v>#N/A</v>
      </c>
      <c r="F25" s="676" t="e">
        <f t="shared" ca="1" si="14"/>
        <v>#N/A</v>
      </c>
      <c r="G25" s="676">
        <f t="shared" ca="1" si="19"/>
        <v>0</v>
      </c>
      <c r="H25" s="676" t="e">
        <f t="shared" ca="1" si="20"/>
        <v>#N/A</v>
      </c>
      <c r="I25" s="676" t="e">
        <f t="shared" ca="1" si="15"/>
        <v>#N/A</v>
      </c>
      <c r="K25" s="676">
        <f ca="1">SUMIF('Budget-ACPL'!$A:$A,$A25,'Budget-ACPL'!K:K)+SUMIF('Budget-ACPLHK'!$A:$A,$A25,'Budget-ACPLHK'!K:K)+SUMIF('Budget-ACPSZL'!$A:$A,$A25,'Budget-ACPSZL'!K:K)+SUMIF('Budget-ACPLSZ'!$A:$A,$A25,'Budget-ACPLSZ'!K:K)+SUMIF('Budget-ACPLGZ'!$A:$A,$A25,'Budget-ACPLGZ'!K:K)+SUMIF('Budget-Yixing'!$A:$A,$A25,'Budget-Yixing'!K:K)</f>
        <v>0</v>
      </c>
      <c r="L25" s="676">
        <f ca="1">SUMIF('Budget-ACPL'!$A:$A,$A25,'Budget-ACPL'!L:L)+SUMIF('Budget-ACPLHK'!$A:$A,$A25,'Budget-ACPLHK'!L:L)+SUMIF('Budget-ACPSZL'!$A:$A,$A25,'Budget-ACPSZL'!L:L)+SUMIF('Budget-ACPLSZ'!$A:$A,$A25,'Budget-ACPLSZ'!L:L)+SUMIF('Budget-ACPLGZ'!$A:$A,$A25,'Budget-ACPLGZ'!L:L)+SUMIF('Budget-Yixing'!$A:$A,$A25,'Budget-Yixing'!L:L)</f>
        <v>0</v>
      </c>
      <c r="M25" s="676">
        <f ca="1">SUMIF('Budget-ACPL'!$A:$A,$A25,'Budget-ACPL'!M:M)+SUMIF('Budget-ACPLHK'!$A:$A,$A25,'Budget-ACPLHK'!M:M)+SUMIF('Budget-ACPSZL'!$A:$A,$A25,'Budget-ACPSZL'!M:M)+SUMIF('Budget-ACPLSZ'!$A:$A,$A25,'Budget-ACPLSZ'!M:M)+SUMIF('Budget-ACPLGZ'!$A:$A,$A25,'Budget-ACPLGZ'!M:M)+SUMIF('Budget-Yixing'!$A:$A,$A25,'Budget-Yixing'!M:M)</f>
        <v>0</v>
      </c>
      <c r="N25" s="676">
        <f ca="1">SUMIF('Budget-ACPL'!$A:$A,$A25,'Budget-ACPL'!N:N)+SUMIF('Budget-ACPLHK'!$A:$A,$A25,'Budget-ACPLHK'!N:N)+SUMIF('Budget-ACPSZL'!$A:$A,$A25,'Budget-ACPSZL'!N:N)+SUMIF('Budget-ACPLSZ'!$A:$A,$A25,'Budget-ACPLSZ'!N:N)+SUMIF('Budget-ACPLGZ'!$A:$A,$A25,'Budget-ACPLGZ'!N:N)+SUMIF('Budget-Yixing'!$A:$A,$A25,'Budget-Yixing'!N:N)</f>
        <v>0</v>
      </c>
      <c r="O25" s="676">
        <f ca="1">SUMIF('Budget-ACPL'!$A:$A,$A25,'Budget-ACPL'!O:O)+SUMIF('Budget-ACPLHK'!$A:$A,$A25,'Budget-ACPLHK'!O:O)+SUMIF('Budget-ACPSZL'!$A:$A,$A25,'Budget-ACPSZL'!O:O)+SUMIF('Budget-ACPLSZ'!$A:$A,$A25,'Budget-ACPLSZ'!O:O)+SUMIF('Budget-ACPLGZ'!$A:$A,$A25,'Budget-ACPLGZ'!O:O)+SUMIF('Budget-Yixing'!$A:$A,$A25,'Budget-Yixing'!O:O)</f>
        <v>0</v>
      </c>
      <c r="P25" s="676">
        <f ca="1">SUMIF('Budget-ACPL'!$A:$A,$A25,'Budget-ACPL'!P:P)+SUMIF('Budget-ACPLHK'!$A:$A,$A25,'Budget-ACPLHK'!P:P)+SUMIF('Budget-ACPSZL'!$A:$A,$A25,'Budget-ACPSZL'!P:P)+SUMIF('Budget-ACPLSZ'!$A:$A,$A25,'Budget-ACPLSZ'!P:P)+SUMIF('Budget-ACPLGZ'!$A:$A,$A25,'Budget-ACPLGZ'!P:P)+SUMIF('Budget-Yixing'!$A:$A,$A25,'Budget-Yixing'!P:P)</f>
        <v>0</v>
      </c>
      <c r="Q25" s="676">
        <f ca="1">SUMIF('Budget-ACPL'!$A:$A,$A25,'Budget-ACPL'!Q:Q)+SUMIF('Budget-ACPLHK'!$A:$A,$A25,'Budget-ACPLHK'!Q:Q)+SUMIF('Budget-ACPSZL'!$A:$A,$A25,'Budget-ACPSZL'!Q:Q)+SUMIF('Budget-ACPLSZ'!$A:$A,$A25,'Budget-ACPLSZ'!Q:Q)+SUMIF('Budget-ACPLGZ'!$A:$A,$A25,'Budget-ACPLGZ'!Q:Q)+SUMIF('Budget-Yixing'!$A:$A,$A25,'Budget-Yixing'!Q:Q)</f>
        <v>0</v>
      </c>
      <c r="R25" s="676">
        <f ca="1">SUMIF('Budget-ACPL'!$A:$A,$A25,'Budget-ACPL'!R:R)+SUMIF('Budget-ACPLHK'!$A:$A,$A25,'Budget-ACPLHK'!R:R)+SUMIF('Budget-ACPSZL'!$A:$A,$A25,'Budget-ACPSZL'!R:R)+SUMIF('Budget-ACPLSZ'!$A:$A,$A25,'Budget-ACPLSZ'!R:R)+SUMIF('Budget-ACPLGZ'!$A:$A,$A25,'Budget-ACPLGZ'!R:R)+SUMIF('Budget-Yixing'!$A:$A,$A25,'Budget-Yixing'!R:R)</f>
        <v>0</v>
      </c>
      <c r="S25" s="676">
        <f ca="1">SUMIF('Budget-ACPL'!$A:$A,$A25,'Budget-ACPL'!S:S)+SUMIF('Budget-ACPLHK'!$A:$A,$A25,'Budget-ACPLHK'!S:S)+SUMIF('Budget-ACPSZL'!$A:$A,$A25,'Budget-ACPSZL'!S:S)+SUMIF('Budget-ACPLSZ'!$A:$A,$A25,'Budget-ACPLSZ'!S:S)+SUMIF('Budget-ACPLGZ'!$A:$A,$A25,'Budget-ACPLGZ'!S:S)+SUMIF('Budget-Yixing'!$A:$A,$A25,'Budget-Yixing'!S:S)</f>
        <v>0</v>
      </c>
      <c r="T25" s="676">
        <f ca="1">SUMIF('Budget-ACPL'!$A:$A,$A25,'Budget-ACPL'!T:T)+SUMIF('Budget-ACPLHK'!$A:$A,$A25,'Budget-ACPLHK'!T:T)+SUMIF('Budget-ACPSZL'!$A:$A,$A25,'Budget-ACPSZL'!T:T)+SUMIF('Budget-ACPLSZ'!$A:$A,$A25,'Budget-ACPLSZ'!T:T)+SUMIF('Budget-ACPLGZ'!$A:$A,$A25,'Budget-ACPLGZ'!T:T)+SUMIF('Budget-Yixing'!$A:$A,$A25,'Budget-Yixing'!T:T)</f>
        <v>0</v>
      </c>
      <c r="U25" s="676">
        <f ca="1">SUMIF('Budget-ACPL'!$A:$A,$A25,'Budget-ACPL'!U:U)+SUMIF('Budget-ACPLHK'!$A:$A,$A25,'Budget-ACPLHK'!U:U)+SUMIF('Budget-ACPSZL'!$A:$A,$A25,'Budget-ACPSZL'!U:U)+SUMIF('Budget-ACPLSZ'!$A:$A,$A25,'Budget-ACPLSZ'!U:U)+SUMIF('Budget-ACPLGZ'!$A:$A,$A25,'Budget-ACPLGZ'!U:U)+SUMIF('Budget-Yixing'!$A:$A,$A25,'Budget-Yixing'!U:U)</f>
        <v>0</v>
      </c>
      <c r="V25" s="676">
        <f ca="1">SUMIF('Budget-ACPL'!$A:$A,$A25,'Budget-ACPL'!V:V)+SUMIF('Budget-ACPLHK'!$A:$A,$A25,'Budget-ACPLHK'!V:V)+SUMIF('Budget-ACPSZL'!$A:$A,$A25,'Budget-ACPSZL'!V:V)+SUMIF('Budget-ACPLSZ'!$A:$A,$A25,'Budget-ACPLSZ'!V:V)+SUMIF('Budget-ACPLGZ'!$A:$A,$A25,'Budget-ACPLGZ'!V:V)+SUMIF('Budget-Yixing'!$A:$A,$A25,'Budget-Yixing'!V:V)</f>
        <v>0</v>
      </c>
      <c r="W25" s="676">
        <f t="shared" ca="1" si="21"/>
        <v>0</v>
      </c>
      <c r="Y25" s="688">
        <f ca="1">SUMIF('Budget-ACPL'!$A:$A,$A25,'Budget-ACPL'!Y:Y)+SUMIF('Budget-ACPLHK'!$A:$A,$A25,'Budget-ACPLHK'!Y:Y)+SUMIF('Budget-ACPSZL'!$A:$A,$A25,'Budget-ACPSZL'!Y:Y)+SUMIF('Budget-ACPLSZ'!$A:$A,$A25,'Budget-ACPLSZ'!Y:Y)+SUMIF('Budget-ACPLGZ'!$A:$A,$A25,'Budget-ACPLGZ'!Y:Y)+SUMIF('Budget-Yixing'!$A:$A,$A25,'Budget-Yixing'!Y:Y)</f>
        <v>0</v>
      </c>
      <c r="Z25" s="688">
        <f ca="1">SUMIF('Budget-ACPL'!$A:$A,$A25,'Budget-ACPL'!Z:Z)+SUMIF('Budget-ACPLHK'!$A:$A,$A25,'Budget-ACPLHK'!Z:Z)+SUMIF('Budget-ACPSZL'!$A:$A,$A25,'Budget-ACPSZL'!Z:Z)+SUMIF('Budget-ACPLSZ'!$A:$A,$A25,'Budget-ACPLSZ'!Z:Z)+SUMIF('Budget-ACPLGZ'!$A:$A,$A25,'Budget-ACPLGZ'!Z:Z)+SUMIF('Budget-Yixing'!$A:$A,$A25,'Budget-Yixing'!Z:Z)</f>
        <v>0</v>
      </c>
      <c r="AA25" s="688">
        <f ca="1">SUMIF('Budget-ACPL'!$A:$A,$A25,'Budget-ACPL'!AA:AA)+SUMIF('Budget-ACPLHK'!$A:$A,$A25,'Budget-ACPLHK'!AA:AA)+SUMIF('Budget-ACPSZL'!$A:$A,$A25,'Budget-ACPSZL'!AA:AA)+SUMIF('Budget-ACPLSZ'!$A:$A,$A25,'Budget-ACPLSZ'!AA:AA)+SUMIF('Budget-ACPLGZ'!$A:$A,$A25,'Budget-ACPLGZ'!AA:AA)+SUMIF('Budget-Yixing'!$A:$A,$A25,'Budget-Yixing'!AA:AA)</f>
        <v>0</v>
      </c>
      <c r="AB25" s="688">
        <f ca="1">SUMIF('Budget-ACPL'!$A:$A,$A25,'Budget-ACPL'!AB:AB)+SUMIF('Budget-ACPLHK'!$A:$A,$A25,'Budget-ACPLHK'!AB:AB)+SUMIF('Budget-ACPSZL'!$A:$A,$A25,'Budget-ACPSZL'!AB:AB)+SUMIF('Budget-ACPLSZ'!$A:$A,$A25,'Budget-ACPLSZ'!AB:AB)+SUMIF('Budget-ACPLGZ'!$A:$A,$A25,'Budget-ACPLGZ'!AB:AB)+SUMIF('Budget-Yixing'!$A:$A,$A25,'Budget-Yixing'!AB:AB)</f>
        <v>0</v>
      </c>
      <c r="AC25" s="688">
        <f ca="1">SUMIF('Budget-ACPL'!$A:$A,$A25,'Budget-ACPL'!AC:AC)+SUMIF('Budget-ACPLHK'!$A:$A,$A25,'Budget-ACPLHK'!AC:AC)+SUMIF('Budget-ACPSZL'!$A:$A,$A25,'Budget-ACPSZL'!AC:AC)+SUMIF('Budget-ACPLSZ'!$A:$A,$A25,'Budget-ACPLSZ'!AC:AC)+SUMIF('Budget-ACPLGZ'!$A:$A,$A25,'Budget-ACPLGZ'!AC:AC)+SUMIF('Budget-Yixing'!$A:$A,$A25,'Budget-Yixing'!AC:AC)</f>
        <v>0</v>
      </c>
      <c r="AD25" s="688">
        <f ca="1">SUMIF('Budget-ACPL'!$A:$A,$A25,'Budget-ACPL'!AD:AD)+SUMIF('Budget-ACPLHK'!$A:$A,$A25,'Budget-ACPLHK'!AD:AD)+SUMIF('Budget-ACPSZL'!$A:$A,$A25,'Budget-ACPSZL'!AD:AD)+SUMIF('Budget-ACPLSZ'!$A:$A,$A25,'Budget-ACPLSZ'!AD:AD)+SUMIF('Budget-ACPLGZ'!$A:$A,$A25,'Budget-ACPLGZ'!AD:AD)+SUMIF('Budget-Yixing'!$A:$A,$A25,'Budget-Yixing'!AD:AD)</f>
        <v>0</v>
      </c>
      <c r="AE25" s="688">
        <f ca="1">SUMIF('Budget-ACPL'!$A:$A,$A25,'Budget-ACPL'!AE:AE)+SUMIF('Budget-ACPLHK'!$A:$A,$A25,'Budget-ACPLHK'!AE:AE)+SUMIF('Budget-ACPSZL'!$A:$A,$A25,'Budget-ACPSZL'!AE:AE)+SUMIF('Budget-ACPLSZ'!$A:$A,$A25,'Budget-ACPLSZ'!AE:AE)+SUMIF('Budget-ACPLGZ'!$A:$A,$A25,'Budget-ACPLGZ'!AE:AE)+SUMIF('Budget-Yixing'!$A:$A,$A25,'Budget-Yixing'!AE:AE)</f>
        <v>0</v>
      </c>
      <c r="AF25" s="688">
        <f ca="1">SUMIF('Budget-ACPL'!$A:$A,$A25,'Budget-ACPL'!AF:AF)+SUMIF('Budget-ACPLHK'!$A:$A,$A25,'Budget-ACPLHK'!AF:AF)+SUMIF('Budget-ACPSZL'!$A:$A,$A25,'Budget-ACPSZL'!AF:AF)+SUMIF('Budget-ACPLSZ'!$A:$A,$A25,'Budget-ACPLSZ'!AF:AF)+SUMIF('Budget-ACPLGZ'!$A:$A,$A25,'Budget-ACPLGZ'!AF:AF)+SUMIF('Budget-Yixing'!$A:$A,$A25,'Budget-Yixing'!AF:AF)</f>
        <v>0</v>
      </c>
      <c r="AG25" s="688">
        <f ca="1">SUMIF('Budget-ACPL'!$A:$A,$A25,'Budget-ACPL'!AG:AG)+SUMIF('Budget-ACPLHK'!$A:$A,$A25,'Budget-ACPLHK'!AG:AG)+SUMIF('Budget-ACPSZL'!$A:$A,$A25,'Budget-ACPSZL'!AG:AG)+SUMIF('Budget-ACPLSZ'!$A:$A,$A25,'Budget-ACPLSZ'!AG:AG)+SUMIF('Budget-ACPLGZ'!$A:$A,$A25,'Budget-ACPLGZ'!AG:AG)+SUMIF('Budget-Yixing'!$A:$A,$A25,'Budget-Yixing'!AG:AG)</f>
        <v>0</v>
      </c>
      <c r="AH25" s="688">
        <f ca="1">SUMIF('Budget-ACPL'!$A:$A,$A25,'Budget-ACPL'!AH:AH)+SUMIF('Budget-ACPLHK'!$A:$A,$A25,'Budget-ACPLHK'!AH:AH)+SUMIF('Budget-ACPSZL'!$A:$A,$A25,'Budget-ACPSZL'!AH:AH)+SUMIF('Budget-ACPLSZ'!$A:$A,$A25,'Budget-ACPLSZ'!AH:AH)+SUMIF('Budget-ACPLGZ'!$A:$A,$A25,'Budget-ACPLGZ'!AH:AH)+SUMIF('Budget-Yixing'!$A:$A,$A25,'Budget-Yixing'!AH:AH)</f>
        <v>0</v>
      </c>
      <c r="AI25" s="688">
        <f ca="1">SUMIF('Budget-ACPL'!$A:$A,$A25,'Budget-ACPL'!AI:AI)+SUMIF('Budget-ACPLHK'!$A:$A,$A25,'Budget-ACPLHK'!AI:AI)+SUMIF('Budget-ACPSZL'!$A:$A,$A25,'Budget-ACPSZL'!AI:AI)+SUMIF('Budget-ACPLSZ'!$A:$A,$A25,'Budget-ACPLSZ'!AI:AI)+SUMIF('Budget-ACPLGZ'!$A:$A,$A25,'Budget-ACPLGZ'!AI:AI)+SUMIF('Budget-Yixing'!$A:$A,$A25,'Budget-Yixing'!AI:AI)</f>
        <v>0</v>
      </c>
      <c r="AJ25" s="688">
        <f ca="1">SUMIF('Budget-ACPL'!$A:$A,$A25,'Budget-ACPL'!AJ:AJ)+SUMIF('Budget-ACPLHK'!$A:$A,$A25,'Budget-ACPLHK'!AJ:AJ)+SUMIF('Budget-ACPSZL'!$A:$A,$A25,'Budget-ACPSZL'!AJ:AJ)+SUMIF('Budget-ACPLSZ'!$A:$A,$A25,'Budget-ACPLSZ'!AJ:AJ)+SUMIF('Budget-ACPLGZ'!$A:$A,$A25,'Budget-ACPLGZ'!AJ:AJ)+SUMIF('Budget-Yixing'!$A:$A,$A25,'Budget-Yixing'!AJ:AJ)</f>
        <v>0</v>
      </c>
      <c r="AK25" s="688">
        <f t="shared" ca="1" si="22"/>
        <v>0</v>
      </c>
    </row>
    <row r="26" spans="1:37" ht="13.5" customHeight="1">
      <c r="A26" s="713" t="s">
        <v>1441</v>
      </c>
      <c r="B26" s="687" t="str">
        <f>VLOOKUP(A26,Account!A:B,2,0)</f>
        <v>员工奖金（专业）</v>
      </c>
      <c r="C26" s="687" t="str">
        <f>VLOOKUP(A26,Account!A:F,4,0)</f>
        <v>Bonus Expense - Professional</v>
      </c>
      <c r="D26" s="676">
        <f t="shared" ca="1" si="18"/>
        <v>0</v>
      </c>
      <c r="E26" s="676" t="e">
        <f t="shared" si="13"/>
        <v>#N/A</v>
      </c>
      <c r="F26" s="676" t="e">
        <f t="shared" ca="1" si="14"/>
        <v>#N/A</v>
      </c>
      <c r="G26" s="676">
        <f t="shared" ca="1" si="19"/>
        <v>0</v>
      </c>
      <c r="H26" s="676" t="e">
        <f t="shared" ca="1" si="20"/>
        <v>#N/A</v>
      </c>
      <c r="I26" s="676" t="e">
        <f t="shared" ca="1" si="15"/>
        <v>#N/A</v>
      </c>
      <c r="K26" s="676">
        <f ca="1">SUMIF('Budget-ACPL'!$A:$A,$A26,'Budget-ACPL'!K:K)+SUMIF('Budget-ACPLHK'!$A:$A,$A26,'Budget-ACPLHK'!K:K)+SUMIF('Budget-ACPSZL'!$A:$A,$A26,'Budget-ACPSZL'!K:K)+SUMIF('Budget-ACPLSZ'!$A:$A,$A26,'Budget-ACPLSZ'!K:K)+SUMIF('Budget-ACPLGZ'!$A:$A,$A26,'Budget-ACPLGZ'!K:K)+SUMIF('Budget-Yixing'!$A:$A,$A26,'Budget-Yixing'!K:K)</f>
        <v>0</v>
      </c>
      <c r="L26" s="676">
        <f ca="1">SUMIF('Budget-ACPL'!$A:$A,$A26,'Budget-ACPL'!L:L)+SUMIF('Budget-ACPLHK'!$A:$A,$A26,'Budget-ACPLHK'!L:L)+SUMIF('Budget-ACPSZL'!$A:$A,$A26,'Budget-ACPSZL'!L:L)+SUMIF('Budget-ACPLSZ'!$A:$A,$A26,'Budget-ACPLSZ'!L:L)+SUMIF('Budget-ACPLGZ'!$A:$A,$A26,'Budget-ACPLGZ'!L:L)+SUMIF('Budget-Yixing'!$A:$A,$A26,'Budget-Yixing'!L:L)</f>
        <v>0</v>
      </c>
      <c r="M26" s="676">
        <f ca="1">SUMIF('Budget-ACPL'!$A:$A,$A26,'Budget-ACPL'!M:M)+SUMIF('Budget-ACPLHK'!$A:$A,$A26,'Budget-ACPLHK'!M:M)+SUMIF('Budget-ACPSZL'!$A:$A,$A26,'Budget-ACPSZL'!M:M)+SUMIF('Budget-ACPLSZ'!$A:$A,$A26,'Budget-ACPLSZ'!M:M)+SUMIF('Budget-ACPLGZ'!$A:$A,$A26,'Budget-ACPLGZ'!M:M)+SUMIF('Budget-Yixing'!$A:$A,$A26,'Budget-Yixing'!M:M)</f>
        <v>0</v>
      </c>
      <c r="N26" s="676">
        <f ca="1">SUMIF('Budget-ACPL'!$A:$A,$A26,'Budget-ACPL'!N:N)+SUMIF('Budget-ACPLHK'!$A:$A,$A26,'Budget-ACPLHK'!N:N)+SUMIF('Budget-ACPSZL'!$A:$A,$A26,'Budget-ACPSZL'!N:N)+SUMIF('Budget-ACPLSZ'!$A:$A,$A26,'Budget-ACPLSZ'!N:N)+SUMIF('Budget-ACPLGZ'!$A:$A,$A26,'Budget-ACPLGZ'!N:N)+SUMIF('Budget-Yixing'!$A:$A,$A26,'Budget-Yixing'!N:N)</f>
        <v>1228146</v>
      </c>
      <c r="O26" s="676">
        <f ca="1">SUMIF('Budget-ACPL'!$A:$A,$A26,'Budget-ACPL'!O:O)+SUMIF('Budget-ACPLHK'!$A:$A,$A26,'Budget-ACPLHK'!O:O)+SUMIF('Budget-ACPSZL'!$A:$A,$A26,'Budget-ACPSZL'!O:O)+SUMIF('Budget-ACPLSZ'!$A:$A,$A26,'Budget-ACPLSZ'!O:O)+SUMIF('Budget-ACPLGZ'!$A:$A,$A26,'Budget-ACPLGZ'!O:O)+SUMIF('Budget-Yixing'!$A:$A,$A26,'Budget-Yixing'!O:O)</f>
        <v>0</v>
      </c>
      <c r="P26" s="676">
        <f ca="1">SUMIF('Budget-ACPL'!$A:$A,$A26,'Budget-ACPL'!P:P)+SUMIF('Budget-ACPLHK'!$A:$A,$A26,'Budget-ACPLHK'!P:P)+SUMIF('Budget-ACPSZL'!$A:$A,$A26,'Budget-ACPSZL'!P:P)+SUMIF('Budget-ACPLSZ'!$A:$A,$A26,'Budget-ACPLSZ'!P:P)+SUMIF('Budget-ACPLGZ'!$A:$A,$A26,'Budget-ACPLGZ'!P:P)+SUMIF('Budget-Yixing'!$A:$A,$A26,'Budget-Yixing'!P:P)</f>
        <v>0</v>
      </c>
      <c r="Q26" s="676">
        <f ca="1">SUMIF('Budget-ACPL'!$A:$A,$A26,'Budget-ACPL'!Q:Q)+SUMIF('Budget-ACPLHK'!$A:$A,$A26,'Budget-ACPLHK'!Q:Q)+SUMIF('Budget-ACPSZL'!$A:$A,$A26,'Budget-ACPSZL'!Q:Q)+SUMIF('Budget-ACPLSZ'!$A:$A,$A26,'Budget-ACPLSZ'!Q:Q)+SUMIF('Budget-ACPLGZ'!$A:$A,$A26,'Budget-ACPLGZ'!Q:Q)+SUMIF('Budget-Yixing'!$A:$A,$A26,'Budget-Yixing'!Q:Q)</f>
        <v>0</v>
      </c>
      <c r="R26" s="676">
        <f ca="1">SUMIF('Budget-ACPL'!$A:$A,$A26,'Budget-ACPL'!R:R)+SUMIF('Budget-ACPLHK'!$A:$A,$A26,'Budget-ACPLHK'!R:R)+SUMIF('Budget-ACPSZL'!$A:$A,$A26,'Budget-ACPSZL'!R:R)+SUMIF('Budget-ACPLSZ'!$A:$A,$A26,'Budget-ACPLSZ'!R:R)+SUMIF('Budget-ACPLGZ'!$A:$A,$A26,'Budget-ACPLGZ'!R:R)+SUMIF('Budget-Yixing'!$A:$A,$A26,'Budget-Yixing'!R:R)</f>
        <v>0</v>
      </c>
      <c r="S26" s="676">
        <f ca="1">SUMIF('Budget-ACPL'!$A:$A,$A26,'Budget-ACPL'!S:S)+SUMIF('Budget-ACPLHK'!$A:$A,$A26,'Budget-ACPLHK'!S:S)+SUMIF('Budget-ACPSZL'!$A:$A,$A26,'Budget-ACPSZL'!S:S)+SUMIF('Budget-ACPLSZ'!$A:$A,$A26,'Budget-ACPLSZ'!S:S)+SUMIF('Budget-ACPLGZ'!$A:$A,$A26,'Budget-ACPLGZ'!S:S)+SUMIF('Budget-Yixing'!$A:$A,$A26,'Budget-Yixing'!S:S)</f>
        <v>0</v>
      </c>
      <c r="T26" s="676">
        <f ca="1">SUMIF('Budget-ACPL'!$A:$A,$A26,'Budget-ACPL'!T:T)+SUMIF('Budget-ACPLHK'!$A:$A,$A26,'Budget-ACPLHK'!T:T)+SUMIF('Budget-ACPSZL'!$A:$A,$A26,'Budget-ACPSZL'!T:T)+SUMIF('Budget-ACPLSZ'!$A:$A,$A26,'Budget-ACPLSZ'!T:T)+SUMIF('Budget-ACPLGZ'!$A:$A,$A26,'Budget-ACPLGZ'!T:T)+SUMIF('Budget-Yixing'!$A:$A,$A26,'Budget-Yixing'!T:T)</f>
        <v>0</v>
      </c>
      <c r="U26" s="676">
        <f ca="1">SUMIF('Budget-ACPL'!$A:$A,$A26,'Budget-ACPL'!U:U)+SUMIF('Budget-ACPLHK'!$A:$A,$A26,'Budget-ACPLHK'!U:U)+SUMIF('Budget-ACPSZL'!$A:$A,$A26,'Budget-ACPSZL'!U:U)+SUMIF('Budget-ACPLSZ'!$A:$A,$A26,'Budget-ACPLSZ'!U:U)+SUMIF('Budget-ACPLGZ'!$A:$A,$A26,'Budget-ACPLGZ'!U:U)+SUMIF('Budget-Yixing'!$A:$A,$A26,'Budget-Yixing'!U:U)</f>
        <v>0</v>
      </c>
      <c r="V26" s="676">
        <f ca="1">SUMIF('Budget-ACPL'!$A:$A,$A26,'Budget-ACPL'!V:V)+SUMIF('Budget-ACPLHK'!$A:$A,$A26,'Budget-ACPLHK'!V:V)+SUMIF('Budget-ACPSZL'!$A:$A,$A26,'Budget-ACPSZL'!V:V)+SUMIF('Budget-ACPLSZ'!$A:$A,$A26,'Budget-ACPLSZ'!V:V)+SUMIF('Budget-ACPLGZ'!$A:$A,$A26,'Budget-ACPLGZ'!V:V)+SUMIF('Budget-Yixing'!$A:$A,$A26,'Budget-Yixing'!V:V)</f>
        <v>0</v>
      </c>
      <c r="W26" s="676">
        <f t="shared" ca="1" si="21"/>
        <v>1228146</v>
      </c>
      <c r="Y26" s="688">
        <f ca="1">SUMIF('Budget-ACPL'!$A:$A,$A26,'Budget-ACPL'!Y:Y)+SUMIF('Budget-ACPLHK'!$A:$A,$A26,'Budget-ACPLHK'!Y:Y)+SUMIF('Budget-ACPSZL'!$A:$A,$A26,'Budget-ACPSZL'!Y:Y)+SUMIF('Budget-ACPLSZ'!$A:$A,$A26,'Budget-ACPLSZ'!Y:Y)+SUMIF('Budget-ACPLGZ'!$A:$A,$A26,'Budget-ACPLGZ'!Y:Y)+SUMIF('Budget-Yixing'!$A:$A,$A26,'Budget-Yixing'!Y:Y)</f>
        <v>0</v>
      </c>
      <c r="Z26" s="688">
        <f ca="1">SUMIF('Budget-ACPL'!$A:$A,$A26,'Budget-ACPL'!Z:Z)+SUMIF('Budget-ACPLHK'!$A:$A,$A26,'Budget-ACPLHK'!Z:Z)+SUMIF('Budget-ACPSZL'!$A:$A,$A26,'Budget-ACPSZL'!Z:Z)+SUMIF('Budget-ACPLSZ'!$A:$A,$A26,'Budget-ACPLSZ'!Z:Z)+SUMIF('Budget-ACPLGZ'!$A:$A,$A26,'Budget-ACPLGZ'!Z:Z)+SUMIF('Budget-Yixing'!$A:$A,$A26,'Budget-Yixing'!Z:Z)</f>
        <v>0</v>
      </c>
      <c r="AA26" s="688">
        <f ca="1">SUMIF('Budget-ACPL'!$A:$A,$A26,'Budget-ACPL'!AA:AA)+SUMIF('Budget-ACPLHK'!$A:$A,$A26,'Budget-ACPLHK'!AA:AA)+SUMIF('Budget-ACPSZL'!$A:$A,$A26,'Budget-ACPSZL'!AA:AA)+SUMIF('Budget-ACPLSZ'!$A:$A,$A26,'Budget-ACPLSZ'!AA:AA)+SUMIF('Budget-ACPLGZ'!$A:$A,$A26,'Budget-ACPLGZ'!AA:AA)+SUMIF('Budget-Yixing'!$A:$A,$A26,'Budget-Yixing'!AA:AA)</f>
        <v>133125</v>
      </c>
      <c r="AB26" s="688">
        <f ca="1">SUMIF('Budget-ACPL'!$A:$A,$A26,'Budget-ACPL'!AB:AB)+SUMIF('Budget-ACPLHK'!$A:$A,$A26,'Budget-ACPLHK'!AB:AB)+SUMIF('Budget-ACPSZL'!$A:$A,$A26,'Budget-ACPSZL'!AB:AB)+SUMIF('Budget-ACPLSZ'!$A:$A,$A26,'Budget-ACPLSZ'!AB:AB)+SUMIF('Budget-ACPLGZ'!$A:$A,$A26,'Budget-ACPLGZ'!AB:AB)+SUMIF('Budget-Yixing'!$A:$A,$A26,'Budget-Yixing'!AB:AB)</f>
        <v>0</v>
      </c>
      <c r="AC26" s="688">
        <f ca="1">SUMIF('Budget-ACPL'!$A:$A,$A26,'Budget-ACPL'!AC:AC)+SUMIF('Budget-ACPLHK'!$A:$A,$A26,'Budget-ACPLHK'!AC:AC)+SUMIF('Budget-ACPSZL'!$A:$A,$A26,'Budget-ACPSZL'!AC:AC)+SUMIF('Budget-ACPLSZ'!$A:$A,$A26,'Budget-ACPLSZ'!AC:AC)+SUMIF('Budget-ACPLGZ'!$A:$A,$A26,'Budget-ACPLGZ'!AC:AC)+SUMIF('Budget-Yixing'!$A:$A,$A26,'Budget-Yixing'!AC:AC)</f>
        <v>0</v>
      </c>
      <c r="AD26" s="688">
        <f ca="1">SUMIF('Budget-ACPL'!$A:$A,$A26,'Budget-ACPL'!AD:AD)+SUMIF('Budget-ACPLHK'!$A:$A,$A26,'Budget-ACPLHK'!AD:AD)+SUMIF('Budget-ACPSZL'!$A:$A,$A26,'Budget-ACPSZL'!AD:AD)+SUMIF('Budget-ACPLSZ'!$A:$A,$A26,'Budget-ACPLSZ'!AD:AD)+SUMIF('Budget-ACPLGZ'!$A:$A,$A26,'Budget-ACPLGZ'!AD:AD)+SUMIF('Budget-Yixing'!$A:$A,$A26,'Budget-Yixing'!AD:AD)</f>
        <v>0</v>
      </c>
      <c r="AE26" s="688">
        <f ca="1">SUMIF('Budget-ACPL'!$A:$A,$A26,'Budget-ACPL'!AE:AE)+SUMIF('Budget-ACPLHK'!$A:$A,$A26,'Budget-ACPLHK'!AE:AE)+SUMIF('Budget-ACPSZL'!$A:$A,$A26,'Budget-ACPSZL'!AE:AE)+SUMIF('Budget-ACPLSZ'!$A:$A,$A26,'Budget-ACPLSZ'!AE:AE)+SUMIF('Budget-ACPLGZ'!$A:$A,$A26,'Budget-ACPLGZ'!AE:AE)+SUMIF('Budget-Yixing'!$A:$A,$A26,'Budget-Yixing'!AE:AE)</f>
        <v>0</v>
      </c>
      <c r="AF26" s="688">
        <f ca="1">SUMIF('Budget-ACPL'!$A:$A,$A26,'Budget-ACPL'!AF:AF)+SUMIF('Budget-ACPLHK'!$A:$A,$A26,'Budget-ACPLHK'!AF:AF)+SUMIF('Budget-ACPSZL'!$A:$A,$A26,'Budget-ACPSZL'!AF:AF)+SUMIF('Budget-ACPLSZ'!$A:$A,$A26,'Budget-ACPLSZ'!AF:AF)+SUMIF('Budget-ACPLGZ'!$A:$A,$A26,'Budget-ACPLGZ'!AF:AF)+SUMIF('Budget-Yixing'!$A:$A,$A26,'Budget-Yixing'!AF:AF)</f>
        <v>-133125</v>
      </c>
      <c r="AG26" s="688">
        <f ca="1">SUMIF('Budget-ACPL'!$A:$A,$A26,'Budget-ACPL'!AG:AG)+SUMIF('Budget-ACPLHK'!$A:$A,$A26,'Budget-ACPLHK'!AG:AG)+SUMIF('Budget-ACPSZL'!$A:$A,$A26,'Budget-ACPSZL'!AG:AG)+SUMIF('Budget-ACPLSZ'!$A:$A,$A26,'Budget-ACPLSZ'!AG:AG)+SUMIF('Budget-ACPLGZ'!$A:$A,$A26,'Budget-ACPLGZ'!AG:AG)+SUMIF('Budget-Yixing'!$A:$A,$A26,'Budget-Yixing'!AG:AG)</f>
        <v>0</v>
      </c>
      <c r="AH26" s="688">
        <f ca="1">SUMIF('Budget-ACPL'!$A:$A,$A26,'Budget-ACPL'!AH:AH)+SUMIF('Budget-ACPLHK'!$A:$A,$A26,'Budget-ACPLHK'!AH:AH)+SUMIF('Budget-ACPSZL'!$A:$A,$A26,'Budget-ACPSZL'!AH:AH)+SUMIF('Budget-ACPLSZ'!$A:$A,$A26,'Budget-ACPLSZ'!AH:AH)+SUMIF('Budget-ACPLGZ'!$A:$A,$A26,'Budget-ACPLGZ'!AH:AH)+SUMIF('Budget-Yixing'!$A:$A,$A26,'Budget-Yixing'!AH:AH)</f>
        <v>0</v>
      </c>
      <c r="AI26" s="688">
        <f ca="1">SUMIF('Budget-ACPL'!$A:$A,$A26,'Budget-ACPL'!AI:AI)+SUMIF('Budget-ACPLHK'!$A:$A,$A26,'Budget-ACPLHK'!AI:AI)+SUMIF('Budget-ACPSZL'!$A:$A,$A26,'Budget-ACPSZL'!AI:AI)+SUMIF('Budget-ACPLSZ'!$A:$A,$A26,'Budget-ACPLSZ'!AI:AI)+SUMIF('Budget-ACPLGZ'!$A:$A,$A26,'Budget-ACPLGZ'!AI:AI)+SUMIF('Budget-Yixing'!$A:$A,$A26,'Budget-Yixing'!AI:AI)</f>
        <v>0</v>
      </c>
      <c r="AJ26" s="688">
        <f ca="1">SUMIF('Budget-ACPL'!$A:$A,$A26,'Budget-ACPL'!AJ:AJ)+SUMIF('Budget-ACPLHK'!$A:$A,$A26,'Budget-ACPLHK'!AJ:AJ)+SUMIF('Budget-ACPSZL'!$A:$A,$A26,'Budget-ACPSZL'!AJ:AJ)+SUMIF('Budget-ACPLSZ'!$A:$A,$A26,'Budget-ACPLSZ'!AJ:AJ)+SUMIF('Budget-ACPLGZ'!$A:$A,$A26,'Budget-ACPLGZ'!AJ:AJ)+SUMIF('Budget-Yixing'!$A:$A,$A26,'Budget-Yixing'!AJ:AJ)</f>
        <v>0</v>
      </c>
      <c r="AK26" s="688">
        <f t="shared" ca="1" si="22"/>
        <v>0</v>
      </c>
    </row>
    <row r="27" spans="1:37" ht="13.5" hidden="1" customHeight="1">
      <c r="A27" s="713" t="s">
        <v>1449</v>
      </c>
      <c r="B27" s="687" t="str">
        <f>VLOOKUP(A27,Account!A:B,2,0)</f>
        <v>员工遣散费</v>
      </c>
      <c r="C27" s="687">
        <f>VLOOKUP(A27,Account!A:F,4,0)</f>
        <v>0</v>
      </c>
      <c r="D27" s="676">
        <f t="shared" ca="1" si="18"/>
        <v>0</v>
      </c>
      <c r="E27" s="676" t="e">
        <f t="shared" si="13"/>
        <v>#N/A</v>
      </c>
      <c r="F27" s="676" t="e">
        <f t="shared" ca="1" si="14"/>
        <v>#N/A</v>
      </c>
      <c r="G27" s="676">
        <f t="shared" ca="1" si="19"/>
        <v>0</v>
      </c>
      <c r="H27" s="676" t="e">
        <f t="shared" ca="1" si="20"/>
        <v>#N/A</v>
      </c>
      <c r="I27" s="676" t="e">
        <f t="shared" ca="1" si="15"/>
        <v>#N/A</v>
      </c>
      <c r="K27" s="676">
        <f ca="1">SUMIF('Budget-ACPL'!$A:$A,$A27,'Budget-ACPL'!K:K)+SUMIF('Budget-ACPLHK'!$A:$A,$A27,'Budget-ACPLHK'!K:K)+SUMIF('Budget-ACPSZL'!$A:$A,$A27,'Budget-ACPSZL'!K:K)+SUMIF('Budget-ACPLSZ'!$A:$A,$A27,'Budget-ACPLSZ'!K:K)+SUMIF('Budget-ACPLGZ'!$A:$A,$A27,'Budget-ACPLGZ'!K:K)+SUMIF('Budget-Yixing'!$A:$A,$A27,'Budget-Yixing'!K:K)</f>
        <v>0</v>
      </c>
      <c r="L27" s="676">
        <f ca="1">SUMIF('Budget-ACPL'!$A:$A,$A27,'Budget-ACPL'!L:L)+SUMIF('Budget-ACPLHK'!$A:$A,$A27,'Budget-ACPLHK'!L:L)+SUMIF('Budget-ACPSZL'!$A:$A,$A27,'Budget-ACPSZL'!L:L)+SUMIF('Budget-ACPLSZ'!$A:$A,$A27,'Budget-ACPLSZ'!L:L)+SUMIF('Budget-ACPLGZ'!$A:$A,$A27,'Budget-ACPLGZ'!L:L)+SUMIF('Budget-Yixing'!$A:$A,$A27,'Budget-Yixing'!L:L)</f>
        <v>0</v>
      </c>
      <c r="M27" s="676">
        <f ca="1">SUMIF('Budget-ACPL'!$A:$A,$A27,'Budget-ACPL'!M:M)+SUMIF('Budget-ACPLHK'!$A:$A,$A27,'Budget-ACPLHK'!M:M)+SUMIF('Budget-ACPSZL'!$A:$A,$A27,'Budget-ACPSZL'!M:M)+SUMIF('Budget-ACPLSZ'!$A:$A,$A27,'Budget-ACPLSZ'!M:M)+SUMIF('Budget-ACPLGZ'!$A:$A,$A27,'Budget-ACPLGZ'!M:M)+SUMIF('Budget-Yixing'!$A:$A,$A27,'Budget-Yixing'!M:M)</f>
        <v>0</v>
      </c>
      <c r="N27" s="676">
        <f ca="1">SUMIF('Budget-ACPL'!$A:$A,$A27,'Budget-ACPL'!N:N)+SUMIF('Budget-ACPLHK'!$A:$A,$A27,'Budget-ACPLHK'!N:N)+SUMIF('Budget-ACPSZL'!$A:$A,$A27,'Budget-ACPSZL'!N:N)+SUMIF('Budget-ACPLSZ'!$A:$A,$A27,'Budget-ACPLSZ'!N:N)+SUMIF('Budget-ACPLGZ'!$A:$A,$A27,'Budget-ACPLGZ'!N:N)+SUMIF('Budget-Yixing'!$A:$A,$A27,'Budget-Yixing'!N:N)</f>
        <v>0</v>
      </c>
      <c r="O27" s="676">
        <f ca="1">SUMIF('Budget-ACPL'!$A:$A,$A27,'Budget-ACPL'!O:O)+SUMIF('Budget-ACPLHK'!$A:$A,$A27,'Budget-ACPLHK'!O:O)+SUMIF('Budget-ACPSZL'!$A:$A,$A27,'Budget-ACPSZL'!O:O)+SUMIF('Budget-ACPLSZ'!$A:$A,$A27,'Budget-ACPLSZ'!O:O)+SUMIF('Budget-ACPLGZ'!$A:$A,$A27,'Budget-ACPLGZ'!O:O)+SUMIF('Budget-Yixing'!$A:$A,$A27,'Budget-Yixing'!O:O)</f>
        <v>0</v>
      </c>
      <c r="P27" s="676">
        <f ca="1">SUMIF('Budget-ACPL'!$A:$A,$A27,'Budget-ACPL'!P:P)+SUMIF('Budget-ACPLHK'!$A:$A,$A27,'Budget-ACPLHK'!P:P)+SUMIF('Budget-ACPSZL'!$A:$A,$A27,'Budget-ACPSZL'!P:P)+SUMIF('Budget-ACPLSZ'!$A:$A,$A27,'Budget-ACPLSZ'!P:P)+SUMIF('Budget-ACPLGZ'!$A:$A,$A27,'Budget-ACPLGZ'!P:P)+SUMIF('Budget-Yixing'!$A:$A,$A27,'Budget-Yixing'!P:P)</f>
        <v>0</v>
      </c>
      <c r="Q27" s="676">
        <f ca="1">SUMIF('Budget-ACPL'!$A:$A,$A27,'Budget-ACPL'!Q:Q)+SUMIF('Budget-ACPLHK'!$A:$A,$A27,'Budget-ACPLHK'!Q:Q)+SUMIF('Budget-ACPSZL'!$A:$A,$A27,'Budget-ACPSZL'!Q:Q)+SUMIF('Budget-ACPLSZ'!$A:$A,$A27,'Budget-ACPLSZ'!Q:Q)+SUMIF('Budget-ACPLGZ'!$A:$A,$A27,'Budget-ACPLGZ'!Q:Q)+SUMIF('Budget-Yixing'!$A:$A,$A27,'Budget-Yixing'!Q:Q)</f>
        <v>0</v>
      </c>
      <c r="R27" s="676">
        <f ca="1">SUMIF('Budget-ACPL'!$A:$A,$A27,'Budget-ACPL'!R:R)+SUMIF('Budget-ACPLHK'!$A:$A,$A27,'Budget-ACPLHK'!R:R)+SUMIF('Budget-ACPSZL'!$A:$A,$A27,'Budget-ACPSZL'!R:R)+SUMIF('Budget-ACPLSZ'!$A:$A,$A27,'Budget-ACPLSZ'!R:R)+SUMIF('Budget-ACPLGZ'!$A:$A,$A27,'Budget-ACPLGZ'!R:R)+SUMIF('Budget-Yixing'!$A:$A,$A27,'Budget-Yixing'!R:R)</f>
        <v>0</v>
      </c>
      <c r="S27" s="676">
        <f ca="1">SUMIF('Budget-ACPL'!$A:$A,$A27,'Budget-ACPL'!S:S)+SUMIF('Budget-ACPLHK'!$A:$A,$A27,'Budget-ACPLHK'!S:S)+SUMIF('Budget-ACPSZL'!$A:$A,$A27,'Budget-ACPSZL'!S:S)+SUMIF('Budget-ACPLSZ'!$A:$A,$A27,'Budget-ACPLSZ'!S:S)+SUMIF('Budget-ACPLGZ'!$A:$A,$A27,'Budget-ACPLGZ'!S:S)+SUMIF('Budget-Yixing'!$A:$A,$A27,'Budget-Yixing'!S:S)</f>
        <v>0</v>
      </c>
      <c r="T27" s="676">
        <f ca="1">SUMIF('Budget-ACPL'!$A:$A,$A27,'Budget-ACPL'!T:T)+SUMIF('Budget-ACPLHK'!$A:$A,$A27,'Budget-ACPLHK'!T:T)+SUMIF('Budget-ACPSZL'!$A:$A,$A27,'Budget-ACPSZL'!T:T)+SUMIF('Budget-ACPLSZ'!$A:$A,$A27,'Budget-ACPLSZ'!T:T)+SUMIF('Budget-ACPLGZ'!$A:$A,$A27,'Budget-ACPLGZ'!T:T)+SUMIF('Budget-Yixing'!$A:$A,$A27,'Budget-Yixing'!T:T)</f>
        <v>0</v>
      </c>
      <c r="U27" s="676">
        <f ca="1">SUMIF('Budget-ACPL'!$A:$A,$A27,'Budget-ACPL'!U:U)+SUMIF('Budget-ACPLHK'!$A:$A,$A27,'Budget-ACPLHK'!U:U)+SUMIF('Budget-ACPSZL'!$A:$A,$A27,'Budget-ACPSZL'!U:U)+SUMIF('Budget-ACPLSZ'!$A:$A,$A27,'Budget-ACPLSZ'!U:U)+SUMIF('Budget-ACPLGZ'!$A:$A,$A27,'Budget-ACPLGZ'!U:U)+SUMIF('Budget-Yixing'!$A:$A,$A27,'Budget-Yixing'!U:U)</f>
        <v>0</v>
      </c>
      <c r="V27" s="676">
        <f ca="1">SUMIF('Budget-ACPL'!$A:$A,$A27,'Budget-ACPL'!V:V)+SUMIF('Budget-ACPLHK'!$A:$A,$A27,'Budget-ACPLHK'!V:V)+SUMIF('Budget-ACPSZL'!$A:$A,$A27,'Budget-ACPSZL'!V:V)+SUMIF('Budget-ACPLSZ'!$A:$A,$A27,'Budget-ACPLSZ'!V:V)+SUMIF('Budget-ACPLGZ'!$A:$A,$A27,'Budget-ACPLGZ'!V:V)+SUMIF('Budget-Yixing'!$A:$A,$A27,'Budget-Yixing'!V:V)</f>
        <v>0</v>
      </c>
      <c r="W27" s="676">
        <f t="shared" ca="1" si="21"/>
        <v>0</v>
      </c>
      <c r="Y27" s="688">
        <f ca="1">SUMIF('Budget-ACPL'!$A:$A,$A27,'Budget-ACPL'!Y:Y)+SUMIF('Budget-ACPLHK'!$A:$A,$A27,'Budget-ACPLHK'!Y:Y)+SUMIF('Budget-ACPSZL'!$A:$A,$A27,'Budget-ACPSZL'!Y:Y)+SUMIF('Budget-ACPLSZ'!$A:$A,$A27,'Budget-ACPLSZ'!Y:Y)+SUMIF('Budget-ACPLGZ'!$A:$A,$A27,'Budget-ACPLGZ'!Y:Y)+SUMIF('Budget-Yixing'!$A:$A,$A27,'Budget-Yixing'!Y:Y)</f>
        <v>0</v>
      </c>
      <c r="Z27" s="688">
        <f ca="1">SUMIF('Budget-ACPL'!$A:$A,$A27,'Budget-ACPL'!Z:Z)+SUMIF('Budget-ACPLHK'!$A:$A,$A27,'Budget-ACPLHK'!Z:Z)+SUMIF('Budget-ACPSZL'!$A:$A,$A27,'Budget-ACPSZL'!Z:Z)+SUMIF('Budget-ACPLSZ'!$A:$A,$A27,'Budget-ACPLSZ'!Z:Z)+SUMIF('Budget-ACPLGZ'!$A:$A,$A27,'Budget-ACPLGZ'!Z:Z)+SUMIF('Budget-Yixing'!$A:$A,$A27,'Budget-Yixing'!Z:Z)</f>
        <v>0</v>
      </c>
      <c r="AA27" s="688">
        <f ca="1">SUMIF('Budget-ACPL'!$A:$A,$A27,'Budget-ACPL'!AA:AA)+SUMIF('Budget-ACPLHK'!$A:$A,$A27,'Budget-ACPLHK'!AA:AA)+SUMIF('Budget-ACPSZL'!$A:$A,$A27,'Budget-ACPSZL'!AA:AA)+SUMIF('Budget-ACPLSZ'!$A:$A,$A27,'Budget-ACPLSZ'!AA:AA)+SUMIF('Budget-ACPLGZ'!$A:$A,$A27,'Budget-ACPLGZ'!AA:AA)+SUMIF('Budget-Yixing'!$A:$A,$A27,'Budget-Yixing'!AA:AA)</f>
        <v>0</v>
      </c>
      <c r="AB27" s="688">
        <f ca="1">SUMIF('Budget-ACPL'!$A:$A,$A27,'Budget-ACPL'!AB:AB)+SUMIF('Budget-ACPLHK'!$A:$A,$A27,'Budget-ACPLHK'!AB:AB)+SUMIF('Budget-ACPSZL'!$A:$A,$A27,'Budget-ACPSZL'!AB:AB)+SUMIF('Budget-ACPLSZ'!$A:$A,$A27,'Budget-ACPLSZ'!AB:AB)+SUMIF('Budget-ACPLGZ'!$A:$A,$A27,'Budget-ACPLGZ'!AB:AB)+SUMIF('Budget-Yixing'!$A:$A,$A27,'Budget-Yixing'!AB:AB)</f>
        <v>0</v>
      </c>
      <c r="AC27" s="688">
        <f ca="1">SUMIF('Budget-ACPL'!$A:$A,$A27,'Budget-ACPL'!AC:AC)+SUMIF('Budget-ACPLHK'!$A:$A,$A27,'Budget-ACPLHK'!AC:AC)+SUMIF('Budget-ACPSZL'!$A:$A,$A27,'Budget-ACPSZL'!AC:AC)+SUMIF('Budget-ACPLSZ'!$A:$A,$A27,'Budget-ACPLSZ'!AC:AC)+SUMIF('Budget-ACPLGZ'!$A:$A,$A27,'Budget-ACPLGZ'!AC:AC)+SUMIF('Budget-Yixing'!$A:$A,$A27,'Budget-Yixing'!AC:AC)</f>
        <v>0</v>
      </c>
      <c r="AD27" s="688">
        <f ca="1">SUMIF('Budget-ACPL'!$A:$A,$A27,'Budget-ACPL'!AD:AD)+SUMIF('Budget-ACPLHK'!$A:$A,$A27,'Budget-ACPLHK'!AD:AD)+SUMIF('Budget-ACPSZL'!$A:$A,$A27,'Budget-ACPSZL'!AD:AD)+SUMIF('Budget-ACPLSZ'!$A:$A,$A27,'Budget-ACPLSZ'!AD:AD)+SUMIF('Budget-ACPLGZ'!$A:$A,$A27,'Budget-ACPLGZ'!AD:AD)+SUMIF('Budget-Yixing'!$A:$A,$A27,'Budget-Yixing'!AD:AD)</f>
        <v>0</v>
      </c>
      <c r="AE27" s="688">
        <f ca="1">SUMIF('Budget-ACPL'!$A:$A,$A27,'Budget-ACPL'!AE:AE)+SUMIF('Budget-ACPLHK'!$A:$A,$A27,'Budget-ACPLHK'!AE:AE)+SUMIF('Budget-ACPSZL'!$A:$A,$A27,'Budget-ACPSZL'!AE:AE)+SUMIF('Budget-ACPLSZ'!$A:$A,$A27,'Budget-ACPLSZ'!AE:AE)+SUMIF('Budget-ACPLGZ'!$A:$A,$A27,'Budget-ACPLGZ'!AE:AE)+SUMIF('Budget-Yixing'!$A:$A,$A27,'Budget-Yixing'!AE:AE)</f>
        <v>0</v>
      </c>
      <c r="AF27" s="688">
        <f ca="1">SUMIF('Budget-ACPL'!$A:$A,$A27,'Budget-ACPL'!AF:AF)+SUMIF('Budget-ACPLHK'!$A:$A,$A27,'Budget-ACPLHK'!AF:AF)+SUMIF('Budget-ACPSZL'!$A:$A,$A27,'Budget-ACPSZL'!AF:AF)+SUMIF('Budget-ACPLSZ'!$A:$A,$A27,'Budget-ACPLSZ'!AF:AF)+SUMIF('Budget-ACPLGZ'!$A:$A,$A27,'Budget-ACPLGZ'!AF:AF)+SUMIF('Budget-Yixing'!$A:$A,$A27,'Budget-Yixing'!AF:AF)</f>
        <v>0</v>
      </c>
      <c r="AG27" s="688">
        <f ca="1">SUMIF('Budget-ACPL'!$A:$A,$A27,'Budget-ACPL'!AG:AG)+SUMIF('Budget-ACPLHK'!$A:$A,$A27,'Budget-ACPLHK'!AG:AG)+SUMIF('Budget-ACPSZL'!$A:$A,$A27,'Budget-ACPSZL'!AG:AG)+SUMIF('Budget-ACPLSZ'!$A:$A,$A27,'Budget-ACPLSZ'!AG:AG)+SUMIF('Budget-ACPLGZ'!$A:$A,$A27,'Budget-ACPLGZ'!AG:AG)+SUMIF('Budget-Yixing'!$A:$A,$A27,'Budget-Yixing'!AG:AG)</f>
        <v>0</v>
      </c>
      <c r="AH27" s="688">
        <f ca="1">SUMIF('Budget-ACPL'!$A:$A,$A27,'Budget-ACPL'!AH:AH)+SUMIF('Budget-ACPLHK'!$A:$A,$A27,'Budget-ACPLHK'!AH:AH)+SUMIF('Budget-ACPSZL'!$A:$A,$A27,'Budget-ACPSZL'!AH:AH)+SUMIF('Budget-ACPLSZ'!$A:$A,$A27,'Budget-ACPLSZ'!AH:AH)+SUMIF('Budget-ACPLGZ'!$A:$A,$A27,'Budget-ACPLGZ'!AH:AH)+SUMIF('Budget-Yixing'!$A:$A,$A27,'Budget-Yixing'!AH:AH)</f>
        <v>0</v>
      </c>
      <c r="AI27" s="688">
        <f ca="1">SUMIF('Budget-ACPL'!$A:$A,$A27,'Budget-ACPL'!AI:AI)+SUMIF('Budget-ACPLHK'!$A:$A,$A27,'Budget-ACPLHK'!AI:AI)+SUMIF('Budget-ACPSZL'!$A:$A,$A27,'Budget-ACPSZL'!AI:AI)+SUMIF('Budget-ACPLSZ'!$A:$A,$A27,'Budget-ACPLSZ'!AI:AI)+SUMIF('Budget-ACPLGZ'!$A:$A,$A27,'Budget-ACPLGZ'!AI:AI)+SUMIF('Budget-Yixing'!$A:$A,$A27,'Budget-Yixing'!AI:AI)</f>
        <v>0</v>
      </c>
      <c r="AJ27" s="688">
        <f ca="1">SUMIF('Budget-ACPL'!$A:$A,$A27,'Budget-ACPL'!AJ:AJ)+SUMIF('Budget-ACPLHK'!$A:$A,$A27,'Budget-ACPLHK'!AJ:AJ)+SUMIF('Budget-ACPSZL'!$A:$A,$A27,'Budget-ACPSZL'!AJ:AJ)+SUMIF('Budget-ACPLSZ'!$A:$A,$A27,'Budget-ACPLSZ'!AJ:AJ)+SUMIF('Budget-ACPLGZ'!$A:$A,$A27,'Budget-ACPLGZ'!AJ:AJ)+SUMIF('Budget-Yixing'!$A:$A,$A27,'Budget-Yixing'!AJ:AJ)</f>
        <v>0</v>
      </c>
      <c r="AK27" s="688">
        <f t="shared" ca="1" si="22"/>
        <v>0</v>
      </c>
    </row>
    <row r="28" spans="1:37" ht="13.5" hidden="1" customHeight="1">
      <c r="A28" s="713" t="s">
        <v>1453</v>
      </c>
      <c r="B28" s="687" t="str">
        <f>VLOOKUP(A28,Account!A:B,2,0)</f>
        <v>员工假期</v>
      </c>
      <c r="C28" s="687" t="str">
        <f>VLOOKUP(A28,Account!A:F,4,0)</f>
        <v>Unused Leave Expense</v>
      </c>
      <c r="D28" s="676">
        <f t="shared" ca="1" si="18"/>
        <v>0</v>
      </c>
      <c r="E28" s="676" t="e">
        <f t="shared" si="13"/>
        <v>#N/A</v>
      </c>
      <c r="F28" s="676" t="e">
        <f t="shared" ca="1" si="14"/>
        <v>#N/A</v>
      </c>
      <c r="G28" s="676">
        <f t="shared" ca="1" si="19"/>
        <v>0</v>
      </c>
      <c r="H28" s="676" t="e">
        <f t="shared" ca="1" si="20"/>
        <v>#N/A</v>
      </c>
      <c r="I28" s="676" t="e">
        <f t="shared" ca="1" si="15"/>
        <v>#N/A</v>
      </c>
      <c r="K28" s="676">
        <f ca="1">SUMIF('Budget-ACPL'!$A:$A,$A28,'Budget-ACPL'!K:K)+SUMIF('Budget-ACPLHK'!$A:$A,$A28,'Budget-ACPLHK'!K:K)+SUMIF('Budget-ACPSZL'!$A:$A,$A28,'Budget-ACPSZL'!K:K)+SUMIF('Budget-ACPLSZ'!$A:$A,$A28,'Budget-ACPLSZ'!K:K)+SUMIF('Budget-ACPLGZ'!$A:$A,$A28,'Budget-ACPLGZ'!K:K)+SUMIF('Budget-Yixing'!$A:$A,$A28,'Budget-Yixing'!K:K)</f>
        <v>0</v>
      </c>
      <c r="L28" s="676">
        <f ca="1">SUMIF('Budget-ACPL'!$A:$A,$A28,'Budget-ACPL'!L:L)+SUMIF('Budget-ACPLHK'!$A:$A,$A28,'Budget-ACPLHK'!L:L)+SUMIF('Budget-ACPSZL'!$A:$A,$A28,'Budget-ACPSZL'!L:L)+SUMIF('Budget-ACPLSZ'!$A:$A,$A28,'Budget-ACPLSZ'!L:L)+SUMIF('Budget-ACPLGZ'!$A:$A,$A28,'Budget-ACPLGZ'!L:L)+SUMIF('Budget-Yixing'!$A:$A,$A28,'Budget-Yixing'!L:L)</f>
        <v>0</v>
      </c>
      <c r="M28" s="676">
        <f ca="1">SUMIF('Budget-ACPL'!$A:$A,$A28,'Budget-ACPL'!M:M)+SUMIF('Budget-ACPLHK'!$A:$A,$A28,'Budget-ACPLHK'!M:M)+SUMIF('Budget-ACPSZL'!$A:$A,$A28,'Budget-ACPSZL'!M:M)+SUMIF('Budget-ACPLSZ'!$A:$A,$A28,'Budget-ACPLSZ'!M:M)+SUMIF('Budget-ACPLGZ'!$A:$A,$A28,'Budget-ACPLGZ'!M:M)+SUMIF('Budget-Yixing'!$A:$A,$A28,'Budget-Yixing'!M:M)</f>
        <v>0</v>
      </c>
      <c r="N28" s="676">
        <f ca="1">SUMIF('Budget-ACPL'!$A:$A,$A28,'Budget-ACPL'!N:N)+SUMIF('Budget-ACPLHK'!$A:$A,$A28,'Budget-ACPLHK'!N:N)+SUMIF('Budget-ACPSZL'!$A:$A,$A28,'Budget-ACPSZL'!N:N)+SUMIF('Budget-ACPLSZ'!$A:$A,$A28,'Budget-ACPLSZ'!N:N)+SUMIF('Budget-ACPLGZ'!$A:$A,$A28,'Budget-ACPLGZ'!N:N)+SUMIF('Budget-Yixing'!$A:$A,$A28,'Budget-Yixing'!N:N)</f>
        <v>0</v>
      </c>
      <c r="O28" s="676">
        <f ca="1">SUMIF('Budget-ACPL'!$A:$A,$A28,'Budget-ACPL'!O:O)+SUMIF('Budget-ACPLHK'!$A:$A,$A28,'Budget-ACPLHK'!O:O)+SUMIF('Budget-ACPSZL'!$A:$A,$A28,'Budget-ACPSZL'!O:O)+SUMIF('Budget-ACPLSZ'!$A:$A,$A28,'Budget-ACPLSZ'!O:O)+SUMIF('Budget-ACPLGZ'!$A:$A,$A28,'Budget-ACPLGZ'!O:O)+SUMIF('Budget-Yixing'!$A:$A,$A28,'Budget-Yixing'!O:O)</f>
        <v>0</v>
      </c>
      <c r="P28" s="676">
        <f ca="1">SUMIF('Budget-ACPL'!$A:$A,$A28,'Budget-ACPL'!P:P)+SUMIF('Budget-ACPLHK'!$A:$A,$A28,'Budget-ACPLHK'!P:P)+SUMIF('Budget-ACPSZL'!$A:$A,$A28,'Budget-ACPSZL'!P:P)+SUMIF('Budget-ACPLSZ'!$A:$A,$A28,'Budget-ACPLSZ'!P:P)+SUMIF('Budget-ACPLGZ'!$A:$A,$A28,'Budget-ACPLGZ'!P:P)+SUMIF('Budget-Yixing'!$A:$A,$A28,'Budget-Yixing'!P:P)</f>
        <v>0</v>
      </c>
      <c r="Q28" s="676">
        <f ca="1">SUMIF('Budget-ACPL'!$A:$A,$A28,'Budget-ACPL'!Q:Q)+SUMIF('Budget-ACPLHK'!$A:$A,$A28,'Budget-ACPLHK'!Q:Q)+SUMIF('Budget-ACPSZL'!$A:$A,$A28,'Budget-ACPSZL'!Q:Q)+SUMIF('Budget-ACPLSZ'!$A:$A,$A28,'Budget-ACPLSZ'!Q:Q)+SUMIF('Budget-ACPLGZ'!$A:$A,$A28,'Budget-ACPLGZ'!Q:Q)+SUMIF('Budget-Yixing'!$A:$A,$A28,'Budget-Yixing'!Q:Q)</f>
        <v>0</v>
      </c>
      <c r="R28" s="676">
        <f ca="1">SUMIF('Budget-ACPL'!$A:$A,$A28,'Budget-ACPL'!R:R)+SUMIF('Budget-ACPLHK'!$A:$A,$A28,'Budget-ACPLHK'!R:R)+SUMIF('Budget-ACPSZL'!$A:$A,$A28,'Budget-ACPSZL'!R:R)+SUMIF('Budget-ACPLSZ'!$A:$A,$A28,'Budget-ACPLSZ'!R:R)+SUMIF('Budget-ACPLGZ'!$A:$A,$A28,'Budget-ACPLGZ'!R:R)+SUMIF('Budget-Yixing'!$A:$A,$A28,'Budget-Yixing'!R:R)</f>
        <v>0</v>
      </c>
      <c r="S28" s="676">
        <f ca="1">SUMIF('Budget-ACPL'!$A:$A,$A28,'Budget-ACPL'!S:S)+SUMIF('Budget-ACPLHK'!$A:$A,$A28,'Budget-ACPLHK'!S:S)+SUMIF('Budget-ACPSZL'!$A:$A,$A28,'Budget-ACPSZL'!S:S)+SUMIF('Budget-ACPLSZ'!$A:$A,$A28,'Budget-ACPLSZ'!S:S)+SUMIF('Budget-ACPLGZ'!$A:$A,$A28,'Budget-ACPLGZ'!S:S)+SUMIF('Budget-Yixing'!$A:$A,$A28,'Budget-Yixing'!S:S)</f>
        <v>0</v>
      </c>
      <c r="T28" s="676">
        <f ca="1">SUMIF('Budget-ACPL'!$A:$A,$A28,'Budget-ACPL'!T:T)+SUMIF('Budget-ACPLHK'!$A:$A,$A28,'Budget-ACPLHK'!T:T)+SUMIF('Budget-ACPSZL'!$A:$A,$A28,'Budget-ACPSZL'!T:T)+SUMIF('Budget-ACPLSZ'!$A:$A,$A28,'Budget-ACPLSZ'!T:T)+SUMIF('Budget-ACPLGZ'!$A:$A,$A28,'Budget-ACPLGZ'!T:T)+SUMIF('Budget-Yixing'!$A:$A,$A28,'Budget-Yixing'!T:T)</f>
        <v>0</v>
      </c>
      <c r="U28" s="676">
        <f ca="1">SUMIF('Budget-ACPL'!$A:$A,$A28,'Budget-ACPL'!U:U)+SUMIF('Budget-ACPLHK'!$A:$A,$A28,'Budget-ACPLHK'!U:U)+SUMIF('Budget-ACPSZL'!$A:$A,$A28,'Budget-ACPSZL'!U:U)+SUMIF('Budget-ACPLSZ'!$A:$A,$A28,'Budget-ACPLSZ'!U:U)+SUMIF('Budget-ACPLGZ'!$A:$A,$A28,'Budget-ACPLGZ'!U:U)+SUMIF('Budget-Yixing'!$A:$A,$A28,'Budget-Yixing'!U:U)</f>
        <v>0</v>
      </c>
      <c r="V28" s="676">
        <f ca="1">SUMIF('Budget-ACPL'!$A:$A,$A28,'Budget-ACPL'!V:V)+SUMIF('Budget-ACPLHK'!$A:$A,$A28,'Budget-ACPLHK'!V:V)+SUMIF('Budget-ACPSZL'!$A:$A,$A28,'Budget-ACPSZL'!V:V)+SUMIF('Budget-ACPLSZ'!$A:$A,$A28,'Budget-ACPLSZ'!V:V)+SUMIF('Budget-ACPLGZ'!$A:$A,$A28,'Budget-ACPLGZ'!V:V)+SUMIF('Budget-Yixing'!$A:$A,$A28,'Budget-Yixing'!V:V)</f>
        <v>0</v>
      </c>
      <c r="W28" s="676">
        <f t="shared" ca="1" si="21"/>
        <v>0</v>
      </c>
      <c r="Y28" s="688">
        <f ca="1">SUMIF('Budget-ACPL'!$A:$A,$A28,'Budget-ACPL'!Y:Y)+SUMIF('Budget-ACPLHK'!$A:$A,$A28,'Budget-ACPLHK'!Y:Y)+SUMIF('Budget-ACPSZL'!$A:$A,$A28,'Budget-ACPSZL'!Y:Y)+SUMIF('Budget-ACPLSZ'!$A:$A,$A28,'Budget-ACPLSZ'!Y:Y)+SUMIF('Budget-ACPLGZ'!$A:$A,$A28,'Budget-ACPLGZ'!Y:Y)+SUMIF('Budget-Yixing'!$A:$A,$A28,'Budget-Yixing'!Y:Y)</f>
        <v>0</v>
      </c>
      <c r="Z28" s="688">
        <f ca="1">SUMIF('Budget-ACPL'!$A:$A,$A28,'Budget-ACPL'!Z:Z)+SUMIF('Budget-ACPLHK'!$A:$A,$A28,'Budget-ACPLHK'!Z:Z)+SUMIF('Budget-ACPSZL'!$A:$A,$A28,'Budget-ACPSZL'!Z:Z)+SUMIF('Budget-ACPLSZ'!$A:$A,$A28,'Budget-ACPLSZ'!Z:Z)+SUMIF('Budget-ACPLGZ'!$A:$A,$A28,'Budget-ACPLGZ'!Z:Z)+SUMIF('Budget-Yixing'!$A:$A,$A28,'Budget-Yixing'!Z:Z)</f>
        <v>0</v>
      </c>
      <c r="AA28" s="688">
        <f ca="1">SUMIF('Budget-ACPL'!$A:$A,$A28,'Budget-ACPL'!AA:AA)+SUMIF('Budget-ACPLHK'!$A:$A,$A28,'Budget-ACPLHK'!AA:AA)+SUMIF('Budget-ACPSZL'!$A:$A,$A28,'Budget-ACPSZL'!AA:AA)+SUMIF('Budget-ACPLSZ'!$A:$A,$A28,'Budget-ACPLSZ'!AA:AA)+SUMIF('Budget-ACPLGZ'!$A:$A,$A28,'Budget-ACPLGZ'!AA:AA)+SUMIF('Budget-Yixing'!$A:$A,$A28,'Budget-Yixing'!AA:AA)</f>
        <v>-74726.01999999999</v>
      </c>
      <c r="AB28" s="688">
        <f ca="1">SUMIF('Budget-ACPL'!$A:$A,$A28,'Budget-ACPL'!AB:AB)+SUMIF('Budget-ACPLHK'!$A:$A,$A28,'Budget-ACPLHK'!AB:AB)+SUMIF('Budget-ACPSZL'!$A:$A,$A28,'Budget-ACPSZL'!AB:AB)+SUMIF('Budget-ACPLSZ'!$A:$A,$A28,'Budget-ACPLSZ'!AB:AB)+SUMIF('Budget-ACPLGZ'!$A:$A,$A28,'Budget-ACPLGZ'!AB:AB)+SUMIF('Budget-Yixing'!$A:$A,$A28,'Budget-Yixing'!AB:AB)</f>
        <v>0</v>
      </c>
      <c r="AC28" s="688">
        <f ca="1">SUMIF('Budget-ACPL'!$A:$A,$A28,'Budget-ACPL'!AC:AC)+SUMIF('Budget-ACPLHK'!$A:$A,$A28,'Budget-ACPLHK'!AC:AC)+SUMIF('Budget-ACPSZL'!$A:$A,$A28,'Budget-ACPSZL'!AC:AC)+SUMIF('Budget-ACPLSZ'!$A:$A,$A28,'Budget-ACPLSZ'!AC:AC)+SUMIF('Budget-ACPLGZ'!$A:$A,$A28,'Budget-ACPLGZ'!AC:AC)+SUMIF('Budget-Yixing'!$A:$A,$A28,'Budget-Yixing'!AC:AC)</f>
        <v>0</v>
      </c>
      <c r="AD28" s="688">
        <f ca="1">SUMIF('Budget-ACPL'!$A:$A,$A28,'Budget-ACPL'!AD:AD)+SUMIF('Budget-ACPLHK'!$A:$A,$A28,'Budget-ACPLHK'!AD:AD)+SUMIF('Budget-ACPSZL'!$A:$A,$A28,'Budget-ACPSZL'!AD:AD)+SUMIF('Budget-ACPLSZ'!$A:$A,$A28,'Budget-ACPLSZ'!AD:AD)+SUMIF('Budget-ACPLGZ'!$A:$A,$A28,'Budget-ACPLGZ'!AD:AD)+SUMIF('Budget-Yixing'!$A:$A,$A28,'Budget-Yixing'!AD:AD)</f>
        <v>0</v>
      </c>
      <c r="AE28" s="688">
        <f ca="1">SUMIF('Budget-ACPL'!$A:$A,$A28,'Budget-ACPL'!AE:AE)+SUMIF('Budget-ACPLHK'!$A:$A,$A28,'Budget-ACPLHK'!AE:AE)+SUMIF('Budget-ACPSZL'!$A:$A,$A28,'Budget-ACPSZL'!AE:AE)+SUMIF('Budget-ACPLSZ'!$A:$A,$A28,'Budget-ACPLSZ'!AE:AE)+SUMIF('Budget-ACPLGZ'!$A:$A,$A28,'Budget-ACPLGZ'!AE:AE)+SUMIF('Budget-Yixing'!$A:$A,$A28,'Budget-Yixing'!AE:AE)</f>
        <v>0</v>
      </c>
      <c r="AF28" s="688">
        <f ca="1">SUMIF('Budget-ACPL'!$A:$A,$A28,'Budget-ACPL'!AF:AF)+SUMIF('Budget-ACPLHK'!$A:$A,$A28,'Budget-ACPLHK'!AF:AF)+SUMIF('Budget-ACPSZL'!$A:$A,$A28,'Budget-ACPSZL'!AF:AF)+SUMIF('Budget-ACPLSZ'!$A:$A,$A28,'Budget-ACPLSZ'!AF:AF)+SUMIF('Budget-ACPLGZ'!$A:$A,$A28,'Budget-ACPLGZ'!AF:AF)+SUMIF('Budget-Yixing'!$A:$A,$A28,'Budget-Yixing'!AF:AF)</f>
        <v>0</v>
      </c>
      <c r="AG28" s="688">
        <f ca="1">SUMIF('Budget-ACPL'!$A:$A,$A28,'Budget-ACPL'!AG:AG)+SUMIF('Budget-ACPLHK'!$A:$A,$A28,'Budget-ACPLHK'!AG:AG)+SUMIF('Budget-ACPSZL'!$A:$A,$A28,'Budget-ACPSZL'!AG:AG)+SUMIF('Budget-ACPLSZ'!$A:$A,$A28,'Budget-ACPLSZ'!AG:AG)+SUMIF('Budget-ACPLGZ'!$A:$A,$A28,'Budget-ACPLGZ'!AG:AG)+SUMIF('Budget-Yixing'!$A:$A,$A28,'Budget-Yixing'!AG:AG)</f>
        <v>0</v>
      </c>
      <c r="AH28" s="688">
        <f ca="1">SUMIF('Budget-ACPL'!$A:$A,$A28,'Budget-ACPL'!AH:AH)+SUMIF('Budget-ACPLHK'!$A:$A,$A28,'Budget-ACPLHK'!AH:AH)+SUMIF('Budget-ACPSZL'!$A:$A,$A28,'Budget-ACPSZL'!AH:AH)+SUMIF('Budget-ACPLSZ'!$A:$A,$A28,'Budget-ACPLSZ'!AH:AH)+SUMIF('Budget-ACPLGZ'!$A:$A,$A28,'Budget-ACPLGZ'!AH:AH)+SUMIF('Budget-Yixing'!$A:$A,$A28,'Budget-Yixing'!AH:AH)</f>
        <v>0</v>
      </c>
      <c r="AI28" s="688">
        <f ca="1">SUMIF('Budget-ACPL'!$A:$A,$A28,'Budget-ACPL'!AI:AI)+SUMIF('Budget-ACPLHK'!$A:$A,$A28,'Budget-ACPLHK'!AI:AI)+SUMIF('Budget-ACPSZL'!$A:$A,$A28,'Budget-ACPSZL'!AI:AI)+SUMIF('Budget-ACPLSZ'!$A:$A,$A28,'Budget-ACPLSZ'!AI:AI)+SUMIF('Budget-ACPLGZ'!$A:$A,$A28,'Budget-ACPLGZ'!AI:AI)+SUMIF('Budget-Yixing'!$A:$A,$A28,'Budget-Yixing'!AI:AI)</f>
        <v>0</v>
      </c>
      <c r="AJ28" s="688">
        <f ca="1">SUMIF('Budget-ACPL'!$A:$A,$A28,'Budget-ACPL'!AJ:AJ)+SUMIF('Budget-ACPLHK'!$A:$A,$A28,'Budget-ACPLHK'!AJ:AJ)+SUMIF('Budget-ACPSZL'!$A:$A,$A28,'Budget-ACPSZL'!AJ:AJ)+SUMIF('Budget-ACPLSZ'!$A:$A,$A28,'Budget-ACPLSZ'!AJ:AJ)+SUMIF('Budget-ACPLGZ'!$A:$A,$A28,'Budget-ACPLGZ'!AJ:AJ)+SUMIF('Budget-Yixing'!$A:$A,$A28,'Budget-Yixing'!AJ:AJ)</f>
        <v>0</v>
      </c>
      <c r="AK28" s="688">
        <f t="shared" ca="1" si="22"/>
        <v>-74726.01999999999</v>
      </c>
    </row>
    <row r="29" spans="1:37" ht="13.5" hidden="1" customHeight="1">
      <c r="A29" s="713" t="s">
        <v>1457</v>
      </c>
      <c r="B29" s="687" t="str">
        <f>VLOOKUP(A29,Account!A:B,2,0)</f>
        <v>劳务报酬</v>
      </c>
      <c r="C29" s="687">
        <f>VLOOKUP(A29,Account!A:F,4,0)</f>
        <v>0</v>
      </c>
      <c r="D29" s="676">
        <f t="shared" ca="1" si="18"/>
        <v>0</v>
      </c>
      <c r="E29" s="676" t="e">
        <f t="shared" si="13"/>
        <v>#N/A</v>
      </c>
      <c r="F29" s="676" t="e">
        <f t="shared" ca="1" si="14"/>
        <v>#N/A</v>
      </c>
      <c r="G29" s="676">
        <f t="shared" ca="1" si="19"/>
        <v>0</v>
      </c>
      <c r="H29" s="676" t="e">
        <f t="shared" ca="1" si="20"/>
        <v>#N/A</v>
      </c>
      <c r="I29" s="676" t="e">
        <f t="shared" ca="1" si="15"/>
        <v>#N/A</v>
      </c>
      <c r="K29" s="676">
        <f ca="1">SUMIF('Budget-ACPL'!$A:$A,$A29,'Budget-ACPL'!K:K)+SUMIF('Budget-ACPLHK'!$A:$A,$A29,'Budget-ACPLHK'!K:K)+SUMIF('Budget-ACPSZL'!$A:$A,$A29,'Budget-ACPSZL'!K:K)+SUMIF('Budget-ACPLSZ'!$A:$A,$A29,'Budget-ACPLSZ'!K:K)+SUMIF('Budget-ACPLGZ'!$A:$A,$A29,'Budget-ACPLGZ'!K:K)+SUMIF('Budget-Yixing'!$A:$A,$A29,'Budget-Yixing'!K:K)</f>
        <v>0</v>
      </c>
      <c r="L29" s="676">
        <f ca="1">SUMIF('Budget-ACPL'!$A:$A,$A29,'Budget-ACPL'!L:L)+SUMIF('Budget-ACPLHK'!$A:$A,$A29,'Budget-ACPLHK'!L:L)+SUMIF('Budget-ACPSZL'!$A:$A,$A29,'Budget-ACPSZL'!L:L)+SUMIF('Budget-ACPLSZ'!$A:$A,$A29,'Budget-ACPLSZ'!L:L)+SUMIF('Budget-ACPLGZ'!$A:$A,$A29,'Budget-ACPLGZ'!L:L)+SUMIF('Budget-Yixing'!$A:$A,$A29,'Budget-Yixing'!L:L)</f>
        <v>0</v>
      </c>
      <c r="M29" s="676">
        <f ca="1">SUMIF('Budget-ACPL'!$A:$A,$A29,'Budget-ACPL'!M:M)+SUMIF('Budget-ACPLHK'!$A:$A,$A29,'Budget-ACPLHK'!M:M)+SUMIF('Budget-ACPSZL'!$A:$A,$A29,'Budget-ACPSZL'!M:M)+SUMIF('Budget-ACPLSZ'!$A:$A,$A29,'Budget-ACPLSZ'!M:M)+SUMIF('Budget-ACPLGZ'!$A:$A,$A29,'Budget-ACPLGZ'!M:M)+SUMIF('Budget-Yixing'!$A:$A,$A29,'Budget-Yixing'!M:M)</f>
        <v>0</v>
      </c>
      <c r="N29" s="676">
        <f ca="1">SUMIF('Budget-ACPL'!$A:$A,$A29,'Budget-ACPL'!N:N)+SUMIF('Budget-ACPLHK'!$A:$A,$A29,'Budget-ACPLHK'!N:N)+SUMIF('Budget-ACPSZL'!$A:$A,$A29,'Budget-ACPSZL'!N:N)+SUMIF('Budget-ACPLSZ'!$A:$A,$A29,'Budget-ACPLSZ'!N:N)+SUMIF('Budget-ACPLGZ'!$A:$A,$A29,'Budget-ACPLGZ'!N:N)+SUMIF('Budget-Yixing'!$A:$A,$A29,'Budget-Yixing'!N:N)</f>
        <v>0</v>
      </c>
      <c r="O29" s="676">
        <f ca="1">SUMIF('Budget-ACPL'!$A:$A,$A29,'Budget-ACPL'!O:O)+SUMIF('Budget-ACPLHK'!$A:$A,$A29,'Budget-ACPLHK'!O:O)+SUMIF('Budget-ACPSZL'!$A:$A,$A29,'Budget-ACPSZL'!O:O)+SUMIF('Budget-ACPLSZ'!$A:$A,$A29,'Budget-ACPLSZ'!O:O)+SUMIF('Budget-ACPLGZ'!$A:$A,$A29,'Budget-ACPLGZ'!O:O)+SUMIF('Budget-Yixing'!$A:$A,$A29,'Budget-Yixing'!O:O)</f>
        <v>0</v>
      </c>
      <c r="P29" s="676">
        <f ca="1">SUMIF('Budget-ACPL'!$A:$A,$A29,'Budget-ACPL'!P:P)+SUMIF('Budget-ACPLHK'!$A:$A,$A29,'Budget-ACPLHK'!P:P)+SUMIF('Budget-ACPSZL'!$A:$A,$A29,'Budget-ACPSZL'!P:P)+SUMIF('Budget-ACPLSZ'!$A:$A,$A29,'Budget-ACPLSZ'!P:P)+SUMIF('Budget-ACPLGZ'!$A:$A,$A29,'Budget-ACPLGZ'!P:P)+SUMIF('Budget-Yixing'!$A:$A,$A29,'Budget-Yixing'!P:P)</f>
        <v>0</v>
      </c>
      <c r="Q29" s="676">
        <f ca="1">SUMIF('Budget-ACPL'!$A:$A,$A29,'Budget-ACPL'!Q:Q)+SUMIF('Budget-ACPLHK'!$A:$A,$A29,'Budget-ACPLHK'!Q:Q)+SUMIF('Budget-ACPSZL'!$A:$A,$A29,'Budget-ACPSZL'!Q:Q)+SUMIF('Budget-ACPLSZ'!$A:$A,$A29,'Budget-ACPLSZ'!Q:Q)+SUMIF('Budget-ACPLGZ'!$A:$A,$A29,'Budget-ACPLGZ'!Q:Q)+SUMIF('Budget-Yixing'!$A:$A,$A29,'Budget-Yixing'!Q:Q)</f>
        <v>0</v>
      </c>
      <c r="R29" s="676">
        <f ca="1">SUMIF('Budget-ACPL'!$A:$A,$A29,'Budget-ACPL'!R:R)+SUMIF('Budget-ACPLHK'!$A:$A,$A29,'Budget-ACPLHK'!R:R)+SUMIF('Budget-ACPSZL'!$A:$A,$A29,'Budget-ACPSZL'!R:R)+SUMIF('Budget-ACPLSZ'!$A:$A,$A29,'Budget-ACPLSZ'!R:R)+SUMIF('Budget-ACPLGZ'!$A:$A,$A29,'Budget-ACPLGZ'!R:R)+SUMIF('Budget-Yixing'!$A:$A,$A29,'Budget-Yixing'!R:R)</f>
        <v>0</v>
      </c>
      <c r="S29" s="676">
        <f ca="1">SUMIF('Budget-ACPL'!$A:$A,$A29,'Budget-ACPL'!S:S)+SUMIF('Budget-ACPLHK'!$A:$A,$A29,'Budget-ACPLHK'!S:S)+SUMIF('Budget-ACPSZL'!$A:$A,$A29,'Budget-ACPSZL'!S:S)+SUMIF('Budget-ACPLSZ'!$A:$A,$A29,'Budget-ACPLSZ'!S:S)+SUMIF('Budget-ACPLGZ'!$A:$A,$A29,'Budget-ACPLGZ'!S:S)+SUMIF('Budget-Yixing'!$A:$A,$A29,'Budget-Yixing'!S:S)</f>
        <v>0</v>
      </c>
      <c r="T29" s="676">
        <f ca="1">SUMIF('Budget-ACPL'!$A:$A,$A29,'Budget-ACPL'!T:T)+SUMIF('Budget-ACPLHK'!$A:$A,$A29,'Budget-ACPLHK'!T:T)+SUMIF('Budget-ACPSZL'!$A:$A,$A29,'Budget-ACPSZL'!T:T)+SUMIF('Budget-ACPLSZ'!$A:$A,$A29,'Budget-ACPLSZ'!T:T)+SUMIF('Budget-ACPLGZ'!$A:$A,$A29,'Budget-ACPLGZ'!T:T)+SUMIF('Budget-Yixing'!$A:$A,$A29,'Budget-Yixing'!T:T)</f>
        <v>0</v>
      </c>
      <c r="U29" s="676">
        <f ca="1">SUMIF('Budget-ACPL'!$A:$A,$A29,'Budget-ACPL'!U:U)+SUMIF('Budget-ACPLHK'!$A:$A,$A29,'Budget-ACPLHK'!U:U)+SUMIF('Budget-ACPSZL'!$A:$A,$A29,'Budget-ACPSZL'!U:U)+SUMIF('Budget-ACPLSZ'!$A:$A,$A29,'Budget-ACPLSZ'!U:U)+SUMIF('Budget-ACPLGZ'!$A:$A,$A29,'Budget-ACPLGZ'!U:U)+SUMIF('Budget-Yixing'!$A:$A,$A29,'Budget-Yixing'!U:U)</f>
        <v>0</v>
      </c>
      <c r="V29" s="676">
        <f ca="1">SUMIF('Budget-ACPL'!$A:$A,$A29,'Budget-ACPL'!V:V)+SUMIF('Budget-ACPLHK'!$A:$A,$A29,'Budget-ACPLHK'!V:V)+SUMIF('Budget-ACPSZL'!$A:$A,$A29,'Budget-ACPSZL'!V:V)+SUMIF('Budget-ACPLSZ'!$A:$A,$A29,'Budget-ACPLSZ'!V:V)+SUMIF('Budget-ACPLGZ'!$A:$A,$A29,'Budget-ACPLGZ'!V:V)+SUMIF('Budget-Yixing'!$A:$A,$A29,'Budget-Yixing'!V:V)</f>
        <v>0</v>
      </c>
      <c r="W29" s="676">
        <f t="shared" ca="1" si="21"/>
        <v>0</v>
      </c>
      <c r="Y29" s="688">
        <f ca="1">SUMIF('Budget-ACPL'!$A:$A,$A29,'Budget-ACPL'!Y:Y)+SUMIF('Budget-ACPLHK'!$A:$A,$A29,'Budget-ACPLHK'!Y:Y)+SUMIF('Budget-ACPSZL'!$A:$A,$A29,'Budget-ACPSZL'!Y:Y)+SUMIF('Budget-ACPLSZ'!$A:$A,$A29,'Budget-ACPLSZ'!Y:Y)+SUMIF('Budget-ACPLGZ'!$A:$A,$A29,'Budget-ACPLGZ'!Y:Y)+SUMIF('Budget-Yixing'!$A:$A,$A29,'Budget-Yixing'!Y:Y)</f>
        <v>0</v>
      </c>
      <c r="Z29" s="688">
        <f ca="1">SUMIF('Budget-ACPL'!$A:$A,$A29,'Budget-ACPL'!Z:Z)+SUMIF('Budget-ACPLHK'!$A:$A,$A29,'Budget-ACPLHK'!Z:Z)+SUMIF('Budget-ACPSZL'!$A:$A,$A29,'Budget-ACPSZL'!Z:Z)+SUMIF('Budget-ACPLSZ'!$A:$A,$A29,'Budget-ACPLSZ'!Z:Z)+SUMIF('Budget-ACPLGZ'!$A:$A,$A29,'Budget-ACPLGZ'!Z:Z)+SUMIF('Budget-Yixing'!$A:$A,$A29,'Budget-Yixing'!Z:Z)</f>
        <v>0</v>
      </c>
      <c r="AA29" s="688">
        <f ca="1">SUMIF('Budget-ACPL'!$A:$A,$A29,'Budget-ACPL'!AA:AA)+SUMIF('Budget-ACPLHK'!$A:$A,$A29,'Budget-ACPLHK'!AA:AA)+SUMIF('Budget-ACPSZL'!$A:$A,$A29,'Budget-ACPSZL'!AA:AA)+SUMIF('Budget-ACPLSZ'!$A:$A,$A29,'Budget-ACPLSZ'!AA:AA)+SUMIF('Budget-ACPLGZ'!$A:$A,$A29,'Budget-ACPLGZ'!AA:AA)+SUMIF('Budget-Yixing'!$A:$A,$A29,'Budget-Yixing'!AA:AA)</f>
        <v>8000</v>
      </c>
      <c r="AB29" s="688">
        <f ca="1">SUMIF('Budget-ACPL'!$A:$A,$A29,'Budget-ACPL'!AB:AB)+SUMIF('Budget-ACPLHK'!$A:$A,$A29,'Budget-ACPLHK'!AB:AB)+SUMIF('Budget-ACPSZL'!$A:$A,$A29,'Budget-ACPSZL'!AB:AB)+SUMIF('Budget-ACPLSZ'!$A:$A,$A29,'Budget-ACPLSZ'!AB:AB)+SUMIF('Budget-ACPLGZ'!$A:$A,$A29,'Budget-ACPLGZ'!AB:AB)+SUMIF('Budget-Yixing'!$A:$A,$A29,'Budget-Yixing'!AB:AB)</f>
        <v>8600</v>
      </c>
      <c r="AC29" s="688">
        <f ca="1">SUMIF('Budget-ACPL'!$A:$A,$A29,'Budget-ACPL'!AC:AC)+SUMIF('Budget-ACPLHK'!$A:$A,$A29,'Budget-ACPLHK'!AC:AC)+SUMIF('Budget-ACPSZL'!$A:$A,$A29,'Budget-ACPSZL'!AC:AC)+SUMIF('Budget-ACPLSZ'!$A:$A,$A29,'Budget-ACPLSZ'!AC:AC)+SUMIF('Budget-ACPLGZ'!$A:$A,$A29,'Budget-ACPLGZ'!AC:AC)+SUMIF('Budget-Yixing'!$A:$A,$A29,'Budget-Yixing'!AC:AC)</f>
        <v>7200</v>
      </c>
      <c r="AD29" s="688">
        <f ca="1">SUMIF('Budget-ACPL'!$A:$A,$A29,'Budget-ACPL'!AD:AD)+SUMIF('Budget-ACPLHK'!$A:$A,$A29,'Budget-ACPLHK'!AD:AD)+SUMIF('Budget-ACPSZL'!$A:$A,$A29,'Budget-ACPSZL'!AD:AD)+SUMIF('Budget-ACPLSZ'!$A:$A,$A29,'Budget-ACPLSZ'!AD:AD)+SUMIF('Budget-ACPLGZ'!$A:$A,$A29,'Budget-ACPLGZ'!AD:AD)+SUMIF('Budget-Yixing'!$A:$A,$A29,'Budget-Yixing'!AD:AD)</f>
        <v>5000</v>
      </c>
      <c r="AE29" s="688">
        <f ca="1">SUMIF('Budget-ACPL'!$A:$A,$A29,'Budget-ACPL'!AE:AE)+SUMIF('Budget-ACPLHK'!$A:$A,$A29,'Budget-ACPLHK'!AE:AE)+SUMIF('Budget-ACPSZL'!$A:$A,$A29,'Budget-ACPSZL'!AE:AE)+SUMIF('Budget-ACPLSZ'!$A:$A,$A29,'Budget-ACPLSZ'!AE:AE)+SUMIF('Budget-ACPLGZ'!$A:$A,$A29,'Budget-ACPLGZ'!AE:AE)+SUMIF('Budget-Yixing'!$A:$A,$A29,'Budget-Yixing'!AE:AE)</f>
        <v>0</v>
      </c>
      <c r="AF29" s="688">
        <f ca="1">SUMIF('Budget-ACPL'!$A:$A,$A29,'Budget-ACPL'!AF:AF)+SUMIF('Budget-ACPLHK'!$A:$A,$A29,'Budget-ACPLHK'!AF:AF)+SUMIF('Budget-ACPSZL'!$A:$A,$A29,'Budget-ACPSZL'!AF:AF)+SUMIF('Budget-ACPLSZ'!$A:$A,$A29,'Budget-ACPLSZ'!AF:AF)+SUMIF('Budget-ACPLGZ'!$A:$A,$A29,'Budget-ACPLGZ'!AF:AF)+SUMIF('Budget-Yixing'!$A:$A,$A29,'Budget-Yixing'!AF:AF)</f>
        <v>3000</v>
      </c>
      <c r="AG29" s="688">
        <f ca="1">SUMIF('Budget-ACPL'!$A:$A,$A29,'Budget-ACPL'!AG:AG)+SUMIF('Budget-ACPLHK'!$A:$A,$A29,'Budget-ACPLHK'!AG:AG)+SUMIF('Budget-ACPSZL'!$A:$A,$A29,'Budget-ACPSZL'!AG:AG)+SUMIF('Budget-ACPLSZ'!$A:$A,$A29,'Budget-ACPLSZ'!AG:AG)+SUMIF('Budget-ACPLGZ'!$A:$A,$A29,'Budget-ACPLGZ'!AG:AG)+SUMIF('Budget-Yixing'!$A:$A,$A29,'Budget-Yixing'!AG:AG)</f>
        <v>4600</v>
      </c>
      <c r="AH29" s="688">
        <f ca="1">SUMIF('Budget-ACPL'!$A:$A,$A29,'Budget-ACPL'!AH:AH)+SUMIF('Budget-ACPLHK'!$A:$A,$A29,'Budget-ACPLHK'!AH:AH)+SUMIF('Budget-ACPSZL'!$A:$A,$A29,'Budget-ACPSZL'!AH:AH)+SUMIF('Budget-ACPLSZ'!$A:$A,$A29,'Budget-ACPLSZ'!AH:AH)+SUMIF('Budget-ACPLGZ'!$A:$A,$A29,'Budget-ACPLGZ'!AH:AH)+SUMIF('Budget-Yixing'!$A:$A,$A29,'Budget-Yixing'!AH:AH)</f>
        <v>3600</v>
      </c>
      <c r="AI29" s="688">
        <f ca="1">SUMIF('Budget-ACPL'!$A:$A,$A29,'Budget-ACPL'!AI:AI)+SUMIF('Budget-ACPLHK'!$A:$A,$A29,'Budget-ACPLHK'!AI:AI)+SUMIF('Budget-ACPSZL'!$A:$A,$A29,'Budget-ACPSZL'!AI:AI)+SUMIF('Budget-ACPLSZ'!$A:$A,$A29,'Budget-ACPLSZ'!AI:AI)+SUMIF('Budget-ACPLGZ'!$A:$A,$A29,'Budget-ACPLGZ'!AI:AI)+SUMIF('Budget-Yixing'!$A:$A,$A29,'Budget-Yixing'!AI:AI)</f>
        <v>4000</v>
      </c>
      <c r="AJ29" s="688">
        <f ca="1">SUMIF('Budget-ACPL'!$A:$A,$A29,'Budget-ACPL'!AJ:AJ)+SUMIF('Budget-ACPLHK'!$A:$A,$A29,'Budget-ACPLHK'!AJ:AJ)+SUMIF('Budget-ACPSZL'!$A:$A,$A29,'Budget-ACPSZL'!AJ:AJ)+SUMIF('Budget-ACPLSZ'!$A:$A,$A29,'Budget-ACPLSZ'!AJ:AJ)+SUMIF('Budget-ACPLGZ'!$A:$A,$A29,'Budget-ACPLGZ'!AJ:AJ)+SUMIF('Budget-Yixing'!$A:$A,$A29,'Budget-Yixing'!AJ:AJ)</f>
        <v>4600</v>
      </c>
      <c r="AK29" s="688">
        <f t="shared" ca="1" si="22"/>
        <v>48600</v>
      </c>
    </row>
    <row r="30" spans="1:37" ht="13.5" hidden="1" customHeight="1">
      <c r="A30" s="713" t="s">
        <v>1459</v>
      </c>
      <c r="B30" s="687" t="str">
        <f>VLOOKUP(A30,Account!A:B,2,0)</f>
        <v>集团内分摊</v>
      </c>
      <c r="C30" s="687" t="str">
        <f>VLOOKUP(A30,Account!A:F,4,0)</f>
        <v>Mantime X Charge</v>
      </c>
      <c r="D30" s="676">
        <f t="shared" ca="1" si="18"/>
        <v>0</v>
      </c>
      <c r="E30" s="676" t="e">
        <f t="shared" si="13"/>
        <v>#N/A</v>
      </c>
      <c r="F30" s="676" t="e">
        <f t="shared" ca="1" si="14"/>
        <v>#N/A</v>
      </c>
      <c r="G30" s="676">
        <f t="shared" ca="1" si="19"/>
        <v>0</v>
      </c>
      <c r="H30" s="676" t="e">
        <f t="shared" ca="1" si="20"/>
        <v>#N/A</v>
      </c>
      <c r="I30" s="676" t="e">
        <f t="shared" ca="1" si="15"/>
        <v>#N/A</v>
      </c>
      <c r="K30" s="676">
        <f ca="1">SUMIF('Budget-ACPL'!$A:$A,$A30,'Budget-ACPL'!K:K)+SUMIF('Budget-ACPLHK'!$A:$A,$A30,'Budget-ACPLHK'!K:K)+SUMIF('Budget-ACPSZL'!$A:$A,$A30,'Budget-ACPSZL'!K:K)+SUMIF('Budget-ACPLSZ'!$A:$A,$A30,'Budget-ACPLSZ'!K:K)+SUMIF('Budget-ACPLGZ'!$A:$A,$A30,'Budget-ACPLGZ'!K:K)+SUMIF('Budget-Yixing'!$A:$A,$A30,'Budget-Yixing'!K:K)</f>
        <v>0</v>
      </c>
      <c r="L30" s="676">
        <f ca="1">SUMIF('Budget-ACPL'!$A:$A,$A30,'Budget-ACPL'!L:L)+SUMIF('Budget-ACPLHK'!$A:$A,$A30,'Budget-ACPLHK'!L:L)+SUMIF('Budget-ACPSZL'!$A:$A,$A30,'Budget-ACPSZL'!L:L)+SUMIF('Budget-ACPLSZ'!$A:$A,$A30,'Budget-ACPLSZ'!L:L)+SUMIF('Budget-ACPLGZ'!$A:$A,$A30,'Budget-ACPLGZ'!L:L)+SUMIF('Budget-Yixing'!$A:$A,$A30,'Budget-Yixing'!L:L)</f>
        <v>0</v>
      </c>
      <c r="M30" s="676">
        <f ca="1">SUMIF('Budget-ACPL'!$A:$A,$A30,'Budget-ACPL'!M:M)+SUMIF('Budget-ACPLHK'!$A:$A,$A30,'Budget-ACPLHK'!M:M)+SUMIF('Budget-ACPSZL'!$A:$A,$A30,'Budget-ACPSZL'!M:M)+SUMIF('Budget-ACPLSZ'!$A:$A,$A30,'Budget-ACPLSZ'!M:M)+SUMIF('Budget-ACPLGZ'!$A:$A,$A30,'Budget-ACPLGZ'!M:M)+SUMIF('Budget-Yixing'!$A:$A,$A30,'Budget-Yixing'!M:M)</f>
        <v>0</v>
      </c>
      <c r="N30" s="676">
        <f ca="1">SUMIF('Budget-ACPL'!$A:$A,$A30,'Budget-ACPL'!N:N)+SUMIF('Budget-ACPLHK'!$A:$A,$A30,'Budget-ACPLHK'!N:N)+SUMIF('Budget-ACPSZL'!$A:$A,$A30,'Budget-ACPSZL'!N:N)+SUMIF('Budget-ACPLSZ'!$A:$A,$A30,'Budget-ACPLSZ'!N:N)+SUMIF('Budget-ACPLGZ'!$A:$A,$A30,'Budget-ACPLGZ'!N:N)+SUMIF('Budget-Yixing'!$A:$A,$A30,'Budget-Yixing'!N:N)</f>
        <v>0</v>
      </c>
      <c r="O30" s="676">
        <f ca="1">SUMIF('Budget-ACPL'!$A:$A,$A30,'Budget-ACPL'!O:O)+SUMIF('Budget-ACPLHK'!$A:$A,$A30,'Budget-ACPLHK'!O:O)+SUMIF('Budget-ACPSZL'!$A:$A,$A30,'Budget-ACPSZL'!O:O)+SUMIF('Budget-ACPLSZ'!$A:$A,$A30,'Budget-ACPLSZ'!O:O)+SUMIF('Budget-ACPLGZ'!$A:$A,$A30,'Budget-ACPLGZ'!O:O)+SUMIF('Budget-Yixing'!$A:$A,$A30,'Budget-Yixing'!O:O)</f>
        <v>0</v>
      </c>
      <c r="P30" s="676">
        <f ca="1">SUMIF('Budget-ACPL'!$A:$A,$A30,'Budget-ACPL'!P:P)+SUMIF('Budget-ACPLHK'!$A:$A,$A30,'Budget-ACPLHK'!P:P)+SUMIF('Budget-ACPSZL'!$A:$A,$A30,'Budget-ACPSZL'!P:P)+SUMIF('Budget-ACPLSZ'!$A:$A,$A30,'Budget-ACPLSZ'!P:P)+SUMIF('Budget-ACPLGZ'!$A:$A,$A30,'Budget-ACPLGZ'!P:P)+SUMIF('Budget-Yixing'!$A:$A,$A30,'Budget-Yixing'!P:P)</f>
        <v>0</v>
      </c>
      <c r="Q30" s="676">
        <f ca="1">SUMIF('Budget-ACPL'!$A:$A,$A30,'Budget-ACPL'!Q:Q)+SUMIF('Budget-ACPLHK'!$A:$A,$A30,'Budget-ACPLHK'!Q:Q)+SUMIF('Budget-ACPSZL'!$A:$A,$A30,'Budget-ACPSZL'!Q:Q)+SUMIF('Budget-ACPLSZ'!$A:$A,$A30,'Budget-ACPLSZ'!Q:Q)+SUMIF('Budget-ACPLGZ'!$A:$A,$A30,'Budget-ACPLGZ'!Q:Q)+SUMIF('Budget-Yixing'!$A:$A,$A30,'Budget-Yixing'!Q:Q)</f>
        <v>0</v>
      </c>
      <c r="R30" s="676">
        <f ca="1">SUMIF('Budget-ACPL'!$A:$A,$A30,'Budget-ACPL'!R:R)+SUMIF('Budget-ACPLHK'!$A:$A,$A30,'Budget-ACPLHK'!R:R)+SUMIF('Budget-ACPSZL'!$A:$A,$A30,'Budget-ACPSZL'!R:R)+SUMIF('Budget-ACPLSZ'!$A:$A,$A30,'Budget-ACPLSZ'!R:R)+SUMIF('Budget-ACPLGZ'!$A:$A,$A30,'Budget-ACPLGZ'!R:R)+SUMIF('Budget-Yixing'!$A:$A,$A30,'Budget-Yixing'!R:R)</f>
        <v>0</v>
      </c>
      <c r="S30" s="676">
        <f ca="1">SUMIF('Budget-ACPL'!$A:$A,$A30,'Budget-ACPL'!S:S)+SUMIF('Budget-ACPLHK'!$A:$A,$A30,'Budget-ACPLHK'!S:S)+SUMIF('Budget-ACPSZL'!$A:$A,$A30,'Budget-ACPSZL'!S:S)+SUMIF('Budget-ACPLSZ'!$A:$A,$A30,'Budget-ACPLSZ'!S:S)+SUMIF('Budget-ACPLGZ'!$A:$A,$A30,'Budget-ACPLGZ'!S:S)+SUMIF('Budget-Yixing'!$A:$A,$A30,'Budget-Yixing'!S:S)</f>
        <v>0</v>
      </c>
      <c r="T30" s="676">
        <f ca="1">SUMIF('Budget-ACPL'!$A:$A,$A30,'Budget-ACPL'!T:T)+SUMIF('Budget-ACPLHK'!$A:$A,$A30,'Budget-ACPLHK'!T:T)+SUMIF('Budget-ACPSZL'!$A:$A,$A30,'Budget-ACPSZL'!T:T)+SUMIF('Budget-ACPLSZ'!$A:$A,$A30,'Budget-ACPLSZ'!T:T)+SUMIF('Budget-ACPLGZ'!$A:$A,$A30,'Budget-ACPLGZ'!T:T)+SUMIF('Budget-Yixing'!$A:$A,$A30,'Budget-Yixing'!T:T)</f>
        <v>0</v>
      </c>
      <c r="U30" s="676">
        <f ca="1">SUMIF('Budget-ACPL'!$A:$A,$A30,'Budget-ACPL'!U:U)+SUMIF('Budget-ACPLHK'!$A:$A,$A30,'Budget-ACPLHK'!U:U)+SUMIF('Budget-ACPSZL'!$A:$A,$A30,'Budget-ACPSZL'!U:U)+SUMIF('Budget-ACPLSZ'!$A:$A,$A30,'Budget-ACPLSZ'!U:U)+SUMIF('Budget-ACPLGZ'!$A:$A,$A30,'Budget-ACPLGZ'!U:U)+SUMIF('Budget-Yixing'!$A:$A,$A30,'Budget-Yixing'!U:U)</f>
        <v>0</v>
      </c>
      <c r="V30" s="676">
        <f ca="1">SUMIF('Budget-ACPL'!$A:$A,$A30,'Budget-ACPL'!V:V)+SUMIF('Budget-ACPLHK'!$A:$A,$A30,'Budget-ACPLHK'!V:V)+SUMIF('Budget-ACPSZL'!$A:$A,$A30,'Budget-ACPSZL'!V:V)+SUMIF('Budget-ACPLSZ'!$A:$A,$A30,'Budget-ACPLSZ'!V:V)+SUMIF('Budget-ACPLGZ'!$A:$A,$A30,'Budget-ACPLGZ'!V:V)+SUMIF('Budget-Yixing'!$A:$A,$A30,'Budget-Yixing'!V:V)</f>
        <v>0</v>
      </c>
      <c r="W30" s="676">
        <f t="shared" ca="1" si="21"/>
        <v>0</v>
      </c>
      <c r="Y30" s="688">
        <f ca="1">SUMIF('Budget-ACPL'!$A:$A,$A30,'Budget-ACPL'!Y:Y)+SUMIF('Budget-ACPLHK'!$A:$A,$A30,'Budget-ACPLHK'!Y:Y)+SUMIF('Budget-ACPSZL'!$A:$A,$A30,'Budget-ACPSZL'!Y:Y)+SUMIF('Budget-ACPLSZ'!$A:$A,$A30,'Budget-ACPLSZ'!Y:Y)+SUMIF('Budget-ACPLGZ'!$A:$A,$A30,'Budget-ACPLGZ'!Y:Y)+SUMIF('Budget-Yixing'!$A:$A,$A30,'Budget-Yixing'!Y:Y)</f>
        <v>131235.5</v>
      </c>
      <c r="Z30" s="688">
        <f ca="1">SUMIF('Budget-ACPL'!$A:$A,$A30,'Budget-ACPL'!Z:Z)+SUMIF('Budget-ACPLHK'!$A:$A,$A30,'Budget-ACPLHK'!Z:Z)+SUMIF('Budget-ACPSZL'!$A:$A,$A30,'Budget-ACPSZL'!Z:Z)+SUMIF('Budget-ACPLSZ'!$A:$A,$A30,'Budget-ACPLSZ'!Z:Z)+SUMIF('Budget-ACPLGZ'!$A:$A,$A30,'Budget-ACPLGZ'!Z:Z)+SUMIF('Budget-Yixing'!$A:$A,$A30,'Budget-Yixing'!Z:Z)</f>
        <v>131235.5</v>
      </c>
      <c r="AA30" s="688">
        <f ca="1">SUMIF('Budget-ACPL'!$A:$A,$A30,'Budget-ACPL'!AA:AA)+SUMIF('Budget-ACPLHK'!$A:$A,$A30,'Budget-ACPLHK'!AA:AA)+SUMIF('Budget-ACPSZL'!$A:$A,$A30,'Budget-ACPSZL'!AA:AA)+SUMIF('Budget-ACPLSZ'!$A:$A,$A30,'Budget-ACPLSZ'!AA:AA)+SUMIF('Budget-ACPLGZ'!$A:$A,$A30,'Budget-ACPLGZ'!AA:AA)+SUMIF('Budget-Yixing'!$A:$A,$A30,'Budget-Yixing'!AA:AA)</f>
        <v>206235.5</v>
      </c>
      <c r="AB30" s="688">
        <f ca="1">SUMIF('Budget-ACPL'!$A:$A,$A30,'Budget-ACPL'!AB:AB)+SUMIF('Budget-ACPLHK'!$A:$A,$A30,'Budget-ACPLHK'!AB:AB)+SUMIF('Budget-ACPSZL'!$A:$A,$A30,'Budget-ACPSZL'!AB:AB)+SUMIF('Budget-ACPLSZ'!$A:$A,$A30,'Budget-ACPLSZ'!AB:AB)+SUMIF('Budget-ACPLGZ'!$A:$A,$A30,'Budget-ACPLGZ'!AB:AB)+SUMIF('Budget-Yixing'!$A:$A,$A30,'Budget-Yixing'!AB:AB)</f>
        <v>77735.5</v>
      </c>
      <c r="AC30" s="688">
        <f ca="1">SUMIF('Budget-ACPL'!$A:$A,$A30,'Budget-ACPL'!AC:AC)+SUMIF('Budget-ACPLHK'!$A:$A,$A30,'Budget-ACPLHK'!AC:AC)+SUMIF('Budget-ACPSZL'!$A:$A,$A30,'Budget-ACPSZL'!AC:AC)+SUMIF('Budget-ACPLSZ'!$A:$A,$A30,'Budget-ACPLSZ'!AC:AC)+SUMIF('Budget-ACPLGZ'!$A:$A,$A30,'Budget-ACPLGZ'!AC:AC)+SUMIF('Budget-Yixing'!$A:$A,$A30,'Budget-Yixing'!AC:AC)</f>
        <v>77735.5</v>
      </c>
      <c r="AD30" s="688">
        <f ca="1">SUMIF('Budget-ACPL'!$A:$A,$A30,'Budget-ACPL'!AD:AD)+SUMIF('Budget-ACPLHK'!$A:$A,$A30,'Budget-ACPLHK'!AD:AD)+SUMIF('Budget-ACPSZL'!$A:$A,$A30,'Budget-ACPSZL'!AD:AD)+SUMIF('Budget-ACPLSZ'!$A:$A,$A30,'Budget-ACPLSZ'!AD:AD)+SUMIF('Budget-ACPLGZ'!$A:$A,$A30,'Budget-ACPLGZ'!AD:AD)+SUMIF('Budget-Yixing'!$A:$A,$A30,'Budget-Yixing'!AD:AD)</f>
        <v>77735.5</v>
      </c>
      <c r="AE30" s="688">
        <f ca="1">SUMIF('Budget-ACPL'!$A:$A,$A30,'Budget-ACPL'!AE:AE)+SUMIF('Budget-ACPLHK'!$A:$A,$A30,'Budget-ACPLHK'!AE:AE)+SUMIF('Budget-ACPSZL'!$A:$A,$A30,'Budget-ACPSZL'!AE:AE)+SUMIF('Budget-ACPLSZ'!$A:$A,$A30,'Budget-ACPLSZ'!AE:AE)+SUMIF('Budget-ACPLGZ'!$A:$A,$A30,'Budget-ACPLGZ'!AE:AE)+SUMIF('Budget-Yixing'!$A:$A,$A30,'Budget-Yixing'!AE:AE)</f>
        <v>77735.5</v>
      </c>
      <c r="AF30" s="688">
        <f ca="1">SUMIF('Budget-ACPL'!$A:$A,$A30,'Budget-ACPL'!AF:AF)+SUMIF('Budget-ACPLHK'!$A:$A,$A30,'Budget-ACPLHK'!AF:AF)+SUMIF('Budget-ACPSZL'!$A:$A,$A30,'Budget-ACPSZL'!AF:AF)+SUMIF('Budget-ACPLSZ'!$A:$A,$A30,'Budget-ACPLSZ'!AF:AF)+SUMIF('Budget-ACPLGZ'!$A:$A,$A30,'Budget-ACPLGZ'!AF:AF)+SUMIF('Budget-Yixing'!$A:$A,$A30,'Budget-Yixing'!AF:AF)</f>
        <v>77735.5</v>
      </c>
      <c r="AG30" s="688">
        <f ca="1">SUMIF('Budget-ACPL'!$A:$A,$A30,'Budget-ACPL'!AG:AG)+SUMIF('Budget-ACPLHK'!$A:$A,$A30,'Budget-ACPLHK'!AG:AG)+SUMIF('Budget-ACPSZL'!$A:$A,$A30,'Budget-ACPSZL'!AG:AG)+SUMIF('Budget-ACPLSZ'!$A:$A,$A30,'Budget-ACPLSZ'!AG:AG)+SUMIF('Budget-ACPLGZ'!$A:$A,$A30,'Budget-ACPLGZ'!AG:AG)+SUMIF('Budget-Yixing'!$A:$A,$A30,'Budget-Yixing'!AG:AG)</f>
        <v>77735.5</v>
      </c>
      <c r="AH30" s="688">
        <f ca="1">SUMIF('Budget-ACPL'!$A:$A,$A30,'Budget-ACPL'!AH:AH)+SUMIF('Budget-ACPLHK'!$A:$A,$A30,'Budget-ACPLHK'!AH:AH)+SUMIF('Budget-ACPSZL'!$A:$A,$A30,'Budget-ACPSZL'!AH:AH)+SUMIF('Budget-ACPLSZ'!$A:$A,$A30,'Budget-ACPLSZ'!AH:AH)+SUMIF('Budget-ACPLGZ'!$A:$A,$A30,'Budget-ACPLGZ'!AH:AH)+SUMIF('Budget-Yixing'!$A:$A,$A30,'Budget-Yixing'!AH:AH)</f>
        <v>77735.5</v>
      </c>
      <c r="AI30" s="688">
        <f ca="1">SUMIF('Budget-ACPL'!$A:$A,$A30,'Budget-ACPL'!AI:AI)+SUMIF('Budget-ACPLHK'!$A:$A,$A30,'Budget-ACPLHK'!AI:AI)+SUMIF('Budget-ACPSZL'!$A:$A,$A30,'Budget-ACPSZL'!AI:AI)+SUMIF('Budget-ACPLSZ'!$A:$A,$A30,'Budget-ACPLSZ'!AI:AI)+SUMIF('Budget-ACPLGZ'!$A:$A,$A30,'Budget-ACPLGZ'!AI:AI)+SUMIF('Budget-Yixing'!$A:$A,$A30,'Budget-Yixing'!AI:AI)</f>
        <v>77735.5</v>
      </c>
      <c r="AJ30" s="688">
        <f ca="1">SUMIF('Budget-ACPL'!$A:$A,$A30,'Budget-ACPL'!AJ:AJ)+SUMIF('Budget-ACPLHK'!$A:$A,$A30,'Budget-ACPLHK'!AJ:AJ)+SUMIF('Budget-ACPSZL'!$A:$A,$A30,'Budget-ACPSZL'!AJ:AJ)+SUMIF('Budget-ACPLSZ'!$A:$A,$A30,'Budget-ACPLSZ'!AJ:AJ)+SUMIF('Budget-ACPLGZ'!$A:$A,$A30,'Budget-ACPLGZ'!AJ:AJ)+SUMIF('Budget-Yixing'!$A:$A,$A30,'Budget-Yixing'!AJ:AJ)</f>
        <v>77735.5</v>
      </c>
      <c r="AK30" s="688">
        <f t="shared" ca="1" si="22"/>
        <v>1168326</v>
      </c>
    </row>
    <row r="31" spans="1:37" ht="13.5" customHeight="1">
      <c r="A31" s="713" t="s">
        <v>1464</v>
      </c>
      <c r="B31" s="687" t="str">
        <f>VLOOKUP(A31,Account!A:B,2,0)</f>
        <v>基本工资（管理）</v>
      </c>
      <c r="C31" s="687" t="str">
        <f>VLOOKUP(A31,Account!A:F,4,0)</f>
        <v>Salary Management</v>
      </c>
      <c r="D31" s="676">
        <f t="shared" ca="1" si="18"/>
        <v>263350.99999999988</v>
      </c>
      <c r="E31" s="676" t="e">
        <f t="shared" si="13"/>
        <v>#N/A</v>
      </c>
      <c r="F31" s="676" t="e">
        <f t="shared" ca="1" si="14"/>
        <v>#N/A</v>
      </c>
      <c r="G31" s="676">
        <f t="shared" ca="1" si="19"/>
        <v>263350.99999999988</v>
      </c>
      <c r="H31" s="676" t="e">
        <f t="shared" ca="1" si="20"/>
        <v>#N/A</v>
      </c>
      <c r="I31" s="676" t="e">
        <f t="shared" ca="1" si="15"/>
        <v>#N/A</v>
      </c>
      <c r="K31" s="676">
        <f ca="1">SUMIF('Budget-ACPL'!$A:$A,$A31,'Budget-ACPL'!K:K)+SUMIF('Budget-ACPLHK'!$A:$A,$A31,'Budget-ACPLHK'!K:K)+SUMIF('Budget-ACPSZL'!$A:$A,$A31,'Budget-ACPSZL'!K:K)+SUMIF('Budget-ACPLSZ'!$A:$A,$A31,'Budget-ACPLSZ'!K:K)+SUMIF('Budget-ACPLGZ'!$A:$A,$A31,'Budget-ACPLGZ'!K:K)+SUMIF('Budget-Yixing'!$A:$A,$A31,'Budget-Yixing'!K:K)</f>
        <v>263350.99999999988</v>
      </c>
      <c r="L31" s="676">
        <f ca="1">SUMIF('Budget-ACPL'!$A:$A,$A31,'Budget-ACPL'!L:L)+SUMIF('Budget-ACPLHK'!$A:$A,$A31,'Budget-ACPLHK'!L:L)+SUMIF('Budget-ACPSZL'!$A:$A,$A31,'Budget-ACPSZL'!L:L)+SUMIF('Budget-ACPLSZ'!$A:$A,$A31,'Budget-ACPLSZ'!L:L)+SUMIF('Budget-ACPLGZ'!$A:$A,$A31,'Budget-ACPLGZ'!L:L)+SUMIF('Budget-Yixing'!$A:$A,$A31,'Budget-Yixing'!L:L)</f>
        <v>263350.99999999988</v>
      </c>
      <c r="M31" s="676">
        <f ca="1">SUMIF('Budget-ACPL'!$A:$A,$A31,'Budget-ACPL'!M:M)+SUMIF('Budget-ACPLHK'!$A:$A,$A31,'Budget-ACPLHK'!M:M)+SUMIF('Budget-ACPSZL'!$A:$A,$A31,'Budget-ACPSZL'!M:M)+SUMIF('Budget-ACPLSZ'!$A:$A,$A31,'Budget-ACPLSZ'!M:M)+SUMIF('Budget-ACPLGZ'!$A:$A,$A31,'Budget-ACPLGZ'!M:M)+SUMIF('Budget-Yixing'!$A:$A,$A31,'Budget-Yixing'!M:M)</f>
        <v>263350.99999999988</v>
      </c>
      <c r="N31" s="676">
        <f ca="1">SUMIF('Budget-ACPL'!$A:$A,$A31,'Budget-ACPL'!N:N)+SUMIF('Budget-ACPLHK'!$A:$A,$A31,'Budget-ACPLHK'!N:N)+SUMIF('Budget-ACPSZL'!$A:$A,$A31,'Budget-ACPSZL'!N:N)+SUMIF('Budget-ACPLSZ'!$A:$A,$A31,'Budget-ACPLSZ'!N:N)+SUMIF('Budget-ACPLGZ'!$A:$A,$A31,'Budget-ACPLGZ'!N:N)+SUMIF('Budget-Yixing'!$A:$A,$A31,'Budget-Yixing'!N:N)</f>
        <v>263350.99999999988</v>
      </c>
      <c r="O31" s="676">
        <f ca="1">SUMIF('Budget-ACPL'!$A:$A,$A31,'Budget-ACPL'!O:O)+SUMIF('Budget-ACPLHK'!$A:$A,$A31,'Budget-ACPLHK'!O:O)+SUMIF('Budget-ACPSZL'!$A:$A,$A31,'Budget-ACPSZL'!O:O)+SUMIF('Budget-ACPLSZ'!$A:$A,$A31,'Budget-ACPLSZ'!O:O)+SUMIF('Budget-ACPLGZ'!$A:$A,$A31,'Budget-ACPLGZ'!O:O)+SUMIF('Budget-Yixing'!$A:$A,$A31,'Budget-Yixing'!O:O)</f>
        <v>263350.99999999988</v>
      </c>
      <c r="P31" s="676">
        <f ca="1">SUMIF('Budget-ACPL'!$A:$A,$A31,'Budget-ACPL'!P:P)+SUMIF('Budget-ACPLHK'!$A:$A,$A31,'Budget-ACPLHK'!P:P)+SUMIF('Budget-ACPSZL'!$A:$A,$A31,'Budget-ACPSZL'!P:P)+SUMIF('Budget-ACPLSZ'!$A:$A,$A31,'Budget-ACPLSZ'!P:P)+SUMIF('Budget-ACPLGZ'!$A:$A,$A31,'Budget-ACPLGZ'!P:P)+SUMIF('Budget-Yixing'!$A:$A,$A31,'Budget-Yixing'!P:P)</f>
        <v>263350.99999999988</v>
      </c>
      <c r="Q31" s="676">
        <f ca="1">SUMIF('Budget-ACPL'!$A:$A,$A31,'Budget-ACPL'!Q:Q)+SUMIF('Budget-ACPLHK'!$A:$A,$A31,'Budget-ACPLHK'!Q:Q)+SUMIF('Budget-ACPSZL'!$A:$A,$A31,'Budget-ACPSZL'!Q:Q)+SUMIF('Budget-ACPLSZ'!$A:$A,$A31,'Budget-ACPLSZ'!Q:Q)+SUMIF('Budget-ACPLGZ'!$A:$A,$A31,'Budget-ACPLGZ'!Q:Q)+SUMIF('Budget-Yixing'!$A:$A,$A31,'Budget-Yixing'!Q:Q)</f>
        <v>263350.99999999988</v>
      </c>
      <c r="R31" s="676">
        <f ca="1">SUMIF('Budget-ACPL'!$A:$A,$A31,'Budget-ACPL'!R:R)+SUMIF('Budget-ACPLHK'!$A:$A,$A31,'Budget-ACPLHK'!R:R)+SUMIF('Budget-ACPSZL'!$A:$A,$A31,'Budget-ACPSZL'!R:R)+SUMIF('Budget-ACPLSZ'!$A:$A,$A31,'Budget-ACPLSZ'!R:R)+SUMIF('Budget-ACPLGZ'!$A:$A,$A31,'Budget-ACPLGZ'!R:R)+SUMIF('Budget-Yixing'!$A:$A,$A31,'Budget-Yixing'!R:R)</f>
        <v>263350.99999999988</v>
      </c>
      <c r="S31" s="676">
        <f ca="1">SUMIF('Budget-ACPL'!$A:$A,$A31,'Budget-ACPL'!S:S)+SUMIF('Budget-ACPLHK'!$A:$A,$A31,'Budget-ACPLHK'!S:S)+SUMIF('Budget-ACPSZL'!$A:$A,$A31,'Budget-ACPSZL'!S:S)+SUMIF('Budget-ACPLSZ'!$A:$A,$A31,'Budget-ACPLSZ'!S:S)+SUMIF('Budget-ACPLGZ'!$A:$A,$A31,'Budget-ACPLGZ'!S:S)+SUMIF('Budget-Yixing'!$A:$A,$A31,'Budget-Yixing'!S:S)</f>
        <v>263350.99999999988</v>
      </c>
      <c r="T31" s="676">
        <f ca="1">SUMIF('Budget-ACPL'!$A:$A,$A31,'Budget-ACPL'!T:T)+SUMIF('Budget-ACPLHK'!$A:$A,$A31,'Budget-ACPLHK'!T:T)+SUMIF('Budget-ACPSZL'!$A:$A,$A31,'Budget-ACPSZL'!T:T)+SUMIF('Budget-ACPLSZ'!$A:$A,$A31,'Budget-ACPLSZ'!T:T)+SUMIF('Budget-ACPLGZ'!$A:$A,$A31,'Budget-ACPLGZ'!T:T)+SUMIF('Budget-Yixing'!$A:$A,$A31,'Budget-Yixing'!T:T)</f>
        <v>263350.99999999988</v>
      </c>
      <c r="U31" s="676">
        <f ca="1">SUMIF('Budget-ACPL'!$A:$A,$A31,'Budget-ACPL'!U:U)+SUMIF('Budget-ACPLHK'!$A:$A,$A31,'Budget-ACPLHK'!U:U)+SUMIF('Budget-ACPSZL'!$A:$A,$A31,'Budget-ACPSZL'!U:U)+SUMIF('Budget-ACPLSZ'!$A:$A,$A31,'Budget-ACPLSZ'!U:U)+SUMIF('Budget-ACPLGZ'!$A:$A,$A31,'Budget-ACPLGZ'!U:U)+SUMIF('Budget-Yixing'!$A:$A,$A31,'Budget-Yixing'!U:U)</f>
        <v>263350.99999999988</v>
      </c>
      <c r="V31" s="676">
        <f ca="1">SUMIF('Budget-ACPL'!$A:$A,$A31,'Budget-ACPL'!V:V)+SUMIF('Budget-ACPLHK'!$A:$A,$A31,'Budget-ACPLHK'!V:V)+SUMIF('Budget-ACPSZL'!$A:$A,$A31,'Budget-ACPSZL'!V:V)+SUMIF('Budget-ACPLSZ'!$A:$A,$A31,'Budget-ACPLSZ'!V:V)+SUMIF('Budget-ACPLGZ'!$A:$A,$A31,'Budget-ACPLGZ'!V:V)+SUMIF('Budget-Yixing'!$A:$A,$A31,'Budget-Yixing'!V:V)</f>
        <v>263350.99999999988</v>
      </c>
      <c r="W31" s="676">
        <f t="shared" ca="1" si="21"/>
        <v>3160211.9999999995</v>
      </c>
      <c r="Y31" s="688">
        <f ca="1">SUMIF('Budget-ACPL'!$A:$A,$A31,'Budget-ACPL'!Y:Y)+SUMIF('Budget-ACPLHK'!$A:$A,$A31,'Budget-ACPLHK'!Y:Y)+SUMIF('Budget-ACPSZL'!$A:$A,$A31,'Budget-ACPSZL'!Y:Y)+SUMIF('Budget-ACPLSZ'!$A:$A,$A31,'Budget-ACPLSZ'!Y:Y)+SUMIF('Budget-ACPLGZ'!$A:$A,$A31,'Budget-ACPLGZ'!Y:Y)+SUMIF('Budget-Yixing'!$A:$A,$A31,'Budget-Yixing'!Y:Y)</f>
        <v>468000</v>
      </c>
      <c r="Z31" s="688">
        <f ca="1">SUMIF('Budget-ACPL'!$A:$A,$A31,'Budget-ACPL'!Z:Z)+SUMIF('Budget-ACPLHK'!$A:$A,$A31,'Budget-ACPLHK'!Z:Z)+SUMIF('Budget-ACPSZL'!$A:$A,$A31,'Budget-ACPSZL'!Z:Z)+SUMIF('Budget-ACPLSZ'!$A:$A,$A31,'Budget-ACPLSZ'!Z:Z)+SUMIF('Budget-ACPLGZ'!$A:$A,$A31,'Budget-ACPLGZ'!Z:Z)+SUMIF('Budget-Yixing'!$A:$A,$A31,'Budget-Yixing'!Z:Z)</f>
        <v>468000</v>
      </c>
      <c r="AA31" s="688">
        <f ca="1">SUMIF('Budget-ACPL'!$A:$A,$A31,'Budget-ACPL'!AA:AA)+SUMIF('Budget-ACPLHK'!$A:$A,$A31,'Budget-ACPLHK'!AA:AA)+SUMIF('Budget-ACPSZL'!$A:$A,$A31,'Budget-ACPSZL'!AA:AA)+SUMIF('Budget-ACPLSZ'!$A:$A,$A31,'Budget-ACPLSZ'!AA:AA)+SUMIF('Budget-ACPLGZ'!$A:$A,$A31,'Budget-ACPLGZ'!AA:AA)+SUMIF('Budget-Yixing'!$A:$A,$A31,'Budget-Yixing'!AA:AA)</f>
        <v>468000</v>
      </c>
      <c r="AB31" s="688">
        <f ca="1">SUMIF('Budget-ACPL'!$A:$A,$A31,'Budget-ACPL'!AB:AB)+SUMIF('Budget-ACPLHK'!$A:$A,$A31,'Budget-ACPLHK'!AB:AB)+SUMIF('Budget-ACPSZL'!$A:$A,$A31,'Budget-ACPSZL'!AB:AB)+SUMIF('Budget-ACPLSZ'!$A:$A,$A31,'Budget-ACPLSZ'!AB:AB)+SUMIF('Budget-ACPLGZ'!$A:$A,$A31,'Budget-ACPLGZ'!AB:AB)+SUMIF('Budget-Yixing'!$A:$A,$A31,'Budget-Yixing'!AB:AB)</f>
        <v>468000</v>
      </c>
      <c r="AC31" s="688">
        <f ca="1">SUMIF('Budget-ACPL'!$A:$A,$A31,'Budget-ACPL'!AC:AC)+SUMIF('Budget-ACPLHK'!$A:$A,$A31,'Budget-ACPLHK'!AC:AC)+SUMIF('Budget-ACPSZL'!$A:$A,$A31,'Budget-ACPSZL'!AC:AC)+SUMIF('Budget-ACPLSZ'!$A:$A,$A31,'Budget-ACPLSZ'!AC:AC)+SUMIF('Budget-ACPLGZ'!$A:$A,$A31,'Budget-ACPLGZ'!AC:AC)+SUMIF('Budget-Yixing'!$A:$A,$A31,'Budget-Yixing'!AC:AC)</f>
        <v>468000</v>
      </c>
      <c r="AD31" s="688">
        <f ca="1">SUMIF('Budget-ACPL'!$A:$A,$A31,'Budget-ACPL'!AD:AD)+SUMIF('Budget-ACPLHK'!$A:$A,$A31,'Budget-ACPLHK'!AD:AD)+SUMIF('Budget-ACPSZL'!$A:$A,$A31,'Budget-ACPSZL'!AD:AD)+SUMIF('Budget-ACPLSZ'!$A:$A,$A31,'Budget-ACPLSZ'!AD:AD)+SUMIF('Budget-ACPLGZ'!$A:$A,$A31,'Budget-ACPLGZ'!AD:AD)+SUMIF('Budget-Yixing'!$A:$A,$A31,'Budget-Yixing'!AD:AD)</f>
        <v>404050.8</v>
      </c>
      <c r="AE31" s="688">
        <f ca="1">SUMIF('Budget-ACPL'!$A:$A,$A31,'Budget-ACPL'!AE:AE)+SUMIF('Budget-ACPLHK'!$A:$A,$A31,'Budget-ACPLHK'!AE:AE)+SUMIF('Budget-ACPSZL'!$A:$A,$A31,'Budget-ACPSZL'!AE:AE)+SUMIF('Budget-ACPLSZ'!$A:$A,$A31,'Budget-ACPLSZ'!AE:AE)+SUMIF('Budget-ACPLGZ'!$A:$A,$A31,'Budget-ACPLGZ'!AE:AE)+SUMIF('Budget-Yixing'!$A:$A,$A31,'Budget-Yixing'!AE:AE)</f>
        <v>409712.08999999997</v>
      </c>
      <c r="AF31" s="688">
        <f ca="1">SUMIF('Budget-ACPL'!$A:$A,$A31,'Budget-ACPL'!AF:AF)+SUMIF('Budget-ACPLHK'!$A:$A,$A31,'Budget-ACPLHK'!AF:AF)+SUMIF('Budget-ACPSZL'!$A:$A,$A31,'Budget-ACPSZL'!AF:AF)+SUMIF('Budget-ACPLSZ'!$A:$A,$A31,'Budget-ACPLSZ'!AF:AF)+SUMIF('Budget-ACPLGZ'!$A:$A,$A31,'Budget-ACPLGZ'!AF:AF)+SUMIF('Budget-Yixing'!$A:$A,$A31,'Budget-Yixing'!AF:AF)</f>
        <v>407769.16000000003</v>
      </c>
      <c r="AG31" s="688">
        <f ca="1">SUMIF('Budget-ACPL'!$A:$A,$A31,'Budget-ACPL'!AG:AG)+SUMIF('Budget-ACPLHK'!$A:$A,$A31,'Budget-ACPLHK'!AG:AG)+SUMIF('Budget-ACPSZL'!$A:$A,$A31,'Budget-ACPSZL'!AG:AG)+SUMIF('Budget-ACPLSZ'!$A:$A,$A31,'Budget-ACPLSZ'!AG:AG)+SUMIF('Budget-ACPLGZ'!$A:$A,$A31,'Budget-ACPLGZ'!AG:AG)+SUMIF('Budget-Yixing'!$A:$A,$A31,'Budget-Yixing'!AG:AG)</f>
        <v>400332.44</v>
      </c>
      <c r="AH31" s="688">
        <f ca="1">SUMIF('Budget-ACPL'!$A:$A,$A31,'Budget-ACPL'!AH:AH)+SUMIF('Budget-ACPLHK'!$A:$A,$A31,'Budget-ACPLHK'!AH:AH)+SUMIF('Budget-ACPSZL'!$A:$A,$A31,'Budget-ACPSZL'!AH:AH)+SUMIF('Budget-ACPLSZ'!$A:$A,$A31,'Budget-ACPLSZ'!AH:AH)+SUMIF('Budget-ACPLGZ'!$A:$A,$A31,'Budget-ACPLGZ'!AH:AH)+SUMIF('Budget-Yixing'!$A:$A,$A31,'Budget-Yixing'!AH:AH)</f>
        <v>309483.87</v>
      </c>
      <c r="AI31" s="688">
        <f ca="1">SUMIF('Budget-ACPL'!$A:$A,$A31,'Budget-ACPL'!AI:AI)+SUMIF('Budget-ACPLHK'!$A:$A,$A31,'Budget-ACPLHK'!AI:AI)+SUMIF('Budget-ACPSZL'!$A:$A,$A31,'Budget-ACPSZL'!AI:AI)+SUMIF('Budget-ACPLSZ'!$A:$A,$A31,'Budget-ACPLSZ'!AI:AI)+SUMIF('Budget-ACPLGZ'!$A:$A,$A31,'Budget-ACPLGZ'!AI:AI)+SUMIF('Budget-Yixing'!$A:$A,$A31,'Budget-Yixing'!AI:AI)</f>
        <v>292500</v>
      </c>
      <c r="AJ31" s="688">
        <f ca="1">SUMIF('Budget-ACPL'!$A:$A,$A31,'Budget-ACPL'!AJ:AJ)+SUMIF('Budget-ACPLHK'!$A:$A,$A31,'Budget-ACPLHK'!AJ:AJ)+SUMIF('Budget-ACPSZL'!$A:$A,$A31,'Budget-ACPSZL'!AJ:AJ)+SUMIF('Budget-ACPLSZ'!$A:$A,$A31,'Budget-ACPLSZ'!AJ:AJ)+SUMIF('Budget-ACPLGZ'!$A:$A,$A31,'Budget-ACPLGZ'!AJ:AJ)+SUMIF('Budget-Yixing'!$A:$A,$A31,'Budget-Yixing'!AJ:AJ)</f>
        <v>292500</v>
      </c>
      <c r="AK31" s="688">
        <f t="shared" ca="1" si="22"/>
        <v>4856348.3599999994</v>
      </c>
    </row>
    <row r="32" spans="1:37" ht="13.5" customHeight="1">
      <c r="A32" s="713" t="s">
        <v>1469</v>
      </c>
      <c r="B32" s="687" t="str">
        <f>VLOOKUP(A32,Account!A:B,2,0)</f>
        <v>员工奖金（管理）</v>
      </c>
      <c r="C32" s="687" t="str">
        <f>VLOOKUP(A32,Account!A:F,4,0)</f>
        <v>Bonus Expense - Management</v>
      </c>
      <c r="D32" s="676">
        <f t="shared" ca="1" si="18"/>
        <v>0</v>
      </c>
      <c r="E32" s="676" t="e">
        <f t="shared" si="13"/>
        <v>#N/A</v>
      </c>
      <c r="F32" s="676" t="e">
        <f t="shared" ca="1" si="14"/>
        <v>#N/A</v>
      </c>
      <c r="G32" s="676">
        <f t="shared" ca="1" si="19"/>
        <v>0</v>
      </c>
      <c r="H32" s="676" t="e">
        <f t="shared" ca="1" si="20"/>
        <v>#N/A</v>
      </c>
      <c r="I32" s="676" t="e">
        <f t="shared" ca="1" si="15"/>
        <v>#N/A</v>
      </c>
      <c r="K32" s="676">
        <f ca="1">SUMIF('Budget-ACPL'!$A:$A,$A32,'Budget-ACPL'!K:K)+SUMIF('Budget-ACPLHK'!$A:$A,$A32,'Budget-ACPLHK'!K:K)+SUMIF('Budget-ACPSZL'!$A:$A,$A32,'Budget-ACPSZL'!K:K)+SUMIF('Budget-ACPLSZ'!$A:$A,$A32,'Budget-ACPLSZ'!K:K)+SUMIF('Budget-ACPLGZ'!$A:$A,$A32,'Budget-ACPLGZ'!K:K)+SUMIF('Budget-Yixing'!$A:$A,$A32,'Budget-Yixing'!K:K)</f>
        <v>0</v>
      </c>
      <c r="L32" s="676">
        <f ca="1">SUMIF('Budget-ACPL'!$A:$A,$A32,'Budget-ACPL'!L:L)+SUMIF('Budget-ACPLHK'!$A:$A,$A32,'Budget-ACPLHK'!L:L)+SUMIF('Budget-ACPSZL'!$A:$A,$A32,'Budget-ACPSZL'!L:L)+SUMIF('Budget-ACPLSZ'!$A:$A,$A32,'Budget-ACPLSZ'!L:L)+SUMIF('Budget-ACPLGZ'!$A:$A,$A32,'Budget-ACPLGZ'!L:L)+SUMIF('Budget-Yixing'!$A:$A,$A32,'Budget-Yixing'!L:L)</f>
        <v>0</v>
      </c>
      <c r="M32" s="676">
        <f ca="1">SUMIF('Budget-ACPL'!$A:$A,$A32,'Budget-ACPL'!M:M)+SUMIF('Budget-ACPLHK'!$A:$A,$A32,'Budget-ACPLHK'!M:M)+SUMIF('Budget-ACPSZL'!$A:$A,$A32,'Budget-ACPSZL'!M:M)+SUMIF('Budget-ACPLSZ'!$A:$A,$A32,'Budget-ACPLSZ'!M:M)+SUMIF('Budget-ACPLGZ'!$A:$A,$A32,'Budget-ACPLGZ'!M:M)+SUMIF('Budget-Yixing'!$A:$A,$A32,'Budget-Yixing'!M:M)</f>
        <v>0</v>
      </c>
      <c r="N32" s="676">
        <f ca="1">SUMIF('Budget-ACPL'!$A:$A,$A32,'Budget-ACPL'!N:N)+SUMIF('Budget-ACPLHK'!$A:$A,$A32,'Budget-ACPLHK'!N:N)+SUMIF('Budget-ACPSZL'!$A:$A,$A32,'Budget-ACPSZL'!N:N)+SUMIF('Budget-ACPLSZ'!$A:$A,$A32,'Budget-ACPLSZ'!N:N)+SUMIF('Budget-ACPLGZ'!$A:$A,$A32,'Budget-ACPLGZ'!N:N)+SUMIF('Budget-Yixing'!$A:$A,$A32,'Budget-Yixing'!N:N)</f>
        <v>908160</v>
      </c>
      <c r="O32" s="676">
        <f ca="1">SUMIF('Budget-ACPL'!$A:$A,$A32,'Budget-ACPL'!O:O)+SUMIF('Budget-ACPLHK'!$A:$A,$A32,'Budget-ACPLHK'!O:O)+SUMIF('Budget-ACPSZL'!$A:$A,$A32,'Budget-ACPSZL'!O:O)+SUMIF('Budget-ACPLSZ'!$A:$A,$A32,'Budget-ACPLSZ'!O:O)+SUMIF('Budget-ACPLGZ'!$A:$A,$A32,'Budget-ACPLGZ'!O:O)+SUMIF('Budget-Yixing'!$A:$A,$A32,'Budget-Yixing'!O:O)</f>
        <v>0</v>
      </c>
      <c r="P32" s="676">
        <f ca="1">SUMIF('Budget-ACPL'!$A:$A,$A32,'Budget-ACPL'!P:P)+SUMIF('Budget-ACPLHK'!$A:$A,$A32,'Budget-ACPLHK'!P:P)+SUMIF('Budget-ACPSZL'!$A:$A,$A32,'Budget-ACPSZL'!P:P)+SUMIF('Budget-ACPLSZ'!$A:$A,$A32,'Budget-ACPLSZ'!P:P)+SUMIF('Budget-ACPLGZ'!$A:$A,$A32,'Budget-ACPLGZ'!P:P)+SUMIF('Budget-Yixing'!$A:$A,$A32,'Budget-Yixing'!P:P)</f>
        <v>0</v>
      </c>
      <c r="Q32" s="676">
        <f ca="1">SUMIF('Budget-ACPL'!$A:$A,$A32,'Budget-ACPL'!Q:Q)+SUMIF('Budget-ACPLHK'!$A:$A,$A32,'Budget-ACPLHK'!Q:Q)+SUMIF('Budget-ACPSZL'!$A:$A,$A32,'Budget-ACPSZL'!Q:Q)+SUMIF('Budget-ACPLSZ'!$A:$A,$A32,'Budget-ACPLSZ'!Q:Q)+SUMIF('Budget-ACPLGZ'!$A:$A,$A32,'Budget-ACPLGZ'!Q:Q)+SUMIF('Budget-Yixing'!$A:$A,$A32,'Budget-Yixing'!Q:Q)</f>
        <v>0</v>
      </c>
      <c r="R32" s="676">
        <f ca="1">SUMIF('Budget-ACPL'!$A:$A,$A32,'Budget-ACPL'!R:R)+SUMIF('Budget-ACPLHK'!$A:$A,$A32,'Budget-ACPLHK'!R:R)+SUMIF('Budget-ACPSZL'!$A:$A,$A32,'Budget-ACPSZL'!R:R)+SUMIF('Budget-ACPLSZ'!$A:$A,$A32,'Budget-ACPLSZ'!R:R)+SUMIF('Budget-ACPLGZ'!$A:$A,$A32,'Budget-ACPLGZ'!R:R)+SUMIF('Budget-Yixing'!$A:$A,$A32,'Budget-Yixing'!R:R)</f>
        <v>0</v>
      </c>
      <c r="S32" s="676">
        <f ca="1">SUMIF('Budget-ACPL'!$A:$A,$A32,'Budget-ACPL'!S:S)+SUMIF('Budget-ACPLHK'!$A:$A,$A32,'Budget-ACPLHK'!S:S)+SUMIF('Budget-ACPSZL'!$A:$A,$A32,'Budget-ACPSZL'!S:S)+SUMIF('Budget-ACPLSZ'!$A:$A,$A32,'Budget-ACPLSZ'!S:S)+SUMIF('Budget-ACPLGZ'!$A:$A,$A32,'Budget-ACPLGZ'!S:S)+SUMIF('Budget-Yixing'!$A:$A,$A32,'Budget-Yixing'!S:S)</f>
        <v>0</v>
      </c>
      <c r="T32" s="676">
        <f ca="1">SUMIF('Budget-ACPL'!$A:$A,$A32,'Budget-ACPL'!T:T)+SUMIF('Budget-ACPLHK'!$A:$A,$A32,'Budget-ACPLHK'!T:T)+SUMIF('Budget-ACPSZL'!$A:$A,$A32,'Budget-ACPSZL'!T:T)+SUMIF('Budget-ACPLSZ'!$A:$A,$A32,'Budget-ACPLSZ'!T:T)+SUMIF('Budget-ACPLGZ'!$A:$A,$A32,'Budget-ACPLGZ'!T:T)+SUMIF('Budget-Yixing'!$A:$A,$A32,'Budget-Yixing'!T:T)</f>
        <v>0</v>
      </c>
      <c r="U32" s="676">
        <f ca="1">SUMIF('Budget-ACPL'!$A:$A,$A32,'Budget-ACPL'!U:U)+SUMIF('Budget-ACPLHK'!$A:$A,$A32,'Budget-ACPLHK'!U:U)+SUMIF('Budget-ACPSZL'!$A:$A,$A32,'Budget-ACPSZL'!U:U)+SUMIF('Budget-ACPLSZ'!$A:$A,$A32,'Budget-ACPLSZ'!U:U)+SUMIF('Budget-ACPLGZ'!$A:$A,$A32,'Budget-ACPLGZ'!U:U)+SUMIF('Budget-Yixing'!$A:$A,$A32,'Budget-Yixing'!U:U)</f>
        <v>0</v>
      </c>
      <c r="V32" s="676">
        <f ca="1">SUMIF('Budget-ACPL'!$A:$A,$A32,'Budget-ACPL'!V:V)+SUMIF('Budget-ACPLHK'!$A:$A,$A32,'Budget-ACPLHK'!V:V)+SUMIF('Budget-ACPSZL'!$A:$A,$A32,'Budget-ACPSZL'!V:V)+SUMIF('Budget-ACPLSZ'!$A:$A,$A32,'Budget-ACPLSZ'!V:V)+SUMIF('Budget-ACPLGZ'!$A:$A,$A32,'Budget-ACPLGZ'!V:V)+SUMIF('Budget-Yixing'!$A:$A,$A32,'Budget-Yixing'!V:V)</f>
        <v>0</v>
      </c>
      <c r="W32" s="676">
        <f t="shared" ca="1" si="21"/>
        <v>908160</v>
      </c>
      <c r="Y32" s="688">
        <f ca="1">SUMIF('Budget-ACPL'!$A:$A,$A32,'Budget-ACPL'!Y:Y)+SUMIF('Budget-ACPLHK'!$A:$A,$A32,'Budget-ACPLHK'!Y:Y)+SUMIF('Budget-ACPSZL'!$A:$A,$A32,'Budget-ACPSZL'!Y:Y)+SUMIF('Budget-ACPLSZ'!$A:$A,$A32,'Budget-ACPLSZ'!Y:Y)+SUMIF('Budget-ACPLGZ'!$A:$A,$A32,'Budget-ACPLGZ'!Y:Y)+SUMIF('Budget-Yixing'!$A:$A,$A32,'Budget-Yixing'!Y:Y)</f>
        <v>0</v>
      </c>
      <c r="Z32" s="688">
        <f ca="1">SUMIF('Budget-ACPL'!$A:$A,$A32,'Budget-ACPL'!Z:Z)+SUMIF('Budget-ACPLHK'!$A:$A,$A32,'Budget-ACPLHK'!Z:Z)+SUMIF('Budget-ACPSZL'!$A:$A,$A32,'Budget-ACPSZL'!Z:Z)+SUMIF('Budget-ACPLSZ'!$A:$A,$A32,'Budget-ACPLSZ'!Z:Z)+SUMIF('Budget-ACPLGZ'!$A:$A,$A32,'Budget-ACPLGZ'!Z:Z)+SUMIF('Budget-Yixing'!$A:$A,$A32,'Budget-Yixing'!Z:Z)</f>
        <v>0</v>
      </c>
      <c r="AA32" s="688">
        <f ca="1">SUMIF('Budget-ACPL'!$A:$A,$A32,'Budget-ACPL'!AA:AA)+SUMIF('Budget-ACPLHK'!$A:$A,$A32,'Budget-ACPLHK'!AA:AA)+SUMIF('Budget-ACPSZL'!$A:$A,$A32,'Budget-ACPSZL'!AA:AA)+SUMIF('Budget-ACPLSZ'!$A:$A,$A32,'Budget-ACPLSZ'!AA:AA)+SUMIF('Budget-ACPLGZ'!$A:$A,$A32,'Budget-ACPLGZ'!AA:AA)+SUMIF('Budget-Yixing'!$A:$A,$A32,'Budget-Yixing'!AA:AA)</f>
        <v>0</v>
      </c>
      <c r="AB32" s="688">
        <f ca="1">SUMIF('Budget-ACPL'!$A:$A,$A32,'Budget-ACPL'!AB:AB)+SUMIF('Budget-ACPLHK'!$A:$A,$A32,'Budget-ACPLHK'!AB:AB)+SUMIF('Budget-ACPSZL'!$A:$A,$A32,'Budget-ACPSZL'!AB:AB)+SUMIF('Budget-ACPLSZ'!$A:$A,$A32,'Budget-ACPLSZ'!AB:AB)+SUMIF('Budget-ACPLGZ'!$A:$A,$A32,'Budget-ACPLGZ'!AB:AB)+SUMIF('Budget-Yixing'!$A:$A,$A32,'Budget-Yixing'!AB:AB)</f>
        <v>0</v>
      </c>
      <c r="AC32" s="688">
        <f ca="1">SUMIF('Budget-ACPL'!$A:$A,$A32,'Budget-ACPL'!AC:AC)+SUMIF('Budget-ACPLHK'!$A:$A,$A32,'Budget-ACPLHK'!AC:AC)+SUMIF('Budget-ACPSZL'!$A:$A,$A32,'Budget-ACPSZL'!AC:AC)+SUMIF('Budget-ACPLSZ'!$A:$A,$A32,'Budget-ACPLSZ'!AC:AC)+SUMIF('Budget-ACPLGZ'!$A:$A,$A32,'Budget-ACPLGZ'!AC:AC)+SUMIF('Budget-Yixing'!$A:$A,$A32,'Budget-Yixing'!AC:AC)</f>
        <v>0</v>
      </c>
      <c r="AD32" s="688">
        <f ca="1">SUMIF('Budget-ACPL'!$A:$A,$A32,'Budget-ACPL'!AD:AD)+SUMIF('Budget-ACPLHK'!$A:$A,$A32,'Budget-ACPLHK'!AD:AD)+SUMIF('Budget-ACPSZL'!$A:$A,$A32,'Budget-ACPSZL'!AD:AD)+SUMIF('Budget-ACPLSZ'!$A:$A,$A32,'Budget-ACPLSZ'!AD:AD)+SUMIF('Budget-ACPLGZ'!$A:$A,$A32,'Budget-ACPLGZ'!AD:AD)+SUMIF('Budget-Yixing'!$A:$A,$A32,'Budget-Yixing'!AD:AD)</f>
        <v>0</v>
      </c>
      <c r="AE32" s="688">
        <f ca="1">SUMIF('Budget-ACPL'!$A:$A,$A32,'Budget-ACPL'!AE:AE)+SUMIF('Budget-ACPLHK'!$A:$A,$A32,'Budget-ACPLHK'!AE:AE)+SUMIF('Budget-ACPSZL'!$A:$A,$A32,'Budget-ACPSZL'!AE:AE)+SUMIF('Budget-ACPLSZ'!$A:$A,$A32,'Budget-ACPLSZ'!AE:AE)+SUMIF('Budget-ACPLGZ'!$A:$A,$A32,'Budget-ACPLGZ'!AE:AE)+SUMIF('Budget-Yixing'!$A:$A,$A32,'Budget-Yixing'!AE:AE)</f>
        <v>0</v>
      </c>
      <c r="AF32" s="688">
        <f ca="1">SUMIF('Budget-ACPL'!$A:$A,$A32,'Budget-ACPL'!AF:AF)+SUMIF('Budget-ACPLHK'!$A:$A,$A32,'Budget-ACPLHK'!AF:AF)+SUMIF('Budget-ACPSZL'!$A:$A,$A32,'Budget-ACPSZL'!AF:AF)+SUMIF('Budget-ACPLSZ'!$A:$A,$A32,'Budget-ACPLSZ'!AF:AF)+SUMIF('Budget-ACPLGZ'!$A:$A,$A32,'Budget-ACPLGZ'!AF:AF)+SUMIF('Budget-Yixing'!$A:$A,$A32,'Budget-Yixing'!AF:AF)</f>
        <v>0</v>
      </c>
      <c r="AG32" s="688">
        <f ca="1">SUMIF('Budget-ACPL'!$A:$A,$A32,'Budget-ACPL'!AG:AG)+SUMIF('Budget-ACPLHK'!$A:$A,$A32,'Budget-ACPLHK'!AG:AG)+SUMIF('Budget-ACPSZL'!$A:$A,$A32,'Budget-ACPSZL'!AG:AG)+SUMIF('Budget-ACPLSZ'!$A:$A,$A32,'Budget-ACPLSZ'!AG:AG)+SUMIF('Budget-ACPLGZ'!$A:$A,$A32,'Budget-ACPLGZ'!AG:AG)+SUMIF('Budget-Yixing'!$A:$A,$A32,'Budget-Yixing'!AG:AG)</f>
        <v>0</v>
      </c>
      <c r="AH32" s="688">
        <f ca="1">SUMIF('Budget-ACPL'!$A:$A,$A32,'Budget-ACPL'!AH:AH)+SUMIF('Budget-ACPLHK'!$A:$A,$A32,'Budget-ACPLHK'!AH:AH)+SUMIF('Budget-ACPSZL'!$A:$A,$A32,'Budget-ACPSZL'!AH:AH)+SUMIF('Budget-ACPLSZ'!$A:$A,$A32,'Budget-ACPLSZ'!AH:AH)+SUMIF('Budget-ACPLGZ'!$A:$A,$A32,'Budget-ACPLGZ'!AH:AH)+SUMIF('Budget-Yixing'!$A:$A,$A32,'Budget-Yixing'!AH:AH)</f>
        <v>0</v>
      </c>
      <c r="AI32" s="688">
        <f ca="1">SUMIF('Budget-ACPL'!$A:$A,$A32,'Budget-ACPL'!AI:AI)+SUMIF('Budget-ACPLHK'!$A:$A,$A32,'Budget-ACPLHK'!AI:AI)+SUMIF('Budget-ACPSZL'!$A:$A,$A32,'Budget-ACPSZL'!AI:AI)+SUMIF('Budget-ACPLSZ'!$A:$A,$A32,'Budget-ACPLSZ'!AI:AI)+SUMIF('Budget-ACPLGZ'!$A:$A,$A32,'Budget-ACPLGZ'!AI:AI)+SUMIF('Budget-Yixing'!$A:$A,$A32,'Budget-Yixing'!AI:AI)</f>
        <v>0</v>
      </c>
      <c r="AJ32" s="688">
        <f ca="1">SUMIF('Budget-ACPL'!$A:$A,$A32,'Budget-ACPL'!AJ:AJ)+SUMIF('Budget-ACPLHK'!$A:$A,$A32,'Budget-ACPLHK'!AJ:AJ)+SUMIF('Budget-ACPSZL'!$A:$A,$A32,'Budget-ACPSZL'!AJ:AJ)+SUMIF('Budget-ACPLSZ'!$A:$A,$A32,'Budget-ACPLSZ'!AJ:AJ)+SUMIF('Budget-ACPLGZ'!$A:$A,$A32,'Budget-ACPLGZ'!AJ:AJ)+SUMIF('Budget-Yixing'!$A:$A,$A32,'Budget-Yixing'!AJ:AJ)</f>
        <v>0</v>
      </c>
      <c r="AK32" s="688">
        <f t="shared" ca="1" si="22"/>
        <v>0</v>
      </c>
    </row>
    <row r="33" spans="1:37" ht="13.5" customHeight="1">
      <c r="A33" s="716" t="s">
        <v>1473</v>
      </c>
      <c r="B33" s="717" t="str">
        <f>VLOOKUP(A33,Account!A:B,2,0)</f>
        <v>职工福利</v>
      </c>
      <c r="C33" s="687">
        <f>VLOOKUP(A33,Account!A:F,4,0)</f>
        <v>0</v>
      </c>
      <c r="D33" s="676">
        <f t="shared" ca="1" si="18"/>
        <v>38791.625</v>
      </c>
      <c r="E33" s="676" t="e">
        <f t="shared" si="13"/>
        <v>#N/A</v>
      </c>
      <c r="F33" s="676" t="e">
        <f t="shared" ca="1" si="14"/>
        <v>#N/A</v>
      </c>
      <c r="G33" s="676">
        <f t="shared" ca="1" si="19"/>
        <v>38791.625</v>
      </c>
      <c r="H33" s="676" t="e">
        <f t="shared" ca="1" si="20"/>
        <v>#N/A</v>
      </c>
      <c r="I33" s="676" t="e">
        <f t="shared" ca="1" si="15"/>
        <v>#N/A</v>
      </c>
      <c r="K33" s="676">
        <f ca="1">SUMIF('Budget-ACPL'!$A:$A,$A33,'Budget-ACPL'!K:K)+SUMIF('Budget-ACPLHK'!$A:$A,$A33,'Budget-ACPLHK'!K:K)+SUMIF('Budget-ACPSZL'!$A:$A,$A33,'Budget-ACPSZL'!K:K)+SUMIF('Budget-ACPLSZ'!$A:$A,$A33,'Budget-ACPLSZ'!K:K)+SUMIF('Budget-ACPLGZ'!$A:$A,$A33,'Budget-ACPLGZ'!K:K)+SUMIF('Budget-Yixing'!$A:$A,$A33,'Budget-Yixing'!K:K)</f>
        <v>38791.625</v>
      </c>
      <c r="L33" s="676">
        <f ca="1">SUMIF('Budget-ACPL'!$A:$A,$A33,'Budget-ACPL'!L:L)+SUMIF('Budget-ACPLHK'!$A:$A,$A33,'Budget-ACPLHK'!L:L)+SUMIF('Budget-ACPSZL'!$A:$A,$A33,'Budget-ACPSZL'!L:L)+SUMIF('Budget-ACPLSZ'!$A:$A,$A33,'Budget-ACPLSZ'!L:L)+SUMIF('Budget-ACPLGZ'!$A:$A,$A33,'Budget-ACPLGZ'!L:L)+SUMIF('Budget-Yixing'!$A:$A,$A33,'Budget-Yixing'!L:L)</f>
        <v>38759.166666666664</v>
      </c>
      <c r="M33" s="676">
        <f ca="1">SUMIF('Budget-ACPL'!$A:$A,$A33,'Budget-ACPL'!M:M)+SUMIF('Budget-ACPLHK'!$A:$A,$A33,'Budget-ACPLHK'!M:M)+SUMIF('Budget-ACPSZL'!$A:$A,$A33,'Budget-ACPSZL'!M:M)+SUMIF('Budget-ACPLSZ'!$A:$A,$A33,'Budget-ACPLSZ'!M:M)+SUMIF('Budget-ACPLGZ'!$A:$A,$A33,'Budget-ACPLGZ'!M:M)+SUMIF('Budget-Yixing'!$A:$A,$A33,'Budget-Yixing'!M:M)</f>
        <v>38759.166666666664</v>
      </c>
      <c r="N33" s="676">
        <f ca="1">SUMIF('Budget-ACPL'!$A:$A,$A33,'Budget-ACPL'!N:N)+SUMIF('Budget-ACPLHK'!$A:$A,$A33,'Budget-ACPLHK'!N:N)+SUMIF('Budget-ACPSZL'!$A:$A,$A33,'Budget-ACPSZL'!N:N)+SUMIF('Budget-ACPLSZ'!$A:$A,$A33,'Budget-ACPLSZ'!N:N)+SUMIF('Budget-ACPLGZ'!$A:$A,$A33,'Budget-ACPLGZ'!N:N)+SUMIF('Budget-Yixing'!$A:$A,$A33,'Budget-Yixing'!N:N)</f>
        <v>38759.166666666664</v>
      </c>
      <c r="O33" s="676">
        <f ca="1">SUMIF('Budget-ACPL'!$A:$A,$A33,'Budget-ACPL'!O:O)+SUMIF('Budget-ACPLHK'!$A:$A,$A33,'Budget-ACPLHK'!O:O)+SUMIF('Budget-ACPSZL'!$A:$A,$A33,'Budget-ACPSZL'!O:O)+SUMIF('Budget-ACPLSZ'!$A:$A,$A33,'Budget-ACPLSZ'!O:O)+SUMIF('Budget-ACPLGZ'!$A:$A,$A33,'Budget-ACPLGZ'!O:O)+SUMIF('Budget-Yixing'!$A:$A,$A33,'Budget-Yixing'!O:O)</f>
        <v>38759.166666666664</v>
      </c>
      <c r="P33" s="676">
        <f ca="1">SUMIF('Budget-ACPL'!$A:$A,$A33,'Budget-ACPL'!P:P)+SUMIF('Budget-ACPLHK'!$A:$A,$A33,'Budget-ACPLHK'!P:P)+SUMIF('Budget-ACPSZL'!$A:$A,$A33,'Budget-ACPSZL'!P:P)+SUMIF('Budget-ACPLSZ'!$A:$A,$A33,'Budget-ACPLSZ'!P:P)+SUMIF('Budget-ACPLGZ'!$A:$A,$A33,'Budget-ACPLGZ'!P:P)+SUMIF('Budget-Yixing'!$A:$A,$A33,'Budget-Yixing'!P:P)</f>
        <v>38759.166666666664</v>
      </c>
      <c r="Q33" s="676">
        <f ca="1">SUMIF('Budget-ACPL'!$A:$A,$A33,'Budget-ACPL'!Q:Q)+SUMIF('Budget-ACPLHK'!$A:$A,$A33,'Budget-ACPLHK'!Q:Q)+SUMIF('Budget-ACPSZL'!$A:$A,$A33,'Budget-ACPSZL'!Q:Q)+SUMIF('Budget-ACPLSZ'!$A:$A,$A33,'Budget-ACPLSZ'!Q:Q)+SUMIF('Budget-ACPLGZ'!$A:$A,$A33,'Budget-ACPLGZ'!Q:Q)+SUMIF('Budget-Yixing'!$A:$A,$A33,'Budget-Yixing'!Q:Q)</f>
        <v>38759.166666666664</v>
      </c>
      <c r="R33" s="676">
        <f ca="1">SUMIF('Budget-ACPL'!$A:$A,$A33,'Budget-ACPL'!R:R)+SUMIF('Budget-ACPLHK'!$A:$A,$A33,'Budget-ACPLHK'!R:R)+SUMIF('Budget-ACPSZL'!$A:$A,$A33,'Budget-ACPSZL'!R:R)+SUMIF('Budget-ACPLSZ'!$A:$A,$A33,'Budget-ACPLSZ'!R:R)+SUMIF('Budget-ACPLGZ'!$A:$A,$A33,'Budget-ACPLGZ'!R:R)+SUMIF('Budget-Yixing'!$A:$A,$A33,'Budget-Yixing'!R:R)</f>
        <v>38759.166666666664</v>
      </c>
      <c r="S33" s="676">
        <f ca="1">SUMIF('Budget-ACPL'!$A:$A,$A33,'Budget-ACPL'!S:S)+SUMIF('Budget-ACPLHK'!$A:$A,$A33,'Budget-ACPLHK'!S:S)+SUMIF('Budget-ACPSZL'!$A:$A,$A33,'Budget-ACPSZL'!S:S)+SUMIF('Budget-ACPLSZ'!$A:$A,$A33,'Budget-ACPLSZ'!S:S)+SUMIF('Budget-ACPLGZ'!$A:$A,$A33,'Budget-ACPLGZ'!S:S)+SUMIF('Budget-Yixing'!$A:$A,$A33,'Budget-Yixing'!S:S)</f>
        <v>38759.166666666664</v>
      </c>
      <c r="T33" s="676">
        <f ca="1">SUMIF('Budget-ACPL'!$A:$A,$A33,'Budget-ACPL'!T:T)+SUMIF('Budget-ACPLHK'!$A:$A,$A33,'Budget-ACPLHK'!T:T)+SUMIF('Budget-ACPSZL'!$A:$A,$A33,'Budget-ACPSZL'!T:T)+SUMIF('Budget-ACPLSZ'!$A:$A,$A33,'Budget-ACPLSZ'!T:T)+SUMIF('Budget-ACPLGZ'!$A:$A,$A33,'Budget-ACPLGZ'!T:T)+SUMIF('Budget-Yixing'!$A:$A,$A33,'Budget-Yixing'!T:T)</f>
        <v>38759.166666666664</v>
      </c>
      <c r="U33" s="676">
        <f ca="1">SUMIF('Budget-ACPL'!$A:$A,$A33,'Budget-ACPL'!U:U)+SUMIF('Budget-ACPLHK'!$A:$A,$A33,'Budget-ACPLHK'!U:U)+SUMIF('Budget-ACPSZL'!$A:$A,$A33,'Budget-ACPSZL'!U:U)+SUMIF('Budget-ACPLSZ'!$A:$A,$A33,'Budget-ACPLSZ'!U:U)+SUMIF('Budget-ACPLGZ'!$A:$A,$A33,'Budget-ACPLGZ'!U:U)+SUMIF('Budget-Yixing'!$A:$A,$A33,'Budget-Yixing'!U:U)</f>
        <v>38759.166666666664</v>
      </c>
      <c r="V33" s="676">
        <f ca="1">SUMIF('Budget-ACPL'!$A:$A,$A33,'Budget-ACPL'!V:V)+SUMIF('Budget-ACPLHK'!$A:$A,$A33,'Budget-ACPLHK'!V:V)+SUMIF('Budget-ACPSZL'!$A:$A,$A33,'Budget-ACPSZL'!V:V)+SUMIF('Budget-ACPLSZ'!$A:$A,$A33,'Budget-ACPLSZ'!V:V)+SUMIF('Budget-ACPLGZ'!$A:$A,$A33,'Budget-ACPLGZ'!V:V)+SUMIF('Budget-Yixing'!$A:$A,$A33,'Budget-Yixing'!V:V)</f>
        <v>38759.166666666664</v>
      </c>
      <c r="W33" s="676">
        <f t="shared" ref="W33:W40" ca="1" si="23">SUM(K33:V33)</f>
        <v>465142.45833333337</v>
      </c>
      <c r="Y33" s="688">
        <f ca="1">SUMIF('Budget-ACPL'!$A:$A,$A33,'Budget-ACPL'!Y:Y)+SUMIF('Budget-ACPLHK'!$A:$A,$A33,'Budget-ACPLHK'!Y:Y)+SUMIF('Budget-ACPSZL'!$A:$A,$A33,'Budget-ACPSZL'!Y:Y)+SUMIF('Budget-ACPLSZ'!$A:$A,$A33,'Budget-ACPLSZ'!Y:Y)+SUMIF('Budget-ACPLGZ'!$A:$A,$A33,'Budget-ACPLGZ'!Y:Y)+SUMIF('Budget-Yixing'!$A:$A,$A33,'Budget-Yixing'!Y:Y)</f>
        <v>9184</v>
      </c>
      <c r="Z33" s="688">
        <f ca="1">SUMIF('Budget-ACPL'!$A:$A,$A33,'Budget-ACPL'!Z:Z)+SUMIF('Budget-ACPLHK'!$A:$A,$A33,'Budget-ACPLHK'!Z:Z)+SUMIF('Budget-ACPSZL'!$A:$A,$A33,'Budget-ACPSZL'!Z:Z)+SUMIF('Budget-ACPLSZ'!$A:$A,$A33,'Budget-ACPLSZ'!Z:Z)+SUMIF('Budget-ACPLGZ'!$A:$A,$A33,'Budget-ACPLGZ'!Z:Z)+SUMIF('Budget-Yixing'!$A:$A,$A33,'Budget-Yixing'!Z:Z)</f>
        <v>4695.45</v>
      </c>
      <c r="AA33" s="688">
        <f ca="1">SUMIF('Budget-ACPL'!$A:$A,$A33,'Budget-ACPL'!AA:AA)+SUMIF('Budget-ACPLHK'!$A:$A,$A33,'Budget-ACPLHK'!AA:AA)+SUMIF('Budget-ACPSZL'!$A:$A,$A33,'Budget-ACPSZL'!AA:AA)+SUMIF('Budget-ACPLSZ'!$A:$A,$A33,'Budget-ACPLSZ'!AA:AA)+SUMIF('Budget-ACPLGZ'!$A:$A,$A33,'Budget-ACPLGZ'!AA:AA)+SUMIF('Budget-Yixing'!$A:$A,$A33,'Budget-Yixing'!AA:AA)</f>
        <v>6288.89</v>
      </c>
      <c r="AB33" s="688">
        <f ca="1">SUMIF('Budget-ACPL'!$A:$A,$A33,'Budget-ACPL'!AB:AB)+SUMIF('Budget-ACPLHK'!$A:$A,$A33,'Budget-ACPLHK'!AB:AB)+SUMIF('Budget-ACPSZL'!$A:$A,$A33,'Budget-ACPSZL'!AB:AB)+SUMIF('Budget-ACPLSZ'!$A:$A,$A33,'Budget-ACPLSZ'!AB:AB)+SUMIF('Budget-ACPLGZ'!$A:$A,$A33,'Budget-ACPLGZ'!AB:AB)+SUMIF('Budget-Yixing'!$A:$A,$A33,'Budget-Yixing'!AB:AB)</f>
        <v>0</v>
      </c>
      <c r="AC33" s="688">
        <f ca="1">SUMIF('Budget-ACPL'!$A:$A,$A33,'Budget-ACPL'!AC:AC)+SUMIF('Budget-ACPLHK'!$A:$A,$A33,'Budget-ACPLHK'!AC:AC)+SUMIF('Budget-ACPSZL'!$A:$A,$A33,'Budget-ACPSZL'!AC:AC)+SUMIF('Budget-ACPLSZ'!$A:$A,$A33,'Budget-ACPLSZ'!AC:AC)+SUMIF('Budget-ACPLGZ'!$A:$A,$A33,'Budget-ACPLGZ'!AC:AC)+SUMIF('Budget-Yixing'!$A:$A,$A33,'Budget-Yixing'!AC:AC)</f>
        <v>1492</v>
      </c>
      <c r="AD33" s="688">
        <f ca="1">SUMIF('Budget-ACPL'!$A:$A,$A33,'Budget-ACPL'!AD:AD)+SUMIF('Budget-ACPLHK'!$A:$A,$A33,'Budget-ACPLHK'!AD:AD)+SUMIF('Budget-ACPSZL'!$A:$A,$A33,'Budget-ACPSZL'!AD:AD)+SUMIF('Budget-ACPLSZ'!$A:$A,$A33,'Budget-ACPLSZ'!AD:AD)+SUMIF('Budget-ACPLGZ'!$A:$A,$A33,'Budget-ACPLGZ'!AD:AD)+SUMIF('Budget-Yixing'!$A:$A,$A33,'Budget-Yixing'!AD:AD)</f>
        <v>0</v>
      </c>
      <c r="AE33" s="688">
        <f ca="1">SUMIF('Budget-ACPL'!$A:$A,$A33,'Budget-ACPL'!AE:AE)+SUMIF('Budget-ACPLHK'!$A:$A,$A33,'Budget-ACPLHK'!AE:AE)+SUMIF('Budget-ACPSZL'!$A:$A,$A33,'Budget-ACPSZL'!AE:AE)+SUMIF('Budget-ACPLSZ'!$A:$A,$A33,'Budget-ACPLSZ'!AE:AE)+SUMIF('Budget-ACPLGZ'!$A:$A,$A33,'Budget-ACPLGZ'!AE:AE)+SUMIF('Budget-Yixing'!$A:$A,$A33,'Budget-Yixing'!AE:AE)</f>
        <v>8298.5400000000009</v>
      </c>
      <c r="AF33" s="688">
        <f ca="1">SUMIF('Budget-ACPL'!$A:$A,$A33,'Budget-ACPL'!AF:AF)+SUMIF('Budget-ACPLHK'!$A:$A,$A33,'Budget-ACPLHK'!AF:AF)+SUMIF('Budget-ACPSZL'!$A:$A,$A33,'Budget-ACPSZL'!AF:AF)+SUMIF('Budget-ACPLSZ'!$A:$A,$A33,'Budget-ACPLSZ'!AF:AF)+SUMIF('Budget-ACPLGZ'!$A:$A,$A33,'Budget-ACPLGZ'!AF:AF)+SUMIF('Budget-Yixing'!$A:$A,$A33,'Budget-Yixing'!AF:AF)</f>
        <v>155.63</v>
      </c>
      <c r="AG33" s="688">
        <f ca="1">SUMIF('Budget-ACPL'!$A:$A,$A33,'Budget-ACPL'!AG:AG)+SUMIF('Budget-ACPLHK'!$A:$A,$A33,'Budget-ACPLHK'!AG:AG)+SUMIF('Budget-ACPSZL'!$A:$A,$A33,'Budget-ACPSZL'!AG:AG)+SUMIF('Budget-ACPLSZ'!$A:$A,$A33,'Budget-ACPLSZ'!AG:AG)+SUMIF('Budget-ACPLGZ'!$A:$A,$A33,'Budget-ACPLGZ'!AG:AG)+SUMIF('Budget-Yixing'!$A:$A,$A33,'Budget-Yixing'!AG:AG)</f>
        <v>5456.4400000000005</v>
      </c>
      <c r="AH33" s="688">
        <f ca="1">SUMIF('Budget-ACPL'!$A:$A,$A33,'Budget-ACPL'!AH:AH)+SUMIF('Budget-ACPLHK'!$A:$A,$A33,'Budget-ACPLHK'!AH:AH)+SUMIF('Budget-ACPSZL'!$A:$A,$A33,'Budget-ACPSZL'!AH:AH)+SUMIF('Budget-ACPLSZ'!$A:$A,$A33,'Budget-ACPLSZ'!AH:AH)+SUMIF('Budget-ACPLGZ'!$A:$A,$A33,'Budget-ACPLGZ'!AH:AH)+SUMIF('Budget-Yixing'!$A:$A,$A33,'Budget-Yixing'!AH:AH)</f>
        <v>7892.66</v>
      </c>
      <c r="AI33" s="688">
        <f ca="1">SUMIF('Budget-ACPL'!$A:$A,$A33,'Budget-ACPL'!AI:AI)+SUMIF('Budget-ACPLHK'!$A:$A,$A33,'Budget-ACPLHK'!AI:AI)+SUMIF('Budget-ACPSZL'!$A:$A,$A33,'Budget-ACPSZL'!AI:AI)+SUMIF('Budget-ACPLSZ'!$A:$A,$A33,'Budget-ACPLSZ'!AI:AI)+SUMIF('Budget-ACPLGZ'!$A:$A,$A33,'Budget-ACPLGZ'!AI:AI)+SUMIF('Budget-Yixing'!$A:$A,$A33,'Budget-Yixing'!AI:AI)</f>
        <v>2639</v>
      </c>
      <c r="AJ33" s="688">
        <f ca="1">SUMIF('Budget-ACPL'!$A:$A,$A33,'Budget-ACPL'!AJ:AJ)+SUMIF('Budget-ACPLHK'!$A:$A,$A33,'Budget-ACPLHK'!AJ:AJ)+SUMIF('Budget-ACPSZL'!$A:$A,$A33,'Budget-ACPSZL'!AJ:AJ)+SUMIF('Budget-ACPLSZ'!$A:$A,$A33,'Budget-ACPLSZ'!AJ:AJ)+SUMIF('Budget-ACPLGZ'!$A:$A,$A33,'Budget-ACPLGZ'!AJ:AJ)+SUMIF('Budget-Yixing'!$A:$A,$A33,'Budget-Yixing'!AJ:AJ)</f>
        <v>8438.1</v>
      </c>
      <c r="AK33" s="688">
        <f t="shared" ca="1" si="22"/>
        <v>54540.71</v>
      </c>
    </row>
    <row r="34" spans="1:37" ht="13.5" hidden="1" customHeight="1">
      <c r="A34" s="713" t="s">
        <v>1475</v>
      </c>
      <c r="B34" s="687" t="str">
        <f>VLOOKUP(A34,Account!A:B,2,0)</f>
        <v>员工福利</v>
      </c>
      <c r="C34" s="687" t="str">
        <f>VLOOKUP(A34,Account!A:F,4,0)</f>
        <v>Fringe Other</v>
      </c>
      <c r="D34" s="676">
        <f t="shared" ca="1" si="18"/>
        <v>0</v>
      </c>
      <c r="E34" s="676" t="e">
        <f t="shared" si="13"/>
        <v>#N/A</v>
      </c>
      <c r="F34" s="676" t="e">
        <f t="shared" ca="1" si="14"/>
        <v>#N/A</v>
      </c>
      <c r="G34" s="676">
        <f t="shared" ca="1" si="19"/>
        <v>0</v>
      </c>
      <c r="H34" s="676" t="e">
        <f t="shared" ca="1" si="20"/>
        <v>#N/A</v>
      </c>
      <c r="I34" s="676" t="e">
        <f t="shared" ca="1" si="15"/>
        <v>#N/A</v>
      </c>
      <c r="K34" s="676">
        <f ca="1">SUMIF('Budget-ACPL'!$A:$A,$A34,'Budget-ACPL'!K:K)+SUMIF('Budget-ACPLHK'!$A:$A,$A34,'Budget-ACPLHK'!K:K)+SUMIF('Budget-ACPSZL'!$A:$A,$A34,'Budget-ACPSZL'!K:K)+SUMIF('Budget-ACPLSZ'!$A:$A,$A34,'Budget-ACPLSZ'!K:K)+SUMIF('Budget-ACPLGZ'!$A:$A,$A34,'Budget-ACPLGZ'!K:K)+SUMIF('Budget-Yixing'!$A:$A,$A34,'Budget-Yixing'!K:K)</f>
        <v>0</v>
      </c>
      <c r="L34" s="676">
        <f ca="1">SUMIF('Budget-ACPL'!$A:$A,$A34,'Budget-ACPL'!L:L)+SUMIF('Budget-ACPLHK'!$A:$A,$A34,'Budget-ACPLHK'!L:L)+SUMIF('Budget-ACPSZL'!$A:$A,$A34,'Budget-ACPSZL'!L:L)+SUMIF('Budget-ACPLSZ'!$A:$A,$A34,'Budget-ACPLSZ'!L:L)+SUMIF('Budget-ACPLGZ'!$A:$A,$A34,'Budget-ACPLGZ'!L:L)+SUMIF('Budget-Yixing'!$A:$A,$A34,'Budget-Yixing'!L:L)</f>
        <v>0</v>
      </c>
      <c r="M34" s="676">
        <f ca="1">SUMIF('Budget-ACPL'!$A:$A,$A34,'Budget-ACPL'!M:M)+SUMIF('Budget-ACPLHK'!$A:$A,$A34,'Budget-ACPLHK'!M:M)+SUMIF('Budget-ACPSZL'!$A:$A,$A34,'Budget-ACPSZL'!M:M)+SUMIF('Budget-ACPLSZ'!$A:$A,$A34,'Budget-ACPLSZ'!M:M)+SUMIF('Budget-ACPLGZ'!$A:$A,$A34,'Budget-ACPLGZ'!M:M)+SUMIF('Budget-Yixing'!$A:$A,$A34,'Budget-Yixing'!M:M)</f>
        <v>0</v>
      </c>
      <c r="N34" s="676">
        <f ca="1">SUMIF('Budget-ACPL'!$A:$A,$A34,'Budget-ACPL'!N:N)+SUMIF('Budget-ACPLHK'!$A:$A,$A34,'Budget-ACPLHK'!N:N)+SUMIF('Budget-ACPSZL'!$A:$A,$A34,'Budget-ACPSZL'!N:N)+SUMIF('Budget-ACPLSZ'!$A:$A,$A34,'Budget-ACPLSZ'!N:N)+SUMIF('Budget-ACPLGZ'!$A:$A,$A34,'Budget-ACPLGZ'!N:N)+SUMIF('Budget-Yixing'!$A:$A,$A34,'Budget-Yixing'!N:N)</f>
        <v>0</v>
      </c>
      <c r="O34" s="676">
        <f ca="1">SUMIF('Budget-ACPL'!$A:$A,$A34,'Budget-ACPL'!O:O)+SUMIF('Budget-ACPLHK'!$A:$A,$A34,'Budget-ACPLHK'!O:O)+SUMIF('Budget-ACPSZL'!$A:$A,$A34,'Budget-ACPSZL'!O:O)+SUMIF('Budget-ACPLSZ'!$A:$A,$A34,'Budget-ACPLSZ'!O:O)+SUMIF('Budget-ACPLGZ'!$A:$A,$A34,'Budget-ACPLGZ'!O:O)+SUMIF('Budget-Yixing'!$A:$A,$A34,'Budget-Yixing'!O:O)</f>
        <v>0</v>
      </c>
      <c r="P34" s="676">
        <f ca="1">SUMIF('Budget-ACPL'!$A:$A,$A34,'Budget-ACPL'!P:P)+SUMIF('Budget-ACPLHK'!$A:$A,$A34,'Budget-ACPLHK'!P:P)+SUMIF('Budget-ACPSZL'!$A:$A,$A34,'Budget-ACPSZL'!P:P)+SUMIF('Budget-ACPLSZ'!$A:$A,$A34,'Budget-ACPLSZ'!P:P)+SUMIF('Budget-ACPLGZ'!$A:$A,$A34,'Budget-ACPLGZ'!P:P)+SUMIF('Budget-Yixing'!$A:$A,$A34,'Budget-Yixing'!P:P)</f>
        <v>0</v>
      </c>
      <c r="Q34" s="676">
        <f ca="1">SUMIF('Budget-ACPL'!$A:$A,$A34,'Budget-ACPL'!Q:Q)+SUMIF('Budget-ACPLHK'!$A:$A,$A34,'Budget-ACPLHK'!Q:Q)+SUMIF('Budget-ACPSZL'!$A:$A,$A34,'Budget-ACPSZL'!Q:Q)+SUMIF('Budget-ACPLSZ'!$A:$A,$A34,'Budget-ACPLSZ'!Q:Q)+SUMIF('Budget-ACPLGZ'!$A:$A,$A34,'Budget-ACPLGZ'!Q:Q)+SUMIF('Budget-Yixing'!$A:$A,$A34,'Budget-Yixing'!Q:Q)</f>
        <v>0</v>
      </c>
      <c r="R34" s="676">
        <f ca="1">SUMIF('Budget-ACPL'!$A:$A,$A34,'Budget-ACPL'!R:R)+SUMIF('Budget-ACPLHK'!$A:$A,$A34,'Budget-ACPLHK'!R:R)+SUMIF('Budget-ACPSZL'!$A:$A,$A34,'Budget-ACPSZL'!R:R)+SUMIF('Budget-ACPLSZ'!$A:$A,$A34,'Budget-ACPLSZ'!R:R)+SUMIF('Budget-ACPLGZ'!$A:$A,$A34,'Budget-ACPLGZ'!R:R)+SUMIF('Budget-Yixing'!$A:$A,$A34,'Budget-Yixing'!R:R)</f>
        <v>0</v>
      </c>
      <c r="S34" s="676">
        <f ca="1">SUMIF('Budget-ACPL'!$A:$A,$A34,'Budget-ACPL'!S:S)+SUMIF('Budget-ACPLHK'!$A:$A,$A34,'Budget-ACPLHK'!S:S)+SUMIF('Budget-ACPSZL'!$A:$A,$A34,'Budget-ACPSZL'!S:S)+SUMIF('Budget-ACPLSZ'!$A:$A,$A34,'Budget-ACPLSZ'!S:S)+SUMIF('Budget-ACPLGZ'!$A:$A,$A34,'Budget-ACPLGZ'!S:S)+SUMIF('Budget-Yixing'!$A:$A,$A34,'Budget-Yixing'!S:S)</f>
        <v>0</v>
      </c>
      <c r="T34" s="676">
        <f ca="1">SUMIF('Budget-ACPL'!$A:$A,$A34,'Budget-ACPL'!T:T)+SUMIF('Budget-ACPLHK'!$A:$A,$A34,'Budget-ACPLHK'!T:T)+SUMIF('Budget-ACPSZL'!$A:$A,$A34,'Budget-ACPSZL'!T:T)+SUMIF('Budget-ACPLSZ'!$A:$A,$A34,'Budget-ACPLSZ'!T:T)+SUMIF('Budget-ACPLGZ'!$A:$A,$A34,'Budget-ACPLGZ'!T:T)+SUMIF('Budget-Yixing'!$A:$A,$A34,'Budget-Yixing'!T:T)</f>
        <v>0</v>
      </c>
      <c r="U34" s="676">
        <f ca="1">SUMIF('Budget-ACPL'!$A:$A,$A34,'Budget-ACPL'!U:U)+SUMIF('Budget-ACPLHK'!$A:$A,$A34,'Budget-ACPLHK'!U:U)+SUMIF('Budget-ACPSZL'!$A:$A,$A34,'Budget-ACPSZL'!U:U)+SUMIF('Budget-ACPLSZ'!$A:$A,$A34,'Budget-ACPLSZ'!U:U)+SUMIF('Budget-ACPLGZ'!$A:$A,$A34,'Budget-ACPLGZ'!U:U)+SUMIF('Budget-Yixing'!$A:$A,$A34,'Budget-Yixing'!U:U)</f>
        <v>0</v>
      </c>
      <c r="V34" s="676">
        <f ca="1">SUMIF('Budget-ACPL'!$A:$A,$A34,'Budget-ACPL'!V:V)+SUMIF('Budget-ACPLHK'!$A:$A,$A34,'Budget-ACPLHK'!V:V)+SUMIF('Budget-ACPSZL'!$A:$A,$A34,'Budget-ACPSZL'!V:V)+SUMIF('Budget-ACPLSZ'!$A:$A,$A34,'Budget-ACPLSZ'!V:V)+SUMIF('Budget-ACPLGZ'!$A:$A,$A34,'Budget-ACPLGZ'!V:V)+SUMIF('Budget-Yixing'!$A:$A,$A34,'Budget-Yixing'!V:V)</f>
        <v>0</v>
      </c>
      <c r="W34" s="676">
        <f t="shared" ca="1" si="23"/>
        <v>0</v>
      </c>
      <c r="Y34" s="688">
        <f ca="1">SUMIF('Budget-ACPL'!$A:$A,$A34,'Budget-ACPL'!Y:Y)+SUMIF('Budget-ACPLHK'!$A:$A,$A34,'Budget-ACPLHK'!Y:Y)+SUMIF('Budget-ACPSZL'!$A:$A,$A34,'Budget-ACPSZL'!Y:Y)+SUMIF('Budget-ACPLSZ'!$A:$A,$A34,'Budget-ACPLSZ'!Y:Y)+SUMIF('Budget-ACPLGZ'!$A:$A,$A34,'Budget-ACPLGZ'!Y:Y)+SUMIF('Budget-Yixing'!$A:$A,$A34,'Budget-Yixing'!Y:Y)</f>
        <v>0</v>
      </c>
      <c r="Z34" s="688">
        <f ca="1">SUMIF('Budget-ACPL'!$A:$A,$A34,'Budget-ACPL'!Z:Z)+SUMIF('Budget-ACPLHK'!$A:$A,$A34,'Budget-ACPLHK'!Z:Z)+SUMIF('Budget-ACPSZL'!$A:$A,$A34,'Budget-ACPSZL'!Z:Z)+SUMIF('Budget-ACPLSZ'!$A:$A,$A34,'Budget-ACPLSZ'!Z:Z)+SUMIF('Budget-ACPLGZ'!$A:$A,$A34,'Budget-ACPLGZ'!Z:Z)+SUMIF('Budget-Yixing'!$A:$A,$A34,'Budget-Yixing'!Z:Z)</f>
        <v>0</v>
      </c>
      <c r="AA34" s="688">
        <f ca="1">SUMIF('Budget-ACPL'!$A:$A,$A34,'Budget-ACPL'!AA:AA)+SUMIF('Budget-ACPLHK'!$A:$A,$A34,'Budget-ACPLHK'!AA:AA)+SUMIF('Budget-ACPSZL'!$A:$A,$A34,'Budget-ACPSZL'!AA:AA)+SUMIF('Budget-ACPLSZ'!$A:$A,$A34,'Budget-ACPLSZ'!AA:AA)+SUMIF('Budget-ACPLGZ'!$A:$A,$A34,'Budget-ACPLGZ'!AA:AA)+SUMIF('Budget-Yixing'!$A:$A,$A34,'Budget-Yixing'!AA:AA)</f>
        <v>0</v>
      </c>
      <c r="AB34" s="688">
        <f ca="1">SUMIF('Budget-ACPL'!$A:$A,$A34,'Budget-ACPL'!AB:AB)+SUMIF('Budget-ACPLHK'!$A:$A,$A34,'Budget-ACPLHK'!AB:AB)+SUMIF('Budget-ACPSZL'!$A:$A,$A34,'Budget-ACPSZL'!AB:AB)+SUMIF('Budget-ACPLSZ'!$A:$A,$A34,'Budget-ACPLSZ'!AB:AB)+SUMIF('Budget-ACPLGZ'!$A:$A,$A34,'Budget-ACPLGZ'!AB:AB)+SUMIF('Budget-Yixing'!$A:$A,$A34,'Budget-Yixing'!AB:AB)</f>
        <v>0</v>
      </c>
      <c r="AC34" s="688">
        <f ca="1">SUMIF('Budget-ACPL'!$A:$A,$A34,'Budget-ACPL'!AC:AC)+SUMIF('Budget-ACPLHK'!$A:$A,$A34,'Budget-ACPLHK'!AC:AC)+SUMIF('Budget-ACPSZL'!$A:$A,$A34,'Budget-ACPSZL'!AC:AC)+SUMIF('Budget-ACPLSZ'!$A:$A,$A34,'Budget-ACPLSZ'!AC:AC)+SUMIF('Budget-ACPLGZ'!$A:$A,$A34,'Budget-ACPLGZ'!AC:AC)+SUMIF('Budget-Yixing'!$A:$A,$A34,'Budget-Yixing'!AC:AC)</f>
        <v>0</v>
      </c>
      <c r="AD34" s="688">
        <f ca="1">SUMIF('Budget-ACPL'!$A:$A,$A34,'Budget-ACPL'!AD:AD)+SUMIF('Budget-ACPLHK'!$A:$A,$A34,'Budget-ACPLHK'!AD:AD)+SUMIF('Budget-ACPSZL'!$A:$A,$A34,'Budget-ACPSZL'!AD:AD)+SUMIF('Budget-ACPLSZ'!$A:$A,$A34,'Budget-ACPLSZ'!AD:AD)+SUMIF('Budget-ACPLGZ'!$A:$A,$A34,'Budget-ACPLGZ'!AD:AD)+SUMIF('Budget-Yixing'!$A:$A,$A34,'Budget-Yixing'!AD:AD)</f>
        <v>0</v>
      </c>
      <c r="AE34" s="688">
        <f ca="1">SUMIF('Budget-ACPL'!$A:$A,$A34,'Budget-ACPL'!AE:AE)+SUMIF('Budget-ACPLHK'!$A:$A,$A34,'Budget-ACPLHK'!AE:AE)+SUMIF('Budget-ACPSZL'!$A:$A,$A34,'Budget-ACPSZL'!AE:AE)+SUMIF('Budget-ACPLSZ'!$A:$A,$A34,'Budget-ACPLSZ'!AE:AE)+SUMIF('Budget-ACPLGZ'!$A:$A,$A34,'Budget-ACPLGZ'!AE:AE)+SUMIF('Budget-Yixing'!$A:$A,$A34,'Budget-Yixing'!AE:AE)</f>
        <v>0</v>
      </c>
      <c r="AF34" s="688">
        <f ca="1">SUMIF('Budget-ACPL'!$A:$A,$A34,'Budget-ACPL'!AF:AF)+SUMIF('Budget-ACPLHK'!$A:$A,$A34,'Budget-ACPLHK'!AF:AF)+SUMIF('Budget-ACPSZL'!$A:$A,$A34,'Budget-ACPSZL'!AF:AF)+SUMIF('Budget-ACPLSZ'!$A:$A,$A34,'Budget-ACPLSZ'!AF:AF)+SUMIF('Budget-ACPLGZ'!$A:$A,$A34,'Budget-ACPLGZ'!AF:AF)+SUMIF('Budget-Yixing'!$A:$A,$A34,'Budget-Yixing'!AF:AF)</f>
        <v>0</v>
      </c>
      <c r="AG34" s="688">
        <f ca="1">SUMIF('Budget-ACPL'!$A:$A,$A34,'Budget-ACPL'!AG:AG)+SUMIF('Budget-ACPLHK'!$A:$A,$A34,'Budget-ACPLHK'!AG:AG)+SUMIF('Budget-ACPSZL'!$A:$A,$A34,'Budget-ACPSZL'!AG:AG)+SUMIF('Budget-ACPLSZ'!$A:$A,$A34,'Budget-ACPLSZ'!AG:AG)+SUMIF('Budget-ACPLGZ'!$A:$A,$A34,'Budget-ACPLGZ'!AG:AG)+SUMIF('Budget-Yixing'!$A:$A,$A34,'Budget-Yixing'!AG:AG)</f>
        <v>1040.5999999999999</v>
      </c>
      <c r="AH34" s="688">
        <f ca="1">SUMIF('Budget-ACPL'!$A:$A,$A34,'Budget-ACPL'!AH:AH)+SUMIF('Budget-ACPLHK'!$A:$A,$A34,'Budget-ACPLHK'!AH:AH)+SUMIF('Budget-ACPSZL'!$A:$A,$A34,'Budget-ACPSZL'!AH:AH)+SUMIF('Budget-ACPLSZ'!$A:$A,$A34,'Budget-ACPLSZ'!AH:AH)+SUMIF('Budget-ACPLGZ'!$A:$A,$A34,'Budget-ACPLGZ'!AH:AH)+SUMIF('Budget-Yixing'!$A:$A,$A34,'Budget-Yixing'!AH:AH)</f>
        <v>0</v>
      </c>
      <c r="AI34" s="688">
        <f ca="1">SUMIF('Budget-ACPL'!$A:$A,$A34,'Budget-ACPL'!AI:AI)+SUMIF('Budget-ACPLHK'!$A:$A,$A34,'Budget-ACPLHK'!AI:AI)+SUMIF('Budget-ACPSZL'!$A:$A,$A34,'Budget-ACPSZL'!AI:AI)+SUMIF('Budget-ACPLSZ'!$A:$A,$A34,'Budget-ACPLSZ'!AI:AI)+SUMIF('Budget-ACPLGZ'!$A:$A,$A34,'Budget-ACPLGZ'!AI:AI)+SUMIF('Budget-Yixing'!$A:$A,$A34,'Budget-Yixing'!AI:AI)</f>
        <v>0</v>
      </c>
      <c r="AJ34" s="688">
        <f ca="1">SUMIF('Budget-ACPL'!$A:$A,$A34,'Budget-ACPL'!AJ:AJ)+SUMIF('Budget-ACPLHK'!$A:$A,$A34,'Budget-ACPLHK'!AJ:AJ)+SUMIF('Budget-ACPSZL'!$A:$A,$A34,'Budget-ACPSZL'!AJ:AJ)+SUMIF('Budget-ACPLSZ'!$A:$A,$A34,'Budget-ACPLSZ'!AJ:AJ)+SUMIF('Budget-ACPLGZ'!$A:$A,$A34,'Budget-ACPLGZ'!AJ:AJ)+SUMIF('Budget-Yixing'!$A:$A,$A34,'Budget-Yixing'!AJ:AJ)</f>
        <v>0</v>
      </c>
      <c r="AK34" s="688">
        <f t="shared" ca="1" si="22"/>
        <v>1040.5999999999999</v>
      </c>
    </row>
    <row r="35" spans="1:37" ht="13.5" customHeight="1">
      <c r="A35" s="713" t="s">
        <v>1480</v>
      </c>
      <c r="B35" s="687" t="str">
        <f>VLOOKUP(A35,Account!A:B,2,0)</f>
        <v>团建活动</v>
      </c>
      <c r="C35" s="687" t="str">
        <f>VLOOKUP(A35,Account!A:F,4,0)</f>
        <v>EE Morale Expense</v>
      </c>
      <c r="D35" s="676">
        <f t="shared" ca="1" si="18"/>
        <v>16208.291666666666</v>
      </c>
      <c r="E35" s="676" t="e">
        <f t="shared" si="13"/>
        <v>#N/A</v>
      </c>
      <c r="F35" s="676" t="e">
        <f t="shared" ca="1" si="14"/>
        <v>#N/A</v>
      </c>
      <c r="G35" s="676">
        <f t="shared" ca="1" si="19"/>
        <v>16208.291666666666</v>
      </c>
      <c r="H35" s="676" t="e">
        <f t="shared" ca="1" si="20"/>
        <v>#N/A</v>
      </c>
      <c r="I35" s="676" t="e">
        <f t="shared" ca="1" si="15"/>
        <v>#N/A</v>
      </c>
      <c r="K35" s="676">
        <f ca="1">SUMIF('Budget-ACPL'!$A:$A,$A35,'Budget-ACPL'!K:K)+SUMIF('Budget-ACPLHK'!$A:$A,$A35,'Budget-ACPLHK'!K:K)+SUMIF('Budget-ACPSZL'!$A:$A,$A35,'Budget-ACPSZL'!K:K)+SUMIF('Budget-ACPLSZ'!$A:$A,$A35,'Budget-ACPLSZ'!K:K)+SUMIF('Budget-ACPLGZ'!$A:$A,$A35,'Budget-ACPLGZ'!K:K)+SUMIF('Budget-Yixing'!$A:$A,$A35,'Budget-Yixing'!K:K)</f>
        <v>16208.291666666666</v>
      </c>
      <c r="L35" s="676">
        <f ca="1">SUMIF('Budget-ACPL'!$A:$A,$A35,'Budget-ACPL'!L:L)+SUMIF('Budget-ACPLHK'!$A:$A,$A35,'Budget-ACPLHK'!L:L)+SUMIF('Budget-ACPSZL'!$A:$A,$A35,'Budget-ACPSZL'!L:L)+SUMIF('Budget-ACPLSZ'!$A:$A,$A35,'Budget-ACPLSZ'!L:L)+SUMIF('Budget-ACPLGZ'!$A:$A,$A35,'Budget-ACPLGZ'!L:L)+SUMIF('Budget-Yixing'!$A:$A,$A35,'Budget-Yixing'!L:L)</f>
        <v>16175.833333333334</v>
      </c>
      <c r="M35" s="676">
        <f ca="1">SUMIF('Budget-ACPL'!$A:$A,$A35,'Budget-ACPL'!M:M)+SUMIF('Budget-ACPLHK'!$A:$A,$A35,'Budget-ACPLHK'!M:M)+SUMIF('Budget-ACPSZL'!$A:$A,$A35,'Budget-ACPSZL'!M:M)+SUMIF('Budget-ACPLSZ'!$A:$A,$A35,'Budget-ACPLSZ'!M:M)+SUMIF('Budget-ACPLGZ'!$A:$A,$A35,'Budget-ACPLGZ'!M:M)+SUMIF('Budget-Yixing'!$A:$A,$A35,'Budget-Yixing'!M:M)</f>
        <v>16175.833333333334</v>
      </c>
      <c r="N35" s="676">
        <f ca="1">SUMIF('Budget-ACPL'!$A:$A,$A35,'Budget-ACPL'!N:N)+SUMIF('Budget-ACPLHK'!$A:$A,$A35,'Budget-ACPLHK'!N:N)+SUMIF('Budget-ACPSZL'!$A:$A,$A35,'Budget-ACPSZL'!N:N)+SUMIF('Budget-ACPLSZ'!$A:$A,$A35,'Budget-ACPLSZ'!N:N)+SUMIF('Budget-ACPLGZ'!$A:$A,$A35,'Budget-ACPLGZ'!N:N)+SUMIF('Budget-Yixing'!$A:$A,$A35,'Budget-Yixing'!N:N)</f>
        <v>16175.833333333334</v>
      </c>
      <c r="O35" s="676">
        <f ca="1">SUMIF('Budget-ACPL'!$A:$A,$A35,'Budget-ACPL'!O:O)+SUMIF('Budget-ACPLHK'!$A:$A,$A35,'Budget-ACPLHK'!O:O)+SUMIF('Budget-ACPSZL'!$A:$A,$A35,'Budget-ACPSZL'!O:O)+SUMIF('Budget-ACPLSZ'!$A:$A,$A35,'Budget-ACPLSZ'!O:O)+SUMIF('Budget-ACPLGZ'!$A:$A,$A35,'Budget-ACPLGZ'!O:O)+SUMIF('Budget-Yixing'!$A:$A,$A35,'Budget-Yixing'!O:O)</f>
        <v>16175.833333333334</v>
      </c>
      <c r="P35" s="676">
        <f ca="1">SUMIF('Budget-ACPL'!$A:$A,$A35,'Budget-ACPL'!P:P)+SUMIF('Budget-ACPLHK'!$A:$A,$A35,'Budget-ACPLHK'!P:P)+SUMIF('Budget-ACPSZL'!$A:$A,$A35,'Budget-ACPSZL'!P:P)+SUMIF('Budget-ACPLSZ'!$A:$A,$A35,'Budget-ACPLSZ'!P:P)+SUMIF('Budget-ACPLGZ'!$A:$A,$A35,'Budget-ACPLGZ'!P:P)+SUMIF('Budget-Yixing'!$A:$A,$A35,'Budget-Yixing'!P:P)</f>
        <v>16175.833333333334</v>
      </c>
      <c r="Q35" s="676">
        <f ca="1">SUMIF('Budget-ACPL'!$A:$A,$A35,'Budget-ACPL'!Q:Q)+SUMIF('Budget-ACPLHK'!$A:$A,$A35,'Budget-ACPLHK'!Q:Q)+SUMIF('Budget-ACPSZL'!$A:$A,$A35,'Budget-ACPSZL'!Q:Q)+SUMIF('Budget-ACPLSZ'!$A:$A,$A35,'Budget-ACPLSZ'!Q:Q)+SUMIF('Budget-ACPLGZ'!$A:$A,$A35,'Budget-ACPLGZ'!Q:Q)+SUMIF('Budget-Yixing'!$A:$A,$A35,'Budget-Yixing'!Q:Q)</f>
        <v>16175.833333333334</v>
      </c>
      <c r="R35" s="676">
        <f ca="1">SUMIF('Budget-ACPL'!$A:$A,$A35,'Budget-ACPL'!R:R)+SUMIF('Budget-ACPLHK'!$A:$A,$A35,'Budget-ACPLHK'!R:R)+SUMIF('Budget-ACPSZL'!$A:$A,$A35,'Budget-ACPSZL'!R:R)+SUMIF('Budget-ACPLSZ'!$A:$A,$A35,'Budget-ACPLSZ'!R:R)+SUMIF('Budget-ACPLGZ'!$A:$A,$A35,'Budget-ACPLGZ'!R:R)+SUMIF('Budget-Yixing'!$A:$A,$A35,'Budget-Yixing'!R:R)</f>
        <v>16175.833333333334</v>
      </c>
      <c r="S35" s="676">
        <f ca="1">SUMIF('Budget-ACPL'!$A:$A,$A35,'Budget-ACPL'!S:S)+SUMIF('Budget-ACPLHK'!$A:$A,$A35,'Budget-ACPLHK'!S:S)+SUMIF('Budget-ACPSZL'!$A:$A,$A35,'Budget-ACPSZL'!S:S)+SUMIF('Budget-ACPLSZ'!$A:$A,$A35,'Budget-ACPLSZ'!S:S)+SUMIF('Budget-ACPLGZ'!$A:$A,$A35,'Budget-ACPLGZ'!S:S)+SUMIF('Budget-Yixing'!$A:$A,$A35,'Budget-Yixing'!S:S)</f>
        <v>16175.833333333334</v>
      </c>
      <c r="T35" s="676">
        <f ca="1">SUMIF('Budget-ACPL'!$A:$A,$A35,'Budget-ACPL'!T:T)+SUMIF('Budget-ACPLHK'!$A:$A,$A35,'Budget-ACPLHK'!T:T)+SUMIF('Budget-ACPSZL'!$A:$A,$A35,'Budget-ACPSZL'!T:T)+SUMIF('Budget-ACPLSZ'!$A:$A,$A35,'Budget-ACPLSZ'!T:T)+SUMIF('Budget-ACPLGZ'!$A:$A,$A35,'Budget-ACPLGZ'!T:T)+SUMIF('Budget-Yixing'!$A:$A,$A35,'Budget-Yixing'!T:T)</f>
        <v>16175.833333333334</v>
      </c>
      <c r="U35" s="676">
        <f ca="1">SUMIF('Budget-ACPL'!$A:$A,$A35,'Budget-ACPL'!U:U)+SUMIF('Budget-ACPLHK'!$A:$A,$A35,'Budget-ACPLHK'!U:U)+SUMIF('Budget-ACPSZL'!$A:$A,$A35,'Budget-ACPSZL'!U:U)+SUMIF('Budget-ACPLSZ'!$A:$A,$A35,'Budget-ACPLSZ'!U:U)+SUMIF('Budget-ACPLGZ'!$A:$A,$A35,'Budget-ACPLGZ'!U:U)+SUMIF('Budget-Yixing'!$A:$A,$A35,'Budget-Yixing'!U:U)</f>
        <v>16175.833333333334</v>
      </c>
      <c r="V35" s="676">
        <f ca="1">SUMIF('Budget-ACPL'!$A:$A,$A35,'Budget-ACPL'!V:V)+SUMIF('Budget-ACPLHK'!$A:$A,$A35,'Budget-ACPLHK'!V:V)+SUMIF('Budget-ACPSZL'!$A:$A,$A35,'Budget-ACPSZL'!V:V)+SUMIF('Budget-ACPLSZ'!$A:$A,$A35,'Budget-ACPLSZ'!V:V)+SUMIF('Budget-ACPLGZ'!$A:$A,$A35,'Budget-ACPLGZ'!V:V)+SUMIF('Budget-Yixing'!$A:$A,$A35,'Budget-Yixing'!V:V)</f>
        <v>16175.833333333334</v>
      </c>
      <c r="W35" s="676">
        <f t="shared" ca="1" si="23"/>
        <v>194142.45833333334</v>
      </c>
      <c r="Y35" s="688">
        <f ca="1">SUMIF('Budget-ACPL'!$A:$A,$A35,'Budget-ACPL'!Y:Y)+SUMIF('Budget-ACPLHK'!$A:$A,$A35,'Budget-ACPLHK'!Y:Y)+SUMIF('Budget-ACPSZL'!$A:$A,$A35,'Budget-ACPSZL'!Y:Y)+SUMIF('Budget-ACPLSZ'!$A:$A,$A35,'Budget-ACPLSZ'!Y:Y)+SUMIF('Budget-ACPLGZ'!$A:$A,$A35,'Budget-ACPLGZ'!Y:Y)+SUMIF('Budget-Yixing'!$A:$A,$A35,'Budget-Yixing'!Y:Y)</f>
        <v>9184</v>
      </c>
      <c r="Z35" s="688">
        <f ca="1">SUMIF('Budget-ACPL'!$A:$A,$A35,'Budget-ACPL'!Z:Z)+SUMIF('Budget-ACPLHK'!$A:$A,$A35,'Budget-ACPLHK'!Z:Z)+SUMIF('Budget-ACPSZL'!$A:$A,$A35,'Budget-ACPSZL'!Z:Z)+SUMIF('Budget-ACPLSZ'!$A:$A,$A35,'Budget-ACPLSZ'!Z:Z)+SUMIF('Budget-ACPLGZ'!$A:$A,$A35,'Budget-ACPLGZ'!Z:Z)+SUMIF('Budget-Yixing'!$A:$A,$A35,'Budget-Yixing'!Z:Z)</f>
        <v>5695.45</v>
      </c>
      <c r="AA35" s="688">
        <f ca="1">SUMIF('Budget-ACPL'!$A:$A,$A35,'Budget-ACPL'!AA:AA)+SUMIF('Budget-ACPLHK'!$A:$A,$A35,'Budget-ACPLHK'!AA:AA)+SUMIF('Budget-ACPSZL'!$A:$A,$A35,'Budget-ACPSZL'!AA:AA)+SUMIF('Budget-ACPLSZ'!$A:$A,$A35,'Budget-ACPLSZ'!AA:AA)+SUMIF('Budget-ACPLGZ'!$A:$A,$A35,'Budget-ACPLGZ'!AA:AA)+SUMIF('Budget-Yixing'!$A:$A,$A35,'Budget-Yixing'!AA:AA)</f>
        <v>6288.89</v>
      </c>
      <c r="AB35" s="688">
        <f ca="1">SUMIF('Budget-ACPL'!$A:$A,$A35,'Budget-ACPL'!AB:AB)+SUMIF('Budget-ACPLHK'!$A:$A,$A35,'Budget-ACPLHK'!AB:AB)+SUMIF('Budget-ACPSZL'!$A:$A,$A35,'Budget-ACPSZL'!AB:AB)+SUMIF('Budget-ACPLSZ'!$A:$A,$A35,'Budget-ACPLSZ'!AB:AB)+SUMIF('Budget-ACPLGZ'!$A:$A,$A35,'Budget-ACPLGZ'!AB:AB)+SUMIF('Budget-Yixing'!$A:$A,$A35,'Budget-Yixing'!AB:AB)</f>
        <v>0</v>
      </c>
      <c r="AC35" s="688">
        <f ca="1">SUMIF('Budget-ACPL'!$A:$A,$A35,'Budget-ACPL'!AC:AC)+SUMIF('Budget-ACPLHK'!$A:$A,$A35,'Budget-ACPLHK'!AC:AC)+SUMIF('Budget-ACPSZL'!$A:$A,$A35,'Budget-ACPSZL'!AC:AC)+SUMIF('Budget-ACPLSZ'!$A:$A,$A35,'Budget-ACPLSZ'!AC:AC)+SUMIF('Budget-ACPLGZ'!$A:$A,$A35,'Budget-ACPLGZ'!AC:AC)+SUMIF('Budget-Yixing'!$A:$A,$A35,'Budget-Yixing'!AC:AC)</f>
        <v>1492</v>
      </c>
      <c r="AD35" s="688">
        <f ca="1">SUMIF('Budget-ACPL'!$A:$A,$A35,'Budget-ACPL'!AD:AD)+SUMIF('Budget-ACPLHK'!$A:$A,$A35,'Budget-ACPLHK'!AD:AD)+SUMIF('Budget-ACPSZL'!$A:$A,$A35,'Budget-ACPSZL'!AD:AD)+SUMIF('Budget-ACPLSZ'!$A:$A,$A35,'Budget-ACPLSZ'!AD:AD)+SUMIF('Budget-ACPLGZ'!$A:$A,$A35,'Budget-ACPLGZ'!AD:AD)+SUMIF('Budget-Yixing'!$A:$A,$A35,'Budget-Yixing'!AD:AD)</f>
        <v>0</v>
      </c>
      <c r="AE35" s="688">
        <f ca="1">SUMIF('Budget-ACPL'!$A:$A,$A35,'Budget-ACPL'!AE:AE)+SUMIF('Budget-ACPLHK'!$A:$A,$A35,'Budget-ACPLHK'!AE:AE)+SUMIF('Budget-ACPSZL'!$A:$A,$A35,'Budget-ACPSZL'!AE:AE)+SUMIF('Budget-ACPLSZ'!$A:$A,$A35,'Budget-ACPLSZ'!AE:AE)+SUMIF('Budget-ACPLGZ'!$A:$A,$A35,'Budget-ACPLGZ'!AE:AE)+SUMIF('Budget-Yixing'!$A:$A,$A35,'Budget-Yixing'!AE:AE)</f>
        <v>8298.5400000000009</v>
      </c>
      <c r="AF35" s="688">
        <f ca="1">SUMIF('Budget-ACPL'!$A:$A,$A35,'Budget-ACPL'!AF:AF)+SUMIF('Budget-ACPLHK'!$A:$A,$A35,'Budget-ACPLHK'!AF:AF)+SUMIF('Budget-ACPSZL'!$A:$A,$A35,'Budget-ACPSZL'!AF:AF)+SUMIF('Budget-ACPLSZ'!$A:$A,$A35,'Budget-ACPLSZ'!AF:AF)+SUMIF('Budget-ACPLGZ'!$A:$A,$A35,'Budget-ACPLGZ'!AF:AF)+SUMIF('Budget-Yixing'!$A:$A,$A35,'Budget-Yixing'!AF:AF)</f>
        <v>155.63</v>
      </c>
      <c r="AG35" s="688">
        <f ca="1">SUMIF('Budget-ACPL'!$A:$A,$A35,'Budget-ACPL'!AG:AG)+SUMIF('Budget-ACPLHK'!$A:$A,$A35,'Budget-ACPLHK'!AG:AG)+SUMIF('Budget-ACPSZL'!$A:$A,$A35,'Budget-ACPSZL'!AG:AG)+SUMIF('Budget-ACPLSZ'!$A:$A,$A35,'Budget-ACPLSZ'!AG:AG)+SUMIF('Budget-ACPLGZ'!$A:$A,$A35,'Budget-ACPLGZ'!AG:AG)+SUMIF('Budget-Yixing'!$A:$A,$A35,'Budget-Yixing'!AG:AG)</f>
        <v>4415.84</v>
      </c>
      <c r="AH35" s="688">
        <f ca="1">SUMIF('Budget-ACPL'!$A:$A,$A35,'Budget-ACPL'!AH:AH)+SUMIF('Budget-ACPLHK'!$A:$A,$A35,'Budget-ACPLHK'!AH:AH)+SUMIF('Budget-ACPSZL'!$A:$A,$A35,'Budget-ACPSZL'!AH:AH)+SUMIF('Budget-ACPLSZ'!$A:$A,$A35,'Budget-ACPLSZ'!AH:AH)+SUMIF('Budget-ACPLGZ'!$A:$A,$A35,'Budget-ACPLGZ'!AH:AH)+SUMIF('Budget-Yixing'!$A:$A,$A35,'Budget-Yixing'!AH:AH)</f>
        <v>7892.66</v>
      </c>
      <c r="AI35" s="688">
        <f ca="1">SUMIF('Budget-ACPL'!$A:$A,$A35,'Budget-ACPL'!AI:AI)+SUMIF('Budget-ACPLHK'!$A:$A,$A35,'Budget-ACPLHK'!AI:AI)+SUMIF('Budget-ACPSZL'!$A:$A,$A35,'Budget-ACPSZL'!AI:AI)+SUMIF('Budget-ACPLSZ'!$A:$A,$A35,'Budget-ACPLSZ'!AI:AI)+SUMIF('Budget-ACPLGZ'!$A:$A,$A35,'Budget-ACPLGZ'!AI:AI)+SUMIF('Budget-Yixing'!$A:$A,$A35,'Budget-Yixing'!AI:AI)</f>
        <v>2639</v>
      </c>
      <c r="AJ35" s="688">
        <f ca="1">SUMIF('Budget-ACPL'!$A:$A,$A35,'Budget-ACPL'!AJ:AJ)+SUMIF('Budget-ACPLHK'!$A:$A,$A35,'Budget-ACPLHK'!AJ:AJ)+SUMIF('Budget-ACPSZL'!$A:$A,$A35,'Budget-ACPSZL'!AJ:AJ)+SUMIF('Budget-ACPLSZ'!$A:$A,$A35,'Budget-ACPLSZ'!AJ:AJ)+SUMIF('Budget-ACPLGZ'!$A:$A,$A35,'Budget-ACPLGZ'!AJ:AJ)+SUMIF('Budget-Yixing'!$A:$A,$A35,'Budget-Yixing'!AJ:AJ)</f>
        <v>5438.1</v>
      </c>
      <c r="AK35" s="688">
        <f t="shared" ca="1" si="22"/>
        <v>51500.110000000008</v>
      </c>
    </row>
    <row r="36" spans="1:37" ht="13.5" customHeight="1">
      <c r="A36" s="713" t="s">
        <v>1485</v>
      </c>
      <c r="B36" s="687" t="str">
        <f>VLOOKUP(A36,Account!A:B,2,0)</f>
        <v>体检费</v>
      </c>
      <c r="C36" s="687">
        <f>VLOOKUP(A36,Account!A:F,4,0)</f>
        <v>0</v>
      </c>
      <c r="D36" s="676">
        <f t="shared" ca="1" si="18"/>
        <v>1750</v>
      </c>
      <c r="E36" s="676" t="e">
        <f t="shared" si="13"/>
        <v>#N/A</v>
      </c>
      <c r="F36" s="676" t="e">
        <f t="shared" ca="1" si="14"/>
        <v>#N/A</v>
      </c>
      <c r="G36" s="676">
        <f t="shared" ca="1" si="19"/>
        <v>1750</v>
      </c>
      <c r="H36" s="676" t="e">
        <f t="shared" ca="1" si="20"/>
        <v>#N/A</v>
      </c>
      <c r="I36" s="676" t="e">
        <f t="shared" ca="1" si="15"/>
        <v>#N/A</v>
      </c>
      <c r="K36" s="676">
        <f ca="1">SUMIF('Budget-ACPL'!$A:$A,$A36,'Budget-ACPL'!K:K)+SUMIF('Budget-ACPLHK'!$A:$A,$A36,'Budget-ACPLHK'!K:K)+SUMIF('Budget-ACPSZL'!$A:$A,$A36,'Budget-ACPSZL'!K:K)+SUMIF('Budget-ACPLSZ'!$A:$A,$A36,'Budget-ACPLSZ'!K:K)+SUMIF('Budget-ACPLGZ'!$A:$A,$A36,'Budget-ACPLGZ'!K:K)+SUMIF('Budget-Yixing'!$A:$A,$A36,'Budget-Yixing'!K:K)</f>
        <v>1750</v>
      </c>
      <c r="L36" s="676">
        <f ca="1">SUMIF('Budget-ACPL'!$A:$A,$A36,'Budget-ACPL'!L:L)+SUMIF('Budget-ACPLHK'!$A:$A,$A36,'Budget-ACPLHK'!L:L)+SUMIF('Budget-ACPSZL'!$A:$A,$A36,'Budget-ACPSZL'!L:L)+SUMIF('Budget-ACPLSZ'!$A:$A,$A36,'Budget-ACPLSZ'!L:L)+SUMIF('Budget-ACPLGZ'!$A:$A,$A36,'Budget-ACPLGZ'!L:L)+SUMIF('Budget-Yixing'!$A:$A,$A36,'Budget-Yixing'!L:L)</f>
        <v>1750</v>
      </c>
      <c r="M36" s="676">
        <f ca="1">SUMIF('Budget-ACPL'!$A:$A,$A36,'Budget-ACPL'!M:M)+SUMIF('Budget-ACPLHK'!$A:$A,$A36,'Budget-ACPLHK'!M:M)+SUMIF('Budget-ACPSZL'!$A:$A,$A36,'Budget-ACPSZL'!M:M)+SUMIF('Budget-ACPLSZ'!$A:$A,$A36,'Budget-ACPLSZ'!M:M)+SUMIF('Budget-ACPLGZ'!$A:$A,$A36,'Budget-ACPLGZ'!M:M)+SUMIF('Budget-Yixing'!$A:$A,$A36,'Budget-Yixing'!M:M)</f>
        <v>1750</v>
      </c>
      <c r="N36" s="676">
        <f ca="1">SUMIF('Budget-ACPL'!$A:$A,$A36,'Budget-ACPL'!N:N)+SUMIF('Budget-ACPLHK'!$A:$A,$A36,'Budget-ACPLHK'!N:N)+SUMIF('Budget-ACPSZL'!$A:$A,$A36,'Budget-ACPSZL'!N:N)+SUMIF('Budget-ACPLSZ'!$A:$A,$A36,'Budget-ACPLSZ'!N:N)+SUMIF('Budget-ACPLGZ'!$A:$A,$A36,'Budget-ACPLGZ'!N:N)+SUMIF('Budget-Yixing'!$A:$A,$A36,'Budget-Yixing'!N:N)</f>
        <v>1750</v>
      </c>
      <c r="O36" s="676">
        <f ca="1">SUMIF('Budget-ACPL'!$A:$A,$A36,'Budget-ACPL'!O:O)+SUMIF('Budget-ACPLHK'!$A:$A,$A36,'Budget-ACPLHK'!O:O)+SUMIF('Budget-ACPSZL'!$A:$A,$A36,'Budget-ACPSZL'!O:O)+SUMIF('Budget-ACPLSZ'!$A:$A,$A36,'Budget-ACPLSZ'!O:O)+SUMIF('Budget-ACPLGZ'!$A:$A,$A36,'Budget-ACPLGZ'!O:O)+SUMIF('Budget-Yixing'!$A:$A,$A36,'Budget-Yixing'!O:O)</f>
        <v>1750</v>
      </c>
      <c r="P36" s="676">
        <f ca="1">SUMIF('Budget-ACPL'!$A:$A,$A36,'Budget-ACPL'!P:P)+SUMIF('Budget-ACPLHK'!$A:$A,$A36,'Budget-ACPLHK'!P:P)+SUMIF('Budget-ACPSZL'!$A:$A,$A36,'Budget-ACPSZL'!P:P)+SUMIF('Budget-ACPLSZ'!$A:$A,$A36,'Budget-ACPLSZ'!P:P)+SUMIF('Budget-ACPLGZ'!$A:$A,$A36,'Budget-ACPLGZ'!P:P)+SUMIF('Budget-Yixing'!$A:$A,$A36,'Budget-Yixing'!P:P)</f>
        <v>1750</v>
      </c>
      <c r="Q36" s="676">
        <f ca="1">SUMIF('Budget-ACPL'!$A:$A,$A36,'Budget-ACPL'!Q:Q)+SUMIF('Budget-ACPLHK'!$A:$A,$A36,'Budget-ACPLHK'!Q:Q)+SUMIF('Budget-ACPSZL'!$A:$A,$A36,'Budget-ACPSZL'!Q:Q)+SUMIF('Budget-ACPLSZ'!$A:$A,$A36,'Budget-ACPLSZ'!Q:Q)+SUMIF('Budget-ACPLGZ'!$A:$A,$A36,'Budget-ACPLGZ'!Q:Q)+SUMIF('Budget-Yixing'!$A:$A,$A36,'Budget-Yixing'!Q:Q)</f>
        <v>1750</v>
      </c>
      <c r="R36" s="676">
        <f ca="1">SUMIF('Budget-ACPL'!$A:$A,$A36,'Budget-ACPL'!R:R)+SUMIF('Budget-ACPLHK'!$A:$A,$A36,'Budget-ACPLHK'!R:R)+SUMIF('Budget-ACPSZL'!$A:$A,$A36,'Budget-ACPSZL'!R:R)+SUMIF('Budget-ACPLSZ'!$A:$A,$A36,'Budget-ACPLSZ'!R:R)+SUMIF('Budget-ACPLGZ'!$A:$A,$A36,'Budget-ACPLGZ'!R:R)+SUMIF('Budget-Yixing'!$A:$A,$A36,'Budget-Yixing'!R:R)</f>
        <v>1750</v>
      </c>
      <c r="S36" s="676">
        <f ca="1">SUMIF('Budget-ACPL'!$A:$A,$A36,'Budget-ACPL'!S:S)+SUMIF('Budget-ACPLHK'!$A:$A,$A36,'Budget-ACPLHK'!S:S)+SUMIF('Budget-ACPSZL'!$A:$A,$A36,'Budget-ACPSZL'!S:S)+SUMIF('Budget-ACPLSZ'!$A:$A,$A36,'Budget-ACPLSZ'!S:S)+SUMIF('Budget-ACPLGZ'!$A:$A,$A36,'Budget-ACPLGZ'!S:S)+SUMIF('Budget-Yixing'!$A:$A,$A36,'Budget-Yixing'!S:S)</f>
        <v>1750</v>
      </c>
      <c r="T36" s="676">
        <f ca="1">SUMIF('Budget-ACPL'!$A:$A,$A36,'Budget-ACPL'!T:T)+SUMIF('Budget-ACPLHK'!$A:$A,$A36,'Budget-ACPLHK'!T:T)+SUMIF('Budget-ACPSZL'!$A:$A,$A36,'Budget-ACPSZL'!T:T)+SUMIF('Budget-ACPLSZ'!$A:$A,$A36,'Budget-ACPLSZ'!T:T)+SUMIF('Budget-ACPLGZ'!$A:$A,$A36,'Budget-ACPLGZ'!T:T)+SUMIF('Budget-Yixing'!$A:$A,$A36,'Budget-Yixing'!T:T)</f>
        <v>1750</v>
      </c>
      <c r="U36" s="676">
        <f ca="1">SUMIF('Budget-ACPL'!$A:$A,$A36,'Budget-ACPL'!U:U)+SUMIF('Budget-ACPLHK'!$A:$A,$A36,'Budget-ACPLHK'!U:U)+SUMIF('Budget-ACPSZL'!$A:$A,$A36,'Budget-ACPSZL'!U:U)+SUMIF('Budget-ACPLSZ'!$A:$A,$A36,'Budget-ACPLSZ'!U:U)+SUMIF('Budget-ACPLGZ'!$A:$A,$A36,'Budget-ACPLGZ'!U:U)+SUMIF('Budget-Yixing'!$A:$A,$A36,'Budget-Yixing'!U:U)</f>
        <v>1750</v>
      </c>
      <c r="V36" s="676">
        <f ca="1">SUMIF('Budget-ACPL'!$A:$A,$A36,'Budget-ACPL'!V:V)+SUMIF('Budget-ACPLHK'!$A:$A,$A36,'Budget-ACPLHK'!V:V)+SUMIF('Budget-ACPSZL'!$A:$A,$A36,'Budget-ACPSZL'!V:V)+SUMIF('Budget-ACPLSZ'!$A:$A,$A36,'Budget-ACPLSZ'!V:V)+SUMIF('Budget-ACPLGZ'!$A:$A,$A36,'Budget-ACPLGZ'!V:V)+SUMIF('Budget-Yixing'!$A:$A,$A36,'Budget-Yixing'!V:V)</f>
        <v>1750</v>
      </c>
      <c r="W36" s="676">
        <f t="shared" ca="1" si="23"/>
        <v>21000</v>
      </c>
      <c r="Y36" s="688">
        <f ca="1">SUMIF('Budget-ACPL'!$A:$A,$A36,'Budget-ACPL'!Y:Y)+SUMIF('Budget-ACPLHK'!$A:$A,$A36,'Budget-ACPLHK'!Y:Y)+SUMIF('Budget-ACPSZL'!$A:$A,$A36,'Budget-ACPSZL'!Y:Y)+SUMIF('Budget-ACPLSZ'!$A:$A,$A36,'Budget-ACPLSZ'!Y:Y)+SUMIF('Budget-ACPLGZ'!$A:$A,$A36,'Budget-ACPLGZ'!Y:Y)+SUMIF('Budget-Yixing'!$A:$A,$A36,'Budget-Yixing'!Y:Y)</f>
        <v>0</v>
      </c>
      <c r="Z36" s="688">
        <f ca="1">SUMIF('Budget-ACPL'!$A:$A,$A36,'Budget-ACPL'!Z:Z)+SUMIF('Budget-ACPLHK'!$A:$A,$A36,'Budget-ACPLHK'!Z:Z)+SUMIF('Budget-ACPSZL'!$A:$A,$A36,'Budget-ACPSZL'!Z:Z)+SUMIF('Budget-ACPLSZ'!$A:$A,$A36,'Budget-ACPLSZ'!Z:Z)+SUMIF('Budget-ACPLGZ'!$A:$A,$A36,'Budget-ACPLGZ'!Z:Z)+SUMIF('Budget-Yixing'!$A:$A,$A36,'Budget-Yixing'!Z:Z)</f>
        <v>-1000</v>
      </c>
      <c r="AA36" s="688">
        <f ca="1">SUMIF('Budget-ACPL'!$A:$A,$A36,'Budget-ACPL'!AA:AA)+SUMIF('Budget-ACPLHK'!$A:$A,$A36,'Budget-ACPLHK'!AA:AA)+SUMIF('Budget-ACPSZL'!$A:$A,$A36,'Budget-ACPSZL'!AA:AA)+SUMIF('Budget-ACPLSZ'!$A:$A,$A36,'Budget-ACPLSZ'!AA:AA)+SUMIF('Budget-ACPLGZ'!$A:$A,$A36,'Budget-ACPLGZ'!AA:AA)+SUMIF('Budget-Yixing'!$A:$A,$A36,'Budget-Yixing'!AA:AA)</f>
        <v>0</v>
      </c>
      <c r="AB36" s="688">
        <f ca="1">SUMIF('Budget-ACPL'!$A:$A,$A36,'Budget-ACPL'!AB:AB)+SUMIF('Budget-ACPLHK'!$A:$A,$A36,'Budget-ACPLHK'!AB:AB)+SUMIF('Budget-ACPSZL'!$A:$A,$A36,'Budget-ACPSZL'!AB:AB)+SUMIF('Budget-ACPLSZ'!$A:$A,$A36,'Budget-ACPLSZ'!AB:AB)+SUMIF('Budget-ACPLGZ'!$A:$A,$A36,'Budget-ACPLGZ'!AB:AB)+SUMIF('Budget-Yixing'!$A:$A,$A36,'Budget-Yixing'!AB:AB)</f>
        <v>0</v>
      </c>
      <c r="AC36" s="688">
        <f ca="1">SUMIF('Budget-ACPL'!$A:$A,$A36,'Budget-ACPL'!AC:AC)+SUMIF('Budget-ACPLHK'!$A:$A,$A36,'Budget-ACPLHK'!AC:AC)+SUMIF('Budget-ACPSZL'!$A:$A,$A36,'Budget-ACPSZL'!AC:AC)+SUMIF('Budget-ACPLSZ'!$A:$A,$A36,'Budget-ACPLSZ'!AC:AC)+SUMIF('Budget-ACPLGZ'!$A:$A,$A36,'Budget-ACPLGZ'!AC:AC)+SUMIF('Budget-Yixing'!$A:$A,$A36,'Budget-Yixing'!AC:AC)</f>
        <v>0</v>
      </c>
      <c r="AD36" s="688">
        <f ca="1">SUMIF('Budget-ACPL'!$A:$A,$A36,'Budget-ACPL'!AD:AD)+SUMIF('Budget-ACPLHK'!$A:$A,$A36,'Budget-ACPLHK'!AD:AD)+SUMIF('Budget-ACPSZL'!$A:$A,$A36,'Budget-ACPSZL'!AD:AD)+SUMIF('Budget-ACPLSZ'!$A:$A,$A36,'Budget-ACPLSZ'!AD:AD)+SUMIF('Budget-ACPLGZ'!$A:$A,$A36,'Budget-ACPLGZ'!AD:AD)+SUMIF('Budget-Yixing'!$A:$A,$A36,'Budget-Yixing'!AD:AD)</f>
        <v>0</v>
      </c>
      <c r="AE36" s="688">
        <f ca="1">SUMIF('Budget-ACPL'!$A:$A,$A36,'Budget-ACPL'!AE:AE)+SUMIF('Budget-ACPLHK'!$A:$A,$A36,'Budget-ACPLHK'!AE:AE)+SUMIF('Budget-ACPSZL'!$A:$A,$A36,'Budget-ACPSZL'!AE:AE)+SUMIF('Budget-ACPLSZ'!$A:$A,$A36,'Budget-ACPLSZ'!AE:AE)+SUMIF('Budget-ACPLGZ'!$A:$A,$A36,'Budget-ACPLGZ'!AE:AE)+SUMIF('Budget-Yixing'!$A:$A,$A36,'Budget-Yixing'!AE:AE)</f>
        <v>0</v>
      </c>
      <c r="AF36" s="688">
        <f ca="1">SUMIF('Budget-ACPL'!$A:$A,$A36,'Budget-ACPL'!AF:AF)+SUMIF('Budget-ACPLHK'!$A:$A,$A36,'Budget-ACPLHK'!AF:AF)+SUMIF('Budget-ACPSZL'!$A:$A,$A36,'Budget-ACPSZL'!AF:AF)+SUMIF('Budget-ACPLSZ'!$A:$A,$A36,'Budget-ACPLSZ'!AF:AF)+SUMIF('Budget-ACPLGZ'!$A:$A,$A36,'Budget-ACPLGZ'!AF:AF)+SUMIF('Budget-Yixing'!$A:$A,$A36,'Budget-Yixing'!AF:AF)</f>
        <v>0</v>
      </c>
      <c r="AG36" s="688">
        <f ca="1">SUMIF('Budget-ACPL'!$A:$A,$A36,'Budget-ACPL'!AG:AG)+SUMIF('Budget-ACPLHK'!$A:$A,$A36,'Budget-ACPLHK'!AG:AG)+SUMIF('Budget-ACPSZL'!$A:$A,$A36,'Budget-ACPSZL'!AG:AG)+SUMIF('Budget-ACPLSZ'!$A:$A,$A36,'Budget-ACPLSZ'!AG:AG)+SUMIF('Budget-ACPLGZ'!$A:$A,$A36,'Budget-ACPLGZ'!AG:AG)+SUMIF('Budget-Yixing'!$A:$A,$A36,'Budget-Yixing'!AG:AG)</f>
        <v>0</v>
      </c>
      <c r="AH36" s="688">
        <f ca="1">SUMIF('Budget-ACPL'!$A:$A,$A36,'Budget-ACPL'!AH:AH)+SUMIF('Budget-ACPLHK'!$A:$A,$A36,'Budget-ACPLHK'!AH:AH)+SUMIF('Budget-ACPSZL'!$A:$A,$A36,'Budget-ACPSZL'!AH:AH)+SUMIF('Budget-ACPLSZ'!$A:$A,$A36,'Budget-ACPLSZ'!AH:AH)+SUMIF('Budget-ACPLGZ'!$A:$A,$A36,'Budget-ACPLGZ'!AH:AH)+SUMIF('Budget-Yixing'!$A:$A,$A36,'Budget-Yixing'!AH:AH)</f>
        <v>0</v>
      </c>
      <c r="AI36" s="688">
        <f ca="1">SUMIF('Budget-ACPL'!$A:$A,$A36,'Budget-ACPL'!AI:AI)+SUMIF('Budget-ACPLHK'!$A:$A,$A36,'Budget-ACPLHK'!AI:AI)+SUMIF('Budget-ACPSZL'!$A:$A,$A36,'Budget-ACPSZL'!AI:AI)+SUMIF('Budget-ACPLSZ'!$A:$A,$A36,'Budget-ACPLSZ'!AI:AI)+SUMIF('Budget-ACPLGZ'!$A:$A,$A36,'Budget-ACPLGZ'!AI:AI)+SUMIF('Budget-Yixing'!$A:$A,$A36,'Budget-Yixing'!AI:AI)</f>
        <v>0</v>
      </c>
      <c r="AJ36" s="688">
        <f ca="1">SUMIF('Budget-ACPL'!$A:$A,$A36,'Budget-ACPL'!AJ:AJ)+SUMIF('Budget-ACPLHK'!$A:$A,$A36,'Budget-ACPLHK'!AJ:AJ)+SUMIF('Budget-ACPSZL'!$A:$A,$A36,'Budget-ACPSZL'!AJ:AJ)+SUMIF('Budget-ACPLSZ'!$A:$A,$A36,'Budget-ACPLSZ'!AJ:AJ)+SUMIF('Budget-ACPLGZ'!$A:$A,$A36,'Budget-ACPLGZ'!AJ:AJ)+SUMIF('Budget-Yixing'!$A:$A,$A36,'Budget-Yixing'!AJ:AJ)</f>
        <v>3000</v>
      </c>
      <c r="AK36" s="688">
        <f t="shared" ca="1" si="22"/>
        <v>2000</v>
      </c>
    </row>
    <row r="37" spans="1:37" ht="13.5" customHeight="1">
      <c r="A37" s="713" t="s">
        <v>1489</v>
      </c>
      <c r="B37" s="687" t="str">
        <f>VLOOKUP(A37,Account!A:B,2,0)</f>
        <v>商业保险 - 医疗</v>
      </c>
      <c r="C37" s="687">
        <f>VLOOKUP(A37,Account!A:F,4,0)</f>
        <v>0</v>
      </c>
      <c r="D37" s="676">
        <f t="shared" ca="1" si="18"/>
        <v>20833.333333333332</v>
      </c>
      <c r="E37" s="676" t="e">
        <f t="shared" si="13"/>
        <v>#N/A</v>
      </c>
      <c r="F37" s="676" t="e">
        <f t="shared" ca="1" si="14"/>
        <v>#N/A</v>
      </c>
      <c r="G37" s="676">
        <f t="shared" ca="1" si="19"/>
        <v>20833.333333333332</v>
      </c>
      <c r="H37" s="676" t="e">
        <f t="shared" ca="1" si="20"/>
        <v>#N/A</v>
      </c>
      <c r="I37" s="676" t="e">
        <f t="shared" ca="1" si="15"/>
        <v>#N/A</v>
      </c>
      <c r="K37" s="676">
        <f ca="1">SUMIF('Budget-ACPL'!$A:$A,$A37,'Budget-ACPL'!K:K)+SUMIF('Budget-ACPLHK'!$A:$A,$A37,'Budget-ACPLHK'!K:K)+SUMIF('Budget-ACPSZL'!$A:$A,$A37,'Budget-ACPSZL'!K:K)+SUMIF('Budget-ACPLSZ'!$A:$A,$A37,'Budget-ACPLSZ'!K:K)+SUMIF('Budget-ACPLGZ'!$A:$A,$A37,'Budget-ACPLGZ'!K:K)+SUMIF('Budget-Yixing'!$A:$A,$A37,'Budget-Yixing'!K:K)</f>
        <v>20833.333333333332</v>
      </c>
      <c r="L37" s="676">
        <f ca="1">SUMIF('Budget-ACPL'!$A:$A,$A37,'Budget-ACPL'!L:L)+SUMIF('Budget-ACPLHK'!$A:$A,$A37,'Budget-ACPLHK'!L:L)+SUMIF('Budget-ACPSZL'!$A:$A,$A37,'Budget-ACPSZL'!L:L)+SUMIF('Budget-ACPLSZ'!$A:$A,$A37,'Budget-ACPLSZ'!L:L)+SUMIF('Budget-ACPLGZ'!$A:$A,$A37,'Budget-ACPLGZ'!L:L)+SUMIF('Budget-Yixing'!$A:$A,$A37,'Budget-Yixing'!L:L)</f>
        <v>20833.333333333332</v>
      </c>
      <c r="M37" s="676">
        <f ca="1">SUMIF('Budget-ACPL'!$A:$A,$A37,'Budget-ACPL'!M:M)+SUMIF('Budget-ACPLHK'!$A:$A,$A37,'Budget-ACPLHK'!M:M)+SUMIF('Budget-ACPSZL'!$A:$A,$A37,'Budget-ACPSZL'!M:M)+SUMIF('Budget-ACPLSZ'!$A:$A,$A37,'Budget-ACPLSZ'!M:M)+SUMIF('Budget-ACPLGZ'!$A:$A,$A37,'Budget-ACPLGZ'!M:M)+SUMIF('Budget-Yixing'!$A:$A,$A37,'Budget-Yixing'!M:M)</f>
        <v>20833.333333333332</v>
      </c>
      <c r="N37" s="676">
        <f ca="1">SUMIF('Budget-ACPL'!$A:$A,$A37,'Budget-ACPL'!N:N)+SUMIF('Budget-ACPLHK'!$A:$A,$A37,'Budget-ACPLHK'!N:N)+SUMIF('Budget-ACPSZL'!$A:$A,$A37,'Budget-ACPSZL'!N:N)+SUMIF('Budget-ACPLSZ'!$A:$A,$A37,'Budget-ACPLSZ'!N:N)+SUMIF('Budget-ACPLGZ'!$A:$A,$A37,'Budget-ACPLGZ'!N:N)+SUMIF('Budget-Yixing'!$A:$A,$A37,'Budget-Yixing'!N:N)</f>
        <v>20833.333333333332</v>
      </c>
      <c r="O37" s="676">
        <f ca="1">SUMIF('Budget-ACPL'!$A:$A,$A37,'Budget-ACPL'!O:O)+SUMIF('Budget-ACPLHK'!$A:$A,$A37,'Budget-ACPLHK'!O:O)+SUMIF('Budget-ACPSZL'!$A:$A,$A37,'Budget-ACPSZL'!O:O)+SUMIF('Budget-ACPLSZ'!$A:$A,$A37,'Budget-ACPLSZ'!O:O)+SUMIF('Budget-ACPLGZ'!$A:$A,$A37,'Budget-ACPLGZ'!O:O)+SUMIF('Budget-Yixing'!$A:$A,$A37,'Budget-Yixing'!O:O)</f>
        <v>20833.333333333332</v>
      </c>
      <c r="P37" s="676">
        <f ca="1">SUMIF('Budget-ACPL'!$A:$A,$A37,'Budget-ACPL'!P:P)+SUMIF('Budget-ACPLHK'!$A:$A,$A37,'Budget-ACPLHK'!P:P)+SUMIF('Budget-ACPSZL'!$A:$A,$A37,'Budget-ACPSZL'!P:P)+SUMIF('Budget-ACPLSZ'!$A:$A,$A37,'Budget-ACPLSZ'!P:P)+SUMIF('Budget-ACPLGZ'!$A:$A,$A37,'Budget-ACPLGZ'!P:P)+SUMIF('Budget-Yixing'!$A:$A,$A37,'Budget-Yixing'!P:P)</f>
        <v>20833.333333333332</v>
      </c>
      <c r="Q37" s="676">
        <f ca="1">SUMIF('Budget-ACPL'!$A:$A,$A37,'Budget-ACPL'!Q:Q)+SUMIF('Budget-ACPLHK'!$A:$A,$A37,'Budget-ACPLHK'!Q:Q)+SUMIF('Budget-ACPSZL'!$A:$A,$A37,'Budget-ACPSZL'!Q:Q)+SUMIF('Budget-ACPLSZ'!$A:$A,$A37,'Budget-ACPLSZ'!Q:Q)+SUMIF('Budget-ACPLGZ'!$A:$A,$A37,'Budget-ACPLGZ'!Q:Q)+SUMIF('Budget-Yixing'!$A:$A,$A37,'Budget-Yixing'!Q:Q)</f>
        <v>20833.333333333332</v>
      </c>
      <c r="R37" s="676">
        <f ca="1">SUMIF('Budget-ACPL'!$A:$A,$A37,'Budget-ACPL'!R:R)+SUMIF('Budget-ACPLHK'!$A:$A,$A37,'Budget-ACPLHK'!R:R)+SUMIF('Budget-ACPSZL'!$A:$A,$A37,'Budget-ACPSZL'!R:R)+SUMIF('Budget-ACPLSZ'!$A:$A,$A37,'Budget-ACPLSZ'!R:R)+SUMIF('Budget-ACPLGZ'!$A:$A,$A37,'Budget-ACPLGZ'!R:R)+SUMIF('Budget-Yixing'!$A:$A,$A37,'Budget-Yixing'!R:R)</f>
        <v>20833.333333333332</v>
      </c>
      <c r="S37" s="676">
        <f ca="1">SUMIF('Budget-ACPL'!$A:$A,$A37,'Budget-ACPL'!S:S)+SUMIF('Budget-ACPLHK'!$A:$A,$A37,'Budget-ACPLHK'!S:S)+SUMIF('Budget-ACPSZL'!$A:$A,$A37,'Budget-ACPSZL'!S:S)+SUMIF('Budget-ACPLSZ'!$A:$A,$A37,'Budget-ACPLSZ'!S:S)+SUMIF('Budget-ACPLGZ'!$A:$A,$A37,'Budget-ACPLGZ'!S:S)+SUMIF('Budget-Yixing'!$A:$A,$A37,'Budget-Yixing'!S:S)</f>
        <v>20833.333333333332</v>
      </c>
      <c r="T37" s="676">
        <f ca="1">SUMIF('Budget-ACPL'!$A:$A,$A37,'Budget-ACPL'!T:T)+SUMIF('Budget-ACPLHK'!$A:$A,$A37,'Budget-ACPLHK'!T:T)+SUMIF('Budget-ACPSZL'!$A:$A,$A37,'Budget-ACPSZL'!T:T)+SUMIF('Budget-ACPLSZ'!$A:$A,$A37,'Budget-ACPLSZ'!T:T)+SUMIF('Budget-ACPLGZ'!$A:$A,$A37,'Budget-ACPLGZ'!T:T)+SUMIF('Budget-Yixing'!$A:$A,$A37,'Budget-Yixing'!T:T)</f>
        <v>20833.333333333332</v>
      </c>
      <c r="U37" s="676">
        <f ca="1">SUMIF('Budget-ACPL'!$A:$A,$A37,'Budget-ACPL'!U:U)+SUMIF('Budget-ACPLHK'!$A:$A,$A37,'Budget-ACPLHK'!U:U)+SUMIF('Budget-ACPSZL'!$A:$A,$A37,'Budget-ACPSZL'!U:U)+SUMIF('Budget-ACPLSZ'!$A:$A,$A37,'Budget-ACPLSZ'!U:U)+SUMIF('Budget-ACPLGZ'!$A:$A,$A37,'Budget-ACPLGZ'!U:U)+SUMIF('Budget-Yixing'!$A:$A,$A37,'Budget-Yixing'!U:U)</f>
        <v>20833.333333333332</v>
      </c>
      <c r="V37" s="676">
        <f ca="1">SUMIF('Budget-ACPL'!$A:$A,$A37,'Budget-ACPL'!V:V)+SUMIF('Budget-ACPLHK'!$A:$A,$A37,'Budget-ACPLHK'!V:V)+SUMIF('Budget-ACPSZL'!$A:$A,$A37,'Budget-ACPSZL'!V:V)+SUMIF('Budget-ACPLSZ'!$A:$A,$A37,'Budget-ACPLSZ'!V:V)+SUMIF('Budget-ACPLGZ'!$A:$A,$A37,'Budget-ACPLGZ'!V:V)+SUMIF('Budget-Yixing'!$A:$A,$A37,'Budget-Yixing'!V:V)</f>
        <v>20833.333333333332</v>
      </c>
      <c r="W37" s="676">
        <f t="shared" ca="1" si="23"/>
        <v>250000.00000000003</v>
      </c>
      <c r="Y37" s="688">
        <f ca="1">SUMIF('Budget-ACPL'!$A:$A,$A37,'Budget-ACPL'!Y:Y)+SUMIF('Budget-ACPLHK'!$A:$A,$A37,'Budget-ACPLHK'!Y:Y)+SUMIF('Budget-ACPSZL'!$A:$A,$A37,'Budget-ACPSZL'!Y:Y)+SUMIF('Budget-ACPLSZ'!$A:$A,$A37,'Budget-ACPLSZ'!Y:Y)+SUMIF('Budget-ACPLGZ'!$A:$A,$A37,'Budget-ACPLGZ'!Y:Y)+SUMIF('Budget-Yixing'!$A:$A,$A37,'Budget-Yixing'!Y:Y)</f>
        <v>0</v>
      </c>
      <c r="Z37" s="688">
        <f ca="1">SUMIF('Budget-ACPL'!$A:$A,$A37,'Budget-ACPL'!Z:Z)+SUMIF('Budget-ACPLHK'!$A:$A,$A37,'Budget-ACPLHK'!Z:Z)+SUMIF('Budget-ACPSZL'!$A:$A,$A37,'Budget-ACPSZL'!Z:Z)+SUMIF('Budget-ACPLSZ'!$A:$A,$A37,'Budget-ACPLSZ'!Z:Z)+SUMIF('Budget-ACPLGZ'!$A:$A,$A37,'Budget-ACPLGZ'!Z:Z)+SUMIF('Budget-Yixing'!$A:$A,$A37,'Budget-Yixing'!Z:Z)</f>
        <v>0</v>
      </c>
      <c r="AA37" s="688">
        <f ca="1">SUMIF('Budget-ACPL'!$A:$A,$A37,'Budget-ACPL'!AA:AA)+SUMIF('Budget-ACPLHK'!$A:$A,$A37,'Budget-ACPLHK'!AA:AA)+SUMIF('Budget-ACPSZL'!$A:$A,$A37,'Budget-ACPSZL'!AA:AA)+SUMIF('Budget-ACPLSZ'!$A:$A,$A37,'Budget-ACPLSZ'!AA:AA)+SUMIF('Budget-ACPLGZ'!$A:$A,$A37,'Budget-ACPLGZ'!AA:AA)+SUMIF('Budget-Yixing'!$A:$A,$A37,'Budget-Yixing'!AA:AA)</f>
        <v>0</v>
      </c>
      <c r="AB37" s="688">
        <f ca="1">SUMIF('Budget-ACPL'!$A:$A,$A37,'Budget-ACPL'!AB:AB)+SUMIF('Budget-ACPLHK'!$A:$A,$A37,'Budget-ACPLHK'!AB:AB)+SUMIF('Budget-ACPSZL'!$A:$A,$A37,'Budget-ACPSZL'!AB:AB)+SUMIF('Budget-ACPLSZ'!$A:$A,$A37,'Budget-ACPLSZ'!AB:AB)+SUMIF('Budget-ACPLGZ'!$A:$A,$A37,'Budget-ACPLGZ'!AB:AB)+SUMIF('Budget-Yixing'!$A:$A,$A37,'Budget-Yixing'!AB:AB)</f>
        <v>0</v>
      </c>
      <c r="AC37" s="688">
        <f ca="1">SUMIF('Budget-ACPL'!$A:$A,$A37,'Budget-ACPL'!AC:AC)+SUMIF('Budget-ACPLHK'!$A:$A,$A37,'Budget-ACPLHK'!AC:AC)+SUMIF('Budget-ACPSZL'!$A:$A,$A37,'Budget-ACPSZL'!AC:AC)+SUMIF('Budget-ACPLSZ'!$A:$A,$A37,'Budget-ACPLSZ'!AC:AC)+SUMIF('Budget-ACPLGZ'!$A:$A,$A37,'Budget-ACPLGZ'!AC:AC)+SUMIF('Budget-Yixing'!$A:$A,$A37,'Budget-Yixing'!AC:AC)</f>
        <v>0</v>
      </c>
      <c r="AD37" s="688">
        <f ca="1">SUMIF('Budget-ACPL'!$A:$A,$A37,'Budget-ACPL'!AD:AD)+SUMIF('Budget-ACPLHK'!$A:$A,$A37,'Budget-ACPLHK'!AD:AD)+SUMIF('Budget-ACPSZL'!$A:$A,$A37,'Budget-ACPSZL'!AD:AD)+SUMIF('Budget-ACPLSZ'!$A:$A,$A37,'Budget-ACPLSZ'!AD:AD)+SUMIF('Budget-ACPLGZ'!$A:$A,$A37,'Budget-ACPLGZ'!AD:AD)+SUMIF('Budget-Yixing'!$A:$A,$A37,'Budget-Yixing'!AD:AD)</f>
        <v>0</v>
      </c>
      <c r="AE37" s="688">
        <f ca="1">SUMIF('Budget-ACPL'!$A:$A,$A37,'Budget-ACPL'!AE:AE)+SUMIF('Budget-ACPLHK'!$A:$A,$A37,'Budget-ACPLHK'!AE:AE)+SUMIF('Budget-ACPSZL'!$A:$A,$A37,'Budget-ACPSZL'!AE:AE)+SUMIF('Budget-ACPLSZ'!$A:$A,$A37,'Budget-ACPLSZ'!AE:AE)+SUMIF('Budget-ACPLGZ'!$A:$A,$A37,'Budget-ACPLGZ'!AE:AE)+SUMIF('Budget-Yixing'!$A:$A,$A37,'Budget-Yixing'!AE:AE)</f>
        <v>0</v>
      </c>
      <c r="AF37" s="688">
        <f ca="1">SUMIF('Budget-ACPL'!$A:$A,$A37,'Budget-ACPL'!AF:AF)+SUMIF('Budget-ACPLHK'!$A:$A,$A37,'Budget-ACPLHK'!AF:AF)+SUMIF('Budget-ACPSZL'!$A:$A,$A37,'Budget-ACPSZL'!AF:AF)+SUMIF('Budget-ACPLSZ'!$A:$A,$A37,'Budget-ACPLSZ'!AF:AF)+SUMIF('Budget-ACPLGZ'!$A:$A,$A37,'Budget-ACPLGZ'!AF:AF)+SUMIF('Budget-Yixing'!$A:$A,$A37,'Budget-Yixing'!AF:AF)</f>
        <v>0</v>
      </c>
      <c r="AG37" s="688">
        <f ca="1">SUMIF('Budget-ACPL'!$A:$A,$A37,'Budget-ACPL'!AG:AG)+SUMIF('Budget-ACPLHK'!$A:$A,$A37,'Budget-ACPLHK'!AG:AG)+SUMIF('Budget-ACPSZL'!$A:$A,$A37,'Budget-ACPSZL'!AG:AG)+SUMIF('Budget-ACPLSZ'!$A:$A,$A37,'Budget-ACPLSZ'!AG:AG)+SUMIF('Budget-ACPLGZ'!$A:$A,$A37,'Budget-ACPLGZ'!AG:AG)+SUMIF('Budget-Yixing'!$A:$A,$A37,'Budget-Yixing'!AG:AG)</f>
        <v>0</v>
      </c>
      <c r="AH37" s="688">
        <f ca="1">SUMIF('Budget-ACPL'!$A:$A,$A37,'Budget-ACPL'!AH:AH)+SUMIF('Budget-ACPLHK'!$A:$A,$A37,'Budget-ACPLHK'!AH:AH)+SUMIF('Budget-ACPSZL'!$A:$A,$A37,'Budget-ACPSZL'!AH:AH)+SUMIF('Budget-ACPLSZ'!$A:$A,$A37,'Budget-ACPLSZ'!AH:AH)+SUMIF('Budget-ACPLGZ'!$A:$A,$A37,'Budget-ACPLGZ'!AH:AH)+SUMIF('Budget-Yixing'!$A:$A,$A37,'Budget-Yixing'!AH:AH)</f>
        <v>0</v>
      </c>
      <c r="AI37" s="688">
        <f ca="1">SUMIF('Budget-ACPL'!$A:$A,$A37,'Budget-ACPL'!AI:AI)+SUMIF('Budget-ACPLHK'!$A:$A,$A37,'Budget-ACPLHK'!AI:AI)+SUMIF('Budget-ACPSZL'!$A:$A,$A37,'Budget-ACPSZL'!AI:AI)+SUMIF('Budget-ACPLSZ'!$A:$A,$A37,'Budget-ACPLSZ'!AI:AI)+SUMIF('Budget-ACPLGZ'!$A:$A,$A37,'Budget-ACPLGZ'!AI:AI)+SUMIF('Budget-Yixing'!$A:$A,$A37,'Budget-Yixing'!AI:AI)</f>
        <v>0</v>
      </c>
      <c r="AJ37" s="688">
        <f ca="1">SUMIF('Budget-ACPL'!$A:$A,$A37,'Budget-ACPL'!AJ:AJ)+SUMIF('Budget-ACPLHK'!$A:$A,$A37,'Budget-ACPLHK'!AJ:AJ)+SUMIF('Budget-ACPSZL'!$A:$A,$A37,'Budget-ACPSZL'!AJ:AJ)+SUMIF('Budget-ACPLSZ'!$A:$A,$A37,'Budget-ACPLSZ'!AJ:AJ)+SUMIF('Budget-ACPLGZ'!$A:$A,$A37,'Budget-ACPLGZ'!AJ:AJ)+SUMIF('Budget-Yixing'!$A:$A,$A37,'Budget-Yixing'!AJ:AJ)</f>
        <v>0</v>
      </c>
      <c r="AK37" s="688">
        <f t="shared" ca="1" si="22"/>
        <v>0</v>
      </c>
    </row>
    <row r="38" spans="1:37" ht="13.5" customHeight="1">
      <c r="A38" s="716" t="s">
        <v>1493</v>
      </c>
      <c r="B38" s="717" t="str">
        <f>VLOOKUP(A38,Account!A:B,2,0)</f>
        <v>社保公积金</v>
      </c>
      <c r="C38" s="687">
        <f>VLOOKUP(A38,Account!A:F,4,0)</f>
        <v>0</v>
      </c>
      <c r="D38" s="676">
        <f t="shared" ca="1" si="18"/>
        <v>125846.18800000002</v>
      </c>
      <c r="E38" s="676" t="e">
        <f t="shared" si="13"/>
        <v>#N/A</v>
      </c>
      <c r="F38" s="676" t="e">
        <f t="shared" ca="1" si="14"/>
        <v>#N/A</v>
      </c>
      <c r="G38" s="676">
        <f t="shared" ca="1" si="19"/>
        <v>125846.18800000002</v>
      </c>
      <c r="H38" s="676" t="e">
        <f t="shared" ca="1" si="20"/>
        <v>#N/A</v>
      </c>
      <c r="I38" s="676" t="e">
        <f t="shared" ca="1" si="15"/>
        <v>#N/A</v>
      </c>
      <c r="K38" s="676">
        <f ca="1">SUMIF('Budget-ACPL'!$A:$A,$A38,'Budget-ACPL'!K:K)+SUMIF('Budget-ACPLHK'!$A:$A,$A38,'Budget-ACPLHK'!K:K)+SUMIF('Budget-ACPSZL'!$A:$A,$A38,'Budget-ACPSZL'!K:K)+SUMIF('Budget-ACPLSZ'!$A:$A,$A38,'Budget-ACPLSZ'!K:K)+SUMIF('Budget-ACPLGZ'!$A:$A,$A38,'Budget-ACPLGZ'!K:K)+SUMIF('Budget-Yixing'!$A:$A,$A38,'Budget-Yixing'!K:K)</f>
        <v>125846.18800000002</v>
      </c>
      <c r="L38" s="676">
        <f ca="1">SUMIF('Budget-ACPL'!$A:$A,$A38,'Budget-ACPL'!L:L)+SUMIF('Budget-ACPLHK'!$A:$A,$A38,'Budget-ACPLHK'!L:L)+SUMIF('Budget-ACPSZL'!$A:$A,$A38,'Budget-ACPSZL'!L:L)+SUMIF('Budget-ACPLSZ'!$A:$A,$A38,'Budget-ACPLSZ'!L:L)+SUMIF('Budget-ACPLGZ'!$A:$A,$A38,'Budget-ACPLGZ'!L:L)+SUMIF('Budget-Yixing'!$A:$A,$A38,'Budget-Yixing'!L:L)</f>
        <v>136570.51800000004</v>
      </c>
      <c r="M38" s="676">
        <f ca="1">SUMIF('Budget-ACPL'!$A:$A,$A38,'Budget-ACPL'!M:M)+SUMIF('Budget-ACPLHK'!$A:$A,$A38,'Budget-ACPLHK'!M:M)+SUMIF('Budget-ACPSZL'!$A:$A,$A38,'Budget-ACPSZL'!M:M)+SUMIF('Budget-ACPLSZ'!$A:$A,$A38,'Budget-ACPLSZ'!M:M)+SUMIF('Budget-ACPLGZ'!$A:$A,$A38,'Budget-ACPLGZ'!M:M)+SUMIF('Budget-Yixing'!$A:$A,$A38,'Budget-Yixing'!M:M)</f>
        <v>126588.40800000001</v>
      </c>
      <c r="N38" s="676">
        <f ca="1">SUMIF('Budget-ACPL'!$A:$A,$A38,'Budget-ACPL'!N:N)+SUMIF('Budget-ACPLHK'!$A:$A,$A38,'Budget-ACPLHK'!N:N)+SUMIF('Budget-ACPSZL'!$A:$A,$A38,'Budget-ACPSZL'!N:N)+SUMIF('Budget-ACPLSZ'!$A:$A,$A38,'Budget-ACPLSZ'!N:N)+SUMIF('Budget-ACPLGZ'!$A:$A,$A38,'Budget-ACPLGZ'!N:N)+SUMIF('Budget-Yixing'!$A:$A,$A38,'Budget-Yixing'!N:N)</f>
        <v>141179.64500000002</v>
      </c>
      <c r="O38" s="676">
        <f ca="1">SUMIF('Budget-ACPL'!$A:$A,$A38,'Budget-ACPL'!O:O)+SUMIF('Budget-ACPLHK'!$A:$A,$A38,'Budget-ACPLHK'!O:O)+SUMIF('Budget-ACPSZL'!$A:$A,$A38,'Budget-ACPSZL'!O:O)+SUMIF('Budget-ACPLSZ'!$A:$A,$A38,'Budget-ACPLSZ'!O:O)+SUMIF('Budget-ACPLGZ'!$A:$A,$A38,'Budget-ACPLGZ'!O:O)+SUMIF('Budget-Yixing'!$A:$A,$A38,'Budget-Yixing'!O:O)</f>
        <v>186172.65500000003</v>
      </c>
      <c r="P38" s="676">
        <f ca="1">SUMIF('Budget-ACPL'!$A:$A,$A38,'Budget-ACPL'!P:P)+SUMIF('Budget-ACPLHK'!$A:$A,$A38,'Budget-ACPLHK'!P:P)+SUMIF('Budget-ACPSZL'!$A:$A,$A38,'Budget-ACPSZL'!P:P)+SUMIF('Budget-ACPLSZ'!$A:$A,$A38,'Budget-ACPLSZ'!P:P)+SUMIF('Budget-ACPLGZ'!$A:$A,$A38,'Budget-ACPLGZ'!P:P)+SUMIF('Budget-Yixing'!$A:$A,$A38,'Budget-Yixing'!P:P)</f>
        <v>185725.65500000003</v>
      </c>
      <c r="Q38" s="676">
        <f ca="1">SUMIF('Budget-ACPL'!$A:$A,$A38,'Budget-ACPL'!Q:Q)+SUMIF('Budget-ACPLHK'!$A:$A,$A38,'Budget-ACPLHK'!Q:Q)+SUMIF('Budget-ACPSZL'!$A:$A,$A38,'Budget-ACPSZL'!Q:Q)+SUMIF('Budget-ACPLSZ'!$A:$A,$A38,'Budget-ACPLSZ'!Q:Q)+SUMIF('Budget-ACPLGZ'!$A:$A,$A38,'Budget-ACPLGZ'!Q:Q)+SUMIF('Budget-Yixing'!$A:$A,$A38,'Budget-Yixing'!Q:Q)</f>
        <v>186172.65500000003</v>
      </c>
      <c r="R38" s="676">
        <f ca="1">SUMIF('Budget-ACPL'!$A:$A,$A38,'Budget-ACPL'!R:R)+SUMIF('Budget-ACPLHK'!$A:$A,$A38,'Budget-ACPLHK'!R:R)+SUMIF('Budget-ACPSZL'!$A:$A,$A38,'Budget-ACPSZL'!R:R)+SUMIF('Budget-ACPLSZ'!$A:$A,$A38,'Budget-ACPLSZ'!R:R)+SUMIF('Budget-ACPLGZ'!$A:$A,$A38,'Budget-ACPLGZ'!R:R)+SUMIF('Budget-Yixing'!$A:$A,$A38,'Budget-Yixing'!R:R)</f>
        <v>192241.65500000003</v>
      </c>
      <c r="S38" s="676">
        <f ca="1">SUMIF('Budget-ACPL'!$A:$A,$A38,'Budget-ACPL'!S:S)+SUMIF('Budget-ACPLHK'!$A:$A,$A38,'Budget-ACPLHK'!S:S)+SUMIF('Budget-ACPSZL'!$A:$A,$A38,'Budget-ACPSZL'!S:S)+SUMIF('Budget-ACPLSZ'!$A:$A,$A38,'Budget-ACPLSZ'!S:S)+SUMIF('Budget-ACPLGZ'!$A:$A,$A38,'Budget-ACPLGZ'!S:S)+SUMIF('Budget-Yixing'!$A:$A,$A38,'Budget-Yixing'!S:S)</f>
        <v>192241.65500000003</v>
      </c>
      <c r="T38" s="676">
        <f ca="1">SUMIF('Budget-ACPL'!$A:$A,$A38,'Budget-ACPL'!T:T)+SUMIF('Budget-ACPLHK'!$A:$A,$A38,'Budget-ACPLHK'!T:T)+SUMIF('Budget-ACPSZL'!$A:$A,$A38,'Budget-ACPSZL'!T:T)+SUMIF('Budget-ACPLSZ'!$A:$A,$A38,'Budget-ACPLSZ'!T:T)+SUMIF('Budget-ACPLGZ'!$A:$A,$A38,'Budget-ACPLGZ'!T:T)+SUMIF('Budget-Yixing'!$A:$A,$A38,'Budget-Yixing'!T:T)</f>
        <v>192241.65500000003</v>
      </c>
      <c r="U38" s="676">
        <f ca="1">SUMIF('Budget-ACPL'!$A:$A,$A38,'Budget-ACPL'!U:U)+SUMIF('Budget-ACPLHK'!$A:$A,$A38,'Budget-ACPLHK'!U:U)+SUMIF('Budget-ACPSZL'!$A:$A,$A38,'Budget-ACPSZL'!U:U)+SUMIF('Budget-ACPLSZ'!$A:$A,$A38,'Budget-ACPLSZ'!U:U)+SUMIF('Budget-ACPLGZ'!$A:$A,$A38,'Budget-ACPLGZ'!U:U)+SUMIF('Budget-Yixing'!$A:$A,$A38,'Budget-Yixing'!U:U)</f>
        <v>192241.65500000003</v>
      </c>
      <c r="V38" s="676">
        <f ca="1">SUMIF('Budget-ACPL'!$A:$A,$A38,'Budget-ACPL'!V:V)+SUMIF('Budget-ACPLHK'!$A:$A,$A38,'Budget-ACPLHK'!V:V)+SUMIF('Budget-ACPSZL'!$A:$A,$A38,'Budget-ACPSZL'!V:V)+SUMIF('Budget-ACPLSZ'!$A:$A,$A38,'Budget-ACPLSZ'!V:V)+SUMIF('Budget-ACPLGZ'!$A:$A,$A38,'Budget-ACPLGZ'!V:V)+SUMIF('Budget-Yixing'!$A:$A,$A38,'Budget-Yixing'!V:V)</f>
        <v>196525.65500000003</v>
      </c>
      <c r="W38" s="676">
        <f t="shared" ca="1" si="23"/>
        <v>2053747.9990000003</v>
      </c>
      <c r="Y38" s="688">
        <f ca="1">SUMIF('Budget-ACPL'!$A:$A,$A38,'Budget-ACPL'!Y:Y)+SUMIF('Budget-ACPLHK'!$A:$A,$A38,'Budget-ACPLHK'!Y:Y)+SUMIF('Budget-ACPSZL'!$A:$A,$A38,'Budget-ACPSZL'!Y:Y)+SUMIF('Budget-ACPLSZ'!$A:$A,$A38,'Budget-ACPLSZ'!Y:Y)+SUMIF('Budget-ACPLGZ'!$A:$A,$A38,'Budget-ACPLGZ'!Y:Y)+SUMIF('Budget-Yixing'!$A:$A,$A38,'Budget-Yixing'!Y:Y)</f>
        <v>143699.70000000001</v>
      </c>
      <c r="Z38" s="688">
        <f ca="1">SUMIF('Budget-ACPL'!$A:$A,$A38,'Budget-ACPL'!Z:Z)+SUMIF('Budget-ACPLHK'!$A:$A,$A38,'Budget-ACPLHK'!Z:Z)+SUMIF('Budget-ACPSZL'!$A:$A,$A38,'Budget-ACPSZL'!Z:Z)+SUMIF('Budget-ACPLSZ'!$A:$A,$A38,'Budget-ACPLSZ'!Z:Z)+SUMIF('Budget-ACPLGZ'!$A:$A,$A38,'Budget-ACPLGZ'!Z:Z)+SUMIF('Budget-Yixing'!$A:$A,$A38,'Budget-Yixing'!Z:Z)</f>
        <v>144873.91999999998</v>
      </c>
      <c r="AA38" s="688">
        <f ca="1">SUMIF('Budget-ACPL'!$A:$A,$A38,'Budget-ACPL'!AA:AA)+SUMIF('Budget-ACPLHK'!$A:$A,$A38,'Budget-ACPLHK'!AA:AA)+SUMIF('Budget-ACPSZL'!$A:$A,$A38,'Budget-ACPSZL'!AA:AA)+SUMIF('Budget-ACPLSZ'!$A:$A,$A38,'Budget-ACPLSZ'!AA:AA)+SUMIF('Budget-ACPLGZ'!$A:$A,$A38,'Budget-ACPLGZ'!AA:AA)+SUMIF('Budget-Yixing'!$A:$A,$A38,'Budget-Yixing'!AA:AA)</f>
        <v>152710.62</v>
      </c>
      <c r="AB38" s="688">
        <f ca="1">SUMIF('Budget-ACPL'!$A:$A,$A38,'Budget-ACPL'!AB:AB)+SUMIF('Budget-ACPLHK'!$A:$A,$A38,'Budget-ACPLHK'!AB:AB)+SUMIF('Budget-ACPSZL'!$A:$A,$A38,'Budget-ACPSZL'!AB:AB)+SUMIF('Budget-ACPLSZ'!$A:$A,$A38,'Budget-ACPLSZ'!AB:AB)+SUMIF('Budget-ACPLGZ'!$A:$A,$A38,'Budget-ACPLGZ'!AB:AB)+SUMIF('Budget-Yixing'!$A:$A,$A38,'Budget-Yixing'!AB:AB)</f>
        <v>193450.47999999998</v>
      </c>
      <c r="AC38" s="688">
        <f ca="1">SUMIF('Budget-ACPL'!$A:$A,$A38,'Budget-ACPL'!AC:AC)+SUMIF('Budget-ACPLHK'!$A:$A,$A38,'Budget-ACPLHK'!AC:AC)+SUMIF('Budget-ACPSZL'!$A:$A,$A38,'Budget-ACPSZL'!AC:AC)+SUMIF('Budget-ACPLSZ'!$A:$A,$A38,'Budget-ACPLSZ'!AC:AC)+SUMIF('Budget-ACPLGZ'!$A:$A,$A38,'Budget-ACPLGZ'!AC:AC)+SUMIF('Budget-Yixing'!$A:$A,$A38,'Budget-Yixing'!AC:AC)</f>
        <v>191803.55</v>
      </c>
      <c r="AD38" s="688">
        <f ca="1">SUMIF('Budget-ACPL'!$A:$A,$A38,'Budget-ACPL'!AD:AD)+SUMIF('Budget-ACPLHK'!$A:$A,$A38,'Budget-ACPLHK'!AD:AD)+SUMIF('Budget-ACPSZL'!$A:$A,$A38,'Budget-ACPSZL'!AD:AD)+SUMIF('Budget-ACPLSZ'!$A:$A,$A38,'Budget-ACPLSZ'!AD:AD)+SUMIF('Budget-ACPLGZ'!$A:$A,$A38,'Budget-ACPLGZ'!AD:AD)+SUMIF('Budget-Yixing'!$A:$A,$A38,'Budget-Yixing'!AD:AD)</f>
        <v>191013.93</v>
      </c>
      <c r="AE38" s="688">
        <f ca="1">SUMIF('Budget-ACPL'!$A:$A,$A38,'Budget-ACPL'!AE:AE)+SUMIF('Budget-ACPLHK'!$A:$A,$A38,'Budget-ACPLHK'!AE:AE)+SUMIF('Budget-ACPSZL'!$A:$A,$A38,'Budget-ACPSZL'!AE:AE)+SUMIF('Budget-ACPLSZ'!$A:$A,$A38,'Budget-ACPLSZ'!AE:AE)+SUMIF('Budget-ACPLGZ'!$A:$A,$A38,'Budget-ACPLGZ'!AE:AE)+SUMIF('Budget-Yixing'!$A:$A,$A38,'Budget-Yixing'!AE:AE)</f>
        <v>198454.8</v>
      </c>
      <c r="AF38" s="688">
        <f ca="1">SUMIF('Budget-ACPL'!$A:$A,$A38,'Budget-ACPL'!AF:AF)+SUMIF('Budget-ACPLHK'!$A:$A,$A38,'Budget-ACPLHK'!AF:AF)+SUMIF('Budget-ACPSZL'!$A:$A,$A38,'Budget-ACPSZL'!AF:AF)+SUMIF('Budget-ACPLSZ'!$A:$A,$A38,'Budget-ACPLSZ'!AF:AF)+SUMIF('Budget-ACPLGZ'!$A:$A,$A38,'Budget-ACPLGZ'!AF:AF)+SUMIF('Budget-Yixing'!$A:$A,$A38,'Budget-Yixing'!AF:AF)</f>
        <v>198454.79</v>
      </c>
      <c r="AG38" s="688">
        <f ca="1">SUMIF('Budget-ACPL'!$A:$A,$A38,'Budget-ACPL'!AG:AG)+SUMIF('Budget-ACPLHK'!$A:$A,$A38,'Budget-ACPLHK'!AG:AG)+SUMIF('Budget-ACPSZL'!$A:$A,$A38,'Budget-ACPSZL'!AG:AG)+SUMIF('Budget-ACPLSZ'!$A:$A,$A38,'Budget-ACPLSZ'!AG:AG)+SUMIF('Budget-ACPLGZ'!$A:$A,$A38,'Budget-ACPLGZ'!AG:AG)+SUMIF('Budget-Yixing'!$A:$A,$A38,'Budget-Yixing'!AG:AG)</f>
        <v>196989.02999999997</v>
      </c>
      <c r="AH38" s="688">
        <f ca="1">SUMIF('Budget-ACPL'!$A:$A,$A38,'Budget-ACPL'!AH:AH)+SUMIF('Budget-ACPLHK'!$A:$A,$A38,'Budget-ACPLHK'!AH:AH)+SUMIF('Budget-ACPSZL'!$A:$A,$A38,'Budget-ACPSZL'!AH:AH)+SUMIF('Budget-ACPLSZ'!$A:$A,$A38,'Budget-ACPLSZ'!AH:AH)+SUMIF('Budget-ACPLGZ'!$A:$A,$A38,'Budget-ACPLGZ'!AH:AH)+SUMIF('Budget-Yixing'!$A:$A,$A38,'Budget-Yixing'!AH:AH)</f>
        <v>198569.65</v>
      </c>
      <c r="AI38" s="688">
        <f ca="1">SUMIF('Budget-ACPL'!$A:$A,$A38,'Budget-ACPL'!AI:AI)+SUMIF('Budget-ACPLHK'!$A:$A,$A38,'Budget-ACPLHK'!AI:AI)+SUMIF('Budget-ACPSZL'!$A:$A,$A38,'Budget-ACPSZL'!AI:AI)+SUMIF('Budget-ACPLSZ'!$A:$A,$A38,'Budget-ACPLSZ'!AI:AI)+SUMIF('Budget-ACPLGZ'!$A:$A,$A38,'Budget-ACPLGZ'!AI:AI)+SUMIF('Budget-Yixing'!$A:$A,$A38,'Budget-Yixing'!AI:AI)</f>
        <v>195880.34999999998</v>
      </c>
      <c r="AJ38" s="688">
        <f ca="1">SUMIF('Budget-ACPL'!$A:$A,$A38,'Budget-ACPL'!AJ:AJ)+SUMIF('Budget-ACPLHK'!$A:$A,$A38,'Budget-ACPLHK'!AJ:AJ)+SUMIF('Budget-ACPSZL'!$A:$A,$A38,'Budget-ACPSZL'!AJ:AJ)+SUMIF('Budget-ACPLSZ'!$A:$A,$A38,'Budget-ACPLSZ'!AJ:AJ)+SUMIF('Budget-ACPLGZ'!$A:$A,$A38,'Budget-ACPLGZ'!AJ:AJ)+SUMIF('Budget-Yixing'!$A:$A,$A38,'Budget-Yixing'!AJ:AJ)</f>
        <v>197360.02</v>
      </c>
      <c r="AK38" s="688">
        <f t="shared" ca="1" si="22"/>
        <v>2203260.84</v>
      </c>
    </row>
    <row r="39" spans="1:37" ht="13.5" customHeight="1">
      <c r="A39" s="713" t="s">
        <v>1497</v>
      </c>
      <c r="B39" s="687" t="str">
        <f>VLOOKUP(A39,Account!A:B,2,0)</f>
        <v>员工社保福利</v>
      </c>
      <c r="C39" s="687" t="str">
        <f>VLOOKUP(A39,Account!A:F,4,0)</f>
        <v>Employee Insurance</v>
      </c>
      <c r="D39" s="676">
        <f t="shared" ca="1" si="18"/>
        <v>80278.198000000033</v>
      </c>
      <c r="E39" s="676" t="e">
        <f t="shared" si="13"/>
        <v>#N/A</v>
      </c>
      <c r="F39" s="676" t="e">
        <f t="shared" ca="1" si="14"/>
        <v>#N/A</v>
      </c>
      <c r="G39" s="676">
        <f t="shared" ca="1" si="19"/>
        <v>80278.198000000033</v>
      </c>
      <c r="H39" s="676" t="e">
        <f t="shared" ca="1" si="20"/>
        <v>#N/A</v>
      </c>
      <c r="I39" s="676" t="e">
        <f t="shared" ca="1" si="15"/>
        <v>#N/A</v>
      </c>
      <c r="K39" s="676">
        <f ca="1">SUMIF('Budget-ACPL'!$A:$A,$A39,'Budget-ACPL'!K:K)+SUMIF('Budget-ACPLHK'!$A:$A,$A39,'Budget-ACPLHK'!K:K)+SUMIF('Budget-ACPSZL'!$A:$A,$A39,'Budget-ACPSZL'!K:K)+SUMIF('Budget-ACPLSZ'!$A:$A,$A39,'Budget-ACPLSZ'!K:K)+SUMIF('Budget-ACPLGZ'!$A:$A,$A39,'Budget-ACPLGZ'!K:K)+SUMIF('Budget-Yixing'!$A:$A,$A39,'Budget-Yixing'!K:K)</f>
        <v>80278.198000000033</v>
      </c>
      <c r="L39" s="676">
        <f ca="1">SUMIF('Budget-ACPL'!$A:$A,$A39,'Budget-ACPL'!L:L)+SUMIF('Budget-ACPLHK'!$A:$A,$A39,'Budget-ACPLHK'!L:L)+SUMIF('Budget-ACPSZL'!$A:$A,$A39,'Budget-ACPSZL'!L:L)+SUMIF('Budget-ACPLSZ'!$A:$A,$A39,'Budget-ACPLSZ'!L:L)+SUMIF('Budget-ACPLGZ'!$A:$A,$A39,'Budget-ACPLGZ'!L:L)+SUMIF('Budget-Yixing'!$A:$A,$A39,'Budget-Yixing'!L:L)</f>
        <v>87042.52800000002</v>
      </c>
      <c r="M39" s="676">
        <f ca="1">SUMIF('Budget-ACPL'!$A:$A,$A39,'Budget-ACPL'!M:M)+SUMIF('Budget-ACPLHK'!$A:$A,$A39,'Budget-ACPLHK'!M:M)+SUMIF('Budget-ACPSZL'!$A:$A,$A39,'Budget-ACPSZL'!M:M)+SUMIF('Budget-ACPLSZ'!$A:$A,$A39,'Budget-ACPLSZ'!M:M)+SUMIF('Budget-ACPLGZ'!$A:$A,$A39,'Budget-ACPLGZ'!M:M)+SUMIF('Budget-Yixing'!$A:$A,$A39,'Budget-Yixing'!M:M)</f>
        <v>80125.128000000026</v>
      </c>
      <c r="N39" s="676">
        <f ca="1">SUMIF('Budget-ACPL'!$A:$A,$A39,'Budget-ACPL'!N:N)+SUMIF('Budget-ACPLHK'!$A:$A,$A39,'Budget-ACPLHK'!N:N)+SUMIF('Budget-ACPSZL'!$A:$A,$A39,'Budget-ACPSZL'!N:N)+SUMIF('Budget-ACPLSZ'!$A:$A,$A39,'Budget-ACPLSZ'!N:N)+SUMIF('Budget-ACPLGZ'!$A:$A,$A39,'Budget-ACPLGZ'!N:N)+SUMIF('Budget-Yixing'!$A:$A,$A39,'Budget-Yixing'!N:N)</f>
        <v>89037.245000000024</v>
      </c>
      <c r="O39" s="676">
        <f ca="1">SUMIF('Budget-ACPL'!$A:$A,$A39,'Budget-ACPL'!O:O)+SUMIF('Budget-ACPLHK'!$A:$A,$A39,'Budget-ACPLHK'!O:O)+SUMIF('Budget-ACPSZL'!$A:$A,$A39,'Budget-ACPSZL'!O:O)+SUMIF('Budget-ACPLSZ'!$A:$A,$A39,'Budget-ACPLSZ'!O:O)+SUMIF('Budget-ACPLGZ'!$A:$A,$A39,'Budget-ACPLGZ'!O:O)+SUMIF('Budget-Yixing'!$A:$A,$A39,'Budget-Yixing'!O:O)</f>
        <v>114974.85500000001</v>
      </c>
      <c r="P39" s="676">
        <f ca="1">SUMIF('Budget-ACPL'!$A:$A,$A39,'Budget-ACPL'!P:P)+SUMIF('Budget-ACPLHK'!$A:$A,$A39,'Budget-ACPLHK'!P:P)+SUMIF('Budget-ACPSZL'!$A:$A,$A39,'Budget-ACPSZL'!P:P)+SUMIF('Budget-ACPLSZ'!$A:$A,$A39,'Budget-ACPLSZ'!P:P)+SUMIF('Budget-ACPLGZ'!$A:$A,$A39,'Budget-ACPLGZ'!P:P)+SUMIF('Budget-Yixing'!$A:$A,$A39,'Budget-Yixing'!P:P)</f>
        <v>114707.85500000001</v>
      </c>
      <c r="Q39" s="676">
        <f ca="1">SUMIF('Budget-ACPL'!$A:$A,$A39,'Budget-ACPL'!Q:Q)+SUMIF('Budget-ACPLHK'!$A:$A,$A39,'Budget-ACPLHK'!Q:Q)+SUMIF('Budget-ACPSZL'!$A:$A,$A39,'Budget-ACPSZL'!Q:Q)+SUMIF('Budget-ACPLSZ'!$A:$A,$A39,'Budget-ACPLSZ'!Q:Q)+SUMIF('Budget-ACPLGZ'!$A:$A,$A39,'Budget-ACPLGZ'!Q:Q)+SUMIF('Budget-Yixing'!$A:$A,$A39,'Budget-Yixing'!Q:Q)</f>
        <v>114974.85500000001</v>
      </c>
      <c r="R39" s="676">
        <f ca="1">SUMIF('Budget-ACPL'!$A:$A,$A39,'Budget-ACPL'!R:R)+SUMIF('Budget-ACPLHK'!$A:$A,$A39,'Budget-ACPLHK'!R:R)+SUMIF('Budget-ACPSZL'!$A:$A,$A39,'Budget-ACPSZL'!R:R)+SUMIF('Budget-ACPLSZ'!$A:$A,$A39,'Budget-ACPLSZ'!R:R)+SUMIF('Budget-ACPLGZ'!$A:$A,$A39,'Budget-ACPLGZ'!R:R)+SUMIF('Budget-Yixing'!$A:$A,$A39,'Budget-Yixing'!R:R)</f>
        <v>119003.85500000001</v>
      </c>
      <c r="S39" s="676">
        <f ca="1">SUMIF('Budget-ACPL'!$A:$A,$A39,'Budget-ACPL'!S:S)+SUMIF('Budget-ACPLHK'!$A:$A,$A39,'Budget-ACPLHK'!S:S)+SUMIF('Budget-ACPSZL'!$A:$A,$A39,'Budget-ACPSZL'!S:S)+SUMIF('Budget-ACPLSZ'!$A:$A,$A39,'Budget-ACPLSZ'!S:S)+SUMIF('Budget-ACPLGZ'!$A:$A,$A39,'Budget-ACPLGZ'!S:S)+SUMIF('Budget-Yixing'!$A:$A,$A39,'Budget-Yixing'!S:S)</f>
        <v>119003.85500000001</v>
      </c>
      <c r="T39" s="676">
        <f ca="1">SUMIF('Budget-ACPL'!$A:$A,$A39,'Budget-ACPL'!T:T)+SUMIF('Budget-ACPLHK'!$A:$A,$A39,'Budget-ACPLHK'!T:T)+SUMIF('Budget-ACPSZL'!$A:$A,$A39,'Budget-ACPSZL'!T:T)+SUMIF('Budget-ACPLSZ'!$A:$A,$A39,'Budget-ACPLSZ'!T:T)+SUMIF('Budget-ACPLGZ'!$A:$A,$A39,'Budget-ACPLGZ'!T:T)+SUMIF('Budget-Yixing'!$A:$A,$A39,'Budget-Yixing'!T:T)</f>
        <v>119003.85500000001</v>
      </c>
      <c r="U39" s="676">
        <f ca="1">SUMIF('Budget-ACPL'!$A:$A,$A39,'Budget-ACPL'!U:U)+SUMIF('Budget-ACPLHK'!$A:$A,$A39,'Budget-ACPLHK'!U:U)+SUMIF('Budget-ACPSZL'!$A:$A,$A39,'Budget-ACPSZL'!U:U)+SUMIF('Budget-ACPLSZ'!$A:$A,$A39,'Budget-ACPLSZ'!U:U)+SUMIF('Budget-ACPLGZ'!$A:$A,$A39,'Budget-ACPLGZ'!U:U)+SUMIF('Budget-Yixing'!$A:$A,$A39,'Budget-Yixing'!U:U)</f>
        <v>119003.85500000001</v>
      </c>
      <c r="V39" s="676">
        <f ca="1">SUMIF('Budget-ACPL'!$A:$A,$A39,'Budget-ACPL'!V:V)+SUMIF('Budget-ACPLHK'!$A:$A,$A39,'Budget-ACPLHK'!V:V)+SUMIF('Budget-ACPSZL'!$A:$A,$A39,'Budget-ACPSZL'!V:V)+SUMIF('Budget-ACPLSZ'!$A:$A,$A39,'Budget-ACPLSZ'!V:V)+SUMIF('Budget-ACPLGZ'!$A:$A,$A39,'Budget-ACPLGZ'!V:V)+SUMIF('Budget-Yixing'!$A:$A,$A39,'Budget-Yixing'!V:V)</f>
        <v>121847.85500000001</v>
      </c>
      <c r="W39" s="676">
        <f t="shared" ca="1" si="23"/>
        <v>1279003.939</v>
      </c>
      <c r="Y39" s="688">
        <f ca="1">SUMIF('Budget-ACPL'!$A:$A,$A39,'Budget-ACPL'!Y:Y)+SUMIF('Budget-ACPLHK'!$A:$A,$A39,'Budget-ACPLHK'!Y:Y)+SUMIF('Budget-ACPSZL'!$A:$A,$A39,'Budget-ACPSZL'!Y:Y)+SUMIF('Budget-ACPLSZ'!$A:$A,$A39,'Budget-ACPLSZ'!Y:Y)+SUMIF('Budget-ACPLGZ'!$A:$A,$A39,'Budget-ACPLGZ'!Y:Y)+SUMIF('Budget-Yixing'!$A:$A,$A39,'Budget-Yixing'!Y:Y)</f>
        <v>98993.46</v>
      </c>
      <c r="Z39" s="688">
        <f ca="1">SUMIF('Budget-ACPL'!$A:$A,$A39,'Budget-ACPL'!Z:Z)+SUMIF('Budget-ACPLHK'!$A:$A,$A39,'Budget-ACPLHK'!Z:Z)+SUMIF('Budget-ACPSZL'!$A:$A,$A39,'Budget-ACPSZL'!Z:Z)+SUMIF('Budget-ACPLSZ'!$A:$A,$A39,'Budget-ACPLSZ'!Z:Z)+SUMIF('Budget-ACPLGZ'!$A:$A,$A39,'Budget-ACPLGZ'!Z:Z)+SUMIF('Budget-Yixing'!$A:$A,$A39,'Budget-Yixing'!Z:Z)</f>
        <v>100167.67999999999</v>
      </c>
      <c r="AA39" s="688">
        <f ca="1">SUMIF('Budget-ACPL'!$A:$A,$A39,'Budget-ACPL'!AA:AA)+SUMIF('Budget-ACPLHK'!$A:$A,$A39,'Budget-ACPLHK'!AA:AA)+SUMIF('Budget-ACPSZL'!$A:$A,$A39,'Budget-ACPSZL'!AA:AA)+SUMIF('Budget-ACPLSZ'!$A:$A,$A39,'Budget-ACPLSZ'!AA:AA)+SUMIF('Budget-ACPLGZ'!$A:$A,$A39,'Budget-ACPLGZ'!AA:AA)+SUMIF('Budget-Yixing'!$A:$A,$A39,'Budget-Yixing'!AA:AA)</f>
        <v>103804.38</v>
      </c>
      <c r="AB39" s="688">
        <f ca="1">SUMIF('Budget-ACPL'!$A:$A,$A39,'Budget-ACPL'!AB:AB)+SUMIF('Budget-ACPLHK'!$A:$A,$A39,'Budget-ACPLHK'!AB:AB)+SUMIF('Budget-ACPSZL'!$A:$A,$A39,'Budget-ACPSZL'!AB:AB)+SUMIF('Budget-ACPLSZ'!$A:$A,$A39,'Budget-ACPLSZ'!AB:AB)+SUMIF('Budget-ACPLGZ'!$A:$A,$A39,'Budget-ACPLGZ'!AB:AB)+SUMIF('Budget-Yixing'!$A:$A,$A39,'Budget-Yixing'!AB:AB)</f>
        <v>144544.24</v>
      </c>
      <c r="AC39" s="688">
        <f ca="1">SUMIF('Budget-ACPL'!$A:$A,$A39,'Budget-ACPL'!AC:AC)+SUMIF('Budget-ACPLHK'!$A:$A,$A39,'Budget-ACPLHK'!AC:AC)+SUMIF('Budget-ACPSZL'!$A:$A,$A39,'Budget-ACPSZL'!AC:AC)+SUMIF('Budget-ACPLSZ'!$A:$A,$A39,'Budget-ACPLSZ'!AC:AC)+SUMIF('Budget-ACPLGZ'!$A:$A,$A39,'Budget-ACPLGZ'!AC:AC)+SUMIF('Budget-Yixing'!$A:$A,$A39,'Budget-Yixing'!AC:AC)</f>
        <v>129299.15</v>
      </c>
      <c r="AD39" s="688">
        <f ca="1">SUMIF('Budget-ACPL'!$A:$A,$A39,'Budget-ACPL'!AD:AD)+SUMIF('Budget-ACPLHK'!$A:$A,$A39,'Budget-ACPLHK'!AD:AD)+SUMIF('Budget-ACPSZL'!$A:$A,$A39,'Budget-ACPSZL'!AD:AD)+SUMIF('Budget-ACPLSZ'!$A:$A,$A39,'Budget-ACPLSZ'!AD:AD)+SUMIF('Budget-ACPLGZ'!$A:$A,$A39,'Budget-ACPLGZ'!AD:AD)+SUMIF('Budget-Yixing'!$A:$A,$A39,'Budget-Yixing'!AD:AD)</f>
        <v>131708.60999999999</v>
      </c>
      <c r="AE39" s="688">
        <f ca="1">SUMIF('Budget-ACPL'!$A:$A,$A39,'Budget-ACPL'!AE:AE)+SUMIF('Budget-ACPLHK'!$A:$A,$A39,'Budget-ACPLHK'!AE:AE)+SUMIF('Budget-ACPSZL'!$A:$A,$A39,'Budget-ACPSZL'!AE:AE)+SUMIF('Budget-ACPLSZ'!$A:$A,$A39,'Budget-ACPLSZ'!AE:AE)+SUMIF('Budget-ACPLGZ'!$A:$A,$A39,'Budget-ACPLGZ'!AE:AE)+SUMIF('Budget-Yixing'!$A:$A,$A39,'Budget-Yixing'!AE:AE)</f>
        <v>138238.04</v>
      </c>
      <c r="AF39" s="688">
        <f ca="1">SUMIF('Budget-ACPL'!$A:$A,$A39,'Budget-ACPL'!AF:AF)+SUMIF('Budget-ACPLHK'!$A:$A,$A39,'Budget-ACPLHK'!AF:AF)+SUMIF('Budget-ACPSZL'!$A:$A,$A39,'Budget-ACPSZL'!AF:AF)+SUMIF('Budget-ACPLSZ'!$A:$A,$A39,'Budget-ACPLSZ'!AF:AF)+SUMIF('Budget-ACPLGZ'!$A:$A,$A39,'Budget-ACPLGZ'!AF:AF)+SUMIF('Budget-Yixing'!$A:$A,$A39,'Budget-Yixing'!AF:AF)</f>
        <v>138238.03</v>
      </c>
      <c r="AG39" s="688">
        <f ca="1">SUMIF('Budget-ACPL'!$A:$A,$A39,'Budget-ACPL'!AG:AG)+SUMIF('Budget-ACPLHK'!$A:$A,$A39,'Budget-ACPLHK'!AG:AG)+SUMIF('Budget-ACPSZL'!$A:$A,$A39,'Budget-ACPSZL'!AG:AG)+SUMIF('Budget-ACPLSZ'!$A:$A,$A39,'Budget-ACPLSZ'!AG:AG)+SUMIF('Budget-ACPLGZ'!$A:$A,$A39,'Budget-ACPLGZ'!AG:AG)+SUMIF('Budget-Yixing'!$A:$A,$A39,'Budget-Yixing'!AG:AG)</f>
        <v>136709.26999999999</v>
      </c>
      <c r="AH39" s="688">
        <f ca="1">SUMIF('Budget-ACPL'!$A:$A,$A39,'Budget-ACPL'!AH:AH)+SUMIF('Budget-ACPLHK'!$A:$A,$A39,'Budget-ACPLHK'!AH:AH)+SUMIF('Budget-ACPSZL'!$A:$A,$A39,'Budget-ACPSZL'!AH:AH)+SUMIF('Budget-ACPLSZ'!$A:$A,$A39,'Budget-ACPLSZ'!AH:AH)+SUMIF('Budget-ACPLGZ'!$A:$A,$A39,'Budget-ACPLGZ'!AH:AH)+SUMIF('Budget-Yixing'!$A:$A,$A39,'Budget-Yixing'!AH:AH)</f>
        <v>138814.70000000001</v>
      </c>
      <c r="AI39" s="688">
        <f ca="1">SUMIF('Budget-ACPL'!$A:$A,$A39,'Budget-ACPL'!AI:AI)+SUMIF('Budget-ACPLHK'!$A:$A,$A39,'Budget-ACPLHK'!AI:AI)+SUMIF('Budget-ACPSZL'!$A:$A,$A39,'Budget-ACPSZL'!AI:AI)+SUMIF('Budget-ACPLSZ'!$A:$A,$A39,'Budget-ACPLSZ'!AI:AI)+SUMIF('Budget-ACPLGZ'!$A:$A,$A39,'Budget-ACPLGZ'!AI:AI)+SUMIF('Budget-Yixing'!$A:$A,$A39,'Budget-Yixing'!AI:AI)</f>
        <v>137100.59</v>
      </c>
      <c r="AJ39" s="688">
        <f ca="1">SUMIF('Budget-ACPL'!$A:$A,$A39,'Budget-ACPL'!AJ:AJ)+SUMIF('Budget-ACPLHK'!$A:$A,$A39,'Budget-ACPLHK'!AJ:AJ)+SUMIF('Budget-ACPSZL'!$A:$A,$A39,'Budget-ACPSZL'!AJ:AJ)+SUMIF('Budget-ACPLSZ'!$A:$A,$A39,'Budget-ACPLSZ'!AJ:AJ)+SUMIF('Budget-ACPLGZ'!$A:$A,$A39,'Budget-ACPLGZ'!AJ:AJ)+SUMIF('Budget-Yixing'!$A:$A,$A39,'Budget-Yixing'!AJ:AJ)</f>
        <v>138580.26</v>
      </c>
      <c r="AK39" s="688">
        <f t="shared" ca="1" si="22"/>
        <v>1536198.4100000001</v>
      </c>
    </row>
    <row r="40" spans="1:37" ht="13.5" customHeight="1">
      <c r="A40" s="713" t="s">
        <v>1502</v>
      </c>
      <c r="B40" s="687" t="str">
        <f>VLOOKUP(A40,Account!A:B,2,0)</f>
        <v>员工公积金福利</v>
      </c>
      <c r="C40" s="687">
        <f>VLOOKUP(A40,Account!A:F,4,0)</f>
        <v>0</v>
      </c>
      <c r="D40" s="676">
        <f t="shared" ca="1" si="18"/>
        <v>45567.99</v>
      </c>
      <c r="E40" s="676" t="e">
        <f t="shared" si="13"/>
        <v>#N/A</v>
      </c>
      <c r="F40" s="676" t="e">
        <f t="shared" ca="1" si="14"/>
        <v>#N/A</v>
      </c>
      <c r="G40" s="676">
        <f t="shared" ca="1" si="19"/>
        <v>45567.99</v>
      </c>
      <c r="H40" s="676" t="e">
        <f t="shared" ca="1" si="20"/>
        <v>#N/A</v>
      </c>
      <c r="I40" s="676" t="e">
        <f t="shared" ca="1" si="15"/>
        <v>#N/A</v>
      </c>
      <c r="K40" s="676">
        <f ca="1">SUMIF('Budget-ACPL'!$A:$A,$A40,'Budget-ACPL'!K:K)+SUMIF('Budget-ACPLHK'!$A:$A,$A40,'Budget-ACPLHK'!K:K)+SUMIF('Budget-ACPSZL'!$A:$A,$A40,'Budget-ACPSZL'!K:K)+SUMIF('Budget-ACPLSZ'!$A:$A,$A40,'Budget-ACPLSZ'!K:K)+SUMIF('Budget-ACPLGZ'!$A:$A,$A40,'Budget-ACPLGZ'!K:K)+SUMIF('Budget-Yixing'!$A:$A,$A40,'Budget-Yixing'!K:K)</f>
        <v>45567.99</v>
      </c>
      <c r="L40" s="676">
        <f ca="1">SUMIF('Budget-ACPL'!$A:$A,$A40,'Budget-ACPL'!L:L)+SUMIF('Budget-ACPLHK'!$A:$A,$A40,'Budget-ACPLHK'!L:L)+SUMIF('Budget-ACPSZL'!$A:$A,$A40,'Budget-ACPSZL'!L:L)+SUMIF('Budget-ACPLSZ'!$A:$A,$A40,'Budget-ACPLSZ'!L:L)+SUMIF('Budget-ACPLGZ'!$A:$A,$A40,'Budget-ACPLGZ'!L:L)+SUMIF('Budget-Yixing'!$A:$A,$A40,'Budget-Yixing'!L:L)</f>
        <v>49527.990000000005</v>
      </c>
      <c r="M40" s="676">
        <f ca="1">SUMIF('Budget-ACPL'!$A:$A,$A40,'Budget-ACPL'!M:M)+SUMIF('Budget-ACPLHK'!$A:$A,$A40,'Budget-ACPLHK'!M:M)+SUMIF('Budget-ACPSZL'!$A:$A,$A40,'Budget-ACPSZL'!M:M)+SUMIF('Budget-ACPLSZ'!$A:$A,$A40,'Budget-ACPLSZ'!M:M)+SUMIF('Budget-ACPLGZ'!$A:$A,$A40,'Budget-ACPLGZ'!M:M)+SUMIF('Budget-Yixing'!$A:$A,$A40,'Budget-Yixing'!M:M)</f>
        <v>46463.28</v>
      </c>
      <c r="N40" s="676">
        <f ca="1">SUMIF('Budget-ACPL'!$A:$A,$A40,'Budget-ACPL'!N:N)+SUMIF('Budget-ACPLHK'!$A:$A,$A40,'Budget-ACPLHK'!N:N)+SUMIF('Budget-ACPSZL'!$A:$A,$A40,'Budget-ACPSZL'!N:N)+SUMIF('Budget-ACPLSZ'!$A:$A,$A40,'Budget-ACPLSZ'!N:N)+SUMIF('Budget-ACPLGZ'!$A:$A,$A40,'Budget-ACPLGZ'!N:N)+SUMIF('Budget-Yixing'!$A:$A,$A40,'Budget-Yixing'!N:N)</f>
        <v>52142.399999999994</v>
      </c>
      <c r="O40" s="676">
        <f ca="1">SUMIF('Budget-ACPL'!$A:$A,$A40,'Budget-ACPL'!O:O)+SUMIF('Budget-ACPLHK'!$A:$A,$A40,'Budget-ACPLHK'!O:O)+SUMIF('Budget-ACPSZL'!$A:$A,$A40,'Budget-ACPSZL'!O:O)+SUMIF('Budget-ACPLSZ'!$A:$A,$A40,'Budget-ACPLSZ'!O:O)+SUMIF('Budget-ACPLGZ'!$A:$A,$A40,'Budget-ACPLGZ'!O:O)+SUMIF('Budget-Yixing'!$A:$A,$A40,'Budget-Yixing'!O:O)</f>
        <v>71197.8</v>
      </c>
      <c r="P40" s="676">
        <f ca="1">SUMIF('Budget-ACPL'!$A:$A,$A40,'Budget-ACPL'!P:P)+SUMIF('Budget-ACPLHK'!$A:$A,$A40,'Budget-ACPLHK'!P:P)+SUMIF('Budget-ACPSZL'!$A:$A,$A40,'Budget-ACPSZL'!P:P)+SUMIF('Budget-ACPLSZ'!$A:$A,$A40,'Budget-ACPLSZ'!P:P)+SUMIF('Budget-ACPLGZ'!$A:$A,$A40,'Budget-ACPLGZ'!P:P)+SUMIF('Budget-Yixing'!$A:$A,$A40,'Budget-Yixing'!P:P)</f>
        <v>71017.8</v>
      </c>
      <c r="Q40" s="676">
        <f ca="1">SUMIF('Budget-ACPL'!$A:$A,$A40,'Budget-ACPL'!Q:Q)+SUMIF('Budget-ACPLHK'!$A:$A,$A40,'Budget-ACPLHK'!Q:Q)+SUMIF('Budget-ACPSZL'!$A:$A,$A40,'Budget-ACPSZL'!Q:Q)+SUMIF('Budget-ACPLSZ'!$A:$A,$A40,'Budget-ACPLSZ'!Q:Q)+SUMIF('Budget-ACPLGZ'!$A:$A,$A40,'Budget-ACPLGZ'!Q:Q)+SUMIF('Budget-Yixing'!$A:$A,$A40,'Budget-Yixing'!Q:Q)</f>
        <v>71197.8</v>
      </c>
      <c r="R40" s="676">
        <f ca="1">SUMIF('Budget-ACPL'!$A:$A,$A40,'Budget-ACPL'!R:R)+SUMIF('Budget-ACPLHK'!$A:$A,$A40,'Budget-ACPLHK'!R:R)+SUMIF('Budget-ACPSZL'!$A:$A,$A40,'Budget-ACPSZL'!R:R)+SUMIF('Budget-ACPLSZ'!$A:$A,$A40,'Budget-ACPLSZ'!R:R)+SUMIF('Budget-ACPLGZ'!$A:$A,$A40,'Budget-ACPLGZ'!R:R)+SUMIF('Budget-Yixing'!$A:$A,$A40,'Budget-Yixing'!R:R)</f>
        <v>73237.8</v>
      </c>
      <c r="S40" s="676">
        <f ca="1">SUMIF('Budget-ACPL'!$A:$A,$A40,'Budget-ACPL'!S:S)+SUMIF('Budget-ACPLHK'!$A:$A,$A40,'Budget-ACPLHK'!S:S)+SUMIF('Budget-ACPSZL'!$A:$A,$A40,'Budget-ACPSZL'!S:S)+SUMIF('Budget-ACPLSZ'!$A:$A,$A40,'Budget-ACPLSZ'!S:S)+SUMIF('Budget-ACPLGZ'!$A:$A,$A40,'Budget-ACPLGZ'!S:S)+SUMIF('Budget-Yixing'!$A:$A,$A40,'Budget-Yixing'!S:S)</f>
        <v>73237.8</v>
      </c>
      <c r="T40" s="676">
        <f ca="1">SUMIF('Budget-ACPL'!$A:$A,$A40,'Budget-ACPL'!T:T)+SUMIF('Budget-ACPLHK'!$A:$A,$A40,'Budget-ACPLHK'!T:T)+SUMIF('Budget-ACPSZL'!$A:$A,$A40,'Budget-ACPSZL'!T:T)+SUMIF('Budget-ACPLSZ'!$A:$A,$A40,'Budget-ACPLSZ'!T:T)+SUMIF('Budget-ACPLGZ'!$A:$A,$A40,'Budget-ACPLGZ'!T:T)+SUMIF('Budget-Yixing'!$A:$A,$A40,'Budget-Yixing'!T:T)</f>
        <v>73237.8</v>
      </c>
      <c r="U40" s="676">
        <f ca="1">SUMIF('Budget-ACPL'!$A:$A,$A40,'Budget-ACPL'!U:U)+SUMIF('Budget-ACPLHK'!$A:$A,$A40,'Budget-ACPLHK'!U:U)+SUMIF('Budget-ACPSZL'!$A:$A,$A40,'Budget-ACPSZL'!U:U)+SUMIF('Budget-ACPLSZ'!$A:$A,$A40,'Budget-ACPLSZ'!U:U)+SUMIF('Budget-ACPLGZ'!$A:$A,$A40,'Budget-ACPLGZ'!U:U)+SUMIF('Budget-Yixing'!$A:$A,$A40,'Budget-Yixing'!U:U)</f>
        <v>73237.8</v>
      </c>
      <c r="V40" s="676">
        <f ca="1">SUMIF('Budget-ACPL'!$A:$A,$A40,'Budget-ACPL'!V:V)+SUMIF('Budget-ACPLHK'!$A:$A,$A40,'Budget-ACPLHK'!V:V)+SUMIF('Budget-ACPSZL'!$A:$A,$A40,'Budget-ACPSZL'!V:V)+SUMIF('Budget-ACPLSZ'!$A:$A,$A40,'Budget-ACPLSZ'!V:V)+SUMIF('Budget-ACPLGZ'!$A:$A,$A40,'Budget-ACPLGZ'!V:V)+SUMIF('Budget-Yixing'!$A:$A,$A40,'Budget-Yixing'!V:V)</f>
        <v>74677.8</v>
      </c>
      <c r="W40" s="676">
        <f t="shared" ca="1" si="23"/>
        <v>774744.06000000017</v>
      </c>
      <c r="Y40" s="688">
        <f ca="1">SUMIF('Budget-ACPL'!$A:$A,$A40,'Budget-ACPL'!Y:Y)+SUMIF('Budget-ACPLHK'!$A:$A,$A40,'Budget-ACPLHK'!Y:Y)+SUMIF('Budget-ACPSZL'!$A:$A,$A40,'Budget-ACPSZL'!Y:Y)+SUMIF('Budget-ACPLSZ'!$A:$A,$A40,'Budget-ACPLSZ'!Y:Y)+SUMIF('Budget-ACPLGZ'!$A:$A,$A40,'Budget-ACPLGZ'!Y:Y)+SUMIF('Budget-Yixing'!$A:$A,$A40,'Budget-Yixing'!Y:Y)</f>
        <v>33806.239999999998</v>
      </c>
      <c r="Z40" s="688">
        <f ca="1">SUMIF('Budget-ACPL'!$A:$A,$A40,'Budget-ACPL'!Z:Z)+SUMIF('Budget-ACPLHK'!$A:$A,$A40,'Budget-ACPLHK'!Z:Z)+SUMIF('Budget-ACPSZL'!$A:$A,$A40,'Budget-ACPSZL'!Z:Z)+SUMIF('Budget-ACPLSZ'!$A:$A,$A40,'Budget-ACPLSZ'!Z:Z)+SUMIF('Budget-ACPLGZ'!$A:$A,$A40,'Budget-ACPLGZ'!Z:Z)+SUMIF('Budget-Yixing'!$A:$A,$A40,'Budget-Yixing'!Z:Z)</f>
        <v>33806.239999999998</v>
      </c>
      <c r="AA40" s="688">
        <f ca="1">SUMIF('Budget-ACPL'!$A:$A,$A40,'Budget-ACPL'!AA:AA)+SUMIF('Budget-ACPLHK'!$A:$A,$A40,'Budget-ACPLHK'!AA:AA)+SUMIF('Budget-ACPSZL'!$A:$A,$A40,'Budget-ACPSZL'!AA:AA)+SUMIF('Budget-ACPLSZ'!$A:$A,$A40,'Budget-ACPLSZ'!AA:AA)+SUMIF('Budget-ACPLGZ'!$A:$A,$A40,'Budget-ACPLGZ'!AA:AA)+SUMIF('Budget-Yixing'!$A:$A,$A40,'Budget-Yixing'!AA:AA)</f>
        <v>38006.239999999998</v>
      </c>
      <c r="AB40" s="688">
        <f ca="1">SUMIF('Budget-ACPL'!$A:$A,$A40,'Budget-ACPL'!AB:AB)+SUMIF('Budget-ACPLHK'!$A:$A,$A40,'Budget-ACPLHK'!AB:AB)+SUMIF('Budget-ACPSZL'!$A:$A,$A40,'Budget-ACPSZL'!AB:AB)+SUMIF('Budget-ACPLSZ'!$A:$A,$A40,'Budget-ACPLSZ'!AB:AB)+SUMIF('Budget-ACPLGZ'!$A:$A,$A40,'Budget-ACPLGZ'!AB:AB)+SUMIF('Budget-Yixing'!$A:$A,$A40,'Budget-Yixing'!AB:AB)</f>
        <v>38006.239999999998</v>
      </c>
      <c r="AC40" s="688">
        <f ca="1">SUMIF('Budget-ACPL'!$A:$A,$A40,'Budget-ACPL'!AC:AC)+SUMIF('Budget-ACPLHK'!$A:$A,$A40,'Budget-ACPLHK'!AC:AC)+SUMIF('Budget-ACPSZL'!$A:$A,$A40,'Budget-ACPSZL'!AC:AC)+SUMIF('Budget-ACPLSZ'!$A:$A,$A40,'Budget-ACPLSZ'!AC:AC)+SUMIF('Budget-ACPLGZ'!$A:$A,$A40,'Budget-ACPLGZ'!AC:AC)+SUMIF('Budget-Yixing'!$A:$A,$A40,'Budget-Yixing'!AC:AC)</f>
        <v>51604.4</v>
      </c>
      <c r="AD40" s="688">
        <f ca="1">SUMIF('Budget-ACPL'!$A:$A,$A40,'Budget-ACPL'!AD:AD)+SUMIF('Budget-ACPLHK'!$A:$A,$A40,'Budget-ACPLHK'!AD:AD)+SUMIF('Budget-ACPSZL'!$A:$A,$A40,'Budget-ACPSZL'!AD:AD)+SUMIF('Budget-ACPLSZ'!$A:$A,$A40,'Budget-ACPLSZ'!AD:AD)+SUMIF('Budget-ACPLGZ'!$A:$A,$A40,'Budget-ACPLGZ'!AD:AD)+SUMIF('Budget-Yixing'!$A:$A,$A40,'Budget-Yixing'!AD:AD)</f>
        <v>48405.32</v>
      </c>
      <c r="AE40" s="688">
        <f ca="1">SUMIF('Budget-ACPL'!$A:$A,$A40,'Budget-ACPL'!AE:AE)+SUMIF('Budget-ACPLHK'!$A:$A,$A40,'Budget-ACPLHK'!AE:AE)+SUMIF('Budget-ACPSZL'!$A:$A,$A40,'Budget-ACPSZL'!AE:AE)+SUMIF('Budget-ACPLSZ'!$A:$A,$A40,'Budget-ACPLSZ'!AE:AE)+SUMIF('Budget-ACPLGZ'!$A:$A,$A40,'Budget-ACPLGZ'!AE:AE)+SUMIF('Budget-Yixing'!$A:$A,$A40,'Budget-Yixing'!AE:AE)</f>
        <v>50816.759999999995</v>
      </c>
      <c r="AF40" s="688">
        <f ca="1">SUMIF('Budget-ACPL'!$A:$A,$A40,'Budget-ACPL'!AF:AF)+SUMIF('Budget-ACPLHK'!$A:$A,$A40,'Budget-ACPLHK'!AF:AF)+SUMIF('Budget-ACPSZL'!$A:$A,$A40,'Budget-ACPSZL'!AF:AF)+SUMIF('Budget-ACPLSZ'!$A:$A,$A40,'Budget-ACPLSZ'!AF:AF)+SUMIF('Budget-ACPLGZ'!$A:$A,$A40,'Budget-ACPLGZ'!AF:AF)+SUMIF('Budget-Yixing'!$A:$A,$A40,'Budget-Yixing'!AF:AF)</f>
        <v>50816.759999999995</v>
      </c>
      <c r="AG40" s="688">
        <f ca="1">SUMIF('Budget-ACPL'!$A:$A,$A40,'Budget-ACPL'!AG:AG)+SUMIF('Budget-ACPLHK'!$A:$A,$A40,'Budget-ACPLHK'!AG:AG)+SUMIF('Budget-ACPSZL'!$A:$A,$A40,'Budget-ACPSZL'!AG:AG)+SUMIF('Budget-ACPLSZ'!$A:$A,$A40,'Budget-ACPLSZ'!AG:AG)+SUMIF('Budget-ACPLGZ'!$A:$A,$A40,'Budget-ACPLGZ'!AG:AG)+SUMIF('Budget-Yixing'!$A:$A,$A40,'Budget-Yixing'!AG:AG)</f>
        <v>50879.759999999995</v>
      </c>
      <c r="AH40" s="688">
        <f ca="1">SUMIF('Budget-ACPL'!$A:$A,$A40,'Budget-ACPL'!AH:AH)+SUMIF('Budget-ACPLHK'!$A:$A,$A40,'Budget-ACPLHK'!AH:AH)+SUMIF('Budget-ACPSZL'!$A:$A,$A40,'Budget-ACPSZL'!AH:AH)+SUMIF('Budget-ACPLSZ'!$A:$A,$A40,'Budget-ACPLSZ'!AH:AH)+SUMIF('Budget-ACPLGZ'!$A:$A,$A40,'Budget-ACPLGZ'!AH:AH)+SUMIF('Budget-Yixing'!$A:$A,$A40,'Budget-Yixing'!AH:AH)</f>
        <v>51005.759999999995</v>
      </c>
      <c r="AI40" s="688">
        <f ca="1">SUMIF('Budget-ACPL'!$A:$A,$A40,'Budget-ACPL'!AI:AI)+SUMIF('Budget-ACPLHK'!$A:$A,$A40,'Budget-ACPLHK'!AI:AI)+SUMIF('Budget-ACPSZL'!$A:$A,$A40,'Budget-ACPSZL'!AI:AI)+SUMIF('Budget-ACPLSZ'!$A:$A,$A40,'Budget-ACPLSZ'!AI:AI)+SUMIF('Budget-ACPLGZ'!$A:$A,$A40,'Budget-ACPLGZ'!AI:AI)+SUMIF('Budget-Yixing'!$A:$A,$A40,'Budget-Yixing'!AI:AI)</f>
        <v>50879.759999999995</v>
      </c>
      <c r="AJ40" s="688">
        <f ca="1">SUMIF('Budget-ACPL'!$A:$A,$A40,'Budget-ACPL'!AJ:AJ)+SUMIF('Budget-ACPLHK'!$A:$A,$A40,'Budget-ACPLHK'!AJ:AJ)+SUMIF('Budget-ACPSZL'!$A:$A,$A40,'Budget-ACPSZL'!AJ:AJ)+SUMIF('Budget-ACPLSZ'!$A:$A,$A40,'Budget-ACPLSZ'!AJ:AJ)+SUMIF('Budget-ACPLGZ'!$A:$A,$A40,'Budget-ACPLGZ'!AJ:AJ)+SUMIF('Budget-Yixing'!$A:$A,$A40,'Budget-Yixing'!AJ:AJ)</f>
        <v>50879.759999999995</v>
      </c>
      <c r="AK40" s="688">
        <f t="shared" ca="1" si="22"/>
        <v>548913.24</v>
      </c>
    </row>
    <row r="41" spans="1:37" ht="13.5" customHeight="1">
      <c r="A41" s="713" t="s">
        <v>1506</v>
      </c>
      <c r="B41" s="687" t="str">
        <f>VLOOKUP(A41,Account!A:B,2,0)</f>
        <v>员工强制性公积金福利</v>
      </c>
      <c r="C41" s="687" t="str">
        <f>VLOOKUP(A41,Account!A:F,4,0)</f>
        <v>Pension Local/MPF</v>
      </c>
      <c r="D41" s="676">
        <f t="shared" ca="1" si="18"/>
        <v>0</v>
      </c>
      <c r="E41" s="676" t="e">
        <f t="shared" si="13"/>
        <v>#N/A</v>
      </c>
      <c r="F41" s="676" t="e">
        <f t="shared" ca="1" si="14"/>
        <v>#N/A</v>
      </c>
      <c r="G41" s="676">
        <f t="shared" ca="1" si="19"/>
        <v>0</v>
      </c>
      <c r="H41" s="676" t="e">
        <f t="shared" ca="1" si="20"/>
        <v>#N/A</v>
      </c>
      <c r="I41" s="676" t="e">
        <f t="shared" ca="1" si="15"/>
        <v>#N/A</v>
      </c>
      <c r="K41" s="676">
        <f ca="1">SUMIF('Budget-ACPL'!$A:$A,$A41,'Budget-ACPL'!K:K)+SUMIF('Budget-ACPLHK'!$A:$A,$A41,'Budget-ACPLHK'!K:K)+SUMIF('Budget-ACPSZL'!$A:$A,$A41,'Budget-ACPSZL'!K:K)+SUMIF('Budget-ACPLSZ'!$A:$A,$A41,'Budget-ACPLSZ'!K:K)+SUMIF('Budget-ACPLGZ'!$A:$A,$A41,'Budget-ACPLGZ'!K:K)+SUMIF('Budget-Yixing'!$A:$A,$A41,'Budget-Yixing'!K:K)</f>
        <v>0</v>
      </c>
      <c r="L41" s="676">
        <f ca="1">SUMIF('Budget-ACPL'!$A:$A,$A41,'Budget-ACPL'!L:L)+SUMIF('Budget-ACPLHK'!$A:$A,$A41,'Budget-ACPLHK'!L:L)+SUMIF('Budget-ACPSZL'!$A:$A,$A41,'Budget-ACPSZL'!L:L)+SUMIF('Budget-ACPLSZ'!$A:$A,$A41,'Budget-ACPLSZ'!L:L)+SUMIF('Budget-ACPLGZ'!$A:$A,$A41,'Budget-ACPLGZ'!L:L)+SUMIF('Budget-Yixing'!$A:$A,$A41,'Budget-Yixing'!L:L)</f>
        <v>0</v>
      </c>
      <c r="M41" s="676">
        <f ca="1">SUMIF('Budget-ACPL'!$A:$A,$A41,'Budget-ACPL'!M:M)+SUMIF('Budget-ACPLHK'!$A:$A,$A41,'Budget-ACPLHK'!M:M)+SUMIF('Budget-ACPSZL'!$A:$A,$A41,'Budget-ACPSZL'!M:M)+SUMIF('Budget-ACPLSZ'!$A:$A,$A41,'Budget-ACPLSZ'!M:M)+SUMIF('Budget-ACPLGZ'!$A:$A,$A41,'Budget-ACPLGZ'!M:M)+SUMIF('Budget-Yixing'!$A:$A,$A41,'Budget-Yixing'!M:M)</f>
        <v>0</v>
      </c>
      <c r="N41" s="676">
        <f ca="1">SUMIF('Budget-ACPL'!$A:$A,$A41,'Budget-ACPL'!N:N)+SUMIF('Budget-ACPLHK'!$A:$A,$A41,'Budget-ACPLHK'!N:N)+SUMIF('Budget-ACPSZL'!$A:$A,$A41,'Budget-ACPSZL'!N:N)+SUMIF('Budget-ACPLSZ'!$A:$A,$A41,'Budget-ACPLSZ'!N:N)+SUMIF('Budget-ACPLGZ'!$A:$A,$A41,'Budget-ACPLGZ'!N:N)+SUMIF('Budget-Yixing'!$A:$A,$A41,'Budget-Yixing'!N:N)</f>
        <v>0</v>
      </c>
      <c r="O41" s="676">
        <f ca="1">SUMIF('Budget-ACPL'!$A:$A,$A41,'Budget-ACPL'!O:O)+SUMIF('Budget-ACPLHK'!$A:$A,$A41,'Budget-ACPLHK'!O:O)+SUMIF('Budget-ACPSZL'!$A:$A,$A41,'Budget-ACPSZL'!O:O)+SUMIF('Budget-ACPLSZ'!$A:$A,$A41,'Budget-ACPLSZ'!O:O)+SUMIF('Budget-ACPLGZ'!$A:$A,$A41,'Budget-ACPLGZ'!O:O)+SUMIF('Budget-Yixing'!$A:$A,$A41,'Budget-Yixing'!O:O)</f>
        <v>0</v>
      </c>
      <c r="P41" s="676">
        <f ca="1">SUMIF('Budget-ACPL'!$A:$A,$A41,'Budget-ACPL'!P:P)+SUMIF('Budget-ACPLHK'!$A:$A,$A41,'Budget-ACPLHK'!P:P)+SUMIF('Budget-ACPSZL'!$A:$A,$A41,'Budget-ACPSZL'!P:P)+SUMIF('Budget-ACPLSZ'!$A:$A,$A41,'Budget-ACPLSZ'!P:P)+SUMIF('Budget-ACPLGZ'!$A:$A,$A41,'Budget-ACPLGZ'!P:P)+SUMIF('Budget-Yixing'!$A:$A,$A41,'Budget-Yixing'!P:P)</f>
        <v>0</v>
      </c>
      <c r="Q41" s="676">
        <f ca="1">SUMIF('Budget-ACPL'!$A:$A,$A41,'Budget-ACPL'!Q:Q)+SUMIF('Budget-ACPLHK'!$A:$A,$A41,'Budget-ACPLHK'!Q:Q)+SUMIF('Budget-ACPSZL'!$A:$A,$A41,'Budget-ACPSZL'!Q:Q)+SUMIF('Budget-ACPLSZ'!$A:$A,$A41,'Budget-ACPLSZ'!Q:Q)+SUMIF('Budget-ACPLGZ'!$A:$A,$A41,'Budget-ACPLGZ'!Q:Q)+SUMIF('Budget-Yixing'!$A:$A,$A41,'Budget-Yixing'!Q:Q)</f>
        <v>0</v>
      </c>
      <c r="R41" s="676">
        <f ca="1">SUMIF('Budget-ACPL'!$A:$A,$A41,'Budget-ACPL'!R:R)+SUMIF('Budget-ACPLHK'!$A:$A,$A41,'Budget-ACPLHK'!R:R)+SUMIF('Budget-ACPSZL'!$A:$A,$A41,'Budget-ACPSZL'!R:R)+SUMIF('Budget-ACPLSZ'!$A:$A,$A41,'Budget-ACPLSZ'!R:R)+SUMIF('Budget-ACPLGZ'!$A:$A,$A41,'Budget-ACPLGZ'!R:R)+SUMIF('Budget-Yixing'!$A:$A,$A41,'Budget-Yixing'!R:R)</f>
        <v>0</v>
      </c>
      <c r="S41" s="676">
        <f ca="1">SUMIF('Budget-ACPL'!$A:$A,$A41,'Budget-ACPL'!S:S)+SUMIF('Budget-ACPLHK'!$A:$A,$A41,'Budget-ACPLHK'!S:S)+SUMIF('Budget-ACPSZL'!$A:$A,$A41,'Budget-ACPSZL'!S:S)+SUMIF('Budget-ACPLSZ'!$A:$A,$A41,'Budget-ACPLSZ'!S:S)+SUMIF('Budget-ACPLGZ'!$A:$A,$A41,'Budget-ACPLGZ'!S:S)+SUMIF('Budget-Yixing'!$A:$A,$A41,'Budget-Yixing'!S:S)</f>
        <v>0</v>
      </c>
      <c r="T41" s="676">
        <f ca="1">SUMIF('Budget-ACPL'!$A:$A,$A41,'Budget-ACPL'!T:T)+SUMIF('Budget-ACPLHK'!$A:$A,$A41,'Budget-ACPLHK'!T:T)+SUMIF('Budget-ACPSZL'!$A:$A,$A41,'Budget-ACPSZL'!T:T)+SUMIF('Budget-ACPLSZ'!$A:$A,$A41,'Budget-ACPLSZ'!T:T)+SUMIF('Budget-ACPLGZ'!$A:$A,$A41,'Budget-ACPLGZ'!T:T)+SUMIF('Budget-Yixing'!$A:$A,$A41,'Budget-Yixing'!T:T)</f>
        <v>0</v>
      </c>
      <c r="U41" s="676">
        <f ca="1">SUMIF('Budget-ACPL'!$A:$A,$A41,'Budget-ACPL'!U:U)+SUMIF('Budget-ACPLHK'!$A:$A,$A41,'Budget-ACPLHK'!U:U)+SUMIF('Budget-ACPSZL'!$A:$A,$A41,'Budget-ACPSZL'!U:U)+SUMIF('Budget-ACPLSZ'!$A:$A,$A41,'Budget-ACPLSZ'!U:U)+SUMIF('Budget-ACPLGZ'!$A:$A,$A41,'Budget-ACPLGZ'!U:U)+SUMIF('Budget-Yixing'!$A:$A,$A41,'Budget-Yixing'!U:U)</f>
        <v>0</v>
      </c>
      <c r="V41" s="676">
        <f ca="1">SUMIF('Budget-ACPL'!$A:$A,$A41,'Budget-ACPL'!V:V)+SUMIF('Budget-ACPLHK'!$A:$A,$A41,'Budget-ACPLHK'!V:V)+SUMIF('Budget-ACPSZL'!$A:$A,$A41,'Budget-ACPSZL'!V:V)+SUMIF('Budget-ACPLSZ'!$A:$A,$A41,'Budget-ACPLSZ'!V:V)+SUMIF('Budget-ACPLGZ'!$A:$A,$A41,'Budget-ACPLGZ'!V:V)+SUMIF('Budget-Yixing'!$A:$A,$A41,'Budget-Yixing'!V:V)</f>
        <v>0</v>
      </c>
      <c r="W41" s="676"/>
      <c r="Y41" s="688">
        <f ca="1">SUMIF('Budget-ACPL'!$A:$A,$A41,'Budget-ACPL'!Y:Y)+SUMIF('Budget-ACPLHK'!$A:$A,$A41,'Budget-ACPLHK'!Y:Y)+SUMIF('Budget-ACPSZL'!$A:$A,$A41,'Budget-ACPSZL'!Y:Y)+SUMIF('Budget-ACPLSZ'!$A:$A,$A41,'Budget-ACPLSZ'!Y:Y)+SUMIF('Budget-ACPLGZ'!$A:$A,$A41,'Budget-ACPLGZ'!Y:Y)+SUMIF('Budget-Yixing'!$A:$A,$A41,'Budget-Yixing'!Y:Y)</f>
        <v>10900</v>
      </c>
      <c r="Z41" s="688">
        <f ca="1">SUMIF('Budget-ACPL'!$A:$A,$A41,'Budget-ACPL'!Z:Z)+SUMIF('Budget-ACPLHK'!$A:$A,$A41,'Budget-ACPLHK'!Z:Z)+SUMIF('Budget-ACPSZL'!$A:$A,$A41,'Budget-ACPSZL'!Z:Z)+SUMIF('Budget-ACPLSZ'!$A:$A,$A41,'Budget-ACPLSZ'!Z:Z)+SUMIF('Budget-ACPLGZ'!$A:$A,$A41,'Budget-ACPLGZ'!Z:Z)+SUMIF('Budget-Yixing'!$A:$A,$A41,'Budget-Yixing'!Z:Z)</f>
        <v>10900</v>
      </c>
      <c r="AA41" s="688">
        <f ca="1">SUMIF('Budget-ACPL'!$A:$A,$A41,'Budget-ACPL'!AA:AA)+SUMIF('Budget-ACPLHK'!$A:$A,$A41,'Budget-ACPLHK'!AA:AA)+SUMIF('Budget-ACPSZL'!$A:$A,$A41,'Budget-ACPSZL'!AA:AA)+SUMIF('Budget-ACPLSZ'!$A:$A,$A41,'Budget-ACPLSZ'!AA:AA)+SUMIF('Budget-ACPLGZ'!$A:$A,$A41,'Budget-ACPLGZ'!AA:AA)+SUMIF('Budget-Yixing'!$A:$A,$A41,'Budget-Yixing'!AA:AA)</f>
        <v>10900</v>
      </c>
      <c r="AB41" s="688">
        <f ca="1">SUMIF('Budget-ACPL'!$A:$A,$A41,'Budget-ACPL'!AB:AB)+SUMIF('Budget-ACPLHK'!$A:$A,$A41,'Budget-ACPLHK'!AB:AB)+SUMIF('Budget-ACPSZL'!$A:$A,$A41,'Budget-ACPSZL'!AB:AB)+SUMIF('Budget-ACPLSZ'!$A:$A,$A41,'Budget-ACPLSZ'!AB:AB)+SUMIF('Budget-ACPLGZ'!$A:$A,$A41,'Budget-ACPLGZ'!AB:AB)+SUMIF('Budget-Yixing'!$A:$A,$A41,'Budget-Yixing'!AB:AB)</f>
        <v>10900</v>
      </c>
      <c r="AC41" s="688">
        <f ca="1">SUMIF('Budget-ACPL'!$A:$A,$A41,'Budget-ACPL'!AC:AC)+SUMIF('Budget-ACPLHK'!$A:$A,$A41,'Budget-ACPLHK'!AC:AC)+SUMIF('Budget-ACPSZL'!$A:$A,$A41,'Budget-ACPSZL'!AC:AC)+SUMIF('Budget-ACPLSZ'!$A:$A,$A41,'Budget-ACPLSZ'!AC:AC)+SUMIF('Budget-ACPLGZ'!$A:$A,$A41,'Budget-ACPLGZ'!AC:AC)+SUMIF('Budget-Yixing'!$A:$A,$A41,'Budget-Yixing'!AC:AC)</f>
        <v>10900</v>
      </c>
      <c r="AD41" s="688">
        <f ca="1">SUMIF('Budget-ACPL'!$A:$A,$A41,'Budget-ACPL'!AD:AD)+SUMIF('Budget-ACPLHK'!$A:$A,$A41,'Budget-ACPLHK'!AD:AD)+SUMIF('Budget-ACPSZL'!$A:$A,$A41,'Budget-ACPSZL'!AD:AD)+SUMIF('Budget-ACPLSZ'!$A:$A,$A41,'Budget-ACPLSZ'!AD:AD)+SUMIF('Budget-ACPLGZ'!$A:$A,$A41,'Budget-ACPLGZ'!AD:AD)+SUMIF('Budget-Yixing'!$A:$A,$A41,'Budget-Yixing'!AD:AD)</f>
        <v>10900</v>
      </c>
      <c r="AE41" s="688">
        <f ca="1">SUMIF('Budget-ACPL'!$A:$A,$A41,'Budget-ACPL'!AE:AE)+SUMIF('Budget-ACPLHK'!$A:$A,$A41,'Budget-ACPLHK'!AE:AE)+SUMIF('Budget-ACPSZL'!$A:$A,$A41,'Budget-ACPSZL'!AE:AE)+SUMIF('Budget-ACPLSZ'!$A:$A,$A41,'Budget-ACPLSZ'!AE:AE)+SUMIF('Budget-ACPLGZ'!$A:$A,$A41,'Budget-ACPLGZ'!AE:AE)+SUMIF('Budget-Yixing'!$A:$A,$A41,'Budget-Yixing'!AE:AE)</f>
        <v>9400</v>
      </c>
      <c r="AF41" s="688">
        <f ca="1">SUMIF('Budget-ACPL'!$A:$A,$A41,'Budget-ACPL'!AF:AF)+SUMIF('Budget-ACPLHK'!$A:$A,$A41,'Budget-ACPLHK'!AF:AF)+SUMIF('Budget-ACPSZL'!$A:$A,$A41,'Budget-ACPSZL'!AF:AF)+SUMIF('Budget-ACPLSZ'!$A:$A,$A41,'Budget-ACPLSZ'!AF:AF)+SUMIF('Budget-ACPLGZ'!$A:$A,$A41,'Budget-ACPLGZ'!AF:AF)+SUMIF('Budget-Yixing'!$A:$A,$A41,'Budget-Yixing'!AF:AF)</f>
        <v>9400</v>
      </c>
      <c r="AG41" s="688">
        <f ca="1">SUMIF('Budget-ACPL'!$A:$A,$A41,'Budget-ACPL'!AG:AG)+SUMIF('Budget-ACPLHK'!$A:$A,$A41,'Budget-ACPLHK'!AG:AG)+SUMIF('Budget-ACPSZL'!$A:$A,$A41,'Budget-ACPSZL'!AG:AG)+SUMIF('Budget-ACPLSZ'!$A:$A,$A41,'Budget-ACPLSZ'!AG:AG)+SUMIF('Budget-ACPLGZ'!$A:$A,$A41,'Budget-ACPLGZ'!AG:AG)+SUMIF('Budget-Yixing'!$A:$A,$A41,'Budget-Yixing'!AG:AG)</f>
        <v>9400</v>
      </c>
      <c r="AH41" s="688">
        <f ca="1">SUMIF('Budget-ACPL'!$A:$A,$A41,'Budget-ACPL'!AH:AH)+SUMIF('Budget-ACPLHK'!$A:$A,$A41,'Budget-ACPLHK'!AH:AH)+SUMIF('Budget-ACPSZL'!$A:$A,$A41,'Budget-ACPSZL'!AH:AH)+SUMIF('Budget-ACPLSZ'!$A:$A,$A41,'Budget-ACPLSZ'!AH:AH)+SUMIF('Budget-ACPLGZ'!$A:$A,$A41,'Budget-ACPLGZ'!AH:AH)+SUMIF('Budget-Yixing'!$A:$A,$A41,'Budget-Yixing'!AH:AH)</f>
        <v>8749.1899999999987</v>
      </c>
      <c r="AI41" s="688">
        <f ca="1">SUMIF('Budget-ACPL'!$A:$A,$A41,'Budget-ACPL'!AI:AI)+SUMIF('Budget-ACPLHK'!$A:$A,$A41,'Budget-ACPLHK'!AI:AI)+SUMIF('Budget-ACPSZL'!$A:$A,$A41,'Budget-ACPSZL'!AI:AI)+SUMIF('Budget-ACPLSZ'!$A:$A,$A41,'Budget-ACPLSZ'!AI:AI)+SUMIF('Budget-ACPLGZ'!$A:$A,$A41,'Budget-ACPLGZ'!AI:AI)+SUMIF('Budget-Yixing'!$A:$A,$A41,'Budget-Yixing'!AI:AI)</f>
        <v>7900</v>
      </c>
      <c r="AJ41" s="688">
        <f ca="1">SUMIF('Budget-ACPL'!$A:$A,$A41,'Budget-ACPL'!AJ:AJ)+SUMIF('Budget-ACPLHK'!$A:$A,$A41,'Budget-ACPLHK'!AJ:AJ)+SUMIF('Budget-ACPSZL'!$A:$A,$A41,'Budget-ACPSZL'!AJ:AJ)+SUMIF('Budget-ACPLSZ'!$A:$A,$A41,'Budget-ACPLSZ'!AJ:AJ)+SUMIF('Budget-ACPLGZ'!$A:$A,$A41,'Budget-ACPLGZ'!AJ:AJ)+SUMIF('Budget-Yixing'!$A:$A,$A41,'Budget-Yixing'!AJ:AJ)</f>
        <v>7900</v>
      </c>
      <c r="AK41" s="688">
        <f t="shared" ca="1" si="22"/>
        <v>118149.19</v>
      </c>
    </row>
    <row r="42" spans="1:37" ht="13.5" customHeight="1">
      <c r="A42" s="713"/>
      <c r="B42" s="649" t="s">
        <v>2089</v>
      </c>
      <c r="C42" s="649"/>
      <c r="D42" s="674">
        <f t="shared" ca="1" si="18"/>
        <v>1280894.577</v>
      </c>
      <c r="E42" s="674" t="e">
        <f t="shared" si="13"/>
        <v>#N/A</v>
      </c>
      <c r="F42" s="674" t="e">
        <f t="shared" ref="F42:F106" ca="1" si="24">D42-E42</f>
        <v>#N/A</v>
      </c>
      <c r="G42" s="674">
        <f t="shared" ca="1" si="19"/>
        <v>1280894.577</v>
      </c>
      <c r="H42" s="674" t="e">
        <f t="shared" ca="1" si="20"/>
        <v>#N/A</v>
      </c>
      <c r="I42" s="674" t="e">
        <f t="shared" ca="1" si="15"/>
        <v>#N/A</v>
      </c>
      <c r="K42" s="674">
        <f t="shared" ref="K42:W42" ca="1" si="25">SUM(K23,K33,K38)</f>
        <v>1280894.577</v>
      </c>
      <c r="L42" s="674">
        <f t="shared" ca="1" si="25"/>
        <v>1342386.4486666666</v>
      </c>
      <c r="M42" s="674">
        <f t="shared" ca="1" si="25"/>
        <v>1341554.3386666668</v>
      </c>
      <c r="N42" s="674">
        <f t="shared" ca="1" si="25"/>
        <v>3549701.5756666665</v>
      </c>
      <c r="O42" s="674">
        <f t="shared" ca="1" si="25"/>
        <v>1724388.5856666667</v>
      </c>
      <c r="P42" s="674">
        <f t="shared" ca="1" si="25"/>
        <v>1723941.5856666667</v>
      </c>
      <c r="Q42" s="674">
        <f t="shared" ca="1" si="25"/>
        <v>1724388.5856666667</v>
      </c>
      <c r="R42" s="674">
        <f t="shared" ca="1" si="25"/>
        <v>1747457.5856666667</v>
      </c>
      <c r="S42" s="674">
        <f t="shared" ca="1" si="25"/>
        <v>1747457.5856666667</v>
      </c>
      <c r="T42" s="674">
        <f t="shared" ca="1" si="25"/>
        <v>1747457.5856666667</v>
      </c>
      <c r="U42" s="674">
        <f t="shared" ca="1" si="25"/>
        <v>1747457.5856666667</v>
      </c>
      <c r="V42" s="674">
        <f t="shared" ca="1" si="25"/>
        <v>3075170.1570952376</v>
      </c>
      <c r="W42" s="674">
        <f t="shared" ca="1" si="25"/>
        <v>22752256.196761906</v>
      </c>
      <c r="Y42" s="677">
        <f t="shared" ref="Y42:AK42" ca="1" si="26">SUM(Y23,Y33,Y38)</f>
        <v>1509119.2</v>
      </c>
      <c r="Z42" s="677">
        <f t="shared" ca="1" si="26"/>
        <v>1518600.8499999999</v>
      </c>
      <c r="AA42" s="677">
        <f t="shared" ca="1" si="26"/>
        <v>1691634.0899999999</v>
      </c>
      <c r="AB42" s="677">
        <f t="shared" ca="1" si="26"/>
        <v>1539785.98</v>
      </c>
      <c r="AC42" s="677">
        <f t="shared" ca="1" si="26"/>
        <v>1679798.87</v>
      </c>
      <c r="AD42" s="677">
        <f t="shared" ca="1" si="26"/>
        <v>1566432.41</v>
      </c>
      <c r="AE42" s="677">
        <f t="shared" ca="1" si="26"/>
        <v>1528100.9300000002</v>
      </c>
      <c r="AF42" s="677">
        <f t="shared" ca="1" si="26"/>
        <v>1379490.0799999998</v>
      </c>
      <c r="AG42" s="677">
        <f t="shared" ca="1" si="26"/>
        <v>1510613.41</v>
      </c>
      <c r="AH42" s="677">
        <f t="shared" ca="1" si="26"/>
        <v>1477070.8699999999</v>
      </c>
      <c r="AI42" s="677">
        <f t="shared" ca="1" si="26"/>
        <v>1361794.06</v>
      </c>
      <c r="AJ42" s="677">
        <f t="shared" ca="1" si="26"/>
        <v>1403283.05</v>
      </c>
      <c r="AK42" s="677">
        <f t="shared" ca="1" si="26"/>
        <v>18165723.800000001</v>
      </c>
    </row>
    <row r="43" spans="1:37" ht="13.5" customHeight="1">
      <c r="A43" s="713"/>
      <c r="K43" s="654"/>
      <c r="L43" s="654"/>
      <c r="M43" s="654"/>
      <c r="N43" s="654"/>
      <c r="O43" s="654"/>
      <c r="P43" s="654"/>
      <c r="Q43" s="654"/>
      <c r="R43" s="654"/>
      <c r="S43" s="654"/>
      <c r="T43" s="654"/>
      <c r="U43" s="654"/>
      <c r="V43" s="654"/>
      <c r="W43" s="654"/>
    </row>
    <row r="44" spans="1:37" ht="13.5" customHeight="1">
      <c r="A44" s="716" t="s">
        <v>1510</v>
      </c>
      <c r="B44" s="717" t="str">
        <f>VLOOKUP(A44,Account!A:B,2,0)</f>
        <v>咨询及专业服务费</v>
      </c>
      <c r="C44" s="687">
        <f>VLOOKUP(A44,Account!A:F,4,0)</f>
        <v>0</v>
      </c>
      <c r="D44" s="676">
        <f t="shared" ref="D44:D107" ca="1" si="27">INDEX($K44:$W44,1,MATCH(D$6,$K$6:$W$6))</f>
        <v>65176.074000000001</v>
      </c>
      <c r="E44" s="676" t="e">
        <f t="shared" ref="E44:E107" si="28">INDEX($Y44:$AJ44,1,MATCH(E$6,$Y$6:$AJ$6))</f>
        <v>#N/A</v>
      </c>
      <c r="F44" s="676" t="e">
        <f t="shared" ca="1" si="24"/>
        <v>#N/A</v>
      </c>
      <c r="G44" s="676">
        <f t="shared" ref="G44:G107" ca="1" si="29">SUM($K44:OFFSET($K44,0,MATCH(G$6,$K$6:$W$6)-1))</f>
        <v>65176.074000000001</v>
      </c>
      <c r="H44" s="676" t="e">
        <f t="shared" ref="H44:H107" ca="1" si="30">SUM($Y44:OFFSET($Y44,0,MATCH(H$6,$Y$6:$AJ$6)-1))</f>
        <v>#N/A</v>
      </c>
      <c r="I44" s="676" t="e">
        <f t="shared" ref="I44:I107" ca="1" si="31">G44-H44</f>
        <v>#N/A</v>
      </c>
      <c r="K44" s="676">
        <f ca="1">SUMIF('Budget-ACPL'!$A:$A,$A44,'Budget-ACPL'!K:K)+SUMIF('Budget-ACPLHK'!$A:$A,$A44,'Budget-ACPLHK'!K:K)+SUMIF('Budget-ACPSZL'!$A:$A,$A44,'Budget-ACPSZL'!K:K)+SUMIF('Budget-ACPLSZ'!$A:$A,$A44,'Budget-ACPLSZ'!K:K)+SUMIF('Budget-ACPLGZ'!$A:$A,$A44,'Budget-ACPLGZ'!K:K)+SUMIF('Budget-Yixing'!$A:$A,$A44,'Budget-Yixing'!K:K)</f>
        <v>65176.074000000001</v>
      </c>
      <c r="L44" s="676">
        <f ca="1">SUMIF('Budget-ACPL'!$A:$A,$A44,'Budget-ACPL'!L:L)+SUMIF('Budget-ACPLHK'!$A:$A,$A44,'Budget-ACPLHK'!L:L)+SUMIF('Budget-ACPSZL'!$A:$A,$A44,'Budget-ACPSZL'!L:L)+SUMIF('Budget-ACPLSZ'!$A:$A,$A44,'Budget-ACPLSZ'!L:L)+SUMIF('Budget-ACPLGZ'!$A:$A,$A44,'Budget-ACPLGZ'!L:L)+SUMIF('Budget-Yixing'!$A:$A,$A44,'Budget-Yixing'!L:L)</f>
        <v>155924.22</v>
      </c>
      <c r="M44" s="676">
        <f ca="1">SUMIF('Budget-ACPL'!$A:$A,$A44,'Budget-ACPL'!M:M)+SUMIF('Budget-ACPLHK'!$A:$A,$A44,'Budget-ACPLHK'!M:M)+SUMIF('Budget-ACPSZL'!$A:$A,$A44,'Budget-ACPSZL'!M:M)+SUMIF('Budget-ACPLSZ'!$A:$A,$A44,'Budget-ACPLSZ'!M:M)+SUMIF('Budget-ACPLGZ'!$A:$A,$A44,'Budget-ACPLGZ'!M:M)+SUMIF('Budget-Yixing'!$A:$A,$A44,'Budget-Yixing'!M:M)</f>
        <v>64844.22</v>
      </c>
      <c r="N44" s="676">
        <f ca="1">SUMIF('Budget-ACPL'!$A:$A,$A44,'Budget-ACPL'!N:N)+SUMIF('Budget-ACPLHK'!$A:$A,$A44,'Budget-ACPLHK'!N:N)+SUMIF('Budget-ACPSZL'!$A:$A,$A44,'Budget-ACPSZL'!N:N)+SUMIF('Budget-ACPLSZ'!$A:$A,$A44,'Budget-ACPLSZ'!N:N)+SUMIF('Budget-ACPLGZ'!$A:$A,$A44,'Budget-ACPLGZ'!N:N)+SUMIF('Budget-Yixing'!$A:$A,$A44,'Budget-Yixing'!N:N)</f>
        <v>77844.22</v>
      </c>
      <c r="O44" s="676">
        <f ca="1">SUMIF('Budget-ACPL'!$A:$A,$A44,'Budget-ACPL'!O:O)+SUMIF('Budget-ACPLHK'!$A:$A,$A44,'Budget-ACPLHK'!O:O)+SUMIF('Budget-ACPSZL'!$A:$A,$A44,'Budget-ACPSZL'!O:O)+SUMIF('Budget-ACPLSZ'!$A:$A,$A44,'Budget-ACPLSZ'!O:O)+SUMIF('Budget-ACPLGZ'!$A:$A,$A44,'Budget-ACPLGZ'!O:O)+SUMIF('Budget-Yixing'!$A:$A,$A44,'Budget-Yixing'!O:O)</f>
        <v>491596.02</v>
      </c>
      <c r="P44" s="676">
        <f ca="1">SUMIF('Budget-ACPL'!$A:$A,$A44,'Budget-ACPL'!P:P)+SUMIF('Budget-ACPLHK'!$A:$A,$A44,'Budget-ACPLHK'!P:P)+SUMIF('Budget-ACPSZL'!$A:$A,$A44,'Budget-ACPSZL'!P:P)+SUMIF('Budget-ACPLSZ'!$A:$A,$A44,'Budget-ACPLSZ'!P:P)+SUMIF('Budget-ACPLGZ'!$A:$A,$A44,'Budget-ACPLGZ'!P:P)+SUMIF('Budget-Yixing'!$A:$A,$A44,'Budget-Yixing'!P:P)</f>
        <v>778996.7</v>
      </c>
      <c r="Q44" s="676">
        <f ca="1">SUMIF('Budget-ACPL'!$A:$A,$A44,'Budget-ACPL'!Q:Q)+SUMIF('Budget-ACPLHK'!$A:$A,$A44,'Budget-ACPLHK'!Q:Q)+SUMIF('Budget-ACPSZL'!$A:$A,$A44,'Budget-ACPSZL'!Q:Q)+SUMIF('Budget-ACPLSZ'!$A:$A,$A44,'Budget-ACPLSZ'!Q:Q)+SUMIF('Budget-ACPLGZ'!$A:$A,$A44,'Budget-ACPLGZ'!Q:Q)+SUMIF('Budget-Yixing'!$A:$A,$A44,'Budget-Yixing'!Q:Q)</f>
        <v>77844.22</v>
      </c>
      <c r="R44" s="676">
        <f ca="1">SUMIF('Budget-ACPL'!$A:$A,$A44,'Budget-ACPL'!R:R)+SUMIF('Budget-ACPLHK'!$A:$A,$A44,'Budget-ACPLHK'!R:R)+SUMIF('Budget-ACPSZL'!$A:$A,$A44,'Budget-ACPSZL'!R:R)+SUMIF('Budget-ACPLSZ'!$A:$A,$A44,'Budget-ACPLSZ'!R:R)+SUMIF('Budget-ACPLGZ'!$A:$A,$A44,'Budget-ACPLGZ'!R:R)+SUMIF('Budget-Yixing'!$A:$A,$A44,'Budget-Yixing'!R:R)</f>
        <v>148420.22</v>
      </c>
      <c r="S44" s="676">
        <f ca="1">SUMIF('Budget-ACPL'!$A:$A,$A44,'Budget-ACPL'!S:S)+SUMIF('Budget-ACPLHK'!$A:$A,$A44,'Budget-ACPLHK'!S:S)+SUMIF('Budget-ACPSZL'!$A:$A,$A44,'Budget-ACPSZL'!S:S)+SUMIF('Budget-ACPLSZ'!$A:$A,$A44,'Budget-ACPLSZ'!S:S)+SUMIF('Budget-ACPLGZ'!$A:$A,$A44,'Budget-ACPLGZ'!S:S)+SUMIF('Budget-Yixing'!$A:$A,$A44,'Budget-Yixing'!S:S)</f>
        <v>298420.21999999997</v>
      </c>
      <c r="T44" s="676">
        <f ca="1">SUMIF('Budget-ACPL'!$A:$A,$A44,'Budget-ACPL'!T:T)+SUMIF('Budget-ACPLHK'!$A:$A,$A44,'Budget-ACPLHK'!T:T)+SUMIF('Budget-ACPSZL'!$A:$A,$A44,'Budget-ACPSZL'!T:T)+SUMIF('Budget-ACPLSZ'!$A:$A,$A44,'Budget-ACPLSZ'!T:T)+SUMIF('Budget-ACPLGZ'!$A:$A,$A44,'Budget-ACPLGZ'!T:T)+SUMIF('Budget-Yixing'!$A:$A,$A44,'Budget-Yixing'!T:T)</f>
        <v>148420.22</v>
      </c>
      <c r="U44" s="676">
        <f ca="1">SUMIF('Budget-ACPL'!$A:$A,$A44,'Budget-ACPL'!U:U)+SUMIF('Budget-ACPLHK'!$A:$A,$A44,'Budget-ACPLHK'!U:U)+SUMIF('Budget-ACPSZL'!$A:$A,$A44,'Budget-ACPSZL'!U:U)+SUMIF('Budget-ACPLSZ'!$A:$A,$A44,'Budget-ACPLSZ'!U:U)+SUMIF('Budget-ACPLGZ'!$A:$A,$A44,'Budget-ACPLGZ'!U:U)+SUMIF('Budget-Yixing'!$A:$A,$A44,'Budget-Yixing'!U:U)</f>
        <v>148420.22</v>
      </c>
      <c r="V44" s="676">
        <f ca="1">SUMIF('Budget-ACPL'!$A:$A,$A44,'Budget-ACPL'!V:V)+SUMIF('Budget-ACPLHK'!$A:$A,$A44,'Budget-ACPLHK'!V:V)+SUMIF('Budget-ACPSZL'!$A:$A,$A44,'Budget-ACPSZL'!V:V)+SUMIF('Budget-ACPLSZ'!$A:$A,$A44,'Budget-ACPLSZ'!V:V)+SUMIF('Budget-ACPLGZ'!$A:$A,$A44,'Budget-ACPLGZ'!V:V)+SUMIF('Budget-Yixing'!$A:$A,$A44,'Budget-Yixing'!V:V)</f>
        <v>694264.31599999999</v>
      </c>
      <c r="W44" s="676">
        <f t="shared" ref="W44:W60" ca="1" si="32">SUM(K44:V44)</f>
        <v>3150170.8700000006</v>
      </c>
      <c r="Y44" s="688">
        <f ca="1">SUMIF('Budget-ACPL'!$A:$A,$A44,'Budget-ACPL'!Y:Y)+SUMIF('Budget-ACPLHK'!$A:$A,$A44,'Budget-ACPLHK'!Y:Y)+SUMIF('Budget-ACPSZL'!$A:$A,$A44,'Budget-ACPSZL'!Y:Y)+SUMIF('Budget-ACPLSZ'!$A:$A,$A44,'Budget-ACPLSZ'!Y:Y)+SUMIF('Budget-ACPLGZ'!$A:$A,$A44,'Budget-ACPLGZ'!Y:Y)+SUMIF('Budget-Yixing'!$A:$A,$A44,'Budget-Yixing'!Y:Y)</f>
        <v>69805.66</v>
      </c>
      <c r="Z44" s="688">
        <f ca="1">SUMIF('Budget-ACPL'!$A:$A,$A44,'Budget-ACPL'!Z:Z)+SUMIF('Budget-ACPLHK'!$A:$A,$A44,'Budget-ACPLHK'!Z:Z)+SUMIF('Budget-ACPSZL'!$A:$A,$A44,'Budget-ACPSZL'!Z:Z)+SUMIF('Budget-ACPLSZ'!$A:$A,$A44,'Budget-ACPLSZ'!Z:Z)+SUMIF('Budget-ACPLGZ'!$A:$A,$A44,'Budget-ACPLGZ'!Z:Z)+SUMIF('Budget-Yixing'!$A:$A,$A44,'Budget-Yixing'!Z:Z)</f>
        <v>366634.72</v>
      </c>
      <c r="AA44" s="688">
        <f ca="1">SUMIF('Budget-ACPL'!$A:$A,$A44,'Budget-ACPL'!AA:AA)+SUMIF('Budget-ACPLHK'!$A:$A,$A44,'Budget-ACPLHK'!AA:AA)+SUMIF('Budget-ACPSZL'!$A:$A,$A44,'Budget-ACPSZL'!AA:AA)+SUMIF('Budget-ACPLSZ'!$A:$A,$A44,'Budget-ACPLSZ'!AA:AA)+SUMIF('Budget-ACPLGZ'!$A:$A,$A44,'Budget-ACPLGZ'!AA:AA)+SUMIF('Budget-Yixing'!$A:$A,$A44,'Budget-Yixing'!AA:AA)</f>
        <v>878284.85000000009</v>
      </c>
      <c r="AB44" s="688">
        <f ca="1">SUMIF('Budget-ACPL'!$A:$A,$A44,'Budget-ACPL'!AB:AB)+SUMIF('Budget-ACPLHK'!$A:$A,$A44,'Budget-ACPLHK'!AB:AB)+SUMIF('Budget-ACPSZL'!$A:$A,$A44,'Budget-ACPSZL'!AB:AB)+SUMIF('Budget-ACPLSZ'!$A:$A,$A44,'Budget-ACPLSZ'!AB:AB)+SUMIF('Budget-ACPLGZ'!$A:$A,$A44,'Budget-ACPLGZ'!AB:AB)+SUMIF('Budget-Yixing'!$A:$A,$A44,'Budget-Yixing'!AB:AB)</f>
        <v>105086.8</v>
      </c>
      <c r="AC44" s="688">
        <f ca="1">SUMIF('Budget-ACPL'!$A:$A,$A44,'Budget-ACPL'!AC:AC)+SUMIF('Budget-ACPLHK'!$A:$A,$A44,'Budget-ACPLHK'!AC:AC)+SUMIF('Budget-ACPSZL'!$A:$A,$A44,'Budget-ACPSZL'!AC:AC)+SUMIF('Budget-ACPLSZ'!$A:$A,$A44,'Budget-ACPLSZ'!AC:AC)+SUMIF('Budget-ACPLGZ'!$A:$A,$A44,'Budget-ACPLGZ'!AC:AC)+SUMIF('Budget-Yixing'!$A:$A,$A44,'Budget-Yixing'!AC:AC)</f>
        <v>96560.2</v>
      </c>
      <c r="AD44" s="688">
        <f ca="1">SUMIF('Budget-ACPL'!$A:$A,$A44,'Budget-ACPL'!AD:AD)+SUMIF('Budget-ACPLHK'!$A:$A,$A44,'Budget-ACPLHK'!AD:AD)+SUMIF('Budget-ACPSZL'!$A:$A,$A44,'Budget-ACPSZL'!AD:AD)+SUMIF('Budget-ACPLSZ'!$A:$A,$A44,'Budget-ACPLSZ'!AD:AD)+SUMIF('Budget-ACPLGZ'!$A:$A,$A44,'Budget-ACPLGZ'!AD:AD)+SUMIF('Budget-Yixing'!$A:$A,$A44,'Budget-Yixing'!AD:AD)</f>
        <v>1059642.77</v>
      </c>
      <c r="AE44" s="688">
        <f ca="1">SUMIF('Budget-ACPL'!$A:$A,$A44,'Budget-ACPL'!AE:AE)+SUMIF('Budget-ACPLHK'!$A:$A,$A44,'Budget-ACPLHK'!AE:AE)+SUMIF('Budget-ACPSZL'!$A:$A,$A44,'Budget-ACPSZL'!AE:AE)+SUMIF('Budget-ACPLSZ'!$A:$A,$A44,'Budget-ACPLSZ'!AE:AE)+SUMIF('Budget-ACPLGZ'!$A:$A,$A44,'Budget-ACPLGZ'!AE:AE)+SUMIF('Budget-Yixing'!$A:$A,$A44,'Budget-Yixing'!AE:AE)</f>
        <v>65087.420000000042</v>
      </c>
      <c r="AF44" s="688">
        <f ca="1">SUMIF('Budget-ACPL'!$A:$A,$A44,'Budget-ACPL'!AF:AF)+SUMIF('Budget-ACPLHK'!$A:$A,$A44,'Budget-ACPLHK'!AF:AF)+SUMIF('Budget-ACPSZL'!$A:$A,$A44,'Budget-ACPSZL'!AF:AF)+SUMIF('Budget-ACPLSZ'!$A:$A,$A44,'Budget-ACPLSZ'!AF:AF)+SUMIF('Budget-ACPLGZ'!$A:$A,$A44,'Budget-ACPLGZ'!AF:AF)+SUMIF('Budget-Yixing'!$A:$A,$A44,'Budget-Yixing'!AF:AF)</f>
        <v>149121.57</v>
      </c>
      <c r="AG44" s="688">
        <f ca="1">SUMIF('Budget-ACPL'!$A:$A,$A44,'Budget-ACPL'!AG:AG)+SUMIF('Budget-ACPLHK'!$A:$A,$A44,'Budget-ACPLHK'!AG:AG)+SUMIF('Budget-ACPSZL'!$A:$A,$A44,'Budget-ACPSZL'!AG:AG)+SUMIF('Budget-ACPLSZ'!$A:$A,$A44,'Budget-ACPLSZ'!AG:AG)+SUMIF('Budget-ACPLGZ'!$A:$A,$A44,'Budget-ACPLGZ'!AG:AG)+SUMIF('Budget-Yixing'!$A:$A,$A44,'Budget-Yixing'!AG:AG)</f>
        <v>143430.81</v>
      </c>
      <c r="AH44" s="688">
        <f ca="1">SUMIF('Budget-ACPL'!$A:$A,$A44,'Budget-ACPL'!AH:AH)+SUMIF('Budget-ACPLHK'!$A:$A,$A44,'Budget-ACPLHK'!AH:AH)+SUMIF('Budget-ACPSZL'!$A:$A,$A44,'Budget-ACPSZL'!AH:AH)+SUMIF('Budget-ACPLSZ'!$A:$A,$A44,'Budget-ACPLSZ'!AH:AH)+SUMIF('Budget-ACPLGZ'!$A:$A,$A44,'Budget-ACPLGZ'!AH:AH)+SUMIF('Budget-Yixing'!$A:$A,$A44,'Budget-Yixing'!AH:AH)</f>
        <v>-377084.75</v>
      </c>
      <c r="AI44" s="688">
        <f ca="1">SUMIF('Budget-ACPL'!$A:$A,$A44,'Budget-ACPL'!AI:AI)+SUMIF('Budget-ACPLHK'!$A:$A,$A44,'Budget-ACPLHK'!AI:AI)+SUMIF('Budget-ACPSZL'!$A:$A,$A44,'Budget-ACPSZL'!AI:AI)+SUMIF('Budget-ACPLSZ'!$A:$A,$A44,'Budget-ACPLSZ'!AI:AI)+SUMIF('Budget-ACPLGZ'!$A:$A,$A44,'Budget-ACPLGZ'!AI:AI)+SUMIF('Budget-Yixing'!$A:$A,$A44,'Budget-Yixing'!AI:AI)</f>
        <v>108977.97</v>
      </c>
      <c r="AJ44" s="688">
        <f ca="1">SUMIF('Budget-ACPL'!$A:$A,$A44,'Budget-ACPL'!AJ:AJ)+SUMIF('Budget-ACPLHK'!$A:$A,$A44,'Budget-ACPLHK'!AJ:AJ)+SUMIF('Budget-ACPSZL'!$A:$A,$A44,'Budget-ACPSZL'!AJ:AJ)+SUMIF('Budget-ACPLSZ'!$A:$A,$A44,'Budget-ACPLSZ'!AJ:AJ)+SUMIF('Budget-ACPLGZ'!$A:$A,$A44,'Budget-ACPLGZ'!AJ:AJ)+SUMIF('Budget-Yixing'!$A:$A,$A44,'Budget-Yixing'!AJ:AJ)</f>
        <v>462113.96</v>
      </c>
      <c r="AK44" s="688">
        <f t="shared" ref="AK44:AK107" ca="1" si="33">SUM(Y44:AJ44)</f>
        <v>3127661.98</v>
      </c>
    </row>
    <row r="45" spans="1:37" ht="13.5" customHeight="1">
      <c r="A45" s="713" t="s">
        <v>1514</v>
      </c>
      <c r="B45" s="687" t="str">
        <f>VLOOKUP(A45,Account!A:B,2,0)</f>
        <v>会计服务费</v>
      </c>
      <c r="C45" s="687" t="str">
        <f>VLOOKUP(A45,Account!A:F,4,0)</f>
        <v>Accounting/Payment Services</v>
      </c>
      <c r="D45" s="676">
        <f t="shared" ca="1" si="27"/>
        <v>19579.78</v>
      </c>
      <c r="E45" s="676" t="e">
        <f t="shared" si="28"/>
        <v>#N/A</v>
      </c>
      <c r="F45" s="676" t="e">
        <f t="shared" ca="1" si="24"/>
        <v>#N/A</v>
      </c>
      <c r="G45" s="676">
        <f t="shared" ca="1" si="29"/>
        <v>19579.78</v>
      </c>
      <c r="H45" s="676" t="e">
        <f t="shared" ca="1" si="30"/>
        <v>#N/A</v>
      </c>
      <c r="I45" s="676" t="e">
        <f t="shared" ca="1" si="31"/>
        <v>#N/A</v>
      </c>
      <c r="K45" s="676">
        <f ca="1">SUMIF('Budget-ACPL'!$A:$A,$A45,'Budget-ACPL'!K:K)+SUMIF('Budget-ACPLHK'!$A:$A,$A45,'Budget-ACPLHK'!K:K)+SUMIF('Budget-ACPSZL'!$A:$A,$A45,'Budget-ACPSZL'!K:K)+SUMIF('Budget-ACPLSZ'!$A:$A,$A45,'Budget-ACPLSZ'!K:K)+SUMIF('Budget-ACPLGZ'!$A:$A,$A45,'Budget-ACPLGZ'!K:K)+SUMIF('Budget-Yixing'!$A:$A,$A45,'Budget-Yixing'!K:K)</f>
        <v>19579.78</v>
      </c>
      <c r="L45" s="676">
        <f ca="1">SUMIF('Budget-ACPL'!$A:$A,$A45,'Budget-ACPL'!L:L)+SUMIF('Budget-ACPLHK'!$A:$A,$A45,'Budget-ACPLHK'!L:L)+SUMIF('Budget-ACPSZL'!$A:$A,$A45,'Budget-ACPSZL'!L:L)+SUMIF('Budget-ACPLSZ'!$A:$A,$A45,'Budget-ACPLSZ'!L:L)+SUMIF('Budget-ACPLGZ'!$A:$A,$A45,'Budget-ACPLGZ'!L:L)+SUMIF('Budget-Yixing'!$A:$A,$A45,'Budget-Yixing'!L:L)</f>
        <v>19408.400000000001</v>
      </c>
      <c r="M45" s="676">
        <f ca="1">SUMIF('Budget-ACPL'!$A:$A,$A45,'Budget-ACPL'!M:M)+SUMIF('Budget-ACPLHK'!$A:$A,$A45,'Budget-ACPLHK'!M:M)+SUMIF('Budget-ACPSZL'!$A:$A,$A45,'Budget-ACPSZL'!M:M)+SUMIF('Budget-ACPLSZ'!$A:$A,$A45,'Budget-ACPLSZ'!M:M)+SUMIF('Budget-ACPLGZ'!$A:$A,$A45,'Budget-ACPLGZ'!M:M)+SUMIF('Budget-Yixing'!$A:$A,$A45,'Budget-Yixing'!M:M)</f>
        <v>19408.400000000001</v>
      </c>
      <c r="N45" s="676">
        <f ca="1">SUMIF('Budget-ACPL'!$A:$A,$A45,'Budget-ACPL'!N:N)+SUMIF('Budget-ACPLHK'!$A:$A,$A45,'Budget-ACPLHK'!N:N)+SUMIF('Budget-ACPSZL'!$A:$A,$A45,'Budget-ACPSZL'!N:N)+SUMIF('Budget-ACPLSZ'!$A:$A,$A45,'Budget-ACPLSZ'!N:N)+SUMIF('Budget-ACPLGZ'!$A:$A,$A45,'Budget-ACPLGZ'!N:N)+SUMIF('Budget-Yixing'!$A:$A,$A45,'Budget-Yixing'!N:N)</f>
        <v>32408.400000000001</v>
      </c>
      <c r="O45" s="676">
        <f ca="1">SUMIF('Budget-ACPL'!$A:$A,$A45,'Budget-ACPL'!O:O)+SUMIF('Budget-ACPLHK'!$A:$A,$A45,'Budget-ACPLHK'!O:O)+SUMIF('Budget-ACPSZL'!$A:$A,$A45,'Budget-ACPSZL'!O:O)+SUMIF('Budget-ACPLSZ'!$A:$A,$A45,'Budget-ACPLSZ'!O:O)+SUMIF('Budget-ACPLGZ'!$A:$A,$A45,'Budget-ACPLGZ'!O:O)+SUMIF('Budget-Yixing'!$A:$A,$A45,'Budget-Yixing'!O:O)</f>
        <v>32408.400000000001</v>
      </c>
      <c r="P45" s="676">
        <f ca="1">SUMIF('Budget-ACPL'!$A:$A,$A45,'Budget-ACPL'!P:P)+SUMIF('Budget-ACPLHK'!$A:$A,$A45,'Budget-ACPLHK'!P:P)+SUMIF('Budget-ACPSZL'!$A:$A,$A45,'Budget-ACPSZL'!P:P)+SUMIF('Budget-ACPLSZ'!$A:$A,$A45,'Budget-ACPLSZ'!P:P)+SUMIF('Budget-ACPLGZ'!$A:$A,$A45,'Budget-ACPLGZ'!P:P)+SUMIF('Budget-Yixing'!$A:$A,$A45,'Budget-Yixing'!P:P)</f>
        <v>32408.400000000001</v>
      </c>
      <c r="Q45" s="676">
        <f ca="1">SUMIF('Budget-ACPL'!$A:$A,$A45,'Budget-ACPL'!Q:Q)+SUMIF('Budget-ACPLHK'!$A:$A,$A45,'Budget-ACPLHK'!Q:Q)+SUMIF('Budget-ACPSZL'!$A:$A,$A45,'Budget-ACPSZL'!Q:Q)+SUMIF('Budget-ACPLSZ'!$A:$A,$A45,'Budget-ACPLSZ'!Q:Q)+SUMIF('Budget-ACPLGZ'!$A:$A,$A45,'Budget-ACPLGZ'!Q:Q)+SUMIF('Budget-Yixing'!$A:$A,$A45,'Budget-Yixing'!Q:Q)</f>
        <v>32408.400000000001</v>
      </c>
      <c r="R45" s="676">
        <f ca="1">SUMIF('Budget-ACPL'!$A:$A,$A45,'Budget-ACPL'!R:R)+SUMIF('Budget-ACPLHK'!$A:$A,$A45,'Budget-ACPLHK'!R:R)+SUMIF('Budget-ACPSZL'!$A:$A,$A45,'Budget-ACPSZL'!R:R)+SUMIF('Budget-ACPLSZ'!$A:$A,$A45,'Budget-ACPLSZ'!R:R)+SUMIF('Budget-ACPLGZ'!$A:$A,$A45,'Budget-ACPLGZ'!R:R)+SUMIF('Budget-Yixing'!$A:$A,$A45,'Budget-Yixing'!R:R)</f>
        <v>32408.400000000001</v>
      </c>
      <c r="S45" s="676">
        <f ca="1">SUMIF('Budget-ACPL'!$A:$A,$A45,'Budget-ACPL'!S:S)+SUMIF('Budget-ACPLHK'!$A:$A,$A45,'Budget-ACPLHK'!S:S)+SUMIF('Budget-ACPSZL'!$A:$A,$A45,'Budget-ACPSZL'!S:S)+SUMIF('Budget-ACPLSZ'!$A:$A,$A45,'Budget-ACPLSZ'!S:S)+SUMIF('Budget-ACPLGZ'!$A:$A,$A45,'Budget-ACPLGZ'!S:S)+SUMIF('Budget-Yixing'!$A:$A,$A45,'Budget-Yixing'!S:S)</f>
        <v>32408.400000000001</v>
      </c>
      <c r="T45" s="676">
        <f ca="1">SUMIF('Budget-ACPL'!$A:$A,$A45,'Budget-ACPL'!T:T)+SUMIF('Budget-ACPLHK'!$A:$A,$A45,'Budget-ACPLHK'!T:T)+SUMIF('Budget-ACPSZL'!$A:$A,$A45,'Budget-ACPSZL'!T:T)+SUMIF('Budget-ACPLSZ'!$A:$A,$A45,'Budget-ACPLSZ'!T:T)+SUMIF('Budget-ACPLGZ'!$A:$A,$A45,'Budget-ACPLGZ'!T:T)+SUMIF('Budget-Yixing'!$A:$A,$A45,'Budget-Yixing'!T:T)</f>
        <v>32408.400000000001</v>
      </c>
      <c r="U45" s="676">
        <f ca="1">SUMIF('Budget-ACPL'!$A:$A,$A45,'Budget-ACPL'!U:U)+SUMIF('Budget-ACPLHK'!$A:$A,$A45,'Budget-ACPLHK'!U:U)+SUMIF('Budget-ACPSZL'!$A:$A,$A45,'Budget-ACPSZL'!U:U)+SUMIF('Budget-ACPLSZ'!$A:$A,$A45,'Budget-ACPLSZ'!U:U)+SUMIF('Budget-ACPLGZ'!$A:$A,$A45,'Budget-ACPLGZ'!U:U)+SUMIF('Budget-Yixing'!$A:$A,$A45,'Budget-Yixing'!U:U)</f>
        <v>32408.400000000001</v>
      </c>
      <c r="V45" s="676">
        <f ca="1">SUMIF('Budget-ACPL'!$A:$A,$A45,'Budget-ACPL'!V:V)+SUMIF('Budget-ACPLHK'!$A:$A,$A45,'Budget-ACPLHK'!V:V)+SUMIF('Budget-ACPSZL'!$A:$A,$A45,'Budget-ACPSZL'!V:V)+SUMIF('Budget-ACPLSZ'!$A:$A,$A45,'Budget-ACPLSZ'!V:V)+SUMIF('Budget-ACPLGZ'!$A:$A,$A45,'Budget-ACPLGZ'!V:V)+SUMIF('Budget-Yixing'!$A:$A,$A45,'Budget-Yixing'!V:V)</f>
        <v>32408.400000000001</v>
      </c>
      <c r="W45" s="676">
        <f t="shared" ca="1" si="32"/>
        <v>350072.18000000005</v>
      </c>
      <c r="Y45" s="688">
        <f ca="1">SUMIF('Budget-ACPL'!$A:$A,$A45,'Budget-ACPL'!Y:Y)+SUMIF('Budget-ACPLHK'!$A:$A,$A45,'Budget-ACPLHK'!Y:Y)+SUMIF('Budget-ACPSZL'!$A:$A,$A45,'Budget-ACPSZL'!Y:Y)+SUMIF('Budget-ACPLSZ'!$A:$A,$A45,'Budget-ACPLSZ'!Y:Y)+SUMIF('Budget-ACPLGZ'!$A:$A,$A45,'Budget-ACPLGZ'!Y:Y)+SUMIF('Budget-Yixing'!$A:$A,$A45,'Budget-Yixing'!Y:Y)</f>
        <v>25839</v>
      </c>
      <c r="Z45" s="688">
        <f ca="1">SUMIF('Budget-ACPL'!$A:$A,$A45,'Budget-ACPL'!Z:Z)+SUMIF('Budget-ACPLHK'!$A:$A,$A45,'Budget-ACPLHK'!Z:Z)+SUMIF('Budget-ACPSZL'!$A:$A,$A45,'Budget-ACPSZL'!Z:Z)+SUMIF('Budget-ACPLSZ'!$A:$A,$A45,'Budget-ACPLSZ'!Z:Z)+SUMIF('Budget-ACPLGZ'!$A:$A,$A45,'Budget-ACPLGZ'!Z:Z)+SUMIF('Budget-Yixing'!$A:$A,$A45,'Budget-Yixing'!Z:Z)</f>
        <v>25838</v>
      </c>
      <c r="AA45" s="688">
        <f ca="1">SUMIF('Budget-ACPL'!$A:$A,$A45,'Budget-ACPL'!AA:AA)+SUMIF('Budget-ACPLHK'!$A:$A,$A45,'Budget-ACPLHK'!AA:AA)+SUMIF('Budget-ACPSZL'!$A:$A,$A45,'Budget-ACPSZL'!AA:AA)+SUMIF('Budget-ACPLSZ'!$A:$A,$A45,'Budget-ACPLSZ'!AA:AA)+SUMIF('Budget-ACPLGZ'!$A:$A,$A45,'Budget-ACPLGZ'!AA:AA)+SUMIF('Budget-Yixing'!$A:$A,$A45,'Budget-Yixing'!AA:AA)</f>
        <v>25839</v>
      </c>
      <c r="AB45" s="688">
        <f ca="1">SUMIF('Budget-ACPL'!$A:$A,$A45,'Budget-ACPL'!AB:AB)+SUMIF('Budget-ACPLHK'!$A:$A,$A45,'Budget-ACPLHK'!AB:AB)+SUMIF('Budget-ACPSZL'!$A:$A,$A45,'Budget-ACPSZL'!AB:AB)+SUMIF('Budget-ACPLSZ'!$A:$A,$A45,'Budget-ACPLSZ'!AB:AB)+SUMIF('Budget-ACPLGZ'!$A:$A,$A45,'Budget-ACPLGZ'!AB:AB)+SUMIF('Budget-Yixing'!$A:$A,$A45,'Budget-Yixing'!AB:AB)</f>
        <v>25839</v>
      </c>
      <c r="AC45" s="688">
        <f ca="1">SUMIF('Budget-ACPL'!$A:$A,$A45,'Budget-ACPL'!AC:AC)+SUMIF('Budget-ACPLHK'!$A:$A,$A45,'Budget-ACPLHK'!AC:AC)+SUMIF('Budget-ACPSZL'!$A:$A,$A45,'Budget-ACPSZL'!AC:AC)+SUMIF('Budget-ACPLSZ'!$A:$A,$A45,'Budget-ACPLSZ'!AC:AC)+SUMIF('Budget-ACPLGZ'!$A:$A,$A45,'Budget-ACPLGZ'!AC:AC)+SUMIF('Budget-Yixing'!$A:$A,$A45,'Budget-Yixing'!AC:AC)</f>
        <v>29190.94</v>
      </c>
      <c r="AD45" s="688">
        <f ca="1">SUMIF('Budget-ACPL'!$A:$A,$A45,'Budget-ACPL'!AD:AD)+SUMIF('Budget-ACPLHK'!$A:$A,$A45,'Budget-ACPLHK'!AD:AD)+SUMIF('Budget-ACPSZL'!$A:$A,$A45,'Budget-ACPSZL'!AD:AD)+SUMIF('Budget-ACPLSZ'!$A:$A,$A45,'Budget-ACPLSZ'!AD:AD)+SUMIF('Budget-ACPLGZ'!$A:$A,$A45,'Budget-ACPLGZ'!AD:AD)+SUMIF('Budget-Yixing'!$A:$A,$A45,'Budget-Yixing'!AD:AD)</f>
        <v>25839</v>
      </c>
      <c r="AE45" s="688">
        <f ca="1">SUMIF('Budget-ACPL'!$A:$A,$A45,'Budget-ACPL'!AE:AE)+SUMIF('Budget-ACPLHK'!$A:$A,$A45,'Budget-ACPLHK'!AE:AE)+SUMIF('Budget-ACPSZL'!$A:$A,$A45,'Budget-ACPSZL'!AE:AE)+SUMIF('Budget-ACPLSZ'!$A:$A,$A45,'Budget-ACPLSZ'!AE:AE)+SUMIF('Budget-ACPLGZ'!$A:$A,$A45,'Budget-ACPLGZ'!AE:AE)+SUMIF('Budget-Yixing'!$A:$A,$A45,'Budget-Yixing'!AE:AE)</f>
        <v>26500</v>
      </c>
      <c r="AF45" s="688">
        <f ca="1">SUMIF('Budget-ACPL'!$A:$A,$A45,'Budget-ACPL'!AF:AF)+SUMIF('Budget-ACPLHK'!$A:$A,$A45,'Budget-ACPLHK'!AF:AF)+SUMIF('Budget-ACPSZL'!$A:$A,$A45,'Budget-ACPSZL'!AF:AF)+SUMIF('Budget-ACPLSZ'!$A:$A,$A45,'Budget-ACPLSZ'!AF:AF)+SUMIF('Budget-ACPLGZ'!$A:$A,$A45,'Budget-ACPLGZ'!AF:AF)+SUMIF('Budget-Yixing'!$A:$A,$A45,'Budget-Yixing'!AF:AF)</f>
        <v>19677.34</v>
      </c>
      <c r="AG45" s="688">
        <f ca="1">SUMIF('Budget-ACPL'!$A:$A,$A45,'Budget-ACPL'!AG:AG)+SUMIF('Budget-ACPLHK'!$A:$A,$A45,'Budget-ACPLHK'!AG:AG)+SUMIF('Budget-ACPSZL'!$A:$A,$A45,'Budget-ACPSZL'!AG:AG)+SUMIF('Budget-ACPLSZ'!$A:$A,$A45,'Budget-ACPLSZ'!AG:AG)+SUMIF('Budget-ACPLGZ'!$A:$A,$A45,'Budget-ACPLGZ'!AG:AG)+SUMIF('Budget-Yixing'!$A:$A,$A45,'Budget-Yixing'!AG:AG)</f>
        <v>20500</v>
      </c>
      <c r="AH45" s="688">
        <f ca="1">SUMIF('Budget-ACPL'!$A:$A,$A45,'Budget-ACPL'!AH:AH)+SUMIF('Budget-ACPLHK'!$A:$A,$A45,'Budget-ACPLHK'!AH:AH)+SUMIF('Budget-ACPSZL'!$A:$A,$A45,'Budget-ACPSZL'!AH:AH)+SUMIF('Budget-ACPLSZ'!$A:$A,$A45,'Budget-ACPLSZ'!AH:AH)+SUMIF('Budget-ACPLGZ'!$A:$A,$A45,'Budget-ACPLGZ'!AH:AH)+SUMIF('Budget-Yixing'!$A:$A,$A45,'Budget-Yixing'!AH:AH)</f>
        <v>20500</v>
      </c>
      <c r="AI45" s="688">
        <f ca="1">SUMIF('Budget-ACPL'!$A:$A,$A45,'Budget-ACPL'!AI:AI)+SUMIF('Budget-ACPLHK'!$A:$A,$A45,'Budget-ACPLHK'!AI:AI)+SUMIF('Budget-ACPSZL'!$A:$A,$A45,'Budget-ACPSZL'!AI:AI)+SUMIF('Budget-ACPLSZ'!$A:$A,$A45,'Budget-ACPLSZ'!AI:AI)+SUMIF('Budget-ACPLGZ'!$A:$A,$A45,'Budget-ACPLGZ'!AI:AI)+SUMIF('Budget-Yixing'!$A:$A,$A45,'Budget-Yixing'!AI:AI)</f>
        <v>20500</v>
      </c>
      <c r="AJ45" s="688">
        <f ca="1">SUMIF('Budget-ACPL'!$A:$A,$A45,'Budget-ACPL'!AJ:AJ)+SUMIF('Budget-ACPLHK'!$A:$A,$A45,'Budget-ACPLHK'!AJ:AJ)+SUMIF('Budget-ACPSZL'!$A:$A,$A45,'Budget-ACPSZL'!AJ:AJ)+SUMIF('Budget-ACPLSZ'!$A:$A,$A45,'Budget-ACPLSZ'!AJ:AJ)+SUMIF('Budget-ACPLGZ'!$A:$A,$A45,'Budget-ACPLGZ'!AJ:AJ)+SUMIF('Budget-Yixing'!$A:$A,$A45,'Budget-Yixing'!AJ:AJ)</f>
        <v>20500</v>
      </c>
      <c r="AK45" s="688">
        <f t="shared" ca="1" si="33"/>
        <v>286562.28000000003</v>
      </c>
    </row>
    <row r="46" spans="1:37" ht="13.5" customHeight="1">
      <c r="A46" s="713" t="s">
        <v>1519</v>
      </c>
      <c r="B46" s="687" t="str">
        <f>VLOOKUP(A46,Account!A:B,2,0)</f>
        <v>审计服务费</v>
      </c>
      <c r="C46" s="687" t="str">
        <f>VLOOKUP(A46,Account!A:F,4,0)</f>
        <v>Audit Fees</v>
      </c>
      <c r="D46" s="676">
        <f t="shared" ca="1" si="27"/>
        <v>0</v>
      </c>
      <c r="E46" s="676" t="e">
        <f t="shared" si="28"/>
        <v>#N/A</v>
      </c>
      <c r="F46" s="676" t="e">
        <f t="shared" ca="1" si="24"/>
        <v>#N/A</v>
      </c>
      <c r="G46" s="676">
        <f t="shared" ca="1" si="29"/>
        <v>0</v>
      </c>
      <c r="H46" s="676" t="e">
        <f t="shared" ca="1" si="30"/>
        <v>#N/A</v>
      </c>
      <c r="I46" s="676" t="e">
        <f t="shared" ca="1" si="31"/>
        <v>#N/A</v>
      </c>
      <c r="K46" s="676">
        <f ca="1">SUMIF('Budget-ACPL'!$A:$A,$A46,'Budget-ACPL'!K:K)+SUMIF('Budget-ACPLHK'!$A:$A,$A46,'Budget-ACPLHK'!K:K)+SUMIF('Budget-ACPSZL'!$A:$A,$A46,'Budget-ACPSZL'!K:K)+SUMIF('Budget-ACPLSZ'!$A:$A,$A46,'Budget-ACPLSZ'!K:K)+SUMIF('Budget-ACPLGZ'!$A:$A,$A46,'Budget-ACPLGZ'!K:K)+SUMIF('Budget-Yixing'!$A:$A,$A46,'Budget-Yixing'!K:K)</f>
        <v>0</v>
      </c>
      <c r="L46" s="676">
        <f ca="1">SUMIF('Budget-ACPL'!$A:$A,$A46,'Budget-ACPL'!L:L)+SUMIF('Budget-ACPLHK'!$A:$A,$A46,'Budget-ACPLHK'!L:L)+SUMIF('Budget-ACPSZL'!$A:$A,$A46,'Budget-ACPSZL'!L:L)+SUMIF('Budget-ACPLSZ'!$A:$A,$A46,'Budget-ACPLSZ'!L:L)+SUMIF('Budget-ACPLGZ'!$A:$A,$A46,'Budget-ACPLGZ'!L:L)+SUMIF('Budget-Yixing'!$A:$A,$A46,'Budget-Yixing'!L:L)</f>
        <v>0</v>
      </c>
      <c r="M46" s="676">
        <f ca="1">SUMIF('Budget-ACPL'!$A:$A,$A46,'Budget-ACPL'!M:M)+SUMIF('Budget-ACPLHK'!$A:$A,$A46,'Budget-ACPLHK'!M:M)+SUMIF('Budget-ACPSZL'!$A:$A,$A46,'Budget-ACPSZL'!M:M)+SUMIF('Budget-ACPLSZ'!$A:$A,$A46,'Budget-ACPLSZ'!M:M)+SUMIF('Budget-ACPLGZ'!$A:$A,$A46,'Budget-ACPLGZ'!M:M)+SUMIF('Budget-Yixing'!$A:$A,$A46,'Budget-Yixing'!M:M)</f>
        <v>0</v>
      </c>
      <c r="N46" s="676">
        <f ca="1">SUMIF('Budget-ACPL'!$A:$A,$A46,'Budget-ACPL'!N:N)+SUMIF('Budget-ACPLHK'!$A:$A,$A46,'Budget-ACPLHK'!N:N)+SUMIF('Budget-ACPSZL'!$A:$A,$A46,'Budget-ACPSZL'!N:N)+SUMIF('Budget-ACPLSZ'!$A:$A,$A46,'Budget-ACPLSZ'!N:N)+SUMIF('Budget-ACPLGZ'!$A:$A,$A46,'Budget-ACPLGZ'!N:N)+SUMIF('Budget-Yixing'!$A:$A,$A46,'Budget-Yixing'!N:N)</f>
        <v>0</v>
      </c>
      <c r="O46" s="676">
        <f ca="1">SUMIF('Budget-ACPL'!$A:$A,$A46,'Budget-ACPL'!O:O)+SUMIF('Budget-ACPLHK'!$A:$A,$A46,'Budget-ACPLHK'!O:O)+SUMIF('Budget-ACPSZL'!$A:$A,$A46,'Budget-ACPSZL'!O:O)+SUMIF('Budget-ACPLSZ'!$A:$A,$A46,'Budget-ACPLSZ'!O:O)+SUMIF('Budget-ACPLGZ'!$A:$A,$A46,'Budget-ACPLGZ'!O:O)+SUMIF('Budget-Yixing'!$A:$A,$A46,'Budget-Yixing'!O:O)</f>
        <v>413751.8</v>
      </c>
      <c r="P46" s="676">
        <f ca="1">SUMIF('Budget-ACPL'!$A:$A,$A46,'Budget-ACPL'!P:P)+SUMIF('Budget-ACPLHK'!$A:$A,$A46,'Budget-ACPLHK'!P:P)+SUMIF('Budget-ACPSZL'!$A:$A,$A46,'Budget-ACPSZL'!P:P)+SUMIF('Budget-ACPLSZ'!$A:$A,$A46,'Budget-ACPLSZ'!P:P)+SUMIF('Budget-ACPLGZ'!$A:$A,$A46,'Budget-ACPLGZ'!P:P)+SUMIF('Budget-Yixing'!$A:$A,$A46,'Budget-Yixing'!P:P)</f>
        <v>160255</v>
      </c>
      <c r="Q46" s="676">
        <f ca="1">SUMIF('Budget-ACPL'!$A:$A,$A46,'Budget-ACPL'!Q:Q)+SUMIF('Budget-ACPLHK'!$A:$A,$A46,'Budget-ACPLHK'!Q:Q)+SUMIF('Budget-ACPSZL'!$A:$A,$A46,'Budget-ACPSZL'!Q:Q)+SUMIF('Budget-ACPLSZ'!$A:$A,$A46,'Budget-ACPLSZ'!Q:Q)+SUMIF('Budget-ACPLGZ'!$A:$A,$A46,'Budget-ACPLGZ'!Q:Q)+SUMIF('Budget-Yixing'!$A:$A,$A46,'Budget-Yixing'!Q:Q)</f>
        <v>0</v>
      </c>
      <c r="R46" s="676">
        <f ca="1">SUMIF('Budget-ACPL'!$A:$A,$A46,'Budget-ACPL'!R:R)+SUMIF('Budget-ACPLHK'!$A:$A,$A46,'Budget-ACPLHK'!R:R)+SUMIF('Budget-ACPSZL'!$A:$A,$A46,'Budget-ACPSZL'!R:R)+SUMIF('Budget-ACPLSZ'!$A:$A,$A46,'Budget-ACPLSZ'!R:R)+SUMIF('Budget-ACPLGZ'!$A:$A,$A46,'Budget-ACPLGZ'!R:R)+SUMIF('Budget-Yixing'!$A:$A,$A46,'Budget-Yixing'!R:R)</f>
        <v>0</v>
      </c>
      <c r="S46" s="676">
        <f ca="1">SUMIF('Budget-ACPL'!$A:$A,$A46,'Budget-ACPL'!S:S)+SUMIF('Budget-ACPLHK'!$A:$A,$A46,'Budget-ACPLHK'!S:S)+SUMIF('Budget-ACPSZL'!$A:$A,$A46,'Budget-ACPSZL'!S:S)+SUMIF('Budget-ACPLSZ'!$A:$A,$A46,'Budget-ACPLSZ'!S:S)+SUMIF('Budget-ACPLGZ'!$A:$A,$A46,'Budget-ACPLGZ'!S:S)+SUMIF('Budget-Yixing'!$A:$A,$A46,'Budget-Yixing'!S:S)</f>
        <v>0</v>
      </c>
      <c r="T46" s="676">
        <f ca="1">SUMIF('Budget-ACPL'!$A:$A,$A46,'Budget-ACPL'!T:T)+SUMIF('Budget-ACPLHK'!$A:$A,$A46,'Budget-ACPLHK'!T:T)+SUMIF('Budget-ACPSZL'!$A:$A,$A46,'Budget-ACPSZL'!T:T)+SUMIF('Budget-ACPLSZ'!$A:$A,$A46,'Budget-ACPLSZ'!T:T)+SUMIF('Budget-ACPLGZ'!$A:$A,$A46,'Budget-ACPLGZ'!T:T)+SUMIF('Budget-Yixing'!$A:$A,$A46,'Budget-Yixing'!T:T)</f>
        <v>0</v>
      </c>
      <c r="U46" s="676">
        <f ca="1">SUMIF('Budget-ACPL'!$A:$A,$A46,'Budget-ACPL'!U:U)+SUMIF('Budget-ACPLHK'!$A:$A,$A46,'Budget-ACPLHK'!U:U)+SUMIF('Budget-ACPSZL'!$A:$A,$A46,'Budget-ACPSZL'!U:U)+SUMIF('Budget-ACPLSZ'!$A:$A,$A46,'Budget-ACPLSZ'!U:U)+SUMIF('Budget-ACPLGZ'!$A:$A,$A46,'Budget-ACPLGZ'!U:U)+SUMIF('Budget-Yixing'!$A:$A,$A46,'Budget-Yixing'!U:U)</f>
        <v>0</v>
      </c>
      <c r="V46" s="676">
        <f ca="1">SUMIF('Budget-ACPL'!$A:$A,$A46,'Budget-ACPL'!V:V)+SUMIF('Budget-ACPLHK'!$A:$A,$A46,'Budget-ACPLHK'!V:V)+SUMIF('Budget-ACPSZL'!$A:$A,$A46,'Budget-ACPSZL'!V:V)+SUMIF('Budget-ACPLSZ'!$A:$A,$A46,'Budget-ACPLSZ'!V:V)+SUMIF('Budget-ACPLGZ'!$A:$A,$A46,'Budget-ACPLGZ'!V:V)+SUMIF('Budget-Yixing'!$A:$A,$A46,'Budget-Yixing'!V:V)</f>
        <v>0</v>
      </c>
      <c r="W46" s="676">
        <f t="shared" ca="1" si="32"/>
        <v>574006.80000000005</v>
      </c>
      <c r="Y46" s="688">
        <f ca="1">SUMIF('Budget-ACPL'!$A:$A,$A46,'Budget-ACPL'!Y:Y)+SUMIF('Budget-ACPLHK'!$A:$A,$A46,'Budget-ACPLHK'!Y:Y)+SUMIF('Budget-ACPSZL'!$A:$A,$A46,'Budget-ACPSZL'!Y:Y)+SUMIF('Budget-ACPLSZ'!$A:$A,$A46,'Budget-ACPLSZ'!Y:Y)+SUMIF('Budget-ACPLGZ'!$A:$A,$A46,'Budget-ACPLGZ'!Y:Y)+SUMIF('Budget-Yixing'!$A:$A,$A46,'Budget-Yixing'!Y:Y)</f>
        <v>36666.660000000003</v>
      </c>
      <c r="Z46" s="688">
        <f ca="1">SUMIF('Budget-ACPL'!$A:$A,$A46,'Budget-ACPL'!Z:Z)+SUMIF('Budget-ACPLHK'!$A:$A,$A46,'Budget-ACPLHK'!Z:Z)+SUMIF('Budget-ACPSZL'!$A:$A,$A46,'Budget-ACPSZL'!Z:Z)+SUMIF('Budget-ACPLSZ'!$A:$A,$A46,'Budget-ACPLSZ'!Z:Z)+SUMIF('Budget-ACPLGZ'!$A:$A,$A46,'Budget-ACPLGZ'!Z:Z)+SUMIF('Budget-Yixing'!$A:$A,$A46,'Budget-Yixing'!Z:Z)</f>
        <v>36666.660000000003</v>
      </c>
      <c r="AA46" s="688">
        <f ca="1">SUMIF('Budget-ACPL'!$A:$A,$A46,'Budget-ACPL'!AA:AA)+SUMIF('Budget-ACPLHK'!$A:$A,$A46,'Budget-ACPLHK'!AA:AA)+SUMIF('Budget-ACPSZL'!$A:$A,$A46,'Budget-ACPSZL'!AA:AA)+SUMIF('Budget-ACPLSZ'!$A:$A,$A46,'Budget-ACPLSZ'!AA:AA)+SUMIF('Budget-ACPLGZ'!$A:$A,$A46,'Budget-ACPLGZ'!AA:AA)+SUMIF('Budget-Yixing'!$A:$A,$A46,'Budget-Yixing'!AA:AA)</f>
        <v>70717.83</v>
      </c>
      <c r="AB46" s="688">
        <f ca="1">SUMIF('Budget-ACPL'!$A:$A,$A46,'Budget-ACPL'!AB:AB)+SUMIF('Budget-ACPLHK'!$A:$A,$A46,'Budget-ACPLHK'!AB:AB)+SUMIF('Budget-ACPSZL'!$A:$A,$A46,'Budget-ACPSZL'!AB:AB)+SUMIF('Budget-ACPLSZ'!$A:$A,$A46,'Budget-ACPLSZ'!AB:AB)+SUMIF('Budget-ACPLGZ'!$A:$A,$A46,'Budget-ACPLGZ'!AB:AB)+SUMIF('Budget-Yixing'!$A:$A,$A46,'Budget-Yixing'!AB:AB)</f>
        <v>36666.660000000003</v>
      </c>
      <c r="AC46" s="688">
        <f ca="1">SUMIF('Budget-ACPL'!$A:$A,$A46,'Budget-ACPL'!AC:AC)+SUMIF('Budget-ACPLHK'!$A:$A,$A46,'Budget-ACPLHK'!AC:AC)+SUMIF('Budget-ACPSZL'!$A:$A,$A46,'Budget-ACPSZL'!AC:AC)+SUMIF('Budget-ACPLSZ'!$A:$A,$A46,'Budget-ACPLSZ'!AC:AC)+SUMIF('Budget-ACPLGZ'!$A:$A,$A46,'Budget-ACPLGZ'!AC:AC)+SUMIF('Budget-Yixing'!$A:$A,$A46,'Budget-Yixing'!AC:AC)</f>
        <v>39660.19</v>
      </c>
      <c r="AD46" s="688">
        <f ca="1">SUMIF('Budget-ACPL'!$A:$A,$A46,'Budget-ACPL'!AD:AD)+SUMIF('Budget-ACPLHK'!$A:$A,$A46,'Budget-ACPLHK'!AD:AD)+SUMIF('Budget-ACPSZL'!$A:$A,$A46,'Budget-ACPSZL'!AD:AD)+SUMIF('Budget-ACPLSZ'!$A:$A,$A46,'Budget-ACPLSZ'!AD:AD)+SUMIF('Budget-ACPLGZ'!$A:$A,$A46,'Budget-ACPLGZ'!AD:AD)+SUMIF('Budget-Yixing'!$A:$A,$A46,'Budget-Yixing'!AD:AD)</f>
        <v>50717.83</v>
      </c>
      <c r="AE46" s="688">
        <f ca="1">SUMIF('Budget-ACPL'!$A:$A,$A46,'Budget-ACPL'!AE:AE)+SUMIF('Budget-ACPLHK'!$A:$A,$A46,'Budget-ACPLHK'!AE:AE)+SUMIF('Budget-ACPSZL'!$A:$A,$A46,'Budget-ACPSZL'!AE:AE)+SUMIF('Budget-ACPLSZ'!$A:$A,$A46,'Budget-ACPLSZ'!AE:AE)+SUMIF('Budget-ACPLGZ'!$A:$A,$A46,'Budget-ACPLGZ'!AE:AE)+SUMIF('Budget-Yixing'!$A:$A,$A46,'Budget-Yixing'!AE:AE)</f>
        <v>36666.660000000003</v>
      </c>
      <c r="AF46" s="688">
        <f ca="1">SUMIF('Budget-ACPL'!$A:$A,$A46,'Budget-ACPL'!AF:AF)+SUMIF('Budget-ACPLHK'!$A:$A,$A46,'Budget-ACPLHK'!AF:AF)+SUMIF('Budget-ACPSZL'!$A:$A,$A46,'Budget-ACPSZL'!AF:AF)+SUMIF('Budget-ACPLSZ'!$A:$A,$A46,'Budget-ACPLSZ'!AF:AF)+SUMIF('Budget-ACPLGZ'!$A:$A,$A46,'Budget-ACPLGZ'!AF:AF)+SUMIF('Budget-Yixing'!$A:$A,$A46,'Budget-Yixing'!AF:AF)</f>
        <v>36666.660000000003</v>
      </c>
      <c r="AG46" s="688">
        <f ca="1">SUMIF('Budget-ACPL'!$A:$A,$A46,'Budget-ACPL'!AG:AG)+SUMIF('Budget-ACPLHK'!$A:$A,$A46,'Budget-ACPLHK'!AG:AG)+SUMIF('Budget-ACPSZL'!$A:$A,$A46,'Budget-ACPSZL'!AG:AG)+SUMIF('Budget-ACPLSZ'!$A:$A,$A46,'Budget-ACPLSZ'!AG:AG)+SUMIF('Budget-ACPLGZ'!$A:$A,$A46,'Budget-ACPLGZ'!AG:AG)+SUMIF('Budget-Yixing'!$A:$A,$A46,'Budget-Yixing'!AG:AG)</f>
        <v>36666.660000000003</v>
      </c>
      <c r="AH46" s="688">
        <f ca="1">SUMIF('Budget-ACPL'!$A:$A,$A46,'Budget-ACPL'!AH:AH)+SUMIF('Budget-ACPLHK'!$A:$A,$A46,'Budget-ACPLHK'!AH:AH)+SUMIF('Budget-ACPSZL'!$A:$A,$A46,'Budget-ACPSZL'!AH:AH)+SUMIF('Budget-ACPLSZ'!$A:$A,$A46,'Budget-ACPLSZ'!AH:AH)+SUMIF('Budget-ACPLGZ'!$A:$A,$A46,'Budget-ACPLGZ'!AH:AH)+SUMIF('Budget-Yixing'!$A:$A,$A46,'Budget-Yixing'!AH:AH)</f>
        <v>8564.3200000000033</v>
      </c>
      <c r="AI46" s="688">
        <f ca="1">SUMIF('Budget-ACPL'!$A:$A,$A46,'Budget-ACPL'!AI:AI)+SUMIF('Budget-ACPLHK'!$A:$A,$A46,'Budget-ACPLHK'!AI:AI)+SUMIF('Budget-ACPSZL'!$A:$A,$A46,'Budget-ACPSZL'!AI:AI)+SUMIF('Budget-ACPLSZ'!$A:$A,$A46,'Budget-ACPLSZ'!AI:AI)+SUMIF('Budget-ACPLGZ'!$A:$A,$A46,'Budget-ACPLGZ'!AI:AI)+SUMIF('Budget-Yixing'!$A:$A,$A46,'Budget-Yixing'!AI:AI)</f>
        <v>36666.660000000003</v>
      </c>
      <c r="AJ46" s="688">
        <f ca="1">SUMIF('Budget-ACPL'!$A:$A,$A46,'Budget-ACPL'!AJ:AJ)+SUMIF('Budget-ACPLHK'!$A:$A,$A46,'Budget-ACPLHK'!AJ:AJ)+SUMIF('Budget-ACPSZL'!$A:$A,$A46,'Budget-ACPSZL'!AJ:AJ)+SUMIF('Budget-ACPLSZ'!$A:$A,$A46,'Budget-ACPLSZ'!AJ:AJ)+SUMIF('Budget-ACPLGZ'!$A:$A,$A46,'Budget-ACPLGZ'!AJ:AJ)+SUMIF('Budget-Yixing'!$A:$A,$A46,'Budget-Yixing'!AJ:AJ)</f>
        <v>141666.74</v>
      </c>
      <c r="AK46" s="688">
        <f t="shared" ca="1" si="33"/>
        <v>567993.53</v>
      </c>
    </row>
    <row r="47" spans="1:37" ht="13.5" hidden="1" customHeight="1">
      <c r="A47" s="713" t="s">
        <v>1524</v>
      </c>
      <c r="B47" s="687" t="str">
        <f>VLOOKUP(A47,Account!A:B,2,0)</f>
        <v>顾问费</v>
      </c>
      <c r="C47" s="687" t="str">
        <f>VLOOKUP(A47,Account!A:F,4,0)</f>
        <v>Advisory fee</v>
      </c>
      <c r="D47" s="676">
        <f t="shared" ca="1" si="27"/>
        <v>0</v>
      </c>
      <c r="E47" s="676" t="e">
        <f t="shared" si="28"/>
        <v>#N/A</v>
      </c>
      <c r="F47" s="676" t="e">
        <f t="shared" ca="1" si="24"/>
        <v>#N/A</v>
      </c>
      <c r="G47" s="676">
        <f t="shared" ca="1" si="29"/>
        <v>0</v>
      </c>
      <c r="H47" s="676" t="e">
        <f t="shared" ca="1" si="30"/>
        <v>#N/A</v>
      </c>
      <c r="I47" s="676" t="e">
        <f t="shared" ca="1" si="31"/>
        <v>#N/A</v>
      </c>
      <c r="K47" s="676">
        <f ca="1">SUMIF('Budget-ACPL'!$A:$A,$A47,'Budget-ACPL'!K:K)+SUMIF('Budget-ACPLHK'!$A:$A,$A47,'Budget-ACPLHK'!K:K)+SUMIF('Budget-ACPSZL'!$A:$A,$A47,'Budget-ACPSZL'!K:K)+SUMIF('Budget-ACPLSZ'!$A:$A,$A47,'Budget-ACPLSZ'!K:K)+SUMIF('Budget-ACPLGZ'!$A:$A,$A47,'Budget-ACPLGZ'!K:K)+SUMIF('Budget-Yixing'!$A:$A,$A47,'Budget-Yixing'!K:K)</f>
        <v>0</v>
      </c>
      <c r="L47" s="676">
        <f ca="1">SUMIF('Budget-ACPL'!$A:$A,$A47,'Budget-ACPL'!L:L)+SUMIF('Budget-ACPLHK'!$A:$A,$A47,'Budget-ACPLHK'!L:L)+SUMIF('Budget-ACPSZL'!$A:$A,$A47,'Budget-ACPSZL'!L:L)+SUMIF('Budget-ACPLSZ'!$A:$A,$A47,'Budget-ACPLSZ'!L:L)+SUMIF('Budget-ACPLGZ'!$A:$A,$A47,'Budget-ACPLGZ'!L:L)+SUMIF('Budget-Yixing'!$A:$A,$A47,'Budget-Yixing'!L:L)</f>
        <v>0</v>
      </c>
      <c r="M47" s="676">
        <f ca="1">SUMIF('Budget-ACPL'!$A:$A,$A47,'Budget-ACPL'!M:M)+SUMIF('Budget-ACPLHK'!$A:$A,$A47,'Budget-ACPLHK'!M:M)+SUMIF('Budget-ACPSZL'!$A:$A,$A47,'Budget-ACPSZL'!M:M)+SUMIF('Budget-ACPLSZ'!$A:$A,$A47,'Budget-ACPLSZ'!M:M)+SUMIF('Budget-ACPLGZ'!$A:$A,$A47,'Budget-ACPLGZ'!M:M)+SUMIF('Budget-Yixing'!$A:$A,$A47,'Budget-Yixing'!M:M)</f>
        <v>0</v>
      </c>
      <c r="N47" s="676">
        <f ca="1">SUMIF('Budget-ACPL'!$A:$A,$A47,'Budget-ACPL'!N:N)+SUMIF('Budget-ACPLHK'!$A:$A,$A47,'Budget-ACPLHK'!N:N)+SUMIF('Budget-ACPSZL'!$A:$A,$A47,'Budget-ACPSZL'!N:N)+SUMIF('Budget-ACPLSZ'!$A:$A,$A47,'Budget-ACPLSZ'!N:N)+SUMIF('Budget-ACPLGZ'!$A:$A,$A47,'Budget-ACPLGZ'!N:N)+SUMIF('Budget-Yixing'!$A:$A,$A47,'Budget-Yixing'!N:N)</f>
        <v>0</v>
      </c>
      <c r="O47" s="676">
        <f ca="1">SUMIF('Budget-ACPL'!$A:$A,$A47,'Budget-ACPL'!O:O)+SUMIF('Budget-ACPLHK'!$A:$A,$A47,'Budget-ACPLHK'!O:O)+SUMIF('Budget-ACPSZL'!$A:$A,$A47,'Budget-ACPSZL'!O:O)+SUMIF('Budget-ACPLSZ'!$A:$A,$A47,'Budget-ACPLSZ'!O:O)+SUMIF('Budget-ACPLGZ'!$A:$A,$A47,'Budget-ACPLGZ'!O:O)+SUMIF('Budget-Yixing'!$A:$A,$A47,'Budget-Yixing'!O:O)</f>
        <v>0</v>
      </c>
      <c r="P47" s="676">
        <f ca="1">SUMIF('Budget-ACPL'!$A:$A,$A47,'Budget-ACPL'!P:P)+SUMIF('Budget-ACPLHK'!$A:$A,$A47,'Budget-ACPLHK'!P:P)+SUMIF('Budget-ACPSZL'!$A:$A,$A47,'Budget-ACPSZL'!P:P)+SUMIF('Budget-ACPLSZ'!$A:$A,$A47,'Budget-ACPLSZ'!P:P)+SUMIF('Budget-ACPLGZ'!$A:$A,$A47,'Budget-ACPLGZ'!P:P)+SUMIF('Budget-Yixing'!$A:$A,$A47,'Budget-Yixing'!P:P)</f>
        <v>0</v>
      </c>
      <c r="Q47" s="676">
        <f ca="1">SUMIF('Budget-ACPL'!$A:$A,$A47,'Budget-ACPL'!Q:Q)+SUMIF('Budget-ACPLHK'!$A:$A,$A47,'Budget-ACPLHK'!Q:Q)+SUMIF('Budget-ACPSZL'!$A:$A,$A47,'Budget-ACPSZL'!Q:Q)+SUMIF('Budget-ACPLSZ'!$A:$A,$A47,'Budget-ACPLSZ'!Q:Q)+SUMIF('Budget-ACPLGZ'!$A:$A,$A47,'Budget-ACPLGZ'!Q:Q)+SUMIF('Budget-Yixing'!$A:$A,$A47,'Budget-Yixing'!Q:Q)</f>
        <v>0</v>
      </c>
      <c r="R47" s="676">
        <f ca="1">SUMIF('Budget-ACPL'!$A:$A,$A47,'Budget-ACPL'!R:R)+SUMIF('Budget-ACPLHK'!$A:$A,$A47,'Budget-ACPLHK'!R:R)+SUMIF('Budget-ACPSZL'!$A:$A,$A47,'Budget-ACPSZL'!R:R)+SUMIF('Budget-ACPLSZ'!$A:$A,$A47,'Budget-ACPLSZ'!R:R)+SUMIF('Budget-ACPLGZ'!$A:$A,$A47,'Budget-ACPLGZ'!R:R)+SUMIF('Budget-Yixing'!$A:$A,$A47,'Budget-Yixing'!R:R)</f>
        <v>0</v>
      </c>
      <c r="S47" s="676">
        <f ca="1">SUMIF('Budget-ACPL'!$A:$A,$A47,'Budget-ACPL'!S:S)+SUMIF('Budget-ACPLHK'!$A:$A,$A47,'Budget-ACPLHK'!S:S)+SUMIF('Budget-ACPSZL'!$A:$A,$A47,'Budget-ACPSZL'!S:S)+SUMIF('Budget-ACPLSZ'!$A:$A,$A47,'Budget-ACPLSZ'!S:S)+SUMIF('Budget-ACPLGZ'!$A:$A,$A47,'Budget-ACPLGZ'!S:S)+SUMIF('Budget-Yixing'!$A:$A,$A47,'Budget-Yixing'!S:S)</f>
        <v>0</v>
      </c>
      <c r="T47" s="676">
        <f ca="1">SUMIF('Budget-ACPL'!$A:$A,$A47,'Budget-ACPL'!T:T)+SUMIF('Budget-ACPLHK'!$A:$A,$A47,'Budget-ACPLHK'!T:T)+SUMIF('Budget-ACPSZL'!$A:$A,$A47,'Budget-ACPSZL'!T:T)+SUMIF('Budget-ACPLSZ'!$A:$A,$A47,'Budget-ACPLSZ'!T:T)+SUMIF('Budget-ACPLGZ'!$A:$A,$A47,'Budget-ACPLGZ'!T:T)+SUMIF('Budget-Yixing'!$A:$A,$A47,'Budget-Yixing'!T:T)</f>
        <v>0</v>
      </c>
      <c r="U47" s="676">
        <f ca="1">SUMIF('Budget-ACPL'!$A:$A,$A47,'Budget-ACPL'!U:U)+SUMIF('Budget-ACPLHK'!$A:$A,$A47,'Budget-ACPLHK'!U:U)+SUMIF('Budget-ACPSZL'!$A:$A,$A47,'Budget-ACPSZL'!U:U)+SUMIF('Budget-ACPLSZ'!$A:$A,$A47,'Budget-ACPLSZ'!U:U)+SUMIF('Budget-ACPLGZ'!$A:$A,$A47,'Budget-ACPLGZ'!U:U)+SUMIF('Budget-Yixing'!$A:$A,$A47,'Budget-Yixing'!U:U)</f>
        <v>0</v>
      </c>
      <c r="V47" s="676">
        <f ca="1">SUMIF('Budget-ACPL'!$A:$A,$A47,'Budget-ACPL'!V:V)+SUMIF('Budget-ACPLHK'!$A:$A,$A47,'Budget-ACPLHK'!V:V)+SUMIF('Budget-ACPSZL'!$A:$A,$A47,'Budget-ACPSZL'!V:V)+SUMIF('Budget-ACPLSZ'!$A:$A,$A47,'Budget-ACPLSZ'!V:V)+SUMIF('Budget-ACPLGZ'!$A:$A,$A47,'Budget-ACPLGZ'!V:V)+SUMIF('Budget-Yixing'!$A:$A,$A47,'Budget-Yixing'!V:V)</f>
        <v>0</v>
      </c>
      <c r="W47" s="676">
        <f t="shared" ca="1" si="32"/>
        <v>0</v>
      </c>
      <c r="Y47" s="688">
        <f ca="1">SUMIF('Budget-ACPL'!$A:$A,$A47,'Budget-ACPL'!Y:Y)+SUMIF('Budget-ACPLHK'!$A:$A,$A47,'Budget-ACPLHK'!Y:Y)+SUMIF('Budget-ACPSZL'!$A:$A,$A47,'Budget-ACPSZL'!Y:Y)+SUMIF('Budget-ACPLSZ'!$A:$A,$A47,'Budget-ACPLSZ'!Y:Y)+SUMIF('Budget-ACPLGZ'!$A:$A,$A47,'Budget-ACPLGZ'!Y:Y)+SUMIF('Budget-Yixing'!$A:$A,$A47,'Budget-Yixing'!Y:Y)</f>
        <v>0</v>
      </c>
      <c r="Z47" s="688">
        <f ca="1">SUMIF('Budget-ACPL'!$A:$A,$A47,'Budget-ACPL'!Z:Z)+SUMIF('Budget-ACPLHK'!$A:$A,$A47,'Budget-ACPLHK'!Z:Z)+SUMIF('Budget-ACPSZL'!$A:$A,$A47,'Budget-ACPSZL'!Z:Z)+SUMIF('Budget-ACPLSZ'!$A:$A,$A47,'Budget-ACPLSZ'!Z:Z)+SUMIF('Budget-ACPLGZ'!$A:$A,$A47,'Budget-ACPLGZ'!Z:Z)+SUMIF('Budget-Yixing'!$A:$A,$A47,'Budget-Yixing'!Z:Z)</f>
        <v>214285.71</v>
      </c>
      <c r="AA47" s="688">
        <f ca="1">SUMIF('Budget-ACPL'!$A:$A,$A47,'Budget-ACPL'!AA:AA)+SUMIF('Budget-ACPLHK'!$A:$A,$A47,'Budget-ACPLHK'!AA:AA)+SUMIF('Budget-ACPSZL'!$A:$A,$A47,'Budget-ACPSZL'!AA:AA)+SUMIF('Budget-ACPLSZ'!$A:$A,$A47,'Budget-ACPLSZ'!AA:AA)+SUMIF('Budget-ACPLGZ'!$A:$A,$A47,'Budget-ACPLGZ'!AA:AA)+SUMIF('Budget-Yixing'!$A:$A,$A47,'Budget-Yixing'!AA:AA)</f>
        <v>736646.88</v>
      </c>
      <c r="AB47" s="688">
        <f ca="1">SUMIF('Budget-ACPL'!$A:$A,$A47,'Budget-ACPL'!AB:AB)+SUMIF('Budget-ACPLHK'!$A:$A,$A47,'Budget-ACPLHK'!AB:AB)+SUMIF('Budget-ACPSZL'!$A:$A,$A47,'Budget-ACPSZL'!AB:AB)+SUMIF('Budget-ACPLSZ'!$A:$A,$A47,'Budget-ACPLSZ'!AB:AB)+SUMIF('Budget-ACPLGZ'!$A:$A,$A47,'Budget-ACPLGZ'!AB:AB)+SUMIF('Budget-Yixing'!$A:$A,$A47,'Budget-Yixing'!AB:AB)</f>
        <v>0</v>
      </c>
      <c r="AC47" s="688">
        <f ca="1">SUMIF('Budget-ACPL'!$A:$A,$A47,'Budget-ACPL'!AC:AC)+SUMIF('Budget-ACPLHK'!$A:$A,$A47,'Budget-ACPLHK'!AC:AC)+SUMIF('Budget-ACPSZL'!$A:$A,$A47,'Budget-ACPSZL'!AC:AC)+SUMIF('Budget-ACPLSZ'!$A:$A,$A47,'Budget-ACPLSZ'!AC:AC)+SUMIF('Budget-ACPLGZ'!$A:$A,$A47,'Budget-ACPLGZ'!AC:AC)+SUMIF('Budget-Yixing'!$A:$A,$A47,'Budget-Yixing'!AC:AC)</f>
        <v>-32549.42</v>
      </c>
      <c r="AD47" s="688">
        <f ca="1">SUMIF('Budget-ACPL'!$A:$A,$A47,'Budget-ACPL'!AD:AD)+SUMIF('Budget-ACPLHK'!$A:$A,$A47,'Budget-ACPLHK'!AD:AD)+SUMIF('Budget-ACPSZL'!$A:$A,$A47,'Budget-ACPSZL'!AD:AD)+SUMIF('Budget-ACPLSZ'!$A:$A,$A47,'Budget-ACPLSZ'!AD:AD)+SUMIF('Budget-ACPLGZ'!$A:$A,$A47,'Budget-ACPLGZ'!AD:AD)+SUMIF('Budget-Yixing'!$A:$A,$A47,'Budget-Yixing'!AD:AD)</f>
        <v>915363.3</v>
      </c>
      <c r="AE47" s="688">
        <f ca="1">SUMIF('Budget-ACPL'!$A:$A,$A47,'Budget-ACPL'!AE:AE)+SUMIF('Budget-ACPLHK'!$A:$A,$A47,'Budget-ACPLHK'!AE:AE)+SUMIF('Budget-ACPSZL'!$A:$A,$A47,'Budget-ACPSZL'!AE:AE)+SUMIF('Budget-ACPLSZ'!$A:$A,$A47,'Budget-ACPLSZ'!AE:AE)+SUMIF('Budget-ACPLGZ'!$A:$A,$A47,'Budget-ACPLGZ'!AE:AE)+SUMIF('Budget-Yixing'!$A:$A,$A47,'Budget-Yixing'!AE:AE)</f>
        <v>-350000</v>
      </c>
      <c r="AF47" s="688">
        <f ca="1">SUMIF('Budget-ACPL'!$A:$A,$A47,'Budget-ACPL'!AF:AF)+SUMIF('Budget-ACPLHK'!$A:$A,$A47,'Budget-ACPLHK'!AF:AF)+SUMIF('Budget-ACPSZL'!$A:$A,$A47,'Budget-ACPSZL'!AF:AF)+SUMIF('Budget-ACPLSZ'!$A:$A,$A47,'Budget-ACPLSZ'!AF:AF)+SUMIF('Budget-ACPLGZ'!$A:$A,$A47,'Budget-ACPLGZ'!AF:AF)+SUMIF('Budget-Yixing'!$A:$A,$A47,'Budget-Yixing'!AF:AF)</f>
        <v>0</v>
      </c>
      <c r="AG47" s="688">
        <f ca="1">SUMIF('Budget-ACPL'!$A:$A,$A47,'Budget-ACPL'!AG:AG)+SUMIF('Budget-ACPLHK'!$A:$A,$A47,'Budget-ACPLHK'!AG:AG)+SUMIF('Budget-ACPSZL'!$A:$A,$A47,'Budget-ACPSZL'!AG:AG)+SUMIF('Budget-ACPLSZ'!$A:$A,$A47,'Budget-ACPLSZ'!AG:AG)+SUMIF('Budget-ACPLGZ'!$A:$A,$A47,'Budget-ACPLGZ'!AG:AG)+SUMIF('Budget-Yixing'!$A:$A,$A47,'Budget-Yixing'!AG:AG)</f>
        <v>0</v>
      </c>
      <c r="AH47" s="688">
        <f ca="1">SUMIF('Budget-ACPL'!$A:$A,$A47,'Budget-ACPL'!AH:AH)+SUMIF('Budget-ACPLHK'!$A:$A,$A47,'Budget-ACPLHK'!AH:AH)+SUMIF('Budget-ACPSZL'!$A:$A,$A47,'Budget-ACPSZL'!AH:AH)+SUMIF('Budget-ACPLSZ'!$A:$A,$A47,'Budget-ACPLSZ'!AH:AH)+SUMIF('Budget-ACPLGZ'!$A:$A,$A47,'Budget-ACPLGZ'!AH:AH)+SUMIF('Budget-Yixing'!$A:$A,$A47,'Budget-Yixing'!AH:AH)</f>
        <v>-450000</v>
      </c>
      <c r="AI47" s="688">
        <f ca="1">SUMIF('Budget-ACPL'!$A:$A,$A47,'Budget-ACPL'!AI:AI)+SUMIF('Budget-ACPLHK'!$A:$A,$A47,'Budget-ACPLHK'!AI:AI)+SUMIF('Budget-ACPSZL'!$A:$A,$A47,'Budget-ACPSZL'!AI:AI)+SUMIF('Budget-ACPLSZ'!$A:$A,$A47,'Budget-ACPLSZ'!AI:AI)+SUMIF('Budget-ACPLGZ'!$A:$A,$A47,'Budget-ACPLGZ'!AI:AI)+SUMIF('Budget-Yixing'!$A:$A,$A47,'Budget-Yixing'!AI:AI)</f>
        <v>0</v>
      </c>
      <c r="AJ47" s="688">
        <f ca="1">SUMIF('Budget-ACPL'!$A:$A,$A47,'Budget-ACPL'!AJ:AJ)+SUMIF('Budget-ACPLHK'!$A:$A,$A47,'Budget-ACPLHK'!AJ:AJ)+SUMIF('Budget-ACPSZL'!$A:$A,$A47,'Budget-ACPSZL'!AJ:AJ)+SUMIF('Budget-ACPLSZ'!$A:$A,$A47,'Budget-ACPLSZ'!AJ:AJ)+SUMIF('Budget-ACPLGZ'!$A:$A,$A47,'Budget-ACPLGZ'!AJ:AJ)+SUMIF('Budget-Yixing'!$A:$A,$A47,'Budget-Yixing'!AJ:AJ)</f>
        <v>256135.9</v>
      </c>
      <c r="AK47" s="688">
        <f t="shared" ca="1" si="33"/>
        <v>1289882.3699999999</v>
      </c>
    </row>
    <row r="48" spans="1:37" ht="13.5" hidden="1" customHeight="1">
      <c r="A48" s="713"/>
      <c r="B48" s="687" t="s">
        <v>2510</v>
      </c>
      <c r="C48" s="687" t="s">
        <v>2511</v>
      </c>
      <c r="D48" s="676">
        <f t="shared" si="27"/>
        <v>0</v>
      </c>
      <c r="E48" s="676" t="e">
        <f t="shared" si="28"/>
        <v>#N/A</v>
      </c>
      <c r="F48" s="676" t="e">
        <f t="shared" si="24"/>
        <v>#N/A</v>
      </c>
      <c r="G48" s="676">
        <f t="shared" ca="1" si="29"/>
        <v>0</v>
      </c>
      <c r="H48" s="676" t="e">
        <f t="shared" ca="1" si="30"/>
        <v>#N/A</v>
      </c>
      <c r="I48" s="676" t="e">
        <f t="shared" ca="1" si="31"/>
        <v>#N/A</v>
      </c>
      <c r="K48" s="676">
        <f>SUMIF('Budget-ACPL'!$B:$B,$B48,'Budget-ACPL'!K:K)+SUMIF('Budget-ACPLHK'!$B:$B,$B48,'Budget-ACPLHK'!K:K)+SUMIF('Budget-ACPSZL'!$B:$B,$B48,'Budget-ACPSZL'!K:K)+SUMIF('Budget-ACPLSZ'!$B:$B,$B48,'Budget-ACPLSZ'!K:K)</f>
        <v>0</v>
      </c>
      <c r="L48" s="676">
        <f>SUMIF('Budget-ACPL'!$B:$B,$B48,'Budget-ACPL'!L:L)+SUMIF('Budget-ACPLHK'!$B:$B,$B48,'Budget-ACPLHK'!L:L)+SUMIF('Budget-ACPSZL'!$B:$B,$B48,'Budget-ACPSZL'!L:L)+SUMIF('Budget-ACPLSZ'!$B:$B,$B48,'Budget-ACPLSZ'!L:L)</f>
        <v>0</v>
      </c>
      <c r="M48" s="676">
        <f>SUMIF('Budget-ACPL'!$B:$B,$B48,'Budget-ACPL'!M:M)+SUMIF('Budget-ACPLHK'!$B:$B,$B48,'Budget-ACPLHK'!M:M)+SUMIF('Budget-ACPSZL'!$B:$B,$B48,'Budget-ACPSZL'!M:M)+SUMIF('Budget-ACPLSZ'!$B:$B,$B48,'Budget-ACPLSZ'!M:M)</f>
        <v>0</v>
      </c>
      <c r="N48" s="676">
        <f>SUMIF('Budget-ACPL'!$B:$B,$B48,'Budget-ACPL'!N:N)+SUMIF('Budget-ACPLHK'!$B:$B,$B48,'Budget-ACPLHK'!N:N)+SUMIF('Budget-ACPSZL'!$B:$B,$B48,'Budget-ACPSZL'!N:N)+SUMIF('Budget-ACPLSZ'!$B:$B,$B48,'Budget-ACPLSZ'!N:N)</f>
        <v>0</v>
      </c>
      <c r="O48" s="676">
        <f>SUMIF('Budget-ACPL'!$B:$B,$B48,'Budget-ACPL'!O:O)+SUMIF('Budget-ACPLHK'!$B:$B,$B48,'Budget-ACPLHK'!O:O)+SUMIF('Budget-ACPSZL'!$B:$B,$B48,'Budget-ACPSZL'!O:O)+SUMIF('Budget-ACPLSZ'!$B:$B,$B48,'Budget-ACPLSZ'!O:O)</f>
        <v>0</v>
      </c>
      <c r="P48" s="676">
        <f>SUMIF('Budget-ACPL'!$B:$B,$B48,'Budget-ACPL'!P:P)+SUMIF('Budget-ACPLHK'!$B:$B,$B48,'Budget-ACPLHK'!P:P)+SUMIF('Budget-ACPSZL'!$B:$B,$B48,'Budget-ACPSZL'!P:P)+SUMIF('Budget-ACPLSZ'!$B:$B,$B48,'Budget-ACPLSZ'!P:P)</f>
        <v>0</v>
      </c>
      <c r="Q48" s="676">
        <f>SUMIF('Budget-ACPL'!$B:$B,$B48,'Budget-ACPL'!Q:Q)+SUMIF('Budget-ACPLHK'!$B:$B,$B48,'Budget-ACPLHK'!Q:Q)+SUMIF('Budget-ACPSZL'!$B:$B,$B48,'Budget-ACPSZL'!Q:Q)+SUMIF('Budget-ACPLSZ'!$B:$B,$B48,'Budget-ACPLSZ'!Q:Q)</f>
        <v>0</v>
      </c>
      <c r="R48" s="676">
        <f>SUMIF('Budget-ACPL'!$B:$B,$B48,'Budget-ACPL'!R:R)+SUMIF('Budget-ACPLHK'!$B:$B,$B48,'Budget-ACPLHK'!R:R)+SUMIF('Budget-ACPSZL'!$B:$B,$B48,'Budget-ACPSZL'!R:R)+SUMIF('Budget-ACPLSZ'!$B:$B,$B48,'Budget-ACPLSZ'!R:R)</f>
        <v>0</v>
      </c>
      <c r="S48" s="676">
        <f>SUMIF('Budget-ACPL'!$B:$B,$B48,'Budget-ACPL'!S:S)+SUMIF('Budget-ACPLHK'!$B:$B,$B48,'Budget-ACPLHK'!S:S)+SUMIF('Budget-ACPSZL'!$B:$B,$B48,'Budget-ACPSZL'!S:S)+SUMIF('Budget-ACPLSZ'!$B:$B,$B48,'Budget-ACPLSZ'!S:S)</f>
        <v>0</v>
      </c>
      <c r="T48" s="676">
        <f>SUMIF('Budget-ACPL'!$B:$B,$B48,'Budget-ACPL'!T:T)+SUMIF('Budget-ACPLHK'!$B:$B,$B48,'Budget-ACPLHK'!T:T)+SUMIF('Budget-ACPSZL'!$B:$B,$B48,'Budget-ACPSZL'!T:T)+SUMIF('Budget-ACPLSZ'!$B:$B,$B48,'Budget-ACPLSZ'!T:T)</f>
        <v>0</v>
      </c>
      <c r="U48" s="676">
        <f>SUMIF('Budget-ACPL'!$B:$B,$B48,'Budget-ACPL'!U:U)+SUMIF('Budget-ACPLHK'!$B:$B,$B48,'Budget-ACPLHK'!U:U)+SUMIF('Budget-ACPSZL'!$B:$B,$B48,'Budget-ACPSZL'!U:U)+SUMIF('Budget-ACPLSZ'!$B:$B,$B48,'Budget-ACPLSZ'!U:U)</f>
        <v>0</v>
      </c>
      <c r="V48" s="676">
        <f>SUMIF('Budget-ACPL'!$B:$B,$B48,'Budget-ACPL'!V:V)+SUMIF('Budget-ACPLHK'!$B:$B,$B48,'Budget-ACPLHK'!V:V)+SUMIF('Budget-ACPSZL'!$B:$B,$B48,'Budget-ACPSZL'!V:V)+SUMIF('Budget-ACPLSZ'!$B:$B,$B48,'Budget-ACPLSZ'!V:V)</f>
        <v>0</v>
      </c>
      <c r="W48" s="676">
        <f t="shared" si="32"/>
        <v>0</v>
      </c>
      <c r="Y48" s="688"/>
      <c r="Z48" s="688"/>
      <c r="AA48" s="688"/>
      <c r="AB48" s="688"/>
      <c r="AC48" s="688"/>
      <c r="AD48" s="688"/>
      <c r="AE48" s="688"/>
      <c r="AF48" s="688"/>
      <c r="AG48" s="688"/>
      <c r="AH48" s="688"/>
      <c r="AI48" s="688"/>
      <c r="AJ48" s="688"/>
      <c r="AK48" s="688">
        <f t="shared" si="33"/>
        <v>0</v>
      </c>
    </row>
    <row r="49" spans="1:37" ht="13.5" hidden="1" customHeight="1">
      <c r="A49" s="713"/>
      <c r="B49" s="687" t="s">
        <v>2512</v>
      </c>
      <c r="C49" s="687" t="s">
        <v>2513</v>
      </c>
      <c r="D49" s="676">
        <f t="shared" si="27"/>
        <v>0</v>
      </c>
      <c r="E49" s="676" t="e">
        <f t="shared" si="28"/>
        <v>#N/A</v>
      </c>
      <c r="F49" s="676" t="e">
        <f t="shared" si="24"/>
        <v>#N/A</v>
      </c>
      <c r="G49" s="676">
        <f t="shared" ca="1" si="29"/>
        <v>0</v>
      </c>
      <c r="H49" s="676" t="e">
        <f t="shared" ca="1" si="30"/>
        <v>#N/A</v>
      </c>
      <c r="I49" s="676" t="e">
        <f t="shared" ca="1" si="31"/>
        <v>#N/A</v>
      </c>
      <c r="K49" s="676">
        <f>SUMIF('Budget-ACPL'!$B:$B,$B49,'Budget-ACPL'!K:K)+SUMIF('Budget-ACPLHK'!$B:$B,$B49,'Budget-ACPLHK'!K:K)+SUMIF('Budget-ACPSZL'!$B:$B,$B49,'Budget-ACPSZL'!K:K)+SUMIF('Budget-ACPLSZ'!$B:$B,$B49,'Budget-ACPLSZ'!K:K)</f>
        <v>0</v>
      </c>
      <c r="L49" s="676">
        <f>SUMIF('Budget-ACPL'!$B:$B,$B49,'Budget-ACPL'!L:L)+SUMIF('Budget-ACPLHK'!$B:$B,$B49,'Budget-ACPLHK'!L:L)+SUMIF('Budget-ACPSZL'!$B:$B,$B49,'Budget-ACPSZL'!L:L)+SUMIF('Budget-ACPLSZ'!$B:$B,$B49,'Budget-ACPLSZ'!L:L)</f>
        <v>0</v>
      </c>
      <c r="M49" s="676">
        <f>SUMIF('Budget-ACPL'!$B:$B,$B49,'Budget-ACPL'!M:M)+SUMIF('Budget-ACPLHK'!$B:$B,$B49,'Budget-ACPLHK'!M:M)+SUMIF('Budget-ACPSZL'!$B:$B,$B49,'Budget-ACPSZL'!M:M)+SUMIF('Budget-ACPLSZ'!$B:$B,$B49,'Budget-ACPLSZ'!M:M)</f>
        <v>0</v>
      </c>
      <c r="N49" s="676">
        <f>SUMIF('Budget-ACPL'!$B:$B,$B49,'Budget-ACPL'!N:N)+SUMIF('Budget-ACPLHK'!$B:$B,$B49,'Budget-ACPLHK'!N:N)+SUMIF('Budget-ACPSZL'!$B:$B,$B49,'Budget-ACPSZL'!N:N)+SUMIF('Budget-ACPLSZ'!$B:$B,$B49,'Budget-ACPLSZ'!N:N)</f>
        <v>0</v>
      </c>
      <c r="O49" s="676">
        <f>SUMIF('Budget-ACPL'!$B:$B,$B49,'Budget-ACPL'!O:O)+SUMIF('Budget-ACPLHK'!$B:$B,$B49,'Budget-ACPLHK'!O:O)+SUMIF('Budget-ACPSZL'!$B:$B,$B49,'Budget-ACPSZL'!O:O)+SUMIF('Budget-ACPLSZ'!$B:$B,$B49,'Budget-ACPLSZ'!O:O)</f>
        <v>0</v>
      </c>
      <c r="P49" s="676">
        <f>SUMIF('Budget-ACPL'!$B:$B,$B49,'Budget-ACPL'!P:P)+SUMIF('Budget-ACPLHK'!$B:$B,$B49,'Budget-ACPLHK'!P:P)+SUMIF('Budget-ACPSZL'!$B:$B,$B49,'Budget-ACPSZL'!P:P)+SUMIF('Budget-ACPLSZ'!$B:$B,$B49,'Budget-ACPLSZ'!P:P)</f>
        <v>0</v>
      </c>
      <c r="Q49" s="676">
        <f>SUMIF('Budget-ACPL'!$B:$B,$B49,'Budget-ACPL'!Q:Q)+SUMIF('Budget-ACPLHK'!$B:$B,$B49,'Budget-ACPLHK'!Q:Q)+SUMIF('Budget-ACPSZL'!$B:$B,$B49,'Budget-ACPSZL'!Q:Q)+SUMIF('Budget-ACPLSZ'!$B:$B,$B49,'Budget-ACPLSZ'!Q:Q)</f>
        <v>0</v>
      </c>
      <c r="R49" s="676">
        <f>SUMIF('Budget-ACPL'!$B:$B,$B49,'Budget-ACPL'!R:R)+SUMIF('Budget-ACPLHK'!$B:$B,$B49,'Budget-ACPLHK'!R:R)+SUMIF('Budget-ACPSZL'!$B:$B,$B49,'Budget-ACPSZL'!R:R)+SUMIF('Budget-ACPLSZ'!$B:$B,$B49,'Budget-ACPLSZ'!R:R)</f>
        <v>0</v>
      </c>
      <c r="S49" s="676">
        <f>SUMIF('Budget-ACPL'!$B:$B,$B49,'Budget-ACPL'!S:S)+SUMIF('Budget-ACPLHK'!$B:$B,$B49,'Budget-ACPLHK'!S:S)+SUMIF('Budget-ACPSZL'!$B:$B,$B49,'Budget-ACPSZL'!S:S)+SUMIF('Budget-ACPLSZ'!$B:$B,$B49,'Budget-ACPLSZ'!S:S)</f>
        <v>0</v>
      </c>
      <c r="T49" s="676">
        <f>SUMIF('Budget-ACPL'!$B:$B,$B49,'Budget-ACPL'!T:T)+SUMIF('Budget-ACPLHK'!$B:$B,$B49,'Budget-ACPLHK'!T:T)+SUMIF('Budget-ACPSZL'!$B:$B,$B49,'Budget-ACPSZL'!T:T)+SUMIF('Budget-ACPLSZ'!$B:$B,$B49,'Budget-ACPLSZ'!T:T)</f>
        <v>0</v>
      </c>
      <c r="U49" s="676">
        <f>SUMIF('Budget-ACPL'!$B:$B,$B49,'Budget-ACPL'!U:U)+SUMIF('Budget-ACPLHK'!$B:$B,$B49,'Budget-ACPLHK'!U:U)+SUMIF('Budget-ACPSZL'!$B:$B,$B49,'Budget-ACPSZL'!U:U)+SUMIF('Budget-ACPLSZ'!$B:$B,$B49,'Budget-ACPLSZ'!U:U)</f>
        <v>0</v>
      </c>
      <c r="V49" s="676">
        <f>SUMIF('Budget-ACPL'!$B:$B,$B49,'Budget-ACPL'!V:V)+SUMIF('Budget-ACPLHK'!$B:$B,$B49,'Budget-ACPLHK'!V:V)+SUMIF('Budget-ACPSZL'!$B:$B,$B49,'Budget-ACPSZL'!V:V)+SUMIF('Budget-ACPLSZ'!$B:$B,$B49,'Budget-ACPLSZ'!V:V)</f>
        <v>0</v>
      </c>
      <c r="W49" s="676">
        <f t="shared" si="32"/>
        <v>0</v>
      </c>
      <c r="Y49" s="688"/>
      <c r="Z49" s="688"/>
      <c r="AA49" s="688"/>
      <c r="AB49" s="688"/>
      <c r="AC49" s="688"/>
      <c r="AD49" s="688"/>
      <c r="AE49" s="688"/>
      <c r="AF49" s="688"/>
      <c r="AG49" s="688"/>
      <c r="AH49" s="688"/>
      <c r="AI49" s="688"/>
      <c r="AJ49" s="688"/>
      <c r="AK49" s="688">
        <f t="shared" si="33"/>
        <v>0</v>
      </c>
    </row>
    <row r="50" spans="1:37" ht="13.5" hidden="1" customHeight="1">
      <c r="A50" s="713"/>
      <c r="B50" s="687" t="s">
        <v>2514</v>
      </c>
      <c r="C50" s="687" t="s">
        <v>2515</v>
      </c>
      <c r="D50" s="676">
        <f t="shared" si="27"/>
        <v>0</v>
      </c>
      <c r="E50" s="676" t="e">
        <f t="shared" si="28"/>
        <v>#N/A</v>
      </c>
      <c r="F50" s="676" t="e">
        <f t="shared" si="24"/>
        <v>#N/A</v>
      </c>
      <c r="G50" s="676">
        <f t="shared" ca="1" si="29"/>
        <v>0</v>
      </c>
      <c r="H50" s="676" t="e">
        <f t="shared" ca="1" si="30"/>
        <v>#N/A</v>
      </c>
      <c r="I50" s="676" t="e">
        <f t="shared" ca="1" si="31"/>
        <v>#N/A</v>
      </c>
      <c r="K50" s="676">
        <f>SUMIF('Budget-ACPL'!$B:$B,$B50,'Budget-ACPL'!K:K)+SUMIF('Budget-ACPLHK'!$B:$B,$B50,'Budget-ACPLHK'!K:K)+SUMIF('Budget-ACPSZL'!$B:$B,$B50,'Budget-ACPSZL'!K:K)+SUMIF('Budget-ACPLSZ'!$B:$B,$B50,'Budget-ACPLSZ'!K:K)</f>
        <v>0</v>
      </c>
      <c r="L50" s="676">
        <f>SUMIF('Budget-ACPL'!$B:$B,$B50,'Budget-ACPL'!L:L)+SUMIF('Budget-ACPLHK'!$B:$B,$B50,'Budget-ACPLHK'!L:L)+SUMIF('Budget-ACPSZL'!$B:$B,$B50,'Budget-ACPSZL'!L:L)+SUMIF('Budget-ACPLSZ'!$B:$B,$B50,'Budget-ACPLSZ'!L:L)</f>
        <v>0</v>
      </c>
      <c r="M50" s="676">
        <f>SUMIF('Budget-ACPL'!$B:$B,$B50,'Budget-ACPL'!M:M)+SUMIF('Budget-ACPLHK'!$B:$B,$B50,'Budget-ACPLHK'!M:M)+SUMIF('Budget-ACPSZL'!$B:$B,$B50,'Budget-ACPSZL'!M:M)+SUMIF('Budget-ACPLSZ'!$B:$B,$B50,'Budget-ACPLSZ'!M:M)</f>
        <v>0</v>
      </c>
      <c r="N50" s="676">
        <f>SUMIF('Budget-ACPL'!$B:$B,$B50,'Budget-ACPL'!N:N)+SUMIF('Budget-ACPLHK'!$B:$B,$B50,'Budget-ACPLHK'!N:N)+SUMIF('Budget-ACPSZL'!$B:$B,$B50,'Budget-ACPSZL'!N:N)+SUMIF('Budget-ACPLSZ'!$B:$B,$B50,'Budget-ACPLSZ'!N:N)</f>
        <v>0</v>
      </c>
      <c r="O50" s="676">
        <f>SUMIF('Budget-ACPL'!$B:$B,$B50,'Budget-ACPL'!O:O)+SUMIF('Budget-ACPLHK'!$B:$B,$B50,'Budget-ACPLHK'!O:O)+SUMIF('Budget-ACPSZL'!$B:$B,$B50,'Budget-ACPSZL'!O:O)+SUMIF('Budget-ACPLSZ'!$B:$B,$B50,'Budget-ACPLSZ'!O:O)</f>
        <v>0</v>
      </c>
      <c r="P50" s="676">
        <f>SUMIF('Budget-ACPL'!$B:$B,$B50,'Budget-ACPL'!P:P)+SUMIF('Budget-ACPLHK'!$B:$B,$B50,'Budget-ACPLHK'!P:P)+SUMIF('Budget-ACPSZL'!$B:$B,$B50,'Budget-ACPSZL'!P:P)+SUMIF('Budget-ACPLSZ'!$B:$B,$B50,'Budget-ACPLSZ'!P:P)</f>
        <v>0</v>
      </c>
      <c r="Q50" s="676">
        <f>SUMIF('Budget-ACPL'!$B:$B,$B50,'Budget-ACPL'!Q:Q)+SUMIF('Budget-ACPLHK'!$B:$B,$B50,'Budget-ACPLHK'!Q:Q)+SUMIF('Budget-ACPSZL'!$B:$B,$B50,'Budget-ACPSZL'!Q:Q)+SUMIF('Budget-ACPLSZ'!$B:$B,$B50,'Budget-ACPLSZ'!Q:Q)</f>
        <v>0</v>
      </c>
      <c r="R50" s="676">
        <f>SUMIF('Budget-ACPL'!$B:$B,$B50,'Budget-ACPL'!R:R)+SUMIF('Budget-ACPLHK'!$B:$B,$B50,'Budget-ACPLHK'!R:R)+SUMIF('Budget-ACPSZL'!$B:$B,$B50,'Budget-ACPSZL'!R:R)+SUMIF('Budget-ACPLSZ'!$B:$B,$B50,'Budget-ACPLSZ'!R:R)</f>
        <v>0</v>
      </c>
      <c r="S50" s="676">
        <f>SUMIF('Budget-ACPL'!$B:$B,$B50,'Budget-ACPL'!S:S)+SUMIF('Budget-ACPLHK'!$B:$B,$B50,'Budget-ACPLHK'!S:S)+SUMIF('Budget-ACPSZL'!$B:$B,$B50,'Budget-ACPSZL'!S:S)+SUMIF('Budget-ACPLSZ'!$B:$B,$B50,'Budget-ACPLSZ'!S:S)</f>
        <v>0</v>
      </c>
      <c r="T50" s="676">
        <f>SUMIF('Budget-ACPL'!$B:$B,$B50,'Budget-ACPL'!T:T)+SUMIF('Budget-ACPLHK'!$B:$B,$B50,'Budget-ACPLHK'!T:T)+SUMIF('Budget-ACPSZL'!$B:$B,$B50,'Budget-ACPSZL'!T:T)+SUMIF('Budget-ACPLSZ'!$B:$B,$B50,'Budget-ACPLSZ'!T:T)</f>
        <v>0</v>
      </c>
      <c r="U50" s="676">
        <f>SUMIF('Budget-ACPL'!$B:$B,$B50,'Budget-ACPL'!U:U)+SUMIF('Budget-ACPLHK'!$B:$B,$B50,'Budget-ACPLHK'!U:U)+SUMIF('Budget-ACPSZL'!$B:$B,$B50,'Budget-ACPSZL'!U:U)+SUMIF('Budget-ACPLSZ'!$B:$B,$B50,'Budget-ACPLSZ'!U:U)</f>
        <v>0</v>
      </c>
      <c r="V50" s="676">
        <f>SUMIF('Budget-ACPL'!$B:$B,$B50,'Budget-ACPL'!V:V)+SUMIF('Budget-ACPLHK'!$B:$B,$B50,'Budget-ACPLHK'!V:V)+SUMIF('Budget-ACPSZL'!$B:$B,$B50,'Budget-ACPSZL'!V:V)+SUMIF('Budget-ACPLSZ'!$B:$B,$B50,'Budget-ACPLSZ'!V:V)</f>
        <v>0</v>
      </c>
      <c r="W50" s="676">
        <f t="shared" si="32"/>
        <v>0</v>
      </c>
      <c r="Y50" s="688"/>
      <c r="Z50" s="688"/>
      <c r="AA50" s="688"/>
      <c r="AB50" s="688"/>
      <c r="AC50" s="688"/>
      <c r="AD50" s="688"/>
      <c r="AE50" s="688"/>
      <c r="AF50" s="688"/>
      <c r="AG50" s="688"/>
      <c r="AH50" s="688"/>
      <c r="AI50" s="688"/>
      <c r="AJ50" s="688"/>
      <c r="AK50" s="688">
        <f t="shared" si="33"/>
        <v>0</v>
      </c>
    </row>
    <row r="51" spans="1:37" ht="13.5" customHeight="1">
      <c r="A51" s="713" t="s">
        <v>1530</v>
      </c>
      <c r="B51" s="687" t="str">
        <f>VLOOKUP(A51,Account!A:B,2,0)</f>
        <v>税务服务费</v>
      </c>
      <c r="C51" s="687">
        <f>VLOOKUP(A51,Account!A:F,4,0)</f>
        <v>0</v>
      </c>
      <c r="D51" s="676">
        <f t="shared" ca="1" si="27"/>
        <v>0</v>
      </c>
      <c r="E51" s="676" t="e">
        <f t="shared" si="28"/>
        <v>#N/A</v>
      </c>
      <c r="F51" s="676" t="e">
        <f t="shared" ca="1" si="24"/>
        <v>#N/A</v>
      </c>
      <c r="G51" s="676">
        <f t="shared" ca="1" si="29"/>
        <v>0</v>
      </c>
      <c r="H51" s="676" t="e">
        <f t="shared" ca="1" si="30"/>
        <v>#N/A</v>
      </c>
      <c r="I51" s="676" t="e">
        <f t="shared" ca="1" si="31"/>
        <v>#N/A</v>
      </c>
      <c r="K51" s="676">
        <f ca="1">SUMIF('Budget-ACPL'!$A:$A,$A51,'Budget-ACPL'!K:K)+SUMIF('Budget-ACPLHK'!$A:$A,$A51,'Budget-ACPLHK'!K:K)+SUMIF('Budget-ACPSZL'!$A:$A,$A51,'Budget-ACPSZL'!K:K)+SUMIF('Budget-ACPLSZ'!$A:$A,$A51,'Budget-ACPLSZ'!K:K)+SUMIF('Budget-ACPLGZ'!$A:$A,$A51,'Budget-ACPLGZ'!K:K)+SUMIF('Budget-Yixing'!$A:$A,$A51,'Budget-Yixing'!K:K)</f>
        <v>0</v>
      </c>
      <c r="L51" s="676">
        <f ca="1">SUMIF('Budget-ACPL'!$A:$A,$A51,'Budget-ACPL'!L:L)+SUMIF('Budget-ACPLHK'!$A:$A,$A51,'Budget-ACPLHK'!L:L)+SUMIF('Budget-ACPSZL'!$A:$A,$A51,'Budget-ACPSZL'!L:L)+SUMIF('Budget-ACPLSZ'!$A:$A,$A51,'Budget-ACPLSZ'!L:L)+SUMIF('Budget-ACPLGZ'!$A:$A,$A51,'Budget-ACPLGZ'!L:L)+SUMIF('Budget-Yixing'!$A:$A,$A51,'Budget-Yixing'!L:L)</f>
        <v>0</v>
      </c>
      <c r="M51" s="676">
        <f ca="1">SUMIF('Budget-ACPL'!$A:$A,$A51,'Budget-ACPL'!M:M)+SUMIF('Budget-ACPLHK'!$A:$A,$A51,'Budget-ACPLHK'!M:M)+SUMIF('Budget-ACPSZL'!$A:$A,$A51,'Budget-ACPSZL'!M:M)+SUMIF('Budget-ACPLSZ'!$A:$A,$A51,'Budget-ACPLSZ'!M:M)+SUMIF('Budget-ACPLGZ'!$A:$A,$A51,'Budget-ACPLGZ'!M:M)+SUMIF('Budget-Yixing'!$A:$A,$A51,'Budget-Yixing'!M:M)</f>
        <v>0</v>
      </c>
      <c r="N51" s="676">
        <f ca="1">SUMIF('Budget-ACPL'!$A:$A,$A51,'Budget-ACPL'!N:N)+SUMIF('Budget-ACPLHK'!$A:$A,$A51,'Budget-ACPLHK'!N:N)+SUMIF('Budget-ACPSZL'!$A:$A,$A51,'Budget-ACPSZL'!N:N)+SUMIF('Budget-ACPLSZ'!$A:$A,$A51,'Budget-ACPLSZ'!N:N)+SUMIF('Budget-ACPLGZ'!$A:$A,$A51,'Budget-ACPLGZ'!N:N)+SUMIF('Budget-Yixing'!$A:$A,$A51,'Budget-Yixing'!N:N)</f>
        <v>0</v>
      </c>
      <c r="O51" s="676">
        <f ca="1">SUMIF('Budget-ACPL'!$A:$A,$A51,'Budget-ACPL'!O:O)+SUMIF('Budget-ACPLHK'!$A:$A,$A51,'Budget-ACPLHK'!O:O)+SUMIF('Budget-ACPSZL'!$A:$A,$A51,'Budget-ACPSZL'!O:O)+SUMIF('Budget-ACPLSZ'!$A:$A,$A51,'Budget-ACPLSZ'!O:O)+SUMIF('Budget-ACPLGZ'!$A:$A,$A51,'Budget-ACPLGZ'!O:O)+SUMIF('Budget-Yixing'!$A:$A,$A51,'Budget-Yixing'!O:O)</f>
        <v>0</v>
      </c>
      <c r="P51" s="676">
        <f ca="1">SUMIF('Budget-ACPL'!$A:$A,$A51,'Budget-ACPL'!P:P)+SUMIF('Budget-ACPLHK'!$A:$A,$A51,'Budget-ACPLHK'!P:P)+SUMIF('Budget-ACPSZL'!$A:$A,$A51,'Budget-ACPSZL'!P:P)+SUMIF('Budget-ACPLSZ'!$A:$A,$A51,'Budget-ACPLSZ'!P:P)+SUMIF('Budget-ACPLGZ'!$A:$A,$A51,'Budget-ACPLGZ'!P:P)+SUMIF('Budget-Yixing'!$A:$A,$A51,'Budget-Yixing'!P:P)</f>
        <v>148207.47999999998</v>
      </c>
      <c r="Q51" s="676">
        <f ca="1">SUMIF('Budget-ACPL'!$A:$A,$A51,'Budget-ACPL'!Q:Q)+SUMIF('Budget-ACPLHK'!$A:$A,$A51,'Budget-ACPLHK'!Q:Q)+SUMIF('Budget-ACPSZL'!$A:$A,$A51,'Budget-ACPSZL'!Q:Q)+SUMIF('Budget-ACPLSZ'!$A:$A,$A51,'Budget-ACPLSZ'!Q:Q)+SUMIF('Budget-ACPLGZ'!$A:$A,$A51,'Budget-ACPLGZ'!Q:Q)+SUMIF('Budget-Yixing'!$A:$A,$A51,'Budget-Yixing'!Q:Q)</f>
        <v>0</v>
      </c>
      <c r="R51" s="676">
        <f ca="1">SUMIF('Budget-ACPL'!$A:$A,$A51,'Budget-ACPL'!R:R)+SUMIF('Budget-ACPLHK'!$A:$A,$A51,'Budget-ACPLHK'!R:R)+SUMIF('Budget-ACPSZL'!$A:$A,$A51,'Budget-ACPSZL'!R:R)+SUMIF('Budget-ACPLSZ'!$A:$A,$A51,'Budget-ACPLSZ'!R:R)+SUMIF('Budget-ACPLGZ'!$A:$A,$A51,'Budget-ACPLGZ'!R:R)+SUMIF('Budget-Yixing'!$A:$A,$A51,'Budget-Yixing'!R:R)</f>
        <v>0</v>
      </c>
      <c r="S51" s="676">
        <f ca="1">SUMIF('Budget-ACPL'!$A:$A,$A51,'Budget-ACPL'!S:S)+SUMIF('Budget-ACPLHK'!$A:$A,$A51,'Budget-ACPLHK'!S:S)+SUMIF('Budget-ACPSZL'!$A:$A,$A51,'Budget-ACPSZL'!S:S)+SUMIF('Budget-ACPLSZ'!$A:$A,$A51,'Budget-ACPLSZ'!S:S)+SUMIF('Budget-ACPLGZ'!$A:$A,$A51,'Budget-ACPLGZ'!S:S)+SUMIF('Budget-Yixing'!$A:$A,$A51,'Budget-Yixing'!S:S)</f>
        <v>0</v>
      </c>
      <c r="T51" s="676">
        <f ca="1">SUMIF('Budget-ACPL'!$A:$A,$A51,'Budget-ACPL'!T:T)+SUMIF('Budget-ACPLHK'!$A:$A,$A51,'Budget-ACPLHK'!T:T)+SUMIF('Budget-ACPSZL'!$A:$A,$A51,'Budget-ACPSZL'!T:T)+SUMIF('Budget-ACPLSZ'!$A:$A,$A51,'Budget-ACPLSZ'!T:T)+SUMIF('Budget-ACPLGZ'!$A:$A,$A51,'Budget-ACPLGZ'!T:T)+SUMIF('Budget-Yixing'!$A:$A,$A51,'Budget-Yixing'!T:T)</f>
        <v>0</v>
      </c>
      <c r="U51" s="676">
        <f ca="1">SUMIF('Budget-ACPL'!$A:$A,$A51,'Budget-ACPL'!U:U)+SUMIF('Budget-ACPLHK'!$A:$A,$A51,'Budget-ACPLHK'!U:U)+SUMIF('Budget-ACPSZL'!$A:$A,$A51,'Budget-ACPSZL'!U:U)+SUMIF('Budget-ACPLSZ'!$A:$A,$A51,'Budget-ACPLSZ'!U:U)+SUMIF('Budget-ACPLGZ'!$A:$A,$A51,'Budget-ACPLGZ'!U:U)+SUMIF('Budget-Yixing'!$A:$A,$A51,'Budget-Yixing'!U:U)</f>
        <v>0</v>
      </c>
      <c r="V51" s="676">
        <f ca="1">SUMIF('Budget-ACPL'!$A:$A,$A51,'Budget-ACPL'!V:V)+SUMIF('Budget-ACPLHK'!$A:$A,$A51,'Budget-ACPLHK'!V:V)+SUMIF('Budget-ACPSZL'!$A:$A,$A51,'Budget-ACPSZL'!V:V)+SUMIF('Budget-ACPLSZ'!$A:$A,$A51,'Budget-ACPLSZ'!V:V)+SUMIF('Budget-ACPLGZ'!$A:$A,$A51,'Budget-ACPLGZ'!V:V)+SUMIF('Budget-Yixing'!$A:$A,$A51,'Budget-Yixing'!V:V)</f>
        <v>0</v>
      </c>
      <c r="W51" s="676">
        <f t="shared" ca="1" si="32"/>
        <v>148207.47999999998</v>
      </c>
      <c r="Y51" s="688">
        <f ca="1">SUMIF('Budget-ACPL'!$A:$A,$A51,'Budget-ACPL'!Y:Y)+SUMIF('Budget-ACPLHK'!$A:$A,$A51,'Budget-ACPLHK'!Y:Y)+SUMIF('Budget-ACPSZL'!$A:$A,$A51,'Budget-ACPSZL'!Y:Y)+SUMIF('Budget-ACPLSZ'!$A:$A,$A51,'Budget-ACPLSZ'!Y:Y)+SUMIF('Budget-ACPLGZ'!$A:$A,$A51,'Budget-ACPLGZ'!Y:Y)+SUMIF('Budget-Yixing'!$A:$A,$A51,'Budget-Yixing'!Y:Y)</f>
        <v>0</v>
      </c>
      <c r="Z51" s="688">
        <f ca="1">SUMIF('Budget-ACPL'!$A:$A,$A51,'Budget-ACPL'!Z:Z)+SUMIF('Budget-ACPLHK'!$A:$A,$A51,'Budget-ACPLHK'!Z:Z)+SUMIF('Budget-ACPSZL'!$A:$A,$A51,'Budget-ACPSZL'!Z:Z)+SUMIF('Budget-ACPLSZ'!$A:$A,$A51,'Budget-ACPLSZ'!Z:Z)+SUMIF('Budget-ACPLGZ'!$A:$A,$A51,'Budget-ACPLGZ'!Z:Z)+SUMIF('Budget-Yixing'!$A:$A,$A51,'Budget-Yixing'!Z:Z)</f>
        <v>0</v>
      </c>
      <c r="AA51" s="688">
        <f ca="1">SUMIF('Budget-ACPL'!$A:$A,$A51,'Budget-ACPL'!AA:AA)+SUMIF('Budget-ACPLHK'!$A:$A,$A51,'Budget-ACPLHK'!AA:AA)+SUMIF('Budget-ACPSZL'!$A:$A,$A51,'Budget-ACPSZL'!AA:AA)+SUMIF('Budget-ACPLSZ'!$A:$A,$A51,'Budget-ACPLSZ'!AA:AA)+SUMIF('Budget-ACPLGZ'!$A:$A,$A51,'Budget-ACPLGZ'!AA:AA)+SUMIF('Budget-Yixing'!$A:$A,$A51,'Budget-Yixing'!AA:AA)</f>
        <v>0</v>
      </c>
      <c r="AB51" s="688">
        <f ca="1">SUMIF('Budget-ACPL'!$A:$A,$A51,'Budget-ACPL'!AB:AB)+SUMIF('Budget-ACPLHK'!$A:$A,$A51,'Budget-ACPLHK'!AB:AB)+SUMIF('Budget-ACPSZL'!$A:$A,$A51,'Budget-ACPSZL'!AB:AB)+SUMIF('Budget-ACPLSZ'!$A:$A,$A51,'Budget-ACPLSZ'!AB:AB)+SUMIF('Budget-ACPLGZ'!$A:$A,$A51,'Budget-ACPLGZ'!AB:AB)+SUMIF('Budget-Yixing'!$A:$A,$A51,'Budget-Yixing'!AB:AB)</f>
        <v>0</v>
      </c>
      <c r="AC51" s="688">
        <f ca="1">SUMIF('Budget-ACPL'!$A:$A,$A51,'Budget-ACPL'!AC:AC)+SUMIF('Budget-ACPLHK'!$A:$A,$A51,'Budget-ACPLHK'!AC:AC)+SUMIF('Budget-ACPSZL'!$A:$A,$A51,'Budget-ACPSZL'!AC:AC)+SUMIF('Budget-ACPLSZ'!$A:$A,$A51,'Budget-ACPLSZ'!AC:AC)+SUMIF('Budget-ACPLGZ'!$A:$A,$A51,'Budget-ACPLGZ'!AC:AC)+SUMIF('Budget-Yixing'!$A:$A,$A51,'Budget-Yixing'!AC:AC)</f>
        <v>0</v>
      </c>
      <c r="AD51" s="688">
        <f ca="1">SUMIF('Budget-ACPL'!$A:$A,$A51,'Budget-ACPL'!AD:AD)+SUMIF('Budget-ACPLHK'!$A:$A,$A51,'Budget-ACPLHK'!AD:AD)+SUMIF('Budget-ACPSZL'!$A:$A,$A51,'Budget-ACPSZL'!AD:AD)+SUMIF('Budget-ACPLSZ'!$A:$A,$A51,'Budget-ACPLSZ'!AD:AD)+SUMIF('Budget-ACPLGZ'!$A:$A,$A51,'Budget-ACPLGZ'!AD:AD)+SUMIF('Budget-Yixing'!$A:$A,$A51,'Budget-Yixing'!AD:AD)</f>
        <v>6603.77</v>
      </c>
      <c r="AE51" s="688">
        <f ca="1">SUMIF('Budget-ACPL'!$A:$A,$A51,'Budget-ACPL'!AE:AE)+SUMIF('Budget-ACPLHK'!$A:$A,$A51,'Budget-ACPLHK'!AE:AE)+SUMIF('Budget-ACPSZL'!$A:$A,$A51,'Budget-ACPSZL'!AE:AE)+SUMIF('Budget-ACPLSZ'!$A:$A,$A51,'Budget-ACPLSZ'!AE:AE)+SUMIF('Budget-ACPLGZ'!$A:$A,$A51,'Budget-ACPLGZ'!AE:AE)+SUMIF('Budget-Yixing'!$A:$A,$A51,'Budget-Yixing'!AE:AE)</f>
        <v>0</v>
      </c>
      <c r="AF51" s="688">
        <f ca="1">SUMIF('Budget-ACPL'!$A:$A,$A51,'Budget-ACPL'!AF:AF)+SUMIF('Budget-ACPLHK'!$A:$A,$A51,'Budget-ACPLHK'!AF:AF)+SUMIF('Budget-ACPSZL'!$A:$A,$A51,'Budget-ACPSZL'!AF:AF)+SUMIF('Budget-ACPLSZ'!$A:$A,$A51,'Budget-ACPLSZ'!AF:AF)+SUMIF('Budget-ACPLGZ'!$A:$A,$A51,'Budget-ACPLGZ'!AF:AF)+SUMIF('Budget-Yixing'!$A:$A,$A51,'Budget-Yixing'!AF:AF)</f>
        <v>0</v>
      </c>
      <c r="AG51" s="688">
        <f ca="1">SUMIF('Budget-ACPL'!$A:$A,$A51,'Budget-ACPL'!AG:AG)+SUMIF('Budget-ACPLHK'!$A:$A,$A51,'Budget-ACPLHK'!AG:AG)+SUMIF('Budget-ACPSZL'!$A:$A,$A51,'Budget-ACPSZL'!AG:AG)+SUMIF('Budget-ACPLSZ'!$A:$A,$A51,'Budget-ACPLSZ'!AG:AG)+SUMIF('Budget-ACPLGZ'!$A:$A,$A51,'Budget-ACPLGZ'!AG:AG)+SUMIF('Budget-Yixing'!$A:$A,$A51,'Budget-Yixing'!AG:AG)</f>
        <v>42452.83</v>
      </c>
      <c r="AH51" s="688">
        <f ca="1">SUMIF('Budget-ACPL'!$A:$A,$A51,'Budget-ACPL'!AH:AH)+SUMIF('Budget-ACPLHK'!$A:$A,$A51,'Budget-ACPLHK'!AH:AH)+SUMIF('Budget-ACPSZL'!$A:$A,$A51,'Budget-ACPSZL'!AH:AH)+SUMIF('Budget-ACPLSZ'!$A:$A,$A51,'Budget-ACPLSZ'!AH:AH)+SUMIF('Budget-ACPLGZ'!$A:$A,$A51,'Budget-ACPLGZ'!AH:AH)+SUMIF('Budget-Yixing'!$A:$A,$A51,'Budget-Yixing'!AH:AH)</f>
        <v>0</v>
      </c>
      <c r="AI51" s="688">
        <f ca="1">SUMIF('Budget-ACPL'!$A:$A,$A51,'Budget-ACPL'!AI:AI)+SUMIF('Budget-ACPLHK'!$A:$A,$A51,'Budget-ACPLHK'!AI:AI)+SUMIF('Budget-ACPSZL'!$A:$A,$A51,'Budget-ACPSZL'!AI:AI)+SUMIF('Budget-ACPLSZ'!$A:$A,$A51,'Budget-ACPLSZ'!AI:AI)+SUMIF('Budget-ACPLGZ'!$A:$A,$A51,'Budget-ACPLGZ'!AI:AI)+SUMIF('Budget-Yixing'!$A:$A,$A51,'Budget-Yixing'!AI:AI)</f>
        <v>0</v>
      </c>
      <c r="AJ51" s="688">
        <f ca="1">SUMIF('Budget-ACPL'!$A:$A,$A51,'Budget-ACPL'!AJ:AJ)+SUMIF('Budget-ACPLHK'!$A:$A,$A51,'Budget-ACPLHK'!AJ:AJ)+SUMIF('Budget-ACPSZL'!$A:$A,$A51,'Budget-ACPSZL'!AJ:AJ)+SUMIF('Budget-ACPLSZ'!$A:$A,$A51,'Budget-ACPLSZ'!AJ:AJ)+SUMIF('Budget-ACPLGZ'!$A:$A,$A51,'Budget-ACPLGZ'!AJ:AJ)+SUMIF('Budget-Yixing'!$A:$A,$A51,'Budget-Yixing'!AJ:AJ)</f>
        <v>0</v>
      </c>
      <c r="AK51" s="688">
        <f t="shared" ca="1" si="33"/>
        <v>49056.600000000006</v>
      </c>
    </row>
    <row r="52" spans="1:37" ht="13.5" customHeight="1">
      <c r="A52" s="713" t="s">
        <v>1534</v>
      </c>
      <c r="B52" s="687" t="str">
        <f>VLOOKUP(A52,Account!A:B,2,0)</f>
        <v>招聘服务费</v>
      </c>
      <c r="C52" s="687" t="str">
        <f>VLOOKUP(A52,Account!A:F,4,0)</f>
        <v>Employment Agency Fee</v>
      </c>
      <c r="D52" s="676">
        <f t="shared" ca="1" si="27"/>
        <v>0</v>
      </c>
      <c r="E52" s="676" t="e">
        <f t="shared" si="28"/>
        <v>#N/A</v>
      </c>
      <c r="F52" s="676" t="e">
        <f t="shared" ca="1" si="24"/>
        <v>#N/A</v>
      </c>
      <c r="G52" s="676">
        <f t="shared" ca="1" si="29"/>
        <v>0</v>
      </c>
      <c r="H52" s="676" t="e">
        <f t="shared" ca="1" si="30"/>
        <v>#N/A</v>
      </c>
      <c r="I52" s="676" t="e">
        <f t="shared" ca="1" si="31"/>
        <v>#N/A</v>
      </c>
      <c r="K52" s="676">
        <f ca="1">SUMIF('Budget-ACPL'!$A:$A,$A52,'Budget-ACPL'!K:K)+SUMIF('Budget-ACPLHK'!$A:$A,$A52,'Budget-ACPLHK'!K:K)+SUMIF('Budget-ACPSZL'!$A:$A,$A52,'Budget-ACPSZL'!K:K)+SUMIF('Budget-ACPLSZ'!$A:$A,$A52,'Budget-ACPLSZ'!K:K)+SUMIF('Budget-ACPLGZ'!$A:$A,$A52,'Budget-ACPLGZ'!K:K)+SUMIF('Budget-Yixing'!$A:$A,$A52,'Budget-Yixing'!K:K)</f>
        <v>0</v>
      </c>
      <c r="L52" s="676">
        <f ca="1">SUMIF('Budget-ACPL'!$A:$A,$A52,'Budget-ACPL'!L:L)+SUMIF('Budget-ACPLHK'!$A:$A,$A52,'Budget-ACPLHK'!L:L)+SUMIF('Budget-ACPSZL'!$A:$A,$A52,'Budget-ACPSZL'!L:L)+SUMIF('Budget-ACPLSZ'!$A:$A,$A52,'Budget-ACPLSZ'!L:L)+SUMIF('Budget-ACPLGZ'!$A:$A,$A52,'Budget-ACPLGZ'!L:L)+SUMIF('Budget-Yixing'!$A:$A,$A52,'Budget-Yixing'!L:L)</f>
        <v>91080</v>
      </c>
      <c r="M52" s="676">
        <f ca="1">SUMIF('Budget-ACPL'!$A:$A,$A52,'Budget-ACPL'!M:M)+SUMIF('Budget-ACPLHK'!$A:$A,$A52,'Budget-ACPLHK'!M:M)+SUMIF('Budget-ACPSZL'!$A:$A,$A52,'Budget-ACPSZL'!M:M)+SUMIF('Budget-ACPLSZ'!$A:$A,$A52,'Budget-ACPLSZ'!M:M)+SUMIF('Budget-ACPLGZ'!$A:$A,$A52,'Budget-ACPLGZ'!M:M)+SUMIF('Budget-Yixing'!$A:$A,$A52,'Budget-Yixing'!M:M)</f>
        <v>0</v>
      </c>
      <c r="N52" s="676">
        <f ca="1">SUMIF('Budget-ACPL'!$A:$A,$A52,'Budget-ACPL'!N:N)+SUMIF('Budget-ACPLHK'!$A:$A,$A52,'Budget-ACPLHK'!N:N)+SUMIF('Budget-ACPSZL'!$A:$A,$A52,'Budget-ACPSZL'!N:N)+SUMIF('Budget-ACPLSZ'!$A:$A,$A52,'Budget-ACPLSZ'!N:N)+SUMIF('Budget-ACPLGZ'!$A:$A,$A52,'Budget-ACPLGZ'!N:N)+SUMIF('Budget-Yixing'!$A:$A,$A52,'Budget-Yixing'!N:N)</f>
        <v>0</v>
      </c>
      <c r="O52" s="676">
        <f ca="1">SUMIF('Budget-ACPL'!$A:$A,$A52,'Budget-ACPL'!O:O)+SUMIF('Budget-ACPLHK'!$A:$A,$A52,'Budget-ACPLHK'!O:O)+SUMIF('Budget-ACPSZL'!$A:$A,$A52,'Budget-ACPSZL'!O:O)+SUMIF('Budget-ACPLSZ'!$A:$A,$A52,'Budget-ACPLSZ'!O:O)+SUMIF('Budget-ACPLGZ'!$A:$A,$A52,'Budget-ACPLGZ'!O:O)+SUMIF('Budget-Yixing'!$A:$A,$A52,'Budget-Yixing'!O:O)</f>
        <v>0</v>
      </c>
      <c r="P52" s="676">
        <f ca="1">SUMIF('Budget-ACPL'!$A:$A,$A52,'Budget-ACPL'!P:P)+SUMIF('Budget-ACPLHK'!$A:$A,$A52,'Budget-ACPLHK'!P:P)+SUMIF('Budget-ACPSZL'!$A:$A,$A52,'Budget-ACPSZL'!P:P)+SUMIF('Budget-ACPLSZ'!$A:$A,$A52,'Budget-ACPLSZ'!P:P)+SUMIF('Budget-ACPLGZ'!$A:$A,$A52,'Budget-ACPLGZ'!P:P)+SUMIF('Budget-Yixing'!$A:$A,$A52,'Budget-Yixing'!P:P)</f>
        <v>342690</v>
      </c>
      <c r="Q52" s="676">
        <f ca="1">SUMIF('Budget-ACPL'!$A:$A,$A52,'Budget-ACPL'!Q:Q)+SUMIF('Budget-ACPLHK'!$A:$A,$A52,'Budget-ACPLHK'!Q:Q)+SUMIF('Budget-ACPSZL'!$A:$A,$A52,'Budget-ACPSZL'!Q:Q)+SUMIF('Budget-ACPLSZ'!$A:$A,$A52,'Budget-ACPLSZ'!Q:Q)+SUMIF('Budget-ACPLGZ'!$A:$A,$A52,'Budget-ACPLGZ'!Q:Q)+SUMIF('Budget-Yixing'!$A:$A,$A52,'Budget-Yixing'!Q:Q)</f>
        <v>0</v>
      </c>
      <c r="R52" s="676">
        <f ca="1">SUMIF('Budget-ACPL'!$A:$A,$A52,'Budget-ACPL'!R:R)+SUMIF('Budget-ACPLHK'!$A:$A,$A52,'Budget-ACPLHK'!R:R)+SUMIF('Budget-ACPSZL'!$A:$A,$A52,'Budget-ACPSZL'!R:R)+SUMIF('Budget-ACPLSZ'!$A:$A,$A52,'Budget-ACPLSZ'!R:R)+SUMIF('Budget-ACPLGZ'!$A:$A,$A52,'Budget-ACPLGZ'!R:R)+SUMIF('Budget-Yixing'!$A:$A,$A52,'Budget-Yixing'!R:R)</f>
        <v>0</v>
      </c>
      <c r="S52" s="676">
        <f ca="1">SUMIF('Budget-ACPL'!$A:$A,$A52,'Budget-ACPL'!S:S)+SUMIF('Budget-ACPLHK'!$A:$A,$A52,'Budget-ACPLHK'!S:S)+SUMIF('Budget-ACPSZL'!$A:$A,$A52,'Budget-ACPSZL'!S:S)+SUMIF('Budget-ACPLSZ'!$A:$A,$A52,'Budget-ACPLSZ'!S:S)+SUMIF('Budget-ACPLGZ'!$A:$A,$A52,'Budget-ACPLGZ'!S:S)+SUMIF('Budget-Yixing'!$A:$A,$A52,'Budget-Yixing'!S:S)</f>
        <v>0</v>
      </c>
      <c r="T52" s="676">
        <f ca="1">SUMIF('Budget-ACPL'!$A:$A,$A52,'Budget-ACPL'!T:T)+SUMIF('Budget-ACPLHK'!$A:$A,$A52,'Budget-ACPLHK'!T:T)+SUMIF('Budget-ACPSZL'!$A:$A,$A52,'Budget-ACPSZL'!T:T)+SUMIF('Budget-ACPLSZ'!$A:$A,$A52,'Budget-ACPLSZ'!T:T)+SUMIF('Budget-ACPLGZ'!$A:$A,$A52,'Budget-ACPLGZ'!T:T)+SUMIF('Budget-Yixing'!$A:$A,$A52,'Budget-Yixing'!T:T)</f>
        <v>0</v>
      </c>
      <c r="U52" s="676">
        <f ca="1">SUMIF('Budget-ACPL'!$A:$A,$A52,'Budget-ACPL'!U:U)+SUMIF('Budget-ACPLHK'!$A:$A,$A52,'Budget-ACPLHK'!U:U)+SUMIF('Budget-ACPSZL'!$A:$A,$A52,'Budget-ACPSZL'!U:U)+SUMIF('Budget-ACPLSZ'!$A:$A,$A52,'Budget-ACPLSZ'!U:U)+SUMIF('Budget-ACPLGZ'!$A:$A,$A52,'Budget-ACPLGZ'!U:U)+SUMIF('Budget-Yixing'!$A:$A,$A52,'Budget-Yixing'!U:U)</f>
        <v>0</v>
      </c>
      <c r="V52" s="676">
        <f ca="1">SUMIF('Budget-ACPL'!$A:$A,$A52,'Budget-ACPL'!V:V)+SUMIF('Budget-ACPLHK'!$A:$A,$A52,'Budget-ACPLHK'!V:V)+SUMIF('Budget-ACPSZL'!$A:$A,$A52,'Budget-ACPSZL'!V:V)+SUMIF('Budget-ACPLSZ'!$A:$A,$A52,'Budget-ACPLSZ'!V:V)+SUMIF('Budget-ACPLGZ'!$A:$A,$A52,'Budget-ACPLGZ'!V:V)+SUMIF('Budget-Yixing'!$A:$A,$A52,'Budget-Yixing'!V:V)</f>
        <v>0</v>
      </c>
      <c r="W52" s="676">
        <f t="shared" ca="1" si="32"/>
        <v>433770</v>
      </c>
      <c r="Y52" s="688">
        <f ca="1">SUMIF('Budget-ACPL'!$A:$A,$A52,'Budget-ACPL'!Y:Y)+SUMIF('Budget-ACPLHK'!$A:$A,$A52,'Budget-ACPLHK'!Y:Y)+SUMIF('Budget-ACPSZL'!$A:$A,$A52,'Budget-ACPSZL'!Y:Y)+SUMIF('Budget-ACPLSZ'!$A:$A,$A52,'Budget-ACPLSZ'!Y:Y)+SUMIF('Budget-ACPLGZ'!$A:$A,$A52,'Budget-ACPLGZ'!Y:Y)+SUMIF('Budget-Yixing'!$A:$A,$A52,'Budget-Yixing'!Y:Y)</f>
        <v>0</v>
      </c>
      <c r="Z52" s="688">
        <f ca="1">SUMIF('Budget-ACPL'!$A:$A,$A52,'Budget-ACPL'!Z:Z)+SUMIF('Budget-ACPLHK'!$A:$A,$A52,'Budget-ACPLHK'!Z:Z)+SUMIF('Budget-ACPSZL'!$A:$A,$A52,'Budget-ACPSZL'!Z:Z)+SUMIF('Budget-ACPLSZ'!$A:$A,$A52,'Budget-ACPLSZ'!Z:Z)+SUMIF('Budget-ACPLGZ'!$A:$A,$A52,'Budget-ACPLGZ'!Z:Z)+SUMIF('Budget-Yixing'!$A:$A,$A52,'Budget-Yixing'!Z:Z)</f>
        <v>0</v>
      </c>
      <c r="AA52" s="688">
        <f ca="1">SUMIF('Budget-ACPL'!$A:$A,$A52,'Budget-ACPL'!AA:AA)+SUMIF('Budget-ACPLHK'!$A:$A,$A52,'Budget-ACPLHK'!AA:AA)+SUMIF('Budget-ACPSZL'!$A:$A,$A52,'Budget-ACPSZL'!AA:AA)+SUMIF('Budget-ACPLSZ'!$A:$A,$A52,'Budget-ACPLSZ'!AA:AA)+SUMIF('Budget-ACPLGZ'!$A:$A,$A52,'Budget-ACPLGZ'!AA:AA)+SUMIF('Budget-Yixing'!$A:$A,$A52,'Budget-Yixing'!AA:AA)</f>
        <v>0</v>
      </c>
      <c r="AB52" s="688">
        <f ca="1">SUMIF('Budget-ACPL'!$A:$A,$A52,'Budget-ACPL'!AB:AB)+SUMIF('Budget-ACPLHK'!$A:$A,$A52,'Budget-ACPLHK'!AB:AB)+SUMIF('Budget-ACPSZL'!$A:$A,$A52,'Budget-ACPSZL'!AB:AB)+SUMIF('Budget-ACPLSZ'!$A:$A,$A52,'Budget-ACPLSZ'!AB:AB)+SUMIF('Budget-ACPLGZ'!$A:$A,$A52,'Budget-ACPLGZ'!AB:AB)+SUMIF('Budget-Yixing'!$A:$A,$A52,'Budget-Yixing'!AB:AB)</f>
        <v>0</v>
      </c>
      <c r="AC52" s="688">
        <f ca="1">SUMIF('Budget-ACPL'!$A:$A,$A52,'Budget-ACPL'!AC:AC)+SUMIF('Budget-ACPLHK'!$A:$A,$A52,'Budget-ACPLHK'!AC:AC)+SUMIF('Budget-ACPSZL'!$A:$A,$A52,'Budget-ACPSZL'!AC:AC)+SUMIF('Budget-ACPLSZ'!$A:$A,$A52,'Budget-ACPLSZ'!AC:AC)+SUMIF('Budget-ACPLGZ'!$A:$A,$A52,'Budget-ACPLGZ'!AC:AC)+SUMIF('Budget-Yixing'!$A:$A,$A52,'Budget-Yixing'!AC:AC)</f>
        <v>0</v>
      </c>
      <c r="AD52" s="688">
        <f ca="1">SUMIF('Budget-ACPL'!$A:$A,$A52,'Budget-ACPL'!AD:AD)+SUMIF('Budget-ACPLHK'!$A:$A,$A52,'Budget-ACPLHK'!AD:AD)+SUMIF('Budget-ACPSZL'!$A:$A,$A52,'Budget-ACPSZL'!AD:AD)+SUMIF('Budget-ACPLSZ'!$A:$A,$A52,'Budget-ACPLSZ'!AD:AD)+SUMIF('Budget-ACPLGZ'!$A:$A,$A52,'Budget-ACPLGZ'!AD:AD)+SUMIF('Budget-Yixing'!$A:$A,$A52,'Budget-Yixing'!AD:AD)</f>
        <v>0</v>
      </c>
      <c r="AE52" s="688">
        <f ca="1">SUMIF('Budget-ACPL'!$A:$A,$A52,'Budget-ACPL'!AE:AE)+SUMIF('Budget-ACPLHK'!$A:$A,$A52,'Budget-ACPLHK'!AE:AE)+SUMIF('Budget-ACPSZL'!$A:$A,$A52,'Budget-ACPSZL'!AE:AE)+SUMIF('Budget-ACPLSZ'!$A:$A,$A52,'Budget-ACPLSZ'!AE:AE)+SUMIF('Budget-ACPLGZ'!$A:$A,$A52,'Budget-ACPLGZ'!AE:AE)+SUMIF('Budget-Yixing'!$A:$A,$A52,'Budget-Yixing'!AE:AE)</f>
        <v>5471.7</v>
      </c>
      <c r="AF52" s="688">
        <f ca="1">SUMIF('Budget-ACPL'!$A:$A,$A52,'Budget-ACPL'!AF:AF)+SUMIF('Budget-ACPLHK'!$A:$A,$A52,'Budget-ACPLHK'!AF:AF)+SUMIF('Budget-ACPSZL'!$A:$A,$A52,'Budget-ACPSZL'!AF:AF)+SUMIF('Budget-ACPLSZ'!$A:$A,$A52,'Budget-ACPLSZ'!AF:AF)+SUMIF('Budget-ACPLGZ'!$A:$A,$A52,'Budget-ACPLGZ'!AF:AF)+SUMIF('Budget-Yixing'!$A:$A,$A52,'Budget-Yixing'!AF:AF)</f>
        <v>0</v>
      </c>
      <c r="AG52" s="688">
        <f ca="1">SUMIF('Budget-ACPL'!$A:$A,$A52,'Budget-ACPL'!AG:AG)+SUMIF('Budget-ACPLHK'!$A:$A,$A52,'Budget-ACPLHK'!AG:AG)+SUMIF('Budget-ACPSZL'!$A:$A,$A52,'Budget-ACPSZL'!AG:AG)+SUMIF('Budget-ACPLSZ'!$A:$A,$A52,'Budget-ACPLSZ'!AG:AG)+SUMIF('Budget-ACPLGZ'!$A:$A,$A52,'Budget-ACPLGZ'!AG:AG)+SUMIF('Budget-Yixing'!$A:$A,$A52,'Budget-Yixing'!AG:AG)</f>
        <v>0</v>
      </c>
      <c r="AH52" s="688">
        <f ca="1">SUMIF('Budget-ACPL'!$A:$A,$A52,'Budget-ACPL'!AH:AH)+SUMIF('Budget-ACPLHK'!$A:$A,$A52,'Budget-ACPLHK'!AH:AH)+SUMIF('Budget-ACPSZL'!$A:$A,$A52,'Budget-ACPSZL'!AH:AH)+SUMIF('Budget-ACPLSZ'!$A:$A,$A52,'Budget-ACPLSZ'!AH:AH)+SUMIF('Budget-ACPLGZ'!$A:$A,$A52,'Budget-ACPLGZ'!AH:AH)+SUMIF('Budget-Yixing'!$A:$A,$A52,'Budget-Yixing'!AH:AH)</f>
        <v>0</v>
      </c>
      <c r="AI52" s="688">
        <f ca="1">SUMIF('Budget-ACPL'!$A:$A,$A52,'Budget-ACPL'!AI:AI)+SUMIF('Budget-ACPLHK'!$A:$A,$A52,'Budget-ACPLHK'!AI:AI)+SUMIF('Budget-ACPSZL'!$A:$A,$A52,'Budget-ACPSZL'!AI:AI)+SUMIF('Budget-ACPLSZ'!$A:$A,$A52,'Budget-ACPLSZ'!AI:AI)+SUMIF('Budget-ACPLGZ'!$A:$A,$A52,'Budget-ACPLGZ'!AI:AI)+SUMIF('Budget-Yixing'!$A:$A,$A52,'Budget-Yixing'!AI:AI)</f>
        <v>0</v>
      </c>
      <c r="AJ52" s="688">
        <f ca="1">SUMIF('Budget-ACPL'!$A:$A,$A52,'Budget-ACPL'!AJ:AJ)+SUMIF('Budget-ACPLHK'!$A:$A,$A52,'Budget-ACPLHK'!AJ:AJ)+SUMIF('Budget-ACPSZL'!$A:$A,$A52,'Budget-ACPSZL'!AJ:AJ)+SUMIF('Budget-ACPLSZ'!$A:$A,$A52,'Budget-ACPLSZ'!AJ:AJ)+SUMIF('Budget-ACPLGZ'!$A:$A,$A52,'Budget-ACPLGZ'!AJ:AJ)+SUMIF('Budget-Yixing'!$A:$A,$A52,'Budget-Yixing'!AJ:AJ)</f>
        <v>0</v>
      </c>
      <c r="AK52" s="688">
        <f t="shared" ca="1" si="33"/>
        <v>5471.7</v>
      </c>
    </row>
    <row r="53" spans="1:37" ht="13.5" customHeight="1">
      <c r="A53" s="713" t="s">
        <v>1539</v>
      </c>
      <c r="B53" s="687" t="str">
        <f>VLOOKUP(A53,Account!A:B,2,0)</f>
        <v>法律服务费</v>
      </c>
      <c r="C53" s="687" t="str">
        <f>VLOOKUP(A53,Account!A:F,4,0)</f>
        <v>Legal Fees</v>
      </c>
      <c r="D53" s="676">
        <f t="shared" ca="1" si="27"/>
        <v>0</v>
      </c>
      <c r="E53" s="676" t="e">
        <f t="shared" si="28"/>
        <v>#N/A</v>
      </c>
      <c r="F53" s="676" t="e">
        <f t="shared" ca="1" si="24"/>
        <v>#N/A</v>
      </c>
      <c r="G53" s="676">
        <f t="shared" ca="1" si="29"/>
        <v>0</v>
      </c>
      <c r="H53" s="676" t="e">
        <f t="shared" ca="1" si="30"/>
        <v>#N/A</v>
      </c>
      <c r="I53" s="676" t="e">
        <f t="shared" ca="1" si="31"/>
        <v>#N/A</v>
      </c>
      <c r="K53" s="676">
        <f ca="1">SUMIF('Budget-ACPL'!$A:$A,$A53,'Budget-ACPL'!K:K)+SUMIF('Budget-ACPLHK'!$A:$A,$A53,'Budget-ACPLHK'!K:K)+SUMIF('Budget-ACPSZL'!$A:$A,$A53,'Budget-ACPSZL'!K:K)+SUMIF('Budget-ACPLSZ'!$A:$A,$A53,'Budget-ACPLSZ'!K:K)+SUMIF('Budget-ACPLGZ'!$A:$A,$A53,'Budget-ACPLGZ'!K:K)+SUMIF('Budget-Yixing'!$A:$A,$A53,'Budget-Yixing'!K:K)</f>
        <v>0</v>
      </c>
      <c r="L53" s="676">
        <f ca="1">SUMIF('Budget-ACPL'!$A:$A,$A53,'Budget-ACPL'!L:L)+SUMIF('Budget-ACPLHK'!$A:$A,$A53,'Budget-ACPLHK'!L:L)+SUMIF('Budget-ACPSZL'!$A:$A,$A53,'Budget-ACPSZL'!L:L)+SUMIF('Budget-ACPLSZ'!$A:$A,$A53,'Budget-ACPLSZ'!L:L)+SUMIF('Budget-ACPLGZ'!$A:$A,$A53,'Budget-ACPLGZ'!L:L)+SUMIF('Budget-Yixing'!$A:$A,$A53,'Budget-Yixing'!L:L)</f>
        <v>0</v>
      </c>
      <c r="M53" s="676">
        <f ca="1">SUMIF('Budget-ACPL'!$A:$A,$A53,'Budget-ACPL'!M:M)+SUMIF('Budget-ACPLHK'!$A:$A,$A53,'Budget-ACPLHK'!M:M)+SUMIF('Budget-ACPSZL'!$A:$A,$A53,'Budget-ACPSZL'!M:M)+SUMIF('Budget-ACPLSZ'!$A:$A,$A53,'Budget-ACPLSZ'!M:M)+SUMIF('Budget-ACPLGZ'!$A:$A,$A53,'Budget-ACPLGZ'!M:M)+SUMIF('Budget-Yixing'!$A:$A,$A53,'Budget-Yixing'!M:M)</f>
        <v>0</v>
      </c>
      <c r="N53" s="676">
        <f ca="1">SUMIF('Budget-ACPL'!$A:$A,$A53,'Budget-ACPL'!N:N)+SUMIF('Budget-ACPLHK'!$A:$A,$A53,'Budget-ACPLHK'!N:N)+SUMIF('Budget-ACPSZL'!$A:$A,$A53,'Budget-ACPSZL'!N:N)+SUMIF('Budget-ACPLSZ'!$A:$A,$A53,'Budget-ACPLSZ'!N:N)+SUMIF('Budget-ACPLGZ'!$A:$A,$A53,'Budget-ACPLGZ'!N:N)+SUMIF('Budget-Yixing'!$A:$A,$A53,'Budget-Yixing'!N:N)</f>
        <v>0</v>
      </c>
      <c r="O53" s="676">
        <f ca="1">SUMIF('Budget-ACPL'!$A:$A,$A53,'Budget-ACPL'!O:O)+SUMIF('Budget-ACPLHK'!$A:$A,$A53,'Budget-ACPLHK'!O:O)+SUMIF('Budget-ACPSZL'!$A:$A,$A53,'Budget-ACPSZL'!O:O)+SUMIF('Budget-ACPLSZ'!$A:$A,$A53,'Budget-ACPLSZ'!O:O)+SUMIF('Budget-ACPLGZ'!$A:$A,$A53,'Budget-ACPLGZ'!O:O)+SUMIF('Budget-Yixing'!$A:$A,$A53,'Budget-Yixing'!O:O)</f>
        <v>0</v>
      </c>
      <c r="P53" s="676">
        <f ca="1">SUMIF('Budget-ACPL'!$A:$A,$A53,'Budget-ACPL'!P:P)+SUMIF('Budget-ACPLHK'!$A:$A,$A53,'Budget-ACPLHK'!P:P)+SUMIF('Budget-ACPSZL'!$A:$A,$A53,'Budget-ACPSZL'!P:P)+SUMIF('Budget-ACPLSZ'!$A:$A,$A53,'Budget-ACPLSZ'!P:P)+SUMIF('Budget-ACPLGZ'!$A:$A,$A53,'Budget-ACPLGZ'!P:P)+SUMIF('Budget-Yixing'!$A:$A,$A53,'Budget-Yixing'!P:P)</f>
        <v>50000</v>
      </c>
      <c r="Q53" s="676">
        <f ca="1">SUMIF('Budget-ACPL'!$A:$A,$A53,'Budget-ACPL'!Q:Q)+SUMIF('Budget-ACPLHK'!$A:$A,$A53,'Budget-ACPLHK'!Q:Q)+SUMIF('Budget-ACPSZL'!$A:$A,$A53,'Budget-ACPSZL'!Q:Q)+SUMIF('Budget-ACPLSZ'!$A:$A,$A53,'Budget-ACPLSZ'!Q:Q)+SUMIF('Budget-ACPLGZ'!$A:$A,$A53,'Budget-ACPLGZ'!Q:Q)+SUMIF('Budget-Yixing'!$A:$A,$A53,'Budget-Yixing'!Q:Q)</f>
        <v>0</v>
      </c>
      <c r="R53" s="676">
        <f ca="1">SUMIF('Budget-ACPL'!$A:$A,$A53,'Budget-ACPL'!R:R)+SUMIF('Budget-ACPLHK'!$A:$A,$A53,'Budget-ACPLHK'!R:R)+SUMIF('Budget-ACPSZL'!$A:$A,$A53,'Budget-ACPSZL'!R:R)+SUMIF('Budget-ACPLSZ'!$A:$A,$A53,'Budget-ACPLSZ'!R:R)+SUMIF('Budget-ACPLGZ'!$A:$A,$A53,'Budget-ACPLGZ'!R:R)+SUMIF('Budget-Yixing'!$A:$A,$A53,'Budget-Yixing'!R:R)</f>
        <v>70576</v>
      </c>
      <c r="S53" s="676">
        <f ca="1">SUMIF('Budget-ACPL'!$A:$A,$A53,'Budget-ACPL'!S:S)+SUMIF('Budget-ACPLHK'!$A:$A,$A53,'Budget-ACPLHK'!S:S)+SUMIF('Budget-ACPSZL'!$A:$A,$A53,'Budget-ACPSZL'!S:S)+SUMIF('Budget-ACPLSZ'!$A:$A,$A53,'Budget-ACPLSZ'!S:S)+SUMIF('Budget-ACPLGZ'!$A:$A,$A53,'Budget-ACPLGZ'!S:S)+SUMIF('Budget-Yixing'!$A:$A,$A53,'Budget-Yixing'!S:S)</f>
        <v>220576</v>
      </c>
      <c r="T53" s="676">
        <f ca="1">SUMIF('Budget-ACPL'!$A:$A,$A53,'Budget-ACPL'!T:T)+SUMIF('Budget-ACPLHK'!$A:$A,$A53,'Budget-ACPLHK'!T:T)+SUMIF('Budget-ACPSZL'!$A:$A,$A53,'Budget-ACPSZL'!T:T)+SUMIF('Budget-ACPLSZ'!$A:$A,$A53,'Budget-ACPLSZ'!T:T)+SUMIF('Budget-ACPLGZ'!$A:$A,$A53,'Budget-ACPLGZ'!T:T)+SUMIF('Budget-Yixing'!$A:$A,$A53,'Budget-Yixing'!T:T)</f>
        <v>70576</v>
      </c>
      <c r="U53" s="676">
        <f ca="1">SUMIF('Budget-ACPL'!$A:$A,$A53,'Budget-ACPL'!U:U)+SUMIF('Budget-ACPLHK'!$A:$A,$A53,'Budget-ACPLHK'!U:U)+SUMIF('Budget-ACPSZL'!$A:$A,$A53,'Budget-ACPSZL'!U:U)+SUMIF('Budget-ACPLSZ'!$A:$A,$A53,'Budget-ACPLSZ'!U:U)+SUMIF('Budget-ACPLGZ'!$A:$A,$A53,'Budget-ACPLGZ'!U:U)+SUMIF('Budget-Yixing'!$A:$A,$A53,'Budget-Yixing'!U:U)</f>
        <v>70576</v>
      </c>
      <c r="V53" s="676">
        <f ca="1">SUMIF('Budget-ACPL'!$A:$A,$A53,'Budget-ACPL'!V:V)+SUMIF('Budget-ACPLHK'!$A:$A,$A53,'Budget-ACPLHK'!V:V)+SUMIF('Budget-ACPSZL'!$A:$A,$A53,'Budget-ACPSZL'!V:V)+SUMIF('Budget-ACPLSZ'!$A:$A,$A53,'Budget-ACPLSZ'!V:V)+SUMIF('Budget-ACPLGZ'!$A:$A,$A53,'Budget-ACPLGZ'!V:V)+SUMIF('Budget-Yixing'!$A:$A,$A53,'Budget-Yixing'!V:V)</f>
        <v>70576</v>
      </c>
      <c r="W53" s="676">
        <f t="shared" ca="1" si="32"/>
        <v>552880</v>
      </c>
      <c r="Y53" s="688">
        <f ca="1">SUMIF('Budget-ACPL'!$A:$A,$A53,'Budget-ACPL'!Y:Y)+SUMIF('Budget-ACPLHK'!$A:$A,$A53,'Budget-ACPLHK'!Y:Y)+SUMIF('Budget-ACPSZL'!$A:$A,$A53,'Budget-ACPSZL'!Y:Y)+SUMIF('Budget-ACPLSZ'!$A:$A,$A53,'Budget-ACPLSZ'!Y:Y)+SUMIF('Budget-ACPLGZ'!$A:$A,$A53,'Budget-ACPLGZ'!Y:Y)+SUMIF('Budget-Yixing'!$A:$A,$A53,'Budget-Yixing'!Y:Y)</f>
        <v>0</v>
      </c>
      <c r="Z53" s="688">
        <f ca="1">SUMIF('Budget-ACPL'!$A:$A,$A53,'Budget-ACPL'!Z:Z)+SUMIF('Budget-ACPLHK'!$A:$A,$A53,'Budget-ACPLHK'!Z:Z)+SUMIF('Budget-ACPSZL'!$A:$A,$A53,'Budget-ACPSZL'!Z:Z)+SUMIF('Budget-ACPLSZ'!$A:$A,$A53,'Budget-ACPLSZ'!Z:Z)+SUMIF('Budget-ACPLGZ'!$A:$A,$A53,'Budget-ACPLGZ'!Z:Z)+SUMIF('Budget-Yixing'!$A:$A,$A53,'Budget-Yixing'!Z:Z)</f>
        <v>28301.89</v>
      </c>
      <c r="AA53" s="688">
        <f ca="1">SUMIF('Budget-ACPL'!$A:$A,$A53,'Budget-ACPL'!AA:AA)+SUMIF('Budget-ACPLHK'!$A:$A,$A53,'Budget-ACPLHK'!AA:AA)+SUMIF('Budget-ACPSZL'!$A:$A,$A53,'Budget-ACPSZL'!AA:AA)+SUMIF('Budget-ACPLSZ'!$A:$A,$A53,'Budget-ACPLSZ'!AA:AA)+SUMIF('Budget-ACPLGZ'!$A:$A,$A53,'Budget-ACPLGZ'!AA:AA)+SUMIF('Budget-Yixing'!$A:$A,$A53,'Budget-Yixing'!AA:AA)</f>
        <v>0</v>
      </c>
      <c r="AB53" s="688">
        <f ca="1">SUMIF('Budget-ACPL'!$A:$A,$A53,'Budget-ACPL'!AB:AB)+SUMIF('Budget-ACPLHK'!$A:$A,$A53,'Budget-ACPLHK'!AB:AB)+SUMIF('Budget-ACPSZL'!$A:$A,$A53,'Budget-ACPSZL'!AB:AB)+SUMIF('Budget-ACPLSZ'!$A:$A,$A53,'Budget-ACPLSZ'!AB:AB)+SUMIF('Budget-ACPLGZ'!$A:$A,$A53,'Budget-ACPLGZ'!AB:AB)+SUMIF('Budget-Yixing'!$A:$A,$A53,'Budget-Yixing'!AB:AB)</f>
        <v>0</v>
      </c>
      <c r="AC53" s="688">
        <f ca="1">SUMIF('Budget-ACPL'!$A:$A,$A53,'Budget-ACPL'!AC:AC)+SUMIF('Budget-ACPLHK'!$A:$A,$A53,'Budget-ACPLHK'!AC:AC)+SUMIF('Budget-ACPSZL'!$A:$A,$A53,'Budget-ACPSZL'!AC:AC)+SUMIF('Budget-ACPLSZ'!$A:$A,$A53,'Budget-ACPLSZ'!AC:AC)+SUMIF('Budget-ACPLGZ'!$A:$A,$A53,'Budget-ACPLGZ'!AC:AC)+SUMIF('Budget-Yixing'!$A:$A,$A53,'Budget-Yixing'!AC:AC)</f>
        <v>6180</v>
      </c>
      <c r="AD53" s="688">
        <f ca="1">SUMIF('Budget-ACPL'!$A:$A,$A53,'Budget-ACPL'!AD:AD)+SUMIF('Budget-ACPLHK'!$A:$A,$A53,'Budget-ACPLHK'!AD:AD)+SUMIF('Budget-ACPSZL'!$A:$A,$A53,'Budget-ACPSZL'!AD:AD)+SUMIF('Budget-ACPLSZ'!$A:$A,$A53,'Budget-ACPLSZ'!AD:AD)+SUMIF('Budget-ACPLGZ'!$A:$A,$A53,'Budget-ACPLGZ'!AD:AD)+SUMIF('Budget-Yixing'!$A:$A,$A53,'Budget-Yixing'!AD:AD)</f>
        <v>0</v>
      </c>
      <c r="AE53" s="688">
        <f ca="1">SUMIF('Budget-ACPL'!$A:$A,$A53,'Budget-ACPL'!AE:AE)+SUMIF('Budget-ACPLHK'!$A:$A,$A53,'Budget-ACPLHK'!AE:AE)+SUMIF('Budget-ACPSZL'!$A:$A,$A53,'Budget-ACPSZL'!AE:AE)+SUMIF('Budget-ACPLSZ'!$A:$A,$A53,'Budget-ACPLSZ'!AE:AE)+SUMIF('Budget-ACPLGZ'!$A:$A,$A53,'Budget-ACPLGZ'!AE:AE)+SUMIF('Budget-Yixing'!$A:$A,$A53,'Budget-Yixing'!AE:AE)</f>
        <v>188400</v>
      </c>
      <c r="AF53" s="688">
        <f ca="1">SUMIF('Budget-ACPL'!$A:$A,$A53,'Budget-ACPL'!AF:AF)+SUMIF('Budget-ACPLHK'!$A:$A,$A53,'Budget-ACPLHK'!AF:AF)+SUMIF('Budget-ACPSZL'!$A:$A,$A53,'Budget-ACPSZL'!AF:AF)+SUMIF('Budget-ACPLSZ'!$A:$A,$A53,'Budget-ACPLSZ'!AF:AF)+SUMIF('Budget-ACPLGZ'!$A:$A,$A53,'Budget-ACPLGZ'!AF:AF)+SUMIF('Budget-Yixing'!$A:$A,$A53,'Budget-Yixing'!AF:AF)</f>
        <v>7070</v>
      </c>
      <c r="AG53" s="688">
        <f ca="1">SUMIF('Budget-ACPL'!$A:$A,$A53,'Budget-ACPL'!AG:AG)+SUMIF('Budget-ACPLHK'!$A:$A,$A53,'Budget-ACPLHK'!AG:AG)+SUMIF('Budget-ACPSZL'!$A:$A,$A53,'Budget-ACPSZL'!AG:AG)+SUMIF('Budget-ACPLSZ'!$A:$A,$A53,'Budget-ACPLSZ'!AG:AG)+SUMIF('Budget-ACPLGZ'!$A:$A,$A53,'Budget-ACPLGZ'!AG:AG)+SUMIF('Budget-Yixing'!$A:$A,$A53,'Budget-Yixing'!AG:AG)</f>
        <v>0</v>
      </c>
      <c r="AH53" s="688">
        <f ca="1">SUMIF('Budget-ACPL'!$A:$A,$A53,'Budget-ACPL'!AH:AH)+SUMIF('Budget-ACPLHK'!$A:$A,$A53,'Budget-ACPLHK'!AH:AH)+SUMIF('Budget-ACPSZL'!$A:$A,$A53,'Budget-ACPSZL'!AH:AH)+SUMIF('Budget-ACPLSZ'!$A:$A,$A53,'Budget-ACPLSZ'!AH:AH)+SUMIF('Budget-ACPLGZ'!$A:$A,$A53,'Budget-ACPLGZ'!AH:AH)+SUMIF('Budget-Yixing'!$A:$A,$A53,'Budget-Yixing'!AH:AH)</f>
        <v>0</v>
      </c>
      <c r="AI53" s="688">
        <f ca="1">SUMIF('Budget-ACPL'!$A:$A,$A53,'Budget-ACPL'!AI:AI)+SUMIF('Budget-ACPLHK'!$A:$A,$A53,'Budget-ACPLHK'!AI:AI)+SUMIF('Budget-ACPSZL'!$A:$A,$A53,'Budget-ACPSZL'!AI:AI)+SUMIF('Budget-ACPLSZ'!$A:$A,$A53,'Budget-ACPLSZ'!AI:AI)+SUMIF('Budget-ACPLGZ'!$A:$A,$A53,'Budget-ACPLGZ'!AI:AI)+SUMIF('Budget-Yixing'!$A:$A,$A53,'Budget-Yixing'!AI:AI)</f>
        <v>0</v>
      </c>
      <c r="AJ53" s="688">
        <f ca="1">SUMIF('Budget-ACPL'!$A:$A,$A53,'Budget-ACPL'!AJ:AJ)+SUMIF('Budget-ACPLHK'!$A:$A,$A53,'Budget-ACPLHK'!AJ:AJ)+SUMIF('Budget-ACPSZL'!$A:$A,$A53,'Budget-ACPSZL'!AJ:AJ)+SUMIF('Budget-ACPLSZ'!$A:$A,$A53,'Budget-ACPLSZ'!AJ:AJ)+SUMIF('Budget-ACPLGZ'!$A:$A,$A53,'Budget-ACPLGZ'!AJ:AJ)+SUMIF('Budget-Yixing'!$A:$A,$A53,'Budget-Yixing'!AJ:AJ)</f>
        <v>0</v>
      </c>
      <c r="AK53" s="688">
        <f t="shared" ca="1" si="33"/>
        <v>229951.89</v>
      </c>
    </row>
    <row r="54" spans="1:37" ht="13.5" customHeight="1">
      <c r="A54" s="713" t="s">
        <v>1544</v>
      </c>
      <c r="B54" s="687" t="str">
        <f>VLOOKUP(A54,Account!A:B,2,0)</f>
        <v>人力资源服务费</v>
      </c>
      <c r="C54" s="687" t="str">
        <f>VLOOKUP(A54,Account!A:F,4,0)</f>
        <v>Payroll Services</v>
      </c>
      <c r="D54" s="676">
        <f t="shared" ca="1" si="27"/>
        <v>9049.9500000000007</v>
      </c>
      <c r="E54" s="676" t="e">
        <f t="shared" si="28"/>
        <v>#N/A</v>
      </c>
      <c r="F54" s="676" t="e">
        <f t="shared" ca="1" si="24"/>
        <v>#N/A</v>
      </c>
      <c r="G54" s="676">
        <f t="shared" ca="1" si="29"/>
        <v>9049.9500000000007</v>
      </c>
      <c r="H54" s="676" t="e">
        <f t="shared" ca="1" si="30"/>
        <v>#N/A</v>
      </c>
      <c r="I54" s="676" t="e">
        <f t="shared" ca="1" si="31"/>
        <v>#N/A</v>
      </c>
      <c r="K54" s="676">
        <f ca="1">SUMIF('Budget-ACPL'!$A:$A,$A54,'Budget-ACPL'!K:K)+SUMIF('Budget-ACPLHK'!$A:$A,$A54,'Budget-ACPLHK'!K:K)+SUMIF('Budget-ACPSZL'!$A:$A,$A54,'Budget-ACPSZL'!K:K)+SUMIF('Budget-ACPLSZ'!$A:$A,$A54,'Budget-ACPLSZ'!K:K)+SUMIF('Budget-ACPLGZ'!$A:$A,$A54,'Budget-ACPLGZ'!K:K)+SUMIF('Budget-Yixing'!$A:$A,$A54,'Budget-Yixing'!K:K)</f>
        <v>9049.9500000000007</v>
      </c>
      <c r="L54" s="676">
        <f ca="1">SUMIF('Budget-ACPL'!$A:$A,$A54,'Budget-ACPL'!L:L)+SUMIF('Budget-ACPLHK'!$A:$A,$A54,'Budget-ACPLHK'!L:L)+SUMIF('Budget-ACPSZL'!$A:$A,$A54,'Budget-ACPSZL'!L:L)+SUMIF('Budget-ACPLSZ'!$A:$A,$A54,'Budget-ACPLSZ'!L:L)+SUMIF('Budget-ACPLGZ'!$A:$A,$A54,'Budget-ACPLGZ'!L:L)+SUMIF('Budget-Yixing'!$A:$A,$A54,'Budget-Yixing'!L:L)</f>
        <v>9011</v>
      </c>
      <c r="M54" s="676">
        <f ca="1">SUMIF('Budget-ACPL'!$A:$A,$A54,'Budget-ACPL'!M:M)+SUMIF('Budget-ACPLHK'!$A:$A,$A54,'Budget-ACPLHK'!M:M)+SUMIF('Budget-ACPSZL'!$A:$A,$A54,'Budget-ACPSZL'!M:M)+SUMIF('Budget-ACPLSZ'!$A:$A,$A54,'Budget-ACPLSZ'!M:M)+SUMIF('Budget-ACPLGZ'!$A:$A,$A54,'Budget-ACPLGZ'!M:M)+SUMIF('Budget-Yixing'!$A:$A,$A54,'Budget-Yixing'!M:M)</f>
        <v>9011</v>
      </c>
      <c r="N54" s="676">
        <f ca="1">SUMIF('Budget-ACPL'!$A:$A,$A54,'Budget-ACPL'!N:N)+SUMIF('Budget-ACPLHK'!$A:$A,$A54,'Budget-ACPLHK'!N:N)+SUMIF('Budget-ACPSZL'!$A:$A,$A54,'Budget-ACPSZL'!N:N)+SUMIF('Budget-ACPLSZ'!$A:$A,$A54,'Budget-ACPLSZ'!N:N)+SUMIF('Budget-ACPLGZ'!$A:$A,$A54,'Budget-ACPLGZ'!N:N)+SUMIF('Budget-Yixing'!$A:$A,$A54,'Budget-Yixing'!N:N)</f>
        <v>9011</v>
      </c>
      <c r="O54" s="676">
        <f ca="1">SUMIF('Budget-ACPL'!$A:$A,$A54,'Budget-ACPL'!O:O)+SUMIF('Budget-ACPLHK'!$A:$A,$A54,'Budget-ACPLHK'!O:O)+SUMIF('Budget-ACPSZL'!$A:$A,$A54,'Budget-ACPSZL'!O:O)+SUMIF('Budget-ACPLSZ'!$A:$A,$A54,'Budget-ACPLSZ'!O:O)+SUMIF('Budget-ACPLGZ'!$A:$A,$A54,'Budget-ACPLGZ'!O:O)+SUMIF('Budget-Yixing'!$A:$A,$A54,'Budget-Yixing'!O:O)</f>
        <v>9011</v>
      </c>
      <c r="P54" s="676">
        <f ca="1">SUMIF('Budget-ACPL'!$A:$A,$A54,'Budget-ACPL'!P:P)+SUMIF('Budget-ACPLHK'!$A:$A,$A54,'Budget-ACPLHK'!P:P)+SUMIF('Budget-ACPSZL'!$A:$A,$A54,'Budget-ACPSZL'!P:P)+SUMIF('Budget-ACPLSZ'!$A:$A,$A54,'Budget-ACPLSZ'!P:P)+SUMIF('Budget-ACPLGZ'!$A:$A,$A54,'Budget-ACPLGZ'!P:P)+SUMIF('Budget-Yixing'!$A:$A,$A54,'Budget-Yixing'!P:P)</f>
        <v>9011</v>
      </c>
      <c r="Q54" s="676">
        <f ca="1">SUMIF('Budget-ACPL'!$A:$A,$A54,'Budget-ACPL'!Q:Q)+SUMIF('Budget-ACPLHK'!$A:$A,$A54,'Budget-ACPLHK'!Q:Q)+SUMIF('Budget-ACPSZL'!$A:$A,$A54,'Budget-ACPSZL'!Q:Q)+SUMIF('Budget-ACPLSZ'!$A:$A,$A54,'Budget-ACPLSZ'!Q:Q)+SUMIF('Budget-ACPLGZ'!$A:$A,$A54,'Budget-ACPLGZ'!Q:Q)+SUMIF('Budget-Yixing'!$A:$A,$A54,'Budget-Yixing'!Q:Q)</f>
        <v>9011</v>
      </c>
      <c r="R54" s="676">
        <f ca="1">SUMIF('Budget-ACPL'!$A:$A,$A54,'Budget-ACPL'!R:R)+SUMIF('Budget-ACPLHK'!$A:$A,$A54,'Budget-ACPLHK'!R:R)+SUMIF('Budget-ACPSZL'!$A:$A,$A54,'Budget-ACPSZL'!R:R)+SUMIF('Budget-ACPLSZ'!$A:$A,$A54,'Budget-ACPLSZ'!R:R)+SUMIF('Budget-ACPLGZ'!$A:$A,$A54,'Budget-ACPLGZ'!R:R)+SUMIF('Budget-Yixing'!$A:$A,$A54,'Budget-Yixing'!R:R)</f>
        <v>9011</v>
      </c>
      <c r="S54" s="676">
        <f ca="1">SUMIF('Budget-ACPL'!$A:$A,$A54,'Budget-ACPL'!S:S)+SUMIF('Budget-ACPLHK'!$A:$A,$A54,'Budget-ACPLHK'!S:S)+SUMIF('Budget-ACPSZL'!$A:$A,$A54,'Budget-ACPSZL'!S:S)+SUMIF('Budget-ACPLSZ'!$A:$A,$A54,'Budget-ACPLSZ'!S:S)+SUMIF('Budget-ACPLGZ'!$A:$A,$A54,'Budget-ACPLGZ'!S:S)+SUMIF('Budget-Yixing'!$A:$A,$A54,'Budget-Yixing'!S:S)</f>
        <v>9011</v>
      </c>
      <c r="T54" s="676">
        <f ca="1">SUMIF('Budget-ACPL'!$A:$A,$A54,'Budget-ACPL'!T:T)+SUMIF('Budget-ACPLHK'!$A:$A,$A54,'Budget-ACPLHK'!T:T)+SUMIF('Budget-ACPSZL'!$A:$A,$A54,'Budget-ACPSZL'!T:T)+SUMIF('Budget-ACPLSZ'!$A:$A,$A54,'Budget-ACPLSZ'!T:T)+SUMIF('Budget-ACPLGZ'!$A:$A,$A54,'Budget-ACPLGZ'!T:T)+SUMIF('Budget-Yixing'!$A:$A,$A54,'Budget-Yixing'!T:T)</f>
        <v>9011</v>
      </c>
      <c r="U54" s="676">
        <f ca="1">SUMIF('Budget-ACPL'!$A:$A,$A54,'Budget-ACPL'!U:U)+SUMIF('Budget-ACPLHK'!$A:$A,$A54,'Budget-ACPLHK'!U:U)+SUMIF('Budget-ACPSZL'!$A:$A,$A54,'Budget-ACPSZL'!U:U)+SUMIF('Budget-ACPLSZ'!$A:$A,$A54,'Budget-ACPLSZ'!U:U)+SUMIF('Budget-ACPLGZ'!$A:$A,$A54,'Budget-ACPLGZ'!U:U)+SUMIF('Budget-Yixing'!$A:$A,$A54,'Budget-Yixing'!U:U)</f>
        <v>9011</v>
      </c>
      <c r="V54" s="676">
        <f ca="1">SUMIF('Budget-ACPL'!$A:$A,$A54,'Budget-ACPL'!V:V)+SUMIF('Budget-ACPLHK'!$A:$A,$A54,'Budget-ACPLHK'!V:V)+SUMIF('Budget-ACPSZL'!$A:$A,$A54,'Budget-ACPSZL'!V:V)+SUMIF('Budget-ACPLSZ'!$A:$A,$A54,'Budget-ACPLSZ'!V:V)+SUMIF('Budget-ACPLGZ'!$A:$A,$A54,'Budget-ACPLGZ'!V:V)+SUMIF('Budget-Yixing'!$A:$A,$A54,'Budget-Yixing'!V:V)</f>
        <v>9011</v>
      </c>
      <c r="W54" s="676">
        <f t="shared" ca="1" si="32"/>
        <v>108170.95</v>
      </c>
      <c r="Y54" s="688">
        <f ca="1">SUMIF('Budget-ACPL'!$A:$A,$A54,'Budget-ACPL'!Y:Y)+SUMIF('Budget-ACPLHK'!$A:$A,$A54,'Budget-ACPLHK'!Y:Y)+SUMIF('Budget-ACPSZL'!$A:$A,$A54,'Budget-ACPSZL'!Y:Y)+SUMIF('Budget-ACPLSZ'!$A:$A,$A54,'Budget-ACPLSZ'!Y:Y)+SUMIF('Budget-ACPLGZ'!$A:$A,$A54,'Budget-ACPLGZ'!Y:Y)+SUMIF('Budget-Yixing'!$A:$A,$A54,'Budget-Yixing'!Y:Y)</f>
        <v>7300</v>
      </c>
      <c r="Z54" s="688">
        <f ca="1">SUMIF('Budget-ACPL'!$A:$A,$A54,'Budget-ACPL'!Z:Z)+SUMIF('Budget-ACPLHK'!$A:$A,$A54,'Budget-ACPLHK'!Z:Z)+SUMIF('Budget-ACPSZL'!$A:$A,$A54,'Budget-ACPSZL'!Z:Z)+SUMIF('Budget-ACPLSZ'!$A:$A,$A54,'Budget-ACPLSZ'!Z:Z)+SUMIF('Budget-ACPLGZ'!$A:$A,$A54,'Budget-ACPLGZ'!Z:Z)+SUMIF('Budget-Yixing'!$A:$A,$A54,'Budget-Yixing'!Z:Z)</f>
        <v>10000</v>
      </c>
      <c r="AA54" s="688">
        <f ca="1">SUMIF('Budget-ACPL'!$A:$A,$A54,'Budget-ACPL'!AA:AA)+SUMIF('Budget-ACPLHK'!$A:$A,$A54,'Budget-ACPLHK'!AA:AA)+SUMIF('Budget-ACPSZL'!$A:$A,$A54,'Budget-ACPSZL'!AA:AA)+SUMIF('Budget-ACPLSZ'!$A:$A,$A54,'Budget-ACPLSZ'!AA:AA)+SUMIF('Budget-ACPLGZ'!$A:$A,$A54,'Budget-ACPLGZ'!AA:AA)+SUMIF('Budget-Yixing'!$A:$A,$A54,'Budget-Yixing'!AA:AA)</f>
        <v>12500</v>
      </c>
      <c r="AB54" s="688">
        <f ca="1">SUMIF('Budget-ACPL'!$A:$A,$A54,'Budget-ACPL'!AB:AB)+SUMIF('Budget-ACPLHK'!$A:$A,$A54,'Budget-ACPLHK'!AB:AB)+SUMIF('Budget-ACPSZL'!$A:$A,$A54,'Budget-ACPSZL'!AB:AB)+SUMIF('Budget-ACPLSZ'!$A:$A,$A54,'Budget-ACPLSZ'!AB:AB)+SUMIF('Budget-ACPLGZ'!$A:$A,$A54,'Budget-ACPLGZ'!AB:AB)+SUMIF('Budget-Yixing'!$A:$A,$A54,'Budget-Yixing'!AB:AB)</f>
        <v>10000</v>
      </c>
      <c r="AC54" s="688">
        <f ca="1">SUMIF('Budget-ACPL'!$A:$A,$A54,'Budget-ACPL'!AC:AC)+SUMIF('Budget-ACPLHK'!$A:$A,$A54,'Budget-ACPLHK'!AC:AC)+SUMIF('Budget-ACPSZL'!$A:$A,$A54,'Budget-ACPSZL'!AC:AC)+SUMIF('Budget-ACPLSZ'!$A:$A,$A54,'Budget-ACPLSZ'!AC:AC)+SUMIF('Budget-ACPLGZ'!$A:$A,$A54,'Budget-ACPLGZ'!AC:AC)+SUMIF('Budget-Yixing'!$A:$A,$A54,'Budget-Yixing'!AC:AC)</f>
        <v>18000</v>
      </c>
      <c r="AD54" s="688">
        <f ca="1">SUMIF('Budget-ACPL'!$A:$A,$A54,'Budget-ACPL'!AD:AD)+SUMIF('Budget-ACPLHK'!$A:$A,$A54,'Budget-ACPLHK'!AD:AD)+SUMIF('Budget-ACPSZL'!$A:$A,$A54,'Budget-ACPSZL'!AD:AD)+SUMIF('Budget-ACPLSZ'!$A:$A,$A54,'Budget-ACPLSZ'!AD:AD)+SUMIF('Budget-ACPLGZ'!$A:$A,$A54,'Budget-ACPLGZ'!AD:AD)+SUMIF('Budget-Yixing'!$A:$A,$A54,'Budget-Yixing'!AD:AD)</f>
        <v>8400</v>
      </c>
      <c r="AE54" s="688">
        <f ca="1">SUMIF('Budget-ACPL'!$A:$A,$A54,'Budget-ACPL'!AE:AE)+SUMIF('Budget-ACPLHK'!$A:$A,$A54,'Budget-ACPLHK'!AE:AE)+SUMIF('Budget-ACPSZL'!$A:$A,$A54,'Budget-ACPSZL'!AE:AE)+SUMIF('Budget-ACPLSZ'!$A:$A,$A54,'Budget-ACPLSZ'!AE:AE)+SUMIF('Budget-ACPLGZ'!$A:$A,$A54,'Budget-ACPLGZ'!AE:AE)+SUMIF('Budget-Yixing'!$A:$A,$A54,'Budget-Yixing'!AE:AE)</f>
        <v>8600</v>
      </c>
      <c r="AF54" s="688">
        <f ca="1">SUMIF('Budget-ACPL'!$A:$A,$A54,'Budget-ACPL'!AF:AF)+SUMIF('Budget-ACPLHK'!$A:$A,$A54,'Budget-ACPLHK'!AF:AF)+SUMIF('Budget-ACPSZL'!$A:$A,$A54,'Budget-ACPSZL'!AF:AF)+SUMIF('Budget-ACPLSZ'!$A:$A,$A54,'Budget-ACPLSZ'!AF:AF)+SUMIF('Budget-ACPLGZ'!$A:$A,$A54,'Budget-ACPLGZ'!AF:AF)+SUMIF('Budget-Yixing'!$A:$A,$A54,'Budget-Yixing'!AF:AF)</f>
        <v>8600</v>
      </c>
      <c r="AG54" s="688">
        <f ca="1">SUMIF('Budget-ACPL'!$A:$A,$A54,'Budget-ACPL'!AG:AG)+SUMIF('Budget-ACPLHK'!$A:$A,$A54,'Budget-ACPLHK'!AG:AG)+SUMIF('Budget-ACPSZL'!$A:$A,$A54,'Budget-ACPSZL'!AG:AG)+SUMIF('Budget-ACPLSZ'!$A:$A,$A54,'Budget-ACPLSZ'!AG:AG)+SUMIF('Budget-ACPLGZ'!$A:$A,$A54,'Budget-ACPLGZ'!AG:AG)+SUMIF('Budget-Yixing'!$A:$A,$A54,'Budget-Yixing'!AG:AG)</f>
        <v>8400</v>
      </c>
      <c r="AH54" s="688">
        <f ca="1">SUMIF('Budget-ACPL'!$A:$A,$A54,'Budget-ACPL'!AH:AH)+SUMIF('Budget-ACPLHK'!$A:$A,$A54,'Budget-ACPLHK'!AH:AH)+SUMIF('Budget-ACPSZL'!$A:$A,$A54,'Budget-ACPSZL'!AH:AH)+SUMIF('Budget-ACPLSZ'!$A:$A,$A54,'Budget-ACPLSZ'!AH:AH)+SUMIF('Budget-ACPLGZ'!$A:$A,$A54,'Budget-ACPLGZ'!AH:AH)+SUMIF('Budget-Yixing'!$A:$A,$A54,'Budget-Yixing'!AH:AH)</f>
        <v>8400</v>
      </c>
      <c r="AI54" s="688">
        <f ca="1">SUMIF('Budget-ACPL'!$A:$A,$A54,'Budget-ACPL'!AI:AI)+SUMIF('Budget-ACPLHK'!$A:$A,$A54,'Budget-ACPLHK'!AI:AI)+SUMIF('Budget-ACPSZL'!$A:$A,$A54,'Budget-ACPSZL'!AI:AI)+SUMIF('Budget-ACPLSZ'!$A:$A,$A54,'Budget-ACPLSZ'!AI:AI)+SUMIF('Budget-ACPLGZ'!$A:$A,$A54,'Budget-ACPLGZ'!AI:AI)+SUMIF('Budget-Yixing'!$A:$A,$A54,'Budget-Yixing'!AI:AI)</f>
        <v>16400</v>
      </c>
      <c r="AJ54" s="688">
        <f ca="1">SUMIF('Budget-ACPL'!$A:$A,$A54,'Budget-ACPL'!AJ:AJ)+SUMIF('Budget-ACPLHK'!$A:$A,$A54,'Budget-ACPLHK'!AJ:AJ)+SUMIF('Budget-ACPSZL'!$A:$A,$A54,'Budget-ACPSZL'!AJ:AJ)+SUMIF('Budget-ACPLSZ'!$A:$A,$A54,'Budget-ACPLSZ'!AJ:AJ)+SUMIF('Budget-ACPLGZ'!$A:$A,$A54,'Budget-ACPLGZ'!AJ:AJ)+SUMIF('Budget-Yixing'!$A:$A,$A54,'Budget-Yixing'!AJ:AJ)</f>
        <v>8400</v>
      </c>
      <c r="AK54" s="688">
        <f t="shared" ca="1" si="33"/>
        <v>125000</v>
      </c>
    </row>
    <row r="55" spans="1:37" ht="13.5" customHeight="1">
      <c r="A55" s="713" t="s">
        <v>1549</v>
      </c>
      <c r="B55" s="687" t="str">
        <f>VLOOKUP(A55,Account!A:B,2,0)</f>
        <v>背景调查费</v>
      </c>
      <c r="C55" s="687" t="str">
        <f>VLOOKUP(A55,Account!A:F,4,0)</f>
        <v>Employee Background Check</v>
      </c>
      <c r="D55" s="676">
        <f t="shared" ca="1" si="27"/>
        <v>612.5</v>
      </c>
      <c r="E55" s="676" t="e">
        <f t="shared" si="28"/>
        <v>#N/A</v>
      </c>
      <c r="F55" s="676" t="e">
        <f t="shared" ca="1" si="24"/>
        <v>#N/A</v>
      </c>
      <c r="G55" s="676">
        <f t="shared" ca="1" si="29"/>
        <v>612.5</v>
      </c>
      <c r="H55" s="676" t="e">
        <f t="shared" ca="1" si="30"/>
        <v>#N/A</v>
      </c>
      <c r="I55" s="676" t="e">
        <f t="shared" ca="1" si="31"/>
        <v>#N/A</v>
      </c>
      <c r="K55" s="676">
        <f ca="1">SUMIF('Budget-ACPL'!$A:$A,$A55,'Budget-ACPL'!K:K)+SUMIF('Budget-ACPLHK'!$A:$A,$A55,'Budget-ACPLHK'!K:K)+SUMIF('Budget-ACPSZL'!$A:$A,$A55,'Budget-ACPSZL'!K:K)+SUMIF('Budget-ACPLSZ'!$A:$A,$A55,'Budget-ACPLSZ'!K:K)+SUMIF('Budget-ACPLGZ'!$A:$A,$A55,'Budget-ACPLGZ'!K:K)+SUMIF('Budget-Yixing'!$A:$A,$A55,'Budget-Yixing'!K:K)</f>
        <v>612.5</v>
      </c>
      <c r="L55" s="676">
        <f ca="1">SUMIF('Budget-ACPL'!$A:$A,$A55,'Budget-ACPL'!L:L)+SUMIF('Budget-ACPLHK'!$A:$A,$A55,'Budget-ACPLHK'!L:L)+SUMIF('Budget-ACPSZL'!$A:$A,$A55,'Budget-ACPSZL'!L:L)+SUMIF('Budget-ACPLSZ'!$A:$A,$A55,'Budget-ACPLSZ'!L:L)+SUMIF('Budget-ACPLGZ'!$A:$A,$A55,'Budget-ACPLGZ'!L:L)+SUMIF('Budget-Yixing'!$A:$A,$A55,'Budget-Yixing'!L:L)</f>
        <v>612.5</v>
      </c>
      <c r="M55" s="676">
        <f ca="1">SUMIF('Budget-ACPL'!$A:$A,$A55,'Budget-ACPL'!M:M)+SUMIF('Budget-ACPLHK'!$A:$A,$A55,'Budget-ACPLHK'!M:M)+SUMIF('Budget-ACPSZL'!$A:$A,$A55,'Budget-ACPSZL'!M:M)+SUMIF('Budget-ACPLSZ'!$A:$A,$A55,'Budget-ACPLSZ'!M:M)+SUMIF('Budget-ACPLGZ'!$A:$A,$A55,'Budget-ACPLGZ'!M:M)+SUMIF('Budget-Yixing'!$A:$A,$A55,'Budget-Yixing'!M:M)</f>
        <v>612.5</v>
      </c>
      <c r="N55" s="676">
        <f ca="1">SUMIF('Budget-ACPL'!$A:$A,$A55,'Budget-ACPL'!N:N)+SUMIF('Budget-ACPLHK'!$A:$A,$A55,'Budget-ACPLHK'!N:N)+SUMIF('Budget-ACPSZL'!$A:$A,$A55,'Budget-ACPSZL'!N:N)+SUMIF('Budget-ACPLSZ'!$A:$A,$A55,'Budget-ACPLSZ'!N:N)+SUMIF('Budget-ACPLGZ'!$A:$A,$A55,'Budget-ACPLGZ'!N:N)+SUMIF('Budget-Yixing'!$A:$A,$A55,'Budget-Yixing'!N:N)</f>
        <v>612.5</v>
      </c>
      <c r="O55" s="676">
        <f ca="1">SUMIF('Budget-ACPL'!$A:$A,$A55,'Budget-ACPL'!O:O)+SUMIF('Budget-ACPLHK'!$A:$A,$A55,'Budget-ACPLHK'!O:O)+SUMIF('Budget-ACPSZL'!$A:$A,$A55,'Budget-ACPSZL'!O:O)+SUMIF('Budget-ACPLSZ'!$A:$A,$A55,'Budget-ACPLSZ'!O:O)+SUMIF('Budget-ACPLGZ'!$A:$A,$A55,'Budget-ACPLGZ'!O:O)+SUMIF('Budget-Yixing'!$A:$A,$A55,'Budget-Yixing'!O:O)</f>
        <v>612.5</v>
      </c>
      <c r="P55" s="676">
        <f ca="1">SUMIF('Budget-ACPL'!$A:$A,$A55,'Budget-ACPL'!P:P)+SUMIF('Budget-ACPLHK'!$A:$A,$A55,'Budget-ACPLHK'!P:P)+SUMIF('Budget-ACPSZL'!$A:$A,$A55,'Budget-ACPSZL'!P:P)+SUMIF('Budget-ACPLSZ'!$A:$A,$A55,'Budget-ACPLSZ'!P:P)+SUMIF('Budget-ACPLGZ'!$A:$A,$A55,'Budget-ACPLGZ'!P:P)+SUMIF('Budget-Yixing'!$A:$A,$A55,'Budget-Yixing'!P:P)</f>
        <v>612.5</v>
      </c>
      <c r="Q55" s="676">
        <f ca="1">SUMIF('Budget-ACPL'!$A:$A,$A55,'Budget-ACPL'!Q:Q)+SUMIF('Budget-ACPLHK'!$A:$A,$A55,'Budget-ACPLHK'!Q:Q)+SUMIF('Budget-ACPSZL'!$A:$A,$A55,'Budget-ACPSZL'!Q:Q)+SUMIF('Budget-ACPLSZ'!$A:$A,$A55,'Budget-ACPLSZ'!Q:Q)+SUMIF('Budget-ACPLGZ'!$A:$A,$A55,'Budget-ACPLGZ'!Q:Q)+SUMIF('Budget-Yixing'!$A:$A,$A55,'Budget-Yixing'!Q:Q)</f>
        <v>612.5</v>
      </c>
      <c r="R55" s="676">
        <f ca="1">SUMIF('Budget-ACPL'!$A:$A,$A55,'Budget-ACPL'!R:R)+SUMIF('Budget-ACPLHK'!$A:$A,$A55,'Budget-ACPLHK'!R:R)+SUMIF('Budget-ACPSZL'!$A:$A,$A55,'Budget-ACPSZL'!R:R)+SUMIF('Budget-ACPLSZ'!$A:$A,$A55,'Budget-ACPLSZ'!R:R)+SUMIF('Budget-ACPLGZ'!$A:$A,$A55,'Budget-ACPLGZ'!R:R)+SUMIF('Budget-Yixing'!$A:$A,$A55,'Budget-Yixing'!R:R)</f>
        <v>612.5</v>
      </c>
      <c r="S55" s="676">
        <f ca="1">SUMIF('Budget-ACPL'!$A:$A,$A55,'Budget-ACPL'!S:S)+SUMIF('Budget-ACPLHK'!$A:$A,$A55,'Budget-ACPLHK'!S:S)+SUMIF('Budget-ACPSZL'!$A:$A,$A55,'Budget-ACPSZL'!S:S)+SUMIF('Budget-ACPLSZ'!$A:$A,$A55,'Budget-ACPLSZ'!S:S)+SUMIF('Budget-ACPLGZ'!$A:$A,$A55,'Budget-ACPLGZ'!S:S)+SUMIF('Budget-Yixing'!$A:$A,$A55,'Budget-Yixing'!S:S)</f>
        <v>612.5</v>
      </c>
      <c r="T55" s="676">
        <f ca="1">SUMIF('Budget-ACPL'!$A:$A,$A55,'Budget-ACPL'!T:T)+SUMIF('Budget-ACPLHK'!$A:$A,$A55,'Budget-ACPLHK'!T:T)+SUMIF('Budget-ACPSZL'!$A:$A,$A55,'Budget-ACPSZL'!T:T)+SUMIF('Budget-ACPLSZ'!$A:$A,$A55,'Budget-ACPLSZ'!T:T)+SUMIF('Budget-ACPLGZ'!$A:$A,$A55,'Budget-ACPLGZ'!T:T)+SUMIF('Budget-Yixing'!$A:$A,$A55,'Budget-Yixing'!T:T)</f>
        <v>612.5</v>
      </c>
      <c r="U55" s="676">
        <f ca="1">SUMIF('Budget-ACPL'!$A:$A,$A55,'Budget-ACPL'!U:U)+SUMIF('Budget-ACPLHK'!$A:$A,$A55,'Budget-ACPLHK'!U:U)+SUMIF('Budget-ACPSZL'!$A:$A,$A55,'Budget-ACPSZL'!U:U)+SUMIF('Budget-ACPLSZ'!$A:$A,$A55,'Budget-ACPLSZ'!U:U)+SUMIF('Budget-ACPLGZ'!$A:$A,$A55,'Budget-ACPLGZ'!U:U)+SUMIF('Budget-Yixing'!$A:$A,$A55,'Budget-Yixing'!U:U)</f>
        <v>612.5</v>
      </c>
      <c r="V55" s="676">
        <f ca="1">SUMIF('Budget-ACPL'!$A:$A,$A55,'Budget-ACPL'!V:V)+SUMIF('Budget-ACPLHK'!$A:$A,$A55,'Budget-ACPLHK'!V:V)+SUMIF('Budget-ACPSZL'!$A:$A,$A55,'Budget-ACPSZL'!V:V)+SUMIF('Budget-ACPLSZ'!$A:$A,$A55,'Budget-ACPLSZ'!V:V)+SUMIF('Budget-ACPLGZ'!$A:$A,$A55,'Budget-ACPLGZ'!V:V)+SUMIF('Budget-Yixing'!$A:$A,$A55,'Budget-Yixing'!V:V)</f>
        <v>612.5</v>
      </c>
      <c r="W55" s="676">
        <f t="shared" ca="1" si="32"/>
        <v>7350</v>
      </c>
      <c r="Y55" s="688">
        <f ca="1">SUMIF('Budget-ACPL'!$A:$A,$A55,'Budget-ACPL'!Y:Y)+SUMIF('Budget-ACPLHK'!$A:$A,$A55,'Budget-ACPLHK'!Y:Y)+SUMIF('Budget-ACPSZL'!$A:$A,$A55,'Budget-ACPSZL'!Y:Y)+SUMIF('Budget-ACPLSZ'!$A:$A,$A55,'Budget-ACPLSZ'!Y:Y)+SUMIF('Budget-ACPLGZ'!$A:$A,$A55,'Budget-ACPLGZ'!Y:Y)+SUMIF('Budget-Yixing'!$A:$A,$A55,'Budget-Yixing'!Y:Y)</f>
        <v>0</v>
      </c>
      <c r="Z55" s="688">
        <f ca="1">SUMIF('Budget-ACPL'!$A:$A,$A55,'Budget-ACPL'!Z:Z)+SUMIF('Budget-ACPLHK'!$A:$A,$A55,'Budget-ACPLHK'!Z:Z)+SUMIF('Budget-ACPSZL'!$A:$A,$A55,'Budget-ACPSZL'!Z:Z)+SUMIF('Budget-ACPLSZ'!$A:$A,$A55,'Budget-ACPLSZ'!Z:Z)+SUMIF('Budget-ACPLGZ'!$A:$A,$A55,'Budget-ACPLGZ'!Z:Z)+SUMIF('Budget-Yixing'!$A:$A,$A55,'Budget-Yixing'!Z:Z)</f>
        <v>0</v>
      </c>
      <c r="AA55" s="688">
        <f ca="1">SUMIF('Budget-ACPL'!$A:$A,$A55,'Budget-ACPL'!AA:AA)+SUMIF('Budget-ACPLHK'!$A:$A,$A55,'Budget-ACPLHK'!AA:AA)+SUMIF('Budget-ACPSZL'!$A:$A,$A55,'Budget-ACPSZL'!AA:AA)+SUMIF('Budget-ACPLSZ'!$A:$A,$A55,'Budget-ACPLSZ'!AA:AA)+SUMIF('Budget-ACPLGZ'!$A:$A,$A55,'Budget-ACPLGZ'!AA:AA)+SUMIF('Budget-Yixing'!$A:$A,$A55,'Budget-Yixing'!AA:AA)</f>
        <v>0</v>
      </c>
      <c r="AB55" s="688">
        <f ca="1">SUMIF('Budget-ACPL'!$A:$A,$A55,'Budget-ACPL'!AB:AB)+SUMIF('Budget-ACPLHK'!$A:$A,$A55,'Budget-ACPLHK'!AB:AB)+SUMIF('Budget-ACPSZL'!$A:$A,$A55,'Budget-ACPSZL'!AB:AB)+SUMIF('Budget-ACPLSZ'!$A:$A,$A55,'Budget-ACPLSZ'!AB:AB)+SUMIF('Budget-ACPLGZ'!$A:$A,$A55,'Budget-ACPLGZ'!AB:AB)+SUMIF('Budget-Yixing'!$A:$A,$A55,'Budget-Yixing'!AB:AB)</f>
        <v>0</v>
      </c>
      <c r="AC55" s="688">
        <f ca="1">SUMIF('Budget-ACPL'!$A:$A,$A55,'Budget-ACPL'!AC:AC)+SUMIF('Budget-ACPLHK'!$A:$A,$A55,'Budget-ACPLHK'!AC:AC)+SUMIF('Budget-ACPSZL'!$A:$A,$A55,'Budget-ACPSZL'!AC:AC)+SUMIF('Budget-ACPLSZ'!$A:$A,$A55,'Budget-ACPLSZ'!AC:AC)+SUMIF('Budget-ACPLGZ'!$A:$A,$A55,'Budget-ACPLGZ'!AC:AC)+SUMIF('Budget-Yixing'!$A:$A,$A55,'Budget-Yixing'!AC:AC)</f>
        <v>1610.57</v>
      </c>
      <c r="AD55" s="688">
        <f ca="1">SUMIF('Budget-ACPL'!$A:$A,$A55,'Budget-ACPL'!AD:AD)+SUMIF('Budget-ACPLHK'!$A:$A,$A55,'Budget-ACPLHK'!AD:AD)+SUMIF('Budget-ACPSZL'!$A:$A,$A55,'Budget-ACPSZL'!AD:AD)+SUMIF('Budget-ACPLSZ'!$A:$A,$A55,'Budget-ACPLSZ'!AD:AD)+SUMIF('Budget-ACPLGZ'!$A:$A,$A55,'Budget-ACPLGZ'!AD:AD)+SUMIF('Budget-Yixing'!$A:$A,$A55,'Budget-Yixing'!AD:AD)</f>
        <v>1707.55</v>
      </c>
      <c r="AE55" s="688">
        <f ca="1">SUMIF('Budget-ACPL'!$A:$A,$A55,'Budget-ACPL'!AE:AE)+SUMIF('Budget-ACPLHK'!$A:$A,$A55,'Budget-ACPLHK'!AE:AE)+SUMIF('Budget-ACPSZL'!$A:$A,$A55,'Budget-ACPSZL'!AE:AE)+SUMIF('Budget-ACPLSZ'!$A:$A,$A55,'Budget-ACPLSZ'!AE:AE)+SUMIF('Budget-ACPLGZ'!$A:$A,$A55,'Budget-ACPLGZ'!AE:AE)+SUMIF('Budget-Yixing'!$A:$A,$A55,'Budget-Yixing'!AE:AE)</f>
        <v>830.19</v>
      </c>
      <c r="AF55" s="688">
        <f ca="1">SUMIF('Budget-ACPL'!$A:$A,$A55,'Budget-ACPL'!AF:AF)+SUMIF('Budget-ACPLHK'!$A:$A,$A55,'Budget-ACPLHK'!AF:AF)+SUMIF('Budget-ACPSZL'!$A:$A,$A55,'Budget-ACPSZL'!AF:AF)+SUMIF('Budget-ACPLSZ'!$A:$A,$A55,'Budget-ACPLSZ'!AF:AF)+SUMIF('Budget-ACPLGZ'!$A:$A,$A55,'Budget-ACPLGZ'!AF:AF)+SUMIF('Budget-Yixing'!$A:$A,$A55,'Budget-Yixing'!AF:AF)</f>
        <v>0</v>
      </c>
      <c r="AG55" s="688">
        <f ca="1">SUMIF('Budget-ACPL'!$A:$A,$A55,'Budget-ACPL'!AG:AG)+SUMIF('Budget-ACPLHK'!$A:$A,$A55,'Budget-ACPLHK'!AG:AG)+SUMIF('Budget-ACPSZL'!$A:$A,$A55,'Budget-ACPSZL'!AG:AG)+SUMIF('Budget-ACPLSZ'!$A:$A,$A55,'Budget-ACPLSZ'!AG:AG)+SUMIF('Budget-ACPLGZ'!$A:$A,$A55,'Budget-ACPLGZ'!AG:AG)+SUMIF('Budget-Yixing'!$A:$A,$A55,'Budget-Yixing'!AG:AG)</f>
        <v>0</v>
      </c>
      <c r="AH55" s="688">
        <f ca="1">SUMIF('Budget-ACPL'!$A:$A,$A55,'Budget-ACPL'!AH:AH)+SUMIF('Budget-ACPLHK'!$A:$A,$A55,'Budget-ACPLHK'!AH:AH)+SUMIF('Budget-ACPSZL'!$A:$A,$A55,'Budget-ACPSZL'!AH:AH)+SUMIF('Budget-ACPLSZ'!$A:$A,$A55,'Budget-ACPLSZ'!AH:AH)+SUMIF('Budget-ACPLGZ'!$A:$A,$A55,'Budget-ACPLGZ'!AH:AH)+SUMIF('Budget-Yixing'!$A:$A,$A55,'Budget-Yixing'!AH:AH)</f>
        <v>0</v>
      </c>
      <c r="AI55" s="688">
        <f ca="1">SUMIF('Budget-ACPL'!$A:$A,$A55,'Budget-ACPL'!AI:AI)+SUMIF('Budget-ACPLHK'!$A:$A,$A55,'Budget-ACPLHK'!AI:AI)+SUMIF('Budget-ACPSZL'!$A:$A,$A55,'Budget-ACPSZL'!AI:AI)+SUMIF('Budget-ACPLSZ'!$A:$A,$A55,'Budget-ACPLSZ'!AI:AI)+SUMIF('Budget-ACPLGZ'!$A:$A,$A55,'Budget-ACPLGZ'!AI:AI)+SUMIF('Budget-Yixing'!$A:$A,$A55,'Budget-Yixing'!AI:AI)</f>
        <v>0</v>
      </c>
      <c r="AJ55" s="688">
        <f ca="1">SUMIF('Budget-ACPL'!$A:$A,$A55,'Budget-ACPL'!AJ:AJ)+SUMIF('Budget-ACPLHK'!$A:$A,$A55,'Budget-ACPLHK'!AJ:AJ)+SUMIF('Budget-ACPSZL'!$A:$A,$A55,'Budget-ACPSZL'!AJ:AJ)+SUMIF('Budget-ACPLSZ'!$A:$A,$A55,'Budget-ACPLSZ'!AJ:AJ)+SUMIF('Budget-ACPLGZ'!$A:$A,$A55,'Budget-ACPLGZ'!AJ:AJ)+SUMIF('Budget-Yixing'!$A:$A,$A55,'Budget-Yixing'!AJ:AJ)</f>
        <v>0</v>
      </c>
      <c r="AK55" s="688">
        <f t="shared" ca="1" si="33"/>
        <v>4148.3099999999995</v>
      </c>
    </row>
    <row r="56" spans="1:37" ht="13.5" hidden="1" customHeight="1">
      <c r="A56" s="713" t="s">
        <v>1554</v>
      </c>
      <c r="B56" s="687" t="str">
        <f>VLOOKUP(A56,Account!A:B,2,0)</f>
        <v>翻译服务费</v>
      </c>
      <c r="C56" s="687">
        <f>VLOOKUP(A56,Account!A:F,4,0)</f>
        <v>0</v>
      </c>
      <c r="D56" s="676">
        <f t="shared" ca="1" si="27"/>
        <v>0</v>
      </c>
      <c r="E56" s="676" t="e">
        <f t="shared" si="28"/>
        <v>#N/A</v>
      </c>
      <c r="F56" s="676" t="e">
        <f t="shared" ca="1" si="24"/>
        <v>#N/A</v>
      </c>
      <c r="G56" s="676">
        <f t="shared" ca="1" si="29"/>
        <v>0</v>
      </c>
      <c r="H56" s="676" t="e">
        <f t="shared" ca="1" si="30"/>
        <v>#N/A</v>
      </c>
      <c r="I56" s="676" t="e">
        <f t="shared" ca="1" si="31"/>
        <v>#N/A</v>
      </c>
      <c r="K56" s="676">
        <f ca="1">SUMIF('Budget-ACPL'!$A:$A,$A56,'Budget-ACPL'!K:K)+SUMIF('Budget-ACPLHK'!$A:$A,$A56,'Budget-ACPLHK'!K:K)+SUMIF('Budget-ACPSZL'!$A:$A,$A56,'Budget-ACPSZL'!K:K)+SUMIF('Budget-ACPLSZ'!$A:$A,$A56,'Budget-ACPLSZ'!K:K)+SUMIF('Budget-ACPLGZ'!$A:$A,$A56,'Budget-ACPLGZ'!K:K)+SUMIF('Budget-Yixing'!$A:$A,$A56,'Budget-Yixing'!K:K)</f>
        <v>0</v>
      </c>
      <c r="L56" s="676">
        <f ca="1">SUMIF('Budget-ACPL'!$A:$A,$A56,'Budget-ACPL'!L:L)+SUMIF('Budget-ACPLHK'!$A:$A,$A56,'Budget-ACPLHK'!L:L)+SUMIF('Budget-ACPSZL'!$A:$A,$A56,'Budget-ACPSZL'!L:L)+SUMIF('Budget-ACPLSZ'!$A:$A,$A56,'Budget-ACPLSZ'!L:L)+SUMIF('Budget-ACPLGZ'!$A:$A,$A56,'Budget-ACPLGZ'!L:L)+SUMIF('Budget-Yixing'!$A:$A,$A56,'Budget-Yixing'!L:L)</f>
        <v>0</v>
      </c>
      <c r="M56" s="676">
        <f ca="1">SUMIF('Budget-ACPL'!$A:$A,$A56,'Budget-ACPL'!M:M)+SUMIF('Budget-ACPLHK'!$A:$A,$A56,'Budget-ACPLHK'!M:M)+SUMIF('Budget-ACPSZL'!$A:$A,$A56,'Budget-ACPSZL'!M:M)+SUMIF('Budget-ACPLSZ'!$A:$A,$A56,'Budget-ACPLSZ'!M:M)+SUMIF('Budget-ACPLGZ'!$A:$A,$A56,'Budget-ACPLGZ'!M:M)+SUMIF('Budget-Yixing'!$A:$A,$A56,'Budget-Yixing'!M:M)</f>
        <v>0</v>
      </c>
      <c r="N56" s="676">
        <f ca="1">SUMIF('Budget-ACPL'!$A:$A,$A56,'Budget-ACPL'!N:N)+SUMIF('Budget-ACPLHK'!$A:$A,$A56,'Budget-ACPLHK'!N:N)+SUMIF('Budget-ACPSZL'!$A:$A,$A56,'Budget-ACPSZL'!N:N)+SUMIF('Budget-ACPLSZ'!$A:$A,$A56,'Budget-ACPLSZ'!N:N)+SUMIF('Budget-ACPLGZ'!$A:$A,$A56,'Budget-ACPLGZ'!N:N)+SUMIF('Budget-Yixing'!$A:$A,$A56,'Budget-Yixing'!N:N)</f>
        <v>0</v>
      </c>
      <c r="O56" s="676">
        <f ca="1">SUMIF('Budget-ACPL'!$A:$A,$A56,'Budget-ACPL'!O:O)+SUMIF('Budget-ACPLHK'!$A:$A,$A56,'Budget-ACPLHK'!O:O)+SUMIF('Budget-ACPSZL'!$A:$A,$A56,'Budget-ACPSZL'!O:O)+SUMIF('Budget-ACPLSZ'!$A:$A,$A56,'Budget-ACPLSZ'!O:O)+SUMIF('Budget-ACPLGZ'!$A:$A,$A56,'Budget-ACPLGZ'!O:O)+SUMIF('Budget-Yixing'!$A:$A,$A56,'Budget-Yixing'!O:O)</f>
        <v>0</v>
      </c>
      <c r="P56" s="676">
        <f ca="1">SUMIF('Budget-ACPL'!$A:$A,$A56,'Budget-ACPL'!P:P)+SUMIF('Budget-ACPLHK'!$A:$A,$A56,'Budget-ACPLHK'!P:P)+SUMIF('Budget-ACPSZL'!$A:$A,$A56,'Budget-ACPSZL'!P:P)+SUMIF('Budget-ACPLSZ'!$A:$A,$A56,'Budget-ACPLSZ'!P:P)+SUMIF('Budget-ACPLGZ'!$A:$A,$A56,'Budget-ACPLGZ'!P:P)+SUMIF('Budget-Yixing'!$A:$A,$A56,'Budget-Yixing'!P:P)</f>
        <v>0</v>
      </c>
      <c r="Q56" s="676">
        <f ca="1">SUMIF('Budget-ACPL'!$A:$A,$A56,'Budget-ACPL'!Q:Q)+SUMIF('Budget-ACPLHK'!$A:$A,$A56,'Budget-ACPLHK'!Q:Q)+SUMIF('Budget-ACPSZL'!$A:$A,$A56,'Budget-ACPSZL'!Q:Q)+SUMIF('Budget-ACPLSZ'!$A:$A,$A56,'Budget-ACPLSZ'!Q:Q)+SUMIF('Budget-ACPLGZ'!$A:$A,$A56,'Budget-ACPLGZ'!Q:Q)+SUMIF('Budget-Yixing'!$A:$A,$A56,'Budget-Yixing'!Q:Q)</f>
        <v>0</v>
      </c>
      <c r="R56" s="676">
        <f ca="1">SUMIF('Budget-ACPL'!$A:$A,$A56,'Budget-ACPL'!R:R)+SUMIF('Budget-ACPLHK'!$A:$A,$A56,'Budget-ACPLHK'!R:R)+SUMIF('Budget-ACPSZL'!$A:$A,$A56,'Budget-ACPSZL'!R:R)+SUMIF('Budget-ACPLSZ'!$A:$A,$A56,'Budget-ACPLSZ'!R:R)+SUMIF('Budget-ACPLGZ'!$A:$A,$A56,'Budget-ACPLGZ'!R:R)+SUMIF('Budget-Yixing'!$A:$A,$A56,'Budget-Yixing'!R:R)</f>
        <v>0</v>
      </c>
      <c r="S56" s="676">
        <f ca="1">SUMIF('Budget-ACPL'!$A:$A,$A56,'Budget-ACPL'!S:S)+SUMIF('Budget-ACPLHK'!$A:$A,$A56,'Budget-ACPLHK'!S:S)+SUMIF('Budget-ACPSZL'!$A:$A,$A56,'Budget-ACPSZL'!S:S)+SUMIF('Budget-ACPLSZ'!$A:$A,$A56,'Budget-ACPLSZ'!S:S)+SUMIF('Budget-ACPLGZ'!$A:$A,$A56,'Budget-ACPLGZ'!S:S)+SUMIF('Budget-Yixing'!$A:$A,$A56,'Budget-Yixing'!S:S)</f>
        <v>0</v>
      </c>
      <c r="T56" s="676">
        <f ca="1">SUMIF('Budget-ACPL'!$A:$A,$A56,'Budget-ACPL'!T:T)+SUMIF('Budget-ACPLHK'!$A:$A,$A56,'Budget-ACPLHK'!T:T)+SUMIF('Budget-ACPSZL'!$A:$A,$A56,'Budget-ACPSZL'!T:T)+SUMIF('Budget-ACPLSZ'!$A:$A,$A56,'Budget-ACPLSZ'!T:T)+SUMIF('Budget-ACPLGZ'!$A:$A,$A56,'Budget-ACPLGZ'!T:T)+SUMIF('Budget-Yixing'!$A:$A,$A56,'Budget-Yixing'!T:T)</f>
        <v>0</v>
      </c>
      <c r="U56" s="676">
        <f ca="1">SUMIF('Budget-ACPL'!$A:$A,$A56,'Budget-ACPL'!U:U)+SUMIF('Budget-ACPLHK'!$A:$A,$A56,'Budget-ACPLHK'!U:U)+SUMIF('Budget-ACPSZL'!$A:$A,$A56,'Budget-ACPSZL'!U:U)+SUMIF('Budget-ACPLSZ'!$A:$A,$A56,'Budget-ACPLSZ'!U:U)+SUMIF('Budget-ACPLGZ'!$A:$A,$A56,'Budget-ACPLGZ'!U:U)+SUMIF('Budget-Yixing'!$A:$A,$A56,'Budget-Yixing'!U:U)</f>
        <v>0</v>
      </c>
      <c r="V56" s="676">
        <f ca="1">SUMIF('Budget-ACPL'!$A:$A,$A56,'Budget-ACPL'!V:V)+SUMIF('Budget-ACPLHK'!$A:$A,$A56,'Budget-ACPLHK'!V:V)+SUMIF('Budget-ACPSZL'!$A:$A,$A56,'Budget-ACPSZL'!V:V)+SUMIF('Budget-ACPLSZ'!$A:$A,$A56,'Budget-ACPLSZ'!V:V)+SUMIF('Budget-ACPLGZ'!$A:$A,$A56,'Budget-ACPLGZ'!V:V)+SUMIF('Budget-Yixing'!$A:$A,$A56,'Budget-Yixing'!V:V)</f>
        <v>0</v>
      </c>
      <c r="W56" s="676">
        <f t="shared" ca="1" si="32"/>
        <v>0</v>
      </c>
      <c r="Y56" s="688">
        <f ca="1">SUMIF('Budget-ACPL'!$A:$A,$A56,'Budget-ACPL'!Y:Y)+SUMIF('Budget-ACPLHK'!$A:$A,$A56,'Budget-ACPLHK'!Y:Y)+SUMIF('Budget-ACPSZL'!$A:$A,$A56,'Budget-ACPSZL'!Y:Y)+SUMIF('Budget-ACPLSZ'!$A:$A,$A56,'Budget-ACPLSZ'!Y:Y)+SUMIF('Budget-ACPLGZ'!$A:$A,$A56,'Budget-ACPLGZ'!Y:Y)+SUMIF('Budget-Yixing'!$A:$A,$A56,'Budget-Yixing'!Y:Y)</f>
        <v>0</v>
      </c>
      <c r="Z56" s="688">
        <f ca="1">SUMIF('Budget-ACPL'!$A:$A,$A56,'Budget-ACPL'!Z:Z)+SUMIF('Budget-ACPLHK'!$A:$A,$A56,'Budget-ACPLHK'!Z:Z)+SUMIF('Budget-ACPSZL'!$A:$A,$A56,'Budget-ACPSZL'!Z:Z)+SUMIF('Budget-ACPLSZ'!$A:$A,$A56,'Budget-ACPLSZ'!Z:Z)+SUMIF('Budget-ACPLGZ'!$A:$A,$A56,'Budget-ACPLGZ'!Z:Z)+SUMIF('Budget-Yixing'!$A:$A,$A56,'Budget-Yixing'!Z:Z)</f>
        <v>0</v>
      </c>
      <c r="AA56" s="688">
        <f ca="1">SUMIF('Budget-ACPL'!$A:$A,$A56,'Budget-ACPL'!AA:AA)+SUMIF('Budget-ACPLHK'!$A:$A,$A56,'Budget-ACPLHK'!AA:AA)+SUMIF('Budget-ACPSZL'!$A:$A,$A56,'Budget-ACPSZL'!AA:AA)+SUMIF('Budget-ACPLSZ'!$A:$A,$A56,'Budget-ACPLSZ'!AA:AA)+SUMIF('Budget-ACPLGZ'!$A:$A,$A56,'Budget-ACPLGZ'!AA:AA)+SUMIF('Budget-Yixing'!$A:$A,$A56,'Budget-Yixing'!AA:AA)</f>
        <v>0</v>
      </c>
      <c r="AB56" s="688">
        <f ca="1">SUMIF('Budget-ACPL'!$A:$A,$A56,'Budget-ACPL'!AB:AB)+SUMIF('Budget-ACPLHK'!$A:$A,$A56,'Budget-ACPLHK'!AB:AB)+SUMIF('Budget-ACPSZL'!$A:$A,$A56,'Budget-ACPSZL'!AB:AB)+SUMIF('Budget-ACPLSZ'!$A:$A,$A56,'Budget-ACPLSZ'!AB:AB)+SUMIF('Budget-ACPLGZ'!$A:$A,$A56,'Budget-ACPLGZ'!AB:AB)+SUMIF('Budget-Yixing'!$A:$A,$A56,'Budget-Yixing'!AB:AB)</f>
        <v>0</v>
      </c>
      <c r="AC56" s="688">
        <f ca="1">SUMIF('Budget-ACPL'!$A:$A,$A56,'Budget-ACPL'!AC:AC)+SUMIF('Budget-ACPLHK'!$A:$A,$A56,'Budget-ACPLHK'!AC:AC)+SUMIF('Budget-ACPSZL'!$A:$A,$A56,'Budget-ACPSZL'!AC:AC)+SUMIF('Budget-ACPLSZ'!$A:$A,$A56,'Budget-ACPLSZ'!AC:AC)+SUMIF('Budget-ACPLGZ'!$A:$A,$A56,'Budget-ACPLGZ'!AC:AC)+SUMIF('Budget-Yixing'!$A:$A,$A56,'Budget-Yixing'!AC:AC)</f>
        <v>0</v>
      </c>
      <c r="AD56" s="688">
        <f ca="1">SUMIF('Budget-ACPL'!$A:$A,$A56,'Budget-ACPL'!AD:AD)+SUMIF('Budget-ACPLHK'!$A:$A,$A56,'Budget-ACPLHK'!AD:AD)+SUMIF('Budget-ACPSZL'!$A:$A,$A56,'Budget-ACPSZL'!AD:AD)+SUMIF('Budget-ACPLSZ'!$A:$A,$A56,'Budget-ACPLSZ'!AD:AD)+SUMIF('Budget-ACPLGZ'!$A:$A,$A56,'Budget-ACPLGZ'!AD:AD)+SUMIF('Budget-Yixing'!$A:$A,$A56,'Budget-Yixing'!AD:AD)</f>
        <v>0</v>
      </c>
      <c r="AE56" s="688">
        <f ca="1">SUMIF('Budget-ACPL'!$A:$A,$A56,'Budget-ACPL'!AE:AE)+SUMIF('Budget-ACPLHK'!$A:$A,$A56,'Budget-ACPLHK'!AE:AE)+SUMIF('Budget-ACPSZL'!$A:$A,$A56,'Budget-ACPSZL'!AE:AE)+SUMIF('Budget-ACPLSZ'!$A:$A,$A56,'Budget-ACPLSZ'!AE:AE)+SUMIF('Budget-ACPLGZ'!$A:$A,$A56,'Budget-ACPLGZ'!AE:AE)+SUMIF('Budget-Yixing'!$A:$A,$A56,'Budget-Yixing'!AE:AE)</f>
        <v>0</v>
      </c>
      <c r="AF56" s="688">
        <f ca="1">SUMIF('Budget-ACPL'!$A:$A,$A56,'Budget-ACPL'!AF:AF)+SUMIF('Budget-ACPLHK'!$A:$A,$A56,'Budget-ACPLHK'!AF:AF)+SUMIF('Budget-ACPSZL'!$A:$A,$A56,'Budget-ACPSZL'!AF:AF)+SUMIF('Budget-ACPLSZ'!$A:$A,$A56,'Budget-ACPLSZ'!AF:AF)+SUMIF('Budget-ACPLGZ'!$A:$A,$A56,'Budget-ACPLGZ'!AF:AF)+SUMIF('Budget-Yixing'!$A:$A,$A56,'Budget-Yixing'!AF:AF)</f>
        <v>0</v>
      </c>
      <c r="AG56" s="688">
        <f ca="1">SUMIF('Budget-ACPL'!$A:$A,$A56,'Budget-ACPL'!AG:AG)+SUMIF('Budget-ACPLHK'!$A:$A,$A56,'Budget-ACPLHK'!AG:AG)+SUMIF('Budget-ACPSZL'!$A:$A,$A56,'Budget-ACPSZL'!AG:AG)+SUMIF('Budget-ACPLSZ'!$A:$A,$A56,'Budget-ACPLSZ'!AG:AG)+SUMIF('Budget-ACPLGZ'!$A:$A,$A56,'Budget-ACPLGZ'!AG:AG)+SUMIF('Budget-Yixing'!$A:$A,$A56,'Budget-Yixing'!AG:AG)</f>
        <v>0</v>
      </c>
      <c r="AH56" s="688">
        <f ca="1">SUMIF('Budget-ACPL'!$A:$A,$A56,'Budget-ACPL'!AH:AH)+SUMIF('Budget-ACPLHK'!$A:$A,$A56,'Budget-ACPLHK'!AH:AH)+SUMIF('Budget-ACPSZL'!$A:$A,$A56,'Budget-ACPSZL'!AH:AH)+SUMIF('Budget-ACPLSZ'!$A:$A,$A56,'Budget-ACPLSZ'!AH:AH)+SUMIF('Budget-ACPLGZ'!$A:$A,$A56,'Budget-ACPLGZ'!AH:AH)+SUMIF('Budget-Yixing'!$A:$A,$A56,'Budget-Yixing'!AH:AH)</f>
        <v>0</v>
      </c>
      <c r="AI56" s="688">
        <f ca="1">SUMIF('Budget-ACPL'!$A:$A,$A56,'Budget-ACPL'!AI:AI)+SUMIF('Budget-ACPLHK'!$A:$A,$A56,'Budget-ACPLHK'!AI:AI)+SUMIF('Budget-ACPSZL'!$A:$A,$A56,'Budget-ACPSZL'!AI:AI)+SUMIF('Budget-ACPLSZ'!$A:$A,$A56,'Budget-ACPLSZ'!AI:AI)+SUMIF('Budget-ACPLGZ'!$A:$A,$A56,'Budget-ACPLGZ'!AI:AI)+SUMIF('Budget-Yixing'!$A:$A,$A56,'Budget-Yixing'!AI:AI)</f>
        <v>0</v>
      </c>
      <c r="AJ56" s="688">
        <f ca="1">SUMIF('Budget-ACPL'!$A:$A,$A56,'Budget-ACPL'!AJ:AJ)+SUMIF('Budget-ACPLHK'!$A:$A,$A56,'Budget-ACPLHK'!AJ:AJ)+SUMIF('Budget-ACPSZL'!$A:$A,$A56,'Budget-ACPSZL'!AJ:AJ)+SUMIF('Budget-ACPLSZ'!$A:$A,$A56,'Budget-ACPLSZ'!AJ:AJ)+SUMIF('Budget-ACPLGZ'!$A:$A,$A56,'Budget-ACPLGZ'!AJ:AJ)+SUMIF('Budget-Yixing'!$A:$A,$A56,'Budget-Yixing'!AJ:AJ)</f>
        <v>0</v>
      </c>
      <c r="AK56" s="688">
        <f t="shared" ca="1" si="33"/>
        <v>0</v>
      </c>
    </row>
    <row r="57" spans="1:37" ht="13.5" hidden="1" customHeight="1">
      <c r="A57" s="713" t="s">
        <v>1558</v>
      </c>
      <c r="B57" s="687" t="str">
        <f>VLOOKUP(A57,Account!A:B,2,0)</f>
        <v>评估费</v>
      </c>
      <c r="C57" s="687">
        <f>VLOOKUP(A57,Account!A:F,4,0)</f>
        <v>0</v>
      </c>
      <c r="D57" s="676">
        <f t="shared" ca="1" si="27"/>
        <v>0</v>
      </c>
      <c r="E57" s="676" t="e">
        <f t="shared" si="28"/>
        <v>#N/A</v>
      </c>
      <c r="F57" s="676" t="e">
        <f t="shared" ca="1" si="24"/>
        <v>#N/A</v>
      </c>
      <c r="G57" s="676">
        <f t="shared" ca="1" si="29"/>
        <v>0</v>
      </c>
      <c r="H57" s="676" t="e">
        <f t="shared" ca="1" si="30"/>
        <v>#N/A</v>
      </c>
      <c r="I57" s="676" t="e">
        <f t="shared" ca="1" si="31"/>
        <v>#N/A</v>
      </c>
      <c r="K57" s="676">
        <f ca="1">SUMIF('Budget-ACPL'!$A:$A,$A57,'Budget-ACPL'!K:K)+SUMIF('Budget-ACPLHK'!$A:$A,$A57,'Budget-ACPLHK'!K:K)+SUMIF('Budget-ACPSZL'!$A:$A,$A57,'Budget-ACPSZL'!K:K)+SUMIF('Budget-ACPLSZ'!$A:$A,$A57,'Budget-ACPLSZ'!K:K)+SUMIF('Budget-ACPLGZ'!$A:$A,$A57,'Budget-ACPLGZ'!K:K)+SUMIF('Budget-Yixing'!$A:$A,$A57,'Budget-Yixing'!K:K)</f>
        <v>0</v>
      </c>
      <c r="L57" s="676">
        <f ca="1">SUMIF('Budget-ACPL'!$A:$A,$A57,'Budget-ACPL'!L:L)+SUMIF('Budget-ACPLHK'!$A:$A,$A57,'Budget-ACPLHK'!L:L)+SUMIF('Budget-ACPSZL'!$A:$A,$A57,'Budget-ACPSZL'!L:L)+SUMIF('Budget-ACPLSZ'!$A:$A,$A57,'Budget-ACPLSZ'!L:L)+SUMIF('Budget-ACPLGZ'!$A:$A,$A57,'Budget-ACPLGZ'!L:L)+SUMIF('Budget-Yixing'!$A:$A,$A57,'Budget-Yixing'!L:L)</f>
        <v>0</v>
      </c>
      <c r="M57" s="676">
        <f ca="1">SUMIF('Budget-ACPL'!$A:$A,$A57,'Budget-ACPL'!M:M)+SUMIF('Budget-ACPLHK'!$A:$A,$A57,'Budget-ACPLHK'!M:M)+SUMIF('Budget-ACPSZL'!$A:$A,$A57,'Budget-ACPSZL'!M:M)+SUMIF('Budget-ACPLSZ'!$A:$A,$A57,'Budget-ACPLSZ'!M:M)+SUMIF('Budget-ACPLGZ'!$A:$A,$A57,'Budget-ACPLGZ'!M:M)+SUMIF('Budget-Yixing'!$A:$A,$A57,'Budget-Yixing'!M:M)</f>
        <v>0</v>
      </c>
      <c r="N57" s="676">
        <f ca="1">SUMIF('Budget-ACPL'!$A:$A,$A57,'Budget-ACPL'!N:N)+SUMIF('Budget-ACPLHK'!$A:$A,$A57,'Budget-ACPLHK'!N:N)+SUMIF('Budget-ACPSZL'!$A:$A,$A57,'Budget-ACPSZL'!N:N)+SUMIF('Budget-ACPLSZ'!$A:$A,$A57,'Budget-ACPLSZ'!N:N)+SUMIF('Budget-ACPLGZ'!$A:$A,$A57,'Budget-ACPLGZ'!N:N)+SUMIF('Budget-Yixing'!$A:$A,$A57,'Budget-Yixing'!N:N)</f>
        <v>0</v>
      </c>
      <c r="O57" s="676">
        <f ca="1">SUMIF('Budget-ACPL'!$A:$A,$A57,'Budget-ACPL'!O:O)+SUMIF('Budget-ACPLHK'!$A:$A,$A57,'Budget-ACPLHK'!O:O)+SUMIF('Budget-ACPSZL'!$A:$A,$A57,'Budget-ACPSZL'!O:O)+SUMIF('Budget-ACPLSZ'!$A:$A,$A57,'Budget-ACPLSZ'!O:O)+SUMIF('Budget-ACPLGZ'!$A:$A,$A57,'Budget-ACPLGZ'!O:O)+SUMIF('Budget-Yixing'!$A:$A,$A57,'Budget-Yixing'!O:O)</f>
        <v>0</v>
      </c>
      <c r="P57" s="676">
        <f ca="1">SUMIF('Budget-ACPL'!$A:$A,$A57,'Budget-ACPL'!P:P)+SUMIF('Budget-ACPLHK'!$A:$A,$A57,'Budget-ACPLHK'!P:P)+SUMIF('Budget-ACPSZL'!$A:$A,$A57,'Budget-ACPSZL'!P:P)+SUMIF('Budget-ACPLSZ'!$A:$A,$A57,'Budget-ACPLSZ'!P:P)+SUMIF('Budget-ACPLGZ'!$A:$A,$A57,'Budget-ACPLGZ'!P:P)+SUMIF('Budget-Yixing'!$A:$A,$A57,'Budget-Yixing'!P:P)</f>
        <v>0</v>
      </c>
      <c r="Q57" s="676">
        <f ca="1">SUMIF('Budget-ACPL'!$A:$A,$A57,'Budget-ACPL'!Q:Q)+SUMIF('Budget-ACPLHK'!$A:$A,$A57,'Budget-ACPLHK'!Q:Q)+SUMIF('Budget-ACPSZL'!$A:$A,$A57,'Budget-ACPSZL'!Q:Q)+SUMIF('Budget-ACPLSZ'!$A:$A,$A57,'Budget-ACPLSZ'!Q:Q)+SUMIF('Budget-ACPLGZ'!$A:$A,$A57,'Budget-ACPLGZ'!Q:Q)+SUMIF('Budget-Yixing'!$A:$A,$A57,'Budget-Yixing'!Q:Q)</f>
        <v>0</v>
      </c>
      <c r="R57" s="676">
        <f ca="1">SUMIF('Budget-ACPL'!$A:$A,$A57,'Budget-ACPL'!R:R)+SUMIF('Budget-ACPLHK'!$A:$A,$A57,'Budget-ACPLHK'!R:R)+SUMIF('Budget-ACPSZL'!$A:$A,$A57,'Budget-ACPSZL'!R:R)+SUMIF('Budget-ACPLSZ'!$A:$A,$A57,'Budget-ACPLSZ'!R:R)+SUMIF('Budget-ACPLGZ'!$A:$A,$A57,'Budget-ACPLGZ'!R:R)+SUMIF('Budget-Yixing'!$A:$A,$A57,'Budget-Yixing'!R:R)</f>
        <v>0</v>
      </c>
      <c r="S57" s="676">
        <f ca="1">SUMIF('Budget-ACPL'!$A:$A,$A57,'Budget-ACPL'!S:S)+SUMIF('Budget-ACPLHK'!$A:$A,$A57,'Budget-ACPLHK'!S:S)+SUMIF('Budget-ACPSZL'!$A:$A,$A57,'Budget-ACPSZL'!S:S)+SUMIF('Budget-ACPLSZ'!$A:$A,$A57,'Budget-ACPLSZ'!S:S)+SUMIF('Budget-ACPLGZ'!$A:$A,$A57,'Budget-ACPLGZ'!S:S)+SUMIF('Budget-Yixing'!$A:$A,$A57,'Budget-Yixing'!S:S)</f>
        <v>0</v>
      </c>
      <c r="T57" s="676">
        <f ca="1">SUMIF('Budget-ACPL'!$A:$A,$A57,'Budget-ACPL'!T:T)+SUMIF('Budget-ACPLHK'!$A:$A,$A57,'Budget-ACPLHK'!T:T)+SUMIF('Budget-ACPSZL'!$A:$A,$A57,'Budget-ACPSZL'!T:T)+SUMIF('Budget-ACPLSZ'!$A:$A,$A57,'Budget-ACPLSZ'!T:T)+SUMIF('Budget-ACPLGZ'!$A:$A,$A57,'Budget-ACPLGZ'!T:T)+SUMIF('Budget-Yixing'!$A:$A,$A57,'Budget-Yixing'!T:T)</f>
        <v>0</v>
      </c>
      <c r="U57" s="676">
        <f ca="1">SUMIF('Budget-ACPL'!$A:$A,$A57,'Budget-ACPL'!U:U)+SUMIF('Budget-ACPLHK'!$A:$A,$A57,'Budget-ACPLHK'!U:U)+SUMIF('Budget-ACPSZL'!$A:$A,$A57,'Budget-ACPSZL'!U:U)+SUMIF('Budget-ACPLSZ'!$A:$A,$A57,'Budget-ACPLSZ'!U:U)+SUMIF('Budget-ACPLGZ'!$A:$A,$A57,'Budget-ACPLGZ'!U:U)+SUMIF('Budget-Yixing'!$A:$A,$A57,'Budget-Yixing'!U:U)</f>
        <v>0</v>
      </c>
      <c r="V57" s="676">
        <f ca="1">SUMIF('Budget-ACPL'!$A:$A,$A57,'Budget-ACPL'!V:V)+SUMIF('Budget-ACPLHK'!$A:$A,$A57,'Budget-ACPLHK'!V:V)+SUMIF('Budget-ACPSZL'!$A:$A,$A57,'Budget-ACPSZL'!V:V)+SUMIF('Budget-ACPLSZ'!$A:$A,$A57,'Budget-ACPLSZ'!V:V)+SUMIF('Budget-ACPLGZ'!$A:$A,$A57,'Budget-ACPLGZ'!V:V)+SUMIF('Budget-Yixing'!$A:$A,$A57,'Budget-Yixing'!V:V)</f>
        <v>0</v>
      </c>
      <c r="W57" s="676">
        <f t="shared" ca="1" si="32"/>
        <v>0</v>
      </c>
      <c r="Y57" s="688">
        <f ca="1">SUMIF('Budget-ACPL'!$A:$A,$A57,'Budget-ACPL'!Y:Y)+SUMIF('Budget-ACPLHK'!$A:$A,$A57,'Budget-ACPLHK'!Y:Y)+SUMIF('Budget-ACPSZL'!$A:$A,$A57,'Budget-ACPSZL'!Y:Y)+SUMIF('Budget-ACPLSZ'!$A:$A,$A57,'Budget-ACPLSZ'!Y:Y)+SUMIF('Budget-ACPLGZ'!$A:$A,$A57,'Budget-ACPLGZ'!Y:Y)+SUMIF('Budget-Yixing'!$A:$A,$A57,'Budget-Yixing'!Y:Y)</f>
        <v>0</v>
      </c>
      <c r="Z57" s="688">
        <f ca="1">SUMIF('Budget-ACPL'!$A:$A,$A57,'Budget-ACPL'!Z:Z)+SUMIF('Budget-ACPLHK'!$A:$A,$A57,'Budget-ACPLHK'!Z:Z)+SUMIF('Budget-ACPSZL'!$A:$A,$A57,'Budget-ACPSZL'!Z:Z)+SUMIF('Budget-ACPLSZ'!$A:$A,$A57,'Budget-ACPLSZ'!Z:Z)+SUMIF('Budget-ACPLGZ'!$A:$A,$A57,'Budget-ACPLGZ'!Z:Z)+SUMIF('Budget-Yixing'!$A:$A,$A57,'Budget-Yixing'!Z:Z)</f>
        <v>0</v>
      </c>
      <c r="AA57" s="688">
        <f ca="1">SUMIF('Budget-ACPL'!$A:$A,$A57,'Budget-ACPL'!AA:AA)+SUMIF('Budget-ACPLHK'!$A:$A,$A57,'Budget-ACPLHK'!AA:AA)+SUMIF('Budget-ACPSZL'!$A:$A,$A57,'Budget-ACPSZL'!AA:AA)+SUMIF('Budget-ACPLSZ'!$A:$A,$A57,'Budget-ACPLSZ'!AA:AA)+SUMIF('Budget-ACPLGZ'!$A:$A,$A57,'Budget-ACPLGZ'!AA:AA)+SUMIF('Budget-Yixing'!$A:$A,$A57,'Budget-Yixing'!AA:AA)</f>
        <v>0</v>
      </c>
      <c r="AB57" s="688">
        <f ca="1">SUMIF('Budget-ACPL'!$A:$A,$A57,'Budget-ACPL'!AB:AB)+SUMIF('Budget-ACPLHK'!$A:$A,$A57,'Budget-ACPLHK'!AB:AB)+SUMIF('Budget-ACPSZL'!$A:$A,$A57,'Budget-ACPSZL'!AB:AB)+SUMIF('Budget-ACPLSZ'!$A:$A,$A57,'Budget-ACPLSZ'!AB:AB)+SUMIF('Budget-ACPLGZ'!$A:$A,$A57,'Budget-ACPLGZ'!AB:AB)+SUMIF('Budget-Yixing'!$A:$A,$A57,'Budget-Yixing'!AB:AB)</f>
        <v>0</v>
      </c>
      <c r="AC57" s="688">
        <f ca="1">SUMIF('Budget-ACPL'!$A:$A,$A57,'Budget-ACPL'!AC:AC)+SUMIF('Budget-ACPLHK'!$A:$A,$A57,'Budget-ACPLHK'!AC:AC)+SUMIF('Budget-ACPSZL'!$A:$A,$A57,'Budget-ACPSZL'!AC:AC)+SUMIF('Budget-ACPLSZ'!$A:$A,$A57,'Budget-ACPLSZ'!AC:AC)+SUMIF('Budget-ACPLGZ'!$A:$A,$A57,'Budget-ACPLGZ'!AC:AC)+SUMIF('Budget-Yixing'!$A:$A,$A57,'Budget-Yixing'!AC:AC)</f>
        <v>0</v>
      </c>
      <c r="AD57" s="688">
        <f ca="1">SUMIF('Budget-ACPL'!$A:$A,$A57,'Budget-ACPL'!AD:AD)+SUMIF('Budget-ACPLHK'!$A:$A,$A57,'Budget-ACPLHK'!AD:AD)+SUMIF('Budget-ACPSZL'!$A:$A,$A57,'Budget-ACPSZL'!AD:AD)+SUMIF('Budget-ACPLSZ'!$A:$A,$A57,'Budget-ACPLSZ'!AD:AD)+SUMIF('Budget-ACPLGZ'!$A:$A,$A57,'Budget-ACPLGZ'!AD:AD)+SUMIF('Budget-Yixing'!$A:$A,$A57,'Budget-Yixing'!AD:AD)</f>
        <v>0</v>
      </c>
      <c r="AE57" s="688">
        <f ca="1">SUMIF('Budget-ACPL'!$A:$A,$A57,'Budget-ACPL'!AE:AE)+SUMIF('Budget-ACPLHK'!$A:$A,$A57,'Budget-ACPLHK'!AE:AE)+SUMIF('Budget-ACPSZL'!$A:$A,$A57,'Budget-ACPSZL'!AE:AE)+SUMIF('Budget-ACPLSZ'!$A:$A,$A57,'Budget-ACPLSZ'!AE:AE)+SUMIF('Budget-ACPLGZ'!$A:$A,$A57,'Budget-ACPLGZ'!AE:AE)+SUMIF('Budget-Yixing'!$A:$A,$A57,'Budget-Yixing'!AE:AE)</f>
        <v>0</v>
      </c>
      <c r="AF57" s="688">
        <f ca="1">SUMIF('Budget-ACPL'!$A:$A,$A57,'Budget-ACPL'!AF:AF)+SUMIF('Budget-ACPLHK'!$A:$A,$A57,'Budget-ACPLHK'!AF:AF)+SUMIF('Budget-ACPSZL'!$A:$A,$A57,'Budget-ACPSZL'!AF:AF)+SUMIF('Budget-ACPLSZ'!$A:$A,$A57,'Budget-ACPLSZ'!AF:AF)+SUMIF('Budget-ACPLGZ'!$A:$A,$A57,'Budget-ACPLGZ'!AF:AF)+SUMIF('Budget-Yixing'!$A:$A,$A57,'Budget-Yixing'!AF:AF)</f>
        <v>0</v>
      </c>
      <c r="AG57" s="688">
        <f ca="1">SUMIF('Budget-ACPL'!$A:$A,$A57,'Budget-ACPL'!AG:AG)+SUMIF('Budget-ACPLHK'!$A:$A,$A57,'Budget-ACPLHK'!AG:AG)+SUMIF('Budget-ACPSZL'!$A:$A,$A57,'Budget-ACPSZL'!AG:AG)+SUMIF('Budget-ACPLSZ'!$A:$A,$A57,'Budget-ACPLSZ'!AG:AG)+SUMIF('Budget-ACPLGZ'!$A:$A,$A57,'Budget-ACPLGZ'!AG:AG)+SUMIF('Budget-Yixing'!$A:$A,$A57,'Budget-Yixing'!AG:AG)</f>
        <v>0</v>
      </c>
      <c r="AH57" s="688">
        <f ca="1">SUMIF('Budget-ACPL'!$A:$A,$A57,'Budget-ACPL'!AH:AH)+SUMIF('Budget-ACPLHK'!$A:$A,$A57,'Budget-ACPLHK'!AH:AH)+SUMIF('Budget-ACPSZL'!$A:$A,$A57,'Budget-ACPSZL'!AH:AH)+SUMIF('Budget-ACPLSZ'!$A:$A,$A57,'Budget-ACPLSZ'!AH:AH)+SUMIF('Budget-ACPLGZ'!$A:$A,$A57,'Budget-ACPLGZ'!AH:AH)+SUMIF('Budget-Yixing'!$A:$A,$A57,'Budget-Yixing'!AH:AH)</f>
        <v>0</v>
      </c>
      <c r="AI57" s="688">
        <f ca="1">SUMIF('Budget-ACPL'!$A:$A,$A57,'Budget-ACPL'!AI:AI)+SUMIF('Budget-ACPLHK'!$A:$A,$A57,'Budget-ACPLHK'!AI:AI)+SUMIF('Budget-ACPSZL'!$A:$A,$A57,'Budget-ACPSZL'!AI:AI)+SUMIF('Budget-ACPLSZ'!$A:$A,$A57,'Budget-ACPLSZ'!AI:AI)+SUMIF('Budget-ACPLGZ'!$A:$A,$A57,'Budget-ACPLGZ'!AI:AI)+SUMIF('Budget-Yixing'!$A:$A,$A57,'Budget-Yixing'!AI:AI)</f>
        <v>0</v>
      </c>
      <c r="AJ57" s="688">
        <f ca="1">SUMIF('Budget-ACPL'!$A:$A,$A57,'Budget-ACPL'!AJ:AJ)+SUMIF('Budget-ACPLHK'!$A:$A,$A57,'Budget-ACPLHK'!AJ:AJ)+SUMIF('Budget-ACPSZL'!$A:$A,$A57,'Budget-ACPSZL'!AJ:AJ)+SUMIF('Budget-ACPLSZ'!$A:$A,$A57,'Budget-ACPLSZ'!AJ:AJ)+SUMIF('Budget-ACPLGZ'!$A:$A,$A57,'Budget-ACPLGZ'!AJ:AJ)+SUMIF('Budget-Yixing'!$A:$A,$A57,'Budget-Yixing'!AJ:AJ)</f>
        <v>0</v>
      </c>
      <c r="AK57" s="688">
        <f t="shared" ca="1" si="33"/>
        <v>0</v>
      </c>
    </row>
    <row r="58" spans="1:37" ht="13.5" hidden="1" customHeight="1">
      <c r="A58" s="713" t="s">
        <v>1562</v>
      </c>
      <c r="B58" s="687" t="str">
        <f>VLOOKUP(A58,Account!A:B,2,0)</f>
        <v>技术服务费</v>
      </c>
      <c r="C58" s="687">
        <f>VLOOKUP(A58,Account!A:F,4,0)</f>
        <v>0</v>
      </c>
      <c r="D58" s="676">
        <f t="shared" ca="1" si="27"/>
        <v>0</v>
      </c>
      <c r="E58" s="676" t="e">
        <f t="shared" si="28"/>
        <v>#N/A</v>
      </c>
      <c r="F58" s="676" t="e">
        <f t="shared" ca="1" si="24"/>
        <v>#N/A</v>
      </c>
      <c r="G58" s="676">
        <f t="shared" ca="1" si="29"/>
        <v>0</v>
      </c>
      <c r="H58" s="676" t="e">
        <f t="shared" ca="1" si="30"/>
        <v>#N/A</v>
      </c>
      <c r="I58" s="676" t="e">
        <f t="shared" ca="1" si="31"/>
        <v>#N/A</v>
      </c>
      <c r="K58" s="676">
        <f ca="1">SUMIF('Budget-ACPL'!$A:$A,$A58,'Budget-ACPL'!K:K)+SUMIF('Budget-ACPLHK'!$A:$A,$A58,'Budget-ACPLHK'!K:K)+SUMIF('Budget-ACPSZL'!$A:$A,$A58,'Budget-ACPSZL'!K:K)+SUMIF('Budget-ACPLSZ'!$A:$A,$A58,'Budget-ACPLSZ'!K:K)+SUMIF('Budget-ACPLGZ'!$A:$A,$A58,'Budget-ACPLGZ'!K:K)+SUMIF('Budget-Yixing'!$A:$A,$A58,'Budget-Yixing'!K:K)</f>
        <v>0</v>
      </c>
      <c r="L58" s="676">
        <f ca="1">SUMIF('Budget-ACPL'!$A:$A,$A58,'Budget-ACPL'!L:L)+SUMIF('Budget-ACPLHK'!$A:$A,$A58,'Budget-ACPLHK'!L:L)+SUMIF('Budget-ACPSZL'!$A:$A,$A58,'Budget-ACPSZL'!L:L)+SUMIF('Budget-ACPLSZ'!$A:$A,$A58,'Budget-ACPLSZ'!L:L)+SUMIF('Budget-ACPLGZ'!$A:$A,$A58,'Budget-ACPLGZ'!L:L)+SUMIF('Budget-Yixing'!$A:$A,$A58,'Budget-Yixing'!L:L)</f>
        <v>0</v>
      </c>
      <c r="M58" s="676">
        <f ca="1">SUMIF('Budget-ACPL'!$A:$A,$A58,'Budget-ACPL'!M:M)+SUMIF('Budget-ACPLHK'!$A:$A,$A58,'Budget-ACPLHK'!M:M)+SUMIF('Budget-ACPSZL'!$A:$A,$A58,'Budget-ACPSZL'!M:M)+SUMIF('Budget-ACPLSZ'!$A:$A,$A58,'Budget-ACPLSZ'!M:M)+SUMIF('Budget-ACPLGZ'!$A:$A,$A58,'Budget-ACPLGZ'!M:M)+SUMIF('Budget-Yixing'!$A:$A,$A58,'Budget-Yixing'!M:M)</f>
        <v>0</v>
      </c>
      <c r="N58" s="676">
        <f ca="1">SUMIF('Budget-ACPL'!$A:$A,$A58,'Budget-ACPL'!N:N)+SUMIF('Budget-ACPLHK'!$A:$A,$A58,'Budget-ACPLHK'!N:N)+SUMIF('Budget-ACPSZL'!$A:$A,$A58,'Budget-ACPSZL'!N:N)+SUMIF('Budget-ACPLSZ'!$A:$A,$A58,'Budget-ACPLSZ'!N:N)+SUMIF('Budget-ACPLGZ'!$A:$A,$A58,'Budget-ACPLGZ'!N:N)+SUMIF('Budget-Yixing'!$A:$A,$A58,'Budget-Yixing'!N:N)</f>
        <v>0</v>
      </c>
      <c r="O58" s="676">
        <f ca="1">SUMIF('Budget-ACPL'!$A:$A,$A58,'Budget-ACPL'!O:O)+SUMIF('Budget-ACPLHK'!$A:$A,$A58,'Budget-ACPLHK'!O:O)+SUMIF('Budget-ACPSZL'!$A:$A,$A58,'Budget-ACPSZL'!O:O)+SUMIF('Budget-ACPLSZ'!$A:$A,$A58,'Budget-ACPLSZ'!O:O)+SUMIF('Budget-ACPLGZ'!$A:$A,$A58,'Budget-ACPLGZ'!O:O)+SUMIF('Budget-Yixing'!$A:$A,$A58,'Budget-Yixing'!O:O)</f>
        <v>0</v>
      </c>
      <c r="P58" s="676">
        <f ca="1">SUMIF('Budget-ACPL'!$A:$A,$A58,'Budget-ACPL'!P:P)+SUMIF('Budget-ACPLHK'!$A:$A,$A58,'Budget-ACPLHK'!P:P)+SUMIF('Budget-ACPSZL'!$A:$A,$A58,'Budget-ACPSZL'!P:P)+SUMIF('Budget-ACPLSZ'!$A:$A,$A58,'Budget-ACPLSZ'!P:P)+SUMIF('Budget-ACPLGZ'!$A:$A,$A58,'Budget-ACPLGZ'!P:P)+SUMIF('Budget-Yixing'!$A:$A,$A58,'Budget-Yixing'!P:P)</f>
        <v>0</v>
      </c>
      <c r="Q58" s="676">
        <f ca="1">SUMIF('Budget-ACPL'!$A:$A,$A58,'Budget-ACPL'!Q:Q)+SUMIF('Budget-ACPLHK'!$A:$A,$A58,'Budget-ACPLHK'!Q:Q)+SUMIF('Budget-ACPSZL'!$A:$A,$A58,'Budget-ACPSZL'!Q:Q)+SUMIF('Budget-ACPLSZ'!$A:$A,$A58,'Budget-ACPLSZ'!Q:Q)+SUMIF('Budget-ACPLGZ'!$A:$A,$A58,'Budget-ACPLGZ'!Q:Q)+SUMIF('Budget-Yixing'!$A:$A,$A58,'Budget-Yixing'!Q:Q)</f>
        <v>0</v>
      </c>
      <c r="R58" s="676">
        <f ca="1">SUMIF('Budget-ACPL'!$A:$A,$A58,'Budget-ACPL'!R:R)+SUMIF('Budget-ACPLHK'!$A:$A,$A58,'Budget-ACPLHK'!R:R)+SUMIF('Budget-ACPSZL'!$A:$A,$A58,'Budget-ACPSZL'!R:R)+SUMIF('Budget-ACPLSZ'!$A:$A,$A58,'Budget-ACPLSZ'!R:R)+SUMIF('Budget-ACPLGZ'!$A:$A,$A58,'Budget-ACPLGZ'!R:R)+SUMIF('Budget-Yixing'!$A:$A,$A58,'Budget-Yixing'!R:R)</f>
        <v>0</v>
      </c>
      <c r="S58" s="676">
        <f ca="1">SUMIF('Budget-ACPL'!$A:$A,$A58,'Budget-ACPL'!S:S)+SUMIF('Budget-ACPLHK'!$A:$A,$A58,'Budget-ACPLHK'!S:S)+SUMIF('Budget-ACPSZL'!$A:$A,$A58,'Budget-ACPSZL'!S:S)+SUMIF('Budget-ACPLSZ'!$A:$A,$A58,'Budget-ACPLSZ'!S:S)+SUMIF('Budget-ACPLGZ'!$A:$A,$A58,'Budget-ACPLGZ'!S:S)+SUMIF('Budget-Yixing'!$A:$A,$A58,'Budget-Yixing'!S:S)</f>
        <v>0</v>
      </c>
      <c r="T58" s="676">
        <f ca="1">SUMIF('Budget-ACPL'!$A:$A,$A58,'Budget-ACPL'!T:T)+SUMIF('Budget-ACPLHK'!$A:$A,$A58,'Budget-ACPLHK'!T:T)+SUMIF('Budget-ACPSZL'!$A:$A,$A58,'Budget-ACPSZL'!T:T)+SUMIF('Budget-ACPLSZ'!$A:$A,$A58,'Budget-ACPLSZ'!T:T)+SUMIF('Budget-ACPLGZ'!$A:$A,$A58,'Budget-ACPLGZ'!T:T)+SUMIF('Budget-Yixing'!$A:$A,$A58,'Budget-Yixing'!T:T)</f>
        <v>0</v>
      </c>
      <c r="U58" s="676">
        <f ca="1">SUMIF('Budget-ACPL'!$A:$A,$A58,'Budget-ACPL'!U:U)+SUMIF('Budget-ACPLHK'!$A:$A,$A58,'Budget-ACPLHK'!U:U)+SUMIF('Budget-ACPSZL'!$A:$A,$A58,'Budget-ACPSZL'!U:U)+SUMIF('Budget-ACPLSZ'!$A:$A,$A58,'Budget-ACPLSZ'!U:U)+SUMIF('Budget-ACPLGZ'!$A:$A,$A58,'Budget-ACPLGZ'!U:U)+SUMIF('Budget-Yixing'!$A:$A,$A58,'Budget-Yixing'!U:U)</f>
        <v>0</v>
      </c>
      <c r="V58" s="676">
        <f ca="1">SUMIF('Budget-ACPL'!$A:$A,$A58,'Budget-ACPL'!V:V)+SUMIF('Budget-ACPLHK'!$A:$A,$A58,'Budget-ACPLHK'!V:V)+SUMIF('Budget-ACPSZL'!$A:$A,$A58,'Budget-ACPSZL'!V:V)+SUMIF('Budget-ACPLSZ'!$A:$A,$A58,'Budget-ACPLSZ'!V:V)+SUMIF('Budget-ACPLGZ'!$A:$A,$A58,'Budget-ACPLGZ'!V:V)+SUMIF('Budget-Yixing'!$A:$A,$A58,'Budget-Yixing'!V:V)</f>
        <v>0</v>
      </c>
      <c r="W58" s="676">
        <f t="shared" ca="1" si="32"/>
        <v>0</v>
      </c>
      <c r="Y58" s="688">
        <f ca="1">SUMIF('Budget-ACPL'!$A:$A,$A58,'Budget-ACPL'!Y:Y)+SUMIF('Budget-ACPLHK'!$A:$A,$A58,'Budget-ACPLHK'!Y:Y)+SUMIF('Budget-ACPSZL'!$A:$A,$A58,'Budget-ACPSZL'!Y:Y)+SUMIF('Budget-ACPLSZ'!$A:$A,$A58,'Budget-ACPLSZ'!Y:Y)+SUMIF('Budget-ACPLGZ'!$A:$A,$A58,'Budget-ACPLGZ'!Y:Y)+SUMIF('Budget-Yixing'!$A:$A,$A58,'Budget-Yixing'!Y:Y)</f>
        <v>0</v>
      </c>
      <c r="Z58" s="688">
        <f ca="1">SUMIF('Budget-ACPL'!$A:$A,$A58,'Budget-ACPL'!Z:Z)+SUMIF('Budget-ACPLHK'!$A:$A,$A58,'Budget-ACPLHK'!Z:Z)+SUMIF('Budget-ACPSZL'!$A:$A,$A58,'Budget-ACPSZL'!Z:Z)+SUMIF('Budget-ACPLSZ'!$A:$A,$A58,'Budget-ACPLSZ'!Z:Z)+SUMIF('Budget-ACPLGZ'!$A:$A,$A58,'Budget-ACPLGZ'!Z:Z)+SUMIF('Budget-Yixing'!$A:$A,$A58,'Budget-Yixing'!Z:Z)</f>
        <v>0</v>
      </c>
      <c r="AA58" s="688">
        <f ca="1">SUMIF('Budget-ACPL'!$A:$A,$A58,'Budget-ACPL'!AA:AA)+SUMIF('Budget-ACPLHK'!$A:$A,$A58,'Budget-ACPLHK'!AA:AA)+SUMIF('Budget-ACPSZL'!$A:$A,$A58,'Budget-ACPSZL'!AA:AA)+SUMIF('Budget-ACPLSZ'!$A:$A,$A58,'Budget-ACPLSZ'!AA:AA)+SUMIF('Budget-ACPLGZ'!$A:$A,$A58,'Budget-ACPLGZ'!AA:AA)+SUMIF('Budget-Yixing'!$A:$A,$A58,'Budget-Yixing'!AA:AA)</f>
        <v>0</v>
      </c>
      <c r="AB58" s="688">
        <f ca="1">SUMIF('Budget-ACPL'!$A:$A,$A58,'Budget-ACPL'!AB:AB)+SUMIF('Budget-ACPLHK'!$A:$A,$A58,'Budget-ACPLHK'!AB:AB)+SUMIF('Budget-ACPSZL'!$A:$A,$A58,'Budget-ACPSZL'!AB:AB)+SUMIF('Budget-ACPLSZ'!$A:$A,$A58,'Budget-ACPLSZ'!AB:AB)+SUMIF('Budget-ACPLGZ'!$A:$A,$A58,'Budget-ACPLGZ'!AB:AB)+SUMIF('Budget-Yixing'!$A:$A,$A58,'Budget-Yixing'!AB:AB)</f>
        <v>0</v>
      </c>
      <c r="AC58" s="688">
        <f ca="1">SUMIF('Budget-ACPL'!$A:$A,$A58,'Budget-ACPL'!AC:AC)+SUMIF('Budget-ACPLHK'!$A:$A,$A58,'Budget-ACPLHK'!AC:AC)+SUMIF('Budget-ACPSZL'!$A:$A,$A58,'Budget-ACPSZL'!AC:AC)+SUMIF('Budget-ACPLSZ'!$A:$A,$A58,'Budget-ACPLSZ'!AC:AC)+SUMIF('Budget-ACPLGZ'!$A:$A,$A58,'Budget-ACPLGZ'!AC:AC)+SUMIF('Budget-Yixing'!$A:$A,$A58,'Budget-Yixing'!AC:AC)</f>
        <v>0</v>
      </c>
      <c r="AD58" s="688">
        <f ca="1">SUMIF('Budget-ACPL'!$A:$A,$A58,'Budget-ACPL'!AD:AD)+SUMIF('Budget-ACPLHK'!$A:$A,$A58,'Budget-ACPLHK'!AD:AD)+SUMIF('Budget-ACPSZL'!$A:$A,$A58,'Budget-ACPSZL'!AD:AD)+SUMIF('Budget-ACPLSZ'!$A:$A,$A58,'Budget-ACPLSZ'!AD:AD)+SUMIF('Budget-ACPLGZ'!$A:$A,$A58,'Budget-ACPLGZ'!AD:AD)+SUMIF('Budget-Yixing'!$A:$A,$A58,'Budget-Yixing'!AD:AD)</f>
        <v>0</v>
      </c>
      <c r="AE58" s="688">
        <f ca="1">SUMIF('Budget-ACPL'!$A:$A,$A58,'Budget-ACPL'!AE:AE)+SUMIF('Budget-ACPLHK'!$A:$A,$A58,'Budget-ACPLHK'!AE:AE)+SUMIF('Budget-ACPSZL'!$A:$A,$A58,'Budget-ACPSZL'!AE:AE)+SUMIF('Budget-ACPLSZ'!$A:$A,$A58,'Budget-ACPLSZ'!AE:AE)+SUMIF('Budget-ACPLGZ'!$A:$A,$A58,'Budget-ACPLGZ'!AE:AE)+SUMIF('Budget-Yixing'!$A:$A,$A58,'Budget-Yixing'!AE:AE)</f>
        <v>113207.55</v>
      </c>
      <c r="AF58" s="688">
        <f ca="1">SUMIF('Budget-ACPL'!$A:$A,$A58,'Budget-ACPL'!AF:AF)+SUMIF('Budget-ACPLHK'!$A:$A,$A58,'Budget-ACPLHK'!AF:AF)+SUMIF('Budget-ACPSZL'!$A:$A,$A58,'Budget-ACPSZL'!AF:AF)+SUMIF('Budget-ACPLSZ'!$A:$A,$A58,'Budget-ACPLSZ'!AF:AF)+SUMIF('Budget-ACPLGZ'!$A:$A,$A58,'Budget-ACPLGZ'!AF:AF)+SUMIF('Budget-Yixing'!$A:$A,$A58,'Budget-Yixing'!AF:AF)</f>
        <v>37735.85</v>
      </c>
      <c r="AG58" s="688">
        <f ca="1">SUMIF('Budget-ACPL'!$A:$A,$A58,'Budget-ACPL'!AG:AG)+SUMIF('Budget-ACPLHK'!$A:$A,$A58,'Budget-ACPLHK'!AG:AG)+SUMIF('Budget-ACPSZL'!$A:$A,$A58,'Budget-ACPSZL'!AG:AG)+SUMIF('Budget-ACPLSZ'!$A:$A,$A58,'Budget-ACPLSZ'!AG:AG)+SUMIF('Budget-ACPLGZ'!$A:$A,$A58,'Budget-ACPLGZ'!AG:AG)+SUMIF('Budget-Yixing'!$A:$A,$A58,'Budget-Yixing'!AG:AG)</f>
        <v>0</v>
      </c>
      <c r="AH58" s="688">
        <f ca="1">SUMIF('Budget-ACPL'!$A:$A,$A58,'Budget-ACPL'!AH:AH)+SUMIF('Budget-ACPLHK'!$A:$A,$A58,'Budget-ACPLHK'!AH:AH)+SUMIF('Budget-ACPSZL'!$A:$A,$A58,'Budget-ACPSZL'!AH:AH)+SUMIF('Budget-ACPLSZ'!$A:$A,$A58,'Budget-ACPLSZ'!AH:AH)+SUMIF('Budget-ACPLGZ'!$A:$A,$A58,'Budget-ACPLGZ'!AH:AH)+SUMIF('Budget-Yixing'!$A:$A,$A58,'Budget-Yixing'!AH:AH)</f>
        <v>0</v>
      </c>
      <c r="AI58" s="688">
        <f ca="1">SUMIF('Budget-ACPL'!$A:$A,$A58,'Budget-ACPL'!AI:AI)+SUMIF('Budget-ACPLHK'!$A:$A,$A58,'Budget-ACPLHK'!AI:AI)+SUMIF('Budget-ACPSZL'!$A:$A,$A58,'Budget-ACPSZL'!AI:AI)+SUMIF('Budget-ACPLSZ'!$A:$A,$A58,'Budget-ACPLSZ'!AI:AI)+SUMIF('Budget-ACPLGZ'!$A:$A,$A58,'Budget-ACPLGZ'!AI:AI)+SUMIF('Budget-Yixing'!$A:$A,$A58,'Budget-Yixing'!AI:AI)</f>
        <v>0</v>
      </c>
      <c r="AJ58" s="688">
        <f ca="1">SUMIF('Budget-ACPL'!$A:$A,$A58,'Budget-ACPL'!AJ:AJ)+SUMIF('Budget-ACPLHK'!$A:$A,$A58,'Budget-ACPLHK'!AJ:AJ)+SUMIF('Budget-ACPSZL'!$A:$A,$A58,'Budget-ACPSZL'!AJ:AJ)+SUMIF('Budget-ACPLSZ'!$A:$A,$A58,'Budget-ACPLSZ'!AJ:AJ)+SUMIF('Budget-ACPLGZ'!$A:$A,$A58,'Budget-ACPLGZ'!AJ:AJ)+SUMIF('Budget-Yixing'!$A:$A,$A58,'Budget-Yixing'!AJ:AJ)</f>
        <v>0</v>
      </c>
      <c r="AK58" s="688">
        <f t="shared" ca="1" si="33"/>
        <v>150943.4</v>
      </c>
    </row>
    <row r="59" spans="1:37" ht="13.5" customHeight="1">
      <c r="A59" s="713" t="s">
        <v>1564</v>
      </c>
      <c r="B59" s="687" t="str">
        <f>VLOOKUP(A59,Account!A:B,2,0)</f>
        <v>合规支持服务</v>
      </c>
      <c r="C59" s="687" t="str">
        <f>VLOOKUP(A59,Account!A:F,4,0)</f>
        <v xml:space="preserve">Compliance Support Services </v>
      </c>
      <c r="D59" s="676">
        <f t="shared" ca="1" si="27"/>
        <v>13883.843999999999</v>
      </c>
      <c r="E59" s="676" t="e">
        <f t="shared" si="28"/>
        <v>#N/A</v>
      </c>
      <c r="F59" s="676" t="e">
        <f t="shared" ca="1" si="24"/>
        <v>#N/A</v>
      </c>
      <c r="G59" s="676">
        <f t="shared" ca="1" si="29"/>
        <v>13883.843999999999</v>
      </c>
      <c r="H59" s="676" t="e">
        <f t="shared" ca="1" si="30"/>
        <v>#N/A</v>
      </c>
      <c r="I59" s="676" t="e">
        <f t="shared" ca="1" si="31"/>
        <v>#N/A</v>
      </c>
      <c r="K59" s="676">
        <f ca="1">SUMIF('Budget-ACPL'!$A:$A,$A59,'Budget-ACPL'!K:K)+SUMIF('Budget-ACPLHK'!$A:$A,$A59,'Budget-ACPLHK'!K:K)+SUMIF('Budget-ACPSZL'!$A:$A,$A59,'Budget-ACPSZL'!K:K)+SUMIF('Budget-ACPLSZ'!$A:$A,$A59,'Budget-ACPLSZ'!K:K)+SUMIF('Budget-ACPLGZ'!$A:$A,$A59,'Budget-ACPLGZ'!K:K)+SUMIF('Budget-Yixing'!$A:$A,$A59,'Budget-Yixing'!K:K)</f>
        <v>13883.843999999999</v>
      </c>
      <c r="L59" s="676">
        <f ca="1">SUMIF('Budget-ACPL'!$A:$A,$A59,'Budget-ACPL'!L:L)+SUMIF('Budget-ACPLHK'!$A:$A,$A59,'Budget-ACPLHK'!L:L)+SUMIF('Budget-ACPSZL'!$A:$A,$A59,'Budget-ACPSZL'!L:L)+SUMIF('Budget-ACPLSZ'!$A:$A,$A59,'Budget-ACPLSZ'!L:L)+SUMIF('Budget-ACPLGZ'!$A:$A,$A59,'Budget-ACPLGZ'!L:L)+SUMIF('Budget-Yixing'!$A:$A,$A59,'Budget-Yixing'!L:L)</f>
        <v>13762.32</v>
      </c>
      <c r="M59" s="676">
        <f ca="1">SUMIF('Budget-ACPL'!$A:$A,$A59,'Budget-ACPL'!M:M)+SUMIF('Budget-ACPLHK'!$A:$A,$A59,'Budget-ACPLHK'!M:M)+SUMIF('Budget-ACPSZL'!$A:$A,$A59,'Budget-ACPSZL'!M:M)+SUMIF('Budget-ACPLSZ'!$A:$A,$A59,'Budget-ACPLSZ'!M:M)+SUMIF('Budget-ACPLGZ'!$A:$A,$A59,'Budget-ACPLGZ'!M:M)+SUMIF('Budget-Yixing'!$A:$A,$A59,'Budget-Yixing'!M:M)</f>
        <v>13762.32</v>
      </c>
      <c r="N59" s="676">
        <f ca="1">SUMIF('Budget-ACPL'!$A:$A,$A59,'Budget-ACPL'!N:N)+SUMIF('Budget-ACPLHK'!$A:$A,$A59,'Budget-ACPLHK'!N:N)+SUMIF('Budget-ACPSZL'!$A:$A,$A59,'Budget-ACPSZL'!N:N)+SUMIF('Budget-ACPLSZ'!$A:$A,$A59,'Budget-ACPLSZ'!N:N)+SUMIF('Budget-ACPLGZ'!$A:$A,$A59,'Budget-ACPLGZ'!N:N)+SUMIF('Budget-Yixing'!$A:$A,$A59,'Budget-Yixing'!N:N)</f>
        <v>13762.32</v>
      </c>
      <c r="O59" s="676">
        <f ca="1">SUMIF('Budget-ACPL'!$A:$A,$A59,'Budget-ACPL'!O:O)+SUMIF('Budget-ACPLHK'!$A:$A,$A59,'Budget-ACPLHK'!O:O)+SUMIF('Budget-ACPSZL'!$A:$A,$A59,'Budget-ACPSZL'!O:O)+SUMIF('Budget-ACPLSZ'!$A:$A,$A59,'Budget-ACPLSZ'!O:O)+SUMIF('Budget-ACPLGZ'!$A:$A,$A59,'Budget-ACPLGZ'!O:O)+SUMIF('Budget-Yixing'!$A:$A,$A59,'Budget-Yixing'!O:O)</f>
        <v>13762.32</v>
      </c>
      <c r="P59" s="676">
        <f ca="1">SUMIF('Budget-ACPL'!$A:$A,$A59,'Budget-ACPL'!P:P)+SUMIF('Budget-ACPLHK'!$A:$A,$A59,'Budget-ACPLHK'!P:P)+SUMIF('Budget-ACPSZL'!$A:$A,$A59,'Budget-ACPSZL'!P:P)+SUMIF('Budget-ACPLSZ'!$A:$A,$A59,'Budget-ACPLSZ'!P:P)+SUMIF('Budget-ACPLGZ'!$A:$A,$A59,'Budget-ACPLGZ'!P:P)+SUMIF('Budget-Yixing'!$A:$A,$A59,'Budget-Yixing'!P:P)</f>
        <v>13762.32</v>
      </c>
      <c r="Q59" s="676">
        <f ca="1">SUMIF('Budget-ACPL'!$A:$A,$A59,'Budget-ACPL'!Q:Q)+SUMIF('Budget-ACPLHK'!$A:$A,$A59,'Budget-ACPLHK'!Q:Q)+SUMIF('Budget-ACPSZL'!$A:$A,$A59,'Budget-ACPSZL'!Q:Q)+SUMIF('Budget-ACPLSZ'!$A:$A,$A59,'Budget-ACPLSZ'!Q:Q)+SUMIF('Budget-ACPLGZ'!$A:$A,$A59,'Budget-ACPLGZ'!Q:Q)+SUMIF('Budget-Yixing'!$A:$A,$A59,'Budget-Yixing'!Q:Q)</f>
        <v>13762.32</v>
      </c>
      <c r="R59" s="676">
        <f ca="1">SUMIF('Budget-ACPL'!$A:$A,$A59,'Budget-ACPL'!R:R)+SUMIF('Budget-ACPLHK'!$A:$A,$A59,'Budget-ACPLHK'!R:R)+SUMIF('Budget-ACPSZL'!$A:$A,$A59,'Budget-ACPSZL'!R:R)+SUMIF('Budget-ACPLSZ'!$A:$A,$A59,'Budget-ACPLSZ'!R:R)+SUMIF('Budget-ACPLGZ'!$A:$A,$A59,'Budget-ACPLGZ'!R:R)+SUMIF('Budget-Yixing'!$A:$A,$A59,'Budget-Yixing'!R:R)</f>
        <v>13762.32</v>
      </c>
      <c r="S59" s="676">
        <f ca="1">SUMIF('Budget-ACPL'!$A:$A,$A59,'Budget-ACPL'!S:S)+SUMIF('Budget-ACPLHK'!$A:$A,$A59,'Budget-ACPLHK'!S:S)+SUMIF('Budget-ACPSZL'!$A:$A,$A59,'Budget-ACPSZL'!S:S)+SUMIF('Budget-ACPLSZ'!$A:$A,$A59,'Budget-ACPLSZ'!S:S)+SUMIF('Budget-ACPLGZ'!$A:$A,$A59,'Budget-ACPLGZ'!S:S)+SUMIF('Budget-Yixing'!$A:$A,$A59,'Budget-Yixing'!S:S)</f>
        <v>13762.32</v>
      </c>
      <c r="T59" s="676">
        <f ca="1">SUMIF('Budget-ACPL'!$A:$A,$A59,'Budget-ACPL'!T:T)+SUMIF('Budget-ACPLHK'!$A:$A,$A59,'Budget-ACPLHK'!T:T)+SUMIF('Budget-ACPSZL'!$A:$A,$A59,'Budget-ACPSZL'!T:T)+SUMIF('Budget-ACPLSZ'!$A:$A,$A59,'Budget-ACPLSZ'!T:T)+SUMIF('Budget-ACPLGZ'!$A:$A,$A59,'Budget-ACPLGZ'!T:T)+SUMIF('Budget-Yixing'!$A:$A,$A59,'Budget-Yixing'!T:T)</f>
        <v>13762.32</v>
      </c>
      <c r="U59" s="676">
        <f ca="1">SUMIF('Budget-ACPL'!$A:$A,$A59,'Budget-ACPL'!U:U)+SUMIF('Budget-ACPLHK'!$A:$A,$A59,'Budget-ACPLHK'!U:U)+SUMIF('Budget-ACPSZL'!$A:$A,$A59,'Budget-ACPSZL'!U:U)+SUMIF('Budget-ACPLSZ'!$A:$A,$A59,'Budget-ACPLSZ'!U:U)+SUMIF('Budget-ACPLGZ'!$A:$A,$A59,'Budget-ACPLGZ'!U:U)+SUMIF('Budget-Yixing'!$A:$A,$A59,'Budget-Yixing'!U:U)</f>
        <v>13762.32</v>
      </c>
      <c r="V59" s="676">
        <f ca="1">SUMIF('Budget-ACPL'!$A:$A,$A59,'Budget-ACPL'!V:V)+SUMIF('Budget-ACPLHK'!$A:$A,$A59,'Budget-ACPLHK'!V:V)+SUMIF('Budget-ACPSZL'!$A:$A,$A59,'Budget-ACPSZL'!V:V)+SUMIF('Budget-ACPLSZ'!$A:$A,$A59,'Budget-ACPLSZ'!V:V)+SUMIF('Budget-ACPLGZ'!$A:$A,$A59,'Budget-ACPLGZ'!V:V)+SUMIF('Budget-Yixing'!$A:$A,$A59,'Budget-Yixing'!V:V)</f>
        <v>13762.32</v>
      </c>
      <c r="W59" s="676">
        <f t="shared" ca="1" si="32"/>
        <v>165269.36400000003</v>
      </c>
      <c r="Y59" s="688">
        <f ca="1">SUMIF('Budget-ACPL'!$A:$A,$A59,'Budget-ACPL'!Y:Y)+SUMIF('Budget-ACPLHK'!$A:$A,$A59,'Budget-ACPLHK'!Y:Y)+SUMIF('Budget-ACPSZL'!$A:$A,$A59,'Budget-ACPSZL'!Y:Y)+SUMIF('Budget-ACPLSZ'!$A:$A,$A59,'Budget-ACPLSZ'!Y:Y)+SUMIF('Budget-ACPLGZ'!$A:$A,$A59,'Budget-ACPLGZ'!Y:Y)+SUMIF('Budget-Yixing'!$A:$A,$A59,'Budget-Yixing'!Y:Y)</f>
        <v>0</v>
      </c>
      <c r="Z59" s="688">
        <f ca="1">SUMIF('Budget-ACPL'!$A:$A,$A59,'Budget-ACPL'!Z:Z)+SUMIF('Budget-ACPLHK'!$A:$A,$A59,'Budget-ACPLHK'!Z:Z)+SUMIF('Budget-ACPSZL'!$A:$A,$A59,'Budget-ACPSZL'!Z:Z)+SUMIF('Budget-ACPLSZ'!$A:$A,$A59,'Budget-ACPLSZ'!Z:Z)+SUMIF('Budget-ACPLGZ'!$A:$A,$A59,'Budget-ACPLGZ'!Z:Z)+SUMIF('Budget-Yixing'!$A:$A,$A59,'Budget-Yixing'!Z:Z)</f>
        <v>15600</v>
      </c>
      <c r="AA59" s="688">
        <f ca="1">SUMIF('Budget-ACPL'!$A:$A,$A59,'Budget-ACPL'!AA:AA)+SUMIF('Budget-ACPLHK'!$A:$A,$A59,'Budget-ACPLHK'!AA:AA)+SUMIF('Budget-ACPSZL'!$A:$A,$A59,'Budget-ACPSZL'!AA:AA)+SUMIF('Budget-ACPLSZ'!$A:$A,$A59,'Budget-ACPLSZ'!AA:AA)+SUMIF('Budget-ACPLGZ'!$A:$A,$A59,'Budget-ACPLGZ'!AA:AA)+SUMIF('Budget-Yixing'!$A:$A,$A59,'Budget-Yixing'!AA:AA)</f>
        <v>15600</v>
      </c>
      <c r="AB59" s="688">
        <f ca="1">SUMIF('Budget-ACPL'!$A:$A,$A59,'Budget-ACPL'!AB:AB)+SUMIF('Budget-ACPLHK'!$A:$A,$A59,'Budget-ACPLHK'!AB:AB)+SUMIF('Budget-ACPSZL'!$A:$A,$A59,'Budget-ACPSZL'!AB:AB)+SUMIF('Budget-ACPLSZ'!$A:$A,$A59,'Budget-ACPLSZ'!AB:AB)+SUMIF('Budget-ACPLGZ'!$A:$A,$A59,'Budget-ACPLGZ'!AB:AB)+SUMIF('Budget-Yixing'!$A:$A,$A59,'Budget-Yixing'!AB:AB)</f>
        <v>15600</v>
      </c>
      <c r="AC59" s="688">
        <f ca="1">SUMIF('Budget-ACPL'!$A:$A,$A59,'Budget-ACPL'!AC:AC)+SUMIF('Budget-ACPLHK'!$A:$A,$A59,'Budget-ACPLHK'!AC:AC)+SUMIF('Budget-ACPSZL'!$A:$A,$A59,'Budget-ACPSZL'!AC:AC)+SUMIF('Budget-ACPLSZ'!$A:$A,$A59,'Budget-ACPLSZ'!AC:AC)+SUMIF('Budget-ACPLGZ'!$A:$A,$A59,'Budget-ACPLGZ'!AC:AC)+SUMIF('Budget-Yixing'!$A:$A,$A59,'Budget-Yixing'!AC:AC)</f>
        <v>15600</v>
      </c>
      <c r="AD59" s="688">
        <f ca="1">SUMIF('Budget-ACPL'!$A:$A,$A59,'Budget-ACPL'!AD:AD)+SUMIF('Budget-ACPLHK'!$A:$A,$A59,'Budget-ACPLHK'!AD:AD)+SUMIF('Budget-ACPSZL'!$A:$A,$A59,'Budget-ACPSZL'!AD:AD)+SUMIF('Budget-ACPLSZ'!$A:$A,$A59,'Budget-ACPLSZ'!AD:AD)+SUMIF('Budget-ACPLGZ'!$A:$A,$A59,'Budget-ACPLGZ'!AD:AD)+SUMIF('Budget-Yixing'!$A:$A,$A59,'Budget-Yixing'!AD:AD)</f>
        <v>31200</v>
      </c>
      <c r="AE59" s="688">
        <f ca="1">SUMIF('Budget-ACPL'!$A:$A,$A59,'Budget-ACPL'!AE:AE)+SUMIF('Budget-ACPLHK'!$A:$A,$A59,'Budget-ACPLHK'!AE:AE)+SUMIF('Budget-ACPSZL'!$A:$A,$A59,'Budget-ACPSZL'!AE:AE)+SUMIF('Budget-ACPLSZ'!$A:$A,$A59,'Budget-ACPLSZ'!AE:AE)+SUMIF('Budget-ACPLGZ'!$A:$A,$A59,'Budget-ACPLGZ'!AE:AE)+SUMIF('Budget-Yixing'!$A:$A,$A59,'Budget-Yixing'!AE:AE)</f>
        <v>15600</v>
      </c>
      <c r="AF59" s="688">
        <f ca="1">SUMIF('Budget-ACPL'!$A:$A,$A59,'Budget-ACPL'!AF:AF)+SUMIF('Budget-ACPLHK'!$A:$A,$A59,'Budget-ACPLHK'!AF:AF)+SUMIF('Budget-ACPSZL'!$A:$A,$A59,'Budget-ACPSZL'!AF:AF)+SUMIF('Budget-ACPLSZ'!$A:$A,$A59,'Budget-ACPLSZ'!AF:AF)+SUMIF('Budget-ACPLGZ'!$A:$A,$A59,'Budget-ACPLGZ'!AF:AF)+SUMIF('Budget-Yixing'!$A:$A,$A59,'Budget-Yixing'!AF:AF)</f>
        <v>15600</v>
      </c>
      <c r="AG59" s="688">
        <f ca="1">SUMIF('Budget-ACPL'!$A:$A,$A59,'Budget-ACPL'!AG:AG)+SUMIF('Budget-ACPLHK'!$A:$A,$A59,'Budget-ACPLHK'!AG:AG)+SUMIF('Budget-ACPSZL'!$A:$A,$A59,'Budget-ACPSZL'!AG:AG)+SUMIF('Budget-ACPLSZ'!$A:$A,$A59,'Budget-ACPLSZ'!AG:AG)+SUMIF('Budget-ACPLGZ'!$A:$A,$A59,'Budget-ACPLGZ'!AG:AG)+SUMIF('Budget-Yixing'!$A:$A,$A59,'Budget-Yixing'!AG:AG)</f>
        <v>15600</v>
      </c>
      <c r="AH59" s="688">
        <f ca="1">SUMIF('Budget-ACPL'!$A:$A,$A59,'Budget-ACPL'!AH:AH)+SUMIF('Budget-ACPLHK'!$A:$A,$A59,'Budget-ACPLHK'!AH:AH)+SUMIF('Budget-ACPSZL'!$A:$A,$A59,'Budget-ACPSZL'!AH:AH)+SUMIF('Budget-ACPLSZ'!$A:$A,$A59,'Budget-ACPLSZ'!AH:AH)+SUMIF('Budget-ACPLGZ'!$A:$A,$A59,'Budget-ACPLGZ'!AH:AH)+SUMIF('Budget-Yixing'!$A:$A,$A59,'Budget-Yixing'!AH:AH)</f>
        <v>15600</v>
      </c>
      <c r="AI59" s="688">
        <f ca="1">SUMIF('Budget-ACPL'!$A:$A,$A59,'Budget-ACPL'!AI:AI)+SUMIF('Budget-ACPLHK'!$A:$A,$A59,'Budget-ACPLHK'!AI:AI)+SUMIF('Budget-ACPSZL'!$A:$A,$A59,'Budget-ACPSZL'!AI:AI)+SUMIF('Budget-ACPLSZ'!$A:$A,$A59,'Budget-ACPLSZ'!AI:AI)+SUMIF('Budget-ACPLGZ'!$A:$A,$A59,'Budget-ACPLGZ'!AI:AI)+SUMIF('Budget-Yixing'!$A:$A,$A59,'Budget-Yixing'!AI:AI)</f>
        <v>15600</v>
      </c>
      <c r="AJ59" s="688">
        <f ca="1">SUMIF('Budget-ACPL'!$A:$A,$A59,'Budget-ACPL'!AJ:AJ)+SUMIF('Budget-ACPLHK'!$A:$A,$A59,'Budget-ACPLHK'!AJ:AJ)+SUMIF('Budget-ACPSZL'!$A:$A,$A59,'Budget-ACPSZL'!AJ:AJ)+SUMIF('Budget-ACPLSZ'!$A:$A,$A59,'Budget-ACPLSZ'!AJ:AJ)+SUMIF('Budget-ACPLGZ'!$A:$A,$A59,'Budget-ACPLGZ'!AJ:AJ)+SUMIF('Budget-Yixing'!$A:$A,$A59,'Budget-Yixing'!AJ:AJ)</f>
        <v>15600</v>
      </c>
      <c r="AK59" s="688">
        <f t="shared" ca="1" si="33"/>
        <v>187200</v>
      </c>
    </row>
    <row r="60" spans="1:37" ht="13.5" customHeight="1">
      <c r="A60" s="713" t="s">
        <v>1569</v>
      </c>
      <c r="B60" s="687" t="str">
        <f>VLOOKUP(A60,Account!A:B,2,0)</f>
        <v>咨询费</v>
      </c>
      <c r="C60" s="687" t="str">
        <f>VLOOKUP(A60,Account!A:F,4,0)</f>
        <v>Consulting fee</v>
      </c>
      <c r="D60" s="676">
        <f t="shared" ca="1" si="27"/>
        <v>22050</v>
      </c>
      <c r="E60" s="676" t="e">
        <f t="shared" si="28"/>
        <v>#N/A</v>
      </c>
      <c r="F60" s="676" t="e">
        <f t="shared" ca="1" si="24"/>
        <v>#N/A</v>
      </c>
      <c r="G60" s="676">
        <f t="shared" ca="1" si="29"/>
        <v>22050</v>
      </c>
      <c r="H60" s="676" t="e">
        <f t="shared" ca="1" si="30"/>
        <v>#N/A</v>
      </c>
      <c r="I60" s="676" t="e">
        <f t="shared" ca="1" si="31"/>
        <v>#N/A</v>
      </c>
      <c r="K60" s="676">
        <f ca="1">SUMIF('Budget-ACPL'!$A:$A,$A60,'Budget-ACPL'!K:K)+SUMIF('Budget-ACPLHK'!$A:$A,$A60,'Budget-ACPLHK'!K:K)+SUMIF('Budget-ACPSZL'!$A:$A,$A60,'Budget-ACPSZL'!K:K)+SUMIF('Budget-ACPLSZ'!$A:$A,$A60,'Budget-ACPLSZ'!K:K)+SUMIF('Budget-ACPLGZ'!$A:$A,$A60,'Budget-ACPLGZ'!K:K)+SUMIF('Budget-Yixing'!$A:$A,$A60,'Budget-Yixing'!K:K)</f>
        <v>22050</v>
      </c>
      <c r="L60" s="676">
        <f ca="1">SUMIF('Budget-ACPL'!$A:$A,$A60,'Budget-ACPL'!L:L)+SUMIF('Budget-ACPLHK'!$A:$A,$A60,'Budget-ACPLHK'!L:L)+SUMIF('Budget-ACPSZL'!$A:$A,$A60,'Budget-ACPSZL'!L:L)+SUMIF('Budget-ACPLSZ'!$A:$A,$A60,'Budget-ACPLSZ'!L:L)+SUMIF('Budget-ACPLGZ'!$A:$A,$A60,'Budget-ACPLGZ'!L:L)+SUMIF('Budget-Yixing'!$A:$A,$A60,'Budget-Yixing'!L:L)</f>
        <v>22050</v>
      </c>
      <c r="M60" s="676">
        <f ca="1">SUMIF('Budget-ACPL'!$A:$A,$A60,'Budget-ACPL'!M:M)+SUMIF('Budget-ACPLHK'!$A:$A,$A60,'Budget-ACPLHK'!M:M)+SUMIF('Budget-ACPSZL'!$A:$A,$A60,'Budget-ACPSZL'!M:M)+SUMIF('Budget-ACPLSZ'!$A:$A,$A60,'Budget-ACPLSZ'!M:M)+SUMIF('Budget-ACPLGZ'!$A:$A,$A60,'Budget-ACPLGZ'!M:M)+SUMIF('Budget-Yixing'!$A:$A,$A60,'Budget-Yixing'!M:M)</f>
        <v>22050</v>
      </c>
      <c r="N60" s="676">
        <f ca="1">SUMIF('Budget-ACPL'!$A:$A,$A60,'Budget-ACPL'!N:N)+SUMIF('Budget-ACPLHK'!$A:$A,$A60,'Budget-ACPLHK'!N:N)+SUMIF('Budget-ACPSZL'!$A:$A,$A60,'Budget-ACPSZL'!N:N)+SUMIF('Budget-ACPLSZ'!$A:$A,$A60,'Budget-ACPLSZ'!N:N)+SUMIF('Budget-ACPLGZ'!$A:$A,$A60,'Budget-ACPLGZ'!N:N)+SUMIF('Budget-Yixing'!$A:$A,$A60,'Budget-Yixing'!N:N)</f>
        <v>22050</v>
      </c>
      <c r="O60" s="676">
        <f ca="1">SUMIF('Budget-ACPL'!$A:$A,$A60,'Budget-ACPL'!O:O)+SUMIF('Budget-ACPLHK'!$A:$A,$A60,'Budget-ACPLHK'!O:O)+SUMIF('Budget-ACPSZL'!$A:$A,$A60,'Budget-ACPSZL'!O:O)+SUMIF('Budget-ACPLSZ'!$A:$A,$A60,'Budget-ACPLSZ'!O:O)+SUMIF('Budget-ACPLGZ'!$A:$A,$A60,'Budget-ACPLGZ'!O:O)+SUMIF('Budget-Yixing'!$A:$A,$A60,'Budget-Yixing'!O:O)</f>
        <v>22050</v>
      </c>
      <c r="P60" s="676">
        <f ca="1">SUMIF('Budget-ACPL'!$A:$A,$A60,'Budget-ACPL'!P:P)+SUMIF('Budget-ACPLHK'!$A:$A,$A60,'Budget-ACPLHK'!P:P)+SUMIF('Budget-ACPSZL'!$A:$A,$A60,'Budget-ACPSZL'!P:P)+SUMIF('Budget-ACPLSZ'!$A:$A,$A60,'Budget-ACPLSZ'!P:P)+SUMIF('Budget-ACPLGZ'!$A:$A,$A60,'Budget-ACPLGZ'!P:P)+SUMIF('Budget-Yixing'!$A:$A,$A60,'Budget-Yixing'!P:P)</f>
        <v>22050</v>
      </c>
      <c r="Q60" s="676">
        <f ca="1">SUMIF('Budget-ACPL'!$A:$A,$A60,'Budget-ACPL'!Q:Q)+SUMIF('Budget-ACPLHK'!$A:$A,$A60,'Budget-ACPLHK'!Q:Q)+SUMIF('Budget-ACPSZL'!$A:$A,$A60,'Budget-ACPSZL'!Q:Q)+SUMIF('Budget-ACPLSZ'!$A:$A,$A60,'Budget-ACPLSZ'!Q:Q)+SUMIF('Budget-ACPLGZ'!$A:$A,$A60,'Budget-ACPLGZ'!Q:Q)+SUMIF('Budget-Yixing'!$A:$A,$A60,'Budget-Yixing'!Q:Q)</f>
        <v>22050</v>
      </c>
      <c r="R60" s="676">
        <f ca="1">SUMIF('Budget-ACPL'!$A:$A,$A60,'Budget-ACPL'!R:R)+SUMIF('Budget-ACPLHK'!$A:$A,$A60,'Budget-ACPLHK'!R:R)+SUMIF('Budget-ACPSZL'!$A:$A,$A60,'Budget-ACPSZL'!R:R)+SUMIF('Budget-ACPLSZ'!$A:$A,$A60,'Budget-ACPLSZ'!R:R)+SUMIF('Budget-ACPLGZ'!$A:$A,$A60,'Budget-ACPLGZ'!R:R)+SUMIF('Budget-Yixing'!$A:$A,$A60,'Budget-Yixing'!R:R)</f>
        <v>22050</v>
      </c>
      <c r="S60" s="676">
        <f ca="1">SUMIF('Budget-ACPL'!$A:$A,$A60,'Budget-ACPL'!S:S)+SUMIF('Budget-ACPLHK'!$A:$A,$A60,'Budget-ACPLHK'!S:S)+SUMIF('Budget-ACPSZL'!$A:$A,$A60,'Budget-ACPSZL'!S:S)+SUMIF('Budget-ACPLSZ'!$A:$A,$A60,'Budget-ACPLSZ'!S:S)+SUMIF('Budget-ACPLGZ'!$A:$A,$A60,'Budget-ACPLGZ'!S:S)+SUMIF('Budget-Yixing'!$A:$A,$A60,'Budget-Yixing'!S:S)</f>
        <v>22050</v>
      </c>
      <c r="T60" s="676">
        <f ca="1">SUMIF('Budget-ACPL'!$A:$A,$A60,'Budget-ACPL'!T:T)+SUMIF('Budget-ACPLHK'!$A:$A,$A60,'Budget-ACPLHK'!T:T)+SUMIF('Budget-ACPSZL'!$A:$A,$A60,'Budget-ACPSZL'!T:T)+SUMIF('Budget-ACPLSZ'!$A:$A,$A60,'Budget-ACPLSZ'!T:T)+SUMIF('Budget-ACPLGZ'!$A:$A,$A60,'Budget-ACPLGZ'!T:T)+SUMIF('Budget-Yixing'!$A:$A,$A60,'Budget-Yixing'!T:T)</f>
        <v>22050</v>
      </c>
      <c r="U60" s="676">
        <f ca="1">SUMIF('Budget-ACPL'!$A:$A,$A60,'Budget-ACPL'!U:U)+SUMIF('Budget-ACPLHK'!$A:$A,$A60,'Budget-ACPLHK'!U:U)+SUMIF('Budget-ACPSZL'!$A:$A,$A60,'Budget-ACPSZL'!U:U)+SUMIF('Budget-ACPLSZ'!$A:$A,$A60,'Budget-ACPLSZ'!U:U)+SUMIF('Budget-ACPLGZ'!$A:$A,$A60,'Budget-ACPLGZ'!U:U)+SUMIF('Budget-Yixing'!$A:$A,$A60,'Budget-Yixing'!U:U)</f>
        <v>22050</v>
      </c>
      <c r="V60" s="676">
        <f ca="1">SUMIF('Budget-ACPL'!$A:$A,$A60,'Budget-ACPL'!V:V)+SUMIF('Budget-ACPLHK'!$A:$A,$A60,'Budget-ACPLHK'!V:V)+SUMIF('Budget-ACPSZL'!$A:$A,$A60,'Budget-ACPSZL'!V:V)+SUMIF('Budget-ACPLSZ'!$A:$A,$A60,'Budget-ACPLSZ'!V:V)+SUMIF('Budget-ACPLGZ'!$A:$A,$A60,'Budget-ACPLGZ'!V:V)+SUMIF('Budget-Yixing'!$A:$A,$A60,'Budget-Yixing'!V:V)</f>
        <v>567894.09600000002</v>
      </c>
      <c r="W60" s="676">
        <f t="shared" ca="1" si="32"/>
        <v>810444.09600000002</v>
      </c>
      <c r="X60" s="652" t="s">
        <v>2516</v>
      </c>
      <c r="Y60" s="688">
        <f ca="1">SUMIF('Budget-ACPL'!$A:$A,$A60,'Budget-ACPL'!Y:Y)+SUMIF('Budget-ACPLHK'!$A:$A,$A60,'Budget-ACPLHK'!Y:Y)+SUMIF('Budget-ACPSZL'!$A:$A,$A60,'Budget-ACPSZL'!Y:Y)+SUMIF('Budget-ACPLSZ'!$A:$A,$A60,'Budget-ACPLSZ'!Y:Y)+SUMIF('Budget-ACPLGZ'!$A:$A,$A60,'Budget-ACPLGZ'!Y:Y)+SUMIF('Budget-Yixing'!$A:$A,$A60,'Budget-Yixing'!Y:Y)</f>
        <v>0</v>
      </c>
      <c r="Z60" s="688">
        <f ca="1">SUMIF('Budget-ACPL'!$A:$A,$A60,'Budget-ACPL'!Z:Z)+SUMIF('Budget-ACPLHK'!$A:$A,$A60,'Budget-ACPLHK'!Z:Z)+SUMIF('Budget-ACPSZL'!$A:$A,$A60,'Budget-ACPSZL'!Z:Z)+SUMIF('Budget-ACPLSZ'!$A:$A,$A60,'Budget-ACPLSZ'!Z:Z)+SUMIF('Budget-ACPLGZ'!$A:$A,$A60,'Budget-ACPLGZ'!Z:Z)+SUMIF('Budget-Yixing'!$A:$A,$A60,'Budget-Yixing'!Z:Z)</f>
        <v>0</v>
      </c>
      <c r="AA60" s="688">
        <f ca="1">SUMIF('Budget-ACPL'!$A:$A,$A60,'Budget-ACPL'!AA:AA)+SUMIF('Budget-ACPLHK'!$A:$A,$A60,'Budget-ACPLHK'!AA:AA)+SUMIF('Budget-ACPSZL'!$A:$A,$A60,'Budget-ACPSZL'!AA:AA)+SUMIF('Budget-ACPLSZ'!$A:$A,$A60,'Budget-ACPLSZ'!AA:AA)+SUMIF('Budget-ACPLGZ'!$A:$A,$A60,'Budget-ACPLGZ'!AA:AA)+SUMIF('Budget-Yixing'!$A:$A,$A60,'Budget-Yixing'!AA:AA)</f>
        <v>0</v>
      </c>
      <c r="AB60" s="688">
        <f ca="1">SUMIF('Budget-ACPL'!$A:$A,$A60,'Budget-ACPL'!AB:AB)+SUMIF('Budget-ACPLHK'!$A:$A,$A60,'Budget-ACPLHK'!AB:AB)+SUMIF('Budget-ACPSZL'!$A:$A,$A60,'Budget-ACPSZL'!AB:AB)+SUMIF('Budget-ACPLSZ'!$A:$A,$A60,'Budget-ACPLSZ'!AB:AB)+SUMIF('Budget-ACPLGZ'!$A:$A,$A60,'Budget-ACPLGZ'!AB:AB)+SUMIF('Budget-Yixing'!$A:$A,$A60,'Budget-Yixing'!AB:AB)</f>
        <v>0</v>
      </c>
      <c r="AC60" s="688">
        <f ca="1">SUMIF('Budget-ACPL'!$A:$A,$A60,'Budget-ACPL'!AC:AC)+SUMIF('Budget-ACPLHK'!$A:$A,$A60,'Budget-ACPLHK'!AC:AC)+SUMIF('Budget-ACPSZL'!$A:$A,$A60,'Budget-ACPSZL'!AC:AC)+SUMIF('Budget-ACPLSZ'!$A:$A,$A60,'Budget-ACPLSZ'!AC:AC)+SUMIF('Budget-ACPLGZ'!$A:$A,$A60,'Budget-ACPLGZ'!AC:AC)+SUMIF('Budget-Yixing'!$A:$A,$A60,'Budget-Yixing'!AC:AC)</f>
        <v>0</v>
      </c>
      <c r="AD60" s="688">
        <f ca="1">SUMIF('Budget-ACPL'!$A:$A,$A60,'Budget-ACPL'!AD:AD)+SUMIF('Budget-ACPLHK'!$A:$A,$A60,'Budget-ACPLHK'!AD:AD)+SUMIF('Budget-ACPSZL'!$A:$A,$A60,'Budget-ACPSZL'!AD:AD)+SUMIF('Budget-ACPLSZ'!$A:$A,$A60,'Budget-ACPLSZ'!AD:AD)+SUMIF('Budget-ACPLGZ'!$A:$A,$A60,'Budget-ACPLGZ'!AD:AD)+SUMIF('Budget-Yixing'!$A:$A,$A60,'Budget-Yixing'!AD:AD)</f>
        <v>0</v>
      </c>
      <c r="AE60" s="688">
        <f ca="1">SUMIF('Budget-ACPL'!$A:$A,$A60,'Budget-ACPL'!AE:AE)+SUMIF('Budget-ACPLHK'!$A:$A,$A60,'Budget-ACPLHK'!AE:AE)+SUMIF('Budget-ACPSZL'!$A:$A,$A60,'Budget-ACPSZL'!AE:AE)+SUMIF('Budget-ACPLSZ'!$A:$A,$A60,'Budget-ACPLSZ'!AE:AE)+SUMIF('Budget-ACPLGZ'!$A:$A,$A60,'Budget-ACPLGZ'!AE:AE)+SUMIF('Budget-Yixing'!$A:$A,$A60,'Budget-Yixing'!AE:AE)</f>
        <v>0</v>
      </c>
      <c r="AF60" s="688">
        <f ca="1">SUMIF('Budget-ACPL'!$A:$A,$A60,'Budget-ACPL'!AF:AF)+SUMIF('Budget-ACPLHK'!$A:$A,$A60,'Budget-ACPLHK'!AF:AF)+SUMIF('Budget-ACPSZL'!$A:$A,$A60,'Budget-ACPSZL'!AF:AF)+SUMIF('Budget-ACPLSZ'!$A:$A,$A60,'Budget-ACPLSZ'!AF:AF)+SUMIF('Budget-ACPLGZ'!$A:$A,$A60,'Budget-ACPLGZ'!AF:AF)+SUMIF('Budget-Yixing'!$A:$A,$A60,'Budget-Yixing'!AF:AF)</f>
        <v>0</v>
      </c>
      <c r="AG60" s="688">
        <f ca="1">SUMIF('Budget-ACPL'!$A:$A,$A60,'Budget-ACPL'!AG:AG)+SUMIF('Budget-ACPLHK'!$A:$A,$A60,'Budget-ACPLHK'!AG:AG)+SUMIF('Budget-ACPSZL'!$A:$A,$A60,'Budget-ACPSZL'!AG:AG)+SUMIF('Budget-ACPLSZ'!$A:$A,$A60,'Budget-ACPLSZ'!AG:AG)+SUMIF('Budget-ACPLGZ'!$A:$A,$A60,'Budget-ACPLGZ'!AG:AG)+SUMIF('Budget-Yixing'!$A:$A,$A60,'Budget-Yixing'!AG:AG)</f>
        <v>0</v>
      </c>
      <c r="AH60" s="688">
        <f ca="1">SUMIF('Budget-ACPL'!$A:$A,$A60,'Budget-ACPL'!AH:AH)+SUMIF('Budget-ACPLHK'!$A:$A,$A60,'Budget-ACPLHK'!AH:AH)+SUMIF('Budget-ACPSZL'!$A:$A,$A60,'Budget-ACPSZL'!AH:AH)+SUMIF('Budget-ACPLSZ'!$A:$A,$A60,'Budget-ACPLSZ'!AH:AH)+SUMIF('Budget-ACPLGZ'!$A:$A,$A60,'Budget-ACPLGZ'!AH:AH)+SUMIF('Budget-Yixing'!$A:$A,$A60,'Budget-Yixing'!AH:AH)</f>
        <v>0</v>
      </c>
      <c r="AI60" s="688">
        <f ca="1">SUMIF('Budget-ACPL'!$A:$A,$A60,'Budget-ACPL'!AI:AI)+SUMIF('Budget-ACPLHK'!$A:$A,$A60,'Budget-ACPLHK'!AI:AI)+SUMIF('Budget-ACPSZL'!$A:$A,$A60,'Budget-ACPSZL'!AI:AI)+SUMIF('Budget-ACPLSZ'!$A:$A,$A60,'Budget-ACPLSZ'!AI:AI)+SUMIF('Budget-ACPLGZ'!$A:$A,$A60,'Budget-ACPLGZ'!AI:AI)+SUMIF('Budget-Yixing'!$A:$A,$A60,'Budget-Yixing'!AI:AI)</f>
        <v>0</v>
      </c>
      <c r="AJ60" s="688">
        <f ca="1">SUMIF('Budget-ACPL'!$A:$A,$A60,'Budget-ACPL'!AJ:AJ)+SUMIF('Budget-ACPLHK'!$A:$A,$A60,'Budget-ACPLHK'!AJ:AJ)+SUMIF('Budget-ACPSZL'!$A:$A,$A60,'Budget-ACPSZL'!AJ:AJ)+SUMIF('Budget-ACPLSZ'!$A:$A,$A60,'Budget-ACPLSZ'!AJ:AJ)+SUMIF('Budget-ACPLGZ'!$A:$A,$A60,'Budget-ACPLGZ'!AJ:AJ)+SUMIF('Budget-Yixing'!$A:$A,$A60,'Budget-Yixing'!AJ:AJ)</f>
        <v>0</v>
      </c>
      <c r="AK60" s="688">
        <f t="shared" ca="1" si="33"/>
        <v>0</v>
      </c>
    </row>
    <row r="61" spans="1:37" ht="13.5" hidden="1" customHeight="1">
      <c r="A61" s="713" t="s">
        <v>1573</v>
      </c>
      <c r="B61" s="687" t="str">
        <f>VLOOKUP(A61,Account!A:B,2,0)</f>
        <v>其他</v>
      </c>
      <c r="C61" s="687">
        <f>VLOOKUP(A61,Account!A:F,4,0)</f>
        <v>0</v>
      </c>
      <c r="D61" s="676">
        <f t="shared" ca="1" si="27"/>
        <v>0</v>
      </c>
      <c r="E61" s="676" t="e">
        <f t="shared" si="28"/>
        <v>#N/A</v>
      </c>
      <c r="F61" s="676" t="e">
        <f t="shared" ca="1" si="24"/>
        <v>#N/A</v>
      </c>
      <c r="G61" s="676">
        <f t="shared" ca="1" si="29"/>
        <v>0</v>
      </c>
      <c r="H61" s="676" t="e">
        <f t="shared" ca="1" si="30"/>
        <v>#N/A</v>
      </c>
      <c r="I61" s="676" t="e">
        <f t="shared" ca="1" si="31"/>
        <v>#N/A</v>
      </c>
      <c r="K61" s="676">
        <f ca="1">SUMIF('Budget-ACPL'!$A:$A,$A61,'Budget-ACPL'!K:K)+SUMIF('Budget-ACPLHK'!$A:$A,$A61,'Budget-ACPLHK'!K:K)+SUMIF('Budget-ACPSZL'!$A:$A,$A61,'Budget-ACPSZL'!K:K)+SUMIF('Budget-ACPLSZ'!$A:$A,$A61,'Budget-ACPLSZ'!K:K)+SUMIF('Budget-ACPLGZ'!$A:$A,$A61,'Budget-ACPLGZ'!K:K)+SUMIF('Budget-Yixing'!$A:$A,$A61,'Budget-Yixing'!K:K)</f>
        <v>0</v>
      </c>
      <c r="L61" s="676">
        <f ca="1">SUMIF('Budget-ACPL'!$A:$A,$A61,'Budget-ACPL'!L:L)+SUMIF('Budget-ACPLHK'!$A:$A,$A61,'Budget-ACPLHK'!L:L)+SUMIF('Budget-ACPSZL'!$A:$A,$A61,'Budget-ACPSZL'!L:L)+SUMIF('Budget-ACPLSZ'!$A:$A,$A61,'Budget-ACPLSZ'!L:L)+SUMIF('Budget-ACPLGZ'!$A:$A,$A61,'Budget-ACPLGZ'!L:L)+SUMIF('Budget-Yixing'!$A:$A,$A61,'Budget-Yixing'!L:L)</f>
        <v>0</v>
      </c>
      <c r="M61" s="676">
        <f ca="1">SUMIF('Budget-ACPL'!$A:$A,$A61,'Budget-ACPL'!M:M)+SUMIF('Budget-ACPLHK'!$A:$A,$A61,'Budget-ACPLHK'!M:M)+SUMIF('Budget-ACPSZL'!$A:$A,$A61,'Budget-ACPSZL'!M:M)+SUMIF('Budget-ACPLSZ'!$A:$A,$A61,'Budget-ACPLSZ'!M:M)+SUMIF('Budget-ACPLGZ'!$A:$A,$A61,'Budget-ACPLGZ'!M:M)+SUMIF('Budget-Yixing'!$A:$A,$A61,'Budget-Yixing'!M:M)</f>
        <v>0</v>
      </c>
      <c r="N61" s="676">
        <f ca="1">SUMIF('Budget-ACPL'!$A:$A,$A61,'Budget-ACPL'!N:N)+SUMIF('Budget-ACPLHK'!$A:$A,$A61,'Budget-ACPLHK'!N:N)+SUMIF('Budget-ACPSZL'!$A:$A,$A61,'Budget-ACPSZL'!N:N)+SUMIF('Budget-ACPLSZ'!$A:$A,$A61,'Budget-ACPLSZ'!N:N)+SUMIF('Budget-ACPLGZ'!$A:$A,$A61,'Budget-ACPLGZ'!N:N)+SUMIF('Budget-Yixing'!$A:$A,$A61,'Budget-Yixing'!N:N)</f>
        <v>0</v>
      </c>
      <c r="O61" s="676">
        <f ca="1">SUMIF('Budget-ACPL'!$A:$A,$A61,'Budget-ACPL'!O:O)+SUMIF('Budget-ACPLHK'!$A:$A,$A61,'Budget-ACPLHK'!O:O)+SUMIF('Budget-ACPSZL'!$A:$A,$A61,'Budget-ACPSZL'!O:O)+SUMIF('Budget-ACPLSZ'!$A:$A,$A61,'Budget-ACPLSZ'!O:O)+SUMIF('Budget-ACPLGZ'!$A:$A,$A61,'Budget-ACPLGZ'!O:O)+SUMIF('Budget-Yixing'!$A:$A,$A61,'Budget-Yixing'!O:O)</f>
        <v>0</v>
      </c>
      <c r="P61" s="676">
        <f ca="1">SUMIF('Budget-ACPL'!$A:$A,$A61,'Budget-ACPL'!P:P)+SUMIF('Budget-ACPLHK'!$A:$A,$A61,'Budget-ACPLHK'!P:P)+SUMIF('Budget-ACPSZL'!$A:$A,$A61,'Budget-ACPSZL'!P:P)+SUMIF('Budget-ACPLSZ'!$A:$A,$A61,'Budget-ACPLSZ'!P:P)+SUMIF('Budget-ACPLGZ'!$A:$A,$A61,'Budget-ACPLGZ'!P:P)+SUMIF('Budget-Yixing'!$A:$A,$A61,'Budget-Yixing'!P:P)</f>
        <v>0</v>
      </c>
      <c r="Q61" s="676">
        <f ca="1">SUMIF('Budget-ACPL'!$A:$A,$A61,'Budget-ACPL'!Q:Q)+SUMIF('Budget-ACPLHK'!$A:$A,$A61,'Budget-ACPLHK'!Q:Q)+SUMIF('Budget-ACPSZL'!$A:$A,$A61,'Budget-ACPSZL'!Q:Q)+SUMIF('Budget-ACPLSZ'!$A:$A,$A61,'Budget-ACPLSZ'!Q:Q)+SUMIF('Budget-ACPLGZ'!$A:$A,$A61,'Budget-ACPLGZ'!Q:Q)+SUMIF('Budget-Yixing'!$A:$A,$A61,'Budget-Yixing'!Q:Q)</f>
        <v>0</v>
      </c>
      <c r="R61" s="676">
        <f ca="1">SUMIF('Budget-ACPL'!$A:$A,$A61,'Budget-ACPL'!R:R)+SUMIF('Budget-ACPLHK'!$A:$A,$A61,'Budget-ACPLHK'!R:R)+SUMIF('Budget-ACPSZL'!$A:$A,$A61,'Budget-ACPSZL'!R:R)+SUMIF('Budget-ACPLSZ'!$A:$A,$A61,'Budget-ACPLSZ'!R:R)+SUMIF('Budget-ACPLGZ'!$A:$A,$A61,'Budget-ACPLGZ'!R:R)+SUMIF('Budget-Yixing'!$A:$A,$A61,'Budget-Yixing'!R:R)</f>
        <v>0</v>
      </c>
      <c r="S61" s="676">
        <f ca="1">SUMIF('Budget-ACPL'!$A:$A,$A61,'Budget-ACPL'!S:S)+SUMIF('Budget-ACPLHK'!$A:$A,$A61,'Budget-ACPLHK'!S:S)+SUMIF('Budget-ACPSZL'!$A:$A,$A61,'Budget-ACPSZL'!S:S)+SUMIF('Budget-ACPLSZ'!$A:$A,$A61,'Budget-ACPLSZ'!S:S)+SUMIF('Budget-ACPLGZ'!$A:$A,$A61,'Budget-ACPLGZ'!S:S)+SUMIF('Budget-Yixing'!$A:$A,$A61,'Budget-Yixing'!S:S)</f>
        <v>0</v>
      </c>
      <c r="T61" s="676">
        <f ca="1">SUMIF('Budget-ACPL'!$A:$A,$A61,'Budget-ACPL'!T:T)+SUMIF('Budget-ACPLHK'!$A:$A,$A61,'Budget-ACPLHK'!T:T)+SUMIF('Budget-ACPSZL'!$A:$A,$A61,'Budget-ACPSZL'!T:T)+SUMIF('Budget-ACPLSZ'!$A:$A,$A61,'Budget-ACPLSZ'!T:T)+SUMIF('Budget-ACPLGZ'!$A:$A,$A61,'Budget-ACPLGZ'!T:T)+SUMIF('Budget-Yixing'!$A:$A,$A61,'Budget-Yixing'!T:T)</f>
        <v>0</v>
      </c>
      <c r="U61" s="676">
        <f ca="1">SUMIF('Budget-ACPL'!$A:$A,$A61,'Budget-ACPL'!U:U)+SUMIF('Budget-ACPLHK'!$A:$A,$A61,'Budget-ACPLHK'!U:U)+SUMIF('Budget-ACPSZL'!$A:$A,$A61,'Budget-ACPSZL'!U:U)+SUMIF('Budget-ACPLSZ'!$A:$A,$A61,'Budget-ACPLSZ'!U:U)+SUMIF('Budget-ACPLGZ'!$A:$A,$A61,'Budget-ACPLGZ'!U:U)+SUMIF('Budget-Yixing'!$A:$A,$A61,'Budget-Yixing'!U:U)</f>
        <v>0</v>
      </c>
      <c r="V61" s="676">
        <f ca="1">SUMIF('Budget-ACPL'!$A:$A,$A61,'Budget-ACPL'!V:V)+SUMIF('Budget-ACPLHK'!$A:$A,$A61,'Budget-ACPLHK'!V:V)+SUMIF('Budget-ACPSZL'!$A:$A,$A61,'Budget-ACPSZL'!V:V)+SUMIF('Budget-ACPLSZ'!$A:$A,$A61,'Budget-ACPLSZ'!V:V)+SUMIF('Budget-ACPLGZ'!$A:$A,$A61,'Budget-ACPLGZ'!V:V)+SUMIF('Budget-Yixing'!$A:$A,$A61,'Budget-Yixing'!V:V)</f>
        <v>0</v>
      </c>
      <c r="W61" s="676">
        <f t="shared" ref="W61:W72" ca="1" si="34">SUM(K61:V61)</f>
        <v>0</v>
      </c>
      <c r="Y61" s="688">
        <f ca="1">SUMIF('Budget-ACPL'!$A:$A,$A61,'Budget-ACPL'!Y:Y)+SUMIF('Budget-ACPLHK'!$A:$A,$A61,'Budget-ACPLHK'!Y:Y)+SUMIF('Budget-ACPSZL'!$A:$A,$A61,'Budget-ACPSZL'!Y:Y)+SUMIF('Budget-ACPLSZ'!$A:$A,$A61,'Budget-ACPLSZ'!Y:Y)+SUMIF('Budget-ACPLGZ'!$A:$A,$A61,'Budget-ACPLGZ'!Y:Y)+SUMIF('Budget-Yixing'!$A:$A,$A61,'Budget-Yixing'!Y:Y)</f>
        <v>0</v>
      </c>
      <c r="Z61" s="688">
        <f ca="1">SUMIF('Budget-ACPL'!$A:$A,$A61,'Budget-ACPL'!Z:Z)+SUMIF('Budget-ACPLHK'!$A:$A,$A61,'Budget-ACPLHK'!Z:Z)+SUMIF('Budget-ACPSZL'!$A:$A,$A61,'Budget-ACPSZL'!Z:Z)+SUMIF('Budget-ACPLSZ'!$A:$A,$A61,'Budget-ACPLSZ'!Z:Z)+SUMIF('Budget-ACPLGZ'!$A:$A,$A61,'Budget-ACPLGZ'!Z:Z)+SUMIF('Budget-Yixing'!$A:$A,$A61,'Budget-Yixing'!Z:Z)</f>
        <v>35942.46</v>
      </c>
      <c r="AA61" s="688">
        <f ca="1">SUMIF('Budget-ACPL'!$A:$A,$A61,'Budget-ACPL'!AA:AA)+SUMIF('Budget-ACPLHK'!$A:$A,$A61,'Budget-ACPLHK'!AA:AA)+SUMIF('Budget-ACPSZL'!$A:$A,$A61,'Budget-ACPSZL'!AA:AA)+SUMIF('Budget-ACPLSZ'!$A:$A,$A61,'Budget-ACPLSZ'!AA:AA)+SUMIF('Budget-ACPLGZ'!$A:$A,$A61,'Budget-ACPLGZ'!AA:AA)+SUMIF('Budget-Yixing'!$A:$A,$A61,'Budget-Yixing'!AA:AA)</f>
        <v>16981.14</v>
      </c>
      <c r="AB61" s="688">
        <f ca="1">SUMIF('Budget-ACPL'!$A:$A,$A61,'Budget-ACPL'!AB:AB)+SUMIF('Budget-ACPLHK'!$A:$A,$A61,'Budget-ACPLHK'!AB:AB)+SUMIF('Budget-ACPSZL'!$A:$A,$A61,'Budget-ACPSZL'!AB:AB)+SUMIF('Budget-ACPLSZ'!$A:$A,$A61,'Budget-ACPLSZ'!AB:AB)+SUMIF('Budget-ACPLGZ'!$A:$A,$A61,'Budget-ACPLGZ'!AB:AB)+SUMIF('Budget-Yixing'!$A:$A,$A61,'Budget-Yixing'!AB:AB)</f>
        <v>16981.14</v>
      </c>
      <c r="AC61" s="688">
        <f ca="1">SUMIF('Budget-ACPL'!$A:$A,$A61,'Budget-ACPL'!AC:AC)+SUMIF('Budget-ACPLHK'!$A:$A,$A61,'Budget-ACPLHK'!AC:AC)+SUMIF('Budget-ACPSZL'!$A:$A,$A61,'Budget-ACPSZL'!AC:AC)+SUMIF('Budget-ACPLSZ'!$A:$A,$A61,'Budget-ACPLSZ'!AC:AC)+SUMIF('Budget-ACPLGZ'!$A:$A,$A61,'Budget-ACPLGZ'!AC:AC)+SUMIF('Budget-Yixing'!$A:$A,$A61,'Budget-Yixing'!AC:AC)</f>
        <v>18867.919999999998</v>
      </c>
      <c r="AD61" s="688">
        <f ca="1">SUMIF('Budget-ACPL'!$A:$A,$A61,'Budget-ACPL'!AD:AD)+SUMIF('Budget-ACPLHK'!$A:$A,$A61,'Budget-ACPLHK'!AD:AD)+SUMIF('Budget-ACPSZL'!$A:$A,$A61,'Budget-ACPSZL'!AD:AD)+SUMIF('Budget-ACPLSZ'!$A:$A,$A61,'Budget-ACPLSZ'!AD:AD)+SUMIF('Budget-ACPLGZ'!$A:$A,$A61,'Budget-ACPLGZ'!AD:AD)+SUMIF('Budget-Yixing'!$A:$A,$A61,'Budget-Yixing'!AD:AD)</f>
        <v>19811.32</v>
      </c>
      <c r="AE61" s="688">
        <f ca="1">SUMIF('Budget-ACPL'!$A:$A,$A61,'Budget-ACPL'!AE:AE)+SUMIF('Budget-ACPLHK'!$A:$A,$A61,'Budget-ACPLHK'!AE:AE)+SUMIF('Budget-ACPSZL'!$A:$A,$A61,'Budget-ACPSZL'!AE:AE)+SUMIF('Budget-ACPLSZ'!$A:$A,$A61,'Budget-ACPLSZ'!AE:AE)+SUMIF('Budget-ACPLGZ'!$A:$A,$A61,'Budget-ACPLGZ'!AE:AE)+SUMIF('Budget-Yixing'!$A:$A,$A61,'Budget-Yixing'!AE:AE)</f>
        <v>19811.32</v>
      </c>
      <c r="AF61" s="688">
        <f ca="1">SUMIF('Budget-ACPL'!$A:$A,$A61,'Budget-ACPL'!AF:AF)+SUMIF('Budget-ACPLHK'!$A:$A,$A61,'Budget-ACPLHK'!AF:AF)+SUMIF('Budget-ACPSZL'!$A:$A,$A61,'Budget-ACPSZL'!AF:AF)+SUMIF('Budget-ACPLSZ'!$A:$A,$A61,'Budget-ACPLSZ'!AF:AF)+SUMIF('Budget-ACPLGZ'!$A:$A,$A61,'Budget-ACPLGZ'!AF:AF)+SUMIF('Budget-Yixing'!$A:$A,$A61,'Budget-Yixing'!AF:AF)</f>
        <v>23771.72</v>
      </c>
      <c r="AG61" s="688">
        <f ca="1">SUMIF('Budget-ACPL'!$A:$A,$A61,'Budget-ACPL'!AG:AG)+SUMIF('Budget-ACPLHK'!$A:$A,$A61,'Budget-ACPLHK'!AG:AG)+SUMIF('Budget-ACPSZL'!$A:$A,$A61,'Budget-ACPSZL'!AG:AG)+SUMIF('Budget-ACPLSZ'!$A:$A,$A61,'Budget-ACPLSZ'!AG:AG)+SUMIF('Budget-ACPLGZ'!$A:$A,$A61,'Budget-ACPLGZ'!AG:AG)+SUMIF('Budget-Yixing'!$A:$A,$A61,'Budget-Yixing'!AG:AG)</f>
        <v>19811.32</v>
      </c>
      <c r="AH61" s="688">
        <f ca="1">SUMIF('Budget-ACPL'!$A:$A,$A61,'Budget-ACPL'!AH:AH)+SUMIF('Budget-ACPLHK'!$A:$A,$A61,'Budget-ACPLHK'!AH:AH)+SUMIF('Budget-ACPSZL'!$A:$A,$A61,'Budget-ACPSZL'!AH:AH)+SUMIF('Budget-ACPLSZ'!$A:$A,$A61,'Budget-ACPLSZ'!AH:AH)+SUMIF('Budget-ACPLGZ'!$A:$A,$A61,'Budget-ACPLGZ'!AH:AH)+SUMIF('Budget-Yixing'!$A:$A,$A61,'Budget-Yixing'!AH:AH)</f>
        <v>19850.93</v>
      </c>
      <c r="AI61" s="688">
        <f ca="1">SUMIF('Budget-ACPL'!$A:$A,$A61,'Budget-ACPL'!AI:AI)+SUMIF('Budget-ACPLHK'!$A:$A,$A61,'Budget-ACPLHK'!AI:AI)+SUMIF('Budget-ACPSZL'!$A:$A,$A61,'Budget-ACPSZL'!AI:AI)+SUMIF('Budget-ACPLSZ'!$A:$A,$A61,'Budget-ACPLSZ'!AI:AI)+SUMIF('Budget-ACPLGZ'!$A:$A,$A61,'Budget-ACPLGZ'!AI:AI)+SUMIF('Budget-Yixing'!$A:$A,$A61,'Budget-Yixing'!AI:AI)</f>
        <v>19811.310000000001</v>
      </c>
      <c r="AJ61" s="688">
        <f ca="1">SUMIF('Budget-ACPL'!$A:$A,$A61,'Budget-ACPL'!AJ:AJ)+SUMIF('Budget-ACPLHK'!$A:$A,$A61,'Budget-ACPLHK'!AJ:AJ)+SUMIF('Budget-ACPSZL'!$A:$A,$A61,'Budget-ACPSZL'!AJ:AJ)+SUMIF('Budget-ACPLSZ'!$A:$A,$A61,'Budget-ACPLSZ'!AJ:AJ)+SUMIF('Budget-ACPLGZ'!$A:$A,$A61,'Budget-ACPLGZ'!AJ:AJ)+SUMIF('Budget-Yixing'!$A:$A,$A61,'Budget-Yixing'!AJ:AJ)</f>
        <v>19811.32</v>
      </c>
      <c r="AK61" s="688">
        <f t="shared" ca="1" si="33"/>
        <v>231451.9</v>
      </c>
    </row>
    <row r="62" spans="1:37" ht="13.5" customHeight="1">
      <c r="A62" s="716" t="s">
        <v>1575</v>
      </c>
      <c r="B62" s="717" t="str">
        <f>VLOOKUP(A62,Account!A:B,2,0)</f>
        <v>占用费</v>
      </c>
      <c r="C62" s="687">
        <f>VLOOKUP(A62,Account!A:F,4,0)</f>
        <v>0</v>
      </c>
      <c r="D62" s="676">
        <f t="shared" ca="1" si="27"/>
        <v>38317.0974795</v>
      </c>
      <c r="E62" s="676" t="e">
        <f t="shared" si="28"/>
        <v>#N/A</v>
      </c>
      <c r="F62" s="676" t="e">
        <f t="shared" ca="1" si="24"/>
        <v>#N/A</v>
      </c>
      <c r="G62" s="676">
        <f t="shared" ca="1" si="29"/>
        <v>38317.0974795</v>
      </c>
      <c r="H62" s="676" t="e">
        <f t="shared" ca="1" si="30"/>
        <v>#N/A</v>
      </c>
      <c r="I62" s="676" t="e">
        <f t="shared" ca="1" si="31"/>
        <v>#N/A</v>
      </c>
      <c r="K62" s="676">
        <f ca="1">SUMIF('Budget-ACPL'!$A:$A,$A62,'Budget-ACPL'!K:K)+SUMIF('Budget-ACPLHK'!$A:$A,$A62,'Budget-ACPLHK'!K:K)+SUMIF('Budget-ACPSZL'!$A:$A,$A62,'Budget-ACPSZL'!K:K)+SUMIF('Budget-ACPLSZ'!$A:$A,$A62,'Budget-ACPLSZ'!K:K)+SUMIF('Budget-ACPLGZ'!$A:$A,$A62,'Budget-ACPLGZ'!K:K)+SUMIF('Budget-Yixing'!$A:$A,$A62,'Budget-Yixing'!K:K)</f>
        <v>38317.0974795</v>
      </c>
      <c r="L62" s="676">
        <f ca="1">SUMIF('Budget-ACPL'!$A:$A,$A62,'Budget-ACPL'!L:L)+SUMIF('Budget-ACPLHK'!$A:$A,$A62,'Budget-ACPLHK'!L:L)+SUMIF('Budget-ACPSZL'!$A:$A,$A62,'Budget-ACPSZL'!L:L)+SUMIF('Budget-ACPLSZ'!$A:$A,$A62,'Budget-ACPLSZ'!L:L)+SUMIF('Budget-ACPLGZ'!$A:$A,$A62,'Budget-ACPLGZ'!L:L)+SUMIF('Budget-Yixing'!$A:$A,$A62,'Budget-Yixing'!L:L)</f>
        <v>20027.748509999998</v>
      </c>
      <c r="M62" s="676">
        <f ca="1">SUMIF('Budget-ACPL'!$A:$A,$A62,'Budget-ACPL'!M:M)+SUMIF('Budget-ACPLHK'!$A:$A,$A62,'Budget-ACPLHK'!M:M)+SUMIF('Budget-ACPSZL'!$A:$A,$A62,'Budget-ACPSZL'!M:M)+SUMIF('Budget-ACPLSZ'!$A:$A,$A62,'Budget-ACPLSZ'!M:M)+SUMIF('Budget-ACPLGZ'!$A:$A,$A62,'Budget-ACPLGZ'!M:M)+SUMIF('Budget-Yixing'!$A:$A,$A62,'Budget-Yixing'!M:M)</f>
        <v>20027.748509999998</v>
      </c>
      <c r="N62" s="676">
        <f ca="1">SUMIF('Budget-ACPL'!$A:$A,$A62,'Budget-ACPL'!N:N)+SUMIF('Budget-ACPLHK'!$A:$A,$A62,'Budget-ACPLHK'!N:N)+SUMIF('Budget-ACPSZL'!$A:$A,$A62,'Budget-ACPSZL'!N:N)+SUMIF('Budget-ACPLSZ'!$A:$A,$A62,'Budget-ACPLSZ'!N:N)+SUMIF('Budget-ACPLGZ'!$A:$A,$A62,'Budget-ACPLGZ'!N:N)+SUMIF('Budget-Yixing'!$A:$A,$A62,'Budget-Yixing'!N:N)</f>
        <v>38140.248510000005</v>
      </c>
      <c r="O62" s="676">
        <f ca="1">SUMIF('Budget-ACPL'!$A:$A,$A62,'Budget-ACPL'!O:O)+SUMIF('Budget-ACPLHK'!$A:$A,$A62,'Budget-ACPLHK'!O:O)+SUMIF('Budget-ACPSZL'!$A:$A,$A62,'Budget-ACPSZL'!O:O)+SUMIF('Budget-ACPLSZ'!$A:$A,$A62,'Budget-ACPLSZ'!O:O)+SUMIF('Budget-ACPLGZ'!$A:$A,$A62,'Budget-ACPLGZ'!O:O)+SUMIF('Budget-Yixing'!$A:$A,$A62,'Budget-Yixing'!O:O)</f>
        <v>20027.748509999998</v>
      </c>
      <c r="P62" s="676">
        <f ca="1">SUMIF('Budget-ACPL'!$A:$A,$A62,'Budget-ACPL'!P:P)+SUMIF('Budget-ACPLHK'!$A:$A,$A62,'Budget-ACPLHK'!P:P)+SUMIF('Budget-ACPSZL'!$A:$A,$A62,'Budget-ACPSZL'!P:P)+SUMIF('Budget-ACPLSZ'!$A:$A,$A62,'Budget-ACPLSZ'!P:P)+SUMIF('Budget-ACPLGZ'!$A:$A,$A62,'Budget-ACPLGZ'!P:P)+SUMIF('Budget-Yixing'!$A:$A,$A62,'Budget-Yixing'!P:P)</f>
        <v>20027.748509999998</v>
      </c>
      <c r="Q62" s="676">
        <f ca="1">SUMIF('Budget-ACPL'!$A:$A,$A62,'Budget-ACPL'!Q:Q)+SUMIF('Budget-ACPLHK'!$A:$A,$A62,'Budget-ACPLHK'!Q:Q)+SUMIF('Budget-ACPSZL'!$A:$A,$A62,'Budget-ACPSZL'!Q:Q)+SUMIF('Budget-ACPLSZ'!$A:$A,$A62,'Budget-ACPLSZ'!Q:Q)+SUMIF('Budget-ACPLGZ'!$A:$A,$A62,'Budget-ACPLGZ'!Q:Q)+SUMIF('Budget-Yixing'!$A:$A,$A62,'Budget-Yixing'!Q:Q)</f>
        <v>38140.248510000005</v>
      </c>
      <c r="R62" s="676">
        <f ca="1">SUMIF('Budget-ACPL'!$A:$A,$A62,'Budget-ACPL'!R:R)+SUMIF('Budget-ACPLHK'!$A:$A,$A62,'Budget-ACPLHK'!R:R)+SUMIF('Budget-ACPSZL'!$A:$A,$A62,'Budget-ACPSZL'!R:R)+SUMIF('Budget-ACPLSZ'!$A:$A,$A62,'Budget-ACPLSZ'!R:R)+SUMIF('Budget-ACPLGZ'!$A:$A,$A62,'Budget-ACPLGZ'!R:R)+SUMIF('Budget-Yixing'!$A:$A,$A62,'Budget-Yixing'!R:R)</f>
        <v>20027.748509999998</v>
      </c>
      <c r="S62" s="676">
        <f ca="1">SUMIF('Budget-ACPL'!$A:$A,$A62,'Budget-ACPL'!S:S)+SUMIF('Budget-ACPLHK'!$A:$A,$A62,'Budget-ACPLHK'!S:S)+SUMIF('Budget-ACPSZL'!$A:$A,$A62,'Budget-ACPSZL'!S:S)+SUMIF('Budget-ACPLSZ'!$A:$A,$A62,'Budget-ACPLSZ'!S:S)+SUMIF('Budget-ACPLGZ'!$A:$A,$A62,'Budget-ACPLGZ'!S:S)+SUMIF('Budget-Yixing'!$A:$A,$A62,'Budget-Yixing'!S:S)</f>
        <v>20027.748509999998</v>
      </c>
      <c r="T62" s="676">
        <f ca="1">SUMIF('Budget-ACPL'!$A:$A,$A62,'Budget-ACPL'!T:T)+SUMIF('Budget-ACPLHK'!$A:$A,$A62,'Budget-ACPLHK'!T:T)+SUMIF('Budget-ACPSZL'!$A:$A,$A62,'Budget-ACPSZL'!T:T)+SUMIF('Budget-ACPLSZ'!$A:$A,$A62,'Budget-ACPLSZ'!T:T)+SUMIF('Budget-ACPLGZ'!$A:$A,$A62,'Budget-ACPLGZ'!T:T)+SUMIF('Budget-Yixing'!$A:$A,$A62,'Budget-Yixing'!T:T)</f>
        <v>38140.248510000005</v>
      </c>
      <c r="U62" s="676">
        <f ca="1">SUMIF('Budget-ACPL'!$A:$A,$A62,'Budget-ACPL'!U:U)+SUMIF('Budget-ACPLHK'!$A:$A,$A62,'Budget-ACPLHK'!U:U)+SUMIF('Budget-ACPSZL'!$A:$A,$A62,'Budget-ACPSZL'!U:U)+SUMIF('Budget-ACPLSZ'!$A:$A,$A62,'Budget-ACPLSZ'!U:U)+SUMIF('Budget-ACPLGZ'!$A:$A,$A62,'Budget-ACPLGZ'!U:U)+SUMIF('Budget-Yixing'!$A:$A,$A62,'Budget-Yixing'!U:U)</f>
        <v>20027.748509999998</v>
      </c>
      <c r="V62" s="676">
        <f ca="1">SUMIF('Budget-ACPL'!$A:$A,$A62,'Budget-ACPL'!V:V)+SUMIF('Budget-ACPLHK'!$A:$A,$A62,'Budget-ACPLHK'!V:V)+SUMIF('Budget-ACPSZL'!$A:$A,$A62,'Budget-ACPSZL'!V:V)+SUMIF('Budget-ACPLSZ'!$A:$A,$A62,'Budget-ACPLSZ'!V:V)+SUMIF('Budget-ACPLGZ'!$A:$A,$A62,'Budget-ACPLGZ'!V:V)+SUMIF('Budget-Yixing'!$A:$A,$A62,'Budget-Yixing'!V:V)</f>
        <v>20027.748509999998</v>
      </c>
      <c r="W62" s="676">
        <f t="shared" ca="1" si="34"/>
        <v>312959.83108950005</v>
      </c>
      <c r="Y62" s="688">
        <f ca="1">SUMIF('Budget-ACPL'!$A:$A,$A62,'Budget-ACPL'!Y:Y)+SUMIF('Budget-ACPLHK'!$A:$A,$A62,'Budget-ACPLHK'!Y:Y)+SUMIF('Budget-ACPSZL'!$A:$A,$A62,'Budget-ACPSZL'!Y:Y)+SUMIF('Budget-ACPLSZ'!$A:$A,$A62,'Budget-ACPLSZ'!Y:Y)+SUMIF('Budget-ACPLGZ'!$A:$A,$A62,'Budget-ACPLGZ'!Y:Y)+SUMIF('Budget-Yixing'!$A:$A,$A62,'Budget-Yixing'!Y:Y)</f>
        <v>363660.86</v>
      </c>
      <c r="Z62" s="688">
        <f ca="1">SUMIF('Budget-ACPL'!$A:$A,$A62,'Budget-ACPL'!Z:Z)+SUMIF('Budget-ACPLHK'!$A:$A,$A62,'Budget-ACPLHK'!Z:Z)+SUMIF('Budget-ACPSZL'!$A:$A,$A62,'Budget-ACPSZL'!Z:Z)+SUMIF('Budget-ACPLSZ'!$A:$A,$A62,'Budget-ACPLSZ'!Z:Z)+SUMIF('Budget-ACPLGZ'!$A:$A,$A62,'Budget-ACPLGZ'!Z:Z)+SUMIF('Budget-Yixing'!$A:$A,$A62,'Budget-Yixing'!Z:Z)</f>
        <v>79220.09</v>
      </c>
      <c r="AA62" s="688">
        <f ca="1">SUMIF('Budget-ACPL'!$A:$A,$A62,'Budget-ACPL'!AA:AA)+SUMIF('Budget-ACPLHK'!$A:$A,$A62,'Budget-ACPLHK'!AA:AA)+SUMIF('Budget-ACPSZL'!$A:$A,$A62,'Budget-ACPSZL'!AA:AA)+SUMIF('Budget-ACPLSZ'!$A:$A,$A62,'Budget-ACPLSZ'!AA:AA)+SUMIF('Budget-ACPLGZ'!$A:$A,$A62,'Budget-ACPLGZ'!AA:AA)+SUMIF('Budget-Yixing'!$A:$A,$A62,'Budget-Yixing'!AA:AA)</f>
        <v>86463.37</v>
      </c>
      <c r="AB62" s="688">
        <f ca="1">SUMIF('Budget-ACPL'!$A:$A,$A62,'Budget-ACPL'!AB:AB)+SUMIF('Budget-ACPLHK'!$A:$A,$A62,'Budget-ACPLHK'!AB:AB)+SUMIF('Budget-ACPSZL'!$A:$A,$A62,'Budget-ACPSZL'!AB:AB)+SUMIF('Budget-ACPLSZ'!$A:$A,$A62,'Budget-ACPLSZ'!AB:AB)+SUMIF('Budget-ACPLGZ'!$A:$A,$A62,'Budget-ACPLGZ'!AB:AB)+SUMIF('Budget-Yixing'!$A:$A,$A62,'Budget-Yixing'!AB:AB)</f>
        <v>38665.47</v>
      </c>
      <c r="AC62" s="688">
        <f ca="1">SUMIF('Budget-ACPL'!$A:$A,$A62,'Budget-ACPL'!AC:AC)+SUMIF('Budget-ACPLHK'!$A:$A,$A62,'Budget-ACPLHK'!AC:AC)+SUMIF('Budget-ACPSZL'!$A:$A,$A62,'Budget-ACPSZL'!AC:AC)+SUMIF('Budget-ACPLSZ'!$A:$A,$A62,'Budget-ACPLSZ'!AC:AC)+SUMIF('Budget-ACPLGZ'!$A:$A,$A62,'Budget-ACPLGZ'!AC:AC)+SUMIF('Budget-Yixing'!$A:$A,$A62,'Budget-Yixing'!AC:AC)</f>
        <v>81124.810000000012</v>
      </c>
      <c r="AD62" s="688">
        <f ca="1">SUMIF('Budget-ACPL'!$A:$A,$A62,'Budget-ACPL'!AD:AD)+SUMIF('Budget-ACPLHK'!$A:$A,$A62,'Budget-ACPLHK'!AD:AD)+SUMIF('Budget-ACPSZL'!$A:$A,$A62,'Budget-ACPSZL'!AD:AD)+SUMIF('Budget-ACPLSZ'!$A:$A,$A62,'Budget-ACPLSZ'!AD:AD)+SUMIF('Budget-ACPLGZ'!$A:$A,$A62,'Budget-ACPLGZ'!AD:AD)+SUMIF('Budget-Yixing'!$A:$A,$A62,'Budget-Yixing'!AD:AD)</f>
        <v>80903.05</v>
      </c>
      <c r="AE62" s="688">
        <f ca="1">SUMIF('Budget-ACPL'!$A:$A,$A62,'Budget-ACPL'!AE:AE)+SUMIF('Budget-ACPLHK'!$A:$A,$A62,'Budget-ACPLHK'!AE:AE)+SUMIF('Budget-ACPSZL'!$A:$A,$A62,'Budget-ACPSZL'!AE:AE)+SUMIF('Budget-ACPLSZ'!$A:$A,$A62,'Budget-ACPLSZ'!AE:AE)+SUMIF('Budget-ACPLGZ'!$A:$A,$A62,'Budget-ACPLGZ'!AE:AE)+SUMIF('Budget-Yixing'!$A:$A,$A62,'Budget-Yixing'!AE:AE)</f>
        <v>83419.77</v>
      </c>
      <c r="AF62" s="688">
        <f ca="1">SUMIF('Budget-ACPL'!$A:$A,$A62,'Budget-ACPL'!AF:AF)+SUMIF('Budget-ACPLHK'!$A:$A,$A62,'Budget-ACPLHK'!AF:AF)+SUMIF('Budget-ACPSZL'!$A:$A,$A62,'Budget-ACPSZL'!AF:AF)+SUMIF('Budget-ACPLSZ'!$A:$A,$A62,'Budget-ACPLSZ'!AF:AF)+SUMIF('Budget-ACPLGZ'!$A:$A,$A62,'Budget-ACPLGZ'!AF:AF)+SUMIF('Budget-Yixing'!$A:$A,$A62,'Budget-Yixing'!AF:AF)</f>
        <v>81343.199999999997</v>
      </c>
      <c r="AG62" s="688">
        <f ca="1">SUMIF('Budget-ACPL'!$A:$A,$A62,'Budget-ACPL'!AG:AG)+SUMIF('Budget-ACPLHK'!$A:$A,$A62,'Budget-ACPLHK'!AG:AG)+SUMIF('Budget-ACPSZL'!$A:$A,$A62,'Budget-ACPSZL'!AG:AG)+SUMIF('Budget-ACPLSZ'!$A:$A,$A62,'Budget-ACPLSZ'!AG:AG)+SUMIF('Budget-ACPLGZ'!$A:$A,$A62,'Budget-ACPLGZ'!AG:AG)+SUMIF('Budget-Yixing'!$A:$A,$A62,'Budget-Yixing'!AG:AG)</f>
        <v>81133.070000000007</v>
      </c>
      <c r="AH62" s="688">
        <f ca="1">SUMIF('Budget-ACPL'!$A:$A,$A62,'Budget-ACPL'!AH:AH)+SUMIF('Budget-ACPLHK'!$A:$A,$A62,'Budget-ACPLHK'!AH:AH)+SUMIF('Budget-ACPSZL'!$A:$A,$A62,'Budget-ACPSZL'!AH:AH)+SUMIF('Budget-ACPLSZ'!$A:$A,$A62,'Budget-ACPLSZ'!AH:AH)+SUMIF('Budget-ACPLGZ'!$A:$A,$A62,'Budget-ACPLGZ'!AH:AH)+SUMIF('Budget-Yixing'!$A:$A,$A62,'Budget-Yixing'!AH:AH)</f>
        <v>80995.649999999994</v>
      </c>
      <c r="AI62" s="688">
        <f ca="1">SUMIF('Budget-ACPL'!$A:$A,$A62,'Budget-ACPL'!AI:AI)+SUMIF('Budget-ACPLHK'!$A:$A,$A62,'Budget-ACPLHK'!AI:AI)+SUMIF('Budget-ACPSZL'!$A:$A,$A62,'Budget-ACPSZL'!AI:AI)+SUMIF('Budget-ACPLSZ'!$A:$A,$A62,'Budget-ACPLSZ'!AI:AI)+SUMIF('Budget-ACPLGZ'!$A:$A,$A62,'Budget-ACPLGZ'!AI:AI)+SUMIF('Budget-Yixing'!$A:$A,$A62,'Budget-Yixing'!AI:AI)</f>
        <v>80700.17</v>
      </c>
      <c r="AJ62" s="688">
        <f ca="1">SUMIF('Budget-ACPL'!$A:$A,$A62,'Budget-ACPL'!AJ:AJ)+SUMIF('Budget-ACPLHK'!$A:$A,$A62,'Budget-ACPLHK'!AJ:AJ)+SUMIF('Budget-ACPSZL'!$A:$A,$A62,'Budget-ACPSZL'!AJ:AJ)+SUMIF('Budget-ACPLSZ'!$A:$A,$A62,'Budget-ACPLSZ'!AJ:AJ)+SUMIF('Budget-ACPLGZ'!$A:$A,$A62,'Budget-ACPLGZ'!AJ:AJ)+SUMIF('Budget-Yixing'!$A:$A,$A62,'Budget-Yixing'!AJ:AJ)</f>
        <v>79410.66</v>
      </c>
      <c r="AK62" s="688">
        <f t="shared" ca="1" si="33"/>
        <v>1217040.1699999997</v>
      </c>
    </row>
    <row r="63" spans="1:37" ht="13.5" hidden="1" customHeight="1">
      <c r="A63" s="713" t="s">
        <v>1579</v>
      </c>
      <c r="B63" s="687" t="str">
        <f>VLOOKUP(A63,Account!A:B,2,0)</f>
        <v>办公室租赁费</v>
      </c>
      <c r="C63" s="687">
        <f>VLOOKUP(A63,Account!A:F,4,0)</f>
        <v>0</v>
      </c>
      <c r="D63" s="676">
        <f t="shared" ca="1" si="27"/>
        <v>0</v>
      </c>
      <c r="E63" s="676" t="e">
        <f t="shared" si="28"/>
        <v>#N/A</v>
      </c>
      <c r="F63" s="676" t="e">
        <f t="shared" ca="1" si="24"/>
        <v>#N/A</v>
      </c>
      <c r="G63" s="676">
        <f t="shared" ca="1" si="29"/>
        <v>0</v>
      </c>
      <c r="H63" s="676" t="e">
        <f t="shared" ca="1" si="30"/>
        <v>#N/A</v>
      </c>
      <c r="I63" s="676" t="e">
        <f t="shared" ca="1" si="31"/>
        <v>#N/A</v>
      </c>
      <c r="K63" s="676">
        <f ca="1">SUMIF('Budget-ACPL'!$A:$A,$A63,'Budget-ACPL'!K:K)+SUMIF('Budget-ACPLHK'!$A:$A,$A63,'Budget-ACPLHK'!K:K)+SUMIF('Budget-ACPSZL'!$A:$A,$A63,'Budget-ACPSZL'!K:K)+SUMIF('Budget-ACPLSZ'!$A:$A,$A63,'Budget-ACPLSZ'!K:K)+SUMIF('Budget-ACPLGZ'!$A:$A,$A63,'Budget-ACPLGZ'!K:K)+SUMIF('Budget-Yixing'!$A:$A,$A63,'Budget-Yixing'!K:K)</f>
        <v>0</v>
      </c>
      <c r="L63" s="676">
        <f ca="1">SUMIF('Budget-ACPL'!$A:$A,$A63,'Budget-ACPL'!L:L)+SUMIF('Budget-ACPLHK'!$A:$A,$A63,'Budget-ACPLHK'!L:L)+SUMIF('Budget-ACPSZL'!$A:$A,$A63,'Budget-ACPSZL'!L:L)+SUMIF('Budget-ACPLSZ'!$A:$A,$A63,'Budget-ACPLSZ'!L:L)+SUMIF('Budget-ACPLGZ'!$A:$A,$A63,'Budget-ACPLGZ'!L:L)+SUMIF('Budget-Yixing'!$A:$A,$A63,'Budget-Yixing'!L:L)</f>
        <v>0</v>
      </c>
      <c r="M63" s="676">
        <f ca="1">SUMIF('Budget-ACPL'!$A:$A,$A63,'Budget-ACPL'!M:M)+SUMIF('Budget-ACPLHK'!$A:$A,$A63,'Budget-ACPLHK'!M:M)+SUMIF('Budget-ACPSZL'!$A:$A,$A63,'Budget-ACPSZL'!M:M)+SUMIF('Budget-ACPLSZ'!$A:$A,$A63,'Budget-ACPLSZ'!M:M)+SUMIF('Budget-ACPLGZ'!$A:$A,$A63,'Budget-ACPLGZ'!M:M)+SUMIF('Budget-Yixing'!$A:$A,$A63,'Budget-Yixing'!M:M)</f>
        <v>0</v>
      </c>
      <c r="N63" s="676">
        <f ca="1">SUMIF('Budget-ACPL'!$A:$A,$A63,'Budget-ACPL'!N:N)+SUMIF('Budget-ACPLHK'!$A:$A,$A63,'Budget-ACPLHK'!N:N)+SUMIF('Budget-ACPSZL'!$A:$A,$A63,'Budget-ACPSZL'!N:N)+SUMIF('Budget-ACPLSZ'!$A:$A,$A63,'Budget-ACPLSZ'!N:N)+SUMIF('Budget-ACPLGZ'!$A:$A,$A63,'Budget-ACPLGZ'!N:N)+SUMIF('Budget-Yixing'!$A:$A,$A63,'Budget-Yixing'!N:N)</f>
        <v>0</v>
      </c>
      <c r="O63" s="676">
        <f ca="1">SUMIF('Budget-ACPL'!$A:$A,$A63,'Budget-ACPL'!O:O)+SUMIF('Budget-ACPLHK'!$A:$A,$A63,'Budget-ACPLHK'!O:O)+SUMIF('Budget-ACPSZL'!$A:$A,$A63,'Budget-ACPSZL'!O:O)+SUMIF('Budget-ACPLSZ'!$A:$A,$A63,'Budget-ACPLSZ'!O:O)+SUMIF('Budget-ACPLGZ'!$A:$A,$A63,'Budget-ACPLGZ'!O:O)+SUMIF('Budget-Yixing'!$A:$A,$A63,'Budget-Yixing'!O:O)</f>
        <v>0</v>
      </c>
      <c r="P63" s="676">
        <f ca="1">SUMIF('Budget-ACPL'!$A:$A,$A63,'Budget-ACPL'!P:P)+SUMIF('Budget-ACPLHK'!$A:$A,$A63,'Budget-ACPLHK'!P:P)+SUMIF('Budget-ACPSZL'!$A:$A,$A63,'Budget-ACPSZL'!P:P)+SUMIF('Budget-ACPLSZ'!$A:$A,$A63,'Budget-ACPLSZ'!P:P)+SUMIF('Budget-ACPLGZ'!$A:$A,$A63,'Budget-ACPLGZ'!P:P)+SUMIF('Budget-Yixing'!$A:$A,$A63,'Budget-Yixing'!P:P)</f>
        <v>0</v>
      </c>
      <c r="Q63" s="676">
        <f ca="1">SUMIF('Budget-ACPL'!$A:$A,$A63,'Budget-ACPL'!Q:Q)+SUMIF('Budget-ACPLHK'!$A:$A,$A63,'Budget-ACPLHK'!Q:Q)+SUMIF('Budget-ACPSZL'!$A:$A,$A63,'Budget-ACPSZL'!Q:Q)+SUMIF('Budget-ACPLSZ'!$A:$A,$A63,'Budget-ACPLSZ'!Q:Q)+SUMIF('Budget-ACPLGZ'!$A:$A,$A63,'Budget-ACPLGZ'!Q:Q)+SUMIF('Budget-Yixing'!$A:$A,$A63,'Budget-Yixing'!Q:Q)</f>
        <v>0</v>
      </c>
      <c r="R63" s="676">
        <f ca="1">SUMIF('Budget-ACPL'!$A:$A,$A63,'Budget-ACPL'!R:R)+SUMIF('Budget-ACPLHK'!$A:$A,$A63,'Budget-ACPLHK'!R:R)+SUMIF('Budget-ACPSZL'!$A:$A,$A63,'Budget-ACPSZL'!R:R)+SUMIF('Budget-ACPLSZ'!$A:$A,$A63,'Budget-ACPLSZ'!R:R)+SUMIF('Budget-ACPLGZ'!$A:$A,$A63,'Budget-ACPLGZ'!R:R)+SUMIF('Budget-Yixing'!$A:$A,$A63,'Budget-Yixing'!R:R)</f>
        <v>0</v>
      </c>
      <c r="S63" s="676">
        <f ca="1">SUMIF('Budget-ACPL'!$A:$A,$A63,'Budget-ACPL'!S:S)+SUMIF('Budget-ACPLHK'!$A:$A,$A63,'Budget-ACPLHK'!S:S)+SUMIF('Budget-ACPSZL'!$A:$A,$A63,'Budget-ACPSZL'!S:S)+SUMIF('Budget-ACPLSZ'!$A:$A,$A63,'Budget-ACPLSZ'!S:S)+SUMIF('Budget-ACPLGZ'!$A:$A,$A63,'Budget-ACPLGZ'!S:S)+SUMIF('Budget-Yixing'!$A:$A,$A63,'Budget-Yixing'!S:S)</f>
        <v>0</v>
      </c>
      <c r="T63" s="676">
        <f ca="1">SUMIF('Budget-ACPL'!$A:$A,$A63,'Budget-ACPL'!T:T)+SUMIF('Budget-ACPLHK'!$A:$A,$A63,'Budget-ACPLHK'!T:T)+SUMIF('Budget-ACPSZL'!$A:$A,$A63,'Budget-ACPSZL'!T:T)+SUMIF('Budget-ACPLSZ'!$A:$A,$A63,'Budget-ACPLSZ'!T:T)+SUMIF('Budget-ACPLGZ'!$A:$A,$A63,'Budget-ACPLGZ'!T:T)+SUMIF('Budget-Yixing'!$A:$A,$A63,'Budget-Yixing'!T:T)</f>
        <v>0</v>
      </c>
      <c r="U63" s="676">
        <f ca="1">SUMIF('Budget-ACPL'!$A:$A,$A63,'Budget-ACPL'!U:U)+SUMIF('Budget-ACPLHK'!$A:$A,$A63,'Budget-ACPLHK'!U:U)+SUMIF('Budget-ACPSZL'!$A:$A,$A63,'Budget-ACPSZL'!U:U)+SUMIF('Budget-ACPLSZ'!$A:$A,$A63,'Budget-ACPLSZ'!U:U)+SUMIF('Budget-ACPLGZ'!$A:$A,$A63,'Budget-ACPLGZ'!U:U)+SUMIF('Budget-Yixing'!$A:$A,$A63,'Budget-Yixing'!U:U)</f>
        <v>0</v>
      </c>
      <c r="V63" s="676">
        <f ca="1">SUMIF('Budget-ACPL'!$A:$A,$A63,'Budget-ACPL'!V:V)+SUMIF('Budget-ACPLHK'!$A:$A,$A63,'Budget-ACPLHK'!V:V)+SUMIF('Budget-ACPSZL'!$A:$A,$A63,'Budget-ACPSZL'!V:V)+SUMIF('Budget-ACPLSZ'!$A:$A,$A63,'Budget-ACPLSZ'!V:V)+SUMIF('Budget-ACPLGZ'!$A:$A,$A63,'Budget-ACPLGZ'!V:V)+SUMIF('Budget-Yixing'!$A:$A,$A63,'Budget-Yixing'!V:V)</f>
        <v>0</v>
      </c>
      <c r="W63" s="676">
        <f t="shared" ca="1" si="34"/>
        <v>0</v>
      </c>
      <c r="Y63" s="688">
        <f ca="1">SUMIF('Budget-ACPL'!$A:$A,$A63,'Budget-ACPL'!Y:Y)+SUMIF('Budget-ACPLHK'!$A:$A,$A63,'Budget-ACPLHK'!Y:Y)+SUMIF('Budget-ACPSZL'!$A:$A,$A63,'Budget-ACPSZL'!Y:Y)+SUMIF('Budget-ACPLSZ'!$A:$A,$A63,'Budget-ACPLSZ'!Y:Y)+SUMIF('Budget-ACPLGZ'!$A:$A,$A63,'Budget-ACPLGZ'!Y:Y)+SUMIF('Budget-Yixing'!$A:$A,$A63,'Budget-Yixing'!Y:Y)</f>
        <v>0</v>
      </c>
      <c r="Z63" s="688">
        <f ca="1">SUMIF('Budget-ACPL'!$A:$A,$A63,'Budget-ACPL'!Z:Z)+SUMIF('Budget-ACPLHK'!$A:$A,$A63,'Budget-ACPLHK'!Z:Z)+SUMIF('Budget-ACPSZL'!$A:$A,$A63,'Budget-ACPSZL'!Z:Z)+SUMIF('Budget-ACPLSZ'!$A:$A,$A63,'Budget-ACPLSZ'!Z:Z)+SUMIF('Budget-ACPLGZ'!$A:$A,$A63,'Budget-ACPLGZ'!Z:Z)+SUMIF('Budget-Yixing'!$A:$A,$A63,'Budget-Yixing'!Z:Z)</f>
        <v>0</v>
      </c>
      <c r="AA63" s="688">
        <f ca="1">SUMIF('Budget-ACPL'!$A:$A,$A63,'Budget-ACPL'!AA:AA)+SUMIF('Budget-ACPLHK'!$A:$A,$A63,'Budget-ACPLHK'!AA:AA)+SUMIF('Budget-ACPSZL'!$A:$A,$A63,'Budget-ACPSZL'!AA:AA)+SUMIF('Budget-ACPLSZ'!$A:$A,$A63,'Budget-ACPLSZ'!AA:AA)+SUMIF('Budget-ACPLGZ'!$A:$A,$A63,'Budget-ACPLGZ'!AA:AA)+SUMIF('Budget-Yixing'!$A:$A,$A63,'Budget-Yixing'!AA:AA)</f>
        <v>0</v>
      </c>
      <c r="AB63" s="688">
        <f ca="1">SUMIF('Budget-ACPL'!$A:$A,$A63,'Budget-ACPL'!AB:AB)+SUMIF('Budget-ACPLHK'!$A:$A,$A63,'Budget-ACPLHK'!AB:AB)+SUMIF('Budget-ACPSZL'!$A:$A,$A63,'Budget-ACPSZL'!AB:AB)+SUMIF('Budget-ACPLSZ'!$A:$A,$A63,'Budget-ACPLSZ'!AB:AB)+SUMIF('Budget-ACPLGZ'!$A:$A,$A63,'Budget-ACPLGZ'!AB:AB)+SUMIF('Budget-Yixing'!$A:$A,$A63,'Budget-Yixing'!AB:AB)</f>
        <v>0</v>
      </c>
      <c r="AC63" s="688">
        <f ca="1">SUMIF('Budget-ACPL'!$A:$A,$A63,'Budget-ACPL'!AC:AC)+SUMIF('Budget-ACPLHK'!$A:$A,$A63,'Budget-ACPLHK'!AC:AC)+SUMIF('Budget-ACPSZL'!$A:$A,$A63,'Budget-ACPSZL'!AC:AC)+SUMIF('Budget-ACPLSZ'!$A:$A,$A63,'Budget-ACPLSZ'!AC:AC)+SUMIF('Budget-ACPLGZ'!$A:$A,$A63,'Budget-ACPLGZ'!AC:AC)+SUMIF('Budget-Yixing'!$A:$A,$A63,'Budget-Yixing'!AC:AC)</f>
        <v>0</v>
      </c>
      <c r="AD63" s="688">
        <f ca="1">SUMIF('Budget-ACPL'!$A:$A,$A63,'Budget-ACPL'!AD:AD)+SUMIF('Budget-ACPLHK'!$A:$A,$A63,'Budget-ACPLHK'!AD:AD)+SUMIF('Budget-ACPSZL'!$A:$A,$A63,'Budget-ACPSZL'!AD:AD)+SUMIF('Budget-ACPLSZ'!$A:$A,$A63,'Budget-ACPLSZ'!AD:AD)+SUMIF('Budget-ACPLGZ'!$A:$A,$A63,'Budget-ACPLGZ'!AD:AD)+SUMIF('Budget-Yixing'!$A:$A,$A63,'Budget-Yixing'!AD:AD)</f>
        <v>0</v>
      </c>
      <c r="AE63" s="688">
        <f ca="1">SUMIF('Budget-ACPL'!$A:$A,$A63,'Budget-ACPL'!AE:AE)+SUMIF('Budget-ACPLHK'!$A:$A,$A63,'Budget-ACPLHK'!AE:AE)+SUMIF('Budget-ACPSZL'!$A:$A,$A63,'Budget-ACPSZL'!AE:AE)+SUMIF('Budget-ACPLSZ'!$A:$A,$A63,'Budget-ACPLSZ'!AE:AE)+SUMIF('Budget-ACPLGZ'!$A:$A,$A63,'Budget-ACPLGZ'!AE:AE)+SUMIF('Budget-Yixing'!$A:$A,$A63,'Budget-Yixing'!AE:AE)</f>
        <v>0</v>
      </c>
      <c r="AF63" s="688">
        <f ca="1">SUMIF('Budget-ACPL'!$A:$A,$A63,'Budget-ACPL'!AF:AF)+SUMIF('Budget-ACPLHK'!$A:$A,$A63,'Budget-ACPLHK'!AF:AF)+SUMIF('Budget-ACPSZL'!$A:$A,$A63,'Budget-ACPSZL'!AF:AF)+SUMIF('Budget-ACPLSZ'!$A:$A,$A63,'Budget-ACPLSZ'!AF:AF)+SUMIF('Budget-ACPLGZ'!$A:$A,$A63,'Budget-ACPLGZ'!AF:AF)+SUMIF('Budget-Yixing'!$A:$A,$A63,'Budget-Yixing'!AF:AF)</f>
        <v>0</v>
      </c>
      <c r="AG63" s="688">
        <f ca="1">SUMIF('Budget-ACPL'!$A:$A,$A63,'Budget-ACPL'!AG:AG)+SUMIF('Budget-ACPLHK'!$A:$A,$A63,'Budget-ACPLHK'!AG:AG)+SUMIF('Budget-ACPSZL'!$A:$A,$A63,'Budget-ACPSZL'!AG:AG)+SUMIF('Budget-ACPLSZ'!$A:$A,$A63,'Budget-ACPLSZ'!AG:AG)+SUMIF('Budget-ACPLGZ'!$A:$A,$A63,'Budget-ACPLGZ'!AG:AG)+SUMIF('Budget-Yixing'!$A:$A,$A63,'Budget-Yixing'!AG:AG)</f>
        <v>0</v>
      </c>
      <c r="AH63" s="688">
        <f ca="1">SUMIF('Budget-ACPL'!$A:$A,$A63,'Budget-ACPL'!AH:AH)+SUMIF('Budget-ACPLHK'!$A:$A,$A63,'Budget-ACPLHK'!AH:AH)+SUMIF('Budget-ACPSZL'!$A:$A,$A63,'Budget-ACPSZL'!AH:AH)+SUMIF('Budget-ACPLSZ'!$A:$A,$A63,'Budget-ACPLSZ'!AH:AH)+SUMIF('Budget-ACPLGZ'!$A:$A,$A63,'Budget-ACPLGZ'!AH:AH)+SUMIF('Budget-Yixing'!$A:$A,$A63,'Budget-Yixing'!AH:AH)</f>
        <v>0</v>
      </c>
      <c r="AI63" s="688">
        <f ca="1">SUMIF('Budget-ACPL'!$A:$A,$A63,'Budget-ACPL'!AI:AI)+SUMIF('Budget-ACPLHK'!$A:$A,$A63,'Budget-ACPLHK'!AI:AI)+SUMIF('Budget-ACPSZL'!$A:$A,$A63,'Budget-ACPSZL'!AI:AI)+SUMIF('Budget-ACPLSZ'!$A:$A,$A63,'Budget-ACPLSZ'!AI:AI)+SUMIF('Budget-ACPLGZ'!$A:$A,$A63,'Budget-ACPLGZ'!AI:AI)+SUMIF('Budget-Yixing'!$A:$A,$A63,'Budget-Yixing'!AI:AI)</f>
        <v>0</v>
      </c>
      <c r="AJ63" s="688">
        <f ca="1">SUMIF('Budget-ACPL'!$A:$A,$A63,'Budget-ACPL'!AJ:AJ)+SUMIF('Budget-ACPLHK'!$A:$A,$A63,'Budget-ACPLHK'!AJ:AJ)+SUMIF('Budget-ACPSZL'!$A:$A,$A63,'Budget-ACPSZL'!AJ:AJ)+SUMIF('Budget-ACPLSZ'!$A:$A,$A63,'Budget-ACPLSZ'!AJ:AJ)+SUMIF('Budget-ACPLGZ'!$A:$A,$A63,'Budget-ACPLGZ'!AJ:AJ)+SUMIF('Budget-Yixing'!$A:$A,$A63,'Budget-Yixing'!AJ:AJ)</f>
        <v>0</v>
      </c>
      <c r="AK63" s="688">
        <f t="shared" ca="1" si="33"/>
        <v>0</v>
      </c>
    </row>
    <row r="64" spans="1:37" ht="13.5" hidden="1" customHeight="1">
      <c r="A64" s="713" t="s">
        <v>1583</v>
      </c>
      <c r="B64" s="687" t="str">
        <f>VLOOKUP(A64,Account!A:B,2,0)</f>
        <v>旭智咨询--鼎和大厦1606</v>
      </c>
      <c r="C64" s="687">
        <f>VLOOKUP(A64,Account!A:F,4,0)</f>
        <v>0</v>
      </c>
      <c r="D64" s="676">
        <f t="shared" ca="1" si="27"/>
        <v>0</v>
      </c>
      <c r="E64" s="676" t="e">
        <f t="shared" si="28"/>
        <v>#N/A</v>
      </c>
      <c r="F64" s="676" t="e">
        <f t="shared" ca="1" si="24"/>
        <v>#N/A</v>
      </c>
      <c r="G64" s="676">
        <f t="shared" ca="1" si="29"/>
        <v>0</v>
      </c>
      <c r="H64" s="676" t="e">
        <f t="shared" ca="1" si="30"/>
        <v>#N/A</v>
      </c>
      <c r="I64" s="676" t="e">
        <f t="shared" ca="1" si="31"/>
        <v>#N/A</v>
      </c>
      <c r="K64" s="676">
        <f ca="1">SUMIF('Budget-ACPL'!$A:$A,$A64,'Budget-ACPL'!K:K)+SUMIF('Budget-ACPLHK'!$A:$A,$A64,'Budget-ACPLHK'!K:K)+SUMIF('Budget-ACPSZL'!$A:$A,$A64,'Budget-ACPSZL'!K:K)+SUMIF('Budget-ACPLSZ'!$A:$A,$A64,'Budget-ACPLSZ'!K:K)+SUMIF('Budget-ACPLGZ'!$A:$A,$A64,'Budget-ACPLGZ'!K:K)+SUMIF('Budget-Yixing'!$A:$A,$A64,'Budget-Yixing'!K:K)</f>
        <v>0</v>
      </c>
      <c r="L64" s="676">
        <f ca="1">SUMIF('Budget-ACPL'!$A:$A,$A64,'Budget-ACPL'!L:L)+SUMIF('Budget-ACPLHK'!$A:$A,$A64,'Budget-ACPLHK'!L:L)+SUMIF('Budget-ACPSZL'!$A:$A,$A64,'Budget-ACPSZL'!L:L)+SUMIF('Budget-ACPLSZ'!$A:$A,$A64,'Budget-ACPLSZ'!L:L)+SUMIF('Budget-ACPLGZ'!$A:$A,$A64,'Budget-ACPLGZ'!L:L)+SUMIF('Budget-Yixing'!$A:$A,$A64,'Budget-Yixing'!L:L)</f>
        <v>0</v>
      </c>
      <c r="M64" s="676">
        <f ca="1">SUMIF('Budget-ACPL'!$A:$A,$A64,'Budget-ACPL'!M:M)+SUMIF('Budget-ACPLHK'!$A:$A,$A64,'Budget-ACPLHK'!M:M)+SUMIF('Budget-ACPSZL'!$A:$A,$A64,'Budget-ACPSZL'!M:M)+SUMIF('Budget-ACPLSZ'!$A:$A,$A64,'Budget-ACPLSZ'!M:M)+SUMIF('Budget-ACPLGZ'!$A:$A,$A64,'Budget-ACPLGZ'!M:M)+SUMIF('Budget-Yixing'!$A:$A,$A64,'Budget-Yixing'!M:M)</f>
        <v>0</v>
      </c>
      <c r="N64" s="676">
        <f ca="1">SUMIF('Budget-ACPL'!$A:$A,$A64,'Budget-ACPL'!N:N)+SUMIF('Budget-ACPLHK'!$A:$A,$A64,'Budget-ACPLHK'!N:N)+SUMIF('Budget-ACPSZL'!$A:$A,$A64,'Budget-ACPSZL'!N:N)+SUMIF('Budget-ACPLSZ'!$A:$A,$A64,'Budget-ACPLSZ'!N:N)+SUMIF('Budget-ACPLGZ'!$A:$A,$A64,'Budget-ACPLGZ'!N:N)+SUMIF('Budget-Yixing'!$A:$A,$A64,'Budget-Yixing'!N:N)</f>
        <v>0</v>
      </c>
      <c r="O64" s="676">
        <f ca="1">SUMIF('Budget-ACPL'!$A:$A,$A64,'Budget-ACPL'!O:O)+SUMIF('Budget-ACPLHK'!$A:$A,$A64,'Budget-ACPLHK'!O:O)+SUMIF('Budget-ACPSZL'!$A:$A,$A64,'Budget-ACPSZL'!O:O)+SUMIF('Budget-ACPLSZ'!$A:$A,$A64,'Budget-ACPLSZ'!O:O)+SUMIF('Budget-ACPLGZ'!$A:$A,$A64,'Budget-ACPLGZ'!O:O)+SUMIF('Budget-Yixing'!$A:$A,$A64,'Budget-Yixing'!O:O)</f>
        <v>0</v>
      </c>
      <c r="P64" s="676">
        <f ca="1">SUMIF('Budget-ACPL'!$A:$A,$A64,'Budget-ACPL'!P:P)+SUMIF('Budget-ACPLHK'!$A:$A,$A64,'Budget-ACPLHK'!P:P)+SUMIF('Budget-ACPSZL'!$A:$A,$A64,'Budget-ACPSZL'!P:P)+SUMIF('Budget-ACPLSZ'!$A:$A,$A64,'Budget-ACPLSZ'!P:P)+SUMIF('Budget-ACPLGZ'!$A:$A,$A64,'Budget-ACPLGZ'!P:P)+SUMIF('Budget-Yixing'!$A:$A,$A64,'Budget-Yixing'!P:P)</f>
        <v>0</v>
      </c>
      <c r="Q64" s="676">
        <f ca="1">SUMIF('Budget-ACPL'!$A:$A,$A64,'Budget-ACPL'!Q:Q)+SUMIF('Budget-ACPLHK'!$A:$A,$A64,'Budget-ACPLHK'!Q:Q)+SUMIF('Budget-ACPSZL'!$A:$A,$A64,'Budget-ACPSZL'!Q:Q)+SUMIF('Budget-ACPLSZ'!$A:$A,$A64,'Budget-ACPLSZ'!Q:Q)+SUMIF('Budget-ACPLGZ'!$A:$A,$A64,'Budget-ACPLGZ'!Q:Q)+SUMIF('Budget-Yixing'!$A:$A,$A64,'Budget-Yixing'!Q:Q)</f>
        <v>0</v>
      </c>
      <c r="R64" s="676">
        <f ca="1">SUMIF('Budget-ACPL'!$A:$A,$A64,'Budget-ACPL'!R:R)+SUMIF('Budget-ACPLHK'!$A:$A,$A64,'Budget-ACPLHK'!R:R)+SUMIF('Budget-ACPSZL'!$A:$A,$A64,'Budget-ACPSZL'!R:R)+SUMIF('Budget-ACPLSZ'!$A:$A,$A64,'Budget-ACPLSZ'!R:R)+SUMIF('Budget-ACPLGZ'!$A:$A,$A64,'Budget-ACPLGZ'!R:R)+SUMIF('Budget-Yixing'!$A:$A,$A64,'Budget-Yixing'!R:R)</f>
        <v>0</v>
      </c>
      <c r="S64" s="676">
        <f ca="1">SUMIF('Budget-ACPL'!$A:$A,$A64,'Budget-ACPL'!S:S)+SUMIF('Budget-ACPLHK'!$A:$A,$A64,'Budget-ACPLHK'!S:S)+SUMIF('Budget-ACPSZL'!$A:$A,$A64,'Budget-ACPSZL'!S:S)+SUMIF('Budget-ACPLSZ'!$A:$A,$A64,'Budget-ACPLSZ'!S:S)+SUMIF('Budget-ACPLGZ'!$A:$A,$A64,'Budget-ACPLGZ'!S:S)+SUMIF('Budget-Yixing'!$A:$A,$A64,'Budget-Yixing'!S:S)</f>
        <v>0</v>
      </c>
      <c r="T64" s="676">
        <f ca="1">SUMIF('Budget-ACPL'!$A:$A,$A64,'Budget-ACPL'!T:T)+SUMIF('Budget-ACPLHK'!$A:$A,$A64,'Budget-ACPLHK'!T:T)+SUMIF('Budget-ACPSZL'!$A:$A,$A64,'Budget-ACPSZL'!T:T)+SUMIF('Budget-ACPLSZ'!$A:$A,$A64,'Budget-ACPLSZ'!T:T)+SUMIF('Budget-ACPLGZ'!$A:$A,$A64,'Budget-ACPLGZ'!T:T)+SUMIF('Budget-Yixing'!$A:$A,$A64,'Budget-Yixing'!T:T)</f>
        <v>0</v>
      </c>
      <c r="U64" s="676">
        <f ca="1">SUMIF('Budget-ACPL'!$A:$A,$A64,'Budget-ACPL'!U:U)+SUMIF('Budget-ACPLHK'!$A:$A,$A64,'Budget-ACPLHK'!U:U)+SUMIF('Budget-ACPSZL'!$A:$A,$A64,'Budget-ACPSZL'!U:U)+SUMIF('Budget-ACPLSZ'!$A:$A,$A64,'Budget-ACPLSZ'!U:U)+SUMIF('Budget-ACPLGZ'!$A:$A,$A64,'Budget-ACPLGZ'!U:U)+SUMIF('Budget-Yixing'!$A:$A,$A64,'Budget-Yixing'!U:U)</f>
        <v>0</v>
      </c>
      <c r="V64" s="676">
        <f ca="1">SUMIF('Budget-ACPL'!$A:$A,$A64,'Budget-ACPL'!V:V)+SUMIF('Budget-ACPLHK'!$A:$A,$A64,'Budget-ACPLHK'!V:V)+SUMIF('Budget-ACPSZL'!$A:$A,$A64,'Budget-ACPSZL'!V:V)+SUMIF('Budget-ACPLSZ'!$A:$A,$A64,'Budget-ACPLSZ'!V:V)+SUMIF('Budget-ACPLGZ'!$A:$A,$A64,'Budget-ACPLGZ'!V:V)+SUMIF('Budget-Yixing'!$A:$A,$A64,'Budget-Yixing'!V:V)</f>
        <v>0</v>
      </c>
      <c r="W64" s="676">
        <f t="shared" ca="1" si="34"/>
        <v>0</v>
      </c>
      <c r="Y64" s="688">
        <f ca="1">SUMIF('Budget-ACPL'!$A:$A,$A64,'Budget-ACPL'!Y:Y)+SUMIF('Budget-ACPLHK'!$A:$A,$A64,'Budget-ACPLHK'!Y:Y)+SUMIF('Budget-ACPSZL'!$A:$A,$A64,'Budget-ACPSZL'!Y:Y)+SUMIF('Budget-ACPLSZ'!$A:$A,$A64,'Budget-ACPLSZ'!Y:Y)+SUMIF('Budget-ACPLGZ'!$A:$A,$A64,'Budget-ACPLGZ'!Y:Y)+SUMIF('Budget-Yixing'!$A:$A,$A64,'Budget-Yixing'!Y:Y)</f>
        <v>0</v>
      </c>
      <c r="Z64" s="688">
        <f ca="1">SUMIF('Budget-ACPL'!$A:$A,$A64,'Budget-ACPL'!Z:Z)+SUMIF('Budget-ACPLHK'!$A:$A,$A64,'Budget-ACPLHK'!Z:Z)+SUMIF('Budget-ACPSZL'!$A:$A,$A64,'Budget-ACPSZL'!Z:Z)+SUMIF('Budget-ACPLSZ'!$A:$A,$A64,'Budget-ACPLSZ'!Z:Z)+SUMIF('Budget-ACPLGZ'!$A:$A,$A64,'Budget-ACPLGZ'!Z:Z)+SUMIF('Budget-Yixing'!$A:$A,$A64,'Budget-Yixing'!Z:Z)</f>
        <v>0</v>
      </c>
      <c r="AA64" s="688">
        <f ca="1">SUMIF('Budget-ACPL'!$A:$A,$A64,'Budget-ACPL'!AA:AA)+SUMIF('Budget-ACPLHK'!$A:$A,$A64,'Budget-ACPLHK'!AA:AA)+SUMIF('Budget-ACPSZL'!$A:$A,$A64,'Budget-ACPSZL'!AA:AA)+SUMIF('Budget-ACPLSZ'!$A:$A,$A64,'Budget-ACPLSZ'!AA:AA)+SUMIF('Budget-ACPLGZ'!$A:$A,$A64,'Budget-ACPLGZ'!AA:AA)+SUMIF('Budget-Yixing'!$A:$A,$A64,'Budget-Yixing'!AA:AA)</f>
        <v>0</v>
      </c>
      <c r="AB64" s="688">
        <f ca="1">SUMIF('Budget-ACPL'!$A:$A,$A64,'Budget-ACPL'!AB:AB)+SUMIF('Budget-ACPLHK'!$A:$A,$A64,'Budget-ACPLHK'!AB:AB)+SUMIF('Budget-ACPSZL'!$A:$A,$A64,'Budget-ACPSZL'!AB:AB)+SUMIF('Budget-ACPLSZ'!$A:$A,$A64,'Budget-ACPLSZ'!AB:AB)+SUMIF('Budget-ACPLGZ'!$A:$A,$A64,'Budget-ACPLGZ'!AB:AB)+SUMIF('Budget-Yixing'!$A:$A,$A64,'Budget-Yixing'!AB:AB)</f>
        <v>0</v>
      </c>
      <c r="AC64" s="688">
        <f ca="1">SUMIF('Budget-ACPL'!$A:$A,$A64,'Budget-ACPL'!AC:AC)+SUMIF('Budget-ACPLHK'!$A:$A,$A64,'Budget-ACPLHK'!AC:AC)+SUMIF('Budget-ACPSZL'!$A:$A,$A64,'Budget-ACPSZL'!AC:AC)+SUMIF('Budget-ACPLSZ'!$A:$A,$A64,'Budget-ACPLSZ'!AC:AC)+SUMIF('Budget-ACPLGZ'!$A:$A,$A64,'Budget-ACPLGZ'!AC:AC)+SUMIF('Budget-Yixing'!$A:$A,$A64,'Budget-Yixing'!AC:AC)</f>
        <v>0</v>
      </c>
      <c r="AD64" s="688">
        <f ca="1">SUMIF('Budget-ACPL'!$A:$A,$A64,'Budget-ACPL'!AD:AD)+SUMIF('Budget-ACPLHK'!$A:$A,$A64,'Budget-ACPLHK'!AD:AD)+SUMIF('Budget-ACPSZL'!$A:$A,$A64,'Budget-ACPSZL'!AD:AD)+SUMIF('Budget-ACPLSZ'!$A:$A,$A64,'Budget-ACPLSZ'!AD:AD)+SUMIF('Budget-ACPLGZ'!$A:$A,$A64,'Budget-ACPLGZ'!AD:AD)+SUMIF('Budget-Yixing'!$A:$A,$A64,'Budget-Yixing'!AD:AD)</f>
        <v>0</v>
      </c>
      <c r="AE64" s="688">
        <f ca="1">SUMIF('Budget-ACPL'!$A:$A,$A64,'Budget-ACPL'!AE:AE)+SUMIF('Budget-ACPLHK'!$A:$A,$A64,'Budget-ACPLHK'!AE:AE)+SUMIF('Budget-ACPSZL'!$A:$A,$A64,'Budget-ACPSZL'!AE:AE)+SUMIF('Budget-ACPLSZ'!$A:$A,$A64,'Budget-ACPLSZ'!AE:AE)+SUMIF('Budget-ACPLGZ'!$A:$A,$A64,'Budget-ACPLGZ'!AE:AE)+SUMIF('Budget-Yixing'!$A:$A,$A64,'Budget-Yixing'!AE:AE)</f>
        <v>0</v>
      </c>
      <c r="AF64" s="688">
        <f ca="1">SUMIF('Budget-ACPL'!$A:$A,$A64,'Budget-ACPL'!AF:AF)+SUMIF('Budget-ACPLHK'!$A:$A,$A64,'Budget-ACPLHK'!AF:AF)+SUMIF('Budget-ACPSZL'!$A:$A,$A64,'Budget-ACPSZL'!AF:AF)+SUMIF('Budget-ACPLSZ'!$A:$A,$A64,'Budget-ACPLSZ'!AF:AF)+SUMIF('Budget-ACPLGZ'!$A:$A,$A64,'Budget-ACPLGZ'!AF:AF)+SUMIF('Budget-Yixing'!$A:$A,$A64,'Budget-Yixing'!AF:AF)</f>
        <v>0</v>
      </c>
      <c r="AG64" s="688">
        <f ca="1">SUMIF('Budget-ACPL'!$A:$A,$A64,'Budget-ACPL'!AG:AG)+SUMIF('Budget-ACPLHK'!$A:$A,$A64,'Budget-ACPLHK'!AG:AG)+SUMIF('Budget-ACPSZL'!$A:$A,$A64,'Budget-ACPSZL'!AG:AG)+SUMIF('Budget-ACPLSZ'!$A:$A,$A64,'Budget-ACPLSZ'!AG:AG)+SUMIF('Budget-ACPLGZ'!$A:$A,$A64,'Budget-ACPLGZ'!AG:AG)+SUMIF('Budget-Yixing'!$A:$A,$A64,'Budget-Yixing'!AG:AG)</f>
        <v>0</v>
      </c>
      <c r="AH64" s="688">
        <f ca="1">SUMIF('Budget-ACPL'!$A:$A,$A64,'Budget-ACPL'!AH:AH)+SUMIF('Budget-ACPLHK'!$A:$A,$A64,'Budget-ACPLHK'!AH:AH)+SUMIF('Budget-ACPSZL'!$A:$A,$A64,'Budget-ACPSZL'!AH:AH)+SUMIF('Budget-ACPLSZ'!$A:$A,$A64,'Budget-ACPLSZ'!AH:AH)+SUMIF('Budget-ACPLGZ'!$A:$A,$A64,'Budget-ACPLGZ'!AH:AH)+SUMIF('Budget-Yixing'!$A:$A,$A64,'Budget-Yixing'!AH:AH)</f>
        <v>0</v>
      </c>
      <c r="AI64" s="688">
        <f ca="1">SUMIF('Budget-ACPL'!$A:$A,$A64,'Budget-ACPL'!AI:AI)+SUMIF('Budget-ACPLHK'!$A:$A,$A64,'Budget-ACPLHK'!AI:AI)+SUMIF('Budget-ACPSZL'!$A:$A,$A64,'Budget-ACPSZL'!AI:AI)+SUMIF('Budget-ACPLSZ'!$A:$A,$A64,'Budget-ACPLSZ'!AI:AI)+SUMIF('Budget-ACPLGZ'!$A:$A,$A64,'Budget-ACPLGZ'!AI:AI)+SUMIF('Budget-Yixing'!$A:$A,$A64,'Budget-Yixing'!AI:AI)</f>
        <v>0</v>
      </c>
      <c r="AJ64" s="688">
        <f ca="1">SUMIF('Budget-ACPL'!$A:$A,$A64,'Budget-ACPL'!AJ:AJ)+SUMIF('Budget-ACPLHK'!$A:$A,$A64,'Budget-ACPLHK'!AJ:AJ)+SUMIF('Budget-ACPSZL'!$A:$A,$A64,'Budget-ACPSZL'!AJ:AJ)+SUMIF('Budget-ACPLSZ'!$A:$A,$A64,'Budget-ACPLSZ'!AJ:AJ)+SUMIF('Budget-ACPLGZ'!$A:$A,$A64,'Budget-ACPLGZ'!AJ:AJ)+SUMIF('Budget-Yixing'!$A:$A,$A64,'Budget-Yixing'!AJ:AJ)</f>
        <v>0</v>
      </c>
      <c r="AK64" s="688">
        <f t="shared" ca="1" si="33"/>
        <v>0</v>
      </c>
    </row>
    <row r="65" spans="1:37" ht="13.5" hidden="1" customHeight="1">
      <c r="A65" s="713" t="s">
        <v>1585</v>
      </c>
      <c r="B65" s="687" t="str">
        <f>VLOOKUP(A65,Account!A:B,2,0)</f>
        <v>广州注册地址403房J015</v>
      </c>
      <c r="C65" s="687">
        <f>VLOOKUP(A65,Account!A:F,4,0)</f>
        <v>0</v>
      </c>
      <c r="D65" s="676">
        <f t="shared" ca="1" si="27"/>
        <v>0</v>
      </c>
      <c r="E65" s="676" t="e">
        <f t="shared" si="28"/>
        <v>#N/A</v>
      </c>
      <c r="F65" s="676" t="e">
        <f t="shared" ca="1" si="24"/>
        <v>#N/A</v>
      </c>
      <c r="G65" s="676">
        <f t="shared" ca="1" si="29"/>
        <v>0</v>
      </c>
      <c r="H65" s="676" t="e">
        <f t="shared" ca="1" si="30"/>
        <v>#N/A</v>
      </c>
      <c r="I65" s="676" t="e">
        <f t="shared" ca="1" si="31"/>
        <v>#N/A</v>
      </c>
      <c r="K65" s="676">
        <f ca="1">SUMIF('Budget-ACPL'!$A:$A,$A65,'Budget-ACPL'!K:K)+SUMIF('Budget-ACPLHK'!$A:$A,$A65,'Budget-ACPLHK'!K:K)+SUMIF('Budget-ACPSZL'!$A:$A,$A65,'Budget-ACPSZL'!K:K)+SUMIF('Budget-ACPLSZ'!$A:$A,$A65,'Budget-ACPLSZ'!K:K)+SUMIF('Budget-ACPLGZ'!$A:$A,$A65,'Budget-ACPLGZ'!K:K)+SUMIF('Budget-Yixing'!$A:$A,$A65,'Budget-Yixing'!K:K)</f>
        <v>0</v>
      </c>
      <c r="L65" s="676">
        <f ca="1">SUMIF('Budget-ACPL'!$A:$A,$A65,'Budget-ACPL'!L:L)+SUMIF('Budget-ACPLHK'!$A:$A,$A65,'Budget-ACPLHK'!L:L)+SUMIF('Budget-ACPSZL'!$A:$A,$A65,'Budget-ACPSZL'!L:L)+SUMIF('Budget-ACPLSZ'!$A:$A,$A65,'Budget-ACPLSZ'!L:L)+SUMIF('Budget-ACPLGZ'!$A:$A,$A65,'Budget-ACPLGZ'!L:L)+SUMIF('Budget-Yixing'!$A:$A,$A65,'Budget-Yixing'!L:L)</f>
        <v>0</v>
      </c>
      <c r="M65" s="676">
        <f ca="1">SUMIF('Budget-ACPL'!$A:$A,$A65,'Budget-ACPL'!M:M)+SUMIF('Budget-ACPLHK'!$A:$A,$A65,'Budget-ACPLHK'!M:M)+SUMIF('Budget-ACPSZL'!$A:$A,$A65,'Budget-ACPSZL'!M:M)+SUMIF('Budget-ACPLSZ'!$A:$A,$A65,'Budget-ACPLSZ'!M:M)+SUMIF('Budget-ACPLGZ'!$A:$A,$A65,'Budget-ACPLGZ'!M:M)+SUMIF('Budget-Yixing'!$A:$A,$A65,'Budget-Yixing'!M:M)</f>
        <v>0</v>
      </c>
      <c r="N65" s="676">
        <f ca="1">SUMIF('Budget-ACPL'!$A:$A,$A65,'Budget-ACPL'!N:N)+SUMIF('Budget-ACPLHK'!$A:$A,$A65,'Budget-ACPLHK'!N:N)+SUMIF('Budget-ACPSZL'!$A:$A,$A65,'Budget-ACPSZL'!N:N)+SUMIF('Budget-ACPLSZ'!$A:$A,$A65,'Budget-ACPLSZ'!N:N)+SUMIF('Budget-ACPLGZ'!$A:$A,$A65,'Budget-ACPLGZ'!N:N)+SUMIF('Budget-Yixing'!$A:$A,$A65,'Budget-Yixing'!N:N)</f>
        <v>0</v>
      </c>
      <c r="O65" s="676">
        <f ca="1">SUMIF('Budget-ACPL'!$A:$A,$A65,'Budget-ACPL'!O:O)+SUMIF('Budget-ACPLHK'!$A:$A,$A65,'Budget-ACPLHK'!O:O)+SUMIF('Budget-ACPSZL'!$A:$A,$A65,'Budget-ACPSZL'!O:O)+SUMIF('Budget-ACPLSZ'!$A:$A,$A65,'Budget-ACPLSZ'!O:O)+SUMIF('Budget-ACPLGZ'!$A:$A,$A65,'Budget-ACPLGZ'!O:O)+SUMIF('Budget-Yixing'!$A:$A,$A65,'Budget-Yixing'!O:O)</f>
        <v>0</v>
      </c>
      <c r="P65" s="676">
        <f ca="1">SUMIF('Budget-ACPL'!$A:$A,$A65,'Budget-ACPL'!P:P)+SUMIF('Budget-ACPLHK'!$A:$A,$A65,'Budget-ACPLHK'!P:P)+SUMIF('Budget-ACPSZL'!$A:$A,$A65,'Budget-ACPSZL'!P:P)+SUMIF('Budget-ACPLSZ'!$A:$A,$A65,'Budget-ACPLSZ'!P:P)+SUMIF('Budget-ACPLGZ'!$A:$A,$A65,'Budget-ACPLGZ'!P:P)+SUMIF('Budget-Yixing'!$A:$A,$A65,'Budget-Yixing'!P:P)</f>
        <v>0</v>
      </c>
      <c r="Q65" s="676">
        <f ca="1">SUMIF('Budget-ACPL'!$A:$A,$A65,'Budget-ACPL'!Q:Q)+SUMIF('Budget-ACPLHK'!$A:$A,$A65,'Budget-ACPLHK'!Q:Q)+SUMIF('Budget-ACPSZL'!$A:$A,$A65,'Budget-ACPSZL'!Q:Q)+SUMIF('Budget-ACPLSZ'!$A:$A,$A65,'Budget-ACPLSZ'!Q:Q)+SUMIF('Budget-ACPLGZ'!$A:$A,$A65,'Budget-ACPLGZ'!Q:Q)+SUMIF('Budget-Yixing'!$A:$A,$A65,'Budget-Yixing'!Q:Q)</f>
        <v>0</v>
      </c>
      <c r="R65" s="676">
        <f ca="1">SUMIF('Budget-ACPL'!$A:$A,$A65,'Budget-ACPL'!R:R)+SUMIF('Budget-ACPLHK'!$A:$A,$A65,'Budget-ACPLHK'!R:R)+SUMIF('Budget-ACPSZL'!$A:$A,$A65,'Budget-ACPSZL'!R:R)+SUMIF('Budget-ACPLSZ'!$A:$A,$A65,'Budget-ACPLSZ'!R:R)+SUMIF('Budget-ACPLGZ'!$A:$A,$A65,'Budget-ACPLGZ'!R:R)+SUMIF('Budget-Yixing'!$A:$A,$A65,'Budget-Yixing'!R:R)</f>
        <v>0</v>
      </c>
      <c r="S65" s="676">
        <f ca="1">SUMIF('Budget-ACPL'!$A:$A,$A65,'Budget-ACPL'!S:S)+SUMIF('Budget-ACPLHK'!$A:$A,$A65,'Budget-ACPLHK'!S:S)+SUMIF('Budget-ACPSZL'!$A:$A,$A65,'Budget-ACPSZL'!S:S)+SUMIF('Budget-ACPLSZ'!$A:$A,$A65,'Budget-ACPLSZ'!S:S)+SUMIF('Budget-ACPLGZ'!$A:$A,$A65,'Budget-ACPLGZ'!S:S)+SUMIF('Budget-Yixing'!$A:$A,$A65,'Budget-Yixing'!S:S)</f>
        <v>0</v>
      </c>
      <c r="T65" s="676">
        <f ca="1">SUMIF('Budget-ACPL'!$A:$A,$A65,'Budget-ACPL'!T:T)+SUMIF('Budget-ACPLHK'!$A:$A,$A65,'Budget-ACPLHK'!T:T)+SUMIF('Budget-ACPSZL'!$A:$A,$A65,'Budget-ACPSZL'!T:T)+SUMIF('Budget-ACPLSZ'!$A:$A,$A65,'Budget-ACPLSZ'!T:T)+SUMIF('Budget-ACPLGZ'!$A:$A,$A65,'Budget-ACPLGZ'!T:T)+SUMIF('Budget-Yixing'!$A:$A,$A65,'Budget-Yixing'!T:T)</f>
        <v>0</v>
      </c>
      <c r="U65" s="676">
        <f ca="1">SUMIF('Budget-ACPL'!$A:$A,$A65,'Budget-ACPL'!U:U)+SUMIF('Budget-ACPLHK'!$A:$A,$A65,'Budget-ACPLHK'!U:U)+SUMIF('Budget-ACPSZL'!$A:$A,$A65,'Budget-ACPSZL'!U:U)+SUMIF('Budget-ACPLSZ'!$A:$A,$A65,'Budget-ACPLSZ'!U:U)+SUMIF('Budget-ACPLGZ'!$A:$A,$A65,'Budget-ACPLGZ'!U:U)+SUMIF('Budget-Yixing'!$A:$A,$A65,'Budget-Yixing'!U:U)</f>
        <v>0</v>
      </c>
      <c r="V65" s="676">
        <f ca="1">SUMIF('Budget-ACPL'!$A:$A,$A65,'Budget-ACPL'!V:V)+SUMIF('Budget-ACPLHK'!$A:$A,$A65,'Budget-ACPLHK'!V:V)+SUMIF('Budget-ACPSZL'!$A:$A,$A65,'Budget-ACPSZL'!V:V)+SUMIF('Budget-ACPLSZ'!$A:$A,$A65,'Budget-ACPLSZ'!V:V)+SUMIF('Budget-ACPLGZ'!$A:$A,$A65,'Budget-ACPLGZ'!V:V)+SUMIF('Budget-Yixing'!$A:$A,$A65,'Budget-Yixing'!V:V)</f>
        <v>0</v>
      </c>
      <c r="W65" s="676">
        <f t="shared" ca="1" si="34"/>
        <v>0</v>
      </c>
      <c r="Y65" s="688">
        <f ca="1">SUMIF('Budget-ACPL'!$A:$A,$A65,'Budget-ACPL'!Y:Y)+SUMIF('Budget-ACPLHK'!$A:$A,$A65,'Budget-ACPLHK'!Y:Y)+SUMIF('Budget-ACPSZL'!$A:$A,$A65,'Budget-ACPSZL'!Y:Y)+SUMIF('Budget-ACPLSZ'!$A:$A,$A65,'Budget-ACPLSZ'!Y:Y)+SUMIF('Budget-ACPLGZ'!$A:$A,$A65,'Budget-ACPLGZ'!Y:Y)+SUMIF('Budget-Yixing'!$A:$A,$A65,'Budget-Yixing'!Y:Y)</f>
        <v>0</v>
      </c>
      <c r="Z65" s="688">
        <f ca="1">SUMIF('Budget-ACPL'!$A:$A,$A65,'Budget-ACPL'!Z:Z)+SUMIF('Budget-ACPLHK'!$A:$A,$A65,'Budget-ACPLHK'!Z:Z)+SUMIF('Budget-ACPSZL'!$A:$A,$A65,'Budget-ACPSZL'!Z:Z)+SUMIF('Budget-ACPLSZ'!$A:$A,$A65,'Budget-ACPLSZ'!Z:Z)+SUMIF('Budget-ACPLGZ'!$A:$A,$A65,'Budget-ACPLGZ'!Z:Z)+SUMIF('Budget-Yixing'!$A:$A,$A65,'Budget-Yixing'!Z:Z)</f>
        <v>0</v>
      </c>
      <c r="AA65" s="688">
        <f ca="1">SUMIF('Budget-ACPL'!$A:$A,$A65,'Budget-ACPL'!AA:AA)+SUMIF('Budget-ACPLHK'!$A:$A,$A65,'Budget-ACPLHK'!AA:AA)+SUMIF('Budget-ACPSZL'!$A:$A,$A65,'Budget-ACPSZL'!AA:AA)+SUMIF('Budget-ACPLSZ'!$A:$A,$A65,'Budget-ACPLSZ'!AA:AA)+SUMIF('Budget-ACPLGZ'!$A:$A,$A65,'Budget-ACPLGZ'!AA:AA)+SUMIF('Budget-Yixing'!$A:$A,$A65,'Budget-Yixing'!AA:AA)</f>
        <v>0</v>
      </c>
      <c r="AB65" s="688">
        <f ca="1">SUMIF('Budget-ACPL'!$A:$A,$A65,'Budget-ACPL'!AB:AB)+SUMIF('Budget-ACPLHK'!$A:$A,$A65,'Budget-ACPLHK'!AB:AB)+SUMIF('Budget-ACPSZL'!$A:$A,$A65,'Budget-ACPSZL'!AB:AB)+SUMIF('Budget-ACPLSZ'!$A:$A,$A65,'Budget-ACPLSZ'!AB:AB)+SUMIF('Budget-ACPLGZ'!$A:$A,$A65,'Budget-ACPLGZ'!AB:AB)+SUMIF('Budget-Yixing'!$A:$A,$A65,'Budget-Yixing'!AB:AB)</f>
        <v>0</v>
      </c>
      <c r="AC65" s="688">
        <f ca="1">SUMIF('Budget-ACPL'!$A:$A,$A65,'Budget-ACPL'!AC:AC)+SUMIF('Budget-ACPLHK'!$A:$A,$A65,'Budget-ACPLHK'!AC:AC)+SUMIF('Budget-ACPSZL'!$A:$A,$A65,'Budget-ACPSZL'!AC:AC)+SUMIF('Budget-ACPLSZ'!$A:$A,$A65,'Budget-ACPLSZ'!AC:AC)+SUMIF('Budget-ACPLGZ'!$A:$A,$A65,'Budget-ACPLGZ'!AC:AC)+SUMIF('Budget-Yixing'!$A:$A,$A65,'Budget-Yixing'!AC:AC)</f>
        <v>0</v>
      </c>
      <c r="AD65" s="688">
        <f ca="1">SUMIF('Budget-ACPL'!$A:$A,$A65,'Budget-ACPL'!AD:AD)+SUMIF('Budget-ACPLHK'!$A:$A,$A65,'Budget-ACPLHK'!AD:AD)+SUMIF('Budget-ACPSZL'!$A:$A,$A65,'Budget-ACPSZL'!AD:AD)+SUMIF('Budget-ACPLSZ'!$A:$A,$A65,'Budget-ACPLSZ'!AD:AD)+SUMIF('Budget-ACPLGZ'!$A:$A,$A65,'Budget-ACPLGZ'!AD:AD)+SUMIF('Budget-Yixing'!$A:$A,$A65,'Budget-Yixing'!AD:AD)</f>
        <v>0</v>
      </c>
      <c r="AE65" s="688">
        <f ca="1">SUMIF('Budget-ACPL'!$A:$A,$A65,'Budget-ACPL'!AE:AE)+SUMIF('Budget-ACPLHK'!$A:$A,$A65,'Budget-ACPLHK'!AE:AE)+SUMIF('Budget-ACPSZL'!$A:$A,$A65,'Budget-ACPSZL'!AE:AE)+SUMIF('Budget-ACPLSZ'!$A:$A,$A65,'Budget-ACPLSZ'!AE:AE)+SUMIF('Budget-ACPLGZ'!$A:$A,$A65,'Budget-ACPLGZ'!AE:AE)+SUMIF('Budget-Yixing'!$A:$A,$A65,'Budget-Yixing'!AE:AE)</f>
        <v>0</v>
      </c>
      <c r="AF65" s="688">
        <f ca="1">SUMIF('Budget-ACPL'!$A:$A,$A65,'Budget-ACPL'!AF:AF)+SUMIF('Budget-ACPLHK'!$A:$A,$A65,'Budget-ACPLHK'!AF:AF)+SUMIF('Budget-ACPSZL'!$A:$A,$A65,'Budget-ACPSZL'!AF:AF)+SUMIF('Budget-ACPLSZ'!$A:$A,$A65,'Budget-ACPLSZ'!AF:AF)+SUMIF('Budget-ACPLGZ'!$A:$A,$A65,'Budget-ACPLGZ'!AF:AF)+SUMIF('Budget-Yixing'!$A:$A,$A65,'Budget-Yixing'!AF:AF)</f>
        <v>0</v>
      </c>
      <c r="AG65" s="688">
        <f ca="1">SUMIF('Budget-ACPL'!$A:$A,$A65,'Budget-ACPL'!AG:AG)+SUMIF('Budget-ACPLHK'!$A:$A,$A65,'Budget-ACPLHK'!AG:AG)+SUMIF('Budget-ACPSZL'!$A:$A,$A65,'Budget-ACPSZL'!AG:AG)+SUMIF('Budget-ACPLSZ'!$A:$A,$A65,'Budget-ACPLSZ'!AG:AG)+SUMIF('Budget-ACPLGZ'!$A:$A,$A65,'Budget-ACPLGZ'!AG:AG)+SUMIF('Budget-Yixing'!$A:$A,$A65,'Budget-Yixing'!AG:AG)</f>
        <v>0</v>
      </c>
      <c r="AH65" s="688">
        <f ca="1">SUMIF('Budget-ACPL'!$A:$A,$A65,'Budget-ACPL'!AH:AH)+SUMIF('Budget-ACPLHK'!$A:$A,$A65,'Budget-ACPLHK'!AH:AH)+SUMIF('Budget-ACPSZL'!$A:$A,$A65,'Budget-ACPSZL'!AH:AH)+SUMIF('Budget-ACPLSZ'!$A:$A,$A65,'Budget-ACPLSZ'!AH:AH)+SUMIF('Budget-ACPLGZ'!$A:$A,$A65,'Budget-ACPLGZ'!AH:AH)+SUMIF('Budget-Yixing'!$A:$A,$A65,'Budget-Yixing'!AH:AH)</f>
        <v>0</v>
      </c>
      <c r="AI65" s="688">
        <f ca="1">SUMIF('Budget-ACPL'!$A:$A,$A65,'Budget-ACPL'!AI:AI)+SUMIF('Budget-ACPLHK'!$A:$A,$A65,'Budget-ACPLHK'!AI:AI)+SUMIF('Budget-ACPSZL'!$A:$A,$A65,'Budget-ACPSZL'!AI:AI)+SUMIF('Budget-ACPLSZ'!$A:$A,$A65,'Budget-ACPLSZ'!AI:AI)+SUMIF('Budget-ACPLGZ'!$A:$A,$A65,'Budget-ACPLGZ'!AI:AI)+SUMIF('Budget-Yixing'!$A:$A,$A65,'Budget-Yixing'!AI:AI)</f>
        <v>0</v>
      </c>
      <c r="AJ65" s="688">
        <f ca="1">SUMIF('Budget-ACPL'!$A:$A,$A65,'Budget-ACPL'!AJ:AJ)+SUMIF('Budget-ACPLHK'!$A:$A,$A65,'Budget-ACPLHK'!AJ:AJ)+SUMIF('Budget-ACPSZL'!$A:$A,$A65,'Budget-ACPSZL'!AJ:AJ)+SUMIF('Budget-ACPLSZ'!$A:$A,$A65,'Budget-ACPLSZ'!AJ:AJ)+SUMIF('Budget-ACPLGZ'!$A:$A,$A65,'Budget-ACPLGZ'!AJ:AJ)+SUMIF('Budget-Yixing'!$A:$A,$A65,'Budget-Yixing'!AJ:AJ)</f>
        <v>0</v>
      </c>
      <c r="AK65" s="688">
        <f t="shared" ca="1" si="33"/>
        <v>0</v>
      </c>
    </row>
    <row r="66" spans="1:37" ht="13.5" hidden="1" customHeight="1">
      <c r="A66" s="713" t="s">
        <v>1589</v>
      </c>
      <c r="B66" s="687" t="str">
        <f>VLOOKUP(A66,Account!A:B,2,0)</f>
        <v>广州注册地址403房J016</v>
      </c>
      <c r="C66" s="687">
        <f>VLOOKUP(A66,Account!A:F,4,0)</f>
        <v>0</v>
      </c>
      <c r="D66" s="676">
        <f t="shared" ca="1" si="27"/>
        <v>0</v>
      </c>
      <c r="E66" s="676" t="e">
        <f t="shared" si="28"/>
        <v>#N/A</v>
      </c>
      <c r="F66" s="676" t="e">
        <f t="shared" ca="1" si="24"/>
        <v>#N/A</v>
      </c>
      <c r="G66" s="676">
        <f t="shared" ca="1" si="29"/>
        <v>0</v>
      </c>
      <c r="H66" s="676" t="e">
        <f t="shared" ca="1" si="30"/>
        <v>#N/A</v>
      </c>
      <c r="I66" s="676" t="e">
        <f t="shared" ca="1" si="31"/>
        <v>#N/A</v>
      </c>
      <c r="K66" s="676">
        <f ca="1">SUMIF('Budget-ACPL'!$A:$A,$A66,'Budget-ACPL'!K:K)+SUMIF('Budget-ACPLHK'!$A:$A,$A66,'Budget-ACPLHK'!K:K)+SUMIF('Budget-ACPSZL'!$A:$A,$A66,'Budget-ACPSZL'!K:K)+SUMIF('Budget-ACPLSZ'!$A:$A,$A66,'Budget-ACPLSZ'!K:K)+SUMIF('Budget-ACPLGZ'!$A:$A,$A66,'Budget-ACPLGZ'!K:K)+SUMIF('Budget-Yixing'!$A:$A,$A66,'Budget-Yixing'!K:K)</f>
        <v>0</v>
      </c>
      <c r="L66" s="676">
        <f ca="1">SUMIF('Budget-ACPL'!$A:$A,$A66,'Budget-ACPL'!L:L)+SUMIF('Budget-ACPLHK'!$A:$A,$A66,'Budget-ACPLHK'!L:L)+SUMIF('Budget-ACPSZL'!$A:$A,$A66,'Budget-ACPSZL'!L:L)+SUMIF('Budget-ACPLSZ'!$A:$A,$A66,'Budget-ACPLSZ'!L:L)+SUMIF('Budget-ACPLGZ'!$A:$A,$A66,'Budget-ACPLGZ'!L:L)+SUMIF('Budget-Yixing'!$A:$A,$A66,'Budget-Yixing'!L:L)</f>
        <v>0</v>
      </c>
      <c r="M66" s="676">
        <f ca="1">SUMIF('Budget-ACPL'!$A:$A,$A66,'Budget-ACPL'!M:M)+SUMIF('Budget-ACPLHK'!$A:$A,$A66,'Budget-ACPLHK'!M:M)+SUMIF('Budget-ACPSZL'!$A:$A,$A66,'Budget-ACPSZL'!M:M)+SUMIF('Budget-ACPLSZ'!$A:$A,$A66,'Budget-ACPLSZ'!M:M)+SUMIF('Budget-ACPLGZ'!$A:$A,$A66,'Budget-ACPLGZ'!M:M)+SUMIF('Budget-Yixing'!$A:$A,$A66,'Budget-Yixing'!M:M)</f>
        <v>0</v>
      </c>
      <c r="N66" s="676">
        <f ca="1">SUMIF('Budget-ACPL'!$A:$A,$A66,'Budget-ACPL'!N:N)+SUMIF('Budget-ACPLHK'!$A:$A,$A66,'Budget-ACPLHK'!N:N)+SUMIF('Budget-ACPSZL'!$A:$A,$A66,'Budget-ACPSZL'!N:N)+SUMIF('Budget-ACPLSZ'!$A:$A,$A66,'Budget-ACPLSZ'!N:N)+SUMIF('Budget-ACPLGZ'!$A:$A,$A66,'Budget-ACPLGZ'!N:N)+SUMIF('Budget-Yixing'!$A:$A,$A66,'Budget-Yixing'!N:N)</f>
        <v>0</v>
      </c>
      <c r="O66" s="676">
        <f ca="1">SUMIF('Budget-ACPL'!$A:$A,$A66,'Budget-ACPL'!O:O)+SUMIF('Budget-ACPLHK'!$A:$A,$A66,'Budget-ACPLHK'!O:O)+SUMIF('Budget-ACPSZL'!$A:$A,$A66,'Budget-ACPSZL'!O:O)+SUMIF('Budget-ACPLSZ'!$A:$A,$A66,'Budget-ACPLSZ'!O:O)+SUMIF('Budget-ACPLGZ'!$A:$A,$A66,'Budget-ACPLGZ'!O:O)+SUMIF('Budget-Yixing'!$A:$A,$A66,'Budget-Yixing'!O:O)</f>
        <v>0</v>
      </c>
      <c r="P66" s="676">
        <f ca="1">SUMIF('Budget-ACPL'!$A:$A,$A66,'Budget-ACPL'!P:P)+SUMIF('Budget-ACPLHK'!$A:$A,$A66,'Budget-ACPLHK'!P:P)+SUMIF('Budget-ACPSZL'!$A:$A,$A66,'Budget-ACPSZL'!P:P)+SUMIF('Budget-ACPLSZ'!$A:$A,$A66,'Budget-ACPLSZ'!P:P)+SUMIF('Budget-ACPLGZ'!$A:$A,$A66,'Budget-ACPLGZ'!P:P)+SUMIF('Budget-Yixing'!$A:$A,$A66,'Budget-Yixing'!P:P)</f>
        <v>0</v>
      </c>
      <c r="Q66" s="676">
        <f ca="1">SUMIF('Budget-ACPL'!$A:$A,$A66,'Budget-ACPL'!Q:Q)+SUMIF('Budget-ACPLHK'!$A:$A,$A66,'Budget-ACPLHK'!Q:Q)+SUMIF('Budget-ACPSZL'!$A:$A,$A66,'Budget-ACPSZL'!Q:Q)+SUMIF('Budget-ACPLSZ'!$A:$A,$A66,'Budget-ACPLSZ'!Q:Q)+SUMIF('Budget-ACPLGZ'!$A:$A,$A66,'Budget-ACPLGZ'!Q:Q)+SUMIF('Budget-Yixing'!$A:$A,$A66,'Budget-Yixing'!Q:Q)</f>
        <v>0</v>
      </c>
      <c r="R66" s="676">
        <f ca="1">SUMIF('Budget-ACPL'!$A:$A,$A66,'Budget-ACPL'!R:R)+SUMIF('Budget-ACPLHK'!$A:$A,$A66,'Budget-ACPLHK'!R:R)+SUMIF('Budget-ACPSZL'!$A:$A,$A66,'Budget-ACPSZL'!R:R)+SUMIF('Budget-ACPLSZ'!$A:$A,$A66,'Budget-ACPLSZ'!R:R)+SUMIF('Budget-ACPLGZ'!$A:$A,$A66,'Budget-ACPLGZ'!R:R)+SUMIF('Budget-Yixing'!$A:$A,$A66,'Budget-Yixing'!R:R)</f>
        <v>0</v>
      </c>
      <c r="S66" s="676">
        <f ca="1">SUMIF('Budget-ACPL'!$A:$A,$A66,'Budget-ACPL'!S:S)+SUMIF('Budget-ACPLHK'!$A:$A,$A66,'Budget-ACPLHK'!S:S)+SUMIF('Budget-ACPSZL'!$A:$A,$A66,'Budget-ACPSZL'!S:S)+SUMIF('Budget-ACPLSZ'!$A:$A,$A66,'Budget-ACPLSZ'!S:S)+SUMIF('Budget-ACPLGZ'!$A:$A,$A66,'Budget-ACPLGZ'!S:S)+SUMIF('Budget-Yixing'!$A:$A,$A66,'Budget-Yixing'!S:S)</f>
        <v>0</v>
      </c>
      <c r="T66" s="676">
        <f ca="1">SUMIF('Budget-ACPL'!$A:$A,$A66,'Budget-ACPL'!T:T)+SUMIF('Budget-ACPLHK'!$A:$A,$A66,'Budget-ACPLHK'!T:T)+SUMIF('Budget-ACPSZL'!$A:$A,$A66,'Budget-ACPSZL'!T:T)+SUMIF('Budget-ACPLSZ'!$A:$A,$A66,'Budget-ACPLSZ'!T:T)+SUMIF('Budget-ACPLGZ'!$A:$A,$A66,'Budget-ACPLGZ'!T:T)+SUMIF('Budget-Yixing'!$A:$A,$A66,'Budget-Yixing'!T:T)</f>
        <v>0</v>
      </c>
      <c r="U66" s="676">
        <f ca="1">SUMIF('Budget-ACPL'!$A:$A,$A66,'Budget-ACPL'!U:U)+SUMIF('Budget-ACPLHK'!$A:$A,$A66,'Budget-ACPLHK'!U:U)+SUMIF('Budget-ACPSZL'!$A:$A,$A66,'Budget-ACPSZL'!U:U)+SUMIF('Budget-ACPLSZ'!$A:$A,$A66,'Budget-ACPLSZ'!U:U)+SUMIF('Budget-ACPLGZ'!$A:$A,$A66,'Budget-ACPLGZ'!U:U)+SUMIF('Budget-Yixing'!$A:$A,$A66,'Budget-Yixing'!U:U)</f>
        <v>0</v>
      </c>
      <c r="V66" s="676">
        <f ca="1">SUMIF('Budget-ACPL'!$A:$A,$A66,'Budget-ACPL'!V:V)+SUMIF('Budget-ACPLHK'!$A:$A,$A66,'Budget-ACPLHK'!V:V)+SUMIF('Budget-ACPSZL'!$A:$A,$A66,'Budget-ACPSZL'!V:V)+SUMIF('Budget-ACPLSZ'!$A:$A,$A66,'Budget-ACPLSZ'!V:V)+SUMIF('Budget-ACPLGZ'!$A:$A,$A66,'Budget-ACPLGZ'!V:V)+SUMIF('Budget-Yixing'!$A:$A,$A66,'Budget-Yixing'!V:V)</f>
        <v>0</v>
      </c>
      <c r="W66" s="676">
        <f t="shared" ca="1" si="34"/>
        <v>0</v>
      </c>
      <c r="Y66" s="688">
        <f ca="1">SUMIF('Budget-ACPL'!$A:$A,$A66,'Budget-ACPL'!Y:Y)+SUMIF('Budget-ACPLHK'!$A:$A,$A66,'Budget-ACPLHK'!Y:Y)+SUMIF('Budget-ACPSZL'!$A:$A,$A66,'Budget-ACPSZL'!Y:Y)+SUMIF('Budget-ACPLSZ'!$A:$A,$A66,'Budget-ACPLSZ'!Y:Y)+SUMIF('Budget-ACPLGZ'!$A:$A,$A66,'Budget-ACPLGZ'!Y:Y)+SUMIF('Budget-Yixing'!$A:$A,$A66,'Budget-Yixing'!Y:Y)</f>
        <v>0</v>
      </c>
      <c r="Z66" s="688">
        <f ca="1">SUMIF('Budget-ACPL'!$A:$A,$A66,'Budget-ACPL'!Z:Z)+SUMIF('Budget-ACPLHK'!$A:$A,$A66,'Budget-ACPLHK'!Z:Z)+SUMIF('Budget-ACPSZL'!$A:$A,$A66,'Budget-ACPSZL'!Z:Z)+SUMIF('Budget-ACPLSZ'!$A:$A,$A66,'Budget-ACPLSZ'!Z:Z)+SUMIF('Budget-ACPLGZ'!$A:$A,$A66,'Budget-ACPLGZ'!Z:Z)+SUMIF('Budget-Yixing'!$A:$A,$A66,'Budget-Yixing'!Z:Z)</f>
        <v>0</v>
      </c>
      <c r="AA66" s="688">
        <f ca="1">SUMIF('Budget-ACPL'!$A:$A,$A66,'Budget-ACPL'!AA:AA)+SUMIF('Budget-ACPLHK'!$A:$A,$A66,'Budget-ACPLHK'!AA:AA)+SUMIF('Budget-ACPSZL'!$A:$A,$A66,'Budget-ACPSZL'!AA:AA)+SUMIF('Budget-ACPLSZ'!$A:$A,$A66,'Budget-ACPLSZ'!AA:AA)+SUMIF('Budget-ACPLGZ'!$A:$A,$A66,'Budget-ACPLGZ'!AA:AA)+SUMIF('Budget-Yixing'!$A:$A,$A66,'Budget-Yixing'!AA:AA)</f>
        <v>0</v>
      </c>
      <c r="AB66" s="688">
        <f ca="1">SUMIF('Budget-ACPL'!$A:$A,$A66,'Budget-ACPL'!AB:AB)+SUMIF('Budget-ACPLHK'!$A:$A,$A66,'Budget-ACPLHK'!AB:AB)+SUMIF('Budget-ACPSZL'!$A:$A,$A66,'Budget-ACPSZL'!AB:AB)+SUMIF('Budget-ACPLSZ'!$A:$A,$A66,'Budget-ACPLSZ'!AB:AB)+SUMIF('Budget-ACPLGZ'!$A:$A,$A66,'Budget-ACPLGZ'!AB:AB)+SUMIF('Budget-Yixing'!$A:$A,$A66,'Budget-Yixing'!AB:AB)</f>
        <v>0</v>
      </c>
      <c r="AC66" s="688">
        <f ca="1">SUMIF('Budget-ACPL'!$A:$A,$A66,'Budget-ACPL'!AC:AC)+SUMIF('Budget-ACPLHK'!$A:$A,$A66,'Budget-ACPLHK'!AC:AC)+SUMIF('Budget-ACPSZL'!$A:$A,$A66,'Budget-ACPSZL'!AC:AC)+SUMIF('Budget-ACPLSZ'!$A:$A,$A66,'Budget-ACPLSZ'!AC:AC)+SUMIF('Budget-ACPLGZ'!$A:$A,$A66,'Budget-ACPLGZ'!AC:AC)+SUMIF('Budget-Yixing'!$A:$A,$A66,'Budget-Yixing'!AC:AC)</f>
        <v>0</v>
      </c>
      <c r="AD66" s="688">
        <f ca="1">SUMIF('Budget-ACPL'!$A:$A,$A66,'Budget-ACPL'!AD:AD)+SUMIF('Budget-ACPLHK'!$A:$A,$A66,'Budget-ACPLHK'!AD:AD)+SUMIF('Budget-ACPSZL'!$A:$A,$A66,'Budget-ACPSZL'!AD:AD)+SUMIF('Budget-ACPLSZ'!$A:$A,$A66,'Budget-ACPLSZ'!AD:AD)+SUMIF('Budget-ACPLGZ'!$A:$A,$A66,'Budget-ACPLGZ'!AD:AD)+SUMIF('Budget-Yixing'!$A:$A,$A66,'Budget-Yixing'!AD:AD)</f>
        <v>0</v>
      </c>
      <c r="AE66" s="688">
        <f ca="1">SUMIF('Budget-ACPL'!$A:$A,$A66,'Budget-ACPL'!AE:AE)+SUMIF('Budget-ACPLHK'!$A:$A,$A66,'Budget-ACPLHK'!AE:AE)+SUMIF('Budget-ACPSZL'!$A:$A,$A66,'Budget-ACPSZL'!AE:AE)+SUMIF('Budget-ACPLSZ'!$A:$A,$A66,'Budget-ACPLSZ'!AE:AE)+SUMIF('Budget-ACPLGZ'!$A:$A,$A66,'Budget-ACPLGZ'!AE:AE)+SUMIF('Budget-Yixing'!$A:$A,$A66,'Budget-Yixing'!AE:AE)</f>
        <v>0</v>
      </c>
      <c r="AF66" s="688">
        <f ca="1">SUMIF('Budget-ACPL'!$A:$A,$A66,'Budget-ACPL'!AF:AF)+SUMIF('Budget-ACPLHK'!$A:$A,$A66,'Budget-ACPLHK'!AF:AF)+SUMIF('Budget-ACPSZL'!$A:$A,$A66,'Budget-ACPSZL'!AF:AF)+SUMIF('Budget-ACPLSZ'!$A:$A,$A66,'Budget-ACPLSZ'!AF:AF)+SUMIF('Budget-ACPLGZ'!$A:$A,$A66,'Budget-ACPLGZ'!AF:AF)+SUMIF('Budget-Yixing'!$A:$A,$A66,'Budget-Yixing'!AF:AF)</f>
        <v>0</v>
      </c>
      <c r="AG66" s="688">
        <f ca="1">SUMIF('Budget-ACPL'!$A:$A,$A66,'Budget-ACPL'!AG:AG)+SUMIF('Budget-ACPLHK'!$A:$A,$A66,'Budget-ACPLHK'!AG:AG)+SUMIF('Budget-ACPSZL'!$A:$A,$A66,'Budget-ACPSZL'!AG:AG)+SUMIF('Budget-ACPLSZ'!$A:$A,$A66,'Budget-ACPLSZ'!AG:AG)+SUMIF('Budget-ACPLGZ'!$A:$A,$A66,'Budget-ACPLGZ'!AG:AG)+SUMIF('Budget-Yixing'!$A:$A,$A66,'Budget-Yixing'!AG:AG)</f>
        <v>0</v>
      </c>
      <c r="AH66" s="688">
        <f ca="1">SUMIF('Budget-ACPL'!$A:$A,$A66,'Budget-ACPL'!AH:AH)+SUMIF('Budget-ACPLHK'!$A:$A,$A66,'Budget-ACPLHK'!AH:AH)+SUMIF('Budget-ACPSZL'!$A:$A,$A66,'Budget-ACPSZL'!AH:AH)+SUMIF('Budget-ACPLSZ'!$A:$A,$A66,'Budget-ACPLSZ'!AH:AH)+SUMIF('Budget-ACPLGZ'!$A:$A,$A66,'Budget-ACPLGZ'!AH:AH)+SUMIF('Budget-Yixing'!$A:$A,$A66,'Budget-Yixing'!AH:AH)</f>
        <v>0</v>
      </c>
      <c r="AI66" s="688">
        <f ca="1">SUMIF('Budget-ACPL'!$A:$A,$A66,'Budget-ACPL'!AI:AI)+SUMIF('Budget-ACPLHK'!$A:$A,$A66,'Budget-ACPLHK'!AI:AI)+SUMIF('Budget-ACPSZL'!$A:$A,$A66,'Budget-ACPSZL'!AI:AI)+SUMIF('Budget-ACPLSZ'!$A:$A,$A66,'Budget-ACPLSZ'!AI:AI)+SUMIF('Budget-ACPLGZ'!$A:$A,$A66,'Budget-ACPLGZ'!AI:AI)+SUMIF('Budget-Yixing'!$A:$A,$A66,'Budget-Yixing'!AI:AI)</f>
        <v>0</v>
      </c>
      <c r="AJ66" s="688">
        <f ca="1">SUMIF('Budget-ACPL'!$A:$A,$A66,'Budget-ACPL'!AJ:AJ)+SUMIF('Budget-ACPLHK'!$A:$A,$A66,'Budget-ACPLHK'!AJ:AJ)+SUMIF('Budget-ACPSZL'!$A:$A,$A66,'Budget-ACPSZL'!AJ:AJ)+SUMIF('Budget-ACPLSZ'!$A:$A,$A66,'Budget-ACPLSZ'!AJ:AJ)+SUMIF('Budget-ACPLGZ'!$A:$A,$A66,'Budget-ACPLGZ'!AJ:AJ)+SUMIF('Budget-Yixing'!$A:$A,$A66,'Budget-Yixing'!AJ:AJ)</f>
        <v>0</v>
      </c>
      <c r="AK66" s="688">
        <f t="shared" ca="1" si="33"/>
        <v>0</v>
      </c>
    </row>
    <row r="67" spans="1:37" ht="13.5" customHeight="1">
      <c r="A67" s="713" t="s">
        <v>1593</v>
      </c>
      <c r="B67" s="687" t="str">
        <f>VLOOKUP(A67,Account!A:B,2,0)</f>
        <v>管理费</v>
      </c>
      <c r="C67" s="687" t="str">
        <f>VLOOKUP(A67,Account!A:F,4,0)</f>
        <v>Management fees</v>
      </c>
      <c r="D67" s="676">
        <f t="shared" ca="1" si="27"/>
        <v>35233.282129500003</v>
      </c>
      <c r="E67" s="676" t="e">
        <f t="shared" si="28"/>
        <v>#N/A</v>
      </c>
      <c r="F67" s="676" t="e">
        <f t="shared" ca="1" si="24"/>
        <v>#N/A</v>
      </c>
      <c r="G67" s="676">
        <f t="shared" ca="1" si="29"/>
        <v>35233.282129500003</v>
      </c>
      <c r="H67" s="676" t="e">
        <f t="shared" ca="1" si="30"/>
        <v>#N/A</v>
      </c>
      <c r="I67" s="676" t="e">
        <f t="shared" ca="1" si="31"/>
        <v>#N/A</v>
      </c>
      <c r="K67" s="676">
        <f ca="1">SUMIF('Budget-ACPL'!$A:$A,$A67,'Budget-ACPL'!K:K)+SUMIF('Budget-ACPLHK'!$A:$A,$A67,'Budget-ACPLHK'!K:K)+SUMIF('Budget-ACPSZL'!$A:$A,$A67,'Budget-ACPSZL'!K:K)+SUMIF('Budget-ACPLSZ'!$A:$A,$A67,'Budget-ACPLSZ'!K:K)+SUMIF('Budget-ACPLGZ'!$A:$A,$A67,'Budget-ACPLGZ'!K:K)+SUMIF('Budget-Yixing'!$A:$A,$A67,'Budget-Yixing'!K:K)</f>
        <v>35233.282129500003</v>
      </c>
      <c r="L67" s="676">
        <f ca="1">SUMIF('Budget-ACPL'!$A:$A,$A67,'Budget-ACPL'!L:L)+SUMIF('Budget-ACPLHK'!$A:$A,$A67,'Budget-ACPLHK'!L:L)+SUMIF('Budget-ACPSZL'!$A:$A,$A67,'Budget-ACPSZL'!L:L)+SUMIF('Budget-ACPLSZ'!$A:$A,$A67,'Budget-ACPLSZ'!L:L)+SUMIF('Budget-ACPLGZ'!$A:$A,$A67,'Budget-ACPLGZ'!L:L)+SUMIF('Budget-Yixing'!$A:$A,$A67,'Budget-Yixing'!L:L)</f>
        <v>16970.925509999997</v>
      </c>
      <c r="M67" s="676">
        <f ca="1">SUMIF('Budget-ACPL'!$A:$A,$A67,'Budget-ACPL'!M:M)+SUMIF('Budget-ACPLHK'!$A:$A,$A67,'Budget-ACPLHK'!M:M)+SUMIF('Budget-ACPSZL'!$A:$A,$A67,'Budget-ACPSZL'!M:M)+SUMIF('Budget-ACPLSZ'!$A:$A,$A67,'Budget-ACPLSZ'!M:M)+SUMIF('Budget-ACPLGZ'!$A:$A,$A67,'Budget-ACPLGZ'!M:M)+SUMIF('Budget-Yixing'!$A:$A,$A67,'Budget-Yixing'!M:M)</f>
        <v>16970.925509999997</v>
      </c>
      <c r="N67" s="676">
        <f ca="1">SUMIF('Budget-ACPL'!$A:$A,$A67,'Budget-ACPL'!N:N)+SUMIF('Budget-ACPLHK'!$A:$A,$A67,'Budget-ACPLHK'!N:N)+SUMIF('Budget-ACPSZL'!$A:$A,$A67,'Budget-ACPSZL'!N:N)+SUMIF('Budget-ACPLSZ'!$A:$A,$A67,'Budget-ACPLSZ'!N:N)+SUMIF('Budget-ACPLGZ'!$A:$A,$A67,'Budget-ACPLGZ'!N:N)+SUMIF('Budget-Yixing'!$A:$A,$A67,'Budget-Yixing'!N:N)</f>
        <v>35083.425510000001</v>
      </c>
      <c r="O67" s="676">
        <f ca="1">SUMIF('Budget-ACPL'!$A:$A,$A67,'Budget-ACPL'!O:O)+SUMIF('Budget-ACPLHK'!$A:$A,$A67,'Budget-ACPLHK'!O:O)+SUMIF('Budget-ACPSZL'!$A:$A,$A67,'Budget-ACPSZL'!O:O)+SUMIF('Budget-ACPLSZ'!$A:$A,$A67,'Budget-ACPLSZ'!O:O)+SUMIF('Budget-ACPLGZ'!$A:$A,$A67,'Budget-ACPLGZ'!O:O)+SUMIF('Budget-Yixing'!$A:$A,$A67,'Budget-Yixing'!O:O)</f>
        <v>16970.925509999997</v>
      </c>
      <c r="P67" s="676">
        <f ca="1">SUMIF('Budget-ACPL'!$A:$A,$A67,'Budget-ACPL'!P:P)+SUMIF('Budget-ACPLHK'!$A:$A,$A67,'Budget-ACPLHK'!P:P)+SUMIF('Budget-ACPSZL'!$A:$A,$A67,'Budget-ACPSZL'!P:P)+SUMIF('Budget-ACPLSZ'!$A:$A,$A67,'Budget-ACPLSZ'!P:P)+SUMIF('Budget-ACPLGZ'!$A:$A,$A67,'Budget-ACPLGZ'!P:P)+SUMIF('Budget-Yixing'!$A:$A,$A67,'Budget-Yixing'!P:P)</f>
        <v>16970.925509999997</v>
      </c>
      <c r="Q67" s="676">
        <f ca="1">SUMIF('Budget-ACPL'!$A:$A,$A67,'Budget-ACPL'!Q:Q)+SUMIF('Budget-ACPLHK'!$A:$A,$A67,'Budget-ACPLHK'!Q:Q)+SUMIF('Budget-ACPSZL'!$A:$A,$A67,'Budget-ACPSZL'!Q:Q)+SUMIF('Budget-ACPLSZ'!$A:$A,$A67,'Budget-ACPLSZ'!Q:Q)+SUMIF('Budget-ACPLGZ'!$A:$A,$A67,'Budget-ACPLGZ'!Q:Q)+SUMIF('Budget-Yixing'!$A:$A,$A67,'Budget-Yixing'!Q:Q)</f>
        <v>35083.425510000001</v>
      </c>
      <c r="R67" s="676">
        <f ca="1">SUMIF('Budget-ACPL'!$A:$A,$A67,'Budget-ACPL'!R:R)+SUMIF('Budget-ACPLHK'!$A:$A,$A67,'Budget-ACPLHK'!R:R)+SUMIF('Budget-ACPSZL'!$A:$A,$A67,'Budget-ACPSZL'!R:R)+SUMIF('Budget-ACPLSZ'!$A:$A,$A67,'Budget-ACPLSZ'!R:R)+SUMIF('Budget-ACPLGZ'!$A:$A,$A67,'Budget-ACPLGZ'!R:R)+SUMIF('Budget-Yixing'!$A:$A,$A67,'Budget-Yixing'!R:R)</f>
        <v>16970.925509999997</v>
      </c>
      <c r="S67" s="676">
        <f ca="1">SUMIF('Budget-ACPL'!$A:$A,$A67,'Budget-ACPL'!S:S)+SUMIF('Budget-ACPLHK'!$A:$A,$A67,'Budget-ACPLHK'!S:S)+SUMIF('Budget-ACPSZL'!$A:$A,$A67,'Budget-ACPSZL'!S:S)+SUMIF('Budget-ACPLSZ'!$A:$A,$A67,'Budget-ACPLSZ'!S:S)+SUMIF('Budget-ACPLGZ'!$A:$A,$A67,'Budget-ACPLGZ'!S:S)+SUMIF('Budget-Yixing'!$A:$A,$A67,'Budget-Yixing'!S:S)</f>
        <v>16970.925509999997</v>
      </c>
      <c r="T67" s="676">
        <f ca="1">SUMIF('Budget-ACPL'!$A:$A,$A67,'Budget-ACPL'!T:T)+SUMIF('Budget-ACPLHK'!$A:$A,$A67,'Budget-ACPLHK'!T:T)+SUMIF('Budget-ACPSZL'!$A:$A,$A67,'Budget-ACPSZL'!T:T)+SUMIF('Budget-ACPLSZ'!$A:$A,$A67,'Budget-ACPLSZ'!T:T)+SUMIF('Budget-ACPLGZ'!$A:$A,$A67,'Budget-ACPLGZ'!T:T)+SUMIF('Budget-Yixing'!$A:$A,$A67,'Budget-Yixing'!T:T)</f>
        <v>35083.425510000001</v>
      </c>
      <c r="U67" s="676">
        <f ca="1">SUMIF('Budget-ACPL'!$A:$A,$A67,'Budget-ACPL'!U:U)+SUMIF('Budget-ACPLHK'!$A:$A,$A67,'Budget-ACPLHK'!U:U)+SUMIF('Budget-ACPSZL'!$A:$A,$A67,'Budget-ACPSZL'!U:U)+SUMIF('Budget-ACPLSZ'!$A:$A,$A67,'Budget-ACPLSZ'!U:U)+SUMIF('Budget-ACPLGZ'!$A:$A,$A67,'Budget-ACPLGZ'!U:U)+SUMIF('Budget-Yixing'!$A:$A,$A67,'Budget-Yixing'!U:U)</f>
        <v>16970.925509999997</v>
      </c>
      <c r="V67" s="676">
        <f ca="1">SUMIF('Budget-ACPL'!$A:$A,$A67,'Budget-ACPL'!V:V)+SUMIF('Budget-ACPLHK'!$A:$A,$A67,'Budget-ACPLHK'!V:V)+SUMIF('Budget-ACPSZL'!$A:$A,$A67,'Budget-ACPSZL'!V:V)+SUMIF('Budget-ACPLSZ'!$A:$A,$A67,'Budget-ACPLSZ'!V:V)+SUMIF('Budget-ACPLGZ'!$A:$A,$A67,'Budget-ACPLGZ'!V:V)+SUMIF('Budget-Yixing'!$A:$A,$A67,'Budget-Yixing'!V:V)</f>
        <v>16970.925509999997</v>
      </c>
      <c r="W67" s="676">
        <f t="shared" ca="1" si="34"/>
        <v>276250.96273949998</v>
      </c>
      <c r="Y67" s="688">
        <f ca="1">SUMIF('Budget-ACPL'!$A:$A,$A67,'Budget-ACPL'!Y:Y)+SUMIF('Budget-ACPLHK'!$A:$A,$A67,'Budget-ACPLHK'!Y:Y)+SUMIF('Budget-ACPSZL'!$A:$A,$A67,'Budget-ACPSZL'!Y:Y)+SUMIF('Budget-ACPLSZ'!$A:$A,$A67,'Budget-ACPLSZ'!Y:Y)+SUMIF('Budget-ACPLGZ'!$A:$A,$A67,'Budget-ACPLGZ'!Y:Y)+SUMIF('Budget-Yixing'!$A:$A,$A67,'Budget-Yixing'!Y:Y)</f>
        <v>23952.67</v>
      </c>
      <c r="Z67" s="688">
        <f ca="1">SUMIF('Budget-ACPL'!$A:$A,$A67,'Budget-ACPL'!Z:Z)+SUMIF('Budget-ACPLHK'!$A:$A,$A67,'Budget-ACPLHK'!Z:Z)+SUMIF('Budget-ACPSZL'!$A:$A,$A67,'Budget-ACPSZL'!Z:Z)+SUMIF('Budget-ACPLSZ'!$A:$A,$A67,'Budget-ACPLSZ'!Z:Z)+SUMIF('Budget-ACPLGZ'!$A:$A,$A67,'Budget-ACPLGZ'!Z:Z)+SUMIF('Budget-Yixing'!$A:$A,$A67,'Budget-Yixing'!Z:Z)</f>
        <v>23407.66</v>
      </c>
      <c r="AA67" s="688">
        <f ca="1">SUMIF('Budget-ACPL'!$A:$A,$A67,'Budget-ACPL'!AA:AA)+SUMIF('Budget-ACPLHK'!$A:$A,$A67,'Budget-ACPLHK'!AA:AA)+SUMIF('Budget-ACPSZL'!$A:$A,$A67,'Budget-ACPSZL'!AA:AA)+SUMIF('Budget-ACPLSZ'!$A:$A,$A67,'Budget-ACPLSZ'!AA:AA)+SUMIF('Budget-ACPLGZ'!$A:$A,$A67,'Budget-ACPLGZ'!AA:AA)+SUMIF('Budget-Yixing'!$A:$A,$A67,'Budget-Yixing'!AA:AA)</f>
        <v>23952.67</v>
      </c>
      <c r="AB67" s="688">
        <f ca="1">SUMIF('Budget-ACPL'!$A:$A,$A67,'Budget-ACPL'!AB:AB)+SUMIF('Budget-ACPLHK'!$A:$A,$A67,'Budget-ACPLHK'!AB:AB)+SUMIF('Budget-ACPSZL'!$A:$A,$A67,'Budget-ACPSZL'!AB:AB)+SUMIF('Budget-ACPLSZ'!$A:$A,$A67,'Budget-ACPLSZ'!AB:AB)+SUMIF('Budget-ACPLGZ'!$A:$A,$A67,'Budget-ACPLGZ'!AB:AB)+SUMIF('Budget-Yixing'!$A:$A,$A67,'Budget-Yixing'!AB:AB)</f>
        <v>23842.98</v>
      </c>
      <c r="AC67" s="688">
        <f ca="1">SUMIF('Budget-ACPL'!$A:$A,$A67,'Budget-ACPL'!AC:AC)+SUMIF('Budget-ACPLHK'!$A:$A,$A67,'Budget-ACPLHK'!AC:AC)+SUMIF('Budget-ACPSZL'!$A:$A,$A67,'Budget-ACPSZL'!AC:AC)+SUMIF('Budget-ACPLSZ'!$A:$A,$A67,'Budget-ACPLSZ'!AC:AC)+SUMIF('Budget-ACPLGZ'!$A:$A,$A67,'Budget-ACPLGZ'!AC:AC)+SUMIF('Budget-Yixing'!$A:$A,$A67,'Budget-Yixing'!AC:AC)</f>
        <v>24027.040000000001</v>
      </c>
      <c r="AD67" s="688">
        <f ca="1">SUMIF('Budget-ACPL'!$A:$A,$A67,'Budget-ACPL'!AD:AD)+SUMIF('Budget-ACPLHK'!$A:$A,$A67,'Budget-ACPLHK'!AD:AD)+SUMIF('Budget-ACPSZL'!$A:$A,$A67,'Budget-ACPSZL'!AD:AD)+SUMIF('Budget-ACPLSZ'!$A:$A,$A67,'Budget-ACPLSZ'!AD:AD)+SUMIF('Budget-ACPLGZ'!$A:$A,$A67,'Budget-ACPLGZ'!AD:AD)+SUMIF('Budget-Yixing'!$A:$A,$A67,'Budget-Yixing'!AD:AD)</f>
        <v>23842.98</v>
      </c>
      <c r="AE67" s="688">
        <f ca="1">SUMIF('Budget-ACPL'!$A:$A,$A67,'Budget-ACPL'!AE:AE)+SUMIF('Budget-ACPLHK'!$A:$A,$A67,'Budget-ACPLHK'!AE:AE)+SUMIF('Budget-ACPSZL'!$A:$A,$A67,'Budget-ACPSZL'!AE:AE)+SUMIF('Budget-ACPLSZ'!$A:$A,$A67,'Budget-ACPLSZ'!AE:AE)+SUMIF('Budget-ACPLGZ'!$A:$A,$A67,'Budget-ACPLGZ'!AE:AE)+SUMIF('Budget-Yixing'!$A:$A,$A67,'Budget-Yixing'!AE:AE)</f>
        <v>24133.5</v>
      </c>
      <c r="AF67" s="688">
        <f ca="1">SUMIF('Budget-ACPL'!$A:$A,$A67,'Budget-ACPL'!AF:AF)+SUMIF('Budget-ACPLHK'!$A:$A,$A67,'Budget-ACPLHK'!AF:AF)+SUMIF('Budget-ACPSZL'!$A:$A,$A67,'Budget-ACPSZL'!AF:AF)+SUMIF('Budget-ACPLSZ'!$A:$A,$A67,'Budget-ACPLSZ'!AF:AF)+SUMIF('Budget-ACPLGZ'!$A:$A,$A67,'Budget-ACPLGZ'!AF:AF)+SUMIF('Budget-Yixing'!$A:$A,$A67,'Budget-Yixing'!AF:AF)</f>
        <v>24133.5</v>
      </c>
      <c r="AG67" s="688">
        <f ca="1">SUMIF('Budget-ACPL'!$A:$A,$A67,'Budget-ACPL'!AG:AG)+SUMIF('Budget-ACPLHK'!$A:$A,$A67,'Budget-ACPLHK'!AG:AG)+SUMIF('Budget-ACPSZL'!$A:$A,$A67,'Budget-ACPSZL'!AG:AG)+SUMIF('Budget-ACPLSZ'!$A:$A,$A67,'Budget-ACPLSZ'!AG:AG)+SUMIF('Budget-ACPLGZ'!$A:$A,$A67,'Budget-ACPLGZ'!AG:AG)+SUMIF('Budget-Yixing'!$A:$A,$A67,'Budget-Yixing'!AG:AG)</f>
        <v>23946</v>
      </c>
      <c r="AH67" s="688">
        <f ca="1">SUMIF('Budget-ACPL'!$A:$A,$A67,'Budget-ACPL'!AH:AH)+SUMIF('Budget-ACPLHK'!$A:$A,$A67,'Budget-ACPLHK'!AH:AH)+SUMIF('Budget-ACPSZL'!$A:$A,$A67,'Budget-ACPSZL'!AH:AH)+SUMIF('Budget-ACPLSZ'!$A:$A,$A67,'Budget-ACPLSZ'!AH:AH)+SUMIF('Budget-ACPLGZ'!$A:$A,$A67,'Budget-ACPLGZ'!AH:AH)+SUMIF('Budget-Yixing'!$A:$A,$A67,'Budget-Yixing'!AH:AH)</f>
        <v>24133.5</v>
      </c>
      <c r="AI67" s="688">
        <f ca="1">SUMIF('Budget-ACPL'!$A:$A,$A67,'Budget-ACPL'!AI:AI)+SUMIF('Budget-ACPLHK'!$A:$A,$A67,'Budget-ACPLHK'!AI:AI)+SUMIF('Budget-ACPSZL'!$A:$A,$A67,'Budget-ACPSZL'!AI:AI)+SUMIF('Budget-ACPLSZ'!$A:$A,$A67,'Budget-ACPLSZ'!AI:AI)+SUMIF('Budget-ACPLGZ'!$A:$A,$A67,'Budget-ACPLGZ'!AI:AI)+SUMIF('Budget-Yixing'!$A:$A,$A67,'Budget-Yixing'!AI:AI)</f>
        <v>23946</v>
      </c>
      <c r="AJ67" s="688">
        <f ca="1">SUMIF('Budget-ACPL'!$A:$A,$A67,'Budget-ACPL'!AJ:AJ)+SUMIF('Budget-ACPLHK'!$A:$A,$A67,'Budget-ACPLHK'!AJ:AJ)+SUMIF('Budget-ACPSZL'!$A:$A,$A67,'Budget-ACPSZL'!AJ:AJ)+SUMIF('Budget-ACPLSZ'!$A:$A,$A67,'Budget-ACPLSZ'!AJ:AJ)+SUMIF('Budget-ACPLGZ'!$A:$A,$A67,'Budget-ACPLGZ'!AJ:AJ)+SUMIF('Budget-Yixing'!$A:$A,$A67,'Budget-Yixing'!AJ:AJ)</f>
        <v>24133.5</v>
      </c>
      <c r="AK67" s="688">
        <f t="shared" ca="1" si="33"/>
        <v>287452</v>
      </c>
    </row>
    <row r="68" spans="1:37" ht="13.5" customHeight="1">
      <c r="A68" s="713" t="s">
        <v>1598</v>
      </c>
      <c r="B68" s="687" t="str">
        <f>VLOOKUP(A68,Account!A:B,2,0)</f>
        <v>电费</v>
      </c>
      <c r="C68" s="687" t="str">
        <f>VLOOKUP(A68,Account!A:F,4,0)</f>
        <v>Utilities Electric</v>
      </c>
      <c r="D68" s="676">
        <f t="shared" ca="1" si="27"/>
        <v>747.59159999999997</v>
      </c>
      <c r="E68" s="676" t="e">
        <f t="shared" si="28"/>
        <v>#N/A</v>
      </c>
      <c r="F68" s="676" t="e">
        <f t="shared" ca="1" si="24"/>
        <v>#N/A</v>
      </c>
      <c r="G68" s="676">
        <f t="shared" ca="1" si="29"/>
        <v>747.59159999999997</v>
      </c>
      <c r="H68" s="676" t="e">
        <f t="shared" ca="1" si="30"/>
        <v>#N/A</v>
      </c>
      <c r="I68" s="676" t="e">
        <f t="shared" ca="1" si="31"/>
        <v>#N/A</v>
      </c>
      <c r="K68" s="676">
        <f ca="1">SUMIF('Budget-ACPL'!$A:$A,$A68,'Budget-ACPL'!K:K)+SUMIF('Budget-ACPLHK'!$A:$A,$A68,'Budget-ACPLHK'!K:K)+SUMIF('Budget-ACPSZL'!$A:$A,$A68,'Budget-ACPSZL'!K:K)+SUMIF('Budget-ACPLSZ'!$A:$A,$A68,'Budget-ACPLSZ'!K:K)+SUMIF('Budget-ACPLGZ'!$A:$A,$A68,'Budget-ACPLGZ'!K:K)+SUMIF('Budget-Yixing'!$A:$A,$A68,'Budget-Yixing'!K:K)</f>
        <v>747.59159999999997</v>
      </c>
      <c r="L68" s="676">
        <f ca="1">SUMIF('Budget-ACPL'!$A:$A,$A68,'Budget-ACPL'!L:L)+SUMIF('Budget-ACPLHK'!$A:$A,$A68,'Budget-ACPLHK'!L:L)+SUMIF('Budget-ACPSZL'!$A:$A,$A68,'Budget-ACPSZL'!L:L)+SUMIF('Budget-ACPLSZ'!$A:$A,$A68,'Budget-ACPLSZ'!L:L)+SUMIF('Budget-ACPLGZ'!$A:$A,$A68,'Budget-ACPLGZ'!L:L)+SUMIF('Budget-Yixing'!$A:$A,$A68,'Budget-Yixing'!L:L)</f>
        <v>741.048</v>
      </c>
      <c r="M68" s="676">
        <f ca="1">SUMIF('Budget-ACPL'!$A:$A,$A68,'Budget-ACPL'!M:M)+SUMIF('Budget-ACPLHK'!$A:$A,$A68,'Budget-ACPLHK'!M:M)+SUMIF('Budget-ACPSZL'!$A:$A,$A68,'Budget-ACPSZL'!M:M)+SUMIF('Budget-ACPLSZ'!$A:$A,$A68,'Budget-ACPLSZ'!M:M)+SUMIF('Budget-ACPLGZ'!$A:$A,$A68,'Budget-ACPLGZ'!M:M)+SUMIF('Budget-Yixing'!$A:$A,$A68,'Budget-Yixing'!M:M)</f>
        <v>741.048</v>
      </c>
      <c r="N68" s="676">
        <f ca="1">SUMIF('Budget-ACPL'!$A:$A,$A68,'Budget-ACPL'!N:N)+SUMIF('Budget-ACPLHK'!$A:$A,$A68,'Budget-ACPLHK'!N:N)+SUMIF('Budget-ACPSZL'!$A:$A,$A68,'Budget-ACPSZL'!N:N)+SUMIF('Budget-ACPLSZ'!$A:$A,$A68,'Budget-ACPLSZ'!N:N)+SUMIF('Budget-ACPLGZ'!$A:$A,$A68,'Budget-ACPLGZ'!N:N)+SUMIF('Budget-Yixing'!$A:$A,$A68,'Budget-Yixing'!N:N)</f>
        <v>741.048</v>
      </c>
      <c r="O68" s="676">
        <f ca="1">SUMIF('Budget-ACPL'!$A:$A,$A68,'Budget-ACPL'!O:O)+SUMIF('Budget-ACPLHK'!$A:$A,$A68,'Budget-ACPLHK'!O:O)+SUMIF('Budget-ACPSZL'!$A:$A,$A68,'Budget-ACPSZL'!O:O)+SUMIF('Budget-ACPLSZ'!$A:$A,$A68,'Budget-ACPLSZ'!O:O)+SUMIF('Budget-ACPLGZ'!$A:$A,$A68,'Budget-ACPLGZ'!O:O)+SUMIF('Budget-Yixing'!$A:$A,$A68,'Budget-Yixing'!O:O)</f>
        <v>741.048</v>
      </c>
      <c r="P68" s="676">
        <f ca="1">SUMIF('Budget-ACPL'!$A:$A,$A68,'Budget-ACPL'!P:P)+SUMIF('Budget-ACPLHK'!$A:$A,$A68,'Budget-ACPLHK'!P:P)+SUMIF('Budget-ACPSZL'!$A:$A,$A68,'Budget-ACPSZL'!P:P)+SUMIF('Budget-ACPLSZ'!$A:$A,$A68,'Budget-ACPLSZ'!P:P)+SUMIF('Budget-ACPLGZ'!$A:$A,$A68,'Budget-ACPLGZ'!P:P)+SUMIF('Budget-Yixing'!$A:$A,$A68,'Budget-Yixing'!P:P)</f>
        <v>741.048</v>
      </c>
      <c r="Q68" s="676">
        <f ca="1">SUMIF('Budget-ACPL'!$A:$A,$A68,'Budget-ACPL'!Q:Q)+SUMIF('Budget-ACPLHK'!$A:$A,$A68,'Budget-ACPLHK'!Q:Q)+SUMIF('Budget-ACPSZL'!$A:$A,$A68,'Budget-ACPSZL'!Q:Q)+SUMIF('Budget-ACPLSZ'!$A:$A,$A68,'Budget-ACPLSZ'!Q:Q)+SUMIF('Budget-ACPLGZ'!$A:$A,$A68,'Budget-ACPLGZ'!Q:Q)+SUMIF('Budget-Yixing'!$A:$A,$A68,'Budget-Yixing'!Q:Q)</f>
        <v>741.048</v>
      </c>
      <c r="R68" s="676">
        <f ca="1">SUMIF('Budget-ACPL'!$A:$A,$A68,'Budget-ACPL'!R:R)+SUMIF('Budget-ACPLHK'!$A:$A,$A68,'Budget-ACPLHK'!R:R)+SUMIF('Budget-ACPSZL'!$A:$A,$A68,'Budget-ACPSZL'!R:R)+SUMIF('Budget-ACPLSZ'!$A:$A,$A68,'Budget-ACPLSZ'!R:R)+SUMIF('Budget-ACPLGZ'!$A:$A,$A68,'Budget-ACPLGZ'!R:R)+SUMIF('Budget-Yixing'!$A:$A,$A68,'Budget-Yixing'!R:R)</f>
        <v>741.048</v>
      </c>
      <c r="S68" s="676">
        <f ca="1">SUMIF('Budget-ACPL'!$A:$A,$A68,'Budget-ACPL'!S:S)+SUMIF('Budget-ACPLHK'!$A:$A,$A68,'Budget-ACPLHK'!S:S)+SUMIF('Budget-ACPSZL'!$A:$A,$A68,'Budget-ACPSZL'!S:S)+SUMIF('Budget-ACPLSZ'!$A:$A,$A68,'Budget-ACPLSZ'!S:S)+SUMIF('Budget-ACPLGZ'!$A:$A,$A68,'Budget-ACPLGZ'!S:S)+SUMIF('Budget-Yixing'!$A:$A,$A68,'Budget-Yixing'!S:S)</f>
        <v>741.048</v>
      </c>
      <c r="T68" s="676">
        <f ca="1">SUMIF('Budget-ACPL'!$A:$A,$A68,'Budget-ACPL'!T:T)+SUMIF('Budget-ACPLHK'!$A:$A,$A68,'Budget-ACPLHK'!T:T)+SUMIF('Budget-ACPSZL'!$A:$A,$A68,'Budget-ACPSZL'!T:T)+SUMIF('Budget-ACPLSZ'!$A:$A,$A68,'Budget-ACPLSZ'!T:T)+SUMIF('Budget-ACPLGZ'!$A:$A,$A68,'Budget-ACPLGZ'!T:T)+SUMIF('Budget-Yixing'!$A:$A,$A68,'Budget-Yixing'!T:T)</f>
        <v>741.048</v>
      </c>
      <c r="U68" s="676">
        <f ca="1">SUMIF('Budget-ACPL'!$A:$A,$A68,'Budget-ACPL'!U:U)+SUMIF('Budget-ACPLHK'!$A:$A,$A68,'Budget-ACPLHK'!U:U)+SUMIF('Budget-ACPSZL'!$A:$A,$A68,'Budget-ACPSZL'!U:U)+SUMIF('Budget-ACPLSZ'!$A:$A,$A68,'Budget-ACPLSZ'!U:U)+SUMIF('Budget-ACPLGZ'!$A:$A,$A68,'Budget-ACPLGZ'!U:U)+SUMIF('Budget-Yixing'!$A:$A,$A68,'Budget-Yixing'!U:U)</f>
        <v>741.048</v>
      </c>
      <c r="V68" s="676">
        <f ca="1">SUMIF('Budget-ACPL'!$A:$A,$A68,'Budget-ACPL'!V:V)+SUMIF('Budget-ACPLHK'!$A:$A,$A68,'Budget-ACPLHK'!V:V)+SUMIF('Budget-ACPSZL'!$A:$A,$A68,'Budget-ACPSZL'!V:V)+SUMIF('Budget-ACPLSZ'!$A:$A,$A68,'Budget-ACPLSZ'!V:V)+SUMIF('Budget-ACPLGZ'!$A:$A,$A68,'Budget-ACPLGZ'!V:V)+SUMIF('Budget-Yixing'!$A:$A,$A68,'Budget-Yixing'!V:V)</f>
        <v>741.048</v>
      </c>
      <c r="W68" s="676">
        <f t="shared" ca="1" si="34"/>
        <v>8899.1195999999982</v>
      </c>
      <c r="Y68" s="688">
        <f ca="1">SUMIF('Budget-ACPL'!$A:$A,$A68,'Budget-ACPL'!Y:Y)+SUMIF('Budget-ACPLHK'!$A:$A,$A68,'Budget-ACPLHK'!Y:Y)+SUMIF('Budget-ACPSZL'!$A:$A,$A68,'Budget-ACPSZL'!Y:Y)+SUMIF('Budget-ACPLSZ'!$A:$A,$A68,'Budget-ACPLSZ'!Y:Y)+SUMIF('Budget-ACPLGZ'!$A:$A,$A68,'Budget-ACPLGZ'!Y:Y)+SUMIF('Budget-Yixing'!$A:$A,$A68,'Budget-Yixing'!Y:Y)</f>
        <v>780</v>
      </c>
      <c r="Z68" s="688">
        <f ca="1">SUMIF('Budget-ACPL'!$A:$A,$A68,'Budget-ACPL'!Z:Z)+SUMIF('Budget-ACPLHK'!$A:$A,$A68,'Budget-ACPLHK'!Z:Z)+SUMIF('Budget-ACPSZL'!$A:$A,$A68,'Budget-ACPSZL'!Z:Z)+SUMIF('Budget-ACPLSZ'!$A:$A,$A68,'Budget-ACPLSZ'!Z:Z)+SUMIF('Budget-ACPLGZ'!$A:$A,$A68,'Budget-ACPLGZ'!Z:Z)+SUMIF('Budget-Yixing'!$A:$A,$A68,'Budget-Yixing'!Z:Z)</f>
        <v>2011.5</v>
      </c>
      <c r="AA68" s="688">
        <f ca="1">SUMIF('Budget-ACPL'!$A:$A,$A68,'Budget-ACPL'!AA:AA)+SUMIF('Budget-ACPLHK'!$A:$A,$A68,'Budget-ACPLHK'!AA:AA)+SUMIF('Budget-ACPSZL'!$A:$A,$A68,'Budget-ACPSZL'!AA:AA)+SUMIF('Budget-ACPLSZ'!$A:$A,$A68,'Budget-ACPLSZ'!AA:AA)+SUMIF('Budget-ACPLGZ'!$A:$A,$A68,'Budget-ACPLGZ'!AA:AA)+SUMIF('Budget-Yixing'!$A:$A,$A68,'Budget-Yixing'!AA:AA)</f>
        <v>728</v>
      </c>
      <c r="AB68" s="688">
        <f ca="1">SUMIF('Budget-ACPL'!$A:$A,$A68,'Budget-ACPL'!AB:AB)+SUMIF('Budget-ACPLHK'!$A:$A,$A68,'Budget-ACPLHK'!AB:AB)+SUMIF('Budget-ACPSZL'!$A:$A,$A68,'Budget-ACPSZL'!AB:AB)+SUMIF('Budget-ACPLSZ'!$A:$A,$A68,'Budget-ACPLSZ'!AB:AB)+SUMIF('Budget-ACPLGZ'!$A:$A,$A68,'Budget-ACPLGZ'!AB:AB)+SUMIF('Budget-Yixing'!$A:$A,$A68,'Budget-Yixing'!AB:AB)</f>
        <v>857</v>
      </c>
      <c r="AC68" s="688">
        <f ca="1">SUMIF('Budget-ACPL'!$A:$A,$A68,'Budget-ACPL'!AC:AC)+SUMIF('Budget-ACPLHK'!$A:$A,$A68,'Budget-ACPLHK'!AC:AC)+SUMIF('Budget-ACPSZL'!$A:$A,$A68,'Budget-ACPSZL'!AC:AC)+SUMIF('Budget-ACPLSZ'!$A:$A,$A68,'Budget-ACPLSZ'!AC:AC)+SUMIF('Budget-ACPLGZ'!$A:$A,$A68,'Budget-ACPLGZ'!AC:AC)+SUMIF('Budget-Yixing'!$A:$A,$A68,'Budget-Yixing'!AC:AC)</f>
        <v>838</v>
      </c>
      <c r="AD68" s="688">
        <f ca="1">SUMIF('Budget-ACPL'!$A:$A,$A68,'Budget-ACPL'!AD:AD)+SUMIF('Budget-ACPLHK'!$A:$A,$A68,'Budget-ACPLHK'!AD:AD)+SUMIF('Budget-ACPSZL'!$A:$A,$A68,'Budget-ACPSZL'!AD:AD)+SUMIF('Budget-ACPLSZ'!$A:$A,$A68,'Budget-ACPLSZ'!AD:AD)+SUMIF('Budget-ACPLGZ'!$A:$A,$A68,'Budget-ACPLGZ'!AD:AD)+SUMIF('Budget-Yixing'!$A:$A,$A68,'Budget-Yixing'!AD:AD)</f>
        <v>701</v>
      </c>
      <c r="AE68" s="688">
        <f ca="1">SUMIF('Budget-ACPL'!$A:$A,$A68,'Budget-ACPL'!AE:AE)+SUMIF('Budget-ACPLHK'!$A:$A,$A68,'Budget-ACPLHK'!AE:AE)+SUMIF('Budget-ACPSZL'!$A:$A,$A68,'Budget-ACPSZL'!AE:AE)+SUMIF('Budget-ACPLSZ'!$A:$A,$A68,'Budget-ACPLSZ'!AE:AE)+SUMIF('Budget-ACPLGZ'!$A:$A,$A68,'Budget-ACPLGZ'!AE:AE)+SUMIF('Budget-Yixing'!$A:$A,$A68,'Budget-Yixing'!AE:AE)</f>
        <v>865</v>
      </c>
      <c r="AF68" s="688">
        <f ca="1">SUMIF('Budget-ACPL'!$A:$A,$A68,'Budget-ACPL'!AF:AF)+SUMIF('Budget-ACPLHK'!$A:$A,$A68,'Budget-ACPLHK'!AF:AF)+SUMIF('Budget-ACPSZL'!$A:$A,$A68,'Budget-ACPSZL'!AF:AF)+SUMIF('Budget-ACPLSZ'!$A:$A,$A68,'Budget-ACPLSZ'!AF:AF)+SUMIF('Budget-ACPLGZ'!$A:$A,$A68,'Budget-ACPLGZ'!AF:AF)+SUMIF('Budget-Yixing'!$A:$A,$A68,'Budget-Yixing'!AF:AF)</f>
        <v>827</v>
      </c>
      <c r="AG68" s="688">
        <f ca="1">SUMIF('Budget-ACPL'!$A:$A,$A68,'Budget-ACPL'!AG:AG)+SUMIF('Budget-ACPLHK'!$A:$A,$A68,'Budget-ACPLHK'!AG:AG)+SUMIF('Budget-ACPSZL'!$A:$A,$A68,'Budget-ACPSZL'!AG:AG)+SUMIF('Budget-ACPLSZ'!$A:$A,$A68,'Budget-ACPLSZ'!AG:AG)+SUMIF('Budget-ACPLGZ'!$A:$A,$A68,'Budget-ACPLGZ'!AG:AG)+SUMIF('Budget-Yixing'!$A:$A,$A68,'Budget-Yixing'!AG:AG)</f>
        <v>828</v>
      </c>
      <c r="AH68" s="688">
        <f ca="1">SUMIF('Budget-ACPL'!$A:$A,$A68,'Budget-ACPL'!AH:AH)+SUMIF('Budget-ACPLHK'!$A:$A,$A68,'Budget-ACPLHK'!AH:AH)+SUMIF('Budget-ACPSZL'!$A:$A,$A68,'Budget-ACPSZL'!AH:AH)+SUMIF('Budget-ACPLSZ'!$A:$A,$A68,'Budget-ACPLSZ'!AH:AH)+SUMIF('Budget-ACPLGZ'!$A:$A,$A68,'Budget-ACPLGZ'!AH:AH)+SUMIF('Budget-Yixing'!$A:$A,$A68,'Budget-Yixing'!AH:AH)</f>
        <v>841</v>
      </c>
      <c r="AI68" s="688">
        <f ca="1">SUMIF('Budget-ACPL'!$A:$A,$A68,'Budget-ACPL'!AI:AI)+SUMIF('Budget-ACPLHK'!$A:$A,$A68,'Budget-ACPLHK'!AI:AI)+SUMIF('Budget-ACPSZL'!$A:$A,$A68,'Budget-ACPSZL'!AI:AI)+SUMIF('Budget-ACPLSZ'!$A:$A,$A68,'Budget-ACPLSZ'!AI:AI)+SUMIF('Budget-ACPLGZ'!$A:$A,$A68,'Budget-ACPLGZ'!AI:AI)+SUMIF('Budget-Yixing'!$A:$A,$A68,'Budget-Yixing'!AI:AI)</f>
        <v>745</v>
      </c>
      <c r="AJ68" s="688">
        <f ca="1">SUMIF('Budget-ACPL'!$A:$A,$A68,'Budget-ACPL'!AJ:AJ)+SUMIF('Budget-ACPLHK'!$A:$A,$A68,'Budget-ACPLHK'!AJ:AJ)+SUMIF('Budget-ACPSZL'!$A:$A,$A68,'Budget-ACPSZL'!AJ:AJ)+SUMIF('Budget-ACPLSZ'!$A:$A,$A68,'Budget-ACPLSZ'!AJ:AJ)+SUMIF('Budget-ACPLGZ'!$A:$A,$A68,'Budget-ACPLGZ'!AJ:AJ)+SUMIF('Budget-Yixing'!$A:$A,$A68,'Budget-Yixing'!AJ:AJ)</f>
        <v>756</v>
      </c>
      <c r="AK68" s="688">
        <f t="shared" ca="1" si="33"/>
        <v>10777.5</v>
      </c>
    </row>
    <row r="69" spans="1:37" ht="13.5" hidden="1" customHeight="1">
      <c r="A69" s="713" t="s">
        <v>1603</v>
      </c>
      <c r="B69" s="687" t="str">
        <f>VLOOKUP(A69,Account!A:B,2,0)</f>
        <v>水费</v>
      </c>
      <c r="C69" s="687">
        <f>VLOOKUP(A69,Account!A:F,4,0)</f>
        <v>0</v>
      </c>
      <c r="D69" s="676">
        <f t="shared" ca="1" si="27"/>
        <v>0</v>
      </c>
      <c r="E69" s="676" t="e">
        <f t="shared" si="28"/>
        <v>#N/A</v>
      </c>
      <c r="F69" s="676" t="e">
        <f t="shared" ca="1" si="24"/>
        <v>#N/A</v>
      </c>
      <c r="G69" s="676">
        <f t="shared" ca="1" si="29"/>
        <v>0</v>
      </c>
      <c r="H69" s="676" t="e">
        <f t="shared" ca="1" si="30"/>
        <v>#N/A</v>
      </c>
      <c r="I69" s="676" t="e">
        <f t="shared" ca="1" si="31"/>
        <v>#N/A</v>
      </c>
      <c r="K69" s="676">
        <f ca="1">SUMIF('Budget-ACPL'!$A:$A,$A69,'Budget-ACPL'!K:K)+SUMIF('Budget-ACPLHK'!$A:$A,$A69,'Budget-ACPLHK'!K:K)+SUMIF('Budget-ACPSZL'!$A:$A,$A69,'Budget-ACPSZL'!K:K)+SUMIF('Budget-ACPLSZ'!$A:$A,$A69,'Budget-ACPLSZ'!K:K)+SUMIF('Budget-ACPLGZ'!$A:$A,$A69,'Budget-ACPLGZ'!K:K)+SUMIF('Budget-Yixing'!$A:$A,$A69,'Budget-Yixing'!K:K)</f>
        <v>0</v>
      </c>
      <c r="L69" s="676">
        <f ca="1">SUMIF('Budget-ACPL'!$A:$A,$A69,'Budget-ACPL'!L:L)+SUMIF('Budget-ACPLHK'!$A:$A,$A69,'Budget-ACPLHK'!L:L)+SUMIF('Budget-ACPSZL'!$A:$A,$A69,'Budget-ACPSZL'!L:L)+SUMIF('Budget-ACPLSZ'!$A:$A,$A69,'Budget-ACPLSZ'!L:L)+SUMIF('Budget-ACPLGZ'!$A:$A,$A69,'Budget-ACPLGZ'!L:L)+SUMIF('Budget-Yixing'!$A:$A,$A69,'Budget-Yixing'!L:L)</f>
        <v>0</v>
      </c>
      <c r="M69" s="676">
        <f ca="1">SUMIF('Budget-ACPL'!$A:$A,$A69,'Budget-ACPL'!M:M)+SUMIF('Budget-ACPLHK'!$A:$A,$A69,'Budget-ACPLHK'!M:M)+SUMIF('Budget-ACPSZL'!$A:$A,$A69,'Budget-ACPSZL'!M:M)+SUMIF('Budget-ACPLSZ'!$A:$A,$A69,'Budget-ACPLSZ'!M:M)+SUMIF('Budget-ACPLGZ'!$A:$A,$A69,'Budget-ACPLGZ'!M:M)+SUMIF('Budget-Yixing'!$A:$A,$A69,'Budget-Yixing'!M:M)</f>
        <v>0</v>
      </c>
      <c r="N69" s="676">
        <f ca="1">SUMIF('Budget-ACPL'!$A:$A,$A69,'Budget-ACPL'!N:N)+SUMIF('Budget-ACPLHK'!$A:$A,$A69,'Budget-ACPLHK'!N:N)+SUMIF('Budget-ACPSZL'!$A:$A,$A69,'Budget-ACPSZL'!N:N)+SUMIF('Budget-ACPLSZ'!$A:$A,$A69,'Budget-ACPLSZ'!N:N)+SUMIF('Budget-ACPLGZ'!$A:$A,$A69,'Budget-ACPLGZ'!N:N)+SUMIF('Budget-Yixing'!$A:$A,$A69,'Budget-Yixing'!N:N)</f>
        <v>0</v>
      </c>
      <c r="O69" s="676">
        <f ca="1">SUMIF('Budget-ACPL'!$A:$A,$A69,'Budget-ACPL'!O:O)+SUMIF('Budget-ACPLHK'!$A:$A,$A69,'Budget-ACPLHK'!O:O)+SUMIF('Budget-ACPSZL'!$A:$A,$A69,'Budget-ACPSZL'!O:O)+SUMIF('Budget-ACPLSZ'!$A:$A,$A69,'Budget-ACPLSZ'!O:O)+SUMIF('Budget-ACPLGZ'!$A:$A,$A69,'Budget-ACPLGZ'!O:O)+SUMIF('Budget-Yixing'!$A:$A,$A69,'Budget-Yixing'!O:O)</f>
        <v>0</v>
      </c>
      <c r="P69" s="676">
        <f ca="1">SUMIF('Budget-ACPL'!$A:$A,$A69,'Budget-ACPL'!P:P)+SUMIF('Budget-ACPLHK'!$A:$A,$A69,'Budget-ACPLHK'!P:P)+SUMIF('Budget-ACPSZL'!$A:$A,$A69,'Budget-ACPSZL'!P:P)+SUMIF('Budget-ACPLSZ'!$A:$A,$A69,'Budget-ACPLSZ'!P:P)+SUMIF('Budget-ACPLGZ'!$A:$A,$A69,'Budget-ACPLGZ'!P:P)+SUMIF('Budget-Yixing'!$A:$A,$A69,'Budget-Yixing'!P:P)</f>
        <v>0</v>
      </c>
      <c r="Q69" s="676">
        <f ca="1">SUMIF('Budget-ACPL'!$A:$A,$A69,'Budget-ACPL'!Q:Q)+SUMIF('Budget-ACPLHK'!$A:$A,$A69,'Budget-ACPLHK'!Q:Q)+SUMIF('Budget-ACPSZL'!$A:$A,$A69,'Budget-ACPSZL'!Q:Q)+SUMIF('Budget-ACPLSZ'!$A:$A,$A69,'Budget-ACPLSZ'!Q:Q)+SUMIF('Budget-ACPLGZ'!$A:$A,$A69,'Budget-ACPLGZ'!Q:Q)+SUMIF('Budget-Yixing'!$A:$A,$A69,'Budget-Yixing'!Q:Q)</f>
        <v>0</v>
      </c>
      <c r="R69" s="676">
        <f ca="1">SUMIF('Budget-ACPL'!$A:$A,$A69,'Budget-ACPL'!R:R)+SUMIF('Budget-ACPLHK'!$A:$A,$A69,'Budget-ACPLHK'!R:R)+SUMIF('Budget-ACPSZL'!$A:$A,$A69,'Budget-ACPSZL'!R:R)+SUMIF('Budget-ACPLSZ'!$A:$A,$A69,'Budget-ACPLSZ'!R:R)+SUMIF('Budget-ACPLGZ'!$A:$A,$A69,'Budget-ACPLGZ'!R:R)+SUMIF('Budget-Yixing'!$A:$A,$A69,'Budget-Yixing'!R:R)</f>
        <v>0</v>
      </c>
      <c r="S69" s="676">
        <f ca="1">SUMIF('Budget-ACPL'!$A:$A,$A69,'Budget-ACPL'!S:S)+SUMIF('Budget-ACPLHK'!$A:$A,$A69,'Budget-ACPLHK'!S:S)+SUMIF('Budget-ACPSZL'!$A:$A,$A69,'Budget-ACPSZL'!S:S)+SUMIF('Budget-ACPLSZ'!$A:$A,$A69,'Budget-ACPLSZ'!S:S)+SUMIF('Budget-ACPLGZ'!$A:$A,$A69,'Budget-ACPLGZ'!S:S)+SUMIF('Budget-Yixing'!$A:$A,$A69,'Budget-Yixing'!S:S)</f>
        <v>0</v>
      </c>
      <c r="T69" s="676">
        <f ca="1">SUMIF('Budget-ACPL'!$A:$A,$A69,'Budget-ACPL'!T:T)+SUMIF('Budget-ACPLHK'!$A:$A,$A69,'Budget-ACPLHK'!T:T)+SUMIF('Budget-ACPSZL'!$A:$A,$A69,'Budget-ACPSZL'!T:T)+SUMIF('Budget-ACPLSZ'!$A:$A,$A69,'Budget-ACPLSZ'!T:T)+SUMIF('Budget-ACPLGZ'!$A:$A,$A69,'Budget-ACPLGZ'!T:T)+SUMIF('Budget-Yixing'!$A:$A,$A69,'Budget-Yixing'!T:T)</f>
        <v>0</v>
      </c>
      <c r="U69" s="676">
        <f ca="1">SUMIF('Budget-ACPL'!$A:$A,$A69,'Budget-ACPL'!U:U)+SUMIF('Budget-ACPLHK'!$A:$A,$A69,'Budget-ACPLHK'!U:U)+SUMIF('Budget-ACPSZL'!$A:$A,$A69,'Budget-ACPSZL'!U:U)+SUMIF('Budget-ACPLSZ'!$A:$A,$A69,'Budget-ACPLSZ'!U:U)+SUMIF('Budget-ACPLGZ'!$A:$A,$A69,'Budget-ACPLGZ'!U:U)+SUMIF('Budget-Yixing'!$A:$A,$A69,'Budget-Yixing'!U:U)</f>
        <v>0</v>
      </c>
      <c r="V69" s="676">
        <f ca="1">SUMIF('Budget-ACPL'!$A:$A,$A69,'Budget-ACPL'!V:V)+SUMIF('Budget-ACPLHK'!$A:$A,$A69,'Budget-ACPLHK'!V:V)+SUMIF('Budget-ACPSZL'!$A:$A,$A69,'Budget-ACPSZL'!V:V)+SUMIF('Budget-ACPLSZ'!$A:$A,$A69,'Budget-ACPLSZ'!V:V)+SUMIF('Budget-ACPLGZ'!$A:$A,$A69,'Budget-ACPLGZ'!V:V)+SUMIF('Budget-Yixing'!$A:$A,$A69,'Budget-Yixing'!V:V)</f>
        <v>0</v>
      </c>
      <c r="W69" s="676">
        <f t="shared" ca="1" si="34"/>
        <v>0</v>
      </c>
      <c r="Y69" s="688">
        <f ca="1">SUMIF('Budget-ACPL'!$A:$A,$A69,'Budget-ACPL'!Y:Y)+SUMIF('Budget-ACPLHK'!$A:$A,$A69,'Budget-ACPLHK'!Y:Y)+SUMIF('Budget-ACPSZL'!$A:$A,$A69,'Budget-ACPSZL'!Y:Y)+SUMIF('Budget-ACPLSZ'!$A:$A,$A69,'Budget-ACPLSZ'!Y:Y)+SUMIF('Budget-ACPLGZ'!$A:$A,$A69,'Budget-ACPLGZ'!Y:Y)+SUMIF('Budget-Yixing'!$A:$A,$A69,'Budget-Yixing'!Y:Y)</f>
        <v>0</v>
      </c>
      <c r="Z69" s="688">
        <f ca="1">SUMIF('Budget-ACPL'!$A:$A,$A69,'Budget-ACPL'!Z:Z)+SUMIF('Budget-ACPLHK'!$A:$A,$A69,'Budget-ACPLHK'!Z:Z)+SUMIF('Budget-ACPSZL'!$A:$A,$A69,'Budget-ACPSZL'!Z:Z)+SUMIF('Budget-ACPLSZ'!$A:$A,$A69,'Budget-ACPLSZ'!Z:Z)+SUMIF('Budget-ACPLGZ'!$A:$A,$A69,'Budget-ACPLGZ'!Z:Z)+SUMIF('Budget-Yixing'!$A:$A,$A69,'Budget-Yixing'!Z:Z)</f>
        <v>0</v>
      </c>
      <c r="AA69" s="688">
        <f ca="1">SUMIF('Budget-ACPL'!$A:$A,$A69,'Budget-ACPL'!AA:AA)+SUMIF('Budget-ACPLHK'!$A:$A,$A69,'Budget-ACPLHK'!AA:AA)+SUMIF('Budget-ACPSZL'!$A:$A,$A69,'Budget-ACPSZL'!AA:AA)+SUMIF('Budget-ACPLSZ'!$A:$A,$A69,'Budget-ACPLSZ'!AA:AA)+SUMIF('Budget-ACPLGZ'!$A:$A,$A69,'Budget-ACPLGZ'!AA:AA)+SUMIF('Budget-Yixing'!$A:$A,$A69,'Budget-Yixing'!AA:AA)</f>
        <v>0</v>
      </c>
      <c r="AB69" s="688">
        <f ca="1">SUMIF('Budget-ACPL'!$A:$A,$A69,'Budget-ACPL'!AB:AB)+SUMIF('Budget-ACPLHK'!$A:$A,$A69,'Budget-ACPLHK'!AB:AB)+SUMIF('Budget-ACPSZL'!$A:$A,$A69,'Budget-ACPSZL'!AB:AB)+SUMIF('Budget-ACPLSZ'!$A:$A,$A69,'Budget-ACPLSZ'!AB:AB)+SUMIF('Budget-ACPLGZ'!$A:$A,$A69,'Budget-ACPLGZ'!AB:AB)+SUMIF('Budget-Yixing'!$A:$A,$A69,'Budget-Yixing'!AB:AB)</f>
        <v>0</v>
      </c>
      <c r="AC69" s="688">
        <f ca="1">SUMIF('Budget-ACPL'!$A:$A,$A69,'Budget-ACPL'!AC:AC)+SUMIF('Budget-ACPLHK'!$A:$A,$A69,'Budget-ACPLHK'!AC:AC)+SUMIF('Budget-ACPSZL'!$A:$A,$A69,'Budget-ACPSZL'!AC:AC)+SUMIF('Budget-ACPLSZ'!$A:$A,$A69,'Budget-ACPLSZ'!AC:AC)+SUMIF('Budget-ACPLGZ'!$A:$A,$A69,'Budget-ACPLGZ'!AC:AC)+SUMIF('Budget-Yixing'!$A:$A,$A69,'Budget-Yixing'!AC:AC)</f>
        <v>0</v>
      </c>
      <c r="AD69" s="688">
        <f ca="1">SUMIF('Budget-ACPL'!$A:$A,$A69,'Budget-ACPL'!AD:AD)+SUMIF('Budget-ACPLHK'!$A:$A,$A69,'Budget-ACPLHK'!AD:AD)+SUMIF('Budget-ACPSZL'!$A:$A,$A69,'Budget-ACPSZL'!AD:AD)+SUMIF('Budget-ACPLSZ'!$A:$A,$A69,'Budget-ACPLSZ'!AD:AD)+SUMIF('Budget-ACPLGZ'!$A:$A,$A69,'Budget-ACPLGZ'!AD:AD)+SUMIF('Budget-Yixing'!$A:$A,$A69,'Budget-Yixing'!AD:AD)</f>
        <v>0</v>
      </c>
      <c r="AE69" s="688">
        <f ca="1">SUMIF('Budget-ACPL'!$A:$A,$A69,'Budget-ACPL'!AE:AE)+SUMIF('Budget-ACPLHK'!$A:$A,$A69,'Budget-ACPLHK'!AE:AE)+SUMIF('Budget-ACPSZL'!$A:$A,$A69,'Budget-ACPSZL'!AE:AE)+SUMIF('Budget-ACPLSZ'!$A:$A,$A69,'Budget-ACPLSZ'!AE:AE)+SUMIF('Budget-ACPLGZ'!$A:$A,$A69,'Budget-ACPLGZ'!AE:AE)+SUMIF('Budget-Yixing'!$A:$A,$A69,'Budget-Yixing'!AE:AE)</f>
        <v>0</v>
      </c>
      <c r="AF69" s="688">
        <f ca="1">SUMIF('Budget-ACPL'!$A:$A,$A69,'Budget-ACPL'!AF:AF)+SUMIF('Budget-ACPLHK'!$A:$A,$A69,'Budget-ACPLHK'!AF:AF)+SUMIF('Budget-ACPSZL'!$A:$A,$A69,'Budget-ACPSZL'!AF:AF)+SUMIF('Budget-ACPLSZ'!$A:$A,$A69,'Budget-ACPLSZ'!AF:AF)+SUMIF('Budget-ACPLGZ'!$A:$A,$A69,'Budget-ACPLGZ'!AF:AF)+SUMIF('Budget-Yixing'!$A:$A,$A69,'Budget-Yixing'!AF:AF)</f>
        <v>0</v>
      </c>
      <c r="AG69" s="688">
        <f ca="1">SUMIF('Budget-ACPL'!$A:$A,$A69,'Budget-ACPL'!AG:AG)+SUMIF('Budget-ACPLHK'!$A:$A,$A69,'Budget-ACPLHK'!AG:AG)+SUMIF('Budget-ACPSZL'!$A:$A,$A69,'Budget-ACPSZL'!AG:AG)+SUMIF('Budget-ACPLSZ'!$A:$A,$A69,'Budget-ACPLSZ'!AG:AG)+SUMIF('Budget-ACPLGZ'!$A:$A,$A69,'Budget-ACPLGZ'!AG:AG)+SUMIF('Budget-Yixing'!$A:$A,$A69,'Budget-Yixing'!AG:AG)</f>
        <v>0</v>
      </c>
      <c r="AH69" s="688">
        <f ca="1">SUMIF('Budget-ACPL'!$A:$A,$A69,'Budget-ACPL'!AH:AH)+SUMIF('Budget-ACPLHK'!$A:$A,$A69,'Budget-ACPLHK'!AH:AH)+SUMIF('Budget-ACPSZL'!$A:$A,$A69,'Budget-ACPSZL'!AH:AH)+SUMIF('Budget-ACPLSZ'!$A:$A,$A69,'Budget-ACPLSZ'!AH:AH)+SUMIF('Budget-ACPLGZ'!$A:$A,$A69,'Budget-ACPLGZ'!AH:AH)+SUMIF('Budget-Yixing'!$A:$A,$A69,'Budget-Yixing'!AH:AH)</f>
        <v>0</v>
      </c>
      <c r="AI69" s="688">
        <f ca="1">SUMIF('Budget-ACPL'!$A:$A,$A69,'Budget-ACPL'!AI:AI)+SUMIF('Budget-ACPLHK'!$A:$A,$A69,'Budget-ACPLHK'!AI:AI)+SUMIF('Budget-ACPSZL'!$A:$A,$A69,'Budget-ACPSZL'!AI:AI)+SUMIF('Budget-ACPLSZ'!$A:$A,$A69,'Budget-ACPLSZ'!AI:AI)+SUMIF('Budget-ACPLGZ'!$A:$A,$A69,'Budget-ACPLGZ'!AI:AI)+SUMIF('Budget-Yixing'!$A:$A,$A69,'Budget-Yixing'!AI:AI)</f>
        <v>0</v>
      </c>
      <c r="AJ69" s="688">
        <f ca="1">SUMIF('Budget-ACPL'!$A:$A,$A69,'Budget-ACPL'!AJ:AJ)+SUMIF('Budget-ACPLHK'!$A:$A,$A69,'Budget-ACPLHK'!AJ:AJ)+SUMIF('Budget-ACPSZL'!$A:$A,$A69,'Budget-ACPSZL'!AJ:AJ)+SUMIF('Budget-ACPLSZ'!$A:$A,$A69,'Budget-ACPLSZ'!AJ:AJ)+SUMIF('Budget-ACPLGZ'!$A:$A,$A69,'Budget-ACPLGZ'!AJ:AJ)+SUMIF('Budget-Yixing'!$A:$A,$A69,'Budget-Yixing'!AJ:AJ)</f>
        <v>0</v>
      </c>
      <c r="AK69" s="688">
        <f t="shared" ca="1" si="33"/>
        <v>0</v>
      </c>
    </row>
    <row r="70" spans="1:37" ht="13.5" customHeight="1">
      <c r="A70" s="713" t="s">
        <v>1607</v>
      </c>
      <c r="B70" s="687" t="str">
        <f>VLOOKUP(A70,Account!A:B,2,0)</f>
        <v>维修费</v>
      </c>
      <c r="C70" s="687" t="str">
        <f>VLOOKUP(A70,Account!A:F,4,0)</f>
        <v>Office Maintenance &amp; Repair</v>
      </c>
      <c r="D70" s="676">
        <f t="shared" ca="1" si="27"/>
        <v>2336.2237499999997</v>
      </c>
      <c r="E70" s="676" t="e">
        <f t="shared" si="28"/>
        <v>#N/A</v>
      </c>
      <c r="F70" s="676" t="e">
        <f t="shared" ca="1" si="24"/>
        <v>#N/A</v>
      </c>
      <c r="G70" s="676">
        <f t="shared" ca="1" si="29"/>
        <v>2336.2237499999997</v>
      </c>
      <c r="H70" s="676" t="e">
        <f t="shared" ca="1" si="30"/>
        <v>#N/A</v>
      </c>
      <c r="I70" s="676" t="e">
        <f t="shared" ca="1" si="31"/>
        <v>#N/A</v>
      </c>
      <c r="K70" s="676">
        <f ca="1">SUMIF('Budget-ACPL'!$A:$A,$A70,'Budget-ACPL'!K:K)+SUMIF('Budget-ACPLHK'!$A:$A,$A70,'Budget-ACPLHK'!K:K)+SUMIF('Budget-ACPSZL'!$A:$A,$A70,'Budget-ACPSZL'!K:K)+SUMIF('Budget-ACPLSZ'!$A:$A,$A70,'Budget-ACPLSZ'!K:K)+SUMIF('Budget-ACPLGZ'!$A:$A,$A70,'Budget-ACPLGZ'!K:K)+SUMIF('Budget-Yixing'!$A:$A,$A70,'Budget-Yixing'!K:K)</f>
        <v>2336.2237499999997</v>
      </c>
      <c r="L70" s="676">
        <f ca="1">SUMIF('Budget-ACPL'!$A:$A,$A70,'Budget-ACPL'!L:L)+SUMIF('Budget-ACPLHK'!$A:$A,$A70,'Budget-ACPLHK'!L:L)+SUMIF('Budget-ACPSZL'!$A:$A,$A70,'Budget-ACPSZL'!L:L)+SUMIF('Budget-ACPLSZ'!$A:$A,$A70,'Budget-ACPLSZ'!L:L)+SUMIF('Budget-ACPLGZ'!$A:$A,$A70,'Budget-ACPLGZ'!L:L)+SUMIF('Budget-Yixing'!$A:$A,$A70,'Budget-Yixing'!L:L)</f>
        <v>2315.7750000000001</v>
      </c>
      <c r="M70" s="676">
        <f ca="1">SUMIF('Budget-ACPL'!$A:$A,$A70,'Budget-ACPL'!M:M)+SUMIF('Budget-ACPLHK'!$A:$A,$A70,'Budget-ACPLHK'!M:M)+SUMIF('Budget-ACPSZL'!$A:$A,$A70,'Budget-ACPSZL'!M:M)+SUMIF('Budget-ACPLSZ'!$A:$A,$A70,'Budget-ACPLSZ'!M:M)+SUMIF('Budget-ACPLGZ'!$A:$A,$A70,'Budget-ACPLGZ'!M:M)+SUMIF('Budget-Yixing'!$A:$A,$A70,'Budget-Yixing'!M:M)</f>
        <v>2315.7750000000001</v>
      </c>
      <c r="N70" s="676">
        <f ca="1">SUMIF('Budget-ACPL'!$A:$A,$A70,'Budget-ACPL'!N:N)+SUMIF('Budget-ACPLHK'!$A:$A,$A70,'Budget-ACPLHK'!N:N)+SUMIF('Budget-ACPSZL'!$A:$A,$A70,'Budget-ACPSZL'!N:N)+SUMIF('Budget-ACPLSZ'!$A:$A,$A70,'Budget-ACPLSZ'!N:N)+SUMIF('Budget-ACPLGZ'!$A:$A,$A70,'Budget-ACPLGZ'!N:N)+SUMIF('Budget-Yixing'!$A:$A,$A70,'Budget-Yixing'!N:N)</f>
        <v>2315.7750000000001</v>
      </c>
      <c r="O70" s="676">
        <f ca="1">SUMIF('Budget-ACPL'!$A:$A,$A70,'Budget-ACPL'!O:O)+SUMIF('Budget-ACPLHK'!$A:$A,$A70,'Budget-ACPLHK'!O:O)+SUMIF('Budget-ACPSZL'!$A:$A,$A70,'Budget-ACPSZL'!O:O)+SUMIF('Budget-ACPLSZ'!$A:$A,$A70,'Budget-ACPLSZ'!O:O)+SUMIF('Budget-ACPLGZ'!$A:$A,$A70,'Budget-ACPLGZ'!O:O)+SUMIF('Budget-Yixing'!$A:$A,$A70,'Budget-Yixing'!O:O)</f>
        <v>2315.7750000000001</v>
      </c>
      <c r="P70" s="676">
        <f ca="1">SUMIF('Budget-ACPL'!$A:$A,$A70,'Budget-ACPL'!P:P)+SUMIF('Budget-ACPLHK'!$A:$A,$A70,'Budget-ACPLHK'!P:P)+SUMIF('Budget-ACPSZL'!$A:$A,$A70,'Budget-ACPSZL'!P:P)+SUMIF('Budget-ACPLSZ'!$A:$A,$A70,'Budget-ACPLSZ'!P:P)+SUMIF('Budget-ACPLGZ'!$A:$A,$A70,'Budget-ACPLGZ'!P:P)+SUMIF('Budget-Yixing'!$A:$A,$A70,'Budget-Yixing'!P:P)</f>
        <v>2315.7750000000001</v>
      </c>
      <c r="Q70" s="676">
        <f ca="1">SUMIF('Budget-ACPL'!$A:$A,$A70,'Budget-ACPL'!Q:Q)+SUMIF('Budget-ACPLHK'!$A:$A,$A70,'Budget-ACPLHK'!Q:Q)+SUMIF('Budget-ACPSZL'!$A:$A,$A70,'Budget-ACPSZL'!Q:Q)+SUMIF('Budget-ACPLSZ'!$A:$A,$A70,'Budget-ACPLSZ'!Q:Q)+SUMIF('Budget-ACPLGZ'!$A:$A,$A70,'Budget-ACPLGZ'!Q:Q)+SUMIF('Budget-Yixing'!$A:$A,$A70,'Budget-Yixing'!Q:Q)</f>
        <v>2315.7750000000001</v>
      </c>
      <c r="R70" s="676">
        <f ca="1">SUMIF('Budget-ACPL'!$A:$A,$A70,'Budget-ACPL'!R:R)+SUMIF('Budget-ACPLHK'!$A:$A,$A70,'Budget-ACPLHK'!R:R)+SUMIF('Budget-ACPSZL'!$A:$A,$A70,'Budget-ACPSZL'!R:R)+SUMIF('Budget-ACPLSZ'!$A:$A,$A70,'Budget-ACPLSZ'!R:R)+SUMIF('Budget-ACPLGZ'!$A:$A,$A70,'Budget-ACPLGZ'!R:R)+SUMIF('Budget-Yixing'!$A:$A,$A70,'Budget-Yixing'!R:R)</f>
        <v>2315.7750000000001</v>
      </c>
      <c r="S70" s="676">
        <f ca="1">SUMIF('Budget-ACPL'!$A:$A,$A70,'Budget-ACPL'!S:S)+SUMIF('Budget-ACPLHK'!$A:$A,$A70,'Budget-ACPLHK'!S:S)+SUMIF('Budget-ACPSZL'!$A:$A,$A70,'Budget-ACPSZL'!S:S)+SUMIF('Budget-ACPLSZ'!$A:$A,$A70,'Budget-ACPLSZ'!S:S)+SUMIF('Budget-ACPLGZ'!$A:$A,$A70,'Budget-ACPLGZ'!S:S)+SUMIF('Budget-Yixing'!$A:$A,$A70,'Budget-Yixing'!S:S)</f>
        <v>2315.7750000000001</v>
      </c>
      <c r="T70" s="676">
        <f ca="1">SUMIF('Budget-ACPL'!$A:$A,$A70,'Budget-ACPL'!T:T)+SUMIF('Budget-ACPLHK'!$A:$A,$A70,'Budget-ACPLHK'!T:T)+SUMIF('Budget-ACPSZL'!$A:$A,$A70,'Budget-ACPSZL'!T:T)+SUMIF('Budget-ACPLSZ'!$A:$A,$A70,'Budget-ACPLSZ'!T:T)+SUMIF('Budget-ACPLGZ'!$A:$A,$A70,'Budget-ACPLGZ'!T:T)+SUMIF('Budget-Yixing'!$A:$A,$A70,'Budget-Yixing'!T:T)</f>
        <v>2315.7750000000001</v>
      </c>
      <c r="U70" s="676">
        <f ca="1">SUMIF('Budget-ACPL'!$A:$A,$A70,'Budget-ACPL'!U:U)+SUMIF('Budget-ACPLHK'!$A:$A,$A70,'Budget-ACPLHK'!U:U)+SUMIF('Budget-ACPSZL'!$A:$A,$A70,'Budget-ACPSZL'!U:U)+SUMIF('Budget-ACPLSZ'!$A:$A,$A70,'Budget-ACPLSZ'!U:U)+SUMIF('Budget-ACPLGZ'!$A:$A,$A70,'Budget-ACPLGZ'!U:U)+SUMIF('Budget-Yixing'!$A:$A,$A70,'Budget-Yixing'!U:U)</f>
        <v>2315.7750000000001</v>
      </c>
      <c r="V70" s="676">
        <f ca="1">SUMIF('Budget-ACPL'!$A:$A,$A70,'Budget-ACPL'!V:V)+SUMIF('Budget-ACPLHK'!$A:$A,$A70,'Budget-ACPLHK'!V:V)+SUMIF('Budget-ACPSZL'!$A:$A,$A70,'Budget-ACPSZL'!V:V)+SUMIF('Budget-ACPLSZ'!$A:$A,$A70,'Budget-ACPLSZ'!V:V)+SUMIF('Budget-ACPLGZ'!$A:$A,$A70,'Budget-ACPLGZ'!V:V)+SUMIF('Budget-Yixing'!$A:$A,$A70,'Budget-Yixing'!V:V)</f>
        <v>2315.7750000000001</v>
      </c>
      <c r="W70" s="676">
        <f t="shared" ca="1" si="34"/>
        <v>27809.748750000006</v>
      </c>
      <c r="Y70" s="688">
        <f ca="1">SUMIF('Budget-ACPL'!$A:$A,$A70,'Budget-ACPL'!Y:Y)+SUMIF('Budget-ACPLHK'!$A:$A,$A70,'Budget-ACPLHK'!Y:Y)+SUMIF('Budget-ACPSZL'!$A:$A,$A70,'Budget-ACPSZL'!Y:Y)+SUMIF('Budget-ACPLSZ'!$A:$A,$A70,'Budget-ACPLSZ'!Y:Y)+SUMIF('Budget-ACPLGZ'!$A:$A,$A70,'Budget-ACPLGZ'!Y:Y)+SUMIF('Budget-Yixing'!$A:$A,$A70,'Budget-Yixing'!Y:Y)</f>
        <v>732.7</v>
      </c>
      <c r="Z70" s="688">
        <f ca="1">SUMIF('Budget-ACPL'!$A:$A,$A70,'Budget-ACPL'!Z:Z)+SUMIF('Budget-ACPLHK'!$A:$A,$A70,'Budget-ACPLHK'!Z:Z)+SUMIF('Budget-ACPSZL'!$A:$A,$A70,'Budget-ACPSZL'!Z:Z)+SUMIF('Budget-ACPLSZ'!$A:$A,$A70,'Budget-ACPLSZ'!Z:Z)+SUMIF('Budget-ACPLGZ'!$A:$A,$A70,'Budget-ACPLGZ'!Z:Z)+SUMIF('Budget-Yixing'!$A:$A,$A70,'Budget-Yixing'!Z:Z)</f>
        <v>661.8</v>
      </c>
      <c r="AA70" s="688">
        <f ca="1">SUMIF('Budget-ACPL'!$A:$A,$A70,'Budget-ACPL'!AA:AA)+SUMIF('Budget-ACPLHK'!$A:$A,$A70,'Budget-ACPLHK'!AA:AA)+SUMIF('Budget-ACPSZL'!$A:$A,$A70,'Budget-ACPSZL'!AA:AA)+SUMIF('Budget-ACPLSZ'!$A:$A,$A70,'Budget-ACPLSZ'!AA:AA)+SUMIF('Budget-ACPLGZ'!$A:$A,$A70,'Budget-ACPLGZ'!AA:AA)+SUMIF('Budget-Yixing'!$A:$A,$A70,'Budget-Yixing'!AA:AA)</f>
        <v>732.7</v>
      </c>
      <c r="AB70" s="688">
        <f ca="1">SUMIF('Budget-ACPL'!$A:$A,$A70,'Budget-ACPL'!AB:AB)+SUMIF('Budget-ACPLHK'!$A:$A,$A70,'Budget-ACPLHK'!AB:AB)+SUMIF('Budget-ACPSZL'!$A:$A,$A70,'Budget-ACPSZL'!AB:AB)+SUMIF('Budget-ACPLSZ'!$A:$A,$A70,'Budget-ACPLSZ'!AB:AB)+SUMIF('Budget-ACPLGZ'!$A:$A,$A70,'Budget-ACPLGZ'!AB:AB)+SUMIF('Budget-Yixing'!$A:$A,$A70,'Budget-Yixing'!AB:AB)</f>
        <v>709.07</v>
      </c>
      <c r="AC70" s="688">
        <f ca="1">SUMIF('Budget-ACPL'!$A:$A,$A70,'Budget-ACPL'!AC:AC)+SUMIF('Budget-ACPLHK'!$A:$A,$A70,'Budget-ACPLHK'!AC:AC)+SUMIF('Budget-ACPSZL'!$A:$A,$A70,'Budget-ACPSZL'!AC:AC)+SUMIF('Budget-ACPLSZ'!$A:$A,$A70,'Budget-ACPLSZ'!AC:AC)+SUMIF('Budget-ACPLGZ'!$A:$A,$A70,'Budget-ACPLGZ'!AC:AC)+SUMIF('Budget-Yixing'!$A:$A,$A70,'Budget-Yixing'!AC:AC)</f>
        <v>732.7</v>
      </c>
      <c r="AD70" s="688">
        <f ca="1">SUMIF('Budget-ACPL'!$A:$A,$A70,'Budget-ACPL'!AD:AD)+SUMIF('Budget-ACPLHK'!$A:$A,$A70,'Budget-ACPLHK'!AD:AD)+SUMIF('Budget-ACPSZL'!$A:$A,$A70,'Budget-ACPSZL'!AD:AD)+SUMIF('Budget-ACPLSZ'!$A:$A,$A70,'Budget-ACPLSZ'!AD:AD)+SUMIF('Budget-ACPLGZ'!$A:$A,$A70,'Budget-ACPLGZ'!AD:AD)+SUMIF('Budget-Yixing'!$A:$A,$A70,'Budget-Yixing'!AD:AD)</f>
        <v>709.07</v>
      </c>
      <c r="AE70" s="688">
        <f ca="1">SUMIF('Budget-ACPL'!$A:$A,$A70,'Budget-ACPL'!AE:AE)+SUMIF('Budget-ACPLHK'!$A:$A,$A70,'Budget-ACPLHK'!AE:AE)+SUMIF('Budget-ACPSZL'!$A:$A,$A70,'Budget-ACPSZL'!AE:AE)+SUMIF('Budget-ACPLSZ'!$A:$A,$A70,'Budget-ACPLSZ'!AE:AE)+SUMIF('Budget-ACPLGZ'!$A:$A,$A70,'Budget-ACPLGZ'!AE:AE)+SUMIF('Budget-Yixing'!$A:$A,$A70,'Budget-Yixing'!AE:AE)</f>
        <v>2771.27</v>
      </c>
      <c r="AF70" s="688">
        <f ca="1">SUMIF('Budget-ACPL'!$A:$A,$A70,'Budget-ACPL'!AF:AF)+SUMIF('Budget-ACPLHK'!$A:$A,$A70,'Budget-ACPLHK'!AF:AF)+SUMIF('Budget-ACPSZL'!$A:$A,$A70,'Budget-ACPSZL'!AF:AF)+SUMIF('Budget-ACPLSZ'!$A:$A,$A70,'Budget-ACPLSZ'!AF:AF)+SUMIF('Budget-ACPLGZ'!$A:$A,$A70,'Budget-ACPLGZ'!AF:AF)+SUMIF('Budget-Yixing'!$A:$A,$A70,'Budget-Yixing'!AF:AF)</f>
        <v>732.7</v>
      </c>
      <c r="AG70" s="688">
        <f ca="1">SUMIF('Budget-ACPL'!$A:$A,$A70,'Budget-ACPL'!AG:AG)+SUMIF('Budget-ACPLHK'!$A:$A,$A70,'Budget-ACPLHK'!AG:AG)+SUMIF('Budget-ACPSZL'!$A:$A,$A70,'Budget-ACPSZL'!AG:AG)+SUMIF('Budget-ACPLSZ'!$A:$A,$A70,'Budget-ACPLSZ'!AG:AG)+SUMIF('Budget-ACPLGZ'!$A:$A,$A70,'Budget-ACPLGZ'!AG:AG)+SUMIF('Budget-Yixing'!$A:$A,$A70,'Budget-Yixing'!AG:AG)</f>
        <v>709.07</v>
      </c>
      <c r="AH70" s="688">
        <f ca="1">SUMIF('Budget-ACPL'!$A:$A,$A70,'Budget-ACPL'!AH:AH)+SUMIF('Budget-ACPLHK'!$A:$A,$A70,'Budget-ACPLHK'!AH:AH)+SUMIF('Budget-ACPSZL'!$A:$A,$A70,'Budget-ACPSZL'!AH:AH)+SUMIF('Budget-ACPLSZ'!$A:$A,$A70,'Budget-ACPLSZ'!AH:AH)+SUMIF('Budget-ACPLGZ'!$A:$A,$A70,'Budget-ACPLGZ'!AH:AH)+SUMIF('Budget-Yixing'!$A:$A,$A70,'Budget-Yixing'!AH:AH)</f>
        <v>371.15</v>
      </c>
      <c r="AI70" s="688">
        <f ca="1">SUMIF('Budget-ACPL'!$A:$A,$A70,'Budget-ACPL'!AI:AI)+SUMIF('Budget-ACPLHK'!$A:$A,$A70,'Budget-ACPLHK'!AI:AI)+SUMIF('Budget-ACPSZL'!$A:$A,$A70,'Budget-ACPSZL'!AI:AI)+SUMIF('Budget-ACPLSZ'!$A:$A,$A70,'Budget-ACPLSZ'!AI:AI)+SUMIF('Budget-ACPLGZ'!$A:$A,$A70,'Budget-ACPLGZ'!AI:AI)+SUMIF('Budget-Yixing'!$A:$A,$A70,'Budget-Yixing'!AI:AI)</f>
        <v>359.17</v>
      </c>
      <c r="AJ70" s="688">
        <f ca="1">SUMIF('Budget-ACPL'!$A:$A,$A70,'Budget-ACPL'!AJ:AJ)+SUMIF('Budget-ACPLHK'!$A:$A,$A70,'Budget-ACPLHK'!AJ:AJ)+SUMIF('Budget-ACPSZL'!$A:$A,$A70,'Budget-ACPSZL'!AJ:AJ)+SUMIF('Budget-ACPLSZ'!$A:$A,$A70,'Budget-ACPLSZ'!AJ:AJ)+SUMIF('Budget-ACPLGZ'!$A:$A,$A70,'Budget-ACPLGZ'!AJ:AJ)+SUMIF('Budget-Yixing'!$A:$A,$A70,'Budget-Yixing'!AJ:AJ)</f>
        <v>-1128.8399999999999</v>
      </c>
      <c r="AK70" s="688">
        <f t="shared" ca="1" si="33"/>
        <v>8092.5599999999995</v>
      </c>
    </row>
    <row r="71" spans="1:37" ht="13.5" hidden="1" customHeight="1">
      <c r="A71" s="713" t="s">
        <v>1610</v>
      </c>
      <c r="B71" s="687" t="str">
        <f>VLOOKUP(A71,Account!A:B,2,0)</f>
        <v>装修费</v>
      </c>
      <c r="C71" s="687" t="str">
        <f>VLOOKUP(A71,Account!A:F,4,0)</f>
        <v>Depreciation_Leasehold Improvement</v>
      </c>
      <c r="D71" s="676">
        <f t="shared" ca="1" si="27"/>
        <v>0</v>
      </c>
      <c r="E71" s="676" t="e">
        <f t="shared" si="28"/>
        <v>#N/A</v>
      </c>
      <c r="F71" s="676" t="e">
        <f t="shared" ca="1" si="24"/>
        <v>#N/A</v>
      </c>
      <c r="G71" s="676">
        <f t="shared" ca="1" si="29"/>
        <v>0</v>
      </c>
      <c r="H71" s="676" t="e">
        <f t="shared" ca="1" si="30"/>
        <v>#N/A</v>
      </c>
      <c r="I71" s="676" t="e">
        <f t="shared" ca="1" si="31"/>
        <v>#N/A</v>
      </c>
      <c r="K71" s="676">
        <f ca="1">SUMIF('Budget-ACPL'!$A:$A,$A71,'Budget-ACPL'!K:K)+SUMIF('Budget-ACPLHK'!$A:$A,$A71,'Budget-ACPLHK'!K:K)+SUMIF('Budget-ACPSZL'!$A:$A,$A71,'Budget-ACPSZL'!K:K)+SUMIF('Budget-ACPLSZ'!$A:$A,$A71,'Budget-ACPLSZ'!K:K)+SUMIF('Budget-ACPLGZ'!$A:$A,$A71,'Budget-ACPLGZ'!K:K)+SUMIF('Budget-Yixing'!$A:$A,$A71,'Budget-Yixing'!K:K)</f>
        <v>0</v>
      </c>
      <c r="L71" s="676">
        <f ca="1">SUMIF('Budget-ACPL'!$A:$A,$A71,'Budget-ACPL'!L:L)+SUMIF('Budget-ACPLHK'!$A:$A,$A71,'Budget-ACPLHK'!L:L)+SUMIF('Budget-ACPSZL'!$A:$A,$A71,'Budget-ACPSZL'!L:L)+SUMIF('Budget-ACPLSZ'!$A:$A,$A71,'Budget-ACPLSZ'!L:L)+SUMIF('Budget-ACPLGZ'!$A:$A,$A71,'Budget-ACPLGZ'!L:L)+SUMIF('Budget-Yixing'!$A:$A,$A71,'Budget-Yixing'!L:L)</f>
        <v>0</v>
      </c>
      <c r="M71" s="676">
        <f ca="1">SUMIF('Budget-ACPL'!$A:$A,$A71,'Budget-ACPL'!M:M)+SUMIF('Budget-ACPLHK'!$A:$A,$A71,'Budget-ACPLHK'!M:M)+SUMIF('Budget-ACPSZL'!$A:$A,$A71,'Budget-ACPSZL'!M:M)+SUMIF('Budget-ACPLSZ'!$A:$A,$A71,'Budget-ACPLSZ'!M:M)+SUMIF('Budget-ACPLGZ'!$A:$A,$A71,'Budget-ACPLGZ'!M:M)+SUMIF('Budget-Yixing'!$A:$A,$A71,'Budget-Yixing'!M:M)</f>
        <v>0</v>
      </c>
      <c r="N71" s="676">
        <f ca="1">SUMIF('Budget-ACPL'!$A:$A,$A71,'Budget-ACPL'!N:N)+SUMIF('Budget-ACPLHK'!$A:$A,$A71,'Budget-ACPLHK'!N:N)+SUMIF('Budget-ACPSZL'!$A:$A,$A71,'Budget-ACPSZL'!N:N)+SUMIF('Budget-ACPLSZ'!$A:$A,$A71,'Budget-ACPLSZ'!N:N)+SUMIF('Budget-ACPLGZ'!$A:$A,$A71,'Budget-ACPLGZ'!N:N)+SUMIF('Budget-Yixing'!$A:$A,$A71,'Budget-Yixing'!N:N)</f>
        <v>0</v>
      </c>
      <c r="O71" s="676">
        <f ca="1">SUMIF('Budget-ACPL'!$A:$A,$A71,'Budget-ACPL'!O:O)+SUMIF('Budget-ACPLHK'!$A:$A,$A71,'Budget-ACPLHK'!O:O)+SUMIF('Budget-ACPSZL'!$A:$A,$A71,'Budget-ACPSZL'!O:O)+SUMIF('Budget-ACPLSZ'!$A:$A,$A71,'Budget-ACPLSZ'!O:O)+SUMIF('Budget-ACPLGZ'!$A:$A,$A71,'Budget-ACPLGZ'!O:O)+SUMIF('Budget-Yixing'!$A:$A,$A71,'Budget-Yixing'!O:O)</f>
        <v>0</v>
      </c>
      <c r="P71" s="676">
        <f ca="1">SUMIF('Budget-ACPL'!$A:$A,$A71,'Budget-ACPL'!P:P)+SUMIF('Budget-ACPLHK'!$A:$A,$A71,'Budget-ACPLHK'!P:P)+SUMIF('Budget-ACPSZL'!$A:$A,$A71,'Budget-ACPSZL'!P:P)+SUMIF('Budget-ACPLSZ'!$A:$A,$A71,'Budget-ACPLSZ'!P:P)+SUMIF('Budget-ACPLGZ'!$A:$A,$A71,'Budget-ACPLGZ'!P:P)+SUMIF('Budget-Yixing'!$A:$A,$A71,'Budget-Yixing'!P:P)</f>
        <v>0</v>
      </c>
      <c r="Q71" s="676">
        <f ca="1">SUMIF('Budget-ACPL'!$A:$A,$A71,'Budget-ACPL'!Q:Q)+SUMIF('Budget-ACPLHK'!$A:$A,$A71,'Budget-ACPLHK'!Q:Q)+SUMIF('Budget-ACPSZL'!$A:$A,$A71,'Budget-ACPSZL'!Q:Q)+SUMIF('Budget-ACPLSZ'!$A:$A,$A71,'Budget-ACPLSZ'!Q:Q)+SUMIF('Budget-ACPLGZ'!$A:$A,$A71,'Budget-ACPLGZ'!Q:Q)+SUMIF('Budget-Yixing'!$A:$A,$A71,'Budget-Yixing'!Q:Q)</f>
        <v>0</v>
      </c>
      <c r="R71" s="676">
        <f ca="1">SUMIF('Budget-ACPL'!$A:$A,$A71,'Budget-ACPL'!R:R)+SUMIF('Budget-ACPLHK'!$A:$A,$A71,'Budget-ACPLHK'!R:R)+SUMIF('Budget-ACPSZL'!$A:$A,$A71,'Budget-ACPSZL'!R:R)+SUMIF('Budget-ACPLSZ'!$A:$A,$A71,'Budget-ACPLSZ'!R:R)+SUMIF('Budget-ACPLGZ'!$A:$A,$A71,'Budget-ACPLGZ'!R:R)+SUMIF('Budget-Yixing'!$A:$A,$A71,'Budget-Yixing'!R:R)</f>
        <v>0</v>
      </c>
      <c r="S71" s="676">
        <f ca="1">SUMIF('Budget-ACPL'!$A:$A,$A71,'Budget-ACPL'!S:S)+SUMIF('Budget-ACPLHK'!$A:$A,$A71,'Budget-ACPLHK'!S:S)+SUMIF('Budget-ACPSZL'!$A:$A,$A71,'Budget-ACPSZL'!S:S)+SUMIF('Budget-ACPLSZ'!$A:$A,$A71,'Budget-ACPLSZ'!S:S)+SUMIF('Budget-ACPLGZ'!$A:$A,$A71,'Budget-ACPLGZ'!S:S)+SUMIF('Budget-Yixing'!$A:$A,$A71,'Budget-Yixing'!S:S)</f>
        <v>0</v>
      </c>
      <c r="T71" s="676">
        <f ca="1">SUMIF('Budget-ACPL'!$A:$A,$A71,'Budget-ACPL'!T:T)+SUMIF('Budget-ACPLHK'!$A:$A,$A71,'Budget-ACPLHK'!T:T)+SUMIF('Budget-ACPSZL'!$A:$A,$A71,'Budget-ACPSZL'!T:T)+SUMIF('Budget-ACPLSZ'!$A:$A,$A71,'Budget-ACPLSZ'!T:T)+SUMIF('Budget-ACPLGZ'!$A:$A,$A71,'Budget-ACPLGZ'!T:T)+SUMIF('Budget-Yixing'!$A:$A,$A71,'Budget-Yixing'!T:T)</f>
        <v>0</v>
      </c>
      <c r="U71" s="676">
        <f ca="1">SUMIF('Budget-ACPL'!$A:$A,$A71,'Budget-ACPL'!U:U)+SUMIF('Budget-ACPLHK'!$A:$A,$A71,'Budget-ACPLHK'!U:U)+SUMIF('Budget-ACPSZL'!$A:$A,$A71,'Budget-ACPSZL'!U:U)+SUMIF('Budget-ACPLSZ'!$A:$A,$A71,'Budget-ACPLSZ'!U:U)+SUMIF('Budget-ACPLGZ'!$A:$A,$A71,'Budget-ACPLGZ'!U:U)+SUMIF('Budget-Yixing'!$A:$A,$A71,'Budget-Yixing'!U:U)</f>
        <v>0</v>
      </c>
      <c r="V71" s="676">
        <f ca="1">SUMIF('Budget-ACPL'!$A:$A,$A71,'Budget-ACPL'!V:V)+SUMIF('Budget-ACPLHK'!$A:$A,$A71,'Budget-ACPLHK'!V:V)+SUMIF('Budget-ACPSZL'!$A:$A,$A71,'Budget-ACPSZL'!V:V)+SUMIF('Budget-ACPLSZ'!$A:$A,$A71,'Budget-ACPLSZ'!V:V)+SUMIF('Budget-ACPLGZ'!$A:$A,$A71,'Budget-ACPLGZ'!V:V)+SUMIF('Budget-Yixing'!$A:$A,$A71,'Budget-Yixing'!V:V)</f>
        <v>0</v>
      </c>
      <c r="W71" s="676">
        <f t="shared" ca="1" si="34"/>
        <v>0</v>
      </c>
      <c r="Y71" s="688">
        <f ca="1">SUMIF('Budget-ACPL'!$A:$A,$A71,'Budget-ACPL'!Y:Y)+SUMIF('Budget-ACPLHK'!$A:$A,$A71,'Budget-ACPLHK'!Y:Y)+SUMIF('Budget-ACPSZL'!$A:$A,$A71,'Budget-ACPSZL'!Y:Y)+SUMIF('Budget-ACPLSZ'!$A:$A,$A71,'Budget-ACPLSZ'!Y:Y)+SUMIF('Budget-ACPLGZ'!$A:$A,$A71,'Budget-ACPLGZ'!Y:Y)+SUMIF('Budget-Yixing'!$A:$A,$A71,'Budget-Yixing'!Y:Y)</f>
        <v>277145.49</v>
      </c>
      <c r="Z71" s="688">
        <f ca="1">SUMIF('Budget-ACPL'!$A:$A,$A71,'Budget-ACPL'!Z:Z)+SUMIF('Budget-ACPLHK'!$A:$A,$A71,'Budget-ACPLHK'!Z:Z)+SUMIF('Budget-ACPSZL'!$A:$A,$A71,'Budget-ACPSZL'!Z:Z)+SUMIF('Budget-ACPLSZ'!$A:$A,$A71,'Budget-ACPLSZ'!Z:Z)+SUMIF('Budget-ACPLGZ'!$A:$A,$A71,'Budget-ACPLGZ'!Z:Z)+SUMIF('Budget-Yixing'!$A:$A,$A71,'Budget-Yixing'!Z:Z)</f>
        <v>0</v>
      </c>
      <c r="AA71" s="688">
        <f ca="1">SUMIF('Budget-ACPL'!$A:$A,$A71,'Budget-ACPL'!AA:AA)+SUMIF('Budget-ACPLHK'!$A:$A,$A71,'Budget-ACPLHK'!AA:AA)+SUMIF('Budget-ACPSZL'!$A:$A,$A71,'Budget-ACPSZL'!AA:AA)+SUMIF('Budget-ACPLSZ'!$A:$A,$A71,'Budget-ACPLSZ'!AA:AA)+SUMIF('Budget-ACPLGZ'!$A:$A,$A71,'Budget-ACPLGZ'!AA:AA)+SUMIF('Budget-Yixing'!$A:$A,$A71,'Budget-Yixing'!AA:AA)</f>
        <v>0</v>
      </c>
      <c r="AB71" s="688">
        <f ca="1">SUMIF('Budget-ACPL'!$A:$A,$A71,'Budget-ACPL'!AB:AB)+SUMIF('Budget-ACPLHK'!$A:$A,$A71,'Budget-ACPLHK'!AB:AB)+SUMIF('Budget-ACPSZL'!$A:$A,$A71,'Budget-ACPSZL'!AB:AB)+SUMIF('Budget-ACPLSZ'!$A:$A,$A71,'Budget-ACPLSZ'!AB:AB)+SUMIF('Budget-ACPLGZ'!$A:$A,$A71,'Budget-ACPLGZ'!AB:AB)+SUMIF('Budget-Yixing'!$A:$A,$A71,'Budget-Yixing'!AB:AB)</f>
        <v>0</v>
      </c>
      <c r="AC71" s="688">
        <f ca="1">SUMIF('Budget-ACPL'!$A:$A,$A71,'Budget-ACPL'!AC:AC)+SUMIF('Budget-ACPLHK'!$A:$A,$A71,'Budget-ACPLHK'!AC:AC)+SUMIF('Budget-ACPSZL'!$A:$A,$A71,'Budget-ACPSZL'!AC:AC)+SUMIF('Budget-ACPLSZ'!$A:$A,$A71,'Budget-ACPLSZ'!AC:AC)+SUMIF('Budget-ACPLGZ'!$A:$A,$A71,'Budget-ACPLGZ'!AC:AC)+SUMIF('Budget-Yixing'!$A:$A,$A71,'Budget-Yixing'!AC:AC)</f>
        <v>0</v>
      </c>
      <c r="AD71" s="688">
        <f ca="1">SUMIF('Budget-ACPL'!$A:$A,$A71,'Budget-ACPL'!AD:AD)+SUMIF('Budget-ACPLHK'!$A:$A,$A71,'Budget-ACPLHK'!AD:AD)+SUMIF('Budget-ACPSZL'!$A:$A,$A71,'Budget-ACPSZL'!AD:AD)+SUMIF('Budget-ACPLSZ'!$A:$A,$A71,'Budget-ACPLSZ'!AD:AD)+SUMIF('Budget-ACPLGZ'!$A:$A,$A71,'Budget-ACPLGZ'!AD:AD)+SUMIF('Budget-Yixing'!$A:$A,$A71,'Budget-Yixing'!AD:AD)</f>
        <v>0</v>
      </c>
      <c r="AE71" s="688">
        <f ca="1">SUMIF('Budget-ACPL'!$A:$A,$A71,'Budget-ACPL'!AE:AE)+SUMIF('Budget-ACPLHK'!$A:$A,$A71,'Budget-ACPLHK'!AE:AE)+SUMIF('Budget-ACPSZL'!$A:$A,$A71,'Budget-ACPSZL'!AE:AE)+SUMIF('Budget-ACPLSZ'!$A:$A,$A71,'Budget-ACPLSZ'!AE:AE)+SUMIF('Budget-ACPLGZ'!$A:$A,$A71,'Budget-ACPLGZ'!AE:AE)+SUMIF('Budget-Yixing'!$A:$A,$A71,'Budget-Yixing'!AE:AE)</f>
        <v>0</v>
      </c>
      <c r="AF71" s="688">
        <f ca="1">SUMIF('Budget-ACPL'!$A:$A,$A71,'Budget-ACPL'!AF:AF)+SUMIF('Budget-ACPLHK'!$A:$A,$A71,'Budget-ACPLHK'!AF:AF)+SUMIF('Budget-ACPSZL'!$A:$A,$A71,'Budget-ACPSZL'!AF:AF)+SUMIF('Budget-ACPLSZ'!$A:$A,$A71,'Budget-ACPLSZ'!AF:AF)+SUMIF('Budget-ACPLGZ'!$A:$A,$A71,'Budget-ACPLGZ'!AF:AF)+SUMIF('Budget-Yixing'!$A:$A,$A71,'Budget-Yixing'!AF:AF)</f>
        <v>0</v>
      </c>
      <c r="AG71" s="688">
        <f ca="1">SUMIF('Budget-ACPL'!$A:$A,$A71,'Budget-ACPL'!AG:AG)+SUMIF('Budget-ACPLHK'!$A:$A,$A71,'Budget-ACPLHK'!AG:AG)+SUMIF('Budget-ACPSZL'!$A:$A,$A71,'Budget-ACPSZL'!AG:AG)+SUMIF('Budget-ACPLSZ'!$A:$A,$A71,'Budget-ACPLSZ'!AG:AG)+SUMIF('Budget-ACPLGZ'!$A:$A,$A71,'Budget-ACPLGZ'!AG:AG)+SUMIF('Budget-Yixing'!$A:$A,$A71,'Budget-Yixing'!AG:AG)</f>
        <v>0</v>
      </c>
      <c r="AH71" s="688">
        <f ca="1">SUMIF('Budget-ACPL'!$A:$A,$A71,'Budget-ACPL'!AH:AH)+SUMIF('Budget-ACPLHK'!$A:$A,$A71,'Budget-ACPLHK'!AH:AH)+SUMIF('Budget-ACPSZL'!$A:$A,$A71,'Budget-ACPSZL'!AH:AH)+SUMIF('Budget-ACPLSZ'!$A:$A,$A71,'Budget-ACPLSZ'!AH:AH)+SUMIF('Budget-ACPLGZ'!$A:$A,$A71,'Budget-ACPLGZ'!AH:AH)+SUMIF('Budget-Yixing'!$A:$A,$A71,'Budget-Yixing'!AH:AH)</f>
        <v>0</v>
      </c>
      <c r="AI71" s="688">
        <f ca="1">SUMIF('Budget-ACPL'!$A:$A,$A71,'Budget-ACPL'!AI:AI)+SUMIF('Budget-ACPLHK'!$A:$A,$A71,'Budget-ACPLHK'!AI:AI)+SUMIF('Budget-ACPSZL'!$A:$A,$A71,'Budget-ACPSZL'!AI:AI)+SUMIF('Budget-ACPLSZ'!$A:$A,$A71,'Budget-ACPLSZ'!AI:AI)+SUMIF('Budget-ACPLGZ'!$A:$A,$A71,'Budget-ACPLGZ'!AI:AI)+SUMIF('Budget-Yixing'!$A:$A,$A71,'Budget-Yixing'!AI:AI)</f>
        <v>0</v>
      </c>
      <c r="AJ71" s="688">
        <f ca="1">SUMIF('Budget-ACPL'!$A:$A,$A71,'Budget-ACPL'!AJ:AJ)+SUMIF('Budget-ACPLHK'!$A:$A,$A71,'Budget-ACPLHK'!AJ:AJ)+SUMIF('Budget-ACPSZL'!$A:$A,$A71,'Budget-ACPSZL'!AJ:AJ)+SUMIF('Budget-ACPLSZ'!$A:$A,$A71,'Budget-ACPLSZ'!AJ:AJ)+SUMIF('Budget-ACPLGZ'!$A:$A,$A71,'Budget-ACPLGZ'!AJ:AJ)+SUMIF('Budget-Yixing'!$A:$A,$A71,'Budget-Yixing'!AJ:AJ)</f>
        <v>0</v>
      </c>
      <c r="AK71" s="688">
        <f t="shared" ca="1" si="33"/>
        <v>277145.49</v>
      </c>
    </row>
    <row r="72" spans="1:37" ht="13.5" hidden="1" customHeight="1">
      <c r="A72" s="713" t="s">
        <v>1614</v>
      </c>
      <c r="B72" s="687" t="str">
        <f>VLOOKUP(A72,Account!A:B,2,0)</f>
        <v>租金及物业费</v>
      </c>
      <c r="C72" s="687">
        <f>VLOOKUP(A72,Account!A:F,4,0)</f>
        <v>0</v>
      </c>
      <c r="D72" s="676">
        <f t="shared" ca="1" si="27"/>
        <v>0</v>
      </c>
      <c r="E72" s="676" t="e">
        <f t="shared" si="28"/>
        <v>#N/A</v>
      </c>
      <c r="F72" s="676" t="e">
        <f t="shared" ca="1" si="24"/>
        <v>#N/A</v>
      </c>
      <c r="G72" s="676">
        <f t="shared" ca="1" si="29"/>
        <v>0</v>
      </c>
      <c r="H72" s="676" t="e">
        <f t="shared" ca="1" si="30"/>
        <v>#N/A</v>
      </c>
      <c r="I72" s="676" t="e">
        <f t="shared" ca="1" si="31"/>
        <v>#N/A</v>
      </c>
      <c r="K72" s="676">
        <f ca="1">SUMIF('Budget-ACPL'!$A:$A,$A72,'Budget-ACPL'!K:K)+SUMIF('Budget-ACPLHK'!$A:$A,$A72,'Budget-ACPLHK'!K:K)+SUMIF('Budget-ACPSZL'!$A:$A,$A72,'Budget-ACPSZL'!K:K)+SUMIF('Budget-ACPLSZ'!$A:$A,$A72,'Budget-ACPLSZ'!K:K)+SUMIF('Budget-ACPLGZ'!$A:$A,$A72,'Budget-ACPLGZ'!K:K)+SUMIF('Budget-Yixing'!$A:$A,$A72,'Budget-Yixing'!K:K)</f>
        <v>0</v>
      </c>
      <c r="L72" s="676">
        <f ca="1">SUMIF('Budget-ACPL'!$A:$A,$A72,'Budget-ACPL'!L:L)+SUMIF('Budget-ACPLHK'!$A:$A,$A72,'Budget-ACPLHK'!L:L)+SUMIF('Budget-ACPSZL'!$A:$A,$A72,'Budget-ACPSZL'!L:L)+SUMIF('Budget-ACPLSZ'!$A:$A,$A72,'Budget-ACPLSZ'!L:L)+SUMIF('Budget-ACPLGZ'!$A:$A,$A72,'Budget-ACPLGZ'!L:L)+SUMIF('Budget-Yixing'!$A:$A,$A72,'Budget-Yixing'!L:L)</f>
        <v>0</v>
      </c>
      <c r="M72" s="676">
        <f ca="1">SUMIF('Budget-ACPL'!$A:$A,$A72,'Budget-ACPL'!M:M)+SUMIF('Budget-ACPLHK'!$A:$A,$A72,'Budget-ACPLHK'!M:M)+SUMIF('Budget-ACPSZL'!$A:$A,$A72,'Budget-ACPSZL'!M:M)+SUMIF('Budget-ACPLSZ'!$A:$A,$A72,'Budget-ACPLSZ'!M:M)+SUMIF('Budget-ACPLGZ'!$A:$A,$A72,'Budget-ACPLGZ'!M:M)+SUMIF('Budget-Yixing'!$A:$A,$A72,'Budget-Yixing'!M:M)</f>
        <v>0</v>
      </c>
      <c r="N72" s="676">
        <f ca="1">SUMIF('Budget-ACPL'!$A:$A,$A72,'Budget-ACPL'!N:N)+SUMIF('Budget-ACPLHK'!$A:$A,$A72,'Budget-ACPLHK'!N:N)+SUMIF('Budget-ACPSZL'!$A:$A,$A72,'Budget-ACPSZL'!N:N)+SUMIF('Budget-ACPLSZ'!$A:$A,$A72,'Budget-ACPLSZ'!N:N)+SUMIF('Budget-ACPLGZ'!$A:$A,$A72,'Budget-ACPLGZ'!N:N)+SUMIF('Budget-Yixing'!$A:$A,$A72,'Budget-Yixing'!N:N)</f>
        <v>0</v>
      </c>
      <c r="O72" s="676">
        <f ca="1">SUMIF('Budget-ACPL'!$A:$A,$A72,'Budget-ACPL'!O:O)+SUMIF('Budget-ACPLHK'!$A:$A,$A72,'Budget-ACPLHK'!O:O)+SUMIF('Budget-ACPSZL'!$A:$A,$A72,'Budget-ACPSZL'!O:O)+SUMIF('Budget-ACPLSZ'!$A:$A,$A72,'Budget-ACPLSZ'!O:O)+SUMIF('Budget-ACPLGZ'!$A:$A,$A72,'Budget-ACPLGZ'!O:O)+SUMIF('Budget-Yixing'!$A:$A,$A72,'Budget-Yixing'!O:O)</f>
        <v>0</v>
      </c>
      <c r="P72" s="676">
        <f ca="1">SUMIF('Budget-ACPL'!$A:$A,$A72,'Budget-ACPL'!P:P)+SUMIF('Budget-ACPLHK'!$A:$A,$A72,'Budget-ACPLHK'!P:P)+SUMIF('Budget-ACPSZL'!$A:$A,$A72,'Budget-ACPSZL'!P:P)+SUMIF('Budget-ACPLSZ'!$A:$A,$A72,'Budget-ACPLSZ'!P:P)+SUMIF('Budget-ACPLGZ'!$A:$A,$A72,'Budget-ACPLGZ'!P:P)+SUMIF('Budget-Yixing'!$A:$A,$A72,'Budget-Yixing'!P:P)</f>
        <v>0</v>
      </c>
      <c r="Q72" s="676">
        <f ca="1">SUMIF('Budget-ACPL'!$A:$A,$A72,'Budget-ACPL'!Q:Q)+SUMIF('Budget-ACPLHK'!$A:$A,$A72,'Budget-ACPLHK'!Q:Q)+SUMIF('Budget-ACPSZL'!$A:$A,$A72,'Budget-ACPSZL'!Q:Q)+SUMIF('Budget-ACPLSZ'!$A:$A,$A72,'Budget-ACPLSZ'!Q:Q)+SUMIF('Budget-ACPLGZ'!$A:$A,$A72,'Budget-ACPLGZ'!Q:Q)+SUMIF('Budget-Yixing'!$A:$A,$A72,'Budget-Yixing'!Q:Q)</f>
        <v>0</v>
      </c>
      <c r="R72" s="676">
        <f ca="1">SUMIF('Budget-ACPL'!$A:$A,$A72,'Budget-ACPL'!R:R)+SUMIF('Budget-ACPLHK'!$A:$A,$A72,'Budget-ACPLHK'!R:R)+SUMIF('Budget-ACPSZL'!$A:$A,$A72,'Budget-ACPSZL'!R:R)+SUMIF('Budget-ACPLSZ'!$A:$A,$A72,'Budget-ACPLSZ'!R:R)+SUMIF('Budget-ACPLGZ'!$A:$A,$A72,'Budget-ACPLGZ'!R:R)+SUMIF('Budget-Yixing'!$A:$A,$A72,'Budget-Yixing'!R:R)</f>
        <v>0</v>
      </c>
      <c r="S72" s="676">
        <f ca="1">SUMIF('Budget-ACPL'!$A:$A,$A72,'Budget-ACPL'!S:S)+SUMIF('Budget-ACPLHK'!$A:$A,$A72,'Budget-ACPLHK'!S:S)+SUMIF('Budget-ACPSZL'!$A:$A,$A72,'Budget-ACPSZL'!S:S)+SUMIF('Budget-ACPLSZ'!$A:$A,$A72,'Budget-ACPLSZ'!S:S)+SUMIF('Budget-ACPLGZ'!$A:$A,$A72,'Budget-ACPLGZ'!S:S)+SUMIF('Budget-Yixing'!$A:$A,$A72,'Budget-Yixing'!S:S)</f>
        <v>0</v>
      </c>
      <c r="T72" s="676">
        <f ca="1">SUMIF('Budget-ACPL'!$A:$A,$A72,'Budget-ACPL'!T:T)+SUMIF('Budget-ACPLHK'!$A:$A,$A72,'Budget-ACPLHK'!T:T)+SUMIF('Budget-ACPSZL'!$A:$A,$A72,'Budget-ACPSZL'!T:T)+SUMIF('Budget-ACPLSZ'!$A:$A,$A72,'Budget-ACPLSZ'!T:T)+SUMIF('Budget-ACPLGZ'!$A:$A,$A72,'Budget-ACPLGZ'!T:T)+SUMIF('Budget-Yixing'!$A:$A,$A72,'Budget-Yixing'!T:T)</f>
        <v>0</v>
      </c>
      <c r="U72" s="676">
        <f ca="1">SUMIF('Budget-ACPL'!$A:$A,$A72,'Budget-ACPL'!U:U)+SUMIF('Budget-ACPLHK'!$A:$A,$A72,'Budget-ACPLHK'!U:U)+SUMIF('Budget-ACPSZL'!$A:$A,$A72,'Budget-ACPSZL'!U:U)+SUMIF('Budget-ACPLSZ'!$A:$A,$A72,'Budget-ACPLSZ'!U:U)+SUMIF('Budget-ACPLGZ'!$A:$A,$A72,'Budget-ACPLGZ'!U:U)+SUMIF('Budget-Yixing'!$A:$A,$A72,'Budget-Yixing'!U:U)</f>
        <v>0</v>
      </c>
      <c r="V72" s="676">
        <f ca="1">SUMIF('Budget-ACPL'!$A:$A,$A72,'Budget-ACPL'!V:V)+SUMIF('Budget-ACPLHK'!$A:$A,$A72,'Budget-ACPLHK'!V:V)+SUMIF('Budget-ACPSZL'!$A:$A,$A72,'Budget-ACPSZL'!V:V)+SUMIF('Budget-ACPLSZ'!$A:$A,$A72,'Budget-ACPLSZ'!V:V)+SUMIF('Budget-ACPLGZ'!$A:$A,$A72,'Budget-ACPLGZ'!V:V)+SUMIF('Budget-Yixing'!$A:$A,$A72,'Budget-Yixing'!V:V)</f>
        <v>0</v>
      </c>
      <c r="W72" s="676">
        <f t="shared" ca="1" si="34"/>
        <v>0</v>
      </c>
      <c r="Y72" s="688">
        <f ca="1">SUMIF('Budget-ACPL'!$A:$A,$A72,'Budget-ACPL'!Y:Y)+SUMIF('Budget-ACPLHK'!$A:$A,$A72,'Budget-ACPLHK'!Y:Y)+SUMIF('Budget-ACPSZL'!$A:$A,$A72,'Budget-ACPSZL'!Y:Y)+SUMIF('Budget-ACPLSZ'!$A:$A,$A72,'Budget-ACPLSZ'!Y:Y)+SUMIF('Budget-ACPLGZ'!$A:$A,$A72,'Budget-ACPLGZ'!Y:Y)+SUMIF('Budget-Yixing'!$A:$A,$A72,'Budget-Yixing'!Y:Y)</f>
        <v>0</v>
      </c>
      <c r="Z72" s="688">
        <f ca="1">SUMIF('Budget-ACPL'!$A:$A,$A72,'Budget-ACPL'!Z:Z)+SUMIF('Budget-ACPLHK'!$A:$A,$A72,'Budget-ACPLHK'!Z:Z)+SUMIF('Budget-ACPSZL'!$A:$A,$A72,'Budget-ACPSZL'!Z:Z)+SUMIF('Budget-ACPLSZ'!$A:$A,$A72,'Budget-ACPLSZ'!Z:Z)+SUMIF('Budget-ACPLGZ'!$A:$A,$A72,'Budget-ACPLGZ'!Z:Z)+SUMIF('Budget-Yixing'!$A:$A,$A72,'Budget-Yixing'!Z:Z)</f>
        <v>0</v>
      </c>
      <c r="AA72" s="688">
        <f ca="1">SUMIF('Budget-ACPL'!$A:$A,$A72,'Budget-ACPL'!AA:AA)+SUMIF('Budget-ACPLHK'!$A:$A,$A72,'Budget-ACPLHK'!AA:AA)+SUMIF('Budget-ACPSZL'!$A:$A,$A72,'Budget-ACPSZL'!AA:AA)+SUMIF('Budget-ACPLSZ'!$A:$A,$A72,'Budget-ACPLSZ'!AA:AA)+SUMIF('Budget-ACPLGZ'!$A:$A,$A72,'Budget-ACPLGZ'!AA:AA)+SUMIF('Budget-Yixing'!$A:$A,$A72,'Budget-Yixing'!AA:AA)</f>
        <v>0</v>
      </c>
      <c r="AB72" s="688">
        <f ca="1">SUMIF('Budget-ACPL'!$A:$A,$A72,'Budget-ACPL'!AB:AB)+SUMIF('Budget-ACPLHK'!$A:$A,$A72,'Budget-ACPLHK'!AB:AB)+SUMIF('Budget-ACPSZL'!$A:$A,$A72,'Budget-ACPSZL'!AB:AB)+SUMIF('Budget-ACPLSZ'!$A:$A,$A72,'Budget-ACPLSZ'!AB:AB)+SUMIF('Budget-ACPLGZ'!$A:$A,$A72,'Budget-ACPLGZ'!AB:AB)+SUMIF('Budget-Yixing'!$A:$A,$A72,'Budget-Yixing'!AB:AB)</f>
        <v>0</v>
      </c>
      <c r="AC72" s="688">
        <f ca="1">SUMIF('Budget-ACPL'!$A:$A,$A72,'Budget-ACPL'!AC:AC)+SUMIF('Budget-ACPLHK'!$A:$A,$A72,'Budget-ACPLHK'!AC:AC)+SUMIF('Budget-ACPSZL'!$A:$A,$A72,'Budget-ACPSZL'!AC:AC)+SUMIF('Budget-ACPLSZ'!$A:$A,$A72,'Budget-ACPLSZ'!AC:AC)+SUMIF('Budget-ACPLGZ'!$A:$A,$A72,'Budget-ACPLGZ'!AC:AC)+SUMIF('Budget-Yixing'!$A:$A,$A72,'Budget-Yixing'!AC:AC)</f>
        <v>-122.93</v>
      </c>
      <c r="AD72" s="688">
        <f ca="1">SUMIF('Budget-ACPL'!$A:$A,$A72,'Budget-ACPL'!AD:AD)+SUMIF('Budget-ACPLHK'!$A:$A,$A72,'Budget-ACPLHK'!AD:AD)+SUMIF('Budget-ACPSZL'!$A:$A,$A72,'Budget-ACPSZL'!AD:AD)+SUMIF('Budget-ACPLSZ'!$A:$A,$A72,'Budget-ACPLSZ'!AD:AD)+SUMIF('Budget-ACPLGZ'!$A:$A,$A72,'Budget-ACPLGZ'!AD:AD)+SUMIF('Budget-Yixing'!$A:$A,$A72,'Budget-Yixing'!AD:AD)</f>
        <v>0</v>
      </c>
      <c r="AE72" s="688">
        <f ca="1">SUMIF('Budget-ACPL'!$A:$A,$A72,'Budget-ACPL'!AE:AE)+SUMIF('Budget-ACPLHK'!$A:$A,$A72,'Budget-ACPLHK'!AE:AE)+SUMIF('Budget-ACPSZL'!$A:$A,$A72,'Budget-ACPSZL'!AE:AE)+SUMIF('Budget-ACPLSZ'!$A:$A,$A72,'Budget-ACPLSZ'!AE:AE)+SUMIF('Budget-ACPLGZ'!$A:$A,$A72,'Budget-ACPLGZ'!AE:AE)+SUMIF('Budget-Yixing'!$A:$A,$A72,'Budget-Yixing'!AE:AE)</f>
        <v>0</v>
      </c>
      <c r="AF72" s="688">
        <f ca="1">SUMIF('Budget-ACPL'!$A:$A,$A72,'Budget-ACPL'!AF:AF)+SUMIF('Budget-ACPLHK'!$A:$A,$A72,'Budget-ACPLHK'!AF:AF)+SUMIF('Budget-ACPSZL'!$A:$A,$A72,'Budget-ACPSZL'!AF:AF)+SUMIF('Budget-ACPLSZ'!$A:$A,$A72,'Budget-ACPLSZ'!AF:AF)+SUMIF('Budget-ACPLGZ'!$A:$A,$A72,'Budget-ACPLGZ'!AF:AF)+SUMIF('Budget-Yixing'!$A:$A,$A72,'Budget-Yixing'!AF:AF)</f>
        <v>0</v>
      </c>
      <c r="AG72" s="688">
        <f ca="1">SUMIF('Budget-ACPL'!$A:$A,$A72,'Budget-ACPL'!AG:AG)+SUMIF('Budget-ACPLHK'!$A:$A,$A72,'Budget-ACPLHK'!AG:AG)+SUMIF('Budget-ACPSZL'!$A:$A,$A72,'Budget-ACPSZL'!AG:AG)+SUMIF('Budget-ACPLSZ'!$A:$A,$A72,'Budget-ACPLSZ'!AG:AG)+SUMIF('Budget-ACPLGZ'!$A:$A,$A72,'Budget-ACPLGZ'!AG:AG)+SUMIF('Budget-Yixing'!$A:$A,$A72,'Budget-Yixing'!AG:AG)</f>
        <v>0</v>
      </c>
      <c r="AH72" s="688">
        <f ca="1">SUMIF('Budget-ACPL'!$A:$A,$A72,'Budget-ACPL'!AH:AH)+SUMIF('Budget-ACPLHK'!$A:$A,$A72,'Budget-ACPLHK'!AH:AH)+SUMIF('Budget-ACPSZL'!$A:$A,$A72,'Budget-ACPSZL'!AH:AH)+SUMIF('Budget-ACPLSZ'!$A:$A,$A72,'Budget-ACPLSZ'!AH:AH)+SUMIF('Budget-ACPLGZ'!$A:$A,$A72,'Budget-ACPLGZ'!AH:AH)+SUMIF('Budget-Yixing'!$A:$A,$A72,'Budget-Yixing'!AH:AH)</f>
        <v>0</v>
      </c>
      <c r="AI72" s="688">
        <f ca="1">SUMIF('Budget-ACPL'!$A:$A,$A72,'Budget-ACPL'!AI:AI)+SUMIF('Budget-ACPLHK'!$A:$A,$A72,'Budget-ACPLHK'!AI:AI)+SUMIF('Budget-ACPSZL'!$A:$A,$A72,'Budget-ACPSZL'!AI:AI)+SUMIF('Budget-ACPLSZ'!$A:$A,$A72,'Budget-ACPLSZ'!AI:AI)+SUMIF('Budget-ACPLGZ'!$A:$A,$A72,'Budget-ACPLGZ'!AI:AI)+SUMIF('Budget-Yixing'!$A:$A,$A72,'Budget-Yixing'!AI:AI)</f>
        <v>0</v>
      </c>
      <c r="AJ72" s="688">
        <f ca="1">SUMIF('Budget-ACPL'!$A:$A,$A72,'Budget-ACPL'!AJ:AJ)+SUMIF('Budget-ACPLHK'!$A:$A,$A72,'Budget-ACPLHK'!AJ:AJ)+SUMIF('Budget-ACPSZL'!$A:$A,$A72,'Budget-ACPSZL'!AJ:AJ)+SUMIF('Budget-ACPLSZ'!$A:$A,$A72,'Budget-ACPLSZ'!AJ:AJ)+SUMIF('Budget-ACPLGZ'!$A:$A,$A72,'Budget-ACPLGZ'!AJ:AJ)+SUMIF('Budget-Yixing'!$A:$A,$A72,'Budget-Yixing'!AJ:AJ)</f>
        <v>0</v>
      </c>
      <c r="AK72" s="688">
        <f t="shared" ca="1" si="33"/>
        <v>-122.93</v>
      </c>
    </row>
    <row r="73" spans="1:37" ht="13.5" customHeight="1">
      <c r="A73" s="713" t="s">
        <v>1618</v>
      </c>
      <c r="B73" s="687" t="str">
        <f>VLOOKUP(A73,Account!A:B,2,0)</f>
        <v>集团内分摊</v>
      </c>
      <c r="C73" s="687" t="str">
        <f>VLOOKUP(A73,Account!A:F,4,0)</f>
        <v>Space Rel X Charge</v>
      </c>
      <c r="D73" s="676">
        <f t="shared" ca="1" si="27"/>
        <v>0</v>
      </c>
      <c r="E73" s="676" t="e">
        <f t="shared" si="28"/>
        <v>#N/A</v>
      </c>
      <c r="F73" s="676" t="e">
        <f t="shared" ca="1" si="24"/>
        <v>#N/A</v>
      </c>
      <c r="G73" s="676">
        <f t="shared" ca="1" si="29"/>
        <v>0</v>
      </c>
      <c r="H73" s="676" t="e">
        <f t="shared" ca="1" si="30"/>
        <v>#N/A</v>
      </c>
      <c r="I73" s="676" t="e">
        <f t="shared" ca="1" si="31"/>
        <v>#N/A</v>
      </c>
      <c r="K73" s="676">
        <f ca="1">SUMIF('Budget-ACPL'!$A:$A,$A73,'Budget-ACPL'!K:K)+SUMIF('Budget-ACPLHK'!$A:$A,$A73,'Budget-ACPLHK'!K:K)+SUMIF('Budget-ACPSZL'!$A:$A,$A73,'Budget-ACPSZL'!K:K)+SUMIF('Budget-ACPLSZ'!$A:$A,$A73,'Budget-ACPLSZ'!K:K)+SUMIF('Budget-ACPLGZ'!$A:$A,$A73,'Budget-ACPLGZ'!K:K)+SUMIF('Budget-Yixing'!$A:$A,$A73,'Budget-Yixing'!K:K)</f>
        <v>0</v>
      </c>
      <c r="L73" s="676">
        <f ca="1">SUMIF('Budget-ACPL'!$A:$A,$A73,'Budget-ACPL'!L:L)+SUMIF('Budget-ACPLHK'!$A:$A,$A73,'Budget-ACPLHK'!L:L)+SUMIF('Budget-ACPSZL'!$A:$A,$A73,'Budget-ACPSZL'!L:L)+SUMIF('Budget-ACPLSZ'!$A:$A,$A73,'Budget-ACPLSZ'!L:L)+SUMIF('Budget-ACPLGZ'!$A:$A,$A73,'Budget-ACPLGZ'!L:L)+SUMIF('Budget-Yixing'!$A:$A,$A73,'Budget-Yixing'!L:L)</f>
        <v>0</v>
      </c>
      <c r="M73" s="676">
        <f ca="1">SUMIF('Budget-ACPL'!$A:$A,$A73,'Budget-ACPL'!M:M)+SUMIF('Budget-ACPLHK'!$A:$A,$A73,'Budget-ACPLHK'!M:M)+SUMIF('Budget-ACPSZL'!$A:$A,$A73,'Budget-ACPSZL'!M:M)+SUMIF('Budget-ACPLSZ'!$A:$A,$A73,'Budget-ACPLSZ'!M:M)+SUMIF('Budget-ACPLGZ'!$A:$A,$A73,'Budget-ACPLGZ'!M:M)+SUMIF('Budget-Yixing'!$A:$A,$A73,'Budget-Yixing'!M:M)</f>
        <v>0</v>
      </c>
      <c r="N73" s="676">
        <f ca="1">SUMIF('Budget-ACPL'!$A:$A,$A73,'Budget-ACPL'!N:N)+SUMIF('Budget-ACPLHK'!$A:$A,$A73,'Budget-ACPLHK'!N:N)+SUMIF('Budget-ACPSZL'!$A:$A,$A73,'Budget-ACPSZL'!N:N)+SUMIF('Budget-ACPLSZ'!$A:$A,$A73,'Budget-ACPLSZ'!N:N)+SUMIF('Budget-ACPLGZ'!$A:$A,$A73,'Budget-ACPLGZ'!N:N)+SUMIF('Budget-Yixing'!$A:$A,$A73,'Budget-Yixing'!N:N)</f>
        <v>0</v>
      </c>
      <c r="O73" s="676">
        <f ca="1">SUMIF('Budget-ACPL'!$A:$A,$A73,'Budget-ACPL'!O:O)+SUMIF('Budget-ACPLHK'!$A:$A,$A73,'Budget-ACPLHK'!O:O)+SUMIF('Budget-ACPSZL'!$A:$A,$A73,'Budget-ACPSZL'!O:O)+SUMIF('Budget-ACPLSZ'!$A:$A,$A73,'Budget-ACPLSZ'!O:O)+SUMIF('Budget-ACPLGZ'!$A:$A,$A73,'Budget-ACPLGZ'!O:O)+SUMIF('Budget-Yixing'!$A:$A,$A73,'Budget-Yixing'!O:O)</f>
        <v>0</v>
      </c>
      <c r="P73" s="676">
        <f ca="1">SUMIF('Budget-ACPL'!$A:$A,$A73,'Budget-ACPL'!P:P)+SUMIF('Budget-ACPLHK'!$A:$A,$A73,'Budget-ACPLHK'!P:P)+SUMIF('Budget-ACPSZL'!$A:$A,$A73,'Budget-ACPSZL'!P:P)+SUMIF('Budget-ACPLSZ'!$A:$A,$A73,'Budget-ACPLSZ'!P:P)+SUMIF('Budget-ACPLGZ'!$A:$A,$A73,'Budget-ACPLGZ'!P:P)+SUMIF('Budget-Yixing'!$A:$A,$A73,'Budget-Yixing'!P:P)</f>
        <v>0</v>
      </c>
      <c r="Q73" s="676">
        <f ca="1">SUMIF('Budget-ACPL'!$A:$A,$A73,'Budget-ACPL'!Q:Q)+SUMIF('Budget-ACPLHK'!$A:$A,$A73,'Budget-ACPLHK'!Q:Q)+SUMIF('Budget-ACPSZL'!$A:$A,$A73,'Budget-ACPSZL'!Q:Q)+SUMIF('Budget-ACPLSZ'!$A:$A,$A73,'Budget-ACPLSZ'!Q:Q)+SUMIF('Budget-ACPLGZ'!$A:$A,$A73,'Budget-ACPLGZ'!Q:Q)+SUMIF('Budget-Yixing'!$A:$A,$A73,'Budget-Yixing'!Q:Q)</f>
        <v>0</v>
      </c>
      <c r="R73" s="676">
        <f ca="1">SUMIF('Budget-ACPL'!$A:$A,$A73,'Budget-ACPL'!R:R)+SUMIF('Budget-ACPLHK'!$A:$A,$A73,'Budget-ACPLHK'!R:R)+SUMIF('Budget-ACPSZL'!$A:$A,$A73,'Budget-ACPSZL'!R:R)+SUMIF('Budget-ACPLSZ'!$A:$A,$A73,'Budget-ACPLSZ'!R:R)+SUMIF('Budget-ACPLGZ'!$A:$A,$A73,'Budget-ACPLGZ'!R:R)+SUMIF('Budget-Yixing'!$A:$A,$A73,'Budget-Yixing'!R:R)</f>
        <v>0</v>
      </c>
      <c r="S73" s="676">
        <f ca="1">SUMIF('Budget-ACPL'!$A:$A,$A73,'Budget-ACPL'!S:S)+SUMIF('Budget-ACPLHK'!$A:$A,$A73,'Budget-ACPLHK'!S:S)+SUMIF('Budget-ACPSZL'!$A:$A,$A73,'Budget-ACPSZL'!S:S)+SUMIF('Budget-ACPLSZ'!$A:$A,$A73,'Budget-ACPLSZ'!S:S)+SUMIF('Budget-ACPLGZ'!$A:$A,$A73,'Budget-ACPLGZ'!S:S)+SUMIF('Budget-Yixing'!$A:$A,$A73,'Budget-Yixing'!S:S)</f>
        <v>0</v>
      </c>
      <c r="T73" s="676">
        <f ca="1">SUMIF('Budget-ACPL'!$A:$A,$A73,'Budget-ACPL'!T:T)+SUMIF('Budget-ACPLHK'!$A:$A,$A73,'Budget-ACPLHK'!T:T)+SUMIF('Budget-ACPSZL'!$A:$A,$A73,'Budget-ACPSZL'!T:T)+SUMIF('Budget-ACPLSZ'!$A:$A,$A73,'Budget-ACPLSZ'!T:T)+SUMIF('Budget-ACPLGZ'!$A:$A,$A73,'Budget-ACPLGZ'!T:T)+SUMIF('Budget-Yixing'!$A:$A,$A73,'Budget-Yixing'!T:T)</f>
        <v>0</v>
      </c>
      <c r="U73" s="676">
        <f ca="1">SUMIF('Budget-ACPL'!$A:$A,$A73,'Budget-ACPL'!U:U)+SUMIF('Budget-ACPLHK'!$A:$A,$A73,'Budget-ACPLHK'!U:U)+SUMIF('Budget-ACPSZL'!$A:$A,$A73,'Budget-ACPSZL'!U:U)+SUMIF('Budget-ACPLSZ'!$A:$A,$A73,'Budget-ACPLSZ'!U:U)+SUMIF('Budget-ACPLGZ'!$A:$A,$A73,'Budget-ACPLGZ'!U:U)+SUMIF('Budget-Yixing'!$A:$A,$A73,'Budget-Yixing'!U:U)</f>
        <v>0</v>
      </c>
      <c r="V73" s="676">
        <f ca="1">SUMIF('Budget-ACPL'!$A:$A,$A73,'Budget-ACPL'!V:V)+SUMIF('Budget-ACPLHK'!$A:$A,$A73,'Budget-ACPLHK'!V:V)+SUMIF('Budget-ACPSZL'!$A:$A,$A73,'Budget-ACPSZL'!V:V)+SUMIF('Budget-ACPLSZ'!$A:$A,$A73,'Budget-ACPLSZ'!V:V)+SUMIF('Budget-ACPLGZ'!$A:$A,$A73,'Budget-ACPLGZ'!V:V)+SUMIF('Budget-Yixing'!$A:$A,$A73,'Budget-Yixing'!V:V)</f>
        <v>0</v>
      </c>
      <c r="W73" s="676"/>
      <c r="Y73" s="688">
        <f ca="1">SUMIF('Budget-ACPL'!$A:$A,$A73,'Budget-ACPL'!Y:Y)+SUMIF('Budget-ACPLHK'!$A:$A,$A73,'Budget-ACPLHK'!Y:Y)+SUMIF('Budget-ACPSZL'!$A:$A,$A73,'Budget-ACPSZL'!Y:Y)+SUMIF('Budget-ACPLSZ'!$A:$A,$A73,'Budget-ACPLSZ'!Y:Y)+SUMIF('Budget-ACPLGZ'!$A:$A,$A73,'Budget-ACPLGZ'!Y:Y)+SUMIF('Budget-Yixing'!$A:$A,$A73,'Budget-Yixing'!Y:Y)</f>
        <v>61050</v>
      </c>
      <c r="Z73" s="688">
        <f ca="1">SUMIF('Budget-ACPL'!$A:$A,$A73,'Budget-ACPL'!Z:Z)+SUMIF('Budget-ACPLHK'!$A:$A,$A73,'Budget-ACPLHK'!Z:Z)+SUMIF('Budget-ACPSZL'!$A:$A,$A73,'Budget-ACPSZL'!Z:Z)+SUMIF('Budget-ACPLSZ'!$A:$A,$A73,'Budget-ACPLSZ'!Z:Z)+SUMIF('Budget-ACPLGZ'!$A:$A,$A73,'Budget-ACPLGZ'!Z:Z)+SUMIF('Budget-Yixing'!$A:$A,$A73,'Budget-Yixing'!Z:Z)</f>
        <v>61050</v>
      </c>
      <c r="AA73" s="688">
        <f ca="1">SUMIF('Budget-ACPL'!$A:$A,$A73,'Budget-ACPL'!AA:AA)+SUMIF('Budget-ACPLHK'!$A:$A,$A73,'Budget-ACPLHK'!AA:AA)+SUMIF('Budget-ACPSZL'!$A:$A,$A73,'Budget-ACPSZL'!AA:AA)+SUMIF('Budget-ACPLSZ'!$A:$A,$A73,'Budget-ACPLSZ'!AA:AA)+SUMIF('Budget-ACPLGZ'!$A:$A,$A73,'Budget-ACPLGZ'!AA:AA)+SUMIF('Budget-Yixing'!$A:$A,$A73,'Budget-Yixing'!AA:AA)</f>
        <v>61050</v>
      </c>
      <c r="AB73" s="688">
        <f ca="1">SUMIF('Budget-ACPL'!$A:$A,$A73,'Budget-ACPL'!AB:AB)+SUMIF('Budget-ACPLHK'!$A:$A,$A73,'Budget-ACPLHK'!AB:AB)+SUMIF('Budget-ACPSZL'!$A:$A,$A73,'Budget-ACPSZL'!AB:AB)+SUMIF('Budget-ACPLSZ'!$A:$A,$A73,'Budget-ACPLSZ'!AB:AB)+SUMIF('Budget-ACPLGZ'!$A:$A,$A73,'Budget-ACPLGZ'!AB:AB)+SUMIF('Budget-Yixing'!$A:$A,$A73,'Budget-Yixing'!AB:AB)</f>
        <v>55650</v>
      </c>
      <c r="AC73" s="688">
        <f ca="1">SUMIF('Budget-ACPL'!$A:$A,$A73,'Budget-ACPL'!AC:AC)+SUMIF('Budget-ACPLHK'!$A:$A,$A73,'Budget-ACPLHK'!AC:AC)+SUMIF('Budget-ACPSZL'!$A:$A,$A73,'Budget-ACPSZL'!AC:AC)+SUMIF('Budget-ACPLSZ'!$A:$A,$A73,'Budget-ACPLSZ'!AC:AC)+SUMIF('Budget-ACPLGZ'!$A:$A,$A73,'Budget-ACPLGZ'!AC:AC)+SUMIF('Budget-Yixing'!$A:$A,$A73,'Budget-Yixing'!AC:AC)</f>
        <v>55650</v>
      </c>
      <c r="AD73" s="688">
        <f ca="1">SUMIF('Budget-ACPL'!$A:$A,$A73,'Budget-ACPL'!AD:AD)+SUMIF('Budget-ACPLHK'!$A:$A,$A73,'Budget-ACPLHK'!AD:AD)+SUMIF('Budget-ACPSZL'!$A:$A,$A73,'Budget-ACPSZL'!AD:AD)+SUMIF('Budget-ACPLSZ'!$A:$A,$A73,'Budget-ACPLSZ'!AD:AD)+SUMIF('Budget-ACPLGZ'!$A:$A,$A73,'Budget-ACPLGZ'!AD:AD)+SUMIF('Budget-Yixing'!$A:$A,$A73,'Budget-Yixing'!AD:AD)</f>
        <v>55650</v>
      </c>
      <c r="AE73" s="688">
        <f ca="1">SUMIF('Budget-ACPL'!$A:$A,$A73,'Budget-ACPL'!AE:AE)+SUMIF('Budget-ACPLHK'!$A:$A,$A73,'Budget-ACPLHK'!AE:AE)+SUMIF('Budget-ACPSZL'!$A:$A,$A73,'Budget-ACPSZL'!AE:AE)+SUMIF('Budget-ACPLSZ'!$A:$A,$A73,'Budget-ACPLSZ'!AE:AE)+SUMIF('Budget-ACPLGZ'!$A:$A,$A73,'Budget-ACPLGZ'!AE:AE)+SUMIF('Budget-Yixing'!$A:$A,$A73,'Budget-Yixing'!AE:AE)</f>
        <v>55650</v>
      </c>
      <c r="AF73" s="688">
        <f ca="1">SUMIF('Budget-ACPL'!$A:$A,$A73,'Budget-ACPL'!AF:AF)+SUMIF('Budget-ACPLHK'!$A:$A,$A73,'Budget-ACPLHK'!AF:AF)+SUMIF('Budget-ACPSZL'!$A:$A,$A73,'Budget-ACPSZL'!AF:AF)+SUMIF('Budget-ACPLSZ'!$A:$A,$A73,'Budget-ACPLSZ'!AF:AF)+SUMIF('Budget-ACPLGZ'!$A:$A,$A73,'Budget-ACPLGZ'!AF:AF)+SUMIF('Budget-Yixing'!$A:$A,$A73,'Budget-Yixing'!AF:AF)</f>
        <v>55650</v>
      </c>
      <c r="AG73" s="688">
        <f ca="1">SUMIF('Budget-ACPL'!$A:$A,$A73,'Budget-ACPL'!AG:AG)+SUMIF('Budget-ACPLHK'!$A:$A,$A73,'Budget-ACPLHK'!AG:AG)+SUMIF('Budget-ACPSZL'!$A:$A,$A73,'Budget-ACPSZL'!AG:AG)+SUMIF('Budget-ACPLSZ'!$A:$A,$A73,'Budget-ACPLSZ'!AG:AG)+SUMIF('Budget-ACPLGZ'!$A:$A,$A73,'Budget-ACPLGZ'!AG:AG)+SUMIF('Budget-Yixing'!$A:$A,$A73,'Budget-Yixing'!AG:AG)</f>
        <v>55650</v>
      </c>
      <c r="AH73" s="688">
        <f ca="1">SUMIF('Budget-ACPL'!$A:$A,$A73,'Budget-ACPL'!AH:AH)+SUMIF('Budget-ACPLHK'!$A:$A,$A73,'Budget-ACPLHK'!AH:AH)+SUMIF('Budget-ACPSZL'!$A:$A,$A73,'Budget-ACPSZL'!AH:AH)+SUMIF('Budget-ACPLSZ'!$A:$A,$A73,'Budget-ACPLSZ'!AH:AH)+SUMIF('Budget-ACPLGZ'!$A:$A,$A73,'Budget-ACPLGZ'!AH:AH)+SUMIF('Budget-Yixing'!$A:$A,$A73,'Budget-Yixing'!AH:AH)</f>
        <v>55650</v>
      </c>
      <c r="AI73" s="688">
        <f ca="1">SUMIF('Budget-ACPL'!$A:$A,$A73,'Budget-ACPL'!AI:AI)+SUMIF('Budget-ACPLHK'!$A:$A,$A73,'Budget-ACPLHK'!AI:AI)+SUMIF('Budget-ACPSZL'!$A:$A,$A73,'Budget-ACPSZL'!AI:AI)+SUMIF('Budget-ACPLSZ'!$A:$A,$A73,'Budget-ACPLSZ'!AI:AI)+SUMIF('Budget-ACPLGZ'!$A:$A,$A73,'Budget-ACPLGZ'!AI:AI)+SUMIF('Budget-Yixing'!$A:$A,$A73,'Budget-Yixing'!AI:AI)</f>
        <v>55650</v>
      </c>
      <c r="AJ73" s="688">
        <f ca="1">SUMIF('Budget-ACPL'!$A:$A,$A73,'Budget-ACPL'!AJ:AJ)+SUMIF('Budget-ACPLHK'!$A:$A,$A73,'Budget-ACPLHK'!AJ:AJ)+SUMIF('Budget-ACPSZL'!$A:$A,$A73,'Budget-ACPSZL'!AJ:AJ)+SUMIF('Budget-ACPLSZ'!$A:$A,$A73,'Budget-ACPLSZ'!AJ:AJ)+SUMIF('Budget-ACPLGZ'!$A:$A,$A73,'Budget-ACPLGZ'!AJ:AJ)+SUMIF('Budget-Yixing'!$A:$A,$A73,'Budget-Yixing'!AJ:AJ)</f>
        <v>55650</v>
      </c>
      <c r="AK73" s="688">
        <f t="shared" ca="1" si="33"/>
        <v>684000</v>
      </c>
    </row>
    <row r="74" spans="1:37" ht="13.5" hidden="1" customHeight="1">
      <c r="A74" s="713" t="s">
        <v>1621</v>
      </c>
      <c r="B74" s="687" t="str">
        <f>VLOOKUP(A74,Account!A:B,2,0)</f>
        <v>其他</v>
      </c>
      <c r="C74" s="687">
        <f>VLOOKUP(A74,Account!A:F,4,0)</f>
        <v>0</v>
      </c>
      <c r="D74" s="676">
        <f t="shared" ca="1" si="27"/>
        <v>0</v>
      </c>
      <c r="E74" s="676" t="e">
        <f t="shared" si="28"/>
        <v>#N/A</v>
      </c>
      <c r="F74" s="676" t="e">
        <f t="shared" ca="1" si="24"/>
        <v>#N/A</v>
      </c>
      <c r="G74" s="676">
        <f t="shared" ca="1" si="29"/>
        <v>0</v>
      </c>
      <c r="H74" s="676" t="e">
        <f t="shared" ca="1" si="30"/>
        <v>#N/A</v>
      </c>
      <c r="I74" s="676" t="e">
        <f t="shared" ca="1" si="31"/>
        <v>#N/A</v>
      </c>
      <c r="K74" s="676">
        <f ca="1">SUMIF('Budget-ACPL'!$A:$A,$A74,'Budget-ACPL'!K:K)+SUMIF('Budget-ACPLHK'!$A:$A,$A74,'Budget-ACPLHK'!K:K)+SUMIF('Budget-ACPSZL'!$A:$A,$A74,'Budget-ACPSZL'!K:K)+SUMIF('Budget-ACPLSZ'!$A:$A,$A74,'Budget-ACPLSZ'!K:K)+SUMIF('Budget-ACPLGZ'!$A:$A,$A74,'Budget-ACPLGZ'!K:K)+SUMIF('Budget-Yixing'!$A:$A,$A74,'Budget-Yixing'!K:K)</f>
        <v>0</v>
      </c>
      <c r="L74" s="676">
        <f ca="1">SUMIF('Budget-ACPL'!$A:$A,$A74,'Budget-ACPL'!L:L)+SUMIF('Budget-ACPLHK'!$A:$A,$A74,'Budget-ACPLHK'!L:L)+SUMIF('Budget-ACPSZL'!$A:$A,$A74,'Budget-ACPSZL'!L:L)+SUMIF('Budget-ACPLSZ'!$A:$A,$A74,'Budget-ACPLSZ'!L:L)+SUMIF('Budget-ACPLGZ'!$A:$A,$A74,'Budget-ACPLGZ'!L:L)+SUMIF('Budget-Yixing'!$A:$A,$A74,'Budget-Yixing'!L:L)</f>
        <v>0</v>
      </c>
      <c r="M74" s="676">
        <f ca="1">SUMIF('Budget-ACPL'!$A:$A,$A74,'Budget-ACPL'!M:M)+SUMIF('Budget-ACPLHK'!$A:$A,$A74,'Budget-ACPLHK'!M:M)+SUMIF('Budget-ACPSZL'!$A:$A,$A74,'Budget-ACPSZL'!M:M)+SUMIF('Budget-ACPLSZ'!$A:$A,$A74,'Budget-ACPLSZ'!M:M)+SUMIF('Budget-ACPLGZ'!$A:$A,$A74,'Budget-ACPLGZ'!M:M)+SUMIF('Budget-Yixing'!$A:$A,$A74,'Budget-Yixing'!M:M)</f>
        <v>0</v>
      </c>
      <c r="N74" s="676">
        <f ca="1">SUMIF('Budget-ACPL'!$A:$A,$A74,'Budget-ACPL'!N:N)+SUMIF('Budget-ACPLHK'!$A:$A,$A74,'Budget-ACPLHK'!N:N)+SUMIF('Budget-ACPSZL'!$A:$A,$A74,'Budget-ACPSZL'!N:N)+SUMIF('Budget-ACPLSZ'!$A:$A,$A74,'Budget-ACPLSZ'!N:N)+SUMIF('Budget-ACPLGZ'!$A:$A,$A74,'Budget-ACPLGZ'!N:N)+SUMIF('Budget-Yixing'!$A:$A,$A74,'Budget-Yixing'!N:N)</f>
        <v>0</v>
      </c>
      <c r="O74" s="676">
        <f ca="1">SUMIF('Budget-ACPL'!$A:$A,$A74,'Budget-ACPL'!O:O)+SUMIF('Budget-ACPLHK'!$A:$A,$A74,'Budget-ACPLHK'!O:O)+SUMIF('Budget-ACPSZL'!$A:$A,$A74,'Budget-ACPSZL'!O:O)+SUMIF('Budget-ACPLSZ'!$A:$A,$A74,'Budget-ACPLSZ'!O:O)+SUMIF('Budget-ACPLGZ'!$A:$A,$A74,'Budget-ACPLGZ'!O:O)+SUMIF('Budget-Yixing'!$A:$A,$A74,'Budget-Yixing'!O:O)</f>
        <v>0</v>
      </c>
      <c r="P74" s="676">
        <f ca="1">SUMIF('Budget-ACPL'!$A:$A,$A74,'Budget-ACPL'!P:P)+SUMIF('Budget-ACPLHK'!$A:$A,$A74,'Budget-ACPLHK'!P:P)+SUMIF('Budget-ACPSZL'!$A:$A,$A74,'Budget-ACPSZL'!P:P)+SUMIF('Budget-ACPLSZ'!$A:$A,$A74,'Budget-ACPLSZ'!P:P)+SUMIF('Budget-ACPLGZ'!$A:$A,$A74,'Budget-ACPLGZ'!P:P)+SUMIF('Budget-Yixing'!$A:$A,$A74,'Budget-Yixing'!P:P)</f>
        <v>0</v>
      </c>
      <c r="Q74" s="676">
        <f ca="1">SUMIF('Budget-ACPL'!$A:$A,$A74,'Budget-ACPL'!Q:Q)+SUMIF('Budget-ACPLHK'!$A:$A,$A74,'Budget-ACPLHK'!Q:Q)+SUMIF('Budget-ACPSZL'!$A:$A,$A74,'Budget-ACPSZL'!Q:Q)+SUMIF('Budget-ACPLSZ'!$A:$A,$A74,'Budget-ACPLSZ'!Q:Q)+SUMIF('Budget-ACPLGZ'!$A:$A,$A74,'Budget-ACPLGZ'!Q:Q)+SUMIF('Budget-Yixing'!$A:$A,$A74,'Budget-Yixing'!Q:Q)</f>
        <v>0</v>
      </c>
      <c r="R74" s="676">
        <f ca="1">SUMIF('Budget-ACPL'!$A:$A,$A74,'Budget-ACPL'!R:R)+SUMIF('Budget-ACPLHK'!$A:$A,$A74,'Budget-ACPLHK'!R:R)+SUMIF('Budget-ACPSZL'!$A:$A,$A74,'Budget-ACPSZL'!R:R)+SUMIF('Budget-ACPLSZ'!$A:$A,$A74,'Budget-ACPLSZ'!R:R)+SUMIF('Budget-ACPLGZ'!$A:$A,$A74,'Budget-ACPLGZ'!R:R)+SUMIF('Budget-Yixing'!$A:$A,$A74,'Budget-Yixing'!R:R)</f>
        <v>0</v>
      </c>
      <c r="S74" s="676">
        <f ca="1">SUMIF('Budget-ACPL'!$A:$A,$A74,'Budget-ACPL'!S:S)+SUMIF('Budget-ACPLHK'!$A:$A,$A74,'Budget-ACPLHK'!S:S)+SUMIF('Budget-ACPSZL'!$A:$A,$A74,'Budget-ACPSZL'!S:S)+SUMIF('Budget-ACPLSZ'!$A:$A,$A74,'Budget-ACPLSZ'!S:S)+SUMIF('Budget-ACPLGZ'!$A:$A,$A74,'Budget-ACPLGZ'!S:S)+SUMIF('Budget-Yixing'!$A:$A,$A74,'Budget-Yixing'!S:S)</f>
        <v>0</v>
      </c>
      <c r="T74" s="676">
        <f ca="1">SUMIF('Budget-ACPL'!$A:$A,$A74,'Budget-ACPL'!T:T)+SUMIF('Budget-ACPLHK'!$A:$A,$A74,'Budget-ACPLHK'!T:T)+SUMIF('Budget-ACPSZL'!$A:$A,$A74,'Budget-ACPSZL'!T:T)+SUMIF('Budget-ACPLSZ'!$A:$A,$A74,'Budget-ACPLSZ'!T:T)+SUMIF('Budget-ACPLGZ'!$A:$A,$A74,'Budget-ACPLGZ'!T:T)+SUMIF('Budget-Yixing'!$A:$A,$A74,'Budget-Yixing'!T:T)</f>
        <v>0</v>
      </c>
      <c r="U74" s="676">
        <f ca="1">SUMIF('Budget-ACPL'!$A:$A,$A74,'Budget-ACPL'!U:U)+SUMIF('Budget-ACPLHK'!$A:$A,$A74,'Budget-ACPLHK'!U:U)+SUMIF('Budget-ACPSZL'!$A:$A,$A74,'Budget-ACPSZL'!U:U)+SUMIF('Budget-ACPLSZ'!$A:$A,$A74,'Budget-ACPLSZ'!U:U)+SUMIF('Budget-ACPLGZ'!$A:$A,$A74,'Budget-ACPLGZ'!U:U)+SUMIF('Budget-Yixing'!$A:$A,$A74,'Budget-Yixing'!U:U)</f>
        <v>0</v>
      </c>
      <c r="V74" s="676">
        <f ca="1">SUMIF('Budget-ACPL'!$A:$A,$A74,'Budget-ACPL'!V:V)+SUMIF('Budget-ACPLHK'!$A:$A,$A74,'Budget-ACPLHK'!V:V)+SUMIF('Budget-ACPSZL'!$A:$A,$A74,'Budget-ACPSZL'!V:V)+SUMIF('Budget-ACPLSZ'!$A:$A,$A74,'Budget-ACPLSZ'!V:V)+SUMIF('Budget-ACPLGZ'!$A:$A,$A74,'Budget-ACPLGZ'!V:V)+SUMIF('Budget-Yixing'!$A:$A,$A74,'Budget-Yixing'!V:V)</f>
        <v>0</v>
      </c>
      <c r="W74" s="676">
        <f ca="1">SUM(K74:V74)</f>
        <v>0</v>
      </c>
      <c r="Y74" s="688">
        <f ca="1">SUMIF('Budget-ACPL'!$A:$A,$A74,'Budget-ACPL'!Y:Y)+SUMIF('Budget-ACPLHK'!$A:$A,$A74,'Budget-ACPLHK'!Y:Y)+SUMIF('Budget-ACPSZL'!$A:$A,$A74,'Budget-ACPSZL'!Y:Y)+SUMIF('Budget-ACPLSZ'!$A:$A,$A74,'Budget-ACPLSZ'!Y:Y)+SUMIF('Budget-ACPLGZ'!$A:$A,$A74,'Budget-ACPLGZ'!Y:Y)+SUMIF('Budget-Yixing'!$A:$A,$A74,'Budget-Yixing'!Y:Y)</f>
        <v>0</v>
      </c>
      <c r="Z74" s="688">
        <f ca="1">SUMIF('Budget-ACPL'!$A:$A,$A74,'Budget-ACPL'!Z:Z)+SUMIF('Budget-ACPLHK'!$A:$A,$A74,'Budget-ACPLHK'!Z:Z)+SUMIF('Budget-ACPSZL'!$A:$A,$A74,'Budget-ACPSZL'!Z:Z)+SUMIF('Budget-ACPLSZ'!$A:$A,$A74,'Budget-ACPLSZ'!Z:Z)+SUMIF('Budget-ACPLGZ'!$A:$A,$A74,'Budget-ACPLGZ'!Z:Z)+SUMIF('Budget-Yixing'!$A:$A,$A74,'Budget-Yixing'!Z:Z)</f>
        <v>-7910.87</v>
      </c>
      <c r="AA74" s="688">
        <f ca="1">SUMIF('Budget-ACPL'!$A:$A,$A74,'Budget-ACPL'!AA:AA)+SUMIF('Budget-ACPLHK'!$A:$A,$A74,'Budget-ACPLHK'!AA:AA)+SUMIF('Budget-ACPSZL'!$A:$A,$A74,'Budget-ACPSZL'!AA:AA)+SUMIF('Budget-ACPLSZ'!$A:$A,$A74,'Budget-ACPLSZ'!AA:AA)+SUMIF('Budget-ACPLGZ'!$A:$A,$A74,'Budget-ACPLGZ'!AA:AA)+SUMIF('Budget-Yixing'!$A:$A,$A74,'Budget-Yixing'!AA:AA)</f>
        <v>0</v>
      </c>
      <c r="AB74" s="688">
        <f ca="1">SUMIF('Budget-ACPL'!$A:$A,$A74,'Budget-ACPL'!AB:AB)+SUMIF('Budget-ACPLHK'!$A:$A,$A74,'Budget-ACPLHK'!AB:AB)+SUMIF('Budget-ACPSZL'!$A:$A,$A74,'Budget-ACPSZL'!AB:AB)+SUMIF('Budget-ACPLSZ'!$A:$A,$A74,'Budget-ACPLSZ'!AB:AB)+SUMIF('Budget-ACPLGZ'!$A:$A,$A74,'Budget-ACPLGZ'!AB:AB)+SUMIF('Budget-Yixing'!$A:$A,$A74,'Budget-Yixing'!AB:AB)</f>
        <v>-42393.58</v>
      </c>
      <c r="AC74" s="688">
        <f ca="1">SUMIF('Budget-ACPL'!$A:$A,$A74,'Budget-ACPL'!AC:AC)+SUMIF('Budget-ACPLHK'!$A:$A,$A74,'Budget-ACPLHK'!AC:AC)+SUMIF('Budget-ACPSZL'!$A:$A,$A74,'Budget-ACPSZL'!AC:AC)+SUMIF('Budget-ACPLSZ'!$A:$A,$A74,'Budget-ACPLSZ'!AC:AC)+SUMIF('Budget-ACPLGZ'!$A:$A,$A74,'Budget-ACPLGZ'!AC:AC)+SUMIF('Budget-Yixing'!$A:$A,$A74,'Budget-Yixing'!AC:AC)</f>
        <v>0</v>
      </c>
      <c r="AD74" s="688">
        <f ca="1">SUMIF('Budget-ACPL'!$A:$A,$A74,'Budget-ACPL'!AD:AD)+SUMIF('Budget-ACPLHK'!$A:$A,$A74,'Budget-ACPLHK'!AD:AD)+SUMIF('Budget-ACPSZL'!$A:$A,$A74,'Budget-ACPSZL'!AD:AD)+SUMIF('Budget-ACPLSZ'!$A:$A,$A74,'Budget-ACPLSZ'!AD:AD)+SUMIF('Budget-ACPLGZ'!$A:$A,$A74,'Budget-ACPLGZ'!AD:AD)+SUMIF('Budget-Yixing'!$A:$A,$A74,'Budget-Yixing'!AD:AD)</f>
        <v>0</v>
      </c>
      <c r="AE74" s="688">
        <f ca="1">SUMIF('Budget-ACPL'!$A:$A,$A74,'Budget-ACPL'!AE:AE)+SUMIF('Budget-ACPLHK'!$A:$A,$A74,'Budget-ACPLHK'!AE:AE)+SUMIF('Budget-ACPSZL'!$A:$A,$A74,'Budget-ACPSZL'!AE:AE)+SUMIF('Budget-ACPLSZ'!$A:$A,$A74,'Budget-ACPLSZ'!AE:AE)+SUMIF('Budget-ACPLGZ'!$A:$A,$A74,'Budget-ACPLGZ'!AE:AE)+SUMIF('Budget-Yixing'!$A:$A,$A74,'Budget-Yixing'!AE:AE)</f>
        <v>0</v>
      </c>
      <c r="AF74" s="688">
        <f ca="1">SUMIF('Budget-ACPL'!$A:$A,$A74,'Budget-ACPL'!AF:AF)+SUMIF('Budget-ACPLHK'!$A:$A,$A74,'Budget-ACPLHK'!AF:AF)+SUMIF('Budget-ACPSZL'!$A:$A,$A74,'Budget-ACPSZL'!AF:AF)+SUMIF('Budget-ACPLSZ'!$A:$A,$A74,'Budget-ACPLSZ'!AF:AF)+SUMIF('Budget-ACPLGZ'!$A:$A,$A74,'Budget-ACPLGZ'!AF:AF)+SUMIF('Budget-Yixing'!$A:$A,$A74,'Budget-Yixing'!AF:AF)</f>
        <v>0</v>
      </c>
      <c r="AG74" s="688">
        <f ca="1">SUMIF('Budget-ACPL'!$A:$A,$A74,'Budget-ACPL'!AG:AG)+SUMIF('Budget-ACPLHK'!$A:$A,$A74,'Budget-ACPLHK'!AG:AG)+SUMIF('Budget-ACPSZL'!$A:$A,$A74,'Budget-ACPSZL'!AG:AG)+SUMIF('Budget-ACPLSZ'!$A:$A,$A74,'Budget-ACPLSZ'!AG:AG)+SUMIF('Budget-ACPLGZ'!$A:$A,$A74,'Budget-ACPLGZ'!AG:AG)+SUMIF('Budget-Yixing'!$A:$A,$A74,'Budget-Yixing'!AG:AG)</f>
        <v>0</v>
      </c>
      <c r="AH74" s="688">
        <f ca="1">SUMIF('Budget-ACPL'!$A:$A,$A74,'Budget-ACPL'!AH:AH)+SUMIF('Budget-ACPLHK'!$A:$A,$A74,'Budget-ACPLHK'!AH:AH)+SUMIF('Budget-ACPSZL'!$A:$A,$A74,'Budget-ACPSZL'!AH:AH)+SUMIF('Budget-ACPLSZ'!$A:$A,$A74,'Budget-ACPLSZ'!AH:AH)+SUMIF('Budget-ACPLGZ'!$A:$A,$A74,'Budget-ACPLGZ'!AH:AH)+SUMIF('Budget-Yixing'!$A:$A,$A74,'Budget-Yixing'!AH:AH)</f>
        <v>0</v>
      </c>
      <c r="AI74" s="688">
        <f ca="1">SUMIF('Budget-ACPL'!$A:$A,$A74,'Budget-ACPL'!AI:AI)+SUMIF('Budget-ACPLHK'!$A:$A,$A74,'Budget-ACPLHK'!AI:AI)+SUMIF('Budget-ACPSZL'!$A:$A,$A74,'Budget-ACPSZL'!AI:AI)+SUMIF('Budget-ACPLSZ'!$A:$A,$A74,'Budget-ACPLSZ'!AI:AI)+SUMIF('Budget-ACPLGZ'!$A:$A,$A74,'Budget-ACPLGZ'!AI:AI)+SUMIF('Budget-Yixing'!$A:$A,$A74,'Budget-Yixing'!AI:AI)</f>
        <v>0</v>
      </c>
      <c r="AJ74" s="688">
        <f ca="1">SUMIF('Budget-ACPL'!$A:$A,$A74,'Budget-ACPL'!AJ:AJ)+SUMIF('Budget-ACPLHK'!$A:$A,$A74,'Budget-ACPLHK'!AJ:AJ)+SUMIF('Budget-ACPSZL'!$A:$A,$A74,'Budget-ACPSZL'!AJ:AJ)+SUMIF('Budget-ACPLSZ'!$A:$A,$A74,'Budget-ACPLSZ'!AJ:AJ)+SUMIF('Budget-ACPLGZ'!$A:$A,$A74,'Budget-ACPLGZ'!AJ:AJ)+SUMIF('Budget-Yixing'!$A:$A,$A74,'Budget-Yixing'!AJ:AJ)</f>
        <v>0</v>
      </c>
      <c r="AK74" s="688">
        <f t="shared" ca="1" si="33"/>
        <v>-50304.450000000004</v>
      </c>
    </row>
    <row r="75" spans="1:37" ht="13.5" customHeight="1">
      <c r="A75" s="716" t="s">
        <v>1623</v>
      </c>
      <c r="B75" s="717" t="str">
        <f>VLOOKUP(A75,Account!A:B,2,0)</f>
        <v>业务招待费</v>
      </c>
      <c r="C75" s="687" t="str">
        <f>VLOOKUP(A75,Account!A:F,4,0)</f>
        <v>Client Entertainment</v>
      </c>
      <c r="D75" s="676">
        <f t="shared" ca="1" si="27"/>
        <v>13891.641666666666</v>
      </c>
      <c r="E75" s="676" t="e">
        <f t="shared" si="28"/>
        <v>#N/A</v>
      </c>
      <c r="F75" s="676" t="e">
        <f t="shared" ca="1" si="24"/>
        <v>#N/A</v>
      </c>
      <c r="G75" s="676">
        <f t="shared" ca="1" si="29"/>
        <v>13891.641666666666</v>
      </c>
      <c r="H75" s="676" t="e">
        <f t="shared" ca="1" si="30"/>
        <v>#N/A</v>
      </c>
      <c r="I75" s="676" t="e">
        <f t="shared" ca="1" si="31"/>
        <v>#N/A</v>
      </c>
      <c r="K75" s="676">
        <f ca="1">SUMIF('Budget-ACPL'!$A:$A,$A75,'Budget-ACPL'!K:K)+SUMIF('Budget-ACPLHK'!$A:$A,$A75,'Budget-ACPLHK'!K:K)+SUMIF('Budget-ACPSZL'!$A:$A,$A75,'Budget-ACPSZL'!K:K)+SUMIF('Budget-ACPLSZ'!$A:$A,$A75,'Budget-ACPLSZ'!K:K)+SUMIF('Budget-ACPLGZ'!$A:$A,$A75,'Budget-ACPLGZ'!K:K)+SUMIF('Budget-Yixing'!$A:$A,$A75,'Budget-Yixing'!K:K)</f>
        <v>13891.641666666666</v>
      </c>
      <c r="L75" s="676">
        <f ca="1">SUMIF('Budget-ACPL'!$A:$A,$A75,'Budget-ACPL'!L:L)+SUMIF('Budget-ACPLHK'!$A:$A,$A75,'Budget-ACPLHK'!L:L)+SUMIF('Budget-ACPSZL'!$A:$A,$A75,'Budget-ACPSZL'!L:L)+SUMIF('Budget-ACPLSZ'!$A:$A,$A75,'Budget-ACPLSZ'!L:L)+SUMIF('Budget-ACPLGZ'!$A:$A,$A75,'Budget-ACPLGZ'!L:L)+SUMIF('Budget-Yixing'!$A:$A,$A75,'Budget-Yixing'!L:L)</f>
        <v>13872.166666666668</v>
      </c>
      <c r="M75" s="676">
        <f ca="1">SUMIF('Budget-ACPL'!$A:$A,$A75,'Budget-ACPL'!M:M)+SUMIF('Budget-ACPLHK'!$A:$A,$A75,'Budget-ACPLHK'!M:M)+SUMIF('Budget-ACPSZL'!$A:$A,$A75,'Budget-ACPSZL'!M:M)+SUMIF('Budget-ACPLSZ'!$A:$A,$A75,'Budget-ACPLSZ'!M:M)+SUMIF('Budget-ACPLGZ'!$A:$A,$A75,'Budget-ACPLGZ'!M:M)+SUMIF('Budget-Yixing'!$A:$A,$A75,'Budget-Yixing'!M:M)</f>
        <v>13872.166666666668</v>
      </c>
      <c r="N75" s="676">
        <f ca="1">SUMIF('Budget-ACPL'!$A:$A,$A75,'Budget-ACPL'!N:N)+SUMIF('Budget-ACPLHK'!$A:$A,$A75,'Budget-ACPLHK'!N:N)+SUMIF('Budget-ACPSZL'!$A:$A,$A75,'Budget-ACPSZL'!N:N)+SUMIF('Budget-ACPLSZ'!$A:$A,$A75,'Budget-ACPLSZ'!N:N)+SUMIF('Budget-ACPLGZ'!$A:$A,$A75,'Budget-ACPLGZ'!N:N)+SUMIF('Budget-Yixing'!$A:$A,$A75,'Budget-Yixing'!N:N)</f>
        <v>13872.166666666668</v>
      </c>
      <c r="O75" s="676">
        <f ca="1">SUMIF('Budget-ACPL'!$A:$A,$A75,'Budget-ACPL'!O:O)+SUMIF('Budget-ACPLHK'!$A:$A,$A75,'Budget-ACPLHK'!O:O)+SUMIF('Budget-ACPSZL'!$A:$A,$A75,'Budget-ACPSZL'!O:O)+SUMIF('Budget-ACPLSZ'!$A:$A,$A75,'Budget-ACPLSZ'!O:O)+SUMIF('Budget-ACPLGZ'!$A:$A,$A75,'Budget-ACPLGZ'!O:O)+SUMIF('Budget-Yixing'!$A:$A,$A75,'Budget-Yixing'!O:O)</f>
        <v>13872.166666666668</v>
      </c>
      <c r="P75" s="676">
        <f ca="1">SUMIF('Budget-ACPL'!$A:$A,$A75,'Budget-ACPL'!P:P)+SUMIF('Budget-ACPLHK'!$A:$A,$A75,'Budget-ACPLHK'!P:P)+SUMIF('Budget-ACPSZL'!$A:$A,$A75,'Budget-ACPSZL'!P:P)+SUMIF('Budget-ACPLSZ'!$A:$A,$A75,'Budget-ACPLSZ'!P:P)+SUMIF('Budget-ACPLGZ'!$A:$A,$A75,'Budget-ACPLGZ'!P:P)+SUMIF('Budget-Yixing'!$A:$A,$A75,'Budget-Yixing'!P:P)</f>
        <v>13872.166666666668</v>
      </c>
      <c r="Q75" s="676">
        <f ca="1">SUMIF('Budget-ACPL'!$A:$A,$A75,'Budget-ACPL'!Q:Q)+SUMIF('Budget-ACPLHK'!$A:$A,$A75,'Budget-ACPLHK'!Q:Q)+SUMIF('Budget-ACPSZL'!$A:$A,$A75,'Budget-ACPSZL'!Q:Q)+SUMIF('Budget-ACPLSZ'!$A:$A,$A75,'Budget-ACPLSZ'!Q:Q)+SUMIF('Budget-ACPLGZ'!$A:$A,$A75,'Budget-ACPLGZ'!Q:Q)+SUMIF('Budget-Yixing'!$A:$A,$A75,'Budget-Yixing'!Q:Q)</f>
        <v>13872.166666666668</v>
      </c>
      <c r="R75" s="676">
        <f ca="1">SUMIF('Budget-ACPL'!$A:$A,$A75,'Budget-ACPL'!R:R)+SUMIF('Budget-ACPLHK'!$A:$A,$A75,'Budget-ACPLHK'!R:R)+SUMIF('Budget-ACPSZL'!$A:$A,$A75,'Budget-ACPSZL'!R:R)+SUMIF('Budget-ACPLSZ'!$A:$A,$A75,'Budget-ACPLSZ'!R:R)+SUMIF('Budget-ACPLGZ'!$A:$A,$A75,'Budget-ACPLGZ'!R:R)+SUMIF('Budget-Yixing'!$A:$A,$A75,'Budget-Yixing'!R:R)</f>
        <v>13872.166666666668</v>
      </c>
      <c r="S75" s="676">
        <f ca="1">SUMIF('Budget-ACPL'!$A:$A,$A75,'Budget-ACPL'!S:S)+SUMIF('Budget-ACPLHK'!$A:$A,$A75,'Budget-ACPLHK'!S:S)+SUMIF('Budget-ACPSZL'!$A:$A,$A75,'Budget-ACPSZL'!S:S)+SUMIF('Budget-ACPLSZ'!$A:$A,$A75,'Budget-ACPLSZ'!S:S)+SUMIF('Budget-ACPLGZ'!$A:$A,$A75,'Budget-ACPLGZ'!S:S)+SUMIF('Budget-Yixing'!$A:$A,$A75,'Budget-Yixing'!S:S)</f>
        <v>13872.166666666668</v>
      </c>
      <c r="T75" s="676">
        <f ca="1">SUMIF('Budget-ACPL'!$A:$A,$A75,'Budget-ACPL'!T:T)+SUMIF('Budget-ACPLHK'!$A:$A,$A75,'Budget-ACPLHK'!T:T)+SUMIF('Budget-ACPSZL'!$A:$A,$A75,'Budget-ACPSZL'!T:T)+SUMIF('Budget-ACPLSZ'!$A:$A,$A75,'Budget-ACPLSZ'!T:T)+SUMIF('Budget-ACPLGZ'!$A:$A,$A75,'Budget-ACPLGZ'!T:T)+SUMIF('Budget-Yixing'!$A:$A,$A75,'Budget-Yixing'!T:T)</f>
        <v>13872.166666666668</v>
      </c>
      <c r="U75" s="676">
        <f ca="1">SUMIF('Budget-ACPL'!$A:$A,$A75,'Budget-ACPL'!U:U)+SUMIF('Budget-ACPLHK'!$A:$A,$A75,'Budget-ACPLHK'!U:U)+SUMIF('Budget-ACPSZL'!$A:$A,$A75,'Budget-ACPSZL'!U:U)+SUMIF('Budget-ACPLSZ'!$A:$A,$A75,'Budget-ACPLSZ'!U:U)+SUMIF('Budget-ACPLGZ'!$A:$A,$A75,'Budget-ACPLGZ'!U:U)+SUMIF('Budget-Yixing'!$A:$A,$A75,'Budget-Yixing'!U:U)</f>
        <v>13872.166666666668</v>
      </c>
      <c r="V75" s="676">
        <f ca="1">SUMIF('Budget-ACPL'!$A:$A,$A75,'Budget-ACPL'!V:V)+SUMIF('Budget-ACPLHK'!$A:$A,$A75,'Budget-ACPLHK'!V:V)+SUMIF('Budget-ACPSZL'!$A:$A,$A75,'Budget-ACPSZL'!V:V)+SUMIF('Budget-ACPLSZ'!$A:$A,$A75,'Budget-ACPLSZ'!V:V)+SUMIF('Budget-ACPLGZ'!$A:$A,$A75,'Budget-ACPLGZ'!V:V)+SUMIF('Budget-Yixing'!$A:$A,$A75,'Budget-Yixing'!V:V)</f>
        <v>13872.166666666668</v>
      </c>
      <c r="W75" s="676">
        <f t="shared" ref="W75:W87" ca="1" si="35">SUM(K75:V75)</f>
        <v>166485.47500000001</v>
      </c>
      <c r="Y75" s="688">
        <f ca="1">SUMIF('Budget-ACPL'!$A:$A,$A75,'Budget-ACPL'!Y:Y)+SUMIF('Budget-ACPLHK'!$A:$A,$A75,'Budget-ACPLHK'!Y:Y)+SUMIF('Budget-ACPSZL'!$A:$A,$A75,'Budget-ACPSZL'!Y:Y)+SUMIF('Budget-ACPLSZ'!$A:$A,$A75,'Budget-ACPLSZ'!Y:Y)+SUMIF('Budget-ACPLGZ'!$A:$A,$A75,'Budget-ACPLGZ'!Y:Y)+SUMIF('Budget-Yixing'!$A:$A,$A75,'Budget-Yixing'!Y:Y)</f>
        <v>0</v>
      </c>
      <c r="Z75" s="688">
        <f ca="1">SUMIF('Budget-ACPL'!$A:$A,$A75,'Budget-ACPL'!Z:Z)+SUMIF('Budget-ACPLHK'!$A:$A,$A75,'Budget-ACPLHK'!Z:Z)+SUMIF('Budget-ACPSZL'!$A:$A,$A75,'Budget-ACPSZL'!Z:Z)+SUMIF('Budget-ACPLSZ'!$A:$A,$A75,'Budget-ACPLSZ'!Z:Z)+SUMIF('Budget-ACPLGZ'!$A:$A,$A75,'Budget-ACPLGZ'!Z:Z)+SUMIF('Budget-Yixing'!$A:$A,$A75,'Budget-Yixing'!Z:Z)</f>
        <v>472.97</v>
      </c>
      <c r="AA75" s="688">
        <f ca="1">SUMIF('Budget-ACPL'!$A:$A,$A75,'Budget-ACPL'!AA:AA)+SUMIF('Budget-ACPLHK'!$A:$A,$A75,'Budget-ACPLHK'!AA:AA)+SUMIF('Budget-ACPSZL'!$A:$A,$A75,'Budget-ACPSZL'!AA:AA)+SUMIF('Budget-ACPLSZ'!$A:$A,$A75,'Budget-ACPLSZ'!AA:AA)+SUMIF('Budget-ACPLGZ'!$A:$A,$A75,'Budget-ACPLGZ'!AA:AA)+SUMIF('Budget-Yixing'!$A:$A,$A75,'Budget-Yixing'!AA:AA)</f>
        <v>-1593.4299999999998</v>
      </c>
      <c r="AB75" s="688">
        <f ca="1">SUMIF('Budget-ACPL'!$A:$A,$A75,'Budget-ACPL'!AB:AB)+SUMIF('Budget-ACPLHK'!$A:$A,$A75,'Budget-ACPLHK'!AB:AB)+SUMIF('Budget-ACPSZL'!$A:$A,$A75,'Budget-ACPSZL'!AB:AB)+SUMIF('Budget-ACPLSZ'!$A:$A,$A75,'Budget-ACPLSZ'!AB:AB)+SUMIF('Budget-ACPLGZ'!$A:$A,$A75,'Budget-ACPLGZ'!AB:AB)+SUMIF('Budget-Yixing'!$A:$A,$A75,'Budget-Yixing'!AB:AB)</f>
        <v>0</v>
      </c>
      <c r="AC75" s="688">
        <f ca="1">SUMIF('Budget-ACPL'!$A:$A,$A75,'Budget-ACPL'!AC:AC)+SUMIF('Budget-ACPLHK'!$A:$A,$A75,'Budget-ACPLHK'!AC:AC)+SUMIF('Budget-ACPSZL'!$A:$A,$A75,'Budget-ACPSZL'!AC:AC)+SUMIF('Budget-ACPLSZ'!$A:$A,$A75,'Budget-ACPLSZ'!AC:AC)+SUMIF('Budget-ACPLGZ'!$A:$A,$A75,'Budget-ACPLGZ'!AC:AC)+SUMIF('Budget-Yixing'!$A:$A,$A75,'Budget-Yixing'!AC:AC)</f>
        <v>29104.75</v>
      </c>
      <c r="AD75" s="688">
        <f ca="1">SUMIF('Budget-ACPL'!$A:$A,$A75,'Budget-ACPL'!AD:AD)+SUMIF('Budget-ACPLHK'!$A:$A,$A75,'Budget-ACPLHK'!AD:AD)+SUMIF('Budget-ACPSZL'!$A:$A,$A75,'Budget-ACPSZL'!AD:AD)+SUMIF('Budget-ACPLSZ'!$A:$A,$A75,'Budget-ACPLSZ'!AD:AD)+SUMIF('Budget-ACPLGZ'!$A:$A,$A75,'Budget-ACPLGZ'!AD:AD)+SUMIF('Budget-Yixing'!$A:$A,$A75,'Budget-Yixing'!AD:AD)</f>
        <v>1652.5</v>
      </c>
      <c r="AE75" s="688">
        <f ca="1">SUMIF('Budget-ACPL'!$A:$A,$A75,'Budget-ACPL'!AE:AE)+SUMIF('Budget-ACPLHK'!$A:$A,$A75,'Budget-ACPLHK'!AE:AE)+SUMIF('Budget-ACPSZL'!$A:$A,$A75,'Budget-ACPSZL'!AE:AE)+SUMIF('Budget-ACPLSZ'!$A:$A,$A75,'Budget-ACPLSZ'!AE:AE)+SUMIF('Budget-ACPLGZ'!$A:$A,$A75,'Budget-ACPLGZ'!AE:AE)+SUMIF('Budget-Yixing'!$A:$A,$A75,'Budget-Yixing'!AE:AE)</f>
        <v>0</v>
      </c>
      <c r="AF75" s="688">
        <f ca="1">SUMIF('Budget-ACPL'!$A:$A,$A75,'Budget-ACPL'!AF:AF)+SUMIF('Budget-ACPLHK'!$A:$A,$A75,'Budget-ACPLHK'!AF:AF)+SUMIF('Budget-ACPSZL'!$A:$A,$A75,'Budget-ACPSZL'!AF:AF)+SUMIF('Budget-ACPLSZ'!$A:$A,$A75,'Budget-ACPLSZ'!AF:AF)+SUMIF('Budget-ACPLGZ'!$A:$A,$A75,'Budget-ACPLGZ'!AF:AF)+SUMIF('Budget-Yixing'!$A:$A,$A75,'Budget-Yixing'!AF:AF)</f>
        <v>2587</v>
      </c>
      <c r="AG75" s="688">
        <f ca="1">SUMIF('Budget-ACPL'!$A:$A,$A75,'Budget-ACPL'!AG:AG)+SUMIF('Budget-ACPLHK'!$A:$A,$A75,'Budget-ACPLHK'!AG:AG)+SUMIF('Budget-ACPSZL'!$A:$A,$A75,'Budget-ACPSZL'!AG:AG)+SUMIF('Budget-ACPLSZ'!$A:$A,$A75,'Budget-ACPLSZ'!AG:AG)+SUMIF('Budget-ACPLGZ'!$A:$A,$A75,'Budget-ACPLGZ'!AG:AG)+SUMIF('Budget-Yixing'!$A:$A,$A75,'Budget-Yixing'!AG:AG)</f>
        <v>4058.85</v>
      </c>
      <c r="AH75" s="688">
        <f ca="1">SUMIF('Budget-ACPL'!$A:$A,$A75,'Budget-ACPL'!AH:AH)+SUMIF('Budget-ACPLHK'!$A:$A,$A75,'Budget-ACPLHK'!AH:AH)+SUMIF('Budget-ACPSZL'!$A:$A,$A75,'Budget-ACPSZL'!AH:AH)+SUMIF('Budget-ACPLSZ'!$A:$A,$A75,'Budget-ACPLSZ'!AH:AH)+SUMIF('Budget-ACPLGZ'!$A:$A,$A75,'Budget-ACPLGZ'!AH:AH)+SUMIF('Budget-Yixing'!$A:$A,$A75,'Budget-Yixing'!AH:AH)</f>
        <v>3618.9</v>
      </c>
      <c r="AI75" s="688">
        <f ca="1">SUMIF('Budget-ACPL'!$A:$A,$A75,'Budget-ACPL'!AI:AI)+SUMIF('Budget-ACPLHK'!$A:$A,$A75,'Budget-ACPLHK'!AI:AI)+SUMIF('Budget-ACPSZL'!$A:$A,$A75,'Budget-ACPSZL'!AI:AI)+SUMIF('Budget-ACPLSZ'!$A:$A,$A75,'Budget-ACPLSZ'!AI:AI)+SUMIF('Budget-ACPLGZ'!$A:$A,$A75,'Budget-ACPLGZ'!AI:AI)+SUMIF('Budget-Yixing'!$A:$A,$A75,'Budget-Yixing'!AI:AI)</f>
        <v>16238</v>
      </c>
      <c r="AJ75" s="688">
        <f ca="1">SUMIF('Budget-ACPL'!$A:$A,$A75,'Budget-ACPL'!AJ:AJ)+SUMIF('Budget-ACPLHK'!$A:$A,$A75,'Budget-ACPLHK'!AJ:AJ)+SUMIF('Budget-ACPSZL'!$A:$A,$A75,'Budget-ACPSZL'!AJ:AJ)+SUMIF('Budget-ACPLSZ'!$A:$A,$A75,'Budget-ACPLSZ'!AJ:AJ)+SUMIF('Budget-ACPLGZ'!$A:$A,$A75,'Budget-ACPLGZ'!AJ:AJ)+SUMIF('Budget-Yixing'!$A:$A,$A75,'Budget-Yixing'!AJ:AJ)</f>
        <v>33106.75</v>
      </c>
      <c r="AK75" s="688">
        <f t="shared" ca="1" si="33"/>
        <v>89246.290000000008</v>
      </c>
    </row>
    <row r="76" spans="1:37" ht="13.5" hidden="1" customHeight="1">
      <c r="A76" s="718"/>
      <c r="B76" s="687" t="s">
        <v>2517</v>
      </c>
      <c r="C76" s="687" t="s">
        <v>2511</v>
      </c>
      <c r="D76" s="676">
        <f t="shared" si="27"/>
        <v>0</v>
      </c>
      <c r="E76" s="676" t="e">
        <f t="shared" si="28"/>
        <v>#N/A</v>
      </c>
      <c r="F76" s="676" t="e">
        <f t="shared" si="24"/>
        <v>#N/A</v>
      </c>
      <c r="G76" s="676">
        <f t="shared" ca="1" si="29"/>
        <v>0</v>
      </c>
      <c r="H76" s="676" t="e">
        <f t="shared" ca="1" si="30"/>
        <v>#N/A</v>
      </c>
      <c r="I76" s="676" t="e">
        <f t="shared" ca="1" si="31"/>
        <v>#N/A</v>
      </c>
      <c r="K76" s="676">
        <f>SUMIF('Budget-ACPL'!$B:$B,$B76,'Budget-ACPL'!K:K)+SUMIF('Budget-ACPLHK'!$B:$B,$B76,'Budget-ACPLHK'!K:K)+SUMIF('Budget-ACPSZL'!$B:$B,$B76,'Budget-ACPSZL'!K:K)+SUMIF('Budget-ACPLSZ'!$B:$B,$B76,'Budget-ACPLSZ'!K:K)</f>
        <v>0</v>
      </c>
      <c r="L76" s="676">
        <f>SUMIF('Budget-ACPL'!$B:$B,$B76,'Budget-ACPL'!L:L)+SUMIF('Budget-ACPLHK'!$B:$B,$B76,'Budget-ACPLHK'!L:L)+SUMIF('Budget-ACPSZL'!$B:$B,$B76,'Budget-ACPSZL'!L:L)+SUMIF('Budget-ACPLSZ'!$B:$B,$B76,'Budget-ACPLSZ'!L:L)</f>
        <v>0</v>
      </c>
      <c r="M76" s="676">
        <f>SUMIF('Budget-ACPL'!$B:$B,$B76,'Budget-ACPL'!M:M)+SUMIF('Budget-ACPLHK'!$B:$B,$B76,'Budget-ACPLHK'!M:M)+SUMIF('Budget-ACPSZL'!$B:$B,$B76,'Budget-ACPSZL'!M:M)+SUMIF('Budget-ACPLSZ'!$B:$B,$B76,'Budget-ACPLSZ'!M:M)</f>
        <v>0</v>
      </c>
      <c r="N76" s="676">
        <f>SUMIF('Budget-ACPL'!$B:$B,$B76,'Budget-ACPL'!N:N)+SUMIF('Budget-ACPLHK'!$B:$B,$B76,'Budget-ACPLHK'!N:N)+SUMIF('Budget-ACPSZL'!$B:$B,$B76,'Budget-ACPSZL'!N:N)+SUMIF('Budget-ACPLSZ'!$B:$B,$B76,'Budget-ACPLSZ'!N:N)</f>
        <v>0</v>
      </c>
      <c r="O76" s="676">
        <f>SUMIF('Budget-ACPL'!$B:$B,$B76,'Budget-ACPL'!O:O)+SUMIF('Budget-ACPLHK'!$B:$B,$B76,'Budget-ACPLHK'!O:O)+SUMIF('Budget-ACPSZL'!$B:$B,$B76,'Budget-ACPSZL'!O:O)+SUMIF('Budget-ACPLSZ'!$B:$B,$B76,'Budget-ACPLSZ'!O:O)</f>
        <v>0</v>
      </c>
      <c r="P76" s="676">
        <f>SUMIF('Budget-ACPL'!$B:$B,$B76,'Budget-ACPL'!P:P)+SUMIF('Budget-ACPLHK'!$B:$B,$B76,'Budget-ACPLHK'!P:P)+SUMIF('Budget-ACPSZL'!$B:$B,$B76,'Budget-ACPSZL'!P:P)+SUMIF('Budget-ACPLSZ'!$B:$B,$B76,'Budget-ACPLSZ'!P:P)</f>
        <v>0</v>
      </c>
      <c r="Q76" s="676">
        <f>SUMIF('Budget-ACPL'!$B:$B,$B76,'Budget-ACPL'!Q:Q)+SUMIF('Budget-ACPLHK'!$B:$B,$B76,'Budget-ACPLHK'!Q:Q)+SUMIF('Budget-ACPSZL'!$B:$B,$B76,'Budget-ACPSZL'!Q:Q)+SUMIF('Budget-ACPLSZ'!$B:$B,$B76,'Budget-ACPLSZ'!Q:Q)</f>
        <v>0</v>
      </c>
      <c r="R76" s="676">
        <f>SUMIF('Budget-ACPL'!$B:$B,$B76,'Budget-ACPL'!R:R)+SUMIF('Budget-ACPLHK'!$B:$B,$B76,'Budget-ACPLHK'!R:R)+SUMIF('Budget-ACPSZL'!$B:$B,$B76,'Budget-ACPSZL'!R:R)+SUMIF('Budget-ACPLSZ'!$B:$B,$B76,'Budget-ACPLSZ'!R:R)</f>
        <v>0</v>
      </c>
      <c r="S76" s="676">
        <f>SUMIF('Budget-ACPL'!$B:$B,$B76,'Budget-ACPL'!S:S)+SUMIF('Budget-ACPLHK'!$B:$B,$B76,'Budget-ACPLHK'!S:S)+SUMIF('Budget-ACPSZL'!$B:$B,$B76,'Budget-ACPSZL'!S:S)+SUMIF('Budget-ACPLSZ'!$B:$B,$B76,'Budget-ACPLSZ'!S:S)</f>
        <v>0</v>
      </c>
      <c r="T76" s="676">
        <f>SUMIF('Budget-ACPL'!$B:$B,$B76,'Budget-ACPL'!T:T)+SUMIF('Budget-ACPLHK'!$B:$B,$B76,'Budget-ACPLHK'!T:T)+SUMIF('Budget-ACPSZL'!$B:$B,$B76,'Budget-ACPSZL'!T:T)+SUMIF('Budget-ACPLSZ'!$B:$B,$B76,'Budget-ACPLSZ'!T:T)</f>
        <v>0</v>
      </c>
      <c r="U76" s="676">
        <f>SUMIF('Budget-ACPL'!$B:$B,$B76,'Budget-ACPL'!U:U)+SUMIF('Budget-ACPLHK'!$B:$B,$B76,'Budget-ACPLHK'!U:U)+SUMIF('Budget-ACPSZL'!$B:$B,$B76,'Budget-ACPSZL'!U:U)+SUMIF('Budget-ACPLSZ'!$B:$B,$B76,'Budget-ACPLSZ'!U:U)</f>
        <v>0</v>
      </c>
      <c r="V76" s="676">
        <f>SUMIF('Budget-ACPL'!$B:$B,$B76,'Budget-ACPL'!V:V)+SUMIF('Budget-ACPLHK'!$B:$B,$B76,'Budget-ACPLHK'!V:V)+SUMIF('Budget-ACPSZL'!$B:$B,$B76,'Budget-ACPSZL'!V:V)+SUMIF('Budget-ACPLSZ'!$B:$B,$B76,'Budget-ACPLSZ'!V:V)</f>
        <v>0</v>
      </c>
      <c r="W76" s="676">
        <f t="shared" si="35"/>
        <v>0</v>
      </c>
      <c r="Y76" s="688"/>
      <c r="Z76" s="688"/>
      <c r="AA76" s="688"/>
      <c r="AB76" s="688"/>
      <c r="AC76" s="688"/>
      <c r="AD76" s="688"/>
      <c r="AE76" s="688"/>
      <c r="AF76" s="688"/>
      <c r="AG76" s="688"/>
      <c r="AH76" s="688"/>
      <c r="AI76" s="688"/>
      <c r="AJ76" s="688"/>
      <c r="AK76" s="688">
        <f t="shared" si="33"/>
        <v>0</v>
      </c>
    </row>
    <row r="77" spans="1:37" ht="13.5" hidden="1" customHeight="1">
      <c r="A77" s="718"/>
      <c r="B77" s="687" t="s">
        <v>2518</v>
      </c>
      <c r="C77" s="687" t="s">
        <v>2513</v>
      </c>
      <c r="D77" s="676">
        <f t="shared" si="27"/>
        <v>0</v>
      </c>
      <c r="E77" s="676" t="e">
        <f t="shared" si="28"/>
        <v>#N/A</v>
      </c>
      <c r="F77" s="676" t="e">
        <f t="shared" si="24"/>
        <v>#N/A</v>
      </c>
      <c r="G77" s="676">
        <f t="shared" ca="1" si="29"/>
        <v>0</v>
      </c>
      <c r="H77" s="676" t="e">
        <f t="shared" ca="1" si="30"/>
        <v>#N/A</v>
      </c>
      <c r="I77" s="676" t="e">
        <f t="shared" ca="1" si="31"/>
        <v>#N/A</v>
      </c>
      <c r="K77" s="676"/>
      <c r="L77" s="676"/>
      <c r="M77" s="676"/>
      <c r="N77" s="676"/>
      <c r="O77" s="676"/>
      <c r="P77" s="676"/>
      <c r="Q77" s="676"/>
      <c r="R77" s="676"/>
      <c r="S77" s="676"/>
      <c r="T77" s="676"/>
      <c r="U77" s="676"/>
      <c r="V77" s="676"/>
      <c r="W77" s="676">
        <f t="shared" si="35"/>
        <v>0</v>
      </c>
      <c r="Y77" s="688"/>
      <c r="Z77" s="688"/>
      <c r="AA77" s="688"/>
      <c r="AB77" s="688"/>
      <c r="AC77" s="688"/>
      <c r="AD77" s="688"/>
      <c r="AE77" s="688"/>
      <c r="AF77" s="688"/>
      <c r="AG77" s="688"/>
      <c r="AH77" s="688"/>
      <c r="AI77" s="688"/>
      <c r="AJ77" s="688"/>
      <c r="AK77" s="688">
        <f t="shared" si="33"/>
        <v>0</v>
      </c>
    </row>
    <row r="78" spans="1:37" ht="13.5" hidden="1" customHeight="1">
      <c r="A78" s="718"/>
      <c r="B78" s="687" t="s">
        <v>2519</v>
      </c>
      <c r="C78" s="687" t="s">
        <v>2515</v>
      </c>
      <c r="D78" s="676">
        <f t="shared" si="27"/>
        <v>0</v>
      </c>
      <c r="E78" s="676" t="e">
        <f t="shared" si="28"/>
        <v>#N/A</v>
      </c>
      <c r="F78" s="676" t="e">
        <f t="shared" si="24"/>
        <v>#N/A</v>
      </c>
      <c r="G78" s="676">
        <f t="shared" ca="1" si="29"/>
        <v>0</v>
      </c>
      <c r="H78" s="676" t="e">
        <f t="shared" ca="1" si="30"/>
        <v>#N/A</v>
      </c>
      <c r="I78" s="676" t="e">
        <f t="shared" ca="1" si="31"/>
        <v>#N/A</v>
      </c>
      <c r="K78" s="676">
        <f>SUMIF('Budget-ACPL'!$B:$B,$B78,'Budget-ACPL'!K:K)+SUMIF('Budget-ACPLHK'!$B:$B,$B78,'Budget-ACPLHK'!K:K)+SUMIF('Budget-ACPSZL'!$B:$B,$B78,'Budget-ACPSZL'!K:K)+SUMIF('Budget-ACPLSZ'!$B:$B,$B78,'Budget-ACPLSZ'!K:K)</f>
        <v>0</v>
      </c>
      <c r="L78" s="676">
        <f>SUMIF('Budget-ACPL'!$B:$B,$B78,'Budget-ACPL'!L:L)+SUMIF('Budget-ACPLHK'!$B:$B,$B78,'Budget-ACPLHK'!L:L)+SUMIF('Budget-ACPSZL'!$B:$B,$B78,'Budget-ACPSZL'!L:L)+SUMIF('Budget-ACPLSZ'!$B:$B,$B78,'Budget-ACPLSZ'!L:L)</f>
        <v>0</v>
      </c>
      <c r="M78" s="676">
        <f>SUMIF('Budget-ACPL'!$B:$B,$B78,'Budget-ACPL'!M:M)+SUMIF('Budget-ACPLHK'!$B:$B,$B78,'Budget-ACPLHK'!M:M)+SUMIF('Budget-ACPSZL'!$B:$B,$B78,'Budget-ACPSZL'!M:M)+SUMIF('Budget-ACPLSZ'!$B:$B,$B78,'Budget-ACPLSZ'!M:M)</f>
        <v>0</v>
      </c>
      <c r="N78" s="676">
        <f>SUMIF('Budget-ACPL'!$B:$B,$B78,'Budget-ACPL'!N:N)+SUMIF('Budget-ACPLHK'!$B:$B,$B78,'Budget-ACPLHK'!N:N)+SUMIF('Budget-ACPSZL'!$B:$B,$B78,'Budget-ACPSZL'!N:N)+SUMIF('Budget-ACPLSZ'!$B:$B,$B78,'Budget-ACPLSZ'!N:N)</f>
        <v>0</v>
      </c>
      <c r="O78" s="676">
        <f>SUMIF('Budget-ACPL'!$B:$B,$B78,'Budget-ACPL'!O:O)+SUMIF('Budget-ACPLHK'!$B:$B,$B78,'Budget-ACPLHK'!O:O)+SUMIF('Budget-ACPSZL'!$B:$B,$B78,'Budget-ACPSZL'!O:O)+SUMIF('Budget-ACPLSZ'!$B:$B,$B78,'Budget-ACPLSZ'!O:O)</f>
        <v>0</v>
      </c>
      <c r="P78" s="676">
        <f>SUMIF('Budget-ACPL'!$B:$B,$B78,'Budget-ACPL'!P:P)+SUMIF('Budget-ACPLHK'!$B:$B,$B78,'Budget-ACPLHK'!P:P)+SUMIF('Budget-ACPSZL'!$B:$B,$B78,'Budget-ACPSZL'!P:P)+SUMIF('Budget-ACPLSZ'!$B:$B,$B78,'Budget-ACPLSZ'!P:P)</f>
        <v>0</v>
      </c>
      <c r="Q78" s="676">
        <f>SUMIF('Budget-ACPL'!$B:$B,$B78,'Budget-ACPL'!Q:Q)+SUMIF('Budget-ACPLHK'!$B:$B,$B78,'Budget-ACPLHK'!Q:Q)+SUMIF('Budget-ACPSZL'!$B:$B,$B78,'Budget-ACPSZL'!Q:Q)+SUMIF('Budget-ACPLSZ'!$B:$B,$B78,'Budget-ACPLSZ'!Q:Q)</f>
        <v>0</v>
      </c>
      <c r="R78" s="676">
        <f>SUMIF('Budget-ACPL'!$B:$B,$B78,'Budget-ACPL'!R:R)+SUMIF('Budget-ACPLHK'!$B:$B,$B78,'Budget-ACPLHK'!R:R)+SUMIF('Budget-ACPSZL'!$B:$B,$B78,'Budget-ACPSZL'!R:R)+SUMIF('Budget-ACPLSZ'!$B:$B,$B78,'Budget-ACPLSZ'!R:R)</f>
        <v>0</v>
      </c>
      <c r="S78" s="676">
        <f>SUMIF('Budget-ACPL'!$B:$B,$B78,'Budget-ACPL'!S:S)+SUMIF('Budget-ACPLHK'!$B:$B,$B78,'Budget-ACPLHK'!S:S)+SUMIF('Budget-ACPSZL'!$B:$B,$B78,'Budget-ACPSZL'!S:S)+SUMIF('Budget-ACPLSZ'!$B:$B,$B78,'Budget-ACPLSZ'!S:S)</f>
        <v>0</v>
      </c>
      <c r="T78" s="676">
        <f>SUMIF('Budget-ACPL'!$B:$B,$B78,'Budget-ACPL'!T:T)+SUMIF('Budget-ACPLHK'!$B:$B,$B78,'Budget-ACPLHK'!T:T)+SUMIF('Budget-ACPSZL'!$B:$B,$B78,'Budget-ACPSZL'!T:T)+SUMIF('Budget-ACPLSZ'!$B:$B,$B78,'Budget-ACPLSZ'!T:T)</f>
        <v>0</v>
      </c>
      <c r="U78" s="676">
        <f>SUMIF('Budget-ACPL'!$B:$B,$B78,'Budget-ACPL'!U:U)+SUMIF('Budget-ACPLHK'!$B:$B,$B78,'Budget-ACPLHK'!U:U)+SUMIF('Budget-ACPSZL'!$B:$B,$B78,'Budget-ACPSZL'!U:U)+SUMIF('Budget-ACPLSZ'!$B:$B,$B78,'Budget-ACPLSZ'!U:U)</f>
        <v>0</v>
      </c>
      <c r="V78" s="676">
        <f>SUMIF('Budget-ACPL'!$B:$B,$B78,'Budget-ACPL'!V:V)+SUMIF('Budget-ACPLHK'!$B:$B,$B78,'Budget-ACPLHK'!V:V)+SUMIF('Budget-ACPSZL'!$B:$B,$B78,'Budget-ACPSZL'!V:V)+SUMIF('Budget-ACPLSZ'!$B:$B,$B78,'Budget-ACPLSZ'!V:V)</f>
        <v>0</v>
      </c>
      <c r="W78" s="676">
        <f t="shared" si="35"/>
        <v>0</v>
      </c>
      <c r="Y78" s="688"/>
      <c r="Z78" s="688"/>
      <c r="AA78" s="688"/>
      <c r="AB78" s="688"/>
      <c r="AC78" s="688"/>
      <c r="AD78" s="688"/>
      <c r="AE78" s="688"/>
      <c r="AF78" s="688"/>
      <c r="AG78" s="688"/>
      <c r="AH78" s="688"/>
      <c r="AI78" s="688"/>
      <c r="AJ78" s="688"/>
      <c r="AK78" s="688">
        <f t="shared" si="33"/>
        <v>0</v>
      </c>
    </row>
    <row r="79" spans="1:37" ht="13.5" hidden="1" customHeight="1">
      <c r="A79" s="713" t="s">
        <v>1628</v>
      </c>
      <c r="B79" s="687" t="s">
        <v>1629</v>
      </c>
      <c r="C79" s="687">
        <f>VLOOKUP(A79,Account!A:F,4,0)</f>
        <v>0</v>
      </c>
      <c r="D79" s="676">
        <f t="shared" ca="1" si="27"/>
        <v>0</v>
      </c>
      <c r="E79" s="676" t="e">
        <f t="shared" si="28"/>
        <v>#N/A</v>
      </c>
      <c r="F79" s="676" t="e">
        <f t="shared" ca="1" si="24"/>
        <v>#N/A</v>
      </c>
      <c r="G79" s="676">
        <f t="shared" ca="1" si="29"/>
        <v>0</v>
      </c>
      <c r="H79" s="676" t="e">
        <f t="shared" ca="1" si="30"/>
        <v>#N/A</v>
      </c>
      <c r="I79" s="676" t="e">
        <f t="shared" ca="1" si="31"/>
        <v>#N/A</v>
      </c>
      <c r="K79" s="676">
        <f ca="1">SUMIF('Budget-ACPL'!$A:$A,$A79,'Budget-ACPL'!K:K)+SUMIF('Budget-ACPLHK'!$A:$A,$A79,'Budget-ACPLHK'!K:K)+SUMIF('Budget-ACPSZL'!$A:$A,$A79,'Budget-ACPSZL'!K:K)+SUMIF('Budget-ACPLSZ'!$A:$A,$A79,'Budget-ACPLSZ'!K:K)+SUMIF('Budget-ACPLGZ'!$A:$A,$A79,'Budget-ACPLGZ'!K:K)+SUMIF('Budget-Yixing'!$A:$A,$A79,'Budget-Yixing'!K:K)</f>
        <v>0</v>
      </c>
      <c r="L79" s="676">
        <f ca="1">SUMIF('Budget-ACPL'!$A:$A,$A79,'Budget-ACPL'!L:L)+SUMIF('Budget-ACPLHK'!$A:$A,$A79,'Budget-ACPLHK'!L:L)+SUMIF('Budget-ACPSZL'!$A:$A,$A79,'Budget-ACPSZL'!L:L)+SUMIF('Budget-ACPLSZ'!$A:$A,$A79,'Budget-ACPLSZ'!L:L)+SUMIF('Budget-ACPLGZ'!$A:$A,$A79,'Budget-ACPLGZ'!L:L)+SUMIF('Budget-Yixing'!$A:$A,$A79,'Budget-Yixing'!L:L)</f>
        <v>0</v>
      </c>
      <c r="M79" s="676">
        <f ca="1">SUMIF('Budget-ACPL'!$A:$A,$A79,'Budget-ACPL'!M:M)+SUMIF('Budget-ACPLHK'!$A:$A,$A79,'Budget-ACPLHK'!M:M)+SUMIF('Budget-ACPSZL'!$A:$A,$A79,'Budget-ACPSZL'!M:M)+SUMIF('Budget-ACPLSZ'!$A:$A,$A79,'Budget-ACPLSZ'!M:M)+SUMIF('Budget-ACPLGZ'!$A:$A,$A79,'Budget-ACPLGZ'!M:M)+SUMIF('Budget-Yixing'!$A:$A,$A79,'Budget-Yixing'!M:M)</f>
        <v>0</v>
      </c>
      <c r="N79" s="676">
        <f ca="1">SUMIF('Budget-ACPL'!$A:$A,$A79,'Budget-ACPL'!N:N)+SUMIF('Budget-ACPLHK'!$A:$A,$A79,'Budget-ACPLHK'!N:N)+SUMIF('Budget-ACPSZL'!$A:$A,$A79,'Budget-ACPSZL'!N:N)+SUMIF('Budget-ACPLSZ'!$A:$A,$A79,'Budget-ACPLSZ'!N:N)+SUMIF('Budget-ACPLGZ'!$A:$A,$A79,'Budget-ACPLGZ'!N:N)+SUMIF('Budget-Yixing'!$A:$A,$A79,'Budget-Yixing'!N:N)</f>
        <v>0</v>
      </c>
      <c r="O79" s="676">
        <f ca="1">SUMIF('Budget-ACPL'!$A:$A,$A79,'Budget-ACPL'!O:O)+SUMIF('Budget-ACPLHK'!$A:$A,$A79,'Budget-ACPLHK'!O:O)+SUMIF('Budget-ACPSZL'!$A:$A,$A79,'Budget-ACPSZL'!O:O)+SUMIF('Budget-ACPLSZ'!$A:$A,$A79,'Budget-ACPLSZ'!O:O)+SUMIF('Budget-ACPLGZ'!$A:$A,$A79,'Budget-ACPLGZ'!O:O)+SUMIF('Budget-Yixing'!$A:$A,$A79,'Budget-Yixing'!O:O)</f>
        <v>0</v>
      </c>
      <c r="P79" s="676">
        <f ca="1">SUMIF('Budget-ACPL'!$A:$A,$A79,'Budget-ACPL'!P:P)+SUMIF('Budget-ACPLHK'!$A:$A,$A79,'Budget-ACPLHK'!P:P)+SUMIF('Budget-ACPSZL'!$A:$A,$A79,'Budget-ACPSZL'!P:P)+SUMIF('Budget-ACPLSZ'!$A:$A,$A79,'Budget-ACPLSZ'!P:P)+SUMIF('Budget-ACPLGZ'!$A:$A,$A79,'Budget-ACPLGZ'!P:P)+SUMIF('Budget-Yixing'!$A:$A,$A79,'Budget-Yixing'!P:P)</f>
        <v>0</v>
      </c>
      <c r="Q79" s="676">
        <f ca="1">SUMIF('Budget-ACPL'!$A:$A,$A79,'Budget-ACPL'!Q:Q)+SUMIF('Budget-ACPLHK'!$A:$A,$A79,'Budget-ACPLHK'!Q:Q)+SUMIF('Budget-ACPSZL'!$A:$A,$A79,'Budget-ACPSZL'!Q:Q)+SUMIF('Budget-ACPLSZ'!$A:$A,$A79,'Budget-ACPLSZ'!Q:Q)+SUMIF('Budget-ACPLGZ'!$A:$A,$A79,'Budget-ACPLGZ'!Q:Q)+SUMIF('Budget-Yixing'!$A:$A,$A79,'Budget-Yixing'!Q:Q)</f>
        <v>0</v>
      </c>
      <c r="R79" s="676">
        <f ca="1">SUMIF('Budget-ACPL'!$A:$A,$A79,'Budget-ACPL'!R:R)+SUMIF('Budget-ACPLHK'!$A:$A,$A79,'Budget-ACPLHK'!R:R)+SUMIF('Budget-ACPSZL'!$A:$A,$A79,'Budget-ACPSZL'!R:R)+SUMIF('Budget-ACPLSZ'!$A:$A,$A79,'Budget-ACPLSZ'!R:R)+SUMIF('Budget-ACPLGZ'!$A:$A,$A79,'Budget-ACPLGZ'!R:R)+SUMIF('Budget-Yixing'!$A:$A,$A79,'Budget-Yixing'!R:R)</f>
        <v>0</v>
      </c>
      <c r="S79" s="676">
        <f ca="1">SUMIF('Budget-ACPL'!$A:$A,$A79,'Budget-ACPL'!S:S)+SUMIF('Budget-ACPLHK'!$A:$A,$A79,'Budget-ACPLHK'!S:S)+SUMIF('Budget-ACPSZL'!$A:$A,$A79,'Budget-ACPSZL'!S:S)+SUMIF('Budget-ACPLSZ'!$A:$A,$A79,'Budget-ACPLSZ'!S:S)+SUMIF('Budget-ACPLGZ'!$A:$A,$A79,'Budget-ACPLGZ'!S:S)+SUMIF('Budget-Yixing'!$A:$A,$A79,'Budget-Yixing'!S:S)</f>
        <v>0</v>
      </c>
      <c r="T79" s="676">
        <f ca="1">SUMIF('Budget-ACPL'!$A:$A,$A79,'Budget-ACPL'!T:T)+SUMIF('Budget-ACPLHK'!$A:$A,$A79,'Budget-ACPLHK'!T:T)+SUMIF('Budget-ACPSZL'!$A:$A,$A79,'Budget-ACPSZL'!T:T)+SUMIF('Budget-ACPLSZ'!$A:$A,$A79,'Budget-ACPLSZ'!T:T)+SUMIF('Budget-ACPLGZ'!$A:$A,$A79,'Budget-ACPLGZ'!T:T)+SUMIF('Budget-Yixing'!$A:$A,$A79,'Budget-Yixing'!T:T)</f>
        <v>0</v>
      </c>
      <c r="U79" s="676">
        <f ca="1">SUMIF('Budget-ACPL'!$A:$A,$A79,'Budget-ACPL'!U:U)+SUMIF('Budget-ACPLHK'!$A:$A,$A79,'Budget-ACPLHK'!U:U)+SUMIF('Budget-ACPSZL'!$A:$A,$A79,'Budget-ACPSZL'!U:U)+SUMIF('Budget-ACPLSZ'!$A:$A,$A79,'Budget-ACPLSZ'!U:U)+SUMIF('Budget-ACPLGZ'!$A:$A,$A79,'Budget-ACPLGZ'!U:U)+SUMIF('Budget-Yixing'!$A:$A,$A79,'Budget-Yixing'!U:U)</f>
        <v>0</v>
      </c>
      <c r="V79" s="676">
        <f ca="1">SUMIF('Budget-ACPL'!$A:$A,$A79,'Budget-ACPL'!V:V)+SUMIF('Budget-ACPLHK'!$A:$A,$A79,'Budget-ACPLHK'!V:V)+SUMIF('Budget-ACPSZL'!$A:$A,$A79,'Budget-ACPSZL'!V:V)+SUMIF('Budget-ACPLSZ'!$A:$A,$A79,'Budget-ACPLSZ'!V:V)+SUMIF('Budget-ACPLGZ'!$A:$A,$A79,'Budget-ACPLGZ'!V:V)+SUMIF('Budget-Yixing'!$A:$A,$A79,'Budget-Yixing'!V:V)</f>
        <v>0</v>
      </c>
      <c r="W79" s="676">
        <f t="shared" ca="1" si="35"/>
        <v>0</v>
      </c>
      <c r="Y79" s="688">
        <f ca="1">SUMIF('Budget-ACPL'!$A:$A,$A79,'Budget-ACPL'!Y:Y)+SUMIF('Budget-ACPLHK'!$A:$A,$A79,'Budget-ACPLHK'!Y:Y)+SUMIF('Budget-ACPSZL'!$A:$A,$A79,'Budget-ACPSZL'!Y:Y)+SUMIF('Budget-ACPLSZ'!$A:$A,$A79,'Budget-ACPLSZ'!Y:Y)+SUMIF('Budget-ACPLGZ'!$A:$A,$A79,'Budget-ACPLGZ'!Y:Y)+SUMIF('Budget-Yixing'!$A:$A,$A79,'Budget-Yixing'!Y:Y)</f>
        <v>0</v>
      </c>
      <c r="Z79" s="688">
        <f ca="1">SUMIF('Budget-ACPL'!$A:$A,$A79,'Budget-ACPL'!Z:Z)+SUMIF('Budget-ACPLHK'!$A:$A,$A79,'Budget-ACPLHK'!Z:Z)+SUMIF('Budget-ACPSZL'!$A:$A,$A79,'Budget-ACPSZL'!Z:Z)+SUMIF('Budget-ACPLSZ'!$A:$A,$A79,'Budget-ACPLSZ'!Z:Z)+SUMIF('Budget-ACPLGZ'!$A:$A,$A79,'Budget-ACPLGZ'!Z:Z)+SUMIF('Budget-Yixing'!$A:$A,$A79,'Budget-Yixing'!Z:Z)</f>
        <v>0</v>
      </c>
      <c r="AA79" s="688">
        <f ca="1">SUMIF('Budget-ACPL'!$A:$A,$A79,'Budget-ACPL'!AA:AA)+SUMIF('Budget-ACPLHK'!$A:$A,$A79,'Budget-ACPLHK'!AA:AA)+SUMIF('Budget-ACPSZL'!$A:$A,$A79,'Budget-ACPSZL'!AA:AA)+SUMIF('Budget-ACPLSZ'!$A:$A,$A79,'Budget-ACPLSZ'!AA:AA)+SUMIF('Budget-ACPLGZ'!$A:$A,$A79,'Budget-ACPLGZ'!AA:AA)+SUMIF('Budget-Yixing'!$A:$A,$A79,'Budget-Yixing'!AA:AA)</f>
        <v>0</v>
      </c>
      <c r="AB79" s="688">
        <f ca="1">SUMIF('Budget-ACPL'!$A:$A,$A79,'Budget-ACPL'!AB:AB)+SUMIF('Budget-ACPLHK'!$A:$A,$A79,'Budget-ACPLHK'!AB:AB)+SUMIF('Budget-ACPSZL'!$A:$A,$A79,'Budget-ACPSZL'!AB:AB)+SUMIF('Budget-ACPLSZ'!$A:$A,$A79,'Budget-ACPLSZ'!AB:AB)+SUMIF('Budget-ACPLGZ'!$A:$A,$A79,'Budget-ACPLGZ'!AB:AB)+SUMIF('Budget-Yixing'!$A:$A,$A79,'Budget-Yixing'!AB:AB)</f>
        <v>0</v>
      </c>
      <c r="AC79" s="688">
        <f ca="1">SUMIF('Budget-ACPL'!$A:$A,$A79,'Budget-ACPL'!AC:AC)+SUMIF('Budget-ACPLHK'!$A:$A,$A79,'Budget-ACPLHK'!AC:AC)+SUMIF('Budget-ACPSZL'!$A:$A,$A79,'Budget-ACPSZL'!AC:AC)+SUMIF('Budget-ACPLSZ'!$A:$A,$A79,'Budget-ACPLSZ'!AC:AC)+SUMIF('Budget-ACPLGZ'!$A:$A,$A79,'Budget-ACPLGZ'!AC:AC)+SUMIF('Budget-Yixing'!$A:$A,$A79,'Budget-Yixing'!AC:AC)</f>
        <v>0</v>
      </c>
      <c r="AD79" s="688">
        <f ca="1">SUMIF('Budget-ACPL'!$A:$A,$A79,'Budget-ACPL'!AD:AD)+SUMIF('Budget-ACPLHK'!$A:$A,$A79,'Budget-ACPLHK'!AD:AD)+SUMIF('Budget-ACPSZL'!$A:$A,$A79,'Budget-ACPSZL'!AD:AD)+SUMIF('Budget-ACPLSZ'!$A:$A,$A79,'Budget-ACPLSZ'!AD:AD)+SUMIF('Budget-ACPLGZ'!$A:$A,$A79,'Budget-ACPLGZ'!AD:AD)+SUMIF('Budget-Yixing'!$A:$A,$A79,'Budget-Yixing'!AD:AD)</f>
        <v>0</v>
      </c>
      <c r="AE79" s="688">
        <f ca="1">SUMIF('Budget-ACPL'!$A:$A,$A79,'Budget-ACPL'!AE:AE)+SUMIF('Budget-ACPLHK'!$A:$A,$A79,'Budget-ACPLHK'!AE:AE)+SUMIF('Budget-ACPSZL'!$A:$A,$A79,'Budget-ACPSZL'!AE:AE)+SUMIF('Budget-ACPLSZ'!$A:$A,$A79,'Budget-ACPLSZ'!AE:AE)+SUMIF('Budget-ACPLGZ'!$A:$A,$A79,'Budget-ACPLGZ'!AE:AE)+SUMIF('Budget-Yixing'!$A:$A,$A79,'Budget-Yixing'!AE:AE)</f>
        <v>0</v>
      </c>
      <c r="AF79" s="688">
        <f ca="1">SUMIF('Budget-ACPL'!$A:$A,$A79,'Budget-ACPL'!AF:AF)+SUMIF('Budget-ACPLHK'!$A:$A,$A79,'Budget-ACPLHK'!AF:AF)+SUMIF('Budget-ACPSZL'!$A:$A,$A79,'Budget-ACPSZL'!AF:AF)+SUMIF('Budget-ACPLSZ'!$A:$A,$A79,'Budget-ACPLSZ'!AF:AF)+SUMIF('Budget-ACPLGZ'!$A:$A,$A79,'Budget-ACPLGZ'!AF:AF)+SUMIF('Budget-Yixing'!$A:$A,$A79,'Budget-Yixing'!AF:AF)</f>
        <v>0</v>
      </c>
      <c r="AG79" s="688">
        <f ca="1">SUMIF('Budget-ACPL'!$A:$A,$A79,'Budget-ACPL'!AG:AG)+SUMIF('Budget-ACPLHK'!$A:$A,$A79,'Budget-ACPLHK'!AG:AG)+SUMIF('Budget-ACPSZL'!$A:$A,$A79,'Budget-ACPSZL'!AG:AG)+SUMIF('Budget-ACPLSZ'!$A:$A,$A79,'Budget-ACPLSZ'!AG:AG)+SUMIF('Budget-ACPLGZ'!$A:$A,$A79,'Budget-ACPLGZ'!AG:AG)+SUMIF('Budget-Yixing'!$A:$A,$A79,'Budget-Yixing'!AG:AG)</f>
        <v>0</v>
      </c>
      <c r="AH79" s="688">
        <f ca="1">SUMIF('Budget-ACPL'!$A:$A,$A79,'Budget-ACPL'!AH:AH)+SUMIF('Budget-ACPLHK'!$A:$A,$A79,'Budget-ACPLHK'!AH:AH)+SUMIF('Budget-ACPSZL'!$A:$A,$A79,'Budget-ACPSZL'!AH:AH)+SUMIF('Budget-ACPLSZ'!$A:$A,$A79,'Budget-ACPLSZ'!AH:AH)+SUMIF('Budget-ACPLGZ'!$A:$A,$A79,'Budget-ACPLGZ'!AH:AH)+SUMIF('Budget-Yixing'!$A:$A,$A79,'Budget-Yixing'!AH:AH)</f>
        <v>0</v>
      </c>
      <c r="AI79" s="688">
        <f ca="1">SUMIF('Budget-ACPL'!$A:$A,$A79,'Budget-ACPL'!AI:AI)+SUMIF('Budget-ACPLHK'!$A:$A,$A79,'Budget-ACPLHK'!AI:AI)+SUMIF('Budget-ACPSZL'!$A:$A,$A79,'Budget-ACPSZL'!AI:AI)+SUMIF('Budget-ACPLSZ'!$A:$A,$A79,'Budget-ACPLSZ'!AI:AI)+SUMIF('Budget-ACPLGZ'!$A:$A,$A79,'Budget-ACPLGZ'!AI:AI)+SUMIF('Budget-Yixing'!$A:$A,$A79,'Budget-Yixing'!AI:AI)</f>
        <v>0</v>
      </c>
      <c r="AJ79" s="688">
        <f ca="1">SUMIF('Budget-ACPL'!$A:$A,$A79,'Budget-ACPL'!AJ:AJ)+SUMIF('Budget-ACPLHK'!$A:$A,$A79,'Budget-ACPLHK'!AJ:AJ)+SUMIF('Budget-ACPSZL'!$A:$A,$A79,'Budget-ACPSZL'!AJ:AJ)+SUMIF('Budget-ACPLSZ'!$A:$A,$A79,'Budget-ACPLSZ'!AJ:AJ)+SUMIF('Budget-ACPLGZ'!$A:$A,$A79,'Budget-ACPLGZ'!AJ:AJ)+SUMIF('Budget-Yixing'!$A:$A,$A79,'Budget-Yixing'!AJ:AJ)</f>
        <v>0</v>
      </c>
      <c r="AK79" s="688">
        <f t="shared" ca="1" si="33"/>
        <v>0</v>
      </c>
    </row>
    <row r="80" spans="1:37" ht="13.5" customHeight="1">
      <c r="A80" s="716" t="s">
        <v>1632</v>
      </c>
      <c r="B80" s="717" t="str">
        <f>VLOOKUP(A80,Account!A:B,2,0)</f>
        <v>事务费用</v>
      </c>
      <c r="C80" s="687">
        <f>VLOOKUP(A80,Account!A:F,4,0)</f>
        <v>0</v>
      </c>
      <c r="D80" s="676">
        <f t="shared" ca="1" si="27"/>
        <v>60821.309895958329</v>
      </c>
      <c r="E80" s="676" t="e">
        <f t="shared" si="28"/>
        <v>#N/A</v>
      </c>
      <c r="F80" s="676" t="e">
        <f t="shared" ca="1" si="24"/>
        <v>#N/A</v>
      </c>
      <c r="G80" s="676">
        <f t="shared" ca="1" si="29"/>
        <v>60821.309895958329</v>
      </c>
      <c r="H80" s="676" t="e">
        <f t="shared" ca="1" si="30"/>
        <v>#N/A</v>
      </c>
      <c r="I80" s="676" t="e">
        <f t="shared" ca="1" si="31"/>
        <v>#N/A</v>
      </c>
      <c r="K80" s="676">
        <f ca="1">SUMIF('Budget-ACPL'!$A:$A,$A80,'Budget-ACPL'!K:K)+SUMIF('Budget-ACPLHK'!$A:$A,$A80,'Budget-ACPLHK'!K:K)+SUMIF('Budget-ACPSZL'!$A:$A,$A80,'Budget-ACPSZL'!K:K)+SUMIF('Budget-ACPLSZ'!$A:$A,$A80,'Budget-ACPLSZ'!K:K)+SUMIF('Budget-ACPLGZ'!$A:$A,$A80,'Budget-ACPLGZ'!K:K)+SUMIF('Budget-Yixing'!$A:$A,$A80,'Budget-Yixing'!K:K)</f>
        <v>60821.309895958329</v>
      </c>
      <c r="L80" s="676">
        <f ca="1">SUMIF('Budget-ACPL'!$A:$A,$A80,'Budget-ACPL'!L:L)+SUMIF('Budget-ACPLHK'!$A:$A,$A80,'Budget-ACPLHK'!L:L)+SUMIF('Budget-ACPSZL'!$A:$A,$A80,'Budget-ACPSZL'!L:L)+SUMIF('Budget-ACPLSZ'!$A:$A,$A80,'Budget-ACPLSZ'!L:L)+SUMIF('Budget-ACPLGZ'!$A:$A,$A80,'Budget-ACPLGZ'!L:L)+SUMIF('Budget-Yixing'!$A:$A,$A80,'Budget-Yixing'!L:L)</f>
        <v>60347.56438916667</v>
      </c>
      <c r="M80" s="676">
        <f ca="1">SUMIF('Budget-ACPL'!$A:$A,$A80,'Budget-ACPL'!M:M)+SUMIF('Budget-ACPLHK'!$A:$A,$A80,'Budget-ACPLHK'!M:M)+SUMIF('Budget-ACPSZL'!$A:$A,$A80,'Budget-ACPSZL'!M:M)+SUMIF('Budget-ACPLSZ'!$A:$A,$A80,'Budget-ACPLSZ'!M:M)+SUMIF('Budget-ACPLGZ'!$A:$A,$A80,'Budget-ACPLGZ'!M:M)+SUMIF('Budget-Yixing'!$A:$A,$A80,'Budget-Yixing'!M:M)</f>
        <v>92141.56438916667</v>
      </c>
      <c r="N80" s="676">
        <f ca="1">SUMIF('Budget-ACPL'!$A:$A,$A80,'Budget-ACPL'!N:N)+SUMIF('Budget-ACPLHK'!$A:$A,$A80,'Budget-ACPLHK'!N:N)+SUMIF('Budget-ACPSZL'!$A:$A,$A80,'Budget-ACPSZL'!N:N)+SUMIF('Budget-ACPLSZ'!$A:$A,$A80,'Budget-ACPLSZ'!N:N)+SUMIF('Budget-ACPLGZ'!$A:$A,$A80,'Budget-ACPLGZ'!N:N)+SUMIF('Budget-Yixing'!$A:$A,$A80,'Budget-Yixing'!N:N)</f>
        <v>60347.56438916667</v>
      </c>
      <c r="O80" s="676">
        <f ca="1">SUMIF('Budget-ACPL'!$A:$A,$A80,'Budget-ACPL'!O:O)+SUMIF('Budget-ACPLHK'!$A:$A,$A80,'Budget-ACPLHK'!O:O)+SUMIF('Budget-ACPSZL'!$A:$A,$A80,'Budget-ACPSZL'!O:O)+SUMIF('Budget-ACPLSZ'!$A:$A,$A80,'Budget-ACPLSZ'!O:O)+SUMIF('Budget-ACPLGZ'!$A:$A,$A80,'Budget-ACPLGZ'!O:O)+SUMIF('Budget-Yixing'!$A:$A,$A80,'Budget-Yixing'!O:O)</f>
        <v>60347.56438916667</v>
      </c>
      <c r="P80" s="676">
        <f ca="1">SUMIF('Budget-ACPL'!$A:$A,$A80,'Budget-ACPL'!P:P)+SUMIF('Budget-ACPLHK'!$A:$A,$A80,'Budget-ACPLHK'!P:P)+SUMIF('Budget-ACPSZL'!$A:$A,$A80,'Budget-ACPSZL'!P:P)+SUMIF('Budget-ACPLSZ'!$A:$A,$A80,'Budget-ACPLSZ'!P:P)+SUMIF('Budget-ACPLGZ'!$A:$A,$A80,'Budget-ACPLGZ'!P:P)+SUMIF('Budget-Yixing'!$A:$A,$A80,'Budget-Yixing'!P:P)</f>
        <v>60347.56438916667</v>
      </c>
      <c r="Q80" s="676">
        <f ca="1">SUMIF('Budget-ACPL'!$A:$A,$A80,'Budget-ACPL'!Q:Q)+SUMIF('Budget-ACPLHK'!$A:$A,$A80,'Budget-ACPLHK'!Q:Q)+SUMIF('Budget-ACPSZL'!$A:$A,$A80,'Budget-ACPSZL'!Q:Q)+SUMIF('Budget-ACPLSZ'!$A:$A,$A80,'Budget-ACPLSZ'!Q:Q)+SUMIF('Budget-ACPLGZ'!$A:$A,$A80,'Budget-ACPLGZ'!Q:Q)+SUMIF('Budget-Yixing'!$A:$A,$A80,'Budget-Yixing'!Q:Q)</f>
        <v>60347.56438916667</v>
      </c>
      <c r="R80" s="676">
        <f ca="1">SUMIF('Budget-ACPL'!$A:$A,$A80,'Budget-ACPL'!R:R)+SUMIF('Budget-ACPLHK'!$A:$A,$A80,'Budget-ACPLHK'!R:R)+SUMIF('Budget-ACPSZL'!$A:$A,$A80,'Budget-ACPSZL'!R:R)+SUMIF('Budget-ACPLSZ'!$A:$A,$A80,'Budget-ACPLSZ'!R:R)+SUMIF('Budget-ACPLGZ'!$A:$A,$A80,'Budget-ACPLGZ'!R:R)+SUMIF('Budget-Yixing'!$A:$A,$A80,'Budget-Yixing'!R:R)</f>
        <v>60347.56438916667</v>
      </c>
      <c r="S80" s="676">
        <f ca="1">SUMIF('Budget-ACPL'!$A:$A,$A80,'Budget-ACPL'!S:S)+SUMIF('Budget-ACPLHK'!$A:$A,$A80,'Budget-ACPLHK'!S:S)+SUMIF('Budget-ACPSZL'!$A:$A,$A80,'Budget-ACPSZL'!S:S)+SUMIF('Budget-ACPLSZ'!$A:$A,$A80,'Budget-ACPLSZ'!S:S)+SUMIF('Budget-ACPLGZ'!$A:$A,$A80,'Budget-ACPLGZ'!S:S)+SUMIF('Budget-Yixing'!$A:$A,$A80,'Budget-Yixing'!S:S)</f>
        <v>60347.56438916667</v>
      </c>
      <c r="T80" s="676">
        <f ca="1">SUMIF('Budget-ACPL'!$A:$A,$A80,'Budget-ACPL'!T:T)+SUMIF('Budget-ACPLHK'!$A:$A,$A80,'Budget-ACPLHK'!T:T)+SUMIF('Budget-ACPSZL'!$A:$A,$A80,'Budget-ACPSZL'!T:T)+SUMIF('Budget-ACPLSZ'!$A:$A,$A80,'Budget-ACPLSZ'!T:T)+SUMIF('Budget-ACPLGZ'!$A:$A,$A80,'Budget-ACPLGZ'!T:T)+SUMIF('Budget-Yixing'!$A:$A,$A80,'Budget-Yixing'!T:T)</f>
        <v>60347.56438916667</v>
      </c>
      <c r="U80" s="676">
        <f ca="1">SUMIF('Budget-ACPL'!$A:$A,$A80,'Budget-ACPL'!U:U)+SUMIF('Budget-ACPLHK'!$A:$A,$A80,'Budget-ACPLHK'!U:U)+SUMIF('Budget-ACPSZL'!$A:$A,$A80,'Budget-ACPSZL'!U:U)+SUMIF('Budget-ACPLSZ'!$A:$A,$A80,'Budget-ACPLSZ'!U:U)+SUMIF('Budget-ACPLGZ'!$A:$A,$A80,'Budget-ACPLGZ'!U:U)+SUMIF('Budget-Yixing'!$A:$A,$A80,'Budget-Yixing'!U:U)</f>
        <v>60347.56438916667</v>
      </c>
      <c r="V80" s="676">
        <f ca="1">SUMIF('Budget-ACPL'!$A:$A,$A80,'Budget-ACPL'!V:V)+SUMIF('Budget-ACPLHK'!$A:$A,$A80,'Budget-ACPLHK'!V:V)+SUMIF('Budget-ACPSZL'!$A:$A,$A80,'Budget-ACPSZL'!V:V)+SUMIF('Budget-ACPLSZ'!$A:$A,$A80,'Budget-ACPLSZ'!V:V)+SUMIF('Budget-ACPLGZ'!$A:$A,$A80,'Budget-ACPLGZ'!V:V)+SUMIF('Budget-Yixing'!$A:$A,$A80,'Budget-Yixing'!V:V)</f>
        <v>60347.56438916667</v>
      </c>
      <c r="W80" s="676">
        <f t="shared" ca="1" si="35"/>
        <v>756438.51817679161</v>
      </c>
      <c r="Y80" s="688">
        <f ca="1">SUMIF('Budget-ACPL'!$A:$A,$A80,'Budget-ACPL'!Y:Y)+SUMIF('Budget-ACPLHK'!$A:$A,$A80,'Budget-ACPLHK'!Y:Y)+SUMIF('Budget-ACPSZL'!$A:$A,$A80,'Budget-ACPSZL'!Y:Y)+SUMIF('Budget-ACPLSZ'!$A:$A,$A80,'Budget-ACPLSZ'!Y:Y)+SUMIF('Budget-ACPLGZ'!$A:$A,$A80,'Budget-ACPLGZ'!Y:Y)+SUMIF('Budget-Yixing'!$A:$A,$A80,'Budget-Yixing'!Y:Y)</f>
        <v>21043.87</v>
      </c>
      <c r="Z80" s="688">
        <f ca="1">SUMIF('Budget-ACPL'!$A:$A,$A80,'Budget-ACPL'!Z:Z)+SUMIF('Budget-ACPLHK'!$A:$A,$A80,'Budget-ACPLHK'!Z:Z)+SUMIF('Budget-ACPSZL'!$A:$A,$A80,'Budget-ACPSZL'!Z:Z)+SUMIF('Budget-ACPLSZ'!$A:$A,$A80,'Budget-ACPLSZ'!Z:Z)+SUMIF('Budget-ACPLGZ'!$A:$A,$A80,'Budget-ACPLGZ'!Z:Z)+SUMIF('Budget-Yixing'!$A:$A,$A80,'Budget-Yixing'!Z:Z)</f>
        <v>18671.57</v>
      </c>
      <c r="AA80" s="688">
        <f ca="1">SUMIF('Budget-ACPL'!$A:$A,$A80,'Budget-ACPL'!AA:AA)+SUMIF('Budget-ACPLHK'!$A:$A,$A80,'Budget-ACPLHK'!AA:AA)+SUMIF('Budget-ACPSZL'!$A:$A,$A80,'Budget-ACPSZL'!AA:AA)+SUMIF('Budget-ACPLSZ'!$A:$A,$A80,'Budget-ACPLSZ'!AA:AA)+SUMIF('Budget-ACPLGZ'!$A:$A,$A80,'Budget-ACPLGZ'!AA:AA)+SUMIF('Budget-Yixing'!$A:$A,$A80,'Budget-Yixing'!AA:AA)</f>
        <v>12722.36</v>
      </c>
      <c r="AB80" s="688">
        <f ca="1">SUMIF('Budget-ACPL'!$A:$A,$A80,'Budget-ACPL'!AB:AB)+SUMIF('Budget-ACPLHK'!$A:$A,$A80,'Budget-ACPLHK'!AB:AB)+SUMIF('Budget-ACPSZL'!$A:$A,$A80,'Budget-ACPSZL'!AB:AB)+SUMIF('Budget-ACPLSZ'!$A:$A,$A80,'Budget-ACPLSZ'!AB:AB)+SUMIF('Budget-ACPLGZ'!$A:$A,$A80,'Budget-ACPLGZ'!AB:AB)+SUMIF('Budget-Yixing'!$A:$A,$A80,'Budget-Yixing'!AB:AB)</f>
        <v>5922.3099999999995</v>
      </c>
      <c r="AC80" s="688">
        <f ca="1">SUMIF('Budget-ACPL'!$A:$A,$A80,'Budget-ACPL'!AC:AC)+SUMIF('Budget-ACPLHK'!$A:$A,$A80,'Budget-ACPLHK'!AC:AC)+SUMIF('Budget-ACPSZL'!$A:$A,$A80,'Budget-ACPSZL'!AC:AC)+SUMIF('Budget-ACPLSZ'!$A:$A,$A80,'Budget-ACPLSZ'!AC:AC)+SUMIF('Budget-ACPLGZ'!$A:$A,$A80,'Budget-ACPLGZ'!AC:AC)+SUMIF('Budget-Yixing'!$A:$A,$A80,'Budget-Yixing'!AC:AC)</f>
        <v>106396.89</v>
      </c>
      <c r="AD80" s="688">
        <f ca="1">SUMIF('Budget-ACPL'!$A:$A,$A80,'Budget-ACPL'!AD:AD)+SUMIF('Budget-ACPLHK'!$A:$A,$A80,'Budget-ACPLHK'!AD:AD)+SUMIF('Budget-ACPSZL'!$A:$A,$A80,'Budget-ACPSZL'!AD:AD)+SUMIF('Budget-ACPLSZ'!$A:$A,$A80,'Budget-ACPLSZ'!AD:AD)+SUMIF('Budget-ACPLGZ'!$A:$A,$A80,'Budget-ACPLGZ'!AD:AD)+SUMIF('Budget-Yixing'!$A:$A,$A80,'Budget-Yixing'!AD:AD)</f>
        <v>32448.239999999998</v>
      </c>
      <c r="AE80" s="688">
        <f ca="1">SUMIF('Budget-ACPL'!$A:$A,$A80,'Budget-ACPL'!AE:AE)+SUMIF('Budget-ACPLHK'!$A:$A,$A80,'Budget-ACPLHK'!AE:AE)+SUMIF('Budget-ACPSZL'!$A:$A,$A80,'Budget-ACPSZL'!AE:AE)+SUMIF('Budget-ACPLSZ'!$A:$A,$A80,'Budget-ACPLSZ'!AE:AE)+SUMIF('Budget-ACPLGZ'!$A:$A,$A80,'Budget-ACPLGZ'!AE:AE)+SUMIF('Budget-Yixing'!$A:$A,$A80,'Budget-Yixing'!AE:AE)</f>
        <v>34809.800000000003</v>
      </c>
      <c r="AF80" s="688">
        <f ca="1">SUMIF('Budget-ACPL'!$A:$A,$A80,'Budget-ACPL'!AF:AF)+SUMIF('Budget-ACPLHK'!$A:$A,$A80,'Budget-ACPLHK'!AF:AF)+SUMIF('Budget-ACPSZL'!$A:$A,$A80,'Budget-ACPSZL'!AF:AF)+SUMIF('Budget-ACPLSZ'!$A:$A,$A80,'Budget-ACPLSZ'!AF:AF)+SUMIF('Budget-ACPLGZ'!$A:$A,$A80,'Budget-ACPLGZ'!AF:AF)+SUMIF('Budget-Yixing'!$A:$A,$A80,'Budget-Yixing'!AF:AF)</f>
        <v>94045.38</v>
      </c>
      <c r="AG80" s="688">
        <f ca="1">SUMIF('Budget-ACPL'!$A:$A,$A80,'Budget-ACPL'!AG:AG)+SUMIF('Budget-ACPLHK'!$A:$A,$A80,'Budget-ACPLHK'!AG:AG)+SUMIF('Budget-ACPSZL'!$A:$A,$A80,'Budget-ACPSZL'!AG:AG)+SUMIF('Budget-ACPLSZ'!$A:$A,$A80,'Budget-ACPLSZ'!AG:AG)+SUMIF('Budget-ACPLGZ'!$A:$A,$A80,'Budget-ACPLGZ'!AG:AG)+SUMIF('Budget-Yixing'!$A:$A,$A80,'Budget-Yixing'!AG:AG)</f>
        <v>50014.19</v>
      </c>
      <c r="AH80" s="688">
        <f ca="1">SUMIF('Budget-ACPL'!$A:$A,$A80,'Budget-ACPL'!AH:AH)+SUMIF('Budget-ACPLHK'!$A:$A,$A80,'Budget-ACPLHK'!AH:AH)+SUMIF('Budget-ACPSZL'!$A:$A,$A80,'Budget-ACPSZL'!AH:AH)+SUMIF('Budget-ACPLSZ'!$A:$A,$A80,'Budget-ACPLSZ'!AH:AH)+SUMIF('Budget-ACPLGZ'!$A:$A,$A80,'Budget-ACPLGZ'!AH:AH)+SUMIF('Budget-Yixing'!$A:$A,$A80,'Budget-Yixing'!AH:AH)</f>
        <v>38527.629999999997</v>
      </c>
      <c r="AI80" s="688">
        <f ca="1">SUMIF('Budget-ACPL'!$A:$A,$A80,'Budget-ACPL'!AI:AI)+SUMIF('Budget-ACPLHK'!$A:$A,$A80,'Budget-ACPLHK'!AI:AI)+SUMIF('Budget-ACPSZL'!$A:$A,$A80,'Budget-ACPSZL'!AI:AI)+SUMIF('Budget-ACPLSZ'!$A:$A,$A80,'Budget-ACPLSZ'!AI:AI)+SUMIF('Budget-ACPLGZ'!$A:$A,$A80,'Budget-ACPLGZ'!AI:AI)+SUMIF('Budget-Yixing'!$A:$A,$A80,'Budget-Yixing'!AI:AI)</f>
        <v>36872.71</v>
      </c>
      <c r="AJ80" s="688">
        <f ca="1">SUMIF('Budget-ACPL'!$A:$A,$A80,'Budget-ACPL'!AJ:AJ)+SUMIF('Budget-ACPLHK'!$A:$A,$A80,'Budget-ACPLHK'!AJ:AJ)+SUMIF('Budget-ACPSZL'!$A:$A,$A80,'Budget-ACPSZL'!AJ:AJ)+SUMIF('Budget-ACPLSZ'!$A:$A,$A80,'Budget-ACPLSZ'!AJ:AJ)+SUMIF('Budget-ACPLGZ'!$A:$A,$A80,'Budget-ACPLGZ'!AJ:AJ)+SUMIF('Budget-Yixing'!$A:$A,$A80,'Budget-Yixing'!AJ:AJ)</f>
        <v>150071.99000000002</v>
      </c>
      <c r="AK80" s="688">
        <f t="shared" ca="1" si="33"/>
        <v>601546.94000000006</v>
      </c>
    </row>
    <row r="81" spans="1:37" ht="11.1" customHeight="1">
      <c r="A81" s="713" t="s">
        <v>1636</v>
      </c>
      <c r="B81" s="687" t="str">
        <f>VLOOKUP(A81,Account!A:B,2,0)</f>
        <v>通信费</v>
      </c>
      <c r="C81" s="687" t="str">
        <f>VLOOKUP(A81,Account!A:F,4,0)</f>
        <v>Telephone Monthly/Base Charge</v>
      </c>
      <c r="D81" s="676">
        <f t="shared" ca="1" si="27"/>
        <v>8514.0313019999994</v>
      </c>
      <c r="E81" s="676" t="e">
        <f t="shared" si="28"/>
        <v>#N/A</v>
      </c>
      <c r="F81" s="676" t="e">
        <f t="shared" ca="1" si="24"/>
        <v>#N/A</v>
      </c>
      <c r="G81" s="676">
        <f t="shared" ca="1" si="29"/>
        <v>8514.0313019999994</v>
      </c>
      <c r="H81" s="676" t="e">
        <f t="shared" ca="1" si="30"/>
        <v>#N/A</v>
      </c>
      <c r="I81" s="676" t="e">
        <f t="shared" ca="1" si="31"/>
        <v>#N/A</v>
      </c>
      <c r="K81" s="676">
        <f ca="1">SUMIF('Budget-ACPL'!$A:$A,$A81,'Budget-ACPL'!K:K)+SUMIF('Budget-ACPLHK'!$A:$A,$A81,'Budget-ACPLHK'!K:K)+SUMIF('Budget-ACPSZL'!$A:$A,$A81,'Budget-ACPSZL'!K:K)+SUMIF('Budget-ACPLSZ'!$A:$A,$A81,'Budget-ACPLSZ'!K:K)+SUMIF('Budget-ACPLGZ'!$A:$A,$A81,'Budget-ACPLGZ'!K:K)+SUMIF('Budget-Yixing'!$A:$A,$A81,'Budget-Yixing'!K:K)</f>
        <v>8514.0313019999994</v>
      </c>
      <c r="L81" s="676">
        <f ca="1">SUMIF('Budget-ACPL'!$A:$A,$A81,'Budget-ACPL'!L:L)+SUMIF('Budget-ACPLHK'!$A:$A,$A81,'Budget-ACPLHK'!L:L)+SUMIF('Budget-ACPSZL'!$A:$A,$A81,'Budget-ACPSZL'!L:L)+SUMIF('Budget-ACPLSZ'!$A:$A,$A81,'Budget-ACPLSZ'!L:L)+SUMIF('Budget-ACPLGZ'!$A:$A,$A81,'Budget-ACPLGZ'!L:L)+SUMIF('Budget-Yixing'!$A:$A,$A81,'Budget-Yixing'!L:L)</f>
        <v>8482.3275599999997</v>
      </c>
      <c r="M81" s="676">
        <f ca="1">SUMIF('Budget-ACPL'!$A:$A,$A81,'Budget-ACPL'!M:M)+SUMIF('Budget-ACPLHK'!$A:$A,$A81,'Budget-ACPLHK'!M:M)+SUMIF('Budget-ACPSZL'!$A:$A,$A81,'Budget-ACPSZL'!M:M)+SUMIF('Budget-ACPLSZ'!$A:$A,$A81,'Budget-ACPLSZ'!M:M)+SUMIF('Budget-ACPLGZ'!$A:$A,$A81,'Budget-ACPLGZ'!M:M)+SUMIF('Budget-Yixing'!$A:$A,$A81,'Budget-Yixing'!M:M)</f>
        <v>8482.3275599999997</v>
      </c>
      <c r="N81" s="676">
        <f ca="1">SUMIF('Budget-ACPL'!$A:$A,$A81,'Budget-ACPL'!N:N)+SUMIF('Budget-ACPLHK'!$A:$A,$A81,'Budget-ACPLHK'!N:N)+SUMIF('Budget-ACPSZL'!$A:$A,$A81,'Budget-ACPSZL'!N:N)+SUMIF('Budget-ACPLSZ'!$A:$A,$A81,'Budget-ACPLSZ'!N:N)+SUMIF('Budget-ACPLGZ'!$A:$A,$A81,'Budget-ACPLGZ'!N:N)+SUMIF('Budget-Yixing'!$A:$A,$A81,'Budget-Yixing'!N:N)</f>
        <v>8482.3275599999997</v>
      </c>
      <c r="O81" s="676">
        <f ca="1">SUMIF('Budget-ACPL'!$A:$A,$A81,'Budget-ACPL'!O:O)+SUMIF('Budget-ACPLHK'!$A:$A,$A81,'Budget-ACPLHK'!O:O)+SUMIF('Budget-ACPSZL'!$A:$A,$A81,'Budget-ACPSZL'!O:O)+SUMIF('Budget-ACPLSZ'!$A:$A,$A81,'Budget-ACPLSZ'!O:O)+SUMIF('Budget-ACPLGZ'!$A:$A,$A81,'Budget-ACPLGZ'!O:O)+SUMIF('Budget-Yixing'!$A:$A,$A81,'Budget-Yixing'!O:O)</f>
        <v>8482.3275599999997</v>
      </c>
      <c r="P81" s="676">
        <f ca="1">SUMIF('Budget-ACPL'!$A:$A,$A81,'Budget-ACPL'!P:P)+SUMIF('Budget-ACPLHK'!$A:$A,$A81,'Budget-ACPLHK'!P:P)+SUMIF('Budget-ACPSZL'!$A:$A,$A81,'Budget-ACPSZL'!P:P)+SUMIF('Budget-ACPLSZ'!$A:$A,$A81,'Budget-ACPLSZ'!P:P)+SUMIF('Budget-ACPLGZ'!$A:$A,$A81,'Budget-ACPLGZ'!P:P)+SUMIF('Budget-Yixing'!$A:$A,$A81,'Budget-Yixing'!P:P)</f>
        <v>8482.3275599999997</v>
      </c>
      <c r="Q81" s="676">
        <f ca="1">SUMIF('Budget-ACPL'!$A:$A,$A81,'Budget-ACPL'!Q:Q)+SUMIF('Budget-ACPLHK'!$A:$A,$A81,'Budget-ACPLHK'!Q:Q)+SUMIF('Budget-ACPSZL'!$A:$A,$A81,'Budget-ACPSZL'!Q:Q)+SUMIF('Budget-ACPLSZ'!$A:$A,$A81,'Budget-ACPLSZ'!Q:Q)+SUMIF('Budget-ACPLGZ'!$A:$A,$A81,'Budget-ACPLGZ'!Q:Q)+SUMIF('Budget-Yixing'!$A:$A,$A81,'Budget-Yixing'!Q:Q)</f>
        <v>8482.3275599999997</v>
      </c>
      <c r="R81" s="676">
        <f ca="1">SUMIF('Budget-ACPL'!$A:$A,$A81,'Budget-ACPL'!R:R)+SUMIF('Budget-ACPLHK'!$A:$A,$A81,'Budget-ACPLHK'!R:R)+SUMIF('Budget-ACPSZL'!$A:$A,$A81,'Budget-ACPSZL'!R:R)+SUMIF('Budget-ACPLSZ'!$A:$A,$A81,'Budget-ACPLSZ'!R:R)+SUMIF('Budget-ACPLGZ'!$A:$A,$A81,'Budget-ACPLGZ'!R:R)+SUMIF('Budget-Yixing'!$A:$A,$A81,'Budget-Yixing'!R:R)</f>
        <v>8482.3275599999997</v>
      </c>
      <c r="S81" s="676">
        <f ca="1">SUMIF('Budget-ACPL'!$A:$A,$A81,'Budget-ACPL'!S:S)+SUMIF('Budget-ACPLHK'!$A:$A,$A81,'Budget-ACPLHK'!S:S)+SUMIF('Budget-ACPSZL'!$A:$A,$A81,'Budget-ACPSZL'!S:S)+SUMIF('Budget-ACPLSZ'!$A:$A,$A81,'Budget-ACPLSZ'!S:S)+SUMIF('Budget-ACPLGZ'!$A:$A,$A81,'Budget-ACPLGZ'!S:S)+SUMIF('Budget-Yixing'!$A:$A,$A81,'Budget-Yixing'!S:S)</f>
        <v>8482.3275599999997</v>
      </c>
      <c r="T81" s="676">
        <f ca="1">SUMIF('Budget-ACPL'!$A:$A,$A81,'Budget-ACPL'!T:T)+SUMIF('Budget-ACPLHK'!$A:$A,$A81,'Budget-ACPLHK'!T:T)+SUMIF('Budget-ACPSZL'!$A:$A,$A81,'Budget-ACPSZL'!T:T)+SUMIF('Budget-ACPLSZ'!$A:$A,$A81,'Budget-ACPLSZ'!T:T)+SUMIF('Budget-ACPLGZ'!$A:$A,$A81,'Budget-ACPLGZ'!T:T)+SUMIF('Budget-Yixing'!$A:$A,$A81,'Budget-Yixing'!T:T)</f>
        <v>8482.3275599999997</v>
      </c>
      <c r="U81" s="676">
        <f ca="1">SUMIF('Budget-ACPL'!$A:$A,$A81,'Budget-ACPL'!U:U)+SUMIF('Budget-ACPLHK'!$A:$A,$A81,'Budget-ACPLHK'!U:U)+SUMIF('Budget-ACPSZL'!$A:$A,$A81,'Budget-ACPSZL'!U:U)+SUMIF('Budget-ACPLSZ'!$A:$A,$A81,'Budget-ACPLSZ'!U:U)+SUMIF('Budget-ACPLGZ'!$A:$A,$A81,'Budget-ACPLGZ'!U:U)+SUMIF('Budget-Yixing'!$A:$A,$A81,'Budget-Yixing'!U:U)</f>
        <v>8482.3275599999997</v>
      </c>
      <c r="V81" s="676">
        <f ca="1">SUMIF('Budget-ACPL'!$A:$A,$A81,'Budget-ACPL'!V:V)+SUMIF('Budget-ACPLHK'!$A:$A,$A81,'Budget-ACPLHK'!V:V)+SUMIF('Budget-ACPSZL'!$A:$A,$A81,'Budget-ACPSZL'!V:V)+SUMIF('Budget-ACPLSZ'!$A:$A,$A81,'Budget-ACPLSZ'!V:V)+SUMIF('Budget-ACPLGZ'!$A:$A,$A81,'Budget-ACPLGZ'!V:V)+SUMIF('Budget-Yixing'!$A:$A,$A81,'Budget-Yixing'!V:V)</f>
        <v>8482.3275599999997</v>
      </c>
      <c r="W81" s="676">
        <f t="shared" ca="1" si="35"/>
        <v>101819.63446200002</v>
      </c>
      <c r="Y81" s="688">
        <f ca="1">SUMIF('Budget-ACPL'!$A:$A,$A81,'Budget-ACPL'!Y:Y)+SUMIF('Budget-ACPLHK'!$A:$A,$A81,'Budget-ACPLHK'!Y:Y)+SUMIF('Budget-ACPSZL'!$A:$A,$A81,'Budget-ACPSZL'!Y:Y)+SUMIF('Budget-ACPLSZ'!$A:$A,$A81,'Budget-ACPLSZ'!Y:Y)+SUMIF('Budget-ACPLGZ'!$A:$A,$A81,'Budget-ACPLGZ'!Y:Y)+SUMIF('Budget-Yixing'!$A:$A,$A81,'Budget-Yixing'!Y:Y)</f>
        <v>1140</v>
      </c>
      <c r="Z81" s="688">
        <f ca="1">SUMIF('Budget-ACPL'!$A:$A,$A81,'Budget-ACPL'!Z:Z)+SUMIF('Budget-ACPLHK'!$A:$A,$A81,'Budget-ACPLHK'!Z:Z)+SUMIF('Budget-ACPSZL'!$A:$A,$A81,'Budget-ACPSZL'!Z:Z)+SUMIF('Budget-ACPLSZ'!$A:$A,$A81,'Budget-ACPLSZ'!Z:Z)+SUMIF('Budget-ACPLGZ'!$A:$A,$A81,'Budget-ACPLGZ'!Z:Z)+SUMIF('Budget-Yixing'!$A:$A,$A81,'Budget-Yixing'!Z:Z)</f>
        <v>1604.89</v>
      </c>
      <c r="AA81" s="688">
        <f ca="1">SUMIF('Budget-ACPL'!$A:$A,$A81,'Budget-ACPL'!AA:AA)+SUMIF('Budget-ACPLHK'!$A:$A,$A81,'Budget-ACPLHK'!AA:AA)+SUMIF('Budget-ACPSZL'!$A:$A,$A81,'Budget-ACPSZL'!AA:AA)+SUMIF('Budget-ACPLSZ'!$A:$A,$A81,'Budget-ACPLSZ'!AA:AA)+SUMIF('Budget-ACPLGZ'!$A:$A,$A81,'Budget-ACPLGZ'!AA:AA)+SUMIF('Budget-Yixing'!$A:$A,$A81,'Budget-Yixing'!AA:AA)</f>
        <v>5685.43</v>
      </c>
      <c r="AB81" s="688">
        <f ca="1">SUMIF('Budget-ACPL'!$A:$A,$A81,'Budget-ACPL'!AB:AB)+SUMIF('Budget-ACPLHK'!$A:$A,$A81,'Budget-ACPLHK'!AB:AB)+SUMIF('Budget-ACPSZL'!$A:$A,$A81,'Budget-ACPSZL'!AB:AB)+SUMIF('Budget-ACPLSZ'!$A:$A,$A81,'Budget-ACPLSZ'!AB:AB)+SUMIF('Budget-ACPLGZ'!$A:$A,$A81,'Budget-ACPLGZ'!AB:AB)+SUMIF('Budget-Yixing'!$A:$A,$A81,'Budget-Yixing'!AB:AB)</f>
        <v>1539</v>
      </c>
      <c r="AC81" s="688">
        <f ca="1">SUMIF('Budget-ACPL'!$A:$A,$A81,'Budget-ACPL'!AC:AC)+SUMIF('Budget-ACPLHK'!$A:$A,$A81,'Budget-ACPLHK'!AC:AC)+SUMIF('Budget-ACPSZL'!$A:$A,$A81,'Budget-ACPSZL'!AC:AC)+SUMIF('Budget-ACPLSZ'!$A:$A,$A81,'Budget-ACPLSZ'!AC:AC)+SUMIF('Budget-ACPLGZ'!$A:$A,$A81,'Budget-ACPLGZ'!AC:AC)+SUMIF('Budget-Yixing'!$A:$A,$A81,'Budget-Yixing'!AC:AC)</f>
        <v>3721.54</v>
      </c>
      <c r="AD81" s="688">
        <f ca="1">SUMIF('Budget-ACPL'!$A:$A,$A81,'Budget-ACPL'!AD:AD)+SUMIF('Budget-ACPLHK'!$A:$A,$A81,'Budget-ACPLHK'!AD:AD)+SUMIF('Budget-ACPSZL'!$A:$A,$A81,'Budget-ACPSZL'!AD:AD)+SUMIF('Budget-ACPLSZ'!$A:$A,$A81,'Budget-ACPLSZ'!AD:AD)+SUMIF('Budget-ACPLGZ'!$A:$A,$A81,'Budget-ACPLGZ'!AD:AD)+SUMIF('Budget-Yixing'!$A:$A,$A81,'Budget-Yixing'!AD:AD)</f>
        <v>2840.8</v>
      </c>
      <c r="AE81" s="688">
        <f ca="1">SUMIF('Budget-ACPL'!$A:$A,$A81,'Budget-ACPL'!AE:AE)+SUMIF('Budget-ACPLHK'!$A:$A,$A81,'Budget-ACPLHK'!AE:AE)+SUMIF('Budget-ACPSZL'!$A:$A,$A81,'Budget-ACPSZL'!AE:AE)+SUMIF('Budget-ACPLSZ'!$A:$A,$A81,'Budget-ACPLSZ'!AE:AE)+SUMIF('Budget-ACPLGZ'!$A:$A,$A81,'Budget-ACPLGZ'!AE:AE)+SUMIF('Budget-Yixing'!$A:$A,$A81,'Budget-Yixing'!AE:AE)</f>
        <v>1743.8</v>
      </c>
      <c r="AF81" s="688">
        <f ca="1">SUMIF('Budget-ACPL'!$A:$A,$A81,'Budget-ACPL'!AF:AF)+SUMIF('Budget-ACPLHK'!$A:$A,$A81,'Budget-ACPLHK'!AF:AF)+SUMIF('Budget-ACPSZL'!$A:$A,$A81,'Budget-ACPSZL'!AF:AF)+SUMIF('Budget-ACPLSZ'!$A:$A,$A81,'Budget-ACPLSZ'!AF:AF)+SUMIF('Budget-ACPLGZ'!$A:$A,$A81,'Budget-ACPLGZ'!AF:AF)+SUMIF('Budget-Yixing'!$A:$A,$A81,'Budget-Yixing'!AF:AF)</f>
        <v>4695.26</v>
      </c>
      <c r="AG81" s="688">
        <f ca="1">SUMIF('Budget-ACPL'!$A:$A,$A81,'Budget-ACPL'!AG:AG)+SUMIF('Budget-ACPLHK'!$A:$A,$A81,'Budget-ACPLHK'!AG:AG)+SUMIF('Budget-ACPSZL'!$A:$A,$A81,'Budget-ACPSZL'!AG:AG)+SUMIF('Budget-ACPLSZ'!$A:$A,$A81,'Budget-ACPLSZ'!AG:AG)+SUMIF('Budget-ACPLGZ'!$A:$A,$A81,'Budget-ACPLGZ'!AG:AG)+SUMIF('Budget-Yixing'!$A:$A,$A81,'Budget-Yixing'!AG:AG)</f>
        <v>9897.4599999999991</v>
      </c>
      <c r="AH81" s="688">
        <f ca="1">SUMIF('Budget-ACPL'!$A:$A,$A81,'Budget-ACPL'!AH:AH)+SUMIF('Budget-ACPLHK'!$A:$A,$A81,'Budget-ACPLHK'!AH:AH)+SUMIF('Budget-ACPSZL'!$A:$A,$A81,'Budget-ACPSZL'!AH:AH)+SUMIF('Budget-ACPLSZ'!$A:$A,$A81,'Budget-ACPLSZ'!AH:AH)+SUMIF('Budget-ACPLGZ'!$A:$A,$A81,'Budget-ACPLGZ'!AH:AH)+SUMIF('Budget-Yixing'!$A:$A,$A81,'Budget-Yixing'!AH:AH)</f>
        <v>1597</v>
      </c>
      <c r="AI81" s="688">
        <f ca="1">SUMIF('Budget-ACPL'!$A:$A,$A81,'Budget-ACPL'!AI:AI)+SUMIF('Budget-ACPLHK'!$A:$A,$A81,'Budget-ACPLHK'!AI:AI)+SUMIF('Budget-ACPSZL'!$A:$A,$A81,'Budget-ACPSZL'!AI:AI)+SUMIF('Budget-ACPLSZ'!$A:$A,$A81,'Budget-ACPLSZ'!AI:AI)+SUMIF('Budget-ACPLGZ'!$A:$A,$A81,'Budget-ACPLGZ'!AI:AI)+SUMIF('Budget-Yixing'!$A:$A,$A81,'Budget-Yixing'!AI:AI)</f>
        <v>3083.37</v>
      </c>
      <c r="AJ81" s="688">
        <f ca="1">SUMIF('Budget-ACPL'!$A:$A,$A81,'Budget-ACPL'!AJ:AJ)+SUMIF('Budget-ACPLHK'!$A:$A,$A81,'Budget-ACPLHK'!AJ:AJ)+SUMIF('Budget-ACPSZL'!$A:$A,$A81,'Budget-ACPSZL'!AJ:AJ)+SUMIF('Budget-ACPLSZ'!$A:$A,$A81,'Budget-ACPLSZ'!AJ:AJ)+SUMIF('Budget-ACPLGZ'!$A:$A,$A81,'Budget-ACPLGZ'!AJ:AJ)+SUMIF('Budget-Yixing'!$A:$A,$A81,'Budget-Yixing'!AJ:AJ)</f>
        <v>10635.2</v>
      </c>
      <c r="AK81" s="688">
        <f t="shared" ca="1" si="33"/>
        <v>48183.75</v>
      </c>
    </row>
    <row r="82" spans="1:37" ht="11.1" hidden="1" customHeight="1">
      <c r="A82" s="713" t="s">
        <v>1641</v>
      </c>
      <c r="B82" s="687" t="str">
        <f>VLOOKUP(A82,Account!A:B,2,0)</f>
        <v>电脑软件费</v>
      </c>
      <c r="C82" s="687" t="str">
        <f>VLOOKUP(A82,Account!A:F,4,0)</f>
        <v xml:space="preserve">PC Software </v>
      </c>
      <c r="D82" s="676">
        <f t="shared" ca="1" si="27"/>
        <v>0</v>
      </c>
      <c r="E82" s="676" t="e">
        <f t="shared" si="28"/>
        <v>#N/A</v>
      </c>
      <c r="F82" s="676" t="e">
        <f t="shared" ca="1" si="24"/>
        <v>#N/A</v>
      </c>
      <c r="G82" s="676">
        <f t="shared" ca="1" si="29"/>
        <v>0</v>
      </c>
      <c r="H82" s="676" t="e">
        <f t="shared" ca="1" si="30"/>
        <v>#N/A</v>
      </c>
      <c r="I82" s="676" t="e">
        <f t="shared" ca="1" si="31"/>
        <v>#N/A</v>
      </c>
      <c r="K82" s="676">
        <f ca="1">SUMIF('Budget-ACPL'!$A:$A,$A82,'Budget-ACPL'!K:K)+SUMIF('Budget-ACPLHK'!$A:$A,$A82,'Budget-ACPLHK'!K:K)+SUMIF('Budget-ACPSZL'!$A:$A,$A82,'Budget-ACPSZL'!K:K)+SUMIF('Budget-ACPLSZ'!$A:$A,$A82,'Budget-ACPLSZ'!K:K)+SUMIF('Budget-ACPLGZ'!$A:$A,$A82,'Budget-ACPLGZ'!K:K)+SUMIF('Budget-Yixing'!$A:$A,$A82,'Budget-Yixing'!K:K)</f>
        <v>0</v>
      </c>
      <c r="L82" s="676">
        <f ca="1">SUMIF('Budget-ACPL'!$A:$A,$A82,'Budget-ACPL'!L:L)+SUMIF('Budget-ACPLHK'!$A:$A,$A82,'Budget-ACPLHK'!L:L)+SUMIF('Budget-ACPSZL'!$A:$A,$A82,'Budget-ACPSZL'!L:L)+SUMIF('Budget-ACPLSZ'!$A:$A,$A82,'Budget-ACPLSZ'!L:L)+SUMIF('Budget-ACPLGZ'!$A:$A,$A82,'Budget-ACPLGZ'!L:L)+SUMIF('Budget-Yixing'!$A:$A,$A82,'Budget-Yixing'!L:L)</f>
        <v>0</v>
      </c>
      <c r="M82" s="676">
        <f ca="1">SUMIF('Budget-ACPL'!$A:$A,$A82,'Budget-ACPL'!M:M)+SUMIF('Budget-ACPLHK'!$A:$A,$A82,'Budget-ACPLHK'!M:M)+SUMIF('Budget-ACPSZL'!$A:$A,$A82,'Budget-ACPSZL'!M:M)+SUMIF('Budget-ACPLSZ'!$A:$A,$A82,'Budget-ACPLSZ'!M:M)+SUMIF('Budget-ACPLGZ'!$A:$A,$A82,'Budget-ACPLGZ'!M:M)+SUMIF('Budget-Yixing'!$A:$A,$A82,'Budget-Yixing'!M:M)</f>
        <v>0</v>
      </c>
      <c r="N82" s="676">
        <f ca="1">SUMIF('Budget-ACPL'!$A:$A,$A82,'Budget-ACPL'!N:N)+SUMIF('Budget-ACPLHK'!$A:$A,$A82,'Budget-ACPLHK'!N:N)+SUMIF('Budget-ACPSZL'!$A:$A,$A82,'Budget-ACPSZL'!N:N)+SUMIF('Budget-ACPLSZ'!$A:$A,$A82,'Budget-ACPLSZ'!N:N)+SUMIF('Budget-ACPLGZ'!$A:$A,$A82,'Budget-ACPLGZ'!N:N)+SUMIF('Budget-Yixing'!$A:$A,$A82,'Budget-Yixing'!N:N)</f>
        <v>0</v>
      </c>
      <c r="O82" s="676">
        <f ca="1">SUMIF('Budget-ACPL'!$A:$A,$A82,'Budget-ACPL'!O:O)+SUMIF('Budget-ACPLHK'!$A:$A,$A82,'Budget-ACPLHK'!O:O)+SUMIF('Budget-ACPSZL'!$A:$A,$A82,'Budget-ACPSZL'!O:O)+SUMIF('Budget-ACPLSZ'!$A:$A,$A82,'Budget-ACPLSZ'!O:O)+SUMIF('Budget-ACPLGZ'!$A:$A,$A82,'Budget-ACPLGZ'!O:O)+SUMIF('Budget-Yixing'!$A:$A,$A82,'Budget-Yixing'!O:O)</f>
        <v>0</v>
      </c>
      <c r="P82" s="676">
        <f ca="1">SUMIF('Budget-ACPL'!$A:$A,$A82,'Budget-ACPL'!P:P)+SUMIF('Budget-ACPLHK'!$A:$A,$A82,'Budget-ACPLHK'!P:P)+SUMIF('Budget-ACPSZL'!$A:$A,$A82,'Budget-ACPSZL'!P:P)+SUMIF('Budget-ACPLSZ'!$A:$A,$A82,'Budget-ACPLSZ'!P:P)+SUMIF('Budget-ACPLGZ'!$A:$A,$A82,'Budget-ACPLGZ'!P:P)+SUMIF('Budget-Yixing'!$A:$A,$A82,'Budget-Yixing'!P:P)</f>
        <v>0</v>
      </c>
      <c r="Q82" s="676">
        <f ca="1">SUMIF('Budget-ACPL'!$A:$A,$A82,'Budget-ACPL'!Q:Q)+SUMIF('Budget-ACPLHK'!$A:$A,$A82,'Budget-ACPLHK'!Q:Q)+SUMIF('Budget-ACPSZL'!$A:$A,$A82,'Budget-ACPSZL'!Q:Q)+SUMIF('Budget-ACPLSZ'!$A:$A,$A82,'Budget-ACPLSZ'!Q:Q)+SUMIF('Budget-ACPLGZ'!$A:$A,$A82,'Budget-ACPLGZ'!Q:Q)+SUMIF('Budget-Yixing'!$A:$A,$A82,'Budget-Yixing'!Q:Q)</f>
        <v>0</v>
      </c>
      <c r="R82" s="676">
        <f ca="1">SUMIF('Budget-ACPL'!$A:$A,$A82,'Budget-ACPL'!R:R)+SUMIF('Budget-ACPLHK'!$A:$A,$A82,'Budget-ACPLHK'!R:R)+SUMIF('Budget-ACPSZL'!$A:$A,$A82,'Budget-ACPSZL'!R:R)+SUMIF('Budget-ACPLSZ'!$A:$A,$A82,'Budget-ACPLSZ'!R:R)+SUMIF('Budget-ACPLGZ'!$A:$A,$A82,'Budget-ACPLGZ'!R:R)+SUMIF('Budget-Yixing'!$A:$A,$A82,'Budget-Yixing'!R:R)</f>
        <v>0</v>
      </c>
      <c r="S82" s="676">
        <f ca="1">SUMIF('Budget-ACPL'!$A:$A,$A82,'Budget-ACPL'!S:S)+SUMIF('Budget-ACPLHK'!$A:$A,$A82,'Budget-ACPLHK'!S:S)+SUMIF('Budget-ACPSZL'!$A:$A,$A82,'Budget-ACPSZL'!S:S)+SUMIF('Budget-ACPLSZ'!$A:$A,$A82,'Budget-ACPLSZ'!S:S)+SUMIF('Budget-ACPLGZ'!$A:$A,$A82,'Budget-ACPLGZ'!S:S)+SUMIF('Budget-Yixing'!$A:$A,$A82,'Budget-Yixing'!S:S)</f>
        <v>0</v>
      </c>
      <c r="T82" s="676">
        <f ca="1">SUMIF('Budget-ACPL'!$A:$A,$A82,'Budget-ACPL'!T:T)+SUMIF('Budget-ACPLHK'!$A:$A,$A82,'Budget-ACPLHK'!T:T)+SUMIF('Budget-ACPSZL'!$A:$A,$A82,'Budget-ACPSZL'!T:T)+SUMIF('Budget-ACPLSZ'!$A:$A,$A82,'Budget-ACPLSZ'!T:T)+SUMIF('Budget-ACPLGZ'!$A:$A,$A82,'Budget-ACPLGZ'!T:T)+SUMIF('Budget-Yixing'!$A:$A,$A82,'Budget-Yixing'!T:T)</f>
        <v>0</v>
      </c>
      <c r="U82" s="676">
        <f ca="1">SUMIF('Budget-ACPL'!$A:$A,$A82,'Budget-ACPL'!U:U)+SUMIF('Budget-ACPLHK'!$A:$A,$A82,'Budget-ACPLHK'!U:U)+SUMIF('Budget-ACPSZL'!$A:$A,$A82,'Budget-ACPSZL'!U:U)+SUMIF('Budget-ACPLSZ'!$A:$A,$A82,'Budget-ACPLSZ'!U:U)+SUMIF('Budget-ACPLGZ'!$A:$A,$A82,'Budget-ACPLGZ'!U:U)+SUMIF('Budget-Yixing'!$A:$A,$A82,'Budget-Yixing'!U:U)</f>
        <v>0</v>
      </c>
      <c r="V82" s="676">
        <f ca="1">SUMIF('Budget-ACPL'!$A:$A,$A82,'Budget-ACPL'!V:V)+SUMIF('Budget-ACPLHK'!$A:$A,$A82,'Budget-ACPLHK'!V:V)+SUMIF('Budget-ACPSZL'!$A:$A,$A82,'Budget-ACPSZL'!V:V)+SUMIF('Budget-ACPLSZ'!$A:$A,$A82,'Budget-ACPLSZ'!V:V)+SUMIF('Budget-ACPLGZ'!$A:$A,$A82,'Budget-ACPLGZ'!V:V)+SUMIF('Budget-Yixing'!$A:$A,$A82,'Budget-Yixing'!V:V)</f>
        <v>0</v>
      </c>
      <c r="W82" s="676">
        <f t="shared" ca="1" si="35"/>
        <v>0</v>
      </c>
      <c r="Y82" s="688">
        <f ca="1">SUMIF('Budget-ACPL'!$A:$A,$A82,'Budget-ACPL'!Y:Y)+SUMIF('Budget-ACPLHK'!$A:$A,$A82,'Budget-ACPLHK'!Y:Y)+SUMIF('Budget-ACPSZL'!$A:$A,$A82,'Budget-ACPSZL'!Y:Y)+SUMIF('Budget-ACPLSZ'!$A:$A,$A82,'Budget-ACPLSZ'!Y:Y)+SUMIF('Budget-ACPLGZ'!$A:$A,$A82,'Budget-ACPLGZ'!Y:Y)+SUMIF('Budget-Yixing'!$A:$A,$A82,'Budget-Yixing'!Y:Y)</f>
        <v>0</v>
      </c>
      <c r="Z82" s="688">
        <f ca="1">SUMIF('Budget-ACPL'!$A:$A,$A82,'Budget-ACPL'!Z:Z)+SUMIF('Budget-ACPLHK'!$A:$A,$A82,'Budget-ACPLHK'!Z:Z)+SUMIF('Budget-ACPSZL'!$A:$A,$A82,'Budget-ACPSZL'!Z:Z)+SUMIF('Budget-ACPLSZ'!$A:$A,$A82,'Budget-ACPLSZ'!Z:Z)+SUMIF('Budget-ACPLGZ'!$A:$A,$A82,'Budget-ACPLGZ'!Z:Z)+SUMIF('Budget-Yixing'!$A:$A,$A82,'Budget-Yixing'!Z:Z)</f>
        <v>0</v>
      </c>
      <c r="AA82" s="688">
        <f ca="1">SUMIF('Budget-ACPL'!$A:$A,$A82,'Budget-ACPL'!AA:AA)+SUMIF('Budget-ACPLHK'!$A:$A,$A82,'Budget-ACPLHK'!AA:AA)+SUMIF('Budget-ACPSZL'!$A:$A,$A82,'Budget-ACPSZL'!AA:AA)+SUMIF('Budget-ACPLSZ'!$A:$A,$A82,'Budget-ACPLSZ'!AA:AA)+SUMIF('Budget-ACPLGZ'!$A:$A,$A82,'Budget-ACPLGZ'!AA:AA)+SUMIF('Budget-Yixing'!$A:$A,$A82,'Budget-Yixing'!AA:AA)</f>
        <v>0</v>
      </c>
      <c r="AB82" s="688">
        <f ca="1">SUMIF('Budget-ACPL'!$A:$A,$A82,'Budget-ACPL'!AB:AB)+SUMIF('Budget-ACPLHK'!$A:$A,$A82,'Budget-ACPLHK'!AB:AB)+SUMIF('Budget-ACPSZL'!$A:$A,$A82,'Budget-ACPSZL'!AB:AB)+SUMIF('Budget-ACPLSZ'!$A:$A,$A82,'Budget-ACPLSZ'!AB:AB)+SUMIF('Budget-ACPLGZ'!$A:$A,$A82,'Budget-ACPLGZ'!AB:AB)+SUMIF('Budget-Yixing'!$A:$A,$A82,'Budget-Yixing'!AB:AB)</f>
        <v>0</v>
      </c>
      <c r="AC82" s="688">
        <f ca="1">SUMIF('Budget-ACPL'!$A:$A,$A82,'Budget-ACPL'!AC:AC)+SUMIF('Budget-ACPLHK'!$A:$A,$A82,'Budget-ACPLHK'!AC:AC)+SUMIF('Budget-ACPSZL'!$A:$A,$A82,'Budget-ACPSZL'!AC:AC)+SUMIF('Budget-ACPLSZ'!$A:$A,$A82,'Budget-ACPLSZ'!AC:AC)+SUMIF('Budget-ACPLGZ'!$A:$A,$A82,'Budget-ACPLGZ'!AC:AC)+SUMIF('Budget-Yixing'!$A:$A,$A82,'Budget-Yixing'!AC:AC)</f>
        <v>0</v>
      </c>
      <c r="AD82" s="688">
        <f ca="1">SUMIF('Budget-ACPL'!$A:$A,$A82,'Budget-ACPL'!AD:AD)+SUMIF('Budget-ACPLHK'!$A:$A,$A82,'Budget-ACPLHK'!AD:AD)+SUMIF('Budget-ACPSZL'!$A:$A,$A82,'Budget-ACPSZL'!AD:AD)+SUMIF('Budget-ACPLSZ'!$A:$A,$A82,'Budget-ACPLSZ'!AD:AD)+SUMIF('Budget-ACPLGZ'!$A:$A,$A82,'Budget-ACPLGZ'!AD:AD)+SUMIF('Budget-Yixing'!$A:$A,$A82,'Budget-Yixing'!AD:AD)</f>
        <v>0</v>
      </c>
      <c r="AE82" s="688">
        <f ca="1">SUMIF('Budget-ACPL'!$A:$A,$A82,'Budget-ACPL'!AE:AE)+SUMIF('Budget-ACPLHK'!$A:$A,$A82,'Budget-ACPLHK'!AE:AE)+SUMIF('Budget-ACPSZL'!$A:$A,$A82,'Budget-ACPSZL'!AE:AE)+SUMIF('Budget-ACPLSZ'!$A:$A,$A82,'Budget-ACPLSZ'!AE:AE)+SUMIF('Budget-ACPLGZ'!$A:$A,$A82,'Budget-ACPLGZ'!AE:AE)+SUMIF('Budget-Yixing'!$A:$A,$A82,'Budget-Yixing'!AE:AE)</f>
        <v>0</v>
      </c>
      <c r="AF82" s="688">
        <f ca="1">SUMIF('Budget-ACPL'!$A:$A,$A82,'Budget-ACPL'!AF:AF)+SUMIF('Budget-ACPLHK'!$A:$A,$A82,'Budget-ACPLHK'!AF:AF)+SUMIF('Budget-ACPSZL'!$A:$A,$A82,'Budget-ACPSZL'!AF:AF)+SUMIF('Budget-ACPLSZ'!$A:$A,$A82,'Budget-ACPLSZ'!AF:AF)+SUMIF('Budget-ACPLGZ'!$A:$A,$A82,'Budget-ACPLGZ'!AF:AF)+SUMIF('Budget-Yixing'!$A:$A,$A82,'Budget-Yixing'!AF:AF)</f>
        <v>0</v>
      </c>
      <c r="AG82" s="688">
        <f ca="1">SUMIF('Budget-ACPL'!$A:$A,$A82,'Budget-ACPL'!AG:AG)+SUMIF('Budget-ACPLHK'!$A:$A,$A82,'Budget-ACPLHK'!AG:AG)+SUMIF('Budget-ACPSZL'!$A:$A,$A82,'Budget-ACPSZL'!AG:AG)+SUMIF('Budget-ACPLSZ'!$A:$A,$A82,'Budget-ACPLSZ'!AG:AG)+SUMIF('Budget-ACPLGZ'!$A:$A,$A82,'Budget-ACPLGZ'!AG:AG)+SUMIF('Budget-Yixing'!$A:$A,$A82,'Budget-Yixing'!AG:AG)</f>
        <v>0</v>
      </c>
      <c r="AH82" s="688">
        <f ca="1">SUMIF('Budget-ACPL'!$A:$A,$A82,'Budget-ACPL'!AH:AH)+SUMIF('Budget-ACPLHK'!$A:$A,$A82,'Budget-ACPLHK'!AH:AH)+SUMIF('Budget-ACPSZL'!$A:$A,$A82,'Budget-ACPSZL'!AH:AH)+SUMIF('Budget-ACPLSZ'!$A:$A,$A82,'Budget-ACPLSZ'!AH:AH)+SUMIF('Budget-ACPLGZ'!$A:$A,$A82,'Budget-ACPLGZ'!AH:AH)+SUMIF('Budget-Yixing'!$A:$A,$A82,'Budget-Yixing'!AH:AH)</f>
        <v>0</v>
      </c>
      <c r="AI82" s="688">
        <f ca="1">SUMIF('Budget-ACPL'!$A:$A,$A82,'Budget-ACPL'!AI:AI)+SUMIF('Budget-ACPLHK'!$A:$A,$A82,'Budget-ACPLHK'!AI:AI)+SUMIF('Budget-ACPSZL'!$A:$A,$A82,'Budget-ACPSZL'!AI:AI)+SUMIF('Budget-ACPLSZ'!$A:$A,$A82,'Budget-ACPLSZ'!AI:AI)+SUMIF('Budget-ACPLGZ'!$A:$A,$A82,'Budget-ACPLGZ'!AI:AI)+SUMIF('Budget-Yixing'!$A:$A,$A82,'Budget-Yixing'!AI:AI)</f>
        <v>0</v>
      </c>
      <c r="AJ82" s="688">
        <f ca="1">SUMIF('Budget-ACPL'!$A:$A,$A82,'Budget-ACPL'!AJ:AJ)+SUMIF('Budget-ACPLHK'!$A:$A,$A82,'Budget-ACPLHK'!AJ:AJ)+SUMIF('Budget-ACPSZL'!$A:$A,$A82,'Budget-ACPSZL'!AJ:AJ)+SUMIF('Budget-ACPLSZ'!$A:$A,$A82,'Budget-ACPLSZ'!AJ:AJ)+SUMIF('Budget-ACPLGZ'!$A:$A,$A82,'Budget-ACPLGZ'!AJ:AJ)+SUMIF('Budget-Yixing'!$A:$A,$A82,'Budget-Yixing'!AJ:AJ)</f>
        <v>0</v>
      </c>
      <c r="AK82" s="688">
        <f t="shared" ca="1" si="33"/>
        <v>0</v>
      </c>
    </row>
    <row r="83" spans="1:37" ht="11.1" customHeight="1">
      <c r="A83" s="713" t="s">
        <v>1646</v>
      </c>
      <c r="B83" s="687" t="str">
        <f>VLOOKUP(A83,Account!A:B,2,0)</f>
        <v>办公用品</v>
      </c>
      <c r="C83" s="687" t="str">
        <f>VLOOKUP(A83,Account!A:F,4,0)</f>
        <v xml:space="preserve">Office Supplies </v>
      </c>
      <c r="D83" s="676">
        <f t="shared" ca="1" si="27"/>
        <v>4227.2956666666669</v>
      </c>
      <c r="E83" s="676" t="e">
        <f t="shared" si="28"/>
        <v>#N/A</v>
      </c>
      <c r="F83" s="676" t="e">
        <f t="shared" ca="1" si="24"/>
        <v>#N/A</v>
      </c>
      <c r="G83" s="676">
        <f t="shared" ca="1" si="29"/>
        <v>4227.2956666666669</v>
      </c>
      <c r="H83" s="676" t="e">
        <f t="shared" ca="1" si="30"/>
        <v>#N/A</v>
      </c>
      <c r="I83" s="676" t="e">
        <f t="shared" ca="1" si="31"/>
        <v>#N/A</v>
      </c>
      <c r="K83" s="676">
        <f ca="1">SUMIF('Budget-ACPL'!$A:$A,$A83,'Budget-ACPL'!K:K)+SUMIF('Budget-ACPLHK'!$A:$A,$A83,'Budget-ACPLHK'!K:K)+SUMIF('Budget-ACPSZL'!$A:$A,$A83,'Budget-ACPSZL'!K:K)+SUMIF('Budget-ACPLSZ'!$A:$A,$A83,'Budget-ACPLSZ'!K:K)+SUMIF('Budget-ACPLGZ'!$A:$A,$A83,'Budget-ACPLGZ'!K:K)+SUMIF('Budget-Yixing'!$A:$A,$A83,'Budget-Yixing'!K:K)</f>
        <v>4227.2956666666669</v>
      </c>
      <c r="L83" s="676">
        <f ca="1">SUMIF('Budget-ACPL'!$A:$A,$A83,'Budget-ACPL'!L:L)+SUMIF('Budget-ACPLHK'!$A:$A,$A83,'Budget-ACPLHK'!L:L)+SUMIF('Budget-ACPSZL'!$A:$A,$A83,'Budget-ACPSZL'!L:L)+SUMIF('Budget-ACPLSZ'!$A:$A,$A83,'Budget-ACPLSZ'!L:L)+SUMIF('Budget-ACPLGZ'!$A:$A,$A83,'Budget-ACPLGZ'!L:L)+SUMIF('Budget-Yixing'!$A:$A,$A83,'Budget-Yixing'!L:L)</f>
        <v>4197.9533333333329</v>
      </c>
      <c r="M83" s="676">
        <f ca="1">SUMIF('Budget-ACPL'!$A:$A,$A83,'Budget-ACPL'!M:M)+SUMIF('Budget-ACPLHK'!$A:$A,$A83,'Budget-ACPLHK'!M:M)+SUMIF('Budget-ACPSZL'!$A:$A,$A83,'Budget-ACPSZL'!M:M)+SUMIF('Budget-ACPLSZ'!$A:$A,$A83,'Budget-ACPLSZ'!M:M)+SUMIF('Budget-ACPLGZ'!$A:$A,$A83,'Budget-ACPLGZ'!M:M)+SUMIF('Budget-Yixing'!$A:$A,$A83,'Budget-Yixing'!M:M)</f>
        <v>4197.9533333333329</v>
      </c>
      <c r="N83" s="676">
        <f ca="1">SUMIF('Budget-ACPL'!$A:$A,$A83,'Budget-ACPL'!N:N)+SUMIF('Budget-ACPLHK'!$A:$A,$A83,'Budget-ACPLHK'!N:N)+SUMIF('Budget-ACPSZL'!$A:$A,$A83,'Budget-ACPSZL'!N:N)+SUMIF('Budget-ACPLSZ'!$A:$A,$A83,'Budget-ACPLSZ'!N:N)+SUMIF('Budget-ACPLGZ'!$A:$A,$A83,'Budget-ACPLGZ'!N:N)+SUMIF('Budget-Yixing'!$A:$A,$A83,'Budget-Yixing'!N:N)</f>
        <v>4197.9533333333329</v>
      </c>
      <c r="O83" s="676">
        <f ca="1">SUMIF('Budget-ACPL'!$A:$A,$A83,'Budget-ACPL'!O:O)+SUMIF('Budget-ACPLHK'!$A:$A,$A83,'Budget-ACPLHK'!O:O)+SUMIF('Budget-ACPSZL'!$A:$A,$A83,'Budget-ACPSZL'!O:O)+SUMIF('Budget-ACPLSZ'!$A:$A,$A83,'Budget-ACPLSZ'!O:O)+SUMIF('Budget-ACPLGZ'!$A:$A,$A83,'Budget-ACPLGZ'!O:O)+SUMIF('Budget-Yixing'!$A:$A,$A83,'Budget-Yixing'!O:O)</f>
        <v>4197.9533333333329</v>
      </c>
      <c r="P83" s="676">
        <f ca="1">SUMIF('Budget-ACPL'!$A:$A,$A83,'Budget-ACPL'!P:P)+SUMIF('Budget-ACPLHK'!$A:$A,$A83,'Budget-ACPLHK'!P:P)+SUMIF('Budget-ACPSZL'!$A:$A,$A83,'Budget-ACPSZL'!P:P)+SUMIF('Budget-ACPLSZ'!$A:$A,$A83,'Budget-ACPLSZ'!P:P)+SUMIF('Budget-ACPLGZ'!$A:$A,$A83,'Budget-ACPLGZ'!P:P)+SUMIF('Budget-Yixing'!$A:$A,$A83,'Budget-Yixing'!P:P)</f>
        <v>4197.9533333333329</v>
      </c>
      <c r="Q83" s="676">
        <f ca="1">SUMIF('Budget-ACPL'!$A:$A,$A83,'Budget-ACPL'!Q:Q)+SUMIF('Budget-ACPLHK'!$A:$A,$A83,'Budget-ACPLHK'!Q:Q)+SUMIF('Budget-ACPSZL'!$A:$A,$A83,'Budget-ACPSZL'!Q:Q)+SUMIF('Budget-ACPLSZ'!$A:$A,$A83,'Budget-ACPLSZ'!Q:Q)+SUMIF('Budget-ACPLGZ'!$A:$A,$A83,'Budget-ACPLGZ'!Q:Q)+SUMIF('Budget-Yixing'!$A:$A,$A83,'Budget-Yixing'!Q:Q)</f>
        <v>4197.9533333333329</v>
      </c>
      <c r="R83" s="676">
        <f ca="1">SUMIF('Budget-ACPL'!$A:$A,$A83,'Budget-ACPL'!R:R)+SUMIF('Budget-ACPLHK'!$A:$A,$A83,'Budget-ACPLHK'!R:R)+SUMIF('Budget-ACPSZL'!$A:$A,$A83,'Budget-ACPSZL'!R:R)+SUMIF('Budget-ACPLSZ'!$A:$A,$A83,'Budget-ACPLSZ'!R:R)+SUMIF('Budget-ACPLGZ'!$A:$A,$A83,'Budget-ACPLGZ'!R:R)+SUMIF('Budget-Yixing'!$A:$A,$A83,'Budget-Yixing'!R:R)</f>
        <v>4197.9533333333329</v>
      </c>
      <c r="S83" s="676">
        <f ca="1">SUMIF('Budget-ACPL'!$A:$A,$A83,'Budget-ACPL'!S:S)+SUMIF('Budget-ACPLHK'!$A:$A,$A83,'Budget-ACPLHK'!S:S)+SUMIF('Budget-ACPSZL'!$A:$A,$A83,'Budget-ACPSZL'!S:S)+SUMIF('Budget-ACPLSZ'!$A:$A,$A83,'Budget-ACPLSZ'!S:S)+SUMIF('Budget-ACPLGZ'!$A:$A,$A83,'Budget-ACPLGZ'!S:S)+SUMIF('Budget-Yixing'!$A:$A,$A83,'Budget-Yixing'!S:S)</f>
        <v>4197.9533333333329</v>
      </c>
      <c r="T83" s="676">
        <f ca="1">SUMIF('Budget-ACPL'!$A:$A,$A83,'Budget-ACPL'!T:T)+SUMIF('Budget-ACPLHK'!$A:$A,$A83,'Budget-ACPLHK'!T:T)+SUMIF('Budget-ACPSZL'!$A:$A,$A83,'Budget-ACPSZL'!T:T)+SUMIF('Budget-ACPLSZ'!$A:$A,$A83,'Budget-ACPLSZ'!T:T)+SUMIF('Budget-ACPLGZ'!$A:$A,$A83,'Budget-ACPLGZ'!T:T)+SUMIF('Budget-Yixing'!$A:$A,$A83,'Budget-Yixing'!T:T)</f>
        <v>4197.9533333333329</v>
      </c>
      <c r="U83" s="676">
        <f ca="1">SUMIF('Budget-ACPL'!$A:$A,$A83,'Budget-ACPL'!U:U)+SUMIF('Budget-ACPLHK'!$A:$A,$A83,'Budget-ACPLHK'!U:U)+SUMIF('Budget-ACPSZL'!$A:$A,$A83,'Budget-ACPSZL'!U:U)+SUMIF('Budget-ACPLSZ'!$A:$A,$A83,'Budget-ACPLSZ'!U:U)+SUMIF('Budget-ACPLGZ'!$A:$A,$A83,'Budget-ACPLGZ'!U:U)+SUMIF('Budget-Yixing'!$A:$A,$A83,'Budget-Yixing'!U:U)</f>
        <v>4197.9533333333329</v>
      </c>
      <c r="V83" s="676">
        <f ca="1">SUMIF('Budget-ACPL'!$A:$A,$A83,'Budget-ACPL'!V:V)+SUMIF('Budget-ACPLHK'!$A:$A,$A83,'Budget-ACPLHK'!V:V)+SUMIF('Budget-ACPSZL'!$A:$A,$A83,'Budget-ACPSZL'!V:V)+SUMIF('Budget-ACPLSZ'!$A:$A,$A83,'Budget-ACPLSZ'!V:V)+SUMIF('Budget-ACPLGZ'!$A:$A,$A83,'Budget-ACPLGZ'!V:V)+SUMIF('Budget-Yixing'!$A:$A,$A83,'Budget-Yixing'!V:V)</f>
        <v>4197.9533333333329</v>
      </c>
      <c r="W83" s="676">
        <f t="shared" ca="1" si="35"/>
        <v>50404.782333333314</v>
      </c>
      <c r="Y83" s="688">
        <f ca="1">SUMIF('Budget-ACPL'!$A:$A,$A83,'Budget-ACPL'!Y:Y)+SUMIF('Budget-ACPLHK'!$A:$A,$A83,'Budget-ACPLHK'!Y:Y)+SUMIF('Budget-ACPSZL'!$A:$A,$A83,'Budget-ACPSZL'!Y:Y)+SUMIF('Budget-ACPLSZ'!$A:$A,$A83,'Budget-ACPLSZ'!Y:Y)+SUMIF('Budget-ACPLGZ'!$A:$A,$A83,'Budget-ACPLGZ'!Y:Y)+SUMIF('Budget-Yixing'!$A:$A,$A83,'Budget-Yixing'!Y:Y)</f>
        <v>2818.49</v>
      </c>
      <c r="Z83" s="688">
        <f ca="1">SUMIF('Budget-ACPL'!$A:$A,$A83,'Budget-ACPL'!Z:Z)+SUMIF('Budget-ACPLHK'!$A:$A,$A83,'Budget-ACPLHK'!Z:Z)+SUMIF('Budget-ACPSZL'!$A:$A,$A83,'Budget-ACPSZL'!Z:Z)+SUMIF('Budget-ACPLSZ'!$A:$A,$A83,'Budget-ACPLSZ'!Z:Z)+SUMIF('Budget-ACPLGZ'!$A:$A,$A83,'Budget-ACPLGZ'!Z:Z)+SUMIF('Budget-Yixing'!$A:$A,$A83,'Budget-Yixing'!Z:Z)</f>
        <v>2787.01</v>
      </c>
      <c r="AA83" s="688">
        <f ca="1">SUMIF('Budget-ACPL'!$A:$A,$A83,'Budget-ACPL'!AA:AA)+SUMIF('Budget-ACPLHK'!$A:$A,$A83,'Budget-ACPLHK'!AA:AA)+SUMIF('Budget-ACPSZL'!$A:$A,$A83,'Budget-ACPSZL'!AA:AA)+SUMIF('Budget-ACPLSZ'!$A:$A,$A83,'Budget-ACPLSZ'!AA:AA)+SUMIF('Budget-ACPLGZ'!$A:$A,$A83,'Budget-ACPLGZ'!AA:AA)+SUMIF('Budget-Yixing'!$A:$A,$A83,'Budget-Yixing'!AA:AA)</f>
        <v>2021.9</v>
      </c>
      <c r="AB83" s="688">
        <f ca="1">SUMIF('Budget-ACPL'!$A:$A,$A83,'Budget-ACPL'!AB:AB)+SUMIF('Budget-ACPLHK'!$A:$A,$A83,'Budget-ACPLHK'!AB:AB)+SUMIF('Budget-ACPSZL'!$A:$A,$A83,'Budget-ACPSZL'!AB:AB)+SUMIF('Budget-ACPLSZ'!$A:$A,$A83,'Budget-ACPLSZ'!AB:AB)+SUMIF('Budget-ACPLGZ'!$A:$A,$A83,'Budget-ACPLGZ'!AB:AB)+SUMIF('Budget-Yixing'!$A:$A,$A83,'Budget-Yixing'!AB:AB)</f>
        <v>1490.08</v>
      </c>
      <c r="AC83" s="688">
        <f ca="1">SUMIF('Budget-ACPL'!$A:$A,$A83,'Budget-ACPL'!AC:AC)+SUMIF('Budget-ACPLHK'!$A:$A,$A83,'Budget-ACPLHK'!AC:AC)+SUMIF('Budget-ACPSZL'!$A:$A,$A83,'Budget-ACPSZL'!AC:AC)+SUMIF('Budget-ACPLSZ'!$A:$A,$A83,'Budget-ACPLSZ'!AC:AC)+SUMIF('Budget-ACPLGZ'!$A:$A,$A83,'Budget-ACPLGZ'!AC:AC)+SUMIF('Budget-Yixing'!$A:$A,$A83,'Budget-Yixing'!AC:AC)</f>
        <v>3174.9700000000003</v>
      </c>
      <c r="AD83" s="688">
        <f ca="1">SUMIF('Budget-ACPL'!$A:$A,$A83,'Budget-ACPL'!AD:AD)+SUMIF('Budget-ACPLHK'!$A:$A,$A83,'Budget-ACPLHK'!AD:AD)+SUMIF('Budget-ACPSZL'!$A:$A,$A83,'Budget-ACPSZL'!AD:AD)+SUMIF('Budget-ACPLSZ'!$A:$A,$A83,'Budget-ACPLSZ'!AD:AD)+SUMIF('Budget-ACPLGZ'!$A:$A,$A83,'Budget-ACPLGZ'!AD:AD)+SUMIF('Budget-Yixing'!$A:$A,$A83,'Budget-Yixing'!AD:AD)</f>
        <v>4562.3600000000006</v>
      </c>
      <c r="AE83" s="688">
        <f ca="1">SUMIF('Budget-ACPL'!$A:$A,$A83,'Budget-ACPL'!AE:AE)+SUMIF('Budget-ACPLHK'!$A:$A,$A83,'Budget-ACPLHK'!AE:AE)+SUMIF('Budget-ACPSZL'!$A:$A,$A83,'Budget-ACPSZL'!AE:AE)+SUMIF('Budget-ACPLSZ'!$A:$A,$A83,'Budget-ACPLSZ'!AE:AE)+SUMIF('Budget-ACPLGZ'!$A:$A,$A83,'Budget-ACPLGZ'!AE:AE)+SUMIF('Budget-Yixing'!$A:$A,$A83,'Budget-Yixing'!AE:AE)</f>
        <v>2398.36</v>
      </c>
      <c r="AF83" s="688">
        <f ca="1">SUMIF('Budget-ACPL'!$A:$A,$A83,'Budget-ACPL'!AF:AF)+SUMIF('Budget-ACPLHK'!$A:$A,$A83,'Budget-ACPLHK'!AF:AF)+SUMIF('Budget-ACPSZL'!$A:$A,$A83,'Budget-ACPSZL'!AF:AF)+SUMIF('Budget-ACPLSZ'!$A:$A,$A83,'Budget-ACPLSZ'!AF:AF)+SUMIF('Budget-ACPLGZ'!$A:$A,$A83,'Budget-ACPLGZ'!AF:AF)+SUMIF('Budget-Yixing'!$A:$A,$A83,'Budget-Yixing'!AF:AF)</f>
        <v>1869.31</v>
      </c>
      <c r="AG83" s="688">
        <f ca="1">SUMIF('Budget-ACPL'!$A:$A,$A83,'Budget-ACPL'!AG:AG)+SUMIF('Budget-ACPLHK'!$A:$A,$A83,'Budget-ACPLHK'!AG:AG)+SUMIF('Budget-ACPSZL'!$A:$A,$A83,'Budget-ACPSZL'!AG:AG)+SUMIF('Budget-ACPLSZ'!$A:$A,$A83,'Budget-ACPLSZ'!AG:AG)+SUMIF('Budget-ACPLGZ'!$A:$A,$A83,'Budget-ACPLGZ'!AG:AG)+SUMIF('Budget-Yixing'!$A:$A,$A83,'Budget-Yixing'!AG:AG)</f>
        <v>3392.75</v>
      </c>
      <c r="AH83" s="688">
        <f ca="1">SUMIF('Budget-ACPL'!$A:$A,$A83,'Budget-ACPL'!AH:AH)+SUMIF('Budget-ACPLHK'!$A:$A,$A83,'Budget-ACPLHK'!AH:AH)+SUMIF('Budget-ACPSZL'!$A:$A,$A83,'Budget-ACPSZL'!AH:AH)+SUMIF('Budget-ACPLSZ'!$A:$A,$A83,'Budget-ACPLSZ'!AH:AH)+SUMIF('Budget-ACPLGZ'!$A:$A,$A83,'Budget-ACPLGZ'!AH:AH)+SUMIF('Budget-Yixing'!$A:$A,$A83,'Budget-Yixing'!AH:AH)</f>
        <v>1964.47</v>
      </c>
      <c r="AI83" s="688">
        <f ca="1">SUMIF('Budget-ACPL'!$A:$A,$A83,'Budget-ACPL'!AI:AI)+SUMIF('Budget-ACPLHK'!$A:$A,$A83,'Budget-ACPLHK'!AI:AI)+SUMIF('Budget-ACPSZL'!$A:$A,$A83,'Budget-ACPSZL'!AI:AI)+SUMIF('Budget-ACPLSZ'!$A:$A,$A83,'Budget-ACPLSZ'!AI:AI)+SUMIF('Budget-ACPLGZ'!$A:$A,$A83,'Budget-ACPLGZ'!AI:AI)+SUMIF('Budget-Yixing'!$A:$A,$A83,'Budget-Yixing'!AI:AI)</f>
        <v>133.02000000000001</v>
      </c>
      <c r="AJ83" s="688">
        <f ca="1">SUMIF('Budget-ACPL'!$A:$A,$A83,'Budget-ACPL'!AJ:AJ)+SUMIF('Budget-ACPLHK'!$A:$A,$A83,'Budget-ACPLHK'!AJ:AJ)+SUMIF('Budget-ACPSZL'!$A:$A,$A83,'Budget-ACPSZL'!AJ:AJ)+SUMIF('Budget-ACPLSZ'!$A:$A,$A83,'Budget-ACPLSZ'!AJ:AJ)+SUMIF('Budget-ACPLGZ'!$A:$A,$A83,'Budget-ACPLGZ'!AJ:AJ)+SUMIF('Budget-Yixing'!$A:$A,$A83,'Budget-Yixing'!AJ:AJ)</f>
        <v>1941.23</v>
      </c>
      <c r="AK83" s="688">
        <f t="shared" ca="1" si="33"/>
        <v>28553.950000000004</v>
      </c>
    </row>
    <row r="84" spans="1:37" ht="11.1" customHeight="1">
      <c r="A84" s="713" t="s">
        <v>1652</v>
      </c>
      <c r="B84" s="687" t="str">
        <f>VLOOKUP(A84,Account!A:B,2,0)</f>
        <v>事务保金</v>
      </c>
      <c r="C84" s="687" t="str">
        <f>VLOOKUP(A84,Account!A:F,4,0)</f>
        <v>Other Insurance</v>
      </c>
      <c r="D84" s="676">
        <f t="shared" ca="1" si="27"/>
        <v>5127.6217606250002</v>
      </c>
      <c r="E84" s="676" t="e">
        <f t="shared" si="28"/>
        <v>#N/A</v>
      </c>
      <c r="F84" s="676" t="e">
        <f t="shared" ca="1" si="24"/>
        <v>#N/A</v>
      </c>
      <c r="G84" s="676">
        <f t="shared" ca="1" si="29"/>
        <v>5127.6217606250002</v>
      </c>
      <c r="H84" s="676" t="e">
        <f t="shared" ca="1" si="30"/>
        <v>#N/A</v>
      </c>
      <c r="I84" s="676" t="e">
        <f t="shared" ca="1" si="31"/>
        <v>#N/A</v>
      </c>
      <c r="K84" s="676">
        <f ca="1">SUMIF('Budget-ACPL'!$A:$A,$A84,'Budget-ACPL'!K:K)+SUMIF('Budget-ACPLHK'!$A:$A,$A84,'Budget-ACPLHK'!K:K)+SUMIF('Budget-ACPSZL'!$A:$A,$A84,'Budget-ACPSZL'!K:K)+SUMIF('Budget-ACPLSZ'!$A:$A,$A84,'Budget-ACPLSZ'!K:K)+SUMIF('Budget-ACPLGZ'!$A:$A,$A84,'Budget-ACPLGZ'!K:K)+SUMIF('Budget-Yixing'!$A:$A,$A84,'Budget-Yixing'!K:K)</f>
        <v>5127.6217606250002</v>
      </c>
      <c r="L84" s="676">
        <f ca="1">SUMIF('Budget-ACPL'!$A:$A,$A84,'Budget-ACPL'!L:L)+SUMIF('Budget-ACPLHK'!$A:$A,$A84,'Budget-ACPLHK'!L:L)+SUMIF('Budget-ACPSZL'!$A:$A,$A84,'Budget-ACPSZL'!L:L)+SUMIF('Budget-ACPLSZ'!$A:$A,$A84,'Budget-ACPLSZ'!L:L)+SUMIF('Budget-ACPLGZ'!$A:$A,$A84,'Budget-ACPLGZ'!L:L)+SUMIF('Budget-Yixing'!$A:$A,$A84,'Budget-Yixing'!L:L)</f>
        <v>5082.7401625000002</v>
      </c>
      <c r="M84" s="676">
        <f ca="1">SUMIF('Budget-ACPL'!$A:$A,$A84,'Budget-ACPL'!M:M)+SUMIF('Budget-ACPLHK'!$A:$A,$A84,'Budget-ACPLHK'!M:M)+SUMIF('Budget-ACPSZL'!$A:$A,$A84,'Budget-ACPSZL'!M:M)+SUMIF('Budget-ACPLSZ'!$A:$A,$A84,'Budget-ACPLSZ'!M:M)+SUMIF('Budget-ACPLGZ'!$A:$A,$A84,'Budget-ACPLGZ'!M:M)+SUMIF('Budget-Yixing'!$A:$A,$A84,'Budget-Yixing'!M:M)</f>
        <v>5082.7401625000002</v>
      </c>
      <c r="N84" s="676">
        <f ca="1">SUMIF('Budget-ACPL'!$A:$A,$A84,'Budget-ACPL'!N:N)+SUMIF('Budget-ACPLHK'!$A:$A,$A84,'Budget-ACPLHK'!N:N)+SUMIF('Budget-ACPSZL'!$A:$A,$A84,'Budget-ACPSZL'!N:N)+SUMIF('Budget-ACPLSZ'!$A:$A,$A84,'Budget-ACPLSZ'!N:N)+SUMIF('Budget-ACPLGZ'!$A:$A,$A84,'Budget-ACPLGZ'!N:N)+SUMIF('Budget-Yixing'!$A:$A,$A84,'Budget-Yixing'!N:N)</f>
        <v>5082.7401625000002</v>
      </c>
      <c r="O84" s="676">
        <f ca="1">SUMIF('Budget-ACPL'!$A:$A,$A84,'Budget-ACPL'!O:O)+SUMIF('Budget-ACPLHK'!$A:$A,$A84,'Budget-ACPLHK'!O:O)+SUMIF('Budget-ACPSZL'!$A:$A,$A84,'Budget-ACPSZL'!O:O)+SUMIF('Budget-ACPLSZ'!$A:$A,$A84,'Budget-ACPLSZ'!O:O)+SUMIF('Budget-ACPLGZ'!$A:$A,$A84,'Budget-ACPLGZ'!O:O)+SUMIF('Budget-Yixing'!$A:$A,$A84,'Budget-Yixing'!O:O)</f>
        <v>5082.7401625000002</v>
      </c>
      <c r="P84" s="676">
        <f ca="1">SUMIF('Budget-ACPL'!$A:$A,$A84,'Budget-ACPL'!P:P)+SUMIF('Budget-ACPLHK'!$A:$A,$A84,'Budget-ACPLHK'!P:P)+SUMIF('Budget-ACPSZL'!$A:$A,$A84,'Budget-ACPSZL'!P:P)+SUMIF('Budget-ACPLSZ'!$A:$A,$A84,'Budget-ACPLSZ'!P:P)+SUMIF('Budget-ACPLGZ'!$A:$A,$A84,'Budget-ACPLGZ'!P:P)+SUMIF('Budget-Yixing'!$A:$A,$A84,'Budget-Yixing'!P:P)</f>
        <v>5082.7401625000002</v>
      </c>
      <c r="Q84" s="676">
        <f ca="1">SUMIF('Budget-ACPL'!$A:$A,$A84,'Budget-ACPL'!Q:Q)+SUMIF('Budget-ACPLHK'!$A:$A,$A84,'Budget-ACPLHK'!Q:Q)+SUMIF('Budget-ACPSZL'!$A:$A,$A84,'Budget-ACPSZL'!Q:Q)+SUMIF('Budget-ACPLSZ'!$A:$A,$A84,'Budget-ACPLSZ'!Q:Q)+SUMIF('Budget-ACPLGZ'!$A:$A,$A84,'Budget-ACPLGZ'!Q:Q)+SUMIF('Budget-Yixing'!$A:$A,$A84,'Budget-Yixing'!Q:Q)</f>
        <v>5082.7401625000002</v>
      </c>
      <c r="R84" s="676">
        <f ca="1">SUMIF('Budget-ACPL'!$A:$A,$A84,'Budget-ACPL'!R:R)+SUMIF('Budget-ACPLHK'!$A:$A,$A84,'Budget-ACPLHK'!R:R)+SUMIF('Budget-ACPSZL'!$A:$A,$A84,'Budget-ACPSZL'!R:R)+SUMIF('Budget-ACPLSZ'!$A:$A,$A84,'Budget-ACPLSZ'!R:R)+SUMIF('Budget-ACPLGZ'!$A:$A,$A84,'Budget-ACPLGZ'!R:R)+SUMIF('Budget-Yixing'!$A:$A,$A84,'Budget-Yixing'!R:R)</f>
        <v>5082.7401625000002</v>
      </c>
      <c r="S84" s="676">
        <f ca="1">SUMIF('Budget-ACPL'!$A:$A,$A84,'Budget-ACPL'!S:S)+SUMIF('Budget-ACPLHK'!$A:$A,$A84,'Budget-ACPLHK'!S:S)+SUMIF('Budget-ACPSZL'!$A:$A,$A84,'Budget-ACPSZL'!S:S)+SUMIF('Budget-ACPLSZ'!$A:$A,$A84,'Budget-ACPLSZ'!S:S)+SUMIF('Budget-ACPLGZ'!$A:$A,$A84,'Budget-ACPLGZ'!S:S)+SUMIF('Budget-Yixing'!$A:$A,$A84,'Budget-Yixing'!S:S)</f>
        <v>5082.7401625000002</v>
      </c>
      <c r="T84" s="676">
        <f ca="1">SUMIF('Budget-ACPL'!$A:$A,$A84,'Budget-ACPL'!T:T)+SUMIF('Budget-ACPLHK'!$A:$A,$A84,'Budget-ACPLHK'!T:T)+SUMIF('Budget-ACPSZL'!$A:$A,$A84,'Budget-ACPSZL'!T:T)+SUMIF('Budget-ACPLSZ'!$A:$A,$A84,'Budget-ACPLSZ'!T:T)+SUMIF('Budget-ACPLGZ'!$A:$A,$A84,'Budget-ACPLGZ'!T:T)+SUMIF('Budget-Yixing'!$A:$A,$A84,'Budget-Yixing'!T:T)</f>
        <v>5082.7401625000002</v>
      </c>
      <c r="U84" s="676">
        <f ca="1">SUMIF('Budget-ACPL'!$A:$A,$A84,'Budget-ACPL'!U:U)+SUMIF('Budget-ACPLHK'!$A:$A,$A84,'Budget-ACPLHK'!U:U)+SUMIF('Budget-ACPSZL'!$A:$A,$A84,'Budget-ACPSZL'!U:U)+SUMIF('Budget-ACPLSZ'!$A:$A,$A84,'Budget-ACPLSZ'!U:U)+SUMIF('Budget-ACPLGZ'!$A:$A,$A84,'Budget-ACPLGZ'!U:U)+SUMIF('Budget-Yixing'!$A:$A,$A84,'Budget-Yixing'!U:U)</f>
        <v>5082.7401625000002</v>
      </c>
      <c r="V84" s="676">
        <f ca="1">SUMIF('Budget-ACPL'!$A:$A,$A84,'Budget-ACPL'!V:V)+SUMIF('Budget-ACPLHK'!$A:$A,$A84,'Budget-ACPLHK'!V:V)+SUMIF('Budget-ACPSZL'!$A:$A,$A84,'Budget-ACPSZL'!V:V)+SUMIF('Budget-ACPLSZ'!$A:$A,$A84,'Budget-ACPLSZ'!V:V)+SUMIF('Budget-ACPLGZ'!$A:$A,$A84,'Budget-ACPLGZ'!V:V)+SUMIF('Budget-Yixing'!$A:$A,$A84,'Budget-Yixing'!V:V)</f>
        <v>5082.7401625000002</v>
      </c>
      <c r="W84" s="676">
        <f t="shared" ca="1" si="35"/>
        <v>61037.763548124989</v>
      </c>
      <c r="Y84" s="688">
        <f ca="1">SUMIF('Budget-ACPL'!$A:$A,$A84,'Budget-ACPL'!Y:Y)+SUMIF('Budget-ACPLHK'!$A:$A,$A84,'Budget-ACPLHK'!Y:Y)+SUMIF('Budget-ACPSZL'!$A:$A,$A84,'Budget-ACPSZL'!Y:Y)+SUMIF('Budget-ACPLSZ'!$A:$A,$A84,'Budget-ACPLSZ'!Y:Y)+SUMIF('Budget-ACPLGZ'!$A:$A,$A84,'Budget-ACPLGZ'!Y:Y)+SUMIF('Budget-Yixing'!$A:$A,$A84,'Budget-Yixing'!Y:Y)</f>
        <v>4373.74</v>
      </c>
      <c r="Z84" s="688">
        <f ca="1">SUMIF('Budget-ACPL'!$A:$A,$A84,'Budget-ACPL'!Z:Z)+SUMIF('Budget-ACPLHK'!$A:$A,$A84,'Budget-ACPLHK'!Z:Z)+SUMIF('Budget-ACPSZL'!$A:$A,$A84,'Budget-ACPSZL'!Z:Z)+SUMIF('Budget-ACPLSZ'!$A:$A,$A84,'Budget-ACPLSZ'!Z:Z)+SUMIF('Budget-ACPLGZ'!$A:$A,$A84,'Budget-ACPLGZ'!Z:Z)+SUMIF('Budget-Yixing'!$A:$A,$A84,'Budget-Yixing'!Z:Z)</f>
        <v>3950.4900000000002</v>
      </c>
      <c r="AA84" s="688">
        <f ca="1">SUMIF('Budget-ACPL'!$A:$A,$A84,'Budget-ACPL'!AA:AA)+SUMIF('Budget-ACPLHK'!$A:$A,$A84,'Budget-ACPLHK'!AA:AA)+SUMIF('Budget-ACPSZL'!$A:$A,$A84,'Budget-ACPSZL'!AA:AA)+SUMIF('Budget-ACPLSZ'!$A:$A,$A84,'Budget-ACPLSZ'!AA:AA)+SUMIF('Budget-ACPLGZ'!$A:$A,$A84,'Budget-ACPLGZ'!AA:AA)+SUMIF('Budget-Yixing'!$A:$A,$A84,'Budget-Yixing'!AA:AA)</f>
        <v>2467.3599999999997</v>
      </c>
      <c r="AB84" s="688">
        <f ca="1">SUMIF('Budget-ACPL'!$A:$A,$A84,'Budget-ACPL'!AB:AB)+SUMIF('Budget-ACPLHK'!$A:$A,$A84,'Budget-ACPLHK'!AB:AB)+SUMIF('Budget-ACPSZL'!$A:$A,$A84,'Budget-ACPSZL'!AB:AB)+SUMIF('Budget-ACPLSZ'!$A:$A,$A84,'Budget-ACPLSZ'!AB:AB)+SUMIF('Budget-ACPLGZ'!$A:$A,$A84,'Budget-ACPLGZ'!AB:AB)+SUMIF('Budget-Yixing'!$A:$A,$A84,'Budget-Yixing'!AB:AB)</f>
        <v>658.19</v>
      </c>
      <c r="AC84" s="688">
        <f ca="1">SUMIF('Budget-ACPL'!$A:$A,$A84,'Budget-ACPL'!AC:AC)+SUMIF('Budget-ACPLHK'!$A:$A,$A84,'Budget-ACPLHK'!AC:AC)+SUMIF('Budget-ACPSZL'!$A:$A,$A84,'Budget-ACPSZL'!AC:AC)+SUMIF('Budget-ACPLSZ'!$A:$A,$A84,'Budget-ACPLSZ'!AC:AC)+SUMIF('Budget-ACPLGZ'!$A:$A,$A84,'Budget-ACPLGZ'!AC:AC)+SUMIF('Budget-Yixing'!$A:$A,$A84,'Budget-Yixing'!AC:AC)</f>
        <v>14914.66</v>
      </c>
      <c r="AD84" s="688">
        <f ca="1">SUMIF('Budget-ACPL'!$A:$A,$A84,'Budget-ACPL'!AD:AD)+SUMIF('Budget-ACPLHK'!$A:$A,$A84,'Budget-ACPLHK'!AD:AD)+SUMIF('Budget-ACPSZL'!$A:$A,$A84,'Budget-ACPSZL'!AD:AD)+SUMIF('Budget-ACPLSZ'!$A:$A,$A84,'Budget-ACPLSZ'!AD:AD)+SUMIF('Budget-ACPLGZ'!$A:$A,$A84,'Budget-ACPLGZ'!AD:AD)+SUMIF('Budget-Yixing'!$A:$A,$A84,'Budget-Yixing'!AD:AD)</f>
        <v>4651.62</v>
      </c>
      <c r="AE84" s="688">
        <f ca="1">SUMIF('Budget-ACPL'!$A:$A,$A84,'Budget-ACPL'!AE:AE)+SUMIF('Budget-ACPLHK'!$A:$A,$A84,'Budget-ACPLHK'!AE:AE)+SUMIF('Budget-ACPSZL'!$A:$A,$A84,'Budget-ACPSZL'!AE:AE)+SUMIF('Budget-ACPLSZ'!$A:$A,$A84,'Budget-ACPLSZ'!AE:AE)+SUMIF('Budget-ACPLGZ'!$A:$A,$A84,'Budget-ACPLGZ'!AE:AE)+SUMIF('Budget-Yixing'!$A:$A,$A84,'Budget-Yixing'!AE:AE)</f>
        <v>5921.95</v>
      </c>
      <c r="AF84" s="688">
        <f ca="1">SUMIF('Budget-ACPL'!$A:$A,$A84,'Budget-ACPL'!AF:AF)+SUMIF('Budget-ACPLHK'!$A:$A,$A84,'Budget-ACPLHK'!AF:AF)+SUMIF('Budget-ACPSZL'!$A:$A,$A84,'Budget-ACPSZL'!AF:AF)+SUMIF('Budget-ACPLSZ'!$A:$A,$A84,'Budget-ACPLSZ'!AF:AF)+SUMIF('Budget-ACPLGZ'!$A:$A,$A84,'Budget-ACPLGZ'!AF:AF)+SUMIF('Budget-Yixing'!$A:$A,$A84,'Budget-Yixing'!AF:AF)</f>
        <v>5373.45</v>
      </c>
      <c r="AG84" s="688">
        <f ca="1">SUMIF('Budget-ACPL'!$A:$A,$A84,'Budget-ACPL'!AG:AG)+SUMIF('Budget-ACPLHK'!$A:$A,$A84,'Budget-ACPLHK'!AG:AG)+SUMIF('Budget-ACPSZL'!$A:$A,$A84,'Budget-ACPSZL'!AG:AG)+SUMIF('Budget-ACPLSZ'!$A:$A,$A84,'Budget-ACPLSZ'!AG:AG)+SUMIF('Budget-ACPLGZ'!$A:$A,$A84,'Budget-ACPLGZ'!AG:AG)+SUMIF('Budget-Yixing'!$A:$A,$A84,'Budget-Yixing'!AG:AG)</f>
        <v>5200.1100000000006</v>
      </c>
      <c r="AH84" s="688">
        <f ca="1">SUMIF('Budget-ACPL'!$A:$A,$A84,'Budget-ACPL'!AH:AH)+SUMIF('Budget-ACPLHK'!$A:$A,$A84,'Budget-ACPLHK'!AH:AH)+SUMIF('Budget-ACPSZL'!$A:$A,$A84,'Budget-ACPSZL'!AH:AH)+SUMIF('Budget-ACPLSZ'!$A:$A,$A84,'Budget-ACPLSZ'!AH:AH)+SUMIF('Budget-ACPLGZ'!$A:$A,$A84,'Budget-ACPLGZ'!AH:AH)+SUMIF('Budget-Yixing'!$A:$A,$A84,'Budget-Yixing'!AH:AH)</f>
        <v>5373.44</v>
      </c>
      <c r="AI84" s="688">
        <f ca="1">SUMIF('Budget-ACPL'!$A:$A,$A84,'Budget-ACPL'!AI:AI)+SUMIF('Budget-ACPLHK'!$A:$A,$A84,'Budget-ACPLHK'!AI:AI)+SUMIF('Budget-ACPSZL'!$A:$A,$A84,'Budget-ACPSZL'!AI:AI)+SUMIF('Budget-ACPLSZ'!$A:$A,$A84,'Budget-ACPLSZ'!AI:AI)+SUMIF('Budget-ACPLGZ'!$A:$A,$A84,'Budget-ACPLGZ'!AI:AI)+SUMIF('Budget-Yixing'!$A:$A,$A84,'Budget-Yixing'!AI:AI)</f>
        <v>5200.1200000000008</v>
      </c>
      <c r="AJ84" s="688">
        <f ca="1">SUMIF('Budget-ACPL'!$A:$A,$A84,'Budget-ACPL'!AJ:AJ)+SUMIF('Budget-ACPLHK'!$A:$A,$A84,'Budget-ACPLHK'!AJ:AJ)+SUMIF('Budget-ACPSZL'!$A:$A,$A84,'Budget-ACPSZL'!AJ:AJ)+SUMIF('Budget-ACPLSZ'!$A:$A,$A84,'Budget-ACPLSZ'!AJ:AJ)+SUMIF('Budget-ACPLGZ'!$A:$A,$A84,'Budget-ACPLGZ'!AJ:AJ)+SUMIF('Budget-Yixing'!$A:$A,$A84,'Budget-Yixing'!AJ:AJ)</f>
        <v>5373.45</v>
      </c>
      <c r="AK84" s="688">
        <f t="shared" ca="1" si="33"/>
        <v>63458.58</v>
      </c>
    </row>
    <row r="85" spans="1:37" ht="11.1" customHeight="1">
      <c r="A85" s="713" t="s">
        <v>1657</v>
      </c>
      <c r="B85" s="687" t="str">
        <f>VLOOKUP(A85,Account!A:B,2,0)</f>
        <v>邮费/邮递费</v>
      </c>
      <c r="C85" s="687" t="str">
        <f>VLOOKUP(A85,Account!A:F,4,0)</f>
        <v>Postage / Freight / Delivery</v>
      </c>
      <c r="D85" s="676">
        <f t="shared" ca="1" si="27"/>
        <v>1097.2447499999998</v>
      </c>
      <c r="E85" s="676" t="e">
        <f t="shared" si="28"/>
        <v>#N/A</v>
      </c>
      <c r="F85" s="676" t="e">
        <f t="shared" ca="1" si="24"/>
        <v>#N/A</v>
      </c>
      <c r="G85" s="676">
        <f t="shared" ca="1" si="29"/>
        <v>1097.2447499999998</v>
      </c>
      <c r="H85" s="676" t="e">
        <f t="shared" ca="1" si="30"/>
        <v>#N/A</v>
      </c>
      <c r="I85" s="676" t="e">
        <f t="shared" ca="1" si="31"/>
        <v>#N/A</v>
      </c>
      <c r="K85" s="676">
        <f ca="1">SUMIF('Budget-ACPL'!$A:$A,$A85,'Budget-ACPL'!K:K)+SUMIF('Budget-ACPLHK'!$A:$A,$A85,'Budget-ACPLHK'!K:K)+SUMIF('Budget-ACPSZL'!$A:$A,$A85,'Budget-ACPSZL'!K:K)+SUMIF('Budget-ACPLSZ'!$A:$A,$A85,'Budget-ACPLSZ'!K:K)+SUMIF('Budget-ACPLGZ'!$A:$A,$A85,'Budget-ACPLGZ'!K:K)+SUMIF('Budget-Yixing'!$A:$A,$A85,'Budget-Yixing'!K:K)</f>
        <v>1097.2447499999998</v>
      </c>
      <c r="L85" s="676">
        <f ca="1">SUMIF('Budget-ACPL'!$A:$A,$A85,'Budget-ACPL'!L:L)+SUMIF('Budget-ACPLHK'!$A:$A,$A85,'Budget-ACPLHK'!L:L)+SUMIF('Budget-ACPSZL'!$A:$A,$A85,'Budget-ACPSZL'!L:L)+SUMIF('Budget-ACPLSZ'!$A:$A,$A85,'Budget-ACPLSZ'!L:L)+SUMIF('Budget-ACPLGZ'!$A:$A,$A85,'Budget-ACPLGZ'!L:L)+SUMIF('Budget-Yixing'!$A:$A,$A85,'Budget-Yixing'!L:L)</f>
        <v>1093.155</v>
      </c>
      <c r="M85" s="676">
        <f ca="1">SUMIF('Budget-ACPL'!$A:$A,$A85,'Budget-ACPL'!M:M)+SUMIF('Budget-ACPLHK'!$A:$A,$A85,'Budget-ACPLHK'!M:M)+SUMIF('Budget-ACPSZL'!$A:$A,$A85,'Budget-ACPSZL'!M:M)+SUMIF('Budget-ACPLSZ'!$A:$A,$A85,'Budget-ACPLSZ'!M:M)+SUMIF('Budget-ACPLGZ'!$A:$A,$A85,'Budget-ACPLGZ'!M:M)+SUMIF('Budget-Yixing'!$A:$A,$A85,'Budget-Yixing'!M:M)</f>
        <v>1093.155</v>
      </c>
      <c r="N85" s="676">
        <f ca="1">SUMIF('Budget-ACPL'!$A:$A,$A85,'Budget-ACPL'!N:N)+SUMIF('Budget-ACPLHK'!$A:$A,$A85,'Budget-ACPLHK'!N:N)+SUMIF('Budget-ACPSZL'!$A:$A,$A85,'Budget-ACPSZL'!N:N)+SUMIF('Budget-ACPLSZ'!$A:$A,$A85,'Budget-ACPLSZ'!N:N)+SUMIF('Budget-ACPLGZ'!$A:$A,$A85,'Budget-ACPLGZ'!N:N)+SUMIF('Budget-Yixing'!$A:$A,$A85,'Budget-Yixing'!N:N)</f>
        <v>1093.155</v>
      </c>
      <c r="O85" s="676">
        <f ca="1">SUMIF('Budget-ACPL'!$A:$A,$A85,'Budget-ACPL'!O:O)+SUMIF('Budget-ACPLHK'!$A:$A,$A85,'Budget-ACPLHK'!O:O)+SUMIF('Budget-ACPSZL'!$A:$A,$A85,'Budget-ACPSZL'!O:O)+SUMIF('Budget-ACPLSZ'!$A:$A,$A85,'Budget-ACPLSZ'!O:O)+SUMIF('Budget-ACPLGZ'!$A:$A,$A85,'Budget-ACPLGZ'!O:O)+SUMIF('Budget-Yixing'!$A:$A,$A85,'Budget-Yixing'!O:O)</f>
        <v>1093.155</v>
      </c>
      <c r="P85" s="676">
        <f ca="1">SUMIF('Budget-ACPL'!$A:$A,$A85,'Budget-ACPL'!P:P)+SUMIF('Budget-ACPLHK'!$A:$A,$A85,'Budget-ACPLHK'!P:P)+SUMIF('Budget-ACPSZL'!$A:$A,$A85,'Budget-ACPSZL'!P:P)+SUMIF('Budget-ACPLSZ'!$A:$A,$A85,'Budget-ACPLSZ'!P:P)+SUMIF('Budget-ACPLGZ'!$A:$A,$A85,'Budget-ACPLGZ'!P:P)+SUMIF('Budget-Yixing'!$A:$A,$A85,'Budget-Yixing'!P:P)</f>
        <v>1093.155</v>
      </c>
      <c r="Q85" s="676">
        <f ca="1">SUMIF('Budget-ACPL'!$A:$A,$A85,'Budget-ACPL'!Q:Q)+SUMIF('Budget-ACPLHK'!$A:$A,$A85,'Budget-ACPLHK'!Q:Q)+SUMIF('Budget-ACPSZL'!$A:$A,$A85,'Budget-ACPSZL'!Q:Q)+SUMIF('Budget-ACPLSZ'!$A:$A,$A85,'Budget-ACPLSZ'!Q:Q)+SUMIF('Budget-ACPLGZ'!$A:$A,$A85,'Budget-ACPLGZ'!Q:Q)+SUMIF('Budget-Yixing'!$A:$A,$A85,'Budget-Yixing'!Q:Q)</f>
        <v>1093.155</v>
      </c>
      <c r="R85" s="676">
        <f ca="1">SUMIF('Budget-ACPL'!$A:$A,$A85,'Budget-ACPL'!R:R)+SUMIF('Budget-ACPLHK'!$A:$A,$A85,'Budget-ACPLHK'!R:R)+SUMIF('Budget-ACPSZL'!$A:$A,$A85,'Budget-ACPSZL'!R:R)+SUMIF('Budget-ACPLSZ'!$A:$A,$A85,'Budget-ACPLSZ'!R:R)+SUMIF('Budget-ACPLGZ'!$A:$A,$A85,'Budget-ACPLGZ'!R:R)+SUMIF('Budget-Yixing'!$A:$A,$A85,'Budget-Yixing'!R:R)</f>
        <v>1093.155</v>
      </c>
      <c r="S85" s="676">
        <f ca="1">SUMIF('Budget-ACPL'!$A:$A,$A85,'Budget-ACPL'!S:S)+SUMIF('Budget-ACPLHK'!$A:$A,$A85,'Budget-ACPLHK'!S:S)+SUMIF('Budget-ACPSZL'!$A:$A,$A85,'Budget-ACPSZL'!S:S)+SUMIF('Budget-ACPLSZ'!$A:$A,$A85,'Budget-ACPLSZ'!S:S)+SUMIF('Budget-ACPLGZ'!$A:$A,$A85,'Budget-ACPLGZ'!S:S)+SUMIF('Budget-Yixing'!$A:$A,$A85,'Budget-Yixing'!S:S)</f>
        <v>1093.155</v>
      </c>
      <c r="T85" s="676">
        <f ca="1">SUMIF('Budget-ACPL'!$A:$A,$A85,'Budget-ACPL'!T:T)+SUMIF('Budget-ACPLHK'!$A:$A,$A85,'Budget-ACPLHK'!T:T)+SUMIF('Budget-ACPSZL'!$A:$A,$A85,'Budget-ACPSZL'!T:T)+SUMIF('Budget-ACPLSZ'!$A:$A,$A85,'Budget-ACPLSZ'!T:T)+SUMIF('Budget-ACPLGZ'!$A:$A,$A85,'Budget-ACPLGZ'!T:T)+SUMIF('Budget-Yixing'!$A:$A,$A85,'Budget-Yixing'!T:T)</f>
        <v>1093.155</v>
      </c>
      <c r="U85" s="676">
        <f ca="1">SUMIF('Budget-ACPL'!$A:$A,$A85,'Budget-ACPL'!U:U)+SUMIF('Budget-ACPLHK'!$A:$A,$A85,'Budget-ACPLHK'!U:U)+SUMIF('Budget-ACPSZL'!$A:$A,$A85,'Budget-ACPSZL'!U:U)+SUMIF('Budget-ACPLSZ'!$A:$A,$A85,'Budget-ACPLSZ'!U:U)+SUMIF('Budget-ACPLGZ'!$A:$A,$A85,'Budget-ACPLGZ'!U:U)+SUMIF('Budget-Yixing'!$A:$A,$A85,'Budget-Yixing'!U:U)</f>
        <v>1093.155</v>
      </c>
      <c r="V85" s="676">
        <f ca="1">SUMIF('Budget-ACPL'!$A:$A,$A85,'Budget-ACPL'!V:V)+SUMIF('Budget-ACPLHK'!$A:$A,$A85,'Budget-ACPLHK'!V:V)+SUMIF('Budget-ACPSZL'!$A:$A,$A85,'Budget-ACPSZL'!V:V)+SUMIF('Budget-ACPLSZ'!$A:$A,$A85,'Budget-ACPLSZ'!V:V)+SUMIF('Budget-ACPLGZ'!$A:$A,$A85,'Budget-ACPLGZ'!V:V)+SUMIF('Budget-Yixing'!$A:$A,$A85,'Budget-Yixing'!V:V)</f>
        <v>1093.155</v>
      </c>
      <c r="W85" s="676">
        <f t="shared" ca="1" si="35"/>
        <v>13121.949750000002</v>
      </c>
      <c r="Y85" s="688">
        <f ca="1">SUMIF('Budget-ACPL'!$A:$A,$A85,'Budget-ACPL'!Y:Y)+SUMIF('Budget-ACPLHK'!$A:$A,$A85,'Budget-ACPLHK'!Y:Y)+SUMIF('Budget-ACPSZL'!$A:$A,$A85,'Budget-ACPSZL'!Y:Y)+SUMIF('Budget-ACPLSZ'!$A:$A,$A85,'Budget-ACPLSZ'!Y:Y)+SUMIF('Budget-ACPLGZ'!$A:$A,$A85,'Budget-ACPLGZ'!Y:Y)+SUMIF('Budget-Yixing'!$A:$A,$A85,'Budget-Yixing'!Y:Y)</f>
        <v>475.98</v>
      </c>
      <c r="Z85" s="688">
        <f ca="1">SUMIF('Budget-ACPL'!$A:$A,$A85,'Budget-ACPL'!Z:Z)+SUMIF('Budget-ACPLHK'!$A:$A,$A85,'Budget-ACPLHK'!Z:Z)+SUMIF('Budget-ACPSZL'!$A:$A,$A85,'Budget-ACPSZL'!Z:Z)+SUMIF('Budget-ACPLSZ'!$A:$A,$A85,'Budget-ACPLSZ'!Z:Z)+SUMIF('Budget-ACPLGZ'!$A:$A,$A85,'Budget-ACPLGZ'!Z:Z)+SUMIF('Budget-Yixing'!$A:$A,$A85,'Budget-Yixing'!Z:Z)</f>
        <v>989</v>
      </c>
      <c r="AA85" s="688">
        <f ca="1">SUMIF('Budget-ACPL'!$A:$A,$A85,'Budget-ACPL'!AA:AA)+SUMIF('Budget-ACPLHK'!$A:$A,$A85,'Budget-ACPLHK'!AA:AA)+SUMIF('Budget-ACPSZL'!$A:$A,$A85,'Budget-ACPSZL'!AA:AA)+SUMIF('Budget-ACPLSZ'!$A:$A,$A85,'Budget-ACPLSZ'!AA:AA)+SUMIF('Budget-ACPLGZ'!$A:$A,$A85,'Budget-ACPLGZ'!AA:AA)+SUMIF('Budget-Yixing'!$A:$A,$A85,'Budget-Yixing'!AA:AA)</f>
        <v>1265</v>
      </c>
      <c r="AB85" s="688">
        <f ca="1">SUMIF('Budget-ACPL'!$A:$A,$A85,'Budget-ACPL'!AB:AB)+SUMIF('Budget-ACPLHK'!$A:$A,$A85,'Budget-ACPLHK'!AB:AB)+SUMIF('Budget-ACPSZL'!$A:$A,$A85,'Budget-ACPSZL'!AB:AB)+SUMIF('Budget-ACPLSZ'!$A:$A,$A85,'Budget-ACPLSZ'!AB:AB)+SUMIF('Budget-ACPLGZ'!$A:$A,$A85,'Budget-ACPLGZ'!AB:AB)+SUMIF('Budget-Yixing'!$A:$A,$A85,'Budget-Yixing'!AB:AB)</f>
        <v>980</v>
      </c>
      <c r="AC85" s="688">
        <f ca="1">SUMIF('Budget-ACPL'!$A:$A,$A85,'Budget-ACPL'!AC:AC)+SUMIF('Budget-ACPLHK'!$A:$A,$A85,'Budget-ACPLHK'!AC:AC)+SUMIF('Budget-ACPSZL'!$A:$A,$A85,'Budget-ACPSZL'!AC:AC)+SUMIF('Budget-ACPLSZ'!$A:$A,$A85,'Budget-ACPLSZ'!AC:AC)+SUMIF('Budget-ACPLGZ'!$A:$A,$A85,'Budget-ACPLGZ'!AC:AC)+SUMIF('Budget-Yixing'!$A:$A,$A85,'Budget-Yixing'!AC:AC)</f>
        <v>1434.55</v>
      </c>
      <c r="AD85" s="688">
        <f ca="1">SUMIF('Budget-ACPL'!$A:$A,$A85,'Budget-ACPL'!AD:AD)+SUMIF('Budget-ACPLHK'!$A:$A,$A85,'Budget-ACPLHK'!AD:AD)+SUMIF('Budget-ACPSZL'!$A:$A,$A85,'Budget-ACPSZL'!AD:AD)+SUMIF('Budget-ACPLSZ'!$A:$A,$A85,'Budget-ACPLSZ'!AD:AD)+SUMIF('Budget-ACPLGZ'!$A:$A,$A85,'Budget-ACPLGZ'!AD:AD)+SUMIF('Budget-Yixing'!$A:$A,$A85,'Budget-Yixing'!AD:AD)</f>
        <v>733</v>
      </c>
      <c r="AE85" s="688">
        <f ca="1">SUMIF('Budget-ACPL'!$A:$A,$A85,'Budget-ACPL'!AE:AE)+SUMIF('Budget-ACPLHK'!$A:$A,$A85,'Budget-ACPLHK'!AE:AE)+SUMIF('Budget-ACPSZL'!$A:$A,$A85,'Budget-ACPSZL'!AE:AE)+SUMIF('Budget-ACPLSZ'!$A:$A,$A85,'Budget-ACPLSZ'!AE:AE)+SUMIF('Budget-ACPLGZ'!$A:$A,$A85,'Budget-ACPLGZ'!AE:AE)+SUMIF('Budget-Yixing'!$A:$A,$A85,'Budget-Yixing'!AE:AE)</f>
        <v>1175.0999999999999</v>
      </c>
      <c r="AF85" s="688">
        <f ca="1">SUMIF('Budget-ACPL'!$A:$A,$A85,'Budget-ACPL'!AF:AF)+SUMIF('Budget-ACPLHK'!$A:$A,$A85,'Budget-ACPLHK'!AF:AF)+SUMIF('Budget-ACPSZL'!$A:$A,$A85,'Budget-ACPSZL'!AF:AF)+SUMIF('Budget-ACPLSZ'!$A:$A,$A85,'Budget-ACPLSZ'!AF:AF)+SUMIF('Budget-ACPLGZ'!$A:$A,$A85,'Budget-ACPLGZ'!AF:AF)+SUMIF('Budget-Yixing'!$A:$A,$A85,'Budget-Yixing'!AF:AF)</f>
        <v>973.96</v>
      </c>
      <c r="AG85" s="688">
        <f ca="1">SUMIF('Budget-ACPL'!$A:$A,$A85,'Budget-ACPL'!AG:AG)+SUMIF('Budget-ACPLHK'!$A:$A,$A85,'Budget-ACPLHK'!AG:AG)+SUMIF('Budget-ACPSZL'!$A:$A,$A85,'Budget-ACPSZL'!AG:AG)+SUMIF('Budget-ACPLSZ'!$A:$A,$A85,'Budget-ACPLSZ'!AG:AG)+SUMIF('Budget-ACPLGZ'!$A:$A,$A85,'Budget-ACPLGZ'!AG:AG)+SUMIF('Budget-Yixing'!$A:$A,$A85,'Budget-Yixing'!AG:AG)</f>
        <v>1055</v>
      </c>
      <c r="AH85" s="688">
        <f ca="1">SUMIF('Budget-ACPL'!$A:$A,$A85,'Budget-ACPL'!AH:AH)+SUMIF('Budget-ACPLHK'!$A:$A,$A85,'Budget-ACPLHK'!AH:AH)+SUMIF('Budget-ACPSZL'!$A:$A,$A85,'Budget-ACPSZL'!AH:AH)+SUMIF('Budget-ACPLSZ'!$A:$A,$A85,'Budget-ACPLSZ'!AH:AH)+SUMIF('Budget-ACPLGZ'!$A:$A,$A85,'Budget-ACPLGZ'!AH:AH)+SUMIF('Budget-Yixing'!$A:$A,$A85,'Budget-Yixing'!AH:AH)</f>
        <v>644.21</v>
      </c>
      <c r="AI85" s="688">
        <f ca="1">SUMIF('Budget-ACPL'!$A:$A,$A85,'Budget-ACPL'!AI:AI)+SUMIF('Budget-ACPLHK'!$A:$A,$A85,'Budget-ACPLHK'!AI:AI)+SUMIF('Budget-ACPSZL'!$A:$A,$A85,'Budget-ACPSZL'!AI:AI)+SUMIF('Budget-ACPLSZ'!$A:$A,$A85,'Budget-ACPLSZ'!AI:AI)+SUMIF('Budget-ACPLGZ'!$A:$A,$A85,'Budget-ACPLGZ'!AI:AI)+SUMIF('Budget-Yixing'!$A:$A,$A85,'Budget-Yixing'!AI:AI)</f>
        <v>618.80999999999995</v>
      </c>
      <c r="AJ85" s="688">
        <f ca="1">SUMIF('Budget-ACPL'!$A:$A,$A85,'Budget-ACPL'!AJ:AJ)+SUMIF('Budget-ACPLHK'!$A:$A,$A85,'Budget-ACPLHK'!AJ:AJ)+SUMIF('Budget-ACPSZL'!$A:$A,$A85,'Budget-ACPSZL'!AJ:AJ)+SUMIF('Budget-ACPLSZ'!$A:$A,$A85,'Budget-ACPLSZ'!AJ:AJ)+SUMIF('Budget-ACPLGZ'!$A:$A,$A85,'Budget-ACPLGZ'!AJ:AJ)+SUMIF('Budget-Yixing'!$A:$A,$A85,'Budget-Yixing'!AJ:AJ)</f>
        <v>922.95</v>
      </c>
      <c r="AK85" s="688">
        <f t="shared" ca="1" si="33"/>
        <v>11267.56</v>
      </c>
    </row>
    <row r="86" spans="1:37" ht="11.1" customHeight="1">
      <c r="A86" s="713" t="s">
        <v>1662</v>
      </c>
      <c r="B86" s="687" t="str">
        <f>VLOOKUP(A86,Account!A:B,2,0)</f>
        <v>IT专业人士及微软服务</v>
      </c>
      <c r="C86" s="687" t="str">
        <f>VLOOKUP(A86,Account!A:F,4,0)</f>
        <v xml:space="preserve">IT Professional &amp; MS Services </v>
      </c>
      <c r="D86" s="676">
        <f t="shared" ca="1" si="27"/>
        <v>14684.834999999999</v>
      </c>
      <c r="E86" s="676" t="e">
        <f t="shared" si="28"/>
        <v>#N/A</v>
      </c>
      <c r="F86" s="676" t="e">
        <f t="shared" ca="1" si="24"/>
        <v>#N/A</v>
      </c>
      <c r="G86" s="676">
        <f t="shared" ca="1" si="29"/>
        <v>14684.834999999999</v>
      </c>
      <c r="H86" s="676" t="e">
        <f t="shared" ca="1" si="30"/>
        <v>#N/A</v>
      </c>
      <c r="I86" s="676" t="e">
        <f t="shared" ca="1" si="31"/>
        <v>#N/A</v>
      </c>
      <c r="K86" s="676">
        <f ca="1">SUMIF('Budget-ACPL'!$A:$A,$A86,'Budget-ACPL'!K:K)+SUMIF('Budget-ACPLHK'!$A:$A,$A86,'Budget-ACPLHK'!K:K)+SUMIF('Budget-ACPSZL'!$A:$A,$A86,'Budget-ACPSZL'!K:K)+SUMIF('Budget-ACPLSZ'!$A:$A,$A86,'Budget-ACPLSZ'!K:K)+SUMIF('Budget-ACPLGZ'!$A:$A,$A86,'Budget-ACPLGZ'!K:K)+SUMIF('Budget-Yixing'!$A:$A,$A86,'Budget-Yixing'!K:K)</f>
        <v>14684.834999999999</v>
      </c>
      <c r="L86" s="676">
        <f ca="1">SUMIF('Budget-ACPL'!$A:$A,$A86,'Budget-ACPL'!L:L)+SUMIF('Budget-ACPLHK'!$A:$A,$A86,'Budget-ACPLHK'!L:L)+SUMIF('Budget-ACPSZL'!$A:$A,$A86,'Budget-ACPSZL'!L:L)+SUMIF('Budget-ACPLSZ'!$A:$A,$A86,'Budget-ACPLSZ'!L:L)+SUMIF('Budget-ACPLGZ'!$A:$A,$A86,'Budget-ACPLGZ'!L:L)+SUMIF('Budget-Yixing'!$A:$A,$A86,'Budget-Yixing'!L:L)</f>
        <v>14556.3</v>
      </c>
      <c r="M86" s="676">
        <f ca="1">SUMIF('Budget-ACPL'!$A:$A,$A86,'Budget-ACPL'!M:M)+SUMIF('Budget-ACPLHK'!$A:$A,$A86,'Budget-ACPLHK'!M:M)+SUMIF('Budget-ACPSZL'!$A:$A,$A86,'Budget-ACPSZL'!M:M)+SUMIF('Budget-ACPLSZ'!$A:$A,$A86,'Budget-ACPLSZ'!M:M)+SUMIF('Budget-ACPLGZ'!$A:$A,$A86,'Budget-ACPLGZ'!M:M)+SUMIF('Budget-Yixing'!$A:$A,$A86,'Budget-Yixing'!M:M)</f>
        <v>14556.3</v>
      </c>
      <c r="N86" s="676">
        <f ca="1">SUMIF('Budget-ACPL'!$A:$A,$A86,'Budget-ACPL'!N:N)+SUMIF('Budget-ACPLHK'!$A:$A,$A86,'Budget-ACPLHK'!N:N)+SUMIF('Budget-ACPSZL'!$A:$A,$A86,'Budget-ACPSZL'!N:N)+SUMIF('Budget-ACPLSZ'!$A:$A,$A86,'Budget-ACPLSZ'!N:N)+SUMIF('Budget-ACPLGZ'!$A:$A,$A86,'Budget-ACPLGZ'!N:N)+SUMIF('Budget-Yixing'!$A:$A,$A86,'Budget-Yixing'!N:N)</f>
        <v>14556.3</v>
      </c>
      <c r="O86" s="676">
        <f ca="1">SUMIF('Budget-ACPL'!$A:$A,$A86,'Budget-ACPL'!O:O)+SUMIF('Budget-ACPLHK'!$A:$A,$A86,'Budget-ACPLHK'!O:O)+SUMIF('Budget-ACPSZL'!$A:$A,$A86,'Budget-ACPSZL'!O:O)+SUMIF('Budget-ACPLSZ'!$A:$A,$A86,'Budget-ACPLSZ'!O:O)+SUMIF('Budget-ACPLGZ'!$A:$A,$A86,'Budget-ACPLGZ'!O:O)+SUMIF('Budget-Yixing'!$A:$A,$A86,'Budget-Yixing'!O:O)</f>
        <v>14556.3</v>
      </c>
      <c r="P86" s="676">
        <f ca="1">SUMIF('Budget-ACPL'!$A:$A,$A86,'Budget-ACPL'!P:P)+SUMIF('Budget-ACPLHK'!$A:$A,$A86,'Budget-ACPLHK'!P:P)+SUMIF('Budget-ACPSZL'!$A:$A,$A86,'Budget-ACPSZL'!P:P)+SUMIF('Budget-ACPLSZ'!$A:$A,$A86,'Budget-ACPLSZ'!P:P)+SUMIF('Budget-ACPLGZ'!$A:$A,$A86,'Budget-ACPLGZ'!P:P)+SUMIF('Budget-Yixing'!$A:$A,$A86,'Budget-Yixing'!P:P)</f>
        <v>14556.3</v>
      </c>
      <c r="Q86" s="676">
        <f ca="1">SUMIF('Budget-ACPL'!$A:$A,$A86,'Budget-ACPL'!Q:Q)+SUMIF('Budget-ACPLHK'!$A:$A,$A86,'Budget-ACPLHK'!Q:Q)+SUMIF('Budget-ACPSZL'!$A:$A,$A86,'Budget-ACPSZL'!Q:Q)+SUMIF('Budget-ACPLSZ'!$A:$A,$A86,'Budget-ACPLSZ'!Q:Q)+SUMIF('Budget-ACPLGZ'!$A:$A,$A86,'Budget-ACPLGZ'!Q:Q)+SUMIF('Budget-Yixing'!$A:$A,$A86,'Budget-Yixing'!Q:Q)</f>
        <v>14556.3</v>
      </c>
      <c r="R86" s="676">
        <f ca="1">SUMIF('Budget-ACPL'!$A:$A,$A86,'Budget-ACPL'!R:R)+SUMIF('Budget-ACPLHK'!$A:$A,$A86,'Budget-ACPLHK'!R:R)+SUMIF('Budget-ACPSZL'!$A:$A,$A86,'Budget-ACPSZL'!R:R)+SUMIF('Budget-ACPLSZ'!$A:$A,$A86,'Budget-ACPLSZ'!R:R)+SUMIF('Budget-ACPLGZ'!$A:$A,$A86,'Budget-ACPLGZ'!R:R)+SUMIF('Budget-Yixing'!$A:$A,$A86,'Budget-Yixing'!R:R)</f>
        <v>14556.3</v>
      </c>
      <c r="S86" s="676">
        <f ca="1">SUMIF('Budget-ACPL'!$A:$A,$A86,'Budget-ACPL'!S:S)+SUMIF('Budget-ACPLHK'!$A:$A,$A86,'Budget-ACPLHK'!S:S)+SUMIF('Budget-ACPSZL'!$A:$A,$A86,'Budget-ACPSZL'!S:S)+SUMIF('Budget-ACPLSZ'!$A:$A,$A86,'Budget-ACPLSZ'!S:S)+SUMIF('Budget-ACPLGZ'!$A:$A,$A86,'Budget-ACPLGZ'!S:S)+SUMIF('Budget-Yixing'!$A:$A,$A86,'Budget-Yixing'!S:S)</f>
        <v>14556.3</v>
      </c>
      <c r="T86" s="676">
        <f ca="1">SUMIF('Budget-ACPL'!$A:$A,$A86,'Budget-ACPL'!T:T)+SUMIF('Budget-ACPLHK'!$A:$A,$A86,'Budget-ACPLHK'!T:T)+SUMIF('Budget-ACPSZL'!$A:$A,$A86,'Budget-ACPSZL'!T:T)+SUMIF('Budget-ACPLSZ'!$A:$A,$A86,'Budget-ACPLSZ'!T:T)+SUMIF('Budget-ACPLGZ'!$A:$A,$A86,'Budget-ACPLGZ'!T:T)+SUMIF('Budget-Yixing'!$A:$A,$A86,'Budget-Yixing'!T:T)</f>
        <v>14556.3</v>
      </c>
      <c r="U86" s="676">
        <f ca="1">SUMIF('Budget-ACPL'!$A:$A,$A86,'Budget-ACPL'!U:U)+SUMIF('Budget-ACPLHK'!$A:$A,$A86,'Budget-ACPLHK'!U:U)+SUMIF('Budget-ACPSZL'!$A:$A,$A86,'Budget-ACPSZL'!U:U)+SUMIF('Budget-ACPLSZ'!$A:$A,$A86,'Budget-ACPLSZ'!U:U)+SUMIF('Budget-ACPLGZ'!$A:$A,$A86,'Budget-ACPLGZ'!U:U)+SUMIF('Budget-Yixing'!$A:$A,$A86,'Budget-Yixing'!U:U)</f>
        <v>14556.3</v>
      </c>
      <c r="V86" s="676">
        <f ca="1">SUMIF('Budget-ACPL'!$A:$A,$A86,'Budget-ACPL'!V:V)+SUMIF('Budget-ACPLHK'!$A:$A,$A86,'Budget-ACPLHK'!V:V)+SUMIF('Budget-ACPSZL'!$A:$A,$A86,'Budget-ACPSZL'!V:V)+SUMIF('Budget-ACPLSZ'!$A:$A,$A86,'Budget-ACPLSZ'!V:V)+SUMIF('Budget-ACPLGZ'!$A:$A,$A86,'Budget-ACPLGZ'!V:V)+SUMIF('Budget-Yixing'!$A:$A,$A86,'Budget-Yixing'!V:V)</f>
        <v>14556.3</v>
      </c>
      <c r="W86" s="676">
        <f t="shared" ca="1" si="35"/>
        <v>174804.13499999998</v>
      </c>
      <c r="Y86" s="688">
        <f ca="1">SUMIF('Budget-ACPL'!$A:$A,$A86,'Budget-ACPL'!Y:Y)+SUMIF('Budget-ACPLHK'!$A:$A,$A86,'Budget-ACPLHK'!Y:Y)+SUMIF('Budget-ACPSZL'!$A:$A,$A86,'Budget-ACPSZL'!Y:Y)+SUMIF('Budget-ACPLSZ'!$A:$A,$A86,'Budget-ACPLSZ'!Y:Y)+SUMIF('Budget-ACPLGZ'!$A:$A,$A86,'Budget-ACPLGZ'!Y:Y)+SUMIF('Budget-Yixing'!$A:$A,$A86,'Budget-Yixing'!Y:Y)</f>
        <v>0</v>
      </c>
      <c r="Z86" s="688">
        <f ca="1">SUMIF('Budget-ACPL'!$A:$A,$A86,'Budget-ACPL'!Z:Z)+SUMIF('Budget-ACPLHK'!$A:$A,$A86,'Budget-ACPLHK'!Z:Z)+SUMIF('Budget-ACPSZL'!$A:$A,$A86,'Budget-ACPSZL'!Z:Z)+SUMIF('Budget-ACPLSZ'!$A:$A,$A86,'Budget-ACPLSZ'!Z:Z)+SUMIF('Budget-ACPLGZ'!$A:$A,$A86,'Budget-ACPLGZ'!Z:Z)+SUMIF('Budget-Yixing'!$A:$A,$A86,'Budget-Yixing'!Z:Z)</f>
        <v>0</v>
      </c>
      <c r="AA86" s="688">
        <f ca="1">SUMIF('Budget-ACPL'!$A:$A,$A86,'Budget-ACPL'!AA:AA)+SUMIF('Budget-ACPLHK'!$A:$A,$A86,'Budget-ACPLHK'!AA:AA)+SUMIF('Budget-ACPSZL'!$A:$A,$A86,'Budget-ACPSZL'!AA:AA)+SUMIF('Budget-ACPLSZ'!$A:$A,$A86,'Budget-ACPLSZ'!AA:AA)+SUMIF('Budget-ACPLGZ'!$A:$A,$A86,'Budget-ACPLGZ'!AA:AA)+SUMIF('Budget-Yixing'!$A:$A,$A86,'Budget-Yixing'!AA:AA)</f>
        <v>0</v>
      </c>
      <c r="AB86" s="688">
        <f ca="1">SUMIF('Budget-ACPL'!$A:$A,$A86,'Budget-ACPL'!AB:AB)+SUMIF('Budget-ACPLHK'!$A:$A,$A86,'Budget-ACPLHK'!AB:AB)+SUMIF('Budget-ACPSZL'!$A:$A,$A86,'Budget-ACPSZL'!AB:AB)+SUMIF('Budget-ACPLSZ'!$A:$A,$A86,'Budget-ACPLSZ'!AB:AB)+SUMIF('Budget-ACPLGZ'!$A:$A,$A86,'Budget-ACPLGZ'!AB:AB)+SUMIF('Budget-Yixing'!$A:$A,$A86,'Budget-Yixing'!AB:AB)</f>
        <v>0</v>
      </c>
      <c r="AC86" s="688">
        <f ca="1">SUMIF('Budget-ACPL'!$A:$A,$A86,'Budget-ACPL'!AC:AC)+SUMIF('Budget-ACPLHK'!$A:$A,$A86,'Budget-ACPLHK'!AC:AC)+SUMIF('Budget-ACPSZL'!$A:$A,$A86,'Budget-ACPSZL'!AC:AC)+SUMIF('Budget-ACPLSZ'!$A:$A,$A86,'Budget-ACPLSZ'!AC:AC)+SUMIF('Budget-ACPLGZ'!$A:$A,$A86,'Budget-ACPLGZ'!AC:AC)+SUMIF('Budget-Yixing'!$A:$A,$A86,'Budget-Yixing'!AC:AC)</f>
        <v>37232.870000000003</v>
      </c>
      <c r="AD86" s="688">
        <f ca="1">SUMIF('Budget-ACPL'!$A:$A,$A86,'Budget-ACPL'!AD:AD)+SUMIF('Budget-ACPLHK'!$A:$A,$A86,'Budget-ACPLHK'!AD:AD)+SUMIF('Budget-ACPSZL'!$A:$A,$A86,'Budget-ACPSZL'!AD:AD)+SUMIF('Budget-ACPLSZ'!$A:$A,$A86,'Budget-ACPLSZ'!AD:AD)+SUMIF('Budget-ACPLGZ'!$A:$A,$A86,'Budget-ACPLGZ'!AD:AD)+SUMIF('Budget-Yixing'!$A:$A,$A86,'Budget-Yixing'!AD:AD)</f>
        <v>7397.26</v>
      </c>
      <c r="AE86" s="688">
        <f ca="1">SUMIF('Budget-ACPL'!$A:$A,$A86,'Budget-ACPL'!AE:AE)+SUMIF('Budget-ACPLHK'!$A:$A,$A86,'Budget-ACPLHK'!AE:AE)+SUMIF('Budget-ACPSZL'!$A:$A,$A86,'Budget-ACPSZL'!AE:AE)+SUMIF('Budget-ACPLSZ'!$A:$A,$A86,'Budget-ACPLSZ'!AE:AE)+SUMIF('Budget-ACPLGZ'!$A:$A,$A86,'Budget-ACPLGZ'!AE:AE)+SUMIF('Budget-Yixing'!$A:$A,$A86,'Budget-Yixing'!AE:AE)</f>
        <v>7643.85</v>
      </c>
      <c r="AF86" s="688">
        <f ca="1">SUMIF('Budget-ACPL'!$A:$A,$A86,'Budget-ACPL'!AF:AF)+SUMIF('Budget-ACPLHK'!$A:$A,$A86,'Budget-ACPLHK'!AF:AF)+SUMIF('Budget-ACPSZL'!$A:$A,$A86,'Budget-ACPSZL'!AF:AF)+SUMIF('Budget-ACPLSZ'!$A:$A,$A86,'Budget-ACPLSZ'!AF:AF)+SUMIF('Budget-ACPLGZ'!$A:$A,$A86,'Budget-ACPLGZ'!AF:AF)+SUMIF('Budget-Yixing'!$A:$A,$A86,'Budget-Yixing'!AF:AF)</f>
        <v>67561.64</v>
      </c>
      <c r="AG86" s="688">
        <f ca="1">SUMIF('Budget-ACPL'!$A:$A,$A86,'Budget-ACPL'!AG:AG)+SUMIF('Budget-ACPLHK'!$A:$A,$A86,'Budget-ACPLHK'!AG:AG)+SUMIF('Budget-ACPSZL'!$A:$A,$A86,'Budget-ACPSZL'!AG:AG)+SUMIF('Budget-ACPLSZ'!$A:$A,$A86,'Budget-ACPLSZ'!AG:AG)+SUMIF('Budget-ACPLGZ'!$A:$A,$A86,'Budget-ACPLGZ'!AG:AG)+SUMIF('Budget-Yixing'!$A:$A,$A86,'Budget-Yixing'!AG:AG)</f>
        <v>14794.52</v>
      </c>
      <c r="AH86" s="688">
        <f ca="1">SUMIF('Budget-ACPL'!$A:$A,$A86,'Budget-ACPL'!AH:AH)+SUMIF('Budget-ACPLHK'!$A:$A,$A86,'Budget-ACPLHK'!AH:AH)+SUMIF('Budget-ACPSZL'!$A:$A,$A86,'Budget-ACPSZL'!AH:AH)+SUMIF('Budget-ACPLSZ'!$A:$A,$A86,'Budget-ACPLSZ'!AH:AH)+SUMIF('Budget-ACPLGZ'!$A:$A,$A86,'Budget-ACPLGZ'!AH:AH)+SUMIF('Budget-Yixing'!$A:$A,$A86,'Budget-Yixing'!AH:AH)</f>
        <v>15326.24</v>
      </c>
      <c r="AI86" s="688">
        <f ca="1">SUMIF('Budget-ACPL'!$A:$A,$A86,'Budget-ACPL'!AI:AI)+SUMIF('Budget-ACPLHK'!$A:$A,$A86,'Budget-ACPLHK'!AI:AI)+SUMIF('Budget-ACPSZL'!$A:$A,$A86,'Budget-ACPSZL'!AI:AI)+SUMIF('Budget-ACPLSZ'!$A:$A,$A86,'Budget-ACPLSZ'!AI:AI)+SUMIF('Budget-ACPLGZ'!$A:$A,$A86,'Budget-ACPLGZ'!AI:AI)+SUMIF('Budget-Yixing'!$A:$A,$A86,'Budget-Yixing'!AI:AI)</f>
        <v>14820.810000000001</v>
      </c>
      <c r="AJ86" s="688">
        <f ca="1">SUMIF('Budget-ACPL'!$A:$A,$A86,'Budget-ACPL'!AJ:AJ)+SUMIF('Budget-ACPLHK'!$A:$A,$A86,'Budget-ACPLHK'!AJ:AJ)+SUMIF('Budget-ACPSZL'!$A:$A,$A86,'Budget-ACPSZL'!AJ:AJ)+SUMIF('Budget-ACPLSZ'!$A:$A,$A86,'Budget-ACPLSZ'!AJ:AJ)+SUMIF('Budget-ACPLGZ'!$A:$A,$A86,'Budget-ACPLGZ'!AJ:AJ)+SUMIF('Budget-Yixing'!$A:$A,$A86,'Budget-Yixing'!AJ:AJ)</f>
        <v>117814.82</v>
      </c>
      <c r="AK86" s="688">
        <f t="shared" ca="1" si="33"/>
        <v>282592.01</v>
      </c>
    </row>
    <row r="87" spans="1:37" ht="11.1" customHeight="1">
      <c r="A87" s="713" t="s">
        <v>1667</v>
      </c>
      <c r="B87" s="687" t="str">
        <f>VLOOKUP(A87,Account!A:B,2,0)</f>
        <v>软件许可证费用</v>
      </c>
      <c r="C87" s="687" t="str">
        <f>VLOOKUP(A87,Account!A:F,4,0)</f>
        <v xml:space="preserve">Software Licence Fee Exp </v>
      </c>
      <c r="D87" s="676">
        <f t="shared" ca="1" si="27"/>
        <v>24066.812916666666</v>
      </c>
      <c r="E87" s="676" t="e">
        <f t="shared" si="28"/>
        <v>#N/A</v>
      </c>
      <c r="F87" s="676" t="e">
        <f t="shared" ca="1" si="24"/>
        <v>#N/A</v>
      </c>
      <c r="G87" s="676">
        <f t="shared" ca="1" si="29"/>
        <v>24066.812916666666</v>
      </c>
      <c r="H87" s="676" t="e">
        <f t="shared" ca="1" si="30"/>
        <v>#N/A</v>
      </c>
      <c r="I87" s="676" t="e">
        <f t="shared" ca="1" si="31"/>
        <v>#N/A</v>
      </c>
      <c r="K87" s="676">
        <f ca="1">SUMIF('Budget-ACPL'!$A:$A,$A87,'Budget-ACPL'!K:K)+SUMIF('Budget-ACPLHK'!$A:$A,$A87,'Budget-ACPLHK'!K:K)+SUMIF('Budget-ACPSZL'!$A:$A,$A87,'Budget-ACPSZL'!K:K)+SUMIF('Budget-ACPLSZ'!$A:$A,$A87,'Budget-ACPLSZ'!K:K)+SUMIF('Budget-ACPLGZ'!$A:$A,$A87,'Budget-ACPLGZ'!K:K)+SUMIF('Budget-Yixing'!$A:$A,$A87,'Budget-Yixing'!K:K)</f>
        <v>24066.812916666666</v>
      </c>
      <c r="L87" s="676">
        <f ca="1">SUMIF('Budget-ACPL'!$A:$A,$A87,'Budget-ACPL'!L:L)+SUMIF('Budget-ACPLHK'!$A:$A,$A87,'Budget-ACPLHK'!L:L)+SUMIF('Budget-ACPSZL'!$A:$A,$A87,'Budget-ACPSZL'!L:L)+SUMIF('Budget-ACPLSZ'!$A:$A,$A87,'Budget-ACPLSZ'!L:L)+SUMIF('Budget-ACPLGZ'!$A:$A,$A87,'Budget-ACPLGZ'!L:L)+SUMIF('Budget-Yixing'!$A:$A,$A87,'Budget-Yixing'!L:L)</f>
        <v>23856.158333333333</v>
      </c>
      <c r="M87" s="676">
        <f ca="1">SUMIF('Budget-ACPL'!$A:$A,$A87,'Budget-ACPL'!M:M)+SUMIF('Budget-ACPLHK'!$A:$A,$A87,'Budget-ACPLHK'!M:M)+SUMIF('Budget-ACPSZL'!$A:$A,$A87,'Budget-ACPSZL'!M:M)+SUMIF('Budget-ACPLSZ'!$A:$A,$A87,'Budget-ACPLSZ'!M:M)+SUMIF('Budget-ACPLGZ'!$A:$A,$A87,'Budget-ACPLGZ'!M:M)+SUMIF('Budget-Yixing'!$A:$A,$A87,'Budget-Yixing'!M:M)</f>
        <v>23856.158333333333</v>
      </c>
      <c r="N87" s="676">
        <f ca="1">SUMIF('Budget-ACPL'!$A:$A,$A87,'Budget-ACPL'!N:N)+SUMIF('Budget-ACPLHK'!$A:$A,$A87,'Budget-ACPLHK'!N:N)+SUMIF('Budget-ACPSZL'!$A:$A,$A87,'Budget-ACPSZL'!N:N)+SUMIF('Budget-ACPLSZ'!$A:$A,$A87,'Budget-ACPLSZ'!N:N)+SUMIF('Budget-ACPLGZ'!$A:$A,$A87,'Budget-ACPLGZ'!N:N)+SUMIF('Budget-Yixing'!$A:$A,$A87,'Budget-Yixing'!N:N)</f>
        <v>23856.158333333333</v>
      </c>
      <c r="O87" s="676">
        <f ca="1">SUMIF('Budget-ACPL'!$A:$A,$A87,'Budget-ACPL'!O:O)+SUMIF('Budget-ACPLHK'!$A:$A,$A87,'Budget-ACPLHK'!O:O)+SUMIF('Budget-ACPSZL'!$A:$A,$A87,'Budget-ACPSZL'!O:O)+SUMIF('Budget-ACPLSZ'!$A:$A,$A87,'Budget-ACPLSZ'!O:O)+SUMIF('Budget-ACPLGZ'!$A:$A,$A87,'Budget-ACPLGZ'!O:O)+SUMIF('Budget-Yixing'!$A:$A,$A87,'Budget-Yixing'!O:O)</f>
        <v>23856.158333333333</v>
      </c>
      <c r="P87" s="676">
        <f ca="1">SUMIF('Budget-ACPL'!$A:$A,$A87,'Budget-ACPL'!P:P)+SUMIF('Budget-ACPLHK'!$A:$A,$A87,'Budget-ACPLHK'!P:P)+SUMIF('Budget-ACPSZL'!$A:$A,$A87,'Budget-ACPSZL'!P:P)+SUMIF('Budget-ACPLSZ'!$A:$A,$A87,'Budget-ACPLSZ'!P:P)+SUMIF('Budget-ACPLGZ'!$A:$A,$A87,'Budget-ACPLGZ'!P:P)+SUMIF('Budget-Yixing'!$A:$A,$A87,'Budget-Yixing'!P:P)</f>
        <v>23856.158333333333</v>
      </c>
      <c r="Q87" s="676">
        <f ca="1">SUMIF('Budget-ACPL'!$A:$A,$A87,'Budget-ACPL'!Q:Q)+SUMIF('Budget-ACPLHK'!$A:$A,$A87,'Budget-ACPLHK'!Q:Q)+SUMIF('Budget-ACPSZL'!$A:$A,$A87,'Budget-ACPSZL'!Q:Q)+SUMIF('Budget-ACPLSZ'!$A:$A,$A87,'Budget-ACPLSZ'!Q:Q)+SUMIF('Budget-ACPLGZ'!$A:$A,$A87,'Budget-ACPLGZ'!Q:Q)+SUMIF('Budget-Yixing'!$A:$A,$A87,'Budget-Yixing'!Q:Q)</f>
        <v>23856.158333333333</v>
      </c>
      <c r="R87" s="676">
        <f ca="1">SUMIF('Budget-ACPL'!$A:$A,$A87,'Budget-ACPL'!R:R)+SUMIF('Budget-ACPLHK'!$A:$A,$A87,'Budget-ACPLHK'!R:R)+SUMIF('Budget-ACPSZL'!$A:$A,$A87,'Budget-ACPSZL'!R:R)+SUMIF('Budget-ACPLSZ'!$A:$A,$A87,'Budget-ACPLSZ'!R:R)+SUMIF('Budget-ACPLGZ'!$A:$A,$A87,'Budget-ACPLGZ'!R:R)+SUMIF('Budget-Yixing'!$A:$A,$A87,'Budget-Yixing'!R:R)</f>
        <v>23856.158333333333</v>
      </c>
      <c r="S87" s="676">
        <f ca="1">SUMIF('Budget-ACPL'!$A:$A,$A87,'Budget-ACPL'!S:S)+SUMIF('Budget-ACPLHK'!$A:$A,$A87,'Budget-ACPLHK'!S:S)+SUMIF('Budget-ACPSZL'!$A:$A,$A87,'Budget-ACPSZL'!S:S)+SUMIF('Budget-ACPLSZ'!$A:$A,$A87,'Budget-ACPLSZ'!S:S)+SUMIF('Budget-ACPLGZ'!$A:$A,$A87,'Budget-ACPLGZ'!S:S)+SUMIF('Budget-Yixing'!$A:$A,$A87,'Budget-Yixing'!S:S)</f>
        <v>23856.158333333333</v>
      </c>
      <c r="T87" s="676">
        <f ca="1">SUMIF('Budget-ACPL'!$A:$A,$A87,'Budget-ACPL'!T:T)+SUMIF('Budget-ACPLHK'!$A:$A,$A87,'Budget-ACPLHK'!T:T)+SUMIF('Budget-ACPSZL'!$A:$A,$A87,'Budget-ACPSZL'!T:T)+SUMIF('Budget-ACPLSZ'!$A:$A,$A87,'Budget-ACPLSZ'!T:T)+SUMIF('Budget-ACPLGZ'!$A:$A,$A87,'Budget-ACPLGZ'!T:T)+SUMIF('Budget-Yixing'!$A:$A,$A87,'Budget-Yixing'!T:T)</f>
        <v>23856.158333333333</v>
      </c>
      <c r="U87" s="676">
        <f ca="1">SUMIF('Budget-ACPL'!$A:$A,$A87,'Budget-ACPL'!U:U)+SUMIF('Budget-ACPLHK'!$A:$A,$A87,'Budget-ACPLHK'!U:U)+SUMIF('Budget-ACPSZL'!$A:$A,$A87,'Budget-ACPSZL'!U:U)+SUMIF('Budget-ACPLSZ'!$A:$A,$A87,'Budget-ACPLSZ'!U:U)+SUMIF('Budget-ACPLGZ'!$A:$A,$A87,'Budget-ACPLGZ'!U:U)+SUMIF('Budget-Yixing'!$A:$A,$A87,'Budget-Yixing'!U:U)</f>
        <v>23856.158333333333</v>
      </c>
      <c r="V87" s="676">
        <f ca="1">SUMIF('Budget-ACPL'!$A:$A,$A87,'Budget-ACPL'!V:V)+SUMIF('Budget-ACPLHK'!$A:$A,$A87,'Budget-ACPLHK'!V:V)+SUMIF('Budget-ACPSZL'!$A:$A,$A87,'Budget-ACPSZL'!V:V)+SUMIF('Budget-ACPLSZ'!$A:$A,$A87,'Budget-ACPLSZ'!V:V)+SUMIF('Budget-ACPLGZ'!$A:$A,$A87,'Budget-ACPLGZ'!V:V)+SUMIF('Budget-Yixing'!$A:$A,$A87,'Budget-Yixing'!V:V)</f>
        <v>23856.158333333333</v>
      </c>
      <c r="W87" s="676">
        <f t="shared" ca="1" si="35"/>
        <v>286484.55458333326</v>
      </c>
      <c r="Y87" s="688">
        <f ca="1">SUMIF('Budget-ACPL'!$A:$A,$A87,'Budget-ACPL'!Y:Y)+SUMIF('Budget-ACPLHK'!$A:$A,$A87,'Budget-ACPLHK'!Y:Y)+SUMIF('Budget-ACPSZL'!$A:$A,$A87,'Budget-ACPSZL'!Y:Y)+SUMIF('Budget-ACPLSZ'!$A:$A,$A87,'Budget-ACPLSZ'!Y:Y)+SUMIF('Budget-ACPLGZ'!$A:$A,$A87,'Budget-ACPLGZ'!Y:Y)+SUMIF('Budget-Yixing'!$A:$A,$A87,'Budget-Yixing'!Y:Y)</f>
        <v>10386.91</v>
      </c>
      <c r="Z87" s="688">
        <f ca="1">SUMIF('Budget-ACPL'!$A:$A,$A87,'Budget-ACPL'!Z:Z)+SUMIF('Budget-ACPLHK'!$A:$A,$A87,'Budget-ACPLHK'!Z:Z)+SUMIF('Budget-ACPSZL'!$A:$A,$A87,'Budget-ACPSZL'!Z:Z)+SUMIF('Budget-ACPLSZ'!$A:$A,$A87,'Budget-ACPLSZ'!Z:Z)+SUMIF('Budget-ACPLGZ'!$A:$A,$A87,'Budget-ACPLGZ'!Z:Z)+SUMIF('Budget-Yixing'!$A:$A,$A87,'Budget-Yixing'!Z:Z)</f>
        <v>2792.18</v>
      </c>
      <c r="AA87" s="688">
        <f ca="1">SUMIF('Budget-ACPL'!$A:$A,$A87,'Budget-ACPL'!AA:AA)+SUMIF('Budget-ACPLHK'!$A:$A,$A87,'Budget-ACPLHK'!AA:AA)+SUMIF('Budget-ACPSZL'!$A:$A,$A87,'Budget-ACPSZL'!AA:AA)+SUMIF('Budget-ACPLSZ'!$A:$A,$A87,'Budget-ACPLSZ'!AA:AA)+SUMIF('Budget-ACPLGZ'!$A:$A,$A87,'Budget-ACPLGZ'!AA:AA)+SUMIF('Budget-Yixing'!$A:$A,$A87,'Budget-Yixing'!AA:AA)</f>
        <v>934.67</v>
      </c>
      <c r="AB87" s="688">
        <f ca="1">SUMIF('Budget-ACPL'!$A:$A,$A87,'Budget-ACPL'!AB:AB)+SUMIF('Budget-ACPLHK'!$A:$A,$A87,'Budget-ACPLHK'!AB:AB)+SUMIF('Budget-ACPSZL'!$A:$A,$A87,'Budget-ACPSZL'!AB:AB)+SUMIF('Budget-ACPLSZ'!$A:$A,$A87,'Budget-ACPLSZ'!AB:AB)+SUMIF('Budget-ACPLGZ'!$A:$A,$A87,'Budget-ACPLGZ'!AB:AB)+SUMIF('Budget-Yixing'!$A:$A,$A87,'Budget-Yixing'!AB:AB)</f>
        <v>907.04</v>
      </c>
      <c r="AC87" s="688">
        <f ca="1">SUMIF('Budget-ACPL'!$A:$A,$A87,'Budget-ACPL'!AC:AC)+SUMIF('Budget-ACPLHK'!$A:$A,$A87,'Budget-ACPLHK'!AC:AC)+SUMIF('Budget-ACPSZL'!$A:$A,$A87,'Budget-ACPSZL'!AC:AC)+SUMIF('Budget-ACPLSZ'!$A:$A,$A87,'Budget-ACPLSZ'!AC:AC)+SUMIF('Budget-ACPLGZ'!$A:$A,$A87,'Budget-ACPLGZ'!AC:AC)+SUMIF('Budget-Yixing'!$A:$A,$A87,'Budget-Yixing'!AC:AC)</f>
        <v>44600.3</v>
      </c>
      <c r="AD87" s="688">
        <f ca="1">SUMIF('Budget-ACPL'!$A:$A,$A87,'Budget-ACPL'!AD:AD)+SUMIF('Budget-ACPLHK'!$A:$A,$A87,'Budget-ACPLHK'!AD:AD)+SUMIF('Budget-ACPSZL'!$A:$A,$A87,'Budget-ACPSZL'!AD:AD)+SUMIF('Budget-ACPLSZ'!$A:$A,$A87,'Budget-ACPLSZ'!AD:AD)+SUMIF('Budget-ACPLGZ'!$A:$A,$A87,'Budget-ACPLGZ'!AD:AD)+SUMIF('Budget-Yixing'!$A:$A,$A87,'Budget-Yixing'!AD:AD)</f>
        <v>11915.2</v>
      </c>
      <c r="AE87" s="688">
        <f ca="1">SUMIF('Budget-ACPL'!$A:$A,$A87,'Budget-ACPL'!AE:AE)+SUMIF('Budget-ACPLHK'!$A:$A,$A87,'Budget-ACPLHK'!AE:AE)+SUMIF('Budget-ACPSZL'!$A:$A,$A87,'Budget-ACPSZL'!AE:AE)+SUMIF('Budget-ACPLSZ'!$A:$A,$A87,'Budget-ACPLSZ'!AE:AE)+SUMIF('Budget-ACPLGZ'!$A:$A,$A87,'Budget-ACPLGZ'!AE:AE)+SUMIF('Budget-Yixing'!$A:$A,$A87,'Budget-Yixing'!AE:AE)</f>
        <v>13178.74</v>
      </c>
      <c r="AF87" s="688">
        <f ca="1">SUMIF('Budget-ACPL'!$A:$A,$A87,'Budget-ACPL'!AF:AF)+SUMIF('Budget-ACPLHK'!$A:$A,$A87,'Budget-ACPLHK'!AF:AF)+SUMIF('Budget-ACPSZL'!$A:$A,$A87,'Budget-ACPSZL'!AF:AF)+SUMIF('Budget-ACPLSZ'!$A:$A,$A87,'Budget-ACPLSZ'!AF:AF)+SUMIF('Budget-ACPLGZ'!$A:$A,$A87,'Budget-ACPLGZ'!AF:AF)+SUMIF('Budget-Yixing'!$A:$A,$A87,'Budget-Yixing'!AF:AF)</f>
        <v>12309.76</v>
      </c>
      <c r="AG87" s="688">
        <f ca="1">SUMIF('Budget-ACPL'!$A:$A,$A87,'Budget-ACPL'!AG:AG)+SUMIF('Budget-ACPLHK'!$A:$A,$A87,'Budget-ACPLHK'!AG:AG)+SUMIF('Budget-ACPSZL'!$A:$A,$A87,'Budget-ACPSZL'!AG:AG)+SUMIF('Budget-ACPLSZ'!$A:$A,$A87,'Budget-ACPLSZ'!AG:AG)+SUMIF('Budget-ACPLGZ'!$A:$A,$A87,'Budget-ACPLGZ'!AG:AG)+SUMIF('Budget-Yixing'!$A:$A,$A87,'Budget-Yixing'!AG:AG)</f>
        <v>15326.349999999999</v>
      </c>
      <c r="AH87" s="688">
        <f ca="1">SUMIF('Budget-ACPL'!$A:$A,$A87,'Budget-ACPL'!AH:AH)+SUMIF('Budget-ACPLHK'!$A:$A,$A87,'Budget-ACPLHK'!AH:AH)+SUMIF('Budget-ACPSZL'!$A:$A,$A87,'Budget-ACPSZL'!AH:AH)+SUMIF('Budget-ACPLSZ'!$A:$A,$A87,'Budget-ACPLSZ'!AH:AH)+SUMIF('Budget-ACPLGZ'!$A:$A,$A87,'Budget-ACPLGZ'!AH:AH)+SUMIF('Budget-Yixing'!$A:$A,$A87,'Budget-Yixing'!AH:AH)</f>
        <v>13274.269999999999</v>
      </c>
      <c r="AI87" s="688">
        <f ca="1">SUMIF('Budget-ACPL'!$A:$A,$A87,'Budget-ACPL'!AI:AI)+SUMIF('Budget-ACPLHK'!$A:$A,$A87,'Budget-ACPLHK'!AI:AI)+SUMIF('Budget-ACPSZL'!$A:$A,$A87,'Budget-ACPSZL'!AI:AI)+SUMIF('Budget-ACPLSZ'!$A:$A,$A87,'Budget-ACPLSZ'!AI:AI)+SUMIF('Budget-ACPLGZ'!$A:$A,$A87,'Budget-ACPLGZ'!AI:AI)+SUMIF('Budget-Yixing'!$A:$A,$A87,'Budget-Yixing'!AI:AI)</f>
        <v>12668.58</v>
      </c>
      <c r="AJ87" s="688">
        <f ca="1">SUMIF('Budget-ACPL'!$A:$A,$A87,'Budget-ACPL'!AJ:AJ)+SUMIF('Budget-ACPLHK'!$A:$A,$A87,'Budget-ACPLHK'!AJ:AJ)+SUMIF('Budget-ACPSZL'!$A:$A,$A87,'Budget-ACPSZL'!AJ:AJ)+SUMIF('Budget-ACPLSZ'!$A:$A,$A87,'Budget-ACPLSZ'!AJ:AJ)+SUMIF('Budget-ACPLGZ'!$A:$A,$A87,'Budget-ACPLGZ'!AJ:AJ)+SUMIF('Budget-Yixing'!$A:$A,$A87,'Budget-Yixing'!AJ:AJ)</f>
        <v>13036.34</v>
      </c>
      <c r="AK87" s="688">
        <f t="shared" ca="1" si="33"/>
        <v>151330.34</v>
      </c>
    </row>
    <row r="88" spans="1:37" ht="11.1" customHeight="1">
      <c r="A88" s="713" t="s">
        <v>1672</v>
      </c>
      <c r="B88" s="687" t="str">
        <f>VLOOKUP(A88,Account!A:B,2,0)</f>
        <v>软件使用费</v>
      </c>
      <c r="C88" s="687">
        <f>VLOOKUP(A88,Account!A:F,4,0)</f>
        <v>0</v>
      </c>
      <c r="D88" s="676">
        <f t="shared" ca="1" si="27"/>
        <v>0</v>
      </c>
      <c r="E88" s="676" t="e">
        <f t="shared" si="28"/>
        <v>#N/A</v>
      </c>
      <c r="F88" s="676" t="e">
        <f t="shared" ca="1" si="24"/>
        <v>#N/A</v>
      </c>
      <c r="G88" s="676">
        <f t="shared" ca="1" si="29"/>
        <v>0</v>
      </c>
      <c r="H88" s="676" t="e">
        <f t="shared" ca="1" si="30"/>
        <v>#N/A</v>
      </c>
      <c r="I88" s="676" t="e">
        <f t="shared" ca="1" si="31"/>
        <v>#N/A</v>
      </c>
      <c r="K88" s="676">
        <f ca="1">SUMIF('Budget-ACPL'!$A:$A,$A88,'Budget-ACPL'!K:K)+SUMIF('Budget-ACPLHK'!$A:$A,$A88,'Budget-ACPLHK'!K:K)+SUMIF('Budget-ACPSZL'!$A:$A,$A88,'Budget-ACPSZL'!K:K)+SUMIF('Budget-ACPLSZ'!$A:$A,$A88,'Budget-ACPLSZ'!K:K)+SUMIF('Budget-ACPLGZ'!$A:$A,$A88,'Budget-ACPLGZ'!K:K)+SUMIF('Budget-Yixing'!$A:$A,$A88,'Budget-Yixing'!K:K)</f>
        <v>0</v>
      </c>
      <c r="L88" s="676">
        <f ca="1">SUMIF('Budget-ACPL'!$A:$A,$A88,'Budget-ACPL'!L:L)+SUMIF('Budget-ACPLHK'!$A:$A,$A88,'Budget-ACPLHK'!L:L)+SUMIF('Budget-ACPSZL'!$A:$A,$A88,'Budget-ACPSZL'!L:L)+SUMIF('Budget-ACPLSZ'!$A:$A,$A88,'Budget-ACPLSZ'!L:L)+SUMIF('Budget-ACPLGZ'!$A:$A,$A88,'Budget-ACPLGZ'!L:L)+SUMIF('Budget-Yixing'!$A:$A,$A88,'Budget-Yixing'!L:L)</f>
        <v>0</v>
      </c>
      <c r="M88" s="676">
        <f ca="1">SUMIF('Budget-ACPL'!$A:$A,$A88,'Budget-ACPL'!M:M)+SUMIF('Budget-ACPLHK'!$A:$A,$A88,'Budget-ACPLHK'!M:M)+SUMIF('Budget-ACPSZL'!$A:$A,$A88,'Budget-ACPSZL'!M:M)+SUMIF('Budget-ACPLSZ'!$A:$A,$A88,'Budget-ACPLSZ'!M:M)+SUMIF('Budget-ACPLGZ'!$A:$A,$A88,'Budget-ACPLGZ'!M:M)+SUMIF('Budget-Yixing'!$A:$A,$A88,'Budget-Yixing'!M:M)</f>
        <v>31794</v>
      </c>
      <c r="N88" s="676">
        <f ca="1">SUMIF('Budget-ACPL'!$A:$A,$A88,'Budget-ACPL'!N:N)+SUMIF('Budget-ACPLHK'!$A:$A,$A88,'Budget-ACPLHK'!N:N)+SUMIF('Budget-ACPSZL'!$A:$A,$A88,'Budget-ACPSZL'!N:N)+SUMIF('Budget-ACPLSZ'!$A:$A,$A88,'Budget-ACPLSZ'!N:N)+SUMIF('Budget-ACPLGZ'!$A:$A,$A88,'Budget-ACPLGZ'!N:N)+SUMIF('Budget-Yixing'!$A:$A,$A88,'Budget-Yixing'!N:N)</f>
        <v>0</v>
      </c>
      <c r="O88" s="676">
        <f ca="1">SUMIF('Budget-ACPL'!$A:$A,$A88,'Budget-ACPL'!O:O)+SUMIF('Budget-ACPLHK'!$A:$A,$A88,'Budget-ACPLHK'!O:O)+SUMIF('Budget-ACPSZL'!$A:$A,$A88,'Budget-ACPSZL'!O:O)+SUMIF('Budget-ACPLSZ'!$A:$A,$A88,'Budget-ACPLSZ'!O:O)+SUMIF('Budget-ACPLGZ'!$A:$A,$A88,'Budget-ACPLGZ'!O:O)+SUMIF('Budget-Yixing'!$A:$A,$A88,'Budget-Yixing'!O:O)</f>
        <v>0</v>
      </c>
      <c r="P88" s="676">
        <f ca="1">SUMIF('Budget-ACPL'!$A:$A,$A88,'Budget-ACPL'!P:P)+SUMIF('Budget-ACPLHK'!$A:$A,$A88,'Budget-ACPLHK'!P:P)+SUMIF('Budget-ACPSZL'!$A:$A,$A88,'Budget-ACPSZL'!P:P)+SUMIF('Budget-ACPLSZ'!$A:$A,$A88,'Budget-ACPLSZ'!P:P)+SUMIF('Budget-ACPLGZ'!$A:$A,$A88,'Budget-ACPLGZ'!P:P)+SUMIF('Budget-Yixing'!$A:$A,$A88,'Budget-Yixing'!P:P)</f>
        <v>0</v>
      </c>
      <c r="Q88" s="676">
        <f ca="1">SUMIF('Budget-ACPL'!$A:$A,$A88,'Budget-ACPL'!Q:Q)+SUMIF('Budget-ACPLHK'!$A:$A,$A88,'Budget-ACPLHK'!Q:Q)+SUMIF('Budget-ACPSZL'!$A:$A,$A88,'Budget-ACPSZL'!Q:Q)+SUMIF('Budget-ACPLSZ'!$A:$A,$A88,'Budget-ACPLSZ'!Q:Q)+SUMIF('Budget-ACPLGZ'!$A:$A,$A88,'Budget-ACPLGZ'!Q:Q)+SUMIF('Budget-Yixing'!$A:$A,$A88,'Budget-Yixing'!Q:Q)</f>
        <v>0</v>
      </c>
      <c r="R88" s="676">
        <f ca="1">SUMIF('Budget-ACPL'!$A:$A,$A88,'Budget-ACPL'!R:R)+SUMIF('Budget-ACPLHK'!$A:$A,$A88,'Budget-ACPLHK'!R:R)+SUMIF('Budget-ACPSZL'!$A:$A,$A88,'Budget-ACPSZL'!R:R)+SUMIF('Budget-ACPLSZ'!$A:$A,$A88,'Budget-ACPLSZ'!R:R)+SUMIF('Budget-ACPLGZ'!$A:$A,$A88,'Budget-ACPLGZ'!R:R)+SUMIF('Budget-Yixing'!$A:$A,$A88,'Budget-Yixing'!R:R)</f>
        <v>0</v>
      </c>
      <c r="S88" s="676">
        <f ca="1">SUMIF('Budget-ACPL'!$A:$A,$A88,'Budget-ACPL'!S:S)+SUMIF('Budget-ACPLHK'!$A:$A,$A88,'Budget-ACPLHK'!S:S)+SUMIF('Budget-ACPSZL'!$A:$A,$A88,'Budget-ACPSZL'!S:S)+SUMIF('Budget-ACPLSZ'!$A:$A,$A88,'Budget-ACPLSZ'!S:S)+SUMIF('Budget-ACPLGZ'!$A:$A,$A88,'Budget-ACPLGZ'!S:S)+SUMIF('Budget-Yixing'!$A:$A,$A88,'Budget-Yixing'!S:S)</f>
        <v>0</v>
      </c>
      <c r="T88" s="676">
        <f ca="1">SUMIF('Budget-ACPL'!$A:$A,$A88,'Budget-ACPL'!T:T)+SUMIF('Budget-ACPLHK'!$A:$A,$A88,'Budget-ACPLHK'!T:T)+SUMIF('Budget-ACPSZL'!$A:$A,$A88,'Budget-ACPSZL'!T:T)+SUMIF('Budget-ACPLSZ'!$A:$A,$A88,'Budget-ACPLSZ'!T:T)+SUMIF('Budget-ACPLGZ'!$A:$A,$A88,'Budget-ACPLGZ'!T:T)+SUMIF('Budget-Yixing'!$A:$A,$A88,'Budget-Yixing'!T:T)</f>
        <v>0</v>
      </c>
      <c r="U88" s="676">
        <f ca="1">SUMIF('Budget-ACPL'!$A:$A,$A88,'Budget-ACPL'!U:U)+SUMIF('Budget-ACPLHK'!$A:$A,$A88,'Budget-ACPLHK'!U:U)+SUMIF('Budget-ACPSZL'!$A:$A,$A88,'Budget-ACPSZL'!U:U)+SUMIF('Budget-ACPLSZ'!$A:$A,$A88,'Budget-ACPLSZ'!U:U)+SUMIF('Budget-ACPLGZ'!$A:$A,$A88,'Budget-ACPLGZ'!U:U)+SUMIF('Budget-Yixing'!$A:$A,$A88,'Budget-Yixing'!U:U)</f>
        <v>0</v>
      </c>
      <c r="V88" s="676">
        <f ca="1">SUMIF('Budget-ACPL'!$A:$A,$A88,'Budget-ACPL'!V:V)+SUMIF('Budget-ACPLHK'!$A:$A,$A88,'Budget-ACPLHK'!V:V)+SUMIF('Budget-ACPSZL'!$A:$A,$A88,'Budget-ACPSZL'!V:V)+SUMIF('Budget-ACPLSZ'!$A:$A,$A88,'Budget-ACPLSZ'!V:V)+SUMIF('Budget-ACPLGZ'!$A:$A,$A88,'Budget-ACPLGZ'!V:V)+SUMIF('Budget-Yixing'!$A:$A,$A88,'Budget-Yixing'!V:V)</f>
        <v>0</v>
      </c>
      <c r="W88" s="676"/>
      <c r="Y88" s="688">
        <f ca="1">SUMIF('Budget-ACPL'!$A:$A,$A88,'Budget-ACPL'!Y:Y)+SUMIF('Budget-ACPLHK'!$A:$A,$A88,'Budget-ACPLHK'!Y:Y)+SUMIF('Budget-ACPSZL'!$A:$A,$A88,'Budget-ACPSZL'!Y:Y)+SUMIF('Budget-ACPLSZ'!$A:$A,$A88,'Budget-ACPLSZ'!Y:Y)+SUMIF('Budget-ACPLGZ'!$A:$A,$A88,'Budget-ACPLGZ'!Y:Y)+SUMIF('Budget-Yixing'!$A:$A,$A88,'Budget-Yixing'!Y:Y)</f>
        <v>0</v>
      </c>
      <c r="Z88" s="688">
        <f ca="1">SUMIF('Budget-ACPL'!$A:$A,$A88,'Budget-ACPL'!Z:Z)+SUMIF('Budget-ACPLHK'!$A:$A,$A88,'Budget-ACPLHK'!Z:Z)+SUMIF('Budget-ACPSZL'!$A:$A,$A88,'Budget-ACPSZL'!Z:Z)+SUMIF('Budget-ACPLSZ'!$A:$A,$A88,'Budget-ACPLSZ'!Z:Z)+SUMIF('Budget-ACPLGZ'!$A:$A,$A88,'Budget-ACPLGZ'!Z:Z)+SUMIF('Budget-Yixing'!$A:$A,$A88,'Budget-Yixing'!Z:Z)</f>
        <v>0</v>
      </c>
      <c r="AA88" s="688">
        <f ca="1">SUMIF('Budget-ACPL'!$A:$A,$A88,'Budget-ACPL'!AA:AA)+SUMIF('Budget-ACPLHK'!$A:$A,$A88,'Budget-ACPLHK'!AA:AA)+SUMIF('Budget-ACPSZL'!$A:$A,$A88,'Budget-ACPSZL'!AA:AA)+SUMIF('Budget-ACPLSZ'!$A:$A,$A88,'Budget-ACPLSZ'!AA:AA)+SUMIF('Budget-ACPLGZ'!$A:$A,$A88,'Budget-ACPLGZ'!AA:AA)+SUMIF('Budget-Yixing'!$A:$A,$A88,'Budget-Yixing'!AA:AA)</f>
        <v>0</v>
      </c>
      <c r="AB88" s="688">
        <f ca="1">SUMIF('Budget-ACPL'!$A:$A,$A88,'Budget-ACPL'!AB:AB)+SUMIF('Budget-ACPLHK'!$A:$A,$A88,'Budget-ACPLHK'!AB:AB)+SUMIF('Budget-ACPSZL'!$A:$A,$A88,'Budget-ACPSZL'!AB:AB)+SUMIF('Budget-ACPLSZ'!$A:$A,$A88,'Budget-ACPLSZ'!AB:AB)+SUMIF('Budget-ACPLGZ'!$A:$A,$A88,'Budget-ACPLGZ'!AB:AB)+SUMIF('Budget-Yixing'!$A:$A,$A88,'Budget-Yixing'!AB:AB)</f>
        <v>0</v>
      </c>
      <c r="AC88" s="688">
        <f ca="1">SUMIF('Budget-ACPL'!$A:$A,$A88,'Budget-ACPL'!AC:AC)+SUMIF('Budget-ACPLHK'!$A:$A,$A88,'Budget-ACPLHK'!AC:AC)+SUMIF('Budget-ACPSZL'!$A:$A,$A88,'Budget-ACPSZL'!AC:AC)+SUMIF('Budget-ACPLSZ'!$A:$A,$A88,'Budget-ACPLSZ'!AC:AC)+SUMIF('Budget-ACPLGZ'!$A:$A,$A88,'Budget-ACPLGZ'!AC:AC)+SUMIF('Budget-Yixing'!$A:$A,$A88,'Budget-Yixing'!AC:AC)</f>
        <v>0</v>
      </c>
      <c r="AD88" s="688">
        <f ca="1">SUMIF('Budget-ACPL'!$A:$A,$A88,'Budget-ACPL'!AD:AD)+SUMIF('Budget-ACPLHK'!$A:$A,$A88,'Budget-ACPLHK'!AD:AD)+SUMIF('Budget-ACPSZL'!$A:$A,$A88,'Budget-ACPSZL'!AD:AD)+SUMIF('Budget-ACPLSZ'!$A:$A,$A88,'Budget-ACPLSZ'!AD:AD)+SUMIF('Budget-ACPLGZ'!$A:$A,$A88,'Budget-ACPLGZ'!AD:AD)+SUMIF('Budget-Yixing'!$A:$A,$A88,'Budget-Yixing'!AD:AD)</f>
        <v>0</v>
      </c>
      <c r="AE88" s="688">
        <f ca="1">SUMIF('Budget-ACPL'!$A:$A,$A88,'Budget-ACPL'!AE:AE)+SUMIF('Budget-ACPLHK'!$A:$A,$A88,'Budget-ACPLHK'!AE:AE)+SUMIF('Budget-ACPSZL'!$A:$A,$A88,'Budget-ACPSZL'!AE:AE)+SUMIF('Budget-ACPLSZ'!$A:$A,$A88,'Budget-ACPLSZ'!AE:AE)+SUMIF('Budget-ACPLGZ'!$A:$A,$A88,'Budget-ACPLGZ'!AE:AE)+SUMIF('Budget-Yixing'!$A:$A,$A88,'Budget-Yixing'!AE:AE)</f>
        <v>0</v>
      </c>
      <c r="AF88" s="688">
        <f ca="1">SUMIF('Budget-ACPL'!$A:$A,$A88,'Budget-ACPL'!AF:AF)+SUMIF('Budget-ACPLHK'!$A:$A,$A88,'Budget-ACPLHK'!AF:AF)+SUMIF('Budget-ACPSZL'!$A:$A,$A88,'Budget-ACPSZL'!AF:AF)+SUMIF('Budget-ACPLSZ'!$A:$A,$A88,'Budget-ACPLSZ'!AF:AF)+SUMIF('Budget-ACPLGZ'!$A:$A,$A88,'Budget-ACPLGZ'!AF:AF)+SUMIF('Budget-Yixing'!$A:$A,$A88,'Budget-Yixing'!AF:AF)</f>
        <v>254</v>
      </c>
      <c r="AG88" s="688">
        <f ca="1">SUMIF('Budget-ACPL'!$A:$A,$A88,'Budget-ACPL'!AG:AG)+SUMIF('Budget-ACPLHK'!$A:$A,$A88,'Budget-ACPLHK'!AG:AG)+SUMIF('Budget-ACPSZL'!$A:$A,$A88,'Budget-ACPSZL'!AG:AG)+SUMIF('Budget-ACPLSZ'!$A:$A,$A88,'Budget-ACPLSZ'!AG:AG)+SUMIF('Budget-ACPLGZ'!$A:$A,$A88,'Budget-ACPLGZ'!AG:AG)+SUMIF('Budget-Yixing'!$A:$A,$A88,'Budget-Yixing'!AG:AG)</f>
        <v>0</v>
      </c>
      <c r="AH88" s="688">
        <f ca="1">SUMIF('Budget-ACPL'!$A:$A,$A88,'Budget-ACPL'!AH:AH)+SUMIF('Budget-ACPLHK'!$A:$A,$A88,'Budget-ACPLHK'!AH:AH)+SUMIF('Budget-ACPSZL'!$A:$A,$A88,'Budget-ACPSZL'!AH:AH)+SUMIF('Budget-ACPLSZ'!$A:$A,$A88,'Budget-ACPLSZ'!AH:AH)+SUMIF('Budget-ACPLGZ'!$A:$A,$A88,'Budget-ACPLGZ'!AH:AH)+SUMIF('Budget-Yixing'!$A:$A,$A88,'Budget-Yixing'!AH:AH)</f>
        <v>0</v>
      </c>
      <c r="AI88" s="688">
        <f ca="1">SUMIF('Budget-ACPL'!$A:$A,$A88,'Budget-ACPL'!AI:AI)+SUMIF('Budget-ACPLHK'!$A:$A,$A88,'Budget-ACPLHK'!AI:AI)+SUMIF('Budget-ACPSZL'!$A:$A,$A88,'Budget-ACPSZL'!AI:AI)+SUMIF('Budget-ACPLSZ'!$A:$A,$A88,'Budget-ACPLSZ'!AI:AI)+SUMIF('Budget-ACPLGZ'!$A:$A,$A88,'Budget-ACPLGZ'!AI:AI)+SUMIF('Budget-Yixing'!$A:$A,$A88,'Budget-Yixing'!AI:AI)</f>
        <v>0</v>
      </c>
      <c r="AJ88" s="688">
        <f ca="1">SUMIF('Budget-ACPL'!$A:$A,$A88,'Budget-ACPL'!AJ:AJ)+SUMIF('Budget-ACPLHK'!$A:$A,$A88,'Budget-ACPLHK'!AJ:AJ)+SUMIF('Budget-ACPSZL'!$A:$A,$A88,'Budget-ACPSZL'!AJ:AJ)+SUMIF('Budget-ACPLSZ'!$A:$A,$A88,'Budget-ACPLSZ'!AJ:AJ)+SUMIF('Budget-ACPLGZ'!$A:$A,$A88,'Budget-ACPLGZ'!AJ:AJ)+SUMIF('Budget-Yixing'!$A:$A,$A88,'Budget-Yixing'!AJ:AJ)</f>
        <v>0</v>
      </c>
      <c r="AK88" s="688">
        <f t="shared" ca="1" si="33"/>
        <v>254</v>
      </c>
    </row>
    <row r="89" spans="1:37" ht="11.1" customHeight="1">
      <c r="A89" s="713" t="s">
        <v>1676</v>
      </c>
      <c r="B89" s="687" t="str">
        <f>VLOOKUP(A89,Account!A:B,2,0)</f>
        <v>清洁服务</v>
      </c>
      <c r="C89" s="687">
        <f>VLOOKUP(A89,Account!A:F,4,0)</f>
        <v>0</v>
      </c>
      <c r="D89" s="676">
        <f t="shared" ca="1" si="27"/>
        <v>2803.4684999999999</v>
      </c>
      <c r="E89" s="676" t="e">
        <f t="shared" si="28"/>
        <v>#N/A</v>
      </c>
      <c r="F89" s="676" t="e">
        <f t="shared" ca="1" si="24"/>
        <v>#N/A</v>
      </c>
      <c r="G89" s="676">
        <f t="shared" ca="1" si="29"/>
        <v>2803.4684999999999</v>
      </c>
      <c r="H89" s="676" t="e">
        <f t="shared" ca="1" si="30"/>
        <v>#N/A</v>
      </c>
      <c r="I89" s="676" t="e">
        <f t="shared" ca="1" si="31"/>
        <v>#N/A</v>
      </c>
      <c r="K89" s="676">
        <f ca="1">SUMIF('Budget-ACPL'!$A:$A,$A89,'Budget-ACPL'!K:K)+SUMIF('Budget-ACPLHK'!$A:$A,$A89,'Budget-ACPLHK'!K:K)+SUMIF('Budget-ACPSZL'!$A:$A,$A89,'Budget-ACPSZL'!K:K)+SUMIF('Budget-ACPLSZ'!$A:$A,$A89,'Budget-ACPLSZ'!K:K)+SUMIF('Budget-ACPLGZ'!$A:$A,$A89,'Budget-ACPLGZ'!K:K)+SUMIF('Budget-Yixing'!$A:$A,$A89,'Budget-Yixing'!K:K)</f>
        <v>2803.4684999999999</v>
      </c>
      <c r="L89" s="676">
        <f ca="1">SUMIF('Budget-ACPL'!$A:$A,$A89,'Budget-ACPL'!L:L)+SUMIF('Budget-ACPLHK'!$A:$A,$A89,'Budget-ACPLHK'!L:L)+SUMIF('Budget-ACPSZL'!$A:$A,$A89,'Budget-ACPSZL'!L:L)+SUMIF('Budget-ACPLSZ'!$A:$A,$A89,'Budget-ACPLSZ'!L:L)+SUMIF('Budget-ACPLGZ'!$A:$A,$A89,'Budget-ACPLGZ'!L:L)+SUMIF('Budget-Yixing'!$A:$A,$A89,'Budget-Yixing'!L:L)</f>
        <v>2778.93</v>
      </c>
      <c r="M89" s="676">
        <f ca="1">SUMIF('Budget-ACPL'!$A:$A,$A89,'Budget-ACPL'!M:M)+SUMIF('Budget-ACPLHK'!$A:$A,$A89,'Budget-ACPLHK'!M:M)+SUMIF('Budget-ACPSZL'!$A:$A,$A89,'Budget-ACPSZL'!M:M)+SUMIF('Budget-ACPLSZ'!$A:$A,$A89,'Budget-ACPLSZ'!M:M)+SUMIF('Budget-ACPLGZ'!$A:$A,$A89,'Budget-ACPLGZ'!M:M)+SUMIF('Budget-Yixing'!$A:$A,$A89,'Budget-Yixing'!M:M)</f>
        <v>2778.93</v>
      </c>
      <c r="N89" s="676">
        <f ca="1">SUMIF('Budget-ACPL'!$A:$A,$A89,'Budget-ACPL'!N:N)+SUMIF('Budget-ACPLHK'!$A:$A,$A89,'Budget-ACPLHK'!N:N)+SUMIF('Budget-ACPSZL'!$A:$A,$A89,'Budget-ACPSZL'!N:N)+SUMIF('Budget-ACPLSZ'!$A:$A,$A89,'Budget-ACPLSZ'!N:N)+SUMIF('Budget-ACPLGZ'!$A:$A,$A89,'Budget-ACPLGZ'!N:N)+SUMIF('Budget-Yixing'!$A:$A,$A89,'Budget-Yixing'!N:N)</f>
        <v>2778.93</v>
      </c>
      <c r="O89" s="676">
        <f ca="1">SUMIF('Budget-ACPL'!$A:$A,$A89,'Budget-ACPL'!O:O)+SUMIF('Budget-ACPLHK'!$A:$A,$A89,'Budget-ACPLHK'!O:O)+SUMIF('Budget-ACPSZL'!$A:$A,$A89,'Budget-ACPSZL'!O:O)+SUMIF('Budget-ACPLSZ'!$A:$A,$A89,'Budget-ACPLSZ'!O:O)+SUMIF('Budget-ACPLGZ'!$A:$A,$A89,'Budget-ACPLGZ'!O:O)+SUMIF('Budget-Yixing'!$A:$A,$A89,'Budget-Yixing'!O:O)</f>
        <v>2778.93</v>
      </c>
      <c r="P89" s="676">
        <f ca="1">SUMIF('Budget-ACPL'!$A:$A,$A89,'Budget-ACPL'!P:P)+SUMIF('Budget-ACPLHK'!$A:$A,$A89,'Budget-ACPLHK'!P:P)+SUMIF('Budget-ACPSZL'!$A:$A,$A89,'Budget-ACPSZL'!P:P)+SUMIF('Budget-ACPLSZ'!$A:$A,$A89,'Budget-ACPLSZ'!P:P)+SUMIF('Budget-ACPLGZ'!$A:$A,$A89,'Budget-ACPLGZ'!P:P)+SUMIF('Budget-Yixing'!$A:$A,$A89,'Budget-Yixing'!P:P)</f>
        <v>2778.93</v>
      </c>
      <c r="Q89" s="676">
        <f ca="1">SUMIF('Budget-ACPL'!$A:$A,$A89,'Budget-ACPL'!Q:Q)+SUMIF('Budget-ACPLHK'!$A:$A,$A89,'Budget-ACPLHK'!Q:Q)+SUMIF('Budget-ACPSZL'!$A:$A,$A89,'Budget-ACPSZL'!Q:Q)+SUMIF('Budget-ACPLSZ'!$A:$A,$A89,'Budget-ACPLSZ'!Q:Q)+SUMIF('Budget-ACPLGZ'!$A:$A,$A89,'Budget-ACPLGZ'!Q:Q)+SUMIF('Budget-Yixing'!$A:$A,$A89,'Budget-Yixing'!Q:Q)</f>
        <v>2778.93</v>
      </c>
      <c r="R89" s="676">
        <f ca="1">SUMIF('Budget-ACPL'!$A:$A,$A89,'Budget-ACPL'!R:R)+SUMIF('Budget-ACPLHK'!$A:$A,$A89,'Budget-ACPLHK'!R:R)+SUMIF('Budget-ACPSZL'!$A:$A,$A89,'Budget-ACPSZL'!R:R)+SUMIF('Budget-ACPLSZ'!$A:$A,$A89,'Budget-ACPLSZ'!R:R)+SUMIF('Budget-ACPLGZ'!$A:$A,$A89,'Budget-ACPLGZ'!R:R)+SUMIF('Budget-Yixing'!$A:$A,$A89,'Budget-Yixing'!R:R)</f>
        <v>2778.93</v>
      </c>
      <c r="S89" s="676">
        <f ca="1">SUMIF('Budget-ACPL'!$A:$A,$A89,'Budget-ACPL'!S:S)+SUMIF('Budget-ACPLHK'!$A:$A,$A89,'Budget-ACPLHK'!S:S)+SUMIF('Budget-ACPSZL'!$A:$A,$A89,'Budget-ACPSZL'!S:S)+SUMIF('Budget-ACPLSZ'!$A:$A,$A89,'Budget-ACPLSZ'!S:S)+SUMIF('Budget-ACPLGZ'!$A:$A,$A89,'Budget-ACPLGZ'!S:S)+SUMIF('Budget-Yixing'!$A:$A,$A89,'Budget-Yixing'!S:S)</f>
        <v>2778.93</v>
      </c>
      <c r="T89" s="676">
        <f ca="1">SUMIF('Budget-ACPL'!$A:$A,$A89,'Budget-ACPL'!T:T)+SUMIF('Budget-ACPLHK'!$A:$A,$A89,'Budget-ACPLHK'!T:T)+SUMIF('Budget-ACPSZL'!$A:$A,$A89,'Budget-ACPSZL'!T:T)+SUMIF('Budget-ACPLSZ'!$A:$A,$A89,'Budget-ACPLSZ'!T:T)+SUMIF('Budget-ACPLGZ'!$A:$A,$A89,'Budget-ACPLGZ'!T:T)+SUMIF('Budget-Yixing'!$A:$A,$A89,'Budget-Yixing'!T:T)</f>
        <v>2778.93</v>
      </c>
      <c r="U89" s="676">
        <f ca="1">SUMIF('Budget-ACPL'!$A:$A,$A89,'Budget-ACPL'!U:U)+SUMIF('Budget-ACPLHK'!$A:$A,$A89,'Budget-ACPLHK'!U:U)+SUMIF('Budget-ACPSZL'!$A:$A,$A89,'Budget-ACPSZL'!U:U)+SUMIF('Budget-ACPLSZ'!$A:$A,$A89,'Budget-ACPLSZ'!U:U)+SUMIF('Budget-ACPLGZ'!$A:$A,$A89,'Budget-ACPLGZ'!U:U)+SUMIF('Budget-Yixing'!$A:$A,$A89,'Budget-Yixing'!U:U)</f>
        <v>2778.93</v>
      </c>
      <c r="V89" s="676">
        <f ca="1">SUMIF('Budget-ACPL'!$A:$A,$A89,'Budget-ACPL'!V:V)+SUMIF('Budget-ACPLHK'!$A:$A,$A89,'Budget-ACPLHK'!V:V)+SUMIF('Budget-ACPSZL'!$A:$A,$A89,'Budget-ACPSZL'!V:V)+SUMIF('Budget-ACPLSZ'!$A:$A,$A89,'Budget-ACPLSZ'!V:V)+SUMIF('Budget-ACPLGZ'!$A:$A,$A89,'Budget-ACPLGZ'!V:V)+SUMIF('Budget-Yixing'!$A:$A,$A89,'Budget-Yixing'!V:V)</f>
        <v>2778.93</v>
      </c>
      <c r="W89" s="676"/>
      <c r="Y89" s="688">
        <f ca="1">SUMIF('Budget-ACPL'!$A:$A,$A89,'Budget-ACPL'!Y:Y)+SUMIF('Budget-ACPLHK'!$A:$A,$A89,'Budget-ACPLHK'!Y:Y)+SUMIF('Budget-ACPSZL'!$A:$A,$A89,'Budget-ACPSZL'!Y:Y)+SUMIF('Budget-ACPLSZ'!$A:$A,$A89,'Budget-ACPLSZ'!Y:Y)+SUMIF('Budget-ACPLGZ'!$A:$A,$A89,'Budget-ACPLGZ'!Y:Y)+SUMIF('Budget-Yixing'!$A:$A,$A89,'Budget-Yixing'!Y:Y)</f>
        <v>0</v>
      </c>
      <c r="Z89" s="688">
        <f ca="1">SUMIF('Budget-ACPL'!$A:$A,$A89,'Budget-ACPL'!Z:Z)+SUMIF('Budget-ACPLHK'!$A:$A,$A89,'Budget-ACPLHK'!Z:Z)+SUMIF('Budget-ACPSZL'!$A:$A,$A89,'Budget-ACPSZL'!Z:Z)+SUMIF('Budget-ACPLSZ'!$A:$A,$A89,'Budget-ACPLSZ'!Z:Z)+SUMIF('Budget-ACPLGZ'!$A:$A,$A89,'Budget-ACPLGZ'!Z:Z)+SUMIF('Budget-Yixing'!$A:$A,$A89,'Budget-Yixing'!Z:Z)</f>
        <v>0</v>
      </c>
      <c r="AA89" s="688">
        <f ca="1">SUMIF('Budget-ACPL'!$A:$A,$A89,'Budget-ACPL'!AA:AA)+SUMIF('Budget-ACPLHK'!$A:$A,$A89,'Budget-ACPLHK'!AA:AA)+SUMIF('Budget-ACPSZL'!$A:$A,$A89,'Budget-ACPSZL'!AA:AA)+SUMIF('Budget-ACPLSZ'!$A:$A,$A89,'Budget-ACPLSZ'!AA:AA)+SUMIF('Budget-ACPLGZ'!$A:$A,$A89,'Budget-ACPLGZ'!AA:AA)+SUMIF('Budget-Yixing'!$A:$A,$A89,'Budget-Yixing'!AA:AA)</f>
        <v>0</v>
      </c>
      <c r="AB89" s="688">
        <f ca="1">SUMIF('Budget-ACPL'!$A:$A,$A89,'Budget-ACPL'!AB:AB)+SUMIF('Budget-ACPLHK'!$A:$A,$A89,'Budget-ACPLHK'!AB:AB)+SUMIF('Budget-ACPSZL'!$A:$A,$A89,'Budget-ACPSZL'!AB:AB)+SUMIF('Budget-ACPLSZ'!$A:$A,$A89,'Budget-ACPLSZ'!AB:AB)+SUMIF('Budget-ACPLGZ'!$A:$A,$A89,'Budget-ACPLGZ'!AB:AB)+SUMIF('Budget-Yixing'!$A:$A,$A89,'Budget-Yixing'!AB:AB)</f>
        <v>0</v>
      </c>
      <c r="AC89" s="688">
        <f ca="1">SUMIF('Budget-ACPL'!$A:$A,$A89,'Budget-ACPL'!AC:AC)+SUMIF('Budget-ACPLHK'!$A:$A,$A89,'Budget-ACPLHK'!AC:AC)+SUMIF('Budget-ACPSZL'!$A:$A,$A89,'Budget-ACPSZL'!AC:AC)+SUMIF('Budget-ACPLSZ'!$A:$A,$A89,'Budget-ACPLSZ'!AC:AC)+SUMIF('Budget-ACPLGZ'!$A:$A,$A89,'Budget-ACPLGZ'!AC:AC)+SUMIF('Budget-Yixing'!$A:$A,$A89,'Budget-Yixing'!AC:AC)</f>
        <v>0</v>
      </c>
      <c r="AD89" s="688">
        <f ca="1">SUMIF('Budget-ACPL'!$A:$A,$A89,'Budget-ACPL'!AD:AD)+SUMIF('Budget-ACPLHK'!$A:$A,$A89,'Budget-ACPLHK'!AD:AD)+SUMIF('Budget-ACPSZL'!$A:$A,$A89,'Budget-ACPSZL'!AD:AD)+SUMIF('Budget-ACPLSZ'!$A:$A,$A89,'Budget-ACPLSZ'!AD:AD)+SUMIF('Budget-ACPLGZ'!$A:$A,$A89,'Budget-ACPLGZ'!AD:AD)+SUMIF('Budget-Yixing'!$A:$A,$A89,'Budget-Yixing'!AD:AD)</f>
        <v>0</v>
      </c>
      <c r="AE89" s="688">
        <f ca="1">SUMIF('Budget-ACPL'!$A:$A,$A89,'Budget-ACPL'!AE:AE)+SUMIF('Budget-ACPLHK'!$A:$A,$A89,'Budget-ACPLHK'!AE:AE)+SUMIF('Budget-ACPSZL'!$A:$A,$A89,'Budget-ACPSZL'!AE:AE)+SUMIF('Budget-ACPLSZ'!$A:$A,$A89,'Budget-ACPLSZ'!AE:AE)+SUMIF('Budget-ACPLGZ'!$A:$A,$A89,'Budget-ACPLGZ'!AE:AE)+SUMIF('Budget-Yixing'!$A:$A,$A89,'Budget-Yixing'!AE:AE)</f>
        <v>0</v>
      </c>
      <c r="AF89" s="688">
        <f ca="1">SUMIF('Budget-ACPL'!$A:$A,$A89,'Budget-ACPL'!AF:AF)+SUMIF('Budget-ACPLHK'!$A:$A,$A89,'Budget-ACPLHK'!AF:AF)+SUMIF('Budget-ACPSZL'!$A:$A,$A89,'Budget-ACPSZL'!AF:AF)+SUMIF('Budget-ACPLSZ'!$A:$A,$A89,'Budget-ACPLSZ'!AF:AF)+SUMIF('Budget-ACPLGZ'!$A:$A,$A89,'Budget-ACPLGZ'!AF:AF)+SUMIF('Budget-Yixing'!$A:$A,$A89,'Budget-Yixing'!AF:AF)</f>
        <v>0</v>
      </c>
      <c r="AG89" s="688">
        <f ca="1">SUMIF('Budget-ACPL'!$A:$A,$A89,'Budget-ACPL'!AG:AG)+SUMIF('Budget-ACPLHK'!$A:$A,$A89,'Budget-ACPLHK'!AG:AG)+SUMIF('Budget-ACPSZL'!$A:$A,$A89,'Budget-ACPSZL'!AG:AG)+SUMIF('Budget-ACPLSZ'!$A:$A,$A89,'Budget-ACPLSZ'!AG:AG)+SUMIF('Budget-ACPLGZ'!$A:$A,$A89,'Budget-ACPLGZ'!AG:AG)+SUMIF('Budget-Yixing'!$A:$A,$A89,'Budget-Yixing'!AG:AG)</f>
        <v>0</v>
      </c>
      <c r="AH89" s="688">
        <f ca="1">SUMIF('Budget-ACPL'!$A:$A,$A89,'Budget-ACPL'!AH:AH)+SUMIF('Budget-ACPLHK'!$A:$A,$A89,'Budget-ACPLHK'!AH:AH)+SUMIF('Budget-ACPSZL'!$A:$A,$A89,'Budget-ACPSZL'!AH:AH)+SUMIF('Budget-ACPLSZ'!$A:$A,$A89,'Budget-ACPLSZ'!AH:AH)+SUMIF('Budget-ACPLGZ'!$A:$A,$A89,'Budget-ACPLGZ'!AH:AH)+SUMIF('Budget-Yixing'!$A:$A,$A89,'Budget-Yixing'!AH:AH)</f>
        <v>0</v>
      </c>
      <c r="AI89" s="688">
        <f ca="1">SUMIF('Budget-ACPL'!$A:$A,$A89,'Budget-ACPL'!AI:AI)+SUMIF('Budget-ACPLHK'!$A:$A,$A89,'Budget-ACPLHK'!AI:AI)+SUMIF('Budget-ACPSZL'!$A:$A,$A89,'Budget-ACPSZL'!AI:AI)+SUMIF('Budget-ACPLSZ'!$A:$A,$A89,'Budget-ACPLSZ'!AI:AI)+SUMIF('Budget-ACPLGZ'!$A:$A,$A89,'Budget-ACPLGZ'!AI:AI)+SUMIF('Budget-Yixing'!$A:$A,$A89,'Budget-Yixing'!AI:AI)</f>
        <v>0</v>
      </c>
      <c r="AJ89" s="688">
        <f ca="1">SUMIF('Budget-ACPL'!$A:$A,$A89,'Budget-ACPL'!AJ:AJ)+SUMIF('Budget-ACPLHK'!$A:$A,$A89,'Budget-ACPLHK'!AJ:AJ)+SUMIF('Budget-ACPSZL'!$A:$A,$A89,'Budget-ACPSZL'!AJ:AJ)+SUMIF('Budget-ACPLSZ'!$A:$A,$A89,'Budget-ACPLSZ'!AJ:AJ)+SUMIF('Budget-ACPLGZ'!$A:$A,$A89,'Budget-ACPLGZ'!AJ:AJ)+SUMIF('Budget-Yixing'!$A:$A,$A89,'Budget-Yixing'!AJ:AJ)</f>
        <v>0</v>
      </c>
      <c r="AK89" s="688">
        <f t="shared" ca="1" si="33"/>
        <v>0</v>
      </c>
    </row>
    <row r="90" spans="1:37" ht="11.1" customHeight="1">
      <c r="A90" s="713" t="s">
        <v>1680</v>
      </c>
      <c r="B90" s="687" t="str">
        <f>VLOOKUP(A90,Account!A:B,2,0)</f>
        <v>电话国际直拨/电话会议收费</v>
      </c>
      <c r="C90" s="687" t="str">
        <f>VLOOKUP(A90,Account!A:F,4,0)</f>
        <v>Telephone IDD/Teleconf Charge</v>
      </c>
      <c r="D90" s="676">
        <f t="shared" ca="1" si="27"/>
        <v>300</v>
      </c>
      <c r="E90" s="676" t="e">
        <f t="shared" si="28"/>
        <v>#N/A</v>
      </c>
      <c r="F90" s="676" t="e">
        <f t="shared" ca="1" si="24"/>
        <v>#N/A</v>
      </c>
      <c r="G90" s="676">
        <f t="shared" ca="1" si="29"/>
        <v>300</v>
      </c>
      <c r="H90" s="676" t="e">
        <f t="shared" ca="1" si="30"/>
        <v>#N/A</v>
      </c>
      <c r="I90" s="676" t="e">
        <f t="shared" ca="1" si="31"/>
        <v>#N/A</v>
      </c>
      <c r="K90" s="676">
        <f ca="1">SUMIF('Budget-ACPL'!$A:$A,$A90,'Budget-ACPL'!K:K)+SUMIF('Budget-ACPLHK'!$A:$A,$A90,'Budget-ACPLHK'!K:K)+SUMIF('Budget-ACPSZL'!$A:$A,$A90,'Budget-ACPSZL'!K:K)+SUMIF('Budget-ACPLSZ'!$A:$A,$A90,'Budget-ACPLSZ'!K:K)+SUMIF('Budget-ACPLGZ'!$A:$A,$A90,'Budget-ACPLGZ'!K:K)+SUMIF('Budget-Yixing'!$A:$A,$A90,'Budget-Yixing'!K:K)</f>
        <v>300</v>
      </c>
      <c r="L90" s="676">
        <f ca="1">SUMIF('Budget-ACPL'!$A:$A,$A90,'Budget-ACPL'!L:L)+SUMIF('Budget-ACPLHK'!$A:$A,$A90,'Budget-ACPLHK'!L:L)+SUMIF('Budget-ACPSZL'!$A:$A,$A90,'Budget-ACPSZL'!L:L)+SUMIF('Budget-ACPLSZ'!$A:$A,$A90,'Budget-ACPLSZ'!L:L)+SUMIF('Budget-ACPLGZ'!$A:$A,$A90,'Budget-ACPLGZ'!L:L)+SUMIF('Budget-Yixing'!$A:$A,$A90,'Budget-Yixing'!L:L)</f>
        <v>300</v>
      </c>
      <c r="M90" s="676">
        <f ca="1">SUMIF('Budget-ACPL'!$A:$A,$A90,'Budget-ACPL'!M:M)+SUMIF('Budget-ACPLHK'!$A:$A,$A90,'Budget-ACPLHK'!M:M)+SUMIF('Budget-ACPSZL'!$A:$A,$A90,'Budget-ACPSZL'!M:M)+SUMIF('Budget-ACPLSZ'!$A:$A,$A90,'Budget-ACPLSZ'!M:M)+SUMIF('Budget-ACPLGZ'!$A:$A,$A90,'Budget-ACPLGZ'!M:M)+SUMIF('Budget-Yixing'!$A:$A,$A90,'Budget-Yixing'!M:M)</f>
        <v>300</v>
      </c>
      <c r="N90" s="676">
        <f ca="1">SUMIF('Budget-ACPL'!$A:$A,$A90,'Budget-ACPL'!N:N)+SUMIF('Budget-ACPLHK'!$A:$A,$A90,'Budget-ACPLHK'!N:N)+SUMIF('Budget-ACPSZL'!$A:$A,$A90,'Budget-ACPSZL'!N:N)+SUMIF('Budget-ACPLSZ'!$A:$A,$A90,'Budget-ACPLSZ'!N:N)+SUMIF('Budget-ACPLGZ'!$A:$A,$A90,'Budget-ACPLGZ'!N:N)+SUMIF('Budget-Yixing'!$A:$A,$A90,'Budget-Yixing'!N:N)</f>
        <v>300</v>
      </c>
      <c r="O90" s="676">
        <f ca="1">SUMIF('Budget-ACPL'!$A:$A,$A90,'Budget-ACPL'!O:O)+SUMIF('Budget-ACPLHK'!$A:$A,$A90,'Budget-ACPLHK'!O:O)+SUMIF('Budget-ACPSZL'!$A:$A,$A90,'Budget-ACPSZL'!O:O)+SUMIF('Budget-ACPLSZ'!$A:$A,$A90,'Budget-ACPLSZ'!O:O)+SUMIF('Budget-ACPLGZ'!$A:$A,$A90,'Budget-ACPLGZ'!O:O)+SUMIF('Budget-Yixing'!$A:$A,$A90,'Budget-Yixing'!O:O)</f>
        <v>300</v>
      </c>
      <c r="P90" s="676">
        <f ca="1">SUMIF('Budget-ACPL'!$A:$A,$A90,'Budget-ACPL'!P:P)+SUMIF('Budget-ACPLHK'!$A:$A,$A90,'Budget-ACPLHK'!P:P)+SUMIF('Budget-ACPSZL'!$A:$A,$A90,'Budget-ACPSZL'!P:P)+SUMIF('Budget-ACPLSZ'!$A:$A,$A90,'Budget-ACPLSZ'!P:P)+SUMIF('Budget-ACPLGZ'!$A:$A,$A90,'Budget-ACPLGZ'!P:P)+SUMIF('Budget-Yixing'!$A:$A,$A90,'Budget-Yixing'!P:P)</f>
        <v>300</v>
      </c>
      <c r="Q90" s="676">
        <f ca="1">SUMIF('Budget-ACPL'!$A:$A,$A90,'Budget-ACPL'!Q:Q)+SUMIF('Budget-ACPLHK'!$A:$A,$A90,'Budget-ACPLHK'!Q:Q)+SUMIF('Budget-ACPSZL'!$A:$A,$A90,'Budget-ACPSZL'!Q:Q)+SUMIF('Budget-ACPLSZ'!$A:$A,$A90,'Budget-ACPLSZ'!Q:Q)+SUMIF('Budget-ACPLGZ'!$A:$A,$A90,'Budget-ACPLGZ'!Q:Q)+SUMIF('Budget-Yixing'!$A:$A,$A90,'Budget-Yixing'!Q:Q)</f>
        <v>300</v>
      </c>
      <c r="R90" s="676">
        <f ca="1">SUMIF('Budget-ACPL'!$A:$A,$A90,'Budget-ACPL'!R:R)+SUMIF('Budget-ACPLHK'!$A:$A,$A90,'Budget-ACPLHK'!R:R)+SUMIF('Budget-ACPSZL'!$A:$A,$A90,'Budget-ACPSZL'!R:R)+SUMIF('Budget-ACPLSZ'!$A:$A,$A90,'Budget-ACPLSZ'!R:R)+SUMIF('Budget-ACPLGZ'!$A:$A,$A90,'Budget-ACPLGZ'!R:R)+SUMIF('Budget-Yixing'!$A:$A,$A90,'Budget-Yixing'!R:R)</f>
        <v>300</v>
      </c>
      <c r="S90" s="676">
        <f ca="1">SUMIF('Budget-ACPL'!$A:$A,$A90,'Budget-ACPL'!S:S)+SUMIF('Budget-ACPLHK'!$A:$A,$A90,'Budget-ACPLHK'!S:S)+SUMIF('Budget-ACPSZL'!$A:$A,$A90,'Budget-ACPSZL'!S:S)+SUMIF('Budget-ACPLSZ'!$A:$A,$A90,'Budget-ACPLSZ'!S:S)+SUMIF('Budget-ACPLGZ'!$A:$A,$A90,'Budget-ACPLGZ'!S:S)+SUMIF('Budget-Yixing'!$A:$A,$A90,'Budget-Yixing'!S:S)</f>
        <v>300</v>
      </c>
      <c r="T90" s="676">
        <f ca="1">SUMIF('Budget-ACPL'!$A:$A,$A90,'Budget-ACPL'!T:T)+SUMIF('Budget-ACPLHK'!$A:$A,$A90,'Budget-ACPLHK'!T:T)+SUMIF('Budget-ACPSZL'!$A:$A,$A90,'Budget-ACPSZL'!T:T)+SUMIF('Budget-ACPLSZ'!$A:$A,$A90,'Budget-ACPLSZ'!T:T)+SUMIF('Budget-ACPLGZ'!$A:$A,$A90,'Budget-ACPLGZ'!T:T)+SUMIF('Budget-Yixing'!$A:$A,$A90,'Budget-Yixing'!T:T)</f>
        <v>300</v>
      </c>
      <c r="U90" s="676">
        <f ca="1">SUMIF('Budget-ACPL'!$A:$A,$A90,'Budget-ACPL'!U:U)+SUMIF('Budget-ACPLHK'!$A:$A,$A90,'Budget-ACPLHK'!U:U)+SUMIF('Budget-ACPSZL'!$A:$A,$A90,'Budget-ACPSZL'!U:U)+SUMIF('Budget-ACPLSZ'!$A:$A,$A90,'Budget-ACPLSZ'!U:U)+SUMIF('Budget-ACPLGZ'!$A:$A,$A90,'Budget-ACPLGZ'!U:U)+SUMIF('Budget-Yixing'!$A:$A,$A90,'Budget-Yixing'!U:U)</f>
        <v>300</v>
      </c>
      <c r="V90" s="676">
        <f ca="1">SUMIF('Budget-ACPL'!$A:$A,$A90,'Budget-ACPL'!V:V)+SUMIF('Budget-ACPLHK'!$A:$A,$A90,'Budget-ACPLHK'!V:V)+SUMIF('Budget-ACPSZL'!$A:$A,$A90,'Budget-ACPSZL'!V:V)+SUMIF('Budget-ACPLSZ'!$A:$A,$A90,'Budget-ACPLSZ'!V:V)+SUMIF('Budget-ACPLGZ'!$A:$A,$A90,'Budget-ACPLGZ'!V:V)+SUMIF('Budget-Yixing'!$A:$A,$A90,'Budget-Yixing'!V:V)</f>
        <v>300</v>
      </c>
      <c r="W90" s="676">
        <f ca="1">SUM(K90:V90)</f>
        <v>3600</v>
      </c>
      <c r="Y90" s="688">
        <f ca="1">SUMIF('Budget-ACPL'!$A:$A,$A90,'Budget-ACPL'!Y:Y)+SUMIF('Budget-ACPLHK'!$A:$A,$A90,'Budget-ACPLHK'!Y:Y)+SUMIF('Budget-ACPSZL'!$A:$A,$A90,'Budget-ACPSZL'!Y:Y)+SUMIF('Budget-ACPLSZ'!$A:$A,$A90,'Budget-ACPLSZ'!Y:Y)+SUMIF('Budget-ACPLGZ'!$A:$A,$A90,'Budget-ACPLGZ'!Y:Y)+SUMIF('Budget-Yixing'!$A:$A,$A90,'Budget-Yixing'!Y:Y)</f>
        <v>348</v>
      </c>
      <c r="Z90" s="688">
        <f ca="1">SUMIF('Budget-ACPL'!$A:$A,$A90,'Budget-ACPL'!Z:Z)+SUMIF('Budget-ACPLHK'!$A:$A,$A90,'Budget-ACPLHK'!Z:Z)+SUMIF('Budget-ACPSZL'!$A:$A,$A90,'Budget-ACPSZL'!Z:Z)+SUMIF('Budget-ACPLSZ'!$A:$A,$A90,'Budget-ACPLSZ'!Z:Z)+SUMIF('Budget-ACPLGZ'!$A:$A,$A90,'Budget-ACPLGZ'!Z:Z)+SUMIF('Budget-Yixing'!$A:$A,$A90,'Budget-Yixing'!Z:Z)</f>
        <v>348</v>
      </c>
      <c r="AA90" s="688">
        <f ca="1">SUMIF('Budget-ACPL'!$A:$A,$A90,'Budget-ACPL'!AA:AA)+SUMIF('Budget-ACPLHK'!$A:$A,$A90,'Budget-ACPLHK'!AA:AA)+SUMIF('Budget-ACPSZL'!$A:$A,$A90,'Budget-ACPSZL'!AA:AA)+SUMIF('Budget-ACPLSZ'!$A:$A,$A90,'Budget-ACPLSZ'!AA:AA)+SUMIF('Budget-ACPLGZ'!$A:$A,$A90,'Budget-ACPLGZ'!AA:AA)+SUMIF('Budget-Yixing'!$A:$A,$A90,'Budget-Yixing'!AA:AA)</f>
        <v>348</v>
      </c>
      <c r="AB90" s="688">
        <f ca="1">SUMIF('Budget-ACPL'!$A:$A,$A90,'Budget-ACPL'!AB:AB)+SUMIF('Budget-ACPLHK'!$A:$A,$A90,'Budget-ACPLHK'!AB:AB)+SUMIF('Budget-ACPSZL'!$A:$A,$A90,'Budget-ACPSZL'!AB:AB)+SUMIF('Budget-ACPLSZ'!$A:$A,$A90,'Budget-ACPLSZ'!AB:AB)+SUMIF('Budget-ACPLGZ'!$A:$A,$A90,'Budget-ACPLGZ'!AB:AB)+SUMIF('Budget-Yixing'!$A:$A,$A90,'Budget-Yixing'!AB:AB)</f>
        <v>348</v>
      </c>
      <c r="AC90" s="688">
        <f ca="1">SUMIF('Budget-ACPL'!$A:$A,$A90,'Budget-ACPL'!AC:AC)+SUMIF('Budget-ACPLHK'!$A:$A,$A90,'Budget-ACPLHK'!AC:AC)+SUMIF('Budget-ACPSZL'!$A:$A,$A90,'Budget-ACPSZL'!AC:AC)+SUMIF('Budget-ACPLSZ'!$A:$A,$A90,'Budget-ACPLSZ'!AC:AC)+SUMIF('Budget-ACPLGZ'!$A:$A,$A90,'Budget-ACPLGZ'!AC:AC)+SUMIF('Budget-Yixing'!$A:$A,$A90,'Budget-Yixing'!AC:AC)</f>
        <v>1318</v>
      </c>
      <c r="AD90" s="688">
        <f ca="1">SUMIF('Budget-ACPL'!$A:$A,$A90,'Budget-ACPL'!AD:AD)+SUMIF('Budget-ACPLHK'!$A:$A,$A90,'Budget-ACPLHK'!AD:AD)+SUMIF('Budget-ACPSZL'!$A:$A,$A90,'Budget-ACPSZL'!AD:AD)+SUMIF('Budget-ACPLSZ'!$A:$A,$A90,'Budget-ACPLSZ'!AD:AD)+SUMIF('Budget-ACPLGZ'!$A:$A,$A90,'Budget-ACPLGZ'!AD:AD)+SUMIF('Budget-Yixing'!$A:$A,$A90,'Budget-Yixing'!AD:AD)</f>
        <v>348</v>
      </c>
      <c r="AE90" s="688">
        <f ca="1">SUMIF('Budget-ACPL'!$A:$A,$A90,'Budget-ACPL'!AE:AE)+SUMIF('Budget-ACPLHK'!$A:$A,$A90,'Budget-ACPLHK'!AE:AE)+SUMIF('Budget-ACPSZL'!$A:$A,$A90,'Budget-ACPSZL'!AE:AE)+SUMIF('Budget-ACPLSZ'!$A:$A,$A90,'Budget-ACPLSZ'!AE:AE)+SUMIF('Budget-ACPLGZ'!$A:$A,$A90,'Budget-ACPLGZ'!AE:AE)+SUMIF('Budget-Yixing'!$A:$A,$A90,'Budget-Yixing'!AE:AE)</f>
        <v>348</v>
      </c>
      <c r="AF90" s="688">
        <f ca="1">SUMIF('Budget-ACPL'!$A:$A,$A90,'Budget-ACPL'!AF:AF)+SUMIF('Budget-ACPLHK'!$A:$A,$A90,'Budget-ACPLHK'!AF:AF)+SUMIF('Budget-ACPSZL'!$A:$A,$A90,'Budget-ACPSZL'!AF:AF)+SUMIF('Budget-ACPLSZ'!$A:$A,$A90,'Budget-ACPLSZ'!AF:AF)+SUMIF('Budget-ACPLGZ'!$A:$A,$A90,'Budget-ACPLGZ'!AF:AF)+SUMIF('Budget-Yixing'!$A:$A,$A90,'Budget-Yixing'!AF:AF)</f>
        <v>1008</v>
      </c>
      <c r="AG90" s="688">
        <f ca="1">SUMIF('Budget-ACPL'!$A:$A,$A90,'Budget-ACPL'!AG:AG)+SUMIF('Budget-ACPLHK'!$A:$A,$A90,'Budget-ACPLHK'!AG:AG)+SUMIF('Budget-ACPSZL'!$A:$A,$A90,'Budget-ACPSZL'!AG:AG)+SUMIF('Budget-ACPLSZ'!$A:$A,$A90,'Budget-ACPLSZ'!AG:AG)+SUMIF('Budget-ACPLGZ'!$A:$A,$A90,'Budget-ACPLGZ'!AG:AG)+SUMIF('Budget-Yixing'!$A:$A,$A90,'Budget-Yixing'!AG:AG)</f>
        <v>348</v>
      </c>
      <c r="AH90" s="688">
        <f ca="1">SUMIF('Budget-ACPL'!$A:$A,$A90,'Budget-ACPL'!AH:AH)+SUMIF('Budget-ACPLHK'!$A:$A,$A90,'Budget-ACPLHK'!AH:AH)+SUMIF('Budget-ACPSZL'!$A:$A,$A90,'Budget-ACPSZL'!AH:AH)+SUMIF('Budget-ACPLSZ'!$A:$A,$A90,'Budget-ACPLSZ'!AH:AH)+SUMIF('Budget-ACPLGZ'!$A:$A,$A90,'Budget-ACPLGZ'!AH:AH)+SUMIF('Budget-Yixing'!$A:$A,$A90,'Budget-Yixing'!AH:AH)</f>
        <v>348</v>
      </c>
      <c r="AI90" s="688">
        <f ca="1">SUMIF('Budget-ACPL'!$A:$A,$A90,'Budget-ACPL'!AI:AI)+SUMIF('Budget-ACPLHK'!$A:$A,$A90,'Budget-ACPLHK'!AI:AI)+SUMIF('Budget-ACPSZL'!$A:$A,$A90,'Budget-ACPSZL'!AI:AI)+SUMIF('Budget-ACPLSZ'!$A:$A,$A90,'Budget-ACPLSZ'!AI:AI)+SUMIF('Budget-ACPLGZ'!$A:$A,$A90,'Budget-ACPLGZ'!AI:AI)+SUMIF('Budget-Yixing'!$A:$A,$A90,'Budget-Yixing'!AI:AI)</f>
        <v>348</v>
      </c>
      <c r="AJ90" s="688">
        <f ca="1">SUMIF('Budget-ACPL'!$A:$A,$A90,'Budget-ACPL'!AJ:AJ)+SUMIF('Budget-ACPLHK'!$A:$A,$A90,'Budget-ACPLHK'!AJ:AJ)+SUMIF('Budget-ACPSZL'!$A:$A,$A90,'Budget-ACPSZL'!AJ:AJ)+SUMIF('Budget-ACPLSZ'!$A:$A,$A90,'Budget-ACPLSZ'!AJ:AJ)+SUMIF('Budget-ACPLGZ'!$A:$A,$A90,'Budget-ACPLGZ'!AJ:AJ)+SUMIF('Budget-Yixing'!$A:$A,$A90,'Budget-Yixing'!AJ:AJ)</f>
        <v>348</v>
      </c>
      <c r="AK90" s="688">
        <f t="shared" ca="1" si="33"/>
        <v>5806</v>
      </c>
    </row>
    <row r="91" spans="1:37" ht="11.1" hidden="1" customHeight="1">
      <c r="A91" s="713" t="s">
        <v>1684</v>
      </c>
      <c r="B91" s="687" t="str">
        <f>VLOOKUP(A91,Account!A:B,2,0)</f>
        <v>其他</v>
      </c>
      <c r="C91" s="687">
        <f>VLOOKUP(A91,Account!A:F,4,0)</f>
        <v>0</v>
      </c>
      <c r="D91" s="676">
        <f t="shared" ca="1" si="27"/>
        <v>0</v>
      </c>
      <c r="E91" s="676" t="e">
        <f t="shared" si="28"/>
        <v>#N/A</v>
      </c>
      <c r="F91" s="676" t="e">
        <f t="shared" ca="1" si="24"/>
        <v>#N/A</v>
      </c>
      <c r="G91" s="676">
        <f t="shared" ca="1" si="29"/>
        <v>0</v>
      </c>
      <c r="H91" s="676" t="e">
        <f t="shared" ca="1" si="30"/>
        <v>#N/A</v>
      </c>
      <c r="I91" s="676" t="e">
        <f t="shared" ca="1" si="31"/>
        <v>#N/A</v>
      </c>
      <c r="K91" s="676">
        <f ca="1">SUMIF('Budget-ACPL'!$A:$A,$A91,'Budget-ACPL'!K:K)+SUMIF('Budget-ACPLHK'!$A:$A,$A91,'Budget-ACPLHK'!K:K)+SUMIF('Budget-ACPSZL'!$A:$A,$A91,'Budget-ACPSZL'!K:K)+SUMIF('Budget-ACPLSZ'!$A:$A,$A91,'Budget-ACPLSZ'!K:K)+SUMIF('Budget-ACPLGZ'!$A:$A,$A91,'Budget-ACPLGZ'!K:K)+SUMIF('Budget-Yixing'!$A:$A,$A91,'Budget-Yixing'!K:K)</f>
        <v>0</v>
      </c>
      <c r="L91" s="676">
        <f ca="1">SUMIF('Budget-ACPL'!$A:$A,$A91,'Budget-ACPL'!L:L)+SUMIF('Budget-ACPLHK'!$A:$A,$A91,'Budget-ACPLHK'!L:L)+SUMIF('Budget-ACPSZL'!$A:$A,$A91,'Budget-ACPSZL'!L:L)+SUMIF('Budget-ACPLSZ'!$A:$A,$A91,'Budget-ACPLSZ'!L:L)+SUMIF('Budget-ACPLGZ'!$A:$A,$A91,'Budget-ACPLGZ'!L:L)+SUMIF('Budget-Yixing'!$A:$A,$A91,'Budget-Yixing'!L:L)</f>
        <v>0</v>
      </c>
      <c r="M91" s="676">
        <f ca="1">SUMIF('Budget-ACPL'!$A:$A,$A91,'Budget-ACPL'!M:M)+SUMIF('Budget-ACPLHK'!$A:$A,$A91,'Budget-ACPLHK'!M:M)+SUMIF('Budget-ACPSZL'!$A:$A,$A91,'Budget-ACPSZL'!M:M)+SUMIF('Budget-ACPLSZ'!$A:$A,$A91,'Budget-ACPLSZ'!M:M)+SUMIF('Budget-ACPLGZ'!$A:$A,$A91,'Budget-ACPLGZ'!M:M)+SUMIF('Budget-Yixing'!$A:$A,$A91,'Budget-Yixing'!M:M)</f>
        <v>0</v>
      </c>
      <c r="N91" s="676">
        <f ca="1">SUMIF('Budget-ACPL'!$A:$A,$A91,'Budget-ACPL'!N:N)+SUMIF('Budget-ACPLHK'!$A:$A,$A91,'Budget-ACPLHK'!N:N)+SUMIF('Budget-ACPSZL'!$A:$A,$A91,'Budget-ACPSZL'!N:N)+SUMIF('Budget-ACPLSZ'!$A:$A,$A91,'Budget-ACPLSZ'!N:N)+SUMIF('Budget-ACPLGZ'!$A:$A,$A91,'Budget-ACPLGZ'!N:N)+SUMIF('Budget-Yixing'!$A:$A,$A91,'Budget-Yixing'!N:N)</f>
        <v>0</v>
      </c>
      <c r="O91" s="676">
        <f ca="1">SUMIF('Budget-ACPL'!$A:$A,$A91,'Budget-ACPL'!O:O)+SUMIF('Budget-ACPLHK'!$A:$A,$A91,'Budget-ACPLHK'!O:O)+SUMIF('Budget-ACPSZL'!$A:$A,$A91,'Budget-ACPSZL'!O:O)+SUMIF('Budget-ACPLSZ'!$A:$A,$A91,'Budget-ACPLSZ'!O:O)+SUMIF('Budget-ACPLGZ'!$A:$A,$A91,'Budget-ACPLGZ'!O:O)+SUMIF('Budget-Yixing'!$A:$A,$A91,'Budget-Yixing'!O:O)</f>
        <v>0</v>
      </c>
      <c r="P91" s="676">
        <f ca="1">SUMIF('Budget-ACPL'!$A:$A,$A91,'Budget-ACPL'!P:P)+SUMIF('Budget-ACPLHK'!$A:$A,$A91,'Budget-ACPLHK'!P:P)+SUMIF('Budget-ACPSZL'!$A:$A,$A91,'Budget-ACPSZL'!P:P)+SUMIF('Budget-ACPLSZ'!$A:$A,$A91,'Budget-ACPLSZ'!P:P)+SUMIF('Budget-ACPLGZ'!$A:$A,$A91,'Budget-ACPLGZ'!P:P)+SUMIF('Budget-Yixing'!$A:$A,$A91,'Budget-Yixing'!P:P)</f>
        <v>0</v>
      </c>
      <c r="Q91" s="676">
        <f ca="1">SUMIF('Budget-ACPL'!$A:$A,$A91,'Budget-ACPL'!Q:Q)+SUMIF('Budget-ACPLHK'!$A:$A,$A91,'Budget-ACPLHK'!Q:Q)+SUMIF('Budget-ACPSZL'!$A:$A,$A91,'Budget-ACPSZL'!Q:Q)+SUMIF('Budget-ACPLSZ'!$A:$A,$A91,'Budget-ACPLSZ'!Q:Q)+SUMIF('Budget-ACPLGZ'!$A:$A,$A91,'Budget-ACPLGZ'!Q:Q)+SUMIF('Budget-Yixing'!$A:$A,$A91,'Budget-Yixing'!Q:Q)</f>
        <v>0</v>
      </c>
      <c r="R91" s="676">
        <f ca="1">SUMIF('Budget-ACPL'!$A:$A,$A91,'Budget-ACPL'!R:R)+SUMIF('Budget-ACPLHK'!$A:$A,$A91,'Budget-ACPLHK'!R:R)+SUMIF('Budget-ACPSZL'!$A:$A,$A91,'Budget-ACPSZL'!R:R)+SUMIF('Budget-ACPLSZ'!$A:$A,$A91,'Budget-ACPLSZ'!R:R)+SUMIF('Budget-ACPLGZ'!$A:$A,$A91,'Budget-ACPLGZ'!R:R)+SUMIF('Budget-Yixing'!$A:$A,$A91,'Budget-Yixing'!R:R)</f>
        <v>0</v>
      </c>
      <c r="S91" s="676">
        <f ca="1">SUMIF('Budget-ACPL'!$A:$A,$A91,'Budget-ACPL'!S:S)+SUMIF('Budget-ACPLHK'!$A:$A,$A91,'Budget-ACPLHK'!S:S)+SUMIF('Budget-ACPSZL'!$A:$A,$A91,'Budget-ACPSZL'!S:S)+SUMIF('Budget-ACPLSZ'!$A:$A,$A91,'Budget-ACPLSZ'!S:S)+SUMIF('Budget-ACPLGZ'!$A:$A,$A91,'Budget-ACPLGZ'!S:S)+SUMIF('Budget-Yixing'!$A:$A,$A91,'Budget-Yixing'!S:S)</f>
        <v>0</v>
      </c>
      <c r="T91" s="676">
        <f ca="1">SUMIF('Budget-ACPL'!$A:$A,$A91,'Budget-ACPL'!T:T)+SUMIF('Budget-ACPLHK'!$A:$A,$A91,'Budget-ACPLHK'!T:T)+SUMIF('Budget-ACPSZL'!$A:$A,$A91,'Budget-ACPSZL'!T:T)+SUMIF('Budget-ACPLSZ'!$A:$A,$A91,'Budget-ACPLSZ'!T:T)+SUMIF('Budget-ACPLGZ'!$A:$A,$A91,'Budget-ACPLGZ'!T:T)+SUMIF('Budget-Yixing'!$A:$A,$A91,'Budget-Yixing'!T:T)</f>
        <v>0</v>
      </c>
      <c r="U91" s="676">
        <f ca="1">SUMIF('Budget-ACPL'!$A:$A,$A91,'Budget-ACPL'!U:U)+SUMIF('Budget-ACPLHK'!$A:$A,$A91,'Budget-ACPLHK'!U:U)+SUMIF('Budget-ACPSZL'!$A:$A,$A91,'Budget-ACPSZL'!U:U)+SUMIF('Budget-ACPLSZ'!$A:$A,$A91,'Budget-ACPLSZ'!U:U)+SUMIF('Budget-ACPLGZ'!$A:$A,$A91,'Budget-ACPLGZ'!U:U)+SUMIF('Budget-Yixing'!$A:$A,$A91,'Budget-Yixing'!U:U)</f>
        <v>0</v>
      </c>
      <c r="V91" s="676">
        <f ca="1">SUMIF('Budget-ACPL'!$A:$A,$A91,'Budget-ACPL'!V:V)+SUMIF('Budget-ACPLHK'!$A:$A,$A91,'Budget-ACPLHK'!V:V)+SUMIF('Budget-ACPSZL'!$A:$A,$A91,'Budget-ACPSZL'!V:V)+SUMIF('Budget-ACPLSZ'!$A:$A,$A91,'Budget-ACPLSZ'!V:V)+SUMIF('Budget-ACPLGZ'!$A:$A,$A91,'Budget-ACPLGZ'!V:V)+SUMIF('Budget-Yixing'!$A:$A,$A91,'Budget-Yixing'!V:V)</f>
        <v>0</v>
      </c>
      <c r="W91" s="676">
        <f t="shared" ref="W91:W115" ca="1" si="36">SUM(K91:V91)</f>
        <v>0</v>
      </c>
      <c r="Y91" s="688">
        <f ca="1">SUMIF('Budget-ACPL'!$A:$A,$A91,'Budget-ACPL'!Y:Y)+SUMIF('Budget-ACPLHK'!$A:$A,$A91,'Budget-ACPLHK'!Y:Y)+SUMIF('Budget-ACPSZL'!$A:$A,$A91,'Budget-ACPSZL'!Y:Y)+SUMIF('Budget-ACPLSZ'!$A:$A,$A91,'Budget-ACPLSZ'!Y:Y)+SUMIF('Budget-ACPLGZ'!$A:$A,$A91,'Budget-ACPLGZ'!Y:Y)+SUMIF('Budget-Yixing'!$A:$A,$A91,'Budget-Yixing'!Y:Y)</f>
        <v>1500.75</v>
      </c>
      <c r="Z91" s="688">
        <f ca="1">SUMIF('Budget-ACPL'!$A:$A,$A91,'Budget-ACPL'!Z:Z)+SUMIF('Budget-ACPLHK'!$A:$A,$A91,'Budget-ACPLHK'!Z:Z)+SUMIF('Budget-ACPSZL'!$A:$A,$A91,'Budget-ACPSZL'!Z:Z)+SUMIF('Budget-ACPLSZ'!$A:$A,$A91,'Budget-ACPLSZ'!Z:Z)+SUMIF('Budget-ACPLGZ'!$A:$A,$A91,'Budget-ACPLGZ'!Z:Z)+SUMIF('Budget-Yixing'!$A:$A,$A91,'Budget-Yixing'!Z:Z)</f>
        <v>6200</v>
      </c>
      <c r="AA91" s="688">
        <f ca="1">SUMIF('Budget-ACPL'!$A:$A,$A91,'Budget-ACPL'!AA:AA)+SUMIF('Budget-ACPLHK'!$A:$A,$A91,'Budget-ACPLHK'!AA:AA)+SUMIF('Budget-ACPSZL'!$A:$A,$A91,'Budget-ACPSZL'!AA:AA)+SUMIF('Budget-ACPLSZ'!$A:$A,$A91,'Budget-ACPLSZ'!AA:AA)+SUMIF('Budget-ACPLGZ'!$A:$A,$A91,'Budget-ACPLGZ'!AA:AA)+SUMIF('Budget-Yixing'!$A:$A,$A91,'Budget-Yixing'!AA:AA)</f>
        <v>0</v>
      </c>
      <c r="AB91" s="688">
        <f ca="1">SUMIF('Budget-ACPL'!$A:$A,$A91,'Budget-ACPL'!AB:AB)+SUMIF('Budget-ACPLHK'!$A:$A,$A91,'Budget-ACPLHK'!AB:AB)+SUMIF('Budget-ACPSZL'!$A:$A,$A91,'Budget-ACPSZL'!AB:AB)+SUMIF('Budget-ACPLSZ'!$A:$A,$A91,'Budget-ACPLSZ'!AB:AB)+SUMIF('Budget-ACPLGZ'!$A:$A,$A91,'Budget-ACPLGZ'!AB:AB)+SUMIF('Budget-Yixing'!$A:$A,$A91,'Budget-Yixing'!AB:AB)</f>
        <v>0</v>
      </c>
      <c r="AC91" s="688">
        <f ca="1">SUMIF('Budget-ACPL'!$A:$A,$A91,'Budget-ACPL'!AC:AC)+SUMIF('Budget-ACPLHK'!$A:$A,$A91,'Budget-ACPLHK'!AC:AC)+SUMIF('Budget-ACPSZL'!$A:$A,$A91,'Budget-ACPSZL'!AC:AC)+SUMIF('Budget-ACPLSZ'!$A:$A,$A91,'Budget-ACPLSZ'!AC:AC)+SUMIF('Budget-ACPLGZ'!$A:$A,$A91,'Budget-ACPLGZ'!AC:AC)+SUMIF('Budget-Yixing'!$A:$A,$A91,'Budget-Yixing'!AC:AC)</f>
        <v>0</v>
      </c>
      <c r="AD91" s="688">
        <f ca="1">SUMIF('Budget-ACPL'!$A:$A,$A91,'Budget-ACPL'!AD:AD)+SUMIF('Budget-ACPLHK'!$A:$A,$A91,'Budget-ACPLHK'!AD:AD)+SUMIF('Budget-ACPSZL'!$A:$A,$A91,'Budget-ACPSZL'!AD:AD)+SUMIF('Budget-ACPLSZ'!$A:$A,$A91,'Budget-ACPLSZ'!AD:AD)+SUMIF('Budget-ACPLGZ'!$A:$A,$A91,'Budget-ACPLGZ'!AD:AD)+SUMIF('Budget-Yixing'!$A:$A,$A91,'Budget-Yixing'!AD:AD)</f>
        <v>0</v>
      </c>
      <c r="AE91" s="688">
        <f ca="1">SUMIF('Budget-ACPL'!$A:$A,$A91,'Budget-ACPL'!AE:AE)+SUMIF('Budget-ACPLHK'!$A:$A,$A91,'Budget-ACPLHK'!AE:AE)+SUMIF('Budget-ACPSZL'!$A:$A,$A91,'Budget-ACPSZL'!AE:AE)+SUMIF('Budget-ACPLSZ'!$A:$A,$A91,'Budget-ACPLSZ'!AE:AE)+SUMIF('Budget-ACPLGZ'!$A:$A,$A91,'Budget-ACPLGZ'!AE:AE)+SUMIF('Budget-Yixing'!$A:$A,$A91,'Budget-Yixing'!AE:AE)</f>
        <v>2400</v>
      </c>
      <c r="AF91" s="688">
        <f ca="1">SUMIF('Budget-ACPL'!$A:$A,$A91,'Budget-ACPL'!AF:AF)+SUMIF('Budget-ACPLHK'!$A:$A,$A91,'Budget-ACPLHK'!AF:AF)+SUMIF('Budget-ACPSZL'!$A:$A,$A91,'Budget-ACPSZL'!AF:AF)+SUMIF('Budget-ACPLSZ'!$A:$A,$A91,'Budget-ACPLSZ'!AF:AF)+SUMIF('Budget-ACPLGZ'!$A:$A,$A91,'Budget-ACPLGZ'!AF:AF)+SUMIF('Budget-Yixing'!$A:$A,$A91,'Budget-Yixing'!AF:AF)</f>
        <v>0</v>
      </c>
      <c r="AG91" s="688">
        <f ca="1">SUMIF('Budget-ACPL'!$A:$A,$A91,'Budget-ACPL'!AG:AG)+SUMIF('Budget-ACPLHK'!$A:$A,$A91,'Budget-ACPLHK'!AG:AG)+SUMIF('Budget-ACPSZL'!$A:$A,$A91,'Budget-ACPSZL'!AG:AG)+SUMIF('Budget-ACPLSZ'!$A:$A,$A91,'Budget-ACPLSZ'!AG:AG)+SUMIF('Budget-ACPLGZ'!$A:$A,$A91,'Budget-ACPLGZ'!AG:AG)+SUMIF('Budget-Yixing'!$A:$A,$A91,'Budget-Yixing'!AG:AG)</f>
        <v>0</v>
      </c>
      <c r="AH91" s="688">
        <f ca="1">SUMIF('Budget-ACPL'!$A:$A,$A91,'Budget-ACPL'!AH:AH)+SUMIF('Budget-ACPLHK'!$A:$A,$A91,'Budget-ACPLHK'!AH:AH)+SUMIF('Budget-ACPSZL'!$A:$A,$A91,'Budget-ACPSZL'!AH:AH)+SUMIF('Budget-ACPLSZ'!$A:$A,$A91,'Budget-ACPLSZ'!AH:AH)+SUMIF('Budget-ACPLGZ'!$A:$A,$A91,'Budget-ACPLGZ'!AH:AH)+SUMIF('Budget-Yixing'!$A:$A,$A91,'Budget-Yixing'!AH:AH)</f>
        <v>0</v>
      </c>
      <c r="AI91" s="688">
        <f ca="1">SUMIF('Budget-ACPL'!$A:$A,$A91,'Budget-ACPL'!AI:AI)+SUMIF('Budget-ACPLHK'!$A:$A,$A91,'Budget-ACPLHK'!AI:AI)+SUMIF('Budget-ACPSZL'!$A:$A,$A91,'Budget-ACPSZL'!AI:AI)+SUMIF('Budget-ACPLSZ'!$A:$A,$A91,'Budget-ACPLSZ'!AI:AI)+SUMIF('Budget-ACPLGZ'!$A:$A,$A91,'Budget-ACPLGZ'!AI:AI)+SUMIF('Budget-Yixing'!$A:$A,$A91,'Budget-Yixing'!AI:AI)</f>
        <v>0</v>
      </c>
      <c r="AJ91" s="688">
        <f ca="1">SUMIF('Budget-ACPL'!$A:$A,$A91,'Budget-ACPL'!AJ:AJ)+SUMIF('Budget-ACPLHK'!$A:$A,$A91,'Budget-ACPLHK'!AJ:AJ)+SUMIF('Budget-ACPSZL'!$A:$A,$A91,'Budget-ACPSZL'!AJ:AJ)+SUMIF('Budget-ACPLSZ'!$A:$A,$A91,'Budget-ACPLSZ'!AJ:AJ)+SUMIF('Budget-ACPLGZ'!$A:$A,$A91,'Budget-ACPLGZ'!AJ:AJ)+SUMIF('Budget-Yixing'!$A:$A,$A91,'Budget-Yixing'!AJ:AJ)</f>
        <v>0</v>
      </c>
      <c r="AK91" s="688">
        <f t="shared" ca="1" si="33"/>
        <v>10100.75</v>
      </c>
    </row>
    <row r="92" spans="1:37" ht="12.95" customHeight="1">
      <c r="A92" s="716" t="s">
        <v>1686</v>
      </c>
      <c r="B92" s="717" t="s">
        <v>1687</v>
      </c>
      <c r="C92" s="687">
        <f>VLOOKUP(A92,Account!A:F,4,0)</f>
        <v>0</v>
      </c>
      <c r="D92" s="676">
        <f t="shared" ca="1" si="27"/>
        <v>202933.82466666668</v>
      </c>
      <c r="E92" s="676" t="e">
        <f t="shared" si="28"/>
        <v>#N/A</v>
      </c>
      <c r="F92" s="676" t="e">
        <f t="shared" ca="1" si="24"/>
        <v>#N/A</v>
      </c>
      <c r="G92" s="676">
        <f t="shared" ca="1" si="29"/>
        <v>202933.82466666668</v>
      </c>
      <c r="H92" s="676" t="e">
        <f t="shared" ca="1" si="30"/>
        <v>#N/A</v>
      </c>
      <c r="I92" s="676" t="e">
        <f t="shared" ca="1" si="31"/>
        <v>#N/A</v>
      </c>
      <c r="K92" s="676">
        <f ca="1">SUMIF('Budget-ACPL'!$A:$A,$A92,'Budget-ACPL'!K:K)+SUMIF('Budget-ACPLHK'!$A:$A,$A92,'Budget-ACPLHK'!K:K)+SUMIF('Budget-ACPSZL'!$A:$A,$A92,'Budget-ACPSZL'!K:K)+SUMIF('Budget-ACPLSZ'!$A:$A,$A92,'Budget-ACPLSZ'!K:K)+SUMIF('Budget-ACPLGZ'!$A:$A,$A92,'Budget-ACPLGZ'!K:K)+SUMIF('Budget-Yixing'!$A:$A,$A92,'Budget-Yixing'!K:K)</f>
        <v>202933.82466666668</v>
      </c>
      <c r="L92" s="676">
        <f ca="1">SUMIF('Budget-ACPL'!$A:$A,$A92,'Budget-ACPL'!L:L)+SUMIF('Budget-ACPLHK'!$A:$A,$A92,'Budget-ACPLHK'!L:L)+SUMIF('Budget-ACPSZL'!$A:$A,$A92,'Budget-ACPSZL'!L:L)+SUMIF('Budget-ACPLSZ'!$A:$A,$A92,'Budget-ACPLSZ'!L:L)+SUMIF('Budget-ACPLGZ'!$A:$A,$A92,'Budget-ACPLGZ'!L:L)+SUMIF('Budget-Yixing'!$A:$A,$A92,'Budget-Yixing'!L:L)</f>
        <v>202537.57333333336</v>
      </c>
      <c r="M92" s="676">
        <f ca="1">SUMIF('Budget-ACPL'!$A:$A,$A92,'Budget-ACPL'!M:M)+SUMIF('Budget-ACPLHK'!$A:$A,$A92,'Budget-ACPLHK'!M:M)+SUMIF('Budget-ACPSZL'!$A:$A,$A92,'Budget-ACPSZL'!M:M)+SUMIF('Budget-ACPLSZ'!$A:$A,$A92,'Budget-ACPLSZ'!M:M)+SUMIF('Budget-ACPLGZ'!$A:$A,$A92,'Budget-ACPLGZ'!M:M)+SUMIF('Budget-Yixing'!$A:$A,$A92,'Budget-Yixing'!M:M)</f>
        <v>202537.57333333336</v>
      </c>
      <c r="N92" s="676">
        <f ca="1">SUMIF('Budget-ACPL'!$A:$A,$A92,'Budget-ACPL'!N:N)+SUMIF('Budget-ACPLHK'!$A:$A,$A92,'Budget-ACPLHK'!N:N)+SUMIF('Budget-ACPSZL'!$A:$A,$A92,'Budget-ACPSZL'!N:N)+SUMIF('Budget-ACPLSZ'!$A:$A,$A92,'Budget-ACPLSZ'!N:N)+SUMIF('Budget-ACPLGZ'!$A:$A,$A92,'Budget-ACPLGZ'!N:N)+SUMIF('Budget-Yixing'!$A:$A,$A92,'Budget-Yixing'!N:N)</f>
        <v>202537.57333333336</v>
      </c>
      <c r="O92" s="676">
        <f ca="1">SUMIF('Budget-ACPL'!$A:$A,$A92,'Budget-ACPL'!O:O)+SUMIF('Budget-ACPLHK'!$A:$A,$A92,'Budget-ACPLHK'!O:O)+SUMIF('Budget-ACPSZL'!$A:$A,$A92,'Budget-ACPSZL'!O:O)+SUMIF('Budget-ACPLSZ'!$A:$A,$A92,'Budget-ACPLSZ'!O:O)+SUMIF('Budget-ACPLGZ'!$A:$A,$A92,'Budget-ACPLGZ'!O:O)+SUMIF('Budget-Yixing'!$A:$A,$A92,'Budget-Yixing'!O:O)</f>
        <v>202537.57333333336</v>
      </c>
      <c r="P92" s="676">
        <f ca="1">SUMIF('Budget-ACPL'!$A:$A,$A92,'Budget-ACPL'!P:P)+SUMIF('Budget-ACPLHK'!$A:$A,$A92,'Budget-ACPLHK'!P:P)+SUMIF('Budget-ACPSZL'!$A:$A,$A92,'Budget-ACPSZL'!P:P)+SUMIF('Budget-ACPLSZ'!$A:$A,$A92,'Budget-ACPLSZ'!P:P)+SUMIF('Budget-ACPLGZ'!$A:$A,$A92,'Budget-ACPLGZ'!P:P)+SUMIF('Budget-Yixing'!$A:$A,$A92,'Budget-Yixing'!P:P)</f>
        <v>202537.57333333336</v>
      </c>
      <c r="Q92" s="676">
        <f ca="1">SUMIF('Budget-ACPL'!$A:$A,$A92,'Budget-ACPL'!Q:Q)+SUMIF('Budget-ACPLHK'!$A:$A,$A92,'Budget-ACPLHK'!Q:Q)+SUMIF('Budget-ACPSZL'!$A:$A,$A92,'Budget-ACPSZL'!Q:Q)+SUMIF('Budget-ACPLSZ'!$A:$A,$A92,'Budget-ACPLSZ'!Q:Q)+SUMIF('Budget-ACPLGZ'!$A:$A,$A92,'Budget-ACPLGZ'!Q:Q)+SUMIF('Budget-Yixing'!$A:$A,$A92,'Budget-Yixing'!Q:Q)</f>
        <v>202537.57333333336</v>
      </c>
      <c r="R92" s="676">
        <f ca="1">SUMIF('Budget-ACPL'!$A:$A,$A92,'Budget-ACPL'!R:R)+SUMIF('Budget-ACPLHK'!$A:$A,$A92,'Budget-ACPLHK'!R:R)+SUMIF('Budget-ACPSZL'!$A:$A,$A92,'Budget-ACPSZL'!R:R)+SUMIF('Budget-ACPLSZ'!$A:$A,$A92,'Budget-ACPLSZ'!R:R)+SUMIF('Budget-ACPLGZ'!$A:$A,$A92,'Budget-ACPLGZ'!R:R)+SUMIF('Budget-Yixing'!$A:$A,$A92,'Budget-Yixing'!R:R)</f>
        <v>202537.57333333336</v>
      </c>
      <c r="S92" s="676">
        <f ca="1">SUMIF('Budget-ACPL'!$A:$A,$A92,'Budget-ACPL'!S:S)+SUMIF('Budget-ACPLHK'!$A:$A,$A92,'Budget-ACPLHK'!S:S)+SUMIF('Budget-ACPSZL'!$A:$A,$A92,'Budget-ACPSZL'!S:S)+SUMIF('Budget-ACPLSZ'!$A:$A,$A92,'Budget-ACPLSZ'!S:S)+SUMIF('Budget-ACPLGZ'!$A:$A,$A92,'Budget-ACPLGZ'!S:S)+SUMIF('Budget-Yixing'!$A:$A,$A92,'Budget-Yixing'!S:S)</f>
        <v>202537.57333333336</v>
      </c>
      <c r="T92" s="676">
        <f ca="1">SUMIF('Budget-ACPL'!$A:$A,$A92,'Budget-ACPL'!T:T)+SUMIF('Budget-ACPLHK'!$A:$A,$A92,'Budget-ACPLHK'!T:T)+SUMIF('Budget-ACPSZL'!$A:$A,$A92,'Budget-ACPSZL'!T:T)+SUMIF('Budget-ACPLSZ'!$A:$A,$A92,'Budget-ACPLSZ'!T:T)+SUMIF('Budget-ACPLGZ'!$A:$A,$A92,'Budget-ACPLGZ'!T:T)+SUMIF('Budget-Yixing'!$A:$A,$A92,'Budget-Yixing'!T:T)</f>
        <v>202537.57333333336</v>
      </c>
      <c r="U92" s="676">
        <f ca="1">SUMIF('Budget-ACPL'!$A:$A,$A92,'Budget-ACPL'!U:U)+SUMIF('Budget-ACPLHK'!$A:$A,$A92,'Budget-ACPLHK'!U:U)+SUMIF('Budget-ACPSZL'!$A:$A,$A92,'Budget-ACPSZL'!U:U)+SUMIF('Budget-ACPLSZ'!$A:$A,$A92,'Budget-ACPLSZ'!U:U)+SUMIF('Budget-ACPLGZ'!$A:$A,$A92,'Budget-ACPLGZ'!U:U)+SUMIF('Budget-Yixing'!$A:$A,$A92,'Budget-Yixing'!U:U)</f>
        <v>202537.57333333336</v>
      </c>
      <c r="V92" s="676">
        <f ca="1">SUMIF('Budget-ACPL'!$A:$A,$A92,'Budget-ACPL'!V:V)+SUMIF('Budget-ACPLHK'!$A:$A,$A92,'Budget-ACPLHK'!V:V)+SUMIF('Budget-ACPSZL'!$A:$A,$A92,'Budget-ACPSZL'!V:V)+SUMIF('Budget-ACPLSZ'!$A:$A,$A92,'Budget-ACPLSZ'!V:V)+SUMIF('Budget-ACPLGZ'!$A:$A,$A92,'Budget-ACPLGZ'!V:V)+SUMIF('Budget-Yixing'!$A:$A,$A92,'Budget-Yixing'!V:V)</f>
        <v>202537.57333333336</v>
      </c>
      <c r="W92" s="676">
        <f t="shared" ca="1" si="36"/>
        <v>2430847.131333333</v>
      </c>
      <c r="Y92" s="688">
        <f ca="1">SUMIF('Budget-ACPL'!$A:$A,$A92,'Budget-ACPL'!Y:Y)+SUMIF('Budget-ACPLHK'!$A:$A,$A92,'Budget-ACPLHK'!Y:Y)+SUMIF('Budget-ACPSZL'!$A:$A,$A92,'Budget-ACPSZL'!Y:Y)+SUMIF('Budget-ACPLSZ'!$A:$A,$A92,'Budget-ACPLSZ'!Y:Y)+SUMIF('Budget-ACPLGZ'!$A:$A,$A92,'Budget-ACPLGZ'!Y:Y)+SUMIF('Budget-Yixing'!$A:$A,$A92,'Budget-Yixing'!Y:Y)</f>
        <v>50486.47</v>
      </c>
      <c r="Z92" s="688">
        <f ca="1">SUMIF('Budget-ACPL'!$A:$A,$A92,'Budget-ACPL'!Z:Z)+SUMIF('Budget-ACPLHK'!$A:$A,$A92,'Budget-ACPLHK'!Z:Z)+SUMIF('Budget-ACPSZL'!$A:$A,$A92,'Budget-ACPSZL'!Z:Z)+SUMIF('Budget-ACPLSZ'!$A:$A,$A92,'Budget-ACPLSZ'!Z:Z)+SUMIF('Budget-ACPLGZ'!$A:$A,$A92,'Budget-ACPLGZ'!Z:Z)+SUMIF('Budget-Yixing'!$A:$A,$A92,'Budget-Yixing'!Z:Z)</f>
        <v>50142.95</v>
      </c>
      <c r="AA92" s="688">
        <f ca="1">SUMIF('Budget-ACPL'!$A:$A,$A92,'Budget-ACPL'!AA:AA)+SUMIF('Budget-ACPLHK'!$A:$A,$A92,'Budget-ACPLHK'!AA:AA)+SUMIF('Budget-ACPSZL'!$A:$A,$A92,'Budget-ACPSZL'!AA:AA)+SUMIF('Budget-ACPLSZ'!$A:$A,$A92,'Budget-ACPLSZ'!AA:AA)+SUMIF('Budget-ACPLGZ'!$A:$A,$A92,'Budget-ACPLGZ'!AA:AA)+SUMIF('Budget-Yixing'!$A:$A,$A92,'Budget-Yixing'!AA:AA)</f>
        <v>55844.069999999992</v>
      </c>
      <c r="AB92" s="688">
        <f ca="1">SUMIF('Budget-ACPL'!$A:$A,$A92,'Budget-ACPL'!AB:AB)+SUMIF('Budget-ACPLHK'!$A:$A,$A92,'Budget-ACPLHK'!AB:AB)+SUMIF('Budget-ACPSZL'!$A:$A,$A92,'Budget-ACPSZL'!AB:AB)+SUMIF('Budget-ACPLSZ'!$A:$A,$A92,'Budget-ACPLSZ'!AB:AB)+SUMIF('Budget-ACPLGZ'!$A:$A,$A92,'Budget-ACPLGZ'!AB:AB)+SUMIF('Budget-Yixing'!$A:$A,$A92,'Budget-Yixing'!AB:AB)</f>
        <v>36174.15</v>
      </c>
      <c r="AC92" s="688">
        <f ca="1">SUMIF('Budget-ACPL'!$A:$A,$A92,'Budget-ACPL'!AC:AC)+SUMIF('Budget-ACPLHK'!$A:$A,$A92,'Budget-ACPLHK'!AC:AC)+SUMIF('Budget-ACPSZL'!$A:$A,$A92,'Budget-ACPSZL'!AC:AC)+SUMIF('Budget-ACPLSZ'!$A:$A,$A92,'Budget-ACPLSZ'!AC:AC)+SUMIF('Budget-ACPLGZ'!$A:$A,$A92,'Budget-ACPLGZ'!AC:AC)+SUMIF('Budget-Yixing'!$A:$A,$A92,'Budget-Yixing'!AC:AC)</f>
        <v>130918.25</v>
      </c>
      <c r="AD92" s="688">
        <f ca="1">SUMIF('Budget-ACPL'!$A:$A,$A92,'Budget-ACPL'!AD:AD)+SUMIF('Budget-ACPLHK'!$A:$A,$A92,'Budget-ACPLHK'!AD:AD)+SUMIF('Budget-ACPSZL'!$A:$A,$A92,'Budget-ACPSZL'!AD:AD)+SUMIF('Budget-ACPLSZ'!$A:$A,$A92,'Budget-ACPLSZ'!AD:AD)+SUMIF('Budget-ACPLGZ'!$A:$A,$A92,'Budget-ACPLGZ'!AD:AD)+SUMIF('Budget-Yixing'!$A:$A,$A92,'Budget-Yixing'!AD:AD)</f>
        <v>84968.23000000001</v>
      </c>
      <c r="AE92" s="688">
        <f ca="1">SUMIF('Budget-ACPL'!$A:$A,$A92,'Budget-ACPL'!AE:AE)+SUMIF('Budget-ACPLHK'!$A:$A,$A92,'Budget-ACPLHK'!AE:AE)+SUMIF('Budget-ACPSZL'!$A:$A,$A92,'Budget-ACPSZL'!AE:AE)+SUMIF('Budget-ACPLSZ'!$A:$A,$A92,'Budget-ACPLSZ'!AE:AE)+SUMIF('Budget-ACPLGZ'!$A:$A,$A92,'Budget-ACPLGZ'!AE:AE)+SUMIF('Budget-Yixing'!$A:$A,$A92,'Budget-Yixing'!AE:AE)</f>
        <v>84695.77</v>
      </c>
      <c r="AF92" s="688">
        <f ca="1">SUMIF('Budget-ACPL'!$A:$A,$A92,'Budget-ACPL'!AF:AF)+SUMIF('Budget-ACPLHK'!$A:$A,$A92,'Budget-ACPLHK'!AF:AF)+SUMIF('Budget-ACPSZL'!$A:$A,$A92,'Budget-ACPSZL'!AF:AF)+SUMIF('Budget-ACPLSZ'!$A:$A,$A92,'Budget-ACPLSZ'!AF:AF)+SUMIF('Budget-ACPLGZ'!$A:$A,$A92,'Budget-ACPLGZ'!AF:AF)+SUMIF('Budget-Yixing'!$A:$A,$A92,'Budget-Yixing'!AF:AF)</f>
        <v>106576.23</v>
      </c>
      <c r="AG92" s="688">
        <f ca="1">SUMIF('Budget-ACPL'!$A:$A,$A92,'Budget-ACPL'!AG:AG)+SUMIF('Budget-ACPLHK'!$A:$A,$A92,'Budget-ACPLHK'!AG:AG)+SUMIF('Budget-ACPSZL'!$A:$A,$A92,'Budget-ACPSZL'!AG:AG)+SUMIF('Budget-ACPLSZ'!$A:$A,$A92,'Budget-ACPLSZ'!AG:AG)+SUMIF('Budget-ACPLGZ'!$A:$A,$A92,'Budget-ACPLGZ'!AG:AG)+SUMIF('Budget-Yixing'!$A:$A,$A92,'Budget-Yixing'!AG:AG)</f>
        <v>154719.35</v>
      </c>
      <c r="AH92" s="688">
        <f ca="1">SUMIF('Budget-ACPL'!$A:$A,$A92,'Budget-ACPL'!AH:AH)+SUMIF('Budget-ACPLHK'!$A:$A,$A92,'Budget-ACPLHK'!AH:AH)+SUMIF('Budget-ACPSZL'!$A:$A,$A92,'Budget-ACPSZL'!AH:AH)+SUMIF('Budget-ACPLSZ'!$A:$A,$A92,'Budget-ACPLSZ'!AH:AH)+SUMIF('Budget-ACPLGZ'!$A:$A,$A92,'Budget-ACPLGZ'!AH:AH)+SUMIF('Budget-Yixing'!$A:$A,$A92,'Budget-Yixing'!AH:AH)</f>
        <v>38719.740000000005</v>
      </c>
      <c r="AI92" s="688">
        <f ca="1">SUMIF('Budget-ACPL'!$A:$A,$A92,'Budget-ACPL'!AI:AI)+SUMIF('Budget-ACPLHK'!$A:$A,$A92,'Budget-ACPLHK'!AI:AI)+SUMIF('Budget-ACPSZL'!$A:$A,$A92,'Budget-ACPSZL'!AI:AI)+SUMIF('Budget-ACPLSZ'!$A:$A,$A92,'Budget-ACPLSZ'!AI:AI)+SUMIF('Budget-ACPLGZ'!$A:$A,$A92,'Budget-ACPLGZ'!AI:AI)+SUMIF('Budget-Yixing'!$A:$A,$A92,'Budget-Yixing'!AI:AI)</f>
        <v>82400.41</v>
      </c>
      <c r="AJ92" s="688">
        <f ca="1">SUMIF('Budget-ACPL'!$A:$A,$A92,'Budget-ACPL'!AJ:AJ)+SUMIF('Budget-ACPLHK'!$A:$A,$A92,'Budget-ACPLHK'!AJ:AJ)+SUMIF('Budget-ACPSZL'!$A:$A,$A92,'Budget-ACPSZL'!AJ:AJ)+SUMIF('Budget-ACPLSZ'!$A:$A,$A92,'Budget-ACPLSZ'!AJ:AJ)+SUMIF('Budget-ACPLGZ'!$A:$A,$A92,'Budget-ACPLGZ'!AJ:AJ)+SUMIF('Budget-Yixing'!$A:$A,$A92,'Budget-Yixing'!AJ:AJ)</f>
        <v>249542.66</v>
      </c>
      <c r="AK92" s="688">
        <f t="shared" ca="1" si="33"/>
        <v>1125188.28</v>
      </c>
    </row>
    <row r="93" spans="1:37" ht="11.1" customHeight="1">
      <c r="A93" s="713" t="s">
        <v>1690</v>
      </c>
      <c r="B93" s="687" t="str">
        <f>VLOOKUP(A93,Account!A:B,2,0)</f>
        <v>住宿费</v>
      </c>
      <c r="C93" s="687" t="str">
        <f>VLOOKUP(A93,Account!A:F,4,0)</f>
        <v>Travel Lodging</v>
      </c>
      <c r="D93" s="676">
        <f t="shared" ca="1" si="27"/>
        <v>76404.309500000003</v>
      </c>
      <c r="E93" s="676" t="e">
        <f t="shared" si="28"/>
        <v>#N/A</v>
      </c>
      <c r="F93" s="676" t="e">
        <f t="shared" ca="1" si="24"/>
        <v>#N/A</v>
      </c>
      <c r="G93" s="676">
        <f t="shared" ca="1" si="29"/>
        <v>76404.309500000003</v>
      </c>
      <c r="H93" s="676" t="e">
        <f t="shared" ca="1" si="30"/>
        <v>#N/A</v>
      </c>
      <c r="I93" s="676" t="e">
        <f t="shared" ca="1" si="31"/>
        <v>#N/A</v>
      </c>
      <c r="K93" s="676">
        <f ca="1">SUMIF('Budget-ACPL'!$A:$A,$A93,'Budget-ACPL'!K:K)+SUMIF('Budget-ACPLHK'!$A:$A,$A93,'Budget-ACPLHK'!K:K)+SUMIF('Budget-ACPSZL'!$A:$A,$A93,'Budget-ACPSZL'!K:K)+SUMIF('Budget-ACPLSZ'!$A:$A,$A93,'Budget-ACPLSZ'!K:K)+SUMIF('Budget-ACPLGZ'!$A:$A,$A93,'Budget-ACPLGZ'!K:K)+SUMIF('Budget-Yixing'!$A:$A,$A93,'Budget-Yixing'!K:K)</f>
        <v>76404.309500000003</v>
      </c>
      <c r="L93" s="676">
        <f ca="1">SUMIF('Budget-ACPL'!$A:$A,$A93,'Budget-ACPL'!L:L)+SUMIF('Budget-ACPLHK'!$A:$A,$A93,'Budget-ACPLHK'!L:L)+SUMIF('Budget-ACPSZL'!$A:$A,$A93,'Budget-ACPSZL'!L:L)+SUMIF('Budget-ACPLSZ'!$A:$A,$A93,'Budget-ACPLSZ'!L:L)+SUMIF('Budget-ACPLGZ'!$A:$A,$A93,'Budget-ACPLGZ'!L:L)+SUMIF('Budget-Yixing'!$A:$A,$A93,'Budget-Yixing'!L:L)</f>
        <v>76255.91</v>
      </c>
      <c r="M93" s="676">
        <f ca="1">SUMIF('Budget-ACPL'!$A:$A,$A93,'Budget-ACPL'!M:M)+SUMIF('Budget-ACPLHK'!$A:$A,$A93,'Budget-ACPLHK'!M:M)+SUMIF('Budget-ACPSZL'!$A:$A,$A93,'Budget-ACPSZL'!M:M)+SUMIF('Budget-ACPLSZ'!$A:$A,$A93,'Budget-ACPLSZ'!M:M)+SUMIF('Budget-ACPLGZ'!$A:$A,$A93,'Budget-ACPLGZ'!M:M)+SUMIF('Budget-Yixing'!$A:$A,$A93,'Budget-Yixing'!M:M)</f>
        <v>76255.91</v>
      </c>
      <c r="N93" s="676">
        <f ca="1">SUMIF('Budget-ACPL'!$A:$A,$A93,'Budget-ACPL'!N:N)+SUMIF('Budget-ACPLHK'!$A:$A,$A93,'Budget-ACPLHK'!N:N)+SUMIF('Budget-ACPSZL'!$A:$A,$A93,'Budget-ACPSZL'!N:N)+SUMIF('Budget-ACPLSZ'!$A:$A,$A93,'Budget-ACPLSZ'!N:N)+SUMIF('Budget-ACPLGZ'!$A:$A,$A93,'Budget-ACPLGZ'!N:N)+SUMIF('Budget-Yixing'!$A:$A,$A93,'Budget-Yixing'!N:N)</f>
        <v>76255.91</v>
      </c>
      <c r="O93" s="676">
        <f ca="1">SUMIF('Budget-ACPL'!$A:$A,$A93,'Budget-ACPL'!O:O)+SUMIF('Budget-ACPLHK'!$A:$A,$A93,'Budget-ACPLHK'!O:O)+SUMIF('Budget-ACPSZL'!$A:$A,$A93,'Budget-ACPSZL'!O:O)+SUMIF('Budget-ACPLSZ'!$A:$A,$A93,'Budget-ACPLSZ'!O:O)+SUMIF('Budget-ACPLGZ'!$A:$A,$A93,'Budget-ACPLGZ'!O:O)+SUMIF('Budget-Yixing'!$A:$A,$A93,'Budget-Yixing'!O:O)</f>
        <v>76255.91</v>
      </c>
      <c r="P93" s="676">
        <f ca="1">SUMIF('Budget-ACPL'!$A:$A,$A93,'Budget-ACPL'!P:P)+SUMIF('Budget-ACPLHK'!$A:$A,$A93,'Budget-ACPLHK'!P:P)+SUMIF('Budget-ACPSZL'!$A:$A,$A93,'Budget-ACPSZL'!P:P)+SUMIF('Budget-ACPLSZ'!$A:$A,$A93,'Budget-ACPLSZ'!P:P)+SUMIF('Budget-ACPLGZ'!$A:$A,$A93,'Budget-ACPLGZ'!P:P)+SUMIF('Budget-Yixing'!$A:$A,$A93,'Budget-Yixing'!P:P)</f>
        <v>76255.91</v>
      </c>
      <c r="Q93" s="676">
        <f ca="1">SUMIF('Budget-ACPL'!$A:$A,$A93,'Budget-ACPL'!Q:Q)+SUMIF('Budget-ACPLHK'!$A:$A,$A93,'Budget-ACPLHK'!Q:Q)+SUMIF('Budget-ACPSZL'!$A:$A,$A93,'Budget-ACPSZL'!Q:Q)+SUMIF('Budget-ACPLSZ'!$A:$A,$A93,'Budget-ACPLSZ'!Q:Q)+SUMIF('Budget-ACPLGZ'!$A:$A,$A93,'Budget-ACPLGZ'!Q:Q)+SUMIF('Budget-Yixing'!$A:$A,$A93,'Budget-Yixing'!Q:Q)</f>
        <v>76255.91</v>
      </c>
      <c r="R93" s="676">
        <f ca="1">SUMIF('Budget-ACPL'!$A:$A,$A93,'Budget-ACPL'!R:R)+SUMIF('Budget-ACPLHK'!$A:$A,$A93,'Budget-ACPLHK'!R:R)+SUMIF('Budget-ACPSZL'!$A:$A,$A93,'Budget-ACPSZL'!R:R)+SUMIF('Budget-ACPLSZ'!$A:$A,$A93,'Budget-ACPLSZ'!R:R)+SUMIF('Budget-ACPLGZ'!$A:$A,$A93,'Budget-ACPLGZ'!R:R)+SUMIF('Budget-Yixing'!$A:$A,$A93,'Budget-Yixing'!R:R)</f>
        <v>76255.91</v>
      </c>
      <c r="S93" s="676">
        <f ca="1">SUMIF('Budget-ACPL'!$A:$A,$A93,'Budget-ACPL'!S:S)+SUMIF('Budget-ACPLHK'!$A:$A,$A93,'Budget-ACPLHK'!S:S)+SUMIF('Budget-ACPSZL'!$A:$A,$A93,'Budget-ACPSZL'!S:S)+SUMIF('Budget-ACPLSZ'!$A:$A,$A93,'Budget-ACPLSZ'!S:S)+SUMIF('Budget-ACPLGZ'!$A:$A,$A93,'Budget-ACPLGZ'!S:S)+SUMIF('Budget-Yixing'!$A:$A,$A93,'Budget-Yixing'!S:S)</f>
        <v>76255.91</v>
      </c>
      <c r="T93" s="676">
        <f ca="1">SUMIF('Budget-ACPL'!$A:$A,$A93,'Budget-ACPL'!T:T)+SUMIF('Budget-ACPLHK'!$A:$A,$A93,'Budget-ACPLHK'!T:T)+SUMIF('Budget-ACPSZL'!$A:$A,$A93,'Budget-ACPSZL'!T:T)+SUMIF('Budget-ACPLSZ'!$A:$A,$A93,'Budget-ACPLSZ'!T:T)+SUMIF('Budget-ACPLGZ'!$A:$A,$A93,'Budget-ACPLGZ'!T:T)+SUMIF('Budget-Yixing'!$A:$A,$A93,'Budget-Yixing'!T:T)</f>
        <v>76255.91</v>
      </c>
      <c r="U93" s="676">
        <f ca="1">SUMIF('Budget-ACPL'!$A:$A,$A93,'Budget-ACPL'!U:U)+SUMIF('Budget-ACPLHK'!$A:$A,$A93,'Budget-ACPLHK'!U:U)+SUMIF('Budget-ACPSZL'!$A:$A,$A93,'Budget-ACPSZL'!U:U)+SUMIF('Budget-ACPLSZ'!$A:$A,$A93,'Budget-ACPLSZ'!U:U)+SUMIF('Budget-ACPLGZ'!$A:$A,$A93,'Budget-ACPLGZ'!U:U)+SUMIF('Budget-Yixing'!$A:$A,$A93,'Budget-Yixing'!U:U)</f>
        <v>76255.91</v>
      </c>
      <c r="V93" s="676">
        <f ca="1">SUMIF('Budget-ACPL'!$A:$A,$A93,'Budget-ACPL'!V:V)+SUMIF('Budget-ACPLHK'!$A:$A,$A93,'Budget-ACPLHK'!V:V)+SUMIF('Budget-ACPSZL'!$A:$A,$A93,'Budget-ACPSZL'!V:V)+SUMIF('Budget-ACPLSZ'!$A:$A,$A93,'Budget-ACPLSZ'!V:V)+SUMIF('Budget-ACPLGZ'!$A:$A,$A93,'Budget-ACPLGZ'!V:V)+SUMIF('Budget-Yixing'!$A:$A,$A93,'Budget-Yixing'!V:V)</f>
        <v>76255.91</v>
      </c>
      <c r="W93" s="676">
        <f t="shared" ca="1" si="36"/>
        <v>915219.31950000022</v>
      </c>
      <c r="Y93" s="688">
        <f ca="1">SUMIF('Budget-ACPL'!$A:$A,$A93,'Budget-ACPL'!Y:Y)+SUMIF('Budget-ACPLHK'!$A:$A,$A93,'Budget-ACPLHK'!Y:Y)+SUMIF('Budget-ACPSZL'!$A:$A,$A93,'Budget-ACPSZL'!Y:Y)+SUMIF('Budget-ACPLSZ'!$A:$A,$A93,'Budget-ACPLSZ'!Y:Y)+SUMIF('Budget-ACPLGZ'!$A:$A,$A93,'Budget-ACPLGZ'!Y:Y)+SUMIF('Budget-Yixing'!$A:$A,$A93,'Budget-Yixing'!Y:Y)</f>
        <v>19652.969999999998</v>
      </c>
      <c r="Z93" s="688">
        <f ca="1">SUMIF('Budget-ACPL'!$A:$A,$A93,'Budget-ACPL'!Z:Z)+SUMIF('Budget-ACPLHK'!$A:$A,$A93,'Budget-ACPLHK'!Z:Z)+SUMIF('Budget-ACPSZL'!$A:$A,$A93,'Budget-ACPSZL'!Z:Z)+SUMIF('Budget-ACPLSZ'!$A:$A,$A93,'Budget-ACPLSZ'!Z:Z)+SUMIF('Budget-ACPLGZ'!$A:$A,$A93,'Budget-ACPLGZ'!Z:Z)+SUMIF('Budget-Yixing'!$A:$A,$A93,'Budget-Yixing'!Z:Z)</f>
        <v>3956.06</v>
      </c>
      <c r="AA93" s="688">
        <f ca="1">SUMIF('Budget-ACPL'!$A:$A,$A93,'Budget-ACPL'!AA:AA)+SUMIF('Budget-ACPLHK'!$A:$A,$A93,'Budget-ACPLHK'!AA:AA)+SUMIF('Budget-ACPSZL'!$A:$A,$A93,'Budget-ACPSZL'!AA:AA)+SUMIF('Budget-ACPLSZ'!$A:$A,$A93,'Budget-ACPLSZ'!AA:AA)+SUMIF('Budget-ACPLGZ'!$A:$A,$A93,'Budget-ACPLGZ'!AA:AA)+SUMIF('Budget-Yixing'!$A:$A,$A93,'Budget-Yixing'!AA:AA)</f>
        <v>16161.140000000001</v>
      </c>
      <c r="AB93" s="688">
        <f ca="1">SUMIF('Budget-ACPL'!$A:$A,$A93,'Budget-ACPL'!AB:AB)+SUMIF('Budget-ACPLHK'!$A:$A,$A93,'Budget-ACPLHK'!AB:AB)+SUMIF('Budget-ACPSZL'!$A:$A,$A93,'Budget-ACPSZL'!AB:AB)+SUMIF('Budget-ACPLSZ'!$A:$A,$A93,'Budget-ACPLSZ'!AB:AB)+SUMIF('Budget-ACPLGZ'!$A:$A,$A93,'Budget-ACPLGZ'!AB:AB)+SUMIF('Budget-Yixing'!$A:$A,$A93,'Budget-Yixing'!AB:AB)</f>
        <v>18665.5</v>
      </c>
      <c r="AC93" s="688">
        <f ca="1">SUMIF('Budget-ACPL'!$A:$A,$A93,'Budget-ACPL'!AC:AC)+SUMIF('Budget-ACPLHK'!$A:$A,$A93,'Budget-ACPLHK'!AC:AC)+SUMIF('Budget-ACPSZL'!$A:$A,$A93,'Budget-ACPSZL'!AC:AC)+SUMIF('Budget-ACPLSZ'!$A:$A,$A93,'Budget-ACPLSZ'!AC:AC)+SUMIF('Budget-ACPLGZ'!$A:$A,$A93,'Budget-ACPLGZ'!AC:AC)+SUMIF('Budget-Yixing'!$A:$A,$A93,'Budget-Yixing'!AC:AC)</f>
        <v>34486.21</v>
      </c>
      <c r="AD93" s="688">
        <f ca="1">SUMIF('Budget-ACPL'!$A:$A,$A93,'Budget-ACPL'!AD:AD)+SUMIF('Budget-ACPLHK'!$A:$A,$A93,'Budget-ACPLHK'!AD:AD)+SUMIF('Budget-ACPSZL'!$A:$A,$A93,'Budget-ACPSZL'!AD:AD)+SUMIF('Budget-ACPLSZ'!$A:$A,$A93,'Budget-ACPLSZ'!AD:AD)+SUMIF('Budget-ACPLGZ'!$A:$A,$A93,'Budget-ACPLGZ'!AD:AD)+SUMIF('Budget-Yixing'!$A:$A,$A93,'Budget-Yixing'!AD:AD)</f>
        <v>28210.120000000003</v>
      </c>
      <c r="AE93" s="688">
        <f ca="1">SUMIF('Budget-ACPL'!$A:$A,$A93,'Budget-ACPL'!AE:AE)+SUMIF('Budget-ACPLHK'!$A:$A,$A93,'Budget-ACPLHK'!AE:AE)+SUMIF('Budget-ACPSZL'!$A:$A,$A93,'Budget-ACPSZL'!AE:AE)+SUMIF('Budget-ACPLSZ'!$A:$A,$A93,'Budget-ACPLSZ'!AE:AE)+SUMIF('Budget-ACPLGZ'!$A:$A,$A93,'Budget-ACPLGZ'!AE:AE)+SUMIF('Budget-Yixing'!$A:$A,$A93,'Budget-Yixing'!AE:AE)</f>
        <v>26777.760000000002</v>
      </c>
      <c r="AF93" s="688">
        <f ca="1">SUMIF('Budget-ACPL'!$A:$A,$A93,'Budget-ACPL'!AF:AF)+SUMIF('Budget-ACPLHK'!$A:$A,$A93,'Budget-ACPLHK'!AF:AF)+SUMIF('Budget-ACPSZL'!$A:$A,$A93,'Budget-ACPSZL'!AF:AF)+SUMIF('Budget-ACPLSZ'!$A:$A,$A93,'Budget-ACPLSZ'!AF:AF)+SUMIF('Budget-ACPLGZ'!$A:$A,$A93,'Budget-ACPLGZ'!AF:AF)+SUMIF('Budget-Yixing'!$A:$A,$A93,'Budget-Yixing'!AF:AF)</f>
        <v>37613.58</v>
      </c>
      <c r="AG93" s="688">
        <f ca="1">SUMIF('Budget-ACPL'!$A:$A,$A93,'Budget-ACPL'!AG:AG)+SUMIF('Budget-ACPLHK'!$A:$A,$A93,'Budget-ACPLHK'!AG:AG)+SUMIF('Budget-ACPSZL'!$A:$A,$A93,'Budget-ACPSZL'!AG:AG)+SUMIF('Budget-ACPLSZ'!$A:$A,$A93,'Budget-ACPLSZ'!AG:AG)+SUMIF('Budget-ACPLGZ'!$A:$A,$A93,'Budget-ACPLGZ'!AG:AG)+SUMIF('Budget-Yixing'!$A:$A,$A93,'Budget-Yixing'!AG:AG)</f>
        <v>34604.360000000008</v>
      </c>
      <c r="AH93" s="688">
        <f ca="1">SUMIF('Budget-ACPL'!$A:$A,$A93,'Budget-ACPL'!AH:AH)+SUMIF('Budget-ACPLHK'!$A:$A,$A93,'Budget-ACPLHK'!AH:AH)+SUMIF('Budget-ACPSZL'!$A:$A,$A93,'Budget-ACPSZL'!AH:AH)+SUMIF('Budget-ACPLSZ'!$A:$A,$A93,'Budget-ACPLSZ'!AH:AH)+SUMIF('Budget-ACPLGZ'!$A:$A,$A93,'Budget-ACPLGZ'!AH:AH)+SUMIF('Budget-Yixing'!$A:$A,$A93,'Budget-Yixing'!AH:AH)</f>
        <v>31735.17</v>
      </c>
      <c r="AI93" s="688">
        <f ca="1">SUMIF('Budget-ACPL'!$A:$A,$A93,'Budget-ACPL'!AI:AI)+SUMIF('Budget-ACPLHK'!$A:$A,$A93,'Budget-ACPLHK'!AI:AI)+SUMIF('Budget-ACPSZL'!$A:$A,$A93,'Budget-ACPSZL'!AI:AI)+SUMIF('Budget-ACPLSZ'!$A:$A,$A93,'Budget-ACPLSZ'!AI:AI)+SUMIF('Budget-ACPLGZ'!$A:$A,$A93,'Budget-ACPLGZ'!AI:AI)+SUMIF('Budget-Yixing'!$A:$A,$A93,'Budget-Yixing'!AI:AI)</f>
        <v>25429.02</v>
      </c>
      <c r="AJ93" s="688">
        <f ca="1">SUMIF('Budget-ACPL'!$A:$A,$A93,'Budget-ACPL'!AJ:AJ)+SUMIF('Budget-ACPLHK'!$A:$A,$A93,'Budget-ACPLHK'!AJ:AJ)+SUMIF('Budget-ACPSZL'!$A:$A,$A93,'Budget-ACPSZL'!AJ:AJ)+SUMIF('Budget-ACPLSZ'!$A:$A,$A93,'Budget-ACPLSZ'!AJ:AJ)+SUMIF('Budget-ACPLGZ'!$A:$A,$A93,'Budget-ACPLGZ'!AJ:AJ)+SUMIF('Budget-Yixing'!$A:$A,$A93,'Budget-Yixing'!AJ:AJ)</f>
        <v>39691.56</v>
      </c>
      <c r="AK93" s="688">
        <f t="shared" ca="1" si="33"/>
        <v>316983.45000000007</v>
      </c>
    </row>
    <row r="94" spans="1:37" ht="11.1" hidden="1" customHeight="1">
      <c r="A94" s="718">
        <f>$A$76</f>
        <v>0</v>
      </c>
      <c r="B94" s="687" t="s">
        <v>2520</v>
      </c>
      <c r="C94" s="687" t="s">
        <v>2511</v>
      </c>
      <c r="D94" s="676">
        <f t="shared" si="27"/>
        <v>0</v>
      </c>
      <c r="E94" s="676" t="e">
        <f t="shared" si="28"/>
        <v>#N/A</v>
      </c>
      <c r="F94" s="676" t="e">
        <f t="shared" si="24"/>
        <v>#N/A</v>
      </c>
      <c r="G94" s="676">
        <f t="shared" ca="1" si="29"/>
        <v>0</v>
      </c>
      <c r="H94" s="676" t="e">
        <f t="shared" ca="1" si="30"/>
        <v>#N/A</v>
      </c>
      <c r="I94" s="676" t="e">
        <f t="shared" ca="1" si="31"/>
        <v>#N/A</v>
      </c>
      <c r="K94" s="676"/>
      <c r="L94" s="676"/>
      <c r="M94" s="676"/>
      <c r="N94" s="676"/>
      <c r="O94" s="676"/>
      <c r="P94" s="676"/>
      <c r="Q94" s="676"/>
      <c r="R94" s="676"/>
      <c r="S94" s="676"/>
      <c r="T94" s="676"/>
      <c r="U94" s="676"/>
      <c r="V94" s="676"/>
      <c r="W94" s="676">
        <f t="shared" si="36"/>
        <v>0</v>
      </c>
      <c r="Y94" s="688"/>
      <c r="Z94" s="688"/>
      <c r="AA94" s="688"/>
      <c r="AB94" s="688"/>
      <c r="AC94" s="688"/>
      <c r="AD94" s="688"/>
      <c r="AE94" s="688"/>
      <c r="AF94" s="688"/>
      <c r="AG94" s="688"/>
      <c r="AH94" s="688"/>
      <c r="AI94" s="688"/>
      <c r="AJ94" s="688"/>
      <c r="AK94" s="688">
        <f t="shared" si="33"/>
        <v>0</v>
      </c>
    </row>
    <row r="95" spans="1:37" ht="11.1" hidden="1" customHeight="1">
      <c r="A95" s="718">
        <f>$A$77</f>
        <v>0</v>
      </c>
      <c r="B95" s="687" t="s">
        <v>2521</v>
      </c>
      <c r="C95" s="687" t="s">
        <v>2513</v>
      </c>
      <c r="D95" s="676">
        <f t="shared" si="27"/>
        <v>0</v>
      </c>
      <c r="E95" s="676" t="e">
        <f t="shared" si="28"/>
        <v>#N/A</v>
      </c>
      <c r="F95" s="676" t="e">
        <f t="shared" si="24"/>
        <v>#N/A</v>
      </c>
      <c r="G95" s="676">
        <f t="shared" ca="1" si="29"/>
        <v>0</v>
      </c>
      <c r="H95" s="676" t="e">
        <f t="shared" ca="1" si="30"/>
        <v>#N/A</v>
      </c>
      <c r="I95" s="676" t="e">
        <f t="shared" ca="1" si="31"/>
        <v>#N/A</v>
      </c>
      <c r="K95" s="676"/>
      <c r="L95" s="676"/>
      <c r="M95" s="676"/>
      <c r="N95" s="676"/>
      <c r="O95" s="676"/>
      <c r="P95" s="676"/>
      <c r="Q95" s="676"/>
      <c r="R95" s="676"/>
      <c r="S95" s="676"/>
      <c r="T95" s="676"/>
      <c r="U95" s="676"/>
      <c r="V95" s="676"/>
      <c r="W95" s="676">
        <f t="shared" si="36"/>
        <v>0</v>
      </c>
      <c r="Y95" s="688"/>
      <c r="Z95" s="688"/>
      <c r="AA95" s="688"/>
      <c r="AB95" s="688"/>
      <c r="AC95" s="688"/>
      <c r="AD95" s="688"/>
      <c r="AE95" s="688"/>
      <c r="AF95" s="688"/>
      <c r="AG95" s="688"/>
      <c r="AH95" s="688"/>
      <c r="AI95" s="688"/>
      <c r="AJ95" s="688"/>
      <c r="AK95" s="688">
        <f t="shared" si="33"/>
        <v>0</v>
      </c>
    </row>
    <row r="96" spans="1:37" ht="11.1" hidden="1" customHeight="1">
      <c r="A96" s="718">
        <f>$A$78</f>
        <v>0</v>
      </c>
      <c r="B96" s="687" t="s">
        <v>2522</v>
      </c>
      <c r="C96" s="687" t="s">
        <v>2515</v>
      </c>
      <c r="D96" s="676">
        <f t="shared" si="27"/>
        <v>0</v>
      </c>
      <c r="E96" s="676" t="e">
        <f t="shared" si="28"/>
        <v>#N/A</v>
      </c>
      <c r="F96" s="676" t="e">
        <f t="shared" si="24"/>
        <v>#N/A</v>
      </c>
      <c r="G96" s="676">
        <f t="shared" ca="1" si="29"/>
        <v>0</v>
      </c>
      <c r="H96" s="676" t="e">
        <f t="shared" ca="1" si="30"/>
        <v>#N/A</v>
      </c>
      <c r="I96" s="676" t="e">
        <f t="shared" ca="1" si="31"/>
        <v>#N/A</v>
      </c>
      <c r="K96" s="676"/>
      <c r="L96" s="676"/>
      <c r="M96" s="676"/>
      <c r="N96" s="676"/>
      <c r="O96" s="676"/>
      <c r="P96" s="676"/>
      <c r="Q96" s="676"/>
      <c r="R96" s="676"/>
      <c r="S96" s="676"/>
      <c r="T96" s="676"/>
      <c r="U96" s="676"/>
      <c r="V96" s="676"/>
      <c r="W96" s="676">
        <f t="shared" si="36"/>
        <v>0</v>
      </c>
      <c r="Y96" s="688"/>
      <c r="Z96" s="688"/>
      <c r="AA96" s="688"/>
      <c r="AB96" s="688"/>
      <c r="AC96" s="688"/>
      <c r="AD96" s="688"/>
      <c r="AE96" s="688"/>
      <c r="AF96" s="688"/>
      <c r="AG96" s="688"/>
      <c r="AH96" s="688"/>
      <c r="AI96" s="688"/>
      <c r="AJ96" s="688"/>
      <c r="AK96" s="688">
        <f t="shared" si="33"/>
        <v>0</v>
      </c>
    </row>
    <row r="97" spans="1:37" ht="11.1" customHeight="1">
      <c r="A97" s="713" t="s">
        <v>1695</v>
      </c>
      <c r="B97" s="687" t="str">
        <f>VLOOKUP(A97,Account!A:B,2,0)</f>
        <v>伙食费</v>
      </c>
      <c r="C97" s="687">
        <f>VLOOKUP(A97,Account!A:F,4,0)</f>
        <v>0</v>
      </c>
      <c r="D97" s="676">
        <f t="shared" ca="1" si="27"/>
        <v>30694.424500000001</v>
      </c>
      <c r="E97" s="676" t="e">
        <f t="shared" si="28"/>
        <v>#N/A</v>
      </c>
      <c r="F97" s="676" t="e">
        <f t="shared" ca="1" si="24"/>
        <v>#N/A</v>
      </c>
      <c r="G97" s="676">
        <f t="shared" ca="1" si="29"/>
        <v>30694.424500000001</v>
      </c>
      <c r="H97" s="676" t="e">
        <f t="shared" ca="1" si="30"/>
        <v>#N/A</v>
      </c>
      <c r="I97" s="676" t="e">
        <f t="shared" ca="1" si="31"/>
        <v>#N/A</v>
      </c>
      <c r="K97" s="676">
        <f ca="1">SUMIF('Budget-ACPL'!$A:$A,$A97,'Budget-ACPL'!K:K)+SUMIF('Budget-ACPLHK'!$A:$A,$A97,'Budget-ACPLHK'!K:K)+SUMIF('Budget-ACPSZL'!$A:$A,$A97,'Budget-ACPSZL'!K:K)+SUMIF('Budget-ACPLSZ'!$A:$A,$A97,'Budget-ACPLSZ'!K:K)+SUMIF('Budget-ACPLGZ'!$A:$A,$A97,'Budget-ACPLGZ'!K:K)+SUMIF('Budget-Yixing'!$A:$A,$A97,'Budget-Yixing'!K:K)</f>
        <v>30694.424500000001</v>
      </c>
      <c r="L97" s="676">
        <f ca="1">SUMIF('Budget-ACPL'!$A:$A,$A97,'Budget-ACPL'!L:L)+SUMIF('Budget-ACPLHK'!$A:$A,$A97,'Budget-ACPLHK'!L:L)+SUMIF('Budget-ACPSZL'!$A:$A,$A97,'Budget-ACPSZL'!L:L)+SUMIF('Budget-ACPLSZ'!$A:$A,$A97,'Budget-ACPLSZ'!L:L)+SUMIF('Budget-ACPLGZ'!$A:$A,$A97,'Budget-ACPLGZ'!L:L)+SUMIF('Budget-Yixing'!$A:$A,$A97,'Budget-Yixing'!L:L)</f>
        <v>30635.61</v>
      </c>
      <c r="M97" s="676">
        <f ca="1">SUMIF('Budget-ACPL'!$A:$A,$A97,'Budget-ACPL'!M:M)+SUMIF('Budget-ACPLHK'!$A:$A,$A97,'Budget-ACPLHK'!M:M)+SUMIF('Budget-ACPSZL'!$A:$A,$A97,'Budget-ACPSZL'!M:M)+SUMIF('Budget-ACPLSZ'!$A:$A,$A97,'Budget-ACPLSZ'!M:M)+SUMIF('Budget-ACPLGZ'!$A:$A,$A97,'Budget-ACPLGZ'!M:M)+SUMIF('Budget-Yixing'!$A:$A,$A97,'Budget-Yixing'!M:M)</f>
        <v>30635.61</v>
      </c>
      <c r="N97" s="676">
        <f ca="1">SUMIF('Budget-ACPL'!$A:$A,$A97,'Budget-ACPL'!N:N)+SUMIF('Budget-ACPLHK'!$A:$A,$A97,'Budget-ACPLHK'!N:N)+SUMIF('Budget-ACPSZL'!$A:$A,$A97,'Budget-ACPSZL'!N:N)+SUMIF('Budget-ACPLSZ'!$A:$A,$A97,'Budget-ACPLSZ'!N:N)+SUMIF('Budget-ACPLGZ'!$A:$A,$A97,'Budget-ACPLGZ'!N:N)+SUMIF('Budget-Yixing'!$A:$A,$A97,'Budget-Yixing'!N:N)</f>
        <v>30635.61</v>
      </c>
      <c r="O97" s="676">
        <f ca="1">SUMIF('Budget-ACPL'!$A:$A,$A97,'Budget-ACPL'!O:O)+SUMIF('Budget-ACPLHK'!$A:$A,$A97,'Budget-ACPLHK'!O:O)+SUMIF('Budget-ACPSZL'!$A:$A,$A97,'Budget-ACPSZL'!O:O)+SUMIF('Budget-ACPLSZ'!$A:$A,$A97,'Budget-ACPLSZ'!O:O)+SUMIF('Budget-ACPLGZ'!$A:$A,$A97,'Budget-ACPLGZ'!O:O)+SUMIF('Budget-Yixing'!$A:$A,$A97,'Budget-Yixing'!O:O)</f>
        <v>30635.61</v>
      </c>
      <c r="P97" s="676">
        <f ca="1">SUMIF('Budget-ACPL'!$A:$A,$A97,'Budget-ACPL'!P:P)+SUMIF('Budget-ACPLHK'!$A:$A,$A97,'Budget-ACPLHK'!P:P)+SUMIF('Budget-ACPSZL'!$A:$A,$A97,'Budget-ACPSZL'!P:P)+SUMIF('Budget-ACPLSZ'!$A:$A,$A97,'Budget-ACPLSZ'!P:P)+SUMIF('Budget-ACPLGZ'!$A:$A,$A97,'Budget-ACPLGZ'!P:P)+SUMIF('Budget-Yixing'!$A:$A,$A97,'Budget-Yixing'!P:P)</f>
        <v>30635.61</v>
      </c>
      <c r="Q97" s="676">
        <f ca="1">SUMIF('Budget-ACPL'!$A:$A,$A97,'Budget-ACPL'!Q:Q)+SUMIF('Budget-ACPLHK'!$A:$A,$A97,'Budget-ACPLHK'!Q:Q)+SUMIF('Budget-ACPSZL'!$A:$A,$A97,'Budget-ACPSZL'!Q:Q)+SUMIF('Budget-ACPLSZ'!$A:$A,$A97,'Budget-ACPLSZ'!Q:Q)+SUMIF('Budget-ACPLGZ'!$A:$A,$A97,'Budget-ACPLGZ'!Q:Q)+SUMIF('Budget-Yixing'!$A:$A,$A97,'Budget-Yixing'!Q:Q)</f>
        <v>30635.61</v>
      </c>
      <c r="R97" s="676">
        <f ca="1">SUMIF('Budget-ACPL'!$A:$A,$A97,'Budget-ACPL'!R:R)+SUMIF('Budget-ACPLHK'!$A:$A,$A97,'Budget-ACPLHK'!R:R)+SUMIF('Budget-ACPSZL'!$A:$A,$A97,'Budget-ACPSZL'!R:R)+SUMIF('Budget-ACPLSZ'!$A:$A,$A97,'Budget-ACPLSZ'!R:R)+SUMIF('Budget-ACPLGZ'!$A:$A,$A97,'Budget-ACPLGZ'!R:R)+SUMIF('Budget-Yixing'!$A:$A,$A97,'Budget-Yixing'!R:R)</f>
        <v>30635.61</v>
      </c>
      <c r="S97" s="676">
        <f ca="1">SUMIF('Budget-ACPL'!$A:$A,$A97,'Budget-ACPL'!S:S)+SUMIF('Budget-ACPLHK'!$A:$A,$A97,'Budget-ACPLHK'!S:S)+SUMIF('Budget-ACPSZL'!$A:$A,$A97,'Budget-ACPSZL'!S:S)+SUMIF('Budget-ACPLSZ'!$A:$A,$A97,'Budget-ACPLSZ'!S:S)+SUMIF('Budget-ACPLGZ'!$A:$A,$A97,'Budget-ACPLGZ'!S:S)+SUMIF('Budget-Yixing'!$A:$A,$A97,'Budget-Yixing'!S:S)</f>
        <v>30635.61</v>
      </c>
      <c r="T97" s="676">
        <f ca="1">SUMIF('Budget-ACPL'!$A:$A,$A97,'Budget-ACPL'!T:T)+SUMIF('Budget-ACPLHK'!$A:$A,$A97,'Budget-ACPLHK'!T:T)+SUMIF('Budget-ACPSZL'!$A:$A,$A97,'Budget-ACPSZL'!T:T)+SUMIF('Budget-ACPLSZ'!$A:$A,$A97,'Budget-ACPLSZ'!T:T)+SUMIF('Budget-ACPLGZ'!$A:$A,$A97,'Budget-ACPLGZ'!T:T)+SUMIF('Budget-Yixing'!$A:$A,$A97,'Budget-Yixing'!T:T)</f>
        <v>30635.61</v>
      </c>
      <c r="U97" s="676">
        <f ca="1">SUMIF('Budget-ACPL'!$A:$A,$A97,'Budget-ACPL'!U:U)+SUMIF('Budget-ACPLHK'!$A:$A,$A97,'Budget-ACPLHK'!U:U)+SUMIF('Budget-ACPSZL'!$A:$A,$A97,'Budget-ACPSZL'!U:U)+SUMIF('Budget-ACPLSZ'!$A:$A,$A97,'Budget-ACPLSZ'!U:U)+SUMIF('Budget-ACPLGZ'!$A:$A,$A97,'Budget-ACPLGZ'!U:U)+SUMIF('Budget-Yixing'!$A:$A,$A97,'Budget-Yixing'!U:U)</f>
        <v>30635.61</v>
      </c>
      <c r="V97" s="676">
        <f ca="1">SUMIF('Budget-ACPL'!$A:$A,$A97,'Budget-ACPL'!V:V)+SUMIF('Budget-ACPLHK'!$A:$A,$A97,'Budget-ACPLHK'!V:V)+SUMIF('Budget-ACPSZL'!$A:$A,$A97,'Budget-ACPSZL'!V:V)+SUMIF('Budget-ACPLSZ'!$A:$A,$A97,'Budget-ACPLSZ'!V:V)+SUMIF('Budget-ACPLGZ'!$A:$A,$A97,'Budget-ACPLGZ'!V:V)+SUMIF('Budget-Yixing'!$A:$A,$A97,'Budget-Yixing'!V:V)</f>
        <v>30635.61</v>
      </c>
      <c r="W97" s="676">
        <f t="shared" ca="1" si="36"/>
        <v>367686.13449999993</v>
      </c>
      <c r="Y97" s="688">
        <f ca="1">SUMIF('Budget-ACPL'!$A:$A,$A97,'Budget-ACPL'!Y:Y)+SUMIF('Budget-ACPLHK'!$A:$A,$A97,'Budget-ACPLHK'!Y:Y)+SUMIF('Budget-ACPSZL'!$A:$A,$A97,'Budget-ACPSZL'!Y:Y)+SUMIF('Budget-ACPLSZ'!$A:$A,$A97,'Budget-ACPLSZ'!Y:Y)+SUMIF('Budget-ACPLGZ'!$A:$A,$A97,'Budget-ACPLGZ'!Y:Y)+SUMIF('Budget-Yixing'!$A:$A,$A97,'Budget-Yixing'!Y:Y)</f>
        <v>0</v>
      </c>
      <c r="Z97" s="688">
        <f ca="1">SUMIF('Budget-ACPL'!$A:$A,$A97,'Budget-ACPL'!Z:Z)+SUMIF('Budget-ACPLHK'!$A:$A,$A97,'Budget-ACPLHK'!Z:Z)+SUMIF('Budget-ACPSZL'!$A:$A,$A97,'Budget-ACPSZL'!Z:Z)+SUMIF('Budget-ACPLSZ'!$A:$A,$A97,'Budget-ACPLSZ'!Z:Z)+SUMIF('Budget-ACPLGZ'!$A:$A,$A97,'Budget-ACPLGZ'!Z:Z)+SUMIF('Budget-Yixing'!$A:$A,$A97,'Budget-Yixing'!Z:Z)</f>
        <v>336</v>
      </c>
      <c r="AA97" s="688">
        <f ca="1">SUMIF('Budget-ACPL'!$A:$A,$A97,'Budget-ACPL'!AA:AA)+SUMIF('Budget-ACPLHK'!$A:$A,$A97,'Budget-ACPLHK'!AA:AA)+SUMIF('Budget-ACPSZL'!$A:$A,$A97,'Budget-ACPSZL'!AA:AA)+SUMIF('Budget-ACPLSZ'!$A:$A,$A97,'Budget-ACPLSZ'!AA:AA)+SUMIF('Budget-ACPLGZ'!$A:$A,$A97,'Budget-ACPLGZ'!AA:AA)+SUMIF('Budget-Yixing'!$A:$A,$A97,'Budget-Yixing'!AA:AA)</f>
        <v>2560.37</v>
      </c>
      <c r="AB97" s="688">
        <f ca="1">SUMIF('Budget-ACPL'!$A:$A,$A97,'Budget-ACPL'!AB:AB)+SUMIF('Budget-ACPLHK'!$A:$A,$A97,'Budget-ACPLHK'!AB:AB)+SUMIF('Budget-ACPSZL'!$A:$A,$A97,'Budget-ACPSZL'!AB:AB)+SUMIF('Budget-ACPLSZ'!$A:$A,$A97,'Budget-ACPLSZ'!AB:AB)+SUMIF('Budget-ACPLGZ'!$A:$A,$A97,'Budget-ACPLGZ'!AB:AB)+SUMIF('Budget-Yixing'!$A:$A,$A97,'Budget-Yixing'!AB:AB)</f>
        <v>0</v>
      </c>
      <c r="AC97" s="688">
        <f ca="1">SUMIF('Budget-ACPL'!$A:$A,$A97,'Budget-ACPL'!AC:AC)+SUMIF('Budget-ACPLHK'!$A:$A,$A97,'Budget-ACPLHK'!AC:AC)+SUMIF('Budget-ACPSZL'!$A:$A,$A97,'Budget-ACPSZL'!AC:AC)+SUMIF('Budget-ACPLSZ'!$A:$A,$A97,'Budget-ACPLSZ'!AC:AC)+SUMIF('Budget-ACPLGZ'!$A:$A,$A97,'Budget-ACPLGZ'!AC:AC)+SUMIF('Budget-Yixing'!$A:$A,$A97,'Budget-Yixing'!AC:AC)</f>
        <v>9829.49</v>
      </c>
      <c r="AD97" s="688">
        <f ca="1">SUMIF('Budget-ACPL'!$A:$A,$A97,'Budget-ACPL'!AD:AD)+SUMIF('Budget-ACPLHK'!$A:$A,$A97,'Budget-ACPLHK'!AD:AD)+SUMIF('Budget-ACPSZL'!$A:$A,$A97,'Budget-ACPSZL'!AD:AD)+SUMIF('Budget-ACPLSZ'!$A:$A,$A97,'Budget-ACPLSZ'!AD:AD)+SUMIF('Budget-ACPLGZ'!$A:$A,$A97,'Budget-ACPLGZ'!AD:AD)+SUMIF('Budget-Yixing'!$A:$A,$A97,'Budget-Yixing'!AD:AD)</f>
        <v>1361.3400000000001</v>
      </c>
      <c r="AE97" s="688">
        <f ca="1">SUMIF('Budget-ACPL'!$A:$A,$A97,'Budget-ACPL'!AE:AE)+SUMIF('Budget-ACPLHK'!$A:$A,$A97,'Budget-ACPLHK'!AE:AE)+SUMIF('Budget-ACPSZL'!$A:$A,$A97,'Budget-ACPSZL'!AE:AE)+SUMIF('Budget-ACPLSZ'!$A:$A,$A97,'Budget-ACPLSZ'!AE:AE)+SUMIF('Budget-ACPLGZ'!$A:$A,$A97,'Budget-ACPLGZ'!AE:AE)+SUMIF('Budget-Yixing'!$A:$A,$A97,'Budget-Yixing'!AE:AE)</f>
        <v>2185.2200000000003</v>
      </c>
      <c r="AF97" s="688">
        <f ca="1">SUMIF('Budget-ACPL'!$A:$A,$A97,'Budget-ACPL'!AF:AF)+SUMIF('Budget-ACPLHK'!$A:$A,$A97,'Budget-ACPLHK'!AF:AF)+SUMIF('Budget-ACPSZL'!$A:$A,$A97,'Budget-ACPSZL'!AF:AF)+SUMIF('Budget-ACPLSZ'!$A:$A,$A97,'Budget-ACPLSZ'!AF:AF)+SUMIF('Budget-ACPLGZ'!$A:$A,$A97,'Budget-ACPLGZ'!AF:AF)+SUMIF('Budget-Yixing'!$A:$A,$A97,'Budget-Yixing'!AF:AF)</f>
        <v>2024.1599999999999</v>
      </c>
      <c r="AG97" s="688">
        <f ca="1">SUMIF('Budget-ACPL'!$A:$A,$A97,'Budget-ACPL'!AG:AG)+SUMIF('Budget-ACPLHK'!$A:$A,$A97,'Budget-ACPLHK'!AG:AG)+SUMIF('Budget-ACPSZL'!$A:$A,$A97,'Budget-ACPSZL'!AG:AG)+SUMIF('Budget-ACPLSZ'!$A:$A,$A97,'Budget-ACPLSZ'!AG:AG)+SUMIF('Budget-ACPLGZ'!$A:$A,$A97,'Budget-ACPLGZ'!AG:AG)+SUMIF('Budget-Yixing'!$A:$A,$A97,'Budget-Yixing'!AG:AG)</f>
        <v>3650.1299999999978</v>
      </c>
      <c r="AH97" s="688">
        <f ca="1">SUMIF('Budget-ACPL'!$A:$A,$A97,'Budget-ACPL'!AH:AH)+SUMIF('Budget-ACPLHK'!$A:$A,$A97,'Budget-ACPLHK'!AH:AH)+SUMIF('Budget-ACPSZL'!$A:$A,$A97,'Budget-ACPSZL'!AH:AH)+SUMIF('Budget-ACPLSZ'!$A:$A,$A97,'Budget-ACPLSZ'!AH:AH)+SUMIF('Budget-ACPLGZ'!$A:$A,$A97,'Budget-ACPLGZ'!AH:AH)+SUMIF('Budget-Yixing'!$A:$A,$A97,'Budget-Yixing'!AH:AH)</f>
        <v>1042.2</v>
      </c>
      <c r="AI97" s="688">
        <f ca="1">SUMIF('Budget-ACPL'!$A:$A,$A97,'Budget-ACPL'!AI:AI)+SUMIF('Budget-ACPLHK'!$A:$A,$A97,'Budget-ACPLHK'!AI:AI)+SUMIF('Budget-ACPSZL'!$A:$A,$A97,'Budget-ACPSZL'!AI:AI)+SUMIF('Budget-ACPLSZ'!$A:$A,$A97,'Budget-ACPLSZ'!AI:AI)+SUMIF('Budget-ACPLGZ'!$A:$A,$A97,'Budget-ACPLGZ'!AI:AI)+SUMIF('Budget-Yixing'!$A:$A,$A97,'Budget-Yixing'!AI:AI)</f>
        <v>1943.45</v>
      </c>
      <c r="AJ97" s="688">
        <f ca="1">SUMIF('Budget-ACPL'!$A:$A,$A97,'Budget-ACPL'!AJ:AJ)+SUMIF('Budget-ACPLHK'!$A:$A,$A97,'Budget-ACPLHK'!AJ:AJ)+SUMIF('Budget-ACPSZL'!$A:$A,$A97,'Budget-ACPSZL'!AJ:AJ)+SUMIF('Budget-ACPLSZ'!$A:$A,$A97,'Budget-ACPLSZ'!AJ:AJ)+SUMIF('Budget-ACPLGZ'!$A:$A,$A97,'Budget-ACPLGZ'!AJ:AJ)+SUMIF('Budget-Yixing'!$A:$A,$A97,'Budget-Yixing'!AJ:AJ)</f>
        <v>14673.989999999998</v>
      </c>
      <c r="AK97" s="688">
        <f t="shared" ca="1" si="33"/>
        <v>39606.35</v>
      </c>
    </row>
    <row r="98" spans="1:37" ht="11.1" hidden="1" customHeight="1">
      <c r="A98" s="718">
        <f>$A$76</f>
        <v>0</v>
      </c>
      <c r="B98" s="687" t="s">
        <v>2523</v>
      </c>
      <c r="C98" s="687" t="s">
        <v>2511</v>
      </c>
      <c r="D98" s="676">
        <f t="shared" si="27"/>
        <v>0</v>
      </c>
      <c r="E98" s="676" t="e">
        <f t="shared" si="28"/>
        <v>#N/A</v>
      </c>
      <c r="F98" s="676" t="e">
        <f t="shared" si="24"/>
        <v>#N/A</v>
      </c>
      <c r="G98" s="676">
        <f t="shared" ca="1" si="29"/>
        <v>0</v>
      </c>
      <c r="H98" s="676" t="e">
        <f t="shared" ca="1" si="30"/>
        <v>#N/A</v>
      </c>
      <c r="I98" s="676" t="e">
        <f t="shared" ca="1" si="31"/>
        <v>#N/A</v>
      </c>
      <c r="K98" s="676"/>
      <c r="L98" s="676"/>
      <c r="M98" s="676"/>
      <c r="N98" s="676"/>
      <c r="O98" s="676"/>
      <c r="P98" s="676"/>
      <c r="Q98" s="676"/>
      <c r="R98" s="676"/>
      <c r="S98" s="676"/>
      <c r="T98" s="676"/>
      <c r="U98" s="676"/>
      <c r="V98" s="676"/>
      <c r="W98" s="676">
        <f t="shared" si="36"/>
        <v>0</v>
      </c>
      <c r="Y98" s="688"/>
      <c r="Z98" s="688"/>
      <c r="AA98" s="688"/>
      <c r="AB98" s="688"/>
      <c r="AC98" s="688"/>
      <c r="AD98" s="688"/>
      <c r="AE98" s="688"/>
      <c r="AF98" s="688"/>
      <c r="AG98" s="688"/>
      <c r="AH98" s="688"/>
      <c r="AI98" s="688"/>
      <c r="AJ98" s="688"/>
      <c r="AK98" s="688">
        <f t="shared" si="33"/>
        <v>0</v>
      </c>
    </row>
    <row r="99" spans="1:37" ht="11.1" hidden="1" customHeight="1">
      <c r="A99" s="718">
        <f>$A$77</f>
        <v>0</v>
      </c>
      <c r="B99" s="687" t="s">
        <v>2524</v>
      </c>
      <c r="C99" s="687" t="s">
        <v>2513</v>
      </c>
      <c r="D99" s="676">
        <f t="shared" si="27"/>
        <v>0</v>
      </c>
      <c r="E99" s="676" t="e">
        <f t="shared" si="28"/>
        <v>#N/A</v>
      </c>
      <c r="F99" s="676" t="e">
        <f t="shared" si="24"/>
        <v>#N/A</v>
      </c>
      <c r="G99" s="676">
        <f t="shared" ca="1" si="29"/>
        <v>0</v>
      </c>
      <c r="H99" s="676" t="e">
        <f t="shared" ca="1" si="30"/>
        <v>#N/A</v>
      </c>
      <c r="I99" s="676" t="e">
        <f t="shared" ca="1" si="31"/>
        <v>#N/A</v>
      </c>
      <c r="K99" s="676"/>
      <c r="L99" s="676"/>
      <c r="M99" s="676"/>
      <c r="N99" s="676"/>
      <c r="O99" s="676"/>
      <c r="P99" s="676"/>
      <c r="Q99" s="676"/>
      <c r="R99" s="676"/>
      <c r="S99" s="676"/>
      <c r="T99" s="676"/>
      <c r="U99" s="676"/>
      <c r="V99" s="676"/>
      <c r="W99" s="676">
        <f t="shared" si="36"/>
        <v>0</v>
      </c>
      <c r="Y99" s="688"/>
      <c r="Z99" s="688"/>
      <c r="AA99" s="688"/>
      <c r="AB99" s="688"/>
      <c r="AC99" s="688"/>
      <c r="AD99" s="688"/>
      <c r="AE99" s="688"/>
      <c r="AF99" s="688"/>
      <c r="AG99" s="688"/>
      <c r="AH99" s="688"/>
      <c r="AI99" s="688"/>
      <c r="AJ99" s="688"/>
      <c r="AK99" s="688">
        <f t="shared" si="33"/>
        <v>0</v>
      </c>
    </row>
    <row r="100" spans="1:37" ht="11.1" hidden="1" customHeight="1">
      <c r="A100" s="718">
        <f>$A$78</f>
        <v>0</v>
      </c>
      <c r="B100" s="687" t="s">
        <v>2525</v>
      </c>
      <c r="C100" s="687" t="s">
        <v>2515</v>
      </c>
      <c r="D100" s="676">
        <f t="shared" si="27"/>
        <v>0</v>
      </c>
      <c r="E100" s="676" t="e">
        <f t="shared" si="28"/>
        <v>#N/A</v>
      </c>
      <c r="F100" s="676" t="e">
        <f t="shared" si="24"/>
        <v>#N/A</v>
      </c>
      <c r="G100" s="676">
        <f t="shared" ca="1" si="29"/>
        <v>0</v>
      </c>
      <c r="H100" s="676" t="e">
        <f t="shared" ca="1" si="30"/>
        <v>#N/A</v>
      </c>
      <c r="I100" s="676" t="e">
        <f t="shared" ca="1" si="31"/>
        <v>#N/A</v>
      </c>
      <c r="K100" s="676"/>
      <c r="L100" s="676"/>
      <c r="M100" s="676"/>
      <c r="N100" s="676"/>
      <c r="O100" s="676"/>
      <c r="P100" s="676"/>
      <c r="Q100" s="676"/>
      <c r="R100" s="676"/>
      <c r="S100" s="676"/>
      <c r="T100" s="676"/>
      <c r="U100" s="676"/>
      <c r="V100" s="676">
        <f>SUMIF('Budget-ACPL'!$B:$B,$B100,'Budget-ACPL'!V:V)+SUMIF('Budget-ACPLHK'!$B:$B,$B100,'Budget-ACPLHK'!V:V)+SUMIF('Budget-ACPSZL'!$B:$B,$B100,'Budget-ACPSZL'!V:V)+SUMIF('Budget-ACPLSZ'!$B:$B,$B100,'Budget-ACPLSZ'!V:V)</f>
        <v>0</v>
      </c>
      <c r="W100" s="676">
        <f t="shared" si="36"/>
        <v>0</v>
      </c>
      <c r="Y100" s="688"/>
      <c r="Z100" s="688"/>
      <c r="AA100" s="688"/>
      <c r="AB100" s="688"/>
      <c r="AC100" s="688"/>
      <c r="AD100" s="688"/>
      <c r="AE100" s="688"/>
      <c r="AF100" s="688"/>
      <c r="AG100" s="688"/>
      <c r="AH100" s="688"/>
      <c r="AI100" s="688"/>
      <c r="AJ100" s="688"/>
      <c r="AK100" s="688">
        <f t="shared" si="33"/>
        <v>0</v>
      </c>
    </row>
    <row r="101" spans="1:37" ht="11.1" customHeight="1">
      <c r="A101" s="713" t="s">
        <v>1699</v>
      </c>
      <c r="B101" s="687" t="str">
        <f>VLOOKUP(A101,Account!A:B,2,0)</f>
        <v>地面交通费</v>
      </c>
      <c r="C101" s="687" t="str">
        <f>VLOOKUP(A101,Account!A:F,4,0)</f>
        <v>Travel Ground Transport - Outstation</v>
      </c>
      <c r="D101" s="676">
        <f t="shared" ca="1" si="27"/>
        <v>48829.3845</v>
      </c>
      <c r="E101" s="676" t="e">
        <f t="shared" si="28"/>
        <v>#N/A</v>
      </c>
      <c r="F101" s="676" t="e">
        <f t="shared" ca="1" si="24"/>
        <v>#N/A</v>
      </c>
      <c r="G101" s="676">
        <f t="shared" ca="1" si="29"/>
        <v>48829.3845</v>
      </c>
      <c r="H101" s="676" t="e">
        <f t="shared" ca="1" si="30"/>
        <v>#N/A</v>
      </c>
      <c r="I101" s="676" t="e">
        <f t="shared" ca="1" si="31"/>
        <v>#N/A</v>
      </c>
      <c r="K101" s="676">
        <f ca="1">SUMIF('Budget-ACPL'!$A:$A,$A101,'Budget-ACPL'!K:K)+SUMIF('Budget-ACPLHK'!$A:$A,$A101,'Budget-ACPLHK'!K:K)+SUMIF('Budget-ACPSZL'!$A:$A,$A101,'Budget-ACPSZL'!K:K)+SUMIF('Budget-ACPLSZ'!$A:$A,$A101,'Budget-ACPLSZ'!K:K)+SUMIF('Budget-ACPLGZ'!$A:$A,$A101,'Budget-ACPLGZ'!K:K)+SUMIF('Budget-Yixing'!$A:$A,$A101,'Budget-Yixing'!K:K)</f>
        <v>48829.3845</v>
      </c>
      <c r="L101" s="676">
        <f ca="1">SUMIF('Budget-ACPL'!$A:$A,$A101,'Budget-ACPL'!L:L)+SUMIF('Budget-ACPLHK'!$A:$A,$A101,'Budget-ACPLHK'!L:L)+SUMIF('Budget-ACPSZL'!$A:$A,$A101,'Budget-ACPSZL'!L:L)+SUMIF('Budget-ACPLSZ'!$A:$A,$A101,'Budget-ACPLSZ'!L:L)+SUMIF('Budget-ACPLGZ'!$A:$A,$A101,'Budget-ACPLGZ'!L:L)+SUMIF('Budget-Yixing'!$A:$A,$A101,'Budget-Yixing'!L:L)</f>
        <v>48739.41</v>
      </c>
      <c r="M101" s="676">
        <f ca="1">SUMIF('Budget-ACPL'!$A:$A,$A101,'Budget-ACPL'!M:M)+SUMIF('Budget-ACPLHK'!$A:$A,$A101,'Budget-ACPLHK'!M:M)+SUMIF('Budget-ACPSZL'!$A:$A,$A101,'Budget-ACPSZL'!M:M)+SUMIF('Budget-ACPLSZ'!$A:$A,$A101,'Budget-ACPLSZ'!M:M)+SUMIF('Budget-ACPLGZ'!$A:$A,$A101,'Budget-ACPLGZ'!M:M)+SUMIF('Budget-Yixing'!$A:$A,$A101,'Budget-Yixing'!M:M)</f>
        <v>48739.41</v>
      </c>
      <c r="N101" s="676">
        <f ca="1">SUMIF('Budget-ACPL'!$A:$A,$A101,'Budget-ACPL'!N:N)+SUMIF('Budget-ACPLHK'!$A:$A,$A101,'Budget-ACPLHK'!N:N)+SUMIF('Budget-ACPSZL'!$A:$A,$A101,'Budget-ACPSZL'!N:N)+SUMIF('Budget-ACPLSZ'!$A:$A,$A101,'Budget-ACPLSZ'!N:N)+SUMIF('Budget-ACPLGZ'!$A:$A,$A101,'Budget-ACPLGZ'!N:N)+SUMIF('Budget-Yixing'!$A:$A,$A101,'Budget-Yixing'!N:N)</f>
        <v>48739.41</v>
      </c>
      <c r="O101" s="676">
        <f ca="1">SUMIF('Budget-ACPL'!$A:$A,$A101,'Budget-ACPL'!O:O)+SUMIF('Budget-ACPLHK'!$A:$A,$A101,'Budget-ACPLHK'!O:O)+SUMIF('Budget-ACPSZL'!$A:$A,$A101,'Budget-ACPSZL'!O:O)+SUMIF('Budget-ACPLSZ'!$A:$A,$A101,'Budget-ACPLSZ'!O:O)+SUMIF('Budget-ACPLGZ'!$A:$A,$A101,'Budget-ACPLGZ'!O:O)+SUMIF('Budget-Yixing'!$A:$A,$A101,'Budget-Yixing'!O:O)</f>
        <v>48739.41</v>
      </c>
      <c r="P101" s="676">
        <f ca="1">SUMIF('Budget-ACPL'!$A:$A,$A101,'Budget-ACPL'!P:P)+SUMIF('Budget-ACPLHK'!$A:$A,$A101,'Budget-ACPLHK'!P:P)+SUMIF('Budget-ACPSZL'!$A:$A,$A101,'Budget-ACPSZL'!P:P)+SUMIF('Budget-ACPLSZ'!$A:$A,$A101,'Budget-ACPLSZ'!P:P)+SUMIF('Budget-ACPLGZ'!$A:$A,$A101,'Budget-ACPLGZ'!P:P)+SUMIF('Budget-Yixing'!$A:$A,$A101,'Budget-Yixing'!P:P)</f>
        <v>48739.41</v>
      </c>
      <c r="Q101" s="676">
        <f ca="1">SUMIF('Budget-ACPL'!$A:$A,$A101,'Budget-ACPL'!Q:Q)+SUMIF('Budget-ACPLHK'!$A:$A,$A101,'Budget-ACPLHK'!Q:Q)+SUMIF('Budget-ACPSZL'!$A:$A,$A101,'Budget-ACPSZL'!Q:Q)+SUMIF('Budget-ACPLSZ'!$A:$A,$A101,'Budget-ACPLSZ'!Q:Q)+SUMIF('Budget-ACPLGZ'!$A:$A,$A101,'Budget-ACPLGZ'!Q:Q)+SUMIF('Budget-Yixing'!$A:$A,$A101,'Budget-Yixing'!Q:Q)</f>
        <v>48739.41</v>
      </c>
      <c r="R101" s="676">
        <f ca="1">SUMIF('Budget-ACPL'!$A:$A,$A101,'Budget-ACPL'!R:R)+SUMIF('Budget-ACPLHK'!$A:$A,$A101,'Budget-ACPLHK'!R:R)+SUMIF('Budget-ACPSZL'!$A:$A,$A101,'Budget-ACPSZL'!R:R)+SUMIF('Budget-ACPLSZ'!$A:$A,$A101,'Budget-ACPLSZ'!R:R)+SUMIF('Budget-ACPLGZ'!$A:$A,$A101,'Budget-ACPLGZ'!R:R)+SUMIF('Budget-Yixing'!$A:$A,$A101,'Budget-Yixing'!R:R)</f>
        <v>48739.41</v>
      </c>
      <c r="S101" s="676">
        <f ca="1">SUMIF('Budget-ACPL'!$A:$A,$A101,'Budget-ACPL'!S:S)+SUMIF('Budget-ACPLHK'!$A:$A,$A101,'Budget-ACPLHK'!S:S)+SUMIF('Budget-ACPSZL'!$A:$A,$A101,'Budget-ACPSZL'!S:S)+SUMIF('Budget-ACPLSZ'!$A:$A,$A101,'Budget-ACPLSZ'!S:S)+SUMIF('Budget-ACPLGZ'!$A:$A,$A101,'Budget-ACPLGZ'!S:S)+SUMIF('Budget-Yixing'!$A:$A,$A101,'Budget-Yixing'!S:S)</f>
        <v>48739.41</v>
      </c>
      <c r="T101" s="676">
        <f ca="1">SUMIF('Budget-ACPL'!$A:$A,$A101,'Budget-ACPL'!T:T)+SUMIF('Budget-ACPLHK'!$A:$A,$A101,'Budget-ACPLHK'!T:T)+SUMIF('Budget-ACPSZL'!$A:$A,$A101,'Budget-ACPSZL'!T:T)+SUMIF('Budget-ACPLSZ'!$A:$A,$A101,'Budget-ACPLSZ'!T:T)+SUMIF('Budget-ACPLGZ'!$A:$A,$A101,'Budget-ACPLGZ'!T:T)+SUMIF('Budget-Yixing'!$A:$A,$A101,'Budget-Yixing'!T:T)</f>
        <v>48739.41</v>
      </c>
      <c r="U101" s="676">
        <f ca="1">SUMIF('Budget-ACPL'!$A:$A,$A101,'Budget-ACPL'!U:U)+SUMIF('Budget-ACPLHK'!$A:$A,$A101,'Budget-ACPLHK'!U:U)+SUMIF('Budget-ACPSZL'!$A:$A,$A101,'Budget-ACPSZL'!U:U)+SUMIF('Budget-ACPLSZ'!$A:$A,$A101,'Budget-ACPLSZ'!U:U)+SUMIF('Budget-ACPLGZ'!$A:$A,$A101,'Budget-ACPLGZ'!U:U)+SUMIF('Budget-Yixing'!$A:$A,$A101,'Budget-Yixing'!U:U)</f>
        <v>48739.41</v>
      </c>
      <c r="V101" s="676">
        <f ca="1">SUMIF('Budget-ACPL'!$A:$A,$A101,'Budget-ACPL'!V:V)+SUMIF('Budget-ACPLHK'!$A:$A,$A101,'Budget-ACPLHK'!V:V)+SUMIF('Budget-ACPSZL'!$A:$A,$A101,'Budget-ACPSZL'!V:V)+SUMIF('Budget-ACPLSZ'!$A:$A,$A101,'Budget-ACPLSZ'!V:V)+SUMIF('Budget-ACPLGZ'!$A:$A,$A101,'Budget-ACPLGZ'!V:V)+SUMIF('Budget-Yixing'!$A:$A,$A101,'Budget-Yixing'!V:V)</f>
        <v>48739.41</v>
      </c>
      <c r="W101" s="676">
        <f t="shared" ca="1" si="36"/>
        <v>584962.89450000017</v>
      </c>
      <c r="Y101" s="688">
        <f ca="1">SUMIF('Budget-ACPL'!$A:$A,$A101,'Budget-ACPL'!Y:Y)+SUMIF('Budget-ACPLHK'!$A:$A,$A101,'Budget-ACPLHK'!Y:Y)+SUMIF('Budget-ACPSZL'!$A:$A,$A101,'Budget-ACPSZL'!Y:Y)+SUMIF('Budget-ACPLSZ'!$A:$A,$A101,'Budget-ACPLSZ'!Y:Y)+SUMIF('Budget-ACPLGZ'!$A:$A,$A101,'Budget-ACPLGZ'!Y:Y)+SUMIF('Budget-Yixing'!$A:$A,$A101,'Budget-Yixing'!Y:Y)</f>
        <v>7564.5</v>
      </c>
      <c r="Z101" s="688">
        <f ca="1">SUMIF('Budget-ACPL'!$A:$A,$A101,'Budget-ACPL'!Z:Z)+SUMIF('Budget-ACPLHK'!$A:$A,$A101,'Budget-ACPLHK'!Z:Z)+SUMIF('Budget-ACPSZL'!$A:$A,$A101,'Budget-ACPSZL'!Z:Z)+SUMIF('Budget-ACPLSZ'!$A:$A,$A101,'Budget-ACPLSZ'!Z:Z)+SUMIF('Budget-ACPLGZ'!$A:$A,$A101,'Budget-ACPLGZ'!Z:Z)+SUMIF('Budget-Yixing'!$A:$A,$A101,'Budget-Yixing'!Z:Z)</f>
        <v>5568.38</v>
      </c>
      <c r="AA101" s="688">
        <f ca="1">SUMIF('Budget-ACPL'!$A:$A,$A101,'Budget-ACPL'!AA:AA)+SUMIF('Budget-ACPLHK'!$A:$A,$A101,'Budget-ACPLHK'!AA:AA)+SUMIF('Budget-ACPSZL'!$A:$A,$A101,'Budget-ACPSZL'!AA:AA)+SUMIF('Budget-ACPLSZ'!$A:$A,$A101,'Budget-ACPLSZ'!AA:AA)+SUMIF('Budget-ACPLGZ'!$A:$A,$A101,'Budget-ACPLGZ'!AA:AA)+SUMIF('Budget-Yixing'!$A:$A,$A101,'Budget-Yixing'!AA:AA)</f>
        <v>6476.1100000000006</v>
      </c>
      <c r="AB101" s="688">
        <f ca="1">SUMIF('Budget-ACPL'!$A:$A,$A101,'Budget-ACPL'!AB:AB)+SUMIF('Budget-ACPLHK'!$A:$A,$A101,'Budget-ACPLHK'!AB:AB)+SUMIF('Budget-ACPSZL'!$A:$A,$A101,'Budget-ACPSZL'!AB:AB)+SUMIF('Budget-ACPLSZ'!$A:$A,$A101,'Budget-ACPLSZ'!AB:AB)+SUMIF('Budget-ACPLGZ'!$A:$A,$A101,'Budget-ACPLGZ'!AB:AB)+SUMIF('Budget-Yixing'!$A:$A,$A101,'Budget-Yixing'!AB:AB)</f>
        <v>7526.01</v>
      </c>
      <c r="AC101" s="688">
        <f ca="1">SUMIF('Budget-ACPL'!$A:$A,$A101,'Budget-ACPL'!AC:AC)+SUMIF('Budget-ACPLHK'!$A:$A,$A101,'Budget-ACPLHK'!AC:AC)+SUMIF('Budget-ACPSZL'!$A:$A,$A101,'Budget-ACPSZL'!AC:AC)+SUMIF('Budget-ACPLSZ'!$A:$A,$A101,'Budget-ACPLSZ'!AC:AC)+SUMIF('Budget-ACPLGZ'!$A:$A,$A101,'Budget-ACPLGZ'!AC:AC)+SUMIF('Budget-Yixing'!$A:$A,$A101,'Budget-Yixing'!AC:AC)</f>
        <v>26921.32</v>
      </c>
      <c r="AD101" s="688">
        <f ca="1">SUMIF('Budget-ACPL'!$A:$A,$A101,'Budget-ACPL'!AD:AD)+SUMIF('Budget-ACPLHK'!$A:$A,$A101,'Budget-ACPLHK'!AD:AD)+SUMIF('Budget-ACPSZL'!$A:$A,$A101,'Budget-ACPSZL'!AD:AD)+SUMIF('Budget-ACPLSZ'!$A:$A,$A101,'Budget-ACPLSZ'!AD:AD)+SUMIF('Budget-ACPLGZ'!$A:$A,$A101,'Budget-ACPLGZ'!AD:AD)+SUMIF('Budget-Yixing'!$A:$A,$A101,'Budget-Yixing'!AD:AD)</f>
        <v>12689.16</v>
      </c>
      <c r="AE101" s="688">
        <f ca="1">SUMIF('Budget-ACPL'!$A:$A,$A101,'Budget-ACPL'!AE:AE)+SUMIF('Budget-ACPLHK'!$A:$A,$A101,'Budget-ACPLHK'!AE:AE)+SUMIF('Budget-ACPSZL'!$A:$A,$A101,'Budget-ACPSZL'!AE:AE)+SUMIF('Budget-ACPLSZ'!$A:$A,$A101,'Budget-ACPLSZ'!AE:AE)+SUMIF('Budget-ACPLGZ'!$A:$A,$A101,'Budget-ACPLGZ'!AE:AE)+SUMIF('Budget-Yixing'!$A:$A,$A101,'Budget-Yixing'!AE:AE)</f>
        <v>17850.340000000004</v>
      </c>
      <c r="AF101" s="688">
        <f ca="1">SUMIF('Budget-ACPL'!$A:$A,$A101,'Budget-ACPL'!AF:AF)+SUMIF('Budget-ACPLHK'!$A:$A,$A101,'Budget-ACPLHK'!AF:AF)+SUMIF('Budget-ACPSZL'!$A:$A,$A101,'Budget-ACPSZL'!AF:AF)+SUMIF('Budget-ACPLSZ'!$A:$A,$A101,'Budget-ACPLSZ'!AF:AF)+SUMIF('Budget-ACPLGZ'!$A:$A,$A101,'Budget-ACPLGZ'!AF:AF)+SUMIF('Budget-Yixing'!$A:$A,$A101,'Budget-Yixing'!AF:AF)</f>
        <v>12911.360000000002</v>
      </c>
      <c r="AG101" s="688">
        <f ca="1">SUMIF('Budget-ACPL'!$A:$A,$A101,'Budget-ACPL'!AG:AG)+SUMIF('Budget-ACPLHK'!$A:$A,$A101,'Budget-ACPLHK'!AG:AG)+SUMIF('Budget-ACPSZL'!$A:$A,$A101,'Budget-ACPSZL'!AG:AG)+SUMIF('Budget-ACPLSZ'!$A:$A,$A101,'Budget-ACPLSZ'!AG:AG)+SUMIF('Budget-ACPLGZ'!$A:$A,$A101,'Budget-ACPLGZ'!AG:AG)+SUMIF('Budget-Yixing'!$A:$A,$A101,'Budget-Yixing'!AG:AG)</f>
        <v>20646.659999999996</v>
      </c>
      <c r="AH101" s="688">
        <f ca="1">SUMIF('Budget-ACPL'!$A:$A,$A101,'Budget-ACPL'!AH:AH)+SUMIF('Budget-ACPLHK'!$A:$A,$A101,'Budget-ACPLHK'!AH:AH)+SUMIF('Budget-ACPSZL'!$A:$A,$A101,'Budget-ACPSZL'!AH:AH)+SUMIF('Budget-ACPLSZ'!$A:$A,$A101,'Budget-ACPLSZ'!AH:AH)+SUMIF('Budget-ACPLGZ'!$A:$A,$A101,'Budget-ACPLGZ'!AH:AH)+SUMIF('Budget-Yixing'!$A:$A,$A101,'Budget-Yixing'!AH:AH)</f>
        <v>8475.5300000000007</v>
      </c>
      <c r="AI101" s="688">
        <f ca="1">SUMIF('Budget-ACPL'!$A:$A,$A101,'Budget-ACPL'!AI:AI)+SUMIF('Budget-ACPLHK'!$A:$A,$A101,'Budget-ACPLHK'!AI:AI)+SUMIF('Budget-ACPSZL'!$A:$A,$A101,'Budget-ACPSZL'!AI:AI)+SUMIF('Budget-ACPLSZ'!$A:$A,$A101,'Budget-ACPLSZ'!AI:AI)+SUMIF('Budget-ACPLGZ'!$A:$A,$A101,'Budget-ACPLGZ'!AI:AI)+SUMIF('Budget-Yixing'!$A:$A,$A101,'Budget-Yixing'!AI:AI)</f>
        <v>23603.47</v>
      </c>
      <c r="AJ101" s="688">
        <f ca="1">SUMIF('Budget-ACPL'!$A:$A,$A101,'Budget-ACPL'!AJ:AJ)+SUMIF('Budget-ACPLHK'!$A:$A,$A101,'Budget-ACPLHK'!AJ:AJ)+SUMIF('Budget-ACPSZL'!$A:$A,$A101,'Budget-ACPSZL'!AJ:AJ)+SUMIF('Budget-ACPLSZ'!$A:$A,$A101,'Budget-ACPLSZ'!AJ:AJ)+SUMIF('Budget-ACPLGZ'!$A:$A,$A101,'Budget-ACPLGZ'!AJ:AJ)+SUMIF('Budget-Yixing'!$A:$A,$A101,'Budget-Yixing'!AJ:AJ)</f>
        <v>108450.95</v>
      </c>
      <c r="AK101" s="688">
        <f t="shared" ca="1" si="33"/>
        <v>258683.78999999998</v>
      </c>
    </row>
    <row r="102" spans="1:37" ht="11.1" hidden="1" customHeight="1">
      <c r="A102" s="718">
        <f>$A$76</f>
        <v>0</v>
      </c>
      <c r="B102" s="687" t="s">
        <v>2526</v>
      </c>
      <c r="C102" s="687" t="s">
        <v>2511</v>
      </c>
      <c r="D102" s="676">
        <f t="shared" si="27"/>
        <v>0</v>
      </c>
      <c r="E102" s="676" t="e">
        <f t="shared" si="28"/>
        <v>#N/A</v>
      </c>
      <c r="F102" s="676" t="e">
        <f t="shared" si="24"/>
        <v>#N/A</v>
      </c>
      <c r="G102" s="676">
        <f t="shared" ca="1" si="29"/>
        <v>0</v>
      </c>
      <c r="H102" s="676" t="e">
        <f t="shared" ca="1" si="30"/>
        <v>#N/A</v>
      </c>
      <c r="I102" s="676" t="e">
        <f t="shared" ca="1" si="31"/>
        <v>#N/A</v>
      </c>
      <c r="K102" s="676"/>
      <c r="L102" s="676"/>
      <c r="M102" s="676"/>
      <c r="N102" s="676"/>
      <c r="O102" s="676"/>
      <c r="P102" s="676"/>
      <c r="Q102" s="676"/>
      <c r="R102" s="676"/>
      <c r="S102" s="676"/>
      <c r="T102" s="676"/>
      <c r="U102" s="676"/>
      <c r="V102" s="676"/>
      <c r="W102" s="676">
        <f t="shared" si="36"/>
        <v>0</v>
      </c>
      <c r="Y102" s="676"/>
      <c r="Z102" s="688"/>
      <c r="AA102" s="688"/>
      <c r="AB102" s="688"/>
      <c r="AC102" s="688"/>
      <c r="AD102" s="688"/>
      <c r="AE102" s="688"/>
      <c r="AF102" s="688"/>
      <c r="AG102" s="688"/>
      <c r="AH102" s="688"/>
      <c r="AI102" s="688"/>
      <c r="AJ102" s="688"/>
      <c r="AK102" s="688">
        <f t="shared" si="33"/>
        <v>0</v>
      </c>
    </row>
    <row r="103" spans="1:37" ht="11.1" hidden="1" customHeight="1">
      <c r="A103" s="718">
        <f>$A$77</f>
        <v>0</v>
      </c>
      <c r="B103" s="687" t="s">
        <v>2527</v>
      </c>
      <c r="C103" s="687" t="s">
        <v>2513</v>
      </c>
      <c r="D103" s="676">
        <f t="shared" si="27"/>
        <v>0</v>
      </c>
      <c r="E103" s="676" t="e">
        <f t="shared" si="28"/>
        <v>#N/A</v>
      </c>
      <c r="F103" s="676" t="e">
        <f t="shared" si="24"/>
        <v>#N/A</v>
      </c>
      <c r="G103" s="676">
        <f t="shared" ca="1" si="29"/>
        <v>0</v>
      </c>
      <c r="H103" s="676" t="e">
        <f t="shared" ca="1" si="30"/>
        <v>#N/A</v>
      </c>
      <c r="I103" s="676" t="e">
        <f t="shared" ca="1" si="31"/>
        <v>#N/A</v>
      </c>
      <c r="K103" s="676"/>
      <c r="L103" s="676"/>
      <c r="M103" s="676"/>
      <c r="N103" s="676"/>
      <c r="O103" s="676"/>
      <c r="P103" s="676"/>
      <c r="Q103" s="676"/>
      <c r="R103" s="676"/>
      <c r="S103" s="676"/>
      <c r="T103" s="676"/>
      <c r="U103" s="676"/>
      <c r="V103" s="676"/>
      <c r="W103" s="676">
        <f t="shared" si="36"/>
        <v>0</v>
      </c>
      <c r="Y103" s="676"/>
      <c r="Z103" s="688"/>
      <c r="AA103" s="688"/>
      <c r="AB103" s="688"/>
      <c r="AC103" s="688"/>
      <c r="AD103" s="688"/>
      <c r="AE103" s="688"/>
      <c r="AF103" s="688"/>
      <c r="AG103" s="688"/>
      <c r="AH103" s="688"/>
      <c r="AI103" s="688"/>
      <c r="AJ103" s="688"/>
      <c r="AK103" s="688">
        <f t="shared" si="33"/>
        <v>0</v>
      </c>
    </row>
    <row r="104" spans="1:37" ht="11.1" hidden="1" customHeight="1">
      <c r="A104" s="718">
        <f>$A$78</f>
        <v>0</v>
      </c>
      <c r="B104" s="687" t="s">
        <v>2528</v>
      </c>
      <c r="C104" s="687" t="s">
        <v>2515</v>
      </c>
      <c r="D104" s="676">
        <f t="shared" si="27"/>
        <v>0</v>
      </c>
      <c r="E104" s="676" t="e">
        <f t="shared" si="28"/>
        <v>#N/A</v>
      </c>
      <c r="F104" s="676" t="e">
        <f t="shared" si="24"/>
        <v>#N/A</v>
      </c>
      <c r="G104" s="676">
        <f t="shared" ca="1" si="29"/>
        <v>0</v>
      </c>
      <c r="H104" s="676" t="e">
        <f t="shared" ca="1" si="30"/>
        <v>#N/A</v>
      </c>
      <c r="I104" s="676" t="e">
        <f t="shared" ca="1" si="31"/>
        <v>#N/A</v>
      </c>
      <c r="K104" s="676"/>
      <c r="L104" s="676"/>
      <c r="M104" s="676"/>
      <c r="N104" s="676"/>
      <c r="O104" s="676"/>
      <c r="P104" s="676"/>
      <c r="Q104" s="676"/>
      <c r="R104" s="676"/>
      <c r="S104" s="676"/>
      <c r="T104" s="676"/>
      <c r="U104" s="676"/>
      <c r="V104" s="676">
        <f>SUMIF('Budget-ACPL'!$B:$B,$B104,'Budget-ACPL'!V:V)+SUMIF('Budget-ACPLHK'!$B:$B,$B104,'Budget-ACPLHK'!V:V)+SUMIF('Budget-ACPSZL'!$B:$B,$B104,'Budget-ACPSZL'!V:V)+SUMIF('Budget-ACPLSZ'!$B:$B,$B104,'Budget-ACPLSZ'!V:V)</f>
        <v>0</v>
      </c>
      <c r="W104" s="676">
        <f t="shared" si="36"/>
        <v>0</v>
      </c>
      <c r="Y104" s="676"/>
      <c r="Z104" s="688"/>
      <c r="AA104" s="688"/>
      <c r="AB104" s="688"/>
      <c r="AC104" s="688"/>
      <c r="AD104" s="688"/>
      <c r="AE104" s="688"/>
      <c r="AF104" s="688"/>
      <c r="AG104" s="688"/>
      <c r="AH104" s="688"/>
      <c r="AI104" s="688"/>
      <c r="AJ104" s="688"/>
      <c r="AK104" s="688">
        <f t="shared" si="33"/>
        <v>0</v>
      </c>
    </row>
    <row r="105" spans="1:37" ht="11.1" customHeight="1">
      <c r="A105" s="713" t="s">
        <v>1704</v>
      </c>
      <c r="B105" s="687" t="str">
        <f>VLOOKUP(A105,Account!A:B,2,0)</f>
        <v>空中交通费</v>
      </c>
      <c r="C105" s="687" t="str">
        <f>VLOOKUP(A105,Account!A:F,4,0)</f>
        <v>Travel Air Transport</v>
      </c>
      <c r="D105" s="676">
        <f t="shared" ca="1" si="27"/>
        <v>39984.389499999997</v>
      </c>
      <c r="E105" s="676" t="e">
        <f t="shared" si="28"/>
        <v>#N/A</v>
      </c>
      <c r="F105" s="676" t="e">
        <f t="shared" ca="1" si="24"/>
        <v>#N/A</v>
      </c>
      <c r="G105" s="676">
        <f t="shared" ca="1" si="29"/>
        <v>39984.389499999997</v>
      </c>
      <c r="H105" s="676" t="e">
        <f t="shared" ca="1" si="30"/>
        <v>#N/A</v>
      </c>
      <c r="I105" s="676" t="e">
        <f t="shared" ca="1" si="31"/>
        <v>#N/A</v>
      </c>
      <c r="K105" s="676">
        <f ca="1">SUMIF('Budget-ACPL'!$A:$A,$A105,'Budget-ACPL'!K:K)+SUMIF('Budget-ACPLHK'!$A:$A,$A105,'Budget-ACPLHK'!K:K)+SUMIF('Budget-ACPSZL'!$A:$A,$A105,'Budget-ACPSZL'!K:K)+SUMIF('Budget-ACPLSZ'!$A:$A,$A105,'Budget-ACPLSZ'!K:K)+SUMIF('Budget-ACPLGZ'!$A:$A,$A105,'Budget-ACPLGZ'!K:K)+SUMIF('Budget-Yixing'!$A:$A,$A105,'Budget-Yixing'!K:K)</f>
        <v>39984.389499999997</v>
      </c>
      <c r="L105" s="676">
        <f ca="1">SUMIF('Budget-ACPL'!$A:$A,$A105,'Budget-ACPL'!L:L)+SUMIF('Budget-ACPLHK'!$A:$A,$A105,'Budget-ACPLHK'!L:L)+SUMIF('Budget-ACPSZL'!$A:$A,$A105,'Budget-ACPSZL'!L:L)+SUMIF('Budget-ACPLSZ'!$A:$A,$A105,'Budget-ACPLSZ'!L:L)+SUMIF('Budget-ACPLGZ'!$A:$A,$A105,'Budget-ACPLGZ'!L:L)+SUMIF('Budget-Yixing'!$A:$A,$A105,'Budget-Yixing'!L:L)</f>
        <v>39898.31</v>
      </c>
      <c r="M105" s="676">
        <f ca="1">SUMIF('Budget-ACPL'!$A:$A,$A105,'Budget-ACPL'!M:M)+SUMIF('Budget-ACPLHK'!$A:$A,$A105,'Budget-ACPLHK'!M:M)+SUMIF('Budget-ACPSZL'!$A:$A,$A105,'Budget-ACPSZL'!M:M)+SUMIF('Budget-ACPLSZ'!$A:$A,$A105,'Budget-ACPLSZ'!M:M)+SUMIF('Budget-ACPLGZ'!$A:$A,$A105,'Budget-ACPLGZ'!M:M)+SUMIF('Budget-Yixing'!$A:$A,$A105,'Budget-Yixing'!M:M)</f>
        <v>39898.31</v>
      </c>
      <c r="N105" s="676">
        <f ca="1">SUMIF('Budget-ACPL'!$A:$A,$A105,'Budget-ACPL'!N:N)+SUMIF('Budget-ACPLHK'!$A:$A,$A105,'Budget-ACPLHK'!N:N)+SUMIF('Budget-ACPSZL'!$A:$A,$A105,'Budget-ACPSZL'!N:N)+SUMIF('Budget-ACPLSZ'!$A:$A,$A105,'Budget-ACPLSZ'!N:N)+SUMIF('Budget-ACPLGZ'!$A:$A,$A105,'Budget-ACPLGZ'!N:N)+SUMIF('Budget-Yixing'!$A:$A,$A105,'Budget-Yixing'!N:N)</f>
        <v>39898.31</v>
      </c>
      <c r="O105" s="676">
        <f ca="1">SUMIF('Budget-ACPL'!$A:$A,$A105,'Budget-ACPL'!O:O)+SUMIF('Budget-ACPLHK'!$A:$A,$A105,'Budget-ACPLHK'!O:O)+SUMIF('Budget-ACPSZL'!$A:$A,$A105,'Budget-ACPSZL'!O:O)+SUMIF('Budget-ACPLSZ'!$A:$A,$A105,'Budget-ACPLSZ'!O:O)+SUMIF('Budget-ACPLGZ'!$A:$A,$A105,'Budget-ACPLGZ'!O:O)+SUMIF('Budget-Yixing'!$A:$A,$A105,'Budget-Yixing'!O:O)</f>
        <v>39898.31</v>
      </c>
      <c r="P105" s="676">
        <f ca="1">SUMIF('Budget-ACPL'!$A:$A,$A105,'Budget-ACPL'!P:P)+SUMIF('Budget-ACPLHK'!$A:$A,$A105,'Budget-ACPLHK'!P:P)+SUMIF('Budget-ACPSZL'!$A:$A,$A105,'Budget-ACPSZL'!P:P)+SUMIF('Budget-ACPLSZ'!$A:$A,$A105,'Budget-ACPLSZ'!P:P)+SUMIF('Budget-ACPLGZ'!$A:$A,$A105,'Budget-ACPLGZ'!P:P)+SUMIF('Budget-Yixing'!$A:$A,$A105,'Budget-Yixing'!P:P)</f>
        <v>39898.31</v>
      </c>
      <c r="Q105" s="676">
        <f ca="1">SUMIF('Budget-ACPL'!$A:$A,$A105,'Budget-ACPL'!Q:Q)+SUMIF('Budget-ACPLHK'!$A:$A,$A105,'Budget-ACPLHK'!Q:Q)+SUMIF('Budget-ACPSZL'!$A:$A,$A105,'Budget-ACPSZL'!Q:Q)+SUMIF('Budget-ACPLSZ'!$A:$A,$A105,'Budget-ACPLSZ'!Q:Q)+SUMIF('Budget-ACPLGZ'!$A:$A,$A105,'Budget-ACPLGZ'!Q:Q)+SUMIF('Budget-Yixing'!$A:$A,$A105,'Budget-Yixing'!Q:Q)</f>
        <v>39898.31</v>
      </c>
      <c r="R105" s="676">
        <f ca="1">SUMIF('Budget-ACPL'!$A:$A,$A105,'Budget-ACPL'!R:R)+SUMIF('Budget-ACPLHK'!$A:$A,$A105,'Budget-ACPLHK'!R:R)+SUMIF('Budget-ACPSZL'!$A:$A,$A105,'Budget-ACPSZL'!R:R)+SUMIF('Budget-ACPLSZ'!$A:$A,$A105,'Budget-ACPLSZ'!R:R)+SUMIF('Budget-ACPLGZ'!$A:$A,$A105,'Budget-ACPLGZ'!R:R)+SUMIF('Budget-Yixing'!$A:$A,$A105,'Budget-Yixing'!R:R)</f>
        <v>39898.31</v>
      </c>
      <c r="S105" s="676">
        <f ca="1">SUMIF('Budget-ACPL'!$A:$A,$A105,'Budget-ACPL'!S:S)+SUMIF('Budget-ACPLHK'!$A:$A,$A105,'Budget-ACPLHK'!S:S)+SUMIF('Budget-ACPSZL'!$A:$A,$A105,'Budget-ACPSZL'!S:S)+SUMIF('Budget-ACPLSZ'!$A:$A,$A105,'Budget-ACPLSZ'!S:S)+SUMIF('Budget-ACPLGZ'!$A:$A,$A105,'Budget-ACPLGZ'!S:S)+SUMIF('Budget-Yixing'!$A:$A,$A105,'Budget-Yixing'!S:S)</f>
        <v>39898.31</v>
      </c>
      <c r="T105" s="676">
        <f ca="1">SUMIF('Budget-ACPL'!$A:$A,$A105,'Budget-ACPL'!T:T)+SUMIF('Budget-ACPLHK'!$A:$A,$A105,'Budget-ACPLHK'!T:T)+SUMIF('Budget-ACPSZL'!$A:$A,$A105,'Budget-ACPSZL'!T:T)+SUMIF('Budget-ACPLSZ'!$A:$A,$A105,'Budget-ACPLSZ'!T:T)+SUMIF('Budget-ACPLGZ'!$A:$A,$A105,'Budget-ACPLGZ'!T:T)+SUMIF('Budget-Yixing'!$A:$A,$A105,'Budget-Yixing'!T:T)</f>
        <v>39898.31</v>
      </c>
      <c r="U105" s="676">
        <f ca="1">SUMIF('Budget-ACPL'!$A:$A,$A105,'Budget-ACPL'!U:U)+SUMIF('Budget-ACPLHK'!$A:$A,$A105,'Budget-ACPLHK'!U:U)+SUMIF('Budget-ACPSZL'!$A:$A,$A105,'Budget-ACPSZL'!U:U)+SUMIF('Budget-ACPLSZ'!$A:$A,$A105,'Budget-ACPLSZ'!U:U)+SUMIF('Budget-ACPLGZ'!$A:$A,$A105,'Budget-ACPLGZ'!U:U)+SUMIF('Budget-Yixing'!$A:$A,$A105,'Budget-Yixing'!U:U)</f>
        <v>39898.31</v>
      </c>
      <c r="V105" s="676">
        <f ca="1">SUMIF('Budget-ACPL'!$A:$A,$A105,'Budget-ACPL'!V:V)+SUMIF('Budget-ACPLHK'!$A:$A,$A105,'Budget-ACPLHK'!V:V)+SUMIF('Budget-ACPSZL'!$A:$A,$A105,'Budget-ACPSZL'!V:V)+SUMIF('Budget-ACPLSZ'!$A:$A,$A105,'Budget-ACPLSZ'!V:V)+SUMIF('Budget-ACPLGZ'!$A:$A,$A105,'Budget-ACPLGZ'!V:V)+SUMIF('Budget-Yixing'!$A:$A,$A105,'Budget-Yixing'!V:V)</f>
        <v>39898.31</v>
      </c>
      <c r="W105" s="676">
        <f t="shared" ca="1" si="36"/>
        <v>478865.79949999996</v>
      </c>
      <c r="Y105" s="688">
        <f ca="1">SUMIF('Budget-ACPL'!$A:$A,$A105,'Budget-ACPL'!Y:Y)+SUMIF('Budget-ACPLHK'!$A:$A,$A105,'Budget-ACPLHK'!Y:Y)+SUMIF('Budget-ACPSZL'!$A:$A,$A105,'Budget-ACPSZL'!Y:Y)+SUMIF('Budget-ACPLSZ'!$A:$A,$A105,'Budget-ACPLSZ'!Y:Y)+SUMIF('Budget-ACPLGZ'!$A:$A,$A105,'Budget-ACPLGZ'!Y:Y)+SUMIF('Budget-Yixing'!$A:$A,$A105,'Budget-Yixing'!Y:Y)</f>
        <v>22289</v>
      </c>
      <c r="Z105" s="688">
        <f ca="1">SUMIF('Budget-ACPL'!$A:$A,$A105,'Budget-ACPL'!Z:Z)+SUMIF('Budget-ACPLHK'!$A:$A,$A105,'Budget-ACPLHK'!Z:Z)+SUMIF('Budget-ACPSZL'!$A:$A,$A105,'Budget-ACPSZL'!Z:Z)+SUMIF('Budget-ACPLSZ'!$A:$A,$A105,'Budget-ACPLSZ'!Z:Z)+SUMIF('Budget-ACPLGZ'!$A:$A,$A105,'Budget-ACPLGZ'!Z:Z)+SUMIF('Budget-Yixing'!$A:$A,$A105,'Budget-Yixing'!Z:Z)</f>
        <v>32371.95</v>
      </c>
      <c r="AA105" s="688">
        <f ca="1">SUMIF('Budget-ACPL'!$A:$A,$A105,'Budget-ACPL'!AA:AA)+SUMIF('Budget-ACPLHK'!$A:$A,$A105,'Budget-ACPLHK'!AA:AA)+SUMIF('Budget-ACPSZL'!$A:$A,$A105,'Budget-ACPSZL'!AA:AA)+SUMIF('Budget-ACPLSZ'!$A:$A,$A105,'Budget-ACPLSZ'!AA:AA)+SUMIF('Budget-ACPLGZ'!$A:$A,$A105,'Budget-ACPLGZ'!AA:AA)+SUMIF('Budget-Yixing'!$A:$A,$A105,'Budget-Yixing'!AA:AA)</f>
        <v>29082.28</v>
      </c>
      <c r="AB105" s="688">
        <f ca="1">SUMIF('Budget-ACPL'!$A:$A,$A105,'Budget-ACPL'!AB:AB)+SUMIF('Budget-ACPLHK'!$A:$A,$A105,'Budget-ACPLHK'!AB:AB)+SUMIF('Budget-ACPSZL'!$A:$A,$A105,'Budget-ACPSZL'!AB:AB)+SUMIF('Budget-ACPLSZ'!$A:$A,$A105,'Budget-ACPLSZ'!AB:AB)+SUMIF('Budget-ACPLGZ'!$A:$A,$A105,'Budget-ACPLGZ'!AB:AB)+SUMIF('Budget-Yixing'!$A:$A,$A105,'Budget-Yixing'!AB:AB)</f>
        <v>9982.64</v>
      </c>
      <c r="AC105" s="688">
        <f ca="1">SUMIF('Budget-ACPL'!$A:$A,$A105,'Budget-ACPL'!AC:AC)+SUMIF('Budget-ACPLHK'!$A:$A,$A105,'Budget-ACPLHK'!AC:AC)+SUMIF('Budget-ACPSZL'!$A:$A,$A105,'Budget-ACPSZL'!AC:AC)+SUMIF('Budget-ACPLSZ'!$A:$A,$A105,'Budget-ACPLSZ'!AC:AC)+SUMIF('Budget-ACPLGZ'!$A:$A,$A105,'Budget-ACPLGZ'!AC:AC)+SUMIF('Budget-Yixing'!$A:$A,$A105,'Budget-Yixing'!AC:AC)</f>
        <v>46523.040000000001</v>
      </c>
      <c r="AD105" s="688">
        <f ca="1">SUMIF('Budget-ACPL'!$A:$A,$A105,'Budget-ACPL'!AD:AD)+SUMIF('Budget-ACPLHK'!$A:$A,$A105,'Budget-ACPLHK'!AD:AD)+SUMIF('Budget-ACPSZL'!$A:$A,$A105,'Budget-ACPSZL'!AD:AD)+SUMIF('Budget-ACPLSZ'!$A:$A,$A105,'Budget-ACPLSZ'!AD:AD)+SUMIF('Budget-ACPLGZ'!$A:$A,$A105,'Budget-ACPLGZ'!AD:AD)+SUMIF('Budget-Yixing'!$A:$A,$A105,'Budget-Yixing'!AD:AD)</f>
        <v>41695.119999999995</v>
      </c>
      <c r="AE105" s="688">
        <f ca="1">SUMIF('Budget-ACPL'!$A:$A,$A105,'Budget-ACPL'!AE:AE)+SUMIF('Budget-ACPLHK'!$A:$A,$A105,'Budget-ACPLHK'!AE:AE)+SUMIF('Budget-ACPSZL'!$A:$A,$A105,'Budget-ACPSZL'!AE:AE)+SUMIF('Budget-ACPLSZ'!$A:$A,$A105,'Budget-ACPLSZ'!AE:AE)+SUMIF('Budget-ACPLGZ'!$A:$A,$A105,'Budget-ACPLGZ'!AE:AE)+SUMIF('Budget-Yixing'!$A:$A,$A105,'Budget-Yixing'!AE:AE)</f>
        <v>22110.47</v>
      </c>
      <c r="AF105" s="688">
        <f ca="1">SUMIF('Budget-ACPL'!$A:$A,$A105,'Budget-ACPL'!AF:AF)+SUMIF('Budget-ACPLHK'!$A:$A,$A105,'Budget-ACPLHK'!AF:AF)+SUMIF('Budget-ACPSZL'!$A:$A,$A105,'Budget-ACPSZL'!AF:AF)+SUMIF('Budget-ACPLSZ'!$A:$A,$A105,'Budget-ACPLSZ'!AF:AF)+SUMIF('Budget-ACPLGZ'!$A:$A,$A105,'Budget-ACPLGZ'!AF:AF)+SUMIF('Budget-Yixing'!$A:$A,$A105,'Budget-Yixing'!AF:AF)</f>
        <v>48578.590000000004</v>
      </c>
      <c r="AG105" s="688">
        <f ca="1">SUMIF('Budget-ACPL'!$A:$A,$A105,'Budget-ACPL'!AG:AG)+SUMIF('Budget-ACPLHK'!$A:$A,$A105,'Budget-ACPLHK'!AG:AG)+SUMIF('Budget-ACPSZL'!$A:$A,$A105,'Budget-ACPSZL'!AG:AG)+SUMIF('Budget-ACPLSZ'!$A:$A,$A105,'Budget-ACPLSZ'!AG:AG)+SUMIF('Budget-ACPLGZ'!$A:$A,$A105,'Budget-ACPLGZ'!AG:AG)+SUMIF('Budget-Yixing'!$A:$A,$A105,'Budget-Yixing'!AG:AG)</f>
        <v>77320.05</v>
      </c>
      <c r="AH105" s="688">
        <f ca="1">SUMIF('Budget-ACPL'!$A:$A,$A105,'Budget-ACPL'!AH:AH)+SUMIF('Budget-ACPLHK'!$A:$A,$A105,'Budget-ACPLHK'!AH:AH)+SUMIF('Budget-ACPSZL'!$A:$A,$A105,'Budget-ACPSZL'!AH:AH)+SUMIF('Budget-ACPLSZ'!$A:$A,$A105,'Budget-ACPLSZ'!AH:AH)+SUMIF('Budget-ACPLGZ'!$A:$A,$A105,'Budget-ACPLGZ'!AH:AH)+SUMIF('Budget-Yixing'!$A:$A,$A105,'Budget-Yixing'!AH:AH)</f>
        <v>79059.079999999987</v>
      </c>
      <c r="AI105" s="688">
        <f ca="1">SUMIF('Budget-ACPL'!$A:$A,$A105,'Budget-ACPL'!AI:AI)+SUMIF('Budget-ACPLHK'!$A:$A,$A105,'Budget-ACPLHK'!AI:AI)+SUMIF('Budget-ACPSZL'!$A:$A,$A105,'Budget-ACPSZL'!AI:AI)+SUMIF('Budget-ACPLSZ'!$A:$A,$A105,'Budget-ACPLSZ'!AI:AI)+SUMIF('Budget-ACPLGZ'!$A:$A,$A105,'Budget-ACPLGZ'!AI:AI)+SUMIF('Budget-Yixing'!$A:$A,$A105,'Budget-Yixing'!AI:AI)</f>
        <v>29411.72</v>
      </c>
      <c r="AJ105" s="688">
        <f ca="1">SUMIF('Budget-ACPL'!$A:$A,$A105,'Budget-ACPL'!AJ:AJ)+SUMIF('Budget-ACPLHK'!$A:$A,$A105,'Budget-ACPLHK'!AJ:AJ)+SUMIF('Budget-ACPSZL'!$A:$A,$A105,'Budget-ACPSZL'!AJ:AJ)+SUMIF('Budget-ACPLSZ'!$A:$A,$A105,'Budget-ACPLSZ'!AJ:AJ)+SUMIF('Budget-ACPLGZ'!$A:$A,$A105,'Budget-ACPLGZ'!AJ:AJ)+SUMIF('Budget-Yixing'!$A:$A,$A105,'Budget-Yixing'!AJ:AJ)</f>
        <v>76491.540000000008</v>
      </c>
      <c r="AK105" s="688">
        <f t="shared" ca="1" si="33"/>
        <v>514915.48</v>
      </c>
    </row>
    <row r="106" spans="1:37" ht="11.1" hidden="1" customHeight="1">
      <c r="A106" s="718">
        <f>$A$76</f>
        <v>0</v>
      </c>
      <c r="B106" s="687" t="s">
        <v>2529</v>
      </c>
      <c r="C106" s="687" t="s">
        <v>2511</v>
      </c>
      <c r="D106" s="676">
        <f t="shared" si="27"/>
        <v>0</v>
      </c>
      <c r="E106" s="676" t="e">
        <f t="shared" si="28"/>
        <v>#N/A</v>
      </c>
      <c r="F106" s="676" t="e">
        <f t="shared" si="24"/>
        <v>#N/A</v>
      </c>
      <c r="G106" s="676">
        <f t="shared" ca="1" si="29"/>
        <v>0</v>
      </c>
      <c r="H106" s="676" t="e">
        <f t="shared" ca="1" si="30"/>
        <v>#N/A</v>
      </c>
      <c r="I106" s="676" t="e">
        <f t="shared" ca="1" si="31"/>
        <v>#N/A</v>
      </c>
      <c r="K106" s="676"/>
      <c r="L106" s="676"/>
      <c r="M106" s="676"/>
      <c r="N106" s="676"/>
      <c r="O106" s="676"/>
      <c r="P106" s="676"/>
      <c r="Q106" s="676"/>
      <c r="R106" s="676"/>
      <c r="S106" s="676"/>
      <c r="T106" s="676"/>
      <c r="U106" s="676"/>
      <c r="V106" s="676"/>
      <c r="W106" s="676">
        <f t="shared" si="36"/>
        <v>0</v>
      </c>
      <c r="Y106" s="688"/>
      <c r="Z106" s="688"/>
      <c r="AA106" s="688"/>
      <c r="AB106" s="688"/>
      <c r="AC106" s="688"/>
      <c r="AD106" s="688"/>
      <c r="AE106" s="688"/>
      <c r="AF106" s="688"/>
      <c r="AG106" s="688"/>
      <c r="AH106" s="688"/>
      <c r="AI106" s="688"/>
      <c r="AJ106" s="688"/>
      <c r="AK106" s="688">
        <f t="shared" si="33"/>
        <v>0</v>
      </c>
    </row>
    <row r="107" spans="1:37" ht="11.1" hidden="1" customHeight="1">
      <c r="A107" s="718">
        <f>$A$77</f>
        <v>0</v>
      </c>
      <c r="B107" s="687" t="s">
        <v>2530</v>
      </c>
      <c r="C107" s="687" t="s">
        <v>2513</v>
      </c>
      <c r="D107" s="676">
        <f t="shared" si="27"/>
        <v>0</v>
      </c>
      <c r="E107" s="676" t="e">
        <f t="shared" si="28"/>
        <v>#N/A</v>
      </c>
      <c r="F107" s="676" t="e">
        <f t="shared" ref="F107:F153" si="37">D107-E107</f>
        <v>#N/A</v>
      </c>
      <c r="G107" s="676">
        <f t="shared" ca="1" si="29"/>
        <v>0</v>
      </c>
      <c r="H107" s="676" t="e">
        <f t="shared" ca="1" si="30"/>
        <v>#N/A</v>
      </c>
      <c r="I107" s="676" t="e">
        <f t="shared" ca="1" si="31"/>
        <v>#N/A</v>
      </c>
      <c r="K107" s="676"/>
      <c r="L107" s="676"/>
      <c r="M107" s="676"/>
      <c r="N107" s="676"/>
      <c r="O107" s="676"/>
      <c r="P107" s="676"/>
      <c r="Q107" s="676"/>
      <c r="R107" s="676"/>
      <c r="S107" s="676"/>
      <c r="T107" s="676"/>
      <c r="U107" s="676"/>
      <c r="V107" s="676"/>
      <c r="W107" s="676">
        <f t="shared" si="36"/>
        <v>0</v>
      </c>
      <c r="Y107" s="688"/>
      <c r="Z107" s="688"/>
      <c r="AA107" s="688"/>
      <c r="AB107" s="688"/>
      <c r="AC107" s="688"/>
      <c r="AD107" s="688"/>
      <c r="AE107" s="688"/>
      <c r="AF107" s="688"/>
      <c r="AG107" s="688"/>
      <c r="AH107" s="688"/>
      <c r="AI107" s="688"/>
      <c r="AJ107" s="688"/>
      <c r="AK107" s="688">
        <f t="shared" si="33"/>
        <v>0</v>
      </c>
    </row>
    <row r="108" spans="1:37" ht="11.1" hidden="1" customHeight="1">
      <c r="A108" s="718">
        <f>$A$78</f>
        <v>0</v>
      </c>
      <c r="B108" s="687" t="s">
        <v>2531</v>
      </c>
      <c r="C108" s="687" t="s">
        <v>2515</v>
      </c>
      <c r="D108" s="676">
        <f t="shared" ref="D108:D153" si="38">INDEX($K108:$W108,1,MATCH(D$6,$K$6:$W$6))</f>
        <v>0</v>
      </c>
      <c r="E108" s="676" t="e">
        <f t="shared" ref="E108:E153" si="39">INDEX($Y108:$AJ108,1,MATCH(E$6,$Y$6:$AJ$6))</f>
        <v>#N/A</v>
      </c>
      <c r="F108" s="676" t="e">
        <f t="shared" si="37"/>
        <v>#N/A</v>
      </c>
      <c r="G108" s="676">
        <f t="shared" ref="G108:G153" ca="1" si="40">SUM($K108:OFFSET($K108,0,MATCH(G$6,$K$6:$W$6)-1))</f>
        <v>0</v>
      </c>
      <c r="H108" s="676" t="e">
        <f t="shared" ref="H108:H153" ca="1" si="41">SUM($Y108:OFFSET($Y108,0,MATCH(H$6,$Y$6:$AJ$6)-1))</f>
        <v>#N/A</v>
      </c>
      <c r="I108" s="676" t="e">
        <f t="shared" ref="I108:I153" ca="1" si="42">G108-H108</f>
        <v>#N/A</v>
      </c>
      <c r="K108" s="676">
        <f>SUMIF('Budget-ACPL'!$B:$B,$B108,'Budget-ACPL'!K:K)+SUMIF('Budget-ACPLHK'!$B:$B,$B108,'Budget-ACPLHK'!K:K)+SUMIF('Budget-ACPSZL'!$B:$B,$B108,'Budget-ACPSZL'!K:K)+SUMIF('Budget-ACPLSZ'!$B:$B,$B108,'Budget-ACPLSZ'!K:K)</f>
        <v>0</v>
      </c>
      <c r="L108" s="676">
        <f>SUMIF('Budget-ACPL'!$B:$B,$B108,'Budget-ACPL'!L:L)+SUMIF('Budget-ACPLHK'!$B:$B,$B108,'Budget-ACPLHK'!L:L)+SUMIF('Budget-ACPSZL'!$B:$B,$B108,'Budget-ACPSZL'!L:L)+SUMIF('Budget-ACPLSZ'!$B:$B,$B108,'Budget-ACPLSZ'!L:L)</f>
        <v>0</v>
      </c>
      <c r="M108" s="676">
        <f>SUMIF('Budget-ACPL'!$B:$B,$B108,'Budget-ACPL'!M:M)+SUMIF('Budget-ACPLHK'!$B:$B,$B108,'Budget-ACPLHK'!M:M)+SUMIF('Budget-ACPSZL'!$B:$B,$B108,'Budget-ACPSZL'!M:M)+SUMIF('Budget-ACPLSZ'!$B:$B,$B108,'Budget-ACPLSZ'!M:M)</f>
        <v>0</v>
      </c>
      <c r="N108" s="676">
        <f>SUMIF('Budget-ACPL'!$B:$B,$B108,'Budget-ACPL'!N:N)+SUMIF('Budget-ACPLHK'!$B:$B,$B108,'Budget-ACPLHK'!N:N)+SUMIF('Budget-ACPSZL'!$B:$B,$B108,'Budget-ACPSZL'!N:N)+SUMIF('Budget-ACPLSZ'!$B:$B,$B108,'Budget-ACPLSZ'!N:N)</f>
        <v>0</v>
      </c>
      <c r="O108" s="676">
        <f>SUMIF('Budget-ACPL'!$B:$B,$B108,'Budget-ACPL'!O:O)+SUMIF('Budget-ACPLHK'!$B:$B,$B108,'Budget-ACPLHK'!O:O)+SUMIF('Budget-ACPSZL'!$B:$B,$B108,'Budget-ACPSZL'!O:O)+SUMIF('Budget-ACPLSZ'!$B:$B,$B108,'Budget-ACPLSZ'!O:O)</f>
        <v>0</v>
      </c>
      <c r="P108" s="676">
        <f>SUMIF('Budget-ACPL'!$B:$B,$B108,'Budget-ACPL'!P:P)+SUMIF('Budget-ACPLHK'!$B:$B,$B108,'Budget-ACPLHK'!P:P)+SUMIF('Budget-ACPSZL'!$B:$B,$B108,'Budget-ACPSZL'!P:P)+SUMIF('Budget-ACPLSZ'!$B:$B,$B108,'Budget-ACPLSZ'!P:P)</f>
        <v>0</v>
      </c>
      <c r="Q108" s="676">
        <f>SUMIF('Budget-ACPL'!$B:$B,$B108,'Budget-ACPL'!Q:Q)+SUMIF('Budget-ACPLHK'!$B:$B,$B108,'Budget-ACPLHK'!Q:Q)+SUMIF('Budget-ACPSZL'!$B:$B,$B108,'Budget-ACPSZL'!Q:Q)+SUMIF('Budget-ACPLSZ'!$B:$B,$B108,'Budget-ACPLSZ'!Q:Q)</f>
        <v>0</v>
      </c>
      <c r="R108" s="676">
        <f>SUMIF('Budget-ACPL'!$B:$B,$B108,'Budget-ACPL'!R:R)+SUMIF('Budget-ACPLHK'!$B:$B,$B108,'Budget-ACPLHK'!R:R)+SUMIF('Budget-ACPSZL'!$B:$B,$B108,'Budget-ACPSZL'!R:R)+SUMIF('Budget-ACPLSZ'!$B:$B,$B108,'Budget-ACPLSZ'!R:R)</f>
        <v>0</v>
      </c>
      <c r="S108" s="676">
        <f>SUMIF('Budget-ACPL'!$B:$B,$B108,'Budget-ACPL'!S:S)+SUMIF('Budget-ACPLHK'!$B:$B,$B108,'Budget-ACPLHK'!S:S)+SUMIF('Budget-ACPSZL'!$B:$B,$B108,'Budget-ACPSZL'!S:S)+SUMIF('Budget-ACPLSZ'!$B:$B,$B108,'Budget-ACPLSZ'!S:S)</f>
        <v>0</v>
      </c>
      <c r="T108" s="676">
        <f>SUMIF('Budget-ACPL'!$B:$B,$B108,'Budget-ACPL'!T:T)+SUMIF('Budget-ACPLHK'!$B:$B,$B108,'Budget-ACPLHK'!T:T)+SUMIF('Budget-ACPSZL'!$B:$B,$B108,'Budget-ACPSZL'!T:T)+SUMIF('Budget-ACPLSZ'!$B:$B,$B108,'Budget-ACPLSZ'!T:T)</f>
        <v>0</v>
      </c>
      <c r="U108" s="676">
        <f>SUMIF('Budget-ACPL'!$B:$B,$B108,'Budget-ACPL'!U:U)+SUMIF('Budget-ACPLHK'!$B:$B,$B108,'Budget-ACPLHK'!U:U)+SUMIF('Budget-ACPSZL'!$B:$B,$B108,'Budget-ACPSZL'!U:U)+SUMIF('Budget-ACPLSZ'!$B:$B,$B108,'Budget-ACPLSZ'!U:U)</f>
        <v>0</v>
      </c>
      <c r="V108" s="676">
        <f>SUMIF('Budget-ACPL'!$B:$B,$B108,'Budget-ACPL'!V:V)+SUMIF('Budget-ACPLHK'!$B:$B,$B108,'Budget-ACPLHK'!V:V)+SUMIF('Budget-ACPSZL'!$B:$B,$B108,'Budget-ACPSZL'!V:V)+SUMIF('Budget-ACPLSZ'!$B:$B,$B108,'Budget-ACPLSZ'!V:V)</f>
        <v>0</v>
      </c>
      <c r="W108" s="676">
        <f t="shared" si="36"/>
        <v>0</v>
      </c>
      <c r="Y108" s="688"/>
      <c r="Z108" s="688"/>
      <c r="AA108" s="688"/>
      <c r="AB108" s="688"/>
      <c r="AC108" s="688"/>
      <c r="AD108" s="688"/>
      <c r="AE108" s="688"/>
      <c r="AF108" s="688"/>
      <c r="AG108" s="688"/>
      <c r="AH108" s="688"/>
      <c r="AI108" s="688"/>
      <c r="AJ108" s="688"/>
      <c r="AK108" s="688">
        <f t="shared" ref="AK108:AK152" si="43">SUM(Y108:AJ108)</f>
        <v>0</v>
      </c>
    </row>
    <row r="109" spans="1:37" ht="11.1" hidden="1" customHeight="1">
      <c r="A109" s="713" t="s">
        <v>1709</v>
      </c>
      <c r="B109" s="687" t="str">
        <f>VLOOKUP(A109,Account!A:B,2,0)</f>
        <v>租车</v>
      </c>
      <c r="C109" s="687">
        <f>VLOOKUP(A109,Account!A:F,4,0)</f>
        <v>0</v>
      </c>
      <c r="D109" s="676">
        <f t="shared" ca="1" si="38"/>
        <v>0</v>
      </c>
      <c r="E109" s="676" t="e">
        <f t="shared" si="39"/>
        <v>#N/A</v>
      </c>
      <c r="F109" s="676" t="e">
        <f t="shared" ca="1" si="37"/>
        <v>#N/A</v>
      </c>
      <c r="G109" s="676">
        <f t="shared" ca="1" si="40"/>
        <v>0</v>
      </c>
      <c r="H109" s="676" t="e">
        <f t="shared" ca="1" si="41"/>
        <v>#N/A</v>
      </c>
      <c r="I109" s="676" t="e">
        <f t="shared" ca="1" si="42"/>
        <v>#N/A</v>
      </c>
      <c r="K109" s="676">
        <f ca="1">SUMIF('Budget-ACPL'!$A:$A,$A109,'Budget-ACPL'!K:K)+SUMIF('Budget-ACPLHK'!$A:$A,$A109,'Budget-ACPLHK'!K:K)+SUMIF('Budget-ACPSZL'!$A:$A,$A109,'Budget-ACPSZL'!K:K)+SUMIF('Budget-ACPLSZ'!$A:$A,$A109,'Budget-ACPLSZ'!K:K)+SUMIF('Budget-ACPLGZ'!$A:$A,$A109,'Budget-ACPLGZ'!K:K)+SUMIF('Budget-Yixing'!$A:$A,$A109,'Budget-Yixing'!K:K)</f>
        <v>0</v>
      </c>
      <c r="L109" s="676">
        <f ca="1">SUMIF('Budget-ACPL'!$A:$A,$A109,'Budget-ACPL'!L:L)+SUMIF('Budget-ACPLHK'!$A:$A,$A109,'Budget-ACPLHK'!L:L)+SUMIF('Budget-ACPSZL'!$A:$A,$A109,'Budget-ACPSZL'!L:L)+SUMIF('Budget-ACPLSZ'!$A:$A,$A109,'Budget-ACPLSZ'!L:L)+SUMIF('Budget-ACPLGZ'!$A:$A,$A109,'Budget-ACPLGZ'!L:L)+SUMIF('Budget-Yixing'!$A:$A,$A109,'Budget-Yixing'!L:L)</f>
        <v>0</v>
      </c>
      <c r="M109" s="676">
        <f ca="1">SUMIF('Budget-ACPL'!$A:$A,$A109,'Budget-ACPL'!M:M)+SUMIF('Budget-ACPLHK'!$A:$A,$A109,'Budget-ACPLHK'!M:M)+SUMIF('Budget-ACPSZL'!$A:$A,$A109,'Budget-ACPSZL'!M:M)+SUMIF('Budget-ACPLSZ'!$A:$A,$A109,'Budget-ACPLSZ'!M:M)+SUMIF('Budget-ACPLGZ'!$A:$A,$A109,'Budget-ACPLGZ'!M:M)+SUMIF('Budget-Yixing'!$A:$A,$A109,'Budget-Yixing'!M:M)</f>
        <v>0</v>
      </c>
      <c r="N109" s="676">
        <f ca="1">SUMIF('Budget-ACPL'!$A:$A,$A109,'Budget-ACPL'!N:N)+SUMIF('Budget-ACPLHK'!$A:$A,$A109,'Budget-ACPLHK'!N:N)+SUMIF('Budget-ACPSZL'!$A:$A,$A109,'Budget-ACPSZL'!N:N)+SUMIF('Budget-ACPLSZ'!$A:$A,$A109,'Budget-ACPLSZ'!N:N)+SUMIF('Budget-ACPLGZ'!$A:$A,$A109,'Budget-ACPLGZ'!N:N)+SUMIF('Budget-Yixing'!$A:$A,$A109,'Budget-Yixing'!N:N)</f>
        <v>0</v>
      </c>
      <c r="O109" s="676">
        <f ca="1">SUMIF('Budget-ACPL'!$A:$A,$A109,'Budget-ACPL'!O:O)+SUMIF('Budget-ACPLHK'!$A:$A,$A109,'Budget-ACPLHK'!O:O)+SUMIF('Budget-ACPSZL'!$A:$A,$A109,'Budget-ACPSZL'!O:O)+SUMIF('Budget-ACPLSZ'!$A:$A,$A109,'Budget-ACPLSZ'!O:O)+SUMIF('Budget-ACPLGZ'!$A:$A,$A109,'Budget-ACPLGZ'!O:O)+SUMIF('Budget-Yixing'!$A:$A,$A109,'Budget-Yixing'!O:O)</f>
        <v>0</v>
      </c>
      <c r="P109" s="676">
        <f ca="1">SUMIF('Budget-ACPL'!$A:$A,$A109,'Budget-ACPL'!P:P)+SUMIF('Budget-ACPLHK'!$A:$A,$A109,'Budget-ACPLHK'!P:P)+SUMIF('Budget-ACPSZL'!$A:$A,$A109,'Budget-ACPSZL'!P:P)+SUMIF('Budget-ACPLSZ'!$A:$A,$A109,'Budget-ACPLSZ'!P:P)+SUMIF('Budget-ACPLGZ'!$A:$A,$A109,'Budget-ACPLGZ'!P:P)+SUMIF('Budget-Yixing'!$A:$A,$A109,'Budget-Yixing'!P:P)</f>
        <v>0</v>
      </c>
      <c r="Q109" s="676">
        <f ca="1">SUMIF('Budget-ACPL'!$A:$A,$A109,'Budget-ACPL'!Q:Q)+SUMIF('Budget-ACPLHK'!$A:$A,$A109,'Budget-ACPLHK'!Q:Q)+SUMIF('Budget-ACPSZL'!$A:$A,$A109,'Budget-ACPSZL'!Q:Q)+SUMIF('Budget-ACPLSZ'!$A:$A,$A109,'Budget-ACPLSZ'!Q:Q)+SUMIF('Budget-ACPLGZ'!$A:$A,$A109,'Budget-ACPLGZ'!Q:Q)+SUMIF('Budget-Yixing'!$A:$A,$A109,'Budget-Yixing'!Q:Q)</f>
        <v>0</v>
      </c>
      <c r="R109" s="676">
        <f ca="1">SUMIF('Budget-ACPL'!$A:$A,$A109,'Budget-ACPL'!R:R)+SUMIF('Budget-ACPLHK'!$A:$A,$A109,'Budget-ACPLHK'!R:R)+SUMIF('Budget-ACPSZL'!$A:$A,$A109,'Budget-ACPSZL'!R:R)+SUMIF('Budget-ACPLSZ'!$A:$A,$A109,'Budget-ACPLSZ'!R:R)+SUMIF('Budget-ACPLGZ'!$A:$A,$A109,'Budget-ACPLGZ'!R:R)+SUMIF('Budget-Yixing'!$A:$A,$A109,'Budget-Yixing'!R:R)</f>
        <v>0</v>
      </c>
      <c r="S109" s="676">
        <f ca="1">SUMIF('Budget-ACPL'!$A:$A,$A109,'Budget-ACPL'!S:S)+SUMIF('Budget-ACPLHK'!$A:$A,$A109,'Budget-ACPLHK'!S:S)+SUMIF('Budget-ACPSZL'!$A:$A,$A109,'Budget-ACPSZL'!S:S)+SUMIF('Budget-ACPLSZ'!$A:$A,$A109,'Budget-ACPLSZ'!S:S)+SUMIF('Budget-ACPLGZ'!$A:$A,$A109,'Budget-ACPLGZ'!S:S)+SUMIF('Budget-Yixing'!$A:$A,$A109,'Budget-Yixing'!S:S)</f>
        <v>0</v>
      </c>
      <c r="T109" s="676">
        <f ca="1">SUMIF('Budget-ACPL'!$A:$A,$A109,'Budget-ACPL'!T:T)+SUMIF('Budget-ACPLHK'!$A:$A,$A109,'Budget-ACPLHK'!T:T)+SUMIF('Budget-ACPSZL'!$A:$A,$A109,'Budget-ACPSZL'!T:T)+SUMIF('Budget-ACPLSZ'!$A:$A,$A109,'Budget-ACPLSZ'!T:T)+SUMIF('Budget-ACPLGZ'!$A:$A,$A109,'Budget-ACPLGZ'!T:T)+SUMIF('Budget-Yixing'!$A:$A,$A109,'Budget-Yixing'!T:T)</f>
        <v>0</v>
      </c>
      <c r="U109" s="676">
        <f ca="1">SUMIF('Budget-ACPL'!$A:$A,$A109,'Budget-ACPL'!U:U)+SUMIF('Budget-ACPLHK'!$A:$A,$A109,'Budget-ACPLHK'!U:U)+SUMIF('Budget-ACPSZL'!$A:$A,$A109,'Budget-ACPSZL'!U:U)+SUMIF('Budget-ACPLSZ'!$A:$A,$A109,'Budget-ACPLSZ'!U:U)+SUMIF('Budget-ACPLGZ'!$A:$A,$A109,'Budget-ACPLGZ'!U:U)+SUMIF('Budget-Yixing'!$A:$A,$A109,'Budget-Yixing'!U:U)</f>
        <v>0</v>
      </c>
      <c r="V109" s="676">
        <f ca="1">SUMIF('Budget-ACPL'!$A:$A,$A109,'Budget-ACPL'!V:V)+SUMIF('Budget-ACPLHK'!$A:$A,$A109,'Budget-ACPLHK'!V:V)+SUMIF('Budget-ACPSZL'!$A:$A,$A109,'Budget-ACPSZL'!V:V)+SUMIF('Budget-ACPLSZ'!$A:$A,$A109,'Budget-ACPLSZ'!V:V)+SUMIF('Budget-ACPLGZ'!$A:$A,$A109,'Budget-ACPLGZ'!V:V)+SUMIF('Budget-Yixing'!$A:$A,$A109,'Budget-Yixing'!V:V)</f>
        <v>0</v>
      </c>
      <c r="W109" s="676">
        <f t="shared" ca="1" si="36"/>
        <v>0</v>
      </c>
      <c r="Y109" s="688">
        <f ca="1">SUMIF('Budget-ACPL'!$A:$A,$A109,'Budget-ACPL'!Y:Y)+SUMIF('Budget-ACPLHK'!$A:$A,$A109,'Budget-ACPLHK'!Y:Y)+SUMIF('Budget-ACPSZL'!$A:$A,$A109,'Budget-ACPSZL'!Y:Y)+SUMIF('Budget-ACPLSZ'!$A:$A,$A109,'Budget-ACPLSZ'!Y:Y)+SUMIF('Budget-ACPLGZ'!$A:$A,$A109,'Budget-ACPLGZ'!Y:Y)+SUMIF('Budget-Yixing'!$A:$A,$A109,'Budget-Yixing'!Y:Y)</f>
        <v>980</v>
      </c>
      <c r="Z109" s="688">
        <f ca="1">SUMIF('Budget-ACPL'!$A:$A,$A109,'Budget-ACPL'!Z:Z)+SUMIF('Budget-ACPLHK'!$A:$A,$A109,'Budget-ACPLHK'!Z:Z)+SUMIF('Budget-ACPSZL'!$A:$A,$A109,'Budget-ACPSZL'!Z:Z)+SUMIF('Budget-ACPLSZ'!$A:$A,$A109,'Budget-ACPLSZ'!Z:Z)+SUMIF('Budget-ACPLGZ'!$A:$A,$A109,'Budget-ACPLGZ'!Z:Z)+SUMIF('Budget-Yixing'!$A:$A,$A109,'Budget-Yixing'!Z:Z)</f>
        <v>0</v>
      </c>
      <c r="AA109" s="688">
        <f ca="1">SUMIF('Budget-ACPL'!$A:$A,$A109,'Budget-ACPL'!AA:AA)+SUMIF('Budget-ACPLHK'!$A:$A,$A109,'Budget-ACPLHK'!AA:AA)+SUMIF('Budget-ACPSZL'!$A:$A,$A109,'Budget-ACPSZL'!AA:AA)+SUMIF('Budget-ACPLSZ'!$A:$A,$A109,'Budget-ACPLSZ'!AA:AA)+SUMIF('Budget-ACPLGZ'!$A:$A,$A109,'Budget-ACPLGZ'!AA:AA)+SUMIF('Budget-Yixing'!$A:$A,$A109,'Budget-Yixing'!AA:AA)</f>
        <v>987</v>
      </c>
      <c r="AB109" s="688">
        <f ca="1">SUMIF('Budget-ACPL'!$A:$A,$A109,'Budget-ACPL'!AB:AB)+SUMIF('Budget-ACPLHK'!$A:$A,$A109,'Budget-ACPLHK'!AB:AB)+SUMIF('Budget-ACPSZL'!$A:$A,$A109,'Budget-ACPSZL'!AB:AB)+SUMIF('Budget-ACPLSZ'!$A:$A,$A109,'Budget-ACPLSZ'!AB:AB)+SUMIF('Budget-ACPLGZ'!$A:$A,$A109,'Budget-ACPLGZ'!AB:AB)+SUMIF('Budget-Yixing'!$A:$A,$A109,'Budget-Yixing'!AB:AB)</f>
        <v>0</v>
      </c>
      <c r="AC109" s="688">
        <f ca="1">SUMIF('Budget-ACPL'!$A:$A,$A109,'Budget-ACPL'!AC:AC)+SUMIF('Budget-ACPLHK'!$A:$A,$A109,'Budget-ACPLHK'!AC:AC)+SUMIF('Budget-ACPSZL'!$A:$A,$A109,'Budget-ACPSZL'!AC:AC)+SUMIF('Budget-ACPLSZ'!$A:$A,$A109,'Budget-ACPLSZ'!AC:AC)+SUMIF('Budget-ACPLGZ'!$A:$A,$A109,'Budget-ACPLGZ'!AC:AC)+SUMIF('Budget-Yixing'!$A:$A,$A109,'Budget-Yixing'!AC:AC)</f>
        <v>4209.22</v>
      </c>
      <c r="AD109" s="688">
        <f ca="1">SUMIF('Budget-ACPL'!$A:$A,$A109,'Budget-ACPL'!AD:AD)+SUMIF('Budget-ACPLHK'!$A:$A,$A109,'Budget-ACPLHK'!AD:AD)+SUMIF('Budget-ACPSZL'!$A:$A,$A109,'Budget-ACPSZL'!AD:AD)+SUMIF('Budget-ACPLSZ'!$A:$A,$A109,'Budget-ACPLSZ'!AD:AD)+SUMIF('Budget-ACPLGZ'!$A:$A,$A109,'Budget-ACPLGZ'!AD:AD)+SUMIF('Budget-Yixing'!$A:$A,$A109,'Budget-Yixing'!AD:AD)</f>
        <v>528.41</v>
      </c>
      <c r="AE109" s="688">
        <f ca="1">SUMIF('Budget-ACPL'!$A:$A,$A109,'Budget-ACPL'!AE:AE)+SUMIF('Budget-ACPLHK'!$A:$A,$A109,'Budget-ACPLHK'!AE:AE)+SUMIF('Budget-ACPSZL'!$A:$A,$A109,'Budget-ACPSZL'!AE:AE)+SUMIF('Budget-ACPLSZ'!$A:$A,$A109,'Budget-ACPLSZ'!AE:AE)+SUMIF('Budget-ACPLGZ'!$A:$A,$A109,'Budget-ACPLGZ'!AE:AE)+SUMIF('Budget-Yixing'!$A:$A,$A109,'Budget-Yixing'!AE:AE)</f>
        <v>170.82</v>
      </c>
      <c r="AF109" s="688">
        <f ca="1">SUMIF('Budget-ACPL'!$A:$A,$A109,'Budget-ACPL'!AF:AF)+SUMIF('Budget-ACPLHK'!$A:$A,$A109,'Budget-ACPLHK'!AF:AF)+SUMIF('Budget-ACPSZL'!$A:$A,$A109,'Budget-ACPSZL'!AF:AF)+SUMIF('Budget-ACPLSZ'!$A:$A,$A109,'Budget-ACPLSZ'!AF:AF)+SUMIF('Budget-ACPLGZ'!$A:$A,$A109,'Budget-ACPLGZ'!AF:AF)+SUMIF('Budget-Yixing'!$A:$A,$A109,'Budget-Yixing'!AF:AF)</f>
        <v>1242.7</v>
      </c>
      <c r="AG109" s="688">
        <f ca="1">SUMIF('Budget-ACPL'!$A:$A,$A109,'Budget-ACPL'!AG:AG)+SUMIF('Budget-ACPLHK'!$A:$A,$A109,'Budget-ACPLHK'!AG:AG)+SUMIF('Budget-ACPSZL'!$A:$A,$A109,'Budget-ACPSZL'!AG:AG)+SUMIF('Budget-ACPLSZ'!$A:$A,$A109,'Budget-ACPLSZ'!AG:AG)+SUMIF('Budget-ACPLGZ'!$A:$A,$A109,'Budget-ACPLGZ'!AG:AG)+SUMIF('Budget-Yixing'!$A:$A,$A109,'Budget-Yixing'!AG:AG)</f>
        <v>1643.7399999999998</v>
      </c>
      <c r="AH109" s="688">
        <f ca="1">SUMIF('Budget-ACPL'!$A:$A,$A109,'Budget-ACPL'!AH:AH)+SUMIF('Budget-ACPLHK'!$A:$A,$A109,'Budget-ACPLHK'!AH:AH)+SUMIF('Budget-ACPSZL'!$A:$A,$A109,'Budget-ACPSZL'!AH:AH)+SUMIF('Budget-ACPLSZ'!$A:$A,$A109,'Budget-ACPLSZ'!AH:AH)+SUMIF('Budget-ACPLGZ'!$A:$A,$A109,'Budget-ACPLGZ'!AH:AH)+SUMIF('Budget-Yixing'!$A:$A,$A109,'Budget-Yixing'!AH:AH)</f>
        <v>0</v>
      </c>
      <c r="AI109" s="688">
        <f ca="1">SUMIF('Budget-ACPL'!$A:$A,$A109,'Budget-ACPL'!AI:AI)+SUMIF('Budget-ACPLHK'!$A:$A,$A109,'Budget-ACPLHK'!AI:AI)+SUMIF('Budget-ACPSZL'!$A:$A,$A109,'Budget-ACPSZL'!AI:AI)+SUMIF('Budget-ACPLSZ'!$A:$A,$A109,'Budget-ACPLSZ'!AI:AI)+SUMIF('Budget-ACPLGZ'!$A:$A,$A109,'Budget-ACPLGZ'!AI:AI)+SUMIF('Budget-Yixing'!$A:$A,$A109,'Budget-Yixing'!AI:AI)</f>
        <v>1179.74</v>
      </c>
      <c r="AJ109" s="688">
        <f ca="1">SUMIF('Budget-ACPL'!$A:$A,$A109,'Budget-ACPL'!AJ:AJ)+SUMIF('Budget-ACPLHK'!$A:$A,$A109,'Budget-ACPLHK'!AJ:AJ)+SUMIF('Budget-ACPSZL'!$A:$A,$A109,'Budget-ACPSZL'!AJ:AJ)+SUMIF('Budget-ACPLSZ'!$A:$A,$A109,'Budget-ACPLSZ'!AJ:AJ)+SUMIF('Budget-ACPLGZ'!$A:$A,$A109,'Budget-ACPLGZ'!AJ:AJ)+SUMIF('Budget-Yixing'!$A:$A,$A109,'Budget-Yixing'!AJ:AJ)</f>
        <v>0</v>
      </c>
      <c r="AK109" s="688">
        <f t="shared" ca="1" si="43"/>
        <v>10941.63</v>
      </c>
    </row>
    <row r="110" spans="1:37" ht="11.1" hidden="1" customHeight="1">
      <c r="A110" s="718">
        <f>$A$76</f>
        <v>0</v>
      </c>
      <c r="B110" s="687" t="s">
        <v>2532</v>
      </c>
      <c r="C110" s="687" t="s">
        <v>2511</v>
      </c>
      <c r="D110" s="676">
        <f t="shared" si="38"/>
        <v>0</v>
      </c>
      <c r="E110" s="676" t="e">
        <f t="shared" si="39"/>
        <v>#N/A</v>
      </c>
      <c r="F110" s="676" t="e">
        <f t="shared" si="37"/>
        <v>#N/A</v>
      </c>
      <c r="G110" s="676">
        <f t="shared" ca="1" si="40"/>
        <v>0</v>
      </c>
      <c r="H110" s="676" t="e">
        <f t="shared" ca="1" si="41"/>
        <v>#N/A</v>
      </c>
      <c r="I110" s="676" t="e">
        <f t="shared" ca="1" si="42"/>
        <v>#N/A</v>
      </c>
      <c r="K110" s="676">
        <f>SUMIF('Budget-ACPL'!$B:$B,$B110,'Budget-ACPL'!K:K)+SUMIF('Budget-ACPLHK'!$B:$B,$B110,'Budget-ACPLHK'!K:K)+SUMIF('Budget-ACPSZL'!$B:$B,$B110,'Budget-ACPSZL'!K:K)+SUMIF('Budget-ACPLSZ'!$B:$B,$B110,'Budget-ACPLSZ'!K:K)</f>
        <v>0</v>
      </c>
      <c r="L110" s="676">
        <f>SUMIF('Budget-ACPL'!$B:$B,$B110,'Budget-ACPL'!L:L)+SUMIF('Budget-ACPLHK'!$B:$B,$B110,'Budget-ACPLHK'!L:L)+SUMIF('Budget-ACPSZL'!$B:$B,$B110,'Budget-ACPSZL'!L:L)+SUMIF('Budget-ACPLSZ'!$B:$B,$B110,'Budget-ACPLSZ'!L:L)</f>
        <v>0</v>
      </c>
      <c r="M110" s="676">
        <f>SUMIF('Budget-ACPL'!$B:$B,$B110,'Budget-ACPL'!M:M)+SUMIF('Budget-ACPLHK'!$B:$B,$B110,'Budget-ACPLHK'!M:M)+SUMIF('Budget-ACPSZL'!$B:$B,$B110,'Budget-ACPSZL'!M:M)+SUMIF('Budget-ACPLSZ'!$B:$B,$B110,'Budget-ACPLSZ'!M:M)</f>
        <v>0</v>
      </c>
      <c r="N110" s="676">
        <f>SUMIF('Budget-ACPL'!$B:$B,$B110,'Budget-ACPL'!N:N)+SUMIF('Budget-ACPLHK'!$B:$B,$B110,'Budget-ACPLHK'!N:N)+SUMIF('Budget-ACPSZL'!$B:$B,$B110,'Budget-ACPSZL'!N:N)+SUMIF('Budget-ACPLSZ'!$B:$B,$B110,'Budget-ACPLSZ'!N:N)</f>
        <v>0</v>
      </c>
      <c r="O110" s="676">
        <f>SUMIF('Budget-ACPL'!$B:$B,$B110,'Budget-ACPL'!O:O)+SUMIF('Budget-ACPLHK'!$B:$B,$B110,'Budget-ACPLHK'!O:O)+SUMIF('Budget-ACPSZL'!$B:$B,$B110,'Budget-ACPSZL'!O:O)+SUMIF('Budget-ACPLSZ'!$B:$B,$B110,'Budget-ACPLSZ'!O:O)</f>
        <v>0</v>
      </c>
      <c r="P110" s="676">
        <f>SUMIF('Budget-ACPL'!$B:$B,$B110,'Budget-ACPL'!P:P)+SUMIF('Budget-ACPLHK'!$B:$B,$B110,'Budget-ACPLHK'!P:P)+SUMIF('Budget-ACPSZL'!$B:$B,$B110,'Budget-ACPSZL'!P:P)+SUMIF('Budget-ACPLSZ'!$B:$B,$B110,'Budget-ACPLSZ'!P:P)</f>
        <v>0</v>
      </c>
      <c r="Q110" s="676">
        <f>SUMIF('Budget-ACPL'!$B:$B,$B110,'Budget-ACPL'!Q:Q)+SUMIF('Budget-ACPLHK'!$B:$B,$B110,'Budget-ACPLHK'!Q:Q)+SUMIF('Budget-ACPSZL'!$B:$B,$B110,'Budget-ACPSZL'!Q:Q)+SUMIF('Budget-ACPLSZ'!$B:$B,$B110,'Budget-ACPLSZ'!Q:Q)</f>
        <v>0</v>
      </c>
      <c r="R110" s="676">
        <f>SUMIF('Budget-ACPL'!$B:$B,$B110,'Budget-ACPL'!R:R)+SUMIF('Budget-ACPLHK'!$B:$B,$B110,'Budget-ACPLHK'!R:R)+SUMIF('Budget-ACPSZL'!$B:$B,$B110,'Budget-ACPSZL'!R:R)+SUMIF('Budget-ACPLSZ'!$B:$B,$B110,'Budget-ACPLSZ'!R:R)</f>
        <v>0</v>
      </c>
      <c r="S110" s="676">
        <f>SUMIF('Budget-ACPL'!$B:$B,$B110,'Budget-ACPL'!S:S)+SUMIF('Budget-ACPLHK'!$B:$B,$B110,'Budget-ACPLHK'!S:S)+SUMIF('Budget-ACPSZL'!$B:$B,$B110,'Budget-ACPSZL'!S:S)+SUMIF('Budget-ACPLSZ'!$B:$B,$B110,'Budget-ACPLSZ'!S:S)</f>
        <v>0</v>
      </c>
      <c r="T110" s="676">
        <f>SUMIF('Budget-ACPL'!$B:$B,$B110,'Budget-ACPL'!T:T)+SUMIF('Budget-ACPLHK'!$B:$B,$B110,'Budget-ACPLHK'!T:T)+SUMIF('Budget-ACPSZL'!$B:$B,$B110,'Budget-ACPSZL'!T:T)+SUMIF('Budget-ACPLSZ'!$B:$B,$B110,'Budget-ACPLSZ'!T:T)</f>
        <v>0</v>
      </c>
      <c r="U110" s="676">
        <f>SUMIF('Budget-ACPL'!$B:$B,$B110,'Budget-ACPL'!U:U)+SUMIF('Budget-ACPLHK'!$B:$B,$B110,'Budget-ACPLHK'!U:U)+SUMIF('Budget-ACPSZL'!$B:$B,$B110,'Budget-ACPSZL'!U:U)+SUMIF('Budget-ACPLSZ'!$B:$B,$B110,'Budget-ACPLSZ'!U:U)</f>
        <v>0</v>
      </c>
      <c r="V110" s="676">
        <f>SUMIF('Budget-ACPL'!$B:$B,$B110,'Budget-ACPL'!V:V)+SUMIF('Budget-ACPLHK'!$B:$B,$B110,'Budget-ACPLHK'!V:V)+SUMIF('Budget-ACPSZL'!$B:$B,$B110,'Budget-ACPSZL'!V:V)+SUMIF('Budget-ACPLSZ'!$B:$B,$B110,'Budget-ACPLSZ'!V:V)</f>
        <v>0</v>
      </c>
      <c r="W110" s="676">
        <f t="shared" si="36"/>
        <v>0</v>
      </c>
      <c r="Y110" s="688"/>
      <c r="Z110" s="688"/>
      <c r="AA110" s="688"/>
      <c r="AB110" s="688"/>
      <c r="AC110" s="688"/>
      <c r="AD110" s="688"/>
      <c r="AE110" s="688"/>
      <c r="AF110" s="688"/>
      <c r="AG110" s="688"/>
      <c r="AH110" s="688"/>
      <c r="AI110" s="688"/>
      <c r="AJ110" s="688"/>
      <c r="AK110" s="688">
        <f t="shared" si="43"/>
        <v>0</v>
      </c>
    </row>
    <row r="111" spans="1:37" ht="11.1" hidden="1" customHeight="1">
      <c r="A111" s="718">
        <f>$A$77</f>
        <v>0</v>
      </c>
      <c r="B111" s="687" t="s">
        <v>2533</v>
      </c>
      <c r="C111" s="687" t="s">
        <v>2513</v>
      </c>
      <c r="D111" s="676">
        <f t="shared" si="38"/>
        <v>0</v>
      </c>
      <c r="E111" s="676" t="e">
        <f t="shared" si="39"/>
        <v>#N/A</v>
      </c>
      <c r="F111" s="676" t="e">
        <f t="shared" si="37"/>
        <v>#N/A</v>
      </c>
      <c r="G111" s="676">
        <f t="shared" ca="1" si="40"/>
        <v>0</v>
      </c>
      <c r="H111" s="676" t="e">
        <f t="shared" ca="1" si="41"/>
        <v>#N/A</v>
      </c>
      <c r="I111" s="676" t="e">
        <f t="shared" ca="1" si="42"/>
        <v>#N/A</v>
      </c>
      <c r="K111" s="676">
        <f>SUMIF('Budget-ACPL'!$B:$B,$B111,'Budget-ACPL'!K:K)+SUMIF('Budget-ACPLHK'!$B:$B,$B111,'Budget-ACPLHK'!K:K)+SUMIF('Budget-ACPSZL'!$B:$B,$B111,'Budget-ACPSZL'!K:K)+SUMIF('Budget-ACPLSZ'!$B:$B,$B111,'Budget-ACPLSZ'!K:K)</f>
        <v>0</v>
      </c>
      <c r="L111" s="676">
        <f>SUMIF('Budget-ACPL'!$B:$B,$B111,'Budget-ACPL'!L:L)+SUMIF('Budget-ACPLHK'!$B:$B,$B111,'Budget-ACPLHK'!L:L)+SUMIF('Budget-ACPSZL'!$B:$B,$B111,'Budget-ACPSZL'!L:L)+SUMIF('Budget-ACPLSZ'!$B:$B,$B111,'Budget-ACPLSZ'!L:L)</f>
        <v>0</v>
      </c>
      <c r="M111" s="676">
        <f>SUMIF('Budget-ACPL'!$B:$B,$B111,'Budget-ACPL'!M:M)+SUMIF('Budget-ACPLHK'!$B:$B,$B111,'Budget-ACPLHK'!M:M)+SUMIF('Budget-ACPSZL'!$B:$B,$B111,'Budget-ACPSZL'!M:M)+SUMIF('Budget-ACPLSZ'!$B:$B,$B111,'Budget-ACPLSZ'!M:M)</f>
        <v>0</v>
      </c>
      <c r="N111" s="676">
        <f>SUMIF('Budget-ACPL'!$B:$B,$B111,'Budget-ACPL'!N:N)+SUMIF('Budget-ACPLHK'!$B:$B,$B111,'Budget-ACPLHK'!N:N)+SUMIF('Budget-ACPSZL'!$B:$B,$B111,'Budget-ACPSZL'!N:N)+SUMIF('Budget-ACPLSZ'!$B:$B,$B111,'Budget-ACPLSZ'!N:N)</f>
        <v>0</v>
      </c>
      <c r="O111" s="676">
        <f>SUMIF('Budget-ACPL'!$B:$B,$B111,'Budget-ACPL'!O:O)+SUMIF('Budget-ACPLHK'!$B:$B,$B111,'Budget-ACPLHK'!O:O)+SUMIF('Budget-ACPSZL'!$B:$B,$B111,'Budget-ACPSZL'!O:O)+SUMIF('Budget-ACPLSZ'!$B:$B,$B111,'Budget-ACPLSZ'!O:O)</f>
        <v>0</v>
      </c>
      <c r="P111" s="676">
        <f>SUMIF('Budget-ACPL'!$B:$B,$B111,'Budget-ACPL'!P:P)+SUMIF('Budget-ACPLHK'!$B:$B,$B111,'Budget-ACPLHK'!P:P)+SUMIF('Budget-ACPSZL'!$B:$B,$B111,'Budget-ACPSZL'!P:P)+SUMIF('Budget-ACPLSZ'!$B:$B,$B111,'Budget-ACPLSZ'!P:P)</f>
        <v>0</v>
      </c>
      <c r="Q111" s="676">
        <f>SUMIF('Budget-ACPL'!$B:$B,$B111,'Budget-ACPL'!Q:Q)+SUMIF('Budget-ACPLHK'!$B:$B,$B111,'Budget-ACPLHK'!Q:Q)+SUMIF('Budget-ACPSZL'!$B:$B,$B111,'Budget-ACPSZL'!Q:Q)+SUMIF('Budget-ACPLSZ'!$B:$B,$B111,'Budget-ACPLSZ'!Q:Q)</f>
        <v>0</v>
      </c>
      <c r="R111" s="676">
        <f>SUMIF('Budget-ACPL'!$B:$B,$B111,'Budget-ACPL'!R:R)+SUMIF('Budget-ACPLHK'!$B:$B,$B111,'Budget-ACPLHK'!R:R)+SUMIF('Budget-ACPSZL'!$B:$B,$B111,'Budget-ACPSZL'!R:R)+SUMIF('Budget-ACPLSZ'!$B:$B,$B111,'Budget-ACPLSZ'!R:R)</f>
        <v>0</v>
      </c>
      <c r="S111" s="676">
        <f>SUMIF('Budget-ACPL'!$B:$B,$B111,'Budget-ACPL'!S:S)+SUMIF('Budget-ACPLHK'!$B:$B,$B111,'Budget-ACPLHK'!S:S)+SUMIF('Budget-ACPSZL'!$B:$B,$B111,'Budget-ACPSZL'!S:S)+SUMIF('Budget-ACPLSZ'!$B:$B,$B111,'Budget-ACPLSZ'!S:S)</f>
        <v>0</v>
      </c>
      <c r="T111" s="676">
        <f>SUMIF('Budget-ACPL'!$B:$B,$B111,'Budget-ACPL'!T:T)+SUMIF('Budget-ACPLHK'!$B:$B,$B111,'Budget-ACPLHK'!T:T)+SUMIF('Budget-ACPSZL'!$B:$B,$B111,'Budget-ACPSZL'!T:T)+SUMIF('Budget-ACPLSZ'!$B:$B,$B111,'Budget-ACPLSZ'!T:T)</f>
        <v>0</v>
      </c>
      <c r="U111" s="676">
        <f>SUMIF('Budget-ACPL'!$B:$B,$B111,'Budget-ACPL'!U:U)+SUMIF('Budget-ACPLHK'!$B:$B,$B111,'Budget-ACPLHK'!U:U)+SUMIF('Budget-ACPSZL'!$B:$B,$B111,'Budget-ACPSZL'!U:U)+SUMIF('Budget-ACPLSZ'!$B:$B,$B111,'Budget-ACPLSZ'!U:U)</f>
        <v>0</v>
      </c>
      <c r="V111" s="676">
        <f>SUMIF('Budget-ACPL'!$B:$B,$B111,'Budget-ACPL'!V:V)+SUMIF('Budget-ACPLHK'!$B:$B,$B111,'Budget-ACPLHK'!V:V)+SUMIF('Budget-ACPSZL'!$B:$B,$B111,'Budget-ACPSZL'!V:V)+SUMIF('Budget-ACPLSZ'!$B:$B,$B111,'Budget-ACPLSZ'!V:V)</f>
        <v>0</v>
      </c>
      <c r="W111" s="676">
        <f t="shared" si="36"/>
        <v>0</v>
      </c>
      <c r="Y111" s="688"/>
      <c r="Z111" s="688"/>
      <c r="AA111" s="688"/>
      <c r="AB111" s="688"/>
      <c r="AC111" s="688"/>
      <c r="AD111" s="688"/>
      <c r="AE111" s="688"/>
      <c r="AF111" s="688"/>
      <c r="AG111" s="688"/>
      <c r="AH111" s="688"/>
      <c r="AI111" s="688"/>
      <c r="AJ111" s="688"/>
      <c r="AK111" s="688">
        <f t="shared" si="43"/>
        <v>0</v>
      </c>
    </row>
    <row r="112" spans="1:37" ht="11.1" hidden="1" customHeight="1">
      <c r="A112" s="718">
        <f>$A$78</f>
        <v>0</v>
      </c>
      <c r="B112" s="687" t="s">
        <v>2534</v>
      </c>
      <c r="C112" s="687" t="s">
        <v>2515</v>
      </c>
      <c r="D112" s="676">
        <f t="shared" si="38"/>
        <v>0</v>
      </c>
      <c r="E112" s="676" t="e">
        <f t="shared" si="39"/>
        <v>#N/A</v>
      </c>
      <c r="F112" s="676" t="e">
        <f t="shared" si="37"/>
        <v>#N/A</v>
      </c>
      <c r="G112" s="676">
        <f t="shared" ca="1" si="40"/>
        <v>0</v>
      </c>
      <c r="H112" s="676" t="e">
        <f t="shared" ca="1" si="41"/>
        <v>#N/A</v>
      </c>
      <c r="I112" s="676" t="e">
        <f t="shared" ca="1" si="42"/>
        <v>#N/A</v>
      </c>
      <c r="K112" s="676">
        <f>SUMIF('Budget-ACPL'!$B:$B,$B112,'Budget-ACPL'!K:K)+SUMIF('Budget-ACPLHK'!$B:$B,$B112,'Budget-ACPLHK'!K:K)+SUMIF('Budget-ACPSZL'!$B:$B,$B112,'Budget-ACPSZL'!K:K)+SUMIF('Budget-ACPLSZ'!$B:$B,$B112,'Budget-ACPLSZ'!K:K)</f>
        <v>0</v>
      </c>
      <c r="L112" s="676">
        <f>SUMIF('Budget-ACPL'!$B:$B,$B112,'Budget-ACPL'!L:L)+SUMIF('Budget-ACPLHK'!$B:$B,$B112,'Budget-ACPLHK'!L:L)+SUMIF('Budget-ACPSZL'!$B:$B,$B112,'Budget-ACPSZL'!L:L)+SUMIF('Budget-ACPLSZ'!$B:$B,$B112,'Budget-ACPLSZ'!L:L)</f>
        <v>0</v>
      </c>
      <c r="M112" s="676">
        <f>SUMIF('Budget-ACPL'!$B:$B,$B112,'Budget-ACPL'!M:M)+SUMIF('Budget-ACPLHK'!$B:$B,$B112,'Budget-ACPLHK'!M:M)+SUMIF('Budget-ACPSZL'!$B:$B,$B112,'Budget-ACPSZL'!M:M)+SUMIF('Budget-ACPLSZ'!$B:$B,$B112,'Budget-ACPLSZ'!M:M)</f>
        <v>0</v>
      </c>
      <c r="N112" s="676">
        <f>SUMIF('Budget-ACPL'!$B:$B,$B112,'Budget-ACPL'!N:N)+SUMIF('Budget-ACPLHK'!$B:$B,$B112,'Budget-ACPLHK'!N:N)+SUMIF('Budget-ACPSZL'!$B:$B,$B112,'Budget-ACPSZL'!N:N)+SUMIF('Budget-ACPLSZ'!$B:$B,$B112,'Budget-ACPLSZ'!N:N)</f>
        <v>0</v>
      </c>
      <c r="O112" s="676">
        <f>SUMIF('Budget-ACPL'!$B:$B,$B112,'Budget-ACPL'!O:O)+SUMIF('Budget-ACPLHK'!$B:$B,$B112,'Budget-ACPLHK'!O:O)+SUMIF('Budget-ACPSZL'!$B:$B,$B112,'Budget-ACPSZL'!O:O)+SUMIF('Budget-ACPLSZ'!$B:$B,$B112,'Budget-ACPLSZ'!O:O)</f>
        <v>0</v>
      </c>
      <c r="P112" s="676">
        <f>SUMIF('Budget-ACPL'!$B:$B,$B112,'Budget-ACPL'!P:P)+SUMIF('Budget-ACPLHK'!$B:$B,$B112,'Budget-ACPLHK'!P:P)+SUMIF('Budget-ACPSZL'!$B:$B,$B112,'Budget-ACPSZL'!P:P)+SUMIF('Budget-ACPLSZ'!$B:$B,$B112,'Budget-ACPLSZ'!P:P)</f>
        <v>0</v>
      </c>
      <c r="Q112" s="676">
        <f>SUMIF('Budget-ACPL'!$B:$B,$B112,'Budget-ACPL'!Q:Q)+SUMIF('Budget-ACPLHK'!$B:$B,$B112,'Budget-ACPLHK'!Q:Q)+SUMIF('Budget-ACPSZL'!$B:$B,$B112,'Budget-ACPSZL'!Q:Q)+SUMIF('Budget-ACPLSZ'!$B:$B,$B112,'Budget-ACPLSZ'!Q:Q)</f>
        <v>0</v>
      </c>
      <c r="R112" s="676">
        <f>SUMIF('Budget-ACPL'!$B:$B,$B112,'Budget-ACPL'!R:R)+SUMIF('Budget-ACPLHK'!$B:$B,$B112,'Budget-ACPLHK'!R:R)+SUMIF('Budget-ACPSZL'!$B:$B,$B112,'Budget-ACPSZL'!R:R)+SUMIF('Budget-ACPLSZ'!$B:$B,$B112,'Budget-ACPLSZ'!R:R)</f>
        <v>0</v>
      </c>
      <c r="S112" s="676">
        <f>SUMIF('Budget-ACPL'!$B:$B,$B112,'Budget-ACPL'!S:S)+SUMIF('Budget-ACPLHK'!$B:$B,$B112,'Budget-ACPLHK'!S:S)+SUMIF('Budget-ACPSZL'!$B:$B,$B112,'Budget-ACPSZL'!S:S)+SUMIF('Budget-ACPLSZ'!$B:$B,$B112,'Budget-ACPLSZ'!S:S)</f>
        <v>0</v>
      </c>
      <c r="T112" s="676">
        <f>SUMIF('Budget-ACPL'!$B:$B,$B112,'Budget-ACPL'!T:T)+SUMIF('Budget-ACPLHK'!$B:$B,$B112,'Budget-ACPLHK'!T:T)+SUMIF('Budget-ACPSZL'!$B:$B,$B112,'Budget-ACPSZL'!T:T)+SUMIF('Budget-ACPLSZ'!$B:$B,$B112,'Budget-ACPLSZ'!T:T)</f>
        <v>0</v>
      </c>
      <c r="U112" s="676">
        <f>SUMIF('Budget-ACPL'!$B:$B,$B112,'Budget-ACPL'!U:U)+SUMIF('Budget-ACPLHK'!$B:$B,$B112,'Budget-ACPLHK'!U:U)+SUMIF('Budget-ACPSZL'!$B:$B,$B112,'Budget-ACPSZL'!U:U)+SUMIF('Budget-ACPLSZ'!$B:$B,$B112,'Budget-ACPLSZ'!U:U)</f>
        <v>0</v>
      </c>
      <c r="V112" s="676">
        <f>SUMIF('Budget-ACPL'!$B:$B,$B112,'Budget-ACPL'!V:V)+SUMIF('Budget-ACPLHK'!$B:$B,$B112,'Budget-ACPLHK'!V:V)+SUMIF('Budget-ACPSZL'!$B:$B,$B112,'Budget-ACPSZL'!V:V)+SUMIF('Budget-ACPLSZ'!$B:$B,$B112,'Budget-ACPLSZ'!V:V)</f>
        <v>0</v>
      </c>
      <c r="W112" s="676">
        <f t="shared" si="36"/>
        <v>0</v>
      </c>
      <c r="Y112" s="688"/>
      <c r="Z112" s="688"/>
      <c r="AA112" s="688"/>
      <c r="AB112" s="688"/>
      <c r="AC112" s="688"/>
      <c r="AD112" s="688"/>
      <c r="AE112" s="688"/>
      <c r="AF112" s="688"/>
      <c r="AG112" s="688"/>
      <c r="AH112" s="688"/>
      <c r="AI112" s="688"/>
      <c r="AJ112" s="688"/>
      <c r="AK112" s="688">
        <f t="shared" si="43"/>
        <v>0</v>
      </c>
    </row>
    <row r="113" spans="1:37" ht="11.1" hidden="1" customHeight="1">
      <c r="A113" s="713" t="s">
        <v>1713</v>
      </c>
      <c r="B113" s="687" t="str">
        <f>VLOOKUP(A113,Account!A:B,2,0)</f>
        <v>其他汽车费用</v>
      </c>
      <c r="C113" s="687">
        <f>VLOOKUP(A113,Account!A:F,4,0)</f>
        <v>0</v>
      </c>
      <c r="D113" s="676">
        <f t="shared" ca="1" si="38"/>
        <v>0</v>
      </c>
      <c r="E113" s="676" t="e">
        <f t="shared" si="39"/>
        <v>#N/A</v>
      </c>
      <c r="F113" s="676" t="e">
        <f t="shared" ca="1" si="37"/>
        <v>#N/A</v>
      </c>
      <c r="G113" s="676">
        <f t="shared" ca="1" si="40"/>
        <v>0</v>
      </c>
      <c r="H113" s="676" t="e">
        <f t="shared" ca="1" si="41"/>
        <v>#N/A</v>
      </c>
      <c r="I113" s="676" t="e">
        <f t="shared" ca="1" si="42"/>
        <v>#N/A</v>
      </c>
      <c r="K113" s="676">
        <f ca="1">SUMIF('Budget-ACPL'!$A:$A,$A113,'Budget-ACPL'!K:K)+SUMIF('Budget-ACPLHK'!$A:$A,$A113,'Budget-ACPLHK'!K:K)+SUMIF('Budget-ACPSZL'!$A:$A,$A113,'Budget-ACPSZL'!K:K)+SUMIF('Budget-ACPLSZ'!$A:$A,$A113,'Budget-ACPLSZ'!K:K)+SUMIF('Budget-ACPLGZ'!$A:$A,$A113,'Budget-ACPLGZ'!K:K)+SUMIF('Budget-Yixing'!$A:$A,$A113,'Budget-Yixing'!K:K)</f>
        <v>0</v>
      </c>
      <c r="L113" s="676">
        <f ca="1">SUMIF('Budget-ACPL'!$A:$A,$A113,'Budget-ACPL'!L:L)+SUMIF('Budget-ACPLHK'!$A:$A,$A113,'Budget-ACPLHK'!L:L)+SUMIF('Budget-ACPSZL'!$A:$A,$A113,'Budget-ACPSZL'!L:L)+SUMIF('Budget-ACPLSZ'!$A:$A,$A113,'Budget-ACPLSZ'!L:L)+SUMIF('Budget-ACPLGZ'!$A:$A,$A113,'Budget-ACPLGZ'!L:L)+SUMIF('Budget-Yixing'!$A:$A,$A113,'Budget-Yixing'!L:L)</f>
        <v>0</v>
      </c>
      <c r="M113" s="676">
        <f ca="1">SUMIF('Budget-ACPL'!$A:$A,$A113,'Budget-ACPL'!M:M)+SUMIF('Budget-ACPLHK'!$A:$A,$A113,'Budget-ACPLHK'!M:M)+SUMIF('Budget-ACPSZL'!$A:$A,$A113,'Budget-ACPSZL'!M:M)+SUMIF('Budget-ACPLSZ'!$A:$A,$A113,'Budget-ACPLSZ'!M:M)+SUMIF('Budget-ACPLGZ'!$A:$A,$A113,'Budget-ACPLGZ'!M:M)+SUMIF('Budget-Yixing'!$A:$A,$A113,'Budget-Yixing'!M:M)</f>
        <v>0</v>
      </c>
      <c r="N113" s="676">
        <f ca="1">SUMIF('Budget-ACPL'!$A:$A,$A113,'Budget-ACPL'!N:N)+SUMIF('Budget-ACPLHK'!$A:$A,$A113,'Budget-ACPLHK'!N:N)+SUMIF('Budget-ACPSZL'!$A:$A,$A113,'Budget-ACPSZL'!N:N)+SUMIF('Budget-ACPLSZ'!$A:$A,$A113,'Budget-ACPLSZ'!N:N)+SUMIF('Budget-ACPLGZ'!$A:$A,$A113,'Budget-ACPLGZ'!N:N)+SUMIF('Budget-Yixing'!$A:$A,$A113,'Budget-Yixing'!N:N)</f>
        <v>0</v>
      </c>
      <c r="O113" s="676">
        <f ca="1">SUMIF('Budget-ACPL'!$A:$A,$A113,'Budget-ACPL'!O:O)+SUMIF('Budget-ACPLHK'!$A:$A,$A113,'Budget-ACPLHK'!O:O)+SUMIF('Budget-ACPSZL'!$A:$A,$A113,'Budget-ACPSZL'!O:O)+SUMIF('Budget-ACPLSZ'!$A:$A,$A113,'Budget-ACPLSZ'!O:O)+SUMIF('Budget-ACPLGZ'!$A:$A,$A113,'Budget-ACPLGZ'!O:O)+SUMIF('Budget-Yixing'!$A:$A,$A113,'Budget-Yixing'!O:O)</f>
        <v>0</v>
      </c>
      <c r="P113" s="676">
        <f ca="1">SUMIF('Budget-ACPL'!$A:$A,$A113,'Budget-ACPL'!P:P)+SUMIF('Budget-ACPLHK'!$A:$A,$A113,'Budget-ACPLHK'!P:P)+SUMIF('Budget-ACPSZL'!$A:$A,$A113,'Budget-ACPSZL'!P:P)+SUMIF('Budget-ACPLSZ'!$A:$A,$A113,'Budget-ACPLSZ'!P:P)+SUMIF('Budget-ACPLGZ'!$A:$A,$A113,'Budget-ACPLGZ'!P:P)+SUMIF('Budget-Yixing'!$A:$A,$A113,'Budget-Yixing'!P:P)</f>
        <v>0</v>
      </c>
      <c r="Q113" s="676">
        <f ca="1">SUMIF('Budget-ACPL'!$A:$A,$A113,'Budget-ACPL'!Q:Q)+SUMIF('Budget-ACPLHK'!$A:$A,$A113,'Budget-ACPLHK'!Q:Q)+SUMIF('Budget-ACPSZL'!$A:$A,$A113,'Budget-ACPSZL'!Q:Q)+SUMIF('Budget-ACPLSZ'!$A:$A,$A113,'Budget-ACPLSZ'!Q:Q)+SUMIF('Budget-ACPLGZ'!$A:$A,$A113,'Budget-ACPLGZ'!Q:Q)+SUMIF('Budget-Yixing'!$A:$A,$A113,'Budget-Yixing'!Q:Q)</f>
        <v>0</v>
      </c>
      <c r="R113" s="676">
        <f ca="1">SUMIF('Budget-ACPL'!$A:$A,$A113,'Budget-ACPL'!R:R)+SUMIF('Budget-ACPLHK'!$A:$A,$A113,'Budget-ACPLHK'!R:R)+SUMIF('Budget-ACPSZL'!$A:$A,$A113,'Budget-ACPSZL'!R:R)+SUMIF('Budget-ACPLSZ'!$A:$A,$A113,'Budget-ACPLSZ'!R:R)+SUMIF('Budget-ACPLGZ'!$A:$A,$A113,'Budget-ACPLGZ'!R:R)+SUMIF('Budget-Yixing'!$A:$A,$A113,'Budget-Yixing'!R:R)</f>
        <v>0</v>
      </c>
      <c r="S113" s="676">
        <f ca="1">SUMIF('Budget-ACPL'!$A:$A,$A113,'Budget-ACPL'!S:S)+SUMIF('Budget-ACPLHK'!$A:$A,$A113,'Budget-ACPLHK'!S:S)+SUMIF('Budget-ACPSZL'!$A:$A,$A113,'Budget-ACPSZL'!S:S)+SUMIF('Budget-ACPLSZ'!$A:$A,$A113,'Budget-ACPLSZ'!S:S)+SUMIF('Budget-ACPLGZ'!$A:$A,$A113,'Budget-ACPLGZ'!S:S)+SUMIF('Budget-Yixing'!$A:$A,$A113,'Budget-Yixing'!S:S)</f>
        <v>0</v>
      </c>
      <c r="T113" s="676">
        <f ca="1">SUMIF('Budget-ACPL'!$A:$A,$A113,'Budget-ACPL'!T:T)+SUMIF('Budget-ACPLHK'!$A:$A,$A113,'Budget-ACPLHK'!T:T)+SUMIF('Budget-ACPSZL'!$A:$A,$A113,'Budget-ACPSZL'!T:T)+SUMIF('Budget-ACPLSZ'!$A:$A,$A113,'Budget-ACPLSZ'!T:T)+SUMIF('Budget-ACPLGZ'!$A:$A,$A113,'Budget-ACPLGZ'!T:T)+SUMIF('Budget-Yixing'!$A:$A,$A113,'Budget-Yixing'!T:T)</f>
        <v>0</v>
      </c>
      <c r="U113" s="676">
        <f ca="1">SUMIF('Budget-ACPL'!$A:$A,$A113,'Budget-ACPL'!U:U)+SUMIF('Budget-ACPLHK'!$A:$A,$A113,'Budget-ACPLHK'!U:U)+SUMIF('Budget-ACPSZL'!$A:$A,$A113,'Budget-ACPSZL'!U:U)+SUMIF('Budget-ACPLSZ'!$A:$A,$A113,'Budget-ACPLSZ'!U:U)+SUMIF('Budget-ACPLGZ'!$A:$A,$A113,'Budget-ACPLGZ'!U:U)+SUMIF('Budget-Yixing'!$A:$A,$A113,'Budget-Yixing'!U:U)</f>
        <v>0</v>
      </c>
      <c r="V113" s="676">
        <f ca="1">SUMIF('Budget-ACPL'!$A:$A,$A113,'Budget-ACPL'!V:V)+SUMIF('Budget-ACPLHK'!$A:$A,$A113,'Budget-ACPLHK'!V:V)+SUMIF('Budget-ACPSZL'!$A:$A,$A113,'Budget-ACPSZL'!V:V)+SUMIF('Budget-ACPLSZ'!$A:$A,$A113,'Budget-ACPLSZ'!V:V)+SUMIF('Budget-ACPLGZ'!$A:$A,$A113,'Budget-ACPLGZ'!V:V)+SUMIF('Budget-Yixing'!$A:$A,$A113,'Budget-Yixing'!V:V)</f>
        <v>0</v>
      </c>
      <c r="W113" s="676">
        <f t="shared" ca="1" si="36"/>
        <v>0</v>
      </c>
      <c r="Y113" s="688">
        <f ca="1">SUMIF('Budget-ACPL'!$A:$A,$A113,'Budget-ACPL'!Y:Y)+SUMIF('Budget-ACPLHK'!$A:$A,$A113,'Budget-ACPLHK'!Y:Y)+SUMIF('Budget-ACPSZL'!$A:$A,$A113,'Budget-ACPSZL'!Y:Y)+SUMIF('Budget-ACPLSZ'!$A:$A,$A113,'Budget-ACPLSZ'!Y:Y)+SUMIF('Budget-ACPLGZ'!$A:$A,$A113,'Budget-ACPLGZ'!Y:Y)+SUMIF('Budget-Yixing'!$A:$A,$A113,'Budget-Yixing'!Y:Y)</f>
        <v>0</v>
      </c>
      <c r="Z113" s="688">
        <f ca="1">SUMIF('Budget-ACPL'!$A:$A,$A113,'Budget-ACPL'!Z:Z)+SUMIF('Budget-ACPLHK'!$A:$A,$A113,'Budget-ACPLHK'!Z:Z)+SUMIF('Budget-ACPSZL'!$A:$A,$A113,'Budget-ACPSZL'!Z:Z)+SUMIF('Budget-ACPLSZ'!$A:$A,$A113,'Budget-ACPLSZ'!Z:Z)+SUMIF('Budget-ACPLGZ'!$A:$A,$A113,'Budget-ACPLGZ'!Z:Z)+SUMIF('Budget-Yixing'!$A:$A,$A113,'Budget-Yixing'!Z:Z)</f>
        <v>0</v>
      </c>
      <c r="AA113" s="688">
        <f ca="1">SUMIF('Budget-ACPL'!$A:$A,$A113,'Budget-ACPL'!AA:AA)+SUMIF('Budget-ACPLHK'!$A:$A,$A113,'Budget-ACPLHK'!AA:AA)+SUMIF('Budget-ACPSZL'!$A:$A,$A113,'Budget-ACPSZL'!AA:AA)+SUMIF('Budget-ACPLSZ'!$A:$A,$A113,'Budget-ACPLSZ'!AA:AA)+SUMIF('Budget-ACPLGZ'!$A:$A,$A113,'Budget-ACPLGZ'!AA:AA)+SUMIF('Budget-Yixing'!$A:$A,$A113,'Budget-Yixing'!AA:AA)</f>
        <v>0</v>
      </c>
      <c r="AB113" s="688">
        <f ca="1">SUMIF('Budget-ACPL'!$A:$A,$A113,'Budget-ACPL'!AB:AB)+SUMIF('Budget-ACPLHK'!$A:$A,$A113,'Budget-ACPLHK'!AB:AB)+SUMIF('Budget-ACPSZL'!$A:$A,$A113,'Budget-ACPSZL'!AB:AB)+SUMIF('Budget-ACPLSZ'!$A:$A,$A113,'Budget-ACPLSZ'!AB:AB)+SUMIF('Budget-ACPLGZ'!$A:$A,$A113,'Budget-ACPLGZ'!AB:AB)+SUMIF('Budget-Yixing'!$A:$A,$A113,'Budget-Yixing'!AB:AB)</f>
        <v>0</v>
      </c>
      <c r="AC113" s="688">
        <f ca="1">SUMIF('Budget-ACPL'!$A:$A,$A113,'Budget-ACPL'!AC:AC)+SUMIF('Budget-ACPLHK'!$A:$A,$A113,'Budget-ACPLHK'!AC:AC)+SUMIF('Budget-ACPSZL'!$A:$A,$A113,'Budget-ACPSZL'!AC:AC)+SUMIF('Budget-ACPLSZ'!$A:$A,$A113,'Budget-ACPLSZ'!AC:AC)+SUMIF('Budget-ACPLGZ'!$A:$A,$A113,'Budget-ACPLGZ'!AC:AC)+SUMIF('Budget-Yixing'!$A:$A,$A113,'Budget-Yixing'!AC:AC)</f>
        <v>1502</v>
      </c>
      <c r="AD113" s="688">
        <f ca="1">SUMIF('Budget-ACPL'!$A:$A,$A113,'Budget-ACPL'!AD:AD)+SUMIF('Budget-ACPLHK'!$A:$A,$A113,'Budget-ACPLHK'!AD:AD)+SUMIF('Budget-ACPSZL'!$A:$A,$A113,'Budget-ACPSZL'!AD:AD)+SUMIF('Budget-ACPLSZ'!$A:$A,$A113,'Budget-ACPLSZ'!AD:AD)+SUMIF('Budget-ACPLGZ'!$A:$A,$A113,'Budget-ACPLGZ'!AD:AD)+SUMIF('Budget-Yixing'!$A:$A,$A113,'Budget-Yixing'!AD:AD)</f>
        <v>0</v>
      </c>
      <c r="AE113" s="688">
        <f ca="1">SUMIF('Budget-ACPL'!$A:$A,$A113,'Budget-ACPL'!AE:AE)+SUMIF('Budget-ACPLHK'!$A:$A,$A113,'Budget-ACPLHK'!AE:AE)+SUMIF('Budget-ACPSZL'!$A:$A,$A113,'Budget-ACPSZL'!AE:AE)+SUMIF('Budget-ACPLSZ'!$A:$A,$A113,'Budget-ACPLSZ'!AE:AE)+SUMIF('Budget-ACPLGZ'!$A:$A,$A113,'Budget-ACPLGZ'!AE:AE)+SUMIF('Budget-Yixing'!$A:$A,$A113,'Budget-Yixing'!AE:AE)</f>
        <v>55</v>
      </c>
      <c r="AF113" s="688">
        <f ca="1">SUMIF('Budget-ACPL'!$A:$A,$A113,'Budget-ACPL'!AF:AF)+SUMIF('Budget-ACPLHK'!$A:$A,$A113,'Budget-ACPLHK'!AF:AF)+SUMIF('Budget-ACPSZL'!$A:$A,$A113,'Budget-ACPSZL'!AF:AF)+SUMIF('Budget-ACPLSZ'!$A:$A,$A113,'Budget-ACPLSZ'!AF:AF)+SUMIF('Budget-ACPLGZ'!$A:$A,$A113,'Budget-ACPLGZ'!AF:AF)+SUMIF('Budget-Yixing'!$A:$A,$A113,'Budget-Yixing'!AF:AF)</f>
        <v>393.18</v>
      </c>
      <c r="AG113" s="688">
        <f ca="1">SUMIF('Budget-ACPL'!$A:$A,$A113,'Budget-ACPL'!AG:AG)+SUMIF('Budget-ACPLHK'!$A:$A,$A113,'Budget-ACPLHK'!AG:AG)+SUMIF('Budget-ACPSZL'!$A:$A,$A113,'Budget-ACPSZL'!AG:AG)+SUMIF('Budget-ACPLSZ'!$A:$A,$A113,'Budget-ACPLSZ'!AG:AG)+SUMIF('Budget-ACPLGZ'!$A:$A,$A113,'Budget-ACPLGZ'!AG:AG)+SUMIF('Budget-Yixing'!$A:$A,$A113,'Budget-Yixing'!AG:AG)</f>
        <v>427.99999999999977</v>
      </c>
      <c r="AH113" s="688">
        <f ca="1">SUMIF('Budget-ACPL'!$A:$A,$A113,'Budget-ACPL'!AH:AH)+SUMIF('Budget-ACPLHK'!$A:$A,$A113,'Budget-ACPLHK'!AH:AH)+SUMIF('Budget-ACPSZL'!$A:$A,$A113,'Budget-ACPSZL'!AH:AH)+SUMIF('Budget-ACPLSZ'!$A:$A,$A113,'Budget-ACPLSZ'!AH:AH)+SUMIF('Budget-ACPLGZ'!$A:$A,$A113,'Budget-ACPLGZ'!AH:AH)+SUMIF('Budget-Yixing'!$A:$A,$A113,'Budget-Yixing'!AH:AH)</f>
        <v>0</v>
      </c>
      <c r="AI113" s="688">
        <f ca="1">SUMIF('Budget-ACPL'!$A:$A,$A113,'Budget-ACPL'!AI:AI)+SUMIF('Budget-ACPLHK'!$A:$A,$A113,'Budget-ACPLHK'!AI:AI)+SUMIF('Budget-ACPSZL'!$A:$A,$A113,'Budget-ACPSZL'!AI:AI)+SUMIF('Budget-ACPLSZ'!$A:$A,$A113,'Budget-ACPLSZ'!AI:AI)+SUMIF('Budget-ACPLGZ'!$A:$A,$A113,'Budget-ACPLGZ'!AI:AI)+SUMIF('Budget-Yixing'!$A:$A,$A113,'Budget-Yixing'!AI:AI)</f>
        <v>0</v>
      </c>
      <c r="AJ113" s="688">
        <f ca="1">SUMIF('Budget-ACPL'!$A:$A,$A113,'Budget-ACPL'!AJ:AJ)+SUMIF('Budget-ACPLHK'!$A:$A,$A113,'Budget-ACPLHK'!AJ:AJ)+SUMIF('Budget-ACPSZL'!$A:$A,$A113,'Budget-ACPSZL'!AJ:AJ)+SUMIF('Budget-ACPLSZ'!$A:$A,$A113,'Budget-ACPLSZ'!AJ:AJ)+SUMIF('Budget-ACPLGZ'!$A:$A,$A113,'Budget-ACPLGZ'!AJ:AJ)+SUMIF('Budget-Yixing'!$A:$A,$A113,'Budget-Yixing'!AJ:AJ)</f>
        <v>34</v>
      </c>
      <c r="AK113" s="688">
        <f t="shared" ca="1" si="43"/>
        <v>2412.1799999999998</v>
      </c>
    </row>
    <row r="114" spans="1:37" ht="11.1" hidden="1" customHeight="1">
      <c r="A114" s="718">
        <f>$A$76</f>
        <v>0</v>
      </c>
      <c r="B114" s="687" t="s">
        <v>2535</v>
      </c>
      <c r="C114" s="687" t="s">
        <v>2511</v>
      </c>
      <c r="D114" s="676">
        <f t="shared" si="38"/>
        <v>0</v>
      </c>
      <c r="E114" s="676" t="e">
        <f t="shared" si="39"/>
        <v>#N/A</v>
      </c>
      <c r="F114" s="676" t="e">
        <f t="shared" si="37"/>
        <v>#N/A</v>
      </c>
      <c r="G114" s="676">
        <f t="shared" ca="1" si="40"/>
        <v>0</v>
      </c>
      <c r="H114" s="676" t="e">
        <f t="shared" ca="1" si="41"/>
        <v>#N/A</v>
      </c>
      <c r="I114" s="676" t="e">
        <f t="shared" ca="1" si="42"/>
        <v>#N/A</v>
      </c>
      <c r="K114" s="676">
        <f>SUMIF('Budget-ACPL'!$B:$B,$B114,'Budget-ACPL'!K:K)+SUMIF('Budget-ACPLHK'!$B:$B,$B114,'Budget-ACPLHK'!K:K)+SUMIF('Budget-ACPSZL'!$B:$B,$B114,'Budget-ACPSZL'!K:K)+SUMIF('Budget-ACPLSZ'!$B:$B,$B114,'Budget-ACPLSZ'!K:K)</f>
        <v>0</v>
      </c>
      <c r="L114" s="676">
        <f>SUMIF('Budget-ACPL'!$B:$B,$B114,'Budget-ACPL'!L:L)+SUMIF('Budget-ACPLHK'!$B:$B,$B114,'Budget-ACPLHK'!L:L)+SUMIF('Budget-ACPSZL'!$B:$B,$B114,'Budget-ACPSZL'!L:L)+SUMIF('Budget-ACPLSZ'!$B:$B,$B114,'Budget-ACPLSZ'!L:L)</f>
        <v>0</v>
      </c>
      <c r="M114" s="676">
        <f>SUMIF('Budget-ACPL'!$B:$B,$B114,'Budget-ACPL'!M:M)+SUMIF('Budget-ACPLHK'!$B:$B,$B114,'Budget-ACPLHK'!M:M)+SUMIF('Budget-ACPSZL'!$B:$B,$B114,'Budget-ACPSZL'!M:M)+SUMIF('Budget-ACPLSZ'!$B:$B,$B114,'Budget-ACPLSZ'!M:M)</f>
        <v>0</v>
      </c>
      <c r="N114" s="676">
        <f>SUMIF('Budget-ACPL'!$B:$B,$B114,'Budget-ACPL'!N:N)+SUMIF('Budget-ACPLHK'!$B:$B,$B114,'Budget-ACPLHK'!N:N)+SUMIF('Budget-ACPSZL'!$B:$B,$B114,'Budget-ACPSZL'!N:N)+SUMIF('Budget-ACPLSZ'!$B:$B,$B114,'Budget-ACPLSZ'!N:N)</f>
        <v>0</v>
      </c>
      <c r="O114" s="676">
        <f>SUMIF('Budget-ACPL'!$B:$B,$B114,'Budget-ACPL'!O:O)+SUMIF('Budget-ACPLHK'!$B:$B,$B114,'Budget-ACPLHK'!O:O)+SUMIF('Budget-ACPSZL'!$B:$B,$B114,'Budget-ACPSZL'!O:O)+SUMIF('Budget-ACPLSZ'!$B:$B,$B114,'Budget-ACPLSZ'!O:O)</f>
        <v>0</v>
      </c>
      <c r="P114" s="676">
        <f>SUMIF('Budget-ACPL'!$B:$B,$B114,'Budget-ACPL'!P:P)+SUMIF('Budget-ACPLHK'!$B:$B,$B114,'Budget-ACPLHK'!P:P)+SUMIF('Budget-ACPSZL'!$B:$B,$B114,'Budget-ACPSZL'!P:P)+SUMIF('Budget-ACPLSZ'!$B:$B,$B114,'Budget-ACPLSZ'!P:P)</f>
        <v>0</v>
      </c>
      <c r="Q114" s="676">
        <f>SUMIF('Budget-ACPL'!$B:$B,$B114,'Budget-ACPL'!Q:Q)+SUMIF('Budget-ACPLHK'!$B:$B,$B114,'Budget-ACPLHK'!Q:Q)+SUMIF('Budget-ACPSZL'!$B:$B,$B114,'Budget-ACPSZL'!Q:Q)+SUMIF('Budget-ACPLSZ'!$B:$B,$B114,'Budget-ACPLSZ'!Q:Q)</f>
        <v>0</v>
      </c>
      <c r="R114" s="676">
        <f>SUMIF('Budget-ACPL'!$B:$B,$B114,'Budget-ACPL'!R:R)+SUMIF('Budget-ACPLHK'!$B:$B,$B114,'Budget-ACPLHK'!R:R)+SUMIF('Budget-ACPSZL'!$B:$B,$B114,'Budget-ACPSZL'!R:R)+SUMIF('Budget-ACPLSZ'!$B:$B,$B114,'Budget-ACPLSZ'!R:R)</f>
        <v>0</v>
      </c>
      <c r="S114" s="676">
        <f>SUMIF('Budget-ACPL'!$B:$B,$B114,'Budget-ACPL'!S:S)+SUMIF('Budget-ACPLHK'!$B:$B,$B114,'Budget-ACPLHK'!S:S)+SUMIF('Budget-ACPSZL'!$B:$B,$B114,'Budget-ACPSZL'!S:S)+SUMIF('Budget-ACPLSZ'!$B:$B,$B114,'Budget-ACPLSZ'!S:S)</f>
        <v>0</v>
      </c>
      <c r="T114" s="676">
        <f>SUMIF('Budget-ACPL'!$B:$B,$B114,'Budget-ACPL'!T:T)+SUMIF('Budget-ACPLHK'!$B:$B,$B114,'Budget-ACPLHK'!T:T)+SUMIF('Budget-ACPSZL'!$B:$B,$B114,'Budget-ACPSZL'!T:T)+SUMIF('Budget-ACPLSZ'!$B:$B,$B114,'Budget-ACPLSZ'!T:T)</f>
        <v>0</v>
      </c>
      <c r="U114" s="676">
        <f>SUMIF('Budget-ACPL'!$B:$B,$B114,'Budget-ACPL'!U:U)+SUMIF('Budget-ACPLHK'!$B:$B,$B114,'Budget-ACPLHK'!U:U)+SUMIF('Budget-ACPSZL'!$B:$B,$B114,'Budget-ACPSZL'!U:U)+SUMIF('Budget-ACPLSZ'!$B:$B,$B114,'Budget-ACPLSZ'!U:U)</f>
        <v>0</v>
      </c>
      <c r="V114" s="676">
        <f>SUMIF('Budget-ACPL'!$B:$B,$B114,'Budget-ACPL'!V:V)+SUMIF('Budget-ACPLHK'!$B:$B,$B114,'Budget-ACPLHK'!V:V)+SUMIF('Budget-ACPSZL'!$B:$B,$B114,'Budget-ACPSZL'!V:V)+SUMIF('Budget-ACPLSZ'!$B:$B,$B114,'Budget-ACPLSZ'!V:V)</f>
        <v>0</v>
      </c>
      <c r="W114" s="676">
        <f t="shared" si="36"/>
        <v>0</v>
      </c>
      <c r="Y114" s="688"/>
      <c r="Z114" s="688"/>
      <c r="AA114" s="688"/>
      <c r="AB114" s="688"/>
      <c r="AC114" s="688"/>
      <c r="AD114" s="688"/>
      <c r="AE114" s="688"/>
      <c r="AF114" s="688"/>
      <c r="AG114" s="688"/>
      <c r="AH114" s="688"/>
      <c r="AI114" s="688"/>
      <c r="AJ114" s="688"/>
      <c r="AK114" s="688">
        <f t="shared" si="43"/>
        <v>0</v>
      </c>
    </row>
    <row r="115" spans="1:37" ht="11.1" hidden="1" customHeight="1">
      <c r="A115" s="718">
        <f>$A$77</f>
        <v>0</v>
      </c>
      <c r="B115" s="687" t="s">
        <v>2536</v>
      </c>
      <c r="C115" s="687" t="s">
        <v>2513</v>
      </c>
      <c r="D115" s="676">
        <f t="shared" si="38"/>
        <v>0</v>
      </c>
      <c r="E115" s="676" t="e">
        <f t="shared" si="39"/>
        <v>#N/A</v>
      </c>
      <c r="F115" s="676" t="e">
        <f t="shared" si="37"/>
        <v>#N/A</v>
      </c>
      <c r="G115" s="676">
        <f t="shared" ca="1" si="40"/>
        <v>0</v>
      </c>
      <c r="H115" s="676" t="e">
        <f t="shared" ca="1" si="41"/>
        <v>#N/A</v>
      </c>
      <c r="I115" s="676" t="e">
        <f t="shared" ca="1" si="42"/>
        <v>#N/A</v>
      </c>
      <c r="K115" s="676">
        <f>SUMIF('Budget-ACPL'!$B:$B,$B115,'Budget-ACPL'!K:K)+SUMIF('Budget-ACPLHK'!$B:$B,$B115,'Budget-ACPLHK'!K:K)+SUMIF('Budget-ACPSZL'!$B:$B,$B115,'Budget-ACPSZL'!K:K)+SUMIF('Budget-ACPLSZ'!$B:$B,$B115,'Budget-ACPLSZ'!K:K)</f>
        <v>0</v>
      </c>
      <c r="L115" s="676">
        <f>SUMIF('Budget-ACPL'!$B:$B,$B115,'Budget-ACPL'!L:L)+SUMIF('Budget-ACPLHK'!$B:$B,$B115,'Budget-ACPLHK'!L:L)+SUMIF('Budget-ACPSZL'!$B:$B,$B115,'Budget-ACPSZL'!L:L)+SUMIF('Budget-ACPLSZ'!$B:$B,$B115,'Budget-ACPLSZ'!L:L)</f>
        <v>0</v>
      </c>
      <c r="M115" s="676">
        <f>SUMIF('Budget-ACPL'!$B:$B,$B115,'Budget-ACPL'!M:M)+SUMIF('Budget-ACPLHK'!$B:$B,$B115,'Budget-ACPLHK'!M:M)+SUMIF('Budget-ACPSZL'!$B:$B,$B115,'Budget-ACPSZL'!M:M)+SUMIF('Budget-ACPLSZ'!$B:$B,$B115,'Budget-ACPLSZ'!M:M)</f>
        <v>0</v>
      </c>
      <c r="N115" s="676">
        <f>SUMIF('Budget-ACPL'!$B:$B,$B115,'Budget-ACPL'!N:N)+SUMIF('Budget-ACPLHK'!$B:$B,$B115,'Budget-ACPLHK'!N:N)+SUMIF('Budget-ACPSZL'!$B:$B,$B115,'Budget-ACPSZL'!N:N)+SUMIF('Budget-ACPLSZ'!$B:$B,$B115,'Budget-ACPLSZ'!N:N)</f>
        <v>0</v>
      </c>
      <c r="O115" s="676">
        <f>SUMIF('Budget-ACPL'!$B:$B,$B115,'Budget-ACPL'!O:O)+SUMIF('Budget-ACPLHK'!$B:$B,$B115,'Budget-ACPLHK'!O:O)+SUMIF('Budget-ACPSZL'!$B:$B,$B115,'Budget-ACPSZL'!O:O)+SUMIF('Budget-ACPLSZ'!$B:$B,$B115,'Budget-ACPLSZ'!O:O)</f>
        <v>0</v>
      </c>
      <c r="P115" s="676">
        <f>SUMIF('Budget-ACPL'!$B:$B,$B115,'Budget-ACPL'!P:P)+SUMIF('Budget-ACPLHK'!$B:$B,$B115,'Budget-ACPLHK'!P:P)+SUMIF('Budget-ACPSZL'!$B:$B,$B115,'Budget-ACPSZL'!P:P)+SUMIF('Budget-ACPLSZ'!$B:$B,$B115,'Budget-ACPLSZ'!P:P)</f>
        <v>0</v>
      </c>
      <c r="Q115" s="676">
        <f>SUMIF('Budget-ACPL'!$B:$B,$B115,'Budget-ACPL'!Q:Q)+SUMIF('Budget-ACPLHK'!$B:$B,$B115,'Budget-ACPLHK'!Q:Q)+SUMIF('Budget-ACPSZL'!$B:$B,$B115,'Budget-ACPSZL'!Q:Q)+SUMIF('Budget-ACPLSZ'!$B:$B,$B115,'Budget-ACPLSZ'!Q:Q)</f>
        <v>0</v>
      </c>
      <c r="R115" s="676">
        <f>SUMIF('Budget-ACPL'!$B:$B,$B115,'Budget-ACPL'!R:R)+SUMIF('Budget-ACPLHK'!$B:$B,$B115,'Budget-ACPLHK'!R:R)+SUMIF('Budget-ACPSZL'!$B:$B,$B115,'Budget-ACPSZL'!R:R)+SUMIF('Budget-ACPLSZ'!$B:$B,$B115,'Budget-ACPLSZ'!R:R)</f>
        <v>0</v>
      </c>
      <c r="S115" s="676">
        <f>SUMIF('Budget-ACPL'!$B:$B,$B115,'Budget-ACPL'!S:S)+SUMIF('Budget-ACPLHK'!$B:$B,$B115,'Budget-ACPLHK'!S:S)+SUMIF('Budget-ACPSZL'!$B:$B,$B115,'Budget-ACPSZL'!S:S)+SUMIF('Budget-ACPLSZ'!$B:$B,$B115,'Budget-ACPLSZ'!S:S)</f>
        <v>0</v>
      </c>
      <c r="T115" s="676">
        <f>SUMIF('Budget-ACPL'!$B:$B,$B115,'Budget-ACPL'!T:T)+SUMIF('Budget-ACPLHK'!$B:$B,$B115,'Budget-ACPLHK'!T:T)+SUMIF('Budget-ACPSZL'!$B:$B,$B115,'Budget-ACPSZL'!T:T)+SUMIF('Budget-ACPLSZ'!$B:$B,$B115,'Budget-ACPLSZ'!T:T)</f>
        <v>0</v>
      </c>
      <c r="U115" s="676">
        <f>SUMIF('Budget-ACPL'!$B:$B,$B115,'Budget-ACPL'!U:U)+SUMIF('Budget-ACPLHK'!$B:$B,$B115,'Budget-ACPLHK'!U:U)+SUMIF('Budget-ACPSZL'!$B:$B,$B115,'Budget-ACPSZL'!U:U)+SUMIF('Budget-ACPLSZ'!$B:$B,$B115,'Budget-ACPLSZ'!U:U)</f>
        <v>0</v>
      </c>
      <c r="V115" s="676">
        <f>SUMIF('Budget-ACPL'!$B:$B,$B115,'Budget-ACPL'!V:V)+SUMIF('Budget-ACPLHK'!$B:$B,$B115,'Budget-ACPLHK'!V:V)+SUMIF('Budget-ACPSZL'!$B:$B,$B115,'Budget-ACPSZL'!V:V)+SUMIF('Budget-ACPLSZ'!$B:$B,$B115,'Budget-ACPLSZ'!V:V)</f>
        <v>0</v>
      </c>
      <c r="W115" s="676">
        <f t="shared" si="36"/>
        <v>0</v>
      </c>
      <c r="Y115" s="688"/>
      <c r="Z115" s="688"/>
      <c r="AA115" s="688"/>
      <c r="AB115" s="688"/>
      <c r="AC115" s="688"/>
      <c r="AD115" s="688"/>
      <c r="AE115" s="688"/>
      <c r="AF115" s="688"/>
      <c r="AG115" s="688"/>
      <c r="AH115" s="688"/>
      <c r="AI115" s="688"/>
      <c r="AJ115" s="688"/>
      <c r="AK115" s="688">
        <f t="shared" si="43"/>
        <v>0</v>
      </c>
    </row>
    <row r="116" spans="1:37" ht="11.1" hidden="1" customHeight="1">
      <c r="A116" s="718">
        <f>$A$78</f>
        <v>0</v>
      </c>
      <c r="B116" s="687" t="s">
        <v>2537</v>
      </c>
      <c r="C116" s="687" t="s">
        <v>2515</v>
      </c>
      <c r="D116" s="676">
        <f t="shared" si="38"/>
        <v>0</v>
      </c>
      <c r="E116" s="676" t="e">
        <f t="shared" si="39"/>
        <v>#N/A</v>
      </c>
      <c r="F116" s="676" t="e">
        <f t="shared" si="37"/>
        <v>#N/A</v>
      </c>
      <c r="G116" s="676">
        <f t="shared" ca="1" si="40"/>
        <v>0</v>
      </c>
      <c r="H116" s="676" t="e">
        <f t="shared" ca="1" si="41"/>
        <v>#N/A</v>
      </c>
      <c r="I116" s="676" t="e">
        <f t="shared" ca="1" si="42"/>
        <v>#N/A</v>
      </c>
      <c r="K116" s="676">
        <f>SUMIF('Budget-ACPL'!$B:$B,$B116,'Budget-ACPL'!K:K)+SUMIF('Budget-ACPLHK'!$B:$B,$B116,'Budget-ACPLHK'!K:K)+SUMIF('Budget-ACPSZL'!$B:$B,$B116,'Budget-ACPSZL'!K:K)+SUMIF('Budget-ACPLSZ'!$B:$B,$B116,'Budget-ACPLSZ'!K:K)</f>
        <v>0</v>
      </c>
      <c r="L116" s="676">
        <f>SUMIF('Budget-ACPL'!$B:$B,$B116,'Budget-ACPL'!L:L)+SUMIF('Budget-ACPLHK'!$B:$B,$B116,'Budget-ACPLHK'!L:L)+SUMIF('Budget-ACPSZL'!$B:$B,$B116,'Budget-ACPSZL'!L:L)+SUMIF('Budget-ACPLSZ'!$B:$B,$B116,'Budget-ACPLSZ'!L:L)</f>
        <v>0</v>
      </c>
      <c r="M116" s="676">
        <f>SUMIF('Budget-ACPL'!$B:$B,$B116,'Budget-ACPL'!M:M)+SUMIF('Budget-ACPLHK'!$B:$B,$B116,'Budget-ACPLHK'!M:M)+SUMIF('Budget-ACPSZL'!$B:$B,$B116,'Budget-ACPSZL'!M:M)+SUMIF('Budget-ACPLSZ'!$B:$B,$B116,'Budget-ACPLSZ'!M:M)</f>
        <v>0</v>
      </c>
      <c r="N116" s="676">
        <f>SUMIF('Budget-ACPL'!$B:$B,$B116,'Budget-ACPL'!N:N)+SUMIF('Budget-ACPLHK'!$B:$B,$B116,'Budget-ACPLHK'!N:N)+SUMIF('Budget-ACPSZL'!$B:$B,$B116,'Budget-ACPSZL'!N:N)+SUMIF('Budget-ACPLSZ'!$B:$B,$B116,'Budget-ACPLSZ'!N:N)</f>
        <v>0</v>
      </c>
      <c r="O116" s="676">
        <f>SUMIF('Budget-ACPL'!$B:$B,$B116,'Budget-ACPL'!O:O)+SUMIF('Budget-ACPLHK'!$B:$B,$B116,'Budget-ACPLHK'!O:O)+SUMIF('Budget-ACPSZL'!$B:$B,$B116,'Budget-ACPSZL'!O:O)+SUMIF('Budget-ACPLSZ'!$B:$B,$B116,'Budget-ACPLSZ'!O:O)</f>
        <v>0</v>
      </c>
      <c r="P116" s="676">
        <f>SUMIF('Budget-ACPL'!$B:$B,$B116,'Budget-ACPL'!P:P)+SUMIF('Budget-ACPLHK'!$B:$B,$B116,'Budget-ACPLHK'!P:P)+SUMIF('Budget-ACPSZL'!$B:$B,$B116,'Budget-ACPSZL'!P:P)+SUMIF('Budget-ACPLSZ'!$B:$B,$B116,'Budget-ACPLSZ'!P:P)</f>
        <v>0</v>
      </c>
      <c r="Q116" s="676">
        <f>SUMIF('Budget-ACPL'!$B:$B,$B116,'Budget-ACPL'!Q:Q)+SUMIF('Budget-ACPLHK'!$B:$B,$B116,'Budget-ACPLHK'!Q:Q)+SUMIF('Budget-ACPSZL'!$B:$B,$B116,'Budget-ACPSZL'!Q:Q)+SUMIF('Budget-ACPLSZ'!$B:$B,$B116,'Budget-ACPLSZ'!Q:Q)</f>
        <v>0</v>
      </c>
      <c r="R116" s="676">
        <f>SUMIF('Budget-ACPL'!$B:$B,$B116,'Budget-ACPL'!R:R)+SUMIF('Budget-ACPLHK'!$B:$B,$B116,'Budget-ACPLHK'!R:R)+SUMIF('Budget-ACPSZL'!$B:$B,$B116,'Budget-ACPSZL'!R:R)+SUMIF('Budget-ACPLSZ'!$B:$B,$B116,'Budget-ACPLSZ'!R:R)</f>
        <v>0</v>
      </c>
      <c r="S116" s="676">
        <f>SUMIF('Budget-ACPL'!$B:$B,$B116,'Budget-ACPL'!S:S)+SUMIF('Budget-ACPLHK'!$B:$B,$B116,'Budget-ACPLHK'!S:S)+SUMIF('Budget-ACPSZL'!$B:$B,$B116,'Budget-ACPSZL'!S:S)+SUMIF('Budget-ACPLSZ'!$B:$B,$B116,'Budget-ACPLSZ'!S:S)</f>
        <v>0</v>
      </c>
      <c r="T116" s="676">
        <f>SUMIF('Budget-ACPL'!$B:$B,$B116,'Budget-ACPL'!T:T)+SUMIF('Budget-ACPLHK'!$B:$B,$B116,'Budget-ACPLHK'!T:T)+SUMIF('Budget-ACPSZL'!$B:$B,$B116,'Budget-ACPSZL'!T:T)+SUMIF('Budget-ACPLSZ'!$B:$B,$B116,'Budget-ACPLSZ'!T:T)</f>
        <v>0</v>
      </c>
      <c r="U116" s="676">
        <f>SUMIF('Budget-ACPL'!$B:$B,$B116,'Budget-ACPL'!U:U)+SUMIF('Budget-ACPLHK'!$B:$B,$B116,'Budget-ACPLHK'!U:U)+SUMIF('Budget-ACPSZL'!$B:$B,$B116,'Budget-ACPSZL'!U:U)+SUMIF('Budget-ACPLSZ'!$B:$B,$B116,'Budget-ACPLSZ'!U:U)</f>
        <v>0</v>
      </c>
      <c r="V116" s="676">
        <f>SUMIF('Budget-ACPL'!$B:$B,$B116,'Budget-ACPL'!V:V)+SUMIF('Budget-ACPLHK'!$B:$B,$B116,'Budget-ACPLHK'!V:V)+SUMIF('Budget-ACPSZL'!$B:$B,$B116,'Budget-ACPSZL'!V:V)+SUMIF('Budget-ACPLSZ'!$B:$B,$B116,'Budget-ACPLSZ'!V:V)</f>
        <v>0</v>
      </c>
      <c r="W116" s="676">
        <f t="shared" ref="W116:W135" si="44">SUM(K116:V116)</f>
        <v>0</v>
      </c>
      <c r="Y116" s="688"/>
      <c r="Z116" s="688"/>
      <c r="AA116" s="688"/>
      <c r="AB116" s="688"/>
      <c r="AC116" s="688"/>
      <c r="AD116" s="688"/>
      <c r="AE116" s="688"/>
      <c r="AF116" s="688"/>
      <c r="AG116" s="688"/>
      <c r="AH116" s="688"/>
      <c r="AI116" s="688"/>
      <c r="AJ116" s="688"/>
      <c r="AK116" s="688">
        <f t="shared" si="43"/>
        <v>0</v>
      </c>
    </row>
    <row r="117" spans="1:37" ht="11.1" hidden="1" customHeight="1">
      <c r="A117" s="713" t="s">
        <v>1717</v>
      </c>
      <c r="B117" s="687" t="str">
        <f>VLOOKUP(A117,Account!A:B,2,0)</f>
        <v>检测费</v>
      </c>
      <c r="C117" s="687">
        <f>VLOOKUP(A117,Account!A:F,4,0)</f>
        <v>0</v>
      </c>
      <c r="D117" s="676">
        <f t="shared" ca="1" si="38"/>
        <v>0</v>
      </c>
      <c r="E117" s="676" t="e">
        <f t="shared" si="39"/>
        <v>#N/A</v>
      </c>
      <c r="F117" s="676" t="e">
        <f t="shared" ca="1" si="37"/>
        <v>#N/A</v>
      </c>
      <c r="G117" s="676">
        <f t="shared" ca="1" si="40"/>
        <v>0</v>
      </c>
      <c r="H117" s="676" t="e">
        <f t="shared" ca="1" si="41"/>
        <v>#N/A</v>
      </c>
      <c r="I117" s="676" t="e">
        <f t="shared" ca="1" si="42"/>
        <v>#N/A</v>
      </c>
      <c r="K117" s="676">
        <f ca="1">SUMIF('Budget-ACPL'!$A:$A,$A117,'Budget-ACPL'!K:K)+SUMIF('Budget-ACPLHK'!$A:$A,$A117,'Budget-ACPLHK'!K:K)+SUMIF('Budget-ACPSZL'!$A:$A,$A117,'Budget-ACPSZL'!K:K)+SUMIF('Budget-ACPLSZ'!$A:$A,$A117,'Budget-ACPLSZ'!K:K)+SUMIF('Budget-ACPLGZ'!$A:$A,$A117,'Budget-ACPLGZ'!K:K)+SUMIF('Budget-Yixing'!$A:$A,$A117,'Budget-Yixing'!K:K)</f>
        <v>0</v>
      </c>
      <c r="L117" s="676">
        <f ca="1">SUMIF('Budget-ACPL'!$A:$A,$A117,'Budget-ACPL'!L:L)+SUMIF('Budget-ACPLHK'!$A:$A,$A117,'Budget-ACPLHK'!L:L)+SUMIF('Budget-ACPSZL'!$A:$A,$A117,'Budget-ACPSZL'!L:L)+SUMIF('Budget-ACPLSZ'!$A:$A,$A117,'Budget-ACPLSZ'!L:L)+SUMIF('Budget-ACPLGZ'!$A:$A,$A117,'Budget-ACPLGZ'!L:L)+SUMIF('Budget-Yixing'!$A:$A,$A117,'Budget-Yixing'!L:L)</f>
        <v>0</v>
      </c>
      <c r="M117" s="676">
        <f ca="1">SUMIF('Budget-ACPL'!$A:$A,$A117,'Budget-ACPL'!M:M)+SUMIF('Budget-ACPLHK'!$A:$A,$A117,'Budget-ACPLHK'!M:M)+SUMIF('Budget-ACPSZL'!$A:$A,$A117,'Budget-ACPSZL'!M:M)+SUMIF('Budget-ACPLSZ'!$A:$A,$A117,'Budget-ACPLSZ'!M:M)+SUMIF('Budget-ACPLGZ'!$A:$A,$A117,'Budget-ACPLGZ'!M:M)+SUMIF('Budget-Yixing'!$A:$A,$A117,'Budget-Yixing'!M:M)</f>
        <v>0</v>
      </c>
      <c r="N117" s="676">
        <f ca="1">SUMIF('Budget-ACPL'!$A:$A,$A117,'Budget-ACPL'!N:N)+SUMIF('Budget-ACPLHK'!$A:$A,$A117,'Budget-ACPLHK'!N:N)+SUMIF('Budget-ACPSZL'!$A:$A,$A117,'Budget-ACPSZL'!N:N)+SUMIF('Budget-ACPLSZ'!$A:$A,$A117,'Budget-ACPLSZ'!N:N)+SUMIF('Budget-ACPLGZ'!$A:$A,$A117,'Budget-ACPLGZ'!N:N)+SUMIF('Budget-Yixing'!$A:$A,$A117,'Budget-Yixing'!N:N)</f>
        <v>0</v>
      </c>
      <c r="O117" s="676">
        <f ca="1">SUMIF('Budget-ACPL'!$A:$A,$A117,'Budget-ACPL'!O:O)+SUMIF('Budget-ACPLHK'!$A:$A,$A117,'Budget-ACPLHK'!O:O)+SUMIF('Budget-ACPSZL'!$A:$A,$A117,'Budget-ACPSZL'!O:O)+SUMIF('Budget-ACPLSZ'!$A:$A,$A117,'Budget-ACPLSZ'!O:O)+SUMIF('Budget-ACPLGZ'!$A:$A,$A117,'Budget-ACPLGZ'!O:O)+SUMIF('Budget-Yixing'!$A:$A,$A117,'Budget-Yixing'!O:O)</f>
        <v>0</v>
      </c>
      <c r="P117" s="676">
        <f ca="1">SUMIF('Budget-ACPL'!$A:$A,$A117,'Budget-ACPL'!P:P)+SUMIF('Budget-ACPLHK'!$A:$A,$A117,'Budget-ACPLHK'!P:P)+SUMIF('Budget-ACPSZL'!$A:$A,$A117,'Budget-ACPSZL'!P:P)+SUMIF('Budget-ACPLSZ'!$A:$A,$A117,'Budget-ACPLSZ'!P:P)+SUMIF('Budget-ACPLGZ'!$A:$A,$A117,'Budget-ACPLGZ'!P:P)+SUMIF('Budget-Yixing'!$A:$A,$A117,'Budget-Yixing'!P:P)</f>
        <v>0</v>
      </c>
      <c r="Q117" s="676">
        <f ca="1">SUMIF('Budget-ACPL'!$A:$A,$A117,'Budget-ACPL'!Q:Q)+SUMIF('Budget-ACPLHK'!$A:$A,$A117,'Budget-ACPLHK'!Q:Q)+SUMIF('Budget-ACPSZL'!$A:$A,$A117,'Budget-ACPSZL'!Q:Q)+SUMIF('Budget-ACPLSZ'!$A:$A,$A117,'Budget-ACPLSZ'!Q:Q)+SUMIF('Budget-ACPLGZ'!$A:$A,$A117,'Budget-ACPLGZ'!Q:Q)+SUMIF('Budget-Yixing'!$A:$A,$A117,'Budget-Yixing'!Q:Q)</f>
        <v>0</v>
      </c>
      <c r="R117" s="676">
        <f ca="1">SUMIF('Budget-ACPL'!$A:$A,$A117,'Budget-ACPL'!R:R)+SUMIF('Budget-ACPLHK'!$A:$A,$A117,'Budget-ACPLHK'!R:R)+SUMIF('Budget-ACPSZL'!$A:$A,$A117,'Budget-ACPSZL'!R:R)+SUMIF('Budget-ACPLSZ'!$A:$A,$A117,'Budget-ACPLSZ'!R:R)+SUMIF('Budget-ACPLGZ'!$A:$A,$A117,'Budget-ACPLGZ'!R:R)+SUMIF('Budget-Yixing'!$A:$A,$A117,'Budget-Yixing'!R:R)</f>
        <v>0</v>
      </c>
      <c r="S117" s="676">
        <f ca="1">SUMIF('Budget-ACPL'!$A:$A,$A117,'Budget-ACPL'!S:S)+SUMIF('Budget-ACPLHK'!$A:$A,$A117,'Budget-ACPLHK'!S:S)+SUMIF('Budget-ACPSZL'!$A:$A,$A117,'Budget-ACPSZL'!S:S)+SUMIF('Budget-ACPLSZ'!$A:$A,$A117,'Budget-ACPLSZ'!S:S)+SUMIF('Budget-ACPLGZ'!$A:$A,$A117,'Budget-ACPLGZ'!S:S)+SUMIF('Budget-Yixing'!$A:$A,$A117,'Budget-Yixing'!S:S)</f>
        <v>0</v>
      </c>
      <c r="T117" s="676">
        <f ca="1">SUMIF('Budget-ACPL'!$A:$A,$A117,'Budget-ACPL'!T:T)+SUMIF('Budget-ACPLHK'!$A:$A,$A117,'Budget-ACPLHK'!T:T)+SUMIF('Budget-ACPSZL'!$A:$A,$A117,'Budget-ACPSZL'!T:T)+SUMIF('Budget-ACPLSZ'!$A:$A,$A117,'Budget-ACPLSZ'!T:T)+SUMIF('Budget-ACPLGZ'!$A:$A,$A117,'Budget-ACPLGZ'!T:T)+SUMIF('Budget-Yixing'!$A:$A,$A117,'Budget-Yixing'!T:T)</f>
        <v>0</v>
      </c>
      <c r="U117" s="676">
        <f ca="1">SUMIF('Budget-ACPL'!$A:$A,$A117,'Budget-ACPL'!U:U)+SUMIF('Budget-ACPLHK'!$A:$A,$A117,'Budget-ACPLHK'!U:U)+SUMIF('Budget-ACPSZL'!$A:$A,$A117,'Budget-ACPSZL'!U:U)+SUMIF('Budget-ACPLSZ'!$A:$A,$A117,'Budget-ACPLSZ'!U:U)+SUMIF('Budget-ACPLGZ'!$A:$A,$A117,'Budget-ACPLGZ'!U:U)+SUMIF('Budget-Yixing'!$A:$A,$A117,'Budget-Yixing'!U:U)</f>
        <v>0</v>
      </c>
      <c r="V117" s="676">
        <f ca="1">SUMIF('Budget-ACPL'!$A:$A,$A117,'Budget-ACPL'!V:V)+SUMIF('Budget-ACPLHK'!$A:$A,$A117,'Budget-ACPLHK'!V:V)+SUMIF('Budget-ACPSZL'!$A:$A,$A117,'Budget-ACPSZL'!V:V)+SUMIF('Budget-ACPLSZ'!$A:$A,$A117,'Budget-ACPLSZ'!V:V)+SUMIF('Budget-ACPLGZ'!$A:$A,$A117,'Budget-ACPLGZ'!V:V)+SUMIF('Budget-Yixing'!$A:$A,$A117,'Budget-Yixing'!V:V)</f>
        <v>0</v>
      </c>
      <c r="W117" s="676">
        <f t="shared" ca="1" si="44"/>
        <v>0</v>
      </c>
      <c r="Y117" s="688">
        <f ca="1">SUMIF('Budget-ACPL'!$A:$A,$A117,'Budget-ACPL'!Y:Y)+SUMIF('Budget-ACPLHK'!$A:$A,$A117,'Budget-ACPLHK'!Y:Y)+SUMIF('Budget-ACPSZL'!$A:$A,$A117,'Budget-ACPSZL'!Y:Y)+SUMIF('Budget-ACPLSZ'!$A:$A,$A117,'Budget-ACPLSZ'!Y:Y)+SUMIF('Budget-ACPLGZ'!$A:$A,$A117,'Budget-ACPLGZ'!Y:Y)+SUMIF('Budget-Yixing'!$A:$A,$A117,'Budget-Yixing'!Y:Y)</f>
        <v>0</v>
      </c>
      <c r="Z117" s="688">
        <f ca="1">SUMIF('Budget-ACPL'!$A:$A,$A117,'Budget-ACPL'!Z:Z)+SUMIF('Budget-ACPLHK'!$A:$A,$A117,'Budget-ACPLHK'!Z:Z)+SUMIF('Budget-ACPSZL'!$A:$A,$A117,'Budget-ACPSZL'!Z:Z)+SUMIF('Budget-ACPLSZ'!$A:$A,$A117,'Budget-ACPLSZ'!Z:Z)+SUMIF('Budget-ACPLGZ'!$A:$A,$A117,'Budget-ACPLGZ'!Z:Z)+SUMIF('Budget-Yixing'!$A:$A,$A117,'Budget-Yixing'!Z:Z)</f>
        <v>0</v>
      </c>
      <c r="AA117" s="688">
        <f ca="1">SUMIF('Budget-ACPL'!$A:$A,$A117,'Budget-ACPL'!AA:AA)+SUMIF('Budget-ACPLHK'!$A:$A,$A117,'Budget-ACPLHK'!AA:AA)+SUMIF('Budget-ACPSZL'!$A:$A,$A117,'Budget-ACPSZL'!AA:AA)+SUMIF('Budget-ACPLSZ'!$A:$A,$A117,'Budget-ACPLSZ'!AA:AA)+SUMIF('Budget-ACPLGZ'!$A:$A,$A117,'Budget-ACPLGZ'!AA:AA)+SUMIF('Budget-Yixing'!$A:$A,$A117,'Budget-Yixing'!AA:AA)</f>
        <v>0</v>
      </c>
      <c r="AB117" s="688">
        <f ca="1">SUMIF('Budget-ACPL'!$A:$A,$A117,'Budget-ACPL'!AB:AB)+SUMIF('Budget-ACPLHK'!$A:$A,$A117,'Budget-ACPLHK'!AB:AB)+SUMIF('Budget-ACPSZL'!$A:$A,$A117,'Budget-ACPSZL'!AB:AB)+SUMIF('Budget-ACPLSZ'!$A:$A,$A117,'Budget-ACPLSZ'!AB:AB)+SUMIF('Budget-ACPLGZ'!$A:$A,$A117,'Budget-ACPLGZ'!AB:AB)+SUMIF('Budget-Yixing'!$A:$A,$A117,'Budget-Yixing'!AB:AB)</f>
        <v>0</v>
      </c>
      <c r="AC117" s="688">
        <f ca="1">SUMIF('Budget-ACPL'!$A:$A,$A117,'Budget-ACPL'!AC:AC)+SUMIF('Budget-ACPLHK'!$A:$A,$A117,'Budget-ACPLHK'!AC:AC)+SUMIF('Budget-ACPSZL'!$A:$A,$A117,'Budget-ACPSZL'!AC:AC)+SUMIF('Budget-ACPLSZ'!$A:$A,$A117,'Budget-ACPLSZ'!AC:AC)+SUMIF('Budget-ACPLGZ'!$A:$A,$A117,'Budget-ACPLGZ'!AC:AC)+SUMIF('Budget-Yixing'!$A:$A,$A117,'Budget-Yixing'!AC:AC)</f>
        <v>0</v>
      </c>
      <c r="AD117" s="688">
        <f ca="1">SUMIF('Budget-ACPL'!$A:$A,$A117,'Budget-ACPL'!AD:AD)+SUMIF('Budget-ACPLHK'!$A:$A,$A117,'Budget-ACPLHK'!AD:AD)+SUMIF('Budget-ACPSZL'!$A:$A,$A117,'Budget-ACPSZL'!AD:AD)+SUMIF('Budget-ACPLSZ'!$A:$A,$A117,'Budget-ACPLSZ'!AD:AD)+SUMIF('Budget-ACPLGZ'!$A:$A,$A117,'Budget-ACPLGZ'!AD:AD)+SUMIF('Budget-Yixing'!$A:$A,$A117,'Budget-Yixing'!AD:AD)</f>
        <v>0</v>
      </c>
      <c r="AE117" s="688">
        <f ca="1">SUMIF('Budget-ACPL'!$A:$A,$A117,'Budget-ACPL'!AE:AE)+SUMIF('Budget-ACPLHK'!$A:$A,$A117,'Budget-ACPLHK'!AE:AE)+SUMIF('Budget-ACPSZL'!$A:$A,$A117,'Budget-ACPSZL'!AE:AE)+SUMIF('Budget-ACPLSZ'!$A:$A,$A117,'Budget-ACPLSZ'!AE:AE)+SUMIF('Budget-ACPLGZ'!$A:$A,$A117,'Budget-ACPLGZ'!AE:AE)+SUMIF('Budget-Yixing'!$A:$A,$A117,'Budget-Yixing'!AE:AE)</f>
        <v>0</v>
      </c>
      <c r="AF117" s="688">
        <f ca="1">SUMIF('Budget-ACPL'!$A:$A,$A117,'Budget-ACPL'!AF:AF)+SUMIF('Budget-ACPLHK'!$A:$A,$A117,'Budget-ACPLHK'!AF:AF)+SUMIF('Budget-ACPSZL'!$A:$A,$A117,'Budget-ACPSZL'!AF:AF)+SUMIF('Budget-ACPLSZ'!$A:$A,$A117,'Budget-ACPLSZ'!AF:AF)+SUMIF('Budget-ACPLGZ'!$A:$A,$A117,'Budget-ACPLGZ'!AF:AF)+SUMIF('Budget-Yixing'!$A:$A,$A117,'Budget-Yixing'!AF:AF)</f>
        <v>0</v>
      </c>
      <c r="AG117" s="688">
        <f ca="1">SUMIF('Budget-ACPL'!$A:$A,$A117,'Budget-ACPL'!AG:AG)+SUMIF('Budget-ACPLHK'!$A:$A,$A117,'Budget-ACPLHK'!AG:AG)+SUMIF('Budget-ACPSZL'!$A:$A,$A117,'Budget-ACPSZL'!AG:AG)+SUMIF('Budget-ACPLSZ'!$A:$A,$A117,'Budget-ACPLSZ'!AG:AG)+SUMIF('Budget-ACPLGZ'!$A:$A,$A117,'Budget-ACPLGZ'!AG:AG)+SUMIF('Budget-Yixing'!$A:$A,$A117,'Budget-Yixing'!AG:AG)</f>
        <v>0</v>
      </c>
      <c r="AH117" s="688">
        <f ca="1">SUMIF('Budget-ACPL'!$A:$A,$A117,'Budget-ACPL'!AH:AH)+SUMIF('Budget-ACPLHK'!$A:$A,$A117,'Budget-ACPLHK'!AH:AH)+SUMIF('Budget-ACPSZL'!$A:$A,$A117,'Budget-ACPSZL'!AH:AH)+SUMIF('Budget-ACPLSZ'!$A:$A,$A117,'Budget-ACPLSZ'!AH:AH)+SUMIF('Budget-ACPLGZ'!$A:$A,$A117,'Budget-ACPLGZ'!AH:AH)+SUMIF('Budget-Yixing'!$A:$A,$A117,'Budget-Yixing'!AH:AH)</f>
        <v>0</v>
      </c>
      <c r="AI117" s="688">
        <f ca="1">SUMIF('Budget-ACPL'!$A:$A,$A117,'Budget-ACPL'!AI:AI)+SUMIF('Budget-ACPLHK'!$A:$A,$A117,'Budget-ACPLHK'!AI:AI)+SUMIF('Budget-ACPSZL'!$A:$A,$A117,'Budget-ACPSZL'!AI:AI)+SUMIF('Budget-ACPLSZ'!$A:$A,$A117,'Budget-ACPLSZ'!AI:AI)+SUMIF('Budget-ACPLGZ'!$A:$A,$A117,'Budget-ACPLGZ'!AI:AI)+SUMIF('Budget-Yixing'!$A:$A,$A117,'Budget-Yixing'!AI:AI)</f>
        <v>0</v>
      </c>
      <c r="AJ117" s="688">
        <f ca="1">SUMIF('Budget-ACPL'!$A:$A,$A117,'Budget-ACPL'!AJ:AJ)+SUMIF('Budget-ACPLHK'!$A:$A,$A117,'Budget-ACPLHK'!AJ:AJ)+SUMIF('Budget-ACPSZL'!$A:$A,$A117,'Budget-ACPSZL'!AJ:AJ)+SUMIF('Budget-ACPLSZ'!$A:$A,$A117,'Budget-ACPLSZ'!AJ:AJ)+SUMIF('Budget-ACPLGZ'!$A:$A,$A117,'Budget-ACPLGZ'!AJ:AJ)+SUMIF('Budget-Yixing'!$A:$A,$A117,'Budget-Yixing'!AJ:AJ)</f>
        <v>0</v>
      </c>
      <c r="AK117" s="688">
        <f t="shared" ca="1" si="43"/>
        <v>0</v>
      </c>
    </row>
    <row r="118" spans="1:37" ht="11.1" hidden="1" customHeight="1">
      <c r="A118" s="713" t="s">
        <v>1721</v>
      </c>
      <c r="B118" s="687" t="str">
        <f>VLOOKUP(A118,Account!A:B,2,0)</f>
        <v>退改费用（机票/火车等）</v>
      </c>
      <c r="C118" s="687">
        <f>VLOOKUP(A118,Account!A:F,4,0)</f>
        <v>0</v>
      </c>
      <c r="D118" s="676">
        <f t="shared" ca="1" si="38"/>
        <v>0</v>
      </c>
      <c r="E118" s="676" t="e">
        <f t="shared" si="39"/>
        <v>#N/A</v>
      </c>
      <c r="F118" s="676" t="e">
        <f t="shared" ca="1" si="37"/>
        <v>#N/A</v>
      </c>
      <c r="G118" s="676">
        <f t="shared" ca="1" si="40"/>
        <v>0</v>
      </c>
      <c r="H118" s="676" t="e">
        <f t="shared" ca="1" si="41"/>
        <v>#N/A</v>
      </c>
      <c r="I118" s="676" t="e">
        <f t="shared" ca="1" si="42"/>
        <v>#N/A</v>
      </c>
      <c r="K118" s="676">
        <f ca="1">SUMIF('Budget-ACPL'!$A:$A,$A118,'Budget-ACPL'!K:K)+SUMIF('Budget-ACPLHK'!$A:$A,$A118,'Budget-ACPLHK'!K:K)+SUMIF('Budget-ACPSZL'!$A:$A,$A118,'Budget-ACPSZL'!K:K)+SUMIF('Budget-ACPLSZ'!$A:$A,$A118,'Budget-ACPLSZ'!K:K)+SUMIF('Budget-ACPLGZ'!$A:$A,$A118,'Budget-ACPLGZ'!K:K)+SUMIF('Budget-Yixing'!$A:$A,$A118,'Budget-Yixing'!K:K)</f>
        <v>0</v>
      </c>
      <c r="L118" s="676">
        <f ca="1">SUMIF('Budget-ACPL'!$A:$A,$A118,'Budget-ACPL'!L:L)+SUMIF('Budget-ACPLHK'!$A:$A,$A118,'Budget-ACPLHK'!L:L)+SUMIF('Budget-ACPSZL'!$A:$A,$A118,'Budget-ACPSZL'!L:L)+SUMIF('Budget-ACPLSZ'!$A:$A,$A118,'Budget-ACPLSZ'!L:L)+SUMIF('Budget-ACPLGZ'!$A:$A,$A118,'Budget-ACPLGZ'!L:L)+SUMIF('Budget-Yixing'!$A:$A,$A118,'Budget-Yixing'!L:L)</f>
        <v>0</v>
      </c>
      <c r="M118" s="676">
        <f ca="1">SUMIF('Budget-ACPL'!$A:$A,$A118,'Budget-ACPL'!M:M)+SUMIF('Budget-ACPLHK'!$A:$A,$A118,'Budget-ACPLHK'!M:M)+SUMIF('Budget-ACPSZL'!$A:$A,$A118,'Budget-ACPSZL'!M:M)+SUMIF('Budget-ACPLSZ'!$A:$A,$A118,'Budget-ACPLSZ'!M:M)+SUMIF('Budget-ACPLGZ'!$A:$A,$A118,'Budget-ACPLGZ'!M:M)+SUMIF('Budget-Yixing'!$A:$A,$A118,'Budget-Yixing'!M:M)</f>
        <v>0</v>
      </c>
      <c r="N118" s="676">
        <f ca="1">SUMIF('Budget-ACPL'!$A:$A,$A118,'Budget-ACPL'!N:N)+SUMIF('Budget-ACPLHK'!$A:$A,$A118,'Budget-ACPLHK'!N:N)+SUMIF('Budget-ACPSZL'!$A:$A,$A118,'Budget-ACPSZL'!N:N)+SUMIF('Budget-ACPLSZ'!$A:$A,$A118,'Budget-ACPLSZ'!N:N)+SUMIF('Budget-ACPLGZ'!$A:$A,$A118,'Budget-ACPLGZ'!N:N)+SUMIF('Budget-Yixing'!$A:$A,$A118,'Budget-Yixing'!N:N)</f>
        <v>0</v>
      </c>
      <c r="O118" s="676">
        <f ca="1">SUMIF('Budget-ACPL'!$A:$A,$A118,'Budget-ACPL'!O:O)+SUMIF('Budget-ACPLHK'!$A:$A,$A118,'Budget-ACPLHK'!O:O)+SUMIF('Budget-ACPSZL'!$A:$A,$A118,'Budget-ACPSZL'!O:O)+SUMIF('Budget-ACPLSZ'!$A:$A,$A118,'Budget-ACPLSZ'!O:O)+SUMIF('Budget-ACPLGZ'!$A:$A,$A118,'Budget-ACPLGZ'!O:O)+SUMIF('Budget-Yixing'!$A:$A,$A118,'Budget-Yixing'!O:O)</f>
        <v>0</v>
      </c>
      <c r="P118" s="676">
        <f ca="1">SUMIF('Budget-ACPL'!$A:$A,$A118,'Budget-ACPL'!P:P)+SUMIF('Budget-ACPLHK'!$A:$A,$A118,'Budget-ACPLHK'!P:P)+SUMIF('Budget-ACPSZL'!$A:$A,$A118,'Budget-ACPSZL'!P:P)+SUMIF('Budget-ACPLSZ'!$A:$A,$A118,'Budget-ACPLSZ'!P:P)+SUMIF('Budget-ACPLGZ'!$A:$A,$A118,'Budget-ACPLGZ'!P:P)+SUMIF('Budget-Yixing'!$A:$A,$A118,'Budget-Yixing'!P:P)</f>
        <v>0</v>
      </c>
      <c r="Q118" s="676">
        <f ca="1">SUMIF('Budget-ACPL'!$A:$A,$A118,'Budget-ACPL'!Q:Q)+SUMIF('Budget-ACPLHK'!$A:$A,$A118,'Budget-ACPLHK'!Q:Q)+SUMIF('Budget-ACPSZL'!$A:$A,$A118,'Budget-ACPSZL'!Q:Q)+SUMIF('Budget-ACPLSZ'!$A:$A,$A118,'Budget-ACPLSZ'!Q:Q)+SUMIF('Budget-ACPLGZ'!$A:$A,$A118,'Budget-ACPLGZ'!Q:Q)+SUMIF('Budget-Yixing'!$A:$A,$A118,'Budget-Yixing'!Q:Q)</f>
        <v>0</v>
      </c>
      <c r="R118" s="676">
        <f ca="1">SUMIF('Budget-ACPL'!$A:$A,$A118,'Budget-ACPL'!R:R)+SUMIF('Budget-ACPLHK'!$A:$A,$A118,'Budget-ACPLHK'!R:R)+SUMIF('Budget-ACPSZL'!$A:$A,$A118,'Budget-ACPSZL'!R:R)+SUMIF('Budget-ACPLSZ'!$A:$A,$A118,'Budget-ACPLSZ'!R:R)+SUMIF('Budget-ACPLGZ'!$A:$A,$A118,'Budget-ACPLGZ'!R:R)+SUMIF('Budget-Yixing'!$A:$A,$A118,'Budget-Yixing'!R:R)</f>
        <v>0</v>
      </c>
      <c r="S118" s="676">
        <f ca="1">SUMIF('Budget-ACPL'!$A:$A,$A118,'Budget-ACPL'!S:S)+SUMIF('Budget-ACPLHK'!$A:$A,$A118,'Budget-ACPLHK'!S:S)+SUMIF('Budget-ACPSZL'!$A:$A,$A118,'Budget-ACPSZL'!S:S)+SUMIF('Budget-ACPLSZ'!$A:$A,$A118,'Budget-ACPLSZ'!S:S)+SUMIF('Budget-ACPLGZ'!$A:$A,$A118,'Budget-ACPLGZ'!S:S)+SUMIF('Budget-Yixing'!$A:$A,$A118,'Budget-Yixing'!S:S)</f>
        <v>0</v>
      </c>
      <c r="T118" s="676">
        <f ca="1">SUMIF('Budget-ACPL'!$A:$A,$A118,'Budget-ACPL'!T:T)+SUMIF('Budget-ACPLHK'!$A:$A,$A118,'Budget-ACPLHK'!T:T)+SUMIF('Budget-ACPSZL'!$A:$A,$A118,'Budget-ACPSZL'!T:T)+SUMIF('Budget-ACPLSZ'!$A:$A,$A118,'Budget-ACPLSZ'!T:T)+SUMIF('Budget-ACPLGZ'!$A:$A,$A118,'Budget-ACPLGZ'!T:T)+SUMIF('Budget-Yixing'!$A:$A,$A118,'Budget-Yixing'!T:T)</f>
        <v>0</v>
      </c>
      <c r="U118" s="676">
        <f ca="1">SUMIF('Budget-ACPL'!$A:$A,$A118,'Budget-ACPL'!U:U)+SUMIF('Budget-ACPLHK'!$A:$A,$A118,'Budget-ACPLHK'!U:U)+SUMIF('Budget-ACPSZL'!$A:$A,$A118,'Budget-ACPSZL'!U:U)+SUMIF('Budget-ACPLSZ'!$A:$A,$A118,'Budget-ACPLSZ'!U:U)+SUMIF('Budget-ACPLGZ'!$A:$A,$A118,'Budget-ACPLGZ'!U:U)+SUMIF('Budget-Yixing'!$A:$A,$A118,'Budget-Yixing'!U:U)</f>
        <v>0</v>
      </c>
      <c r="V118" s="676">
        <f ca="1">SUMIF('Budget-ACPL'!$A:$A,$A118,'Budget-ACPL'!V:V)+SUMIF('Budget-ACPLHK'!$A:$A,$A118,'Budget-ACPLHK'!V:V)+SUMIF('Budget-ACPSZL'!$A:$A,$A118,'Budget-ACPSZL'!V:V)+SUMIF('Budget-ACPLSZ'!$A:$A,$A118,'Budget-ACPLSZ'!V:V)+SUMIF('Budget-ACPLGZ'!$A:$A,$A118,'Budget-ACPLGZ'!V:V)+SUMIF('Budget-Yixing'!$A:$A,$A118,'Budget-Yixing'!V:V)</f>
        <v>0</v>
      </c>
      <c r="W118" s="676">
        <f t="shared" ca="1" si="44"/>
        <v>0</v>
      </c>
      <c r="Y118" s="688">
        <f ca="1">SUMIF('Budget-ACPL'!$A:$A,$A118,'Budget-ACPL'!Y:Y)+SUMIF('Budget-ACPLHK'!$A:$A,$A118,'Budget-ACPLHK'!Y:Y)+SUMIF('Budget-ACPSZL'!$A:$A,$A118,'Budget-ACPSZL'!Y:Y)+SUMIF('Budget-ACPLSZ'!$A:$A,$A118,'Budget-ACPLSZ'!Y:Y)+SUMIF('Budget-ACPLGZ'!$A:$A,$A118,'Budget-ACPLGZ'!Y:Y)+SUMIF('Budget-Yixing'!$A:$A,$A118,'Budget-Yixing'!Y:Y)</f>
        <v>0</v>
      </c>
      <c r="Z118" s="688">
        <f ca="1">SUMIF('Budget-ACPL'!$A:$A,$A118,'Budget-ACPL'!Z:Z)+SUMIF('Budget-ACPLHK'!$A:$A,$A118,'Budget-ACPLHK'!Z:Z)+SUMIF('Budget-ACPSZL'!$A:$A,$A118,'Budget-ACPSZL'!Z:Z)+SUMIF('Budget-ACPLSZ'!$A:$A,$A118,'Budget-ACPLSZ'!Z:Z)+SUMIF('Budget-ACPLGZ'!$A:$A,$A118,'Budget-ACPLGZ'!Z:Z)+SUMIF('Budget-Yixing'!$A:$A,$A118,'Budget-Yixing'!Z:Z)</f>
        <v>0</v>
      </c>
      <c r="AA118" s="688">
        <f ca="1">SUMIF('Budget-ACPL'!$A:$A,$A118,'Budget-ACPL'!AA:AA)+SUMIF('Budget-ACPLHK'!$A:$A,$A118,'Budget-ACPLHK'!AA:AA)+SUMIF('Budget-ACPSZL'!$A:$A,$A118,'Budget-ACPSZL'!AA:AA)+SUMIF('Budget-ACPLSZ'!$A:$A,$A118,'Budget-ACPLSZ'!AA:AA)+SUMIF('Budget-ACPLGZ'!$A:$A,$A118,'Budget-ACPLGZ'!AA:AA)+SUMIF('Budget-Yixing'!$A:$A,$A118,'Budget-Yixing'!AA:AA)</f>
        <v>0</v>
      </c>
      <c r="AB118" s="688">
        <f ca="1">SUMIF('Budget-ACPL'!$A:$A,$A118,'Budget-ACPL'!AB:AB)+SUMIF('Budget-ACPLHK'!$A:$A,$A118,'Budget-ACPLHK'!AB:AB)+SUMIF('Budget-ACPSZL'!$A:$A,$A118,'Budget-ACPSZL'!AB:AB)+SUMIF('Budget-ACPLSZ'!$A:$A,$A118,'Budget-ACPLSZ'!AB:AB)+SUMIF('Budget-ACPLGZ'!$A:$A,$A118,'Budget-ACPLGZ'!AB:AB)+SUMIF('Budget-Yixing'!$A:$A,$A118,'Budget-Yixing'!AB:AB)</f>
        <v>0</v>
      </c>
      <c r="AC118" s="688">
        <f ca="1">SUMIF('Budget-ACPL'!$A:$A,$A118,'Budget-ACPL'!AC:AC)+SUMIF('Budget-ACPLHK'!$A:$A,$A118,'Budget-ACPLHK'!AC:AC)+SUMIF('Budget-ACPSZL'!$A:$A,$A118,'Budget-ACPSZL'!AC:AC)+SUMIF('Budget-ACPLSZ'!$A:$A,$A118,'Budget-ACPLSZ'!AC:AC)+SUMIF('Budget-ACPLGZ'!$A:$A,$A118,'Budget-ACPLGZ'!AC:AC)+SUMIF('Budget-Yixing'!$A:$A,$A118,'Budget-Yixing'!AC:AC)</f>
        <v>333</v>
      </c>
      <c r="AD118" s="688">
        <f ca="1">SUMIF('Budget-ACPL'!$A:$A,$A118,'Budget-ACPL'!AD:AD)+SUMIF('Budget-ACPLHK'!$A:$A,$A118,'Budget-ACPLHK'!AD:AD)+SUMIF('Budget-ACPSZL'!$A:$A,$A118,'Budget-ACPSZL'!AD:AD)+SUMIF('Budget-ACPLSZ'!$A:$A,$A118,'Budget-ACPLSZ'!AD:AD)+SUMIF('Budget-ACPLGZ'!$A:$A,$A118,'Budget-ACPLGZ'!AD:AD)+SUMIF('Budget-Yixing'!$A:$A,$A118,'Budget-Yixing'!AD:AD)</f>
        <v>0</v>
      </c>
      <c r="AE118" s="688">
        <f ca="1">SUMIF('Budget-ACPL'!$A:$A,$A118,'Budget-ACPL'!AE:AE)+SUMIF('Budget-ACPLHK'!$A:$A,$A118,'Budget-ACPLHK'!AE:AE)+SUMIF('Budget-ACPSZL'!$A:$A,$A118,'Budget-ACPSZL'!AE:AE)+SUMIF('Budget-ACPLSZ'!$A:$A,$A118,'Budget-ACPLSZ'!AE:AE)+SUMIF('Budget-ACPLGZ'!$A:$A,$A118,'Budget-ACPLGZ'!AE:AE)+SUMIF('Budget-Yixing'!$A:$A,$A118,'Budget-Yixing'!AE:AE)</f>
        <v>167</v>
      </c>
      <c r="AF118" s="688">
        <f ca="1">SUMIF('Budget-ACPL'!$A:$A,$A118,'Budget-ACPL'!AF:AF)+SUMIF('Budget-ACPLHK'!$A:$A,$A118,'Budget-ACPLHK'!AF:AF)+SUMIF('Budget-ACPSZL'!$A:$A,$A118,'Budget-ACPSZL'!AF:AF)+SUMIF('Budget-ACPLSZ'!$A:$A,$A118,'Budget-ACPLSZ'!AF:AF)+SUMIF('Budget-ACPLGZ'!$A:$A,$A118,'Budget-ACPLGZ'!AF:AF)+SUMIF('Budget-Yixing'!$A:$A,$A118,'Budget-Yixing'!AF:AF)</f>
        <v>38.68</v>
      </c>
      <c r="AG118" s="688">
        <f ca="1">SUMIF('Budget-ACPL'!$A:$A,$A118,'Budget-ACPL'!AG:AG)+SUMIF('Budget-ACPLHK'!$A:$A,$A118,'Budget-ACPLHK'!AG:AG)+SUMIF('Budget-ACPSZL'!$A:$A,$A118,'Budget-ACPSZL'!AG:AG)+SUMIF('Budget-ACPLSZ'!$A:$A,$A118,'Budget-ACPLSZ'!AG:AG)+SUMIF('Budget-ACPLGZ'!$A:$A,$A118,'Budget-ACPLGZ'!AG:AG)+SUMIF('Budget-Yixing'!$A:$A,$A118,'Budget-Yixing'!AG:AG)</f>
        <v>0</v>
      </c>
      <c r="AH118" s="688">
        <f ca="1">SUMIF('Budget-ACPL'!$A:$A,$A118,'Budget-ACPL'!AH:AH)+SUMIF('Budget-ACPLHK'!$A:$A,$A118,'Budget-ACPLHK'!AH:AH)+SUMIF('Budget-ACPSZL'!$A:$A,$A118,'Budget-ACPSZL'!AH:AH)+SUMIF('Budget-ACPLSZ'!$A:$A,$A118,'Budget-ACPLSZ'!AH:AH)+SUMIF('Budget-ACPLGZ'!$A:$A,$A118,'Budget-ACPLGZ'!AH:AH)+SUMIF('Budget-Yixing'!$A:$A,$A118,'Budget-Yixing'!AH:AH)</f>
        <v>0</v>
      </c>
      <c r="AI118" s="688">
        <f ca="1">SUMIF('Budget-ACPL'!$A:$A,$A118,'Budget-ACPL'!AI:AI)+SUMIF('Budget-ACPLHK'!$A:$A,$A118,'Budget-ACPLHK'!AI:AI)+SUMIF('Budget-ACPSZL'!$A:$A,$A118,'Budget-ACPSZL'!AI:AI)+SUMIF('Budget-ACPLSZ'!$A:$A,$A118,'Budget-ACPLSZ'!AI:AI)+SUMIF('Budget-ACPLGZ'!$A:$A,$A118,'Budget-ACPLGZ'!AI:AI)+SUMIF('Budget-Yixing'!$A:$A,$A118,'Budget-Yixing'!AI:AI)</f>
        <v>0</v>
      </c>
      <c r="AJ118" s="688">
        <f ca="1">SUMIF('Budget-ACPL'!$A:$A,$A118,'Budget-ACPL'!AJ:AJ)+SUMIF('Budget-ACPLHK'!$A:$A,$A118,'Budget-ACPLHK'!AJ:AJ)+SUMIF('Budget-ACPSZL'!$A:$A,$A118,'Budget-ACPSZL'!AJ:AJ)+SUMIF('Budget-ACPLSZ'!$A:$A,$A118,'Budget-ACPLSZ'!AJ:AJ)+SUMIF('Budget-ACPLGZ'!$A:$A,$A118,'Budget-ACPLGZ'!AJ:AJ)+SUMIF('Budget-Yixing'!$A:$A,$A118,'Budget-Yixing'!AJ:AJ)</f>
        <v>0</v>
      </c>
      <c r="AK118" s="688">
        <f t="shared" ca="1" si="43"/>
        <v>538.67999999999995</v>
      </c>
    </row>
    <row r="119" spans="1:37" ht="11.1" hidden="1" customHeight="1">
      <c r="A119" s="718">
        <f>$A$76</f>
        <v>0</v>
      </c>
      <c r="B119" s="687" t="s">
        <v>2538</v>
      </c>
      <c r="C119" s="687" t="s">
        <v>2511</v>
      </c>
      <c r="D119" s="676">
        <f t="shared" si="38"/>
        <v>0</v>
      </c>
      <c r="E119" s="676" t="e">
        <f t="shared" si="39"/>
        <v>#N/A</v>
      </c>
      <c r="F119" s="676" t="e">
        <f t="shared" si="37"/>
        <v>#N/A</v>
      </c>
      <c r="G119" s="676">
        <f t="shared" ca="1" si="40"/>
        <v>0</v>
      </c>
      <c r="H119" s="676" t="e">
        <f t="shared" ca="1" si="41"/>
        <v>#N/A</v>
      </c>
      <c r="I119" s="676" t="e">
        <f t="shared" ca="1" si="42"/>
        <v>#N/A</v>
      </c>
      <c r="K119" s="676">
        <f>SUMIF('Budget-ACPL'!$B:$B,$B119,'Budget-ACPL'!K:K)+SUMIF('Budget-ACPLHK'!$B:$B,$B119,'Budget-ACPLHK'!K:K)+SUMIF('Budget-ACPSZL'!$B:$B,$B119,'Budget-ACPSZL'!K:K)+SUMIF('Budget-ACPLSZ'!$B:$B,$B119,'Budget-ACPLSZ'!K:K)</f>
        <v>0</v>
      </c>
      <c r="L119" s="676">
        <f>SUMIF('Budget-ACPL'!$B:$B,$B119,'Budget-ACPL'!L:L)+SUMIF('Budget-ACPLHK'!$B:$B,$B119,'Budget-ACPLHK'!L:L)+SUMIF('Budget-ACPSZL'!$B:$B,$B119,'Budget-ACPSZL'!L:L)+SUMIF('Budget-ACPLSZ'!$B:$B,$B119,'Budget-ACPLSZ'!L:L)</f>
        <v>0</v>
      </c>
      <c r="M119" s="676">
        <f>SUMIF('Budget-ACPL'!$B:$B,$B119,'Budget-ACPL'!M:M)+SUMIF('Budget-ACPLHK'!$B:$B,$B119,'Budget-ACPLHK'!M:M)+SUMIF('Budget-ACPSZL'!$B:$B,$B119,'Budget-ACPSZL'!M:M)+SUMIF('Budget-ACPLSZ'!$B:$B,$B119,'Budget-ACPLSZ'!M:M)</f>
        <v>0</v>
      </c>
      <c r="N119" s="676">
        <f>SUMIF('Budget-ACPL'!$B:$B,$B119,'Budget-ACPL'!N:N)+SUMIF('Budget-ACPLHK'!$B:$B,$B119,'Budget-ACPLHK'!N:N)+SUMIF('Budget-ACPSZL'!$B:$B,$B119,'Budget-ACPSZL'!N:N)+SUMIF('Budget-ACPLSZ'!$B:$B,$B119,'Budget-ACPLSZ'!N:N)</f>
        <v>0</v>
      </c>
      <c r="O119" s="676">
        <f>SUMIF('Budget-ACPL'!$B:$B,$B119,'Budget-ACPL'!O:O)+SUMIF('Budget-ACPLHK'!$B:$B,$B119,'Budget-ACPLHK'!O:O)+SUMIF('Budget-ACPSZL'!$B:$B,$B119,'Budget-ACPSZL'!O:O)+SUMIF('Budget-ACPLSZ'!$B:$B,$B119,'Budget-ACPLSZ'!O:O)</f>
        <v>0</v>
      </c>
      <c r="P119" s="676">
        <f>SUMIF('Budget-ACPL'!$B:$B,$B119,'Budget-ACPL'!P:P)+SUMIF('Budget-ACPLHK'!$B:$B,$B119,'Budget-ACPLHK'!P:P)+SUMIF('Budget-ACPSZL'!$B:$B,$B119,'Budget-ACPSZL'!P:P)+SUMIF('Budget-ACPLSZ'!$B:$B,$B119,'Budget-ACPLSZ'!P:P)</f>
        <v>0</v>
      </c>
      <c r="Q119" s="676">
        <f>SUMIF('Budget-ACPL'!$B:$B,$B119,'Budget-ACPL'!Q:Q)+SUMIF('Budget-ACPLHK'!$B:$B,$B119,'Budget-ACPLHK'!Q:Q)+SUMIF('Budget-ACPSZL'!$B:$B,$B119,'Budget-ACPSZL'!Q:Q)+SUMIF('Budget-ACPLSZ'!$B:$B,$B119,'Budget-ACPLSZ'!Q:Q)</f>
        <v>0</v>
      </c>
      <c r="R119" s="676">
        <f>SUMIF('Budget-ACPL'!$B:$B,$B119,'Budget-ACPL'!R:R)+SUMIF('Budget-ACPLHK'!$B:$B,$B119,'Budget-ACPLHK'!R:R)+SUMIF('Budget-ACPSZL'!$B:$B,$B119,'Budget-ACPSZL'!R:R)+SUMIF('Budget-ACPLSZ'!$B:$B,$B119,'Budget-ACPLSZ'!R:R)</f>
        <v>0</v>
      </c>
      <c r="S119" s="676">
        <f>SUMIF('Budget-ACPL'!$B:$B,$B119,'Budget-ACPL'!S:S)+SUMIF('Budget-ACPLHK'!$B:$B,$B119,'Budget-ACPLHK'!S:S)+SUMIF('Budget-ACPSZL'!$B:$B,$B119,'Budget-ACPSZL'!S:S)+SUMIF('Budget-ACPLSZ'!$B:$B,$B119,'Budget-ACPLSZ'!S:S)</f>
        <v>0</v>
      </c>
      <c r="T119" s="676">
        <f>SUMIF('Budget-ACPL'!$B:$B,$B119,'Budget-ACPL'!T:T)+SUMIF('Budget-ACPLHK'!$B:$B,$B119,'Budget-ACPLHK'!T:T)+SUMIF('Budget-ACPSZL'!$B:$B,$B119,'Budget-ACPSZL'!T:T)+SUMIF('Budget-ACPLSZ'!$B:$B,$B119,'Budget-ACPLSZ'!T:T)</f>
        <v>0</v>
      </c>
      <c r="U119" s="676">
        <f>SUMIF('Budget-ACPL'!$B:$B,$B119,'Budget-ACPL'!U:U)+SUMIF('Budget-ACPLHK'!$B:$B,$B119,'Budget-ACPLHK'!U:U)+SUMIF('Budget-ACPSZL'!$B:$B,$B119,'Budget-ACPSZL'!U:U)+SUMIF('Budget-ACPLSZ'!$B:$B,$B119,'Budget-ACPLSZ'!U:U)</f>
        <v>0</v>
      </c>
      <c r="V119" s="676">
        <f>SUMIF('Budget-ACPL'!$B:$B,$B119,'Budget-ACPL'!V:V)+SUMIF('Budget-ACPLHK'!$B:$B,$B119,'Budget-ACPLHK'!V:V)+SUMIF('Budget-ACPSZL'!$B:$B,$B119,'Budget-ACPSZL'!V:V)+SUMIF('Budget-ACPLSZ'!$B:$B,$B119,'Budget-ACPLSZ'!V:V)</f>
        <v>0</v>
      </c>
      <c r="W119" s="676">
        <f t="shared" si="44"/>
        <v>0</v>
      </c>
      <c r="Y119" s="688"/>
      <c r="Z119" s="688"/>
      <c r="AA119" s="688"/>
      <c r="AB119" s="688"/>
      <c r="AC119" s="688"/>
      <c r="AD119" s="688"/>
      <c r="AE119" s="688"/>
      <c r="AF119" s="688"/>
      <c r="AG119" s="688"/>
      <c r="AH119" s="688"/>
      <c r="AI119" s="688"/>
      <c r="AJ119" s="688"/>
      <c r="AK119" s="688">
        <f t="shared" si="43"/>
        <v>0</v>
      </c>
    </row>
    <row r="120" spans="1:37" ht="11.1" hidden="1" customHeight="1">
      <c r="A120" s="718">
        <f>$A$77</f>
        <v>0</v>
      </c>
      <c r="B120" s="687" t="s">
        <v>2539</v>
      </c>
      <c r="C120" s="687" t="s">
        <v>2513</v>
      </c>
      <c r="D120" s="676">
        <f t="shared" si="38"/>
        <v>0</v>
      </c>
      <c r="E120" s="676" t="e">
        <f t="shared" si="39"/>
        <v>#N/A</v>
      </c>
      <c r="F120" s="676" t="e">
        <f t="shared" si="37"/>
        <v>#N/A</v>
      </c>
      <c r="G120" s="676">
        <f t="shared" ca="1" si="40"/>
        <v>0</v>
      </c>
      <c r="H120" s="676" t="e">
        <f t="shared" ca="1" si="41"/>
        <v>#N/A</v>
      </c>
      <c r="I120" s="676" t="e">
        <f t="shared" ca="1" si="42"/>
        <v>#N/A</v>
      </c>
      <c r="K120" s="676">
        <f>SUMIF('Budget-ACPL'!$B:$B,$B120,'Budget-ACPL'!K:K)+SUMIF('Budget-ACPLHK'!$B:$B,$B120,'Budget-ACPLHK'!K:K)+SUMIF('Budget-ACPSZL'!$B:$B,$B120,'Budget-ACPSZL'!K:K)+SUMIF('Budget-ACPLSZ'!$B:$B,$B120,'Budget-ACPLSZ'!K:K)</f>
        <v>0</v>
      </c>
      <c r="L120" s="676">
        <f>SUMIF('Budget-ACPL'!$B:$B,$B120,'Budget-ACPL'!L:L)+SUMIF('Budget-ACPLHK'!$B:$B,$B120,'Budget-ACPLHK'!L:L)+SUMIF('Budget-ACPSZL'!$B:$B,$B120,'Budget-ACPSZL'!L:L)+SUMIF('Budget-ACPLSZ'!$B:$B,$B120,'Budget-ACPLSZ'!L:L)</f>
        <v>0</v>
      </c>
      <c r="M120" s="676">
        <f>SUMIF('Budget-ACPL'!$B:$B,$B120,'Budget-ACPL'!M:M)+SUMIF('Budget-ACPLHK'!$B:$B,$B120,'Budget-ACPLHK'!M:M)+SUMIF('Budget-ACPSZL'!$B:$B,$B120,'Budget-ACPSZL'!M:M)+SUMIF('Budget-ACPLSZ'!$B:$B,$B120,'Budget-ACPLSZ'!M:M)</f>
        <v>0</v>
      </c>
      <c r="N120" s="676">
        <f>SUMIF('Budget-ACPL'!$B:$B,$B120,'Budget-ACPL'!N:N)+SUMIF('Budget-ACPLHK'!$B:$B,$B120,'Budget-ACPLHK'!N:N)+SUMIF('Budget-ACPSZL'!$B:$B,$B120,'Budget-ACPSZL'!N:N)+SUMIF('Budget-ACPLSZ'!$B:$B,$B120,'Budget-ACPLSZ'!N:N)</f>
        <v>0</v>
      </c>
      <c r="O120" s="676">
        <f>SUMIF('Budget-ACPL'!$B:$B,$B120,'Budget-ACPL'!O:O)+SUMIF('Budget-ACPLHK'!$B:$B,$B120,'Budget-ACPLHK'!O:O)+SUMIF('Budget-ACPSZL'!$B:$B,$B120,'Budget-ACPSZL'!O:O)+SUMIF('Budget-ACPLSZ'!$B:$B,$B120,'Budget-ACPLSZ'!O:O)</f>
        <v>0</v>
      </c>
      <c r="P120" s="676">
        <f>SUMIF('Budget-ACPL'!$B:$B,$B120,'Budget-ACPL'!P:P)+SUMIF('Budget-ACPLHK'!$B:$B,$B120,'Budget-ACPLHK'!P:P)+SUMIF('Budget-ACPSZL'!$B:$B,$B120,'Budget-ACPSZL'!P:P)+SUMIF('Budget-ACPLSZ'!$B:$B,$B120,'Budget-ACPLSZ'!P:P)</f>
        <v>0</v>
      </c>
      <c r="Q120" s="676">
        <f>SUMIF('Budget-ACPL'!$B:$B,$B120,'Budget-ACPL'!Q:Q)+SUMIF('Budget-ACPLHK'!$B:$B,$B120,'Budget-ACPLHK'!Q:Q)+SUMIF('Budget-ACPSZL'!$B:$B,$B120,'Budget-ACPSZL'!Q:Q)+SUMIF('Budget-ACPLSZ'!$B:$B,$B120,'Budget-ACPLSZ'!Q:Q)</f>
        <v>0</v>
      </c>
      <c r="R120" s="676">
        <f>SUMIF('Budget-ACPL'!$B:$B,$B120,'Budget-ACPL'!R:R)+SUMIF('Budget-ACPLHK'!$B:$B,$B120,'Budget-ACPLHK'!R:R)+SUMIF('Budget-ACPSZL'!$B:$B,$B120,'Budget-ACPSZL'!R:R)+SUMIF('Budget-ACPLSZ'!$B:$B,$B120,'Budget-ACPLSZ'!R:R)</f>
        <v>0</v>
      </c>
      <c r="S120" s="676">
        <f>SUMIF('Budget-ACPL'!$B:$B,$B120,'Budget-ACPL'!S:S)+SUMIF('Budget-ACPLHK'!$B:$B,$B120,'Budget-ACPLHK'!S:S)+SUMIF('Budget-ACPSZL'!$B:$B,$B120,'Budget-ACPSZL'!S:S)+SUMIF('Budget-ACPLSZ'!$B:$B,$B120,'Budget-ACPLSZ'!S:S)</f>
        <v>0</v>
      </c>
      <c r="T120" s="676">
        <f>SUMIF('Budget-ACPL'!$B:$B,$B120,'Budget-ACPL'!T:T)+SUMIF('Budget-ACPLHK'!$B:$B,$B120,'Budget-ACPLHK'!T:T)+SUMIF('Budget-ACPSZL'!$B:$B,$B120,'Budget-ACPSZL'!T:T)+SUMIF('Budget-ACPLSZ'!$B:$B,$B120,'Budget-ACPLSZ'!T:T)</f>
        <v>0</v>
      </c>
      <c r="U120" s="676">
        <f>SUMIF('Budget-ACPL'!$B:$B,$B120,'Budget-ACPL'!U:U)+SUMIF('Budget-ACPLHK'!$B:$B,$B120,'Budget-ACPLHK'!U:U)+SUMIF('Budget-ACPSZL'!$B:$B,$B120,'Budget-ACPSZL'!U:U)+SUMIF('Budget-ACPLSZ'!$B:$B,$B120,'Budget-ACPLSZ'!U:U)</f>
        <v>0</v>
      </c>
      <c r="V120" s="676">
        <f>SUMIF('Budget-ACPL'!$B:$B,$B120,'Budget-ACPL'!V:V)+SUMIF('Budget-ACPLHK'!$B:$B,$B120,'Budget-ACPLHK'!V:V)+SUMIF('Budget-ACPSZL'!$B:$B,$B120,'Budget-ACPSZL'!V:V)+SUMIF('Budget-ACPLSZ'!$B:$B,$B120,'Budget-ACPLSZ'!V:V)</f>
        <v>0</v>
      </c>
      <c r="W120" s="676">
        <f t="shared" si="44"/>
        <v>0</v>
      </c>
      <c r="Y120" s="688"/>
      <c r="Z120" s="688"/>
      <c r="AA120" s="688"/>
      <c r="AB120" s="688"/>
      <c r="AC120" s="688"/>
      <c r="AD120" s="688"/>
      <c r="AE120" s="688"/>
      <c r="AF120" s="688"/>
      <c r="AG120" s="688"/>
      <c r="AH120" s="688"/>
      <c r="AI120" s="688"/>
      <c r="AJ120" s="688"/>
      <c r="AK120" s="688">
        <f t="shared" si="43"/>
        <v>0</v>
      </c>
    </row>
    <row r="121" spans="1:37" ht="11.1" hidden="1" customHeight="1">
      <c r="A121" s="718">
        <f>$A$78</f>
        <v>0</v>
      </c>
      <c r="B121" s="687" t="s">
        <v>2540</v>
      </c>
      <c r="C121" s="687" t="s">
        <v>2515</v>
      </c>
      <c r="D121" s="676">
        <f t="shared" si="38"/>
        <v>0</v>
      </c>
      <c r="E121" s="676" t="e">
        <f t="shared" si="39"/>
        <v>#N/A</v>
      </c>
      <c r="F121" s="676" t="e">
        <f t="shared" si="37"/>
        <v>#N/A</v>
      </c>
      <c r="G121" s="676">
        <f t="shared" ca="1" si="40"/>
        <v>0</v>
      </c>
      <c r="H121" s="676" t="e">
        <f t="shared" ca="1" si="41"/>
        <v>#N/A</v>
      </c>
      <c r="I121" s="676" t="e">
        <f t="shared" ca="1" si="42"/>
        <v>#N/A</v>
      </c>
      <c r="K121" s="676">
        <f>SUMIF('Budget-ACPL'!$B:$B,$B121,'Budget-ACPL'!K:K)+SUMIF('Budget-ACPLHK'!$B:$B,$B121,'Budget-ACPLHK'!K:K)+SUMIF('Budget-ACPSZL'!$B:$B,$B121,'Budget-ACPSZL'!K:K)+SUMIF('Budget-ACPLSZ'!$B:$B,$B121,'Budget-ACPLSZ'!K:K)</f>
        <v>0</v>
      </c>
      <c r="L121" s="676">
        <f>SUMIF('Budget-ACPL'!$B:$B,$B121,'Budget-ACPL'!L:L)+SUMIF('Budget-ACPLHK'!$B:$B,$B121,'Budget-ACPLHK'!L:L)+SUMIF('Budget-ACPSZL'!$B:$B,$B121,'Budget-ACPSZL'!L:L)+SUMIF('Budget-ACPLSZ'!$B:$B,$B121,'Budget-ACPLSZ'!L:L)</f>
        <v>0</v>
      </c>
      <c r="M121" s="676">
        <f>SUMIF('Budget-ACPL'!$B:$B,$B121,'Budget-ACPL'!M:M)+SUMIF('Budget-ACPLHK'!$B:$B,$B121,'Budget-ACPLHK'!M:M)+SUMIF('Budget-ACPSZL'!$B:$B,$B121,'Budget-ACPSZL'!M:M)+SUMIF('Budget-ACPLSZ'!$B:$B,$B121,'Budget-ACPLSZ'!M:M)</f>
        <v>0</v>
      </c>
      <c r="N121" s="676">
        <f>SUMIF('Budget-ACPL'!$B:$B,$B121,'Budget-ACPL'!N:N)+SUMIF('Budget-ACPLHK'!$B:$B,$B121,'Budget-ACPLHK'!N:N)+SUMIF('Budget-ACPSZL'!$B:$B,$B121,'Budget-ACPSZL'!N:N)+SUMIF('Budget-ACPLSZ'!$B:$B,$B121,'Budget-ACPLSZ'!N:N)</f>
        <v>0</v>
      </c>
      <c r="O121" s="676">
        <f>SUMIF('Budget-ACPL'!$B:$B,$B121,'Budget-ACPL'!O:O)+SUMIF('Budget-ACPLHK'!$B:$B,$B121,'Budget-ACPLHK'!O:O)+SUMIF('Budget-ACPSZL'!$B:$B,$B121,'Budget-ACPSZL'!O:O)+SUMIF('Budget-ACPLSZ'!$B:$B,$B121,'Budget-ACPLSZ'!O:O)</f>
        <v>0</v>
      </c>
      <c r="P121" s="676">
        <f>SUMIF('Budget-ACPL'!$B:$B,$B121,'Budget-ACPL'!P:P)+SUMIF('Budget-ACPLHK'!$B:$B,$B121,'Budget-ACPLHK'!P:P)+SUMIF('Budget-ACPSZL'!$B:$B,$B121,'Budget-ACPSZL'!P:P)+SUMIF('Budget-ACPLSZ'!$B:$B,$B121,'Budget-ACPLSZ'!P:P)</f>
        <v>0</v>
      </c>
      <c r="Q121" s="676">
        <f>SUMIF('Budget-ACPL'!$B:$B,$B121,'Budget-ACPL'!Q:Q)+SUMIF('Budget-ACPLHK'!$B:$B,$B121,'Budget-ACPLHK'!Q:Q)+SUMIF('Budget-ACPSZL'!$B:$B,$B121,'Budget-ACPSZL'!Q:Q)+SUMIF('Budget-ACPLSZ'!$B:$B,$B121,'Budget-ACPLSZ'!Q:Q)</f>
        <v>0</v>
      </c>
      <c r="R121" s="676">
        <f>SUMIF('Budget-ACPL'!$B:$B,$B121,'Budget-ACPL'!R:R)+SUMIF('Budget-ACPLHK'!$B:$B,$B121,'Budget-ACPLHK'!R:R)+SUMIF('Budget-ACPSZL'!$B:$B,$B121,'Budget-ACPSZL'!R:R)+SUMIF('Budget-ACPLSZ'!$B:$B,$B121,'Budget-ACPLSZ'!R:R)</f>
        <v>0</v>
      </c>
      <c r="S121" s="676">
        <f>SUMIF('Budget-ACPL'!$B:$B,$B121,'Budget-ACPL'!S:S)+SUMIF('Budget-ACPLHK'!$B:$B,$B121,'Budget-ACPLHK'!S:S)+SUMIF('Budget-ACPSZL'!$B:$B,$B121,'Budget-ACPSZL'!S:S)+SUMIF('Budget-ACPLSZ'!$B:$B,$B121,'Budget-ACPLSZ'!S:S)</f>
        <v>0</v>
      </c>
      <c r="T121" s="676">
        <f>SUMIF('Budget-ACPL'!$B:$B,$B121,'Budget-ACPL'!T:T)+SUMIF('Budget-ACPLHK'!$B:$B,$B121,'Budget-ACPLHK'!T:T)+SUMIF('Budget-ACPSZL'!$B:$B,$B121,'Budget-ACPSZL'!T:T)+SUMIF('Budget-ACPLSZ'!$B:$B,$B121,'Budget-ACPLSZ'!T:T)</f>
        <v>0</v>
      </c>
      <c r="U121" s="676">
        <f>SUMIF('Budget-ACPL'!$B:$B,$B121,'Budget-ACPL'!U:U)+SUMIF('Budget-ACPLHK'!$B:$B,$B121,'Budget-ACPLHK'!U:U)+SUMIF('Budget-ACPSZL'!$B:$B,$B121,'Budget-ACPSZL'!U:U)+SUMIF('Budget-ACPLSZ'!$B:$B,$B121,'Budget-ACPLSZ'!U:U)</f>
        <v>0</v>
      </c>
      <c r="V121" s="676">
        <f>SUMIF('Budget-ACPL'!$B:$B,$B121,'Budget-ACPL'!V:V)+SUMIF('Budget-ACPLHK'!$B:$B,$B121,'Budget-ACPLHK'!V:V)+SUMIF('Budget-ACPSZL'!$B:$B,$B121,'Budget-ACPSZL'!V:V)+SUMIF('Budget-ACPLSZ'!$B:$B,$B121,'Budget-ACPLSZ'!V:V)</f>
        <v>0</v>
      </c>
      <c r="W121" s="676">
        <f t="shared" si="44"/>
        <v>0</v>
      </c>
      <c r="Y121" s="688"/>
      <c r="Z121" s="688"/>
      <c r="AA121" s="688"/>
      <c r="AB121" s="688"/>
      <c r="AC121" s="688"/>
      <c r="AD121" s="688"/>
      <c r="AE121" s="688"/>
      <c r="AF121" s="688"/>
      <c r="AG121" s="688"/>
      <c r="AH121" s="688"/>
      <c r="AI121" s="688"/>
      <c r="AJ121" s="688"/>
      <c r="AK121" s="688">
        <f t="shared" si="43"/>
        <v>0</v>
      </c>
    </row>
    <row r="122" spans="1:37" ht="11.1" customHeight="1">
      <c r="A122" s="713" t="s">
        <v>1725</v>
      </c>
      <c r="B122" s="687" t="str">
        <f>VLOOKUP(A122,Account!A:B,2,0)</f>
        <v>携程服务费</v>
      </c>
      <c r="C122" s="687">
        <f>VLOOKUP(A122,Account!A:F,4,0)</f>
        <v>0</v>
      </c>
      <c r="D122" s="676">
        <f t="shared" ca="1" si="38"/>
        <v>3038</v>
      </c>
      <c r="E122" s="676" t="e">
        <f t="shared" si="39"/>
        <v>#N/A</v>
      </c>
      <c r="F122" s="676" t="e">
        <f t="shared" ca="1" si="37"/>
        <v>#N/A</v>
      </c>
      <c r="G122" s="676">
        <f t="shared" ca="1" si="40"/>
        <v>3038</v>
      </c>
      <c r="H122" s="676" t="e">
        <f t="shared" ca="1" si="41"/>
        <v>#N/A</v>
      </c>
      <c r="I122" s="676" t="e">
        <f t="shared" ca="1" si="42"/>
        <v>#N/A</v>
      </c>
      <c r="K122" s="676">
        <f ca="1">SUMIF('Budget-ACPL'!$A:$A,$A122,'Budget-ACPL'!K:K)+SUMIF('Budget-ACPLHK'!$A:$A,$A122,'Budget-ACPLHK'!K:K)+SUMIF('Budget-ACPSZL'!$A:$A,$A122,'Budget-ACPSZL'!K:K)+SUMIF('Budget-ACPLSZ'!$A:$A,$A122,'Budget-ACPLSZ'!K:K)+SUMIF('Budget-ACPLGZ'!$A:$A,$A122,'Budget-ACPLGZ'!K:K)+SUMIF('Budget-Yixing'!$A:$A,$A122,'Budget-Yixing'!K:K)</f>
        <v>3038</v>
      </c>
      <c r="L122" s="676">
        <f ca="1">SUMIF('Budget-ACPL'!$A:$A,$A122,'Budget-ACPL'!L:L)+SUMIF('Budget-ACPLHK'!$A:$A,$A122,'Budget-ACPLHK'!L:L)+SUMIF('Budget-ACPSZL'!$A:$A,$A122,'Budget-ACPSZL'!L:L)+SUMIF('Budget-ACPLSZ'!$A:$A,$A122,'Budget-ACPLSZ'!L:L)+SUMIF('Budget-ACPLGZ'!$A:$A,$A122,'Budget-ACPLGZ'!L:L)+SUMIF('Budget-Yixing'!$A:$A,$A122,'Budget-Yixing'!L:L)</f>
        <v>3038</v>
      </c>
      <c r="M122" s="676">
        <f ca="1">SUMIF('Budget-ACPL'!$A:$A,$A122,'Budget-ACPL'!M:M)+SUMIF('Budget-ACPLHK'!$A:$A,$A122,'Budget-ACPLHK'!M:M)+SUMIF('Budget-ACPSZL'!$A:$A,$A122,'Budget-ACPSZL'!M:M)+SUMIF('Budget-ACPLSZ'!$A:$A,$A122,'Budget-ACPLSZ'!M:M)+SUMIF('Budget-ACPLGZ'!$A:$A,$A122,'Budget-ACPLGZ'!M:M)+SUMIF('Budget-Yixing'!$A:$A,$A122,'Budget-Yixing'!M:M)</f>
        <v>3038</v>
      </c>
      <c r="N122" s="676">
        <f ca="1">SUMIF('Budget-ACPL'!$A:$A,$A122,'Budget-ACPL'!N:N)+SUMIF('Budget-ACPLHK'!$A:$A,$A122,'Budget-ACPLHK'!N:N)+SUMIF('Budget-ACPSZL'!$A:$A,$A122,'Budget-ACPSZL'!N:N)+SUMIF('Budget-ACPLSZ'!$A:$A,$A122,'Budget-ACPLSZ'!N:N)+SUMIF('Budget-ACPLGZ'!$A:$A,$A122,'Budget-ACPLGZ'!N:N)+SUMIF('Budget-Yixing'!$A:$A,$A122,'Budget-Yixing'!N:N)</f>
        <v>3038</v>
      </c>
      <c r="O122" s="676">
        <f ca="1">SUMIF('Budget-ACPL'!$A:$A,$A122,'Budget-ACPL'!O:O)+SUMIF('Budget-ACPLHK'!$A:$A,$A122,'Budget-ACPLHK'!O:O)+SUMIF('Budget-ACPSZL'!$A:$A,$A122,'Budget-ACPSZL'!O:O)+SUMIF('Budget-ACPLSZ'!$A:$A,$A122,'Budget-ACPLSZ'!O:O)+SUMIF('Budget-ACPLGZ'!$A:$A,$A122,'Budget-ACPLGZ'!O:O)+SUMIF('Budget-Yixing'!$A:$A,$A122,'Budget-Yixing'!O:O)</f>
        <v>3038</v>
      </c>
      <c r="P122" s="676">
        <f ca="1">SUMIF('Budget-ACPL'!$A:$A,$A122,'Budget-ACPL'!P:P)+SUMIF('Budget-ACPLHK'!$A:$A,$A122,'Budget-ACPLHK'!P:P)+SUMIF('Budget-ACPSZL'!$A:$A,$A122,'Budget-ACPSZL'!P:P)+SUMIF('Budget-ACPLSZ'!$A:$A,$A122,'Budget-ACPLSZ'!P:P)+SUMIF('Budget-ACPLGZ'!$A:$A,$A122,'Budget-ACPLGZ'!P:P)+SUMIF('Budget-Yixing'!$A:$A,$A122,'Budget-Yixing'!P:P)</f>
        <v>3038</v>
      </c>
      <c r="Q122" s="676">
        <f ca="1">SUMIF('Budget-ACPL'!$A:$A,$A122,'Budget-ACPL'!Q:Q)+SUMIF('Budget-ACPLHK'!$A:$A,$A122,'Budget-ACPLHK'!Q:Q)+SUMIF('Budget-ACPSZL'!$A:$A,$A122,'Budget-ACPSZL'!Q:Q)+SUMIF('Budget-ACPLSZ'!$A:$A,$A122,'Budget-ACPLSZ'!Q:Q)+SUMIF('Budget-ACPLGZ'!$A:$A,$A122,'Budget-ACPLGZ'!Q:Q)+SUMIF('Budget-Yixing'!$A:$A,$A122,'Budget-Yixing'!Q:Q)</f>
        <v>3038</v>
      </c>
      <c r="R122" s="676">
        <f ca="1">SUMIF('Budget-ACPL'!$A:$A,$A122,'Budget-ACPL'!R:R)+SUMIF('Budget-ACPLHK'!$A:$A,$A122,'Budget-ACPLHK'!R:R)+SUMIF('Budget-ACPSZL'!$A:$A,$A122,'Budget-ACPSZL'!R:R)+SUMIF('Budget-ACPLSZ'!$A:$A,$A122,'Budget-ACPLSZ'!R:R)+SUMIF('Budget-ACPLGZ'!$A:$A,$A122,'Budget-ACPLGZ'!R:R)+SUMIF('Budget-Yixing'!$A:$A,$A122,'Budget-Yixing'!R:R)</f>
        <v>3038</v>
      </c>
      <c r="S122" s="676">
        <f ca="1">SUMIF('Budget-ACPL'!$A:$A,$A122,'Budget-ACPL'!S:S)+SUMIF('Budget-ACPLHK'!$A:$A,$A122,'Budget-ACPLHK'!S:S)+SUMIF('Budget-ACPSZL'!$A:$A,$A122,'Budget-ACPSZL'!S:S)+SUMIF('Budget-ACPLSZ'!$A:$A,$A122,'Budget-ACPLSZ'!S:S)+SUMIF('Budget-ACPLGZ'!$A:$A,$A122,'Budget-ACPLGZ'!S:S)+SUMIF('Budget-Yixing'!$A:$A,$A122,'Budget-Yixing'!S:S)</f>
        <v>3038</v>
      </c>
      <c r="T122" s="676">
        <f ca="1">SUMIF('Budget-ACPL'!$A:$A,$A122,'Budget-ACPL'!T:T)+SUMIF('Budget-ACPLHK'!$A:$A,$A122,'Budget-ACPLHK'!T:T)+SUMIF('Budget-ACPSZL'!$A:$A,$A122,'Budget-ACPSZL'!T:T)+SUMIF('Budget-ACPLSZ'!$A:$A,$A122,'Budget-ACPLSZ'!T:T)+SUMIF('Budget-ACPLGZ'!$A:$A,$A122,'Budget-ACPLGZ'!T:T)+SUMIF('Budget-Yixing'!$A:$A,$A122,'Budget-Yixing'!T:T)</f>
        <v>3038</v>
      </c>
      <c r="U122" s="676">
        <f ca="1">SUMIF('Budget-ACPL'!$A:$A,$A122,'Budget-ACPL'!U:U)+SUMIF('Budget-ACPLHK'!$A:$A,$A122,'Budget-ACPLHK'!U:U)+SUMIF('Budget-ACPSZL'!$A:$A,$A122,'Budget-ACPSZL'!U:U)+SUMIF('Budget-ACPLSZ'!$A:$A,$A122,'Budget-ACPLSZ'!U:U)+SUMIF('Budget-ACPLGZ'!$A:$A,$A122,'Budget-ACPLGZ'!U:U)+SUMIF('Budget-Yixing'!$A:$A,$A122,'Budget-Yixing'!U:U)</f>
        <v>3038</v>
      </c>
      <c r="V122" s="676">
        <f ca="1">SUMIF('Budget-ACPL'!$A:$A,$A122,'Budget-ACPL'!V:V)+SUMIF('Budget-ACPLHK'!$A:$A,$A122,'Budget-ACPLHK'!V:V)+SUMIF('Budget-ACPSZL'!$A:$A,$A122,'Budget-ACPSZL'!V:V)+SUMIF('Budget-ACPLSZ'!$A:$A,$A122,'Budget-ACPLSZ'!V:V)+SUMIF('Budget-ACPLGZ'!$A:$A,$A122,'Budget-ACPLGZ'!V:V)+SUMIF('Budget-Yixing'!$A:$A,$A122,'Budget-Yixing'!V:V)</f>
        <v>3038</v>
      </c>
      <c r="W122" s="676">
        <f t="shared" ca="1" si="44"/>
        <v>36456</v>
      </c>
      <c r="Y122" s="688">
        <f ca="1">SUMIF('Budget-ACPL'!$A:$A,$A122,'Budget-ACPL'!Y:Y)+SUMIF('Budget-ACPLHK'!$A:$A,$A122,'Budget-ACPLHK'!Y:Y)+SUMIF('Budget-ACPSZL'!$A:$A,$A122,'Budget-ACPSZL'!Y:Y)+SUMIF('Budget-ACPLSZ'!$A:$A,$A122,'Budget-ACPLSZ'!Y:Y)+SUMIF('Budget-ACPLGZ'!$A:$A,$A122,'Budget-ACPLGZ'!Y:Y)+SUMIF('Budget-Yixing'!$A:$A,$A122,'Budget-Yixing'!Y:Y)</f>
        <v>0</v>
      </c>
      <c r="Z122" s="688">
        <f ca="1">SUMIF('Budget-ACPL'!$A:$A,$A122,'Budget-ACPL'!Z:Z)+SUMIF('Budget-ACPLHK'!$A:$A,$A122,'Budget-ACPLHK'!Z:Z)+SUMIF('Budget-ACPSZL'!$A:$A,$A122,'Budget-ACPSZL'!Z:Z)+SUMIF('Budget-ACPLSZ'!$A:$A,$A122,'Budget-ACPLSZ'!Z:Z)+SUMIF('Budget-ACPLGZ'!$A:$A,$A122,'Budget-ACPLGZ'!Z:Z)+SUMIF('Budget-Yixing'!$A:$A,$A122,'Budget-Yixing'!Z:Z)</f>
        <v>0</v>
      </c>
      <c r="AA122" s="688">
        <f ca="1">SUMIF('Budget-ACPL'!$A:$A,$A122,'Budget-ACPL'!AA:AA)+SUMIF('Budget-ACPLHK'!$A:$A,$A122,'Budget-ACPLHK'!AA:AA)+SUMIF('Budget-ACPSZL'!$A:$A,$A122,'Budget-ACPSZL'!AA:AA)+SUMIF('Budget-ACPLSZ'!$A:$A,$A122,'Budget-ACPLSZ'!AA:AA)+SUMIF('Budget-ACPLGZ'!$A:$A,$A122,'Budget-ACPLGZ'!AA:AA)+SUMIF('Budget-Yixing'!$A:$A,$A122,'Budget-Yixing'!AA:AA)</f>
        <v>0</v>
      </c>
      <c r="AB122" s="688">
        <f ca="1">SUMIF('Budget-ACPL'!$A:$A,$A122,'Budget-ACPL'!AB:AB)+SUMIF('Budget-ACPLHK'!$A:$A,$A122,'Budget-ACPLHK'!AB:AB)+SUMIF('Budget-ACPSZL'!$A:$A,$A122,'Budget-ACPSZL'!AB:AB)+SUMIF('Budget-ACPLSZ'!$A:$A,$A122,'Budget-ACPLSZ'!AB:AB)+SUMIF('Budget-ACPLGZ'!$A:$A,$A122,'Budget-ACPLGZ'!AB:AB)+SUMIF('Budget-Yixing'!$A:$A,$A122,'Budget-Yixing'!AB:AB)</f>
        <v>0</v>
      </c>
      <c r="AC122" s="688">
        <f ca="1">SUMIF('Budget-ACPL'!$A:$A,$A122,'Budget-ACPL'!AC:AC)+SUMIF('Budget-ACPLHK'!$A:$A,$A122,'Budget-ACPLHK'!AC:AC)+SUMIF('Budget-ACPSZL'!$A:$A,$A122,'Budget-ACPSZL'!AC:AC)+SUMIF('Budget-ACPLSZ'!$A:$A,$A122,'Budget-ACPLSZ'!AC:AC)+SUMIF('Budget-ACPLGZ'!$A:$A,$A122,'Budget-ACPLGZ'!AC:AC)+SUMIF('Budget-Yixing'!$A:$A,$A122,'Budget-Yixing'!AC:AC)</f>
        <v>633.97</v>
      </c>
      <c r="AD122" s="688">
        <f ca="1">SUMIF('Budget-ACPL'!$A:$A,$A122,'Budget-ACPL'!AD:AD)+SUMIF('Budget-ACPLHK'!$A:$A,$A122,'Budget-ACPLHK'!AD:AD)+SUMIF('Budget-ACPSZL'!$A:$A,$A122,'Budget-ACPSZL'!AD:AD)+SUMIF('Budget-ACPLSZ'!$A:$A,$A122,'Budget-ACPLSZ'!AD:AD)+SUMIF('Budget-ACPLGZ'!$A:$A,$A122,'Budget-ACPLGZ'!AD:AD)+SUMIF('Budget-Yixing'!$A:$A,$A122,'Budget-Yixing'!AD:AD)</f>
        <v>900</v>
      </c>
      <c r="AE122" s="688">
        <f ca="1">SUMIF('Budget-ACPL'!$A:$A,$A122,'Budget-ACPL'!AE:AE)+SUMIF('Budget-ACPLHK'!$A:$A,$A122,'Budget-ACPLHK'!AE:AE)+SUMIF('Budget-ACPSZL'!$A:$A,$A122,'Budget-ACPSZL'!AE:AE)+SUMIF('Budget-ACPLSZ'!$A:$A,$A122,'Budget-ACPLSZ'!AE:AE)+SUMIF('Budget-ACPLGZ'!$A:$A,$A122,'Budget-ACPLGZ'!AE:AE)+SUMIF('Budget-Yixing'!$A:$A,$A122,'Budget-Yixing'!AE:AE)</f>
        <v>527.36</v>
      </c>
      <c r="AF122" s="688">
        <f ca="1">SUMIF('Budget-ACPL'!$A:$A,$A122,'Budget-ACPL'!AF:AF)+SUMIF('Budget-ACPLHK'!$A:$A,$A122,'Budget-ACPLHK'!AF:AF)+SUMIF('Budget-ACPSZL'!$A:$A,$A122,'Budget-ACPSZL'!AF:AF)+SUMIF('Budget-ACPLSZ'!$A:$A,$A122,'Budget-ACPLSZ'!AF:AF)+SUMIF('Budget-ACPLGZ'!$A:$A,$A122,'Budget-ACPLGZ'!AF:AF)+SUMIF('Budget-Yixing'!$A:$A,$A122,'Budget-Yixing'!AF:AF)</f>
        <v>633.02</v>
      </c>
      <c r="AG122" s="688">
        <f ca="1">SUMIF('Budget-ACPL'!$A:$A,$A122,'Budget-ACPL'!AG:AG)+SUMIF('Budget-ACPLHK'!$A:$A,$A122,'Budget-ACPLHK'!AG:AG)+SUMIF('Budget-ACPSZL'!$A:$A,$A122,'Budget-ACPSZL'!AG:AG)+SUMIF('Budget-ACPLSZ'!$A:$A,$A122,'Budget-ACPLSZ'!AG:AG)+SUMIF('Budget-ACPLGZ'!$A:$A,$A122,'Budget-ACPLGZ'!AG:AG)+SUMIF('Budget-Yixing'!$A:$A,$A122,'Budget-Yixing'!AG:AG)</f>
        <v>535.85</v>
      </c>
      <c r="AH122" s="688">
        <f ca="1">SUMIF('Budget-ACPL'!$A:$A,$A122,'Budget-ACPL'!AH:AH)+SUMIF('Budget-ACPLHK'!$A:$A,$A122,'Budget-ACPLHK'!AH:AH)+SUMIF('Budget-ACPSZL'!$A:$A,$A122,'Budget-ACPSZL'!AH:AH)+SUMIF('Budget-ACPLSZ'!$A:$A,$A122,'Budget-ACPLSZ'!AH:AH)+SUMIF('Budget-ACPLGZ'!$A:$A,$A122,'Budget-ACPLGZ'!AH:AH)+SUMIF('Budget-Yixing'!$A:$A,$A122,'Budget-Yixing'!AH:AH)</f>
        <v>253.77</v>
      </c>
      <c r="AI122" s="688">
        <f ca="1">SUMIF('Budget-ACPL'!$A:$A,$A122,'Budget-ACPL'!AI:AI)+SUMIF('Budget-ACPLHK'!$A:$A,$A122,'Budget-ACPLHK'!AI:AI)+SUMIF('Budget-ACPSZL'!$A:$A,$A122,'Budget-ACPSZL'!AI:AI)+SUMIF('Budget-ACPLSZ'!$A:$A,$A122,'Budget-ACPLSZ'!AI:AI)+SUMIF('Budget-ACPLGZ'!$A:$A,$A122,'Budget-ACPLGZ'!AI:AI)+SUMIF('Budget-Yixing'!$A:$A,$A122,'Budget-Yixing'!AI:AI)</f>
        <v>833.01</v>
      </c>
      <c r="AJ122" s="688">
        <f ca="1">SUMIF('Budget-ACPL'!$A:$A,$A122,'Budget-ACPL'!AJ:AJ)+SUMIF('Budget-ACPLHK'!$A:$A,$A122,'Budget-ACPLHK'!AJ:AJ)+SUMIF('Budget-ACPSZL'!$A:$A,$A122,'Budget-ACPSZL'!AJ:AJ)+SUMIF('Budget-ACPLSZ'!$A:$A,$A122,'Budget-ACPLSZ'!AJ:AJ)+SUMIF('Budget-ACPLGZ'!$A:$A,$A122,'Budget-ACPLGZ'!AJ:AJ)+SUMIF('Budget-Yixing'!$A:$A,$A122,'Budget-Yixing'!AJ:AJ)</f>
        <v>697.18</v>
      </c>
      <c r="AK122" s="688">
        <f t="shared" ca="1" si="43"/>
        <v>5014.16</v>
      </c>
    </row>
    <row r="123" spans="1:37" ht="11.1" hidden="1" customHeight="1">
      <c r="A123" s="718">
        <f>$A$76</f>
        <v>0</v>
      </c>
      <c r="B123" s="687" t="s">
        <v>2541</v>
      </c>
      <c r="C123" s="687" t="s">
        <v>2511</v>
      </c>
      <c r="D123" s="676">
        <f t="shared" si="38"/>
        <v>0</v>
      </c>
      <c r="E123" s="676" t="e">
        <f t="shared" si="39"/>
        <v>#N/A</v>
      </c>
      <c r="F123" s="676" t="e">
        <f t="shared" si="37"/>
        <v>#N/A</v>
      </c>
      <c r="G123" s="676">
        <f t="shared" ca="1" si="40"/>
        <v>0</v>
      </c>
      <c r="H123" s="676" t="e">
        <f t="shared" ca="1" si="41"/>
        <v>#N/A</v>
      </c>
      <c r="I123" s="676" t="e">
        <f t="shared" ca="1" si="42"/>
        <v>#N/A</v>
      </c>
      <c r="K123" s="676"/>
      <c r="L123" s="676"/>
      <c r="M123" s="676"/>
      <c r="N123" s="676"/>
      <c r="O123" s="676"/>
      <c r="P123" s="676"/>
      <c r="Q123" s="676"/>
      <c r="R123" s="676"/>
      <c r="S123" s="676"/>
      <c r="T123" s="676"/>
      <c r="U123" s="676"/>
      <c r="V123" s="676"/>
      <c r="W123" s="676">
        <f t="shared" si="44"/>
        <v>0</v>
      </c>
      <c r="Y123" s="688"/>
      <c r="Z123" s="688"/>
      <c r="AA123" s="688"/>
      <c r="AB123" s="688"/>
      <c r="AC123" s="688"/>
      <c r="AD123" s="688"/>
      <c r="AE123" s="688"/>
      <c r="AF123" s="688"/>
      <c r="AG123" s="688"/>
      <c r="AH123" s="688"/>
      <c r="AI123" s="688"/>
      <c r="AJ123" s="688"/>
      <c r="AK123" s="688">
        <f t="shared" si="43"/>
        <v>0</v>
      </c>
    </row>
    <row r="124" spans="1:37" ht="11.1" hidden="1" customHeight="1">
      <c r="A124" s="718">
        <f>$A$77</f>
        <v>0</v>
      </c>
      <c r="B124" s="687" t="s">
        <v>2542</v>
      </c>
      <c r="C124" s="687" t="s">
        <v>2513</v>
      </c>
      <c r="D124" s="676">
        <f t="shared" si="38"/>
        <v>0</v>
      </c>
      <c r="E124" s="676" t="e">
        <f t="shared" si="39"/>
        <v>#N/A</v>
      </c>
      <c r="F124" s="676" t="e">
        <f t="shared" si="37"/>
        <v>#N/A</v>
      </c>
      <c r="G124" s="676">
        <f t="shared" ca="1" si="40"/>
        <v>0</v>
      </c>
      <c r="H124" s="676" t="e">
        <f t="shared" ca="1" si="41"/>
        <v>#N/A</v>
      </c>
      <c r="I124" s="676" t="e">
        <f t="shared" ca="1" si="42"/>
        <v>#N/A</v>
      </c>
      <c r="K124" s="676"/>
      <c r="L124" s="676"/>
      <c r="M124" s="676"/>
      <c r="N124" s="676"/>
      <c r="O124" s="676"/>
      <c r="P124" s="676"/>
      <c r="Q124" s="676"/>
      <c r="R124" s="676"/>
      <c r="S124" s="676"/>
      <c r="T124" s="676"/>
      <c r="U124" s="676"/>
      <c r="V124" s="676"/>
      <c r="W124" s="676">
        <f t="shared" si="44"/>
        <v>0</v>
      </c>
      <c r="Y124" s="688"/>
      <c r="Z124" s="688"/>
      <c r="AA124" s="688"/>
      <c r="AB124" s="688"/>
      <c r="AC124" s="688"/>
      <c r="AD124" s="688"/>
      <c r="AE124" s="688"/>
      <c r="AF124" s="688"/>
      <c r="AG124" s="688"/>
      <c r="AH124" s="688"/>
      <c r="AI124" s="688"/>
      <c r="AJ124" s="688"/>
      <c r="AK124" s="688">
        <f t="shared" si="43"/>
        <v>0</v>
      </c>
    </row>
    <row r="125" spans="1:37" ht="11.1" hidden="1" customHeight="1">
      <c r="A125" s="718">
        <f>$A$78</f>
        <v>0</v>
      </c>
      <c r="B125" s="687" t="s">
        <v>2543</v>
      </c>
      <c r="C125" s="687" t="s">
        <v>2515</v>
      </c>
      <c r="D125" s="676">
        <f t="shared" si="38"/>
        <v>0</v>
      </c>
      <c r="E125" s="676" t="e">
        <f t="shared" si="39"/>
        <v>#N/A</v>
      </c>
      <c r="F125" s="676" t="e">
        <f t="shared" si="37"/>
        <v>#N/A</v>
      </c>
      <c r="G125" s="676">
        <f t="shared" ca="1" si="40"/>
        <v>0</v>
      </c>
      <c r="H125" s="676" t="e">
        <f t="shared" ca="1" si="41"/>
        <v>#N/A</v>
      </c>
      <c r="I125" s="676" t="e">
        <f t="shared" ca="1" si="42"/>
        <v>#N/A</v>
      </c>
      <c r="K125" s="676"/>
      <c r="L125" s="676"/>
      <c r="M125" s="676"/>
      <c r="N125" s="676"/>
      <c r="O125" s="676"/>
      <c r="P125" s="676"/>
      <c r="Q125" s="676"/>
      <c r="R125" s="676"/>
      <c r="S125" s="676"/>
      <c r="T125" s="676"/>
      <c r="U125" s="676"/>
      <c r="V125" s="676"/>
      <c r="W125" s="676">
        <f t="shared" si="44"/>
        <v>0</v>
      </c>
      <c r="Y125" s="688"/>
      <c r="Z125" s="688"/>
      <c r="AA125" s="688"/>
      <c r="AB125" s="688"/>
      <c r="AC125" s="688"/>
      <c r="AD125" s="688"/>
      <c r="AE125" s="688"/>
      <c r="AF125" s="688"/>
      <c r="AG125" s="688"/>
      <c r="AH125" s="688"/>
      <c r="AI125" s="688"/>
      <c r="AJ125" s="688"/>
      <c r="AK125" s="688">
        <f t="shared" si="43"/>
        <v>0</v>
      </c>
    </row>
    <row r="126" spans="1:37" ht="11.1" customHeight="1">
      <c r="A126" s="713" t="s">
        <v>1729</v>
      </c>
      <c r="B126" s="687" t="str">
        <f>VLOOKUP(A126,Account!A:B,2,0)</f>
        <v>其他</v>
      </c>
      <c r="C126" s="687" t="str">
        <f>VLOOKUP(A126,Account!A:F,4,0)</f>
        <v>Travel Other</v>
      </c>
      <c r="D126" s="676">
        <f t="shared" ca="1" si="38"/>
        <v>3983.3166666666666</v>
      </c>
      <c r="E126" s="676" t="e">
        <f t="shared" si="39"/>
        <v>#N/A</v>
      </c>
      <c r="F126" s="676" t="e">
        <f t="shared" ca="1" si="37"/>
        <v>#N/A</v>
      </c>
      <c r="G126" s="676">
        <f t="shared" ca="1" si="40"/>
        <v>3983.3166666666666</v>
      </c>
      <c r="H126" s="676" t="e">
        <f t="shared" ca="1" si="41"/>
        <v>#N/A</v>
      </c>
      <c r="I126" s="676" t="e">
        <f t="shared" ca="1" si="42"/>
        <v>#N/A</v>
      </c>
      <c r="K126" s="676">
        <f ca="1">SUMIF('Budget-ACPL'!$A:$A,$A126,'Budget-ACPL'!K:K)+SUMIF('Budget-ACPLHK'!$A:$A,$A126,'Budget-ACPLHK'!K:K)+SUMIF('Budget-ACPSZL'!$A:$A,$A126,'Budget-ACPSZL'!K:K)+SUMIF('Budget-ACPLSZ'!$A:$A,$A126,'Budget-ACPLSZ'!K:K)+SUMIF('Budget-ACPLGZ'!$A:$A,$A126,'Budget-ACPLGZ'!K:K)+SUMIF('Budget-Yixing'!$A:$A,$A126,'Budget-Yixing'!K:K)</f>
        <v>3983.3166666666666</v>
      </c>
      <c r="L126" s="676">
        <f ca="1">SUMIF('Budget-ACPL'!$A:$A,$A126,'Budget-ACPL'!L:L)+SUMIF('Budget-ACPLHK'!$A:$A,$A126,'Budget-ACPLHK'!L:L)+SUMIF('Budget-ACPSZL'!$A:$A,$A126,'Budget-ACPSZL'!L:L)+SUMIF('Budget-ACPLSZ'!$A:$A,$A126,'Budget-ACPLSZ'!L:L)+SUMIF('Budget-ACPLGZ'!$A:$A,$A126,'Budget-ACPLGZ'!L:L)+SUMIF('Budget-Yixing'!$A:$A,$A126,'Budget-Yixing'!L:L)</f>
        <v>3970.3333333333339</v>
      </c>
      <c r="M126" s="676">
        <f ca="1">SUMIF('Budget-ACPL'!$A:$A,$A126,'Budget-ACPL'!M:M)+SUMIF('Budget-ACPLHK'!$A:$A,$A126,'Budget-ACPLHK'!M:M)+SUMIF('Budget-ACPSZL'!$A:$A,$A126,'Budget-ACPSZL'!M:M)+SUMIF('Budget-ACPLSZ'!$A:$A,$A126,'Budget-ACPLSZ'!M:M)+SUMIF('Budget-ACPLGZ'!$A:$A,$A126,'Budget-ACPLGZ'!M:M)+SUMIF('Budget-Yixing'!$A:$A,$A126,'Budget-Yixing'!M:M)</f>
        <v>3970.3333333333339</v>
      </c>
      <c r="N126" s="676">
        <f ca="1">SUMIF('Budget-ACPL'!$A:$A,$A126,'Budget-ACPL'!N:N)+SUMIF('Budget-ACPLHK'!$A:$A,$A126,'Budget-ACPLHK'!N:N)+SUMIF('Budget-ACPSZL'!$A:$A,$A126,'Budget-ACPSZL'!N:N)+SUMIF('Budget-ACPLSZ'!$A:$A,$A126,'Budget-ACPLSZ'!N:N)+SUMIF('Budget-ACPLGZ'!$A:$A,$A126,'Budget-ACPLGZ'!N:N)+SUMIF('Budget-Yixing'!$A:$A,$A126,'Budget-Yixing'!N:N)</f>
        <v>3970.3333333333339</v>
      </c>
      <c r="O126" s="676">
        <f ca="1">SUMIF('Budget-ACPL'!$A:$A,$A126,'Budget-ACPL'!O:O)+SUMIF('Budget-ACPLHK'!$A:$A,$A126,'Budget-ACPLHK'!O:O)+SUMIF('Budget-ACPSZL'!$A:$A,$A126,'Budget-ACPSZL'!O:O)+SUMIF('Budget-ACPLSZ'!$A:$A,$A126,'Budget-ACPLSZ'!O:O)+SUMIF('Budget-ACPLGZ'!$A:$A,$A126,'Budget-ACPLGZ'!O:O)+SUMIF('Budget-Yixing'!$A:$A,$A126,'Budget-Yixing'!O:O)</f>
        <v>3970.3333333333339</v>
      </c>
      <c r="P126" s="676">
        <f ca="1">SUMIF('Budget-ACPL'!$A:$A,$A126,'Budget-ACPL'!P:P)+SUMIF('Budget-ACPLHK'!$A:$A,$A126,'Budget-ACPLHK'!P:P)+SUMIF('Budget-ACPSZL'!$A:$A,$A126,'Budget-ACPSZL'!P:P)+SUMIF('Budget-ACPLSZ'!$A:$A,$A126,'Budget-ACPLSZ'!P:P)+SUMIF('Budget-ACPLGZ'!$A:$A,$A126,'Budget-ACPLGZ'!P:P)+SUMIF('Budget-Yixing'!$A:$A,$A126,'Budget-Yixing'!P:P)</f>
        <v>3970.3333333333339</v>
      </c>
      <c r="Q126" s="676">
        <f ca="1">SUMIF('Budget-ACPL'!$A:$A,$A126,'Budget-ACPL'!Q:Q)+SUMIF('Budget-ACPLHK'!$A:$A,$A126,'Budget-ACPLHK'!Q:Q)+SUMIF('Budget-ACPSZL'!$A:$A,$A126,'Budget-ACPSZL'!Q:Q)+SUMIF('Budget-ACPLSZ'!$A:$A,$A126,'Budget-ACPLSZ'!Q:Q)+SUMIF('Budget-ACPLGZ'!$A:$A,$A126,'Budget-ACPLGZ'!Q:Q)+SUMIF('Budget-Yixing'!$A:$A,$A126,'Budget-Yixing'!Q:Q)</f>
        <v>3970.3333333333339</v>
      </c>
      <c r="R126" s="676">
        <f ca="1">SUMIF('Budget-ACPL'!$A:$A,$A126,'Budget-ACPL'!R:R)+SUMIF('Budget-ACPLHK'!$A:$A,$A126,'Budget-ACPLHK'!R:R)+SUMIF('Budget-ACPSZL'!$A:$A,$A126,'Budget-ACPSZL'!R:R)+SUMIF('Budget-ACPLSZ'!$A:$A,$A126,'Budget-ACPLSZ'!R:R)+SUMIF('Budget-ACPLGZ'!$A:$A,$A126,'Budget-ACPLGZ'!R:R)+SUMIF('Budget-Yixing'!$A:$A,$A126,'Budget-Yixing'!R:R)</f>
        <v>3970.3333333333339</v>
      </c>
      <c r="S126" s="676">
        <f ca="1">SUMIF('Budget-ACPL'!$A:$A,$A126,'Budget-ACPL'!S:S)+SUMIF('Budget-ACPLHK'!$A:$A,$A126,'Budget-ACPLHK'!S:S)+SUMIF('Budget-ACPSZL'!$A:$A,$A126,'Budget-ACPSZL'!S:S)+SUMIF('Budget-ACPLSZ'!$A:$A,$A126,'Budget-ACPLSZ'!S:S)+SUMIF('Budget-ACPLGZ'!$A:$A,$A126,'Budget-ACPLGZ'!S:S)+SUMIF('Budget-Yixing'!$A:$A,$A126,'Budget-Yixing'!S:S)</f>
        <v>3970.3333333333339</v>
      </c>
      <c r="T126" s="676">
        <f ca="1">SUMIF('Budget-ACPL'!$A:$A,$A126,'Budget-ACPL'!T:T)+SUMIF('Budget-ACPLHK'!$A:$A,$A126,'Budget-ACPLHK'!T:T)+SUMIF('Budget-ACPSZL'!$A:$A,$A126,'Budget-ACPSZL'!T:T)+SUMIF('Budget-ACPLSZ'!$A:$A,$A126,'Budget-ACPLSZ'!T:T)+SUMIF('Budget-ACPLGZ'!$A:$A,$A126,'Budget-ACPLGZ'!T:T)+SUMIF('Budget-Yixing'!$A:$A,$A126,'Budget-Yixing'!T:T)</f>
        <v>3970.3333333333339</v>
      </c>
      <c r="U126" s="676">
        <f ca="1">SUMIF('Budget-ACPL'!$A:$A,$A126,'Budget-ACPL'!U:U)+SUMIF('Budget-ACPLHK'!$A:$A,$A126,'Budget-ACPLHK'!U:U)+SUMIF('Budget-ACPSZL'!$A:$A,$A126,'Budget-ACPSZL'!U:U)+SUMIF('Budget-ACPLSZ'!$A:$A,$A126,'Budget-ACPLSZ'!U:U)+SUMIF('Budget-ACPLGZ'!$A:$A,$A126,'Budget-ACPLGZ'!U:U)+SUMIF('Budget-Yixing'!$A:$A,$A126,'Budget-Yixing'!U:U)</f>
        <v>3970.3333333333339</v>
      </c>
      <c r="V126" s="676">
        <f ca="1">SUMIF('Budget-ACPL'!$A:$A,$A126,'Budget-ACPL'!V:V)+SUMIF('Budget-ACPLHK'!$A:$A,$A126,'Budget-ACPLHK'!V:V)+SUMIF('Budget-ACPSZL'!$A:$A,$A126,'Budget-ACPSZL'!V:V)+SUMIF('Budget-ACPLSZ'!$A:$A,$A126,'Budget-ACPLSZ'!V:V)+SUMIF('Budget-ACPLGZ'!$A:$A,$A126,'Budget-ACPLGZ'!V:V)+SUMIF('Budget-Yixing'!$A:$A,$A126,'Budget-Yixing'!V:V)</f>
        <v>3970.3333333333339</v>
      </c>
      <c r="W126" s="676">
        <f t="shared" ca="1" si="44"/>
        <v>47656.983333333352</v>
      </c>
      <c r="Y126" s="688">
        <f ca="1">SUMIF('Budget-ACPL'!$A:$A,$A126,'Budget-ACPL'!Y:Y)+SUMIF('Budget-ACPLHK'!$A:$A,$A126,'Budget-ACPLHK'!Y:Y)+SUMIF('Budget-ACPSZL'!$A:$A,$A126,'Budget-ACPSZL'!Y:Y)+SUMIF('Budget-ACPLSZ'!$A:$A,$A126,'Budget-ACPLSZ'!Y:Y)+SUMIF('Budget-ACPLGZ'!$A:$A,$A126,'Budget-ACPLGZ'!Y:Y)+SUMIF('Budget-Yixing'!$A:$A,$A126,'Budget-Yixing'!Y:Y)</f>
        <v>0</v>
      </c>
      <c r="Z126" s="688">
        <f ca="1">SUMIF('Budget-ACPL'!$A:$A,$A126,'Budget-ACPL'!Z:Z)+SUMIF('Budget-ACPLHK'!$A:$A,$A126,'Budget-ACPLHK'!Z:Z)+SUMIF('Budget-ACPSZL'!$A:$A,$A126,'Budget-ACPSZL'!Z:Z)+SUMIF('Budget-ACPLSZ'!$A:$A,$A126,'Budget-ACPLSZ'!Z:Z)+SUMIF('Budget-ACPLGZ'!$A:$A,$A126,'Budget-ACPLGZ'!Z:Z)+SUMIF('Budget-Yixing'!$A:$A,$A126,'Budget-Yixing'!Z:Z)</f>
        <v>7910.56</v>
      </c>
      <c r="AA126" s="688">
        <f ca="1">SUMIF('Budget-ACPL'!$A:$A,$A126,'Budget-ACPL'!AA:AA)+SUMIF('Budget-ACPLHK'!$A:$A,$A126,'Budget-ACPLHK'!AA:AA)+SUMIF('Budget-ACPSZL'!$A:$A,$A126,'Budget-ACPSZL'!AA:AA)+SUMIF('Budget-ACPLSZ'!$A:$A,$A126,'Budget-ACPLSZ'!AA:AA)+SUMIF('Budget-ACPLGZ'!$A:$A,$A126,'Budget-ACPLGZ'!AA:AA)+SUMIF('Budget-Yixing'!$A:$A,$A126,'Budget-Yixing'!AA:AA)</f>
        <v>577.17000000000007</v>
      </c>
      <c r="AB126" s="688">
        <f ca="1">SUMIF('Budget-ACPL'!$A:$A,$A126,'Budget-ACPL'!AB:AB)+SUMIF('Budget-ACPLHK'!$A:$A,$A126,'Budget-ACPLHK'!AB:AB)+SUMIF('Budget-ACPSZL'!$A:$A,$A126,'Budget-ACPSZL'!AB:AB)+SUMIF('Budget-ACPLSZ'!$A:$A,$A126,'Budget-ACPLSZ'!AB:AB)+SUMIF('Budget-ACPLGZ'!$A:$A,$A126,'Budget-ACPLGZ'!AB:AB)+SUMIF('Budget-Yixing'!$A:$A,$A126,'Budget-Yixing'!AB:AB)</f>
        <v>0</v>
      </c>
      <c r="AC126" s="688">
        <f ca="1">SUMIF('Budget-ACPL'!$A:$A,$A126,'Budget-ACPL'!AC:AC)+SUMIF('Budget-ACPLHK'!$A:$A,$A126,'Budget-ACPLHK'!AC:AC)+SUMIF('Budget-ACPSZL'!$A:$A,$A126,'Budget-ACPSZL'!AC:AC)+SUMIF('Budget-ACPLSZ'!$A:$A,$A126,'Budget-ACPLSZ'!AC:AC)+SUMIF('Budget-ACPLGZ'!$A:$A,$A126,'Budget-ACPLGZ'!AC:AC)+SUMIF('Budget-Yixing'!$A:$A,$A126,'Budget-Yixing'!AC:AC)</f>
        <v>6480</v>
      </c>
      <c r="AD126" s="688">
        <f ca="1">SUMIF('Budget-ACPL'!$A:$A,$A126,'Budget-ACPL'!AD:AD)+SUMIF('Budget-ACPLHK'!$A:$A,$A126,'Budget-ACPLHK'!AD:AD)+SUMIF('Budget-ACPSZL'!$A:$A,$A126,'Budget-ACPSZL'!AD:AD)+SUMIF('Budget-ACPLSZ'!$A:$A,$A126,'Budget-ACPLSZ'!AD:AD)+SUMIF('Budget-ACPLGZ'!$A:$A,$A126,'Budget-ACPLGZ'!AD:AD)+SUMIF('Budget-Yixing'!$A:$A,$A126,'Budget-Yixing'!AD:AD)</f>
        <v>-415.92</v>
      </c>
      <c r="AE126" s="688">
        <f ca="1">SUMIF('Budget-ACPL'!$A:$A,$A126,'Budget-ACPL'!AE:AE)+SUMIF('Budget-ACPLHK'!$A:$A,$A126,'Budget-ACPLHK'!AE:AE)+SUMIF('Budget-ACPSZL'!$A:$A,$A126,'Budget-ACPSZL'!AE:AE)+SUMIF('Budget-ACPLSZ'!$A:$A,$A126,'Budget-ACPLSZ'!AE:AE)+SUMIF('Budget-ACPLGZ'!$A:$A,$A126,'Budget-ACPLGZ'!AE:AE)+SUMIF('Budget-Yixing'!$A:$A,$A126,'Budget-Yixing'!AE:AE)</f>
        <v>14851.800000000001</v>
      </c>
      <c r="AF126" s="688">
        <f ca="1">SUMIF('Budget-ACPL'!$A:$A,$A126,'Budget-ACPL'!AF:AF)+SUMIF('Budget-ACPLHK'!$A:$A,$A126,'Budget-ACPLHK'!AF:AF)+SUMIF('Budget-ACPSZL'!$A:$A,$A126,'Budget-ACPSZL'!AF:AF)+SUMIF('Budget-ACPLSZ'!$A:$A,$A126,'Budget-ACPLSZ'!AF:AF)+SUMIF('Budget-ACPLGZ'!$A:$A,$A126,'Budget-ACPLGZ'!AF:AF)+SUMIF('Budget-Yixing'!$A:$A,$A126,'Budget-Yixing'!AF:AF)</f>
        <v>3140.96</v>
      </c>
      <c r="AG126" s="688">
        <f ca="1">SUMIF('Budget-ACPL'!$A:$A,$A126,'Budget-ACPL'!AG:AG)+SUMIF('Budget-ACPLHK'!$A:$A,$A126,'Budget-ACPLHK'!AG:AG)+SUMIF('Budget-ACPSZL'!$A:$A,$A126,'Budget-ACPSZL'!AG:AG)+SUMIF('Budget-ACPLSZ'!$A:$A,$A126,'Budget-ACPLSZ'!AG:AG)+SUMIF('Budget-ACPLGZ'!$A:$A,$A126,'Budget-ACPLGZ'!AG:AG)+SUMIF('Budget-Yixing'!$A:$A,$A126,'Budget-Yixing'!AG:AG)</f>
        <v>15890.560000000001</v>
      </c>
      <c r="AH126" s="688">
        <f ca="1">SUMIF('Budget-ACPL'!$A:$A,$A126,'Budget-ACPL'!AH:AH)+SUMIF('Budget-ACPLHK'!$A:$A,$A126,'Budget-ACPLHK'!AH:AH)+SUMIF('Budget-ACPSZL'!$A:$A,$A126,'Budget-ACPSZL'!AH:AH)+SUMIF('Budget-ACPLSZ'!$A:$A,$A126,'Budget-ACPLSZ'!AH:AH)+SUMIF('Budget-ACPLGZ'!$A:$A,$A126,'Budget-ACPLGZ'!AH:AH)+SUMIF('Budget-Yixing'!$A:$A,$A126,'Budget-Yixing'!AH:AH)</f>
        <v>-81846.009999999995</v>
      </c>
      <c r="AI126" s="688">
        <f ca="1">SUMIF('Budget-ACPL'!$A:$A,$A126,'Budget-ACPL'!AI:AI)+SUMIF('Budget-ACPLHK'!$A:$A,$A126,'Budget-ACPLHK'!AI:AI)+SUMIF('Budget-ACPSZL'!$A:$A,$A126,'Budget-ACPSZL'!AI:AI)+SUMIF('Budget-ACPLSZ'!$A:$A,$A126,'Budget-ACPLSZ'!AI:AI)+SUMIF('Budget-ACPLGZ'!$A:$A,$A126,'Budget-ACPLGZ'!AI:AI)+SUMIF('Budget-Yixing'!$A:$A,$A126,'Budget-Yixing'!AI:AI)</f>
        <v>0</v>
      </c>
      <c r="AJ126" s="688">
        <f ca="1">SUMIF('Budget-ACPL'!$A:$A,$A126,'Budget-ACPL'!AJ:AJ)+SUMIF('Budget-ACPLHK'!$A:$A,$A126,'Budget-ACPLHK'!AJ:AJ)+SUMIF('Budget-ACPSZL'!$A:$A,$A126,'Budget-ACPSZL'!AJ:AJ)+SUMIF('Budget-ACPLSZ'!$A:$A,$A126,'Budget-ACPLSZ'!AJ:AJ)+SUMIF('Budget-ACPLGZ'!$A:$A,$A126,'Budget-ACPLGZ'!AJ:AJ)+SUMIF('Budget-Yixing'!$A:$A,$A126,'Budget-Yixing'!AJ:AJ)</f>
        <v>9503.44</v>
      </c>
      <c r="AK126" s="688">
        <f t="shared" ca="1" si="43"/>
        <v>-23907.439999999988</v>
      </c>
    </row>
    <row r="127" spans="1:37" ht="11.1" customHeight="1">
      <c r="A127" s="716" t="s">
        <v>1732</v>
      </c>
      <c r="B127" s="717" t="s">
        <v>1733</v>
      </c>
      <c r="C127" s="687">
        <f>VLOOKUP(A127,Account!A:F,4,0)</f>
        <v>0</v>
      </c>
      <c r="D127" s="676">
        <f t="shared" ca="1" si="38"/>
        <v>5340.2697222222214</v>
      </c>
      <c r="E127" s="676" t="e">
        <f t="shared" si="39"/>
        <v>#N/A</v>
      </c>
      <c r="F127" s="676" t="e">
        <f t="shared" ca="1" si="37"/>
        <v>#N/A</v>
      </c>
      <c r="G127" s="676">
        <f t="shared" ca="1" si="40"/>
        <v>5340.2697222222214</v>
      </c>
      <c r="H127" s="676" t="e">
        <f t="shared" ca="1" si="41"/>
        <v>#N/A</v>
      </c>
      <c r="I127" s="676" t="e">
        <f t="shared" ca="1" si="42"/>
        <v>#N/A</v>
      </c>
      <c r="K127" s="676">
        <f ca="1">SUMIF('Budget-ACPL'!$A:$A,$A127,'Budget-ACPL'!K:K)+SUMIF('Budget-ACPLHK'!$A:$A,$A127,'Budget-ACPLHK'!K:K)+SUMIF('Budget-ACPSZL'!$A:$A,$A127,'Budget-ACPSZL'!K:K)+SUMIF('Budget-ACPLSZ'!$A:$A,$A127,'Budget-ACPLSZ'!K:K)+SUMIF('Budget-ACPLGZ'!$A:$A,$A127,'Budget-ACPLGZ'!K:K)+SUMIF('Budget-Yixing'!$A:$A,$A127,'Budget-Yixing'!K:K)</f>
        <v>5340.2697222222214</v>
      </c>
      <c r="L127" s="676">
        <f ca="1">SUMIF('Budget-ACPL'!$A:$A,$A127,'Budget-ACPL'!L:L)+SUMIF('Budget-ACPLHK'!$A:$A,$A127,'Budget-ACPLHK'!L:L)+SUMIF('Budget-ACPSZL'!$A:$A,$A127,'Budget-ACPSZL'!L:L)+SUMIF('Budget-ACPLSZ'!$A:$A,$A127,'Budget-ACPLSZ'!L:L)+SUMIF('Budget-ACPLGZ'!$A:$A,$A127,'Budget-ACPLGZ'!L:L)+SUMIF('Budget-Yixing'!$A:$A,$A127,'Budget-Yixing'!L:L)</f>
        <v>5333.7780555555546</v>
      </c>
      <c r="M127" s="676">
        <f ca="1">SUMIF('Budget-ACPL'!$A:$A,$A127,'Budget-ACPL'!M:M)+SUMIF('Budget-ACPLHK'!$A:$A,$A127,'Budget-ACPLHK'!M:M)+SUMIF('Budget-ACPSZL'!$A:$A,$A127,'Budget-ACPSZL'!M:M)+SUMIF('Budget-ACPLSZ'!$A:$A,$A127,'Budget-ACPLSZ'!M:M)+SUMIF('Budget-ACPLGZ'!$A:$A,$A127,'Budget-ACPLGZ'!M:M)+SUMIF('Budget-Yixing'!$A:$A,$A127,'Budget-Yixing'!M:M)</f>
        <v>5333.7780555555546</v>
      </c>
      <c r="N127" s="676">
        <f ca="1">SUMIF('Budget-ACPL'!$A:$A,$A127,'Budget-ACPL'!N:N)+SUMIF('Budget-ACPLHK'!$A:$A,$A127,'Budget-ACPLHK'!N:N)+SUMIF('Budget-ACPSZL'!$A:$A,$A127,'Budget-ACPSZL'!N:N)+SUMIF('Budget-ACPLSZ'!$A:$A,$A127,'Budget-ACPLSZ'!N:N)+SUMIF('Budget-ACPLGZ'!$A:$A,$A127,'Budget-ACPLGZ'!N:N)+SUMIF('Budget-Yixing'!$A:$A,$A127,'Budget-Yixing'!N:N)</f>
        <v>5333.7780555555546</v>
      </c>
      <c r="O127" s="676">
        <f ca="1">SUMIF('Budget-ACPL'!$A:$A,$A127,'Budget-ACPL'!O:O)+SUMIF('Budget-ACPLHK'!$A:$A,$A127,'Budget-ACPLHK'!O:O)+SUMIF('Budget-ACPSZL'!$A:$A,$A127,'Budget-ACPSZL'!O:O)+SUMIF('Budget-ACPLSZ'!$A:$A,$A127,'Budget-ACPLSZ'!O:O)+SUMIF('Budget-ACPLGZ'!$A:$A,$A127,'Budget-ACPLGZ'!O:O)+SUMIF('Budget-Yixing'!$A:$A,$A127,'Budget-Yixing'!O:O)</f>
        <v>5333.7780555555546</v>
      </c>
      <c r="P127" s="676">
        <f ca="1">SUMIF('Budget-ACPL'!$A:$A,$A127,'Budget-ACPL'!P:P)+SUMIF('Budget-ACPLHK'!$A:$A,$A127,'Budget-ACPLHK'!P:P)+SUMIF('Budget-ACPSZL'!$A:$A,$A127,'Budget-ACPSZL'!P:P)+SUMIF('Budget-ACPLSZ'!$A:$A,$A127,'Budget-ACPLSZ'!P:P)+SUMIF('Budget-ACPLGZ'!$A:$A,$A127,'Budget-ACPLGZ'!P:P)+SUMIF('Budget-Yixing'!$A:$A,$A127,'Budget-Yixing'!P:P)</f>
        <v>5333.7780555555546</v>
      </c>
      <c r="Q127" s="676">
        <f ca="1">SUMIF('Budget-ACPL'!$A:$A,$A127,'Budget-ACPL'!Q:Q)+SUMIF('Budget-ACPLHK'!$A:$A,$A127,'Budget-ACPLHK'!Q:Q)+SUMIF('Budget-ACPSZL'!$A:$A,$A127,'Budget-ACPSZL'!Q:Q)+SUMIF('Budget-ACPLSZ'!$A:$A,$A127,'Budget-ACPLSZ'!Q:Q)+SUMIF('Budget-ACPLGZ'!$A:$A,$A127,'Budget-ACPLGZ'!Q:Q)+SUMIF('Budget-Yixing'!$A:$A,$A127,'Budget-Yixing'!Q:Q)</f>
        <v>5333.7780555555546</v>
      </c>
      <c r="R127" s="676">
        <f ca="1">SUMIF('Budget-ACPL'!$A:$A,$A127,'Budget-ACPL'!R:R)+SUMIF('Budget-ACPLHK'!$A:$A,$A127,'Budget-ACPLHK'!R:R)+SUMIF('Budget-ACPSZL'!$A:$A,$A127,'Budget-ACPSZL'!R:R)+SUMIF('Budget-ACPLSZ'!$A:$A,$A127,'Budget-ACPLSZ'!R:R)+SUMIF('Budget-ACPLGZ'!$A:$A,$A127,'Budget-ACPLGZ'!R:R)+SUMIF('Budget-Yixing'!$A:$A,$A127,'Budget-Yixing'!R:R)</f>
        <v>5333.7780555555546</v>
      </c>
      <c r="S127" s="676">
        <f ca="1">SUMIF('Budget-ACPL'!$A:$A,$A127,'Budget-ACPL'!S:S)+SUMIF('Budget-ACPLHK'!$A:$A,$A127,'Budget-ACPLHK'!S:S)+SUMIF('Budget-ACPSZL'!$A:$A,$A127,'Budget-ACPSZL'!S:S)+SUMIF('Budget-ACPLSZ'!$A:$A,$A127,'Budget-ACPLSZ'!S:S)+SUMIF('Budget-ACPLGZ'!$A:$A,$A127,'Budget-ACPLGZ'!S:S)+SUMIF('Budget-Yixing'!$A:$A,$A127,'Budget-Yixing'!S:S)</f>
        <v>5333.7780555555546</v>
      </c>
      <c r="T127" s="676">
        <f ca="1">SUMIF('Budget-ACPL'!$A:$A,$A127,'Budget-ACPL'!T:T)+SUMIF('Budget-ACPLHK'!$A:$A,$A127,'Budget-ACPLHK'!T:T)+SUMIF('Budget-ACPSZL'!$A:$A,$A127,'Budget-ACPSZL'!T:T)+SUMIF('Budget-ACPLSZ'!$A:$A,$A127,'Budget-ACPLSZ'!T:T)+SUMIF('Budget-ACPLGZ'!$A:$A,$A127,'Budget-ACPLGZ'!T:T)+SUMIF('Budget-Yixing'!$A:$A,$A127,'Budget-Yixing'!T:T)</f>
        <v>5333.7780555555546</v>
      </c>
      <c r="U127" s="676">
        <f ca="1">SUMIF('Budget-ACPL'!$A:$A,$A127,'Budget-ACPL'!U:U)+SUMIF('Budget-ACPLHK'!$A:$A,$A127,'Budget-ACPLHK'!U:U)+SUMIF('Budget-ACPSZL'!$A:$A,$A127,'Budget-ACPSZL'!U:U)+SUMIF('Budget-ACPLSZ'!$A:$A,$A127,'Budget-ACPLSZ'!U:U)+SUMIF('Budget-ACPLGZ'!$A:$A,$A127,'Budget-ACPLGZ'!U:U)+SUMIF('Budget-Yixing'!$A:$A,$A127,'Budget-Yixing'!U:U)</f>
        <v>5333.7780555555546</v>
      </c>
      <c r="V127" s="676">
        <f ca="1">SUMIF('Budget-ACPL'!$A:$A,$A127,'Budget-ACPL'!V:V)+SUMIF('Budget-ACPLHK'!$A:$A,$A127,'Budget-ACPLHK'!V:V)+SUMIF('Budget-ACPSZL'!$A:$A,$A127,'Budget-ACPSZL'!V:V)+SUMIF('Budget-ACPLSZ'!$A:$A,$A127,'Budget-ACPLSZ'!V:V)+SUMIF('Budget-ACPLGZ'!$A:$A,$A127,'Budget-ACPLGZ'!V:V)+SUMIF('Budget-Yixing'!$A:$A,$A127,'Budget-Yixing'!V:V)</f>
        <v>5333.7780555555546</v>
      </c>
      <c r="W127" s="676">
        <f t="shared" ca="1" si="44"/>
        <v>64011.828333333309</v>
      </c>
      <c r="Y127" s="688">
        <f ca="1">SUMIF('Budget-ACPL'!$A:$A,$A127,'Budget-ACPL'!Y:Y)+SUMIF('Budget-ACPLHK'!$A:$A,$A127,'Budget-ACPLHK'!Y:Y)+SUMIF('Budget-ACPSZL'!$A:$A,$A127,'Budget-ACPSZL'!Y:Y)+SUMIF('Budget-ACPLSZ'!$A:$A,$A127,'Budget-ACPLSZ'!Y:Y)+SUMIF('Budget-ACPLGZ'!$A:$A,$A127,'Budget-ACPLGZ'!Y:Y)+SUMIF('Budget-Yixing'!$A:$A,$A127,'Budget-Yixing'!Y:Y)</f>
        <v>3466.5</v>
      </c>
      <c r="Z127" s="688">
        <f ca="1">SUMIF('Budget-ACPL'!$A:$A,$A127,'Budget-ACPL'!Z:Z)+SUMIF('Budget-ACPLHK'!$A:$A,$A127,'Budget-ACPLHK'!Z:Z)+SUMIF('Budget-ACPSZL'!$A:$A,$A127,'Budget-ACPSZL'!Z:Z)+SUMIF('Budget-ACPLSZ'!$A:$A,$A127,'Budget-ACPLSZ'!Z:Z)+SUMIF('Budget-ACPLGZ'!$A:$A,$A127,'Budget-ACPLGZ'!Z:Z)+SUMIF('Budget-Yixing'!$A:$A,$A127,'Budget-Yixing'!Z:Z)</f>
        <v>3466.5</v>
      </c>
      <c r="AA127" s="688">
        <f ca="1">SUMIF('Budget-ACPL'!$A:$A,$A127,'Budget-ACPL'!AA:AA)+SUMIF('Budget-ACPLHK'!$A:$A,$A127,'Budget-ACPLHK'!AA:AA)+SUMIF('Budget-ACPSZL'!$A:$A,$A127,'Budget-ACPSZL'!AA:AA)+SUMIF('Budget-ACPLSZ'!$A:$A,$A127,'Budget-ACPLSZ'!AA:AA)+SUMIF('Budget-ACPLGZ'!$A:$A,$A127,'Budget-ACPLGZ'!AA:AA)+SUMIF('Budget-Yixing'!$A:$A,$A127,'Budget-Yixing'!AA:AA)</f>
        <v>2538.2799999999997</v>
      </c>
      <c r="AB127" s="688">
        <f ca="1">SUMIF('Budget-ACPL'!$A:$A,$A127,'Budget-ACPL'!AB:AB)+SUMIF('Budget-ACPLHK'!$A:$A,$A127,'Budget-ACPLHK'!AB:AB)+SUMIF('Budget-ACPSZL'!$A:$A,$A127,'Budget-ACPSZL'!AB:AB)+SUMIF('Budget-ACPLSZ'!$A:$A,$A127,'Budget-ACPLSZ'!AB:AB)+SUMIF('Budget-ACPLGZ'!$A:$A,$A127,'Budget-ACPLGZ'!AB:AB)+SUMIF('Budget-Yixing'!$A:$A,$A127,'Budget-Yixing'!AB:AB)</f>
        <v>2538.2799999999997</v>
      </c>
      <c r="AC127" s="688">
        <f ca="1">SUMIF('Budget-ACPL'!$A:$A,$A127,'Budget-ACPL'!AC:AC)+SUMIF('Budget-ACPLHK'!$A:$A,$A127,'Budget-ACPLHK'!AC:AC)+SUMIF('Budget-ACPSZL'!$A:$A,$A127,'Budget-ACPSZL'!AC:AC)+SUMIF('Budget-ACPLSZ'!$A:$A,$A127,'Budget-ACPLSZ'!AC:AC)+SUMIF('Budget-ACPLGZ'!$A:$A,$A127,'Budget-ACPLGZ'!AC:AC)+SUMIF('Budget-Yixing'!$A:$A,$A127,'Budget-Yixing'!AC:AC)</f>
        <v>2538.2799999999997</v>
      </c>
      <c r="AD127" s="688">
        <f ca="1">SUMIF('Budget-ACPL'!$A:$A,$A127,'Budget-ACPL'!AD:AD)+SUMIF('Budget-ACPLHK'!$A:$A,$A127,'Budget-ACPLHK'!AD:AD)+SUMIF('Budget-ACPSZL'!$A:$A,$A127,'Budget-ACPSZL'!AD:AD)+SUMIF('Budget-ACPLSZ'!$A:$A,$A127,'Budget-ACPLSZ'!AD:AD)+SUMIF('Budget-ACPLGZ'!$A:$A,$A127,'Budget-ACPLGZ'!AD:AD)+SUMIF('Budget-Yixing'!$A:$A,$A127,'Budget-Yixing'!AD:AD)</f>
        <v>2907.68</v>
      </c>
      <c r="AE127" s="688">
        <f ca="1">SUMIF('Budget-ACPL'!$A:$A,$A127,'Budget-ACPL'!AE:AE)+SUMIF('Budget-ACPLHK'!$A:$A,$A127,'Budget-ACPLHK'!AE:AE)+SUMIF('Budget-ACPSZL'!$A:$A,$A127,'Budget-ACPSZL'!AE:AE)+SUMIF('Budget-ACPLSZ'!$A:$A,$A127,'Budget-ACPLSZ'!AE:AE)+SUMIF('Budget-ACPLGZ'!$A:$A,$A127,'Budget-ACPLGZ'!AE:AE)+SUMIF('Budget-Yixing'!$A:$A,$A127,'Budget-Yixing'!AE:AE)</f>
        <v>3050.83</v>
      </c>
      <c r="AF127" s="688">
        <f ca="1">SUMIF('Budget-ACPL'!$A:$A,$A127,'Budget-ACPL'!AF:AF)+SUMIF('Budget-ACPLHK'!$A:$A,$A127,'Budget-ACPLHK'!AF:AF)+SUMIF('Budget-ACPSZL'!$A:$A,$A127,'Budget-ACPSZL'!AF:AF)+SUMIF('Budget-ACPLSZ'!$A:$A,$A127,'Budget-ACPLSZ'!AF:AF)+SUMIF('Budget-ACPLGZ'!$A:$A,$A127,'Budget-ACPLGZ'!AF:AF)+SUMIF('Budget-Yixing'!$A:$A,$A127,'Budget-Yixing'!AF:AF)</f>
        <v>3050.83</v>
      </c>
      <c r="AG127" s="688">
        <f ca="1">SUMIF('Budget-ACPL'!$A:$A,$A127,'Budget-ACPL'!AG:AG)+SUMIF('Budget-ACPLHK'!$A:$A,$A127,'Budget-ACPLHK'!AG:AG)+SUMIF('Budget-ACPSZL'!$A:$A,$A127,'Budget-ACPSZL'!AG:AG)+SUMIF('Budget-ACPLSZ'!$A:$A,$A127,'Budget-ACPLSZ'!AG:AG)+SUMIF('Budget-ACPLGZ'!$A:$A,$A127,'Budget-ACPLGZ'!AG:AG)+SUMIF('Budget-Yixing'!$A:$A,$A127,'Budget-Yixing'!AG:AG)</f>
        <v>3050.83</v>
      </c>
      <c r="AH127" s="688">
        <f ca="1">SUMIF('Budget-ACPL'!$A:$A,$A127,'Budget-ACPL'!AH:AH)+SUMIF('Budget-ACPLHK'!$A:$A,$A127,'Budget-ACPLHK'!AH:AH)+SUMIF('Budget-ACPSZL'!$A:$A,$A127,'Budget-ACPSZL'!AH:AH)+SUMIF('Budget-ACPLSZ'!$A:$A,$A127,'Budget-ACPLSZ'!AH:AH)+SUMIF('Budget-ACPLGZ'!$A:$A,$A127,'Budget-ACPLGZ'!AH:AH)+SUMIF('Budget-Yixing'!$A:$A,$A127,'Budget-Yixing'!AH:AH)</f>
        <v>3050.83</v>
      </c>
      <c r="AI127" s="688">
        <f ca="1">SUMIF('Budget-ACPL'!$A:$A,$A127,'Budget-ACPL'!AI:AI)+SUMIF('Budget-ACPLHK'!$A:$A,$A127,'Budget-ACPLHK'!AI:AI)+SUMIF('Budget-ACPSZL'!$A:$A,$A127,'Budget-ACPSZL'!AI:AI)+SUMIF('Budget-ACPLSZ'!$A:$A,$A127,'Budget-ACPLSZ'!AI:AI)+SUMIF('Budget-ACPLGZ'!$A:$A,$A127,'Budget-ACPLGZ'!AI:AI)+SUMIF('Budget-Yixing'!$A:$A,$A127,'Budget-Yixing'!AI:AI)</f>
        <v>3050.83</v>
      </c>
      <c r="AJ127" s="688">
        <f ca="1">SUMIF('Budget-ACPL'!$A:$A,$A127,'Budget-ACPL'!AJ:AJ)+SUMIF('Budget-ACPLHK'!$A:$A,$A127,'Budget-ACPLHK'!AJ:AJ)+SUMIF('Budget-ACPSZL'!$A:$A,$A127,'Budget-ACPSZL'!AJ:AJ)+SUMIF('Budget-ACPLSZ'!$A:$A,$A127,'Budget-ACPLSZ'!AJ:AJ)+SUMIF('Budget-ACPLGZ'!$A:$A,$A127,'Budget-ACPLGZ'!AJ:AJ)+SUMIF('Budget-Yixing'!$A:$A,$A127,'Budget-Yixing'!AJ:AJ)</f>
        <v>3050.83</v>
      </c>
      <c r="AK127" s="688">
        <f t="shared" ca="1" si="43"/>
        <v>35760.500000000007</v>
      </c>
    </row>
    <row r="128" spans="1:37" ht="11.1" customHeight="1">
      <c r="A128" s="713" t="s">
        <v>1736</v>
      </c>
      <c r="B128" s="687" t="str">
        <f>VLOOKUP(A128,Account!A:B,2,0)</f>
        <v>电子设备</v>
      </c>
      <c r="C128" s="687" t="str">
        <f>VLOOKUP(A128,Account!A:F,4,0)</f>
        <v>Dep Exp  Computer Equip</v>
      </c>
      <c r="D128" s="676">
        <f t="shared" ca="1" si="38"/>
        <v>4662.1797222222222</v>
      </c>
      <c r="E128" s="676" t="e">
        <f t="shared" si="39"/>
        <v>#N/A</v>
      </c>
      <c r="F128" s="676" t="e">
        <f t="shared" ca="1" si="37"/>
        <v>#N/A</v>
      </c>
      <c r="G128" s="676">
        <f t="shared" ca="1" si="40"/>
        <v>4662.1797222222222</v>
      </c>
      <c r="H128" s="676" t="e">
        <f t="shared" ca="1" si="41"/>
        <v>#N/A</v>
      </c>
      <c r="I128" s="676" t="e">
        <f t="shared" ca="1" si="42"/>
        <v>#N/A</v>
      </c>
      <c r="K128" s="676">
        <f ca="1">SUMIF('Budget-ACPL'!$A:$A,$A128,'Budget-ACPL'!K:K)+SUMIF('Budget-ACPLHK'!$A:$A,$A128,'Budget-ACPLHK'!K:K)+SUMIF('Budget-ACPSZL'!$A:$A,$A128,'Budget-ACPSZL'!K:K)+SUMIF('Budget-ACPLSZ'!$A:$A,$A128,'Budget-ACPLSZ'!K:K)+SUMIF('Budget-ACPLGZ'!$A:$A,$A128,'Budget-ACPLGZ'!K:K)+SUMIF('Budget-Yixing'!$A:$A,$A128,'Budget-Yixing'!K:K)</f>
        <v>4662.1797222222222</v>
      </c>
      <c r="L128" s="676">
        <f ca="1">SUMIF('Budget-ACPL'!$A:$A,$A128,'Budget-ACPL'!L:L)+SUMIF('Budget-ACPLHK'!$A:$A,$A128,'Budget-ACPLHK'!L:L)+SUMIF('Budget-ACPSZL'!$A:$A,$A128,'Budget-ACPSZL'!L:L)+SUMIF('Budget-ACPLSZ'!$A:$A,$A128,'Budget-ACPLSZ'!L:L)+SUMIF('Budget-ACPLGZ'!$A:$A,$A128,'Budget-ACPLGZ'!L:L)+SUMIF('Budget-Yixing'!$A:$A,$A128,'Budget-Yixing'!L:L)</f>
        <v>4655.6880555555554</v>
      </c>
      <c r="M128" s="676">
        <f ca="1">SUMIF('Budget-ACPL'!$A:$A,$A128,'Budget-ACPL'!M:M)+SUMIF('Budget-ACPLHK'!$A:$A,$A128,'Budget-ACPLHK'!M:M)+SUMIF('Budget-ACPSZL'!$A:$A,$A128,'Budget-ACPSZL'!M:M)+SUMIF('Budget-ACPLSZ'!$A:$A,$A128,'Budget-ACPLSZ'!M:M)+SUMIF('Budget-ACPLGZ'!$A:$A,$A128,'Budget-ACPLGZ'!M:M)+SUMIF('Budget-Yixing'!$A:$A,$A128,'Budget-Yixing'!M:M)</f>
        <v>4655.6880555555554</v>
      </c>
      <c r="N128" s="676">
        <f ca="1">SUMIF('Budget-ACPL'!$A:$A,$A128,'Budget-ACPL'!N:N)+SUMIF('Budget-ACPLHK'!$A:$A,$A128,'Budget-ACPLHK'!N:N)+SUMIF('Budget-ACPSZL'!$A:$A,$A128,'Budget-ACPSZL'!N:N)+SUMIF('Budget-ACPLSZ'!$A:$A,$A128,'Budget-ACPLSZ'!N:N)+SUMIF('Budget-ACPLGZ'!$A:$A,$A128,'Budget-ACPLGZ'!N:N)+SUMIF('Budget-Yixing'!$A:$A,$A128,'Budget-Yixing'!N:N)</f>
        <v>4655.6880555555554</v>
      </c>
      <c r="O128" s="676">
        <f ca="1">SUMIF('Budget-ACPL'!$A:$A,$A128,'Budget-ACPL'!O:O)+SUMIF('Budget-ACPLHK'!$A:$A,$A128,'Budget-ACPLHK'!O:O)+SUMIF('Budget-ACPSZL'!$A:$A,$A128,'Budget-ACPSZL'!O:O)+SUMIF('Budget-ACPLSZ'!$A:$A,$A128,'Budget-ACPLSZ'!O:O)+SUMIF('Budget-ACPLGZ'!$A:$A,$A128,'Budget-ACPLGZ'!O:O)+SUMIF('Budget-Yixing'!$A:$A,$A128,'Budget-Yixing'!O:O)</f>
        <v>4655.6880555555554</v>
      </c>
      <c r="P128" s="676">
        <f ca="1">SUMIF('Budget-ACPL'!$A:$A,$A128,'Budget-ACPL'!P:P)+SUMIF('Budget-ACPLHK'!$A:$A,$A128,'Budget-ACPLHK'!P:P)+SUMIF('Budget-ACPSZL'!$A:$A,$A128,'Budget-ACPSZL'!P:P)+SUMIF('Budget-ACPLSZ'!$A:$A,$A128,'Budget-ACPLSZ'!P:P)+SUMIF('Budget-ACPLGZ'!$A:$A,$A128,'Budget-ACPLGZ'!P:P)+SUMIF('Budget-Yixing'!$A:$A,$A128,'Budget-Yixing'!P:P)</f>
        <v>4655.6880555555554</v>
      </c>
      <c r="Q128" s="676">
        <f ca="1">SUMIF('Budget-ACPL'!$A:$A,$A128,'Budget-ACPL'!Q:Q)+SUMIF('Budget-ACPLHK'!$A:$A,$A128,'Budget-ACPLHK'!Q:Q)+SUMIF('Budget-ACPSZL'!$A:$A,$A128,'Budget-ACPSZL'!Q:Q)+SUMIF('Budget-ACPLSZ'!$A:$A,$A128,'Budget-ACPLSZ'!Q:Q)+SUMIF('Budget-ACPLGZ'!$A:$A,$A128,'Budget-ACPLGZ'!Q:Q)+SUMIF('Budget-Yixing'!$A:$A,$A128,'Budget-Yixing'!Q:Q)</f>
        <v>4655.6880555555554</v>
      </c>
      <c r="R128" s="676">
        <f ca="1">SUMIF('Budget-ACPL'!$A:$A,$A128,'Budget-ACPL'!R:R)+SUMIF('Budget-ACPLHK'!$A:$A,$A128,'Budget-ACPLHK'!R:R)+SUMIF('Budget-ACPSZL'!$A:$A,$A128,'Budget-ACPSZL'!R:R)+SUMIF('Budget-ACPLSZ'!$A:$A,$A128,'Budget-ACPLSZ'!R:R)+SUMIF('Budget-ACPLGZ'!$A:$A,$A128,'Budget-ACPLGZ'!R:R)+SUMIF('Budget-Yixing'!$A:$A,$A128,'Budget-Yixing'!R:R)</f>
        <v>4655.6880555555554</v>
      </c>
      <c r="S128" s="676">
        <f ca="1">SUMIF('Budget-ACPL'!$A:$A,$A128,'Budget-ACPL'!S:S)+SUMIF('Budget-ACPLHK'!$A:$A,$A128,'Budget-ACPLHK'!S:S)+SUMIF('Budget-ACPSZL'!$A:$A,$A128,'Budget-ACPSZL'!S:S)+SUMIF('Budget-ACPLSZ'!$A:$A,$A128,'Budget-ACPLSZ'!S:S)+SUMIF('Budget-ACPLGZ'!$A:$A,$A128,'Budget-ACPLGZ'!S:S)+SUMIF('Budget-Yixing'!$A:$A,$A128,'Budget-Yixing'!S:S)</f>
        <v>4655.6880555555554</v>
      </c>
      <c r="T128" s="676">
        <f ca="1">SUMIF('Budget-ACPL'!$A:$A,$A128,'Budget-ACPL'!T:T)+SUMIF('Budget-ACPLHK'!$A:$A,$A128,'Budget-ACPLHK'!T:T)+SUMIF('Budget-ACPSZL'!$A:$A,$A128,'Budget-ACPSZL'!T:T)+SUMIF('Budget-ACPLSZ'!$A:$A,$A128,'Budget-ACPLSZ'!T:T)+SUMIF('Budget-ACPLGZ'!$A:$A,$A128,'Budget-ACPLGZ'!T:T)+SUMIF('Budget-Yixing'!$A:$A,$A128,'Budget-Yixing'!T:T)</f>
        <v>4655.6880555555554</v>
      </c>
      <c r="U128" s="676">
        <f ca="1">SUMIF('Budget-ACPL'!$A:$A,$A128,'Budget-ACPL'!U:U)+SUMIF('Budget-ACPLHK'!$A:$A,$A128,'Budget-ACPLHK'!U:U)+SUMIF('Budget-ACPSZL'!$A:$A,$A128,'Budget-ACPSZL'!U:U)+SUMIF('Budget-ACPLSZ'!$A:$A,$A128,'Budget-ACPLSZ'!U:U)+SUMIF('Budget-ACPLGZ'!$A:$A,$A128,'Budget-ACPLGZ'!U:U)+SUMIF('Budget-Yixing'!$A:$A,$A128,'Budget-Yixing'!U:U)</f>
        <v>4655.6880555555554</v>
      </c>
      <c r="V128" s="676">
        <f ca="1">SUMIF('Budget-ACPL'!$A:$A,$A128,'Budget-ACPL'!V:V)+SUMIF('Budget-ACPLHK'!$A:$A,$A128,'Budget-ACPLHK'!V:V)+SUMIF('Budget-ACPSZL'!$A:$A,$A128,'Budget-ACPSZL'!V:V)+SUMIF('Budget-ACPLSZ'!$A:$A,$A128,'Budget-ACPLSZ'!V:V)+SUMIF('Budget-ACPLGZ'!$A:$A,$A128,'Budget-ACPLGZ'!V:V)+SUMIF('Budget-Yixing'!$A:$A,$A128,'Budget-Yixing'!V:V)</f>
        <v>4655.6880555555554</v>
      </c>
      <c r="W128" s="676">
        <f t="shared" ca="1" si="44"/>
        <v>55874.748333333322</v>
      </c>
      <c r="Y128" s="688">
        <f ca="1">SUMIF('Budget-ACPL'!$A:$A,$A128,'Budget-ACPL'!Y:Y)+SUMIF('Budget-ACPLHK'!$A:$A,$A128,'Budget-ACPLHK'!Y:Y)+SUMIF('Budget-ACPSZL'!$A:$A,$A128,'Budget-ACPSZL'!Y:Y)+SUMIF('Budget-ACPLSZ'!$A:$A,$A128,'Budget-ACPLSZ'!Y:Y)+SUMIF('Budget-ACPLGZ'!$A:$A,$A128,'Budget-ACPLGZ'!Y:Y)+SUMIF('Budget-Yixing'!$A:$A,$A128,'Budget-Yixing'!Y:Y)</f>
        <v>1695.16</v>
      </c>
      <c r="Z128" s="688">
        <f ca="1">SUMIF('Budget-ACPL'!$A:$A,$A128,'Budget-ACPL'!Z:Z)+SUMIF('Budget-ACPLHK'!$A:$A,$A128,'Budget-ACPLHK'!Z:Z)+SUMIF('Budget-ACPSZL'!$A:$A,$A128,'Budget-ACPSZL'!Z:Z)+SUMIF('Budget-ACPLSZ'!$A:$A,$A128,'Budget-ACPLSZ'!Z:Z)+SUMIF('Budget-ACPLGZ'!$A:$A,$A128,'Budget-ACPLGZ'!Z:Z)+SUMIF('Budget-Yixing'!$A:$A,$A128,'Budget-Yixing'!Z:Z)</f>
        <v>1695.16</v>
      </c>
      <c r="AA128" s="688">
        <f ca="1">SUMIF('Budget-ACPL'!$A:$A,$A128,'Budget-ACPL'!AA:AA)+SUMIF('Budget-ACPLHK'!$A:$A,$A128,'Budget-ACPLHK'!AA:AA)+SUMIF('Budget-ACPSZL'!$A:$A,$A128,'Budget-ACPSZL'!AA:AA)+SUMIF('Budget-ACPLSZ'!$A:$A,$A128,'Budget-ACPLSZ'!AA:AA)+SUMIF('Budget-ACPLGZ'!$A:$A,$A128,'Budget-ACPLGZ'!AA:AA)+SUMIF('Budget-Yixing'!$A:$A,$A128,'Budget-Yixing'!AA:AA)</f>
        <v>1819.26</v>
      </c>
      <c r="AB128" s="688">
        <f ca="1">SUMIF('Budget-ACPL'!$A:$A,$A128,'Budget-ACPL'!AB:AB)+SUMIF('Budget-ACPLHK'!$A:$A,$A128,'Budget-ACPLHK'!AB:AB)+SUMIF('Budget-ACPSZL'!$A:$A,$A128,'Budget-ACPSZL'!AB:AB)+SUMIF('Budget-ACPLSZ'!$A:$A,$A128,'Budget-ACPLSZ'!AB:AB)+SUMIF('Budget-ACPLGZ'!$A:$A,$A128,'Budget-ACPLGZ'!AB:AB)+SUMIF('Budget-Yixing'!$A:$A,$A128,'Budget-Yixing'!AB:AB)</f>
        <v>1819.26</v>
      </c>
      <c r="AC128" s="688">
        <f ca="1">SUMIF('Budget-ACPL'!$A:$A,$A128,'Budget-ACPL'!AC:AC)+SUMIF('Budget-ACPLHK'!$A:$A,$A128,'Budget-ACPLHK'!AC:AC)+SUMIF('Budget-ACPSZL'!$A:$A,$A128,'Budget-ACPSZL'!AC:AC)+SUMIF('Budget-ACPLSZ'!$A:$A,$A128,'Budget-ACPLSZ'!AC:AC)+SUMIF('Budget-ACPLGZ'!$A:$A,$A128,'Budget-ACPLGZ'!AC:AC)+SUMIF('Budget-Yixing'!$A:$A,$A128,'Budget-Yixing'!AC:AC)</f>
        <v>1819.26</v>
      </c>
      <c r="AD128" s="688">
        <f ca="1">SUMIF('Budget-ACPL'!$A:$A,$A128,'Budget-ACPL'!AD:AD)+SUMIF('Budget-ACPLHK'!$A:$A,$A128,'Budget-ACPLHK'!AD:AD)+SUMIF('Budget-ACPSZL'!$A:$A,$A128,'Budget-ACPSZL'!AD:AD)+SUMIF('Budget-ACPLSZ'!$A:$A,$A128,'Budget-ACPLSZ'!AD:AD)+SUMIF('Budget-ACPLGZ'!$A:$A,$A128,'Budget-ACPLGZ'!AD:AD)+SUMIF('Budget-Yixing'!$A:$A,$A128,'Budget-Yixing'!AD:AD)</f>
        <v>2188.66</v>
      </c>
      <c r="AE128" s="688">
        <f ca="1">SUMIF('Budget-ACPL'!$A:$A,$A128,'Budget-ACPL'!AE:AE)+SUMIF('Budget-ACPLHK'!$A:$A,$A128,'Budget-ACPLHK'!AE:AE)+SUMIF('Budget-ACPSZL'!$A:$A,$A128,'Budget-ACPSZL'!AE:AE)+SUMIF('Budget-ACPLSZ'!$A:$A,$A128,'Budget-ACPLSZ'!AE:AE)+SUMIF('Budget-ACPLGZ'!$A:$A,$A128,'Budget-ACPLGZ'!AE:AE)+SUMIF('Budget-Yixing'!$A:$A,$A128,'Budget-Yixing'!AE:AE)</f>
        <v>2331.81</v>
      </c>
      <c r="AF128" s="688">
        <f ca="1">SUMIF('Budget-ACPL'!$A:$A,$A128,'Budget-ACPL'!AF:AF)+SUMIF('Budget-ACPLHK'!$A:$A,$A128,'Budget-ACPLHK'!AF:AF)+SUMIF('Budget-ACPSZL'!$A:$A,$A128,'Budget-ACPSZL'!AF:AF)+SUMIF('Budget-ACPLSZ'!$A:$A,$A128,'Budget-ACPLSZ'!AF:AF)+SUMIF('Budget-ACPLGZ'!$A:$A,$A128,'Budget-ACPLGZ'!AF:AF)+SUMIF('Budget-Yixing'!$A:$A,$A128,'Budget-Yixing'!AF:AF)</f>
        <v>2331.81</v>
      </c>
      <c r="AG128" s="688">
        <f ca="1">SUMIF('Budget-ACPL'!$A:$A,$A128,'Budget-ACPL'!AG:AG)+SUMIF('Budget-ACPLHK'!$A:$A,$A128,'Budget-ACPLHK'!AG:AG)+SUMIF('Budget-ACPSZL'!$A:$A,$A128,'Budget-ACPSZL'!AG:AG)+SUMIF('Budget-ACPLSZ'!$A:$A,$A128,'Budget-ACPLSZ'!AG:AG)+SUMIF('Budget-ACPLGZ'!$A:$A,$A128,'Budget-ACPLGZ'!AG:AG)+SUMIF('Budget-Yixing'!$A:$A,$A128,'Budget-Yixing'!AG:AG)</f>
        <v>2331.81</v>
      </c>
      <c r="AH128" s="688">
        <f ca="1">SUMIF('Budget-ACPL'!$A:$A,$A128,'Budget-ACPL'!AH:AH)+SUMIF('Budget-ACPLHK'!$A:$A,$A128,'Budget-ACPLHK'!AH:AH)+SUMIF('Budget-ACPSZL'!$A:$A,$A128,'Budget-ACPSZL'!AH:AH)+SUMIF('Budget-ACPLSZ'!$A:$A,$A128,'Budget-ACPLSZ'!AH:AH)+SUMIF('Budget-ACPLGZ'!$A:$A,$A128,'Budget-ACPLGZ'!AH:AH)+SUMIF('Budget-Yixing'!$A:$A,$A128,'Budget-Yixing'!AH:AH)</f>
        <v>2331.81</v>
      </c>
      <c r="AI128" s="688">
        <f ca="1">SUMIF('Budget-ACPL'!$A:$A,$A128,'Budget-ACPL'!AI:AI)+SUMIF('Budget-ACPLHK'!$A:$A,$A128,'Budget-ACPLHK'!AI:AI)+SUMIF('Budget-ACPSZL'!$A:$A,$A128,'Budget-ACPSZL'!AI:AI)+SUMIF('Budget-ACPLSZ'!$A:$A,$A128,'Budget-ACPLSZ'!AI:AI)+SUMIF('Budget-ACPLGZ'!$A:$A,$A128,'Budget-ACPLGZ'!AI:AI)+SUMIF('Budget-Yixing'!$A:$A,$A128,'Budget-Yixing'!AI:AI)</f>
        <v>2331.81</v>
      </c>
      <c r="AJ128" s="688">
        <f ca="1">SUMIF('Budget-ACPL'!$A:$A,$A128,'Budget-ACPL'!AJ:AJ)+SUMIF('Budget-ACPLHK'!$A:$A,$A128,'Budget-ACPLHK'!AJ:AJ)+SUMIF('Budget-ACPSZL'!$A:$A,$A128,'Budget-ACPSZL'!AJ:AJ)+SUMIF('Budget-ACPLSZ'!$A:$A,$A128,'Budget-ACPLSZ'!AJ:AJ)+SUMIF('Budget-ACPLGZ'!$A:$A,$A128,'Budget-ACPLGZ'!AJ:AJ)+SUMIF('Budget-Yixing'!$A:$A,$A128,'Budget-Yixing'!AJ:AJ)</f>
        <v>2331.81</v>
      </c>
      <c r="AK128" s="688">
        <f t="shared" ca="1" si="43"/>
        <v>25027.620000000003</v>
      </c>
    </row>
    <row r="129" spans="1:37" ht="11.1" hidden="1" customHeight="1">
      <c r="A129" s="713" t="s">
        <v>1739</v>
      </c>
      <c r="B129" s="687" t="str">
        <f>VLOOKUP(A129,Account!A:B,2,0)</f>
        <v>房屋建筑物</v>
      </c>
      <c r="C129" s="687">
        <f>VLOOKUP(A129,Account!A:F,4,0)</f>
        <v>0</v>
      </c>
      <c r="D129" s="676">
        <f t="shared" ca="1" si="38"/>
        <v>0</v>
      </c>
      <c r="E129" s="676" t="e">
        <f t="shared" si="39"/>
        <v>#N/A</v>
      </c>
      <c r="F129" s="676" t="e">
        <f t="shared" ca="1" si="37"/>
        <v>#N/A</v>
      </c>
      <c r="G129" s="676">
        <f t="shared" ca="1" si="40"/>
        <v>0</v>
      </c>
      <c r="H129" s="676" t="e">
        <f t="shared" ca="1" si="41"/>
        <v>#N/A</v>
      </c>
      <c r="I129" s="676" t="e">
        <f t="shared" ca="1" si="42"/>
        <v>#N/A</v>
      </c>
      <c r="K129" s="676">
        <f ca="1">SUMIF('Budget-ACPL'!$A:$A,$A129,'Budget-ACPL'!K:K)+SUMIF('Budget-ACPLHK'!$A:$A,$A129,'Budget-ACPLHK'!K:K)+SUMIF('Budget-ACPSZL'!$A:$A,$A129,'Budget-ACPSZL'!K:K)+SUMIF('Budget-ACPLSZ'!$A:$A,$A129,'Budget-ACPLSZ'!K:K)+SUMIF('Budget-ACPLGZ'!$A:$A,$A129,'Budget-ACPLGZ'!K:K)+SUMIF('Budget-Yixing'!$A:$A,$A129,'Budget-Yixing'!K:K)</f>
        <v>0</v>
      </c>
      <c r="L129" s="676">
        <f ca="1">SUMIF('Budget-ACPL'!$A:$A,$A129,'Budget-ACPL'!L:L)+SUMIF('Budget-ACPLHK'!$A:$A,$A129,'Budget-ACPLHK'!L:L)+SUMIF('Budget-ACPSZL'!$A:$A,$A129,'Budget-ACPSZL'!L:L)+SUMIF('Budget-ACPLSZ'!$A:$A,$A129,'Budget-ACPLSZ'!L:L)+SUMIF('Budget-ACPLGZ'!$A:$A,$A129,'Budget-ACPLGZ'!L:L)+SUMIF('Budget-Yixing'!$A:$A,$A129,'Budget-Yixing'!L:L)</f>
        <v>0</v>
      </c>
      <c r="M129" s="676">
        <f ca="1">SUMIF('Budget-ACPL'!$A:$A,$A129,'Budget-ACPL'!M:M)+SUMIF('Budget-ACPLHK'!$A:$A,$A129,'Budget-ACPLHK'!M:M)+SUMIF('Budget-ACPSZL'!$A:$A,$A129,'Budget-ACPSZL'!M:M)+SUMIF('Budget-ACPLSZ'!$A:$A,$A129,'Budget-ACPLSZ'!M:M)+SUMIF('Budget-ACPLGZ'!$A:$A,$A129,'Budget-ACPLGZ'!M:M)+SUMIF('Budget-Yixing'!$A:$A,$A129,'Budget-Yixing'!M:M)</f>
        <v>0</v>
      </c>
      <c r="N129" s="676">
        <f ca="1">SUMIF('Budget-ACPL'!$A:$A,$A129,'Budget-ACPL'!N:N)+SUMIF('Budget-ACPLHK'!$A:$A,$A129,'Budget-ACPLHK'!N:N)+SUMIF('Budget-ACPSZL'!$A:$A,$A129,'Budget-ACPSZL'!N:N)+SUMIF('Budget-ACPLSZ'!$A:$A,$A129,'Budget-ACPLSZ'!N:N)+SUMIF('Budget-ACPLGZ'!$A:$A,$A129,'Budget-ACPLGZ'!N:N)+SUMIF('Budget-Yixing'!$A:$A,$A129,'Budget-Yixing'!N:N)</f>
        <v>0</v>
      </c>
      <c r="O129" s="676">
        <f ca="1">SUMIF('Budget-ACPL'!$A:$A,$A129,'Budget-ACPL'!O:O)+SUMIF('Budget-ACPLHK'!$A:$A,$A129,'Budget-ACPLHK'!O:O)+SUMIF('Budget-ACPSZL'!$A:$A,$A129,'Budget-ACPSZL'!O:O)+SUMIF('Budget-ACPLSZ'!$A:$A,$A129,'Budget-ACPLSZ'!O:O)+SUMIF('Budget-ACPLGZ'!$A:$A,$A129,'Budget-ACPLGZ'!O:O)+SUMIF('Budget-Yixing'!$A:$A,$A129,'Budget-Yixing'!O:O)</f>
        <v>0</v>
      </c>
      <c r="P129" s="676">
        <f ca="1">SUMIF('Budget-ACPL'!$A:$A,$A129,'Budget-ACPL'!P:P)+SUMIF('Budget-ACPLHK'!$A:$A,$A129,'Budget-ACPLHK'!P:P)+SUMIF('Budget-ACPSZL'!$A:$A,$A129,'Budget-ACPSZL'!P:P)+SUMIF('Budget-ACPLSZ'!$A:$A,$A129,'Budget-ACPLSZ'!P:P)+SUMIF('Budget-ACPLGZ'!$A:$A,$A129,'Budget-ACPLGZ'!P:P)+SUMIF('Budget-Yixing'!$A:$A,$A129,'Budget-Yixing'!P:P)</f>
        <v>0</v>
      </c>
      <c r="Q129" s="676">
        <f ca="1">SUMIF('Budget-ACPL'!$A:$A,$A129,'Budget-ACPL'!Q:Q)+SUMIF('Budget-ACPLHK'!$A:$A,$A129,'Budget-ACPLHK'!Q:Q)+SUMIF('Budget-ACPSZL'!$A:$A,$A129,'Budget-ACPSZL'!Q:Q)+SUMIF('Budget-ACPLSZ'!$A:$A,$A129,'Budget-ACPLSZ'!Q:Q)+SUMIF('Budget-ACPLGZ'!$A:$A,$A129,'Budget-ACPLGZ'!Q:Q)+SUMIF('Budget-Yixing'!$A:$A,$A129,'Budget-Yixing'!Q:Q)</f>
        <v>0</v>
      </c>
      <c r="R129" s="676">
        <f ca="1">SUMIF('Budget-ACPL'!$A:$A,$A129,'Budget-ACPL'!R:R)+SUMIF('Budget-ACPLHK'!$A:$A,$A129,'Budget-ACPLHK'!R:R)+SUMIF('Budget-ACPSZL'!$A:$A,$A129,'Budget-ACPSZL'!R:R)+SUMIF('Budget-ACPLSZ'!$A:$A,$A129,'Budget-ACPLSZ'!R:R)+SUMIF('Budget-ACPLGZ'!$A:$A,$A129,'Budget-ACPLGZ'!R:R)+SUMIF('Budget-Yixing'!$A:$A,$A129,'Budget-Yixing'!R:R)</f>
        <v>0</v>
      </c>
      <c r="S129" s="676">
        <f ca="1">SUMIF('Budget-ACPL'!$A:$A,$A129,'Budget-ACPL'!S:S)+SUMIF('Budget-ACPLHK'!$A:$A,$A129,'Budget-ACPLHK'!S:S)+SUMIF('Budget-ACPSZL'!$A:$A,$A129,'Budget-ACPSZL'!S:S)+SUMIF('Budget-ACPLSZ'!$A:$A,$A129,'Budget-ACPLSZ'!S:S)+SUMIF('Budget-ACPLGZ'!$A:$A,$A129,'Budget-ACPLGZ'!S:S)+SUMIF('Budget-Yixing'!$A:$A,$A129,'Budget-Yixing'!S:S)</f>
        <v>0</v>
      </c>
      <c r="T129" s="676">
        <f ca="1">SUMIF('Budget-ACPL'!$A:$A,$A129,'Budget-ACPL'!T:T)+SUMIF('Budget-ACPLHK'!$A:$A,$A129,'Budget-ACPLHK'!T:T)+SUMIF('Budget-ACPSZL'!$A:$A,$A129,'Budget-ACPSZL'!T:T)+SUMIF('Budget-ACPLSZ'!$A:$A,$A129,'Budget-ACPLSZ'!T:T)+SUMIF('Budget-ACPLGZ'!$A:$A,$A129,'Budget-ACPLGZ'!T:T)+SUMIF('Budget-Yixing'!$A:$A,$A129,'Budget-Yixing'!T:T)</f>
        <v>0</v>
      </c>
      <c r="U129" s="676">
        <f ca="1">SUMIF('Budget-ACPL'!$A:$A,$A129,'Budget-ACPL'!U:U)+SUMIF('Budget-ACPLHK'!$A:$A,$A129,'Budget-ACPLHK'!U:U)+SUMIF('Budget-ACPSZL'!$A:$A,$A129,'Budget-ACPSZL'!U:U)+SUMIF('Budget-ACPLSZ'!$A:$A,$A129,'Budget-ACPLSZ'!U:U)+SUMIF('Budget-ACPLGZ'!$A:$A,$A129,'Budget-ACPLGZ'!U:U)+SUMIF('Budget-Yixing'!$A:$A,$A129,'Budget-Yixing'!U:U)</f>
        <v>0</v>
      </c>
      <c r="V129" s="676">
        <f ca="1">SUMIF('Budget-ACPL'!$A:$A,$A129,'Budget-ACPL'!V:V)+SUMIF('Budget-ACPLHK'!$A:$A,$A129,'Budget-ACPLHK'!V:V)+SUMIF('Budget-ACPSZL'!$A:$A,$A129,'Budget-ACPSZL'!V:V)+SUMIF('Budget-ACPLSZ'!$A:$A,$A129,'Budget-ACPLSZ'!V:V)+SUMIF('Budget-ACPLGZ'!$A:$A,$A129,'Budget-ACPLGZ'!V:V)+SUMIF('Budget-Yixing'!$A:$A,$A129,'Budget-Yixing'!V:V)</f>
        <v>0</v>
      </c>
      <c r="W129" s="676">
        <f t="shared" ca="1" si="44"/>
        <v>0</v>
      </c>
      <c r="Y129" s="688">
        <f ca="1">SUMIF('Budget-ACPL'!$A:$A,$A129,'Budget-ACPL'!Y:Y)+SUMIF('Budget-ACPLHK'!$A:$A,$A129,'Budget-ACPLHK'!Y:Y)+SUMIF('Budget-ACPSZL'!$A:$A,$A129,'Budget-ACPSZL'!Y:Y)+SUMIF('Budget-ACPLSZ'!$A:$A,$A129,'Budget-ACPLSZ'!Y:Y)+SUMIF('Budget-ACPLGZ'!$A:$A,$A129,'Budget-ACPLGZ'!Y:Y)+SUMIF('Budget-Yixing'!$A:$A,$A129,'Budget-Yixing'!Y:Y)</f>
        <v>0</v>
      </c>
      <c r="Z129" s="688">
        <f ca="1">SUMIF('Budget-ACPL'!$A:$A,$A129,'Budget-ACPL'!Z:Z)+SUMIF('Budget-ACPLHK'!$A:$A,$A129,'Budget-ACPLHK'!Z:Z)+SUMIF('Budget-ACPSZL'!$A:$A,$A129,'Budget-ACPSZL'!Z:Z)+SUMIF('Budget-ACPLSZ'!$A:$A,$A129,'Budget-ACPLSZ'!Z:Z)+SUMIF('Budget-ACPLGZ'!$A:$A,$A129,'Budget-ACPLGZ'!Z:Z)+SUMIF('Budget-Yixing'!$A:$A,$A129,'Budget-Yixing'!Z:Z)</f>
        <v>0</v>
      </c>
      <c r="AA129" s="688">
        <f ca="1">SUMIF('Budget-ACPL'!$A:$A,$A129,'Budget-ACPL'!AA:AA)+SUMIF('Budget-ACPLHK'!$A:$A,$A129,'Budget-ACPLHK'!AA:AA)+SUMIF('Budget-ACPSZL'!$A:$A,$A129,'Budget-ACPSZL'!AA:AA)+SUMIF('Budget-ACPLSZ'!$A:$A,$A129,'Budget-ACPLSZ'!AA:AA)+SUMIF('Budget-ACPLGZ'!$A:$A,$A129,'Budget-ACPLGZ'!AA:AA)+SUMIF('Budget-Yixing'!$A:$A,$A129,'Budget-Yixing'!AA:AA)</f>
        <v>0</v>
      </c>
      <c r="AB129" s="688">
        <f ca="1">SUMIF('Budget-ACPL'!$A:$A,$A129,'Budget-ACPL'!AB:AB)+SUMIF('Budget-ACPLHK'!$A:$A,$A129,'Budget-ACPLHK'!AB:AB)+SUMIF('Budget-ACPSZL'!$A:$A,$A129,'Budget-ACPSZL'!AB:AB)+SUMIF('Budget-ACPLSZ'!$A:$A,$A129,'Budget-ACPLSZ'!AB:AB)+SUMIF('Budget-ACPLGZ'!$A:$A,$A129,'Budget-ACPLGZ'!AB:AB)+SUMIF('Budget-Yixing'!$A:$A,$A129,'Budget-Yixing'!AB:AB)</f>
        <v>0</v>
      </c>
      <c r="AC129" s="688">
        <f ca="1">SUMIF('Budget-ACPL'!$A:$A,$A129,'Budget-ACPL'!AC:AC)+SUMIF('Budget-ACPLHK'!$A:$A,$A129,'Budget-ACPLHK'!AC:AC)+SUMIF('Budget-ACPSZL'!$A:$A,$A129,'Budget-ACPSZL'!AC:AC)+SUMIF('Budget-ACPLSZ'!$A:$A,$A129,'Budget-ACPLSZ'!AC:AC)+SUMIF('Budget-ACPLGZ'!$A:$A,$A129,'Budget-ACPLGZ'!AC:AC)+SUMIF('Budget-Yixing'!$A:$A,$A129,'Budget-Yixing'!AC:AC)</f>
        <v>0</v>
      </c>
      <c r="AD129" s="688">
        <f ca="1">SUMIF('Budget-ACPL'!$A:$A,$A129,'Budget-ACPL'!AD:AD)+SUMIF('Budget-ACPLHK'!$A:$A,$A129,'Budget-ACPLHK'!AD:AD)+SUMIF('Budget-ACPSZL'!$A:$A,$A129,'Budget-ACPSZL'!AD:AD)+SUMIF('Budget-ACPLSZ'!$A:$A,$A129,'Budget-ACPLSZ'!AD:AD)+SUMIF('Budget-ACPLGZ'!$A:$A,$A129,'Budget-ACPLGZ'!AD:AD)+SUMIF('Budget-Yixing'!$A:$A,$A129,'Budget-Yixing'!AD:AD)</f>
        <v>0</v>
      </c>
      <c r="AE129" s="688">
        <f ca="1">SUMIF('Budget-ACPL'!$A:$A,$A129,'Budget-ACPL'!AE:AE)+SUMIF('Budget-ACPLHK'!$A:$A,$A129,'Budget-ACPLHK'!AE:AE)+SUMIF('Budget-ACPSZL'!$A:$A,$A129,'Budget-ACPSZL'!AE:AE)+SUMIF('Budget-ACPLSZ'!$A:$A,$A129,'Budget-ACPLSZ'!AE:AE)+SUMIF('Budget-ACPLGZ'!$A:$A,$A129,'Budget-ACPLGZ'!AE:AE)+SUMIF('Budget-Yixing'!$A:$A,$A129,'Budget-Yixing'!AE:AE)</f>
        <v>0</v>
      </c>
      <c r="AF129" s="688">
        <f ca="1">SUMIF('Budget-ACPL'!$A:$A,$A129,'Budget-ACPL'!AF:AF)+SUMIF('Budget-ACPLHK'!$A:$A,$A129,'Budget-ACPLHK'!AF:AF)+SUMIF('Budget-ACPSZL'!$A:$A,$A129,'Budget-ACPSZL'!AF:AF)+SUMIF('Budget-ACPLSZ'!$A:$A,$A129,'Budget-ACPLSZ'!AF:AF)+SUMIF('Budget-ACPLGZ'!$A:$A,$A129,'Budget-ACPLGZ'!AF:AF)+SUMIF('Budget-Yixing'!$A:$A,$A129,'Budget-Yixing'!AF:AF)</f>
        <v>0</v>
      </c>
      <c r="AG129" s="688">
        <f ca="1">SUMIF('Budget-ACPL'!$A:$A,$A129,'Budget-ACPL'!AG:AG)+SUMIF('Budget-ACPLHK'!$A:$A,$A129,'Budget-ACPLHK'!AG:AG)+SUMIF('Budget-ACPSZL'!$A:$A,$A129,'Budget-ACPSZL'!AG:AG)+SUMIF('Budget-ACPLSZ'!$A:$A,$A129,'Budget-ACPLSZ'!AG:AG)+SUMIF('Budget-ACPLGZ'!$A:$A,$A129,'Budget-ACPLGZ'!AG:AG)+SUMIF('Budget-Yixing'!$A:$A,$A129,'Budget-Yixing'!AG:AG)</f>
        <v>0</v>
      </c>
      <c r="AH129" s="688">
        <f ca="1">SUMIF('Budget-ACPL'!$A:$A,$A129,'Budget-ACPL'!AH:AH)+SUMIF('Budget-ACPLHK'!$A:$A,$A129,'Budget-ACPLHK'!AH:AH)+SUMIF('Budget-ACPSZL'!$A:$A,$A129,'Budget-ACPSZL'!AH:AH)+SUMIF('Budget-ACPLSZ'!$A:$A,$A129,'Budget-ACPLSZ'!AH:AH)+SUMIF('Budget-ACPLGZ'!$A:$A,$A129,'Budget-ACPLGZ'!AH:AH)+SUMIF('Budget-Yixing'!$A:$A,$A129,'Budget-Yixing'!AH:AH)</f>
        <v>0</v>
      </c>
      <c r="AI129" s="688">
        <f ca="1">SUMIF('Budget-ACPL'!$A:$A,$A129,'Budget-ACPL'!AI:AI)+SUMIF('Budget-ACPLHK'!$A:$A,$A129,'Budget-ACPLHK'!AI:AI)+SUMIF('Budget-ACPSZL'!$A:$A,$A129,'Budget-ACPSZL'!AI:AI)+SUMIF('Budget-ACPLSZ'!$A:$A,$A129,'Budget-ACPLSZ'!AI:AI)+SUMIF('Budget-ACPLGZ'!$A:$A,$A129,'Budget-ACPLGZ'!AI:AI)+SUMIF('Budget-Yixing'!$A:$A,$A129,'Budget-Yixing'!AI:AI)</f>
        <v>0</v>
      </c>
      <c r="AJ129" s="688">
        <f ca="1">SUMIF('Budget-ACPL'!$A:$A,$A129,'Budget-ACPL'!AJ:AJ)+SUMIF('Budget-ACPLHK'!$A:$A,$A129,'Budget-ACPLHK'!AJ:AJ)+SUMIF('Budget-ACPSZL'!$A:$A,$A129,'Budget-ACPSZL'!AJ:AJ)+SUMIF('Budget-ACPLSZ'!$A:$A,$A129,'Budget-ACPLSZ'!AJ:AJ)+SUMIF('Budget-ACPLGZ'!$A:$A,$A129,'Budget-ACPLGZ'!AJ:AJ)+SUMIF('Budget-Yixing'!$A:$A,$A129,'Budget-Yixing'!AJ:AJ)</f>
        <v>0</v>
      </c>
      <c r="AK129" s="688">
        <f t="shared" ca="1" si="43"/>
        <v>0</v>
      </c>
    </row>
    <row r="130" spans="1:37" ht="11.1" hidden="1" customHeight="1">
      <c r="A130" s="713" t="s">
        <v>1741</v>
      </c>
      <c r="B130" s="687" t="str">
        <f>VLOOKUP(A130,Account!A:B,2,0)</f>
        <v>机器设备</v>
      </c>
      <c r="C130" s="687">
        <f>VLOOKUP(A130,Account!A:F,4,0)</f>
        <v>0</v>
      </c>
      <c r="D130" s="676">
        <f t="shared" ca="1" si="38"/>
        <v>0</v>
      </c>
      <c r="E130" s="676" t="e">
        <f t="shared" si="39"/>
        <v>#N/A</v>
      </c>
      <c r="F130" s="676" t="e">
        <f t="shared" ca="1" si="37"/>
        <v>#N/A</v>
      </c>
      <c r="G130" s="676">
        <f t="shared" ca="1" si="40"/>
        <v>0</v>
      </c>
      <c r="H130" s="676" t="e">
        <f t="shared" ca="1" si="41"/>
        <v>#N/A</v>
      </c>
      <c r="I130" s="676" t="e">
        <f t="shared" ca="1" si="42"/>
        <v>#N/A</v>
      </c>
      <c r="K130" s="676">
        <f ca="1">SUMIF('Budget-ACPL'!$A:$A,$A130,'Budget-ACPL'!K:K)+SUMIF('Budget-ACPLHK'!$A:$A,$A130,'Budget-ACPLHK'!K:K)+SUMIF('Budget-ACPSZL'!$A:$A,$A130,'Budget-ACPSZL'!K:K)+SUMIF('Budget-ACPLSZ'!$A:$A,$A130,'Budget-ACPLSZ'!K:K)+SUMIF('Budget-ACPLGZ'!$A:$A,$A130,'Budget-ACPLGZ'!K:K)+SUMIF('Budget-Yixing'!$A:$A,$A130,'Budget-Yixing'!K:K)</f>
        <v>0</v>
      </c>
      <c r="L130" s="676">
        <f ca="1">SUMIF('Budget-ACPL'!$A:$A,$A130,'Budget-ACPL'!L:L)+SUMIF('Budget-ACPLHK'!$A:$A,$A130,'Budget-ACPLHK'!L:L)+SUMIF('Budget-ACPSZL'!$A:$A,$A130,'Budget-ACPSZL'!L:L)+SUMIF('Budget-ACPLSZ'!$A:$A,$A130,'Budget-ACPLSZ'!L:L)+SUMIF('Budget-ACPLGZ'!$A:$A,$A130,'Budget-ACPLGZ'!L:L)+SUMIF('Budget-Yixing'!$A:$A,$A130,'Budget-Yixing'!L:L)</f>
        <v>0</v>
      </c>
      <c r="M130" s="676">
        <f ca="1">SUMIF('Budget-ACPL'!$A:$A,$A130,'Budget-ACPL'!M:M)+SUMIF('Budget-ACPLHK'!$A:$A,$A130,'Budget-ACPLHK'!M:M)+SUMIF('Budget-ACPSZL'!$A:$A,$A130,'Budget-ACPSZL'!M:M)+SUMIF('Budget-ACPLSZ'!$A:$A,$A130,'Budget-ACPLSZ'!M:M)+SUMIF('Budget-ACPLGZ'!$A:$A,$A130,'Budget-ACPLGZ'!M:M)+SUMIF('Budget-Yixing'!$A:$A,$A130,'Budget-Yixing'!M:M)</f>
        <v>0</v>
      </c>
      <c r="N130" s="676">
        <f ca="1">SUMIF('Budget-ACPL'!$A:$A,$A130,'Budget-ACPL'!N:N)+SUMIF('Budget-ACPLHK'!$A:$A,$A130,'Budget-ACPLHK'!N:N)+SUMIF('Budget-ACPSZL'!$A:$A,$A130,'Budget-ACPSZL'!N:N)+SUMIF('Budget-ACPLSZ'!$A:$A,$A130,'Budget-ACPLSZ'!N:N)+SUMIF('Budget-ACPLGZ'!$A:$A,$A130,'Budget-ACPLGZ'!N:N)+SUMIF('Budget-Yixing'!$A:$A,$A130,'Budget-Yixing'!N:N)</f>
        <v>0</v>
      </c>
      <c r="O130" s="676">
        <f ca="1">SUMIF('Budget-ACPL'!$A:$A,$A130,'Budget-ACPL'!O:O)+SUMIF('Budget-ACPLHK'!$A:$A,$A130,'Budget-ACPLHK'!O:O)+SUMIF('Budget-ACPSZL'!$A:$A,$A130,'Budget-ACPSZL'!O:O)+SUMIF('Budget-ACPLSZ'!$A:$A,$A130,'Budget-ACPLSZ'!O:O)+SUMIF('Budget-ACPLGZ'!$A:$A,$A130,'Budget-ACPLGZ'!O:O)+SUMIF('Budget-Yixing'!$A:$A,$A130,'Budget-Yixing'!O:O)</f>
        <v>0</v>
      </c>
      <c r="P130" s="676">
        <f ca="1">SUMIF('Budget-ACPL'!$A:$A,$A130,'Budget-ACPL'!P:P)+SUMIF('Budget-ACPLHK'!$A:$A,$A130,'Budget-ACPLHK'!P:P)+SUMIF('Budget-ACPSZL'!$A:$A,$A130,'Budget-ACPSZL'!P:P)+SUMIF('Budget-ACPLSZ'!$A:$A,$A130,'Budget-ACPLSZ'!P:P)+SUMIF('Budget-ACPLGZ'!$A:$A,$A130,'Budget-ACPLGZ'!P:P)+SUMIF('Budget-Yixing'!$A:$A,$A130,'Budget-Yixing'!P:P)</f>
        <v>0</v>
      </c>
      <c r="Q130" s="676">
        <f ca="1">SUMIF('Budget-ACPL'!$A:$A,$A130,'Budget-ACPL'!Q:Q)+SUMIF('Budget-ACPLHK'!$A:$A,$A130,'Budget-ACPLHK'!Q:Q)+SUMIF('Budget-ACPSZL'!$A:$A,$A130,'Budget-ACPSZL'!Q:Q)+SUMIF('Budget-ACPLSZ'!$A:$A,$A130,'Budget-ACPLSZ'!Q:Q)+SUMIF('Budget-ACPLGZ'!$A:$A,$A130,'Budget-ACPLGZ'!Q:Q)+SUMIF('Budget-Yixing'!$A:$A,$A130,'Budget-Yixing'!Q:Q)</f>
        <v>0</v>
      </c>
      <c r="R130" s="676">
        <f ca="1">SUMIF('Budget-ACPL'!$A:$A,$A130,'Budget-ACPL'!R:R)+SUMIF('Budget-ACPLHK'!$A:$A,$A130,'Budget-ACPLHK'!R:R)+SUMIF('Budget-ACPSZL'!$A:$A,$A130,'Budget-ACPSZL'!R:R)+SUMIF('Budget-ACPLSZ'!$A:$A,$A130,'Budget-ACPLSZ'!R:R)+SUMIF('Budget-ACPLGZ'!$A:$A,$A130,'Budget-ACPLGZ'!R:R)+SUMIF('Budget-Yixing'!$A:$A,$A130,'Budget-Yixing'!R:R)</f>
        <v>0</v>
      </c>
      <c r="S130" s="676">
        <f ca="1">SUMIF('Budget-ACPL'!$A:$A,$A130,'Budget-ACPL'!S:S)+SUMIF('Budget-ACPLHK'!$A:$A,$A130,'Budget-ACPLHK'!S:S)+SUMIF('Budget-ACPSZL'!$A:$A,$A130,'Budget-ACPSZL'!S:S)+SUMIF('Budget-ACPLSZ'!$A:$A,$A130,'Budget-ACPLSZ'!S:S)+SUMIF('Budget-ACPLGZ'!$A:$A,$A130,'Budget-ACPLGZ'!S:S)+SUMIF('Budget-Yixing'!$A:$A,$A130,'Budget-Yixing'!S:S)</f>
        <v>0</v>
      </c>
      <c r="T130" s="676">
        <f ca="1">SUMIF('Budget-ACPL'!$A:$A,$A130,'Budget-ACPL'!T:T)+SUMIF('Budget-ACPLHK'!$A:$A,$A130,'Budget-ACPLHK'!T:T)+SUMIF('Budget-ACPSZL'!$A:$A,$A130,'Budget-ACPSZL'!T:T)+SUMIF('Budget-ACPLSZ'!$A:$A,$A130,'Budget-ACPLSZ'!T:T)+SUMIF('Budget-ACPLGZ'!$A:$A,$A130,'Budget-ACPLGZ'!T:T)+SUMIF('Budget-Yixing'!$A:$A,$A130,'Budget-Yixing'!T:T)</f>
        <v>0</v>
      </c>
      <c r="U130" s="676">
        <f ca="1">SUMIF('Budget-ACPL'!$A:$A,$A130,'Budget-ACPL'!U:U)+SUMIF('Budget-ACPLHK'!$A:$A,$A130,'Budget-ACPLHK'!U:U)+SUMIF('Budget-ACPSZL'!$A:$A,$A130,'Budget-ACPSZL'!U:U)+SUMIF('Budget-ACPLSZ'!$A:$A,$A130,'Budget-ACPLSZ'!U:U)+SUMIF('Budget-ACPLGZ'!$A:$A,$A130,'Budget-ACPLGZ'!U:U)+SUMIF('Budget-Yixing'!$A:$A,$A130,'Budget-Yixing'!U:U)</f>
        <v>0</v>
      </c>
      <c r="V130" s="676">
        <f ca="1">SUMIF('Budget-ACPL'!$A:$A,$A130,'Budget-ACPL'!V:V)+SUMIF('Budget-ACPLHK'!$A:$A,$A130,'Budget-ACPLHK'!V:V)+SUMIF('Budget-ACPSZL'!$A:$A,$A130,'Budget-ACPSZL'!V:V)+SUMIF('Budget-ACPLSZ'!$A:$A,$A130,'Budget-ACPLSZ'!V:V)+SUMIF('Budget-ACPLGZ'!$A:$A,$A130,'Budget-ACPLGZ'!V:V)+SUMIF('Budget-Yixing'!$A:$A,$A130,'Budget-Yixing'!V:V)</f>
        <v>0</v>
      </c>
      <c r="W130" s="676">
        <f t="shared" ca="1" si="44"/>
        <v>0</v>
      </c>
      <c r="Y130" s="688">
        <f ca="1">SUMIF('Budget-ACPL'!$A:$A,$A130,'Budget-ACPL'!Y:Y)+SUMIF('Budget-ACPLHK'!$A:$A,$A130,'Budget-ACPLHK'!Y:Y)+SUMIF('Budget-ACPSZL'!$A:$A,$A130,'Budget-ACPSZL'!Y:Y)+SUMIF('Budget-ACPLSZ'!$A:$A,$A130,'Budget-ACPLSZ'!Y:Y)+SUMIF('Budget-ACPLGZ'!$A:$A,$A130,'Budget-ACPLGZ'!Y:Y)+SUMIF('Budget-Yixing'!$A:$A,$A130,'Budget-Yixing'!Y:Y)</f>
        <v>0</v>
      </c>
      <c r="Z130" s="688">
        <f ca="1">SUMIF('Budget-ACPL'!$A:$A,$A130,'Budget-ACPL'!Z:Z)+SUMIF('Budget-ACPLHK'!$A:$A,$A130,'Budget-ACPLHK'!Z:Z)+SUMIF('Budget-ACPSZL'!$A:$A,$A130,'Budget-ACPSZL'!Z:Z)+SUMIF('Budget-ACPLSZ'!$A:$A,$A130,'Budget-ACPLSZ'!Z:Z)+SUMIF('Budget-ACPLGZ'!$A:$A,$A130,'Budget-ACPLGZ'!Z:Z)+SUMIF('Budget-Yixing'!$A:$A,$A130,'Budget-Yixing'!Z:Z)</f>
        <v>0</v>
      </c>
      <c r="AA130" s="688">
        <f ca="1">SUMIF('Budget-ACPL'!$A:$A,$A130,'Budget-ACPL'!AA:AA)+SUMIF('Budget-ACPLHK'!$A:$A,$A130,'Budget-ACPLHK'!AA:AA)+SUMIF('Budget-ACPSZL'!$A:$A,$A130,'Budget-ACPSZL'!AA:AA)+SUMIF('Budget-ACPLSZ'!$A:$A,$A130,'Budget-ACPLSZ'!AA:AA)+SUMIF('Budget-ACPLGZ'!$A:$A,$A130,'Budget-ACPLGZ'!AA:AA)+SUMIF('Budget-Yixing'!$A:$A,$A130,'Budget-Yixing'!AA:AA)</f>
        <v>0</v>
      </c>
      <c r="AB130" s="688">
        <f ca="1">SUMIF('Budget-ACPL'!$A:$A,$A130,'Budget-ACPL'!AB:AB)+SUMIF('Budget-ACPLHK'!$A:$A,$A130,'Budget-ACPLHK'!AB:AB)+SUMIF('Budget-ACPSZL'!$A:$A,$A130,'Budget-ACPSZL'!AB:AB)+SUMIF('Budget-ACPLSZ'!$A:$A,$A130,'Budget-ACPLSZ'!AB:AB)+SUMIF('Budget-ACPLGZ'!$A:$A,$A130,'Budget-ACPLGZ'!AB:AB)+SUMIF('Budget-Yixing'!$A:$A,$A130,'Budget-Yixing'!AB:AB)</f>
        <v>0</v>
      </c>
      <c r="AC130" s="688">
        <f ca="1">SUMIF('Budget-ACPL'!$A:$A,$A130,'Budget-ACPL'!AC:AC)+SUMIF('Budget-ACPLHK'!$A:$A,$A130,'Budget-ACPLHK'!AC:AC)+SUMIF('Budget-ACPSZL'!$A:$A,$A130,'Budget-ACPSZL'!AC:AC)+SUMIF('Budget-ACPLSZ'!$A:$A,$A130,'Budget-ACPLSZ'!AC:AC)+SUMIF('Budget-ACPLGZ'!$A:$A,$A130,'Budget-ACPLGZ'!AC:AC)+SUMIF('Budget-Yixing'!$A:$A,$A130,'Budget-Yixing'!AC:AC)</f>
        <v>0</v>
      </c>
      <c r="AD130" s="688">
        <f ca="1">SUMIF('Budget-ACPL'!$A:$A,$A130,'Budget-ACPL'!AD:AD)+SUMIF('Budget-ACPLHK'!$A:$A,$A130,'Budget-ACPLHK'!AD:AD)+SUMIF('Budget-ACPSZL'!$A:$A,$A130,'Budget-ACPSZL'!AD:AD)+SUMIF('Budget-ACPLSZ'!$A:$A,$A130,'Budget-ACPLSZ'!AD:AD)+SUMIF('Budget-ACPLGZ'!$A:$A,$A130,'Budget-ACPLGZ'!AD:AD)+SUMIF('Budget-Yixing'!$A:$A,$A130,'Budget-Yixing'!AD:AD)</f>
        <v>0</v>
      </c>
      <c r="AE130" s="688">
        <f ca="1">SUMIF('Budget-ACPL'!$A:$A,$A130,'Budget-ACPL'!AE:AE)+SUMIF('Budget-ACPLHK'!$A:$A,$A130,'Budget-ACPLHK'!AE:AE)+SUMIF('Budget-ACPSZL'!$A:$A,$A130,'Budget-ACPSZL'!AE:AE)+SUMIF('Budget-ACPLSZ'!$A:$A,$A130,'Budget-ACPLSZ'!AE:AE)+SUMIF('Budget-ACPLGZ'!$A:$A,$A130,'Budget-ACPLGZ'!AE:AE)+SUMIF('Budget-Yixing'!$A:$A,$A130,'Budget-Yixing'!AE:AE)</f>
        <v>0</v>
      </c>
      <c r="AF130" s="688">
        <f ca="1">SUMIF('Budget-ACPL'!$A:$A,$A130,'Budget-ACPL'!AF:AF)+SUMIF('Budget-ACPLHK'!$A:$A,$A130,'Budget-ACPLHK'!AF:AF)+SUMIF('Budget-ACPSZL'!$A:$A,$A130,'Budget-ACPSZL'!AF:AF)+SUMIF('Budget-ACPLSZ'!$A:$A,$A130,'Budget-ACPLSZ'!AF:AF)+SUMIF('Budget-ACPLGZ'!$A:$A,$A130,'Budget-ACPLGZ'!AF:AF)+SUMIF('Budget-Yixing'!$A:$A,$A130,'Budget-Yixing'!AF:AF)</f>
        <v>0</v>
      </c>
      <c r="AG130" s="688">
        <f ca="1">SUMIF('Budget-ACPL'!$A:$A,$A130,'Budget-ACPL'!AG:AG)+SUMIF('Budget-ACPLHK'!$A:$A,$A130,'Budget-ACPLHK'!AG:AG)+SUMIF('Budget-ACPSZL'!$A:$A,$A130,'Budget-ACPSZL'!AG:AG)+SUMIF('Budget-ACPLSZ'!$A:$A,$A130,'Budget-ACPLSZ'!AG:AG)+SUMIF('Budget-ACPLGZ'!$A:$A,$A130,'Budget-ACPLGZ'!AG:AG)+SUMIF('Budget-Yixing'!$A:$A,$A130,'Budget-Yixing'!AG:AG)</f>
        <v>0</v>
      </c>
      <c r="AH130" s="688">
        <f ca="1">SUMIF('Budget-ACPL'!$A:$A,$A130,'Budget-ACPL'!AH:AH)+SUMIF('Budget-ACPLHK'!$A:$A,$A130,'Budget-ACPLHK'!AH:AH)+SUMIF('Budget-ACPSZL'!$A:$A,$A130,'Budget-ACPSZL'!AH:AH)+SUMIF('Budget-ACPLSZ'!$A:$A,$A130,'Budget-ACPLSZ'!AH:AH)+SUMIF('Budget-ACPLGZ'!$A:$A,$A130,'Budget-ACPLGZ'!AH:AH)+SUMIF('Budget-Yixing'!$A:$A,$A130,'Budget-Yixing'!AH:AH)</f>
        <v>0</v>
      </c>
      <c r="AI130" s="688">
        <f ca="1">SUMIF('Budget-ACPL'!$A:$A,$A130,'Budget-ACPL'!AI:AI)+SUMIF('Budget-ACPLHK'!$A:$A,$A130,'Budget-ACPLHK'!AI:AI)+SUMIF('Budget-ACPSZL'!$A:$A,$A130,'Budget-ACPSZL'!AI:AI)+SUMIF('Budget-ACPLSZ'!$A:$A,$A130,'Budget-ACPLSZ'!AI:AI)+SUMIF('Budget-ACPLGZ'!$A:$A,$A130,'Budget-ACPLGZ'!AI:AI)+SUMIF('Budget-Yixing'!$A:$A,$A130,'Budget-Yixing'!AI:AI)</f>
        <v>0</v>
      </c>
      <c r="AJ130" s="688">
        <f ca="1">SUMIF('Budget-ACPL'!$A:$A,$A130,'Budget-ACPL'!AJ:AJ)+SUMIF('Budget-ACPLHK'!$A:$A,$A130,'Budget-ACPLHK'!AJ:AJ)+SUMIF('Budget-ACPSZL'!$A:$A,$A130,'Budget-ACPSZL'!AJ:AJ)+SUMIF('Budget-ACPLSZ'!$A:$A,$A130,'Budget-ACPLSZ'!AJ:AJ)+SUMIF('Budget-ACPLGZ'!$A:$A,$A130,'Budget-ACPLGZ'!AJ:AJ)+SUMIF('Budget-Yixing'!$A:$A,$A130,'Budget-Yixing'!AJ:AJ)</f>
        <v>0</v>
      </c>
      <c r="AK130" s="688">
        <f t="shared" ca="1" si="43"/>
        <v>0</v>
      </c>
    </row>
    <row r="131" spans="1:37" ht="11.1" customHeight="1">
      <c r="A131" s="713" t="s">
        <v>1743</v>
      </c>
      <c r="B131" s="687" t="str">
        <f>VLOOKUP(A131,Account!A:B,2,0)</f>
        <v>家具设备</v>
      </c>
      <c r="C131" s="687" t="str">
        <f>VLOOKUP(A131,Account!A:F,4,0)</f>
        <v xml:space="preserve">Dep Exp - Other EQ &amp; Furn </v>
      </c>
      <c r="D131" s="676">
        <f t="shared" ca="1" si="38"/>
        <v>678.09</v>
      </c>
      <c r="E131" s="676" t="e">
        <f t="shared" si="39"/>
        <v>#N/A</v>
      </c>
      <c r="F131" s="676" t="e">
        <f t="shared" ca="1" si="37"/>
        <v>#N/A</v>
      </c>
      <c r="G131" s="676">
        <f t="shared" ca="1" si="40"/>
        <v>678.09</v>
      </c>
      <c r="H131" s="676" t="e">
        <f t="shared" ca="1" si="41"/>
        <v>#N/A</v>
      </c>
      <c r="I131" s="676" t="e">
        <f t="shared" ca="1" si="42"/>
        <v>#N/A</v>
      </c>
      <c r="K131" s="676">
        <f ca="1">SUMIF('Budget-ACPL'!$A:$A,$A131,'Budget-ACPL'!K:K)+SUMIF('Budget-ACPLHK'!$A:$A,$A131,'Budget-ACPLHK'!K:K)+SUMIF('Budget-ACPSZL'!$A:$A,$A131,'Budget-ACPSZL'!K:K)+SUMIF('Budget-ACPLSZ'!$A:$A,$A131,'Budget-ACPLSZ'!K:K)+SUMIF('Budget-ACPLGZ'!$A:$A,$A131,'Budget-ACPLGZ'!K:K)+SUMIF('Budget-Yixing'!$A:$A,$A131,'Budget-Yixing'!K:K)</f>
        <v>678.09</v>
      </c>
      <c r="L131" s="676">
        <f ca="1">SUMIF('Budget-ACPL'!$A:$A,$A131,'Budget-ACPL'!L:L)+SUMIF('Budget-ACPLHK'!$A:$A,$A131,'Budget-ACPLHK'!L:L)+SUMIF('Budget-ACPSZL'!$A:$A,$A131,'Budget-ACPSZL'!L:L)+SUMIF('Budget-ACPLSZ'!$A:$A,$A131,'Budget-ACPLSZ'!L:L)+SUMIF('Budget-ACPLGZ'!$A:$A,$A131,'Budget-ACPLGZ'!L:L)+SUMIF('Budget-Yixing'!$A:$A,$A131,'Budget-Yixing'!L:L)</f>
        <v>678.09</v>
      </c>
      <c r="M131" s="676">
        <f ca="1">SUMIF('Budget-ACPL'!$A:$A,$A131,'Budget-ACPL'!M:M)+SUMIF('Budget-ACPLHK'!$A:$A,$A131,'Budget-ACPLHK'!M:M)+SUMIF('Budget-ACPSZL'!$A:$A,$A131,'Budget-ACPSZL'!M:M)+SUMIF('Budget-ACPLSZ'!$A:$A,$A131,'Budget-ACPLSZ'!M:M)+SUMIF('Budget-ACPLGZ'!$A:$A,$A131,'Budget-ACPLGZ'!M:M)+SUMIF('Budget-Yixing'!$A:$A,$A131,'Budget-Yixing'!M:M)</f>
        <v>678.09</v>
      </c>
      <c r="N131" s="676">
        <f ca="1">SUMIF('Budget-ACPL'!$A:$A,$A131,'Budget-ACPL'!N:N)+SUMIF('Budget-ACPLHK'!$A:$A,$A131,'Budget-ACPLHK'!N:N)+SUMIF('Budget-ACPSZL'!$A:$A,$A131,'Budget-ACPSZL'!N:N)+SUMIF('Budget-ACPLSZ'!$A:$A,$A131,'Budget-ACPLSZ'!N:N)+SUMIF('Budget-ACPLGZ'!$A:$A,$A131,'Budget-ACPLGZ'!N:N)+SUMIF('Budget-Yixing'!$A:$A,$A131,'Budget-Yixing'!N:N)</f>
        <v>678.09</v>
      </c>
      <c r="O131" s="676">
        <f ca="1">SUMIF('Budget-ACPL'!$A:$A,$A131,'Budget-ACPL'!O:O)+SUMIF('Budget-ACPLHK'!$A:$A,$A131,'Budget-ACPLHK'!O:O)+SUMIF('Budget-ACPSZL'!$A:$A,$A131,'Budget-ACPSZL'!O:O)+SUMIF('Budget-ACPLSZ'!$A:$A,$A131,'Budget-ACPLSZ'!O:O)+SUMIF('Budget-ACPLGZ'!$A:$A,$A131,'Budget-ACPLGZ'!O:O)+SUMIF('Budget-Yixing'!$A:$A,$A131,'Budget-Yixing'!O:O)</f>
        <v>678.09</v>
      </c>
      <c r="P131" s="676">
        <f ca="1">SUMIF('Budget-ACPL'!$A:$A,$A131,'Budget-ACPL'!P:P)+SUMIF('Budget-ACPLHK'!$A:$A,$A131,'Budget-ACPLHK'!P:P)+SUMIF('Budget-ACPSZL'!$A:$A,$A131,'Budget-ACPSZL'!P:P)+SUMIF('Budget-ACPLSZ'!$A:$A,$A131,'Budget-ACPLSZ'!P:P)+SUMIF('Budget-ACPLGZ'!$A:$A,$A131,'Budget-ACPLGZ'!P:P)+SUMIF('Budget-Yixing'!$A:$A,$A131,'Budget-Yixing'!P:P)</f>
        <v>678.09</v>
      </c>
      <c r="Q131" s="676">
        <f ca="1">SUMIF('Budget-ACPL'!$A:$A,$A131,'Budget-ACPL'!Q:Q)+SUMIF('Budget-ACPLHK'!$A:$A,$A131,'Budget-ACPLHK'!Q:Q)+SUMIF('Budget-ACPSZL'!$A:$A,$A131,'Budget-ACPSZL'!Q:Q)+SUMIF('Budget-ACPLSZ'!$A:$A,$A131,'Budget-ACPLSZ'!Q:Q)+SUMIF('Budget-ACPLGZ'!$A:$A,$A131,'Budget-ACPLGZ'!Q:Q)+SUMIF('Budget-Yixing'!$A:$A,$A131,'Budget-Yixing'!Q:Q)</f>
        <v>678.09</v>
      </c>
      <c r="R131" s="676">
        <f ca="1">SUMIF('Budget-ACPL'!$A:$A,$A131,'Budget-ACPL'!R:R)+SUMIF('Budget-ACPLHK'!$A:$A,$A131,'Budget-ACPLHK'!R:R)+SUMIF('Budget-ACPSZL'!$A:$A,$A131,'Budget-ACPSZL'!R:R)+SUMIF('Budget-ACPLSZ'!$A:$A,$A131,'Budget-ACPLSZ'!R:R)+SUMIF('Budget-ACPLGZ'!$A:$A,$A131,'Budget-ACPLGZ'!R:R)+SUMIF('Budget-Yixing'!$A:$A,$A131,'Budget-Yixing'!R:R)</f>
        <v>678.09</v>
      </c>
      <c r="S131" s="676">
        <f ca="1">SUMIF('Budget-ACPL'!$A:$A,$A131,'Budget-ACPL'!S:S)+SUMIF('Budget-ACPLHK'!$A:$A,$A131,'Budget-ACPLHK'!S:S)+SUMIF('Budget-ACPSZL'!$A:$A,$A131,'Budget-ACPSZL'!S:S)+SUMIF('Budget-ACPLSZ'!$A:$A,$A131,'Budget-ACPLSZ'!S:S)+SUMIF('Budget-ACPLGZ'!$A:$A,$A131,'Budget-ACPLGZ'!S:S)+SUMIF('Budget-Yixing'!$A:$A,$A131,'Budget-Yixing'!S:S)</f>
        <v>678.09</v>
      </c>
      <c r="T131" s="676">
        <f ca="1">SUMIF('Budget-ACPL'!$A:$A,$A131,'Budget-ACPL'!T:T)+SUMIF('Budget-ACPLHK'!$A:$A,$A131,'Budget-ACPLHK'!T:T)+SUMIF('Budget-ACPSZL'!$A:$A,$A131,'Budget-ACPSZL'!T:T)+SUMIF('Budget-ACPLSZ'!$A:$A,$A131,'Budget-ACPLSZ'!T:T)+SUMIF('Budget-ACPLGZ'!$A:$A,$A131,'Budget-ACPLGZ'!T:T)+SUMIF('Budget-Yixing'!$A:$A,$A131,'Budget-Yixing'!T:T)</f>
        <v>678.09</v>
      </c>
      <c r="U131" s="676">
        <f ca="1">SUMIF('Budget-ACPL'!$A:$A,$A131,'Budget-ACPL'!U:U)+SUMIF('Budget-ACPLHK'!$A:$A,$A131,'Budget-ACPLHK'!U:U)+SUMIF('Budget-ACPSZL'!$A:$A,$A131,'Budget-ACPSZL'!U:U)+SUMIF('Budget-ACPLSZ'!$A:$A,$A131,'Budget-ACPLSZ'!U:U)+SUMIF('Budget-ACPLGZ'!$A:$A,$A131,'Budget-ACPLGZ'!U:U)+SUMIF('Budget-Yixing'!$A:$A,$A131,'Budget-Yixing'!U:U)</f>
        <v>678.09</v>
      </c>
      <c r="V131" s="676">
        <f ca="1">SUMIF('Budget-ACPL'!$A:$A,$A131,'Budget-ACPL'!V:V)+SUMIF('Budget-ACPLHK'!$A:$A,$A131,'Budget-ACPLHK'!V:V)+SUMIF('Budget-ACPSZL'!$A:$A,$A131,'Budget-ACPSZL'!V:V)+SUMIF('Budget-ACPLSZ'!$A:$A,$A131,'Budget-ACPLSZ'!V:V)+SUMIF('Budget-ACPLGZ'!$A:$A,$A131,'Budget-ACPLGZ'!V:V)+SUMIF('Budget-Yixing'!$A:$A,$A131,'Budget-Yixing'!V:V)</f>
        <v>678.09</v>
      </c>
      <c r="W131" s="676">
        <f t="shared" ca="1" si="44"/>
        <v>8137.0800000000008</v>
      </c>
      <c r="Y131" s="688">
        <f ca="1">SUMIF('Budget-ACPL'!$A:$A,$A131,'Budget-ACPL'!Y:Y)+SUMIF('Budget-ACPLHK'!$A:$A,$A131,'Budget-ACPLHK'!Y:Y)+SUMIF('Budget-ACPSZL'!$A:$A,$A131,'Budget-ACPSZL'!Y:Y)+SUMIF('Budget-ACPLSZ'!$A:$A,$A131,'Budget-ACPLSZ'!Y:Y)+SUMIF('Budget-ACPLGZ'!$A:$A,$A131,'Budget-ACPLGZ'!Y:Y)+SUMIF('Budget-Yixing'!$A:$A,$A131,'Budget-Yixing'!Y:Y)</f>
        <v>1771.3400000000001</v>
      </c>
      <c r="Z131" s="688">
        <f ca="1">SUMIF('Budget-ACPL'!$A:$A,$A131,'Budget-ACPL'!Z:Z)+SUMIF('Budget-ACPLHK'!$A:$A,$A131,'Budget-ACPLHK'!Z:Z)+SUMIF('Budget-ACPSZL'!$A:$A,$A131,'Budget-ACPSZL'!Z:Z)+SUMIF('Budget-ACPLSZ'!$A:$A,$A131,'Budget-ACPLSZ'!Z:Z)+SUMIF('Budget-ACPLGZ'!$A:$A,$A131,'Budget-ACPLGZ'!Z:Z)+SUMIF('Budget-Yixing'!$A:$A,$A131,'Budget-Yixing'!Z:Z)</f>
        <v>1771.3400000000001</v>
      </c>
      <c r="AA131" s="688">
        <f ca="1">SUMIF('Budget-ACPL'!$A:$A,$A131,'Budget-ACPL'!AA:AA)+SUMIF('Budget-ACPLHK'!$A:$A,$A131,'Budget-ACPLHK'!AA:AA)+SUMIF('Budget-ACPSZL'!$A:$A,$A131,'Budget-ACPSZL'!AA:AA)+SUMIF('Budget-ACPLSZ'!$A:$A,$A131,'Budget-ACPLSZ'!AA:AA)+SUMIF('Budget-ACPLGZ'!$A:$A,$A131,'Budget-ACPLGZ'!AA:AA)+SUMIF('Budget-Yixing'!$A:$A,$A131,'Budget-Yixing'!AA:AA)</f>
        <v>719.02</v>
      </c>
      <c r="AB131" s="688">
        <f ca="1">SUMIF('Budget-ACPL'!$A:$A,$A131,'Budget-ACPL'!AB:AB)+SUMIF('Budget-ACPLHK'!$A:$A,$A131,'Budget-ACPLHK'!AB:AB)+SUMIF('Budget-ACPSZL'!$A:$A,$A131,'Budget-ACPSZL'!AB:AB)+SUMIF('Budget-ACPLSZ'!$A:$A,$A131,'Budget-ACPLSZ'!AB:AB)+SUMIF('Budget-ACPLGZ'!$A:$A,$A131,'Budget-ACPLGZ'!AB:AB)+SUMIF('Budget-Yixing'!$A:$A,$A131,'Budget-Yixing'!AB:AB)</f>
        <v>719.02</v>
      </c>
      <c r="AC131" s="688">
        <f ca="1">SUMIF('Budget-ACPL'!$A:$A,$A131,'Budget-ACPL'!AC:AC)+SUMIF('Budget-ACPLHK'!$A:$A,$A131,'Budget-ACPLHK'!AC:AC)+SUMIF('Budget-ACPSZL'!$A:$A,$A131,'Budget-ACPSZL'!AC:AC)+SUMIF('Budget-ACPLSZ'!$A:$A,$A131,'Budget-ACPLSZ'!AC:AC)+SUMIF('Budget-ACPLGZ'!$A:$A,$A131,'Budget-ACPLGZ'!AC:AC)+SUMIF('Budget-Yixing'!$A:$A,$A131,'Budget-Yixing'!AC:AC)</f>
        <v>719.02</v>
      </c>
      <c r="AD131" s="688">
        <f ca="1">SUMIF('Budget-ACPL'!$A:$A,$A131,'Budget-ACPL'!AD:AD)+SUMIF('Budget-ACPLHK'!$A:$A,$A131,'Budget-ACPLHK'!AD:AD)+SUMIF('Budget-ACPSZL'!$A:$A,$A131,'Budget-ACPSZL'!AD:AD)+SUMIF('Budget-ACPLSZ'!$A:$A,$A131,'Budget-ACPLSZ'!AD:AD)+SUMIF('Budget-ACPLGZ'!$A:$A,$A131,'Budget-ACPLGZ'!AD:AD)+SUMIF('Budget-Yixing'!$A:$A,$A131,'Budget-Yixing'!AD:AD)</f>
        <v>719.02</v>
      </c>
      <c r="AE131" s="688">
        <f ca="1">SUMIF('Budget-ACPL'!$A:$A,$A131,'Budget-ACPL'!AE:AE)+SUMIF('Budget-ACPLHK'!$A:$A,$A131,'Budget-ACPLHK'!AE:AE)+SUMIF('Budget-ACPSZL'!$A:$A,$A131,'Budget-ACPSZL'!AE:AE)+SUMIF('Budget-ACPLSZ'!$A:$A,$A131,'Budget-ACPLSZ'!AE:AE)+SUMIF('Budget-ACPLGZ'!$A:$A,$A131,'Budget-ACPLGZ'!AE:AE)+SUMIF('Budget-Yixing'!$A:$A,$A131,'Budget-Yixing'!AE:AE)</f>
        <v>719.02</v>
      </c>
      <c r="AF131" s="688">
        <f ca="1">SUMIF('Budget-ACPL'!$A:$A,$A131,'Budget-ACPL'!AF:AF)+SUMIF('Budget-ACPLHK'!$A:$A,$A131,'Budget-ACPLHK'!AF:AF)+SUMIF('Budget-ACPSZL'!$A:$A,$A131,'Budget-ACPSZL'!AF:AF)+SUMIF('Budget-ACPLSZ'!$A:$A,$A131,'Budget-ACPLSZ'!AF:AF)+SUMIF('Budget-ACPLGZ'!$A:$A,$A131,'Budget-ACPLGZ'!AF:AF)+SUMIF('Budget-Yixing'!$A:$A,$A131,'Budget-Yixing'!AF:AF)</f>
        <v>719.02</v>
      </c>
      <c r="AG131" s="688">
        <f ca="1">SUMIF('Budget-ACPL'!$A:$A,$A131,'Budget-ACPL'!AG:AG)+SUMIF('Budget-ACPLHK'!$A:$A,$A131,'Budget-ACPLHK'!AG:AG)+SUMIF('Budget-ACPSZL'!$A:$A,$A131,'Budget-ACPSZL'!AG:AG)+SUMIF('Budget-ACPLSZ'!$A:$A,$A131,'Budget-ACPLSZ'!AG:AG)+SUMIF('Budget-ACPLGZ'!$A:$A,$A131,'Budget-ACPLGZ'!AG:AG)+SUMIF('Budget-Yixing'!$A:$A,$A131,'Budget-Yixing'!AG:AG)</f>
        <v>719.02</v>
      </c>
      <c r="AH131" s="688">
        <f ca="1">SUMIF('Budget-ACPL'!$A:$A,$A131,'Budget-ACPL'!AH:AH)+SUMIF('Budget-ACPLHK'!$A:$A,$A131,'Budget-ACPLHK'!AH:AH)+SUMIF('Budget-ACPSZL'!$A:$A,$A131,'Budget-ACPSZL'!AH:AH)+SUMIF('Budget-ACPLSZ'!$A:$A,$A131,'Budget-ACPLSZ'!AH:AH)+SUMIF('Budget-ACPLGZ'!$A:$A,$A131,'Budget-ACPLGZ'!AH:AH)+SUMIF('Budget-Yixing'!$A:$A,$A131,'Budget-Yixing'!AH:AH)</f>
        <v>719.02</v>
      </c>
      <c r="AI131" s="688">
        <f ca="1">SUMIF('Budget-ACPL'!$A:$A,$A131,'Budget-ACPL'!AI:AI)+SUMIF('Budget-ACPLHK'!$A:$A,$A131,'Budget-ACPLHK'!AI:AI)+SUMIF('Budget-ACPSZL'!$A:$A,$A131,'Budget-ACPSZL'!AI:AI)+SUMIF('Budget-ACPLSZ'!$A:$A,$A131,'Budget-ACPLSZ'!AI:AI)+SUMIF('Budget-ACPLGZ'!$A:$A,$A131,'Budget-ACPLGZ'!AI:AI)+SUMIF('Budget-Yixing'!$A:$A,$A131,'Budget-Yixing'!AI:AI)</f>
        <v>719.02</v>
      </c>
      <c r="AJ131" s="688">
        <f ca="1">SUMIF('Budget-ACPL'!$A:$A,$A131,'Budget-ACPL'!AJ:AJ)+SUMIF('Budget-ACPLHK'!$A:$A,$A131,'Budget-ACPLHK'!AJ:AJ)+SUMIF('Budget-ACPSZL'!$A:$A,$A131,'Budget-ACPSZL'!AJ:AJ)+SUMIF('Budget-ACPLSZ'!$A:$A,$A131,'Budget-ACPLSZ'!AJ:AJ)+SUMIF('Budget-ACPLGZ'!$A:$A,$A131,'Budget-ACPLGZ'!AJ:AJ)+SUMIF('Budget-Yixing'!$A:$A,$A131,'Budget-Yixing'!AJ:AJ)</f>
        <v>719.02</v>
      </c>
      <c r="AK131" s="688">
        <f t="shared" ca="1" si="43"/>
        <v>10732.880000000005</v>
      </c>
    </row>
    <row r="132" spans="1:37" ht="11.1" customHeight="1">
      <c r="A132" s="716" t="s">
        <v>1820</v>
      </c>
      <c r="B132" s="717" t="str">
        <f>VLOOKUP(A132,Account!A:B,2,0)</f>
        <v>使用权资产折旧</v>
      </c>
      <c r="C132" s="687" t="str">
        <f>VLOOKUP(A132,Account!A:F,4,0)</f>
        <v>Dep Exp - Right of Use Asset</v>
      </c>
      <c r="D132" s="676">
        <f t="shared" ca="1" si="38"/>
        <v>84905.189382066674</v>
      </c>
      <c r="E132" s="676" t="e">
        <f t="shared" si="39"/>
        <v>#N/A</v>
      </c>
      <c r="F132" s="676" t="e">
        <f t="shared" ca="1" si="37"/>
        <v>#N/A</v>
      </c>
      <c r="G132" s="676">
        <f t="shared" ca="1" si="40"/>
        <v>84905.189382066674</v>
      </c>
      <c r="H132" s="676" t="e">
        <f t="shared" ca="1" si="41"/>
        <v>#N/A</v>
      </c>
      <c r="I132" s="676" t="e">
        <f t="shared" ca="1" si="42"/>
        <v>#N/A</v>
      </c>
      <c r="K132" s="676">
        <f ca="1">SUMIF('Budget-ACPL'!$A:$A,$A132,'Budget-ACPL'!K:K)+SUMIF('Budget-ACPLHK'!$A:$A,$A132,'Budget-ACPLHK'!K:K)+SUMIF('Budget-ACPSZL'!$A:$A,$A132,'Budget-ACPSZL'!K:K)+SUMIF('Budget-ACPLSZ'!$A:$A,$A132,'Budget-ACPLSZ'!K:K)+SUMIF('Budget-ACPLGZ'!$A:$A,$A132,'Budget-ACPLGZ'!K:K)+SUMIF('Budget-Yixing'!$A:$A,$A132,'Budget-Yixing'!K:K)</f>
        <v>84905.189382066674</v>
      </c>
      <c r="L132" s="676">
        <f ca="1">SUMIF('Budget-ACPL'!$A:$A,$A132,'Budget-ACPL'!L:L)+SUMIF('Budget-ACPLHK'!$A:$A,$A132,'Budget-ACPLHK'!L:L)+SUMIF('Budget-ACPSZL'!$A:$A,$A132,'Budget-ACPSZL'!L:L)+SUMIF('Budget-ACPLSZ'!$A:$A,$A132,'Budget-ACPLSZ'!L:L)+SUMIF('Budget-ACPLGZ'!$A:$A,$A132,'Budget-ACPLGZ'!L:L)+SUMIF('Budget-Yixing'!$A:$A,$A132,'Budget-Yixing'!L:L)</f>
        <v>84276.782078666671</v>
      </c>
      <c r="M132" s="676">
        <f ca="1">SUMIF('Budget-ACPL'!$A:$A,$A132,'Budget-ACPL'!M:M)+SUMIF('Budget-ACPLHK'!$A:$A,$A132,'Budget-ACPLHK'!M:M)+SUMIF('Budget-ACPSZL'!$A:$A,$A132,'Budget-ACPSZL'!M:M)+SUMIF('Budget-ACPLSZ'!$A:$A,$A132,'Budget-ACPLSZ'!M:M)+SUMIF('Budget-ACPLGZ'!$A:$A,$A132,'Budget-ACPLGZ'!M:M)+SUMIF('Budget-Yixing'!$A:$A,$A132,'Budget-Yixing'!M:M)</f>
        <v>84276.782078666671</v>
      </c>
      <c r="N132" s="676">
        <f ca="1">SUMIF('Budget-ACPL'!$A:$A,$A132,'Budget-ACPL'!N:N)+SUMIF('Budget-ACPLHK'!$A:$A,$A132,'Budget-ACPLHK'!N:N)+SUMIF('Budget-ACPSZL'!$A:$A,$A132,'Budget-ACPSZL'!N:N)+SUMIF('Budget-ACPLSZ'!$A:$A,$A132,'Budget-ACPLSZ'!N:N)+SUMIF('Budget-ACPLGZ'!$A:$A,$A132,'Budget-ACPLGZ'!N:N)+SUMIF('Budget-Yixing'!$A:$A,$A132,'Budget-Yixing'!N:N)</f>
        <v>84276.782078666671</v>
      </c>
      <c r="O132" s="676">
        <f ca="1">SUMIF('Budget-ACPL'!$A:$A,$A132,'Budget-ACPL'!O:O)+SUMIF('Budget-ACPLHK'!$A:$A,$A132,'Budget-ACPLHK'!O:O)+SUMIF('Budget-ACPSZL'!$A:$A,$A132,'Budget-ACPSZL'!O:O)+SUMIF('Budget-ACPLSZ'!$A:$A,$A132,'Budget-ACPLSZ'!O:O)+SUMIF('Budget-ACPLGZ'!$A:$A,$A132,'Budget-ACPLGZ'!O:O)+SUMIF('Budget-Yixing'!$A:$A,$A132,'Budget-Yixing'!O:O)</f>
        <v>84276.782078666671</v>
      </c>
      <c r="P132" s="676">
        <f ca="1">SUMIF('Budget-ACPL'!$A:$A,$A132,'Budget-ACPL'!P:P)+SUMIF('Budget-ACPLHK'!$A:$A,$A132,'Budget-ACPLHK'!P:P)+SUMIF('Budget-ACPSZL'!$A:$A,$A132,'Budget-ACPSZL'!P:P)+SUMIF('Budget-ACPLSZ'!$A:$A,$A132,'Budget-ACPLSZ'!P:P)+SUMIF('Budget-ACPLGZ'!$A:$A,$A132,'Budget-ACPLGZ'!P:P)+SUMIF('Budget-Yixing'!$A:$A,$A132,'Budget-Yixing'!P:P)</f>
        <v>84276.782078666671</v>
      </c>
      <c r="Q132" s="676">
        <f ca="1">SUMIF('Budget-ACPL'!$A:$A,$A132,'Budget-ACPL'!Q:Q)+SUMIF('Budget-ACPLHK'!$A:$A,$A132,'Budget-ACPLHK'!Q:Q)+SUMIF('Budget-ACPSZL'!$A:$A,$A132,'Budget-ACPSZL'!Q:Q)+SUMIF('Budget-ACPLSZ'!$A:$A,$A132,'Budget-ACPLSZ'!Q:Q)+SUMIF('Budget-ACPLGZ'!$A:$A,$A132,'Budget-ACPLGZ'!Q:Q)+SUMIF('Budget-Yixing'!$A:$A,$A132,'Budget-Yixing'!Q:Q)</f>
        <v>84276.782078666671</v>
      </c>
      <c r="R132" s="676">
        <f ca="1">SUMIF('Budget-ACPL'!$A:$A,$A132,'Budget-ACPL'!R:R)+SUMIF('Budget-ACPLHK'!$A:$A,$A132,'Budget-ACPLHK'!R:R)+SUMIF('Budget-ACPSZL'!$A:$A,$A132,'Budget-ACPSZL'!R:R)+SUMIF('Budget-ACPLSZ'!$A:$A,$A132,'Budget-ACPLSZ'!R:R)+SUMIF('Budget-ACPLGZ'!$A:$A,$A132,'Budget-ACPLGZ'!R:R)+SUMIF('Budget-Yixing'!$A:$A,$A132,'Budget-Yixing'!R:R)</f>
        <v>84276.782078666671</v>
      </c>
      <c r="S132" s="676">
        <f ca="1">SUMIF('Budget-ACPL'!$A:$A,$A132,'Budget-ACPL'!S:S)+SUMIF('Budget-ACPLHK'!$A:$A,$A132,'Budget-ACPLHK'!S:S)+SUMIF('Budget-ACPSZL'!$A:$A,$A132,'Budget-ACPSZL'!S:S)+SUMIF('Budget-ACPLSZ'!$A:$A,$A132,'Budget-ACPLSZ'!S:S)+SUMIF('Budget-ACPLGZ'!$A:$A,$A132,'Budget-ACPLGZ'!S:S)+SUMIF('Budget-Yixing'!$A:$A,$A132,'Budget-Yixing'!S:S)</f>
        <v>84276.782078666671</v>
      </c>
      <c r="T132" s="676">
        <f ca="1">SUMIF('Budget-ACPL'!$A:$A,$A132,'Budget-ACPL'!T:T)+SUMIF('Budget-ACPLHK'!$A:$A,$A132,'Budget-ACPLHK'!T:T)+SUMIF('Budget-ACPSZL'!$A:$A,$A132,'Budget-ACPSZL'!T:T)+SUMIF('Budget-ACPLSZ'!$A:$A,$A132,'Budget-ACPLSZ'!T:T)+SUMIF('Budget-ACPLGZ'!$A:$A,$A132,'Budget-ACPLGZ'!T:T)+SUMIF('Budget-Yixing'!$A:$A,$A132,'Budget-Yixing'!T:T)</f>
        <v>84276.782078666671</v>
      </c>
      <c r="U132" s="676">
        <f ca="1">SUMIF('Budget-ACPL'!$A:$A,$A132,'Budget-ACPL'!U:U)+SUMIF('Budget-ACPLHK'!$A:$A,$A132,'Budget-ACPLHK'!U:U)+SUMIF('Budget-ACPSZL'!$A:$A,$A132,'Budget-ACPSZL'!U:U)+SUMIF('Budget-ACPLSZ'!$A:$A,$A132,'Budget-ACPLSZ'!U:U)+SUMIF('Budget-ACPLGZ'!$A:$A,$A132,'Budget-ACPLGZ'!U:U)+SUMIF('Budget-Yixing'!$A:$A,$A132,'Budget-Yixing'!U:U)</f>
        <v>84276.782078666671</v>
      </c>
      <c r="V132" s="676">
        <f ca="1">SUMIF('Budget-ACPL'!$A:$A,$A132,'Budget-ACPL'!V:V)+SUMIF('Budget-ACPLHK'!$A:$A,$A132,'Budget-ACPLHK'!V:V)+SUMIF('Budget-ACPSZL'!$A:$A,$A132,'Budget-ACPSZL'!V:V)+SUMIF('Budget-ACPLSZ'!$A:$A,$A132,'Budget-ACPLSZ'!V:V)+SUMIF('Budget-ACPLGZ'!$A:$A,$A132,'Budget-ACPLGZ'!V:V)+SUMIF('Budget-Yixing'!$A:$A,$A132,'Budget-Yixing'!V:V)</f>
        <v>84276.782078666671</v>
      </c>
      <c r="W132" s="676">
        <f t="shared" ca="1" si="44"/>
        <v>1011949.7922473997</v>
      </c>
      <c r="Y132" s="688">
        <f ca="1">SUMIF('Budget-ACPL'!$A:$A,$A132,'Budget-ACPL'!Y:Y)+SUMIF('Budget-ACPLHK'!$A:$A,$A132,'Budget-ACPLHK'!Y:Y)+SUMIF('Budget-ACPSZL'!$A:$A,$A132,'Budget-ACPSZL'!Y:Y)+SUMIF('Budget-ACPLSZ'!$A:$A,$A132,'Budget-ACPLSZ'!Y:Y)+SUMIF('Budget-ACPLGZ'!$A:$A,$A132,'Budget-ACPLGZ'!Y:Y)+SUMIF('Budget-Yixing'!$A:$A,$A132,'Budget-Yixing'!Y:Y)</f>
        <v>123600.01999999999</v>
      </c>
      <c r="Z132" s="688">
        <f ca="1">SUMIF('Budget-ACPL'!$A:$A,$A132,'Budget-ACPL'!Z:Z)+SUMIF('Budget-ACPLHK'!$A:$A,$A132,'Budget-ACPLHK'!Z:Z)+SUMIF('Budget-ACPSZL'!$A:$A,$A132,'Budget-ACPSZL'!Z:Z)+SUMIF('Budget-ACPLSZ'!$A:$A,$A132,'Budget-ACPLSZ'!Z:Z)+SUMIF('Budget-ACPLGZ'!$A:$A,$A132,'Budget-ACPLGZ'!Z:Z)+SUMIF('Budget-Yixing'!$A:$A,$A132,'Budget-Yixing'!Z:Z)</f>
        <v>87350.31</v>
      </c>
      <c r="AA132" s="688">
        <f ca="1">SUMIF('Budget-ACPL'!$A:$A,$A132,'Budget-ACPL'!AA:AA)+SUMIF('Budget-ACPLHK'!$A:$A,$A132,'Budget-ACPLHK'!AA:AA)+SUMIF('Budget-ACPSZL'!$A:$A,$A132,'Budget-ACPSZL'!AA:AA)+SUMIF('Budget-ACPLSZ'!$A:$A,$A132,'Budget-ACPLSZ'!AA:AA)+SUMIF('Budget-ACPLGZ'!$A:$A,$A132,'Budget-ACPLGZ'!AA:AA)+SUMIF('Budget-Yixing'!$A:$A,$A132,'Budget-Yixing'!AA:AA)</f>
        <v>87350.31</v>
      </c>
      <c r="AB132" s="688">
        <f ca="1">SUMIF('Budget-ACPL'!$A:$A,$A132,'Budget-ACPL'!AB:AB)+SUMIF('Budget-ACPLHK'!$A:$A,$A132,'Budget-ACPLHK'!AB:AB)+SUMIF('Budget-ACPSZL'!$A:$A,$A132,'Budget-ACPSZL'!AB:AB)+SUMIF('Budget-ACPLSZ'!$A:$A,$A132,'Budget-ACPLSZ'!AB:AB)+SUMIF('Budget-ACPLGZ'!$A:$A,$A132,'Budget-ACPLGZ'!AB:AB)+SUMIF('Budget-Yixing'!$A:$A,$A132,'Budget-Yixing'!AB:AB)</f>
        <v>87350.35</v>
      </c>
      <c r="AC132" s="688">
        <f ca="1">SUMIF('Budget-ACPL'!$A:$A,$A132,'Budget-ACPL'!AC:AC)+SUMIF('Budget-ACPLHK'!$A:$A,$A132,'Budget-ACPLHK'!AC:AC)+SUMIF('Budget-ACPSZL'!$A:$A,$A132,'Budget-ACPSZL'!AC:AC)+SUMIF('Budget-ACPLSZ'!$A:$A,$A132,'Budget-ACPLSZ'!AC:AC)+SUMIF('Budget-ACPLGZ'!$A:$A,$A132,'Budget-ACPLGZ'!AC:AC)+SUMIF('Budget-Yixing'!$A:$A,$A132,'Budget-Yixing'!AC:AC)</f>
        <v>87106.39</v>
      </c>
      <c r="AD132" s="688">
        <f ca="1">SUMIF('Budget-ACPL'!$A:$A,$A132,'Budget-ACPL'!AD:AD)+SUMIF('Budget-ACPLHK'!$A:$A,$A132,'Budget-ACPLHK'!AD:AD)+SUMIF('Budget-ACPSZL'!$A:$A,$A132,'Budget-ACPSZL'!AD:AD)+SUMIF('Budget-ACPLSZ'!$A:$A,$A132,'Budget-ACPLSZ'!AD:AD)+SUMIF('Budget-ACPLGZ'!$A:$A,$A132,'Budget-ACPLGZ'!AD:AD)+SUMIF('Budget-Yixing'!$A:$A,$A132,'Budget-Yixing'!AD:AD)</f>
        <v>87369.95</v>
      </c>
      <c r="AE132" s="688">
        <f ca="1">SUMIF('Budget-ACPL'!$A:$A,$A132,'Budget-ACPL'!AE:AE)+SUMIF('Budget-ACPLHK'!$A:$A,$A132,'Budget-ACPLHK'!AE:AE)+SUMIF('Budget-ACPSZL'!$A:$A,$A132,'Budget-ACPSZL'!AE:AE)+SUMIF('Budget-ACPLSZ'!$A:$A,$A132,'Budget-ACPLSZ'!AE:AE)+SUMIF('Budget-ACPLGZ'!$A:$A,$A132,'Budget-ACPLGZ'!AE:AE)+SUMIF('Budget-Yixing'!$A:$A,$A132,'Budget-Yixing'!AE:AE)</f>
        <v>87369.95</v>
      </c>
      <c r="AF132" s="688">
        <f ca="1">SUMIF('Budget-ACPL'!$A:$A,$A132,'Budget-ACPL'!AF:AF)+SUMIF('Budget-ACPLHK'!$A:$A,$A132,'Budget-ACPLHK'!AF:AF)+SUMIF('Budget-ACPSZL'!$A:$A,$A132,'Budget-ACPSZL'!AF:AF)+SUMIF('Budget-ACPLSZ'!$A:$A,$A132,'Budget-ACPLSZ'!AF:AF)+SUMIF('Budget-ACPLGZ'!$A:$A,$A132,'Budget-ACPLGZ'!AF:AF)+SUMIF('Budget-Yixing'!$A:$A,$A132,'Budget-Yixing'!AF:AF)</f>
        <v>87369.95</v>
      </c>
      <c r="AG132" s="688">
        <f ca="1">SUMIF('Budget-ACPL'!$A:$A,$A132,'Budget-ACPL'!AG:AG)+SUMIF('Budget-ACPLHK'!$A:$A,$A132,'Budget-ACPLHK'!AG:AG)+SUMIF('Budget-ACPSZL'!$A:$A,$A132,'Budget-ACPSZL'!AG:AG)+SUMIF('Budget-ACPLSZ'!$A:$A,$A132,'Budget-ACPLSZ'!AG:AG)+SUMIF('Budget-ACPLGZ'!$A:$A,$A132,'Budget-ACPLGZ'!AG:AG)+SUMIF('Budget-Yixing'!$A:$A,$A132,'Budget-Yixing'!AG:AG)</f>
        <v>87369.95</v>
      </c>
      <c r="AH132" s="688">
        <f ca="1">SUMIF('Budget-ACPL'!$A:$A,$A132,'Budget-ACPL'!AH:AH)+SUMIF('Budget-ACPLHK'!$A:$A,$A132,'Budget-ACPLHK'!AH:AH)+SUMIF('Budget-ACPSZL'!$A:$A,$A132,'Budget-ACPSZL'!AH:AH)+SUMIF('Budget-ACPLSZ'!$A:$A,$A132,'Budget-ACPLSZ'!AH:AH)+SUMIF('Budget-ACPLGZ'!$A:$A,$A132,'Budget-ACPLGZ'!AH:AH)+SUMIF('Budget-Yixing'!$A:$A,$A132,'Budget-Yixing'!AH:AH)</f>
        <v>87369.95</v>
      </c>
      <c r="AI132" s="688">
        <f ca="1">SUMIF('Budget-ACPL'!$A:$A,$A132,'Budget-ACPL'!AI:AI)+SUMIF('Budget-ACPLHK'!$A:$A,$A132,'Budget-ACPLHK'!AI:AI)+SUMIF('Budget-ACPSZL'!$A:$A,$A132,'Budget-ACPSZL'!AI:AI)+SUMIF('Budget-ACPLSZ'!$A:$A,$A132,'Budget-ACPLSZ'!AI:AI)+SUMIF('Budget-ACPLGZ'!$A:$A,$A132,'Budget-ACPLGZ'!AI:AI)+SUMIF('Budget-Yixing'!$A:$A,$A132,'Budget-Yixing'!AI:AI)</f>
        <v>87369.95</v>
      </c>
      <c r="AJ132" s="688">
        <f ca="1">SUMIF('Budget-ACPL'!$A:$A,$A132,'Budget-ACPL'!AJ:AJ)+SUMIF('Budget-ACPLHK'!$A:$A,$A132,'Budget-ACPLHK'!AJ:AJ)+SUMIF('Budget-ACPSZL'!$A:$A,$A132,'Budget-ACPSZL'!AJ:AJ)+SUMIF('Budget-ACPLSZ'!$A:$A,$A132,'Budget-ACPLSZ'!AJ:AJ)+SUMIF('Budget-ACPLGZ'!$A:$A,$A132,'Budget-ACPLGZ'!AJ:AJ)+SUMIF('Budget-Yixing'!$A:$A,$A132,'Budget-Yixing'!AJ:AJ)</f>
        <v>87369.98000000001</v>
      </c>
      <c r="AK132" s="688">
        <f t="shared" ca="1" si="43"/>
        <v>1084347.0599999998</v>
      </c>
    </row>
    <row r="133" spans="1:37" ht="11.1" hidden="1" customHeight="1">
      <c r="A133" s="713" t="s">
        <v>1824</v>
      </c>
      <c r="B133" s="687" t="str">
        <f>VLOOKUP(A133,Account!A:B,2,0)</f>
        <v>打印机租赁</v>
      </c>
      <c r="C133" s="687">
        <f>VLOOKUP(A133,Account!A:F,4,0)</f>
        <v>0</v>
      </c>
      <c r="D133" s="676">
        <f t="shared" ca="1" si="38"/>
        <v>0</v>
      </c>
      <c r="E133" s="676" t="e">
        <f t="shared" si="39"/>
        <v>#N/A</v>
      </c>
      <c r="F133" s="676" t="e">
        <f t="shared" ca="1" si="37"/>
        <v>#N/A</v>
      </c>
      <c r="G133" s="676">
        <f t="shared" ca="1" si="40"/>
        <v>0</v>
      </c>
      <c r="H133" s="676" t="e">
        <f t="shared" ca="1" si="41"/>
        <v>#N/A</v>
      </c>
      <c r="I133" s="676" t="e">
        <f t="shared" ca="1" si="42"/>
        <v>#N/A</v>
      </c>
      <c r="K133" s="676">
        <f ca="1">SUMIF('Budget-ACPL'!$A:$A,$A133,'Budget-ACPL'!K:K)+SUMIF('Budget-ACPLHK'!$A:$A,$A133,'Budget-ACPLHK'!K:K)+SUMIF('Budget-ACPSZL'!$A:$A,$A133,'Budget-ACPSZL'!K:K)+SUMIF('Budget-ACPLSZ'!$A:$A,$A133,'Budget-ACPLSZ'!K:K)+SUMIF('Budget-ACPLGZ'!$A:$A,$A133,'Budget-ACPLGZ'!K:K)+SUMIF('Budget-Yixing'!$A:$A,$A133,'Budget-Yixing'!K:K)</f>
        <v>0</v>
      </c>
      <c r="L133" s="676">
        <f ca="1">SUMIF('Budget-ACPL'!$A:$A,$A133,'Budget-ACPL'!L:L)+SUMIF('Budget-ACPLHK'!$A:$A,$A133,'Budget-ACPLHK'!L:L)+SUMIF('Budget-ACPSZL'!$A:$A,$A133,'Budget-ACPSZL'!L:L)+SUMIF('Budget-ACPLSZ'!$A:$A,$A133,'Budget-ACPLSZ'!L:L)+SUMIF('Budget-ACPLGZ'!$A:$A,$A133,'Budget-ACPLGZ'!L:L)+SUMIF('Budget-Yixing'!$A:$A,$A133,'Budget-Yixing'!L:L)</f>
        <v>0</v>
      </c>
      <c r="M133" s="676">
        <f ca="1">SUMIF('Budget-ACPL'!$A:$A,$A133,'Budget-ACPL'!M:M)+SUMIF('Budget-ACPLHK'!$A:$A,$A133,'Budget-ACPLHK'!M:M)+SUMIF('Budget-ACPSZL'!$A:$A,$A133,'Budget-ACPSZL'!M:M)+SUMIF('Budget-ACPLSZ'!$A:$A,$A133,'Budget-ACPLSZ'!M:M)+SUMIF('Budget-ACPLGZ'!$A:$A,$A133,'Budget-ACPLGZ'!M:M)+SUMIF('Budget-Yixing'!$A:$A,$A133,'Budget-Yixing'!M:M)</f>
        <v>0</v>
      </c>
      <c r="N133" s="676">
        <f ca="1">SUMIF('Budget-ACPL'!$A:$A,$A133,'Budget-ACPL'!N:N)+SUMIF('Budget-ACPLHK'!$A:$A,$A133,'Budget-ACPLHK'!N:N)+SUMIF('Budget-ACPSZL'!$A:$A,$A133,'Budget-ACPSZL'!N:N)+SUMIF('Budget-ACPLSZ'!$A:$A,$A133,'Budget-ACPLSZ'!N:N)+SUMIF('Budget-ACPLGZ'!$A:$A,$A133,'Budget-ACPLGZ'!N:N)+SUMIF('Budget-Yixing'!$A:$A,$A133,'Budget-Yixing'!N:N)</f>
        <v>0</v>
      </c>
      <c r="O133" s="676">
        <f ca="1">SUMIF('Budget-ACPL'!$A:$A,$A133,'Budget-ACPL'!O:O)+SUMIF('Budget-ACPLHK'!$A:$A,$A133,'Budget-ACPLHK'!O:O)+SUMIF('Budget-ACPSZL'!$A:$A,$A133,'Budget-ACPSZL'!O:O)+SUMIF('Budget-ACPLSZ'!$A:$A,$A133,'Budget-ACPLSZ'!O:O)+SUMIF('Budget-ACPLGZ'!$A:$A,$A133,'Budget-ACPLGZ'!O:O)+SUMIF('Budget-Yixing'!$A:$A,$A133,'Budget-Yixing'!O:O)</f>
        <v>0</v>
      </c>
      <c r="P133" s="676">
        <f ca="1">SUMIF('Budget-ACPL'!$A:$A,$A133,'Budget-ACPL'!P:P)+SUMIF('Budget-ACPLHK'!$A:$A,$A133,'Budget-ACPLHK'!P:P)+SUMIF('Budget-ACPSZL'!$A:$A,$A133,'Budget-ACPSZL'!P:P)+SUMIF('Budget-ACPLSZ'!$A:$A,$A133,'Budget-ACPLSZ'!P:P)+SUMIF('Budget-ACPLGZ'!$A:$A,$A133,'Budget-ACPLGZ'!P:P)+SUMIF('Budget-Yixing'!$A:$A,$A133,'Budget-Yixing'!P:P)</f>
        <v>0</v>
      </c>
      <c r="Q133" s="676">
        <f ca="1">SUMIF('Budget-ACPL'!$A:$A,$A133,'Budget-ACPL'!Q:Q)+SUMIF('Budget-ACPLHK'!$A:$A,$A133,'Budget-ACPLHK'!Q:Q)+SUMIF('Budget-ACPSZL'!$A:$A,$A133,'Budget-ACPSZL'!Q:Q)+SUMIF('Budget-ACPLSZ'!$A:$A,$A133,'Budget-ACPLSZ'!Q:Q)+SUMIF('Budget-ACPLGZ'!$A:$A,$A133,'Budget-ACPLGZ'!Q:Q)+SUMIF('Budget-Yixing'!$A:$A,$A133,'Budget-Yixing'!Q:Q)</f>
        <v>0</v>
      </c>
      <c r="R133" s="676">
        <f ca="1">SUMIF('Budget-ACPL'!$A:$A,$A133,'Budget-ACPL'!R:R)+SUMIF('Budget-ACPLHK'!$A:$A,$A133,'Budget-ACPLHK'!R:R)+SUMIF('Budget-ACPSZL'!$A:$A,$A133,'Budget-ACPSZL'!R:R)+SUMIF('Budget-ACPLSZ'!$A:$A,$A133,'Budget-ACPLSZ'!R:R)+SUMIF('Budget-ACPLGZ'!$A:$A,$A133,'Budget-ACPLGZ'!R:R)+SUMIF('Budget-Yixing'!$A:$A,$A133,'Budget-Yixing'!R:R)</f>
        <v>0</v>
      </c>
      <c r="S133" s="676">
        <f ca="1">SUMIF('Budget-ACPL'!$A:$A,$A133,'Budget-ACPL'!S:S)+SUMIF('Budget-ACPLHK'!$A:$A,$A133,'Budget-ACPLHK'!S:S)+SUMIF('Budget-ACPSZL'!$A:$A,$A133,'Budget-ACPSZL'!S:S)+SUMIF('Budget-ACPLSZ'!$A:$A,$A133,'Budget-ACPLSZ'!S:S)+SUMIF('Budget-ACPLGZ'!$A:$A,$A133,'Budget-ACPLGZ'!S:S)+SUMIF('Budget-Yixing'!$A:$A,$A133,'Budget-Yixing'!S:S)</f>
        <v>0</v>
      </c>
      <c r="T133" s="676">
        <f ca="1">SUMIF('Budget-ACPL'!$A:$A,$A133,'Budget-ACPL'!T:T)+SUMIF('Budget-ACPLHK'!$A:$A,$A133,'Budget-ACPLHK'!T:T)+SUMIF('Budget-ACPSZL'!$A:$A,$A133,'Budget-ACPSZL'!T:T)+SUMIF('Budget-ACPLSZ'!$A:$A,$A133,'Budget-ACPLSZ'!T:T)+SUMIF('Budget-ACPLGZ'!$A:$A,$A133,'Budget-ACPLGZ'!T:T)+SUMIF('Budget-Yixing'!$A:$A,$A133,'Budget-Yixing'!T:T)</f>
        <v>0</v>
      </c>
      <c r="U133" s="676">
        <f ca="1">SUMIF('Budget-ACPL'!$A:$A,$A133,'Budget-ACPL'!U:U)+SUMIF('Budget-ACPLHK'!$A:$A,$A133,'Budget-ACPLHK'!U:U)+SUMIF('Budget-ACPSZL'!$A:$A,$A133,'Budget-ACPSZL'!U:U)+SUMIF('Budget-ACPLSZ'!$A:$A,$A133,'Budget-ACPLSZ'!U:U)+SUMIF('Budget-ACPLGZ'!$A:$A,$A133,'Budget-ACPLGZ'!U:U)+SUMIF('Budget-Yixing'!$A:$A,$A133,'Budget-Yixing'!U:U)</f>
        <v>0</v>
      </c>
      <c r="V133" s="676">
        <f ca="1">SUMIF('Budget-ACPL'!$A:$A,$A133,'Budget-ACPL'!V:V)+SUMIF('Budget-ACPLHK'!$A:$A,$A133,'Budget-ACPLHK'!V:V)+SUMIF('Budget-ACPSZL'!$A:$A,$A133,'Budget-ACPSZL'!V:V)+SUMIF('Budget-ACPLSZ'!$A:$A,$A133,'Budget-ACPLSZ'!V:V)+SUMIF('Budget-ACPLGZ'!$A:$A,$A133,'Budget-ACPLGZ'!V:V)+SUMIF('Budget-Yixing'!$A:$A,$A133,'Budget-Yixing'!V:V)</f>
        <v>0</v>
      </c>
      <c r="W133" s="676">
        <f t="shared" ca="1" si="44"/>
        <v>0</v>
      </c>
      <c r="Y133" s="688">
        <f ca="1">SUMIF('Budget-ACPL'!$A:$A,$A133,'Budget-ACPL'!Y:Y)+SUMIF('Budget-ACPLHK'!$A:$A,$A133,'Budget-ACPLHK'!Y:Y)+SUMIF('Budget-ACPSZL'!$A:$A,$A133,'Budget-ACPSZL'!Y:Y)+SUMIF('Budget-ACPLSZ'!$A:$A,$A133,'Budget-ACPLSZ'!Y:Y)+SUMIF('Budget-ACPLGZ'!$A:$A,$A133,'Budget-ACPLGZ'!Y:Y)+SUMIF('Budget-Yixing'!$A:$A,$A133,'Budget-Yixing'!Y:Y)</f>
        <v>0</v>
      </c>
      <c r="Z133" s="688">
        <f ca="1">SUMIF('Budget-ACPL'!$A:$A,$A133,'Budget-ACPL'!Z:Z)+SUMIF('Budget-ACPLHK'!$A:$A,$A133,'Budget-ACPLHK'!Z:Z)+SUMIF('Budget-ACPSZL'!$A:$A,$A133,'Budget-ACPSZL'!Z:Z)+SUMIF('Budget-ACPLSZ'!$A:$A,$A133,'Budget-ACPLSZ'!Z:Z)+SUMIF('Budget-ACPLGZ'!$A:$A,$A133,'Budget-ACPLGZ'!Z:Z)+SUMIF('Budget-Yixing'!$A:$A,$A133,'Budget-Yixing'!Z:Z)</f>
        <v>0</v>
      </c>
      <c r="AA133" s="688">
        <f ca="1">SUMIF('Budget-ACPL'!$A:$A,$A133,'Budget-ACPL'!AA:AA)+SUMIF('Budget-ACPLHK'!$A:$A,$A133,'Budget-ACPLHK'!AA:AA)+SUMIF('Budget-ACPSZL'!$A:$A,$A133,'Budget-ACPSZL'!AA:AA)+SUMIF('Budget-ACPLSZ'!$A:$A,$A133,'Budget-ACPLSZ'!AA:AA)+SUMIF('Budget-ACPLGZ'!$A:$A,$A133,'Budget-ACPLGZ'!AA:AA)+SUMIF('Budget-Yixing'!$A:$A,$A133,'Budget-Yixing'!AA:AA)</f>
        <v>0</v>
      </c>
      <c r="AB133" s="688">
        <f ca="1">SUMIF('Budget-ACPL'!$A:$A,$A133,'Budget-ACPL'!AB:AB)+SUMIF('Budget-ACPLHK'!$A:$A,$A133,'Budget-ACPLHK'!AB:AB)+SUMIF('Budget-ACPSZL'!$A:$A,$A133,'Budget-ACPSZL'!AB:AB)+SUMIF('Budget-ACPLSZ'!$A:$A,$A133,'Budget-ACPLSZ'!AB:AB)+SUMIF('Budget-ACPLGZ'!$A:$A,$A133,'Budget-ACPLGZ'!AB:AB)+SUMIF('Budget-Yixing'!$A:$A,$A133,'Budget-Yixing'!AB:AB)</f>
        <v>0</v>
      </c>
      <c r="AC133" s="688">
        <f ca="1">SUMIF('Budget-ACPL'!$A:$A,$A133,'Budget-ACPL'!AC:AC)+SUMIF('Budget-ACPLHK'!$A:$A,$A133,'Budget-ACPLHK'!AC:AC)+SUMIF('Budget-ACPSZL'!$A:$A,$A133,'Budget-ACPSZL'!AC:AC)+SUMIF('Budget-ACPLSZ'!$A:$A,$A133,'Budget-ACPLSZ'!AC:AC)+SUMIF('Budget-ACPLGZ'!$A:$A,$A133,'Budget-ACPLGZ'!AC:AC)+SUMIF('Budget-Yixing'!$A:$A,$A133,'Budget-Yixing'!AC:AC)</f>
        <v>0</v>
      </c>
      <c r="AD133" s="688">
        <f ca="1">SUMIF('Budget-ACPL'!$A:$A,$A133,'Budget-ACPL'!AD:AD)+SUMIF('Budget-ACPLHK'!$A:$A,$A133,'Budget-ACPLHK'!AD:AD)+SUMIF('Budget-ACPSZL'!$A:$A,$A133,'Budget-ACPSZL'!AD:AD)+SUMIF('Budget-ACPLSZ'!$A:$A,$A133,'Budget-ACPLSZ'!AD:AD)+SUMIF('Budget-ACPLGZ'!$A:$A,$A133,'Budget-ACPLGZ'!AD:AD)+SUMIF('Budget-Yixing'!$A:$A,$A133,'Budget-Yixing'!AD:AD)</f>
        <v>0</v>
      </c>
      <c r="AE133" s="688">
        <f ca="1">SUMIF('Budget-ACPL'!$A:$A,$A133,'Budget-ACPL'!AE:AE)+SUMIF('Budget-ACPLHK'!$A:$A,$A133,'Budget-ACPLHK'!AE:AE)+SUMIF('Budget-ACPSZL'!$A:$A,$A133,'Budget-ACPSZL'!AE:AE)+SUMIF('Budget-ACPLSZ'!$A:$A,$A133,'Budget-ACPLSZ'!AE:AE)+SUMIF('Budget-ACPLGZ'!$A:$A,$A133,'Budget-ACPLGZ'!AE:AE)+SUMIF('Budget-Yixing'!$A:$A,$A133,'Budget-Yixing'!AE:AE)</f>
        <v>0</v>
      </c>
      <c r="AF133" s="688">
        <f ca="1">SUMIF('Budget-ACPL'!$A:$A,$A133,'Budget-ACPL'!AF:AF)+SUMIF('Budget-ACPLHK'!$A:$A,$A133,'Budget-ACPLHK'!AF:AF)+SUMIF('Budget-ACPSZL'!$A:$A,$A133,'Budget-ACPSZL'!AF:AF)+SUMIF('Budget-ACPLSZ'!$A:$A,$A133,'Budget-ACPLSZ'!AF:AF)+SUMIF('Budget-ACPLGZ'!$A:$A,$A133,'Budget-ACPLGZ'!AF:AF)+SUMIF('Budget-Yixing'!$A:$A,$A133,'Budget-Yixing'!AF:AF)</f>
        <v>0</v>
      </c>
      <c r="AG133" s="688">
        <f ca="1">SUMIF('Budget-ACPL'!$A:$A,$A133,'Budget-ACPL'!AG:AG)+SUMIF('Budget-ACPLHK'!$A:$A,$A133,'Budget-ACPLHK'!AG:AG)+SUMIF('Budget-ACPSZL'!$A:$A,$A133,'Budget-ACPSZL'!AG:AG)+SUMIF('Budget-ACPLSZ'!$A:$A,$A133,'Budget-ACPLSZ'!AG:AG)+SUMIF('Budget-ACPLGZ'!$A:$A,$A133,'Budget-ACPLGZ'!AG:AG)+SUMIF('Budget-Yixing'!$A:$A,$A133,'Budget-Yixing'!AG:AG)</f>
        <v>0</v>
      </c>
      <c r="AH133" s="688">
        <f ca="1">SUMIF('Budget-ACPL'!$A:$A,$A133,'Budget-ACPL'!AH:AH)+SUMIF('Budget-ACPLHK'!$A:$A,$A133,'Budget-ACPLHK'!AH:AH)+SUMIF('Budget-ACPSZL'!$A:$A,$A133,'Budget-ACPSZL'!AH:AH)+SUMIF('Budget-ACPLSZ'!$A:$A,$A133,'Budget-ACPLSZ'!AH:AH)+SUMIF('Budget-ACPLGZ'!$A:$A,$A133,'Budget-ACPLGZ'!AH:AH)+SUMIF('Budget-Yixing'!$A:$A,$A133,'Budget-Yixing'!AH:AH)</f>
        <v>0</v>
      </c>
      <c r="AI133" s="688">
        <f ca="1">SUMIF('Budget-ACPL'!$A:$A,$A133,'Budget-ACPL'!AI:AI)+SUMIF('Budget-ACPLHK'!$A:$A,$A133,'Budget-ACPLHK'!AI:AI)+SUMIF('Budget-ACPSZL'!$A:$A,$A133,'Budget-ACPSZL'!AI:AI)+SUMIF('Budget-ACPLSZ'!$A:$A,$A133,'Budget-ACPLSZ'!AI:AI)+SUMIF('Budget-ACPLGZ'!$A:$A,$A133,'Budget-ACPLGZ'!AI:AI)+SUMIF('Budget-Yixing'!$A:$A,$A133,'Budget-Yixing'!AI:AI)</f>
        <v>0</v>
      </c>
      <c r="AJ133" s="688">
        <f ca="1">SUMIF('Budget-ACPL'!$A:$A,$A133,'Budget-ACPL'!AJ:AJ)+SUMIF('Budget-ACPLHK'!$A:$A,$A133,'Budget-ACPLHK'!AJ:AJ)+SUMIF('Budget-ACPSZL'!$A:$A,$A133,'Budget-ACPSZL'!AJ:AJ)+SUMIF('Budget-ACPLSZ'!$A:$A,$A133,'Budget-ACPLSZ'!AJ:AJ)+SUMIF('Budget-ACPLGZ'!$A:$A,$A133,'Budget-ACPLGZ'!AJ:AJ)+SUMIF('Budget-Yixing'!$A:$A,$A133,'Budget-Yixing'!AJ:AJ)</f>
        <v>0</v>
      </c>
      <c r="AK133" s="688">
        <f t="shared" ca="1" si="43"/>
        <v>0</v>
      </c>
    </row>
    <row r="134" spans="1:37" ht="11.1" customHeight="1">
      <c r="A134" s="713" t="s">
        <v>1826</v>
      </c>
      <c r="B134" s="687" t="str">
        <f>VLOOKUP(A134,Account!A:B,2,0)</f>
        <v>办公地址</v>
      </c>
      <c r="C134" s="687">
        <f>VLOOKUP(A134,Account!A:F,4,0)</f>
        <v>0</v>
      </c>
      <c r="D134" s="676">
        <f t="shared" ca="1" si="38"/>
        <v>71794.122715400008</v>
      </c>
      <c r="E134" s="676" t="e">
        <f t="shared" si="39"/>
        <v>#N/A</v>
      </c>
      <c r="F134" s="676" t="e">
        <f t="shared" ca="1" si="37"/>
        <v>#N/A</v>
      </c>
      <c r="G134" s="676">
        <f t="shared" ca="1" si="40"/>
        <v>71794.122715400008</v>
      </c>
      <c r="H134" s="676" t="e">
        <f t="shared" ca="1" si="41"/>
        <v>#N/A</v>
      </c>
      <c r="I134" s="676" t="e">
        <f t="shared" ca="1" si="42"/>
        <v>#N/A</v>
      </c>
      <c r="K134" s="676">
        <f ca="1">SUMIF('Budget-ACPL'!$A:$A,$A134,'Budget-ACPL'!K:K)+SUMIF('Budget-ACPLHK'!$A:$A,$A134,'Budget-ACPLHK'!K:K)+SUMIF('Budget-ACPSZL'!$A:$A,$A134,'Budget-ACPSZL'!K:K)+SUMIF('Budget-ACPLSZ'!$A:$A,$A134,'Budget-ACPLSZ'!K:K)+SUMIF('Budget-ACPLGZ'!$A:$A,$A134,'Budget-ACPLGZ'!K:K)+SUMIF('Budget-Yixing'!$A:$A,$A134,'Budget-Yixing'!K:K)</f>
        <v>71794.122715400008</v>
      </c>
      <c r="L134" s="676">
        <f ca="1">SUMIF('Budget-ACPL'!$A:$A,$A134,'Budget-ACPL'!L:L)+SUMIF('Budget-ACPLHK'!$A:$A,$A134,'Budget-ACPLHK'!L:L)+SUMIF('Budget-ACPSZL'!$A:$A,$A134,'Budget-ACPSZL'!L:L)+SUMIF('Budget-ACPLSZ'!$A:$A,$A134,'Budget-ACPLSZ'!L:L)+SUMIF('Budget-ACPLGZ'!$A:$A,$A134,'Budget-ACPLGZ'!L:L)+SUMIF('Budget-Yixing'!$A:$A,$A134,'Budget-Yixing'!L:L)</f>
        <v>71165.715412000005</v>
      </c>
      <c r="M134" s="676">
        <f ca="1">SUMIF('Budget-ACPL'!$A:$A,$A134,'Budget-ACPL'!M:M)+SUMIF('Budget-ACPLHK'!$A:$A,$A134,'Budget-ACPLHK'!M:M)+SUMIF('Budget-ACPSZL'!$A:$A,$A134,'Budget-ACPSZL'!M:M)+SUMIF('Budget-ACPLSZ'!$A:$A,$A134,'Budget-ACPLSZ'!M:M)+SUMIF('Budget-ACPLGZ'!$A:$A,$A134,'Budget-ACPLGZ'!M:M)+SUMIF('Budget-Yixing'!$A:$A,$A134,'Budget-Yixing'!M:M)</f>
        <v>71165.715412000005</v>
      </c>
      <c r="N134" s="676">
        <f ca="1">SUMIF('Budget-ACPL'!$A:$A,$A134,'Budget-ACPL'!N:N)+SUMIF('Budget-ACPLHK'!$A:$A,$A134,'Budget-ACPLHK'!N:N)+SUMIF('Budget-ACPSZL'!$A:$A,$A134,'Budget-ACPSZL'!N:N)+SUMIF('Budget-ACPLSZ'!$A:$A,$A134,'Budget-ACPLSZ'!N:N)+SUMIF('Budget-ACPLGZ'!$A:$A,$A134,'Budget-ACPLGZ'!N:N)+SUMIF('Budget-Yixing'!$A:$A,$A134,'Budget-Yixing'!N:N)</f>
        <v>71165.715412000005</v>
      </c>
      <c r="O134" s="676">
        <f ca="1">SUMIF('Budget-ACPL'!$A:$A,$A134,'Budget-ACPL'!O:O)+SUMIF('Budget-ACPLHK'!$A:$A,$A134,'Budget-ACPLHK'!O:O)+SUMIF('Budget-ACPSZL'!$A:$A,$A134,'Budget-ACPSZL'!O:O)+SUMIF('Budget-ACPLSZ'!$A:$A,$A134,'Budget-ACPLSZ'!O:O)+SUMIF('Budget-ACPLGZ'!$A:$A,$A134,'Budget-ACPLGZ'!O:O)+SUMIF('Budget-Yixing'!$A:$A,$A134,'Budget-Yixing'!O:O)</f>
        <v>71165.715412000005</v>
      </c>
      <c r="P134" s="676">
        <f ca="1">SUMIF('Budget-ACPL'!$A:$A,$A134,'Budget-ACPL'!P:P)+SUMIF('Budget-ACPLHK'!$A:$A,$A134,'Budget-ACPLHK'!P:P)+SUMIF('Budget-ACPSZL'!$A:$A,$A134,'Budget-ACPSZL'!P:P)+SUMIF('Budget-ACPLSZ'!$A:$A,$A134,'Budget-ACPLSZ'!P:P)+SUMIF('Budget-ACPLGZ'!$A:$A,$A134,'Budget-ACPLGZ'!P:P)+SUMIF('Budget-Yixing'!$A:$A,$A134,'Budget-Yixing'!P:P)</f>
        <v>71165.715412000005</v>
      </c>
      <c r="Q134" s="676">
        <f ca="1">SUMIF('Budget-ACPL'!$A:$A,$A134,'Budget-ACPL'!Q:Q)+SUMIF('Budget-ACPLHK'!$A:$A,$A134,'Budget-ACPLHK'!Q:Q)+SUMIF('Budget-ACPSZL'!$A:$A,$A134,'Budget-ACPSZL'!Q:Q)+SUMIF('Budget-ACPLSZ'!$A:$A,$A134,'Budget-ACPLSZ'!Q:Q)+SUMIF('Budget-ACPLGZ'!$A:$A,$A134,'Budget-ACPLGZ'!Q:Q)+SUMIF('Budget-Yixing'!$A:$A,$A134,'Budget-Yixing'!Q:Q)</f>
        <v>71165.715412000005</v>
      </c>
      <c r="R134" s="676">
        <f ca="1">SUMIF('Budget-ACPL'!$A:$A,$A134,'Budget-ACPL'!R:R)+SUMIF('Budget-ACPLHK'!$A:$A,$A134,'Budget-ACPLHK'!R:R)+SUMIF('Budget-ACPSZL'!$A:$A,$A134,'Budget-ACPSZL'!R:R)+SUMIF('Budget-ACPLSZ'!$A:$A,$A134,'Budget-ACPLSZ'!R:R)+SUMIF('Budget-ACPLGZ'!$A:$A,$A134,'Budget-ACPLGZ'!R:R)+SUMIF('Budget-Yixing'!$A:$A,$A134,'Budget-Yixing'!R:R)</f>
        <v>71165.715412000005</v>
      </c>
      <c r="S134" s="676">
        <f ca="1">SUMIF('Budget-ACPL'!$A:$A,$A134,'Budget-ACPL'!S:S)+SUMIF('Budget-ACPLHK'!$A:$A,$A134,'Budget-ACPLHK'!S:S)+SUMIF('Budget-ACPSZL'!$A:$A,$A134,'Budget-ACPSZL'!S:S)+SUMIF('Budget-ACPLSZ'!$A:$A,$A134,'Budget-ACPLSZ'!S:S)+SUMIF('Budget-ACPLGZ'!$A:$A,$A134,'Budget-ACPLGZ'!S:S)+SUMIF('Budget-Yixing'!$A:$A,$A134,'Budget-Yixing'!S:S)</f>
        <v>71165.715412000005</v>
      </c>
      <c r="T134" s="676">
        <f ca="1">SUMIF('Budget-ACPL'!$A:$A,$A134,'Budget-ACPL'!T:T)+SUMIF('Budget-ACPLHK'!$A:$A,$A134,'Budget-ACPLHK'!T:T)+SUMIF('Budget-ACPSZL'!$A:$A,$A134,'Budget-ACPSZL'!T:T)+SUMIF('Budget-ACPLSZ'!$A:$A,$A134,'Budget-ACPLSZ'!T:T)+SUMIF('Budget-ACPLGZ'!$A:$A,$A134,'Budget-ACPLGZ'!T:T)+SUMIF('Budget-Yixing'!$A:$A,$A134,'Budget-Yixing'!T:T)</f>
        <v>71165.715412000005</v>
      </c>
      <c r="U134" s="676">
        <f ca="1">SUMIF('Budget-ACPL'!$A:$A,$A134,'Budget-ACPL'!U:U)+SUMIF('Budget-ACPLHK'!$A:$A,$A134,'Budget-ACPLHK'!U:U)+SUMIF('Budget-ACPSZL'!$A:$A,$A134,'Budget-ACPSZL'!U:U)+SUMIF('Budget-ACPLSZ'!$A:$A,$A134,'Budget-ACPLSZ'!U:U)+SUMIF('Budget-ACPLGZ'!$A:$A,$A134,'Budget-ACPLGZ'!U:U)+SUMIF('Budget-Yixing'!$A:$A,$A134,'Budget-Yixing'!U:U)</f>
        <v>71165.715412000005</v>
      </c>
      <c r="V134" s="676">
        <f ca="1">SUMIF('Budget-ACPL'!$A:$A,$A134,'Budget-ACPL'!V:V)+SUMIF('Budget-ACPLHK'!$A:$A,$A134,'Budget-ACPLHK'!V:V)+SUMIF('Budget-ACPSZL'!$A:$A,$A134,'Budget-ACPSZL'!V:V)+SUMIF('Budget-ACPLSZ'!$A:$A,$A134,'Budget-ACPLSZ'!V:V)+SUMIF('Budget-ACPLGZ'!$A:$A,$A134,'Budget-ACPLGZ'!V:V)+SUMIF('Budget-Yixing'!$A:$A,$A134,'Budget-Yixing'!V:V)</f>
        <v>71165.715412000005</v>
      </c>
      <c r="W134" s="676">
        <f t="shared" ca="1" si="44"/>
        <v>854616.99224739999</v>
      </c>
      <c r="Y134" s="688">
        <f ca="1">SUMIF('Budget-ACPL'!$A:$A,$A134,'Budget-ACPL'!Y:Y)+SUMIF('Budget-ACPLHK'!$A:$A,$A134,'Budget-ACPLHK'!Y:Y)+SUMIF('Budget-ACPSZL'!$A:$A,$A134,'Budget-ACPSZL'!Y:Y)+SUMIF('Budget-ACPLSZ'!$A:$A,$A134,'Budget-ACPLSZ'!Y:Y)+SUMIF('Budget-ACPLGZ'!$A:$A,$A134,'Budget-ACPLGZ'!Y:Y)+SUMIF('Budget-Yixing'!$A:$A,$A134,'Budget-Yixing'!Y:Y)</f>
        <v>116918.17000000001</v>
      </c>
      <c r="Z134" s="688">
        <f ca="1">SUMIF('Budget-ACPL'!$A:$A,$A134,'Budget-ACPL'!Z:Z)+SUMIF('Budget-ACPLHK'!$A:$A,$A134,'Budget-ACPLHK'!Z:Z)+SUMIF('Budget-ACPSZL'!$A:$A,$A134,'Budget-ACPSZL'!Z:Z)+SUMIF('Budget-ACPLSZ'!$A:$A,$A134,'Budget-ACPLSZ'!Z:Z)+SUMIF('Budget-ACPLGZ'!$A:$A,$A134,'Budget-ACPLGZ'!Z:Z)+SUMIF('Budget-Yixing'!$A:$A,$A134,'Budget-Yixing'!Z:Z)</f>
        <v>80668.460000000006</v>
      </c>
      <c r="AA134" s="688">
        <f ca="1">SUMIF('Budget-ACPL'!$A:$A,$A134,'Budget-ACPL'!AA:AA)+SUMIF('Budget-ACPLHK'!$A:$A,$A134,'Budget-ACPLHK'!AA:AA)+SUMIF('Budget-ACPSZL'!$A:$A,$A134,'Budget-ACPSZL'!AA:AA)+SUMIF('Budget-ACPLSZ'!$A:$A,$A134,'Budget-ACPLSZ'!AA:AA)+SUMIF('Budget-ACPLGZ'!$A:$A,$A134,'Budget-ACPLGZ'!AA:AA)+SUMIF('Budget-Yixing'!$A:$A,$A134,'Budget-Yixing'!AA:AA)</f>
        <v>80668.460000000006</v>
      </c>
      <c r="AB134" s="688">
        <f ca="1">SUMIF('Budget-ACPL'!$A:$A,$A134,'Budget-ACPL'!AB:AB)+SUMIF('Budget-ACPLHK'!$A:$A,$A134,'Budget-ACPLHK'!AB:AB)+SUMIF('Budget-ACPSZL'!$A:$A,$A134,'Budget-ACPSZL'!AB:AB)+SUMIF('Budget-ACPLSZ'!$A:$A,$A134,'Budget-ACPLSZ'!AB:AB)+SUMIF('Budget-ACPLGZ'!$A:$A,$A134,'Budget-ACPLGZ'!AB:AB)+SUMIF('Budget-Yixing'!$A:$A,$A134,'Budget-Yixing'!AB:AB)</f>
        <v>80668.460000000006</v>
      </c>
      <c r="AC134" s="688">
        <f ca="1">SUMIF('Budget-ACPL'!$A:$A,$A134,'Budget-ACPL'!AC:AC)+SUMIF('Budget-ACPLHK'!$A:$A,$A134,'Budget-ACPLHK'!AC:AC)+SUMIF('Budget-ACPSZL'!$A:$A,$A134,'Budget-ACPSZL'!AC:AC)+SUMIF('Budget-ACPLSZ'!$A:$A,$A134,'Budget-ACPLSZ'!AC:AC)+SUMIF('Budget-ACPLGZ'!$A:$A,$A134,'Budget-ACPLGZ'!AC:AC)+SUMIF('Budget-Yixing'!$A:$A,$A134,'Budget-Yixing'!AC:AC)</f>
        <v>80668.460000000006</v>
      </c>
      <c r="AD134" s="688">
        <f ca="1">SUMIF('Budget-ACPL'!$A:$A,$A134,'Budget-ACPL'!AD:AD)+SUMIF('Budget-ACPLHK'!$A:$A,$A134,'Budget-ACPLHK'!AD:AD)+SUMIF('Budget-ACPSZL'!$A:$A,$A134,'Budget-ACPSZL'!AD:AD)+SUMIF('Budget-ACPLSZ'!$A:$A,$A134,'Budget-ACPLSZ'!AD:AD)+SUMIF('Budget-ACPLGZ'!$A:$A,$A134,'Budget-ACPLGZ'!AD:AD)+SUMIF('Budget-Yixing'!$A:$A,$A134,'Budget-Yixing'!AD:AD)</f>
        <v>80668.460000000006</v>
      </c>
      <c r="AE134" s="688">
        <f ca="1">SUMIF('Budget-ACPL'!$A:$A,$A134,'Budget-ACPL'!AE:AE)+SUMIF('Budget-ACPLHK'!$A:$A,$A134,'Budget-ACPLHK'!AE:AE)+SUMIF('Budget-ACPSZL'!$A:$A,$A134,'Budget-ACPSZL'!AE:AE)+SUMIF('Budget-ACPLSZ'!$A:$A,$A134,'Budget-ACPLSZ'!AE:AE)+SUMIF('Budget-ACPLGZ'!$A:$A,$A134,'Budget-ACPLGZ'!AE:AE)+SUMIF('Budget-Yixing'!$A:$A,$A134,'Budget-Yixing'!AE:AE)</f>
        <v>80668.460000000006</v>
      </c>
      <c r="AF134" s="688">
        <f ca="1">SUMIF('Budget-ACPL'!$A:$A,$A134,'Budget-ACPL'!AF:AF)+SUMIF('Budget-ACPLHK'!$A:$A,$A134,'Budget-ACPLHK'!AF:AF)+SUMIF('Budget-ACPSZL'!$A:$A,$A134,'Budget-ACPSZL'!AF:AF)+SUMIF('Budget-ACPLSZ'!$A:$A,$A134,'Budget-ACPLSZ'!AF:AF)+SUMIF('Budget-ACPLGZ'!$A:$A,$A134,'Budget-ACPLGZ'!AF:AF)+SUMIF('Budget-Yixing'!$A:$A,$A134,'Budget-Yixing'!AF:AF)</f>
        <v>80668.460000000006</v>
      </c>
      <c r="AG134" s="688">
        <f ca="1">SUMIF('Budget-ACPL'!$A:$A,$A134,'Budget-ACPL'!AG:AG)+SUMIF('Budget-ACPLHK'!$A:$A,$A134,'Budget-ACPLHK'!AG:AG)+SUMIF('Budget-ACPSZL'!$A:$A,$A134,'Budget-ACPSZL'!AG:AG)+SUMIF('Budget-ACPLSZ'!$A:$A,$A134,'Budget-ACPLSZ'!AG:AG)+SUMIF('Budget-ACPLGZ'!$A:$A,$A134,'Budget-ACPLGZ'!AG:AG)+SUMIF('Budget-Yixing'!$A:$A,$A134,'Budget-Yixing'!AG:AG)</f>
        <v>80668.460000000006</v>
      </c>
      <c r="AH134" s="688">
        <f ca="1">SUMIF('Budget-ACPL'!$A:$A,$A134,'Budget-ACPL'!AH:AH)+SUMIF('Budget-ACPLHK'!$A:$A,$A134,'Budget-ACPLHK'!AH:AH)+SUMIF('Budget-ACPSZL'!$A:$A,$A134,'Budget-ACPSZL'!AH:AH)+SUMIF('Budget-ACPLSZ'!$A:$A,$A134,'Budget-ACPLSZ'!AH:AH)+SUMIF('Budget-ACPLGZ'!$A:$A,$A134,'Budget-ACPLGZ'!AH:AH)+SUMIF('Budget-Yixing'!$A:$A,$A134,'Budget-Yixing'!AH:AH)</f>
        <v>80668.460000000006</v>
      </c>
      <c r="AI134" s="688">
        <f ca="1">SUMIF('Budget-ACPL'!$A:$A,$A134,'Budget-ACPL'!AI:AI)+SUMIF('Budget-ACPLHK'!$A:$A,$A134,'Budget-ACPLHK'!AI:AI)+SUMIF('Budget-ACPSZL'!$A:$A,$A134,'Budget-ACPSZL'!AI:AI)+SUMIF('Budget-ACPLSZ'!$A:$A,$A134,'Budget-ACPLSZ'!AI:AI)+SUMIF('Budget-ACPLGZ'!$A:$A,$A134,'Budget-ACPLGZ'!AI:AI)+SUMIF('Budget-Yixing'!$A:$A,$A134,'Budget-Yixing'!AI:AI)</f>
        <v>80668.460000000006</v>
      </c>
      <c r="AJ134" s="688">
        <f ca="1">SUMIF('Budget-ACPL'!$A:$A,$A134,'Budget-ACPL'!AJ:AJ)+SUMIF('Budget-ACPLHK'!$A:$A,$A134,'Budget-ACPLHK'!AJ:AJ)+SUMIF('Budget-ACPSZL'!$A:$A,$A134,'Budget-ACPSZL'!AJ:AJ)+SUMIF('Budget-ACPLSZ'!$A:$A,$A134,'Budget-ACPLSZ'!AJ:AJ)+SUMIF('Budget-ACPLGZ'!$A:$A,$A134,'Budget-ACPLGZ'!AJ:AJ)+SUMIF('Budget-Yixing'!$A:$A,$A134,'Budget-Yixing'!AJ:AJ)</f>
        <v>80668.460000000006</v>
      </c>
      <c r="AK134" s="688">
        <f t="shared" ca="1" si="43"/>
        <v>1004271.2299999999</v>
      </c>
    </row>
    <row r="135" spans="1:37" ht="11.1" hidden="1" customHeight="1">
      <c r="A135" s="713" t="s">
        <v>1828</v>
      </c>
      <c r="B135" s="687" t="str">
        <f>VLOOKUP(A135,Account!A:B,2,0)</f>
        <v>旭智咨询--鼎和大厦1606</v>
      </c>
      <c r="C135" s="687">
        <f>VLOOKUP(A135,Account!A:F,4,0)</f>
        <v>0</v>
      </c>
      <c r="D135" s="676">
        <f t="shared" ca="1" si="38"/>
        <v>0</v>
      </c>
      <c r="E135" s="676" t="e">
        <f t="shared" si="39"/>
        <v>#N/A</v>
      </c>
      <c r="F135" s="676" t="e">
        <f t="shared" ca="1" si="37"/>
        <v>#N/A</v>
      </c>
      <c r="G135" s="676">
        <f t="shared" ca="1" si="40"/>
        <v>0</v>
      </c>
      <c r="H135" s="676" t="e">
        <f t="shared" ca="1" si="41"/>
        <v>#N/A</v>
      </c>
      <c r="I135" s="676" t="e">
        <f t="shared" ca="1" si="42"/>
        <v>#N/A</v>
      </c>
      <c r="K135" s="676">
        <f ca="1">SUMIF('Budget-ACPL'!$A:$A,$A135,'Budget-ACPL'!K:K)+SUMIF('Budget-ACPLHK'!$A:$A,$A135,'Budget-ACPLHK'!K:K)+SUMIF('Budget-ACPSZL'!$A:$A,$A135,'Budget-ACPSZL'!K:K)+SUMIF('Budget-ACPLSZ'!$A:$A,$A135,'Budget-ACPLSZ'!K:K)+SUMIF('Budget-ACPLGZ'!$A:$A,$A135,'Budget-ACPLGZ'!K:K)+SUMIF('Budget-Yixing'!$A:$A,$A135,'Budget-Yixing'!K:K)</f>
        <v>0</v>
      </c>
      <c r="L135" s="676">
        <f ca="1">SUMIF('Budget-ACPL'!$A:$A,$A135,'Budget-ACPL'!L:L)+SUMIF('Budget-ACPLHK'!$A:$A,$A135,'Budget-ACPLHK'!L:L)+SUMIF('Budget-ACPSZL'!$A:$A,$A135,'Budget-ACPSZL'!L:L)+SUMIF('Budget-ACPLSZ'!$A:$A,$A135,'Budget-ACPLSZ'!L:L)+SUMIF('Budget-ACPLGZ'!$A:$A,$A135,'Budget-ACPLGZ'!L:L)+SUMIF('Budget-Yixing'!$A:$A,$A135,'Budget-Yixing'!L:L)</f>
        <v>0</v>
      </c>
      <c r="M135" s="676">
        <f ca="1">SUMIF('Budget-ACPL'!$A:$A,$A135,'Budget-ACPL'!M:M)+SUMIF('Budget-ACPLHK'!$A:$A,$A135,'Budget-ACPLHK'!M:M)+SUMIF('Budget-ACPSZL'!$A:$A,$A135,'Budget-ACPSZL'!M:M)+SUMIF('Budget-ACPLSZ'!$A:$A,$A135,'Budget-ACPLSZ'!M:M)+SUMIF('Budget-ACPLGZ'!$A:$A,$A135,'Budget-ACPLGZ'!M:M)+SUMIF('Budget-Yixing'!$A:$A,$A135,'Budget-Yixing'!M:M)</f>
        <v>0</v>
      </c>
      <c r="N135" s="676">
        <f ca="1">SUMIF('Budget-ACPL'!$A:$A,$A135,'Budget-ACPL'!N:N)+SUMIF('Budget-ACPLHK'!$A:$A,$A135,'Budget-ACPLHK'!N:N)+SUMIF('Budget-ACPSZL'!$A:$A,$A135,'Budget-ACPSZL'!N:N)+SUMIF('Budget-ACPLSZ'!$A:$A,$A135,'Budget-ACPLSZ'!N:N)+SUMIF('Budget-ACPLGZ'!$A:$A,$A135,'Budget-ACPLGZ'!N:N)+SUMIF('Budget-Yixing'!$A:$A,$A135,'Budget-Yixing'!N:N)</f>
        <v>0</v>
      </c>
      <c r="O135" s="676">
        <f ca="1">SUMIF('Budget-ACPL'!$A:$A,$A135,'Budget-ACPL'!O:O)+SUMIF('Budget-ACPLHK'!$A:$A,$A135,'Budget-ACPLHK'!O:O)+SUMIF('Budget-ACPSZL'!$A:$A,$A135,'Budget-ACPSZL'!O:O)+SUMIF('Budget-ACPLSZ'!$A:$A,$A135,'Budget-ACPLSZ'!O:O)+SUMIF('Budget-ACPLGZ'!$A:$A,$A135,'Budget-ACPLGZ'!O:O)+SUMIF('Budget-Yixing'!$A:$A,$A135,'Budget-Yixing'!O:O)</f>
        <v>0</v>
      </c>
      <c r="P135" s="676">
        <f ca="1">SUMIF('Budget-ACPL'!$A:$A,$A135,'Budget-ACPL'!P:P)+SUMIF('Budget-ACPLHK'!$A:$A,$A135,'Budget-ACPLHK'!P:P)+SUMIF('Budget-ACPSZL'!$A:$A,$A135,'Budget-ACPSZL'!P:P)+SUMIF('Budget-ACPLSZ'!$A:$A,$A135,'Budget-ACPLSZ'!P:P)+SUMIF('Budget-ACPLGZ'!$A:$A,$A135,'Budget-ACPLGZ'!P:P)+SUMIF('Budget-Yixing'!$A:$A,$A135,'Budget-Yixing'!P:P)</f>
        <v>0</v>
      </c>
      <c r="Q135" s="676">
        <f ca="1">SUMIF('Budget-ACPL'!$A:$A,$A135,'Budget-ACPL'!Q:Q)+SUMIF('Budget-ACPLHK'!$A:$A,$A135,'Budget-ACPLHK'!Q:Q)+SUMIF('Budget-ACPSZL'!$A:$A,$A135,'Budget-ACPSZL'!Q:Q)+SUMIF('Budget-ACPLSZ'!$A:$A,$A135,'Budget-ACPLSZ'!Q:Q)+SUMIF('Budget-ACPLGZ'!$A:$A,$A135,'Budget-ACPLGZ'!Q:Q)+SUMIF('Budget-Yixing'!$A:$A,$A135,'Budget-Yixing'!Q:Q)</f>
        <v>0</v>
      </c>
      <c r="R135" s="676">
        <f ca="1">SUMIF('Budget-ACPL'!$A:$A,$A135,'Budget-ACPL'!R:R)+SUMIF('Budget-ACPLHK'!$A:$A,$A135,'Budget-ACPLHK'!R:R)+SUMIF('Budget-ACPSZL'!$A:$A,$A135,'Budget-ACPSZL'!R:R)+SUMIF('Budget-ACPLSZ'!$A:$A,$A135,'Budget-ACPLSZ'!R:R)+SUMIF('Budget-ACPLGZ'!$A:$A,$A135,'Budget-ACPLGZ'!R:R)+SUMIF('Budget-Yixing'!$A:$A,$A135,'Budget-Yixing'!R:R)</f>
        <v>0</v>
      </c>
      <c r="S135" s="676">
        <f ca="1">SUMIF('Budget-ACPL'!$A:$A,$A135,'Budget-ACPL'!S:S)+SUMIF('Budget-ACPLHK'!$A:$A,$A135,'Budget-ACPLHK'!S:S)+SUMIF('Budget-ACPSZL'!$A:$A,$A135,'Budget-ACPSZL'!S:S)+SUMIF('Budget-ACPLSZ'!$A:$A,$A135,'Budget-ACPLSZ'!S:S)+SUMIF('Budget-ACPLGZ'!$A:$A,$A135,'Budget-ACPLGZ'!S:S)+SUMIF('Budget-Yixing'!$A:$A,$A135,'Budget-Yixing'!S:S)</f>
        <v>0</v>
      </c>
      <c r="T135" s="676">
        <f ca="1">SUMIF('Budget-ACPL'!$A:$A,$A135,'Budget-ACPL'!T:T)+SUMIF('Budget-ACPLHK'!$A:$A,$A135,'Budget-ACPLHK'!T:T)+SUMIF('Budget-ACPSZL'!$A:$A,$A135,'Budget-ACPSZL'!T:T)+SUMIF('Budget-ACPLSZ'!$A:$A,$A135,'Budget-ACPLSZ'!T:T)+SUMIF('Budget-ACPLGZ'!$A:$A,$A135,'Budget-ACPLGZ'!T:T)+SUMIF('Budget-Yixing'!$A:$A,$A135,'Budget-Yixing'!T:T)</f>
        <v>0</v>
      </c>
      <c r="U135" s="676">
        <f ca="1">SUMIF('Budget-ACPL'!$A:$A,$A135,'Budget-ACPL'!U:U)+SUMIF('Budget-ACPLHK'!$A:$A,$A135,'Budget-ACPLHK'!U:U)+SUMIF('Budget-ACPSZL'!$A:$A,$A135,'Budget-ACPSZL'!U:U)+SUMIF('Budget-ACPLSZ'!$A:$A,$A135,'Budget-ACPLSZ'!U:U)+SUMIF('Budget-ACPLGZ'!$A:$A,$A135,'Budget-ACPLGZ'!U:U)+SUMIF('Budget-Yixing'!$A:$A,$A135,'Budget-Yixing'!U:U)</f>
        <v>0</v>
      </c>
      <c r="V135" s="676">
        <f ca="1">SUMIF('Budget-ACPL'!$A:$A,$A135,'Budget-ACPL'!V:V)+SUMIF('Budget-ACPLHK'!$A:$A,$A135,'Budget-ACPLHK'!V:V)+SUMIF('Budget-ACPSZL'!$A:$A,$A135,'Budget-ACPSZL'!V:V)+SUMIF('Budget-ACPLSZ'!$A:$A,$A135,'Budget-ACPLSZ'!V:V)+SUMIF('Budget-ACPLGZ'!$A:$A,$A135,'Budget-ACPLGZ'!V:V)+SUMIF('Budget-Yixing'!$A:$A,$A135,'Budget-Yixing'!V:V)</f>
        <v>0</v>
      </c>
      <c r="W135" s="676">
        <f t="shared" ca="1" si="44"/>
        <v>0</v>
      </c>
      <c r="Y135" s="688">
        <f ca="1">SUMIF('Budget-ACPL'!$A:$A,$A135,'Budget-ACPL'!Y:Y)+SUMIF('Budget-ACPLHK'!$A:$A,$A135,'Budget-ACPLHK'!Y:Y)+SUMIF('Budget-ACPSZL'!$A:$A,$A135,'Budget-ACPSZL'!Y:Y)+SUMIF('Budget-ACPLSZ'!$A:$A,$A135,'Budget-ACPLSZ'!Y:Y)+SUMIF('Budget-ACPLGZ'!$A:$A,$A135,'Budget-ACPLGZ'!Y:Y)+SUMIF('Budget-Yixing'!$A:$A,$A135,'Budget-Yixing'!Y:Y)</f>
        <v>36249.71</v>
      </c>
      <c r="Z135" s="688">
        <f ca="1">SUMIF('Budget-ACPL'!$A:$A,$A135,'Budget-ACPL'!Z:Z)+SUMIF('Budget-ACPLHK'!$A:$A,$A135,'Budget-ACPLHK'!Z:Z)+SUMIF('Budget-ACPSZL'!$A:$A,$A135,'Budget-ACPSZL'!Z:Z)+SUMIF('Budget-ACPLSZ'!$A:$A,$A135,'Budget-ACPLSZ'!Z:Z)+SUMIF('Budget-ACPLGZ'!$A:$A,$A135,'Budget-ACPLGZ'!Z:Z)+SUMIF('Budget-Yixing'!$A:$A,$A135,'Budget-Yixing'!Z:Z)</f>
        <v>0</v>
      </c>
      <c r="AA135" s="688">
        <f ca="1">SUMIF('Budget-ACPL'!$A:$A,$A135,'Budget-ACPL'!AA:AA)+SUMIF('Budget-ACPLHK'!$A:$A,$A135,'Budget-ACPLHK'!AA:AA)+SUMIF('Budget-ACPSZL'!$A:$A,$A135,'Budget-ACPSZL'!AA:AA)+SUMIF('Budget-ACPLSZ'!$A:$A,$A135,'Budget-ACPLSZ'!AA:AA)+SUMIF('Budget-ACPLGZ'!$A:$A,$A135,'Budget-ACPLGZ'!AA:AA)+SUMIF('Budget-Yixing'!$A:$A,$A135,'Budget-Yixing'!AA:AA)</f>
        <v>0</v>
      </c>
      <c r="AB135" s="688">
        <f ca="1">SUMIF('Budget-ACPL'!$A:$A,$A135,'Budget-ACPL'!AB:AB)+SUMIF('Budget-ACPLHK'!$A:$A,$A135,'Budget-ACPLHK'!AB:AB)+SUMIF('Budget-ACPSZL'!$A:$A,$A135,'Budget-ACPSZL'!AB:AB)+SUMIF('Budget-ACPLSZ'!$A:$A,$A135,'Budget-ACPLSZ'!AB:AB)+SUMIF('Budget-ACPLGZ'!$A:$A,$A135,'Budget-ACPLGZ'!AB:AB)+SUMIF('Budget-Yixing'!$A:$A,$A135,'Budget-Yixing'!AB:AB)</f>
        <v>0</v>
      </c>
      <c r="AC135" s="688">
        <f ca="1">SUMIF('Budget-ACPL'!$A:$A,$A135,'Budget-ACPL'!AC:AC)+SUMIF('Budget-ACPLHK'!$A:$A,$A135,'Budget-ACPLHK'!AC:AC)+SUMIF('Budget-ACPSZL'!$A:$A,$A135,'Budget-ACPSZL'!AC:AC)+SUMIF('Budget-ACPLSZ'!$A:$A,$A135,'Budget-ACPLSZ'!AC:AC)+SUMIF('Budget-ACPLGZ'!$A:$A,$A135,'Budget-ACPLGZ'!AC:AC)+SUMIF('Budget-Yixing'!$A:$A,$A135,'Budget-Yixing'!AC:AC)</f>
        <v>0</v>
      </c>
      <c r="AD135" s="688">
        <f ca="1">SUMIF('Budget-ACPL'!$A:$A,$A135,'Budget-ACPL'!AD:AD)+SUMIF('Budget-ACPLHK'!$A:$A,$A135,'Budget-ACPLHK'!AD:AD)+SUMIF('Budget-ACPSZL'!$A:$A,$A135,'Budget-ACPSZL'!AD:AD)+SUMIF('Budget-ACPLSZ'!$A:$A,$A135,'Budget-ACPLSZ'!AD:AD)+SUMIF('Budget-ACPLGZ'!$A:$A,$A135,'Budget-ACPLGZ'!AD:AD)+SUMIF('Budget-Yixing'!$A:$A,$A135,'Budget-Yixing'!AD:AD)</f>
        <v>0</v>
      </c>
      <c r="AE135" s="688">
        <f ca="1">SUMIF('Budget-ACPL'!$A:$A,$A135,'Budget-ACPL'!AE:AE)+SUMIF('Budget-ACPLHK'!$A:$A,$A135,'Budget-ACPLHK'!AE:AE)+SUMIF('Budget-ACPSZL'!$A:$A,$A135,'Budget-ACPSZL'!AE:AE)+SUMIF('Budget-ACPLSZ'!$A:$A,$A135,'Budget-ACPLSZ'!AE:AE)+SUMIF('Budget-ACPLGZ'!$A:$A,$A135,'Budget-ACPLGZ'!AE:AE)+SUMIF('Budget-Yixing'!$A:$A,$A135,'Budget-Yixing'!AE:AE)</f>
        <v>0</v>
      </c>
      <c r="AF135" s="688">
        <f ca="1">SUMIF('Budget-ACPL'!$A:$A,$A135,'Budget-ACPL'!AF:AF)+SUMIF('Budget-ACPLHK'!$A:$A,$A135,'Budget-ACPLHK'!AF:AF)+SUMIF('Budget-ACPSZL'!$A:$A,$A135,'Budget-ACPSZL'!AF:AF)+SUMIF('Budget-ACPLSZ'!$A:$A,$A135,'Budget-ACPLSZ'!AF:AF)+SUMIF('Budget-ACPLGZ'!$A:$A,$A135,'Budget-ACPLGZ'!AF:AF)+SUMIF('Budget-Yixing'!$A:$A,$A135,'Budget-Yixing'!AF:AF)</f>
        <v>0</v>
      </c>
      <c r="AG135" s="688">
        <f ca="1">SUMIF('Budget-ACPL'!$A:$A,$A135,'Budget-ACPL'!AG:AG)+SUMIF('Budget-ACPLHK'!$A:$A,$A135,'Budget-ACPLHK'!AG:AG)+SUMIF('Budget-ACPSZL'!$A:$A,$A135,'Budget-ACPSZL'!AG:AG)+SUMIF('Budget-ACPLSZ'!$A:$A,$A135,'Budget-ACPLSZ'!AG:AG)+SUMIF('Budget-ACPLGZ'!$A:$A,$A135,'Budget-ACPLGZ'!AG:AG)+SUMIF('Budget-Yixing'!$A:$A,$A135,'Budget-Yixing'!AG:AG)</f>
        <v>0</v>
      </c>
      <c r="AH135" s="688">
        <f ca="1">SUMIF('Budget-ACPL'!$A:$A,$A135,'Budget-ACPL'!AH:AH)+SUMIF('Budget-ACPLHK'!$A:$A,$A135,'Budget-ACPLHK'!AH:AH)+SUMIF('Budget-ACPSZL'!$A:$A,$A135,'Budget-ACPSZL'!AH:AH)+SUMIF('Budget-ACPLSZ'!$A:$A,$A135,'Budget-ACPLSZ'!AH:AH)+SUMIF('Budget-ACPLGZ'!$A:$A,$A135,'Budget-ACPLGZ'!AH:AH)+SUMIF('Budget-Yixing'!$A:$A,$A135,'Budget-Yixing'!AH:AH)</f>
        <v>0</v>
      </c>
      <c r="AI135" s="688">
        <f ca="1">SUMIF('Budget-ACPL'!$A:$A,$A135,'Budget-ACPL'!AI:AI)+SUMIF('Budget-ACPLHK'!$A:$A,$A135,'Budget-ACPLHK'!AI:AI)+SUMIF('Budget-ACPSZL'!$A:$A,$A135,'Budget-ACPSZL'!AI:AI)+SUMIF('Budget-ACPLSZ'!$A:$A,$A135,'Budget-ACPLSZ'!AI:AI)+SUMIF('Budget-ACPLGZ'!$A:$A,$A135,'Budget-ACPLGZ'!AI:AI)+SUMIF('Budget-Yixing'!$A:$A,$A135,'Budget-Yixing'!AI:AI)</f>
        <v>0</v>
      </c>
      <c r="AJ135" s="688">
        <f ca="1">SUMIF('Budget-ACPL'!$A:$A,$A135,'Budget-ACPL'!AJ:AJ)+SUMIF('Budget-ACPLHK'!$A:$A,$A135,'Budget-ACPLHK'!AJ:AJ)+SUMIF('Budget-ACPSZL'!$A:$A,$A135,'Budget-ACPSZL'!AJ:AJ)+SUMIF('Budget-ACPLSZ'!$A:$A,$A135,'Budget-ACPLSZ'!AJ:AJ)+SUMIF('Budget-ACPLGZ'!$A:$A,$A135,'Budget-ACPLGZ'!AJ:AJ)+SUMIF('Budget-Yixing'!$A:$A,$A135,'Budget-Yixing'!AJ:AJ)</f>
        <v>0</v>
      </c>
      <c r="AK135" s="688">
        <f t="shared" ca="1" si="43"/>
        <v>36249.71</v>
      </c>
    </row>
    <row r="136" spans="1:37" ht="11.1" customHeight="1">
      <c r="A136" s="713" t="s">
        <v>1830</v>
      </c>
      <c r="B136" s="687" t="str">
        <f>VLOOKUP(A136,Account!A:B,2,0)</f>
        <v>旭智资本（香港）--冯氏大厦</v>
      </c>
      <c r="C136" s="687"/>
      <c r="D136" s="676">
        <f t="shared" ca="1" si="38"/>
        <v>71794.122715400008</v>
      </c>
      <c r="E136" s="676" t="e">
        <f t="shared" si="39"/>
        <v>#N/A</v>
      </c>
      <c r="F136" s="676" t="e">
        <f t="shared" ca="1" si="37"/>
        <v>#N/A</v>
      </c>
      <c r="G136" s="676">
        <f t="shared" ca="1" si="40"/>
        <v>71794.122715400008</v>
      </c>
      <c r="H136" s="676" t="e">
        <f t="shared" ca="1" si="41"/>
        <v>#N/A</v>
      </c>
      <c r="I136" s="676" t="e">
        <f t="shared" ca="1" si="42"/>
        <v>#N/A</v>
      </c>
      <c r="K136" s="676">
        <f ca="1">SUMIF('Budget-ACPL'!$A:$A,$A136,'Budget-ACPL'!K:K)+SUMIF('Budget-ACPLHK'!$A:$A,$A136,'Budget-ACPLHK'!K:K)+SUMIF('Budget-ACPSZL'!$A:$A,$A136,'Budget-ACPSZL'!K:K)+SUMIF('Budget-ACPLSZ'!$A:$A,$A136,'Budget-ACPLSZ'!K:K)+SUMIF('Budget-ACPLGZ'!$A:$A,$A136,'Budget-ACPLGZ'!K:K)+SUMIF('Budget-Yixing'!$A:$A,$A136,'Budget-Yixing'!K:K)</f>
        <v>71794.122715400008</v>
      </c>
      <c r="L136" s="676">
        <f ca="1">SUMIF('Budget-ACPL'!$A:$A,$A136,'Budget-ACPL'!L:L)+SUMIF('Budget-ACPLHK'!$A:$A,$A136,'Budget-ACPLHK'!L:L)+SUMIF('Budget-ACPSZL'!$A:$A,$A136,'Budget-ACPSZL'!L:L)+SUMIF('Budget-ACPLSZ'!$A:$A,$A136,'Budget-ACPLSZ'!L:L)+SUMIF('Budget-ACPLGZ'!$A:$A,$A136,'Budget-ACPLGZ'!L:L)+SUMIF('Budget-Yixing'!$A:$A,$A136,'Budget-Yixing'!L:L)</f>
        <v>71165.715412000005</v>
      </c>
      <c r="M136" s="676">
        <f ca="1">SUMIF('Budget-ACPL'!$A:$A,$A136,'Budget-ACPL'!M:M)+SUMIF('Budget-ACPLHK'!$A:$A,$A136,'Budget-ACPLHK'!M:M)+SUMIF('Budget-ACPSZL'!$A:$A,$A136,'Budget-ACPSZL'!M:M)+SUMIF('Budget-ACPLSZ'!$A:$A,$A136,'Budget-ACPLSZ'!M:M)+SUMIF('Budget-ACPLGZ'!$A:$A,$A136,'Budget-ACPLGZ'!M:M)+SUMIF('Budget-Yixing'!$A:$A,$A136,'Budget-Yixing'!M:M)</f>
        <v>71165.715412000005</v>
      </c>
      <c r="N136" s="676">
        <f ca="1">SUMIF('Budget-ACPL'!$A:$A,$A136,'Budget-ACPL'!N:N)+SUMIF('Budget-ACPLHK'!$A:$A,$A136,'Budget-ACPLHK'!N:N)+SUMIF('Budget-ACPSZL'!$A:$A,$A136,'Budget-ACPSZL'!N:N)+SUMIF('Budget-ACPLSZ'!$A:$A,$A136,'Budget-ACPLSZ'!N:N)+SUMIF('Budget-ACPLGZ'!$A:$A,$A136,'Budget-ACPLGZ'!N:N)+SUMIF('Budget-Yixing'!$A:$A,$A136,'Budget-Yixing'!N:N)</f>
        <v>71165.715412000005</v>
      </c>
      <c r="O136" s="676">
        <f ca="1">SUMIF('Budget-ACPL'!$A:$A,$A136,'Budget-ACPL'!O:O)+SUMIF('Budget-ACPLHK'!$A:$A,$A136,'Budget-ACPLHK'!O:O)+SUMIF('Budget-ACPSZL'!$A:$A,$A136,'Budget-ACPSZL'!O:O)+SUMIF('Budget-ACPLSZ'!$A:$A,$A136,'Budget-ACPLSZ'!O:O)+SUMIF('Budget-ACPLGZ'!$A:$A,$A136,'Budget-ACPLGZ'!O:O)+SUMIF('Budget-Yixing'!$A:$A,$A136,'Budget-Yixing'!O:O)</f>
        <v>71165.715412000005</v>
      </c>
      <c r="P136" s="676">
        <f ca="1">SUMIF('Budget-ACPL'!$A:$A,$A136,'Budget-ACPL'!P:P)+SUMIF('Budget-ACPLHK'!$A:$A,$A136,'Budget-ACPLHK'!P:P)+SUMIF('Budget-ACPSZL'!$A:$A,$A136,'Budget-ACPSZL'!P:P)+SUMIF('Budget-ACPLSZ'!$A:$A,$A136,'Budget-ACPLSZ'!P:P)+SUMIF('Budget-ACPLGZ'!$A:$A,$A136,'Budget-ACPLGZ'!P:P)+SUMIF('Budget-Yixing'!$A:$A,$A136,'Budget-Yixing'!P:P)</f>
        <v>71165.715412000005</v>
      </c>
      <c r="Q136" s="676">
        <f ca="1">SUMIF('Budget-ACPL'!$A:$A,$A136,'Budget-ACPL'!Q:Q)+SUMIF('Budget-ACPLHK'!$A:$A,$A136,'Budget-ACPLHK'!Q:Q)+SUMIF('Budget-ACPSZL'!$A:$A,$A136,'Budget-ACPSZL'!Q:Q)+SUMIF('Budget-ACPLSZ'!$A:$A,$A136,'Budget-ACPLSZ'!Q:Q)+SUMIF('Budget-ACPLGZ'!$A:$A,$A136,'Budget-ACPLGZ'!Q:Q)+SUMIF('Budget-Yixing'!$A:$A,$A136,'Budget-Yixing'!Q:Q)</f>
        <v>71165.715412000005</v>
      </c>
      <c r="R136" s="676">
        <f ca="1">SUMIF('Budget-ACPL'!$A:$A,$A136,'Budget-ACPL'!R:R)+SUMIF('Budget-ACPLHK'!$A:$A,$A136,'Budget-ACPLHK'!R:R)+SUMIF('Budget-ACPSZL'!$A:$A,$A136,'Budget-ACPSZL'!R:R)+SUMIF('Budget-ACPLSZ'!$A:$A,$A136,'Budget-ACPLSZ'!R:R)+SUMIF('Budget-ACPLGZ'!$A:$A,$A136,'Budget-ACPLGZ'!R:R)+SUMIF('Budget-Yixing'!$A:$A,$A136,'Budget-Yixing'!R:R)</f>
        <v>71165.715412000005</v>
      </c>
      <c r="S136" s="676">
        <f ca="1">SUMIF('Budget-ACPL'!$A:$A,$A136,'Budget-ACPL'!S:S)+SUMIF('Budget-ACPLHK'!$A:$A,$A136,'Budget-ACPLHK'!S:S)+SUMIF('Budget-ACPSZL'!$A:$A,$A136,'Budget-ACPSZL'!S:S)+SUMIF('Budget-ACPLSZ'!$A:$A,$A136,'Budget-ACPLSZ'!S:S)+SUMIF('Budget-ACPLGZ'!$A:$A,$A136,'Budget-ACPLGZ'!S:S)+SUMIF('Budget-Yixing'!$A:$A,$A136,'Budget-Yixing'!S:S)</f>
        <v>71165.715412000005</v>
      </c>
      <c r="T136" s="676">
        <f ca="1">SUMIF('Budget-ACPL'!$A:$A,$A136,'Budget-ACPL'!T:T)+SUMIF('Budget-ACPLHK'!$A:$A,$A136,'Budget-ACPLHK'!T:T)+SUMIF('Budget-ACPSZL'!$A:$A,$A136,'Budget-ACPSZL'!T:T)+SUMIF('Budget-ACPLSZ'!$A:$A,$A136,'Budget-ACPLSZ'!T:T)+SUMIF('Budget-ACPLGZ'!$A:$A,$A136,'Budget-ACPLGZ'!T:T)+SUMIF('Budget-Yixing'!$A:$A,$A136,'Budget-Yixing'!T:T)</f>
        <v>71165.715412000005</v>
      </c>
      <c r="U136" s="676">
        <f ca="1">SUMIF('Budget-ACPL'!$A:$A,$A136,'Budget-ACPL'!U:U)+SUMIF('Budget-ACPLHK'!$A:$A,$A136,'Budget-ACPLHK'!U:U)+SUMIF('Budget-ACPSZL'!$A:$A,$A136,'Budget-ACPSZL'!U:U)+SUMIF('Budget-ACPLSZ'!$A:$A,$A136,'Budget-ACPLSZ'!U:U)+SUMIF('Budget-ACPLGZ'!$A:$A,$A136,'Budget-ACPLGZ'!U:U)+SUMIF('Budget-Yixing'!$A:$A,$A136,'Budget-Yixing'!U:U)</f>
        <v>71165.715412000005</v>
      </c>
      <c r="V136" s="676">
        <f ca="1">SUMIF('Budget-ACPL'!$A:$A,$A136,'Budget-ACPL'!V:V)+SUMIF('Budget-ACPLHK'!$A:$A,$A136,'Budget-ACPLHK'!V:V)+SUMIF('Budget-ACPSZL'!$A:$A,$A136,'Budget-ACPSZL'!V:V)+SUMIF('Budget-ACPLSZ'!$A:$A,$A136,'Budget-ACPLSZ'!V:V)+SUMIF('Budget-ACPLGZ'!$A:$A,$A136,'Budget-ACPLGZ'!V:V)+SUMIF('Budget-Yixing'!$A:$A,$A136,'Budget-Yixing'!V:V)</f>
        <v>71165.715412000005</v>
      </c>
      <c r="W136" s="676"/>
      <c r="Y136" s="688">
        <f ca="1">SUMIF('Budget-ACPL'!$A:$A,$A136,'Budget-ACPL'!Y:Y)+SUMIF('Budget-ACPLHK'!$A:$A,$A136,'Budget-ACPLHK'!Y:Y)+SUMIF('Budget-ACPSZL'!$A:$A,$A136,'Budget-ACPSZL'!Y:Y)+SUMIF('Budget-ACPLSZ'!$A:$A,$A136,'Budget-ACPLSZ'!Y:Y)+SUMIF('Budget-ACPLGZ'!$A:$A,$A136,'Budget-ACPLGZ'!Y:Y)+SUMIF('Budget-Yixing'!$A:$A,$A136,'Budget-Yixing'!Y:Y)</f>
        <v>80668.460000000006</v>
      </c>
      <c r="Z136" s="688">
        <f ca="1">SUMIF('Budget-ACPL'!$A:$A,$A136,'Budget-ACPL'!Z:Z)+SUMIF('Budget-ACPLHK'!$A:$A,$A136,'Budget-ACPLHK'!Z:Z)+SUMIF('Budget-ACPSZL'!$A:$A,$A136,'Budget-ACPSZL'!Z:Z)+SUMIF('Budget-ACPLSZ'!$A:$A,$A136,'Budget-ACPLSZ'!Z:Z)+SUMIF('Budget-ACPLGZ'!$A:$A,$A136,'Budget-ACPLGZ'!Z:Z)+SUMIF('Budget-Yixing'!$A:$A,$A136,'Budget-Yixing'!Z:Z)</f>
        <v>80668.460000000006</v>
      </c>
      <c r="AA136" s="688">
        <f ca="1">SUMIF('Budget-ACPL'!$A:$A,$A136,'Budget-ACPL'!AA:AA)+SUMIF('Budget-ACPLHK'!$A:$A,$A136,'Budget-ACPLHK'!AA:AA)+SUMIF('Budget-ACPSZL'!$A:$A,$A136,'Budget-ACPSZL'!AA:AA)+SUMIF('Budget-ACPLSZ'!$A:$A,$A136,'Budget-ACPLSZ'!AA:AA)+SUMIF('Budget-ACPLGZ'!$A:$A,$A136,'Budget-ACPLGZ'!AA:AA)+SUMIF('Budget-Yixing'!$A:$A,$A136,'Budget-Yixing'!AA:AA)</f>
        <v>80668.460000000006</v>
      </c>
      <c r="AB136" s="688">
        <f ca="1">SUMIF('Budget-ACPL'!$A:$A,$A136,'Budget-ACPL'!AB:AB)+SUMIF('Budget-ACPLHK'!$A:$A,$A136,'Budget-ACPLHK'!AB:AB)+SUMIF('Budget-ACPSZL'!$A:$A,$A136,'Budget-ACPSZL'!AB:AB)+SUMIF('Budget-ACPLSZ'!$A:$A,$A136,'Budget-ACPLSZ'!AB:AB)+SUMIF('Budget-ACPLGZ'!$A:$A,$A136,'Budget-ACPLGZ'!AB:AB)+SUMIF('Budget-Yixing'!$A:$A,$A136,'Budget-Yixing'!AB:AB)</f>
        <v>80668.460000000006</v>
      </c>
      <c r="AC136" s="688">
        <f ca="1">SUMIF('Budget-ACPL'!$A:$A,$A136,'Budget-ACPL'!AC:AC)+SUMIF('Budget-ACPLHK'!$A:$A,$A136,'Budget-ACPLHK'!AC:AC)+SUMIF('Budget-ACPSZL'!$A:$A,$A136,'Budget-ACPSZL'!AC:AC)+SUMIF('Budget-ACPLSZ'!$A:$A,$A136,'Budget-ACPLSZ'!AC:AC)+SUMIF('Budget-ACPLGZ'!$A:$A,$A136,'Budget-ACPLGZ'!AC:AC)+SUMIF('Budget-Yixing'!$A:$A,$A136,'Budget-Yixing'!AC:AC)</f>
        <v>80668.460000000006</v>
      </c>
      <c r="AD136" s="688">
        <f ca="1">SUMIF('Budget-ACPL'!$A:$A,$A136,'Budget-ACPL'!AD:AD)+SUMIF('Budget-ACPLHK'!$A:$A,$A136,'Budget-ACPLHK'!AD:AD)+SUMIF('Budget-ACPSZL'!$A:$A,$A136,'Budget-ACPSZL'!AD:AD)+SUMIF('Budget-ACPLSZ'!$A:$A,$A136,'Budget-ACPLSZ'!AD:AD)+SUMIF('Budget-ACPLGZ'!$A:$A,$A136,'Budget-ACPLGZ'!AD:AD)+SUMIF('Budget-Yixing'!$A:$A,$A136,'Budget-Yixing'!AD:AD)</f>
        <v>80668.460000000006</v>
      </c>
      <c r="AE136" s="688">
        <f ca="1">SUMIF('Budget-ACPL'!$A:$A,$A136,'Budget-ACPL'!AE:AE)+SUMIF('Budget-ACPLHK'!$A:$A,$A136,'Budget-ACPLHK'!AE:AE)+SUMIF('Budget-ACPSZL'!$A:$A,$A136,'Budget-ACPSZL'!AE:AE)+SUMIF('Budget-ACPLSZ'!$A:$A,$A136,'Budget-ACPLSZ'!AE:AE)+SUMIF('Budget-ACPLGZ'!$A:$A,$A136,'Budget-ACPLGZ'!AE:AE)+SUMIF('Budget-Yixing'!$A:$A,$A136,'Budget-Yixing'!AE:AE)</f>
        <v>80668.460000000006</v>
      </c>
      <c r="AF136" s="688">
        <f ca="1">SUMIF('Budget-ACPL'!$A:$A,$A136,'Budget-ACPL'!AF:AF)+SUMIF('Budget-ACPLHK'!$A:$A,$A136,'Budget-ACPLHK'!AF:AF)+SUMIF('Budget-ACPSZL'!$A:$A,$A136,'Budget-ACPSZL'!AF:AF)+SUMIF('Budget-ACPLSZ'!$A:$A,$A136,'Budget-ACPLSZ'!AF:AF)+SUMIF('Budget-ACPLGZ'!$A:$A,$A136,'Budget-ACPLGZ'!AF:AF)+SUMIF('Budget-Yixing'!$A:$A,$A136,'Budget-Yixing'!AF:AF)</f>
        <v>80668.460000000006</v>
      </c>
      <c r="AG136" s="688">
        <f ca="1">SUMIF('Budget-ACPL'!$A:$A,$A136,'Budget-ACPL'!AG:AG)+SUMIF('Budget-ACPLHK'!$A:$A,$A136,'Budget-ACPLHK'!AG:AG)+SUMIF('Budget-ACPSZL'!$A:$A,$A136,'Budget-ACPSZL'!AG:AG)+SUMIF('Budget-ACPLSZ'!$A:$A,$A136,'Budget-ACPLSZ'!AG:AG)+SUMIF('Budget-ACPLGZ'!$A:$A,$A136,'Budget-ACPLGZ'!AG:AG)+SUMIF('Budget-Yixing'!$A:$A,$A136,'Budget-Yixing'!AG:AG)</f>
        <v>80668.460000000006</v>
      </c>
      <c r="AH136" s="688">
        <f ca="1">SUMIF('Budget-ACPL'!$A:$A,$A136,'Budget-ACPL'!AH:AH)+SUMIF('Budget-ACPLHK'!$A:$A,$A136,'Budget-ACPLHK'!AH:AH)+SUMIF('Budget-ACPSZL'!$A:$A,$A136,'Budget-ACPSZL'!AH:AH)+SUMIF('Budget-ACPLSZ'!$A:$A,$A136,'Budget-ACPLSZ'!AH:AH)+SUMIF('Budget-ACPLGZ'!$A:$A,$A136,'Budget-ACPLGZ'!AH:AH)+SUMIF('Budget-Yixing'!$A:$A,$A136,'Budget-Yixing'!AH:AH)</f>
        <v>80668.460000000006</v>
      </c>
      <c r="AI136" s="688">
        <f ca="1">SUMIF('Budget-ACPL'!$A:$A,$A136,'Budget-ACPL'!AI:AI)+SUMIF('Budget-ACPLHK'!$A:$A,$A136,'Budget-ACPLHK'!AI:AI)+SUMIF('Budget-ACPSZL'!$A:$A,$A136,'Budget-ACPSZL'!AI:AI)+SUMIF('Budget-ACPLSZ'!$A:$A,$A136,'Budget-ACPLSZ'!AI:AI)+SUMIF('Budget-ACPLGZ'!$A:$A,$A136,'Budget-ACPLGZ'!AI:AI)+SUMIF('Budget-Yixing'!$A:$A,$A136,'Budget-Yixing'!AI:AI)</f>
        <v>80668.460000000006</v>
      </c>
      <c r="AJ136" s="688">
        <f ca="1">SUMIF('Budget-ACPL'!$A:$A,$A136,'Budget-ACPL'!AJ:AJ)+SUMIF('Budget-ACPLHK'!$A:$A,$A136,'Budget-ACPLHK'!AJ:AJ)+SUMIF('Budget-ACPSZL'!$A:$A,$A136,'Budget-ACPSZL'!AJ:AJ)+SUMIF('Budget-ACPLSZ'!$A:$A,$A136,'Budget-ACPLSZ'!AJ:AJ)+SUMIF('Budget-ACPLGZ'!$A:$A,$A136,'Budget-ACPLGZ'!AJ:AJ)+SUMIF('Budget-Yixing'!$A:$A,$A136,'Budget-Yixing'!AJ:AJ)</f>
        <v>80668.460000000006</v>
      </c>
      <c r="AK136" s="688">
        <f t="shared" ca="1" si="43"/>
        <v>968021.5199999999</v>
      </c>
    </row>
    <row r="137" spans="1:37" ht="11.1" customHeight="1">
      <c r="A137" s="713" t="s">
        <v>1832</v>
      </c>
      <c r="B137" s="687" t="str">
        <f>VLOOKUP(A137,Account!A:B,2,0)</f>
        <v>注册地址</v>
      </c>
      <c r="C137" s="687">
        <f>VLOOKUP(A137,Account!A:F,4,0)</f>
        <v>0</v>
      </c>
      <c r="D137" s="676">
        <f t="shared" ca="1" si="38"/>
        <v>13111.066666666666</v>
      </c>
      <c r="E137" s="676" t="e">
        <f t="shared" si="39"/>
        <v>#N/A</v>
      </c>
      <c r="F137" s="676" t="e">
        <f t="shared" ca="1" si="37"/>
        <v>#N/A</v>
      </c>
      <c r="G137" s="676">
        <f t="shared" ca="1" si="40"/>
        <v>13111.066666666666</v>
      </c>
      <c r="H137" s="676" t="e">
        <f t="shared" ca="1" si="41"/>
        <v>#N/A</v>
      </c>
      <c r="I137" s="676" t="e">
        <f t="shared" ca="1" si="42"/>
        <v>#N/A</v>
      </c>
      <c r="K137" s="676">
        <f ca="1">SUMIF('Budget-ACPL'!$A:$A,$A137,'Budget-ACPL'!K:K)+SUMIF('Budget-ACPLHK'!$A:$A,$A137,'Budget-ACPLHK'!K:K)+SUMIF('Budget-ACPSZL'!$A:$A,$A137,'Budget-ACPSZL'!K:K)+SUMIF('Budget-ACPLSZ'!$A:$A,$A137,'Budget-ACPLSZ'!K:K)+SUMIF('Budget-ACPLGZ'!$A:$A,$A137,'Budget-ACPLGZ'!K:K)+SUMIF('Budget-Yixing'!$A:$A,$A137,'Budget-Yixing'!K:K)</f>
        <v>13111.066666666666</v>
      </c>
      <c r="L137" s="676">
        <f ca="1">SUMIF('Budget-ACPL'!$A:$A,$A137,'Budget-ACPL'!L:L)+SUMIF('Budget-ACPLHK'!$A:$A,$A137,'Budget-ACPLHK'!L:L)+SUMIF('Budget-ACPSZL'!$A:$A,$A137,'Budget-ACPSZL'!L:L)+SUMIF('Budget-ACPLSZ'!$A:$A,$A137,'Budget-ACPLSZ'!L:L)+SUMIF('Budget-ACPLGZ'!$A:$A,$A137,'Budget-ACPLGZ'!L:L)+SUMIF('Budget-Yixing'!$A:$A,$A137,'Budget-Yixing'!L:L)</f>
        <v>13111.066666666666</v>
      </c>
      <c r="M137" s="676">
        <f ca="1">SUMIF('Budget-ACPL'!$A:$A,$A137,'Budget-ACPL'!M:M)+SUMIF('Budget-ACPLHK'!$A:$A,$A137,'Budget-ACPLHK'!M:M)+SUMIF('Budget-ACPSZL'!$A:$A,$A137,'Budget-ACPSZL'!M:M)+SUMIF('Budget-ACPLSZ'!$A:$A,$A137,'Budget-ACPLSZ'!M:M)+SUMIF('Budget-ACPLGZ'!$A:$A,$A137,'Budget-ACPLGZ'!M:M)+SUMIF('Budget-Yixing'!$A:$A,$A137,'Budget-Yixing'!M:M)</f>
        <v>13111.066666666666</v>
      </c>
      <c r="N137" s="676">
        <f ca="1">SUMIF('Budget-ACPL'!$A:$A,$A137,'Budget-ACPL'!N:N)+SUMIF('Budget-ACPLHK'!$A:$A,$A137,'Budget-ACPLHK'!N:N)+SUMIF('Budget-ACPSZL'!$A:$A,$A137,'Budget-ACPSZL'!N:N)+SUMIF('Budget-ACPLSZ'!$A:$A,$A137,'Budget-ACPLSZ'!N:N)+SUMIF('Budget-ACPLGZ'!$A:$A,$A137,'Budget-ACPLGZ'!N:N)+SUMIF('Budget-Yixing'!$A:$A,$A137,'Budget-Yixing'!N:N)</f>
        <v>13111.066666666666</v>
      </c>
      <c r="O137" s="676">
        <f ca="1">SUMIF('Budget-ACPL'!$A:$A,$A137,'Budget-ACPL'!O:O)+SUMIF('Budget-ACPLHK'!$A:$A,$A137,'Budget-ACPLHK'!O:O)+SUMIF('Budget-ACPSZL'!$A:$A,$A137,'Budget-ACPSZL'!O:O)+SUMIF('Budget-ACPLSZ'!$A:$A,$A137,'Budget-ACPLSZ'!O:O)+SUMIF('Budget-ACPLGZ'!$A:$A,$A137,'Budget-ACPLGZ'!O:O)+SUMIF('Budget-Yixing'!$A:$A,$A137,'Budget-Yixing'!O:O)</f>
        <v>13111.066666666666</v>
      </c>
      <c r="P137" s="676">
        <f ca="1">SUMIF('Budget-ACPL'!$A:$A,$A137,'Budget-ACPL'!P:P)+SUMIF('Budget-ACPLHK'!$A:$A,$A137,'Budget-ACPLHK'!P:P)+SUMIF('Budget-ACPSZL'!$A:$A,$A137,'Budget-ACPSZL'!P:P)+SUMIF('Budget-ACPLSZ'!$A:$A,$A137,'Budget-ACPLSZ'!P:P)+SUMIF('Budget-ACPLGZ'!$A:$A,$A137,'Budget-ACPLGZ'!P:P)+SUMIF('Budget-Yixing'!$A:$A,$A137,'Budget-Yixing'!P:P)</f>
        <v>13111.066666666666</v>
      </c>
      <c r="Q137" s="676">
        <f ca="1">SUMIF('Budget-ACPL'!$A:$A,$A137,'Budget-ACPL'!Q:Q)+SUMIF('Budget-ACPLHK'!$A:$A,$A137,'Budget-ACPLHK'!Q:Q)+SUMIF('Budget-ACPSZL'!$A:$A,$A137,'Budget-ACPSZL'!Q:Q)+SUMIF('Budget-ACPLSZ'!$A:$A,$A137,'Budget-ACPLSZ'!Q:Q)+SUMIF('Budget-ACPLGZ'!$A:$A,$A137,'Budget-ACPLGZ'!Q:Q)+SUMIF('Budget-Yixing'!$A:$A,$A137,'Budget-Yixing'!Q:Q)</f>
        <v>13111.066666666666</v>
      </c>
      <c r="R137" s="676">
        <f ca="1">SUMIF('Budget-ACPL'!$A:$A,$A137,'Budget-ACPL'!R:R)+SUMIF('Budget-ACPLHK'!$A:$A,$A137,'Budget-ACPLHK'!R:R)+SUMIF('Budget-ACPSZL'!$A:$A,$A137,'Budget-ACPSZL'!R:R)+SUMIF('Budget-ACPLSZ'!$A:$A,$A137,'Budget-ACPLSZ'!R:R)+SUMIF('Budget-ACPLGZ'!$A:$A,$A137,'Budget-ACPLGZ'!R:R)+SUMIF('Budget-Yixing'!$A:$A,$A137,'Budget-Yixing'!R:R)</f>
        <v>13111.066666666666</v>
      </c>
      <c r="S137" s="676">
        <f ca="1">SUMIF('Budget-ACPL'!$A:$A,$A137,'Budget-ACPL'!S:S)+SUMIF('Budget-ACPLHK'!$A:$A,$A137,'Budget-ACPLHK'!S:S)+SUMIF('Budget-ACPSZL'!$A:$A,$A137,'Budget-ACPSZL'!S:S)+SUMIF('Budget-ACPLSZ'!$A:$A,$A137,'Budget-ACPLSZ'!S:S)+SUMIF('Budget-ACPLGZ'!$A:$A,$A137,'Budget-ACPLGZ'!S:S)+SUMIF('Budget-Yixing'!$A:$A,$A137,'Budget-Yixing'!S:S)</f>
        <v>13111.066666666666</v>
      </c>
      <c r="T137" s="676">
        <f ca="1">SUMIF('Budget-ACPL'!$A:$A,$A137,'Budget-ACPL'!T:T)+SUMIF('Budget-ACPLHK'!$A:$A,$A137,'Budget-ACPLHK'!T:T)+SUMIF('Budget-ACPSZL'!$A:$A,$A137,'Budget-ACPSZL'!T:T)+SUMIF('Budget-ACPLSZ'!$A:$A,$A137,'Budget-ACPLSZ'!T:T)+SUMIF('Budget-ACPLGZ'!$A:$A,$A137,'Budget-ACPLGZ'!T:T)+SUMIF('Budget-Yixing'!$A:$A,$A137,'Budget-Yixing'!T:T)</f>
        <v>13111.066666666666</v>
      </c>
      <c r="U137" s="676">
        <f ca="1">SUMIF('Budget-ACPL'!$A:$A,$A137,'Budget-ACPL'!U:U)+SUMIF('Budget-ACPLHK'!$A:$A,$A137,'Budget-ACPLHK'!U:U)+SUMIF('Budget-ACPSZL'!$A:$A,$A137,'Budget-ACPSZL'!U:U)+SUMIF('Budget-ACPLSZ'!$A:$A,$A137,'Budget-ACPLSZ'!U:U)+SUMIF('Budget-ACPLGZ'!$A:$A,$A137,'Budget-ACPLGZ'!U:U)+SUMIF('Budget-Yixing'!$A:$A,$A137,'Budget-Yixing'!U:U)</f>
        <v>13111.066666666666</v>
      </c>
      <c r="V137" s="676">
        <f ca="1">SUMIF('Budget-ACPL'!$A:$A,$A137,'Budget-ACPL'!V:V)+SUMIF('Budget-ACPLHK'!$A:$A,$A137,'Budget-ACPLHK'!V:V)+SUMIF('Budget-ACPSZL'!$A:$A,$A137,'Budget-ACPSZL'!V:V)+SUMIF('Budget-ACPLSZ'!$A:$A,$A137,'Budget-ACPLSZ'!V:V)+SUMIF('Budget-ACPLGZ'!$A:$A,$A137,'Budget-ACPLGZ'!V:V)+SUMIF('Budget-Yixing'!$A:$A,$A137,'Budget-Yixing'!V:V)</f>
        <v>13111.066666666666</v>
      </c>
      <c r="W137" s="676">
        <f t="shared" ref="W137:W152" ca="1" si="45">SUM(K137:V137)</f>
        <v>157332.79999999999</v>
      </c>
      <c r="Y137" s="688">
        <f ca="1">SUMIF('Budget-ACPL'!$A:$A,$A137,'Budget-ACPL'!Y:Y)+SUMIF('Budget-ACPLHK'!$A:$A,$A137,'Budget-ACPLHK'!Y:Y)+SUMIF('Budget-ACPSZL'!$A:$A,$A137,'Budget-ACPSZL'!Y:Y)+SUMIF('Budget-ACPLSZ'!$A:$A,$A137,'Budget-ACPLSZ'!Y:Y)+SUMIF('Budget-ACPLGZ'!$A:$A,$A137,'Budget-ACPLGZ'!Y:Y)+SUMIF('Budget-Yixing'!$A:$A,$A137,'Budget-Yixing'!Y:Y)</f>
        <v>6681.8499999999995</v>
      </c>
      <c r="Z137" s="688">
        <f ca="1">SUMIF('Budget-ACPL'!$A:$A,$A137,'Budget-ACPL'!Z:Z)+SUMIF('Budget-ACPLHK'!$A:$A,$A137,'Budget-ACPLHK'!Z:Z)+SUMIF('Budget-ACPSZL'!$A:$A,$A137,'Budget-ACPSZL'!Z:Z)+SUMIF('Budget-ACPLSZ'!$A:$A,$A137,'Budget-ACPLSZ'!Z:Z)+SUMIF('Budget-ACPLGZ'!$A:$A,$A137,'Budget-ACPLGZ'!Z:Z)+SUMIF('Budget-Yixing'!$A:$A,$A137,'Budget-Yixing'!Z:Z)</f>
        <v>6681.8499999999995</v>
      </c>
      <c r="AA137" s="688">
        <f ca="1">SUMIF('Budget-ACPL'!$A:$A,$A137,'Budget-ACPL'!AA:AA)+SUMIF('Budget-ACPLHK'!$A:$A,$A137,'Budget-ACPLHK'!AA:AA)+SUMIF('Budget-ACPSZL'!$A:$A,$A137,'Budget-ACPSZL'!AA:AA)+SUMIF('Budget-ACPLSZ'!$A:$A,$A137,'Budget-ACPLSZ'!AA:AA)+SUMIF('Budget-ACPLGZ'!$A:$A,$A137,'Budget-ACPLGZ'!AA:AA)+SUMIF('Budget-Yixing'!$A:$A,$A137,'Budget-Yixing'!AA:AA)</f>
        <v>6681.8499999999995</v>
      </c>
      <c r="AB137" s="688">
        <f ca="1">SUMIF('Budget-ACPL'!$A:$A,$A137,'Budget-ACPL'!AB:AB)+SUMIF('Budget-ACPLHK'!$A:$A,$A137,'Budget-ACPLHK'!AB:AB)+SUMIF('Budget-ACPSZL'!$A:$A,$A137,'Budget-ACPSZL'!AB:AB)+SUMIF('Budget-ACPLSZ'!$A:$A,$A137,'Budget-ACPLSZ'!AB:AB)+SUMIF('Budget-ACPLGZ'!$A:$A,$A137,'Budget-ACPLGZ'!AB:AB)+SUMIF('Budget-Yixing'!$A:$A,$A137,'Budget-Yixing'!AB:AB)</f>
        <v>6681.8899999999994</v>
      </c>
      <c r="AC137" s="688">
        <f ca="1">SUMIF('Budget-ACPL'!$A:$A,$A137,'Budget-ACPL'!AC:AC)+SUMIF('Budget-ACPLHK'!$A:$A,$A137,'Budget-ACPLHK'!AC:AC)+SUMIF('Budget-ACPSZL'!$A:$A,$A137,'Budget-ACPSZL'!AC:AC)+SUMIF('Budget-ACPLSZ'!$A:$A,$A137,'Budget-ACPLSZ'!AC:AC)+SUMIF('Budget-ACPLGZ'!$A:$A,$A137,'Budget-ACPLGZ'!AC:AC)+SUMIF('Budget-Yixing'!$A:$A,$A137,'Budget-Yixing'!AC:AC)</f>
        <v>6437.9299999999994</v>
      </c>
      <c r="AD137" s="688">
        <f ca="1">SUMIF('Budget-ACPL'!$A:$A,$A137,'Budget-ACPL'!AD:AD)+SUMIF('Budget-ACPLHK'!$A:$A,$A137,'Budget-ACPLHK'!AD:AD)+SUMIF('Budget-ACPSZL'!$A:$A,$A137,'Budget-ACPSZL'!AD:AD)+SUMIF('Budget-ACPLSZ'!$A:$A,$A137,'Budget-ACPLSZ'!AD:AD)+SUMIF('Budget-ACPLGZ'!$A:$A,$A137,'Budget-ACPLGZ'!AD:AD)+SUMIF('Budget-Yixing'!$A:$A,$A137,'Budget-Yixing'!AD:AD)</f>
        <v>6701.49</v>
      </c>
      <c r="AE137" s="688">
        <f ca="1">SUMIF('Budget-ACPL'!$A:$A,$A137,'Budget-ACPL'!AE:AE)+SUMIF('Budget-ACPLHK'!$A:$A,$A137,'Budget-ACPLHK'!AE:AE)+SUMIF('Budget-ACPSZL'!$A:$A,$A137,'Budget-ACPSZL'!AE:AE)+SUMIF('Budget-ACPLSZ'!$A:$A,$A137,'Budget-ACPLSZ'!AE:AE)+SUMIF('Budget-ACPLGZ'!$A:$A,$A137,'Budget-ACPLGZ'!AE:AE)+SUMIF('Budget-Yixing'!$A:$A,$A137,'Budget-Yixing'!AE:AE)</f>
        <v>6701.49</v>
      </c>
      <c r="AF137" s="688">
        <f ca="1">SUMIF('Budget-ACPL'!$A:$A,$A137,'Budget-ACPL'!AF:AF)+SUMIF('Budget-ACPLHK'!$A:$A,$A137,'Budget-ACPLHK'!AF:AF)+SUMIF('Budget-ACPSZL'!$A:$A,$A137,'Budget-ACPSZL'!AF:AF)+SUMIF('Budget-ACPLSZ'!$A:$A,$A137,'Budget-ACPLSZ'!AF:AF)+SUMIF('Budget-ACPLGZ'!$A:$A,$A137,'Budget-ACPLGZ'!AF:AF)+SUMIF('Budget-Yixing'!$A:$A,$A137,'Budget-Yixing'!AF:AF)</f>
        <v>6701.49</v>
      </c>
      <c r="AG137" s="688">
        <f ca="1">SUMIF('Budget-ACPL'!$A:$A,$A137,'Budget-ACPL'!AG:AG)+SUMIF('Budget-ACPLHK'!$A:$A,$A137,'Budget-ACPLHK'!AG:AG)+SUMIF('Budget-ACPSZL'!$A:$A,$A137,'Budget-ACPSZL'!AG:AG)+SUMIF('Budget-ACPLSZ'!$A:$A,$A137,'Budget-ACPLSZ'!AG:AG)+SUMIF('Budget-ACPLGZ'!$A:$A,$A137,'Budget-ACPLGZ'!AG:AG)+SUMIF('Budget-Yixing'!$A:$A,$A137,'Budget-Yixing'!AG:AG)</f>
        <v>6701.49</v>
      </c>
      <c r="AH137" s="688">
        <f ca="1">SUMIF('Budget-ACPL'!$A:$A,$A137,'Budget-ACPL'!AH:AH)+SUMIF('Budget-ACPLHK'!$A:$A,$A137,'Budget-ACPLHK'!AH:AH)+SUMIF('Budget-ACPSZL'!$A:$A,$A137,'Budget-ACPSZL'!AH:AH)+SUMIF('Budget-ACPLSZ'!$A:$A,$A137,'Budget-ACPLSZ'!AH:AH)+SUMIF('Budget-ACPLGZ'!$A:$A,$A137,'Budget-ACPLGZ'!AH:AH)+SUMIF('Budget-Yixing'!$A:$A,$A137,'Budget-Yixing'!AH:AH)</f>
        <v>6701.49</v>
      </c>
      <c r="AI137" s="688">
        <f ca="1">SUMIF('Budget-ACPL'!$A:$A,$A137,'Budget-ACPL'!AI:AI)+SUMIF('Budget-ACPLHK'!$A:$A,$A137,'Budget-ACPLHK'!AI:AI)+SUMIF('Budget-ACPSZL'!$A:$A,$A137,'Budget-ACPSZL'!AI:AI)+SUMIF('Budget-ACPLSZ'!$A:$A,$A137,'Budget-ACPLSZ'!AI:AI)+SUMIF('Budget-ACPLGZ'!$A:$A,$A137,'Budget-ACPLGZ'!AI:AI)+SUMIF('Budget-Yixing'!$A:$A,$A137,'Budget-Yixing'!AI:AI)</f>
        <v>6701.49</v>
      </c>
      <c r="AJ137" s="688">
        <f ca="1">SUMIF('Budget-ACPL'!$A:$A,$A137,'Budget-ACPL'!AJ:AJ)+SUMIF('Budget-ACPLHK'!$A:$A,$A137,'Budget-ACPLHK'!AJ:AJ)+SUMIF('Budget-ACPSZL'!$A:$A,$A137,'Budget-ACPSZL'!AJ:AJ)+SUMIF('Budget-ACPLSZ'!$A:$A,$A137,'Budget-ACPLSZ'!AJ:AJ)+SUMIF('Budget-ACPLGZ'!$A:$A,$A137,'Budget-ACPLGZ'!AJ:AJ)+SUMIF('Budget-Yixing'!$A:$A,$A137,'Budget-Yixing'!AJ:AJ)</f>
        <v>6701.52</v>
      </c>
      <c r="AK137" s="688">
        <f t="shared" ca="1" si="43"/>
        <v>80075.83</v>
      </c>
    </row>
    <row r="138" spans="1:37" ht="11.1" customHeight="1">
      <c r="A138" s="713" t="s">
        <v>1834</v>
      </c>
      <c r="B138" s="687" t="str">
        <f>VLOOKUP(A138,Account!A:B,2,0)</f>
        <v>旭智私募--前海壹号B座701E</v>
      </c>
      <c r="C138" s="687">
        <f>VLOOKUP(A138,Account!A:F,4,0)</f>
        <v>0</v>
      </c>
      <c r="D138" s="676">
        <f t="shared" ca="1" si="38"/>
        <v>12694.4</v>
      </c>
      <c r="E138" s="676" t="e">
        <f t="shared" si="39"/>
        <v>#N/A</v>
      </c>
      <c r="F138" s="676" t="e">
        <f t="shared" ca="1" si="37"/>
        <v>#N/A</v>
      </c>
      <c r="G138" s="676">
        <f t="shared" ca="1" si="40"/>
        <v>12694.4</v>
      </c>
      <c r="H138" s="676" t="e">
        <f t="shared" ca="1" si="41"/>
        <v>#N/A</v>
      </c>
      <c r="I138" s="676" t="e">
        <f t="shared" ca="1" si="42"/>
        <v>#N/A</v>
      </c>
      <c r="K138" s="676">
        <f ca="1">SUMIF('Budget-ACPL'!$A:$A,$A138,'Budget-ACPL'!K:K)+SUMIF('Budget-ACPLHK'!$A:$A,$A138,'Budget-ACPLHK'!K:K)+SUMIF('Budget-ACPSZL'!$A:$A,$A138,'Budget-ACPSZL'!K:K)+SUMIF('Budget-ACPLSZ'!$A:$A,$A138,'Budget-ACPLSZ'!K:K)+SUMIF('Budget-ACPLGZ'!$A:$A,$A138,'Budget-ACPLGZ'!K:K)+SUMIF('Budget-Yixing'!$A:$A,$A138,'Budget-Yixing'!K:K)</f>
        <v>12694.4</v>
      </c>
      <c r="L138" s="676">
        <f ca="1">SUMIF('Budget-ACPL'!$A:$A,$A138,'Budget-ACPL'!L:L)+SUMIF('Budget-ACPLHK'!$A:$A,$A138,'Budget-ACPLHK'!L:L)+SUMIF('Budget-ACPSZL'!$A:$A,$A138,'Budget-ACPSZL'!L:L)+SUMIF('Budget-ACPLSZ'!$A:$A,$A138,'Budget-ACPLSZ'!L:L)+SUMIF('Budget-ACPLGZ'!$A:$A,$A138,'Budget-ACPLGZ'!L:L)+SUMIF('Budget-Yixing'!$A:$A,$A138,'Budget-Yixing'!L:L)</f>
        <v>12694.4</v>
      </c>
      <c r="M138" s="676">
        <f ca="1">SUMIF('Budget-ACPL'!$A:$A,$A138,'Budget-ACPL'!M:M)+SUMIF('Budget-ACPLHK'!$A:$A,$A138,'Budget-ACPLHK'!M:M)+SUMIF('Budget-ACPSZL'!$A:$A,$A138,'Budget-ACPSZL'!M:M)+SUMIF('Budget-ACPLSZ'!$A:$A,$A138,'Budget-ACPLSZ'!M:M)+SUMIF('Budget-ACPLGZ'!$A:$A,$A138,'Budget-ACPLGZ'!M:M)+SUMIF('Budget-Yixing'!$A:$A,$A138,'Budget-Yixing'!M:M)</f>
        <v>12694.4</v>
      </c>
      <c r="N138" s="676">
        <f ca="1">SUMIF('Budget-ACPL'!$A:$A,$A138,'Budget-ACPL'!N:N)+SUMIF('Budget-ACPLHK'!$A:$A,$A138,'Budget-ACPLHK'!N:N)+SUMIF('Budget-ACPSZL'!$A:$A,$A138,'Budget-ACPSZL'!N:N)+SUMIF('Budget-ACPLSZ'!$A:$A,$A138,'Budget-ACPLSZ'!N:N)+SUMIF('Budget-ACPLGZ'!$A:$A,$A138,'Budget-ACPLGZ'!N:N)+SUMIF('Budget-Yixing'!$A:$A,$A138,'Budget-Yixing'!N:N)</f>
        <v>12694.4</v>
      </c>
      <c r="O138" s="676">
        <f ca="1">SUMIF('Budget-ACPL'!$A:$A,$A138,'Budget-ACPL'!O:O)+SUMIF('Budget-ACPLHK'!$A:$A,$A138,'Budget-ACPLHK'!O:O)+SUMIF('Budget-ACPSZL'!$A:$A,$A138,'Budget-ACPSZL'!O:O)+SUMIF('Budget-ACPLSZ'!$A:$A,$A138,'Budget-ACPLSZ'!O:O)+SUMIF('Budget-ACPLGZ'!$A:$A,$A138,'Budget-ACPLGZ'!O:O)+SUMIF('Budget-Yixing'!$A:$A,$A138,'Budget-Yixing'!O:O)</f>
        <v>12694.4</v>
      </c>
      <c r="P138" s="676">
        <f ca="1">SUMIF('Budget-ACPL'!$A:$A,$A138,'Budget-ACPL'!P:P)+SUMIF('Budget-ACPLHK'!$A:$A,$A138,'Budget-ACPLHK'!P:P)+SUMIF('Budget-ACPSZL'!$A:$A,$A138,'Budget-ACPSZL'!P:P)+SUMIF('Budget-ACPLSZ'!$A:$A,$A138,'Budget-ACPLSZ'!P:P)+SUMIF('Budget-ACPLGZ'!$A:$A,$A138,'Budget-ACPLGZ'!P:P)+SUMIF('Budget-Yixing'!$A:$A,$A138,'Budget-Yixing'!P:P)</f>
        <v>12694.4</v>
      </c>
      <c r="Q138" s="676">
        <f ca="1">SUMIF('Budget-ACPL'!$A:$A,$A138,'Budget-ACPL'!Q:Q)+SUMIF('Budget-ACPLHK'!$A:$A,$A138,'Budget-ACPLHK'!Q:Q)+SUMIF('Budget-ACPSZL'!$A:$A,$A138,'Budget-ACPSZL'!Q:Q)+SUMIF('Budget-ACPLSZ'!$A:$A,$A138,'Budget-ACPLSZ'!Q:Q)+SUMIF('Budget-ACPLGZ'!$A:$A,$A138,'Budget-ACPLGZ'!Q:Q)+SUMIF('Budget-Yixing'!$A:$A,$A138,'Budget-Yixing'!Q:Q)</f>
        <v>12694.4</v>
      </c>
      <c r="R138" s="676">
        <f ca="1">SUMIF('Budget-ACPL'!$A:$A,$A138,'Budget-ACPL'!R:R)+SUMIF('Budget-ACPLHK'!$A:$A,$A138,'Budget-ACPLHK'!R:R)+SUMIF('Budget-ACPSZL'!$A:$A,$A138,'Budget-ACPSZL'!R:R)+SUMIF('Budget-ACPLSZ'!$A:$A,$A138,'Budget-ACPLSZ'!R:R)+SUMIF('Budget-ACPLGZ'!$A:$A,$A138,'Budget-ACPLGZ'!R:R)+SUMIF('Budget-Yixing'!$A:$A,$A138,'Budget-Yixing'!R:R)</f>
        <v>12694.4</v>
      </c>
      <c r="S138" s="676">
        <f ca="1">SUMIF('Budget-ACPL'!$A:$A,$A138,'Budget-ACPL'!S:S)+SUMIF('Budget-ACPLHK'!$A:$A,$A138,'Budget-ACPLHK'!S:S)+SUMIF('Budget-ACPSZL'!$A:$A,$A138,'Budget-ACPSZL'!S:S)+SUMIF('Budget-ACPLSZ'!$A:$A,$A138,'Budget-ACPLSZ'!S:S)+SUMIF('Budget-ACPLGZ'!$A:$A,$A138,'Budget-ACPLGZ'!S:S)+SUMIF('Budget-Yixing'!$A:$A,$A138,'Budget-Yixing'!S:S)</f>
        <v>12694.4</v>
      </c>
      <c r="T138" s="676">
        <f ca="1">SUMIF('Budget-ACPL'!$A:$A,$A138,'Budget-ACPL'!T:T)+SUMIF('Budget-ACPLHK'!$A:$A,$A138,'Budget-ACPLHK'!T:T)+SUMIF('Budget-ACPSZL'!$A:$A,$A138,'Budget-ACPSZL'!T:T)+SUMIF('Budget-ACPLSZ'!$A:$A,$A138,'Budget-ACPLSZ'!T:T)+SUMIF('Budget-ACPLGZ'!$A:$A,$A138,'Budget-ACPLGZ'!T:T)+SUMIF('Budget-Yixing'!$A:$A,$A138,'Budget-Yixing'!T:T)</f>
        <v>12694.4</v>
      </c>
      <c r="U138" s="676">
        <f ca="1">SUMIF('Budget-ACPL'!$A:$A,$A138,'Budget-ACPL'!U:U)+SUMIF('Budget-ACPLHK'!$A:$A,$A138,'Budget-ACPLHK'!U:U)+SUMIF('Budget-ACPSZL'!$A:$A,$A138,'Budget-ACPSZL'!U:U)+SUMIF('Budget-ACPLSZ'!$A:$A,$A138,'Budget-ACPLSZ'!U:U)+SUMIF('Budget-ACPLGZ'!$A:$A,$A138,'Budget-ACPLGZ'!U:U)+SUMIF('Budget-Yixing'!$A:$A,$A138,'Budget-Yixing'!U:U)</f>
        <v>12694.4</v>
      </c>
      <c r="V138" s="676">
        <f ca="1">SUMIF('Budget-ACPL'!$A:$A,$A138,'Budget-ACPL'!V:V)+SUMIF('Budget-ACPLHK'!$A:$A,$A138,'Budget-ACPLHK'!V:V)+SUMIF('Budget-ACPSZL'!$A:$A,$A138,'Budget-ACPSZL'!V:V)+SUMIF('Budget-ACPLSZ'!$A:$A,$A138,'Budget-ACPLSZ'!V:V)+SUMIF('Budget-ACPLGZ'!$A:$A,$A138,'Budget-ACPLGZ'!V:V)+SUMIF('Budget-Yixing'!$A:$A,$A138,'Budget-Yixing'!V:V)</f>
        <v>12694.4</v>
      </c>
      <c r="W138" s="676">
        <f t="shared" ca="1" si="45"/>
        <v>152332.79999999996</v>
      </c>
      <c r="Y138" s="688">
        <f ca="1">SUMIF('Budget-ACPL'!$A:$A,$A138,'Budget-ACPL'!Y:Y)+SUMIF('Budget-ACPLHK'!$A:$A,$A138,'Budget-ACPLHK'!Y:Y)+SUMIF('Budget-ACPSZL'!$A:$A,$A138,'Budget-ACPSZL'!Y:Y)+SUMIF('Budget-ACPLSZ'!$A:$A,$A138,'Budget-ACPLSZ'!Y:Y)+SUMIF('Budget-ACPLGZ'!$A:$A,$A138,'Budget-ACPLGZ'!Y:Y)+SUMIF('Budget-Yixing'!$A:$A,$A138,'Budget-Yixing'!Y:Y)</f>
        <v>6284.82</v>
      </c>
      <c r="Z138" s="688">
        <f ca="1">SUMIF('Budget-ACPL'!$A:$A,$A138,'Budget-ACPL'!Z:Z)+SUMIF('Budget-ACPLHK'!$A:$A,$A138,'Budget-ACPLHK'!Z:Z)+SUMIF('Budget-ACPSZL'!$A:$A,$A138,'Budget-ACPSZL'!Z:Z)+SUMIF('Budget-ACPLSZ'!$A:$A,$A138,'Budget-ACPLSZ'!Z:Z)+SUMIF('Budget-ACPLGZ'!$A:$A,$A138,'Budget-ACPLGZ'!Z:Z)+SUMIF('Budget-Yixing'!$A:$A,$A138,'Budget-Yixing'!Z:Z)</f>
        <v>6284.82</v>
      </c>
      <c r="AA138" s="688">
        <f ca="1">SUMIF('Budget-ACPL'!$A:$A,$A138,'Budget-ACPL'!AA:AA)+SUMIF('Budget-ACPLHK'!$A:$A,$A138,'Budget-ACPLHK'!AA:AA)+SUMIF('Budget-ACPSZL'!$A:$A,$A138,'Budget-ACPSZL'!AA:AA)+SUMIF('Budget-ACPLSZ'!$A:$A,$A138,'Budget-ACPLSZ'!AA:AA)+SUMIF('Budget-ACPLGZ'!$A:$A,$A138,'Budget-ACPLGZ'!AA:AA)+SUMIF('Budget-Yixing'!$A:$A,$A138,'Budget-Yixing'!AA:AA)</f>
        <v>6284.82</v>
      </c>
      <c r="AB138" s="688">
        <f ca="1">SUMIF('Budget-ACPL'!$A:$A,$A138,'Budget-ACPL'!AB:AB)+SUMIF('Budget-ACPLHK'!$A:$A,$A138,'Budget-ACPLHK'!AB:AB)+SUMIF('Budget-ACPSZL'!$A:$A,$A138,'Budget-ACPSZL'!AB:AB)+SUMIF('Budget-ACPLSZ'!$A:$A,$A138,'Budget-ACPLSZ'!AB:AB)+SUMIF('Budget-ACPLGZ'!$A:$A,$A138,'Budget-ACPLGZ'!AB:AB)+SUMIF('Budget-Yixing'!$A:$A,$A138,'Budget-Yixing'!AB:AB)</f>
        <v>6284.82</v>
      </c>
      <c r="AC138" s="688">
        <f ca="1">SUMIF('Budget-ACPL'!$A:$A,$A138,'Budget-ACPL'!AC:AC)+SUMIF('Budget-ACPLHK'!$A:$A,$A138,'Budget-ACPLHK'!AC:AC)+SUMIF('Budget-ACPSZL'!$A:$A,$A138,'Budget-ACPSZL'!AC:AC)+SUMIF('Budget-ACPLSZ'!$A:$A,$A138,'Budget-ACPLSZ'!AC:AC)+SUMIF('Budget-ACPLGZ'!$A:$A,$A138,'Budget-ACPLGZ'!AC:AC)+SUMIF('Budget-Yixing'!$A:$A,$A138,'Budget-Yixing'!AC:AC)</f>
        <v>6284.82</v>
      </c>
      <c r="AD138" s="688">
        <f ca="1">SUMIF('Budget-ACPL'!$A:$A,$A138,'Budget-ACPL'!AD:AD)+SUMIF('Budget-ACPLHK'!$A:$A,$A138,'Budget-ACPLHK'!AD:AD)+SUMIF('Budget-ACPSZL'!$A:$A,$A138,'Budget-ACPSZL'!AD:AD)+SUMIF('Budget-ACPLSZ'!$A:$A,$A138,'Budget-ACPLSZ'!AD:AD)+SUMIF('Budget-ACPLGZ'!$A:$A,$A138,'Budget-ACPLGZ'!AD:AD)+SUMIF('Budget-Yixing'!$A:$A,$A138,'Budget-Yixing'!AD:AD)</f>
        <v>6284.82</v>
      </c>
      <c r="AE138" s="688">
        <f ca="1">SUMIF('Budget-ACPL'!$A:$A,$A138,'Budget-ACPL'!AE:AE)+SUMIF('Budget-ACPLHK'!$A:$A,$A138,'Budget-ACPLHK'!AE:AE)+SUMIF('Budget-ACPSZL'!$A:$A,$A138,'Budget-ACPSZL'!AE:AE)+SUMIF('Budget-ACPLSZ'!$A:$A,$A138,'Budget-ACPLSZ'!AE:AE)+SUMIF('Budget-ACPLGZ'!$A:$A,$A138,'Budget-ACPLGZ'!AE:AE)+SUMIF('Budget-Yixing'!$A:$A,$A138,'Budget-Yixing'!AE:AE)</f>
        <v>6284.82</v>
      </c>
      <c r="AF138" s="688">
        <f ca="1">SUMIF('Budget-ACPL'!$A:$A,$A138,'Budget-ACPL'!AF:AF)+SUMIF('Budget-ACPLHK'!$A:$A,$A138,'Budget-ACPLHK'!AF:AF)+SUMIF('Budget-ACPSZL'!$A:$A,$A138,'Budget-ACPSZL'!AF:AF)+SUMIF('Budget-ACPLSZ'!$A:$A,$A138,'Budget-ACPLSZ'!AF:AF)+SUMIF('Budget-ACPLGZ'!$A:$A,$A138,'Budget-ACPLGZ'!AF:AF)+SUMIF('Budget-Yixing'!$A:$A,$A138,'Budget-Yixing'!AF:AF)</f>
        <v>6284.82</v>
      </c>
      <c r="AG138" s="688">
        <f ca="1">SUMIF('Budget-ACPL'!$A:$A,$A138,'Budget-ACPL'!AG:AG)+SUMIF('Budget-ACPLHK'!$A:$A,$A138,'Budget-ACPLHK'!AG:AG)+SUMIF('Budget-ACPSZL'!$A:$A,$A138,'Budget-ACPSZL'!AG:AG)+SUMIF('Budget-ACPLSZ'!$A:$A,$A138,'Budget-ACPLSZ'!AG:AG)+SUMIF('Budget-ACPLGZ'!$A:$A,$A138,'Budget-ACPLGZ'!AG:AG)+SUMIF('Budget-Yixing'!$A:$A,$A138,'Budget-Yixing'!AG:AG)</f>
        <v>6284.82</v>
      </c>
      <c r="AH138" s="688">
        <f ca="1">SUMIF('Budget-ACPL'!$A:$A,$A138,'Budget-ACPL'!AH:AH)+SUMIF('Budget-ACPLHK'!$A:$A,$A138,'Budget-ACPLHK'!AH:AH)+SUMIF('Budget-ACPSZL'!$A:$A,$A138,'Budget-ACPSZL'!AH:AH)+SUMIF('Budget-ACPLSZ'!$A:$A,$A138,'Budget-ACPLSZ'!AH:AH)+SUMIF('Budget-ACPLGZ'!$A:$A,$A138,'Budget-ACPLGZ'!AH:AH)+SUMIF('Budget-Yixing'!$A:$A,$A138,'Budget-Yixing'!AH:AH)</f>
        <v>6284.82</v>
      </c>
      <c r="AI138" s="688">
        <f ca="1">SUMIF('Budget-ACPL'!$A:$A,$A138,'Budget-ACPL'!AI:AI)+SUMIF('Budget-ACPLHK'!$A:$A,$A138,'Budget-ACPLHK'!AI:AI)+SUMIF('Budget-ACPSZL'!$A:$A,$A138,'Budget-ACPSZL'!AI:AI)+SUMIF('Budget-ACPLSZ'!$A:$A,$A138,'Budget-ACPLSZ'!AI:AI)+SUMIF('Budget-ACPLGZ'!$A:$A,$A138,'Budget-ACPLGZ'!AI:AI)+SUMIF('Budget-Yixing'!$A:$A,$A138,'Budget-Yixing'!AI:AI)</f>
        <v>6284.82</v>
      </c>
      <c r="AJ138" s="688">
        <f ca="1">SUMIF('Budget-ACPL'!$A:$A,$A138,'Budget-ACPL'!AJ:AJ)+SUMIF('Budget-ACPLHK'!$A:$A,$A138,'Budget-ACPLHK'!AJ:AJ)+SUMIF('Budget-ACPSZL'!$A:$A,$A138,'Budget-ACPSZL'!AJ:AJ)+SUMIF('Budget-ACPLSZ'!$A:$A,$A138,'Budget-ACPLSZ'!AJ:AJ)+SUMIF('Budget-ACPLGZ'!$A:$A,$A138,'Budget-ACPLGZ'!AJ:AJ)+SUMIF('Budget-Yixing'!$A:$A,$A138,'Budget-Yixing'!AJ:AJ)</f>
        <v>6284.85</v>
      </c>
      <c r="AK138" s="688">
        <f t="shared" ca="1" si="43"/>
        <v>75417.87</v>
      </c>
    </row>
    <row r="139" spans="1:37" ht="11.1" customHeight="1">
      <c r="A139" s="713" t="s">
        <v>1836</v>
      </c>
      <c r="B139" s="687" t="str">
        <f>VLOOKUP(A139,Account!A:B,2,0)</f>
        <v>广州旭智--802房F028</v>
      </c>
      <c r="C139" s="687">
        <f>VLOOKUP(A139,Account!A:F,4,0)</f>
        <v>0</v>
      </c>
      <c r="D139" s="676">
        <f t="shared" ca="1" si="38"/>
        <v>416.66666666666669</v>
      </c>
      <c r="E139" s="676" t="e">
        <f t="shared" si="39"/>
        <v>#N/A</v>
      </c>
      <c r="F139" s="676" t="e">
        <f t="shared" ca="1" si="37"/>
        <v>#N/A</v>
      </c>
      <c r="G139" s="676">
        <f t="shared" ca="1" si="40"/>
        <v>416.66666666666669</v>
      </c>
      <c r="H139" s="676" t="e">
        <f t="shared" ca="1" si="41"/>
        <v>#N/A</v>
      </c>
      <c r="I139" s="676" t="e">
        <f t="shared" ca="1" si="42"/>
        <v>#N/A</v>
      </c>
      <c r="K139" s="676">
        <f ca="1">SUMIF('Budget-ACPL'!$A:$A,$A139,'Budget-ACPL'!K:K)+SUMIF('Budget-ACPLHK'!$A:$A,$A139,'Budget-ACPLHK'!K:K)+SUMIF('Budget-ACPSZL'!$A:$A,$A139,'Budget-ACPSZL'!K:K)+SUMIF('Budget-ACPLSZ'!$A:$A,$A139,'Budget-ACPLSZ'!K:K)+SUMIF('Budget-ACPLGZ'!$A:$A,$A139,'Budget-ACPLGZ'!K:K)+SUMIF('Budget-Yixing'!$A:$A,$A139,'Budget-Yixing'!K:K)</f>
        <v>416.66666666666669</v>
      </c>
      <c r="L139" s="676">
        <f ca="1">SUMIF('Budget-ACPL'!$A:$A,$A139,'Budget-ACPL'!L:L)+SUMIF('Budget-ACPLHK'!$A:$A,$A139,'Budget-ACPLHK'!L:L)+SUMIF('Budget-ACPSZL'!$A:$A,$A139,'Budget-ACPSZL'!L:L)+SUMIF('Budget-ACPLSZ'!$A:$A,$A139,'Budget-ACPLSZ'!L:L)+SUMIF('Budget-ACPLGZ'!$A:$A,$A139,'Budget-ACPLGZ'!L:L)+SUMIF('Budget-Yixing'!$A:$A,$A139,'Budget-Yixing'!L:L)</f>
        <v>416.66666666666669</v>
      </c>
      <c r="M139" s="676">
        <f ca="1">SUMIF('Budget-ACPL'!$A:$A,$A139,'Budget-ACPL'!M:M)+SUMIF('Budget-ACPLHK'!$A:$A,$A139,'Budget-ACPLHK'!M:M)+SUMIF('Budget-ACPSZL'!$A:$A,$A139,'Budget-ACPSZL'!M:M)+SUMIF('Budget-ACPLSZ'!$A:$A,$A139,'Budget-ACPLSZ'!M:M)+SUMIF('Budget-ACPLGZ'!$A:$A,$A139,'Budget-ACPLGZ'!M:M)+SUMIF('Budget-Yixing'!$A:$A,$A139,'Budget-Yixing'!M:M)</f>
        <v>416.66666666666669</v>
      </c>
      <c r="N139" s="676">
        <f ca="1">SUMIF('Budget-ACPL'!$A:$A,$A139,'Budget-ACPL'!N:N)+SUMIF('Budget-ACPLHK'!$A:$A,$A139,'Budget-ACPLHK'!N:N)+SUMIF('Budget-ACPSZL'!$A:$A,$A139,'Budget-ACPSZL'!N:N)+SUMIF('Budget-ACPLSZ'!$A:$A,$A139,'Budget-ACPLSZ'!N:N)+SUMIF('Budget-ACPLGZ'!$A:$A,$A139,'Budget-ACPLGZ'!N:N)+SUMIF('Budget-Yixing'!$A:$A,$A139,'Budget-Yixing'!N:N)</f>
        <v>416.66666666666669</v>
      </c>
      <c r="O139" s="676">
        <f ca="1">SUMIF('Budget-ACPL'!$A:$A,$A139,'Budget-ACPL'!O:O)+SUMIF('Budget-ACPLHK'!$A:$A,$A139,'Budget-ACPLHK'!O:O)+SUMIF('Budget-ACPSZL'!$A:$A,$A139,'Budget-ACPSZL'!O:O)+SUMIF('Budget-ACPLSZ'!$A:$A,$A139,'Budget-ACPLSZ'!O:O)+SUMIF('Budget-ACPLGZ'!$A:$A,$A139,'Budget-ACPLGZ'!O:O)+SUMIF('Budget-Yixing'!$A:$A,$A139,'Budget-Yixing'!O:O)</f>
        <v>416.66666666666669</v>
      </c>
      <c r="P139" s="676">
        <f ca="1">SUMIF('Budget-ACPL'!$A:$A,$A139,'Budget-ACPL'!P:P)+SUMIF('Budget-ACPLHK'!$A:$A,$A139,'Budget-ACPLHK'!P:P)+SUMIF('Budget-ACPSZL'!$A:$A,$A139,'Budget-ACPSZL'!P:P)+SUMIF('Budget-ACPLSZ'!$A:$A,$A139,'Budget-ACPLSZ'!P:P)+SUMIF('Budget-ACPLGZ'!$A:$A,$A139,'Budget-ACPLGZ'!P:P)+SUMIF('Budget-Yixing'!$A:$A,$A139,'Budget-Yixing'!P:P)</f>
        <v>416.66666666666669</v>
      </c>
      <c r="Q139" s="676">
        <f ca="1">SUMIF('Budget-ACPL'!$A:$A,$A139,'Budget-ACPL'!Q:Q)+SUMIF('Budget-ACPLHK'!$A:$A,$A139,'Budget-ACPLHK'!Q:Q)+SUMIF('Budget-ACPSZL'!$A:$A,$A139,'Budget-ACPSZL'!Q:Q)+SUMIF('Budget-ACPLSZ'!$A:$A,$A139,'Budget-ACPLSZ'!Q:Q)+SUMIF('Budget-ACPLGZ'!$A:$A,$A139,'Budget-ACPLGZ'!Q:Q)+SUMIF('Budget-Yixing'!$A:$A,$A139,'Budget-Yixing'!Q:Q)</f>
        <v>416.66666666666669</v>
      </c>
      <c r="R139" s="676">
        <f ca="1">SUMIF('Budget-ACPL'!$A:$A,$A139,'Budget-ACPL'!R:R)+SUMIF('Budget-ACPLHK'!$A:$A,$A139,'Budget-ACPLHK'!R:R)+SUMIF('Budget-ACPSZL'!$A:$A,$A139,'Budget-ACPSZL'!R:R)+SUMIF('Budget-ACPLSZ'!$A:$A,$A139,'Budget-ACPLSZ'!R:R)+SUMIF('Budget-ACPLGZ'!$A:$A,$A139,'Budget-ACPLGZ'!R:R)+SUMIF('Budget-Yixing'!$A:$A,$A139,'Budget-Yixing'!R:R)</f>
        <v>416.66666666666669</v>
      </c>
      <c r="S139" s="676">
        <f ca="1">SUMIF('Budget-ACPL'!$A:$A,$A139,'Budget-ACPL'!S:S)+SUMIF('Budget-ACPLHK'!$A:$A,$A139,'Budget-ACPLHK'!S:S)+SUMIF('Budget-ACPSZL'!$A:$A,$A139,'Budget-ACPSZL'!S:S)+SUMIF('Budget-ACPLSZ'!$A:$A,$A139,'Budget-ACPLSZ'!S:S)+SUMIF('Budget-ACPLGZ'!$A:$A,$A139,'Budget-ACPLGZ'!S:S)+SUMIF('Budget-Yixing'!$A:$A,$A139,'Budget-Yixing'!S:S)</f>
        <v>416.66666666666669</v>
      </c>
      <c r="T139" s="676">
        <f ca="1">SUMIF('Budget-ACPL'!$A:$A,$A139,'Budget-ACPL'!T:T)+SUMIF('Budget-ACPLHK'!$A:$A,$A139,'Budget-ACPLHK'!T:T)+SUMIF('Budget-ACPSZL'!$A:$A,$A139,'Budget-ACPSZL'!T:T)+SUMIF('Budget-ACPLSZ'!$A:$A,$A139,'Budget-ACPLSZ'!T:T)+SUMIF('Budget-ACPLGZ'!$A:$A,$A139,'Budget-ACPLGZ'!T:T)+SUMIF('Budget-Yixing'!$A:$A,$A139,'Budget-Yixing'!T:T)</f>
        <v>416.66666666666669</v>
      </c>
      <c r="U139" s="676">
        <f ca="1">SUMIF('Budget-ACPL'!$A:$A,$A139,'Budget-ACPL'!U:U)+SUMIF('Budget-ACPLHK'!$A:$A,$A139,'Budget-ACPLHK'!U:U)+SUMIF('Budget-ACPSZL'!$A:$A,$A139,'Budget-ACPSZL'!U:U)+SUMIF('Budget-ACPLSZ'!$A:$A,$A139,'Budget-ACPLSZ'!U:U)+SUMIF('Budget-ACPLGZ'!$A:$A,$A139,'Budget-ACPLGZ'!U:U)+SUMIF('Budget-Yixing'!$A:$A,$A139,'Budget-Yixing'!U:U)</f>
        <v>416.66666666666669</v>
      </c>
      <c r="V139" s="676">
        <f ca="1">SUMIF('Budget-ACPL'!$A:$A,$A139,'Budget-ACPL'!V:V)+SUMIF('Budget-ACPLHK'!$A:$A,$A139,'Budget-ACPLHK'!V:V)+SUMIF('Budget-ACPSZL'!$A:$A,$A139,'Budget-ACPSZL'!V:V)+SUMIF('Budget-ACPLSZ'!$A:$A,$A139,'Budget-ACPLSZ'!V:V)+SUMIF('Budget-ACPLGZ'!$A:$A,$A139,'Budget-ACPLGZ'!V:V)+SUMIF('Budget-Yixing'!$A:$A,$A139,'Budget-Yixing'!V:V)</f>
        <v>416.66666666666669</v>
      </c>
      <c r="W139" s="676">
        <f t="shared" ca="1" si="45"/>
        <v>5000</v>
      </c>
      <c r="Y139" s="688">
        <f ca="1">SUMIF('Budget-ACPL'!$A:$A,$A139,'Budget-ACPL'!Y:Y)+SUMIF('Budget-ACPLHK'!$A:$A,$A139,'Budget-ACPLHK'!Y:Y)+SUMIF('Budget-ACPSZL'!$A:$A,$A139,'Budget-ACPSZL'!Y:Y)+SUMIF('Budget-ACPLSZ'!$A:$A,$A139,'Budget-ACPLSZ'!Y:Y)+SUMIF('Budget-ACPLGZ'!$A:$A,$A139,'Budget-ACPLGZ'!Y:Y)+SUMIF('Budget-Yixing'!$A:$A,$A139,'Budget-Yixing'!Y:Y)</f>
        <v>397.03</v>
      </c>
      <c r="Z139" s="688">
        <f ca="1">SUMIF('Budget-ACPL'!$A:$A,$A139,'Budget-ACPL'!Z:Z)+SUMIF('Budget-ACPLHK'!$A:$A,$A139,'Budget-ACPLHK'!Z:Z)+SUMIF('Budget-ACPSZL'!$A:$A,$A139,'Budget-ACPSZL'!Z:Z)+SUMIF('Budget-ACPLSZ'!$A:$A,$A139,'Budget-ACPLSZ'!Z:Z)+SUMIF('Budget-ACPLGZ'!$A:$A,$A139,'Budget-ACPLGZ'!Z:Z)+SUMIF('Budget-Yixing'!$A:$A,$A139,'Budget-Yixing'!Z:Z)</f>
        <v>397.03</v>
      </c>
      <c r="AA139" s="688">
        <f ca="1">SUMIF('Budget-ACPL'!$A:$A,$A139,'Budget-ACPL'!AA:AA)+SUMIF('Budget-ACPLHK'!$A:$A,$A139,'Budget-ACPLHK'!AA:AA)+SUMIF('Budget-ACPSZL'!$A:$A,$A139,'Budget-ACPSZL'!AA:AA)+SUMIF('Budget-ACPLSZ'!$A:$A,$A139,'Budget-ACPLSZ'!AA:AA)+SUMIF('Budget-ACPLGZ'!$A:$A,$A139,'Budget-ACPLGZ'!AA:AA)+SUMIF('Budget-Yixing'!$A:$A,$A139,'Budget-Yixing'!AA:AA)</f>
        <v>397.03</v>
      </c>
      <c r="AB139" s="688">
        <f ca="1">SUMIF('Budget-ACPL'!$A:$A,$A139,'Budget-ACPL'!AB:AB)+SUMIF('Budget-ACPLHK'!$A:$A,$A139,'Budget-ACPLHK'!AB:AB)+SUMIF('Budget-ACPSZL'!$A:$A,$A139,'Budget-ACPSZL'!AB:AB)+SUMIF('Budget-ACPLSZ'!$A:$A,$A139,'Budget-ACPLSZ'!AB:AB)+SUMIF('Budget-ACPLGZ'!$A:$A,$A139,'Budget-ACPLGZ'!AB:AB)+SUMIF('Budget-Yixing'!$A:$A,$A139,'Budget-Yixing'!AB:AB)</f>
        <v>397.07</v>
      </c>
      <c r="AC139" s="688">
        <f ca="1">SUMIF('Budget-ACPL'!$A:$A,$A139,'Budget-ACPL'!AC:AC)+SUMIF('Budget-ACPLHK'!$A:$A,$A139,'Budget-ACPLHK'!AC:AC)+SUMIF('Budget-ACPSZL'!$A:$A,$A139,'Budget-ACPSZL'!AC:AC)+SUMIF('Budget-ACPLSZ'!$A:$A,$A139,'Budget-ACPLSZ'!AC:AC)+SUMIF('Budget-ACPLGZ'!$A:$A,$A139,'Budget-ACPLGZ'!AC:AC)+SUMIF('Budget-Yixing'!$A:$A,$A139,'Budget-Yixing'!AC:AC)</f>
        <v>416.67</v>
      </c>
      <c r="AD139" s="688">
        <f ca="1">SUMIF('Budget-ACPL'!$A:$A,$A139,'Budget-ACPL'!AD:AD)+SUMIF('Budget-ACPLHK'!$A:$A,$A139,'Budget-ACPLHK'!AD:AD)+SUMIF('Budget-ACPSZL'!$A:$A,$A139,'Budget-ACPSZL'!AD:AD)+SUMIF('Budget-ACPLSZ'!$A:$A,$A139,'Budget-ACPLSZ'!AD:AD)+SUMIF('Budget-ACPLGZ'!$A:$A,$A139,'Budget-ACPLGZ'!AD:AD)+SUMIF('Budget-Yixing'!$A:$A,$A139,'Budget-Yixing'!AD:AD)</f>
        <v>416.67</v>
      </c>
      <c r="AE139" s="688">
        <f ca="1">SUMIF('Budget-ACPL'!$A:$A,$A139,'Budget-ACPL'!AE:AE)+SUMIF('Budget-ACPLHK'!$A:$A,$A139,'Budget-ACPLHK'!AE:AE)+SUMIF('Budget-ACPSZL'!$A:$A,$A139,'Budget-ACPSZL'!AE:AE)+SUMIF('Budget-ACPLSZ'!$A:$A,$A139,'Budget-ACPLSZ'!AE:AE)+SUMIF('Budget-ACPLGZ'!$A:$A,$A139,'Budget-ACPLGZ'!AE:AE)+SUMIF('Budget-Yixing'!$A:$A,$A139,'Budget-Yixing'!AE:AE)</f>
        <v>416.67</v>
      </c>
      <c r="AF139" s="688">
        <f ca="1">SUMIF('Budget-ACPL'!$A:$A,$A139,'Budget-ACPL'!AF:AF)+SUMIF('Budget-ACPLHK'!$A:$A,$A139,'Budget-ACPLHK'!AF:AF)+SUMIF('Budget-ACPSZL'!$A:$A,$A139,'Budget-ACPSZL'!AF:AF)+SUMIF('Budget-ACPLSZ'!$A:$A,$A139,'Budget-ACPLSZ'!AF:AF)+SUMIF('Budget-ACPLGZ'!$A:$A,$A139,'Budget-ACPLGZ'!AF:AF)+SUMIF('Budget-Yixing'!$A:$A,$A139,'Budget-Yixing'!AF:AF)</f>
        <v>416.67</v>
      </c>
      <c r="AG139" s="688">
        <f ca="1">SUMIF('Budget-ACPL'!$A:$A,$A139,'Budget-ACPL'!AG:AG)+SUMIF('Budget-ACPLHK'!$A:$A,$A139,'Budget-ACPLHK'!AG:AG)+SUMIF('Budget-ACPSZL'!$A:$A,$A139,'Budget-ACPSZL'!AG:AG)+SUMIF('Budget-ACPLSZ'!$A:$A,$A139,'Budget-ACPLSZ'!AG:AG)+SUMIF('Budget-ACPLGZ'!$A:$A,$A139,'Budget-ACPLGZ'!AG:AG)+SUMIF('Budget-Yixing'!$A:$A,$A139,'Budget-Yixing'!AG:AG)</f>
        <v>416.67</v>
      </c>
      <c r="AH139" s="688">
        <f ca="1">SUMIF('Budget-ACPL'!$A:$A,$A139,'Budget-ACPL'!AH:AH)+SUMIF('Budget-ACPLHK'!$A:$A,$A139,'Budget-ACPLHK'!AH:AH)+SUMIF('Budget-ACPSZL'!$A:$A,$A139,'Budget-ACPSZL'!AH:AH)+SUMIF('Budget-ACPLSZ'!$A:$A,$A139,'Budget-ACPLSZ'!AH:AH)+SUMIF('Budget-ACPLGZ'!$A:$A,$A139,'Budget-ACPLGZ'!AH:AH)+SUMIF('Budget-Yixing'!$A:$A,$A139,'Budget-Yixing'!AH:AH)</f>
        <v>416.67</v>
      </c>
      <c r="AI139" s="688">
        <f ca="1">SUMIF('Budget-ACPL'!$A:$A,$A139,'Budget-ACPL'!AI:AI)+SUMIF('Budget-ACPLHK'!$A:$A,$A139,'Budget-ACPLHK'!AI:AI)+SUMIF('Budget-ACPSZL'!$A:$A,$A139,'Budget-ACPSZL'!AI:AI)+SUMIF('Budget-ACPLSZ'!$A:$A,$A139,'Budget-ACPLSZ'!AI:AI)+SUMIF('Budget-ACPLGZ'!$A:$A,$A139,'Budget-ACPLGZ'!AI:AI)+SUMIF('Budget-Yixing'!$A:$A,$A139,'Budget-Yixing'!AI:AI)</f>
        <v>416.67</v>
      </c>
      <c r="AJ139" s="688">
        <f ca="1">SUMIF('Budget-ACPL'!$A:$A,$A139,'Budget-ACPL'!AJ:AJ)+SUMIF('Budget-ACPLHK'!$A:$A,$A139,'Budget-ACPLHK'!AJ:AJ)+SUMIF('Budget-ACPSZL'!$A:$A,$A139,'Budget-ACPSZL'!AJ:AJ)+SUMIF('Budget-ACPLSZ'!$A:$A,$A139,'Budget-ACPLSZ'!AJ:AJ)+SUMIF('Budget-ACPLGZ'!$A:$A,$A139,'Budget-ACPLGZ'!AJ:AJ)+SUMIF('Budget-Yixing'!$A:$A,$A139,'Budget-Yixing'!AJ:AJ)</f>
        <v>416.67</v>
      </c>
      <c r="AK139" s="688">
        <f t="shared" ca="1" si="43"/>
        <v>4921.5200000000004</v>
      </c>
    </row>
    <row r="140" spans="1:37" ht="11.1" hidden="1" customHeight="1">
      <c r="A140" s="713" t="s">
        <v>1838</v>
      </c>
      <c r="B140" s="687" t="str">
        <f>VLOOKUP(A140,Account!A:B,2,0)</f>
        <v>物业管理费</v>
      </c>
      <c r="C140" s="687">
        <f>VLOOKUP(A140,Account!A:F,4,0)</f>
        <v>0</v>
      </c>
      <c r="D140" s="676">
        <f t="shared" ca="1" si="38"/>
        <v>0</v>
      </c>
      <c r="E140" s="676" t="e">
        <f t="shared" si="39"/>
        <v>#N/A</v>
      </c>
      <c r="F140" s="676" t="e">
        <f t="shared" ca="1" si="37"/>
        <v>#N/A</v>
      </c>
      <c r="G140" s="676">
        <f t="shared" ca="1" si="40"/>
        <v>0</v>
      </c>
      <c r="H140" s="676" t="e">
        <f t="shared" ca="1" si="41"/>
        <v>#N/A</v>
      </c>
      <c r="I140" s="676" t="e">
        <f t="shared" ca="1" si="42"/>
        <v>#N/A</v>
      </c>
      <c r="K140" s="676">
        <f ca="1">SUMIF('Budget-ACPL'!$A:$A,$A140,'Budget-ACPL'!K:K)+SUMIF('Budget-ACPLHK'!$A:$A,$A140,'Budget-ACPLHK'!K:K)+SUMIF('Budget-ACPSZL'!$A:$A,$A140,'Budget-ACPSZL'!K:K)+SUMIF('Budget-ACPLSZ'!$A:$A,$A140,'Budget-ACPLSZ'!K:K)+SUMIF('Budget-ACPLGZ'!$A:$A,$A140,'Budget-ACPLGZ'!K:K)+SUMIF('Budget-Yixing'!$A:$A,$A140,'Budget-Yixing'!K:K)</f>
        <v>0</v>
      </c>
      <c r="L140" s="676">
        <f ca="1">SUMIF('Budget-ACPL'!$A:$A,$A140,'Budget-ACPL'!L:L)+SUMIF('Budget-ACPLHK'!$A:$A,$A140,'Budget-ACPLHK'!L:L)+SUMIF('Budget-ACPSZL'!$A:$A,$A140,'Budget-ACPSZL'!L:L)+SUMIF('Budget-ACPLSZ'!$A:$A,$A140,'Budget-ACPLSZ'!L:L)+SUMIF('Budget-ACPLGZ'!$A:$A,$A140,'Budget-ACPLGZ'!L:L)+SUMIF('Budget-Yixing'!$A:$A,$A140,'Budget-Yixing'!L:L)</f>
        <v>0</v>
      </c>
      <c r="M140" s="676">
        <f ca="1">SUMIF('Budget-ACPL'!$A:$A,$A140,'Budget-ACPL'!M:M)+SUMIF('Budget-ACPLHK'!$A:$A,$A140,'Budget-ACPLHK'!M:M)+SUMIF('Budget-ACPSZL'!$A:$A,$A140,'Budget-ACPSZL'!M:M)+SUMIF('Budget-ACPLSZ'!$A:$A,$A140,'Budget-ACPLSZ'!M:M)+SUMIF('Budget-ACPLGZ'!$A:$A,$A140,'Budget-ACPLGZ'!M:M)+SUMIF('Budget-Yixing'!$A:$A,$A140,'Budget-Yixing'!M:M)</f>
        <v>0</v>
      </c>
      <c r="N140" s="676">
        <f ca="1">SUMIF('Budget-ACPL'!$A:$A,$A140,'Budget-ACPL'!N:N)+SUMIF('Budget-ACPLHK'!$A:$A,$A140,'Budget-ACPLHK'!N:N)+SUMIF('Budget-ACPSZL'!$A:$A,$A140,'Budget-ACPSZL'!N:N)+SUMIF('Budget-ACPLSZ'!$A:$A,$A140,'Budget-ACPLSZ'!N:N)+SUMIF('Budget-ACPLGZ'!$A:$A,$A140,'Budget-ACPLGZ'!N:N)+SUMIF('Budget-Yixing'!$A:$A,$A140,'Budget-Yixing'!N:N)</f>
        <v>0</v>
      </c>
      <c r="O140" s="676">
        <f ca="1">SUMIF('Budget-ACPL'!$A:$A,$A140,'Budget-ACPL'!O:O)+SUMIF('Budget-ACPLHK'!$A:$A,$A140,'Budget-ACPLHK'!O:O)+SUMIF('Budget-ACPSZL'!$A:$A,$A140,'Budget-ACPSZL'!O:O)+SUMIF('Budget-ACPLSZ'!$A:$A,$A140,'Budget-ACPLSZ'!O:O)+SUMIF('Budget-ACPLGZ'!$A:$A,$A140,'Budget-ACPLGZ'!O:O)+SUMIF('Budget-Yixing'!$A:$A,$A140,'Budget-Yixing'!O:O)</f>
        <v>0</v>
      </c>
      <c r="P140" s="676">
        <f ca="1">SUMIF('Budget-ACPL'!$A:$A,$A140,'Budget-ACPL'!P:P)+SUMIF('Budget-ACPLHK'!$A:$A,$A140,'Budget-ACPLHK'!P:P)+SUMIF('Budget-ACPSZL'!$A:$A,$A140,'Budget-ACPSZL'!P:P)+SUMIF('Budget-ACPLSZ'!$A:$A,$A140,'Budget-ACPLSZ'!P:P)+SUMIF('Budget-ACPLGZ'!$A:$A,$A140,'Budget-ACPLGZ'!P:P)+SUMIF('Budget-Yixing'!$A:$A,$A140,'Budget-Yixing'!P:P)</f>
        <v>0</v>
      </c>
      <c r="Q140" s="676">
        <f ca="1">SUMIF('Budget-ACPL'!$A:$A,$A140,'Budget-ACPL'!Q:Q)+SUMIF('Budget-ACPLHK'!$A:$A,$A140,'Budget-ACPLHK'!Q:Q)+SUMIF('Budget-ACPSZL'!$A:$A,$A140,'Budget-ACPSZL'!Q:Q)+SUMIF('Budget-ACPLSZ'!$A:$A,$A140,'Budget-ACPLSZ'!Q:Q)+SUMIF('Budget-ACPLGZ'!$A:$A,$A140,'Budget-ACPLGZ'!Q:Q)+SUMIF('Budget-Yixing'!$A:$A,$A140,'Budget-Yixing'!Q:Q)</f>
        <v>0</v>
      </c>
      <c r="R140" s="676">
        <f ca="1">SUMIF('Budget-ACPL'!$A:$A,$A140,'Budget-ACPL'!R:R)+SUMIF('Budget-ACPLHK'!$A:$A,$A140,'Budget-ACPLHK'!R:R)+SUMIF('Budget-ACPSZL'!$A:$A,$A140,'Budget-ACPSZL'!R:R)+SUMIF('Budget-ACPLSZ'!$A:$A,$A140,'Budget-ACPLSZ'!R:R)+SUMIF('Budget-ACPLGZ'!$A:$A,$A140,'Budget-ACPLGZ'!R:R)+SUMIF('Budget-Yixing'!$A:$A,$A140,'Budget-Yixing'!R:R)</f>
        <v>0</v>
      </c>
      <c r="S140" s="676">
        <f ca="1">SUMIF('Budget-ACPL'!$A:$A,$A140,'Budget-ACPL'!S:S)+SUMIF('Budget-ACPLHK'!$A:$A,$A140,'Budget-ACPLHK'!S:S)+SUMIF('Budget-ACPSZL'!$A:$A,$A140,'Budget-ACPSZL'!S:S)+SUMIF('Budget-ACPLSZ'!$A:$A,$A140,'Budget-ACPLSZ'!S:S)+SUMIF('Budget-ACPLGZ'!$A:$A,$A140,'Budget-ACPLGZ'!S:S)+SUMIF('Budget-Yixing'!$A:$A,$A140,'Budget-Yixing'!S:S)</f>
        <v>0</v>
      </c>
      <c r="T140" s="676">
        <f ca="1">SUMIF('Budget-ACPL'!$A:$A,$A140,'Budget-ACPL'!T:T)+SUMIF('Budget-ACPLHK'!$A:$A,$A140,'Budget-ACPLHK'!T:T)+SUMIF('Budget-ACPSZL'!$A:$A,$A140,'Budget-ACPSZL'!T:T)+SUMIF('Budget-ACPLSZ'!$A:$A,$A140,'Budget-ACPLSZ'!T:T)+SUMIF('Budget-ACPLGZ'!$A:$A,$A140,'Budget-ACPLGZ'!T:T)+SUMIF('Budget-Yixing'!$A:$A,$A140,'Budget-Yixing'!T:T)</f>
        <v>0</v>
      </c>
      <c r="U140" s="676">
        <f ca="1">SUMIF('Budget-ACPL'!$A:$A,$A140,'Budget-ACPL'!U:U)+SUMIF('Budget-ACPLHK'!$A:$A,$A140,'Budget-ACPLHK'!U:U)+SUMIF('Budget-ACPSZL'!$A:$A,$A140,'Budget-ACPSZL'!U:U)+SUMIF('Budget-ACPLSZ'!$A:$A,$A140,'Budget-ACPLSZ'!U:U)+SUMIF('Budget-ACPLGZ'!$A:$A,$A140,'Budget-ACPLGZ'!U:U)+SUMIF('Budget-Yixing'!$A:$A,$A140,'Budget-Yixing'!U:U)</f>
        <v>0</v>
      </c>
      <c r="V140" s="676">
        <f ca="1">SUMIF('Budget-ACPL'!$A:$A,$A140,'Budget-ACPL'!V:V)+SUMIF('Budget-ACPLHK'!$A:$A,$A140,'Budget-ACPLHK'!V:V)+SUMIF('Budget-ACPSZL'!$A:$A,$A140,'Budget-ACPSZL'!V:V)+SUMIF('Budget-ACPLSZ'!$A:$A,$A140,'Budget-ACPLSZ'!V:V)+SUMIF('Budget-ACPLGZ'!$A:$A,$A140,'Budget-ACPLGZ'!V:V)+SUMIF('Budget-Yixing'!$A:$A,$A140,'Budget-Yixing'!V:V)</f>
        <v>0</v>
      </c>
      <c r="W140" s="676">
        <f t="shared" ca="1" si="45"/>
        <v>0</v>
      </c>
      <c r="Y140" s="688">
        <f ca="1">SUMIF('Budget-ACPL'!$A:$A,$A140,'Budget-ACPL'!Y:Y)+SUMIF('Budget-ACPLHK'!$A:$A,$A140,'Budget-ACPLHK'!Y:Y)+SUMIF('Budget-ACPSZL'!$A:$A,$A140,'Budget-ACPSZL'!Y:Y)+SUMIF('Budget-ACPLSZ'!$A:$A,$A140,'Budget-ACPLSZ'!Y:Y)+SUMIF('Budget-ACPLGZ'!$A:$A,$A140,'Budget-ACPLGZ'!Y:Y)+SUMIF('Budget-Yixing'!$A:$A,$A140,'Budget-Yixing'!Y:Y)</f>
        <v>6951.64</v>
      </c>
      <c r="Z140" s="688">
        <f ca="1">SUMIF('Budget-ACPL'!$A:$A,$A140,'Budget-ACPL'!Z:Z)+SUMIF('Budget-ACPLHK'!$A:$A,$A140,'Budget-ACPLHK'!Z:Z)+SUMIF('Budget-ACPSZL'!$A:$A,$A140,'Budget-ACPSZL'!Z:Z)+SUMIF('Budget-ACPLSZ'!$A:$A,$A140,'Budget-ACPLSZ'!Z:Z)+SUMIF('Budget-ACPLGZ'!$A:$A,$A140,'Budget-ACPLGZ'!Z:Z)+SUMIF('Budget-Yixing'!$A:$A,$A140,'Budget-Yixing'!Z:Z)</f>
        <v>-1563.66</v>
      </c>
      <c r="AA140" s="688">
        <f ca="1">SUMIF('Budget-ACPL'!$A:$A,$A140,'Budget-ACPL'!AA:AA)+SUMIF('Budget-ACPLHK'!$A:$A,$A140,'Budget-ACPLHK'!AA:AA)+SUMIF('Budget-ACPSZL'!$A:$A,$A140,'Budget-ACPSZL'!AA:AA)+SUMIF('Budget-ACPLSZ'!$A:$A,$A140,'Budget-ACPLSZ'!AA:AA)+SUMIF('Budget-ACPLGZ'!$A:$A,$A140,'Budget-ACPLGZ'!AA:AA)+SUMIF('Budget-Yixing'!$A:$A,$A140,'Budget-Yixing'!AA:AA)</f>
        <v>0</v>
      </c>
      <c r="AB140" s="688">
        <f ca="1">SUMIF('Budget-ACPL'!$A:$A,$A140,'Budget-ACPL'!AB:AB)+SUMIF('Budget-ACPLHK'!$A:$A,$A140,'Budget-ACPLHK'!AB:AB)+SUMIF('Budget-ACPSZL'!$A:$A,$A140,'Budget-ACPSZL'!AB:AB)+SUMIF('Budget-ACPLSZ'!$A:$A,$A140,'Budget-ACPLSZ'!AB:AB)+SUMIF('Budget-ACPLGZ'!$A:$A,$A140,'Budget-ACPLGZ'!AB:AB)+SUMIF('Budget-Yixing'!$A:$A,$A140,'Budget-Yixing'!AB:AB)</f>
        <v>0</v>
      </c>
      <c r="AC140" s="688">
        <f ca="1">SUMIF('Budget-ACPL'!$A:$A,$A140,'Budget-ACPL'!AC:AC)+SUMIF('Budget-ACPLHK'!$A:$A,$A140,'Budget-ACPLHK'!AC:AC)+SUMIF('Budget-ACPSZL'!$A:$A,$A140,'Budget-ACPSZL'!AC:AC)+SUMIF('Budget-ACPLSZ'!$A:$A,$A140,'Budget-ACPLSZ'!AC:AC)+SUMIF('Budget-ACPLGZ'!$A:$A,$A140,'Budget-ACPLGZ'!AC:AC)+SUMIF('Budget-Yixing'!$A:$A,$A140,'Budget-Yixing'!AC:AC)</f>
        <v>0</v>
      </c>
      <c r="AD140" s="688">
        <f ca="1">SUMIF('Budget-ACPL'!$A:$A,$A140,'Budget-ACPL'!AD:AD)+SUMIF('Budget-ACPLHK'!$A:$A,$A140,'Budget-ACPLHK'!AD:AD)+SUMIF('Budget-ACPSZL'!$A:$A,$A140,'Budget-ACPSZL'!AD:AD)+SUMIF('Budget-ACPLSZ'!$A:$A,$A140,'Budget-ACPLSZ'!AD:AD)+SUMIF('Budget-ACPLGZ'!$A:$A,$A140,'Budget-ACPLGZ'!AD:AD)+SUMIF('Budget-Yixing'!$A:$A,$A140,'Budget-Yixing'!AD:AD)</f>
        <v>0</v>
      </c>
      <c r="AE140" s="688">
        <f ca="1">SUMIF('Budget-ACPL'!$A:$A,$A140,'Budget-ACPL'!AE:AE)+SUMIF('Budget-ACPLHK'!$A:$A,$A140,'Budget-ACPLHK'!AE:AE)+SUMIF('Budget-ACPSZL'!$A:$A,$A140,'Budget-ACPSZL'!AE:AE)+SUMIF('Budget-ACPLSZ'!$A:$A,$A140,'Budget-ACPLSZ'!AE:AE)+SUMIF('Budget-ACPLGZ'!$A:$A,$A140,'Budget-ACPLGZ'!AE:AE)+SUMIF('Budget-Yixing'!$A:$A,$A140,'Budget-Yixing'!AE:AE)</f>
        <v>0</v>
      </c>
      <c r="AF140" s="688">
        <f ca="1">SUMIF('Budget-ACPL'!$A:$A,$A140,'Budget-ACPL'!AF:AF)+SUMIF('Budget-ACPLHK'!$A:$A,$A140,'Budget-ACPLHK'!AF:AF)+SUMIF('Budget-ACPSZL'!$A:$A,$A140,'Budget-ACPSZL'!AF:AF)+SUMIF('Budget-ACPLSZ'!$A:$A,$A140,'Budget-ACPLSZ'!AF:AF)+SUMIF('Budget-ACPLGZ'!$A:$A,$A140,'Budget-ACPLGZ'!AF:AF)+SUMIF('Budget-Yixing'!$A:$A,$A140,'Budget-Yixing'!AF:AF)</f>
        <v>0</v>
      </c>
      <c r="AG140" s="688">
        <f ca="1">SUMIF('Budget-ACPL'!$A:$A,$A140,'Budget-ACPL'!AG:AG)+SUMIF('Budget-ACPLHK'!$A:$A,$A140,'Budget-ACPLHK'!AG:AG)+SUMIF('Budget-ACPSZL'!$A:$A,$A140,'Budget-ACPSZL'!AG:AG)+SUMIF('Budget-ACPLSZ'!$A:$A,$A140,'Budget-ACPLSZ'!AG:AG)+SUMIF('Budget-ACPLGZ'!$A:$A,$A140,'Budget-ACPLGZ'!AG:AG)+SUMIF('Budget-Yixing'!$A:$A,$A140,'Budget-Yixing'!AG:AG)</f>
        <v>0</v>
      </c>
      <c r="AH140" s="688">
        <f ca="1">SUMIF('Budget-ACPL'!$A:$A,$A140,'Budget-ACPL'!AH:AH)+SUMIF('Budget-ACPLHK'!$A:$A,$A140,'Budget-ACPLHK'!AH:AH)+SUMIF('Budget-ACPSZL'!$A:$A,$A140,'Budget-ACPSZL'!AH:AH)+SUMIF('Budget-ACPLSZ'!$A:$A,$A140,'Budget-ACPLSZ'!AH:AH)+SUMIF('Budget-ACPLGZ'!$A:$A,$A140,'Budget-ACPLGZ'!AH:AH)+SUMIF('Budget-Yixing'!$A:$A,$A140,'Budget-Yixing'!AH:AH)</f>
        <v>0</v>
      </c>
      <c r="AI140" s="688">
        <f ca="1">SUMIF('Budget-ACPL'!$A:$A,$A140,'Budget-ACPL'!AI:AI)+SUMIF('Budget-ACPLHK'!$A:$A,$A140,'Budget-ACPLHK'!AI:AI)+SUMIF('Budget-ACPSZL'!$A:$A,$A140,'Budget-ACPSZL'!AI:AI)+SUMIF('Budget-ACPLSZ'!$A:$A,$A140,'Budget-ACPLSZ'!AI:AI)+SUMIF('Budget-ACPLGZ'!$A:$A,$A140,'Budget-ACPLGZ'!AI:AI)+SUMIF('Budget-Yixing'!$A:$A,$A140,'Budget-Yixing'!AI:AI)</f>
        <v>0</v>
      </c>
      <c r="AJ140" s="688">
        <f ca="1">SUMIF('Budget-ACPL'!$A:$A,$A140,'Budget-ACPL'!AJ:AJ)+SUMIF('Budget-ACPLHK'!$A:$A,$A140,'Budget-ACPLHK'!AJ:AJ)+SUMIF('Budget-ACPSZL'!$A:$A,$A140,'Budget-ACPSZL'!AJ:AJ)+SUMIF('Budget-ACPLSZ'!$A:$A,$A140,'Budget-ACPLSZ'!AJ:AJ)+SUMIF('Budget-ACPLGZ'!$A:$A,$A140,'Budget-ACPLGZ'!AJ:AJ)+SUMIF('Budget-Yixing'!$A:$A,$A140,'Budget-Yixing'!AJ:AJ)</f>
        <v>0</v>
      </c>
      <c r="AK140" s="688">
        <f t="shared" ca="1" si="43"/>
        <v>5387.9800000000005</v>
      </c>
    </row>
    <row r="141" spans="1:37" ht="11.1" hidden="1" customHeight="1">
      <c r="A141" s="713" t="s">
        <v>1840</v>
      </c>
      <c r="B141" s="687" t="str">
        <f>VLOOKUP(A141,Account!A:B,2,0)</f>
        <v>修理费</v>
      </c>
      <c r="C141" s="687">
        <f>VLOOKUP(A141,Account!A:F,4,0)</f>
        <v>0</v>
      </c>
      <c r="D141" s="676">
        <f t="shared" ca="1" si="38"/>
        <v>0</v>
      </c>
      <c r="E141" s="676" t="e">
        <f t="shared" si="39"/>
        <v>#N/A</v>
      </c>
      <c r="F141" s="676" t="e">
        <f t="shared" ca="1" si="37"/>
        <v>#N/A</v>
      </c>
      <c r="G141" s="676">
        <f t="shared" ca="1" si="40"/>
        <v>0</v>
      </c>
      <c r="H141" s="676" t="e">
        <f t="shared" ca="1" si="41"/>
        <v>#N/A</v>
      </c>
      <c r="I141" s="676" t="e">
        <f t="shared" ca="1" si="42"/>
        <v>#N/A</v>
      </c>
      <c r="K141" s="676">
        <f ca="1">SUMIF('Budget-ACPL'!$A:$A,$A141,'Budget-ACPL'!K:K)+SUMIF('Budget-ACPLHK'!$A:$A,$A141,'Budget-ACPLHK'!K:K)+SUMIF('Budget-ACPSZL'!$A:$A,$A141,'Budget-ACPSZL'!K:K)+SUMIF('Budget-ACPLSZ'!$A:$A,$A141,'Budget-ACPLSZ'!K:K)+SUMIF('Budget-ACPLGZ'!$A:$A,$A141,'Budget-ACPLGZ'!K:K)+SUMIF('Budget-Yixing'!$A:$A,$A141,'Budget-Yixing'!K:K)</f>
        <v>0</v>
      </c>
      <c r="L141" s="676">
        <f ca="1">SUMIF('Budget-ACPL'!$A:$A,$A141,'Budget-ACPL'!L:L)+SUMIF('Budget-ACPLHK'!$A:$A,$A141,'Budget-ACPLHK'!L:L)+SUMIF('Budget-ACPSZL'!$A:$A,$A141,'Budget-ACPSZL'!L:L)+SUMIF('Budget-ACPLSZ'!$A:$A,$A141,'Budget-ACPLSZ'!L:L)+SUMIF('Budget-ACPLGZ'!$A:$A,$A141,'Budget-ACPLGZ'!L:L)+SUMIF('Budget-Yixing'!$A:$A,$A141,'Budget-Yixing'!L:L)</f>
        <v>0</v>
      </c>
      <c r="M141" s="676">
        <f ca="1">SUMIF('Budget-ACPL'!$A:$A,$A141,'Budget-ACPL'!M:M)+SUMIF('Budget-ACPLHK'!$A:$A,$A141,'Budget-ACPLHK'!M:M)+SUMIF('Budget-ACPSZL'!$A:$A,$A141,'Budget-ACPSZL'!M:M)+SUMIF('Budget-ACPLSZ'!$A:$A,$A141,'Budget-ACPLSZ'!M:M)+SUMIF('Budget-ACPLGZ'!$A:$A,$A141,'Budget-ACPLGZ'!M:M)+SUMIF('Budget-Yixing'!$A:$A,$A141,'Budget-Yixing'!M:M)</f>
        <v>0</v>
      </c>
      <c r="N141" s="676">
        <f ca="1">SUMIF('Budget-ACPL'!$A:$A,$A141,'Budget-ACPL'!N:N)+SUMIF('Budget-ACPLHK'!$A:$A,$A141,'Budget-ACPLHK'!N:N)+SUMIF('Budget-ACPSZL'!$A:$A,$A141,'Budget-ACPSZL'!N:N)+SUMIF('Budget-ACPLSZ'!$A:$A,$A141,'Budget-ACPLSZ'!N:N)+SUMIF('Budget-ACPLGZ'!$A:$A,$A141,'Budget-ACPLGZ'!N:N)+SUMIF('Budget-Yixing'!$A:$A,$A141,'Budget-Yixing'!N:N)</f>
        <v>0</v>
      </c>
      <c r="O141" s="676">
        <f ca="1">SUMIF('Budget-ACPL'!$A:$A,$A141,'Budget-ACPL'!O:O)+SUMIF('Budget-ACPLHK'!$A:$A,$A141,'Budget-ACPLHK'!O:O)+SUMIF('Budget-ACPSZL'!$A:$A,$A141,'Budget-ACPSZL'!O:O)+SUMIF('Budget-ACPLSZ'!$A:$A,$A141,'Budget-ACPLSZ'!O:O)+SUMIF('Budget-ACPLGZ'!$A:$A,$A141,'Budget-ACPLGZ'!O:O)+SUMIF('Budget-Yixing'!$A:$A,$A141,'Budget-Yixing'!O:O)</f>
        <v>0</v>
      </c>
      <c r="P141" s="676">
        <f ca="1">SUMIF('Budget-ACPL'!$A:$A,$A141,'Budget-ACPL'!P:P)+SUMIF('Budget-ACPLHK'!$A:$A,$A141,'Budget-ACPLHK'!P:P)+SUMIF('Budget-ACPSZL'!$A:$A,$A141,'Budget-ACPSZL'!P:P)+SUMIF('Budget-ACPLSZ'!$A:$A,$A141,'Budget-ACPLSZ'!P:P)+SUMIF('Budget-ACPLGZ'!$A:$A,$A141,'Budget-ACPLGZ'!P:P)+SUMIF('Budget-Yixing'!$A:$A,$A141,'Budget-Yixing'!P:P)</f>
        <v>0</v>
      </c>
      <c r="Q141" s="676">
        <f ca="1">SUMIF('Budget-ACPL'!$A:$A,$A141,'Budget-ACPL'!Q:Q)+SUMIF('Budget-ACPLHK'!$A:$A,$A141,'Budget-ACPLHK'!Q:Q)+SUMIF('Budget-ACPSZL'!$A:$A,$A141,'Budget-ACPSZL'!Q:Q)+SUMIF('Budget-ACPLSZ'!$A:$A,$A141,'Budget-ACPLSZ'!Q:Q)+SUMIF('Budget-ACPLGZ'!$A:$A,$A141,'Budget-ACPLGZ'!Q:Q)+SUMIF('Budget-Yixing'!$A:$A,$A141,'Budget-Yixing'!Q:Q)</f>
        <v>0</v>
      </c>
      <c r="R141" s="676">
        <f ca="1">SUMIF('Budget-ACPL'!$A:$A,$A141,'Budget-ACPL'!R:R)+SUMIF('Budget-ACPLHK'!$A:$A,$A141,'Budget-ACPLHK'!R:R)+SUMIF('Budget-ACPSZL'!$A:$A,$A141,'Budget-ACPSZL'!R:R)+SUMIF('Budget-ACPLSZ'!$A:$A,$A141,'Budget-ACPLSZ'!R:R)+SUMIF('Budget-ACPLGZ'!$A:$A,$A141,'Budget-ACPLGZ'!R:R)+SUMIF('Budget-Yixing'!$A:$A,$A141,'Budget-Yixing'!R:R)</f>
        <v>0</v>
      </c>
      <c r="S141" s="676">
        <f ca="1">SUMIF('Budget-ACPL'!$A:$A,$A141,'Budget-ACPL'!S:S)+SUMIF('Budget-ACPLHK'!$A:$A,$A141,'Budget-ACPLHK'!S:S)+SUMIF('Budget-ACPSZL'!$A:$A,$A141,'Budget-ACPSZL'!S:S)+SUMIF('Budget-ACPLSZ'!$A:$A,$A141,'Budget-ACPLSZ'!S:S)+SUMIF('Budget-ACPLGZ'!$A:$A,$A141,'Budget-ACPLGZ'!S:S)+SUMIF('Budget-Yixing'!$A:$A,$A141,'Budget-Yixing'!S:S)</f>
        <v>0</v>
      </c>
      <c r="T141" s="676">
        <f ca="1">SUMIF('Budget-ACPL'!$A:$A,$A141,'Budget-ACPL'!T:T)+SUMIF('Budget-ACPLHK'!$A:$A,$A141,'Budget-ACPLHK'!T:T)+SUMIF('Budget-ACPSZL'!$A:$A,$A141,'Budget-ACPSZL'!T:T)+SUMIF('Budget-ACPLSZ'!$A:$A,$A141,'Budget-ACPLSZ'!T:T)+SUMIF('Budget-ACPLGZ'!$A:$A,$A141,'Budget-ACPLGZ'!T:T)+SUMIF('Budget-Yixing'!$A:$A,$A141,'Budget-Yixing'!T:T)</f>
        <v>0</v>
      </c>
      <c r="U141" s="676">
        <f ca="1">SUMIF('Budget-ACPL'!$A:$A,$A141,'Budget-ACPL'!U:U)+SUMIF('Budget-ACPLHK'!$A:$A,$A141,'Budget-ACPLHK'!U:U)+SUMIF('Budget-ACPSZL'!$A:$A,$A141,'Budget-ACPSZL'!U:U)+SUMIF('Budget-ACPLSZ'!$A:$A,$A141,'Budget-ACPLSZ'!U:U)+SUMIF('Budget-ACPLGZ'!$A:$A,$A141,'Budget-ACPLGZ'!U:U)+SUMIF('Budget-Yixing'!$A:$A,$A141,'Budget-Yixing'!U:U)</f>
        <v>0</v>
      </c>
      <c r="V141" s="676">
        <f ca="1">SUMIF('Budget-ACPL'!$A:$A,$A141,'Budget-ACPL'!V:V)+SUMIF('Budget-ACPLHK'!$A:$A,$A141,'Budget-ACPLHK'!V:V)+SUMIF('Budget-ACPSZL'!$A:$A,$A141,'Budget-ACPSZL'!V:V)+SUMIF('Budget-ACPLSZ'!$A:$A,$A141,'Budget-ACPLSZ'!V:V)+SUMIF('Budget-ACPLGZ'!$A:$A,$A141,'Budget-ACPLGZ'!V:V)+SUMIF('Budget-Yixing'!$A:$A,$A141,'Budget-Yixing'!V:V)</f>
        <v>0</v>
      </c>
      <c r="W141" s="676">
        <f t="shared" ca="1" si="45"/>
        <v>0</v>
      </c>
      <c r="Y141" s="688">
        <f ca="1">SUMIF('Budget-ACPL'!$A:$A,$A141,'Budget-ACPL'!Y:Y)+SUMIF('Budget-ACPLHK'!$A:$A,$A141,'Budget-ACPLHK'!Y:Y)+SUMIF('Budget-ACPSZL'!$A:$A,$A141,'Budget-ACPSZL'!Y:Y)+SUMIF('Budget-ACPLSZ'!$A:$A,$A141,'Budget-ACPLSZ'!Y:Y)+SUMIF('Budget-ACPLGZ'!$A:$A,$A141,'Budget-ACPLGZ'!Y:Y)+SUMIF('Budget-Yixing'!$A:$A,$A141,'Budget-Yixing'!Y:Y)</f>
        <v>0</v>
      </c>
      <c r="Z141" s="688">
        <f ca="1">SUMIF('Budget-ACPL'!$A:$A,$A141,'Budget-ACPL'!Z:Z)+SUMIF('Budget-ACPLHK'!$A:$A,$A141,'Budget-ACPLHK'!Z:Z)+SUMIF('Budget-ACPSZL'!$A:$A,$A141,'Budget-ACPSZL'!Z:Z)+SUMIF('Budget-ACPLSZ'!$A:$A,$A141,'Budget-ACPLSZ'!Z:Z)+SUMIF('Budget-ACPLGZ'!$A:$A,$A141,'Budget-ACPLGZ'!Z:Z)+SUMIF('Budget-Yixing'!$A:$A,$A141,'Budget-Yixing'!Z:Z)</f>
        <v>0</v>
      </c>
      <c r="AA141" s="688">
        <f ca="1">SUMIF('Budget-ACPL'!$A:$A,$A141,'Budget-ACPL'!AA:AA)+SUMIF('Budget-ACPLHK'!$A:$A,$A141,'Budget-ACPLHK'!AA:AA)+SUMIF('Budget-ACPSZL'!$A:$A,$A141,'Budget-ACPSZL'!AA:AA)+SUMIF('Budget-ACPLSZ'!$A:$A,$A141,'Budget-ACPLSZ'!AA:AA)+SUMIF('Budget-ACPLGZ'!$A:$A,$A141,'Budget-ACPLGZ'!AA:AA)+SUMIF('Budget-Yixing'!$A:$A,$A141,'Budget-Yixing'!AA:AA)</f>
        <v>0</v>
      </c>
      <c r="AB141" s="688">
        <f ca="1">SUMIF('Budget-ACPL'!$A:$A,$A141,'Budget-ACPL'!AB:AB)+SUMIF('Budget-ACPLHK'!$A:$A,$A141,'Budget-ACPLHK'!AB:AB)+SUMIF('Budget-ACPSZL'!$A:$A,$A141,'Budget-ACPSZL'!AB:AB)+SUMIF('Budget-ACPLSZ'!$A:$A,$A141,'Budget-ACPLSZ'!AB:AB)+SUMIF('Budget-ACPLGZ'!$A:$A,$A141,'Budget-ACPLGZ'!AB:AB)+SUMIF('Budget-Yixing'!$A:$A,$A141,'Budget-Yixing'!AB:AB)</f>
        <v>0</v>
      </c>
      <c r="AC141" s="688">
        <f ca="1">SUMIF('Budget-ACPL'!$A:$A,$A141,'Budget-ACPL'!AC:AC)+SUMIF('Budget-ACPLHK'!$A:$A,$A141,'Budget-ACPLHK'!AC:AC)+SUMIF('Budget-ACPSZL'!$A:$A,$A141,'Budget-ACPSZL'!AC:AC)+SUMIF('Budget-ACPLSZ'!$A:$A,$A141,'Budget-ACPLSZ'!AC:AC)+SUMIF('Budget-ACPLGZ'!$A:$A,$A141,'Budget-ACPLGZ'!AC:AC)+SUMIF('Budget-Yixing'!$A:$A,$A141,'Budget-Yixing'!AC:AC)</f>
        <v>0</v>
      </c>
      <c r="AD141" s="688">
        <f ca="1">SUMIF('Budget-ACPL'!$A:$A,$A141,'Budget-ACPL'!AD:AD)+SUMIF('Budget-ACPLHK'!$A:$A,$A141,'Budget-ACPLHK'!AD:AD)+SUMIF('Budget-ACPSZL'!$A:$A,$A141,'Budget-ACPSZL'!AD:AD)+SUMIF('Budget-ACPLSZ'!$A:$A,$A141,'Budget-ACPLSZ'!AD:AD)+SUMIF('Budget-ACPLGZ'!$A:$A,$A141,'Budget-ACPLGZ'!AD:AD)+SUMIF('Budget-Yixing'!$A:$A,$A141,'Budget-Yixing'!AD:AD)</f>
        <v>0</v>
      </c>
      <c r="AE141" s="688">
        <f ca="1">SUMIF('Budget-ACPL'!$A:$A,$A141,'Budget-ACPL'!AE:AE)+SUMIF('Budget-ACPLHK'!$A:$A,$A141,'Budget-ACPLHK'!AE:AE)+SUMIF('Budget-ACPSZL'!$A:$A,$A141,'Budget-ACPSZL'!AE:AE)+SUMIF('Budget-ACPLSZ'!$A:$A,$A141,'Budget-ACPLSZ'!AE:AE)+SUMIF('Budget-ACPLGZ'!$A:$A,$A141,'Budget-ACPLGZ'!AE:AE)+SUMIF('Budget-Yixing'!$A:$A,$A141,'Budget-Yixing'!AE:AE)</f>
        <v>0</v>
      </c>
      <c r="AF141" s="688">
        <f ca="1">SUMIF('Budget-ACPL'!$A:$A,$A141,'Budget-ACPL'!AF:AF)+SUMIF('Budget-ACPLHK'!$A:$A,$A141,'Budget-ACPLHK'!AF:AF)+SUMIF('Budget-ACPSZL'!$A:$A,$A141,'Budget-ACPSZL'!AF:AF)+SUMIF('Budget-ACPLSZ'!$A:$A,$A141,'Budget-ACPLSZ'!AF:AF)+SUMIF('Budget-ACPLGZ'!$A:$A,$A141,'Budget-ACPLGZ'!AF:AF)+SUMIF('Budget-Yixing'!$A:$A,$A141,'Budget-Yixing'!AF:AF)</f>
        <v>0</v>
      </c>
      <c r="AG141" s="688">
        <f ca="1">SUMIF('Budget-ACPL'!$A:$A,$A141,'Budget-ACPL'!AG:AG)+SUMIF('Budget-ACPLHK'!$A:$A,$A141,'Budget-ACPLHK'!AG:AG)+SUMIF('Budget-ACPSZL'!$A:$A,$A141,'Budget-ACPSZL'!AG:AG)+SUMIF('Budget-ACPLSZ'!$A:$A,$A141,'Budget-ACPLSZ'!AG:AG)+SUMIF('Budget-ACPLGZ'!$A:$A,$A141,'Budget-ACPLGZ'!AG:AG)+SUMIF('Budget-Yixing'!$A:$A,$A141,'Budget-Yixing'!AG:AG)</f>
        <v>0</v>
      </c>
      <c r="AH141" s="688">
        <f ca="1">SUMIF('Budget-ACPL'!$A:$A,$A141,'Budget-ACPL'!AH:AH)+SUMIF('Budget-ACPLHK'!$A:$A,$A141,'Budget-ACPLHK'!AH:AH)+SUMIF('Budget-ACPSZL'!$A:$A,$A141,'Budget-ACPSZL'!AH:AH)+SUMIF('Budget-ACPLSZ'!$A:$A,$A141,'Budget-ACPLSZ'!AH:AH)+SUMIF('Budget-ACPLGZ'!$A:$A,$A141,'Budget-ACPLGZ'!AH:AH)+SUMIF('Budget-Yixing'!$A:$A,$A141,'Budget-Yixing'!AH:AH)</f>
        <v>0</v>
      </c>
      <c r="AI141" s="688">
        <f ca="1">SUMIF('Budget-ACPL'!$A:$A,$A141,'Budget-ACPL'!AI:AI)+SUMIF('Budget-ACPLHK'!$A:$A,$A141,'Budget-ACPLHK'!AI:AI)+SUMIF('Budget-ACPSZL'!$A:$A,$A141,'Budget-ACPSZL'!AI:AI)+SUMIF('Budget-ACPLSZ'!$A:$A,$A141,'Budget-ACPLSZ'!AI:AI)+SUMIF('Budget-ACPLGZ'!$A:$A,$A141,'Budget-ACPLGZ'!AI:AI)+SUMIF('Budget-Yixing'!$A:$A,$A141,'Budget-Yixing'!AI:AI)</f>
        <v>0</v>
      </c>
      <c r="AJ141" s="688">
        <f ca="1">SUMIF('Budget-ACPL'!$A:$A,$A141,'Budget-ACPL'!AJ:AJ)+SUMIF('Budget-ACPLHK'!$A:$A,$A141,'Budget-ACPLHK'!AJ:AJ)+SUMIF('Budget-ACPSZL'!$A:$A,$A141,'Budget-ACPSZL'!AJ:AJ)+SUMIF('Budget-ACPLSZ'!$A:$A,$A141,'Budget-ACPLSZ'!AJ:AJ)+SUMIF('Budget-ACPLGZ'!$A:$A,$A141,'Budget-ACPLGZ'!AJ:AJ)+SUMIF('Budget-Yixing'!$A:$A,$A141,'Budget-Yixing'!AJ:AJ)</f>
        <v>0</v>
      </c>
      <c r="AK141" s="688">
        <f t="shared" ca="1" si="43"/>
        <v>0</v>
      </c>
    </row>
    <row r="142" spans="1:37" ht="11.1" customHeight="1">
      <c r="A142" s="713" t="s">
        <v>1844</v>
      </c>
      <c r="B142" s="687" t="str">
        <f>VLOOKUP(A142,Account!A:B,2,0)</f>
        <v>服务费</v>
      </c>
      <c r="C142" s="687" t="str">
        <f>VLOOKUP(A142,Account!A:F,4,0)</f>
        <v>Professional Fee</v>
      </c>
      <c r="D142" s="676">
        <f t="shared" ca="1" si="38"/>
        <v>833.33333333333337</v>
      </c>
      <c r="E142" s="676" t="e">
        <f t="shared" si="39"/>
        <v>#N/A</v>
      </c>
      <c r="F142" s="676" t="e">
        <f t="shared" ca="1" si="37"/>
        <v>#N/A</v>
      </c>
      <c r="G142" s="676">
        <f t="shared" ca="1" si="40"/>
        <v>833.33333333333337</v>
      </c>
      <c r="H142" s="676" t="e">
        <f t="shared" ca="1" si="41"/>
        <v>#N/A</v>
      </c>
      <c r="I142" s="676" t="e">
        <f t="shared" ca="1" si="42"/>
        <v>#N/A</v>
      </c>
      <c r="K142" s="676">
        <f ca="1">SUMIF('Budget-ACPL'!$A:$A,$A142,'Budget-ACPL'!K:K)+SUMIF('Budget-ACPLHK'!$A:$A,$A142,'Budget-ACPLHK'!K:K)+SUMIF('Budget-ACPSZL'!$A:$A,$A142,'Budget-ACPSZL'!K:K)+SUMIF('Budget-ACPLSZ'!$A:$A,$A142,'Budget-ACPLSZ'!K:K)+SUMIF('Budget-ACPLGZ'!$A:$A,$A142,'Budget-ACPLGZ'!K:K)+SUMIF('Budget-Yixing'!$A:$A,$A142,'Budget-Yixing'!K:K)</f>
        <v>833.33333333333337</v>
      </c>
      <c r="L142" s="676">
        <f ca="1">SUMIF('Budget-ACPL'!$A:$A,$A142,'Budget-ACPL'!L:L)+SUMIF('Budget-ACPLHK'!$A:$A,$A142,'Budget-ACPLHK'!L:L)+SUMIF('Budget-ACPSZL'!$A:$A,$A142,'Budget-ACPSZL'!L:L)+SUMIF('Budget-ACPLSZ'!$A:$A,$A142,'Budget-ACPLSZ'!L:L)+SUMIF('Budget-ACPLGZ'!$A:$A,$A142,'Budget-ACPLGZ'!L:L)+SUMIF('Budget-Yixing'!$A:$A,$A142,'Budget-Yixing'!L:L)</f>
        <v>833.33333333333337</v>
      </c>
      <c r="M142" s="676">
        <f ca="1">SUMIF('Budget-ACPL'!$A:$A,$A142,'Budget-ACPL'!M:M)+SUMIF('Budget-ACPLHK'!$A:$A,$A142,'Budget-ACPLHK'!M:M)+SUMIF('Budget-ACPSZL'!$A:$A,$A142,'Budget-ACPSZL'!M:M)+SUMIF('Budget-ACPLSZ'!$A:$A,$A142,'Budget-ACPLSZ'!M:M)+SUMIF('Budget-ACPLGZ'!$A:$A,$A142,'Budget-ACPLGZ'!M:M)+SUMIF('Budget-Yixing'!$A:$A,$A142,'Budget-Yixing'!M:M)</f>
        <v>833.33333333333337</v>
      </c>
      <c r="N142" s="676">
        <f ca="1">SUMIF('Budget-ACPL'!$A:$A,$A142,'Budget-ACPL'!N:N)+SUMIF('Budget-ACPLHK'!$A:$A,$A142,'Budget-ACPLHK'!N:N)+SUMIF('Budget-ACPSZL'!$A:$A,$A142,'Budget-ACPSZL'!N:N)+SUMIF('Budget-ACPLSZ'!$A:$A,$A142,'Budget-ACPLSZ'!N:N)+SUMIF('Budget-ACPLGZ'!$A:$A,$A142,'Budget-ACPLGZ'!N:N)+SUMIF('Budget-Yixing'!$A:$A,$A142,'Budget-Yixing'!N:N)</f>
        <v>833.33333333333337</v>
      </c>
      <c r="O142" s="676">
        <f ca="1">SUMIF('Budget-ACPL'!$A:$A,$A142,'Budget-ACPL'!O:O)+SUMIF('Budget-ACPLHK'!$A:$A,$A142,'Budget-ACPLHK'!O:O)+SUMIF('Budget-ACPSZL'!$A:$A,$A142,'Budget-ACPSZL'!O:O)+SUMIF('Budget-ACPLSZ'!$A:$A,$A142,'Budget-ACPLSZ'!O:O)+SUMIF('Budget-ACPLGZ'!$A:$A,$A142,'Budget-ACPLGZ'!O:O)+SUMIF('Budget-Yixing'!$A:$A,$A142,'Budget-Yixing'!O:O)</f>
        <v>833.33333333333337</v>
      </c>
      <c r="P142" s="676">
        <f ca="1">SUMIF('Budget-ACPL'!$A:$A,$A142,'Budget-ACPL'!P:P)+SUMIF('Budget-ACPLHK'!$A:$A,$A142,'Budget-ACPLHK'!P:P)+SUMIF('Budget-ACPSZL'!$A:$A,$A142,'Budget-ACPSZL'!P:P)+SUMIF('Budget-ACPLSZ'!$A:$A,$A142,'Budget-ACPLSZ'!P:P)+SUMIF('Budget-ACPLGZ'!$A:$A,$A142,'Budget-ACPLGZ'!P:P)+SUMIF('Budget-Yixing'!$A:$A,$A142,'Budget-Yixing'!P:P)</f>
        <v>833.33333333333337</v>
      </c>
      <c r="Q142" s="676">
        <f ca="1">SUMIF('Budget-ACPL'!$A:$A,$A142,'Budget-ACPL'!Q:Q)+SUMIF('Budget-ACPLHK'!$A:$A,$A142,'Budget-ACPLHK'!Q:Q)+SUMIF('Budget-ACPSZL'!$A:$A,$A142,'Budget-ACPSZL'!Q:Q)+SUMIF('Budget-ACPLSZ'!$A:$A,$A142,'Budget-ACPLSZ'!Q:Q)+SUMIF('Budget-ACPLGZ'!$A:$A,$A142,'Budget-ACPLGZ'!Q:Q)+SUMIF('Budget-Yixing'!$A:$A,$A142,'Budget-Yixing'!Q:Q)</f>
        <v>2520</v>
      </c>
      <c r="R142" s="676">
        <f ca="1">SUMIF('Budget-ACPL'!$A:$A,$A142,'Budget-ACPL'!R:R)+SUMIF('Budget-ACPLHK'!$A:$A,$A142,'Budget-ACPLHK'!R:R)+SUMIF('Budget-ACPSZL'!$A:$A,$A142,'Budget-ACPSZL'!R:R)+SUMIF('Budget-ACPLSZ'!$A:$A,$A142,'Budget-ACPLSZ'!R:R)+SUMIF('Budget-ACPLGZ'!$A:$A,$A142,'Budget-ACPLGZ'!R:R)+SUMIF('Budget-Yixing'!$A:$A,$A142,'Budget-Yixing'!R:R)</f>
        <v>4200</v>
      </c>
      <c r="S142" s="676">
        <f ca="1">SUMIF('Budget-ACPL'!$A:$A,$A142,'Budget-ACPL'!S:S)+SUMIF('Budget-ACPLHK'!$A:$A,$A142,'Budget-ACPLHK'!S:S)+SUMIF('Budget-ACPSZL'!$A:$A,$A142,'Budget-ACPSZL'!S:S)+SUMIF('Budget-ACPLSZ'!$A:$A,$A142,'Budget-ACPLSZ'!S:S)+SUMIF('Budget-ACPLGZ'!$A:$A,$A142,'Budget-ACPLGZ'!S:S)+SUMIF('Budget-Yixing'!$A:$A,$A142,'Budget-Yixing'!S:S)</f>
        <v>2037.8820000000001</v>
      </c>
      <c r="T142" s="676">
        <f ca="1">SUMIF('Budget-ACPL'!$A:$A,$A142,'Budget-ACPL'!T:T)+SUMIF('Budget-ACPLHK'!$A:$A,$A142,'Budget-ACPLHK'!T:T)+SUMIF('Budget-ACPSZL'!$A:$A,$A142,'Budget-ACPSZL'!T:T)+SUMIF('Budget-ACPLSZ'!$A:$A,$A142,'Budget-ACPLSZ'!T:T)+SUMIF('Budget-ACPLGZ'!$A:$A,$A142,'Budget-ACPLGZ'!T:T)+SUMIF('Budget-Yixing'!$A:$A,$A142,'Budget-Yixing'!T:T)</f>
        <v>8151.5280000000002</v>
      </c>
      <c r="U142" s="676">
        <f ca="1">SUMIF('Budget-ACPL'!$A:$A,$A142,'Budget-ACPL'!U:U)+SUMIF('Budget-ACPLHK'!$A:$A,$A142,'Budget-ACPLHK'!U:U)+SUMIF('Budget-ACPSZL'!$A:$A,$A142,'Budget-ACPSZL'!U:U)+SUMIF('Budget-ACPLSZ'!$A:$A,$A142,'Budget-ACPLSZ'!U:U)+SUMIF('Budget-ACPLGZ'!$A:$A,$A142,'Budget-ACPLGZ'!U:U)+SUMIF('Budget-Yixing'!$A:$A,$A142,'Budget-Yixing'!U:U)</f>
        <v>0</v>
      </c>
      <c r="V142" s="676">
        <f ca="1">SUMIF('Budget-ACPL'!$A:$A,$A142,'Budget-ACPL'!V:V)+SUMIF('Budget-ACPLHK'!$A:$A,$A142,'Budget-ACPLHK'!V:V)+SUMIF('Budget-ACPSZL'!$A:$A,$A142,'Budget-ACPSZL'!V:V)+SUMIF('Budget-ACPLSZ'!$A:$A,$A142,'Budget-ACPLSZ'!V:V)+SUMIF('Budget-ACPLGZ'!$A:$A,$A142,'Budget-ACPLGZ'!V:V)+SUMIF('Budget-Yixing'!$A:$A,$A142,'Budget-Yixing'!V:V)</f>
        <v>53000</v>
      </c>
      <c r="W142" s="676">
        <f t="shared" ca="1" si="45"/>
        <v>74909.41</v>
      </c>
      <c r="Y142" s="688">
        <f ca="1">SUMIF('Budget-ACPL'!$A:$A,$A142,'Budget-ACPL'!Y:Y)+SUMIF('Budget-ACPLHK'!$A:$A,$A142,'Budget-ACPLHK'!Y:Y)+SUMIF('Budget-ACPSZL'!$A:$A,$A142,'Budget-ACPSZL'!Y:Y)+SUMIF('Budget-ACPLSZ'!$A:$A,$A142,'Budget-ACPLSZ'!Y:Y)+SUMIF('Budget-ACPLGZ'!$A:$A,$A142,'Budget-ACPLGZ'!Y:Y)+SUMIF('Budget-Yixing'!$A:$A,$A142,'Budget-Yixing'!Y:Y)</f>
        <v>0</v>
      </c>
      <c r="Z142" s="688">
        <f ca="1">SUMIF('Budget-ACPL'!$A:$A,$A142,'Budget-ACPL'!Z:Z)+SUMIF('Budget-ACPLHK'!$A:$A,$A142,'Budget-ACPLHK'!Z:Z)+SUMIF('Budget-ACPSZL'!$A:$A,$A142,'Budget-ACPSZL'!Z:Z)+SUMIF('Budget-ACPLSZ'!$A:$A,$A142,'Budget-ACPLSZ'!Z:Z)+SUMIF('Budget-ACPLGZ'!$A:$A,$A142,'Budget-ACPLGZ'!Z:Z)+SUMIF('Budget-Yixing'!$A:$A,$A142,'Budget-Yixing'!Z:Z)</f>
        <v>0</v>
      </c>
      <c r="AA142" s="688">
        <f ca="1">SUMIF('Budget-ACPL'!$A:$A,$A142,'Budget-ACPL'!AA:AA)+SUMIF('Budget-ACPLHK'!$A:$A,$A142,'Budget-ACPLHK'!AA:AA)+SUMIF('Budget-ACPSZL'!$A:$A,$A142,'Budget-ACPSZL'!AA:AA)+SUMIF('Budget-ACPLSZ'!$A:$A,$A142,'Budget-ACPLSZ'!AA:AA)+SUMIF('Budget-ACPLGZ'!$A:$A,$A142,'Budget-ACPLGZ'!AA:AA)+SUMIF('Budget-Yixing'!$A:$A,$A142,'Budget-Yixing'!AA:AA)</f>
        <v>33366.04</v>
      </c>
      <c r="AB142" s="688">
        <f ca="1">SUMIF('Budget-ACPL'!$A:$A,$A142,'Budget-ACPL'!AB:AB)+SUMIF('Budget-ACPLHK'!$A:$A,$A142,'Budget-ACPLHK'!AB:AB)+SUMIF('Budget-ACPSZL'!$A:$A,$A142,'Budget-ACPSZL'!AB:AB)+SUMIF('Budget-ACPLSZ'!$A:$A,$A142,'Budget-ACPLSZ'!AB:AB)+SUMIF('Budget-ACPLGZ'!$A:$A,$A142,'Budget-ACPLGZ'!AB:AB)+SUMIF('Budget-Yixing'!$A:$A,$A142,'Budget-Yixing'!AB:AB)</f>
        <v>0</v>
      </c>
      <c r="AC142" s="688">
        <f ca="1">SUMIF('Budget-ACPL'!$A:$A,$A142,'Budget-ACPL'!AC:AC)+SUMIF('Budget-ACPLHK'!$A:$A,$A142,'Budget-ACPLHK'!AC:AC)+SUMIF('Budget-ACPSZL'!$A:$A,$A142,'Budget-ACPSZL'!AC:AC)+SUMIF('Budget-ACPLSZ'!$A:$A,$A142,'Budget-ACPLSZ'!AC:AC)+SUMIF('Budget-ACPLGZ'!$A:$A,$A142,'Budget-ACPLGZ'!AC:AC)+SUMIF('Budget-Yixing'!$A:$A,$A142,'Budget-Yixing'!AC:AC)</f>
        <v>0</v>
      </c>
      <c r="AD142" s="688">
        <f ca="1">SUMIF('Budget-ACPL'!$A:$A,$A142,'Budget-ACPL'!AD:AD)+SUMIF('Budget-ACPLHK'!$A:$A,$A142,'Budget-ACPLHK'!AD:AD)+SUMIF('Budget-ACPSZL'!$A:$A,$A142,'Budget-ACPSZL'!AD:AD)+SUMIF('Budget-ACPLSZ'!$A:$A,$A142,'Budget-ACPLSZ'!AD:AD)+SUMIF('Budget-ACPLGZ'!$A:$A,$A142,'Budget-ACPLGZ'!AD:AD)+SUMIF('Budget-Yixing'!$A:$A,$A142,'Budget-Yixing'!AD:AD)</f>
        <v>0</v>
      </c>
      <c r="AE142" s="688">
        <f ca="1">SUMIF('Budget-ACPL'!$A:$A,$A142,'Budget-ACPL'!AE:AE)+SUMIF('Budget-ACPLHK'!$A:$A,$A142,'Budget-ACPLHK'!AE:AE)+SUMIF('Budget-ACPSZL'!$A:$A,$A142,'Budget-ACPSZL'!AE:AE)+SUMIF('Budget-ACPLSZ'!$A:$A,$A142,'Budget-ACPLSZ'!AE:AE)+SUMIF('Budget-ACPLGZ'!$A:$A,$A142,'Budget-ACPLGZ'!AE:AE)+SUMIF('Budget-Yixing'!$A:$A,$A142,'Budget-Yixing'!AE:AE)</f>
        <v>3564.36</v>
      </c>
      <c r="AF142" s="688">
        <f ca="1">SUMIF('Budget-ACPL'!$A:$A,$A142,'Budget-ACPL'!AF:AF)+SUMIF('Budget-ACPLHK'!$A:$A,$A142,'Budget-ACPLHK'!AF:AF)+SUMIF('Budget-ACPSZL'!$A:$A,$A142,'Budget-ACPSZL'!AF:AF)+SUMIF('Budget-ACPLSZ'!$A:$A,$A142,'Budget-ACPLSZ'!AF:AF)+SUMIF('Budget-ACPLGZ'!$A:$A,$A142,'Budget-ACPLGZ'!AF:AF)+SUMIF('Budget-Yixing'!$A:$A,$A142,'Budget-Yixing'!AF:AF)</f>
        <v>0</v>
      </c>
      <c r="AG142" s="688">
        <f ca="1">SUMIF('Budget-ACPL'!$A:$A,$A142,'Budget-ACPL'!AG:AG)+SUMIF('Budget-ACPLHK'!$A:$A,$A142,'Budget-ACPLHK'!AG:AG)+SUMIF('Budget-ACPSZL'!$A:$A,$A142,'Budget-ACPSZL'!AG:AG)+SUMIF('Budget-ACPLSZ'!$A:$A,$A142,'Budget-ACPLSZ'!AG:AG)+SUMIF('Budget-ACPLGZ'!$A:$A,$A142,'Budget-ACPLGZ'!AG:AG)+SUMIF('Budget-Yixing'!$A:$A,$A142,'Budget-Yixing'!AG:AG)</f>
        <v>120000</v>
      </c>
      <c r="AH142" s="688">
        <f ca="1">SUMIF('Budget-ACPL'!$A:$A,$A142,'Budget-ACPL'!AH:AH)+SUMIF('Budget-ACPLHK'!$A:$A,$A142,'Budget-ACPLHK'!AH:AH)+SUMIF('Budget-ACPSZL'!$A:$A,$A142,'Budget-ACPSZL'!AH:AH)+SUMIF('Budget-ACPLSZ'!$A:$A,$A142,'Budget-ACPLSZ'!AH:AH)+SUMIF('Budget-ACPLGZ'!$A:$A,$A142,'Budget-ACPLGZ'!AH:AH)+SUMIF('Budget-Yixing'!$A:$A,$A142,'Budget-Yixing'!AH:AH)</f>
        <v>80000</v>
      </c>
      <c r="AI142" s="688">
        <f ca="1">SUMIF('Budget-ACPL'!$A:$A,$A142,'Budget-ACPL'!AI:AI)+SUMIF('Budget-ACPLHK'!$A:$A,$A142,'Budget-ACPLHK'!AI:AI)+SUMIF('Budget-ACPSZL'!$A:$A,$A142,'Budget-ACPSZL'!AI:AI)+SUMIF('Budget-ACPLSZ'!$A:$A,$A142,'Budget-ACPLSZ'!AI:AI)+SUMIF('Budget-ACPLGZ'!$A:$A,$A142,'Budget-ACPLGZ'!AI:AI)+SUMIF('Budget-Yixing'!$A:$A,$A142,'Budget-Yixing'!AI:AI)</f>
        <v>80000</v>
      </c>
      <c r="AJ142" s="688">
        <f ca="1">SUMIF('Budget-ACPL'!$A:$A,$A142,'Budget-ACPL'!AJ:AJ)+SUMIF('Budget-ACPLHK'!$A:$A,$A142,'Budget-ACPLHK'!AJ:AJ)+SUMIF('Budget-ACPSZL'!$A:$A,$A142,'Budget-ACPSZL'!AJ:AJ)+SUMIF('Budget-ACPLSZ'!$A:$A,$A142,'Budget-ACPLSZ'!AJ:AJ)+SUMIF('Budget-ACPLGZ'!$A:$A,$A142,'Budget-ACPLGZ'!AJ:AJ)+SUMIF('Budget-Yixing'!$A:$A,$A142,'Budget-Yixing'!AJ:AJ)</f>
        <v>80000</v>
      </c>
      <c r="AK142" s="688">
        <f t="shared" ca="1" si="43"/>
        <v>396930.4</v>
      </c>
    </row>
    <row r="143" spans="1:37" ht="11.1" hidden="1" customHeight="1">
      <c r="A143" s="713" t="s">
        <v>1849</v>
      </c>
      <c r="B143" s="687" t="str">
        <f>VLOOKUP(A143,Account!A:B,2,0)</f>
        <v>董事会费</v>
      </c>
      <c r="C143" s="687" t="str">
        <f>VLOOKUP(A143,Account!A:F,4,0)</f>
        <v>Internal ACP Meeting</v>
      </c>
      <c r="D143" s="676">
        <f t="shared" ca="1" si="38"/>
        <v>0</v>
      </c>
      <c r="E143" s="676" t="e">
        <f t="shared" si="39"/>
        <v>#N/A</v>
      </c>
      <c r="F143" s="676" t="e">
        <f t="shared" ca="1" si="37"/>
        <v>#N/A</v>
      </c>
      <c r="G143" s="676">
        <f t="shared" ca="1" si="40"/>
        <v>0</v>
      </c>
      <c r="H143" s="676" t="e">
        <f t="shared" ca="1" si="41"/>
        <v>#N/A</v>
      </c>
      <c r="I143" s="676" t="e">
        <f t="shared" ca="1" si="42"/>
        <v>#N/A</v>
      </c>
      <c r="K143" s="676">
        <f ca="1">SUMIF('Budget-ACPL'!$A:$A,$A143,'Budget-ACPL'!K:K)+SUMIF('Budget-ACPLHK'!$A:$A,$A143,'Budget-ACPLHK'!K:K)+SUMIF('Budget-ACPSZL'!$A:$A,$A143,'Budget-ACPSZL'!K:K)+SUMIF('Budget-ACPLSZ'!$A:$A,$A143,'Budget-ACPLSZ'!K:K)+SUMIF('Budget-ACPLGZ'!$A:$A,$A143,'Budget-ACPLGZ'!K:K)+SUMIF('Budget-Yixing'!$A:$A,$A143,'Budget-Yixing'!K:K)</f>
        <v>0</v>
      </c>
      <c r="L143" s="676">
        <f ca="1">SUMIF('Budget-ACPL'!$A:$A,$A143,'Budget-ACPL'!L:L)+SUMIF('Budget-ACPLHK'!$A:$A,$A143,'Budget-ACPLHK'!L:L)+SUMIF('Budget-ACPSZL'!$A:$A,$A143,'Budget-ACPSZL'!L:L)+SUMIF('Budget-ACPLSZ'!$A:$A,$A143,'Budget-ACPLSZ'!L:L)+SUMIF('Budget-ACPLGZ'!$A:$A,$A143,'Budget-ACPLGZ'!L:L)+SUMIF('Budget-Yixing'!$A:$A,$A143,'Budget-Yixing'!L:L)</f>
        <v>0</v>
      </c>
      <c r="M143" s="676">
        <f ca="1">SUMIF('Budget-ACPL'!$A:$A,$A143,'Budget-ACPL'!M:M)+SUMIF('Budget-ACPLHK'!$A:$A,$A143,'Budget-ACPLHK'!M:M)+SUMIF('Budget-ACPSZL'!$A:$A,$A143,'Budget-ACPSZL'!M:M)+SUMIF('Budget-ACPLSZ'!$A:$A,$A143,'Budget-ACPLSZ'!M:M)+SUMIF('Budget-ACPLGZ'!$A:$A,$A143,'Budget-ACPLGZ'!M:M)+SUMIF('Budget-Yixing'!$A:$A,$A143,'Budget-Yixing'!M:M)</f>
        <v>0</v>
      </c>
      <c r="N143" s="676">
        <f ca="1">SUMIF('Budget-ACPL'!$A:$A,$A143,'Budget-ACPL'!N:N)+SUMIF('Budget-ACPLHK'!$A:$A,$A143,'Budget-ACPLHK'!N:N)+SUMIF('Budget-ACPSZL'!$A:$A,$A143,'Budget-ACPSZL'!N:N)+SUMIF('Budget-ACPLSZ'!$A:$A,$A143,'Budget-ACPLSZ'!N:N)+SUMIF('Budget-ACPLGZ'!$A:$A,$A143,'Budget-ACPLGZ'!N:N)+SUMIF('Budget-Yixing'!$A:$A,$A143,'Budget-Yixing'!N:N)</f>
        <v>0</v>
      </c>
      <c r="O143" s="676">
        <f ca="1">SUMIF('Budget-ACPL'!$A:$A,$A143,'Budget-ACPL'!O:O)+SUMIF('Budget-ACPLHK'!$A:$A,$A143,'Budget-ACPLHK'!O:O)+SUMIF('Budget-ACPSZL'!$A:$A,$A143,'Budget-ACPSZL'!O:O)+SUMIF('Budget-ACPLSZ'!$A:$A,$A143,'Budget-ACPLSZ'!O:O)+SUMIF('Budget-ACPLGZ'!$A:$A,$A143,'Budget-ACPLGZ'!O:O)+SUMIF('Budget-Yixing'!$A:$A,$A143,'Budget-Yixing'!O:O)</f>
        <v>0</v>
      </c>
      <c r="P143" s="676">
        <f ca="1">SUMIF('Budget-ACPL'!$A:$A,$A143,'Budget-ACPL'!P:P)+SUMIF('Budget-ACPLHK'!$A:$A,$A143,'Budget-ACPLHK'!P:P)+SUMIF('Budget-ACPSZL'!$A:$A,$A143,'Budget-ACPSZL'!P:P)+SUMIF('Budget-ACPLSZ'!$A:$A,$A143,'Budget-ACPLSZ'!P:P)+SUMIF('Budget-ACPLGZ'!$A:$A,$A143,'Budget-ACPLGZ'!P:P)+SUMIF('Budget-Yixing'!$A:$A,$A143,'Budget-Yixing'!P:P)</f>
        <v>0</v>
      </c>
      <c r="Q143" s="676">
        <f ca="1">SUMIF('Budget-ACPL'!$A:$A,$A143,'Budget-ACPL'!Q:Q)+SUMIF('Budget-ACPLHK'!$A:$A,$A143,'Budget-ACPLHK'!Q:Q)+SUMIF('Budget-ACPSZL'!$A:$A,$A143,'Budget-ACPSZL'!Q:Q)+SUMIF('Budget-ACPLSZ'!$A:$A,$A143,'Budget-ACPLSZ'!Q:Q)+SUMIF('Budget-ACPLGZ'!$A:$A,$A143,'Budget-ACPLGZ'!Q:Q)+SUMIF('Budget-Yixing'!$A:$A,$A143,'Budget-Yixing'!Q:Q)</f>
        <v>0</v>
      </c>
      <c r="R143" s="676">
        <f ca="1">SUMIF('Budget-ACPL'!$A:$A,$A143,'Budget-ACPL'!R:R)+SUMIF('Budget-ACPLHK'!$A:$A,$A143,'Budget-ACPLHK'!R:R)+SUMIF('Budget-ACPSZL'!$A:$A,$A143,'Budget-ACPSZL'!R:R)+SUMIF('Budget-ACPLSZ'!$A:$A,$A143,'Budget-ACPLSZ'!R:R)+SUMIF('Budget-ACPLGZ'!$A:$A,$A143,'Budget-ACPLGZ'!R:R)+SUMIF('Budget-Yixing'!$A:$A,$A143,'Budget-Yixing'!R:R)</f>
        <v>0</v>
      </c>
      <c r="S143" s="676">
        <f ca="1">SUMIF('Budget-ACPL'!$A:$A,$A143,'Budget-ACPL'!S:S)+SUMIF('Budget-ACPLHK'!$A:$A,$A143,'Budget-ACPLHK'!S:S)+SUMIF('Budget-ACPSZL'!$A:$A,$A143,'Budget-ACPSZL'!S:S)+SUMIF('Budget-ACPLSZ'!$A:$A,$A143,'Budget-ACPLSZ'!S:S)+SUMIF('Budget-ACPLGZ'!$A:$A,$A143,'Budget-ACPLGZ'!S:S)+SUMIF('Budget-Yixing'!$A:$A,$A143,'Budget-Yixing'!S:S)</f>
        <v>0</v>
      </c>
      <c r="T143" s="676">
        <f ca="1">SUMIF('Budget-ACPL'!$A:$A,$A143,'Budget-ACPL'!T:T)+SUMIF('Budget-ACPLHK'!$A:$A,$A143,'Budget-ACPLHK'!T:T)+SUMIF('Budget-ACPSZL'!$A:$A,$A143,'Budget-ACPSZL'!T:T)+SUMIF('Budget-ACPLSZ'!$A:$A,$A143,'Budget-ACPLSZ'!T:T)+SUMIF('Budget-ACPLGZ'!$A:$A,$A143,'Budget-ACPLGZ'!T:T)+SUMIF('Budget-Yixing'!$A:$A,$A143,'Budget-Yixing'!T:T)</f>
        <v>0</v>
      </c>
      <c r="U143" s="676">
        <f ca="1">SUMIF('Budget-ACPL'!$A:$A,$A143,'Budget-ACPL'!U:U)+SUMIF('Budget-ACPLHK'!$A:$A,$A143,'Budget-ACPLHK'!U:U)+SUMIF('Budget-ACPSZL'!$A:$A,$A143,'Budget-ACPSZL'!U:U)+SUMIF('Budget-ACPLSZ'!$A:$A,$A143,'Budget-ACPLSZ'!U:U)+SUMIF('Budget-ACPLGZ'!$A:$A,$A143,'Budget-ACPLGZ'!U:U)+SUMIF('Budget-Yixing'!$A:$A,$A143,'Budget-Yixing'!U:U)</f>
        <v>0</v>
      </c>
      <c r="V143" s="676">
        <f ca="1">SUMIF('Budget-ACPL'!$A:$A,$A143,'Budget-ACPL'!V:V)+SUMIF('Budget-ACPLHK'!$A:$A,$A143,'Budget-ACPLHK'!V:V)+SUMIF('Budget-ACPSZL'!$A:$A,$A143,'Budget-ACPSZL'!V:V)+SUMIF('Budget-ACPLSZ'!$A:$A,$A143,'Budget-ACPLSZ'!V:V)+SUMIF('Budget-ACPLGZ'!$A:$A,$A143,'Budget-ACPLGZ'!V:V)+SUMIF('Budget-Yixing'!$A:$A,$A143,'Budget-Yixing'!V:V)</f>
        <v>0</v>
      </c>
      <c r="W143" s="676">
        <f t="shared" ca="1" si="45"/>
        <v>0</v>
      </c>
      <c r="Y143" s="688">
        <f ca="1">SUMIF('Budget-ACPL'!$A:$A,$A143,'Budget-ACPL'!Y:Y)+SUMIF('Budget-ACPLHK'!$A:$A,$A143,'Budget-ACPLHK'!Y:Y)+SUMIF('Budget-ACPSZL'!$A:$A,$A143,'Budget-ACPSZL'!Y:Y)+SUMIF('Budget-ACPLSZ'!$A:$A,$A143,'Budget-ACPLSZ'!Y:Y)+SUMIF('Budget-ACPLGZ'!$A:$A,$A143,'Budget-ACPLGZ'!Y:Y)+SUMIF('Budget-Yixing'!$A:$A,$A143,'Budget-Yixing'!Y:Y)</f>
        <v>0</v>
      </c>
      <c r="Z143" s="688">
        <f ca="1">SUMIF('Budget-ACPL'!$A:$A,$A143,'Budget-ACPL'!Z:Z)+SUMIF('Budget-ACPLHK'!$A:$A,$A143,'Budget-ACPLHK'!Z:Z)+SUMIF('Budget-ACPSZL'!$A:$A,$A143,'Budget-ACPSZL'!Z:Z)+SUMIF('Budget-ACPLSZ'!$A:$A,$A143,'Budget-ACPLSZ'!Z:Z)+SUMIF('Budget-ACPLGZ'!$A:$A,$A143,'Budget-ACPLGZ'!Z:Z)+SUMIF('Budget-Yixing'!$A:$A,$A143,'Budget-Yixing'!Z:Z)</f>
        <v>0</v>
      </c>
      <c r="AA143" s="688">
        <f ca="1">SUMIF('Budget-ACPL'!$A:$A,$A143,'Budget-ACPL'!AA:AA)+SUMIF('Budget-ACPLHK'!$A:$A,$A143,'Budget-ACPLHK'!AA:AA)+SUMIF('Budget-ACPSZL'!$A:$A,$A143,'Budget-ACPSZL'!AA:AA)+SUMIF('Budget-ACPLSZ'!$A:$A,$A143,'Budget-ACPLSZ'!AA:AA)+SUMIF('Budget-ACPLGZ'!$A:$A,$A143,'Budget-ACPLGZ'!AA:AA)+SUMIF('Budget-Yixing'!$A:$A,$A143,'Budget-Yixing'!AA:AA)</f>
        <v>0</v>
      </c>
      <c r="AB143" s="688">
        <f ca="1">SUMIF('Budget-ACPL'!$A:$A,$A143,'Budget-ACPL'!AB:AB)+SUMIF('Budget-ACPLHK'!$A:$A,$A143,'Budget-ACPLHK'!AB:AB)+SUMIF('Budget-ACPSZL'!$A:$A,$A143,'Budget-ACPSZL'!AB:AB)+SUMIF('Budget-ACPLSZ'!$A:$A,$A143,'Budget-ACPLSZ'!AB:AB)+SUMIF('Budget-ACPLGZ'!$A:$A,$A143,'Budget-ACPLGZ'!AB:AB)+SUMIF('Budget-Yixing'!$A:$A,$A143,'Budget-Yixing'!AB:AB)</f>
        <v>0</v>
      </c>
      <c r="AC143" s="688">
        <f ca="1">SUMIF('Budget-ACPL'!$A:$A,$A143,'Budget-ACPL'!AC:AC)+SUMIF('Budget-ACPLHK'!$A:$A,$A143,'Budget-ACPLHK'!AC:AC)+SUMIF('Budget-ACPSZL'!$A:$A,$A143,'Budget-ACPSZL'!AC:AC)+SUMIF('Budget-ACPLSZ'!$A:$A,$A143,'Budget-ACPLSZ'!AC:AC)+SUMIF('Budget-ACPLGZ'!$A:$A,$A143,'Budget-ACPLGZ'!AC:AC)+SUMIF('Budget-Yixing'!$A:$A,$A143,'Budget-Yixing'!AC:AC)</f>
        <v>0</v>
      </c>
      <c r="AD143" s="688">
        <f ca="1">SUMIF('Budget-ACPL'!$A:$A,$A143,'Budget-ACPL'!AD:AD)+SUMIF('Budget-ACPLHK'!$A:$A,$A143,'Budget-ACPLHK'!AD:AD)+SUMIF('Budget-ACPSZL'!$A:$A,$A143,'Budget-ACPSZL'!AD:AD)+SUMIF('Budget-ACPLSZ'!$A:$A,$A143,'Budget-ACPLSZ'!AD:AD)+SUMIF('Budget-ACPLGZ'!$A:$A,$A143,'Budget-ACPLGZ'!AD:AD)+SUMIF('Budget-Yixing'!$A:$A,$A143,'Budget-Yixing'!AD:AD)</f>
        <v>0</v>
      </c>
      <c r="AE143" s="688">
        <f ca="1">SUMIF('Budget-ACPL'!$A:$A,$A143,'Budget-ACPL'!AE:AE)+SUMIF('Budget-ACPLHK'!$A:$A,$A143,'Budget-ACPLHK'!AE:AE)+SUMIF('Budget-ACPSZL'!$A:$A,$A143,'Budget-ACPSZL'!AE:AE)+SUMIF('Budget-ACPLSZ'!$A:$A,$A143,'Budget-ACPLSZ'!AE:AE)+SUMIF('Budget-ACPLGZ'!$A:$A,$A143,'Budget-ACPLGZ'!AE:AE)+SUMIF('Budget-Yixing'!$A:$A,$A143,'Budget-Yixing'!AE:AE)</f>
        <v>0</v>
      </c>
      <c r="AF143" s="688">
        <f ca="1">SUMIF('Budget-ACPL'!$A:$A,$A143,'Budget-ACPL'!AF:AF)+SUMIF('Budget-ACPLHK'!$A:$A,$A143,'Budget-ACPLHK'!AF:AF)+SUMIF('Budget-ACPSZL'!$A:$A,$A143,'Budget-ACPSZL'!AF:AF)+SUMIF('Budget-ACPLSZ'!$A:$A,$A143,'Budget-ACPLSZ'!AF:AF)+SUMIF('Budget-ACPLGZ'!$A:$A,$A143,'Budget-ACPLGZ'!AF:AF)+SUMIF('Budget-Yixing'!$A:$A,$A143,'Budget-Yixing'!AF:AF)</f>
        <v>0</v>
      </c>
      <c r="AG143" s="688">
        <f ca="1">SUMIF('Budget-ACPL'!$A:$A,$A143,'Budget-ACPL'!AG:AG)+SUMIF('Budget-ACPLHK'!$A:$A,$A143,'Budget-ACPLHK'!AG:AG)+SUMIF('Budget-ACPSZL'!$A:$A,$A143,'Budget-ACPSZL'!AG:AG)+SUMIF('Budget-ACPLSZ'!$A:$A,$A143,'Budget-ACPLSZ'!AG:AG)+SUMIF('Budget-ACPLGZ'!$A:$A,$A143,'Budget-ACPLGZ'!AG:AG)+SUMIF('Budget-Yixing'!$A:$A,$A143,'Budget-Yixing'!AG:AG)</f>
        <v>0</v>
      </c>
      <c r="AH143" s="688">
        <f ca="1">SUMIF('Budget-ACPL'!$A:$A,$A143,'Budget-ACPL'!AH:AH)+SUMIF('Budget-ACPLHK'!$A:$A,$A143,'Budget-ACPLHK'!AH:AH)+SUMIF('Budget-ACPSZL'!$A:$A,$A143,'Budget-ACPSZL'!AH:AH)+SUMIF('Budget-ACPLSZ'!$A:$A,$A143,'Budget-ACPLSZ'!AH:AH)+SUMIF('Budget-ACPLGZ'!$A:$A,$A143,'Budget-ACPLGZ'!AH:AH)+SUMIF('Budget-Yixing'!$A:$A,$A143,'Budget-Yixing'!AH:AH)</f>
        <v>0</v>
      </c>
      <c r="AI143" s="688">
        <f ca="1">SUMIF('Budget-ACPL'!$A:$A,$A143,'Budget-ACPL'!AI:AI)+SUMIF('Budget-ACPLHK'!$A:$A,$A143,'Budget-ACPLHK'!AI:AI)+SUMIF('Budget-ACPSZL'!$A:$A,$A143,'Budget-ACPSZL'!AI:AI)+SUMIF('Budget-ACPLSZ'!$A:$A,$A143,'Budget-ACPLSZ'!AI:AI)+SUMIF('Budget-ACPLGZ'!$A:$A,$A143,'Budget-ACPLGZ'!AI:AI)+SUMIF('Budget-Yixing'!$A:$A,$A143,'Budget-Yixing'!AI:AI)</f>
        <v>0</v>
      </c>
      <c r="AJ143" s="688">
        <f ca="1">SUMIF('Budget-ACPL'!$A:$A,$A143,'Budget-ACPL'!AJ:AJ)+SUMIF('Budget-ACPLHK'!$A:$A,$A143,'Budget-ACPLHK'!AJ:AJ)+SUMIF('Budget-ACPSZL'!$A:$A,$A143,'Budget-ACPSZL'!AJ:AJ)+SUMIF('Budget-ACPLSZ'!$A:$A,$A143,'Budget-ACPLSZ'!AJ:AJ)+SUMIF('Budget-ACPLGZ'!$A:$A,$A143,'Budget-ACPLGZ'!AJ:AJ)+SUMIF('Budget-Yixing'!$A:$A,$A143,'Budget-Yixing'!AJ:AJ)</f>
        <v>0</v>
      </c>
      <c r="AK143" s="688">
        <f t="shared" ca="1" si="43"/>
        <v>0</v>
      </c>
    </row>
    <row r="144" spans="1:37" ht="11.1" hidden="1" customHeight="1">
      <c r="A144" s="713" t="s">
        <v>1854</v>
      </c>
      <c r="B144" s="687" t="str">
        <f>VLOOKUP(A144,Account!A:B,2,0)</f>
        <v>聘请中介机构费</v>
      </c>
      <c r="C144" s="687">
        <f>VLOOKUP(A144,Account!A:F,4,0)</f>
        <v>0</v>
      </c>
      <c r="D144" s="676">
        <f t="shared" ca="1" si="38"/>
        <v>0</v>
      </c>
      <c r="E144" s="676" t="e">
        <f t="shared" si="39"/>
        <v>#N/A</v>
      </c>
      <c r="F144" s="676" t="e">
        <f t="shared" ca="1" si="37"/>
        <v>#N/A</v>
      </c>
      <c r="G144" s="676">
        <f t="shared" ca="1" si="40"/>
        <v>0</v>
      </c>
      <c r="H144" s="676" t="e">
        <f t="shared" ca="1" si="41"/>
        <v>#N/A</v>
      </c>
      <c r="I144" s="676" t="e">
        <f t="shared" ca="1" si="42"/>
        <v>#N/A</v>
      </c>
      <c r="K144" s="676">
        <f ca="1">SUMIF('Budget-ACPL'!$A:$A,$A144,'Budget-ACPL'!K:K)+SUMIF('Budget-ACPLHK'!$A:$A,$A144,'Budget-ACPLHK'!K:K)+SUMIF('Budget-ACPSZL'!$A:$A,$A144,'Budget-ACPSZL'!K:K)+SUMIF('Budget-ACPLSZ'!$A:$A,$A144,'Budget-ACPLSZ'!K:K)+SUMIF('Budget-ACPLGZ'!$A:$A,$A144,'Budget-ACPLGZ'!K:K)+SUMIF('Budget-Yixing'!$A:$A,$A144,'Budget-Yixing'!K:K)</f>
        <v>0</v>
      </c>
      <c r="L144" s="676">
        <f ca="1">SUMIF('Budget-ACPL'!$A:$A,$A144,'Budget-ACPL'!L:L)+SUMIF('Budget-ACPLHK'!$A:$A,$A144,'Budget-ACPLHK'!L:L)+SUMIF('Budget-ACPSZL'!$A:$A,$A144,'Budget-ACPSZL'!L:L)+SUMIF('Budget-ACPLSZ'!$A:$A,$A144,'Budget-ACPLSZ'!L:L)+SUMIF('Budget-ACPLGZ'!$A:$A,$A144,'Budget-ACPLGZ'!L:L)+SUMIF('Budget-Yixing'!$A:$A,$A144,'Budget-Yixing'!L:L)</f>
        <v>0</v>
      </c>
      <c r="M144" s="676">
        <f ca="1">SUMIF('Budget-ACPL'!$A:$A,$A144,'Budget-ACPL'!M:M)+SUMIF('Budget-ACPLHK'!$A:$A,$A144,'Budget-ACPLHK'!M:M)+SUMIF('Budget-ACPSZL'!$A:$A,$A144,'Budget-ACPSZL'!M:M)+SUMIF('Budget-ACPLSZ'!$A:$A,$A144,'Budget-ACPLSZ'!M:M)+SUMIF('Budget-ACPLGZ'!$A:$A,$A144,'Budget-ACPLGZ'!M:M)+SUMIF('Budget-Yixing'!$A:$A,$A144,'Budget-Yixing'!M:M)</f>
        <v>0</v>
      </c>
      <c r="N144" s="676">
        <f ca="1">SUMIF('Budget-ACPL'!$A:$A,$A144,'Budget-ACPL'!N:N)+SUMIF('Budget-ACPLHK'!$A:$A,$A144,'Budget-ACPLHK'!N:N)+SUMIF('Budget-ACPSZL'!$A:$A,$A144,'Budget-ACPSZL'!N:N)+SUMIF('Budget-ACPLSZ'!$A:$A,$A144,'Budget-ACPLSZ'!N:N)+SUMIF('Budget-ACPLGZ'!$A:$A,$A144,'Budget-ACPLGZ'!N:N)+SUMIF('Budget-Yixing'!$A:$A,$A144,'Budget-Yixing'!N:N)</f>
        <v>0</v>
      </c>
      <c r="O144" s="676">
        <f ca="1">SUMIF('Budget-ACPL'!$A:$A,$A144,'Budget-ACPL'!O:O)+SUMIF('Budget-ACPLHK'!$A:$A,$A144,'Budget-ACPLHK'!O:O)+SUMIF('Budget-ACPSZL'!$A:$A,$A144,'Budget-ACPSZL'!O:O)+SUMIF('Budget-ACPLSZ'!$A:$A,$A144,'Budget-ACPLSZ'!O:O)+SUMIF('Budget-ACPLGZ'!$A:$A,$A144,'Budget-ACPLGZ'!O:O)+SUMIF('Budget-Yixing'!$A:$A,$A144,'Budget-Yixing'!O:O)</f>
        <v>0</v>
      </c>
      <c r="P144" s="676">
        <f ca="1">SUMIF('Budget-ACPL'!$A:$A,$A144,'Budget-ACPL'!P:P)+SUMIF('Budget-ACPLHK'!$A:$A,$A144,'Budget-ACPLHK'!P:P)+SUMIF('Budget-ACPSZL'!$A:$A,$A144,'Budget-ACPSZL'!P:P)+SUMIF('Budget-ACPLSZ'!$A:$A,$A144,'Budget-ACPLSZ'!P:P)+SUMIF('Budget-ACPLGZ'!$A:$A,$A144,'Budget-ACPLGZ'!P:P)+SUMIF('Budget-Yixing'!$A:$A,$A144,'Budget-Yixing'!P:P)</f>
        <v>0</v>
      </c>
      <c r="Q144" s="676">
        <f ca="1">SUMIF('Budget-ACPL'!$A:$A,$A144,'Budget-ACPL'!Q:Q)+SUMIF('Budget-ACPLHK'!$A:$A,$A144,'Budget-ACPLHK'!Q:Q)+SUMIF('Budget-ACPSZL'!$A:$A,$A144,'Budget-ACPSZL'!Q:Q)+SUMIF('Budget-ACPLSZ'!$A:$A,$A144,'Budget-ACPLSZ'!Q:Q)+SUMIF('Budget-ACPLGZ'!$A:$A,$A144,'Budget-ACPLGZ'!Q:Q)+SUMIF('Budget-Yixing'!$A:$A,$A144,'Budget-Yixing'!Q:Q)</f>
        <v>0</v>
      </c>
      <c r="R144" s="676">
        <f ca="1">SUMIF('Budget-ACPL'!$A:$A,$A144,'Budget-ACPL'!R:R)+SUMIF('Budget-ACPLHK'!$A:$A,$A144,'Budget-ACPLHK'!R:R)+SUMIF('Budget-ACPSZL'!$A:$A,$A144,'Budget-ACPSZL'!R:R)+SUMIF('Budget-ACPLSZ'!$A:$A,$A144,'Budget-ACPLSZ'!R:R)+SUMIF('Budget-ACPLGZ'!$A:$A,$A144,'Budget-ACPLGZ'!R:R)+SUMIF('Budget-Yixing'!$A:$A,$A144,'Budget-Yixing'!R:R)</f>
        <v>0</v>
      </c>
      <c r="S144" s="676">
        <f ca="1">SUMIF('Budget-ACPL'!$A:$A,$A144,'Budget-ACPL'!S:S)+SUMIF('Budget-ACPLHK'!$A:$A,$A144,'Budget-ACPLHK'!S:S)+SUMIF('Budget-ACPSZL'!$A:$A,$A144,'Budget-ACPSZL'!S:S)+SUMIF('Budget-ACPLSZ'!$A:$A,$A144,'Budget-ACPLSZ'!S:S)+SUMIF('Budget-ACPLGZ'!$A:$A,$A144,'Budget-ACPLGZ'!S:S)+SUMIF('Budget-Yixing'!$A:$A,$A144,'Budget-Yixing'!S:S)</f>
        <v>0</v>
      </c>
      <c r="T144" s="676">
        <f ca="1">SUMIF('Budget-ACPL'!$A:$A,$A144,'Budget-ACPL'!T:T)+SUMIF('Budget-ACPLHK'!$A:$A,$A144,'Budget-ACPLHK'!T:T)+SUMIF('Budget-ACPSZL'!$A:$A,$A144,'Budget-ACPSZL'!T:T)+SUMIF('Budget-ACPLSZ'!$A:$A,$A144,'Budget-ACPLSZ'!T:T)+SUMIF('Budget-ACPLGZ'!$A:$A,$A144,'Budget-ACPLGZ'!T:T)+SUMIF('Budget-Yixing'!$A:$A,$A144,'Budget-Yixing'!T:T)</f>
        <v>0</v>
      </c>
      <c r="U144" s="676">
        <f ca="1">SUMIF('Budget-ACPL'!$A:$A,$A144,'Budget-ACPL'!U:U)+SUMIF('Budget-ACPLHK'!$A:$A,$A144,'Budget-ACPLHK'!U:U)+SUMIF('Budget-ACPSZL'!$A:$A,$A144,'Budget-ACPSZL'!U:U)+SUMIF('Budget-ACPLSZ'!$A:$A,$A144,'Budget-ACPLSZ'!U:U)+SUMIF('Budget-ACPLGZ'!$A:$A,$A144,'Budget-ACPLGZ'!U:U)+SUMIF('Budget-Yixing'!$A:$A,$A144,'Budget-Yixing'!U:U)</f>
        <v>0</v>
      </c>
      <c r="V144" s="676">
        <f ca="1">SUMIF('Budget-ACPL'!$A:$A,$A144,'Budget-ACPL'!V:V)+SUMIF('Budget-ACPLHK'!$A:$A,$A144,'Budget-ACPLHK'!V:V)+SUMIF('Budget-ACPSZL'!$A:$A,$A144,'Budget-ACPSZL'!V:V)+SUMIF('Budget-ACPLSZ'!$A:$A,$A144,'Budget-ACPLSZ'!V:V)+SUMIF('Budget-ACPLGZ'!$A:$A,$A144,'Budget-ACPLGZ'!V:V)+SUMIF('Budget-Yixing'!$A:$A,$A144,'Budget-Yixing'!V:V)</f>
        <v>0</v>
      </c>
      <c r="W144" s="676">
        <f t="shared" ca="1" si="45"/>
        <v>0</v>
      </c>
      <c r="Y144" s="688">
        <f ca="1">SUMIF('Budget-ACPL'!$A:$A,$A144,'Budget-ACPL'!Y:Y)+SUMIF('Budget-ACPLHK'!$A:$A,$A144,'Budget-ACPLHK'!Y:Y)+SUMIF('Budget-ACPSZL'!$A:$A,$A144,'Budget-ACPSZL'!Y:Y)+SUMIF('Budget-ACPLSZ'!$A:$A,$A144,'Budget-ACPLSZ'!Y:Y)+SUMIF('Budget-ACPLGZ'!$A:$A,$A144,'Budget-ACPLGZ'!Y:Y)+SUMIF('Budget-Yixing'!$A:$A,$A144,'Budget-Yixing'!Y:Y)</f>
        <v>0</v>
      </c>
      <c r="Z144" s="688">
        <f ca="1">SUMIF('Budget-ACPL'!$A:$A,$A144,'Budget-ACPL'!Z:Z)+SUMIF('Budget-ACPLHK'!$A:$A,$A144,'Budget-ACPLHK'!Z:Z)+SUMIF('Budget-ACPSZL'!$A:$A,$A144,'Budget-ACPSZL'!Z:Z)+SUMIF('Budget-ACPLSZ'!$A:$A,$A144,'Budget-ACPLSZ'!Z:Z)+SUMIF('Budget-ACPLGZ'!$A:$A,$A144,'Budget-ACPLGZ'!Z:Z)+SUMIF('Budget-Yixing'!$A:$A,$A144,'Budget-Yixing'!Z:Z)</f>
        <v>0</v>
      </c>
      <c r="AA144" s="688">
        <f ca="1">SUMIF('Budget-ACPL'!$A:$A,$A144,'Budget-ACPL'!AA:AA)+SUMIF('Budget-ACPLHK'!$A:$A,$A144,'Budget-ACPLHK'!AA:AA)+SUMIF('Budget-ACPSZL'!$A:$A,$A144,'Budget-ACPSZL'!AA:AA)+SUMIF('Budget-ACPLSZ'!$A:$A,$A144,'Budget-ACPLSZ'!AA:AA)+SUMIF('Budget-ACPLGZ'!$A:$A,$A144,'Budget-ACPLGZ'!AA:AA)+SUMIF('Budget-Yixing'!$A:$A,$A144,'Budget-Yixing'!AA:AA)</f>
        <v>0</v>
      </c>
      <c r="AB144" s="688">
        <f ca="1">SUMIF('Budget-ACPL'!$A:$A,$A144,'Budget-ACPL'!AB:AB)+SUMIF('Budget-ACPLHK'!$A:$A,$A144,'Budget-ACPLHK'!AB:AB)+SUMIF('Budget-ACPSZL'!$A:$A,$A144,'Budget-ACPSZL'!AB:AB)+SUMIF('Budget-ACPLSZ'!$A:$A,$A144,'Budget-ACPLSZ'!AB:AB)+SUMIF('Budget-ACPLGZ'!$A:$A,$A144,'Budget-ACPLGZ'!AB:AB)+SUMIF('Budget-Yixing'!$A:$A,$A144,'Budget-Yixing'!AB:AB)</f>
        <v>0</v>
      </c>
      <c r="AC144" s="688">
        <f ca="1">SUMIF('Budget-ACPL'!$A:$A,$A144,'Budget-ACPL'!AC:AC)+SUMIF('Budget-ACPLHK'!$A:$A,$A144,'Budget-ACPLHK'!AC:AC)+SUMIF('Budget-ACPSZL'!$A:$A,$A144,'Budget-ACPSZL'!AC:AC)+SUMIF('Budget-ACPLSZ'!$A:$A,$A144,'Budget-ACPLSZ'!AC:AC)+SUMIF('Budget-ACPLGZ'!$A:$A,$A144,'Budget-ACPLGZ'!AC:AC)+SUMIF('Budget-Yixing'!$A:$A,$A144,'Budget-Yixing'!AC:AC)</f>
        <v>0</v>
      </c>
      <c r="AD144" s="688">
        <f ca="1">SUMIF('Budget-ACPL'!$A:$A,$A144,'Budget-ACPL'!AD:AD)+SUMIF('Budget-ACPLHK'!$A:$A,$A144,'Budget-ACPLHK'!AD:AD)+SUMIF('Budget-ACPSZL'!$A:$A,$A144,'Budget-ACPSZL'!AD:AD)+SUMIF('Budget-ACPLSZ'!$A:$A,$A144,'Budget-ACPLSZ'!AD:AD)+SUMIF('Budget-ACPLGZ'!$A:$A,$A144,'Budget-ACPLGZ'!AD:AD)+SUMIF('Budget-Yixing'!$A:$A,$A144,'Budget-Yixing'!AD:AD)</f>
        <v>0</v>
      </c>
      <c r="AE144" s="688">
        <f ca="1">SUMIF('Budget-ACPL'!$A:$A,$A144,'Budget-ACPL'!AE:AE)+SUMIF('Budget-ACPLHK'!$A:$A,$A144,'Budget-ACPLHK'!AE:AE)+SUMIF('Budget-ACPSZL'!$A:$A,$A144,'Budget-ACPSZL'!AE:AE)+SUMIF('Budget-ACPLSZ'!$A:$A,$A144,'Budget-ACPLSZ'!AE:AE)+SUMIF('Budget-ACPLGZ'!$A:$A,$A144,'Budget-ACPLGZ'!AE:AE)+SUMIF('Budget-Yixing'!$A:$A,$A144,'Budget-Yixing'!AE:AE)</f>
        <v>0</v>
      </c>
      <c r="AF144" s="688">
        <f ca="1">SUMIF('Budget-ACPL'!$A:$A,$A144,'Budget-ACPL'!AF:AF)+SUMIF('Budget-ACPLHK'!$A:$A,$A144,'Budget-ACPLHK'!AF:AF)+SUMIF('Budget-ACPSZL'!$A:$A,$A144,'Budget-ACPSZL'!AF:AF)+SUMIF('Budget-ACPLSZ'!$A:$A,$A144,'Budget-ACPLSZ'!AF:AF)+SUMIF('Budget-ACPLGZ'!$A:$A,$A144,'Budget-ACPLGZ'!AF:AF)+SUMIF('Budget-Yixing'!$A:$A,$A144,'Budget-Yixing'!AF:AF)</f>
        <v>0</v>
      </c>
      <c r="AG144" s="688">
        <f ca="1">SUMIF('Budget-ACPL'!$A:$A,$A144,'Budget-ACPL'!AG:AG)+SUMIF('Budget-ACPLHK'!$A:$A,$A144,'Budget-ACPLHK'!AG:AG)+SUMIF('Budget-ACPSZL'!$A:$A,$A144,'Budget-ACPSZL'!AG:AG)+SUMIF('Budget-ACPLSZ'!$A:$A,$A144,'Budget-ACPLSZ'!AG:AG)+SUMIF('Budget-ACPLGZ'!$A:$A,$A144,'Budget-ACPLGZ'!AG:AG)+SUMIF('Budget-Yixing'!$A:$A,$A144,'Budget-Yixing'!AG:AG)</f>
        <v>0</v>
      </c>
      <c r="AH144" s="688">
        <f ca="1">SUMIF('Budget-ACPL'!$A:$A,$A144,'Budget-ACPL'!AH:AH)+SUMIF('Budget-ACPLHK'!$A:$A,$A144,'Budget-ACPLHK'!AH:AH)+SUMIF('Budget-ACPSZL'!$A:$A,$A144,'Budget-ACPSZL'!AH:AH)+SUMIF('Budget-ACPLSZ'!$A:$A,$A144,'Budget-ACPLSZ'!AH:AH)+SUMIF('Budget-ACPLGZ'!$A:$A,$A144,'Budget-ACPLGZ'!AH:AH)+SUMIF('Budget-Yixing'!$A:$A,$A144,'Budget-Yixing'!AH:AH)</f>
        <v>0</v>
      </c>
      <c r="AI144" s="688">
        <f ca="1">SUMIF('Budget-ACPL'!$A:$A,$A144,'Budget-ACPL'!AI:AI)+SUMIF('Budget-ACPLHK'!$A:$A,$A144,'Budget-ACPLHK'!AI:AI)+SUMIF('Budget-ACPSZL'!$A:$A,$A144,'Budget-ACPSZL'!AI:AI)+SUMIF('Budget-ACPLSZ'!$A:$A,$A144,'Budget-ACPLSZ'!AI:AI)+SUMIF('Budget-ACPLGZ'!$A:$A,$A144,'Budget-ACPLGZ'!AI:AI)+SUMIF('Budget-Yixing'!$A:$A,$A144,'Budget-Yixing'!AI:AI)</f>
        <v>0</v>
      </c>
      <c r="AJ144" s="688">
        <f ca="1">SUMIF('Budget-ACPL'!$A:$A,$A144,'Budget-ACPL'!AJ:AJ)+SUMIF('Budget-ACPLHK'!$A:$A,$A144,'Budget-ACPLHK'!AJ:AJ)+SUMIF('Budget-ACPSZL'!$A:$A,$A144,'Budget-ACPSZL'!AJ:AJ)+SUMIF('Budget-ACPLSZ'!$A:$A,$A144,'Budget-ACPLSZ'!AJ:AJ)+SUMIF('Budget-ACPLGZ'!$A:$A,$A144,'Budget-ACPLGZ'!AJ:AJ)+SUMIF('Budget-Yixing'!$A:$A,$A144,'Budget-Yixing'!AJ:AJ)</f>
        <v>0</v>
      </c>
      <c r="AK144" s="688">
        <f t="shared" ca="1" si="43"/>
        <v>0</v>
      </c>
    </row>
    <row r="145" spans="1:37" ht="11.1" hidden="1" customHeight="1">
      <c r="A145" s="713" t="s">
        <v>1858</v>
      </c>
      <c r="B145" s="687" t="str">
        <f>VLOOKUP(A145,Account!A:B,2,0)</f>
        <v>存货盘亏或盘盈</v>
      </c>
      <c r="C145" s="687">
        <f>VLOOKUP(A145,Account!A:F,4,0)</f>
        <v>0</v>
      </c>
      <c r="D145" s="676">
        <f t="shared" ca="1" si="38"/>
        <v>0</v>
      </c>
      <c r="E145" s="676" t="e">
        <f t="shared" si="39"/>
        <v>#N/A</v>
      </c>
      <c r="F145" s="676" t="e">
        <f t="shared" ca="1" si="37"/>
        <v>#N/A</v>
      </c>
      <c r="G145" s="676">
        <f t="shared" ca="1" si="40"/>
        <v>0</v>
      </c>
      <c r="H145" s="676" t="e">
        <f t="shared" ca="1" si="41"/>
        <v>#N/A</v>
      </c>
      <c r="I145" s="676" t="e">
        <f t="shared" ca="1" si="42"/>
        <v>#N/A</v>
      </c>
      <c r="K145" s="676">
        <f ca="1">SUMIF('Budget-ACPL'!$A:$A,$A145,'Budget-ACPL'!K:K)+SUMIF('Budget-ACPLHK'!$A:$A,$A145,'Budget-ACPLHK'!K:K)+SUMIF('Budget-ACPSZL'!$A:$A,$A145,'Budget-ACPSZL'!K:K)+SUMIF('Budget-ACPLSZ'!$A:$A,$A145,'Budget-ACPLSZ'!K:K)+SUMIF('Budget-ACPLGZ'!$A:$A,$A145,'Budget-ACPLGZ'!K:K)+SUMIF('Budget-Yixing'!$A:$A,$A145,'Budget-Yixing'!K:K)</f>
        <v>0</v>
      </c>
      <c r="L145" s="676">
        <f ca="1">SUMIF('Budget-ACPL'!$A:$A,$A145,'Budget-ACPL'!L:L)+SUMIF('Budget-ACPLHK'!$A:$A,$A145,'Budget-ACPLHK'!L:L)+SUMIF('Budget-ACPSZL'!$A:$A,$A145,'Budget-ACPSZL'!L:L)+SUMIF('Budget-ACPLSZ'!$A:$A,$A145,'Budget-ACPLSZ'!L:L)+SUMIF('Budget-ACPLGZ'!$A:$A,$A145,'Budget-ACPLGZ'!L:L)+SUMIF('Budget-Yixing'!$A:$A,$A145,'Budget-Yixing'!L:L)</f>
        <v>0</v>
      </c>
      <c r="M145" s="676">
        <f ca="1">SUMIF('Budget-ACPL'!$A:$A,$A145,'Budget-ACPL'!M:M)+SUMIF('Budget-ACPLHK'!$A:$A,$A145,'Budget-ACPLHK'!M:M)+SUMIF('Budget-ACPSZL'!$A:$A,$A145,'Budget-ACPSZL'!M:M)+SUMIF('Budget-ACPLSZ'!$A:$A,$A145,'Budget-ACPLSZ'!M:M)+SUMIF('Budget-ACPLGZ'!$A:$A,$A145,'Budget-ACPLGZ'!M:M)+SUMIF('Budget-Yixing'!$A:$A,$A145,'Budget-Yixing'!M:M)</f>
        <v>0</v>
      </c>
      <c r="N145" s="676">
        <f ca="1">SUMIF('Budget-ACPL'!$A:$A,$A145,'Budget-ACPL'!N:N)+SUMIF('Budget-ACPLHK'!$A:$A,$A145,'Budget-ACPLHK'!N:N)+SUMIF('Budget-ACPSZL'!$A:$A,$A145,'Budget-ACPSZL'!N:N)+SUMIF('Budget-ACPLSZ'!$A:$A,$A145,'Budget-ACPLSZ'!N:N)+SUMIF('Budget-ACPLGZ'!$A:$A,$A145,'Budget-ACPLGZ'!N:N)+SUMIF('Budget-Yixing'!$A:$A,$A145,'Budget-Yixing'!N:N)</f>
        <v>0</v>
      </c>
      <c r="O145" s="676">
        <f ca="1">SUMIF('Budget-ACPL'!$A:$A,$A145,'Budget-ACPL'!O:O)+SUMIF('Budget-ACPLHK'!$A:$A,$A145,'Budget-ACPLHK'!O:O)+SUMIF('Budget-ACPSZL'!$A:$A,$A145,'Budget-ACPSZL'!O:O)+SUMIF('Budget-ACPLSZ'!$A:$A,$A145,'Budget-ACPLSZ'!O:O)+SUMIF('Budget-ACPLGZ'!$A:$A,$A145,'Budget-ACPLGZ'!O:O)+SUMIF('Budget-Yixing'!$A:$A,$A145,'Budget-Yixing'!O:O)</f>
        <v>0</v>
      </c>
      <c r="P145" s="676">
        <f ca="1">SUMIF('Budget-ACPL'!$A:$A,$A145,'Budget-ACPL'!P:P)+SUMIF('Budget-ACPLHK'!$A:$A,$A145,'Budget-ACPLHK'!P:P)+SUMIF('Budget-ACPSZL'!$A:$A,$A145,'Budget-ACPSZL'!P:P)+SUMIF('Budget-ACPLSZ'!$A:$A,$A145,'Budget-ACPLSZ'!P:P)+SUMIF('Budget-ACPLGZ'!$A:$A,$A145,'Budget-ACPLGZ'!P:P)+SUMIF('Budget-Yixing'!$A:$A,$A145,'Budget-Yixing'!P:P)</f>
        <v>0</v>
      </c>
      <c r="Q145" s="676">
        <f ca="1">SUMIF('Budget-ACPL'!$A:$A,$A145,'Budget-ACPL'!Q:Q)+SUMIF('Budget-ACPLHK'!$A:$A,$A145,'Budget-ACPLHK'!Q:Q)+SUMIF('Budget-ACPSZL'!$A:$A,$A145,'Budget-ACPSZL'!Q:Q)+SUMIF('Budget-ACPLSZ'!$A:$A,$A145,'Budget-ACPLSZ'!Q:Q)+SUMIF('Budget-ACPLGZ'!$A:$A,$A145,'Budget-ACPLGZ'!Q:Q)+SUMIF('Budget-Yixing'!$A:$A,$A145,'Budget-Yixing'!Q:Q)</f>
        <v>0</v>
      </c>
      <c r="R145" s="676">
        <f ca="1">SUMIF('Budget-ACPL'!$A:$A,$A145,'Budget-ACPL'!R:R)+SUMIF('Budget-ACPLHK'!$A:$A,$A145,'Budget-ACPLHK'!R:R)+SUMIF('Budget-ACPSZL'!$A:$A,$A145,'Budget-ACPSZL'!R:R)+SUMIF('Budget-ACPLSZ'!$A:$A,$A145,'Budget-ACPLSZ'!R:R)+SUMIF('Budget-ACPLGZ'!$A:$A,$A145,'Budget-ACPLGZ'!R:R)+SUMIF('Budget-Yixing'!$A:$A,$A145,'Budget-Yixing'!R:R)</f>
        <v>0</v>
      </c>
      <c r="S145" s="676">
        <f ca="1">SUMIF('Budget-ACPL'!$A:$A,$A145,'Budget-ACPL'!S:S)+SUMIF('Budget-ACPLHK'!$A:$A,$A145,'Budget-ACPLHK'!S:S)+SUMIF('Budget-ACPSZL'!$A:$A,$A145,'Budget-ACPSZL'!S:S)+SUMIF('Budget-ACPLSZ'!$A:$A,$A145,'Budget-ACPLSZ'!S:S)+SUMIF('Budget-ACPLGZ'!$A:$A,$A145,'Budget-ACPLGZ'!S:S)+SUMIF('Budget-Yixing'!$A:$A,$A145,'Budget-Yixing'!S:S)</f>
        <v>0</v>
      </c>
      <c r="T145" s="676">
        <f ca="1">SUMIF('Budget-ACPL'!$A:$A,$A145,'Budget-ACPL'!T:T)+SUMIF('Budget-ACPLHK'!$A:$A,$A145,'Budget-ACPLHK'!T:T)+SUMIF('Budget-ACPSZL'!$A:$A,$A145,'Budget-ACPSZL'!T:T)+SUMIF('Budget-ACPLSZ'!$A:$A,$A145,'Budget-ACPLSZ'!T:T)+SUMIF('Budget-ACPLGZ'!$A:$A,$A145,'Budget-ACPLGZ'!T:T)+SUMIF('Budget-Yixing'!$A:$A,$A145,'Budget-Yixing'!T:T)</f>
        <v>0</v>
      </c>
      <c r="U145" s="676">
        <f ca="1">SUMIF('Budget-ACPL'!$A:$A,$A145,'Budget-ACPL'!U:U)+SUMIF('Budget-ACPLHK'!$A:$A,$A145,'Budget-ACPLHK'!U:U)+SUMIF('Budget-ACPSZL'!$A:$A,$A145,'Budget-ACPSZL'!U:U)+SUMIF('Budget-ACPLSZ'!$A:$A,$A145,'Budget-ACPLSZ'!U:U)+SUMIF('Budget-ACPLGZ'!$A:$A,$A145,'Budget-ACPLGZ'!U:U)+SUMIF('Budget-Yixing'!$A:$A,$A145,'Budget-Yixing'!U:U)</f>
        <v>0</v>
      </c>
      <c r="V145" s="676">
        <f ca="1">SUMIF('Budget-ACPL'!$A:$A,$A145,'Budget-ACPL'!V:V)+SUMIF('Budget-ACPLHK'!$A:$A,$A145,'Budget-ACPLHK'!V:V)+SUMIF('Budget-ACPSZL'!$A:$A,$A145,'Budget-ACPSZL'!V:V)+SUMIF('Budget-ACPLSZ'!$A:$A,$A145,'Budget-ACPLSZ'!V:V)+SUMIF('Budget-ACPLGZ'!$A:$A,$A145,'Budget-ACPLGZ'!V:V)+SUMIF('Budget-Yixing'!$A:$A,$A145,'Budget-Yixing'!V:V)</f>
        <v>0</v>
      </c>
      <c r="W145" s="676">
        <f t="shared" ca="1" si="45"/>
        <v>0</v>
      </c>
      <c r="Y145" s="688">
        <f ca="1">SUMIF('Budget-ACPL'!$A:$A,$A145,'Budget-ACPL'!Y:Y)+SUMIF('Budget-ACPLHK'!$A:$A,$A145,'Budget-ACPLHK'!Y:Y)+SUMIF('Budget-ACPSZL'!$A:$A,$A145,'Budget-ACPSZL'!Y:Y)+SUMIF('Budget-ACPLSZ'!$A:$A,$A145,'Budget-ACPLSZ'!Y:Y)+SUMIF('Budget-ACPLGZ'!$A:$A,$A145,'Budget-ACPLGZ'!Y:Y)+SUMIF('Budget-Yixing'!$A:$A,$A145,'Budget-Yixing'!Y:Y)</f>
        <v>0</v>
      </c>
      <c r="Z145" s="688">
        <f ca="1">SUMIF('Budget-ACPL'!$A:$A,$A145,'Budget-ACPL'!Z:Z)+SUMIF('Budget-ACPLHK'!$A:$A,$A145,'Budget-ACPLHK'!Z:Z)+SUMIF('Budget-ACPSZL'!$A:$A,$A145,'Budget-ACPSZL'!Z:Z)+SUMIF('Budget-ACPLSZ'!$A:$A,$A145,'Budget-ACPLSZ'!Z:Z)+SUMIF('Budget-ACPLGZ'!$A:$A,$A145,'Budget-ACPLGZ'!Z:Z)+SUMIF('Budget-Yixing'!$A:$A,$A145,'Budget-Yixing'!Z:Z)</f>
        <v>0</v>
      </c>
      <c r="AA145" s="688">
        <f ca="1">SUMIF('Budget-ACPL'!$A:$A,$A145,'Budget-ACPL'!AA:AA)+SUMIF('Budget-ACPLHK'!$A:$A,$A145,'Budget-ACPLHK'!AA:AA)+SUMIF('Budget-ACPSZL'!$A:$A,$A145,'Budget-ACPSZL'!AA:AA)+SUMIF('Budget-ACPLSZ'!$A:$A,$A145,'Budget-ACPLSZ'!AA:AA)+SUMIF('Budget-ACPLGZ'!$A:$A,$A145,'Budget-ACPLGZ'!AA:AA)+SUMIF('Budget-Yixing'!$A:$A,$A145,'Budget-Yixing'!AA:AA)</f>
        <v>0</v>
      </c>
      <c r="AB145" s="688">
        <f ca="1">SUMIF('Budget-ACPL'!$A:$A,$A145,'Budget-ACPL'!AB:AB)+SUMIF('Budget-ACPLHK'!$A:$A,$A145,'Budget-ACPLHK'!AB:AB)+SUMIF('Budget-ACPSZL'!$A:$A,$A145,'Budget-ACPSZL'!AB:AB)+SUMIF('Budget-ACPLSZ'!$A:$A,$A145,'Budget-ACPLSZ'!AB:AB)+SUMIF('Budget-ACPLGZ'!$A:$A,$A145,'Budget-ACPLGZ'!AB:AB)+SUMIF('Budget-Yixing'!$A:$A,$A145,'Budget-Yixing'!AB:AB)</f>
        <v>0</v>
      </c>
      <c r="AC145" s="688">
        <f ca="1">SUMIF('Budget-ACPL'!$A:$A,$A145,'Budget-ACPL'!AC:AC)+SUMIF('Budget-ACPLHK'!$A:$A,$A145,'Budget-ACPLHK'!AC:AC)+SUMIF('Budget-ACPSZL'!$A:$A,$A145,'Budget-ACPSZL'!AC:AC)+SUMIF('Budget-ACPLSZ'!$A:$A,$A145,'Budget-ACPLSZ'!AC:AC)+SUMIF('Budget-ACPLGZ'!$A:$A,$A145,'Budget-ACPLGZ'!AC:AC)+SUMIF('Budget-Yixing'!$A:$A,$A145,'Budget-Yixing'!AC:AC)</f>
        <v>0</v>
      </c>
      <c r="AD145" s="688">
        <f ca="1">SUMIF('Budget-ACPL'!$A:$A,$A145,'Budget-ACPL'!AD:AD)+SUMIF('Budget-ACPLHK'!$A:$A,$A145,'Budget-ACPLHK'!AD:AD)+SUMIF('Budget-ACPSZL'!$A:$A,$A145,'Budget-ACPSZL'!AD:AD)+SUMIF('Budget-ACPLSZ'!$A:$A,$A145,'Budget-ACPLSZ'!AD:AD)+SUMIF('Budget-ACPLGZ'!$A:$A,$A145,'Budget-ACPLGZ'!AD:AD)+SUMIF('Budget-Yixing'!$A:$A,$A145,'Budget-Yixing'!AD:AD)</f>
        <v>0</v>
      </c>
      <c r="AE145" s="688">
        <f ca="1">SUMIF('Budget-ACPL'!$A:$A,$A145,'Budget-ACPL'!AE:AE)+SUMIF('Budget-ACPLHK'!$A:$A,$A145,'Budget-ACPLHK'!AE:AE)+SUMIF('Budget-ACPSZL'!$A:$A,$A145,'Budget-ACPSZL'!AE:AE)+SUMIF('Budget-ACPLSZ'!$A:$A,$A145,'Budget-ACPLSZ'!AE:AE)+SUMIF('Budget-ACPLGZ'!$A:$A,$A145,'Budget-ACPLGZ'!AE:AE)+SUMIF('Budget-Yixing'!$A:$A,$A145,'Budget-Yixing'!AE:AE)</f>
        <v>0</v>
      </c>
      <c r="AF145" s="688">
        <f ca="1">SUMIF('Budget-ACPL'!$A:$A,$A145,'Budget-ACPL'!AF:AF)+SUMIF('Budget-ACPLHK'!$A:$A,$A145,'Budget-ACPLHK'!AF:AF)+SUMIF('Budget-ACPSZL'!$A:$A,$A145,'Budget-ACPSZL'!AF:AF)+SUMIF('Budget-ACPLSZ'!$A:$A,$A145,'Budget-ACPLSZ'!AF:AF)+SUMIF('Budget-ACPLGZ'!$A:$A,$A145,'Budget-ACPLGZ'!AF:AF)+SUMIF('Budget-Yixing'!$A:$A,$A145,'Budget-Yixing'!AF:AF)</f>
        <v>0</v>
      </c>
      <c r="AG145" s="688">
        <f ca="1">SUMIF('Budget-ACPL'!$A:$A,$A145,'Budget-ACPL'!AG:AG)+SUMIF('Budget-ACPLHK'!$A:$A,$A145,'Budget-ACPLHK'!AG:AG)+SUMIF('Budget-ACPSZL'!$A:$A,$A145,'Budget-ACPSZL'!AG:AG)+SUMIF('Budget-ACPLSZ'!$A:$A,$A145,'Budget-ACPLSZ'!AG:AG)+SUMIF('Budget-ACPLGZ'!$A:$A,$A145,'Budget-ACPLGZ'!AG:AG)+SUMIF('Budget-Yixing'!$A:$A,$A145,'Budget-Yixing'!AG:AG)</f>
        <v>0</v>
      </c>
      <c r="AH145" s="688">
        <f ca="1">SUMIF('Budget-ACPL'!$A:$A,$A145,'Budget-ACPL'!AH:AH)+SUMIF('Budget-ACPLHK'!$A:$A,$A145,'Budget-ACPLHK'!AH:AH)+SUMIF('Budget-ACPSZL'!$A:$A,$A145,'Budget-ACPSZL'!AH:AH)+SUMIF('Budget-ACPLSZ'!$A:$A,$A145,'Budget-ACPLSZ'!AH:AH)+SUMIF('Budget-ACPLGZ'!$A:$A,$A145,'Budget-ACPLGZ'!AH:AH)+SUMIF('Budget-Yixing'!$A:$A,$A145,'Budget-Yixing'!AH:AH)</f>
        <v>0</v>
      </c>
      <c r="AI145" s="688">
        <f ca="1">SUMIF('Budget-ACPL'!$A:$A,$A145,'Budget-ACPL'!AI:AI)+SUMIF('Budget-ACPLHK'!$A:$A,$A145,'Budget-ACPLHK'!AI:AI)+SUMIF('Budget-ACPSZL'!$A:$A,$A145,'Budget-ACPSZL'!AI:AI)+SUMIF('Budget-ACPLSZ'!$A:$A,$A145,'Budget-ACPLSZ'!AI:AI)+SUMIF('Budget-ACPLGZ'!$A:$A,$A145,'Budget-ACPLGZ'!AI:AI)+SUMIF('Budget-Yixing'!$A:$A,$A145,'Budget-Yixing'!AI:AI)</f>
        <v>0</v>
      </c>
      <c r="AJ145" s="688">
        <f ca="1">SUMIF('Budget-ACPL'!$A:$A,$A145,'Budget-ACPL'!AJ:AJ)+SUMIF('Budget-ACPLHK'!$A:$A,$A145,'Budget-ACPLHK'!AJ:AJ)+SUMIF('Budget-ACPSZL'!$A:$A,$A145,'Budget-ACPSZL'!AJ:AJ)+SUMIF('Budget-ACPLSZ'!$A:$A,$A145,'Budget-ACPLSZ'!AJ:AJ)+SUMIF('Budget-ACPLGZ'!$A:$A,$A145,'Budget-ACPLGZ'!AJ:AJ)+SUMIF('Budget-Yixing'!$A:$A,$A145,'Budget-Yixing'!AJ:AJ)</f>
        <v>0</v>
      </c>
      <c r="AK145" s="688">
        <f t="shared" ca="1" si="43"/>
        <v>0</v>
      </c>
    </row>
    <row r="146" spans="1:37" ht="11.1" customHeight="1">
      <c r="A146" s="713" t="s">
        <v>1862</v>
      </c>
      <c r="B146" s="687" t="str">
        <f>VLOOKUP(A146,Account!A:B,2,0)</f>
        <v>会费（公司）</v>
      </c>
      <c r="C146" s="687" t="str">
        <f>VLOOKUP(A146,Account!A:F,4,0)</f>
        <v>Membership Fee</v>
      </c>
      <c r="D146" s="676">
        <f t="shared" ca="1" si="38"/>
        <v>0</v>
      </c>
      <c r="E146" s="676" t="e">
        <f t="shared" si="39"/>
        <v>#N/A</v>
      </c>
      <c r="F146" s="676" t="e">
        <f t="shared" ca="1" si="37"/>
        <v>#N/A</v>
      </c>
      <c r="G146" s="676">
        <f t="shared" ca="1" si="40"/>
        <v>0</v>
      </c>
      <c r="H146" s="676" t="e">
        <f t="shared" ca="1" si="41"/>
        <v>#N/A</v>
      </c>
      <c r="I146" s="676" t="e">
        <f t="shared" ca="1" si="42"/>
        <v>#N/A</v>
      </c>
      <c r="K146" s="676">
        <f ca="1">SUMIF('Budget-ACPL'!$A:$A,$A146,'Budget-ACPL'!K:K)+SUMIF('Budget-ACPLHK'!$A:$A,$A146,'Budget-ACPLHK'!K:K)+SUMIF('Budget-ACPSZL'!$A:$A,$A146,'Budget-ACPSZL'!K:K)+SUMIF('Budget-ACPLSZ'!$A:$A,$A146,'Budget-ACPLSZ'!K:K)+SUMIF('Budget-ACPLGZ'!$A:$A,$A146,'Budget-ACPLGZ'!K:K)+SUMIF('Budget-Yixing'!$A:$A,$A146,'Budget-Yixing'!K:K)</f>
        <v>0</v>
      </c>
      <c r="L146" s="676">
        <f ca="1">SUMIF('Budget-ACPL'!$A:$A,$A146,'Budget-ACPL'!L:L)+SUMIF('Budget-ACPLHK'!$A:$A,$A146,'Budget-ACPLHK'!L:L)+SUMIF('Budget-ACPSZL'!$A:$A,$A146,'Budget-ACPSZL'!L:L)+SUMIF('Budget-ACPLSZ'!$A:$A,$A146,'Budget-ACPLSZ'!L:L)+SUMIF('Budget-ACPLGZ'!$A:$A,$A146,'Budget-ACPLGZ'!L:L)+SUMIF('Budget-Yixing'!$A:$A,$A146,'Budget-Yixing'!L:L)</f>
        <v>10000</v>
      </c>
      <c r="M146" s="676">
        <f ca="1">SUMIF('Budget-ACPL'!$A:$A,$A146,'Budget-ACPL'!M:M)+SUMIF('Budget-ACPLHK'!$A:$A,$A146,'Budget-ACPLHK'!M:M)+SUMIF('Budget-ACPSZL'!$A:$A,$A146,'Budget-ACPSZL'!M:M)+SUMIF('Budget-ACPLSZ'!$A:$A,$A146,'Budget-ACPLSZ'!M:M)+SUMIF('Budget-ACPLGZ'!$A:$A,$A146,'Budget-ACPLGZ'!M:M)+SUMIF('Budget-Yixing'!$A:$A,$A146,'Budget-Yixing'!M:M)</f>
        <v>0</v>
      </c>
      <c r="N146" s="676">
        <f ca="1">SUMIF('Budget-ACPL'!$A:$A,$A146,'Budget-ACPL'!N:N)+SUMIF('Budget-ACPLHK'!$A:$A,$A146,'Budget-ACPLHK'!N:N)+SUMIF('Budget-ACPSZL'!$A:$A,$A146,'Budget-ACPSZL'!N:N)+SUMIF('Budget-ACPLSZ'!$A:$A,$A146,'Budget-ACPLSZ'!N:N)+SUMIF('Budget-ACPLGZ'!$A:$A,$A146,'Budget-ACPLGZ'!N:N)+SUMIF('Budget-Yixing'!$A:$A,$A146,'Budget-Yixing'!N:N)</f>
        <v>0</v>
      </c>
      <c r="O146" s="676">
        <f ca="1">SUMIF('Budget-ACPL'!$A:$A,$A146,'Budget-ACPL'!O:O)+SUMIF('Budget-ACPLHK'!$A:$A,$A146,'Budget-ACPLHK'!O:O)+SUMIF('Budget-ACPSZL'!$A:$A,$A146,'Budget-ACPSZL'!O:O)+SUMIF('Budget-ACPLSZ'!$A:$A,$A146,'Budget-ACPLSZ'!O:O)+SUMIF('Budget-ACPLGZ'!$A:$A,$A146,'Budget-ACPLGZ'!O:O)+SUMIF('Budget-Yixing'!$A:$A,$A146,'Budget-Yixing'!O:O)</f>
        <v>0</v>
      </c>
      <c r="P146" s="676">
        <f ca="1">SUMIF('Budget-ACPL'!$A:$A,$A146,'Budget-ACPL'!P:P)+SUMIF('Budget-ACPLHK'!$A:$A,$A146,'Budget-ACPLHK'!P:P)+SUMIF('Budget-ACPSZL'!$A:$A,$A146,'Budget-ACPSZL'!P:P)+SUMIF('Budget-ACPLSZ'!$A:$A,$A146,'Budget-ACPLSZ'!P:P)+SUMIF('Budget-ACPLGZ'!$A:$A,$A146,'Budget-ACPLGZ'!P:P)+SUMIF('Budget-Yixing'!$A:$A,$A146,'Budget-Yixing'!P:P)</f>
        <v>0</v>
      </c>
      <c r="Q146" s="676">
        <f ca="1">SUMIF('Budget-ACPL'!$A:$A,$A146,'Budget-ACPL'!Q:Q)+SUMIF('Budget-ACPLHK'!$A:$A,$A146,'Budget-ACPLHK'!Q:Q)+SUMIF('Budget-ACPSZL'!$A:$A,$A146,'Budget-ACPSZL'!Q:Q)+SUMIF('Budget-ACPLSZ'!$A:$A,$A146,'Budget-ACPLSZ'!Q:Q)+SUMIF('Budget-ACPLGZ'!$A:$A,$A146,'Budget-ACPLGZ'!Q:Q)+SUMIF('Budget-Yixing'!$A:$A,$A146,'Budget-Yixing'!Q:Q)</f>
        <v>0</v>
      </c>
      <c r="R146" s="676">
        <f ca="1">SUMIF('Budget-ACPL'!$A:$A,$A146,'Budget-ACPL'!R:R)+SUMIF('Budget-ACPLHK'!$A:$A,$A146,'Budget-ACPLHK'!R:R)+SUMIF('Budget-ACPSZL'!$A:$A,$A146,'Budget-ACPSZL'!R:R)+SUMIF('Budget-ACPLSZ'!$A:$A,$A146,'Budget-ACPLSZ'!R:R)+SUMIF('Budget-ACPLGZ'!$A:$A,$A146,'Budget-ACPLGZ'!R:R)+SUMIF('Budget-Yixing'!$A:$A,$A146,'Budget-Yixing'!R:R)</f>
        <v>0</v>
      </c>
      <c r="S146" s="676">
        <f ca="1">SUMIF('Budget-ACPL'!$A:$A,$A146,'Budget-ACPL'!S:S)+SUMIF('Budget-ACPLHK'!$A:$A,$A146,'Budget-ACPLHK'!S:S)+SUMIF('Budget-ACPSZL'!$A:$A,$A146,'Budget-ACPSZL'!S:S)+SUMIF('Budget-ACPLSZ'!$A:$A,$A146,'Budget-ACPLSZ'!S:S)+SUMIF('Budget-ACPLGZ'!$A:$A,$A146,'Budget-ACPLGZ'!S:S)+SUMIF('Budget-Yixing'!$A:$A,$A146,'Budget-Yixing'!S:S)</f>
        <v>0</v>
      </c>
      <c r="T146" s="676">
        <f ca="1">SUMIF('Budget-ACPL'!$A:$A,$A146,'Budget-ACPL'!T:T)+SUMIF('Budget-ACPLHK'!$A:$A,$A146,'Budget-ACPLHK'!T:T)+SUMIF('Budget-ACPSZL'!$A:$A,$A146,'Budget-ACPSZL'!T:T)+SUMIF('Budget-ACPLSZ'!$A:$A,$A146,'Budget-ACPLSZ'!T:T)+SUMIF('Budget-ACPLGZ'!$A:$A,$A146,'Budget-ACPLGZ'!T:T)+SUMIF('Budget-Yixing'!$A:$A,$A146,'Budget-Yixing'!T:T)</f>
        <v>10000</v>
      </c>
      <c r="U146" s="676">
        <f ca="1">SUMIF('Budget-ACPL'!$A:$A,$A146,'Budget-ACPL'!U:U)+SUMIF('Budget-ACPLHK'!$A:$A,$A146,'Budget-ACPLHK'!U:U)+SUMIF('Budget-ACPSZL'!$A:$A,$A146,'Budget-ACPSZL'!U:U)+SUMIF('Budget-ACPLSZ'!$A:$A,$A146,'Budget-ACPLSZ'!U:U)+SUMIF('Budget-ACPLGZ'!$A:$A,$A146,'Budget-ACPLGZ'!U:U)+SUMIF('Budget-Yixing'!$A:$A,$A146,'Budget-Yixing'!U:U)</f>
        <v>0</v>
      </c>
      <c r="V146" s="676">
        <f ca="1">SUMIF('Budget-ACPL'!$A:$A,$A146,'Budget-ACPL'!V:V)+SUMIF('Budget-ACPLHK'!$A:$A,$A146,'Budget-ACPLHK'!V:V)+SUMIF('Budget-ACPSZL'!$A:$A,$A146,'Budget-ACPSZL'!V:V)+SUMIF('Budget-ACPLSZ'!$A:$A,$A146,'Budget-ACPLSZ'!V:V)+SUMIF('Budget-ACPLGZ'!$A:$A,$A146,'Budget-ACPLGZ'!V:V)+SUMIF('Budget-Yixing'!$A:$A,$A146,'Budget-Yixing'!V:V)</f>
        <v>0</v>
      </c>
      <c r="W146" s="676">
        <f t="shared" ca="1" si="45"/>
        <v>20000</v>
      </c>
      <c r="Y146" s="688">
        <f ca="1">SUMIF('Budget-ACPL'!$A:$A,$A146,'Budget-ACPL'!Y:Y)+SUMIF('Budget-ACPLHK'!$A:$A,$A146,'Budget-ACPLHK'!Y:Y)+SUMIF('Budget-ACPSZL'!$A:$A,$A146,'Budget-ACPSZL'!Y:Y)+SUMIF('Budget-ACPLSZ'!$A:$A,$A146,'Budget-ACPLSZ'!Y:Y)+SUMIF('Budget-ACPLGZ'!$A:$A,$A146,'Budget-ACPLGZ'!Y:Y)+SUMIF('Budget-Yixing'!$A:$A,$A146,'Budget-Yixing'!Y:Y)</f>
        <v>0</v>
      </c>
      <c r="Z146" s="688">
        <f ca="1">SUMIF('Budget-ACPL'!$A:$A,$A146,'Budget-ACPL'!Z:Z)+SUMIF('Budget-ACPLHK'!$A:$A,$A146,'Budget-ACPLHK'!Z:Z)+SUMIF('Budget-ACPSZL'!$A:$A,$A146,'Budget-ACPSZL'!Z:Z)+SUMIF('Budget-ACPLSZ'!$A:$A,$A146,'Budget-ACPLSZ'!Z:Z)+SUMIF('Budget-ACPLGZ'!$A:$A,$A146,'Budget-ACPLGZ'!Z:Z)+SUMIF('Budget-Yixing'!$A:$A,$A146,'Budget-Yixing'!Z:Z)</f>
        <v>17180</v>
      </c>
      <c r="AA146" s="688">
        <f ca="1">SUMIF('Budget-ACPL'!$A:$A,$A146,'Budget-ACPL'!AA:AA)+SUMIF('Budget-ACPLHK'!$A:$A,$A146,'Budget-ACPLHK'!AA:AA)+SUMIF('Budget-ACPSZL'!$A:$A,$A146,'Budget-ACPSZL'!AA:AA)+SUMIF('Budget-ACPLSZ'!$A:$A,$A146,'Budget-ACPLSZ'!AA:AA)+SUMIF('Budget-ACPLGZ'!$A:$A,$A146,'Budget-ACPLGZ'!AA:AA)+SUMIF('Budget-Yixing'!$A:$A,$A146,'Budget-Yixing'!AA:AA)</f>
        <v>0</v>
      </c>
      <c r="AB146" s="688">
        <f ca="1">SUMIF('Budget-ACPL'!$A:$A,$A146,'Budget-ACPL'!AB:AB)+SUMIF('Budget-ACPLHK'!$A:$A,$A146,'Budget-ACPLHK'!AB:AB)+SUMIF('Budget-ACPSZL'!$A:$A,$A146,'Budget-ACPSZL'!AB:AB)+SUMIF('Budget-ACPLSZ'!$A:$A,$A146,'Budget-ACPLSZ'!AB:AB)+SUMIF('Budget-ACPLGZ'!$A:$A,$A146,'Budget-ACPLGZ'!AB:AB)+SUMIF('Budget-Yixing'!$A:$A,$A146,'Budget-Yixing'!AB:AB)</f>
        <v>0</v>
      </c>
      <c r="AC146" s="688">
        <f ca="1">SUMIF('Budget-ACPL'!$A:$A,$A146,'Budget-ACPL'!AC:AC)+SUMIF('Budget-ACPLHK'!$A:$A,$A146,'Budget-ACPLHK'!AC:AC)+SUMIF('Budget-ACPSZL'!$A:$A,$A146,'Budget-ACPSZL'!AC:AC)+SUMIF('Budget-ACPLSZ'!$A:$A,$A146,'Budget-ACPLSZ'!AC:AC)+SUMIF('Budget-ACPLGZ'!$A:$A,$A146,'Budget-ACPLGZ'!AC:AC)+SUMIF('Budget-Yixing'!$A:$A,$A146,'Budget-Yixing'!AC:AC)</f>
        <v>0</v>
      </c>
      <c r="AD146" s="688">
        <f ca="1">SUMIF('Budget-ACPL'!$A:$A,$A146,'Budget-ACPL'!AD:AD)+SUMIF('Budget-ACPLHK'!$A:$A,$A146,'Budget-ACPLHK'!AD:AD)+SUMIF('Budget-ACPSZL'!$A:$A,$A146,'Budget-ACPSZL'!AD:AD)+SUMIF('Budget-ACPLSZ'!$A:$A,$A146,'Budget-ACPLSZ'!AD:AD)+SUMIF('Budget-ACPLGZ'!$A:$A,$A146,'Budget-ACPLGZ'!AD:AD)+SUMIF('Budget-Yixing'!$A:$A,$A146,'Budget-Yixing'!AD:AD)</f>
        <v>0</v>
      </c>
      <c r="AE146" s="688">
        <f ca="1">SUMIF('Budget-ACPL'!$A:$A,$A146,'Budget-ACPL'!AE:AE)+SUMIF('Budget-ACPLHK'!$A:$A,$A146,'Budget-ACPLHK'!AE:AE)+SUMIF('Budget-ACPSZL'!$A:$A,$A146,'Budget-ACPSZL'!AE:AE)+SUMIF('Budget-ACPLSZ'!$A:$A,$A146,'Budget-ACPLSZ'!AE:AE)+SUMIF('Budget-ACPLGZ'!$A:$A,$A146,'Budget-ACPLGZ'!AE:AE)+SUMIF('Budget-Yixing'!$A:$A,$A146,'Budget-Yixing'!AE:AE)</f>
        <v>0</v>
      </c>
      <c r="AF146" s="688">
        <f ca="1">SUMIF('Budget-ACPL'!$A:$A,$A146,'Budget-ACPL'!AF:AF)+SUMIF('Budget-ACPLHK'!$A:$A,$A146,'Budget-ACPLHK'!AF:AF)+SUMIF('Budget-ACPSZL'!$A:$A,$A146,'Budget-ACPSZL'!AF:AF)+SUMIF('Budget-ACPLSZ'!$A:$A,$A146,'Budget-ACPLSZ'!AF:AF)+SUMIF('Budget-ACPLGZ'!$A:$A,$A146,'Budget-ACPLGZ'!AF:AF)+SUMIF('Budget-Yixing'!$A:$A,$A146,'Budget-Yixing'!AF:AF)</f>
        <v>0</v>
      </c>
      <c r="AG146" s="688">
        <f ca="1">SUMIF('Budget-ACPL'!$A:$A,$A146,'Budget-ACPL'!AG:AG)+SUMIF('Budget-ACPLHK'!$A:$A,$A146,'Budget-ACPLHK'!AG:AG)+SUMIF('Budget-ACPSZL'!$A:$A,$A146,'Budget-ACPSZL'!AG:AG)+SUMIF('Budget-ACPLSZ'!$A:$A,$A146,'Budget-ACPLSZ'!AG:AG)+SUMIF('Budget-ACPLGZ'!$A:$A,$A146,'Budget-ACPLGZ'!AG:AG)+SUMIF('Budget-Yixing'!$A:$A,$A146,'Budget-Yixing'!AG:AG)</f>
        <v>0</v>
      </c>
      <c r="AH146" s="688">
        <f ca="1">SUMIF('Budget-ACPL'!$A:$A,$A146,'Budget-ACPL'!AH:AH)+SUMIF('Budget-ACPLHK'!$A:$A,$A146,'Budget-ACPLHK'!AH:AH)+SUMIF('Budget-ACPSZL'!$A:$A,$A146,'Budget-ACPSZL'!AH:AH)+SUMIF('Budget-ACPLSZ'!$A:$A,$A146,'Budget-ACPLSZ'!AH:AH)+SUMIF('Budget-ACPLGZ'!$A:$A,$A146,'Budget-ACPLGZ'!AH:AH)+SUMIF('Budget-Yixing'!$A:$A,$A146,'Budget-Yixing'!AH:AH)</f>
        <v>0</v>
      </c>
      <c r="AI146" s="688">
        <f ca="1">SUMIF('Budget-ACPL'!$A:$A,$A146,'Budget-ACPL'!AI:AI)+SUMIF('Budget-ACPLHK'!$A:$A,$A146,'Budget-ACPLHK'!AI:AI)+SUMIF('Budget-ACPSZL'!$A:$A,$A146,'Budget-ACPSZL'!AI:AI)+SUMIF('Budget-ACPLSZ'!$A:$A,$A146,'Budget-ACPLSZ'!AI:AI)+SUMIF('Budget-ACPLGZ'!$A:$A,$A146,'Budget-ACPLGZ'!AI:AI)+SUMIF('Budget-Yixing'!$A:$A,$A146,'Budget-Yixing'!AI:AI)</f>
        <v>0</v>
      </c>
      <c r="AJ146" s="688">
        <f ca="1">SUMIF('Budget-ACPL'!$A:$A,$A146,'Budget-ACPL'!AJ:AJ)+SUMIF('Budget-ACPLHK'!$A:$A,$A146,'Budget-ACPLHK'!AJ:AJ)+SUMIF('Budget-ACPSZL'!$A:$A,$A146,'Budget-ACPSZL'!AJ:AJ)+SUMIF('Budget-ACPLSZ'!$A:$A,$A146,'Budget-ACPLSZ'!AJ:AJ)+SUMIF('Budget-ACPLGZ'!$A:$A,$A146,'Budget-ACPLGZ'!AJ:AJ)+SUMIF('Budget-Yixing'!$A:$A,$A146,'Budget-Yixing'!AJ:AJ)</f>
        <v>-4807.1900000000005</v>
      </c>
      <c r="AK146" s="688">
        <f t="shared" ca="1" si="43"/>
        <v>12372.81</v>
      </c>
    </row>
    <row r="147" spans="1:37" ht="11.1" customHeight="1">
      <c r="A147" s="713" t="s">
        <v>1867</v>
      </c>
      <c r="B147" s="687" t="str">
        <f>VLOOKUP(A147,Account!A:B,2,0)</f>
        <v>职工教育经费</v>
      </c>
      <c r="C147" s="687" t="str">
        <f>VLOOKUP(A147,Account!A:F,4,0)</f>
        <v>Education Assistance</v>
      </c>
      <c r="D147" s="676">
        <f t="shared" ca="1" si="38"/>
        <v>3320.56475</v>
      </c>
      <c r="E147" s="676" t="e">
        <f t="shared" si="39"/>
        <v>#N/A</v>
      </c>
      <c r="F147" s="676" t="e">
        <f t="shared" ca="1" si="37"/>
        <v>#N/A</v>
      </c>
      <c r="G147" s="676">
        <f t="shared" ca="1" si="40"/>
        <v>3320.56475</v>
      </c>
      <c r="H147" s="676" t="e">
        <f t="shared" ca="1" si="41"/>
        <v>#N/A</v>
      </c>
      <c r="I147" s="676" t="e">
        <f t="shared" ca="1" si="42"/>
        <v>#N/A</v>
      </c>
      <c r="K147" s="676">
        <f ca="1">SUMIF('Budget-ACPL'!$A:$A,$A147,'Budget-ACPL'!K:K)+SUMIF('Budget-ACPLHK'!$A:$A,$A147,'Budget-ACPLHK'!K:K)+SUMIF('Budget-ACPSZL'!$A:$A,$A147,'Budget-ACPSZL'!K:K)+SUMIF('Budget-ACPLSZ'!$A:$A,$A147,'Budget-ACPLSZ'!K:K)+SUMIF('Budget-ACPLGZ'!$A:$A,$A147,'Budget-ACPLGZ'!K:K)+SUMIF('Budget-Yixing'!$A:$A,$A147,'Budget-Yixing'!K:K)</f>
        <v>3320.56475</v>
      </c>
      <c r="L147" s="676">
        <f ca="1">SUMIF('Budget-ACPL'!$A:$A,$A147,'Budget-ACPL'!L:L)+SUMIF('Budget-ACPLHK'!$A:$A,$A147,'Budget-ACPLHK'!L:L)+SUMIF('Budget-ACPSZL'!$A:$A,$A147,'Budget-ACPSZL'!L:L)+SUMIF('Budget-ACPLSZ'!$A:$A,$A147,'Budget-ACPLSZ'!L:L)+SUMIF('Budget-ACPLGZ'!$A:$A,$A147,'Budget-ACPLGZ'!L:L)+SUMIF('Budget-Yixing'!$A:$A,$A147,'Budget-Yixing'!L:L)</f>
        <v>3306.0883333333336</v>
      </c>
      <c r="M147" s="676">
        <f ca="1">SUMIF('Budget-ACPL'!$A:$A,$A147,'Budget-ACPL'!M:M)+SUMIF('Budget-ACPLHK'!$A:$A,$A147,'Budget-ACPLHK'!M:M)+SUMIF('Budget-ACPSZL'!$A:$A,$A147,'Budget-ACPSZL'!M:M)+SUMIF('Budget-ACPLSZ'!$A:$A,$A147,'Budget-ACPLSZ'!M:M)+SUMIF('Budget-ACPLGZ'!$A:$A,$A147,'Budget-ACPLGZ'!M:M)+SUMIF('Budget-Yixing'!$A:$A,$A147,'Budget-Yixing'!M:M)</f>
        <v>3306.0883333333336</v>
      </c>
      <c r="N147" s="676">
        <f ca="1">SUMIF('Budget-ACPL'!$A:$A,$A147,'Budget-ACPL'!N:N)+SUMIF('Budget-ACPLHK'!$A:$A,$A147,'Budget-ACPLHK'!N:N)+SUMIF('Budget-ACPSZL'!$A:$A,$A147,'Budget-ACPSZL'!N:N)+SUMIF('Budget-ACPLSZ'!$A:$A,$A147,'Budget-ACPLSZ'!N:N)+SUMIF('Budget-ACPLGZ'!$A:$A,$A147,'Budget-ACPLGZ'!N:N)+SUMIF('Budget-Yixing'!$A:$A,$A147,'Budget-Yixing'!N:N)</f>
        <v>3306.0883333333336</v>
      </c>
      <c r="O147" s="676">
        <f ca="1">SUMIF('Budget-ACPL'!$A:$A,$A147,'Budget-ACPL'!O:O)+SUMIF('Budget-ACPLHK'!$A:$A,$A147,'Budget-ACPLHK'!O:O)+SUMIF('Budget-ACPSZL'!$A:$A,$A147,'Budget-ACPSZL'!O:O)+SUMIF('Budget-ACPLSZ'!$A:$A,$A147,'Budget-ACPLSZ'!O:O)+SUMIF('Budget-ACPLGZ'!$A:$A,$A147,'Budget-ACPLGZ'!O:O)+SUMIF('Budget-Yixing'!$A:$A,$A147,'Budget-Yixing'!O:O)</f>
        <v>3306.0883333333336</v>
      </c>
      <c r="P147" s="676">
        <f ca="1">SUMIF('Budget-ACPL'!$A:$A,$A147,'Budget-ACPL'!P:P)+SUMIF('Budget-ACPLHK'!$A:$A,$A147,'Budget-ACPLHK'!P:P)+SUMIF('Budget-ACPSZL'!$A:$A,$A147,'Budget-ACPSZL'!P:P)+SUMIF('Budget-ACPLSZ'!$A:$A,$A147,'Budget-ACPLSZ'!P:P)+SUMIF('Budget-ACPLGZ'!$A:$A,$A147,'Budget-ACPLGZ'!P:P)+SUMIF('Budget-Yixing'!$A:$A,$A147,'Budget-Yixing'!P:P)</f>
        <v>3967.7383333333337</v>
      </c>
      <c r="Q147" s="676">
        <f ca="1">SUMIF('Budget-ACPL'!$A:$A,$A147,'Budget-ACPL'!Q:Q)+SUMIF('Budget-ACPLHK'!$A:$A,$A147,'Budget-ACPLHK'!Q:Q)+SUMIF('Budget-ACPSZL'!$A:$A,$A147,'Budget-ACPSZL'!Q:Q)+SUMIF('Budget-ACPLSZ'!$A:$A,$A147,'Budget-ACPLSZ'!Q:Q)+SUMIF('Budget-ACPLGZ'!$A:$A,$A147,'Budget-ACPLGZ'!Q:Q)+SUMIF('Budget-Yixing'!$A:$A,$A147,'Budget-Yixing'!Q:Q)</f>
        <v>3967.7383333333337</v>
      </c>
      <c r="R147" s="676">
        <f ca="1">SUMIF('Budget-ACPL'!$A:$A,$A147,'Budget-ACPL'!R:R)+SUMIF('Budget-ACPLHK'!$A:$A,$A147,'Budget-ACPLHK'!R:R)+SUMIF('Budget-ACPSZL'!$A:$A,$A147,'Budget-ACPSZL'!R:R)+SUMIF('Budget-ACPLSZ'!$A:$A,$A147,'Budget-ACPLSZ'!R:R)+SUMIF('Budget-ACPLGZ'!$A:$A,$A147,'Budget-ACPLGZ'!R:R)+SUMIF('Budget-Yixing'!$A:$A,$A147,'Budget-Yixing'!R:R)</f>
        <v>3967.7383333333337</v>
      </c>
      <c r="S147" s="676">
        <f ca="1">SUMIF('Budget-ACPL'!$A:$A,$A147,'Budget-ACPL'!S:S)+SUMIF('Budget-ACPLHK'!$A:$A,$A147,'Budget-ACPLHK'!S:S)+SUMIF('Budget-ACPSZL'!$A:$A,$A147,'Budget-ACPSZL'!S:S)+SUMIF('Budget-ACPLSZ'!$A:$A,$A147,'Budget-ACPLSZ'!S:S)+SUMIF('Budget-ACPLGZ'!$A:$A,$A147,'Budget-ACPLGZ'!S:S)+SUMIF('Budget-Yixing'!$A:$A,$A147,'Budget-Yixing'!S:S)</f>
        <v>3967.7383333333337</v>
      </c>
      <c r="T147" s="676">
        <f ca="1">SUMIF('Budget-ACPL'!$A:$A,$A147,'Budget-ACPL'!T:T)+SUMIF('Budget-ACPLHK'!$A:$A,$A147,'Budget-ACPLHK'!T:T)+SUMIF('Budget-ACPSZL'!$A:$A,$A147,'Budget-ACPSZL'!T:T)+SUMIF('Budget-ACPLSZ'!$A:$A,$A147,'Budget-ACPLSZ'!T:T)+SUMIF('Budget-ACPLGZ'!$A:$A,$A147,'Budget-ACPLGZ'!T:T)+SUMIF('Budget-Yixing'!$A:$A,$A147,'Budget-Yixing'!T:T)</f>
        <v>3967.7383333333337</v>
      </c>
      <c r="U147" s="676">
        <f ca="1">SUMIF('Budget-ACPL'!$A:$A,$A147,'Budget-ACPL'!U:U)+SUMIF('Budget-ACPLHK'!$A:$A,$A147,'Budget-ACPLHK'!U:U)+SUMIF('Budget-ACPSZL'!$A:$A,$A147,'Budget-ACPSZL'!U:U)+SUMIF('Budget-ACPLSZ'!$A:$A,$A147,'Budget-ACPLSZ'!U:U)+SUMIF('Budget-ACPLGZ'!$A:$A,$A147,'Budget-ACPLGZ'!U:U)+SUMIF('Budget-Yixing'!$A:$A,$A147,'Budget-Yixing'!U:U)</f>
        <v>3967.7383333333337</v>
      </c>
      <c r="V147" s="676">
        <f ca="1">SUMIF('Budget-ACPL'!$A:$A,$A147,'Budget-ACPL'!V:V)+SUMIF('Budget-ACPLHK'!$A:$A,$A147,'Budget-ACPLHK'!V:V)+SUMIF('Budget-ACPSZL'!$A:$A,$A147,'Budget-ACPSZL'!V:V)+SUMIF('Budget-ACPLSZ'!$A:$A,$A147,'Budget-ACPLSZ'!V:V)+SUMIF('Budget-ACPLGZ'!$A:$A,$A147,'Budget-ACPLGZ'!V:V)+SUMIF('Budget-Yixing'!$A:$A,$A147,'Budget-Yixing'!V:V)</f>
        <v>3967.7383333333337</v>
      </c>
      <c r="W147" s="676">
        <f t="shared" ca="1" si="45"/>
        <v>44319.086416666672</v>
      </c>
      <c r="Y147" s="688">
        <f ca="1">SUMIF('Budget-ACPL'!$A:$A,$A147,'Budget-ACPL'!Y:Y)+SUMIF('Budget-ACPLHK'!$A:$A,$A147,'Budget-ACPLHK'!Y:Y)+SUMIF('Budget-ACPSZL'!$A:$A,$A147,'Budget-ACPSZL'!Y:Y)+SUMIF('Budget-ACPLSZ'!$A:$A,$A147,'Budget-ACPLSZ'!Y:Y)+SUMIF('Budget-ACPLGZ'!$A:$A,$A147,'Budget-ACPLGZ'!Y:Y)+SUMIF('Budget-Yixing'!$A:$A,$A147,'Budget-Yixing'!Y:Y)</f>
        <v>0</v>
      </c>
      <c r="Z147" s="688">
        <f ca="1">SUMIF('Budget-ACPL'!$A:$A,$A147,'Budget-ACPL'!Z:Z)+SUMIF('Budget-ACPLHK'!$A:$A,$A147,'Budget-ACPLHK'!Z:Z)+SUMIF('Budget-ACPSZL'!$A:$A,$A147,'Budget-ACPSZL'!Z:Z)+SUMIF('Budget-ACPLSZ'!$A:$A,$A147,'Budget-ACPLSZ'!Z:Z)+SUMIF('Budget-ACPLGZ'!$A:$A,$A147,'Budget-ACPLGZ'!Z:Z)+SUMIF('Budget-Yixing'!$A:$A,$A147,'Budget-Yixing'!Z:Z)</f>
        <v>0</v>
      </c>
      <c r="AA147" s="688">
        <f ca="1">SUMIF('Budget-ACPL'!$A:$A,$A147,'Budget-ACPL'!AA:AA)+SUMIF('Budget-ACPLHK'!$A:$A,$A147,'Budget-ACPLHK'!AA:AA)+SUMIF('Budget-ACPSZL'!$A:$A,$A147,'Budget-ACPSZL'!AA:AA)+SUMIF('Budget-ACPLSZ'!$A:$A,$A147,'Budget-ACPLSZ'!AA:AA)+SUMIF('Budget-ACPLGZ'!$A:$A,$A147,'Budget-ACPLGZ'!AA:AA)+SUMIF('Budget-Yixing'!$A:$A,$A147,'Budget-Yixing'!AA:AA)</f>
        <v>5471.7</v>
      </c>
      <c r="AB147" s="688">
        <f ca="1">SUMIF('Budget-ACPL'!$A:$A,$A147,'Budget-ACPL'!AB:AB)+SUMIF('Budget-ACPLHK'!$A:$A,$A147,'Budget-ACPLHK'!AB:AB)+SUMIF('Budget-ACPSZL'!$A:$A,$A147,'Budget-ACPSZL'!AB:AB)+SUMIF('Budget-ACPLSZ'!$A:$A,$A147,'Budget-ACPLSZ'!AB:AB)+SUMIF('Budget-ACPLGZ'!$A:$A,$A147,'Budget-ACPLGZ'!AB:AB)+SUMIF('Budget-Yixing'!$A:$A,$A147,'Budget-Yixing'!AB:AB)</f>
        <v>0</v>
      </c>
      <c r="AC147" s="688">
        <f ca="1">SUMIF('Budget-ACPL'!$A:$A,$A147,'Budget-ACPL'!AC:AC)+SUMIF('Budget-ACPLHK'!$A:$A,$A147,'Budget-ACPLHK'!AC:AC)+SUMIF('Budget-ACPSZL'!$A:$A,$A147,'Budget-ACPSZL'!AC:AC)+SUMIF('Budget-ACPLSZ'!$A:$A,$A147,'Budget-ACPLSZ'!AC:AC)+SUMIF('Budget-ACPLGZ'!$A:$A,$A147,'Budget-ACPLGZ'!AC:AC)+SUMIF('Budget-Yixing'!$A:$A,$A147,'Budget-Yixing'!AC:AC)</f>
        <v>0</v>
      </c>
      <c r="AD147" s="688">
        <f ca="1">SUMIF('Budget-ACPL'!$A:$A,$A147,'Budget-ACPL'!AD:AD)+SUMIF('Budget-ACPLHK'!$A:$A,$A147,'Budget-ACPLHK'!AD:AD)+SUMIF('Budget-ACPSZL'!$A:$A,$A147,'Budget-ACPSZL'!AD:AD)+SUMIF('Budget-ACPLSZ'!$A:$A,$A147,'Budget-ACPLSZ'!AD:AD)+SUMIF('Budget-ACPLGZ'!$A:$A,$A147,'Budget-ACPLGZ'!AD:AD)+SUMIF('Budget-Yixing'!$A:$A,$A147,'Budget-Yixing'!AD:AD)</f>
        <v>0</v>
      </c>
      <c r="AE147" s="688">
        <f ca="1">SUMIF('Budget-ACPL'!$A:$A,$A147,'Budget-ACPL'!AE:AE)+SUMIF('Budget-ACPLHK'!$A:$A,$A147,'Budget-ACPLHK'!AE:AE)+SUMIF('Budget-ACPSZL'!$A:$A,$A147,'Budget-ACPSZL'!AE:AE)+SUMIF('Budget-ACPLSZ'!$A:$A,$A147,'Budget-ACPLSZ'!AE:AE)+SUMIF('Budget-ACPLGZ'!$A:$A,$A147,'Budget-ACPLGZ'!AE:AE)+SUMIF('Budget-Yixing'!$A:$A,$A147,'Budget-Yixing'!AE:AE)</f>
        <v>0</v>
      </c>
      <c r="AF147" s="688">
        <f ca="1">SUMIF('Budget-ACPL'!$A:$A,$A147,'Budget-ACPL'!AF:AF)+SUMIF('Budget-ACPLHK'!$A:$A,$A147,'Budget-ACPLHK'!AF:AF)+SUMIF('Budget-ACPSZL'!$A:$A,$A147,'Budget-ACPSZL'!AF:AF)+SUMIF('Budget-ACPLSZ'!$A:$A,$A147,'Budget-ACPLSZ'!AF:AF)+SUMIF('Budget-ACPLGZ'!$A:$A,$A147,'Budget-ACPLGZ'!AF:AF)+SUMIF('Budget-Yixing'!$A:$A,$A147,'Budget-Yixing'!AF:AF)</f>
        <v>1630</v>
      </c>
      <c r="AG147" s="688">
        <f ca="1">SUMIF('Budget-ACPL'!$A:$A,$A147,'Budget-ACPL'!AG:AG)+SUMIF('Budget-ACPLHK'!$A:$A,$A147,'Budget-ACPLHK'!AG:AG)+SUMIF('Budget-ACPSZL'!$A:$A,$A147,'Budget-ACPSZL'!AG:AG)+SUMIF('Budget-ACPLSZ'!$A:$A,$A147,'Budget-ACPLSZ'!AG:AG)+SUMIF('Budget-ACPLGZ'!$A:$A,$A147,'Budget-ACPLGZ'!AG:AG)+SUMIF('Budget-Yixing'!$A:$A,$A147,'Budget-Yixing'!AG:AG)</f>
        <v>2577.5500000000002</v>
      </c>
      <c r="AH147" s="688">
        <f ca="1">SUMIF('Budget-ACPL'!$A:$A,$A147,'Budget-ACPL'!AH:AH)+SUMIF('Budget-ACPLHK'!$A:$A,$A147,'Budget-ACPLHK'!AH:AH)+SUMIF('Budget-ACPSZL'!$A:$A,$A147,'Budget-ACPSZL'!AH:AH)+SUMIF('Budget-ACPLSZ'!$A:$A,$A147,'Budget-ACPLSZ'!AH:AH)+SUMIF('Budget-ACPLGZ'!$A:$A,$A147,'Budget-ACPLGZ'!AH:AH)+SUMIF('Budget-Yixing'!$A:$A,$A147,'Budget-Yixing'!AH:AH)</f>
        <v>0</v>
      </c>
      <c r="AI147" s="688">
        <f ca="1">SUMIF('Budget-ACPL'!$A:$A,$A147,'Budget-ACPL'!AI:AI)+SUMIF('Budget-ACPLHK'!$A:$A,$A147,'Budget-ACPLHK'!AI:AI)+SUMIF('Budget-ACPSZL'!$A:$A,$A147,'Budget-ACPSZL'!AI:AI)+SUMIF('Budget-ACPLSZ'!$A:$A,$A147,'Budget-ACPLSZ'!AI:AI)+SUMIF('Budget-ACPLGZ'!$A:$A,$A147,'Budget-ACPLGZ'!AI:AI)+SUMIF('Budget-Yixing'!$A:$A,$A147,'Budget-Yixing'!AI:AI)</f>
        <v>0</v>
      </c>
      <c r="AJ147" s="688">
        <f ca="1">SUMIF('Budget-ACPL'!$A:$A,$A147,'Budget-ACPL'!AJ:AJ)+SUMIF('Budget-ACPLHK'!$A:$A,$A147,'Budget-ACPLHK'!AJ:AJ)+SUMIF('Budget-ACPSZL'!$A:$A,$A147,'Budget-ACPSZL'!AJ:AJ)+SUMIF('Budget-ACPLSZ'!$A:$A,$A147,'Budget-ACPLSZ'!AJ:AJ)+SUMIF('Budget-ACPLGZ'!$A:$A,$A147,'Budget-ACPLGZ'!AJ:AJ)+SUMIF('Budget-Yixing'!$A:$A,$A147,'Budget-Yixing'!AJ:AJ)</f>
        <v>11810</v>
      </c>
      <c r="AK147" s="688">
        <f t="shared" ca="1" si="43"/>
        <v>21489.25</v>
      </c>
    </row>
    <row r="148" spans="1:37" ht="11.1" customHeight="1">
      <c r="A148" s="713" t="s">
        <v>1871</v>
      </c>
      <c r="B148" s="687" t="str">
        <f>VLOOKUP(A148,Account!A:B,2,0)</f>
        <v>公司秘书费</v>
      </c>
      <c r="C148" s="687" t="str">
        <f>VLOOKUP(A148,Account!A:F,4,0)</f>
        <v>Corporate Secretarial Fees</v>
      </c>
      <c r="D148" s="676">
        <f t="shared" ca="1" si="38"/>
        <v>94684.033622499992</v>
      </c>
      <c r="E148" s="676" t="e">
        <f t="shared" si="39"/>
        <v>#N/A</v>
      </c>
      <c r="F148" s="676" t="e">
        <f t="shared" ca="1" si="37"/>
        <v>#N/A</v>
      </c>
      <c r="G148" s="676">
        <f t="shared" ca="1" si="40"/>
        <v>94684.033622499992</v>
      </c>
      <c r="H148" s="676" t="e">
        <f t="shared" ca="1" si="41"/>
        <v>#N/A</v>
      </c>
      <c r="I148" s="676" t="e">
        <f t="shared" ca="1" si="42"/>
        <v>#N/A</v>
      </c>
      <c r="K148" s="676">
        <f ca="1">SUMIF('Budget-ACPL'!$A:$A,$A148,'Budget-ACPL'!K:K)+SUMIF('Budget-ACPLHK'!$A:$A,$A148,'Budget-ACPLHK'!K:K)+SUMIF('Budget-ACPSZL'!$A:$A,$A148,'Budget-ACPSZL'!K:K)+SUMIF('Budget-ACPLSZ'!$A:$A,$A148,'Budget-ACPLSZ'!K:K)+SUMIF('Budget-ACPLGZ'!$A:$A,$A148,'Budget-ACPLGZ'!K:K)+SUMIF('Budget-Yixing'!$A:$A,$A148,'Budget-Yixing'!K:K)</f>
        <v>94684.033622499992</v>
      </c>
      <c r="L148" s="676">
        <f ca="1">SUMIF('Budget-ACPL'!$A:$A,$A148,'Budget-ACPL'!L:L)+SUMIF('Budget-ACPLHK'!$A:$A,$A148,'Budget-ACPLHK'!L:L)+SUMIF('Budget-ACPSZL'!$A:$A,$A148,'Budget-ACPSZL'!L:L)+SUMIF('Budget-ACPLSZ'!$A:$A,$A148,'Budget-ACPLSZ'!L:L)+SUMIF('Budget-ACPLGZ'!$A:$A,$A148,'Budget-ACPLGZ'!L:L)+SUMIF('Budget-Yixing'!$A:$A,$A148,'Budget-Yixing'!L:L)</f>
        <v>0</v>
      </c>
      <c r="M148" s="676">
        <f ca="1">SUMIF('Budget-ACPL'!$A:$A,$A148,'Budget-ACPL'!M:M)+SUMIF('Budget-ACPLHK'!$A:$A,$A148,'Budget-ACPLHK'!M:M)+SUMIF('Budget-ACPSZL'!$A:$A,$A148,'Budget-ACPSZL'!M:M)+SUMIF('Budget-ACPLSZ'!$A:$A,$A148,'Budget-ACPLSZ'!M:M)+SUMIF('Budget-ACPLGZ'!$A:$A,$A148,'Budget-ACPLGZ'!M:M)+SUMIF('Budget-Yixing'!$A:$A,$A148,'Budget-Yixing'!M:M)</f>
        <v>0</v>
      </c>
      <c r="N148" s="676">
        <f ca="1">SUMIF('Budget-ACPL'!$A:$A,$A148,'Budget-ACPL'!N:N)+SUMIF('Budget-ACPLHK'!$A:$A,$A148,'Budget-ACPLHK'!N:N)+SUMIF('Budget-ACPSZL'!$A:$A,$A148,'Budget-ACPSZL'!N:N)+SUMIF('Budget-ACPLSZ'!$A:$A,$A148,'Budget-ACPLSZ'!N:N)+SUMIF('Budget-ACPLGZ'!$A:$A,$A148,'Budget-ACPLGZ'!N:N)+SUMIF('Budget-Yixing'!$A:$A,$A148,'Budget-Yixing'!N:N)</f>
        <v>0</v>
      </c>
      <c r="O148" s="676">
        <f ca="1">SUMIF('Budget-ACPL'!$A:$A,$A148,'Budget-ACPL'!O:O)+SUMIF('Budget-ACPLHK'!$A:$A,$A148,'Budget-ACPLHK'!O:O)+SUMIF('Budget-ACPSZL'!$A:$A,$A148,'Budget-ACPSZL'!O:O)+SUMIF('Budget-ACPLSZ'!$A:$A,$A148,'Budget-ACPLSZ'!O:O)+SUMIF('Budget-ACPLGZ'!$A:$A,$A148,'Budget-ACPLGZ'!O:O)+SUMIF('Budget-Yixing'!$A:$A,$A148,'Budget-Yixing'!O:O)</f>
        <v>0</v>
      </c>
      <c r="P148" s="676">
        <f ca="1">SUMIF('Budget-ACPL'!$A:$A,$A148,'Budget-ACPL'!P:P)+SUMIF('Budget-ACPLHK'!$A:$A,$A148,'Budget-ACPLHK'!P:P)+SUMIF('Budget-ACPSZL'!$A:$A,$A148,'Budget-ACPSZL'!P:P)+SUMIF('Budget-ACPLSZ'!$A:$A,$A148,'Budget-ACPLSZ'!P:P)+SUMIF('Budget-ACPLGZ'!$A:$A,$A148,'Budget-ACPLGZ'!P:P)+SUMIF('Budget-Yixing'!$A:$A,$A148,'Budget-Yixing'!P:P)</f>
        <v>0</v>
      </c>
      <c r="Q148" s="676">
        <f ca="1">SUMIF('Budget-ACPL'!$A:$A,$A148,'Budget-ACPL'!Q:Q)+SUMIF('Budget-ACPLHK'!$A:$A,$A148,'Budget-ACPLHK'!Q:Q)+SUMIF('Budget-ACPSZL'!$A:$A,$A148,'Budget-ACPSZL'!Q:Q)+SUMIF('Budget-ACPLSZ'!$A:$A,$A148,'Budget-ACPLSZ'!Q:Q)+SUMIF('Budget-ACPLGZ'!$A:$A,$A148,'Budget-ACPLGZ'!Q:Q)+SUMIF('Budget-Yixing'!$A:$A,$A148,'Budget-Yixing'!Q:Q)</f>
        <v>0</v>
      </c>
      <c r="R148" s="676">
        <f ca="1">SUMIF('Budget-ACPL'!$A:$A,$A148,'Budget-ACPL'!R:R)+SUMIF('Budget-ACPLHK'!$A:$A,$A148,'Budget-ACPLHK'!R:R)+SUMIF('Budget-ACPSZL'!$A:$A,$A148,'Budget-ACPSZL'!R:R)+SUMIF('Budget-ACPLSZ'!$A:$A,$A148,'Budget-ACPLSZ'!R:R)+SUMIF('Budget-ACPLGZ'!$A:$A,$A148,'Budget-ACPLGZ'!R:R)+SUMIF('Budget-Yixing'!$A:$A,$A148,'Budget-Yixing'!R:R)</f>
        <v>0</v>
      </c>
      <c r="S148" s="676">
        <f ca="1">SUMIF('Budget-ACPL'!$A:$A,$A148,'Budget-ACPL'!S:S)+SUMIF('Budget-ACPLHK'!$A:$A,$A148,'Budget-ACPLHK'!S:S)+SUMIF('Budget-ACPSZL'!$A:$A,$A148,'Budget-ACPSZL'!S:S)+SUMIF('Budget-ACPLSZ'!$A:$A,$A148,'Budget-ACPLSZ'!S:S)+SUMIF('Budget-ACPLGZ'!$A:$A,$A148,'Budget-ACPLGZ'!S:S)+SUMIF('Budget-Yixing'!$A:$A,$A148,'Budget-Yixing'!S:S)</f>
        <v>0</v>
      </c>
      <c r="T148" s="676">
        <f ca="1">SUMIF('Budget-ACPL'!$A:$A,$A148,'Budget-ACPL'!T:T)+SUMIF('Budget-ACPLHK'!$A:$A,$A148,'Budget-ACPLHK'!T:T)+SUMIF('Budget-ACPSZL'!$A:$A,$A148,'Budget-ACPSZL'!T:T)+SUMIF('Budget-ACPLSZ'!$A:$A,$A148,'Budget-ACPLSZ'!T:T)+SUMIF('Budget-ACPLGZ'!$A:$A,$A148,'Budget-ACPLGZ'!T:T)+SUMIF('Budget-Yixing'!$A:$A,$A148,'Budget-Yixing'!T:T)</f>
        <v>0</v>
      </c>
      <c r="U148" s="676">
        <f ca="1">SUMIF('Budget-ACPL'!$A:$A,$A148,'Budget-ACPL'!U:U)+SUMIF('Budget-ACPLHK'!$A:$A,$A148,'Budget-ACPLHK'!U:U)+SUMIF('Budget-ACPSZL'!$A:$A,$A148,'Budget-ACPSZL'!U:U)+SUMIF('Budget-ACPLSZ'!$A:$A,$A148,'Budget-ACPLSZ'!U:U)+SUMIF('Budget-ACPLGZ'!$A:$A,$A148,'Budget-ACPLGZ'!U:U)+SUMIF('Budget-Yixing'!$A:$A,$A148,'Budget-Yixing'!U:U)</f>
        <v>0</v>
      </c>
      <c r="V148" s="676">
        <f ca="1">SUMIF('Budget-ACPL'!$A:$A,$A148,'Budget-ACPL'!V:V)+SUMIF('Budget-ACPLHK'!$A:$A,$A148,'Budget-ACPLHK'!V:V)+SUMIF('Budget-ACPSZL'!$A:$A,$A148,'Budget-ACPSZL'!V:V)+SUMIF('Budget-ACPLSZ'!$A:$A,$A148,'Budget-ACPLSZ'!V:V)+SUMIF('Budget-ACPLGZ'!$A:$A,$A148,'Budget-ACPLGZ'!V:V)+SUMIF('Budget-Yixing'!$A:$A,$A148,'Budget-Yixing'!V:V)</f>
        <v>0</v>
      </c>
      <c r="W148" s="676">
        <f t="shared" ca="1" si="45"/>
        <v>94684.033622499992</v>
      </c>
      <c r="Y148" s="688">
        <f ca="1">SUMIF('Budget-ACPL'!$A:$A,$A148,'Budget-ACPL'!Y:Y)+SUMIF('Budget-ACPLHK'!$A:$A,$A148,'Budget-ACPLHK'!Y:Y)+SUMIF('Budget-ACPSZL'!$A:$A,$A148,'Budget-ACPSZL'!Y:Y)+SUMIF('Budget-ACPLSZ'!$A:$A,$A148,'Budget-ACPLSZ'!Y:Y)+SUMIF('Budget-ACPLGZ'!$A:$A,$A148,'Budget-ACPLGZ'!Y:Y)+SUMIF('Budget-Yixing'!$A:$A,$A148,'Budget-Yixing'!Y:Y)</f>
        <v>2471.5100000000002</v>
      </c>
      <c r="Z148" s="688">
        <f ca="1">SUMIF('Budget-ACPL'!$A:$A,$A148,'Budget-ACPL'!Z:Z)+SUMIF('Budget-ACPLHK'!$A:$A,$A148,'Budget-ACPLHK'!Z:Z)+SUMIF('Budget-ACPSZL'!$A:$A,$A148,'Budget-ACPSZL'!Z:Z)+SUMIF('Budget-ACPLSZ'!$A:$A,$A148,'Budget-ACPLSZ'!Z:Z)+SUMIF('Budget-ACPLGZ'!$A:$A,$A148,'Budget-ACPLGZ'!Z:Z)+SUMIF('Budget-Yixing'!$A:$A,$A148,'Budget-Yixing'!Z:Z)</f>
        <v>2232.33</v>
      </c>
      <c r="AA148" s="688">
        <f ca="1">SUMIF('Budget-ACPL'!$A:$A,$A148,'Budget-ACPL'!AA:AA)+SUMIF('Budget-ACPLHK'!$A:$A,$A148,'Budget-ACPLHK'!AA:AA)+SUMIF('Budget-ACPSZL'!$A:$A,$A148,'Budget-ACPSZL'!AA:AA)+SUMIF('Budget-ACPLSZ'!$A:$A,$A148,'Budget-ACPLSZ'!AA:AA)+SUMIF('Budget-ACPLGZ'!$A:$A,$A148,'Budget-ACPLGZ'!AA:AA)+SUMIF('Budget-Yixing'!$A:$A,$A148,'Budget-Yixing'!AA:AA)</f>
        <v>2471.5100000000002</v>
      </c>
      <c r="AB148" s="688">
        <f ca="1">SUMIF('Budget-ACPL'!$A:$A,$A148,'Budget-ACPL'!AB:AB)+SUMIF('Budget-ACPLHK'!$A:$A,$A148,'Budget-ACPLHK'!AB:AB)+SUMIF('Budget-ACPSZL'!$A:$A,$A148,'Budget-ACPSZL'!AB:AB)+SUMIF('Budget-ACPLSZ'!$A:$A,$A148,'Budget-ACPLSZ'!AB:AB)+SUMIF('Budget-ACPLGZ'!$A:$A,$A148,'Budget-ACPLGZ'!AB:AB)+SUMIF('Budget-Yixing'!$A:$A,$A148,'Budget-Yixing'!AB:AB)</f>
        <v>12391.77</v>
      </c>
      <c r="AC148" s="688">
        <f ca="1">SUMIF('Budget-ACPL'!$A:$A,$A148,'Budget-ACPL'!AC:AC)+SUMIF('Budget-ACPLHK'!$A:$A,$A148,'Budget-ACPLHK'!AC:AC)+SUMIF('Budget-ACPSZL'!$A:$A,$A148,'Budget-ACPSZL'!AC:AC)+SUMIF('Budget-ACPLSZ'!$A:$A,$A148,'Budget-ACPLSZ'!AC:AC)+SUMIF('Budget-ACPLGZ'!$A:$A,$A148,'Budget-ACPLGZ'!AC:AC)+SUMIF('Budget-Yixing'!$A:$A,$A148,'Budget-Yixing'!AC:AC)</f>
        <v>2471.5100000000002</v>
      </c>
      <c r="AD148" s="688">
        <f ca="1">SUMIF('Budget-ACPL'!$A:$A,$A148,'Budget-ACPL'!AD:AD)+SUMIF('Budget-ACPLHK'!$A:$A,$A148,'Budget-ACPLHK'!AD:AD)+SUMIF('Budget-ACPSZL'!$A:$A,$A148,'Budget-ACPSZL'!AD:AD)+SUMIF('Budget-ACPLSZ'!$A:$A,$A148,'Budget-ACPLSZ'!AD:AD)+SUMIF('Budget-ACPLGZ'!$A:$A,$A148,'Budget-ACPLGZ'!AD:AD)+SUMIF('Budget-Yixing'!$A:$A,$A148,'Budget-Yixing'!AD:AD)</f>
        <v>2391.7799999999997</v>
      </c>
      <c r="AE148" s="688">
        <f ca="1">SUMIF('Budget-ACPL'!$A:$A,$A148,'Budget-ACPL'!AE:AE)+SUMIF('Budget-ACPLHK'!$A:$A,$A148,'Budget-ACPLHK'!AE:AE)+SUMIF('Budget-ACPSZL'!$A:$A,$A148,'Budget-ACPSZL'!AE:AE)+SUMIF('Budget-ACPLSZ'!$A:$A,$A148,'Budget-ACPLSZ'!AE:AE)+SUMIF('Budget-ACPLGZ'!$A:$A,$A148,'Budget-ACPLGZ'!AE:AE)+SUMIF('Budget-Yixing'!$A:$A,$A148,'Budget-Yixing'!AE:AE)</f>
        <v>2471.5</v>
      </c>
      <c r="AF148" s="688">
        <f ca="1">SUMIF('Budget-ACPL'!$A:$A,$A148,'Budget-ACPL'!AF:AF)+SUMIF('Budget-ACPLHK'!$A:$A,$A148,'Budget-ACPLHK'!AF:AF)+SUMIF('Budget-ACPSZL'!$A:$A,$A148,'Budget-ACPSZL'!AF:AF)+SUMIF('Budget-ACPLSZ'!$A:$A,$A148,'Budget-ACPLSZ'!AF:AF)+SUMIF('Budget-ACPLGZ'!$A:$A,$A148,'Budget-ACPLGZ'!AF:AF)+SUMIF('Budget-Yixing'!$A:$A,$A148,'Budget-Yixing'!AF:AF)</f>
        <v>46467.509999999995</v>
      </c>
      <c r="AG148" s="688">
        <f ca="1">SUMIF('Budget-ACPL'!$A:$A,$A148,'Budget-ACPL'!AG:AG)+SUMIF('Budget-ACPLHK'!$A:$A,$A148,'Budget-ACPLHK'!AG:AG)+SUMIF('Budget-ACPSZL'!$A:$A,$A148,'Budget-ACPSZL'!AG:AG)+SUMIF('Budget-ACPLSZ'!$A:$A,$A148,'Budget-ACPLSZ'!AG:AG)+SUMIF('Budget-ACPLGZ'!$A:$A,$A148,'Budget-ACPLGZ'!AG:AG)+SUMIF('Budget-Yixing'!$A:$A,$A148,'Budget-Yixing'!AG:AG)</f>
        <v>2391.79</v>
      </c>
      <c r="AH148" s="688">
        <f ca="1">SUMIF('Budget-ACPL'!$A:$A,$A148,'Budget-ACPL'!AH:AH)+SUMIF('Budget-ACPLHK'!$A:$A,$A148,'Budget-ACPLHK'!AH:AH)+SUMIF('Budget-ACPSZL'!$A:$A,$A148,'Budget-ACPSZL'!AH:AH)+SUMIF('Budget-ACPLSZ'!$A:$A,$A148,'Budget-ACPLSZ'!AH:AH)+SUMIF('Budget-ACPLGZ'!$A:$A,$A148,'Budget-ACPLGZ'!AH:AH)+SUMIF('Budget-Yixing'!$A:$A,$A148,'Budget-Yixing'!AH:AH)</f>
        <v>2471.5100000000002</v>
      </c>
      <c r="AI148" s="688">
        <f ca="1">SUMIF('Budget-ACPL'!$A:$A,$A148,'Budget-ACPL'!AI:AI)+SUMIF('Budget-ACPLHK'!$A:$A,$A148,'Budget-ACPLHK'!AI:AI)+SUMIF('Budget-ACPSZL'!$A:$A,$A148,'Budget-ACPSZL'!AI:AI)+SUMIF('Budget-ACPLSZ'!$A:$A,$A148,'Budget-ACPLSZ'!AI:AI)+SUMIF('Budget-ACPLGZ'!$A:$A,$A148,'Budget-ACPLGZ'!AI:AI)+SUMIF('Budget-Yixing'!$A:$A,$A148,'Budget-Yixing'!AI:AI)</f>
        <v>2391.77</v>
      </c>
      <c r="AJ148" s="688">
        <f ca="1">SUMIF('Budget-ACPL'!$A:$A,$A148,'Budget-ACPL'!AJ:AJ)+SUMIF('Budget-ACPLHK'!$A:$A,$A148,'Budget-ACPLHK'!AJ:AJ)+SUMIF('Budget-ACPSZL'!$A:$A,$A148,'Budget-ACPSZL'!AJ:AJ)+SUMIF('Budget-ACPLSZ'!$A:$A,$A148,'Budget-ACPLSZ'!AJ:AJ)+SUMIF('Budget-ACPLGZ'!$A:$A,$A148,'Budget-ACPLGZ'!AJ:AJ)+SUMIF('Budget-Yixing'!$A:$A,$A148,'Budget-Yixing'!AJ:AJ)</f>
        <v>2471.5100000000002</v>
      </c>
      <c r="AK148" s="688">
        <f t="shared" ca="1" si="43"/>
        <v>83095.999999999985</v>
      </c>
    </row>
    <row r="149" spans="1:37" ht="11.1" hidden="1" customHeight="1">
      <c r="A149" s="713" t="s">
        <v>1876</v>
      </c>
      <c r="B149" s="687" t="str">
        <f>VLOOKUP(A149,Account!A:B,2,0)</f>
        <v>工会经费</v>
      </c>
      <c r="C149" s="687">
        <f>VLOOKUP(A149,Account!A:F,4,0)</f>
        <v>0</v>
      </c>
      <c r="D149" s="676">
        <f t="shared" ca="1" si="38"/>
        <v>0</v>
      </c>
      <c r="E149" s="676" t="e">
        <f t="shared" si="39"/>
        <v>#N/A</v>
      </c>
      <c r="F149" s="676" t="e">
        <f t="shared" ca="1" si="37"/>
        <v>#N/A</v>
      </c>
      <c r="G149" s="676">
        <f t="shared" ca="1" si="40"/>
        <v>0</v>
      </c>
      <c r="H149" s="676" t="e">
        <f t="shared" ca="1" si="41"/>
        <v>#N/A</v>
      </c>
      <c r="I149" s="676" t="e">
        <f t="shared" ca="1" si="42"/>
        <v>#N/A</v>
      </c>
      <c r="K149" s="676">
        <f ca="1">SUMIF('Budget-ACPL'!$A:$A,$A149,'Budget-ACPL'!K:K)+SUMIF('Budget-ACPLHK'!$A:$A,$A149,'Budget-ACPLHK'!K:K)+SUMIF('Budget-ACPSZL'!$A:$A,$A149,'Budget-ACPSZL'!K:K)+SUMIF('Budget-ACPLSZ'!$A:$A,$A149,'Budget-ACPLSZ'!K:K)+SUMIF('Budget-ACPLGZ'!$A:$A,$A149,'Budget-ACPLGZ'!K:K)+SUMIF('Budget-Yixing'!$A:$A,$A149,'Budget-Yixing'!K:K)</f>
        <v>0</v>
      </c>
      <c r="L149" s="676">
        <f ca="1">SUMIF('Budget-ACPL'!$A:$A,$A149,'Budget-ACPL'!L:L)+SUMIF('Budget-ACPLHK'!$A:$A,$A149,'Budget-ACPLHK'!L:L)+SUMIF('Budget-ACPSZL'!$A:$A,$A149,'Budget-ACPSZL'!L:L)+SUMIF('Budget-ACPLSZ'!$A:$A,$A149,'Budget-ACPLSZ'!L:L)+SUMIF('Budget-ACPLGZ'!$A:$A,$A149,'Budget-ACPLGZ'!L:L)+SUMIF('Budget-Yixing'!$A:$A,$A149,'Budget-Yixing'!L:L)</f>
        <v>0</v>
      </c>
      <c r="M149" s="676">
        <f ca="1">SUMIF('Budget-ACPL'!$A:$A,$A149,'Budget-ACPL'!M:M)+SUMIF('Budget-ACPLHK'!$A:$A,$A149,'Budget-ACPLHK'!M:M)+SUMIF('Budget-ACPSZL'!$A:$A,$A149,'Budget-ACPSZL'!M:M)+SUMIF('Budget-ACPLSZ'!$A:$A,$A149,'Budget-ACPLSZ'!M:M)+SUMIF('Budget-ACPLGZ'!$A:$A,$A149,'Budget-ACPLGZ'!M:M)+SUMIF('Budget-Yixing'!$A:$A,$A149,'Budget-Yixing'!M:M)</f>
        <v>0</v>
      </c>
      <c r="N149" s="676">
        <f ca="1">SUMIF('Budget-ACPL'!$A:$A,$A149,'Budget-ACPL'!N:N)+SUMIF('Budget-ACPLHK'!$A:$A,$A149,'Budget-ACPLHK'!N:N)+SUMIF('Budget-ACPSZL'!$A:$A,$A149,'Budget-ACPSZL'!N:N)+SUMIF('Budget-ACPLSZ'!$A:$A,$A149,'Budget-ACPLSZ'!N:N)+SUMIF('Budget-ACPLGZ'!$A:$A,$A149,'Budget-ACPLGZ'!N:N)+SUMIF('Budget-Yixing'!$A:$A,$A149,'Budget-Yixing'!N:N)</f>
        <v>0</v>
      </c>
      <c r="O149" s="676">
        <f ca="1">SUMIF('Budget-ACPL'!$A:$A,$A149,'Budget-ACPL'!O:O)+SUMIF('Budget-ACPLHK'!$A:$A,$A149,'Budget-ACPLHK'!O:O)+SUMIF('Budget-ACPSZL'!$A:$A,$A149,'Budget-ACPSZL'!O:O)+SUMIF('Budget-ACPLSZ'!$A:$A,$A149,'Budget-ACPLSZ'!O:O)+SUMIF('Budget-ACPLGZ'!$A:$A,$A149,'Budget-ACPLGZ'!O:O)+SUMIF('Budget-Yixing'!$A:$A,$A149,'Budget-Yixing'!O:O)</f>
        <v>0</v>
      </c>
      <c r="P149" s="676">
        <f ca="1">SUMIF('Budget-ACPL'!$A:$A,$A149,'Budget-ACPL'!P:P)+SUMIF('Budget-ACPLHK'!$A:$A,$A149,'Budget-ACPLHK'!P:P)+SUMIF('Budget-ACPSZL'!$A:$A,$A149,'Budget-ACPSZL'!P:P)+SUMIF('Budget-ACPLSZ'!$A:$A,$A149,'Budget-ACPLSZ'!P:P)+SUMIF('Budget-ACPLGZ'!$A:$A,$A149,'Budget-ACPLGZ'!P:P)+SUMIF('Budget-Yixing'!$A:$A,$A149,'Budget-Yixing'!P:P)</f>
        <v>0</v>
      </c>
      <c r="Q149" s="676">
        <f ca="1">SUMIF('Budget-ACPL'!$A:$A,$A149,'Budget-ACPL'!Q:Q)+SUMIF('Budget-ACPLHK'!$A:$A,$A149,'Budget-ACPLHK'!Q:Q)+SUMIF('Budget-ACPSZL'!$A:$A,$A149,'Budget-ACPSZL'!Q:Q)+SUMIF('Budget-ACPLSZ'!$A:$A,$A149,'Budget-ACPLSZ'!Q:Q)+SUMIF('Budget-ACPLGZ'!$A:$A,$A149,'Budget-ACPLGZ'!Q:Q)+SUMIF('Budget-Yixing'!$A:$A,$A149,'Budget-Yixing'!Q:Q)</f>
        <v>0</v>
      </c>
      <c r="R149" s="676">
        <f ca="1">SUMIF('Budget-ACPL'!$A:$A,$A149,'Budget-ACPL'!R:R)+SUMIF('Budget-ACPLHK'!$A:$A,$A149,'Budget-ACPLHK'!R:R)+SUMIF('Budget-ACPSZL'!$A:$A,$A149,'Budget-ACPSZL'!R:R)+SUMIF('Budget-ACPLSZ'!$A:$A,$A149,'Budget-ACPLSZ'!R:R)+SUMIF('Budget-ACPLGZ'!$A:$A,$A149,'Budget-ACPLGZ'!R:R)+SUMIF('Budget-Yixing'!$A:$A,$A149,'Budget-Yixing'!R:R)</f>
        <v>0</v>
      </c>
      <c r="S149" s="676">
        <f ca="1">SUMIF('Budget-ACPL'!$A:$A,$A149,'Budget-ACPL'!S:S)+SUMIF('Budget-ACPLHK'!$A:$A,$A149,'Budget-ACPLHK'!S:S)+SUMIF('Budget-ACPSZL'!$A:$A,$A149,'Budget-ACPSZL'!S:S)+SUMIF('Budget-ACPLSZ'!$A:$A,$A149,'Budget-ACPLSZ'!S:S)+SUMIF('Budget-ACPLGZ'!$A:$A,$A149,'Budget-ACPLGZ'!S:S)+SUMIF('Budget-Yixing'!$A:$A,$A149,'Budget-Yixing'!S:S)</f>
        <v>0</v>
      </c>
      <c r="T149" s="676">
        <f ca="1">SUMIF('Budget-ACPL'!$A:$A,$A149,'Budget-ACPL'!T:T)+SUMIF('Budget-ACPLHK'!$A:$A,$A149,'Budget-ACPLHK'!T:T)+SUMIF('Budget-ACPSZL'!$A:$A,$A149,'Budget-ACPSZL'!T:T)+SUMIF('Budget-ACPLSZ'!$A:$A,$A149,'Budget-ACPLSZ'!T:T)+SUMIF('Budget-ACPLGZ'!$A:$A,$A149,'Budget-ACPLGZ'!T:T)+SUMIF('Budget-Yixing'!$A:$A,$A149,'Budget-Yixing'!T:T)</f>
        <v>0</v>
      </c>
      <c r="U149" s="676">
        <f ca="1">SUMIF('Budget-ACPL'!$A:$A,$A149,'Budget-ACPL'!U:U)+SUMIF('Budget-ACPLHK'!$A:$A,$A149,'Budget-ACPLHK'!U:U)+SUMIF('Budget-ACPSZL'!$A:$A,$A149,'Budget-ACPSZL'!U:U)+SUMIF('Budget-ACPLSZ'!$A:$A,$A149,'Budget-ACPLSZ'!U:U)+SUMIF('Budget-ACPLGZ'!$A:$A,$A149,'Budget-ACPLGZ'!U:U)+SUMIF('Budget-Yixing'!$A:$A,$A149,'Budget-Yixing'!U:U)</f>
        <v>0</v>
      </c>
      <c r="V149" s="676">
        <f ca="1">SUMIF('Budget-ACPL'!$A:$A,$A149,'Budget-ACPL'!V:V)+SUMIF('Budget-ACPLHK'!$A:$A,$A149,'Budget-ACPLHK'!V:V)+SUMIF('Budget-ACPSZL'!$A:$A,$A149,'Budget-ACPSZL'!V:V)+SUMIF('Budget-ACPLSZ'!$A:$A,$A149,'Budget-ACPLSZ'!V:V)+SUMIF('Budget-ACPLGZ'!$A:$A,$A149,'Budget-ACPLGZ'!V:V)+SUMIF('Budget-Yixing'!$A:$A,$A149,'Budget-Yixing'!V:V)</f>
        <v>0</v>
      </c>
      <c r="W149" s="676">
        <f t="shared" ca="1" si="45"/>
        <v>0</v>
      </c>
      <c r="Y149" s="688">
        <f ca="1">SUMIF('Budget-ACPL'!$A:$A,$A149,'Budget-ACPL'!Y:Y)+SUMIF('Budget-ACPLHK'!$A:$A,$A149,'Budget-ACPLHK'!Y:Y)+SUMIF('Budget-ACPSZL'!$A:$A,$A149,'Budget-ACPSZL'!Y:Y)+SUMIF('Budget-ACPLSZ'!$A:$A,$A149,'Budget-ACPLSZ'!Y:Y)+SUMIF('Budget-ACPLGZ'!$A:$A,$A149,'Budget-ACPLGZ'!Y:Y)+SUMIF('Budget-Yixing'!$A:$A,$A149,'Budget-Yixing'!Y:Y)</f>
        <v>0</v>
      </c>
      <c r="Z149" s="688">
        <f ca="1">SUMIF('Budget-ACPL'!$A:$A,$A149,'Budget-ACPL'!Z:Z)+SUMIF('Budget-ACPLHK'!$A:$A,$A149,'Budget-ACPLHK'!Z:Z)+SUMIF('Budget-ACPSZL'!$A:$A,$A149,'Budget-ACPSZL'!Z:Z)+SUMIF('Budget-ACPLSZ'!$A:$A,$A149,'Budget-ACPLSZ'!Z:Z)+SUMIF('Budget-ACPLGZ'!$A:$A,$A149,'Budget-ACPLGZ'!Z:Z)+SUMIF('Budget-Yixing'!$A:$A,$A149,'Budget-Yixing'!Z:Z)</f>
        <v>0</v>
      </c>
      <c r="AA149" s="688">
        <f ca="1">SUMIF('Budget-ACPL'!$A:$A,$A149,'Budget-ACPL'!AA:AA)+SUMIF('Budget-ACPLHK'!$A:$A,$A149,'Budget-ACPLHK'!AA:AA)+SUMIF('Budget-ACPSZL'!$A:$A,$A149,'Budget-ACPSZL'!AA:AA)+SUMIF('Budget-ACPLSZ'!$A:$A,$A149,'Budget-ACPLSZ'!AA:AA)+SUMIF('Budget-ACPLGZ'!$A:$A,$A149,'Budget-ACPLGZ'!AA:AA)+SUMIF('Budget-Yixing'!$A:$A,$A149,'Budget-Yixing'!AA:AA)</f>
        <v>0</v>
      </c>
      <c r="AB149" s="688">
        <f ca="1">SUMIF('Budget-ACPL'!$A:$A,$A149,'Budget-ACPL'!AB:AB)+SUMIF('Budget-ACPLHK'!$A:$A,$A149,'Budget-ACPLHK'!AB:AB)+SUMIF('Budget-ACPSZL'!$A:$A,$A149,'Budget-ACPSZL'!AB:AB)+SUMIF('Budget-ACPLSZ'!$A:$A,$A149,'Budget-ACPLSZ'!AB:AB)+SUMIF('Budget-ACPLGZ'!$A:$A,$A149,'Budget-ACPLGZ'!AB:AB)+SUMIF('Budget-Yixing'!$A:$A,$A149,'Budget-Yixing'!AB:AB)</f>
        <v>0</v>
      </c>
      <c r="AC149" s="688">
        <f ca="1">SUMIF('Budget-ACPL'!$A:$A,$A149,'Budget-ACPL'!AC:AC)+SUMIF('Budget-ACPLHK'!$A:$A,$A149,'Budget-ACPLHK'!AC:AC)+SUMIF('Budget-ACPSZL'!$A:$A,$A149,'Budget-ACPSZL'!AC:AC)+SUMIF('Budget-ACPLSZ'!$A:$A,$A149,'Budget-ACPLSZ'!AC:AC)+SUMIF('Budget-ACPLGZ'!$A:$A,$A149,'Budget-ACPLGZ'!AC:AC)+SUMIF('Budget-Yixing'!$A:$A,$A149,'Budget-Yixing'!AC:AC)</f>
        <v>0</v>
      </c>
      <c r="AD149" s="688">
        <f ca="1">SUMIF('Budget-ACPL'!$A:$A,$A149,'Budget-ACPL'!AD:AD)+SUMIF('Budget-ACPLHK'!$A:$A,$A149,'Budget-ACPLHK'!AD:AD)+SUMIF('Budget-ACPSZL'!$A:$A,$A149,'Budget-ACPSZL'!AD:AD)+SUMIF('Budget-ACPLSZ'!$A:$A,$A149,'Budget-ACPLSZ'!AD:AD)+SUMIF('Budget-ACPLGZ'!$A:$A,$A149,'Budget-ACPLGZ'!AD:AD)+SUMIF('Budget-Yixing'!$A:$A,$A149,'Budget-Yixing'!AD:AD)</f>
        <v>0</v>
      </c>
      <c r="AE149" s="688">
        <f ca="1">SUMIF('Budget-ACPL'!$A:$A,$A149,'Budget-ACPL'!AE:AE)+SUMIF('Budget-ACPLHK'!$A:$A,$A149,'Budget-ACPLHK'!AE:AE)+SUMIF('Budget-ACPSZL'!$A:$A,$A149,'Budget-ACPSZL'!AE:AE)+SUMIF('Budget-ACPLSZ'!$A:$A,$A149,'Budget-ACPLSZ'!AE:AE)+SUMIF('Budget-ACPLGZ'!$A:$A,$A149,'Budget-ACPLGZ'!AE:AE)+SUMIF('Budget-Yixing'!$A:$A,$A149,'Budget-Yixing'!AE:AE)</f>
        <v>0</v>
      </c>
      <c r="AF149" s="688">
        <f ca="1">SUMIF('Budget-ACPL'!$A:$A,$A149,'Budget-ACPL'!AF:AF)+SUMIF('Budget-ACPLHK'!$A:$A,$A149,'Budget-ACPLHK'!AF:AF)+SUMIF('Budget-ACPSZL'!$A:$A,$A149,'Budget-ACPSZL'!AF:AF)+SUMIF('Budget-ACPLSZ'!$A:$A,$A149,'Budget-ACPLSZ'!AF:AF)+SUMIF('Budget-ACPLGZ'!$A:$A,$A149,'Budget-ACPLGZ'!AF:AF)+SUMIF('Budget-Yixing'!$A:$A,$A149,'Budget-Yixing'!AF:AF)</f>
        <v>0</v>
      </c>
      <c r="AG149" s="688">
        <f ca="1">SUMIF('Budget-ACPL'!$A:$A,$A149,'Budget-ACPL'!AG:AG)+SUMIF('Budget-ACPLHK'!$A:$A,$A149,'Budget-ACPLHK'!AG:AG)+SUMIF('Budget-ACPSZL'!$A:$A,$A149,'Budget-ACPSZL'!AG:AG)+SUMIF('Budget-ACPLSZ'!$A:$A,$A149,'Budget-ACPLSZ'!AG:AG)+SUMIF('Budget-ACPLGZ'!$A:$A,$A149,'Budget-ACPLGZ'!AG:AG)+SUMIF('Budget-Yixing'!$A:$A,$A149,'Budget-Yixing'!AG:AG)</f>
        <v>0</v>
      </c>
      <c r="AH149" s="688">
        <f ca="1">SUMIF('Budget-ACPL'!$A:$A,$A149,'Budget-ACPL'!AH:AH)+SUMIF('Budget-ACPLHK'!$A:$A,$A149,'Budget-ACPLHK'!AH:AH)+SUMIF('Budget-ACPSZL'!$A:$A,$A149,'Budget-ACPSZL'!AH:AH)+SUMIF('Budget-ACPLSZ'!$A:$A,$A149,'Budget-ACPLSZ'!AH:AH)+SUMIF('Budget-ACPLGZ'!$A:$A,$A149,'Budget-ACPLGZ'!AH:AH)+SUMIF('Budget-Yixing'!$A:$A,$A149,'Budget-Yixing'!AH:AH)</f>
        <v>0</v>
      </c>
      <c r="AI149" s="688">
        <f ca="1">SUMIF('Budget-ACPL'!$A:$A,$A149,'Budget-ACPL'!AI:AI)+SUMIF('Budget-ACPLHK'!$A:$A,$A149,'Budget-ACPLHK'!AI:AI)+SUMIF('Budget-ACPSZL'!$A:$A,$A149,'Budget-ACPSZL'!AI:AI)+SUMIF('Budget-ACPLSZ'!$A:$A,$A149,'Budget-ACPLSZ'!AI:AI)+SUMIF('Budget-ACPLGZ'!$A:$A,$A149,'Budget-ACPLGZ'!AI:AI)+SUMIF('Budget-Yixing'!$A:$A,$A149,'Budget-Yixing'!AI:AI)</f>
        <v>0</v>
      </c>
      <c r="AJ149" s="688">
        <f ca="1">SUMIF('Budget-ACPL'!$A:$A,$A149,'Budget-ACPL'!AJ:AJ)+SUMIF('Budget-ACPLHK'!$A:$A,$A149,'Budget-ACPLHK'!AJ:AJ)+SUMIF('Budget-ACPSZL'!$A:$A,$A149,'Budget-ACPSZL'!AJ:AJ)+SUMIF('Budget-ACPLSZ'!$A:$A,$A149,'Budget-ACPLSZ'!AJ:AJ)+SUMIF('Budget-ACPLGZ'!$A:$A,$A149,'Budget-ACPLGZ'!AJ:AJ)+SUMIF('Budget-Yixing'!$A:$A,$A149,'Budget-Yixing'!AJ:AJ)</f>
        <v>0</v>
      </c>
      <c r="AK149" s="688">
        <f t="shared" ca="1" si="43"/>
        <v>0</v>
      </c>
    </row>
    <row r="150" spans="1:37" ht="11.1" hidden="1" customHeight="1">
      <c r="A150" s="713" t="s">
        <v>1879</v>
      </c>
      <c r="B150" s="687" t="str">
        <f>VLOOKUP(A150,Account!A:B,2,0)</f>
        <v>无形资产摊销</v>
      </c>
      <c r="C150" s="687" t="str">
        <f>VLOOKUP(A150,Account!A:F,4,0)</f>
        <v>Contract Intangibles - Amortization</v>
      </c>
      <c r="D150" s="676">
        <f t="shared" ca="1" si="38"/>
        <v>0</v>
      </c>
      <c r="E150" s="676" t="e">
        <f t="shared" si="39"/>
        <v>#N/A</v>
      </c>
      <c r="F150" s="676" t="e">
        <f t="shared" ca="1" si="37"/>
        <v>#N/A</v>
      </c>
      <c r="G150" s="676">
        <f t="shared" ca="1" si="40"/>
        <v>0</v>
      </c>
      <c r="H150" s="676" t="e">
        <f t="shared" ca="1" si="41"/>
        <v>#N/A</v>
      </c>
      <c r="I150" s="676" t="e">
        <f t="shared" ca="1" si="42"/>
        <v>#N/A</v>
      </c>
      <c r="K150" s="676">
        <f ca="1">SUMIF('Budget-ACPL'!$A:$A,$A150,'Budget-ACPL'!K:K)+SUMIF('Budget-ACPLHK'!$A:$A,$A150,'Budget-ACPLHK'!K:K)+SUMIF('Budget-ACPSZL'!$A:$A,$A150,'Budget-ACPSZL'!K:K)+SUMIF('Budget-ACPLSZ'!$A:$A,$A150,'Budget-ACPLSZ'!K:K)+SUMIF('Budget-ACPLGZ'!$A:$A,$A150,'Budget-ACPLGZ'!K:K)+SUMIF('Budget-Yixing'!$A:$A,$A150,'Budget-Yixing'!K:K)</f>
        <v>0</v>
      </c>
      <c r="L150" s="676">
        <f ca="1">SUMIF('Budget-ACPL'!$A:$A,$A150,'Budget-ACPL'!L:L)+SUMIF('Budget-ACPLHK'!$A:$A,$A150,'Budget-ACPLHK'!L:L)+SUMIF('Budget-ACPSZL'!$A:$A,$A150,'Budget-ACPSZL'!L:L)+SUMIF('Budget-ACPLSZ'!$A:$A,$A150,'Budget-ACPLSZ'!L:L)+SUMIF('Budget-ACPLGZ'!$A:$A,$A150,'Budget-ACPLGZ'!L:L)+SUMIF('Budget-Yixing'!$A:$A,$A150,'Budget-Yixing'!L:L)</f>
        <v>0</v>
      </c>
      <c r="M150" s="676">
        <f ca="1">SUMIF('Budget-ACPL'!$A:$A,$A150,'Budget-ACPL'!M:M)+SUMIF('Budget-ACPLHK'!$A:$A,$A150,'Budget-ACPLHK'!M:M)+SUMIF('Budget-ACPSZL'!$A:$A,$A150,'Budget-ACPSZL'!M:M)+SUMIF('Budget-ACPLSZ'!$A:$A,$A150,'Budget-ACPLSZ'!M:M)+SUMIF('Budget-ACPLGZ'!$A:$A,$A150,'Budget-ACPLGZ'!M:M)+SUMIF('Budget-Yixing'!$A:$A,$A150,'Budget-Yixing'!M:M)</f>
        <v>0</v>
      </c>
      <c r="N150" s="676">
        <f ca="1">SUMIF('Budget-ACPL'!$A:$A,$A150,'Budget-ACPL'!N:N)+SUMIF('Budget-ACPLHK'!$A:$A,$A150,'Budget-ACPLHK'!N:N)+SUMIF('Budget-ACPSZL'!$A:$A,$A150,'Budget-ACPSZL'!N:N)+SUMIF('Budget-ACPLSZ'!$A:$A,$A150,'Budget-ACPLSZ'!N:N)+SUMIF('Budget-ACPLGZ'!$A:$A,$A150,'Budget-ACPLGZ'!N:N)+SUMIF('Budget-Yixing'!$A:$A,$A150,'Budget-Yixing'!N:N)</f>
        <v>0</v>
      </c>
      <c r="O150" s="676">
        <f ca="1">SUMIF('Budget-ACPL'!$A:$A,$A150,'Budget-ACPL'!O:O)+SUMIF('Budget-ACPLHK'!$A:$A,$A150,'Budget-ACPLHK'!O:O)+SUMIF('Budget-ACPSZL'!$A:$A,$A150,'Budget-ACPSZL'!O:O)+SUMIF('Budget-ACPLSZ'!$A:$A,$A150,'Budget-ACPLSZ'!O:O)+SUMIF('Budget-ACPLGZ'!$A:$A,$A150,'Budget-ACPLGZ'!O:O)+SUMIF('Budget-Yixing'!$A:$A,$A150,'Budget-Yixing'!O:O)</f>
        <v>0</v>
      </c>
      <c r="P150" s="676">
        <f ca="1">SUMIF('Budget-ACPL'!$A:$A,$A150,'Budget-ACPL'!P:P)+SUMIF('Budget-ACPLHK'!$A:$A,$A150,'Budget-ACPLHK'!P:P)+SUMIF('Budget-ACPSZL'!$A:$A,$A150,'Budget-ACPSZL'!P:P)+SUMIF('Budget-ACPLSZ'!$A:$A,$A150,'Budget-ACPLSZ'!P:P)+SUMIF('Budget-ACPLGZ'!$A:$A,$A150,'Budget-ACPLGZ'!P:P)+SUMIF('Budget-Yixing'!$A:$A,$A150,'Budget-Yixing'!P:P)</f>
        <v>0</v>
      </c>
      <c r="Q150" s="676">
        <f ca="1">SUMIF('Budget-ACPL'!$A:$A,$A150,'Budget-ACPL'!Q:Q)+SUMIF('Budget-ACPLHK'!$A:$A,$A150,'Budget-ACPLHK'!Q:Q)+SUMIF('Budget-ACPSZL'!$A:$A,$A150,'Budget-ACPSZL'!Q:Q)+SUMIF('Budget-ACPLSZ'!$A:$A,$A150,'Budget-ACPLSZ'!Q:Q)+SUMIF('Budget-ACPLGZ'!$A:$A,$A150,'Budget-ACPLGZ'!Q:Q)+SUMIF('Budget-Yixing'!$A:$A,$A150,'Budget-Yixing'!Q:Q)</f>
        <v>0</v>
      </c>
      <c r="R150" s="676">
        <f ca="1">SUMIF('Budget-ACPL'!$A:$A,$A150,'Budget-ACPL'!R:R)+SUMIF('Budget-ACPLHK'!$A:$A,$A150,'Budget-ACPLHK'!R:R)+SUMIF('Budget-ACPSZL'!$A:$A,$A150,'Budget-ACPSZL'!R:R)+SUMIF('Budget-ACPLSZ'!$A:$A,$A150,'Budget-ACPLSZ'!R:R)+SUMIF('Budget-ACPLGZ'!$A:$A,$A150,'Budget-ACPLGZ'!R:R)+SUMIF('Budget-Yixing'!$A:$A,$A150,'Budget-Yixing'!R:R)</f>
        <v>0</v>
      </c>
      <c r="S150" s="676">
        <f ca="1">SUMIF('Budget-ACPL'!$A:$A,$A150,'Budget-ACPL'!S:S)+SUMIF('Budget-ACPLHK'!$A:$A,$A150,'Budget-ACPLHK'!S:S)+SUMIF('Budget-ACPSZL'!$A:$A,$A150,'Budget-ACPSZL'!S:S)+SUMIF('Budget-ACPLSZ'!$A:$A,$A150,'Budget-ACPLSZ'!S:S)+SUMIF('Budget-ACPLGZ'!$A:$A,$A150,'Budget-ACPLGZ'!S:S)+SUMIF('Budget-Yixing'!$A:$A,$A150,'Budget-Yixing'!S:S)</f>
        <v>0</v>
      </c>
      <c r="T150" s="676">
        <f ca="1">SUMIF('Budget-ACPL'!$A:$A,$A150,'Budget-ACPL'!T:T)+SUMIF('Budget-ACPLHK'!$A:$A,$A150,'Budget-ACPLHK'!T:T)+SUMIF('Budget-ACPSZL'!$A:$A,$A150,'Budget-ACPSZL'!T:T)+SUMIF('Budget-ACPLSZ'!$A:$A,$A150,'Budget-ACPLSZ'!T:T)+SUMIF('Budget-ACPLGZ'!$A:$A,$A150,'Budget-ACPLGZ'!T:T)+SUMIF('Budget-Yixing'!$A:$A,$A150,'Budget-Yixing'!T:T)</f>
        <v>0</v>
      </c>
      <c r="U150" s="676">
        <f ca="1">SUMIF('Budget-ACPL'!$A:$A,$A150,'Budget-ACPL'!U:U)+SUMIF('Budget-ACPLHK'!$A:$A,$A150,'Budget-ACPLHK'!U:U)+SUMIF('Budget-ACPSZL'!$A:$A,$A150,'Budget-ACPSZL'!U:U)+SUMIF('Budget-ACPLSZ'!$A:$A,$A150,'Budget-ACPLSZ'!U:U)+SUMIF('Budget-ACPLGZ'!$A:$A,$A150,'Budget-ACPLGZ'!U:U)+SUMIF('Budget-Yixing'!$A:$A,$A150,'Budget-Yixing'!U:U)</f>
        <v>0</v>
      </c>
      <c r="V150" s="676">
        <f ca="1">SUMIF('Budget-ACPL'!$A:$A,$A150,'Budget-ACPL'!V:V)+SUMIF('Budget-ACPLHK'!$A:$A,$A150,'Budget-ACPLHK'!V:V)+SUMIF('Budget-ACPSZL'!$A:$A,$A150,'Budget-ACPSZL'!V:V)+SUMIF('Budget-ACPLSZ'!$A:$A,$A150,'Budget-ACPLSZ'!V:V)+SUMIF('Budget-ACPLGZ'!$A:$A,$A150,'Budget-ACPLGZ'!V:V)+SUMIF('Budget-Yixing'!$A:$A,$A150,'Budget-Yixing'!V:V)</f>
        <v>0</v>
      </c>
      <c r="W150" s="676">
        <f t="shared" ca="1" si="45"/>
        <v>0</v>
      </c>
      <c r="Y150" s="688">
        <f ca="1">SUMIF('Budget-ACPL'!$A:$A,$A150,'Budget-ACPL'!Y:Y)+SUMIF('Budget-ACPLHK'!$A:$A,$A150,'Budget-ACPLHK'!Y:Y)+SUMIF('Budget-ACPSZL'!$A:$A,$A150,'Budget-ACPSZL'!Y:Y)+SUMIF('Budget-ACPLSZ'!$A:$A,$A150,'Budget-ACPLSZ'!Y:Y)+SUMIF('Budget-ACPLGZ'!$A:$A,$A150,'Budget-ACPLGZ'!Y:Y)+SUMIF('Budget-Yixing'!$A:$A,$A150,'Budget-Yixing'!Y:Y)</f>
        <v>150000</v>
      </c>
      <c r="Z150" s="688">
        <f ca="1">SUMIF('Budget-ACPL'!$A:$A,$A150,'Budget-ACPL'!Z:Z)+SUMIF('Budget-ACPLHK'!$A:$A,$A150,'Budget-ACPLHK'!Z:Z)+SUMIF('Budget-ACPSZL'!$A:$A,$A150,'Budget-ACPSZL'!Z:Z)+SUMIF('Budget-ACPLSZ'!$A:$A,$A150,'Budget-ACPLSZ'!Z:Z)+SUMIF('Budget-ACPLGZ'!$A:$A,$A150,'Budget-ACPLGZ'!Z:Z)+SUMIF('Budget-Yixing'!$A:$A,$A150,'Budget-Yixing'!Z:Z)</f>
        <v>150000</v>
      </c>
      <c r="AA150" s="688">
        <f ca="1">SUMIF('Budget-ACPL'!$A:$A,$A150,'Budget-ACPL'!AA:AA)+SUMIF('Budget-ACPLHK'!$A:$A,$A150,'Budget-ACPLHK'!AA:AA)+SUMIF('Budget-ACPSZL'!$A:$A,$A150,'Budget-ACPSZL'!AA:AA)+SUMIF('Budget-ACPLSZ'!$A:$A,$A150,'Budget-ACPLSZ'!AA:AA)+SUMIF('Budget-ACPLGZ'!$A:$A,$A150,'Budget-ACPLGZ'!AA:AA)+SUMIF('Budget-Yixing'!$A:$A,$A150,'Budget-Yixing'!AA:AA)</f>
        <v>150000</v>
      </c>
      <c r="AB150" s="688">
        <f ca="1">SUMIF('Budget-ACPL'!$A:$A,$A150,'Budget-ACPL'!AB:AB)+SUMIF('Budget-ACPLHK'!$A:$A,$A150,'Budget-ACPLHK'!AB:AB)+SUMIF('Budget-ACPSZL'!$A:$A,$A150,'Budget-ACPSZL'!AB:AB)+SUMIF('Budget-ACPLSZ'!$A:$A,$A150,'Budget-ACPLSZ'!AB:AB)+SUMIF('Budget-ACPLGZ'!$A:$A,$A150,'Budget-ACPLGZ'!AB:AB)+SUMIF('Budget-Yixing'!$A:$A,$A150,'Budget-Yixing'!AB:AB)</f>
        <v>150000</v>
      </c>
      <c r="AC150" s="688">
        <f ca="1">SUMIF('Budget-ACPL'!$A:$A,$A150,'Budget-ACPL'!AC:AC)+SUMIF('Budget-ACPLHK'!$A:$A,$A150,'Budget-ACPLHK'!AC:AC)+SUMIF('Budget-ACPSZL'!$A:$A,$A150,'Budget-ACPSZL'!AC:AC)+SUMIF('Budget-ACPLSZ'!$A:$A,$A150,'Budget-ACPLSZ'!AC:AC)+SUMIF('Budget-ACPLGZ'!$A:$A,$A150,'Budget-ACPLGZ'!AC:AC)+SUMIF('Budget-Yixing'!$A:$A,$A150,'Budget-Yixing'!AC:AC)</f>
        <v>150000</v>
      </c>
      <c r="AD150" s="688">
        <f ca="1">SUMIF('Budget-ACPL'!$A:$A,$A150,'Budget-ACPL'!AD:AD)+SUMIF('Budget-ACPLHK'!$A:$A,$A150,'Budget-ACPLHK'!AD:AD)+SUMIF('Budget-ACPSZL'!$A:$A,$A150,'Budget-ACPSZL'!AD:AD)+SUMIF('Budget-ACPLSZ'!$A:$A,$A150,'Budget-ACPLSZ'!AD:AD)+SUMIF('Budget-ACPLGZ'!$A:$A,$A150,'Budget-ACPLGZ'!AD:AD)+SUMIF('Budget-Yixing'!$A:$A,$A150,'Budget-Yixing'!AD:AD)</f>
        <v>150000</v>
      </c>
      <c r="AE150" s="688">
        <f ca="1">SUMIF('Budget-ACPL'!$A:$A,$A150,'Budget-ACPL'!AE:AE)+SUMIF('Budget-ACPLHK'!$A:$A,$A150,'Budget-ACPLHK'!AE:AE)+SUMIF('Budget-ACPSZL'!$A:$A,$A150,'Budget-ACPSZL'!AE:AE)+SUMIF('Budget-ACPLSZ'!$A:$A,$A150,'Budget-ACPLSZ'!AE:AE)+SUMIF('Budget-ACPLGZ'!$A:$A,$A150,'Budget-ACPLGZ'!AE:AE)+SUMIF('Budget-Yixing'!$A:$A,$A150,'Budget-Yixing'!AE:AE)</f>
        <v>150000</v>
      </c>
      <c r="AF150" s="688">
        <f ca="1">SUMIF('Budget-ACPL'!$A:$A,$A150,'Budget-ACPL'!AF:AF)+SUMIF('Budget-ACPLHK'!$A:$A,$A150,'Budget-ACPLHK'!AF:AF)+SUMIF('Budget-ACPSZL'!$A:$A,$A150,'Budget-ACPSZL'!AF:AF)+SUMIF('Budget-ACPLSZ'!$A:$A,$A150,'Budget-ACPLSZ'!AF:AF)+SUMIF('Budget-ACPLGZ'!$A:$A,$A150,'Budget-ACPLGZ'!AF:AF)+SUMIF('Budget-Yixing'!$A:$A,$A150,'Budget-Yixing'!AF:AF)</f>
        <v>150000</v>
      </c>
      <c r="AG150" s="688">
        <f ca="1">SUMIF('Budget-ACPL'!$A:$A,$A150,'Budget-ACPL'!AG:AG)+SUMIF('Budget-ACPLHK'!$A:$A,$A150,'Budget-ACPLHK'!AG:AG)+SUMIF('Budget-ACPSZL'!$A:$A,$A150,'Budget-ACPSZL'!AG:AG)+SUMIF('Budget-ACPLSZ'!$A:$A,$A150,'Budget-ACPLSZ'!AG:AG)+SUMIF('Budget-ACPLGZ'!$A:$A,$A150,'Budget-ACPLGZ'!AG:AG)+SUMIF('Budget-Yixing'!$A:$A,$A150,'Budget-Yixing'!AG:AG)</f>
        <v>150000</v>
      </c>
      <c r="AH150" s="688">
        <f ca="1">SUMIF('Budget-ACPL'!$A:$A,$A150,'Budget-ACPL'!AH:AH)+SUMIF('Budget-ACPLHK'!$A:$A,$A150,'Budget-ACPLHK'!AH:AH)+SUMIF('Budget-ACPSZL'!$A:$A,$A150,'Budget-ACPSZL'!AH:AH)+SUMIF('Budget-ACPLSZ'!$A:$A,$A150,'Budget-ACPLSZ'!AH:AH)+SUMIF('Budget-ACPLGZ'!$A:$A,$A150,'Budget-ACPLGZ'!AH:AH)+SUMIF('Budget-Yixing'!$A:$A,$A150,'Budget-Yixing'!AH:AH)</f>
        <v>150000</v>
      </c>
      <c r="AI150" s="688">
        <f ca="1">SUMIF('Budget-ACPL'!$A:$A,$A150,'Budget-ACPL'!AI:AI)+SUMIF('Budget-ACPLHK'!$A:$A,$A150,'Budget-ACPLHK'!AI:AI)+SUMIF('Budget-ACPSZL'!$A:$A,$A150,'Budget-ACPSZL'!AI:AI)+SUMIF('Budget-ACPLSZ'!$A:$A,$A150,'Budget-ACPLSZ'!AI:AI)+SUMIF('Budget-ACPLGZ'!$A:$A,$A150,'Budget-ACPLGZ'!AI:AI)+SUMIF('Budget-Yixing'!$A:$A,$A150,'Budget-Yixing'!AI:AI)</f>
        <v>150000</v>
      </c>
      <c r="AJ150" s="688">
        <f ca="1">SUMIF('Budget-ACPL'!$A:$A,$A150,'Budget-ACPL'!AJ:AJ)+SUMIF('Budget-ACPLHK'!$A:$A,$A150,'Budget-ACPLHK'!AJ:AJ)+SUMIF('Budget-ACPSZL'!$A:$A,$A150,'Budget-ACPSZL'!AJ:AJ)+SUMIF('Budget-ACPLSZ'!$A:$A,$A150,'Budget-ACPLSZ'!AJ:AJ)+SUMIF('Budget-ACPLGZ'!$A:$A,$A150,'Budget-ACPLGZ'!AJ:AJ)+SUMIF('Budget-Yixing'!$A:$A,$A150,'Budget-Yixing'!AJ:AJ)</f>
        <v>150000</v>
      </c>
      <c r="AK150" s="688">
        <f t="shared" ca="1" si="43"/>
        <v>1800000</v>
      </c>
    </row>
    <row r="151" spans="1:37" ht="11.1" customHeight="1">
      <c r="A151" s="713" t="s">
        <v>1883</v>
      </c>
      <c r="B151" s="687" t="str">
        <f>VLOOKUP(A151,Account!A:B,2,0)</f>
        <v>监管费用</v>
      </c>
      <c r="C151" s="687" t="str">
        <f>VLOOKUP(A151,Account!A:F,4,0)</f>
        <v xml:space="preserve">Regulatory fees </v>
      </c>
      <c r="D151" s="676">
        <f t="shared" ca="1" si="38"/>
        <v>9480</v>
      </c>
      <c r="E151" s="676" t="e">
        <f t="shared" si="39"/>
        <v>#N/A</v>
      </c>
      <c r="F151" s="676" t="e">
        <f t="shared" ca="1" si="37"/>
        <v>#N/A</v>
      </c>
      <c r="G151" s="676">
        <f t="shared" ca="1" si="40"/>
        <v>9480</v>
      </c>
      <c r="H151" s="676" t="e">
        <f t="shared" ca="1" si="41"/>
        <v>#N/A</v>
      </c>
      <c r="I151" s="676" t="e">
        <f t="shared" ca="1" si="42"/>
        <v>#N/A</v>
      </c>
      <c r="K151" s="676">
        <f ca="1">SUMIF('Budget-ACPL'!$A:$A,$A151,'Budget-ACPL'!K:K)+SUMIF('Budget-ACPLHK'!$A:$A,$A151,'Budget-ACPLHK'!K:K)+SUMIF('Budget-ACPSZL'!$A:$A,$A151,'Budget-ACPSZL'!K:K)+SUMIF('Budget-ACPLSZ'!$A:$A,$A151,'Budget-ACPLSZ'!K:K)+SUMIF('Budget-ACPLGZ'!$A:$A,$A151,'Budget-ACPLGZ'!K:K)+SUMIF('Budget-Yixing'!$A:$A,$A151,'Budget-Yixing'!K:K)</f>
        <v>9480</v>
      </c>
      <c r="L151" s="676">
        <f ca="1">SUMIF('Budget-ACPL'!$A:$A,$A151,'Budget-ACPL'!L:L)+SUMIF('Budget-ACPLHK'!$A:$A,$A151,'Budget-ACPLHK'!L:L)+SUMIF('Budget-ACPSZL'!$A:$A,$A151,'Budget-ACPSZL'!L:L)+SUMIF('Budget-ACPLSZ'!$A:$A,$A151,'Budget-ACPLSZ'!L:L)+SUMIF('Budget-ACPLGZ'!$A:$A,$A151,'Budget-ACPLGZ'!L:L)+SUMIF('Budget-Yixing'!$A:$A,$A151,'Budget-Yixing'!L:L)</f>
        <v>25510</v>
      </c>
      <c r="M151" s="676">
        <f ca="1">SUMIF('Budget-ACPL'!$A:$A,$A151,'Budget-ACPL'!M:M)+SUMIF('Budget-ACPLHK'!$A:$A,$A151,'Budget-ACPLHK'!M:M)+SUMIF('Budget-ACPSZL'!$A:$A,$A151,'Budget-ACPSZL'!M:M)+SUMIF('Budget-ACPLSZ'!$A:$A,$A151,'Budget-ACPLSZ'!M:M)+SUMIF('Budget-ACPLGZ'!$A:$A,$A151,'Budget-ACPLGZ'!M:M)+SUMIF('Budget-Yixing'!$A:$A,$A151,'Budget-Yixing'!M:M)</f>
        <v>0</v>
      </c>
      <c r="N151" s="676">
        <f ca="1">SUMIF('Budget-ACPL'!$A:$A,$A151,'Budget-ACPL'!N:N)+SUMIF('Budget-ACPLHK'!$A:$A,$A151,'Budget-ACPLHK'!N:N)+SUMIF('Budget-ACPSZL'!$A:$A,$A151,'Budget-ACPSZL'!N:N)+SUMIF('Budget-ACPLSZ'!$A:$A,$A151,'Budget-ACPLSZ'!N:N)+SUMIF('Budget-ACPLGZ'!$A:$A,$A151,'Budget-ACPLGZ'!N:N)+SUMIF('Budget-Yixing'!$A:$A,$A151,'Budget-Yixing'!N:N)</f>
        <v>0</v>
      </c>
      <c r="O151" s="676">
        <f ca="1">SUMIF('Budget-ACPL'!$A:$A,$A151,'Budget-ACPL'!O:O)+SUMIF('Budget-ACPLHK'!$A:$A,$A151,'Budget-ACPLHK'!O:O)+SUMIF('Budget-ACPSZL'!$A:$A,$A151,'Budget-ACPSZL'!O:O)+SUMIF('Budget-ACPLSZ'!$A:$A,$A151,'Budget-ACPLSZ'!O:O)+SUMIF('Budget-ACPLGZ'!$A:$A,$A151,'Budget-ACPLGZ'!O:O)+SUMIF('Budget-Yixing'!$A:$A,$A151,'Budget-Yixing'!O:O)</f>
        <v>0</v>
      </c>
      <c r="P151" s="676">
        <f ca="1">SUMIF('Budget-ACPL'!$A:$A,$A151,'Budget-ACPL'!P:P)+SUMIF('Budget-ACPLHK'!$A:$A,$A151,'Budget-ACPLHK'!P:P)+SUMIF('Budget-ACPSZL'!$A:$A,$A151,'Budget-ACPSZL'!P:P)+SUMIF('Budget-ACPLSZ'!$A:$A,$A151,'Budget-ACPLSZ'!P:P)+SUMIF('Budget-ACPLGZ'!$A:$A,$A151,'Budget-ACPLGZ'!P:P)+SUMIF('Budget-Yixing'!$A:$A,$A151,'Budget-Yixing'!P:P)</f>
        <v>25010</v>
      </c>
      <c r="Q151" s="676">
        <f ca="1">SUMIF('Budget-ACPL'!$A:$A,$A151,'Budget-ACPL'!Q:Q)+SUMIF('Budget-ACPLHK'!$A:$A,$A151,'Budget-ACPLHK'!Q:Q)+SUMIF('Budget-ACPSZL'!$A:$A,$A151,'Budget-ACPSZL'!Q:Q)+SUMIF('Budget-ACPLSZ'!$A:$A,$A151,'Budget-ACPLSZ'!Q:Q)+SUMIF('Budget-ACPLGZ'!$A:$A,$A151,'Budget-ACPLGZ'!Q:Q)+SUMIF('Budget-Yixing'!$A:$A,$A151,'Budget-Yixing'!Q:Q)</f>
        <v>0</v>
      </c>
      <c r="R151" s="676">
        <f ca="1">SUMIF('Budget-ACPL'!$A:$A,$A151,'Budget-ACPL'!R:R)+SUMIF('Budget-ACPLHK'!$A:$A,$A151,'Budget-ACPLHK'!R:R)+SUMIF('Budget-ACPSZL'!$A:$A,$A151,'Budget-ACPSZL'!R:R)+SUMIF('Budget-ACPLSZ'!$A:$A,$A151,'Budget-ACPLSZ'!R:R)+SUMIF('Budget-ACPLGZ'!$A:$A,$A151,'Budget-ACPLGZ'!R:R)+SUMIF('Budget-Yixing'!$A:$A,$A151,'Budget-Yixing'!R:R)</f>
        <v>0</v>
      </c>
      <c r="S151" s="676">
        <f ca="1">SUMIF('Budget-ACPL'!$A:$A,$A151,'Budget-ACPL'!S:S)+SUMIF('Budget-ACPLHK'!$A:$A,$A151,'Budget-ACPLHK'!S:S)+SUMIF('Budget-ACPSZL'!$A:$A,$A151,'Budget-ACPSZL'!S:S)+SUMIF('Budget-ACPLSZ'!$A:$A,$A151,'Budget-ACPLSZ'!S:S)+SUMIF('Budget-ACPLGZ'!$A:$A,$A151,'Budget-ACPLGZ'!S:S)+SUMIF('Budget-Yixing'!$A:$A,$A151,'Budget-Yixing'!S:S)</f>
        <v>0</v>
      </c>
      <c r="T151" s="676">
        <f ca="1">SUMIF('Budget-ACPL'!$A:$A,$A151,'Budget-ACPL'!T:T)+SUMIF('Budget-ACPLHK'!$A:$A,$A151,'Budget-ACPLHK'!T:T)+SUMIF('Budget-ACPSZL'!$A:$A,$A151,'Budget-ACPSZL'!T:T)+SUMIF('Budget-ACPLSZ'!$A:$A,$A151,'Budget-ACPLSZ'!T:T)+SUMIF('Budget-ACPLGZ'!$A:$A,$A151,'Budget-ACPLGZ'!T:T)+SUMIF('Budget-Yixing'!$A:$A,$A151,'Budget-Yixing'!T:T)</f>
        <v>0</v>
      </c>
      <c r="U151" s="676">
        <f ca="1">SUMIF('Budget-ACPL'!$A:$A,$A151,'Budget-ACPL'!U:U)+SUMIF('Budget-ACPLHK'!$A:$A,$A151,'Budget-ACPLHK'!U:U)+SUMIF('Budget-ACPSZL'!$A:$A,$A151,'Budget-ACPSZL'!U:U)+SUMIF('Budget-ACPLSZ'!$A:$A,$A151,'Budget-ACPLSZ'!U:U)+SUMIF('Budget-ACPLGZ'!$A:$A,$A151,'Budget-ACPLGZ'!U:U)+SUMIF('Budget-Yixing'!$A:$A,$A151,'Budget-Yixing'!U:U)</f>
        <v>0</v>
      </c>
      <c r="V151" s="676">
        <f ca="1">SUMIF('Budget-ACPL'!$A:$A,$A151,'Budget-ACPL'!V:V)+SUMIF('Budget-ACPLHK'!$A:$A,$A151,'Budget-ACPLHK'!V:V)+SUMIF('Budget-ACPSZL'!$A:$A,$A151,'Budget-ACPSZL'!V:V)+SUMIF('Budget-ACPLSZ'!$A:$A,$A151,'Budget-ACPLSZ'!V:V)+SUMIF('Budget-ACPLGZ'!$A:$A,$A151,'Budget-ACPLGZ'!V:V)+SUMIF('Budget-Yixing'!$A:$A,$A151,'Budget-Yixing'!V:V)</f>
        <v>0</v>
      </c>
      <c r="W151" s="676">
        <f t="shared" ca="1" si="45"/>
        <v>60000</v>
      </c>
      <c r="Y151" s="688">
        <f ca="1">SUMIF('Budget-ACPL'!$A:$A,$A151,'Budget-ACPL'!Y:Y)+SUMIF('Budget-ACPLHK'!$A:$A,$A151,'Budget-ACPLHK'!Y:Y)+SUMIF('Budget-ACPSZL'!$A:$A,$A151,'Budget-ACPSZL'!Y:Y)+SUMIF('Budget-ACPLSZ'!$A:$A,$A151,'Budget-ACPLSZ'!Y:Y)+SUMIF('Budget-ACPLGZ'!$A:$A,$A151,'Budget-ACPLGZ'!Y:Y)+SUMIF('Budget-Yixing'!$A:$A,$A151,'Budget-Yixing'!Y:Y)</f>
        <v>0</v>
      </c>
      <c r="Z151" s="688">
        <f ca="1">SUMIF('Budget-ACPL'!$A:$A,$A151,'Budget-ACPL'!Z:Z)+SUMIF('Budget-ACPLHK'!$A:$A,$A151,'Budget-ACPLHK'!Z:Z)+SUMIF('Budget-ACPSZL'!$A:$A,$A151,'Budget-ACPSZL'!Z:Z)+SUMIF('Budget-ACPLSZ'!$A:$A,$A151,'Budget-ACPLSZ'!Z:Z)+SUMIF('Budget-ACPLGZ'!$A:$A,$A151,'Budget-ACPLGZ'!Z:Z)+SUMIF('Budget-Yixing'!$A:$A,$A151,'Budget-Yixing'!Z:Z)</f>
        <v>0</v>
      </c>
      <c r="AA151" s="688">
        <f ca="1">SUMIF('Budget-ACPL'!$A:$A,$A151,'Budget-ACPL'!AA:AA)+SUMIF('Budget-ACPLHK'!$A:$A,$A151,'Budget-ACPLHK'!AA:AA)+SUMIF('Budget-ACPSZL'!$A:$A,$A151,'Budget-ACPSZL'!AA:AA)+SUMIF('Budget-ACPLSZ'!$A:$A,$A151,'Budget-ACPLSZ'!AA:AA)+SUMIF('Budget-ACPLGZ'!$A:$A,$A151,'Budget-ACPLGZ'!AA:AA)+SUMIF('Budget-Yixing'!$A:$A,$A151,'Budget-Yixing'!AA:AA)</f>
        <v>4380</v>
      </c>
      <c r="AB151" s="688">
        <f ca="1">SUMIF('Budget-ACPL'!$A:$A,$A151,'Budget-ACPL'!AB:AB)+SUMIF('Budget-ACPLHK'!$A:$A,$A151,'Budget-ACPLHK'!AB:AB)+SUMIF('Budget-ACPSZL'!$A:$A,$A151,'Budget-ACPSZL'!AB:AB)+SUMIF('Budget-ACPLSZ'!$A:$A,$A151,'Budget-ACPLSZ'!AB:AB)+SUMIF('Budget-ACPLGZ'!$A:$A,$A151,'Budget-ACPLGZ'!AB:AB)+SUMIF('Budget-Yixing'!$A:$A,$A151,'Budget-Yixing'!AB:AB)</f>
        <v>0</v>
      </c>
      <c r="AC151" s="688">
        <f ca="1">SUMIF('Budget-ACPL'!$A:$A,$A151,'Budget-ACPL'!AC:AC)+SUMIF('Budget-ACPLHK'!$A:$A,$A151,'Budget-ACPLHK'!AC:AC)+SUMIF('Budget-ACPSZL'!$A:$A,$A151,'Budget-ACPSZL'!AC:AC)+SUMIF('Budget-ACPLSZ'!$A:$A,$A151,'Budget-ACPLSZ'!AC:AC)+SUMIF('Budget-ACPLGZ'!$A:$A,$A151,'Budget-ACPLGZ'!AC:AC)+SUMIF('Budget-Yixing'!$A:$A,$A151,'Budget-Yixing'!AC:AC)</f>
        <v>0</v>
      </c>
      <c r="AD151" s="688">
        <f ca="1">SUMIF('Budget-ACPL'!$A:$A,$A151,'Budget-ACPL'!AD:AD)+SUMIF('Budget-ACPLHK'!$A:$A,$A151,'Budget-ACPLHK'!AD:AD)+SUMIF('Budget-ACPSZL'!$A:$A,$A151,'Budget-ACPSZL'!AD:AD)+SUMIF('Budget-ACPLSZ'!$A:$A,$A151,'Budget-ACPLSZ'!AD:AD)+SUMIF('Budget-ACPLGZ'!$A:$A,$A151,'Budget-ACPLGZ'!AD:AD)+SUMIF('Budget-Yixing'!$A:$A,$A151,'Budget-Yixing'!AD:AD)</f>
        <v>0</v>
      </c>
      <c r="AE151" s="688">
        <f ca="1">SUMIF('Budget-ACPL'!$A:$A,$A151,'Budget-ACPL'!AE:AE)+SUMIF('Budget-ACPLHK'!$A:$A,$A151,'Budget-ACPLHK'!AE:AE)+SUMIF('Budget-ACPSZL'!$A:$A,$A151,'Budget-ACPSZL'!AE:AE)+SUMIF('Budget-ACPLSZ'!$A:$A,$A151,'Budget-ACPLSZ'!AE:AE)+SUMIF('Budget-ACPLGZ'!$A:$A,$A151,'Budget-ACPLGZ'!AE:AE)+SUMIF('Budget-Yixing'!$A:$A,$A151,'Budget-Yixing'!AE:AE)</f>
        <v>0</v>
      </c>
      <c r="AF151" s="688">
        <f ca="1">SUMIF('Budget-ACPL'!$A:$A,$A151,'Budget-ACPL'!AF:AF)+SUMIF('Budget-ACPLHK'!$A:$A,$A151,'Budget-ACPLHK'!AF:AF)+SUMIF('Budget-ACPSZL'!$A:$A,$A151,'Budget-ACPSZL'!AF:AF)+SUMIF('Budget-ACPLSZ'!$A:$A,$A151,'Budget-ACPLSZ'!AF:AF)+SUMIF('Budget-ACPLGZ'!$A:$A,$A151,'Budget-ACPLGZ'!AF:AF)+SUMIF('Budget-Yixing'!$A:$A,$A151,'Budget-Yixing'!AF:AF)</f>
        <v>0</v>
      </c>
      <c r="AG151" s="688">
        <f ca="1">SUMIF('Budget-ACPL'!$A:$A,$A151,'Budget-ACPL'!AG:AG)+SUMIF('Budget-ACPLHK'!$A:$A,$A151,'Budget-ACPLHK'!AG:AG)+SUMIF('Budget-ACPSZL'!$A:$A,$A151,'Budget-ACPSZL'!AG:AG)+SUMIF('Budget-ACPLSZ'!$A:$A,$A151,'Budget-ACPLSZ'!AG:AG)+SUMIF('Budget-ACPLGZ'!$A:$A,$A151,'Budget-ACPLGZ'!AG:AG)+SUMIF('Budget-Yixing'!$A:$A,$A151,'Budget-Yixing'!AG:AG)</f>
        <v>4400</v>
      </c>
      <c r="AH151" s="688">
        <f ca="1">SUMIF('Budget-ACPL'!$A:$A,$A151,'Budget-ACPL'!AH:AH)+SUMIF('Budget-ACPLHK'!$A:$A,$A151,'Budget-ACPLHK'!AH:AH)+SUMIF('Budget-ACPSZL'!$A:$A,$A151,'Budget-ACPSZL'!AH:AH)+SUMIF('Budget-ACPLSZ'!$A:$A,$A151,'Budget-ACPLSZ'!AH:AH)+SUMIF('Budget-ACPLGZ'!$A:$A,$A151,'Budget-ACPLGZ'!AH:AH)+SUMIF('Budget-Yixing'!$A:$A,$A151,'Budget-Yixing'!AH:AH)</f>
        <v>9480</v>
      </c>
      <c r="AI151" s="688">
        <f ca="1">SUMIF('Budget-ACPL'!$A:$A,$A151,'Budget-ACPL'!AI:AI)+SUMIF('Budget-ACPLHK'!$A:$A,$A151,'Budget-ACPLHK'!AI:AI)+SUMIF('Budget-ACPSZL'!$A:$A,$A151,'Budget-ACPSZL'!AI:AI)+SUMIF('Budget-ACPLSZ'!$A:$A,$A151,'Budget-ACPLSZ'!AI:AI)+SUMIF('Budget-ACPLGZ'!$A:$A,$A151,'Budget-ACPLGZ'!AI:AI)+SUMIF('Budget-Yixing'!$A:$A,$A151,'Budget-Yixing'!AI:AI)</f>
        <v>0</v>
      </c>
      <c r="AJ151" s="688">
        <f ca="1">SUMIF('Budget-ACPL'!$A:$A,$A151,'Budget-ACPL'!AJ:AJ)+SUMIF('Budget-ACPLHK'!$A:$A,$A151,'Budget-ACPLHK'!AJ:AJ)+SUMIF('Budget-ACPSZL'!$A:$A,$A151,'Budget-ACPSZL'!AJ:AJ)+SUMIF('Budget-ACPLSZ'!$A:$A,$A151,'Budget-ACPLSZ'!AJ:AJ)+SUMIF('Budget-ACPLGZ'!$A:$A,$A151,'Budget-ACPLGZ'!AJ:AJ)+SUMIF('Budget-Yixing'!$A:$A,$A151,'Budget-Yixing'!AJ:AJ)</f>
        <v>150</v>
      </c>
      <c r="AK151" s="688">
        <f t="shared" ca="1" si="43"/>
        <v>18410</v>
      </c>
    </row>
    <row r="152" spans="1:37" ht="13.5" customHeight="1">
      <c r="A152" s="713" t="s">
        <v>1888</v>
      </c>
      <c r="B152" s="687" t="str">
        <f>VLOOKUP(A152,Account!A:B,2,0)</f>
        <v>其他</v>
      </c>
      <c r="C152" s="687" t="str">
        <f>VLOOKUP(A152,Account!A:F,4,0)</f>
        <v>Admin Other</v>
      </c>
      <c r="D152" s="676">
        <f t="shared" ca="1" si="38"/>
        <v>0</v>
      </c>
      <c r="E152" s="676" t="e">
        <f t="shared" si="39"/>
        <v>#N/A</v>
      </c>
      <c r="F152" s="676" t="e">
        <f t="shared" ca="1" si="37"/>
        <v>#N/A</v>
      </c>
      <c r="G152" s="676">
        <f t="shared" ca="1" si="40"/>
        <v>0</v>
      </c>
      <c r="H152" s="676" t="e">
        <f t="shared" ca="1" si="41"/>
        <v>#N/A</v>
      </c>
      <c r="I152" s="676" t="e">
        <f t="shared" ca="1" si="42"/>
        <v>#N/A</v>
      </c>
      <c r="K152" s="676">
        <f ca="1">SUMIF('Budget-ACPL'!$A:$A,$A152,'Budget-ACPL'!K:K)+SUMIF('Budget-ACPLHK'!$A:$A,$A152,'Budget-ACPLHK'!K:K)+SUMIF('Budget-ACPSZL'!$A:$A,$A152,'Budget-ACPSZL'!K:K)+SUMIF('Budget-ACPLSZ'!$A:$A,$A152,'Budget-ACPLSZ'!K:K)+SUMIF('Budget-ACPLGZ'!$A:$A,$A152,'Budget-ACPLGZ'!K:K)+SUMIF('Budget-Yixing'!$A:$A,$A152,'Budget-Yixing'!K:K)</f>
        <v>0</v>
      </c>
      <c r="L152" s="676">
        <f ca="1">SUMIF('Budget-ACPL'!$A:$A,$A152,'Budget-ACPL'!L:L)+SUMIF('Budget-ACPLHK'!$A:$A,$A152,'Budget-ACPLHK'!L:L)+SUMIF('Budget-ACPSZL'!$A:$A,$A152,'Budget-ACPSZL'!L:L)+SUMIF('Budget-ACPLSZ'!$A:$A,$A152,'Budget-ACPLSZ'!L:L)+SUMIF('Budget-ACPLGZ'!$A:$A,$A152,'Budget-ACPLGZ'!L:L)+SUMIF('Budget-Yixing'!$A:$A,$A152,'Budget-Yixing'!L:L)</f>
        <v>0</v>
      </c>
      <c r="M152" s="676">
        <f ca="1">SUMIF('Budget-ACPL'!$A:$A,$A152,'Budget-ACPL'!M:M)+SUMIF('Budget-ACPLHK'!$A:$A,$A152,'Budget-ACPLHK'!M:M)+SUMIF('Budget-ACPSZL'!$A:$A,$A152,'Budget-ACPSZL'!M:M)+SUMIF('Budget-ACPLSZ'!$A:$A,$A152,'Budget-ACPLSZ'!M:M)+SUMIF('Budget-ACPLGZ'!$A:$A,$A152,'Budget-ACPLGZ'!M:M)+SUMIF('Budget-Yixing'!$A:$A,$A152,'Budget-Yixing'!M:M)</f>
        <v>0</v>
      </c>
      <c r="N152" s="676">
        <f ca="1">SUMIF('Budget-ACPL'!$A:$A,$A152,'Budget-ACPL'!N:N)+SUMIF('Budget-ACPLHK'!$A:$A,$A152,'Budget-ACPLHK'!N:N)+SUMIF('Budget-ACPSZL'!$A:$A,$A152,'Budget-ACPSZL'!N:N)+SUMIF('Budget-ACPLSZ'!$A:$A,$A152,'Budget-ACPLSZ'!N:N)+SUMIF('Budget-ACPLGZ'!$A:$A,$A152,'Budget-ACPLGZ'!N:N)+SUMIF('Budget-Yixing'!$A:$A,$A152,'Budget-Yixing'!N:N)</f>
        <v>0</v>
      </c>
      <c r="O152" s="676">
        <f ca="1">SUMIF('Budget-ACPL'!$A:$A,$A152,'Budget-ACPL'!O:O)+SUMIF('Budget-ACPLHK'!$A:$A,$A152,'Budget-ACPLHK'!O:O)+SUMIF('Budget-ACPSZL'!$A:$A,$A152,'Budget-ACPSZL'!O:O)+SUMIF('Budget-ACPLSZ'!$A:$A,$A152,'Budget-ACPLSZ'!O:O)+SUMIF('Budget-ACPLGZ'!$A:$A,$A152,'Budget-ACPLGZ'!O:O)+SUMIF('Budget-Yixing'!$A:$A,$A152,'Budget-Yixing'!O:O)</f>
        <v>0</v>
      </c>
      <c r="P152" s="676">
        <f ca="1">SUMIF('Budget-ACPL'!$A:$A,$A152,'Budget-ACPL'!P:P)+SUMIF('Budget-ACPLHK'!$A:$A,$A152,'Budget-ACPLHK'!P:P)+SUMIF('Budget-ACPSZL'!$A:$A,$A152,'Budget-ACPSZL'!P:P)+SUMIF('Budget-ACPLSZ'!$A:$A,$A152,'Budget-ACPLSZ'!P:P)+SUMIF('Budget-ACPLGZ'!$A:$A,$A152,'Budget-ACPLGZ'!P:P)+SUMIF('Budget-Yixing'!$A:$A,$A152,'Budget-Yixing'!P:P)</f>
        <v>0</v>
      </c>
      <c r="Q152" s="676">
        <f ca="1">SUMIF('Budget-ACPL'!$A:$A,$A152,'Budget-ACPL'!Q:Q)+SUMIF('Budget-ACPLHK'!$A:$A,$A152,'Budget-ACPLHK'!Q:Q)+SUMIF('Budget-ACPSZL'!$A:$A,$A152,'Budget-ACPSZL'!Q:Q)+SUMIF('Budget-ACPLSZ'!$A:$A,$A152,'Budget-ACPLSZ'!Q:Q)+SUMIF('Budget-ACPLGZ'!$A:$A,$A152,'Budget-ACPLGZ'!Q:Q)+SUMIF('Budget-Yixing'!$A:$A,$A152,'Budget-Yixing'!Q:Q)</f>
        <v>0</v>
      </c>
      <c r="R152" s="676">
        <f ca="1">SUMIF('Budget-ACPL'!$A:$A,$A152,'Budget-ACPL'!R:R)+SUMIF('Budget-ACPLHK'!$A:$A,$A152,'Budget-ACPLHK'!R:R)+SUMIF('Budget-ACPSZL'!$A:$A,$A152,'Budget-ACPSZL'!R:R)+SUMIF('Budget-ACPLSZ'!$A:$A,$A152,'Budget-ACPLSZ'!R:R)+SUMIF('Budget-ACPLGZ'!$A:$A,$A152,'Budget-ACPLGZ'!R:R)+SUMIF('Budget-Yixing'!$A:$A,$A152,'Budget-Yixing'!R:R)</f>
        <v>0</v>
      </c>
      <c r="S152" s="676">
        <f ca="1">SUMIF('Budget-ACPL'!$A:$A,$A152,'Budget-ACPL'!S:S)+SUMIF('Budget-ACPLHK'!$A:$A,$A152,'Budget-ACPLHK'!S:S)+SUMIF('Budget-ACPSZL'!$A:$A,$A152,'Budget-ACPSZL'!S:S)+SUMIF('Budget-ACPLSZ'!$A:$A,$A152,'Budget-ACPLSZ'!S:S)+SUMIF('Budget-ACPLGZ'!$A:$A,$A152,'Budget-ACPLGZ'!S:S)+SUMIF('Budget-Yixing'!$A:$A,$A152,'Budget-Yixing'!S:S)</f>
        <v>0</v>
      </c>
      <c r="T152" s="676">
        <f ca="1">SUMIF('Budget-ACPL'!$A:$A,$A152,'Budget-ACPL'!T:T)+SUMIF('Budget-ACPLHK'!$A:$A,$A152,'Budget-ACPLHK'!T:T)+SUMIF('Budget-ACPSZL'!$A:$A,$A152,'Budget-ACPSZL'!T:T)+SUMIF('Budget-ACPLSZ'!$A:$A,$A152,'Budget-ACPLSZ'!T:T)+SUMIF('Budget-ACPLGZ'!$A:$A,$A152,'Budget-ACPLGZ'!T:T)+SUMIF('Budget-Yixing'!$A:$A,$A152,'Budget-Yixing'!T:T)</f>
        <v>0</v>
      </c>
      <c r="U152" s="676">
        <f ca="1">SUMIF('Budget-ACPL'!$A:$A,$A152,'Budget-ACPL'!U:U)+SUMIF('Budget-ACPLHK'!$A:$A,$A152,'Budget-ACPLHK'!U:U)+SUMIF('Budget-ACPSZL'!$A:$A,$A152,'Budget-ACPSZL'!U:U)+SUMIF('Budget-ACPLSZ'!$A:$A,$A152,'Budget-ACPLSZ'!U:U)+SUMIF('Budget-ACPLGZ'!$A:$A,$A152,'Budget-ACPLGZ'!U:U)+SUMIF('Budget-Yixing'!$A:$A,$A152,'Budget-Yixing'!U:U)</f>
        <v>3943.3016700000003</v>
      </c>
      <c r="V152" s="676">
        <f ca="1">SUMIF('Budget-ACPL'!$A:$A,$A152,'Budget-ACPL'!V:V)+SUMIF('Budget-ACPLHK'!$A:$A,$A152,'Budget-ACPLHK'!V:V)+SUMIF('Budget-ACPSZL'!$A:$A,$A152,'Budget-ACPSZL'!V:V)+SUMIF('Budget-ACPLSZ'!$A:$A,$A152,'Budget-ACPLSZ'!V:V)+SUMIF('Budget-ACPLGZ'!$A:$A,$A152,'Budget-ACPLGZ'!V:V)+SUMIF('Budget-Yixing'!$A:$A,$A152,'Budget-Yixing'!V:V)</f>
        <v>0</v>
      </c>
      <c r="W152" s="676">
        <f t="shared" ca="1" si="45"/>
        <v>3943.3016700000003</v>
      </c>
      <c r="Y152" s="688">
        <f ca="1">SUMIF('Budget-ACPL'!$A:$A,$A152,'Budget-ACPL'!Y:Y)+SUMIF('Budget-ACPLHK'!$A:$A,$A152,'Budget-ACPLHK'!Y:Y)+SUMIF('Budget-ACPSZL'!$A:$A,$A152,'Budget-ACPSZL'!Y:Y)+SUMIF('Budget-ACPLSZ'!$A:$A,$A152,'Budget-ACPLSZ'!Y:Y)+SUMIF('Budget-ACPLGZ'!$A:$A,$A152,'Budget-ACPLGZ'!Y:Y)+SUMIF('Budget-Yixing'!$A:$A,$A152,'Budget-Yixing'!Y:Y)</f>
        <v>4963</v>
      </c>
      <c r="Z152" s="688">
        <f ca="1">SUMIF('Budget-ACPL'!$A:$A,$A152,'Budget-ACPL'!Z:Z)+SUMIF('Budget-ACPLHK'!$A:$A,$A152,'Budget-ACPLHK'!Z:Z)+SUMIF('Budget-ACPSZL'!$A:$A,$A152,'Budget-ACPSZL'!Z:Z)+SUMIF('Budget-ACPLSZ'!$A:$A,$A152,'Budget-ACPLSZ'!Z:Z)+SUMIF('Budget-ACPLGZ'!$A:$A,$A152,'Budget-ACPLGZ'!Z:Z)+SUMIF('Budget-Yixing'!$A:$A,$A152,'Budget-Yixing'!Z:Z)</f>
        <v>6289</v>
      </c>
      <c r="AA152" s="688">
        <f ca="1">SUMIF('Budget-ACPL'!$A:$A,$A152,'Budget-ACPL'!AA:AA)+SUMIF('Budget-ACPLHK'!$A:$A,$A152,'Budget-ACPLHK'!AA:AA)+SUMIF('Budget-ACPSZL'!$A:$A,$A152,'Budget-ACPSZL'!AA:AA)+SUMIF('Budget-ACPLSZ'!$A:$A,$A152,'Budget-ACPLSZ'!AA:AA)+SUMIF('Budget-ACPLGZ'!$A:$A,$A152,'Budget-ACPLGZ'!AA:AA)+SUMIF('Budget-Yixing'!$A:$A,$A152,'Budget-Yixing'!AA:AA)</f>
        <v>5352.2</v>
      </c>
      <c r="AB152" s="688">
        <f ca="1">SUMIF('Budget-ACPL'!$A:$A,$A152,'Budget-ACPL'!AB:AB)+SUMIF('Budget-ACPLHK'!$A:$A,$A152,'Budget-ACPLHK'!AB:AB)+SUMIF('Budget-ACPSZL'!$A:$A,$A152,'Budget-ACPSZL'!AB:AB)+SUMIF('Budget-ACPLSZ'!$A:$A,$A152,'Budget-ACPLSZ'!AB:AB)+SUMIF('Budget-ACPLGZ'!$A:$A,$A152,'Budget-ACPLGZ'!AB:AB)+SUMIF('Budget-Yixing'!$A:$A,$A152,'Budget-Yixing'!AB:AB)</f>
        <v>3400</v>
      </c>
      <c r="AC152" s="688">
        <f ca="1">SUMIF('Budget-ACPL'!$A:$A,$A152,'Budget-ACPL'!AC:AC)+SUMIF('Budget-ACPLHK'!$A:$A,$A152,'Budget-ACPLHK'!AC:AC)+SUMIF('Budget-ACPSZL'!$A:$A,$A152,'Budget-ACPSZL'!AC:AC)+SUMIF('Budget-ACPLSZ'!$A:$A,$A152,'Budget-ACPLSZ'!AC:AC)+SUMIF('Budget-ACPLGZ'!$A:$A,$A152,'Budget-ACPLGZ'!AC:AC)+SUMIF('Budget-Yixing'!$A:$A,$A152,'Budget-Yixing'!AC:AC)</f>
        <v>8820.4700000000012</v>
      </c>
      <c r="AD152" s="688">
        <f ca="1">SUMIF('Budget-ACPL'!$A:$A,$A152,'Budget-ACPL'!AD:AD)+SUMIF('Budget-ACPLHK'!$A:$A,$A152,'Budget-ACPLHK'!AD:AD)+SUMIF('Budget-ACPSZL'!$A:$A,$A152,'Budget-ACPSZL'!AD:AD)+SUMIF('Budget-ACPLSZ'!$A:$A,$A152,'Budget-ACPLSZ'!AD:AD)+SUMIF('Budget-ACPLGZ'!$A:$A,$A152,'Budget-ACPLGZ'!AD:AD)+SUMIF('Budget-Yixing'!$A:$A,$A152,'Budget-Yixing'!AD:AD)</f>
        <v>3700</v>
      </c>
      <c r="AE152" s="688">
        <f ca="1">SUMIF('Budget-ACPL'!$A:$A,$A152,'Budget-ACPL'!AE:AE)+SUMIF('Budget-ACPLHK'!$A:$A,$A152,'Budget-ACPLHK'!AE:AE)+SUMIF('Budget-ACPSZL'!$A:$A,$A152,'Budget-ACPSZL'!AE:AE)+SUMIF('Budget-ACPLSZ'!$A:$A,$A152,'Budget-ACPLSZ'!AE:AE)+SUMIF('Budget-ACPLGZ'!$A:$A,$A152,'Budget-ACPLGZ'!AE:AE)+SUMIF('Budget-Yixing'!$A:$A,$A152,'Budget-Yixing'!AE:AE)</f>
        <v>16400</v>
      </c>
      <c r="AF152" s="688">
        <f ca="1">SUMIF('Budget-ACPL'!$A:$A,$A152,'Budget-ACPL'!AF:AF)+SUMIF('Budget-ACPLHK'!$A:$A,$A152,'Budget-ACPLHK'!AF:AF)+SUMIF('Budget-ACPSZL'!$A:$A,$A152,'Budget-ACPSZL'!AF:AF)+SUMIF('Budget-ACPLSZ'!$A:$A,$A152,'Budget-ACPLSZ'!AF:AF)+SUMIF('Budget-ACPLGZ'!$A:$A,$A152,'Budget-ACPLGZ'!AF:AF)+SUMIF('Budget-Yixing'!$A:$A,$A152,'Budget-Yixing'!AF:AF)</f>
        <v>3789.39</v>
      </c>
      <c r="AG152" s="688">
        <f ca="1">SUMIF('Budget-ACPL'!$A:$A,$A152,'Budget-ACPL'!AG:AG)+SUMIF('Budget-ACPLHK'!$A:$A,$A152,'Budget-ACPLHK'!AG:AG)+SUMIF('Budget-ACPSZL'!$A:$A,$A152,'Budget-ACPSZL'!AG:AG)+SUMIF('Budget-ACPLSZ'!$A:$A,$A152,'Budget-ACPLSZ'!AG:AG)+SUMIF('Budget-ACPLGZ'!$A:$A,$A152,'Budget-ACPLGZ'!AG:AG)+SUMIF('Budget-Yixing'!$A:$A,$A152,'Budget-Yixing'!AG:AG)</f>
        <v>3400</v>
      </c>
      <c r="AH152" s="688">
        <f ca="1">SUMIF('Budget-ACPL'!$A:$A,$A152,'Budget-ACPL'!AH:AH)+SUMIF('Budget-ACPLHK'!$A:$A,$A152,'Budget-ACPLHK'!AH:AH)+SUMIF('Budget-ACPSZL'!$A:$A,$A152,'Budget-ACPSZL'!AH:AH)+SUMIF('Budget-ACPLSZ'!$A:$A,$A152,'Budget-ACPLSZ'!AH:AH)+SUMIF('Budget-ACPLGZ'!$A:$A,$A152,'Budget-ACPLGZ'!AH:AH)+SUMIF('Budget-Yixing'!$A:$A,$A152,'Budget-Yixing'!AH:AH)</f>
        <v>3400</v>
      </c>
      <c r="AI152" s="688">
        <f ca="1">SUMIF('Budget-ACPL'!$A:$A,$A152,'Budget-ACPL'!AI:AI)+SUMIF('Budget-ACPLHK'!$A:$A,$A152,'Budget-ACPLHK'!AI:AI)+SUMIF('Budget-ACPSZL'!$A:$A,$A152,'Budget-ACPSZL'!AI:AI)+SUMIF('Budget-ACPLSZ'!$A:$A,$A152,'Budget-ACPLSZ'!AI:AI)+SUMIF('Budget-ACPLGZ'!$A:$A,$A152,'Budget-ACPLGZ'!AI:AI)+SUMIF('Budget-Yixing'!$A:$A,$A152,'Budget-Yixing'!AI:AI)</f>
        <v>3400</v>
      </c>
      <c r="AJ152" s="688">
        <f ca="1">SUMIF('Budget-ACPL'!$A:$A,$A152,'Budget-ACPL'!AJ:AJ)+SUMIF('Budget-ACPLHK'!$A:$A,$A152,'Budget-ACPLHK'!AJ:AJ)+SUMIF('Budget-ACPSZL'!$A:$A,$A152,'Budget-ACPSZL'!AJ:AJ)+SUMIF('Budget-ACPLSZ'!$A:$A,$A152,'Budget-ACPLSZ'!AJ:AJ)+SUMIF('Budget-ACPLGZ'!$A:$A,$A152,'Budget-ACPLGZ'!AJ:AJ)+SUMIF('Budget-Yixing'!$A:$A,$A152,'Budget-Yixing'!AJ:AJ)</f>
        <v>5044</v>
      </c>
      <c r="AK152" s="688">
        <f t="shared" ca="1" si="43"/>
        <v>67958.06</v>
      </c>
    </row>
    <row r="153" spans="1:37" ht="13.5" customHeight="1">
      <c r="A153" s="713"/>
      <c r="B153" s="649" t="s">
        <v>2090</v>
      </c>
      <c r="C153" s="649"/>
      <c r="D153" s="674">
        <f t="shared" ca="1" si="38"/>
        <v>579703.33851891395</v>
      </c>
      <c r="E153" s="674" t="e">
        <f t="shared" si="39"/>
        <v>#N/A</v>
      </c>
      <c r="F153" s="674" t="e">
        <f t="shared" ca="1" si="37"/>
        <v>#N/A</v>
      </c>
      <c r="G153" s="674">
        <f t="shared" ca="1" si="40"/>
        <v>579703.33851891395</v>
      </c>
      <c r="H153" s="674" t="e">
        <f t="shared" ca="1" si="41"/>
        <v>#N/A</v>
      </c>
      <c r="I153" s="674" t="e">
        <f t="shared" ca="1" si="42"/>
        <v>#N/A</v>
      </c>
      <c r="K153" s="719">
        <f ca="1">SUM(K140:K152,K132,K127,K92,K75,K79,K80,K62,K44)</f>
        <v>579703.33851891395</v>
      </c>
      <c r="L153" s="719">
        <f t="shared" ref="L153:W153" ca="1" si="46">SUM(L140:L152,L132,L127,L92,L75,L79,L80,L62,L44)</f>
        <v>581969.25470005558</v>
      </c>
      <c r="M153" s="719">
        <f t="shared" ca="1" si="46"/>
        <v>487173.25470005558</v>
      </c>
      <c r="N153" s="719">
        <f t="shared" ca="1" si="46"/>
        <v>486491.75470005558</v>
      </c>
      <c r="O153" s="719">
        <f t="shared" ca="1" si="46"/>
        <v>882131.05470005563</v>
      </c>
      <c r="P153" s="719">
        <f t="shared" ca="1" si="46"/>
        <v>1195203.3847000557</v>
      </c>
      <c r="Q153" s="719">
        <f t="shared" ca="1" si="46"/>
        <v>488840.07136672223</v>
      </c>
      <c r="R153" s="719">
        <f t="shared" ca="1" si="46"/>
        <v>542983.57136672223</v>
      </c>
      <c r="S153" s="719">
        <f t="shared" ca="1" si="46"/>
        <v>690821.45336672221</v>
      </c>
      <c r="T153" s="719">
        <f t="shared" ca="1" si="46"/>
        <v>575047.59936672228</v>
      </c>
      <c r="U153" s="719">
        <f t="shared" ca="1" si="46"/>
        <v>542726.8730367223</v>
      </c>
      <c r="V153" s="719">
        <f t="shared" ca="1" si="46"/>
        <v>1137627.6673667221</v>
      </c>
      <c r="W153" s="719">
        <f t="shared" ca="1" si="46"/>
        <v>8190719.2778895255</v>
      </c>
      <c r="Y153" s="677">
        <f t="shared" ref="Y153:AK153" ca="1" si="47">SUM(Y44,Y62,Y75,Y79,Y80,Y92,Y127,Y132,Y140:Y152)</f>
        <v>796449.53</v>
      </c>
      <c r="Z153" s="677">
        <f t="shared" ca="1" si="47"/>
        <v>780096.7799999998</v>
      </c>
      <c r="AA153" s="677">
        <f t="shared" ca="1" si="47"/>
        <v>1322651.26</v>
      </c>
      <c r="AB153" s="677">
        <f t="shared" ca="1" si="47"/>
        <v>441529.13</v>
      </c>
      <c r="AC153" s="677">
        <f t="shared" ca="1" si="47"/>
        <v>695041.55</v>
      </c>
      <c r="AD153" s="677">
        <f t="shared" ca="1" si="47"/>
        <v>1505984.2</v>
      </c>
      <c r="AE153" s="677">
        <f t="shared" ca="1" si="47"/>
        <v>530869.40000000014</v>
      </c>
      <c r="AF153" s="677">
        <f t="shared" ca="1" si="47"/>
        <v>725981.06</v>
      </c>
      <c r="AG153" s="677">
        <f t="shared" ca="1" si="47"/>
        <v>806546.39000000013</v>
      </c>
      <c r="AH153" s="677">
        <f t="shared" ca="1" si="47"/>
        <v>120549.46000000002</v>
      </c>
      <c r="AI153" s="677">
        <f t="shared" ca="1" si="47"/>
        <v>651401.81000000006</v>
      </c>
      <c r="AJ153" s="677">
        <f t="shared" ca="1" si="47"/>
        <v>1309335.1500000001</v>
      </c>
      <c r="AK153" s="677">
        <f t="shared" ca="1" si="47"/>
        <v>9686435.7200000007</v>
      </c>
    </row>
    <row r="154" spans="1:37" ht="13.5" customHeight="1">
      <c r="A154" s="713"/>
      <c r="B154" s="649"/>
      <c r="C154" s="649"/>
      <c r="D154" s="674"/>
      <c r="E154" s="674"/>
      <c r="F154" s="674"/>
      <c r="G154" s="674"/>
      <c r="H154" s="674"/>
      <c r="I154" s="674"/>
      <c r="K154" s="674"/>
      <c r="L154" s="674"/>
      <c r="M154" s="674"/>
      <c r="N154" s="674"/>
      <c r="O154" s="674"/>
      <c r="P154" s="674"/>
      <c r="Q154" s="674"/>
      <c r="R154" s="674"/>
      <c r="S154" s="674"/>
      <c r="T154" s="674"/>
      <c r="U154" s="674"/>
      <c r="V154" s="674"/>
      <c r="W154" s="674"/>
    </row>
    <row r="155" spans="1:37" ht="13.5" customHeight="1">
      <c r="A155" s="715" t="s">
        <v>1891</v>
      </c>
      <c r="B155" s="720" t="s">
        <v>1892</v>
      </c>
      <c r="C155" s="687">
        <f>VLOOKUP(A155,Account!A:F,4,0)</f>
        <v>0</v>
      </c>
      <c r="D155" s="674"/>
      <c r="E155" s="674"/>
      <c r="F155" s="674"/>
      <c r="G155" s="674"/>
      <c r="H155" s="674"/>
      <c r="I155" s="674"/>
      <c r="K155" s="674"/>
      <c r="L155" s="674"/>
      <c r="M155" s="674"/>
      <c r="N155" s="674"/>
      <c r="O155" s="674"/>
      <c r="P155" s="674"/>
      <c r="Q155" s="674"/>
      <c r="R155" s="674"/>
      <c r="S155" s="674"/>
      <c r="T155" s="674"/>
      <c r="U155" s="674"/>
      <c r="V155" s="674"/>
      <c r="W155" s="674"/>
    </row>
    <row r="156" spans="1:37" ht="13.5" hidden="1" customHeight="1">
      <c r="A156" s="713" t="s">
        <v>1894</v>
      </c>
      <c r="B156" s="687" t="str">
        <f>VLOOKUP(A156,Account!A:B,2,0)</f>
        <v>汇兑损益</v>
      </c>
      <c r="C156" s="687" t="str">
        <f>VLOOKUP(A156,Account!A:F,4,0)</f>
        <v>FX Gain/Loss Net</v>
      </c>
      <c r="D156" s="676">
        <f t="shared" ref="D156:D169" ca="1" si="48">INDEX($K156:$W156,1,MATCH(D$6,$K$6:$W$6))</f>
        <v>0</v>
      </c>
      <c r="E156" s="676" t="e">
        <f t="shared" ref="E156:E172" si="49">INDEX($Y156:$AJ156,1,MATCH(E$6,$Y$6:$AJ$6))</f>
        <v>#N/A</v>
      </c>
      <c r="F156" s="676" t="e">
        <f t="shared" ref="F156:F172" ca="1" si="50">D156-E156</f>
        <v>#N/A</v>
      </c>
      <c r="G156" s="676">
        <f t="shared" ref="G156:G169" ca="1" si="51">SUM($K156:OFFSET($K156,0,MATCH(G$6,$K$6:$W$6)-1))</f>
        <v>0</v>
      </c>
      <c r="H156" s="676" t="e">
        <f t="shared" ref="H156:H172" ca="1" si="52">SUM($Y156:OFFSET($Y156,0,MATCH(H$6,$Y$6:$AJ$6)-1))</f>
        <v>#N/A</v>
      </c>
      <c r="I156" s="676" t="e">
        <f t="shared" ref="I156:I171" ca="1" si="53">G156-H156</f>
        <v>#N/A</v>
      </c>
      <c r="K156" s="676">
        <f ca="1">SUMIF('Budget-ACPL'!$A:$A,$A156,'Budget-ACPL'!K:K)+SUMIF('Budget-ACPLHK'!$A:$A,$A156,'Budget-ACPLHK'!K:K)+SUMIF('Budget-ACPSZL'!$A:$A,$A156,'Budget-ACPSZL'!K:K)+SUMIF('Budget-ACPLSZ'!$A:$A,$A156,'Budget-ACPLSZ'!K:K)+SUMIF('Budget-ACPLGZ'!$A:$A,$A156,'Budget-ACPLGZ'!K:K)+SUMIF('Budget-Yixing'!$A:$A,$A156,'Budget-Yixing'!K:K)</f>
        <v>0</v>
      </c>
      <c r="L156" s="676">
        <f ca="1">SUMIF('Budget-ACPL'!$A:$A,$A156,'Budget-ACPL'!L:L)+SUMIF('Budget-ACPLHK'!$A:$A,$A156,'Budget-ACPLHK'!L:L)+SUMIF('Budget-ACPSZL'!$A:$A,$A156,'Budget-ACPSZL'!L:L)+SUMIF('Budget-ACPLSZ'!$A:$A,$A156,'Budget-ACPLSZ'!L:L)+SUMIF('Budget-ACPLGZ'!$A:$A,$A156,'Budget-ACPLGZ'!L:L)+SUMIF('Budget-Yixing'!$A:$A,$A156,'Budget-Yixing'!L:L)</f>
        <v>0</v>
      </c>
      <c r="M156" s="676">
        <f ca="1">SUMIF('Budget-ACPL'!$A:$A,$A156,'Budget-ACPL'!M:M)+SUMIF('Budget-ACPLHK'!$A:$A,$A156,'Budget-ACPLHK'!M:M)+SUMIF('Budget-ACPSZL'!$A:$A,$A156,'Budget-ACPSZL'!M:M)+SUMIF('Budget-ACPLSZ'!$A:$A,$A156,'Budget-ACPLSZ'!M:M)+SUMIF('Budget-ACPLGZ'!$A:$A,$A156,'Budget-ACPLGZ'!M:M)+SUMIF('Budget-Yixing'!$A:$A,$A156,'Budget-Yixing'!M:M)</f>
        <v>0</v>
      </c>
      <c r="N156" s="676">
        <f ca="1">SUMIF('Budget-ACPL'!$A:$A,$A156,'Budget-ACPL'!N:N)+SUMIF('Budget-ACPLHK'!$A:$A,$A156,'Budget-ACPLHK'!N:N)+SUMIF('Budget-ACPSZL'!$A:$A,$A156,'Budget-ACPSZL'!N:N)+SUMIF('Budget-ACPLSZ'!$A:$A,$A156,'Budget-ACPLSZ'!N:N)+SUMIF('Budget-ACPLGZ'!$A:$A,$A156,'Budget-ACPLGZ'!N:N)+SUMIF('Budget-Yixing'!$A:$A,$A156,'Budget-Yixing'!N:N)</f>
        <v>0</v>
      </c>
      <c r="O156" s="676">
        <f ca="1">SUMIF('Budget-ACPL'!$A:$A,$A156,'Budget-ACPL'!O:O)+SUMIF('Budget-ACPLHK'!$A:$A,$A156,'Budget-ACPLHK'!O:O)+SUMIF('Budget-ACPSZL'!$A:$A,$A156,'Budget-ACPSZL'!O:O)+SUMIF('Budget-ACPLSZ'!$A:$A,$A156,'Budget-ACPLSZ'!O:O)+SUMIF('Budget-ACPLGZ'!$A:$A,$A156,'Budget-ACPLGZ'!O:O)+SUMIF('Budget-Yixing'!$A:$A,$A156,'Budget-Yixing'!O:O)</f>
        <v>0</v>
      </c>
      <c r="P156" s="676">
        <f ca="1">SUMIF('Budget-ACPL'!$A:$A,$A156,'Budget-ACPL'!P:P)+SUMIF('Budget-ACPLHK'!$A:$A,$A156,'Budget-ACPLHK'!P:P)+SUMIF('Budget-ACPSZL'!$A:$A,$A156,'Budget-ACPSZL'!P:P)+SUMIF('Budget-ACPLSZ'!$A:$A,$A156,'Budget-ACPLSZ'!P:P)+SUMIF('Budget-ACPLGZ'!$A:$A,$A156,'Budget-ACPLGZ'!P:P)+SUMIF('Budget-Yixing'!$A:$A,$A156,'Budget-Yixing'!P:P)</f>
        <v>0</v>
      </c>
      <c r="Q156" s="676">
        <f ca="1">SUMIF('Budget-ACPL'!$A:$A,$A156,'Budget-ACPL'!Q:Q)+SUMIF('Budget-ACPLHK'!$A:$A,$A156,'Budget-ACPLHK'!Q:Q)+SUMIF('Budget-ACPSZL'!$A:$A,$A156,'Budget-ACPSZL'!Q:Q)+SUMIF('Budget-ACPLSZ'!$A:$A,$A156,'Budget-ACPLSZ'!Q:Q)+SUMIF('Budget-ACPLGZ'!$A:$A,$A156,'Budget-ACPLGZ'!Q:Q)+SUMIF('Budget-Yixing'!$A:$A,$A156,'Budget-Yixing'!Q:Q)</f>
        <v>0</v>
      </c>
      <c r="R156" s="676">
        <f ca="1">SUMIF('Budget-ACPL'!$A:$A,$A156,'Budget-ACPL'!R:R)+SUMIF('Budget-ACPLHK'!$A:$A,$A156,'Budget-ACPLHK'!R:R)+SUMIF('Budget-ACPSZL'!$A:$A,$A156,'Budget-ACPSZL'!R:R)+SUMIF('Budget-ACPLSZ'!$A:$A,$A156,'Budget-ACPLSZ'!R:R)+SUMIF('Budget-ACPLGZ'!$A:$A,$A156,'Budget-ACPLGZ'!R:R)+SUMIF('Budget-Yixing'!$A:$A,$A156,'Budget-Yixing'!R:R)</f>
        <v>0</v>
      </c>
      <c r="S156" s="676">
        <f ca="1">SUMIF('Budget-ACPL'!$A:$A,$A156,'Budget-ACPL'!S:S)+SUMIF('Budget-ACPLHK'!$A:$A,$A156,'Budget-ACPLHK'!S:S)+SUMIF('Budget-ACPSZL'!$A:$A,$A156,'Budget-ACPSZL'!S:S)+SUMIF('Budget-ACPLSZ'!$A:$A,$A156,'Budget-ACPLSZ'!S:S)+SUMIF('Budget-ACPLGZ'!$A:$A,$A156,'Budget-ACPLGZ'!S:S)+SUMIF('Budget-Yixing'!$A:$A,$A156,'Budget-Yixing'!S:S)</f>
        <v>0</v>
      </c>
      <c r="T156" s="676">
        <f ca="1">SUMIF('Budget-ACPL'!$A:$A,$A156,'Budget-ACPL'!T:T)+SUMIF('Budget-ACPLHK'!$A:$A,$A156,'Budget-ACPLHK'!T:T)+SUMIF('Budget-ACPSZL'!$A:$A,$A156,'Budget-ACPSZL'!T:T)+SUMIF('Budget-ACPLSZ'!$A:$A,$A156,'Budget-ACPLSZ'!T:T)+SUMIF('Budget-ACPLGZ'!$A:$A,$A156,'Budget-ACPLGZ'!T:T)+SUMIF('Budget-Yixing'!$A:$A,$A156,'Budget-Yixing'!T:T)</f>
        <v>0</v>
      </c>
      <c r="U156" s="676">
        <f ca="1">SUMIF('Budget-ACPL'!$A:$A,$A156,'Budget-ACPL'!U:U)+SUMIF('Budget-ACPLHK'!$A:$A,$A156,'Budget-ACPLHK'!U:U)+SUMIF('Budget-ACPSZL'!$A:$A,$A156,'Budget-ACPSZL'!U:U)+SUMIF('Budget-ACPLSZ'!$A:$A,$A156,'Budget-ACPLSZ'!U:U)+SUMIF('Budget-ACPLGZ'!$A:$A,$A156,'Budget-ACPLGZ'!U:U)+SUMIF('Budget-Yixing'!$A:$A,$A156,'Budget-Yixing'!U:U)</f>
        <v>0</v>
      </c>
      <c r="V156" s="676">
        <f ca="1">SUMIF('Budget-ACPL'!$A:$A,$A156,'Budget-ACPL'!V:V)+SUMIF('Budget-ACPLHK'!$A:$A,$A156,'Budget-ACPLHK'!V:V)+SUMIF('Budget-ACPSZL'!$A:$A,$A156,'Budget-ACPSZL'!V:V)+SUMIF('Budget-ACPLSZ'!$A:$A,$A156,'Budget-ACPLSZ'!V:V)+SUMIF('Budget-ACPLGZ'!$A:$A,$A156,'Budget-ACPLGZ'!V:V)+SUMIF('Budget-Yixing'!$A:$A,$A156,'Budget-Yixing'!V:V)</f>
        <v>0</v>
      </c>
      <c r="W156" s="676">
        <f ca="1">SUM(K156:V156)</f>
        <v>0</v>
      </c>
      <c r="Y156" s="688">
        <f ca="1">SUMIF('Budget-ACPL'!$A:$A,$A156,'Budget-ACPL'!Y:Y)+SUMIF('Budget-ACPLHK'!$A:$A,$A156,'Budget-ACPLHK'!Y:Y)+SUMIF('Budget-ACPSZL'!$A:$A,$A156,'Budget-ACPSZL'!Y:Y)+SUMIF('Budget-ACPLSZ'!$A:$A,$A156,'Budget-ACPLSZ'!Y:Y)+SUMIF('Budget-ACPLGZ'!$A:$A,$A156,'Budget-ACPLGZ'!Y:Y)+SUMIF('Budget-Yixing'!$A:$A,$A156,'Budget-Yixing'!Y:Y)</f>
        <v>-417555.27</v>
      </c>
      <c r="Z156" s="688">
        <f ca="1">SUMIF('Budget-ACPL'!$A:$A,$A156,'Budget-ACPL'!Z:Z)+SUMIF('Budget-ACPLHK'!$A:$A,$A156,'Budget-ACPLHK'!Z:Z)+SUMIF('Budget-ACPSZL'!$A:$A,$A156,'Budget-ACPSZL'!Z:Z)+SUMIF('Budget-ACPLSZ'!$A:$A,$A156,'Budget-ACPLSZ'!Z:Z)+SUMIF('Budget-ACPLGZ'!$A:$A,$A156,'Budget-ACPLGZ'!Z:Z)+SUMIF('Budget-Yixing'!$A:$A,$A156,'Budget-Yixing'!Z:Z)</f>
        <v>217997.65000000002</v>
      </c>
      <c r="AA156" s="688">
        <f ca="1">SUMIF('Budget-ACPL'!$A:$A,$A156,'Budget-ACPL'!AA:AA)+SUMIF('Budget-ACPLHK'!$A:$A,$A156,'Budget-ACPLHK'!AA:AA)+SUMIF('Budget-ACPSZL'!$A:$A,$A156,'Budget-ACPSZL'!AA:AA)+SUMIF('Budget-ACPLSZ'!$A:$A,$A156,'Budget-ACPLSZ'!AA:AA)+SUMIF('Budget-ACPLGZ'!$A:$A,$A156,'Budget-ACPLGZ'!AA:AA)+SUMIF('Budget-Yixing'!$A:$A,$A156,'Budget-Yixing'!AA:AA)</f>
        <v>23055.74</v>
      </c>
      <c r="AB156" s="688">
        <f ca="1">SUMIF('Budget-ACPL'!$A:$A,$A156,'Budget-ACPL'!AB:AB)+SUMIF('Budget-ACPLHK'!$A:$A,$A156,'Budget-ACPLHK'!AB:AB)+SUMIF('Budget-ACPSZL'!$A:$A,$A156,'Budget-ACPSZL'!AB:AB)+SUMIF('Budget-ACPLSZ'!$A:$A,$A156,'Budget-ACPLSZ'!AB:AB)+SUMIF('Budget-ACPLGZ'!$A:$A,$A156,'Budget-ACPLGZ'!AB:AB)+SUMIF('Budget-Yixing'!$A:$A,$A156,'Budget-Yixing'!AB:AB)</f>
        <v>225688.46000000002</v>
      </c>
      <c r="AC156" s="688">
        <f ca="1">SUMIF('Budget-ACPL'!$A:$A,$A156,'Budget-ACPL'!AC:AC)+SUMIF('Budget-ACPLHK'!$A:$A,$A156,'Budget-ACPLHK'!AC:AC)+SUMIF('Budget-ACPSZL'!$A:$A,$A156,'Budget-ACPSZL'!AC:AC)+SUMIF('Budget-ACPLSZ'!$A:$A,$A156,'Budget-ACPLSZ'!AC:AC)+SUMIF('Budget-ACPLGZ'!$A:$A,$A156,'Budget-ACPLGZ'!AC:AC)+SUMIF('Budget-Yixing'!$A:$A,$A156,'Budget-Yixing'!AC:AC)</f>
        <v>-820848.71999999986</v>
      </c>
      <c r="AD156" s="688">
        <f ca="1">SUMIF('Budget-ACPL'!$A:$A,$A156,'Budget-ACPL'!AD:AD)+SUMIF('Budget-ACPLHK'!$A:$A,$A156,'Budget-ACPLHK'!AD:AD)+SUMIF('Budget-ACPSZL'!$A:$A,$A156,'Budget-ACPSZL'!AD:AD)+SUMIF('Budget-ACPLSZ'!$A:$A,$A156,'Budget-ACPLSZ'!AD:AD)+SUMIF('Budget-ACPLGZ'!$A:$A,$A156,'Budget-ACPLGZ'!AD:AD)+SUMIF('Budget-Yixing'!$A:$A,$A156,'Budget-Yixing'!AD:AD)</f>
        <v>-285676.17000000004</v>
      </c>
      <c r="AE156" s="688">
        <f ca="1">SUMIF('Budget-ACPL'!$A:$A,$A156,'Budget-ACPL'!AE:AE)+SUMIF('Budget-ACPLHK'!$A:$A,$A156,'Budget-ACPLHK'!AE:AE)+SUMIF('Budget-ACPSZL'!$A:$A,$A156,'Budget-ACPSZL'!AE:AE)+SUMIF('Budget-ACPLSZ'!$A:$A,$A156,'Budget-ACPLSZ'!AE:AE)+SUMIF('Budget-ACPLGZ'!$A:$A,$A156,'Budget-ACPLGZ'!AE:AE)+SUMIF('Budget-Yixing'!$A:$A,$A156,'Budget-Yixing'!AE:AE)</f>
        <v>-36766.26</v>
      </c>
      <c r="AF156" s="688">
        <f ca="1">SUMIF('Budget-ACPL'!$A:$A,$A156,'Budget-ACPL'!AF:AF)+SUMIF('Budget-ACPLHK'!$A:$A,$A156,'Budget-ACPLHK'!AF:AF)+SUMIF('Budget-ACPSZL'!$A:$A,$A156,'Budget-ACPSZL'!AF:AF)+SUMIF('Budget-ACPLSZ'!$A:$A,$A156,'Budget-ACPLSZ'!AF:AF)+SUMIF('Budget-ACPLGZ'!$A:$A,$A156,'Budget-ACPLGZ'!AF:AF)+SUMIF('Budget-Yixing'!$A:$A,$A156,'Budget-Yixing'!AF:AF)</f>
        <v>203878.93999999994</v>
      </c>
      <c r="AG156" s="688">
        <f ca="1">SUMIF('Budget-ACPL'!$A:$A,$A156,'Budget-ACPL'!AG:AG)+SUMIF('Budget-ACPLHK'!$A:$A,$A156,'Budget-ACPLHK'!AG:AG)+SUMIF('Budget-ACPSZL'!$A:$A,$A156,'Budget-ACPSZL'!AG:AG)+SUMIF('Budget-ACPLSZ'!$A:$A,$A156,'Budget-ACPLSZ'!AG:AG)+SUMIF('Budget-ACPLGZ'!$A:$A,$A156,'Budget-ACPLGZ'!AG:AG)+SUMIF('Budget-Yixing'!$A:$A,$A156,'Budget-Yixing'!AG:AG)</f>
        <v>99592.26</v>
      </c>
      <c r="AH156" s="688">
        <f ca="1">SUMIF('Budget-ACPL'!$A:$A,$A156,'Budget-ACPL'!AH:AH)+SUMIF('Budget-ACPLHK'!$A:$A,$A156,'Budget-ACPLHK'!AH:AH)+SUMIF('Budget-ACPSZL'!$A:$A,$A156,'Budget-ACPSZL'!AH:AH)+SUMIF('Budget-ACPLSZ'!$A:$A,$A156,'Budget-ACPLSZ'!AH:AH)+SUMIF('Budget-ACPLGZ'!$A:$A,$A156,'Budget-ACPLGZ'!AH:AH)+SUMIF('Budget-Yixing'!$A:$A,$A156,'Budget-Yixing'!AH:AH)</f>
        <v>1601.929999999993</v>
      </c>
      <c r="AI156" s="688">
        <f ca="1">SUMIF('Budget-ACPL'!$A:$A,$A156,'Budget-ACPL'!AI:AI)+SUMIF('Budget-ACPLHK'!$A:$A,$A156,'Budget-ACPLHK'!AI:AI)+SUMIF('Budget-ACPSZL'!$A:$A,$A156,'Budget-ACPSZL'!AI:AI)+SUMIF('Budget-ACPLSZ'!$A:$A,$A156,'Budget-ACPLSZ'!AI:AI)+SUMIF('Budget-ACPLGZ'!$A:$A,$A156,'Budget-ACPLGZ'!AI:AI)+SUMIF('Budget-Yixing'!$A:$A,$A156,'Budget-Yixing'!AI:AI)</f>
        <v>-168140.44</v>
      </c>
      <c r="AJ156" s="688">
        <f ca="1">SUMIF('Budget-ACPL'!$A:$A,$A156,'Budget-ACPL'!AJ:AJ)+SUMIF('Budget-ACPLHK'!$A:$A,$A156,'Budget-ACPLHK'!AJ:AJ)+SUMIF('Budget-ACPSZL'!$A:$A,$A156,'Budget-ACPSZL'!AJ:AJ)+SUMIF('Budget-ACPLSZ'!$A:$A,$A156,'Budget-ACPLSZ'!AJ:AJ)+SUMIF('Budget-ACPLGZ'!$A:$A,$A156,'Budget-ACPLGZ'!AJ:AJ)+SUMIF('Budget-Yixing'!$A:$A,$A156,'Budget-Yixing'!AJ:AJ)</f>
        <v>-303530.04000000004</v>
      </c>
      <c r="AK156" s="688">
        <f t="shared" ref="AK156:AK171" ca="1" si="54">SUM(Y156:AJ156)</f>
        <v>-1260701.9200000002</v>
      </c>
    </row>
    <row r="157" spans="1:37" ht="13.5" customHeight="1">
      <c r="A157" s="663" t="s">
        <v>1899</v>
      </c>
      <c r="B157" s="717" t="str">
        <f>VLOOKUP(A157,Account!A:B,2,0)</f>
        <v>利息费用</v>
      </c>
      <c r="C157" s="687">
        <f>VLOOKUP(A157,Account!A:F,4,0)</f>
        <v>0</v>
      </c>
      <c r="D157" s="676">
        <f t="shared" ca="1" si="48"/>
        <v>2698.8679752999997</v>
      </c>
      <c r="E157" s="676" t="e">
        <f t="shared" si="49"/>
        <v>#N/A</v>
      </c>
      <c r="F157" s="676" t="e">
        <f t="shared" ca="1" si="50"/>
        <v>#N/A</v>
      </c>
      <c r="G157" s="676">
        <f t="shared" ca="1" si="51"/>
        <v>2698.8679752999997</v>
      </c>
      <c r="H157" s="676" t="e">
        <f t="shared" ca="1" si="52"/>
        <v>#N/A</v>
      </c>
      <c r="I157" s="676" t="e">
        <f t="shared" ca="1" si="53"/>
        <v>#N/A</v>
      </c>
      <c r="K157" s="676">
        <f ca="1">SUMIF('Budget-ACPL'!$A:$A,$A157,'Budget-ACPL'!K:K)+SUMIF('Budget-ACPLHK'!$A:$A,$A157,'Budget-ACPLHK'!K:K)+SUMIF('Budget-ACPSZL'!$A:$A,$A157,'Budget-ACPSZL'!K:K)+SUMIF('Budget-ACPLSZ'!$A:$A,$A157,'Budget-ACPLSZ'!K:K)+SUMIF('Budget-ACPLGZ'!$A:$A,$A157,'Budget-ACPLGZ'!K:K)+SUMIF('Budget-Yixing'!$A:$A,$A157,'Budget-Yixing'!K:K)</f>
        <v>2698.8679752999997</v>
      </c>
      <c r="L157" s="676">
        <f ca="1">SUMIF('Budget-ACPL'!$A:$A,$A157,'Budget-ACPL'!L:L)+SUMIF('Budget-ACPLHK'!$A:$A,$A157,'Budget-ACPLHK'!L:L)+SUMIF('Budget-ACPSZL'!$A:$A,$A157,'Budget-ACPSZL'!L:L)+SUMIF('Budget-ACPLSZ'!$A:$A,$A157,'Budget-ACPLSZ'!L:L)+SUMIF('Budget-ACPLGZ'!$A:$A,$A157,'Budget-ACPLGZ'!L:L)+SUMIF('Budget-Yixing'!$A:$A,$A157,'Budget-Yixing'!L:L)</f>
        <v>2382.07233</v>
      </c>
      <c r="M157" s="676">
        <f ca="1">SUMIF('Budget-ACPL'!$A:$A,$A157,'Budget-ACPL'!M:M)+SUMIF('Budget-ACPLHK'!$A:$A,$A157,'Budget-ACPLHK'!M:M)+SUMIF('Budget-ACPSZL'!$A:$A,$A157,'Budget-ACPSZL'!M:M)+SUMIF('Budget-ACPLSZ'!$A:$A,$A157,'Budget-ACPLSZ'!M:M)+SUMIF('Budget-ACPLGZ'!$A:$A,$A157,'Budget-ACPLGZ'!M:M)+SUMIF('Budget-Yixing'!$A:$A,$A157,'Budget-Yixing'!M:M)</f>
        <v>2087.8939180000002</v>
      </c>
      <c r="N157" s="676">
        <f ca="1">SUMIF('Budget-ACPL'!$A:$A,$A157,'Budget-ACPL'!N:N)+SUMIF('Budget-ACPLHK'!$A:$A,$A157,'Budget-ACPLHK'!N:N)+SUMIF('Budget-ACPSZL'!$A:$A,$A157,'Budget-ACPSZL'!N:N)+SUMIF('Budget-ACPLSZ'!$A:$A,$A157,'Budget-ACPLSZ'!N:N)+SUMIF('Budget-ACPLGZ'!$A:$A,$A157,'Budget-ACPLGZ'!N:N)+SUMIF('Budget-Yixing'!$A:$A,$A157,'Budget-Yixing'!N:N)</f>
        <v>1792.7097979999999</v>
      </c>
      <c r="O157" s="676">
        <f ca="1">SUMIF('Budget-ACPL'!$A:$A,$A157,'Budget-ACPL'!O:O)+SUMIF('Budget-ACPLHK'!$A:$A,$A157,'Budget-ACPLHK'!O:O)+SUMIF('Budget-ACPSZL'!$A:$A,$A157,'Budget-ACPSZL'!O:O)+SUMIF('Budget-ACPLSZ'!$A:$A,$A157,'Budget-ACPLSZ'!O:O)+SUMIF('Budget-ACPLGZ'!$A:$A,$A157,'Budget-ACPLGZ'!O:O)+SUMIF('Budget-Yixing'!$A:$A,$A157,'Budget-Yixing'!O:O)</f>
        <v>1496.5111479999998</v>
      </c>
      <c r="P157" s="676">
        <f ca="1">SUMIF('Budget-ACPL'!$A:$A,$A157,'Budget-ACPL'!P:P)+SUMIF('Budget-ACPLHK'!$A:$A,$A157,'Budget-ACPLHK'!P:P)+SUMIF('Budget-ACPSZL'!$A:$A,$A157,'Budget-ACPSZL'!P:P)+SUMIF('Budget-ACPLSZ'!$A:$A,$A157,'Budget-ACPLSZ'!P:P)+SUMIF('Budget-ACPLGZ'!$A:$A,$A157,'Budget-ACPLGZ'!P:P)+SUMIF('Budget-Yixing'!$A:$A,$A157,'Budget-Yixing'!P:P)</f>
        <v>1199.2979680000001</v>
      </c>
      <c r="Q157" s="676">
        <f ca="1">SUMIF('Budget-ACPL'!$A:$A,$A157,'Budget-ACPL'!Q:Q)+SUMIF('Budget-ACPLHK'!$A:$A,$A157,'Budget-ACPLHK'!Q:Q)+SUMIF('Budget-ACPSZL'!$A:$A,$A157,'Budget-ACPSZL'!Q:Q)+SUMIF('Budget-ACPLSZ'!$A:$A,$A157,'Budget-ACPLSZ'!Q:Q)+SUMIF('Budget-ACPLGZ'!$A:$A,$A157,'Budget-ACPLGZ'!Q:Q)+SUMIF('Budget-Yixing'!$A:$A,$A157,'Budget-Yixing'!Q:Q)</f>
        <v>901.06143599999996</v>
      </c>
      <c r="R157" s="676">
        <f ca="1">SUMIF('Budget-ACPL'!$A:$A,$A157,'Budget-ACPL'!R:R)+SUMIF('Budget-ACPLHK'!$A:$A,$A157,'Budget-ACPLHK'!R:R)+SUMIF('Budget-ACPSZL'!$A:$A,$A157,'Budget-ACPSZL'!R:R)+SUMIF('Budget-ACPLSZ'!$A:$A,$A157,'Budget-ACPLSZ'!R:R)+SUMIF('Budget-ACPLGZ'!$A:$A,$A157,'Budget-ACPLGZ'!R:R)+SUMIF('Budget-Yixing'!$A:$A,$A157,'Budget-Yixing'!R:R)</f>
        <v>601.81037399999991</v>
      </c>
      <c r="S157" s="676">
        <f ca="1">SUMIF('Budget-ACPL'!$A:$A,$A157,'Budget-ACPL'!S:S)+SUMIF('Budget-ACPLHK'!$A:$A,$A157,'Budget-ACPLHK'!S:S)+SUMIF('Budget-ACPSZL'!$A:$A,$A157,'Budget-ACPSZL'!S:S)+SUMIF('Budget-ACPLSZ'!$A:$A,$A157,'Budget-ACPLSZ'!S:S)+SUMIF('Budget-ACPLGZ'!$A:$A,$A157,'Budget-ACPLGZ'!S:S)+SUMIF('Budget-Yixing'!$A:$A,$A157,'Budget-Yixing'!S:S)</f>
        <v>235.997322</v>
      </c>
      <c r="T157" s="676">
        <f ca="1">SUMIF('Budget-ACPL'!$A:$A,$A157,'Budget-ACPL'!T:T)+SUMIF('Budget-ACPLHK'!$A:$A,$A157,'Budget-ACPLHK'!T:T)+SUMIF('Budget-ACPSZL'!$A:$A,$A157,'Budget-ACPSZL'!T:T)+SUMIF('Budget-ACPLSZ'!$A:$A,$A157,'Budget-ACPLSZ'!T:T)+SUMIF('Budget-ACPLGZ'!$A:$A,$A157,'Budget-ACPLGZ'!T:T)+SUMIF('Budget-Yixing'!$A:$A,$A157,'Budget-Yixing'!T:T)</f>
        <v>0</v>
      </c>
      <c r="U157" s="676">
        <f ca="1">SUMIF('Budget-ACPL'!$A:$A,$A157,'Budget-ACPL'!U:U)+SUMIF('Budget-ACPLHK'!$A:$A,$A157,'Budget-ACPLHK'!U:U)+SUMIF('Budget-ACPSZL'!$A:$A,$A157,'Budget-ACPSZL'!U:U)+SUMIF('Budget-ACPLSZ'!$A:$A,$A157,'Budget-ACPLSZ'!U:U)+SUMIF('Budget-ACPLGZ'!$A:$A,$A157,'Budget-ACPLGZ'!U:U)+SUMIF('Budget-Yixing'!$A:$A,$A157,'Budget-Yixing'!U:U)</f>
        <v>0</v>
      </c>
      <c r="V157" s="676">
        <f ca="1">SUMIF('Budget-ACPL'!$A:$A,$A157,'Budget-ACPL'!V:V)+SUMIF('Budget-ACPLHK'!$A:$A,$A157,'Budget-ACPLHK'!V:V)+SUMIF('Budget-ACPSZL'!$A:$A,$A157,'Budget-ACPSZL'!V:V)+SUMIF('Budget-ACPLSZ'!$A:$A,$A157,'Budget-ACPLSZ'!V:V)+SUMIF('Budget-ACPLGZ'!$A:$A,$A157,'Budget-ACPLGZ'!V:V)+SUMIF('Budget-Yixing'!$A:$A,$A157,'Budget-Yixing'!V:V)</f>
        <v>0</v>
      </c>
      <c r="W157" s="676">
        <f ca="1">SUM(K157:V157)</f>
        <v>13396.2222693</v>
      </c>
      <c r="Y157" s="688">
        <f ca="1">SUMIF('Budget-ACPL'!$A:$A,$A157,'Budget-ACPL'!Y:Y)+SUMIF('Budget-ACPLHK'!$A:$A,$A157,'Budget-ACPLHK'!Y:Y)+SUMIF('Budget-ACPSZL'!$A:$A,$A157,'Budget-ACPSZL'!Y:Y)+SUMIF('Budget-ACPLSZ'!$A:$A,$A157,'Budget-ACPLSZ'!Y:Y)+SUMIF('Budget-ACPLGZ'!$A:$A,$A157,'Budget-ACPLGZ'!Y:Y)+SUMIF('Budget-Yixing'!$A:$A,$A157,'Budget-Yixing'!Y:Y)</f>
        <v>5068.3599999999997</v>
      </c>
      <c r="Z157" s="688">
        <f ca="1">SUMIF('Budget-ACPL'!$A:$A,$A157,'Budget-ACPL'!Z:Z)+SUMIF('Budget-ACPLHK'!$A:$A,$A157,'Budget-ACPLHK'!Z:Z)+SUMIF('Budget-ACPSZL'!$A:$A,$A157,'Budget-ACPSZL'!Z:Z)+SUMIF('Budget-ACPLSZ'!$A:$A,$A157,'Budget-ACPLSZ'!Z:Z)+SUMIF('Budget-ACPLGZ'!$A:$A,$A157,'Budget-ACPLGZ'!Z:Z)+SUMIF('Budget-Yixing'!$A:$A,$A157,'Budget-Yixing'!Z:Z)</f>
        <v>6830.0300000000007</v>
      </c>
      <c r="AA157" s="688">
        <f ca="1">SUMIF('Budget-ACPL'!$A:$A,$A157,'Budget-ACPL'!AA:AA)+SUMIF('Budget-ACPLHK'!$A:$A,$A157,'Budget-ACPLHK'!AA:AA)+SUMIF('Budget-ACPSZL'!$A:$A,$A157,'Budget-ACPSZL'!AA:AA)+SUMIF('Budget-ACPLSZ'!$A:$A,$A157,'Budget-ACPLSZ'!AA:AA)+SUMIF('Budget-ACPLGZ'!$A:$A,$A157,'Budget-ACPLGZ'!AA:AA)+SUMIF('Budget-Yixing'!$A:$A,$A157,'Budget-Yixing'!AA:AA)</f>
        <v>6490.6500000000005</v>
      </c>
      <c r="AB157" s="688">
        <f ca="1">SUMIF('Budget-ACPL'!$A:$A,$A157,'Budget-ACPL'!AB:AB)+SUMIF('Budget-ACPLHK'!$A:$A,$A157,'Budget-ACPLHK'!AB:AB)+SUMIF('Budget-ACPSZL'!$A:$A,$A157,'Budget-ACPSZL'!AB:AB)+SUMIF('Budget-ACPLSZ'!$A:$A,$A157,'Budget-ACPLSZ'!AB:AB)+SUMIF('Budget-ACPLGZ'!$A:$A,$A157,'Budget-ACPLGZ'!AB:AB)+SUMIF('Budget-Yixing'!$A:$A,$A157,'Budget-Yixing'!AB:AB)</f>
        <v>6150.11</v>
      </c>
      <c r="AC157" s="688">
        <f ca="1">SUMIF('Budget-ACPL'!$A:$A,$A157,'Budget-ACPL'!AC:AC)+SUMIF('Budget-ACPLHK'!$A:$A,$A157,'Budget-ACPLHK'!AC:AC)+SUMIF('Budget-ACPSZL'!$A:$A,$A157,'Budget-ACPSZL'!AC:AC)+SUMIF('Budget-ACPLSZ'!$A:$A,$A157,'Budget-ACPLSZ'!AC:AC)+SUMIF('Budget-ACPLGZ'!$A:$A,$A157,'Budget-ACPLGZ'!AC:AC)+SUMIF('Budget-Yixing'!$A:$A,$A157,'Budget-Yixing'!AC:AC)</f>
        <v>5808.41</v>
      </c>
      <c r="AD157" s="688">
        <f ca="1">SUMIF('Budget-ACPL'!$A:$A,$A157,'Budget-ACPL'!AD:AD)+SUMIF('Budget-ACPLHK'!$A:$A,$A157,'Budget-ACPLHK'!AD:AD)+SUMIF('Budget-ACPSZL'!$A:$A,$A157,'Budget-ACPSZL'!AD:AD)+SUMIF('Budget-ACPLSZ'!$A:$A,$A157,'Budget-ACPLSZ'!AD:AD)+SUMIF('Budget-ACPLGZ'!$A:$A,$A157,'Budget-ACPLGZ'!AD:AD)+SUMIF('Budget-Yixing'!$A:$A,$A157,'Budget-Yixing'!AD:AD)</f>
        <v>5465.53</v>
      </c>
      <c r="AE157" s="688">
        <f ca="1">SUMIF('Budget-ACPL'!$A:$A,$A157,'Budget-ACPL'!AE:AE)+SUMIF('Budget-ACPLHK'!$A:$A,$A157,'Budget-ACPLHK'!AE:AE)+SUMIF('Budget-ACPSZL'!$A:$A,$A157,'Budget-ACPSZL'!AE:AE)+SUMIF('Budget-ACPLSZ'!$A:$A,$A157,'Budget-ACPLSZ'!AE:AE)+SUMIF('Budget-ACPLGZ'!$A:$A,$A157,'Budget-ACPLGZ'!AE:AE)+SUMIF('Budget-Yixing'!$A:$A,$A157,'Budget-Yixing'!AE:AE)</f>
        <v>5121.49</v>
      </c>
      <c r="AF157" s="688">
        <f ca="1">SUMIF('Budget-ACPL'!$A:$A,$A157,'Budget-ACPL'!AF:AF)+SUMIF('Budget-ACPLHK'!$A:$A,$A157,'Budget-ACPLHK'!AF:AF)+SUMIF('Budget-ACPSZL'!$A:$A,$A157,'Budget-ACPSZL'!AF:AF)+SUMIF('Budget-ACPLSZ'!$A:$A,$A157,'Budget-ACPLSZ'!AF:AF)+SUMIF('Budget-ACPLGZ'!$A:$A,$A157,'Budget-ACPLGZ'!AF:AF)+SUMIF('Budget-Yixing'!$A:$A,$A157,'Budget-Yixing'!AF:AF)</f>
        <v>4776.29</v>
      </c>
      <c r="AG157" s="688">
        <f ca="1">SUMIF('Budget-ACPL'!$A:$A,$A157,'Budget-ACPL'!AG:AG)+SUMIF('Budget-ACPLHK'!$A:$A,$A157,'Budget-ACPLHK'!AG:AG)+SUMIF('Budget-ACPSZL'!$A:$A,$A157,'Budget-ACPSZL'!AG:AG)+SUMIF('Budget-ACPLSZ'!$A:$A,$A157,'Budget-ACPLSZ'!AG:AG)+SUMIF('Budget-ACPLGZ'!$A:$A,$A157,'Budget-ACPLGZ'!AG:AG)+SUMIF('Budget-Yixing'!$A:$A,$A157,'Budget-Yixing'!AG:AG)</f>
        <v>4429.8899999999994</v>
      </c>
      <c r="AH157" s="688">
        <f ca="1">SUMIF('Budget-ACPL'!$A:$A,$A157,'Budget-ACPL'!AH:AH)+SUMIF('Budget-ACPLHK'!$A:$A,$A157,'Budget-ACPLHK'!AH:AH)+SUMIF('Budget-ACPSZL'!$A:$A,$A157,'Budget-ACPSZL'!AH:AH)+SUMIF('Budget-ACPLSZ'!$A:$A,$A157,'Budget-ACPLSZ'!AH:AH)+SUMIF('Budget-ACPLGZ'!$A:$A,$A157,'Budget-ACPLGZ'!AH:AH)+SUMIF('Budget-Yixing'!$A:$A,$A157,'Budget-Yixing'!AH:AH)</f>
        <v>4082.3199999999997</v>
      </c>
      <c r="AI157" s="688">
        <f ca="1">SUMIF('Budget-ACPL'!$A:$A,$A157,'Budget-ACPL'!AI:AI)+SUMIF('Budget-ACPLHK'!$A:$A,$A157,'Budget-ACPLHK'!AI:AI)+SUMIF('Budget-ACPSZL'!$A:$A,$A157,'Budget-ACPSZL'!AI:AI)+SUMIF('Budget-ACPLSZ'!$A:$A,$A157,'Budget-ACPLSZ'!AI:AI)+SUMIF('Budget-ACPLGZ'!$A:$A,$A157,'Budget-ACPLGZ'!AI:AI)+SUMIF('Budget-Yixing'!$A:$A,$A157,'Budget-Yixing'!AI:AI)</f>
        <v>3733.56</v>
      </c>
      <c r="AJ157" s="688">
        <f ca="1">SUMIF('Budget-ACPL'!$A:$A,$A157,'Budget-ACPL'!AJ:AJ)+SUMIF('Budget-ACPLHK'!$A:$A,$A157,'Budget-ACPLHK'!AJ:AJ)+SUMIF('Budget-ACPSZL'!$A:$A,$A157,'Budget-ACPSZL'!AJ:AJ)+SUMIF('Budget-ACPLSZ'!$A:$A,$A157,'Budget-ACPLSZ'!AJ:AJ)+SUMIF('Budget-ACPLGZ'!$A:$A,$A157,'Budget-ACPLGZ'!AJ:AJ)+SUMIF('Budget-Yixing'!$A:$A,$A157,'Budget-Yixing'!AJ:AJ)</f>
        <v>3383.6</v>
      </c>
      <c r="AK157" s="688">
        <f t="shared" ca="1" si="54"/>
        <v>61340.24</v>
      </c>
    </row>
    <row r="158" spans="1:37" ht="13.5" hidden="1" customHeight="1">
      <c r="A158" s="653" t="s">
        <v>1903</v>
      </c>
      <c r="B158" s="687" t="str">
        <f>VLOOKUP(A158,Account!A:B,2,0)</f>
        <v>打印机租赁</v>
      </c>
      <c r="C158" s="687">
        <f>VLOOKUP(A158,Account!A:F,4,0)</f>
        <v>0</v>
      </c>
      <c r="D158" s="676">
        <f t="shared" ca="1" si="48"/>
        <v>0</v>
      </c>
      <c r="E158" s="676" t="e">
        <f t="shared" si="49"/>
        <v>#N/A</v>
      </c>
      <c r="F158" s="676" t="e">
        <f t="shared" ca="1" si="50"/>
        <v>#N/A</v>
      </c>
      <c r="G158" s="676">
        <f t="shared" ca="1" si="51"/>
        <v>0</v>
      </c>
      <c r="H158" s="676" t="e">
        <f t="shared" ca="1" si="52"/>
        <v>#N/A</v>
      </c>
      <c r="I158" s="676" t="e">
        <f t="shared" ca="1" si="53"/>
        <v>#N/A</v>
      </c>
      <c r="K158" s="676">
        <f ca="1">SUMIF('Budget-ACPL'!$A:$A,$A158,'Budget-ACPL'!K:K)+SUMIF('Budget-ACPLHK'!$A:$A,$A158,'Budget-ACPLHK'!K:K)+SUMIF('Budget-ACPSZL'!$A:$A,$A158,'Budget-ACPSZL'!K:K)+SUMIF('Budget-ACPLSZ'!$A:$A,$A158,'Budget-ACPLSZ'!K:K)+SUMIF('Budget-ACPLGZ'!$A:$A,$A158,'Budget-ACPLGZ'!K:K)+SUMIF('Budget-Yixing'!$A:$A,$A158,'Budget-Yixing'!K:K)</f>
        <v>0</v>
      </c>
      <c r="L158" s="676">
        <f ca="1">SUMIF('Budget-ACPL'!$A:$A,$A158,'Budget-ACPL'!L:L)+SUMIF('Budget-ACPLHK'!$A:$A,$A158,'Budget-ACPLHK'!L:L)+SUMIF('Budget-ACPSZL'!$A:$A,$A158,'Budget-ACPSZL'!L:L)+SUMIF('Budget-ACPLSZ'!$A:$A,$A158,'Budget-ACPLSZ'!L:L)+SUMIF('Budget-ACPLGZ'!$A:$A,$A158,'Budget-ACPLGZ'!L:L)+SUMIF('Budget-Yixing'!$A:$A,$A158,'Budget-Yixing'!L:L)</f>
        <v>0</v>
      </c>
      <c r="M158" s="676">
        <f ca="1">SUMIF('Budget-ACPL'!$A:$A,$A158,'Budget-ACPL'!M:M)+SUMIF('Budget-ACPLHK'!$A:$A,$A158,'Budget-ACPLHK'!M:M)+SUMIF('Budget-ACPSZL'!$A:$A,$A158,'Budget-ACPSZL'!M:M)+SUMIF('Budget-ACPLSZ'!$A:$A,$A158,'Budget-ACPLSZ'!M:M)+SUMIF('Budget-ACPLGZ'!$A:$A,$A158,'Budget-ACPLGZ'!M:M)+SUMIF('Budget-Yixing'!$A:$A,$A158,'Budget-Yixing'!M:M)</f>
        <v>0</v>
      </c>
      <c r="N158" s="676">
        <f ca="1">SUMIF('Budget-ACPL'!$A:$A,$A158,'Budget-ACPL'!N:N)+SUMIF('Budget-ACPLHK'!$A:$A,$A158,'Budget-ACPLHK'!N:N)+SUMIF('Budget-ACPSZL'!$A:$A,$A158,'Budget-ACPSZL'!N:N)+SUMIF('Budget-ACPLSZ'!$A:$A,$A158,'Budget-ACPLSZ'!N:N)+SUMIF('Budget-ACPLGZ'!$A:$A,$A158,'Budget-ACPLGZ'!N:N)+SUMIF('Budget-Yixing'!$A:$A,$A158,'Budget-Yixing'!N:N)</f>
        <v>0</v>
      </c>
      <c r="O158" s="676">
        <f ca="1">SUMIF('Budget-ACPL'!$A:$A,$A158,'Budget-ACPL'!O:O)+SUMIF('Budget-ACPLHK'!$A:$A,$A158,'Budget-ACPLHK'!O:O)+SUMIF('Budget-ACPSZL'!$A:$A,$A158,'Budget-ACPSZL'!O:O)+SUMIF('Budget-ACPLSZ'!$A:$A,$A158,'Budget-ACPLSZ'!O:O)+SUMIF('Budget-ACPLGZ'!$A:$A,$A158,'Budget-ACPLGZ'!O:O)+SUMIF('Budget-Yixing'!$A:$A,$A158,'Budget-Yixing'!O:O)</f>
        <v>0</v>
      </c>
      <c r="P158" s="676">
        <f ca="1">SUMIF('Budget-ACPL'!$A:$A,$A158,'Budget-ACPL'!P:P)+SUMIF('Budget-ACPLHK'!$A:$A,$A158,'Budget-ACPLHK'!P:P)+SUMIF('Budget-ACPSZL'!$A:$A,$A158,'Budget-ACPSZL'!P:P)+SUMIF('Budget-ACPLSZ'!$A:$A,$A158,'Budget-ACPLSZ'!P:P)+SUMIF('Budget-ACPLGZ'!$A:$A,$A158,'Budget-ACPLGZ'!P:P)+SUMIF('Budget-Yixing'!$A:$A,$A158,'Budget-Yixing'!P:P)</f>
        <v>0</v>
      </c>
      <c r="Q158" s="676">
        <f ca="1">SUMIF('Budget-ACPL'!$A:$A,$A158,'Budget-ACPL'!Q:Q)+SUMIF('Budget-ACPLHK'!$A:$A,$A158,'Budget-ACPLHK'!Q:Q)+SUMIF('Budget-ACPSZL'!$A:$A,$A158,'Budget-ACPSZL'!Q:Q)+SUMIF('Budget-ACPLSZ'!$A:$A,$A158,'Budget-ACPLSZ'!Q:Q)+SUMIF('Budget-ACPLGZ'!$A:$A,$A158,'Budget-ACPLGZ'!Q:Q)+SUMIF('Budget-Yixing'!$A:$A,$A158,'Budget-Yixing'!Q:Q)</f>
        <v>0</v>
      </c>
      <c r="R158" s="676">
        <f ca="1">SUMIF('Budget-ACPL'!$A:$A,$A158,'Budget-ACPL'!R:R)+SUMIF('Budget-ACPLHK'!$A:$A,$A158,'Budget-ACPLHK'!R:R)+SUMIF('Budget-ACPSZL'!$A:$A,$A158,'Budget-ACPSZL'!R:R)+SUMIF('Budget-ACPLSZ'!$A:$A,$A158,'Budget-ACPLSZ'!R:R)+SUMIF('Budget-ACPLGZ'!$A:$A,$A158,'Budget-ACPLGZ'!R:R)+SUMIF('Budget-Yixing'!$A:$A,$A158,'Budget-Yixing'!R:R)</f>
        <v>0</v>
      </c>
      <c r="S158" s="676">
        <f ca="1">SUMIF('Budget-ACPL'!$A:$A,$A158,'Budget-ACPL'!S:S)+SUMIF('Budget-ACPLHK'!$A:$A,$A158,'Budget-ACPLHK'!S:S)+SUMIF('Budget-ACPSZL'!$A:$A,$A158,'Budget-ACPSZL'!S:S)+SUMIF('Budget-ACPLSZ'!$A:$A,$A158,'Budget-ACPLSZ'!S:S)+SUMIF('Budget-ACPLGZ'!$A:$A,$A158,'Budget-ACPLGZ'!S:S)+SUMIF('Budget-Yixing'!$A:$A,$A158,'Budget-Yixing'!S:S)</f>
        <v>0</v>
      </c>
      <c r="T158" s="676">
        <f ca="1">SUMIF('Budget-ACPL'!$A:$A,$A158,'Budget-ACPL'!T:T)+SUMIF('Budget-ACPLHK'!$A:$A,$A158,'Budget-ACPLHK'!T:T)+SUMIF('Budget-ACPSZL'!$A:$A,$A158,'Budget-ACPSZL'!T:T)+SUMIF('Budget-ACPLSZ'!$A:$A,$A158,'Budget-ACPLSZ'!T:T)+SUMIF('Budget-ACPLGZ'!$A:$A,$A158,'Budget-ACPLGZ'!T:T)+SUMIF('Budget-Yixing'!$A:$A,$A158,'Budget-Yixing'!T:T)</f>
        <v>0</v>
      </c>
      <c r="U158" s="676">
        <f ca="1">SUMIF('Budget-ACPL'!$A:$A,$A158,'Budget-ACPL'!U:U)+SUMIF('Budget-ACPLHK'!$A:$A,$A158,'Budget-ACPLHK'!U:U)+SUMIF('Budget-ACPSZL'!$A:$A,$A158,'Budget-ACPSZL'!U:U)+SUMIF('Budget-ACPLSZ'!$A:$A,$A158,'Budget-ACPLSZ'!U:U)+SUMIF('Budget-ACPLGZ'!$A:$A,$A158,'Budget-ACPLGZ'!U:U)+SUMIF('Budget-Yixing'!$A:$A,$A158,'Budget-Yixing'!U:U)</f>
        <v>0</v>
      </c>
      <c r="V158" s="676">
        <f ca="1">SUMIF('Budget-ACPL'!$A:$A,$A158,'Budget-ACPL'!V:V)+SUMIF('Budget-ACPLHK'!$A:$A,$A158,'Budget-ACPLHK'!V:V)+SUMIF('Budget-ACPSZL'!$A:$A,$A158,'Budget-ACPSZL'!V:V)+SUMIF('Budget-ACPLSZ'!$A:$A,$A158,'Budget-ACPLSZ'!V:V)+SUMIF('Budget-ACPLGZ'!$A:$A,$A158,'Budget-ACPLGZ'!V:V)+SUMIF('Budget-Yixing'!$A:$A,$A158,'Budget-Yixing'!V:V)</f>
        <v>0</v>
      </c>
      <c r="W158" s="676">
        <f ca="1">SUM(K158:V158)</f>
        <v>0</v>
      </c>
      <c r="Y158" s="688">
        <f ca="1">SUMIF('Budget-ACPL'!$A:$A,$A158,'Budget-ACPL'!Y:Y)+SUMIF('Budget-ACPLHK'!$A:$A,$A158,'Budget-ACPLHK'!Y:Y)+SUMIF('Budget-ACPSZL'!$A:$A,$A158,'Budget-ACPSZL'!Y:Y)+SUMIF('Budget-ACPLSZ'!$A:$A,$A158,'Budget-ACPLSZ'!Y:Y)+SUMIF('Budget-ACPLGZ'!$A:$A,$A158,'Budget-ACPLGZ'!Y:Y)+SUMIF('Budget-Yixing'!$A:$A,$A158,'Budget-Yixing'!Y:Y)</f>
        <v>0</v>
      </c>
      <c r="Z158" s="688">
        <f ca="1">SUMIF('Budget-ACPL'!$A:$A,$A158,'Budget-ACPL'!Z:Z)+SUMIF('Budget-ACPLHK'!$A:$A,$A158,'Budget-ACPLHK'!Z:Z)+SUMIF('Budget-ACPSZL'!$A:$A,$A158,'Budget-ACPSZL'!Z:Z)+SUMIF('Budget-ACPLSZ'!$A:$A,$A158,'Budget-ACPLSZ'!Z:Z)+SUMIF('Budget-ACPLGZ'!$A:$A,$A158,'Budget-ACPLGZ'!Z:Z)+SUMIF('Budget-Yixing'!$A:$A,$A158,'Budget-Yixing'!Z:Z)</f>
        <v>0</v>
      </c>
      <c r="AA158" s="688">
        <f ca="1">SUMIF('Budget-ACPL'!$A:$A,$A158,'Budget-ACPL'!AA:AA)+SUMIF('Budget-ACPLHK'!$A:$A,$A158,'Budget-ACPLHK'!AA:AA)+SUMIF('Budget-ACPSZL'!$A:$A,$A158,'Budget-ACPSZL'!AA:AA)+SUMIF('Budget-ACPLSZ'!$A:$A,$A158,'Budget-ACPLSZ'!AA:AA)+SUMIF('Budget-ACPLGZ'!$A:$A,$A158,'Budget-ACPLGZ'!AA:AA)+SUMIF('Budget-Yixing'!$A:$A,$A158,'Budget-Yixing'!AA:AA)</f>
        <v>0</v>
      </c>
      <c r="AB158" s="688">
        <f ca="1">SUMIF('Budget-ACPL'!$A:$A,$A158,'Budget-ACPL'!AB:AB)+SUMIF('Budget-ACPLHK'!$A:$A,$A158,'Budget-ACPLHK'!AB:AB)+SUMIF('Budget-ACPSZL'!$A:$A,$A158,'Budget-ACPSZL'!AB:AB)+SUMIF('Budget-ACPLSZ'!$A:$A,$A158,'Budget-ACPLSZ'!AB:AB)+SUMIF('Budget-ACPLGZ'!$A:$A,$A158,'Budget-ACPLGZ'!AB:AB)+SUMIF('Budget-Yixing'!$A:$A,$A158,'Budget-Yixing'!AB:AB)</f>
        <v>0</v>
      </c>
      <c r="AC158" s="688">
        <f ca="1">SUMIF('Budget-ACPL'!$A:$A,$A158,'Budget-ACPL'!AC:AC)+SUMIF('Budget-ACPLHK'!$A:$A,$A158,'Budget-ACPLHK'!AC:AC)+SUMIF('Budget-ACPSZL'!$A:$A,$A158,'Budget-ACPSZL'!AC:AC)+SUMIF('Budget-ACPLSZ'!$A:$A,$A158,'Budget-ACPLSZ'!AC:AC)+SUMIF('Budget-ACPLGZ'!$A:$A,$A158,'Budget-ACPLGZ'!AC:AC)+SUMIF('Budget-Yixing'!$A:$A,$A158,'Budget-Yixing'!AC:AC)</f>
        <v>0</v>
      </c>
      <c r="AD158" s="688">
        <f ca="1">SUMIF('Budget-ACPL'!$A:$A,$A158,'Budget-ACPL'!AD:AD)+SUMIF('Budget-ACPLHK'!$A:$A,$A158,'Budget-ACPLHK'!AD:AD)+SUMIF('Budget-ACPSZL'!$A:$A,$A158,'Budget-ACPSZL'!AD:AD)+SUMIF('Budget-ACPLSZ'!$A:$A,$A158,'Budget-ACPLSZ'!AD:AD)+SUMIF('Budget-ACPLGZ'!$A:$A,$A158,'Budget-ACPLGZ'!AD:AD)+SUMIF('Budget-Yixing'!$A:$A,$A158,'Budget-Yixing'!AD:AD)</f>
        <v>0</v>
      </c>
      <c r="AE158" s="688">
        <f ca="1">SUMIF('Budget-ACPL'!$A:$A,$A158,'Budget-ACPL'!AE:AE)+SUMIF('Budget-ACPLHK'!$A:$A,$A158,'Budget-ACPLHK'!AE:AE)+SUMIF('Budget-ACPSZL'!$A:$A,$A158,'Budget-ACPSZL'!AE:AE)+SUMIF('Budget-ACPLSZ'!$A:$A,$A158,'Budget-ACPLSZ'!AE:AE)+SUMIF('Budget-ACPLGZ'!$A:$A,$A158,'Budget-ACPLGZ'!AE:AE)+SUMIF('Budget-Yixing'!$A:$A,$A158,'Budget-Yixing'!AE:AE)</f>
        <v>0</v>
      </c>
      <c r="AF158" s="688">
        <f ca="1">SUMIF('Budget-ACPL'!$A:$A,$A158,'Budget-ACPL'!AF:AF)+SUMIF('Budget-ACPLHK'!$A:$A,$A158,'Budget-ACPLHK'!AF:AF)+SUMIF('Budget-ACPSZL'!$A:$A,$A158,'Budget-ACPSZL'!AF:AF)+SUMIF('Budget-ACPLSZ'!$A:$A,$A158,'Budget-ACPLSZ'!AF:AF)+SUMIF('Budget-ACPLGZ'!$A:$A,$A158,'Budget-ACPLGZ'!AF:AF)+SUMIF('Budget-Yixing'!$A:$A,$A158,'Budget-Yixing'!AF:AF)</f>
        <v>0</v>
      </c>
      <c r="AG158" s="688">
        <f ca="1">SUMIF('Budget-ACPL'!$A:$A,$A158,'Budget-ACPL'!AG:AG)+SUMIF('Budget-ACPLHK'!$A:$A,$A158,'Budget-ACPLHK'!AG:AG)+SUMIF('Budget-ACPSZL'!$A:$A,$A158,'Budget-ACPSZL'!AG:AG)+SUMIF('Budget-ACPLSZ'!$A:$A,$A158,'Budget-ACPLSZ'!AG:AG)+SUMIF('Budget-ACPLGZ'!$A:$A,$A158,'Budget-ACPLGZ'!AG:AG)+SUMIF('Budget-Yixing'!$A:$A,$A158,'Budget-Yixing'!AG:AG)</f>
        <v>0</v>
      </c>
      <c r="AH158" s="688">
        <f ca="1">SUMIF('Budget-ACPL'!$A:$A,$A158,'Budget-ACPL'!AH:AH)+SUMIF('Budget-ACPLHK'!$A:$A,$A158,'Budget-ACPLHK'!AH:AH)+SUMIF('Budget-ACPSZL'!$A:$A,$A158,'Budget-ACPSZL'!AH:AH)+SUMIF('Budget-ACPLSZ'!$A:$A,$A158,'Budget-ACPLSZ'!AH:AH)+SUMIF('Budget-ACPLGZ'!$A:$A,$A158,'Budget-ACPLGZ'!AH:AH)+SUMIF('Budget-Yixing'!$A:$A,$A158,'Budget-Yixing'!AH:AH)</f>
        <v>0</v>
      </c>
      <c r="AI158" s="688">
        <f ca="1">SUMIF('Budget-ACPL'!$A:$A,$A158,'Budget-ACPL'!AI:AI)+SUMIF('Budget-ACPLHK'!$A:$A,$A158,'Budget-ACPLHK'!AI:AI)+SUMIF('Budget-ACPSZL'!$A:$A,$A158,'Budget-ACPSZL'!AI:AI)+SUMIF('Budget-ACPLSZ'!$A:$A,$A158,'Budget-ACPLSZ'!AI:AI)+SUMIF('Budget-ACPLGZ'!$A:$A,$A158,'Budget-ACPLGZ'!AI:AI)+SUMIF('Budget-Yixing'!$A:$A,$A158,'Budget-Yixing'!AI:AI)</f>
        <v>0</v>
      </c>
      <c r="AJ158" s="688">
        <f ca="1">SUMIF('Budget-ACPL'!$A:$A,$A158,'Budget-ACPL'!AJ:AJ)+SUMIF('Budget-ACPLHK'!$A:$A,$A158,'Budget-ACPLHK'!AJ:AJ)+SUMIF('Budget-ACPSZL'!$A:$A,$A158,'Budget-ACPSZL'!AJ:AJ)+SUMIF('Budget-ACPLSZ'!$A:$A,$A158,'Budget-ACPLSZ'!AJ:AJ)+SUMIF('Budget-ACPLGZ'!$A:$A,$A158,'Budget-ACPLGZ'!AJ:AJ)+SUMIF('Budget-Yixing'!$A:$A,$A158,'Budget-Yixing'!AJ:AJ)</f>
        <v>0</v>
      </c>
      <c r="AK158" s="688">
        <f t="shared" ca="1" si="54"/>
        <v>0</v>
      </c>
    </row>
    <row r="159" spans="1:37" ht="13.5" customHeight="1">
      <c r="A159" s="653" t="s">
        <v>1905</v>
      </c>
      <c r="B159" s="687" t="str">
        <f>VLOOKUP(A159,Account!A:B,2,0)</f>
        <v>办公地址</v>
      </c>
      <c r="C159" s="687">
        <f>VLOOKUP(A159,Account!A:F,4,0)</f>
        <v>0</v>
      </c>
      <c r="D159" s="676">
        <f t="shared" ca="1" si="48"/>
        <v>2698.8679752999997</v>
      </c>
      <c r="E159" s="676" t="e">
        <f t="shared" si="49"/>
        <v>#N/A</v>
      </c>
      <c r="F159" s="676" t="e">
        <f t="shared" ca="1" si="50"/>
        <v>#N/A</v>
      </c>
      <c r="G159" s="676">
        <f t="shared" ca="1" si="51"/>
        <v>2698.8679752999997</v>
      </c>
      <c r="H159" s="676" t="e">
        <f t="shared" ca="1" si="52"/>
        <v>#N/A</v>
      </c>
      <c r="I159" s="676" t="e">
        <f t="shared" ca="1" si="53"/>
        <v>#N/A</v>
      </c>
      <c r="K159" s="676">
        <f ca="1">SUMIF('Budget-ACPL'!$A:$A,$A159,'Budget-ACPL'!K:K)+SUMIF('Budget-ACPLHK'!$A:$A,$A159,'Budget-ACPLHK'!K:K)+SUMIF('Budget-ACPSZL'!$A:$A,$A159,'Budget-ACPSZL'!K:K)+SUMIF('Budget-ACPLSZ'!$A:$A,$A159,'Budget-ACPLSZ'!K:K)+SUMIF('Budget-ACPLGZ'!$A:$A,$A159,'Budget-ACPLGZ'!K:K)+SUMIF('Budget-Yixing'!$A:$A,$A159,'Budget-Yixing'!K:K)</f>
        <v>2698.8679752999997</v>
      </c>
      <c r="L159" s="676">
        <f ca="1">SUMIF('Budget-ACPL'!$A:$A,$A159,'Budget-ACPL'!L:L)+SUMIF('Budget-ACPLHK'!$A:$A,$A159,'Budget-ACPLHK'!L:L)+SUMIF('Budget-ACPSZL'!$A:$A,$A159,'Budget-ACPSZL'!L:L)+SUMIF('Budget-ACPLSZ'!$A:$A,$A159,'Budget-ACPLSZ'!L:L)+SUMIF('Budget-ACPLGZ'!$A:$A,$A159,'Budget-ACPLGZ'!L:L)+SUMIF('Budget-Yixing'!$A:$A,$A159,'Budget-Yixing'!L:L)</f>
        <v>2382.07233</v>
      </c>
      <c r="M159" s="676">
        <f ca="1">SUMIF('Budget-ACPL'!$A:$A,$A159,'Budget-ACPL'!M:M)+SUMIF('Budget-ACPLHK'!$A:$A,$A159,'Budget-ACPLHK'!M:M)+SUMIF('Budget-ACPSZL'!$A:$A,$A159,'Budget-ACPSZL'!M:M)+SUMIF('Budget-ACPLSZ'!$A:$A,$A159,'Budget-ACPLSZ'!M:M)+SUMIF('Budget-ACPLGZ'!$A:$A,$A159,'Budget-ACPLGZ'!M:M)+SUMIF('Budget-Yixing'!$A:$A,$A159,'Budget-Yixing'!M:M)</f>
        <v>2087.8939180000002</v>
      </c>
      <c r="N159" s="676">
        <f ca="1">SUMIF('Budget-ACPL'!$A:$A,$A159,'Budget-ACPL'!N:N)+SUMIF('Budget-ACPLHK'!$A:$A,$A159,'Budget-ACPLHK'!N:N)+SUMIF('Budget-ACPSZL'!$A:$A,$A159,'Budget-ACPSZL'!N:N)+SUMIF('Budget-ACPLSZ'!$A:$A,$A159,'Budget-ACPLSZ'!N:N)+SUMIF('Budget-ACPLGZ'!$A:$A,$A159,'Budget-ACPLGZ'!N:N)+SUMIF('Budget-Yixing'!$A:$A,$A159,'Budget-Yixing'!N:N)</f>
        <v>1792.7097979999999</v>
      </c>
      <c r="O159" s="676">
        <f ca="1">SUMIF('Budget-ACPL'!$A:$A,$A159,'Budget-ACPL'!O:O)+SUMIF('Budget-ACPLHK'!$A:$A,$A159,'Budget-ACPLHK'!O:O)+SUMIF('Budget-ACPSZL'!$A:$A,$A159,'Budget-ACPSZL'!O:O)+SUMIF('Budget-ACPLSZ'!$A:$A,$A159,'Budget-ACPLSZ'!O:O)+SUMIF('Budget-ACPLGZ'!$A:$A,$A159,'Budget-ACPLGZ'!O:O)+SUMIF('Budget-Yixing'!$A:$A,$A159,'Budget-Yixing'!O:O)</f>
        <v>1496.5111479999998</v>
      </c>
      <c r="P159" s="676">
        <f ca="1">SUMIF('Budget-ACPL'!$A:$A,$A159,'Budget-ACPL'!P:P)+SUMIF('Budget-ACPLHK'!$A:$A,$A159,'Budget-ACPLHK'!P:P)+SUMIF('Budget-ACPSZL'!$A:$A,$A159,'Budget-ACPSZL'!P:P)+SUMIF('Budget-ACPLSZ'!$A:$A,$A159,'Budget-ACPLSZ'!P:P)+SUMIF('Budget-ACPLGZ'!$A:$A,$A159,'Budget-ACPLGZ'!P:P)+SUMIF('Budget-Yixing'!$A:$A,$A159,'Budget-Yixing'!P:P)</f>
        <v>1199.2979680000001</v>
      </c>
      <c r="Q159" s="676">
        <f ca="1">SUMIF('Budget-ACPL'!$A:$A,$A159,'Budget-ACPL'!Q:Q)+SUMIF('Budget-ACPLHK'!$A:$A,$A159,'Budget-ACPLHK'!Q:Q)+SUMIF('Budget-ACPSZL'!$A:$A,$A159,'Budget-ACPSZL'!Q:Q)+SUMIF('Budget-ACPLSZ'!$A:$A,$A159,'Budget-ACPLSZ'!Q:Q)+SUMIF('Budget-ACPLGZ'!$A:$A,$A159,'Budget-ACPLGZ'!Q:Q)+SUMIF('Budget-Yixing'!$A:$A,$A159,'Budget-Yixing'!Q:Q)</f>
        <v>901.06143599999996</v>
      </c>
      <c r="R159" s="676">
        <f ca="1">SUMIF('Budget-ACPL'!$A:$A,$A159,'Budget-ACPL'!R:R)+SUMIF('Budget-ACPLHK'!$A:$A,$A159,'Budget-ACPLHK'!R:R)+SUMIF('Budget-ACPSZL'!$A:$A,$A159,'Budget-ACPSZL'!R:R)+SUMIF('Budget-ACPLSZ'!$A:$A,$A159,'Budget-ACPLSZ'!R:R)+SUMIF('Budget-ACPLGZ'!$A:$A,$A159,'Budget-ACPLGZ'!R:R)+SUMIF('Budget-Yixing'!$A:$A,$A159,'Budget-Yixing'!R:R)</f>
        <v>601.81037399999991</v>
      </c>
      <c r="S159" s="676">
        <f ca="1">SUMIF('Budget-ACPL'!$A:$A,$A159,'Budget-ACPL'!S:S)+SUMIF('Budget-ACPLHK'!$A:$A,$A159,'Budget-ACPLHK'!S:S)+SUMIF('Budget-ACPSZL'!$A:$A,$A159,'Budget-ACPSZL'!S:S)+SUMIF('Budget-ACPLSZ'!$A:$A,$A159,'Budget-ACPLSZ'!S:S)+SUMIF('Budget-ACPLGZ'!$A:$A,$A159,'Budget-ACPLGZ'!S:S)+SUMIF('Budget-Yixing'!$A:$A,$A159,'Budget-Yixing'!S:S)</f>
        <v>235.997322</v>
      </c>
      <c r="T159" s="676">
        <f ca="1">SUMIF('Budget-ACPL'!$A:$A,$A159,'Budget-ACPL'!T:T)+SUMIF('Budget-ACPLHK'!$A:$A,$A159,'Budget-ACPLHK'!T:T)+SUMIF('Budget-ACPSZL'!$A:$A,$A159,'Budget-ACPSZL'!T:T)+SUMIF('Budget-ACPLSZ'!$A:$A,$A159,'Budget-ACPLSZ'!T:T)+SUMIF('Budget-ACPLGZ'!$A:$A,$A159,'Budget-ACPLGZ'!T:T)+SUMIF('Budget-Yixing'!$A:$A,$A159,'Budget-Yixing'!T:T)</f>
        <v>0</v>
      </c>
      <c r="U159" s="676">
        <f ca="1">SUMIF('Budget-ACPL'!$A:$A,$A159,'Budget-ACPL'!U:U)+SUMIF('Budget-ACPLHK'!$A:$A,$A159,'Budget-ACPLHK'!U:U)+SUMIF('Budget-ACPSZL'!$A:$A,$A159,'Budget-ACPSZL'!U:U)+SUMIF('Budget-ACPLSZ'!$A:$A,$A159,'Budget-ACPLSZ'!U:U)+SUMIF('Budget-ACPLGZ'!$A:$A,$A159,'Budget-ACPLGZ'!U:U)+SUMIF('Budget-Yixing'!$A:$A,$A159,'Budget-Yixing'!U:U)</f>
        <v>0</v>
      </c>
      <c r="V159" s="676">
        <f ca="1">SUMIF('Budget-ACPL'!$A:$A,$A159,'Budget-ACPL'!V:V)+SUMIF('Budget-ACPLHK'!$A:$A,$A159,'Budget-ACPLHK'!V:V)+SUMIF('Budget-ACPSZL'!$A:$A,$A159,'Budget-ACPSZL'!V:V)+SUMIF('Budget-ACPLSZ'!$A:$A,$A159,'Budget-ACPLSZ'!V:V)+SUMIF('Budget-ACPLGZ'!$A:$A,$A159,'Budget-ACPLGZ'!V:V)+SUMIF('Budget-Yixing'!$A:$A,$A159,'Budget-Yixing'!V:V)</f>
        <v>0</v>
      </c>
      <c r="W159" s="676">
        <f ca="1">SUM(K159:V159)</f>
        <v>13396.2222693</v>
      </c>
      <c r="Y159" s="688">
        <f ca="1">SUMIF('Budget-ACPL'!$A:$A,$A159,'Budget-ACPL'!Y:Y)+SUMIF('Budget-ACPLHK'!$A:$A,$A159,'Budget-ACPLHK'!Y:Y)+SUMIF('Budget-ACPSZL'!$A:$A,$A159,'Budget-ACPSZL'!Y:Y)+SUMIF('Budget-ACPLSZ'!$A:$A,$A159,'Budget-ACPLSZ'!Y:Y)+SUMIF('Budget-ACPLGZ'!$A:$A,$A159,'Budget-ACPLGZ'!Y:Y)+SUMIF('Budget-Yixing'!$A:$A,$A159,'Budget-Yixing'!Y:Y)</f>
        <v>4832.9799999999996</v>
      </c>
      <c r="Z159" s="688">
        <f ca="1">SUMIF('Budget-ACPL'!$A:$A,$A159,'Budget-ACPL'!Z:Z)+SUMIF('Budget-ACPLHK'!$A:$A,$A159,'Budget-ACPLHK'!Z:Z)+SUMIF('Budget-ACPSZL'!$A:$A,$A159,'Budget-ACPSZL'!Z:Z)+SUMIF('Budget-ACPLSZ'!$A:$A,$A159,'Budget-ACPLSZ'!Z:Z)+SUMIF('Budget-ACPLGZ'!$A:$A,$A159,'Budget-ACPLGZ'!Z:Z)+SUMIF('Budget-Yixing'!$A:$A,$A159,'Budget-Yixing'!Z:Z)</f>
        <v>6613.93</v>
      </c>
      <c r="AA159" s="688">
        <f ca="1">SUMIF('Budget-ACPL'!$A:$A,$A159,'Budget-ACPL'!AA:AA)+SUMIF('Budget-ACPLHK'!$A:$A,$A159,'Budget-ACPLHK'!AA:AA)+SUMIF('Budget-ACPSZL'!$A:$A,$A159,'Budget-ACPSZL'!AA:AA)+SUMIF('Budget-ACPLSZ'!$A:$A,$A159,'Budget-ACPLSZ'!AA:AA)+SUMIF('Budget-ACPLGZ'!$A:$A,$A159,'Budget-ACPLGZ'!AA:AA)+SUMIF('Budget-Yixing'!$A:$A,$A159,'Budget-Yixing'!AA:AA)</f>
        <v>6293.89</v>
      </c>
      <c r="AB159" s="688">
        <f ca="1">SUMIF('Budget-ACPL'!$A:$A,$A159,'Budget-ACPL'!AB:AB)+SUMIF('Budget-ACPLHK'!$A:$A,$A159,'Budget-ACPLHK'!AB:AB)+SUMIF('Budget-ACPSZL'!$A:$A,$A159,'Budget-ACPSZL'!AB:AB)+SUMIF('Budget-ACPLSZ'!$A:$A,$A159,'Budget-ACPLSZ'!AB:AB)+SUMIF('Budget-ACPLGZ'!$A:$A,$A159,'Budget-ACPLGZ'!AB:AB)+SUMIF('Budget-Yixing'!$A:$A,$A159,'Budget-Yixing'!AB:AB)</f>
        <v>5972.74</v>
      </c>
      <c r="AC159" s="688">
        <f ca="1">SUMIF('Budget-ACPL'!$A:$A,$A159,'Budget-ACPL'!AC:AC)+SUMIF('Budget-ACPLHK'!$A:$A,$A159,'Budget-ACPLHK'!AC:AC)+SUMIF('Budget-ACPSZL'!$A:$A,$A159,'Budget-ACPSZL'!AC:AC)+SUMIF('Budget-ACPLSZ'!$A:$A,$A159,'Budget-ACPLSZ'!AC:AC)+SUMIF('Budget-ACPLGZ'!$A:$A,$A159,'Budget-ACPLGZ'!AC:AC)+SUMIF('Budget-Yixing'!$A:$A,$A159,'Budget-Yixing'!AC:AC)</f>
        <v>5650.5</v>
      </c>
      <c r="AD159" s="688">
        <f ca="1">SUMIF('Budget-ACPL'!$A:$A,$A159,'Budget-ACPL'!AD:AD)+SUMIF('Budget-ACPLHK'!$A:$A,$A159,'Budget-ACPLHK'!AD:AD)+SUMIF('Budget-ACPSZL'!$A:$A,$A159,'Budget-ACPSZL'!AD:AD)+SUMIF('Budget-ACPLSZ'!$A:$A,$A159,'Budget-ACPLSZ'!AD:AD)+SUMIF('Budget-ACPLGZ'!$A:$A,$A159,'Budget-ACPLGZ'!AD:AD)+SUMIF('Budget-Yixing'!$A:$A,$A159,'Budget-Yixing'!AD:AD)</f>
        <v>5327.15</v>
      </c>
      <c r="AE159" s="688">
        <f ca="1">SUMIF('Budget-ACPL'!$A:$A,$A159,'Budget-ACPL'!AE:AE)+SUMIF('Budget-ACPLHK'!$A:$A,$A159,'Budget-ACPLHK'!AE:AE)+SUMIF('Budget-ACPSZL'!$A:$A,$A159,'Budget-ACPSZL'!AE:AE)+SUMIF('Budget-ACPLSZ'!$A:$A,$A159,'Budget-ACPLSZ'!AE:AE)+SUMIF('Budget-ACPLGZ'!$A:$A,$A159,'Budget-ACPLGZ'!AE:AE)+SUMIF('Budget-Yixing'!$A:$A,$A159,'Budget-Yixing'!AE:AE)</f>
        <v>5002.6899999999996</v>
      </c>
      <c r="AF159" s="688">
        <f ca="1">SUMIF('Budget-ACPL'!$A:$A,$A159,'Budget-ACPL'!AF:AF)+SUMIF('Budget-ACPLHK'!$A:$A,$A159,'Budget-ACPLHK'!AF:AF)+SUMIF('Budget-ACPSZL'!$A:$A,$A159,'Budget-ACPSZL'!AF:AF)+SUMIF('Budget-ACPLSZ'!$A:$A,$A159,'Budget-ACPLSZ'!AF:AF)+SUMIF('Budget-ACPLGZ'!$A:$A,$A159,'Budget-ACPLGZ'!AF:AF)+SUMIF('Budget-Yixing'!$A:$A,$A159,'Budget-Yixing'!AF:AF)</f>
        <v>4677.13</v>
      </c>
      <c r="AG159" s="688">
        <f ca="1">SUMIF('Budget-ACPL'!$A:$A,$A159,'Budget-ACPL'!AG:AG)+SUMIF('Budget-ACPLHK'!$A:$A,$A159,'Budget-ACPLHK'!AG:AG)+SUMIF('Budget-ACPSZL'!$A:$A,$A159,'Budget-ACPSZL'!AG:AG)+SUMIF('Budget-ACPLSZ'!$A:$A,$A159,'Budget-ACPLSZ'!AG:AG)+SUMIF('Budget-ACPLGZ'!$A:$A,$A159,'Budget-ACPLGZ'!AG:AG)+SUMIF('Budget-Yixing'!$A:$A,$A159,'Budget-Yixing'!AG:AG)</f>
        <v>4350.4399999999996</v>
      </c>
      <c r="AH159" s="688">
        <f ca="1">SUMIF('Budget-ACPL'!$A:$A,$A159,'Budget-ACPL'!AH:AH)+SUMIF('Budget-ACPLHK'!$A:$A,$A159,'Budget-ACPLHK'!AH:AH)+SUMIF('Budget-ACPSZL'!$A:$A,$A159,'Budget-ACPSZL'!AH:AH)+SUMIF('Budget-ACPLSZ'!$A:$A,$A159,'Budget-ACPLSZ'!AH:AH)+SUMIF('Budget-ACPLGZ'!$A:$A,$A159,'Budget-ACPLGZ'!AH:AH)+SUMIF('Budget-Yixing'!$A:$A,$A159,'Budget-Yixing'!AH:AH)</f>
        <v>4022.64</v>
      </c>
      <c r="AI159" s="688">
        <f ca="1">SUMIF('Budget-ACPL'!$A:$A,$A159,'Budget-ACPL'!AI:AI)+SUMIF('Budget-ACPLHK'!$A:$A,$A159,'Budget-ACPLHK'!AI:AI)+SUMIF('Budget-ACPSZL'!$A:$A,$A159,'Budget-ACPSZL'!AI:AI)+SUMIF('Budget-ACPLSZ'!$A:$A,$A159,'Budget-ACPLSZ'!AI:AI)+SUMIF('Budget-ACPLGZ'!$A:$A,$A159,'Budget-ACPLGZ'!AI:AI)+SUMIF('Budget-Yixing'!$A:$A,$A159,'Budget-Yixing'!AI:AI)</f>
        <v>3693.71</v>
      </c>
      <c r="AJ159" s="688">
        <f ca="1">SUMIF('Budget-ACPL'!$A:$A,$A159,'Budget-ACPL'!AJ:AJ)+SUMIF('Budget-ACPLHK'!$A:$A,$A159,'Budget-ACPLHK'!AJ:AJ)+SUMIF('Budget-ACPSZL'!$A:$A,$A159,'Budget-ACPSZL'!AJ:AJ)+SUMIF('Budget-ACPLSZ'!$A:$A,$A159,'Budget-ACPLSZ'!AJ:AJ)+SUMIF('Budget-ACPLGZ'!$A:$A,$A159,'Budget-ACPLGZ'!AJ:AJ)+SUMIF('Budget-Yixing'!$A:$A,$A159,'Budget-Yixing'!AJ:AJ)</f>
        <v>3363.66</v>
      </c>
      <c r="AK159" s="688">
        <f t="shared" ca="1" si="54"/>
        <v>59801.460000000006</v>
      </c>
    </row>
    <row r="160" spans="1:37" ht="13.5" hidden="1" customHeight="1">
      <c r="A160" s="713" t="s">
        <v>1907</v>
      </c>
      <c r="B160" s="687" t="str">
        <f>VLOOKUP(A160,Account!A:B,2,0)</f>
        <v>旭智咨询--鼎和大厦1606</v>
      </c>
      <c r="C160" s="687">
        <f>VLOOKUP(A160,Account!A:F,4,0)</f>
        <v>0</v>
      </c>
      <c r="D160" s="676">
        <f t="shared" ca="1" si="48"/>
        <v>0</v>
      </c>
      <c r="E160" s="676" t="e">
        <f t="shared" si="49"/>
        <v>#N/A</v>
      </c>
      <c r="F160" s="676" t="e">
        <f t="shared" ca="1" si="50"/>
        <v>#N/A</v>
      </c>
      <c r="G160" s="676">
        <f t="shared" ca="1" si="51"/>
        <v>0</v>
      </c>
      <c r="H160" s="676" t="e">
        <f t="shared" ca="1" si="52"/>
        <v>#N/A</v>
      </c>
      <c r="I160" s="676" t="e">
        <f t="shared" ca="1" si="53"/>
        <v>#N/A</v>
      </c>
      <c r="K160" s="676">
        <f ca="1">SUMIF('Budget-ACPL'!$A:$A,$A160,'Budget-ACPL'!K:K)+SUMIF('Budget-ACPLHK'!$A:$A,$A160,'Budget-ACPLHK'!K:K)+SUMIF('Budget-ACPSZL'!$A:$A,$A160,'Budget-ACPSZL'!K:K)+SUMIF('Budget-ACPLSZ'!$A:$A,$A160,'Budget-ACPLSZ'!K:K)+SUMIF('Budget-ACPLGZ'!$A:$A,$A160,'Budget-ACPLGZ'!K:K)+SUMIF('Budget-Yixing'!$A:$A,$A160,'Budget-Yixing'!K:K)</f>
        <v>0</v>
      </c>
      <c r="L160" s="676">
        <f ca="1">SUMIF('Budget-ACPL'!$A:$A,$A160,'Budget-ACPL'!L:L)+SUMIF('Budget-ACPLHK'!$A:$A,$A160,'Budget-ACPLHK'!L:L)+SUMIF('Budget-ACPSZL'!$A:$A,$A160,'Budget-ACPSZL'!L:L)+SUMIF('Budget-ACPLSZ'!$A:$A,$A160,'Budget-ACPLSZ'!L:L)+SUMIF('Budget-ACPLGZ'!$A:$A,$A160,'Budget-ACPLGZ'!L:L)+SUMIF('Budget-Yixing'!$A:$A,$A160,'Budget-Yixing'!L:L)</f>
        <v>0</v>
      </c>
      <c r="M160" s="676">
        <f ca="1">SUMIF('Budget-ACPL'!$A:$A,$A160,'Budget-ACPL'!M:M)+SUMIF('Budget-ACPLHK'!$A:$A,$A160,'Budget-ACPLHK'!M:M)+SUMIF('Budget-ACPSZL'!$A:$A,$A160,'Budget-ACPSZL'!M:M)+SUMIF('Budget-ACPLSZ'!$A:$A,$A160,'Budget-ACPLSZ'!M:M)+SUMIF('Budget-ACPLGZ'!$A:$A,$A160,'Budget-ACPLGZ'!M:M)+SUMIF('Budget-Yixing'!$A:$A,$A160,'Budget-Yixing'!M:M)</f>
        <v>0</v>
      </c>
      <c r="N160" s="676">
        <f ca="1">SUMIF('Budget-ACPL'!$A:$A,$A160,'Budget-ACPL'!N:N)+SUMIF('Budget-ACPLHK'!$A:$A,$A160,'Budget-ACPLHK'!N:N)+SUMIF('Budget-ACPSZL'!$A:$A,$A160,'Budget-ACPSZL'!N:N)+SUMIF('Budget-ACPLSZ'!$A:$A,$A160,'Budget-ACPLSZ'!N:N)+SUMIF('Budget-ACPLGZ'!$A:$A,$A160,'Budget-ACPLGZ'!N:N)+SUMIF('Budget-Yixing'!$A:$A,$A160,'Budget-Yixing'!N:N)</f>
        <v>0</v>
      </c>
      <c r="O160" s="676">
        <f ca="1">SUMIF('Budget-ACPL'!$A:$A,$A160,'Budget-ACPL'!O:O)+SUMIF('Budget-ACPLHK'!$A:$A,$A160,'Budget-ACPLHK'!O:O)+SUMIF('Budget-ACPSZL'!$A:$A,$A160,'Budget-ACPSZL'!O:O)+SUMIF('Budget-ACPLSZ'!$A:$A,$A160,'Budget-ACPLSZ'!O:O)+SUMIF('Budget-ACPLGZ'!$A:$A,$A160,'Budget-ACPLGZ'!O:O)+SUMIF('Budget-Yixing'!$A:$A,$A160,'Budget-Yixing'!O:O)</f>
        <v>0</v>
      </c>
      <c r="P160" s="676">
        <f ca="1">SUMIF('Budget-ACPL'!$A:$A,$A160,'Budget-ACPL'!P:P)+SUMIF('Budget-ACPLHK'!$A:$A,$A160,'Budget-ACPLHK'!P:P)+SUMIF('Budget-ACPSZL'!$A:$A,$A160,'Budget-ACPSZL'!P:P)+SUMIF('Budget-ACPLSZ'!$A:$A,$A160,'Budget-ACPLSZ'!P:P)+SUMIF('Budget-ACPLGZ'!$A:$A,$A160,'Budget-ACPLGZ'!P:P)+SUMIF('Budget-Yixing'!$A:$A,$A160,'Budget-Yixing'!P:P)</f>
        <v>0</v>
      </c>
      <c r="Q160" s="676">
        <f ca="1">SUMIF('Budget-ACPL'!$A:$A,$A160,'Budget-ACPL'!Q:Q)+SUMIF('Budget-ACPLHK'!$A:$A,$A160,'Budget-ACPLHK'!Q:Q)+SUMIF('Budget-ACPSZL'!$A:$A,$A160,'Budget-ACPSZL'!Q:Q)+SUMIF('Budget-ACPLSZ'!$A:$A,$A160,'Budget-ACPLSZ'!Q:Q)+SUMIF('Budget-ACPLGZ'!$A:$A,$A160,'Budget-ACPLGZ'!Q:Q)+SUMIF('Budget-Yixing'!$A:$A,$A160,'Budget-Yixing'!Q:Q)</f>
        <v>0</v>
      </c>
      <c r="R160" s="676">
        <f ca="1">SUMIF('Budget-ACPL'!$A:$A,$A160,'Budget-ACPL'!R:R)+SUMIF('Budget-ACPLHK'!$A:$A,$A160,'Budget-ACPLHK'!R:R)+SUMIF('Budget-ACPSZL'!$A:$A,$A160,'Budget-ACPSZL'!R:R)+SUMIF('Budget-ACPLSZ'!$A:$A,$A160,'Budget-ACPLSZ'!R:R)+SUMIF('Budget-ACPLGZ'!$A:$A,$A160,'Budget-ACPLGZ'!R:R)+SUMIF('Budget-Yixing'!$A:$A,$A160,'Budget-Yixing'!R:R)</f>
        <v>0</v>
      </c>
      <c r="S160" s="676">
        <f ca="1">SUMIF('Budget-ACPL'!$A:$A,$A160,'Budget-ACPL'!S:S)+SUMIF('Budget-ACPLHK'!$A:$A,$A160,'Budget-ACPLHK'!S:S)+SUMIF('Budget-ACPSZL'!$A:$A,$A160,'Budget-ACPSZL'!S:S)+SUMIF('Budget-ACPLSZ'!$A:$A,$A160,'Budget-ACPLSZ'!S:S)+SUMIF('Budget-ACPLGZ'!$A:$A,$A160,'Budget-ACPLGZ'!S:S)+SUMIF('Budget-Yixing'!$A:$A,$A160,'Budget-Yixing'!S:S)</f>
        <v>0</v>
      </c>
      <c r="T160" s="676">
        <f ca="1">SUMIF('Budget-ACPL'!$A:$A,$A160,'Budget-ACPL'!T:T)+SUMIF('Budget-ACPLHK'!$A:$A,$A160,'Budget-ACPLHK'!T:T)+SUMIF('Budget-ACPSZL'!$A:$A,$A160,'Budget-ACPSZL'!T:T)+SUMIF('Budget-ACPLSZ'!$A:$A,$A160,'Budget-ACPLSZ'!T:T)+SUMIF('Budget-ACPLGZ'!$A:$A,$A160,'Budget-ACPLGZ'!T:T)+SUMIF('Budget-Yixing'!$A:$A,$A160,'Budget-Yixing'!T:T)</f>
        <v>0</v>
      </c>
      <c r="U160" s="676">
        <f ca="1">SUMIF('Budget-ACPL'!$A:$A,$A160,'Budget-ACPL'!U:U)+SUMIF('Budget-ACPLHK'!$A:$A,$A160,'Budget-ACPLHK'!U:U)+SUMIF('Budget-ACPSZL'!$A:$A,$A160,'Budget-ACPSZL'!U:U)+SUMIF('Budget-ACPLSZ'!$A:$A,$A160,'Budget-ACPLSZ'!U:U)+SUMIF('Budget-ACPLGZ'!$A:$A,$A160,'Budget-ACPLGZ'!U:U)+SUMIF('Budget-Yixing'!$A:$A,$A160,'Budget-Yixing'!U:U)</f>
        <v>0</v>
      </c>
      <c r="V160" s="676">
        <f ca="1">SUMIF('Budget-ACPL'!$A:$A,$A160,'Budget-ACPL'!V:V)+SUMIF('Budget-ACPLHK'!$A:$A,$A160,'Budget-ACPLHK'!V:V)+SUMIF('Budget-ACPSZL'!$A:$A,$A160,'Budget-ACPSZL'!V:V)+SUMIF('Budget-ACPLSZ'!$A:$A,$A160,'Budget-ACPLSZ'!V:V)+SUMIF('Budget-ACPLGZ'!$A:$A,$A160,'Budget-ACPLGZ'!V:V)+SUMIF('Budget-Yixing'!$A:$A,$A160,'Budget-Yixing'!V:V)</f>
        <v>0</v>
      </c>
      <c r="W160" s="676">
        <f ca="1">SUM(K160:V160)</f>
        <v>0</v>
      </c>
      <c r="Y160" s="688">
        <f ca="1">SUMIF('Budget-ACPL'!$A:$A,$A160,'Budget-ACPL'!Y:Y)+SUMIF('Budget-ACPLHK'!$A:$A,$A160,'Budget-ACPLHK'!Y:Y)+SUMIF('Budget-ACPSZL'!$A:$A,$A160,'Budget-ACPSZL'!Y:Y)+SUMIF('Budget-ACPLSZ'!$A:$A,$A160,'Budget-ACPLSZ'!Y:Y)+SUMIF('Budget-ACPLGZ'!$A:$A,$A160,'Budget-ACPLGZ'!Y:Y)+SUMIF('Budget-Yixing'!$A:$A,$A160,'Budget-Yixing'!Y:Y)</f>
        <v>4832.9799999999996</v>
      </c>
      <c r="Z160" s="688">
        <f ca="1">SUMIF('Budget-ACPL'!$A:$A,$A160,'Budget-ACPL'!Z:Z)+SUMIF('Budget-ACPLHK'!$A:$A,$A160,'Budget-ACPLHK'!Z:Z)+SUMIF('Budget-ACPSZL'!$A:$A,$A160,'Budget-ACPSZL'!Z:Z)+SUMIF('Budget-ACPLSZ'!$A:$A,$A160,'Budget-ACPLSZ'!Z:Z)+SUMIF('Budget-ACPLGZ'!$A:$A,$A160,'Budget-ACPLGZ'!Z:Z)+SUMIF('Budget-Yixing'!$A:$A,$A160,'Budget-Yixing'!Z:Z)</f>
        <v>0</v>
      </c>
      <c r="AA160" s="688">
        <f ca="1">SUMIF('Budget-ACPL'!$A:$A,$A160,'Budget-ACPL'!AA:AA)+SUMIF('Budget-ACPLHK'!$A:$A,$A160,'Budget-ACPLHK'!AA:AA)+SUMIF('Budget-ACPSZL'!$A:$A,$A160,'Budget-ACPSZL'!AA:AA)+SUMIF('Budget-ACPLSZ'!$A:$A,$A160,'Budget-ACPLSZ'!AA:AA)+SUMIF('Budget-ACPLGZ'!$A:$A,$A160,'Budget-ACPLGZ'!AA:AA)+SUMIF('Budget-Yixing'!$A:$A,$A160,'Budget-Yixing'!AA:AA)</f>
        <v>0</v>
      </c>
      <c r="AB160" s="688">
        <f ca="1">SUMIF('Budget-ACPL'!$A:$A,$A160,'Budget-ACPL'!AB:AB)+SUMIF('Budget-ACPLHK'!$A:$A,$A160,'Budget-ACPLHK'!AB:AB)+SUMIF('Budget-ACPSZL'!$A:$A,$A160,'Budget-ACPSZL'!AB:AB)+SUMIF('Budget-ACPLSZ'!$A:$A,$A160,'Budget-ACPLSZ'!AB:AB)+SUMIF('Budget-ACPLGZ'!$A:$A,$A160,'Budget-ACPLGZ'!AB:AB)+SUMIF('Budget-Yixing'!$A:$A,$A160,'Budget-Yixing'!AB:AB)</f>
        <v>0</v>
      </c>
      <c r="AC160" s="688">
        <f ca="1">SUMIF('Budget-ACPL'!$A:$A,$A160,'Budget-ACPL'!AC:AC)+SUMIF('Budget-ACPLHK'!$A:$A,$A160,'Budget-ACPLHK'!AC:AC)+SUMIF('Budget-ACPSZL'!$A:$A,$A160,'Budget-ACPSZL'!AC:AC)+SUMIF('Budget-ACPLSZ'!$A:$A,$A160,'Budget-ACPLSZ'!AC:AC)+SUMIF('Budget-ACPLGZ'!$A:$A,$A160,'Budget-ACPLGZ'!AC:AC)+SUMIF('Budget-Yixing'!$A:$A,$A160,'Budget-Yixing'!AC:AC)</f>
        <v>0</v>
      </c>
      <c r="AD160" s="688">
        <f ca="1">SUMIF('Budget-ACPL'!$A:$A,$A160,'Budget-ACPL'!AD:AD)+SUMIF('Budget-ACPLHK'!$A:$A,$A160,'Budget-ACPLHK'!AD:AD)+SUMIF('Budget-ACPSZL'!$A:$A,$A160,'Budget-ACPSZL'!AD:AD)+SUMIF('Budget-ACPLSZ'!$A:$A,$A160,'Budget-ACPLSZ'!AD:AD)+SUMIF('Budget-ACPLGZ'!$A:$A,$A160,'Budget-ACPLGZ'!AD:AD)+SUMIF('Budget-Yixing'!$A:$A,$A160,'Budget-Yixing'!AD:AD)</f>
        <v>0</v>
      </c>
      <c r="AE160" s="688">
        <f ca="1">SUMIF('Budget-ACPL'!$A:$A,$A160,'Budget-ACPL'!AE:AE)+SUMIF('Budget-ACPLHK'!$A:$A,$A160,'Budget-ACPLHK'!AE:AE)+SUMIF('Budget-ACPSZL'!$A:$A,$A160,'Budget-ACPSZL'!AE:AE)+SUMIF('Budget-ACPLSZ'!$A:$A,$A160,'Budget-ACPLSZ'!AE:AE)+SUMIF('Budget-ACPLGZ'!$A:$A,$A160,'Budget-ACPLGZ'!AE:AE)+SUMIF('Budget-Yixing'!$A:$A,$A160,'Budget-Yixing'!AE:AE)</f>
        <v>0</v>
      </c>
      <c r="AF160" s="688">
        <f ca="1">SUMIF('Budget-ACPL'!$A:$A,$A160,'Budget-ACPL'!AF:AF)+SUMIF('Budget-ACPLHK'!$A:$A,$A160,'Budget-ACPLHK'!AF:AF)+SUMIF('Budget-ACPSZL'!$A:$A,$A160,'Budget-ACPSZL'!AF:AF)+SUMIF('Budget-ACPLSZ'!$A:$A,$A160,'Budget-ACPLSZ'!AF:AF)+SUMIF('Budget-ACPLGZ'!$A:$A,$A160,'Budget-ACPLGZ'!AF:AF)+SUMIF('Budget-Yixing'!$A:$A,$A160,'Budget-Yixing'!AF:AF)</f>
        <v>0</v>
      </c>
      <c r="AG160" s="688">
        <f ca="1">SUMIF('Budget-ACPL'!$A:$A,$A160,'Budget-ACPL'!AG:AG)+SUMIF('Budget-ACPLHK'!$A:$A,$A160,'Budget-ACPLHK'!AG:AG)+SUMIF('Budget-ACPSZL'!$A:$A,$A160,'Budget-ACPSZL'!AG:AG)+SUMIF('Budget-ACPLSZ'!$A:$A,$A160,'Budget-ACPLSZ'!AG:AG)+SUMIF('Budget-ACPLGZ'!$A:$A,$A160,'Budget-ACPLGZ'!AG:AG)+SUMIF('Budget-Yixing'!$A:$A,$A160,'Budget-Yixing'!AG:AG)</f>
        <v>0</v>
      </c>
      <c r="AH160" s="688">
        <f ca="1">SUMIF('Budget-ACPL'!$A:$A,$A160,'Budget-ACPL'!AH:AH)+SUMIF('Budget-ACPLHK'!$A:$A,$A160,'Budget-ACPLHK'!AH:AH)+SUMIF('Budget-ACPSZL'!$A:$A,$A160,'Budget-ACPSZL'!AH:AH)+SUMIF('Budget-ACPLSZ'!$A:$A,$A160,'Budget-ACPLSZ'!AH:AH)+SUMIF('Budget-ACPLGZ'!$A:$A,$A160,'Budget-ACPLGZ'!AH:AH)+SUMIF('Budget-Yixing'!$A:$A,$A160,'Budget-Yixing'!AH:AH)</f>
        <v>0</v>
      </c>
      <c r="AI160" s="688">
        <f ca="1">SUMIF('Budget-ACPL'!$A:$A,$A160,'Budget-ACPL'!AI:AI)+SUMIF('Budget-ACPLHK'!$A:$A,$A160,'Budget-ACPLHK'!AI:AI)+SUMIF('Budget-ACPSZL'!$A:$A,$A160,'Budget-ACPSZL'!AI:AI)+SUMIF('Budget-ACPLSZ'!$A:$A,$A160,'Budget-ACPLSZ'!AI:AI)+SUMIF('Budget-ACPLGZ'!$A:$A,$A160,'Budget-ACPLGZ'!AI:AI)+SUMIF('Budget-Yixing'!$A:$A,$A160,'Budget-Yixing'!AI:AI)</f>
        <v>0</v>
      </c>
      <c r="AJ160" s="688">
        <f ca="1">SUMIF('Budget-ACPL'!$A:$A,$A160,'Budget-ACPL'!AJ:AJ)+SUMIF('Budget-ACPLHK'!$A:$A,$A160,'Budget-ACPLHK'!AJ:AJ)+SUMIF('Budget-ACPSZL'!$A:$A,$A160,'Budget-ACPSZL'!AJ:AJ)+SUMIF('Budget-ACPLSZ'!$A:$A,$A160,'Budget-ACPLSZ'!AJ:AJ)+SUMIF('Budget-ACPLGZ'!$A:$A,$A160,'Budget-ACPLGZ'!AJ:AJ)+SUMIF('Budget-Yixing'!$A:$A,$A160,'Budget-Yixing'!AJ:AJ)</f>
        <v>0</v>
      </c>
      <c r="AK160" s="688">
        <f t="shared" ca="1" si="54"/>
        <v>4832.9799999999996</v>
      </c>
    </row>
    <row r="161" spans="1:37" ht="13.5" customHeight="1">
      <c r="A161" s="713" t="s">
        <v>1909</v>
      </c>
      <c r="B161" s="687" t="str">
        <f>VLOOKUP(A161,Account!A:B,2,0)</f>
        <v>旭智资本（香港）--冯氏大厦</v>
      </c>
      <c r="C161" s="687" t="str">
        <f>VLOOKUP(A161,Account!A:F,4,0)</f>
        <v>Interest Expense Lease</v>
      </c>
      <c r="D161" s="676">
        <f t="shared" ca="1" si="48"/>
        <v>2698.8679752999997</v>
      </c>
      <c r="E161" s="676" t="e">
        <f t="shared" si="49"/>
        <v>#N/A</v>
      </c>
      <c r="F161" s="676" t="e">
        <f t="shared" ca="1" si="50"/>
        <v>#N/A</v>
      </c>
      <c r="G161" s="676">
        <f t="shared" ca="1" si="51"/>
        <v>2698.8679752999997</v>
      </c>
      <c r="H161" s="676" t="e">
        <f t="shared" ca="1" si="52"/>
        <v>#N/A</v>
      </c>
      <c r="I161" s="676" t="e">
        <f t="shared" ca="1" si="53"/>
        <v>#N/A</v>
      </c>
      <c r="K161" s="676">
        <f ca="1">SUMIF('Budget-ACPL'!$A:$A,$A161,'Budget-ACPL'!K:K)+SUMIF('Budget-ACPLHK'!$A:$A,$A161,'Budget-ACPLHK'!K:K)+SUMIF('Budget-ACPSZL'!$A:$A,$A161,'Budget-ACPSZL'!K:K)+SUMIF('Budget-ACPLSZ'!$A:$A,$A161,'Budget-ACPLSZ'!K:K)+SUMIF('Budget-ACPLGZ'!$A:$A,$A161,'Budget-ACPLGZ'!K:K)+SUMIF('Budget-Yixing'!$A:$A,$A161,'Budget-Yixing'!K:K)</f>
        <v>2698.8679752999997</v>
      </c>
      <c r="L161" s="676">
        <f ca="1">SUMIF('Budget-ACPL'!$A:$A,$A161,'Budget-ACPL'!L:L)+SUMIF('Budget-ACPLHK'!$A:$A,$A161,'Budget-ACPLHK'!L:L)+SUMIF('Budget-ACPSZL'!$A:$A,$A161,'Budget-ACPSZL'!L:L)+SUMIF('Budget-ACPLSZ'!$A:$A,$A161,'Budget-ACPLSZ'!L:L)+SUMIF('Budget-ACPLGZ'!$A:$A,$A161,'Budget-ACPLGZ'!L:L)+SUMIF('Budget-Yixing'!$A:$A,$A161,'Budget-Yixing'!L:L)</f>
        <v>2382.07233</v>
      </c>
      <c r="M161" s="676">
        <f ca="1">SUMIF('Budget-ACPL'!$A:$A,$A161,'Budget-ACPL'!M:M)+SUMIF('Budget-ACPLHK'!$A:$A,$A161,'Budget-ACPLHK'!M:M)+SUMIF('Budget-ACPSZL'!$A:$A,$A161,'Budget-ACPSZL'!M:M)+SUMIF('Budget-ACPLSZ'!$A:$A,$A161,'Budget-ACPLSZ'!M:M)+SUMIF('Budget-ACPLGZ'!$A:$A,$A161,'Budget-ACPLGZ'!M:M)+SUMIF('Budget-Yixing'!$A:$A,$A161,'Budget-Yixing'!M:M)</f>
        <v>2087.8939180000002</v>
      </c>
      <c r="N161" s="676">
        <f ca="1">SUMIF('Budget-ACPL'!$A:$A,$A161,'Budget-ACPL'!N:N)+SUMIF('Budget-ACPLHK'!$A:$A,$A161,'Budget-ACPLHK'!N:N)+SUMIF('Budget-ACPSZL'!$A:$A,$A161,'Budget-ACPSZL'!N:N)+SUMIF('Budget-ACPLSZ'!$A:$A,$A161,'Budget-ACPLSZ'!N:N)+SUMIF('Budget-ACPLGZ'!$A:$A,$A161,'Budget-ACPLGZ'!N:N)+SUMIF('Budget-Yixing'!$A:$A,$A161,'Budget-Yixing'!N:N)</f>
        <v>1792.7097979999999</v>
      </c>
      <c r="O161" s="676">
        <f ca="1">SUMIF('Budget-ACPL'!$A:$A,$A161,'Budget-ACPL'!O:O)+SUMIF('Budget-ACPLHK'!$A:$A,$A161,'Budget-ACPLHK'!O:O)+SUMIF('Budget-ACPSZL'!$A:$A,$A161,'Budget-ACPSZL'!O:O)+SUMIF('Budget-ACPLSZ'!$A:$A,$A161,'Budget-ACPLSZ'!O:O)+SUMIF('Budget-ACPLGZ'!$A:$A,$A161,'Budget-ACPLGZ'!O:O)+SUMIF('Budget-Yixing'!$A:$A,$A161,'Budget-Yixing'!O:O)</f>
        <v>1496.5111479999998</v>
      </c>
      <c r="P161" s="676">
        <f ca="1">SUMIF('Budget-ACPL'!$A:$A,$A161,'Budget-ACPL'!P:P)+SUMIF('Budget-ACPLHK'!$A:$A,$A161,'Budget-ACPLHK'!P:P)+SUMIF('Budget-ACPSZL'!$A:$A,$A161,'Budget-ACPSZL'!P:P)+SUMIF('Budget-ACPLSZ'!$A:$A,$A161,'Budget-ACPLSZ'!P:P)+SUMIF('Budget-ACPLGZ'!$A:$A,$A161,'Budget-ACPLGZ'!P:P)+SUMIF('Budget-Yixing'!$A:$A,$A161,'Budget-Yixing'!P:P)</f>
        <v>1199.2979680000001</v>
      </c>
      <c r="Q161" s="676">
        <f ca="1">SUMIF('Budget-ACPL'!$A:$A,$A161,'Budget-ACPL'!Q:Q)+SUMIF('Budget-ACPLHK'!$A:$A,$A161,'Budget-ACPLHK'!Q:Q)+SUMIF('Budget-ACPSZL'!$A:$A,$A161,'Budget-ACPSZL'!Q:Q)+SUMIF('Budget-ACPLSZ'!$A:$A,$A161,'Budget-ACPLSZ'!Q:Q)+SUMIF('Budget-ACPLGZ'!$A:$A,$A161,'Budget-ACPLGZ'!Q:Q)+SUMIF('Budget-Yixing'!$A:$A,$A161,'Budget-Yixing'!Q:Q)</f>
        <v>901.06143599999996</v>
      </c>
      <c r="R161" s="676">
        <f ca="1">SUMIF('Budget-ACPL'!$A:$A,$A161,'Budget-ACPL'!R:R)+SUMIF('Budget-ACPLHK'!$A:$A,$A161,'Budget-ACPLHK'!R:R)+SUMIF('Budget-ACPSZL'!$A:$A,$A161,'Budget-ACPSZL'!R:R)+SUMIF('Budget-ACPLSZ'!$A:$A,$A161,'Budget-ACPLSZ'!R:R)+SUMIF('Budget-ACPLGZ'!$A:$A,$A161,'Budget-ACPLGZ'!R:R)+SUMIF('Budget-Yixing'!$A:$A,$A161,'Budget-Yixing'!R:R)</f>
        <v>601.81037399999991</v>
      </c>
      <c r="S161" s="676">
        <f ca="1">SUMIF('Budget-ACPL'!$A:$A,$A161,'Budget-ACPL'!S:S)+SUMIF('Budget-ACPLHK'!$A:$A,$A161,'Budget-ACPLHK'!S:S)+SUMIF('Budget-ACPSZL'!$A:$A,$A161,'Budget-ACPSZL'!S:S)+SUMIF('Budget-ACPLSZ'!$A:$A,$A161,'Budget-ACPLSZ'!S:S)+SUMIF('Budget-ACPLGZ'!$A:$A,$A161,'Budget-ACPLGZ'!S:S)+SUMIF('Budget-Yixing'!$A:$A,$A161,'Budget-Yixing'!S:S)</f>
        <v>235.997322</v>
      </c>
      <c r="T161" s="676">
        <f ca="1">SUMIF('Budget-ACPL'!$A:$A,$A161,'Budget-ACPL'!T:T)+SUMIF('Budget-ACPLHK'!$A:$A,$A161,'Budget-ACPLHK'!T:T)+SUMIF('Budget-ACPSZL'!$A:$A,$A161,'Budget-ACPSZL'!T:T)+SUMIF('Budget-ACPLSZ'!$A:$A,$A161,'Budget-ACPLSZ'!T:T)+SUMIF('Budget-ACPLGZ'!$A:$A,$A161,'Budget-ACPLGZ'!T:T)+SUMIF('Budget-Yixing'!$A:$A,$A161,'Budget-Yixing'!T:T)</f>
        <v>0</v>
      </c>
      <c r="U161" s="676">
        <f ca="1">SUMIF('Budget-ACPL'!$A:$A,$A161,'Budget-ACPL'!U:U)+SUMIF('Budget-ACPLHK'!$A:$A,$A161,'Budget-ACPLHK'!U:U)+SUMIF('Budget-ACPSZL'!$A:$A,$A161,'Budget-ACPSZL'!U:U)+SUMIF('Budget-ACPLSZ'!$A:$A,$A161,'Budget-ACPLSZ'!U:U)+SUMIF('Budget-ACPLGZ'!$A:$A,$A161,'Budget-ACPLGZ'!U:U)+SUMIF('Budget-Yixing'!$A:$A,$A161,'Budget-Yixing'!U:U)</f>
        <v>0</v>
      </c>
      <c r="V161" s="676">
        <f ca="1">SUMIF('Budget-ACPL'!$A:$A,$A161,'Budget-ACPL'!V:V)+SUMIF('Budget-ACPLHK'!$A:$A,$A161,'Budget-ACPLHK'!V:V)+SUMIF('Budget-ACPSZL'!$A:$A,$A161,'Budget-ACPSZL'!V:V)+SUMIF('Budget-ACPLSZ'!$A:$A,$A161,'Budget-ACPLSZ'!V:V)+SUMIF('Budget-ACPLGZ'!$A:$A,$A161,'Budget-ACPLGZ'!V:V)+SUMIF('Budget-Yixing'!$A:$A,$A161,'Budget-Yixing'!V:V)</f>
        <v>0</v>
      </c>
      <c r="W161" s="676"/>
      <c r="Y161" s="688">
        <f ca="1">SUMIF('Budget-ACPL'!$A:$A,$A161,'Budget-ACPL'!Y:Y)+SUMIF('Budget-ACPLHK'!$A:$A,$A161,'Budget-ACPLHK'!Y:Y)+SUMIF('Budget-ACPSZL'!$A:$A,$A161,'Budget-ACPSZL'!Y:Y)+SUMIF('Budget-ACPLSZ'!$A:$A,$A161,'Budget-ACPLSZ'!Y:Y)+SUMIF('Budget-ACPLGZ'!$A:$A,$A161,'Budget-ACPLGZ'!Y:Y)+SUMIF('Budget-Yixing'!$A:$A,$A161,'Budget-Yixing'!Y:Y)</f>
        <v>0</v>
      </c>
      <c r="Z161" s="688">
        <f ca="1">SUMIF('Budget-ACPL'!$A:$A,$A161,'Budget-ACPL'!Z:Z)+SUMIF('Budget-ACPLHK'!$A:$A,$A161,'Budget-ACPLHK'!Z:Z)+SUMIF('Budget-ACPSZL'!$A:$A,$A161,'Budget-ACPSZL'!Z:Z)+SUMIF('Budget-ACPLSZ'!$A:$A,$A161,'Budget-ACPLSZ'!Z:Z)+SUMIF('Budget-ACPLGZ'!$A:$A,$A161,'Budget-ACPLGZ'!Z:Z)+SUMIF('Budget-Yixing'!$A:$A,$A161,'Budget-Yixing'!Z:Z)</f>
        <v>6613.93</v>
      </c>
      <c r="AA161" s="688">
        <f ca="1">SUMIF('Budget-ACPL'!$A:$A,$A161,'Budget-ACPL'!AA:AA)+SUMIF('Budget-ACPLHK'!$A:$A,$A161,'Budget-ACPLHK'!AA:AA)+SUMIF('Budget-ACPSZL'!$A:$A,$A161,'Budget-ACPSZL'!AA:AA)+SUMIF('Budget-ACPLSZ'!$A:$A,$A161,'Budget-ACPLSZ'!AA:AA)+SUMIF('Budget-ACPLGZ'!$A:$A,$A161,'Budget-ACPLGZ'!AA:AA)+SUMIF('Budget-Yixing'!$A:$A,$A161,'Budget-Yixing'!AA:AA)</f>
        <v>6293.89</v>
      </c>
      <c r="AB161" s="688">
        <f ca="1">SUMIF('Budget-ACPL'!$A:$A,$A161,'Budget-ACPL'!AB:AB)+SUMIF('Budget-ACPLHK'!$A:$A,$A161,'Budget-ACPLHK'!AB:AB)+SUMIF('Budget-ACPSZL'!$A:$A,$A161,'Budget-ACPSZL'!AB:AB)+SUMIF('Budget-ACPLSZ'!$A:$A,$A161,'Budget-ACPLSZ'!AB:AB)+SUMIF('Budget-ACPLGZ'!$A:$A,$A161,'Budget-ACPLGZ'!AB:AB)+SUMIF('Budget-Yixing'!$A:$A,$A161,'Budget-Yixing'!AB:AB)</f>
        <v>5972.74</v>
      </c>
      <c r="AC161" s="688">
        <f ca="1">SUMIF('Budget-ACPL'!$A:$A,$A161,'Budget-ACPL'!AC:AC)+SUMIF('Budget-ACPLHK'!$A:$A,$A161,'Budget-ACPLHK'!AC:AC)+SUMIF('Budget-ACPSZL'!$A:$A,$A161,'Budget-ACPSZL'!AC:AC)+SUMIF('Budget-ACPLSZ'!$A:$A,$A161,'Budget-ACPLSZ'!AC:AC)+SUMIF('Budget-ACPLGZ'!$A:$A,$A161,'Budget-ACPLGZ'!AC:AC)+SUMIF('Budget-Yixing'!$A:$A,$A161,'Budget-Yixing'!AC:AC)</f>
        <v>5650.5</v>
      </c>
      <c r="AD161" s="688">
        <f ca="1">SUMIF('Budget-ACPL'!$A:$A,$A161,'Budget-ACPL'!AD:AD)+SUMIF('Budget-ACPLHK'!$A:$A,$A161,'Budget-ACPLHK'!AD:AD)+SUMIF('Budget-ACPSZL'!$A:$A,$A161,'Budget-ACPSZL'!AD:AD)+SUMIF('Budget-ACPLSZ'!$A:$A,$A161,'Budget-ACPLSZ'!AD:AD)+SUMIF('Budget-ACPLGZ'!$A:$A,$A161,'Budget-ACPLGZ'!AD:AD)+SUMIF('Budget-Yixing'!$A:$A,$A161,'Budget-Yixing'!AD:AD)</f>
        <v>5327.15</v>
      </c>
      <c r="AE161" s="688">
        <f ca="1">SUMIF('Budget-ACPL'!$A:$A,$A161,'Budget-ACPL'!AE:AE)+SUMIF('Budget-ACPLHK'!$A:$A,$A161,'Budget-ACPLHK'!AE:AE)+SUMIF('Budget-ACPSZL'!$A:$A,$A161,'Budget-ACPSZL'!AE:AE)+SUMIF('Budget-ACPLSZ'!$A:$A,$A161,'Budget-ACPLSZ'!AE:AE)+SUMIF('Budget-ACPLGZ'!$A:$A,$A161,'Budget-ACPLGZ'!AE:AE)+SUMIF('Budget-Yixing'!$A:$A,$A161,'Budget-Yixing'!AE:AE)</f>
        <v>5002.6899999999996</v>
      </c>
      <c r="AF161" s="688">
        <f ca="1">SUMIF('Budget-ACPL'!$A:$A,$A161,'Budget-ACPL'!AF:AF)+SUMIF('Budget-ACPLHK'!$A:$A,$A161,'Budget-ACPLHK'!AF:AF)+SUMIF('Budget-ACPSZL'!$A:$A,$A161,'Budget-ACPSZL'!AF:AF)+SUMIF('Budget-ACPLSZ'!$A:$A,$A161,'Budget-ACPLSZ'!AF:AF)+SUMIF('Budget-ACPLGZ'!$A:$A,$A161,'Budget-ACPLGZ'!AF:AF)+SUMIF('Budget-Yixing'!$A:$A,$A161,'Budget-Yixing'!AF:AF)</f>
        <v>4677.13</v>
      </c>
      <c r="AG161" s="688">
        <f ca="1">SUMIF('Budget-ACPL'!$A:$A,$A161,'Budget-ACPL'!AG:AG)+SUMIF('Budget-ACPLHK'!$A:$A,$A161,'Budget-ACPLHK'!AG:AG)+SUMIF('Budget-ACPSZL'!$A:$A,$A161,'Budget-ACPSZL'!AG:AG)+SUMIF('Budget-ACPLSZ'!$A:$A,$A161,'Budget-ACPLSZ'!AG:AG)+SUMIF('Budget-ACPLGZ'!$A:$A,$A161,'Budget-ACPLGZ'!AG:AG)+SUMIF('Budget-Yixing'!$A:$A,$A161,'Budget-Yixing'!AG:AG)</f>
        <v>4350.4399999999996</v>
      </c>
      <c r="AH161" s="688">
        <f ca="1">SUMIF('Budget-ACPL'!$A:$A,$A161,'Budget-ACPL'!AH:AH)+SUMIF('Budget-ACPLHK'!$A:$A,$A161,'Budget-ACPLHK'!AH:AH)+SUMIF('Budget-ACPSZL'!$A:$A,$A161,'Budget-ACPSZL'!AH:AH)+SUMIF('Budget-ACPLSZ'!$A:$A,$A161,'Budget-ACPLSZ'!AH:AH)+SUMIF('Budget-ACPLGZ'!$A:$A,$A161,'Budget-ACPLGZ'!AH:AH)+SUMIF('Budget-Yixing'!$A:$A,$A161,'Budget-Yixing'!AH:AH)</f>
        <v>4022.64</v>
      </c>
      <c r="AI161" s="688">
        <f ca="1">SUMIF('Budget-ACPL'!$A:$A,$A161,'Budget-ACPL'!AI:AI)+SUMIF('Budget-ACPLHK'!$A:$A,$A161,'Budget-ACPLHK'!AI:AI)+SUMIF('Budget-ACPSZL'!$A:$A,$A161,'Budget-ACPSZL'!AI:AI)+SUMIF('Budget-ACPLSZ'!$A:$A,$A161,'Budget-ACPLSZ'!AI:AI)+SUMIF('Budget-ACPLGZ'!$A:$A,$A161,'Budget-ACPLGZ'!AI:AI)+SUMIF('Budget-Yixing'!$A:$A,$A161,'Budget-Yixing'!AI:AI)</f>
        <v>3693.71</v>
      </c>
      <c r="AJ161" s="688">
        <f ca="1">SUMIF('Budget-ACPL'!$A:$A,$A161,'Budget-ACPL'!AJ:AJ)+SUMIF('Budget-ACPLHK'!$A:$A,$A161,'Budget-ACPLHK'!AJ:AJ)+SUMIF('Budget-ACPSZL'!$A:$A,$A161,'Budget-ACPSZL'!AJ:AJ)+SUMIF('Budget-ACPLSZ'!$A:$A,$A161,'Budget-ACPLSZ'!AJ:AJ)+SUMIF('Budget-ACPLGZ'!$A:$A,$A161,'Budget-ACPLGZ'!AJ:AJ)+SUMIF('Budget-Yixing'!$A:$A,$A161,'Budget-Yixing'!AJ:AJ)</f>
        <v>3363.66</v>
      </c>
      <c r="AK161" s="688">
        <f t="shared" ca="1" si="54"/>
        <v>54968.479999999996</v>
      </c>
    </row>
    <row r="162" spans="1:37" ht="13.5" hidden="1" customHeight="1">
      <c r="A162" s="713" t="s">
        <v>1912</v>
      </c>
      <c r="B162" s="687" t="str">
        <f>VLOOKUP(A162,Account!A:B,2,0)</f>
        <v>注册地址</v>
      </c>
      <c r="C162" s="687">
        <f>VLOOKUP(A162,Account!A:F,4,0)</f>
        <v>0</v>
      </c>
      <c r="D162" s="676">
        <f t="shared" ca="1" si="48"/>
        <v>0</v>
      </c>
      <c r="E162" s="676" t="e">
        <f t="shared" si="49"/>
        <v>#N/A</v>
      </c>
      <c r="F162" s="676" t="e">
        <f t="shared" ca="1" si="50"/>
        <v>#N/A</v>
      </c>
      <c r="G162" s="676">
        <f t="shared" ca="1" si="51"/>
        <v>0</v>
      </c>
      <c r="H162" s="676" t="e">
        <f t="shared" ca="1" si="52"/>
        <v>#N/A</v>
      </c>
      <c r="I162" s="676" t="e">
        <f t="shared" ca="1" si="53"/>
        <v>#N/A</v>
      </c>
      <c r="K162" s="676">
        <f ca="1">SUMIF('Budget-ACPL'!$A:$A,$A162,'Budget-ACPL'!K:K)+SUMIF('Budget-ACPLHK'!$A:$A,$A162,'Budget-ACPLHK'!K:K)+SUMIF('Budget-ACPSZL'!$A:$A,$A162,'Budget-ACPSZL'!K:K)+SUMIF('Budget-ACPLSZ'!$A:$A,$A162,'Budget-ACPLSZ'!K:K)+SUMIF('Budget-ACPLGZ'!$A:$A,$A162,'Budget-ACPLGZ'!K:K)+SUMIF('Budget-Yixing'!$A:$A,$A162,'Budget-Yixing'!K:K)</f>
        <v>0</v>
      </c>
      <c r="L162" s="676">
        <f ca="1">SUMIF('Budget-ACPL'!$A:$A,$A162,'Budget-ACPL'!L:L)+SUMIF('Budget-ACPLHK'!$A:$A,$A162,'Budget-ACPLHK'!L:L)+SUMIF('Budget-ACPSZL'!$A:$A,$A162,'Budget-ACPSZL'!L:L)+SUMIF('Budget-ACPLSZ'!$A:$A,$A162,'Budget-ACPLSZ'!L:L)+SUMIF('Budget-ACPLGZ'!$A:$A,$A162,'Budget-ACPLGZ'!L:L)+SUMIF('Budget-Yixing'!$A:$A,$A162,'Budget-Yixing'!L:L)</f>
        <v>0</v>
      </c>
      <c r="M162" s="676">
        <f ca="1">SUMIF('Budget-ACPL'!$A:$A,$A162,'Budget-ACPL'!M:M)+SUMIF('Budget-ACPLHK'!$A:$A,$A162,'Budget-ACPLHK'!M:M)+SUMIF('Budget-ACPSZL'!$A:$A,$A162,'Budget-ACPSZL'!M:M)+SUMIF('Budget-ACPLSZ'!$A:$A,$A162,'Budget-ACPLSZ'!M:M)+SUMIF('Budget-ACPLGZ'!$A:$A,$A162,'Budget-ACPLGZ'!M:M)+SUMIF('Budget-Yixing'!$A:$A,$A162,'Budget-Yixing'!M:M)</f>
        <v>0</v>
      </c>
      <c r="N162" s="676">
        <f ca="1">SUMIF('Budget-ACPL'!$A:$A,$A162,'Budget-ACPL'!N:N)+SUMIF('Budget-ACPLHK'!$A:$A,$A162,'Budget-ACPLHK'!N:N)+SUMIF('Budget-ACPSZL'!$A:$A,$A162,'Budget-ACPSZL'!N:N)+SUMIF('Budget-ACPLSZ'!$A:$A,$A162,'Budget-ACPLSZ'!N:N)+SUMIF('Budget-ACPLGZ'!$A:$A,$A162,'Budget-ACPLGZ'!N:N)+SUMIF('Budget-Yixing'!$A:$A,$A162,'Budget-Yixing'!N:N)</f>
        <v>0</v>
      </c>
      <c r="O162" s="676">
        <f ca="1">SUMIF('Budget-ACPL'!$A:$A,$A162,'Budget-ACPL'!O:O)+SUMIF('Budget-ACPLHK'!$A:$A,$A162,'Budget-ACPLHK'!O:O)+SUMIF('Budget-ACPSZL'!$A:$A,$A162,'Budget-ACPSZL'!O:O)+SUMIF('Budget-ACPLSZ'!$A:$A,$A162,'Budget-ACPLSZ'!O:O)+SUMIF('Budget-ACPLGZ'!$A:$A,$A162,'Budget-ACPLGZ'!O:O)+SUMIF('Budget-Yixing'!$A:$A,$A162,'Budget-Yixing'!O:O)</f>
        <v>0</v>
      </c>
      <c r="P162" s="676">
        <f ca="1">SUMIF('Budget-ACPL'!$A:$A,$A162,'Budget-ACPL'!P:P)+SUMIF('Budget-ACPLHK'!$A:$A,$A162,'Budget-ACPLHK'!P:P)+SUMIF('Budget-ACPSZL'!$A:$A,$A162,'Budget-ACPSZL'!P:P)+SUMIF('Budget-ACPLSZ'!$A:$A,$A162,'Budget-ACPLSZ'!P:P)+SUMIF('Budget-ACPLGZ'!$A:$A,$A162,'Budget-ACPLGZ'!P:P)+SUMIF('Budget-Yixing'!$A:$A,$A162,'Budget-Yixing'!P:P)</f>
        <v>0</v>
      </c>
      <c r="Q162" s="676">
        <f ca="1">SUMIF('Budget-ACPL'!$A:$A,$A162,'Budget-ACPL'!Q:Q)+SUMIF('Budget-ACPLHK'!$A:$A,$A162,'Budget-ACPLHK'!Q:Q)+SUMIF('Budget-ACPSZL'!$A:$A,$A162,'Budget-ACPSZL'!Q:Q)+SUMIF('Budget-ACPLSZ'!$A:$A,$A162,'Budget-ACPLSZ'!Q:Q)+SUMIF('Budget-ACPLGZ'!$A:$A,$A162,'Budget-ACPLGZ'!Q:Q)+SUMIF('Budget-Yixing'!$A:$A,$A162,'Budget-Yixing'!Q:Q)</f>
        <v>0</v>
      </c>
      <c r="R162" s="676">
        <f ca="1">SUMIF('Budget-ACPL'!$A:$A,$A162,'Budget-ACPL'!R:R)+SUMIF('Budget-ACPLHK'!$A:$A,$A162,'Budget-ACPLHK'!R:R)+SUMIF('Budget-ACPSZL'!$A:$A,$A162,'Budget-ACPSZL'!R:R)+SUMIF('Budget-ACPLSZ'!$A:$A,$A162,'Budget-ACPLSZ'!R:R)+SUMIF('Budget-ACPLGZ'!$A:$A,$A162,'Budget-ACPLGZ'!R:R)+SUMIF('Budget-Yixing'!$A:$A,$A162,'Budget-Yixing'!R:R)</f>
        <v>0</v>
      </c>
      <c r="S162" s="676">
        <f ca="1">SUMIF('Budget-ACPL'!$A:$A,$A162,'Budget-ACPL'!S:S)+SUMIF('Budget-ACPLHK'!$A:$A,$A162,'Budget-ACPLHK'!S:S)+SUMIF('Budget-ACPSZL'!$A:$A,$A162,'Budget-ACPSZL'!S:S)+SUMIF('Budget-ACPLSZ'!$A:$A,$A162,'Budget-ACPLSZ'!S:S)+SUMIF('Budget-ACPLGZ'!$A:$A,$A162,'Budget-ACPLGZ'!S:S)+SUMIF('Budget-Yixing'!$A:$A,$A162,'Budget-Yixing'!S:S)</f>
        <v>0</v>
      </c>
      <c r="T162" s="676">
        <f ca="1">SUMIF('Budget-ACPL'!$A:$A,$A162,'Budget-ACPL'!T:T)+SUMIF('Budget-ACPLHK'!$A:$A,$A162,'Budget-ACPLHK'!T:T)+SUMIF('Budget-ACPSZL'!$A:$A,$A162,'Budget-ACPSZL'!T:T)+SUMIF('Budget-ACPLSZ'!$A:$A,$A162,'Budget-ACPLSZ'!T:T)+SUMIF('Budget-ACPLGZ'!$A:$A,$A162,'Budget-ACPLGZ'!T:T)+SUMIF('Budget-Yixing'!$A:$A,$A162,'Budget-Yixing'!T:T)</f>
        <v>0</v>
      </c>
      <c r="U162" s="676">
        <f ca="1">SUMIF('Budget-ACPL'!$A:$A,$A162,'Budget-ACPL'!U:U)+SUMIF('Budget-ACPLHK'!$A:$A,$A162,'Budget-ACPLHK'!U:U)+SUMIF('Budget-ACPSZL'!$A:$A,$A162,'Budget-ACPSZL'!U:U)+SUMIF('Budget-ACPLSZ'!$A:$A,$A162,'Budget-ACPLSZ'!U:U)+SUMIF('Budget-ACPLGZ'!$A:$A,$A162,'Budget-ACPLGZ'!U:U)+SUMIF('Budget-Yixing'!$A:$A,$A162,'Budget-Yixing'!U:U)</f>
        <v>0</v>
      </c>
      <c r="V162" s="676">
        <f ca="1">SUMIF('Budget-ACPL'!$A:$A,$A162,'Budget-ACPL'!V:V)+SUMIF('Budget-ACPLHK'!$A:$A,$A162,'Budget-ACPLHK'!V:V)+SUMIF('Budget-ACPSZL'!$A:$A,$A162,'Budget-ACPSZL'!V:V)+SUMIF('Budget-ACPLSZ'!$A:$A,$A162,'Budget-ACPLSZ'!V:V)+SUMIF('Budget-ACPLGZ'!$A:$A,$A162,'Budget-ACPLGZ'!V:V)+SUMIF('Budget-Yixing'!$A:$A,$A162,'Budget-Yixing'!V:V)</f>
        <v>0</v>
      </c>
      <c r="W162" s="676">
        <f t="shared" ref="W162:W169" ca="1" si="55">SUM(K162:V162)</f>
        <v>0</v>
      </c>
      <c r="Y162" s="688">
        <f ca="1">SUMIF('Budget-ACPL'!$A:$A,$A162,'Budget-ACPL'!Y:Y)+SUMIF('Budget-ACPLHK'!$A:$A,$A162,'Budget-ACPLHK'!Y:Y)+SUMIF('Budget-ACPSZL'!$A:$A,$A162,'Budget-ACPSZL'!Y:Y)+SUMIF('Budget-ACPLSZ'!$A:$A,$A162,'Budget-ACPLSZ'!Y:Y)+SUMIF('Budget-ACPLGZ'!$A:$A,$A162,'Budget-ACPLGZ'!Y:Y)+SUMIF('Budget-Yixing'!$A:$A,$A162,'Budget-Yixing'!Y:Y)</f>
        <v>235.38</v>
      </c>
      <c r="Z162" s="688">
        <f ca="1">SUMIF('Budget-ACPL'!$A:$A,$A162,'Budget-ACPL'!Z:Z)+SUMIF('Budget-ACPLHK'!$A:$A,$A162,'Budget-ACPLHK'!Z:Z)+SUMIF('Budget-ACPSZL'!$A:$A,$A162,'Budget-ACPSZL'!Z:Z)+SUMIF('Budget-ACPLSZ'!$A:$A,$A162,'Budget-ACPLSZ'!Z:Z)+SUMIF('Budget-ACPLGZ'!$A:$A,$A162,'Budget-ACPLGZ'!Z:Z)+SUMIF('Budget-Yixing'!$A:$A,$A162,'Budget-Yixing'!Z:Z)</f>
        <v>216.1</v>
      </c>
      <c r="AA162" s="688">
        <f ca="1">SUMIF('Budget-ACPL'!$A:$A,$A162,'Budget-ACPL'!AA:AA)+SUMIF('Budget-ACPLHK'!$A:$A,$A162,'Budget-ACPLHK'!AA:AA)+SUMIF('Budget-ACPSZL'!$A:$A,$A162,'Budget-ACPSZL'!AA:AA)+SUMIF('Budget-ACPLSZ'!$A:$A,$A162,'Budget-ACPLSZ'!AA:AA)+SUMIF('Budget-ACPLGZ'!$A:$A,$A162,'Budget-ACPLGZ'!AA:AA)+SUMIF('Budget-Yixing'!$A:$A,$A162,'Budget-Yixing'!AA:AA)</f>
        <v>196.76</v>
      </c>
      <c r="AB162" s="688">
        <f ca="1">SUMIF('Budget-ACPL'!$A:$A,$A162,'Budget-ACPL'!AB:AB)+SUMIF('Budget-ACPLHK'!$A:$A,$A162,'Budget-ACPLHK'!AB:AB)+SUMIF('Budget-ACPSZL'!$A:$A,$A162,'Budget-ACPSZL'!AB:AB)+SUMIF('Budget-ACPLSZ'!$A:$A,$A162,'Budget-ACPLSZ'!AB:AB)+SUMIF('Budget-ACPLGZ'!$A:$A,$A162,'Budget-ACPLGZ'!AB:AB)+SUMIF('Budget-Yixing'!$A:$A,$A162,'Budget-Yixing'!AB:AB)</f>
        <v>177.37</v>
      </c>
      <c r="AC162" s="688">
        <f ca="1">SUMIF('Budget-ACPL'!$A:$A,$A162,'Budget-ACPL'!AC:AC)+SUMIF('Budget-ACPLHK'!$A:$A,$A162,'Budget-ACPLHK'!AC:AC)+SUMIF('Budget-ACPSZL'!$A:$A,$A162,'Budget-ACPSZL'!AC:AC)+SUMIF('Budget-ACPLSZ'!$A:$A,$A162,'Budget-ACPLSZ'!AC:AC)+SUMIF('Budget-ACPLGZ'!$A:$A,$A162,'Budget-ACPLGZ'!AC:AC)+SUMIF('Budget-Yixing'!$A:$A,$A162,'Budget-Yixing'!AC:AC)</f>
        <v>157.91</v>
      </c>
      <c r="AD162" s="688">
        <f ca="1">SUMIF('Budget-ACPL'!$A:$A,$A162,'Budget-ACPL'!AD:AD)+SUMIF('Budget-ACPLHK'!$A:$A,$A162,'Budget-ACPLHK'!AD:AD)+SUMIF('Budget-ACPSZL'!$A:$A,$A162,'Budget-ACPSZL'!AD:AD)+SUMIF('Budget-ACPLSZ'!$A:$A,$A162,'Budget-ACPLSZ'!AD:AD)+SUMIF('Budget-ACPLGZ'!$A:$A,$A162,'Budget-ACPLGZ'!AD:AD)+SUMIF('Budget-Yixing'!$A:$A,$A162,'Budget-Yixing'!AD:AD)</f>
        <v>138.38</v>
      </c>
      <c r="AE162" s="688">
        <f ca="1">SUMIF('Budget-ACPL'!$A:$A,$A162,'Budget-ACPL'!AE:AE)+SUMIF('Budget-ACPLHK'!$A:$A,$A162,'Budget-ACPLHK'!AE:AE)+SUMIF('Budget-ACPSZL'!$A:$A,$A162,'Budget-ACPSZL'!AE:AE)+SUMIF('Budget-ACPLSZ'!$A:$A,$A162,'Budget-ACPLSZ'!AE:AE)+SUMIF('Budget-ACPLGZ'!$A:$A,$A162,'Budget-ACPLGZ'!AE:AE)+SUMIF('Budget-Yixing'!$A:$A,$A162,'Budget-Yixing'!AE:AE)</f>
        <v>118.8</v>
      </c>
      <c r="AF162" s="688">
        <f ca="1">SUMIF('Budget-ACPL'!$A:$A,$A162,'Budget-ACPL'!AF:AF)+SUMIF('Budget-ACPLHK'!$A:$A,$A162,'Budget-ACPLHK'!AF:AF)+SUMIF('Budget-ACPSZL'!$A:$A,$A162,'Budget-ACPSZL'!AF:AF)+SUMIF('Budget-ACPLSZ'!$A:$A,$A162,'Budget-ACPLSZ'!AF:AF)+SUMIF('Budget-ACPLGZ'!$A:$A,$A162,'Budget-ACPLGZ'!AF:AF)+SUMIF('Budget-Yixing'!$A:$A,$A162,'Budget-Yixing'!AF:AF)</f>
        <v>99.16</v>
      </c>
      <c r="AG162" s="688">
        <f ca="1">SUMIF('Budget-ACPL'!$A:$A,$A162,'Budget-ACPL'!AG:AG)+SUMIF('Budget-ACPLHK'!$A:$A,$A162,'Budget-ACPLHK'!AG:AG)+SUMIF('Budget-ACPSZL'!$A:$A,$A162,'Budget-ACPSZL'!AG:AG)+SUMIF('Budget-ACPLSZ'!$A:$A,$A162,'Budget-ACPLSZ'!AG:AG)+SUMIF('Budget-ACPLGZ'!$A:$A,$A162,'Budget-ACPLGZ'!AG:AG)+SUMIF('Budget-Yixing'!$A:$A,$A162,'Budget-Yixing'!AG:AG)</f>
        <v>79.45</v>
      </c>
      <c r="AH162" s="688">
        <f ca="1">SUMIF('Budget-ACPL'!$A:$A,$A162,'Budget-ACPL'!AH:AH)+SUMIF('Budget-ACPLHK'!$A:$A,$A162,'Budget-ACPLHK'!AH:AH)+SUMIF('Budget-ACPSZL'!$A:$A,$A162,'Budget-ACPSZL'!AH:AH)+SUMIF('Budget-ACPLSZ'!$A:$A,$A162,'Budget-ACPLSZ'!AH:AH)+SUMIF('Budget-ACPLGZ'!$A:$A,$A162,'Budget-ACPLGZ'!AH:AH)+SUMIF('Budget-Yixing'!$A:$A,$A162,'Budget-Yixing'!AH:AH)</f>
        <v>59.68</v>
      </c>
      <c r="AI162" s="688">
        <f ca="1">SUMIF('Budget-ACPL'!$A:$A,$A162,'Budget-ACPL'!AI:AI)+SUMIF('Budget-ACPLHK'!$A:$A,$A162,'Budget-ACPLHK'!AI:AI)+SUMIF('Budget-ACPSZL'!$A:$A,$A162,'Budget-ACPSZL'!AI:AI)+SUMIF('Budget-ACPLSZ'!$A:$A,$A162,'Budget-ACPLSZ'!AI:AI)+SUMIF('Budget-ACPLGZ'!$A:$A,$A162,'Budget-ACPLGZ'!AI:AI)+SUMIF('Budget-Yixing'!$A:$A,$A162,'Budget-Yixing'!AI:AI)</f>
        <v>39.85</v>
      </c>
      <c r="AJ162" s="688">
        <f ca="1">SUMIF('Budget-ACPL'!$A:$A,$A162,'Budget-ACPL'!AJ:AJ)+SUMIF('Budget-ACPLHK'!$A:$A,$A162,'Budget-ACPLHK'!AJ:AJ)+SUMIF('Budget-ACPSZL'!$A:$A,$A162,'Budget-ACPSZL'!AJ:AJ)+SUMIF('Budget-ACPLSZ'!$A:$A,$A162,'Budget-ACPLSZ'!AJ:AJ)+SUMIF('Budget-ACPLGZ'!$A:$A,$A162,'Budget-ACPLGZ'!AJ:AJ)+SUMIF('Budget-Yixing'!$A:$A,$A162,'Budget-Yixing'!AJ:AJ)</f>
        <v>19.940000000000001</v>
      </c>
      <c r="AK162" s="688">
        <f t="shared" ca="1" si="54"/>
        <v>1538.7800000000002</v>
      </c>
    </row>
    <row r="163" spans="1:37" ht="13.5" hidden="1" customHeight="1">
      <c r="A163" s="713" t="s">
        <v>1914</v>
      </c>
      <c r="B163" s="687" t="str">
        <f>VLOOKUP(A163,Account!A:B,2,0)</f>
        <v>旭智私募--前海壹号B座701E</v>
      </c>
      <c r="C163" s="687">
        <f>VLOOKUP(A163,Account!A:F,4,0)</f>
        <v>0</v>
      </c>
      <c r="D163" s="676">
        <f t="shared" ca="1" si="48"/>
        <v>0</v>
      </c>
      <c r="E163" s="676" t="e">
        <f t="shared" si="49"/>
        <v>#N/A</v>
      </c>
      <c r="F163" s="676" t="e">
        <f t="shared" ca="1" si="50"/>
        <v>#N/A</v>
      </c>
      <c r="G163" s="676">
        <f t="shared" ca="1" si="51"/>
        <v>0</v>
      </c>
      <c r="H163" s="676" t="e">
        <f t="shared" ca="1" si="52"/>
        <v>#N/A</v>
      </c>
      <c r="I163" s="676" t="e">
        <f t="shared" ca="1" si="53"/>
        <v>#N/A</v>
      </c>
      <c r="K163" s="676">
        <f ca="1">SUMIF('Budget-ACPL'!$A:$A,$A163,'Budget-ACPL'!K:K)+SUMIF('Budget-ACPLHK'!$A:$A,$A163,'Budget-ACPLHK'!K:K)+SUMIF('Budget-ACPSZL'!$A:$A,$A163,'Budget-ACPSZL'!K:K)+SUMIF('Budget-ACPLSZ'!$A:$A,$A163,'Budget-ACPLSZ'!K:K)+SUMIF('Budget-ACPLGZ'!$A:$A,$A163,'Budget-ACPLGZ'!K:K)+SUMIF('Budget-Yixing'!$A:$A,$A163,'Budget-Yixing'!K:K)</f>
        <v>0</v>
      </c>
      <c r="L163" s="676">
        <f ca="1">SUMIF('Budget-ACPL'!$A:$A,$A163,'Budget-ACPL'!L:L)+SUMIF('Budget-ACPLHK'!$A:$A,$A163,'Budget-ACPLHK'!L:L)+SUMIF('Budget-ACPSZL'!$A:$A,$A163,'Budget-ACPSZL'!L:L)+SUMIF('Budget-ACPLSZ'!$A:$A,$A163,'Budget-ACPLSZ'!L:L)+SUMIF('Budget-ACPLGZ'!$A:$A,$A163,'Budget-ACPLGZ'!L:L)+SUMIF('Budget-Yixing'!$A:$A,$A163,'Budget-Yixing'!L:L)</f>
        <v>0</v>
      </c>
      <c r="M163" s="676">
        <f ca="1">SUMIF('Budget-ACPL'!$A:$A,$A163,'Budget-ACPL'!M:M)+SUMIF('Budget-ACPLHK'!$A:$A,$A163,'Budget-ACPLHK'!M:M)+SUMIF('Budget-ACPSZL'!$A:$A,$A163,'Budget-ACPSZL'!M:M)+SUMIF('Budget-ACPLSZ'!$A:$A,$A163,'Budget-ACPLSZ'!M:M)+SUMIF('Budget-ACPLGZ'!$A:$A,$A163,'Budget-ACPLGZ'!M:M)+SUMIF('Budget-Yixing'!$A:$A,$A163,'Budget-Yixing'!M:M)</f>
        <v>0</v>
      </c>
      <c r="N163" s="676">
        <f ca="1">SUMIF('Budget-ACPL'!$A:$A,$A163,'Budget-ACPL'!N:N)+SUMIF('Budget-ACPLHK'!$A:$A,$A163,'Budget-ACPLHK'!N:N)+SUMIF('Budget-ACPSZL'!$A:$A,$A163,'Budget-ACPSZL'!N:N)+SUMIF('Budget-ACPLSZ'!$A:$A,$A163,'Budget-ACPLSZ'!N:N)+SUMIF('Budget-ACPLGZ'!$A:$A,$A163,'Budget-ACPLGZ'!N:N)+SUMIF('Budget-Yixing'!$A:$A,$A163,'Budget-Yixing'!N:N)</f>
        <v>0</v>
      </c>
      <c r="O163" s="676">
        <f ca="1">SUMIF('Budget-ACPL'!$A:$A,$A163,'Budget-ACPL'!O:O)+SUMIF('Budget-ACPLHK'!$A:$A,$A163,'Budget-ACPLHK'!O:O)+SUMIF('Budget-ACPSZL'!$A:$A,$A163,'Budget-ACPSZL'!O:O)+SUMIF('Budget-ACPLSZ'!$A:$A,$A163,'Budget-ACPLSZ'!O:O)+SUMIF('Budget-ACPLGZ'!$A:$A,$A163,'Budget-ACPLGZ'!O:O)+SUMIF('Budget-Yixing'!$A:$A,$A163,'Budget-Yixing'!O:O)</f>
        <v>0</v>
      </c>
      <c r="P163" s="676">
        <f ca="1">SUMIF('Budget-ACPL'!$A:$A,$A163,'Budget-ACPL'!P:P)+SUMIF('Budget-ACPLHK'!$A:$A,$A163,'Budget-ACPLHK'!P:P)+SUMIF('Budget-ACPSZL'!$A:$A,$A163,'Budget-ACPSZL'!P:P)+SUMIF('Budget-ACPLSZ'!$A:$A,$A163,'Budget-ACPLSZ'!P:P)+SUMIF('Budget-ACPLGZ'!$A:$A,$A163,'Budget-ACPLGZ'!P:P)+SUMIF('Budget-Yixing'!$A:$A,$A163,'Budget-Yixing'!P:P)</f>
        <v>0</v>
      </c>
      <c r="Q163" s="676">
        <f ca="1">SUMIF('Budget-ACPL'!$A:$A,$A163,'Budget-ACPL'!Q:Q)+SUMIF('Budget-ACPLHK'!$A:$A,$A163,'Budget-ACPLHK'!Q:Q)+SUMIF('Budget-ACPSZL'!$A:$A,$A163,'Budget-ACPSZL'!Q:Q)+SUMIF('Budget-ACPLSZ'!$A:$A,$A163,'Budget-ACPLSZ'!Q:Q)+SUMIF('Budget-ACPLGZ'!$A:$A,$A163,'Budget-ACPLGZ'!Q:Q)+SUMIF('Budget-Yixing'!$A:$A,$A163,'Budget-Yixing'!Q:Q)</f>
        <v>0</v>
      </c>
      <c r="R163" s="676">
        <f ca="1">SUMIF('Budget-ACPL'!$A:$A,$A163,'Budget-ACPL'!R:R)+SUMIF('Budget-ACPLHK'!$A:$A,$A163,'Budget-ACPLHK'!R:R)+SUMIF('Budget-ACPSZL'!$A:$A,$A163,'Budget-ACPSZL'!R:R)+SUMIF('Budget-ACPLSZ'!$A:$A,$A163,'Budget-ACPLSZ'!R:R)+SUMIF('Budget-ACPLGZ'!$A:$A,$A163,'Budget-ACPLGZ'!R:R)+SUMIF('Budget-Yixing'!$A:$A,$A163,'Budget-Yixing'!R:R)</f>
        <v>0</v>
      </c>
      <c r="S163" s="676">
        <f ca="1">SUMIF('Budget-ACPL'!$A:$A,$A163,'Budget-ACPL'!S:S)+SUMIF('Budget-ACPLHK'!$A:$A,$A163,'Budget-ACPLHK'!S:S)+SUMIF('Budget-ACPSZL'!$A:$A,$A163,'Budget-ACPSZL'!S:S)+SUMIF('Budget-ACPLSZ'!$A:$A,$A163,'Budget-ACPLSZ'!S:S)+SUMIF('Budget-ACPLGZ'!$A:$A,$A163,'Budget-ACPLGZ'!S:S)+SUMIF('Budget-Yixing'!$A:$A,$A163,'Budget-Yixing'!S:S)</f>
        <v>0</v>
      </c>
      <c r="T163" s="676">
        <f ca="1">SUMIF('Budget-ACPL'!$A:$A,$A163,'Budget-ACPL'!T:T)+SUMIF('Budget-ACPLHK'!$A:$A,$A163,'Budget-ACPLHK'!T:T)+SUMIF('Budget-ACPSZL'!$A:$A,$A163,'Budget-ACPSZL'!T:T)+SUMIF('Budget-ACPLSZ'!$A:$A,$A163,'Budget-ACPLSZ'!T:T)+SUMIF('Budget-ACPLGZ'!$A:$A,$A163,'Budget-ACPLGZ'!T:T)+SUMIF('Budget-Yixing'!$A:$A,$A163,'Budget-Yixing'!T:T)</f>
        <v>0</v>
      </c>
      <c r="U163" s="676">
        <f ca="1">SUMIF('Budget-ACPL'!$A:$A,$A163,'Budget-ACPL'!U:U)+SUMIF('Budget-ACPLHK'!$A:$A,$A163,'Budget-ACPLHK'!U:U)+SUMIF('Budget-ACPSZL'!$A:$A,$A163,'Budget-ACPSZL'!U:U)+SUMIF('Budget-ACPLSZ'!$A:$A,$A163,'Budget-ACPLSZ'!U:U)+SUMIF('Budget-ACPLGZ'!$A:$A,$A163,'Budget-ACPLGZ'!U:U)+SUMIF('Budget-Yixing'!$A:$A,$A163,'Budget-Yixing'!U:U)</f>
        <v>0</v>
      </c>
      <c r="V163" s="676">
        <f ca="1">SUMIF('Budget-ACPL'!$A:$A,$A163,'Budget-ACPL'!V:V)+SUMIF('Budget-ACPLHK'!$A:$A,$A163,'Budget-ACPLHK'!V:V)+SUMIF('Budget-ACPSZL'!$A:$A,$A163,'Budget-ACPSZL'!V:V)+SUMIF('Budget-ACPLSZ'!$A:$A,$A163,'Budget-ACPLSZ'!V:V)+SUMIF('Budget-ACPLGZ'!$A:$A,$A163,'Budget-ACPLGZ'!V:V)+SUMIF('Budget-Yixing'!$A:$A,$A163,'Budget-Yixing'!V:V)</f>
        <v>0</v>
      </c>
      <c r="W163" s="676">
        <f t="shared" ca="1" si="55"/>
        <v>0</v>
      </c>
      <c r="Y163" s="688">
        <f ca="1">SUMIF('Budget-ACPL'!$A:$A,$A163,'Budget-ACPL'!Y:Y)+SUMIF('Budget-ACPLHK'!$A:$A,$A163,'Budget-ACPLHK'!Y:Y)+SUMIF('Budget-ACPSZL'!$A:$A,$A163,'Budget-ACPSZL'!Y:Y)+SUMIF('Budget-ACPLSZ'!$A:$A,$A163,'Budget-ACPLSZ'!Y:Y)+SUMIF('Budget-ACPLGZ'!$A:$A,$A163,'Budget-ACPLGZ'!Y:Y)+SUMIF('Budget-Yixing'!$A:$A,$A163,'Budget-Yixing'!Y:Y)</f>
        <v>235.38</v>
      </c>
      <c r="Z163" s="688">
        <f ca="1">SUMIF('Budget-ACPL'!$A:$A,$A163,'Budget-ACPL'!Z:Z)+SUMIF('Budget-ACPLHK'!$A:$A,$A163,'Budget-ACPLHK'!Z:Z)+SUMIF('Budget-ACPSZL'!$A:$A,$A163,'Budget-ACPSZL'!Z:Z)+SUMIF('Budget-ACPLSZ'!$A:$A,$A163,'Budget-ACPLSZ'!Z:Z)+SUMIF('Budget-ACPLGZ'!$A:$A,$A163,'Budget-ACPLGZ'!Z:Z)+SUMIF('Budget-Yixing'!$A:$A,$A163,'Budget-Yixing'!Z:Z)</f>
        <v>216.1</v>
      </c>
      <c r="AA163" s="688">
        <f ca="1">SUMIF('Budget-ACPL'!$A:$A,$A163,'Budget-ACPL'!AA:AA)+SUMIF('Budget-ACPLHK'!$A:$A,$A163,'Budget-ACPLHK'!AA:AA)+SUMIF('Budget-ACPSZL'!$A:$A,$A163,'Budget-ACPSZL'!AA:AA)+SUMIF('Budget-ACPLSZ'!$A:$A,$A163,'Budget-ACPLSZ'!AA:AA)+SUMIF('Budget-ACPLGZ'!$A:$A,$A163,'Budget-ACPLGZ'!AA:AA)+SUMIF('Budget-Yixing'!$A:$A,$A163,'Budget-Yixing'!AA:AA)</f>
        <v>196.76</v>
      </c>
      <c r="AB163" s="688">
        <f ca="1">SUMIF('Budget-ACPL'!$A:$A,$A163,'Budget-ACPL'!AB:AB)+SUMIF('Budget-ACPLHK'!$A:$A,$A163,'Budget-ACPLHK'!AB:AB)+SUMIF('Budget-ACPSZL'!$A:$A,$A163,'Budget-ACPSZL'!AB:AB)+SUMIF('Budget-ACPLSZ'!$A:$A,$A163,'Budget-ACPLSZ'!AB:AB)+SUMIF('Budget-ACPLGZ'!$A:$A,$A163,'Budget-ACPLGZ'!AB:AB)+SUMIF('Budget-Yixing'!$A:$A,$A163,'Budget-Yixing'!AB:AB)</f>
        <v>177.37</v>
      </c>
      <c r="AC163" s="688">
        <f ca="1">SUMIF('Budget-ACPL'!$A:$A,$A163,'Budget-ACPL'!AC:AC)+SUMIF('Budget-ACPLHK'!$A:$A,$A163,'Budget-ACPLHK'!AC:AC)+SUMIF('Budget-ACPSZL'!$A:$A,$A163,'Budget-ACPSZL'!AC:AC)+SUMIF('Budget-ACPLSZ'!$A:$A,$A163,'Budget-ACPLSZ'!AC:AC)+SUMIF('Budget-ACPLGZ'!$A:$A,$A163,'Budget-ACPLGZ'!AC:AC)+SUMIF('Budget-Yixing'!$A:$A,$A163,'Budget-Yixing'!AC:AC)</f>
        <v>157.91</v>
      </c>
      <c r="AD163" s="688">
        <f ca="1">SUMIF('Budget-ACPL'!$A:$A,$A163,'Budget-ACPL'!AD:AD)+SUMIF('Budget-ACPLHK'!$A:$A,$A163,'Budget-ACPLHK'!AD:AD)+SUMIF('Budget-ACPSZL'!$A:$A,$A163,'Budget-ACPSZL'!AD:AD)+SUMIF('Budget-ACPLSZ'!$A:$A,$A163,'Budget-ACPLSZ'!AD:AD)+SUMIF('Budget-ACPLGZ'!$A:$A,$A163,'Budget-ACPLGZ'!AD:AD)+SUMIF('Budget-Yixing'!$A:$A,$A163,'Budget-Yixing'!AD:AD)</f>
        <v>138.38</v>
      </c>
      <c r="AE163" s="688">
        <f ca="1">SUMIF('Budget-ACPL'!$A:$A,$A163,'Budget-ACPL'!AE:AE)+SUMIF('Budget-ACPLHK'!$A:$A,$A163,'Budget-ACPLHK'!AE:AE)+SUMIF('Budget-ACPSZL'!$A:$A,$A163,'Budget-ACPSZL'!AE:AE)+SUMIF('Budget-ACPLSZ'!$A:$A,$A163,'Budget-ACPLSZ'!AE:AE)+SUMIF('Budget-ACPLGZ'!$A:$A,$A163,'Budget-ACPLGZ'!AE:AE)+SUMIF('Budget-Yixing'!$A:$A,$A163,'Budget-Yixing'!AE:AE)</f>
        <v>118.8</v>
      </c>
      <c r="AF163" s="688">
        <f ca="1">SUMIF('Budget-ACPL'!$A:$A,$A163,'Budget-ACPL'!AF:AF)+SUMIF('Budget-ACPLHK'!$A:$A,$A163,'Budget-ACPLHK'!AF:AF)+SUMIF('Budget-ACPSZL'!$A:$A,$A163,'Budget-ACPSZL'!AF:AF)+SUMIF('Budget-ACPLSZ'!$A:$A,$A163,'Budget-ACPLSZ'!AF:AF)+SUMIF('Budget-ACPLGZ'!$A:$A,$A163,'Budget-ACPLGZ'!AF:AF)+SUMIF('Budget-Yixing'!$A:$A,$A163,'Budget-Yixing'!AF:AF)</f>
        <v>99.16</v>
      </c>
      <c r="AG163" s="688">
        <f ca="1">SUMIF('Budget-ACPL'!$A:$A,$A163,'Budget-ACPL'!AG:AG)+SUMIF('Budget-ACPLHK'!$A:$A,$A163,'Budget-ACPLHK'!AG:AG)+SUMIF('Budget-ACPSZL'!$A:$A,$A163,'Budget-ACPSZL'!AG:AG)+SUMIF('Budget-ACPLSZ'!$A:$A,$A163,'Budget-ACPLSZ'!AG:AG)+SUMIF('Budget-ACPLGZ'!$A:$A,$A163,'Budget-ACPLGZ'!AG:AG)+SUMIF('Budget-Yixing'!$A:$A,$A163,'Budget-Yixing'!AG:AG)</f>
        <v>79.45</v>
      </c>
      <c r="AH163" s="688">
        <f ca="1">SUMIF('Budget-ACPL'!$A:$A,$A163,'Budget-ACPL'!AH:AH)+SUMIF('Budget-ACPLHK'!$A:$A,$A163,'Budget-ACPLHK'!AH:AH)+SUMIF('Budget-ACPSZL'!$A:$A,$A163,'Budget-ACPSZL'!AH:AH)+SUMIF('Budget-ACPLSZ'!$A:$A,$A163,'Budget-ACPLSZ'!AH:AH)+SUMIF('Budget-ACPLGZ'!$A:$A,$A163,'Budget-ACPLGZ'!AH:AH)+SUMIF('Budget-Yixing'!$A:$A,$A163,'Budget-Yixing'!AH:AH)</f>
        <v>59.68</v>
      </c>
      <c r="AI163" s="688">
        <f ca="1">SUMIF('Budget-ACPL'!$A:$A,$A163,'Budget-ACPL'!AI:AI)+SUMIF('Budget-ACPLHK'!$A:$A,$A163,'Budget-ACPLHK'!AI:AI)+SUMIF('Budget-ACPSZL'!$A:$A,$A163,'Budget-ACPSZL'!AI:AI)+SUMIF('Budget-ACPLSZ'!$A:$A,$A163,'Budget-ACPLSZ'!AI:AI)+SUMIF('Budget-ACPLGZ'!$A:$A,$A163,'Budget-ACPLGZ'!AI:AI)+SUMIF('Budget-Yixing'!$A:$A,$A163,'Budget-Yixing'!AI:AI)</f>
        <v>39.85</v>
      </c>
      <c r="AJ163" s="688">
        <f ca="1">SUMIF('Budget-ACPL'!$A:$A,$A163,'Budget-ACPL'!AJ:AJ)+SUMIF('Budget-ACPLHK'!$A:$A,$A163,'Budget-ACPLHK'!AJ:AJ)+SUMIF('Budget-ACPSZL'!$A:$A,$A163,'Budget-ACPSZL'!AJ:AJ)+SUMIF('Budget-ACPLSZ'!$A:$A,$A163,'Budget-ACPLSZ'!AJ:AJ)+SUMIF('Budget-ACPLGZ'!$A:$A,$A163,'Budget-ACPLGZ'!AJ:AJ)+SUMIF('Budget-Yixing'!$A:$A,$A163,'Budget-Yixing'!AJ:AJ)</f>
        <v>19.940000000000001</v>
      </c>
      <c r="AK163" s="688">
        <f t="shared" ca="1" si="54"/>
        <v>1538.7800000000002</v>
      </c>
    </row>
    <row r="164" spans="1:37" ht="13.5" hidden="1" customHeight="1">
      <c r="A164" s="713" t="s">
        <v>1916</v>
      </c>
      <c r="B164" s="687" t="str">
        <f>VLOOKUP(A164,Account!A:B,2,0)</f>
        <v>广州旭智--802房F028</v>
      </c>
      <c r="C164" s="687">
        <f>VLOOKUP(A164,Account!A:F,4,0)</f>
        <v>0</v>
      </c>
      <c r="D164" s="676">
        <f t="shared" ca="1" si="48"/>
        <v>0</v>
      </c>
      <c r="E164" s="676" t="e">
        <f t="shared" si="49"/>
        <v>#N/A</v>
      </c>
      <c r="F164" s="676" t="e">
        <f t="shared" ca="1" si="50"/>
        <v>#N/A</v>
      </c>
      <c r="G164" s="676">
        <f t="shared" ca="1" si="51"/>
        <v>0</v>
      </c>
      <c r="H164" s="676" t="e">
        <f t="shared" ca="1" si="52"/>
        <v>#N/A</v>
      </c>
      <c r="I164" s="676" t="e">
        <f t="shared" ca="1" si="53"/>
        <v>#N/A</v>
      </c>
      <c r="K164" s="676">
        <f ca="1">SUMIF('Budget-ACPL'!$A:$A,$A164,'Budget-ACPL'!K:K)+SUMIF('Budget-ACPLHK'!$A:$A,$A164,'Budget-ACPLHK'!K:K)+SUMIF('Budget-ACPSZL'!$A:$A,$A164,'Budget-ACPSZL'!K:K)+SUMIF('Budget-ACPLSZ'!$A:$A,$A164,'Budget-ACPLSZ'!K:K)+SUMIF('Budget-ACPLGZ'!$A:$A,$A164,'Budget-ACPLGZ'!K:K)+SUMIF('Budget-Yixing'!$A:$A,$A164,'Budget-Yixing'!K:K)</f>
        <v>0</v>
      </c>
      <c r="L164" s="676">
        <f ca="1">SUMIF('Budget-ACPL'!$A:$A,$A164,'Budget-ACPL'!L:L)+SUMIF('Budget-ACPLHK'!$A:$A,$A164,'Budget-ACPLHK'!L:L)+SUMIF('Budget-ACPSZL'!$A:$A,$A164,'Budget-ACPSZL'!L:L)+SUMIF('Budget-ACPLSZ'!$A:$A,$A164,'Budget-ACPLSZ'!L:L)+SUMIF('Budget-ACPLGZ'!$A:$A,$A164,'Budget-ACPLGZ'!L:L)+SUMIF('Budget-Yixing'!$A:$A,$A164,'Budget-Yixing'!L:L)</f>
        <v>0</v>
      </c>
      <c r="M164" s="676">
        <f ca="1">SUMIF('Budget-ACPL'!$A:$A,$A164,'Budget-ACPL'!M:M)+SUMIF('Budget-ACPLHK'!$A:$A,$A164,'Budget-ACPLHK'!M:M)+SUMIF('Budget-ACPSZL'!$A:$A,$A164,'Budget-ACPSZL'!M:M)+SUMIF('Budget-ACPLSZ'!$A:$A,$A164,'Budget-ACPLSZ'!M:M)+SUMIF('Budget-ACPLGZ'!$A:$A,$A164,'Budget-ACPLGZ'!M:M)+SUMIF('Budget-Yixing'!$A:$A,$A164,'Budget-Yixing'!M:M)</f>
        <v>0</v>
      </c>
      <c r="N164" s="676">
        <f ca="1">SUMIF('Budget-ACPL'!$A:$A,$A164,'Budget-ACPL'!N:N)+SUMIF('Budget-ACPLHK'!$A:$A,$A164,'Budget-ACPLHK'!N:N)+SUMIF('Budget-ACPSZL'!$A:$A,$A164,'Budget-ACPSZL'!N:N)+SUMIF('Budget-ACPLSZ'!$A:$A,$A164,'Budget-ACPLSZ'!N:N)+SUMIF('Budget-ACPLGZ'!$A:$A,$A164,'Budget-ACPLGZ'!N:N)+SUMIF('Budget-Yixing'!$A:$A,$A164,'Budget-Yixing'!N:N)</f>
        <v>0</v>
      </c>
      <c r="O164" s="676">
        <f ca="1">SUMIF('Budget-ACPL'!$A:$A,$A164,'Budget-ACPL'!O:O)+SUMIF('Budget-ACPLHK'!$A:$A,$A164,'Budget-ACPLHK'!O:O)+SUMIF('Budget-ACPSZL'!$A:$A,$A164,'Budget-ACPSZL'!O:O)+SUMIF('Budget-ACPLSZ'!$A:$A,$A164,'Budget-ACPLSZ'!O:O)+SUMIF('Budget-ACPLGZ'!$A:$A,$A164,'Budget-ACPLGZ'!O:O)+SUMIF('Budget-Yixing'!$A:$A,$A164,'Budget-Yixing'!O:O)</f>
        <v>0</v>
      </c>
      <c r="P164" s="676">
        <f ca="1">SUMIF('Budget-ACPL'!$A:$A,$A164,'Budget-ACPL'!P:P)+SUMIF('Budget-ACPLHK'!$A:$A,$A164,'Budget-ACPLHK'!P:P)+SUMIF('Budget-ACPSZL'!$A:$A,$A164,'Budget-ACPSZL'!P:P)+SUMIF('Budget-ACPLSZ'!$A:$A,$A164,'Budget-ACPLSZ'!P:P)+SUMIF('Budget-ACPLGZ'!$A:$A,$A164,'Budget-ACPLGZ'!P:P)+SUMIF('Budget-Yixing'!$A:$A,$A164,'Budget-Yixing'!P:P)</f>
        <v>0</v>
      </c>
      <c r="Q164" s="676">
        <f ca="1">SUMIF('Budget-ACPL'!$A:$A,$A164,'Budget-ACPL'!Q:Q)+SUMIF('Budget-ACPLHK'!$A:$A,$A164,'Budget-ACPLHK'!Q:Q)+SUMIF('Budget-ACPSZL'!$A:$A,$A164,'Budget-ACPSZL'!Q:Q)+SUMIF('Budget-ACPLSZ'!$A:$A,$A164,'Budget-ACPLSZ'!Q:Q)+SUMIF('Budget-ACPLGZ'!$A:$A,$A164,'Budget-ACPLGZ'!Q:Q)+SUMIF('Budget-Yixing'!$A:$A,$A164,'Budget-Yixing'!Q:Q)</f>
        <v>0</v>
      </c>
      <c r="R164" s="676">
        <f ca="1">SUMIF('Budget-ACPL'!$A:$A,$A164,'Budget-ACPL'!R:R)+SUMIF('Budget-ACPLHK'!$A:$A,$A164,'Budget-ACPLHK'!R:R)+SUMIF('Budget-ACPSZL'!$A:$A,$A164,'Budget-ACPSZL'!R:R)+SUMIF('Budget-ACPLSZ'!$A:$A,$A164,'Budget-ACPLSZ'!R:R)+SUMIF('Budget-ACPLGZ'!$A:$A,$A164,'Budget-ACPLGZ'!R:R)+SUMIF('Budget-Yixing'!$A:$A,$A164,'Budget-Yixing'!R:R)</f>
        <v>0</v>
      </c>
      <c r="S164" s="676">
        <f ca="1">SUMIF('Budget-ACPL'!$A:$A,$A164,'Budget-ACPL'!S:S)+SUMIF('Budget-ACPLHK'!$A:$A,$A164,'Budget-ACPLHK'!S:S)+SUMIF('Budget-ACPSZL'!$A:$A,$A164,'Budget-ACPSZL'!S:S)+SUMIF('Budget-ACPLSZ'!$A:$A,$A164,'Budget-ACPLSZ'!S:S)+SUMIF('Budget-ACPLGZ'!$A:$A,$A164,'Budget-ACPLGZ'!S:S)+SUMIF('Budget-Yixing'!$A:$A,$A164,'Budget-Yixing'!S:S)</f>
        <v>0</v>
      </c>
      <c r="T164" s="676">
        <f ca="1">SUMIF('Budget-ACPL'!$A:$A,$A164,'Budget-ACPL'!T:T)+SUMIF('Budget-ACPLHK'!$A:$A,$A164,'Budget-ACPLHK'!T:T)+SUMIF('Budget-ACPSZL'!$A:$A,$A164,'Budget-ACPSZL'!T:T)+SUMIF('Budget-ACPLSZ'!$A:$A,$A164,'Budget-ACPLSZ'!T:T)+SUMIF('Budget-ACPLGZ'!$A:$A,$A164,'Budget-ACPLGZ'!T:T)+SUMIF('Budget-Yixing'!$A:$A,$A164,'Budget-Yixing'!T:T)</f>
        <v>0</v>
      </c>
      <c r="U164" s="676">
        <f ca="1">SUMIF('Budget-ACPL'!$A:$A,$A164,'Budget-ACPL'!U:U)+SUMIF('Budget-ACPLHK'!$A:$A,$A164,'Budget-ACPLHK'!U:U)+SUMIF('Budget-ACPSZL'!$A:$A,$A164,'Budget-ACPSZL'!U:U)+SUMIF('Budget-ACPLSZ'!$A:$A,$A164,'Budget-ACPLSZ'!U:U)+SUMIF('Budget-ACPLGZ'!$A:$A,$A164,'Budget-ACPLGZ'!U:U)+SUMIF('Budget-Yixing'!$A:$A,$A164,'Budget-Yixing'!U:U)</f>
        <v>0</v>
      </c>
      <c r="V164" s="676">
        <f ca="1">SUMIF('Budget-ACPL'!$A:$A,$A164,'Budget-ACPL'!V:V)+SUMIF('Budget-ACPLHK'!$A:$A,$A164,'Budget-ACPLHK'!V:V)+SUMIF('Budget-ACPSZL'!$A:$A,$A164,'Budget-ACPSZL'!V:V)+SUMIF('Budget-ACPLSZ'!$A:$A,$A164,'Budget-ACPLSZ'!V:V)+SUMIF('Budget-ACPLGZ'!$A:$A,$A164,'Budget-ACPLGZ'!V:V)+SUMIF('Budget-Yixing'!$A:$A,$A164,'Budget-Yixing'!V:V)</f>
        <v>0</v>
      </c>
      <c r="W164" s="676">
        <f t="shared" ca="1" si="55"/>
        <v>0</v>
      </c>
      <c r="Y164" s="688">
        <f ca="1">SUMIF('Budget-ACPL'!$A:$A,$A164,'Budget-ACPL'!Y:Y)+SUMIF('Budget-ACPLHK'!$A:$A,$A164,'Budget-ACPLHK'!Y:Y)+SUMIF('Budget-ACPSZL'!$A:$A,$A164,'Budget-ACPSZL'!Y:Y)+SUMIF('Budget-ACPLSZ'!$A:$A,$A164,'Budget-ACPLSZ'!Y:Y)+SUMIF('Budget-ACPLGZ'!$A:$A,$A164,'Budget-ACPLGZ'!Y:Y)+SUMIF('Budget-Yixing'!$A:$A,$A164,'Budget-Yixing'!Y:Y)</f>
        <v>0</v>
      </c>
      <c r="Z164" s="688">
        <f ca="1">SUMIF('Budget-ACPL'!$A:$A,$A164,'Budget-ACPL'!Z:Z)+SUMIF('Budget-ACPLHK'!$A:$A,$A164,'Budget-ACPLHK'!Z:Z)+SUMIF('Budget-ACPSZL'!$A:$A,$A164,'Budget-ACPSZL'!Z:Z)+SUMIF('Budget-ACPLSZ'!$A:$A,$A164,'Budget-ACPLSZ'!Z:Z)+SUMIF('Budget-ACPLGZ'!$A:$A,$A164,'Budget-ACPLGZ'!Z:Z)+SUMIF('Budget-Yixing'!$A:$A,$A164,'Budget-Yixing'!Z:Z)</f>
        <v>0</v>
      </c>
      <c r="AA164" s="688">
        <f ca="1">SUMIF('Budget-ACPL'!$A:$A,$A164,'Budget-ACPL'!AA:AA)+SUMIF('Budget-ACPLHK'!$A:$A,$A164,'Budget-ACPLHK'!AA:AA)+SUMIF('Budget-ACPSZL'!$A:$A,$A164,'Budget-ACPSZL'!AA:AA)+SUMIF('Budget-ACPLSZ'!$A:$A,$A164,'Budget-ACPLSZ'!AA:AA)+SUMIF('Budget-ACPLGZ'!$A:$A,$A164,'Budget-ACPLGZ'!AA:AA)+SUMIF('Budget-Yixing'!$A:$A,$A164,'Budget-Yixing'!AA:AA)</f>
        <v>0</v>
      </c>
      <c r="AB164" s="688">
        <f ca="1">SUMIF('Budget-ACPL'!$A:$A,$A164,'Budget-ACPL'!AB:AB)+SUMIF('Budget-ACPLHK'!$A:$A,$A164,'Budget-ACPLHK'!AB:AB)+SUMIF('Budget-ACPSZL'!$A:$A,$A164,'Budget-ACPSZL'!AB:AB)+SUMIF('Budget-ACPLSZ'!$A:$A,$A164,'Budget-ACPLSZ'!AB:AB)+SUMIF('Budget-ACPLGZ'!$A:$A,$A164,'Budget-ACPLGZ'!AB:AB)+SUMIF('Budget-Yixing'!$A:$A,$A164,'Budget-Yixing'!AB:AB)</f>
        <v>0</v>
      </c>
      <c r="AC164" s="688">
        <f ca="1">SUMIF('Budget-ACPL'!$A:$A,$A164,'Budget-ACPL'!AC:AC)+SUMIF('Budget-ACPLHK'!$A:$A,$A164,'Budget-ACPLHK'!AC:AC)+SUMIF('Budget-ACPSZL'!$A:$A,$A164,'Budget-ACPSZL'!AC:AC)+SUMIF('Budget-ACPLSZ'!$A:$A,$A164,'Budget-ACPLSZ'!AC:AC)+SUMIF('Budget-ACPLGZ'!$A:$A,$A164,'Budget-ACPLGZ'!AC:AC)+SUMIF('Budget-Yixing'!$A:$A,$A164,'Budget-Yixing'!AC:AC)</f>
        <v>0</v>
      </c>
      <c r="AD164" s="688">
        <f ca="1">SUMIF('Budget-ACPL'!$A:$A,$A164,'Budget-ACPL'!AD:AD)+SUMIF('Budget-ACPLHK'!$A:$A,$A164,'Budget-ACPLHK'!AD:AD)+SUMIF('Budget-ACPSZL'!$A:$A,$A164,'Budget-ACPSZL'!AD:AD)+SUMIF('Budget-ACPLSZ'!$A:$A,$A164,'Budget-ACPLSZ'!AD:AD)+SUMIF('Budget-ACPLGZ'!$A:$A,$A164,'Budget-ACPLGZ'!AD:AD)+SUMIF('Budget-Yixing'!$A:$A,$A164,'Budget-Yixing'!AD:AD)</f>
        <v>0</v>
      </c>
      <c r="AE164" s="688">
        <f ca="1">SUMIF('Budget-ACPL'!$A:$A,$A164,'Budget-ACPL'!AE:AE)+SUMIF('Budget-ACPLHK'!$A:$A,$A164,'Budget-ACPLHK'!AE:AE)+SUMIF('Budget-ACPSZL'!$A:$A,$A164,'Budget-ACPSZL'!AE:AE)+SUMIF('Budget-ACPLSZ'!$A:$A,$A164,'Budget-ACPLSZ'!AE:AE)+SUMIF('Budget-ACPLGZ'!$A:$A,$A164,'Budget-ACPLGZ'!AE:AE)+SUMIF('Budget-Yixing'!$A:$A,$A164,'Budget-Yixing'!AE:AE)</f>
        <v>0</v>
      </c>
      <c r="AF164" s="688">
        <f ca="1">SUMIF('Budget-ACPL'!$A:$A,$A164,'Budget-ACPL'!AF:AF)+SUMIF('Budget-ACPLHK'!$A:$A,$A164,'Budget-ACPLHK'!AF:AF)+SUMIF('Budget-ACPSZL'!$A:$A,$A164,'Budget-ACPSZL'!AF:AF)+SUMIF('Budget-ACPLSZ'!$A:$A,$A164,'Budget-ACPLSZ'!AF:AF)+SUMIF('Budget-ACPLGZ'!$A:$A,$A164,'Budget-ACPLGZ'!AF:AF)+SUMIF('Budget-Yixing'!$A:$A,$A164,'Budget-Yixing'!AF:AF)</f>
        <v>0</v>
      </c>
      <c r="AG164" s="688">
        <f ca="1">SUMIF('Budget-ACPL'!$A:$A,$A164,'Budget-ACPL'!AG:AG)+SUMIF('Budget-ACPLHK'!$A:$A,$A164,'Budget-ACPLHK'!AG:AG)+SUMIF('Budget-ACPSZL'!$A:$A,$A164,'Budget-ACPSZL'!AG:AG)+SUMIF('Budget-ACPLSZ'!$A:$A,$A164,'Budget-ACPLSZ'!AG:AG)+SUMIF('Budget-ACPLGZ'!$A:$A,$A164,'Budget-ACPLGZ'!AG:AG)+SUMIF('Budget-Yixing'!$A:$A,$A164,'Budget-Yixing'!AG:AG)</f>
        <v>0</v>
      </c>
      <c r="AH164" s="688">
        <f ca="1">SUMIF('Budget-ACPL'!$A:$A,$A164,'Budget-ACPL'!AH:AH)+SUMIF('Budget-ACPLHK'!$A:$A,$A164,'Budget-ACPLHK'!AH:AH)+SUMIF('Budget-ACPSZL'!$A:$A,$A164,'Budget-ACPSZL'!AH:AH)+SUMIF('Budget-ACPLSZ'!$A:$A,$A164,'Budget-ACPLSZ'!AH:AH)+SUMIF('Budget-ACPLGZ'!$A:$A,$A164,'Budget-ACPLGZ'!AH:AH)+SUMIF('Budget-Yixing'!$A:$A,$A164,'Budget-Yixing'!AH:AH)</f>
        <v>0</v>
      </c>
      <c r="AI164" s="688">
        <f ca="1">SUMIF('Budget-ACPL'!$A:$A,$A164,'Budget-ACPL'!AI:AI)+SUMIF('Budget-ACPLHK'!$A:$A,$A164,'Budget-ACPLHK'!AI:AI)+SUMIF('Budget-ACPSZL'!$A:$A,$A164,'Budget-ACPSZL'!AI:AI)+SUMIF('Budget-ACPLSZ'!$A:$A,$A164,'Budget-ACPLSZ'!AI:AI)+SUMIF('Budget-ACPLGZ'!$A:$A,$A164,'Budget-ACPLGZ'!AI:AI)+SUMIF('Budget-Yixing'!$A:$A,$A164,'Budget-Yixing'!AI:AI)</f>
        <v>0</v>
      </c>
      <c r="AJ164" s="688">
        <f ca="1">SUMIF('Budget-ACPL'!$A:$A,$A164,'Budget-ACPL'!AJ:AJ)+SUMIF('Budget-ACPLHK'!$A:$A,$A164,'Budget-ACPLHK'!AJ:AJ)+SUMIF('Budget-ACPSZL'!$A:$A,$A164,'Budget-ACPSZL'!AJ:AJ)+SUMIF('Budget-ACPLSZ'!$A:$A,$A164,'Budget-ACPLSZ'!AJ:AJ)+SUMIF('Budget-ACPLGZ'!$A:$A,$A164,'Budget-ACPLGZ'!AJ:AJ)+SUMIF('Budget-Yixing'!$A:$A,$A164,'Budget-Yixing'!AJ:AJ)</f>
        <v>0</v>
      </c>
      <c r="AK164" s="688">
        <f t="shared" ca="1" si="54"/>
        <v>0</v>
      </c>
    </row>
    <row r="165" spans="1:37" ht="13.5" customHeight="1">
      <c r="A165" s="713" t="s">
        <v>1918</v>
      </c>
      <c r="B165" s="687" t="str">
        <f>VLOOKUP(A165,Account!A:B,2,0)</f>
        <v>银行手续费</v>
      </c>
      <c r="C165" s="687" t="str">
        <f>VLOOKUP(A165,Account!A:F,4,0)</f>
        <v>Bank Charges</v>
      </c>
      <c r="D165" s="676">
        <f t="shared" ca="1" si="48"/>
        <v>855.99599999999998</v>
      </c>
      <c r="E165" s="676" t="e">
        <f t="shared" si="49"/>
        <v>#N/A</v>
      </c>
      <c r="F165" s="676" t="e">
        <f t="shared" ca="1" si="50"/>
        <v>#N/A</v>
      </c>
      <c r="G165" s="676">
        <f t="shared" ca="1" si="51"/>
        <v>855.99599999999998</v>
      </c>
      <c r="H165" s="676" t="e">
        <f t="shared" ca="1" si="52"/>
        <v>#N/A</v>
      </c>
      <c r="I165" s="676" t="e">
        <f t="shared" ca="1" si="53"/>
        <v>#N/A</v>
      </c>
      <c r="K165" s="676">
        <f ca="1">SUMIF('Budget-ACPL'!$A:$A,$A165,'Budget-ACPL'!K:K)+SUMIF('Budget-ACPLHK'!$A:$A,$A165,'Budget-ACPLHK'!K:K)+SUMIF('Budget-ACPSZL'!$A:$A,$A165,'Budget-ACPSZL'!K:K)+SUMIF('Budget-ACPLSZ'!$A:$A,$A165,'Budget-ACPLSZ'!K:K)+SUMIF('Budget-ACPLGZ'!$A:$A,$A165,'Budget-ACPLGZ'!K:K)+SUMIF('Budget-Yixing'!$A:$A,$A165,'Budget-Yixing'!K:K)</f>
        <v>855.99599999999998</v>
      </c>
      <c r="L165" s="676">
        <f ca="1">SUMIF('Budget-ACPL'!$A:$A,$A165,'Budget-ACPL'!L:L)+SUMIF('Budget-ACPLHK'!$A:$A,$A165,'Budget-ACPLHK'!L:L)+SUMIF('Budget-ACPSZL'!$A:$A,$A165,'Budget-ACPSZL'!L:L)+SUMIF('Budget-ACPLSZ'!$A:$A,$A165,'Budget-ACPLSZ'!L:L)+SUMIF('Budget-ACPLGZ'!$A:$A,$A165,'Budget-ACPLGZ'!L:L)+SUMIF('Budget-Yixing'!$A:$A,$A165,'Budget-Yixing'!L:L)</f>
        <v>852.88</v>
      </c>
      <c r="M165" s="676">
        <f ca="1">SUMIF('Budget-ACPL'!$A:$A,$A165,'Budget-ACPL'!M:M)+SUMIF('Budget-ACPLHK'!$A:$A,$A165,'Budget-ACPLHK'!M:M)+SUMIF('Budget-ACPSZL'!$A:$A,$A165,'Budget-ACPSZL'!M:M)+SUMIF('Budget-ACPLSZ'!$A:$A,$A165,'Budget-ACPLSZ'!M:M)+SUMIF('Budget-ACPLGZ'!$A:$A,$A165,'Budget-ACPLGZ'!M:M)+SUMIF('Budget-Yixing'!$A:$A,$A165,'Budget-Yixing'!M:M)</f>
        <v>852.88</v>
      </c>
      <c r="N165" s="676">
        <f ca="1">SUMIF('Budget-ACPL'!$A:$A,$A165,'Budget-ACPL'!N:N)+SUMIF('Budget-ACPLHK'!$A:$A,$A165,'Budget-ACPLHK'!N:N)+SUMIF('Budget-ACPSZL'!$A:$A,$A165,'Budget-ACPSZL'!N:N)+SUMIF('Budget-ACPLSZ'!$A:$A,$A165,'Budget-ACPLSZ'!N:N)+SUMIF('Budget-ACPLGZ'!$A:$A,$A165,'Budget-ACPLGZ'!N:N)+SUMIF('Budget-Yixing'!$A:$A,$A165,'Budget-Yixing'!N:N)</f>
        <v>852.88</v>
      </c>
      <c r="O165" s="676">
        <f ca="1">SUMIF('Budget-ACPL'!$A:$A,$A165,'Budget-ACPL'!O:O)+SUMIF('Budget-ACPLHK'!$A:$A,$A165,'Budget-ACPLHK'!O:O)+SUMIF('Budget-ACPSZL'!$A:$A,$A165,'Budget-ACPSZL'!O:O)+SUMIF('Budget-ACPLSZ'!$A:$A,$A165,'Budget-ACPLSZ'!O:O)+SUMIF('Budget-ACPLGZ'!$A:$A,$A165,'Budget-ACPLGZ'!O:O)+SUMIF('Budget-Yixing'!$A:$A,$A165,'Budget-Yixing'!O:O)</f>
        <v>852.88</v>
      </c>
      <c r="P165" s="676">
        <f ca="1">SUMIF('Budget-ACPL'!$A:$A,$A165,'Budget-ACPL'!P:P)+SUMIF('Budget-ACPLHK'!$A:$A,$A165,'Budget-ACPLHK'!P:P)+SUMIF('Budget-ACPSZL'!$A:$A,$A165,'Budget-ACPSZL'!P:P)+SUMIF('Budget-ACPLSZ'!$A:$A,$A165,'Budget-ACPLSZ'!P:P)+SUMIF('Budget-ACPLGZ'!$A:$A,$A165,'Budget-ACPLGZ'!P:P)+SUMIF('Budget-Yixing'!$A:$A,$A165,'Budget-Yixing'!P:P)</f>
        <v>852.88</v>
      </c>
      <c r="Q165" s="676">
        <f ca="1">SUMIF('Budget-ACPL'!$A:$A,$A165,'Budget-ACPL'!Q:Q)+SUMIF('Budget-ACPLHK'!$A:$A,$A165,'Budget-ACPLHK'!Q:Q)+SUMIF('Budget-ACPSZL'!$A:$A,$A165,'Budget-ACPSZL'!Q:Q)+SUMIF('Budget-ACPLSZ'!$A:$A,$A165,'Budget-ACPLSZ'!Q:Q)+SUMIF('Budget-ACPLGZ'!$A:$A,$A165,'Budget-ACPLGZ'!Q:Q)+SUMIF('Budget-Yixing'!$A:$A,$A165,'Budget-Yixing'!Q:Q)</f>
        <v>852.88</v>
      </c>
      <c r="R165" s="676">
        <f ca="1">SUMIF('Budget-ACPL'!$A:$A,$A165,'Budget-ACPL'!R:R)+SUMIF('Budget-ACPLHK'!$A:$A,$A165,'Budget-ACPLHK'!R:R)+SUMIF('Budget-ACPSZL'!$A:$A,$A165,'Budget-ACPSZL'!R:R)+SUMIF('Budget-ACPLSZ'!$A:$A,$A165,'Budget-ACPLSZ'!R:R)+SUMIF('Budget-ACPLGZ'!$A:$A,$A165,'Budget-ACPLGZ'!R:R)+SUMIF('Budget-Yixing'!$A:$A,$A165,'Budget-Yixing'!R:R)</f>
        <v>852.88</v>
      </c>
      <c r="S165" s="676">
        <f ca="1">SUMIF('Budget-ACPL'!$A:$A,$A165,'Budget-ACPL'!S:S)+SUMIF('Budget-ACPLHK'!$A:$A,$A165,'Budget-ACPLHK'!S:S)+SUMIF('Budget-ACPSZL'!$A:$A,$A165,'Budget-ACPSZL'!S:S)+SUMIF('Budget-ACPLSZ'!$A:$A,$A165,'Budget-ACPLSZ'!S:S)+SUMIF('Budget-ACPLGZ'!$A:$A,$A165,'Budget-ACPLGZ'!S:S)+SUMIF('Budget-Yixing'!$A:$A,$A165,'Budget-Yixing'!S:S)</f>
        <v>852.88</v>
      </c>
      <c r="T165" s="676">
        <f ca="1">SUMIF('Budget-ACPL'!$A:$A,$A165,'Budget-ACPL'!T:T)+SUMIF('Budget-ACPLHK'!$A:$A,$A165,'Budget-ACPLHK'!T:T)+SUMIF('Budget-ACPSZL'!$A:$A,$A165,'Budget-ACPSZL'!T:T)+SUMIF('Budget-ACPLSZ'!$A:$A,$A165,'Budget-ACPLSZ'!T:T)+SUMIF('Budget-ACPLGZ'!$A:$A,$A165,'Budget-ACPLGZ'!T:T)+SUMIF('Budget-Yixing'!$A:$A,$A165,'Budget-Yixing'!T:T)</f>
        <v>852.88</v>
      </c>
      <c r="U165" s="676">
        <f ca="1">SUMIF('Budget-ACPL'!$A:$A,$A165,'Budget-ACPL'!U:U)+SUMIF('Budget-ACPLHK'!$A:$A,$A165,'Budget-ACPLHK'!U:U)+SUMIF('Budget-ACPSZL'!$A:$A,$A165,'Budget-ACPSZL'!U:U)+SUMIF('Budget-ACPLSZ'!$A:$A,$A165,'Budget-ACPLSZ'!U:U)+SUMIF('Budget-ACPLGZ'!$A:$A,$A165,'Budget-ACPLGZ'!U:U)+SUMIF('Budget-Yixing'!$A:$A,$A165,'Budget-Yixing'!U:U)</f>
        <v>852.88</v>
      </c>
      <c r="V165" s="676">
        <f ca="1">SUMIF('Budget-ACPL'!$A:$A,$A165,'Budget-ACPL'!V:V)+SUMIF('Budget-ACPLHK'!$A:$A,$A165,'Budget-ACPLHK'!V:V)+SUMIF('Budget-ACPSZL'!$A:$A,$A165,'Budget-ACPSZL'!V:V)+SUMIF('Budget-ACPLSZ'!$A:$A,$A165,'Budget-ACPLSZ'!V:V)+SUMIF('Budget-ACPLGZ'!$A:$A,$A165,'Budget-ACPLGZ'!V:V)+SUMIF('Budget-Yixing'!$A:$A,$A165,'Budget-Yixing'!V:V)</f>
        <v>852.88</v>
      </c>
      <c r="W165" s="676">
        <f t="shared" ca="1" si="55"/>
        <v>10237.675999999998</v>
      </c>
      <c r="Y165" s="688">
        <f ca="1">SUMIF('Budget-ACPL'!$A:$A,$A165,'Budget-ACPL'!Y:Y)+SUMIF('Budget-ACPLHK'!$A:$A,$A165,'Budget-ACPLHK'!Y:Y)+SUMIF('Budget-ACPSZL'!$A:$A,$A165,'Budget-ACPSZL'!Y:Y)+SUMIF('Budget-ACPLSZ'!$A:$A,$A165,'Budget-ACPLSZ'!Y:Y)+SUMIF('Budget-ACPLGZ'!$A:$A,$A165,'Budget-ACPLGZ'!Y:Y)+SUMIF('Budget-Yixing'!$A:$A,$A165,'Budget-Yixing'!Y:Y)</f>
        <v>602.69000000000005</v>
      </c>
      <c r="Z165" s="688">
        <f ca="1">SUMIF('Budget-ACPL'!$A:$A,$A165,'Budget-ACPL'!Z:Z)+SUMIF('Budget-ACPLHK'!$A:$A,$A165,'Budget-ACPLHK'!Z:Z)+SUMIF('Budget-ACPSZL'!$A:$A,$A165,'Budget-ACPSZL'!Z:Z)+SUMIF('Budget-ACPLSZ'!$A:$A,$A165,'Budget-ACPLSZ'!Z:Z)+SUMIF('Budget-ACPLGZ'!$A:$A,$A165,'Budget-ACPLGZ'!Z:Z)+SUMIF('Budget-Yixing'!$A:$A,$A165,'Budget-Yixing'!Z:Z)</f>
        <v>2267.6000000000004</v>
      </c>
      <c r="AA165" s="688">
        <f ca="1">SUMIF('Budget-ACPL'!$A:$A,$A165,'Budget-ACPL'!AA:AA)+SUMIF('Budget-ACPLHK'!$A:$A,$A165,'Budget-ACPLHK'!AA:AA)+SUMIF('Budget-ACPSZL'!$A:$A,$A165,'Budget-ACPSZL'!AA:AA)+SUMIF('Budget-ACPLSZ'!$A:$A,$A165,'Budget-ACPLSZ'!AA:AA)+SUMIF('Budget-ACPLGZ'!$A:$A,$A165,'Budget-ACPLGZ'!AA:AA)+SUMIF('Budget-Yixing'!$A:$A,$A165,'Budget-Yixing'!AA:AA)</f>
        <v>103.30999999999999</v>
      </c>
      <c r="AB165" s="688">
        <f ca="1">SUMIF('Budget-ACPL'!$A:$A,$A165,'Budget-ACPL'!AB:AB)+SUMIF('Budget-ACPLHK'!$A:$A,$A165,'Budget-ACPLHK'!AB:AB)+SUMIF('Budget-ACPSZL'!$A:$A,$A165,'Budget-ACPSZL'!AB:AB)+SUMIF('Budget-ACPLSZ'!$A:$A,$A165,'Budget-ACPLSZ'!AB:AB)+SUMIF('Budget-ACPLGZ'!$A:$A,$A165,'Budget-ACPLGZ'!AB:AB)+SUMIF('Budget-Yixing'!$A:$A,$A165,'Budget-Yixing'!AB:AB)</f>
        <v>775.3599999999999</v>
      </c>
      <c r="AC165" s="688">
        <f ca="1">SUMIF('Budget-ACPL'!$A:$A,$A165,'Budget-ACPL'!AC:AC)+SUMIF('Budget-ACPLHK'!$A:$A,$A165,'Budget-ACPLHK'!AC:AC)+SUMIF('Budget-ACPSZL'!$A:$A,$A165,'Budget-ACPSZL'!AC:AC)+SUMIF('Budget-ACPLSZ'!$A:$A,$A165,'Budget-ACPLSZ'!AC:AC)+SUMIF('Budget-ACPLGZ'!$A:$A,$A165,'Budget-ACPLGZ'!AC:AC)+SUMIF('Budget-Yixing'!$A:$A,$A165,'Budget-Yixing'!AC:AC)</f>
        <v>563.03</v>
      </c>
      <c r="AD165" s="688">
        <f ca="1">SUMIF('Budget-ACPL'!$A:$A,$A165,'Budget-ACPL'!AD:AD)+SUMIF('Budget-ACPLHK'!$A:$A,$A165,'Budget-ACPLHK'!AD:AD)+SUMIF('Budget-ACPSZL'!$A:$A,$A165,'Budget-ACPSZL'!AD:AD)+SUMIF('Budget-ACPLSZ'!$A:$A,$A165,'Budget-ACPLSZ'!AD:AD)+SUMIF('Budget-ACPLGZ'!$A:$A,$A165,'Budget-ACPLGZ'!AD:AD)+SUMIF('Budget-Yixing'!$A:$A,$A165,'Budget-Yixing'!AD:AD)</f>
        <v>363.53999999999996</v>
      </c>
      <c r="AE165" s="688">
        <f ca="1">SUMIF('Budget-ACPL'!$A:$A,$A165,'Budget-ACPL'!AE:AE)+SUMIF('Budget-ACPLHK'!$A:$A,$A165,'Budget-ACPLHK'!AE:AE)+SUMIF('Budget-ACPSZL'!$A:$A,$A165,'Budget-ACPSZL'!AE:AE)+SUMIF('Budget-ACPLSZ'!$A:$A,$A165,'Budget-ACPLSZ'!AE:AE)+SUMIF('Budget-ACPLGZ'!$A:$A,$A165,'Budget-ACPLGZ'!AE:AE)+SUMIF('Budget-Yixing'!$A:$A,$A165,'Budget-Yixing'!AE:AE)</f>
        <v>776.96999999999991</v>
      </c>
      <c r="AF165" s="688">
        <f ca="1">SUMIF('Budget-ACPL'!$A:$A,$A165,'Budget-ACPL'!AF:AF)+SUMIF('Budget-ACPLHK'!$A:$A,$A165,'Budget-ACPLHK'!AF:AF)+SUMIF('Budget-ACPSZL'!$A:$A,$A165,'Budget-ACPSZL'!AF:AF)+SUMIF('Budget-ACPLSZ'!$A:$A,$A165,'Budget-ACPLSZ'!AF:AF)+SUMIF('Budget-ACPLGZ'!$A:$A,$A165,'Budget-ACPLGZ'!AF:AF)+SUMIF('Budget-Yixing'!$A:$A,$A165,'Budget-Yixing'!AF:AF)</f>
        <v>1724</v>
      </c>
      <c r="AG165" s="688">
        <f ca="1">SUMIF('Budget-ACPL'!$A:$A,$A165,'Budget-ACPL'!AG:AG)+SUMIF('Budget-ACPLHK'!$A:$A,$A165,'Budget-ACPLHK'!AG:AG)+SUMIF('Budget-ACPSZL'!$A:$A,$A165,'Budget-ACPSZL'!AG:AG)+SUMIF('Budget-ACPLSZ'!$A:$A,$A165,'Budget-ACPLSZ'!AG:AG)+SUMIF('Budget-ACPLGZ'!$A:$A,$A165,'Budget-ACPLGZ'!AG:AG)+SUMIF('Budget-Yixing'!$A:$A,$A165,'Budget-Yixing'!AG:AG)</f>
        <v>614.05000000000007</v>
      </c>
      <c r="AH165" s="688">
        <f ca="1">SUMIF('Budget-ACPL'!$A:$A,$A165,'Budget-ACPL'!AH:AH)+SUMIF('Budget-ACPLHK'!$A:$A,$A165,'Budget-ACPLHK'!AH:AH)+SUMIF('Budget-ACPSZL'!$A:$A,$A165,'Budget-ACPSZL'!AH:AH)+SUMIF('Budget-ACPLSZ'!$A:$A,$A165,'Budget-ACPLSZ'!AH:AH)+SUMIF('Budget-ACPLGZ'!$A:$A,$A165,'Budget-ACPLGZ'!AH:AH)+SUMIF('Budget-Yixing'!$A:$A,$A165,'Budget-Yixing'!AH:AH)</f>
        <v>462.56</v>
      </c>
      <c r="AI165" s="688">
        <f ca="1">SUMIF('Budget-ACPL'!$A:$A,$A165,'Budget-ACPL'!AI:AI)+SUMIF('Budget-ACPLHK'!$A:$A,$A165,'Budget-ACPLHK'!AI:AI)+SUMIF('Budget-ACPSZL'!$A:$A,$A165,'Budget-ACPSZL'!AI:AI)+SUMIF('Budget-ACPLSZ'!$A:$A,$A165,'Budget-ACPLSZ'!AI:AI)+SUMIF('Budget-ACPLGZ'!$A:$A,$A165,'Budget-ACPLGZ'!AI:AI)+SUMIF('Budget-Yixing'!$A:$A,$A165,'Budget-Yixing'!AI:AI)</f>
        <v>1030.8899999999999</v>
      </c>
      <c r="AJ165" s="688">
        <f ca="1">SUMIF('Budget-ACPL'!$A:$A,$A165,'Budget-ACPL'!AJ:AJ)+SUMIF('Budget-ACPLHK'!$A:$A,$A165,'Budget-ACPLHK'!AJ:AJ)+SUMIF('Budget-ACPSZL'!$A:$A,$A165,'Budget-ACPSZL'!AJ:AJ)+SUMIF('Budget-ACPLSZ'!$A:$A,$A165,'Budget-ACPLSZ'!AJ:AJ)+SUMIF('Budget-ACPLGZ'!$A:$A,$A165,'Budget-ACPLGZ'!AJ:AJ)+SUMIF('Budget-Yixing'!$A:$A,$A165,'Budget-Yixing'!AJ:AJ)</f>
        <v>201.19000000000003</v>
      </c>
      <c r="AK165" s="688">
        <f t="shared" ca="1" si="54"/>
        <v>9485.19</v>
      </c>
    </row>
    <row r="166" spans="1:37" ht="13.5" hidden="1" customHeight="1">
      <c r="A166" s="713" t="s">
        <v>1922</v>
      </c>
      <c r="B166" s="687" t="str">
        <f>VLOOKUP(A166,Account!A:B,2,0)</f>
        <v>利息收入</v>
      </c>
      <c r="C166" s="687" t="str">
        <f>VLOOKUP(A166,Account!A:F,4,0)</f>
        <v>Bank Interest Income</v>
      </c>
      <c r="D166" s="676">
        <f t="shared" ca="1" si="48"/>
        <v>0</v>
      </c>
      <c r="E166" s="676" t="e">
        <f t="shared" si="49"/>
        <v>#N/A</v>
      </c>
      <c r="F166" s="676" t="e">
        <f t="shared" ca="1" si="50"/>
        <v>#N/A</v>
      </c>
      <c r="G166" s="676">
        <f t="shared" ca="1" si="51"/>
        <v>0</v>
      </c>
      <c r="H166" s="676" t="e">
        <f t="shared" ca="1" si="52"/>
        <v>#N/A</v>
      </c>
      <c r="I166" s="676" t="e">
        <f t="shared" ca="1" si="53"/>
        <v>#N/A</v>
      </c>
      <c r="K166" s="676">
        <f ca="1">SUMIF('Budget-ACPL'!$A:$A,$A166,'Budget-ACPL'!K:K)+SUMIF('Budget-ACPLHK'!$A:$A,$A166,'Budget-ACPLHK'!K:K)+SUMIF('Budget-ACPSZL'!$A:$A,$A166,'Budget-ACPSZL'!K:K)+SUMIF('Budget-ACPLSZ'!$A:$A,$A166,'Budget-ACPLSZ'!K:K)+SUMIF('Budget-ACPLGZ'!$A:$A,$A166,'Budget-ACPLGZ'!K:K)+SUMIF('Budget-Yixing'!$A:$A,$A166,'Budget-Yixing'!K:K)</f>
        <v>0</v>
      </c>
      <c r="L166" s="676">
        <f ca="1">SUMIF('Budget-ACPL'!$A:$A,$A166,'Budget-ACPL'!L:L)+SUMIF('Budget-ACPLHK'!$A:$A,$A166,'Budget-ACPLHK'!L:L)+SUMIF('Budget-ACPSZL'!$A:$A,$A166,'Budget-ACPSZL'!L:L)+SUMIF('Budget-ACPLSZ'!$A:$A,$A166,'Budget-ACPLSZ'!L:L)+SUMIF('Budget-ACPLGZ'!$A:$A,$A166,'Budget-ACPLGZ'!L:L)+SUMIF('Budget-Yixing'!$A:$A,$A166,'Budget-Yixing'!L:L)</f>
        <v>0</v>
      </c>
      <c r="M166" s="676">
        <f ca="1">SUMIF('Budget-ACPL'!$A:$A,$A166,'Budget-ACPL'!M:M)+SUMIF('Budget-ACPLHK'!$A:$A,$A166,'Budget-ACPLHK'!M:M)+SUMIF('Budget-ACPSZL'!$A:$A,$A166,'Budget-ACPSZL'!M:M)+SUMIF('Budget-ACPLSZ'!$A:$A,$A166,'Budget-ACPLSZ'!M:M)+SUMIF('Budget-ACPLGZ'!$A:$A,$A166,'Budget-ACPLGZ'!M:M)+SUMIF('Budget-Yixing'!$A:$A,$A166,'Budget-Yixing'!M:M)</f>
        <v>0</v>
      </c>
      <c r="N166" s="676">
        <f ca="1">SUMIF('Budget-ACPL'!$A:$A,$A166,'Budget-ACPL'!N:N)+SUMIF('Budget-ACPLHK'!$A:$A,$A166,'Budget-ACPLHK'!N:N)+SUMIF('Budget-ACPSZL'!$A:$A,$A166,'Budget-ACPSZL'!N:N)+SUMIF('Budget-ACPLSZ'!$A:$A,$A166,'Budget-ACPLSZ'!N:N)+SUMIF('Budget-ACPLGZ'!$A:$A,$A166,'Budget-ACPLGZ'!N:N)+SUMIF('Budget-Yixing'!$A:$A,$A166,'Budget-Yixing'!N:N)</f>
        <v>0</v>
      </c>
      <c r="O166" s="676">
        <f ca="1">SUMIF('Budget-ACPL'!$A:$A,$A166,'Budget-ACPL'!O:O)+SUMIF('Budget-ACPLHK'!$A:$A,$A166,'Budget-ACPLHK'!O:O)+SUMIF('Budget-ACPSZL'!$A:$A,$A166,'Budget-ACPSZL'!O:O)+SUMIF('Budget-ACPLSZ'!$A:$A,$A166,'Budget-ACPLSZ'!O:O)+SUMIF('Budget-ACPLGZ'!$A:$A,$A166,'Budget-ACPLGZ'!O:O)+SUMIF('Budget-Yixing'!$A:$A,$A166,'Budget-Yixing'!O:O)</f>
        <v>0</v>
      </c>
      <c r="P166" s="676">
        <f ca="1">SUMIF('Budget-ACPL'!$A:$A,$A166,'Budget-ACPL'!P:P)+SUMIF('Budget-ACPLHK'!$A:$A,$A166,'Budget-ACPLHK'!P:P)+SUMIF('Budget-ACPSZL'!$A:$A,$A166,'Budget-ACPSZL'!P:P)+SUMIF('Budget-ACPLSZ'!$A:$A,$A166,'Budget-ACPLSZ'!P:P)+SUMIF('Budget-ACPLGZ'!$A:$A,$A166,'Budget-ACPLGZ'!P:P)+SUMIF('Budget-Yixing'!$A:$A,$A166,'Budget-Yixing'!P:P)</f>
        <v>0</v>
      </c>
      <c r="Q166" s="676">
        <f ca="1">SUMIF('Budget-ACPL'!$A:$A,$A166,'Budget-ACPL'!Q:Q)+SUMIF('Budget-ACPLHK'!$A:$A,$A166,'Budget-ACPLHK'!Q:Q)+SUMIF('Budget-ACPSZL'!$A:$A,$A166,'Budget-ACPSZL'!Q:Q)+SUMIF('Budget-ACPLSZ'!$A:$A,$A166,'Budget-ACPLSZ'!Q:Q)+SUMIF('Budget-ACPLGZ'!$A:$A,$A166,'Budget-ACPLGZ'!Q:Q)+SUMIF('Budget-Yixing'!$A:$A,$A166,'Budget-Yixing'!Q:Q)</f>
        <v>0</v>
      </c>
      <c r="R166" s="676">
        <f ca="1">SUMIF('Budget-ACPL'!$A:$A,$A166,'Budget-ACPL'!R:R)+SUMIF('Budget-ACPLHK'!$A:$A,$A166,'Budget-ACPLHK'!R:R)+SUMIF('Budget-ACPSZL'!$A:$A,$A166,'Budget-ACPSZL'!R:R)+SUMIF('Budget-ACPLSZ'!$A:$A,$A166,'Budget-ACPLSZ'!R:R)+SUMIF('Budget-ACPLGZ'!$A:$A,$A166,'Budget-ACPLGZ'!R:R)+SUMIF('Budget-Yixing'!$A:$A,$A166,'Budget-Yixing'!R:R)</f>
        <v>0</v>
      </c>
      <c r="S166" s="676">
        <f ca="1">SUMIF('Budget-ACPL'!$A:$A,$A166,'Budget-ACPL'!S:S)+SUMIF('Budget-ACPLHK'!$A:$A,$A166,'Budget-ACPLHK'!S:S)+SUMIF('Budget-ACPSZL'!$A:$A,$A166,'Budget-ACPSZL'!S:S)+SUMIF('Budget-ACPLSZ'!$A:$A,$A166,'Budget-ACPLSZ'!S:S)+SUMIF('Budget-ACPLGZ'!$A:$A,$A166,'Budget-ACPLGZ'!S:S)+SUMIF('Budget-Yixing'!$A:$A,$A166,'Budget-Yixing'!S:S)</f>
        <v>0</v>
      </c>
      <c r="T166" s="676">
        <f ca="1">SUMIF('Budget-ACPL'!$A:$A,$A166,'Budget-ACPL'!T:T)+SUMIF('Budget-ACPLHK'!$A:$A,$A166,'Budget-ACPLHK'!T:T)+SUMIF('Budget-ACPSZL'!$A:$A,$A166,'Budget-ACPSZL'!T:T)+SUMIF('Budget-ACPLSZ'!$A:$A,$A166,'Budget-ACPLSZ'!T:T)+SUMIF('Budget-ACPLGZ'!$A:$A,$A166,'Budget-ACPLGZ'!T:T)+SUMIF('Budget-Yixing'!$A:$A,$A166,'Budget-Yixing'!T:T)</f>
        <v>0</v>
      </c>
      <c r="U166" s="676">
        <f ca="1">SUMIF('Budget-ACPL'!$A:$A,$A166,'Budget-ACPL'!U:U)+SUMIF('Budget-ACPLHK'!$A:$A,$A166,'Budget-ACPLHK'!U:U)+SUMIF('Budget-ACPSZL'!$A:$A,$A166,'Budget-ACPSZL'!U:U)+SUMIF('Budget-ACPLSZ'!$A:$A,$A166,'Budget-ACPLSZ'!U:U)+SUMIF('Budget-ACPLGZ'!$A:$A,$A166,'Budget-ACPLGZ'!U:U)+SUMIF('Budget-Yixing'!$A:$A,$A166,'Budget-Yixing'!U:U)</f>
        <v>0</v>
      </c>
      <c r="V166" s="676">
        <f ca="1">SUMIF('Budget-ACPL'!$A:$A,$A166,'Budget-ACPL'!V:V)+SUMIF('Budget-ACPLHK'!$A:$A,$A166,'Budget-ACPLHK'!V:V)+SUMIF('Budget-ACPSZL'!$A:$A,$A166,'Budget-ACPSZL'!V:V)+SUMIF('Budget-ACPLSZ'!$A:$A,$A166,'Budget-ACPLSZ'!V:V)+SUMIF('Budget-ACPLGZ'!$A:$A,$A166,'Budget-ACPLGZ'!V:V)+SUMIF('Budget-Yixing'!$A:$A,$A166,'Budget-Yixing'!V:V)</f>
        <v>0</v>
      </c>
      <c r="W166" s="676">
        <f t="shared" ca="1" si="55"/>
        <v>0</v>
      </c>
      <c r="Y166" s="688">
        <f ca="1">SUMIF('Budget-ACPL'!$A:$A,$A166,'Budget-ACPL'!Y:Y)+SUMIF('Budget-ACPLHK'!$A:$A,$A166,'Budget-ACPLHK'!Y:Y)+SUMIF('Budget-ACPSZL'!$A:$A,$A166,'Budget-ACPSZL'!Y:Y)+SUMIF('Budget-ACPLSZ'!$A:$A,$A166,'Budget-ACPLSZ'!Y:Y)+SUMIF('Budget-ACPLGZ'!$A:$A,$A166,'Budget-ACPLGZ'!Y:Y)+SUMIF('Budget-Yixing'!$A:$A,$A166,'Budget-Yixing'!Y:Y)</f>
        <v>-1624.9</v>
      </c>
      <c r="Z166" s="688">
        <f ca="1">SUMIF('Budget-ACPL'!$A:$A,$A166,'Budget-ACPL'!Z:Z)+SUMIF('Budget-ACPLHK'!$A:$A,$A166,'Budget-ACPLHK'!Z:Z)+SUMIF('Budget-ACPSZL'!$A:$A,$A166,'Budget-ACPSZL'!Z:Z)+SUMIF('Budget-ACPLSZ'!$A:$A,$A166,'Budget-ACPLSZ'!Z:Z)+SUMIF('Budget-ACPLGZ'!$A:$A,$A166,'Budget-ACPLGZ'!Z:Z)+SUMIF('Budget-Yixing'!$A:$A,$A166,'Budget-Yixing'!Z:Z)</f>
        <v>-4721.1099999999997</v>
      </c>
      <c r="AA166" s="688">
        <f ca="1">SUMIF('Budget-ACPL'!$A:$A,$A166,'Budget-ACPL'!AA:AA)+SUMIF('Budget-ACPLHK'!$A:$A,$A166,'Budget-ACPLHK'!AA:AA)+SUMIF('Budget-ACPSZL'!$A:$A,$A166,'Budget-ACPSZL'!AA:AA)+SUMIF('Budget-ACPLSZ'!$A:$A,$A166,'Budget-ACPLSZ'!AA:AA)+SUMIF('Budget-ACPLGZ'!$A:$A,$A166,'Budget-ACPLGZ'!AA:AA)+SUMIF('Budget-Yixing'!$A:$A,$A166,'Budget-Yixing'!AA:AA)</f>
        <v>-23913.35</v>
      </c>
      <c r="AB166" s="688">
        <f ca="1">SUMIF('Budget-ACPL'!$A:$A,$A166,'Budget-ACPL'!AB:AB)+SUMIF('Budget-ACPLHK'!$A:$A,$A166,'Budget-ACPLHK'!AB:AB)+SUMIF('Budget-ACPSZL'!$A:$A,$A166,'Budget-ACPSZL'!AB:AB)+SUMIF('Budget-ACPLSZ'!$A:$A,$A166,'Budget-ACPLSZ'!AB:AB)+SUMIF('Budget-ACPLGZ'!$A:$A,$A166,'Budget-ACPLGZ'!AB:AB)+SUMIF('Budget-Yixing'!$A:$A,$A166,'Budget-Yixing'!AB:AB)</f>
        <v>-16050.54</v>
      </c>
      <c r="AC166" s="688">
        <f ca="1">SUMIF('Budget-ACPL'!$A:$A,$A166,'Budget-ACPL'!AC:AC)+SUMIF('Budget-ACPLHK'!$A:$A,$A166,'Budget-ACPLHK'!AC:AC)+SUMIF('Budget-ACPSZL'!$A:$A,$A166,'Budget-ACPSZL'!AC:AC)+SUMIF('Budget-ACPLSZ'!$A:$A,$A166,'Budget-ACPLSZ'!AC:AC)+SUMIF('Budget-ACPLGZ'!$A:$A,$A166,'Budget-ACPLGZ'!AC:AC)+SUMIF('Budget-Yixing'!$A:$A,$A166,'Budget-Yixing'!AC:AC)</f>
        <v>-1836.4899999999998</v>
      </c>
      <c r="AD166" s="688">
        <f ca="1">SUMIF('Budget-ACPL'!$A:$A,$A166,'Budget-ACPL'!AD:AD)+SUMIF('Budget-ACPLHK'!$A:$A,$A166,'Budget-ACPLHK'!AD:AD)+SUMIF('Budget-ACPSZL'!$A:$A,$A166,'Budget-ACPSZL'!AD:AD)+SUMIF('Budget-ACPLSZ'!$A:$A,$A166,'Budget-ACPLSZ'!AD:AD)+SUMIF('Budget-ACPLGZ'!$A:$A,$A166,'Budget-ACPLGZ'!AD:AD)+SUMIF('Budget-Yixing'!$A:$A,$A166,'Budget-Yixing'!AD:AD)</f>
        <v>-7220.53</v>
      </c>
      <c r="AE166" s="688">
        <f ca="1">SUMIF('Budget-ACPL'!$A:$A,$A166,'Budget-ACPL'!AE:AE)+SUMIF('Budget-ACPLHK'!$A:$A,$A166,'Budget-ACPLHK'!AE:AE)+SUMIF('Budget-ACPSZL'!$A:$A,$A166,'Budget-ACPSZL'!AE:AE)+SUMIF('Budget-ACPLSZ'!$A:$A,$A166,'Budget-ACPLSZ'!AE:AE)+SUMIF('Budget-ACPLGZ'!$A:$A,$A166,'Budget-ACPLGZ'!AE:AE)+SUMIF('Budget-Yixing'!$A:$A,$A166,'Budget-Yixing'!AE:AE)</f>
        <v>1752.23</v>
      </c>
      <c r="AF166" s="688">
        <f ca="1">SUMIF('Budget-ACPL'!$A:$A,$A166,'Budget-ACPL'!AF:AF)+SUMIF('Budget-ACPLHK'!$A:$A,$A166,'Budget-ACPLHK'!AF:AF)+SUMIF('Budget-ACPSZL'!$A:$A,$A166,'Budget-ACPSZL'!AF:AF)+SUMIF('Budget-ACPLSZ'!$A:$A,$A166,'Budget-ACPLSZ'!AF:AF)+SUMIF('Budget-ACPLGZ'!$A:$A,$A166,'Budget-ACPLGZ'!AF:AF)+SUMIF('Budget-Yixing'!$A:$A,$A166,'Budget-Yixing'!AF:AF)</f>
        <v>-181.06</v>
      </c>
      <c r="AG166" s="688">
        <f ca="1">SUMIF('Budget-ACPL'!$A:$A,$A166,'Budget-ACPL'!AG:AG)+SUMIF('Budget-ACPLHK'!$A:$A,$A166,'Budget-ACPLHK'!AG:AG)+SUMIF('Budget-ACPSZL'!$A:$A,$A166,'Budget-ACPSZL'!AG:AG)+SUMIF('Budget-ACPLSZ'!$A:$A,$A166,'Budget-ACPLSZ'!AG:AG)+SUMIF('Budget-ACPLGZ'!$A:$A,$A166,'Budget-ACPLGZ'!AG:AG)+SUMIF('Budget-Yixing'!$A:$A,$A166,'Budget-Yixing'!AG:AG)</f>
        <v>-2414.92</v>
      </c>
      <c r="AH166" s="688">
        <f ca="1">SUMIF('Budget-ACPL'!$A:$A,$A166,'Budget-ACPL'!AH:AH)+SUMIF('Budget-ACPLHK'!$A:$A,$A166,'Budget-ACPLHK'!AH:AH)+SUMIF('Budget-ACPSZL'!$A:$A,$A166,'Budget-ACPSZL'!AH:AH)+SUMIF('Budget-ACPLSZ'!$A:$A,$A166,'Budget-ACPLSZ'!AH:AH)+SUMIF('Budget-ACPLGZ'!$A:$A,$A166,'Budget-ACPLGZ'!AH:AH)+SUMIF('Budget-Yixing'!$A:$A,$A166,'Budget-Yixing'!AH:AH)</f>
        <v>-361.05</v>
      </c>
      <c r="AI166" s="688">
        <f ca="1">SUMIF('Budget-ACPL'!$A:$A,$A166,'Budget-ACPL'!AI:AI)+SUMIF('Budget-ACPLHK'!$A:$A,$A166,'Budget-ACPLHK'!AI:AI)+SUMIF('Budget-ACPSZL'!$A:$A,$A166,'Budget-ACPSZL'!AI:AI)+SUMIF('Budget-ACPLSZ'!$A:$A,$A166,'Budget-ACPLSZ'!AI:AI)+SUMIF('Budget-ACPLGZ'!$A:$A,$A166,'Budget-ACPLGZ'!AI:AI)+SUMIF('Budget-Yixing'!$A:$A,$A166,'Budget-Yixing'!AI:AI)</f>
        <v>-391.51</v>
      </c>
      <c r="AJ166" s="688">
        <f ca="1">SUMIF('Budget-ACPL'!$A:$A,$A166,'Budget-ACPL'!AJ:AJ)+SUMIF('Budget-ACPLHK'!$A:$A,$A166,'Budget-ACPLHK'!AJ:AJ)+SUMIF('Budget-ACPSZL'!$A:$A,$A166,'Budget-ACPSZL'!AJ:AJ)+SUMIF('Budget-ACPLSZ'!$A:$A,$A166,'Budget-ACPLSZ'!AJ:AJ)+SUMIF('Budget-ACPLGZ'!$A:$A,$A166,'Budget-ACPLGZ'!AJ:AJ)+SUMIF('Budget-Yixing'!$A:$A,$A166,'Budget-Yixing'!AJ:AJ)</f>
        <v>-4477.7300000000005</v>
      </c>
      <c r="AK166" s="688">
        <f t="shared" ca="1" si="54"/>
        <v>-61440.959999999999</v>
      </c>
    </row>
    <row r="167" spans="1:37" ht="13.5" customHeight="1">
      <c r="A167" s="716" t="s">
        <v>1927</v>
      </c>
      <c r="B167" s="717" t="str">
        <f>VLOOKUP(A167,Account!A:B,2,0)</f>
        <v>利息支出</v>
      </c>
      <c r="C167" s="687">
        <f>VLOOKUP(A167,Account!A:F,4,0)</f>
        <v>0</v>
      </c>
      <c r="D167" s="676">
        <f t="shared" ca="1" si="48"/>
        <v>47350.68</v>
      </c>
      <c r="E167" s="676" t="e">
        <f t="shared" si="49"/>
        <v>#N/A</v>
      </c>
      <c r="F167" s="676" t="e">
        <f t="shared" ca="1" si="50"/>
        <v>#N/A</v>
      </c>
      <c r="G167" s="676">
        <f t="shared" ca="1" si="51"/>
        <v>47350.68</v>
      </c>
      <c r="H167" s="676" t="e">
        <f t="shared" ca="1" si="52"/>
        <v>#N/A</v>
      </c>
      <c r="I167" s="676" t="e">
        <f t="shared" ca="1" si="53"/>
        <v>#N/A</v>
      </c>
      <c r="K167" s="676">
        <f ca="1">SUMIF('Budget-ACPL'!$A:$A,$A167,'Budget-ACPL'!K:K)+SUMIF('Budget-ACPLHK'!$A:$A,$A167,'Budget-ACPLHK'!K:K)+SUMIF('Budget-ACPSZL'!$A:$A,$A167,'Budget-ACPSZL'!K:K)+SUMIF('Budget-ACPLSZ'!$A:$A,$A167,'Budget-ACPLSZ'!K:K)+SUMIF('Budget-ACPLGZ'!$A:$A,$A167,'Budget-ACPLGZ'!K:K)+SUMIF('Budget-Yixing'!$A:$A,$A167,'Budget-Yixing'!K:K)</f>
        <v>47350.68</v>
      </c>
      <c r="L167" s="676">
        <f ca="1">SUMIF('Budget-ACPL'!$A:$A,$A167,'Budget-ACPL'!L:L)+SUMIF('Budget-ACPLHK'!$A:$A,$A167,'Budget-ACPLHK'!L:L)+SUMIF('Budget-ACPSZL'!$A:$A,$A167,'Budget-ACPSZL'!L:L)+SUMIF('Budget-ACPLSZ'!$A:$A,$A167,'Budget-ACPLSZ'!L:L)+SUMIF('Budget-ACPLGZ'!$A:$A,$A167,'Budget-ACPLGZ'!L:L)+SUMIF('Budget-Yixing'!$A:$A,$A167,'Budget-Yixing'!L:L)</f>
        <v>44589.04</v>
      </c>
      <c r="M167" s="676">
        <f ca="1">SUMIF('Budget-ACPL'!$A:$A,$A167,'Budget-ACPL'!M:M)+SUMIF('Budget-ACPLHK'!$A:$A,$A167,'Budget-ACPLHK'!M:M)+SUMIF('Budget-ACPSZL'!$A:$A,$A167,'Budget-ACPSZL'!M:M)+SUMIF('Budget-ACPLSZ'!$A:$A,$A167,'Budget-ACPLSZ'!M:M)+SUMIF('Budget-ACPLGZ'!$A:$A,$A167,'Budget-ACPLGZ'!M:M)+SUMIF('Budget-Yixing'!$A:$A,$A167,'Budget-Yixing'!M:M)</f>
        <v>44589.04</v>
      </c>
      <c r="N167" s="676">
        <f ca="1">SUMIF('Budget-ACPL'!$A:$A,$A167,'Budget-ACPL'!N:N)+SUMIF('Budget-ACPLHK'!$A:$A,$A167,'Budget-ACPLHK'!N:N)+SUMIF('Budget-ACPSZL'!$A:$A,$A167,'Budget-ACPSZL'!N:N)+SUMIF('Budget-ACPLSZ'!$A:$A,$A167,'Budget-ACPLSZ'!N:N)+SUMIF('Budget-ACPLGZ'!$A:$A,$A167,'Budget-ACPLGZ'!N:N)+SUMIF('Budget-Yixing'!$A:$A,$A167,'Budget-Yixing'!N:N)</f>
        <v>0</v>
      </c>
      <c r="O167" s="676">
        <f ca="1">SUMIF('Budget-ACPL'!$A:$A,$A167,'Budget-ACPL'!O:O)+SUMIF('Budget-ACPLHK'!$A:$A,$A167,'Budget-ACPLHK'!O:O)+SUMIF('Budget-ACPSZL'!$A:$A,$A167,'Budget-ACPSZL'!O:O)+SUMIF('Budget-ACPLSZ'!$A:$A,$A167,'Budget-ACPLSZ'!O:O)+SUMIF('Budget-ACPLGZ'!$A:$A,$A167,'Budget-ACPLGZ'!O:O)+SUMIF('Budget-Yixing'!$A:$A,$A167,'Budget-Yixing'!O:O)</f>
        <v>0</v>
      </c>
      <c r="P167" s="676">
        <f ca="1">SUMIF('Budget-ACPL'!$A:$A,$A167,'Budget-ACPL'!P:P)+SUMIF('Budget-ACPLHK'!$A:$A,$A167,'Budget-ACPLHK'!P:P)+SUMIF('Budget-ACPSZL'!$A:$A,$A167,'Budget-ACPSZL'!P:P)+SUMIF('Budget-ACPLSZ'!$A:$A,$A167,'Budget-ACPLSZ'!P:P)+SUMIF('Budget-ACPLGZ'!$A:$A,$A167,'Budget-ACPLGZ'!P:P)+SUMIF('Budget-Yixing'!$A:$A,$A167,'Budget-Yixing'!P:P)</f>
        <v>0</v>
      </c>
      <c r="Q167" s="676">
        <f ca="1">SUMIF('Budget-ACPL'!$A:$A,$A167,'Budget-ACPL'!Q:Q)+SUMIF('Budget-ACPLHK'!$A:$A,$A167,'Budget-ACPLHK'!Q:Q)+SUMIF('Budget-ACPSZL'!$A:$A,$A167,'Budget-ACPSZL'!Q:Q)+SUMIF('Budget-ACPLSZ'!$A:$A,$A167,'Budget-ACPLSZ'!Q:Q)+SUMIF('Budget-ACPLGZ'!$A:$A,$A167,'Budget-ACPLGZ'!Q:Q)+SUMIF('Budget-Yixing'!$A:$A,$A167,'Budget-Yixing'!Q:Q)</f>
        <v>0</v>
      </c>
      <c r="R167" s="676">
        <f ca="1">SUMIF('Budget-ACPL'!$A:$A,$A167,'Budget-ACPL'!R:R)+SUMIF('Budget-ACPLHK'!$A:$A,$A167,'Budget-ACPLHK'!R:R)+SUMIF('Budget-ACPSZL'!$A:$A,$A167,'Budget-ACPSZL'!R:R)+SUMIF('Budget-ACPLSZ'!$A:$A,$A167,'Budget-ACPLSZ'!R:R)+SUMIF('Budget-ACPLGZ'!$A:$A,$A167,'Budget-ACPLGZ'!R:R)+SUMIF('Budget-Yixing'!$A:$A,$A167,'Budget-Yixing'!R:R)</f>
        <v>0</v>
      </c>
      <c r="S167" s="676">
        <f ca="1">SUMIF('Budget-ACPL'!$A:$A,$A167,'Budget-ACPL'!S:S)+SUMIF('Budget-ACPLHK'!$A:$A,$A167,'Budget-ACPLHK'!S:S)+SUMIF('Budget-ACPSZL'!$A:$A,$A167,'Budget-ACPSZL'!S:S)+SUMIF('Budget-ACPLSZ'!$A:$A,$A167,'Budget-ACPLSZ'!S:S)+SUMIF('Budget-ACPLGZ'!$A:$A,$A167,'Budget-ACPLGZ'!S:S)+SUMIF('Budget-Yixing'!$A:$A,$A167,'Budget-Yixing'!S:S)</f>
        <v>0</v>
      </c>
      <c r="T167" s="676">
        <f ca="1">SUMIF('Budget-ACPL'!$A:$A,$A167,'Budget-ACPL'!T:T)+SUMIF('Budget-ACPLHK'!$A:$A,$A167,'Budget-ACPLHK'!T:T)+SUMIF('Budget-ACPSZL'!$A:$A,$A167,'Budget-ACPSZL'!T:T)+SUMIF('Budget-ACPLSZ'!$A:$A,$A167,'Budget-ACPLSZ'!T:T)+SUMIF('Budget-ACPLGZ'!$A:$A,$A167,'Budget-ACPLGZ'!T:T)+SUMIF('Budget-Yixing'!$A:$A,$A167,'Budget-Yixing'!T:T)</f>
        <v>0</v>
      </c>
      <c r="U167" s="676">
        <f ca="1">SUMIF('Budget-ACPL'!$A:$A,$A167,'Budget-ACPL'!U:U)+SUMIF('Budget-ACPLHK'!$A:$A,$A167,'Budget-ACPLHK'!U:U)+SUMIF('Budget-ACPSZL'!$A:$A,$A167,'Budget-ACPSZL'!U:U)+SUMIF('Budget-ACPLSZ'!$A:$A,$A167,'Budget-ACPLSZ'!U:U)+SUMIF('Budget-ACPLGZ'!$A:$A,$A167,'Budget-ACPLGZ'!U:U)+SUMIF('Budget-Yixing'!$A:$A,$A167,'Budget-Yixing'!U:U)</f>
        <v>0</v>
      </c>
      <c r="V167" s="676">
        <f ca="1">SUMIF('Budget-ACPL'!$A:$A,$A167,'Budget-ACPL'!V:V)+SUMIF('Budget-ACPLHK'!$A:$A,$A167,'Budget-ACPLHK'!V:V)+SUMIF('Budget-ACPSZL'!$A:$A,$A167,'Budget-ACPSZL'!V:V)+SUMIF('Budget-ACPLSZ'!$A:$A,$A167,'Budget-ACPLSZ'!V:V)+SUMIF('Budget-ACPLGZ'!$A:$A,$A167,'Budget-ACPLGZ'!V:V)+SUMIF('Budget-Yixing'!$A:$A,$A167,'Budget-Yixing'!V:V)</f>
        <v>0</v>
      </c>
      <c r="W167" s="676">
        <f t="shared" ca="1" si="55"/>
        <v>136528.76</v>
      </c>
      <c r="Y167" s="688">
        <f ca="1">SUMIF('Budget-ACPL'!$A:$A,$A167,'Budget-ACPL'!Y:Y)+SUMIF('Budget-ACPLHK'!$A:$A,$A167,'Budget-ACPLHK'!Y:Y)+SUMIF('Budget-ACPSZL'!$A:$A,$A167,'Budget-ACPSZL'!Y:Y)+SUMIF('Budget-ACPLSZ'!$A:$A,$A167,'Budget-ACPLSZ'!Y:Y)+SUMIF('Budget-ACPLGZ'!$A:$A,$A167,'Budget-ACPLGZ'!Y:Y)+SUMIF('Budget-Yixing'!$A:$A,$A167,'Budget-Yixing'!Y:Y)</f>
        <v>0</v>
      </c>
      <c r="Z167" s="688">
        <f ca="1">SUMIF('Budget-ACPL'!$A:$A,$A167,'Budget-ACPL'!Z:Z)+SUMIF('Budget-ACPLHK'!$A:$A,$A167,'Budget-ACPLHK'!Z:Z)+SUMIF('Budget-ACPSZL'!$A:$A,$A167,'Budget-ACPSZL'!Z:Z)+SUMIF('Budget-ACPLSZ'!$A:$A,$A167,'Budget-ACPLSZ'!Z:Z)+SUMIF('Budget-ACPLGZ'!$A:$A,$A167,'Budget-ACPLGZ'!Z:Z)+SUMIF('Budget-Yixing'!$A:$A,$A167,'Budget-Yixing'!Z:Z)</f>
        <v>0</v>
      </c>
      <c r="AA167" s="688">
        <f ca="1">SUMIF('Budget-ACPL'!$A:$A,$A167,'Budget-ACPL'!AA:AA)+SUMIF('Budget-ACPLHK'!$A:$A,$A167,'Budget-ACPLHK'!AA:AA)+SUMIF('Budget-ACPSZL'!$A:$A,$A167,'Budget-ACPSZL'!AA:AA)+SUMIF('Budget-ACPLSZ'!$A:$A,$A167,'Budget-ACPLSZ'!AA:AA)+SUMIF('Budget-ACPLGZ'!$A:$A,$A167,'Budget-ACPLGZ'!AA:AA)+SUMIF('Budget-Yixing'!$A:$A,$A167,'Budget-Yixing'!AA:AA)</f>
        <v>0</v>
      </c>
      <c r="AB167" s="688">
        <f ca="1">SUMIF('Budget-ACPL'!$A:$A,$A167,'Budget-ACPL'!AB:AB)+SUMIF('Budget-ACPLHK'!$A:$A,$A167,'Budget-ACPLHK'!AB:AB)+SUMIF('Budget-ACPSZL'!$A:$A,$A167,'Budget-ACPSZL'!AB:AB)+SUMIF('Budget-ACPLSZ'!$A:$A,$A167,'Budget-ACPLSZ'!AB:AB)+SUMIF('Budget-ACPLGZ'!$A:$A,$A167,'Budget-ACPLGZ'!AB:AB)+SUMIF('Budget-Yixing'!$A:$A,$A167,'Budget-Yixing'!AB:AB)</f>
        <v>0</v>
      </c>
      <c r="AC167" s="688">
        <f ca="1">SUMIF('Budget-ACPL'!$A:$A,$A167,'Budget-ACPL'!AC:AC)+SUMIF('Budget-ACPLHK'!$A:$A,$A167,'Budget-ACPLHK'!AC:AC)+SUMIF('Budget-ACPSZL'!$A:$A,$A167,'Budget-ACPSZL'!AC:AC)+SUMIF('Budget-ACPLSZ'!$A:$A,$A167,'Budget-ACPLSZ'!AC:AC)+SUMIF('Budget-ACPLGZ'!$A:$A,$A167,'Budget-ACPLGZ'!AC:AC)+SUMIF('Budget-Yixing'!$A:$A,$A167,'Budget-Yixing'!AC:AC)</f>
        <v>0</v>
      </c>
      <c r="AD167" s="688">
        <f ca="1">SUMIF('Budget-ACPL'!$A:$A,$A167,'Budget-ACPL'!AD:AD)+SUMIF('Budget-ACPLHK'!$A:$A,$A167,'Budget-ACPLHK'!AD:AD)+SUMIF('Budget-ACPSZL'!$A:$A,$A167,'Budget-ACPSZL'!AD:AD)+SUMIF('Budget-ACPLSZ'!$A:$A,$A167,'Budget-ACPLSZ'!AD:AD)+SUMIF('Budget-ACPLGZ'!$A:$A,$A167,'Budget-ACPLGZ'!AD:AD)+SUMIF('Budget-Yixing'!$A:$A,$A167,'Budget-Yixing'!AD:AD)</f>
        <v>0</v>
      </c>
      <c r="AE167" s="688">
        <f ca="1">SUMIF('Budget-ACPL'!$A:$A,$A167,'Budget-ACPL'!AE:AE)+SUMIF('Budget-ACPLHK'!$A:$A,$A167,'Budget-ACPLHK'!AE:AE)+SUMIF('Budget-ACPSZL'!$A:$A,$A167,'Budget-ACPSZL'!AE:AE)+SUMIF('Budget-ACPLSZ'!$A:$A,$A167,'Budget-ACPLSZ'!AE:AE)+SUMIF('Budget-ACPLGZ'!$A:$A,$A167,'Budget-ACPLGZ'!AE:AE)+SUMIF('Budget-Yixing'!$A:$A,$A167,'Budget-Yixing'!AE:AE)</f>
        <v>0</v>
      </c>
      <c r="AF167" s="688">
        <f ca="1">SUMIF('Budget-ACPL'!$A:$A,$A167,'Budget-ACPL'!AF:AF)+SUMIF('Budget-ACPLHK'!$A:$A,$A167,'Budget-ACPLHK'!AF:AF)+SUMIF('Budget-ACPSZL'!$A:$A,$A167,'Budget-ACPSZL'!AF:AF)+SUMIF('Budget-ACPLSZ'!$A:$A,$A167,'Budget-ACPLSZ'!AF:AF)+SUMIF('Budget-ACPLGZ'!$A:$A,$A167,'Budget-ACPLGZ'!AF:AF)+SUMIF('Budget-Yixing'!$A:$A,$A167,'Budget-Yixing'!AF:AF)</f>
        <v>4832.88</v>
      </c>
      <c r="AG167" s="688">
        <f ca="1">SUMIF('Budget-ACPL'!$A:$A,$A167,'Budget-ACPL'!AG:AG)+SUMIF('Budget-ACPLHK'!$A:$A,$A167,'Budget-ACPLHK'!AG:AG)+SUMIF('Budget-ACPSZL'!$A:$A,$A167,'Budget-ACPSZL'!AG:AG)+SUMIF('Budget-ACPLSZ'!$A:$A,$A167,'Budget-ACPLSZ'!AG:AG)+SUMIF('Budget-ACPLGZ'!$A:$A,$A167,'Budget-ACPLGZ'!AG:AG)+SUMIF('Budget-Yixing'!$A:$A,$A167,'Budget-Yixing'!AG:AG)</f>
        <v>10356.16</v>
      </c>
      <c r="AH167" s="688">
        <f ca="1">SUMIF('Budget-ACPL'!$A:$A,$A167,'Budget-ACPL'!AH:AH)+SUMIF('Budget-ACPLHK'!$A:$A,$A167,'Budget-ACPLHK'!AH:AH)+SUMIF('Budget-ACPSZL'!$A:$A,$A167,'Budget-ACPSZL'!AH:AH)+SUMIF('Budget-ACPLSZ'!$A:$A,$A167,'Budget-ACPLSZ'!AH:AH)+SUMIF('Budget-ACPLGZ'!$A:$A,$A167,'Budget-ACPLGZ'!AH:AH)+SUMIF('Budget-Yixing'!$A:$A,$A167,'Budget-Yixing'!AH:AH)</f>
        <v>10701.37</v>
      </c>
      <c r="AI167" s="688">
        <f ca="1">SUMIF('Budget-ACPL'!$A:$A,$A167,'Budget-ACPL'!AI:AI)+SUMIF('Budget-ACPLHK'!$A:$A,$A167,'Budget-ACPLHK'!AI:AI)+SUMIF('Budget-ACPSZL'!$A:$A,$A167,'Budget-ACPSZL'!AI:AI)+SUMIF('Budget-ACPLSZ'!$A:$A,$A167,'Budget-ACPLSZ'!AI:AI)+SUMIF('Budget-ACPLGZ'!$A:$A,$A167,'Budget-ACPLGZ'!AI:AI)+SUMIF('Budget-Yixing'!$A:$A,$A167,'Budget-Yixing'!AI:AI)</f>
        <v>10356.16</v>
      </c>
      <c r="AJ167" s="688">
        <f ca="1">SUMIF('Budget-ACPL'!$A:$A,$A167,'Budget-ACPL'!AJ:AJ)+SUMIF('Budget-ACPLHK'!$A:$A,$A167,'Budget-ACPLHK'!AJ:AJ)+SUMIF('Budget-ACPSZL'!$A:$A,$A167,'Budget-ACPSZL'!AJ:AJ)+SUMIF('Budget-ACPLSZ'!$A:$A,$A167,'Budget-ACPLSZ'!AJ:AJ)+SUMIF('Budget-ACPLGZ'!$A:$A,$A167,'Budget-ACPLGZ'!AJ:AJ)+SUMIF('Budget-Yixing'!$A:$A,$A167,'Budget-Yixing'!AJ:AJ)</f>
        <v>11391.78</v>
      </c>
      <c r="AK167" s="688">
        <f t="shared" ca="1" si="54"/>
        <v>47638.350000000006</v>
      </c>
    </row>
    <row r="168" spans="1:37" ht="13.5" hidden="1" customHeight="1">
      <c r="A168" s="713" t="s">
        <v>1931</v>
      </c>
      <c r="B168" s="687" t="str">
        <f>VLOOKUP(A168,Account!A:B,2,0)</f>
        <v>兴业金融租赁有限责任公司</v>
      </c>
      <c r="C168" s="687">
        <f>VLOOKUP(A168,Account!A:F,4,0)</f>
        <v>0</v>
      </c>
      <c r="D168" s="676">
        <f t="shared" ca="1" si="48"/>
        <v>0</v>
      </c>
      <c r="E168" s="676" t="e">
        <f t="shared" si="49"/>
        <v>#N/A</v>
      </c>
      <c r="F168" s="676" t="e">
        <f t="shared" ca="1" si="50"/>
        <v>#N/A</v>
      </c>
      <c r="G168" s="676">
        <f t="shared" ca="1" si="51"/>
        <v>0</v>
      </c>
      <c r="H168" s="676" t="e">
        <f t="shared" ca="1" si="52"/>
        <v>#N/A</v>
      </c>
      <c r="I168" s="676" t="e">
        <f t="shared" ca="1" si="53"/>
        <v>#N/A</v>
      </c>
      <c r="K168" s="676">
        <f ca="1">SUMIF('Budget-ACPL'!$A:$A,$A168,'Budget-ACPL'!K:K)+SUMIF('Budget-ACPLHK'!$A:$A,$A168,'Budget-ACPLHK'!K:K)+SUMIF('Budget-ACPSZL'!$A:$A,$A168,'Budget-ACPSZL'!K:K)+SUMIF('Budget-ACPLSZ'!$A:$A,$A168,'Budget-ACPLSZ'!K:K)+SUMIF('Budget-ACPLGZ'!$A:$A,$A168,'Budget-ACPLGZ'!K:K)+SUMIF('Budget-Yixing'!$A:$A,$A168,'Budget-Yixing'!K:K)</f>
        <v>0</v>
      </c>
      <c r="L168" s="676">
        <f ca="1">SUMIF('Budget-ACPL'!$A:$A,$A168,'Budget-ACPL'!L:L)+SUMIF('Budget-ACPLHK'!$A:$A,$A168,'Budget-ACPLHK'!L:L)+SUMIF('Budget-ACPSZL'!$A:$A,$A168,'Budget-ACPSZL'!L:L)+SUMIF('Budget-ACPLSZ'!$A:$A,$A168,'Budget-ACPLSZ'!L:L)+SUMIF('Budget-ACPLGZ'!$A:$A,$A168,'Budget-ACPLGZ'!L:L)+SUMIF('Budget-Yixing'!$A:$A,$A168,'Budget-Yixing'!L:L)</f>
        <v>0</v>
      </c>
      <c r="M168" s="676">
        <f ca="1">SUMIF('Budget-ACPL'!$A:$A,$A168,'Budget-ACPL'!M:M)+SUMIF('Budget-ACPLHK'!$A:$A,$A168,'Budget-ACPLHK'!M:M)+SUMIF('Budget-ACPSZL'!$A:$A,$A168,'Budget-ACPSZL'!M:M)+SUMIF('Budget-ACPLSZ'!$A:$A,$A168,'Budget-ACPLSZ'!M:M)+SUMIF('Budget-ACPLGZ'!$A:$A,$A168,'Budget-ACPLGZ'!M:M)+SUMIF('Budget-Yixing'!$A:$A,$A168,'Budget-Yixing'!M:M)</f>
        <v>0</v>
      </c>
      <c r="N168" s="676">
        <f ca="1">SUMIF('Budget-ACPL'!$A:$A,$A168,'Budget-ACPL'!N:N)+SUMIF('Budget-ACPLHK'!$A:$A,$A168,'Budget-ACPLHK'!N:N)+SUMIF('Budget-ACPSZL'!$A:$A,$A168,'Budget-ACPSZL'!N:N)+SUMIF('Budget-ACPLSZ'!$A:$A,$A168,'Budget-ACPLSZ'!N:N)+SUMIF('Budget-ACPLGZ'!$A:$A,$A168,'Budget-ACPLGZ'!N:N)+SUMIF('Budget-Yixing'!$A:$A,$A168,'Budget-Yixing'!N:N)</f>
        <v>0</v>
      </c>
      <c r="O168" s="676">
        <f ca="1">SUMIF('Budget-ACPL'!$A:$A,$A168,'Budget-ACPL'!O:O)+SUMIF('Budget-ACPLHK'!$A:$A,$A168,'Budget-ACPLHK'!O:O)+SUMIF('Budget-ACPSZL'!$A:$A,$A168,'Budget-ACPSZL'!O:O)+SUMIF('Budget-ACPLSZ'!$A:$A,$A168,'Budget-ACPLSZ'!O:O)+SUMIF('Budget-ACPLGZ'!$A:$A,$A168,'Budget-ACPLGZ'!O:O)+SUMIF('Budget-Yixing'!$A:$A,$A168,'Budget-Yixing'!O:O)</f>
        <v>0</v>
      </c>
      <c r="P168" s="676">
        <f ca="1">SUMIF('Budget-ACPL'!$A:$A,$A168,'Budget-ACPL'!P:P)+SUMIF('Budget-ACPLHK'!$A:$A,$A168,'Budget-ACPLHK'!P:P)+SUMIF('Budget-ACPSZL'!$A:$A,$A168,'Budget-ACPSZL'!P:P)+SUMIF('Budget-ACPLSZ'!$A:$A,$A168,'Budget-ACPLSZ'!P:P)+SUMIF('Budget-ACPLGZ'!$A:$A,$A168,'Budget-ACPLGZ'!P:P)+SUMIF('Budget-Yixing'!$A:$A,$A168,'Budget-Yixing'!P:P)</f>
        <v>0</v>
      </c>
      <c r="Q168" s="676">
        <f ca="1">SUMIF('Budget-ACPL'!$A:$A,$A168,'Budget-ACPL'!Q:Q)+SUMIF('Budget-ACPLHK'!$A:$A,$A168,'Budget-ACPLHK'!Q:Q)+SUMIF('Budget-ACPSZL'!$A:$A,$A168,'Budget-ACPSZL'!Q:Q)+SUMIF('Budget-ACPLSZ'!$A:$A,$A168,'Budget-ACPLSZ'!Q:Q)+SUMIF('Budget-ACPLGZ'!$A:$A,$A168,'Budget-ACPLGZ'!Q:Q)+SUMIF('Budget-Yixing'!$A:$A,$A168,'Budget-Yixing'!Q:Q)</f>
        <v>0</v>
      </c>
      <c r="R168" s="676">
        <f ca="1">SUMIF('Budget-ACPL'!$A:$A,$A168,'Budget-ACPL'!R:R)+SUMIF('Budget-ACPLHK'!$A:$A,$A168,'Budget-ACPLHK'!R:R)+SUMIF('Budget-ACPSZL'!$A:$A,$A168,'Budget-ACPSZL'!R:R)+SUMIF('Budget-ACPLSZ'!$A:$A,$A168,'Budget-ACPLSZ'!R:R)+SUMIF('Budget-ACPLGZ'!$A:$A,$A168,'Budget-ACPLGZ'!R:R)+SUMIF('Budget-Yixing'!$A:$A,$A168,'Budget-Yixing'!R:R)</f>
        <v>0</v>
      </c>
      <c r="S168" s="676">
        <f ca="1">SUMIF('Budget-ACPL'!$A:$A,$A168,'Budget-ACPL'!S:S)+SUMIF('Budget-ACPLHK'!$A:$A,$A168,'Budget-ACPLHK'!S:S)+SUMIF('Budget-ACPSZL'!$A:$A,$A168,'Budget-ACPSZL'!S:S)+SUMIF('Budget-ACPLSZ'!$A:$A,$A168,'Budget-ACPLSZ'!S:S)+SUMIF('Budget-ACPLGZ'!$A:$A,$A168,'Budget-ACPLGZ'!S:S)+SUMIF('Budget-Yixing'!$A:$A,$A168,'Budget-Yixing'!S:S)</f>
        <v>0</v>
      </c>
      <c r="T168" s="676">
        <f ca="1">SUMIF('Budget-ACPL'!$A:$A,$A168,'Budget-ACPL'!T:T)+SUMIF('Budget-ACPLHK'!$A:$A,$A168,'Budget-ACPLHK'!T:T)+SUMIF('Budget-ACPSZL'!$A:$A,$A168,'Budget-ACPSZL'!T:T)+SUMIF('Budget-ACPLSZ'!$A:$A,$A168,'Budget-ACPLSZ'!T:T)+SUMIF('Budget-ACPLGZ'!$A:$A,$A168,'Budget-ACPLGZ'!T:T)+SUMIF('Budget-Yixing'!$A:$A,$A168,'Budget-Yixing'!T:T)</f>
        <v>0</v>
      </c>
      <c r="U168" s="676">
        <f ca="1">SUMIF('Budget-ACPL'!$A:$A,$A168,'Budget-ACPL'!U:U)+SUMIF('Budget-ACPLHK'!$A:$A,$A168,'Budget-ACPLHK'!U:U)+SUMIF('Budget-ACPSZL'!$A:$A,$A168,'Budget-ACPSZL'!U:U)+SUMIF('Budget-ACPLSZ'!$A:$A,$A168,'Budget-ACPLSZ'!U:U)+SUMIF('Budget-ACPLGZ'!$A:$A,$A168,'Budget-ACPLGZ'!U:U)+SUMIF('Budget-Yixing'!$A:$A,$A168,'Budget-Yixing'!U:U)</f>
        <v>0</v>
      </c>
      <c r="V168" s="676">
        <f ca="1">SUMIF('Budget-ACPL'!$A:$A,$A168,'Budget-ACPL'!V:V)+SUMIF('Budget-ACPLHK'!$A:$A,$A168,'Budget-ACPLHK'!V:V)+SUMIF('Budget-ACPSZL'!$A:$A,$A168,'Budget-ACPSZL'!V:V)+SUMIF('Budget-ACPLSZ'!$A:$A,$A168,'Budget-ACPLSZ'!V:V)+SUMIF('Budget-ACPLGZ'!$A:$A,$A168,'Budget-ACPLGZ'!V:V)+SUMIF('Budget-Yixing'!$A:$A,$A168,'Budget-Yixing'!V:V)</f>
        <v>0</v>
      </c>
      <c r="W168" s="676">
        <f t="shared" ca="1" si="55"/>
        <v>0</v>
      </c>
      <c r="Y168" s="688">
        <f ca="1">SUMIF('Budget-ACPL'!$A:$A,$A168,'Budget-ACPL'!Y:Y)+SUMIF('Budget-ACPLHK'!$A:$A,$A168,'Budget-ACPLHK'!Y:Y)+SUMIF('Budget-ACPSZL'!$A:$A,$A168,'Budget-ACPSZL'!Y:Y)+SUMIF('Budget-ACPLSZ'!$A:$A,$A168,'Budget-ACPLSZ'!Y:Y)+SUMIF('Budget-ACPLGZ'!$A:$A,$A168,'Budget-ACPLGZ'!Y:Y)+SUMIF('Budget-Yixing'!$A:$A,$A168,'Budget-Yixing'!Y:Y)</f>
        <v>0</v>
      </c>
      <c r="Z168" s="688">
        <f ca="1">SUMIF('Budget-ACPL'!$A:$A,$A168,'Budget-ACPL'!Z:Z)+SUMIF('Budget-ACPLHK'!$A:$A,$A168,'Budget-ACPLHK'!Z:Z)+SUMIF('Budget-ACPSZL'!$A:$A,$A168,'Budget-ACPSZL'!Z:Z)+SUMIF('Budget-ACPLSZ'!$A:$A,$A168,'Budget-ACPLSZ'!Z:Z)+SUMIF('Budget-ACPLGZ'!$A:$A,$A168,'Budget-ACPLGZ'!Z:Z)+SUMIF('Budget-Yixing'!$A:$A,$A168,'Budget-Yixing'!Z:Z)</f>
        <v>0</v>
      </c>
      <c r="AA168" s="688">
        <f ca="1">SUMIF('Budget-ACPL'!$A:$A,$A168,'Budget-ACPL'!AA:AA)+SUMIF('Budget-ACPLHK'!$A:$A,$A168,'Budget-ACPLHK'!AA:AA)+SUMIF('Budget-ACPSZL'!$A:$A,$A168,'Budget-ACPSZL'!AA:AA)+SUMIF('Budget-ACPLSZ'!$A:$A,$A168,'Budget-ACPLSZ'!AA:AA)+SUMIF('Budget-ACPLGZ'!$A:$A,$A168,'Budget-ACPLGZ'!AA:AA)+SUMIF('Budget-Yixing'!$A:$A,$A168,'Budget-Yixing'!AA:AA)</f>
        <v>0</v>
      </c>
      <c r="AB168" s="688">
        <f ca="1">SUMIF('Budget-ACPL'!$A:$A,$A168,'Budget-ACPL'!AB:AB)+SUMIF('Budget-ACPLHK'!$A:$A,$A168,'Budget-ACPLHK'!AB:AB)+SUMIF('Budget-ACPSZL'!$A:$A,$A168,'Budget-ACPSZL'!AB:AB)+SUMIF('Budget-ACPLSZ'!$A:$A,$A168,'Budget-ACPLSZ'!AB:AB)+SUMIF('Budget-ACPLGZ'!$A:$A,$A168,'Budget-ACPLGZ'!AB:AB)+SUMIF('Budget-Yixing'!$A:$A,$A168,'Budget-Yixing'!AB:AB)</f>
        <v>0</v>
      </c>
      <c r="AC168" s="688">
        <f ca="1">SUMIF('Budget-ACPL'!$A:$A,$A168,'Budget-ACPL'!AC:AC)+SUMIF('Budget-ACPLHK'!$A:$A,$A168,'Budget-ACPLHK'!AC:AC)+SUMIF('Budget-ACPSZL'!$A:$A,$A168,'Budget-ACPSZL'!AC:AC)+SUMIF('Budget-ACPLSZ'!$A:$A,$A168,'Budget-ACPLSZ'!AC:AC)+SUMIF('Budget-ACPLGZ'!$A:$A,$A168,'Budget-ACPLGZ'!AC:AC)+SUMIF('Budget-Yixing'!$A:$A,$A168,'Budget-Yixing'!AC:AC)</f>
        <v>0</v>
      </c>
      <c r="AD168" s="688">
        <f ca="1">SUMIF('Budget-ACPL'!$A:$A,$A168,'Budget-ACPL'!AD:AD)+SUMIF('Budget-ACPLHK'!$A:$A,$A168,'Budget-ACPLHK'!AD:AD)+SUMIF('Budget-ACPSZL'!$A:$A,$A168,'Budget-ACPSZL'!AD:AD)+SUMIF('Budget-ACPLSZ'!$A:$A,$A168,'Budget-ACPLSZ'!AD:AD)+SUMIF('Budget-ACPLGZ'!$A:$A,$A168,'Budget-ACPLGZ'!AD:AD)+SUMIF('Budget-Yixing'!$A:$A,$A168,'Budget-Yixing'!AD:AD)</f>
        <v>0</v>
      </c>
      <c r="AE168" s="688">
        <f ca="1">SUMIF('Budget-ACPL'!$A:$A,$A168,'Budget-ACPL'!AE:AE)+SUMIF('Budget-ACPLHK'!$A:$A,$A168,'Budget-ACPLHK'!AE:AE)+SUMIF('Budget-ACPSZL'!$A:$A,$A168,'Budget-ACPSZL'!AE:AE)+SUMIF('Budget-ACPLSZ'!$A:$A,$A168,'Budget-ACPLSZ'!AE:AE)+SUMIF('Budget-ACPLGZ'!$A:$A,$A168,'Budget-ACPLGZ'!AE:AE)+SUMIF('Budget-Yixing'!$A:$A,$A168,'Budget-Yixing'!AE:AE)</f>
        <v>0</v>
      </c>
      <c r="AF168" s="688">
        <f ca="1">SUMIF('Budget-ACPL'!$A:$A,$A168,'Budget-ACPL'!AF:AF)+SUMIF('Budget-ACPLHK'!$A:$A,$A168,'Budget-ACPLHK'!AF:AF)+SUMIF('Budget-ACPSZL'!$A:$A,$A168,'Budget-ACPSZL'!AF:AF)+SUMIF('Budget-ACPLSZ'!$A:$A,$A168,'Budget-ACPLSZ'!AF:AF)+SUMIF('Budget-ACPLGZ'!$A:$A,$A168,'Budget-ACPLGZ'!AF:AF)+SUMIF('Budget-Yixing'!$A:$A,$A168,'Budget-Yixing'!AF:AF)</f>
        <v>0</v>
      </c>
      <c r="AG168" s="688">
        <f ca="1">SUMIF('Budget-ACPL'!$A:$A,$A168,'Budget-ACPL'!AG:AG)+SUMIF('Budget-ACPLHK'!$A:$A,$A168,'Budget-ACPLHK'!AG:AG)+SUMIF('Budget-ACPSZL'!$A:$A,$A168,'Budget-ACPSZL'!AG:AG)+SUMIF('Budget-ACPLSZ'!$A:$A,$A168,'Budget-ACPLSZ'!AG:AG)+SUMIF('Budget-ACPLGZ'!$A:$A,$A168,'Budget-ACPLGZ'!AG:AG)+SUMIF('Budget-Yixing'!$A:$A,$A168,'Budget-Yixing'!AG:AG)</f>
        <v>0</v>
      </c>
      <c r="AH168" s="688">
        <f ca="1">SUMIF('Budget-ACPL'!$A:$A,$A168,'Budget-ACPL'!AH:AH)+SUMIF('Budget-ACPLHK'!$A:$A,$A168,'Budget-ACPLHK'!AH:AH)+SUMIF('Budget-ACPSZL'!$A:$A,$A168,'Budget-ACPSZL'!AH:AH)+SUMIF('Budget-ACPLSZ'!$A:$A,$A168,'Budget-ACPLSZ'!AH:AH)+SUMIF('Budget-ACPLGZ'!$A:$A,$A168,'Budget-ACPLGZ'!AH:AH)+SUMIF('Budget-Yixing'!$A:$A,$A168,'Budget-Yixing'!AH:AH)</f>
        <v>0</v>
      </c>
      <c r="AI168" s="688">
        <f ca="1">SUMIF('Budget-ACPL'!$A:$A,$A168,'Budget-ACPL'!AI:AI)+SUMIF('Budget-ACPLHK'!$A:$A,$A168,'Budget-ACPLHK'!AI:AI)+SUMIF('Budget-ACPSZL'!$A:$A,$A168,'Budget-ACPSZL'!AI:AI)+SUMIF('Budget-ACPLSZ'!$A:$A,$A168,'Budget-ACPLSZ'!AI:AI)+SUMIF('Budget-ACPLGZ'!$A:$A,$A168,'Budget-ACPLGZ'!AI:AI)+SUMIF('Budget-Yixing'!$A:$A,$A168,'Budget-Yixing'!AI:AI)</f>
        <v>0</v>
      </c>
      <c r="AJ168" s="688">
        <f ca="1">SUMIF('Budget-ACPL'!$A:$A,$A168,'Budget-ACPL'!AJ:AJ)+SUMIF('Budget-ACPLHK'!$A:$A,$A168,'Budget-ACPLHK'!AJ:AJ)+SUMIF('Budget-ACPSZL'!$A:$A,$A168,'Budget-ACPSZL'!AJ:AJ)+SUMIF('Budget-ACPLSZ'!$A:$A,$A168,'Budget-ACPLSZ'!AJ:AJ)+SUMIF('Budget-ACPLGZ'!$A:$A,$A168,'Budget-ACPLGZ'!AJ:AJ)+SUMIF('Budget-Yixing'!$A:$A,$A168,'Budget-Yixing'!AJ:AJ)</f>
        <v>0</v>
      </c>
      <c r="AK168" s="688">
        <f t="shared" ca="1" si="54"/>
        <v>0</v>
      </c>
    </row>
    <row r="169" spans="1:37" ht="13.5" hidden="1" customHeight="1">
      <c r="A169" s="713" t="s">
        <v>1935</v>
      </c>
      <c r="B169" s="687" t="str">
        <f>VLOOKUP(A169,Account!A:B,2,0)</f>
        <v>湖南三一智慧新能源设计有限公司</v>
      </c>
      <c r="C169" s="687">
        <f>VLOOKUP(A169,Account!A:F,4,0)</f>
        <v>0</v>
      </c>
      <c r="D169" s="676">
        <f t="shared" ca="1" si="48"/>
        <v>0</v>
      </c>
      <c r="E169" s="676" t="e">
        <f t="shared" si="49"/>
        <v>#N/A</v>
      </c>
      <c r="F169" s="676" t="e">
        <f t="shared" ca="1" si="50"/>
        <v>#N/A</v>
      </c>
      <c r="G169" s="676">
        <f t="shared" ca="1" si="51"/>
        <v>0</v>
      </c>
      <c r="H169" s="676" t="e">
        <f t="shared" ca="1" si="52"/>
        <v>#N/A</v>
      </c>
      <c r="I169" s="676" t="e">
        <f t="shared" ca="1" si="53"/>
        <v>#N/A</v>
      </c>
      <c r="K169" s="676">
        <f ca="1">SUMIF('Budget-ACPL'!$A:$A,$A169,'Budget-ACPL'!K:K)+SUMIF('Budget-ACPLHK'!$A:$A,$A169,'Budget-ACPLHK'!K:K)+SUMIF('Budget-ACPSZL'!$A:$A,$A169,'Budget-ACPSZL'!K:K)+SUMIF('Budget-ACPLSZ'!$A:$A,$A169,'Budget-ACPLSZ'!K:K)+SUMIF('Budget-ACPLGZ'!$A:$A,$A169,'Budget-ACPLGZ'!K:K)+SUMIF('Budget-Yixing'!$A:$A,$A169,'Budget-Yixing'!K:K)</f>
        <v>0</v>
      </c>
      <c r="L169" s="676">
        <f ca="1">SUMIF('Budget-ACPL'!$A:$A,$A169,'Budget-ACPL'!L:L)+SUMIF('Budget-ACPLHK'!$A:$A,$A169,'Budget-ACPLHK'!L:L)+SUMIF('Budget-ACPSZL'!$A:$A,$A169,'Budget-ACPSZL'!L:L)+SUMIF('Budget-ACPLSZ'!$A:$A,$A169,'Budget-ACPLSZ'!L:L)+SUMIF('Budget-ACPLGZ'!$A:$A,$A169,'Budget-ACPLGZ'!L:L)+SUMIF('Budget-Yixing'!$A:$A,$A169,'Budget-Yixing'!L:L)</f>
        <v>0</v>
      </c>
      <c r="M169" s="676">
        <f ca="1">SUMIF('Budget-ACPL'!$A:$A,$A169,'Budget-ACPL'!M:M)+SUMIF('Budget-ACPLHK'!$A:$A,$A169,'Budget-ACPLHK'!M:M)+SUMIF('Budget-ACPSZL'!$A:$A,$A169,'Budget-ACPSZL'!M:M)+SUMIF('Budget-ACPLSZ'!$A:$A,$A169,'Budget-ACPLSZ'!M:M)+SUMIF('Budget-ACPLGZ'!$A:$A,$A169,'Budget-ACPLGZ'!M:M)+SUMIF('Budget-Yixing'!$A:$A,$A169,'Budget-Yixing'!M:M)</f>
        <v>0</v>
      </c>
      <c r="N169" s="676">
        <f ca="1">SUMIF('Budget-ACPL'!$A:$A,$A169,'Budget-ACPL'!N:N)+SUMIF('Budget-ACPLHK'!$A:$A,$A169,'Budget-ACPLHK'!N:N)+SUMIF('Budget-ACPSZL'!$A:$A,$A169,'Budget-ACPSZL'!N:N)+SUMIF('Budget-ACPLSZ'!$A:$A,$A169,'Budget-ACPLSZ'!N:N)+SUMIF('Budget-ACPLGZ'!$A:$A,$A169,'Budget-ACPLGZ'!N:N)+SUMIF('Budget-Yixing'!$A:$A,$A169,'Budget-Yixing'!N:N)</f>
        <v>0</v>
      </c>
      <c r="O169" s="676">
        <f ca="1">SUMIF('Budget-ACPL'!$A:$A,$A169,'Budget-ACPL'!O:O)+SUMIF('Budget-ACPLHK'!$A:$A,$A169,'Budget-ACPLHK'!O:O)+SUMIF('Budget-ACPSZL'!$A:$A,$A169,'Budget-ACPSZL'!O:O)+SUMIF('Budget-ACPLSZ'!$A:$A,$A169,'Budget-ACPLSZ'!O:O)+SUMIF('Budget-ACPLGZ'!$A:$A,$A169,'Budget-ACPLGZ'!O:O)+SUMIF('Budget-Yixing'!$A:$A,$A169,'Budget-Yixing'!O:O)</f>
        <v>0</v>
      </c>
      <c r="P169" s="676">
        <f ca="1">SUMIF('Budget-ACPL'!$A:$A,$A169,'Budget-ACPL'!P:P)+SUMIF('Budget-ACPLHK'!$A:$A,$A169,'Budget-ACPLHK'!P:P)+SUMIF('Budget-ACPSZL'!$A:$A,$A169,'Budget-ACPSZL'!P:P)+SUMIF('Budget-ACPLSZ'!$A:$A,$A169,'Budget-ACPLSZ'!P:P)+SUMIF('Budget-ACPLGZ'!$A:$A,$A169,'Budget-ACPLGZ'!P:P)+SUMIF('Budget-Yixing'!$A:$A,$A169,'Budget-Yixing'!P:P)</f>
        <v>0</v>
      </c>
      <c r="Q169" s="676">
        <f ca="1">SUMIF('Budget-ACPL'!$A:$A,$A169,'Budget-ACPL'!Q:Q)+SUMIF('Budget-ACPLHK'!$A:$A,$A169,'Budget-ACPLHK'!Q:Q)+SUMIF('Budget-ACPSZL'!$A:$A,$A169,'Budget-ACPSZL'!Q:Q)+SUMIF('Budget-ACPLSZ'!$A:$A,$A169,'Budget-ACPLSZ'!Q:Q)+SUMIF('Budget-ACPLGZ'!$A:$A,$A169,'Budget-ACPLGZ'!Q:Q)+SUMIF('Budget-Yixing'!$A:$A,$A169,'Budget-Yixing'!Q:Q)</f>
        <v>0</v>
      </c>
      <c r="R169" s="676">
        <f ca="1">SUMIF('Budget-ACPL'!$A:$A,$A169,'Budget-ACPL'!R:R)+SUMIF('Budget-ACPLHK'!$A:$A,$A169,'Budget-ACPLHK'!R:R)+SUMIF('Budget-ACPSZL'!$A:$A,$A169,'Budget-ACPSZL'!R:R)+SUMIF('Budget-ACPLSZ'!$A:$A,$A169,'Budget-ACPLSZ'!R:R)+SUMIF('Budget-ACPLGZ'!$A:$A,$A169,'Budget-ACPLGZ'!R:R)+SUMIF('Budget-Yixing'!$A:$A,$A169,'Budget-Yixing'!R:R)</f>
        <v>0</v>
      </c>
      <c r="S169" s="676">
        <f ca="1">SUMIF('Budget-ACPL'!$A:$A,$A169,'Budget-ACPL'!S:S)+SUMIF('Budget-ACPLHK'!$A:$A,$A169,'Budget-ACPLHK'!S:S)+SUMIF('Budget-ACPSZL'!$A:$A,$A169,'Budget-ACPSZL'!S:S)+SUMIF('Budget-ACPLSZ'!$A:$A,$A169,'Budget-ACPLSZ'!S:S)+SUMIF('Budget-ACPLGZ'!$A:$A,$A169,'Budget-ACPLGZ'!S:S)+SUMIF('Budget-Yixing'!$A:$A,$A169,'Budget-Yixing'!S:S)</f>
        <v>0</v>
      </c>
      <c r="T169" s="676">
        <f ca="1">SUMIF('Budget-ACPL'!$A:$A,$A169,'Budget-ACPL'!T:T)+SUMIF('Budget-ACPLHK'!$A:$A,$A169,'Budget-ACPLHK'!T:T)+SUMIF('Budget-ACPSZL'!$A:$A,$A169,'Budget-ACPSZL'!T:T)+SUMIF('Budget-ACPLSZ'!$A:$A,$A169,'Budget-ACPLSZ'!T:T)+SUMIF('Budget-ACPLGZ'!$A:$A,$A169,'Budget-ACPLGZ'!T:T)+SUMIF('Budget-Yixing'!$A:$A,$A169,'Budget-Yixing'!T:T)</f>
        <v>0</v>
      </c>
      <c r="U169" s="676">
        <f ca="1">SUMIF('Budget-ACPL'!$A:$A,$A169,'Budget-ACPL'!U:U)+SUMIF('Budget-ACPLHK'!$A:$A,$A169,'Budget-ACPLHK'!U:U)+SUMIF('Budget-ACPSZL'!$A:$A,$A169,'Budget-ACPSZL'!U:U)+SUMIF('Budget-ACPLSZ'!$A:$A,$A169,'Budget-ACPLSZ'!U:U)+SUMIF('Budget-ACPLGZ'!$A:$A,$A169,'Budget-ACPLGZ'!U:U)+SUMIF('Budget-Yixing'!$A:$A,$A169,'Budget-Yixing'!U:U)</f>
        <v>0</v>
      </c>
      <c r="V169" s="676">
        <f ca="1">SUMIF('Budget-ACPL'!$A:$A,$A169,'Budget-ACPL'!V:V)+SUMIF('Budget-ACPLHK'!$A:$A,$A169,'Budget-ACPLHK'!V:V)+SUMIF('Budget-ACPSZL'!$A:$A,$A169,'Budget-ACPSZL'!V:V)+SUMIF('Budget-ACPLSZ'!$A:$A,$A169,'Budget-ACPLSZ'!V:V)+SUMIF('Budget-ACPLGZ'!$A:$A,$A169,'Budget-ACPLGZ'!V:V)+SUMIF('Budget-Yixing'!$A:$A,$A169,'Budget-Yixing'!V:V)</f>
        <v>0</v>
      </c>
      <c r="W169" s="676">
        <f t="shared" ca="1" si="55"/>
        <v>0</v>
      </c>
      <c r="Y169" s="688">
        <f ca="1">SUMIF('Budget-ACPL'!$A:$A,$A169,'Budget-ACPL'!Y:Y)+SUMIF('Budget-ACPLHK'!$A:$A,$A169,'Budget-ACPLHK'!Y:Y)+SUMIF('Budget-ACPSZL'!$A:$A,$A169,'Budget-ACPSZL'!Y:Y)+SUMIF('Budget-ACPLSZ'!$A:$A,$A169,'Budget-ACPLSZ'!Y:Y)+SUMIF('Budget-ACPLGZ'!$A:$A,$A169,'Budget-ACPLGZ'!Y:Y)+SUMIF('Budget-Yixing'!$A:$A,$A169,'Budget-Yixing'!Y:Y)</f>
        <v>0</v>
      </c>
      <c r="Z169" s="688">
        <f ca="1">SUMIF('Budget-ACPL'!$A:$A,$A169,'Budget-ACPL'!Z:Z)+SUMIF('Budget-ACPLHK'!$A:$A,$A169,'Budget-ACPLHK'!Z:Z)+SUMIF('Budget-ACPSZL'!$A:$A,$A169,'Budget-ACPSZL'!Z:Z)+SUMIF('Budget-ACPLSZ'!$A:$A,$A169,'Budget-ACPLSZ'!Z:Z)+SUMIF('Budget-ACPLGZ'!$A:$A,$A169,'Budget-ACPLGZ'!Z:Z)+SUMIF('Budget-Yixing'!$A:$A,$A169,'Budget-Yixing'!Z:Z)</f>
        <v>0</v>
      </c>
      <c r="AA169" s="688">
        <f ca="1">SUMIF('Budget-ACPL'!$A:$A,$A169,'Budget-ACPL'!AA:AA)+SUMIF('Budget-ACPLHK'!$A:$A,$A169,'Budget-ACPLHK'!AA:AA)+SUMIF('Budget-ACPSZL'!$A:$A,$A169,'Budget-ACPSZL'!AA:AA)+SUMIF('Budget-ACPLSZ'!$A:$A,$A169,'Budget-ACPLSZ'!AA:AA)+SUMIF('Budget-ACPLGZ'!$A:$A,$A169,'Budget-ACPLGZ'!AA:AA)+SUMIF('Budget-Yixing'!$A:$A,$A169,'Budget-Yixing'!AA:AA)</f>
        <v>0</v>
      </c>
      <c r="AB169" s="688">
        <f ca="1">SUMIF('Budget-ACPL'!$A:$A,$A169,'Budget-ACPL'!AB:AB)+SUMIF('Budget-ACPLHK'!$A:$A,$A169,'Budget-ACPLHK'!AB:AB)+SUMIF('Budget-ACPSZL'!$A:$A,$A169,'Budget-ACPSZL'!AB:AB)+SUMIF('Budget-ACPLSZ'!$A:$A,$A169,'Budget-ACPLSZ'!AB:AB)+SUMIF('Budget-ACPLGZ'!$A:$A,$A169,'Budget-ACPLGZ'!AB:AB)+SUMIF('Budget-Yixing'!$A:$A,$A169,'Budget-Yixing'!AB:AB)</f>
        <v>0</v>
      </c>
      <c r="AC169" s="688">
        <f ca="1">SUMIF('Budget-ACPL'!$A:$A,$A169,'Budget-ACPL'!AC:AC)+SUMIF('Budget-ACPLHK'!$A:$A,$A169,'Budget-ACPLHK'!AC:AC)+SUMIF('Budget-ACPSZL'!$A:$A,$A169,'Budget-ACPSZL'!AC:AC)+SUMIF('Budget-ACPLSZ'!$A:$A,$A169,'Budget-ACPLSZ'!AC:AC)+SUMIF('Budget-ACPLGZ'!$A:$A,$A169,'Budget-ACPLGZ'!AC:AC)+SUMIF('Budget-Yixing'!$A:$A,$A169,'Budget-Yixing'!AC:AC)</f>
        <v>0</v>
      </c>
      <c r="AD169" s="688">
        <f ca="1">SUMIF('Budget-ACPL'!$A:$A,$A169,'Budget-ACPL'!AD:AD)+SUMIF('Budget-ACPLHK'!$A:$A,$A169,'Budget-ACPLHK'!AD:AD)+SUMIF('Budget-ACPSZL'!$A:$A,$A169,'Budget-ACPSZL'!AD:AD)+SUMIF('Budget-ACPLSZ'!$A:$A,$A169,'Budget-ACPLSZ'!AD:AD)+SUMIF('Budget-ACPLGZ'!$A:$A,$A169,'Budget-ACPLGZ'!AD:AD)+SUMIF('Budget-Yixing'!$A:$A,$A169,'Budget-Yixing'!AD:AD)</f>
        <v>0</v>
      </c>
      <c r="AE169" s="688">
        <f ca="1">SUMIF('Budget-ACPL'!$A:$A,$A169,'Budget-ACPL'!AE:AE)+SUMIF('Budget-ACPLHK'!$A:$A,$A169,'Budget-ACPLHK'!AE:AE)+SUMIF('Budget-ACPSZL'!$A:$A,$A169,'Budget-ACPSZL'!AE:AE)+SUMIF('Budget-ACPLSZ'!$A:$A,$A169,'Budget-ACPLSZ'!AE:AE)+SUMIF('Budget-ACPLGZ'!$A:$A,$A169,'Budget-ACPLGZ'!AE:AE)+SUMIF('Budget-Yixing'!$A:$A,$A169,'Budget-Yixing'!AE:AE)</f>
        <v>0</v>
      </c>
      <c r="AF169" s="688">
        <f ca="1">SUMIF('Budget-ACPL'!$A:$A,$A169,'Budget-ACPL'!AF:AF)+SUMIF('Budget-ACPLHK'!$A:$A,$A169,'Budget-ACPLHK'!AF:AF)+SUMIF('Budget-ACPSZL'!$A:$A,$A169,'Budget-ACPSZL'!AF:AF)+SUMIF('Budget-ACPLSZ'!$A:$A,$A169,'Budget-ACPLSZ'!AF:AF)+SUMIF('Budget-ACPLGZ'!$A:$A,$A169,'Budget-ACPLGZ'!AF:AF)+SUMIF('Budget-Yixing'!$A:$A,$A169,'Budget-Yixing'!AF:AF)</f>
        <v>0</v>
      </c>
      <c r="AG169" s="688">
        <f ca="1">SUMIF('Budget-ACPL'!$A:$A,$A169,'Budget-ACPL'!AG:AG)+SUMIF('Budget-ACPLHK'!$A:$A,$A169,'Budget-ACPLHK'!AG:AG)+SUMIF('Budget-ACPSZL'!$A:$A,$A169,'Budget-ACPSZL'!AG:AG)+SUMIF('Budget-ACPLSZ'!$A:$A,$A169,'Budget-ACPLSZ'!AG:AG)+SUMIF('Budget-ACPLGZ'!$A:$A,$A169,'Budget-ACPLGZ'!AG:AG)+SUMIF('Budget-Yixing'!$A:$A,$A169,'Budget-Yixing'!AG:AG)</f>
        <v>0</v>
      </c>
      <c r="AH169" s="688">
        <f ca="1">SUMIF('Budget-ACPL'!$A:$A,$A169,'Budget-ACPL'!AH:AH)+SUMIF('Budget-ACPLHK'!$A:$A,$A169,'Budget-ACPLHK'!AH:AH)+SUMIF('Budget-ACPSZL'!$A:$A,$A169,'Budget-ACPSZL'!AH:AH)+SUMIF('Budget-ACPLSZ'!$A:$A,$A169,'Budget-ACPLSZ'!AH:AH)+SUMIF('Budget-ACPLGZ'!$A:$A,$A169,'Budget-ACPLGZ'!AH:AH)+SUMIF('Budget-Yixing'!$A:$A,$A169,'Budget-Yixing'!AH:AH)</f>
        <v>0</v>
      </c>
      <c r="AI169" s="688">
        <f ca="1">SUMIF('Budget-ACPL'!$A:$A,$A169,'Budget-ACPL'!AI:AI)+SUMIF('Budget-ACPLHK'!$A:$A,$A169,'Budget-ACPLHK'!AI:AI)+SUMIF('Budget-ACPSZL'!$A:$A,$A169,'Budget-ACPSZL'!AI:AI)+SUMIF('Budget-ACPLSZ'!$A:$A,$A169,'Budget-ACPLSZ'!AI:AI)+SUMIF('Budget-ACPLGZ'!$A:$A,$A169,'Budget-ACPLGZ'!AI:AI)+SUMIF('Budget-Yixing'!$A:$A,$A169,'Budget-Yixing'!AI:AI)</f>
        <v>0</v>
      </c>
      <c r="AJ169" s="688">
        <f ca="1">SUMIF('Budget-ACPL'!$A:$A,$A169,'Budget-ACPL'!AJ:AJ)+SUMIF('Budget-ACPLHK'!$A:$A,$A169,'Budget-ACPLHK'!AJ:AJ)+SUMIF('Budget-ACPSZL'!$A:$A,$A169,'Budget-ACPSZL'!AJ:AJ)+SUMIF('Budget-ACPLSZ'!$A:$A,$A169,'Budget-ACPLSZ'!AJ:AJ)+SUMIF('Budget-ACPLGZ'!$A:$A,$A169,'Budget-ACPLGZ'!AJ:AJ)+SUMIF('Budget-Yixing'!$A:$A,$A169,'Budget-Yixing'!AJ:AJ)</f>
        <v>0</v>
      </c>
      <c r="AK169" s="688">
        <f t="shared" ca="1" si="54"/>
        <v>0</v>
      </c>
    </row>
    <row r="170" spans="1:37" ht="13.5" customHeight="1">
      <c r="A170" s="713" t="s">
        <v>1939</v>
      </c>
      <c r="B170" s="687" t="str">
        <f>VLOOKUP(A170,Account!A:B,2,0)</f>
        <v>和谐天明投资管理(北京)有限公司</v>
      </c>
      <c r="C170" s="687"/>
      <c r="D170" s="676"/>
      <c r="E170" s="676" t="e">
        <f t="shared" si="49"/>
        <v>#N/A</v>
      </c>
      <c r="F170" s="676" t="e">
        <f t="shared" si="50"/>
        <v>#N/A</v>
      </c>
      <c r="G170" s="676"/>
      <c r="H170" s="676" t="e">
        <f t="shared" ca="1" si="52"/>
        <v>#N/A</v>
      </c>
      <c r="I170" s="676" t="e">
        <f t="shared" ca="1" si="53"/>
        <v>#N/A</v>
      </c>
      <c r="K170" s="676">
        <f ca="1">SUMIF('Budget-ACPL'!$A:$A,$A170,'Budget-ACPL'!K:K)+SUMIF('Budget-ACPLHK'!$A:$A,$A170,'Budget-ACPLHK'!K:K)+SUMIF('Budget-ACPSZL'!$A:$A,$A170,'Budget-ACPSZL'!K:K)+SUMIF('Budget-ACPLSZ'!$A:$A,$A170,'Budget-ACPLSZ'!K:K)+SUMIF('Budget-ACPLGZ'!$A:$A,$A170,'Budget-ACPLGZ'!K:K)+SUMIF('Budget-Yixing'!$A:$A,$A170,'Budget-Yixing'!K:K)</f>
        <v>47350.68</v>
      </c>
      <c r="L170" s="676">
        <f ca="1">SUMIF('Budget-ACPL'!$A:$A,$A170,'Budget-ACPL'!L:L)+SUMIF('Budget-ACPLHK'!$A:$A,$A170,'Budget-ACPLHK'!L:L)+SUMIF('Budget-ACPSZL'!$A:$A,$A170,'Budget-ACPSZL'!L:L)+SUMIF('Budget-ACPLSZ'!$A:$A,$A170,'Budget-ACPLSZ'!L:L)+SUMIF('Budget-ACPLGZ'!$A:$A,$A170,'Budget-ACPLGZ'!L:L)+SUMIF('Budget-Yixing'!$A:$A,$A170,'Budget-Yixing'!L:L)</f>
        <v>44589.04</v>
      </c>
      <c r="M170" s="676">
        <f ca="1">SUMIF('Budget-ACPL'!$A:$A,$A170,'Budget-ACPL'!M:M)+SUMIF('Budget-ACPLHK'!$A:$A,$A170,'Budget-ACPLHK'!M:M)+SUMIF('Budget-ACPSZL'!$A:$A,$A170,'Budget-ACPSZL'!M:M)+SUMIF('Budget-ACPLSZ'!$A:$A,$A170,'Budget-ACPLSZ'!M:M)+SUMIF('Budget-ACPLGZ'!$A:$A,$A170,'Budget-ACPLGZ'!M:M)+SUMIF('Budget-Yixing'!$A:$A,$A170,'Budget-Yixing'!M:M)</f>
        <v>44589.04</v>
      </c>
      <c r="N170" s="676">
        <f ca="1">SUMIF('Budget-ACPL'!$A:$A,$A170,'Budget-ACPL'!N:N)+SUMIF('Budget-ACPLHK'!$A:$A,$A170,'Budget-ACPLHK'!N:N)+SUMIF('Budget-ACPSZL'!$A:$A,$A170,'Budget-ACPSZL'!N:N)+SUMIF('Budget-ACPLSZ'!$A:$A,$A170,'Budget-ACPLSZ'!N:N)+SUMIF('Budget-ACPLGZ'!$A:$A,$A170,'Budget-ACPLGZ'!N:N)+SUMIF('Budget-Yixing'!$A:$A,$A170,'Budget-Yixing'!N:N)</f>
        <v>0</v>
      </c>
      <c r="O170" s="676">
        <f ca="1">SUMIF('Budget-ACPL'!$A:$A,$A170,'Budget-ACPL'!O:O)+SUMIF('Budget-ACPLHK'!$A:$A,$A170,'Budget-ACPLHK'!O:O)+SUMIF('Budget-ACPSZL'!$A:$A,$A170,'Budget-ACPSZL'!O:O)+SUMIF('Budget-ACPLSZ'!$A:$A,$A170,'Budget-ACPLSZ'!O:O)+SUMIF('Budget-ACPLGZ'!$A:$A,$A170,'Budget-ACPLGZ'!O:O)+SUMIF('Budget-Yixing'!$A:$A,$A170,'Budget-Yixing'!O:O)</f>
        <v>0</v>
      </c>
      <c r="P170" s="676">
        <f ca="1">SUMIF('Budget-ACPL'!$A:$A,$A170,'Budget-ACPL'!P:P)+SUMIF('Budget-ACPLHK'!$A:$A,$A170,'Budget-ACPLHK'!P:P)+SUMIF('Budget-ACPSZL'!$A:$A,$A170,'Budget-ACPSZL'!P:P)+SUMIF('Budget-ACPLSZ'!$A:$A,$A170,'Budget-ACPLSZ'!P:P)+SUMIF('Budget-ACPLGZ'!$A:$A,$A170,'Budget-ACPLGZ'!P:P)+SUMIF('Budget-Yixing'!$A:$A,$A170,'Budget-Yixing'!P:P)</f>
        <v>0</v>
      </c>
      <c r="Q170" s="676">
        <f ca="1">SUMIF('Budget-ACPL'!$A:$A,$A170,'Budget-ACPL'!Q:Q)+SUMIF('Budget-ACPLHK'!$A:$A,$A170,'Budget-ACPLHK'!Q:Q)+SUMIF('Budget-ACPSZL'!$A:$A,$A170,'Budget-ACPSZL'!Q:Q)+SUMIF('Budget-ACPLSZ'!$A:$A,$A170,'Budget-ACPLSZ'!Q:Q)+SUMIF('Budget-ACPLGZ'!$A:$A,$A170,'Budget-ACPLGZ'!Q:Q)+SUMIF('Budget-Yixing'!$A:$A,$A170,'Budget-Yixing'!Q:Q)</f>
        <v>0</v>
      </c>
      <c r="R170" s="676">
        <f ca="1">SUMIF('Budget-ACPL'!$A:$A,$A170,'Budget-ACPL'!R:R)+SUMIF('Budget-ACPLHK'!$A:$A,$A170,'Budget-ACPLHK'!R:R)+SUMIF('Budget-ACPSZL'!$A:$A,$A170,'Budget-ACPSZL'!R:R)+SUMIF('Budget-ACPLSZ'!$A:$A,$A170,'Budget-ACPLSZ'!R:R)+SUMIF('Budget-ACPLGZ'!$A:$A,$A170,'Budget-ACPLGZ'!R:R)+SUMIF('Budget-Yixing'!$A:$A,$A170,'Budget-Yixing'!R:R)</f>
        <v>0</v>
      </c>
      <c r="S170" s="676">
        <f ca="1">SUMIF('Budget-ACPL'!$A:$A,$A170,'Budget-ACPL'!S:S)+SUMIF('Budget-ACPLHK'!$A:$A,$A170,'Budget-ACPLHK'!S:S)+SUMIF('Budget-ACPSZL'!$A:$A,$A170,'Budget-ACPSZL'!S:S)+SUMIF('Budget-ACPLSZ'!$A:$A,$A170,'Budget-ACPLSZ'!S:S)+SUMIF('Budget-ACPLGZ'!$A:$A,$A170,'Budget-ACPLGZ'!S:S)+SUMIF('Budget-Yixing'!$A:$A,$A170,'Budget-Yixing'!S:S)</f>
        <v>0</v>
      </c>
      <c r="T170" s="676">
        <f ca="1">SUMIF('Budget-ACPL'!$A:$A,$A170,'Budget-ACPL'!T:T)+SUMIF('Budget-ACPLHK'!$A:$A,$A170,'Budget-ACPLHK'!T:T)+SUMIF('Budget-ACPSZL'!$A:$A,$A170,'Budget-ACPSZL'!T:T)+SUMIF('Budget-ACPLSZ'!$A:$A,$A170,'Budget-ACPLSZ'!T:T)+SUMIF('Budget-ACPLGZ'!$A:$A,$A170,'Budget-ACPLGZ'!T:T)+SUMIF('Budget-Yixing'!$A:$A,$A170,'Budget-Yixing'!T:T)</f>
        <v>0</v>
      </c>
      <c r="U170" s="676">
        <f ca="1">SUMIF('Budget-ACPL'!$A:$A,$A170,'Budget-ACPL'!U:U)+SUMIF('Budget-ACPLHK'!$A:$A,$A170,'Budget-ACPLHK'!U:U)+SUMIF('Budget-ACPSZL'!$A:$A,$A170,'Budget-ACPSZL'!U:U)+SUMIF('Budget-ACPLSZ'!$A:$A,$A170,'Budget-ACPLSZ'!U:U)+SUMIF('Budget-ACPLGZ'!$A:$A,$A170,'Budget-ACPLGZ'!U:U)+SUMIF('Budget-Yixing'!$A:$A,$A170,'Budget-Yixing'!U:U)</f>
        <v>0</v>
      </c>
      <c r="V170" s="676">
        <f ca="1">SUMIF('Budget-ACPL'!$A:$A,$A170,'Budget-ACPL'!V:V)+SUMIF('Budget-ACPLHK'!$A:$A,$A170,'Budget-ACPLHK'!V:V)+SUMIF('Budget-ACPSZL'!$A:$A,$A170,'Budget-ACPSZL'!V:V)+SUMIF('Budget-ACPLSZ'!$A:$A,$A170,'Budget-ACPLSZ'!V:V)+SUMIF('Budget-ACPLGZ'!$A:$A,$A170,'Budget-ACPLGZ'!V:V)+SUMIF('Budget-Yixing'!$A:$A,$A170,'Budget-Yixing'!V:V)</f>
        <v>0</v>
      </c>
      <c r="W170" s="676"/>
      <c r="Y170" s="688">
        <f ca="1">SUMIF('Budget-ACPL'!$A:$A,$A170,'Budget-ACPL'!Y:Y)+SUMIF('Budget-ACPLHK'!$A:$A,$A170,'Budget-ACPLHK'!Y:Y)+SUMIF('Budget-ACPSZL'!$A:$A,$A170,'Budget-ACPSZL'!Y:Y)+SUMIF('Budget-ACPLSZ'!$A:$A,$A170,'Budget-ACPLSZ'!Y:Y)+SUMIF('Budget-ACPLGZ'!$A:$A,$A170,'Budget-ACPLGZ'!Y:Y)+SUMIF('Budget-Yixing'!$A:$A,$A170,'Budget-Yixing'!Y:Y)</f>
        <v>0</v>
      </c>
      <c r="Z170" s="688">
        <f ca="1">SUMIF('Budget-ACPL'!$A:$A,$A170,'Budget-ACPL'!Z:Z)+SUMIF('Budget-ACPLHK'!$A:$A,$A170,'Budget-ACPLHK'!Z:Z)+SUMIF('Budget-ACPSZL'!$A:$A,$A170,'Budget-ACPSZL'!Z:Z)+SUMIF('Budget-ACPLSZ'!$A:$A,$A170,'Budget-ACPLSZ'!Z:Z)+SUMIF('Budget-ACPLGZ'!$A:$A,$A170,'Budget-ACPLGZ'!Z:Z)+SUMIF('Budget-Yixing'!$A:$A,$A170,'Budget-Yixing'!Z:Z)</f>
        <v>0</v>
      </c>
      <c r="AA170" s="688">
        <f ca="1">SUMIF('Budget-ACPL'!$A:$A,$A170,'Budget-ACPL'!AA:AA)+SUMIF('Budget-ACPLHK'!$A:$A,$A170,'Budget-ACPLHK'!AA:AA)+SUMIF('Budget-ACPSZL'!$A:$A,$A170,'Budget-ACPSZL'!AA:AA)+SUMIF('Budget-ACPLSZ'!$A:$A,$A170,'Budget-ACPLSZ'!AA:AA)+SUMIF('Budget-ACPLGZ'!$A:$A,$A170,'Budget-ACPLGZ'!AA:AA)+SUMIF('Budget-Yixing'!$A:$A,$A170,'Budget-Yixing'!AA:AA)</f>
        <v>0</v>
      </c>
      <c r="AB170" s="688">
        <f ca="1">SUMIF('Budget-ACPL'!$A:$A,$A170,'Budget-ACPL'!AB:AB)+SUMIF('Budget-ACPLHK'!$A:$A,$A170,'Budget-ACPLHK'!AB:AB)+SUMIF('Budget-ACPSZL'!$A:$A,$A170,'Budget-ACPSZL'!AB:AB)+SUMIF('Budget-ACPLSZ'!$A:$A,$A170,'Budget-ACPLSZ'!AB:AB)+SUMIF('Budget-ACPLGZ'!$A:$A,$A170,'Budget-ACPLGZ'!AB:AB)+SUMIF('Budget-Yixing'!$A:$A,$A170,'Budget-Yixing'!AB:AB)</f>
        <v>0</v>
      </c>
      <c r="AC170" s="688">
        <f ca="1">SUMIF('Budget-ACPL'!$A:$A,$A170,'Budget-ACPL'!AC:AC)+SUMIF('Budget-ACPLHK'!$A:$A,$A170,'Budget-ACPLHK'!AC:AC)+SUMIF('Budget-ACPSZL'!$A:$A,$A170,'Budget-ACPSZL'!AC:AC)+SUMIF('Budget-ACPLSZ'!$A:$A,$A170,'Budget-ACPLSZ'!AC:AC)+SUMIF('Budget-ACPLGZ'!$A:$A,$A170,'Budget-ACPLGZ'!AC:AC)+SUMIF('Budget-Yixing'!$A:$A,$A170,'Budget-Yixing'!AC:AC)</f>
        <v>0</v>
      </c>
      <c r="AD170" s="688">
        <f ca="1">SUMIF('Budget-ACPL'!$A:$A,$A170,'Budget-ACPL'!AD:AD)+SUMIF('Budget-ACPLHK'!$A:$A,$A170,'Budget-ACPLHK'!AD:AD)+SUMIF('Budget-ACPSZL'!$A:$A,$A170,'Budget-ACPSZL'!AD:AD)+SUMIF('Budget-ACPLSZ'!$A:$A,$A170,'Budget-ACPLSZ'!AD:AD)+SUMIF('Budget-ACPLGZ'!$A:$A,$A170,'Budget-ACPLGZ'!AD:AD)+SUMIF('Budget-Yixing'!$A:$A,$A170,'Budget-Yixing'!AD:AD)</f>
        <v>0</v>
      </c>
      <c r="AE170" s="688">
        <f ca="1">SUMIF('Budget-ACPL'!$A:$A,$A170,'Budget-ACPL'!AE:AE)+SUMIF('Budget-ACPLHK'!$A:$A,$A170,'Budget-ACPLHK'!AE:AE)+SUMIF('Budget-ACPSZL'!$A:$A,$A170,'Budget-ACPSZL'!AE:AE)+SUMIF('Budget-ACPLSZ'!$A:$A,$A170,'Budget-ACPLSZ'!AE:AE)+SUMIF('Budget-ACPLGZ'!$A:$A,$A170,'Budget-ACPLGZ'!AE:AE)+SUMIF('Budget-Yixing'!$A:$A,$A170,'Budget-Yixing'!AE:AE)</f>
        <v>0</v>
      </c>
      <c r="AF170" s="688">
        <f ca="1">SUMIF('Budget-ACPL'!$A:$A,$A170,'Budget-ACPL'!AF:AF)+SUMIF('Budget-ACPLHK'!$A:$A,$A170,'Budget-ACPLHK'!AF:AF)+SUMIF('Budget-ACPSZL'!$A:$A,$A170,'Budget-ACPSZL'!AF:AF)+SUMIF('Budget-ACPLSZ'!$A:$A,$A170,'Budget-ACPLSZ'!AF:AF)+SUMIF('Budget-ACPLGZ'!$A:$A,$A170,'Budget-ACPLGZ'!AF:AF)+SUMIF('Budget-Yixing'!$A:$A,$A170,'Budget-Yixing'!AF:AF)</f>
        <v>4832.88</v>
      </c>
      <c r="AG170" s="688">
        <f ca="1">SUMIF('Budget-ACPL'!$A:$A,$A170,'Budget-ACPL'!AG:AG)+SUMIF('Budget-ACPLHK'!$A:$A,$A170,'Budget-ACPLHK'!AG:AG)+SUMIF('Budget-ACPSZL'!$A:$A,$A170,'Budget-ACPSZL'!AG:AG)+SUMIF('Budget-ACPLSZ'!$A:$A,$A170,'Budget-ACPLSZ'!AG:AG)+SUMIF('Budget-ACPLGZ'!$A:$A,$A170,'Budget-ACPLGZ'!AG:AG)+SUMIF('Budget-Yixing'!$A:$A,$A170,'Budget-Yixing'!AG:AG)</f>
        <v>10356.16</v>
      </c>
      <c r="AH170" s="688">
        <f ca="1">SUMIF('Budget-ACPL'!$A:$A,$A170,'Budget-ACPL'!AH:AH)+SUMIF('Budget-ACPLHK'!$A:$A,$A170,'Budget-ACPLHK'!AH:AH)+SUMIF('Budget-ACPSZL'!$A:$A,$A170,'Budget-ACPSZL'!AH:AH)+SUMIF('Budget-ACPLSZ'!$A:$A,$A170,'Budget-ACPLSZ'!AH:AH)+SUMIF('Budget-ACPLGZ'!$A:$A,$A170,'Budget-ACPLGZ'!AH:AH)+SUMIF('Budget-Yixing'!$A:$A,$A170,'Budget-Yixing'!AH:AH)</f>
        <v>10701.37</v>
      </c>
      <c r="AI170" s="688">
        <f ca="1">SUMIF('Budget-ACPL'!$A:$A,$A170,'Budget-ACPL'!AI:AI)+SUMIF('Budget-ACPLHK'!$A:$A,$A170,'Budget-ACPLHK'!AI:AI)+SUMIF('Budget-ACPSZL'!$A:$A,$A170,'Budget-ACPSZL'!AI:AI)+SUMIF('Budget-ACPLSZ'!$A:$A,$A170,'Budget-ACPLSZ'!AI:AI)+SUMIF('Budget-ACPLGZ'!$A:$A,$A170,'Budget-ACPLGZ'!AI:AI)+SUMIF('Budget-Yixing'!$A:$A,$A170,'Budget-Yixing'!AI:AI)</f>
        <v>10356.16</v>
      </c>
      <c r="AJ170" s="688">
        <f ca="1">SUMIF('Budget-ACPL'!$A:$A,$A170,'Budget-ACPL'!AJ:AJ)+SUMIF('Budget-ACPLHK'!$A:$A,$A170,'Budget-ACPLHK'!AJ:AJ)+SUMIF('Budget-ACPSZL'!$A:$A,$A170,'Budget-ACPSZL'!AJ:AJ)+SUMIF('Budget-ACPLSZ'!$A:$A,$A170,'Budget-ACPLSZ'!AJ:AJ)+SUMIF('Budget-ACPLGZ'!$A:$A,$A170,'Budget-ACPLGZ'!AJ:AJ)+SUMIF('Budget-Yixing'!$A:$A,$A170,'Budget-Yixing'!AJ:AJ)</f>
        <v>10701.37</v>
      </c>
      <c r="AK170" s="688">
        <f t="shared" ca="1" si="54"/>
        <v>46947.94000000001</v>
      </c>
    </row>
    <row r="171" spans="1:37" ht="13.5" hidden="1" customHeight="1">
      <c r="A171" s="713" t="s">
        <v>1942</v>
      </c>
      <c r="B171" s="687" t="str">
        <f>VLOOKUP(A171,Account!A:B,2,0)</f>
        <v>其他</v>
      </c>
      <c r="C171" s="687">
        <f>VLOOKUP(A171,Account!A:F,4,0)</f>
        <v>0</v>
      </c>
      <c r="D171" s="676">
        <f t="shared" ref="D171:D183" ca="1" si="56">INDEX($K171:$W171,1,MATCH(D$6,$K$6:$W$6))</f>
        <v>0</v>
      </c>
      <c r="E171" s="676" t="e">
        <f t="shared" si="49"/>
        <v>#N/A</v>
      </c>
      <c r="F171" s="676" t="e">
        <f t="shared" ca="1" si="50"/>
        <v>#N/A</v>
      </c>
      <c r="G171" s="676">
        <f ca="1">SUM($K171:OFFSET($K171,0,MATCH(G$6,$K$6:$W$6)-1))</f>
        <v>0</v>
      </c>
      <c r="H171" s="676" t="e">
        <f t="shared" ca="1" si="52"/>
        <v>#N/A</v>
      </c>
      <c r="I171" s="676" t="e">
        <f t="shared" ca="1" si="53"/>
        <v>#N/A</v>
      </c>
      <c r="K171" s="676">
        <f ca="1">SUMIF('Budget-ACPL'!$A:$A,$A171,'Budget-ACPL'!K:K)+SUMIF('Budget-ACPLHK'!$A:$A,$A171,'Budget-ACPLHK'!K:K)+SUMIF('Budget-ACPSZL'!$A:$A,$A171,'Budget-ACPSZL'!K:K)+SUMIF('Budget-ACPLSZ'!$A:$A,$A171,'Budget-ACPLSZ'!K:K)+SUMIF('Budget-ACPLGZ'!$A:$A,$A171,'Budget-ACPLGZ'!K:K)+SUMIF('Budget-Yixing'!$A:$A,$A171,'Budget-Yixing'!K:K)</f>
        <v>0</v>
      </c>
      <c r="L171" s="676">
        <f ca="1">SUMIF('Budget-ACPL'!$A:$A,$A171,'Budget-ACPL'!L:L)+SUMIF('Budget-ACPLHK'!$A:$A,$A171,'Budget-ACPLHK'!L:L)+SUMIF('Budget-ACPSZL'!$A:$A,$A171,'Budget-ACPSZL'!L:L)+SUMIF('Budget-ACPLSZ'!$A:$A,$A171,'Budget-ACPLSZ'!L:L)+SUMIF('Budget-ACPLGZ'!$A:$A,$A171,'Budget-ACPLGZ'!L:L)+SUMIF('Budget-Yixing'!$A:$A,$A171,'Budget-Yixing'!L:L)</f>
        <v>0</v>
      </c>
      <c r="M171" s="676">
        <f ca="1">SUMIF('Budget-ACPL'!$A:$A,$A171,'Budget-ACPL'!M:M)+SUMIF('Budget-ACPLHK'!$A:$A,$A171,'Budget-ACPLHK'!M:M)+SUMIF('Budget-ACPSZL'!$A:$A,$A171,'Budget-ACPSZL'!M:M)+SUMIF('Budget-ACPLSZ'!$A:$A,$A171,'Budget-ACPLSZ'!M:M)+SUMIF('Budget-ACPLGZ'!$A:$A,$A171,'Budget-ACPLGZ'!M:M)+SUMIF('Budget-Yixing'!$A:$A,$A171,'Budget-Yixing'!M:M)</f>
        <v>0</v>
      </c>
      <c r="N171" s="676">
        <f ca="1">SUMIF('Budget-ACPL'!$A:$A,$A171,'Budget-ACPL'!N:N)+SUMIF('Budget-ACPLHK'!$A:$A,$A171,'Budget-ACPLHK'!N:N)+SUMIF('Budget-ACPSZL'!$A:$A,$A171,'Budget-ACPSZL'!N:N)+SUMIF('Budget-ACPLSZ'!$A:$A,$A171,'Budget-ACPLSZ'!N:N)+SUMIF('Budget-ACPLGZ'!$A:$A,$A171,'Budget-ACPLGZ'!N:N)+SUMIF('Budget-Yixing'!$A:$A,$A171,'Budget-Yixing'!N:N)</f>
        <v>0</v>
      </c>
      <c r="O171" s="676">
        <f ca="1">SUMIF('Budget-ACPL'!$A:$A,$A171,'Budget-ACPL'!O:O)+SUMIF('Budget-ACPLHK'!$A:$A,$A171,'Budget-ACPLHK'!O:O)+SUMIF('Budget-ACPSZL'!$A:$A,$A171,'Budget-ACPSZL'!O:O)+SUMIF('Budget-ACPLSZ'!$A:$A,$A171,'Budget-ACPLSZ'!O:O)+SUMIF('Budget-ACPLGZ'!$A:$A,$A171,'Budget-ACPLGZ'!O:O)+SUMIF('Budget-Yixing'!$A:$A,$A171,'Budget-Yixing'!O:O)</f>
        <v>0</v>
      </c>
      <c r="P171" s="676">
        <f ca="1">SUMIF('Budget-ACPL'!$A:$A,$A171,'Budget-ACPL'!P:P)+SUMIF('Budget-ACPLHK'!$A:$A,$A171,'Budget-ACPLHK'!P:P)+SUMIF('Budget-ACPSZL'!$A:$A,$A171,'Budget-ACPSZL'!P:P)+SUMIF('Budget-ACPLSZ'!$A:$A,$A171,'Budget-ACPLSZ'!P:P)+SUMIF('Budget-ACPLGZ'!$A:$A,$A171,'Budget-ACPLGZ'!P:P)+SUMIF('Budget-Yixing'!$A:$A,$A171,'Budget-Yixing'!P:P)</f>
        <v>0</v>
      </c>
      <c r="Q171" s="676">
        <f ca="1">SUMIF('Budget-ACPL'!$A:$A,$A171,'Budget-ACPL'!Q:Q)+SUMIF('Budget-ACPLHK'!$A:$A,$A171,'Budget-ACPLHK'!Q:Q)+SUMIF('Budget-ACPSZL'!$A:$A,$A171,'Budget-ACPSZL'!Q:Q)+SUMIF('Budget-ACPLSZ'!$A:$A,$A171,'Budget-ACPLSZ'!Q:Q)+SUMIF('Budget-ACPLGZ'!$A:$A,$A171,'Budget-ACPLGZ'!Q:Q)+SUMIF('Budget-Yixing'!$A:$A,$A171,'Budget-Yixing'!Q:Q)</f>
        <v>0</v>
      </c>
      <c r="R171" s="676">
        <f ca="1">SUMIF('Budget-ACPL'!$A:$A,$A171,'Budget-ACPL'!R:R)+SUMIF('Budget-ACPLHK'!$A:$A,$A171,'Budget-ACPLHK'!R:R)+SUMIF('Budget-ACPSZL'!$A:$A,$A171,'Budget-ACPSZL'!R:R)+SUMIF('Budget-ACPLSZ'!$A:$A,$A171,'Budget-ACPLSZ'!R:R)+SUMIF('Budget-ACPLGZ'!$A:$A,$A171,'Budget-ACPLGZ'!R:R)+SUMIF('Budget-Yixing'!$A:$A,$A171,'Budget-Yixing'!R:R)</f>
        <v>0</v>
      </c>
      <c r="S171" s="676">
        <f ca="1">SUMIF('Budget-ACPL'!$A:$A,$A171,'Budget-ACPL'!S:S)+SUMIF('Budget-ACPLHK'!$A:$A,$A171,'Budget-ACPLHK'!S:S)+SUMIF('Budget-ACPSZL'!$A:$A,$A171,'Budget-ACPSZL'!S:S)+SUMIF('Budget-ACPLSZ'!$A:$A,$A171,'Budget-ACPLSZ'!S:S)+SUMIF('Budget-ACPLGZ'!$A:$A,$A171,'Budget-ACPLGZ'!S:S)+SUMIF('Budget-Yixing'!$A:$A,$A171,'Budget-Yixing'!S:S)</f>
        <v>0</v>
      </c>
      <c r="T171" s="676">
        <f ca="1">SUMIF('Budget-ACPL'!$A:$A,$A171,'Budget-ACPL'!T:T)+SUMIF('Budget-ACPLHK'!$A:$A,$A171,'Budget-ACPLHK'!T:T)+SUMIF('Budget-ACPSZL'!$A:$A,$A171,'Budget-ACPSZL'!T:T)+SUMIF('Budget-ACPLSZ'!$A:$A,$A171,'Budget-ACPLSZ'!T:T)+SUMIF('Budget-ACPLGZ'!$A:$A,$A171,'Budget-ACPLGZ'!T:T)+SUMIF('Budget-Yixing'!$A:$A,$A171,'Budget-Yixing'!T:T)</f>
        <v>0</v>
      </c>
      <c r="U171" s="676">
        <f ca="1">SUMIF('Budget-ACPL'!$A:$A,$A171,'Budget-ACPL'!U:U)+SUMIF('Budget-ACPLHK'!$A:$A,$A171,'Budget-ACPLHK'!U:U)+SUMIF('Budget-ACPSZL'!$A:$A,$A171,'Budget-ACPSZL'!U:U)+SUMIF('Budget-ACPLSZ'!$A:$A,$A171,'Budget-ACPLSZ'!U:U)+SUMIF('Budget-ACPLGZ'!$A:$A,$A171,'Budget-ACPLGZ'!U:U)+SUMIF('Budget-Yixing'!$A:$A,$A171,'Budget-Yixing'!U:U)</f>
        <v>0</v>
      </c>
      <c r="V171" s="676">
        <f ca="1">SUMIF('Budget-ACPL'!$A:$A,$A171,'Budget-ACPL'!V:V)+SUMIF('Budget-ACPLHK'!$A:$A,$A171,'Budget-ACPLHK'!V:V)+SUMIF('Budget-ACPSZL'!$A:$A,$A171,'Budget-ACPSZL'!V:V)+SUMIF('Budget-ACPLSZ'!$A:$A,$A171,'Budget-ACPLSZ'!V:V)+SUMIF('Budget-ACPLGZ'!$A:$A,$A171,'Budget-ACPLGZ'!V:V)+SUMIF('Budget-Yixing'!$A:$A,$A171,'Budget-Yixing'!V:V)</f>
        <v>0</v>
      </c>
      <c r="W171" s="676">
        <f ca="1">SUM(K171:V171)</f>
        <v>0</v>
      </c>
      <c r="Y171" s="688">
        <f ca="1">SUMIF('Budget-ACPL'!$A:$A,$A171,'Budget-ACPL'!Y:Y)+SUMIF('Budget-ACPLHK'!$A:$A,$A171,'Budget-ACPLHK'!Y:Y)+SUMIF('Budget-ACPSZL'!$A:$A,$A171,'Budget-ACPSZL'!Y:Y)+SUMIF('Budget-ACPLSZ'!$A:$A,$A171,'Budget-ACPLSZ'!Y:Y)+SUMIF('Budget-ACPLGZ'!$A:$A,$A171,'Budget-ACPLGZ'!Y:Y)+SUMIF('Budget-Yixing'!$A:$A,$A171,'Budget-Yixing'!Y:Y)</f>
        <v>0</v>
      </c>
      <c r="Z171" s="688">
        <f ca="1">SUMIF('Budget-ACPL'!$A:$A,$A171,'Budget-ACPL'!Z:Z)+SUMIF('Budget-ACPLHK'!$A:$A,$A171,'Budget-ACPLHK'!Z:Z)+SUMIF('Budget-ACPSZL'!$A:$A,$A171,'Budget-ACPSZL'!Z:Z)+SUMIF('Budget-ACPLSZ'!$A:$A,$A171,'Budget-ACPLSZ'!Z:Z)+SUMIF('Budget-ACPLGZ'!$A:$A,$A171,'Budget-ACPLGZ'!Z:Z)+SUMIF('Budget-Yixing'!$A:$A,$A171,'Budget-Yixing'!Z:Z)</f>
        <v>0</v>
      </c>
      <c r="AA171" s="688">
        <f ca="1">SUMIF('Budget-ACPL'!$A:$A,$A171,'Budget-ACPL'!AA:AA)+SUMIF('Budget-ACPLHK'!$A:$A,$A171,'Budget-ACPLHK'!AA:AA)+SUMIF('Budget-ACPSZL'!$A:$A,$A171,'Budget-ACPSZL'!AA:AA)+SUMIF('Budget-ACPLSZ'!$A:$A,$A171,'Budget-ACPLSZ'!AA:AA)+SUMIF('Budget-ACPLGZ'!$A:$A,$A171,'Budget-ACPLGZ'!AA:AA)+SUMIF('Budget-Yixing'!$A:$A,$A171,'Budget-Yixing'!AA:AA)</f>
        <v>0</v>
      </c>
      <c r="AB171" s="688">
        <f ca="1">SUMIF('Budget-ACPL'!$A:$A,$A171,'Budget-ACPL'!AB:AB)+SUMIF('Budget-ACPLHK'!$A:$A,$A171,'Budget-ACPLHK'!AB:AB)+SUMIF('Budget-ACPSZL'!$A:$A,$A171,'Budget-ACPSZL'!AB:AB)+SUMIF('Budget-ACPLSZ'!$A:$A,$A171,'Budget-ACPLSZ'!AB:AB)+SUMIF('Budget-ACPLGZ'!$A:$A,$A171,'Budget-ACPLGZ'!AB:AB)+SUMIF('Budget-Yixing'!$A:$A,$A171,'Budget-Yixing'!AB:AB)</f>
        <v>0</v>
      </c>
      <c r="AC171" s="688">
        <f ca="1">SUMIF('Budget-ACPL'!$A:$A,$A171,'Budget-ACPL'!AC:AC)+SUMIF('Budget-ACPLHK'!$A:$A,$A171,'Budget-ACPLHK'!AC:AC)+SUMIF('Budget-ACPSZL'!$A:$A,$A171,'Budget-ACPSZL'!AC:AC)+SUMIF('Budget-ACPLSZ'!$A:$A,$A171,'Budget-ACPLSZ'!AC:AC)+SUMIF('Budget-ACPLGZ'!$A:$A,$A171,'Budget-ACPLGZ'!AC:AC)+SUMIF('Budget-Yixing'!$A:$A,$A171,'Budget-Yixing'!AC:AC)</f>
        <v>0</v>
      </c>
      <c r="AD171" s="688">
        <f ca="1">SUMIF('Budget-ACPL'!$A:$A,$A171,'Budget-ACPL'!AD:AD)+SUMIF('Budget-ACPLHK'!$A:$A,$A171,'Budget-ACPLHK'!AD:AD)+SUMIF('Budget-ACPSZL'!$A:$A,$A171,'Budget-ACPSZL'!AD:AD)+SUMIF('Budget-ACPLSZ'!$A:$A,$A171,'Budget-ACPLSZ'!AD:AD)+SUMIF('Budget-ACPLGZ'!$A:$A,$A171,'Budget-ACPLGZ'!AD:AD)+SUMIF('Budget-Yixing'!$A:$A,$A171,'Budget-Yixing'!AD:AD)</f>
        <v>0</v>
      </c>
      <c r="AE171" s="688">
        <f ca="1">SUMIF('Budget-ACPL'!$A:$A,$A171,'Budget-ACPL'!AE:AE)+SUMIF('Budget-ACPLHK'!$A:$A,$A171,'Budget-ACPLHK'!AE:AE)+SUMIF('Budget-ACPSZL'!$A:$A,$A171,'Budget-ACPSZL'!AE:AE)+SUMIF('Budget-ACPLSZ'!$A:$A,$A171,'Budget-ACPLSZ'!AE:AE)+SUMIF('Budget-ACPLGZ'!$A:$A,$A171,'Budget-ACPLGZ'!AE:AE)+SUMIF('Budget-Yixing'!$A:$A,$A171,'Budget-Yixing'!AE:AE)</f>
        <v>0</v>
      </c>
      <c r="AF171" s="688">
        <f ca="1">SUMIF('Budget-ACPL'!$A:$A,$A171,'Budget-ACPL'!AF:AF)+SUMIF('Budget-ACPLHK'!$A:$A,$A171,'Budget-ACPLHK'!AF:AF)+SUMIF('Budget-ACPSZL'!$A:$A,$A171,'Budget-ACPSZL'!AF:AF)+SUMIF('Budget-ACPLSZ'!$A:$A,$A171,'Budget-ACPLSZ'!AF:AF)+SUMIF('Budget-ACPLGZ'!$A:$A,$A171,'Budget-ACPLGZ'!AF:AF)+SUMIF('Budget-Yixing'!$A:$A,$A171,'Budget-Yixing'!AF:AF)</f>
        <v>0</v>
      </c>
      <c r="AG171" s="688">
        <f ca="1">SUMIF('Budget-ACPL'!$A:$A,$A171,'Budget-ACPL'!AG:AG)+SUMIF('Budget-ACPLHK'!$A:$A,$A171,'Budget-ACPLHK'!AG:AG)+SUMIF('Budget-ACPSZL'!$A:$A,$A171,'Budget-ACPSZL'!AG:AG)+SUMIF('Budget-ACPLSZ'!$A:$A,$A171,'Budget-ACPLSZ'!AG:AG)+SUMIF('Budget-ACPLGZ'!$A:$A,$A171,'Budget-ACPLGZ'!AG:AG)+SUMIF('Budget-Yixing'!$A:$A,$A171,'Budget-Yixing'!AG:AG)</f>
        <v>0</v>
      </c>
      <c r="AH171" s="688">
        <f ca="1">SUMIF('Budget-ACPL'!$A:$A,$A171,'Budget-ACPL'!AH:AH)+SUMIF('Budget-ACPLHK'!$A:$A,$A171,'Budget-ACPLHK'!AH:AH)+SUMIF('Budget-ACPSZL'!$A:$A,$A171,'Budget-ACPSZL'!AH:AH)+SUMIF('Budget-ACPLSZ'!$A:$A,$A171,'Budget-ACPLSZ'!AH:AH)+SUMIF('Budget-ACPLGZ'!$A:$A,$A171,'Budget-ACPLGZ'!AH:AH)+SUMIF('Budget-Yixing'!$A:$A,$A171,'Budget-Yixing'!AH:AH)</f>
        <v>0</v>
      </c>
      <c r="AI171" s="688">
        <f ca="1">SUMIF('Budget-ACPL'!$A:$A,$A171,'Budget-ACPL'!AI:AI)+SUMIF('Budget-ACPLHK'!$A:$A,$A171,'Budget-ACPLHK'!AI:AI)+SUMIF('Budget-ACPSZL'!$A:$A,$A171,'Budget-ACPSZL'!AI:AI)+SUMIF('Budget-ACPLSZ'!$A:$A,$A171,'Budget-ACPLSZ'!AI:AI)+SUMIF('Budget-ACPLGZ'!$A:$A,$A171,'Budget-ACPLGZ'!AI:AI)+SUMIF('Budget-Yixing'!$A:$A,$A171,'Budget-Yixing'!AI:AI)</f>
        <v>0</v>
      </c>
      <c r="AJ171" s="688">
        <f ca="1">SUMIF('Budget-ACPL'!$A:$A,$A171,'Budget-ACPL'!AJ:AJ)+SUMIF('Budget-ACPLHK'!$A:$A,$A171,'Budget-ACPLHK'!AJ:AJ)+SUMIF('Budget-ACPSZL'!$A:$A,$A171,'Budget-ACPSZL'!AJ:AJ)+SUMIF('Budget-ACPLSZ'!$A:$A,$A171,'Budget-ACPLSZ'!AJ:AJ)+SUMIF('Budget-ACPLGZ'!$A:$A,$A171,'Budget-ACPLGZ'!AJ:AJ)+SUMIF('Budget-Yixing'!$A:$A,$A171,'Budget-Yixing'!AJ:AJ)</f>
        <v>0</v>
      </c>
      <c r="AK171" s="688">
        <f t="shared" ca="1" si="54"/>
        <v>0</v>
      </c>
    </row>
    <row r="172" spans="1:37" ht="13.5" customHeight="1">
      <c r="A172" s="713"/>
      <c r="B172" s="649" t="s">
        <v>2091</v>
      </c>
      <c r="C172" s="649"/>
      <c r="D172" s="674">
        <f t="shared" ca="1" si="56"/>
        <v>50905.543975300003</v>
      </c>
      <c r="E172" s="674" t="e">
        <f t="shared" si="49"/>
        <v>#N/A</v>
      </c>
      <c r="F172" s="674" t="e">
        <f t="shared" ca="1" si="50"/>
        <v>#N/A</v>
      </c>
      <c r="G172" s="674">
        <f ca="1">SUM($K172:OFFSET($K172,0,MATCH(G$6,$K$6:$W$6)-1))</f>
        <v>50905.543975300003</v>
      </c>
      <c r="H172" s="674" t="e">
        <f t="shared" ca="1" si="52"/>
        <v>#N/A</v>
      </c>
      <c r="I172" s="674" t="e">
        <f t="shared" ref="I172:I183" ca="1" si="57">G172-H172</f>
        <v>#N/A</v>
      </c>
      <c r="K172" s="719">
        <f ca="1">SUM(K156:K157,K165:K167,K171)</f>
        <v>50905.543975300003</v>
      </c>
      <c r="L172" s="719">
        <f t="shared" ref="L172:W172" ca="1" si="58">SUM(L156:L157,L165:L167,L171)</f>
        <v>47823.992330000001</v>
      </c>
      <c r="M172" s="719">
        <f t="shared" ca="1" si="58"/>
        <v>47529.813918</v>
      </c>
      <c r="N172" s="719">
        <f t="shared" ca="1" si="58"/>
        <v>2645.589798</v>
      </c>
      <c r="O172" s="719">
        <f t="shared" ca="1" si="58"/>
        <v>2349.3911479999997</v>
      </c>
      <c r="P172" s="719">
        <f t="shared" ca="1" si="58"/>
        <v>2052.177968</v>
      </c>
      <c r="Q172" s="719">
        <f t="shared" ca="1" si="58"/>
        <v>1753.9414360000001</v>
      </c>
      <c r="R172" s="719">
        <f t="shared" ca="1" si="58"/>
        <v>1454.6903739999998</v>
      </c>
      <c r="S172" s="719">
        <f t="shared" ca="1" si="58"/>
        <v>1088.877322</v>
      </c>
      <c r="T172" s="719">
        <f t="shared" ca="1" si="58"/>
        <v>852.88</v>
      </c>
      <c r="U172" s="719">
        <f t="shared" ca="1" si="58"/>
        <v>852.88</v>
      </c>
      <c r="V172" s="719">
        <f t="shared" ca="1" si="58"/>
        <v>852.88</v>
      </c>
      <c r="W172" s="719">
        <f t="shared" ca="1" si="58"/>
        <v>160162.65826930001</v>
      </c>
      <c r="Y172" s="677">
        <f t="shared" ref="Y172:AK172" ca="1" si="59">SUM(Y156,Y157,Y165:Y167,Y171)</f>
        <v>-413509.12000000005</v>
      </c>
      <c r="Z172" s="677">
        <f t="shared" ca="1" si="59"/>
        <v>222374.17000000004</v>
      </c>
      <c r="AA172" s="677">
        <f t="shared" ca="1" si="59"/>
        <v>5736.3500000000058</v>
      </c>
      <c r="AB172" s="677">
        <f t="shared" ca="1" si="59"/>
        <v>216563.38999999998</v>
      </c>
      <c r="AC172" s="677">
        <f t="shared" ca="1" si="59"/>
        <v>-816313.76999999979</v>
      </c>
      <c r="AD172" s="677">
        <f t="shared" ca="1" si="59"/>
        <v>-287067.63000000006</v>
      </c>
      <c r="AE172" s="677">
        <f t="shared" ca="1" si="59"/>
        <v>-29115.570000000003</v>
      </c>
      <c r="AF172" s="677">
        <f t="shared" ca="1" si="59"/>
        <v>215031.04999999996</v>
      </c>
      <c r="AG172" s="677">
        <f t="shared" ca="1" si="59"/>
        <v>112577.44</v>
      </c>
      <c r="AH172" s="677">
        <f t="shared" ca="1" si="59"/>
        <v>16487.129999999994</v>
      </c>
      <c r="AI172" s="677">
        <f t="shared" ca="1" si="59"/>
        <v>-153411.34</v>
      </c>
      <c r="AJ172" s="677">
        <f t="shared" ca="1" si="59"/>
        <v>-293031.2</v>
      </c>
      <c r="AK172" s="677">
        <f t="shared" ca="1" si="59"/>
        <v>-1203679.1000000001</v>
      </c>
    </row>
    <row r="173" spans="1:37" ht="13.5" customHeight="1">
      <c r="A173" s="713"/>
      <c r="B173" s="649"/>
      <c r="C173" s="649"/>
      <c r="D173" s="674"/>
      <c r="E173" s="674"/>
      <c r="F173" s="674"/>
      <c r="G173" s="674"/>
      <c r="H173" s="674"/>
      <c r="I173" s="674"/>
      <c r="K173" s="674"/>
      <c r="L173" s="674"/>
      <c r="M173" s="674"/>
      <c r="N173" s="674"/>
      <c r="O173" s="674"/>
      <c r="P173" s="674"/>
      <c r="Q173" s="674"/>
      <c r="R173" s="674"/>
      <c r="S173" s="674"/>
      <c r="T173" s="674"/>
      <c r="U173" s="674"/>
      <c r="V173" s="674"/>
      <c r="W173" s="674"/>
    </row>
    <row r="174" spans="1:37" ht="13.5" hidden="1" customHeight="1">
      <c r="A174" s="713" t="s">
        <v>1944</v>
      </c>
      <c r="B174" s="687" t="str">
        <f>VLOOKUP(A174,Account!A:B,2,0)</f>
        <v>其他业务收入</v>
      </c>
      <c r="C174" s="687">
        <f>VLOOKUP(A174,Account!A:F,4,0)</f>
        <v>0</v>
      </c>
      <c r="D174" s="676">
        <f t="shared" ca="1" si="56"/>
        <v>0</v>
      </c>
      <c r="E174" s="676" t="e">
        <f t="shared" ref="E174:E183" si="60">INDEX($Y174:$AJ174,1,MATCH(E$6,$Y$6:$AJ$6))</f>
        <v>#N/A</v>
      </c>
      <c r="F174" s="676" t="e">
        <f t="shared" ref="F174:F183" ca="1" si="61">D174-E174</f>
        <v>#N/A</v>
      </c>
      <c r="G174" s="676">
        <f t="shared" ref="G174:G183" ca="1" si="62">SUM($K174:OFFSET($K174,0,MATCH(G$6,$K$6:$W$6)-1))</f>
        <v>0</v>
      </c>
      <c r="H174" s="676" t="e">
        <f t="shared" ref="H174:H183" ca="1" si="63">SUM($Y174:OFFSET($Y174,0,MATCH(H$6,$Y$6:$AJ$6)-1))</f>
        <v>#N/A</v>
      </c>
      <c r="I174" s="676" t="e">
        <f t="shared" ca="1" si="57"/>
        <v>#N/A</v>
      </c>
      <c r="K174" s="676">
        <f ca="1">SUMIF('Budget-ACPL'!$A:$A,$A174,'Budget-ACPL'!K:K)+SUMIF('Budget-ACPLHK'!$A:$A,$A174,'Budget-ACPLHK'!K:K)+SUMIF('Budget-ACPSZL'!$A:$A,$A174,'Budget-ACPSZL'!K:K)+SUMIF('Budget-ACPLSZ'!$A:$A,$A174,'Budget-ACPLSZ'!K:K)+SUMIF('Budget-ACPLGZ'!$A:$A,$A174,'Budget-ACPLGZ'!K:K)+SUMIF('Budget-Yixing'!$A:$A,$A174,'Budget-Yixing'!K:K)</f>
        <v>0</v>
      </c>
      <c r="L174" s="676">
        <f ca="1">SUMIF('Budget-ACPL'!$A:$A,$A174,'Budget-ACPL'!L:L)+SUMIF('Budget-ACPLHK'!$A:$A,$A174,'Budget-ACPLHK'!L:L)+SUMIF('Budget-ACPSZL'!$A:$A,$A174,'Budget-ACPSZL'!L:L)+SUMIF('Budget-ACPLSZ'!$A:$A,$A174,'Budget-ACPLSZ'!L:L)+SUMIF('Budget-ACPLGZ'!$A:$A,$A174,'Budget-ACPLGZ'!L:L)+SUMIF('Budget-Yixing'!$A:$A,$A174,'Budget-Yixing'!L:L)</f>
        <v>0</v>
      </c>
      <c r="M174" s="676">
        <f ca="1">SUMIF('Budget-ACPL'!$A:$A,$A174,'Budget-ACPL'!M:M)+SUMIF('Budget-ACPLHK'!$A:$A,$A174,'Budget-ACPLHK'!M:M)+SUMIF('Budget-ACPSZL'!$A:$A,$A174,'Budget-ACPSZL'!M:M)+SUMIF('Budget-ACPLSZ'!$A:$A,$A174,'Budget-ACPLSZ'!M:M)+SUMIF('Budget-ACPLGZ'!$A:$A,$A174,'Budget-ACPLGZ'!M:M)+SUMIF('Budget-Yixing'!$A:$A,$A174,'Budget-Yixing'!M:M)</f>
        <v>0</v>
      </c>
      <c r="N174" s="676">
        <f ca="1">SUMIF('Budget-ACPL'!$A:$A,$A174,'Budget-ACPL'!N:N)+SUMIF('Budget-ACPLHK'!$A:$A,$A174,'Budget-ACPLHK'!N:N)+SUMIF('Budget-ACPSZL'!$A:$A,$A174,'Budget-ACPSZL'!N:N)+SUMIF('Budget-ACPLSZ'!$A:$A,$A174,'Budget-ACPLSZ'!N:N)+SUMIF('Budget-ACPLGZ'!$A:$A,$A174,'Budget-ACPLGZ'!N:N)+SUMIF('Budget-Yixing'!$A:$A,$A174,'Budget-Yixing'!N:N)</f>
        <v>0</v>
      </c>
      <c r="O174" s="676">
        <f ca="1">SUMIF('Budget-ACPL'!$A:$A,$A174,'Budget-ACPL'!O:O)+SUMIF('Budget-ACPLHK'!$A:$A,$A174,'Budget-ACPLHK'!O:O)+SUMIF('Budget-ACPSZL'!$A:$A,$A174,'Budget-ACPSZL'!O:O)+SUMIF('Budget-ACPLSZ'!$A:$A,$A174,'Budget-ACPLSZ'!O:O)+SUMIF('Budget-ACPLGZ'!$A:$A,$A174,'Budget-ACPLGZ'!O:O)+SUMIF('Budget-Yixing'!$A:$A,$A174,'Budget-Yixing'!O:O)</f>
        <v>0</v>
      </c>
      <c r="P174" s="676">
        <f ca="1">SUMIF('Budget-ACPL'!$A:$A,$A174,'Budget-ACPL'!P:P)+SUMIF('Budget-ACPLHK'!$A:$A,$A174,'Budget-ACPLHK'!P:P)+SUMIF('Budget-ACPSZL'!$A:$A,$A174,'Budget-ACPSZL'!P:P)+SUMIF('Budget-ACPLSZ'!$A:$A,$A174,'Budget-ACPLSZ'!P:P)+SUMIF('Budget-ACPLGZ'!$A:$A,$A174,'Budget-ACPLGZ'!P:P)+SUMIF('Budget-Yixing'!$A:$A,$A174,'Budget-Yixing'!P:P)</f>
        <v>0</v>
      </c>
      <c r="Q174" s="676">
        <f ca="1">SUMIF('Budget-ACPL'!$A:$A,$A174,'Budget-ACPL'!Q:Q)+SUMIF('Budget-ACPLHK'!$A:$A,$A174,'Budget-ACPLHK'!Q:Q)+SUMIF('Budget-ACPSZL'!$A:$A,$A174,'Budget-ACPSZL'!Q:Q)+SUMIF('Budget-ACPLSZ'!$A:$A,$A174,'Budget-ACPLSZ'!Q:Q)+SUMIF('Budget-ACPLGZ'!$A:$A,$A174,'Budget-ACPLGZ'!Q:Q)+SUMIF('Budget-Yixing'!$A:$A,$A174,'Budget-Yixing'!Q:Q)</f>
        <v>0</v>
      </c>
      <c r="R174" s="676">
        <f ca="1">SUMIF('Budget-ACPL'!$A:$A,$A174,'Budget-ACPL'!R:R)+SUMIF('Budget-ACPLHK'!$A:$A,$A174,'Budget-ACPLHK'!R:R)+SUMIF('Budget-ACPSZL'!$A:$A,$A174,'Budget-ACPSZL'!R:R)+SUMIF('Budget-ACPLSZ'!$A:$A,$A174,'Budget-ACPLSZ'!R:R)+SUMIF('Budget-ACPLGZ'!$A:$A,$A174,'Budget-ACPLGZ'!R:R)+SUMIF('Budget-Yixing'!$A:$A,$A174,'Budget-Yixing'!R:R)</f>
        <v>0</v>
      </c>
      <c r="S174" s="676">
        <f ca="1">SUMIF('Budget-ACPL'!$A:$A,$A174,'Budget-ACPL'!S:S)+SUMIF('Budget-ACPLHK'!$A:$A,$A174,'Budget-ACPLHK'!S:S)+SUMIF('Budget-ACPSZL'!$A:$A,$A174,'Budget-ACPSZL'!S:S)+SUMIF('Budget-ACPLSZ'!$A:$A,$A174,'Budget-ACPLSZ'!S:S)+SUMIF('Budget-ACPLGZ'!$A:$A,$A174,'Budget-ACPLGZ'!S:S)+SUMIF('Budget-Yixing'!$A:$A,$A174,'Budget-Yixing'!S:S)</f>
        <v>0</v>
      </c>
      <c r="T174" s="676">
        <f ca="1">SUMIF('Budget-ACPL'!$A:$A,$A174,'Budget-ACPL'!T:T)+SUMIF('Budget-ACPLHK'!$A:$A,$A174,'Budget-ACPLHK'!T:T)+SUMIF('Budget-ACPSZL'!$A:$A,$A174,'Budget-ACPSZL'!T:T)+SUMIF('Budget-ACPLSZ'!$A:$A,$A174,'Budget-ACPLSZ'!T:T)+SUMIF('Budget-ACPLGZ'!$A:$A,$A174,'Budget-ACPLGZ'!T:T)+SUMIF('Budget-Yixing'!$A:$A,$A174,'Budget-Yixing'!T:T)</f>
        <v>0</v>
      </c>
      <c r="U174" s="676">
        <f ca="1">SUMIF('Budget-ACPL'!$A:$A,$A174,'Budget-ACPL'!U:U)+SUMIF('Budget-ACPLHK'!$A:$A,$A174,'Budget-ACPLHK'!U:U)+SUMIF('Budget-ACPSZL'!$A:$A,$A174,'Budget-ACPSZL'!U:U)+SUMIF('Budget-ACPLSZ'!$A:$A,$A174,'Budget-ACPLSZ'!U:U)+SUMIF('Budget-ACPLGZ'!$A:$A,$A174,'Budget-ACPLGZ'!U:U)+SUMIF('Budget-Yixing'!$A:$A,$A174,'Budget-Yixing'!U:U)</f>
        <v>0</v>
      </c>
      <c r="V174" s="676">
        <f ca="1">SUMIF('Budget-ACPL'!$A:$A,$A174,'Budget-ACPL'!V:V)+SUMIF('Budget-ACPLHK'!$A:$A,$A174,'Budget-ACPLHK'!V:V)+SUMIF('Budget-ACPSZL'!$A:$A,$A174,'Budget-ACPSZL'!V:V)+SUMIF('Budget-ACPLSZ'!$A:$A,$A174,'Budget-ACPLSZ'!V:V)+SUMIF('Budget-ACPLGZ'!$A:$A,$A174,'Budget-ACPLGZ'!V:V)+SUMIF('Budget-Yixing'!$A:$A,$A174,'Budget-Yixing'!V:V)</f>
        <v>0</v>
      </c>
      <c r="W174" s="676">
        <f ca="1">SUM(K174:V174)</f>
        <v>0</v>
      </c>
      <c r="Y174" s="688">
        <f ca="1">SUMIF('Budget-ACPL'!$A:$A,$A174,'Budget-ACPL'!Y:Y)+SUMIF('Budget-ACPLHK'!$A:$A,$A174,'Budget-ACPLHK'!Y:Y)+SUMIF('Budget-ACPSZL'!$A:$A,$A174,'Budget-ACPSZL'!Y:Y)+SUMIF('Budget-ACPLSZ'!$A:$A,$A174,'Budget-ACPLSZ'!Y:Y)+SUMIF('Budget-ACPLGZ'!$A:$A,$A174,'Budget-ACPLGZ'!Y:Y)+SUMIF('Budget-Yixing'!$A:$A,$A174,'Budget-Yixing'!Y:Y)</f>
        <v>0</v>
      </c>
      <c r="Z174" s="688">
        <f ca="1">SUMIF('Budget-ACPL'!$A:$A,$A174,'Budget-ACPL'!Z:Z)+SUMIF('Budget-ACPLHK'!$A:$A,$A174,'Budget-ACPLHK'!Z:Z)+SUMIF('Budget-ACPSZL'!$A:$A,$A174,'Budget-ACPSZL'!Z:Z)+SUMIF('Budget-ACPLSZ'!$A:$A,$A174,'Budget-ACPLSZ'!Z:Z)+SUMIF('Budget-ACPLGZ'!$A:$A,$A174,'Budget-ACPLGZ'!Z:Z)+SUMIF('Budget-Yixing'!$A:$A,$A174,'Budget-Yixing'!Z:Z)</f>
        <v>0</v>
      </c>
      <c r="AA174" s="688">
        <f ca="1">SUMIF('Budget-ACPL'!$A:$A,$A174,'Budget-ACPL'!AA:AA)+SUMIF('Budget-ACPLHK'!$A:$A,$A174,'Budget-ACPLHK'!AA:AA)+SUMIF('Budget-ACPSZL'!$A:$A,$A174,'Budget-ACPSZL'!AA:AA)+SUMIF('Budget-ACPLSZ'!$A:$A,$A174,'Budget-ACPLSZ'!AA:AA)+SUMIF('Budget-ACPLGZ'!$A:$A,$A174,'Budget-ACPLGZ'!AA:AA)+SUMIF('Budget-Yixing'!$A:$A,$A174,'Budget-Yixing'!AA:AA)</f>
        <v>0</v>
      </c>
      <c r="AB174" s="688">
        <f ca="1">SUMIF('Budget-ACPL'!$A:$A,$A174,'Budget-ACPL'!AB:AB)+SUMIF('Budget-ACPLHK'!$A:$A,$A174,'Budget-ACPLHK'!AB:AB)+SUMIF('Budget-ACPSZL'!$A:$A,$A174,'Budget-ACPSZL'!AB:AB)+SUMIF('Budget-ACPLSZ'!$A:$A,$A174,'Budget-ACPLSZ'!AB:AB)+SUMIF('Budget-ACPLGZ'!$A:$A,$A174,'Budget-ACPLGZ'!AB:AB)+SUMIF('Budget-Yixing'!$A:$A,$A174,'Budget-Yixing'!AB:AB)</f>
        <v>0</v>
      </c>
      <c r="AC174" s="688">
        <f ca="1">SUMIF('Budget-ACPL'!$A:$A,$A174,'Budget-ACPL'!AC:AC)+SUMIF('Budget-ACPLHK'!$A:$A,$A174,'Budget-ACPLHK'!AC:AC)+SUMIF('Budget-ACPSZL'!$A:$A,$A174,'Budget-ACPSZL'!AC:AC)+SUMIF('Budget-ACPLSZ'!$A:$A,$A174,'Budget-ACPLSZ'!AC:AC)+SUMIF('Budget-ACPLGZ'!$A:$A,$A174,'Budget-ACPLGZ'!AC:AC)+SUMIF('Budget-Yixing'!$A:$A,$A174,'Budget-Yixing'!AC:AC)</f>
        <v>0</v>
      </c>
      <c r="AD174" s="688">
        <f ca="1">SUMIF('Budget-ACPL'!$A:$A,$A174,'Budget-ACPL'!AD:AD)+SUMIF('Budget-ACPLHK'!$A:$A,$A174,'Budget-ACPLHK'!AD:AD)+SUMIF('Budget-ACPSZL'!$A:$A,$A174,'Budget-ACPSZL'!AD:AD)+SUMIF('Budget-ACPLSZ'!$A:$A,$A174,'Budget-ACPLSZ'!AD:AD)+SUMIF('Budget-ACPLGZ'!$A:$A,$A174,'Budget-ACPLGZ'!AD:AD)+SUMIF('Budget-Yixing'!$A:$A,$A174,'Budget-Yixing'!AD:AD)</f>
        <v>0</v>
      </c>
      <c r="AE174" s="688">
        <f ca="1">SUMIF('Budget-ACPL'!$A:$A,$A174,'Budget-ACPL'!AE:AE)+SUMIF('Budget-ACPLHK'!$A:$A,$A174,'Budget-ACPLHK'!AE:AE)+SUMIF('Budget-ACPSZL'!$A:$A,$A174,'Budget-ACPSZL'!AE:AE)+SUMIF('Budget-ACPLSZ'!$A:$A,$A174,'Budget-ACPLSZ'!AE:AE)+SUMIF('Budget-ACPLGZ'!$A:$A,$A174,'Budget-ACPLGZ'!AE:AE)+SUMIF('Budget-Yixing'!$A:$A,$A174,'Budget-Yixing'!AE:AE)</f>
        <v>0</v>
      </c>
      <c r="AF174" s="688">
        <f ca="1">SUMIF('Budget-ACPL'!$A:$A,$A174,'Budget-ACPL'!AF:AF)+SUMIF('Budget-ACPLHK'!$A:$A,$A174,'Budget-ACPLHK'!AF:AF)+SUMIF('Budget-ACPSZL'!$A:$A,$A174,'Budget-ACPSZL'!AF:AF)+SUMIF('Budget-ACPLSZ'!$A:$A,$A174,'Budget-ACPLSZ'!AF:AF)+SUMIF('Budget-ACPLGZ'!$A:$A,$A174,'Budget-ACPLGZ'!AF:AF)+SUMIF('Budget-Yixing'!$A:$A,$A174,'Budget-Yixing'!AF:AF)</f>
        <v>0</v>
      </c>
      <c r="AG174" s="688">
        <f ca="1">SUMIF('Budget-ACPL'!$A:$A,$A174,'Budget-ACPL'!AG:AG)+SUMIF('Budget-ACPLHK'!$A:$A,$A174,'Budget-ACPLHK'!AG:AG)+SUMIF('Budget-ACPSZL'!$A:$A,$A174,'Budget-ACPSZL'!AG:AG)+SUMIF('Budget-ACPLSZ'!$A:$A,$A174,'Budget-ACPLSZ'!AG:AG)+SUMIF('Budget-ACPLGZ'!$A:$A,$A174,'Budget-ACPLGZ'!AG:AG)+SUMIF('Budget-Yixing'!$A:$A,$A174,'Budget-Yixing'!AG:AG)</f>
        <v>0</v>
      </c>
      <c r="AH174" s="688">
        <f ca="1">SUMIF('Budget-ACPL'!$A:$A,$A174,'Budget-ACPL'!AH:AH)+SUMIF('Budget-ACPLHK'!$A:$A,$A174,'Budget-ACPLHK'!AH:AH)+SUMIF('Budget-ACPSZL'!$A:$A,$A174,'Budget-ACPSZL'!AH:AH)+SUMIF('Budget-ACPLSZ'!$A:$A,$A174,'Budget-ACPLSZ'!AH:AH)+SUMIF('Budget-ACPLGZ'!$A:$A,$A174,'Budget-ACPLGZ'!AH:AH)+SUMIF('Budget-Yixing'!$A:$A,$A174,'Budget-Yixing'!AH:AH)</f>
        <v>0</v>
      </c>
      <c r="AI174" s="688">
        <f ca="1">SUMIF('Budget-ACPL'!$A:$A,$A174,'Budget-ACPL'!AI:AI)+SUMIF('Budget-ACPLHK'!$A:$A,$A174,'Budget-ACPLHK'!AI:AI)+SUMIF('Budget-ACPSZL'!$A:$A,$A174,'Budget-ACPSZL'!AI:AI)+SUMIF('Budget-ACPLSZ'!$A:$A,$A174,'Budget-ACPLSZ'!AI:AI)+SUMIF('Budget-ACPLGZ'!$A:$A,$A174,'Budget-ACPLGZ'!AI:AI)+SUMIF('Budget-Yixing'!$A:$A,$A174,'Budget-Yixing'!AI:AI)</f>
        <v>0</v>
      </c>
      <c r="AJ174" s="688">
        <f ca="1">SUMIF('Budget-ACPL'!$A:$A,$A174,'Budget-ACPL'!AJ:AJ)+SUMIF('Budget-ACPLHK'!$A:$A,$A174,'Budget-ACPLHK'!AJ:AJ)+SUMIF('Budget-ACPSZL'!$A:$A,$A174,'Budget-ACPSZL'!AJ:AJ)+SUMIF('Budget-ACPLSZ'!$A:$A,$A174,'Budget-ACPLSZ'!AJ:AJ)+SUMIF('Budget-ACPLGZ'!$A:$A,$A174,'Budget-ACPLGZ'!AJ:AJ)+SUMIF('Budget-Yixing'!$A:$A,$A174,'Budget-Yixing'!AJ:AJ)</f>
        <v>0</v>
      </c>
      <c r="AK174" s="688">
        <f t="shared" ref="AK174:AK182" ca="1" si="64">SUM(Y174:AJ174)</f>
        <v>0</v>
      </c>
    </row>
    <row r="175" spans="1:37" ht="13.5" hidden="1" customHeight="1">
      <c r="A175" s="713" t="s">
        <v>1948</v>
      </c>
      <c r="B175" s="687" t="str">
        <f>VLOOKUP(A175,Account!A:B,2,0)</f>
        <v>公允价值变动损益</v>
      </c>
      <c r="C175" s="687">
        <f>VLOOKUP(A175,Account!A:F,4,0)</f>
        <v>0</v>
      </c>
      <c r="D175" s="676">
        <f t="shared" ca="1" si="56"/>
        <v>0</v>
      </c>
      <c r="E175" s="676" t="e">
        <f t="shared" si="60"/>
        <v>#N/A</v>
      </c>
      <c r="F175" s="676" t="e">
        <f t="shared" ca="1" si="61"/>
        <v>#N/A</v>
      </c>
      <c r="G175" s="676">
        <f t="shared" ca="1" si="62"/>
        <v>0</v>
      </c>
      <c r="H175" s="676" t="e">
        <f t="shared" ca="1" si="63"/>
        <v>#N/A</v>
      </c>
      <c r="I175" s="676" t="e">
        <f t="shared" ca="1" si="57"/>
        <v>#N/A</v>
      </c>
      <c r="K175" s="676">
        <f ca="1">SUMIF('Budget-ACPL'!$A:$A,$A175,'Budget-ACPL'!K:K)+SUMIF('Budget-ACPLHK'!$A:$A,$A175,'Budget-ACPLHK'!K:K)+SUMIF('Budget-ACPSZL'!$A:$A,$A175,'Budget-ACPSZL'!K:K)+SUMIF('Budget-ACPLSZ'!$A:$A,$A175,'Budget-ACPLSZ'!K:K)+SUMIF('Budget-ACPLGZ'!$A:$A,$A175,'Budget-ACPLGZ'!K:K)+SUMIF('Budget-Yixing'!$A:$A,$A175,'Budget-Yixing'!K:K)</f>
        <v>0</v>
      </c>
      <c r="L175" s="676">
        <f ca="1">SUMIF('Budget-ACPL'!$A:$A,$A175,'Budget-ACPL'!L:L)+SUMIF('Budget-ACPLHK'!$A:$A,$A175,'Budget-ACPLHK'!L:L)+SUMIF('Budget-ACPSZL'!$A:$A,$A175,'Budget-ACPSZL'!L:L)+SUMIF('Budget-ACPLSZ'!$A:$A,$A175,'Budget-ACPLSZ'!L:L)+SUMIF('Budget-ACPLGZ'!$A:$A,$A175,'Budget-ACPLGZ'!L:L)+SUMIF('Budget-Yixing'!$A:$A,$A175,'Budget-Yixing'!L:L)</f>
        <v>0</v>
      </c>
      <c r="M175" s="676">
        <f ca="1">SUMIF('Budget-ACPL'!$A:$A,$A175,'Budget-ACPL'!M:M)+SUMIF('Budget-ACPLHK'!$A:$A,$A175,'Budget-ACPLHK'!M:M)+SUMIF('Budget-ACPSZL'!$A:$A,$A175,'Budget-ACPSZL'!M:M)+SUMIF('Budget-ACPLSZ'!$A:$A,$A175,'Budget-ACPLSZ'!M:M)+SUMIF('Budget-ACPLGZ'!$A:$A,$A175,'Budget-ACPLGZ'!M:M)+SUMIF('Budget-Yixing'!$A:$A,$A175,'Budget-Yixing'!M:M)</f>
        <v>0</v>
      </c>
      <c r="N175" s="676">
        <f ca="1">SUMIF('Budget-ACPL'!$A:$A,$A175,'Budget-ACPL'!N:N)+SUMIF('Budget-ACPLHK'!$A:$A,$A175,'Budget-ACPLHK'!N:N)+SUMIF('Budget-ACPSZL'!$A:$A,$A175,'Budget-ACPSZL'!N:N)+SUMIF('Budget-ACPLSZ'!$A:$A,$A175,'Budget-ACPLSZ'!N:N)+SUMIF('Budget-ACPLGZ'!$A:$A,$A175,'Budget-ACPLGZ'!N:N)+SUMIF('Budget-Yixing'!$A:$A,$A175,'Budget-Yixing'!N:N)</f>
        <v>0</v>
      </c>
      <c r="O175" s="676">
        <f ca="1">SUMIF('Budget-ACPL'!$A:$A,$A175,'Budget-ACPL'!O:O)+SUMIF('Budget-ACPLHK'!$A:$A,$A175,'Budget-ACPLHK'!O:O)+SUMIF('Budget-ACPSZL'!$A:$A,$A175,'Budget-ACPSZL'!O:O)+SUMIF('Budget-ACPLSZ'!$A:$A,$A175,'Budget-ACPLSZ'!O:O)+SUMIF('Budget-ACPLGZ'!$A:$A,$A175,'Budget-ACPLGZ'!O:O)+SUMIF('Budget-Yixing'!$A:$A,$A175,'Budget-Yixing'!O:O)</f>
        <v>0</v>
      </c>
      <c r="P175" s="676">
        <f ca="1">SUMIF('Budget-ACPL'!$A:$A,$A175,'Budget-ACPL'!P:P)+SUMIF('Budget-ACPLHK'!$A:$A,$A175,'Budget-ACPLHK'!P:P)+SUMIF('Budget-ACPSZL'!$A:$A,$A175,'Budget-ACPSZL'!P:P)+SUMIF('Budget-ACPLSZ'!$A:$A,$A175,'Budget-ACPLSZ'!P:P)+SUMIF('Budget-ACPLGZ'!$A:$A,$A175,'Budget-ACPLGZ'!P:P)+SUMIF('Budget-Yixing'!$A:$A,$A175,'Budget-Yixing'!P:P)</f>
        <v>0</v>
      </c>
      <c r="Q175" s="676">
        <f ca="1">SUMIF('Budget-ACPL'!$A:$A,$A175,'Budget-ACPL'!Q:Q)+SUMIF('Budget-ACPLHK'!$A:$A,$A175,'Budget-ACPLHK'!Q:Q)+SUMIF('Budget-ACPSZL'!$A:$A,$A175,'Budget-ACPSZL'!Q:Q)+SUMIF('Budget-ACPLSZ'!$A:$A,$A175,'Budget-ACPLSZ'!Q:Q)+SUMIF('Budget-ACPLGZ'!$A:$A,$A175,'Budget-ACPLGZ'!Q:Q)+SUMIF('Budget-Yixing'!$A:$A,$A175,'Budget-Yixing'!Q:Q)</f>
        <v>0</v>
      </c>
      <c r="R175" s="676">
        <f ca="1">SUMIF('Budget-ACPL'!$A:$A,$A175,'Budget-ACPL'!R:R)+SUMIF('Budget-ACPLHK'!$A:$A,$A175,'Budget-ACPLHK'!R:R)+SUMIF('Budget-ACPSZL'!$A:$A,$A175,'Budget-ACPSZL'!R:R)+SUMIF('Budget-ACPLSZ'!$A:$A,$A175,'Budget-ACPLSZ'!R:R)+SUMIF('Budget-ACPLGZ'!$A:$A,$A175,'Budget-ACPLGZ'!R:R)+SUMIF('Budget-Yixing'!$A:$A,$A175,'Budget-Yixing'!R:R)</f>
        <v>0</v>
      </c>
      <c r="S175" s="676">
        <f ca="1">SUMIF('Budget-ACPL'!$A:$A,$A175,'Budget-ACPL'!S:S)+SUMIF('Budget-ACPLHK'!$A:$A,$A175,'Budget-ACPLHK'!S:S)+SUMIF('Budget-ACPSZL'!$A:$A,$A175,'Budget-ACPSZL'!S:S)+SUMIF('Budget-ACPLSZ'!$A:$A,$A175,'Budget-ACPLSZ'!S:S)+SUMIF('Budget-ACPLGZ'!$A:$A,$A175,'Budget-ACPLGZ'!S:S)+SUMIF('Budget-Yixing'!$A:$A,$A175,'Budget-Yixing'!S:S)</f>
        <v>0</v>
      </c>
      <c r="T175" s="676">
        <f ca="1">SUMIF('Budget-ACPL'!$A:$A,$A175,'Budget-ACPL'!T:T)+SUMIF('Budget-ACPLHK'!$A:$A,$A175,'Budget-ACPLHK'!T:T)+SUMIF('Budget-ACPSZL'!$A:$A,$A175,'Budget-ACPSZL'!T:T)+SUMIF('Budget-ACPLSZ'!$A:$A,$A175,'Budget-ACPLSZ'!T:T)+SUMIF('Budget-ACPLGZ'!$A:$A,$A175,'Budget-ACPLGZ'!T:T)+SUMIF('Budget-Yixing'!$A:$A,$A175,'Budget-Yixing'!T:T)</f>
        <v>0</v>
      </c>
      <c r="U175" s="676">
        <f ca="1">SUMIF('Budget-ACPL'!$A:$A,$A175,'Budget-ACPL'!U:U)+SUMIF('Budget-ACPLHK'!$A:$A,$A175,'Budget-ACPLHK'!U:U)+SUMIF('Budget-ACPSZL'!$A:$A,$A175,'Budget-ACPSZL'!U:U)+SUMIF('Budget-ACPLSZ'!$A:$A,$A175,'Budget-ACPLSZ'!U:U)+SUMIF('Budget-ACPLGZ'!$A:$A,$A175,'Budget-ACPLGZ'!U:U)+SUMIF('Budget-Yixing'!$A:$A,$A175,'Budget-Yixing'!U:U)</f>
        <v>0</v>
      </c>
      <c r="V175" s="676">
        <f ca="1">SUMIF('Budget-ACPL'!$A:$A,$A175,'Budget-ACPL'!V:V)+SUMIF('Budget-ACPLHK'!$A:$A,$A175,'Budget-ACPLHK'!V:V)+SUMIF('Budget-ACPSZL'!$A:$A,$A175,'Budget-ACPSZL'!V:V)+SUMIF('Budget-ACPLSZ'!$A:$A,$A175,'Budget-ACPLSZ'!V:V)+SUMIF('Budget-ACPLGZ'!$A:$A,$A175,'Budget-ACPLGZ'!V:V)+SUMIF('Budget-Yixing'!$A:$A,$A175,'Budget-Yixing'!V:V)</f>
        <v>0</v>
      </c>
      <c r="W175" s="676">
        <f t="shared" ref="W175:W182" ca="1" si="65">SUM(K175:V175)</f>
        <v>0</v>
      </c>
      <c r="Y175" s="688">
        <f ca="1">SUMIF('Budget-ACPL'!$A:$A,$A175,'Budget-ACPL'!Y:Y)+SUMIF('Budget-ACPLHK'!$A:$A,$A175,'Budget-ACPLHK'!Y:Y)+SUMIF('Budget-ACPSZL'!$A:$A,$A175,'Budget-ACPSZL'!Y:Y)+SUMIF('Budget-ACPLSZ'!$A:$A,$A175,'Budget-ACPLSZ'!Y:Y)+SUMIF('Budget-ACPLGZ'!$A:$A,$A175,'Budget-ACPLGZ'!Y:Y)+SUMIF('Budget-Yixing'!$A:$A,$A175,'Budget-Yixing'!Y:Y)</f>
        <v>0</v>
      </c>
      <c r="Z175" s="688">
        <f ca="1">SUMIF('Budget-ACPL'!$A:$A,$A175,'Budget-ACPL'!Z:Z)+SUMIF('Budget-ACPLHK'!$A:$A,$A175,'Budget-ACPLHK'!Z:Z)+SUMIF('Budget-ACPSZL'!$A:$A,$A175,'Budget-ACPSZL'!Z:Z)+SUMIF('Budget-ACPLSZ'!$A:$A,$A175,'Budget-ACPLSZ'!Z:Z)+SUMIF('Budget-ACPLGZ'!$A:$A,$A175,'Budget-ACPLGZ'!Z:Z)+SUMIF('Budget-Yixing'!$A:$A,$A175,'Budget-Yixing'!Z:Z)</f>
        <v>0</v>
      </c>
      <c r="AA175" s="688">
        <f ca="1">SUMIF('Budget-ACPL'!$A:$A,$A175,'Budget-ACPL'!AA:AA)+SUMIF('Budget-ACPLHK'!$A:$A,$A175,'Budget-ACPLHK'!AA:AA)+SUMIF('Budget-ACPSZL'!$A:$A,$A175,'Budget-ACPSZL'!AA:AA)+SUMIF('Budget-ACPLSZ'!$A:$A,$A175,'Budget-ACPLSZ'!AA:AA)+SUMIF('Budget-ACPLGZ'!$A:$A,$A175,'Budget-ACPLGZ'!AA:AA)+SUMIF('Budget-Yixing'!$A:$A,$A175,'Budget-Yixing'!AA:AA)</f>
        <v>0</v>
      </c>
      <c r="AB175" s="688">
        <f ca="1">SUMIF('Budget-ACPL'!$A:$A,$A175,'Budget-ACPL'!AB:AB)+SUMIF('Budget-ACPLHK'!$A:$A,$A175,'Budget-ACPLHK'!AB:AB)+SUMIF('Budget-ACPSZL'!$A:$A,$A175,'Budget-ACPSZL'!AB:AB)+SUMIF('Budget-ACPLSZ'!$A:$A,$A175,'Budget-ACPLSZ'!AB:AB)+SUMIF('Budget-ACPLGZ'!$A:$A,$A175,'Budget-ACPLGZ'!AB:AB)+SUMIF('Budget-Yixing'!$A:$A,$A175,'Budget-Yixing'!AB:AB)</f>
        <v>0</v>
      </c>
      <c r="AC175" s="688">
        <f ca="1">SUMIF('Budget-ACPL'!$A:$A,$A175,'Budget-ACPL'!AC:AC)+SUMIF('Budget-ACPLHK'!$A:$A,$A175,'Budget-ACPLHK'!AC:AC)+SUMIF('Budget-ACPSZL'!$A:$A,$A175,'Budget-ACPSZL'!AC:AC)+SUMIF('Budget-ACPLSZ'!$A:$A,$A175,'Budget-ACPLSZ'!AC:AC)+SUMIF('Budget-ACPLGZ'!$A:$A,$A175,'Budget-ACPLGZ'!AC:AC)+SUMIF('Budget-Yixing'!$A:$A,$A175,'Budget-Yixing'!AC:AC)</f>
        <v>0</v>
      </c>
      <c r="AD175" s="688">
        <f ca="1">SUMIF('Budget-ACPL'!$A:$A,$A175,'Budget-ACPL'!AD:AD)+SUMIF('Budget-ACPLHK'!$A:$A,$A175,'Budget-ACPLHK'!AD:AD)+SUMIF('Budget-ACPSZL'!$A:$A,$A175,'Budget-ACPSZL'!AD:AD)+SUMIF('Budget-ACPLSZ'!$A:$A,$A175,'Budget-ACPLSZ'!AD:AD)+SUMIF('Budget-ACPLGZ'!$A:$A,$A175,'Budget-ACPLGZ'!AD:AD)+SUMIF('Budget-Yixing'!$A:$A,$A175,'Budget-Yixing'!AD:AD)</f>
        <v>0</v>
      </c>
      <c r="AE175" s="688">
        <f ca="1">SUMIF('Budget-ACPL'!$A:$A,$A175,'Budget-ACPL'!AE:AE)+SUMIF('Budget-ACPLHK'!$A:$A,$A175,'Budget-ACPLHK'!AE:AE)+SUMIF('Budget-ACPSZL'!$A:$A,$A175,'Budget-ACPSZL'!AE:AE)+SUMIF('Budget-ACPLSZ'!$A:$A,$A175,'Budget-ACPLSZ'!AE:AE)+SUMIF('Budget-ACPLGZ'!$A:$A,$A175,'Budget-ACPLGZ'!AE:AE)+SUMIF('Budget-Yixing'!$A:$A,$A175,'Budget-Yixing'!AE:AE)</f>
        <v>0</v>
      </c>
      <c r="AF175" s="688">
        <f ca="1">SUMIF('Budget-ACPL'!$A:$A,$A175,'Budget-ACPL'!AF:AF)+SUMIF('Budget-ACPLHK'!$A:$A,$A175,'Budget-ACPLHK'!AF:AF)+SUMIF('Budget-ACPSZL'!$A:$A,$A175,'Budget-ACPSZL'!AF:AF)+SUMIF('Budget-ACPLSZ'!$A:$A,$A175,'Budget-ACPLSZ'!AF:AF)+SUMIF('Budget-ACPLGZ'!$A:$A,$A175,'Budget-ACPLGZ'!AF:AF)+SUMIF('Budget-Yixing'!$A:$A,$A175,'Budget-Yixing'!AF:AF)</f>
        <v>0</v>
      </c>
      <c r="AG175" s="688">
        <f ca="1">SUMIF('Budget-ACPL'!$A:$A,$A175,'Budget-ACPL'!AG:AG)+SUMIF('Budget-ACPLHK'!$A:$A,$A175,'Budget-ACPLHK'!AG:AG)+SUMIF('Budget-ACPSZL'!$A:$A,$A175,'Budget-ACPSZL'!AG:AG)+SUMIF('Budget-ACPLSZ'!$A:$A,$A175,'Budget-ACPLSZ'!AG:AG)+SUMIF('Budget-ACPLGZ'!$A:$A,$A175,'Budget-ACPLGZ'!AG:AG)+SUMIF('Budget-Yixing'!$A:$A,$A175,'Budget-Yixing'!AG:AG)</f>
        <v>0</v>
      </c>
      <c r="AH175" s="688">
        <f ca="1">SUMIF('Budget-ACPL'!$A:$A,$A175,'Budget-ACPL'!AH:AH)+SUMIF('Budget-ACPLHK'!$A:$A,$A175,'Budget-ACPLHK'!AH:AH)+SUMIF('Budget-ACPSZL'!$A:$A,$A175,'Budget-ACPSZL'!AH:AH)+SUMIF('Budget-ACPLSZ'!$A:$A,$A175,'Budget-ACPLSZ'!AH:AH)+SUMIF('Budget-ACPLGZ'!$A:$A,$A175,'Budget-ACPLGZ'!AH:AH)+SUMIF('Budget-Yixing'!$A:$A,$A175,'Budget-Yixing'!AH:AH)</f>
        <v>0</v>
      </c>
      <c r="AI175" s="688">
        <f ca="1">SUMIF('Budget-ACPL'!$A:$A,$A175,'Budget-ACPL'!AI:AI)+SUMIF('Budget-ACPLHK'!$A:$A,$A175,'Budget-ACPLHK'!AI:AI)+SUMIF('Budget-ACPSZL'!$A:$A,$A175,'Budget-ACPSZL'!AI:AI)+SUMIF('Budget-ACPLSZ'!$A:$A,$A175,'Budget-ACPLSZ'!AI:AI)+SUMIF('Budget-ACPLGZ'!$A:$A,$A175,'Budget-ACPLGZ'!AI:AI)+SUMIF('Budget-Yixing'!$A:$A,$A175,'Budget-Yixing'!AI:AI)</f>
        <v>0</v>
      </c>
      <c r="AJ175" s="688">
        <f ca="1">SUMIF('Budget-ACPL'!$A:$A,$A175,'Budget-ACPL'!AJ:AJ)+SUMIF('Budget-ACPLHK'!$A:$A,$A175,'Budget-ACPLHK'!AJ:AJ)+SUMIF('Budget-ACPSZL'!$A:$A,$A175,'Budget-ACPSZL'!AJ:AJ)+SUMIF('Budget-ACPLSZ'!$A:$A,$A175,'Budget-ACPLSZ'!AJ:AJ)+SUMIF('Budget-ACPLGZ'!$A:$A,$A175,'Budget-ACPLGZ'!AJ:AJ)+SUMIF('Budget-Yixing'!$A:$A,$A175,'Budget-Yixing'!AJ:AJ)</f>
        <v>0</v>
      </c>
      <c r="AK175" s="688">
        <f t="shared" ca="1" si="64"/>
        <v>0</v>
      </c>
    </row>
    <row r="176" spans="1:37" ht="13.5" hidden="1" customHeight="1">
      <c r="A176" s="713" t="s">
        <v>1951</v>
      </c>
      <c r="B176" s="687" t="str">
        <f>VLOOKUP(A176,Account!A:B,2,0)</f>
        <v>投资收益</v>
      </c>
      <c r="C176" s="687" t="str">
        <f>VLOOKUP(A176,Account!A:F,4,0)</f>
        <v>Gain on investment</v>
      </c>
      <c r="D176" s="676">
        <f t="shared" ca="1" si="56"/>
        <v>0</v>
      </c>
      <c r="E176" s="676" t="e">
        <f t="shared" si="60"/>
        <v>#N/A</v>
      </c>
      <c r="F176" s="676" t="e">
        <f t="shared" ca="1" si="61"/>
        <v>#N/A</v>
      </c>
      <c r="G176" s="676">
        <f t="shared" ca="1" si="62"/>
        <v>0</v>
      </c>
      <c r="H176" s="676" t="e">
        <f t="shared" ca="1" si="63"/>
        <v>#N/A</v>
      </c>
      <c r="I176" s="676" t="e">
        <f t="shared" ca="1" si="57"/>
        <v>#N/A</v>
      </c>
      <c r="K176" s="676">
        <f ca="1">SUMIF('Budget-ACPL'!$A:$A,$A176,'Budget-ACPL'!K:K)+SUMIF('Budget-ACPLHK'!$A:$A,$A176,'Budget-ACPLHK'!K:K)+SUMIF('Budget-ACPSZL'!$A:$A,$A176,'Budget-ACPSZL'!K:K)+SUMIF('Budget-ACPLSZ'!$A:$A,$A176,'Budget-ACPLSZ'!K:K)+SUMIF('Budget-ACPLGZ'!$A:$A,$A176,'Budget-ACPLGZ'!K:K)+SUMIF('Budget-Yixing'!$A:$A,$A176,'Budget-Yixing'!K:K)</f>
        <v>0</v>
      </c>
      <c r="L176" s="676">
        <f ca="1">SUMIF('Budget-ACPL'!$A:$A,$A176,'Budget-ACPL'!L:L)+SUMIF('Budget-ACPLHK'!$A:$A,$A176,'Budget-ACPLHK'!L:L)+SUMIF('Budget-ACPSZL'!$A:$A,$A176,'Budget-ACPSZL'!L:L)+SUMIF('Budget-ACPLSZ'!$A:$A,$A176,'Budget-ACPLSZ'!L:L)+SUMIF('Budget-ACPLGZ'!$A:$A,$A176,'Budget-ACPLGZ'!L:L)+SUMIF('Budget-Yixing'!$A:$A,$A176,'Budget-Yixing'!L:L)</f>
        <v>0</v>
      </c>
      <c r="M176" s="676">
        <f ca="1">SUMIF('Budget-ACPL'!$A:$A,$A176,'Budget-ACPL'!M:M)+SUMIF('Budget-ACPLHK'!$A:$A,$A176,'Budget-ACPLHK'!M:M)+SUMIF('Budget-ACPSZL'!$A:$A,$A176,'Budget-ACPSZL'!M:M)+SUMIF('Budget-ACPLSZ'!$A:$A,$A176,'Budget-ACPLSZ'!M:M)+SUMIF('Budget-ACPLGZ'!$A:$A,$A176,'Budget-ACPLGZ'!M:M)+SUMIF('Budget-Yixing'!$A:$A,$A176,'Budget-Yixing'!M:M)</f>
        <v>0</v>
      </c>
      <c r="N176" s="676">
        <f ca="1">SUMIF('Budget-ACPL'!$A:$A,$A176,'Budget-ACPL'!N:N)+SUMIF('Budget-ACPLHK'!$A:$A,$A176,'Budget-ACPLHK'!N:N)+SUMIF('Budget-ACPSZL'!$A:$A,$A176,'Budget-ACPSZL'!N:N)+SUMIF('Budget-ACPLSZ'!$A:$A,$A176,'Budget-ACPLSZ'!N:N)+SUMIF('Budget-ACPLGZ'!$A:$A,$A176,'Budget-ACPLGZ'!N:N)+SUMIF('Budget-Yixing'!$A:$A,$A176,'Budget-Yixing'!N:N)</f>
        <v>0</v>
      </c>
      <c r="O176" s="676">
        <f ca="1">SUMIF('Budget-ACPL'!$A:$A,$A176,'Budget-ACPL'!O:O)+SUMIF('Budget-ACPLHK'!$A:$A,$A176,'Budget-ACPLHK'!O:O)+SUMIF('Budget-ACPSZL'!$A:$A,$A176,'Budget-ACPSZL'!O:O)+SUMIF('Budget-ACPLSZ'!$A:$A,$A176,'Budget-ACPLSZ'!O:O)+SUMIF('Budget-ACPLGZ'!$A:$A,$A176,'Budget-ACPLGZ'!O:O)+SUMIF('Budget-Yixing'!$A:$A,$A176,'Budget-Yixing'!O:O)</f>
        <v>0</v>
      </c>
      <c r="P176" s="676">
        <f ca="1">SUMIF('Budget-ACPL'!$A:$A,$A176,'Budget-ACPL'!P:P)+SUMIF('Budget-ACPLHK'!$A:$A,$A176,'Budget-ACPLHK'!P:P)+SUMIF('Budget-ACPSZL'!$A:$A,$A176,'Budget-ACPSZL'!P:P)+SUMIF('Budget-ACPLSZ'!$A:$A,$A176,'Budget-ACPLSZ'!P:P)+SUMIF('Budget-ACPLGZ'!$A:$A,$A176,'Budget-ACPLGZ'!P:P)+SUMIF('Budget-Yixing'!$A:$A,$A176,'Budget-Yixing'!P:P)</f>
        <v>0</v>
      </c>
      <c r="Q176" s="676">
        <f ca="1">SUMIF('Budget-ACPL'!$A:$A,$A176,'Budget-ACPL'!Q:Q)+SUMIF('Budget-ACPLHK'!$A:$A,$A176,'Budget-ACPLHK'!Q:Q)+SUMIF('Budget-ACPSZL'!$A:$A,$A176,'Budget-ACPSZL'!Q:Q)+SUMIF('Budget-ACPLSZ'!$A:$A,$A176,'Budget-ACPLSZ'!Q:Q)+SUMIF('Budget-ACPLGZ'!$A:$A,$A176,'Budget-ACPLGZ'!Q:Q)+SUMIF('Budget-Yixing'!$A:$A,$A176,'Budget-Yixing'!Q:Q)</f>
        <v>0</v>
      </c>
      <c r="R176" s="676">
        <f ca="1">SUMIF('Budget-ACPL'!$A:$A,$A176,'Budget-ACPL'!R:R)+SUMIF('Budget-ACPLHK'!$A:$A,$A176,'Budget-ACPLHK'!R:R)+SUMIF('Budget-ACPSZL'!$A:$A,$A176,'Budget-ACPSZL'!R:R)+SUMIF('Budget-ACPLSZ'!$A:$A,$A176,'Budget-ACPLSZ'!R:R)+SUMIF('Budget-ACPLGZ'!$A:$A,$A176,'Budget-ACPLGZ'!R:R)+SUMIF('Budget-Yixing'!$A:$A,$A176,'Budget-Yixing'!R:R)</f>
        <v>0</v>
      </c>
      <c r="S176" s="676">
        <f ca="1">SUMIF('Budget-ACPL'!$A:$A,$A176,'Budget-ACPL'!S:S)+SUMIF('Budget-ACPLHK'!$A:$A,$A176,'Budget-ACPLHK'!S:S)+SUMIF('Budget-ACPSZL'!$A:$A,$A176,'Budget-ACPSZL'!S:S)+SUMIF('Budget-ACPLSZ'!$A:$A,$A176,'Budget-ACPLSZ'!S:S)+SUMIF('Budget-ACPLGZ'!$A:$A,$A176,'Budget-ACPLGZ'!S:S)+SUMIF('Budget-Yixing'!$A:$A,$A176,'Budget-Yixing'!S:S)</f>
        <v>0</v>
      </c>
      <c r="T176" s="676">
        <f ca="1">SUMIF('Budget-ACPL'!$A:$A,$A176,'Budget-ACPL'!T:T)+SUMIF('Budget-ACPLHK'!$A:$A,$A176,'Budget-ACPLHK'!T:T)+SUMIF('Budget-ACPSZL'!$A:$A,$A176,'Budget-ACPSZL'!T:T)+SUMIF('Budget-ACPLSZ'!$A:$A,$A176,'Budget-ACPLSZ'!T:T)+SUMIF('Budget-ACPLGZ'!$A:$A,$A176,'Budget-ACPLGZ'!T:T)+SUMIF('Budget-Yixing'!$A:$A,$A176,'Budget-Yixing'!T:T)</f>
        <v>0</v>
      </c>
      <c r="U176" s="676">
        <f ca="1">SUMIF('Budget-ACPL'!$A:$A,$A176,'Budget-ACPL'!U:U)+SUMIF('Budget-ACPLHK'!$A:$A,$A176,'Budget-ACPLHK'!U:U)+SUMIF('Budget-ACPSZL'!$A:$A,$A176,'Budget-ACPSZL'!U:U)+SUMIF('Budget-ACPLSZ'!$A:$A,$A176,'Budget-ACPLSZ'!U:U)+SUMIF('Budget-ACPLGZ'!$A:$A,$A176,'Budget-ACPLGZ'!U:U)+SUMIF('Budget-Yixing'!$A:$A,$A176,'Budget-Yixing'!U:U)</f>
        <v>0</v>
      </c>
      <c r="V176" s="676">
        <f ca="1">SUMIF('Budget-ACPL'!$A:$A,$A176,'Budget-ACPL'!V:V)+SUMIF('Budget-ACPLHK'!$A:$A,$A176,'Budget-ACPLHK'!V:V)+SUMIF('Budget-ACPSZL'!$A:$A,$A176,'Budget-ACPSZL'!V:V)+SUMIF('Budget-ACPLSZ'!$A:$A,$A176,'Budget-ACPLSZ'!V:V)+SUMIF('Budget-ACPLGZ'!$A:$A,$A176,'Budget-ACPLGZ'!V:V)+SUMIF('Budget-Yixing'!$A:$A,$A176,'Budget-Yixing'!V:V)</f>
        <v>0</v>
      </c>
      <c r="W176" s="676">
        <f t="shared" ca="1" si="65"/>
        <v>0</v>
      </c>
      <c r="Y176" s="688">
        <f ca="1">SUMIF('Budget-ACPL'!$A:$A,$A176,'Budget-ACPL'!Y:Y)+SUMIF('Budget-ACPLHK'!$A:$A,$A176,'Budget-ACPLHK'!Y:Y)+SUMIF('Budget-ACPSZL'!$A:$A,$A176,'Budget-ACPSZL'!Y:Y)+SUMIF('Budget-ACPLSZ'!$A:$A,$A176,'Budget-ACPLSZ'!Y:Y)+SUMIF('Budget-ACPLGZ'!$A:$A,$A176,'Budget-ACPLGZ'!Y:Y)+SUMIF('Budget-Yixing'!$A:$A,$A176,'Budget-Yixing'!Y:Y)</f>
        <v>0</v>
      </c>
      <c r="Z176" s="688">
        <f ca="1">SUMIF('Budget-ACPL'!$A:$A,$A176,'Budget-ACPL'!Z:Z)+SUMIF('Budget-ACPLHK'!$A:$A,$A176,'Budget-ACPLHK'!Z:Z)+SUMIF('Budget-ACPSZL'!$A:$A,$A176,'Budget-ACPSZL'!Z:Z)+SUMIF('Budget-ACPLSZ'!$A:$A,$A176,'Budget-ACPLSZ'!Z:Z)+SUMIF('Budget-ACPLGZ'!$A:$A,$A176,'Budget-ACPLGZ'!Z:Z)+SUMIF('Budget-Yixing'!$A:$A,$A176,'Budget-Yixing'!Z:Z)</f>
        <v>0</v>
      </c>
      <c r="AA176" s="688">
        <f ca="1">SUMIF('Budget-ACPL'!$A:$A,$A176,'Budget-ACPL'!AA:AA)+SUMIF('Budget-ACPLHK'!$A:$A,$A176,'Budget-ACPLHK'!AA:AA)+SUMIF('Budget-ACPSZL'!$A:$A,$A176,'Budget-ACPSZL'!AA:AA)+SUMIF('Budget-ACPLSZ'!$A:$A,$A176,'Budget-ACPLSZ'!AA:AA)+SUMIF('Budget-ACPLGZ'!$A:$A,$A176,'Budget-ACPLGZ'!AA:AA)+SUMIF('Budget-Yixing'!$A:$A,$A176,'Budget-Yixing'!AA:AA)</f>
        <v>0</v>
      </c>
      <c r="AB176" s="688">
        <f ca="1">SUMIF('Budget-ACPL'!$A:$A,$A176,'Budget-ACPL'!AB:AB)+SUMIF('Budget-ACPLHK'!$A:$A,$A176,'Budget-ACPLHK'!AB:AB)+SUMIF('Budget-ACPSZL'!$A:$A,$A176,'Budget-ACPSZL'!AB:AB)+SUMIF('Budget-ACPLSZ'!$A:$A,$A176,'Budget-ACPLSZ'!AB:AB)+SUMIF('Budget-ACPLGZ'!$A:$A,$A176,'Budget-ACPLGZ'!AB:AB)+SUMIF('Budget-Yixing'!$A:$A,$A176,'Budget-Yixing'!AB:AB)</f>
        <v>0</v>
      </c>
      <c r="AC176" s="688">
        <f ca="1">SUMIF('Budget-ACPL'!$A:$A,$A176,'Budget-ACPL'!AC:AC)+SUMIF('Budget-ACPLHK'!$A:$A,$A176,'Budget-ACPLHK'!AC:AC)+SUMIF('Budget-ACPSZL'!$A:$A,$A176,'Budget-ACPSZL'!AC:AC)+SUMIF('Budget-ACPLSZ'!$A:$A,$A176,'Budget-ACPLSZ'!AC:AC)+SUMIF('Budget-ACPLGZ'!$A:$A,$A176,'Budget-ACPLGZ'!AC:AC)+SUMIF('Budget-Yixing'!$A:$A,$A176,'Budget-Yixing'!AC:AC)</f>
        <v>3873.49</v>
      </c>
      <c r="AD176" s="688">
        <f ca="1">SUMIF('Budget-ACPL'!$A:$A,$A176,'Budget-ACPL'!AD:AD)+SUMIF('Budget-ACPLHK'!$A:$A,$A176,'Budget-ACPLHK'!AD:AD)+SUMIF('Budget-ACPSZL'!$A:$A,$A176,'Budget-ACPSZL'!AD:AD)+SUMIF('Budget-ACPLSZ'!$A:$A,$A176,'Budget-ACPLSZ'!AD:AD)+SUMIF('Budget-ACPLGZ'!$A:$A,$A176,'Budget-ACPLGZ'!AD:AD)+SUMIF('Budget-Yixing'!$A:$A,$A176,'Budget-Yixing'!AD:AD)</f>
        <v>0</v>
      </c>
      <c r="AE176" s="688">
        <f ca="1">SUMIF('Budget-ACPL'!$A:$A,$A176,'Budget-ACPL'!AE:AE)+SUMIF('Budget-ACPLHK'!$A:$A,$A176,'Budget-ACPLHK'!AE:AE)+SUMIF('Budget-ACPSZL'!$A:$A,$A176,'Budget-ACPSZL'!AE:AE)+SUMIF('Budget-ACPLSZ'!$A:$A,$A176,'Budget-ACPLSZ'!AE:AE)+SUMIF('Budget-ACPLGZ'!$A:$A,$A176,'Budget-ACPLGZ'!AE:AE)+SUMIF('Budget-Yixing'!$A:$A,$A176,'Budget-Yixing'!AE:AE)</f>
        <v>2297.0300000000002</v>
      </c>
      <c r="AF176" s="688">
        <f ca="1">SUMIF('Budget-ACPL'!$A:$A,$A176,'Budget-ACPL'!AF:AF)+SUMIF('Budget-ACPLHK'!$A:$A,$A176,'Budget-ACPLHK'!AF:AF)+SUMIF('Budget-ACPSZL'!$A:$A,$A176,'Budget-ACPSZL'!AF:AF)+SUMIF('Budget-ACPLSZ'!$A:$A,$A176,'Budget-ACPLSZ'!AF:AF)+SUMIF('Budget-ACPLGZ'!$A:$A,$A176,'Budget-ACPLGZ'!AF:AF)+SUMIF('Budget-Yixing'!$A:$A,$A176,'Budget-Yixing'!AF:AF)</f>
        <v>0</v>
      </c>
      <c r="AG176" s="688">
        <f ca="1">SUMIF('Budget-ACPL'!$A:$A,$A176,'Budget-ACPL'!AG:AG)+SUMIF('Budget-ACPLHK'!$A:$A,$A176,'Budget-ACPLHK'!AG:AG)+SUMIF('Budget-ACPSZL'!$A:$A,$A176,'Budget-ACPSZL'!AG:AG)+SUMIF('Budget-ACPLSZ'!$A:$A,$A176,'Budget-ACPLSZ'!AG:AG)+SUMIF('Budget-ACPLGZ'!$A:$A,$A176,'Budget-ACPLGZ'!AG:AG)+SUMIF('Budget-Yixing'!$A:$A,$A176,'Budget-Yixing'!AG:AG)</f>
        <v>2250.2199999999998</v>
      </c>
      <c r="AH176" s="688">
        <f ca="1">SUMIF('Budget-ACPL'!$A:$A,$A176,'Budget-ACPL'!AH:AH)+SUMIF('Budget-ACPLHK'!$A:$A,$A176,'Budget-ACPLHK'!AH:AH)+SUMIF('Budget-ACPSZL'!$A:$A,$A176,'Budget-ACPSZL'!AH:AH)+SUMIF('Budget-ACPLSZ'!$A:$A,$A176,'Budget-ACPLSZ'!AH:AH)+SUMIF('Budget-ACPLGZ'!$A:$A,$A176,'Budget-ACPLGZ'!AH:AH)+SUMIF('Budget-Yixing'!$A:$A,$A176,'Budget-Yixing'!AH:AH)</f>
        <v>2105.1</v>
      </c>
      <c r="AI176" s="688">
        <f ca="1">SUMIF('Budget-ACPL'!$A:$A,$A176,'Budget-ACPL'!AI:AI)+SUMIF('Budget-ACPLHK'!$A:$A,$A176,'Budget-ACPLHK'!AI:AI)+SUMIF('Budget-ACPSZL'!$A:$A,$A176,'Budget-ACPSZL'!AI:AI)+SUMIF('Budget-ACPLSZ'!$A:$A,$A176,'Budget-ACPLSZ'!AI:AI)+SUMIF('Budget-ACPLGZ'!$A:$A,$A176,'Budget-ACPLGZ'!AI:AI)+SUMIF('Budget-Yixing'!$A:$A,$A176,'Budget-Yixing'!AI:AI)</f>
        <v>0</v>
      </c>
      <c r="AJ176" s="688">
        <f ca="1">SUMIF('Budget-ACPL'!$A:$A,$A176,'Budget-ACPL'!AJ:AJ)+SUMIF('Budget-ACPLHK'!$A:$A,$A176,'Budget-ACPLHK'!AJ:AJ)+SUMIF('Budget-ACPSZL'!$A:$A,$A176,'Budget-ACPSZL'!AJ:AJ)+SUMIF('Budget-ACPLSZ'!$A:$A,$A176,'Budget-ACPLSZ'!AJ:AJ)+SUMIF('Budget-ACPLGZ'!$A:$A,$A176,'Budget-ACPLGZ'!AJ:AJ)+SUMIF('Budget-Yixing'!$A:$A,$A176,'Budget-Yixing'!AJ:AJ)</f>
        <v>41018</v>
      </c>
      <c r="AK176" s="688">
        <f t="shared" ca="1" si="64"/>
        <v>51543.839999999997</v>
      </c>
    </row>
    <row r="177" spans="1:37" ht="13.5" customHeight="1">
      <c r="A177" s="716" t="s">
        <v>1955</v>
      </c>
      <c r="B177" s="717" t="str">
        <f>VLOOKUP(A177,Account!A:B,2,0)</f>
        <v>其他收益</v>
      </c>
      <c r="C177" s="687" t="str">
        <f>VLOOKUP(A177,Account!A:F,4,0)</f>
        <v>Other income</v>
      </c>
      <c r="D177" s="676">
        <f t="shared" ca="1" si="56"/>
        <v>0</v>
      </c>
      <c r="E177" s="676" t="e">
        <f t="shared" si="60"/>
        <v>#N/A</v>
      </c>
      <c r="F177" s="676" t="e">
        <f t="shared" ca="1" si="61"/>
        <v>#N/A</v>
      </c>
      <c r="G177" s="676">
        <f t="shared" ca="1" si="62"/>
        <v>0</v>
      </c>
      <c r="H177" s="676" t="e">
        <f t="shared" ca="1" si="63"/>
        <v>#N/A</v>
      </c>
      <c r="I177" s="676" t="e">
        <f t="shared" ca="1" si="57"/>
        <v>#N/A</v>
      </c>
      <c r="K177" s="676">
        <f ca="1">SUMIF('Budget-ACPL'!$A:$A,$A177,'Budget-ACPL'!K:K)+SUMIF('Budget-ACPLHK'!$A:$A,$A177,'Budget-ACPLHK'!K:K)+SUMIF('Budget-ACPSZL'!$A:$A,$A177,'Budget-ACPSZL'!K:K)+SUMIF('Budget-ACPLSZ'!$A:$A,$A177,'Budget-ACPLSZ'!K:K)+SUMIF('Budget-ACPLGZ'!$A:$A,$A177,'Budget-ACPLGZ'!K:K)+SUMIF('Budget-Yixing'!$A:$A,$A177,'Budget-Yixing'!K:K)</f>
        <v>0</v>
      </c>
      <c r="L177" s="676">
        <f ca="1">SUMIF('Budget-ACPL'!$A:$A,$A177,'Budget-ACPL'!L:L)+SUMIF('Budget-ACPLHK'!$A:$A,$A177,'Budget-ACPLHK'!L:L)+SUMIF('Budget-ACPSZL'!$A:$A,$A177,'Budget-ACPSZL'!L:L)+SUMIF('Budget-ACPLSZ'!$A:$A,$A177,'Budget-ACPLSZ'!L:L)+SUMIF('Budget-ACPLGZ'!$A:$A,$A177,'Budget-ACPLGZ'!L:L)+SUMIF('Budget-Yixing'!$A:$A,$A177,'Budget-Yixing'!L:L)</f>
        <v>0</v>
      </c>
      <c r="M177" s="676">
        <f ca="1">SUMIF('Budget-ACPL'!$A:$A,$A177,'Budget-ACPL'!M:M)+SUMIF('Budget-ACPLHK'!$A:$A,$A177,'Budget-ACPLHK'!M:M)+SUMIF('Budget-ACPSZL'!$A:$A,$A177,'Budget-ACPSZL'!M:M)+SUMIF('Budget-ACPLSZ'!$A:$A,$A177,'Budget-ACPLSZ'!M:M)+SUMIF('Budget-ACPLGZ'!$A:$A,$A177,'Budget-ACPLGZ'!M:M)+SUMIF('Budget-Yixing'!$A:$A,$A177,'Budget-Yixing'!M:M)</f>
        <v>16460</v>
      </c>
      <c r="N177" s="676">
        <f ca="1">SUMIF('Budget-ACPL'!$A:$A,$A177,'Budget-ACPL'!N:N)+SUMIF('Budget-ACPLHK'!$A:$A,$A177,'Budget-ACPLHK'!N:N)+SUMIF('Budget-ACPSZL'!$A:$A,$A177,'Budget-ACPSZL'!N:N)+SUMIF('Budget-ACPLSZ'!$A:$A,$A177,'Budget-ACPLSZ'!N:N)+SUMIF('Budget-ACPLGZ'!$A:$A,$A177,'Budget-ACPLGZ'!N:N)+SUMIF('Budget-Yixing'!$A:$A,$A177,'Budget-Yixing'!N:N)</f>
        <v>0</v>
      </c>
      <c r="O177" s="676">
        <f ca="1">SUMIF('Budget-ACPL'!$A:$A,$A177,'Budget-ACPL'!O:O)+SUMIF('Budget-ACPLHK'!$A:$A,$A177,'Budget-ACPLHK'!O:O)+SUMIF('Budget-ACPSZL'!$A:$A,$A177,'Budget-ACPSZL'!O:O)+SUMIF('Budget-ACPLSZ'!$A:$A,$A177,'Budget-ACPLSZ'!O:O)+SUMIF('Budget-ACPLGZ'!$A:$A,$A177,'Budget-ACPLGZ'!O:O)+SUMIF('Budget-Yixing'!$A:$A,$A177,'Budget-Yixing'!O:O)</f>
        <v>0</v>
      </c>
      <c r="P177" s="676">
        <f ca="1">SUMIF('Budget-ACPL'!$A:$A,$A177,'Budget-ACPL'!P:P)+SUMIF('Budget-ACPLHK'!$A:$A,$A177,'Budget-ACPLHK'!P:P)+SUMIF('Budget-ACPSZL'!$A:$A,$A177,'Budget-ACPSZL'!P:P)+SUMIF('Budget-ACPLSZ'!$A:$A,$A177,'Budget-ACPLSZ'!P:P)+SUMIF('Budget-ACPLGZ'!$A:$A,$A177,'Budget-ACPLGZ'!P:P)+SUMIF('Budget-Yixing'!$A:$A,$A177,'Budget-Yixing'!P:P)</f>
        <v>0</v>
      </c>
      <c r="Q177" s="676">
        <f ca="1">SUMIF('Budget-ACPL'!$A:$A,$A177,'Budget-ACPL'!Q:Q)+SUMIF('Budget-ACPLHK'!$A:$A,$A177,'Budget-ACPLHK'!Q:Q)+SUMIF('Budget-ACPSZL'!$A:$A,$A177,'Budget-ACPSZL'!Q:Q)+SUMIF('Budget-ACPLSZ'!$A:$A,$A177,'Budget-ACPLSZ'!Q:Q)+SUMIF('Budget-ACPLGZ'!$A:$A,$A177,'Budget-ACPLGZ'!Q:Q)+SUMIF('Budget-Yixing'!$A:$A,$A177,'Budget-Yixing'!Q:Q)</f>
        <v>0</v>
      </c>
      <c r="R177" s="676">
        <f ca="1">SUMIF('Budget-ACPL'!$A:$A,$A177,'Budget-ACPL'!R:R)+SUMIF('Budget-ACPLHK'!$A:$A,$A177,'Budget-ACPLHK'!R:R)+SUMIF('Budget-ACPSZL'!$A:$A,$A177,'Budget-ACPSZL'!R:R)+SUMIF('Budget-ACPLSZ'!$A:$A,$A177,'Budget-ACPLSZ'!R:R)+SUMIF('Budget-ACPLGZ'!$A:$A,$A177,'Budget-ACPLGZ'!R:R)+SUMIF('Budget-Yixing'!$A:$A,$A177,'Budget-Yixing'!R:R)</f>
        <v>0</v>
      </c>
      <c r="S177" s="676">
        <f ca="1">SUMIF('Budget-ACPL'!$A:$A,$A177,'Budget-ACPL'!S:S)+SUMIF('Budget-ACPLHK'!$A:$A,$A177,'Budget-ACPLHK'!S:S)+SUMIF('Budget-ACPSZL'!$A:$A,$A177,'Budget-ACPSZL'!S:S)+SUMIF('Budget-ACPLSZ'!$A:$A,$A177,'Budget-ACPLSZ'!S:S)+SUMIF('Budget-ACPLGZ'!$A:$A,$A177,'Budget-ACPLGZ'!S:S)+SUMIF('Budget-Yixing'!$A:$A,$A177,'Budget-Yixing'!S:S)</f>
        <v>0</v>
      </c>
      <c r="T177" s="676">
        <f ca="1">SUMIF('Budget-ACPL'!$A:$A,$A177,'Budget-ACPL'!T:T)+SUMIF('Budget-ACPLHK'!$A:$A,$A177,'Budget-ACPLHK'!T:T)+SUMIF('Budget-ACPSZL'!$A:$A,$A177,'Budget-ACPSZL'!T:T)+SUMIF('Budget-ACPLSZ'!$A:$A,$A177,'Budget-ACPLSZ'!T:T)+SUMIF('Budget-ACPLGZ'!$A:$A,$A177,'Budget-ACPLGZ'!T:T)+SUMIF('Budget-Yixing'!$A:$A,$A177,'Budget-Yixing'!T:T)</f>
        <v>0</v>
      </c>
      <c r="U177" s="676">
        <f ca="1">SUMIF('Budget-ACPL'!$A:$A,$A177,'Budget-ACPL'!U:U)+SUMIF('Budget-ACPLHK'!$A:$A,$A177,'Budget-ACPLHK'!U:U)+SUMIF('Budget-ACPSZL'!$A:$A,$A177,'Budget-ACPSZL'!U:U)+SUMIF('Budget-ACPLSZ'!$A:$A,$A177,'Budget-ACPLSZ'!U:U)+SUMIF('Budget-ACPLGZ'!$A:$A,$A177,'Budget-ACPLGZ'!U:U)+SUMIF('Budget-Yixing'!$A:$A,$A177,'Budget-Yixing'!U:U)</f>
        <v>0</v>
      </c>
      <c r="V177" s="676">
        <f ca="1">SUMIF('Budget-ACPL'!$A:$A,$A177,'Budget-ACPL'!V:V)+SUMIF('Budget-ACPLHK'!$A:$A,$A177,'Budget-ACPLHK'!V:V)+SUMIF('Budget-ACPSZL'!$A:$A,$A177,'Budget-ACPSZL'!V:V)+SUMIF('Budget-ACPLSZ'!$A:$A,$A177,'Budget-ACPLSZ'!V:V)+SUMIF('Budget-ACPLGZ'!$A:$A,$A177,'Budget-ACPLGZ'!V:V)+SUMIF('Budget-Yixing'!$A:$A,$A177,'Budget-Yixing'!V:V)</f>
        <v>0</v>
      </c>
      <c r="W177" s="676">
        <f t="shared" ca="1" si="65"/>
        <v>16460</v>
      </c>
      <c r="Y177" s="688">
        <f ca="1">SUMIF('Budget-ACPL'!$A:$A,$A177,'Budget-ACPL'!Y:Y)+SUMIF('Budget-ACPLHK'!$A:$A,$A177,'Budget-ACPLHK'!Y:Y)+SUMIF('Budget-ACPSZL'!$A:$A,$A177,'Budget-ACPSZL'!Y:Y)+SUMIF('Budget-ACPLSZ'!$A:$A,$A177,'Budget-ACPLSZ'!Y:Y)+SUMIF('Budget-ACPLGZ'!$A:$A,$A177,'Budget-ACPLGZ'!Y:Y)+SUMIF('Budget-Yixing'!$A:$A,$A177,'Budget-Yixing'!Y:Y)</f>
        <v>192285.5</v>
      </c>
      <c r="Z177" s="688">
        <f ca="1">SUMIF('Budget-ACPL'!$A:$A,$A177,'Budget-ACPL'!Z:Z)+SUMIF('Budget-ACPLHK'!$A:$A,$A177,'Budget-ACPLHK'!Z:Z)+SUMIF('Budget-ACPSZL'!$A:$A,$A177,'Budget-ACPSZL'!Z:Z)+SUMIF('Budget-ACPLSZ'!$A:$A,$A177,'Budget-ACPLSZ'!Z:Z)+SUMIF('Budget-ACPLGZ'!$A:$A,$A177,'Budget-ACPLGZ'!Z:Z)+SUMIF('Budget-Yixing'!$A:$A,$A177,'Budget-Yixing'!Z:Z)</f>
        <v>199086.1</v>
      </c>
      <c r="AA177" s="688">
        <f ca="1">SUMIF('Budget-ACPL'!$A:$A,$A177,'Budget-ACPL'!AA:AA)+SUMIF('Budget-ACPLHK'!$A:$A,$A177,'Budget-ACPLHK'!AA:AA)+SUMIF('Budget-ACPSZL'!$A:$A,$A177,'Budget-ACPSZL'!AA:AA)+SUMIF('Budget-ACPLSZ'!$A:$A,$A177,'Budget-ACPLSZ'!AA:AA)+SUMIF('Budget-ACPLGZ'!$A:$A,$A177,'Budget-ACPLGZ'!AA:AA)+SUMIF('Budget-Yixing'!$A:$A,$A177,'Budget-Yixing'!AA:AA)</f>
        <v>267285.5</v>
      </c>
      <c r="AB177" s="688">
        <f ca="1">SUMIF('Budget-ACPL'!$A:$A,$A177,'Budget-ACPL'!AB:AB)+SUMIF('Budget-ACPLHK'!$A:$A,$A177,'Budget-ACPLHK'!AB:AB)+SUMIF('Budget-ACPSZL'!$A:$A,$A177,'Budget-ACPSZL'!AB:AB)+SUMIF('Budget-ACPLSZ'!$A:$A,$A177,'Budget-ACPLSZ'!AB:AB)+SUMIF('Budget-ACPLGZ'!$A:$A,$A177,'Budget-ACPLGZ'!AB:AB)+SUMIF('Budget-Yixing'!$A:$A,$A177,'Budget-Yixing'!AB:AB)</f>
        <v>136515.76999999999</v>
      </c>
      <c r="AC177" s="688">
        <f ca="1">SUMIF('Budget-ACPL'!$A:$A,$A177,'Budget-ACPL'!AC:AC)+SUMIF('Budget-ACPLHK'!$A:$A,$A177,'Budget-ACPLHK'!AC:AC)+SUMIF('Budget-ACPSZL'!$A:$A,$A177,'Budget-ACPSZL'!AC:AC)+SUMIF('Budget-ACPLSZ'!$A:$A,$A177,'Budget-ACPLSZ'!AC:AC)+SUMIF('Budget-ACPLGZ'!$A:$A,$A177,'Budget-ACPLGZ'!AC:AC)+SUMIF('Budget-Yixing'!$A:$A,$A177,'Budget-Yixing'!AC:AC)</f>
        <v>133385.5</v>
      </c>
      <c r="AD177" s="688">
        <f ca="1">SUMIF('Budget-ACPL'!$A:$A,$A177,'Budget-ACPL'!AD:AD)+SUMIF('Budget-ACPLHK'!$A:$A,$A177,'Budget-ACPLHK'!AD:AD)+SUMIF('Budget-ACPSZL'!$A:$A,$A177,'Budget-ACPSZL'!AD:AD)+SUMIF('Budget-ACPLSZ'!$A:$A,$A177,'Budget-ACPLSZ'!AD:AD)+SUMIF('Budget-ACPLGZ'!$A:$A,$A177,'Budget-ACPLGZ'!AD:AD)+SUMIF('Budget-Yixing'!$A:$A,$A177,'Budget-Yixing'!AD:AD)</f>
        <v>133385.5</v>
      </c>
      <c r="AE177" s="688">
        <f ca="1">SUMIF('Budget-ACPL'!$A:$A,$A177,'Budget-ACPL'!AE:AE)+SUMIF('Budget-ACPLHK'!$A:$A,$A177,'Budget-ACPLHK'!AE:AE)+SUMIF('Budget-ACPSZL'!$A:$A,$A177,'Budget-ACPSZL'!AE:AE)+SUMIF('Budget-ACPLSZ'!$A:$A,$A177,'Budget-ACPLSZ'!AE:AE)+SUMIF('Budget-ACPLGZ'!$A:$A,$A177,'Budget-ACPLGZ'!AE:AE)+SUMIF('Budget-Yixing'!$A:$A,$A177,'Budget-Yixing'!AE:AE)</f>
        <v>133385.5</v>
      </c>
      <c r="AF177" s="688">
        <f ca="1">SUMIF('Budget-ACPL'!$A:$A,$A177,'Budget-ACPL'!AF:AF)+SUMIF('Budget-ACPLHK'!$A:$A,$A177,'Budget-ACPLHK'!AF:AF)+SUMIF('Budget-ACPSZL'!$A:$A,$A177,'Budget-ACPSZL'!AF:AF)+SUMIF('Budget-ACPLSZ'!$A:$A,$A177,'Budget-ACPLSZ'!AF:AF)+SUMIF('Budget-ACPLGZ'!$A:$A,$A177,'Budget-ACPLGZ'!AF:AF)+SUMIF('Budget-Yixing'!$A:$A,$A177,'Budget-Yixing'!AF:AF)</f>
        <v>133385.5</v>
      </c>
      <c r="AG177" s="688">
        <f ca="1">SUMIF('Budget-ACPL'!$A:$A,$A177,'Budget-ACPL'!AG:AG)+SUMIF('Budget-ACPLHK'!$A:$A,$A177,'Budget-ACPLHK'!AG:AG)+SUMIF('Budget-ACPSZL'!$A:$A,$A177,'Budget-ACPSZL'!AG:AG)+SUMIF('Budget-ACPLSZ'!$A:$A,$A177,'Budget-ACPLSZ'!AG:AG)+SUMIF('Budget-ACPLGZ'!$A:$A,$A177,'Budget-ACPLGZ'!AG:AG)+SUMIF('Budget-Yixing'!$A:$A,$A177,'Budget-Yixing'!AG:AG)</f>
        <v>133385.5</v>
      </c>
      <c r="AH177" s="688">
        <f ca="1">SUMIF('Budget-ACPL'!$A:$A,$A177,'Budget-ACPL'!AH:AH)+SUMIF('Budget-ACPLHK'!$A:$A,$A177,'Budget-ACPLHK'!AH:AH)+SUMIF('Budget-ACPSZL'!$A:$A,$A177,'Budget-ACPSZL'!AH:AH)+SUMIF('Budget-ACPLSZ'!$A:$A,$A177,'Budget-ACPLSZ'!AH:AH)+SUMIF('Budget-ACPLGZ'!$A:$A,$A177,'Budget-ACPLGZ'!AH:AH)+SUMIF('Budget-Yixing'!$A:$A,$A177,'Budget-Yixing'!AH:AH)</f>
        <v>133385.5</v>
      </c>
      <c r="AI177" s="688">
        <f ca="1">SUMIF('Budget-ACPL'!$A:$A,$A177,'Budget-ACPL'!AI:AI)+SUMIF('Budget-ACPLHK'!$A:$A,$A177,'Budget-ACPLHK'!AI:AI)+SUMIF('Budget-ACPSZL'!$A:$A,$A177,'Budget-ACPSZL'!AI:AI)+SUMIF('Budget-ACPLSZ'!$A:$A,$A177,'Budget-ACPLSZ'!AI:AI)+SUMIF('Budget-ACPLGZ'!$A:$A,$A177,'Budget-ACPLGZ'!AI:AI)+SUMIF('Budget-Yixing'!$A:$A,$A177,'Budget-Yixing'!AI:AI)</f>
        <v>133385.5</v>
      </c>
      <c r="AJ177" s="688">
        <f ca="1">SUMIF('Budget-ACPL'!$A:$A,$A177,'Budget-ACPL'!AJ:AJ)+SUMIF('Budget-ACPLHK'!$A:$A,$A177,'Budget-ACPLHK'!AJ:AJ)+SUMIF('Budget-ACPSZL'!$A:$A,$A177,'Budget-ACPSZL'!AJ:AJ)+SUMIF('Budget-ACPLSZ'!$A:$A,$A177,'Budget-ACPLSZ'!AJ:AJ)+SUMIF('Budget-ACPLGZ'!$A:$A,$A177,'Budget-ACPLGZ'!AJ:AJ)+SUMIF('Budget-Yixing'!$A:$A,$A177,'Budget-Yixing'!AJ:AJ)</f>
        <v>133385.5</v>
      </c>
      <c r="AK177" s="688">
        <f t="shared" ca="1" si="64"/>
        <v>1862256.87</v>
      </c>
    </row>
    <row r="178" spans="1:37" ht="13.5" hidden="1" customHeight="1">
      <c r="A178" s="713" t="s">
        <v>1958</v>
      </c>
      <c r="B178" s="687" t="str">
        <f>VLOOKUP(A178,Account!A:B,2,0)</f>
        <v>政府补助</v>
      </c>
      <c r="C178" s="687">
        <f>VLOOKUP(A178,Account!A:F,4,0)</f>
        <v>0</v>
      </c>
      <c r="D178" s="676">
        <f t="shared" ca="1" si="56"/>
        <v>0</v>
      </c>
      <c r="E178" s="676" t="e">
        <f t="shared" si="60"/>
        <v>#N/A</v>
      </c>
      <c r="F178" s="676" t="e">
        <f t="shared" ca="1" si="61"/>
        <v>#N/A</v>
      </c>
      <c r="G178" s="676">
        <f t="shared" ca="1" si="62"/>
        <v>0</v>
      </c>
      <c r="H178" s="676" t="e">
        <f t="shared" ca="1" si="63"/>
        <v>#N/A</v>
      </c>
      <c r="I178" s="676" t="e">
        <f t="shared" ca="1" si="57"/>
        <v>#N/A</v>
      </c>
      <c r="K178" s="676">
        <f ca="1">SUMIF('Budget-ACPL'!$A:$A,$A178,'Budget-ACPL'!K:K)+SUMIF('Budget-ACPLHK'!$A:$A,$A178,'Budget-ACPLHK'!K:K)+SUMIF('Budget-ACPSZL'!$A:$A,$A178,'Budget-ACPSZL'!K:K)+SUMIF('Budget-ACPLSZ'!$A:$A,$A178,'Budget-ACPLSZ'!K:K)+SUMIF('Budget-ACPLGZ'!$A:$A,$A178,'Budget-ACPLGZ'!K:K)+SUMIF('Budget-Yixing'!$A:$A,$A178,'Budget-Yixing'!K:K)</f>
        <v>0</v>
      </c>
      <c r="L178" s="676">
        <f ca="1">SUMIF('Budget-ACPL'!$A:$A,$A178,'Budget-ACPL'!L:L)+SUMIF('Budget-ACPLHK'!$A:$A,$A178,'Budget-ACPLHK'!L:L)+SUMIF('Budget-ACPSZL'!$A:$A,$A178,'Budget-ACPSZL'!L:L)+SUMIF('Budget-ACPLSZ'!$A:$A,$A178,'Budget-ACPLSZ'!L:L)+SUMIF('Budget-ACPLGZ'!$A:$A,$A178,'Budget-ACPLGZ'!L:L)+SUMIF('Budget-Yixing'!$A:$A,$A178,'Budget-Yixing'!L:L)</f>
        <v>0</v>
      </c>
      <c r="M178" s="676">
        <f ca="1">SUMIF('Budget-ACPL'!$A:$A,$A178,'Budget-ACPL'!M:M)+SUMIF('Budget-ACPLHK'!$A:$A,$A178,'Budget-ACPLHK'!M:M)+SUMIF('Budget-ACPSZL'!$A:$A,$A178,'Budget-ACPSZL'!M:M)+SUMIF('Budget-ACPLSZ'!$A:$A,$A178,'Budget-ACPLSZ'!M:M)+SUMIF('Budget-ACPLGZ'!$A:$A,$A178,'Budget-ACPLGZ'!M:M)+SUMIF('Budget-Yixing'!$A:$A,$A178,'Budget-Yixing'!M:M)</f>
        <v>0</v>
      </c>
      <c r="N178" s="676">
        <f ca="1">SUMIF('Budget-ACPL'!$A:$A,$A178,'Budget-ACPL'!N:N)+SUMIF('Budget-ACPLHK'!$A:$A,$A178,'Budget-ACPLHK'!N:N)+SUMIF('Budget-ACPSZL'!$A:$A,$A178,'Budget-ACPSZL'!N:N)+SUMIF('Budget-ACPLSZ'!$A:$A,$A178,'Budget-ACPLSZ'!N:N)+SUMIF('Budget-ACPLGZ'!$A:$A,$A178,'Budget-ACPLGZ'!N:N)+SUMIF('Budget-Yixing'!$A:$A,$A178,'Budget-Yixing'!N:N)</f>
        <v>0</v>
      </c>
      <c r="O178" s="676">
        <f ca="1">SUMIF('Budget-ACPL'!$A:$A,$A178,'Budget-ACPL'!O:O)+SUMIF('Budget-ACPLHK'!$A:$A,$A178,'Budget-ACPLHK'!O:O)+SUMIF('Budget-ACPSZL'!$A:$A,$A178,'Budget-ACPSZL'!O:O)+SUMIF('Budget-ACPLSZ'!$A:$A,$A178,'Budget-ACPLSZ'!O:O)+SUMIF('Budget-ACPLGZ'!$A:$A,$A178,'Budget-ACPLGZ'!O:O)+SUMIF('Budget-Yixing'!$A:$A,$A178,'Budget-Yixing'!O:O)</f>
        <v>0</v>
      </c>
      <c r="P178" s="676">
        <f ca="1">SUMIF('Budget-ACPL'!$A:$A,$A178,'Budget-ACPL'!P:P)+SUMIF('Budget-ACPLHK'!$A:$A,$A178,'Budget-ACPLHK'!P:P)+SUMIF('Budget-ACPSZL'!$A:$A,$A178,'Budget-ACPSZL'!P:P)+SUMIF('Budget-ACPLSZ'!$A:$A,$A178,'Budget-ACPLSZ'!P:P)+SUMIF('Budget-ACPLGZ'!$A:$A,$A178,'Budget-ACPLGZ'!P:P)+SUMIF('Budget-Yixing'!$A:$A,$A178,'Budget-Yixing'!P:P)</f>
        <v>0</v>
      </c>
      <c r="Q178" s="676">
        <f ca="1">SUMIF('Budget-ACPL'!$A:$A,$A178,'Budget-ACPL'!Q:Q)+SUMIF('Budget-ACPLHK'!$A:$A,$A178,'Budget-ACPLHK'!Q:Q)+SUMIF('Budget-ACPSZL'!$A:$A,$A178,'Budget-ACPSZL'!Q:Q)+SUMIF('Budget-ACPLSZ'!$A:$A,$A178,'Budget-ACPLSZ'!Q:Q)+SUMIF('Budget-ACPLGZ'!$A:$A,$A178,'Budget-ACPLGZ'!Q:Q)+SUMIF('Budget-Yixing'!$A:$A,$A178,'Budget-Yixing'!Q:Q)</f>
        <v>0</v>
      </c>
      <c r="R178" s="676">
        <f ca="1">SUMIF('Budget-ACPL'!$A:$A,$A178,'Budget-ACPL'!R:R)+SUMIF('Budget-ACPLHK'!$A:$A,$A178,'Budget-ACPLHK'!R:R)+SUMIF('Budget-ACPSZL'!$A:$A,$A178,'Budget-ACPSZL'!R:R)+SUMIF('Budget-ACPLSZ'!$A:$A,$A178,'Budget-ACPLSZ'!R:R)+SUMIF('Budget-ACPLGZ'!$A:$A,$A178,'Budget-ACPLGZ'!R:R)+SUMIF('Budget-Yixing'!$A:$A,$A178,'Budget-Yixing'!R:R)</f>
        <v>0</v>
      </c>
      <c r="S178" s="676">
        <f ca="1">SUMIF('Budget-ACPL'!$A:$A,$A178,'Budget-ACPL'!S:S)+SUMIF('Budget-ACPLHK'!$A:$A,$A178,'Budget-ACPLHK'!S:S)+SUMIF('Budget-ACPSZL'!$A:$A,$A178,'Budget-ACPSZL'!S:S)+SUMIF('Budget-ACPLSZ'!$A:$A,$A178,'Budget-ACPLSZ'!S:S)+SUMIF('Budget-ACPLGZ'!$A:$A,$A178,'Budget-ACPLGZ'!S:S)+SUMIF('Budget-Yixing'!$A:$A,$A178,'Budget-Yixing'!S:S)</f>
        <v>0</v>
      </c>
      <c r="T178" s="676">
        <f ca="1">SUMIF('Budget-ACPL'!$A:$A,$A178,'Budget-ACPL'!T:T)+SUMIF('Budget-ACPLHK'!$A:$A,$A178,'Budget-ACPLHK'!T:T)+SUMIF('Budget-ACPSZL'!$A:$A,$A178,'Budget-ACPSZL'!T:T)+SUMIF('Budget-ACPLSZ'!$A:$A,$A178,'Budget-ACPLSZ'!T:T)+SUMIF('Budget-ACPLGZ'!$A:$A,$A178,'Budget-ACPLGZ'!T:T)+SUMIF('Budget-Yixing'!$A:$A,$A178,'Budget-Yixing'!T:T)</f>
        <v>0</v>
      </c>
      <c r="U178" s="676">
        <f ca="1">SUMIF('Budget-ACPL'!$A:$A,$A178,'Budget-ACPL'!U:U)+SUMIF('Budget-ACPLHK'!$A:$A,$A178,'Budget-ACPLHK'!U:U)+SUMIF('Budget-ACPSZL'!$A:$A,$A178,'Budget-ACPSZL'!U:U)+SUMIF('Budget-ACPLSZ'!$A:$A,$A178,'Budget-ACPLSZ'!U:U)+SUMIF('Budget-ACPLGZ'!$A:$A,$A178,'Budget-ACPLGZ'!U:U)+SUMIF('Budget-Yixing'!$A:$A,$A178,'Budget-Yixing'!U:U)</f>
        <v>0</v>
      </c>
      <c r="V178" s="676">
        <f ca="1">SUMIF('Budget-ACPL'!$A:$A,$A178,'Budget-ACPL'!V:V)+SUMIF('Budget-ACPLHK'!$A:$A,$A178,'Budget-ACPLHK'!V:V)+SUMIF('Budget-ACPSZL'!$A:$A,$A178,'Budget-ACPSZL'!V:V)+SUMIF('Budget-ACPLSZ'!$A:$A,$A178,'Budget-ACPLSZ'!V:V)+SUMIF('Budget-ACPLGZ'!$A:$A,$A178,'Budget-ACPLGZ'!V:V)+SUMIF('Budget-Yixing'!$A:$A,$A178,'Budget-Yixing'!V:V)</f>
        <v>0</v>
      </c>
      <c r="W178" s="676">
        <f t="shared" ca="1" si="65"/>
        <v>0</v>
      </c>
      <c r="Y178" s="688">
        <f ca="1">SUMIF('Budget-ACPL'!$A:$A,$A178,'Budget-ACPL'!Y:Y)+SUMIF('Budget-ACPLHK'!$A:$A,$A178,'Budget-ACPLHK'!Y:Y)+SUMIF('Budget-ACPSZL'!$A:$A,$A178,'Budget-ACPSZL'!Y:Y)+SUMIF('Budget-ACPLSZ'!$A:$A,$A178,'Budget-ACPLSZ'!Y:Y)+SUMIF('Budget-ACPLGZ'!$A:$A,$A178,'Budget-ACPLGZ'!Y:Y)+SUMIF('Budget-Yixing'!$A:$A,$A178,'Budget-Yixing'!Y:Y)</f>
        <v>0</v>
      </c>
      <c r="Z178" s="688">
        <f ca="1">SUMIF('Budget-ACPL'!$A:$A,$A178,'Budget-ACPL'!Z:Z)+SUMIF('Budget-ACPLHK'!$A:$A,$A178,'Budget-ACPLHK'!Z:Z)+SUMIF('Budget-ACPSZL'!$A:$A,$A178,'Budget-ACPSZL'!Z:Z)+SUMIF('Budget-ACPLSZ'!$A:$A,$A178,'Budget-ACPLSZ'!Z:Z)+SUMIF('Budget-ACPLGZ'!$A:$A,$A178,'Budget-ACPLGZ'!Z:Z)+SUMIF('Budget-Yixing'!$A:$A,$A178,'Budget-Yixing'!Z:Z)</f>
        <v>0</v>
      </c>
      <c r="AA178" s="688">
        <f ca="1">SUMIF('Budget-ACPL'!$A:$A,$A178,'Budget-ACPL'!AA:AA)+SUMIF('Budget-ACPLHK'!$A:$A,$A178,'Budget-ACPLHK'!AA:AA)+SUMIF('Budget-ACPSZL'!$A:$A,$A178,'Budget-ACPSZL'!AA:AA)+SUMIF('Budget-ACPLSZ'!$A:$A,$A178,'Budget-ACPLSZ'!AA:AA)+SUMIF('Budget-ACPLGZ'!$A:$A,$A178,'Budget-ACPLGZ'!AA:AA)+SUMIF('Budget-Yixing'!$A:$A,$A178,'Budget-Yixing'!AA:AA)</f>
        <v>0</v>
      </c>
      <c r="AB178" s="688">
        <f ca="1">SUMIF('Budget-ACPL'!$A:$A,$A178,'Budget-ACPL'!AB:AB)+SUMIF('Budget-ACPLHK'!$A:$A,$A178,'Budget-ACPLHK'!AB:AB)+SUMIF('Budget-ACPSZL'!$A:$A,$A178,'Budget-ACPSZL'!AB:AB)+SUMIF('Budget-ACPLSZ'!$A:$A,$A178,'Budget-ACPLSZ'!AB:AB)+SUMIF('Budget-ACPLGZ'!$A:$A,$A178,'Budget-ACPLGZ'!AB:AB)+SUMIF('Budget-Yixing'!$A:$A,$A178,'Budget-Yixing'!AB:AB)</f>
        <v>0</v>
      </c>
      <c r="AC178" s="688">
        <f ca="1">SUMIF('Budget-ACPL'!$A:$A,$A178,'Budget-ACPL'!AC:AC)+SUMIF('Budget-ACPLHK'!$A:$A,$A178,'Budget-ACPLHK'!AC:AC)+SUMIF('Budget-ACPSZL'!$A:$A,$A178,'Budget-ACPSZL'!AC:AC)+SUMIF('Budget-ACPLSZ'!$A:$A,$A178,'Budget-ACPLSZ'!AC:AC)+SUMIF('Budget-ACPLGZ'!$A:$A,$A178,'Budget-ACPLGZ'!AC:AC)+SUMIF('Budget-Yixing'!$A:$A,$A178,'Budget-Yixing'!AC:AC)</f>
        <v>0</v>
      </c>
      <c r="AD178" s="688">
        <f ca="1">SUMIF('Budget-ACPL'!$A:$A,$A178,'Budget-ACPL'!AD:AD)+SUMIF('Budget-ACPLHK'!$A:$A,$A178,'Budget-ACPLHK'!AD:AD)+SUMIF('Budget-ACPSZL'!$A:$A,$A178,'Budget-ACPSZL'!AD:AD)+SUMIF('Budget-ACPLSZ'!$A:$A,$A178,'Budget-ACPLSZ'!AD:AD)+SUMIF('Budget-ACPLGZ'!$A:$A,$A178,'Budget-ACPLGZ'!AD:AD)+SUMIF('Budget-Yixing'!$A:$A,$A178,'Budget-Yixing'!AD:AD)</f>
        <v>0</v>
      </c>
      <c r="AE178" s="688">
        <f ca="1">SUMIF('Budget-ACPL'!$A:$A,$A178,'Budget-ACPL'!AE:AE)+SUMIF('Budget-ACPLHK'!$A:$A,$A178,'Budget-ACPLHK'!AE:AE)+SUMIF('Budget-ACPSZL'!$A:$A,$A178,'Budget-ACPSZL'!AE:AE)+SUMIF('Budget-ACPLSZ'!$A:$A,$A178,'Budget-ACPLSZ'!AE:AE)+SUMIF('Budget-ACPLGZ'!$A:$A,$A178,'Budget-ACPLGZ'!AE:AE)+SUMIF('Budget-Yixing'!$A:$A,$A178,'Budget-Yixing'!AE:AE)</f>
        <v>0</v>
      </c>
      <c r="AF178" s="688">
        <f ca="1">SUMIF('Budget-ACPL'!$A:$A,$A178,'Budget-ACPL'!AF:AF)+SUMIF('Budget-ACPLHK'!$A:$A,$A178,'Budget-ACPLHK'!AF:AF)+SUMIF('Budget-ACPSZL'!$A:$A,$A178,'Budget-ACPSZL'!AF:AF)+SUMIF('Budget-ACPLSZ'!$A:$A,$A178,'Budget-ACPLSZ'!AF:AF)+SUMIF('Budget-ACPLGZ'!$A:$A,$A178,'Budget-ACPLGZ'!AF:AF)+SUMIF('Budget-Yixing'!$A:$A,$A178,'Budget-Yixing'!AF:AF)</f>
        <v>0</v>
      </c>
      <c r="AG178" s="688">
        <f ca="1">SUMIF('Budget-ACPL'!$A:$A,$A178,'Budget-ACPL'!AG:AG)+SUMIF('Budget-ACPLHK'!$A:$A,$A178,'Budget-ACPLHK'!AG:AG)+SUMIF('Budget-ACPSZL'!$A:$A,$A178,'Budget-ACPSZL'!AG:AG)+SUMIF('Budget-ACPLSZ'!$A:$A,$A178,'Budget-ACPLSZ'!AG:AG)+SUMIF('Budget-ACPLGZ'!$A:$A,$A178,'Budget-ACPLGZ'!AG:AG)+SUMIF('Budget-Yixing'!$A:$A,$A178,'Budget-Yixing'!AG:AG)</f>
        <v>0</v>
      </c>
      <c r="AH178" s="688">
        <f ca="1">SUMIF('Budget-ACPL'!$A:$A,$A178,'Budget-ACPL'!AH:AH)+SUMIF('Budget-ACPLHK'!$A:$A,$A178,'Budget-ACPLHK'!AH:AH)+SUMIF('Budget-ACPSZL'!$A:$A,$A178,'Budget-ACPSZL'!AH:AH)+SUMIF('Budget-ACPLSZ'!$A:$A,$A178,'Budget-ACPLSZ'!AH:AH)+SUMIF('Budget-ACPLGZ'!$A:$A,$A178,'Budget-ACPLGZ'!AH:AH)+SUMIF('Budget-Yixing'!$A:$A,$A178,'Budget-Yixing'!AH:AH)</f>
        <v>0</v>
      </c>
      <c r="AI178" s="688">
        <f ca="1">SUMIF('Budget-ACPL'!$A:$A,$A178,'Budget-ACPL'!AI:AI)+SUMIF('Budget-ACPLHK'!$A:$A,$A178,'Budget-ACPLHK'!AI:AI)+SUMIF('Budget-ACPSZL'!$A:$A,$A178,'Budget-ACPSZL'!AI:AI)+SUMIF('Budget-ACPLSZ'!$A:$A,$A178,'Budget-ACPLSZ'!AI:AI)+SUMIF('Budget-ACPLGZ'!$A:$A,$A178,'Budget-ACPLGZ'!AI:AI)+SUMIF('Budget-Yixing'!$A:$A,$A178,'Budget-Yixing'!AI:AI)</f>
        <v>0</v>
      </c>
      <c r="AJ178" s="688">
        <f ca="1">SUMIF('Budget-ACPL'!$A:$A,$A178,'Budget-ACPL'!AJ:AJ)+SUMIF('Budget-ACPLHK'!$A:$A,$A178,'Budget-ACPLHK'!AJ:AJ)+SUMIF('Budget-ACPSZL'!$A:$A,$A178,'Budget-ACPSZL'!AJ:AJ)+SUMIF('Budget-ACPLSZ'!$A:$A,$A178,'Budget-ACPLSZ'!AJ:AJ)+SUMIF('Budget-ACPLGZ'!$A:$A,$A178,'Budget-ACPLGZ'!AJ:AJ)+SUMIF('Budget-Yixing'!$A:$A,$A178,'Budget-Yixing'!AJ:AJ)</f>
        <v>0</v>
      </c>
      <c r="AK178" s="688">
        <f t="shared" ca="1" si="64"/>
        <v>0</v>
      </c>
    </row>
    <row r="179" spans="1:37" ht="13.5" customHeight="1">
      <c r="A179" s="713" t="s">
        <v>1962</v>
      </c>
      <c r="B179" s="687" t="str">
        <f>VLOOKUP(A179,Account!A:B,2,0)</f>
        <v>个税手续费返还</v>
      </c>
      <c r="C179" s="687">
        <f>VLOOKUP(A179,Account!A:F,4,0)</f>
        <v>0</v>
      </c>
      <c r="D179" s="676">
        <f t="shared" ca="1" si="56"/>
        <v>0</v>
      </c>
      <c r="E179" s="676" t="e">
        <f t="shared" si="60"/>
        <v>#N/A</v>
      </c>
      <c r="F179" s="676" t="e">
        <f t="shared" ca="1" si="61"/>
        <v>#N/A</v>
      </c>
      <c r="G179" s="676">
        <f t="shared" ca="1" si="62"/>
        <v>0</v>
      </c>
      <c r="H179" s="676" t="e">
        <f t="shared" ca="1" si="63"/>
        <v>#N/A</v>
      </c>
      <c r="I179" s="676" t="e">
        <f t="shared" ca="1" si="57"/>
        <v>#N/A</v>
      </c>
      <c r="K179" s="676">
        <f ca="1">SUMIF('Budget-ACPL'!$A:$A,$A179,'Budget-ACPL'!K:K)+SUMIF('Budget-ACPLHK'!$A:$A,$A179,'Budget-ACPLHK'!K:K)+SUMIF('Budget-ACPSZL'!$A:$A,$A179,'Budget-ACPSZL'!K:K)+SUMIF('Budget-ACPLSZ'!$A:$A,$A179,'Budget-ACPLSZ'!K:K)+SUMIF('Budget-ACPLGZ'!$A:$A,$A179,'Budget-ACPLGZ'!K:K)+SUMIF('Budget-Yixing'!$A:$A,$A179,'Budget-Yixing'!K:K)</f>
        <v>0</v>
      </c>
      <c r="L179" s="676">
        <f ca="1">SUMIF('Budget-ACPL'!$A:$A,$A179,'Budget-ACPL'!L:L)+SUMIF('Budget-ACPLHK'!$A:$A,$A179,'Budget-ACPLHK'!L:L)+SUMIF('Budget-ACPSZL'!$A:$A,$A179,'Budget-ACPSZL'!L:L)+SUMIF('Budget-ACPLSZ'!$A:$A,$A179,'Budget-ACPLSZ'!L:L)+SUMIF('Budget-ACPLGZ'!$A:$A,$A179,'Budget-ACPLGZ'!L:L)+SUMIF('Budget-Yixing'!$A:$A,$A179,'Budget-Yixing'!L:L)</f>
        <v>0</v>
      </c>
      <c r="M179" s="676">
        <f ca="1">SUMIF('Budget-ACPL'!$A:$A,$A179,'Budget-ACPL'!M:M)+SUMIF('Budget-ACPLHK'!$A:$A,$A179,'Budget-ACPLHK'!M:M)+SUMIF('Budget-ACPSZL'!$A:$A,$A179,'Budget-ACPSZL'!M:M)+SUMIF('Budget-ACPLSZ'!$A:$A,$A179,'Budget-ACPLSZ'!M:M)+SUMIF('Budget-ACPLGZ'!$A:$A,$A179,'Budget-ACPLGZ'!M:M)+SUMIF('Budget-Yixing'!$A:$A,$A179,'Budget-Yixing'!M:M)</f>
        <v>16460</v>
      </c>
      <c r="N179" s="676">
        <f ca="1">SUMIF('Budget-ACPL'!$A:$A,$A179,'Budget-ACPL'!N:N)+SUMIF('Budget-ACPLHK'!$A:$A,$A179,'Budget-ACPLHK'!N:N)+SUMIF('Budget-ACPSZL'!$A:$A,$A179,'Budget-ACPSZL'!N:N)+SUMIF('Budget-ACPLSZ'!$A:$A,$A179,'Budget-ACPLSZ'!N:N)+SUMIF('Budget-ACPLGZ'!$A:$A,$A179,'Budget-ACPLGZ'!N:N)+SUMIF('Budget-Yixing'!$A:$A,$A179,'Budget-Yixing'!N:N)</f>
        <v>0</v>
      </c>
      <c r="O179" s="676">
        <f ca="1">SUMIF('Budget-ACPL'!$A:$A,$A179,'Budget-ACPL'!O:O)+SUMIF('Budget-ACPLHK'!$A:$A,$A179,'Budget-ACPLHK'!O:O)+SUMIF('Budget-ACPSZL'!$A:$A,$A179,'Budget-ACPSZL'!O:O)+SUMIF('Budget-ACPLSZ'!$A:$A,$A179,'Budget-ACPLSZ'!O:O)+SUMIF('Budget-ACPLGZ'!$A:$A,$A179,'Budget-ACPLGZ'!O:O)+SUMIF('Budget-Yixing'!$A:$A,$A179,'Budget-Yixing'!O:O)</f>
        <v>0</v>
      </c>
      <c r="P179" s="676">
        <f ca="1">SUMIF('Budget-ACPL'!$A:$A,$A179,'Budget-ACPL'!P:P)+SUMIF('Budget-ACPLHK'!$A:$A,$A179,'Budget-ACPLHK'!P:P)+SUMIF('Budget-ACPSZL'!$A:$A,$A179,'Budget-ACPSZL'!P:P)+SUMIF('Budget-ACPLSZ'!$A:$A,$A179,'Budget-ACPLSZ'!P:P)+SUMIF('Budget-ACPLGZ'!$A:$A,$A179,'Budget-ACPLGZ'!P:P)+SUMIF('Budget-Yixing'!$A:$A,$A179,'Budget-Yixing'!P:P)</f>
        <v>0</v>
      </c>
      <c r="Q179" s="676">
        <f ca="1">SUMIF('Budget-ACPL'!$A:$A,$A179,'Budget-ACPL'!Q:Q)+SUMIF('Budget-ACPLHK'!$A:$A,$A179,'Budget-ACPLHK'!Q:Q)+SUMIF('Budget-ACPSZL'!$A:$A,$A179,'Budget-ACPSZL'!Q:Q)+SUMIF('Budget-ACPLSZ'!$A:$A,$A179,'Budget-ACPLSZ'!Q:Q)+SUMIF('Budget-ACPLGZ'!$A:$A,$A179,'Budget-ACPLGZ'!Q:Q)+SUMIF('Budget-Yixing'!$A:$A,$A179,'Budget-Yixing'!Q:Q)</f>
        <v>0</v>
      </c>
      <c r="R179" s="676">
        <f ca="1">SUMIF('Budget-ACPL'!$A:$A,$A179,'Budget-ACPL'!R:R)+SUMIF('Budget-ACPLHK'!$A:$A,$A179,'Budget-ACPLHK'!R:R)+SUMIF('Budget-ACPSZL'!$A:$A,$A179,'Budget-ACPSZL'!R:R)+SUMIF('Budget-ACPLSZ'!$A:$A,$A179,'Budget-ACPLSZ'!R:R)+SUMIF('Budget-ACPLGZ'!$A:$A,$A179,'Budget-ACPLGZ'!R:R)+SUMIF('Budget-Yixing'!$A:$A,$A179,'Budget-Yixing'!R:R)</f>
        <v>0</v>
      </c>
      <c r="S179" s="676">
        <f ca="1">SUMIF('Budget-ACPL'!$A:$A,$A179,'Budget-ACPL'!S:S)+SUMIF('Budget-ACPLHK'!$A:$A,$A179,'Budget-ACPLHK'!S:S)+SUMIF('Budget-ACPSZL'!$A:$A,$A179,'Budget-ACPSZL'!S:S)+SUMIF('Budget-ACPLSZ'!$A:$A,$A179,'Budget-ACPLSZ'!S:S)+SUMIF('Budget-ACPLGZ'!$A:$A,$A179,'Budget-ACPLGZ'!S:S)+SUMIF('Budget-Yixing'!$A:$A,$A179,'Budget-Yixing'!S:S)</f>
        <v>0</v>
      </c>
      <c r="T179" s="676">
        <f ca="1">SUMIF('Budget-ACPL'!$A:$A,$A179,'Budget-ACPL'!T:T)+SUMIF('Budget-ACPLHK'!$A:$A,$A179,'Budget-ACPLHK'!T:T)+SUMIF('Budget-ACPSZL'!$A:$A,$A179,'Budget-ACPSZL'!T:T)+SUMIF('Budget-ACPLSZ'!$A:$A,$A179,'Budget-ACPLSZ'!T:T)+SUMIF('Budget-ACPLGZ'!$A:$A,$A179,'Budget-ACPLGZ'!T:T)+SUMIF('Budget-Yixing'!$A:$A,$A179,'Budget-Yixing'!T:T)</f>
        <v>0</v>
      </c>
      <c r="U179" s="676">
        <f ca="1">SUMIF('Budget-ACPL'!$A:$A,$A179,'Budget-ACPL'!U:U)+SUMIF('Budget-ACPLHK'!$A:$A,$A179,'Budget-ACPLHK'!U:U)+SUMIF('Budget-ACPSZL'!$A:$A,$A179,'Budget-ACPSZL'!U:U)+SUMIF('Budget-ACPLSZ'!$A:$A,$A179,'Budget-ACPLSZ'!U:U)+SUMIF('Budget-ACPLGZ'!$A:$A,$A179,'Budget-ACPLGZ'!U:U)+SUMIF('Budget-Yixing'!$A:$A,$A179,'Budget-Yixing'!U:U)</f>
        <v>0</v>
      </c>
      <c r="V179" s="676">
        <f ca="1">SUMIF('Budget-ACPL'!$A:$A,$A179,'Budget-ACPL'!V:V)+SUMIF('Budget-ACPLHK'!$A:$A,$A179,'Budget-ACPLHK'!V:V)+SUMIF('Budget-ACPSZL'!$A:$A,$A179,'Budget-ACPSZL'!V:V)+SUMIF('Budget-ACPLSZ'!$A:$A,$A179,'Budget-ACPLSZ'!V:V)+SUMIF('Budget-ACPLGZ'!$A:$A,$A179,'Budget-ACPLGZ'!V:V)+SUMIF('Budget-Yixing'!$A:$A,$A179,'Budget-Yixing'!V:V)</f>
        <v>0</v>
      </c>
      <c r="W179" s="676">
        <f t="shared" ca="1" si="65"/>
        <v>16460</v>
      </c>
      <c r="Y179" s="688">
        <f ca="1">SUMIF('Budget-ACPL'!$A:$A,$A179,'Budget-ACPL'!Y:Y)+SUMIF('Budget-ACPLHK'!$A:$A,$A179,'Budget-ACPLHK'!Y:Y)+SUMIF('Budget-ACPSZL'!$A:$A,$A179,'Budget-ACPSZL'!Y:Y)+SUMIF('Budget-ACPLSZ'!$A:$A,$A179,'Budget-ACPLSZ'!Y:Y)+SUMIF('Budget-ACPLGZ'!$A:$A,$A179,'Budget-ACPLGZ'!Y:Y)+SUMIF('Budget-Yixing'!$A:$A,$A179,'Budget-Yixing'!Y:Y)</f>
        <v>0</v>
      </c>
      <c r="Z179" s="688">
        <f ca="1">SUMIF('Budget-ACPL'!$A:$A,$A179,'Budget-ACPL'!Z:Z)+SUMIF('Budget-ACPLHK'!$A:$A,$A179,'Budget-ACPLHK'!Z:Z)+SUMIF('Budget-ACPSZL'!$A:$A,$A179,'Budget-ACPSZL'!Z:Z)+SUMIF('Budget-ACPLSZ'!$A:$A,$A179,'Budget-ACPLSZ'!Z:Z)+SUMIF('Budget-ACPLGZ'!$A:$A,$A179,'Budget-ACPLGZ'!Z:Z)+SUMIF('Budget-Yixing'!$A:$A,$A179,'Budget-Yixing'!Z:Z)</f>
        <v>6800.6</v>
      </c>
      <c r="AA179" s="688">
        <f ca="1">SUMIF('Budget-ACPL'!$A:$A,$A179,'Budget-ACPL'!AA:AA)+SUMIF('Budget-ACPLHK'!$A:$A,$A179,'Budget-ACPLHK'!AA:AA)+SUMIF('Budget-ACPSZL'!$A:$A,$A179,'Budget-ACPSZL'!AA:AA)+SUMIF('Budget-ACPLSZ'!$A:$A,$A179,'Budget-ACPLSZ'!AA:AA)+SUMIF('Budget-ACPLGZ'!$A:$A,$A179,'Budget-ACPLGZ'!AA:AA)+SUMIF('Budget-Yixing'!$A:$A,$A179,'Budget-Yixing'!AA:AA)</f>
        <v>0</v>
      </c>
      <c r="AB179" s="688">
        <f ca="1">SUMIF('Budget-ACPL'!$A:$A,$A179,'Budget-ACPL'!AB:AB)+SUMIF('Budget-ACPLHK'!$A:$A,$A179,'Budget-ACPLHK'!AB:AB)+SUMIF('Budget-ACPSZL'!$A:$A,$A179,'Budget-ACPSZL'!AB:AB)+SUMIF('Budget-ACPLSZ'!$A:$A,$A179,'Budget-ACPLSZ'!AB:AB)+SUMIF('Budget-ACPLGZ'!$A:$A,$A179,'Budget-ACPLGZ'!AB:AB)+SUMIF('Budget-Yixing'!$A:$A,$A179,'Budget-Yixing'!AB:AB)</f>
        <v>3130.27</v>
      </c>
      <c r="AC179" s="688">
        <f ca="1">SUMIF('Budget-ACPL'!$A:$A,$A179,'Budget-ACPL'!AC:AC)+SUMIF('Budget-ACPLHK'!$A:$A,$A179,'Budget-ACPLHK'!AC:AC)+SUMIF('Budget-ACPSZL'!$A:$A,$A179,'Budget-ACPSZL'!AC:AC)+SUMIF('Budget-ACPLSZ'!$A:$A,$A179,'Budget-ACPLSZ'!AC:AC)+SUMIF('Budget-ACPLGZ'!$A:$A,$A179,'Budget-ACPLGZ'!AC:AC)+SUMIF('Budget-Yixing'!$A:$A,$A179,'Budget-Yixing'!AC:AC)</f>
        <v>0</v>
      </c>
      <c r="AD179" s="688">
        <f ca="1">SUMIF('Budget-ACPL'!$A:$A,$A179,'Budget-ACPL'!AD:AD)+SUMIF('Budget-ACPLHK'!$A:$A,$A179,'Budget-ACPLHK'!AD:AD)+SUMIF('Budget-ACPSZL'!$A:$A,$A179,'Budget-ACPSZL'!AD:AD)+SUMIF('Budget-ACPLSZ'!$A:$A,$A179,'Budget-ACPLSZ'!AD:AD)+SUMIF('Budget-ACPLGZ'!$A:$A,$A179,'Budget-ACPLGZ'!AD:AD)+SUMIF('Budget-Yixing'!$A:$A,$A179,'Budget-Yixing'!AD:AD)</f>
        <v>0</v>
      </c>
      <c r="AE179" s="688">
        <f ca="1">SUMIF('Budget-ACPL'!$A:$A,$A179,'Budget-ACPL'!AE:AE)+SUMIF('Budget-ACPLHK'!$A:$A,$A179,'Budget-ACPLHK'!AE:AE)+SUMIF('Budget-ACPSZL'!$A:$A,$A179,'Budget-ACPSZL'!AE:AE)+SUMIF('Budget-ACPLSZ'!$A:$A,$A179,'Budget-ACPLSZ'!AE:AE)+SUMIF('Budget-ACPLGZ'!$A:$A,$A179,'Budget-ACPLGZ'!AE:AE)+SUMIF('Budget-Yixing'!$A:$A,$A179,'Budget-Yixing'!AE:AE)</f>
        <v>0</v>
      </c>
      <c r="AF179" s="688">
        <f ca="1">SUMIF('Budget-ACPL'!$A:$A,$A179,'Budget-ACPL'!AF:AF)+SUMIF('Budget-ACPLHK'!$A:$A,$A179,'Budget-ACPLHK'!AF:AF)+SUMIF('Budget-ACPSZL'!$A:$A,$A179,'Budget-ACPSZL'!AF:AF)+SUMIF('Budget-ACPLSZ'!$A:$A,$A179,'Budget-ACPLSZ'!AF:AF)+SUMIF('Budget-ACPLGZ'!$A:$A,$A179,'Budget-ACPLGZ'!AF:AF)+SUMIF('Budget-Yixing'!$A:$A,$A179,'Budget-Yixing'!AF:AF)</f>
        <v>0</v>
      </c>
      <c r="AG179" s="688">
        <f ca="1">SUMIF('Budget-ACPL'!$A:$A,$A179,'Budget-ACPL'!AG:AG)+SUMIF('Budget-ACPLHK'!$A:$A,$A179,'Budget-ACPLHK'!AG:AG)+SUMIF('Budget-ACPSZL'!$A:$A,$A179,'Budget-ACPSZL'!AG:AG)+SUMIF('Budget-ACPLSZ'!$A:$A,$A179,'Budget-ACPLSZ'!AG:AG)+SUMIF('Budget-ACPLGZ'!$A:$A,$A179,'Budget-ACPLGZ'!AG:AG)+SUMIF('Budget-Yixing'!$A:$A,$A179,'Budget-Yixing'!AG:AG)</f>
        <v>0</v>
      </c>
      <c r="AH179" s="688">
        <f ca="1">SUMIF('Budget-ACPL'!$A:$A,$A179,'Budget-ACPL'!AH:AH)+SUMIF('Budget-ACPLHK'!$A:$A,$A179,'Budget-ACPLHK'!AH:AH)+SUMIF('Budget-ACPSZL'!$A:$A,$A179,'Budget-ACPSZL'!AH:AH)+SUMIF('Budget-ACPLSZ'!$A:$A,$A179,'Budget-ACPLSZ'!AH:AH)+SUMIF('Budget-ACPLGZ'!$A:$A,$A179,'Budget-ACPLGZ'!AH:AH)+SUMIF('Budget-Yixing'!$A:$A,$A179,'Budget-Yixing'!AH:AH)</f>
        <v>0</v>
      </c>
      <c r="AI179" s="688">
        <f ca="1">SUMIF('Budget-ACPL'!$A:$A,$A179,'Budget-ACPL'!AI:AI)+SUMIF('Budget-ACPLHK'!$A:$A,$A179,'Budget-ACPLHK'!AI:AI)+SUMIF('Budget-ACPSZL'!$A:$A,$A179,'Budget-ACPSZL'!AI:AI)+SUMIF('Budget-ACPLSZ'!$A:$A,$A179,'Budget-ACPLSZ'!AI:AI)+SUMIF('Budget-ACPLGZ'!$A:$A,$A179,'Budget-ACPLGZ'!AI:AI)+SUMIF('Budget-Yixing'!$A:$A,$A179,'Budget-Yixing'!AI:AI)</f>
        <v>0</v>
      </c>
      <c r="AJ179" s="688">
        <f ca="1">SUMIF('Budget-ACPL'!$A:$A,$A179,'Budget-ACPL'!AJ:AJ)+SUMIF('Budget-ACPLHK'!$A:$A,$A179,'Budget-ACPLHK'!AJ:AJ)+SUMIF('Budget-ACPSZL'!$A:$A,$A179,'Budget-ACPSZL'!AJ:AJ)+SUMIF('Budget-ACPLSZ'!$A:$A,$A179,'Budget-ACPLSZ'!AJ:AJ)+SUMIF('Budget-ACPLGZ'!$A:$A,$A179,'Budget-ACPLGZ'!AJ:AJ)+SUMIF('Budget-Yixing'!$A:$A,$A179,'Budget-Yixing'!AJ:AJ)</f>
        <v>0</v>
      </c>
      <c r="AK179" s="688">
        <f t="shared" ca="1" si="64"/>
        <v>9930.8700000000008</v>
      </c>
    </row>
    <row r="180" spans="1:37" ht="13.5" hidden="1" customHeight="1">
      <c r="A180" s="713" t="s">
        <v>1971</v>
      </c>
      <c r="B180" s="687" t="str">
        <f>VLOOKUP(A180,Account!A:B,2,0)</f>
        <v>其他</v>
      </c>
      <c r="C180" s="687">
        <f>VLOOKUP(A180,Account!A:F,4,0)</f>
        <v>0</v>
      </c>
      <c r="D180" s="676">
        <f t="shared" ca="1" si="56"/>
        <v>0</v>
      </c>
      <c r="E180" s="676" t="e">
        <f t="shared" si="60"/>
        <v>#N/A</v>
      </c>
      <c r="F180" s="676" t="e">
        <f t="shared" ca="1" si="61"/>
        <v>#N/A</v>
      </c>
      <c r="G180" s="676">
        <f t="shared" ca="1" si="62"/>
        <v>0</v>
      </c>
      <c r="H180" s="676" t="e">
        <f t="shared" ca="1" si="63"/>
        <v>#N/A</v>
      </c>
      <c r="I180" s="676" t="e">
        <f t="shared" ca="1" si="57"/>
        <v>#N/A</v>
      </c>
      <c r="K180" s="676">
        <f ca="1">SUMIF('Budget-ACPL'!$A:$A,$A180,'Budget-ACPL'!K:K)+SUMIF('Budget-ACPLHK'!$A:$A,$A180,'Budget-ACPLHK'!K:K)+SUMIF('Budget-ACPSZL'!$A:$A,$A180,'Budget-ACPSZL'!K:K)+SUMIF('Budget-ACPLSZ'!$A:$A,$A180,'Budget-ACPLSZ'!K:K)+SUMIF('Budget-ACPLGZ'!$A:$A,$A180,'Budget-ACPLGZ'!K:K)+SUMIF('Budget-Yixing'!$A:$A,$A180,'Budget-Yixing'!K:K)</f>
        <v>0</v>
      </c>
      <c r="L180" s="676">
        <f ca="1">SUMIF('Budget-ACPL'!$A:$A,$A180,'Budget-ACPL'!L:L)+SUMIF('Budget-ACPLHK'!$A:$A,$A180,'Budget-ACPLHK'!L:L)+SUMIF('Budget-ACPSZL'!$A:$A,$A180,'Budget-ACPSZL'!L:L)+SUMIF('Budget-ACPLSZ'!$A:$A,$A180,'Budget-ACPLSZ'!L:L)+SUMIF('Budget-ACPLGZ'!$A:$A,$A180,'Budget-ACPLGZ'!L:L)+SUMIF('Budget-Yixing'!$A:$A,$A180,'Budget-Yixing'!L:L)</f>
        <v>0</v>
      </c>
      <c r="M180" s="676">
        <f ca="1">SUMIF('Budget-ACPL'!$A:$A,$A180,'Budget-ACPL'!M:M)+SUMIF('Budget-ACPLHK'!$A:$A,$A180,'Budget-ACPLHK'!M:M)+SUMIF('Budget-ACPSZL'!$A:$A,$A180,'Budget-ACPSZL'!M:M)+SUMIF('Budget-ACPLSZ'!$A:$A,$A180,'Budget-ACPLSZ'!M:M)+SUMIF('Budget-ACPLGZ'!$A:$A,$A180,'Budget-ACPLGZ'!M:M)+SUMIF('Budget-Yixing'!$A:$A,$A180,'Budget-Yixing'!M:M)</f>
        <v>0</v>
      </c>
      <c r="N180" s="676">
        <f ca="1">SUMIF('Budget-ACPL'!$A:$A,$A180,'Budget-ACPL'!N:N)+SUMIF('Budget-ACPLHK'!$A:$A,$A180,'Budget-ACPLHK'!N:N)+SUMIF('Budget-ACPSZL'!$A:$A,$A180,'Budget-ACPSZL'!N:N)+SUMIF('Budget-ACPLSZ'!$A:$A,$A180,'Budget-ACPLSZ'!N:N)+SUMIF('Budget-ACPLGZ'!$A:$A,$A180,'Budget-ACPLGZ'!N:N)+SUMIF('Budget-Yixing'!$A:$A,$A180,'Budget-Yixing'!N:N)</f>
        <v>0</v>
      </c>
      <c r="O180" s="676">
        <f ca="1">SUMIF('Budget-ACPL'!$A:$A,$A180,'Budget-ACPL'!O:O)+SUMIF('Budget-ACPLHK'!$A:$A,$A180,'Budget-ACPLHK'!O:O)+SUMIF('Budget-ACPSZL'!$A:$A,$A180,'Budget-ACPSZL'!O:O)+SUMIF('Budget-ACPLSZ'!$A:$A,$A180,'Budget-ACPLSZ'!O:O)+SUMIF('Budget-ACPLGZ'!$A:$A,$A180,'Budget-ACPLGZ'!O:O)+SUMIF('Budget-Yixing'!$A:$A,$A180,'Budget-Yixing'!O:O)</f>
        <v>0</v>
      </c>
      <c r="P180" s="676">
        <f ca="1">SUMIF('Budget-ACPL'!$A:$A,$A180,'Budget-ACPL'!P:P)+SUMIF('Budget-ACPLHK'!$A:$A,$A180,'Budget-ACPLHK'!P:P)+SUMIF('Budget-ACPSZL'!$A:$A,$A180,'Budget-ACPSZL'!P:P)+SUMIF('Budget-ACPLSZ'!$A:$A,$A180,'Budget-ACPLSZ'!P:P)+SUMIF('Budget-ACPLGZ'!$A:$A,$A180,'Budget-ACPLGZ'!P:P)+SUMIF('Budget-Yixing'!$A:$A,$A180,'Budget-Yixing'!P:P)</f>
        <v>0</v>
      </c>
      <c r="Q180" s="676">
        <f ca="1">SUMIF('Budget-ACPL'!$A:$A,$A180,'Budget-ACPL'!Q:Q)+SUMIF('Budget-ACPLHK'!$A:$A,$A180,'Budget-ACPLHK'!Q:Q)+SUMIF('Budget-ACPSZL'!$A:$A,$A180,'Budget-ACPSZL'!Q:Q)+SUMIF('Budget-ACPLSZ'!$A:$A,$A180,'Budget-ACPLSZ'!Q:Q)+SUMIF('Budget-ACPLGZ'!$A:$A,$A180,'Budget-ACPLGZ'!Q:Q)+SUMIF('Budget-Yixing'!$A:$A,$A180,'Budget-Yixing'!Q:Q)</f>
        <v>0</v>
      </c>
      <c r="R180" s="676">
        <f ca="1">SUMIF('Budget-ACPL'!$A:$A,$A180,'Budget-ACPL'!R:R)+SUMIF('Budget-ACPLHK'!$A:$A,$A180,'Budget-ACPLHK'!R:R)+SUMIF('Budget-ACPSZL'!$A:$A,$A180,'Budget-ACPSZL'!R:R)+SUMIF('Budget-ACPLSZ'!$A:$A,$A180,'Budget-ACPLSZ'!R:R)+SUMIF('Budget-ACPLGZ'!$A:$A,$A180,'Budget-ACPLGZ'!R:R)+SUMIF('Budget-Yixing'!$A:$A,$A180,'Budget-Yixing'!R:R)</f>
        <v>0</v>
      </c>
      <c r="S180" s="676">
        <f ca="1">SUMIF('Budget-ACPL'!$A:$A,$A180,'Budget-ACPL'!S:S)+SUMIF('Budget-ACPLHK'!$A:$A,$A180,'Budget-ACPLHK'!S:S)+SUMIF('Budget-ACPSZL'!$A:$A,$A180,'Budget-ACPSZL'!S:S)+SUMIF('Budget-ACPLSZ'!$A:$A,$A180,'Budget-ACPLSZ'!S:S)+SUMIF('Budget-ACPLGZ'!$A:$A,$A180,'Budget-ACPLGZ'!S:S)+SUMIF('Budget-Yixing'!$A:$A,$A180,'Budget-Yixing'!S:S)</f>
        <v>0</v>
      </c>
      <c r="T180" s="676">
        <f ca="1">SUMIF('Budget-ACPL'!$A:$A,$A180,'Budget-ACPL'!T:T)+SUMIF('Budget-ACPLHK'!$A:$A,$A180,'Budget-ACPLHK'!T:T)+SUMIF('Budget-ACPSZL'!$A:$A,$A180,'Budget-ACPSZL'!T:T)+SUMIF('Budget-ACPLSZ'!$A:$A,$A180,'Budget-ACPLSZ'!T:T)+SUMIF('Budget-ACPLGZ'!$A:$A,$A180,'Budget-ACPLGZ'!T:T)+SUMIF('Budget-Yixing'!$A:$A,$A180,'Budget-Yixing'!T:T)</f>
        <v>0</v>
      </c>
      <c r="U180" s="676">
        <f ca="1">SUMIF('Budget-ACPL'!$A:$A,$A180,'Budget-ACPL'!U:U)+SUMIF('Budget-ACPLHK'!$A:$A,$A180,'Budget-ACPLHK'!U:U)+SUMIF('Budget-ACPSZL'!$A:$A,$A180,'Budget-ACPSZL'!U:U)+SUMIF('Budget-ACPLSZ'!$A:$A,$A180,'Budget-ACPLSZ'!U:U)+SUMIF('Budget-ACPLGZ'!$A:$A,$A180,'Budget-ACPLGZ'!U:U)+SUMIF('Budget-Yixing'!$A:$A,$A180,'Budget-Yixing'!U:U)</f>
        <v>0</v>
      </c>
      <c r="V180" s="676">
        <f ca="1">SUMIF('Budget-ACPL'!$A:$A,$A180,'Budget-ACPL'!V:V)+SUMIF('Budget-ACPLHK'!$A:$A,$A180,'Budget-ACPLHK'!V:V)+SUMIF('Budget-ACPSZL'!$A:$A,$A180,'Budget-ACPSZL'!V:V)+SUMIF('Budget-ACPLSZ'!$A:$A,$A180,'Budget-ACPLSZ'!V:V)+SUMIF('Budget-ACPLGZ'!$A:$A,$A180,'Budget-ACPLGZ'!V:V)+SUMIF('Budget-Yixing'!$A:$A,$A180,'Budget-Yixing'!V:V)</f>
        <v>0</v>
      </c>
      <c r="W180" s="676">
        <f t="shared" ca="1" si="65"/>
        <v>0</v>
      </c>
      <c r="Y180" s="688">
        <f ca="1">SUMIF('Budget-ACPL'!$A:$A,$A180,'Budget-ACPL'!Y:Y)+SUMIF('Budget-ACPLHK'!$A:$A,$A180,'Budget-ACPLHK'!Y:Y)+SUMIF('Budget-ACPSZL'!$A:$A,$A180,'Budget-ACPSZL'!Y:Y)+SUMIF('Budget-ACPLSZ'!$A:$A,$A180,'Budget-ACPLSZ'!Y:Y)+SUMIF('Budget-ACPLGZ'!$A:$A,$A180,'Budget-ACPLGZ'!Y:Y)+SUMIF('Budget-Yixing'!$A:$A,$A180,'Budget-Yixing'!Y:Y)</f>
        <v>0</v>
      </c>
      <c r="Z180" s="688">
        <f ca="1">SUMIF('Budget-ACPL'!$A:$A,$A180,'Budget-ACPL'!Z:Z)+SUMIF('Budget-ACPLHK'!$A:$A,$A180,'Budget-ACPLHK'!Z:Z)+SUMIF('Budget-ACPSZL'!$A:$A,$A180,'Budget-ACPSZL'!Z:Z)+SUMIF('Budget-ACPLSZ'!$A:$A,$A180,'Budget-ACPLSZ'!Z:Z)+SUMIF('Budget-ACPLGZ'!$A:$A,$A180,'Budget-ACPLGZ'!Z:Z)+SUMIF('Budget-Yixing'!$A:$A,$A180,'Budget-Yixing'!Z:Z)</f>
        <v>0</v>
      </c>
      <c r="AA180" s="688">
        <f ca="1">SUMIF('Budget-ACPL'!$A:$A,$A180,'Budget-ACPL'!AA:AA)+SUMIF('Budget-ACPLHK'!$A:$A,$A180,'Budget-ACPLHK'!AA:AA)+SUMIF('Budget-ACPSZL'!$A:$A,$A180,'Budget-ACPSZL'!AA:AA)+SUMIF('Budget-ACPLSZ'!$A:$A,$A180,'Budget-ACPLSZ'!AA:AA)+SUMIF('Budget-ACPLGZ'!$A:$A,$A180,'Budget-ACPLGZ'!AA:AA)+SUMIF('Budget-Yixing'!$A:$A,$A180,'Budget-Yixing'!AA:AA)</f>
        <v>0</v>
      </c>
      <c r="AB180" s="688">
        <f ca="1">SUMIF('Budget-ACPL'!$A:$A,$A180,'Budget-ACPL'!AB:AB)+SUMIF('Budget-ACPLHK'!$A:$A,$A180,'Budget-ACPLHK'!AB:AB)+SUMIF('Budget-ACPSZL'!$A:$A,$A180,'Budget-ACPSZL'!AB:AB)+SUMIF('Budget-ACPLSZ'!$A:$A,$A180,'Budget-ACPLSZ'!AB:AB)+SUMIF('Budget-ACPLGZ'!$A:$A,$A180,'Budget-ACPLGZ'!AB:AB)+SUMIF('Budget-Yixing'!$A:$A,$A180,'Budget-Yixing'!AB:AB)</f>
        <v>0</v>
      </c>
      <c r="AC180" s="688">
        <f ca="1">SUMIF('Budget-ACPL'!$A:$A,$A180,'Budget-ACPL'!AC:AC)+SUMIF('Budget-ACPLHK'!$A:$A,$A180,'Budget-ACPLHK'!AC:AC)+SUMIF('Budget-ACPSZL'!$A:$A,$A180,'Budget-ACPSZL'!AC:AC)+SUMIF('Budget-ACPLSZ'!$A:$A,$A180,'Budget-ACPLSZ'!AC:AC)+SUMIF('Budget-ACPLGZ'!$A:$A,$A180,'Budget-ACPLGZ'!AC:AC)+SUMIF('Budget-Yixing'!$A:$A,$A180,'Budget-Yixing'!AC:AC)</f>
        <v>0</v>
      </c>
      <c r="AD180" s="688">
        <f ca="1">SUMIF('Budget-ACPL'!$A:$A,$A180,'Budget-ACPL'!AD:AD)+SUMIF('Budget-ACPLHK'!$A:$A,$A180,'Budget-ACPLHK'!AD:AD)+SUMIF('Budget-ACPSZL'!$A:$A,$A180,'Budget-ACPSZL'!AD:AD)+SUMIF('Budget-ACPLSZ'!$A:$A,$A180,'Budget-ACPLSZ'!AD:AD)+SUMIF('Budget-ACPLGZ'!$A:$A,$A180,'Budget-ACPLGZ'!AD:AD)+SUMIF('Budget-Yixing'!$A:$A,$A180,'Budget-Yixing'!AD:AD)</f>
        <v>0</v>
      </c>
      <c r="AE180" s="688">
        <f ca="1">SUMIF('Budget-ACPL'!$A:$A,$A180,'Budget-ACPL'!AE:AE)+SUMIF('Budget-ACPLHK'!$A:$A,$A180,'Budget-ACPLHK'!AE:AE)+SUMIF('Budget-ACPSZL'!$A:$A,$A180,'Budget-ACPSZL'!AE:AE)+SUMIF('Budget-ACPLSZ'!$A:$A,$A180,'Budget-ACPLSZ'!AE:AE)+SUMIF('Budget-ACPLGZ'!$A:$A,$A180,'Budget-ACPLGZ'!AE:AE)+SUMIF('Budget-Yixing'!$A:$A,$A180,'Budget-Yixing'!AE:AE)</f>
        <v>0</v>
      </c>
      <c r="AF180" s="688">
        <f ca="1">SUMIF('Budget-ACPL'!$A:$A,$A180,'Budget-ACPL'!AF:AF)+SUMIF('Budget-ACPLHK'!$A:$A,$A180,'Budget-ACPLHK'!AF:AF)+SUMIF('Budget-ACPSZL'!$A:$A,$A180,'Budget-ACPSZL'!AF:AF)+SUMIF('Budget-ACPLSZ'!$A:$A,$A180,'Budget-ACPLSZ'!AF:AF)+SUMIF('Budget-ACPLGZ'!$A:$A,$A180,'Budget-ACPLGZ'!AF:AF)+SUMIF('Budget-Yixing'!$A:$A,$A180,'Budget-Yixing'!AF:AF)</f>
        <v>0</v>
      </c>
      <c r="AG180" s="688">
        <f ca="1">SUMIF('Budget-ACPL'!$A:$A,$A180,'Budget-ACPL'!AG:AG)+SUMIF('Budget-ACPLHK'!$A:$A,$A180,'Budget-ACPLHK'!AG:AG)+SUMIF('Budget-ACPSZL'!$A:$A,$A180,'Budget-ACPSZL'!AG:AG)+SUMIF('Budget-ACPLSZ'!$A:$A,$A180,'Budget-ACPLSZ'!AG:AG)+SUMIF('Budget-ACPLGZ'!$A:$A,$A180,'Budget-ACPLGZ'!AG:AG)+SUMIF('Budget-Yixing'!$A:$A,$A180,'Budget-Yixing'!AG:AG)</f>
        <v>0</v>
      </c>
      <c r="AH180" s="688">
        <f ca="1">SUMIF('Budget-ACPL'!$A:$A,$A180,'Budget-ACPL'!AH:AH)+SUMIF('Budget-ACPLHK'!$A:$A,$A180,'Budget-ACPLHK'!AH:AH)+SUMIF('Budget-ACPSZL'!$A:$A,$A180,'Budget-ACPSZL'!AH:AH)+SUMIF('Budget-ACPLSZ'!$A:$A,$A180,'Budget-ACPLSZ'!AH:AH)+SUMIF('Budget-ACPLGZ'!$A:$A,$A180,'Budget-ACPLGZ'!AH:AH)+SUMIF('Budget-Yixing'!$A:$A,$A180,'Budget-Yixing'!AH:AH)</f>
        <v>0</v>
      </c>
      <c r="AI180" s="688">
        <f ca="1">SUMIF('Budget-ACPL'!$A:$A,$A180,'Budget-ACPL'!AI:AI)+SUMIF('Budget-ACPLHK'!$A:$A,$A180,'Budget-ACPLHK'!AI:AI)+SUMIF('Budget-ACPSZL'!$A:$A,$A180,'Budget-ACPSZL'!AI:AI)+SUMIF('Budget-ACPLSZ'!$A:$A,$A180,'Budget-ACPLSZ'!AI:AI)+SUMIF('Budget-ACPLGZ'!$A:$A,$A180,'Budget-ACPLGZ'!AI:AI)+SUMIF('Budget-Yixing'!$A:$A,$A180,'Budget-Yixing'!AI:AI)</f>
        <v>0</v>
      </c>
      <c r="AJ180" s="688">
        <f ca="1">SUMIF('Budget-ACPL'!$A:$A,$A180,'Budget-ACPL'!AJ:AJ)+SUMIF('Budget-ACPLHK'!$A:$A,$A180,'Budget-ACPLHK'!AJ:AJ)+SUMIF('Budget-ACPSZL'!$A:$A,$A180,'Budget-ACPSZL'!AJ:AJ)+SUMIF('Budget-ACPLSZ'!$A:$A,$A180,'Budget-ACPLSZ'!AJ:AJ)+SUMIF('Budget-ACPLGZ'!$A:$A,$A180,'Budget-ACPLGZ'!AJ:AJ)+SUMIF('Budget-Yixing'!$A:$A,$A180,'Budget-Yixing'!AJ:AJ)</f>
        <v>0</v>
      </c>
      <c r="AK180" s="688">
        <f t="shared" ca="1" si="64"/>
        <v>0</v>
      </c>
    </row>
    <row r="181" spans="1:37" ht="13.5" hidden="1" customHeight="1">
      <c r="A181" s="713" t="s">
        <v>1973</v>
      </c>
      <c r="B181" s="687" t="str">
        <f>VLOOKUP(A181,Account!A:B,2,0)</f>
        <v>资产处置损益</v>
      </c>
      <c r="C181" s="687">
        <f>VLOOKUP(A181,Account!A:F,4,0)</f>
        <v>0</v>
      </c>
      <c r="D181" s="676">
        <f t="shared" ca="1" si="56"/>
        <v>0</v>
      </c>
      <c r="E181" s="676" t="e">
        <f t="shared" si="60"/>
        <v>#N/A</v>
      </c>
      <c r="F181" s="676" t="e">
        <f t="shared" ca="1" si="61"/>
        <v>#N/A</v>
      </c>
      <c r="G181" s="676">
        <f t="shared" ca="1" si="62"/>
        <v>0</v>
      </c>
      <c r="H181" s="676" t="e">
        <f t="shared" ca="1" si="63"/>
        <v>#N/A</v>
      </c>
      <c r="I181" s="676" t="e">
        <f t="shared" ca="1" si="57"/>
        <v>#N/A</v>
      </c>
      <c r="K181" s="676">
        <f ca="1">SUMIF('Budget-ACPL'!$A:$A,$A181,'Budget-ACPL'!K:K)+SUMIF('Budget-ACPLHK'!$A:$A,$A181,'Budget-ACPLHK'!K:K)+SUMIF('Budget-ACPSZL'!$A:$A,$A181,'Budget-ACPSZL'!K:K)+SUMIF('Budget-ACPLSZ'!$A:$A,$A181,'Budget-ACPLSZ'!K:K)+SUMIF('Budget-ACPLGZ'!$A:$A,$A181,'Budget-ACPLGZ'!K:K)+SUMIF('Budget-Yixing'!$A:$A,$A181,'Budget-Yixing'!K:K)</f>
        <v>0</v>
      </c>
      <c r="L181" s="676">
        <f ca="1">SUMIF('Budget-ACPL'!$A:$A,$A181,'Budget-ACPL'!L:L)+SUMIF('Budget-ACPLHK'!$A:$A,$A181,'Budget-ACPLHK'!L:L)+SUMIF('Budget-ACPSZL'!$A:$A,$A181,'Budget-ACPSZL'!L:L)+SUMIF('Budget-ACPLSZ'!$A:$A,$A181,'Budget-ACPLSZ'!L:L)+SUMIF('Budget-ACPLGZ'!$A:$A,$A181,'Budget-ACPLGZ'!L:L)+SUMIF('Budget-Yixing'!$A:$A,$A181,'Budget-Yixing'!L:L)</f>
        <v>0</v>
      </c>
      <c r="M181" s="676">
        <f ca="1">SUMIF('Budget-ACPL'!$A:$A,$A181,'Budget-ACPL'!M:M)+SUMIF('Budget-ACPLHK'!$A:$A,$A181,'Budget-ACPLHK'!M:M)+SUMIF('Budget-ACPSZL'!$A:$A,$A181,'Budget-ACPSZL'!M:M)+SUMIF('Budget-ACPLSZ'!$A:$A,$A181,'Budget-ACPLSZ'!M:M)+SUMIF('Budget-ACPLGZ'!$A:$A,$A181,'Budget-ACPLGZ'!M:M)+SUMIF('Budget-Yixing'!$A:$A,$A181,'Budget-Yixing'!M:M)</f>
        <v>0</v>
      </c>
      <c r="N181" s="676">
        <f ca="1">SUMIF('Budget-ACPL'!$A:$A,$A181,'Budget-ACPL'!N:N)+SUMIF('Budget-ACPLHK'!$A:$A,$A181,'Budget-ACPLHK'!N:N)+SUMIF('Budget-ACPSZL'!$A:$A,$A181,'Budget-ACPSZL'!N:N)+SUMIF('Budget-ACPLSZ'!$A:$A,$A181,'Budget-ACPLSZ'!N:N)+SUMIF('Budget-ACPLGZ'!$A:$A,$A181,'Budget-ACPLGZ'!N:N)+SUMIF('Budget-Yixing'!$A:$A,$A181,'Budget-Yixing'!N:N)</f>
        <v>0</v>
      </c>
      <c r="O181" s="676">
        <f ca="1">SUMIF('Budget-ACPL'!$A:$A,$A181,'Budget-ACPL'!O:O)+SUMIF('Budget-ACPLHK'!$A:$A,$A181,'Budget-ACPLHK'!O:O)+SUMIF('Budget-ACPSZL'!$A:$A,$A181,'Budget-ACPSZL'!O:O)+SUMIF('Budget-ACPLSZ'!$A:$A,$A181,'Budget-ACPLSZ'!O:O)+SUMIF('Budget-ACPLGZ'!$A:$A,$A181,'Budget-ACPLGZ'!O:O)+SUMIF('Budget-Yixing'!$A:$A,$A181,'Budget-Yixing'!O:O)</f>
        <v>0</v>
      </c>
      <c r="P181" s="676">
        <f ca="1">SUMIF('Budget-ACPL'!$A:$A,$A181,'Budget-ACPL'!P:P)+SUMIF('Budget-ACPLHK'!$A:$A,$A181,'Budget-ACPLHK'!P:P)+SUMIF('Budget-ACPSZL'!$A:$A,$A181,'Budget-ACPSZL'!P:P)+SUMIF('Budget-ACPLSZ'!$A:$A,$A181,'Budget-ACPLSZ'!P:P)+SUMIF('Budget-ACPLGZ'!$A:$A,$A181,'Budget-ACPLGZ'!P:P)+SUMIF('Budget-Yixing'!$A:$A,$A181,'Budget-Yixing'!P:P)</f>
        <v>0</v>
      </c>
      <c r="Q181" s="676">
        <f ca="1">SUMIF('Budget-ACPL'!$A:$A,$A181,'Budget-ACPL'!Q:Q)+SUMIF('Budget-ACPLHK'!$A:$A,$A181,'Budget-ACPLHK'!Q:Q)+SUMIF('Budget-ACPSZL'!$A:$A,$A181,'Budget-ACPSZL'!Q:Q)+SUMIF('Budget-ACPLSZ'!$A:$A,$A181,'Budget-ACPLSZ'!Q:Q)+SUMIF('Budget-ACPLGZ'!$A:$A,$A181,'Budget-ACPLGZ'!Q:Q)+SUMIF('Budget-Yixing'!$A:$A,$A181,'Budget-Yixing'!Q:Q)</f>
        <v>0</v>
      </c>
      <c r="R181" s="676">
        <f ca="1">SUMIF('Budget-ACPL'!$A:$A,$A181,'Budget-ACPL'!R:R)+SUMIF('Budget-ACPLHK'!$A:$A,$A181,'Budget-ACPLHK'!R:R)+SUMIF('Budget-ACPSZL'!$A:$A,$A181,'Budget-ACPSZL'!R:R)+SUMIF('Budget-ACPLSZ'!$A:$A,$A181,'Budget-ACPLSZ'!R:R)+SUMIF('Budget-ACPLGZ'!$A:$A,$A181,'Budget-ACPLGZ'!R:R)+SUMIF('Budget-Yixing'!$A:$A,$A181,'Budget-Yixing'!R:R)</f>
        <v>0</v>
      </c>
      <c r="S181" s="676">
        <f ca="1">SUMIF('Budget-ACPL'!$A:$A,$A181,'Budget-ACPL'!S:S)+SUMIF('Budget-ACPLHK'!$A:$A,$A181,'Budget-ACPLHK'!S:S)+SUMIF('Budget-ACPSZL'!$A:$A,$A181,'Budget-ACPSZL'!S:S)+SUMIF('Budget-ACPLSZ'!$A:$A,$A181,'Budget-ACPLSZ'!S:S)+SUMIF('Budget-ACPLGZ'!$A:$A,$A181,'Budget-ACPLGZ'!S:S)+SUMIF('Budget-Yixing'!$A:$A,$A181,'Budget-Yixing'!S:S)</f>
        <v>0</v>
      </c>
      <c r="T181" s="676">
        <f ca="1">SUMIF('Budget-ACPL'!$A:$A,$A181,'Budget-ACPL'!T:T)+SUMIF('Budget-ACPLHK'!$A:$A,$A181,'Budget-ACPLHK'!T:T)+SUMIF('Budget-ACPSZL'!$A:$A,$A181,'Budget-ACPSZL'!T:T)+SUMIF('Budget-ACPLSZ'!$A:$A,$A181,'Budget-ACPLSZ'!T:T)+SUMIF('Budget-ACPLGZ'!$A:$A,$A181,'Budget-ACPLGZ'!T:T)+SUMIF('Budget-Yixing'!$A:$A,$A181,'Budget-Yixing'!T:T)</f>
        <v>0</v>
      </c>
      <c r="U181" s="676">
        <f ca="1">SUMIF('Budget-ACPL'!$A:$A,$A181,'Budget-ACPL'!U:U)+SUMIF('Budget-ACPLHK'!$A:$A,$A181,'Budget-ACPLHK'!U:U)+SUMIF('Budget-ACPSZL'!$A:$A,$A181,'Budget-ACPSZL'!U:U)+SUMIF('Budget-ACPLSZ'!$A:$A,$A181,'Budget-ACPLSZ'!U:U)+SUMIF('Budget-ACPLGZ'!$A:$A,$A181,'Budget-ACPLGZ'!U:U)+SUMIF('Budget-Yixing'!$A:$A,$A181,'Budget-Yixing'!U:U)</f>
        <v>0</v>
      </c>
      <c r="V181" s="676">
        <f ca="1">SUMIF('Budget-ACPL'!$A:$A,$A181,'Budget-ACPL'!V:V)+SUMIF('Budget-ACPLHK'!$A:$A,$A181,'Budget-ACPLHK'!V:V)+SUMIF('Budget-ACPSZL'!$A:$A,$A181,'Budget-ACPSZL'!V:V)+SUMIF('Budget-ACPLSZ'!$A:$A,$A181,'Budget-ACPLSZ'!V:V)+SUMIF('Budget-ACPLGZ'!$A:$A,$A181,'Budget-ACPLGZ'!V:V)+SUMIF('Budget-Yixing'!$A:$A,$A181,'Budget-Yixing'!V:V)</f>
        <v>0</v>
      </c>
      <c r="W181" s="676">
        <f t="shared" ca="1" si="65"/>
        <v>0</v>
      </c>
      <c r="Y181" s="688">
        <f ca="1">SUMIF('Budget-ACPL'!$A:$A,$A181,'Budget-ACPL'!Y:Y)+SUMIF('Budget-ACPLHK'!$A:$A,$A181,'Budget-ACPLHK'!Y:Y)+SUMIF('Budget-ACPSZL'!$A:$A,$A181,'Budget-ACPSZL'!Y:Y)+SUMIF('Budget-ACPLSZ'!$A:$A,$A181,'Budget-ACPLSZ'!Y:Y)+SUMIF('Budget-ACPLGZ'!$A:$A,$A181,'Budget-ACPLGZ'!Y:Y)+SUMIF('Budget-Yixing'!$A:$A,$A181,'Budget-Yixing'!Y:Y)</f>
        <v>224697.56</v>
      </c>
      <c r="Z181" s="688">
        <f ca="1">SUMIF('Budget-ACPL'!$A:$A,$A181,'Budget-ACPL'!Z:Z)+SUMIF('Budget-ACPLHK'!$A:$A,$A181,'Budget-ACPLHK'!Z:Z)+SUMIF('Budget-ACPSZL'!$A:$A,$A181,'Budget-ACPSZL'!Z:Z)+SUMIF('Budget-ACPLSZ'!$A:$A,$A181,'Budget-ACPLSZ'!Z:Z)+SUMIF('Budget-ACPLGZ'!$A:$A,$A181,'Budget-ACPLGZ'!Z:Z)+SUMIF('Budget-Yixing'!$A:$A,$A181,'Budget-Yixing'!Z:Z)</f>
        <v>0</v>
      </c>
      <c r="AA181" s="688">
        <f ca="1">SUMIF('Budget-ACPL'!$A:$A,$A181,'Budget-ACPL'!AA:AA)+SUMIF('Budget-ACPLHK'!$A:$A,$A181,'Budget-ACPLHK'!AA:AA)+SUMIF('Budget-ACPSZL'!$A:$A,$A181,'Budget-ACPSZL'!AA:AA)+SUMIF('Budget-ACPLSZ'!$A:$A,$A181,'Budget-ACPLSZ'!AA:AA)+SUMIF('Budget-ACPLGZ'!$A:$A,$A181,'Budget-ACPLGZ'!AA:AA)+SUMIF('Budget-Yixing'!$A:$A,$A181,'Budget-Yixing'!AA:AA)</f>
        <v>0</v>
      </c>
      <c r="AB181" s="688">
        <f ca="1">SUMIF('Budget-ACPL'!$A:$A,$A181,'Budget-ACPL'!AB:AB)+SUMIF('Budget-ACPLHK'!$A:$A,$A181,'Budget-ACPLHK'!AB:AB)+SUMIF('Budget-ACPSZL'!$A:$A,$A181,'Budget-ACPSZL'!AB:AB)+SUMIF('Budget-ACPLSZ'!$A:$A,$A181,'Budget-ACPLSZ'!AB:AB)+SUMIF('Budget-ACPLGZ'!$A:$A,$A181,'Budget-ACPLGZ'!AB:AB)+SUMIF('Budget-Yixing'!$A:$A,$A181,'Budget-Yixing'!AB:AB)</f>
        <v>0</v>
      </c>
      <c r="AC181" s="688">
        <f ca="1">SUMIF('Budget-ACPL'!$A:$A,$A181,'Budget-ACPL'!AC:AC)+SUMIF('Budget-ACPLHK'!$A:$A,$A181,'Budget-ACPLHK'!AC:AC)+SUMIF('Budget-ACPSZL'!$A:$A,$A181,'Budget-ACPSZL'!AC:AC)+SUMIF('Budget-ACPLSZ'!$A:$A,$A181,'Budget-ACPLSZ'!AC:AC)+SUMIF('Budget-ACPLGZ'!$A:$A,$A181,'Budget-ACPLGZ'!AC:AC)+SUMIF('Budget-Yixing'!$A:$A,$A181,'Budget-Yixing'!AC:AC)</f>
        <v>0</v>
      </c>
      <c r="AD181" s="688">
        <f ca="1">SUMIF('Budget-ACPL'!$A:$A,$A181,'Budget-ACPL'!AD:AD)+SUMIF('Budget-ACPLHK'!$A:$A,$A181,'Budget-ACPLHK'!AD:AD)+SUMIF('Budget-ACPSZL'!$A:$A,$A181,'Budget-ACPSZL'!AD:AD)+SUMIF('Budget-ACPLSZ'!$A:$A,$A181,'Budget-ACPLSZ'!AD:AD)+SUMIF('Budget-ACPLGZ'!$A:$A,$A181,'Budget-ACPLGZ'!AD:AD)+SUMIF('Budget-Yixing'!$A:$A,$A181,'Budget-Yixing'!AD:AD)</f>
        <v>0</v>
      </c>
      <c r="AE181" s="688">
        <f ca="1">SUMIF('Budget-ACPL'!$A:$A,$A181,'Budget-ACPL'!AE:AE)+SUMIF('Budget-ACPLHK'!$A:$A,$A181,'Budget-ACPLHK'!AE:AE)+SUMIF('Budget-ACPSZL'!$A:$A,$A181,'Budget-ACPSZL'!AE:AE)+SUMIF('Budget-ACPLSZ'!$A:$A,$A181,'Budget-ACPLSZ'!AE:AE)+SUMIF('Budget-ACPLGZ'!$A:$A,$A181,'Budget-ACPLGZ'!AE:AE)+SUMIF('Budget-Yixing'!$A:$A,$A181,'Budget-Yixing'!AE:AE)</f>
        <v>0</v>
      </c>
      <c r="AF181" s="688">
        <f ca="1">SUMIF('Budget-ACPL'!$A:$A,$A181,'Budget-ACPL'!AF:AF)+SUMIF('Budget-ACPLHK'!$A:$A,$A181,'Budget-ACPLHK'!AF:AF)+SUMIF('Budget-ACPSZL'!$A:$A,$A181,'Budget-ACPSZL'!AF:AF)+SUMIF('Budget-ACPLSZ'!$A:$A,$A181,'Budget-ACPLSZ'!AF:AF)+SUMIF('Budget-ACPLGZ'!$A:$A,$A181,'Budget-ACPLGZ'!AF:AF)+SUMIF('Budget-Yixing'!$A:$A,$A181,'Budget-Yixing'!AF:AF)</f>
        <v>0</v>
      </c>
      <c r="AG181" s="688">
        <f ca="1">SUMIF('Budget-ACPL'!$A:$A,$A181,'Budget-ACPL'!AG:AG)+SUMIF('Budget-ACPLHK'!$A:$A,$A181,'Budget-ACPLHK'!AG:AG)+SUMIF('Budget-ACPSZL'!$A:$A,$A181,'Budget-ACPSZL'!AG:AG)+SUMIF('Budget-ACPLSZ'!$A:$A,$A181,'Budget-ACPLSZ'!AG:AG)+SUMIF('Budget-ACPLGZ'!$A:$A,$A181,'Budget-ACPLGZ'!AG:AG)+SUMIF('Budget-Yixing'!$A:$A,$A181,'Budget-Yixing'!AG:AG)</f>
        <v>0</v>
      </c>
      <c r="AH181" s="688">
        <f ca="1">SUMIF('Budget-ACPL'!$A:$A,$A181,'Budget-ACPL'!AH:AH)+SUMIF('Budget-ACPLHK'!$A:$A,$A181,'Budget-ACPLHK'!AH:AH)+SUMIF('Budget-ACPSZL'!$A:$A,$A181,'Budget-ACPSZL'!AH:AH)+SUMIF('Budget-ACPLSZ'!$A:$A,$A181,'Budget-ACPLSZ'!AH:AH)+SUMIF('Budget-ACPLGZ'!$A:$A,$A181,'Budget-ACPLGZ'!AH:AH)+SUMIF('Budget-Yixing'!$A:$A,$A181,'Budget-Yixing'!AH:AH)</f>
        <v>0</v>
      </c>
      <c r="AI181" s="688">
        <f ca="1">SUMIF('Budget-ACPL'!$A:$A,$A181,'Budget-ACPL'!AI:AI)+SUMIF('Budget-ACPLHK'!$A:$A,$A181,'Budget-ACPLHK'!AI:AI)+SUMIF('Budget-ACPSZL'!$A:$A,$A181,'Budget-ACPSZL'!AI:AI)+SUMIF('Budget-ACPLSZ'!$A:$A,$A181,'Budget-ACPLSZ'!AI:AI)+SUMIF('Budget-ACPLGZ'!$A:$A,$A181,'Budget-ACPLGZ'!AI:AI)+SUMIF('Budget-Yixing'!$A:$A,$A181,'Budget-Yixing'!AI:AI)</f>
        <v>0</v>
      </c>
      <c r="AJ181" s="688">
        <f ca="1">SUMIF('Budget-ACPL'!$A:$A,$A181,'Budget-ACPL'!AJ:AJ)+SUMIF('Budget-ACPLHK'!$A:$A,$A181,'Budget-ACPLHK'!AJ:AJ)+SUMIF('Budget-ACPSZL'!$A:$A,$A181,'Budget-ACPSZL'!AJ:AJ)+SUMIF('Budget-ACPLSZ'!$A:$A,$A181,'Budget-ACPLSZ'!AJ:AJ)+SUMIF('Budget-ACPLGZ'!$A:$A,$A181,'Budget-ACPLGZ'!AJ:AJ)+SUMIF('Budget-Yixing'!$A:$A,$A181,'Budget-Yixing'!AJ:AJ)</f>
        <v>0</v>
      </c>
      <c r="AK181" s="688">
        <f t="shared" ca="1" si="64"/>
        <v>224697.56</v>
      </c>
    </row>
    <row r="182" spans="1:37" ht="13.5" hidden="1" customHeight="1">
      <c r="A182" s="713" t="s">
        <v>1976</v>
      </c>
      <c r="B182" s="687" t="str">
        <f>VLOOKUP(A182,Account!A:B,2,0)</f>
        <v>净敞口套期损益</v>
      </c>
      <c r="C182" s="687">
        <f>VLOOKUP(A182,Account!A:F,4,0)</f>
        <v>0</v>
      </c>
      <c r="D182" s="676">
        <f t="shared" ca="1" si="56"/>
        <v>0</v>
      </c>
      <c r="E182" s="676" t="e">
        <f t="shared" si="60"/>
        <v>#N/A</v>
      </c>
      <c r="F182" s="676" t="e">
        <f t="shared" ca="1" si="61"/>
        <v>#N/A</v>
      </c>
      <c r="G182" s="676">
        <f t="shared" ca="1" si="62"/>
        <v>0</v>
      </c>
      <c r="H182" s="676" t="e">
        <f t="shared" ca="1" si="63"/>
        <v>#N/A</v>
      </c>
      <c r="I182" s="676" t="e">
        <f t="shared" ca="1" si="57"/>
        <v>#N/A</v>
      </c>
      <c r="K182" s="676">
        <f ca="1">SUMIF('Budget-ACPL'!$A:$A,$A182,'Budget-ACPL'!K:K)+SUMIF('Budget-ACPLHK'!$A:$A,$A182,'Budget-ACPLHK'!K:K)+SUMIF('Budget-ACPSZL'!$A:$A,$A182,'Budget-ACPSZL'!K:K)+SUMIF('Budget-ACPLSZ'!$A:$A,$A182,'Budget-ACPLSZ'!K:K)+SUMIF('Budget-ACPLGZ'!$A:$A,$A182,'Budget-ACPLGZ'!K:K)+SUMIF('Budget-Yixing'!$A:$A,$A182,'Budget-Yixing'!K:K)</f>
        <v>0</v>
      </c>
      <c r="L182" s="676">
        <f ca="1">SUMIF('Budget-ACPL'!$A:$A,$A182,'Budget-ACPL'!L:L)+SUMIF('Budget-ACPLHK'!$A:$A,$A182,'Budget-ACPLHK'!L:L)+SUMIF('Budget-ACPSZL'!$A:$A,$A182,'Budget-ACPSZL'!L:L)+SUMIF('Budget-ACPLSZ'!$A:$A,$A182,'Budget-ACPLSZ'!L:L)+SUMIF('Budget-ACPLGZ'!$A:$A,$A182,'Budget-ACPLGZ'!L:L)+SUMIF('Budget-Yixing'!$A:$A,$A182,'Budget-Yixing'!L:L)</f>
        <v>0</v>
      </c>
      <c r="M182" s="676">
        <f ca="1">SUMIF('Budget-ACPL'!$A:$A,$A182,'Budget-ACPL'!M:M)+SUMIF('Budget-ACPLHK'!$A:$A,$A182,'Budget-ACPLHK'!M:M)+SUMIF('Budget-ACPSZL'!$A:$A,$A182,'Budget-ACPSZL'!M:M)+SUMIF('Budget-ACPLSZ'!$A:$A,$A182,'Budget-ACPLSZ'!M:M)+SUMIF('Budget-ACPLGZ'!$A:$A,$A182,'Budget-ACPLGZ'!M:M)+SUMIF('Budget-Yixing'!$A:$A,$A182,'Budget-Yixing'!M:M)</f>
        <v>0</v>
      </c>
      <c r="N182" s="676">
        <f ca="1">SUMIF('Budget-ACPL'!$A:$A,$A182,'Budget-ACPL'!N:N)+SUMIF('Budget-ACPLHK'!$A:$A,$A182,'Budget-ACPLHK'!N:N)+SUMIF('Budget-ACPSZL'!$A:$A,$A182,'Budget-ACPSZL'!N:N)+SUMIF('Budget-ACPLSZ'!$A:$A,$A182,'Budget-ACPLSZ'!N:N)+SUMIF('Budget-ACPLGZ'!$A:$A,$A182,'Budget-ACPLGZ'!N:N)+SUMIF('Budget-Yixing'!$A:$A,$A182,'Budget-Yixing'!N:N)</f>
        <v>0</v>
      </c>
      <c r="O182" s="676">
        <f ca="1">SUMIF('Budget-ACPL'!$A:$A,$A182,'Budget-ACPL'!O:O)+SUMIF('Budget-ACPLHK'!$A:$A,$A182,'Budget-ACPLHK'!O:O)+SUMIF('Budget-ACPSZL'!$A:$A,$A182,'Budget-ACPSZL'!O:O)+SUMIF('Budget-ACPLSZ'!$A:$A,$A182,'Budget-ACPLSZ'!O:O)+SUMIF('Budget-ACPLGZ'!$A:$A,$A182,'Budget-ACPLGZ'!O:O)+SUMIF('Budget-Yixing'!$A:$A,$A182,'Budget-Yixing'!O:O)</f>
        <v>0</v>
      </c>
      <c r="P182" s="676">
        <f ca="1">SUMIF('Budget-ACPL'!$A:$A,$A182,'Budget-ACPL'!P:P)+SUMIF('Budget-ACPLHK'!$A:$A,$A182,'Budget-ACPLHK'!P:P)+SUMIF('Budget-ACPSZL'!$A:$A,$A182,'Budget-ACPSZL'!P:P)+SUMIF('Budget-ACPLSZ'!$A:$A,$A182,'Budget-ACPLSZ'!P:P)+SUMIF('Budget-ACPLGZ'!$A:$A,$A182,'Budget-ACPLGZ'!P:P)+SUMIF('Budget-Yixing'!$A:$A,$A182,'Budget-Yixing'!P:P)</f>
        <v>0</v>
      </c>
      <c r="Q182" s="676">
        <f ca="1">SUMIF('Budget-ACPL'!$A:$A,$A182,'Budget-ACPL'!Q:Q)+SUMIF('Budget-ACPLHK'!$A:$A,$A182,'Budget-ACPLHK'!Q:Q)+SUMIF('Budget-ACPSZL'!$A:$A,$A182,'Budget-ACPSZL'!Q:Q)+SUMIF('Budget-ACPLSZ'!$A:$A,$A182,'Budget-ACPLSZ'!Q:Q)+SUMIF('Budget-ACPLGZ'!$A:$A,$A182,'Budget-ACPLGZ'!Q:Q)+SUMIF('Budget-Yixing'!$A:$A,$A182,'Budget-Yixing'!Q:Q)</f>
        <v>0</v>
      </c>
      <c r="R182" s="676">
        <f ca="1">SUMIF('Budget-ACPL'!$A:$A,$A182,'Budget-ACPL'!R:R)+SUMIF('Budget-ACPLHK'!$A:$A,$A182,'Budget-ACPLHK'!R:R)+SUMIF('Budget-ACPSZL'!$A:$A,$A182,'Budget-ACPSZL'!R:R)+SUMIF('Budget-ACPLSZ'!$A:$A,$A182,'Budget-ACPLSZ'!R:R)+SUMIF('Budget-ACPLGZ'!$A:$A,$A182,'Budget-ACPLGZ'!R:R)+SUMIF('Budget-Yixing'!$A:$A,$A182,'Budget-Yixing'!R:R)</f>
        <v>0</v>
      </c>
      <c r="S182" s="676">
        <f ca="1">SUMIF('Budget-ACPL'!$A:$A,$A182,'Budget-ACPL'!S:S)+SUMIF('Budget-ACPLHK'!$A:$A,$A182,'Budget-ACPLHK'!S:S)+SUMIF('Budget-ACPSZL'!$A:$A,$A182,'Budget-ACPSZL'!S:S)+SUMIF('Budget-ACPLSZ'!$A:$A,$A182,'Budget-ACPLSZ'!S:S)+SUMIF('Budget-ACPLGZ'!$A:$A,$A182,'Budget-ACPLGZ'!S:S)+SUMIF('Budget-Yixing'!$A:$A,$A182,'Budget-Yixing'!S:S)</f>
        <v>0</v>
      </c>
      <c r="T182" s="676">
        <f ca="1">SUMIF('Budget-ACPL'!$A:$A,$A182,'Budget-ACPL'!T:T)+SUMIF('Budget-ACPLHK'!$A:$A,$A182,'Budget-ACPLHK'!T:T)+SUMIF('Budget-ACPSZL'!$A:$A,$A182,'Budget-ACPSZL'!T:T)+SUMIF('Budget-ACPLSZ'!$A:$A,$A182,'Budget-ACPLSZ'!T:T)+SUMIF('Budget-ACPLGZ'!$A:$A,$A182,'Budget-ACPLGZ'!T:T)+SUMIF('Budget-Yixing'!$A:$A,$A182,'Budget-Yixing'!T:T)</f>
        <v>0</v>
      </c>
      <c r="U182" s="676">
        <f ca="1">SUMIF('Budget-ACPL'!$A:$A,$A182,'Budget-ACPL'!U:U)+SUMIF('Budget-ACPLHK'!$A:$A,$A182,'Budget-ACPLHK'!U:U)+SUMIF('Budget-ACPSZL'!$A:$A,$A182,'Budget-ACPSZL'!U:U)+SUMIF('Budget-ACPLSZ'!$A:$A,$A182,'Budget-ACPLSZ'!U:U)+SUMIF('Budget-ACPLGZ'!$A:$A,$A182,'Budget-ACPLGZ'!U:U)+SUMIF('Budget-Yixing'!$A:$A,$A182,'Budget-Yixing'!U:U)</f>
        <v>0</v>
      </c>
      <c r="V182" s="676">
        <f ca="1">SUMIF('Budget-ACPL'!$A:$A,$A182,'Budget-ACPL'!V:V)+SUMIF('Budget-ACPLHK'!$A:$A,$A182,'Budget-ACPLHK'!V:V)+SUMIF('Budget-ACPSZL'!$A:$A,$A182,'Budget-ACPSZL'!V:V)+SUMIF('Budget-ACPLSZ'!$A:$A,$A182,'Budget-ACPLSZ'!V:V)+SUMIF('Budget-ACPLGZ'!$A:$A,$A182,'Budget-ACPLGZ'!V:V)+SUMIF('Budget-Yixing'!$A:$A,$A182,'Budget-Yixing'!V:V)</f>
        <v>0</v>
      </c>
      <c r="W182" s="676">
        <f t="shared" ca="1" si="65"/>
        <v>0</v>
      </c>
      <c r="Y182" s="688">
        <f ca="1">SUMIF('Budget-ACPL'!$A:$A,$A182,'Budget-ACPL'!Y:Y)+SUMIF('Budget-ACPLHK'!$A:$A,$A182,'Budget-ACPLHK'!Y:Y)+SUMIF('Budget-ACPSZL'!$A:$A,$A182,'Budget-ACPSZL'!Y:Y)+SUMIF('Budget-ACPLSZ'!$A:$A,$A182,'Budget-ACPLSZ'!Y:Y)+SUMIF('Budget-ACPLGZ'!$A:$A,$A182,'Budget-ACPLGZ'!Y:Y)+SUMIF('Budget-Yixing'!$A:$A,$A182,'Budget-Yixing'!Y:Y)</f>
        <v>0</v>
      </c>
      <c r="Z182" s="688">
        <f ca="1">SUMIF('Budget-ACPL'!$A:$A,$A182,'Budget-ACPL'!Z:Z)+SUMIF('Budget-ACPLHK'!$A:$A,$A182,'Budget-ACPLHK'!Z:Z)+SUMIF('Budget-ACPSZL'!$A:$A,$A182,'Budget-ACPSZL'!Z:Z)+SUMIF('Budget-ACPLSZ'!$A:$A,$A182,'Budget-ACPLSZ'!Z:Z)+SUMIF('Budget-ACPLGZ'!$A:$A,$A182,'Budget-ACPLGZ'!Z:Z)+SUMIF('Budget-Yixing'!$A:$A,$A182,'Budget-Yixing'!Z:Z)</f>
        <v>0</v>
      </c>
      <c r="AA182" s="688">
        <f ca="1">SUMIF('Budget-ACPL'!$A:$A,$A182,'Budget-ACPL'!AA:AA)+SUMIF('Budget-ACPLHK'!$A:$A,$A182,'Budget-ACPLHK'!AA:AA)+SUMIF('Budget-ACPSZL'!$A:$A,$A182,'Budget-ACPSZL'!AA:AA)+SUMIF('Budget-ACPLSZ'!$A:$A,$A182,'Budget-ACPLSZ'!AA:AA)+SUMIF('Budget-ACPLGZ'!$A:$A,$A182,'Budget-ACPLGZ'!AA:AA)+SUMIF('Budget-Yixing'!$A:$A,$A182,'Budget-Yixing'!AA:AA)</f>
        <v>0</v>
      </c>
      <c r="AB182" s="688">
        <f ca="1">SUMIF('Budget-ACPL'!$A:$A,$A182,'Budget-ACPL'!AB:AB)+SUMIF('Budget-ACPLHK'!$A:$A,$A182,'Budget-ACPLHK'!AB:AB)+SUMIF('Budget-ACPSZL'!$A:$A,$A182,'Budget-ACPSZL'!AB:AB)+SUMIF('Budget-ACPLSZ'!$A:$A,$A182,'Budget-ACPLSZ'!AB:AB)+SUMIF('Budget-ACPLGZ'!$A:$A,$A182,'Budget-ACPLGZ'!AB:AB)+SUMIF('Budget-Yixing'!$A:$A,$A182,'Budget-Yixing'!AB:AB)</f>
        <v>0</v>
      </c>
      <c r="AC182" s="688">
        <f ca="1">SUMIF('Budget-ACPL'!$A:$A,$A182,'Budget-ACPL'!AC:AC)+SUMIF('Budget-ACPLHK'!$A:$A,$A182,'Budget-ACPLHK'!AC:AC)+SUMIF('Budget-ACPSZL'!$A:$A,$A182,'Budget-ACPSZL'!AC:AC)+SUMIF('Budget-ACPLSZ'!$A:$A,$A182,'Budget-ACPLSZ'!AC:AC)+SUMIF('Budget-ACPLGZ'!$A:$A,$A182,'Budget-ACPLGZ'!AC:AC)+SUMIF('Budget-Yixing'!$A:$A,$A182,'Budget-Yixing'!AC:AC)</f>
        <v>0</v>
      </c>
      <c r="AD182" s="688">
        <f ca="1">SUMIF('Budget-ACPL'!$A:$A,$A182,'Budget-ACPL'!AD:AD)+SUMIF('Budget-ACPLHK'!$A:$A,$A182,'Budget-ACPLHK'!AD:AD)+SUMIF('Budget-ACPSZL'!$A:$A,$A182,'Budget-ACPSZL'!AD:AD)+SUMIF('Budget-ACPLSZ'!$A:$A,$A182,'Budget-ACPLSZ'!AD:AD)+SUMIF('Budget-ACPLGZ'!$A:$A,$A182,'Budget-ACPLGZ'!AD:AD)+SUMIF('Budget-Yixing'!$A:$A,$A182,'Budget-Yixing'!AD:AD)</f>
        <v>0</v>
      </c>
      <c r="AE182" s="688">
        <f ca="1">SUMIF('Budget-ACPL'!$A:$A,$A182,'Budget-ACPL'!AE:AE)+SUMIF('Budget-ACPLHK'!$A:$A,$A182,'Budget-ACPLHK'!AE:AE)+SUMIF('Budget-ACPSZL'!$A:$A,$A182,'Budget-ACPSZL'!AE:AE)+SUMIF('Budget-ACPLSZ'!$A:$A,$A182,'Budget-ACPLSZ'!AE:AE)+SUMIF('Budget-ACPLGZ'!$A:$A,$A182,'Budget-ACPLGZ'!AE:AE)+SUMIF('Budget-Yixing'!$A:$A,$A182,'Budget-Yixing'!AE:AE)</f>
        <v>0</v>
      </c>
      <c r="AF182" s="688">
        <f ca="1">SUMIF('Budget-ACPL'!$A:$A,$A182,'Budget-ACPL'!AF:AF)+SUMIF('Budget-ACPLHK'!$A:$A,$A182,'Budget-ACPLHK'!AF:AF)+SUMIF('Budget-ACPSZL'!$A:$A,$A182,'Budget-ACPSZL'!AF:AF)+SUMIF('Budget-ACPLSZ'!$A:$A,$A182,'Budget-ACPLSZ'!AF:AF)+SUMIF('Budget-ACPLGZ'!$A:$A,$A182,'Budget-ACPLGZ'!AF:AF)+SUMIF('Budget-Yixing'!$A:$A,$A182,'Budget-Yixing'!AF:AF)</f>
        <v>0</v>
      </c>
      <c r="AG182" s="688">
        <f ca="1">SUMIF('Budget-ACPL'!$A:$A,$A182,'Budget-ACPL'!AG:AG)+SUMIF('Budget-ACPLHK'!$A:$A,$A182,'Budget-ACPLHK'!AG:AG)+SUMIF('Budget-ACPSZL'!$A:$A,$A182,'Budget-ACPSZL'!AG:AG)+SUMIF('Budget-ACPLSZ'!$A:$A,$A182,'Budget-ACPLSZ'!AG:AG)+SUMIF('Budget-ACPLGZ'!$A:$A,$A182,'Budget-ACPLGZ'!AG:AG)+SUMIF('Budget-Yixing'!$A:$A,$A182,'Budget-Yixing'!AG:AG)</f>
        <v>0</v>
      </c>
      <c r="AH182" s="688">
        <f ca="1">SUMIF('Budget-ACPL'!$A:$A,$A182,'Budget-ACPL'!AH:AH)+SUMIF('Budget-ACPLHK'!$A:$A,$A182,'Budget-ACPLHK'!AH:AH)+SUMIF('Budget-ACPSZL'!$A:$A,$A182,'Budget-ACPSZL'!AH:AH)+SUMIF('Budget-ACPLSZ'!$A:$A,$A182,'Budget-ACPLSZ'!AH:AH)+SUMIF('Budget-ACPLGZ'!$A:$A,$A182,'Budget-ACPLGZ'!AH:AH)+SUMIF('Budget-Yixing'!$A:$A,$A182,'Budget-Yixing'!AH:AH)</f>
        <v>0</v>
      </c>
      <c r="AI182" s="688">
        <f ca="1">SUMIF('Budget-ACPL'!$A:$A,$A182,'Budget-ACPL'!AI:AI)+SUMIF('Budget-ACPLHK'!$A:$A,$A182,'Budget-ACPLHK'!AI:AI)+SUMIF('Budget-ACPSZL'!$A:$A,$A182,'Budget-ACPSZL'!AI:AI)+SUMIF('Budget-ACPLSZ'!$A:$A,$A182,'Budget-ACPLSZ'!AI:AI)+SUMIF('Budget-ACPLGZ'!$A:$A,$A182,'Budget-ACPLGZ'!AI:AI)+SUMIF('Budget-Yixing'!$A:$A,$A182,'Budget-Yixing'!AI:AI)</f>
        <v>0</v>
      </c>
      <c r="AJ182" s="688">
        <f ca="1">SUMIF('Budget-ACPL'!$A:$A,$A182,'Budget-ACPL'!AJ:AJ)+SUMIF('Budget-ACPLHK'!$A:$A,$A182,'Budget-ACPLHK'!AJ:AJ)+SUMIF('Budget-ACPSZL'!$A:$A,$A182,'Budget-ACPSZL'!AJ:AJ)+SUMIF('Budget-ACPLSZ'!$A:$A,$A182,'Budget-ACPLSZ'!AJ:AJ)+SUMIF('Budget-ACPLGZ'!$A:$A,$A182,'Budget-ACPLGZ'!AJ:AJ)+SUMIF('Budget-Yixing'!$A:$A,$A182,'Budget-Yixing'!AJ:AJ)</f>
        <v>0</v>
      </c>
      <c r="AK182" s="688">
        <f t="shared" ca="1" si="64"/>
        <v>0</v>
      </c>
    </row>
    <row r="183" spans="1:37" ht="13.5" customHeight="1">
      <c r="A183" s="713"/>
      <c r="B183" s="649" t="s">
        <v>2092</v>
      </c>
      <c r="C183" s="649"/>
      <c r="D183" s="674">
        <f t="shared" ca="1" si="56"/>
        <v>0</v>
      </c>
      <c r="E183" s="674" t="e">
        <f t="shared" si="60"/>
        <v>#N/A</v>
      </c>
      <c r="F183" s="674" t="e">
        <f t="shared" ca="1" si="61"/>
        <v>#N/A</v>
      </c>
      <c r="G183" s="674">
        <f t="shared" ca="1" si="62"/>
        <v>0</v>
      </c>
      <c r="H183" s="674" t="e">
        <f t="shared" ca="1" si="63"/>
        <v>#N/A</v>
      </c>
      <c r="I183" s="674" t="e">
        <f t="shared" ca="1" si="57"/>
        <v>#N/A</v>
      </c>
      <c r="K183" s="719">
        <f t="shared" ref="K183:W183" ca="1" si="66">SUM(K174:K177,K181,K182)</f>
        <v>0</v>
      </c>
      <c r="L183" s="719">
        <f t="shared" ca="1" si="66"/>
        <v>0</v>
      </c>
      <c r="M183" s="719">
        <f t="shared" ca="1" si="66"/>
        <v>16460</v>
      </c>
      <c r="N183" s="719">
        <f t="shared" ca="1" si="66"/>
        <v>0</v>
      </c>
      <c r="O183" s="719">
        <f t="shared" ca="1" si="66"/>
        <v>0</v>
      </c>
      <c r="P183" s="719">
        <f t="shared" ca="1" si="66"/>
        <v>0</v>
      </c>
      <c r="Q183" s="719">
        <f t="shared" ca="1" si="66"/>
        <v>0</v>
      </c>
      <c r="R183" s="719">
        <f t="shared" ca="1" si="66"/>
        <v>0</v>
      </c>
      <c r="S183" s="719">
        <f t="shared" ca="1" si="66"/>
        <v>0</v>
      </c>
      <c r="T183" s="719">
        <f t="shared" ca="1" si="66"/>
        <v>0</v>
      </c>
      <c r="U183" s="719">
        <f t="shared" ca="1" si="66"/>
        <v>0</v>
      </c>
      <c r="V183" s="719">
        <f t="shared" ca="1" si="66"/>
        <v>0</v>
      </c>
      <c r="W183" s="719">
        <f t="shared" ca="1" si="66"/>
        <v>16460</v>
      </c>
      <c r="Y183" s="677">
        <f t="shared" ref="Y183:AK183" ca="1" si="67">SUM(Y174,Y174:Y177,Y181:Y182)</f>
        <v>416983.06</v>
      </c>
      <c r="Z183" s="677">
        <f t="shared" ca="1" si="67"/>
        <v>199086.1</v>
      </c>
      <c r="AA183" s="677">
        <f t="shared" ca="1" si="67"/>
        <v>267285.5</v>
      </c>
      <c r="AB183" s="677">
        <f t="shared" ca="1" si="67"/>
        <v>136515.76999999999</v>
      </c>
      <c r="AC183" s="677">
        <f t="shared" ca="1" si="67"/>
        <v>137258.99</v>
      </c>
      <c r="AD183" s="677">
        <f t="shared" ca="1" si="67"/>
        <v>133385.5</v>
      </c>
      <c r="AE183" s="677">
        <f t="shared" ca="1" si="67"/>
        <v>135682.53</v>
      </c>
      <c r="AF183" s="677">
        <f t="shared" ca="1" si="67"/>
        <v>133385.5</v>
      </c>
      <c r="AG183" s="677">
        <f t="shared" ca="1" si="67"/>
        <v>135635.72</v>
      </c>
      <c r="AH183" s="677">
        <f t="shared" ca="1" si="67"/>
        <v>135490.6</v>
      </c>
      <c r="AI183" s="677">
        <f t="shared" ca="1" si="67"/>
        <v>133385.5</v>
      </c>
      <c r="AJ183" s="677">
        <f t="shared" ca="1" si="67"/>
        <v>174403.5</v>
      </c>
      <c r="AK183" s="677">
        <f t="shared" ca="1" si="67"/>
        <v>2138498.27</v>
      </c>
    </row>
    <row r="184" spans="1:37" ht="13.5" customHeight="1">
      <c r="A184" s="713"/>
      <c r="K184" s="654"/>
      <c r="L184" s="654"/>
      <c r="M184" s="654"/>
      <c r="N184" s="654"/>
      <c r="O184" s="654"/>
      <c r="P184" s="654"/>
      <c r="Q184" s="654"/>
      <c r="R184" s="654"/>
      <c r="S184" s="654"/>
      <c r="T184" s="654"/>
      <c r="U184" s="654"/>
      <c r="V184" s="654"/>
      <c r="W184" s="654"/>
    </row>
    <row r="185" spans="1:37" ht="13.5" customHeight="1">
      <c r="A185" s="713"/>
      <c r="B185" s="686" t="s">
        <v>2093</v>
      </c>
      <c r="C185" s="686"/>
      <c r="D185" s="674">
        <f ca="1">INDEX($K185:$W185,1,MATCH(D$6,$K$6:$W$6))</f>
        <v>-1903170.1261608808</v>
      </c>
      <c r="E185" s="674" t="e">
        <f t="shared" ref="E185:E199" si="68">INDEX($Y185:$AJ185,1,MATCH(E$6,$Y$6:$AJ$6))</f>
        <v>#N/A</v>
      </c>
      <c r="F185" s="674" t="e">
        <f t="shared" ref="F185:F198" ca="1" si="69">D185-E185</f>
        <v>#N/A</v>
      </c>
      <c r="G185" s="674">
        <f ca="1">SUM($K185:OFFSET($K185,0,MATCH(G$6,$K$6:$W$6)-1))</f>
        <v>-1903170.1261608808</v>
      </c>
      <c r="H185" s="674" t="e">
        <f t="shared" ref="H185:H199" ca="1" si="70">SUM($Y185:OFFSET($Y185,0,MATCH(H$6,$Y$6:$AJ$6)-1))</f>
        <v>#N/A</v>
      </c>
      <c r="I185" s="674" t="e">
        <f t="shared" ref="I185:I198" ca="1" si="71">G185-H185</f>
        <v>#N/A</v>
      </c>
      <c r="K185" s="674">
        <f ca="1">K12-K19-K42-K153-K172+K183</f>
        <v>-1903170.1261608808</v>
      </c>
      <c r="L185" s="674">
        <f t="shared" ref="L185:W185" ca="1" si="72">L12-L19-L42-L153-L172+L183</f>
        <v>-1963846.362363389</v>
      </c>
      <c r="M185" s="674">
        <f t="shared" ca="1" si="72"/>
        <v>-1851464.0739513892</v>
      </c>
      <c r="N185" s="674">
        <f t="shared" ca="1" si="72"/>
        <v>-3849671.847981635</v>
      </c>
      <c r="O185" s="674">
        <f t="shared" ca="1" si="72"/>
        <v>445817.23590760026</v>
      </c>
      <c r="P185" s="674">
        <f t="shared" ca="1" si="72"/>
        <v>-2478095.3812825517</v>
      </c>
      <c r="Q185" s="674">
        <f t="shared" ca="1" si="72"/>
        <v>-563680.86140263581</v>
      </c>
      <c r="R185" s="674">
        <f t="shared" ca="1" si="72"/>
        <v>-2283562.5140740555</v>
      </c>
      <c r="S185" s="674">
        <f t="shared" ca="1" si="72"/>
        <v>-2431034.5830220557</v>
      </c>
      <c r="T185" s="674">
        <f t="shared" ca="1" si="72"/>
        <v>1246274.3962123054</v>
      </c>
      <c r="U185" s="674">
        <f t="shared" ca="1" si="72"/>
        <v>-2282704.0053700558</v>
      </c>
      <c r="V185" s="674">
        <f t="shared" ca="1" si="72"/>
        <v>-3960377.407906746</v>
      </c>
      <c r="W185" s="674">
        <f t="shared" ca="1" si="72"/>
        <v>-21875515.531395491</v>
      </c>
      <c r="Y185" s="677">
        <f t="shared" ref="Y185:AK185" ca="1" si="73">Y12-Y19-Y42-Y153-Y172+Y183</f>
        <v>-756964.93999999971</v>
      </c>
      <c r="Z185" s="677">
        <f t="shared" ca="1" si="73"/>
        <v>-1602577.5799999996</v>
      </c>
      <c r="AA185" s="677">
        <f t="shared" ca="1" si="73"/>
        <v>-1842719.67</v>
      </c>
      <c r="AB185" s="677">
        <f t="shared" ca="1" si="73"/>
        <v>-1183805.6299999999</v>
      </c>
      <c r="AC185" s="677">
        <f t="shared" ca="1" si="73"/>
        <v>-556394.35000000033</v>
      </c>
      <c r="AD185" s="677">
        <f t="shared" ca="1" si="73"/>
        <v>-2501538.48</v>
      </c>
      <c r="AE185" s="677">
        <f t="shared" ca="1" si="73"/>
        <v>-1744194.1000000003</v>
      </c>
      <c r="AF185" s="677">
        <f t="shared" ca="1" si="73"/>
        <v>-2036815.44</v>
      </c>
      <c r="AG185" s="677">
        <f t="shared" ca="1" si="73"/>
        <v>-2143834.6399999997</v>
      </c>
      <c r="AH185" s="677">
        <f t="shared" ca="1" si="73"/>
        <v>-2876836.6199999996</v>
      </c>
      <c r="AI185" s="677">
        <f t="shared" ca="1" si="73"/>
        <v>-1726399.03</v>
      </c>
      <c r="AJ185" s="677">
        <f t="shared" ca="1" si="73"/>
        <v>-2239972.85</v>
      </c>
      <c r="AK185" s="677">
        <f t="shared" ca="1" si="73"/>
        <v>-21212053.330000002</v>
      </c>
    </row>
    <row r="186" spans="1:37" ht="13.5" customHeight="1">
      <c r="A186" s="713"/>
      <c r="K186" s="654"/>
      <c r="L186" s="654"/>
      <c r="M186" s="654"/>
      <c r="N186" s="654"/>
      <c r="O186" s="654"/>
      <c r="P186" s="654"/>
      <c r="Q186" s="654"/>
      <c r="R186" s="654"/>
      <c r="S186" s="654"/>
      <c r="T186" s="654"/>
      <c r="U186" s="654"/>
      <c r="V186" s="654"/>
      <c r="W186" s="654"/>
    </row>
    <row r="187" spans="1:37" ht="13.5" hidden="1" customHeight="1">
      <c r="A187" s="716" t="s">
        <v>1979</v>
      </c>
      <c r="B187" s="717" t="str">
        <f>VLOOKUP(A187,Account!A:B,2,0)</f>
        <v>营业外收入</v>
      </c>
      <c r="C187" s="687">
        <f>VLOOKUP(A187,Account!A:F,4,0)</f>
        <v>0</v>
      </c>
      <c r="D187" s="676">
        <f t="shared" ref="D187:D199" ca="1" si="74">INDEX($K187:$W187,1,MATCH(D$6,$K$6:$W$6))</f>
        <v>0</v>
      </c>
      <c r="E187" s="676" t="e">
        <f t="shared" si="68"/>
        <v>#N/A</v>
      </c>
      <c r="F187" s="676" t="e">
        <f t="shared" ca="1" si="69"/>
        <v>#N/A</v>
      </c>
      <c r="G187" s="676">
        <f t="shared" ref="G187:G199" ca="1" si="75">SUM($K187:OFFSET($K187,0,MATCH(G$6,$K$6:$W$6)-1))</f>
        <v>0</v>
      </c>
      <c r="H187" s="676" t="e">
        <f t="shared" ca="1" si="70"/>
        <v>#N/A</v>
      </c>
      <c r="I187" s="676" t="e">
        <f t="shared" ca="1" si="71"/>
        <v>#N/A</v>
      </c>
      <c r="K187" s="676">
        <f ca="1">SUMIF('Budget-ACPL'!$A:$A,$A187,'Budget-ACPL'!K:K)+SUMIF('Budget-ACPLHK'!$A:$A,$A187,'Budget-ACPLHK'!K:K)+SUMIF('Budget-ACPSZL'!$A:$A,$A187,'Budget-ACPSZL'!K:K)+SUMIF('Budget-ACPLSZ'!$A:$A,$A187,'Budget-ACPLSZ'!K:K)+SUMIF('Budget-ACPLGZ'!$A:$A,$A187,'Budget-ACPLGZ'!K:K)+SUMIF('Budget-Yixing'!$A:$A,$A187,'Budget-Yixing'!K:K)</f>
        <v>0</v>
      </c>
      <c r="L187" s="676">
        <f ca="1">SUMIF('Budget-ACPL'!$A:$A,$A187,'Budget-ACPL'!L:L)+SUMIF('Budget-ACPLHK'!$A:$A,$A187,'Budget-ACPLHK'!L:L)+SUMIF('Budget-ACPSZL'!$A:$A,$A187,'Budget-ACPSZL'!L:L)+SUMIF('Budget-ACPLSZ'!$A:$A,$A187,'Budget-ACPLSZ'!L:L)+SUMIF('Budget-ACPLGZ'!$A:$A,$A187,'Budget-ACPLGZ'!L:L)+SUMIF('Budget-Yixing'!$A:$A,$A187,'Budget-Yixing'!L:L)</f>
        <v>0</v>
      </c>
      <c r="M187" s="676">
        <f ca="1">SUMIF('Budget-ACPL'!$A:$A,$A187,'Budget-ACPL'!M:M)+SUMIF('Budget-ACPLHK'!$A:$A,$A187,'Budget-ACPLHK'!M:M)+SUMIF('Budget-ACPSZL'!$A:$A,$A187,'Budget-ACPSZL'!M:M)+SUMIF('Budget-ACPLSZ'!$A:$A,$A187,'Budget-ACPLSZ'!M:M)+SUMIF('Budget-ACPLGZ'!$A:$A,$A187,'Budget-ACPLGZ'!M:M)+SUMIF('Budget-Yixing'!$A:$A,$A187,'Budget-Yixing'!M:M)</f>
        <v>0</v>
      </c>
      <c r="N187" s="676">
        <f ca="1">SUMIF('Budget-ACPL'!$A:$A,$A187,'Budget-ACPL'!N:N)+SUMIF('Budget-ACPLHK'!$A:$A,$A187,'Budget-ACPLHK'!N:N)+SUMIF('Budget-ACPSZL'!$A:$A,$A187,'Budget-ACPSZL'!N:N)+SUMIF('Budget-ACPLSZ'!$A:$A,$A187,'Budget-ACPLSZ'!N:N)+SUMIF('Budget-ACPLGZ'!$A:$A,$A187,'Budget-ACPLGZ'!N:N)+SUMIF('Budget-Yixing'!$A:$A,$A187,'Budget-Yixing'!N:N)</f>
        <v>0</v>
      </c>
      <c r="O187" s="676">
        <f ca="1">SUMIF('Budget-ACPL'!$A:$A,$A187,'Budget-ACPL'!O:O)+SUMIF('Budget-ACPLHK'!$A:$A,$A187,'Budget-ACPLHK'!O:O)+SUMIF('Budget-ACPSZL'!$A:$A,$A187,'Budget-ACPSZL'!O:O)+SUMIF('Budget-ACPLSZ'!$A:$A,$A187,'Budget-ACPLSZ'!O:O)+SUMIF('Budget-ACPLGZ'!$A:$A,$A187,'Budget-ACPLGZ'!O:O)+SUMIF('Budget-Yixing'!$A:$A,$A187,'Budget-Yixing'!O:O)</f>
        <v>0</v>
      </c>
      <c r="P187" s="676">
        <f ca="1">SUMIF('Budget-ACPL'!$A:$A,$A187,'Budget-ACPL'!P:P)+SUMIF('Budget-ACPLHK'!$A:$A,$A187,'Budget-ACPLHK'!P:P)+SUMIF('Budget-ACPSZL'!$A:$A,$A187,'Budget-ACPSZL'!P:P)+SUMIF('Budget-ACPLSZ'!$A:$A,$A187,'Budget-ACPLSZ'!P:P)+SUMIF('Budget-ACPLGZ'!$A:$A,$A187,'Budget-ACPLGZ'!P:P)+SUMIF('Budget-Yixing'!$A:$A,$A187,'Budget-Yixing'!P:P)</f>
        <v>0</v>
      </c>
      <c r="Q187" s="676">
        <f ca="1">SUMIF('Budget-ACPL'!$A:$A,$A187,'Budget-ACPL'!Q:Q)+SUMIF('Budget-ACPLHK'!$A:$A,$A187,'Budget-ACPLHK'!Q:Q)+SUMIF('Budget-ACPSZL'!$A:$A,$A187,'Budget-ACPSZL'!Q:Q)+SUMIF('Budget-ACPLSZ'!$A:$A,$A187,'Budget-ACPLSZ'!Q:Q)+SUMIF('Budget-ACPLGZ'!$A:$A,$A187,'Budget-ACPLGZ'!Q:Q)+SUMIF('Budget-Yixing'!$A:$A,$A187,'Budget-Yixing'!Q:Q)</f>
        <v>0</v>
      </c>
      <c r="R187" s="676">
        <f ca="1">SUMIF('Budget-ACPL'!$A:$A,$A187,'Budget-ACPL'!R:R)+SUMIF('Budget-ACPLHK'!$A:$A,$A187,'Budget-ACPLHK'!R:R)+SUMIF('Budget-ACPSZL'!$A:$A,$A187,'Budget-ACPSZL'!R:R)+SUMIF('Budget-ACPLSZ'!$A:$A,$A187,'Budget-ACPLSZ'!R:R)+SUMIF('Budget-ACPLGZ'!$A:$A,$A187,'Budget-ACPLGZ'!R:R)+SUMIF('Budget-Yixing'!$A:$A,$A187,'Budget-Yixing'!R:R)</f>
        <v>0</v>
      </c>
      <c r="S187" s="676">
        <f ca="1">SUMIF('Budget-ACPL'!$A:$A,$A187,'Budget-ACPL'!S:S)+SUMIF('Budget-ACPLHK'!$A:$A,$A187,'Budget-ACPLHK'!S:S)+SUMIF('Budget-ACPSZL'!$A:$A,$A187,'Budget-ACPSZL'!S:S)+SUMIF('Budget-ACPLSZ'!$A:$A,$A187,'Budget-ACPLSZ'!S:S)+SUMIF('Budget-ACPLGZ'!$A:$A,$A187,'Budget-ACPLGZ'!S:S)+SUMIF('Budget-Yixing'!$A:$A,$A187,'Budget-Yixing'!S:S)</f>
        <v>0</v>
      </c>
      <c r="T187" s="676">
        <f ca="1">SUMIF('Budget-ACPL'!$A:$A,$A187,'Budget-ACPL'!T:T)+SUMIF('Budget-ACPLHK'!$A:$A,$A187,'Budget-ACPLHK'!T:T)+SUMIF('Budget-ACPSZL'!$A:$A,$A187,'Budget-ACPSZL'!T:T)+SUMIF('Budget-ACPLSZ'!$A:$A,$A187,'Budget-ACPLSZ'!T:T)+SUMIF('Budget-ACPLGZ'!$A:$A,$A187,'Budget-ACPLGZ'!T:T)+SUMIF('Budget-Yixing'!$A:$A,$A187,'Budget-Yixing'!T:T)</f>
        <v>0</v>
      </c>
      <c r="U187" s="676">
        <f ca="1">SUMIF('Budget-ACPL'!$A:$A,$A187,'Budget-ACPL'!U:U)+SUMIF('Budget-ACPLHK'!$A:$A,$A187,'Budget-ACPLHK'!U:U)+SUMIF('Budget-ACPSZL'!$A:$A,$A187,'Budget-ACPSZL'!U:U)+SUMIF('Budget-ACPLSZ'!$A:$A,$A187,'Budget-ACPLSZ'!U:U)+SUMIF('Budget-ACPLGZ'!$A:$A,$A187,'Budget-ACPLGZ'!U:U)+SUMIF('Budget-Yixing'!$A:$A,$A187,'Budget-Yixing'!U:U)</f>
        <v>0</v>
      </c>
      <c r="V187" s="676">
        <f ca="1">SUMIF('Budget-ACPL'!$A:$A,$A187,'Budget-ACPL'!V:V)+SUMIF('Budget-ACPLHK'!$A:$A,$A187,'Budget-ACPLHK'!V:V)+SUMIF('Budget-ACPSZL'!$A:$A,$A187,'Budget-ACPSZL'!V:V)+SUMIF('Budget-ACPLSZ'!$A:$A,$A187,'Budget-ACPLSZ'!V:V)+SUMIF('Budget-ACPLGZ'!$A:$A,$A187,'Budget-ACPLGZ'!V:V)+SUMIF('Budget-Yixing'!$A:$A,$A187,'Budget-Yixing'!V:V)</f>
        <v>0</v>
      </c>
      <c r="W187" s="676">
        <f ca="1">SUM(K187:V187)</f>
        <v>0</v>
      </c>
      <c r="Y187" s="688">
        <f ca="1">SUMIF('Budget-ACPL'!$A:$A,$A187,'Budget-ACPL'!Y:Y)+SUMIF('Budget-ACPLHK'!$A:$A,$A187,'Budget-ACPLHK'!Y:Y)+SUMIF('Budget-ACPSZL'!$A:$A,$A187,'Budget-ACPSZL'!Y:Y)+SUMIF('Budget-ACPLSZ'!$A:$A,$A187,'Budget-ACPLSZ'!Y:Y)+SUMIF('Budget-ACPLGZ'!$A:$A,$A187,'Budget-ACPLGZ'!Y:Y)+SUMIF('Budget-Yixing'!$A:$A,$A187,'Budget-Yixing'!Y:Y)</f>
        <v>1131.28</v>
      </c>
      <c r="Z187" s="688">
        <f ca="1">SUMIF('Budget-ACPL'!$A:$A,$A187,'Budget-ACPL'!Z:Z)+SUMIF('Budget-ACPLHK'!$A:$A,$A187,'Budget-ACPLHK'!Z:Z)+SUMIF('Budget-ACPSZL'!$A:$A,$A187,'Budget-ACPSZL'!Z:Z)+SUMIF('Budget-ACPLSZ'!$A:$A,$A187,'Budget-ACPLSZ'!Z:Z)+SUMIF('Budget-ACPLGZ'!$A:$A,$A187,'Budget-ACPLGZ'!Z:Z)+SUMIF('Budget-Yixing'!$A:$A,$A187,'Budget-Yixing'!Z:Z)</f>
        <v>0</v>
      </c>
      <c r="AA187" s="688">
        <f ca="1">SUMIF('Budget-ACPL'!$A:$A,$A187,'Budget-ACPL'!AA:AA)+SUMIF('Budget-ACPLHK'!$A:$A,$A187,'Budget-ACPLHK'!AA:AA)+SUMIF('Budget-ACPSZL'!$A:$A,$A187,'Budget-ACPSZL'!AA:AA)+SUMIF('Budget-ACPLSZ'!$A:$A,$A187,'Budget-ACPLSZ'!AA:AA)+SUMIF('Budget-ACPLGZ'!$A:$A,$A187,'Budget-ACPLGZ'!AA:AA)+SUMIF('Budget-Yixing'!$A:$A,$A187,'Budget-Yixing'!AA:AA)</f>
        <v>0</v>
      </c>
      <c r="AB187" s="688">
        <f ca="1">SUMIF('Budget-ACPL'!$A:$A,$A187,'Budget-ACPL'!AB:AB)+SUMIF('Budget-ACPLHK'!$A:$A,$A187,'Budget-ACPLHK'!AB:AB)+SUMIF('Budget-ACPSZL'!$A:$A,$A187,'Budget-ACPSZL'!AB:AB)+SUMIF('Budget-ACPLSZ'!$A:$A,$A187,'Budget-ACPLSZ'!AB:AB)+SUMIF('Budget-ACPLGZ'!$A:$A,$A187,'Budget-ACPLGZ'!AB:AB)+SUMIF('Budget-Yixing'!$A:$A,$A187,'Budget-Yixing'!AB:AB)</f>
        <v>0</v>
      </c>
      <c r="AC187" s="688">
        <f ca="1">SUMIF('Budget-ACPL'!$A:$A,$A187,'Budget-ACPL'!AC:AC)+SUMIF('Budget-ACPLHK'!$A:$A,$A187,'Budget-ACPLHK'!AC:AC)+SUMIF('Budget-ACPSZL'!$A:$A,$A187,'Budget-ACPSZL'!AC:AC)+SUMIF('Budget-ACPLSZ'!$A:$A,$A187,'Budget-ACPLSZ'!AC:AC)+SUMIF('Budget-ACPLGZ'!$A:$A,$A187,'Budget-ACPLGZ'!AC:AC)+SUMIF('Budget-Yixing'!$A:$A,$A187,'Budget-Yixing'!AC:AC)</f>
        <v>0</v>
      </c>
      <c r="AD187" s="688">
        <f ca="1">SUMIF('Budget-ACPL'!$A:$A,$A187,'Budget-ACPL'!AD:AD)+SUMIF('Budget-ACPLHK'!$A:$A,$A187,'Budget-ACPLHK'!AD:AD)+SUMIF('Budget-ACPSZL'!$A:$A,$A187,'Budget-ACPSZL'!AD:AD)+SUMIF('Budget-ACPLSZ'!$A:$A,$A187,'Budget-ACPLSZ'!AD:AD)+SUMIF('Budget-ACPLGZ'!$A:$A,$A187,'Budget-ACPLGZ'!AD:AD)+SUMIF('Budget-Yixing'!$A:$A,$A187,'Budget-Yixing'!AD:AD)</f>
        <v>0</v>
      </c>
      <c r="AE187" s="688">
        <f ca="1">SUMIF('Budget-ACPL'!$A:$A,$A187,'Budget-ACPL'!AE:AE)+SUMIF('Budget-ACPLHK'!$A:$A,$A187,'Budget-ACPLHK'!AE:AE)+SUMIF('Budget-ACPSZL'!$A:$A,$A187,'Budget-ACPSZL'!AE:AE)+SUMIF('Budget-ACPLSZ'!$A:$A,$A187,'Budget-ACPLSZ'!AE:AE)+SUMIF('Budget-ACPLGZ'!$A:$A,$A187,'Budget-ACPLGZ'!AE:AE)+SUMIF('Budget-Yixing'!$A:$A,$A187,'Budget-Yixing'!AE:AE)</f>
        <v>0</v>
      </c>
      <c r="AF187" s="688">
        <f ca="1">SUMIF('Budget-ACPL'!$A:$A,$A187,'Budget-ACPL'!AF:AF)+SUMIF('Budget-ACPLHK'!$A:$A,$A187,'Budget-ACPLHK'!AF:AF)+SUMIF('Budget-ACPSZL'!$A:$A,$A187,'Budget-ACPSZL'!AF:AF)+SUMIF('Budget-ACPLSZ'!$A:$A,$A187,'Budget-ACPLSZ'!AF:AF)+SUMIF('Budget-ACPLGZ'!$A:$A,$A187,'Budget-ACPLGZ'!AF:AF)+SUMIF('Budget-Yixing'!$A:$A,$A187,'Budget-Yixing'!AF:AF)</f>
        <v>0</v>
      </c>
      <c r="AG187" s="688">
        <f ca="1">SUMIF('Budget-ACPL'!$A:$A,$A187,'Budget-ACPL'!AG:AG)+SUMIF('Budget-ACPLHK'!$A:$A,$A187,'Budget-ACPLHK'!AG:AG)+SUMIF('Budget-ACPSZL'!$A:$A,$A187,'Budget-ACPSZL'!AG:AG)+SUMIF('Budget-ACPLSZ'!$A:$A,$A187,'Budget-ACPLSZ'!AG:AG)+SUMIF('Budget-ACPLGZ'!$A:$A,$A187,'Budget-ACPLGZ'!AG:AG)+SUMIF('Budget-Yixing'!$A:$A,$A187,'Budget-Yixing'!AG:AG)</f>
        <v>0</v>
      </c>
      <c r="AH187" s="688">
        <f ca="1">SUMIF('Budget-ACPL'!$A:$A,$A187,'Budget-ACPL'!AH:AH)+SUMIF('Budget-ACPLHK'!$A:$A,$A187,'Budget-ACPLHK'!AH:AH)+SUMIF('Budget-ACPSZL'!$A:$A,$A187,'Budget-ACPSZL'!AH:AH)+SUMIF('Budget-ACPLSZ'!$A:$A,$A187,'Budget-ACPLSZ'!AH:AH)+SUMIF('Budget-ACPLGZ'!$A:$A,$A187,'Budget-ACPLGZ'!AH:AH)+SUMIF('Budget-Yixing'!$A:$A,$A187,'Budget-Yixing'!AH:AH)</f>
        <v>0</v>
      </c>
      <c r="AI187" s="688">
        <f ca="1">SUMIF('Budget-ACPL'!$A:$A,$A187,'Budget-ACPL'!AI:AI)+SUMIF('Budget-ACPLHK'!$A:$A,$A187,'Budget-ACPLHK'!AI:AI)+SUMIF('Budget-ACPSZL'!$A:$A,$A187,'Budget-ACPSZL'!AI:AI)+SUMIF('Budget-ACPLSZ'!$A:$A,$A187,'Budget-ACPLSZ'!AI:AI)+SUMIF('Budget-ACPLGZ'!$A:$A,$A187,'Budget-ACPLGZ'!AI:AI)+SUMIF('Budget-Yixing'!$A:$A,$A187,'Budget-Yixing'!AI:AI)</f>
        <v>0</v>
      </c>
      <c r="AJ187" s="688">
        <f ca="1">SUMIF('Budget-ACPL'!$A:$A,$A187,'Budget-ACPL'!AJ:AJ)+SUMIF('Budget-ACPLHK'!$A:$A,$A187,'Budget-ACPLHK'!AJ:AJ)+SUMIF('Budget-ACPSZL'!$A:$A,$A187,'Budget-ACPSZL'!AJ:AJ)+SUMIF('Budget-ACPLSZ'!$A:$A,$A187,'Budget-ACPLSZ'!AJ:AJ)+SUMIF('Budget-ACPLGZ'!$A:$A,$A187,'Budget-ACPLGZ'!AJ:AJ)+SUMIF('Budget-Yixing'!$A:$A,$A187,'Budget-Yixing'!AJ:AJ)</f>
        <v>0</v>
      </c>
      <c r="AK187" s="688">
        <f t="shared" ref="AK187:AK198" ca="1" si="76">SUM(Y187:AJ187)</f>
        <v>1131.28</v>
      </c>
    </row>
    <row r="188" spans="1:37" ht="13.5" hidden="1" customHeight="1">
      <c r="A188" s="713" t="s">
        <v>1982</v>
      </c>
      <c r="B188" s="687" t="str">
        <f>VLOOKUP(A188,Account!A:B,2,0)</f>
        <v>非流动资产处置利得</v>
      </c>
      <c r="C188" s="687">
        <f>VLOOKUP(A188,Account!A:F,4,0)</f>
        <v>0</v>
      </c>
      <c r="D188" s="676">
        <f t="shared" ca="1" si="74"/>
        <v>0</v>
      </c>
      <c r="E188" s="676" t="e">
        <f t="shared" si="68"/>
        <v>#N/A</v>
      </c>
      <c r="F188" s="676" t="e">
        <f t="shared" ca="1" si="69"/>
        <v>#N/A</v>
      </c>
      <c r="G188" s="676">
        <f t="shared" ca="1" si="75"/>
        <v>0</v>
      </c>
      <c r="H188" s="676" t="e">
        <f t="shared" ca="1" si="70"/>
        <v>#N/A</v>
      </c>
      <c r="I188" s="676" t="e">
        <f t="shared" ca="1" si="71"/>
        <v>#N/A</v>
      </c>
      <c r="K188" s="676">
        <f ca="1">SUMIF('Budget-ACPL'!$A:$A,$A188,'Budget-ACPL'!K:K)+SUMIF('Budget-ACPLHK'!$A:$A,$A188,'Budget-ACPLHK'!K:K)+SUMIF('Budget-ACPSZL'!$A:$A,$A188,'Budget-ACPSZL'!K:K)+SUMIF('Budget-ACPLSZ'!$A:$A,$A188,'Budget-ACPLSZ'!K:K)+SUMIF('Budget-ACPLGZ'!$A:$A,$A188,'Budget-ACPLGZ'!K:K)+SUMIF('Budget-Yixing'!$A:$A,$A188,'Budget-Yixing'!K:K)</f>
        <v>0</v>
      </c>
      <c r="L188" s="676">
        <f ca="1">SUMIF('Budget-ACPL'!$A:$A,$A188,'Budget-ACPL'!L:L)+SUMIF('Budget-ACPLHK'!$A:$A,$A188,'Budget-ACPLHK'!L:L)+SUMIF('Budget-ACPSZL'!$A:$A,$A188,'Budget-ACPSZL'!L:L)+SUMIF('Budget-ACPLSZ'!$A:$A,$A188,'Budget-ACPLSZ'!L:L)+SUMIF('Budget-ACPLGZ'!$A:$A,$A188,'Budget-ACPLGZ'!L:L)+SUMIF('Budget-Yixing'!$A:$A,$A188,'Budget-Yixing'!L:L)</f>
        <v>0</v>
      </c>
      <c r="M188" s="676">
        <f ca="1">SUMIF('Budget-ACPL'!$A:$A,$A188,'Budget-ACPL'!M:M)+SUMIF('Budget-ACPLHK'!$A:$A,$A188,'Budget-ACPLHK'!M:M)+SUMIF('Budget-ACPSZL'!$A:$A,$A188,'Budget-ACPSZL'!M:M)+SUMIF('Budget-ACPLSZ'!$A:$A,$A188,'Budget-ACPLSZ'!M:M)+SUMIF('Budget-ACPLGZ'!$A:$A,$A188,'Budget-ACPLGZ'!M:M)+SUMIF('Budget-Yixing'!$A:$A,$A188,'Budget-Yixing'!M:M)</f>
        <v>0</v>
      </c>
      <c r="N188" s="676">
        <f ca="1">SUMIF('Budget-ACPL'!$A:$A,$A188,'Budget-ACPL'!N:N)+SUMIF('Budget-ACPLHK'!$A:$A,$A188,'Budget-ACPLHK'!N:N)+SUMIF('Budget-ACPSZL'!$A:$A,$A188,'Budget-ACPSZL'!N:N)+SUMIF('Budget-ACPLSZ'!$A:$A,$A188,'Budget-ACPLSZ'!N:N)+SUMIF('Budget-ACPLGZ'!$A:$A,$A188,'Budget-ACPLGZ'!N:N)+SUMIF('Budget-Yixing'!$A:$A,$A188,'Budget-Yixing'!N:N)</f>
        <v>0</v>
      </c>
      <c r="O188" s="676">
        <f ca="1">SUMIF('Budget-ACPL'!$A:$A,$A188,'Budget-ACPL'!O:O)+SUMIF('Budget-ACPLHK'!$A:$A,$A188,'Budget-ACPLHK'!O:O)+SUMIF('Budget-ACPSZL'!$A:$A,$A188,'Budget-ACPSZL'!O:O)+SUMIF('Budget-ACPLSZ'!$A:$A,$A188,'Budget-ACPLSZ'!O:O)+SUMIF('Budget-ACPLGZ'!$A:$A,$A188,'Budget-ACPLGZ'!O:O)+SUMIF('Budget-Yixing'!$A:$A,$A188,'Budget-Yixing'!O:O)</f>
        <v>0</v>
      </c>
      <c r="P188" s="676">
        <f ca="1">SUMIF('Budget-ACPL'!$A:$A,$A188,'Budget-ACPL'!P:P)+SUMIF('Budget-ACPLHK'!$A:$A,$A188,'Budget-ACPLHK'!P:P)+SUMIF('Budget-ACPSZL'!$A:$A,$A188,'Budget-ACPSZL'!P:P)+SUMIF('Budget-ACPLSZ'!$A:$A,$A188,'Budget-ACPLSZ'!P:P)+SUMIF('Budget-ACPLGZ'!$A:$A,$A188,'Budget-ACPLGZ'!P:P)+SUMIF('Budget-Yixing'!$A:$A,$A188,'Budget-Yixing'!P:P)</f>
        <v>0</v>
      </c>
      <c r="Q188" s="676">
        <f ca="1">SUMIF('Budget-ACPL'!$A:$A,$A188,'Budget-ACPL'!Q:Q)+SUMIF('Budget-ACPLHK'!$A:$A,$A188,'Budget-ACPLHK'!Q:Q)+SUMIF('Budget-ACPSZL'!$A:$A,$A188,'Budget-ACPSZL'!Q:Q)+SUMIF('Budget-ACPLSZ'!$A:$A,$A188,'Budget-ACPLSZ'!Q:Q)+SUMIF('Budget-ACPLGZ'!$A:$A,$A188,'Budget-ACPLGZ'!Q:Q)+SUMIF('Budget-Yixing'!$A:$A,$A188,'Budget-Yixing'!Q:Q)</f>
        <v>0</v>
      </c>
      <c r="R188" s="676">
        <f ca="1">SUMIF('Budget-ACPL'!$A:$A,$A188,'Budget-ACPL'!R:R)+SUMIF('Budget-ACPLHK'!$A:$A,$A188,'Budget-ACPLHK'!R:R)+SUMIF('Budget-ACPSZL'!$A:$A,$A188,'Budget-ACPSZL'!R:R)+SUMIF('Budget-ACPLSZ'!$A:$A,$A188,'Budget-ACPLSZ'!R:R)+SUMIF('Budget-ACPLGZ'!$A:$A,$A188,'Budget-ACPLGZ'!R:R)+SUMIF('Budget-Yixing'!$A:$A,$A188,'Budget-Yixing'!R:R)</f>
        <v>0</v>
      </c>
      <c r="S188" s="676">
        <f ca="1">SUMIF('Budget-ACPL'!$A:$A,$A188,'Budget-ACPL'!S:S)+SUMIF('Budget-ACPLHK'!$A:$A,$A188,'Budget-ACPLHK'!S:S)+SUMIF('Budget-ACPSZL'!$A:$A,$A188,'Budget-ACPSZL'!S:S)+SUMIF('Budget-ACPLSZ'!$A:$A,$A188,'Budget-ACPLSZ'!S:S)+SUMIF('Budget-ACPLGZ'!$A:$A,$A188,'Budget-ACPLGZ'!S:S)+SUMIF('Budget-Yixing'!$A:$A,$A188,'Budget-Yixing'!S:S)</f>
        <v>0</v>
      </c>
      <c r="T188" s="676">
        <f ca="1">SUMIF('Budget-ACPL'!$A:$A,$A188,'Budget-ACPL'!T:T)+SUMIF('Budget-ACPLHK'!$A:$A,$A188,'Budget-ACPLHK'!T:T)+SUMIF('Budget-ACPSZL'!$A:$A,$A188,'Budget-ACPSZL'!T:T)+SUMIF('Budget-ACPLSZ'!$A:$A,$A188,'Budget-ACPLSZ'!T:T)+SUMIF('Budget-ACPLGZ'!$A:$A,$A188,'Budget-ACPLGZ'!T:T)+SUMIF('Budget-Yixing'!$A:$A,$A188,'Budget-Yixing'!T:T)</f>
        <v>0</v>
      </c>
      <c r="U188" s="676">
        <f ca="1">SUMIF('Budget-ACPL'!$A:$A,$A188,'Budget-ACPL'!U:U)+SUMIF('Budget-ACPLHK'!$A:$A,$A188,'Budget-ACPLHK'!U:U)+SUMIF('Budget-ACPSZL'!$A:$A,$A188,'Budget-ACPSZL'!U:U)+SUMIF('Budget-ACPLSZ'!$A:$A,$A188,'Budget-ACPLSZ'!U:U)+SUMIF('Budget-ACPLGZ'!$A:$A,$A188,'Budget-ACPLGZ'!U:U)+SUMIF('Budget-Yixing'!$A:$A,$A188,'Budget-Yixing'!U:U)</f>
        <v>0</v>
      </c>
      <c r="V188" s="676">
        <f ca="1">SUMIF('Budget-ACPL'!$A:$A,$A188,'Budget-ACPL'!V:V)+SUMIF('Budget-ACPLHK'!$A:$A,$A188,'Budget-ACPLHK'!V:V)+SUMIF('Budget-ACPSZL'!$A:$A,$A188,'Budget-ACPSZL'!V:V)+SUMIF('Budget-ACPLSZ'!$A:$A,$A188,'Budget-ACPLSZ'!V:V)+SUMIF('Budget-ACPLGZ'!$A:$A,$A188,'Budget-ACPLGZ'!V:V)+SUMIF('Budget-Yixing'!$A:$A,$A188,'Budget-Yixing'!V:V)</f>
        <v>0</v>
      </c>
      <c r="W188" s="676">
        <f t="shared" ref="W188:W198" ca="1" si="77">SUM(K188:V188)</f>
        <v>0</v>
      </c>
      <c r="Y188" s="688">
        <f ca="1">SUMIF('Budget-ACPL'!$A:$A,$A188,'Budget-ACPL'!Y:Y)+SUMIF('Budget-ACPLHK'!$A:$A,$A188,'Budget-ACPLHK'!Y:Y)+SUMIF('Budget-ACPSZL'!$A:$A,$A188,'Budget-ACPSZL'!Y:Y)+SUMIF('Budget-ACPLSZ'!$A:$A,$A188,'Budget-ACPLSZ'!Y:Y)+SUMIF('Budget-ACPLGZ'!$A:$A,$A188,'Budget-ACPLGZ'!Y:Y)+SUMIF('Budget-Yixing'!$A:$A,$A188,'Budget-Yixing'!Y:Y)</f>
        <v>0</v>
      </c>
      <c r="Z188" s="688">
        <f ca="1">SUMIF('Budget-ACPL'!$A:$A,$A188,'Budget-ACPL'!Z:Z)+SUMIF('Budget-ACPLHK'!$A:$A,$A188,'Budget-ACPLHK'!Z:Z)+SUMIF('Budget-ACPSZL'!$A:$A,$A188,'Budget-ACPSZL'!Z:Z)+SUMIF('Budget-ACPLSZ'!$A:$A,$A188,'Budget-ACPLSZ'!Z:Z)+SUMIF('Budget-ACPLGZ'!$A:$A,$A188,'Budget-ACPLGZ'!Z:Z)+SUMIF('Budget-Yixing'!$A:$A,$A188,'Budget-Yixing'!Z:Z)</f>
        <v>0</v>
      </c>
      <c r="AA188" s="688">
        <f ca="1">SUMIF('Budget-ACPL'!$A:$A,$A188,'Budget-ACPL'!AA:AA)+SUMIF('Budget-ACPLHK'!$A:$A,$A188,'Budget-ACPLHK'!AA:AA)+SUMIF('Budget-ACPSZL'!$A:$A,$A188,'Budget-ACPSZL'!AA:AA)+SUMIF('Budget-ACPLSZ'!$A:$A,$A188,'Budget-ACPLSZ'!AA:AA)+SUMIF('Budget-ACPLGZ'!$A:$A,$A188,'Budget-ACPLGZ'!AA:AA)+SUMIF('Budget-Yixing'!$A:$A,$A188,'Budget-Yixing'!AA:AA)</f>
        <v>0</v>
      </c>
      <c r="AB188" s="688">
        <f ca="1">SUMIF('Budget-ACPL'!$A:$A,$A188,'Budget-ACPL'!AB:AB)+SUMIF('Budget-ACPLHK'!$A:$A,$A188,'Budget-ACPLHK'!AB:AB)+SUMIF('Budget-ACPSZL'!$A:$A,$A188,'Budget-ACPSZL'!AB:AB)+SUMIF('Budget-ACPLSZ'!$A:$A,$A188,'Budget-ACPLSZ'!AB:AB)+SUMIF('Budget-ACPLGZ'!$A:$A,$A188,'Budget-ACPLGZ'!AB:AB)+SUMIF('Budget-Yixing'!$A:$A,$A188,'Budget-Yixing'!AB:AB)</f>
        <v>0</v>
      </c>
      <c r="AC188" s="688">
        <f ca="1">SUMIF('Budget-ACPL'!$A:$A,$A188,'Budget-ACPL'!AC:AC)+SUMIF('Budget-ACPLHK'!$A:$A,$A188,'Budget-ACPLHK'!AC:AC)+SUMIF('Budget-ACPSZL'!$A:$A,$A188,'Budget-ACPSZL'!AC:AC)+SUMIF('Budget-ACPLSZ'!$A:$A,$A188,'Budget-ACPLSZ'!AC:AC)+SUMIF('Budget-ACPLGZ'!$A:$A,$A188,'Budget-ACPLGZ'!AC:AC)+SUMIF('Budget-Yixing'!$A:$A,$A188,'Budget-Yixing'!AC:AC)</f>
        <v>0</v>
      </c>
      <c r="AD188" s="688">
        <f ca="1">SUMIF('Budget-ACPL'!$A:$A,$A188,'Budget-ACPL'!AD:AD)+SUMIF('Budget-ACPLHK'!$A:$A,$A188,'Budget-ACPLHK'!AD:AD)+SUMIF('Budget-ACPSZL'!$A:$A,$A188,'Budget-ACPSZL'!AD:AD)+SUMIF('Budget-ACPLSZ'!$A:$A,$A188,'Budget-ACPLSZ'!AD:AD)+SUMIF('Budget-ACPLGZ'!$A:$A,$A188,'Budget-ACPLGZ'!AD:AD)+SUMIF('Budget-Yixing'!$A:$A,$A188,'Budget-Yixing'!AD:AD)</f>
        <v>0</v>
      </c>
      <c r="AE188" s="688">
        <f ca="1">SUMIF('Budget-ACPL'!$A:$A,$A188,'Budget-ACPL'!AE:AE)+SUMIF('Budget-ACPLHK'!$A:$A,$A188,'Budget-ACPLHK'!AE:AE)+SUMIF('Budget-ACPSZL'!$A:$A,$A188,'Budget-ACPSZL'!AE:AE)+SUMIF('Budget-ACPLSZ'!$A:$A,$A188,'Budget-ACPLSZ'!AE:AE)+SUMIF('Budget-ACPLGZ'!$A:$A,$A188,'Budget-ACPLGZ'!AE:AE)+SUMIF('Budget-Yixing'!$A:$A,$A188,'Budget-Yixing'!AE:AE)</f>
        <v>0</v>
      </c>
      <c r="AF188" s="688">
        <f ca="1">SUMIF('Budget-ACPL'!$A:$A,$A188,'Budget-ACPL'!AF:AF)+SUMIF('Budget-ACPLHK'!$A:$A,$A188,'Budget-ACPLHK'!AF:AF)+SUMIF('Budget-ACPSZL'!$A:$A,$A188,'Budget-ACPSZL'!AF:AF)+SUMIF('Budget-ACPLSZ'!$A:$A,$A188,'Budget-ACPLSZ'!AF:AF)+SUMIF('Budget-ACPLGZ'!$A:$A,$A188,'Budget-ACPLGZ'!AF:AF)+SUMIF('Budget-Yixing'!$A:$A,$A188,'Budget-Yixing'!AF:AF)</f>
        <v>0</v>
      </c>
      <c r="AG188" s="688">
        <f ca="1">SUMIF('Budget-ACPL'!$A:$A,$A188,'Budget-ACPL'!AG:AG)+SUMIF('Budget-ACPLHK'!$A:$A,$A188,'Budget-ACPLHK'!AG:AG)+SUMIF('Budget-ACPSZL'!$A:$A,$A188,'Budget-ACPSZL'!AG:AG)+SUMIF('Budget-ACPLSZ'!$A:$A,$A188,'Budget-ACPLSZ'!AG:AG)+SUMIF('Budget-ACPLGZ'!$A:$A,$A188,'Budget-ACPLGZ'!AG:AG)+SUMIF('Budget-Yixing'!$A:$A,$A188,'Budget-Yixing'!AG:AG)</f>
        <v>0</v>
      </c>
      <c r="AH188" s="688">
        <f ca="1">SUMIF('Budget-ACPL'!$A:$A,$A188,'Budget-ACPL'!AH:AH)+SUMIF('Budget-ACPLHK'!$A:$A,$A188,'Budget-ACPLHK'!AH:AH)+SUMIF('Budget-ACPSZL'!$A:$A,$A188,'Budget-ACPSZL'!AH:AH)+SUMIF('Budget-ACPLSZ'!$A:$A,$A188,'Budget-ACPLSZ'!AH:AH)+SUMIF('Budget-ACPLGZ'!$A:$A,$A188,'Budget-ACPLGZ'!AH:AH)+SUMIF('Budget-Yixing'!$A:$A,$A188,'Budget-Yixing'!AH:AH)</f>
        <v>0</v>
      </c>
      <c r="AI188" s="688">
        <f ca="1">SUMIF('Budget-ACPL'!$A:$A,$A188,'Budget-ACPL'!AI:AI)+SUMIF('Budget-ACPLHK'!$A:$A,$A188,'Budget-ACPLHK'!AI:AI)+SUMIF('Budget-ACPSZL'!$A:$A,$A188,'Budget-ACPSZL'!AI:AI)+SUMIF('Budget-ACPLSZ'!$A:$A,$A188,'Budget-ACPLSZ'!AI:AI)+SUMIF('Budget-ACPLGZ'!$A:$A,$A188,'Budget-ACPLGZ'!AI:AI)+SUMIF('Budget-Yixing'!$A:$A,$A188,'Budget-Yixing'!AI:AI)</f>
        <v>0</v>
      </c>
      <c r="AJ188" s="688">
        <f ca="1">SUMIF('Budget-ACPL'!$A:$A,$A188,'Budget-ACPL'!AJ:AJ)+SUMIF('Budget-ACPLHK'!$A:$A,$A188,'Budget-ACPLHK'!AJ:AJ)+SUMIF('Budget-ACPSZL'!$A:$A,$A188,'Budget-ACPSZL'!AJ:AJ)+SUMIF('Budget-ACPLSZ'!$A:$A,$A188,'Budget-ACPLSZ'!AJ:AJ)+SUMIF('Budget-ACPLGZ'!$A:$A,$A188,'Budget-ACPLGZ'!AJ:AJ)+SUMIF('Budget-Yixing'!$A:$A,$A188,'Budget-Yixing'!AJ:AJ)</f>
        <v>0</v>
      </c>
      <c r="AK188" s="688">
        <f t="shared" ca="1" si="76"/>
        <v>0</v>
      </c>
    </row>
    <row r="189" spans="1:37" ht="13.5" hidden="1" customHeight="1">
      <c r="A189" s="713" t="s">
        <v>1986</v>
      </c>
      <c r="B189" s="687" t="str">
        <f>VLOOKUP(A189,Account!A:B,2,0)</f>
        <v>债务重组利得</v>
      </c>
      <c r="C189" s="687">
        <f>VLOOKUP(A189,Account!A:F,4,0)</f>
        <v>0</v>
      </c>
      <c r="D189" s="676">
        <f t="shared" ca="1" si="74"/>
        <v>0</v>
      </c>
      <c r="E189" s="676" t="e">
        <f t="shared" si="68"/>
        <v>#N/A</v>
      </c>
      <c r="F189" s="676" t="e">
        <f t="shared" ca="1" si="69"/>
        <v>#N/A</v>
      </c>
      <c r="G189" s="676">
        <f t="shared" ca="1" si="75"/>
        <v>0</v>
      </c>
      <c r="H189" s="676" t="e">
        <f t="shared" ca="1" si="70"/>
        <v>#N/A</v>
      </c>
      <c r="I189" s="676" t="e">
        <f t="shared" ca="1" si="71"/>
        <v>#N/A</v>
      </c>
      <c r="K189" s="676">
        <f ca="1">SUMIF('Budget-ACPL'!$A:$A,$A189,'Budget-ACPL'!K:K)+SUMIF('Budget-ACPLHK'!$A:$A,$A189,'Budget-ACPLHK'!K:K)+SUMIF('Budget-ACPSZL'!$A:$A,$A189,'Budget-ACPSZL'!K:K)+SUMIF('Budget-ACPLSZ'!$A:$A,$A189,'Budget-ACPLSZ'!K:K)+SUMIF('Budget-ACPLGZ'!$A:$A,$A189,'Budget-ACPLGZ'!K:K)+SUMIF('Budget-Yixing'!$A:$A,$A189,'Budget-Yixing'!K:K)</f>
        <v>0</v>
      </c>
      <c r="L189" s="676">
        <f ca="1">SUMIF('Budget-ACPL'!$A:$A,$A189,'Budget-ACPL'!L:L)+SUMIF('Budget-ACPLHK'!$A:$A,$A189,'Budget-ACPLHK'!L:L)+SUMIF('Budget-ACPSZL'!$A:$A,$A189,'Budget-ACPSZL'!L:L)+SUMIF('Budget-ACPLSZ'!$A:$A,$A189,'Budget-ACPLSZ'!L:L)+SUMIF('Budget-ACPLGZ'!$A:$A,$A189,'Budget-ACPLGZ'!L:L)+SUMIF('Budget-Yixing'!$A:$A,$A189,'Budget-Yixing'!L:L)</f>
        <v>0</v>
      </c>
      <c r="M189" s="676">
        <f ca="1">SUMIF('Budget-ACPL'!$A:$A,$A189,'Budget-ACPL'!M:M)+SUMIF('Budget-ACPLHK'!$A:$A,$A189,'Budget-ACPLHK'!M:M)+SUMIF('Budget-ACPSZL'!$A:$A,$A189,'Budget-ACPSZL'!M:M)+SUMIF('Budget-ACPLSZ'!$A:$A,$A189,'Budget-ACPLSZ'!M:M)+SUMIF('Budget-ACPLGZ'!$A:$A,$A189,'Budget-ACPLGZ'!M:M)+SUMIF('Budget-Yixing'!$A:$A,$A189,'Budget-Yixing'!M:M)</f>
        <v>0</v>
      </c>
      <c r="N189" s="676">
        <f ca="1">SUMIF('Budget-ACPL'!$A:$A,$A189,'Budget-ACPL'!N:N)+SUMIF('Budget-ACPLHK'!$A:$A,$A189,'Budget-ACPLHK'!N:N)+SUMIF('Budget-ACPSZL'!$A:$A,$A189,'Budget-ACPSZL'!N:N)+SUMIF('Budget-ACPLSZ'!$A:$A,$A189,'Budget-ACPLSZ'!N:N)+SUMIF('Budget-ACPLGZ'!$A:$A,$A189,'Budget-ACPLGZ'!N:N)+SUMIF('Budget-Yixing'!$A:$A,$A189,'Budget-Yixing'!N:N)</f>
        <v>0</v>
      </c>
      <c r="O189" s="676">
        <f ca="1">SUMIF('Budget-ACPL'!$A:$A,$A189,'Budget-ACPL'!O:O)+SUMIF('Budget-ACPLHK'!$A:$A,$A189,'Budget-ACPLHK'!O:O)+SUMIF('Budget-ACPSZL'!$A:$A,$A189,'Budget-ACPSZL'!O:O)+SUMIF('Budget-ACPLSZ'!$A:$A,$A189,'Budget-ACPLSZ'!O:O)+SUMIF('Budget-ACPLGZ'!$A:$A,$A189,'Budget-ACPLGZ'!O:O)+SUMIF('Budget-Yixing'!$A:$A,$A189,'Budget-Yixing'!O:O)</f>
        <v>0</v>
      </c>
      <c r="P189" s="676">
        <f ca="1">SUMIF('Budget-ACPL'!$A:$A,$A189,'Budget-ACPL'!P:P)+SUMIF('Budget-ACPLHK'!$A:$A,$A189,'Budget-ACPLHK'!P:P)+SUMIF('Budget-ACPSZL'!$A:$A,$A189,'Budget-ACPSZL'!P:P)+SUMIF('Budget-ACPLSZ'!$A:$A,$A189,'Budget-ACPLSZ'!P:P)+SUMIF('Budget-ACPLGZ'!$A:$A,$A189,'Budget-ACPLGZ'!P:P)+SUMIF('Budget-Yixing'!$A:$A,$A189,'Budget-Yixing'!P:P)</f>
        <v>0</v>
      </c>
      <c r="Q189" s="676">
        <f ca="1">SUMIF('Budget-ACPL'!$A:$A,$A189,'Budget-ACPL'!Q:Q)+SUMIF('Budget-ACPLHK'!$A:$A,$A189,'Budget-ACPLHK'!Q:Q)+SUMIF('Budget-ACPSZL'!$A:$A,$A189,'Budget-ACPSZL'!Q:Q)+SUMIF('Budget-ACPLSZ'!$A:$A,$A189,'Budget-ACPLSZ'!Q:Q)+SUMIF('Budget-ACPLGZ'!$A:$A,$A189,'Budget-ACPLGZ'!Q:Q)+SUMIF('Budget-Yixing'!$A:$A,$A189,'Budget-Yixing'!Q:Q)</f>
        <v>0</v>
      </c>
      <c r="R189" s="676">
        <f ca="1">SUMIF('Budget-ACPL'!$A:$A,$A189,'Budget-ACPL'!R:R)+SUMIF('Budget-ACPLHK'!$A:$A,$A189,'Budget-ACPLHK'!R:R)+SUMIF('Budget-ACPSZL'!$A:$A,$A189,'Budget-ACPSZL'!R:R)+SUMIF('Budget-ACPLSZ'!$A:$A,$A189,'Budget-ACPLSZ'!R:R)+SUMIF('Budget-ACPLGZ'!$A:$A,$A189,'Budget-ACPLGZ'!R:R)+SUMIF('Budget-Yixing'!$A:$A,$A189,'Budget-Yixing'!R:R)</f>
        <v>0</v>
      </c>
      <c r="S189" s="676">
        <f ca="1">SUMIF('Budget-ACPL'!$A:$A,$A189,'Budget-ACPL'!S:S)+SUMIF('Budget-ACPLHK'!$A:$A,$A189,'Budget-ACPLHK'!S:S)+SUMIF('Budget-ACPSZL'!$A:$A,$A189,'Budget-ACPSZL'!S:S)+SUMIF('Budget-ACPLSZ'!$A:$A,$A189,'Budget-ACPLSZ'!S:S)+SUMIF('Budget-ACPLGZ'!$A:$A,$A189,'Budget-ACPLGZ'!S:S)+SUMIF('Budget-Yixing'!$A:$A,$A189,'Budget-Yixing'!S:S)</f>
        <v>0</v>
      </c>
      <c r="T189" s="676">
        <f ca="1">SUMIF('Budget-ACPL'!$A:$A,$A189,'Budget-ACPL'!T:T)+SUMIF('Budget-ACPLHK'!$A:$A,$A189,'Budget-ACPLHK'!T:T)+SUMIF('Budget-ACPSZL'!$A:$A,$A189,'Budget-ACPSZL'!T:T)+SUMIF('Budget-ACPLSZ'!$A:$A,$A189,'Budget-ACPLSZ'!T:T)+SUMIF('Budget-ACPLGZ'!$A:$A,$A189,'Budget-ACPLGZ'!T:T)+SUMIF('Budget-Yixing'!$A:$A,$A189,'Budget-Yixing'!T:T)</f>
        <v>0</v>
      </c>
      <c r="U189" s="676">
        <f ca="1">SUMIF('Budget-ACPL'!$A:$A,$A189,'Budget-ACPL'!U:U)+SUMIF('Budget-ACPLHK'!$A:$A,$A189,'Budget-ACPLHK'!U:U)+SUMIF('Budget-ACPSZL'!$A:$A,$A189,'Budget-ACPSZL'!U:U)+SUMIF('Budget-ACPLSZ'!$A:$A,$A189,'Budget-ACPLSZ'!U:U)+SUMIF('Budget-ACPLGZ'!$A:$A,$A189,'Budget-ACPLGZ'!U:U)+SUMIF('Budget-Yixing'!$A:$A,$A189,'Budget-Yixing'!U:U)</f>
        <v>0</v>
      </c>
      <c r="V189" s="676">
        <f ca="1">SUMIF('Budget-ACPL'!$A:$A,$A189,'Budget-ACPL'!V:V)+SUMIF('Budget-ACPLHK'!$A:$A,$A189,'Budget-ACPLHK'!V:V)+SUMIF('Budget-ACPSZL'!$A:$A,$A189,'Budget-ACPSZL'!V:V)+SUMIF('Budget-ACPLSZ'!$A:$A,$A189,'Budget-ACPLSZ'!V:V)+SUMIF('Budget-ACPLGZ'!$A:$A,$A189,'Budget-ACPLGZ'!V:V)+SUMIF('Budget-Yixing'!$A:$A,$A189,'Budget-Yixing'!V:V)</f>
        <v>0</v>
      </c>
      <c r="W189" s="676">
        <f t="shared" ca="1" si="77"/>
        <v>0</v>
      </c>
      <c r="Y189" s="688">
        <f ca="1">SUMIF('Budget-ACPL'!$A:$A,$A189,'Budget-ACPL'!Y:Y)+SUMIF('Budget-ACPLHK'!$A:$A,$A189,'Budget-ACPLHK'!Y:Y)+SUMIF('Budget-ACPSZL'!$A:$A,$A189,'Budget-ACPSZL'!Y:Y)+SUMIF('Budget-ACPLSZ'!$A:$A,$A189,'Budget-ACPLSZ'!Y:Y)+SUMIF('Budget-ACPLGZ'!$A:$A,$A189,'Budget-ACPLGZ'!Y:Y)+SUMIF('Budget-Yixing'!$A:$A,$A189,'Budget-Yixing'!Y:Y)</f>
        <v>0</v>
      </c>
      <c r="Z189" s="688">
        <f ca="1">SUMIF('Budget-ACPL'!$A:$A,$A189,'Budget-ACPL'!Z:Z)+SUMIF('Budget-ACPLHK'!$A:$A,$A189,'Budget-ACPLHK'!Z:Z)+SUMIF('Budget-ACPSZL'!$A:$A,$A189,'Budget-ACPSZL'!Z:Z)+SUMIF('Budget-ACPLSZ'!$A:$A,$A189,'Budget-ACPLSZ'!Z:Z)+SUMIF('Budget-ACPLGZ'!$A:$A,$A189,'Budget-ACPLGZ'!Z:Z)+SUMIF('Budget-Yixing'!$A:$A,$A189,'Budget-Yixing'!Z:Z)</f>
        <v>0</v>
      </c>
      <c r="AA189" s="688">
        <f ca="1">SUMIF('Budget-ACPL'!$A:$A,$A189,'Budget-ACPL'!AA:AA)+SUMIF('Budget-ACPLHK'!$A:$A,$A189,'Budget-ACPLHK'!AA:AA)+SUMIF('Budget-ACPSZL'!$A:$A,$A189,'Budget-ACPSZL'!AA:AA)+SUMIF('Budget-ACPLSZ'!$A:$A,$A189,'Budget-ACPLSZ'!AA:AA)+SUMIF('Budget-ACPLGZ'!$A:$A,$A189,'Budget-ACPLGZ'!AA:AA)+SUMIF('Budget-Yixing'!$A:$A,$A189,'Budget-Yixing'!AA:AA)</f>
        <v>0</v>
      </c>
      <c r="AB189" s="688">
        <f ca="1">SUMIF('Budget-ACPL'!$A:$A,$A189,'Budget-ACPL'!AB:AB)+SUMIF('Budget-ACPLHK'!$A:$A,$A189,'Budget-ACPLHK'!AB:AB)+SUMIF('Budget-ACPSZL'!$A:$A,$A189,'Budget-ACPSZL'!AB:AB)+SUMIF('Budget-ACPLSZ'!$A:$A,$A189,'Budget-ACPLSZ'!AB:AB)+SUMIF('Budget-ACPLGZ'!$A:$A,$A189,'Budget-ACPLGZ'!AB:AB)+SUMIF('Budget-Yixing'!$A:$A,$A189,'Budget-Yixing'!AB:AB)</f>
        <v>0</v>
      </c>
      <c r="AC189" s="688">
        <f ca="1">SUMIF('Budget-ACPL'!$A:$A,$A189,'Budget-ACPL'!AC:AC)+SUMIF('Budget-ACPLHK'!$A:$A,$A189,'Budget-ACPLHK'!AC:AC)+SUMIF('Budget-ACPSZL'!$A:$A,$A189,'Budget-ACPSZL'!AC:AC)+SUMIF('Budget-ACPLSZ'!$A:$A,$A189,'Budget-ACPLSZ'!AC:AC)+SUMIF('Budget-ACPLGZ'!$A:$A,$A189,'Budget-ACPLGZ'!AC:AC)+SUMIF('Budget-Yixing'!$A:$A,$A189,'Budget-Yixing'!AC:AC)</f>
        <v>0</v>
      </c>
      <c r="AD189" s="688">
        <f ca="1">SUMIF('Budget-ACPL'!$A:$A,$A189,'Budget-ACPL'!AD:AD)+SUMIF('Budget-ACPLHK'!$A:$A,$A189,'Budget-ACPLHK'!AD:AD)+SUMIF('Budget-ACPSZL'!$A:$A,$A189,'Budget-ACPSZL'!AD:AD)+SUMIF('Budget-ACPLSZ'!$A:$A,$A189,'Budget-ACPLSZ'!AD:AD)+SUMIF('Budget-ACPLGZ'!$A:$A,$A189,'Budget-ACPLGZ'!AD:AD)+SUMIF('Budget-Yixing'!$A:$A,$A189,'Budget-Yixing'!AD:AD)</f>
        <v>0</v>
      </c>
      <c r="AE189" s="688">
        <f ca="1">SUMIF('Budget-ACPL'!$A:$A,$A189,'Budget-ACPL'!AE:AE)+SUMIF('Budget-ACPLHK'!$A:$A,$A189,'Budget-ACPLHK'!AE:AE)+SUMIF('Budget-ACPSZL'!$A:$A,$A189,'Budget-ACPSZL'!AE:AE)+SUMIF('Budget-ACPLSZ'!$A:$A,$A189,'Budget-ACPLSZ'!AE:AE)+SUMIF('Budget-ACPLGZ'!$A:$A,$A189,'Budget-ACPLGZ'!AE:AE)+SUMIF('Budget-Yixing'!$A:$A,$A189,'Budget-Yixing'!AE:AE)</f>
        <v>0</v>
      </c>
      <c r="AF189" s="688">
        <f ca="1">SUMIF('Budget-ACPL'!$A:$A,$A189,'Budget-ACPL'!AF:AF)+SUMIF('Budget-ACPLHK'!$A:$A,$A189,'Budget-ACPLHK'!AF:AF)+SUMIF('Budget-ACPSZL'!$A:$A,$A189,'Budget-ACPSZL'!AF:AF)+SUMIF('Budget-ACPLSZ'!$A:$A,$A189,'Budget-ACPLSZ'!AF:AF)+SUMIF('Budget-ACPLGZ'!$A:$A,$A189,'Budget-ACPLGZ'!AF:AF)+SUMIF('Budget-Yixing'!$A:$A,$A189,'Budget-Yixing'!AF:AF)</f>
        <v>0</v>
      </c>
      <c r="AG189" s="688">
        <f ca="1">SUMIF('Budget-ACPL'!$A:$A,$A189,'Budget-ACPL'!AG:AG)+SUMIF('Budget-ACPLHK'!$A:$A,$A189,'Budget-ACPLHK'!AG:AG)+SUMIF('Budget-ACPSZL'!$A:$A,$A189,'Budget-ACPSZL'!AG:AG)+SUMIF('Budget-ACPLSZ'!$A:$A,$A189,'Budget-ACPLSZ'!AG:AG)+SUMIF('Budget-ACPLGZ'!$A:$A,$A189,'Budget-ACPLGZ'!AG:AG)+SUMIF('Budget-Yixing'!$A:$A,$A189,'Budget-Yixing'!AG:AG)</f>
        <v>0</v>
      </c>
      <c r="AH189" s="688">
        <f ca="1">SUMIF('Budget-ACPL'!$A:$A,$A189,'Budget-ACPL'!AH:AH)+SUMIF('Budget-ACPLHK'!$A:$A,$A189,'Budget-ACPLHK'!AH:AH)+SUMIF('Budget-ACPSZL'!$A:$A,$A189,'Budget-ACPSZL'!AH:AH)+SUMIF('Budget-ACPLSZ'!$A:$A,$A189,'Budget-ACPLSZ'!AH:AH)+SUMIF('Budget-ACPLGZ'!$A:$A,$A189,'Budget-ACPLGZ'!AH:AH)+SUMIF('Budget-Yixing'!$A:$A,$A189,'Budget-Yixing'!AH:AH)</f>
        <v>0</v>
      </c>
      <c r="AI189" s="688">
        <f ca="1">SUMIF('Budget-ACPL'!$A:$A,$A189,'Budget-ACPL'!AI:AI)+SUMIF('Budget-ACPLHK'!$A:$A,$A189,'Budget-ACPLHK'!AI:AI)+SUMIF('Budget-ACPSZL'!$A:$A,$A189,'Budget-ACPSZL'!AI:AI)+SUMIF('Budget-ACPLSZ'!$A:$A,$A189,'Budget-ACPLSZ'!AI:AI)+SUMIF('Budget-ACPLGZ'!$A:$A,$A189,'Budget-ACPLGZ'!AI:AI)+SUMIF('Budget-Yixing'!$A:$A,$A189,'Budget-Yixing'!AI:AI)</f>
        <v>0</v>
      </c>
      <c r="AJ189" s="688">
        <f ca="1">SUMIF('Budget-ACPL'!$A:$A,$A189,'Budget-ACPL'!AJ:AJ)+SUMIF('Budget-ACPLHK'!$A:$A,$A189,'Budget-ACPLHK'!AJ:AJ)+SUMIF('Budget-ACPSZL'!$A:$A,$A189,'Budget-ACPSZL'!AJ:AJ)+SUMIF('Budget-ACPLSZ'!$A:$A,$A189,'Budget-ACPLSZ'!AJ:AJ)+SUMIF('Budget-ACPLGZ'!$A:$A,$A189,'Budget-ACPLGZ'!AJ:AJ)+SUMIF('Budget-Yixing'!$A:$A,$A189,'Budget-Yixing'!AJ:AJ)</f>
        <v>0</v>
      </c>
      <c r="AK189" s="688">
        <f t="shared" ca="1" si="76"/>
        <v>0</v>
      </c>
    </row>
    <row r="190" spans="1:37" ht="13.5" hidden="1" customHeight="1">
      <c r="A190" s="713" t="s">
        <v>1990</v>
      </c>
      <c r="B190" s="687" t="str">
        <f>VLOOKUP(A190,Account!A:B,2,0)</f>
        <v>盘盈利得</v>
      </c>
      <c r="C190" s="687">
        <f>VLOOKUP(A190,Account!A:F,4,0)</f>
        <v>0</v>
      </c>
      <c r="D190" s="676">
        <f t="shared" ca="1" si="74"/>
        <v>0</v>
      </c>
      <c r="E190" s="676" t="e">
        <f t="shared" si="68"/>
        <v>#N/A</v>
      </c>
      <c r="F190" s="676" t="e">
        <f t="shared" ca="1" si="69"/>
        <v>#N/A</v>
      </c>
      <c r="G190" s="676">
        <f t="shared" ca="1" si="75"/>
        <v>0</v>
      </c>
      <c r="H190" s="676" t="e">
        <f t="shared" ca="1" si="70"/>
        <v>#N/A</v>
      </c>
      <c r="I190" s="676" t="e">
        <f t="shared" ca="1" si="71"/>
        <v>#N/A</v>
      </c>
      <c r="K190" s="676">
        <f ca="1">SUMIF('Budget-ACPL'!$A:$A,$A190,'Budget-ACPL'!K:K)+SUMIF('Budget-ACPLHK'!$A:$A,$A190,'Budget-ACPLHK'!K:K)+SUMIF('Budget-ACPSZL'!$A:$A,$A190,'Budget-ACPSZL'!K:K)+SUMIF('Budget-ACPLSZ'!$A:$A,$A190,'Budget-ACPLSZ'!K:K)+SUMIF('Budget-ACPLGZ'!$A:$A,$A190,'Budget-ACPLGZ'!K:K)+SUMIF('Budget-Yixing'!$A:$A,$A190,'Budget-Yixing'!K:K)</f>
        <v>0</v>
      </c>
      <c r="L190" s="676">
        <f ca="1">SUMIF('Budget-ACPL'!$A:$A,$A190,'Budget-ACPL'!L:L)+SUMIF('Budget-ACPLHK'!$A:$A,$A190,'Budget-ACPLHK'!L:L)+SUMIF('Budget-ACPSZL'!$A:$A,$A190,'Budget-ACPSZL'!L:L)+SUMIF('Budget-ACPLSZ'!$A:$A,$A190,'Budget-ACPLSZ'!L:L)+SUMIF('Budget-ACPLGZ'!$A:$A,$A190,'Budget-ACPLGZ'!L:L)+SUMIF('Budget-Yixing'!$A:$A,$A190,'Budget-Yixing'!L:L)</f>
        <v>0</v>
      </c>
      <c r="M190" s="676">
        <f ca="1">SUMIF('Budget-ACPL'!$A:$A,$A190,'Budget-ACPL'!M:M)+SUMIF('Budget-ACPLHK'!$A:$A,$A190,'Budget-ACPLHK'!M:M)+SUMIF('Budget-ACPSZL'!$A:$A,$A190,'Budget-ACPSZL'!M:M)+SUMIF('Budget-ACPLSZ'!$A:$A,$A190,'Budget-ACPLSZ'!M:M)+SUMIF('Budget-ACPLGZ'!$A:$A,$A190,'Budget-ACPLGZ'!M:M)+SUMIF('Budget-Yixing'!$A:$A,$A190,'Budget-Yixing'!M:M)</f>
        <v>0</v>
      </c>
      <c r="N190" s="676">
        <f ca="1">SUMIF('Budget-ACPL'!$A:$A,$A190,'Budget-ACPL'!N:N)+SUMIF('Budget-ACPLHK'!$A:$A,$A190,'Budget-ACPLHK'!N:N)+SUMIF('Budget-ACPSZL'!$A:$A,$A190,'Budget-ACPSZL'!N:N)+SUMIF('Budget-ACPLSZ'!$A:$A,$A190,'Budget-ACPLSZ'!N:N)+SUMIF('Budget-ACPLGZ'!$A:$A,$A190,'Budget-ACPLGZ'!N:N)+SUMIF('Budget-Yixing'!$A:$A,$A190,'Budget-Yixing'!N:N)</f>
        <v>0</v>
      </c>
      <c r="O190" s="676">
        <f ca="1">SUMIF('Budget-ACPL'!$A:$A,$A190,'Budget-ACPL'!O:O)+SUMIF('Budget-ACPLHK'!$A:$A,$A190,'Budget-ACPLHK'!O:O)+SUMIF('Budget-ACPSZL'!$A:$A,$A190,'Budget-ACPSZL'!O:O)+SUMIF('Budget-ACPLSZ'!$A:$A,$A190,'Budget-ACPLSZ'!O:O)+SUMIF('Budget-ACPLGZ'!$A:$A,$A190,'Budget-ACPLGZ'!O:O)+SUMIF('Budget-Yixing'!$A:$A,$A190,'Budget-Yixing'!O:O)</f>
        <v>0</v>
      </c>
      <c r="P190" s="676">
        <f ca="1">SUMIF('Budget-ACPL'!$A:$A,$A190,'Budget-ACPL'!P:P)+SUMIF('Budget-ACPLHK'!$A:$A,$A190,'Budget-ACPLHK'!P:P)+SUMIF('Budget-ACPSZL'!$A:$A,$A190,'Budget-ACPSZL'!P:P)+SUMIF('Budget-ACPLSZ'!$A:$A,$A190,'Budget-ACPLSZ'!P:P)+SUMIF('Budget-ACPLGZ'!$A:$A,$A190,'Budget-ACPLGZ'!P:P)+SUMIF('Budget-Yixing'!$A:$A,$A190,'Budget-Yixing'!P:P)</f>
        <v>0</v>
      </c>
      <c r="Q190" s="676">
        <f ca="1">SUMIF('Budget-ACPL'!$A:$A,$A190,'Budget-ACPL'!Q:Q)+SUMIF('Budget-ACPLHK'!$A:$A,$A190,'Budget-ACPLHK'!Q:Q)+SUMIF('Budget-ACPSZL'!$A:$A,$A190,'Budget-ACPSZL'!Q:Q)+SUMIF('Budget-ACPLSZ'!$A:$A,$A190,'Budget-ACPLSZ'!Q:Q)+SUMIF('Budget-ACPLGZ'!$A:$A,$A190,'Budget-ACPLGZ'!Q:Q)+SUMIF('Budget-Yixing'!$A:$A,$A190,'Budget-Yixing'!Q:Q)</f>
        <v>0</v>
      </c>
      <c r="R190" s="676">
        <f ca="1">SUMIF('Budget-ACPL'!$A:$A,$A190,'Budget-ACPL'!R:R)+SUMIF('Budget-ACPLHK'!$A:$A,$A190,'Budget-ACPLHK'!R:R)+SUMIF('Budget-ACPSZL'!$A:$A,$A190,'Budget-ACPSZL'!R:R)+SUMIF('Budget-ACPLSZ'!$A:$A,$A190,'Budget-ACPLSZ'!R:R)+SUMIF('Budget-ACPLGZ'!$A:$A,$A190,'Budget-ACPLGZ'!R:R)+SUMIF('Budget-Yixing'!$A:$A,$A190,'Budget-Yixing'!R:R)</f>
        <v>0</v>
      </c>
      <c r="S190" s="676">
        <f ca="1">SUMIF('Budget-ACPL'!$A:$A,$A190,'Budget-ACPL'!S:S)+SUMIF('Budget-ACPLHK'!$A:$A,$A190,'Budget-ACPLHK'!S:S)+SUMIF('Budget-ACPSZL'!$A:$A,$A190,'Budget-ACPSZL'!S:S)+SUMIF('Budget-ACPLSZ'!$A:$A,$A190,'Budget-ACPLSZ'!S:S)+SUMIF('Budget-ACPLGZ'!$A:$A,$A190,'Budget-ACPLGZ'!S:S)+SUMIF('Budget-Yixing'!$A:$A,$A190,'Budget-Yixing'!S:S)</f>
        <v>0</v>
      </c>
      <c r="T190" s="676">
        <f ca="1">SUMIF('Budget-ACPL'!$A:$A,$A190,'Budget-ACPL'!T:T)+SUMIF('Budget-ACPLHK'!$A:$A,$A190,'Budget-ACPLHK'!T:T)+SUMIF('Budget-ACPSZL'!$A:$A,$A190,'Budget-ACPSZL'!T:T)+SUMIF('Budget-ACPLSZ'!$A:$A,$A190,'Budget-ACPLSZ'!T:T)+SUMIF('Budget-ACPLGZ'!$A:$A,$A190,'Budget-ACPLGZ'!T:T)+SUMIF('Budget-Yixing'!$A:$A,$A190,'Budget-Yixing'!T:T)</f>
        <v>0</v>
      </c>
      <c r="U190" s="676">
        <f ca="1">SUMIF('Budget-ACPL'!$A:$A,$A190,'Budget-ACPL'!U:U)+SUMIF('Budget-ACPLHK'!$A:$A,$A190,'Budget-ACPLHK'!U:U)+SUMIF('Budget-ACPSZL'!$A:$A,$A190,'Budget-ACPSZL'!U:U)+SUMIF('Budget-ACPLSZ'!$A:$A,$A190,'Budget-ACPLSZ'!U:U)+SUMIF('Budget-ACPLGZ'!$A:$A,$A190,'Budget-ACPLGZ'!U:U)+SUMIF('Budget-Yixing'!$A:$A,$A190,'Budget-Yixing'!U:U)</f>
        <v>0</v>
      </c>
      <c r="V190" s="676">
        <f ca="1">SUMIF('Budget-ACPL'!$A:$A,$A190,'Budget-ACPL'!V:V)+SUMIF('Budget-ACPLHK'!$A:$A,$A190,'Budget-ACPLHK'!V:V)+SUMIF('Budget-ACPSZL'!$A:$A,$A190,'Budget-ACPSZL'!V:V)+SUMIF('Budget-ACPLSZ'!$A:$A,$A190,'Budget-ACPLSZ'!V:V)+SUMIF('Budget-ACPLGZ'!$A:$A,$A190,'Budget-ACPLGZ'!V:V)+SUMIF('Budget-Yixing'!$A:$A,$A190,'Budget-Yixing'!V:V)</f>
        <v>0</v>
      </c>
      <c r="W190" s="676">
        <f t="shared" ca="1" si="77"/>
        <v>0</v>
      </c>
      <c r="Y190" s="688">
        <f ca="1">SUMIF('Budget-ACPL'!$A:$A,$A190,'Budget-ACPL'!Y:Y)+SUMIF('Budget-ACPLHK'!$A:$A,$A190,'Budget-ACPLHK'!Y:Y)+SUMIF('Budget-ACPSZL'!$A:$A,$A190,'Budget-ACPSZL'!Y:Y)+SUMIF('Budget-ACPLSZ'!$A:$A,$A190,'Budget-ACPLSZ'!Y:Y)+SUMIF('Budget-ACPLGZ'!$A:$A,$A190,'Budget-ACPLGZ'!Y:Y)+SUMIF('Budget-Yixing'!$A:$A,$A190,'Budget-Yixing'!Y:Y)</f>
        <v>0</v>
      </c>
      <c r="Z190" s="688">
        <f ca="1">SUMIF('Budget-ACPL'!$A:$A,$A190,'Budget-ACPL'!Z:Z)+SUMIF('Budget-ACPLHK'!$A:$A,$A190,'Budget-ACPLHK'!Z:Z)+SUMIF('Budget-ACPSZL'!$A:$A,$A190,'Budget-ACPSZL'!Z:Z)+SUMIF('Budget-ACPLSZ'!$A:$A,$A190,'Budget-ACPLSZ'!Z:Z)+SUMIF('Budget-ACPLGZ'!$A:$A,$A190,'Budget-ACPLGZ'!Z:Z)+SUMIF('Budget-Yixing'!$A:$A,$A190,'Budget-Yixing'!Z:Z)</f>
        <v>0</v>
      </c>
      <c r="AA190" s="688">
        <f ca="1">SUMIF('Budget-ACPL'!$A:$A,$A190,'Budget-ACPL'!AA:AA)+SUMIF('Budget-ACPLHK'!$A:$A,$A190,'Budget-ACPLHK'!AA:AA)+SUMIF('Budget-ACPSZL'!$A:$A,$A190,'Budget-ACPSZL'!AA:AA)+SUMIF('Budget-ACPLSZ'!$A:$A,$A190,'Budget-ACPLSZ'!AA:AA)+SUMIF('Budget-ACPLGZ'!$A:$A,$A190,'Budget-ACPLGZ'!AA:AA)+SUMIF('Budget-Yixing'!$A:$A,$A190,'Budget-Yixing'!AA:AA)</f>
        <v>0</v>
      </c>
      <c r="AB190" s="688">
        <f ca="1">SUMIF('Budget-ACPL'!$A:$A,$A190,'Budget-ACPL'!AB:AB)+SUMIF('Budget-ACPLHK'!$A:$A,$A190,'Budget-ACPLHK'!AB:AB)+SUMIF('Budget-ACPSZL'!$A:$A,$A190,'Budget-ACPSZL'!AB:AB)+SUMIF('Budget-ACPLSZ'!$A:$A,$A190,'Budget-ACPLSZ'!AB:AB)+SUMIF('Budget-ACPLGZ'!$A:$A,$A190,'Budget-ACPLGZ'!AB:AB)+SUMIF('Budget-Yixing'!$A:$A,$A190,'Budget-Yixing'!AB:AB)</f>
        <v>0</v>
      </c>
      <c r="AC190" s="688">
        <f ca="1">SUMIF('Budget-ACPL'!$A:$A,$A190,'Budget-ACPL'!AC:AC)+SUMIF('Budget-ACPLHK'!$A:$A,$A190,'Budget-ACPLHK'!AC:AC)+SUMIF('Budget-ACPSZL'!$A:$A,$A190,'Budget-ACPSZL'!AC:AC)+SUMIF('Budget-ACPLSZ'!$A:$A,$A190,'Budget-ACPLSZ'!AC:AC)+SUMIF('Budget-ACPLGZ'!$A:$A,$A190,'Budget-ACPLGZ'!AC:AC)+SUMIF('Budget-Yixing'!$A:$A,$A190,'Budget-Yixing'!AC:AC)</f>
        <v>0</v>
      </c>
      <c r="AD190" s="688">
        <f ca="1">SUMIF('Budget-ACPL'!$A:$A,$A190,'Budget-ACPL'!AD:AD)+SUMIF('Budget-ACPLHK'!$A:$A,$A190,'Budget-ACPLHK'!AD:AD)+SUMIF('Budget-ACPSZL'!$A:$A,$A190,'Budget-ACPSZL'!AD:AD)+SUMIF('Budget-ACPLSZ'!$A:$A,$A190,'Budget-ACPLSZ'!AD:AD)+SUMIF('Budget-ACPLGZ'!$A:$A,$A190,'Budget-ACPLGZ'!AD:AD)+SUMIF('Budget-Yixing'!$A:$A,$A190,'Budget-Yixing'!AD:AD)</f>
        <v>0</v>
      </c>
      <c r="AE190" s="688">
        <f ca="1">SUMIF('Budget-ACPL'!$A:$A,$A190,'Budget-ACPL'!AE:AE)+SUMIF('Budget-ACPLHK'!$A:$A,$A190,'Budget-ACPLHK'!AE:AE)+SUMIF('Budget-ACPSZL'!$A:$A,$A190,'Budget-ACPSZL'!AE:AE)+SUMIF('Budget-ACPLSZ'!$A:$A,$A190,'Budget-ACPLSZ'!AE:AE)+SUMIF('Budget-ACPLGZ'!$A:$A,$A190,'Budget-ACPLGZ'!AE:AE)+SUMIF('Budget-Yixing'!$A:$A,$A190,'Budget-Yixing'!AE:AE)</f>
        <v>0</v>
      </c>
      <c r="AF190" s="688">
        <f ca="1">SUMIF('Budget-ACPL'!$A:$A,$A190,'Budget-ACPL'!AF:AF)+SUMIF('Budget-ACPLHK'!$A:$A,$A190,'Budget-ACPLHK'!AF:AF)+SUMIF('Budget-ACPSZL'!$A:$A,$A190,'Budget-ACPSZL'!AF:AF)+SUMIF('Budget-ACPLSZ'!$A:$A,$A190,'Budget-ACPLSZ'!AF:AF)+SUMIF('Budget-ACPLGZ'!$A:$A,$A190,'Budget-ACPLGZ'!AF:AF)+SUMIF('Budget-Yixing'!$A:$A,$A190,'Budget-Yixing'!AF:AF)</f>
        <v>0</v>
      </c>
      <c r="AG190" s="688">
        <f ca="1">SUMIF('Budget-ACPL'!$A:$A,$A190,'Budget-ACPL'!AG:AG)+SUMIF('Budget-ACPLHK'!$A:$A,$A190,'Budget-ACPLHK'!AG:AG)+SUMIF('Budget-ACPSZL'!$A:$A,$A190,'Budget-ACPSZL'!AG:AG)+SUMIF('Budget-ACPLSZ'!$A:$A,$A190,'Budget-ACPLSZ'!AG:AG)+SUMIF('Budget-ACPLGZ'!$A:$A,$A190,'Budget-ACPLGZ'!AG:AG)+SUMIF('Budget-Yixing'!$A:$A,$A190,'Budget-Yixing'!AG:AG)</f>
        <v>0</v>
      </c>
      <c r="AH190" s="688">
        <f ca="1">SUMIF('Budget-ACPL'!$A:$A,$A190,'Budget-ACPL'!AH:AH)+SUMIF('Budget-ACPLHK'!$A:$A,$A190,'Budget-ACPLHK'!AH:AH)+SUMIF('Budget-ACPSZL'!$A:$A,$A190,'Budget-ACPSZL'!AH:AH)+SUMIF('Budget-ACPLSZ'!$A:$A,$A190,'Budget-ACPLSZ'!AH:AH)+SUMIF('Budget-ACPLGZ'!$A:$A,$A190,'Budget-ACPLGZ'!AH:AH)+SUMIF('Budget-Yixing'!$A:$A,$A190,'Budget-Yixing'!AH:AH)</f>
        <v>0</v>
      </c>
      <c r="AI190" s="688">
        <f ca="1">SUMIF('Budget-ACPL'!$A:$A,$A190,'Budget-ACPL'!AI:AI)+SUMIF('Budget-ACPLHK'!$A:$A,$A190,'Budget-ACPLHK'!AI:AI)+SUMIF('Budget-ACPSZL'!$A:$A,$A190,'Budget-ACPSZL'!AI:AI)+SUMIF('Budget-ACPLSZ'!$A:$A,$A190,'Budget-ACPLSZ'!AI:AI)+SUMIF('Budget-ACPLGZ'!$A:$A,$A190,'Budget-ACPLGZ'!AI:AI)+SUMIF('Budget-Yixing'!$A:$A,$A190,'Budget-Yixing'!AI:AI)</f>
        <v>0</v>
      </c>
      <c r="AJ190" s="688">
        <f ca="1">SUMIF('Budget-ACPL'!$A:$A,$A190,'Budget-ACPL'!AJ:AJ)+SUMIF('Budget-ACPLHK'!$A:$A,$A190,'Budget-ACPLHK'!AJ:AJ)+SUMIF('Budget-ACPSZL'!$A:$A,$A190,'Budget-ACPSZL'!AJ:AJ)+SUMIF('Budget-ACPLSZ'!$A:$A,$A190,'Budget-ACPLSZ'!AJ:AJ)+SUMIF('Budget-ACPLGZ'!$A:$A,$A190,'Budget-ACPLGZ'!AJ:AJ)+SUMIF('Budget-Yixing'!$A:$A,$A190,'Budget-Yixing'!AJ:AJ)</f>
        <v>0</v>
      </c>
      <c r="AK190" s="688">
        <f t="shared" ca="1" si="76"/>
        <v>0</v>
      </c>
    </row>
    <row r="191" spans="1:37" ht="13.5" hidden="1" customHeight="1">
      <c r="A191" s="713" t="s">
        <v>1994</v>
      </c>
      <c r="B191" s="687" t="str">
        <f>VLOOKUP(A191,Account!A:B,2,0)</f>
        <v>捐赠利得</v>
      </c>
      <c r="C191" s="687">
        <f>VLOOKUP(A191,Account!A:F,4,0)</f>
        <v>0</v>
      </c>
      <c r="D191" s="676">
        <f t="shared" ca="1" si="74"/>
        <v>0</v>
      </c>
      <c r="E191" s="676" t="e">
        <f t="shared" si="68"/>
        <v>#N/A</v>
      </c>
      <c r="F191" s="676" t="e">
        <f t="shared" ca="1" si="69"/>
        <v>#N/A</v>
      </c>
      <c r="G191" s="676">
        <f t="shared" ca="1" si="75"/>
        <v>0</v>
      </c>
      <c r="H191" s="676" t="e">
        <f t="shared" ca="1" si="70"/>
        <v>#N/A</v>
      </c>
      <c r="I191" s="676" t="e">
        <f t="shared" ca="1" si="71"/>
        <v>#N/A</v>
      </c>
      <c r="K191" s="676">
        <f ca="1">SUMIF('Budget-ACPL'!$A:$A,$A191,'Budget-ACPL'!K:K)+SUMIF('Budget-ACPLHK'!$A:$A,$A191,'Budget-ACPLHK'!K:K)+SUMIF('Budget-ACPSZL'!$A:$A,$A191,'Budget-ACPSZL'!K:K)+SUMIF('Budget-ACPLSZ'!$A:$A,$A191,'Budget-ACPLSZ'!K:K)+SUMIF('Budget-ACPLGZ'!$A:$A,$A191,'Budget-ACPLGZ'!K:K)+SUMIF('Budget-Yixing'!$A:$A,$A191,'Budget-Yixing'!K:K)</f>
        <v>0</v>
      </c>
      <c r="L191" s="676">
        <f ca="1">SUMIF('Budget-ACPL'!$A:$A,$A191,'Budget-ACPL'!L:L)+SUMIF('Budget-ACPLHK'!$A:$A,$A191,'Budget-ACPLHK'!L:L)+SUMIF('Budget-ACPSZL'!$A:$A,$A191,'Budget-ACPSZL'!L:L)+SUMIF('Budget-ACPLSZ'!$A:$A,$A191,'Budget-ACPLSZ'!L:L)+SUMIF('Budget-ACPLGZ'!$A:$A,$A191,'Budget-ACPLGZ'!L:L)+SUMIF('Budget-Yixing'!$A:$A,$A191,'Budget-Yixing'!L:L)</f>
        <v>0</v>
      </c>
      <c r="M191" s="676">
        <f ca="1">SUMIF('Budget-ACPL'!$A:$A,$A191,'Budget-ACPL'!M:M)+SUMIF('Budget-ACPLHK'!$A:$A,$A191,'Budget-ACPLHK'!M:M)+SUMIF('Budget-ACPSZL'!$A:$A,$A191,'Budget-ACPSZL'!M:M)+SUMIF('Budget-ACPLSZ'!$A:$A,$A191,'Budget-ACPLSZ'!M:M)+SUMIF('Budget-ACPLGZ'!$A:$A,$A191,'Budget-ACPLGZ'!M:M)+SUMIF('Budget-Yixing'!$A:$A,$A191,'Budget-Yixing'!M:M)</f>
        <v>0</v>
      </c>
      <c r="N191" s="676">
        <f ca="1">SUMIF('Budget-ACPL'!$A:$A,$A191,'Budget-ACPL'!N:N)+SUMIF('Budget-ACPLHK'!$A:$A,$A191,'Budget-ACPLHK'!N:N)+SUMIF('Budget-ACPSZL'!$A:$A,$A191,'Budget-ACPSZL'!N:N)+SUMIF('Budget-ACPLSZ'!$A:$A,$A191,'Budget-ACPLSZ'!N:N)+SUMIF('Budget-ACPLGZ'!$A:$A,$A191,'Budget-ACPLGZ'!N:N)+SUMIF('Budget-Yixing'!$A:$A,$A191,'Budget-Yixing'!N:N)</f>
        <v>0</v>
      </c>
      <c r="O191" s="676">
        <f ca="1">SUMIF('Budget-ACPL'!$A:$A,$A191,'Budget-ACPL'!O:O)+SUMIF('Budget-ACPLHK'!$A:$A,$A191,'Budget-ACPLHK'!O:O)+SUMIF('Budget-ACPSZL'!$A:$A,$A191,'Budget-ACPSZL'!O:O)+SUMIF('Budget-ACPLSZ'!$A:$A,$A191,'Budget-ACPLSZ'!O:O)+SUMIF('Budget-ACPLGZ'!$A:$A,$A191,'Budget-ACPLGZ'!O:O)+SUMIF('Budget-Yixing'!$A:$A,$A191,'Budget-Yixing'!O:O)</f>
        <v>0</v>
      </c>
      <c r="P191" s="676">
        <f ca="1">SUMIF('Budget-ACPL'!$A:$A,$A191,'Budget-ACPL'!P:P)+SUMIF('Budget-ACPLHK'!$A:$A,$A191,'Budget-ACPLHK'!P:P)+SUMIF('Budget-ACPSZL'!$A:$A,$A191,'Budget-ACPSZL'!P:P)+SUMIF('Budget-ACPLSZ'!$A:$A,$A191,'Budget-ACPLSZ'!P:P)+SUMIF('Budget-ACPLGZ'!$A:$A,$A191,'Budget-ACPLGZ'!P:P)+SUMIF('Budget-Yixing'!$A:$A,$A191,'Budget-Yixing'!P:P)</f>
        <v>0</v>
      </c>
      <c r="Q191" s="676">
        <f ca="1">SUMIF('Budget-ACPL'!$A:$A,$A191,'Budget-ACPL'!Q:Q)+SUMIF('Budget-ACPLHK'!$A:$A,$A191,'Budget-ACPLHK'!Q:Q)+SUMIF('Budget-ACPSZL'!$A:$A,$A191,'Budget-ACPSZL'!Q:Q)+SUMIF('Budget-ACPLSZ'!$A:$A,$A191,'Budget-ACPLSZ'!Q:Q)+SUMIF('Budget-ACPLGZ'!$A:$A,$A191,'Budget-ACPLGZ'!Q:Q)+SUMIF('Budget-Yixing'!$A:$A,$A191,'Budget-Yixing'!Q:Q)</f>
        <v>0</v>
      </c>
      <c r="R191" s="676">
        <f ca="1">SUMIF('Budget-ACPL'!$A:$A,$A191,'Budget-ACPL'!R:R)+SUMIF('Budget-ACPLHK'!$A:$A,$A191,'Budget-ACPLHK'!R:R)+SUMIF('Budget-ACPSZL'!$A:$A,$A191,'Budget-ACPSZL'!R:R)+SUMIF('Budget-ACPLSZ'!$A:$A,$A191,'Budget-ACPLSZ'!R:R)+SUMIF('Budget-ACPLGZ'!$A:$A,$A191,'Budget-ACPLGZ'!R:R)+SUMIF('Budget-Yixing'!$A:$A,$A191,'Budget-Yixing'!R:R)</f>
        <v>0</v>
      </c>
      <c r="S191" s="676">
        <f ca="1">SUMIF('Budget-ACPL'!$A:$A,$A191,'Budget-ACPL'!S:S)+SUMIF('Budget-ACPLHK'!$A:$A,$A191,'Budget-ACPLHK'!S:S)+SUMIF('Budget-ACPSZL'!$A:$A,$A191,'Budget-ACPSZL'!S:S)+SUMIF('Budget-ACPLSZ'!$A:$A,$A191,'Budget-ACPLSZ'!S:S)+SUMIF('Budget-ACPLGZ'!$A:$A,$A191,'Budget-ACPLGZ'!S:S)+SUMIF('Budget-Yixing'!$A:$A,$A191,'Budget-Yixing'!S:S)</f>
        <v>0</v>
      </c>
      <c r="T191" s="676">
        <f ca="1">SUMIF('Budget-ACPL'!$A:$A,$A191,'Budget-ACPL'!T:T)+SUMIF('Budget-ACPLHK'!$A:$A,$A191,'Budget-ACPLHK'!T:T)+SUMIF('Budget-ACPSZL'!$A:$A,$A191,'Budget-ACPSZL'!T:T)+SUMIF('Budget-ACPLSZ'!$A:$A,$A191,'Budget-ACPLSZ'!T:T)+SUMIF('Budget-ACPLGZ'!$A:$A,$A191,'Budget-ACPLGZ'!T:T)+SUMIF('Budget-Yixing'!$A:$A,$A191,'Budget-Yixing'!T:T)</f>
        <v>0</v>
      </c>
      <c r="U191" s="676">
        <f ca="1">SUMIF('Budget-ACPL'!$A:$A,$A191,'Budget-ACPL'!U:U)+SUMIF('Budget-ACPLHK'!$A:$A,$A191,'Budget-ACPLHK'!U:U)+SUMIF('Budget-ACPSZL'!$A:$A,$A191,'Budget-ACPSZL'!U:U)+SUMIF('Budget-ACPLSZ'!$A:$A,$A191,'Budget-ACPLSZ'!U:U)+SUMIF('Budget-ACPLGZ'!$A:$A,$A191,'Budget-ACPLGZ'!U:U)+SUMIF('Budget-Yixing'!$A:$A,$A191,'Budget-Yixing'!U:U)</f>
        <v>0</v>
      </c>
      <c r="V191" s="676">
        <f ca="1">SUMIF('Budget-ACPL'!$A:$A,$A191,'Budget-ACPL'!V:V)+SUMIF('Budget-ACPLHK'!$A:$A,$A191,'Budget-ACPLHK'!V:V)+SUMIF('Budget-ACPSZL'!$A:$A,$A191,'Budget-ACPSZL'!V:V)+SUMIF('Budget-ACPLSZ'!$A:$A,$A191,'Budget-ACPLSZ'!V:V)+SUMIF('Budget-ACPLGZ'!$A:$A,$A191,'Budget-ACPLGZ'!V:V)+SUMIF('Budget-Yixing'!$A:$A,$A191,'Budget-Yixing'!V:V)</f>
        <v>0</v>
      </c>
      <c r="W191" s="676">
        <f t="shared" ca="1" si="77"/>
        <v>0</v>
      </c>
      <c r="Y191" s="688">
        <f ca="1">SUMIF('Budget-ACPL'!$A:$A,$A191,'Budget-ACPL'!Y:Y)+SUMIF('Budget-ACPLHK'!$A:$A,$A191,'Budget-ACPLHK'!Y:Y)+SUMIF('Budget-ACPSZL'!$A:$A,$A191,'Budget-ACPSZL'!Y:Y)+SUMIF('Budget-ACPLSZ'!$A:$A,$A191,'Budget-ACPLSZ'!Y:Y)+SUMIF('Budget-ACPLGZ'!$A:$A,$A191,'Budget-ACPLGZ'!Y:Y)+SUMIF('Budget-Yixing'!$A:$A,$A191,'Budget-Yixing'!Y:Y)</f>
        <v>0</v>
      </c>
      <c r="Z191" s="688">
        <f ca="1">SUMIF('Budget-ACPL'!$A:$A,$A191,'Budget-ACPL'!Z:Z)+SUMIF('Budget-ACPLHK'!$A:$A,$A191,'Budget-ACPLHK'!Z:Z)+SUMIF('Budget-ACPSZL'!$A:$A,$A191,'Budget-ACPSZL'!Z:Z)+SUMIF('Budget-ACPLSZ'!$A:$A,$A191,'Budget-ACPLSZ'!Z:Z)+SUMIF('Budget-ACPLGZ'!$A:$A,$A191,'Budget-ACPLGZ'!Z:Z)+SUMIF('Budget-Yixing'!$A:$A,$A191,'Budget-Yixing'!Z:Z)</f>
        <v>0</v>
      </c>
      <c r="AA191" s="688">
        <f ca="1">SUMIF('Budget-ACPL'!$A:$A,$A191,'Budget-ACPL'!AA:AA)+SUMIF('Budget-ACPLHK'!$A:$A,$A191,'Budget-ACPLHK'!AA:AA)+SUMIF('Budget-ACPSZL'!$A:$A,$A191,'Budget-ACPSZL'!AA:AA)+SUMIF('Budget-ACPLSZ'!$A:$A,$A191,'Budget-ACPLSZ'!AA:AA)+SUMIF('Budget-ACPLGZ'!$A:$A,$A191,'Budget-ACPLGZ'!AA:AA)+SUMIF('Budget-Yixing'!$A:$A,$A191,'Budget-Yixing'!AA:AA)</f>
        <v>0</v>
      </c>
      <c r="AB191" s="688">
        <f ca="1">SUMIF('Budget-ACPL'!$A:$A,$A191,'Budget-ACPL'!AB:AB)+SUMIF('Budget-ACPLHK'!$A:$A,$A191,'Budget-ACPLHK'!AB:AB)+SUMIF('Budget-ACPSZL'!$A:$A,$A191,'Budget-ACPSZL'!AB:AB)+SUMIF('Budget-ACPLSZ'!$A:$A,$A191,'Budget-ACPLSZ'!AB:AB)+SUMIF('Budget-ACPLGZ'!$A:$A,$A191,'Budget-ACPLGZ'!AB:AB)+SUMIF('Budget-Yixing'!$A:$A,$A191,'Budget-Yixing'!AB:AB)</f>
        <v>0</v>
      </c>
      <c r="AC191" s="688">
        <f ca="1">SUMIF('Budget-ACPL'!$A:$A,$A191,'Budget-ACPL'!AC:AC)+SUMIF('Budget-ACPLHK'!$A:$A,$A191,'Budget-ACPLHK'!AC:AC)+SUMIF('Budget-ACPSZL'!$A:$A,$A191,'Budget-ACPSZL'!AC:AC)+SUMIF('Budget-ACPLSZ'!$A:$A,$A191,'Budget-ACPLSZ'!AC:AC)+SUMIF('Budget-ACPLGZ'!$A:$A,$A191,'Budget-ACPLGZ'!AC:AC)+SUMIF('Budget-Yixing'!$A:$A,$A191,'Budget-Yixing'!AC:AC)</f>
        <v>0</v>
      </c>
      <c r="AD191" s="688">
        <f ca="1">SUMIF('Budget-ACPL'!$A:$A,$A191,'Budget-ACPL'!AD:AD)+SUMIF('Budget-ACPLHK'!$A:$A,$A191,'Budget-ACPLHK'!AD:AD)+SUMIF('Budget-ACPSZL'!$A:$A,$A191,'Budget-ACPSZL'!AD:AD)+SUMIF('Budget-ACPLSZ'!$A:$A,$A191,'Budget-ACPLSZ'!AD:AD)+SUMIF('Budget-ACPLGZ'!$A:$A,$A191,'Budget-ACPLGZ'!AD:AD)+SUMIF('Budget-Yixing'!$A:$A,$A191,'Budget-Yixing'!AD:AD)</f>
        <v>0</v>
      </c>
      <c r="AE191" s="688">
        <f ca="1">SUMIF('Budget-ACPL'!$A:$A,$A191,'Budget-ACPL'!AE:AE)+SUMIF('Budget-ACPLHK'!$A:$A,$A191,'Budget-ACPLHK'!AE:AE)+SUMIF('Budget-ACPSZL'!$A:$A,$A191,'Budget-ACPSZL'!AE:AE)+SUMIF('Budget-ACPLSZ'!$A:$A,$A191,'Budget-ACPLSZ'!AE:AE)+SUMIF('Budget-ACPLGZ'!$A:$A,$A191,'Budget-ACPLGZ'!AE:AE)+SUMIF('Budget-Yixing'!$A:$A,$A191,'Budget-Yixing'!AE:AE)</f>
        <v>0</v>
      </c>
      <c r="AF191" s="688">
        <f ca="1">SUMIF('Budget-ACPL'!$A:$A,$A191,'Budget-ACPL'!AF:AF)+SUMIF('Budget-ACPLHK'!$A:$A,$A191,'Budget-ACPLHK'!AF:AF)+SUMIF('Budget-ACPSZL'!$A:$A,$A191,'Budget-ACPSZL'!AF:AF)+SUMIF('Budget-ACPLSZ'!$A:$A,$A191,'Budget-ACPLSZ'!AF:AF)+SUMIF('Budget-ACPLGZ'!$A:$A,$A191,'Budget-ACPLGZ'!AF:AF)+SUMIF('Budget-Yixing'!$A:$A,$A191,'Budget-Yixing'!AF:AF)</f>
        <v>0</v>
      </c>
      <c r="AG191" s="688">
        <f ca="1">SUMIF('Budget-ACPL'!$A:$A,$A191,'Budget-ACPL'!AG:AG)+SUMIF('Budget-ACPLHK'!$A:$A,$A191,'Budget-ACPLHK'!AG:AG)+SUMIF('Budget-ACPSZL'!$A:$A,$A191,'Budget-ACPSZL'!AG:AG)+SUMIF('Budget-ACPLSZ'!$A:$A,$A191,'Budget-ACPLSZ'!AG:AG)+SUMIF('Budget-ACPLGZ'!$A:$A,$A191,'Budget-ACPLGZ'!AG:AG)+SUMIF('Budget-Yixing'!$A:$A,$A191,'Budget-Yixing'!AG:AG)</f>
        <v>0</v>
      </c>
      <c r="AH191" s="688">
        <f ca="1">SUMIF('Budget-ACPL'!$A:$A,$A191,'Budget-ACPL'!AH:AH)+SUMIF('Budget-ACPLHK'!$A:$A,$A191,'Budget-ACPLHK'!AH:AH)+SUMIF('Budget-ACPSZL'!$A:$A,$A191,'Budget-ACPSZL'!AH:AH)+SUMIF('Budget-ACPLSZ'!$A:$A,$A191,'Budget-ACPLSZ'!AH:AH)+SUMIF('Budget-ACPLGZ'!$A:$A,$A191,'Budget-ACPLGZ'!AH:AH)+SUMIF('Budget-Yixing'!$A:$A,$A191,'Budget-Yixing'!AH:AH)</f>
        <v>0</v>
      </c>
      <c r="AI191" s="688">
        <f ca="1">SUMIF('Budget-ACPL'!$A:$A,$A191,'Budget-ACPL'!AI:AI)+SUMIF('Budget-ACPLHK'!$A:$A,$A191,'Budget-ACPLHK'!AI:AI)+SUMIF('Budget-ACPSZL'!$A:$A,$A191,'Budget-ACPSZL'!AI:AI)+SUMIF('Budget-ACPLSZ'!$A:$A,$A191,'Budget-ACPLSZ'!AI:AI)+SUMIF('Budget-ACPLGZ'!$A:$A,$A191,'Budget-ACPLGZ'!AI:AI)+SUMIF('Budget-Yixing'!$A:$A,$A191,'Budget-Yixing'!AI:AI)</f>
        <v>0</v>
      </c>
      <c r="AJ191" s="688">
        <f ca="1">SUMIF('Budget-ACPL'!$A:$A,$A191,'Budget-ACPL'!AJ:AJ)+SUMIF('Budget-ACPLHK'!$A:$A,$A191,'Budget-ACPLHK'!AJ:AJ)+SUMIF('Budget-ACPSZL'!$A:$A,$A191,'Budget-ACPSZL'!AJ:AJ)+SUMIF('Budget-ACPLSZ'!$A:$A,$A191,'Budget-ACPLSZ'!AJ:AJ)+SUMIF('Budget-ACPLGZ'!$A:$A,$A191,'Budget-ACPLGZ'!AJ:AJ)+SUMIF('Budget-Yixing'!$A:$A,$A191,'Budget-Yixing'!AJ:AJ)</f>
        <v>0</v>
      </c>
      <c r="AK191" s="688">
        <f t="shared" ca="1" si="76"/>
        <v>0</v>
      </c>
    </row>
    <row r="192" spans="1:37" ht="13.5" hidden="1" customHeight="1">
      <c r="A192" s="713" t="s">
        <v>1998</v>
      </c>
      <c r="B192" s="687" t="str">
        <f>VLOOKUP(A192,Account!A:B,2,0)</f>
        <v>其他</v>
      </c>
      <c r="C192" s="687">
        <f>VLOOKUP(A192,Account!A:F,4,0)</f>
        <v>0</v>
      </c>
      <c r="D192" s="676">
        <f t="shared" ca="1" si="74"/>
        <v>0</v>
      </c>
      <c r="E192" s="676" t="e">
        <f t="shared" si="68"/>
        <v>#N/A</v>
      </c>
      <c r="F192" s="676" t="e">
        <f t="shared" ca="1" si="69"/>
        <v>#N/A</v>
      </c>
      <c r="G192" s="676">
        <f t="shared" ca="1" si="75"/>
        <v>0</v>
      </c>
      <c r="H192" s="676" t="e">
        <f t="shared" ca="1" si="70"/>
        <v>#N/A</v>
      </c>
      <c r="I192" s="676" t="e">
        <f t="shared" ca="1" si="71"/>
        <v>#N/A</v>
      </c>
      <c r="K192" s="676">
        <f ca="1">SUMIF('Budget-ACPL'!$A:$A,$A192,'Budget-ACPL'!K:K)+SUMIF('Budget-ACPLHK'!$A:$A,$A192,'Budget-ACPLHK'!K:K)+SUMIF('Budget-ACPSZL'!$A:$A,$A192,'Budget-ACPSZL'!K:K)+SUMIF('Budget-ACPLSZ'!$A:$A,$A192,'Budget-ACPLSZ'!K:K)+SUMIF('Budget-ACPLGZ'!$A:$A,$A192,'Budget-ACPLGZ'!K:K)+SUMIF('Budget-Yixing'!$A:$A,$A192,'Budget-Yixing'!K:K)</f>
        <v>0</v>
      </c>
      <c r="L192" s="676">
        <f ca="1">SUMIF('Budget-ACPL'!$A:$A,$A192,'Budget-ACPL'!L:L)+SUMIF('Budget-ACPLHK'!$A:$A,$A192,'Budget-ACPLHK'!L:L)+SUMIF('Budget-ACPSZL'!$A:$A,$A192,'Budget-ACPSZL'!L:L)+SUMIF('Budget-ACPLSZ'!$A:$A,$A192,'Budget-ACPLSZ'!L:L)+SUMIF('Budget-ACPLGZ'!$A:$A,$A192,'Budget-ACPLGZ'!L:L)+SUMIF('Budget-Yixing'!$A:$A,$A192,'Budget-Yixing'!L:L)</f>
        <v>0</v>
      </c>
      <c r="M192" s="676">
        <f ca="1">SUMIF('Budget-ACPL'!$A:$A,$A192,'Budget-ACPL'!M:M)+SUMIF('Budget-ACPLHK'!$A:$A,$A192,'Budget-ACPLHK'!M:M)+SUMIF('Budget-ACPSZL'!$A:$A,$A192,'Budget-ACPSZL'!M:M)+SUMIF('Budget-ACPLSZ'!$A:$A,$A192,'Budget-ACPLSZ'!M:M)+SUMIF('Budget-ACPLGZ'!$A:$A,$A192,'Budget-ACPLGZ'!M:M)+SUMIF('Budget-Yixing'!$A:$A,$A192,'Budget-Yixing'!M:M)</f>
        <v>0</v>
      </c>
      <c r="N192" s="676">
        <f ca="1">SUMIF('Budget-ACPL'!$A:$A,$A192,'Budget-ACPL'!N:N)+SUMIF('Budget-ACPLHK'!$A:$A,$A192,'Budget-ACPLHK'!N:N)+SUMIF('Budget-ACPSZL'!$A:$A,$A192,'Budget-ACPSZL'!N:N)+SUMIF('Budget-ACPLSZ'!$A:$A,$A192,'Budget-ACPLSZ'!N:N)+SUMIF('Budget-ACPLGZ'!$A:$A,$A192,'Budget-ACPLGZ'!N:N)+SUMIF('Budget-Yixing'!$A:$A,$A192,'Budget-Yixing'!N:N)</f>
        <v>0</v>
      </c>
      <c r="O192" s="676">
        <f ca="1">SUMIF('Budget-ACPL'!$A:$A,$A192,'Budget-ACPL'!O:O)+SUMIF('Budget-ACPLHK'!$A:$A,$A192,'Budget-ACPLHK'!O:O)+SUMIF('Budget-ACPSZL'!$A:$A,$A192,'Budget-ACPSZL'!O:O)+SUMIF('Budget-ACPLSZ'!$A:$A,$A192,'Budget-ACPLSZ'!O:O)+SUMIF('Budget-ACPLGZ'!$A:$A,$A192,'Budget-ACPLGZ'!O:O)+SUMIF('Budget-Yixing'!$A:$A,$A192,'Budget-Yixing'!O:O)</f>
        <v>0</v>
      </c>
      <c r="P192" s="676">
        <f ca="1">SUMIF('Budget-ACPL'!$A:$A,$A192,'Budget-ACPL'!P:P)+SUMIF('Budget-ACPLHK'!$A:$A,$A192,'Budget-ACPLHK'!P:P)+SUMIF('Budget-ACPSZL'!$A:$A,$A192,'Budget-ACPSZL'!P:P)+SUMIF('Budget-ACPLSZ'!$A:$A,$A192,'Budget-ACPLSZ'!P:P)+SUMIF('Budget-ACPLGZ'!$A:$A,$A192,'Budget-ACPLGZ'!P:P)+SUMIF('Budget-Yixing'!$A:$A,$A192,'Budget-Yixing'!P:P)</f>
        <v>0</v>
      </c>
      <c r="Q192" s="676">
        <f ca="1">SUMIF('Budget-ACPL'!$A:$A,$A192,'Budget-ACPL'!Q:Q)+SUMIF('Budget-ACPLHK'!$A:$A,$A192,'Budget-ACPLHK'!Q:Q)+SUMIF('Budget-ACPSZL'!$A:$A,$A192,'Budget-ACPSZL'!Q:Q)+SUMIF('Budget-ACPLSZ'!$A:$A,$A192,'Budget-ACPLSZ'!Q:Q)+SUMIF('Budget-ACPLGZ'!$A:$A,$A192,'Budget-ACPLGZ'!Q:Q)+SUMIF('Budget-Yixing'!$A:$A,$A192,'Budget-Yixing'!Q:Q)</f>
        <v>0</v>
      </c>
      <c r="R192" s="676">
        <f ca="1">SUMIF('Budget-ACPL'!$A:$A,$A192,'Budget-ACPL'!R:R)+SUMIF('Budget-ACPLHK'!$A:$A,$A192,'Budget-ACPLHK'!R:R)+SUMIF('Budget-ACPSZL'!$A:$A,$A192,'Budget-ACPSZL'!R:R)+SUMIF('Budget-ACPLSZ'!$A:$A,$A192,'Budget-ACPLSZ'!R:R)+SUMIF('Budget-ACPLGZ'!$A:$A,$A192,'Budget-ACPLGZ'!R:R)+SUMIF('Budget-Yixing'!$A:$A,$A192,'Budget-Yixing'!R:R)</f>
        <v>0</v>
      </c>
      <c r="S192" s="676">
        <f ca="1">SUMIF('Budget-ACPL'!$A:$A,$A192,'Budget-ACPL'!S:S)+SUMIF('Budget-ACPLHK'!$A:$A,$A192,'Budget-ACPLHK'!S:S)+SUMIF('Budget-ACPSZL'!$A:$A,$A192,'Budget-ACPSZL'!S:S)+SUMIF('Budget-ACPLSZ'!$A:$A,$A192,'Budget-ACPLSZ'!S:S)+SUMIF('Budget-ACPLGZ'!$A:$A,$A192,'Budget-ACPLGZ'!S:S)+SUMIF('Budget-Yixing'!$A:$A,$A192,'Budget-Yixing'!S:S)</f>
        <v>0</v>
      </c>
      <c r="T192" s="676">
        <f ca="1">SUMIF('Budget-ACPL'!$A:$A,$A192,'Budget-ACPL'!T:T)+SUMIF('Budget-ACPLHK'!$A:$A,$A192,'Budget-ACPLHK'!T:T)+SUMIF('Budget-ACPSZL'!$A:$A,$A192,'Budget-ACPSZL'!T:T)+SUMIF('Budget-ACPLSZ'!$A:$A,$A192,'Budget-ACPLSZ'!T:T)+SUMIF('Budget-ACPLGZ'!$A:$A,$A192,'Budget-ACPLGZ'!T:T)+SUMIF('Budget-Yixing'!$A:$A,$A192,'Budget-Yixing'!T:T)</f>
        <v>0</v>
      </c>
      <c r="U192" s="676">
        <f ca="1">SUMIF('Budget-ACPL'!$A:$A,$A192,'Budget-ACPL'!U:U)+SUMIF('Budget-ACPLHK'!$A:$A,$A192,'Budget-ACPLHK'!U:U)+SUMIF('Budget-ACPSZL'!$A:$A,$A192,'Budget-ACPSZL'!U:U)+SUMIF('Budget-ACPLSZ'!$A:$A,$A192,'Budget-ACPLSZ'!U:U)+SUMIF('Budget-ACPLGZ'!$A:$A,$A192,'Budget-ACPLGZ'!U:U)+SUMIF('Budget-Yixing'!$A:$A,$A192,'Budget-Yixing'!U:U)</f>
        <v>0</v>
      </c>
      <c r="V192" s="676">
        <f ca="1">SUMIF('Budget-ACPL'!$A:$A,$A192,'Budget-ACPL'!V:V)+SUMIF('Budget-ACPLHK'!$A:$A,$A192,'Budget-ACPLHK'!V:V)+SUMIF('Budget-ACPSZL'!$A:$A,$A192,'Budget-ACPSZL'!V:V)+SUMIF('Budget-ACPLSZ'!$A:$A,$A192,'Budget-ACPLSZ'!V:V)+SUMIF('Budget-ACPLGZ'!$A:$A,$A192,'Budget-ACPLGZ'!V:V)+SUMIF('Budget-Yixing'!$A:$A,$A192,'Budget-Yixing'!V:V)</f>
        <v>0</v>
      </c>
      <c r="W192" s="676">
        <f t="shared" ca="1" si="77"/>
        <v>0</v>
      </c>
      <c r="Y192" s="688">
        <f ca="1">SUMIF('Budget-ACPL'!$A:$A,$A192,'Budget-ACPL'!Y:Y)+SUMIF('Budget-ACPLHK'!$A:$A,$A192,'Budget-ACPLHK'!Y:Y)+SUMIF('Budget-ACPSZL'!$A:$A,$A192,'Budget-ACPSZL'!Y:Y)+SUMIF('Budget-ACPLSZ'!$A:$A,$A192,'Budget-ACPLSZ'!Y:Y)+SUMIF('Budget-ACPLGZ'!$A:$A,$A192,'Budget-ACPLGZ'!Y:Y)+SUMIF('Budget-Yixing'!$A:$A,$A192,'Budget-Yixing'!Y:Y)</f>
        <v>1131.28</v>
      </c>
      <c r="Z192" s="688">
        <f ca="1">SUMIF('Budget-ACPL'!$A:$A,$A192,'Budget-ACPL'!Z:Z)+SUMIF('Budget-ACPLHK'!$A:$A,$A192,'Budget-ACPLHK'!Z:Z)+SUMIF('Budget-ACPSZL'!$A:$A,$A192,'Budget-ACPSZL'!Z:Z)+SUMIF('Budget-ACPLSZ'!$A:$A,$A192,'Budget-ACPLSZ'!Z:Z)+SUMIF('Budget-ACPLGZ'!$A:$A,$A192,'Budget-ACPLGZ'!Z:Z)+SUMIF('Budget-Yixing'!$A:$A,$A192,'Budget-Yixing'!Z:Z)</f>
        <v>0</v>
      </c>
      <c r="AA192" s="688">
        <f ca="1">SUMIF('Budget-ACPL'!$A:$A,$A192,'Budget-ACPL'!AA:AA)+SUMIF('Budget-ACPLHK'!$A:$A,$A192,'Budget-ACPLHK'!AA:AA)+SUMIF('Budget-ACPSZL'!$A:$A,$A192,'Budget-ACPSZL'!AA:AA)+SUMIF('Budget-ACPLSZ'!$A:$A,$A192,'Budget-ACPLSZ'!AA:AA)+SUMIF('Budget-ACPLGZ'!$A:$A,$A192,'Budget-ACPLGZ'!AA:AA)+SUMIF('Budget-Yixing'!$A:$A,$A192,'Budget-Yixing'!AA:AA)</f>
        <v>0</v>
      </c>
      <c r="AB192" s="688">
        <f ca="1">SUMIF('Budget-ACPL'!$A:$A,$A192,'Budget-ACPL'!AB:AB)+SUMIF('Budget-ACPLHK'!$A:$A,$A192,'Budget-ACPLHK'!AB:AB)+SUMIF('Budget-ACPSZL'!$A:$A,$A192,'Budget-ACPSZL'!AB:AB)+SUMIF('Budget-ACPLSZ'!$A:$A,$A192,'Budget-ACPLSZ'!AB:AB)+SUMIF('Budget-ACPLGZ'!$A:$A,$A192,'Budget-ACPLGZ'!AB:AB)+SUMIF('Budget-Yixing'!$A:$A,$A192,'Budget-Yixing'!AB:AB)</f>
        <v>0</v>
      </c>
      <c r="AC192" s="688">
        <f ca="1">SUMIF('Budget-ACPL'!$A:$A,$A192,'Budget-ACPL'!AC:AC)+SUMIF('Budget-ACPLHK'!$A:$A,$A192,'Budget-ACPLHK'!AC:AC)+SUMIF('Budget-ACPSZL'!$A:$A,$A192,'Budget-ACPSZL'!AC:AC)+SUMIF('Budget-ACPLSZ'!$A:$A,$A192,'Budget-ACPLSZ'!AC:AC)+SUMIF('Budget-ACPLGZ'!$A:$A,$A192,'Budget-ACPLGZ'!AC:AC)+SUMIF('Budget-Yixing'!$A:$A,$A192,'Budget-Yixing'!AC:AC)</f>
        <v>0</v>
      </c>
      <c r="AD192" s="688">
        <f ca="1">SUMIF('Budget-ACPL'!$A:$A,$A192,'Budget-ACPL'!AD:AD)+SUMIF('Budget-ACPLHK'!$A:$A,$A192,'Budget-ACPLHK'!AD:AD)+SUMIF('Budget-ACPSZL'!$A:$A,$A192,'Budget-ACPSZL'!AD:AD)+SUMIF('Budget-ACPLSZ'!$A:$A,$A192,'Budget-ACPLSZ'!AD:AD)+SUMIF('Budget-ACPLGZ'!$A:$A,$A192,'Budget-ACPLGZ'!AD:AD)+SUMIF('Budget-Yixing'!$A:$A,$A192,'Budget-Yixing'!AD:AD)</f>
        <v>0</v>
      </c>
      <c r="AE192" s="688">
        <f ca="1">SUMIF('Budget-ACPL'!$A:$A,$A192,'Budget-ACPL'!AE:AE)+SUMIF('Budget-ACPLHK'!$A:$A,$A192,'Budget-ACPLHK'!AE:AE)+SUMIF('Budget-ACPSZL'!$A:$A,$A192,'Budget-ACPSZL'!AE:AE)+SUMIF('Budget-ACPLSZ'!$A:$A,$A192,'Budget-ACPLSZ'!AE:AE)+SUMIF('Budget-ACPLGZ'!$A:$A,$A192,'Budget-ACPLGZ'!AE:AE)+SUMIF('Budget-Yixing'!$A:$A,$A192,'Budget-Yixing'!AE:AE)</f>
        <v>0</v>
      </c>
      <c r="AF192" s="688">
        <f ca="1">SUMIF('Budget-ACPL'!$A:$A,$A192,'Budget-ACPL'!AF:AF)+SUMIF('Budget-ACPLHK'!$A:$A,$A192,'Budget-ACPLHK'!AF:AF)+SUMIF('Budget-ACPSZL'!$A:$A,$A192,'Budget-ACPSZL'!AF:AF)+SUMIF('Budget-ACPLSZ'!$A:$A,$A192,'Budget-ACPLSZ'!AF:AF)+SUMIF('Budget-ACPLGZ'!$A:$A,$A192,'Budget-ACPLGZ'!AF:AF)+SUMIF('Budget-Yixing'!$A:$A,$A192,'Budget-Yixing'!AF:AF)</f>
        <v>0</v>
      </c>
      <c r="AG192" s="688">
        <f ca="1">SUMIF('Budget-ACPL'!$A:$A,$A192,'Budget-ACPL'!AG:AG)+SUMIF('Budget-ACPLHK'!$A:$A,$A192,'Budget-ACPLHK'!AG:AG)+SUMIF('Budget-ACPSZL'!$A:$A,$A192,'Budget-ACPSZL'!AG:AG)+SUMIF('Budget-ACPLSZ'!$A:$A,$A192,'Budget-ACPLSZ'!AG:AG)+SUMIF('Budget-ACPLGZ'!$A:$A,$A192,'Budget-ACPLGZ'!AG:AG)+SUMIF('Budget-Yixing'!$A:$A,$A192,'Budget-Yixing'!AG:AG)</f>
        <v>0</v>
      </c>
      <c r="AH192" s="688">
        <f ca="1">SUMIF('Budget-ACPL'!$A:$A,$A192,'Budget-ACPL'!AH:AH)+SUMIF('Budget-ACPLHK'!$A:$A,$A192,'Budget-ACPLHK'!AH:AH)+SUMIF('Budget-ACPSZL'!$A:$A,$A192,'Budget-ACPSZL'!AH:AH)+SUMIF('Budget-ACPLSZ'!$A:$A,$A192,'Budget-ACPLSZ'!AH:AH)+SUMIF('Budget-ACPLGZ'!$A:$A,$A192,'Budget-ACPLGZ'!AH:AH)+SUMIF('Budget-Yixing'!$A:$A,$A192,'Budget-Yixing'!AH:AH)</f>
        <v>0</v>
      </c>
      <c r="AI192" s="688">
        <f ca="1">SUMIF('Budget-ACPL'!$A:$A,$A192,'Budget-ACPL'!AI:AI)+SUMIF('Budget-ACPLHK'!$A:$A,$A192,'Budget-ACPLHK'!AI:AI)+SUMIF('Budget-ACPSZL'!$A:$A,$A192,'Budget-ACPSZL'!AI:AI)+SUMIF('Budget-ACPLSZ'!$A:$A,$A192,'Budget-ACPLSZ'!AI:AI)+SUMIF('Budget-ACPLGZ'!$A:$A,$A192,'Budget-ACPLGZ'!AI:AI)+SUMIF('Budget-Yixing'!$A:$A,$A192,'Budget-Yixing'!AI:AI)</f>
        <v>0</v>
      </c>
      <c r="AJ192" s="688">
        <f ca="1">SUMIF('Budget-ACPL'!$A:$A,$A192,'Budget-ACPL'!AJ:AJ)+SUMIF('Budget-ACPLHK'!$A:$A,$A192,'Budget-ACPLHK'!AJ:AJ)+SUMIF('Budget-ACPSZL'!$A:$A,$A192,'Budget-ACPSZL'!AJ:AJ)+SUMIF('Budget-ACPLSZ'!$A:$A,$A192,'Budget-ACPLSZ'!AJ:AJ)+SUMIF('Budget-ACPLGZ'!$A:$A,$A192,'Budget-ACPLGZ'!AJ:AJ)+SUMIF('Budget-Yixing'!$A:$A,$A192,'Budget-Yixing'!AJ:AJ)</f>
        <v>0</v>
      </c>
      <c r="AK192" s="688">
        <f t="shared" ca="1" si="76"/>
        <v>1131.28</v>
      </c>
    </row>
    <row r="193" spans="1:37" ht="13.5" hidden="1" customHeight="1">
      <c r="A193" s="713" t="s">
        <v>2000</v>
      </c>
      <c r="B193" s="687" t="str">
        <f>VLOOKUP(A193,Account!A:B,2,0)</f>
        <v>其他业务成本</v>
      </c>
      <c r="C193" s="687">
        <f>VLOOKUP(A193,Account!A:F,4,0)</f>
        <v>0</v>
      </c>
      <c r="D193" s="676">
        <f t="shared" ca="1" si="74"/>
        <v>0</v>
      </c>
      <c r="E193" s="676" t="e">
        <f t="shared" si="68"/>
        <v>#N/A</v>
      </c>
      <c r="F193" s="676" t="e">
        <f t="shared" ca="1" si="69"/>
        <v>#N/A</v>
      </c>
      <c r="G193" s="676">
        <f t="shared" ca="1" si="75"/>
        <v>0</v>
      </c>
      <c r="H193" s="676" t="e">
        <f t="shared" ca="1" si="70"/>
        <v>#N/A</v>
      </c>
      <c r="I193" s="676" t="e">
        <f t="shared" ca="1" si="71"/>
        <v>#N/A</v>
      </c>
      <c r="K193" s="676">
        <f ca="1">SUMIF('Budget-ACPL'!$A:$A,$A193,'Budget-ACPL'!K:K)+SUMIF('Budget-ACPLHK'!$A:$A,$A193,'Budget-ACPLHK'!K:K)+SUMIF('Budget-ACPSZL'!$A:$A,$A193,'Budget-ACPSZL'!K:K)+SUMIF('Budget-ACPLSZ'!$A:$A,$A193,'Budget-ACPLSZ'!K:K)+SUMIF('Budget-ACPLGZ'!$A:$A,$A193,'Budget-ACPLGZ'!K:K)+SUMIF('Budget-Yixing'!$A:$A,$A193,'Budget-Yixing'!K:K)</f>
        <v>0</v>
      </c>
      <c r="L193" s="676">
        <f ca="1">SUMIF('Budget-ACPL'!$A:$A,$A193,'Budget-ACPL'!L:L)+SUMIF('Budget-ACPLHK'!$A:$A,$A193,'Budget-ACPLHK'!L:L)+SUMIF('Budget-ACPSZL'!$A:$A,$A193,'Budget-ACPSZL'!L:L)+SUMIF('Budget-ACPLSZ'!$A:$A,$A193,'Budget-ACPLSZ'!L:L)+SUMIF('Budget-ACPLGZ'!$A:$A,$A193,'Budget-ACPLGZ'!L:L)+SUMIF('Budget-Yixing'!$A:$A,$A193,'Budget-Yixing'!L:L)</f>
        <v>0</v>
      </c>
      <c r="M193" s="676">
        <f ca="1">SUMIF('Budget-ACPL'!$A:$A,$A193,'Budget-ACPL'!M:M)+SUMIF('Budget-ACPLHK'!$A:$A,$A193,'Budget-ACPLHK'!M:M)+SUMIF('Budget-ACPSZL'!$A:$A,$A193,'Budget-ACPSZL'!M:M)+SUMIF('Budget-ACPLSZ'!$A:$A,$A193,'Budget-ACPLSZ'!M:M)+SUMIF('Budget-ACPLGZ'!$A:$A,$A193,'Budget-ACPLGZ'!M:M)+SUMIF('Budget-Yixing'!$A:$A,$A193,'Budget-Yixing'!M:M)</f>
        <v>0</v>
      </c>
      <c r="N193" s="676">
        <f ca="1">SUMIF('Budget-ACPL'!$A:$A,$A193,'Budget-ACPL'!N:N)+SUMIF('Budget-ACPLHK'!$A:$A,$A193,'Budget-ACPLHK'!N:N)+SUMIF('Budget-ACPSZL'!$A:$A,$A193,'Budget-ACPSZL'!N:N)+SUMIF('Budget-ACPLSZ'!$A:$A,$A193,'Budget-ACPLSZ'!N:N)+SUMIF('Budget-ACPLGZ'!$A:$A,$A193,'Budget-ACPLGZ'!N:N)+SUMIF('Budget-Yixing'!$A:$A,$A193,'Budget-Yixing'!N:N)</f>
        <v>0</v>
      </c>
      <c r="O193" s="676">
        <f ca="1">SUMIF('Budget-ACPL'!$A:$A,$A193,'Budget-ACPL'!O:O)+SUMIF('Budget-ACPLHK'!$A:$A,$A193,'Budget-ACPLHK'!O:O)+SUMIF('Budget-ACPSZL'!$A:$A,$A193,'Budget-ACPSZL'!O:O)+SUMIF('Budget-ACPLSZ'!$A:$A,$A193,'Budget-ACPLSZ'!O:O)+SUMIF('Budget-ACPLGZ'!$A:$A,$A193,'Budget-ACPLGZ'!O:O)+SUMIF('Budget-Yixing'!$A:$A,$A193,'Budget-Yixing'!O:O)</f>
        <v>0</v>
      </c>
      <c r="P193" s="676">
        <f ca="1">SUMIF('Budget-ACPL'!$A:$A,$A193,'Budget-ACPL'!P:P)+SUMIF('Budget-ACPLHK'!$A:$A,$A193,'Budget-ACPLHK'!P:P)+SUMIF('Budget-ACPSZL'!$A:$A,$A193,'Budget-ACPSZL'!P:P)+SUMIF('Budget-ACPLSZ'!$A:$A,$A193,'Budget-ACPLSZ'!P:P)+SUMIF('Budget-ACPLGZ'!$A:$A,$A193,'Budget-ACPLGZ'!P:P)+SUMIF('Budget-Yixing'!$A:$A,$A193,'Budget-Yixing'!P:P)</f>
        <v>0</v>
      </c>
      <c r="Q193" s="676">
        <f ca="1">SUMIF('Budget-ACPL'!$A:$A,$A193,'Budget-ACPL'!Q:Q)+SUMIF('Budget-ACPLHK'!$A:$A,$A193,'Budget-ACPLHK'!Q:Q)+SUMIF('Budget-ACPSZL'!$A:$A,$A193,'Budget-ACPSZL'!Q:Q)+SUMIF('Budget-ACPLSZ'!$A:$A,$A193,'Budget-ACPLSZ'!Q:Q)+SUMIF('Budget-ACPLGZ'!$A:$A,$A193,'Budget-ACPLGZ'!Q:Q)+SUMIF('Budget-Yixing'!$A:$A,$A193,'Budget-Yixing'!Q:Q)</f>
        <v>0</v>
      </c>
      <c r="R193" s="676">
        <f ca="1">SUMIF('Budget-ACPL'!$A:$A,$A193,'Budget-ACPL'!R:R)+SUMIF('Budget-ACPLHK'!$A:$A,$A193,'Budget-ACPLHK'!R:R)+SUMIF('Budget-ACPSZL'!$A:$A,$A193,'Budget-ACPSZL'!R:R)+SUMIF('Budget-ACPLSZ'!$A:$A,$A193,'Budget-ACPLSZ'!R:R)+SUMIF('Budget-ACPLGZ'!$A:$A,$A193,'Budget-ACPLGZ'!R:R)+SUMIF('Budget-Yixing'!$A:$A,$A193,'Budget-Yixing'!R:R)</f>
        <v>0</v>
      </c>
      <c r="S193" s="676">
        <f ca="1">SUMIF('Budget-ACPL'!$A:$A,$A193,'Budget-ACPL'!S:S)+SUMIF('Budget-ACPLHK'!$A:$A,$A193,'Budget-ACPLHK'!S:S)+SUMIF('Budget-ACPSZL'!$A:$A,$A193,'Budget-ACPSZL'!S:S)+SUMIF('Budget-ACPLSZ'!$A:$A,$A193,'Budget-ACPLSZ'!S:S)+SUMIF('Budget-ACPLGZ'!$A:$A,$A193,'Budget-ACPLGZ'!S:S)+SUMIF('Budget-Yixing'!$A:$A,$A193,'Budget-Yixing'!S:S)</f>
        <v>0</v>
      </c>
      <c r="T193" s="676">
        <f ca="1">SUMIF('Budget-ACPL'!$A:$A,$A193,'Budget-ACPL'!T:T)+SUMIF('Budget-ACPLHK'!$A:$A,$A193,'Budget-ACPLHK'!T:T)+SUMIF('Budget-ACPSZL'!$A:$A,$A193,'Budget-ACPSZL'!T:T)+SUMIF('Budget-ACPLSZ'!$A:$A,$A193,'Budget-ACPLSZ'!T:T)+SUMIF('Budget-ACPLGZ'!$A:$A,$A193,'Budget-ACPLGZ'!T:T)+SUMIF('Budget-Yixing'!$A:$A,$A193,'Budget-Yixing'!T:T)</f>
        <v>0</v>
      </c>
      <c r="U193" s="676">
        <f ca="1">SUMIF('Budget-ACPL'!$A:$A,$A193,'Budget-ACPL'!U:U)+SUMIF('Budget-ACPLHK'!$A:$A,$A193,'Budget-ACPLHK'!U:U)+SUMIF('Budget-ACPSZL'!$A:$A,$A193,'Budget-ACPSZL'!U:U)+SUMIF('Budget-ACPLSZ'!$A:$A,$A193,'Budget-ACPLSZ'!U:U)+SUMIF('Budget-ACPLGZ'!$A:$A,$A193,'Budget-ACPLGZ'!U:U)+SUMIF('Budget-Yixing'!$A:$A,$A193,'Budget-Yixing'!U:U)</f>
        <v>0</v>
      </c>
      <c r="V193" s="676">
        <f ca="1">SUMIF('Budget-ACPL'!$A:$A,$A193,'Budget-ACPL'!V:V)+SUMIF('Budget-ACPLHK'!$A:$A,$A193,'Budget-ACPLHK'!V:V)+SUMIF('Budget-ACPSZL'!$A:$A,$A193,'Budget-ACPSZL'!V:V)+SUMIF('Budget-ACPLSZ'!$A:$A,$A193,'Budget-ACPLSZ'!V:V)+SUMIF('Budget-ACPLGZ'!$A:$A,$A193,'Budget-ACPLGZ'!V:V)+SUMIF('Budget-Yixing'!$A:$A,$A193,'Budget-Yixing'!V:V)</f>
        <v>0</v>
      </c>
      <c r="W193" s="676">
        <f t="shared" ca="1" si="77"/>
        <v>0</v>
      </c>
      <c r="Y193" s="688">
        <f ca="1">SUMIF('Budget-ACPL'!$A:$A,$A193,'Budget-ACPL'!Y:Y)+SUMIF('Budget-ACPLHK'!$A:$A,$A193,'Budget-ACPLHK'!Y:Y)+SUMIF('Budget-ACPSZL'!$A:$A,$A193,'Budget-ACPSZL'!Y:Y)+SUMIF('Budget-ACPLSZ'!$A:$A,$A193,'Budget-ACPLSZ'!Y:Y)+SUMIF('Budget-ACPLGZ'!$A:$A,$A193,'Budget-ACPLGZ'!Y:Y)+SUMIF('Budget-Yixing'!$A:$A,$A193,'Budget-Yixing'!Y:Y)</f>
        <v>0</v>
      </c>
      <c r="Z193" s="688">
        <f ca="1">SUMIF('Budget-ACPL'!$A:$A,$A193,'Budget-ACPL'!Z:Z)+SUMIF('Budget-ACPLHK'!$A:$A,$A193,'Budget-ACPLHK'!Z:Z)+SUMIF('Budget-ACPSZL'!$A:$A,$A193,'Budget-ACPSZL'!Z:Z)+SUMIF('Budget-ACPLSZ'!$A:$A,$A193,'Budget-ACPLSZ'!Z:Z)+SUMIF('Budget-ACPLGZ'!$A:$A,$A193,'Budget-ACPLGZ'!Z:Z)+SUMIF('Budget-Yixing'!$A:$A,$A193,'Budget-Yixing'!Z:Z)</f>
        <v>0</v>
      </c>
      <c r="AA193" s="688">
        <f ca="1">SUMIF('Budget-ACPL'!$A:$A,$A193,'Budget-ACPL'!AA:AA)+SUMIF('Budget-ACPLHK'!$A:$A,$A193,'Budget-ACPLHK'!AA:AA)+SUMIF('Budget-ACPSZL'!$A:$A,$A193,'Budget-ACPSZL'!AA:AA)+SUMIF('Budget-ACPLSZ'!$A:$A,$A193,'Budget-ACPLSZ'!AA:AA)+SUMIF('Budget-ACPLGZ'!$A:$A,$A193,'Budget-ACPLGZ'!AA:AA)+SUMIF('Budget-Yixing'!$A:$A,$A193,'Budget-Yixing'!AA:AA)</f>
        <v>0</v>
      </c>
      <c r="AB193" s="688">
        <f ca="1">SUMIF('Budget-ACPL'!$A:$A,$A193,'Budget-ACPL'!AB:AB)+SUMIF('Budget-ACPLHK'!$A:$A,$A193,'Budget-ACPLHK'!AB:AB)+SUMIF('Budget-ACPSZL'!$A:$A,$A193,'Budget-ACPSZL'!AB:AB)+SUMIF('Budget-ACPLSZ'!$A:$A,$A193,'Budget-ACPLSZ'!AB:AB)+SUMIF('Budget-ACPLGZ'!$A:$A,$A193,'Budget-ACPLGZ'!AB:AB)+SUMIF('Budget-Yixing'!$A:$A,$A193,'Budget-Yixing'!AB:AB)</f>
        <v>0</v>
      </c>
      <c r="AC193" s="688">
        <f ca="1">SUMIF('Budget-ACPL'!$A:$A,$A193,'Budget-ACPL'!AC:AC)+SUMIF('Budget-ACPLHK'!$A:$A,$A193,'Budget-ACPLHK'!AC:AC)+SUMIF('Budget-ACPSZL'!$A:$A,$A193,'Budget-ACPSZL'!AC:AC)+SUMIF('Budget-ACPLSZ'!$A:$A,$A193,'Budget-ACPLSZ'!AC:AC)+SUMIF('Budget-ACPLGZ'!$A:$A,$A193,'Budget-ACPLGZ'!AC:AC)+SUMIF('Budget-Yixing'!$A:$A,$A193,'Budget-Yixing'!AC:AC)</f>
        <v>0</v>
      </c>
      <c r="AD193" s="688">
        <f ca="1">SUMIF('Budget-ACPL'!$A:$A,$A193,'Budget-ACPL'!AD:AD)+SUMIF('Budget-ACPLHK'!$A:$A,$A193,'Budget-ACPLHK'!AD:AD)+SUMIF('Budget-ACPSZL'!$A:$A,$A193,'Budget-ACPSZL'!AD:AD)+SUMIF('Budget-ACPLSZ'!$A:$A,$A193,'Budget-ACPLSZ'!AD:AD)+SUMIF('Budget-ACPLGZ'!$A:$A,$A193,'Budget-ACPLGZ'!AD:AD)+SUMIF('Budget-Yixing'!$A:$A,$A193,'Budget-Yixing'!AD:AD)</f>
        <v>0</v>
      </c>
      <c r="AE193" s="688">
        <f ca="1">SUMIF('Budget-ACPL'!$A:$A,$A193,'Budget-ACPL'!AE:AE)+SUMIF('Budget-ACPLHK'!$A:$A,$A193,'Budget-ACPLHK'!AE:AE)+SUMIF('Budget-ACPSZL'!$A:$A,$A193,'Budget-ACPSZL'!AE:AE)+SUMIF('Budget-ACPLSZ'!$A:$A,$A193,'Budget-ACPLSZ'!AE:AE)+SUMIF('Budget-ACPLGZ'!$A:$A,$A193,'Budget-ACPLGZ'!AE:AE)+SUMIF('Budget-Yixing'!$A:$A,$A193,'Budget-Yixing'!AE:AE)</f>
        <v>0</v>
      </c>
      <c r="AF193" s="688">
        <f ca="1">SUMIF('Budget-ACPL'!$A:$A,$A193,'Budget-ACPL'!AF:AF)+SUMIF('Budget-ACPLHK'!$A:$A,$A193,'Budget-ACPLHK'!AF:AF)+SUMIF('Budget-ACPSZL'!$A:$A,$A193,'Budget-ACPSZL'!AF:AF)+SUMIF('Budget-ACPLSZ'!$A:$A,$A193,'Budget-ACPLSZ'!AF:AF)+SUMIF('Budget-ACPLGZ'!$A:$A,$A193,'Budget-ACPLGZ'!AF:AF)+SUMIF('Budget-Yixing'!$A:$A,$A193,'Budget-Yixing'!AF:AF)</f>
        <v>0</v>
      </c>
      <c r="AG193" s="688">
        <f ca="1">SUMIF('Budget-ACPL'!$A:$A,$A193,'Budget-ACPL'!AG:AG)+SUMIF('Budget-ACPLHK'!$A:$A,$A193,'Budget-ACPLHK'!AG:AG)+SUMIF('Budget-ACPSZL'!$A:$A,$A193,'Budget-ACPSZL'!AG:AG)+SUMIF('Budget-ACPLSZ'!$A:$A,$A193,'Budget-ACPLSZ'!AG:AG)+SUMIF('Budget-ACPLGZ'!$A:$A,$A193,'Budget-ACPLGZ'!AG:AG)+SUMIF('Budget-Yixing'!$A:$A,$A193,'Budget-Yixing'!AG:AG)</f>
        <v>0</v>
      </c>
      <c r="AH193" s="688">
        <f ca="1">SUMIF('Budget-ACPL'!$A:$A,$A193,'Budget-ACPL'!AH:AH)+SUMIF('Budget-ACPLHK'!$A:$A,$A193,'Budget-ACPLHK'!AH:AH)+SUMIF('Budget-ACPSZL'!$A:$A,$A193,'Budget-ACPSZL'!AH:AH)+SUMIF('Budget-ACPLSZ'!$A:$A,$A193,'Budget-ACPLSZ'!AH:AH)+SUMIF('Budget-ACPLGZ'!$A:$A,$A193,'Budget-ACPLGZ'!AH:AH)+SUMIF('Budget-Yixing'!$A:$A,$A193,'Budget-Yixing'!AH:AH)</f>
        <v>0</v>
      </c>
      <c r="AI193" s="688">
        <f ca="1">SUMIF('Budget-ACPL'!$A:$A,$A193,'Budget-ACPL'!AI:AI)+SUMIF('Budget-ACPLHK'!$A:$A,$A193,'Budget-ACPLHK'!AI:AI)+SUMIF('Budget-ACPSZL'!$A:$A,$A193,'Budget-ACPSZL'!AI:AI)+SUMIF('Budget-ACPLSZ'!$A:$A,$A193,'Budget-ACPLSZ'!AI:AI)+SUMIF('Budget-ACPLGZ'!$A:$A,$A193,'Budget-ACPLGZ'!AI:AI)+SUMIF('Budget-Yixing'!$A:$A,$A193,'Budget-Yixing'!AI:AI)</f>
        <v>0</v>
      </c>
      <c r="AJ193" s="688">
        <f ca="1">SUMIF('Budget-ACPL'!$A:$A,$A193,'Budget-ACPL'!AJ:AJ)+SUMIF('Budget-ACPLHK'!$A:$A,$A193,'Budget-ACPLHK'!AJ:AJ)+SUMIF('Budget-ACPSZL'!$A:$A,$A193,'Budget-ACPSZL'!AJ:AJ)+SUMIF('Budget-ACPLSZ'!$A:$A,$A193,'Budget-ACPLSZ'!AJ:AJ)+SUMIF('Budget-ACPLGZ'!$A:$A,$A193,'Budget-ACPLGZ'!AJ:AJ)+SUMIF('Budget-Yixing'!$A:$A,$A193,'Budget-Yixing'!AJ:AJ)</f>
        <v>0</v>
      </c>
      <c r="AK193" s="688">
        <f t="shared" ca="1" si="76"/>
        <v>0</v>
      </c>
    </row>
    <row r="194" spans="1:37" ht="13.5" hidden="1" customHeight="1">
      <c r="A194" s="713" t="s">
        <v>2004</v>
      </c>
      <c r="B194" s="687" t="str">
        <f>VLOOKUP(A194,Account!A:B,2,0)</f>
        <v>资产减值损失</v>
      </c>
      <c r="C194" s="687" t="str">
        <f>VLOOKUP(A194,Account!A:F,4,0)</f>
        <v>Impairment loss</v>
      </c>
      <c r="D194" s="676">
        <f t="shared" ca="1" si="74"/>
        <v>0</v>
      </c>
      <c r="E194" s="676" t="e">
        <f t="shared" si="68"/>
        <v>#N/A</v>
      </c>
      <c r="F194" s="676" t="e">
        <f t="shared" ca="1" si="69"/>
        <v>#N/A</v>
      </c>
      <c r="G194" s="676">
        <f t="shared" ca="1" si="75"/>
        <v>0</v>
      </c>
      <c r="H194" s="676" t="e">
        <f t="shared" ca="1" si="70"/>
        <v>#N/A</v>
      </c>
      <c r="I194" s="676" t="e">
        <f t="shared" ca="1" si="71"/>
        <v>#N/A</v>
      </c>
      <c r="K194" s="676">
        <f ca="1">SUMIF('Budget-ACPL'!$A:$A,$A194,'Budget-ACPL'!K:K)+SUMIF('Budget-ACPLHK'!$A:$A,$A194,'Budget-ACPLHK'!K:K)+SUMIF('Budget-ACPSZL'!$A:$A,$A194,'Budget-ACPSZL'!K:K)+SUMIF('Budget-ACPLSZ'!$A:$A,$A194,'Budget-ACPLSZ'!K:K)+SUMIF('Budget-ACPLGZ'!$A:$A,$A194,'Budget-ACPLGZ'!K:K)+SUMIF('Budget-Yixing'!$A:$A,$A194,'Budget-Yixing'!K:K)</f>
        <v>0</v>
      </c>
      <c r="L194" s="676">
        <f ca="1">SUMIF('Budget-ACPL'!$A:$A,$A194,'Budget-ACPL'!L:L)+SUMIF('Budget-ACPLHK'!$A:$A,$A194,'Budget-ACPLHK'!L:L)+SUMIF('Budget-ACPSZL'!$A:$A,$A194,'Budget-ACPSZL'!L:L)+SUMIF('Budget-ACPLSZ'!$A:$A,$A194,'Budget-ACPLSZ'!L:L)+SUMIF('Budget-ACPLGZ'!$A:$A,$A194,'Budget-ACPLGZ'!L:L)+SUMIF('Budget-Yixing'!$A:$A,$A194,'Budget-Yixing'!L:L)</f>
        <v>0</v>
      </c>
      <c r="M194" s="676">
        <f ca="1">SUMIF('Budget-ACPL'!$A:$A,$A194,'Budget-ACPL'!M:M)+SUMIF('Budget-ACPLHK'!$A:$A,$A194,'Budget-ACPLHK'!M:M)+SUMIF('Budget-ACPSZL'!$A:$A,$A194,'Budget-ACPSZL'!M:M)+SUMIF('Budget-ACPLSZ'!$A:$A,$A194,'Budget-ACPLSZ'!M:M)+SUMIF('Budget-ACPLGZ'!$A:$A,$A194,'Budget-ACPLGZ'!M:M)+SUMIF('Budget-Yixing'!$A:$A,$A194,'Budget-Yixing'!M:M)</f>
        <v>0</v>
      </c>
      <c r="N194" s="676">
        <f ca="1">SUMIF('Budget-ACPL'!$A:$A,$A194,'Budget-ACPL'!N:N)+SUMIF('Budget-ACPLHK'!$A:$A,$A194,'Budget-ACPLHK'!N:N)+SUMIF('Budget-ACPSZL'!$A:$A,$A194,'Budget-ACPSZL'!N:N)+SUMIF('Budget-ACPLSZ'!$A:$A,$A194,'Budget-ACPLSZ'!N:N)+SUMIF('Budget-ACPLGZ'!$A:$A,$A194,'Budget-ACPLGZ'!N:N)+SUMIF('Budget-Yixing'!$A:$A,$A194,'Budget-Yixing'!N:N)</f>
        <v>0</v>
      </c>
      <c r="O194" s="676">
        <f ca="1">SUMIF('Budget-ACPL'!$A:$A,$A194,'Budget-ACPL'!O:O)+SUMIF('Budget-ACPLHK'!$A:$A,$A194,'Budget-ACPLHK'!O:O)+SUMIF('Budget-ACPSZL'!$A:$A,$A194,'Budget-ACPSZL'!O:O)+SUMIF('Budget-ACPLSZ'!$A:$A,$A194,'Budget-ACPLSZ'!O:O)+SUMIF('Budget-ACPLGZ'!$A:$A,$A194,'Budget-ACPLGZ'!O:O)+SUMIF('Budget-Yixing'!$A:$A,$A194,'Budget-Yixing'!O:O)</f>
        <v>0</v>
      </c>
      <c r="P194" s="676">
        <f ca="1">SUMIF('Budget-ACPL'!$A:$A,$A194,'Budget-ACPL'!P:P)+SUMIF('Budget-ACPLHK'!$A:$A,$A194,'Budget-ACPLHK'!P:P)+SUMIF('Budget-ACPSZL'!$A:$A,$A194,'Budget-ACPSZL'!P:P)+SUMIF('Budget-ACPLSZ'!$A:$A,$A194,'Budget-ACPLSZ'!P:P)+SUMIF('Budget-ACPLGZ'!$A:$A,$A194,'Budget-ACPLGZ'!P:P)+SUMIF('Budget-Yixing'!$A:$A,$A194,'Budget-Yixing'!P:P)</f>
        <v>0</v>
      </c>
      <c r="Q194" s="676">
        <f ca="1">SUMIF('Budget-ACPL'!$A:$A,$A194,'Budget-ACPL'!Q:Q)+SUMIF('Budget-ACPLHK'!$A:$A,$A194,'Budget-ACPLHK'!Q:Q)+SUMIF('Budget-ACPSZL'!$A:$A,$A194,'Budget-ACPSZL'!Q:Q)+SUMIF('Budget-ACPLSZ'!$A:$A,$A194,'Budget-ACPLSZ'!Q:Q)+SUMIF('Budget-ACPLGZ'!$A:$A,$A194,'Budget-ACPLGZ'!Q:Q)+SUMIF('Budget-Yixing'!$A:$A,$A194,'Budget-Yixing'!Q:Q)</f>
        <v>0</v>
      </c>
      <c r="R194" s="676">
        <f ca="1">SUMIF('Budget-ACPL'!$A:$A,$A194,'Budget-ACPL'!R:R)+SUMIF('Budget-ACPLHK'!$A:$A,$A194,'Budget-ACPLHK'!R:R)+SUMIF('Budget-ACPSZL'!$A:$A,$A194,'Budget-ACPSZL'!R:R)+SUMIF('Budget-ACPLSZ'!$A:$A,$A194,'Budget-ACPLSZ'!R:R)+SUMIF('Budget-ACPLGZ'!$A:$A,$A194,'Budget-ACPLGZ'!R:R)+SUMIF('Budget-Yixing'!$A:$A,$A194,'Budget-Yixing'!R:R)</f>
        <v>0</v>
      </c>
      <c r="S194" s="676">
        <f ca="1">SUMIF('Budget-ACPL'!$A:$A,$A194,'Budget-ACPL'!S:S)+SUMIF('Budget-ACPLHK'!$A:$A,$A194,'Budget-ACPLHK'!S:S)+SUMIF('Budget-ACPSZL'!$A:$A,$A194,'Budget-ACPSZL'!S:S)+SUMIF('Budget-ACPLSZ'!$A:$A,$A194,'Budget-ACPLSZ'!S:S)+SUMIF('Budget-ACPLGZ'!$A:$A,$A194,'Budget-ACPLGZ'!S:S)+SUMIF('Budget-Yixing'!$A:$A,$A194,'Budget-Yixing'!S:S)</f>
        <v>0</v>
      </c>
      <c r="T194" s="676">
        <f ca="1">SUMIF('Budget-ACPL'!$A:$A,$A194,'Budget-ACPL'!T:T)+SUMIF('Budget-ACPLHK'!$A:$A,$A194,'Budget-ACPLHK'!T:T)+SUMIF('Budget-ACPSZL'!$A:$A,$A194,'Budget-ACPSZL'!T:T)+SUMIF('Budget-ACPLSZ'!$A:$A,$A194,'Budget-ACPLSZ'!T:T)+SUMIF('Budget-ACPLGZ'!$A:$A,$A194,'Budget-ACPLGZ'!T:T)+SUMIF('Budget-Yixing'!$A:$A,$A194,'Budget-Yixing'!T:T)</f>
        <v>0</v>
      </c>
      <c r="U194" s="676">
        <f ca="1">SUMIF('Budget-ACPL'!$A:$A,$A194,'Budget-ACPL'!U:U)+SUMIF('Budget-ACPLHK'!$A:$A,$A194,'Budget-ACPLHK'!U:U)+SUMIF('Budget-ACPSZL'!$A:$A,$A194,'Budget-ACPSZL'!U:U)+SUMIF('Budget-ACPLSZ'!$A:$A,$A194,'Budget-ACPLSZ'!U:U)+SUMIF('Budget-ACPLGZ'!$A:$A,$A194,'Budget-ACPLGZ'!U:U)+SUMIF('Budget-Yixing'!$A:$A,$A194,'Budget-Yixing'!U:U)</f>
        <v>0</v>
      </c>
      <c r="V194" s="676">
        <f ca="1">SUMIF('Budget-ACPL'!$A:$A,$A194,'Budget-ACPL'!V:V)+SUMIF('Budget-ACPLHK'!$A:$A,$A194,'Budget-ACPLHK'!V:V)+SUMIF('Budget-ACPSZL'!$A:$A,$A194,'Budget-ACPSZL'!V:V)+SUMIF('Budget-ACPLSZ'!$A:$A,$A194,'Budget-ACPLSZ'!V:V)+SUMIF('Budget-ACPLGZ'!$A:$A,$A194,'Budget-ACPLGZ'!V:V)+SUMIF('Budget-Yixing'!$A:$A,$A194,'Budget-Yixing'!V:V)</f>
        <v>0</v>
      </c>
      <c r="W194" s="676">
        <f t="shared" ca="1" si="77"/>
        <v>0</v>
      </c>
      <c r="Y194" s="688">
        <f ca="1">SUMIF('Budget-ACPL'!$A:$A,$A194,'Budget-ACPL'!Y:Y)+SUMIF('Budget-ACPLHK'!$A:$A,$A194,'Budget-ACPLHK'!Y:Y)+SUMIF('Budget-ACPSZL'!$A:$A,$A194,'Budget-ACPSZL'!Y:Y)+SUMIF('Budget-ACPLSZ'!$A:$A,$A194,'Budget-ACPLSZ'!Y:Y)+SUMIF('Budget-ACPLGZ'!$A:$A,$A194,'Budget-ACPLGZ'!Y:Y)+SUMIF('Budget-Yixing'!$A:$A,$A194,'Budget-Yixing'!Y:Y)</f>
        <v>0</v>
      </c>
      <c r="Z194" s="688">
        <f ca="1">SUMIF('Budget-ACPL'!$A:$A,$A194,'Budget-ACPL'!Z:Z)+SUMIF('Budget-ACPLHK'!$A:$A,$A194,'Budget-ACPLHK'!Z:Z)+SUMIF('Budget-ACPSZL'!$A:$A,$A194,'Budget-ACPSZL'!Z:Z)+SUMIF('Budget-ACPLSZ'!$A:$A,$A194,'Budget-ACPLSZ'!Z:Z)+SUMIF('Budget-ACPLGZ'!$A:$A,$A194,'Budget-ACPLGZ'!Z:Z)+SUMIF('Budget-Yixing'!$A:$A,$A194,'Budget-Yixing'!Z:Z)</f>
        <v>0</v>
      </c>
      <c r="AA194" s="688">
        <f ca="1">SUMIF('Budget-ACPL'!$A:$A,$A194,'Budget-ACPL'!AA:AA)+SUMIF('Budget-ACPLHK'!$A:$A,$A194,'Budget-ACPLHK'!AA:AA)+SUMIF('Budget-ACPSZL'!$A:$A,$A194,'Budget-ACPSZL'!AA:AA)+SUMIF('Budget-ACPLSZ'!$A:$A,$A194,'Budget-ACPLSZ'!AA:AA)+SUMIF('Budget-ACPLGZ'!$A:$A,$A194,'Budget-ACPLGZ'!AA:AA)+SUMIF('Budget-Yixing'!$A:$A,$A194,'Budget-Yixing'!AA:AA)</f>
        <v>0</v>
      </c>
      <c r="AB194" s="688">
        <f ca="1">SUMIF('Budget-ACPL'!$A:$A,$A194,'Budget-ACPL'!AB:AB)+SUMIF('Budget-ACPLHK'!$A:$A,$A194,'Budget-ACPLHK'!AB:AB)+SUMIF('Budget-ACPSZL'!$A:$A,$A194,'Budget-ACPSZL'!AB:AB)+SUMIF('Budget-ACPLSZ'!$A:$A,$A194,'Budget-ACPLSZ'!AB:AB)+SUMIF('Budget-ACPLGZ'!$A:$A,$A194,'Budget-ACPLGZ'!AB:AB)+SUMIF('Budget-Yixing'!$A:$A,$A194,'Budget-Yixing'!AB:AB)</f>
        <v>0</v>
      </c>
      <c r="AC194" s="688">
        <f ca="1">SUMIF('Budget-ACPL'!$A:$A,$A194,'Budget-ACPL'!AC:AC)+SUMIF('Budget-ACPLHK'!$A:$A,$A194,'Budget-ACPLHK'!AC:AC)+SUMIF('Budget-ACPSZL'!$A:$A,$A194,'Budget-ACPSZL'!AC:AC)+SUMIF('Budget-ACPLSZ'!$A:$A,$A194,'Budget-ACPLSZ'!AC:AC)+SUMIF('Budget-ACPLGZ'!$A:$A,$A194,'Budget-ACPLGZ'!AC:AC)+SUMIF('Budget-Yixing'!$A:$A,$A194,'Budget-Yixing'!AC:AC)</f>
        <v>0</v>
      </c>
      <c r="AD194" s="688">
        <f ca="1">SUMIF('Budget-ACPL'!$A:$A,$A194,'Budget-ACPL'!AD:AD)+SUMIF('Budget-ACPLHK'!$A:$A,$A194,'Budget-ACPLHK'!AD:AD)+SUMIF('Budget-ACPSZL'!$A:$A,$A194,'Budget-ACPSZL'!AD:AD)+SUMIF('Budget-ACPLSZ'!$A:$A,$A194,'Budget-ACPLSZ'!AD:AD)+SUMIF('Budget-ACPLGZ'!$A:$A,$A194,'Budget-ACPLGZ'!AD:AD)+SUMIF('Budget-Yixing'!$A:$A,$A194,'Budget-Yixing'!AD:AD)</f>
        <v>0</v>
      </c>
      <c r="AE194" s="688">
        <f ca="1">SUMIF('Budget-ACPL'!$A:$A,$A194,'Budget-ACPL'!AE:AE)+SUMIF('Budget-ACPLHK'!$A:$A,$A194,'Budget-ACPLHK'!AE:AE)+SUMIF('Budget-ACPSZL'!$A:$A,$A194,'Budget-ACPSZL'!AE:AE)+SUMIF('Budget-ACPLSZ'!$A:$A,$A194,'Budget-ACPLSZ'!AE:AE)+SUMIF('Budget-ACPLGZ'!$A:$A,$A194,'Budget-ACPLGZ'!AE:AE)+SUMIF('Budget-Yixing'!$A:$A,$A194,'Budget-Yixing'!AE:AE)</f>
        <v>0</v>
      </c>
      <c r="AF194" s="688">
        <f ca="1">SUMIF('Budget-ACPL'!$A:$A,$A194,'Budget-ACPL'!AF:AF)+SUMIF('Budget-ACPLHK'!$A:$A,$A194,'Budget-ACPLHK'!AF:AF)+SUMIF('Budget-ACPSZL'!$A:$A,$A194,'Budget-ACPSZL'!AF:AF)+SUMIF('Budget-ACPLSZ'!$A:$A,$A194,'Budget-ACPLSZ'!AF:AF)+SUMIF('Budget-ACPLGZ'!$A:$A,$A194,'Budget-ACPLGZ'!AF:AF)+SUMIF('Budget-Yixing'!$A:$A,$A194,'Budget-Yixing'!AF:AF)</f>
        <v>0</v>
      </c>
      <c r="AG194" s="688">
        <f ca="1">SUMIF('Budget-ACPL'!$A:$A,$A194,'Budget-ACPL'!AG:AG)+SUMIF('Budget-ACPLHK'!$A:$A,$A194,'Budget-ACPLHK'!AG:AG)+SUMIF('Budget-ACPSZL'!$A:$A,$A194,'Budget-ACPSZL'!AG:AG)+SUMIF('Budget-ACPLSZ'!$A:$A,$A194,'Budget-ACPLSZ'!AG:AG)+SUMIF('Budget-ACPLGZ'!$A:$A,$A194,'Budget-ACPLGZ'!AG:AG)+SUMIF('Budget-Yixing'!$A:$A,$A194,'Budget-Yixing'!AG:AG)</f>
        <v>0</v>
      </c>
      <c r="AH194" s="688">
        <f ca="1">SUMIF('Budget-ACPL'!$A:$A,$A194,'Budget-ACPL'!AH:AH)+SUMIF('Budget-ACPLHK'!$A:$A,$A194,'Budget-ACPLHK'!AH:AH)+SUMIF('Budget-ACPSZL'!$A:$A,$A194,'Budget-ACPSZL'!AH:AH)+SUMIF('Budget-ACPLSZ'!$A:$A,$A194,'Budget-ACPLSZ'!AH:AH)+SUMIF('Budget-ACPLGZ'!$A:$A,$A194,'Budget-ACPLGZ'!AH:AH)+SUMIF('Budget-Yixing'!$A:$A,$A194,'Budget-Yixing'!AH:AH)</f>
        <v>0</v>
      </c>
      <c r="AI194" s="688">
        <f ca="1">SUMIF('Budget-ACPL'!$A:$A,$A194,'Budget-ACPL'!AI:AI)+SUMIF('Budget-ACPLHK'!$A:$A,$A194,'Budget-ACPLHK'!AI:AI)+SUMIF('Budget-ACPSZL'!$A:$A,$A194,'Budget-ACPSZL'!AI:AI)+SUMIF('Budget-ACPLSZ'!$A:$A,$A194,'Budget-ACPLSZ'!AI:AI)+SUMIF('Budget-ACPLGZ'!$A:$A,$A194,'Budget-ACPLGZ'!AI:AI)+SUMIF('Budget-Yixing'!$A:$A,$A194,'Budget-Yixing'!AI:AI)</f>
        <v>0</v>
      </c>
      <c r="AJ194" s="688">
        <f ca="1">SUMIF('Budget-ACPL'!$A:$A,$A194,'Budget-ACPL'!AJ:AJ)+SUMIF('Budget-ACPLHK'!$A:$A,$A194,'Budget-ACPLHK'!AJ:AJ)+SUMIF('Budget-ACPSZL'!$A:$A,$A194,'Budget-ACPSZL'!AJ:AJ)+SUMIF('Budget-ACPLSZ'!$A:$A,$A194,'Budget-ACPLSZ'!AJ:AJ)+SUMIF('Budget-ACPLGZ'!$A:$A,$A194,'Budget-ACPLGZ'!AJ:AJ)+SUMIF('Budget-Yixing'!$A:$A,$A194,'Budget-Yixing'!AJ:AJ)</f>
        <v>0</v>
      </c>
      <c r="AK194" s="688">
        <f t="shared" ca="1" si="76"/>
        <v>0</v>
      </c>
    </row>
    <row r="195" spans="1:37" ht="13.5" hidden="1" customHeight="1">
      <c r="A195" s="716" t="s">
        <v>2008</v>
      </c>
      <c r="B195" s="717" t="str">
        <f>VLOOKUP(A195,Account!A:B,2,0)</f>
        <v>营业外支出</v>
      </c>
      <c r="C195" s="687">
        <f>VLOOKUP(A195,Account!A:F,4,0)</f>
        <v>0</v>
      </c>
      <c r="D195" s="676">
        <f t="shared" ca="1" si="74"/>
        <v>0</v>
      </c>
      <c r="E195" s="676" t="e">
        <f t="shared" si="68"/>
        <v>#N/A</v>
      </c>
      <c r="F195" s="676" t="e">
        <f t="shared" ca="1" si="69"/>
        <v>#N/A</v>
      </c>
      <c r="G195" s="676">
        <f t="shared" ca="1" si="75"/>
        <v>0</v>
      </c>
      <c r="H195" s="676" t="e">
        <f t="shared" ca="1" si="70"/>
        <v>#N/A</v>
      </c>
      <c r="I195" s="676" t="e">
        <f t="shared" ca="1" si="71"/>
        <v>#N/A</v>
      </c>
      <c r="K195" s="676">
        <f ca="1">SUMIF('Budget-ACPL'!$A:$A,$A195,'Budget-ACPL'!K:K)+SUMIF('Budget-ACPLHK'!$A:$A,$A195,'Budget-ACPLHK'!K:K)+SUMIF('Budget-ACPSZL'!$A:$A,$A195,'Budget-ACPSZL'!K:K)+SUMIF('Budget-ACPLSZ'!$A:$A,$A195,'Budget-ACPLSZ'!K:K)+SUMIF('Budget-ACPLGZ'!$A:$A,$A195,'Budget-ACPLGZ'!K:K)+SUMIF('Budget-Yixing'!$A:$A,$A195,'Budget-Yixing'!K:K)</f>
        <v>0</v>
      </c>
      <c r="L195" s="676">
        <f ca="1">SUMIF('Budget-ACPL'!$A:$A,$A195,'Budget-ACPL'!L:L)+SUMIF('Budget-ACPLHK'!$A:$A,$A195,'Budget-ACPLHK'!L:L)+SUMIF('Budget-ACPSZL'!$A:$A,$A195,'Budget-ACPSZL'!L:L)+SUMIF('Budget-ACPLSZ'!$A:$A,$A195,'Budget-ACPLSZ'!L:L)+SUMIF('Budget-ACPLGZ'!$A:$A,$A195,'Budget-ACPLGZ'!L:L)+SUMIF('Budget-Yixing'!$A:$A,$A195,'Budget-Yixing'!L:L)</f>
        <v>0</v>
      </c>
      <c r="M195" s="676">
        <f ca="1">SUMIF('Budget-ACPL'!$A:$A,$A195,'Budget-ACPL'!M:M)+SUMIF('Budget-ACPLHK'!$A:$A,$A195,'Budget-ACPLHK'!M:M)+SUMIF('Budget-ACPSZL'!$A:$A,$A195,'Budget-ACPSZL'!M:M)+SUMIF('Budget-ACPLSZ'!$A:$A,$A195,'Budget-ACPLSZ'!M:M)+SUMIF('Budget-ACPLGZ'!$A:$A,$A195,'Budget-ACPLGZ'!M:M)+SUMIF('Budget-Yixing'!$A:$A,$A195,'Budget-Yixing'!M:M)</f>
        <v>0</v>
      </c>
      <c r="N195" s="676">
        <f ca="1">SUMIF('Budget-ACPL'!$A:$A,$A195,'Budget-ACPL'!N:N)+SUMIF('Budget-ACPLHK'!$A:$A,$A195,'Budget-ACPLHK'!N:N)+SUMIF('Budget-ACPSZL'!$A:$A,$A195,'Budget-ACPSZL'!N:N)+SUMIF('Budget-ACPLSZ'!$A:$A,$A195,'Budget-ACPLSZ'!N:N)+SUMIF('Budget-ACPLGZ'!$A:$A,$A195,'Budget-ACPLGZ'!N:N)+SUMIF('Budget-Yixing'!$A:$A,$A195,'Budget-Yixing'!N:N)</f>
        <v>0</v>
      </c>
      <c r="O195" s="676">
        <f ca="1">SUMIF('Budget-ACPL'!$A:$A,$A195,'Budget-ACPL'!O:O)+SUMIF('Budget-ACPLHK'!$A:$A,$A195,'Budget-ACPLHK'!O:O)+SUMIF('Budget-ACPSZL'!$A:$A,$A195,'Budget-ACPSZL'!O:O)+SUMIF('Budget-ACPLSZ'!$A:$A,$A195,'Budget-ACPLSZ'!O:O)+SUMIF('Budget-ACPLGZ'!$A:$A,$A195,'Budget-ACPLGZ'!O:O)+SUMIF('Budget-Yixing'!$A:$A,$A195,'Budget-Yixing'!O:O)</f>
        <v>0</v>
      </c>
      <c r="P195" s="676">
        <f ca="1">SUMIF('Budget-ACPL'!$A:$A,$A195,'Budget-ACPL'!P:P)+SUMIF('Budget-ACPLHK'!$A:$A,$A195,'Budget-ACPLHK'!P:P)+SUMIF('Budget-ACPSZL'!$A:$A,$A195,'Budget-ACPSZL'!P:P)+SUMIF('Budget-ACPLSZ'!$A:$A,$A195,'Budget-ACPLSZ'!P:P)+SUMIF('Budget-ACPLGZ'!$A:$A,$A195,'Budget-ACPLGZ'!P:P)+SUMIF('Budget-Yixing'!$A:$A,$A195,'Budget-Yixing'!P:P)</f>
        <v>0</v>
      </c>
      <c r="Q195" s="676">
        <f ca="1">SUMIF('Budget-ACPL'!$A:$A,$A195,'Budget-ACPL'!Q:Q)+SUMIF('Budget-ACPLHK'!$A:$A,$A195,'Budget-ACPLHK'!Q:Q)+SUMIF('Budget-ACPSZL'!$A:$A,$A195,'Budget-ACPSZL'!Q:Q)+SUMIF('Budget-ACPLSZ'!$A:$A,$A195,'Budget-ACPLSZ'!Q:Q)+SUMIF('Budget-ACPLGZ'!$A:$A,$A195,'Budget-ACPLGZ'!Q:Q)+SUMIF('Budget-Yixing'!$A:$A,$A195,'Budget-Yixing'!Q:Q)</f>
        <v>0</v>
      </c>
      <c r="R195" s="676">
        <f ca="1">SUMIF('Budget-ACPL'!$A:$A,$A195,'Budget-ACPL'!R:R)+SUMIF('Budget-ACPLHK'!$A:$A,$A195,'Budget-ACPLHK'!R:R)+SUMIF('Budget-ACPSZL'!$A:$A,$A195,'Budget-ACPSZL'!R:R)+SUMIF('Budget-ACPLSZ'!$A:$A,$A195,'Budget-ACPLSZ'!R:R)+SUMIF('Budget-ACPLGZ'!$A:$A,$A195,'Budget-ACPLGZ'!R:R)+SUMIF('Budget-Yixing'!$A:$A,$A195,'Budget-Yixing'!R:R)</f>
        <v>0</v>
      </c>
      <c r="S195" s="676">
        <f ca="1">SUMIF('Budget-ACPL'!$A:$A,$A195,'Budget-ACPL'!S:S)+SUMIF('Budget-ACPLHK'!$A:$A,$A195,'Budget-ACPLHK'!S:S)+SUMIF('Budget-ACPSZL'!$A:$A,$A195,'Budget-ACPSZL'!S:S)+SUMIF('Budget-ACPLSZ'!$A:$A,$A195,'Budget-ACPLSZ'!S:S)+SUMIF('Budget-ACPLGZ'!$A:$A,$A195,'Budget-ACPLGZ'!S:S)+SUMIF('Budget-Yixing'!$A:$A,$A195,'Budget-Yixing'!S:S)</f>
        <v>0</v>
      </c>
      <c r="T195" s="676">
        <f ca="1">SUMIF('Budget-ACPL'!$A:$A,$A195,'Budget-ACPL'!T:T)+SUMIF('Budget-ACPLHK'!$A:$A,$A195,'Budget-ACPLHK'!T:T)+SUMIF('Budget-ACPSZL'!$A:$A,$A195,'Budget-ACPSZL'!T:T)+SUMIF('Budget-ACPLSZ'!$A:$A,$A195,'Budget-ACPLSZ'!T:T)+SUMIF('Budget-ACPLGZ'!$A:$A,$A195,'Budget-ACPLGZ'!T:T)+SUMIF('Budget-Yixing'!$A:$A,$A195,'Budget-Yixing'!T:T)</f>
        <v>0</v>
      </c>
      <c r="U195" s="676">
        <f ca="1">SUMIF('Budget-ACPL'!$A:$A,$A195,'Budget-ACPL'!U:U)+SUMIF('Budget-ACPLHK'!$A:$A,$A195,'Budget-ACPLHK'!U:U)+SUMIF('Budget-ACPSZL'!$A:$A,$A195,'Budget-ACPSZL'!U:U)+SUMIF('Budget-ACPLSZ'!$A:$A,$A195,'Budget-ACPLSZ'!U:U)+SUMIF('Budget-ACPLGZ'!$A:$A,$A195,'Budget-ACPLGZ'!U:U)+SUMIF('Budget-Yixing'!$A:$A,$A195,'Budget-Yixing'!U:U)</f>
        <v>0</v>
      </c>
      <c r="V195" s="676">
        <f ca="1">SUMIF('Budget-ACPL'!$A:$A,$A195,'Budget-ACPL'!V:V)+SUMIF('Budget-ACPLHK'!$A:$A,$A195,'Budget-ACPLHK'!V:V)+SUMIF('Budget-ACPSZL'!$A:$A,$A195,'Budget-ACPSZL'!V:V)+SUMIF('Budget-ACPLSZ'!$A:$A,$A195,'Budget-ACPLSZ'!V:V)+SUMIF('Budget-ACPLGZ'!$A:$A,$A195,'Budget-ACPLGZ'!V:V)+SUMIF('Budget-Yixing'!$A:$A,$A195,'Budget-Yixing'!V:V)</f>
        <v>0</v>
      </c>
      <c r="W195" s="676">
        <f t="shared" ca="1" si="77"/>
        <v>0</v>
      </c>
      <c r="Y195" s="688">
        <f ca="1">SUMIF('Budget-ACPL'!$A:$A,$A195,'Budget-ACPL'!Y:Y)+SUMIF('Budget-ACPLHK'!$A:$A,$A195,'Budget-ACPLHK'!Y:Y)+SUMIF('Budget-ACPSZL'!$A:$A,$A195,'Budget-ACPSZL'!Y:Y)+SUMIF('Budget-ACPLSZ'!$A:$A,$A195,'Budget-ACPLSZ'!Y:Y)+SUMIF('Budget-ACPLGZ'!$A:$A,$A195,'Budget-ACPLGZ'!Y:Y)+SUMIF('Budget-Yixing'!$A:$A,$A195,'Budget-Yixing'!Y:Y)</f>
        <v>0</v>
      </c>
      <c r="Z195" s="688">
        <f ca="1">SUMIF('Budget-ACPL'!$A:$A,$A195,'Budget-ACPL'!Z:Z)+SUMIF('Budget-ACPLHK'!$A:$A,$A195,'Budget-ACPLHK'!Z:Z)+SUMIF('Budget-ACPSZL'!$A:$A,$A195,'Budget-ACPSZL'!Z:Z)+SUMIF('Budget-ACPLSZ'!$A:$A,$A195,'Budget-ACPLSZ'!Z:Z)+SUMIF('Budget-ACPLGZ'!$A:$A,$A195,'Budget-ACPLGZ'!Z:Z)+SUMIF('Budget-Yixing'!$A:$A,$A195,'Budget-Yixing'!Z:Z)</f>
        <v>36486</v>
      </c>
      <c r="AA195" s="688">
        <f ca="1">SUMIF('Budget-ACPL'!$A:$A,$A195,'Budget-ACPL'!AA:AA)+SUMIF('Budget-ACPLHK'!$A:$A,$A195,'Budget-ACPLHK'!AA:AA)+SUMIF('Budget-ACPSZL'!$A:$A,$A195,'Budget-ACPSZL'!AA:AA)+SUMIF('Budget-ACPLSZ'!$A:$A,$A195,'Budget-ACPLSZ'!AA:AA)+SUMIF('Budget-ACPLGZ'!$A:$A,$A195,'Budget-ACPLGZ'!AA:AA)+SUMIF('Budget-Yixing'!$A:$A,$A195,'Budget-Yixing'!AA:AA)</f>
        <v>0</v>
      </c>
      <c r="AB195" s="688">
        <f ca="1">SUMIF('Budget-ACPL'!$A:$A,$A195,'Budget-ACPL'!AB:AB)+SUMIF('Budget-ACPLHK'!$A:$A,$A195,'Budget-ACPLHK'!AB:AB)+SUMIF('Budget-ACPSZL'!$A:$A,$A195,'Budget-ACPSZL'!AB:AB)+SUMIF('Budget-ACPLSZ'!$A:$A,$A195,'Budget-ACPLSZ'!AB:AB)+SUMIF('Budget-ACPLGZ'!$A:$A,$A195,'Budget-ACPLGZ'!AB:AB)+SUMIF('Budget-Yixing'!$A:$A,$A195,'Budget-Yixing'!AB:AB)</f>
        <v>0</v>
      </c>
      <c r="AC195" s="688">
        <f ca="1">SUMIF('Budget-ACPL'!$A:$A,$A195,'Budget-ACPL'!AC:AC)+SUMIF('Budget-ACPLHK'!$A:$A,$A195,'Budget-ACPLHK'!AC:AC)+SUMIF('Budget-ACPSZL'!$A:$A,$A195,'Budget-ACPSZL'!AC:AC)+SUMIF('Budget-ACPLSZ'!$A:$A,$A195,'Budget-ACPLSZ'!AC:AC)+SUMIF('Budget-ACPLGZ'!$A:$A,$A195,'Budget-ACPLGZ'!AC:AC)+SUMIF('Budget-Yixing'!$A:$A,$A195,'Budget-Yixing'!AC:AC)</f>
        <v>0</v>
      </c>
      <c r="AD195" s="688">
        <f ca="1">SUMIF('Budget-ACPL'!$A:$A,$A195,'Budget-ACPL'!AD:AD)+SUMIF('Budget-ACPLHK'!$A:$A,$A195,'Budget-ACPLHK'!AD:AD)+SUMIF('Budget-ACPSZL'!$A:$A,$A195,'Budget-ACPSZL'!AD:AD)+SUMIF('Budget-ACPLSZ'!$A:$A,$A195,'Budget-ACPLSZ'!AD:AD)+SUMIF('Budget-ACPLGZ'!$A:$A,$A195,'Budget-ACPLGZ'!AD:AD)+SUMIF('Budget-Yixing'!$A:$A,$A195,'Budget-Yixing'!AD:AD)</f>
        <v>0</v>
      </c>
      <c r="AE195" s="688">
        <f ca="1">SUMIF('Budget-ACPL'!$A:$A,$A195,'Budget-ACPL'!AE:AE)+SUMIF('Budget-ACPLHK'!$A:$A,$A195,'Budget-ACPLHK'!AE:AE)+SUMIF('Budget-ACPSZL'!$A:$A,$A195,'Budget-ACPSZL'!AE:AE)+SUMIF('Budget-ACPLSZ'!$A:$A,$A195,'Budget-ACPLSZ'!AE:AE)+SUMIF('Budget-ACPLGZ'!$A:$A,$A195,'Budget-ACPLGZ'!AE:AE)+SUMIF('Budget-Yixing'!$A:$A,$A195,'Budget-Yixing'!AE:AE)</f>
        <v>0</v>
      </c>
      <c r="AF195" s="688">
        <f ca="1">SUMIF('Budget-ACPL'!$A:$A,$A195,'Budget-ACPL'!AF:AF)+SUMIF('Budget-ACPLHK'!$A:$A,$A195,'Budget-ACPLHK'!AF:AF)+SUMIF('Budget-ACPSZL'!$A:$A,$A195,'Budget-ACPSZL'!AF:AF)+SUMIF('Budget-ACPLSZ'!$A:$A,$A195,'Budget-ACPLSZ'!AF:AF)+SUMIF('Budget-ACPLGZ'!$A:$A,$A195,'Budget-ACPLGZ'!AF:AF)+SUMIF('Budget-Yixing'!$A:$A,$A195,'Budget-Yixing'!AF:AF)</f>
        <v>0</v>
      </c>
      <c r="AG195" s="688">
        <f ca="1">SUMIF('Budget-ACPL'!$A:$A,$A195,'Budget-ACPL'!AG:AG)+SUMIF('Budget-ACPLHK'!$A:$A,$A195,'Budget-ACPLHK'!AG:AG)+SUMIF('Budget-ACPSZL'!$A:$A,$A195,'Budget-ACPSZL'!AG:AG)+SUMIF('Budget-ACPLSZ'!$A:$A,$A195,'Budget-ACPLSZ'!AG:AG)+SUMIF('Budget-ACPLGZ'!$A:$A,$A195,'Budget-ACPLGZ'!AG:AG)+SUMIF('Budget-Yixing'!$A:$A,$A195,'Budget-Yixing'!AG:AG)</f>
        <v>0</v>
      </c>
      <c r="AH195" s="688">
        <f ca="1">SUMIF('Budget-ACPL'!$A:$A,$A195,'Budget-ACPL'!AH:AH)+SUMIF('Budget-ACPLHK'!$A:$A,$A195,'Budget-ACPLHK'!AH:AH)+SUMIF('Budget-ACPSZL'!$A:$A,$A195,'Budget-ACPSZL'!AH:AH)+SUMIF('Budget-ACPLSZ'!$A:$A,$A195,'Budget-ACPLSZ'!AH:AH)+SUMIF('Budget-ACPLGZ'!$A:$A,$A195,'Budget-ACPLGZ'!AH:AH)+SUMIF('Budget-Yixing'!$A:$A,$A195,'Budget-Yixing'!AH:AH)</f>
        <v>0</v>
      </c>
      <c r="AI195" s="688">
        <f ca="1">SUMIF('Budget-ACPL'!$A:$A,$A195,'Budget-ACPL'!AI:AI)+SUMIF('Budget-ACPLHK'!$A:$A,$A195,'Budget-ACPLHK'!AI:AI)+SUMIF('Budget-ACPSZL'!$A:$A,$A195,'Budget-ACPSZL'!AI:AI)+SUMIF('Budget-ACPLSZ'!$A:$A,$A195,'Budget-ACPLSZ'!AI:AI)+SUMIF('Budget-ACPLGZ'!$A:$A,$A195,'Budget-ACPLGZ'!AI:AI)+SUMIF('Budget-Yixing'!$A:$A,$A195,'Budget-Yixing'!AI:AI)</f>
        <v>0</v>
      </c>
      <c r="AJ195" s="688">
        <f ca="1">SUMIF('Budget-ACPL'!$A:$A,$A195,'Budget-ACPL'!AJ:AJ)+SUMIF('Budget-ACPLHK'!$A:$A,$A195,'Budget-ACPLHK'!AJ:AJ)+SUMIF('Budget-ACPSZL'!$A:$A,$A195,'Budget-ACPSZL'!AJ:AJ)+SUMIF('Budget-ACPLSZ'!$A:$A,$A195,'Budget-ACPLSZ'!AJ:AJ)+SUMIF('Budget-ACPLGZ'!$A:$A,$A195,'Budget-ACPLGZ'!AJ:AJ)+SUMIF('Budget-Yixing'!$A:$A,$A195,'Budget-Yixing'!AJ:AJ)</f>
        <v>0</v>
      </c>
      <c r="AK195" s="688">
        <f t="shared" ca="1" si="76"/>
        <v>36486</v>
      </c>
    </row>
    <row r="196" spans="1:37" ht="13.5" hidden="1" customHeight="1">
      <c r="A196" s="713" t="s">
        <v>2011</v>
      </c>
      <c r="B196" s="687" t="str">
        <f>VLOOKUP(A196,Account!A:B,2,0)</f>
        <v>滞纳金</v>
      </c>
      <c r="C196" s="687">
        <f>VLOOKUP(A196,Account!A:F,4,0)</f>
        <v>0</v>
      </c>
      <c r="D196" s="676">
        <f t="shared" ca="1" si="74"/>
        <v>0</v>
      </c>
      <c r="E196" s="676" t="e">
        <f t="shared" si="68"/>
        <v>#N/A</v>
      </c>
      <c r="F196" s="676" t="e">
        <f t="shared" ca="1" si="69"/>
        <v>#N/A</v>
      </c>
      <c r="G196" s="676">
        <f t="shared" ca="1" si="75"/>
        <v>0</v>
      </c>
      <c r="H196" s="676" t="e">
        <f t="shared" ca="1" si="70"/>
        <v>#N/A</v>
      </c>
      <c r="I196" s="676" t="e">
        <f t="shared" ca="1" si="71"/>
        <v>#N/A</v>
      </c>
      <c r="K196" s="676">
        <f ca="1">SUMIF('Budget-ACPL'!$A:$A,$A196,'Budget-ACPL'!K:K)+SUMIF('Budget-ACPLHK'!$A:$A,$A196,'Budget-ACPLHK'!K:K)+SUMIF('Budget-ACPSZL'!$A:$A,$A196,'Budget-ACPSZL'!K:K)+SUMIF('Budget-ACPLSZ'!$A:$A,$A196,'Budget-ACPLSZ'!K:K)+SUMIF('Budget-ACPLGZ'!$A:$A,$A196,'Budget-ACPLGZ'!K:K)+SUMIF('Budget-Yixing'!$A:$A,$A196,'Budget-Yixing'!K:K)</f>
        <v>0</v>
      </c>
      <c r="L196" s="676">
        <f ca="1">SUMIF('Budget-ACPL'!$A:$A,$A196,'Budget-ACPL'!L:L)+SUMIF('Budget-ACPLHK'!$A:$A,$A196,'Budget-ACPLHK'!L:L)+SUMIF('Budget-ACPSZL'!$A:$A,$A196,'Budget-ACPSZL'!L:L)+SUMIF('Budget-ACPLSZ'!$A:$A,$A196,'Budget-ACPLSZ'!L:L)+SUMIF('Budget-ACPLGZ'!$A:$A,$A196,'Budget-ACPLGZ'!L:L)+SUMIF('Budget-Yixing'!$A:$A,$A196,'Budget-Yixing'!L:L)</f>
        <v>0</v>
      </c>
      <c r="M196" s="676">
        <f ca="1">SUMIF('Budget-ACPL'!$A:$A,$A196,'Budget-ACPL'!M:M)+SUMIF('Budget-ACPLHK'!$A:$A,$A196,'Budget-ACPLHK'!M:M)+SUMIF('Budget-ACPSZL'!$A:$A,$A196,'Budget-ACPSZL'!M:M)+SUMIF('Budget-ACPLSZ'!$A:$A,$A196,'Budget-ACPLSZ'!M:M)+SUMIF('Budget-ACPLGZ'!$A:$A,$A196,'Budget-ACPLGZ'!M:M)+SUMIF('Budget-Yixing'!$A:$A,$A196,'Budget-Yixing'!M:M)</f>
        <v>0</v>
      </c>
      <c r="N196" s="676">
        <f ca="1">SUMIF('Budget-ACPL'!$A:$A,$A196,'Budget-ACPL'!N:N)+SUMIF('Budget-ACPLHK'!$A:$A,$A196,'Budget-ACPLHK'!N:N)+SUMIF('Budget-ACPSZL'!$A:$A,$A196,'Budget-ACPSZL'!N:N)+SUMIF('Budget-ACPLSZ'!$A:$A,$A196,'Budget-ACPLSZ'!N:N)+SUMIF('Budget-ACPLGZ'!$A:$A,$A196,'Budget-ACPLGZ'!N:N)+SUMIF('Budget-Yixing'!$A:$A,$A196,'Budget-Yixing'!N:N)</f>
        <v>0</v>
      </c>
      <c r="O196" s="676">
        <f ca="1">SUMIF('Budget-ACPL'!$A:$A,$A196,'Budget-ACPL'!O:O)+SUMIF('Budget-ACPLHK'!$A:$A,$A196,'Budget-ACPLHK'!O:O)+SUMIF('Budget-ACPSZL'!$A:$A,$A196,'Budget-ACPSZL'!O:O)+SUMIF('Budget-ACPLSZ'!$A:$A,$A196,'Budget-ACPLSZ'!O:O)+SUMIF('Budget-ACPLGZ'!$A:$A,$A196,'Budget-ACPLGZ'!O:O)+SUMIF('Budget-Yixing'!$A:$A,$A196,'Budget-Yixing'!O:O)</f>
        <v>0</v>
      </c>
      <c r="P196" s="676">
        <f ca="1">SUMIF('Budget-ACPL'!$A:$A,$A196,'Budget-ACPL'!P:P)+SUMIF('Budget-ACPLHK'!$A:$A,$A196,'Budget-ACPLHK'!P:P)+SUMIF('Budget-ACPSZL'!$A:$A,$A196,'Budget-ACPSZL'!P:P)+SUMIF('Budget-ACPLSZ'!$A:$A,$A196,'Budget-ACPLSZ'!P:P)+SUMIF('Budget-ACPLGZ'!$A:$A,$A196,'Budget-ACPLGZ'!P:P)+SUMIF('Budget-Yixing'!$A:$A,$A196,'Budget-Yixing'!P:P)</f>
        <v>0</v>
      </c>
      <c r="Q196" s="676">
        <f ca="1">SUMIF('Budget-ACPL'!$A:$A,$A196,'Budget-ACPL'!Q:Q)+SUMIF('Budget-ACPLHK'!$A:$A,$A196,'Budget-ACPLHK'!Q:Q)+SUMIF('Budget-ACPSZL'!$A:$A,$A196,'Budget-ACPSZL'!Q:Q)+SUMIF('Budget-ACPLSZ'!$A:$A,$A196,'Budget-ACPLSZ'!Q:Q)+SUMIF('Budget-ACPLGZ'!$A:$A,$A196,'Budget-ACPLGZ'!Q:Q)+SUMIF('Budget-Yixing'!$A:$A,$A196,'Budget-Yixing'!Q:Q)</f>
        <v>0</v>
      </c>
      <c r="R196" s="676">
        <f ca="1">SUMIF('Budget-ACPL'!$A:$A,$A196,'Budget-ACPL'!R:R)+SUMIF('Budget-ACPLHK'!$A:$A,$A196,'Budget-ACPLHK'!R:R)+SUMIF('Budget-ACPSZL'!$A:$A,$A196,'Budget-ACPSZL'!R:R)+SUMIF('Budget-ACPLSZ'!$A:$A,$A196,'Budget-ACPLSZ'!R:R)+SUMIF('Budget-ACPLGZ'!$A:$A,$A196,'Budget-ACPLGZ'!R:R)+SUMIF('Budget-Yixing'!$A:$A,$A196,'Budget-Yixing'!R:R)</f>
        <v>0</v>
      </c>
      <c r="S196" s="676">
        <f ca="1">SUMIF('Budget-ACPL'!$A:$A,$A196,'Budget-ACPL'!S:S)+SUMIF('Budget-ACPLHK'!$A:$A,$A196,'Budget-ACPLHK'!S:S)+SUMIF('Budget-ACPSZL'!$A:$A,$A196,'Budget-ACPSZL'!S:S)+SUMIF('Budget-ACPLSZ'!$A:$A,$A196,'Budget-ACPLSZ'!S:S)+SUMIF('Budget-ACPLGZ'!$A:$A,$A196,'Budget-ACPLGZ'!S:S)+SUMIF('Budget-Yixing'!$A:$A,$A196,'Budget-Yixing'!S:S)</f>
        <v>0</v>
      </c>
      <c r="T196" s="676">
        <f ca="1">SUMIF('Budget-ACPL'!$A:$A,$A196,'Budget-ACPL'!T:T)+SUMIF('Budget-ACPLHK'!$A:$A,$A196,'Budget-ACPLHK'!T:T)+SUMIF('Budget-ACPSZL'!$A:$A,$A196,'Budget-ACPSZL'!T:T)+SUMIF('Budget-ACPLSZ'!$A:$A,$A196,'Budget-ACPLSZ'!T:T)+SUMIF('Budget-ACPLGZ'!$A:$A,$A196,'Budget-ACPLGZ'!T:T)+SUMIF('Budget-Yixing'!$A:$A,$A196,'Budget-Yixing'!T:T)</f>
        <v>0</v>
      </c>
      <c r="U196" s="676">
        <f ca="1">SUMIF('Budget-ACPL'!$A:$A,$A196,'Budget-ACPL'!U:U)+SUMIF('Budget-ACPLHK'!$A:$A,$A196,'Budget-ACPLHK'!U:U)+SUMIF('Budget-ACPSZL'!$A:$A,$A196,'Budget-ACPSZL'!U:U)+SUMIF('Budget-ACPLSZ'!$A:$A,$A196,'Budget-ACPLSZ'!U:U)+SUMIF('Budget-ACPLGZ'!$A:$A,$A196,'Budget-ACPLGZ'!U:U)+SUMIF('Budget-Yixing'!$A:$A,$A196,'Budget-Yixing'!U:U)</f>
        <v>0</v>
      </c>
      <c r="V196" s="676">
        <f ca="1">SUMIF('Budget-ACPL'!$A:$A,$A196,'Budget-ACPL'!V:V)+SUMIF('Budget-ACPLHK'!$A:$A,$A196,'Budget-ACPLHK'!V:V)+SUMIF('Budget-ACPSZL'!$A:$A,$A196,'Budget-ACPSZL'!V:V)+SUMIF('Budget-ACPLSZ'!$A:$A,$A196,'Budget-ACPLSZ'!V:V)+SUMIF('Budget-ACPLGZ'!$A:$A,$A196,'Budget-ACPLGZ'!V:V)+SUMIF('Budget-Yixing'!$A:$A,$A196,'Budget-Yixing'!V:V)</f>
        <v>0</v>
      </c>
      <c r="W196" s="676">
        <f t="shared" ca="1" si="77"/>
        <v>0</v>
      </c>
      <c r="Y196" s="688">
        <f ca="1">SUMIF('Budget-ACPL'!$A:$A,$A196,'Budget-ACPL'!Y:Y)+SUMIF('Budget-ACPLHK'!$A:$A,$A196,'Budget-ACPLHK'!Y:Y)+SUMIF('Budget-ACPSZL'!$A:$A,$A196,'Budget-ACPSZL'!Y:Y)+SUMIF('Budget-ACPLSZ'!$A:$A,$A196,'Budget-ACPLSZ'!Y:Y)+SUMIF('Budget-ACPLGZ'!$A:$A,$A196,'Budget-ACPLGZ'!Y:Y)+SUMIF('Budget-Yixing'!$A:$A,$A196,'Budget-Yixing'!Y:Y)</f>
        <v>0</v>
      </c>
      <c r="Z196" s="688">
        <f ca="1">SUMIF('Budget-ACPL'!$A:$A,$A196,'Budget-ACPL'!Z:Z)+SUMIF('Budget-ACPLHK'!$A:$A,$A196,'Budget-ACPLHK'!Z:Z)+SUMIF('Budget-ACPSZL'!$A:$A,$A196,'Budget-ACPSZL'!Z:Z)+SUMIF('Budget-ACPLSZ'!$A:$A,$A196,'Budget-ACPLSZ'!Z:Z)+SUMIF('Budget-ACPLGZ'!$A:$A,$A196,'Budget-ACPLGZ'!Z:Z)+SUMIF('Budget-Yixing'!$A:$A,$A196,'Budget-Yixing'!Z:Z)</f>
        <v>0</v>
      </c>
      <c r="AA196" s="688">
        <f ca="1">SUMIF('Budget-ACPL'!$A:$A,$A196,'Budget-ACPL'!AA:AA)+SUMIF('Budget-ACPLHK'!$A:$A,$A196,'Budget-ACPLHK'!AA:AA)+SUMIF('Budget-ACPSZL'!$A:$A,$A196,'Budget-ACPSZL'!AA:AA)+SUMIF('Budget-ACPLSZ'!$A:$A,$A196,'Budget-ACPLSZ'!AA:AA)+SUMIF('Budget-ACPLGZ'!$A:$A,$A196,'Budget-ACPLGZ'!AA:AA)+SUMIF('Budget-Yixing'!$A:$A,$A196,'Budget-Yixing'!AA:AA)</f>
        <v>0</v>
      </c>
      <c r="AB196" s="688">
        <f ca="1">SUMIF('Budget-ACPL'!$A:$A,$A196,'Budget-ACPL'!AB:AB)+SUMIF('Budget-ACPLHK'!$A:$A,$A196,'Budget-ACPLHK'!AB:AB)+SUMIF('Budget-ACPSZL'!$A:$A,$A196,'Budget-ACPSZL'!AB:AB)+SUMIF('Budget-ACPLSZ'!$A:$A,$A196,'Budget-ACPLSZ'!AB:AB)+SUMIF('Budget-ACPLGZ'!$A:$A,$A196,'Budget-ACPLGZ'!AB:AB)+SUMIF('Budget-Yixing'!$A:$A,$A196,'Budget-Yixing'!AB:AB)</f>
        <v>0</v>
      </c>
      <c r="AC196" s="688">
        <f ca="1">SUMIF('Budget-ACPL'!$A:$A,$A196,'Budget-ACPL'!AC:AC)+SUMIF('Budget-ACPLHK'!$A:$A,$A196,'Budget-ACPLHK'!AC:AC)+SUMIF('Budget-ACPSZL'!$A:$A,$A196,'Budget-ACPSZL'!AC:AC)+SUMIF('Budget-ACPLSZ'!$A:$A,$A196,'Budget-ACPLSZ'!AC:AC)+SUMIF('Budget-ACPLGZ'!$A:$A,$A196,'Budget-ACPLGZ'!AC:AC)+SUMIF('Budget-Yixing'!$A:$A,$A196,'Budget-Yixing'!AC:AC)</f>
        <v>0</v>
      </c>
      <c r="AD196" s="688">
        <f ca="1">SUMIF('Budget-ACPL'!$A:$A,$A196,'Budget-ACPL'!AD:AD)+SUMIF('Budget-ACPLHK'!$A:$A,$A196,'Budget-ACPLHK'!AD:AD)+SUMIF('Budget-ACPSZL'!$A:$A,$A196,'Budget-ACPSZL'!AD:AD)+SUMIF('Budget-ACPLSZ'!$A:$A,$A196,'Budget-ACPLSZ'!AD:AD)+SUMIF('Budget-ACPLGZ'!$A:$A,$A196,'Budget-ACPLGZ'!AD:AD)+SUMIF('Budget-Yixing'!$A:$A,$A196,'Budget-Yixing'!AD:AD)</f>
        <v>0</v>
      </c>
      <c r="AE196" s="688">
        <f ca="1">SUMIF('Budget-ACPL'!$A:$A,$A196,'Budget-ACPL'!AE:AE)+SUMIF('Budget-ACPLHK'!$A:$A,$A196,'Budget-ACPLHK'!AE:AE)+SUMIF('Budget-ACPSZL'!$A:$A,$A196,'Budget-ACPSZL'!AE:AE)+SUMIF('Budget-ACPLSZ'!$A:$A,$A196,'Budget-ACPLSZ'!AE:AE)+SUMIF('Budget-ACPLGZ'!$A:$A,$A196,'Budget-ACPLGZ'!AE:AE)+SUMIF('Budget-Yixing'!$A:$A,$A196,'Budget-Yixing'!AE:AE)</f>
        <v>0</v>
      </c>
      <c r="AF196" s="688">
        <f ca="1">SUMIF('Budget-ACPL'!$A:$A,$A196,'Budget-ACPL'!AF:AF)+SUMIF('Budget-ACPLHK'!$A:$A,$A196,'Budget-ACPLHK'!AF:AF)+SUMIF('Budget-ACPSZL'!$A:$A,$A196,'Budget-ACPSZL'!AF:AF)+SUMIF('Budget-ACPLSZ'!$A:$A,$A196,'Budget-ACPLSZ'!AF:AF)+SUMIF('Budget-ACPLGZ'!$A:$A,$A196,'Budget-ACPLGZ'!AF:AF)+SUMIF('Budget-Yixing'!$A:$A,$A196,'Budget-Yixing'!AF:AF)</f>
        <v>0</v>
      </c>
      <c r="AG196" s="688">
        <f ca="1">SUMIF('Budget-ACPL'!$A:$A,$A196,'Budget-ACPL'!AG:AG)+SUMIF('Budget-ACPLHK'!$A:$A,$A196,'Budget-ACPLHK'!AG:AG)+SUMIF('Budget-ACPSZL'!$A:$A,$A196,'Budget-ACPSZL'!AG:AG)+SUMIF('Budget-ACPLSZ'!$A:$A,$A196,'Budget-ACPLSZ'!AG:AG)+SUMIF('Budget-ACPLGZ'!$A:$A,$A196,'Budget-ACPLGZ'!AG:AG)+SUMIF('Budget-Yixing'!$A:$A,$A196,'Budget-Yixing'!AG:AG)</f>
        <v>0</v>
      </c>
      <c r="AH196" s="688">
        <f ca="1">SUMIF('Budget-ACPL'!$A:$A,$A196,'Budget-ACPL'!AH:AH)+SUMIF('Budget-ACPLHK'!$A:$A,$A196,'Budget-ACPLHK'!AH:AH)+SUMIF('Budget-ACPSZL'!$A:$A,$A196,'Budget-ACPSZL'!AH:AH)+SUMIF('Budget-ACPLSZ'!$A:$A,$A196,'Budget-ACPLSZ'!AH:AH)+SUMIF('Budget-ACPLGZ'!$A:$A,$A196,'Budget-ACPLGZ'!AH:AH)+SUMIF('Budget-Yixing'!$A:$A,$A196,'Budget-Yixing'!AH:AH)</f>
        <v>0</v>
      </c>
      <c r="AI196" s="688">
        <f ca="1">SUMIF('Budget-ACPL'!$A:$A,$A196,'Budget-ACPL'!AI:AI)+SUMIF('Budget-ACPLHK'!$A:$A,$A196,'Budget-ACPLHK'!AI:AI)+SUMIF('Budget-ACPSZL'!$A:$A,$A196,'Budget-ACPSZL'!AI:AI)+SUMIF('Budget-ACPLSZ'!$A:$A,$A196,'Budget-ACPLSZ'!AI:AI)+SUMIF('Budget-ACPLGZ'!$A:$A,$A196,'Budget-ACPLGZ'!AI:AI)+SUMIF('Budget-Yixing'!$A:$A,$A196,'Budget-Yixing'!AI:AI)</f>
        <v>0</v>
      </c>
      <c r="AJ196" s="688">
        <f ca="1">SUMIF('Budget-ACPL'!$A:$A,$A196,'Budget-ACPL'!AJ:AJ)+SUMIF('Budget-ACPLHK'!$A:$A,$A196,'Budget-ACPLHK'!AJ:AJ)+SUMIF('Budget-ACPSZL'!$A:$A,$A196,'Budget-ACPSZL'!AJ:AJ)+SUMIF('Budget-ACPLSZ'!$A:$A,$A196,'Budget-ACPLSZ'!AJ:AJ)+SUMIF('Budget-ACPLGZ'!$A:$A,$A196,'Budget-ACPLGZ'!AJ:AJ)+SUMIF('Budget-Yixing'!$A:$A,$A196,'Budget-Yixing'!AJ:AJ)</f>
        <v>0</v>
      </c>
      <c r="AK196" s="688">
        <f t="shared" ca="1" si="76"/>
        <v>0</v>
      </c>
    </row>
    <row r="197" spans="1:37" ht="13.5" hidden="1" customHeight="1">
      <c r="A197" s="713" t="s">
        <v>2015</v>
      </c>
      <c r="B197" s="687" t="str">
        <f>VLOOKUP(A197,Account!A:B,2,0)</f>
        <v>非流动资产处置损失</v>
      </c>
      <c r="C197" s="687">
        <f>VLOOKUP(A197,Account!A:F,4,0)</f>
        <v>0</v>
      </c>
      <c r="D197" s="676">
        <f t="shared" ca="1" si="74"/>
        <v>0</v>
      </c>
      <c r="E197" s="676" t="e">
        <f t="shared" si="68"/>
        <v>#N/A</v>
      </c>
      <c r="F197" s="676" t="e">
        <f t="shared" ca="1" si="69"/>
        <v>#N/A</v>
      </c>
      <c r="G197" s="676">
        <f t="shared" ca="1" si="75"/>
        <v>0</v>
      </c>
      <c r="H197" s="676" t="e">
        <f t="shared" ca="1" si="70"/>
        <v>#N/A</v>
      </c>
      <c r="I197" s="676" t="e">
        <f t="shared" ca="1" si="71"/>
        <v>#N/A</v>
      </c>
      <c r="K197" s="676">
        <f ca="1">SUMIF('Budget-ACPL'!$A:$A,$A197,'Budget-ACPL'!K:K)+SUMIF('Budget-ACPLHK'!$A:$A,$A197,'Budget-ACPLHK'!K:K)+SUMIF('Budget-ACPSZL'!$A:$A,$A197,'Budget-ACPSZL'!K:K)+SUMIF('Budget-ACPLSZ'!$A:$A,$A197,'Budget-ACPLSZ'!K:K)+SUMIF('Budget-ACPLGZ'!$A:$A,$A197,'Budget-ACPLGZ'!K:K)+SUMIF('Budget-Yixing'!$A:$A,$A197,'Budget-Yixing'!K:K)</f>
        <v>0</v>
      </c>
      <c r="L197" s="676">
        <f ca="1">SUMIF('Budget-ACPL'!$A:$A,$A197,'Budget-ACPL'!L:L)+SUMIF('Budget-ACPLHK'!$A:$A,$A197,'Budget-ACPLHK'!L:L)+SUMIF('Budget-ACPSZL'!$A:$A,$A197,'Budget-ACPSZL'!L:L)+SUMIF('Budget-ACPLSZ'!$A:$A,$A197,'Budget-ACPLSZ'!L:L)+SUMIF('Budget-ACPLGZ'!$A:$A,$A197,'Budget-ACPLGZ'!L:L)+SUMIF('Budget-Yixing'!$A:$A,$A197,'Budget-Yixing'!L:L)</f>
        <v>0</v>
      </c>
      <c r="M197" s="676">
        <f ca="1">SUMIF('Budget-ACPL'!$A:$A,$A197,'Budget-ACPL'!M:M)+SUMIF('Budget-ACPLHK'!$A:$A,$A197,'Budget-ACPLHK'!M:M)+SUMIF('Budget-ACPSZL'!$A:$A,$A197,'Budget-ACPSZL'!M:M)+SUMIF('Budget-ACPLSZ'!$A:$A,$A197,'Budget-ACPLSZ'!M:M)+SUMIF('Budget-ACPLGZ'!$A:$A,$A197,'Budget-ACPLGZ'!M:M)+SUMIF('Budget-Yixing'!$A:$A,$A197,'Budget-Yixing'!M:M)</f>
        <v>0</v>
      </c>
      <c r="N197" s="676">
        <f ca="1">SUMIF('Budget-ACPL'!$A:$A,$A197,'Budget-ACPL'!N:N)+SUMIF('Budget-ACPLHK'!$A:$A,$A197,'Budget-ACPLHK'!N:N)+SUMIF('Budget-ACPSZL'!$A:$A,$A197,'Budget-ACPSZL'!N:N)+SUMIF('Budget-ACPLSZ'!$A:$A,$A197,'Budget-ACPLSZ'!N:N)+SUMIF('Budget-ACPLGZ'!$A:$A,$A197,'Budget-ACPLGZ'!N:N)+SUMIF('Budget-Yixing'!$A:$A,$A197,'Budget-Yixing'!N:N)</f>
        <v>0</v>
      </c>
      <c r="O197" s="676">
        <f ca="1">SUMIF('Budget-ACPL'!$A:$A,$A197,'Budget-ACPL'!O:O)+SUMIF('Budget-ACPLHK'!$A:$A,$A197,'Budget-ACPLHK'!O:O)+SUMIF('Budget-ACPSZL'!$A:$A,$A197,'Budget-ACPSZL'!O:O)+SUMIF('Budget-ACPLSZ'!$A:$A,$A197,'Budget-ACPLSZ'!O:O)+SUMIF('Budget-ACPLGZ'!$A:$A,$A197,'Budget-ACPLGZ'!O:O)+SUMIF('Budget-Yixing'!$A:$A,$A197,'Budget-Yixing'!O:O)</f>
        <v>0</v>
      </c>
      <c r="P197" s="676">
        <f ca="1">SUMIF('Budget-ACPL'!$A:$A,$A197,'Budget-ACPL'!P:P)+SUMIF('Budget-ACPLHK'!$A:$A,$A197,'Budget-ACPLHK'!P:P)+SUMIF('Budget-ACPSZL'!$A:$A,$A197,'Budget-ACPSZL'!P:P)+SUMIF('Budget-ACPLSZ'!$A:$A,$A197,'Budget-ACPLSZ'!P:P)+SUMIF('Budget-ACPLGZ'!$A:$A,$A197,'Budget-ACPLGZ'!P:P)+SUMIF('Budget-Yixing'!$A:$A,$A197,'Budget-Yixing'!P:P)</f>
        <v>0</v>
      </c>
      <c r="Q197" s="676">
        <f ca="1">SUMIF('Budget-ACPL'!$A:$A,$A197,'Budget-ACPL'!Q:Q)+SUMIF('Budget-ACPLHK'!$A:$A,$A197,'Budget-ACPLHK'!Q:Q)+SUMIF('Budget-ACPSZL'!$A:$A,$A197,'Budget-ACPSZL'!Q:Q)+SUMIF('Budget-ACPLSZ'!$A:$A,$A197,'Budget-ACPLSZ'!Q:Q)+SUMIF('Budget-ACPLGZ'!$A:$A,$A197,'Budget-ACPLGZ'!Q:Q)+SUMIF('Budget-Yixing'!$A:$A,$A197,'Budget-Yixing'!Q:Q)</f>
        <v>0</v>
      </c>
      <c r="R197" s="676">
        <f ca="1">SUMIF('Budget-ACPL'!$A:$A,$A197,'Budget-ACPL'!R:R)+SUMIF('Budget-ACPLHK'!$A:$A,$A197,'Budget-ACPLHK'!R:R)+SUMIF('Budget-ACPSZL'!$A:$A,$A197,'Budget-ACPSZL'!R:R)+SUMIF('Budget-ACPLSZ'!$A:$A,$A197,'Budget-ACPLSZ'!R:R)+SUMIF('Budget-ACPLGZ'!$A:$A,$A197,'Budget-ACPLGZ'!R:R)+SUMIF('Budget-Yixing'!$A:$A,$A197,'Budget-Yixing'!R:R)</f>
        <v>0</v>
      </c>
      <c r="S197" s="676">
        <f ca="1">SUMIF('Budget-ACPL'!$A:$A,$A197,'Budget-ACPL'!S:S)+SUMIF('Budget-ACPLHK'!$A:$A,$A197,'Budget-ACPLHK'!S:S)+SUMIF('Budget-ACPSZL'!$A:$A,$A197,'Budget-ACPSZL'!S:S)+SUMIF('Budget-ACPLSZ'!$A:$A,$A197,'Budget-ACPLSZ'!S:S)+SUMIF('Budget-ACPLGZ'!$A:$A,$A197,'Budget-ACPLGZ'!S:S)+SUMIF('Budget-Yixing'!$A:$A,$A197,'Budget-Yixing'!S:S)</f>
        <v>0</v>
      </c>
      <c r="T197" s="676">
        <f ca="1">SUMIF('Budget-ACPL'!$A:$A,$A197,'Budget-ACPL'!T:T)+SUMIF('Budget-ACPLHK'!$A:$A,$A197,'Budget-ACPLHK'!T:T)+SUMIF('Budget-ACPSZL'!$A:$A,$A197,'Budget-ACPSZL'!T:T)+SUMIF('Budget-ACPLSZ'!$A:$A,$A197,'Budget-ACPLSZ'!T:T)+SUMIF('Budget-ACPLGZ'!$A:$A,$A197,'Budget-ACPLGZ'!T:T)+SUMIF('Budget-Yixing'!$A:$A,$A197,'Budget-Yixing'!T:T)</f>
        <v>0</v>
      </c>
      <c r="U197" s="676">
        <f ca="1">SUMIF('Budget-ACPL'!$A:$A,$A197,'Budget-ACPL'!U:U)+SUMIF('Budget-ACPLHK'!$A:$A,$A197,'Budget-ACPLHK'!U:U)+SUMIF('Budget-ACPSZL'!$A:$A,$A197,'Budget-ACPSZL'!U:U)+SUMIF('Budget-ACPLSZ'!$A:$A,$A197,'Budget-ACPLSZ'!U:U)+SUMIF('Budget-ACPLGZ'!$A:$A,$A197,'Budget-ACPLGZ'!U:U)+SUMIF('Budget-Yixing'!$A:$A,$A197,'Budget-Yixing'!U:U)</f>
        <v>0</v>
      </c>
      <c r="V197" s="676">
        <f ca="1">SUMIF('Budget-ACPL'!$A:$A,$A197,'Budget-ACPL'!V:V)+SUMIF('Budget-ACPLHK'!$A:$A,$A197,'Budget-ACPLHK'!V:V)+SUMIF('Budget-ACPSZL'!$A:$A,$A197,'Budget-ACPSZL'!V:V)+SUMIF('Budget-ACPLSZ'!$A:$A,$A197,'Budget-ACPLSZ'!V:V)+SUMIF('Budget-ACPLGZ'!$A:$A,$A197,'Budget-ACPLGZ'!V:V)+SUMIF('Budget-Yixing'!$A:$A,$A197,'Budget-Yixing'!V:V)</f>
        <v>0</v>
      </c>
      <c r="W197" s="676">
        <f t="shared" ca="1" si="77"/>
        <v>0</v>
      </c>
      <c r="Y197" s="688">
        <f ca="1">SUMIF('Budget-ACPL'!$A:$A,$A197,'Budget-ACPL'!Y:Y)+SUMIF('Budget-ACPLHK'!$A:$A,$A197,'Budget-ACPLHK'!Y:Y)+SUMIF('Budget-ACPSZL'!$A:$A,$A197,'Budget-ACPSZL'!Y:Y)+SUMIF('Budget-ACPLSZ'!$A:$A,$A197,'Budget-ACPLSZ'!Y:Y)+SUMIF('Budget-ACPLGZ'!$A:$A,$A197,'Budget-ACPLGZ'!Y:Y)+SUMIF('Budget-Yixing'!$A:$A,$A197,'Budget-Yixing'!Y:Y)</f>
        <v>0</v>
      </c>
      <c r="Z197" s="688">
        <f ca="1">SUMIF('Budget-ACPL'!$A:$A,$A197,'Budget-ACPL'!Z:Z)+SUMIF('Budget-ACPLHK'!$A:$A,$A197,'Budget-ACPLHK'!Z:Z)+SUMIF('Budget-ACPSZL'!$A:$A,$A197,'Budget-ACPSZL'!Z:Z)+SUMIF('Budget-ACPLSZ'!$A:$A,$A197,'Budget-ACPLSZ'!Z:Z)+SUMIF('Budget-ACPLGZ'!$A:$A,$A197,'Budget-ACPLGZ'!Z:Z)+SUMIF('Budget-Yixing'!$A:$A,$A197,'Budget-Yixing'!Z:Z)</f>
        <v>36486</v>
      </c>
      <c r="AA197" s="688">
        <f ca="1">SUMIF('Budget-ACPL'!$A:$A,$A197,'Budget-ACPL'!AA:AA)+SUMIF('Budget-ACPLHK'!$A:$A,$A197,'Budget-ACPLHK'!AA:AA)+SUMIF('Budget-ACPSZL'!$A:$A,$A197,'Budget-ACPSZL'!AA:AA)+SUMIF('Budget-ACPLSZ'!$A:$A,$A197,'Budget-ACPLSZ'!AA:AA)+SUMIF('Budget-ACPLGZ'!$A:$A,$A197,'Budget-ACPLGZ'!AA:AA)+SUMIF('Budget-Yixing'!$A:$A,$A197,'Budget-Yixing'!AA:AA)</f>
        <v>0</v>
      </c>
      <c r="AB197" s="688">
        <f ca="1">SUMIF('Budget-ACPL'!$A:$A,$A197,'Budget-ACPL'!AB:AB)+SUMIF('Budget-ACPLHK'!$A:$A,$A197,'Budget-ACPLHK'!AB:AB)+SUMIF('Budget-ACPSZL'!$A:$A,$A197,'Budget-ACPSZL'!AB:AB)+SUMIF('Budget-ACPLSZ'!$A:$A,$A197,'Budget-ACPLSZ'!AB:AB)+SUMIF('Budget-ACPLGZ'!$A:$A,$A197,'Budget-ACPLGZ'!AB:AB)+SUMIF('Budget-Yixing'!$A:$A,$A197,'Budget-Yixing'!AB:AB)</f>
        <v>0</v>
      </c>
      <c r="AC197" s="688">
        <f ca="1">SUMIF('Budget-ACPL'!$A:$A,$A197,'Budget-ACPL'!AC:AC)+SUMIF('Budget-ACPLHK'!$A:$A,$A197,'Budget-ACPLHK'!AC:AC)+SUMIF('Budget-ACPSZL'!$A:$A,$A197,'Budget-ACPSZL'!AC:AC)+SUMIF('Budget-ACPLSZ'!$A:$A,$A197,'Budget-ACPLSZ'!AC:AC)+SUMIF('Budget-ACPLGZ'!$A:$A,$A197,'Budget-ACPLGZ'!AC:AC)+SUMIF('Budget-Yixing'!$A:$A,$A197,'Budget-Yixing'!AC:AC)</f>
        <v>0</v>
      </c>
      <c r="AD197" s="688">
        <f ca="1">SUMIF('Budget-ACPL'!$A:$A,$A197,'Budget-ACPL'!AD:AD)+SUMIF('Budget-ACPLHK'!$A:$A,$A197,'Budget-ACPLHK'!AD:AD)+SUMIF('Budget-ACPSZL'!$A:$A,$A197,'Budget-ACPSZL'!AD:AD)+SUMIF('Budget-ACPLSZ'!$A:$A,$A197,'Budget-ACPLSZ'!AD:AD)+SUMIF('Budget-ACPLGZ'!$A:$A,$A197,'Budget-ACPLGZ'!AD:AD)+SUMIF('Budget-Yixing'!$A:$A,$A197,'Budget-Yixing'!AD:AD)</f>
        <v>0</v>
      </c>
      <c r="AE197" s="688">
        <f ca="1">SUMIF('Budget-ACPL'!$A:$A,$A197,'Budget-ACPL'!AE:AE)+SUMIF('Budget-ACPLHK'!$A:$A,$A197,'Budget-ACPLHK'!AE:AE)+SUMIF('Budget-ACPSZL'!$A:$A,$A197,'Budget-ACPSZL'!AE:AE)+SUMIF('Budget-ACPLSZ'!$A:$A,$A197,'Budget-ACPLSZ'!AE:AE)+SUMIF('Budget-ACPLGZ'!$A:$A,$A197,'Budget-ACPLGZ'!AE:AE)+SUMIF('Budget-Yixing'!$A:$A,$A197,'Budget-Yixing'!AE:AE)</f>
        <v>0</v>
      </c>
      <c r="AF197" s="688">
        <f ca="1">SUMIF('Budget-ACPL'!$A:$A,$A197,'Budget-ACPL'!AF:AF)+SUMIF('Budget-ACPLHK'!$A:$A,$A197,'Budget-ACPLHK'!AF:AF)+SUMIF('Budget-ACPSZL'!$A:$A,$A197,'Budget-ACPSZL'!AF:AF)+SUMIF('Budget-ACPLSZ'!$A:$A,$A197,'Budget-ACPLSZ'!AF:AF)+SUMIF('Budget-ACPLGZ'!$A:$A,$A197,'Budget-ACPLGZ'!AF:AF)+SUMIF('Budget-Yixing'!$A:$A,$A197,'Budget-Yixing'!AF:AF)</f>
        <v>0</v>
      </c>
      <c r="AG197" s="688">
        <f ca="1">SUMIF('Budget-ACPL'!$A:$A,$A197,'Budget-ACPL'!AG:AG)+SUMIF('Budget-ACPLHK'!$A:$A,$A197,'Budget-ACPLHK'!AG:AG)+SUMIF('Budget-ACPSZL'!$A:$A,$A197,'Budget-ACPSZL'!AG:AG)+SUMIF('Budget-ACPLSZ'!$A:$A,$A197,'Budget-ACPLSZ'!AG:AG)+SUMIF('Budget-ACPLGZ'!$A:$A,$A197,'Budget-ACPLGZ'!AG:AG)+SUMIF('Budget-Yixing'!$A:$A,$A197,'Budget-Yixing'!AG:AG)</f>
        <v>0</v>
      </c>
      <c r="AH197" s="688">
        <f ca="1">SUMIF('Budget-ACPL'!$A:$A,$A197,'Budget-ACPL'!AH:AH)+SUMIF('Budget-ACPLHK'!$A:$A,$A197,'Budget-ACPLHK'!AH:AH)+SUMIF('Budget-ACPSZL'!$A:$A,$A197,'Budget-ACPSZL'!AH:AH)+SUMIF('Budget-ACPLSZ'!$A:$A,$A197,'Budget-ACPLSZ'!AH:AH)+SUMIF('Budget-ACPLGZ'!$A:$A,$A197,'Budget-ACPLGZ'!AH:AH)+SUMIF('Budget-Yixing'!$A:$A,$A197,'Budget-Yixing'!AH:AH)</f>
        <v>0</v>
      </c>
      <c r="AI197" s="688">
        <f ca="1">SUMIF('Budget-ACPL'!$A:$A,$A197,'Budget-ACPL'!AI:AI)+SUMIF('Budget-ACPLHK'!$A:$A,$A197,'Budget-ACPLHK'!AI:AI)+SUMIF('Budget-ACPSZL'!$A:$A,$A197,'Budget-ACPSZL'!AI:AI)+SUMIF('Budget-ACPLSZ'!$A:$A,$A197,'Budget-ACPLSZ'!AI:AI)+SUMIF('Budget-ACPLGZ'!$A:$A,$A197,'Budget-ACPLGZ'!AI:AI)+SUMIF('Budget-Yixing'!$A:$A,$A197,'Budget-Yixing'!AI:AI)</f>
        <v>0</v>
      </c>
      <c r="AJ197" s="688">
        <f ca="1">SUMIF('Budget-ACPL'!$A:$A,$A197,'Budget-ACPL'!AJ:AJ)+SUMIF('Budget-ACPLHK'!$A:$A,$A197,'Budget-ACPLHK'!AJ:AJ)+SUMIF('Budget-ACPSZL'!$A:$A,$A197,'Budget-ACPSZL'!AJ:AJ)+SUMIF('Budget-ACPLSZ'!$A:$A,$A197,'Budget-ACPLSZ'!AJ:AJ)+SUMIF('Budget-ACPLGZ'!$A:$A,$A197,'Budget-ACPLGZ'!AJ:AJ)+SUMIF('Budget-Yixing'!$A:$A,$A197,'Budget-Yixing'!AJ:AJ)</f>
        <v>0</v>
      </c>
      <c r="AK197" s="688">
        <f t="shared" ca="1" si="76"/>
        <v>36486</v>
      </c>
    </row>
    <row r="198" spans="1:37" ht="13.5" hidden="1" customHeight="1">
      <c r="A198" s="713" t="s">
        <v>2019</v>
      </c>
      <c r="B198" s="687" t="str">
        <f>VLOOKUP(A198,Account!A:B,2,0)</f>
        <v>以前年度损益调整</v>
      </c>
      <c r="C198" s="687">
        <f>VLOOKUP(A198,Account!A:F,4,0)</f>
        <v>0</v>
      </c>
      <c r="D198" s="676">
        <f t="shared" ca="1" si="74"/>
        <v>0</v>
      </c>
      <c r="E198" s="676" t="e">
        <f t="shared" si="68"/>
        <v>#N/A</v>
      </c>
      <c r="F198" s="676" t="e">
        <f t="shared" ca="1" si="69"/>
        <v>#N/A</v>
      </c>
      <c r="G198" s="676">
        <f t="shared" ca="1" si="75"/>
        <v>0</v>
      </c>
      <c r="H198" s="676" t="e">
        <f t="shared" ca="1" si="70"/>
        <v>#N/A</v>
      </c>
      <c r="I198" s="676" t="e">
        <f t="shared" ca="1" si="71"/>
        <v>#N/A</v>
      </c>
      <c r="K198" s="676">
        <f ca="1">SUMIF('Budget-ACPL'!$A:$A,$A198,'Budget-ACPL'!K:K)+SUMIF('Budget-ACPLHK'!$A:$A,$A198,'Budget-ACPLHK'!K:K)+SUMIF('Budget-ACPSZL'!$A:$A,$A198,'Budget-ACPSZL'!K:K)+SUMIF('Budget-ACPLSZ'!$A:$A,$A198,'Budget-ACPLSZ'!K:K)+SUMIF('Budget-ACPLGZ'!$A:$A,$A198,'Budget-ACPLGZ'!K:K)+SUMIF('Budget-Yixing'!$A:$A,$A198,'Budget-Yixing'!K:K)</f>
        <v>0</v>
      </c>
      <c r="L198" s="676">
        <f ca="1">SUMIF('Budget-ACPL'!$A:$A,$A198,'Budget-ACPL'!L:L)+SUMIF('Budget-ACPLHK'!$A:$A,$A198,'Budget-ACPLHK'!L:L)+SUMIF('Budget-ACPSZL'!$A:$A,$A198,'Budget-ACPSZL'!L:L)+SUMIF('Budget-ACPLSZ'!$A:$A,$A198,'Budget-ACPLSZ'!L:L)+SUMIF('Budget-ACPLGZ'!$A:$A,$A198,'Budget-ACPLGZ'!L:L)+SUMIF('Budget-Yixing'!$A:$A,$A198,'Budget-Yixing'!L:L)</f>
        <v>0</v>
      </c>
      <c r="M198" s="676">
        <f ca="1">SUMIF('Budget-ACPL'!$A:$A,$A198,'Budget-ACPL'!M:M)+SUMIF('Budget-ACPLHK'!$A:$A,$A198,'Budget-ACPLHK'!M:M)+SUMIF('Budget-ACPSZL'!$A:$A,$A198,'Budget-ACPSZL'!M:M)+SUMIF('Budget-ACPLSZ'!$A:$A,$A198,'Budget-ACPLSZ'!M:M)+SUMIF('Budget-ACPLGZ'!$A:$A,$A198,'Budget-ACPLGZ'!M:M)+SUMIF('Budget-Yixing'!$A:$A,$A198,'Budget-Yixing'!M:M)</f>
        <v>0</v>
      </c>
      <c r="N198" s="676">
        <f ca="1">SUMIF('Budget-ACPL'!$A:$A,$A198,'Budget-ACPL'!N:N)+SUMIF('Budget-ACPLHK'!$A:$A,$A198,'Budget-ACPLHK'!N:N)+SUMIF('Budget-ACPSZL'!$A:$A,$A198,'Budget-ACPSZL'!N:N)+SUMIF('Budget-ACPLSZ'!$A:$A,$A198,'Budget-ACPLSZ'!N:N)+SUMIF('Budget-ACPLGZ'!$A:$A,$A198,'Budget-ACPLGZ'!N:N)+SUMIF('Budget-Yixing'!$A:$A,$A198,'Budget-Yixing'!N:N)</f>
        <v>0</v>
      </c>
      <c r="O198" s="676">
        <f ca="1">SUMIF('Budget-ACPL'!$A:$A,$A198,'Budget-ACPL'!O:O)+SUMIF('Budget-ACPLHK'!$A:$A,$A198,'Budget-ACPLHK'!O:O)+SUMIF('Budget-ACPSZL'!$A:$A,$A198,'Budget-ACPSZL'!O:O)+SUMIF('Budget-ACPLSZ'!$A:$A,$A198,'Budget-ACPLSZ'!O:O)+SUMIF('Budget-ACPLGZ'!$A:$A,$A198,'Budget-ACPLGZ'!O:O)+SUMIF('Budget-Yixing'!$A:$A,$A198,'Budget-Yixing'!O:O)</f>
        <v>0</v>
      </c>
      <c r="P198" s="676">
        <f ca="1">SUMIF('Budget-ACPL'!$A:$A,$A198,'Budget-ACPL'!P:P)+SUMIF('Budget-ACPLHK'!$A:$A,$A198,'Budget-ACPLHK'!P:P)+SUMIF('Budget-ACPSZL'!$A:$A,$A198,'Budget-ACPSZL'!P:P)+SUMIF('Budget-ACPLSZ'!$A:$A,$A198,'Budget-ACPLSZ'!P:P)+SUMIF('Budget-ACPLGZ'!$A:$A,$A198,'Budget-ACPLGZ'!P:P)+SUMIF('Budget-Yixing'!$A:$A,$A198,'Budget-Yixing'!P:P)</f>
        <v>0</v>
      </c>
      <c r="Q198" s="676">
        <f ca="1">SUMIF('Budget-ACPL'!$A:$A,$A198,'Budget-ACPL'!Q:Q)+SUMIF('Budget-ACPLHK'!$A:$A,$A198,'Budget-ACPLHK'!Q:Q)+SUMIF('Budget-ACPSZL'!$A:$A,$A198,'Budget-ACPSZL'!Q:Q)+SUMIF('Budget-ACPLSZ'!$A:$A,$A198,'Budget-ACPLSZ'!Q:Q)+SUMIF('Budget-ACPLGZ'!$A:$A,$A198,'Budget-ACPLGZ'!Q:Q)+SUMIF('Budget-Yixing'!$A:$A,$A198,'Budget-Yixing'!Q:Q)</f>
        <v>0</v>
      </c>
      <c r="R198" s="676">
        <f ca="1">SUMIF('Budget-ACPL'!$A:$A,$A198,'Budget-ACPL'!R:R)+SUMIF('Budget-ACPLHK'!$A:$A,$A198,'Budget-ACPLHK'!R:R)+SUMIF('Budget-ACPSZL'!$A:$A,$A198,'Budget-ACPSZL'!R:R)+SUMIF('Budget-ACPLSZ'!$A:$A,$A198,'Budget-ACPLSZ'!R:R)+SUMIF('Budget-ACPLGZ'!$A:$A,$A198,'Budget-ACPLGZ'!R:R)+SUMIF('Budget-Yixing'!$A:$A,$A198,'Budget-Yixing'!R:R)</f>
        <v>0</v>
      </c>
      <c r="S198" s="676">
        <f ca="1">SUMIF('Budget-ACPL'!$A:$A,$A198,'Budget-ACPL'!S:S)+SUMIF('Budget-ACPLHK'!$A:$A,$A198,'Budget-ACPLHK'!S:S)+SUMIF('Budget-ACPSZL'!$A:$A,$A198,'Budget-ACPSZL'!S:S)+SUMIF('Budget-ACPLSZ'!$A:$A,$A198,'Budget-ACPLSZ'!S:S)+SUMIF('Budget-ACPLGZ'!$A:$A,$A198,'Budget-ACPLGZ'!S:S)+SUMIF('Budget-Yixing'!$A:$A,$A198,'Budget-Yixing'!S:S)</f>
        <v>0</v>
      </c>
      <c r="T198" s="676">
        <f ca="1">SUMIF('Budget-ACPL'!$A:$A,$A198,'Budget-ACPL'!T:T)+SUMIF('Budget-ACPLHK'!$A:$A,$A198,'Budget-ACPLHK'!T:T)+SUMIF('Budget-ACPSZL'!$A:$A,$A198,'Budget-ACPSZL'!T:T)+SUMIF('Budget-ACPLSZ'!$A:$A,$A198,'Budget-ACPLSZ'!T:T)+SUMIF('Budget-ACPLGZ'!$A:$A,$A198,'Budget-ACPLGZ'!T:T)+SUMIF('Budget-Yixing'!$A:$A,$A198,'Budget-Yixing'!T:T)</f>
        <v>0</v>
      </c>
      <c r="U198" s="676">
        <f ca="1">SUMIF('Budget-ACPL'!$A:$A,$A198,'Budget-ACPL'!U:U)+SUMIF('Budget-ACPLHK'!$A:$A,$A198,'Budget-ACPLHK'!U:U)+SUMIF('Budget-ACPSZL'!$A:$A,$A198,'Budget-ACPSZL'!U:U)+SUMIF('Budget-ACPLSZ'!$A:$A,$A198,'Budget-ACPLSZ'!U:U)+SUMIF('Budget-ACPLGZ'!$A:$A,$A198,'Budget-ACPLGZ'!U:U)+SUMIF('Budget-Yixing'!$A:$A,$A198,'Budget-Yixing'!U:U)</f>
        <v>0</v>
      </c>
      <c r="V198" s="676">
        <f ca="1">SUMIF('Budget-ACPL'!$A:$A,$A198,'Budget-ACPL'!V:V)+SUMIF('Budget-ACPLHK'!$A:$A,$A198,'Budget-ACPLHK'!V:V)+SUMIF('Budget-ACPSZL'!$A:$A,$A198,'Budget-ACPSZL'!V:V)+SUMIF('Budget-ACPLSZ'!$A:$A,$A198,'Budget-ACPLSZ'!V:V)+SUMIF('Budget-ACPLGZ'!$A:$A,$A198,'Budget-ACPLGZ'!V:V)+SUMIF('Budget-Yixing'!$A:$A,$A198,'Budget-Yixing'!V:V)</f>
        <v>0</v>
      </c>
      <c r="W198" s="676">
        <f t="shared" ca="1" si="77"/>
        <v>0</v>
      </c>
      <c r="Y198" s="688">
        <f ca="1">SUMIF('Budget-ACPL'!$A:$A,$A198,'Budget-ACPL'!Y:Y)+SUMIF('Budget-ACPLHK'!$A:$A,$A198,'Budget-ACPLHK'!Y:Y)+SUMIF('Budget-ACPSZL'!$A:$A,$A198,'Budget-ACPSZL'!Y:Y)+SUMIF('Budget-ACPLSZ'!$A:$A,$A198,'Budget-ACPLSZ'!Y:Y)+SUMIF('Budget-ACPLGZ'!$A:$A,$A198,'Budget-ACPLGZ'!Y:Y)+SUMIF('Budget-Yixing'!$A:$A,$A198,'Budget-Yixing'!Y:Y)</f>
        <v>0</v>
      </c>
      <c r="Z198" s="688">
        <f ca="1">SUMIF('Budget-ACPL'!$A:$A,$A198,'Budget-ACPL'!Z:Z)+SUMIF('Budget-ACPLHK'!$A:$A,$A198,'Budget-ACPLHK'!Z:Z)+SUMIF('Budget-ACPSZL'!$A:$A,$A198,'Budget-ACPSZL'!Z:Z)+SUMIF('Budget-ACPLSZ'!$A:$A,$A198,'Budget-ACPLSZ'!Z:Z)+SUMIF('Budget-ACPLGZ'!$A:$A,$A198,'Budget-ACPLGZ'!Z:Z)+SUMIF('Budget-Yixing'!$A:$A,$A198,'Budget-Yixing'!Z:Z)</f>
        <v>0</v>
      </c>
      <c r="AA198" s="688">
        <f ca="1">SUMIF('Budget-ACPL'!$A:$A,$A198,'Budget-ACPL'!AA:AA)+SUMIF('Budget-ACPLHK'!$A:$A,$A198,'Budget-ACPLHK'!AA:AA)+SUMIF('Budget-ACPSZL'!$A:$A,$A198,'Budget-ACPSZL'!AA:AA)+SUMIF('Budget-ACPLSZ'!$A:$A,$A198,'Budget-ACPLSZ'!AA:AA)+SUMIF('Budget-ACPLGZ'!$A:$A,$A198,'Budget-ACPLGZ'!AA:AA)+SUMIF('Budget-Yixing'!$A:$A,$A198,'Budget-Yixing'!AA:AA)</f>
        <v>0</v>
      </c>
      <c r="AB198" s="688">
        <f ca="1">SUMIF('Budget-ACPL'!$A:$A,$A198,'Budget-ACPL'!AB:AB)+SUMIF('Budget-ACPLHK'!$A:$A,$A198,'Budget-ACPLHK'!AB:AB)+SUMIF('Budget-ACPSZL'!$A:$A,$A198,'Budget-ACPSZL'!AB:AB)+SUMIF('Budget-ACPLSZ'!$A:$A,$A198,'Budget-ACPLSZ'!AB:AB)+SUMIF('Budget-ACPLGZ'!$A:$A,$A198,'Budget-ACPLGZ'!AB:AB)+SUMIF('Budget-Yixing'!$A:$A,$A198,'Budget-Yixing'!AB:AB)</f>
        <v>0</v>
      </c>
      <c r="AC198" s="688">
        <f ca="1">SUMIF('Budget-ACPL'!$A:$A,$A198,'Budget-ACPL'!AC:AC)+SUMIF('Budget-ACPLHK'!$A:$A,$A198,'Budget-ACPLHK'!AC:AC)+SUMIF('Budget-ACPSZL'!$A:$A,$A198,'Budget-ACPSZL'!AC:AC)+SUMIF('Budget-ACPLSZ'!$A:$A,$A198,'Budget-ACPLSZ'!AC:AC)+SUMIF('Budget-ACPLGZ'!$A:$A,$A198,'Budget-ACPLGZ'!AC:AC)+SUMIF('Budget-Yixing'!$A:$A,$A198,'Budget-Yixing'!AC:AC)</f>
        <v>0</v>
      </c>
      <c r="AD198" s="688">
        <f ca="1">SUMIF('Budget-ACPL'!$A:$A,$A198,'Budget-ACPL'!AD:AD)+SUMIF('Budget-ACPLHK'!$A:$A,$A198,'Budget-ACPLHK'!AD:AD)+SUMIF('Budget-ACPSZL'!$A:$A,$A198,'Budget-ACPSZL'!AD:AD)+SUMIF('Budget-ACPLSZ'!$A:$A,$A198,'Budget-ACPLSZ'!AD:AD)+SUMIF('Budget-ACPLGZ'!$A:$A,$A198,'Budget-ACPLGZ'!AD:AD)+SUMIF('Budget-Yixing'!$A:$A,$A198,'Budget-Yixing'!AD:AD)</f>
        <v>0</v>
      </c>
      <c r="AE198" s="688">
        <f ca="1">SUMIF('Budget-ACPL'!$A:$A,$A198,'Budget-ACPL'!AE:AE)+SUMIF('Budget-ACPLHK'!$A:$A,$A198,'Budget-ACPLHK'!AE:AE)+SUMIF('Budget-ACPSZL'!$A:$A,$A198,'Budget-ACPSZL'!AE:AE)+SUMIF('Budget-ACPLSZ'!$A:$A,$A198,'Budget-ACPLSZ'!AE:AE)+SUMIF('Budget-ACPLGZ'!$A:$A,$A198,'Budget-ACPLGZ'!AE:AE)+SUMIF('Budget-Yixing'!$A:$A,$A198,'Budget-Yixing'!AE:AE)</f>
        <v>0</v>
      </c>
      <c r="AF198" s="688">
        <f ca="1">SUMIF('Budget-ACPL'!$A:$A,$A198,'Budget-ACPL'!AF:AF)+SUMIF('Budget-ACPLHK'!$A:$A,$A198,'Budget-ACPLHK'!AF:AF)+SUMIF('Budget-ACPSZL'!$A:$A,$A198,'Budget-ACPSZL'!AF:AF)+SUMIF('Budget-ACPLSZ'!$A:$A,$A198,'Budget-ACPLSZ'!AF:AF)+SUMIF('Budget-ACPLGZ'!$A:$A,$A198,'Budget-ACPLGZ'!AF:AF)+SUMIF('Budget-Yixing'!$A:$A,$A198,'Budget-Yixing'!AF:AF)</f>
        <v>0</v>
      </c>
      <c r="AG198" s="688">
        <f ca="1">SUMIF('Budget-ACPL'!$A:$A,$A198,'Budget-ACPL'!AG:AG)+SUMIF('Budget-ACPLHK'!$A:$A,$A198,'Budget-ACPLHK'!AG:AG)+SUMIF('Budget-ACPSZL'!$A:$A,$A198,'Budget-ACPSZL'!AG:AG)+SUMIF('Budget-ACPLSZ'!$A:$A,$A198,'Budget-ACPLSZ'!AG:AG)+SUMIF('Budget-ACPLGZ'!$A:$A,$A198,'Budget-ACPLGZ'!AG:AG)+SUMIF('Budget-Yixing'!$A:$A,$A198,'Budget-Yixing'!AG:AG)</f>
        <v>0</v>
      </c>
      <c r="AH198" s="688">
        <f ca="1">SUMIF('Budget-ACPL'!$A:$A,$A198,'Budget-ACPL'!AH:AH)+SUMIF('Budget-ACPLHK'!$A:$A,$A198,'Budget-ACPLHK'!AH:AH)+SUMIF('Budget-ACPSZL'!$A:$A,$A198,'Budget-ACPSZL'!AH:AH)+SUMIF('Budget-ACPLSZ'!$A:$A,$A198,'Budget-ACPLSZ'!AH:AH)+SUMIF('Budget-ACPLGZ'!$A:$A,$A198,'Budget-ACPLGZ'!AH:AH)+SUMIF('Budget-Yixing'!$A:$A,$A198,'Budget-Yixing'!AH:AH)</f>
        <v>0</v>
      </c>
      <c r="AI198" s="688">
        <f ca="1">SUMIF('Budget-ACPL'!$A:$A,$A198,'Budget-ACPL'!AI:AI)+SUMIF('Budget-ACPLHK'!$A:$A,$A198,'Budget-ACPLHK'!AI:AI)+SUMIF('Budget-ACPSZL'!$A:$A,$A198,'Budget-ACPSZL'!AI:AI)+SUMIF('Budget-ACPLSZ'!$A:$A,$A198,'Budget-ACPLSZ'!AI:AI)+SUMIF('Budget-ACPLGZ'!$A:$A,$A198,'Budget-ACPLGZ'!AI:AI)+SUMIF('Budget-Yixing'!$A:$A,$A198,'Budget-Yixing'!AI:AI)</f>
        <v>0</v>
      </c>
      <c r="AJ198" s="688">
        <f ca="1">SUMIF('Budget-ACPL'!$A:$A,$A198,'Budget-ACPL'!AJ:AJ)+SUMIF('Budget-ACPLHK'!$A:$A,$A198,'Budget-ACPLHK'!AJ:AJ)+SUMIF('Budget-ACPSZL'!$A:$A,$A198,'Budget-ACPSZL'!AJ:AJ)+SUMIF('Budget-ACPLSZ'!$A:$A,$A198,'Budget-ACPLSZ'!AJ:AJ)+SUMIF('Budget-ACPLGZ'!$A:$A,$A198,'Budget-ACPLGZ'!AJ:AJ)+SUMIF('Budget-Yixing'!$A:$A,$A198,'Budget-Yixing'!AJ:AJ)</f>
        <v>0</v>
      </c>
      <c r="AK198" s="688">
        <f t="shared" ca="1" si="76"/>
        <v>0</v>
      </c>
    </row>
    <row r="199" spans="1:37" ht="13.5" hidden="1" customHeight="1">
      <c r="A199" s="713"/>
      <c r="B199" s="649" t="s">
        <v>2094</v>
      </c>
      <c r="C199" s="649"/>
      <c r="D199" s="674">
        <f t="shared" ca="1" si="74"/>
        <v>0</v>
      </c>
      <c r="E199" s="674" t="e">
        <f t="shared" si="68"/>
        <v>#N/A</v>
      </c>
      <c r="F199" s="674" t="e">
        <f t="shared" ref="F199:F205" ca="1" si="78">D199-E199</f>
        <v>#N/A</v>
      </c>
      <c r="G199" s="674">
        <f t="shared" ca="1" si="75"/>
        <v>0</v>
      </c>
      <c r="H199" s="674" t="e">
        <f t="shared" ca="1" si="70"/>
        <v>#N/A</v>
      </c>
      <c r="I199" s="674" t="e">
        <f t="shared" ref="I199:I205" ca="1" si="79">G199-H199</f>
        <v>#N/A</v>
      </c>
      <c r="K199" s="719">
        <f ca="1">-SUM(K193:K198)+K187</f>
        <v>0</v>
      </c>
      <c r="L199" s="719">
        <f t="shared" ref="L199:W199" ca="1" si="80">-SUM(L193:L198)+L187</f>
        <v>0</v>
      </c>
      <c r="M199" s="719">
        <f t="shared" ca="1" si="80"/>
        <v>0</v>
      </c>
      <c r="N199" s="719">
        <f t="shared" ca="1" si="80"/>
        <v>0</v>
      </c>
      <c r="O199" s="719">
        <f t="shared" ca="1" si="80"/>
        <v>0</v>
      </c>
      <c r="P199" s="719">
        <f t="shared" ca="1" si="80"/>
        <v>0</v>
      </c>
      <c r="Q199" s="719">
        <f t="shared" ca="1" si="80"/>
        <v>0</v>
      </c>
      <c r="R199" s="719">
        <f t="shared" ca="1" si="80"/>
        <v>0</v>
      </c>
      <c r="S199" s="719">
        <f t="shared" ca="1" si="80"/>
        <v>0</v>
      </c>
      <c r="T199" s="719">
        <f t="shared" ca="1" si="80"/>
        <v>0</v>
      </c>
      <c r="U199" s="719">
        <f t="shared" ca="1" si="80"/>
        <v>0</v>
      </c>
      <c r="V199" s="719">
        <f t="shared" ca="1" si="80"/>
        <v>0</v>
      </c>
      <c r="W199" s="719">
        <f t="shared" ca="1" si="80"/>
        <v>0</v>
      </c>
      <c r="Y199" s="677">
        <f t="shared" ref="Y199:AK199" ca="1" si="81">Y187-Y193-Y194-Y195-Y198</f>
        <v>1131.28</v>
      </c>
      <c r="Z199" s="677">
        <f t="shared" ca="1" si="81"/>
        <v>-36486</v>
      </c>
      <c r="AA199" s="677">
        <f t="shared" ca="1" si="81"/>
        <v>0</v>
      </c>
      <c r="AB199" s="677">
        <f t="shared" ca="1" si="81"/>
        <v>0</v>
      </c>
      <c r="AC199" s="677">
        <f t="shared" ca="1" si="81"/>
        <v>0</v>
      </c>
      <c r="AD199" s="677">
        <f t="shared" ca="1" si="81"/>
        <v>0</v>
      </c>
      <c r="AE199" s="677">
        <f t="shared" ca="1" si="81"/>
        <v>0</v>
      </c>
      <c r="AF199" s="677">
        <f t="shared" ca="1" si="81"/>
        <v>0</v>
      </c>
      <c r="AG199" s="677">
        <f t="shared" ca="1" si="81"/>
        <v>0</v>
      </c>
      <c r="AH199" s="677">
        <f t="shared" ca="1" si="81"/>
        <v>0</v>
      </c>
      <c r="AI199" s="677">
        <f t="shared" ca="1" si="81"/>
        <v>0</v>
      </c>
      <c r="AJ199" s="677">
        <f t="shared" ca="1" si="81"/>
        <v>0</v>
      </c>
      <c r="AK199" s="677">
        <f t="shared" ca="1" si="81"/>
        <v>-35354.720000000001</v>
      </c>
    </row>
    <row r="200" spans="1:37" ht="13.5" customHeight="1">
      <c r="A200" s="713"/>
      <c r="K200" s="654"/>
      <c r="L200" s="654"/>
      <c r="M200" s="654"/>
      <c r="N200" s="654"/>
      <c r="O200" s="654"/>
      <c r="P200" s="654"/>
      <c r="Q200" s="654"/>
      <c r="R200" s="654"/>
      <c r="S200" s="654"/>
      <c r="T200" s="654"/>
      <c r="U200" s="654"/>
      <c r="V200" s="654"/>
      <c r="W200" s="654"/>
    </row>
    <row r="201" spans="1:37" ht="13.5" customHeight="1">
      <c r="A201" s="713"/>
      <c r="B201" s="686" t="s">
        <v>2095</v>
      </c>
      <c r="C201" s="686"/>
      <c r="D201" s="674">
        <f ca="1">INDEX($K201:$W201,1,MATCH(D$6,$K$6:$W$6))</f>
        <v>-1903170.1261608808</v>
      </c>
      <c r="E201" s="674" t="e">
        <f t="shared" ref="E201:E205" si="82">INDEX($Y201:$AJ201,1,MATCH(E$6,$Y$6:$AJ$6))</f>
        <v>#N/A</v>
      </c>
      <c r="F201" s="674" t="e">
        <f t="shared" ca="1" si="78"/>
        <v>#N/A</v>
      </c>
      <c r="G201" s="674">
        <f ca="1">SUM($K201:OFFSET($K201,0,MATCH(G$6,$K$6:$W$6)-1))</f>
        <v>-1903170.1261608808</v>
      </c>
      <c r="H201" s="674" t="e">
        <f ca="1">SUM($Y201:OFFSET($Y201,0,MATCH(H$6,$Y$6:$AJ$6)-1))</f>
        <v>#N/A</v>
      </c>
      <c r="I201" s="674" t="e">
        <f t="shared" ca="1" si="79"/>
        <v>#N/A</v>
      </c>
      <c r="K201" s="674">
        <f ca="1">K185+K199</f>
        <v>-1903170.1261608808</v>
      </c>
      <c r="L201" s="674">
        <f t="shared" ref="L201:W201" ca="1" si="83">L185+L199</f>
        <v>-1963846.362363389</v>
      </c>
      <c r="M201" s="674">
        <f t="shared" ca="1" si="83"/>
        <v>-1851464.0739513892</v>
      </c>
      <c r="N201" s="674">
        <f t="shared" ca="1" si="83"/>
        <v>-3849671.847981635</v>
      </c>
      <c r="O201" s="674">
        <f t="shared" ca="1" si="83"/>
        <v>445817.23590760026</v>
      </c>
      <c r="P201" s="674">
        <f t="shared" ca="1" si="83"/>
        <v>-2478095.3812825517</v>
      </c>
      <c r="Q201" s="674">
        <f t="shared" ca="1" si="83"/>
        <v>-563680.86140263581</v>
      </c>
      <c r="R201" s="674">
        <f t="shared" ca="1" si="83"/>
        <v>-2283562.5140740555</v>
      </c>
      <c r="S201" s="674">
        <f t="shared" ca="1" si="83"/>
        <v>-2431034.5830220557</v>
      </c>
      <c r="T201" s="674">
        <f t="shared" ca="1" si="83"/>
        <v>1246274.3962123054</v>
      </c>
      <c r="U201" s="674">
        <f t="shared" ca="1" si="83"/>
        <v>-2282704.0053700558</v>
      </c>
      <c r="V201" s="674">
        <f t="shared" ca="1" si="83"/>
        <v>-3960377.407906746</v>
      </c>
      <c r="W201" s="674">
        <f t="shared" ca="1" si="83"/>
        <v>-21875515.531395491</v>
      </c>
      <c r="Y201" s="677">
        <f t="shared" ref="Y201:AK201" ca="1" si="84">Y185+Y199</f>
        <v>-755833.65999999968</v>
      </c>
      <c r="Z201" s="677">
        <f t="shared" ca="1" si="84"/>
        <v>-1639063.5799999996</v>
      </c>
      <c r="AA201" s="677">
        <f t="shared" ca="1" si="84"/>
        <v>-1842719.67</v>
      </c>
      <c r="AB201" s="677">
        <f t="shared" ca="1" si="84"/>
        <v>-1183805.6299999999</v>
      </c>
      <c r="AC201" s="677">
        <f t="shared" ca="1" si="84"/>
        <v>-556394.35000000033</v>
      </c>
      <c r="AD201" s="677">
        <f t="shared" ca="1" si="84"/>
        <v>-2501538.48</v>
      </c>
      <c r="AE201" s="677">
        <f t="shared" ca="1" si="84"/>
        <v>-1744194.1000000003</v>
      </c>
      <c r="AF201" s="677">
        <f t="shared" ca="1" si="84"/>
        <v>-2036815.44</v>
      </c>
      <c r="AG201" s="677">
        <f t="shared" ca="1" si="84"/>
        <v>-2143834.6399999997</v>
      </c>
      <c r="AH201" s="677">
        <f t="shared" ca="1" si="84"/>
        <v>-2876836.6199999996</v>
      </c>
      <c r="AI201" s="677">
        <f t="shared" ca="1" si="84"/>
        <v>-1726399.03</v>
      </c>
      <c r="AJ201" s="677">
        <f t="shared" ca="1" si="84"/>
        <v>-2239972.85</v>
      </c>
      <c r="AK201" s="677">
        <f t="shared" ca="1" si="84"/>
        <v>-21247408.050000001</v>
      </c>
    </row>
    <row r="202" spans="1:37" ht="13.5" customHeight="1">
      <c r="A202" s="713"/>
      <c r="B202" s="649"/>
      <c r="C202" s="649"/>
      <c r="D202" s="674"/>
      <c r="E202" s="674"/>
      <c r="F202" s="674"/>
      <c r="G202" s="674"/>
      <c r="H202" s="674"/>
      <c r="I202" s="674"/>
      <c r="K202" s="674"/>
      <c r="L202" s="674"/>
      <c r="M202" s="674"/>
      <c r="N202" s="674"/>
      <c r="O202" s="674"/>
      <c r="P202" s="674"/>
      <c r="Q202" s="674"/>
      <c r="R202" s="674"/>
      <c r="S202" s="674"/>
      <c r="T202" s="674"/>
      <c r="U202" s="674"/>
      <c r="V202" s="674"/>
      <c r="W202" s="674"/>
    </row>
    <row r="203" spans="1:37" ht="13.5" hidden="1" customHeight="1">
      <c r="A203" s="653" t="s">
        <v>2026</v>
      </c>
      <c r="B203" s="687" t="str">
        <f>VLOOKUP(A203,Account!A:B,2,0)</f>
        <v>当期所得税费用</v>
      </c>
      <c r="C203" s="687" t="str">
        <f>VLOOKUP(A203,Account!A:F,4,0)</f>
        <v>Enterprise Income Tax</v>
      </c>
      <c r="D203" s="676">
        <f t="shared" ref="D203:D205" ca="1" si="85">INDEX($K203:$W203,1,MATCH(D$6,$K$6:$W$6))</f>
        <v>0</v>
      </c>
      <c r="E203" s="676" t="e">
        <f t="shared" si="82"/>
        <v>#N/A</v>
      </c>
      <c r="F203" s="676" t="e">
        <f t="shared" ca="1" si="78"/>
        <v>#N/A</v>
      </c>
      <c r="G203" s="676">
        <f t="shared" ref="G203:G205" ca="1" si="86">SUM($K203:OFFSET($K203,0,MATCH(G$6,$K$6:$W$6)-1))</f>
        <v>0</v>
      </c>
      <c r="H203" s="676" t="e">
        <f t="shared" ref="H203:H205" ca="1" si="87">SUM($Y203:OFFSET($Y203,0,MATCH(H$6,$Y$6:$AJ$6)-1))</f>
        <v>#N/A</v>
      </c>
      <c r="I203" s="676" t="e">
        <f t="shared" ca="1" si="79"/>
        <v>#N/A</v>
      </c>
      <c r="K203" s="676">
        <f ca="1">SUMIF('Budget-ACPL'!$A:$A,$A203,'Budget-ACPL'!K:K)+SUMIF('Budget-ACPLHK'!$A:$A,$A203,'Budget-ACPLHK'!K:K)+SUMIF('Budget-ACPSZL'!$A:$A,$A203,'Budget-ACPSZL'!K:K)+SUMIF('Budget-ACPLSZ'!$A:$A,$A203,'Budget-ACPLSZ'!K:K)+SUMIF('Budget-ACPLGZ'!$A:$A,$A203,'Budget-ACPLGZ'!K:K)+SUMIF('Budget-Yixing'!$A:$A,$A203,'Budget-Yixing'!K:K)</f>
        <v>0</v>
      </c>
      <c r="L203" s="676">
        <f ca="1">SUMIF('Budget-ACPL'!$A:$A,$A203,'Budget-ACPL'!L:L)+SUMIF('Budget-ACPLHK'!$A:$A,$A203,'Budget-ACPLHK'!L:L)+SUMIF('Budget-ACPSZL'!$A:$A,$A203,'Budget-ACPSZL'!L:L)+SUMIF('Budget-ACPLSZ'!$A:$A,$A203,'Budget-ACPLSZ'!L:L)+SUMIF('Budget-ACPLGZ'!$A:$A,$A203,'Budget-ACPLGZ'!L:L)+SUMIF('Budget-Yixing'!$A:$A,$A203,'Budget-Yixing'!L:L)</f>
        <v>0</v>
      </c>
      <c r="M203" s="676">
        <f ca="1">SUMIF('Budget-ACPL'!$A:$A,$A203,'Budget-ACPL'!M:M)+SUMIF('Budget-ACPLHK'!$A:$A,$A203,'Budget-ACPLHK'!M:M)+SUMIF('Budget-ACPSZL'!$A:$A,$A203,'Budget-ACPSZL'!M:M)+SUMIF('Budget-ACPLSZ'!$A:$A,$A203,'Budget-ACPLSZ'!M:M)+SUMIF('Budget-ACPLGZ'!$A:$A,$A203,'Budget-ACPLGZ'!M:M)+SUMIF('Budget-Yixing'!$A:$A,$A203,'Budget-Yixing'!M:M)</f>
        <v>0</v>
      </c>
      <c r="N203" s="676">
        <f ca="1">SUMIF('Budget-ACPL'!$A:$A,$A203,'Budget-ACPL'!N:N)+SUMIF('Budget-ACPLHK'!$A:$A,$A203,'Budget-ACPLHK'!N:N)+SUMIF('Budget-ACPSZL'!$A:$A,$A203,'Budget-ACPSZL'!N:N)+SUMIF('Budget-ACPLSZ'!$A:$A,$A203,'Budget-ACPLSZ'!N:N)+SUMIF('Budget-ACPLGZ'!$A:$A,$A203,'Budget-ACPLGZ'!N:N)+SUMIF('Budget-Yixing'!$A:$A,$A203,'Budget-Yixing'!N:N)</f>
        <v>0</v>
      </c>
      <c r="O203" s="676">
        <f ca="1">SUMIF('Budget-ACPL'!$A:$A,$A203,'Budget-ACPL'!O:O)+SUMIF('Budget-ACPLHK'!$A:$A,$A203,'Budget-ACPLHK'!O:O)+SUMIF('Budget-ACPSZL'!$A:$A,$A203,'Budget-ACPSZL'!O:O)+SUMIF('Budget-ACPLSZ'!$A:$A,$A203,'Budget-ACPLSZ'!O:O)+SUMIF('Budget-ACPLGZ'!$A:$A,$A203,'Budget-ACPLGZ'!O:O)+SUMIF('Budget-Yixing'!$A:$A,$A203,'Budget-Yixing'!O:O)</f>
        <v>0</v>
      </c>
      <c r="P203" s="676">
        <f ca="1">SUMIF('Budget-ACPL'!$A:$A,$A203,'Budget-ACPL'!P:P)+SUMIF('Budget-ACPLHK'!$A:$A,$A203,'Budget-ACPLHK'!P:P)+SUMIF('Budget-ACPSZL'!$A:$A,$A203,'Budget-ACPSZL'!P:P)+SUMIF('Budget-ACPLSZ'!$A:$A,$A203,'Budget-ACPLSZ'!P:P)+SUMIF('Budget-ACPLGZ'!$A:$A,$A203,'Budget-ACPLGZ'!P:P)+SUMIF('Budget-Yixing'!$A:$A,$A203,'Budget-Yixing'!P:P)</f>
        <v>0</v>
      </c>
      <c r="Q203" s="676">
        <f ca="1">SUMIF('Budget-ACPL'!$A:$A,$A203,'Budget-ACPL'!Q:Q)+SUMIF('Budget-ACPLHK'!$A:$A,$A203,'Budget-ACPLHK'!Q:Q)+SUMIF('Budget-ACPSZL'!$A:$A,$A203,'Budget-ACPSZL'!Q:Q)+SUMIF('Budget-ACPLSZ'!$A:$A,$A203,'Budget-ACPLSZ'!Q:Q)+SUMIF('Budget-ACPLGZ'!$A:$A,$A203,'Budget-ACPLGZ'!Q:Q)+SUMIF('Budget-Yixing'!$A:$A,$A203,'Budget-Yixing'!Q:Q)</f>
        <v>0</v>
      </c>
      <c r="R203" s="676">
        <f ca="1">SUMIF('Budget-ACPL'!$A:$A,$A203,'Budget-ACPL'!R:R)+SUMIF('Budget-ACPLHK'!$A:$A,$A203,'Budget-ACPLHK'!R:R)+SUMIF('Budget-ACPSZL'!$A:$A,$A203,'Budget-ACPSZL'!R:R)+SUMIF('Budget-ACPLSZ'!$A:$A,$A203,'Budget-ACPLSZ'!R:R)+SUMIF('Budget-ACPLGZ'!$A:$A,$A203,'Budget-ACPLGZ'!R:R)+SUMIF('Budget-Yixing'!$A:$A,$A203,'Budget-Yixing'!R:R)</f>
        <v>0</v>
      </c>
      <c r="S203" s="676">
        <f ca="1">SUMIF('Budget-ACPL'!$A:$A,$A203,'Budget-ACPL'!S:S)+SUMIF('Budget-ACPLHK'!$A:$A,$A203,'Budget-ACPLHK'!S:S)+SUMIF('Budget-ACPSZL'!$A:$A,$A203,'Budget-ACPSZL'!S:S)+SUMIF('Budget-ACPLSZ'!$A:$A,$A203,'Budget-ACPLSZ'!S:S)+SUMIF('Budget-ACPLGZ'!$A:$A,$A203,'Budget-ACPLGZ'!S:S)+SUMIF('Budget-Yixing'!$A:$A,$A203,'Budget-Yixing'!S:S)</f>
        <v>0</v>
      </c>
      <c r="T203" s="676">
        <f ca="1">SUMIF('Budget-ACPL'!$A:$A,$A203,'Budget-ACPL'!T:T)+SUMIF('Budget-ACPLHK'!$A:$A,$A203,'Budget-ACPLHK'!T:T)+SUMIF('Budget-ACPSZL'!$A:$A,$A203,'Budget-ACPSZL'!T:T)+SUMIF('Budget-ACPLSZ'!$A:$A,$A203,'Budget-ACPLSZ'!T:T)+SUMIF('Budget-ACPLGZ'!$A:$A,$A203,'Budget-ACPLGZ'!T:T)+SUMIF('Budget-Yixing'!$A:$A,$A203,'Budget-Yixing'!T:T)</f>
        <v>0</v>
      </c>
      <c r="U203" s="676">
        <f ca="1">SUMIF('Budget-ACPL'!$A:$A,$A203,'Budget-ACPL'!U:U)+SUMIF('Budget-ACPLHK'!$A:$A,$A203,'Budget-ACPLHK'!U:U)+SUMIF('Budget-ACPSZL'!$A:$A,$A203,'Budget-ACPSZL'!U:U)+SUMIF('Budget-ACPLSZ'!$A:$A,$A203,'Budget-ACPLSZ'!U:U)+SUMIF('Budget-ACPLGZ'!$A:$A,$A203,'Budget-ACPLGZ'!U:U)+SUMIF('Budget-Yixing'!$A:$A,$A203,'Budget-Yixing'!U:U)</f>
        <v>0</v>
      </c>
      <c r="V203" s="676">
        <f ca="1">SUMIF('Budget-ACPL'!$A:$A,$A203,'Budget-ACPL'!V:V)+SUMIF('Budget-ACPLHK'!$A:$A,$A203,'Budget-ACPLHK'!V:V)+SUMIF('Budget-ACPSZL'!$A:$A,$A203,'Budget-ACPSZL'!V:V)+SUMIF('Budget-ACPLSZ'!$A:$A,$A203,'Budget-ACPLSZ'!V:V)+SUMIF('Budget-ACPLGZ'!$A:$A,$A203,'Budget-ACPLGZ'!V:V)+SUMIF('Budget-Yixing'!$A:$A,$A203,'Budget-Yixing'!V:V)</f>
        <v>0</v>
      </c>
      <c r="W203" s="676">
        <f ca="1">SUM(K203:V203)</f>
        <v>0</v>
      </c>
      <c r="Y203" s="688">
        <f ca="1">SUMIF('Budget-ACPL'!$A:$A,$A203,'Budget-ACPL'!Y:Y)+SUMIF('Budget-ACPLHK'!$A:$A,$A203,'Budget-ACPLHK'!Y:Y)+SUMIF('Budget-ACPSZL'!$A:$A,$A203,'Budget-ACPSZL'!Y:Y)+SUMIF('Budget-ACPLSZ'!$A:$A,$A203,'Budget-ACPLSZ'!Y:Y)+SUMIF('Budget-ACPLGZ'!$A:$A,$A203,'Budget-ACPLGZ'!Y:Y)+SUMIF('Budget-Yixing'!$A:$A,$A203,'Budget-Yixing'!Y:Y)</f>
        <v>0</v>
      </c>
      <c r="Z203" s="688">
        <f ca="1">SUMIF('Budget-ACPL'!$A:$A,$A203,'Budget-ACPL'!Z:Z)+SUMIF('Budget-ACPLHK'!$A:$A,$A203,'Budget-ACPLHK'!Z:Z)+SUMIF('Budget-ACPSZL'!$A:$A,$A203,'Budget-ACPSZL'!Z:Z)+SUMIF('Budget-ACPLSZ'!$A:$A,$A203,'Budget-ACPLSZ'!Z:Z)+SUMIF('Budget-ACPLGZ'!$A:$A,$A203,'Budget-ACPLGZ'!Z:Z)+SUMIF('Budget-Yixing'!$A:$A,$A203,'Budget-Yixing'!Z:Z)</f>
        <v>0</v>
      </c>
      <c r="AA203" s="688">
        <f ca="1">SUMIF('Budget-ACPL'!$A:$A,$A203,'Budget-ACPL'!AA:AA)+SUMIF('Budget-ACPLHK'!$A:$A,$A203,'Budget-ACPLHK'!AA:AA)+SUMIF('Budget-ACPSZL'!$A:$A,$A203,'Budget-ACPSZL'!AA:AA)+SUMIF('Budget-ACPLSZ'!$A:$A,$A203,'Budget-ACPLSZ'!AA:AA)+SUMIF('Budget-ACPLGZ'!$A:$A,$A203,'Budget-ACPLGZ'!AA:AA)+SUMIF('Budget-Yixing'!$A:$A,$A203,'Budget-Yixing'!AA:AA)</f>
        <v>3909.12</v>
      </c>
      <c r="AB203" s="688">
        <f ca="1">SUMIF('Budget-ACPL'!$A:$A,$A203,'Budget-ACPL'!AB:AB)+SUMIF('Budget-ACPLHK'!$A:$A,$A203,'Budget-ACPLHK'!AB:AB)+SUMIF('Budget-ACPSZL'!$A:$A,$A203,'Budget-ACPSZL'!AB:AB)+SUMIF('Budget-ACPLSZ'!$A:$A,$A203,'Budget-ACPLSZ'!AB:AB)+SUMIF('Budget-ACPLGZ'!$A:$A,$A203,'Budget-ACPLGZ'!AB:AB)+SUMIF('Budget-Yixing'!$A:$A,$A203,'Budget-Yixing'!AB:AB)</f>
        <v>0</v>
      </c>
      <c r="AC203" s="688">
        <f ca="1">SUMIF('Budget-ACPL'!$A:$A,$A203,'Budget-ACPL'!AC:AC)+SUMIF('Budget-ACPLHK'!$A:$A,$A203,'Budget-ACPLHK'!AC:AC)+SUMIF('Budget-ACPSZL'!$A:$A,$A203,'Budget-ACPSZL'!AC:AC)+SUMIF('Budget-ACPLSZ'!$A:$A,$A203,'Budget-ACPLSZ'!AC:AC)+SUMIF('Budget-ACPLGZ'!$A:$A,$A203,'Budget-ACPLGZ'!AC:AC)+SUMIF('Budget-Yixing'!$A:$A,$A203,'Budget-Yixing'!AC:AC)</f>
        <v>0</v>
      </c>
      <c r="AD203" s="688">
        <f ca="1">SUMIF('Budget-ACPL'!$A:$A,$A203,'Budget-ACPL'!AD:AD)+SUMIF('Budget-ACPLHK'!$A:$A,$A203,'Budget-ACPLHK'!AD:AD)+SUMIF('Budget-ACPSZL'!$A:$A,$A203,'Budget-ACPSZL'!AD:AD)+SUMIF('Budget-ACPLSZ'!$A:$A,$A203,'Budget-ACPLSZ'!AD:AD)+SUMIF('Budget-ACPLGZ'!$A:$A,$A203,'Budget-ACPLGZ'!AD:AD)+SUMIF('Budget-Yixing'!$A:$A,$A203,'Budget-Yixing'!AD:AD)</f>
        <v>0</v>
      </c>
      <c r="AE203" s="688">
        <f ca="1">SUMIF('Budget-ACPL'!$A:$A,$A203,'Budget-ACPL'!AE:AE)+SUMIF('Budget-ACPLHK'!$A:$A,$A203,'Budget-ACPLHK'!AE:AE)+SUMIF('Budget-ACPSZL'!$A:$A,$A203,'Budget-ACPSZL'!AE:AE)+SUMIF('Budget-ACPLSZ'!$A:$A,$A203,'Budget-ACPLSZ'!AE:AE)+SUMIF('Budget-ACPLGZ'!$A:$A,$A203,'Budget-ACPLGZ'!AE:AE)+SUMIF('Budget-Yixing'!$A:$A,$A203,'Budget-Yixing'!AE:AE)</f>
        <v>0</v>
      </c>
      <c r="AF203" s="688">
        <f ca="1">SUMIF('Budget-ACPL'!$A:$A,$A203,'Budget-ACPL'!AF:AF)+SUMIF('Budget-ACPLHK'!$A:$A,$A203,'Budget-ACPLHK'!AF:AF)+SUMIF('Budget-ACPSZL'!$A:$A,$A203,'Budget-ACPSZL'!AF:AF)+SUMIF('Budget-ACPLSZ'!$A:$A,$A203,'Budget-ACPLSZ'!AF:AF)+SUMIF('Budget-ACPLGZ'!$A:$A,$A203,'Budget-ACPLGZ'!AF:AF)+SUMIF('Budget-Yixing'!$A:$A,$A203,'Budget-Yixing'!AF:AF)</f>
        <v>0</v>
      </c>
      <c r="AG203" s="688">
        <f ca="1">SUMIF('Budget-ACPL'!$A:$A,$A203,'Budget-ACPL'!AG:AG)+SUMIF('Budget-ACPLHK'!$A:$A,$A203,'Budget-ACPLHK'!AG:AG)+SUMIF('Budget-ACPSZL'!$A:$A,$A203,'Budget-ACPSZL'!AG:AG)+SUMIF('Budget-ACPLSZ'!$A:$A,$A203,'Budget-ACPLSZ'!AG:AG)+SUMIF('Budget-ACPLGZ'!$A:$A,$A203,'Budget-ACPLGZ'!AG:AG)+SUMIF('Budget-Yixing'!$A:$A,$A203,'Budget-Yixing'!AG:AG)</f>
        <v>0</v>
      </c>
      <c r="AH203" s="688">
        <f ca="1">SUMIF('Budget-ACPL'!$A:$A,$A203,'Budget-ACPL'!AH:AH)+SUMIF('Budget-ACPLHK'!$A:$A,$A203,'Budget-ACPLHK'!AH:AH)+SUMIF('Budget-ACPSZL'!$A:$A,$A203,'Budget-ACPSZL'!AH:AH)+SUMIF('Budget-ACPLSZ'!$A:$A,$A203,'Budget-ACPLSZ'!AH:AH)+SUMIF('Budget-ACPLGZ'!$A:$A,$A203,'Budget-ACPLGZ'!AH:AH)+SUMIF('Budget-Yixing'!$A:$A,$A203,'Budget-Yixing'!AH:AH)</f>
        <v>0</v>
      </c>
      <c r="AI203" s="688">
        <f ca="1">SUMIF('Budget-ACPL'!$A:$A,$A203,'Budget-ACPL'!AI:AI)+SUMIF('Budget-ACPLHK'!$A:$A,$A203,'Budget-ACPLHK'!AI:AI)+SUMIF('Budget-ACPSZL'!$A:$A,$A203,'Budget-ACPSZL'!AI:AI)+SUMIF('Budget-ACPLSZ'!$A:$A,$A203,'Budget-ACPLSZ'!AI:AI)+SUMIF('Budget-ACPLGZ'!$A:$A,$A203,'Budget-ACPLGZ'!AI:AI)+SUMIF('Budget-Yixing'!$A:$A,$A203,'Budget-Yixing'!AI:AI)</f>
        <v>0</v>
      </c>
      <c r="AJ203" s="688">
        <f ca="1">SUMIF('Budget-ACPL'!$A:$A,$A203,'Budget-ACPL'!AJ:AJ)+SUMIF('Budget-ACPLHK'!$A:$A,$A203,'Budget-ACPLHK'!AJ:AJ)+SUMIF('Budget-ACPSZL'!$A:$A,$A203,'Budget-ACPSZL'!AJ:AJ)+SUMIF('Budget-ACPLSZ'!$A:$A,$A203,'Budget-ACPLSZ'!AJ:AJ)+SUMIF('Budget-ACPLGZ'!$A:$A,$A203,'Budget-ACPLGZ'!AJ:AJ)+SUMIF('Budget-Yixing'!$A:$A,$A203,'Budget-Yixing'!AJ:AJ)</f>
        <v>0</v>
      </c>
      <c r="AK203" s="688">
        <f t="shared" ref="AK203:AK205" ca="1" si="88">SUM(Y203:AJ203)</f>
        <v>3909.12</v>
      </c>
    </row>
    <row r="204" spans="1:37" ht="13.5" hidden="1" customHeight="1">
      <c r="A204" s="653" t="s">
        <v>2031</v>
      </c>
      <c r="B204" s="687" t="str">
        <f>VLOOKUP(A204,Account!A:B,2,0)</f>
        <v>递延所得税费用</v>
      </c>
      <c r="C204" s="687">
        <f>VLOOKUP(A204,Account!A:F,4,0)</f>
        <v>0</v>
      </c>
      <c r="D204" s="676">
        <f t="shared" ca="1" si="85"/>
        <v>0</v>
      </c>
      <c r="E204" s="676" t="e">
        <f t="shared" si="82"/>
        <v>#N/A</v>
      </c>
      <c r="F204" s="676" t="e">
        <f t="shared" ca="1" si="78"/>
        <v>#N/A</v>
      </c>
      <c r="G204" s="676">
        <f t="shared" ca="1" si="86"/>
        <v>0</v>
      </c>
      <c r="H204" s="676" t="e">
        <f t="shared" ca="1" si="87"/>
        <v>#N/A</v>
      </c>
      <c r="I204" s="676" t="e">
        <f t="shared" ca="1" si="79"/>
        <v>#N/A</v>
      </c>
      <c r="K204" s="676">
        <f ca="1">SUMIF('Budget-ACPL'!$A:$A,$A204,'Budget-ACPL'!K:K)+SUMIF('Budget-ACPLHK'!$A:$A,$A204,'Budget-ACPLHK'!K:K)+SUMIF('Budget-ACPSZL'!$A:$A,$A204,'Budget-ACPSZL'!K:K)+SUMIF('Budget-ACPLSZ'!$A:$A,$A204,'Budget-ACPLSZ'!K:K)+SUMIF('Budget-ACPLGZ'!$A:$A,$A204,'Budget-ACPLGZ'!K:K)+SUMIF('Budget-Yixing'!$A:$A,$A204,'Budget-Yixing'!K:K)</f>
        <v>0</v>
      </c>
      <c r="L204" s="676">
        <f ca="1">SUMIF('Budget-ACPL'!$A:$A,$A204,'Budget-ACPL'!L:L)+SUMIF('Budget-ACPLHK'!$A:$A,$A204,'Budget-ACPLHK'!L:L)+SUMIF('Budget-ACPSZL'!$A:$A,$A204,'Budget-ACPSZL'!L:L)+SUMIF('Budget-ACPLSZ'!$A:$A,$A204,'Budget-ACPLSZ'!L:L)+SUMIF('Budget-ACPLGZ'!$A:$A,$A204,'Budget-ACPLGZ'!L:L)+SUMIF('Budget-Yixing'!$A:$A,$A204,'Budget-Yixing'!L:L)</f>
        <v>0</v>
      </c>
      <c r="M204" s="676">
        <f ca="1">SUMIF('Budget-ACPL'!$A:$A,$A204,'Budget-ACPL'!M:M)+SUMIF('Budget-ACPLHK'!$A:$A,$A204,'Budget-ACPLHK'!M:M)+SUMIF('Budget-ACPSZL'!$A:$A,$A204,'Budget-ACPSZL'!M:M)+SUMIF('Budget-ACPLSZ'!$A:$A,$A204,'Budget-ACPLSZ'!M:M)+SUMIF('Budget-ACPLGZ'!$A:$A,$A204,'Budget-ACPLGZ'!M:M)+SUMIF('Budget-Yixing'!$A:$A,$A204,'Budget-Yixing'!M:M)</f>
        <v>0</v>
      </c>
      <c r="N204" s="676">
        <f ca="1">SUMIF('Budget-ACPL'!$A:$A,$A204,'Budget-ACPL'!N:N)+SUMIF('Budget-ACPLHK'!$A:$A,$A204,'Budget-ACPLHK'!N:N)+SUMIF('Budget-ACPSZL'!$A:$A,$A204,'Budget-ACPSZL'!N:N)+SUMIF('Budget-ACPLSZ'!$A:$A,$A204,'Budget-ACPLSZ'!N:N)+SUMIF('Budget-ACPLGZ'!$A:$A,$A204,'Budget-ACPLGZ'!N:N)+SUMIF('Budget-Yixing'!$A:$A,$A204,'Budget-Yixing'!N:N)</f>
        <v>0</v>
      </c>
      <c r="O204" s="676">
        <f ca="1">SUMIF('Budget-ACPL'!$A:$A,$A204,'Budget-ACPL'!O:O)+SUMIF('Budget-ACPLHK'!$A:$A,$A204,'Budget-ACPLHK'!O:O)+SUMIF('Budget-ACPSZL'!$A:$A,$A204,'Budget-ACPSZL'!O:O)+SUMIF('Budget-ACPLSZ'!$A:$A,$A204,'Budget-ACPLSZ'!O:O)+SUMIF('Budget-ACPLGZ'!$A:$A,$A204,'Budget-ACPLGZ'!O:O)+SUMIF('Budget-Yixing'!$A:$A,$A204,'Budget-Yixing'!O:O)</f>
        <v>0</v>
      </c>
      <c r="P204" s="676">
        <f ca="1">SUMIF('Budget-ACPL'!$A:$A,$A204,'Budget-ACPL'!P:P)+SUMIF('Budget-ACPLHK'!$A:$A,$A204,'Budget-ACPLHK'!P:P)+SUMIF('Budget-ACPSZL'!$A:$A,$A204,'Budget-ACPSZL'!P:P)+SUMIF('Budget-ACPLSZ'!$A:$A,$A204,'Budget-ACPLSZ'!P:P)+SUMIF('Budget-ACPLGZ'!$A:$A,$A204,'Budget-ACPLGZ'!P:P)+SUMIF('Budget-Yixing'!$A:$A,$A204,'Budget-Yixing'!P:P)</f>
        <v>0</v>
      </c>
      <c r="Q204" s="676">
        <f ca="1">SUMIF('Budget-ACPL'!$A:$A,$A204,'Budget-ACPL'!Q:Q)+SUMIF('Budget-ACPLHK'!$A:$A,$A204,'Budget-ACPLHK'!Q:Q)+SUMIF('Budget-ACPSZL'!$A:$A,$A204,'Budget-ACPSZL'!Q:Q)+SUMIF('Budget-ACPLSZ'!$A:$A,$A204,'Budget-ACPLSZ'!Q:Q)+SUMIF('Budget-ACPLGZ'!$A:$A,$A204,'Budget-ACPLGZ'!Q:Q)+SUMIF('Budget-Yixing'!$A:$A,$A204,'Budget-Yixing'!Q:Q)</f>
        <v>0</v>
      </c>
      <c r="R204" s="676">
        <f ca="1">SUMIF('Budget-ACPL'!$A:$A,$A204,'Budget-ACPL'!R:R)+SUMIF('Budget-ACPLHK'!$A:$A,$A204,'Budget-ACPLHK'!R:R)+SUMIF('Budget-ACPSZL'!$A:$A,$A204,'Budget-ACPSZL'!R:R)+SUMIF('Budget-ACPLSZ'!$A:$A,$A204,'Budget-ACPLSZ'!R:R)+SUMIF('Budget-ACPLGZ'!$A:$A,$A204,'Budget-ACPLGZ'!R:R)+SUMIF('Budget-Yixing'!$A:$A,$A204,'Budget-Yixing'!R:R)</f>
        <v>0</v>
      </c>
      <c r="S204" s="676">
        <f ca="1">SUMIF('Budget-ACPL'!$A:$A,$A204,'Budget-ACPL'!S:S)+SUMIF('Budget-ACPLHK'!$A:$A,$A204,'Budget-ACPLHK'!S:S)+SUMIF('Budget-ACPSZL'!$A:$A,$A204,'Budget-ACPSZL'!S:S)+SUMIF('Budget-ACPLSZ'!$A:$A,$A204,'Budget-ACPLSZ'!S:S)+SUMIF('Budget-ACPLGZ'!$A:$A,$A204,'Budget-ACPLGZ'!S:S)+SUMIF('Budget-Yixing'!$A:$A,$A204,'Budget-Yixing'!S:S)</f>
        <v>0</v>
      </c>
      <c r="T204" s="676">
        <f ca="1">SUMIF('Budget-ACPL'!$A:$A,$A204,'Budget-ACPL'!T:T)+SUMIF('Budget-ACPLHK'!$A:$A,$A204,'Budget-ACPLHK'!T:T)+SUMIF('Budget-ACPSZL'!$A:$A,$A204,'Budget-ACPSZL'!T:T)+SUMIF('Budget-ACPLSZ'!$A:$A,$A204,'Budget-ACPLSZ'!T:T)+SUMIF('Budget-ACPLGZ'!$A:$A,$A204,'Budget-ACPLGZ'!T:T)+SUMIF('Budget-Yixing'!$A:$A,$A204,'Budget-Yixing'!T:T)</f>
        <v>0</v>
      </c>
      <c r="U204" s="676">
        <f ca="1">SUMIF('Budget-ACPL'!$A:$A,$A204,'Budget-ACPL'!U:U)+SUMIF('Budget-ACPLHK'!$A:$A,$A204,'Budget-ACPLHK'!U:U)+SUMIF('Budget-ACPSZL'!$A:$A,$A204,'Budget-ACPSZL'!U:U)+SUMIF('Budget-ACPLSZ'!$A:$A,$A204,'Budget-ACPLSZ'!U:U)+SUMIF('Budget-ACPLGZ'!$A:$A,$A204,'Budget-ACPLGZ'!U:U)+SUMIF('Budget-Yixing'!$A:$A,$A204,'Budget-Yixing'!U:U)</f>
        <v>0</v>
      </c>
      <c r="V204" s="676">
        <f ca="1">SUMIF('Budget-ACPL'!$A:$A,$A204,'Budget-ACPL'!V:V)+SUMIF('Budget-ACPLHK'!$A:$A,$A204,'Budget-ACPLHK'!V:V)+SUMIF('Budget-ACPSZL'!$A:$A,$A204,'Budget-ACPSZL'!V:V)+SUMIF('Budget-ACPLSZ'!$A:$A,$A204,'Budget-ACPLSZ'!V:V)+SUMIF('Budget-ACPLGZ'!$A:$A,$A204,'Budget-ACPLGZ'!V:V)+SUMIF('Budget-Yixing'!$A:$A,$A204,'Budget-Yixing'!V:V)</f>
        <v>0</v>
      </c>
      <c r="W204" s="676">
        <f ca="1">SUM(K204:V204)</f>
        <v>0</v>
      </c>
      <c r="Y204" s="688">
        <f ca="1">SUMIF('Budget-ACPL'!$A:$A,$A204,'Budget-ACPL'!Y:Y)+SUMIF('Budget-ACPLHK'!$A:$A,$A204,'Budget-ACPLHK'!Y:Y)+SUMIF('Budget-ACPSZL'!$A:$A,$A204,'Budget-ACPSZL'!Y:Y)+SUMIF('Budget-ACPLSZ'!$A:$A,$A204,'Budget-ACPLSZ'!Y:Y)+SUMIF('Budget-ACPLGZ'!$A:$A,$A204,'Budget-ACPLGZ'!Y:Y)+SUMIF('Budget-Yixing'!$A:$A,$A204,'Budget-Yixing'!Y:Y)</f>
        <v>0</v>
      </c>
      <c r="Z204" s="688">
        <f ca="1">SUMIF('Budget-ACPL'!$A:$A,$A204,'Budget-ACPL'!Z:Z)+SUMIF('Budget-ACPLHK'!$A:$A,$A204,'Budget-ACPLHK'!Z:Z)+SUMIF('Budget-ACPSZL'!$A:$A,$A204,'Budget-ACPSZL'!Z:Z)+SUMIF('Budget-ACPLSZ'!$A:$A,$A204,'Budget-ACPLSZ'!Z:Z)+SUMIF('Budget-ACPLGZ'!$A:$A,$A204,'Budget-ACPLGZ'!Z:Z)+SUMIF('Budget-Yixing'!$A:$A,$A204,'Budget-Yixing'!Z:Z)</f>
        <v>0</v>
      </c>
      <c r="AA204" s="688">
        <f ca="1">SUMIF('Budget-ACPL'!$A:$A,$A204,'Budget-ACPL'!AA:AA)+SUMIF('Budget-ACPLHK'!$A:$A,$A204,'Budget-ACPLHK'!AA:AA)+SUMIF('Budget-ACPSZL'!$A:$A,$A204,'Budget-ACPSZL'!AA:AA)+SUMIF('Budget-ACPLSZ'!$A:$A,$A204,'Budget-ACPLSZ'!AA:AA)+SUMIF('Budget-ACPLGZ'!$A:$A,$A204,'Budget-ACPLGZ'!AA:AA)+SUMIF('Budget-Yixing'!$A:$A,$A204,'Budget-Yixing'!AA:AA)</f>
        <v>0</v>
      </c>
      <c r="AB204" s="688">
        <f ca="1">SUMIF('Budget-ACPL'!$A:$A,$A204,'Budget-ACPL'!AB:AB)+SUMIF('Budget-ACPLHK'!$A:$A,$A204,'Budget-ACPLHK'!AB:AB)+SUMIF('Budget-ACPSZL'!$A:$A,$A204,'Budget-ACPSZL'!AB:AB)+SUMIF('Budget-ACPLSZ'!$A:$A,$A204,'Budget-ACPLSZ'!AB:AB)+SUMIF('Budget-ACPLGZ'!$A:$A,$A204,'Budget-ACPLGZ'!AB:AB)+SUMIF('Budget-Yixing'!$A:$A,$A204,'Budget-Yixing'!AB:AB)</f>
        <v>0</v>
      </c>
      <c r="AC204" s="688">
        <f ca="1">SUMIF('Budget-ACPL'!$A:$A,$A204,'Budget-ACPL'!AC:AC)+SUMIF('Budget-ACPLHK'!$A:$A,$A204,'Budget-ACPLHK'!AC:AC)+SUMIF('Budget-ACPSZL'!$A:$A,$A204,'Budget-ACPSZL'!AC:AC)+SUMIF('Budget-ACPLSZ'!$A:$A,$A204,'Budget-ACPLSZ'!AC:AC)+SUMIF('Budget-ACPLGZ'!$A:$A,$A204,'Budget-ACPLGZ'!AC:AC)+SUMIF('Budget-Yixing'!$A:$A,$A204,'Budget-Yixing'!AC:AC)</f>
        <v>0</v>
      </c>
      <c r="AD204" s="688">
        <f ca="1">SUMIF('Budget-ACPL'!$A:$A,$A204,'Budget-ACPL'!AD:AD)+SUMIF('Budget-ACPLHK'!$A:$A,$A204,'Budget-ACPLHK'!AD:AD)+SUMIF('Budget-ACPSZL'!$A:$A,$A204,'Budget-ACPSZL'!AD:AD)+SUMIF('Budget-ACPLSZ'!$A:$A,$A204,'Budget-ACPLSZ'!AD:AD)+SUMIF('Budget-ACPLGZ'!$A:$A,$A204,'Budget-ACPLGZ'!AD:AD)+SUMIF('Budget-Yixing'!$A:$A,$A204,'Budget-Yixing'!AD:AD)</f>
        <v>0</v>
      </c>
      <c r="AE204" s="688">
        <f ca="1">SUMIF('Budget-ACPL'!$A:$A,$A204,'Budget-ACPL'!AE:AE)+SUMIF('Budget-ACPLHK'!$A:$A,$A204,'Budget-ACPLHK'!AE:AE)+SUMIF('Budget-ACPSZL'!$A:$A,$A204,'Budget-ACPSZL'!AE:AE)+SUMIF('Budget-ACPLSZ'!$A:$A,$A204,'Budget-ACPLSZ'!AE:AE)+SUMIF('Budget-ACPLGZ'!$A:$A,$A204,'Budget-ACPLGZ'!AE:AE)+SUMIF('Budget-Yixing'!$A:$A,$A204,'Budget-Yixing'!AE:AE)</f>
        <v>0</v>
      </c>
      <c r="AF204" s="688">
        <f ca="1">SUMIF('Budget-ACPL'!$A:$A,$A204,'Budget-ACPL'!AF:AF)+SUMIF('Budget-ACPLHK'!$A:$A,$A204,'Budget-ACPLHK'!AF:AF)+SUMIF('Budget-ACPSZL'!$A:$A,$A204,'Budget-ACPSZL'!AF:AF)+SUMIF('Budget-ACPLSZ'!$A:$A,$A204,'Budget-ACPLSZ'!AF:AF)+SUMIF('Budget-ACPLGZ'!$A:$A,$A204,'Budget-ACPLGZ'!AF:AF)+SUMIF('Budget-Yixing'!$A:$A,$A204,'Budget-Yixing'!AF:AF)</f>
        <v>0</v>
      </c>
      <c r="AG204" s="688">
        <f ca="1">SUMIF('Budget-ACPL'!$A:$A,$A204,'Budget-ACPL'!AG:AG)+SUMIF('Budget-ACPLHK'!$A:$A,$A204,'Budget-ACPLHK'!AG:AG)+SUMIF('Budget-ACPSZL'!$A:$A,$A204,'Budget-ACPSZL'!AG:AG)+SUMIF('Budget-ACPLSZ'!$A:$A,$A204,'Budget-ACPLSZ'!AG:AG)+SUMIF('Budget-ACPLGZ'!$A:$A,$A204,'Budget-ACPLGZ'!AG:AG)+SUMIF('Budget-Yixing'!$A:$A,$A204,'Budget-Yixing'!AG:AG)</f>
        <v>0</v>
      </c>
      <c r="AH204" s="688">
        <f ca="1">SUMIF('Budget-ACPL'!$A:$A,$A204,'Budget-ACPL'!AH:AH)+SUMIF('Budget-ACPLHK'!$A:$A,$A204,'Budget-ACPLHK'!AH:AH)+SUMIF('Budget-ACPSZL'!$A:$A,$A204,'Budget-ACPSZL'!AH:AH)+SUMIF('Budget-ACPLSZ'!$A:$A,$A204,'Budget-ACPLSZ'!AH:AH)+SUMIF('Budget-ACPLGZ'!$A:$A,$A204,'Budget-ACPLGZ'!AH:AH)+SUMIF('Budget-Yixing'!$A:$A,$A204,'Budget-Yixing'!AH:AH)</f>
        <v>0</v>
      </c>
      <c r="AI204" s="688">
        <f ca="1">SUMIF('Budget-ACPL'!$A:$A,$A204,'Budget-ACPL'!AI:AI)+SUMIF('Budget-ACPLHK'!$A:$A,$A204,'Budget-ACPLHK'!AI:AI)+SUMIF('Budget-ACPSZL'!$A:$A,$A204,'Budget-ACPSZL'!AI:AI)+SUMIF('Budget-ACPLSZ'!$A:$A,$A204,'Budget-ACPLSZ'!AI:AI)+SUMIF('Budget-ACPLGZ'!$A:$A,$A204,'Budget-ACPLGZ'!AI:AI)+SUMIF('Budget-Yixing'!$A:$A,$A204,'Budget-Yixing'!AI:AI)</f>
        <v>0</v>
      </c>
      <c r="AJ204" s="688">
        <f ca="1">SUMIF('Budget-ACPL'!$A:$A,$A204,'Budget-ACPL'!AJ:AJ)+SUMIF('Budget-ACPLHK'!$A:$A,$A204,'Budget-ACPLHK'!AJ:AJ)+SUMIF('Budget-ACPSZL'!$A:$A,$A204,'Budget-ACPSZL'!AJ:AJ)+SUMIF('Budget-ACPLSZ'!$A:$A,$A204,'Budget-ACPLSZ'!AJ:AJ)+SUMIF('Budget-ACPLGZ'!$A:$A,$A204,'Budget-ACPLGZ'!AJ:AJ)+SUMIF('Budget-Yixing'!$A:$A,$A204,'Budget-Yixing'!AJ:AJ)</f>
        <v>0</v>
      </c>
      <c r="AK204" s="688">
        <f t="shared" ca="1" si="88"/>
        <v>0</v>
      </c>
    </row>
    <row r="205" spans="1:37" ht="13.5" hidden="1" customHeight="1">
      <c r="A205" s="653" t="s">
        <v>2035</v>
      </c>
      <c r="B205" s="687" t="str">
        <f>VLOOKUP(A205,Account!A:B,2,0)</f>
        <v>以前年度所得税费用</v>
      </c>
      <c r="C205" s="687">
        <f>VLOOKUP(A205,Account!A:F,4,0)</f>
        <v>0</v>
      </c>
      <c r="D205" s="676">
        <f t="shared" ca="1" si="85"/>
        <v>0</v>
      </c>
      <c r="E205" s="676" t="e">
        <f t="shared" si="82"/>
        <v>#N/A</v>
      </c>
      <c r="F205" s="676" t="e">
        <f t="shared" ca="1" si="78"/>
        <v>#N/A</v>
      </c>
      <c r="G205" s="676">
        <f t="shared" ca="1" si="86"/>
        <v>0</v>
      </c>
      <c r="H205" s="676" t="e">
        <f t="shared" ca="1" si="87"/>
        <v>#N/A</v>
      </c>
      <c r="I205" s="676" t="e">
        <f t="shared" ca="1" si="79"/>
        <v>#N/A</v>
      </c>
      <c r="K205" s="676">
        <f ca="1">SUMIF('Budget-ACPL'!$A:$A,$A205,'Budget-ACPL'!K:K)+SUMIF('Budget-ACPLHK'!$A:$A,$A205,'Budget-ACPLHK'!K:K)+SUMIF('Budget-ACPSZL'!$A:$A,$A205,'Budget-ACPSZL'!K:K)+SUMIF('Budget-ACPLSZ'!$A:$A,$A205,'Budget-ACPLSZ'!K:K)+SUMIF('Budget-ACPLGZ'!$A:$A,$A205,'Budget-ACPLGZ'!K:K)+SUMIF('Budget-Yixing'!$A:$A,$A205,'Budget-Yixing'!K:K)</f>
        <v>0</v>
      </c>
      <c r="L205" s="676">
        <f ca="1">SUMIF('Budget-ACPL'!$A:$A,$A205,'Budget-ACPL'!L:L)+SUMIF('Budget-ACPLHK'!$A:$A,$A205,'Budget-ACPLHK'!L:L)+SUMIF('Budget-ACPSZL'!$A:$A,$A205,'Budget-ACPSZL'!L:L)+SUMIF('Budget-ACPLSZ'!$A:$A,$A205,'Budget-ACPLSZ'!L:L)+SUMIF('Budget-ACPLGZ'!$A:$A,$A205,'Budget-ACPLGZ'!L:L)+SUMIF('Budget-Yixing'!$A:$A,$A205,'Budget-Yixing'!L:L)</f>
        <v>0</v>
      </c>
      <c r="M205" s="676">
        <f ca="1">SUMIF('Budget-ACPL'!$A:$A,$A205,'Budget-ACPL'!M:M)+SUMIF('Budget-ACPLHK'!$A:$A,$A205,'Budget-ACPLHK'!M:M)+SUMIF('Budget-ACPSZL'!$A:$A,$A205,'Budget-ACPSZL'!M:M)+SUMIF('Budget-ACPLSZ'!$A:$A,$A205,'Budget-ACPLSZ'!M:M)+SUMIF('Budget-ACPLGZ'!$A:$A,$A205,'Budget-ACPLGZ'!M:M)+SUMIF('Budget-Yixing'!$A:$A,$A205,'Budget-Yixing'!M:M)</f>
        <v>0</v>
      </c>
      <c r="N205" s="676">
        <f ca="1">SUMIF('Budget-ACPL'!$A:$A,$A205,'Budget-ACPL'!N:N)+SUMIF('Budget-ACPLHK'!$A:$A,$A205,'Budget-ACPLHK'!N:N)+SUMIF('Budget-ACPSZL'!$A:$A,$A205,'Budget-ACPSZL'!N:N)+SUMIF('Budget-ACPLSZ'!$A:$A,$A205,'Budget-ACPLSZ'!N:N)+SUMIF('Budget-ACPLGZ'!$A:$A,$A205,'Budget-ACPLGZ'!N:N)+SUMIF('Budget-Yixing'!$A:$A,$A205,'Budget-Yixing'!N:N)</f>
        <v>0</v>
      </c>
      <c r="O205" s="676">
        <f ca="1">SUMIF('Budget-ACPL'!$A:$A,$A205,'Budget-ACPL'!O:O)+SUMIF('Budget-ACPLHK'!$A:$A,$A205,'Budget-ACPLHK'!O:O)+SUMIF('Budget-ACPSZL'!$A:$A,$A205,'Budget-ACPSZL'!O:O)+SUMIF('Budget-ACPLSZ'!$A:$A,$A205,'Budget-ACPLSZ'!O:O)+SUMIF('Budget-ACPLGZ'!$A:$A,$A205,'Budget-ACPLGZ'!O:O)+SUMIF('Budget-Yixing'!$A:$A,$A205,'Budget-Yixing'!O:O)</f>
        <v>0</v>
      </c>
      <c r="P205" s="676">
        <f ca="1">SUMIF('Budget-ACPL'!$A:$A,$A205,'Budget-ACPL'!P:P)+SUMIF('Budget-ACPLHK'!$A:$A,$A205,'Budget-ACPLHK'!P:P)+SUMIF('Budget-ACPSZL'!$A:$A,$A205,'Budget-ACPSZL'!P:P)+SUMIF('Budget-ACPLSZ'!$A:$A,$A205,'Budget-ACPLSZ'!P:P)+SUMIF('Budget-ACPLGZ'!$A:$A,$A205,'Budget-ACPLGZ'!P:P)+SUMIF('Budget-Yixing'!$A:$A,$A205,'Budget-Yixing'!P:P)</f>
        <v>0</v>
      </c>
      <c r="Q205" s="676">
        <f ca="1">SUMIF('Budget-ACPL'!$A:$A,$A205,'Budget-ACPL'!Q:Q)+SUMIF('Budget-ACPLHK'!$A:$A,$A205,'Budget-ACPLHK'!Q:Q)+SUMIF('Budget-ACPSZL'!$A:$A,$A205,'Budget-ACPSZL'!Q:Q)+SUMIF('Budget-ACPLSZ'!$A:$A,$A205,'Budget-ACPLSZ'!Q:Q)+SUMIF('Budget-ACPLGZ'!$A:$A,$A205,'Budget-ACPLGZ'!Q:Q)+SUMIF('Budget-Yixing'!$A:$A,$A205,'Budget-Yixing'!Q:Q)</f>
        <v>0</v>
      </c>
      <c r="R205" s="676">
        <f ca="1">SUMIF('Budget-ACPL'!$A:$A,$A205,'Budget-ACPL'!R:R)+SUMIF('Budget-ACPLHK'!$A:$A,$A205,'Budget-ACPLHK'!R:R)+SUMIF('Budget-ACPSZL'!$A:$A,$A205,'Budget-ACPSZL'!R:R)+SUMIF('Budget-ACPLSZ'!$A:$A,$A205,'Budget-ACPLSZ'!R:R)+SUMIF('Budget-ACPLGZ'!$A:$A,$A205,'Budget-ACPLGZ'!R:R)+SUMIF('Budget-Yixing'!$A:$A,$A205,'Budget-Yixing'!R:R)</f>
        <v>0</v>
      </c>
      <c r="S205" s="676">
        <f ca="1">SUMIF('Budget-ACPL'!$A:$A,$A205,'Budget-ACPL'!S:S)+SUMIF('Budget-ACPLHK'!$A:$A,$A205,'Budget-ACPLHK'!S:S)+SUMIF('Budget-ACPSZL'!$A:$A,$A205,'Budget-ACPSZL'!S:S)+SUMIF('Budget-ACPLSZ'!$A:$A,$A205,'Budget-ACPLSZ'!S:S)+SUMIF('Budget-ACPLGZ'!$A:$A,$A205,'Budget-ACPLGZ'!S:S)+SUMIF('Budget-Yixing'!$A:$A,$A205,'Budget-Yixing'!S:S)</f>
        <v>0</v>
      </c>
      <c r="T205" s="676">
        <f ca="1">SUMIF('Budget-ACPL'!$A:$A,$A205,'Budget-ACPL'!T:T)+SUMIF('Budget-ACPLHK'!$A:$A,$A205,'Budget-ACPLHK'!T:T)+SUMIF('Budget-ACPSZL'!$A:$A,$A205,'Budget-ACPSZL'!T:T)+SUMIF('Budget-ACPLSZ'!$A:$A,$A205,'Budget-ACPLSZ'!T:T)+SUMIF('Budget-ACPLGZ'!$A:$A,$A205,'Budget-ACPLGZ'!T:T)+SUMIF('Budget-Yixing'!$A:$A,$A205,'Budget-Yixing'!T:T)</f>
        <v>0</v>
      </c>
      <c r="U205" s="676">
        <f ca="1">SUMIF('Budget-ACPL'!$A:$A,$A205,'Budget-ACPL'!U:U)+SUMIF('Budget-ACPLHK'!$A:$A,$A205,'Budget-ACPLHK'!U:U)+SUMIF('Budget-ACPSZL'!$A:$A,$A205,'Budget-ACPSZL'!U:U)+SUMIF('Budget-ACPLSZ'!$A:$A,$A205,'Budget-ACPLSZ'!U:U)+SUMIF('Budget-ACPLGZ'!$A:$A,$A205,'Budget-ACPLGZ'!U:U)+SUMIF('Budget-Yixing'!$A:$A,$A205,'Budget-Yixing'!U:U)</f>
        <v>0</v>
      </c>
      <c r="V205" s="676">
        <f ca="1">SUMIF('Budget-ACPL'!$A:$A,$A205,'Budget-ACPL'!V:V)+SUMIF('Budget-ACPLHK'!$A:$A,$A205,'Budget-ACPLHK'!V:V)+SUMIF('Budget-ACPSZL'!$A:$A,$A205,'Budget-ACPSZL'!V:V)+SUMIF('Budget-ACPLSZ'!$A:$A,$A205,'Budget-ACPLSZ'!V:V)+SUMIF('Budget-ACPLGZ'!$A:$A,$A205,'Budget-ACPLGZ'!V:V)+SUMIF('Budget-Yixing'!$A:$A,$A205,'Budget-Yixing'!V:V)</f>
        <v>0</v>
      </c>
      <c r="W205" s="676">
        <f ca="1">SUM(K205:V205)</f>
        <v>0</v>
      </c>
      <c r="Y205" s="688">
        <f ca="1">SUMIF('Budget-ACPL'!$A:$A,$A205,'Budget-ACPL'!Y:Y)+SUMIF('Budget-ACPLHK'!$A:$A,$A205,'Budget-ACPLHK'!Y:Y)+SUMIF('Budget-ACPSZL'!$A:$A,$A205,'Budget-ACPSZL'!Y:Y)+SUMIF('Budget-ACPLSZ'!$A:$A,$A205,'Budget-ACPLSZ'!Y:Y)+SUMIF('Budget-ACPLGZ'!$A:$A,$A205,'Budget-ACPLGZ'!Y:Y)+SUMIF('Budget-Yixing'!$A:$A,$A205,'Budget-Yixing'!Y:Y)</f>
        <v>0</v>
      </c>
      <c r="Z205" s="688">
        <f ca="1">SUMIF('Budget-ACPL'!$A:$A,$A205,'Budget-ACPL'!Z:Z)+SUMIF('Budget-ACPLHK'!$A:$A,$A205,'Budget-ACPLHK'!Z:Z)+SUMIF('Budget-ACPSZL'!$A:$A,$A205,'Budget-ACPSZL'!Z:Z)+SUMIF('Budget-ACPLSZ'!$A:$A,$A205,'Budget-ACPLSZ'!Z:Z)+SUMIF('Budget-ACPLGZ'!$A:$A,$A205,'Budget-ACPLGZ'!Z:Z)+SUMIF('Budget-Yixing'!$A:$A,$A205,'Budget-Yixing'!Z:Z)</f>
        <v>0</v>
      </c>
      <c r="AA205" s="688">
        <f ca="1">SUMIF('Budget-ACPL'!$A:$A,$A205,'Budget-ACPL'!AA:AA)+SUMIF('Budget-ACPLHK'!$A:$A,$A205,'Budget-ACPLHK'!AA:AA)+SUMIF('Budget-ACPSZL'!$A:$A,$A205,'Budget-ACPSZL'!AA:AA)+SUMIF('Budget-ACPLSZ'!$A:$A,$A205,'Budget-ACPLSZ'!AA:AA)+SUMIF('Budget-ACPLGZ'!$A:$A,$A205,'Budget-ACPLGZ'!AA:AA)+SUMIF('Budget-Yixing'!$A:$A,$A205,'Budget-Yixing'!AA:AA)</f>
        <v>0</v>
      </c>
      <c r="AB205" s="688">
        <f ca="1">SUMIF('Budget-ACPL'!$A:$A,$A205,'Budget-ACPL'!AB:AB)+SUMIF('Budget-ACPLHK'!$A:$A,$A205,'Budget-ACPLHK'!AB:AB)+SUMIF('Budget-ACPSZL'!$A:$A,$A205,'Budget-ACPSZL'!AB:AB)+SUMIF('Budget-ACPLSZ'!$A:$A,$A205,'Budget-ACPLSZ'!AB:AB)+SUMIF('Budget-ACPLGZ'!$A:$A,$A205,'Budget-ACPLGZ'!AB:AB)+SUMIF('Budget-Yixing'!$A:$A,$A205,'Budget-Yixing'!AB:AB)</f>
        <v>0</v>
      </c>
      <c r="AC205" s="688">
        <f ca="1">SUMIF('Budget-ACPL'!$A:$A,$A205,'Budget-ACPL'!AC:AC)+SUMIF('Budget-ACPLHK'!$A:$A,$A205,'Budget-ACPLHK'!AC:AC)+SUMIF('Budget-ACPSZL'!$A:$A,$A205,'Budget-ACPSZL'!AC:AC)+SUMIF('Budget-ACPLSZ'!$A:$A,$A205,'Budget-ACPLSZ'!AC:AC)+SUMIF('Budget-ACPLGZ'!$A:$A,$A205,'Budget-ACPLGZ'!AC:AC)+SUMIF('Budget-Yixing'!$A:$A,$A205,'Budget-Yixing'!AC:AC)</f>
        <v>2000</v>
      </c>
      <c r="AD205" s="688">
        <f ca="1">SUMIF('Budget-ACPL'!$A:$A,$A205,'Budget-ACPL'!AD:AD)+SUMIF('Budget-ACPLHK'!$A:$A,$A205,'Budget-ACPLHK'!AD:AD)+SUMIF('Budget-ACPSZL'!$A:$A,$A205,'Budget-ACPSZL'!AD:AD)+SUMIF('Budget-ACPLSZ'!$A:$A,$A205,'Budget-ACPLSZ'!AD:AD)+SUMIF('Budget-ACPLGZ'!$A:$A,$A205,'Budget-ACPLGZ'!AD:AD)+SUMIF('Budget-Yixing'!$A:$A,$A205,'Budget-Yixing'!AD:AD)</f>
        <v>0</v>
      </c>
      <c r="AE205" s="688">
        <f ca="1">SUMIF('Budget-ACPL'!$A:$A,$A205,'Budget-ACPL'!AE:AE)+SUMIF('Budget-ACPLHK'!$A:$A,$A205,'Budget-ACPLHK'!AE:AE)+SUMIF('Budget-ACPSZL'!$A:$A,$A205,'Budget-ACPSZL'!AE:AE)+SUMIF('Budget-ACPLSZ'!$A:$A,$A205,'Budget-ACPLSZ'!AE:AE)+SUMIF('Budget-ACPLGZ'!$A:$A,$A205,'Budget-ACPLGZ'!AE:AE)+SUMIF('Budget-Yixing'!$A:$A,$A205,'Budget-Yixing'!AE:AE)</f>
        <v>0</v>
      </c>
      <c r="AF205" s="688">
        <f ca="1">SUMIF('Budget-ACPL'!$A:$A,$A205,'Budget-ACPL'!AF:AF)+SUMIF('Budget-ACPLHK'!$A:$A,$A205,'Budget-ACPLHK'!AF:AF)+SUMIF('Budget-ACPSZL'!$A:$A,$A205,'Budget-ACPSZL'!AF:AF)+SUMIF('Budget-ACPLSZ'!$A:$A,$A205,'Budget-ACPLSZ'!AF:AF)+SUMIF('Budget-ACPLGZ'!$A:$A,$A205,'Budget-ACPLGZ'!AF:AF)+SUMIF('Budget-Yixing'!$A:$A,$A205,'Budget-Yixing'!AF:AF)</f>
        <v>0</v>
      </c>
      <c r="AG205" s="688">
        <f ca="1">SUMIF('Budget-ACPL'!$A:$A,$A205,'Budget-ACPL'!AG:AG)+SUMIF('Budget-ACPLHK'!$A:$A,$A205,'Budget-ACPLHK'!AG:AG)+SUMIF('Budget-ACPSZL'!$A:$A,$A205,'Budget-ACPSZL'!AG:AG)+SUMIF('Budget-ACPLSZ'!$A:$A,$A205,'Budget-ACPLSZ'!AG:AG)+SUMIF('Budget-ACPLGZ'!$A:$A,$A205,'Budget-ACPLGZ'!AG:AG)+SUMIF('Budget-Yixing'!$A:$A,$A205,'Budget-Yixing'!AG:AG)</f>
        <v>0</v>
      </c>
      <c r="AH205" s="688">
        <f ca="1">SUMIF('Budget-ACPL'!$A:$A,$A205,'Budget-ACPL'!AH:AH)+SUMIF('Budget-ACPLHK'!$A:$A,$A205,'Budget-ACPLHK'!AH:AH)+SUMIF('Budget-ACPSZL'!$A:$A,$A205,'Budget-ACPSZL'!AH:AH)+SUMIF('Budget-ACPLSZ'!$A:$A,$A205,'Budget-ACPLSZ'!AH:AH)+SUMIF('Budget-ACPLGZ'!$A:$A,$A205,'Budget-ACPLGZ'!AH:AH)+SUMIF('Budget-Yixing'!$A:$A,$A205,'Budget-Yixing'!AH:AH)</f>
        <v>0</v>
      </c>
      <c r="AI205" s="688">
        <f ca="1">SUMIF('Budget-ACPL'!$A:$A,$A205,'Budget-ACPL'!AI:AI)+SUMIF('Budget-ACPLHK'!$A:$A,$A205,'Budget-ACPLHK'!AI:AI)+SUMIF('Budget-ACPSZL'!$A:$A,$A205,'Budget-ACPSZL'!AI:AI)+SUMIF('Budget-ACPLSZ'!$A:$A,$A205,'Budget-ACPLSZ'!AI:AI)+SUMIF('Budget-ACPLGZ'!$A:$A,$A205,'Budget-ACPLGZ'!AI:AI)+SUMIF('Budget-Yixing'!$A:$A,$A205,'Budget-Yixing'!AI:AI)</f>
        <v>0</v>
      </c>
      <c r="AJ205" s="688">
        <f ca="1">SUMIF('Budget-ACPL'!$A:$A,$A205,'Budget-ACPL'!AJ:AJ)+SUMIF('Budget-ACPLHK'!$A:$A,$A205,'Budget-ACPLHK'!AJ:AJ)+SUMIF('Budget-ACPSZL'!$A:$A,$A205,'Budget-ACPSZL'!AJ:AJ)+SUMIF('Budget-ACPLSZ'!$A:$A,$A205,'Budget-ACPLSZ'!AJ:AJ)+SUMIF('Budget-ACPLGZ'!$A:$A,$A205,'Budget-ACPLGZ'!AJ:AJ)+SUMIF('Budget-Yixing'!$A:$A,$A205,'Budget-Yixing'!AJ:AJ)</f>
        <v>0</v>
      </c>
      <c r="AK205" s="688">
        <f t="shared" ca="1" si="88"/>
        <v>2000</v>
      </c>
    </row>
    <row r="206" spans="1:37" ht="13.5" customHeight="1">
      <c r="K206" s="674"/>
      <c r="L206" s="674"/>
      <c r="M206" s="674"/>
      <c r="N206" s="674"/>
      <c r="O206" s="674"/>
      <c r="P206" s="674"/>
      <c r="Q206" s="674"/>
      <c r="R206" s="674"/>
      <c r="S206" s="674"/>
      <c r="T206" s="674"/>
      <c r="U206" s="674"/>
      <c r="V206" s="674"/>
      <c r="W206" s="5"/>
    </row>
    <row r="207" spans="1:37" s="649" customFormat="1" ht="12.95" customHeight="1">
      <c r="B207" s="686" t="s">
        <v>2096</v>
      </c>
      <c r="C207" s="721"/>
      <c r="D207" s="722">
        <f ca="1">INDEX($K207:$W207,1,MATCH(D$6,$K$6:$W$6))</f>
        <v>-1903170.1261608808</v>
      </c>
      <c r="E207" s="674" t="e">
        <f>INDEX($Y207:$AJ207,1,MATCH(E$6,$Y$6:$AJ$6))</f>
        <v>#N/A</v>
      </c>
      <c r="F207" s="674" t="e">
        <f ca="1">D207-E207</f>
        <v>#N/A</v>
      </c>
      <c r="G207" s="722">
        <f ca="1">SUM($K207:OFFSET($K207,0,MATCH(G$6,$K$6:$W$6)-1))</f>
        <v>-1903170.1261608808</v>
      </c>
      <c r="H207" s="674" t="e">
        <f ca="1">SUM($Y207:OFFSET($Y207,0,MATCH(H$6,$Y$6:$AJ$6)-1))</f>
        <v>#N/A</v>
      </c>
      <c r="I207" s="674" t="e">
        <f ca="1">G207-H207</f>
        <v>#N/A</v>
      </c>
      <c r="J207" s="674"/>
      <c r="K207" s="722">
        <f ca="1">K201-SUM(K203:K205)</f>
        <v>-1903170.1261608808</v>
      </c>
      <c r="L207" s="722">
        <f ca="1">L201-SUM(L203:L205)</f>
        <v>-1963846.362363389</v>
      </c>
      <c r="M207" s="722">
        <f ca="1">M201-SUM(M203:M205)</f>
        <v>-1851464.0739513892</v>
      </c>
      <c r="N207" s="674">
        <f ca="1">N201-SUM(N203:N205)</f>
        <v>-3849671.847981635</v>
      </c>
      <c r="O207" s="722">
        <f t="shared" ref="O207:W207" ca="1" si="89">O201-SUM(O203:O205)</f>
        <v>445817.23590760026</v>
      </c>
      <c r="P207" s="722">
        <f t="shared" ca="1" si="89"/>
        <v>-2478095.3812825517</v>
      </c>
      <c r="Q207" s="674">
        <f t="shared" ca="1" si="89"/>
        <v>-563680.86140263581</v>
      </c>
      <c r="R207" s="722">
        <f t="shared" ca="1" si="89"/>
        <v>-2283562.5140740555</v>
      </c>
      <c r="S207" s="722">
        <f t="shared" ca="1" si="89"/>
        <v>-2431034.5830220557</v>
      </c>
      <c r="T207" s="674">
        <f t="shared" ca="1" si="89"/>
        <v>1246274.3962123054</v>
      </c>
      <c r="U207" s="722">
        <f t="shared" ca="1" si="89"/>
        <v>-2282704.0053700558</v>
      </c>
      <c r="V207" s="722">
        <f t="shared" ca="1" si="89"/>
        <v>-3960377.407906746</v>
      </c>
      <c r="W207" s="722">
        <f t="shared" ca="1" si="89"/>
        <v>-21875515.531395491</v>
      </c>
      <c r="Y207" s="677">
        <f t="shared" ref="Y207:AK207" ca="1" si="90">Y201-Y203-Y204-Y205</f>
        <v>-755833.65999999968</v>
      </c>
      <c r="Z207" s="677">
        <f t="shared" ca="1" si="90"/>
        <v>-1639063.5799999996</v>
      </c>
      <c r="AA207" s="677">
        <f t="shared" ca="1" si="90"/>
        <v>-1846628.79</v>
      </c>
      <c r="AB207" s="677">
        <f t="shared" ca="1" si="90"/>
        <v>-1183805.6299999999</v>
      </c>
      <c r="AC207" s="677">
        <f t="shared" ca="1" si="90"/>
        <v>-558394.35000000033</v>
      </c>
      <c r="AD207" s="677">
        <f t="shared" ca="1" si="90"/>
        <v>-2501538.48</v>
      </c>
      <c r="AE207" s="677">
        <f t="shared" ca="1" si="90"/>
        <v>-1744194.1000000003</v>
      </c>
      <c r="AF207" s="677">
        <f t="shared" ca="1" si="90"/>
        <v>-2036815.44</v>
      </c>
      <c r="AG207" s="677">
        <f t="shared" ca="1" si="90"/>
        <v>-2143834.6399999997</v>
      </c>
      <c r="AH207" s="677">
        <f t="shared" ca="1" si="90"/>
        <v>-2876836.6199999996</v>
      </c>
      <c r="AI207" s="677">
        <f t="shared" ca="1" si="90"/>
        <v>-1726399.03</v>
      </c>
      <c r="AJ207" s="677">
        <f t="shared" ca="1" si="90"/>
        <v>-2239972.85</v>
      </c>
      <c r="AK207" s="677">
        <f t="shared" ca="1" si="90"/>
        <v>-21253317.170000002</v>
      </c>
    </row>
    <row r="208" spans="1:37" ht="13.5" customHeight="1">
      <c r="B208" s="686"/>
    </row>
    <row r="209" spans="22:23" ht="13.5" customHeight="1">
      <c r="W209" s="722">
        <v>-26460000</v>
      </c>
    </row>
    <row r="210" spans="22:23" ht="13.5" customHeight="1">
      <c r="W210" s="5">
        <f ca="1">W207-W209</f>
        <v>4584484.4686045088</v>
      </c>
    </row>
    <row r="211" spans="22:23" ht="13.5" customHeight="1">
      <c r="V211" s="652" t="s">
        <v>2544</v>
      </c>
      <c r="W211" s="5">
        <f ca="1">SUM(W24:W31)*0.25</f>
        <v>4831301.4348571431</v>
      </c>
    </row>
    <row r="212" spans="22:23" ht="13.5" customHeight="1">
      <c r="W212" s="5">
        <f ca="1">W210-W211</f>
        <v>-246816.9662526343</v>
      </c>
    </row>
    <row r="213" spans="22:23" ht="13.5" customHeight="1">
      <c r="W213" s="5"/>
    </row>
    <row r="214" spans="22:23" ht="13.5" customHeight="1">
      <c r="W214" s="5"/>
    </row>
    <row r="215" spans="22:23" ht="13.5" customHeight="1">
      <c r="W215" s="5"/>
    </row>
    <row r="216" spans="22:23" ht="13.5" customHeight="1">
      <c r="W216" s="5"/>
    </row>
  </sheetData>
  <autoFilter ref="A6:W212" xr:uid="{00000000-0009-0000-0000-000008000000}">
    <filterColumn colId="22">
      <filters blank="1">
        <filter val="(18,655,173)"/>
        <filter val="(26,460,000)"/>
        <filter val="1,011,950"/>
        <filter val="1,228,146"/>
        <filter val="1,279,004"/>
        <filter val="1,340,969"/>
        <filter val="10,238"/>
        <filter val="101,820"/>
        <filter val="108,171"/>
        <filter val="11,164,124"/>
        <filter val="12,265"/>
        <filter val="12,505,093"/>
        <filter val="13,122"/>
        <filter val="13,396"/>
        <filter val="136,529"/>
        <filter val="14,936,848"/>
        <filter val="148,207"/>
        <filter val="152,333"/>
        <filter val="157,333"/>
        <filter val="16,460"/>
        <filter val="160,163"/>
        <filter val="165,269"/>
        <filter val="166,485"/>
        <filter val="174,804"/>
        <filter val="18,397"/>
        <filter val="194,142"/>
        <filter val="2,053,748"/>
        <filter val="2,430,847"/>
        <filter val="2,973,526"/>
        <filter val="20,000"/>
        <filter val="20,233,366"/>
        <filter val="21,000"/>
        <filter val="22,752,256"/>
        <filter val="250,000"/>
        <filter val="27,810"/>
        <filter val="276,251"/>
        <filter val="286,485"/>
        <filter val="3,150,171"/>
        <filter val="3,160,212"/>
        <filter val="3,600"/>
        <filter val="3,943"/>
        <filter val="312,960"/>
        <filter val="350,072"/>
        <filter val="36,456"/>
        <filter val="367,686"/>
        <filter val="4,831,301"/>
        <filter val="42,926"/>
        <filter val="433,770"/>
        <filter val="44,319"/>
        <filter val="465,142"/>
        <filter val="47,657"/>
        <filter val="478,866"/>
        <filter val="5,000"/>
        <filter val="50,405"/>
        <filter val="55,875"/>
        <filter val="552,880"/>
        <filter val="574,007"/>
        <filter val="584,963"/>
        <filter val="60,000"/>
        <filter val="61,038"/>
        <filter val="64,012"/>
        <filter val="7,350"/>
        <filter val="7,804,827"/>
        <filter val="73,588"/>
        <filter val="74,909"/>
        <filter val="756,439"/>
        <filter val="774,744"/>
        <filter val="8,137"/>
        <filter val="8,190,719"/>
        <filter val="8,899"/>
        <filter val="810,444"/>
        <filter val="854,617"/>
        <filter val="908,160"/>
        <filter val="915,219"/>
        <filter val="94,684"/>
      </filters>
    </filterColumn>
  </autoFilter>
  <conditionalFormatting sqref="K5:W5">
    <cfRule type="cellIs" dxfId="144" priority="4" stopIfTrue="1" operator="equal">
      <formula>"Actual"</formula>
    </cfRule>
    <cfRule type="cellIs" dxfId="143" priority="5" stopIfTrue="1" operator="equal">
      <formula>"Forecast"</formula>
    </cfRule>
    <cfRule type="cellIs" dxfId="142" priority="6" stopIfTrue="1" operator="equal">
      <formula>"Budget"</formula>
    </cfRule>
  </conditionalFormatting>
  <conditionalFormatting sqref="Y5:AK5">
    <cfRule type="cellIs" dxfId="141" priority="1" stopIfTrue="1" operator="equal">
      <formula>"Actual"</formula>
    </cfRule>
    <cfRule type="cellIs" dxfId="140" priority="2" stopIfTrue="1" operator="equal">
      <formula>"Forecast"</formula>
    </cfRule>
    <cfRule type="cellIs" dxfId="139" priority="3" stopIfTrue="1" operator="equal">
      <formula>"Budget"</formula>
    </cfRule>
  </conditionalFormatting>
  <dataValidations count="1">
    <dataValidation type="list" allowBlank="1" showInputMessage="1" showErrorMessage="1" sqref="K5:W5 Y5:AK5" xr:uid="{00000000-0002-0000-0800-000000000000}">
      <formula1>"Actual,Forecast,Budget"</formula1>
    </dataValidation>
  </dataValidations>
  <printOptions horizontalCentered="1" headings="1" gridLines="1"/>
  <pageMargins left="0.39" right="0.35" top="0.59" bottom="0.59" header="0.31" footer="0.31"/>
  <pageSetup paperSize="8" scale="27" orientation="landscape" cellComments="asDisplayed" r:id="rId1"/>
  <headerFooter scaleWithDoc="0" alignWithMargins="0">
    <oddFooter>&amp;L&amp;"Arial,Regular"&amp;8&amp;Z
&amp;F  
&amp;A&amp;CPage &amp;P of &amp;N
&amp;R&amp;"Times New Roman,Regular"&amp;8&amp;D
&amp;T</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pageSetUpPr fitToPage="1"/>
  </sheetPr>
  <dimension ref="A1:XFC219"/>
  <sheetViews>
    <sheetView zoomScale="60" zoomScaleNormal="60" workbookViewId="0">
      <pane xSplit="2" ySplit="6" topLeftCell="K7" activePane="bottomRight" state="frozen"/>
      <selection pane="topRight" activeCell="C1" sqref="C1"/>
      <selection pane="bottomLeft" activeCell="A7" sqref="A7"/>
      <selection pane="bottomRight" activeCell="O32" sqref="O32"/>
    </sheetView>
  </sheetViews>
  <sheetFormatPr defaultColWidth="8.75" defaultRowHeight="13.5" customHeight="1"/>
  <cols>
    <col min="1" max="1" width="12.375" style="652" customWidth="1"/>
    <col min="2" max="2" width="18.375" style="653" customWidth="1"/>
    <col min="3" max="3" width="15.875" style="652" customWidth="1"/>
    <col min="4" max="9" width="12.25" style="654" customWidth="1"/>
    <col min="10" max="10" width="2.625" style="654" customWidth="1"/>
    <col min="11" max="22" width="10.375" style="652" customWidth="1"/>
    <col min="23" max="23" width="10.875" style="652" customWidth="1"/>
    <col min="24" max="24" width="8.75" style="652" customWidth="1"/>
    <col min="25" max="25" width="10.5" style="652" customWidth="1"/>
    <col min="26" max="36" width="8.75" style="652"/>
    <col min="37" max="37" width="9.625" style="652" bestFit="1" customWidth="1"/>
    <col min="38" max="16383" width="8.75" style="652"/>
  </cols>
  <sheetData>
    <row r="1" spans="1:37" ht="16.5" customHeight="1">
      <c r="B1" s="681" t="s">
        <v>2482</v>
      </c>
      <c r="C1" s="5"/>
      <c r="D1" s="612" t="s">
        <v>2110</v>
      </c>
      <c r="E1" s="612"/>
      <c r="F1" s="612"/>
    </row>
    <row r="2" spans="1:37" ht="16.5" customHeight="1"/>
    <row r="3" spans="1:37" ht="16.5" customHeight="1">
      <c r="B3" s="663" t="s">
        <v>2484</v>
      </c>
      <c r="C3" s="682"/>
      <c r="D3" s="5" t="s">
        <v>2046</v>
      </c>
      <c r="E3" s="5"/>
      <c r="F3" s="5"/>
    </row>
    <row r="4" spans="1:37" ht="16.5" customHeight="1">
      <c r="K4" s="662"/>
    </row>
    <row r="5" spans="1:37" ht="13.5" customHeight="1">
      <c r="B5" s="663"/>
      <c r="D5" s="664" t="s">
        <v>2495</v>
      </c>
      <c r="E5" s="664" t="s">
        <v>2496</v>
      </c>
      <c r="F5" s="664" t="s">
        <v>2497</v>
      </c>
      <c r="G5" s="664" t="s">
        <v>2498</v>
      </c>
      <c r="H5" s="664" t="s">
        <v>2499</v>
      </c>
      <c r="I5" s="664" t="s">
        <v>2500</v>
      </c>
      <c r="J5" s="665"/>
      <c r="K5" s="666" t="s">
        <v>2501</v>
      </c>
      <c r="L5" s="666" t="s">
        <v>2501</v>
      </c>
      <c r="M5" s="666" t="s">
        <v>2501</v>
      </c>
      <c r="N5" s="666" t="s">
        <v>2501</v>
      </c>
      <c r="O5" s="666" t="s">
        <v>2501</v>
      </c>
      <c r="P5" s="666" t="s">
        <v>2501</v>
      </c>
      <c r="Q5" s="666" t="s">
        <v>2501</v>
      </c>
      <c r="R5" s="666" t="s">
        <v>2501</v>
      </c>
      <c r="S5" s="666" t="s">
        <v>2501</v>
      </c>
      <c r="T5" s="666" t="s">
        <v>2501</v>
      </c>
      <c r="U5" s="666" t="s">
        <v>2501</v>
      </c>
      <c r="V5" s="666" t="s">
        <v>2501</v>
      </c>
      <c r="W5" s="666" t="s">
        <v>2501</v>
      </c>
      <c r="Y5" s="666" t="s">
        <v>2502</v>
      </c>
      <c r="Z5" s="666" t="s">
        <v>2502</v>
      </c>
      <c r="AA5" s="666" t="s">
        <v>2502</v>
      </c>
      <c r="AB5" s="666" t="s">
        <v>2502</v>
      </c>
      <c r="AC5" s="666" t="s">
        <v>2502</v>
      </c>
      <c r="AD5" s="666" t="s">
        <v>2502</v>
      </c>
      <c r="AE5" s="666" t="s">
        <v>2502</v>
      </c>
      <c r="AF5" s="666" t="s">
        <v>2502</v>
      </c>
      <c r="AG5" s="666" t="s">
        <v>2502</v>
      </c>
      <c r="AH5" s="666" t="s">
        <v>2502</v>
      </c>
      <c r="AI5" s="666" t="s">
        <v>2502</v>
      </c>
      <c r="AJ5" s="666" t="s">
        <v>2502</v>
      </c>
      <c r="AK5" s="666" t="s">
        <v>2502</v>
      </c>
    </row>
    <row r="6" spans="1:37" s="648" customFormat="1" ht="13.5" customHeight="1">
      <c r="A6" s="649" t="s">
        <v>2488</v>
      </c>
      <c r="B6" s="667"/>
      <c r="D6" s="668">
        <f>'Flash Report'!$C$2</f>
        <v>46023</v>
      </c>
      <c r="E6" s="668">
        <f>D6-365</f>
        <v>45658</v>
      </c>
      <c r="F6" s="683" t="s">
        <v>2503</v>
      </c>
      <c r="G6" s="684">
        <f>D6</f>
        <v>46023</v>
      </c>
      <c r="H6" s="684">
        <f>E6</f>
        <v>45658</v>
      </c>
      <c r="I6" s="685" t="s">
        <v>2503</v>
      </c>
      <c r="J6" s="669"/>
      <c r="K6" s="670">
        <v>46023</v>
      </c>
      <c r="L6" s="670">
        <v>46054</v>
      </c>
      <c r="M6" s="670">
        <v>46082</v>
      </c>
      <c r="N6" s="670">
        <v>46113</v>
      </c>
      <c r="O6" s="670">
        <v>46143</v>
      </c>
      <c r="P6" s="670">
        <v>46174</v>
      </c>
      <c r="Q6" s="670">
        <v>46204</v>
      </c>
      <c r="R6" s="670">
        <v>46235</v>
      </c>
      <c r="S6" s="670">
        <v>46266</v>
      </c>
      <c r="T6" s="670">
        <v>46296</v>
      </c>
      <c r="U6" s="670">
        <v>46327</v>
      </c>
      <c r="V6" s="670">
        <v>46357</v>
      </c>
      <c r="W6" s="671" t="s">
        <v>2504</v>
      </c>
      <c r="Y6" s="670">
        <f>'Budget-合并'!Y6</f>
        <v>46388</v>
      </c>
      <c r="Z6" s="670">
        <f>'Budget-合并'!Z6</f>
        <v>46419</v>
      </c>
      <c r="AA6" s="670">
        <f>'Budget-合并'!AA6</f>
        <v>46447</v>
      </c>
      <c r="AB6" s="670">
        <f>'Budget-合并'!AB6</f>
        <v>46478</v>
      </c>
      <c r="AC6" s="670">
        <f>'Budget-合并'!AC6</f>
        <v>46508</v>
      </c>
      <c r="AD6" s="670">
        <f>'Budget-合并'!AD6</f>
        <v>46539</v>
      </c>
      <c r="AE6" s="670">
        <f>'Budget-合并'!AE6</f>
        <v>46569</v>
      </c>
      <c r="AF6" s="670">
        <f>'Budget-合并'!AF6</f>
        <v>46600</v>
      </c>
      <c r="AG6" s="670">
        <f>'Budget-合并'!AG6</f>
        <v>46631</v>
      </c>
      <c r="AH6" s="670">
        <f>'Budget-合并'!AH6</f>
        <v>46661</v>
      </c>
      <c r="AI6" s="670">
        <f>'Budget-合并'!AI6</f>
        <v>46692</v>
      </c>
      <c r="AJ6" s="670">
        <f>'Budget-合并'!AJ6</f>
        <v>46722</v>
      </c>
      <c r="AK6" s="671" t="str">
        <f>'Budget-合并'!AK6</f>
        <v>2027 Total</v>
      </c>
    </row>
    <row r="7" spans="1:37" s="649" customFormat="1" ht="13.5" customHeight="1">
      <c r="A7" s="653" t="str">
        <f>'Budget-合并'!A7</f>
        <v>6001</v>
      </c>
      <c r="B7" s="686" t="str">
        <f>'Budget-合并'!B7</f>
        <v>营业收入</v>
      </c>
      <c r="C7" s="687">
        <f>VLOOKUP(A7,Account!A:F,4,0)</f>
        <v>0</v>
      </c>
      <c r="D7" s="674"/>
      <c r="E7" s="674"/>
      <c r="F7" s="674"/>
      <c r="G7" s="674"/>
      <c r="H7" s="674"/>
      <c r="I7" s="674"/>
      <c r="J7" s="674"/>
      <c r="K7" s="674"/>
      <c r="L7" s="674"/>
      <c r="M7" s="674"/>
      <c r="N7" s="674"/>
      <c r="O7" s="674"/>
      <c r="P7" s="674"/>
      <c r="Q7" s="674"/>
      <c r="R7" s="674"/>
      <c r="S7" s="674"/>
      <c r="T7" s="674"/>
      <c r="U7" s="674"/>
      <c r="V7" s="674"/>
      <c r="W7" s="674"/>
    </row>
    <row r="8" spans="1:37" ht="13.5" customHeight="1">
      <c r="A8" s="653" t="str">
        <f>'Budget-合并'!A8</f>
        <v>6001.01</v>
      </c>
      <c r="B8" s="653" t="str">
        <f>'Budget-合并'!B8</f>
        <v>基金管理费收入</v>
      </c>
      <c r="C8" s="687" t="str">
        <f>'Budget-合并'!C8</f>
        <v>Fund Management Fee</v>
      </c>
      <c r="D8" s="676">
        <f>INDEX($K8:$V8,1,MATCH($D$6,$K$6:$V$6))</f>
        <v>0</v>
      </c>
      <c r="E8" s="676" t="e">
        <f t="shared" ref="E8:E12" si="0">INDEX($Y8:$AJ8,1,MATCH($E$6,$Y$6:$AJ$6))</f>
        <v>#N/A</v>
      </c>
      <c r="F8" s="676" t="e">
        <f>D8-E8</f>
        <v>#N/A</v>
      </c>
      <c r="G8" s="676">
        <f ca="1">SUM($K8:OFFSET($K8,0,MATCH(G$6,$K$6:$V$6)-1))</f>
        <v>0</v>
      </c>
      <c r="H8" s="676" t="e">
        <f t="shared" ref="H8:H12" ca="1" si="1">SUM($Y8:OFFSET($Y8,0,MATCH(H$6,$Y$6:$AJ$6)-1))</f>
        <v>#N/A</v>
      </c>
      <c r="I8" s="676" t="e">
        <f ca="1">G8-H8</f>
        <v>#N/A</v>
      </c>
      <c r="K8" s="676">
        <v>0</v>
      </c>
      <c r="L8" s="676">
        <v>0</v>
      </c>
      <c r="M8" s="676">
        <v>0</v>
      </c>
      <c r="N8" s="676">
        <v>0</v>
      </c>
      <c r="O8" s="676">
        <v>0</v>
      </c>
      <c r="P8" s="676">
        <v>0</v>
      </c>
      <c r="Q8" s="676">
        <v>0</v>
      </c>
      <c r="R8" s="676">
        <v>0</v>
      </c>
      <c r="S8" s="676">
        <v>0</v>
      </c>
      <c r="T8" s="676">
        <v>0</v>
      </c>
      <c r="U8" s="676">
        <v>0</v>
      </c>
      <c r="V8" s="676">
        <v>0</v>
      </c>
      <c r="W8" s="676">
        <f>SUM(K8:V8)</f>
        <v>0</v>
      </c>
      <c r="Y8" s="688">
        <f>IFERROR(VLOOKUP($A8,'[91]1月'!$A:$H,8,0),0)</f>
        <v>0</v>
      </c>
      <c r="Z8" s="688">
        <f>IFERROR(VLOOKUP($A8,'[91]2月'!$A:$H,8,0),0)</f>
        <v>0</v>
      </c>
      <c r="AA8" s="688">
        <f>IFERROR(VLOOKUP($A8,'[91]3月'!$A:$H,8,0),0)</f>
        <v>0</v>
      </c>
      <c r="AB8" s="688">
        <f>IFERROR(VLOOKUP($A8,'[91]4月'!$A:$H,8,0),0)</f>
        <v>0</v>
      </c>
      <c r="AC8" s="688">
        <f>IFERROR(VLOOKUP($A8,'[91]5月'!$A:$H,8,0),0)</f>
        <v>0</v>
      </c>
      <c r="AD8" s="688">
        <f>IFERROR(VLOOKUP($A8,'[91]6月'!$A:$H,8,0),0)</f>
        <v>0</v>
      </c>
      <c r="AE8" s="688">
        <f>IFERROR(VLOOKUP($A8,'[91]7月'!$A:$H,8,0),0)</f>
        <v>0</v>
      </c>
      <c r="AF8" s="688">
        <f>IFERROR(VLOOKUP($A8,'[91]8月'!$A:$H,8,0),0)</f>
        <v>0</v>
      </c>
      <c r="AG8" s="688">
        <f>IFERROR(VLOOKUP($A8,'[91]9月'!$A:$H,8,0),0)</f>
        <v>0</v>
      </c>
      <c r="AH8" s="688">
        <f>IFERROR(VLOOKUP($A8,'[91]10月'!$A:$H,8,0),0)</f>
        <v>0</v>
      </c>
      <c r="AI8" s="688">
        <f>IFERROR(VLOOKUP($A8,'[91]11月'!$A:$H,8,0),0)</f>
        <v>0</v>
      </c>
      <c r="AJ8" s="688">
        <f>IFERROR(VLOOKUP($A8,'[91]12月'!$A:$H,8,0),0)</f>
        <v>0</v>
      </c>
      <c r="AK8" s="688">
        <f t="shared" ref="AK8:AK11" si="2">SUM(Y8:AJ8)</f>
        <v>0</v>
      </c>
    </row>
    <row r="9" spans="1:37" ht="13.5" customHeight="1">
      <c r="A9" s="653" t="str">
        <f>'Budget-合并'!A9</f>
        <v>6001.02</v>
      </c>
      <c r="B9" s="653" t="str">
        <f>'Budget-合并'!B9</f>
        <v>咨询服务费收入</v>
      </c>
      <c r="C9" s="687" t="str">
        <f>'Budget-合并'!C9</f>
        <v>Advisory Fee Income</v>
      </c>
      <c r="D9" s="676">
        <f t="shared" ref="D9:D19" si="3">INDEX($K9:$V9,1,MATCH($D$6,$K$6:$V$6))</f>
        <v>0</v>
      </c>
      <c r="E9" s="676" t="e">
        <f t="shared" si="0"/>
        <v>#N/A</v>
      </c>
      <c r="F9" s="676" t="e">
        <f t="shared" ref="F9:F19" si="4">D9-E9</f>
        <v>#N/A</v>
      </c>
      <c r="G9" s="676">
        <f t="shared" ref="G9:G12" ca="1" si="5">SUM($K9:OFFSET($K9,0,MATCH(G$6,$K$6:$V$6)-1))</f>
        <v>0</v>
      </c>
      <c r="H9" s="676" t="e">
        <f t="shared" ca="1" si="1"/>
        <v>#N/A</v>
      </c>
      <c r="I9" s="676" t="e">
        <f t="shared" ref="I9:I19" ca="1" si="6">G9-H9</f>
        <v>#N/A</v>
      </c>
      <c r="K9" s="676">
        <v>0</v>
      </c>
      <c r="L9" s="676">
        <v>0</v>
      </c>
      <c r="M9" s="676">
        <v>0</v>
      </c>
      <c r="N9" s="676">
        <v>0</v>
      </c>
      <c r="O9" s="676">
        <v>0</v>
      </c>
      <c r="P9" s="676">
        <v>0</v>
      </c>
      <c r="Q9" s="676">
        <v>0</v>
      </c>
      <c r="R9" s="676">
        <v>0</v>
      </c>
      <c r="S9" s="676">
        <v>0</v>
      </c>
      <c r="T9" s="676">
        <v>0</v>
      </c>
      <c r="U9" s="676">
        <v>0</v>
      </c>
      <c r="V9" s="676">
        <v>0</v>
      </c>
      <c r="W9" s="676">
        <f>SUM(K9:V9)</f>
        <v>0</v>
      </c>
      <c r="Y9" s="688">
        <f>IFERROR(VLOOKUP($A9,'[91]1月'!$A:$H,8,0),0)</f>
        <v>0</v>
      </c>
      <c r="Z9" s="688">
        <f>IFERROR(VLOOKUP($A9,'[91]2月'!$A:$H,8,0),0)</f>
        <v>0</v>
      </c>
      <c r="AA9" s="688">
        <f>IFERROR(VLOOKUP($A9,'[91]3月'!$A:$H,8,0),0)</f>
        <v>0</v>
      </c>
      <c r="AB9" s="688">
        <f>IFERROR(VLOOKUP($A9,'[91]4月'!$A:$H,8,0),0)</f>
        <v>0</v>
      </c>
      <c r="AC9" s="688">
        <f>IFERROR(VLOOKUP($A9,'[91]5月'!$A:$H,8,0),0)</f>
        <v>0</v>
      </c>
      <c r="AD9" s="688">
        <f>IFERROR(VLOOKUP($A9,'[91]6月'!$A:$H,8,0),0)</f>
        <v>0</v>
      </c>
      <c r="AE9" s="688">
        <f>IFERROR(VLOOKUP($A9,'[91]7月'!$A:$H,8,0),0)</f>
        <v>0</v>
      </c>
      <c r="AF9" s="688">
        <f>IFERROR(VLOOKUP($A9,'[91]8月'!$A:$H,8,0),0)</f>
        <v>0</v>
      </c>
      <c r="AG9" s="688">
        <f>IFERROR(VLOOKUP($A9,'[91]9月'!$A:$H,8,0),0)</f>
        <v>0</v>
      </c>
      <c r="AH9" s="688">
        <f>IFERROR(VLOOKUP($A9,'[91]10月'!$A:$H,8,0),0)</f>
        <v>0</v>
      </c>
      <c r="AI9" s="688">
        <f>IFERROR(VLOOKUP($A9,'[91]11月'!$A:$H,8,0),0)</f>
        <v>0</v>
      </c>
      <c r="AJ9" s="688">
        <f>IFERROR(VLOOKUP($A9,'[91]12月'!$A:$H,8,0),0)</f>
        <v>0</v>
      </c>
      <c r="AK9" s="688">
        <f t="shared" si="2"/>
        <v>0</v>
      </c>
    </row>
    <row r="10" spans="1:37" ht="13.5" customHeight="1">
      <c r="A10" s="653">
        <f>'Budget-合并'!A10</f>
        <v>0</v>
      </c>
      <c r="B10" s="653" t="str">
        <f>'Budget-合并'!B10</f>
        <v xml:space="preserve">   辉飏咨询服务费</v>
      </c>
      <c r="C10" s="687" t="str">
        <f>'Budget-合并'!C10</f>
        <v xml:space="preserve">  HYNE</v>
      </c>
      <c r="D10" s="676">
        <f t="shared" si="3"/>
        <v>0</v>
      </c>
      <c r="E10" s="676" t="e">
        <f t="shared" si="0"/>
        <v>#N/A</v>
      </c>
      <c r="F10" s="676" t="e">
        <f t="shared" si="4"/>
        <v>#N/A</v>
      </c>
      <c r="G10" s="676">
        <f t="shared" ca="1" si="5"/>
        <v>0</v>
      </c>
      <c r="H10" s="676" t="e">
        <f t="shared" ca="1" si="1"/>
        <v>#N/A</v>
      </c>
      <c r="I10" s="676" t="e">
        <f t="shared" ca="1" si="6"/>
        <v>#N/A</v>
      </c>
      <c r="K10" s="676">
        <v>0</v>
      </c>
      <c r="L10" s="676">
        <v>0</v>
      </c>
      <c r="M10" s="676">
        <v>0</v>
      </c>
      <c r="N10" s="676">
        <v>0</v>
      </c>
      <c r="O10" s="676">
        <v>0</v>
      </c>
      <c r="P10" s="676">
        <v>0</v>
      </c>
      <c r="Q10" s="676">
        <v>0</v>
      </c>
      <c r="R10" s="676">
        <v>0</v>
      </c>
      <c r="S10" s="676">
        <v>0</v>
      </c>
      <c r="T10" s="676">
        <v>0</v>
      </c>
      <c r="U10" s="676">
        <v>0</v>
      </c>
      <c r="V10" s="676">
        <v>0</v>
      </c>
      <c r="W10" s="676">
        <f>SUM(K10:V10)</f>
        <v>0</v>
      </c>
      <c r="Y10" s="688">
        <f>IFERROR(VLOOKUP($A10,'[91]1月'!$A:$H,8,0),0)</f>
        <v>0</v>
      </c>
      <c r="Z10" s="688">
        <f>IFERROR(VLOOKUP($A10,'[91]2月'!$A:$H,8,0),0)</f>
        <v>0</v>
      </c>
      <c r="AA10" s="688">
        <f>IFERROR(VLOOKUP($A10,'[91]3月'!$A:$H,8,0),0)</f>
        <v>0</v>
      </c>
      <c r="AB10" s="688">
        <f>IFERROR(VLOOKUP($A10,'[91]4月'!$A:$H,8,0),0)</f>
        <v>0</v>
      </c>
      <c r="AC10" s="688">
        <f>IFERROR(VLOOKUP($A10,'[91]5月'!$A:$H,8,0),0)</f>
        <v>0</v>
      </c>
      <c r="AD10" s="688">
        <f>IFERROR(VLOOKUP($A10,'[91]6月'!$A:$H,8,0),0)</f>
        <v>0</v>
      </c>
      <c r="AE10" s="688">
        <f>IFERROR(VLOOKUP($A10,'[91]7月'!$A:$H,8,0),0)</f>
        <v>0</v>
      </c>
      <c r="AF10" s="688">
        <f>IFERROR(VLOOKUP($A10,'[91]8月'!$A:$H,8,0),0)</f>
        <v>0</v>
      </c>
      <c r="AG10" s="688">
        <f>IFERROR(VLOOKUP($A10,'[91]9月'!$A:$H,8,0),0)</f>
        <v>0</v>
      </c>
      <c r="AH10" s="688">
        <f>IFERROR(VLOOKUP($A10,'[91]10月'!$A:$H,8,0),0)</f>
        <v>0</v>
      </c>
      <c r="AI10" s="688">
        <f>IFERROR(VLOOKUP($A10,'[91]11月'!$A:$H,8,0),0)</f>
        <v>0</v>
      </c>
      <c r="AJ10" s="688">
        <f>IFERROR(VLOOKUP($A10,'[91]12月'!$A:$H,8,0),0)</f>
        <v>0</v>
      </c>
      <c r="AK10" s="688">
        <f t="shared" si="2"/>
        <v>0</v>
      </c>
    </row>
    <row r="11" spans="1:37" ht="13.5" customHeight="1">
      <c r="A11" s="653">
        <f>'Budget-合并'!A11</f>
        <v>0</v>
      </c>
      <c r="B11" s="653" t="str">
        <f>'Budget-合并'!B11</f>
        <v xml:space="preserve">      MAA咨询管理费</v>
      </c>
      <c r="C11" s="687" t="str">
        <f>'Budget-合并'!C11</f>
        <v xml:space="preserve">  MAA</v>
      </c>
      <c r="D11" s="676">
        <f t="shared" si="3"/>
        <v>0</v>
      </c>
      <c r="E11" s="676" t="e">
        <f t="shared" si="0"/>
        <v>#N/A</v>
      </c>
      <c r="F11" s="676" t="e">
        <f t="shared" si="4"/>
        <v>#N/A</v>
      </c>
      <c r="G11" s="676">
        <f t="shared" ca="1" si="5"/>
        <v>0</v>
      </c>
      <c r="H11" s="676" t="e">
        <f t="shared" ca="1" si="1"/>
        <v>#N/A</v>
      </c>
      <c r="I11" s="676" t="e">
        <f t="shared" ca="1" si="6"/>
        <v>#N/A</v>
      </c>
      <c r="K11" s="676">
        <v>0</v>
      </c>
      <c r="L11" s="676">
        <v>0</v>
      </c>
      <c r="M11" s="676">
        <v>0</v>
      </c>
      <c r="N11" s="676">
        <v>0</v>
      </c>
      <c r="O11" s="676">
        <v>0</v>
      </c>
      <c r="P11" s="676">
        <v>0</v>
      </c>
      <c r="Q11" s="676">
        <v>0</v>
      </c>
      <c r="R11" s="676">
        <v>0</v>
      </c>
      <c r="S11" s="676">
        <v>0</v>
      </c>
      <c r="T11" s="676">
        <v>0</v>
      </c>
      <c r="U11" s="676">
        <v>0</v>
      </c>
      <c r="V11" s="676">
        <v>0</v>
      </c>
      <c r="W11" s="676">
        <f>SUM(K11:V11)</f>
        <v>0</v>
      </c>
      <c r="Y11" s="688">
        <f>IFERROR(VLOOKUP($A11,'[91]1月'!$A:$H,8,0),0)</f>
        <v>0</v>
      </c>
      <c r="Z11" s="688">
        <f>IFERROR(VLOOKUP($A11,'[91]2月'!$A:$H,8,0),0)</f>
        <v>0</v>
      </c>
      <c r="AA11" s="688">
        <f>IFERROR(VLOOKUP($A11,'[91]3月'!$A:$H,8,0),0)</f>
        <v>0</v>
      </c>
      <c r="AB11" s="688">
        <f>IFERROR(VLOOKUP($A11,'[91]4月'!$A:$H,8,0),0)</f>
        <v>0</v>
      </c>
      <c r="AC11" s="688">
        <f>IFERROR(VLOOKUP($A11,'[91]5月'!$A:$H,8,0),0)</f>
        <v>0</v>
      </c>
      <c r="AD11" s="688">
        <f>IFERROR(VLOOKUP($A11,'[91]6月'!$A:$H,8,0),0)</f>
        <v>0</v>
      </c>
      <c r="AE11" s="688">
        <f>IFERROR(VLOOKUP($A11,'[91]7月'!$A:$H,8,0),0)</f>
        <v>0</v>
      </c>
      <c r="AF11" s="688">
        <f>IFERROR(VLOOKUP($A11,'[91]8月'!$A:$H,8,0),0)</f>
        <v>0</v>
      </c>
      <c r="AG11" s="688">
        <f>IFERROR(VLOOKUP($A11,'[91]9月'!$A:$H,8,0),0)</f>
        <v>0</v>
      </c>
      <c r="AH11" s="688">
        <f>IFERROR(VLOOKUP($A11,'[91]10月'!$A:$H,8,0),0)</f>
        <v>0</v>
      </c>
      <c r="AI11" s="688">
        <f>IFERROR(VLOOKUP($A11,'[91]11月'!$A:$H,8,0),0)</f>
        <v>0</v>
      </c>
      <c r="AJ11" s="688">
        <f>IFERROR(VLOOKUP($A11,'[91]12月'!$A:$H,8,0),0)</f>
        <v>0</v>
      </c>
      <c r="AK11" s="688">
        <f t="shared" si="2"/>
        <v>0</v>
      </c>
    </row>
    <row r="12" spans="1:37" s="680" customFormat="1" ht="13.5" customHeight="1">
      <c r="A12" s="653">
        <f>'Budget-合并'!A12</f>
        <v>0</v>
      </c>
      <c r="B12" s="686" t="str">
        <f>'Budget-合并'!B12</f>
        <v>营业收入合计</v>
      </c>
      <c r="C12" s="687">
        <f>'Budget-合并'!C12</f>
        <v>0</v>
      </c>
      <c r="D12" s="654">
        <f t="shared" si="3"/>
        <v>0</v>
      </c>
      <c r="E12" s="654" t="e">
        <f t="shared" si="0"/>
        <v>#N/A</v>
      </c>
      <c r="F12" s="654" t="e">
        <f t="shared" si="4"/>
        <v>#N/A</v>
      </c>
      <c r="G12" s="654">
        <f t="shared" ca="1" si="5"/>
        <v>0</v>
      </c>
      <c r="H12" s="654" t="e">
        <f t="shared" ca="1" si="1"/>
        <v>#N/A</v>
      </c>
      <c r="I12" s="654" t="e">
        <f t="shared" ca="1" si="6"/>
        <v>#N/A</v>
      </c>
      <c r="J12" s="654"/>
      <c r="K12" s="654">
        <f>SUM(K8,K9)</f>
        <v>0</v>
      </c>
      <c r="L12" s="654">
        <f t="shared" ref="L12:W12" si="7">SUM(L8,L9)</f>
        <v>0</v>
      </c>
      <c r="M12" s="654">
        <f t="shared" si="7"/>
        <v>0</v>
      </c>
      <c r="N12" s="654">
        <f t="shared" si="7"/>
        <v>0</v>
      </c>
      <c r="O12" s="654">
        <f t="shared" si="7"/>
        <v>0</v>
      </c>
      <c r="P12" s="654">
        <f t="shared" si="7"/>
        <v>0</v>
      </c>
      <c r="Q12" s="654">
        <f t="shared" si="7"/>
        <v>0</v>
      </c>
      <c r="R12" s="654">
        <f t="shared" si="7"/>
        <v>0</v>
      </c>
      <c r="S12" s="654">
        <f t="shared" si="7"/>
        <v>0</v>
      </c>
      <c r="T12" s="654">
        <f t="shared" si="7"/>
        <v>0</v>
      </c>
      <c r="U12" s="654">
        <f t="shared" si="7"/>
        <v>0</v>
      </c>
      <c r="V12" s="654">
        <f t="shared" si="7"/>
        <v>0</v>
      </c>
      <c r="W12" s="654">
        <f t="shared" si="7"/>
        <v>0</v>
      </c>
      <c r="Y12" s="654">
        <f t="shared" ref="Y12:AK12" si="8">SUM(Y8,Y9)</f>
        <v>0</v>
      </c>
      <c r="Z12" s="654">
        <f t="shared" si="8"/>
        <v>0</v>
      </c>
      <c r="AA12" s="654">
        <f t="shared" si="8"/>
        <v>0</v>
      </c>
      <c r="AB12" s="654">
        <f t="shared" si="8"/>
        <v>0</v>
      </c>
      <c r="AC12" s="654">
        <f t="shared" si="8"/>
        <v>0</v>
      </c>
      <c r="AD12" s="654">
        <f t="shared" si="8"/>
        <v>0</v>
      </c>
      <c r="AE12" s="654">
        <f t="shared" si="8"/>
        <v>0</v>
      </c>
      <c r="AF12" s="654">
        <f t="shared" si="8"/>
        <v>0</v>
      </c>
      <c r="AG12" s="654">
        <f t="shared" si="8"/>
        <v>0</v>
      </c>
      <c r="AH12" s="654">
        <f t="shared" si="8"/>
        <v>0</v>
      </c>
      <c r="AI12" s="654">
        <f t="shared" si="8"/>
        <v>0</v>
      </c>
      <c r="AJ12" s="654">
        <f t="shared" si="8"/>
        <v>0</v>
      </c>
      <c r="AK12" s="654">
        <f t="shared" si="8"/>
        <v>0</v>
      </c>
    </row>
    <row r="13" spans="1:37" ht="13.5" customHeight="1">
      <c r="A13" s="653">
        <f>'Budget-合并'!A13</f>
        <v>0</v>
      </c>
      <c r="B13" s="653">
        <f>'Budget-合并'!B13</f>
        <v>0</v>
      </c>
      <c r="C13" s="687">
        <f>'Budget-合并'!C13</f>
        <v>0</v>
      </c>
      <c r="K13" s="654"/>
      <c r="L13" s="654"/>
      <c r="M13" s="654"/>
      <c r="N13" s="654"/>
      <c r="O13" s="654"/>
      <c r="P13" s="654"/>
      <c r="Q13" s="654"/>
      <c r="R13" s="654"/>
      <c r="S13" s="654"/>
      <c r="T13" s="654"/>
      <c r="U13" s="654"/>
      <c r="V13" s="654"/>
      <c r="W13" s="654"/>
    </row>
    <row r="14" spans="1:37" ht="13.5" customHeight="1">
      <c r="A14" s="653" t="str">
        <f>'Budget-合并'!A14</f>
        <v>6405.01</v>
      </c>
      <c r="B14" s="653" t="str">
        <f>'Budget-合并'!B14</f>
        <v>印花税</v>
      </c>
      <c r="C14" s="687" t="str">
        <f>'Budget-合并'!C14</f>
        <v>Stamp Duty</v>
      </c>
      <c r="D14" s="676">
        <f t="shared" si="3"/>
        <v>0</v>
      </c>
      <c r="E14" s="676" t="e">
        <f t="shared" ref="E14:E19" si="9">INDEX($Y14:$AJ14,1,MATCH($E$6,$Y$6:$AJ$6))</f>
        <v>#N/A</v>
      </c>
      <c r="F14" s="676" t="e">
        <f t="shared" si="4"/>
        <v>#N/A</v>
      </c>
      <c r="G14" s="676">
        <f t="shared" ref="G14:G19" ca="1" si="10">SUM($K14:OFFSET($K14,0,MATCH(G$6,$K$6:$V$6)-1))</f>
        <v>0</v>
      </c>
      <c r="H14" s="676" t="e">
        <f t="shared" ref="H14:H19" ca="1" si="11">SUM($Y14:OFFSET($Y14,0,MATCH(H$6,$Y$6:$AJ$6)-1))</f>
        <v>#N/A</v>
      </c>
      <c r="I14" s="676" t="e">
        <f t="shared" ca="1" si="6"/>
        <v>#N/A</v>
      </c>
      <c r="K14" s="676"/>
      <c r="L14" s="676"/>
      <c r="M14" s="676"/>
      <c r="N14" s="676"/>
      <c r="O14" s="676"/>
      <c r="P14" s="676"/>
      <c r="Q14" s="676"/>
      <c r="R14" s="676"/>
      <c r="S14" s="676"/>
      <c r="T14" s="676"/>
      <c r="U14" s="676"/>
      <c r="V14" s="676"/>
      <c r="W14" s="676">
        <f>SUM(K14:V14)</f>
        <v>0</v>
      </c>
      <c r="Y14" s="688">
        <f>IFERROR(VLOOKUP($A14,'[91]1月'!$A:$H,8,0),0)</f>
        <v>0</v>
      </c>
      <c r="Z14" s="688">
        <f>IFERROR(VLOOKUP($A14,'[91]2月'!$A:$H,8,0),0)</f>
        <v>0</v>
      </c>
      <c r="AA14" s="688">
        <f>IFERROR(VLOOKUP($A14,'[91]3月'!$A:$H,8,0),0)</f>
        <v>0</v>
      </c>
      <c r="AB14" s="688">
        <f>IFERROR(VLOOKUP($A14,'[91]4月'!$A:$H,8,0),0)</f>
        <v>0</v>
      </c>
      <c r="AC14" s="688">
        <f>IFERROR(VLOOKUP($A14,'[91]5月'!$A:$H,8,0),0)</f>
        <v>0</v>
      </c>
      <c r="AD14" s="688">
        <f>IFERROR(VLOOKUP($A14,'[91]6月'!$A:$H,8,0),0)</f>
        <v>0</v>
      </c>
      <c r="AE14" s="688">
        <f>IFERROR(VLOOKUP($A14,'[91]7月'!$A:$H,8,0),0)</f>
        <v>0</v>
      </c>
      <c r="AF14" s="688">
        <f>IFERROR(VLOOKUP($A14,'[91]8月'!$A:$H,8,0),0)</f>
        <v>0</v>
      </c>
      <c r="AG14" s="688">
        <f>IFERROR(VLOOKUP($A14,'[91]9月'!$A:$H,8,0),0)</f>
        <v>0</v>
      </c>
      <c r="AH14" s="688">
        <f>IFERROR(VLOOKUP($A14,'[91]10月'!$A:$H,8,0),0)</f>
        <v>0</v>
      </c>
      <c r="AI14" s="688">
        <f>IFERROR(VLOOKUP($A14,'[91]11月'!$A:$H,8,0),0)</f>
        <v>0</v>
      </c>
      <c r="AJ14" s="688">
        <f>IFERROR(VLOOKUP($A14,'[91]12月'!$A:$H,8,0),0)</f>
        <v>0</v>
      </c>
      <c r="AK14" s="688">
        <f t="shared" ref="AK14:AK18" si="12">SUM(Y14:AJ14)</f>
        <v>0</v>
      </c>
    </row>
    <row r="15" spans="1:37" ht="13.5" customHeight="1">
      <c r="A15" s="653" t="str">
        <f>'Budget-合并'!A15</f>
        <v>6405.02</v>
      </c>
      <c r="B15" s="653" t="str">
        <f>'Budget-合并'!B15</f>
        <v>城市维护建设税</v>
      </c>
      <c r="C15" s="687" t="str">
        <f>'Budget-合并'!C15</f>
        <v>VAT surcharge</v>
      </c>
      <c r="D15" s="676">
        <f t="shared" si="3"/>
        <v>0</v>
      </c>
      <c r="E15" s="676" t="e">
        <f t="shared" si="9"/>
        <v>#N/A</v>
      </c>
      <c r="F15" s="676" t="e">
        <f t="shared" si="4"/>
        <v>#N/A</v>
      </c>
      <c r="G15" s="676">
        <f t="shared" ca="1" si="10"/>
        <v>0</v>
      </c>
      <c r="H15" s="676" t="e">
        <f t="shared" ca="1" si="11"/>
        <v>#N/A</v>
      </c>
      <c r="I15" s="676" t="e">
        <f t="shared" ca="1" si="6"/>
        <v>#N/A</v>
      </c>
      <c r="K15" s="676"/>
      <c r="L15" s="676"/>
      <c r="M15" s="676"/>
      <c r="N15" s="676"/>
      <c r="O15" s="676"/>
      <c r="P15" s="676"/>
      <c r="Q15" s="676"/>
      <c r="R15" s="676"/>
      <c r="S15" s="676"/>
      <c r="T15" s="676"/>
      <c r="U15" s="676"/>
      <c r="V15" s="676"/>
      <c r="W15" s="676">
        <f>SUM(K15:V15)</f>
        <v>0</v>
      </c>
      <c r="Y15" s="688">
        <f>IFERROR(VLOOKUP($A15,'[91]1月'!$A:$H,8,0),0)</f>
        <v>0</v>
      </c>
      <c r="Z15" s="688">
        <f>IFERROR(VLOOKUP($A15,'[91]2月'!$A:$H,8,0),0)</f>
        <v>0</v>
      </c>
      <c r="AA15" s="688">
        <f>IFERROR(VLOOKUP($A15,'[91]3月'!$A:$H,8,0),0)</f>
        <v>0</v>
      </c>
      <c r="AB15" s="688">
        <f>IFERROR(VLOOKUP($A15,'[91]4月'!$A:$H,8,0),0)</f>
        <v>0</v>
      </c>
      <c r="AC15" s="688">
        <f>IFERROR(VLOOKUP($A15,'[91]5月'!$A:$H,8,0),0)</f>
        <v>0</v>
      </c>
      <c r="AD15" s="688">
        <f>IFERROR(VLOOKUP($A15,'[91]6月'!$A:$H,8,0),0)</f>
        <v>0</v>
      </c>
      <c r="AE15" s="688">
        <f>IFERROR(VLOOKUP($A15,'[91]7月'!$A:$H,8,0),0)</f>
        <v>0</v>
      </c>
      <c r="AF15" s="688">
        <f>IFERROR(VLOOKUP($A15,'[91]8月'!$A:$H,8,0),0)</f>
        <v>0</v>
      </c>
      <c r="AG15" s="688">
        <f>IFERROR(VLOOKUP($A15,'[91]9月'!$A:$H,8,0),0)</f>
        <v>0</v>
      </c>
      <c r="AH15" s="688">
        <f>IFERROR(VLOOKUP($A15,'[91]10月'!$A:$H,8,0),0)</f>
        <v>0</v>
      </c>
      <c r="AI15" s="688">
        <f>IFERROR(VLOOKUP($A15,'[91]11月'!$A:$H,8,0),0)</f>
        <v>0</v>
      </c>
      <c r="AJ15" s="688">
        <f>IFERROR(VLOOKUP($A15,'[91]12月'!$A:$H,8,0),0)</f>
        <v>0</v>
      </c>
      <c r="AK15" s="688">
        <f t="shared" si="12"/>
        <v>0</v>
      </c>
    </row>
    <row r="16" spans="1:37" ht="13.5" customHeight="1">
      <c r="A16" s="653" t="str">
        <f>'Budget-合并'!A16</f>
        <v>6405.03</v>
      </c>
      <c r="B16" s="653" t="str">
        <f>'Budget-合并'!B16</f>
        <v>教育费附加</v>
      </c>
      <c r="C16" s="687" t="str">
        <f>'Budget-合并'!C16</f>
        <v>VAT surcharge</v>
      </c>
      <c r="D16" s="676">
        <f t="shared" si="3"/>
        <v>0</v>
      </c>
      <c r="E16" s="676" t="e">
        <f t="shared" si="9"/>
        <v>#N/A</v>
      </c>
      <c r="F16" s="676" t="e">
        <f t="shared" si="4"/>
        <v>#N/A</v>
      </c>
      <c r="G16" s="676">
        <f t="shared" ca="1" si="10"/>
        <v>0</v>
      </c>
      <c r="H16" s="676" t="e">
        <f t="shared" ca="1" si="11"/>
        <v>#N/A</v>
      </c>
      <c r="I16" s="676" t="e">
        <f t="shared" ca="1" si="6"/>
        <v>#N/A</v>
      </c>
      <c r="K16" s="676"/>
      <c r="L16" s="676"/>
      <c r="M16" s="676"/>
      <c r="N16" s="676"/>
      <c r="O16" s="676"/>
      <c r="P16" s="676"/>
      <c r="Q16" s="676"/>
      <c r="R16" s="676"/>
      <c r="S16" s="676"/>
      <c r="T16" s="676"/>
      <c r="U16" s="676"/>
      <c r="V16" s="676"/>
      <c r="W16" s="676">
        <f>SUM(K16:V16)</f>
        <v>0</v>
      </c>
      <c r="Y16" s="688">
        <f>IFERROR(VLOOKUP($A16,'[91]1月'!$A:$H,8,0),0)</f>
        <v>0</v>
      </c>
      <c r="Z16" s="688">
        <f>IFERROR(VLOOKUP($A16,'[91]2月'!$A:$H,8,0),0)</f>
        <v>0</v>
      </c>
      <c r="AA16" s="688">
        <f>IFERROR(VLOOKUP($A16,'[91]3月'!$A:$H,8,0),0)</f>
        <v>0</v>
      </c>
      <c r="AB16" s="688">
        <f>IFERROR(VLOOKUP($A16,'[91]4月'!$A:$H,8,0),0)</f>
        <v>0</v>
      </c>
      <c r="AC16" s="688">
        <f>IFERROR(VLOOKUP($A16,'[91]5月'!$A:$H,8,0),0)</f>
        <v>0</v>
      </c>
      <c r="AD16" s="688">
        <f>IFERROR(VLOOKUP($A16,'[91]6月'!$A:$H,8,0),0)</f>
        <v>0</v>
      </c>
      <c r="AE16" s="688">
        <f>IFERROR(VLOOKUP($A16,'[91]7月'!$A:$H,8,0),0)</f>
        <v>0</v>
      </c>
      <c r="AF16" s="688">
        <f>IFERROR(VLOOKUP($A16,'[91]8月'!$A:$H,8,0),0)</f>
        <v>0</v>
      </c>
      <c r="AG16" s="688">
        <f>IFERROR(VLOOKUP($A16,'[91]9月'!$A:$H,8,0),0)</f>
        <v>0</v>
      </c>
      <c r="AH16" s="688">
        <f>IFERROR(VLOOKUP($A16,'[91]10月'!$A:$H,8,0),0)</f>
        <v>0</v>
      </c>
      <c r="AI16" s="688">
        <f>IFERROR(VLOOKUP($A16,'[91]11月'!$A:$H,8,0),0)</f>
        <v>0</v>
      </c>
      <c r="AJ16" s="688">
        <f>IFERROR(VLOOKUP($A16,'[91]12月'!$A:$H,8,0),0)</f>
        <v>0</v>
      </c>
      <c r="AK16" s="688">
        <f t="shared" si="12"/>
        <v>0</v>
      </c>
    </row>
    <row r="17" spans="1:37" ht="13.5" customHeight="1">
      <c r="A17" s="653" t="str">
        <f>'Budget-合并'!A17</f>
        <v>6405.04</v>
      </c>
      <c r="B17" s="653" t="str">
        <f>'Budget-合并'!B17</f>
        <v>地方教育附加</v>
      </c>
      <c r="C17" s="687" t="str">
        <f>'Budget-合并'!C17</f>
        <v>VAT surcharge</v>
      </c>
      <c r="D17" s="676">
        <f t="shared" si="3"/>
        <v>0</v>
      </c>
      <c r="E17" s="676" t="e">
        <f t="shared" si="9"/>
        <v>#N/A</v>
      </c>
      <c r="F17" s="676" t="e">
        <f t="shared" si="4"/>
        <v>#N/A</v>
      </c>
      <c r="G17" s="676">
        <f t="shared" ca="1" si="10"/>
        <v>0</v>
      </c>
      <c r="H17" s="676" t="e">
        <f t="shared" ca="1" si="11"/>
        <v>#N/A</v>
      </c>
      <c r="I17" s="676" t="e">
        <f t="shared" ca="1" si="6"/>
        <v>#N/A</v>
      </c>
      <c r="K17" s="676"/>
      <c r="L17" s="676"/>
      <c r="M17" s="676"/>
      <c r="N17" s="676"/>
      <c r="O17" s="676"/>
      <c r="P17" s="676"/>
      <c r="Q17" s="676"/>
      <c r="R17" s="676"/>
      <c r="S17" s="676"/>
      <c r="T17" s="676"/>
      <c r="U17" s="676"/>
      <c r="V17" s="676"/>
      <c r="W17" s="676">
        <f>SUM(K17:V17)</f>
        <v>0</v>
      </c>
      <c r="Y17" s="688">
        <f>IFERROR(VLOOKUP($A17,'[91]1月'!$A:$H,8,0),0)</f>
        <v>0</v>
      </c>
      <c r="Z17" s="688">
        <f>IFERROR(VLOOKUP($A17,'[91]2月'!$A:$H,8,0),0)</f>
        <v>0</v>
      </c>
      <c r="AA17" s="688">
        <f>IFERROR(VLOOKUP($A17,'[91]3月'!$A:$H,8,0),0)</f>
        <v>0</v>
      </c>
      <c r="AB17" s="688">
        <f>IFERROR(VLOOKUP($A17,'[91]4月'!$A:$H,8,0),0)</f>
        <v>0</v>
      </c>
      <c r="AC17" s="688">
        <f>IFERROR(VLOOKUP($A17,'[91]5月'!$A:$H,8,0),0)</f>
        <v>0</v>
      </c>
      <c r="AD17" s="688">
        <f>IFERROR(VLOOKUP($A17,'[91]6月'!$A:$H,8,0),0)</f>
        <v>0</v>
      </c>
      <c r="AE17" s="688">
        <f>IFERROR(VLOOKUP($A17,'[91]7月'!$A:$H,8,0),0)</f>
        <v>0</v>
      </c>
      <c r="AF17" s="688">
        <f>IFERROR(VLOOKUP($A17,'[91]8月'!$A:$H,8,0),0)</f>
        <v>0</v>
      </c>
      <c r="AG17" s="688">
        <f>IFERROR(VLOOKUP($A17,'[91]9月'!$A:$H,8,0),0)</f>
        <v>0</v>
      </c>
      <c r="AH17" s="688">
        <f>IFERROR(VLOOKUP($A17,'[91]10月'!$A:$H,8,0),0)</f>
        <v>0</v>
      </c>
      <c r="AI17" s="688">
        <f>IFERROR(VLOOKUP($A17,'[91]11月'!$A:$H,8,0),0)</f>
        <v>0</v>
      </c>
      <c r="AJ17" s="688">
        <f>IFERROR(VLOOKUP($A17,'[91]12月'!$A:$H,8,0),0)</f>
        <v>0</v>
      </c>
      <c r="AK17" s="688">
        <f t="shared" si="12"/>
        <v>0</v>
      </c>
    </row>
    <row r="18" spans="1:37" ht="13.5" customHeight="1">
      <c r="A18" s="653" t="str">
        <f>'Budget-合并'!A18</f>
        <v>6405.05</v>
      </c>
      <c r="B18" s="653" t="str">
        <f>'Budget-合并'!B18</f>
        <v>水利建设基金</v>
      </c>
      <c r="C18" s="687">
        <f>'Budget-合并'!C18</f>
        <v>0</v>
      </c>
      <c r="D18" s="676">
        <f t="shared" si="3"/>
        <v>0</v>
      </c>
      <c r="E18" s="676" t="e">
        <f t="shared" si="9"/>
        <v>#N/A</v>
      </c>
      <c r="F18" s="676" t="e">
        <f t="shared" si="4"/>
        <v>#N/A</v>
      </c>
      <c r="G18" s="676">
        <f t="shared" ca="1" si="10"/>
        <v>0</v>
      </c>
      <c r="H18" s="676" t="e">
        <f t="shared" ca="1" si="11"/>
        <v>#N/A</v>
      </c>
      <c r="I18" s="676" t="e">
        <f t="shared" ca="1" si="6"/>
        <v>#N/A</v>
      </c>
      <c r="K18" s="676"/>
      <c r="L18" s="676"/>
      <c r="M18" s="676"/>
      <c r="N18" s="676"/>
      <c r="O18" s="676"/>
      <c r="P18" s="676"/>
      <c r="Q18" s="676"/>
      <c r="R18" s="676"/>
      <c r="S18" s="676"/>
      <c r="T18" s="676"/>
      <c r="U18" s="676"/>
      <c r="V18" s="676"/>
      <c r="W18" s="676">
        <f>SUM(K18:V18)</f>
        <v>0</v>
      </c>
      <c r="Y18" s="688">
        <f>IFERROR(VLOOKUP($A18,'[91]1月'!$A:$H,8,0),0)</f>
        <v>0</v>
      </c>
      <c r="Z18" s="688">
        <f>IFERROR(VLOOKUP($A18,'[91]2月'!$A:$H,8,0),0)</f>
        <v>0</v>
      </c>
      <c r="AA18" s="688">
        <f>IFERROR(VLOOKUP($A18,'[91]3月'!$A:$H,8,0),0)</f>
        <v>0</v>
      </c>
      <c r="AB18" s="688">
        <f>IFERROR(VLOOKUP($A18,'[91]4月'!$A:$H,8,0),0)</f>
        <v>0</v>
      </c>
      <c r="AC18" s="688">
        <f>IFERROR(VLOOKUP($A18,'[91]5月'!$A:$H,8,0),0)</f>
        <v>0</v>
      </c>
      <c r="AD18" s="688">
        <f>IFERROR(VLOOKUP($A18,'[91]6月'!$A:$H,8,0),0)</f>
        <v>0</v>
      </c>
      <c r="AE18" s="688">
        <f>IFERROR(VLOOKUP($A18,'[91]7月'!$A:$H,8,0),0)</f>
        <v>0</v>
      </c>
      <c r="AF18" s="688">
        <f>IFERROR(VLOOKUP($A18,'[91]8月'!$A:$H,8,0),0)</f>
        <v>0</v>
      </c>
      <c r="AG18" s="688">
        <f>IFERROR(VLOOKUP($A18,'[91]9月'!$A:$H,8,0),0)</f>
        <v>0</v>
      </c>
      <c r="AH18" s="688">
        <f>IFERROR(VLOOKUP($A18,'[91]10月'!$A:$H,8,0),0)</f>
        <v>0</v>
      </c>
      <c r="AI18" s="688">
        <f>IFERROR(VLOOKUP($A18,'[91]11月'!$A:$H,8,0),0)</f>
        <v>0</v>
      </c>
      <c r="AJ18" s="688">
        <f>IFERROR(VLOOKUP($A18,'[91]12月'!$A:$H,8,0),0)</f>
        <v>0</v>
      </c>
      <c r="AK18" s="688">
        <f t="shared" si="12"/>
        <v>0</v>
      </c>
    </row>
    <row r="19" spans="1:37" s="680" customFormat="1" ht="13.5" customHeight="1">
      <c r="A19" s="686">
        <f>'Budget-合并'!A19</f>
        <v>6401</v>
      </c>
      <c r="B19" s="686" t="str">
        <f>'Budget-合并'!B19</f>
        <v>税金及附加小计</v>
      </c>
      <c r="C19" s="687">
        <f>'Budget-合并'!C19</f>
        <v>0</v>
      </c>
      <c r="D19" s="654">
        <f t="shared" si="3"/>
        <v>0</v>
      </c>
      <c r="E19" s="654" t="e">
        <f t="shared" si="9"/>
        <v>#N/A</v>
      </c>
      <c r="F19" s="654" t="e">
        <f t="shared" si="4"/>
        <v>#N/A</v>
      </c>
      <c r="G19" s="654">
        <f t="shared" ca="1" si="10"/>
        <v>0</v>
      </c>
      <c r="H19" s="654" t="e">
        <f t="shared" ca="1" si="11"/>
        <v>#N/A</v>
      </c>
      <c r="I19" s="654" t="e">
        <f t="shared" ca="1" si="6"/>
        <v>#N/A</v>
      </c>
      <c r="J19" s="654"/>
      <c r="K19" s="654">
        <f>SUM(K14:K18)</f>
        <v>0</v>
      </c>
      <c r="L19" s="654">
        <f t="shared" ref="L19:W19" si="13">SUM(L14:L18)</f>
        <v>0</v>
      </c>
      <c r="M19" s="654">
        <f t="shared" si="13"/>
        <v>0</v>
      </c>
      <c r="N19" s="654">
        <f t="shared" si="13"/>
        <v>0</v>
      </c>
      <c r="O19" s="654">
        <f t="shared" si="13"/>
        <v>0</v>
      </c>
      <c r="P19" s="654">
        <f t="shared" si="13"/>
        <v>0</v>
      </c>
      <c r="Q19" s="654">
        <f t="shared" si="13"/>
        <v>0</v>
      </c>
      <c r="R19" s="654">
        <f t="shared" si="13"/>
        <v>0</v>
      </c>
      <c r="S19" s="654">
        <f t="shared" si="13"/>
        <v>0</v>
      </c>
      <c r="T19" s="654">
        <f t="shared" si="13"/>
        <v>0</v>
      </c>
      <c r="U19" s="654">
        <f t="shared" si="13"/>
        <v>0</v>
      </c>
      <c r="V19" s="654">
        <f t="shared" si="13"/>
        <v>0</v>
      </c>
      <c r="W19" s="654">
        <f t="shared" si="13"/>
        <v>0</v>
      </c>
      <c r="Y19" s="654">
        <f t="shared" ref="Y19:AK19" si="14">SUM(Y14:Y18)</f>
        <v>0</v>
      </c>
      <c r="Z19" s="654">
        <f t="shared" si="14"/>
        <v>0</v>
      </c>
      <c r="AA19" s="654">
        <f t="shared" si="14"/>
        <v>0</v>
      </c>
      <c r="AB19" s="654">
        <f t="shared" si="14"/>
        <v>0</v>
      </c>
      <c r="AC19" s="654">
        <f t="shared" si="14"/>
        <v>0</v>
      </c>
      <c r="AD19" s="654">
        <f t="shared" si="14"/>
        <v>0</v>
      </c>
      <c r="AE19" s="654">
        <f t="shared" si="14"/>
        <v>0</v>
      </c>
      <c r="AF19" s="654">
        <f t="shared" si="14"/>
        <v>0</v>
      </c>
      <c r="AG19" s="654">
        <f t="shared" si="14"/>
        <v>0</v>
      </c>
      <c r="AH19" s="654">
        <f t="shared" si="14"/>
        <v>0</v>
      </c>
      <c r="AI19" s="654">
        <f t="shared" si="14"/>
        <v>0</v>
      </c>
      <c r="AJ19" s="654">
        <f t="shared" si="14"/>
        <v>0</v>
      </c>
      <c r="AK19" s="654">
        <f t="shared" si="14"/>
        <v>0</v>
      </c>
    </row>
    <row r="20" spans="1:37" ht="13.5" customHeight="1">
      <c r="A20" s="653">
        <f>'Budget-合并'!A20</f>
        <v>0</v>
      </c>
      <c r="B20" s="653">
        <f>'Budget-合并'!B20</f>
        <v>0</v>
      </c>
      <c r="C20" s="687">
        <f>'Budget-合并'!C20</f>
        <v>0</v>
      </c>
      <c r="K20" s="654"/>
      <c r="L20" s="654"/>
      <c r="M20" s="654"/>
      <c r="N20" s="654"/>
      <c r="O20" s="654"/>
      <c r="P20" s="654"/>
      <c r="Q20" s="654"/>
      <c r="R20" s="654"/>
      <c r="S20" s="654"/>
      <c r="T20" s="654"/>
      <c r="U20" s="654"/>
      <c r="V20" s="654"/>
      <c r="W20" s="654"/>
    </row>
    <row r="21" spans="1:37" ht="13.5" customHeight="1">
      <c r="A21" s="653">
        <f>'Budget-合并'!A21</f>
        <v>0</v>
      </c>
      <c r="B21" s="653">
        <f>'Budget-合并'!B21</f>
        <v>0</v>
      </c>
      <c r="C21" s="687">
        <f>'Budget-合并'!C21</f>
        <v>0</v>
      </c>
      <c r="D21" s="677"/>
      <c r="E21" s="677"/>
      <c r="F21" s="677"/>
      <c r="G21" s="677"/>
      <c r="H21" s="677"/>
      <c r="I21" s="677"/>
      <c r="K21" s="677"/>
      <c r="L21" s="677"/>
      <c r="M21" s="677"/>
      <c r="N21" s="677"/>
      <c r="O21" s="677"/>
      <c r="P21" s="677"/>
      <c r="Q21" s="677"/>
      <c r="R21" s="677"/>
      <c r="S21" s="677"/>
      <c r="T21" s="677"/>
      <c r="U21" s="677"/>
      <c r="V21" s="677"/>
      <c r="W21" s="677"/>
    </row>
    <row r="22" spans="1:37" ht="13.5" customHeight="1">
      <c r="A22" s="686" t="str">
        <f>'Budget-合并'!A22</f>
        <v>6602</v>
      </c>
      <c r="B22" s="686" t="str">
        <f>'Budget-合并'!B22</f>
        <v>管理费用</v>
      </c>
      <c r="C22" s="687">
        <f>'Budget-合并'!C22</f>
        <v>0</v>
      </c>
      <c r="D22" s="677"/>
      <c r="E22" s="677"/>
      <c r="F22" s="677"/>
      <c r="G22" s="677"/>
      <c r="H22" s="677"/>
      <c r="I22" s="677"/>
      <c r="K22" s="677"/>
      <c r="L22" s="677"/>
      <c r="M22" s="677"/>
      <c r="N22" s="677"/>
      <c r="O22" s="677"/>
      <c r="P22" s="677"/>
      <c r="Q22" s="677"/>
      <c r="R22" s="677"/>
      <c r="S22" s="677"/>
      <c r="T22" s="677"/>
      <c r="U22" s="677"/>
      <c r="V22" s="677"/>
      <c r="W22" s="677"/>
    </row>
    <row r="23" spans="1:37" ht="13.5" customHeight="1">
      <c r="A23" s="663" t="str">
        <f>'Budget-合并'!A23</f>
        <v>6602.01</v>
      </c>
      <c r="B23" s="663" t="str">
        <f>'Budget-合并'!B23</f>
        <v>工资薪金</v>
      </c>
      <c r="C23" s="687">
        <f>'Budget-合并'!C23</f>
        <v>0</v>
      </c>
      <c r="D23" s="676">
        <f t="shared" ref="D23:D42" si="15">INDEX($K23:$V23,1,MATCH($D$6,$K$6:$V$6))</f>
        <v>364009.99999999988</v>
      </c>
      <c r="E23" s="676" t="e">
        <f t="shared" ref="E23:E42" si="16">INDEX($Y23:$AJ23,1,MATCH($E$6,$Y$6:$AJ$6))</f>
        <v>#N/A</v>
      </c>
      <c r="F23" s="676" t="e">
        <f t="shared" ref="F23:F42" si="17">D23-E23</f>
        <v>#N/A</v>
      </c>
      <c r="G23" s="676">
        <f t="shared" ref="G23:G42" ca="1" si="18">SUM($K23:OFFSET($K23,0,MATCH(G$6,$K$6:$V$6)-1))</f>
        <v>364009.99999999988</v>
      </c>
      <c r="H23" s="676" t="e">
        <f t="shared" ref="H23:H42" ca="1" si="19">SUM($Y23:OFFSET($Y23,0,MATCH(H$6,$Y$6:$AJ$6)-1))</f>
        <v>#N/A</v>
      </c>
      <c r="I23" s="676" t="e">
        <f t="shared" ref="I23:I42" ca="1" si="20">G23-H23</f>
        <v>#N/A</v>
      </c>
      <c r="K23" s="676">
        <f>SUM(K24:K32)</f>
        <v>364009.99999999988</v>
      </c>
      <c r="L23" s="676">
        <f t="shared" ref="L23:V23" si="21">SUM(L24:L32)</f>
        <v>364009.99999999988</v>
      </c>
      <c r="M23" s="676">
        <f t="shared" si="21"/>
        <v>364009.99999999988</v>
      </c>
      <c r="N23" s="676">
        <f>SUM(N24:N32)</f>
        <v>1272170</v>
      </c>
      <c r="O23" s="676">
        <f t="shared" si="21"/>
        <v>364009.99999999988</v>
      </c>
      <c r="P23" s="676">
        <f t="shared" si="21"/>
        <v>364009.99999999988</v>
      </c>
      <c r="Q23" s="676">
        <f t="shared" si="21"/>
        <v>364009.99999999988</v>
      </c>
      <c r="R23" s="676">
        <f t="shared" si="21"/>
        <v>364009.99999999988</v>
      </c>
      <c r="S23" s="676">
        <f t="shared" si="21"/>
        <v>364009.99999999988</v>
      </c>
      <c r="T23" s="676">
        <f t="shared" si="21"/>
        <v>364009.99999999988</v>
      </c>
      <c r="U23" s="676">
        <f t="shared" si="21"/>
        <v>364009.99999999988</v>
      </c>
      <c r="V23" s="676">
        <f t="shared" si="21"/>
        <v>364009.99999999988</v>
      </c>
      <c r="W23" s="676">
        <f>SUM(K23:V23)</f>
        <v>5276279.9999999991</v>
      </c>
      <c r="Y23" s="688">
        <f>IFERROR(VLOOKUP($A23,'[91]1月'!$A:$H,8,0),0)</f>
        <v>525500</v>
      </c>
      <c r="Z23" s="688">
        <f>IFERROR(VLOOKUP($A23,'[91]2月'!$A:$H,8,0),0)</f>
        <v>525500</v>
      </c>
      <c r="AA23" s="688">
        <f>IFERROR(VLOOKUP($A23,'[91]3月'!$A:$H,8,0),0)</f>
        <v>496527.4</v>
      </c>
      <c r="AB23" s="688">
        <f>IFERROR(VLOOKUP($A23,'[91]4月'!$A:$H,8,0),0)</f>
        <v>425500</v>
      </c>
      <c r="AC23" s="688">
        <f>IFERROR(VLOOKUP($A23,'[91]5月'!$A:$H,8,0),0)</f>
        <v>425500</v>
      </c>
      <c r="AD23" s="688">
        <f>IFERROR(VLOOKUP($A23,'[91]6月'!$A:$H,8,0),0)</f>
        <v>425500</v>
      </c>
      <c r="AE23" s="688">
        <f>IFERROR(VLOOKUP($A23,'[91]7月'!$A:$H,8,0),0)</f>
        <v>324500</v>
      </c>
      <c r="AF23" s="688">
        <f>IFERROR(VLOOKUP($A23,'[91]8月'!$A:$H,8,0),0)</f>
        <v>324500</v>
      </c>
      <c r="AG23" s="688">
        <f>IFERROR(VLOOKUP($A23,'[91]9月'!$A:$H,8,0),0)</f>
        <v>324500</v>
      </c>
      <c r="AH23" s="688">
        <f>IFERROR(VLOOKUP($A23,'[91]10月'!$A:$H,8,0),0)</f>
        <v>324500</v>
      </c>
      <c r="AI23" s="688">
        <f>IFERROR(VLOOKUP($A23,'[91]11月'!$A:$H,8,0),0)</f>
        <v>296007.01</v>
      </c>
      <c r="AJ23" s="688">
        <f>IFERROR(VLOOKUP($A23,'[91]12月'!$A:$H,8,0),0)</f>
        <v>324500</v>
      </c>
      <c r="AK23" s="688">
        <f t="shared" ref="AK23:AK41" si="22">SUM(Y23:AJ23)</f>
        <v>4742534.41</v>
      </c>
    </row>
    <row r="24" spans="1:37" ht="13.5" customHeight="1">
      <c r="A24" s="653" t="str">
        <f>'Budget-合并'!A24</f>
        <v>6602.01.01</v>
      </c>
      <c r="B24" s="653" t="str">
        <f>'Budget-合并'!B24</f>
        <v>基本工资（专业）</v>
      </c>
      <c r="C24" s="687" t="str">
        <f>'Budget-合并'!C24</f>
        <v>Salary Professional</v>
      </c>
      <c r="D24" s="676">
        <f t="shared" si="15"/>
        <v>108135</v>
      </c>
      <c r="E24" s="676" t="e">
        <f t="shared" si="16"/>
        <v>#N/A</v>
      </c>
      <c r="F24" s="676" t="e">
        <f t="shared" si="17"/>
        <v>#N/A</v>
      </c>
      <c r="G24" s="676">
        <f t="shared" ca="1" si="18"/>
        <v>108135</v>
      </c>
      <c r="H24" s="676" t="e">
        <f t="shared" ca="1" si="19"/>
        <v>#N/A</v>
      </c>
      <c r="I24" s="676" t="e">
        <f t="shared" ca="1" si="20"/>
        <v>#N/A</v>
      </c>
      <c r="K24" s="676">
        <f>SUM('[90]Personnel-HK 2026'!U$32:U$33)</f>
        <v>108135</v>
      </c>
      <c r="L24" s="676">
        <f>SUM('[90]Personnel-HK 2026'!V$32:V$33)</f>
        <v>108135</v>
      </c>
      <c r="M24" s="676">
        <f>SUM('[90]Personnel-HK 2026'!W$32:W$33)</f>
        <v>108135</v>
      </c>
      <c r="N24" s="676">
        <f>SUM('[90]Personnel-HK 2026'!X$32:X$33)</f>
        <v>108135</v>
      </c>
      <c r="O24" s="676">
        <f>SUM('[90]Personnel-HK 2026'!Y$32:Y$33)</f>
        <v>108135</v>
      </c>
      <c r="P24" s="676">
        <f>SUM('[90]Personnel-HK 2026'!Z$32:Z$33)</f>
        <v>108135</v>
      </c>
      <c r="Q24" s="676">
        <f>SUM('[90]Personnel-HK 2026'!AA$32:AA$33)</f>
        <v>108135</v>
      </c>
      <c r="R24" s="676">
        <f>SUM('[90]Personnel-HK 2026'!AB$32:AB$33)</f>
        <v>108135</v>
      </c>
      <c r="S24" s="676">
        <f>SUM('[90]Personnel-HK 2026'!AC$32:AC$33)</f>
        <v>108135</v>
      </c>
      <c r="T24" s="676">
        <f>SUM('[90]Personnel-HK 2026'!AD$32:AD$33)</f>
        <v>108135</v>
      </c>
      <c r="U24" s="676">
        <f>SUM('[90]Personnel-HK 2026'!AE$32:AE$33)</f>
        <v>108135</v>
      </c>
      <c r="V24" s="676">
        <f>SUM('[90]Personnel-HK 2026'!AF$32:AF$33)</f>
        <v>108135</v>
      </c>
      <c r="W24" s="676">
        <f t="shared" ref="W24:W42" si="23">SUM(K24:V24)</f>
        <v>1297620</v>
      </c>
      <c r="Y24" s="688">
        <f>IFERROR(VLOOKUP($A24,'[91]1月'!$A:$H,8,0),0)</f>
        <v>241000</v>
      </c>
      <c r="Z24" s="688">
        <f>IFERROR(VLOOKUP($A24,'[91]2月'!$A:$H,8,0),0)</f>
        <v>241000</v>
      </c>
      <c r="AA24" s="688">
        <f>IFERROR(VLOOKUP($A24,'[91]3月'!$A:$H,8,0),0)</f>
        <v>241000</v>
      </c>
      <c r="AB24" s="688">
        <f>IFERROR(VLOOKUP($A24,'[91]4月'!$A:$H,8,0),0)</f>
        <v>141000</v>
      </c>
      <c r="AC24" s="688">
        <f>IFERROR(VLOOKUP($A24,'[91]5月'!$A:$H,8,0),0)</f>
        <v>141000</v>
      </c>
      <c r="AD24" s="688">
        <f>IFERROR(VLOOKUP($A24,'[91]6月'!$A:$H,8,0),0)</f>
        <v>141000</v>
      </c>
      <c r="AE24" s="688">
        <f>IFERROR(VLOOKUP($A24,'[91]7月'!$A:$H,8,0),0)</f>
        <v>40000</v>
      </c>
      <c r="AF24" s="688">
        <f>IFERROR(VLOOKUP($A24,'[91]8月'!$A:$H,8,0),0)</f>
        <v>40000</v>
      </c>
      <c r="AG24" s="688">
        <f>IFERROR(VLOOKUP($A24,'[91]9月'!$A:$H,8,0),0)</f>
        <v>40000</v>
      </c>
      <c r="AH24" s="688">
        <f>IFERROR(VLOOKUP($A24,'[91]10月'!$A:$H,8,0),0)</f>
        <v>40000</v>
      </c>
      <c r="AI24" s="688">
        <f>IFERROR(VLOOKUP($A24,'[91]11月'!$A:$H,8,0),0)</f>
        <v>40000</v>
      </c>
      <c r="AJ24" s="688">
        <f>IFERROR(VLOOKUP($A24,'[91]12月'!$A:$H,8,0),0)</f>
        <v>40000</v>
      </c>
      <c r="AK24" s="688">
        <f t="shared" si="22"/>
        <v>1386000</v>
      </c>
    </row>
    <row r="25" spans="1:37" ht="13.5" customHeight="1">
      <c r="A25" s="653" t="str">
        <f>'Budget-合并'!A25</f>
        <v>6602.01.02</v>
      </c>
      <c r="B25" s="653" t="str">
        <f>'Budget-合并'!B25</f>
        <v>加班费</v>
      </c>
      <c r="C25" s="687">
        <f>'Budget-合并'!C25</f>
        <v>0</v>
      </c>
      <c r="D25" s="676">
        <f t="shared" si="15"/>
        <v>0</v>
      </c>
      <c r="E25" s="676" t="e">
        <f t="shared" si="16"/>
        <v>#N/A</v>
      </c>
      <c r="F25" s="676" t="e">
        <f t="shared" si="17"/>
        <v>#N/A</v>
      </c>
      <c r="G25" s="676">
        <f t="shared" ca="1" si="18"/>
        <v>0</v>
      </c>
      <c r="H25" s="676" t="e">
        <f t="shared" ca="1" si="19"/>
        <v>#N/A</v>
      </c>
      <c r="I25" s="676" t="e">
        <f t="shared" ca="1" si="20"/>
        <v>#N/A</v>
      </c>
      <c r="K25" s="676"/>
      <c r="L25" s="676"/>
      <c r="M25" s="676"/>
      <c r="N25" s="676"/>
      <c r="O25" s="676"/>
      <c r="P25" s="676"/>
      <c r="Q25" s="676"/>
      <c r="R25" s="676"/>
      <c r="S25" s="676"/>
      <c r="T25" s="676"/>
      <c r="U25" s="676"/>
      <c r="V25" s="676"/>
      <c r="W25" s="676">
        <f t="shared" si="23"/>
        <v>0</v>
      </c>
      <c r="Y25" s="688">
        <f>IFERROR(VLOOKUP($A25,'[91]1月'!$A:$H,8,0),0)</f>
        <v>0</v>
      </c>
      <c r="Z25" s="688">
        <f>IFERROR(VLOOKUP($A25,'[91]2月'!$A:$H,8,0),0)</f>
        <v>0</v>
      </c>
      <c r="AA25" s="688">
        <f>IFERROR(VLOOKUP($A25,'[91]3月'!$A:$H,8,0),0)</f>
        <v>0</v>
      </c>
      <c r="AB25" s="688">
        <f>IFERROR(VLOOKUP($A25,'[91]4月'!$A:$H,8,0),0)</f>
        <v>0</v>
      </c>
      <c r="AC25" s="688">
        <f>IFERROR(VLOOKUP($A25,'[91]5月'!$A:$H,8,0),0)</f>
        <v>0</v>
      </c>
      <c r="AD25" s="688">
        <f>IFERROR(VLOOKUP($A25,'[91]6月'!$A:$H,8,0),0)</f>
        <v>0</v>
      </c>
      <c r="AE25" s="688">
        <f>IFERROR(VLOOKUP($A25,'[91]7月'!$A:$H,8,0),0)</f>
        <v>0</v>
      </c>
      <c r="AF25" s="688">
        <f>IFERROR(VLOOKUP($A25,'[91]8月'!$A:$H,8,0),0)</f>
        <v>0</v>
      </c>
      <c r="AG25" s="688">
        <f>IFERROR(VLOOKUP($A25,'[91]9月'!$A:$H,8,0),0)</f>
        <v>0</v>
      </c>
      <c r="AH25" s="688">
        <f>IFERROR(VLOOKUP($A25,'[91]10月'!$A:$H,8,0),0)</f>
        <v>0</v>
      </c>
      <c r="AI25" s="688">
        <f>IFERROR(VLOOKUP($A25,'[91]11月'!$A:$H,8,0),0)</f>
        <v>0</v>
      </c>
      <c r="AJ25" s="688">
        <f>IFERROR(VLOOKUP($A25,'[91]12月'!$A:$H,8,0),0)</f>
        <v>0</v>
      </c>
      <c r="AK25" s="688">
        <f t="shared" si="22"/>
        <v>0</v>
      </c>
    </row>
    <row r="26" spans="1:37" ht="13.5" customHeight="1">
      <c r="A26" s="653" t="str">
        <f>'Budget-合并'!A26</f>
        <v>6602.01.03</v>
      </c>
      <c r="B26" s="653" t="str">
        <f>'Budget-合并'!B26</f>
        <v>员工奖金（专业）</v>
      </c>
      <c r="C26" s="687" t="str">
        <f>'Budget-合并'!C26</f>
        <v>Bonus Expense - Professional</v>
      </c>
      <c r="D26" s="676">
        <f t="shared" si="15"/>
        <v>0</v>
      </c>
      <c r="E26" s="676" t="e">
        <f t="shared" si="16"/>
        <v>#N/A</v>
      </c>
      <c r="F26" s="676" t="e">
        <f t="shared" si="17"/>
        <v>#N/A</v>
      </c>
      <c r="G26" s="676">
        <f t="shared" ca="1" si="18"/>
        <v>0</v>
      </c>
      <c r="H26" s="676" t="e">
        <f t="shared" ca="1" si="19"/>
        <v>#N/A</v>
      </c>
      <c r="I26" s="676" t="e">
        <f t="shared" ca="1" si="20"/>
        <v>#N/A</v>
      </c>
      <c r="K26" s="676"/>
      <c r="L26" s="676"/>
      <c r="M26" s="676"/>
      <c r="N26" s="676">
        <v>0</v>
      </c>
      <c r="O26" s="676"/>
      <c r="P26" s="676"/>
      <c r="Q26" s="676"/>
      <c r="R26" s="676"/>
      <c r="S26" s="676"/>
      <c r="T26" s="676"/>
      <c r="U26" s="676"/>
      <c r="V26" s="676"/>
      <c r="W26" s="676">
        <f t="shared" si="23"/>
        <v>0</v>
      </c>
      <c r="Y26" s="688">
        <f>IFERROR(VLOOKUP($A26,'[91]1月'!$A:$H,8,0),0)</f>
        <v>0</v>
      </c>
      <c r="Z26" s="688">
        <f>IFERROR(VLOOKUP($A26,'[91]2月'!$A:$H,8,0),0)</f>
        <v>0</v>
      </c>
      <c r="AA26" s="688">
        <f>IFERROR(VLOOKUP($A26,'[91]3月'!$A:$H,8,0),0)</f>
        <v>0</v>
      </c>
      <c r="AB26" s="688">
        <f>IFERROR(VLOOKUP($A26,'[91]4月'!$A:$H,8,0),0)</f>
        <v>0</v>
      </c>
      <c r="AC26" s="688">
        <f>IFERROR(VLOOKUP($A26,'[91]5月'!$A:$H,8,0),0)</f>
        <v>0</v>
      </c>
      <c r="AD26" s="688">
        <f>IFERROR(VLOOKUP($A26,'[91]6月'!$A:$H,8,0),0)</f>
        <v>0</v>
      </c>
      <c r="AE26" s="688">
        <f>IFERROR(VLOOKUP($A26,'[91]7月'!$A:$H,8,0),0)</f>
        <v>0</v>
      </c>
      <c r="AF26" s="688">
        <f>IFERROR(VLOOKUP($A26,'[91]8月'!$A:$H,8,0),0)</f>
        <v>0</v>
      </c>
      <c r="AG26" s="688">
        <f>IFERROR(VLOOKUP($A26,'[91]9月'!$A:$H,8,0),0)</f>
        <v>0</v>
      </c>
      <c r="AH26" s="688">
        <f>IFERROR(VLOOKUP($A26,'[91]10月'!$A:$H,8,0),0)</f>
        <v>0</v>
      </c>
      <c r="AI26" s="688">
        <f>IFERROR(VLOOKUP($A26,'[91]11月'!$A:$H,8,0),0)</f>
        <v>0</v>
      </c>
      <c r="AJ26" s="688">
        <f>IFERROR(VLOOKUP($A26,'[91]12月'!$A:$H,8,0),0)</f>
        <v>0</v>
      </c>
      <c r="AK26" s="688">
        <f t="shared" si="22"/>
        <v>0</v>
      </c>
    </row>
    <row r="27" spans="1:37" ht="13.5" customHeight="1">
      <c r="A27" s="653" t="str">
        <f>'Budget-合并'!A27</f>
        <v>6602.01.04</v>
      </c>
      <c r="B27" s="653" t="str">
        <f>'Budget-合并'!B27</f>
        <v>员工遣散费</v>
      </c>
      <c r="C27" s="687">
        <f>'Budget-合并'!C27</f>
        <v>0</v>
      </c>
      <c r="D27" s="676">
        <f t="shared" si="15"/>
        <v>0</v>
      </c>
      <c r="E27" s="676" t="e">
        <f t="shared" si="16"/>
        <v>#N/A</v>
      </c>
      <c r="F27" s="676" t="e">
        <f t="shared" si="17"/>
        <v>#N/A</v>
      </c>
      <c r="G27" s="676">
        <f t="shared" ca="1" si="18"/>
        <v>0</v>
      </c>
      <c r="H27" s="676" t="e">
        <f t="shared" ca="1" si="19"/>
        <v>#N/A</v>
      </c>
      <c r="I27" s="676" t="e">
        <f t="shared" ca="1" si="20"/>
        <v>#N/A</v>
      </c>
      <c r="K27" s="676"/>
      <c r="L27" s="676"/>
      <c r="M27" s="676"/>
      <c r="N27" s="676"/>
      <c r="O27" s="676"/>
      <c r="P27" s="676"/>
      <c r="Q27" s="676"/>
      <c r="R27" s="676"/>
      <c r="S27" s="676"/>
      <c r="T27" s="676"/>
      <c r="U27" s="676"/>
      <c r="V27" s="676"/>
      <c r="W27" s="676">
        <f t="shared" si="23"/>
        <v>0</v>
      </c>
      <c r="Y27" s="688">
        <f>IFERROR(VLOOKUP($A27,'[91]1月'!$A:$H,8,0),0)</f>
        <v>0</v>
      </c>
      <c r="Z27" s="688">
        <f>IFERROR(VLOOKUP($A27,'[91]2月'!$A:$H,8,0),0)</f>
        <v>0</v>
      </c>
      <c r="AA27" s="688">
        <f>IFERROR(VLOOKUP($A27,'[91]3月'!$A:$H,8,0),0)</f>
        <v>0</v>
      </c>
      <c r="AB27" s="688">
        <f>IFERROR(VLOOKUP($A27,'[91]4月'!$A:$H,8,0),0)</f>
        <v>0</v>
      </c>
      <c r="AC27" s="688">
        <f>IFERROR(VLOOKUP($A27,'[91]5月'!$A:$H,8,0),0)</f>
        <v>0</v>
      </c>
      <c r="AD27" s="688">
        <f>IFERROR(VLOOKUP($A27,'[91]6月'!$A:$H,8,0),0)</f>
        <v>0</v>
      </c>
      <c r="AE27" s="688">
        <f>IFERROR(VLOOKUP($A27,'[91]7月'!$A:$H,8,0),0)</f>
        <v>0</v>
      </c>
      <c r="AF27" s="688">
        <f>IFERROR(VLOOKUP($A27,'[91]8月'!$A:$H,8,0),0)</f>
        <v>0</v>
      </c>
      <c r="AG27" s="688">
        <f>IFERROR(VLOOKUP($A27,'[91]9月'!$A:$H,8,0),0)</f>
        <v>0</v>
      </c>
      <c r="AH27" s="688">
        <f>IFERROR(VLOOKUP($A27,'[91]10月'!$A:$H,8,0),0)</f>
        <v>0</v>
      </c>
      <c r="AI27" s="688">
        <f>IFERROR(VLOOKUP($A27,'[91]11月'!$A:$H,8,0),0)</f>
        <v>0</v>
      </c>
      <c r="AJ27" s="688">
        <f>IFERROR(VLOOKUP($A27,'[91]12月'!$A:$H,8,0),0)</f>
        <v>0</v>
      </c>
      <c r="AK27" s="688">
        <f t="shared" si="22"/>
        <v>0</v>
      </c>
    </row>
    <row r="28" spans="1:37" ht="13.5" customHeight="1">
      <c r="A28" s="653" t="str">
        <f>'Budget-合并'!A28</f>
        <v>6602.01.05</v>
      </c>
      <c r="B28" s="653" t="str">
        <f>'Budget-合并'!B28</f>
        <v>员工假期</v>
      </c>
      <c r="C28" s="687" t="str">
        <f>'Budget-合并'!C28</f>
        <v>Unused Leave Expense</v>
      </c>
      <c r="D28" s="676">
        <f t="shared" si="15"/>
        <v>0</v>
      </c>
      <c r="E28" s="676" t="e">
        <f t="shared" si="16"/>
        <v>#N/A</v>
      </c>
      <c r="F28" s="676" t="e">
        <f t="shared" si="17"/>
        <v>#N/A</v>
      </c>
      <c r="G28" s="676">
        <f t="shared" ca="1" si="18"/>
        <v>0</v>
      </c>
      <c r="H28" s="676" t="e">
        <f t="shared" ca="1" si="19"/>
        <v>#N/A</v>
      </c>
      <c r="I28" s="676" t="e">
        <f t="shared" ca="1" si="20"/>
        <v>#N/A</v>
      </c>
      <c r="K28" s="676"/>
      <c r="L28" s="676"/>
      <c r="M28" s="676"/>
      <c r="N28" s="676"/>
      <c r="O28" s="676"/>
      <c r="P28" s="676"/>
      <c r="Q28" s="676"/>
      <c r="R28" s="676"/>
      <c r="S28" s="676"/>
      <c r="T28" s="676"/>
      <c r="U28" s="676"/>
      <c r="V28" s="676"/>
      <c r="W28" s="676">
        <f t="shared" si="23"/>
        <v>0</v>
      </c>
      <c r="Y28" s="688">
        <f>IFERROR(VLOOKUP($A28,'[91]1月'!$A:$H,8,0),0)</f>
        <v>0</v>
      </c>
      <c r="Z28" s="688">
        <f>IFERROR(VLOOKUP($A28,'[91]2月'!$A:$H,8,0),0)</f>
        <v>0</v>
      </c>
      <c r="AA28" s="688">
        <f>IFERROR(VLOOKUP($A28,'[91]3月'!$A:$H,8,0),0)</f>
        <v>-28972.6</v>
      </c>
      <c r="AB28" s="688">
        <f>IFERROR(VLOOKUP($A28,'[91]4月'!$A:$H,8,0),0)</f>
        <v>0</v>
      </c>
      <c r="AC28" s="688">
        <f>IFERROR(VLOOKUP($A28,'[91]5月'!$A:$H,8,0),0)</f>
        <v>0</v>
      </c>
      <c r="AD28" s="688">
        <f>IFERROR(VLOOKUP($A28,'[91]6月'!$A:$H,8,0),0)</f>
        <v>0</v>
      </c>
      <c r="AE28" s="688">
        <f>IFERROR(VLOOKUP($A28,'[91]7月'!$A:$H,8,0),0)</f>
        <v>0</v>
      </c>
      <c r="AF28" s="688">
        <f>IFERROR(VLOOKUP($A28,'[91]8月'!$A:$H,8,0),0)</f>
        <v>0</v>
      </c>
      <c r="AG28" s="688">
        <f>IFERROR(VLOOKUP($A28,'[91]9月'!$A:$H,8,0),0)</f>
        <v>0</v>
      </c>
      <c r="AH28" s="688">
        <f>IFERROR(VLOOKUP($A28,'[91]10月'!$A:$H,8,0),0)</f>
        <v>0</v>
      </c>
      <c r="AI28" s="688">
        <f>IFERROR(VLOOKUP($A28,'[91]11月'!$A:$H,8,0),0)</f>
        <v>0</v>
      </c>
      <c r="AJ28" s="688">
        <f>IFERROR(VLOOKUP($A28,'[91]12月'!$A:$H,8,0),0)</f>
        <v>0</v>
      </c>
      <c r="AK28" s="688">
        <f t="shared" si="22"/>
        <v>-28972.6</v>
      </c>
    </row>
    <row r="29" spans="1:37" ht="13.5" customHeight="1">
      <c r="A29" s="653" t="str">
        <f>'Budget-合并'!A29</f>
        <v>6602.01.06</v>
      </c>
      <c r="B29" s="653" t="str">
        <f>'Budget-合并'!B29</f>
        <v>劳务报酬</v>
      </c>
      <c r="C29" s="687">
        <f>'Budget-合并'!C29</f>
        <v>0</v>
      </c>
      <c r="D29" s="676">
        <f t="shared" si="15"/>
        <v>0</v>
      </c>
      <c r="E29" s="676" t="e">
        <f t="shared" si="16"/>
        <v>#N/A</v>
      </c>
      <c r="F29" s="676" t="e">
        <f t="shared" si="17"/>
        <v>#N/A</v>
      </c>
      <c r="G29" s="676">
        <f t="shared" ca="1" si="18"/>
        <v>0</v>
      </c>
      <c r="H29" s="676" t="e">
        <f t="shared" ca="1" si="19"/>
        <v>#N/A</v>
      </c>
      <c r="I29" s="676" t="e">
        <f t="shared" ca="1" si="20"/>
        <v>#N/A</v>
      </c>
      <c r="K29" s="676"/>
      <c r="L29" s="676"/>
      <c r="M29" s="676"/>
      <c r="N29" s="676"/>
      <c r="O29" s="676"/>
      <c r="P29" s="676"/>
      <c r="Q29" s="676"/>
      <c r="R29" s="676"/>
      <c r="S29" s="676"/>
      <c r="T29" s="676"/>
      <c r="U29" s="676"/>
      <c r="V29" s="676"/>
      <c r="W29" s="676">
        <f t="shared" si="23"/>
        <v>0</v>
      </c>
      <c r="Y29" s="688">
        <f>IFERROR(VLOOKUP($A29,'[91]1月'!$A:$H,8,0),0)</f>
        <v>0</v>
      </c>
      <c r="Z29" s="688">
        <f>IFERROR(VLOOKUP($A29,'[91]2月'!$A:$H,8,0),0)</f>
        <v>0</v>
      </c>
      <c r="AA29" s="688">
        <f>IFERROR(VLOOKUP($A29,'[91]3月'!$A:$H,8,0),0)</f>
        <v>0</v>
      </c>
      <c r="AB29" s="688">
        <f>IFERROR(VLOOKUP($A29,'[91]4月'!$A:$H,8,0),0)</f>
        <v>0</v>
      </c>
      <c r="AC29" s="688">
        <f>IFERROR(VLOOKUP($A29,'[91]5月'!$A:$H,8,0),0)</f>
        <v>0</v>
      </c>
      <c r="AD29" s="688">
        <f>IFERROR(VLOOKUP($A29,'[91]6月'!$A:$H,8,0),0)</f>
        <v>0</v>
      </c>
      <c r="AE29" s="688">
        <f>IFERROR(VLOOKUP($A29,'[91]7月'!$A:$H,8,0),0)</f>
        <v>0</v>
      </c>
      <c r="AF29" s="688">
        <f>IFERROR(VLOOKUP($A29,'[91]8月'!$A:$H,8,0),0)</f>
        <v>0</v>
      </c>
      <c r="AG29" s="688">
        <f>IFERROR(VLOOKUP($A29,'[91]9月'!$A:$H,8,0),0)</f>
        <v>0</v>
      </c>
      <c r="AH29" s="688">
        <f>IFERROR(VLOOKUP($A29,'[91]10月'!$A:$H,8,0),0)</f>
        <v>0</v>
      </c>
      <c r="AI29" s="688">
        <f>IFERROR(VLOOKUP($A29,'[91]11月'!$A:$H,8,0),0)</f>
        <v>0</v>
      </c>
      <c r="AJ29" s="688">
        <f>IFERROR(VLOOKUP($A29,'[91]12月'!$A:$H,8,0),0)</f>
        <v>0</v>
      </c>
      <c r="AK29" s="688">
        <f t="shared" si="22"/>
        <v>0</v>
      </c>
    </row>
    <row r="30" spans="1:37" ht="13.5" customHeight="1">
      <c r="A30" s="653" t="str">
        <f>'Budget-合并'!A30</f>
        <v>6602.01.07</v>
      </c>
      <c r="B30" s="653" t="str">
        <f>'Budget-合并'!B30</f>
        <v>集团内分摊</v>
      </c>
      <c r="C30" s="687" t="str">
        <f>'Budget-合并'!C30</f>
        <v>Mantime X Charge</v>
      </c>
      <c r="D30" s="676">
        <f t="shared" si="15"/>
        <v>0</v>
      </c>
      <c r="E30" s="676" t="e">
        <f t="shared" si="16"/>
        <v>#N/A</v>
      </c>
      <c r="F30" s="676" t="e">
        <f t="shared" si="17"/>
        <v>#N/A</v>
      </c>
      <c r="G30" s="676">
        <f t="shared" ca="1" si="18"/>
        <v>0</v>
      </c>
      <c r="H30" s="676" t="e">
        <f t="shared" ca="1" si="19"/>
        <v>#N/A</v>
      </c>
      <c r="I30" s="676" t="e">
        <f t="shared" ca="1" si="20"/>
        <v>#N/A</v>
      </c>
      <c r="K30" s="676"/>
      <c r="L30" s="676"/>
      <c r="M30" s="676"/>
      <c r="N30" s="676"/>
      <c r="O30" s="676"/>
      <c r="P30" s="676"/>
      <c r="Q30" s="676"/>
      <c r="R30" s="676"/>
      <c r="S30" s="676"/>
      <c r="T30" s="676"/>
      <c r="U30" s="676"/>
      <c r="V30" s="676"/>
      <c r="W30" s="676">
        <f t="shared" si="23"/>
        <v>0</v>
      </c>
      <c r="Y30" s="688">
        <f>IFERROR(VLOOKUP($A30,'[91]1月'!$A:$H,8,0),0)</f>
        <v>0</v>
      </c>
      <c r="Z30" s="688">
        <f>IFERROR(VLOOKUP($A30,'[91]2月'!$A:$H,8,0),0)</f>
        <v>0</v>
      </c>
      <c r="AA30" s="688">
        <f>IFERROR(VLOOKUP($A30,'[91]3月'!$A:$H,8,0),0)</f>
        <v>0</v>
      </c>
      <c r="AB30" s="688">
        <f>IFERROR(VLOOKUP($A30,'[91]4月'!$A:$H,8,0),0)</f>
        <v>0</v>
      </c>
      <c r="AC30" s="688">
        <f>IFERROR(VLOOKUP($A30,'[91]5月'!$A:$H,8,0),0)</f>
        <v>0</v>
      </c>
      <c r="AD30" s="688">
        <f>IFERROR(VLOOKUP($A30,'[91]6月'!$A:$H,8,0),0)</f>
        <v>0</v>
      </c>
      <c r="AE30" s="688">
        <f>IFERROR(VLOOKUP($A30,'[91]7月'!$A:$H,8,0),0)</f>
        <v>0</v>
      </c>
      <c r="AF30" s="688">
        <f>IFERROR(VLOOKUP($A30,'[91]8月'!$A:$H,8,0),0)</f>
        <v>0</v>
      </c>
      <c r="AG30" s="688">
        <f>IFERROR(VLOOKUP($A30,'[91]9月'!$A:$H,8,0),0)</f>
        <v>0</v>
      </c>
      <c r="AH30" s="688">
        <f>IFERROR(VLOOKUP($A30,'[91]10月'!$A:$H,8,0),0)</f>
        <v>0</v>
      </c>
      <c r="AI30" s="688">
        <f>IFERROR(VLOOKUP($A30,'[91]11月'!$A:$H,8,0),0)</f>
        <v>0</v>
      </c>
      <c r="AJ30" s="688">
        <f>IFERROR(VLOOKUP($A30,'[91]12月'!$A:$H,8,0),0)</f>
        <v>0</v>
      </c>
      <c r="AK30" s="688">
        <f t="shared" si="22"/>
        <v>0</v>
      </c>
    </row>
    <row r="31" spans="1:37" ht="13.5" customHeight="1">
      <c r="A31" s="653" t="str">
        <f>'Budget-合并'!A31</f>
        <v>6602.01.08</v>
      </c>
      <c r="B31" s="653" t="str">
        <f>'Budget-合并'!B31</f>
        <v>基本工资（管理）</v>
      </c>
      <c r="C31" s="687" t="str">
        <f>'Budget-合并'!C31</f>
        <v>Salary Management</v>
      </c>
      <c r="D31" s="676">
        <f t="shared" si="15"/>
        <v>255874.99999999988</v>
      </c>
      <c r="E31" s="676" t="e">
        <f t="shared" si="16"/>
        <v>#N/A</v>
      </c>
      <c r="F31" s="676" t="e">
        <f t="shared" si="17"/>
        <v>#N/A</v>
      </c>
      <c r="G31" s="676">
        <f t="shared" ca="1" si="18"/>
        <v>255874.99999999988</v>
      </c>
      <c r="H31" s="676" t="e">
        <f t="shared" ca="1" si="19"/>
        <v>#N/A</v>
      </c>
      <c r="I31" s="676" t="e">
        <f t="shared" ca="1" si="20"/>
        <v>#N/A</v>
      </c>
      <c r="K31" s="676">
        <f>SUM('[90]Personnel-HK 2026'!U$30:U$31)</f>
        <v>255874.99999999988</v>
      </c>
      <c r="L31" s="676">
        <f>SUM('[90]Personnel-HK 2026'!V$30:V$31)</f>
        <v>255874.99999999988</v>
      </c>
      <c r="M31" s="676">
        <f>SUM('[90]Personnel-HK 2026'!W$30:W$31)</f>
        <v>255874.99999999988</v>
      </c>
      <c r="N31" s="676">
        <f>SUM('[90]Personnel-HK 2026'!X$30:X$31)</f>
        <v>255874.99999999988</v>
      </c>
      <c r="O31" s="676">
        <f>SUM('[90]Personnel-HK 2026'!Y$30:Y$31)</f>
        <v>255874.99999999988</v>
      </c>
      <c r="P31" s="676">
        <f>SUM('[90]Personnel-HK 2026'!Z$30:Z$31)</f>
        <v>255874.99999999988</v>
      </c>
      <c r="Q31" s="676">
        <f>SUM('[90]Personnel-HK 2026'!AA$30:AA$31)</f>
        <v>255874.99999999988</v>
      </c>
      <c r="R31" s="676">
        <f>SUM('[90]Personnel-HK 2026'!AB$30:AB$31)</f>
        <v>255874.99999999988</v>
      </c>
      <c r="S31" s="676">
        <f>SUM('[90]Personnel-HK 2026'!AC$30:AC$31)</f>
        <v>255874.99999999988</v>
      </c>
      <c r="T31" s="676">
        <f>SUM('[90]Personnel-HK 2026'!AD$30:AD$31)</f>
        <v>255874.99999999988</v>
      </c>
      <c r="U31" s="676">
        <f>SUM('[90]Personnel-HK 2026'!AE$30:AE$31)</f>
        <v>255874.99999999988</v>
      </c>
      <c r="V31" s="676">
        <f>SUM('[90]Personnel-HK 2026'!AF$30:AF$31)</f>
        <v>255874.99999999988</v>
      </c>
      <c r="W31" s="676">
        <f t="shared" si="23"/>
        <v>3070499.9999999995</v>
      </c>
      <c r="Y31" s="688">
        <f>IFERROR(VLOOKUP($A31,'[91]1月'!$A:$H,8,0),0)</f>
        <v>284500</v>
      </c>
      <c r="Z31" s="688">
        <f>IFERROR(VLOOKUP($A31,'[91]2月'!$A:$H,8,0),0)</f>
        <v>284500</v>
      </c>
      <c r="AA31" s="688">
        <f>IFERROR(VLOOKUP($A31,'[91]3月'!$A:$H,8,0),0)</f>
        <v>284500</v>
      </c>
      <c r="AB31" s="688">
        <f>IFERROR(VLOOKUP($A31,'[91]4月'!$A:$H,8,0),0)</f>
        <v>284500</v>
      </c>
      <c r="AC31" s="688">
        <f>IFERROR(VLOOKUP($A31,'[91]5月'!$A:$H,8,0),0)</f>
        <v>284500</v>
      </c>
      <c r="AD31" s="688">
        <f>IFERROR(VLOOKUP($A31,'[91]6月'!$A:$H,8,0),0)</f>
        <v>284500</v>
      </c>
      <c r="AE31" s="688">
        <f>IFERROR(VLOOKUP($A31,'[91]7月'!$A:$H,8,0),0)</f>
        <v>284500</v>
      </c>
      <c r="AF31" s="688">
        <f>IFERROR(VLOOKUP($A31,'[91]8月'!$A:$H,8,0),0)</f>
        <v>284500</v>
      </c>
      <c r="AG31" s="688">
        <f>IFERROR(VLOOKUP($A31,'[91]9月'!$A:$H,8,0),0)</f>
        <v>284500</v>
      </c>
      <c r="AH31" s="688">
        <f>IFERROR(VLOOKUP($A31,'[91]10月'!$A:$H,8,0),0)</f>
        <v>284500</v>
      </c>
      <c r="AI31" s="688">
        <f>IFERROR(VLOOKUP($A31,'[91]11月'!$A:$H,8,0),0)</f>
        <v>284500</v>
      </c>
      <c r="AJ31" s="688">
        <f>IFERROR(VLOOKUP($A31,'[91]12月'!$A:$H,8,0),0)</f>
        <v>284500</v>
      </c>
      <c r="AK31" s="688">
        <f t="shared" si="22"/>
        <v>3414000</v>
      </c>
    </row>
    <row r="32" spans="1:37" ht="13.5" customHeight="1">
      <c r="A32" s="653" t="str">
        <f>'Budget-合并'!A32</f>
        <v>6602.01.09</v>
      </c>
      <c r="B32" s="653" t="str">
        <f>'Budget-合并'!B32</f>
        <v>员工奖金（管理）</v>
      </c>
      <c r="C32" s="687" t="str">
        <f>'Budget-合并'!C32</f>
        <v>Bonus Expense - Management</v>
      </c>
      <c r="D32" s="676">
        <f t="shared" si="15"/>
        <v>0</v>
      </c>
      <c r="E32" s="676" t="e">
        <f t="shared" si="16"/>
        <v>#N/A</v>
      </c>
      <c r="F32" s="676" t="e">
        <f t="shared" si="17"/>
        <v>#N/A</v>
      </c>
      <c r="G32" s="676">
        <f t="shared" ca="1" si="18"/>
        <v>0</v>
      </c>
      <c r="H32" s="676" t="e">
        <f t="shared" ca="1" si="19"/>
        <v>#N/A</v>
      </c>
      <c r="I32" s="676" t="e">
        <f t="shared" ca="1" si="20"/>
        <v>#N/A</v>
      </c>
      <c r="K32" s="676"/>
      <c r="L32" s="676"/>
      <c r="M32" s="676"/>
      <c r="N32" s="676">
        <v>908160</v>
      </c>
      <c r="O32" s="676"/>
      <c r="P32" s="676"/>
      <c r="Q32" s="676"/>
      <c r="R32" s="676"/>
      <c r="S32" s="676"/>
      <c r="T32" s="676"/>
      <c r="U32" s="676"/>
      <c r="V32" s="676"/>
      <c r="W32" s="676">
        <f t="shared" si="23"/>
        <v>908160</v>
      </c>
      <c r="Y32" s="688">
        <f>IFERROR(VLOOKUP($A32,'[91]1月'!$A:$H,8,0),0)</f>
        <v>0</v>
      </c>
      <c r="Z32" s="688">
        <f>IFERROR(VLOOKUP($A32,'[91]2月'!$A:$H,8,0),0)</f>
        <v>0</v>
      </c>
      <c r="AA32" s="688">
        <f>IFERROR(VLOOKUP($A32,'[91]3月'!$A:$H,8,0),0)</f>
        <v>0</v>
      </c>
      <c r="AB32" s="688">
        <f>IFERROR(VLOOKUP($A32,'[91]4月'!$A:$H,8,0),0)</f>
        <v>0</v>
      </c>
      <c r="AC32" s="688">
        <f>IFERROR(VLOOKUP($A32,'[91]5月'!$A:$H,8,0),0)</f>
        <v>0</v>
      </c>
      <c r="AD32" s="688">
        <f>IFERROR(VLOOKUP($A32,'[91]6月'!$A:$H,8,0),0)</f>
        <v>0</v>
      </c>
      <c r="AE32" s="688">
        <f>IFERROR(VLOOKUP($A32,'[91]7月'!$A:$H,8,0),0)</f>
        <v>0</v>
      </c>
      <c r="AF32" s="688">
        <f>IFERROR(VLOOKUP($A32,'[91]8月'!$A:$H,8,0),0)</f>
        <v>0</v>
      </c>
      <c r="AG32" s="688">
        <f>IFERROR(VLOOKUP($A32,'[91]9月'!$A:$H,8,0),0)</f>
        <v>0</v>
      </c>
      <c r="AH32" s="688">
        <f>IFERROR(VLOOKUP($A32,'[91]10月'!$A:$H,8,0),0)</f>
        <v>0</v>
      </c>
      <c r="AI32" s="688">
        <f>IFERROR(VLOOKUP($A32,'[91]11月'!$A:$H,8,0),0)</f>
        <v>0</v>
      </c>
      <c r="AJ32" s="688">
        <f>IFERROR(VLOOKUP($A32,'[91]12月'!$A:$H,8,0),0)</f>
        <v>0</v>
      </c>
      <c r="AK32" s="688">
        <f t="shared" si="22"/>
        <v>0</v>
      </c>
    </row>
    <row r="33" spans="1:37" ht="13.5" customHeight="1">
      <c r="A33" s="663" t="str">
        <f>'Budget-合并'!A33</f>
        <v>6602.02</v>
      </c>
      <c r="B33" s="663" t="str">
        <f>'Budget-合并'!B33</f>
        <v>职工福利</v>
      </c>
      <c r="C33" s="687">
        <f>'Budget-合并'!C33</f>
        <v>0</v>
      </c>
      <c r="D33" s="676">
        <f t="shared" si="15"/>
        <v>10416.666666666666</v>
      </c>
      <c r="E33" s="676" t="e">
        <f t="shared" si="16"/>
        <v>#N/A</v>
      </c>
      <c r="F33" s="676" t="e">
        <f t="shared" si="17"/>
        <v>#N/A</v>
      </c>
      <c r="G33" s="676">
        <f t="shared" ca="1" si="18"/>
        <v>10416.666666666666</v>
      </c>
      <c r="H33" s="676" t="e">
        <f t="shared" ca="1" si="19"/>
        <v>#N/A</v>
      </c>
      <c r="I33" s="676" t="e">
        <f t="shared" ca="1" si="20"/>
        <v>#N/A</v>
      </c>
      <c r="K33" s="679">
        <f>SUM(K34:K37)</f>
        <v>10416.666666666666</v>
      </c>
      <c r="L33" s="679">
        <f t="shared" ref="L33:V33" si="24">SUM(L34:L37)</f>
        <v>10416.666666666666</v>
      </c>
      <c r="M33" s="679">
        <f t="shared" si="24"/>
        <v>10416.666666666666</v>
      </c>
      <c r="N33" s="679">
        <f t="shared" si="24"/>
        <v>10416.666666666666</v>
      </c>
      <c r="O33" s="679">
        <f t="shared" si="24"/>
        <v>10416.666666666666</v>
      </c>
      <c r="P33" s="679">
        <f t="shared" si="24"/>
        <v>10416.666666666666</v>
      </c>
      <c r="Q33" s="679">
        <f t="shared" si="24"/>
        <v>10416.666666666666</v>
      </c>
      <c r="R33" s="679">
        <f t="shared" si="24"/>
        <v>10416.666666666666</v>
      </c>
      <c r="S33" s="679">
        <f t="shared" si="24"/>
        <v>10416.666666666666</v>
      </c>
      <c r="T33" s="679">
        <f t="shared" si="24"/>
        <v>10416.666666666666</v>
      </c>
      <c r="U33" s="679">
        <f t="shared" si="24"/>
        <v>10416.666666666666</v>
      </c>
      <c r="V33" s="679">
        <f t="shared" si="24"/>
        <v>10416.666666666666</v>
      </c>
      <c r="W33" s="676">
        <f t="shared" si="23"/>
        <v>125000.00000000001</v>
      </c>
      <c r="Y33" s="688">
        <f>IFERROR(VLOOKUP($A33,'[91]1月'!$A:$H,8,0),0)</f>
        <v>0</v>
      </c>
      <c r="Z33" s="688">
        <f>IFERROR(VLOOKUP($A33,'[91]2月'!$A:$H,8,0),0)</f>
        <v>5695.45</v>
      </c>
      <c r="AA33" s="688">
        <f>IFERROR(VLOOKUP($A33,'[91]3月'!$A:$H,8,0),0)</f>
        <v>736.89</v>
      </c>
      <c r="AB33" s="688">
        <f>IFERROR(VLOOKUP($A33,'[91]4月'!$A:$H,8,0),0)</f>
        <v>0</v>
      </c>
      <c r="AC33" s="688">
        <f>IFERROR(VLOOKUP($A33,'[91]5月'!$A:$H,8,0),0)</f>
        <v>0</v>
      </c>
      <c r="AD33" s="688">
        <f>IFERROR(VLOOKUP($A33,'[91]6月'!$A:$H,8,0),0)</f>
        <v>0</v>
      </c>
      <c r="AE33" s="688">
        <f>IFERROR(VLOOKUP($A33,'[91]7月'!$A:$H,8,0),0)</f>
        <v>0</v>
      </c>
      <c r="AF33" s="688">
        <f>IFERROR(VLOOKUP($A33,'[91]8月'!$A:$H,8,0),0)</f>
        <v>0</v>
      </c>
      <c r="AG33" s="688">
        <f>IFERROR(VLOOKUP($A33,'[91]9月'!$A:$H,8,0),0)</f>
        <v>984.54</v>
      </c>
      <c r="AH33" s="688">
        <f>IFERROR(VLOOKUP($A33,'[91]10月'!$A:$H,8,0),0)</f>
        <v>6567.2</v>
      </c>
      <c r="AI33" s="688">
        <f>IFERROR(VLOOKUP($A33,'[91]11月'!$A:$H,8,0),0)</f>
        <v>1009</v>
      </c>
      <c r="AJ33" s="688">
        <f>IFERROR(VLOOKUP($A33,'[91]12月'!$A:$H,8,0),0)</f>
        <v>1607.1</v>
      </c>
      <c r="AK33" s="688">
        <f t="shared" si="22"/>
        <v>16600.18</v>
      </c>
    </row>
    <row r="34" spans="1:37" ht="13.5" customHeight="1">
      <c r="A34" s="653" t="str">
        <f>'Budget-合并'!A34</f>
        <v>6602.02.01</v>
      </c>
      <c r="B34" s="653" t="str">
        <f>'Budget-合并'!B34</f>
        <v>员工福利</v>
      </c>
      <c r="C34" s="687" t="str">
        <f>'Budget-合并'!C34</f>
        <v>Fringe Other</v>
      </c>
      <c r="D34" s="676">
        <f t="shared" si="15"/>
        <v>0</v>
      </c>
      <c r="E34" s="676" t="e">
        <f t="shared" si="16"/>
        <v>#N/A</v>
      </c>
      <c r="F34" s="676" t="e">
        <f t="shared" si="17"/>
        <v>#N/A</v>
      </c>
      <c r="G34" s="676">
        <f t="shared" ca="1" si="18"/>
        <v>0</v>
      </c>
      <c r="H34" s="676" t="e">
        <f t="shared" ca="1" si="19"/>
        <v>#N/A</v>
      </c>
      <c r="I34" s="676" t="e">
        <f t="shared" ca="1" si="20"/>
        <v>#N/A</v>
      </c>
      <c r="K34" s="676"/>
      <c r="L34" s="676"/>
      <c r="M34" s="676"/>
      <c r="N34" s="676"/>
      <c r="O34" s="676"/>
      <c r="P34" s="676"/>
      <c r="Q34" s="676"/>
      <c r="R34" s="676"/>
      <c r="S34" s="676"/>
      <c r="T34" s="676"/>
      <c r="U34" s="676"/>
      <c r="V34" s="676"/>
      <c r="W34" s="676">
        <f t="shared" si="23"/>
        <v>0</v>
      </c>
      <c r="Y34" s="688">
        <f>IFERROR(VLOOKUP($A34,'[91]1月'!$A:$H,8,0),0)</f>
        <v>0</v>
      </c>
      <c r="Z34" s="688">
        <f>IFERROR(VLOOKUP($A34,'[91]2月'!$A:$H,8,0),0)</f>
        <v>0</v>
      </c>
      <c r="AA34" s="688">
        <f>IFERROR(VLOOKUP($A34,'[91]3月'!$A:$H,8,0),0)</f>
        <v>0</v>
      </c>
      <c r="AB34" s="688">
        <f>IFERROR(VLOOKUP($A34,'[91]4月'!$A:$H,8,0),0)</f>
        <v>0</v>
      </c>
      <c r="AC34" s="688">
        <f>IFERROR(VLOOKUP($A34,'[91]5月'!$A:$H,8,0),0)</f>
        <v>0</v>
      </c>
      <c r="AD34" s="688">
        <f>IFERROR(VLOOKUP($A34,'[91]6月'!$A:$H,8,0),0)</f>
        <v>0</v>
      </c>
      <c r="AE34" s="688">
        <f>IFERROR(VLOOKUP($A34,'[91]7月'!$A:$H,8,0),0)</f>
        <v>0</v>
      </c>
      <c r="AF34" s="688">
        <f>IFERROR(VLOOKUP($A34,'[91]8月'!$A:$H,8,0),0)</f>
        <v>0</v>
      </c>
      <c r="AG34" s="688">
        <f>IFERROR(VLOOKUP($A34,'[91]9月'!$A:$H,8,0),0)</f>
        <v>0</v>
      </c>
      <c r="AH34" s="688">
        <f>IFERROR(VLOOKUP($A34,'[91]10月'!$A:$H,8,0),0)</f>
        <v>0</v>
      </c>
      <c r="AI34" s="688">
        <f>IFERROR(VLOOKUP($A34,'[91]11月'!$A:$H,8,0),0)</f>
        <v>0</v>
      </c>
      <c r="AJ34" s="688">
        <f>IFERROR(VLOOKUP($A34,'[91]12月'!$A:$H,8,0),0)</f>
        <v>0</v>
      </c>
      <c r="AK34" s="688">
        <f t="shared" si="22"/>
        <v>0</v>
      </c>
    </row>
    <row r="35" spans="1:37" ht="13.5" customHeight="1">
      <c r="A35" s="653" t="str">
        <f>'Budget-合并'!A35</f>
        <v>6602.02.02</v>
      </c>
      <c r="B35" s="653" t="str">
        <f>'Budget-合并'!B35</f>
        <v>团建活动</v>
      </c>
      <c r="C35" s="687" t="str">
        <f>'Budget-合并'!C35</f>
        <v>EE Morale Expense</v>
      </c>
      <c r="D35" s="676">
        <f t="shared" si="15"/>
        <v>0</v>
      </c>
      <c r="E35" s="676" t="e">
        <f t="shared" si="16"/>
        <v>#N/A</v>
      </c>
      <c r="F35" s="676" t="e">
        <f t="shared" si="17"/>
        <v>#N/A</v>
      </c>
      <c r="G35" s="676">
        <f t="shared" ca="1" si="18"/>
        <v>0</v>
      </c>
      <c r="H35" s="676" t="e">
        <f t="shared" ca="1" si="19"/>
        <v>#N/A</v>
      </c>
      <c r="I35" s="676" t="e">
        <f t="shared" ca="1" si="20"/>
        <v>#N/A</v>
      </c>
      <c r="K35" s="676">
        <f>SUMIFS('Other Exp'!AG$3:AG$196,'Other Exp'!$B$3:$B$196,$D$1,'Other Exp'!$C$3:$C$196,$A35)</f>
        <v>0</v>
      </c>
      <c r="L35" s="676">
        <f>SUMIFS('Other Exp'!AH$3:AH$196,'Other Exp'!$B$3:$B$196,$D$1,'Other Exp'!$C$3:$C$196,$A35)</f>
        <v>0</v>
      </c>
      <c r="M35" s="676">
        <f>SUMIFS('Other Exp'!AI$3:AI$196,'Other Exp'!$B$3:$B$196,$D$1,'Other Exp'!$C$3:$C$196,$A35)</f>
        <v>0</v>
      </c>
      <c r="N35" s="676">
        <f>SUMIFS('Other Exp'!AJ$3:AJ$196,'Other Exp'!$B$3:$B$196,$D$1,'Other Exp'!$C$3:$C$196,$A35)</f>
        <v>0</v>
      </c>
      <c r="O35" s="676">
        <f>SUMIFS('Other Exp'!AK$3:AK$196,'Other Exp'!$B$3:$B$196,$D$1,'Other Exp'!$C$3:$C$196,$A35)</f>
        <v>0</v>
      </c>
      <c r="P35" s="676">
        <f>SUMIFS('Other Exp'!AL$3:AL$196,'Other Exp'!$B$3:$B$196,$D$1,'Other Exp'!$C$3:$C$196,$A35)</f>
        <v>0</v>
      </c>
      <c r="Q35" s="676">
        <f>SUMIFS('Other Exp'!AM$3:AM$196,'Other Exp'!$B$3:$B$196,$D$1,'Other Exp'!$C$3:$C$196,$A35)</f>
        <v>0</v>
      </c>
      <c r="R35" s="676">
        <f>SUMIFS('Other Exp'!AN$3:AN$196,'Other Exp'!$B$3:$B$196,$D$1,'Other Exp'!$C$3:$C$196,$A35)</f>
        <v>0</v>
      </c>
      <c r="S35" s="676">
        <f>SUMIFS('Other Exp'!AO$3:AO$196,'Other Exp'!$B$3:$B$196,$D$1,'Other Exp'!$C$3:$C$196,$A35)</f>
        <v>0</v>
      </c>
      <c r="T35" s="676">
        <f>SUMIFS('Other Exp'!AP$3:AP$196,'Other Exp'!$B$3:$B$196,$D$1,'Other Exp'!$C$3:$C$196,$A35)</f>
        <v>0</v>
      </c>
      <c r="U35" s="676">
        <f>SUMIFS('Other Exp'!AQ$3:AQ$196,'Other Exp'!$B$3:$B$196,$D$1,'Other Exp'!$C$3:$C$196,$A35)</f>
        <v>0</v>
      </c>
      <c r="V35" s="676">
        <f>SUMIFS('Other Exp'!AR$3:AR$196,'Other Exp'!$B$3:$B$196,$D$1,'Other Exp'!$C$3:$C$196,$A35)</f>
        <v>0</v>
      </c>
      <c r="W35" s="676">
        <f t="shared" si="23"/>
        <v>0</v>
      </c>
      <c r="Y35" s="688">
        <f>IFERROR(VLOOKUP($A35,'[91]1月'!$A:$H,8,0),0)</f>
        <v>0</v>
      </c>
      <c r="Z35" s="688">
        <f>IFERROR(VLOOKUP($A35,'[91]2月'!$A:$H,8,0),0)</f>
        <v>5695.45</v>
      </c>
      <c r="AA35" s="688">
        <f>IFERROR(VLOOKUP($A35,'[91]3月'!$A:$H,8,0),0)</f>
        <v>736.89</v>
      </c>
      <c r="AB35" s="688">
        <f>IFERROR(VLOOKUP($A35,'[91]4月'!$A:$H,8,0),0)</f>
        <v>0</v>
      </c>
      <c r="AC35" s="688">
        <f>IFERROR(VLOOKUP($A35,'[91]5月'!$A:$H,8,0),0)</f>
        <v>0</v>
      </c>
      <c r="AD35" s="688">
        <f>IFERROR(VLOOKUP($A35,'[91]6月'!$A:$H,8,0),0)</f>
        <v>0</v>
      </c>
      <c r="AE35" s="688">
        <f>IFERROR(VLOOKUP($A35,'[91]7月'!$A:$H,8,0),0)</f>
        <v>0</v>
      </c>
      <c r="AF35" s="688">
        <f>IFERROR(VLOOKUP($A35,'[91]8月'!$A:$H,8,0),0)</f>
        <v>0</v>
      </c>
      <c r="AG35" s="688">
        <f>IFERROR(VLOOKUP($A35,'[91]9月'!$A:$H,8,0),0)</f>
        <v>984.54</v>
      </c>
      <c r="AH35" s="688">
        <f>IFERROR(VLOOKUP($A35,'[91]10月'!$A:$H,8,0),0)</f>
        <v>6567.2</v>
      </c>
      <c r="AI35" s="688">
        <f>IFERROR(VLOOKUP($A35,'[91]11月'!$A:$H,8,0),0)</f>
        <v>1009</v>
      </c>
      <c r="AJ35" s="688">
        <f>IFERROR(VLOOKUP($A35,'[91]12月'!$A:$H,8,0),0)</f>
        <v>1607.1</v>
      </c>
      <c r="AK35" s="688">
        <f t="shared" si="22"/>
        <v>16600.18</v>
      </c>
    </row>
    <row r="36" spans="1:37" ht="13.5" customHeight="1">
      <c r="A36" s="653" t="str">
        <f>'Budget-合并'!A36</f>
        <v>6602.02.03</v>
      </c>
      <c r="B36" s="653" t="str">
        <f>'Budget-合并'!B36</f>
        <v>体检费</v>
      </c>
      <c r="C36" s="687">
        <f>'Budget-合并'!C36</f>
        <v>0</v>
      </c>
      <c r="D36" s="676">
        <f t="shared" si="15"/>
        <v>0</v>
      </c>
      <c r="E36" s="676" t="e">
        <f t="shared" si="16"/>
        <v>#N/A</v>
      </c>
      <c r="F36" s="676" t="e">
        <f t="shared" si="17"/>
        <v>#N/A</v>
      </c>
      <c r="G36" s="676">
        <f t="shared" ca="1" si="18"/>
        <v>0</v>
      </c>
      <c r="H36" s="676" t="e">
        <f t="shared" ca="1" si="19"/>
        <v>#N/A</v>
      </c>
      <c r="I36" s="676" t="e">
        <f t="shared" ca="1" si="20"/>
        <v>#N/A</v>
      </c>
      <c r="K36" s="676"/>
      <c r="L36" s="676"/>
      <c r="M36" s="676"/>
      <c r="N36" s="676"/>
      <c r="O36" s="676"/>
      <c r="P36" s="676"/>
      <c r="Q36" s="676"/>
      <c r="R36" s="676"/>
      <c r="S36" s="676"/>
      <c r="T36" s="676"/>
      <c r="U36" s="676"/>
      <c r="V36" s="676"/>
      <c r="W36" s="676">
        <f t="shared" si="23"/>
        <v>0</v>
      </c>
      <c r="Y36" s="688">
        <f>IFERROR(VLOOKUP($A36,'[91]1月'!$A:$H,8,0),0)</f>
        <v>0</v>
      </c>
      <c r="Z36" s="688">
        <f>IFERROR(VLOOKUP($A36,'[91]2月'!$A:$H,8,0),0)</f>
        <v>0</v>
      </c>
      <c r="AA36" s="688">
        <f>IFERROR(VLOOKUP($A36,'[91]3月'!$A:$H,8,0),0)</f>
        <v>0</v>
      </c>
      <c r="AB36" s="688">
        <f>IFERROR(VLOOKUP($A36,'[91]4月'!$A:$H,8,0),0)</f>
        <v>0</v>
      </c>
      <c r="AC36" s="688">
        <f>IFERROR(VLOOKUP($A36,'[91]5月'!$A:$H,8,0),0)</f>
        <v>0</v>
      </c>
      <c r="AD36" s="688">
        <f>IFERROR(VLOOKUP($A36,'[91]6月'!$A:$H,8,0),0)</f>
        <v>0</v>
      </c>
      <c r="AE36" s="688">
        <f>IFERROR(VLOOKUP($A36,'[91]7月'!$A:$H,8,0),0)</f>
        <v>0</v>
      </c>
      <c r="AF36" s="688">
        <f>IFERROR(VLOOKUP($A36,'[91]8月'!$A:$H,8,0),0)</f>
        <v>0</v>
      </c>
      <c r="AG36" s="688">
        <f>IFERROR(VLOOKUP($A36,'[91]9月'!$A:$H,8,0),0)</f>
        <v>0</v>
      </c>
      <c r="AH36" s="688">
        <f>IFERROR(VLOOKUP($A36,'[91]10月'!$A:$H,8,0),0)</f>
        <v>0</v>
      </c>
      <c r="AI36" s="688">
        <f>IFERROR(VLOOKUP($A36,'[91]11月'!$A:$H,8,0),0)</f>
        <v>0</v>
      </c>
      <c r="AJ36" s="688">
        <f>IFERROR(VLOOKUP($A36,'[91]12月'!$A:$H,8,0),0)</f>
        <v>0</v>
      </c>
      <c r="AK36" s="688">
        <f t="shared" si="22"/>
        <v>0</v>
      </c>
    </row>
    <row r="37" spans="1:37" ht="13.5" customHeight="1">
      <c r="A37" s="653" t="str">
        <f>'Budget-合并'!A37</f>
        <v>6602.02.04</v>
      </c>
      <c r="B37" s="653" t="str">
        <f>'Budget-合并'!B37</f>
        <v>商业保险 - 医疗</v>
      </c>
      <c r="C37" s="687">
        <f>'Budget-合并'!C37</f>
        <v>0</v>
      </c>
      <c r="D37" s="676">
        <f t="shared" si="15"/>
        <v>10416.666666666666</v>
      </c>
      <c r="E37" s="676" t="e">
        <f t="shared" si="16"/>
        <v>#N/A</v>
      </c>
      <c r="F37" s="676" t="e">
        <f t="shared" si="17"/>
        <v>#N/A</v>
      </c>
      <c r="G37" s="676">
        <f t="shared" ca="1" si="18"/>
        <v>10416.666666666666</v>
      </c>
      <c r="H37" s="676" t="e">
        <f t="shared" ca="1" si="19"/>
        <v>#N/A</v>
      </c>
      <c r="I37" s="676" t="e">
        <f t="shared" ca="1" si="20"/>
        <v>#N/A</v>
      </c>
      <c r="K37" s="676">
        <f>VLOOKUP($D$1,'Medical Exp Calc.'!$A$10:$C$12,3,FALSE)/12</f>
        <v>10416.666666666666</v>
      </c>
      <c r="L37" s="676">
        <f>VLOOKUP($D$1,'Medical Exp Calc.'!$A$10:$C$12,3,FALSE)/12</f>
        <v>10416.666666666666</v>
      </c>
      <c r="M37" s="676">
        <f>VLOOKUP($D$1,'Medical Exp Calc.'!$A$10:$C$12,3,FALSE)/12</f>
        <v>10416.666666666666</v>
      </c>
      <c r="N37" s="676">
        <f>VLOOKUP($D$1,'Medical Exp Calc.'!$A$10:$C$12,3,FALSE)/12</f>
        <v>10416.666666666666</v>
      </c>
      <c r="O37" s="676">
        <f>VLOOKUP($D$1,'Medical Exp Calc.'!$A$10:$C$12,3,FALSE)/12</f>
        <v>10416.666666666666</v>
      </c>
      <c r="P37" s="676">
        <f>VLOOKUP($D$1,'Medical Exp Calc.'!$A$10:$C$12,3,FALSE)/12</f>
        <v>10416.666666666666</v>
      </c>
      <c r="Q37" s="676">
        <f>VLOOKUP($D$1,'Medical Exp Calc.'!$A$10:$C$12,3,FALSE)/12</f>
        <v>10416.666666666666</v>
      </c>
      <c r="R37" s="676">
        <f>VLOOKUP($D$1,'Medical Exp Calc.'!$A$10:$C$12,3,FALSE)/12</f>
        <v>10416.666666666666</v>
      </c>
      <c r="S37" s="676">
        <f>VLOOKUP($D$1,'Medical Exp Calc.'!$A$10:$C$12,3,FALSE)/12</f>
        <v>10416.666666666666</v>
      </c>
      <c r="T37" s="676">
        <f>VLOOKUP($D$1,'Medical Exp Calc.'!$A$10:$C$12,3,FALSE)/12</f>
        <v>10416.666666666666</v>
      </c>
      <c r="U37" s="676">
        <f>VLOOKUP($D$1,'Medical Exp Calc.'!$A$10:$C$12,3,FALSE)/12</f>
        <v>10416.666666666666</v>
      </c>
      <c r="V37" s="676">
        <f>VLOOKUP($D$1,'Medical Exp Calc.'!$A$10:$C$12,3,FALSE)/12</f>
        <v>10416.666666666666</v>
      </c>
      <c r="W37" s="676">
        <f t="shared" si="23"/>
        <v>125000.00000000001</v>
      </c>
      <c r="Y37" s="688">
        <f>IFERROR(VLOOKUP($A37,'[91]1月'!$A:$H,8,0),0)</f>
        <v>0</v>
      </c>
      <c r="Z37" s="688">
        <f>IFERROR(VLOOKUP($A37,'[91]2月'!$A:$H,8,0),0)</f>
        <v>0</v>
      </c>
      <c r="AA37" s="688">
        <f>IFERROR(VLOOKUP($A37,'[91]3月'!$A:$H,8,0),0)</f>
        <v>0</v>
      </c>
      <c r="AB37" s="688">
        <f>IFERROR(VLOOKUP($A37,'[91]4月'!$A:$H,8,0),0)</f>
        <v>0</v>
      </c>
      <c r="AC37" s="688">
        <f>IFERROR(VLOOKUP($A37,'[91]5月'!$A:$H,8,0),0)</f>
        <v>0</v>
      </c>
      <c r="AD37" s="688">
        <f>IFERROR(VLOOKUP($A37,'[91]6月'!$A:$H,8,0),0)</f>
        <v>0</v>
      </c>
      <c r="AE37" s="688">
        <f>IFERROR(VLOOKUP($A37,'[91]7月'!$A:$H,8,0),0)</f>
        <v>0</v>
      </c>
      <c r="AF37" s="688">
        <f>IFERROR(VLOOKUP($A37,'[91]8月'!$A:$H,8,0),0)</f>
        <v>0</v>
      </c>
      <c r="AG37" s="688">
        <f>IFERROR(VLOOKUP($A37,'[91]9月'!$A:$H,8,0),0)</f>
        <v>0</v>
      </c>
      <c r="AH37" s="688">
        <f>IFERROR(VLOOKUP($A37,'[91]10月'!$A:$H,8,0),0)</f>
        <v>0</v>
      </c>
      <c r="AI37" s="688">
        <f>IFERROR(VLOOKUP($A37,'[91]11月'!$A:$H,8,0),0)</f>
        <v>0</v>
      </c>
      <c r="AJ37" s="688">
        <f>IFERROR(VLOOKUP($A37,'[91]12月'!$A:$H,8,0),0)</f>
        <v>0</v>
      </c>
      <c r="AK37" s="688">
        <f t="shared" si="22"/>
        <v>0</v>
      </c>
    </row>
    <row r="38" spans="1:37" ht="13.5" customHeight="1">
      <c r="A38" s="663" t="str">
        <f>'Budget-合并'!A38</f>
        <v>6602.03</v>
      </c>
      <c r="B38" s="663" t="str">
        <f>'Budget-合并'!B38</f>
        <v>社保公积金</v>
      </c>
      <c r="C38" s="687">
        <f>'Budget-合并'!C38</f>
        <v>0</v>
      </c>
      <c r="D38" s="676">
        <f t="shared" si="15"/>
        <v>0</v>
      </c>
      <c r="E38" s="676" t="e">
        <f t="shared" si="16"/>
        <v>#N/A</v>
      </c>
      <c r="F38" s="676" t="e">
        <f t="shared" si="17"/>
        <v>#N/A</v>
      </c>
      <c r="G38" s="676">
        <f t="shared" ca="1" si="18"/>
        <v>0</v>
      </c>
      <c r="H38" s="676" t="e">
        <f t="shared" ca="1" si="19"/>
        <v>#N/A</v>
      </c>
      <c r="I38" s="676" t="e">
        <f t="shared" ca="1" si="20"/>
        <v>#N/A</v>
      </c>
      <c r="K38" s="679">
        <f>SUM(K39:K41)</f>
        <v>0</v>
      </c>
      <c r="L38" s="679">
        <f t="shared" ref="L38:V38" si="25">SUM(L39:L41)</f>
        <v>0</v>
      </c>
      <c r="M38" s="679">
        <f t="shared" si="25"/>
        <v>0</v>
      </c>
      <c r="N38" s="679">
        <f t="shared" si="25"/>
        <v>0</v>
      </c>
      <c r="O38" s="679">
        <f t="shared" si="25"/>
        <v>0</v>
      </c>
      <c r="P38" s="679">
        <f t="shared" si="25"/>
        <v>0</v>
      </c>
      <c r="Q38" s="679">
        <f t="shared" si="25"/>
        <v>0</v>
      </c>
      <c r="R38" s="679">
        <f t="shared" si="25"/>
        <v>0</v>
      </c>
      <c r="S38" s="679">
        <f t="shared" si="25"/>
        <v>0</v>
      </c>
      <c r="T38" s="679">
        <f t="shared" si="25"/>
        <v>0</v>
      </c>
      <c r="U38" s="679">
        <f t="shared" si="25"/>
        <v>0</v>
      </c>
      <c r="V38" s="679">
        <f t="shared" si="25"/>
        <v>0</v>
      </c>
      <c r="W38" s="676">
        <f t="shared" si="23"/>
        <v>0</v>
      </c>
      <c r="Y38" s="688">
        <f>IFERROR(VLOOKUP($A38,'[91]1月'!$A:$H,8,0),0)</f>
        <v>29470.46</v>
      </c>
      <c r="Z38" s="688">
        <f>IFERROR(VLOOKUP($A38,'[91]2月'!$A:$H,8,0),0)</f>
        <v>27344.28</v>
      </c>
      <c r="AA38" s="688">
        <f>IFERROR(VLOOKUP($A38,'[91]3月'!$A:$H,8,0),0)</f>
        <v>29470.46</v>
      </c>
      <c r="AB38" s="688">
        <f>IFERROR(VLOOKUP($A38,'[91]4月'!$A:$H,8,0),0)</f>
        <v>59481.36</v>
      </c>
      <c r="AC38" s="688">
        <f>IFERROR(VLOOKUP($A38,'[91]5月'!$A:$H,8,0),0)</f>
        <v>30831.09</v>
      </c>
      <c r="AD38" s="688">
        <f>IFERROR(VLOOKUP($A38,'[91]6月'!$A:$H,8,0),0)</f>
        <v>30030.09</v>
      </c>
      <c r="AE38" s="688">
        <f>IFERROR(VLOOKUP($A38,'[91]7月'!$A:$H,8,0),0)</f>
        <v>29331.09</v>
      </c>
      <c r="AF38" s="688">
        <f>IFERROR(VLOOKUP($A38,'[91]8月'!$A:$H,8,0),0)</f>
        <v>29331.09</v>
      </c>
      <c r="AG38" s="688">
        <f>IFERROR(VLOOKUP($A38,'[91]9月'!$A:$H,8,0),0)</f>
        <v>28530.09</v>
      </c>
      <c r="AH38" s="688">
        <f>IFERROR(VLOOKUP($A38,'[91]10月'!$A:$H,8,0),0)</f>
        <v>29331.09</v>
      </c>
      <c r="AI38" s="688">
        <f>IFERROR(VLOOKUP($A38,'[91]11月'!$A:$H,8,0),0)</f>
        <v>28530.09</v>
      </c>
      <c r="AJ38" s="688">
        <f>IFERROR(VLOOKUP($A38,'[91]12月'!$A:$H,8,0),0)</f>
        <v>29331.09</v>
      </c>
      <c r="AK38" s="688">
        <f t="shared" si="22"/>
        <v>381012.28000000009</v>
      </c>
    </row>
    <row r="39" spans="1:37" ht="13.5" customHeight="1">
      <c r="A39" s="653" t="str">
        <f>'Budget-合并'!A39</f>
        <v>6602.03.01</v>
      </c>
      <c r="B39" s="653" t="str">
        <f>'Budget-合并'!B39</f>
        <v>员工社保福利</v>
      </c>
      <c r="C39" s="687" t="str">
        <f>'Budget-合并'!C39</f>
        <v>Employee Insurance</v>
      </c>
      <c r="D39" s="676">
        <f t="shared" si="15"/>
        <v>0</v>
      </c>
      <c r="E39" s="676" t="e">
        <f t="shared" si="16"/>
        <v>#N/A</v>
      </c>
      <c r="F39" s="676" t="e">
        <f t="shared" si="17"/>
        <v>#N/A</v>
      </c>
      <c r="G39" s="676">
        <f t="shared" ca="1" si="18"/>
        <v>0</v>
      </c>
      <c r="H39" s="676" t="e">
        <f t="shared" ca="1" si="19"/>
        <v>#N/A</v>
      </c>
      <c r="I39" s="676" t="e">
        <f t="shared" ca="1" si="20"/>
        <v>#N/A</v>
      </c>
      <c r="K39" s="676"/>
      <c r="L39" s="676"/>
      <c r="M39" s="676"/>
      <c r="N39" s="676"/>
      <c r="O39" s="676"/>
      <c r="P39" s="676"/>
      <c r="Q39" s="676"/>
      <c r="R39" s="676"/>
      <c r="S39" s="676"/>
      <c r="T39" s="676"/>
      <c r="U39" s="676"/>
      <c r="V39" s="676"/>
      <c r="W39" s="676">
        <f t="shared" si="23"/>
        <v>0</v>
      </c>
      <c r="Y39" s="688">
        <f>IFERROR(VLOOKUP($A39,'[91]1月'!$A:$H,8,0),0)</f>
        <v>21970.46</v>
      </c>
      <c r="Z39" s="688">
        <f>IFERROR(VLOOKUP($A39,'[91]2月'!$A:$H,8,0),0)</f>
        <v>19844.28</v>
      </c>
      <c r="AA39" s="688">
        <f>IFERROR(VLOOKUP($A39,'[91]3月'!$A:$H,8,0),0)</f>
        <v>21970.46</v>
      </c>
      <c r="AB39" s="688">
        <f>IFERROR(VLOOKUP($A39,'[91]4月'!$A:$H,8,0),0)</f>
        <v>53481.36</v>
      </c>
      <c r="AC39" s="688">
        <f>IFERROR(VLOOKUP($A39,'[91]5月'!$A:$H,8,0),0)</f>
        <v>24831.09</v>
      </c>
      <c r="AD39" s="688">
        <f>IFERROR(VLOOKUP($A39,'[91]6月'!$A:$H,8,0),0)</f>
        <v>24030.09</v>
      </c>
      <c r="AE39" s="688">
        <f>IFERROR(VLOOKUP($A39,'[91]7月'!$A:$H,8,0),0)</f>
        <v>24831.09</v>
      </c>
      <c r="AF39" s="688">
        <f>IFERROR(VLOOKUP($A39,'[91]8月'!$A:$H,8,0),0)</f>
        <v>24831.09</v>
      </c>
      <c r="AG39" s="688">
        <f>IFERROR(VLOOKUP($A39,'[91]9月'!$A:$H,8,0),0)</f>
        <v>24030.09</v>
      </c>
      <c r="AH39" s="688">
        <f>IFERROR(VLOOKUP($A39,'[91]10月'!$A:$H,8,0),0)</f>
        <v>24831.09</v>
      </c>
      <c r="AI39" s="688">
        <f>IFERROR(VLOOKUP($A39,'[91]11月'!$A:$H,8,0),0)</f>
        <v>24030.09</v>
      </c>
      <c r="AJ39" s="688">
        <f>IFERROR(VLOOKUP($A39,'[91]12月'!$A:$H,8,0),0)</f>
        <v>24831.09</v>
      </c>
      <c r="AK39" s="688">
        <f t="shared" si="22"/>
        <v>313512.28000000003</v>
      </c>
    </row>
    <row r="40" spans="1:37" ht="13.5" customHeight="1">
      <c r="A40" s="653" t="str">
        <f>'Budget-合并'!A40</f>
        <v>6602.03.02</v>
      </c>
      <c r="B40" s="653" t="str">
        <f>'Budget-合并'!B40</f>
        <v>员工公积金福利</v>
      </c>
      <c r="C40" s="687">
        <f>'Budget-合并'!C40</f>
        <v>0</v>
      </c>
      <c r="D40" s="676">
        <f t="shared" si="15"/>
        <v>0</v>
      </c>
      <c r="E40" s="676" t="e">
        <f t="shared" si="16"/>
        <v>#N/A</v>
      </c>
      <c r="F40" s="676" t="e">
        <f t="shared" si="17"/>
        <v>#N/A</v>
      </c>
      <c r="G40" s="676">
        <f t="shared" ca="1" si="18"/>
        <v>0</v>
      </c>
      <c r="H40" s="676" t="e">
        <f t="shared" ca="1" si="19"/>
        <v>#N/A</v>
      </c>
      <c r="I40" s="676" t="e">
        <f t="shared" ca="1" si="20"/>
        <v>#N/A</v>
      </c>
      <c r="K40" s="676"/>
      <c r="L40" s="676"/>
      <c r="M40" s="676"/>
      <c r="N40" s="676"/>
      <c r="O40" s="676"/>
      <c r="P40" s="676"/>
      <c r="Q40" s="676"/>
      <c r="R40" s="676"/>
      <c r="S40" s="676"/>
      <c r="T40" s="676"/>
      <c r="U40" s="676"/>
      <c r="V40" s="676"/>
      <c r="W40" s="676">
        <f t="shared" si="23"/>
        <v>0</v>
      </c>
      <c r="Y40" s="688">
        <f>IFERROR(VLOOKUP($A40,'[91]1月'!$A:$H,8,0),0)</f>
        <v>0</v>
      </c>
      <c r="Z40" s="688">
        <f>IFERROR(VLOOKUP($A40,'[91]2月'!$A:$H,8,0),0)</f>
        <v>0</v>
      </c>
      <c r="AA40" s="688">
        <f>IFERROR(VLOOKUP($A40,'[91]3月'!$A:$H,8,0),0)</f>
        <v>0</v>
      </c>
      <c r="AB40" s="688">
        <f>IFERROR(VLOOKUP($A40,'[91]4月'!$A:$H,8,0),0)</f>
        <v>0</v>
      </c>
      <c r="AC40" s="688">
        <f>IFERROR(VLOOKUP($A40,'[91]5月'!$A:$H,8,0),0)</f>
        <v>0</v>
      </c>
      <c r="AD40" s="688">
        <f>IFERROR(VLOOKUP($A40,'[91]6月'!$A:$H,8,0),0)</f>
        <v>0</v>
      </c>
      <c r="AE40" s="688">
        <f>IFERROR(VLOOKUP($A40,'[91]7月'!$A:$H,8,0),0)</f>
        <v>0</v>
      </c>
      <c r="AF40" s="688">
        <f>IFERROR(VLOOKUP($A40,'[91]8月'!$A:$H,8,0),0)</f>
        <v>0</v>
      </c>
      <c r="AG40" s="688">
        <f>IFERROR(VLOOKUP($A40,'[91]9月'!$A:$H,8,0),0)</f>
        <v>0</v>
      </c>
      <c r="AH40" s="688">
        <f>IFERROR(VLOOKUP($A40,'[91]10月'!$A:$H,8,0),0)</f>
        <v>0</v>
      </c>
      <c r="AI40" s="688">
        <f>IFERROR(VLOOKUP($A40,'[91]11月'!$A:$H,8,0),0)</f>
        <v>0</v>
      </c>
      <c r="AJ40" s="688">
        <f>IFERROR(VLOOKUP($A40,'[91]12月'!$A:$H,8,0),0)</f>
        <v>0</v>
      </c>
      <c r="AK40" s="688">
        <f t="shared" si="22"/>
        <v>0</v>
      </c>
    </row>
    <row r="41" spans="1:37" ht="13.5" customHeight="1">
      <c r="A41" s="653" t="str">
        <f>'Budget-合并'!A41</f>
        <v>6602.03.03</v>
      </c>
      <c r="B41" s="653" t="str">
        <f>'Budget-合并'!B41</f>
        <v>员工强制性公积金福利</v>
      </c>
      <c r="C41" s="687" t="str">
        <f>'Budget-合并'!C41</f>
        <v>Pension Local/MPF</v>
      </c>
      <c r="D41" s="676">
        <f t="shared" si="15"/>
        <v>0</v>
      </c>
      <c r="E41" s="676" t="e">
        <f t="shared" si="16"/>
        <v>#N/A</v>
      </c>
      <c r="F41" s="676" t="e">
        <f t="shared" si="17"/>
        <v>#N/A</v>
      </c>
      <c r="G41" s="676">
        <f t="shared" ca="1" si="18"/>
        <v>0</v>
      </c>
      <c r="H41" s="676" t="e">
        <f t="shared" ca="1" si="19"/>
        <v>#N/A</v>
      </c>
      <c r="I41" s="676" t="e">
        <f t="shared" ca="1" si="20"/>
        <v>#N/A</v>
      </c>
      <c r="K41" s="676"/>
      <c r="L41" s="676"/>
      <c r="M41" s="676"/>
      <c r="N41" s="676"/>
      <c r="O41" s="676"/>
      <c r="P41" s="676"/>
      <c r="Q41" s="676"/>
      <c r="R41" s="676"/>
      <c r="S41" s="676"/>
      <c r="T41" s="676"/>
      <c r="U41" s="676"/>
      <c r="V41" s="676"/>
      <c r="W41" s="676">
        <f t="shared" si="23"/>
        <v>0</v>
      </c>
      <c r="Y41" s="688">
        <f>IFERROR(VLOOKUP($A41,'[91]1月'!$A:$H,8,0),0)</f>
        <v>7500</v>
      </c>
      <c r="Z41" s="688">
        <f>IFERROR(VLOOKUP($A41,'[91]2月'!$A:$H,8,0),0)</f>
        <v>7500</v>
      </c>
      <c r="AA41" s="688">
        <f>IFERROR(VLOOKUP($A41,'[91]3月'!$A:$H,8,0),0)</f>
        <v>7500</v>
      </c>
      <c r="AB41" s="688">
        <f>IFERROR(VLOOKUP($A41,'[91]4月'!$A:$H,8,0),0)</f>
        <v>6000</v>
      </c>
      <c r="AC41" s="688">
        <f>IFERROR(VLOOKUP($A41,'[91]5月'!$A:$H,8,0),0)</f>
        <v>6000</v>
      </c>
      <c r="AD41" s="688">
        <f>IFERROR(VLOOKUP($A41,'[91]6月'!$A:$H,8,0),0)</f>
        <v>6000</v>
      </c>
      <c r="AE41" s="688">
        <f>IFERROR(VLOOKUP($A41,'[91]7月'!$A:$H,8,0),0)</f>
        <v>4500</v>
      </c>
      <c r="AF41" s="688">
        <f>IFERROR(VLOOKUP($A41,'[91]8月'!$A:$H,8,0),0)</f>
        <v>4500</v>
      </c>
      <c r="AG41" s="688">
        <f>IFERROR(VLOOKUP($A41,'[91]9月'!$A:$H,8,0),0)</f>
        <v>4500</v>
      </c>
      <c r="AH41" s="688">
        <f>IFERROR(VLOOKUP($A41,'[91]10月'!$A:$H,8,0),0)</f>
        <v>4500</v>
      </c>
      <c r="AI41" s="688">
        <f>IFERROR(VLOOKUP($A41,'[91]11月'!$A:$H,8,0),0)</f>
        <v>4500</v>
      </c>
      <c r="AJ41" s="688">
        <f>IFERROR(VLOOKUP($A41,'[91]12月'!$A:$H,8,0),0)</f>
        <v>4500</v>
      </c>
      <c r="AK41" s="688">
        <f t="shared" si="22"/>
        <v>67500</v>
      </c>
    </row>
    <row r="42" spans="1:37" ht="13.5" customHeight="1">
      <c r="A42" s="686">
        <f>'Budget-合并'!A42</f>
        <v>0</v>
      </c>
      <c r="B42" s="686" t="str">
        <f>'Budget-合并'!B42</f>
        <v>管理人工费用小计</v>
      </c>
      <c r="C42" s="687">
        <f>'Budget-合并'!C42</f>
        <v>0</v>
      </c>
      <c r="D42" s="677">
        <f t="shared" si="15"/>
        <v>374426.66666666657</v>
      </c>
      <c r="E42" s="677" t="e">
        <f t="shared" si="16"/>
        <v>#N/A</v>
      </c>
      <c r="F42" s="677" t="e">
        <f t="shared" si="17"/>
        <v>#N/A</v>
      </c>
      <c r="G42" s="677">
        <f t="shared" ca="1" si="18"/>
        <v>374426.66666666657</v>
      </c>
      <c r="H42" s="677" t="e">
        <f t="shared" ca="1" si="19"/>
        <v>#N/A</v>
      </c>
      <c r="I42" s="677" t="e">
        <f t="shared" ca="1" si="20"/>
        <v>#N/A</v>
      </c>
      <c r="K42" s="677">
        <f>SUM(K23,K33,K38)</f>
        <v>374426.66666666657</v>
      </c>
      <c r="L42" s="677">
        <f t="shared" ref="L42:V42" si="26">SUM(L23,L33,L38)</f>
        <v>374426.66666666657</v>
      </c>
      <c r="M42" s="677">
        <f t="shared" si="26"/>
        <v>374426.66666666657</v>
      </c>
      <c r="N42" s="677">
        <f t="shared" si="26"/>
        <v>1282586.6666666667</v>
      </c>
      <c r="O42" s="677">
        <f t="shared" si="26"/>
        <v>374426.66666666657</v>
      </c>
      <c r="P42" s="677">
        <f t="shared" si="26"/>
        <v>374426.66666666657</v>
      </c>
      <c r="Q42" s="677">
        <f t="shared" si="26"/>
        <v>374426.66666666657</v>
      </c>
      <c r="R42" s="677">
        <f t="shared" si="26"/>
        <v>374426.66666666657</v>
      </c>
      <c r="S42" s="677">
        <f t="shared" si="26"/>
        <v>374426.66666666657</v>
      </c>
      <c r="T42" s="677">
        <f t="shared" si="26"/>
        <v>374426.66666666657</v>
      </c>
      <c r="U42" s="677">
        <f t="shared" si="26"/>
        <v>374426.66666666657</v>
      </c>
      <c r="V42" s="677">
        <f t="shared" si="26"/>
        <v>374426.66666666657</v>
      </c>
      <c r="W42" s="677">
        <f t="shared" si="23"/>
        <v>5401280</v>
      </c>
      <c r="Y42" s="677">
        <f t="shared" ref="Y42:AK42" si="27">SUM(Y23,Y33,Y38)</f>
        <v>554970.46</v>
      </c>
      <c r="Z42" s="677">
        <f t="shared" si="27"/>
        <v>558539.73</v>
      </c>
      <c r="AA42" s="677">
        <f t="shared" si="27"/>
        <v>526734.75</v>
      </c>
      <c r="AB42" s="677">
        <f t="shared" si="27"/>
        <v>484981.36</v>
      </c>
      <c r="AC42" s="677">
        <f t="shared" si="27"/>
        <v>456331.09</v>
      </c>
      <c r="AD42" s="677">
        <f t="shared" si="27"/>
        <v>455530.09</v>
      </c>
      <c r="AE42" s="677">
        <f t="shared" si="27"/>
        <v>353831.09</v>
      </c>
      <c r="AF42" s="677">
        <f t="shared" si="27"/>
        <v>353831.09</v>
      </c>
      <c r="AG42" s="677">
        <f t="shared" si="27"/>
        <v>354014.63</v>
      </c>
      <c r="AH42" s="677">
        <f t="shared" si="27"/>
        <v>360398.29000000004</v>
      </c>
      <c r="AI42" s="677">
        <f t="shared" si="27"/>
        <v>325546.10000000003</v>
      </c>
      <c r="AJ42" s="677">
        <f t="shared" si="27"/>
        <v>355438.19</v>
      </c>
      <c r="AK42" s="677">
        <f t="shared" si="27"/>
        <v>5140146.87</v>
      </c>
    </row>
    <row r="43" spans="1:37" ht="13.5" customHeight="1">
      <c r="A43" s="653">
        <f>'Budget-合并'!A43</f>
        <v>0</v>
      </c>
      <c r="B43" s="653">
        <f>'Budget-合并'!B43</f>
        <v>0</v>
      </c>
      <c r="C43" s="687">
        <f>'Budget-合并'!C43</f>
        <v>0</v>
      </c>
    </row>
    <row r="44" spans="1:37" ht="13.5" customHeight="1">
      <c r="A44" s="663" t="str">
        <f>'Budget-合并'!A44</f>
        <v>6602.04</v>
      </c>
      <c r="B44" s="663" t="str">
        <f>'Budget-合并'!B44</f>
        <v>咨询及专业服务费</v>
      </c>
      <c r="C44" s="687">
        <f>'Budget-合并'!C44</f>
        <v>0</v>
      </c>
      <c r="D44" s="676">
        <f t="shared" ref="D44:D107" si="28">INDEX($K44:$V44,1,MATCH($D$6,$K$6:$V$6))</f>
        <v>13794.844999999999</v>
      </c>
      <c r="E44" s="676" t="e">
        <f t="shared" ref="E44:E107" si="29">INDEX($Y44:$AJ44,1,MATCH($E$6,$Y$6:$AJ$6))</f>
        <v>#N/A</v>
      </c>
      <c r="F44" s="676" t="e">
        <f t="shared" ref="F44:F107" si="30">D44-E44</f>
        <v>#N/A</v>
      </c>
      <c r="G44" s="676">
        <f t="shared" ref="G44:G107" ca="1" si="31">SUM($K44:OFFSET($K44,0,MATCH(G$6,$K$6:$V$6)-1))</f>
        <v>13794.844999999999</v>
      </c>
      <c r="H44" s="676" t="e">
        <f t="shared" ref="H44:H107" ca="1" si="32">SUM($Y44:OFFSET($Y44,0,MATCH(H$6,$Y$6:$AJ$6)-1))</f>
        <v>#N/A</v>
      </c>
      <c r="I44" s="676" t="e">
        <f t="shared" ref="I44:I107" ca="1" si="33">G44-H44</f>
        <v>#N/A</v>
      </c>
      <c r="K44" s="676">
        <f>SUM(K45,K46,K47,K51:K61)</f>
        <v>13794.844999999999</v>
      </c>
      <c r="L44" s="676">
        <f t="shared" ref="L44:V44" si="34">SUM(L45,L46,L47,L51:L61)</f>
        <v>13674.1</v>
      </c>
      <c r="M44" s="676">
        <f t="shared" si="34"/>
        <v>13674.1</v>
      </c>
      <c r="N44" s="676">
        <f t="shared" si="34"/>
        <v>13674.1</v>
      </c>
      <c r="O44" s="676">
        <f t="shared" si="34"/>
        <v>242163.9</v>
      </c>
      <c r="P44" s="676">
        <f t="shared" si="34"/>
        <v>92542.78</v>
      </c>
      <c r="Q44" s="676">
        <f t="shared" si="34"/>
        <v>13674.1</v>
      </c>
      <c r="R44" s="676">
        <f t="shared" si="34"/>
        <v>48962.1</v>
      </c>
      <c r="S44" s="676">
        <f t="shared" si="34"/>
        <v>48962.1</v>
      </c>
      <c r="T44" s="676">
        <f t="shared" si="34"/>
        <v>48962.1</v>
      </c>
      <c r="U44" s="676">
        <f t="shared" si="34"/>
        <v>48962.1</v>
      </c>
      <c r="V44" s="676">
        <f t="shared" si="34"/>
        <v>48962.1</v>
      </c>
      <c r="W44" s="676">
        <f>SUM(K44:V44)</f>
        <v>648008.42499999981</v>
      </c>
      <c r="Y44" s="688">
        <f>IFERROR(VLOOKUP($A44,'[91]1月'!$A:$H,8,0),0)</f>
        <v>33666.660000000003</v>
      </c>
      <c r="Z44" s="688">
        <f>IFERROR(VLOOKUP($A44,'[91]2月'!$A:$H,8,0),0)</f>
        <v>33666.660000000003</v>
      </c>
      <c r="AA44" s="688">
        <f>IFERROR(VLOOKUP($A44,'[91]3月'!$A:$H,8,0),0)</f>
        <v>33666.660000000003</v>
      </c>
      <c r="AB44" s="688">
        <f>IFERROR(VLOOKUP($A44,'[91]4月'!$A:$H,8,0),0)</f>
        <v>33666.660000000003</v>
      </c>
      <c r="AC44" s="688">
        <f>IFERROR(VLOOKUP($A44,'[91]5月'!$A:$H,8,0),0)</f>
        <v>37666.660000000003</v>
      </c>
      <c r="AD44" s="688">
        <f>IFERROR(VLOOKUP($A44,'[91]6月'!$A:$H,8,0),0)</f>
        <v>33666.660000000003</v>
      </c>
      <c r="AE44" s="688">
        <f>IFERROR(VLOOKUP($A44,'[91]7月'!$A:$H,8,0),0)</f>
        <v>222066.66</v>
      </c>
      <c r="AF44" s="688">
        <f>IFERROR(VLOOKUP($A44,'[91]8月'!$A:$H,8,0),0)</f>
        <v>40736.660000000003</v>
      </c>
      <c r="AG44" s="688">
        <f>IFERROR(VLOOKUP($A44,'[91]9月'!$A:$H,8,0),0)</f>
        <v>33666.660000000003</v>
      </c>
      <c r="AH44" s="688">
        <f>IFERROR(VLOOKUP($A44,'[91]10月'!$A:$H,8,0),0)</f>
        <v>33666.660000000003</v>
      </c>
      <c r="AI44" s="688">
        <f>IFERROR(VLOOKUP($A44,'[91]11月'!$A:$H,8,0),0)</f>
        <v>37666.660000000003</v>
      </c>
      <c r="AJ44" s="688">
        <f>IFERROR(VLOOKUP($A44,'[91]12月'!$A:$H,8,0),0)</f>
        <v>33666.74</v>
      </c>
      <c r="AK44" s="688">
        <f t="shared" ref="AK44:AK107" si="35">SUM(Y44:AJ44)</f>
        <v>607470.00000000012</v>
      </c>
    </row>
    <row r="45" spans="1:37" ht="13.5" customHeight="1">
      <c r="A45" s="653" t="str">
        <f>'Budget-合并'!A45</f>
        <v>6602.04.01</v>
      </c>
      <c r="B45" s="653" t="str">
        <f>'Budget-合并'!B45</f>
        <v>会计服务费</v>
      </c>
      <c r="C45" s="687" t="str">
        <f>'Budget-合并'!C45</f>
        <v>Accounting/Payment Services</v>
      </c>
      <c r="D45" s="676">
        <f t="shared" si="28"/>
        <v>11569.869999999999</v>
      </c>
      <c r="E45" s="676" t="e">
        <f t="shared" si="29"/>
        <v>#N/A</v>
      </c>
      <c r="F45" s="676" t="e">
        <f t="shared" si="30"/>
        <v>#N/A</v>
      </c>
      <c r="G45" s="676">
        <f t="shared" ca="1" si="31"/>
        <v>11569.869999999999</v>
      </c>
      <c r="H45" s="676" t="e">
        <f t="shared" ca="1" si="32"/>
        <v>#N/A</v>
      </c>
      <c r="I45" s="676" t="e">
        <f t="shared" ca="1" si="33"/>
        <v>#N/A</v>
      </c>
      <c r="K45" s="676">
        <f>SUMIFS('Prof. Fee'!AF$3:AF$150,'Prof. Fee'!$B$3:$B$150,$D$1,'Prof. Fee'!$D$3:$D$150,$A45)</f>
        <v>11569.869999999999</v>
      </c>
      <c r="L45" s="676">
        <f>SUMIFS('Prof. Fee'!AG$3:AG$150,'Prof. Fee'!$B$3:$B$150,$D$1,'Prof. Fee'!$D$3:$D$150,$A45)</f>
        <v>11468.6</v>
      </c>
      <c r="M45" s="676">
        <f>SUMIFS('Prof. Fee'!AH$3:AH$150,'Prof. Fee'!$B$3:$B$150,$D$1,'Prof. Fee'!$D$3:$D$150,$A45)</f>
        <v>11468.6</v>
      </c>
      <c r="N45" s="676">
        <f>SUMIFS('Prof. Fee'!AI$3:AI$150,'Prof. Fee'!$B$3:$B$150,$D$1,'Prof. Fee'!$D$3:$D$150,$A45)</f>
        <v>11468.6</v>
      </c>
      <c r="O45" s="676">
        <f>SUMIFS('Prof. Fee'!AJ$3:AJ$150,'Prof. Fee'!$B$3:$B$150,$D$1,'Prof. Fee'!$D$3:$D$150,$A45)</f>
        <v>11468.6</v>
      </c>
      <c r="P45" s="676">
        <f>SUMIFS('Prof. Fee'!AK$3:AK$150,'Prof. Fee'!$B$3:$B$150,$D$1,'Prof. Fee'!$D$3:$D$150,$A45)</f>
        <v>11468.6</v>
      </c>
      <c r="Q45" s="676">
        <f>SUMIFS('Prof. Fee'!AL$3:AL$150,'Prof. Fee'!$B$3:$B$150,$D$1,'Prof. Fee'!$D$3:$D$150,$A45)</f>
        <v>11468.6</v>
      </c>
      <c r="R45" s="676">
        <f>SUMIFS('Prof. Fee'!AM$3:AM$150,'Prof. Fee'!$B$3:$B$150,$D$1,'Prof. Fee'!$D$3:$D$150,$A45)</f>
        <v>11468.6</v>
      </c>
      <c r="S45" s="676">
        <f>SUMIFS('Prof. Fee'!AN$3:AN$150,'Prof. Fee'!$B$3:$B$150,$D$1,'Prof. Fee'!$D$3:$D$150,$A45)</f>
        <v>11468.6</v>
      </c>
      <c r="T45" s="676">
        <f>SUMIFS('Prof. Fee'!AO$3:AO$150,'Prof. Fee'!$B$3:$B$150,$D$1,'Prof. Fee'!$D$3:$D$150,$A45)</f>
        <v>11468.6</v>
      </c>
      <c r="U45" s="676">
        <f>SUMIFS('Prof. Fee'!AP$3:AP$150,'Prof. Fee'!$B$3:$B$150,$D$1,'Prof. Fee'!$D$3:$D$150,$A45)</f>
        <v>11468.6</v>
      </c>
      <c r="V45" s="676">
        <f>SUMIFS('Prof. Fee'!AQ$3:AQ$150,'Prof. Fee'!$B$3:$B$150,$D$1,'Prof. Fee'!$D$3:$D$150,$A45)</f>
        <v>11468.6</v>
      </c>
      <c r="W45" s="676">
        <f t="shared" ref="W45:W76" si="36">SUM(K45:V45)</f>
        <v>137724.47000000003</v>
      </c>
      <c r="Y45" s="688">
        <f>IFERROR(VLOOKUP($A45,'[91]1月'!$A:$H,8,0),0)</f>
        <v>12000</v>
      </c>
      <c r="Z45" s="688">
        <f>IFERROR(VLOOKUP($A45,'[91]2月'!$A:$H,8,0),0)</f>
        <v>12000</v>
      </c>
      <c r="AA45" s="688">
        <f>IFERROR(VLOOKUP($A45,'[91]3月'!$A:$H,8,0),0)</f>
        <v>12000</v>
      </c>
      <c r="AB45" s="688">
        <f>IFERROR(VLOOKUP($A45,'[91]4月'!$A:$H,8,0),0)</f>
        <v>12000</v>
      </c>
      <c r="AC45" s="688">
        <f>IFERROR(VLOOKUP($A45,'[91]5月'!$A:$H,8,0),0)</f>
        <v>12000</v>
      </c>
      <c r="AD45" s="688">
        <f>IFERROR(VLOOKUP($A45,'[91]6月'!$A:$H,8,0),0)</f>
        <v>12000</v>
      </c>
      <c r="AE45" s="688">
        <f>IFERROR(VLOOKUP($A45,'[91]7月'!$A:$H,8,0),0)</f>
        <v>12000</v>
      </c>
      <c r="AF45" s="688">
        <f>IFERROR(VLOOKUP($A45,'[91]8月'!$A:$H,8,0),0)</f>
        <v>12000</v>
      </c>
      <c r="AG45" s="688">
        <f>IFERROR(VLOOKUP($A45,'[91]9月'!$A:$H,8,0),0)</f>
        <v>12000</v>
      </c>
      <c r="AH45" s="688">
        <f>IFERROR(VLOOKUP($A45,'[91]10月'!$A:$H,8,0),0)</f>
        <v>12000</v>
      </c>
      <c r="AI45" s="688">
        <f>IFERROR(VLOOKUP($A45,'[91]11月'!$A:$H,8,0),0)</f>
        <v>12000</v>
      </c>
      <c r="AJ45" s="688">
        <f>IFERROR(VLOOKUP($A45,'[91]12月'!$A:$H,8,0),0)</f>
        <v>12000</v>
      </c>
      <c r="AK45" s="688">
        <f t="shared" si="35"/>
        <v>144000</v>
      </c>
    </row>
    <row r="46" spans="1:37" ht="13.5" customHeight="1">
      <c r="A46" s="653" t="str">
        <f>'Budget-合并'!A46</f>
        <v>6602.04.02</v>
      </c>
      <c r="B46" s="653" t="str">
        <f>'Budget-合并'!B46</f>
        <v>审计服务费</v>
      </c>
      <c r="C46" s="687" t="str">
        <f>'Budget-合并'!C46</f>
        <v>Audit Fees</v>
      </c>
      <c r="D46" s="676">
        <f t="shared" si="28"/>
        <v>0</v>
      </c>
      <c r="E46" s="676" t="e">
        <f t="shared" si="29"/>
        <v>#N/A</v>
      </c>
      <c r="F46" s="676" t="e">
        <f t="shared" si="30"/>
        <v>#N/A</v>
      </c>
      <c r="G46" s="676">
        <f t="shared" ca="1" si="31"/>
        <v>0</v>
      </c>
      <c r="H46" s="676" t="e">
        <f t="shared" ca="1" si="32"/>
        <v>#N/A</v>
      </c>
      <c r="I46" s="676" t="e">
        <f t="shared" ca="1" si="33"/>
        <v>#N/A</v>
      </c>
      <c r="K46" s="676">
        <f>SUMIFS('Prof. Fee'!AF$3:AF$150,'Prof. Fee'!$B$3:$B$150,$D$1,'Prof. Fee'!$D$3:$D$150,$A46)</f>
        <v>0</v>
      </c>
      <c r="L46" s="676">
        <f>SUMIFS('Prof. Fee'!AG$3:AG$150,'Prof. Fee'!$B$3:$B$150,$D$1,'Prof. Fee'!$D$3:$D$150,$A46)</f>
        <v>0</v>
      </c>
      <c r="M46" s="676">
        <f>SUMIFS('Prof. Fee'!AH$3:AH$150,'Prof. Fee'!$B$3:$B$150,$D$1,'Prof. Fee'!$D$3:$D$150,$A46)</f>
        <v>0</v>
      </c>
      <c r="N46" s="676">
        <f>SUMIFS('Prof. Fee'!AI$3:AI$150,'Prof. Fee'!$B$3:$B$150,$D$1,'Prof. Fee'!$D$3:$D$150,$A46)</f>
        <v>0</v>
      </c>
      <c r="O46" s="676">
        <f>SUMIFS('Prof. Fee'!AJ$3:AJ$150,'Prof. Fee'!$B$3:$B$150,$D$1,'Prof. Fee'!$D$3:$D$150,$A46)</f>
        <v>228489.8</v>
      </c>
      <c r="P46" s="676">
        <f>SUMIFS('Prof. Fee'!AK$3:AK$150,'Prof. Fee'!$B$3:$B$150,$D$1,'Prof. Fee'!$D$3:$D$150,$A46)</f>
        <v>0</v>
      </c>
      <c r="Q46" s="676">
        <f>SUMIFS('Prof. Fee'!AL$3:AL$150,'Prof. Fee'!$B$3:$B$150,$D$1,'Prof. Fee'!$D$3:$D$150,$A46)</f>
        <v>0</v>
      </c>
      <c r="R46" s="676">
        <f>SUMIFS('Prof. Fee'!AM$3:AM$150,'Prof. Fee'!$B$3:$B$150,$D$1,'Prof. Fee'!$D$3:$D$150,$A46)</f>
        <v>0</v>
      </c>
      <c r="S46" s="676">
        <f>SUMIFS('Prof. Fee'!AN$3:AN$150,'Prof. Fee'!$B$3:$B$150,$D$1,'Prof. Fee'!$D$3:$D$150,$A46)</f>
        <v>0</v>
      </c>
      <c r="T46" s="676">
        <f>SUMIFS('Prof. Fee'!AO$3:AO$150,'Prof. Fee'!$B$3:$B$150,$D$1,'Prof. Fee'!$D$3:$D$150,$A46)</f>
        <v>0</v>
      </c>
      <c r="U46" s="676">
        <f>SUMIFS('Prof. Fee'!AP$3:AP$150,'Prof. Fee'!$B$3:$B$150,$D$1,'Prof. Fee'!$D$3:$D$150,$A46)</f>
        <v>0</v>
      </c>
      <c r="V46" s="676">
        <f>SUMIFS('Prof. Fee'!AQ$3:AQ$150,'Prof. Fee'!$B$3:$B$150,$D$1,'Prof. Fee'!$D$3:$D$150,$A46)</f>
        <v>0</v>
      </c>
      <c r="W46" s="676">
        <f t="shared" si="36"/>
        <v>228489.8</v>
      </c>
      <c r="Y46" s="688">
        <f>IFERROR(VLOOKUP($A46,'[91]1月'!$A:$H,8,0),0)</f>
        <v>19166.66</v>
      </c>
      <c r="Z46" s="688">
        <f>IFERROR(VLOOKUP($A46,'[91]2月'!$A:$H,8,0),0)</f>
        <v>19166.66</v>
      </c>
      <c r="AA46" s="688">
        <f>IFERROR(VLOOKUP($A46,'[91]3月'!$A:$H,8,0),0)</f>
        <v>19166.66</v>
      </c>
      <c r="AB46" s="688">
        <f>IFERROR(VLOOKUP($A46,'[91]4月'!$A:$H,8,0),0)</f>
        <v>19166.66</v>
      </c>
      <c r="AC46" s="688">
        <f>IFERROR(VLOOKUP($A46,'[91]5月'!$A:$H,8,0),0)</f>
        <v>19166.66</v>
      </c>
      <c r="AD46" s="688">
        <f>IFERROR(VLOOKUP($A46,'[91]6月'!$A:$H,8,0),0)</f>
        <v>19166.66</v>
      </c>
      <c r="AE46" s="688">
        <f>IFERROR(VLOOKUP($A46,'[91]7月'!$A:$H,8,0),0)</f>
        <v>19166.66</v>
      </c>
      <c r="AF46" s="688">
        <f>IFERROR(VLOOKUP($A46,'[91]8月'!$A:$H,8,0),0)</f>
        <v>19166.66</v>
      </c>
      <c r="AG46" s="688">
        <f>IFERROR(VLOOKUP($A46,'[91]9月'!$A:$H,8,0),0)</f>
        <v>19166.66</v>
      </c>
      <c r="AH46" s="688">
        <f>IFERROR(VLOOKUP($A46,'[91]10月'!$A:$H,8,0),0)</f>
        <v>19166.66</v>
      </c>
      <c r="AI46" s="688">
        <f>IFERROR(VLOOKUP($A46,'[91]11月'!$A:$H,8,0),0)</f>
        <v>19166.66</v>
      </c>
      <c r="AJ46" s="688">
        <f>IFERROR(VLOOKUP($A46,'[91]12月'!$A:$H,8,0),0)</f>
        <v>19166.740000000002</v>
      </c>
      <c r="AK46" s="688">
        <f t="shared" si="35"/>
        <v>230000</v>
      </c>
    </row>
    <row r="47" spans="1:37" ht="13.5" customHeight="1">
      <c r="A47" s="653" t="str">
        <f>'Budget-合并'!A47</f>
        <v>6602.04.03</v>
      </c>
      <c r="B47" s="653" t="str">
        <f>'Budget-合并'!B47</f>
        <v>顾问费</v>
      </c>
      <c r="C47" s="687" t="str">
        <f>'Budget-合并'!C47</f>
        <v>Advisory fee</v>
      </c>
      <c r="D47" s="676">
        <f t="shared" si="28"/>
        <v>0</v>
      </c>
      <c r="E47" s="676" t="e">
        <f t="shared" si="29"/>
        <v>#N/A</v>
      </c>
      <c r="F47" s="676" t="e">
        <f t="shared" si="30"/>
        <v>#N/A</v>
      </c>
      <c r="G47" s="676">
        <f t="shared" ca="1" si="31"/>
        <v>0</v>
      </c>
      <c r="H47" s="676" t="e">
        <f t="shared" ca="1" si="32"/>
        <v>#N/A</v>
      </c>
      <c r="I47" s="676" t="e">
        <f t="shared" ca="1" si="33"/>
        <v>#N/A</v>
      </c>
      <c r="K47" s="676">
        <f>SUM(K48:K50)</f>
        <v>0</v>
      </c>
      <c r="L47" s="676">
        <f t="shared" ref="L47:V47" si="37">SUM(L48:L50)</f>
        <v>0</v>
      </c>
      <c r="M47" s="676">
        <f t="shared" si="37"/>
        <v>0</v>
      </c>
      <c r="N47" s="676">
        <f t="shared" si="37"/>
        <v>0</v>
      </c>
      <c r="O47" s="676">
        <f t="shared" si="37"/>
        <v>0</v>
      </c>
      <c r="P47" s="676">
        <f t="shared" si="37"/>
        <v>0</v>
      </c>
      <c r="Q47" s="676">
        <f t="shared" si="37"/>
        <v>0</v>
      </c>
      <c r="R47" s="676">
        <f t="shared" si="37"/>
        <v>0</v>
      </c>
      <c r="S47" s="676">
        <f t="shared" si="37"/>
        <v>0</v>
      </c>
      <c r="T47" s="676">
        <f t="shared" si="37"/>
        <v>0</v>
      </c>
      <c r="U47" s="676">
        <f t="shared" si="37"/>
        <v>0</v>
      </c>
      <c r="V47" s="676">
        <f t="shared" si="37"/>
        <v>0</v>
      </c>
      <c r="W47" s="676">
        <f t="shared" si="36"/>
        <v>0</v>
      </c>
      <c r="Y47" s="688">
        <f>IFERROR(VLOOKUP($A47,'[91]1月'!$A:$H,8,0),0)</f>
        <v>0</v>
      </c>
      <c r="Z47" s="688">
        <f>IFERROR(VLOOKUP($A47,'[91]2月'!$A:$H,8,0),0)</f>
        <v>0</v>
      </c>
      <c r="AA47" s="688">
        <f>IFERROR(VLOOKUP($A47,'[91]3月'!$A:$H,8,0),0)</f>
        <v>0</v>
      </c>
      <c r="AB47" s="688">
        <f>IFERROR(VLOOKUP($A47,'[91]4月'!$A:$H,8,0),0)</f>
        <v>0</v>
      </c>
      <c r="AC47" s="688">
        <f>IFERROR(VLOOKUP($A47,'[91]5月'!$A:$H,8,0),0)</f>
        <v>0</v>
      </c>
      <c r="AD47" s="688">
        <f>IFERROR(VLOOKUP($A47,'[91]6月'!$A:$H,8,0),0)</f>
        <v>0</v>
      </c>
      <c r="AE47" s="688">
        <f>IFERROR(VLOOKUP($A47,'[91]7月'!$A:$H,8,0),0)</f>
        <v>0</v>
      </c>
      <c r="AF47" s="688">
        <f>IFERROR(VLOOKUP($A47,'[91]8月'!$A:$H,8,0),0)</f>
        <v>0</v>
      </c>
      <c r="AG47" s="688">
        <f>IFERROR(VLOOKUP($A47,'[91]9月'!$A:$H,8,0),0)</f>
        <v>0</v>
      </c>
      <c r="AH47" s="688">
        <f>IFERROR(VLOOKUP($A47,'[91]10月'!$A:$H,8,0),0)</f>
        <v>0</v>
      </c>
      <c r="AI47" s="688">
        <f>IFERROR(VLOOKUP($A47,'[91]11月'!$A:$H,8,0),0)</f>
        <v>0</v>
      </c>
      <c r="AJ47" s="688">
        <f>IFERROR(VLOOKUP($A47,'[91]12月'!$A:$H,8,0),0)</f>
        <v>0</v>
      </c>
      <c r="AK47" s="688">
        <f t="shared" si="35"/>
        <v>0</v>
      </c>
    </row>
    <row r="48" spans="1:37" ht="13.5" customHeight="1">
      <c r="A48" s="653">
        <f>'Budget-合并'!A48</f>
        <v>0</v>
      </c>
      <c r="B48" s="653" t="str">
        <f>'Budget-合并'!B48</f>
        <v xml:space="preserve">    公司主体01</v>
      </c>
      <c r="C48" s="687" t="str">
        <f>'Budget-合并'!C48</f>
        <v xml:space="preserve">   Entity</v>
      </c>
      <c r="D48" s="676">
        <f t="shared" si="28"/>
        <v>0</v>
      </c>
      <c r="E48" s="676" t="e">
        <f t="shared" si="29"/>
        <v>#N/A</v>
      </c>
      <c r="F48" s="676" t="e">
        <f t="shared" si="30"/>
        <v>#N/A</v>
      </c>
      <c r="G48" s="676">
        <f t="shared" ca="1" si="31"/>
        <v>0</v>
      </c>
      <c r="H48" s="676" t="e">
        <f t="shared" ca="1" si="32"/>
        <v>#N/A</v>
      </c>
      <c r="I48" s="676" t="e">
        <f t="shared" ca="1" si="33"/>
        <v>#N/A</v>
      </c>
      <c r="K48" s="676"/>
      <c r="L48" s="676"/>
      <c r="M48" s="676"/>
      <c r="N48" s="676"/>
      <c r="O48" s="676"/>
      <c r="P48" s="676"/>
      <c r="Q48" s="676"/>
      <c r="R48" s="676"/>
      <c r="S48" s="676"/>
      <c r="T48" s="676"/>
      <c r="U48" s="676"/>
      <c r="V48" s="676"/>
      <c r="W48" s="676">
        <f t="shared" si="36"/>
        <v>0</v>
      </c>
      <c r="Y48" s="688">
        <f>IFERROR(VLOOKUP($A48,'[91]1月'!$A:$H,8,0),0)</f>
        <v>0</v>
      </c>
      <c r="Z48" s="688">
        <f>IFERROR(VLOOKUP($A48,'[91]2月'!$A:$H,8,0),0)</f>
        <v>0</v>
      </c>
      <c r="AA48" s="688">
        <f>IFERROR(VLOOKUP($A48,'[91]3月'!$A:$H,8,0),0)</f>
        <v>0</v>
      </c>
      <c r="AB48" s="688">
        <f>IFERROR(VLOOKUP($A48,'[91]4月'!$A:$H,8,0),0)</f>
        <v>0</v>
      </c>
      <c r="AC48" s="688">
        <f>IFERROR(VLOOKUP($A48,'[91]5月'!$A:$H,8,0),0)</f>
        <v>0</v>
      </c>
      <c r="AD48" s="688">
        <f>IFERROR(VLOOKUP($A48,'[91]6月'!$A:$H,8,0),0)</f>
        <v>0</v>
      </c>
      <c r="AE48" s="688">
        <f>IFERROR(VLOOKUP($A48,'[91]7月'!$A:$H,8,0),0)</f>
        <v>0</v>
      </c>
      <c r="AF48" s="688">
        <f>IFERROR(VLOOKUP($A48,'[91]8月'!$A:$H,8,0),0)</f>
        <v>0</v>
      </c>
      <c r="AG48" s="688">
        <f>IFERROR(VLOOKUP($A48,'[91]9月'!$A:$H,8,0),0)</f>
        <v>0</v>
      </c>
      <c r="AH48" s="688">
        <f>IFERROR(VLOOKUP($A48,'[91]10月'!$A:$H,8,0),0)</f>
        <v>0</v>
      </c>
      <c r="AI48" s="688">
        <f>IFERROR(VLOOKUP($A48,'[91]11月'!$A:$H,8,0),0)</f>
        <v>0</v>
      </c>
      <c r="AJ48" s="688">
        <f>IFERROR(VLOOKUP($A48,'[91]12月'!$A:$H,8,0),0)</f>
        <v>0</v>
      </c>
      <c r="AK48" s="688">
        <f t="shared" si="35"/>
        <v>0</v>
      </c>
    </row>
    <row r="49" spans="1:37" ht="13.5" customHeight="1">
      <c r="A49" s="653">
        <f>'Budget-合并'!A49</f>
        <v>0</v>
      </c>
      <c r="B49" s="653" t="str">
        <f>'Budget-合并'!B49</f>
        <v xml:space="preserve">    旭智富能01</v>
      </c>
      <c r="C49" s="687" t="str">
        <f>'Budget-合并'!C49</f>
        <v xml:space="preserve">   Foxpower</v>
      </c>
      <c r="D49" s="676">
        <f t="shared" si="28"/>
        <v>0</v>
      </c>
      <c r="E49" s="676" t="e">
        <f t="shared" si="29"/>
        <v>#N/A</v>
      </c>
      <c r="F49" s="676" t="e">
        <f t="shared" si="30"/>
        <v>#N/A</v>
      </c>
      <c r="G49" s="676">
        <f t="shared" ca="1" si="31"/>
        <v>0</v>
      </c>
      <c r="H49" s="676" t="e">
        <f t="shared" ca="1" si="32"/>
        <v>#N/A</v>
      </c>
      <c r="I49" s="676" t="e">
        <f t="shared" ca="1" si="33"/>
        <v>#N/A</v>
      </c>
      <c r="K49" s="676"/>
      <c r="L49" s="676"/>
      <c r="M49" s="676"/>
      <c r="N49" s="676"/>
      <c r="O49" s="676"/>
      <c r="P49" s="676"/>
      <c r="Q49" s="676"/>
      <c r="R49" s="676"/>
      <c r="S49" s="676"/>
      <c r="T49" s="676"/>
      <c r="U49" s="676"/>
      <c r="V49" s="676"/>
      <c r="W49" s="676">
        <f t="shared" si="36"/>
        <v>0</v>
      </c>
      <c r="Y49" s="688">
        <f>IFERROR(VLOOKUP($A49,'[91]1月'!$A:$H,8,0),0)</f>
        <v>0</v>
      </c>
      <c r="Z49" s="688">
        <f>IFERROR(VLOOKUP($A49,'[91]2月'!$A:$H,8,0),0)</f>
        <v>0</v>
      </c>
      <c r="AA49" s="688">
        <f>IFERROR(VLOOKUP($A49,'[91]3月'!$A:$H,8,0),0)</f>
        <v>0</v>
      </c>
      <c r="AB49" s="688">
        <f>IFERROR(VLOOKUP($A49,'[91]4月'!$A:$H,8,0),0)</f>
        <v>0</v>
      </c>
      <c r="AC49" s="688">
        <f>IFERROR(VLOOKUP($A49,'[91]5月'!$A:$H,8,0),0)</f>
        <v>0</v>
      </c>
      <c r="AD49" s="688">
        <f>IFERROR(VLOOKUP($A49,'[91]6月'!$A:$H,8,0),0)</f>
        <v>0</v>
      </c>
      <c r="AE49" s="688">
        <f>IFERROR(VLOOKUP($A49,'[91]7月'!$A:$H,8,0),0)</f>
        <v>0</v>
      </c>
      <c r="AF49" s="688">
        <f>IFERROR(VLOOKUP($A49,'[91]8月'!$A:$H,8,0),0)</f>
        <v>0</v>
      </c>
      <c r="AG49" s="688">
        <f>IFERROR(VLOOKUP($A49,'[91]9月'!$A:$H,8,0),0)</f>
        <v>0</v>
      </c>
      <c r="AH49" s="688">
        <f>IFERROR(VLOOKUP($A49,'[91]10月'!$A:$H,8,0),0)</f>
        <v>0</v>
      </c>
      <c r="AI49" s="688">
        <f>IFERROR(VLOOKUP($A49,'[91]11月'!$A:$H,8,0),0)</f>
        <v>0</v>
      </c>
      <c r="AJ49" s="688">
        <f>IFERROR(VLOOKUP($A49,'[91]12月'!$A:$H,8,0),0)</f>
        <v>0</v>
      </c>
      <c r="AK49" s="688">
        <f t="shared" si="35"/>
        <v>0</v>
      </c>
    </row>
    <row r="50" spans="1:37" ht="13.5" customHeight="1">
      <c r="A50" s="653">
        <f>'Budget-合并'!A50</f>
        <v>0</v>
      </c>
      <c r="B50" s="653" t="str">
        <f>'Budget-合并'!B50</f>
        <v xml:space="preserve">    其他项目01</v>
      </c>
      <c r="C50" s="687" t="str">
        <f>'Budget-合并'!C50</f>
        <v xml:space="preserve">   Other project</v>
      </c>
      <c r="D50" s="676">
        <f t="shared" si="28"/>
        <v>0</v>
      </c>
      <c r="E50" s="676" t="e">
        <f t="shared" si="29"/>
        <v>#N/A</v>
      </c>
      <c r="F50" s="676" t="e">
        <f t="shared" si="30"/>
        <v>#N/A</v>
      </c>
      <c r="G50" s="676">
        <f t="shared" ca="1" si="31"/>
        <v>0</v>
      </c>
      <c r="H50" s="676" t="e">
        <f t="shared" ca="1" si="32"/>
        <v>#N/A</v>
      </c>
      <c r="I50" s="676" t="e">
        <f t="shared" ca="1" si="33"/>
        <v>#N/A</v>
      </c>
      <c r="K50" s="676"/>
      <c r="L50" s="676"/>
      <c r="M50" s="676"/>
      <c r="N50" s="676"/>
      <c r="O50" s="676"/>
      <c r="P50" s="676"/>
      <c r="Q50" s="676"/>
      <c r="R50" s="676"/>
      <c r="S50" s="676"/>
      <c r="T50" s="676"/>
      <c r="U50" s="676"/>
      <c r="V50" s="676"/>
      <c r="W50" s="676">
        <f t="shared" si="36"/>
        <v>0</v>
      </c>
      <c r="Y50" s="688">
        <f>IFERROR(VLOOKUP($A50,'[91]1月'!$A:$H,8,0),0)</f>
        <v>0</v>
      </c>
      <c r="Z50" s="688">
        <f>IFERROR(VLOOKUP($A50,'[91]2月'!$A:$H,8,0),0)</f>
        <v>0</v>
      </c>
      <c r="AA50" s="688">
        <f>IFERROR(VLOOKUP($A50,'[91]3月'!$A:$H,8,0),0)</f>
        <v>0</v>
      </c>
      <c r="AB50" s="688">
        <f>IFERROR(VLOOKUP($A50,'[91]4月'!$A:$H,8,0),0)</f>
        <v>0</v>
      </c>
      <c r="AC50" s="688">
        <f>IFERROR(VLOOKUP($A50,'[91]5月'!$A:$H,8,0),0)</f>
        <v>0</v>
      </c>
      <c r="AD50" s="688">
        <f>IFERROR(VLOOKUP($A50,'[91]6月'!$A:$H,8,0),0)</f>
        <v>0</v>
      </c>
      <c r="AE50" s="688">
        <f>IFERROR(VLOOKUP($A50,'[91]7月'!$A:$H,8,0),0)</f>
        <v>0</v>
      </c>
      <c r="AF50" s="688">
        <f>IFERROR(VLOOKUP($A50,'[91]8月'!$A:$H,8,0),0)</f>
        <v>0</v>
      </c>
      <c r="AG50" s="688">
        <f>IFERROR(VLOOKUP($A50,'[91]9月'!$A:$H,8,0),0)</f>
        <v>0</v>
      </c>
      <c r="AH50" s="688">
        <f>IFERROR(VLOOKUP($A50,'[91]10月'!$A:$H,8,0),0)</f>
        <v>0</v>
      </c>
      <c r="AI50" s="688">
        <f>IFERROR(VLOOKUP($A50,'[91]11月'!$A:$H,8,0),0)</f>
        <v>0</v>
      </c>
      <c r="AJ50" s="688">
        <f>IFERROR(VLOOKUP($A50,'[91]12月'!$A:$H,8,0),0)</f>
        <v>0</v>
      </c>
      <c r="AK50" s="688">
        <f t="shared" si="35"/>
        <v>0</v>
      </c>
    </row>
    <row r="51" spans="1:37" ht="13.5" customHeight="1">
      <c r="A51" s="653" t="str">
        <f>'Budget-合并'!A51</f>
        <v>6602.04.04</v>
      </c>
      <c r="B51" s="653" t="str">
        <f>'Budget-合并'!B51</f>
        <v>税务服务费</v>
      </c>
      <c r="C51" s="687">
        <f>'Budget-合并'!C51</f>
        <v>0</v>
      </c>
      <c r="D51" s="676">
        <f t="shared" si="28"/>
        <v>0</v>
      </c>
      <c r="E51" s="676" t="e">
        <f t="shared" si="29"/>
        <v>#N/A</v>
      </c>
      <c r="F51" s="676" t="e">
        <f t="shared" si="30"/>
        <v>#N/A</v>
      </c>
      <c r="G51" s="676">
        <f t="shared" ca="1" si="31"/>
        <v>0</v>
      </c>
      <c r="H51" s="676" t="e">
        <f t="shared" ca="1" si="32"/>
        <v>#N/A</v>
      </c>
      <c r="I51" s="676" t="e">
        <f t="shared" ca="1" si="33"/>
        <v>#N/A</v>
      </c>
      <c r="K51" s="676">
        <f>SUMIFS('Prof. Fee'!AF$3:AF$150,'Prof. Fee'!$B$3:$B$150,$D$1,'Prof. Fee'!$D$3:$D$150,$A51)</f>
        <v>0</v>
      </c>
      <c r="L51" s="676">
        <f>SUMIFS('Prof. Fee'!AG$3:AG$150,'Prof. Fee'!$B$3:$B$150,$D$1,'Prof. Fee'!$D$3:$D$150,$A51)</f>
        <v>0</v>
      </c>
      <c r="M51" s="676">
        <f>SUMIFS('Prof. Fee'!AH$3:AH$150,'Prof. Fee'!$B$3:$B$150,$D$1,'Prof. Fee'!$D$3:$D$150,$A51)</f>
        <v>0</v>
      </c>
      <c r="N51" s="676">
        <f>SUMIFS('Prof. Fee'!AI$3:AI$150,'Prof. Fee'!$B$3:$B$150,$D$1,'Prof. Fee'!$D$3:$D$150,$A51)</f>
        <v>0</v>
      </c>
      <c r="O51" s="676">
        <f>SUMIFS('Prof. Fee'!AJ$3:AJ$150,'Prof. Fee'!$B$3:$B$150,$D$1,'Prof. Fee'!$D$3:$D$150,$A51)</f>
        <v>0</v>
      </c>
      <c r="P51" s="676">
        <f>SUMIFS('Prof. Fee'!AK$3:AK$150,'Prof. Fee'!$B$3:$B$150,$D$1,'Prof. Fee'!$D$3:$D$150,$A51)</f>
        <v>78868.679999999993</v>
      </c>
      <c r="Q51" s="676">
        <f>SUMIFS('Prof. Fee'!AL$3:AL$150,'Prof. Fee'!$B$3:$B$150,$D$1,'Prof. Fee'!$D$3:$D$150,$A51)</f>
        <v>0</v>
      </c>
      <c r="R51" s="676">
        <f>SUMIFS('Prof. Fee'!AM$3:AM$150,'Prof. Fee'!$B$3:$B$150,$D$1,'Prof. Fee'!$D$3:$D$150,$A51)</f>
        <v>0</v>
      </c>
      <c r="S51" s="676">
        <f>SUMIFS('Prof. Fee'!AN$3:AN$150,'Prof. Fee'!$B$3:$B$150,$D$1,'Prof. Fee'!$D$3:$D$150,$A51)</f>
        <v>0</v>
      </c>
      <c r="T51" s="676">
        <f>SUMIFS('Prof. Fee'!AO$3:AO$150,'Prof. Fee'!$B$3:$B$150,$D$1,'Prof. Fee'!$D$3:$D$150,$A51)</f>
        <v>0</v>
      </c>
      <c r="U51" s="676">
        <f>SUMIFS('Prof. Fee'!AP$3:AP$150,'Prof. Fee'!$B$3:$B$150,$D$1,'Prof. Fee'!$D$3:$D$150,$A51)</f>
        <v>0</v>
      </c>
      <c r="V51" s="676">
        <f>SUMIFS('Prof. Fee'!AQ$3:AQ$150,'Prof. Fee'!$B$3:$B$150,$D$1,'Prof. Fee'!$D$3:$D$150,$A51)</f>
        <v>0</v>
      </c>
      <c r="W51" s="676">
        <f t="shared" si="36"/>
        <v>78868.679999999993</v>
      </c>
      <c r="Y51" s="688">
        <f>IFERROR(VLOOKUP($A51,'[91]1月'!$A:$H,8,0),0)</f>
        <v>0</v>
      </c>
      <c r="Z51" s="688">
        <f>IFERROR(VLOOKUP($A51,'[91]2月'!$A:$H,8,0),0)</f>
        <v>0</v>
      </c>
      <c r="AA51" s="688">
        <f>IFERROR(VLOOKUP($A51,'[91]3月'!$A:$H,8,0),0)</f>
        <v>0</v>
      </c>
      <c r="AB51" s="688">
        <f>IFERROR(VLOOKUP($A51,'[91]4月'!$A:$H,8,0),0)</f>
        <v>0</v>
      </c>
      <c r="AC51" s="688">
        <f>IFERROR(VLOOKUP($A51,'[91]5月'!$A:$H,8,0),0)</f>
        <v>0</v>
      </c>
      <c r="AD51" s="688">
        <f>IFERROR(VLOOKUP($A51,'[91]6月'!$A:$H,8,0),0)</f>
        <v>0</v>
      </c>
      <c r="AE51" s="688">
        <f>IFERROR(VLOOKUP($A51,'[91]7月'!$A:$H,8,0),0)</f>
        <v>0</v>
      </c>
      <c r="AF51" s="688">
        <f>IFERROR(VLOOKUP($A51,'[91]8月'!$A:$H,8,0),0)</f>
        <v>0</v>
      </c>
      <c r="AG51" s="688">
        <f>IFERROR(VLOOKUP($A51,'[91]9月'!$A:$H,8,0),0)</f>
        <v>0</v>
      </c>
      <c r="AH51" s="688">
        <f>IFERROR(VLOOKUP($A51,'[91]10月'!$A:$H,8,0),0)</f>
        <v>0</v>
      </c>
      <c r="AI51" s="688">
        <f>IFERROR(VLOOKUP($A51,'[91]11月'!$A:$H,8,0),0)</f>
        <v>0</v>
      </c>
      <c r="AJ51" s="688">
        <f>IFERROR(VLOOKUP($A51,'[91]12月'!$A:$H,8,0),0)</f>
        <v>0</v>
      </c>
      <c r="AK51" s="688">
        <f t="shared" si="35"/>
        <v>0</v>
      </c>
    </row>
    <row r="52" spans="1:37" ht="13.5" customHeight="1">
      <c r="A52" s="653" t="str">
        <f>'Budget-合并'!A52</f>
        <v>6602.04.05</v>
      </c>
      <c r="B52" s="653" t="str">
        <f>'Budget-合并'!B52</f>
        <v>招聘服务费</v>
      </c>
      <c r="C52" s="687" t="str">
        <f>'Budget-合并'!C52</f>
        <v>Employment Agency Fee</v>
      </c>
      <c r="D52" s="676">
        <f t="shared" si="28"/>
        <v>0</v>
      </c>
      <c r="E52" s="676" t="e">
        <f t="shared" si="29"/>
        <v>#N/A</v>
      </c>
      <c r="F52" s="676" t="e">
        <f t="shared" si="30"/>
        <v>#N/A</v>
      </c>
      <c r="G52" s="676">
        <f t="shared" ca="1" si="31"/>
        <v>0</v>
      </c>
      <c r="H52" s="676" t="e">
        <f t="shared" ca="1" si="32"/>
        <v>#N/A</v>
      </c>
      <c r="I52" s="676" t="e">
        <f t="shared" ca="1" si="33"/>
        <v>#N/A</v>
      </c>
      <c r="K52" s="676">
        <f>SUMIFS('Prof. Fee'!AF$3:AF$150,'Prof. Fee'!$B$3:$B$150,$D$1,'Prof. Fee'!$D$3:$D$150,$A52)</f>
        <v>0</v>
      </c>
      <c r="L52" s="676">
        <f>SUMIFS('Prof. Fee'!AG$3:AG$150,'Prof. Fee'!$B$3:$B$150,$D$1,'Prof. Fee'!$D$3:$D$150,$A52)</f>
        <v>0</v>
      </c>
      <c r="M52" s="676">
        <f>SUMIFS('Prof. Fee'!AH$3:AH$150,'Prof. Fee'!$B$3:$B$150,$D$1,'Prof. Fee'!$D$3:$D$150,$A52)</f>
        <v>0</v>
      </c>
      <c r="N52" s="676">
        <f>SUMIFS('Prof. Fee'!AI$3:AI$150,'Prof. Fee'!$B$3:$B$150,$D$1,'Prof. Fee'!$D$3:$D$150,$A52)</f>
        <v>0</v>
      </c>
      <c r="O52" s="676">
        <f>SUMIFS('Prof. Fee'!AJ$3:AJ$150,'Prof. Fee'!$B$3:$B$150,$D$1,'Prof. Fee'!$D$3:$D$150,$A52)</f>
        <v>0</v>
      </c>
      <c r="P52" s="676">
        <f>SUMIFS('Prof. Fee'!AK$3:AK$150,'Prof. Fee'!$B$3:$B$150,$D$1,'Prof. Fee'!$D$3:$D$150,$A52)</f>
        <v>0</v>
      </c>
      <c r="Q52" s="676">
        <f>SUMIFS('Prof. Fee'!AL$3:AL$150,'Prof. Fee'!$B$3:$B$150,$D$1,'Prof. Fee'!$D$3:$D$150,$A52)</f>
        <v>0</v>
      </c>
      <c r="R52" s="676">
        <f>SUMIFS('Prof. Fee'!AM$3:AM$150,'Prof. Fee'!$B$3:$B$150,$D$1,'Prof. Fee'!$D$3:$D$150,$A52)</f>
        <v>0</v>
      </c>
      <c r="S52" s="676">
        <f>SUMIFS('Prof. Fee'!AN$3:AN$150,'Prof. Fee'!$B$3:$B$150,$D$1,'Prof. Fee'!$D$3:$D$150,$A52)</f>
        <v>0</v>
      </c>
      <c r="T52" s="676">
        <f>SUMIFS('Prof. Fee'!AO$3:AO$150,'Prof. Fee'!$B$3:$B$150,$D$1,'Prof. Fee'!$D$3:$D$150,$A52)</f>
        <v>0</v>
      </c>
      <c r="U52" s="676">
        <f>SUMIFS('Prof. Fee'!AP$3:AP$150,'Prof. Fee'!$B$3:$B$150,$D$1,'Prof. Fee'!$D$3:$D$150,$A52)</f>
        <v>0</v>
      </c>
      <c r="V52" s="676">
        <f>SUMIFS('Prof. Fee'!AQ$3:AQ$150,'Prof. Fee'!$B$3:$B$150,$D$1,'Prof. Fee'!$D$3:$D$150,$A52)</f>
        <v>0</v>
      </c>
      <c r="W52" s="676">
        <f t="shared" si="36"/>
        <v>0</v>
      </c>
      <c r="Y52" s="688">
        <f>IFERROR(VLOOKUP($A52,'[91]1月'!$A:$H,8,0),0)</f>
        <v>0</v>
      </c>
      <c r="Z52" s="688">
        <f>IFERROR(VLOOKUP($A52,'[91]2月'!$A:$H,8,0),0)</f>
        <v>0</v>
      </c>
      <c r="AA52" s="688">
        <f>IFERROR(VLOOKUP($A52,'[91]3月'!$A:$H,8,0),0)</f>
        <v>0</v>
      </c>
      <c r="AB52" s="688">
        <f>IFERROR(VLOOKUP($A52,'[91]4月'!$A:$H,8,0),0)</f>
        <v>0</v>
      </c>
      <c r="AC52" s="688">
        <f>IFERROR(VLOOKUP($A52,'[91]5月'!$A:$H,8,0),0)</f>
        <v>0</v>
      </c>
      <c r="AD52" s="688">
        <f>IFERROR(VLOOKUP($A52,'[91]6月'!$A:$H,8,0),0)</f>
        <v>0</v>
      </c>
      <c r="AE52" s="688">
        <f>IFERROR(VLOOKUP($A52,'[91]7月'!$A:$H,8,0),0)</f>
        <v>0</v>
      </c>
      <c r="AF52" s="688">
        <f>IFERROR(VLOOKUP($A52,'[91]8月'!$A:$H,8,0),0)</f>
        <v>0</v>
      </c>
      <c r="AG52" s="688">
        <f>IFERROR(VLOOKUP($A52,'[91]9月'!$A:$H,8,0),0)</f>
        <v>0</v>
      </c>
      <c r="AH52" s="688">
        <f>IFERROR(VLOOKUP($A52,'[91]10月'!$A:$H,8,0),0)</f>
        <v>0</v>
      </c>
      <c r="AI52" s="688">
        <f>IFERROR(VLOOKUP($A52,'[91]11月'!$A:$H,8,0),0)</f>
        <v>0</v>
      </c>
      <c r="AJ52" s="688">
        <f>IFERROR(VLOOKUP($A52,'[91]12月'!$A:$H,8,0),0)</f>
        <v>0</v>
      </c>
      <c r="AK52" s="688">
        <f t="shared" si="35"/>
        <v>0</v>
      </c>
    </row>
    <row r="53" spans="1:37" ht="13.5" customHeight="1">
      <c r="A53" s="653" t="str">
        <f>'Budget-合并'!A53</f>
        <v>6602.04.06</v>
      </c>
      <c r="B53" s="653" t="str">
        <f>'Budget-合并'!B53</f>
        <v>法律服务费</v>
      </c>
      <c r="C53" s="687" t="str">
        <f>'Budget-合并'!C53</f>
        <v>Legal Fees</v>
      </c>
      <c r="D53" s="676">
        <f t="shared" si="28"/>
        <v>0</v>
      </c>
      <c r="E53" s="676" t="e">
        <f t="shared" si="29"/>
        <v>#N/A</v>
      </c>
      <c r="F53" s="676" t="e">
        <f t="shared" si="30"/>
        <v>#N/A</v>
      </c>
      <c r="G53" s="676">
        <f t="shared" ca="1" si="31"/>
        <v>0</v>
      </c>
      <c r="H53" s="676" t="e">
        <f t="shared" ca="1" si="32"/>
        <v>#N/A</v>
      </c>
      <c r="I53" s="676" t="e">
        <f t="shared" ca="1" si="33"/>
        <v>#N/A</v>
      </c>
      <c r="K53" s="676">
        <f>SUMIFS('Prof. Fee'!AF$3:AF$150,'Prof. Fee'!$B$3:$B$150,$D$1,'Prof. Fee'!$D$3:$D$150,$A53)</f>
        <v>0</v>
      </c>
      <c r="L53" s="676">
        <f>SUMIFS('Prof. Fee'!AG$3:AG$150,'Prof. Fee'!$B$3:$B$150,$D$1,'Prof. Fee'!$D$3:$D$150,$A53)</f>
        <v>0</v>
      </c>
      <c r="M53" s="676">
        <f>SUMIFS('Prof. Fee'!AH$3:AH$150,'Prof. Fee'!$B$3:$B$150,$D$1,'Prof. Fee'!$D$3:$D$150,$A53)</f>
        <v>0</v>
      </c>
      <c r="N53" s="676">
        <f>SUMIFS('Prof. Fee'!AI$3:AI$150,'Prof. Fee'!$B$3:$B$150,$D$1,'Prof. Fee'!$D$3:$D$150,$A53)</f>
        <v>0</v>
      </c>
      <c r="O53" s="676">
        <f>SUMIFS('Prof. Fee'!AJ$3:AJ$150,'Prof. Fee'!$B$3:$B$150,$D$1,'Prof. Fee'!$D$3:$D$150,$A53)</f>
        <v>0</v>
      </c>
      <c r="P53" s="676">
        <f>SUMIFS('Prof. Fee'!AK$3:AK$150,'Prof. Fee'!$B$3:$B$150,$D$1,'Prof. Fee'!$D$3:$D$150,$A53)</f>
        <v>0</v>
      </c>
      <c r="Q53" s="676">
        <f>SUMIFS('Prof. Fee'!AL$3:AL$150,'Prof. Fee'!$B$3:$B$150,$D$1,'Prof. Fee'!$D$3:$D$150,$A53)</f>
        <v>0</v>
      </c>
      <c r="R53" s="676">
        <f>SUMIFS('Prof. Fee'!AM$3:AM$150,'Prof. Fee'!$B$3:$B$150,$D$1,'Prof. Fee'!$D$3:$D$150,$A53)</f>
        <v>35288</v>
      </c>
      <c r="S53" s="676">
        <f>SUMIFS('Prof. Fee'!AN$3:AN$150,'Prof. Fee'!$B$3:$B$150,$D$1,'Prof. Fee'!$D$3:$D$150,$A53)</f>
        <v>35288</v>
      </c>
      <c r="T53" s="676">
        <f>SUMIFS('Prof. Fee'!AO$3:AO$150,'Prof. Fee'!$B$3:$B$150,$D$1,'Prof. Fee'!$D$3:$D$150,$A53)</f>
        <v>35288</v>
      </c>
      <c r="U53" s="676">
        <f>SUMIFS('Prof. Fee'!AP$3:AP$150,'Prof. Fee'!$B$3:$B$150,$D$1,'Prof. Fee'!$D$3:$D$150,$A53)</f>
        <v>35288</v>
      </c>
      <c r="V53" s="676">
        <f>SUMIFS('Prof. Fee'!AQ$3:AQ$150,'Prof. Fee'!$B$3:$B$150,$D$1,'Prof. Fee'!$D$3:$D$150,$A53)</f>
        <v>35288</v>
      </c>
      <c r="W53" s="676">
        <f t="shared" si="36"/>
        <v>176440</v>
      </c>
      <c r="Y53" s="688">
        <f>IFERROR(VLOOKUP($A53,'[91]1月'!$A:$H,8,0),0)</f>
        <v>0</v>
      </c>
      <c r="Z53" s="688">
        <f>IFERROR(VLOOKUP($A53,'[91]2月'!$A:$H,8,0),0)</f>
        <v>0</v>
      </c>
      <c r="AA53" s="688">
        <f>IFERROR(VLOOKUP($A53,'[91]3月'!$A:$H,8,0),0)</f>
        <v>0</v>
      </c>
      <c r="AB53" s="688">
        <f>IFERROR(VLOOKUP($A53,'[91]4月'!$A:$H,8,0),0)</f>
        <v>0</v>
      </c>
      <c r="AC53" s="688">
        <f>IFERROR(VLOOKUP($A53,'[91]5月'!$A:$H,8,0),0)</f>
        <v>0</v>
      </c>
      <c r="AD53" s="688">
        <f>IFERROR(VLOOKUP($A53,'[91]6月'!$A:$H,8,0),0)</f>
        <v>0</v>
      </c>
      <c r="AE53" s="688">
        <f>IFERROR(VLOOKUP($A53,'[91]7月'!$A:$H,8,0),0)</f>
        <v>188400</v>
      </c>
      <c r="AF53" s="688">
        <f>IFERROR(VLOOKUP($A53,'[91]8月'!$A:$H,8,0),0)</f>
        <v>7070</v>
      </c>
      <c r="AG53" s="688">
        <f>IFERROR(VLOOKUP($A53,'[91]9月'!$A:$H,8,0),0)</f>
        <v>0</v>
      </c>
      <c r="AH53" s="688">
        <f>IFERROR(VLOOKUP($A53,'[91]10月'!$A:$H,8,0),0)</f>
        <v>0</v>
      </c>
      <c r="AI53" s="688">
        <f>IFERROR(VLOOKUP($A53,'[91]11月'!$A:$H,8,0),0)</f>
        <v>0</v>
      </c>
      <c r="AJ53" s="688">
        <f>IFERROR(VLOOKUP($A53,'[91]12月'!$A:$H,8,0),0)</f>
        <v>0</v>
      </c>
      <c r="AK53" s="688">
        <f t="shared" si="35"/>
        <v>195470</v>
      </c>
    </row>
    <row r="54" spans="1:37" ht="13.5" customHeight="1">
      <c r="A54" s="653" t="str">
        <f>'Budget-合并'!A54</f>
        <v>6602.04.07</v>
      </c>
      <c r="B54" s="653" t="str">
        <f>'Budget-合并'!B54</f>
        <v>人力资源服务费</v>
      </c>
      <c r="C54" s="687" t="str">
        <f>'Budget-合并'!C54</f>
        <v>Payroll Services</v>
      </c>
      <c r="D54" s="676">
        <f t="shared" si="28"/>
        <v>2224.9749999999999</v>
      </c>
      <c r="E54" s="676" t="e">
        <f t="shared" si="29"/>
        <v>#N/A</v>
      </c>
      <c r="F54" s="676" t="e">
        <f t="shared" si="30"/>
        <v>#N/A</v>
      </c>
      <c r="G54" s="676">
        <f t="shared" ca="1" si="31"/>
        <v>2224.9749999999999</v>
      </c>
      <c r="H54" s="676" t="e">
        <f t="shared" ca="1" si="32"/>
        <v>#N/A</v>
      </c>
      <c r="I54" s="676" t="e">
        <f t="shared" ca="1" si="33"/>
        <v>#N/A</v>
      </c>
      <c r="K54" s="676">
        <f>SUMIFS('Prof. Fee'!AF$3:AF$150,'Prof. Fee'!$B$3:$B$150,$D$1,'Prof. Fee'!$D$3:$D$150,$A54)</f>
        <v>2224.9749999999999</v>
      </c>
      <c r="L54" s="676">
        <f>SUMIFS('Prof. Fee'!AG$3:AG$150,'Prof. Fee'!$B$3:$B$150,$D$1,'Prof. Fee'!$D$3:$D$150,$A54)</f>
        <v>2205.5</v>
      </c>
      <c r="M54" s="676">
        <f>SUMIFS('Prof. Fee'!AH$3:AH$150,'Prof. Fee'!$B$3:$B$150,$D$1,'Prof. Fee'!$D$3:$D$150,$A54)</f>
        <v>2205.5</v>
      </c>
      <c r="N54" s="676">
        <f>SUMIFS('Prof. Fee'!AI$3:AI$150,'Prof. Fee'!$B$3:$B$150,$D$1,'Prof. Fee'!$D$3:$D$150,$A54)</f>
        <v>2205.5</v>
      </c>
      <c r="O54" s="676">
        <f>SUMIFS('Prof. Fee'!AJ$3:AJ$150,'Prof. Fee'!$B$3:$B$150,$D$1,'Prof. Fee'!$D$3:$D$150,$A54)</f>
        <v>2205.5</v>
      </c>
      <c r="P54" s="676">
        <f>SUMIFS('Prof. Fee'!AK$3:AK$150,'Prof. Fee'!$B$3:$B$150,$D$1,'Prof. Fee'!$D$3:$D$150,$A54)</f>
        <v>2205.5</v>
      </c>
      <c r="Q54" s="676">
        <f>SUMIFS('Prof. Fee'!AL$3:AL$150,'Prof. Fee'!$B$3:$B$150,$D$1,'Prof. Fee'!$D$3:$D$150,$A54)</f>
        <v>2205.5</v>
      </c>
      <c r="R54" s="676">
        <f>SUMIFS('Prof. Fee'!AM$3:AM$150,'Prof. Fee'!$B$3:$B$150,$D$1,'Prof. Fee'!$D$3:$D$150,$A54)</f>
        <v>2205.5</v>
      </c>
      <c r="S54" s="676">
        <f>SUMIFS('Prof. Fee'!AN$3:AN$150,'Prof. Fee'!$B$3:$B$150,$D$1,'Prof. Fee'!$D$3:$D$150,$A54)</f>
        <v>2205.5</v>
      </c>
      <c r="T54" s="676">
        <f>SUMIFS('Prof. Fee'!AO$3:AO$150,'Prof. Fee'!$B$3:$B$150,$D$1,'Prof. Fee'!$D$3:$D$150,$A54)</f>
        <v>2205.5</v>
      </c>
      <c r="U54" s="676">
        <f>SUMIFS('Prof. Fee'!AP$3:AP$150,'Prof. Fee'!$B$3:$B$150,$D$1,'Prof. Fee'!$D$3:$D$150,$A54)</f>
        <v>2205.5</v>
      </c>
      <c r="V54" s="676">
        <f>SUMIFS('Prof. Fee'!AQ$3:AQ$150,'Prof. Fee'!$B$3:$B$150,$D$1,'Prof. Fee'!$D$3:$D$150,$A54)</f>
        <v>2205.5</v>
      </c>
      <c r="W54" s="676">
        <f t="shared" si="36"/>
        <v>26485.474999999999</v>
      </c>
      <c r="Y54" s="688">
        <f>IFERROR(VLOOKUP($A54,'[91]1月'!$A:$H,8,0),0)</f>
        <v>2500</v>
      </c>
      <c r="Z54" s="688">
        <f>IFERROR(VLOOKUP($A54,'[91]2月'!$A:$H,8,0),0)</f>
        <v>2500</v>
      </c>
      <c r="AA54" s="688">
        <f>IFERROR(VLOOKUP($A54,'[91]3月'!$A:$H,8,0),0)</f>
        <v>2500</v>
      </c>
      <c r="AB54" s="688">
        <f>IFERROR(VLOOKUP($A54,'[91]4月'!$A:$H,8,0),0)</f>
        <v>2500</v>
      </c>
      <c r="AC54" s="688">
        <f>IFERROR(VLOOKUP($A54,'[91]5月'!$A:$H,8,0),0)</f>
        <v>6500</v>
      </c>
      <c r="AD54" s="688">
        <f>IFERROR(VLOOKUP($A54,'[91]6月'!$A:$H,8,0),0)</f>
        <v>2500</v>
      </c>
      <c r="AE54" s="688">
        <f>IFERROR(VLOOKUP($A54,'[91]7月'!$A:$H,8,0),0)</f>
        <v>2500</v>
      </c>
      <c r="AF54" s="688">
        <f>IFERROR(VLOOKUP($A54,'[91]8月'!$A:$H,8,0),0)</f>
        <v>2500</v>
      </c>
      <c r="AG54" s="688">
        <f>IFERROR(VLOOKUP($A54,'[91]9月'!$A:$H,8,0),0)</f>
        <v>2500</v>
      </c>
      <c r="AH54" s="688">
        <f>IFERROR(VLOOKUP($A54,'[91]10月'!$A:$H,8,0),0)</f>
        <v>2500</v>
      </c>
      <c r="AI54" s="688">
        <f>IFERROR(VLOOKUP($A54,'[91]11月'!$A:$H,8,0),0)</f>
        <v>6500</v>
      </c>
      <c r="AJ54" s="688">
        <f>IFERROR(VLOOKUP($A54,'[91]12月'!$A:$H,8,0),0)</f>
        <v>2500</v>
      </c>
      <c r="AK54" s="688">
        <f t="shared" si="35"/>
        <v>38000</v>
      </c>
    </row>
    <row r="55" spans="1:37" ht="13.5" customHeight="1">
      <c r="A55" s="653" t="str">
        <f>'Budget-合并'!A55</f>
        <v>6602.04.08</v>
      </c>
      <c r="B55" s="653" t="str">
        <f>'Budget-合并'!B55</f>
        <v>背景调查费</v>
      </c>
      <c r="C55" s="687" t="str">
        <f>'Budget-合并'!C55</f>
        <v>Employee Background Check</v>
      </c>
      <c r="D55" s="676">
        <f t="shared" si="28"/>
        <v>0</v>
      </c>
      <c r="E55" s="676" t="e">
        <f t="shared" si="29"/>
        <v>#N/A</v>
      </c>
      <c r="F55" s="676" t="e">
        <f t="shared" si="30"/>
        <v>#N/A</v>
      </c>
      <c r="G55" s="676">
        <f t="shared" ca="1" si="31"/>
        <v>0</v>
      </c>
      <c r="H55" s="676" t="e">
        <f t="shared" ca="1" si="32"/>
        <v>#N/A</v>
      </c>
      <c r="I55" s="676" t="e">
        <f t="shared" ca="1" si="33"/>
        <v>#N/A</v>
      </c>
      <c r="K55" s="676">
        <f>SUMIFS('Other Exp'!AG$3:AG$196,'Other Exp'!$B$3:$B$196,$D$1,'Other Exp'!$C$3:$C$196,$A55)</f>
        <v>0</v>
      </c>
      <c r="L55" s="676">
        <f>SUMIFS('Other Exp'!AH$3:AH$196,'Other Exp'!$B$3:$B$196,$D$1,'Other Exp'!$C$3:$C$196,$A55)</f>
        <v>0</v>
      </c>
      <c r="M55" s="676">
        <f>SUMIFS('Other Exp'!AI$3:AI$196,'Other Exp'!$B$3:$B$196,$D$1,'Other Exp'!$C$3:$C$196,$A55)</f>
        <v>0</v>
      </c>
      <c r="N55" s="676">
        <f>SUMIFS('Other Exp'!AJ$3:AJ$196,'Other Exp'!$B$3:$B$196,$D$1,'Other Exp'!$C$3:$C$196,$A55)</f>
        <v>0</v>
      </c>
      <c r="O55" s="676">
        <f>SUMIFS('Other Exp'!AK$3:AK$196,'Other Exp'!$B$3:$B$196,$D$1,'Other Exp'!$C$3:$C$196,$A55)</f>
        <v>0</v>
      </c>
      <c r="P55" s="676">
        <f>SUMIFS('Other Exp'!AL$3:AL$196,'Other Exp'!$B$3:$B$196,$D$1,'Other Exp'!$C$3:$C$196,$A55)</f>
        <v>0</v>
      </c>
      <c r="Q55" s="676">
        <f>SUMIFS('Other Exp'!AM$3:AM$196,'Other Exp'!$B$3:$B$196,$D$1,'Other Exp'!$C$3:$C$196,$A55)</f>
        <v>0</v>
      </c>
      <c r="R55" s="676">
        <f>SUMIFS('Other Exp'!AN$3:AN$196,'Other Exp'!$B$3:$B$196,$D$1,'Other Exp'!$C$3:$C$196,$A55)</f>
        <v>0</v>
      </c>
      <c r="S55" s="676">
        <f>SUMIFS('Other Exp'!AO$3:AO$196,'Other Exp'!$B$3:$B$196,$D$1,'Other Exp'!$C$3:$C$196,$A55)</f>
        <v>0</v>
      </c>
      <c r="T55" s="676">
        <f>SUMIFS('Other Exp'!AP$3:AP$196,'Other Exp'!$B$3:$B$196,$D$1,'Other Exp'!$C$3:$C$196,$A55)</f>
        <v>0</v>
      </c>
      <c r="U55" s="676">
        <f>SUMIFS('Other Exp'!AQ$3:AQ$196,'Other Exp'!$B$3:$B$196,$D$1,'Other Exp'!$C$3:$C$196,$A55)</f>
        <v>0</v>
      </c>
      <c r="V55" s="676">
        <f>SUMIFS('Other Exp'!AR$3:AR$196,'Other Exp'!$B$3:$B$196,$D$1,'Other Exp'!$C$3:$C$196,$A55)</f>
        <v>0</v>
      </c>
      <c r="W55" s="676">
        <f t="shared" si="36"/>
        <v>0</v>
      </c>
      <c r="Y55" s="688">
        <f>IFERROR(VLOOKUP($A55,'[91]1月'!$A:$H,8,0),0)</f>
        <v>0</v>
      </c>
      <c r="Z55" s="688">
        <f>IFERROR(VLOOKUP($A55,'[91]2月'!$A:$H,8,0),0)</f>
        <v>0</v>
      </c>
      <c r="AA55" s="688">
        <f>IFERROR(VLOOKUP($A55,'[91]3月'!$A:$H,8,0),0)</f>
        <v>0</v>
      </c>
      <c r="AB55" s="688">
        <f>IFERROR(VLOOKUP($A55,'[91]4月'!$A:$H,8,0),0)</f>
        <v>0</v>
      </c>
      <c r="AC55" s="688">
        <f>IFERROR(VLOOKUP($A55,'[91]5月'!$A:$H,8,0),0)</f>
        <v>0</v>
      </c>
      <c r="AD55" s="688">
        <f>IFERROR(VLOOKUP($A55,'[91]6月'!$A:$H,8,0),0)</f>
        <v>0</v>
      </c>
      <c r="AE55" s="688">
        <f>IFERROR(VLOOKUP($A55,'[91]7月'!$A:$H,8,0),0)</f>
        <v>0</v>
      </c>
      <c r="AF55" s="688">
        <f>IFERROR(VLOOKUP($A55,'[91]8月'!$A:$H,8,0),0)</f>
        <v>0</v>
      </c>
      <c r="AG55" s="688">
        <f>IFERROR(VLOOKUP($A55,'[91]9月'!$A:$H,8,0),0)</f>
        <v>0</v>
      </c>
      <c r="AH55" s="688">
        <f>IFERROR(VLOOKUP($A55,'[91]10月'!$A:$H,8,0),0)</f>
        <v>0</v>
      </c>
      <c r="AI55" s="688">
        <f>IFERROR(VLOOKUP($A55,'[91]11月'!$A:$H,8,0),0)</f>
        <v>0</v>
      </c>
      <c r="AJ55" s="688">
        <f>IFERROR(VLOOKUP($A55,'[91]12月'!$A:$H,8,0),0)</f>
        <v>0</v>
      </c>
      <c r="AK55" s="688">
        <f t="shared" si="35"/>
        <v>0</v>
      </c>
    </row>
    <row r="56" spans="1:37" ht="13.5" customHeight="1">
      <c r="A56" s="653" t="str">
        <f>'Budget-合并'!A56</f>
        <v>6602.04.09</v>
      </c>
      <c r="B56" s="653" t="str">
        <f>'Budget-合并'!B56</f>
        <v>翻译服务费</v>
      </c>
      <c r="C56" s="687">
        <f>'Budget-合并'!C56</f>
        <v>0</v>
      </c>
      <c r="D56" s="676">
        <f t="shared" si="28"/>
        <v>0</v>
      </c>
      <c r="E56" s="676" t="e">
        <f t="shared" si="29"/>
        <v>#N/A</v>
      </c>
      <c r="F56" s="676" t="e">
        <f t="shared" si="30"/>
        <v>#N/A</v>
      </c>
      <c r="G56" s="676">
        <f t="shared" ca="1" si="31"/>
        <v>0</v>
      </c>
      <c r="H56" s="676" t="e">
        <f t="shared" ca="1" si="32"/>
        <v>#N/A</v>
      </c>
      <c r="I56" s="676" t="e">
        <f t="shared" ca="1" si="33"/>
        <v>#N/A</v>
      </c>
      <c r="K56" s="676">
        <f>SUMIFS('Prof. Fee'!AF$3:AF$150,'Prof. Fee'!$B$3:$B$150,$D$1,'Prof. Fee'!$D$3:$D$150,$A56)</f>
        <v>0</v>
      </c>
      <c r="L56" s="676">
        <f>SUMIFS('Prof. Fee'!AG$3:AG$150,'Prof. Fee'!$B$3:$B$150,$D$1,'Prof. Fee'!$D$3:$D$150,$A56)</f>
        <v>0</v>
      </c>
      <c r="M56" s="676">
        <f>SUMIFS('Prof. Fee'!AH$3:AH$150,'Prof. Fee'!$B$3:$B$150,$D$1,'Prof. Fee'!$D$3:$D$150,$A56)</f>
        <v>0</v>
      </c>
      <c r="N56" s="676">
        <f>SUMIFS('Prof. Fee'!AI$3:AI$150,'Prof. Fee'!$B$3:$B$150,$D$1,'Prof. Fee'!$D$3:$D$150,$A56)</f>
        <v>0</v>
      </c>
      <c r="O56" s="676">
        <f>SUMIFS('Prof. Fee'!AJ$3:AJ$150,'Prof. Fee'!$B$3:$B$150,$D$1,'Prof. Fee'!$D$3:$D$150,$A56)</f>
        <v>0</v>
      </c>
      <c r="P56" s="676">
        <f>SUMIFS('Prof. Fee'!AK$3:AK$150,'Prof. Fee'!$B$3:$B$150,$D$1,'Prof. Fee'!$D$3:$D$150,$A56)</f>
        <v>0</v>
      </c>
      <c r="Q56" s="676">
        <f>SUMIFS('Prof. Fee'!AL$3:AL$150,'Prof. Fee'!$B$3:$B$150,$D$1,'Prof. Fee'!$D$3:$D$150,$A56)</f>
        <v>0</v>
      </c>
      <c r="R56" s="676">
        <f>SUMIFS('Prof. Fee'!AM$3:AM$150,'Prof. Fee'!$B$3:$B$150,$D$1,'Prof. Fee'!$D$3:$D$150,$A56)</f>
        <v>0</v>
      </c>
      <c r="S56" s="676">
        <f>SUMIFS('Prof. Fee'!AN$3:AN$150,'Prof. Fee'!$B$3:$B$150,$D$1,'Prof. Fee'!$D$3:$D$150,$A56)</f>
        <v>0</v>
      </c>
      <c r="T56" s="676">
        <f>SUMIFS('Prof. Fee'!AO$3:AO$150,'Prof. Fee'!$B$3:$B$150,$D$1,'Prof. Fee'!$D$3:$D$150,$A56)</f>
        <v>0</v>
      </c>
      <c r="U56" s="676">
        <f>SUMIFS('Prof. Fee'!AP$3:AP$150,'Prof. Fee'!$B$3:$B$150,$D$1,'Prof. Fee'!$D$3:$D$150,$A56)</f>
        <v>0</v>
      </c>
      <c r="V56" s="676">
        <f>SUMIFS('Prof. Fee'!AQ$3:AQ$150,'Prof. Fee'!$B$3:$B$150,$D$1,'Prof. Fee'!$D$3:$D$150,$A56)</f>
        <v>0</v>
      </c>
      <c r="W56" s="676">
        <f t="shared" si="36"/>
        <v>0</v>
      </c>
      <c r="Y56" s="688">
        <f>IFERROR(VLOOKUP($A56,'[91]1月'!$A:$H,8,0),0)</f>
        <v>0</v>
      </c>
      <c r="Z56" s="688">
        <f>IFERROR(VLOOKUP($A56,'[91]2月'!$A:$H,8,0),0)</f>
        <v>0</v>
      </c>
      <c r="AA56" s="688">
        <f>IFERROR(VLOOKUP($A56,'[91]3月'!$A:$H,8,0),0)</f>
        <v>0</v>
      </c>
      <c r="AB56" s="688">
        <f>IFERROR(VLOOKUP($A56,'[91]4月'!$A:$H,8,0),0)</f>
        <v>0</v>
      </c>
      <c r="AC56" s="688">
        <f>IFERROR(VLOOKUP($A56,'[91]5月'!$A:$H,8,0),0)</f>
        <v>0</v>
      </c>
      <c r="AD56" s="688">
        <f>IFERROR(VLOOKUP($A56,'[91]6月'!$A:$H,8,0),0)</f>
        <v>0</v>
      </c>
      <c r="AE56" s="688">
        <f>IFERROR(VLOOKUP($A56,'[91]7月'!$A:$H,8,0),0)</f>
        <v>0</v>
      </c>
      <c r="AF56" s="688">
        <f>IFERROR(VLOOKUP($A56,'[91]8月'!$A:$H,8,0),0)</f>
        <v>0</v>
      </c>
      <c r="AG56" s="688">
        <f>IFERROR(VLOOKUP($A56,'[91]9月'!$A:$H,8,0),0)</f>
        <v>0</v>
      </c>
      <c r="AH56" s="688">
        <f>IFERROR(VLOOKUP($A56,'[91]10月'!$A:$H,8,0),0)</f>
        <v>0</v>
      </c>
      <c r="AI56" s="688">
        <f>IFERROR(VLOOKUP($A56,'[91]11月'!$A:$H,8,0),0)</f>
        <v>0</v>
      </c>
      <c r="AJ56" s="688">
        <f>IFERROR(VLOOKUP($A56,'[91]12月'!$A:$H,8,0),0)</f>
        <v>0</v>
      </c>
      <c r="AK56" s="688">
        <f t="shared" si="35"/>
        <v>0</v>
      </c>
    </row>
    <row r="57" spans="1:37" ht="13.5" customHeight="1">
      <c r="A57" s="653" t="str">
        <f>'Budget-合并'!A57</f>
        <v>6602.04.10</v>
      </c>
      <c r="B57" s="653" t="str">
        <f>'Budget-合并'!B57</f>
        <v>评估费</v>
      </c>
      <c r="C57" s="687">
        <f>'Budget-合并'!C57</f>
        <v>0</v>
      </c>
      <c r="D57" s="676">
        <f t="shared" si="28"/>
        <v>0</v>
      </c>
      <c r="E57" s="676" t="e">
        <f t="shared" si="29"/>
        <v>#N/A</v>
      </c>
      <c r="F57" s="676" t="e">
        <f t="shared" si="30"/>
        <v>#N/A</v>
      </c>
      <c r="G57" s="676">
        <f t="shared" ca="1" si="31"/>
        <v>0</v>
      </c>
      <c r="H57" s="676" t="e">
        <f t="shared" ca="1" si="32"/>
        <v>#N/A</v>
      </c>
      <c r="I57" s="676" t="e">
        <f t="shared" ca="1" si="33"/>
        <v>#N/A</v>
      </c>
      <c r="K57" s="676">
        <f>SUMIFS('Prof. Fee'!AF$3:AF$150,'Prof. Fee'!$B$3:$B$150,$D$1,'Prof. Fee'!$D$3:$D$150,$A57)</f>
        <v>0</v>
      </c>
      <c r="L57" s="676">
        <f>SUMIFS('Prof. Fee'!AG$3:AG$150,'Prof. Fee'!$B$3:$B$150,$D$1,'Prof. Fee'!$D$3:$D$150,$A57)</f>
        <v>0</v>
      </c>
      <c r="M57" s="676">
        <f>SUMIFS('Prof. Fee'!AH$3:AH$150,'Prof. Fee'!$B$3:$B$150,$D$1,'Prof. Fee'!$D$3:$D$150,$A57)</f>
        <v>0</v>
      </c>
      <c r="N57" s="676">
        <f>SUMIFS('Prof. Fee'!AI$3:AI$150,'Prof. Fee'!$B$3:$B$150,$D$1,'Prof. Fee'!$D$3:$D$150,$A57)</f>
        <v>0</v>
      </c>
      <c r="O57" s="676">
        <f>SUMIFS('Prof. Fee'!AJ$3:AJ$150,'Prof. Fee'!$B$3:$B$150,$D$1,'Prof. Fee'!$D$3:$D$150,$A57)</f>
        <v>0</v>
      </c>
      <c r="P57" s="676">
        <f>SUMIFS('Prof. Fee'!AK$3:AK$150,'Prof. Fee'!$B$3:$B$150,$D$1,'Prof. Fee'!$D$3:$D$150,$A57)</f>
        <v>0</v>
      </c>
      <c r="Q57" s="676">
        <f>SUMIFS('Prof. Fee'!AL$3:AL$150,'Prof. Fee'!$B$3:$B$150,$D$1,'Prof. Fee'!$D$3:$D$150,$A57)</f>
        <v>0</v>
      </c>
      <c r="R57" s="676">
        <f>SUMIFS('Prof. Fee'!AM$3:AM$150,'Prof. Fee'!$B$3:$B$150,$D$1,'Prof. Fee'!$D$3:$D$150,$A57)</f>
        <v>0</v>
      </c>
      <c r="S57" s="676">
        <f>SUMIFS('Prof. Fee'!AN$3:AN$150,'Prof. Fee'!$B$3:$B$150,$D$1,'Prof. Fee'!$D$3:$D$150,$A57)</f>
        <v>0</v>
      </c>
      <c r="T57" s="676">
        <f>SUMIFS('Prof. Fee'!AO$3:AO$150,'Prof. Fee'!$B$3:$B$150,$D$1,'Prof. Fee'!$D$3:$D$150,$A57)</f>
        <v>0</v>
      </c>
      <c r="U57" s="676">
        <f>SUMIFS('Prof. Fee'!AP$3:AP$150,'Prof. Fee'!$B$3:$B$150,$D$1,'Prof. Fee'!$D$3:$D$150,$A57)</f>
        <v>0</v>
      </c>
      <c r="V57" s="676">
        <f>SUMIFS('Prof. Fee'!AQ$3:AQ$150,'Prof. Fee'!$B$3:$B$150,$D$1,'Prof. Fee'!$D$3:$D$150,$A57)</f>
        <v>0</v>
      </c>
      <c r="W57" s="676">
        <f t="shared" si="36"/>
        <v>0</v>
      </c>
      <c r="Y57" s="688">
        <f>IFERROR(VLOOKUP($A57,'[91]1月'!$A:$H,8,0),0)</f>
        <v>0</v>
      </c>
      <c r="Z57" s="688">
        <f>IFERROR(VLOOKUP($A57,'[91]2月'!$A:$H,8,0),0)</f>
        <v>0</v>
      </c>
      <c r="AA57" s="688">
        <f>IFERROR(VLOOKUP($A57,'[91]3月'!$A:$H,8,0),0)</f>
        <v>0</v>
      </c>
      <c r="AB57" s="688">
        <f>IFERROR(VLOOKUP($A57,'[91]4月'!$A:$H,8,0),0)</f>
        <v>0</v>
      </c>
      <c r="AC57" s="688">
        <f>IFERROR(VLOOKUP($A57,'[91]5月'!$A:$H,8,0),0)</f>
        <v>0</v>
      </c>
      <c r="AD57" s="688">
        <f>IFERROR(VLOOKUP($A57,'[91]6月'!$A:$H,8,0),0)</f>
        <v>0</v>
      </c>
      <c r="AE57" s="688">
        <f>IFERROR(VLOOKUP($A57,'[91]7月'!$A:$H,8,0),0)</f>
        <v>0</v>
      </c>
      <c r="AF57" s="688">
        <f>IFERROR(VLOOKUP($A57,'[91]8月'!$A:$H,8,0),0)</f>
        <v>0</v>
      </c>
      <c r="AG57" s="688">
        <f>IFERROR(VLOOKUP($A57,'[91]9月'!$A:$H,8,0),0)</f>
        <v>0</v>
      </c>
      <c r="AH57" s="688">
        <f>IFERROR(VLOOKUP($A57,'[91]10月'!$A:$H,8,0),0)</f>
        <v>0</v>
      </c>
      <c r="AI57" s="688">
        <f>IFERROR(VLOOKUP($A57,'[91]11月'!$A:$H,8,0),0)</f>
        <v>0</v>
      </c>
      <c r="AJ57" s="688">
        <f>IFERROR(VLOOKUP($A57,'[91]12月'!$A:$H,8,0),0)</f>
        <v>0</v>
      </c>
      <c r="AK57" s="688">
        <f t="shared" si="35"/>
        <v>0</v>
      </c>
    </row>
    <row r="58" spans="1:37" ht="13.5" customHeight="1">
      <c r="A58" s="653" t="str">
        <f>'Budget-合并'!A58</f>
        <v>6602.04.11</v>
      </c>
      <c r="B58" s="653" t="str">
        <f>'Budget-合并'!B58</f>
        <v>技术服务费</v>
      </c>
      <c r="C58" s="687">
        <f>'Budget-合并'!C58</f>
        <v>0</v>
      </c>
      <c r="D58" s="676">
        <f t="shared" si="28"/>
        <v>0</v>
      </c>
      <c r="E58" s="676" t="e">
        <f t="shared" si="29"/>
        <v>#N/A</v>
      </c>
      <c r="F58" s="676" t="e">
        <f t="shared" si="30"/>
        <v>#N/A</v>
      </c>
      <c r="G58" s="676">
        <f t="shared" ca="1" si="31"/>
        <v>0</v>
      </c>
      <c r="H58" s="676" t="e">
        <f t="shared" ca="1" si="32"/>
        <v>#N/A</v>
      </c>
      <c r="I58" s="676" t="e">
        <f t="shared" ca="1" si="33"/>
        <v>#N/A</v>
      </c>
      <c r="K58" s="676">
        <f>SUMIFS('Prof. Fee'!AF$3:AF$150,'Prof. Fee'!$B$3:$B$150,$D$1,'Prof. Fee'!$D$3:$D$150,$A58)</f>
        <v>0</v>
      </c>
      <c r="L58" s="676">
        <f>SUMIFS('Prof. Fee'!AG$3:AG$150,'Prof. Fee'!$B$3:$B$150,$D$1,'Prof. Fee'!$D$3:$D$150,$A58)</f>
        <v>0</v>
      </c>
      <c r="M58" s="676">
        <f>SUMIFS('Prof. Fee'!AH$3:AH$150,'Prof. Fee'!$B$3:$B$150,$D$1,'Prof. Fee'!$D$3:$D$150,$A58)</f>
        <v>0</v>
      </c>
      <c r="N58" s="676">
        <f>SUMIFS('Prof. Fee'!AI$3:AI$150,'Prof. Fee'!$B$3:$B$150,$D$1,'Prof. Fee'!$D$3:$D$150,$A58)</f>
        <v>0</v>
      </c>
      <c r="O58" s="676">
        <f>SUMIFS('Prof. Fee'!AJ$3:AJ$150,'Prof. Fee'!$B$3:$B$150,$D$1,'Prof. Fee'!$D$3:$D$150,$A58)</f>
        <v>0</v>
      </c>
      <c r="P58" s="676">
        <f>SUMIFS('Prof. Fee'!AK$3:AK$150,'Prof. Fee'!$B$3:$B$150,$D$1,'Prof. Fee'!$D$3:$D$150,$A58)</f>
        <v>0</v>
      </c>
      <c r="Q58" s="676">
        <f>SUMIFS('Prof. Fee'!AL$3:AL$150,'Prof. Fee'!$B$3:$B$150,$D$1,'Prof. Fee'!$D$3:$D$150,$A58)</f>
        <v>0</v>
      </c>
      <c r="R58" s="676">
        <f>SUMIFS('Prof. Fee'!AM$3:AM$150,'Prof. Fee'!$B$3:$B$150,$D$1,'Prof. Fee'!$D$3:$D$150,$A58)</f>
        <v>0</v>
      </c>
      <c r="S58" s="676">
        <f>SUMIFS('Prof. Fee'!AN$3:AN$150,'Prof. Fee'!$B$3:$B$150,$D$1,'Prof. Fee'!$D$3:$D$150,$A58)</f>
        <v>0</v>
      </c>
      <c r="T58" s="676">
        <f>SUMIFS('Prof. Fee'!AO$3:AO$150,'Prof. Fee'!$B$3:$B$150,$D$1,'Prof. Fee'!$D$3:$D$150,$A58)</f>
        <v>0</v>
      </c>
      <c r="U58" s="676">
        <f>SUMIFS('Prof. Fee'!AP$3:AP$150,'Prof. Fee'!$B$3:$B$150,$D$1,'Prof. Fee'!$D$3:$D$150,$A58)</f>
        <v>0</v>
      </c>
      <c r="V58" s="676">
        <f>SUMIFS('Prof. Fee'!AQ$3:AQ$150,'Prof. Fee'!$B$3:$B$150,$D$1,'Prof. Fee'!$D$3:$D$150,$A58)</f>
        <v>0</v>
      </c>
      <c r="W58" s="676">
        <f t="shared" si="36"/>
        <v>0</v>
      </c>
      <c r="Y58" s="688">
        <f>IFERROR(VLOOKUP($A58,'[91]1月'!$A:$H,8,0),0)</f>
        <v>0</v>
      </c>
      <c r="Z58" s="688">
        <f>IFERROR(VLOOKUP($A58,'[91]2月'!$A:$H,8,0),0)</f>
        <v>0</v>
      </c>
      <c r="AA58" s="688">
        <f>IFERROR(VLOOKUP($A58,'[91]3月'!$A:$H,8,0),0)</f>
        <v>0</v>
      </c>
      <c r="AB58" s="688">
        <f>IFERROR(VLOOKUP($A58,'[91]4月'!$A:$H,8,0),0)</f>
        <v>0</v>
      </c>
      <c r="AC58" s="688">
        <f>IFERROR(VLOOKUP($A58,'[91]5月'!$A:$H,8,0),0)</f>
        <v>0</v>
      </c>
      <c r="AD58" s="688">
        <f>IFERROR(VLOOKUP($A58,'[91]6月'!$A:$H,8,0),0)</f>
        <v>0</v>
      </c>
      <c r="AE58" s="688">
        <f>IFERROR(VLOOKUP($A58,'[91]7月'!$A:$H,8,0),0)</f>
        <v>0</v>
      </c>
      <c r="AF58" s="688">
        <f>IFERROR(VLOOKUP($A58,'[91]8月'!$A:$H,8,0),0)</f>
        <v>0</v>
      </c>
      <c r="AG58" s="688">
        <f>IFERROR(VLOOKUP($A58,'[91]9月'!$A:$H,8,0),0)</f>
        <v>0</v>
      </c>
      <c r="AH58" s="688">
        <f>IFERROR(VLOOKUP($A58,'[91]10月'!$A:$H,8,0),0)</f>
        <v>0</v>
      </c>
      <c r="AI58" s="688">
        <f>IFERROR(VLOOKUP($A58,'[91]11月'!$A:$H,8,0),0)</f>
        <v>0</v>
      </c>
      <c r="AJ58" s="688">
        <f>IFERROR(VLOOKUP($A58,'[91]12月'!$A:$H,8,0),0)</f>
        <v>0</v>
      </c>
      <c r="AK58" s="688">
        <f t="shared" si="35"/>
        <v>0</v>
      </c>
    </row>
    <row r="59" spans="1:37" ht="13.5" customHeight="1">
      <c r="A59" s="653" t="str">
        <f>'Budget-合并'!A59</f>
        <v>6602.04.12</v>
      </c>
      <c r="B59" s="653" t="str">
        <f>'Budget-合并'!B59</f>
        <v>合规支持服务</v>
      </c>
      <c r="C59" s="687" t="str">
        <f>'Budget-合并'!C59</f>
        <v xml:space="preserve">Compliance Support Services </v>
      </c>
      <c r="D59" s="676">
        <f t="shared" si="28"/>
        <v>0</v>
      </c>
      <c r="E59" s="676" t="e">
        <f t="shared" si="29"/>
        <v>#N/A</v>
      </c>
      <c r="F59" s="676" t="e">
        <f t="shared" si="30"/>
        <v>#N/A</v>
      </c>
      <c r="G59" s="676">
        <f t="shared" ca="1" si="31"/>
        <v>0</v>
      </c>
      <c r="H59" s="676" t="e">
        <f t="shared" ca="1" si="32"/>
        <v>#N/A</v>
      </c>
      <c r="I59" s="676" t="e">
        <f t="shared" ca="1" si="33"/>
        <v>#N/A</v>
      </c>
      <c r="K59" s="676">
        <f>SUMIFS('Prof. Fee'!AF$3:AF$150,'Prof. Fee'!$B$3:$B$150,$D$1,'Prof. Fee'!$D$3:$D$150,$A59)</f>
        <v>0</v>
      </c>
      <c r="L59" s="676">
        <f>SUMIFS('Prof. Fee'!AG$3:AG$150,'Prof. Fee'!$B$3:$B$150,$D$1,'Prof. Fee'!$D$3:$D$150,$A59)</f>
        <v>0</v>
      </c>
      <c r="M59" s="676">
        <f>SUMIFS('Prof. Fee'!AH$3:AH$150,'Prof. Fee'!$B$3:$B$150,$D$1,'Prof. Fee'!$D$3:$D$150,$A59)</f>
        <v>0</v>
      </c>
      <c r="N59" s="676">
        <f>SUMIFS('Prof. Fee'!AI$3:AI$150,'Prof. Fee'!$B$3:$B$150,$D$1,'Prof. Fee'!$D$3:$D$150,$A59)</f>
        <v>0</v>
      </c>
      <c r="O59" s="676">
        <f>SUMIFS('Prof. Fee'!AJ$3:AJ$150,'Prof. Fee'!$B$3:$B$150,$D$1,'Prof. Fee'!$D$3:$D$150,$A59)</f>
        <v>0</v>
      </c>
      <c r="P59" s="676">
        <f>SUMIFS('Prof. Fee'!AK$3:AK$150,'Prof. Fee'!$B$3:$B$150,$D$1,'Prof. Fee'!$D$3:$D$150,$A59)</f>
        <v>0</v>
      </c>
      <c r="Q59" s="676">
        <f>SUMIFS('Prof. Fee'!AL$3:AL$150,'Prof. Fee'!$B$3:$B$150,$D$1,'Prof. Fee'!$D$3:$D$150,$A59)</f>
        <v>0</v>
      </c>
      <c r="R59" s="676">
        <f>SUMIFS('Prof. Fee'!AM$3:AM$150,'Prof. Fee'!$B$3:$B$150,$D$1,'Prof. Fee'!$D$3:$D$150,$A59)</f>
        <v>0</v>
      </c>
      <c r="S59" s="676">
        <f>SUMIFS('Prof. Fee'!AN$3:AN$150,'Prof. Fee'!$B$3:$B$150,$D$1,'Prof. Fee'!$D$3:$D$150,$A59)</f>
        <v>0</v>
      </c>
      <c r="T59" s="676">
        <f>SUMIFS('Prof. Fee'!AO$3:AO$150,'Prof. Fee'!$B$3:$B$150,$D$1,'Prof. Fee'!$D$3:$D$150,$A59)</f>
        <v>0</v>
      </c>
      <c r="U59" s="676">
        <f>SUMIFS('Prof. Fee'!AP$3:AP$150,'Prof. Fee'!$B$3:$B$150,$D$1,'Prof. Fee'!$D$3:$D$150,$A59)</f>
        <v>0</v>
      </c>
      <c r="V59" s="676">
        <f>SUMIFS('Prof. Fee'!AQ$3:AQ$150,'Prof. Fee'!$B$3:$B$150,$D$1,'Prof. Fee'!$D$3:$D$150,$A59)</f>
        <v>0</v>
      </c>
      <c r="W59" s="676">
        <f t="shared" si="36"/>
        <v>0</v>
      </c>
      <c r="Y59" s="688">
        <f>IFERROR(VLOOKUP($A59,'[91]1月'!$A:$H,8,0),0)</f>
        <v>0</v>
      </c>
      <c r="Z59" s="688">
        <f>IFERROR(VLOOKUP($A59,'[91]2月'!$A:$H,8,0),0)</f>
        <v>0</v>
      </c>
      <c r="AA59" s="688">
        <f>IFERROR(VLOOKUP($A59,'[91]3月'!$A:$H,8,0),0)</f>
        <v>0</v>
      </c>
      <c r="AB59" s="688">
        <f>IFERROR(VLOOKUP($A59,'[91]4月'!$A:$H,8,0),0)</f>
        <v>0</v>
      </c>
      <c r="AC59" s="688">
        <f>IFERROR(VLOOKUP($A59,'[91]5月'!$A:$H,8,0),0)</f>
        <v>0</v>
      </c>
      <c r="AD59" s="688">
        <f>IFERROR(VLOOKUP($A59,'[91]6月'!$A:$H,8,0),0)</f>
        <v>0</v>
      </c>
      <c r="AE59" s="688">
        <f>IFERROR(VLOOKUP($A59,'[91]7月'!$A:$H,8,0),0)</f>
        <v>0</v>
      </c>
      <c r="AF59" s="688">
        <f>IFERROR(VLOOKUP($A59,'[91]8月'!$A:$H,8,0),0)</f>
        <v>0</v>
      </c>
      <c r="AG59" s="688">
        <f>IFERROR(VLOOKUP($A59,'[91]9月'!$A:$H,8,0),0)</f>
        <v>0</v>
      </c>
      <c r="AH59" s="688">
        <f>IFERROR(VLOOKUP($A59,'[91]10月'!$A:$H,8,0),0)</f>
        <v>0</v>
      </c>
      <c r="AI59" s="688">
        <f>IFERROR(VLOOKUP($A59,'[91]11月'!$A:$H,8,0),0)</f>
        <v>0</v>
      </c>
      <c r="AJ59" s="688">
        <f>IFERROR(VLOOKUP($A59,'[91]12月'!$A:$H,8,0),0)</f>
        <v>0</v>
      </c>
      <c r="AK59" s="688">
        <f t="shared" si="35"/>
        <v>0</v>
      </c>
    </row>
    <row r="60" spans="1:37" ht="13.5" customHeight="1">
      <c r="A60" s="653" t="str">
        <f>'Budget-合并'!A60</f>
        <v>6602.04.13</v>
      </c>
      <c r="B60" s="653" t="str">
        <f>'Budget-合并'!B60</f>
        <v>咨询费</v>
      </c>
      <c r="C60" s="687" t="str">
        <f>'Budget-合并'!C60</f>
        <v>Consulting fee</v>
      </c>
      <c r="D60" s="676">
        <f t="shared" si="28"/>
        <v>0</v>
      </c>
      <c r="E60" s="676" t="e">
        <f t="shared" si="29"/>
        <v>#N/A</v>
      </c>
      <c r="F60" s="676" t="e">
        <f t="shared" si="30"/>
        <v>#N/A</v>
      </c>
      <c r="G60" s="676">
        <f t="shared" ca="1" si="31"/>
        <v>0</v>
      </c>
      <c r="H60" s="676" t="e">
        <f t="shared" ca="1" si="32"/>
        <v>#N/A</v>
      </c>
      <c r="I60" s="676" t="e">
        <f t="shared" ca="1" si="33"/>
        <v>#N/A</v>
      </c>
      <c r="K60" s="676">
        <f>SUMIFS('Prof. Fee'!AF$3:AF$150,'Prof. Fee'!$B$3:$B$150,$D$1,'Prof. Fee'!$D$3:$D$150,$A60)</f>
        <v>0</v>
      </c>
      <c r="L60" s="676">
        <f>SUMIFS('Prof. Fee'!AG$3:AG$150,'Prof. Fee'!$B$3:$B$150,$D$1,'Prof. Fee'!$D$3:$D$150,$A60)</f>
        <v>0</v>
      </c>
      <c r="M60" s="676">
        <f>SUMIFS('Prof. Fee'!AH$3:AH$150,'Prof. Fee'!$B$3:$B$150,$D$1,'Prof. Fee'!$D$3:$D$150,$A60)</f>
        <v>0</v>
      </c>
      <c r="N60" s="676">
        <f>SUMIFS('Prof. Fee'!AI$3:AI$150,'Prof. Fee'!$B$3:$B$150,$D$1,'Prof. Fee'!$D$3:$D$150,$A60)</f>
        <v>0</v>
      </c>
      <c r="O60" s="676">
        <f>SUMIFS('Prof. Fee'!AJ$3:AJ$150,'Prof. Fee'!$B$3:$B$150,$D$1,'Prof. Fee'!$D$3:$D$150,$A60)</f>
        <v>0</v>
      </c>
      <c r="P60" s="676">
        <f>SUMIFS('Prof. Fee'!AK$3:AK$150,'Prof. Fee'!$B$3:$B$150,$D$1,'Prof. Fee'!$D$3:$D$150,$A60)</f>
        <v>0</v>
      </c>
      <c r="Q60" s="676">
        <f>SUMIFS('Prof. Fee'!AL$3:AL$150,'Prof. Fee'!$B$3:$B$150,$D$1,'Prof. Fee'!$D$3:$D$150,$A60)</f>
        <v>0</v>
      </c>
      <c r="R60" s="676">
        <f>SUMIFS('Prof. Fee'!AM$3:AM$150,'Prof. Fee'!$B$3:$B$150,$D$1,'Prof. Fee'!$D$3:$D$150,$A60)</f>
        <v>0</v>
      </c>
      <c r="S60" s="676">
        <f>SUMIFS('Prof. Fee'!AN$3:AN$150,'Prof. Fee'!$B$3:$B$150,$D$1,'Prof. Fee'!$D$3:$D$150,$A60)</f>
        <v>0</v>
      </c>
      <c r="T60" s="676">
        <f>SUMIFS('Prof. Fee'!AO$3:AO$150,'Prof. Fee'!$B$3:$B$150,$D$1,'Prof. Fee'!$D$3:$D$150,$A60)</f>
        <v>0</v>
      </c>
      <c r="U60" s="676">
        <f>SUMIFS('Prof. Fee'!AP$3:AP$150,'Prof. Fee'!$B$3:$B$150,$D$1,'Prof. Fee'!$D$3:$D$150,$A60)</f>
        <v>0</v>
      </c>
      <c r="V60" s="676">
        <f>SUMIFS('Prof. Fee'!AQ$3:AQ$150,'Prof. Fee'!$B$3:$B$150,$D$1,'Prof. Fee'!$D$3:$D$150,$A60)</f>
        <v>0</v>
      </c>
      <c r="W60" s="676">
        <f t="shared" si="36"/>
        <v>0</v>
      </c>
      <c r="Y60" s="688">
        <f>IFERROR(VLOOKUP($A60,'[91]1月'!$A:$H,8,0),0)</f>
        <v>0</v>
      </c>
      <c r="Z60" s="688">
        <f>IFERROR(VLOOKUP($A60,'[91]2月'!$A:$H,8,0),0)</f>
        <v>0</v>
      </c>
      <c r="AA60" s="688">
        <f>IFERROR(VLOOKUP($A60,'[91]3月'!$A:$H,8,0),0)</f>
        <v>0</v>
      </c>
      <c r="AB60" s="688">
        <f>IFERROR(VLOOKUP($A60,'[91]4月'!$A:$H,8,0),0)</f>
        <v>0</v>
      </c>
      <c r="AC60" s="688">
        <f>IFERROR(VLOOKUP($A60,'[91]5月'!$A:$H,8,0),0)</f>
        <v>0</v>
      </c>
      <c r="AD60" s="688">
        <f>IFERROR(VLOOKUP($A60,'[91]6月'!$A:$H,8,0),0)</f>
        <v>0</v>
      </c>
      <c r="AE60" s="688">
        <f>IFERROR(VLOOKUP($A60,'[91]7月'!$A:$H,8,0),0)</f>
        <v>0</v>
      </c>
      <c r="AF60" s="688">
        <f>IFERROR(VLOOKUP($A60,'[91]8月'!$A:$H,8,0),0)</f>
        <v>0</v>
      </c>
      <c r="AG60" s="688">
        <f>IFERROR(VLOOKUP($A60,'[91]9月'!$A:$H,8,0),0)</f>
        <v>0</v>
      </c>
      <c r="AH60" s="688">
        <f>IFERROR(VLOOKUP($A60,'[91]10月'!$A:$H,8,0),0)</f>
        <v>0</v>
      </c>
      <c r="AI60" s="688">
        <f>IFERROR(VLOOKUP($A60,'[91]11月'!$A:$H,8,0),0)</f>
        <v>0</v>
      </c>
      <c r="AJ60" s="688">
        <f>IFERROR(VLOOKUP($A60,'[91]12月'!$A:$H,8,0),0)</f>
        <v>0</v>
      </c>
      <c r="AK60" s="688">
        <f t="shared" si="35"/>
        <v>0</v>
      </c>
    </row>
    <row r="61" spans="1:37" ht="13.5" customHeight="1">
      <c r="A61" s="653" t="str">
        <f>'Budget-合并'!A61</f>
        <v>6602.04.99</v>
      </c>
      <c r="B61" s="653" t="str">
        <f>'Budget-合并'!B61</f>
        <v>其他</v>
      </c>
      <c r="C61" s="687">
        <f>'Budget-合并'!C61</f>
        <v>0</v>
      </c>
      <c r="D61" s="676">
        <f t="shared" si="28"/>
        <v>0</v>
      </c>
      <c r="E61" s="676" t="e">
        <f t="shared" si="29"/>
        <v>#N/A</v>
      </c>
      <c r="F61" s="676" t="e">
        <f t="shared" si="30"/>
        <v>#N/A</v>
      </c>
      <c r="G61" s="676">
        <f t="shared" ca="1" si="31"/>
        <v>0</v>
      </c>
      <c r="H61" s="676" t="e">
        <f t="shared" ca="1" si="32"/>
        <v>#N/A</v>
      </c>
      <c r="I61" s="676" t="e">
        <f t="shared" ca="1" si="33"/>
        <v>#N/A</v>
      </c>
      <c r="K61" s="676">
        <f>SUMIFS('Prof. Fee'!AF$3:AF$150,'Prof. Fee'!$B$3:$B$150,$D$1,'Prof. Fee'!$D$3:$D$150,$A61)</f>
        <v>0</v>
      </c>
      <c r="L61" s="676">
        <f>SUMIFS('Prof. Fee'!AG$3:AG$150,'Prof. Fee'!$B$3:$B$150,$D$1,'Prof. Fee'!$D$3:$D$150,$A61)</f>
        <v>0</v>
      </c>
      <c r="M61" s="676">
        <f>SUMIFS('Prof. Fee'!AH$3:AH$150,'Prof. Fee'!$B$3:$B$150,$D$1,'Prof. Fee'!$D$3:$D$150,$A61)</f>
        <v>0</v>
      </c>
      <c r="N61" s="676">
        <f>SUMIFS('Prof. Fee'!AI$3:AI$150,'Prof. Fee'!$B$3:$B$150,$D$1,'Prof. Fee'!$D$3:$D$150,$A61)</f>
        <v>0</v>
      </c>
      <c r="O61" s="676">
        <f>SUMIFS('Prof. Fee'!AJ$3:AJ$150,'Prof. Fee'!$B$3:$B$150,$D$1,'Prof. Fee'!$D$3:$D$150,$A61)</f>
        <v>0</v>
      </c>
      <c r="P61" s="676">
        <f>SUMIFS('Prof. Fee'!AK$3:AK$150,'Prof. Fee'!$B$3:$B$150,$D$1,'Prof. Fee'!$D$3:$D$150,$A61)</f>
        <v>0</v>
      </c>
      <c r="Q61" s="676">
        <f>SUMIFS('Prof. Fee'!AL$3:AL$150,'Prof. Fee'!$B$3:$B$150,$D$1,'Prof. Fee'!$D$3:$D$150,$A61)</f>
        <v>0</v>
      </c>
      <c r="R61" s="676">
        <f>SUMIFS('Prof. Fee'!AM$3:AM$150,'Prof. Fee'!$B$3:$B$150,$D$1,'Prof. Fee'!$D$3:$D$150,$A61)</f>
        <v>0</v>
      </c>
      <c r="S61" s="676">
        <f>SUMIFS('Prof. Fee'!AN$3:AN$150,'Prof. Fee'!$B$3:$B$150,$D$1,'Prof. Fee'!$D$3:$D$150,$A61)</f>
        <v>0</v>
      </c>
      <c r="T61" s="676">
        <f>SUMIFS('Prof. Fee'!AO$3:AO$150,'Prof. Fee'!$B$3:$B$150,$D$1,'Prof. Fee'!$D$3:$D$150,$A61)</f>
        <v>0</v>
      </c>
      <c r="U61" s="676">
        <f>SUMIFS('Prof. Fee'!AP$3:AP$150,'Prof. Fee'!$B$3:$B$150,$D$1,'Prof. Fee'!$D$3:$D$150,$A61)</f>
        <v>0</v>
      </c>
      <c r="V61" s="676">
        <f>SUMIFS('Prof. Fee'!AQ$3:AQ$150,'Prof. Fee'!$B$3:$B$150,$D$1,'Prof. Fee'!$D$3:$D$150,$A61)</f>
        <v>0</v>
      </c>
      <c r="W61" s="676">
        <f t="shared" si="36"/>
        <v>0</v>
      </c>
      <c r="Y61" s="688">
        <f>IFERROR(VLOOKUP($A61,'[91]1月'!$A:$H,8,0),0)</f>
        <v>0</v>
      </c>
      <c r="Z61" s="688">
        <f>IFERROR(VLOOKUP($A61,'[91]2月'!$A:$H,8,0),0)</f>
        <v>0</v>
      </c>
      <c r="AA61" s="688">
        <f>IFERROR(VLOOKUP($A61,'[91]3月'!$A:$H,8,0),0)</f>
        <v>0</v>
      </c>
      <c r="AB61" s="688">
        <f>IFERROR(VLOOKUP($A61,'[91]4月'!$A:$H,8,0),0)</f>
        <v>0</v>
      </c>
      <c r="AC61" s="688">
        <f>IFERROR(VLOOKUP($A61,'[91]5月'!$A:$H,8,0),0)</f>
        <v>0</v>
      </c>
      <c r="AD61" s="688">
        <f>IFERROR(VLOOKUP($A61,'[91]6月'!$A:$H,8,0),0)</f>
        <v>0</v>
      </c>
      <c r="AE61" s="688">
        <f>IFERROR(VLOOKUP($A61,'[91]7月'!$A:$H,8,0),0)</f>
        <v>0</v>
      </c>
      <c r="AF61" s="688">
        <f>IFERROR(VLOOKUP($A61,'[91]8月'!$A:$H,8,0),0)</f>
        <v>0</v>
      </c>
      <c r="AG61" s="688">
        <f>IFERROR(VLOOKUP($A61,'[91]9月'!$A:$H,8,0),0)</f>
        <v>0</v>
      </c>
      <c r="AH61" s="688">
        <f>IFERROR(VLOOKUP($A61,'[91]10月'!$A:$H,8,0),0)</f>
        <v>0</v>
      </c>
      <c r="AI61" s="688">
        <f>IFERROR(VLOOKUP($A61,'[91]11月'!$A:$H,8,0),0)</f>
        <v>0</v>
      </c>
      <c r="AJ61" s="688">
        <f>IFERROR(VLOOKUP($A61,'[91]12月'!$A:$H,8,0),0)</f>
        <v>0</v>
      </c>
      <c r="AK61" s="688">
        <f t="shared" si="35"/>
        <v>0</v>
      </c>
    </row>
    <row r="62" spans="1:37" ht="13.5" customHeight="1">
      <c r="A62" s="663" t="str">
        <f>'Budget-合并'!A62</f>
        <v>6602.05</v>
      </c>
      <c r="B62" s="663" t="str">
        <f>'Budget-合并'!B62</f>
        <v>占用费</v>
      </c>
      <c r="C62" s="687">
        <f>'Budget-合并'!C62</f>
        <v>0</v>
      </c>
      <c r="D62" s="676">
        <f t="shared" si="28"/>
        <v>0</v>
      </c>
      <c r="E62" s="676" t="e">
        <f t="shared" si="29"/>
        <v>#N/A</v>
      </c>
      <c r="F62" s="676" t="e">
        <f t="shared" si="30"/>
        <v>#N/A</v>
      </c>
      <c r="G62" s="676">
        <f t="shared" ca="1" si="31"/>
        <v>0</v>
      </c>
      <c r="H62" s="676" t="e">
        <f t="shared" ca="1" si="32"/>
        <v>#N/A</v>
      </c>
      <c r="I62" s="676" t="e">
        <f t="shared" ca="1" si="33"/>
        <v>#N/A</v>
      </c>
      <c r="K62" s="676">
        <f>SUM(K63,K67:K74)</f>
        <v>0</v>
      </c>
      <c r="L62" s="676">
        <f t="shared" ref="L62:V62" si="38">SUM(L63,L67:L74)</f>
        <v>0</v>
      </c>
      <c r="M62" s="676">
        <f t="shared" si="38"/>
        <v>0</v>
      </c>
      <c r="N62" s="676">
        <f t="shared" si="38"/>
        <v>0</v>
      </c>
      <c r="O62" s="676">
        <f t="shared" si="38"/>
        <v>0</v>
      </c>
      <c r="P62" s="676">
        <f t="shared" si="38"/>
        <v>0</v>
      </c>
      <c r="Q62" s="676">
        <f t="shared" si="38"/>
        <v>0</v>
      </c>
      <c r="R62" s="676">
        <f t="shared" si="38"/>
        <v>0</v>
      </c>
      <c r="S62" s="676">
        <f t="shared" si="38"/>
        <v>0</v>
      </c>
      <c r="T62" s="676">
        <f t="shared" si="38"/>
        <v>0</v>
      </c>
      <c r="U62" s="676">
        <f t="shared" si="38"/>
        <v>0</v>
      </c>
      <c r="V62" s="676">
        <f t="shared" si="38"/>
        <v>0</v>
      </c>
      <c r="W62" s="676">
        <f t="shared" si="36"/>
        <v>0</v>
      </c>
      <c r="Y62" s="688">
        <f>IFERROR(VLOOKUP($A62,'[91]1月'!$A:$H,8,0),0)</f>
        <v>61050</v>
      </c>
      <c r="Z62" s="688">
        <f>IFERROR(VLOOKUP($A62,'[91]2月'!$A:$H,8,0),0)</f>
        <v>61050</v>
      </c>
      <c r="AA62" s="688">
        <f>IFERROR(VLOOKUP($A62,'[91]3月'!$A:$H,8,0),0)</f>
        <v>61050</v>
      </c>
      <c r="AB62" s="688">
        <f>IFERROR(VLOOKUP($A62,'[91]4月'!$A:$H,8,0),0)</f>
        <v>55650</v>
      </c>
      <c r="AC62" s="688">
        <f>IFERROR(VLOOKUP($A62,'[91]5月'!$A:$H,8,0),0)</f>
        <v>55650</v>
      </c>
      <c r="AD62" s="688">
        <f>IFERROR(VLOOKUP($A62,'[91]6月'!$A:$H,8,0),0)</f>
        <v>55650</v>
      </c>
      <c r="AE62" s="688">
        <f>IFERROR(VLOOKUP($A62,'[91]7月'!$A:$H,8,0),0)</f>
        <v>55650</v>
      </c>
      <c r="AF62" s="688">
        <f>IFERROR(VLOOKUP($A62,'[91]8月'!$A:$H,8,0),0)</f>
        <v>55650</v>
      </c>
      <c r="AG62" s="688">
        <f>IFERROR(VLOOKUP($A62,'[91]9月'!$A:$H,8,0),0)</f>
        <v>55650</v>
      </c>
      <c r="AH62" s="688">
        <f>IFERROR(VLOOKUP($A62,'[91]10月'!$A:$H,8,0),0)</f>
        <v>55650</v>
      </c>
      <c r="AI62" s="688">
        <f>IFERROR(VLOOKUP($A62,'[91]11月'!$A:$H,8,0),0)</f>
        <v>55650</v>
      </c>
      <c r="AJ62" s="688">
        <f>IFERROR(VLOOKUP($A62,'[91]12月'!$A:$H,8,0),0)</f>
        <v>55650</v>
      </c>
      <c r="AK62" s="688">
        <f t="shared" si="35"/>
        <v>684000</v>
      </c>
    </row>
    <row r="63" spans="1:37" ht="13.5" customHeight="1">
      <c r="A63" s="653" t="str">
        <f>'Budget-合并'!A63</f>
        <v>6602.05.01</v>
      </c>
      <c r="B63" s="653" t="str">
        <f>'Budget-合并'!B63</f>
        <v>办公室租赁费</v>
      </c>
      <c r="C63" s="687">
        <f>'Budget-合并'!C63</f>
        <v>0</v>
      </c>
      <c r="D63" s="676">
        <f t="shared" si="28"/>
        <v>0</v>
      </c>
      <c r="E63" s="676" t="e">
        <f t="shared" si="29"/>
        <v>#N/A</v>
      </c>
      <c r="F63" s="676" t="e">
        <f t="shared" si="30"/>
        <v>#N/A</v>
      </c>
      <c r="G63" s="676">
        <f t="shared" ca="1" si="31"/>
        <v>0</v>
      </c>
      <c r="H63" s="676" t="e">
        <f t="shared" ca="1" si="32"/>
        <v>#N/A</v>
      </c>
      <c r="I63" s="676" t="e">
        <f t="shared" ca="1" si="33"/>
        <v>#N/A</v>
      </c>
      <c r="K63" s="676">
        <f>SUM(K64:K66)</f>
        <v>0</v>
      </c>
      <c r="L63" s="676">
        <f t="shared" ref="L63:V63" si="39">SUM(L64:L66)</f>
        <v>0</v>
      </c>
      <c r="M63" s="676">
        <f t="shared" si="39"/>
        <v>0</v>
      </c>
      <c r="N63" s="676">
        <f t="shared" si="39"/>
        <v>0</v>
      </c>
      <c r="O63" s="676">
        <f t="shared" si="39"/>
        <v>0</v>
      </c>
      <c r="P63" s="676">
        <f t="shared" si="39"/>
        <v>0</v>
      </c>
      <c r="Q63" s="676">
        <f t="shared" si="39"/>
        <v>0</v>
      </c>
      <c r="R63" s="676">
        <f t="shared" si="39"/>
        <v>0</v>
      </c>
      <c r="S63" s="676">
        <f t="shared" si="39"/>
        <v>0</v>
      </c>
      <c r="T63" s="676">
        <f t="shared" si="39"/>
        <v>0</v>
      </c>
      <c r="U63" s="676">
        <f t="shared" si="39"/>
        <v>0</v>
      </c>
      <c r="V63" s="676">
        <f t="shared" si="39"/>
        <v>0</v>
      </c>
      <c r="W63" s="676">
        <f t="shared" si="36"/>
        <v>0</v>
      </c>
      <c r="Y63" s="688">
        <f>IFERROR(VLOOKUP($A63,'[91]1月'!$A:$H,8,0),0)</f>
        <v>0</v>
      </c>
      <c r="Z63" s="688">
        <f>IFERROR(VLOOKUP($A63,'[91]2月'!$A:$H,8,0),0)</f>
        <v>0</v>
      </c>
      <c r="AA63" s="688">
        <f>IFERROR(VLOOKUP($A63,'[91]3月'!$A:$H,8,0),0)</f>
        <v>0</v>
      </c>
      <c r="AB63" s="688">
        <f>IFERROR(VLOOKUP($A63,'[91]4月'!$A:$H,8,0),0)</f>
        <v>0</v>
      </c>
      <c r="AC63" s="688">
        <f>IFERROR(VLOOKUP($A63,'[91]5月'!$A:$H,8,0),0)</f>
        <v>0</v>
      </c>
      <c r="AD63" s="688">
        <f>IFERROR(VLOOKUP($A63,'[91]6月'!$A:$H,8,0),0)</f>
        <v>0</v>
      </c>
      <c r="AE63" s="688">
        <f>IFERROR(VLOOKUP($A63,'[91]7月'!$A:$H,8,0),0)</f>
        <v>0</v>
      </c>
      <c r="AF63" s="688">
        <f>IFERROR(VLOOKUP($A63,'[91]8月'!$A:$H,8,0),0)</f>
        <v>0</v>
      </c>
      <c r="AG63" s="688">
        <f>IFERROR(VLOOKUP($A63,'[91]9月'!$A:$H,8,0),0)</f>
        <v>0</v>
      </c>
      <c r="AH63" s="688">
        <f>IFERROR(VLOOKUP($A63,'[91]10月'!$A:$H,8,0),0)</f>
        <v>0</v>
      </c>
      <c r="AI63" s="688">
        <f>IFERROR(VLOOKUP($A63,'[91]11月'!$A:$H,8,0),0)</f>
        <v>0</v>
      </c>
      <c r="AJ63" s="688">
        <f>IFERROR(VLOOKUP($A63,'[91]12月'!$A:$H,8,0),0)</f>
        <v>0</v>
      </c>
      <c r="AK63" s="688">
        <f t="shared" si="35"/>
        <v>0</v>
      </c>
    </row>
    <row r="64" spans="1:37" ht="13.5" customHeight="1">
      <c r="A64" s="653" t="str">
        <f>'Budget-合并'!A64</f>
        <v>6602.05.01.01</v>
      </c>
      <c r="B64" s="653" t="str">
        <f>'Budget-合并'!B64</f>
        <v>旭智咨询--鼎和大厦1606</v>
      </c>
      <c r="C64" s="687">
        <f>'Budget-合并'!C64</f>
        <v>0</v>
      </c>
      <c r="D64" s="676">
        <f t="shared" si="28"/>
        <v>0</v>
      </c>
      <c r="E64" s="676" t="e">
        <f t="shared" si="29"/>
        <v>#N/A</v>
      </c>
      <c r="F64" s="676" t="e">
        <f t="shared" si="30"/>
        <v>#N/A</v>
      </c>
      <c r="G64" s="676">
        <f t="shared" ca="1" si="31"/>
        <v>0</v>
      </c>
      <c r="H64" s="676" t="e">
        <f t="shared" ca="1" si="32"/>
        <v>#N/A</v>
      </c>
      <c r="I64" s="676" t="e">
        <f t="shared" ca="1" si="33"/>
        <v>#N/A</v>
      </c>
      <c r="K64" s="676"/>
      <c r="L64" s="676"/>
      <c r="M64" s="676"/>
      <c r="N64" s="676"/>
      <c r="O64" s="676"/>
      <c r="P64" s="676"/>
      <c r="Q64" s="676"/>
      <c r="R64" s="676"/>
      <c r="S64" s="676"/>
      <c r="T64" s="676"/>
      <c r="U64" s="676"/>
      <c r="V64" s="676"/>
      <c r="W64" s="676">
        <f t="shared" si="36"/>
        <v>0</v>
      </c>
      <c r="Y64" s="688">
        <f>IFERROR(VLOOKUP($A64,'[91]1月'!$A:$H,8,0),0)</f>
        <v>0</v>
      </c>
      <c r="Z64" s="688">
        <f>IFERROR(VLOOKUP($A64,'[91]2月'!$A:$H,8,0),0)</f>
        <v>0</v>
      </c>
      <c r="AA64" s="688">
        <f>IFERROR(VLOOKUP($A64,'[91]3月'!$A:$H,8,0),0)</f>
        <v>0</v>
      </c>
      <c r="AB64" s="688">
        <f>IFERROR(VLOOKUP($A64,'[91]4月'!$A:$H,8,0),0)</f>
        <v>0</v>
      </c>
      <c r="AC64" s="688">
        <f>IFERROR(VLOOKUP($A64,'[91]5月'!$A:$H,8,0),0)</f>
        <v>0</v>
      </c>
      <c r="AD64" s="688">
        <f>IFERROR(VLOOKUP($A64,'[91]6月'!$A:$H,8,0),0)</f>
        <v>0</v>
      </c>
      <c r="AE64" s="688">
        <f>IFERROR(VLOOKUP($A64,'[91]7月'!$A:$H,8,0),0)</f>
        <v>0</v>
      </c>
      <c r="AF64" s="688">
        <f>IFERROR(VLOOKUP($A64,'[91]8月'!$A:$H,8,0),0)</f>
        <v>0</v>
      </c>
      <c r="AG64" s="688">
        <f>IFERROR(VLOOKUP($A64,'[91]9月'!$A:$H,8,0),0)</f>
        <v>0</v>
      </c>
      <c r="AH64" s="688">
        <f>IFERROR(VLOOKUP($A64,'[91]10月'!$A:$H,8,0),0)</f>
        <v>0</v>
      </c>
      <c r="AI64" s="688">
        <f>IFERROR(VLOOKUP($A64,'[91]11月'!$A:$H,8,0),0)</f>
        <v>0</v>
      </c>
      <c r="AJ64" s="688">
        <f>IFERROR(VLOOKUP($A64,'[91]12月'!$A:$H,8,0),0)</f>
        <v>0</v>
      </c>
      <c r="AK64" s="688">
        <f t="shared" si="35"/>
        <v>0</v>
      </c>
    </row>
    <row r="65" spans="1:37" ht="13.5" customHeight="1">
      <c r="A65" s="653" t="str">
        <f>'Budget-合并'!A65</f>
        <v>6602.05.01.02</v>
      </c>
      <c r="B65" s="653" t="str">
        <f>'Budget-合并'!B65</f>
        <v>广州注册地址403房J015</v>
      </c>
      <c r="C65" s="687">
        <f>'Budget-合并'!C65</f>
        <v>0</v>
      </c>
      <c r="D65" s="676">
        <f t="shared" si="28"/>
        <v>0</v>
      </c>
      <c r="E65" s="676" t="e">
        <f t="shared" si="29"/>
        <v>#N/A</v>
      </c>
      <c r="F65" s="676" t="e">
        <f t="shared" si="30"/>
        <v>#N/A</v>
      </c>
      <c r="G65" s="676">
        <f t="shared" ca="1" si="31"/>
        <v>0</v>
      </c>
      <c r="H65" s="676" t="e">
        <f t="shared" ca="1" si="32"/>
        <v>#N/A</v>
      </c>
      <c r="I65" s="676" t="e">
        <f t="shared" ca="1" si="33"/>
        <v>#N/A</v>
      </c>
      <c r="K65" s="676"/>
      <c r="L65" s="676"/>
      <c r="M65" s="676"/>
      <c r="N65" s="676"/>
      <c r="O65" s="676"/>
      <c r="P65" s="676"/>
      <c r="Q65" s="676"/>
      <c r="R65" s="676"/>
      <c r="S65" s="676"/>
      <c r="T65" s="676"/>
      <c r="U65" s="676"/>
      <c r="V65" s="676"/>
      <c r="W65" s="676">
        <f t="shared" si="36"/>
        <v>0</v>
      </c>
      <c r="Y65" s="688">
        <f>IFERROR(VLOOKUP($A65,'[91]1月'!$A:$H,8,0),0)</f>
        <v>0</v>
      </c>
      <c r="Z65" s="688">
        <f>IFERROR(VLOOKUP($A65,'[91]2月'!$A:$H,8,0),0)</f>
        <v>0</v>
      </c>
      <c r="AA65" s="688">
        <f>IFERROR(VLOOKUP($A65,'[91]3月'!$A:$H,8,0),0)</f>
        <v>0</v>
      </c>
      <c r="AB65" s="688">
        <f>IFERROR(VLOOKUP($A65,'[91]4月'!$A:$H,8,0),0)</f>
        <v>0</v>
      </c>
      <c r="AC65" s="688">
        <f>IFERROR(VLOOKUP($A65,'[91]5月'!$A:$H,8,0),0)</f>
        <v>0</v>
      </c>
      <c r="AD65" s="688">
        <f>IFERROR(VLOOKUP($A65,'[91]6月'!$A:$H,8,0),0)</f>
        <v>0</v>
      </c>
      <c r="AE65" s="688">
        <f>IFERROR(VLOOKUP($A65,'[91]7月'!$A:$H,8,0),0)</f>
        <v>0</v>
      </c>
      <c r="AF65" s="688">
        <f>IFERROR(VLOOKUP($A65,'[91]8月'!$A:$H,8,0),0)</f>
        <v>0</v>
      </c>
      <c r="AG65" s="688">
        <f>IFERROR(VLOOKUP($A65,'[91]9月'!$A:$H,8,0),0)</f>
        <v>0</v>
      </c>
      <c r="AH65" s="688">
        <f>IFERROR(VLOOKUP($A65,'[91]10月'!$A:$H,8,0),0)</f>
        <v>0</v>
      </c>
      <c r="AI65" s="688">
        <f>IFERROR(VLOOKUP($A65,'[91]11月'!$A:$H,8,0),0)</f>
        <v>0</v>
      </c>
      <c r="AJ65" s="688">
        <f>IFERROR(VLOOKUP($A65,'[91]12月'!$A:$H,8,0),0)</f>
        <v>0</v>
      </c>
      <c r="AK65" s="688">
        <f t="shared" si="35"/>
        <v>0</v>
      </c>
    </row>
    <row r="66" spans="1:37" ht="13.5" customHeight="1">
      <c r="A66" s="653" t="str">
        <f>'Budget-合并'!A66</f>
        <v>6602.05.01.03</v>
      </c>
      <c r="B66" s="653" t="str">
        <f>'Budget-合并'!B66</f>
        <v>广州注册地址403房J016</v>
      </c>
      <c r="C66" s="687">
        <f>'Budget-合并'!C66</f>
        <v>0</v>
      </c>
      <c r="D66" s="676">
        <f t="shared" si="28"/>
        <v>0</v>
      </c>
      <c r="E66" s="676" t="e">
        <f t="shared" si="29"/>
        <v>#N/A</v>
      </c>
      <c r="F66" s="676" t="e">
        <f t="shared" si="30"/>
        <v>#N/A</v>
      </c>
      <c r="G66" s="676">
        <f t="shared" ca="1" si="31"/>
        <v>0</v>
      </c>
      <c r="H66" s="676" t="e">
        <f t="shared" ca="1" si="32"/>
        <v>#N/A</v>
      </c>
      <c r="I66" s="676" t="e">
        <f t="shared" ca="1" si="33"/>
        <v>#N/A</v>
      </c>
      <c r="K66" s="676"/>
      <c r="L66" s="676"/>
      <c r="M66" s="676"/>
      <c r="N66" s="676"/>
      <c r="O66" s="676"/>
      <c r="P66" s="676"/>
      <c r="Q66" s="676"/>
      <c r="R66" s="676"/>
      <c r="S66" s="676"/>
      <c r="T66" s="676"/>
      <c r="U66" s="676"/>
      <c r="V66" s="676"/>
      <c r="W66" s="676">
        <f t="shared" si="36"/>
        <v>0</v>
      </c>
      <c r="Y66" s="688">
        <f>IFERROR(VLOOKUP($A66,'[91]1月'!$A:$H,8,0),0)</f>
        <v>0</v>
      </c>
      <c r="Z66" s="688">
        <f>IFERROR(VLOOKUP($A66,'[91]2月'!$A:$H,8,0),0)</f>
        <v>0</v>
      </c>
      <c r="AA66" s="688">
        <f>IFERROR(VLOOKUP($A66,'[91]3月'!$A:$H,8,0),0)</f>
        <v>0</v>
      </c>
      <c r="AB66" s="688">
        <f>IFERROR(VLOOKUP($A66,'[91]4月'!$A:$H,8,0),0)</f>
        <v>0</v>
      </c>
      <c r="AC66" s="688">
        <f>IFERROR(VLOOKUP($A66,'[91]5月'!$A:$H,8,0),0)</f>
        <v>0</v>
      </c>
      <c r="AD66" s="688">
        <f>IFERROR(VLOOKUP($A66,'[91]6月'!$A:$H,8,0),0)</f>
        <v>0</v>
      </c>
      <c r="AE66" s="688">
        <f>IFERROR(VLOOKUP($A66,'[91]7月'!$A:$H,8,0),0)</f>
        <v>0</v>
      </c>
      <c r="AF66" s="688">
        <f>IFERROR(VLOOKUP($A66,'[91]8月'!$A:$H,8,0),0)</f>
        <v>0</v>
      </c>
      <c r="AG66" s="688">
        <f>IFERROR(VLOOKUP($A66,'[91]9月'!$A:$H,8,0),0)</f>
        <v>0</v>
      </c>
      <c r="AH66" s="688">
        <f>IFERROR(VLOOKUP($A66,'[91]10月'!$A:$H,8,0),0)</f>
        <v>0</v>
      </c>
      <c r="AI66" s="688">
        <f>IFERROR(VLOOKUP($A66,'[91]11月'!$A:$H,8,0),0)</f>
        <v>0</v>
      </c>
      <c r="AJ66" s="688">
        <f>IFERROR(VLOOKUP($A66,'[91]12月'!$A:$H,8,0),0)</f>
        <v>0</v>
      </c>
      <c r="AK66" s="688">
        <f t="shared" si="35"/>
        <v>0</v>
      </c>
    </row>
    <row r="67" spans="1:37" ht="13.5" customHeight="1">
      <c r="A67" s="653" t="str">
        <f>'Budget-合并'!A67</f>
        <v>6602.05.02</v>
      </c>
      <c r="B67" s="653" t="str">
        <f>'Budget-合并'!B67</f>
        <v>管理费</v>
      </c>
      <c r="C67" s="687" t="str">
        <f>'Budget-合并'!C67</f>
        <v>Management fees</v>
      </c>
      <c r="D67" s="676">
        <f t="shared" si="28"/>
        <v>0</v>
      </c>
      <c r="E67" s="676" t="e">
        <f t="shared" si="29"/>
        <v>#N/A</v>
      </c>
      <c r="F67" s="676" t="e">
        <f t="shared" si="30"/>
        <v>#N/A</v>
      </c>
      <c r="G67" s="676">
        <f t="shared" ca="1" si="31"/>
        <v>0</v>
      </c>
      <c r="H67" s="676" t="e">
        <f t="shared" ca="1" si="32"/>
        <v>#N/A</v>
      </c>
      <c r="I67" s="676" t="e">
        <f t="shared" ca="1" si="33"/>
        <v>#N/A</v>
      </c>
      <c r="K67" s="676">
        <f>SUMIFS(SPACE!O$3:O$106,SPACE!$A$3:$A$106,$D$1,SPACE!$C$3:$C$106,$A67)</f>
        <v>0</v>
      </c>
      <c r="L67" s="676">
        <f>SUMIFS(SPACE!P$3:P$106,SPACE!$A$3:$A$106,$D$1,SPACE!$C$3:$C$106,$A67)</f>
        <v>0</v>
      </c>
      <c r="M67" s="676">
        <f>SUMIFS(SPACE!Q$3:Q$106,SPACE!$A$3:$A$106,$D$1,SPACE!$C$3:$C$106,$A67)</f>
        <v>0</v>
      </c>
      <c r="N67" s="676">
        <f>SUMIFS(SPACE!R$3:R$106,SPACE!$A$3:$A$106,$D$1,SPACE!$C$3:$C$106,$A67)</f>
        <v>0</v>
      </c>
      <c r="O67" s="676">
        <f>SUMIFS(SPACE!S$3:S$106,SPACE!$A$3:$A$106,$D$1,SPACE!$C$3:$C$106,$A67)</f>
        <v>0</v>
      </c>
      <c r="P67" s="676">
        <f>SUMIFS(SPACE!T$3:T$106,SPACE!$A$3:$A$106,$D$1,SPACE!$C$3:$C$106,$A67)</f>
        <v>0</v>
      </c>
      <c r="Q67" s="676">
        <f>SUMIFS(SPACE!U$3:U$106,SPACE!$A$3:$A$106,$D$1,SPACE!$C$3:$C$106,$A67)</f>
        <v>0</v>
      </c>
      <c r="R67" s="676">
        <f>SUMIFS(SPACE!V$3:V$106,SPACE!$A$3:$A$106,$D$1,SPACE!$C$3:$C$106,$A67)</f>
        <v>0</v>
      </c>
      <c r="S67" s="676">
        <f>SUMIFS(SPACE!W$3:W$106,SPACE!$A$3:$A$106,$D$1,SPACE!$C$3:$C$106,$A67)</f>
        <v>0</v>
      </c>
      <c r="T67" s="676">
        <f>SUMIFS(SPACE!X$3:X$106,SPACE!$A$3:$A$106,$D$1,SPACE!$C$3:$C$106,$A67)</f>
        <v>0</v>
      </c>
      <c r="U67" s="676">
        <f>SUMIFS(SPACE!Y$3:Y$106,SPACE!$A$3:$A$106,$D$1,SPACE!$C$3:$C$106,$A67)</f>
        <v>0</v>
      </c>
      <c r="V67" s="676">
        <f>SUMIFS(SPACE!Z$3:Z$106,SPACE!$A$3:$A$106,$D$1,SPACE!$C$3:$C$106,$A67)</f>
        <v>0</v>
      </c>
      <c r="W67" s="676">
        <f t="shared" si="36"/>
        <v>0</v>
      </c>
      <c r="Y67" s="688">
        <f>IFERROR(VLOOKUP($A67,'[91]1月'!$A:$H,8,0),0)</f>
        <v>0</v>
      </c>
      <c r="Z67" s="688">
        <f>IFERROR(VLOOKUP($A67,'[91]2月'!$A:$H,8,0),0)</f>
        <v>0</v>
      </c>
      <c r="AA67" s="688">
        <f>IFERROR(VLOOKUP($A67,'[91]3月'!$A:$H,8,0),0)</f>
        <v>0</v>
      </c>
      <c r="AB67" s="688">
        <f>IFERROR(VLOOKUP($A67,'[91]4月'!$A:$H,8,0),0)</f>
        <v>0</v>
      </c>
      <c r="AC67" s="688">
        <f>IFERROR(VLOOKUP($A67,'[91]5月'!$A:$H,8,0),0)</f>
        <v>0</v>
      </c>
      <c r="AD67" s="688">
        <f>IFERROR(VLOOKUP($A67,'[91]6月'!$A:$H,8,0),0)</f>
        <v>0</v>
      </c>
      <c r="AE67" s="688">
        <f>IFERROR(VLOOKUP($A67,'[91]7月'!$A:$H,8,0),0)</f>
        <v>0</v>
      </c>
      <c r="AF67" s="688">
        <f>IFERROR(VLOOKUP($A67,'[91]8月'!$A:$H,8,0),0)</f>
        <v>0</v>
      </c>
      <c r="AG67" s="688">
        <f>IFERROR(VLOOKUP($A67,'[91]9月'!$A:$H,8,0),0)</f>
        <v>0</v>
      </c>
      <c r="AH67" s="688">
        <f>IFERROR(VLOOKUP($A67,'[91]10月'!$A:$H,8,0),0)</f>
        <v>0</v>
      </c>
      <c r="AI67" s="688">
        <f>IFERROR(VLOOKUP($A67,'[91]11月'!$A:$H,8,0),0)</f>
        <v>0</v>
      </c>
      <c r="AJ67" s="688">
        <f>IFERROR(VLOOKUP($A67,'[91]12月'!$A:$H,8,0),0)</f>
        <v>0</v>
      </c>
      <c r="AK67" s="688">
        <f t="shared" si="35"/>
        <v>0</v>
      </c>
    </row>
    <row r="68" spans="1:37" ht="13.5" customHeight="1">
      <c r="A68" s="653" t="str">
        <f>'Budget-合并'!A68</f>
        <v>6602.05.03</v>
      </c>
      <c r="B68" s="653" t="str">
        <f>'Budget-合并'!B68</f>
        <v>电费</v>
      </c>
      <c r="C68" s="687" t="str">
        <f>'Budget-合并'!C68</f>
        <v>Utilities Electric</v>
      </c>
      <c r="D68" s="676">
        <f t="shared" si="28"/>
        <v>0</v>
      </c>
      <c r="E68" s="676" t="e">
        <f t="shared" si="29"/>
        <v>#N/A</v>
      </c>
      <c r="F68" s="676" t="e">
        <f t="shared" si="30"/>
        <v>#N/A</v>
      </c>
      <c r="G68" s="676">
        <f t="shared" ca="1" si="31"/>
        <v>0</v>
      </c>
      <c r="H68" s="676" t="e">
        <f t="shared" ca="1" si="32"/>
        <v>#N/A</v>
      </c>
      <c r="I68" s="676" t="e">
        <f t="shared" ca="1" si="33"/>
        <v>#N/A</v>
      </c>
      <c r="K68" s="676">
        <f>SUMIFS(SPACE!O$3:O$106,SPACE!$A$3:$A$106,$D$1,SPACE!$C$3:$C$106,$A68)</f>
        <v>0</v>
      </c>
      <c r="L68" s="676">
        <f>SUMIFS(SPACE!P$3:P$106,SPACE!$A$3:$A$106,$D$1,SPACE!$C$3:$C$106,$A68)</f>
        <v>0</v>
      </c>
      <c r="M68" s="676">
        <f>SUMIFS(SPACE!Q$3:Q$106,SPACE!$A$3:$A$106,$D$1,SPACE!$C$3:$C$106,$A68)</f>
        <v>0</v>
      </c>
      <c r="N68" s="676">
        <f>SUMIFS(SPACE!R$3:R$106,SPACE!$A$3:$A$106,$D$1,SPACE!$C$3:$C$106,$A68)</f>
        <v>0</v>
      </c>
      <c r="O68" s="676">
        <f>SUMIFS(SPACE!S$3:S$106,SPACE!$A$3:$A$106,$D$1,SPACE!$C$3:$C$106,$A68)</f>
        <v>0</v>
      </c>
      <c r="P68" s="676">
        <f>SUMIFS(SPACE!T$3:T$106,SPACE!$A$3:$A$106,$D$1,SPACE!$C$3:$C$106,$A68)</f>
        <v>0</v>
      </c>
      <c r="Q68" s="676">
        <f>SUMIFS(SPACE!U$3:U$106,SPACE!$A$3:$A$106,$D$1,SPACE!$C$3:$C$106,$A68)</f>
        <v>0</v>
      </c>
      <c r="R68" s="676">
        <f>SUMIFS(SPACE!V$3:V$106,SPACE!$A$3:$A$106,$D$1,SPACE!$C$3:$C$106,$A68)</f>
        <v>0</v>
      </c>
      <c r="S68" s="676">
        <f>SUMIFS(SPACE!W$3:W$106,SPACE!$A$3:$A$106,$D$1,SPACE!$C$3:$C$106,$A68)</f>
        <v>0</v>
      </c>
      <c r="T68" s="676">
        <f>SUMIFS(SPACE!X$3:X$106,SPACE!$A$3:$A$106,$D$1,SPACE!$C$3:$C$106,$A68)</f>
        <v>0</v>
      </c>
      <c r="U68" s="676">
        <f>SUMIFS(SPACE!Y$3:Y$106,SPACE!$A$3:$A$106,$D$1,SPACE!$C$3:$C$106,$A68)</f>
        <v>0</v>
      </c>
      <c r="V68" s="676">
        <f>SUMIFS(SPACE!Z$3:Z$106,SPACE!$A$3:$A$106,$D$1,SPACE!$C$3:$C$106,$A68)</f>
        <v>0</v>
      </c>
      <c r="W68" s="676">
        <f t="shared" si="36"/>
        <v>0</v>
      </c>
      <c r="Y68" s="688">
        <f>IFERROR(VLOOKUP($A68,'[91]1月'!$A:$H,8,0),0)</f>
        <v>0</v>
      </c>
      <c r="Z68" s="688">
        <f>IFERROR(VLOOKUP($A68,'[91]2月'!$A:$H,8,0),0)</f>
        <v>0</v>
      </c>
      <c r="AA68" s="688">
        <f>IFERROR(VLOOKUP($A68,'[91]3月'!$A:$H,8,0),0)</f>
        <v>0</v>
      </c>
      <c r="AB68" s="688">
        <f>IFERROR(VLOOKUP($A68,'[91]4月'!$A:$H,8,0),0)</f>
        <v>0</v>
      </c>
      <c r="AC68" s="688">
        <f>IFERROR(VLOOKUP($A68,'[91]5月'!$A:$H,8,0),0)</f>
        <v>0</v>
      </c>
      <c r="AD68" s="688">
        <f>IFERROR(VLOOKUP($A68,'[91]6月'!$A:$H,8,0),0)</f>
        <v>0</v>
      </c>
      <c r="AE68" s="688">
        <f>IFERROR(VLOOKUP($A68,'[91]7月'!$A:$H,8,0),0)</f>
        <v>0</v>
      </c>
      <c r="AF68" s="688">
        <f>IFERROR(VLOOKUP($A68,'[91]8月'!$A:$H,8,0),0)</f>
        <v>0</v>
      </c>
      <c r="AG68" s="688">
        <f>IFERROR(VLOOKUP($A68,'[91]9月'!$A:$H,8,0),0)</f>
        <v>0</v>
      </c>
      <c r="AH68" s="688">
        <f>IFERROR(VLOOKUP($A68,'[91]10月'!$A:$H,8,0),0)</f>
        <v>0</v>
      </c>
      <c r="AI68" s="688">
        <f>IFERROR(VLOOKUP($A68,'[91]11月'!$A:$H,8,0),0)</f>
        <v>0</v>
      </c>
      <c r="AJ68" s="688">
        <f>IFERROR(VLOOKUP($A68,'[91]12月'!$A:$H,8,0),0)</f>
        <v>0</v>
      </c>
      <c r="AK68" s="688">
        <f t="shared" si="35"/>
        <v>0</v>
      </c>
    </row>
    <row r="69" spans="1:37" ht="13.5" customHeight="1">
      <c r="A69" s="653" t="str">
        <f>'Budget-合并'!A69</f>
        <v>6602.05.04</v>
      </c>
      <c r="B69" s="653" t="str">
        <f>'Budget-合并'!B69</f>
        <v>水费</v>
      </c>
      <c r="C69" s="687">
        <f>'Budget-合并'!C69</f>
        <v>0</v>
      </c>
      <c r="D69" s="676">
        <f t="shared" si="28"/>
        <v>0</v>
      </c>
      <c r="E69" s="676" t="e">
        <f t="shared" si="29"/>
        <v>#N/A</v>
      </c>
      <c r="F69" s="676" t="e">
        <f t="shared" si="30"/>
        <v>#N/A</v>
      </c>
      <c r="G69" s="676">
        <f t="shared" ca="1" si="31"/>
        <v>0</v>
      </c>
      <c r="H69" s="676" t="e">
        <f t="shared" ca="1" si="32"/>
        <v>#N/A</v>
      </c>
      <c r="I69" s="676" t="e">
        <f t="shared" ca="1" si="33"/>
        <v>#N/A</v>
      </c>
      <c r="K69" s="676">
        <f>SUMIFS(SPACE!O$3:O$106,SPACE!$A$3:$A$106,$D$1,SPACE!$C$3:$C$106,$A69)</f>
        <v>0</v>
      </c>
      <c r="L69" s="676">
        <f>SUMIFS(SPACE!P$3:P$106,SPACE!$A$3:$A$106,$D$1,SPACE!$C$3:$C$106,$A69)</f>
        <v>0</v>
      </c>
      <c r="M69" s="676">
        <f>SUMIFS(SPACE!Q$3:Q$106,SPACE!$A$3:$A$106,$D$1,SPACE!$C$3:$C$106,$A69)</f>
        <v>0</v>
      </c>
      <c r="N69" s="676">
        <f>SUMIFS(SPACE!R$3:R$106,SPACE!$A$3:$A$106,$D$1,SPACE!$C$3:$C$106,$A69)</f>
        <v>0</v>
      </c>
      <c r="O69" s="676">
        <f>SUMIFS(SPACE!S$3:S$106,SPACE!$A$3:$A$106,$D$1,SPACE!$C$3:$C$106,$A69)</f>
        <v>0</v>
      </c>
      <c r="P69" s="676">
        <f>SUMIFS(SPACE!T$3:T$106,SPACE!$A$3:$A$106,$D$1,SPACE!$C$3:$C$106,$A69)</f>
        <v>0</v>
      </c>
      <c r="Q69" s="676">
        <f>SUMIFS(SPACE!U$3:U$106,SPACE!$A$3:$A$106,$D$1,SPACE!$C$3:$C$106,$A69)</f>
        <v>0</v>
      </c>
      <c r="R69" s="676">
        <f>SUMIFS(SPACE!V$3:V$106,SPACE!$A$3:$A$106,$D$1,SPACE!$C$3:$C$106,$A69)</f>
        <v>0</v>
      </c>
      <c r="S69" s="676">
        <f>SUMIFS(SPACE!W$3:W$106,SPACE!$A$3:$A$106,$D$1,SPACE!$C$3:$C$106,$A69)</f>
        <v>0</v>
      </c>
      <c r="T69" s="676">
        <f>SUMIFS(SPACE!X$3:X$106,SPACE!$A$3:$A$106,$D$1,SPACE!$C$3:$C$106,$A69)</f>
        <v>0</v>
      </c>
      <c r="U69" s="676">
        <f>SUMIFS(SPACE!Y$3:Y$106,SPACE!$A$3:$A$106,$D$1,SPACE!$C$3:$C$106,$A69)</f>
        <v>0</v>
      </c>
      <c r="V69" s="676">
        <f>SUMIFS(SPACE!Z$3:Z$106,SPACE!$A$3:$A$106,$D$1,SPACE!$C$3:$C$106,$A69)</f>
        <v>0</v>
      </c>
      <c r="W69" s="676">
        <f t="shared" si="36"/>
        <v>0</v>
      </c>
      <c r="Y69" s="688">
        <f>IFERROR(VLOOKUP($A69,'[91]1月'!$A:$H,8,0),0)</f>
        <v>0</v>
      </c>
      <c r="Z69" s="688">
        <f>IFERROR(VLOOKUP($A69,'[91]2月'!$A:$H,8,0),0)</f>
        <v>0</v>
      </c>
      <c r="AA69" s="688">
        <f>IFERROR(VLOOKUP($A69,'[91]3月'!$A:$H,8,0),0)</f>
        <v>0</v>
      </c>
      <c r="AB69" s="688">
        <f>IFERROR(VLOOKUP($A69,'[91]4月'!$A:$H,8,0),0)</f>
        <v>0</v>
      </c>
      <c r="AC69" s="688">
        <f>IFERROR(VLOOKUP($A69,'[91]5月'!$A:$H,8,0),0)</f>
        <v>0</v>
      </c>
      <c r="AD69" s="688">
        <f>IFERROR(VLOOKUP($A69,'[91]6月'!$A:$H,8,0),0)</f>
        <v>0</v>
      </c>
      <c r="AE69" s="688">
        <f>IFERROR(VLOOKUP($A69,'[91]7月'!$A:$H,8,0),0)</f>
        <v>0</v>
      </c>
      <c r="AF69" s="688">
        <f>IFERROR(VLOOKUP($A69,'[91]8月'!$A:$H,8,0),0)</f>
        <v>0</v>
      </c>
      <c r="AG69" s="688">
        <f>IFERROR(VLOOKUP($A69,'[91]9月'!$A:$H,8,0),0)</f>
        <v>0</v>
      </c>
      <c r="AH69" s="688">
        <f>IFERROR(VLOOKUP($A69,'[91]10月'!$A:$H,8,0),0)</f>
        <v>0</v>
      </c>
      <c r="AI69" s="688">
        <f>IFERROR(VLOOKUP($A69,'[91]11月'!$A:$H,8,0),0)</f>
        <v>0</v>
      </c>
      <c r="AJ69" s="688">
        <f>IFERROR(VLOOKUP($A69,'[91]12月'!$A:$H,8,0),0)</f>
        <v>0</v>
      </c>
      <c r="AK69" s="688">
        <f t="shared" si="35"/>
        <v>0</v>
      </c>
    </row>
    <row r="70" spans="1:37" ht="13.5" customHeight="1">
      <c r="A70" s="653" t="str">
        <f>'Budget-合并'!A70</f>
        <v>6602.05.05</v>
      </c>
      <c r="B70" s="653" t="str">
        <f>'Budget-合并'!B70</f>
        <v>维修费</v>
      </c>
      <c r="C70" s="687" t="str">
        <f>'Budget-合并'!C70</f>
        <v>Office Maintenance &amp; Repair</v>
      </c>
      <c r="D70" s="676">
        <f t="shared" si="28"/>
        <v>0</v>
      </c>
      <c r="E70" s="676" t="e">
        <f t="shared" si="29"/>
        <v>#N/A</v>
      </c>
      <c r="F70" s="676" t="e">
        <f t="shared" si="30"/>
        <v>#N/A</v>
      </c>
      <c r="G70" s="676">
        <f t="shared" ca="1" si="31"/>
        <v>0</v>
      </c>
      <c r="H70" s="676" t="e">
        <f t="shared" ca="1" si="32"/>
        <v>#N/A</v>
      </c>
      <c r="I70" s="676" t="e">
        <f t="shared" ca="1" si="33"/>
        <v>#N/A</v>
      </c>
      <c r="K70" s="676">
        <f>SUMIFS(SPACE!O$3:O$106,SPACE!$A$3:$A$106,$D$1,SPACE!$C$3:$C$106,$A70)</f>
        <v>0</v>
      </c>
      <c r="L70" s="676">
        <f>SUMIFS(SPACE!P$3:P$106,SPACE!$A$3:$A$106,$D$1,SPACE!$C$3:$C$106,$A70)</f>
        <v>0</v>
      </c>
      <c r="M70" s="676">
        <f>SUMIFS(SPACE!Q$3:Q$106,SPACE!$A$3:$A$106,$D$1,SPACE!$C$3:$C$106,$A70)</f>
        <v>0</v>
      </c>
      <c r="N70" s="676">
        <f>SUMIFS(SPACE!R$3:R$106,SPACE!$A$3:$A$106,$D$1,SPACE!$C$3:$C$106,$A70)</f>
        <v>0</v>
      </c>
      <c r="O70" s="676">
        <f>SUMIFS(SPACE!S$3:S$106,SPACE!$A$3:$A$106,$D$1,SPACE!$C$3:$C$106,$A70)</f>
        <v>0</v>
      </c>
      <c r="P70" s="676">
        <f>SUMIFS(SPACE!T$3:T$106,SPACE!$A$3:$A$106,$D$1,SPACE!$C$3:$C$106,$A70)</f>
        <v>0</v>
      </c>
      <c r="Q70" s="676">
        <f>SUMIFS(SPACE!U$3:U$106,SPACE!$A$3:$A$106,$D$1,SPACE!$C$3:$C$106,$A70)</f>
        <v>0</v>
      </c>
      <c r="R70" s="676">
        <f>SUMIFS(SPACE!V$3:V$106,SPACE!$A$3:$A$106,$D$1,SPACE!$C$3:$C$106,$A70)</f>
        <v>0</v>
      </c>
      <c r="S70" s="676">
        <f>SUMIFS(SPACE!W$3:W$106,SPACE!$A$3:$A$106,$D$1,SPACE!$C$3:$C$106,$A70)</f>
        <v>0</v>
      </c>
      <c r="T70" s="676">
        <f>SUMIFS(SPACE!X$3:X$106,SPACE!$A$3:$A$106,$D$1,SPACE!$C$3:$C$106,$A70)</f>
        <v>0</v>
      </c>
      <c r="U70" s="676">
        <f>SUMIFS(SPACE!Y$3:Y$106,SPACE!$A$3:$A$106,$D$1,SPACE!$C$3:$C$106,$A70)</f>
        <v>0</v>
      </c>
      <c r="V70" s="676">
        <f>SUMIFS(SPACE!Z$3:Z$106,SPACE!$A$3:$A$106,$D$1,SPACE!$C$3:$C$106,$A70)</f>
        <v>0</v>
      </c>
      <c r="W70" s="676">
        <f t="shared" si="36"/>
        <v>0</v>
      </c>
      <c r="Y70" s="688">
        <f>IFERROR(VLOOKUP($A70,'[91]1月'!$A:$H,8,0),0)</f>
        <v>0</v>
      </c>
      <c r="Z70" s="688">
        <f>IFERROR(VLOOKUP($A70,'[91]2月'!$A:$H,8,0),0)</f>
        <v>0</v>
      </c>
      <c r="AA70" s="688">
        <f>IFERROR(VLOOKUP($A70,'[91]3月'!$A:$H,8,0),0)</f>
        <v>0</v>
      </c>
      <c r="AB70" s="688">
        <f>IFERROR(VLOOKUP($A70,'[91]4月'!$A:$H,8,0),0)</f>
        <v>0</v>
      </c>
      <c r="AC70" s="688">
        <f>IFERROR(VLOOKUP($A70,'[91]5月'!$A:$H,8,0),0)</f>
        <v>0</v>
      </c>
      <c r="AD70" s="688">
        <f>IFERROR(VLOOKUP($A70,'[91]6月'!$A:$H,8,0),0)</f>
        <v>0</v>
      </c>
      <c r="AE70" s="688">
        <f>IFERROR(VLOOKUP($A70,'[91]7月'!$A:$H,8,0),0)</f>
        <v>0</v>
      </c>
      <c r="AF70" s="688">
        <f>IFERROR(VLOOKUP($A70,'[91]8月'!$A:$H,8,0),0)</f>
        <v>0</v>
      </c>
      <c r="AG70" s="688">
        <f>IFERROR(VLOOKUP($A70,'[91]9月'!$A:$H,8,0),0)</f>
        <v>0</v>
      </c>
      <c r="AH70" s="688">
        <f>IFERROR(VLOOKUP($A70,'[91]10月'!$A:$H,8,0),0)</f>
        <v>0</v>
      </c>
      <c r="AI70" s="688">
        <f>IFERROR(VLOOKUP($A70,'[91]11月'!$A:$H,8,0),0)</f>
        <v>0</v>
      </c>
      <c r="AJ70" s="688">
        <f>IFERROR(VLOOKUP($A70,'[91]12月'!$A:$H,8,0),0)</f>
        <v>0</v>
      </c>
      <c r="AK70" s="688">
        <f t="shared" si="35"/>
        <v>0</v>
      </c>
    </row>
    <row r="71" spans="1:37" ht="13.5" customHeight="1">
      <c r="A71" s="653" t="str">
        <f>'Budget-合并'!A71</f>
        <v>6602.05.06</v>
      </c>
      <c r="B71" s="653" t="str">
        <f>'Budget-合并'!B71</f>
        <v>装修费</v>
      </c>
      <c r="C71" s="687" t="str">
        <f>'Budget-合并'!C71</f>
        <v>Depreciation_Leasehold Improvement</v>
      </c>
      <c r="D71" s="676">
        <f t="shared" si="28"/>
        <v>0</v>
      </c>
      <c r="E71" s="676" t="e">
        <f t="shared" si="29"/>
        <v>#N/A</v>
      </c>
      <c r="F71" s="676" t="e">
        <f t="shared" si="30"/>
        <v>#N/A</v>
      </c>
      <c r="G71" s="676">
        <f t="shared" ca="1" si="31"/>
        <v>0</v>
      </c>
      <c r="H71" s="676" t="e">
        <f t="shared" ca="1" si="32"/>
        <v>#N/A</v>
      </c>
      <c r="I71" s="676" t="e">
        <f t="shared" ca="1" si="33"/>
        <v>#N/A</v>
      </c>
      <c r="K71" s="676">
        <f>SUMIFS(SPACE!O$3:O$106,SPACE!$A$3:$A$106,$D$1,SPACE!$C$3:$C$106,$A71)</f>
        <v>0</v>
      </c>
      <c r="L71" s="676">
        <f>SUMIFS(SPACE!P$3:P$106,SPACE!$A$3:$A$106,$D$1,SPACE!$C$3:$C$106,$A71)</f>
        <v>0</v>
      </c>
      <c r="M71" s="676">
        <f>SUMIFS(SPACE!Q$3:Q$106,SPACE!$A$3:$A$106,$D$1,SPACE!$C$3:$C$106,$A71)</f>
        <v>0</v>
      </c>
      <c r="N71" s="676">
        <f>SUMIFS(SPACE!R$3:R$106,SPACE!$A$3:$A$106,$D$1,SPACE!$C$3:$C$106,$A71)</f>
        <v>0</v>
      </c>
      <c r="O71" s="676">
        <f>SUMIFS(SPACE!S$3:S$106,SPACE!$A$3:$A$106,$D$1,SPACE!$C$3:$C$106,$A71)</f>
        <v>0</v>
      </c>
      <c r="P71" s="676">
        <f>SUMIFS(SPACE!T$3:T$106,SPACE!$A$3:$A$106,$D$1,SPACE!$C$3:$C$106,$A71)</f>
        <v>0</v>
      </c>
      <c r="Q71" s="676">
        <f>SUMIFS(SPACE!U$3:U$106,SPACE!$A$3:$A$106,$D$1,SPACE!$C$3:$C$106,$A71)</f>
        <v>0</v>
      </c>
      <c r="R71" s="676">
        <f>SUMIFS(SPACE!V$3:V$106,SPACE!$A$3:$A$106,$D$1,SPACE!$C$3:$C$106,$A71)</f>
        <v>0</v>
      </c>
      <c r="S71" s="676">
        <f>SUMIFS(SPACE!W$3:W$106,SPACE!$A$3:$A$106,$D$1,SPACE!$C$3:$C$106,$A71)</f>
        <v>0</v>
      </c>
      <c r="T71" s="676">
        <f>SUMIFS(SPACE!X$3:X$106,SPACE!$A$3:$A$106,$D$1,SPACE!$C$3:$C$106,$A71)</f>
        <v>0</v>
      </c>
      <c r="U71" s="676">
        <f>SUMIFS(SPACE!Y$3:Y$106,SPACE!$A$3:$A$106,$D$1,SPACE!$C$3:$C$106,$A71)</f>
        <v>0</v>
      </c>
      <c r="V71" s="676">
        <f>SUMIFS(SPACE!Z$3:Z$106,SPACE!$A$3:$A$106,$D$1,SPACE!$C$3:$C$106,$A71)</f>
        <v>0</v>
      </c>
      <c r="W71" s="676">
        <f t="shared" si="36"/>
        <v>0</v>
      </c>
      <c r="Y71" s="688">
        <f>IFERROR(VLOOKUP($A71,'[91]1月'!$A:$H,8,0),0)</f>
        <v>0</v>
      </c>
      <c r="Z71" s="688">
        <f>IFERROR(VLOOKUP($A71,'[91]2月'!$A:$H,8,0),0)</f>
        <v>0</v>
      </c>
      <c r="AA71" s="688">
        <f>IFERROR(VLOOKUP($A71,'[91]3月'!$A:$H,8,0),0)</f>
        <v>0</v>
      </c>
      <c r="AB71" s="688">
        <f>IFERROR(VLOOKUP($A71,'[91]4月'!$A:$H,8,0),0)</f>
        <v>0</v>
      </c>
      <c r="AC71" s="688">
        <f>IFERROR(VLOOKUP($A71,'[91]5月'!$A:$H,8,0),0)</f>
        <v>0</v>
      </c>
      <c r="AD71" s="688">
        <f>IFERROR(VLOOKUP($A71,'[91]6月'!$A:$H,8,0),0)</f>
        <v>0</v>
      </c>
      <c r="AE71" s="688">
        <f>IFERROR(VLOOKUP($A71,'[91]7月'!$A:$H,8,0),0)</f>
        <v>0</v>
      </c>
      <c r="AF71" s="688">
        <f>IFERROR(VLOOKUP($A71,'[91]8月'!$A:$H,8,0),0)</f>
        <v>0</v>
      </c>
      <c r="AG71" s="688">
        <f>IFERROR(VLOOKUP($A71,'[91]9月'!$A:$H,8,0),0)</f>
        <v>0</v>
      </c>
      <c r="AH71" s="688">
        <f>IFERROR(VLOOKUP($A71,'[91]10月'!$A:$H,8,0),0)</f>
        <v>0</v>
      </c>
      <c r="AI71" s="688">
        <f>IFERROR(VLOOKUP($A71,'[91]11月'!$A:$H,8,0),0)</f>
        <v>0</v>
      </c>
      <c r="AJ71" s="688">
        <f>IFERROR(VLOOKUP($A71,'[91]12月'!$A:$H,8,0),0)</f>
        <v>0</v>
      </c>
      <c r="AK71" s="688">
        <f t="shared" si="35"/>
        <v>0</v>
      </c>
    </row>
    <row r="72" spans="1:37" ht="13.5" customHeight="1">
      <c r="A72" s="653" t="str">
        <f>'Budget-合并'!A72</f>
        <v>6602.05.07</v>
      </c>
      <c r="B72" s="653" t="str">
        <f>'Budget-合并'!B72</f>
        <v>租金及物业费</v>
      </c>
      <c r="C72" s="687">
        <f>'Budget-合并'!C72</f>
        <v>0</v>
      </c>
      <c r="D72" s="676">
        <f t="shared" si="28"/>
        <v>0</v>
      </c>
      <c r="E72" s="676" t="e">
        <f t="shared" si="29"/>
        <v>#N/A</v>
      </c>
      <c r="F72" s="676" t="e">
        <f t="shared" si="30"/>
        <v>#N/A</v>
      </c>
      <c r="G72" s="676">
        <f t="shared" ca="1" si="31"/>
        <v>0</v>
      </c>
      <c r="H72" s="676" t="e">
        <f t="shared" ca="1" si="32"/>
        <v>#N/A</v>
      </c>
      <c r="I72" s="676" t="e">
        <f t="shared" ca="1" si="33"/>
        <v>#N/A</v>
      </c>
      <c r="K72" s="676">
        <f>SUMIFS(SPACE!O$3:O$106,SPACE!$A$3:$A$106,$D$1,SPACE!$C$3:$C$106,$A72)</f>
        <v>0</v>
      </c>
      <c r="L72" s="676">
        <f>SUMIFS(SPACE!P$3:P$106,SPACE!$A$3:$A$106,$D$1,SPACE!$C$3:$C$106,$A72)</f>
        <v>0</v>
      </c>
      <c r="M72" s="676">
        <f>SUMIFS(SPACE!Q$3:Q$106,SPACE!$A$3:$A$106,$D$1,SPACE!$C$3:$C$106,$A72)</f>
        <v>0</v>
      </c>
      <c r="N72" s="676">
        <f>SUMIFS(SPACE!R$3:R$106,SPACE!$A$3:$A$106,$D$1,SPACE!$C$3:$C$106,$A72)</f>
        <v>0</v>
      </c>
      <c r="O72" s="676">
        <f>SUMIFS(SPACE!S$3:S$106,SPACE!$A$3:$A$106,$D$1,SPACE!$C$3:$C$106,$A72)</f>
        <v>0</v>
      </c>
      <c r="P72" s="676">
        <f>SUMIFS(SPACE!T$3:T$106,SPACE!$A$3:$A$106,$D$1,SPACE!$C$3:$C$106,$A72)</f>
        <v>0</v>
      </c>
      <c r="Q72" s="676">
        <f>SUMIFS(SPACE!U$3:U$106,SPACE!$A$3:$A$106,$D$1,SPACE!$C$3:$C$106,$A72)</f>
        <v>0</v>
      </c>
      <c r="R72" s="676">
        <f>SUMIFS(SPACE!V$3:V$106,SPACE!$A$3:$A$106,$D$1,SPACE!$C$3:$C$106,$A72)</f>
        <v>0</v>
      </c>
      <c r="S72" s="676">
        <f>SUMIFS(SPACE!W$3:W$106,SPACE!$A$3:$A$106,$D$1,SPACE!$C$3:$C$106,$A72)</f>
        <v>0</v>
      </c>
      <c r="T72" s="676">
        <f>SUMIFS(SPACE!X$3:X$106,SPACE!$A$3:$A$106,$D$1,SPACE!$C$3:$C$106,$A72)</f>
        <v>0</v>
      </c>
      <c r="U72" s="676">
        <f>SUMIFS(SPACE!Y$3:Y$106,SPACE!$A$3:$A$106,$D$1,SPACE!$C$3:$C$106,$A72)</f>
        <v>0</v>
      </c>
      <c r="V72" s="676">
        <f>SUMIFS(SPACE!Z$3:Z$106,SPACE!$A$3:$A$106,$D$1,SPACE!$C$3:$C$106,$A72)</f>
        <v>0</v>
      </c>
      <c r="W72" s="676">
        <f t="shared" si="36"/>
        <v>0</v>
      </c>
      <c r="Y72" s="688">
        <f>IFERROR(VLOOKUP($A72,'[91]1月'!$A:$H,8,0),0)</f>
        <v>0</v>
      </c>
      <c r="Z72" s="688">
        <f>IFERROR(VLOOKUP($A72,'[91]2月'!$A:$H,8,0),0)</f>
        <v>0</v>
      </c>
      <c r="AA72" s="688">
        <f>IFERROR(VLOOKUP($A72,'[91]3月'!$A:$H,8,0),0)</f>
        <v>0</v>
      </c>
      <c r="AB72" s="688">
        <f>IFERROR(VLOOKUP($A72,'[91]4月'!$A:$H,8,0),0)</f>
        <v>0</v>
      </c>
      <c r="AC72" s="688">
        <f>IFERROR(VLOOKUP($A72,'[91]5月'!$A:$H,8,0),0)</f>
        <v>0</v>
      </c>
      <c r="AD72" s="688">
        <f>IFERROR(VLOOKUP($A72,'[91]6月'!$A:$H,8,0),0)</f>
        <v>0</v>
      </c>
      <c r="AE72" s="688">
        <f>IFERROR(VLOOKUP($A72,'[91]7月'!$A:$H,8,0),0)</f>
        <v>0</v>
      </c>
      <c r="AF72" s="688">
        <f>IFERROR(VLOOKUP($A72,'[91]8月'!$A:$H,8,0),0)</f>
        <v>0</v>
      </c>
      <c r="AG72" s="688">
        <f>IFERROR(VLOOKUP($A72,'[91]9月'!$A:$H,8,0),0)</f>
        <v>0</v>
      </c>
      <c r="AH72" s="688">
        <f>IFERROR(VLOOKUP($A72,'[91]10月'!$A:$H,8,0),0)</f>
        <v>0</v>
      </c>
      <c r="AI72" s="688">
        <f>IFERROR(VLOOKUP($A72,'[91]11月'!$A:$H,8,0),0)</f>
        <v>0</v>
      </c>
      <c r="AJ72" s="688">
        <f>IFERROR(VLOOKUP($A72,'[91]12月'!$A:$H,8,0),0)</f>
        <v>0</v>
      </c>
      <c r="AK72" s="688">
        <f t="shared" si="35"/>
        <v>0</v>
      </c>
    </row>
    <row r="73" spans="1:37" ht="11.1" customHeight="1">
      <c r="A73" s="653" t="str">
        <f>'Budget-合并'!A73</f>
        <v>6602.05.08</v>
      </c>
      <c r="B73" s="653" t="str">
        <f>'Budget-合并'!B73</f>
        <v>集团内分摊</v>
      </c>
      <c r="C73" s="687" t="str">
        <f>'Budget-合并'!C73</f>
        <v>Space Rel X Charge</v>
      </c>
      <c r="D73" s="676">
        <f t="shared" si="28"/>
        <v>0</v>
      </c>
      <c r="E73" s="676" t="e">
        <f t="shared" si="29"/>
        <v>#N/A</v>
      </c>
      <c r="F73" s="676" t="e">
        <f t="shared" si="30"/>
        <v>#N/A</v>
      </c>
      <c r="G73" s="676">
        <f t="shared" ca="1" si="31"/>
        <v>0</v>
      </c>
      <c r="H73" s="676" t="e">
        <f t="shared" ca="1" si="32"/>
        <v>#N/A</v>
      </c>
      <c r="I73" s="676" t="e">
        <f t="shared" ca="1" si="33"/>
        <v>#N/A</v>
      </c>
      <c r="K73" s="676">
        <f>SUMIFS(SPACE!O$3:O$106,SPACE!$A$3:$A$106,$D$1,SPACE!$C$3:$C$106,$A73)</f>
        <v>0</v>
      </c>
      <c r="L73" s="676">
        <f>SUMIFS(SPACE!P$3:P$106,SPACE!$A$3:$A$106,$D$1,SPACE!$C$3:$C$106,$A73)</f>
        <v>0</v>
      </c>
      <c r="M73" s="676">
        <f>SUMIFS(SPACE!Q$3:Q$106,SPACE!$A$3:$A$106,$D$1,SPACE!$C$3:$C$106,$A73)</f>
        <v>0</v>
      </c>
      <c r="N73" s="676">
        <f>SUMIFS(SPACE!R$3:R$106,SPACE!$A$3:$A$106,$D$1,SPACE!$C$3:$C$106,$A73)</f>
        <v>0</v>
      </c>
      <c r="O73" s="676">
        <f>SUMIFS(SPACE!S$3:S$106,SPACE!$A$3:$A$106,$D$1,SPACE!$C$3:$C$106,$A73)</f>
        <v>0</v>
      </c>
      <c r="P73" s="676">
        <f>SUMIFS(SPACE!T$3:T$106,SPACE!$A$3:$A$106,$D$1,SPACE!$C$3:$C$106,$A73)</f>
        <v>0</v>
      </c>
      <c r="Q73" s="676">
        <f>SUMIFS(SPACE!U$3:U$106,SPACE!$A$3:$A$106,$D$1,SPACE!$C$3:$C$106,$A73)</f>
        <v>0</v>
      </c>
      <c r="R73" s="676">
        <f>SUMIFS(SPACE!V$3:V$106,SPACE!$A$3:$A$106,$D$1,SPACE!$C$3:$C$106,$A73)</f>
        <v>0</v>
      </c>
      <c r="S73" s="676">
        <f>SUMIFS(SPACE!W$3:W$106,SPACE!$A$3:$A$106,$D$1,SPACE!$C$3:$C$106,$A73)</f>
        <v>0</v>
      </c>
      <c r="T73" s="676">
        <f>SUMIFS(SPACE!X$3:X$106,SPACE!$A$3:$A$106,$D$1,SPACE!$C$3:$C$106,$A73)</f>
        <v>0</v>
      </c>
      <c r="U73" s="676">
        <f>SUMIFS(SPACE!Y$3:Y$106,SPACE!$A$3:$A$106,$D$1,SPACE!$C$3:$C$106,$A73)</f>
        <v>0</v>
      </c>
      <c r="V73" s="676">
        <f>SUMIFS(SPACE!Z$3:Z$106,SPACE!$A$3:$A$106,$D$1,SPACE!$C$3:$C$106,$A73)</f>
        <v>0</v>
      </c>
      <c r="W73" s="676">
        <f t="shared" si="36"/>
        <v>0</v>
      </c>
      <c r="Y73" s="688">
        <f>IFERROR(VLOOKUP($A73,'[91]1月'!$A:$H,8,0),0)</f>
        <v>61050</v>
      </c>
      <c r="Z73" s="688">
        <f>IFERROR(VLOOKUP($A73,'[91]2月'!$A:$H,8,0),0)</f>
        <v>61050</v>
      </c>
      <c r="AA73" s="688">
        <f>IFERROR(VLOOKUP($A73,'[91]3月'!$A:$H,8,0),0)</f>
        <v>61050</v>
      </c>
      <c r="AB73" s="688">
        <f>IFERROR(VLOOKUP($A73,'[91]4月'!$A:$H,8,0),0)</f>
        <v>55650</v>
      </c>
      <c r="AC73" s="688">
        <f>IFERROR(VLOOKUP($A73,'[91]5月'!$A:$H,8,0),0)</f>
        <v>55650</v>
      </c>
      <c r="AD73" s="688">
        <f>IFERROR(VLOOKUP($A73,'[91]6月'!$A:$H,8,0),0)</f>
        <v>55650</v>
      </c>
      <c r="AE73" s="688">
        <f>IFERROR(VLOOKUP($A73,'[91]7月'!$A:$H,8,0),0)</f>
        <v>55650</v>
      </c>
      <c r="AF73" s="688">
        <f>IFERROR(VLOOKUP($A73,'[91]8月'!$A:$H,8,0),0)</f>
        <v>55650</v>
      </c>
      <c r="AG73" s="688">
        <f>IFERROR(VLOOKUP($A73,'[91]9月'!$A:$H,8,0),0)</f>
        <v>55650</v>
      </c>
      <c r="AH73" s="688">
        <f>IFERROR(VLOOKUP($A73,'[91]10月'!$A:$H,8,0),0)</f>
        <v>55650</v>
      </c>
      <c r="AI73" s="688">
        <f>IFERROR(VLOOKUP($A73,'[91]11月'!$A:$H,8,0),0)</f>
        <v>55650</v>
      </c>
      <c r="AJ73" s="688">
        <f>IFERROR(VLOOKUP($A73,'[91]12月'!$A:$H,8,0),0)</f>
        <v>55650</v>
      </c>
      <c r="AK73" s="688">
        <f t="shared" si="35"/>
        <v>684000</v>
      </c>
    </row>
    <row r="74" spans="1:37" ht="11.1" customHeight="1">
      <c r="A74" s="653" t="str">
        <f>'Budget-合并'!A74</f>
        <v>6602.05.99</v>
      </c>
      <c r="B74" s="653" t="str">
        <f>'Budget-合并'!B74</f>
        <v>其他</v>
      </c>
      <c r="C74" s="687">
        <f>'Budget-合并'!C74</f>
        <v>0</v>
      </c>
      <c r="D74" s="676">
        <f t="shared" si="28"/>
        <v>0</v>
      </c>
      <c r="E74" s="676" t="e">
        <f t="shared" si="29"/>
        <v>#N/A</v>
      </c>
      <c r="F74" s="676" t="e">
        <f t="shared" si="30"/>
        <v>#N/A</v>
      </c>
      <c r="G74" s="676">
        <f t="shared" ca="1" si="31"/>
        <v>0</v>
      </c>
      <c r="H74" s="676" t="e">
        <f t="shared" ca="1" si="32"/>
        <v>#N/A</v>
      </c>
      <c r="I74" s="676" t="e">
        <f t="shared" ca="1" si="33"/>
        <v>#N/A</v>
      </c>
      <c r="K74" s="676">
        <f>SUMIFS(SPACE!O$3:O$106,SPACE!$A$3:$A$106,$D$1,SPACE!$C$3:$C$106,$A74)</f>
        <v>0</v>
      </c>
      <c r="L74" s="676">
        <f>SUMIFS(SPACE!P$3:P$106,SPACE!$A$3:$A$106,$D$1,SPACE!$C$3:$C$106,$A74)</f>
        <v>0</v>
      </c>
      <c r="M74" s="676">
        <f>SUMIFS(SPACE!Q$3:Q$106,SPACE!$A$3:$A$106,$D$1,SPACE!$C$3:$C$106,$A74)</f>
        <v>0</v>
      </c>
      <c r="N74" s="676">
        <f>SUMIFS(SPACE!R$3:R$106,SPACE!$A$3:$A$106,$D$1,SPACE!$C$3:$C$106,$A74)</f>
        <v>0</v>
      </c>
      <c r="O74" s="676">
        <f>SUMIFS(SPACE!S$3:S$106,SPACE!$A$3:$A$106,$D$1,SPACE!$C$3:$C$106,$A74)</f>
        <v>0</v>
      </c>
      <c r="P74" s="676">
        <f>SUMIFS(SPACE!T$3:T$106,SPACE!$A$3:$A$106,$D$1,SPACE!$C$3:$C$106,$A74)</f>
        <v>0</v>
      </c>
      <c r="Q74" s="676">
        <f>SUMIFS(SPACE!U$3:U$106,SPACE!$A$3:$A$106,$D$1,SPACE!$C$3:$C$106,$A74)</f>
        <v>0</v>
      </c>
      <c r="R74" s="676">
        <f>SUMIFS(SPACE!V$3:V$106,SPACE!$A$3:$A$106,$D$1,SPACE!$C$3:$C$106,$A74)</f>
        <v>0</v>
      </c>
      <c r="S74" s="676">
        <f>SUMIFS(SPACE!W$3:W$106,SPACE!$A$3:$A$106,$D$1,SPACE!$C$3:$C$106,$A74)</f>
        <v>0</v>
      </c>
      <c r="T74" s="676">
        <f>SUMIFS(SPACE!X$3:X$106,SPACE!$A$3:$A$106,$D$1,SPACE!$C$3:$C$106,$A74)</f>
        <v>0</v>
      </c>
      <c r="U74" s="676">
        <f>SUMIFS(SPACE!Y$3:Y$106,SPACE!$A$3:$A$106,$D$1,SPACE!$C$3:$C$106,$A74)</f>
        <v>0</v>
      </c>
      <c r="V74" s="676">
        <f>SUMIFS(SPACE!Z$3:Z$106,SPACE!$A$3:$A$106,$D$1,SPACE!$C$3:$C$106,$A74)</f>
        <v>0</v>
      </c>
      <c r="W74" s="676">
        <f t="shared" si="36"/>
        <v>0</v>
      </c>
      <c r="Y74" s="688">
        <f>IFERROR(VLOOKUP($A74,'[91]1月'!$A:$H,8,0),0)</f>
        <v>0</v>
      </c>
      <c r="Z74" s="688">
        <f>IFERROR(VLOOKUP($A74,'[91]2月'!$A:$H,8,0),0)</f>
        <v>0</v>
      </c>
      <c r="AA74" s="688">
        <f>IFERROR(VLOOKUP($A74,'[91]3月'!$A:$H,8,0),0)</f>
        <v>0</v>
      </c>
      <c r="AB74" s="688">
        <f>IFERROR(VLOOKUP($A74,'[91]4月'!$A:$H,8,0),0)</f>
        <v>0</v>
      </c>
      <c r="AC74" s="688">
        <f>IFERROR(VLOOKUP($A74,'[91]5月'!$A:$H,8,0),0)</f>
        <v>0</v>
      </c>
      <c r="AD74" s="688">
        <f>IFERROR(VLOOKUP($A74,'[91]6月'!$A:$H,8,0),0)</f>
        <v>0</v>
      </c>
      <c r="AE74" s="688">
        <f>IFERROR(VLOOKUP($A74,'[91]7月'!$A:$H,8,0),0)</f>
        <v>0</v>
      </c>
      <c r="AF74" s="688">
        <f>IFERROR(VLOOKUP($A74,'[91]8月'!$A:$H,8,0),0)</f>
        <v>0</v>
      </c>
      <c r="AG74" s="688">
        <f>IFERROR(VLOOKUP($A74,'[91]9月'!$A:$H,8,0),0)</f>
        <v>0</v>
      </c>
      <c r="AH74" s="688">
        <f>IFERROR(VLOOKUP($A74,'[91]10月'!$A:$H,8,0),0)</f>
        <v>0</v>
      </c>
      <c r="AI74" s="688">
        <f>IFERROR(VLOOKUP($A74,'[91]11月'!$A:$H,8,0),0)</f>
        <v>0</v>
      </c>
      <c r="AJ74" s="688">
        <f>IFERROR(VLOOKUP($A74,'[91]12月'!$A:$H,8,0),0)</f>
        <v>0</v>
      </c>
      <c r="AK74" s="688">
        <f t="shared" si="35"/>
        <v>0</v>
      </c>
    </row>
    <row r="75" spans="1:37" ht="11.1" customHeight="1">
      <c r="A75" s="663" t="str">
        <f>'Budget-合并'!A75</f>
        <v>6602.06</v>
      </c>
      <c r="B75" s="663" t="str">
        <f>'Budget-合并'!B75</f>
        <v>业务招待费</v>
      </c>
      <c r="C75" s="687" t="str">
        <f>'Budget-合并'!C75</f>
        <v>Client Entertainment</v>
      </c>
      <c r="D75" s="676">
        <f t="shared" si="28"/>
        <v>2224.9749999999999</v>
      </c>
      <c r="E75" s="676" t="e">
        <f t="shared" si="29"/>
        <v>#N/A</v>
      </c>
      <c r="F75" s="676" t="e">
        <f t="shared" si="30"/>
        <v>#N/A</v>
      </c>
      <c r="G75" s="676">
        <f t="shared" ca="1" si="31"/>
        <v>2224.9749999999999</v>
      </c>
      <c r="H75" s="676" t="e">
        <f t="shared" ca="1" si="32"/>
        <v>#N/A</v>
      </c>
      <c r="I75" s="676" t="e">
        <f t="shared" ca="1" si="33"/>
        <v>#N/A</v>
      </c>
      <c r="K75" s="676">
        <f>SUM(K76:K78)</f>
        <v>2224.9749999999999</v>
      </c>
      <c r="L75" s="676">
        <f t="shared" ref="L75:V75" si="40">SUM(L76:L78)</f>
        <v>2205.5</v>
      </c>
      <c r="M75" s="676">
        <f t="shared" si="40"/>
        <v>2205.5</v>
      </c>
      <c r="N75" s="676">
        <f t="shared" si="40"/>
        <v>2205.5</v>
      </c>
      <c r="O75" s="676">
        <f t="shared" si="40"/>
        <v>2205.5</v>
      </c>
      <c r="P75" s="676">
        <f t="shared" si="40"/>
        <v>2205.5</v>
      </c>
      <c r="Q75" s="676">
        <f t="shared" si="40"/>
        <v>2205.5</v>
      </c>
      <c r="R75" s="676">
        <f t="shared" si="40"/>
        <v>2205.5</v>
      </c>
      <c r="S75" s="676">
        <f t="shared" si="40"/>
        <v>2205.5</v>
      </c>
      <c r="T75" s="676">
        <f t="shared" si="40"/>
        <v>2205.5</v>
      </c>
      <c r="U75" s="676">
        <f t="shared" si="40"/>
        <v>2205.5</v>
      </c>
      <c r="V75" s="676">
        <f t="shared" si="40"/>
        <v>2205.5</v>
      </c>
      <c r="W75" s="676">
        <f t="shared" si="36"/>
        <v>26485.474999999999</v>
      </c>
      <c r="Y75" s="688">
        <f>IFERROR(VLOOKUP($A75,'[91]1月'!$A:$H,8,0),0)</f>
        <v>0</v>
      </c>
      <c r="Z75" s="688">
        <f>IFERROR(VLOOKUP($A75,'[91]2月'!$A:$H,8,0),0)</f>
        <v>-481.03</v>
      </c>
      <c r="AA75" s="688">
        <f>IFERROR(VLOOKUP($A75,'[91]3月'!$A:$H,8,0),0)</f>
        <v>2408.5700000000002</v>
      </c>
      <c r="AB75" s="688">
        <f>IFERROR(VLOOKUP($A75,'[91]4月'!$A:$H,8,0),0)</f>
        <v>0</v>
      </c>
      <c r="AC75" s="688">
        <f>IFERROR(VLOOKUP($A75,'[91]5月'!$A:$H,8,0),0)</f>
        <v>0</v>
      </c>
      <c r="AD75" s="688">
        <f>IFERROR(VLOOKUP($A75,'[91]6月'!$A:$H,8,0),0)</f>
        <v>-973.5</v>
      </c>
      <c r="AE75" s="688">
        <f>IFERROR(VLOOKUP($A75,'[91]7月'!$A:$H,8,0),0)</f>
        <v>0</v>
      </c>
      <c r="AF75" s="688">
        <f>IFERROR(VLOOKUP($A75,'[91]8月'!$A:$H,8,0),0)</f>
        <v>0</v>
      </c>
      <c r="AG75" s="688">
        <f>IFERROR(VLOOKUP($A75,'[91]9月'!$A:$H,8,0),0)</f>
        <v>1878.85</v>
      </c>
      <c r="AH75" s="688">
        <f>IFERROR(VLOOKUP($A75,'[91]10月'!$A:$H,8,0),0)</f>
        <v>3490.9</v>
      </c>
      <c r="AI75" s="688">
        <f>IFERROR(VLOOKUP($A75,'[91]11月'!$A:$H,8,0),0)</f>
        <v>0</v>
      </c>
      <c r="AJ75" s="688">
        <f>IFERROR(VLOOKUP($A75,'[91]12月'!$A:$H,8,0),0)</f>
        <v>0</v>
      </c>
      <c r="AK75" s="688">
        <f t="shared" si="35"/>
        <v>6323.7900000000009</v>
      </c>
    </row>
    <row r="76" spans="1:37" ht="11.1" customHeight="1">
      <c r="A76" s="711"/>
      <c r="B76" s="653" t="str">
        <f>'Budget-合并'!B76</f>
        <v xml:space="preserve">    公司主体02</v>
      </c>
      <c r="C76" s="687" t="str">
        <f>'Budget-合并'!C76</f>
        <v xml:space="preserve">   Entity</v>
      </c>
      <c r="D76" s="676">
        <f t="shared" si="28"/>
        <v>0</v>
      </c>
      <c r="E76" s="676" t="e">
        <f t="shared" si="29"/>
        <v>#N/A</v>
      </c>
      <c r="F76" s="676" t="e">
        <f t="shared" si="30"/>
        <v>#N/A</v>
      </c>
      <c r="G76" s="676">
        <f t="shared" ca="1" si="31"/>
        <v>0</v>
      </c>
      <c r="H76" s="676" t="e">
        <f t="shared" ca="1" si="32"/>
        <v>#N/A</v>
      </c>
      <c r="I76" s="676" t="e">
        <f t="shared" ca="1" si="33"/>
        <v>#N/A</v>
      </c>
      <c r="K76" s="676">
        <f>'T&amp;E'!$J$54/12*HLOOKUP(K$6,'FX Lookup'!$A$2:$Y$6,3)*$A76</f>
        <v>0</v>
      </c>
      <c r="L76" s="676">
        <f>'T&amp;E'!$J$54/12*HLOOKUP(L$6,'FX Lookup'!$A$2:$Y$6,3)*$A76</f>
        <v>0</v>
      </c>
      <c r="M76" s="676">
        <f>'T&amp;E'!$J$54/12*HLOOKUP(M$6,'FX Lookup'!$A$2:$Y$6,3)*$A76</f>
        <v>0</v>
      </c>
      <c r="N76" s="676">
        <f>'T&amp;E'!$J$54/12*HLOOKUP(N$6,'FX Lookup'!$A$2:$Y$6,3)*$A76</f>
        <v>0</v>
      </c>
      <c r="O76" s="676">
        <f>'T&amp;E'!$J$54/12*HLOOKUP(O$6,'FX Lookup'!$A$2:$Y$6,3)*$A76</f>
        <v>0</v>
      </c>
      <c r="P76" s="676">
        <f>'T&amp;E'!$J$54/12*HLOOKUP(P$6,'FX Lookup'!$A$2:$Y$6,3)*$A76</f>
        <v>0</v>
      </c>
      <c r="Q76" s="676">
        <f>'T&amp;E'!$J$54/12*HLOOKUP(Q$6,'FX Lookup'!$A$2:$Y$6,3)*$A76</f>
        <v>0</v>
      </c>
      <c r="R76" s="676">
        <f>'T&amp;E'!$J$54/12*HLOOKUP(R$6,'FX Lookup'!$A$2:$Y$6,3)*$A76</f>
        <v>0</v>
      </c>
      <c r="S76" s="676">
        <f>'T&amp;E'!$J$54/12*HLOOKUP(S$6,'FX Lookup'!$A$2:$Y$6,3)*$A76</f>
        <v>0</v>
      </c>
      <c r="T76" s="676">
        <f>'T&amp;E'!$J$54/12*HLOOKUP(T$6,'FX Lookup'!$A$2:$Y$6,3)*$A76</f>
        <v>0</v>
      </c>
      <c r="U76" s="676">
        <f>'T&amp;E'!$J$54/12*HLOOKUP(U$6,'FX Lookup'!$A$2:$Y$6,3)*$A76</f>
        <v>0</v>
      </c>
      <c r="V76" s="676">
        <f>'T&amp;E'!$J$54/12*HLOOKUP(V$6,'FX Lookup'!$A$2:$Y$6,3)*$A76</f>
        <v>0</v>
      </c>
      <c r="W76" s="676">
        <f t="shared" si="36"/>
        <v>0</v>
      </c>
      <c r="Y76" s="688">
        <f>IFERROR(VLOOKUP($A76,'[91]1月'!$A:$H,8,0),0)</f>
        <v>0</v>
      </c>
      <c r="Z76" s="688">
        <f>IFERROR(VLOOKUP($A76,'[91]2月'!$A:$H,8,0),0)</f>
        <v>0</v>
      </c>
      <c r="AA76" s="688">
        <f>IFERROR(VLOOKUP($A76,'[91]3月'!$A:$H,8,0),0)</f>
        <v>0</v>
      </c>
      <c r="AB76" s="688">
        <f>IFERROR(VLOOKUP($A76,'[91]4月'!$A:$H,8,0),0)</f>
        <v>0</v>
      </c>
      <c r="AC76" s="688">
        <f>IFERROR(VLOOKUP($A76,'[91]5月'!$A:$H,8,0),0)</f>
        <v>0</v>
      </c>
      <c r="AD76" s="688">
        <f>IFERROR(VLOOKUP($A76,'[91]6月'!$A:$H,8,0),0)</f>
        <v>0</v>
      </c>
      <c r="AE76" s="688">
        <f>IFERROR(VLOOKUP($A76,'[91]7月'!$A:$H,8,0),0)</f>
        <v>0</v>
      </c>
      <c r="AF76" s="688">
        <f>IFERROR(VLOOKUP($A76,'[91]8月'!$A:$H,8,0),0)</f>
        <v>0</v>
      </c>
      <c r="AG76" s="688">
        <f>IFERROR(VLOOKUP($A76,'[91]9月'!$A:$H,8,0),0)</f>
        <v>0</v>
      </c>
      <c r="AH76" s="688">
        <f>IFERROR(VLOOKUP($A76,'[91]10月'!$A:$H,8,0),0)</f>
        <v>0</v>
      </c>
      <c r="AI76" s="688">
        <f>IFERROR(VLOOKUP($A76,'[91]11月'!$A:$H,8,0),0)</f>
        <v>0</v>
      </c>
      <c r="AJ76" s="688">
        <f>IFERROR(VLOOKUP($A76,'[91]12月'!$A:$H,8,0),0)</f>
        <v>0</v>
      </c>
      <c r="AK76" s="688">
        <f t="shared" si="35"/>
        <v>0</v>
      </c>
    </row>
    <row r="77" spans="1:37" ht="11.1" customHeight="1">
      <c r="A77" s="711">
        <v>1</v>
      </c>
      <c r="B77" s="653" t="str">
        <f>'Budget-合并'!B77</f>
        <v xml:space="preserve">    旭智富能02</v>
      </c>
      <c r="C77" s="687" t="str">
        <f>'Budget-合并'!C77</f>
        <v xml:space="preserve">   Foxpower</v>
      </c>
      <c r="D77" s="676">
        <f t="shared" si="28"/>
        <v>2224.9749999999999</v>
      </c>
      <c r="E77" s="676" t="e">
        <f t="shared" si="29"/>
        <v>#N/A</v>
      </c>
      <c r="F77" s="676" t="e">
        <f t="shared" si="30"/>
        <v>#N/A</v>
      </c>
      <c r="G77" s="676">
        <f t="shared" ca="1" si="31"/>
        <v>2224.9749999999999</v>
      </c>
      <c r="H77" s="676" t="e">
        <f t="shared" ca="1" si="32"/>
        <v>#N/A</v>
      </c>
      <c r="I77" s="676" t="e">
        <f t="shared" ca="1" si="33"/>
        <v>#N/A</v>
      </c>
      <c r="K77" s="676">
        <f>SUMIFS('T&amp;E'!N$49:N$58,'T&amp;E'!$B$49:$B$58,$D$1,'T&amp;E'!$C$49:$C$58,$A$75)*$A77</f>
        <v>2224.9749999999999</v>
      </c>
      <c r="L77" s="676">
        <f>SUMIFS('T&amp;E'!O$49:O$58,'T&amp;E'!$B$49:$B$58,$D$1,'T&amp;E'!$C$49:$C$58,$A$75)*$A77</f>
        <v>2205.5</v>
      </c>
      <c r="M77" s="676">
        <f>SUMIFS('T&amp;E'!P$49:P$58,'T&amp;E'!$B$49:$B$58,$D$1,'T&amp;E'!$C$49:$C$58,$A$75)*$A77</f>
        <v>2205.5</v>
      </c>
      <c r="N77" s="676">
        <f>SUMIFS('T&amp;E'!Q$49:Q$58,'T&amp;E'!$B$49:$B$58,$D$1,'T&amp;E'!$C$49:$C$58,$A$75)*$A77</f>
        <v>2205.5</v>
      </c>
      <c r="O77" s="676">
        <f>SUMIFS('T&amp;E'!R$49:R$58,'T&amp;E'!$B$49:$B$58,$D$1,'T&amp;E'!$C$49:$C$58,$A$75)*$A77</f>
        <v>2205.5</v>
      </c>
      <c r="P77" s="676">
        <f>SUMIFS('T&amp;E'!S$49:S$58,'T&amp;E'!$B$49:$B$58,$D$1,'T&amp;E'!$C$49:$C$58,$A$75)*$A77</f>
        <v>2205.5</v>
      </c>
      <c r="Q77" s="676">
        <f>SUMIFS('T&amp;E'!T$49:T$58,'T&amp;E'!$B$49:$B$58,$D$1,'T&amp;E'!$C$49:$C$58,$A$75)*$A77</f>
        <v>2205.5</v>
      </c>
      <c r="R77" s="676">
        <f>SUMIFS('T&amp;E'!U$49:U$58,'T&amp;E'!$B$49:$B$58,$D$1,'T&amp;E'!$C$49:$C$58,$A$75)*$A77</f>
        <v>2205.5</v>
      </c>
      <c r="S77" s="676">
        <f>SUMIFS('T&amp;E'!V$49:V$58,'T&amp;E'!$B$49:$B$58,$D$1,'T&amp;E'!$C$49:$C$58,$A$75)*$A77</f>
        <v>2205.5</v>
      </c>
      <c r="T77" s="676">
        <f>SUMIFS('T&amp;E'!W$49:W$58,'T&amp;E'!$B$49:$B$58,$D$1,'T&amp;E'!$C$49:$C$58,$A$75)*$A77</f>
        <v>2205.5</v>
      </c>
      <c r="U77" s="676">
        <f>SUMIFS('T&amp;E'!X$49:X$58,'T&amp;E'!$B$49:$B$58,$D$1,'T&amp;E'!$C$49:$C$58,$A$75)*$A77</f>
        <v>2205.5</v>
      </c>
      <c r="V77" s="676">
        <f>SUMIFS('T&amp;E'!Y$49:Y$58,'T&amp;E'!$B$49:$B$58,$D$1,'T&amp;E'!$C$49:$C$58,$A$75)*$A77</f>
        <v>2205.5</v>
      </c>
      <c r="W77" s="676">
        <f t="shared" ref="W77:W108" si="41">SUM(K77:V77)</f>
        <v>26485.474999999999</v>
      </c>
      <c r="Y77" s="688">
        <f>IFERROR(VLOOKUP($A77,'[91]1月'!$A:$H,8,0),0)</f>
        <v>0</v>
      </c>
      <c r="Z77" s="688">
        <f>IFERROR(VLOOKUP($A77,'[91]2月'!$A:$H,8,0),0)</f>
        <v>0</v>
      </c>
      <c r="AA77" s="688">
        <f>IFERROR(VLOOKUP($A77,'[91]3月'!$A:$H,8,0),0)</f>
        <v>0</v>
      </c>
      <c r="AB77" s="688">
        <f>IFERROR(VLOOKUP($A77,'[91]4月'!$A:$H,8,0),0)</f>
        <v>0</v>
      </c>
      <c r="AC77" s="688">
        <f>IFERROR(VLOOKUP($A77,'[91]5月'!$A:$H,8,0),0)</f>
        <v>0</v>
      </c>
      <c r="AD77" s="688">
        <f>IFERROR(VLOOKUP($A77,'[91]6月'!$A:$H,8,0),0)</f>
        <v>0</v>
      </c>
      <c r="AE77" s="688">
        <f>IFERROR(VLOOKUP($A77,'[91]7月'!$A:$H,8,0),0)</f>
        <v>0</v>
      </c>
      <c r="AF77" s="688">
        <f>IFERROR(VLOOKUP($A77,'[91]8月'!$A:$H,8,0),0)</f>
        <v>0</v>
      </c>
      <c r="AG77" s="688">
        <f>IFERROR(VLOOKUP($A77,'[91]9月'!$A:$H,8,0),0)</f>
        <v>0</v>
      </c>
      <c r="AH77" s="688">
        <f>IFERROR(VLOOKUP($A77,'[91]10月'!$A:$H,8,0),0)</f>
        <v>0</v>
      </c>
      <c r="AI77" s="688">
        <f>IFERROR(VLOOKUP($A77,'[91]11月'!$A:$H,8,0),0)</f>
        <v>0</v>
      </c>
      <c r="AJ77" s="688">
        <f>IFERROR(VLOOKUP($A77,'[91]12月'!$A:$H,8,0),0)</f>
        <v>0</v>
      </c>
      <c r="AK77" s="688">
        <f t="shared" si="35"/>
        <v>0</v>
      </c>
    </row>
    <row r="78" spans="1:37" ht="11.1" customHeight="1">
      <c r="A78" s="653">
        <f>'Budget-合并'!A78</f>
        <v>0</v>
      </c>
      <c r="B78" s="653" t="str">
        <f>'Budget-合并'!B78</f>
        <v xml:space="preserve">    其他项目02</v>
      </c>
      <c r="C78" s="687" t="str">
        <f>'Budget-合并'!C78</f>
        <v xml:space="preserve">   Other project</v>
      </c>
      <c r="D78" s="676">
        <f t="shared" si="28"/>
        <v>0</v>
      </c>
      <c r="E78" s="676" t="e">
        <f t="shared" si="29"/>
        <v>#N/A</v>
      </c>
      <c r="F78" s="676" t="e">
        <f t="shared" si="30"/>
        <v>#N/A</v>
      </c>
      <c r="G78" s="676">
        <f t="shared" ca="1" si="31"/>
        <v>0</v>
      </c>
      <c r="H78" s="676" t="e">
        <f t="shared" ca="1" si="32"/>
        <v>#N/A</v>
      </c>
      <c r="I78" s="676" t="e">
        <f t="shared" ca="1" si="33"/>
        <v>#N/A</v>
      </c>
      <c r="K78" s="676"/>
      <c r="L78" s="676"/>
      <c r="M78" s="676"/>
      <c r="N78" s="676"/>
      <c r="O78" s="676"/>
      <c r="P78" s="676"/>
      <c r="Q78" s="676"/>
      <c r="R78" s="676"/>
      <c r="S78" s="676"/>
      <c r="T78" s="676"/>
      <c r="U78" s="676"/>
      <c r="V78" s="676"/>
      <c r="W78" s="676">
        <f t="shared" si="41"/>
        <v>0</v>
      </c>
      <c r="Y78" s="688">
        <f>IFERROR(VLOOKUP($A78,'[91]1月'!$A:$H,8,0),0)</f>
        <v>0</v>
      </c>
      <c r="Z78" s="688">
        <f>IFERROR(VLOOKUP($A78,'[91]2月'!$A:$H,8,0),0)</f>
        <v>0</v>
      </c>
      <c r="AA78" s="688">
        <f>IFERROR(VLOOKUP($A78,'[91]3月'!$A:$H,8,0),0)</f>
        <v>0</v>
      </c>
      <c r="AB78" s="688">
        <f>IFERROR(VLOOKUP($A78,'[91]4月'!$A:$H,8,0),0)</f>
        <v>0</v>
      </c>
      <c r="AC78" s="688">
        <f>IFERROR(VLOOKUP($A78,'[91]5月'!$A:$H,8,0),0)</f>
        <v>0</v>
      </c>
      <c r="AD78" s="688">
        <f>IFERROR(VLOOKUP($A78,'[91]6月'!$A:$H,8,0),0)</f>
        <v>0</v>
      </c>
      <c r="AE78" s="688">
        <f>IFERROR(VLOOKUP($A78,'[91]7月'!$A:$H,8,0),0)</f>
        <v>0</v>
      </c>
      <c r="AF78" s="688">
        <f>IFERROR(VLOOKUP($A78,'[91]8月'!$A:$H,8,0),0)</f>
        <v>0</v>
      </c>
      <c r="AG78" s="688">
        <f>IFERROR(VLOOKUP($A78,'[91]9月'!$A:$H,8,0),0)</f>
        <v>0</v>
      </c>
      <c r="AH78" s="688">
        <f>IFERROR(VLOOKUP($A78,'[91]10月'!$A:$H,8,0),0)</f>
        <v>0</v>
      </c>
      <c r="AI78" s="688">
        <f>IFERROR(VLOOKUP($A78,'[91]11月'!$A:$H,8,0),0)</f>
        <v>0</v>
      </c>
      <c r="AJ78" s="688">
        <f>IFERROR(VLOOKUP($A78,'[91]12月'!$A:$H,8,0),0)</f>
        <v>0</v>
      </c>
      <c r="AK78" s="688">
        <f t="shared" si="35"/>
        <v>0</v>
      </c>
    </row>
    <row r="79" spans="1:37" ht="11.1" customHeight="1">
      <c r="A79" s="653" t="str">
        <f>'Budget-合并'!A79</f>
        <v>6602.07</v>
      </c>
      <c r="B79" s="653" t="str">
        <f>'Budget-合并'!B79</f>
        <v>广告费和业务宣传费</v>
      </c>
      <c r="C79" s="687">
        <f>'Budget-合并'!C79</f>
        <v>0</v>
      </c>
      <c r="D79" s="676">
        <f t="shared" si="28"/>
        <v>0</v>
      </c>
      <c r="E79" s="676" t="e">
        <f t="shared" si="29"/>
        <v>#N/A</v>
      </c>
      <c r="F79" s="676" t="e">
        <f t="shared" si="30"/>
        <v>#N/A</v>
      </c>
      <c r="G79" s="676">
        <f t="shared" ca="1" si="31"/>
        <v>0</v>
      </c>
      <c r="H79" s="676" t="e">
        <f t="shared" ca="1" si="32"/>
        <v>#N/A</v>
      </c>
      <c r="I79" s="676" t="e">
        <f t="shared" ca="1" si="33"/>
        <v>#N/A</v>
      </c>
      <c r="K79" s="676"/>
      <c r="L79" s="676"/>
      <c r="M79" s="676"/>
      <c r="N79" s="676"/>
      <c r="O79" s="676"/>
      <c r="P79" s="676"/>
      <c r="Q79" s="676"/>
      <c r="R79" s="676"/>
      <c r="S79" s="676"/>
      <c r="T79" s="676"/>
      <c r="U79" s="676"/>
      <c r="V79" s="676"/>
      <c r="W79" s="676">
        <f t="shared" si="41"/>
        <v>0</v>
      </c>
      <c r="Y79" s="688">
        <f>IFERROR(VLOOKUP($A79,'[91]1月'!$A:$H,8,0),0)</f>
        <v>0</v>
      </c>
      <c r="Z79" s="688">
        <f>IFERROR(VLOOKUP($A79,'[91]2月'!$A:$H,8,0),0)</f>
        <v>0</v>
      </c>
      <c r="AA79" s="688">
        <f>IFERROR(VLOOKUP($A79,'[91]3月'!$A:$H,8,0),0)</f>
        <v>0</v>
      </c>
      <c r="AB79" s="688">
        <f>IFERROR(VLOOKUP($A79,'[91]4月'!$A:$H,8,0),0)</f>
        <v>0</v>
      </c>
      <c r="AC79" s="688">
        <f>IFERROR(VLOOKUP($A79,'[91]5月'!$A:$H,8,0),0)</f>
        <v>0</v>
      </c>
      <c r="AD79" s="688">
        <f>IFERROR(VLOOKUP($A79,'[91]6月'!$A:$H,8,0),0)</f>
        <v>0</v>
      </c>
      <c r="AE79" s="688">
        <f>IFERROR(VLOOKUP($A79,'[91]7月'!$A:$H,8,0),0)</f>
        <v>0</v>
      </c>
      <c r="AF79" s="688">
        <f>IFERROR(VLOOKUP($A79,'[91]8月'!$A:$H,8,0),0)</f>
        <v>0</v>
      </c>
      <c r="AG79" s="688">
        <f>IFERROR(VLOOKUP($A79,'[91]9月'!$A:$H,8,0),0)</f>
        <v>0</v>
      </c>
      <c r="AH79" s="688">
        <f>IFERROR(VLOOKUP($A79,'[91]10月'!$A:$H,8,0),0)</f>
        <v>0</v>
      </c>
      <c r="AI79" s="688">
        <f>IFERROR(VLOOKUP($A79,'[91]11月'!$A:$H,8,0),0)</f>
        <v>0</v>
      </c>
      <c r="AJ79" s="688">
        <f>IFERROR(VLOOKUP($A79,'[91]12月'!$A:$H,8,0),0)</f>
        <v>0</v>
      </c>
      <c r="AK79" s="688">
        <f t="shared" si="35"/>
        <v>0</v>
      </c>
    </row>
    <row r="80" spans="1:37" ht="11.1" customHeight="1">
      <c r="A80" s="663" t="str">
        <f>'Budget-合并'!A80</f>
        <v>6602.08</v>
      </c>
      <c r="B80" s="663" t="str">
        <f>'Budget-合并'!B80</f>
        <v>事务费用</v>
      </c>
      <c r="C80" s="687">
        <f>'Budget-合并'!C80</f>
        <v>0</v>
      </c>
      <c r="D80" s="676">
        <f t="shared" si="28"/>
        <v>31676.512955124996</v>
      </c>
      <c r="E80" s="676" t="e">
        <f t="shared" si="29"/>
        <v>#N/A</v>
      </c>
      <c r="F80" s="676" t="e">
        <f t="shared" si="30"/>
        <v>#N/A</v>
      </c>
      <c r="G80" s="676">
        <f t="shared" ca="1" si="31"/>
        <v>31676.512955124996</v>
      </c>
      <c r="H80" s="676" t="e">
        <f t="shared" ca="1" si="32"/>
        <v>#N/A</v>
      </c>
      <c r="I80" s="676" t="e">
        <f t="shared" ca="1" si="33"/>
        <v>#N/A</v>
      </c>
      <c r="K80" s="676">
        <f>SUM(K81:K91)</f>
        <v>31676.512955124996</v>
      </c>
      <c r="L80" s="676">
        <f t="shared" ref="L80:V80" si="42">SUM(L81:L91)</f>
        <v>31399.251372500003</v>
      </c>
      <c r="M80" s="676">
        <f t="shared" si="42"/>
        <v>31399.251372500003</v>
      </c>
      <c r="N80" s="676">
        <f t="shared" si="42"/>
        <v>31399.251372500003</v>
      </c>
      <c r="O80" s="676">
        <f t="shared" si="42"/>
        <v>31399.251372500003</v>
      </c>
      <c r="P80" s="676">
        <f t="shared" si="42"/>
        <v>31399.251372500003</v>
      </c>
      <c r="Q80" s="676">
        <f t="shared" si="42"/>
        <v>31399.251372500003</v>
      </c>
      <c r="R80" s="676">
        <f t="shared" si="42"/>
        <v>31399.251372500003</v>
      </c>
      <c r="S80" s="676">
        <f t="shared" si="42"/>
        <v>31399.251372500003</v>
      </c>
      <c r="T80" s="676">
        <f t="shared" si="42"/>
        <v>31399.251372500003</v>
      </c>
      <c r="U80" s="676">
        <f t="shared" si="42"/>
        <v>31399.251372500003</v>
      </c>
      <c r="V80" s="676">
        <f t="shared" si="42"/>
        <v>31399.251372500003</v>
      </c>
      <c r="W80" s="676">
        <f t="shared" si="41"/>
        <v>377068.27805262501</v>
      </c>
      <c r="Y80" s="688">
        <f>IFERROR(VLOOKUP($A80,'[91]1月'!$A:$H,8,0),0)</f>
        <v>11462.14</v>
      </c>
      <c r="Z80" s="688">
        <f>IFERROR(VLOOKUP($A80,'[91]2月'!$A:$H,8,0),0)</f>
        <v>4923.41</v>
      </c>
      <c r="AA80" s="688">
        <f>IFERROR(VLOOKUP($A80,'[91]3月'!$A:$H,8,0),0)</f>
        <v>6286.35</v>
      </c>
      <c r="AB80" s="688">
        <f>IFERROR(VLOOKUP($A80,'[91]4月'!$A:$H,8,0),0)</f>
        <v>3265.6</v>
      </c>
      <c r="AC80" s="688">
        <f>IFERROR(VLOOKUP($A80,'[91]5月'!$A:$H,8,0),0)</f>
        <v>71928.929999999993</v>
      </c>
      <c r="AD80" s="688">
        <f>IFERROR(VLOOKUP($A80,'[91]6月'!$A:$H,8,0),0)</f>
        <v>18281.41</v>
      </c>
      <c r="AE80" s="688">
        <f>IFERROR(VLOOKUP($A80,'[91]7月'!$A:$H,8,0),0)</f>
        <v>20671.21</v>
      </c>
      <c r="AF80" s="688">
        <f>IFERROR(VLOOKUP($A80,'[91]8月'!$A:$H,8,0),0)</f>
        <v>28641.88</v>
      </c>
      <c r="AG80" s="688">
        <f>IFERROR(VLOOKUP($A80,'[91]9月'!$A:$H,8,0),0)</f>
        <v>25012.3</v>
      </c>
      <c r="AH80" s="688">
        <f>IFERROR(VLOOKUP($A80,'[91]10月'!$A:$H,8,0),0)</f>
        <v>20807.759999999998</v>
      </c>
      <c r="AI80" s="688">
        <f>IFERROR(VLOOKUP($A80,'[91]11月'!$A:$H,8,0),0)</f>
        <v>19313.62</v>
      </c>
      <c r="AJ80" s="688">
        <f>IFERROR(VLOOKUP($A80,'[91]12月'!$A:$H,8,0),0)</f>
        <v>20756.8</v>
      </c>
      <c r="AK80" s="688">
        <f t="shared" si="35"/>
        <v>251351.40999999997</v>
      </c>
    </row>
    <row r="81" spans="1:37" ht="11.1" customHeight="1">
      <c r="A81" s="653" t="str">
        <f>'Budget-合并'!A81</f>
        <v>6602.08.01</v>
      </c>
      <c r="B81" s="653" t="str">
        <f>'Budget-合并'!B81</f>
        <v>通信费</v>
      </c>
      <c r="C81" s="687" t="str">
        <f>'Budget-合并'!C81</f>
        <v>Telephone Monthly/Base Charge</v>
      </c>
      <c r="D81" s="676">
        <f t="shared" si="28"/>
        <v>3622.0813019999996</v>
      </c>
      <c r="E81" s="676" t="e">
        <f t="shared" si="29"/>
        <v>#N/A</v>
      </c>
      <c r="F81" s="676" t="e">
        <f t="shared" si="30"/>
        <v>#N/A</v>
      </c>
      <c r="G81" s="676">
        <f t="shared" ca="1" si="31"/>
        <v>3622.0813019999996</v>
      </c>
      <c r="H81" s="676" t="e">
        <f t="shared" ca="1" si="32"/>
        <v>#N/A</v>
      </c>
      <c r="I81" s="676" t="e">
        <f t="shared" ca="1" si="33"/>
        <v>#N/A</v>
      </c>
      <c r="K81" s="676">
        <f>SUMIFS(SPACE!O$3:O$106,SPACE!$A$3:$A$106,$D$1,SPACE!$C$3:$C$106,$A81)</f>
        <v>3622.0813019999996</v>
      </c>
      <c r="L81" s="676">
        <f>SUMIFS(SPACE!P$3:P$106,SPACE!$A$3:$A$106,$D$1,SPACE!$C$3:$C$106,$A81)</f>
        <v>3590.3775599999999</v>
      </c>
      <c r="M81" s="676">
        <f>SUMIFS(SPACE!Q$3:Q$106,SPACE!$A$3:$A$106,$D$1,SPACE!$C$3:$C$106,$A81)</f>
        <v>3590.3775599999999</v>
      </c>
      <c r="N81" s="676">
        <f>SUMIFS(SPACE!R$3:R$106,SPACE!$A$3:$A$106,$D$1,SPACE!$C$3:$C$106,$A81)</f>
        <v>3590.3775599999999</v>
      </c>
      <c r="O81" s="676">
        <f>SUMIFS(SPACE!S$3:S$106,SPACE!$A$3:$A$106,$D$1,SPACE!$C$3:$C$106,$A81)</f>
        <v>3590.3775599999999</v>
      </c>
      <c r="P81" s="676">
        <f>SUMIFS(SPACE!T$3:T$106,SPACE!$A$3:$A$106,$D$1,SPACE!$C$3:$C$106,$A81)</f>
        <v>3590.3775599999999</v>
      </c>
      <c r="Q81" s="676">
        <f>SUMIFS(SPACE!U$3:U$106,SPACE!$A$3:$A$106,$D$1,SPACE!$C$3:$C$106,$A81)</f>
        <v>3590.3775599999999</v>
      </c>
      <c r="R81" s="676">
        <f>SUMIFS(SPACE!V$3:V$106,SPACE!$A$3:$A$106,$D$1,SPACE!$C$3:$C$106,$A81)</f>
        <v>3590.3775599999999</v>
      </c>
      <c r="S81" s="676">
        <f>SUMIFS(SPACE!W$3:W$106,SPACE!$A$3:$A$106,$D$1,SPACE!$C$3:$C$106,$A81)</f>
        <v>3590.3775599999999</v>
      </c>
      <c r="T81" s="676">
        <f>SUMIFS(SPACE!X$3:X$106,SPACE!$A$3:$A$106,$D$1,SPACE!$C$3:$C$106,$A81)</f>
        <v>3590.3775599999999</v>
      </c>
      <c r="U81" s="676">
        <f>SUMIFS(SPACE!Y$3:Y$106,SPACE!$A$3:$A$106,$D$1,SPACE!$C$3:$C$106,$A81)</f>
        <v>3590.3775599999999</v>
      </c>
      <c r="V81" s="676">
        <f>SUMIFS(SPACE!Z$3:Z$106,SPACE!$A$3:$A$106,$D$1,SPACE!$C$3:$C$106,$A81)</f>
        <v>3590.3775599999999</v>
      </c>
      <c r="W81" s="676">
        <f t="shared" si="41"/>
        <v>43116.234462000008</v>
      </c>
      <c r="Y81" s="688">
        <f>IFERROR(VLOOKUP($A81,'[91]1月'!$A:$H,8,0),0)</f>
        <v>1140</v>
      </c>
      <c r="Z81" s="688">
        <f>IFERROR(VLOOKUP($A81,'[91]2月'!$A:$H,8,0),0)</f>
        <v>1205.8900000000001</v>
      </c>
      <c r="AA81" s="688">
        <f>IFERROR(VLOOKUP($A81,'[91]3月'!$A:$H,8,0),0)</f>
        <v>1724</v>
      </c>
      <c r="AB81" s="688">
        <f>IFERROR(VLOOKUP($A81,'[91]4月'!$A:$H,8,0),0)</f>
        <v>1140</v>
      </c>
      <c r="AC81" s="688">
        <f>IFERROR(VLOOKUP($A81,'[91]5月'!$A:$H,8,0),0)</f>
        <v>1140</v>
      </c>
      <c r="AD81" s="688">
        <f>IFERROR(VLOOKUP($A81,'[91]6月'!$A:$H,8,0),0)</f>
        <v>1140</v>
      </c>
      <c r="AE81" s="688">
        <f>IFERROR(VLOOKUP($A81,'[91]7月'!$A:$H,8,0),0)</f>
        <v>1140</v>
      </c>
      <c r="AF81" s="688">
        <f>IFERROR(VLOOKUP($A81,'[91]8月'!$A:$H,8,0),0)</f>
        <v>1140</v>
      </c>
      <c r="AG81" s="688">
        <f>IFERROR(VLOOKUP($A81,'[91]9月'!$A:$H,8,0),0)</f>
        <v>5838.66</v>
      </c>
      <c r="AH81" s="688">
        <f>IFERROR(VLOOKUP($A81,'[91]10月'!$A:$H,8,0),0)</f>
        <v>1140</v>
      </c>
      <c r="AI81" s="688">
        <f>IFERROR(VLOOKUP($A81,'[91]11月'!$A:$H,8,0),0)</f>
        <v>1140</v>
      </c>
      <c r="AJ81" s="688">
        <f>IFERROR(VLOOKUP($A81,'[91]12月'!$A:$H,8,0),0)</f>
        <v>1140</v>
      </c>
      <c r="AK81" s="688">
        <f t="shared" si="35"/>
        <v>19028.55</v>
      </c>
    </row>
    <row r="82" spans="1:37" ht="11.1" customHeight="1">
      <c r="A82" s="653" t="str">
        <f>'Budget-合并'!A82</f>
        <v>6602.08.02</v>
      </c>
      <c r="B82" s="653" t="str">
        <f>'Budget-合并'!B82</f>
        <v>电脑软件费</v>
      </c>
      <c r="C82" s="687" t="str">
        <f>'Budget-合并'!C82</f>
        <v xml:space="preserve">PC Software </v>
      </c>
      <c r="D82" s="676">
        <f t="shared" si="28"/>
        <v>0</v>
      </c>
      <c r="E82" s="676" t="e">
        <f t="shared" si="29"/>
        <v>#N/A</v>
      </c>
      <c r="F82" s="676" t="e">
        <f t="shared" si="30"/>
        <v>#N/A</v>
      </c>
      <c r="G82" s="676">
        <f t="shared" ca="1" si="31"/>
        <v>0</v>
      </c>
      <c r="H82" s="676" t="e">
        <f t="shared" ca="1" si="32"/>
        <v>#N/A</v>
      </c>
      <c r="I82" s="676" t="e">
        <f t="shared" ca="1" si="33"/>
        <v>#N/A</v>
      </c>
      <c r="K82" s="676"/>
      <c r="L82" s="676"/>
      <c r="M82" s="676"/>
      <c r="N82" s="676"/>
      <c r="O82" s="676"/>
      <c r="P82" s="676"/>
      <c r="Q82" s="676"/>
      <c r="R82" s="676"/>
      <c r="S82" s="676"/>
      <c r="T82" s="676"/>
      <c r="U82" s="676"/>
      <c r="V82" s="676"/>
      <c r="W82" s="676">
        <f t="shared" si="41"/>
        <v>0</v>
      </c>
      <c r="Y82" s="688">
        <f>IFERROR(VLOOKUP($A82,'[91]1月'!$A:$H,8,0),0)</f>
        <v>0</v>
      </c>
      <c r="Z82" s="688">
        <f>IFERROR(VLOOKUP($A82,'[91]2月'!$A:$H,8,0),0)</f>
        <v>0</v>
      </c>
      <c r="AA82" s="688">
        <f>IFERROR(VLOOKUP($A82,'[91]3月'!$A:$H,8,0),0)</f>
        <v>0</v>
      </c>
      <c r="AB82" s="688">
        <f>IFERROR(VLOOKUP($A82,'[91]4月'!$A:$H,8,0),0)</f>
        <v>0</v>
      </c>
      <c r="AC82" s="688">
        <f>IFERROR(VLOOKUP($A82,'[91]5月'!$A:$H,8,0),0)</f>
        <v>0</v>
      </c>
      <c r="AD82" s="688">
        <f>IFERROR(VLOOKUP($A82,'[91]6月'!$A:$H,8,0),0)</f>
        <v>0</v>
      </c>
      <c r="AE82" s="688">
        <f>IFERROR(VLOOKUP($A82,'[91]7月'!$A:$H,8,0),0)</f>
        <v>0</v>
      </c>
      <c r="AF82" s="688">
        <f>IFERROR(VLOOKUP($A82,'[91]8月'!$A:$H,8,0),0)</f>
        <v>0</v>
      </c>
      <c r="AG82" s="688">
        <f>IFERROR(VLOOKUP($A82,'[91]9月'!$A:$H,8,0),0)</f>
        <v>0</v>
      </c>
      <c r="AH82" s="688">
        <f>IFERROR(VLOOKUP($A82,'[91]10月'!$A:$H,8,0),0)</f>
        <v>0</v>
      </c>
      <c r="AI82" s="688">
        <f>IFERROR(VLOOKUP($A82,'[91]11月'!$A:$H,8,0),0)</f>
        <v>0</v>
      </c>
      <c r="AJ82" s="688">
        <f>IFERROR(VLOOKUP($A82,'[91]12月'!$A:$H,8,0),0)</f>
        <v>0</v>
      </c>
      <c r="AK82" s="688">
        <f t="shared" si="35"/>
        <v>0</v>
      </c>
    </row>
    <row r="83" spans="1:37" ht="12.95" customHeight="1">
      <c r="A83" s="653" t="str">
        <f>'Budget-合并'!A83</f>
        <v>6602.08.03</v>
      </c>
      <c r="B83" s="653" t="str">
        <f>'Budget-合并'!B83</f>
        <v>办公用品</v>
      </c>
      <c r="C83" s="687" t="str">
        <f>'Budget-合并'!C83</f>
        <v xml:space="preserve">Office Supplies </v>
      </c>
      <c r="D83" s="676">
        <f t="shared" si="28"/>
        <v>1483.3166666666666</v>
      </c>
      <c r="E83" s="676" t="e">
        <f t="shared" si="29"/>
        <v>#N/A</v>
      </c>
      <c r="F83" s="676" t="e">
        <f t="shared" si="30"/>
        <v>#N/A</v>
      </c>
      <c r="G83" s="676">
        <f t="shared" ca="1" si="31"/>
        <v>1483.3166666666666</v>
      </c>
      <c r="H83" s="676" t="e">
        <f t="shared" ca="1" si="32"/>
        <v>#N/A</v>
      </c>
      <c r="I83" s="676" t="e">
        <f t="shared" ca="1" si="33"/>
        <v>#N/A</v>
      </c>
      <c r="K83" s="676">
        <f>SUMIFS('Other Exp'!AG$3:AG$196,'Other Exp'!$B$3:$B$196,$D$1,'Other Exp'!$C$3:$C$196,$A83)</f>
        <v>1483.3166666666666</v>
      </c>
      <c r="L83" s="676">
        <f>SUMIFS('Other Exp'!AH$3:AH$196,'Other Exp'!$B$3:$B$196,$D$1,'Other Exp'!$C$3:$C$196,$A83)</f>
        <v>1470.3333333333335</v>
      </c>
      <c r="M83" s="676">
        <f>SUMIFS('Other Exp'!AI$3:AI$196,'Other Exp'!$B$3:$B$196,$D$1,'Other Exp'!$C$3:$C$196,$A83)</f>
        <v>1470.3333333333335</v>
      </c>
      <c r="N83" s="676">
        <f>SUMIFS('Other Exp'!AJ$3:AJ$196,'Other Exp'!$B$3:$B$196,$D$1,'Other Exp'!$C$3:$C$196,$A83)</f>
        <v>1470.3333333333335</v>
      </c>
      <c r="O83" s="676">
        <f>SUMIFS('Other Exp'!AK$3:AK$196,'Other Exp'!$B$3:$B$196,$D$1,'Other Exp'!$C$3:$C$196,$A83)</f>
        <v>1470.3333333333335</v>
      </c>
      <c r="P83" s="676">
        <f>SUMIFS('Other Exp'!AL$3:AL$196,'Other Exp'!$B$3:$B$196,$D$1,'Other Exp'!$C$3:$C$196,$A83)</f>
        <v>1470.3333333333335</v>
      </c>
      <c r="Q83" s="676">
        <f>SUMIFS('Other Exp'!AM$3:AM$196,'Other Exp'!$B$3:$B$196,$D$1,'Other Exp'!$C$3:$C$196,$A83)</f>
        <v>1470.3333333333335</v>
      </c>
      <c r="R83" s="676">
        <f>SUMIFS('Other Exp'!AN$3:AN$196,'Other Exp'!$B$3:$B$196,$D$1,'Other Exp'!$C$3:$C$196,$A83)</f>
        <v>1470.3333333333335</v>
      </c>
      <c r="S83" s="676">
        <f>SUMIFS('Other Exp'!AO$3:AO$196,'Other Exp'!$B$3:$B$196,$D$1,'Other Exp'!$C$3:$C$196,$A83)</f>
        <v>1470.3333333333335</v>
      </c>
      <c r="T83" s="676">
        <f>SUMIFS('Other Exp'!AP$3:AP$196,'Other Exp'!$B$3:$B$196,$D$1,'Other Exp'!$C$3:$C$196,$A83)</f>
        <v>1470.3333333333335</v>
      </c>
      <c r="U83" s="676">
        <f>SUMIFS('Other Exp'!AQ$3:AQ$196,'Other Exp'!$B$3:$B$196,$D$1,'Other Exp'!$C$3:$C$196,$A83)</f>
        <v>1470.3333333333335</v>
      </c>
      <c r="V83" s="676">
        <f>SUMIFS('Other Exp'!AR$3:AR$196,'Other Exp'!$B$3:$B$196,$D$1,'Other Exp'!$C$3:$C$196,$A83)</f>
        <v>1470.3333333333335</v>
      </c>
      <c r="W83" s="676">
        <f t="shared" si="41"/>
        <v>17656.983333333337</v>
      </c>
      <c r="Y83" s="688">
        <f>IFERROR(VLOOKUP($A83,'[91]1月'!$A:$H,8,0),0)</f>
        <v>0</v>
      </c>
      <c r="Z83" s="688">
        <f>IFERROR(VLOOKUP($A83,'[91]2月'!$A:$H,8,0),0)</f>
        <v>57</v>
      </c>
      <c r="AA83" s="688">
        <f>IFERROR(VLOOKUP($A83,'[91]3月'!$A:$H,8,0),0)</f>
        <v>2021.9</v>
      </c>
      <c r="AB83" s="688">
        <f>IFERROR(VLOOKUP($A83,'[91]4月'!$A:$H,8,0),0)</f>
        <v>0</v>
      </c>
      <c r="AC83" s="688">
        <f>IFERROR(VLOOKUP($A83,'[91]5月'!$A:$H,8,0),0)</f>
        <v>0</v>
      </c>
      <c r="AD83" s="688">
        <f>IFERROR(VLOOKUP($A83,'[91]6月'!$A:$H,8,0),0)</f>
        <v>0</v>
      </c>
      <c r="AE83" s="688">
        <f>IFERROR(VLOOKUP($A83,'[91]7月'!$A:$H,8,0),0)</f>
        <v>0</v>
      </c>
      <c r="AF83" s="688">
        <f>IFERROR(VLOOKUP($A83,'[91]8月'!$A:$H,8,0),0)</f>
        <v>0</v>
      </c>
      <c r="AG83" s="688">
        <f>IFERROR(VLOOKUP($A83,'[91]9月'!$A:$H,8,0),0)</f>
        <v>0</v>
      </c>
      <c r="AH83" s="688">
        <f>IFERROR(VLOOKUP($A83,'[91]10月'!$A:$H,8,0),0)</f>
        <v>346.7</v>
      </c>
      <c r="AI83" s="688">
        <f>IFERROR(VLOOKUP($A83,'[91]11月'!$A:$H,8,0),0)</f>
        <v>0</v>
      </c>
      <c r="AJ83" s="688">
        <f>IFERROR(VLOOKUP($A83,'[91]12月'!$A:$H,8,0),0)</f>
        <v>833.9</v>
      </c>
      <c r="AK83" s="688">
        <f t="shared" si="35"/>
        <v>3259.5</v>
      </c>
    </row>
    <row r="84" spans="1:37" ht="11.1" customHeight="1">
      <c r="A84" s="653" t="str">
        <f>'Budget-合并'!A84</f>
        <v>6602.08.04</v>
      </c>
      <c r="B84" s="653" t="str">
        <f>'Budget-合并'!B84</f>
        <v>事务保金</v>
      </c>
      <c r="C84" s="687" t="str">
        <f>'Budget-合并'!C84</f>
        <v>Other Insurance</v>
      </c>
      <c r="D84" s="676">
        <f t="shared" si="28"/>
        <v>375.742653125</v>
      </c>
      <c r="E84" s="676" t="e">
        <f t="shared" si="29"/>
        <v>#N/A</v>
      </c>
      <c r="F84" s="676" t="e">
        <f t="shared" si="30"/>
        <v>#N/A</v>
      </c>
      <c r="G84" s="676">
        <f t="shared" ca="1" si="31"/>
        <v>375.742653125</v>
      </c>
      <c r="H84" s="676" t="e">
        <f t="shared" ca="1" si="32"/>
        <v>#N/A</v>
      </c>
      <c r="I84" s="676" t="e">
        <f t="shared" ca="1" si="33"/>
        <v>#N/A</v>
      </c>
      <c r="K84" s="676">
        <f>SUMIFS('Other Exp'!AG$3:AG$196,'Other Exp'!$B$3:$B$196,$D$1,'Other Exp'!$C$3:$C$196,$A84)</f>
        <v>375.742653125</v>
      </c>
      <c r="L84" s="676">
        <f>SUMIFS('Other Exp'!AH$3:AH$196,'Other Exp'!$B$3:$B$196,$D$1,'Other Exp'!$C$3:$C$196,$A84)</f>
        <v>372.45381249999997</v>
      </c>
      <c r="M84" s="676">
        <f>SUMIFS('Other Exp'!AI$3:AI$196,'Other Exp'!$B$3:$B$196,$D$1,'Other Exp'!$C$3:$C$196,$A84)</f>
        <v>372.45381249999997</v>
      </c>
      <c r="N84" s="676">
        <f>SUMIFS('Other Exp'!AJ$3:AJ$196,'Other Exp'!$B$3:$B$196,$D$1,'Other Exp'!$C$3:$C$196,$A84)</f>
        <v>372.45381249999997</v>
      </c>
      <c r="O84" s="676">
        <f>SUMIFS('Other Exp'!AK$3:AK$196,'Other Exp'!$B$3:$B$196,$D$1,'Other Exp'!$C$3:$C$196,$A84)</f>
        <v>372.45381249999997</v>
      </c>
      <c r="P84" s="676">
        <f>SUMIFS('Other Exp'!AL$3:AL$196,'Other Exp'!$B$3:$B$196,$D$1,'Other Exp'!$C$3:$C$196,$A84)</f>
        <v>372.45381249999997</v>
      </c>
      <c r="Q84" s="676">
        <f>SUMIFS('Other Exp'!AM$3:AM$196,'Other Exp'!$B$3:$B$196,$D$1,'Other Exp'!$C$3:$C$196,$A84)</f>
        <v>372.45381249999997</v>
      </c>
      <c r="R84" s="676">
        <f>SUMIFS('Other Exp'!AN$3:AN$196,'Other Exp'!$B$3:$B$196,$D$1,'Other Exp'!$C$3:$C$196,$A84)</f>
        <v>372.45381249999997</v>
      </c>
      <c r="S84" s="676">
        <f>SUMIFS('Other Exp'!AO$3:AO$196,'Other Exp'!$B$3:$B$196,$D$1,'Other Exp'!$C$3:$C$196,$A84)</f>
        <v>372.45381249999997</v>
      </c>
      <c r="T84" s="676">
        <f>SUMIFS('Other Exp'!AP$3:AP$196,'Other Exp'!$B$3:$B$196,$D$1,'Other Exp'!$C$3:$C$196,$A84)</f>
        <v>372.45381249999997</v>
      </c>
      <c r="U84" s="676">
        <f>SUMIFS('Other Exp'!AQ$3:AQ$196,'Other Exp'!$B$3:$B$196,$D$1,'Other Exp'!$C$3:$C$196,$A84)</f>
        <v>372.45381249999997</v>
      </c>
      <c r="V84" s="676">
        <f>SUMIFS('Other Exp'!AR$3:AR$196,'Other Exp'!$B$3:$B$196,$D$1,'Other Exp'!$C$3:$C$196,$A84)</f>
        <v>372.45381249999997</v>
      </c>
      <c r="W84" s="676">
        <f t="shared" si="41"/>
        <v>4472.7345906249993</v>
      </c>
      <c r="Y84" s="688">
        <f>IFERROR(VLOOKUP($A84,'[91]1月'!$A:$H,8,0),0)</f>
        <v>409.77</v>
      </c>
      <c r="Z84" s="688">
        <f>IFERROR(VLOOKUP($A84,'[91]2月'!$A:$H,8,0),0)</f>
        <v>370.13</v>
      </c>
      <c r="AA84" s="688">
        <f>IFERROR(VLOOKUP($A84,'[91]3月'!$A:$H,8,0),0)</f>
        <v>409.78</v>
      </c>
      <c r="AB84" s="688">
        <f>IFERROR(VLOOKUP($A84,'[91]4月'!$A:$H,8,0),0)</f>
        <v>396.56</v>
      </c>
      <c r="AC84" s="688">
        <f>IFERROR(VLOOKUP($A84,'[91]5月'!$A:$H,8,0),0)</f>
        <v>409.78</v>
      </c>
      <c r="AD84" s="688">
        <f>IFERROR(VLOOKUP($A84,'[91]6月'!$A:$H,8,0),0)</f>
        <v>66.09</v>
      </c>
      <c r="AE84" s="688">
        <f>IFERROR(VLOOKUP($A84,'[91]7月'!$A:$H,8,0),0)</f>
        <v>740.25</v>
      </c>
      <c r="AF84" s="688">
        <f>IFERROR(VLOOKUP($A84,'[91]8月'!$A:$H,8,0),0)</f>
        <v>409.78</v>
      </c>
      <c r="AG84" s="688">
        <f>IFERROR(VLOOKUP($A84,'[91]9月'!$A:$H,8,0),0)</f>
        <v>396.56</v>
      </c>
      <c r="AH84" s="688">
        <f>IFERROR(VLOOKUP($A84,'[91]10月'!$A:$H,8,0),0)</f>
        <v>409.78</v>
      </c>
      <c r="AI84" s="688">
        <f>IFERROR(VLOOKUP($A84,'[91]11月'!$A:$H,8,0),0)</f>
        <v>396.56</v>
      </c>
      <c r="AJ84" s="688">
        <f>IFERROR(VLOOKUP($A84,'[91]12月'!$A:$H,8,0),0)</f>
        <v>409.78</v>
      </c>
      <c r="AK84" s="688">
        <f t="shared" si="35"/>
        <v>4824.82</v>
      </c>
    </row>
    <row r="85" spans="1:37" ht="11.1" customHeight="1">
      <c r="A85" s="653" t="str">
        <f>'Budget-合并'!A85</f>
        <v>6602.08.05</v>
      </c>
      <c r="B85" s="653" t="str">
        <f>'Budget-合并'!B85</f>
        <v>邮费/邮递费</v>
      </c>
      <c r="C85" s="687" t="str">
        <f>'Budget-合并'!C85</f>
        <v>Postage / Freight / Delivery</v>
      </c>
      <c r="D85" s="676">
        <f t="shared" si="28"/>
        <v>467.24474999999995</v>
      </c>
      <c r="E85" s="676" t="e">
        <f t="shared" si="29"/>
        <v>#N/A</v>
      </c>
      <c r="F85" s="676" t="e">
        <f t="shared" si="30"/>
        <v>#N/A</v>
      </c>
      <c r="G85" s="676">
        <f t="shared" ca="1" si="31"/>
        <v>467.24474999999995</v>
      </c>
      <c r="H85" s="676" t="e">
        <f t="shared" ca="1" si="32"/>
        <v>#N/A</v>
      </c>
      <c r="I85" s="676" t="e">
        <f t="shared" ca="1" si="33"/>
        <v>#N/A</v>
      </c>
      <c r="K85" s="676">
        <f>SUMIFS('Other Exp'!AG$3:AG$196,'Other Exp'!$B$3:$B$196,$D$1,'Other Exp'!$C$3:$C$196,$A85)</f>
        <v>467.24474999999995</v>
      </c>
      <c r="L85" s="676">
        <f>SUMIFS('Other Exp'!AH$3:AH$196,'Other Exp'!$B$3:$B$196,$D$1,'Other Exp'!$C$3:$C$196,$A85)</f>
        <v>463.15499999999997</v>
      </c>
      <c r="M85" s="676">
        <f>SUMIFS('Other Exp'!AI$3:AI$196,'Other Exp'!$B$3:$B$196,$D$1,'Other Exp'!$C$3:$C$196,$A85)</f>
        <v>463.15499999999997</v>
      </c>
      <c r="N85" s="676">
        <f>SUMIFS('Other Exp'!AJ$3:AJ$196,'Other Exp'!$B$3:$B$196,$D$1,'Other Exp'!$C$3:$C$196,$A85)</f>
        <v>463.15499999999997</v>
      </c>
      <c r="O85" s="676">
        <f>SUMIFS('Other Exp'!AK$3:AK$196,'Other Exp'!$B$3:$B$196,$D$1,'Other Exp'!$C$3:$C$196,$A85)</f>
        <v>463.15499999999997</v>
      </c>
      <c r="P85" s="676">
        <f>SUMIFS('Other Exp'!AL$3:AL$196,'Other Exp'!$B$3:$B$196,$D$1,'Other Exp'!$C$3:$C$196,$A85)</f>
        <v>463.15499999999997</v>
      </c>
      <c r="Q85" s="676">
        <f>SUMIFS('Other Exp'!AM$3:AM$196,'Other Exp'!$B$3:$B$196,$D$1,'Other Exp'!$C$3:$C$196,$A85)</f>
        <v>463.15499999999997</v>
      </c>
      <c r="R85" s="676">
        <f>SUMIFS('Other Exp'!AN$3:AN$196,'Other Exp'!$B$3:$B$196,$D$1,'Other Exp'!$C$3:$C$196,$A85)</f>
        <v>463.15499999999997</v>
      </c>
      <c r="S85" s="676">
        <f>SUMIFS('Other Exp'!AO$3:AO$196,'Other Exp'!$B$3:$B$196,$D$1,'Other Exp'!$C$3:$C$196,$A85)</f>
        <v>463.15499999999997</v>
      </c>
      <c r="T85" s="676">
        <f>SUMIFS('Other Exp'!AP$3:AP$196,'Other Exp'!$B$3:$B$196,$D$1,'Other Exp'!$C$3:$C$196,$A85)</f>
        <v>463.15499999999997</v>
      </c>
      <c r="U85" s="676">
        <f>SUMIFS('Other Exp'!AQ$3:AQ$196,'Other Exp'!$B$3:$B$196,$D$1,'Other Exp'!$C$3:$C$196,$A85)</f>
        <v>463.15499999999997</v>
      </c>
      <c r="V85" s="676">
        <f>SUMIFS('Other Exp'!AR$3:AR$196,'Other Exp'!$B$3:$B$196,$D$1,'Other Exp'!$C$3:$C$196,$A85)</f>
        <v>463.15499999999997</v>
      </c>
      <c r="W85" s="676">
        <f t="shared" si="41"/>
        <v>5561.9497499999979</v>
      </c>
      <c r="Y85" s="688">
        <f>IFERROR(VLOOKUP($A85,'[91]1月'!$A:$H,8,0),0)</f>
        <v>459</v>
      </c>
      <c r="Z85" s="688">
        <f>IFERROR(VLOOKUP($A85,'[91]2月'!$A:$H,8,0),0)</f>
        <v>583</v>
      </c>
      <c r="AA85" s="688">
        <f>IFERROR(VLOOKUP($A85,'[91]3月'!$A:$H,8,0),0)</f>
        <v>848</v>
      </c>
      <c r="AB85" s="688">
        <f>IFERROR(VLOOKUP($A85,'[91]4月'!$A:$H,8,0),0)</f>
        <v>474</v>
      </c>
      <c r="AC85" s="688">
        <f>IFERROR(VLOOKUP($A85,'[91]5月'!$A:$H,8,0),0)</f>
        <v>297</v>
      </c>
      <c r="AD85" s="688">
        <f>IFERROR(VLOOKUP($A85,'[91]6月'!$A:$H,8,0),0)</f>
        <v>159</v>
      </c>
      <c r="AE85" s="688">
        <f>IFERROR(VLOOKUP($A85,'[91]7月'!$A:$H,8,0),0)</f>
        <v>456</v>
      </c>
      <c r="AF85" s="688">
        <f>IFERROR(VLOOKUP($A85,'[91]8月'!$A:$H,8,0),0)</f>
        <v>408</v>
      </c>
      <c r="AG85" s="688">
        <f>IFERROR(VLOOKUP($A85,'[91]9月'!$A:$H,8,0),0)</f>
        <v>497</v>
      </c>
      <c r="AH85" s="688">
        <f>IFERROR(VLOOKUP($A85,'[91]10月'!$A:$H,8,0),0)</f>
        <v>241</v>
      </c>
      <c r="AI85" s="688">
        <f>IFERROR(VLOOKUP($A85,'[91]11月'!$A:$H,8,0),0)</f>
        <v>199</v>
      </c>
      <c r="AJ85" s="688">
        <f>IFERROR(VLOOKUP($A85,'[91]12月'!$A:$H,8,0),0)</f>
        <v>367</v>
      </c>
      <c r="AK85" s="688">
        <f t="shared" si="35"/>
        <v>4988</v>
      </c>
    </row>
    <row r="86" spans="1:37" ht="11.1" customHeight="1">
      <c r="A86" s="653" t="str">
        <f>'Budget-合并'!A86</f>
        <v>6602.08.06</v>
      </c>
      <c r="B86" s="653" t="str">
        <f>'Budget-合并'!B86</f>
        <v>IT专业人士及微软服务</v>
      </c>
      <c r="C86" s="687" t="str">
        <f>'Budget-合并'!C86</f>
        <v xml:space="preserve">IT Professional &amp; MS Services </v>
      </c>
      <c r="D86" s="676">
        <f t="shared" si="28"/>
        <v>7342.4174999999996</v>
      </c>
      <c r="E86" s="676" t="e">
        <f t="shared" si="29"/>
        <v>#N/A</v>
      </c>
      <c r="F86" s="676" t="e">
        <f t="shared" si="30"/>
        <v>#N/A</v>
      </c>
      <c r="G86" s="676">
        <f t="shared" ca="1" si="31"/>
        <v>7342.4174999999996</v>
      </c>
      <c r="H86" s="676" t="e">
        <f t="shared" ca="1" si="32"/>
        <v>#N/A</v>
      </c>
      <c r="I86" s="676" t="e">
        <f t="shared" ca="1" si="33"/>
        <v>#N/A</v>
      </c>
      <c r="K86" s="676">
        <f>SUMIFS('Prof. Fee'!AF$3:AF$150,'Prof. Fee'!$B$3:$B$150,$D$1,'Prof. Fee'!$D$3:$D$150,$A86)</f>
        <v>7342.4174999999996</v>
      </c>
      <c r="L86" s="676">
        <f>SUMIFS('Prof. Fee'!AG$3:AG$150,'Prof. Fee'!$B$3:$B$150,$D$1,'Prof. Fee'!$D$3:$D$150,$A86)</f>
        <v>7278.15</v>
      </c>
      <c r="M86" s="676">
        <f>SUMIFS('Prof. Fee'!AH$3:AH$150,'Prof. Fee'!$B$3:$B$150,$D$1,'Prof. Fee'!$D$3:$D$150,$A86)</f>
        <v>7278.15</v>
      </c>
      <c r="N86" s="676">
        <f>SUMIFS('Prof. Fee'!AI$3:AI$150,'Prof. Fee'!$B$3:$B$150,$D$1,'Prof. Fee'!$D$3:$D$150,$A86)</f>
        <v>7278.15</v>
      </c>
      <c r="O86" s="676">
        <f>SUMIFS('Prof. Fee'!AJ$3:AJ$150,'Prof. Fee'!$B$3:$B$150,$D$1,'Prof. Fee'!$D$3:$D$150,$A86)</f>
        <v>7278.15</v>
      </c>
      <c r="P86" s="676">
        <f>SUMIFS('Prof. Fee'!AK$3:AK$150,'Prof. Fee'!$B$3:$B$150,$D$1,'Prof. Fee'!$D$3:$D$150,$A86)</f>
        <v>7278.15</v>
      </c>
      <c r="Q86" s="676">
        <f>SUMIFS('Prof. Fee'!AL$3:AL$150,'Prof. Fee'!$B$3:$B$150,$D$1,'Prof. Fee'!$D$3:$D$150,$A86)</f>
        <v>7278.15</v>
      </c>
      <c r="R86" s="676">
        <f>SUMIFS('Prof. Fee'!AM$3:AM$150,'Prof. Fee'!$B$3:$B$150,$D$1,'Prof. Fee'!$D$3:$D$150,$A86)</f>
        <v>7278.15</v>
      </c>
      <c r="S86" s="676">
        <f>SUMIFS('Prof. Fee'!AN$3:AN$150,'Prof. Fee'!$B$3:$B$150,$D$1,'Prof. Fee'!$D$3:$D$150,$A86)</f>
        <v>7278.15</v>
      </c>
      <c r="T86" s="676">
        <f>SUMIFS('Prof. Fee'!AO$3:AO$150,'Prof. Fee'!$B$3:$B$150,$D$1,'Prof. Fee'!$D$3:$D$150,$A86)</f>
        <v>7278.15</v>
      </c>
      <c r="U86" s="676">
        <f>SUMIFS('Prof. Fee'!AP$3:AP$150,'Prof. Fee'!$B$3:$B$150,$D$1,'Prof. Fee'!$D$3:$D$150,$A86)</f>
        <v>7278.15</v>
      </c>
      <c r="V86" s="676">
        <f>SUMIFS('Prof. Fee'!AQ$3:AQ$150,'Prof. Fee'!$B$3:$B$150,$D$1,'Prof. Fee'!$D$3:$D$150,$A86)</f>
        <v>7278.15</v>
      </c>
      <c r="W86" s="676">
        <f t="shared" si="41"/>
        <v>87402.06749999999</v>
      </c>
      <c r="Y86" s="688">
        <f>IFERROR(VLOOKUP($A86,'[91]1月'!$A:$H,8,0),0)</f>
        <v>0</v>
      </c>
      <c r="Z86" s="688">
        <f>IFERROR(VLOOKUP($A86,'[91]2月'!$A:$H,8,0),0)</f>
        <v>0</v>
      </c>
      <c r="AA86" s="688">
        <f>IFERROR(VLOOKUP($A86,'[91]3月'!$A:$H,8,0),0)</f>
        <v>0</v>
      </c>
      <c r="AB86" s="688">
        <f>IFERROR(VLOOKUP($A86,'[91]4月'!$A:$H,8,0),0)</f>
        <v>0</v>
      </c>
      <c r="AC86" s="688">
        <f>IFERROR(VLOOKUP($A86,'[91]5月'!$A:$H,8,0),0)</f>
        <v>31504.74</v>
      </c>
      <c r="AD86" s="688">
        <f>IFERROR(VLOOKUP($A86,'[91]6月'!$A:$H,8,0),0)</f>
        <v>6259.22</v>
      </c>
      <c r="AE86" s="688">
        <f>IFERROR(VLOOKUP($A86,'[91]7月'!$A:$H,8,0),0)</f>
        <v>6467.87</v>
      </c>
      <c r="AF86" s="688">
        <f>IFERROR(VLOOKUP($A86,'[91]8月'!$A:$H,8,0),0)</f>
        <v>15685.98</v>
      </c>
      <c r="AG86" s="688">
        <f>IFERROR(VLOOKUP($A86,'[91]9月'!$A:$H,8,0),0)</f>
        <v>7397.26</v>
      </c>
      <c r="AH86" s="688">
        <f>IFERROR(VLOOKUP($A86,'[91]10月'!$A:$H,8,0),0)</f>
        <v>7682.4</v>
      </c>
      <c r="AI86" s="688">
        <f>IFERROR(VLOOKUP($A86,'[91]11月'!$A:$H,8,0),0)</f>
        <v>7423.55</v>
      </c>
      <c r="AJ86" s="688">
        <f>IFERROR(VLOOKUP($A86,'[91]12月'!$A:$H,8,0),0)</f>
        <v>7670.99</v>
      </c>
      <c r="AK86" s="688">
        <f t="shared" si="35"/>
        <v>90092.01</v>
      </c>
    </row>
    <row r="87" spans="1:37" ht="11.1" customHeight="1">
      <c r="A87" s="653" t="str">
        <f>'Budget-合并'!A87</f>
        <v>6602.08.07</v>
      </c>
      <c r="B87" s="653" t="str">
        <f>'Budget-合并'!B87</f>
        <v>软件许可证费用</v>
      </c>
      <c r="C87" s="687" t="str">
        <f>'Budget-合并'!C87</f>
        <v xml:space="preserve">Software Licence Fee Exp </v>
      </c>
      <c r="D87" s="676">
        <f t="shared" si="28"/>
        <v>15582.241583333333</v>
      </c>
      <c r="E87" s="676" t="e">
        <f t="shared" si="29"/>
        <v>#N/A</v>
      </c>
      <c r="F87" s="676" t="e">
        <f t="shared" si="30"/>
        <v>#N/A</v>
      </c>
      <c r="G87" s="676">
        <f t="shared" ca="1" si="31"/>
        <v>15582.241583333333</v>
      </c>
      <c r="H87" s="676" t="e">
        <f t="shared" ca="1" si="32"/>
        <v>#N/A</v>
      </c>
      <c r="I87" s="676" t="e">
        <f t="shared" ca="1" si="33"/>
        <v>#N/A</v>
      </c>
      <c r="K87" s="676">
        <f>SUMIFS('Prof. Fee'!AF$3:AF$150,'Prof. Fee'!$B$3:$B$150,$D$1,'Prof. Fee'!$D$3:$D$150,$A87)</f>
        <v>15582.241583333333</v>
      </c>
      <c r="L87" s="676">
        <f>SUMIFS('Prof. Fee'!AG$3:AG$150,'Prof. Fee'!$B$3:$B$150,$D$1,'Prof. Fee'!$D$3:$D$150,$A87)</f>
        <v>15445.851666666667</v>
      </c>
      <c r="M87" s="676">
        <f>SUMIFS('Prof. Fee'!AH$3:AH$150,'Prof. Fee'!$B$3:$B$150,$D$1,'Prof. Fee'!$D$3:$D$150,$A87)</f>
        <v>15445.851666666667</v>
      </c>
      <c r="N87" s="676">
        <f>SUMIFS('Prof. Fee'!AI$3:AI$150,'Prof. Fee'!$B$3:$B$150,$D$1,'Prof. Fee'!$D$3:$D$150,$A87)</f>
        <v>15445.851666666667</v>
      </c>
      <c r="O87" s="676">
        <f>SUMIFS('Prof. Fee'!AJ$3:AJ$150,'Prof. Fee'!$B$3:$B$150,$D$1,'Prof. Fee'!$D$3:$D$150,$A87)</f>
        <v>15445.851666666667</v>
      </c>
      <c r="P87" s="676">
        <f>SUMIFS('Prof. Fee'!AK$3:AK$150,'Prof. Fee'!$B$3:$B$150,$D$1,'Prof. Fee'!$D$3:$D$150,$A87)</f>
        <v>15445.851666666667</v>
      </c>
      <c r="Q87" s="676">
        <f>SUMIFS('Prof. Fee'!AL$3:AL$150,'Prof. Fee'!$B$3:$B$150,$D$1,'Prof. Fee'!$D$3:$D$150,$A87)</f>
        <v>15445.851666666667</v>
      </c>
      <c r="R87" s="676">
        <f>SUMIFS('Prof. Fee'!AM$3:AM$150,'Prof. Fee'!$B$3:$B$150,$D$1,'Prof. Fee'!$D$3:$D$150,$A87)</f>
        <v>15445.851666666667</v>
      </c>
      <c r="S87" s="676">
        <f>SUMIFS('Prof. Fee'!AN$3:AN$150,'Prof. Fee'!$B$3:$B$150,$D$1,'Prof. Fee'!$D$3:$D$150,$A87)</f>
        <v>15445.851666666667</v>
      </c>
      <c r="T87" s="676">
        <f>SUMIFS('Prof. Fee'!AO$3:AO$150,'Prof. Fee'!$B$3:$B$150,$D$1,'Prof. Fee'!$D$3:$D$150,$A87)</f>
        <v>15445.851666666667</v>
      </c>
      <c r="U87" s="676">
        <f>SUMIFS('Prof. Fee'!AP$3:AP$150,'Prof. Fee'!$B$3:$B$150,$D$1,'Prof. Fee'!$D$3:$D$150,$A87)</f>
        <v>15445.851666666667</v>
      </c>
      <c r="V87" s="676">
        <f>SUMIFS('Prof. Fee'!AQ$3:AQ$150,'Prof. Fee'!$B$3:$B$150,$D$1,'Prof. Fee'!$D$3:$D$150,$A87)</f>
        <v>15445.851666666667</v>
      </c>
      <c r="W87" s="676">
        <f t="shared" si="41"/>
        <v>185486.60991666664</v>
      </c>
      <c r="Y87" s="688">
        <f>IFERROR(VLOOKUP($A87,'[91]1月'!$A:$H,8,0),0)</f>
        <v>9105.3700000000008</v>
      </c>
      <c r="Z87" s="688">
        <f>IFERROR(VLOOKUP($A87,'[91]2月'!$A:$H,8,0),0)</f>
        <v>2359.39</v>
      </c>
      <c r="AA87" s="688">
        <f>IFERROR(VLOOKUP($A87,'[91]3月'!$A:$H,8,0),0)</f>
        <v>934.67</v>
      </c>
      <c r="AB87" s="688">
        <f>IFERROR(VLOOKUP($A87,'[91]4月'!$A:$H,8,0),0)</f>
        <v>907.04</v>
      </c>
      <c r="AC87" s="688">
        <f>IFERROR(VLOOKUP($A87,'[91]5月'!$A:$H,8,0),0)</f>
        <v>38229.410000000003</v>
      </c>
      <c r="AD87" s="688">
        <f>IFERROR(VLOOKUP($A87,'[91]6月'!$A:$H,8,0),0)</f>
        <v>10309.1</v>
      </c>
      <c r="AE87" s="688">
        <f>IFERROR(VLOOKUP($A87,'[91]7月'!$A:$H,8,0),0)</f>
        <v>11519.09</v>
      </c>
      <c r="AF87" s="688">
        <f>IFERROR(VLOOKUP($A87,'[91]8月'!$A:$H,8,0),0)</f>
        <v>10650.12</v>
      </c>
      <c r="AG87" s="688">
        <f>IFERROR(VLOOKUP($A87,'[91]9月'!$A:$H,8,0),0)</f>
        <v>10534.82</v>
      </c>
      <c r="AH87" s="688">
        <f>IFERROR(VLOOKUP($A87,'[91]10月'!$A:$H,8,0),0)</f>
        <v>10639.88</v>
      </c>
      <c r="AI87" s="688">
        <f>IFERROR(VLOOKUP($A87,'[91]11月'!$A:$H,8,0),0)</f>
        <v>9806.51</v>
      </c>
      <c r="AJ87" s="688">
        <f>IFERROR(VLOOKUP($A87,'[91]12月'!$A:$H,8,0),0)</f>
        <v>9987.1299999999992</v>
      </c>
      <c r="AK87" s="688">
        <f t="shared" si="35"/>
        <v>124982.53000000001</v>
      </c>
    </row>
    <row r="88" spans="1:37" ht="11.1" customHeight="1">
      <c r="A88" s="653" t="str">
        <f>'Budget-合并'!A88</f>
        <v>6602.08.08</v>
      </c>
      <c r="B88" s="653" t="str">
        <f>'Budget-合并'!B88</f>
        <v>软件使用费</v>
      </c>
      <c r="C88" s="687">
        <f>'Budget-合并'!C88</f>
        <v>0</v>
      </c>
      <c r="D88" s="676">
        <f t="shared" si="28"/>
        <v>0</v>
      </c>
      <c r="E88" s="676" t="e">
        <f t="shared" si="29"/>
        <v>#N/A</v>
      </c>
      <c r="F88" s="676" t="e">
        <f t="shared" si="30"/>
        <v>#N/A</v>
      </c>
      <c r="G88" s="676">
        <f t="shared" ca="1" si="31"/>
        <v>0</v>
      </c>
      <c r="H88" s="676" t="e">
        <f t="shared" ca="1" si="32"/>
        <v>#N/A</v>
      </c>
      <c r="I88" s="676" t="e">
        <f t="shared" ca="1" si="33"/>
        <v>#N/A</v>
      </c>
      <c r="K88" s="676"/>
      <c r="L88" s="676"/>
      <c r="M88" s="676"/>
      <c r="N88" s="676"/>
      <c r="O88" s="676"/>
      <c r="P88" s="676"/>
      <c r="Q88" s="676"/>
      <c r="R88" s="676"/>
      <c r="S88" s="676"/>
      <c r="T88" s="676"/>
      <c r="U88" s="676"/>
      <c r="V88" s="676"/>
      <c r="W88" s="676">
        <f t="shared" si="41"/>
        <v>0</v>
      </c>
      <c r="Y88" s="688">
        <f>IFERROR(VLOOKUP($A88,'[91]1月'!$A:$H,8,0),0)</f>
        <v>0</v>
      </c>
      <c r="Z88" s="688">
        <f>IFERROR(VLOOKUP($A88,'[91]2月'!$A:$H,8,0),0)</f>
        <v>0</v>
      </c>
      <c r="AA88" s="688">
        <f>IFERROR(VLOOKUP($A88,'[91]3月'!$A:$H,8,0),0)</f>
        <v>0</v>
      </c>
      <c r="AB88" s="688">
        <f>IFERROR(VLOOKUP($A88,'[91]4月'!$A:$H,8,0),0)</f>
        <v>0</v>
      </c>
      <c r="AC88" s="688">
        <f>IFERROR(VLOOKUP($A88,'[91]5月'!$A:$H,8,0),0)</f>
        <v>0</v>
      </c>
      <c r="AD88" s="688">
        <f>IFERROR(VLOOKUP($A88,'[91]6月'!$A:$H,8,0),0)</f>
        <v>0</v>
      </c>
      <c r="AE88" s="688">
        <f>IFERROR(VLOOKUP($A88,'[91]7月'!$A:$H,8,0),0)</f>
        <v>0</v>
      </c>
      <c r="AF88" s="688">
        <f>IFERROR(VLOOKUP($A88,'[91]8月'!$A:$H,8,0),0)</f>
        <v>0</v>
      </c>
      <c r="AG88" s="688">
        <f>IFERROR(VLOOKUP($A88,'[91]9月'!$A:$H,8,0),0)</f>
        <v>0</v>
      </c>
      <c r="AH88" s="688">
        <f>IFERROR(VLOOKUP($A88,'[91]10月'!$A:$H,8,0),0)</f>
        <v>0</v>
      </c>
      <c r="AI88" s="688">
        <f>IFERROR(VLOOKUP($A88,'[91]11月'!$A:$H,8,0),0)</f>
        <v>0</v>
      </c>
      <c r="AJ88" s="688">
        <f>IFERROR(VLOOKUP($A88,'[91]12月'!$A:$H,8,0),0)</f>
        <v>0</v>
      </c>
      <c r="AK88" s="688">
        <f t="shared" si="35"/>
        <v>0</v>
      </c>
    </row>
    <row r="89" spans="1:37" ht="11.1" customHeight="1">
      <c r="A89" s="653" t="str">
        <f>'Budget-合并'!A89</f>
        <v>6602.08.09</v>
      </c>
      <c r="B89" s="653" t="str">
        <f>'Budget-合并'!B89</f>
        <v>清洁服务</v>
      </c>
      <c r="C89" s="687">
        <f>'Budget-合并'!C89</f>
        <v>0</v>
      </c>
      <c r="D89" s="676">
        <f t="shared" si="28"/>
        <v>2803.4684999999999</v>
      </c>
      <c r="E89" s="676" t="e">
        <f t="shared" si="29"/>
        <v>#N/A</v>
      </c>
      <c r="F89" s="676" t="e">
        <f t="shared" si="30"/>
        <v>#N/A</v>
      </c>
      <c r="G89" s="676">
        <f t="shared" ca="1" si="31"/>
        <v>2803.4684999999999</v>
      </c>
      <c r="H89" s="676" t="e">
        <f t="shared" ca="1" si="32"/>
        <v>#N/A</v>
      </c>
      <c r="I89" s="676" t="e">
        <f t="shared" ca="1" si="33"/>
        <v>#N/A</v>
      </c>
      <c r="K89" s="676">
        <f>SUMIFS('Other Exp'!AG:AG,'Other Exp'!$C:$C,$A$89,'Other Exp'!$B:$B,$D$1)</f>
        <v>2803.4684999999999</v>
      </c>
      <c r="L89" s="676">
        <f>SUMIFS('Other Exp'!AH:AH,'Other Exp'!$C:$C,$A$89,'Other Exp'!$B:$B,$D$1)</f>
        <v>2778.93</v>
      </c>
      <c r="M89" s="676">
        <f>SUMIFS('Other Exp'!AI:AI,'Other Exp'!$C:$C,$A$89,'Other Exp'!$B:$B,$D$1)</f>
        <v>2778.93</v>
      </c>
      <c r="N89" s="676">
        <f>SUMIFS('Other Exp'!AJ:AJ,'Other Exp'!$C:$C,$A$89,'Other Exp'!$B:$B,$D$1)</f>
        <v>2778.93</v>
      </c>
      <c r="O89" s="676">
        <f>SUMIFS('Other Exp'!AK:AK,'Other Exp'!$C:$C,$A$89,'Other Exp'!$B:$B,$D$1)</f>
        <v>2778.93</v>
      </c>
      <c r="P89" s="676">
        <f>SUMIFS('Other Exp'!AL:AL,'Other Exp'!$C:$C,$A$89,'Other Exp'!$B:$B,$D$1)</f>
        <v>2778.93</v>
      </c>
      <c r="Q89" s="676">
        <f>SUMIFS('Other Exp'!AM:AM,'Other Exp'!$C:$C,$A$89,'Other Exp'!$B:$B,$D$1)</f>
        <v>2778.93</v>
      </c>
      <c r="R89" s="676">
        <f>SUMIFS('Other Exp'!AN:AN,'Other Exp'!$C:$C,$A$89,'Other Exp'!$B:$B,$D$1)</f>
        <v>2778.93</v>
      </c>
      <c r="S89" s="676">
        <f>SUMIFS('Other Exp'!AO:AO,'Other Exp'!$C:$C,$A$89,'Other Exp'!$B:$B,$D$1)</f>
        <v>2778.93</v>
      </c>
      <c r="T89" s="676">
        <f>SUMIFS('Other Exp'!AP:AP,'Other Exp'!$C:$C,$A$89,'Other Exp'!$B:$B,$D$1)</f>
        <v>2778.93</v>
      </c>
      <c r="U89" s="676">
        <f>SUMIFS('Other Exp'!AQ:AQ,'Other Exp'!$C:$C,$A$89,'Other Exp'!$B:$B,$D$1)</f>
        <v>2778.93</v>
      </c>
      <c r="V89" s="676">
        <f>SUMIFS('Other Exp'!AR:AR,'Other Exp'!$C:$C,$A$89,'Other Exp'!$B:$B,$D$1)</f>
        <v>2778.93</v>
      </c>
      <c r="W89" s="676">
        <f t="shared" si="41"/>
        <v>33371.698499999999</v>
      </c>
      <c r="Y89" s="688">
        <f>IFERROR(VLOOKUP($A89,'[91]1月'!$A:$H,8,0),0)</f>
        <v>0</v>
      </c>
      <c r="Z89" s="688">
        <f>IFERROR(VLOOKUP($A89,'[91]2月'!$A:$H,8,0),0)</f>
        <v>0</v>
      </c>
      <c r="AA89" s="688">
        <f>IFERROR(VLOOKUP($A89,'[91]3月'!$A:$H,8,0),0)</f>
        <v>0</v>
      </c>
      <c r="AB89" s="688">
        <f>IFERROR(VLOOKUP($A89,'[91]4月'!$A:$H,8,0),0)</f>
        <v>0</v>
      </c>
      <c r="AC89" s="688">
        <f>IFERROR(VLOOKUP($A89,'[91]5月'!$A:$H,8,0),0)</f>
        <v>0</v>
      </c>
      <c r="AD89" s="688">
        <f>IFERROR(VLOOKUP($A89,'[91]6月'!$A:$H,8,0),0)</f>
        <v>0</v>
      </c>
      <c r="AE89" s="688">
        <f>IFERROR(VLOOKUP($A89,'[91]7月'!$A:$H,8,0),0)</f>
        <v>0</v>
      </c>
      <c r="AF89" s="688">
        <f>IFERROR(VLOOKUP($A89,'[91]8月'!$A:$H,8,0),0)</f>
        <v>0</v>
      </c>
      <c r="AG89" s="688">
        <f>IFERROR(VLOOKUP($A89,'[91]9月'!$A:$H,8,0),0)</f>
        <v>0</v>
      </c>
      <c r="AH89" s="688">
        <f>IFERROR(VLOOKUP($A89,'[91]10月'!$A:$H,8,0),0)</f>
        <v>0</v>
      </c>
      <c r="AI89" s="688">
        <f>IFERROR(VLOOKUP($A89,'[91]11月'!$A:$H,8,0),0)</f>
        <v>0</v>
      </c>
      <c r="AJ89" s="688">
        <f>IFERROR(VLOOKUP($A89,'[91]12月'!$A:$H,8,0),0)</f>
        <v>0</v>
      </c>
      <c r="AK89" s="688">
        <f t="shared" si="35"/>
        <v>0</v>
      </c>
    </row>
    <row r="90" spans="1:37" ht="11.1" customHeight="1">
      <c r="A90" s="653" t="str">
        <f>'Budget-合并'!A90</f>
        <v>6602.08.10</v>
      </c>
      <c r="B90" s="653" t="str">
        <f>'Budget-合并'!B90</f>
        <v>电话国际直拨/电话会议收费</v>
      </c>
      <c r="C90" s="687" t="str">
        <f>'Budget-合并'!C90</f>
        <v>Telephone IDD/Teleconf Charge</v>
      </c>
      <c r="D90" s="676">
        <f t="shared" si="28"/>
        <v>0</v>
      </c>
      <c r="E90" s="676" t="e">
        <f t="shared" si="29"/>
        <v>#N/A</v>
      </c>
      <c r="F90" s="676" t="e">
        <f t="shared" si="30"/>
        <v>#N/A</v>
      </c>
      <c r="G90" s="676">
        <f t="shared" ca="1" si="31"/>
        <v>0</v>
      </c>
      <c r="H90" s="676" t="e">
        <f t="shared" ca="1" si="32"/>
        <v>#N/A</v>
      </c>
      <c r="I90" s="676" t="e">
        <f t="shared" ca="1" si="33"/>
        <v>#N/A</v>
      </c>
      <c r="K90" s="676">
        <f>SUMIFS(SPACE!O$3:O$106,SPACE!$A$3:$A$106,$D$1,SPACE!$C$3:$C$106,$A90)</f>
        <v>0</v>
      </c>
      <c r="L90" s="676">
        <f>SUMIFS(SPACE!P$3:P$106,SPACE!$A$3:$A$106,$D$1,SPACE!$C$3:$C$106,$A90)</f>
        <v>0</v>
      </c>
      <c r="M90" s="676">
        <f>SUMIFS(SPACE!Q$3:Q$106,SPACE!$A$3:$A$106,$D$1,SPACE!$C$3:$C$106,$A90)</f>
        <v>0</v>
      </c>
      <c r="N90" s="676">
        <f>SUMIFS(SPACE!R$3:R$106,SPACE!$A$3:$A$106,$D$1,SPACE!$C$3:$C$106,$A90)</f>
        <v>0</v>
      </c>
      <c r="O90" s="676">
        <f>SUMIFS(SPACE!S$3:S$106,SPACE!$A$3:$A$106,$D$1,SPACE!$C$3:$C$106,$A90)</f>
        <v>0</v>
      </c>
      <c r="P90" s="676">
        <f>SUMIFS(SPACE!T$3:T$106,SPACE!$A$3:$A$106,$D$1,SPACE!$C$3:$C$106,$A90)</f>
        <v>0</v>
      </c>
      <c r="Q90" s="676">
        <f>SUMIFS(SPACE!U$3:U$106,SPACE!$A$3:$A$106,$D$1,SPACE!$C$3:$C$106,$A90)</f>
        <v>0</v>
      </c>
      <c r="R90" s="676">
        <f>SUMIFS(SPACE!V$3:V$106,SPACE!$A$3:$A$106,$D$1,SPACE!$C$3:$C$106,$A90)</f>
        <v>0</v>
      </c>
      <c r="S90" s="676">
        <f>SUMIFS(SPACE!W$3:W$106,SPACE!$A$3:$A$106,$D$1,SPACE!$C$3:$C$106,$A90)</f>
        <v>0</v>
      </c>
      <c r="T90" s="676">
        <f>SUMIFS(SPACE!X$3:X$106,SPACE!$A$3:$A$106,$D$1,SPACE!$C$3:$C$106,$A90)</f>
        <v>0</v>
      </c>
      <c r="U90" s="676">
        <f>SUMIFS(SPACE!Y$3:Y$106,SPACE!$A$3:$A$106,$D$1,SPACE!$C$3:$C$106,$A90)</f>
        <v>0</v>
      </c>
      <c r="V90" s="676">
        <f>SUMIFS(SPACE!Z$3:Z$106,SPACE!$A$3:$A$106,$D$1,SPACE!$C$3:$C$106,$A90)</f>
        <v>0</v>
      </c>
      <c r="W90" s="676">
        <f t="shared" si="41"/>
        <v>0</v>
      </c>
      <c r="Y90" s="688">
        <f>IFERROR(VLOOKUP($A90,'[91]1月'!$A:$H,8,0),0)</f>
        <v>348</v>
      </c>
      <c r="Z90" s="688">
        <f>IFERROR(VLOOKUP($A90,'[91]2月'!$A:$H,8,0),0)</f>
        <v>348</v>
      </c>
      <c r="AA90" s="688">
        <f>IFERROR(VLOOKUP($A90,'[91]3月'!$A:$H,8,0),0)</f>
        <v>348</v>
      </c>
      <c r="AB90" s="688">
        <f>IFERROR(VLOOKUP($A90,'[91]4月'!$A:$H,8,0),0)</f>
        <v>348</v>
      </c>
      <c r="AC90" s="688">
        <f>IFERROR(VLOOKUP($A90,'[91]5月'!$A:$H,8,0),0)</f>
        <v>348</v>
      </c>
      <c r="AD90" s="688">
        <f>IFERROR(VLOOKUP($A90,'[91]6月'!$A:$H,8,0),0)</f>
        <v>348</v>
      </c>
      <c r="AE90" s="688">
        <f>IFERROR(VLOOKUP($A90,'[91]7月'!$A:$H,8,0),0)</f>
        <v>348</v>
      </c>
      <c r="AF90" s="688">
        <f>IFERROR(VLOOKUP($A90,'[91]8月'!$A:$H,8,0),0)</f>
        <v>348</v>
      </c>
      <c r="AG90" s="688">
        <f>IFERROR(VLOOKUP($A90,'[91]9月'!$A:$H,8,0),0)</f>
        <v>348</v>
      </c>
      <c r="AH90" s="688">
        <f>IFERROR(VLOOKUP($A90,'[91]10月'!$A:$H,8,0),0)</f>
        <v>348</v>
      </c>
      <c r="AI90" s="688">
        <f>IFERROR(VLOOKUP($A90,'[91]11月'!$A:$H,8,0),0)</f>
        <v>348</v>
      </c>
      <c r="AJ90" s="688">
        <f>IFERROR(VLOOKUP($A90,'[91]12月'!$A:$H,8,0),0)</f>
        <v>348</v>
      </c>
      <c r="AK90" s="688">
        <f t="shared" si="35"/>
        <v>4176</v>
      </c>
    </row>
    <row r="91" spans="1:37" ht="11.1" customHeight="1">
      <c r="A91" s="653" t="str">
        <f>'Budget-合并'!A91</f>
        <v>6602.08.99</v>
      </c>
      <c r="B91" s="653" t="str">
        <f>'Budget-合并'!B91</f>
        <v>其他</v>
      </c>
      <c r="C91" s="687">
        <f>'Budget-合并'!C91</f>
        <v>0</v>
      </c>
      <c r="D91" s="676">
        <f t="shared" si="28"/>
        <v>0</v>
      </c>
      <c r="E91" s="676" t="e">
        <f t="shared" si="29"/>
        <v>#N/A</v>
      </c>
      <c r="F91" s="676" t="e">
        <f t="shared" si="30"/>
        <v>#N/A</v>
      </c>
      <c r="G91" s="676">
        <f t="shared" ca="1" si="31"/>
        <v>0</v>
      </c>
      <c r="H91" s="676" t="e">
        <f t="shared" ca="1" si="32"/>
        <v>#N/A</v>
      </c>
      <c r="I91" s="676" t="e">
        <f t="shared" ca="1" si="33"/>
        <v>#N/A</v>
      </c>
      <c r="K91" s="676">
        <f>SUMIFS('Other Exp'!AG:AG,'Other Exp'!$C:$C,$A$91,'Other Exp'!$B:$B,$D$1)</f>
        <v>0</v>
      </c>
      <c r="L91" s="676">
        <f>SUMIFS('Other Exp'!AH:AH,'Other Exp'!$C:$C,$A$91,'Other Exp'!$B:$B,$D$1)</f>
        <v>0</v>
      </c>
      <c r="M91" s="676">
        <f>SUMIFS('Other Exp'!AI:AI,'Other Exp'!$C:$C,$A$91,'Other Exp'!$B:$B,$D$1)</f>
        <v>0</v>
      </c>
      <c r="N91" s="676">
        <f>SUMIFS('Other Exp'!AJ:AJ,'Other Exp'!$C:$C,$A$91,'Other Exp'!$B:$B,$D$1)</f>
        <v>0</v>
      </c>
      <c r="O91" s="676">
        <f>SUMIFS('Other Exp'!AK:AK,'Other Exp'!$C:$C,$A$91,'Other Exp'!$B:$B,$D$1)</f>
        <v>0</v>
      </c>
      <c r="P91" s="676">
        <f>SUMIFS('Other Exp'!AL:AL,'Other Exp'!$C:$C,$A$91,'Other Exp'!$B:$B,$D$1)</f>
        <v>0</v>
      </c>
      <c r="Q91" s="676">
        <f>SUMIFS('Other Exp'!AM:AM,'Other Exp'!$C:$C,$A$91,'Other Exp'!$B:$B,$D$1)</f>
        <v>0</v>
      </c>
      <c r="R91" s="676">
        <f>SUMIFS('Other Exp'!AN:AN,'Other Exp'!$C:$C,$A$91,'Other Exp'!$B:$B,$D$1)</f>
        <v>0</v>
      </c>
      <c r="S91" s="676">
        <f>SUMIFS('Other Exp'!AO:AO,'Other Exp'!$C:$C,$A$91,'Other Exp'!$B:$B,$D$1)</f>
        <v>0</v>
      </c>
      <c r="T91" s="676">
        <f>SUMIFS('Other Exp'!AP:AP,'Other Exp'!$C:$C,$A$91,'Other Exp'!$B:$B,$D$1)</f>
        <v>0</v>
      </c>
      <c r="U91" s="676">
        <f>SUMIFS('Other Exp'!AQ:AQ,'Other Exp'!$C:$C,$A$91,'Other Exp'!$B:$B,$D$1)</f>
        <v>0</v>
      </c>
      <c r="V91" s="676">
        <f>SUMIFS('Other Exp'!AR:AR,'Other Exp'!$C:$C,$A$91,'Other Exp'!$B:$B,$D$1)</f>
        <v>0</v>
      </c>
      <c r="W91" s="676">
        <f t="shared" si="41"/>
        <v>0</v>
      </c>
      <c r="Y91" s="688">
        <f>IFERROR(VLOOKUP($A91,'[91]1月'!$A:$H,8,0),0)</f>
        <v>0</v>
      </c>
      <c r="Z91" s="688">
        <f>IFERROR(VLOOKUP($A91,'[91]2月'!$A:$H,8,0),0)</f>
        <v>0</v>
      </c>
      <c r="AA91" s="688">
        <f>IFERROR(VLOOKUP($A91,'[91]3月'!$A:$H,8,0),0)</f>
        <v>0</v>
      </c>
      <c r="AB91" s="688">
        <f>IFERROR(VLOOKUP($A91,'[91]4月'!$A:$H,8,0),0)</f>
        <v>0</v>
      </c>
      <c r="AC91" s="688">
        <f>IFERROR(VLOOKUP($A91,'[91]5月'!$A:$H,8,0),0)</f>
        <v>0</v>
      </c>
      <c r="AD91" s="688">
        <f>IFERROR(VLOOKUP($A91,'[91]6月'!$A:$H,8,0),0)</f>
        <v>0</v>
      </c>
      <c r="AE91" s="688">
        <f>IFERROR(VLOOKUP($A91,'[91]7月'!$A:$H,8,0),0)</f>
        <v>0</v>
      </c>
      <c r="AF91" s="688">
        <f>IFERROR(VLOOKUP($A91,'[91]8月'!$A:$H,8,0),0)</f>
        <v>0</v>
      </c>
      <c r="AG91" s="688">
        <f>IFERROR(VLOOKUP($A91,'[91]9月'!$A:$H,8,0),0)</f>
        <v>0</v>
      </c>
      <c r="AH91" s="688">
        <f>IFERROR(VLOOKUP($A91,'[91]10月'!$A:$H,8,0),0)</f>
        <v>0</v>
      </c>
      <c r="AI91" s="688">
        <f>IFERROR(VLOOKUP($A91,'[91]11月'!$A:$H,8,0),0)</f>
        <v>0</v>
      </c>
      <c r="AJ91" s="688">
        <f>IFERROR(VLOOKUP($A91,'[91]12月'!$A:$H,8,0),0)</f>
        <v>0</v>
      </c>
      <c r="AK91" s="688">
        <f t="shared" si="35"/>
        <v>0</v>
      </c>
    </row>
    <row r="92" spans="1:37" ht="11.1" customHeight="1">
      <c r="A92" s="663" t="str">
        <f>'Budget-合并'!A92</f>
        <v>6602.09</v>
      </c>
      <c r="B92" s="663" t="str">
        <f>'Budget-合并'!B92</f>
        <v>差旅费</v>
      </c>
      <c r="C92" s="687">
        <f>'Budget-合并'!C92</f>
        <v>0</v>
      </c>
      <c r="D92" s="676">
        <f t="shared" ca="1" si="28"/>
        <v>30645.32233333333</v>
      </c>
      <c r="E92" s="676" t="e">
        <f t="shared" si="29"/>
        <v>#N/A</v>
      </c>
      <c r="F92" s="676" t="e">
        <f t="shared" ca="1" si="30"/>
        <v>#N/A</v>
      </c>
      <c r="G92" s="676">
        <f t="shared" ca="1" si="31"/>
        <v>30645.32233333333</v>
      </c>
      <c r="H92" s="676" t="e">
        <f t="shared" ca="1" si="32"/>
        <v>#N/A</v>
      </c>
      <c r="I92" s="676" t="e">
        <f t="shared" ca="1" si="33"/>
        <v>#N/A</v>
      </c>
      <c r="K92" s="676">
        <f ca="1">SUM(K93,K97,K101,K105,K109,K113,K117,K118,K122,K126)</f>
        <v>30645.32233333333</v>
      </c>
      <c r="L92" s="676">
        <f t="shared" ref="L92:V92" ca="1" si="43">SUM(L93,L97,L101,L105,L109,L113,L117,L118,L122,L126)</f>
        <v>30377.086666666666</v>
      </c>
      <c r="M92" s="676">
        <f t="shared" ca="1" si="43"/>
        <v>30377.086666666666</v>
      </c>
      <c r="N92" s="676">
        <f t="shared" ca="1" si="43"/>
        <v>30377.086666666666</v>
      </c>
      <c r="O92" s="676">
        <f t="shared" ca="1" si="43"/>
        <v>30377.086666666666</v>
      </c>
      <c r="P92" s="676">
        <f t="shared" ca="1" si="43"/>
        <v>30377.086666666666</v>
      </c>
      <c r="Q92" s="676">
        <f t="shared" ca="1" si="43"/>
        <v>30377.086666666666</v>
      </c>
      <c r="R92" s="676">
        <f t="shared" ca="1" si="43"/>
        <v>30377.086666666666</v>
      </c>
      <c r="S92" s="676">
        <f t="shared" ca="1" si="43"/>
        <v>30377.086666666666</v>
      </c>
      <c r="T92" s="676">
        <f t="shared" ca="1" si="43"/>
        <v>30377.086666666666</v>
      </c>
      <c r="U92" s="676">
        <f t="shared" ca="1" si="43"/>
        <v>30377.086666666666</v>
      </c>
      <c r="V92" s="676">
        <f t="shared" ca="1" si="43"/>
        <v>30377.086666666666</v>
      </c>
      <c r="W92" s="676">
        <f t="shared" ca="1" si="41"/>
        <v>364793.27566666668</v>
      </c>
      <c r="Y92" s="688">
        <f>IFERROR(VLOOKUP($A92,'[91]1月'!$A:$H,8,0),0)</f>
        <v>0</v>
      </c>
      <c r="Z92" s="688">
        <f>IFERROR(VLOOKUP($A92,'[91]2月'!$A:$H,8,0),0)</f>
        <v>37962.699999999997</v>
      </c>
      <c r="AA92" s="688">
        <f>IFERROR(VLOOKUP($A92,'[91]3月'!$A:$H,8,0),0)</f>
        <v>3937.17</v>
      </c>
      <c r="AB92" s="688">
        <f>IFERROR(VLOOKUP($A92,'[91]4月'!$A:$H,8,0),0)</f>
        <v>0</v>
      </c>
      <c r="AC92" s="688">
        <f>IFERROR(VLOOKUP($A92,'[91]5月'!$A:$H,8,0),0)</f>
        <v>14290.73</v>
      </c>
      <c r="AD92" s="688">
        <f>IFERROR(VLOOKUP($A92,'[91]6月'!$A:$H,8,0),0)</f>
        <v>3481.75</v>
      </c>
      <c r="AE92" s="688">
        <f>IFERROR(VLOOKUP($A92,'[91]7月'!$A:$H,8,0),0)</f>
        <v>407.36</v>
      </c>
      <c r="AF92" s="688">
        <f>IFERROR(VLOOKUP($A92,'[91]8月'!$A:$H,8,0),0)</f>
        <v>0</v>
      </c>
      <c r="AG92" s="688">
        <f>IFERROR(VLOOKUP($A92,'[91]9月'!$A:$H,8,0),0)</f>
        <v>57842.13</v>
      </c>
      <c r="AH92" s="688">
        <f>IFERROR(VLOOKUP($A92,'[91]10月'!$A:$H,8,0),0)</f>
        <v>0</v>
      </c>
      <c r="AI92" s="688">
        <f>IFERROR(VLOOKUP($A92,'[91]11月'!$A:$H,8,0),0)</f>
        <v>0</v>
      </c>
      <c r="AJ92" s="688">
        <f>IFERROR(VLOOKUP($A92,'[91]12月'!$A:$H,8,0),0)</f>
        <v>166</v>
      </c>
      <c r="AK92" s="688">
        <f t="shared" si="35"/>
        <v>118087.84</v>
      </c>
    </row>
    <row r="93" spans="1:37" ht="11.1" customHeight="1">
      <c r="A93" s="653" t="str">
        <f>'Budget-合并'!A93</f>
        <v>6602.09.01</v>
      </c>
      <c r="B93" s="653" t="str">
        <f>'Budget-合并'!B93</f>
        <v>住宿费</v>
      </c>
      <c r="C93" s="687" t="str">
        <f>'Budget-合并'!C93</f>
        <v>Travel Lodging</v>
      </c>
      <c r="D93" s="676">
        <f t="shared" ca="1" si="28"/>
        <v>11347.372499999999</v>
      </c>
      <c r="E93" s="676" t="e">
        <f t="shared" si="29"/>
        <v>#N/A</v>
      </c>
      <c r="F93" s="676" t="e">
        <f t="shared" ca="1" si="30"/>
        <v>#N/A</v>
      </c>
      <c r="G93" s="676">
        <f t="shared" ca="1" si="31"/>
        <v>11347.372499999999</v>
      </c>
      <c r="H93" s="676" t="e">
        <f t="shared" ca="1" si="32"/>
        <v>#N/A</v>
      </c>
      <c r="I93" s="676" t="e">
        <f t="shared" ca="1" si="33"/>
        <v>#N/A</v>
      </c>
      <c r="K93" s="676">
        <f ca="1">SUM(K94:K96)</f>
        <v>11347.372499999999</v>
      </c>
      <c r="L93" s="676">
        <f t="shared" ref="L93:V93" ca="1" si="44">SUM(L94:L96)</f>
        <v>11248.05</v>
      </c>
      <c r="M93" s="676">
        <f t="shared" ca="1" si="44"/>
        <v>11248.05</v>
      </c>
      <c r="N93" s="676">
        <f t="shared" ca="1" si="44"/>
        <v>11248.05</v>
      </c>
      <c r="O93" s="676">
        <f t="shared" ca="1" si="44"/>
        <v>11248.05</v>
      </c>
      <c r="P93" s="676">
        <f t="shared" ca="1" si="44"/>
        <v>11248.05</v>
      </c>
      <c r="Q93" s="676">
        <f t="shared" ca="1" si="44"/>
        <v>11248.05</v>
      </c>
      <c r="R93" s="676">
        <f t="shared" ca="1" si="44"/>
        <v>11248.05</v>
      </c>
      <c r="S93" s="676">
        <f t="shared" ca="1" si="44"/>
        <v>11248.05</v>
      </c>
      <c r="T93" s="676">
        <f t="shared" ca="1" si="44"/>
        <v>11248.05</v>
      </c>
      <c r="U93" s="676">
        <f t="shared" ca="1" si="44"/>
        <v>11248.05</v>
      </c>
      <c r="V93" s="676">
        <f t="shared" ca="1" si="44"/>
        <v>11248.05</v>
      </c>
      <c r="W93" s="676">
        <f t="shared" ca="1" si="41"/>
        <v>135075.92250000002</v>
      </c>
      <c r="Y93" s="688">
        <f>IFERROR(VLOOKUP($A93,'[91]1月'!$A:$H,8,0),0)</f>
        <v>0</v>
      </c>
      <c r="Z93" s="688">
        <f>IFERROR(VLOOKUP($A93,'[91]2月'!$A:$H,8,0),0)</f>
        <v>0</v>
      </c>
      <c r="AA93" s="688">
        <f>IFERROR(VLOOKUP($A93,'[91]3月'!$A:$H,8,0),0)</f>
        <v>0</v>
      </c>
      <c r="AB93" s="688">
        <f>IFERROR(VLOOKUP($A93,'[91]4月'!$A:$H,8,0),0)</f>
        <v>0</v>
      </c>
      <c r="AC93" s="688">
        <f>IFERROR(VLOOKUP($A93,'[91]5月'!$A:$H,8,0),0)</f>
        <v>0</v>
      </c>
      <c r="AD93" s="688">
        <f>IFERROR(VLOOKUP($A93,'[91]6月'!$A:$H,8,0),0)</f>
        <v>0</v>
      </c>
      <c r="AE93" s="688">
        <f>IFERROR(VLOOKUP($A93,'[91]7月'!$A:$H,8,0),0)</f>
        <v>0</v>
      </c>
      <c r="AF93" s="688">
        <f>IFERROR(VLOOKUP($A93,'[91]8月'!$A:$H,8,0),0)</f>
        <v>0</v>
      </c>
      <c r="AG93" s="688">
        <f>IFERROR(VLOOKUP($A93,'[91]9月'!$A:$H,8,0),0)</f>
        <v>0</v>
      </c>
      <c r="AH93" s="688">
        <f>IFERROR(VLOOKUP($A93,'[91]10月'!$A:$H,8,0),0)</f>
        <v>0</v>
      </c>
      <c r="AI93" s="688">
        <f>IFERROR(VLOOKUP($A93,'[91]11月'!$A:$H,8,0),0)</f>
        <v>0</v>
      </c>
      <c r="AJ93" s="688">
        <f>IFERROR(VLOOKUP($A93,'[91]12月'!$A:$H,8,0),0)</f>
        <v>0</v>
      </c>
      <c r="AK93" s="688">
        <f t="shared" si="35"/>
        <v>0</v>
      </c>
    </row>
    <row r="94" spans="1:37" ht="11.1" customHeight="1">
      <c r="A94" s="711">
        <f ca="1">ROUND('T&amp;E'!J61/'T&amp;E'!J59,2)</f>
        <v>0.13</v>
      </c>
      <c r="B94" s="653" t="str">
        <f>'Budget-合并'!B94</f>
        <v xml:space="preserve">    公司主体03</v>
      </c>
      <c r="C94" s="687" t="str">
        <f>'Budget-合并'!C94</f>
        <v xml:space="preserve">   Entity</v>
      </c>
      <c r="D94" s="676">
        <f t="shared" ca="1" si="28"/>
        <v>1475.1584250000001</v>
      </c>
      <c r="E94" s="676" t="e">
        <f t="shared" si="29"/>
        <v>#N/A</v>
      </c>
      <c r="F94" s="676" t="e">
        <f t="shared" ca="1" si="30"/>
        <v>#N/A</v>
      </c>
      <c r="G94" s="676">
        <f t="shared" ca="1" si="31"/>
        <v>1475.1584250000001</v>
      </c>
      <c r="H94" s="676" t="e">
        <f t="shared" ca="1" si="32"/>
        <v>#N/A</v>
      </c>
      <c r="I94" s="676" t="e">
        <f t="shared" ca="1" si="33"/>
        <v>#N/A</v>
      </c>
      <c r="K94" s="676">
        <f ca="1">SUMIFS('T&amp;E'!N$49:N$58,'T&amp;E'!$B$49:$B$58,$D$1,'T&amp;E'!$C$49:$C$58,$A$93)*$A94</f>
        <v>1475.1584250000001</v>
      </c>
      <c r="L94" s="676">
        <f ca="1">SUMIFS('T&amp;E'!O$49:O$58,'T&amp;E'!$B$49:$B$58,$D$1,'T&amp;E'!$C$49:$C$58,$A$93)*$A94</f>
        <v>1462.2465</v>
      </c>
      <c r="M94" s="676">
        <f ca="1">SUMIFS('T&amp;E'!P$49:P$58,'T&amp;E'!$B$49:$B$58,$D$1,'T&amp;E'!$C$49:$C$58,$A$93)*$A94</f>
        <v>1462.2465</v>
      </c>
      <c r="N94" s="676">
        <f ca="1">SUMIFS('T&amp;E'!Q$49:Q$58,'T&amp;E'!$B$49:$B$58,$D$1,'T&amp;E'!$C$49:$C$58,$A$93)*$A94</f>
        <v>1462.2465</v>
      </c>
      <c r="O94" s="676">
        <f ca="1">SUMIFS('T&amp;E'!R$49:R$58,'T&amp;E'!$B$49:$B$58,$D$1,'T&amp;E'!$C$49:$C$58,$A$93)*$A94</f>
        <v>1462.2465</v>
      </c>
      <c r="P94" s="676">
        <f ca="1">SUMIFS('T&amp;E'!S$49:S$58,'T&amp;E'!$B$49:$B$58,$D$1,'T&amp;E'!$C$49:$C$58,$A$93)*$A94</f>
        <v>1462.2465</v>
      </c>
      <c r="Q94" s="676">
        <f ca="1">SUMIFS('T&amp;E'!T$49:T$58,'T&amp;E'!$B$49:$B$58,$D$1,'T&amp;E'!$C$49:$C$58,$A$93)*$A94</f>
        <v>1462.2465</v>
      </c>
      <c r="R94" s="676">
        <f ca="1">SUMIFS('T&amp;E'!U$49:U$58,'T&amp;E'!$B$49:$B$58,$D$1,'T&amp;E'!$C$49:$C$58,$A$93)*$A94</f>
        <v>1462.2465</v>
      </c>
      <c r="S94" s="676">
        <f ca="1">SUMIFS('T&amp;E'!V$49:V$58,'T&amp;E'!$B$49:$B$58,$D$1,'T&amp;E'!$C$49:$C$58,$A$93)*$A94</f>
        <v>1462.2465</v>
      </c>
      <c r="T94" s="676">
        <f ca="1">SUMIFS('T&amp;E'!W$49:W$58,'T&amp;E'!$B$49:$B$58,$D$1,'T&amp;E'!$C$49:$C$58,$A$93)*$A94</f>
        <v>1462.2465</v>
      </c>
      <c r="U94" s="676">
        <f ca="1">SUMIFS('T&amp;E'!X$49:X$58,'T&amp;E'!$B$49:$B$58,$D$1,'T&amp;E'!$C$49:$C$58,$A$93)*$A94</f>
        <v>1462.2465</v>
      </c>
      <c r="V94" s="676">
        <f ca="1">SUMIFS('T&amp;E'!Y$49:Y$58,'T&amp;E'!$B$49:$B$58,$D$1,'T&amp;E'!$C$49:$C$58,$A$93)*$A94</f>
        <v>1462.2465</v>
      </c>
      <c r="W94" s="676">
        <f t="shared" ca="1" si="41"/>
        <v>17559.869924999995</v>
      </c>
      <c r="Y94" s="688">
        <f ca="1">IFERROR(VLOOKUP($A94,'[91]1月'!$A:$H,8,0),0)</f>
        <v>0</v>
      </c>
      <c r="Z94" s="688">
        <f ca="1">IFERROR(VLOOKUP($A94,'[91]2月'!$A:$H,8,0),0)</f>
        <v>0</v>
      </c>
      <c r="AA94" s="688">
        <f ca="1">IFERROR(VLOOKUP($A94,'[91]3月'!$A:$H,8,0),0)</f>
        <v>0</v>
      </c>
      <c r="AB94" s="688">
        <f ca="1">IFERROR(VLOOKUP($A94,'[91]4月'!$A:$H,8,0),0)</f>
        <v>0</v>
      </c>
      <c r="AC94" s="688">
        <f ca="1">IFERROR(VLOOKUP($A94,'[91]5月'!$A:$H,8,0),0)</f>
        <v>0</v>
      </c>
      <c r="AD94" s="688">
        <f ca="1">IFERROR(VLOOKUP($A94,'[91]6月'!$A:$H,8,0),0)</f>
        <v>0</v>
      </c>
      <c r="AE94" s="688">
        <f ca="1">IFERROR(VLOOKUP($A94,'[91]7月'!$A:$H,8,0),0)</f>
        <v>0</v>
      </c>
      <c r="AF94" s="688">
        <f ca="1">IFERROR(VLOOKUP($A94,'[91]8月'!$A:$H,8,0),0)</f>
        <v>0</v>
      </c>
      <c r="AG94" s="688">
        <f ca="1">IFERROR(VLOOKUP($A94,'[91]9月'!$A:$H,8,0),0)</f>
        <v>0</v>
      </c>
      <c r="AH94" s="688">
        <f ca="1">IFERROR(VLOOKUP($A94,'[91]10月'!$A:$H,8,0),0)</f>
        <v>0</v>
      </c>
      <c r="AI94" s="688">
        <f ca="1">IFERROR(VLOOKUP($A94,'[91]11月'!$A:$H,8,0),0)</f>
        <v>0</v>
      </c>
      <c r="AJ94" s="688">
        <f ca="1">IFERROR(VLOOKUP($A94,'[91]12月'!$A:$H,8,0),0)</f>
        <v>0</v>
      </c>
      <c r="AK94" s="688">
        <f t="shared" ca="1" si="35"/>
        <v>0</v>
      </c>
    </row>
    <row r="95" spans="1:37" ht="11.1" customHeight="1">
      <c r="A95" s="711">
        <f ca="1">ROUND('T&amp;E'!J60/'T&amp;E'!J59,2)</f>
        <v>0.87</v>
      </c>
      <c r="B95" s="653" t="str">
        <f>'Budget-合并'!B95</f>
        <v xml:space="preserve">    旭智富能03</v>
      </c>
      <c r="C95" s="687" t="str">
        <f>'Budget-合并'!C95</f>
        <v xml:space="preserve">   Foxpower</v>
      </c>
      <c r="D95" s="676">
        <f t="shared" ca="1" si="28"/>
        <v>9872.2140749999999</v>
      </c>
      <c r="E95" s="676" t="e">
        <f t="shared" si="29"/>
        <v>#N/A</v>
      </c>
      <c r="F95" s="676" t="e">
        <f t="shared" ca="1" si="30"/>
        <v>#N/A</v>
      </c>
      <c r="G95" s="676">
        <f t="shared" ca="1" si="31"/>
        <v>9872.2140749999999</v>
      </c>
      <c r="H95" s="676" t="e">
        <f t="shared" ca="1" si="32"/>
        <v>#N/A</v>
      </c>
      <c r="I95" s="676" t="e">
        <f t="shared" ca="1" si="33"/>
        <v>#N/A</v>
      </c>
      <c r="K95" s="676">
        <f ca="1">SUMIFS('T&amp;E'!N$49:N$58,'T&amp;E'!$B$49:$B$58,$D$1,'T&amp;E'!$C$49:$C$58,$A$93)*$A95</f>
        <v>9872.2140749999999</v>
      </c>
      <c r="L95" s="676">
        <f ca="1">SUMIFS('T&amp;E'!O$49:O$58,'T&amp;E'!$B$49:$B$58,$D$1,'T&amp;E'!$C$49:$C$58,$A$93)*$A95</f>
        <v>9785.8035</v>
      </c>
      <c r="M95" s="676">
        <f ca="1">SUMIFS('T&amp;E'!P$49:P$58,'T&amp;E'!$B$49:$B$58,$D$1,'T&amp;E'!$C$49:$C$58,$A$93)*$A95</f>
        <v>9785.8035</v>
      </c>
      <c r="N95" s="676">
        <f ca="1">SUMIFS('T&amp;E'!Q$49:Q$58,'T&amp;E'!$B$49:$B$58,$D$1,'T&amp;E'!$C$49:$C$58,$A$93)*$A95</f>
        <v>9785.8035</v>
      </c>
      <c r="O95" s="676">
        <f ca="1">SUMIFS('T&amp;E'!R$49:R$58,'T&amp;E'!$B$49:$B$58,$D$1,'T&amp;E'!$C$49:$C$58,$A$93)*$A95</f>
        <v>9785.8035</v>
      </c>
      <c r="P95" s="676">
        <f ca="1">SUMIFS('T&amp;E'!S$49:S$58,'T&amp;E'!$B$49:$B$58,$D$1,'T&amp;E'!$C$49:$C$58,$A$93)*$A95</f>
        <v>9785.8035</v>
      </c>
      <c r="Q95" s="676">
        <f ca="1">SUMIFS('T&amp;E'!T$49:T$58,'T&amp;E'!$B$49:$B$58,$D$1,'T&amp;E'!$C$49:$C$58,$A$93)*$A95</f>
        <v>9785.8035</v>
      </c>
      <c r="R95" s="676">
        <f ca="1">SUMIFS('T&amp;E'!U$49:U$58,'T&amp;E'!$B$49:$B$58,$D$1,'T&amp;E'!$C$49:$C$58,$A$93)*$A95</f>
        <v>9785.8035</v>
      </c>
      <c r="S95" s="676">
        <f ca="1">SUMIFS('T&amp;E'!V$49:V$58,'T&amp;E'!$B$49:$B$58,$D$1,'T&amp;E'!$C$49:$C$58,$A$93)*$A95</f>
        <v>9785.8035</v>
      </c>
      <c r="T95" s="676">
        <f ca="1">SUMIFS('T&amp;E'!W$49:W$58,'T&amp;E'!$B$49:$B$58,$D$1,'T&amp;E'!$C$49:$C$58,$A$93)*$A95</f>
        <v>9785.8035</v>
      </c>
      <c r="U95" s="676">
        <f ca="1">SUMIFS('T&amp;E'!X$49:X$58,'T&amp;E'!$B$49:$B$58,$D$1,'T&amp;E'!$C$49:$C$58,$A$93)*$A95</f>
        <v>9785.8035</v>
      </c>
      <c r="V95" s="676">
        <f ca="1">SUMIFS('T&amp;E'!Y$49:Y$58,'T&amp;E'!$B$49:$B$58,$D$1,'T&amp;E'!$C$49:$C$58,$A$93)*$A95</f>
        <v>9785.8035</v>
      </c>
      <c r="W95" s="676">
        <f t="shared" ca="1" si="41"/>
        <v>117516.05257499998</v>
      </c>
      <c r="Y95" s="688">
        <f ca="1">IFERROR(VLOOKUP($A95,'[91]1月'!$A:$H,8,0),0)</f>
        <v>0</v>
      </c>
      <c r="Z95" s="688">
        <f ca="1">IFERROR(VLOOKUP($A95,'[91]2月'!$A:$H,8,0),0)</f>
        <v>0</v>
      </c>
      <c r="AA95" s="688">
        <f ca="1">IFERROR(VLOOKUP($A95,'[91]3月'!$A:$H,8,0),0)</f>
        <v>0</v>
      </c>
      <c r="AB95" s="688">
        <f ca="1">IFERROR(VLOOKUP($A95,'[91]4月'!$A:$H,8,0),0)</f>
        <v>0</v>
      </c>
      <c r="AC95" s="688">
        <f ca="1">IFERROR(VLOOKUP($A95,'[91]5月'!$A:$H,8,0),0)</f>
        <v>0</v>
      </c>
      <c r="AD95" s="688">
        <f ca="1">IFERROR(VLOOKUP($A95,'[91]6月'!$A:$H,8,0),0)</f>
        <v>0</v>
      </c>
      <c r="AE95" s="688">
        <f ca="1">IFERROR(VLOOKUP($A95,'[91]7月'!$A:$H,8,0),0)</f>
        <v>0</v>
      </c>
      <c r="AF95" s="688">
        <f ca="1">IFERROR(VLOOKUP($A95,'[91]8月'!$A:$H,8,0),0)</f>
        <v>0</v>
      </c>
      <c r="AG95" s="688">
        <f ca="1">IFERROR(VLOOKUP($A95,'[91]9月'!$A:$H,8,0),0)</f>
        <v>0</v>
      </c>
      <c r="AH95" s="688">
        <f ca="1">IFERROR(VLOOKUP($A95,'[91]10月'!$A:$H,8,0),0)</f>
        <v>0</v>
      </c>
      <c r="AI95" s="688">
        <f ca="1">IFERROR(VLOOKUP($A95,'[91]11月'!$A:$H,8,0),0)</f>
        <v>0</v>
      </c>
      <c r="AJ95" s="688">
        <f ca="1">IFERROR(VLOOKUP($A95,'[91]12月'!$A:$H,8,0),0)</f>
        <v>0</v>
      </c>
      <c r="AK95" s="688">
        <f t="shared" ca="1" si="35"/>
        <v>0</v>
      </c>
    </row>
    <row r="96" spans="1:37" ht="11.1" customHeight="1">
      <c r="A96" s="653">
        <f>'Budget-合并'!A96</f>
        <v>0</v>
      </c>
      <c r="B96" s="653" t="str">
        <f>'Budget-合并'!B96</f>
        <v xml:space="preserve">    其他项目03</v>
      </c>
      <c r="C96" s="687" t="str">
        <f>'Budget-合并'!C96</f>
        <v xml:space="preserve">   Other project</v>
      </c>
      <c r="D96" s="676">
        <f t="shared" si="28"/>
        <v>0</v>
      </c>
      <c r="E96" s="676" t="e">
        <f t="shared" si="29"/>
        <v>#N/A</v>
      </c>
      <c r="F96" s="676" t="e">
        <f t="shared" si="30"/>
        <v>#N/A</v>
      </c>
      <c r="G96" s="676">
        <f t="shared" ca="1" si="31"/>
        <v>0</v>
      </c>
      <c r="H96" s="676" t="e">
        <f t="shared" ca="1" si="32"/>
        <v>#N/A</v>
      </c>
      <c r="I96" s="676" t="e">
        <f t="shared" ca="1" si="33"/>
        <v>#N/A</v>
      </c>
      <c r="K96" s="676"/>
      <c r="L96" s="676"/>
      <c r="M96" s="676"/>
      <c r="N96" s="676"/>
      <c r="O96" s="676"/>
      <c r="P96" s="676"/>
      <c r="Q96" s="676"/>
      <c r="R96" s="676"/>
      <c r="S96" s="676"/>
      <c r="T96" s="676"/>
      <c r="U96" s="676"/>
      <c r="V96" s="676"/>
      <c r="W96" s="676">
        <f t="shared" si="41"/>
        <v>0</v>
      </c>
      <c r="Y96" s="688">
        <f>IFERROR(VLOOKUP($A96,'[91]1月'!$A:$H,8,0),0)</f>
        <v>0</v>
      </c>
      <c r="Z96" s="688">
        <f>IFERROR(VLOOKUP($A96,'[91]2月'!$A:$H,8,0),0)</f>
        <v>0</v>
      </c>
      <c r="AA96" s="688">
        <f>IFERROR(VLOOKUP($A96,'[91]3月'!$A:$H,8,0),0)</f>
        <v>0</v>
      </c>
      <c r="AB96" s="688">
        <f>IFERROR(VLOOKUP($A96,'[91]4月'!$A:$H,8,0),0)</f>
        <v>0</v>
      </c>
      <c r="AC96" s="688">
        <f>IFERROR(VLOOKUP($A96,'[91]5月'!$A:$H,8,0),0)</f>
        <v>0</v>
      </c>
      <c r="AD96" s="688">
        <f>IFERROR(VLOOKUP($A96,'[91]6月'!$A:$H,8,0),0)</f>
        <v>0</v>
      </c>
      <c r="AE96" s="688">
        <f>IFERROR(VLOOKUP($A96,'[91]7月'!$A:$H,8,0),0)</f>
        <v>0</v>
      </c>
      <c r="AF96" s="688">
        <f>IFERROR(VLOOKUP($A96,'[91]8月'!$A:$H,8,0),0)</f>
        <v>0</v>
      </c>
      <c r="AG96" s="688">
        <f>IFERROR(VLOOKUP($A96,'[91]9月'!$A:$H,8,0),0)</f>
        <v>0</v>
      </c>
      <c r="AH96" s="688">
        <f>IFERROR(VLOOKUP($A96,'[91]10月'!$A:$H,8,0),0)</f>
        <v>0</v>
      </c>
      <c r="AI96" s="688">
        <f>IFERROR(VLOOKUP($A96,'[91]11月'!$A:$H,8,0),0)</f>
        <v>0</v>
      </c>
      <c r="AJ96" s="688">
        <f>IFERROR(VLOOKUP($A96,'[91]12月'!$A:$H,8,0),0)</f>
        <v>0</v>
      </c>
      <c r="AK96" s="688">
        <f t="shared" si="35"/>
        <v>0</v>
      </c>
    </row>
    <row r="97" spans="1:37" ht="11.1" customHeight="1">
      <c r="A97" s="653" t="str">
        <f>'Budget-合并'!A97</f>
        <v>6602.09.02</v>
      </c>
      <c r="B97" s="653" t="str">
        <f>'Budget-合并'!B97</f>
        <v>伙食费</v>
      </c>
      <c r="C97" s="687">
        <f>'Budget-合并'!C97</f>
        <v>0</v>
      </c>
      <c r="D97" s="676">
        <f t="shared" ca="1" si="28"/>
        <v>4405.4504999999999</v>
      </c>
      <c r="E97" s="676" t="e">
        <f t="shared" si="29"/>
        <v>#N/A</v>
      </c>
      <c r="F97" s="676" t="e">
        <f t="shared" ca="1" si="30"/>
        <v>#N/A</v>
      </c>
      <c r="G97" s="676">
        <f t="shared" ca="1" si="31"/>
        <v>4405.4504999999999</v>
      </c>
      <c r="H97" s="676" t="e">
        <f t="shared" ca="1" si="32"/>
        <v>#N/A</v>
      </c>
      <c r="I97" s="676" t="e">
        <f t="shared" ca="1" si="33"/>
        <v>#N/A</v>
      </c>
      <c r="K97" s="676">
        <f ca="1">SUM(K98:K100)</f>
        <v>4405.4504999999999</v>
      </c>
      <c r="L97" s="676">
        <f t="shared" ref="L97:V97" ca="1" si="45">SUM(L98:L100)</f>
        <v>4366.8900000000003</v>
      </c>
      <c r="M97" s="676">
        <f t="shared" ca="1" si="45"/>
        <v>4366.8900000000003</v>
      </c>
      <c r="N97" s="676">
        <f t="shared" ca="1" si="45"/>
        <v>4366.8900000000003</v>
      </c>
      <c r="O97" s="676">
        <f t="shared" ca="1" si="45"/>
        <v>4366.8900000000003</v>
      </c>
      <c r="P97" s="676">
        <f t="shared" ca="1" si="45"/>
        <v>4366.8900000000003</v>
      </c>
      <c r="Q97" s="676">
        <f t="shared" ca="1" si="45"/>
        <v>4366.8900000000003</v>
      </c>
      <c r="R97" s="676">
        <f t="shared" ca="1" si="45"/>
        <v>4366.8900000000003</v>
      </c>
      <c r="S97" s="676">
        <f t="shared" ca="1" si="45"/>
        <v>4366.8900000000003</v>
      </c>
      <c r="T97" s="676">
        <f t="shared" ca="1" si="45"/>
        <v>4366.8900000000003</v>
      </c>
      <c r="U97" s="676">
        <f t="shared" ca="1" si="45"/>
        <v>4366.8900000000003</v>
      </c>
      <c r="V97" s="676">
        <f t="shared" ca="1" si="45"/>
        <v>4366.8900000000003</v>
      </c>
      <c r="W97" s="676">
        <f t="shared" ca="1" si="41"/>
        <v>52441.2405</v>
      </c>
      <c r="Y97" s="688">
        <f>IFERROR(VLOOKUP($A97,'[91]1月'!$A:$H,8,0),0)</f>
        <v>0</v>
      </c>
      <c r="Z97" s="688">
        <f>IFERROR(VLOOKUP($A97,'[91]2月'!$A:$H,8,0),0)</f>
        <v>0</v>
      </c>
      <c r="AA97" s="688">
        <f>IFERROR(VLOOKUP($A97,'[91]3月'!$A:$H,8,0),0)</f>
        <v>0</v>
      </c>
      <c r="AB97" s="688">
        <f>IFERROR(VLOOKUP($A97,'[91]4月'!$A:$H,8,0),0)</f>
        <v>0</v>
      </c>
      <c r="AC97" s="688">
        <f>IFERROR(VLOOKUP($A97,'[91]5月'!$A:$H,8,0),0)</f>
        <v>0</v>
      </c>
      <c r="AD97" s="688">
        <f>IFERROR(VLOOKUP($A97,'[91]6月'!$A:$H,8,0),0)</f>
        <v>0</v>
      </c>
      <c r="AE97" s="688">
        <f>IFERROR(VLOOKUP($A97,'[91]7月'!$A:$H,8,0),0)</f>
        <v>0</v>
      </c>
      <c r="AF97" s="688">
        <f>IFERROR(VLOOKUP($A97,'[91]8月'!$A:$H,8,0),0)</f>
        <v>0</v>
      </c>
      <c r="AG97" s="688">
        <f>IFERROR(VLOOKUP($A97,'[91]9月'!$A:$H,8,0),0)</f>
        <v>0</v>
      </c>
      <c r="AH97" s="688">
        <f>IFERROR(VLOOKUP($A97,'[91]10月'!$A:$H,8,0),0)</f>
        <v>0</v>
      </c>
      <c r="AI97" s="688">
        <f>IFERROR(VLOOKUP($A97,'[91]11月'!$A:$H,8,0),0)</f>
        <v>0</v>
      </c>
      <c r="AJ97" s="688">
        <f>IFERROR(VLOOKUP($A97,'[91]12月'!$A:$H,8,0),0)</f>
        <v>0</v>
      </c>
      <c r="AK97" s="688">
        <f t="shared" si="35"/>
        <v>0</v>
      </c>
    </row>
    <row r="98" spans="1:37" ht="11.1" customHeight="1">
      <c r="A98" s="711">
        <f ca="1">A94</f>
        <v>0.13</v>
      </c>
      <c r="B98" s="653" t="str">
        <f>'Budget-合并'!B98</f>
        <v xml:space="preserve">    公司主体04</v>
      </c>
      <c r="C98" s="687" t="str">
        <f>'Budget-合并'!C98</f>
        <v xml:space="preserve">   Entity</v>
      </c>
      <c r="D98" s="676">
        <f t="shared" ca="1" si="28"/>
        <v>572.70856500000002</v>
      </c>
      <c r="E98" s="676" t="e">
        <f t="shared" si="29"/>
        <v>#N/A</v>
      </c>
      <c r="F98" s="676" t="e">
        <f t="shared" ca="1" si="30"/>
        <v>#N/A</v>
      </c>
      <c r="G98" s="676">
        <f t="shared" ca="1" si="31"/>
        <v>572.70856500000002</v>
      </c>
      <c r="H98" s="676" t="e">
        <f t="shared" ca="1" si="32"/>
        <v>#N/A</v>
      </c>
      <c r="I98" s="676" t="e">
        <f t="shared" ca="1" si="33"/>
        <v>#N/A</v>
      </c>
      <c r="K98" s="676">
        <f ca="1">SUMIFS('T&amp;E'!N$49:N$58,'T&amp;E'!$B$49:$B$58,$D$1,'T&amp;E'!$C$49:$C$58,$A$97)*$A98</f>
        <v>572.70856500000002</v>
      </c>
      <c r="L98" s="676">
        <f ca="1">SUMIFS('T&amp;E'!O$49:O$58,'T&amp;E'!$B$49:$B$58,$D$1,'T&amp;E'!$C$49:$C$58,$A$97)*$A98</f>
        <v>567.6957000000001</v>
      </c>
      <c r="M98" s="676">
        <f ca="1">SUMIFS('T&amp;E'!P$49:P$58,'T&amp;E'!$B$49:$B$58,$D$1,'T&amp;E'!$C$49:$C$58,$A$97)*$A98</f>
        <v>567.6957000000001</v>
      </c>
      <c r="N98" s="676">
        <f ca="1">SUMIFS('T&amp;E'!Q$49:Q$58,'T&amp;E'!$B$49:$B$58,$D$1,'T&amp;E'!$C$49:$C$58,$A$97)*$A98</f>
        <v>567.6957000000001</v>
      </c>
      <c r="O98" s="676">
        <f ca="1">SUMIFS('T&amp;E'!R$49:R$58,'T&amp;E'!$B$49:$B$58,$D$1,'T&amp;E'!$C$49:$C$58,$A$97)*$A98</f>
        <v>567.6957000000001</v>
      </c>
      <c r="P98" s="676">
        <f ca="1">SUMIFS('T&amp;E'!S$49:S$58,'T&amp;E'!$B$49:$B$58,$D$1,'T&amp;E'!$C$49:$C$58,$A$97)*$A98</f>
        <v>567.6957000000001</v>
      </c>
      <c r="Q98" s="676">
        <f ca="1">SUMIFS('T&amp;E'!T$49:T$58,'T&amp;E'!$B$49:$B$58,$D$1,'T&amp;E'!$C$49:$C$58,$A$97)*$A98</f>
        <v>567.6957000000001</v>
      </c>
      <c r="R98" s="676">
        <f ca="1">SUMIFS('T&amp;E'!U$49:U$58,'T&amp;E'!$B$49:$B$58,$D$1,'T&amp;E'!$C$49:$C$58,$A$97)*$A98</f>
        <v>567.6957000000001</v>
      </c>
      <c r="S98" s="676">
        <f ca="1">SUMIFS('T&amp;E'!V$49:V$58,'T&amp;E'!$B$49:$B$58,$D$1,'T&amp;E'!$C$49:$C$58,$A$97)*$A98</f>
        <v>567.6957000000001</v>
      </c>
      <c r="T98" s="676">
        <f ca="1">SUMIFS('T&amp;E'!W$49:W$58,'T&amp;E'!$B$49:$B$58,$D$1,'T&amp;E'!$C$49:$C$58,$A$97)*$A98</f>
        <v>567.6957000000001</v>
      </c>
      <c r="U98" s="676">
        <f ca="1">SUMIFS('T&amp;E'!X$49:X$58,'T&amp;E'!$B$49:$B$58,$D$1,'T&amp;E'!$C$49:$C$58,$A$97)*$A98</f>
        <v>567.6957000000001</v>
      </c>
      <c r="V98" s="676">
        <f ca="1">SUMIFS('T&amp;E'!Y$49:Y$58,'T&amp;E'!$B$49:$B$58,$D$1,'T&amp;E'!$C$49:$C$58,$A$97)*$A98</f>
        <v>567.6957000000001</v>
      </c>
      <c r="W98" s="676">
        <f t="shared" ca="1" si="41"/>
        <v>6817.3612650000023</v>
      </c>
      <c r="Y98" s="688">
        <f ca="1">IFERROR(VLOOKUP($A98,'[91]1月'!$A:$H,8,0),0)</f>
        <v>0</v>
      </c>
      <c r="Z98" s="688">
        <f ca="1">IFERROR(VLOOKUP($A98,'[91]2月'!$A:$H,8,0),0)</f>
        <v>0</v>
      </c>
      <c r="AA98" s="688">
        <f ca="1">IFERROR(VLOOKUP($A98,'[91]3月'!$A:$H,8,0),0)</f>
        <v>0</v>
      </c>
      <c r="AB98" s="688">
        <f ca="1">IFERROR(VLOOKUP($A98,'[91]4月'!$A:$H,8,0),0)</f>
        <v>0</v>
      </c>
      <c r="AC98" s="688">
        <f ca="1">IFERROR(VLOOKUP($A98,'[91]5月'!$A:$H,8,0),0)</f>
        <v>0</v>
      </c>
      <c r="AD98" s="688">
        <f ca="1">IFERROR(VLOOKUP($A98,'[91]6月'!$A:$H,8,0),0)</f>
        <v>0</v>
      </c>
      <c r="AE98" s="688">
        <f ca="1">IFERROR(VLOOKUP($A98,'[91]7月'!$A:$H,8,0),0)</f>
        <v>0</v>
      </c>
      <c r="AF98" s="688">
        <f ca="1">IFERROR(VLOOKUP($A98,'[91]8月'!$A:$H,8,0),0)</f>
        <v>0</v>
      </c>
      <c r="AG98" s="688">
        <f ca="1">IFERROR(VLOOKUP($A98,'[91]9月'!$A:$H,8,0),0)</f>
        <v>0</v>
      </c>
      <c r="AH98" s="688">
        <f ca="1">IFERROR(VLOOKUP($A98,'[91]10月'!$A:$H,8,0),0)</f>
        <v>0</v>
      </c>
      <c r="AI98" s="688">
        <f ca="1">IFERROR(VLOOKUP($A98,'[91]11月'!$A:$H,8,0),0)</f>
        <v>0</v>
      </c>
      <c r="AJ98" s="688">
        <f ca="1">IFERROR(VLOOKUP($A98,'[91]12月'!$A:$H,8,0),0)</f>
        <v>0</v>
      </c>
      <c r="AK98" s="688">
        <f t="shared" ca="1" si="35"/>
        <v>0</v>
      </c>
    </row>
    <row r="99" spans="1:37" ht="11.1" customHeight="1">
      <c r="A99" s="711">
        <f ca="1">A95</f>
        <v>0.87</v>
      </c>
      <c r="B99" s="653" t="str">
        <f>'Budget-合并'!B99</f>
        <v xml:space="preserve">    旭智富能04</v>
      </c>
      <c r="C99" s="687" t="str">
        <f>'Budget-合并'!C99</f>
        <v xml:space="preserve">   Foxpower</v>
      </c>
      <c r="D99" s="676">
        <f t="shared" ca="1" si="28"/>
        <v>3832.741935</v>
      </c>
      <c r="E99" s="676" t="e">
        <f t="shared" si="29"/>
        <v>#N/A</v>
      </c>
      <c r="F99" s="676" t="e">
        <f t="shared" ca="1" si="30"/>
        <v>#N/A</v>
      </c>
      <c r="G99" s="676">
        <f t="shared" ca="1" si="31"/>
        <v>3832.741935</v>
      </c>
      <c r="H99" s="676" t="e">
        <f t="shared" ca="1" si="32"/>
        <v>#N/A</v>
      </c>
      <c r="I99" s="676" t="e">
        <f t="shared" ca="1" si="33"/>
        <v>#N/A</v>
      </c>
      <c r="K99" s="676">
        <f ca="1">SUMIFS('T&amp;E'!N$49:N$58,'T&amp;E'!$B$49:$B$58,$D$1,'T&amp;E'!$C$49:$C$58,$A$97)*$A99</f>
        <v>3832.741935</v>
      </c>
      <c r="L99" s="676">
        <f ca="1">SUMIFS('T&amp;E'!O$49:O$58,'T&amp;E'!$B$49:$B$58,$D$1,'T&amp;E'!$C$49:$C$58,$A$97)*$A99</f>
        <v>3799.1943000000001</v>
      </c>
      <c r="M99" s="676">
        <f ca="1">SUMIFS('T&amp;E'!P$49:P$58,'T&amp;E'!$B$49:$B$58,$D$1,'T&amp;E'!$C$49:$C$58,$A$97)*$A99</f>
        <v>3799.1943000000001</v>
      </c>
      <c r="N99" s="676">
        <f ca="1">SUMIFS('T&amp;E'!Q$49:Q$58,'T&amp;E'!$B$49:$B$58,$D$1,'T&amp;E'!$C$49:$C$58,$A$97)*$A99</f>
        <v>3799.1943000000001</v>
      </c>
      <c r="O99" s="676">
        <f ca="1">SUMIFS('T&amp;E'!R$49:R$58,'T&amp;E'!$B$49:$B$58,$D$1,'T&amp;E'!$C$49:$C$58,$A$97)*$A99</f>
        <v>3799.1943000000001</v>
      </c>
      <c r="P99" s="676">
        <f ca="1">SUMIFS('T&amp;E'!S$49:S$58,'T&amp;E'!$B$49:$B$58,$D$1,'T&amp;E'!$C$49:$C$58,$A$97)*$A99</f>
        <v>3799.1943000000001</v>
      </c>
      <c r="Q99" s="676">
        <f ca="1">SUMIFS('T&amp;E'!T$49:T$58,'T&amp;E'!$B$49:$B$58,$D$1,'T&amp;E'!$C$49:$C$58,$A$97)*$A99</f>
        <v>3799.1943000000001</v>
      </c>
      <c r="R99" s="676">
        <f ca="1">SUMIFS('T&amp;E'!U$49:U$58,'T&amp;E'!$B$49:$B$58,$D$1,'T&amp;E'!$C$49:$C$58,$A$97)*$A99</f>
        <v>3799.1943000000001</v>
      </c>
      <c r="S99" s="676">
        <f ca="1">SUMIFS('T&amp;E'!V$49:V$58,'T&amp;E'!$B$49:$B$58,$D$1,'T&amp;E'!$C$49:$C$58,$A$97)*$A99</f>
        <v>3799.1943000000001</v>
      </c>
      <c r="T99" s="676">
        <f ca="1">SUMIFS('T&amp;E'!W$49:W$58,'T&amp;E'!$B$49:$B$58,$D$1,'T&amp;E'!$C$49:$C$58,$A$97)*$A99</f>
        <v>3799.1943000000001</v>
      </c>
      <c r="U99" s="676">
        <f ca="1">SUMIFS('T&amp;E'!X$49:X$58,'T&amp;E'!$B$49:$B$58,$D$1,'T&amp;E'!$C$49:$C$58,$A$97)*$A99</f>
        <v>3799.1943000000001</v>
      </c>
      <c r="V99" s="676">
        <f ca="1">SUMIFS('T&amp;E'!Y$49:Y$58,'T&amp;E'!$B$49:$B$58,$D$1,'T&amp;E'!$C$49:$C$58,$A$97)*$A99</f>
        <v>3799.1943000000001</v>
      </c>
      <c r="W99" s="676">
        <f t="shared" ca="1" si="41"/>
        <v>45623.879235000008</v>
      </c>
      <c r="Y99" s="688">
        <f ca="1">IFERROR(VLOOKUP($A99,'[91]1月'!$A:$H,8,0),0)</f>
        <v>0</v>
      </c>
      <c r="Z99" s="688">
        <f ca="1">IFERROR(VLOOKUP($A99,'[91]2月'!$A:$H,8,0),0)</f>
        <v>0</v>
      </c>
      <c r="AA99" s="688">
        <f ca="1">IFERROR(VLOOKUP($A99,'[91]3月'!$A:$H,8,0),0)</f>
        <v>0</v>
      </c>
      <c r="AB99" s="688">
        <f ca="1">IFERROR(VLOOKUP($A99,'[91]4月'!$A:$H,8,0),0)</f>
        <v>0</v>
      </c>
      <c r="AC99" s="688">
        <f ca="1">IFERROR(VLOOKUP($A99,'[91]5月'!$A:$H,8,0),0)</f>
        <v>0</v>
      </c>
      <c r="AD99" s="688">
        <f ca="1">IFERROR(VLOOKUP($A99,'[91]6月'!$A:$H,8,0),0)</f>
        <v>0</v>
      </c>
      <c r="AE99" s="688">
        <f ca="1">IFERROR(VLOOKUP($A99,'[91]7月'!$A:$H,8,0),0)</f>
        <v>0</v>
      </c>
      <c r="AF99" s="688">
        <f ca="1">IFERROR(VLOOKUP($A99,'[91]8月'!$A:$H,8,0),0)</f>
        <v>0</v>
      </c>
      <c r="AG99" s="688">
        <f ca="1">IFERROR(VLOOKUP($A99,'[91]9月'!$A:$H,8,0),0)</f>
        <v>0</v>
      </c>
      <c r="AH99" s="688">
        <f ca="1">IFERROR(VLOOKUP($A99,'[91]10月'!$A:$H,8,0),0)</f>
        <v>0</v>
      </c>
      <c r="AI99" s="688">
        <f ca="1">IFERROR(VLOOKUP($A99,'[91]11月'!$A:$H,8,0),0)</f>
        <v>0</v>
      </c>
      <c r="AJ99" s="688">
        <f ca="1">IFERROR(VLOOKUP($A99,'[91]12月'!$A:$H,8,0),0)</f>
        <v>0</v>
      </c>
      <c r="AK99" s="688">
        <f t="shared" ca="1" si="35"/>
        <v>0</v>
      </c>
    </row>
    <row r="100" spans="1:37" ht="11.1" customHeight="1">
      <c r="A100" s="653">
        <f>'Budget-合并'!A100</f>
        <v>0</v>
      </c>
      <c r="B100" s="653" t="str">
        <f>'Budget-合并'!B100</f>
        <v xml:space="preserve">    其他项目04</v>
      </c>
      <c r="C100" s="687" t="str">
        <f>'Budget-合并'!C100</f>
        <v xml:space="preserve">   Other project</v>
      </c>
      <c r="D100" s="676">
        <f t="shared" si="28"/>
        <v>0</v>
      </c>
      <c r="E100" s="676" t="e">
        <f t="shared" si="29"/>
        <v>#N/A</v>
      </c>
      <c r="F100" s="676" t="e">
        <f t="shared" si="30"/>
        <v>#N/A</v>
      </c>
      <c r="G100" s="676">
        <f t="shared" ca="1" si="31"/>
        <v>0</v>
      </c>
      <c r="H100" s="676" t="e">
        <f t="shared" ca="1" si="32"/>
        <v>#N/A</v>
      </c>
      <c r="I100" s="676" t="e">
        <f t="shared" ca="1" si="33"/>
        <v>#N/A</v>
      </c>
      <c r="K100" s="676"/>
      <c r="L100" s="676"/>
      <c r="M100" s="676"/>
      <c r="N100" s="676"/>
      <c r="O100" s="676"/>
      <c r="P100" s="676"/>
      <c r="Q100" s="676"/>
      <c r="R100" s="676"/>
      <c r="S100" s="676"/>
      <c r="T100" s="676"/>
      <c r="U100" s="676"/>
      <c r="V100" s="676"/>
      <c r="W100" s="676">
        <f t="shared" si="41"/>
        <v>0</v>
      </c>
      <c r="Y100" s="688">
        <f>IFERROR(VLOOKUP($A100,'[91]1月'!$A:$H,8,0),0)</f>
        <v>0</v>
      </c>
      <c r="Z100" s="688">
        <f>IFERROR(VLOOKUP($A100,'[91]2月'!$A:$H,8,0),0)</f>
        <v>0</v>
      </c>
      <c r="AA100" s="688">
        <f>IFERROR(VLOOKUP($A100,'[91]3月'!$A:$H,8,0),0)</f>
        <v>0</v>
      </c>
      <c r="AB100" s="688">
        <f>IFERROR(VLOOKUP($A100,'[91]4月'!$A:$H,8,0),0)</f>
        <v>0</v>
      </c>
      <c r="AC100" s="688">
        <f>IFERROR(VLOOKUP($A100,'[91]5月'!$A:$H,8,0),0)</f>
        <v>0</v>
      </c>
      <c r="AD100" s="688">
        <f>IFERROR(VLOOKUP($A100,'[91]6月'!$A:$H,8,0),0)</f>
        <v>0</v>
      </c>
      <c r="AE100" s="688">
        <f>IFERROR(VLOOKUP($A100,'[91]7月'!$A:$H,8,0),0)</f>
        <v>0</v>
      </c>
      <c r="AF100" s="688">
        <f>IFERROR(VLOOKUP($A100,'[91]8月'!$A:$H,8,0),0)</f>
        <v>0</v>
      </c>
      <c r="AG100" s="688">
        <f>IFERROR(VLOOKUP($A100,'[91]9月'!$A:$H,8,0),0)</f>
        <v>0</v>
      </c>
      <c r="AH100" s="688">
        <f>IFERROR(VLOOKUP($A100,'[91]10月'!$A:$H,8,0),0)</f>
        <v>0</v>
      </c>
      <c r="AI100" s="688">
        <f>IFERROR(VLOOKUP($A100,'[91]11月'!$A:$H,8,0),0)</f>
        <v>0</v>
      </c>
      <c r="AJ100" s="688">
        <f>IFERROR(VLOOKUP($A100,'[91]12月'!$A:$H,8,0),0)</f>
        <v>0</v>
      </c>
      <c r="AK100" s="688">
        <f t="shared" si="35"/>
        <v>0</v>
      </c>
    </row>
    <row r="101" spans="1:37" ht="11.1" customHeight="1">
      <c r="A101" s="653" t="str">
        <f>'Budget-合并'!A101</f>
        <v>6602.09.03</v>
      </c>
      <c r="B101" s="653" t="str">
        <f>'Budget-合并'!B101</f>
        <v>地面交通费</v>
      </c>
      <c r="C101" s="687" t="str">
        <f>'Budget-合并'!C101</f>
        <v>Travel Ground Transport - Outstation</v>
      </c>
      <c r="D101" s="676">
        <f t="shared" ca="1" si="28"/>
        <v>6185.4304999999995</v>
      </c>
      <c r="E101" s="676" t="e">
        <f t="shared" si="29"/>
        <v>#N/A</v>
      </c>
      <c r="F101" s="676" t="e">
        <f t="shared" ca="1" si="30"/>
        <v>#N/A</v>
      </c>
      <c r="G101" s="676">
        <f t="shared" ca="1" si="31"/>
        <v>6185.4304999999995</v>
      </c>
      <c r="H101" s="676" t="e">
        <f t="shared" ca="1" si="32"/>
        <v>#N/A</v>
      </c>
      <c r="I101" s="676" t="e">
        <f t="shared" ca="1" si="33"/>
        <v>#N/A</v>
      </c>
      <c r="K101" s="676">
        <f ca="1">SUM(K102:K104)</f>
        <v>6185.4304999999995</v>
      </c>
      <c r="L101" s="676">
        <f t="shared" ref="L101:V101" ca="1" si="46">SUM(L102:L104)</f>
        <v>6131.2900000000009</v>
      </c>
      <c r="M101" s="676">
        <f t="shared" ca="1" si="46"/>
        <v>6131.2900000000009</v>
      </c>
      <c r="N101" s="676">
        <f t="shared" ca="1" si="46"/>
        <v>6131.2900000000009</v>
      </c>
      <c r="O101" s="676">
        <f t="shared" ca="1" si="46"/>
        <v>6131.2900000000009</v>
      </c>
      <c r="P101" s="676">
        <f t="shared" ca="1" si="46"/>
        <v>6131.2900000000009</v>
      </c>
      <c r="Q101" s="676">
        <f t="shared" ca="1" si="46"/>
        <v>6131.2900000000009</v>
      </c>
      <c r="R101" s="676">
        <f t="shared" ca="1" si="46"/>
        <v>6131.2900000000009</v>
      </c>
      <c r="S101" s="676">
        <f t="shared" ca="1" si="46"/>
        <v>6131.2900000000009</v>
      </c>
      <c r="T101" s="676">
        <f t="shared" ca="1" si="46"/>
        <v>6131.2900000000009</v>
      </c>
      <c r="U101" s="676">
        <f t="shared" ca="1" si="46"/>
        <v>6131.2900000000009</v>
      </c>
      <c r="V101" s="676">
        <f t="shared" ca="1" si="46"/>
        <v>6131.2900000000009</v>
      </c>
      <c r="W101" s="676">
        <f t="shared" ca="1" si="41"/>
        <v>73629.620500000019</v>
      </c>
      <c r="Y101" s="688">
        <f>IFERROR(VLOOKUP($A101,'[91]1月'!$A:$H,8,0),0)</f>
        <v>0</v>
      </c>
      <c r="Z101" s="688">
        <f>IFERROR(VLOOKUP($A101,'[91]2月'!$A:$H,8,0),0)</f>
        <v>0</v>
      </c>
      <c r="AA101" s="688">
        <f>IFERROR(VLOOKUP($A101,'[91]3月'!$A:$H,8,0),0)</f>
        <v>0</v>
      </c>
      <c r="AB101" s="688">
        <f>IFERROR(VLOOKUP($A101,'[91]4月'!$A:$H,8,0),0)</f>
        <v>0</v>
      </c>
      <c r="AC101" s="688">
        <f>IFERROR(VLOOKUP($A101,'[91]5月'!$A:$H,8,0),0)</f>
        <v>0</v>
      </c>
      <c r="AD101" s="688">
        <f>IFERROR(VLOOKUP($A101,'[91]6月'!$A:$H,8,0),0)</f>
        <v>0</v>
      </c>
      <c r="AE101" s="688">
        <f>IFERROR(VLOOKUP($A101,'[91]7月'!$A:$H,8,0),0)</f>
        <v>0</v>
      </c>
      <c r="AF101" s="688">
        <f>IFERROR(VLOOKUP($A101,'[91]8月'!$A:$H,8,0),0)</f>
        <v>0</v>
      </c>
      <c r="AG101" s="688">
        <f>IFERROR(VLOOKUP($A101,'[91]9月'!$A:$H,8,0),0)</f>
        <v>0</v>
      </c>
      <c r="AH101" s="688">
        <f>IFERROR(VLOOKUP($A101,'[91]10月'!$A:$H,8,0),0)</f>
        <v>0</v>
      </c>
      <c r="AI101" s="688">
        <f>IFERROR(VLOOKUP($A101,'[91]11月'!$A:$H,8,0),0)</f>
        <v>0</v>
      </c>
      <c r="AJ101" s="688">
        <f>IFERROR(VLOOKUP($A101,'[91]12月'!$A:$H,8,0),0)</f>
        <v>0</v>
      </c>
      <c r="AK101" s="688">
        <f t="shared" si="35"/>
        <v>0</v>
      </c>
    </row>
    <row r="102" spans="1:37" ht="11.1" customHeight="1">
      <c r="A102" s="711">
        <f ca="1">$A$94</f>
        <v>0.13</v>
      </c>
      <c r="B102" s="653" t="str">
        <f>'Budget-合并'!B102</f>
        <v xml:space="preserve">    公司主体05</v>
      </c>
      <c r="C102" s="687" t="str">
        <f>'Budget-合并'!C102</f>
        <v xml:space="preserve">   Entity</v>
      </c>
      <c r="D102" s="676">
        <f t="shared" ca="1" si="28"/>
        <v>804.10596499999997</v>
      </c>
      <c r="E102" s="676" t="e">
        <f t="shared" si="29"/>
        <v>#N/A</v>
      </c>
      <c r="F102" s="676" t="e">
        <f t="shared" ca="1" si="30"/>
        <v>#N/A</v>
      </c>
      <c r="G102" s="676">
        <f t="shared" ca="1" si="31"/>
        <v>804.10596499999997</v>
      </c>
      <c r="H102" s="676" t="e">
        <f t="shared" ca="1" si="32"/>
        <v>#N/A</v>
      </c>
      <c r="I102" s="676" t="e">
        <f t="shared" ca="1" si="33"/>
        <v>#N/A</v>
      </c>
      <c r="K102" s="676">
        <f ca="1">SUMIFS('T&amp;E'!N$49:N$58,'T&amp;E'!$B$49:$B$58,$D$1,'T&amp;E'!$C$49:$C$58,$A$101)*$A102</f>
        <v>804.10596499999997</v>
      </c>
      <c r="L102" s="676">
        <f ca="1">SUMIFS('T&amp;E'!O$49:O$58,'T&amp;E'!$B$49:$B$58,$D$1,'T&amp;E'!$C$49:$C$58,$A$101)*$A102</f>
        <v>797.06770000000006</v>
      </c>
      <c r="M102" s="676">
        <f ca="1">SUMIFS('T&amp;E'!P$49:P$58,'T&amp;E'!$B$49:$B$58,$D$1,'T&amp;E'!$C$49:$C$58,$A$101)*$A102</f>
        <v>797.06770000000006</v>
      </c>
      <c r="N102" s="676">
        <f ca="1">SUMIFS('T&amp;E'!Q$49:Q$58,'T&amp;E'!$B$49:$B$58,$D$1,'T&amp;E'!$C$49:$C$58,$A$101)*$A102</f>
        <v>797.06770000000006</v>
      </c>
      <c r="O102" s="676">
        <f ca="1">SUMIFS('T&amp;E'!R$49:R$58,'T&amp;E'!$B$49:$B$58,$D$1,'T&amp;E'!$C$49:$C$58,$A$101)*$A102</f>
        <v>797.06770000000006</v>
      </c>
      <c r="P102" s="676">
        <f ca="1">SUMIFS('T&amp;E'!S$49:S$58,'T&amp;E'!$B$49:$B$58,$D$1,'T&amp;E'!$C$49:$C$58,$A$101)*$A102</f>
        <v>797.06770000000006</v>
      </c>
      <c r="Q102" s="676">
        <f ca="1">SUMIFS('T&amp;E'!T$49:T$58,'T&amp;E'!$B$49:$B$58,$D$1,'T&amp;E'!$C$49:$C$58,$A$101)*$A102</f>
        <v>797.06770000000006</v>
      </c>
      <c r="R102" s="676">
        <f ca="1">SUMIFS('T&amp;E'!U$49:U$58,'T&amp;E'!$B$49:$B$58,$D$1,'T&amp;E'!$C$49:$C$58,$A$101)*$A102</f>
        <v>797.06770000000006</v>
      </c>
      <c r="S102" s="676">
        <f ca="1">SUMIFS('T&amp;E'!V$49:V$58,'T&amp;E'!$B$49:$B$58,$D$1,'T&amp;E'!$C$49:$C$58,$A$101)*$A102</f>
        <v>797.06770000000006</v>
      </c>
      <c r="T102" s="676">
        <f ca="1">SUMIFS('T&amp;E'!W$49:W$58,'T&amp;E'!$B$49:$B$58,$D$1,'T&amp;E'!$C$49:$C$58,$A$101)*$A102</f>
        <v>797.06770000000006</v>
      </c>
      <c r="U102" s="676">
        <f ca="1">SUMIFS('T&amp;E'!X$49:X$58,'T&amp;E'!$B$49:$B$58,$D$1,'T&amp;E'!$C$49:$C$58,$A$101)*$A102</f>
        <v>797.06770000000006</v>
      </c>
      <c r="V102" s="676">
        <f ca="1">SUMIFS('T&amp;E'!Y$49:Y$58,'T&amp;E'!$B$49:$B$58,$D$1,'T&amp;E'!$C$49:$C$58,$A$101)*$A102</f>
        <v>797.06770000000006</v>
      </c>
      <c r="W102" s="676">
        <f t="shared" ca="1" si="41"/>
        <v>9571.8506649999981</v>
      </c>
      <c r="Y102" s="688">
        <f ca="1">IFERROR(VLOOKUP($A102,'[91]1月'!$A:$H,8,0),0)</f>
        <v>0</v>
      </c>
      <c r="Z102" s="688">
        <f ca="1">IFERROR(VLOOKUP($A102,'[91]2月'!$A:$H,8,0),0)</f>
        <v>0</v>
      </c>
      <c r="AA102" s="688">
        <f ca="1">IFERROR(VLOOKUP($A102,'[91]3月'!$A:$H,8,0),0)</f>
        <v>0</v>
      </c>
      <c r="AB102" s="688">
        <f ca="1">IFERROR(VLOOKUP($A102,'[91]4月'!$A:$H,8,0),0)</f>
        <v>0</v>
      </c>
      <c r="AC102" s="688">
        <f ca="1">IFERROR(VLOOKUP($A102,'[91]5月'!$A:$H,8,0),0)</f>
        <v>0</v>
      </c>
      <c r="AD102" s="688">
        <f ca="1">IFERROR(VLOOKUP($A102,'[91]6月'!$A:$H,8,0),0)</f>
        <v>0</v>
      </c>
      <c r="AE102" s="688">
        <f ca="1">IFERROR(VLOOKUP($A102,'[91]7月'!$A:$H,8,0),0)</f>
        <v>0</v>
      </c>
      <c r="AF102" s="688">
        <f ca="1">IFERROR(VLOOKUP($A102,'[91]8月'!$A:$H,8,0),0)</f>
        <v>0</v>
      </c>
      <c r="AG102" s="688">
        <f ca="1">IFERROR(VLOOKUP($A102,'[91]9月'!$A:$H,8,0),0)</f>
        <v>0</v>
      </c>
      <c r="AH102" s="688">
        <f ca="1">IFERROR(VLOOKUP($A102,'[91]10月'!$A:$H,8,0),0)</f>
        <v>0</v>
      </c>
      <c r="AI102" s="688">
        <f ca="1">IFERROR(VLOOKUP($A102,'[91]11月'!$A:$H,8,0),0)</f>
        <v>0</v>
      </c>
      <c r="AJ102" s="688">
        <f ca="1">IFERROR(VLOOKUP($A102,'[91]12月'!$A:$H,8,0),0)</f>
        <v>0</v>
      </c>
      <c r="AK102" s="688">
        <f t="shared" ca="1" si="35"/>
        <v>0</v>
      </c>
    </row>
    <row r="103" spans="1:37" ht="11.1" customHeight="1">
      <c r="A103" s="711">
        <f ca="1">$A$95</f>
        <v>0.87</v>
      </c>
      <c r="B103" s="653" t="str">
        <f>'Budget-合并'!B103</f>
        <v xml:space="preserve">    旭智富能05</v>
      </c>
      <c r="C103" s="687" t="str">
        <f>'Budget-合并'!C103</f>
        <v xml:space="preserve">   Foxpower</v>
      </c>
      <c r="D103" s="676">
        <f t="shared" ca="1" si="28"/>
        <v>5381.3245349999997</v>
      </c>
      <c r="E103" s="676" t="e">
        <f t="shared" si="29"/>
        <v>#N/A</v>
      </c>
      <c r="F103" s="676" t="e">
        <f t="shared" ca="1" si="30"/>
        <v>#N/A</v>
      </c>
      <c r="G103" s="676">
        <f t="shared" ca="1" si="31"/>
        <v>5381.3245349999997</v>
      </c>
      <c r="H103" s="676" t="e">
        <f t="shared" ca="1" si="32"/>
        <v>#N/A</v>
      </c>
      <c r="I103" s="676" t="e">
        <f t="shared" ca="1" si="33"/>
        <v>#N/A</v>
      </c>
      <c r="K103" s="676">
        <f ca="1">SUMIFS('T&amp;E'!N$49:N$58,'T&amp;E'!$B$49:$B$58,$D$1,'T&amp;E'!$C$49:$C$58,$A$101)*$A103</f>
        <v>5381.3245349999997</v>
      </c>
      <c r="L103" s="676">
        <f ca="1">SUMIFS('T&amp;E'!O$49:O$58,'T&amp;E'!$B$49:$B$58,$D$1,'T&amp;E'!$C$49:$C$58,$A$101)*$A103</f>
        <v>5334.2223000000004</v>
      </c>
      <c r="M103" s="676">
        <f ca="1">SUMIFS('T&amp;E'!P$49:P$58,'T&amp;E'!$B$49:$B$58,$D$1,'T&amp;E'!$C$49:$C$58,$A$101)*$A103</f>
        <v>5334.2223000000004</v>
      </c>
      <c r="N103" s="676">
        <f ca="1">SUMIFS('T&amp;E'!Q$49:Q$58,'T&amp;E'!$B$49:$B$58,$D$1,'T&amp;E'!$C$49:$C$58,$A$101)*$A103</f>
        <v>5334.2223000000004</v>
      </c>
      <c r="O103" s="676">
        <f ca="1">SUMIFS('T&amp;E'!R$49:R$58,'T&amp;E'!$B$49:$B$58,$D$1,'T&amp;E'!$C$49:$C$58,$A$101)*$A103</f>
        <v>5334.2223000000004</v>
      </c>
      <c r="P103" s="676">
        <f ca="1">SUMIFS('T&amp;E'!S$49:S$58,'T&amp;E'!$B$49:$B$58,$D$1,'T&amp;E'!$C$49:$C$58,$A$101)*$A103</f>
        <v>5334.2223000000004</v>
      </c>
      <c r="Q103" s="676">
        <f ca="1">SUMIFS('T&amp;E'!T$49:T$58,'T&amp;E'!$B$49:$B$58,$D$1,'T&amp;E'!$C$49:$C$58,$A$101)*$A103</f>
        <v>5334.2223000000004</v>
      </c>
      <c r="R103" s="676">
        <f ca="1">SUMIFS('T&amp;E'!U$49:U$58,'T&amp;E'!$B$49:$B$58,$D$1,'T&amp;E'!$C$49:$C$58,$A$101)*$A103</f>
        <v>5334.2223000000004</v>
      </c>
      <c r="S103" s="676">
        <f ca="1">SUMIFS('T&amp;E'!V$49:V$58,'T&amp;E'!$B$49:$B$58,$D$1,'T&amp;E'!$C$49:$C$58,$A$101)*$A103</f>
        <v>5334.2223000000004</v>
      </c>
      <c r="T103" s="676">
        <f ca="1">SUMIFS('T&amp;E'!W$49:W$58,'T&amp;E'!$B$49:$B$58,$D$1,'T&amp;E'!$C$49:$C$58,$A$101)*$A103</f>
        <v>5334.2223000000004</v>
      </c>
      <c r="U103" s="676">
        <f ca="1">SUMIFS('T&amp;E'!X$49:X$58,'T&amp;E'!$B$49:$B$58,$D$1,'T&amp;E'!$C$49:$C$58,$A$101)*$A103</f>
        <v>5334.2223000000004</v>
      </c>
      <c r="V103" s="676">
        <f ca="1">SUMIFS('T&amp;E'!Y$49:Y$58,'T&amp;E'!$B$49:$B$58,$D$1,'T&amp;E'!$C$49:$C$58,$A$101)*$A103</f>
        <v>5334.2223000000004</v>
      </c>
      <c r="W103" s="676">
        <f t="shared" ca="1" si="41"/>
        <v>64057.769835000014</v>
      </c>
      <c r="Y103" s="688">
        <f ca="1">IFERROR(VLOOKUP($A103,'[91]1月'!$A:$H,8,0),0)</f>
        <v>0</v>
      </c>
      <c r="Z103" s="688">
        <f ca="1">IFERROR(VLOOKUP($A103,'[91]2月'!$A:$H,8,0),0)</f>
        <v>0</v>
      </c>
      <c r="AA103" s="688">
        <f ca="1">IFERROR(VLOOKUP($A103,'[91]3月'!$A:$H,8,0),0)</f>
        <v>0</v>
      </c>
      <c r="AB103" s="688">
        <f ca="1">IFERROR(VLOOKUP($A103,'[91]4月'!$A:$H,8,0),0)</f>
        <v>0</v>
      </c>
      <c r="AC103" s="688">
        <f ca="1">IFERROR(VLOOKUP($A103,'[91]5月'!$A:$H,8,0),0)</f>
        <v>0</v>
      </c>
      <c r="AD103" s="688">
        <f ca="1">IFERROR(VLOOKUP($A103,'[91]6月'!$A:$H,8,0),0)</f>
        <v>0</v>
      </c>
      <c r="AE103" s="688">
        <f ca="1">IFERROR(VLOOKUP($A103,'[91]7月'!$A:$H,8,0),0)</f>
        <v>0</v>
      </c>
      <c r="AF103" s="688">
        <f ca="1">IFERROR(VLOOKUP($A103,'[91]8月'!$A:$H,8,0),0)</f>
        <v>0</v>
      </c>
      <c r="AG103" s="688">
        <f ca="1">IFERROR(VLOOKUP($A103,'[91]9月'!$A:$H,8,0),0)</f>
        <v>0</v>
      </c>
      <c r="AH103" s="688">
        <f ca="1">IFERROR(VLOOKUP($A103,'[91]10月'!$A:$H,8,0),0)</f>
        <v>0</v>
      </c>
      <c r="AI103" s="688">
        <f ca="1">IFERROR(VLOOKUP($A103,'[91]11月'!$A:$H,8,0),0)</f>
        <v>0</v>
      </c>
      <c r="AJ103" s="688">
        <f ca="1">IFERROR(VLOOKUP($A103,'[91]12月'!$A:$H,8,0),0)</f>
        <v>0</v>
      </c>
      <c r="AK103" s="688">
        <f t="shared" ca="1" si="35"/>
        <v>0</v>
      </c>
    </row>
    <row r="104" spans="1:37" ht="11.1" customHeight="1">
      <c r="A104" s="653">
        <f>'Budget-合并'!A104</f>
        <v>0</v>
      </c>
      <c r="B104" s="653" t="str">
        <f>'Budget-合并'!B104</f>
        <v xml:space="preserve">    其他项目05</v>
      </c>
      <c r="C104" s="687" t="str">
        <f>'Budget-合并'!C104</f>
        <v xml:space="preserve">   Other project</v>
      </c>
      <c r="D104" s="676">
        <f t="shared" si="28"/>
        <v>0</v>
      </c>
      <c r="E104" s="676" t="e">
        <f t="shared" si="29"/>
        <v>#N/A</v>
      </c>
      <c r="F104" s="676" t="e">
        <f t="shared" si="30"/>
        <v>#N/A</v>
      </c>
      <c r="G104" s="676">
        <f t="shared" ca="1" si="31"/>
        <v>0</v>
      </c>
      <c r="H104" s="676" t="e">
        <f t="shared" ca="1" si="32"/>
        <v>#N/A</v>
      </c>
      <c r="I104" s="676" t="e">
        <f t="shared" ca="1" si="33"/>
        <v>#N/A</v>
      </c>
      <c r="K104" s="676"/>
      <c r="L104" s="676"/>
      <c r="M104" s="676"/>
      <c r="N104" s="676"/>
      <c r="O104" s="676"/>
      <c r="P104" s="676"/>
      <c r="Q104" s="676"/>
      <c r="R104" s="676"/>
      <c r="S104" s="676"/>
      <c r="T104" s="676"/>
      <c r="U104" s="676"/>
      <c r="V104" s="676"/>
      <c r="W104" s="676">
        <f t="shared" si="41"/>
        <v>0</v>
      </c>
      <c r="Y104" s="688">
        <f>IFERROR(VLOOKUP($A104,'[91]1月'!$A:$H,8,0),0)</f>
        <v>0</v>
      </c>
      <c r="Z104" s="688">
        <f>IFERROR(VLOOKUP($A104,'[91]2月'!$A:$H,8,0),0)</f>
        <v>0</v>
      </c>
      <c r="AA104" s="688">
        <f>IFERROR(VLOOKUP($A104,'[91]3月'!$A:$H,8,0),0)</f>
        <v>0</v>
      </c>
      <c r="AB104" s="688">
        <f>IFERROR(VLOOKUP($A104,'[91]4月'!$A:$H,8,0),0)</f>
        <v>0</v>
      </c>
      <c r="AC104" s="688">
        <f>IFERROR(VLOOKUP($A104,'[91]5月'!$A:$H,8,0),0)</f>
        <v>0</v>
      </c>
      <c r="AD104" s="688">
        <f>IFERROR(VLOOKUP($A104,'[91]6月'!$A:$H,8,0),0)</f>
        <v>0</v>
      </c>
      <c r="AE104" s="688">
        <f>IFERROR(VLOOKUP($A104,'[91]7月'!$A:$H,8,0),0)</f>
        <v>0</v>
      </c>
      <c r="AF104" s="688">
        <f>IFERROR(VLOOKUP($A104,'[91]8月'!$A:$H,8,0),0)</f>
        <v>0</v>
      </c>
      <c r="AG104" s="688">
        <f>IFERROR(VLOOKUP($A104,'[91]9月'!$A:$H,8,0),0)</f>
        <v>0</v>
      </c>
      <c r="AH104" s="688">
        <f>IFERROR(VLOOKUP($A104,'[91]10月'!$A:$H,8,0),0)</f>
        <v>0</v>
      </c>
      <c r="AI104" s="688">
        <f>IFERROR(VLOOKUP($A104,'[91]11月'!$A:$H,8,0),0)</f>
        <v>0</v>
      </c>
      <c r="AJ104" s="688">
        <f>IFERROR(VLOOKUP($A104,'[91]12月'!$A:$H,8,0),0)</f>
        <v>0</v>
      </c>
      <c r="AK104" s="688">
        <f t="shared" si="35"/>
        <v>0</v>
      </c>
    </row>
    <row r="105" spans="1:37" ht="11.1" customHeight="1">
      <c r="A105" s="653" t="str">
        <f>'Budget-合并'!A105</f>
        <v>6602.09.04</v>
      </c>
      <c r="B105" s="653" t="str">
        <f>'Budget-合并'!B105</f>
        <v>空中交通费</v>
      </c>
      <c r="C105" s="687" t="str">
        <f>'Budget-合并'!C105</f>
        <v>Travel Air Transport</v>
      </c>
      <c r="D105" s="676">
        <f t="shared" ca="1" si="28"/>
        <v>7965.4105</v>
      </c>
      <c r="E105" s="676" t="e">
        <f t="shared" si="29"/>
        <v>#N/A</v>
      </c>
      <c r="F105" s="676" t="e">
        <f t="shared" ca="1" si="30"/>
        <v>#N/A</v>
      </c>
      <c r="G105" s="676">
        <f t="shared" ca="1" si="31"/>
        <v>7965.4105</v>
      </c>
      <c r="H105" s="676" t="e">
        <f t="shared" ca="1" si="32"/>
        <v>#N/A</v>
      </c>
      <c r="I105" s="676" t="e">
        <f t="shared" ca="1" si="33"/>
        <v>#N/A</v>
      </c>
      <c r="K105" s="676">
        <f ca="1">SUM(K106:K108)</f>
        <v>7965.4105</v>
      </c>
      <c r="L105" s="676">
        <f t="shared" ref="L105:V105" ca="1" si="47">SUM(L106:L108)</f>
        <v>7895.6900000000005</v>
      </c>
      <c r="M105" s="676">
        <f t="shared" ca="1" si="47"/>
        <v>7895.6900000000005</v>
      </c>
      <c r="N105" s="676">
        <f t="shared" ca="1" si="47"/>
        <v>7895.6900000000005</v>
      </c>
      <c r="O105" s="676">
        <f t="shared" ca="1" si="47"/>
        <v>7895.6900000000005</v>
      </c>
      <c r="P105" s="676">
        <f t="shared" ca="1" si="47"/>
        <v>7895.6900000000005</v>
      </c>
      <c r="Q105" s="676">
        <f t="shared" ca="1" si="47"/>
        <v>7895.6900000000005</v>
      </c>
      <c r="R105" s="676">
        <f t="shared" ca="1" si="47"/>
        <v>7895.6900000000005</v>
      </c>
      <c r="S105" s="676">
        <f t="shared" ca="1" si="47"/>
        <v>7895.6900000000005</v>
      </c>
      <c r="T105" s="676">
        <f t="shared" ca="1" si="47"/>
        <v>7895.6900000000005</v>
      </c>
      <c r="U105" s="676">
        <f t="shared" ca="1" si="47"/>
        <v>7895.6900000000005</v>
      </c>
      <c r="V105" s="676">
        <f t="shared" ca="1" si="47"/>
        <v>7895.6900000000005</v>
      </c>
      <c r="W105" s="676">
        <f t="shared" ca="1" si="41"/>
        <v>94818.000500000024</v>
      </c>
      <c r="Y105" s="688">
        <f>IFERROR(VLOOKUP($A105,'[91]1月'!$A:$H,8,0),0)</f>
        <v>0</v>
      </c>
      <c r="Z105" s="688">
        <f>IFERROR(VLOOKUP($A105,'[91]2月'!$A:$H,8,0),0)</f>
        <v>30052.14</v>
      </c>
      <c r="AA105" s="688">
        <f>IFERROR(VLOOKUP($A105,'[91]3月'!$A:$H,8,0),0)</f>
        <v>0</v>
      </c>
      <c r="AB105" s="688">
        <f>IFERROR(VLOOKUP($A105,'[91]4月'!$A:$H,8,0),0)</f>
        <v>0</v>
      </c>
      <c r="AC105" s="688">
        <f>IFERROR(VLOOKUP($A105,'[91]5月'!$A:$H,8,0),0)</f>
        <v>8610.73</v>
      </c>
      <c r="AD105" s="688">
        <f>IFERROR(VLOOKUP($A105,'[91]6月'!$A:$H,8,0),0)</f>
        <v>3897.67</v>
      </c>
      <c r="AE105" s="688">
        <f>IFERROR(VLOOKUP($A105,'[91]7月'!$A:$H,8,0),0)</f>
        <v>0</v>
      </c>
      <c r="AF105" s="688">
        <f>IFERROR(VLOOKUP($A105,'[91]8月'!$A:$H,8,0),0)</f>
        <v>0</v>
      </c>
      <c r="AG105" s="688">
        <f>IFERROR(VLOOKUP($A105,'[91]9月'!$A:$H,8,0),0)</f>
        <v>44464.35</v>
      </c>
      <c r="AH105" s="688">
        <f>IFERROR(VLOOKUP($A105,'[91]10月'!$A:$H,8,0),0)</f>
        <v>0</v>
      </c>
      <c r="AI105" s="688">
        <f>IFERROR(VLOOKUP($A105,'[91]11月'!$A:$H,8,0),0)</f>
        <v>0</v>
      </c>
      <c r="AJ105" s="688">
        <f>IFERROR(VLOOKUP($A105,'[91]12月'!$A:$H,8,0),0)</f>
        <v>0</v>
      </c>
      <c r="AK105" s="688">
        <f t="shared" si="35"/>
        <v>87024.889999999985</v>
      </c>
    </row>
    <row r="106" spans="1:37" ht="11.1" customHeight="1">
      <c r="A106" s="711">
        <f ca="1">$A$94</f>
        <v>0.13</v>
      </c>
      <c r="B106" s="653" t="str">
        <f>'Budget-合并'!B106</f>
        <v xml:space="preserve">    公司主体06</v>
      </c>
      <c r="C106" s="687" t="str">
        <f>'Budget-合并'!C106</f>
        <v xml:space="preserve">   Entity</v>
      </c>
      <c r="D106" s="676">
        <f t="shared" ca="1" si="28"/>
        <v>1035.503365</v>
      </c>
      <c r="E106" s="676" t="e">
        <f t="shared" si="29"/>
        <v>#N/A</v>
      </c>
      <c r="F106" s="676" t="e">
        <f t="shared" ca="1" si="30"/>
        <v>#N/A</v>
      </c>
      <c r="G106" s="676">
        <f t="shared" ca="1" si="31"/>
        <v>1035.503365</v>
      </c>
      <c r="H106" s="676" t="e">
        <f t="shared" ca="1" si="32"/>
        <v>#N/A</v>
      </c>
      <c r="I106" s="676" t="e">
        <f t="shared" ca="1" si="33"/>
        <v>#N/A</v>
      </c>
      <c r="K106" s="676">
        <f ca="1">SUMIFS('T&amp;E'!N$49:N$58,'T&amp;E'!$B$49:$B$58,$D$1,'T&amp;E'!$C$49:$C$58,$A$105)*$A106</f>
        <v>1035.503365</v>
      </c>
      <c r="L106" s="676">
        <f ca="1">SUMIFS('T&amp;E'!O$49:O$58,'T&amp;E'!$B$49:$B$58,$D$1,'T&amp;E'!$C$49:$C$58,$A$105)*$A106</f>
        <v>1026.4397000000001</v>
      </c>
      <c r="M106" s="676">
        <f ca="1">SUMIFS('T&amp;E'!P$49:P$58,'T&amp;E'!$B$49:$B$58,$D$1,'T&amp;E'!$C$49:$C$58,$A$105)*$A106</f>
        <v>1026.4397000000001</v>
      </c>
      <c r="N106" s="676">
        <f ca="1">SUMIFS('T&amp;E'!Q$49:Q$58,'T&amp;E'!$B$49:$B$58,$D$1,'T&amp;E'!$C$49:$C$58,$A$105)*$A106</f>
        <v>1026.4397000000001</v>
      </c>
      <c r="O106" s="676">
        <f ca="1">SUMIFS('T&amp;E'!R$49:R$58,'T&amp;E'!$B$49:$B$58,$D$1,'T&amp;E'!$C$49:$C$58,$A$105)*$A106</f>
        <v>1026.4397000000001</v>
      </c>
      <c r="P106" s="676">
        <f ca="1">SUMIFS('T&amp;E'!S$49:S$58,'T&amp;E'!$B$49:$B$58,$D$1,'T&amp;E'!$C$49:$C$58,$A$105)*$A106</f>
        <v>1026.4397000000001</v>
      </c>
      <c r="Q106" s="676">
        <f ca="1">SUMIFS('T&amp;E'!T$49:T$58,'T&amp;E'!$B$49:$B$58,$D$1,'T&amp;E'!$C$49:$C$58,$A$105)*$A106</f>
        <v>1026.4397000000001</v>
      </c>
      <c r="R106" s="676">
        <f ca="1">SUMIFS('T&amp;E'!U$49:U$58,'T&amp;E'!$B$49:$B$58,$D$1,'T&amp;E'!$C$49:$C$58,$A$105)*$A106</f>
        <v>1026.4397000000001</v>
      </c>
      <c r="S106" s="676">
        <f ca="1">SUMIFS('T&amp;E'!V$49:V$58,'T&amp;E'!$B$49:$B$58,$D$1,'T&amp;E'!$C$49:$C$58,$A$105)*$A106</f>
        <v>1026.4397000000001</v>
      </c>
      <c r="T106" s="676">
        <f ca="1">SUMIFS('T&amp;E'!W$49:W$58,'T&amp;E'!$B$49:$B$58,$D$1,'T&amp;E'!$C$49:$C$58,$A$105)*$A106</f>
        <v>1026.4397000000001</v>
      </c>
      <c r="U106" s="676">
        <f ca="1">SUMIFS('T&amp;E'!X$49:X$58,'T&amp;E'!$B$49:$B$58,$D$1,'T&amp;E'!$C$49:$C$58,$A$105)*$A106</f>
        <v>1026.4397000000001</v>
      </c>
      <c r="V106" s="676">
        <f ca="1">SUMIFS('T&amp;E'!Y$49:Y$58,'T&amp;E'!$B$49:$B$58,$D$1,'T&amp;E'!$C$49:$C$58,$A$105)*$A106</f>
        <v>1026.4397000000001</v>
      </c>
      <c r="W106" s="676">
        <f t="shared" ca="1" si="41"/>
        <v>12326.340065000004</v>
      </c>
      <c r="Y106" s="688">
        <f ca="1">IFERROR(VLOOKUP($A106,'[91]1月'!$A:$H,8,0),0)</f>
        <v>0</v>
      </c>
      <c r="Z106" s="688">
        <f ca="1">IFERROR(VLOOKUP($A106,'[91]2月'!$A:$H,8,0),0)</f>
        <v>0</v>
      </c>
      <c r="AA106" s="688">
        <f ca="1">IFERROR(VLOOKUP($A106,'[91]3月'!$A:$H,8,0),0)</f>
        <v>0</v>
      </c>
      <c r="AB106" s="688">
        <f ca="1">IFERROR(VLOOKUP($A106,'[91]4月'!$A:$H,8,0),0)</f>
        <v>0</v>
      </c>
      <c r="AC106" s="688">
        <f ca="1">IFERROR(VLOOKUP($A106,'[91]5月'!$A:$H,8,0),0)</f>
        <v>0</v>
      </c>
      <c r="AD106" s="688">
        <f ca="1">IFERROR(VLOOKUP($A106,'[91]6月'!$A:$H,8,0),0)</f>
        <v>0</v>
      </c>
      <c r="AE106" s="688">
        <f ca="1">IFERROR(VLOOKUP($A106,'[91]7月'!$A:$H,8,0),0)</f>
        <v>0</v>
      </c>
      <c r="AF106" s="688">
        <f ca="1">IFERROR(VLOOKUP($A106,'[91]8月'!$A:$H,8,0),0)</f>
        <v>0</v>
      </c>
      <c r="AG106" s="688">
        <f ca="1">IFERROR(VLOOKUP($A106,'[91]9月'!$A:$H,8,0),0)</f>
        <v>0</v>
      </c>
      <c r="AH106" s="688">
        <f ca="1">IFERROR(VLOOKUP($A106,'[91]10月'!$A:$H,8,0),0)</f>
        <v>0</v>
      </c>
      <c r="AI106" s="688">
        <f ca="1">IFERROR(VLOOKUP($A106,'[91]11月'!$A:$H,8,0),0)</f>
        <v>0</v>
      </c>
      <c r="AJ106" s="688">
        <f ca="1">IFERROR(VLOOKUP($A106,'[91]12月'!$A:$H,8,0),0)</f>
        <v>0</v>
      </c>
      <c r="AK106" s="688">
        <f t="shared" ca="1" si="35"/>
        <v>0</v>
      </c>
    </row>
    <row r="107" spans="1:37" ht="11.1" customHeight="1">
      <c r="A107" s="711">
        <f ca="1">$A$95</f>
        <v>0.87</v>
      </c>
      <c r="B107" s="653" t="str">
        <f>'Budget-合并'!B107</f>
        <v xml:space="preserve">    旭智富能06</v>
      </c>
      <c r="C107" s="687" t="str">
        <f>'Budget-合并'!C107</f>
        <v xml:space="preserve">   Foxpower</v>
      </c>
      <c r="D107" s="676">
        <f t="shared" ca="1" si="28"/>
        <v>6929.9071350000004</v>
      </c>
      <c r="E107" s="676" t="e">
        <f t="shared" si="29"/>
        <v>#N/A</v>
      </c>
      <c r="F107" s="676" t="e">
        <f t="shared" ca="1" si="30"/>
        <v>#N/A</v>
      </c>
      <c r="G107" s="676">
        <f t="shared" ca="1" si="31"/>
        <v>6929.9071350000004</v>
      </c>
      <c r="H107" s="676" t="e">
        <f t="shared" ca="1" si="32"/>
        <v>#N/A</v>
      </c>
      <c r="I107" s="676" t="e">
        <f t="shared" ca="1" si="33"/>
        <v>#N/A</v>
      </c>
      <c r="K107" s="676">
        <f ca="1">SUMIFS('T&amp;E'!N$49:N$58,'T&amp;E'!$B$49:$B$58,$D$1,'T&amp;E'!$C$49:$C$58,$A$105)*$A107</f>
        <v>6929.9071350000004</v>
      </c>
      <c r="L107" s="676">
        <f ca="1">SUMIFS('T&amp;E'!O$49:O$58,'T&amp;E'!$B$49:$B$58,$D$1,'T&amp;E'!$C$49:$C$58,$A$105)*$A107</f>
        <v>6869.2503000000006</v>
      </c>
      <c r="M107" s="676">
        <f ca="1">SUMIFS('T&amp;E'!P$49:P$58,'T&amp;E'!$B$49:$B$58,$D$1,'T&amp;E'!$C$49:$C$58,$A$105)*$A107</f>
        <v>6869.2503000000006</v>
      </c>
      <c r="N107" s="676">
        <f ca="1">SUMIFS('T&amp;E'!Q$49:Q$58,'T&amp;E'!$B$49:$B$58,$D$1,'T&amp;E'!$C$49:$C$58,$A$105)*$A107</f>
        <v>6869.2503000000006</v>
      </c>
      <c r="O107" s="676">
        <f ca="1">SUMIFS('T&amp;E'!R$49:R$58,'T&amp;E'!$B$49:$B$58,$D$1,'T&amp;E'!$C$49:$C$58,$A$105)*$A107</f>
        <v>6869.2503000000006</v>
      </c>
      <c r="P107" s="676">
        <f ca="1">SUMIFS('T&amp;E'!S$49:S$58,'T&amp;E'!$B$49:$B$58,$D$1,'T&amp;E'!$C$49:$C$58,$A$105)*$A107</f>
        <v>6869.2503000000006</v>
      </c>
      <c r="Q107" s="676">
        <f ca="1">SUMIFS('T&amp;E'!T$49:T$58,'T&amp;E'!$B$49:$B$58,$D$1,'T&amp;E'!$C$49:$C$58,$A$105)*$A107</f>
        <v>6869.2503000000006</v>
      </c>
      <c r="R107" s="676">
        <f ca="1">SUMIFS('T&amp;E'!U$49:U$58,'T&amp;E'!$B$49:$B$58,$D$1,'T&amp;E'!$C$49:$C$58,$A$105)*$A107</f>
        <v>6869.2503000000006</v>
      </c>
      <c r="S107" s="676">
        <f ca="1">SUMIFS('T&amp;E'!V$49:V$58,'T&amp;E'!$B$49:$B$58,$D$1,'T&amp;E'!$C$49:$C$58,$A$105)*$A107</f>
        <v>6869.2503000000006</v>
      </c>
      <c r="T107" s="676">
        <f ca="1">SUMIFS('T&amp;E'!W$49:W$58,'T&amp;E'!$B$49:$B$58,$D$1,'T&amp;E'!$C$49:$C$58,$A$105)*$A107</f>
        <v>6869.2503000000006</v>
      </c>
      <c r="U107" s="676">
        <f ca="1">SUMIFS('T&amp;E'!X$49:X$58,'T&amp;E'!$B$49:$B$58,$D$1,'T&amp;E'!$C$49:$C$58,$A$105)*$A107</f>
        <v>6869.2503000000006</v>
      </c>
      <c r="V107" s="676">
        <f ca="1">SUMIFS('T&amp;E'!Y$49:Y$58,'T&amp;E'!$B$49:$B$58,$D$1,'T&amp;E'!$C$49:$C$58,$A$105)*$A107</f>
        <v>6869.2503000000006</v>
      </c>
      <c r="W107" s="676">
        <f t="shared" ca="1" si="41"/>
        <v>82491.660434999998</v>
      </c>
      <c r="Y107" s="688">
        <f ca="1">IFERROR(VLOOKUP($A107,'[91]1月'!$A:$H,8,0),0)</f>
        <v>0</v>
      </c>
      <c r="Z107" s="688">
        <f ca="1">IFERROR(VLOOKUP($A107,'[91]2月'!$A:$H,8,0),0)</f>
        <v>0</v>
      </c>
      <c r="AA107" s="688">
        <f ca="1">IFERROR(VLOOKUP($A107,'[91]3月'!$A:$H,8,0),0)</f>
        <v>0</v>
      </c>
      <c r="AB107" s="688">
        <f ca="1">IFERROR(VLOOKUP($A107,'[91]4月'!$A:$H,8,0),0)</f>
        <v>0</v>
      </c>
      <c r="AC107" s="688">
        <f ca="1">IFERROR(VLOOKUP($A107,'[91]5月'!$A:$H,8,0),0)</f>
        <v>0</v>
      </c>
      <c r="AD107" s="688">
        <f ca="1">IFERROR(VLOOKUP($A107,'[91]6月'!$A:$H,8,0),0)</f>
        <v>0</v>
      </c>
      <c r="AE107" s="688">
        <f ca="1">IFERROR(VLOOKUP($A107,'[91]7月'!$A:$H,8,0),0)</f>
        <v>0</v>
      </c>
      <c r="AF107" s="688">
        <f ca="1">IFERROR(VLOOKUP($A107,'[91]8月'!$A:$H,8,0),0)</f>
        <v>0</v>
      </c>
      <c r="AG107" s="688">
        <f ca="1">IFERROR(VLOOKUP($A107,'[91]9月'!$A:$H,8,0),0)</f>
        <v>0</v>
      </c>
      <c r="AH107" s="688">
        <f ca="1">IFERROR(VLOOKUP($A107,'[91]10月'!$A:$H,8,0),0)</f>
        <v>0</v>
      </c>
      <c r="AI107" s="688">
        <f ca="1">IFERROR(VLOOKUP($A107,'[91]11月'!$A:$H,8,0),0)</f>
        <v>0</v>
      </c>
      <c r="AJ107" s="688">
        <f ca="1">IFERROR(VLOOKUP($A107,'[91]12月'!$A:$H,8,0),0)</f>
        <v>0</v>
      </c>
      <c r="AK107" s="688">
        <f t="shared" ca="1" si="35"/>
        <v>0</v>
      </c>
    </row>
    <row r="108" spans="1:37" ht="11.1" customHeight="1">
      <c r="A108" s="653">
        <f>'Budget-合并'!A108</f>
        <v>0</v>
      </c>
      <c r="B108" s="653" t="str">
        <f>'Budget-合并'!B108</f>
        <v xml:space="preserve">    其他项目06</v>
      </c>
      <c r="C108" s="687" t="str">
        <f>'Budget-合并'!C108</f>
        <v xml:space="preserve">   Other project</v>
      </c>
      <c r="D108" s="676">
        <f t="shared" ref="D108:D153" si="48">INDEX($K108:$V108,1,MATCH($D$6,$K$6:$V$6))</f>
        <v>0</v>
      </c>
      <c r="E108" s="676" t="e">
        <f t="shared" ref="E108:E153" si="49">INDEX($Y108:$AJ108,1,MATCH($E$6,$Y$6:$AJ$6))</f>
        <v>#N/A</v>
      </c>
      <c r="F108" s="676" t="e">
        <f t="shared" ref="F108:F152" si="50">D108-E108</f>
        <v>#N/A</v>
      </c>
      <c r="G108" s="676">
        <f t="shared" ref="G108:G153" ca="1" si="51">SUM($K108:OFFSET($K108,0,MATCH(G$6,$K$6:$V$6)-1))</f>
        <v>0</v>
      </c>
      <c r="H108" s="676" t="e">
        <f t="shared" ref="H108:H152" ca="1" si="52">SUM($Y108:OFFSET($Y108,0,MATCH(H$6,$Y$6:$AJ$6)-1))</f>
        <v>#N/A</v>
      </c>
      <c r="I108" s="676" t="e">
        <f t="shared" ref="I108:I153" ca="1" si="53">G108-H108</f>
        <v>#N/A</v>
      </c>
      <c r="K108" s="676"/>
      <c r="L108" s="676"/>
      <c r="M108" s="676"/>
      <c r="N108" s="676"/>
      <c r="O108" s="676"/>
      <c r="P108" s="676"/>
      <c r="Q108" s="676"/>
      <c r="R108" s="676"/>
      <c r="S108" s="676"/>
      <c r="T108" s="676"/>
      <c r="U108" s="676"/>
      <c r="V108" s="676"/>
      <c r="W108" s="676">
        <f t="shared" si="41"/>
        <v>0</v>
      </c>
      <c r="Y108" s="688">
        <f>IFERROR(VLOOKUP($A108,'[91]1月'!$A:$H,8,0),0)</f>
        <v>0</v>
      </c>
      <c r="Z108" s="688">
        <f>IFERROR(VLOOKUP($A108,'[91]2月'!$A:$H,8,0),0)</f>
        <v>0</v>
      </c>
      <c r="AA108" s="688">
        <f>IFERROR(VLOOKUP($A108,'[91]3月'!$A:$H,8,0),0)</f>
        <v>0</v>
      </c>
      <c r="AB108" s="688">
        <f>IFERROR(VLOOKUP($A108,'[91]4月'!$A:$H,8,0),0)</f>
        <v>0</v>
      </c>
      <c r="AC108" s="688">
        <f>IFERROR(VLOOKUP($A108,'[91]5月'!$A:$H,8,0),0)</f>
        <v>0</v>
      </c>
      <c r="AD108" s="688">
        <f>IFERROR(VLOOKUP($A108,'[91]6月'!$A:$H,8,0),0)</f>
        <v>0</v>
      </c>
      <c r="AE108" s="688">
        <f>IFERROR(VLOOKUP($A108,'[91]7月'!$A:$H,8,0),0)</f>
        <v>0</v>
      </c>
      <c r="AF108" s="688">
        <f>IFERROR(VLOOKUP($A108,'[91]8月'!$A:$H,8,0),0)</f>
        <v>0</v>
      </c>
      <c r="AG108" s="688">
        <f>IFERROR(VLOOKUP($A108,'[91]9月'!$A:$H,8,0),0)</f>
        <v>0</v>
      </c>
      <c r="AH108" s="688">
        <f>IFERROR(VLOOKUP($A108,'[91]10月'!$A:$H,8,0),0)</f>
        <v>0</v>
      </c>
      <c r="AI108" s="688">
        <f>IFERROR(VLOOKUP($A108,'[91]11月'!$A:$H,8,0),0)</f>
        <v>0</v>
      </c>
      <c r="AJ108" s="688">
        <f>IFERROR(VLOOKUP($A108,'[91]12月'!$A:$H,8,0),0)</f>
        <v>0</v>
      </c>
      <c r="AK108" s="688">
        <f t="shared" ref="AK108:AK152" si="54">SUM(Y108:AJ108)</f>
        <v>0</v>
      </c>
    </row>
    <row r="109" spans="1:37" ht="11.1" customHeight="1">
      <c r="A109" s="653" t="str">
        <f>'Budget-合并'!A109</f>
        <v>6602.09.05</v>
      </c>
      <c r="B109" s="653" t="str">
        <f>'Budget-合并'!B109</f>
        <v>租车</v>
      </c>
      <c r="C109" s="687">
        <f>'Budget-合并'!C109</f>
        <v>0</v>
      </c>
      <c r="D109" s="676">
        <f t="shared" si="48"/>
        <v>0</v>
      </c>
      <c r="E109" s="676" t="e">
        <f t="shared" si="49"/>
        <v>#N/A</v>
      </c>
      <c r="F109" s="676" t="e">
        <f t="shared" si="50"/>
        <v>#N/A</v>
      </c>
      <c r="G109" s="676">
        <f t="shared" ca="1" si="51"/>
        <v>0</v>
      </c>
      <c r="H109" s="676" t="e">
        <f t="shared" ca="1" si="52"/>
        <v>#N/A</v>
      </c>
      <c r="I109" s="676" t="e">
        <f t="shared" ca="1" si="53"/>
        <v>#N/A</v>
      </c>
      <c r="K109" s="676">
        <f>SUM(K110:K112)</f>
        <v>0</v>
      </c>
      <c r="L109" s="676">
        <f t="shared" ref="L109:V109" si="55">SUM(L110:L112)</f>
        <v>0</v>
      </c>
      <c r="M109" s="676">
        <f t="shared" si="55"/>
        <v>0</v>
      </c>
      <c r="N109" s="676">
        <f t="shared" si="55"/>
        <v>0</v>
      </c>
      <c r="O109" s="676">
        <f t="shared" si="55"/>
        <v>0</v>
      </c>
      <c r="P109" s="676">
        <f t="shared" si="55"/>
        <v>0</v>
      </c>
      <c r="Q109" s="676">
        <f t="shared" si="55"/>
        <v>0</v>
      </c>
      <c r="R109" s="676">
        <f t="shared" si="55"/>
        <v>0</v>
      </c>
      <c r="S109" s="676">
        <f t="shared" si="55"/>
        <v>0</v>
      </c>
      <c r="T109" s="676">
        <f t="shared" si="55"/>
        <v>0</v>
      </c>
      <c r="U109" s="676">
        <f t="shared" si="55"/>
        <v>0</v>
      </c>
      <c r="V109" s="676">
        <f t="shared" si="55"/>
        <v>0</v>
      </c>
      <c r="W109" s="676">
        <f t="shared" ref="W109:W150" si="56">SUM(K109:V109)</f>
        <v>0</v>
      </c>
      <c r="Y109" s="688">
        <f>IFERROR(VLOOKUP($A109,'[91]1月'!$A:$H,8,0),0)</f>
        <v>0</v>
      </c>
      <c r="Z109" s="688">
        <f>IFERROR(VLOOKUP($A109,'[91]2月'!$A:$H,8,0),0)</f>
        <v>0</v>
      </c>
      <c r="AA109" s="688">
        <f>IFERROR(VLOOKUP($A109,'[91]3月'!$A:$H,8,0),0)</f>
        <v>0</v>
      </c>
      <c r="AB109" s="688">
        <f>IFERROR(VLOOKUP($A109,'[91]4月'!$A:$H,8,0),0)</f>
        <v>0</v>
      </c>
      <c r="AC109" s="688">
        <f>IFERROR(VLOOKUP($A109,'[91]5月'!$A:$H,8,0),0)</f>
        <v>0</v>
      </c>
      <c r="AD109" s="688">
        <f>IFERROR(VLOOKUP($A109,'[91]6月'!$A:$H,8,0),0)</f>
        <v>0</v>
      </c>
      <c r="AE109" s="688">
        <f>IFERROR(VLOOKUP($A109,'[91]7月'!$A:$H,8,0),0)</f>
        <v>0</v>
      </c>
      <c r="AF109" s="688">
        <f>IFERROR(VLOOKUP($A109,'[91]8月'!$A:$H,8,0),0)</f>
        <v>0</v>
      </c>
      <c r="AG109" s="688">
        <f>IFERROR(VLOOKUP($A109,'[91]9月'!$A:$H,8,0),0)</f>
        <v>0</v>
      </c>
      <c r="AH109" s="688">
        <f>IFERROR(VLOOKUP($A109,'[91]10月'!$A:$H,8,0),0)</f>
        <v>0</v>
      </c>
      <c r="AI109" s="688">
        <f>IFERROR(VLOOKUP($A109,'[91]11月'!$A:$H,8,0),0)</f>
        <v>0</v>
      </c>
      <c r="AJ109" s="688">
        <f>IFERROR(VLOOKUP($A109,'[91]12月'!$A:$H,8,0),0)</f>
        <v>0</v>
      </c>
      <c r="AK109" s="688">
        <f t="shared" si="54"/>
        <v>0</v>
      </c>
    </row>
    <row r="110" spans="1:37" ht="11.1" customHeight="1">
      <c r="A110" s="653">
        <f>'Budget-合并'!A110</f>
        <v>0</v>
      </c>
      <c r="B110" s="653" t="str">
        <f>'Budget-合并'!B110</f>
        <v xml:space="preserve">    公司主体07</v>
      </c>
      <c r="C110" s="687" t="str">
        <f>'Budget-合并'!C110</f>
        <v xml:space="preserve">   Entity</v>
      </c>
      <c r="D110" s="676">
        <f t="shared" si="48"/>
        <v>0</v>
      </c>
      <c r="E110" s="676" t="e">
        <f t="shared" si="49"/>
        <v>#N/A</v>
      </c>
      <c r="F110" s="676" t="e">
        <f t="shared" si="50"/>
        <v>#N/A</v>
      </c>
      <c r="G110" s="676">
        <f t="shared" ca="1" si="51"/>
        <v>0</v>
      </c>
      <c r="H110" s="676" t="e">
        <f t="shared" ca="1" si="52"/>
        <v>#N/A</v>
      </c>
      <c r="I110" s="676" t="e">
        <f t="shared" ca="1" si="53"/>
        <v>#N/A</v>
      </c>
      <c r="K110" s="676"/>
      <c r="L110" s="676"/>
      <c r="M110" s="676"/>
      <c r="N110" s="676"/>
      <c r="O110" s="676"/>
      <c r="P110" s="676"/>
      <c r="Q110" s="676"/>
      <c r="R110" s="676"/>
      <c r="S110" s="676"/>
      <c r="T110" s="676"/>
      <c r="U110" s="676"/>
      <c r="V110" s="676"/>
      <c r="W110" s="676">
        <f t="shared" si="56"/>
        <v>0</v>
      </c>
      <c r="Y110" s="688">
        <f>IFERROR(VLOOKUP($A110,'[91]1月'!$A:$H,8,0),0)</f>
        <v>0</v>
      </c>
      <c r="Z110" s="688">
        <f>IFERROR(VLOOKUP($A110,'[91]2月'!$A:$H,8,0),0)</f>
        <v>0</v>
      </c>
      <c r="AA110" s="688">
        <f>IFERROR(VLOOKUP($A110,'[91]3月'!$A:$H,8,0),0)</f>
        <v>0</v>
      </c>
      <c r="AB110" s="688">
        <f>IFERROR(VLOOKUP($A110,'[91]4月'!$A:$H,8,0),0)</f>
        <v>0</v>
      </c>
      <c r="AC110" s="688">
        <f>IFERROR(VLOOKUP($A110,'[91]5月'!$A:$H,8,0),0)</f>
        <v>0</v>
      </c>
      <c r="AD110" s="688">
        <f>IFERROR(VLOOKUP($A110,'[91]6月'!$A:$H,8,0),0)</f>
        <v>0</v>
      </c>
      <c r="AE110" s="688">
        <f>IFERROR(VLOOKUP($A110,'[91]7月'!$A:$H,8,0),0)</f>
        <v>0</v>
      </c>
      <c r="AF110" s="688">
        <f>IFERROR(VLOOKUP($A110,'[91]8月'!$A:$H,8,0),0)</f>
        <v>0</v>
      </c>
      <c r="AG110" s="688">
        <f>IFERROR(VLOOKUP($A110,'[91]9月'!$A:$H,8,0),0)</f>
        <v>0</v>
      </c>
      <c r="AH110" s="688">
        <f>IFERROR(VLOOKUP($A110,'[91]10月'!$A:$H,8,0),0)</f>
        <v>0</v>
      </c>
      <c r="AI110" s="688">
        <f>IFERROR(VLOOKUP($A110,'[91]11月'!$A:$H,8,0),0)</f>
        <v>0</v>
      </c>
      <c r="AJ110" s="688">
        <f>IFERROR(VLOOKUP($A110,'[91]12月'!$A:$H,8,0),0)</f>
        <v>0</v>
      </c>
      <c r="AK110" s="688">
        <f t="shared" si="54"/>
        <v>0</v>
      </c>
    </row>
    <row r="111" spans="1:37" ht="11.1" customHeight="1">
      <c r="A111" s="653">
        <f>'Budget-合并'!A111</f>
        <v>0</v>
      </c>
      <c r="B111" s="653" t="str">
        <f>'Budget-合并'!B111</f>
        <v xml:space="preserve">    旭智富能07</v>
      </c>
      <c r="C111" s="687" t="str">
        <f>'Budget-合并'!C111</f>
        <v xml:space="preserve">   Foxpower</v>
      </c>
      <c r="D111" s="676">
        <f t="shared" si="48"/>
        <v>0</v>
      </c>
      <c r="E111" s="676" t="e">
        <f t="shared" si="49"/>
        <v>#N/A</v>
      </c>
      <c r="F111" s="676" t="e">
        <f t="shared" si="50"/>
        <v>#N/A</v>
      </c>
      <c r="G111" s="676">
        <f t="shared" ca="1" si="51"/>
        <v>0</v>
      </c>
      <c r="H111" s="676" t="e">
        <f t="shared" ca="1" si="52"/>
        <v>#N/A</v>
      </c>
      <c r="I111" s="676" t="e">
        <f t="shared" ca="1" si="53"/>
        <v>#N/A</v>
      </c>
      <c r="K111" s="676"/>
      <c r="L111" s="676"/>
      <c r="M111" s="676"/>
      <c r="N111" s="676"/>
      <c r="O111" s="676"/>
      <c r="P111" s="676"/>
      <c r="Q111" s="676"/>
      <c r="R111" s="676"/>
      <c r="S111" s="676"/>
      <c r="T111" s="676"/>
      <c r="U111" s="676"/>
      <c r="V111" s="676"/>
      <c r="W111" s="676">
        <f t="shared" si="56"/>
        <v>0</v>
      </c>
      <c r="Y111" s="688">
        <f>IFERROR(VLOOKUP($A111,'[91]1月'!$A:$H,8,0),0)</f>
        <v>0</v>
      </c>
      <c r="Z111" s="688">
        <f>IFERROR(VLOOKUP($A111,'[91]2月'!$A:$H,8,0),0)</f>
        <v>0</v>
      </c>
      <c r="AA111" s="688">
        <f>IFERROR(VLOOKUP($A111,'[91]3月'!$A:$H,8,0),0)</f>
        <v>0</v>
      </c>
      <c r="AB111" s="688">
        <f>IFERROR(VLOOKUP($A111,'[91]4月'!$A:$H,8,0),0)</f>
        <v>0</v>
      </c>
      <c r="AC111" s="688">
        <f>IFERROR(VLOOKUP($A111,'[91]5月'!$A:$H,8,0),0)</f>
        <v>0</v>
      </c>
      <c r="AD111" s="688">
        <f>IFERROR(VLOOKUP($A111,'[91]6月'!$A:$H,8,0),0)</f>
        <v>0</v>
      </c>
      <c r="AE111" s="688">
        <f>IFERROR(VLOOKUP($A111,'[91]7月'!$A:$H,8,0),0)</f>
        <v>0</v>
      </c>
      <c r="AF111" s="688">
        <f>IFERROR(VLOOKUP($A111,'[91]8月'!$A:$H,8,0),0)</f>
        <v>0</v>
      </c>
      <c r="AG111" s="688">
        <f>IFERROR(VLOOKUP($A111,'[91]9月'!$A:$H,8,0),0)</f>
        <v>0</v>
      </c>
      <c r="AH111" s="688">
        <f>IFERROR(VLOOKUP($A111,'[91]10月'!$A:$H,8,0),0)</f>
        <v>0</v>
      </c>
      <c r="AI111" s="688">
        <f>IFERROR(VLOOKUP($A111,'[91]11月'!$A:$H,8,0),0)</f>
        <v>0</v>
      </c>
      <c r="AJ111" s="688">
        <f>IFERROR(VLOOKUP($A111,'[91]12月'!$A:$H,8,0),0)</f>
        <v>0</v>
      </c>
      <c r="AK111" s="688">
        <f t="shared" si="54"/>
        <v>0</v>
      </c>
    </row>
    <row r="112" spans="1:37" ht="11.1" customHeight="1">
      <c r="A112" s="653">
        <f>'Budget-合并'!A112</f>
        <v>0</v>
      </c>
      <c r="B112" s="653" t="str">
        <f>'Budget-合并'!B112</f>
        <v xml:space="preserve">    其他项目07</v>
      </c>
      <c r="C112" s="687" t="str">
        <f>'Budget-合并'!C112</f>
        <v xml:space="preserve">   Other project</v>
      </c>
      <c r="D112" s="676">
        <f t="shared" si="48"/>
        <v>0</v>
      </c>
      <c r="E112" s="676" t="e">
        <f t="shared" si="49"/>
        <v>#N/A</v>
      </c>
      <c r="F112" s="676" t="e">
        <f t="shared" si="50"/>
        <v>#N/A</v>
      </c>
      <c r="G112" s="676">
        <f t="shared" ca="1" si="51"/>
        <v>0</v>
      </c>
      <c r="H112" s="676" t="e">
        <f t="shared" ca="1" si="52"/>
        <v>#N/A</v>
      </c>
      <c r="I112" s="676" t="e">
        <f t="shared" ca="1" si="53"/>
        <v>#N/A</v>
      </c>
      <c r="K112" s="676"/>
      <c r="L112" s="676"/>
      <c r="M112" s="676"/>
      <c r="N112" s="676"/>
      <c r="O112" s="676"/>
      <c r="P112" s="676"/>
      <c r="Q112" s="676"/>
      <c r="R112" s="676"/>
      <c r="S112" s="676"/>
      <c r="T112" s="676"/>
      <c r="U112" s="676"/>
      <c r="V112" s="676"/>
      <c r="W112" s="676">
        <f t="shared" si="56"/>
        <v>0</v>
      </c>
      <c r="Y112" s="688">
        <f>IFERROR(VLOOKUP($A112,'[91]1月'!$A:$H,8,0),0)</f>
        <v>0</v>
      </c>
      <c r="Z112" s="688">
        <f>IFERROR(VLOOKUP($A112,'[91]2月'!$A:$H,8,0),0)</f>
        <v>0</v>
      </c>
      <c r="AA112" s="688">
        <f>IFERROR(VLOOKUP($A112,'[91]3月'!$A:$H,8,0),0)</f>
        <v>0</v>
      </c>
      <c r="AB112" s="688">
        <f>IFERROR(VLOOKUP($A112,'[91]4月'!$A:$H,8,0),0)</f>
        <v>0</v>
      </c>
      <c r="AC112" s="688">
        <f>IFERROR(VLOOKUP($A112,'[91]5月'!$A:$H,8,0),0)</f>
        <v>0</v>
      </c>
      <c r="AD112" s="688">
        <f>IFERROR(VLOOKUP($A112,'[91]6月'!$A:$H,8,0),0)</f>
        <v>0</v>
      </c>
      <c r="AE112" s="688">
        <f>IFERROR(VLOOKUP($A112,'[91]7月'!$A:$H,8,0),0)</f>
        <v>0</v>
      </c>
      <c r="AF112" s="688">
        <f>IFERROR(VLOOKUP($A112,'[91]8月'!$A:$H,8,0),0)</f>
        <v>0</v>
      </c>
      <c r="AG112" s="688">
        <f>IFERROR(VLOOKUP($A112,'[91]9月'!$A:$H,8,0),0)</f>
        <v>0</v>
      </c>
      <c r="AH112" s="688">
        <f>IFERROR(VLOOKUP($A112,'[91]10月'!$A:$H,8,0),0)</f>
        <v>0</v>
      </c>
      <c r="AI112" s="688">
        <f>IFERROR(VLOOKUP($A112,'[91]11月'!$A:$H,8,0),0)</f>
        <v>0</v>
      </c>
      <c r="AJ112" s="688">
        <f>IFERROR(VLOOKUP($A112,'[91]12月'!$A:$H,8,0),0)</f>
        <v>0</v>
      </c>
      <c r="AK112" s="688">
        <f t="shared" si="54"/>
        <v>0</v>
      </c>
    </row>
    <row r="113" spans="1:37" ht="11.1" customHeight="1">
      <c r="A113" s="653" t="str">
        <f>'Budget-合并'!A113</f>
        <v>6602.09.06</v>
      </c>
      <c r="B113" s="653" t="str">
        <f>'Budget-合并'!B113</f>
        <v>其他汽车费用</v>
      </c>
      <c r="C113" s="687">
        <f>'Budget-合并'!C113</f>
        <v>0</v>
      </c>
      <c r="D113" s="676">
        <f t="shared" si="48"/>
        <v>0</v>
      </c>
      <c r="E113" s="676" t="e">
        <f t="shared" si="49"/>
        <v>#N/A</v>
      </c>
      <c r="F113" s="676" t="e">
        <f t="shared" si="50"/>
        <v>#N/A</v>
      </c>
      <c r="G113" s="676">
        <f t="shared" ca="1" si="51"/>
        <v>0</v>
      </c>
      <c r="H113" s="676" t="e">
        <f t="shared" ca="1" si="52"/>
        <v>#N/A</v>
      </c>
      <c r="I113" s="676" t="e">
        <f t="shared" ca="1" si="53"/>
        <v>#N/A</v>
      </c>
      <c r="K113" s="676">
        <f>SUM(K114:K116)</f>
        <v>0</v>
      </c>
      <c r="L113" s="676">
        <f t="shared" ref="L113:V113" si="57">SUM(L114:L116)</f>
        <v>0</v>
      </c>
      <c r="M113" s="676">
        <f t="shared" si="57"/>
        <v>0</v>
      </c>
      <c r="N113" s="676">
        <f t="shared" si="57"/>
        <v>0</v>
      </c>
      <c r="O113" s="676">
        <f t="shared" si="57"/>
        <v>0</v>
      </c>
      <c r="P113" s="676">
        <f t="shared" si="57"/>
        <v>0</v>
      </c>
      <c r="Q113" s="676">
        <f t="shared" si="57"/>
        <v>0</v>
      </c>
      <c r="R113" s="676">
        <f t="shared" si="57"/>
        <v>0</v>
      </c>
      <c r="S113" s="676">
        <f t="shared" si="57"/>
        <v>0</v>
      </c>
      <c r="T113" s="676">
        <f t="shared" si="57"/>
        <v>0</v>
      </c>
      <c r="U113" s="676">
        <f t="shared" si="57"/>
        <v>0</v>
      </c>
      <c r="V113" s="676">
        <f t="shared" si="57"/>
        <v>0</v>
      </c>
      <c r="W113" s="676">
        <f t="shared" si="56"/>
        <v>0</v>
      </c>
      <c r="Y113" s="688">
        <f>IFERROR(VLOOKUP($A113,'[91]1月'!$A:$H,8,0),0)</f>
        <v>0</v>
      </c>
      <c r="Z113" s="688">
        <f>IFERROR(VLOOKUP($A113,'[91]2月'!$A:$H,8,0),0)</f>
        <v>0</v>
      </c>
      <c r="AA113" s="688">
        <f>IFERROR(VLOOKUP($A113,'[91]3月'!$A:$H,8,0),0)</f>
        <v>0</v>
      </c>
      <c r="AB113" s="688">
        <f>IFERROR(VLOOKUP($A113,'[91]4月'!$A:$H,8,0),0)</f>
        <v>0</v>
      </c>
      <c r="AC113" s="688">
        <f>IFERROR(VLOOKUP($A113,'[91]5月'!$A:$H,8,0),0)</f>
        <v>0</v>
      </c>
      <c r="AD113" s="688">
        <f>IFERROR(VLOOKUP($A113,'[91]6月'!$A:$H,8,0),0)</f>
        <v>0</v>
      </c>
      <c r="AE113" s="688">
        <f>IFERROR(VLOOKUP($A113,'[91]7月'!$A:$H,8,0),0)</f>
        <v>0</v>
      </c>
      <c r="AF113" s="688">
        <f>IFERROR(VLOOKUP($A113,'[91]8月'!$A:$H,8,0),0)</f>
        <v>0</v>
      </c>
      <c r="AG113" s="688">
        <f>IFERROR(VLOOKUP($A113,'[91]9月'!$A:$H,8,0),0)</f>
        <v>0</v>
      </c>
      <c r="AH113" s="688">
        <f>IFERROR(VLOOKUP($A113,'[91]10月'!$A:$H,8,0),0)</f>
        <v>0</v>
      </c>
      <c r="AI113" s="688">
        <f>IFERROR(VLOOKUP($A113,'[91]11月'!$A:$H,8,0),0)</f>
        <v>0</v>
      </c>
      <c r="AJ113" s="688">
        <f>IFERROR(VLOOKUP($A113,'[91]12月'!$A:$H,8,0),0)</f>
        <v>0</v>
      </c>
      <c r="AK113" s="688">
        <f t="shared" si="54"/>
        <v>0</v>
      </c>
    </row>
    <row r="114" spans="1:37" ht="11.1" customHeight="1">
      <c r="A114" s="653">
        <f>'Budget-合并'!A114</f>
        <v>0</v>
      </c>
      <c r="B114" s="653" t="str">
        <f>'Budget-合并'!B114</f>
        <v xml:space="preserve">    公司主体08</v>
      </c>
      <c r="C114" s="687" t="str">
        <f>'Budget-合并'!C114</f>
        <v xml:space="preserve">   Entity</v>
      </c>
      <c r="D114" s="676">
        <f t="shared" si="48"/>
        <v>0</v>
      </c>
      <c r="E114" s="676" t="e">
        <f t="shared" si="49"/>
        <v>#N/A</v>
      </c>
      <c r="F114" s="676" t="e">
        <f t="shared" si="50"/>
        <v>#N/A</v>
      </c>
      <c r="G114" s="676">
        <f t="shared" ca="1" si="51"/>
        <v>0</v>
      </c>
      <c r="H114" s="676" t="e">
        <f t="shared" ca="1" si="52"/>
        <v>#N/A</v>
      </c>
      <c r="I114" s="676" t="e">
        <f t="shared" ca="1" si="53"/>
        <v>#N/A</v>
      </c>
      <c r="K114" s="676"/>
      <c r="L114" s="676"/>
      <c r="M114" s="676"/>
      <c r="N114" s="676"/>
      <c r="O114" s="676"/>
      <c r="P114" s="676"/>
      <c r="Q114" s="676"/>
      <c r="R114" s="676"/>
      <c r="S114" s="676"/>
      <c r="T114" s="676"/>
      <c r="U114" s="676"/>
      <c r="V114" s="676"/>
      <c r="W114" s="676">
        <f t="shared" si="56"/>
        <v>0</v>
      </c>
      <c r="Y114" s="688">
        <f>IFERROR(VLOOKUP($A114,'[91]1月'!$A:$H,8,0),0)</f>
        <v>0</v>
      </c>
      <c r="Z114" s="688">
        <f>IFERROR(VLOOKUP($A114,'[91]2月'!$A:$H,8,0),0)</f>
        <v>0</v>
      </c>
      <c r="AA114" s="688">
        <f>IFERROR(VLOOKUP($A114,'[91]3月'!$A:$H,8,0),0)</f>
        <v>0</v>
      </c>
      <c r="AB114" s="688">
        <f>IFERROR(VLOOKUP($A114,'[91]4月'!$A:$H,8,0),0)</f>
        <v>0</v>
      </c>
      <c r="AC114" s="688">
        <f>IFERROR(VLOOKUP($A114,'[91]5月'!$A:$H,8,0),0)</f>
        <v>0</v>
      </c>
      <c r="AD114" s="688">
        <f>IFERROR(VLOOKUP($A114,'[91]6月'!$A:$H,8,0),0)</f>
        <v>0</v>
      </c>
      <c r="AE114" s="688">
        <f>IFERROR(VLOOKUP($A114,'[91]7月'!$A:$H,8,0),0)</f>
        <v>0</v>
      </c>
      <c r="AF114" s="688">
        <f>IFERROR(VLOOKUP($A114,'[91]8月'!$A:$H,8,0),0)</f>
        <v>0</v>
      </c>
      <c r="AG114" s="688">
        <f>IFERROR(VLOOKUP($A114,'[91]9月'!$A:$H,8,0),0)</f>
        <v>0</v>
      </c>
      <c r="AH114" s="688">
        <f>IFERROR(VLOOKUP($A114,'[91]10月'!$A:$H,8,0),0)</f>
        <v>0</v>
      </c>
      <c r="AI114" s="688">
        <f>IFERROR(VLOOKUP($A114,'[91]11月'!$A:$H,8,0),0)</f>
        <v>0</v>
      </c>
      <c r="AJ114" s="688">
        <f>IFERROR(VLOOKUP($A114,'[91]12月'!$A:$H,8,0),0)</f>
        <v>0</v>
      </c>
      <c r="AK114" s="688">
        <f t="shared" si="54"/>
        <v>0</v>
      </c>
    </row>
    <row r="115" spans="1:37" ht="11.1" customHeight="1">
      <c r="A115" s="653">
        <f>'Budget-合并'!A115</f>
        <v>0</v>
      </c>
      <c r="B115" s="653" t="str">
        <f>'Budget-合并'!B115</f>
        <v xml:space="preserve">    旭智富能08</v>
      </c>
      <c r="C115" s="687" t="str">
        <f>'Budget-合并'!C115</f>
        <v xml:space="preserve">   Foxpower</v>
      </c>
      <c r="D115" s="676">
        <f t="shared" si="48"/>
        <v>0</v>
      </c>
      <c r="E115" s="676" t="e">
        <f t="shared" si="49"/>
        <v>#N/A</v>
      </c>
      <c r="F115" s="676" t="e">
        <f t="shared" si="50"/>
        <v>#N/A</v>
      </c>
      <c r="G115" s="676">
        <f t="shared" ca="1" si="51"/>
        <v>0</v>
      </c>
      <c r="H115" s="676" t="e">
        <f t="shared" ca="1" si="52"/>
        <v>#N/A</v>
      </c>
      <c r="I115" s="676" t="e">
        <f t="shared" ca="1" si="53"/>
        <v>#N/A</v>
      </c>
      <c r="K115" s="676"/>
      <c r="L115" s="676"/>
      <c r="M115" s="676"/>
      <c r="N115" s="676"/>
      <c r="O115" s="676"/>
      <c r="P115" s="676"/>
      <c r="Q115" s="676"/>
      <c r="R115" s="676"/>
      <c r="S115" s="676"/>
      <c r="T115" s="676"/>
      <c r="U115" s="676"/>
      <c r="V115" s="676"/>
      <c r="W115" s="676">
        <f t="shared" si="56"/>
        <v>0</v>
      </c>
      <c r="Y115" s="688">
        <f>IFERROR(VLOOKUP($A115,'[91]1月'!$A:$H,8,0),0)</f>
        <v>0</v>
      </c>
      <c r="Z115" s="688">
        <f>IFERROR(VLOOKUP($A115,'[91]2月'!$A:$H,8,0),0)</f>
        <v>0</v>
      </c>
      <c r="AA115" s="688">
        <f>IFERROR(VLOOKUP($A115,'[91]3月'!$A:$H,8,0),0)</f>
        <v>0</v>
      </c>
      <c r="AB115" s="688">
        <f>IFERROR(VLOOKUP($A115,'[91]4月'!$A:$H,8,0),0)</f>
        <v>0</v>
      </c>
      <c r="AC115" s="688">
        <f>IFERROR(VLOOKUP($A115,'[91]5月'!$A:$H,8,0),0)</f>
        <v>0</v>
      </c>
      <c r="AD115" s="688">
        <f>IFERROR(VLOOKUP($A115,'[91]6月'!$A:$H,8,0),0)</f>
        <v>0</v>
      </c>
      <c r="AE115" s="688">
        <f>IFERROR(VLOOKUP($A115,'[91]7月'!$A:$H,8,0),0)</f>
        <v>0</v>
      </c>
      <c r="AF115" s="688">
        <f>IFERROR(VLOOKUP($A115,'[91]8月'!$A:$H,8,0),0)</f>
        <v>0</v>
      </c>
      <c r="AG115" s="688">
        <f>IFERROR(VLOOKUP($A115,'[91]9月'!$A:$H,8,0),0)</f>
        <v>0</v>
      </c>
      <c r="AH115" s="688">
        <f>IFERROR(VLOOKUP($A115,'[91]10月'!$A:$H,8,0),0)</f>
        <v>0</v>
      </c>
      <c r="AI115" s="688">
        <f>IFERROR(VLOOKUP($A115,'[91]11月'!$A:$H,8,0),0)</f>
        <v>0</v>
      </c>
      <c r="AJ115" s="688">
        <f>IFERROR(VLOOKUP($A115,'[91]12月'!$A:$H,8,0),0)</f>
        <v>0</v>
      </c>
      <c r="AK115" s="688">
        <f t="shared" si="54"/>
        <v>0</v>
      </c>
    </row>
    <row r="116" spans="1:37" ht="11.1" customHeight="1">
      <c r="A116" s="653">
        <f>'Budget-合并'!A116</f>
        <v>0</v>
      </c>
      <c r="B116" s="653" t="str">
        <f>'Budget-合并'!B116</f>
        <v xml:space="preserve">    其他项目08</v>
      </c>
      <c r="C116" s="687" t="str">
        <f>'Budget-合并'!C116</f>
        <v xml:space="preserve">   Other project</v>
      </c>
      <c r="D116" s="676">
        <f t="shared" si="48"/>
        <v>0</v>
      </c>
      <c r="E116" s="676" t="e">
        <f t="shared" si="49"/>
        <v>#N/A</v>
      </c>
      <c r="F116" s="676" t="e">
        <f t="shared" si="50"/>
        <v>#N/A</v>
      </c>
      <c r="G116" s="676">
        <f t="shared" ca="1" si="51"/>
        <v>0</v>
      </c>
      <c r="H116" s="676" t="e">
        <f t="shared" ca="1" si="52"/>
        <v>#N/A</v>
      </c>
      <c r="I116" s="676" t="e">
        <f t="shared" ca="1" si="53"/>
        <v>#N/A</v>
      </c>
      <c r="K116" s="676"/>
      <c r="L116" s="676"/>
      <c r="M116" s="676"/>
      <c r="N116" s="676"/>
      <c r="O116" s="676"/>
      <c r="P116" s="676"/>
      <c r="Q116" s="676"/>
      <c r="R116" s="676"/>
      <c r="S116" s="676"/>
      <c r="T116" s="676"/>
      <c r="U116" s="676"/>
      <c r="V116" s="676"/>
      <c r="W116" s="676">
        <f t="shared" si="56"/>
        <v>0</v>
      </c>
      <c r="Y116" s="688">
        <f>IFERROR(VLOOKUP($A116,'[91]1月'!$A:$H,8,0),0)</f>
        <v>0</v>
      </c>
      <c r="Z116" s="688">
        <f>IFERROR(VLOOKUP($A116,'[91]2月'!$A:$H,8,0),0)</f>
        <v>0</v>
      </c>
      <c r="AA116" s="688">
        <f>IFERROR(VLOOKUP($A116,'[91]3月'!$A:$H,8,0),0)</f>
        <v>0</v>
      </c>
      <c r="AB116" s="688">
        <f>IFERROR(VLOOKUP($A116,'[91]4月'!$A:$H,8,0),0)</f>
        <v>0</v>
      </c>
      <c r="AC116" s="688">
        <f>IFERROR(VLOOKUP($A116,'[91]5月'!$A:$H,8,0),0)</f>
        <v>0</v>
      </c>
      <c r="AD116" s="688">
        <f>IFERROR(VLOOKUP($A116,'[91]6月'!$A:$H,8,0),0)</f>
        <v>0</v>
      </c>
      <c r="AE116" s="688">
        <f>IFERROR(VLOOKUP($A116,'[91]7月'!$A:$H,8,0),0)</f>
        <v>0</v>
      </c>
      <c r="AF116" s="688">
        <f>IFERROR(VLOOKUP($A116,'[91]8月'!$A:$H,8,0),0)</f>
        <v>0</v>
      </c>
      <c r="AG116" s="688">
        <f>IFERROR(VLOOKUP($A116,'[91]9月'!$A:$H,8,0),0)</f>
        <v>0</v>
      </c>
      <c r="AH116" s="688">
        <f>IFERROR(VLOOKUP($A116,'[91]10月'!$A:$H,8,0),0)</f>
        <v>0</v>
      </c>
      <c r="AI116" s="688">
        <f>IFERROR(VLOOKUP($A116,'[91]11月'!$A:$H,8,0),0)</f>
        <v>0</v>
      </c>
      <c r="AJ116" s="688">
        <f>IFERROR(VLOOKUP($A116,'[91]12月'!$A:$H,8,0),0)</f>
        <v>0</v>
      </c>
      <c r="AK116" s="688">
        <f t="shared" si="54"/>
        <v>0</v>
      </c>
    </row>
    <row r="117" spans="1:37" ht="11.1" customHeight="1">
      <c r="A117" s="653" t="str">
        <f>'Budget-合并'!A117</f>
        <v>6602.09.07</v>
      </c>
      <c r="B117" s="653" t="str">
        <f>'Budget-合并'!B117</f>
        <v>检测费</v>
      </c>
      <c r="C117" s="687">
        <f>'Budget-合并'!C117</f>
        <v>0</v>
      </c>
      <c r="D117" s="676">
        <f t="shared" si="48"/>
        <v>0</v>
      </c>
      <c r="E117" s="676" t="e">
        <f t="shared" si="49"/>
        <v>#N/A</v>
      </c>
      <c r="F117" s="676" t="e">
        <f t="shared" si="50"/>
        <v>#N/A</v>
      </c>
      <c r="G117" s="676">
        <f t="shared" ca="1" si="51"/>
        <v>0</v>
      </c>
      <c r="H117" s="676" t="e">
        <f t="shared" ca="1" si="52"/>
        <v>#N/A</v>
      </c>
      <c r="I117" s="676" t="e">
        <f t="shared" ca="1" si="53"/>
        <v>#N/A</v>
      </c>
      <c r="K117" s="676"/>
      <c r="L117" s="676"/>
      <c r="M117" s="676"/>
      <c r="N117" s="676"/>
      <c r="O117" s="676"/>
      <c r="P117" s="676"/>
      <c r="Q117" s="676"/>
      <c r="R117" s="676"/>
      <c r="S117" s="676"/>
      <c r="T117" s="676"/>
      <c r="U117" s="676"/>
      <c r="V117" s="676"/>
      <c r="W117" s="676">
        <f t="shared" si="56"/>
        <v>0</v>
      </c>
      <c r="Y117" s="688">
        <f>IFERROR(VLOOKUP($A117,'[91]1月'!$A:$H,8,0),0)</f>
        <v>0</v>
      </c>
      <c r="Z117" s="688">
        <f>IFERROR(VLOOKUP($A117,'[91]2月'!$A:$H,8,0),0)</f>
        <v>0</v>
      </c>
      <c r="AA117" s="688">
        <f>IFERROR(VLOOKUP($A117,'[91]3月'!$A:$H,8,0),0)</f>
        <v>0</v>
      </c>
      <c r="AB117" s="688">
        <f>IFERROR(VLOOKUP($A117,'[91]4月'!$A:$H,8,0),0)</f>
        <v>0</v>
      </c>
      <c r="AC117" s="688">
        <f>IFERROR(VLOOKUP($A117,'[91]5月'!$A:$H,8,0),0)</f>
        <v>0</v>
      </c>
      <c r="AD117" s="688">
        <f>IFERROR(VLOOKUP($A117,'[91]6月'!$A:$H,8,0),0)</f>
        <v>0</v>
      </c>
      <c r="AE117" s="688">
        <f>IFERROR(VLOOKUP($A117,'[91]7月'!$A:$H,8,0),0)</f>
        <v>0</v>
      </c>
      <c r="AF117" s="688">
        <f>IFERROR(VLOOKUP($A117,'[91]8月'!$A:$H,8,0),0)</f>
        <v>0</v>
      </c>
      <c r="AG117" s="688">
        <f>IFERROR(VLOOKUP($A117,'[91]9月'!$A:$H,8,0),0)</f>
        <v>0</v>
      </c>
      <c r="AH117" s="688">
        <f>IFERROR(VLOOKUP($A117,'[91]10月'!$A:$H,8,0),0)</f>
        <v>0</v>
      </c>
      <c r="AI117" s="688">
        <f>IFERROR(VLOOKUP($A117,'[91]11月'!$A:$H,8,0),0)</f>
        <v>0</v>
      </c>
      <c r="AJ117" s="688">
        <f>IFERROR(VLOOKUP($A117,'[91]12月'!$A:$H,8,0),0)</f>
        <v>0</v>
      </c>
      <c r="AK117" s="688">
        <f t="shared" si="54"/>
        <v>0</v>
      </c>
    </row>
    <row r="118" spans="1:37" ht="11.1" customHeight="1">
      <c r="A118" s="653" t="str">
        <f>'Budget-合并'!A118</f>
        <v>6602.09.08</v>
      </c>
      <c r="B118" s="653" t="str">
        <f>'Budget-合并'!B118</f>
        <v>退改费用（机票/火车等）</v>
      </c>
      <c r="C118" s="687">
        <f>'Budget-合并'!C118</f>
        <v>0</v>
      </c>
      <c r="D118" s="676">
        <f t="shared" si="48"/>
        <v>0</v>
      </c>
      <c r="E118" s="676" t="e">
        <f t="shared" si="49"/>
        <v>#N/A</v>
      </c>
      <c r="F118" s="676" t="e">
        <f t="shared" si="50"/>
        <v>#N/A</v>
      </c>
      <c r="G118" s="676">
        <f t="shared" ca="1" si="51"/>
        <v>0</v>
      </c>
      <c r="H118" s="676" t="e">
        <f t="shared" ca="1" si="52"/>
        <v>#N/A</v>
      </c>
      <c r="I118" s="676" t="e">
        <f t="shared" ca="1" si="53"/>
        <v>#N/A</v>
      </c>
      <c r="K118" s="676">
        <f>SUM(K119:K121)</f>
        <v>0</v>
      </c>
      <c r="L118" s="676">
        <f t="shared" ref="L118:V118" si="58">SUM(L119:L121)</f>
        <v>0</v>
      </c>
      <c r="M118" s="676">
        <f t="shared" si="58"/>
        <v>0</v>
      </c>
      <c r="N118" s="676">
        <f t="shared" si="58"/>
        <v>0</v>
      </c>
      <c r="O118" s="676">
        <f t="shared" si="58"/>
        <v>0</v>
      </c>
      <c r="P118" s="676">
        <f t="shared" si="58"/>
        <v>0</v>
      </c>
      <c r="Q118" s="676">
        <f t="shared" si="58"/>
        <v>0</v>
      </c>
      <c r="R118" s="676">
        <f t="shared" si="58"/>
        <v>0</v>
      </c>
      <c r="S118" s="676">
        <f t="shared" si="58"/>
        <v>0</v>
      </c>
      <c r="T118" s="676">
        <f t="shared" si="58"/>
        <v>0</v>
      </c>
      <c r="U118" s="676">
        <f t="shared" si="58"/>
        <v>0</v>
      </c>
      <c r="V118" s="676">
        <f t="shared" si="58"/>
        <v>0</v>
      </c>
      <c r="W118" s="676">
        <f t="shared" si="56"/>
        <v>0</v>
      </c>
      <c r="Y118" s="688">
        <f>IFERROR(VLOOKUP($A118,'[91]1月'!$A:$H,8,0),0)</f>
        <v>0</v>
      </c>
      <c r="Z118" s="688">
        <f>IFERROR(VLOOKUP($A118,'[91]2月'!$A:$H,8,0),0)</f>
        <v>0</v>
      </c>
      <c r="AA118" s="688">
        <f>IFERROR(VLOOKUP($A118,'[91]3月'!$A:$H,8,0),0)</f>
        <v>0</v>
      </c>
      <c r="AB118" s="688">
        <f>IFERROR(VLOOKUP($A118,'[91]4月'!$A:$H,8,0),0)</f>
        <v>0</v>
      </c>
      <c r="AC118" s="688">
        <f>IFERROR(VLOOKUP($A118,'[91]5月'!$A:$H,8,0),0)</f>
        <v>0</v>
      </c>
      <c r="AD118" s="688">
        <f>IFERROR(VLOOKUP($A118,'[91]6月'!$A:$H,8,0),0)</f>
        <v>0</v>
      </c>
      <c r="AE118" s="688">
        <f>IFERROR(VLOOKUP($A118,'[91]7月'!$A:$H,8,0),0)</f>
        <v>0</v>
      </c>
      <c r="AF118" s="688">
        <f>IFERROR(VLOOKUP($A118,'[91]8月'!$A:$H,8,0),0)</f>
        <v>0</v>
      </c>
      <c r="AG118" s="688">
        <f>IFERROR(VLOOKUP($A118,'[91]9月'!$A:$H,8,0),0)</f>
        <v>0</v>
      </c>
      <c r="AH118" s="688">
        <f>IFERROR(VLOOKUP($A118,'[91]10月'!$A:$H,8,0),0)</f>
        <v>0</v>
      </c>
      <c r="AI118" s="688">
        <f>IFERROR(VLOOKUP($A118,'[91]11月'!$A:$H,8,0),0)</f>
        <v>0</v>
      </c>
      <c r="AJ118" s="688">
        <f>IFERROR(VLOOKUP($A118,'[91]12月'!$A:$H,8,0),0)</f>
        <v>0</v>
      </c>
      <c r="AK118" s="688">
        <f t="shared" si="54"/>
        <v>0</v>
      </c>
    </row>
    <row r="119" spans="1:37" ht="11.1" customHeight="1">
      <c r="A119" s="653">
        <f>'Budget-合并'!A119</f>
        <v>0</v>
      </c>
      <c r="B119" s="653" t="str">
        <f>'Budget-合并'!B119</f>
        <v xml:space="preserve">    公司主体09</v>
      </c>
      <c r="C119" s="687" t="str">
        <f>'Budget-合并'!C119</f>
        <v xml:space="preserve">   Entity</v>
      </c>
      <c r="D119" s="676">
        <f t="shared" si="48"/>
        <v>0</v>
      </c>
      <c r="E119" s="676" t="e">
        <f t="shared" si="49"/>
        <v>#N/A</v>
      </c>
      <c r="F119" s="676" t="e">
        <f t="shared" si="50"/>
        <v>#N/A</v>
      </c>
      <c r="G119" s="676">
        <f t="shared" ca="1" si="51"/>
        <v>0</v>
      </c>
      <c r="H119" s="676" t="e">
        <f t="shared" ca="1" si="52"/>
        <v>#N/A</v>
      </c>
      <c r="I119" s="676" t="e">
        <f t="shared" ca="1" si="53"/>
        <v>#N/A</v>
      </c>
      <c r="K119" s="676"/>
      <c r="L119" s="676"/>
      <c r="M119" s="676"/>
      <c r="N119" s="676"/>
      <c r="O119" s="676"/>
      <c r="P119" s="676"/>
      <c r="Q119" s="676"/>
      <c r="R119" s="676"/>
      <c r="S119" s="676"/>
      <c r="T119" s="676"/>
      <c r="U119" s="676"/>
      <c r="V119" s="676"/>
      <c r="W119" s="676">
        <f t="shared" si="56"/>
        <v>0</v>
      </c>
      <c r="Y119" s="688">
        <f>IFERROR(VLOOKUP($A119,'[91]1月'!$A:$H,8,0),0)</f>
        <v>0</v>
      </c>
      <c r="Z119" s="688">
        <f>IFERROR(VLOOKUP($A119,'[91]2月'!$A:$H,8,0),0)</f>
        <v>0</v>
      </c>
      <c r="AA119" s="688">
        <f>IFERROR(VLOOKUP($A119,'[91]3月'!$A:$H,8,0),0)</f>
        <v>0</v>
      </c>
      <c r="AB119" s="688">
        <f>IFERROR(VLOOKUP($A119,'[91]4月'!$A:$H,8,0),0)</f>
        <v>0</v>
      </c>
      <c r="AC119" s="688">
        <f>IFERROR(VLOOKUP($A119,'[91]5月'!$A:$H,8,0),0)</f>
        <v>0</v>
      </c>
      <c r="AD119" s="688">
        <f>IFERROR(VLOOKUP($A119,'[91]6月'!$A:$H,8,0),0)</f>
        <v>0</v>
      </c>
      <c r="AE119" s="688">
        <f>IFERROR(VLOOKUP($A119,'[91]7月'!$A:$H,8,0),0)</f>
        <v>0</v>
      </c>
      <c r="AF119" s="688">
        <f>IFERROR(VLOOKUP($A119,'[91]8月'!$A:$H,8,0),0)</f>
        <v>0</v>
      </c>
      <c r="AG119" s="688">
        <f>IFERROR(VLOOKUP($A119,'[91]9月'!$A:$H,8,0),0)</f>
        <v>0</v>
      </c>
      <c r="AH119" s="688">
        <f>IFERROR(VLOOKUP($A119,'[91]10月'!$A:$H,8,0),0)</f>
        <v>0</v>
      </c>
      <c r="AI119" s="688">
        <f>IFERROR(VLOOKUP($A119,'[91]11月'!$A:$H,8,0),0)</f>
        <v>0</v>
      </c>
      <c r="AJ119" s="688">
        <f>IFERROR(VLOOKUP($A119,'[91]12月'!$A:$H,8,0),0)</f>
        <v>0</v>
      </c>
      <c r="AK119" s="688">
        <f t="shared" si="54"/>
        <v>0</v>
      </c>
    </row>
    <row r="120" spans="1:37" ht="11.1" customHeight="1">
      <c r="A120" s="653">
        <f>'Budget-合并'!A120</f>
        <v>0</v>
      </c>
      <c r="B120" s="653" t="str">
        <f>'Budget-合并'!B120</f>
        <v xml:space="preserve">    旭智富能09</v>
      </c>
      <c r="C120" s="687" t="str">
        <f>'Budget-合并'!C120</f>
        <v xml:space="preserve">   Foxpower</v>
      </c>
      <c r="D120" s="676">
        <f t="shared" si="48"/>
        <v>0</v>
      </c>
      <c r="E120" s="676" t="e">
        <f t="shared" si="49"/>
        <v>#N/A</v>
      </c>
      <c r="F120" s="676" t="e">
        <f t="shared" si="50"/>
        <v>#N/A</v>
      </c>
      <c r="G120" s="676">
        <f t="shared" ca="1" si="51"/>
        <v>0</v>
      </c>
      <c r="H120" s="676" t="e">
        <f t="shared" ca="1" si="52"/>
        <v>#N/A</v>
      </c>
      <c r="I120" s="676" t="e">
        <f t="shared" ca="1" si="53"/>
        <v>#N/A</v>
      </c>
      <c r="K120" s="676"/>
      <c r="L120" s="676"/>
      <c r="M120" s="676"/>
      <c r="N120" s="676"/>
      <c r="O120" s="676"/>
      <c r="P120" s="676"/>
      <c r="Q120" s="676"/>
      <c r="R120" s="676"/>
      <c r="S120" s="676"/>
      <c r="T120" s="676"/>
      <c r="U120" s="676"/>
      <c r="V120" s="676"/>
      <c r="W120" s="676">
        <f t="shared" si="56"/>
        <v>0</v>
      </c>
      <c r="Y120" s="688">
        <f>IFERROR(VLOOKUP($A120,'[91]1月'!$A:$H,8,0),0)</f>
        <v>0</v>
      </c>
      <c r="Z120" s="688">
        <f>IFERROR(VLOOKUP($A120,'[91]2月'!$A:$H,8,0),0)</f>
        <v>0</v>
      </c>
      <c r="AA120" s="688">
        <f>IFERROR(VLOOKUP($A120,'[91]3月'!$A:$H,8,0),0)</f>
        <v>0</v>
      </c>
      <c r="AB120" s="688">
        <f>IFERROR(VLOOKUP($A120,'[91]4月'!$A:$H,8,0),0)</f>
        <v>0</v>
      </c>
      <c r="AC120" s="688">
        <f>IFERROR(VLOOKUP($A120,'[91]5月'!$A:$H,8,0),0)</f>
        <v>0</v>
      </c>
      <c r="AD120" s="688">
        <f>IFERROR(VLOOKUP($A120,'[91]6月'!$A:$H,8,0),0)</f>
        <v>0</v>
      </c>
      <c r="AE120" s="688">
        <f>IFERROR(VLOOKUP($A120,'[91]7月'!$A:$H,8,0),0)</f>
        <v>0</v>
      </c>
      <c r="AF120" s="688">
        <f>IFERROR(VLOOKUP($A120,'[91]8月'!$A:$H,8,0),0)</f>
        <v>0</v>
      </c>
      <c r="AG120" s="688">
        <f>IFERROR(VLOOKUP($A120,'[91]9月'!$A:$H,8,0),0)</f>
        <v>0</v>
      </c>
      <c r="AH120" s="688">
        <f>IFERROR(VLOOKUP($A120,'[91]10月'!$A:$H,8,0),0)</f>
        <v>0</v>
      </c>
      <c r="AI120" s="688">
        <f>IFERROR(VLOOKUP($A120,'[91]11月'!$A:$H,8,0),0)</f>
        <v>0</v>
      </c>
      <c r="AJ120" s="688">
        <f>IFERROR(VLOOKUP($A120,'[91]12月'!$A:$H,8,0),0)</f>
        <v>0</v>
      </c>
      <c r="AK120" s="688">
        <f t="shared" si="54"/>
        <v>0</v>
      </c>
    </row>
    <row r="121" spans="1:37" ht="11.1" customHeight="1">
      <c r="A121" s="653">
        <f>'Budget-合并'!A121</f>
        <v>0</v>
      </c>
      <c r="B121" s="653" t="str">
        <f>'Budget-合并'!B121</f>
        <v xml:space="preserve">    其他项目09</v>
      </c>
      <c r="C121" s="687" t="str">
        <f>'Budget-合并'!C121</f>
        <v xml:space="preserve">   Other project</v>
      </c>
      <c r="D121" s="676">
        <f t="shared" si="48"/>
        <v>0</v>
      </c>
      <c r="E121" s="676" t="e">
        <f t="shared" si="49"/>
        <v>#N/A</v>
      </c>
      <c r="F121" s="676" t="e">
        <f t="shared" si="50"/>
        <v>#N/A</v>
      </c>
      <c r="G121" s="676">
        <f t="shared" ca="1" si="51"/>
        <v>0</v>
      </c>
      <c r="H121" s="676" t="e">
        <f t="shared" ca="1" si="52"/>
        <v>#N/A</v>
      </c>
      <c r="I121" s="676" t="e">
        <f t="shared" ca="1" si="53"/>
        <v>#N/A</v>
      </c>
      <c r="K121" s="676"/>
      <c r="L121" s="676"/>
      <c r="M121" s="676"/>
      <c r="N121" s="676"/>
      <c r="O121" s="676"/>
      <c r="P121" s="676"/>
      <c r="Q121" s="676"/>
      <c r="R121" s="676"/>
      <c r="S121" s="676"/>
      <c r="T121" s="676"/>
      <c r="U121" s="676"/>
      <c r="V121" s="676"/>
      <c r="W121" s="676">
        <f t="shared" si="56"/>
        <v>0</v>
      </c>
      <c r="Y121" s="688">
        <f>IFERROR(VLOOKUP($A121,'[91]1月'!$A:$H,8,0),0)</f>
        <v>0</v>
      </c>
      <c r="Z121" s="688">
        <f>IFERROR(VLOOKUP($A121,'[91]2月'!$A:$H,8,0),0)</f>
        <v>0</v>
      </c>
      <c r="AA121" s="688">
        <f>IFERROR(VLOOKUP($A121,'[91]3月'!$A:$H,8,0),0)</f>
        <v>0</v>
      </c>
      <c r="AB121" s="688">
        <f>IFERROR(VLOOKUP($A121,'[91]4月'!$A:$H,8,0),0)</f>
        <v>0</v>
      </c>
      <c r="AC121" s="688">
        <f>IFERROR(VLOOKUP($A121,'[91]5月'!$A:$H,8,0),0)</f>
        <v>0</v>
      </c>
      <c r="AD121" s="688">
        <f>IFERROR(VLOOKUP($A121,'[91]6月'!$A:$H,8,0),0)</f>
        <v>0</v>
      </c>
      <c r="AE121" s="688">
        <f>IFERROR(VLOOKUP($A121,'[91]7月'!$A:$H,8,0),0)</f>
        <v>0</v>
      </c>
      <c r="AF121" s="688">
        <f>IFERROR(VLOOKUP($A121,'[91]8月'!$A:$H,8,0),0)</f>
        <v>0</v>
      </c>
      <c r="AG121" s="688">
        <f>IFERROR(VLOOKUP($A121,'[91]9月'!$A:$H,8,0),0)</f>
        <v>0</v>
      </c>
      <c r="AH121" s="688">
        <f>IFERROR(VLOOKUP($A121,'[91]10月'!$A:$H,8,0),0)</f>
        <v>0</v>
      </c>
      <c r="AI121" s="688">
        <f>IFERROR(VLOOKUP($A121,'[91]11月'!$A:$H,8,0),0)</f>
        <v>0</v>
      </c>
      <c r="AJ121" s="688">
        <f>IFERROR(VLOOKUP($A121,'[91]12月'!$A:$H,8,0),0)</f>
        <v>0</v>
      </c>
      <c r="AK121" s="688">
        <f t="shared" si="54"/>
        <v>0</v>
      </c>
    </row>
    <row r="122" spans="1:37" ht="11.1" customHeight="1">
      <c r="A122" s="653" t="str">
        <f>'Budget-合并'!A122</f>
        <v>6602.09.09</v>
      </c>
      <c r="B122" s="653" t="str">
        <f>'Budget-合并'!B122</f>
        <v>携程服务费</v>
      </c>
      <c r="C122" s="687">
        <f>'Budget-合并'!C122</f>
        <v>0</v>
      </c>
      <c r="D122" s="676">
        <f t="shared" si="48"/>
        <v>0</v>
      </c>
      <c r="E122" s="676" t="e">
        <f t="shared" si="49"/>
        <v>#N/A</v>
      </c>
      <c r="F122" s="676" t="e">
        <f t="shared" si="50"/>
        <v>#N/A</v>
      </c>
      <c r="G122" s="676">
        <f t="shared" ca="1" si="51"/>
        <v>0</v>
      </c>
      <c r="H122" s="676" t="e">
        <f t="shared" ca="1" si="52"/>
        <v>#N/A</v>
      </c>
      <c r="I122" s="676" t="e">
        <f t="shared" ca="1" si="53"/>
        <v>#N/A</v>
      </c>
      <c r="K122" s="676">
        <f>SUM(K123:K125)</f>
        <v>0</v>
      </c>
      <c r="L122" s="676">
        <f t="shared" ref="L122:V122" si="59">SUM(L123:L125)</f>
        <v>0</v>
      </c>
      <c r="M122" s="676">
        <f t="shared" si="59"/>
        <v>0</v>
      </c>
      <c r="N122" s="676">
        <f t="shared" si="59"/>
        <v>0</v>
      </c>
      <c r="O122" s="676">
        <f t="shared" si="59"/>
        <v>0</v>
      </c>
      <c r="P122" s="676">
        <f t="shared" si="59"/>
        <v>0</v>
      </c>
      <c r="Q122" s="676">
        <f t="shared" si="59"/>
        <v>0</v>
      </c>
      <c r="R122" s="676">
        <f t="shared" si="59"/>
        <v>0</v>
      </c>
      <c r="S122" s="676">
        <f t="shared" si="59"/>
        <v>0</v>
      </c>
      <c r="T122" s="676">
        <f t="shared" si="59"/>
        <v>0</v>
      </c>
      <c r="U122" s="676">
        <f t="shared" si="59"/>
        <v>0</v>
      </c>
      <c r="V122" s="676">
        <f t="shared" si="59"/>
        <v>0</v>
      </c>
      <c r="W122" s="676">
        <f t="shared" si="56"/>
        <v>0</v>
      </c>
      <c r="Y122" s="688">
        <f>IFERROR(VLOOKUP($A122,'[91]1月'!$A:$H,8,0),0)</f>
        <v>0</v>
      </c>
      <c r="Z122" s="688">
        <f>IFERROR(VLOOKUP($A122,'[91]2月'!$A:$H,8,0),0)</f>
        <v>0</v>
      </c>
      <c r="AA122" s="688">
        <f>IFERROR(VLOOKUP($A122,'[91]3月'!$A:$H,8,0),0)</f>
        <v>0</v>
      </c>
      <c r="AB122" s="688">
        <f>IFERROR(VLOOKUP($A122,'[91]4月'!$A:$H,8,0),0)</f>
        <v>0</v>
      </c>
      <c r="AC122" s="688">
        <f>IFERROR(VLOOKUP($A122,'[91]5月'!$A:$H,8,0),0)</f>
        <v>0</v>
      </c>
      <c r="AD122" s="688">
        <f>IFERROR(VLOOKUP($A122,'[91]6月'!$A:$H,8,0),0)</f>
        <v>0</v>
      </c>
      <c r="AE122" s="688">
        <f>IFERROR(VLOOKUP($A122,'[91]7月'!$A:$H,8,0),0)</f>
        <v>0</v>
      </c>
      <c r="AF122" s="688">
        <f>IFERROR(VLOOKUP($A122,'[91]8月'!$A:$H,8,0),0)</f>
        <v>0</v>
      </c>
      <c r="AG122" s="688">
        <f>IFERROR(VLOOKUP($A122,'[91]9月'!$A:$H,8,0),0)</f>
        <v>0</v>
      </c>
      <c r="AH122" s="688">
        <f>IFERROR(VLOOKUP($A122,'[91]10月'!$A:$H,8,0),0)</f>
        <v>0</v>
      </c>
      <c r="AI122" s="688">
        <f>IFERROR(VLOOKUP($A122,'[91]11月'!$A:$H,8,0),0)</f>
        <v>0</v>
      </c>
      <c r="AJ122" s="688">
        <f>IFERROR(VLOOKUP($A122,'[91]12月'!$A:$H,8,0),0)</f>
        <v>0</v>
      </c>
      <c r="AK122" s="688">
        <f t="shared" si="54"/>
        <v>0</v>
      </c>
    </row>
    <row r="123" spans="1:37" ht="11.1" customHeight="1">
      <c r="A123" s="653">
        <f>'Budget-合并'!A123</f>
        <v>0</v>
      </c>
      <c r="B123" s="653" t="str">
        <f>'Budget-合并'!B123</f>
        <v xml:space="preserve">    公司主体10</v>
      </c>
      <c r="C123" s="687" t="str">
        <f>'Budget-合并'!C123</f>
        <v xml:space="preserve">   Entity</v>
      </c>
      <c r="D123" s="676">
        <f t="shared" si="48"/>
        <v>0</v>
      </c>
      <c r="E123" s="676" t="e">
        <f t="shared" si="49"/>
        <v>#N/A</v>
      </c>
      <c r="F123" s="676" t="e">
        <f t="shared" si="50"/>
        <v>#N/A</v>
      </c>
      <c r="G123" s="676">
        <f t="shared" ca="1" si="51"/>
        <v>0</v>
      </c>
      <c r="H123" s="676" t="e">
        <f t="shared" ca="1" si="52"/>
        <v>#N/A</v>
      </c>
      <c r="I123" s="676" t="e">
        <f t="shared" ca="1" si="53"/>
        <v>#N/A</v>
      </c>
      <c r="K123" s="676"/>
      <c r="L123" s="676"/>
      <c r="M123" s="676"/>
      <c r="N123" s="676"/>
      <c r="O123" s="676"/>
      <c r="P123" s="676"/>
      <c r="Q123" s="676"/>
      <c r="R123" s="676"/>
      <c r="S123" s="676"/>
      <c r="T123" s="676"/>
      <c r="U123" s="676"/>
      <c r="V123" s="676"/>
      <c r="W123" s="676">
        <f t="shared" si="56"/>
        <v>0</v>
      </c>
      <c r="Y123" s="688">
        <f>IFERROR(VLOOKUP($A123,'[91]1月'!$A:$H,8,0),0)</f>
        <v>0</v>
      </c>
      <c r="Z123" s="688">
        <f>IFERROR(VLOOKUP($A123,'[91]2月'!$A:$H,8,0),0)</f>
        <v>0</v>
      </c>
      <c r="AA123" s="688">
        <f>IFERROR(VLOOKUP($A123,'[91]3月'!$A:$H,8,0),0)</f>
        <v>0</v>
      </c>
      <c r="AB123" s="688">
        <f>IFERROR(VLOOKUP($A123,'[91]4月'!$A:$H,8,0),0)</f>
        <v>0</v>
      </c>
      <c r="AC123" s="688">
        <f>IFERROR(VLOOKUP($A123,'[91]5月'!$A:$H,8,0),0)</f>
        <v>0</v>
      </c>
      <c r="AD123" s="688">
        <f>IFERROR(VLOOKUP($A123,'[91]6月'!$A:$H,8,0),0)</f>
        <v>0</v>
      </c>
      <c r="AE123" s="688">
        <f>IFERROR(VLOOKUP($A123,'[91]7月'!$A:$H,8,0),0)</f>
        <v>0</v>
      </c>
      <c r="AF123" s="688">
        <f>IFERROR(VLOOKUP($A123,'[91]8月'!$A:$H,8,0),0)</f>
        <v>0</v>
      </c>
      <c r="AG123" s="688">
        <f>IFERROR(VLOOKUP($A123,'[91]9月'!$A:$H,8,0),0)</f>
        <v>0</v>
      </c>
      <c r="AH123" s="688">
        <f>IFERROR(VLOOKUP($A123,'[91]10月'!$A:$H,8,0),0)</f>
        <v>0</v>
      </c>
      <c r="AI123" s="688">
        <f>IFERROR(VLOOKUP($A123,'[91]11月'!$A:$H,8,0),0)</f>
        <v>0</v>
      </c>
      <c r="AJ123" s="688">
        <f>IFERROR(VLOOKUP($A123,'[91]12月'!$A:$H,8,0),0)</f>
        <v>0</v>
      </c>
      <c r="AK123" s="688">
        <f t="shared" si="54"/>
        <v>0</v>
      </c>
    </row>
    <row r="124" spans="1:37" ht="11.1" customHeight="1">
      <c r="A124" s="653">
        <f>'Budget-合并'!A124</f>
        <v>0</v>
      </c>
      <c r="B124" s="653" t="str">
        <f>'Budget-合并'!B124</f>
        <v xml:space="preserve">    旭智富能10</v>
      </c>
      <c r="C124" s="687" t="str">
        <f>'Budget-合并'!C124</f>
        <v xml:space="preserve">   Foxpower</v>
      </c>
      <c r="D124" s="676">
        <f t="shared" si="48"/>
        <v>0</v>
      </c>
      <c r="E124" s="676" t="e">
        <f t="shared" si="49"/>
        <v>#N/A</v>
      </c>
      <c r="F124" s="676" t="e">
        <f t="shared" si="50"/>
        <v>#N/A</v>
      </c>
      <c r="G124" s="676">
        <f t="shared" ca="1" si="51"/>
        <v>0</v>
      </c>
      <c r="H124" s="676" t="e">
        <f t="shared" ca="1" si="52"/>
        <v>#N/A</v>
      </c>
      <c r="I124" s="676" t="e">
        <f t="shared" ca="1" si="53"/>
        <v>#N/A</v>
      </c>
      <c r="K124" s="676"/>
      <c r="L124" s="676"/>
      <c r="M124" s="676"/>
      <c r="N124" s="676"/>
      <c r="O124" s="676"/>
      <c r="P124" s="676"/>
      <c r="Q124" s="676"/>
      <c r="R124" s="676"/>
      <c r="S124" s="676"/>
      <c r="T124" s="676"/>
      <c r="U124" s="676"/>
      <c r="V124" s="676"/>
      <c r="W124" s="676">
        <f t="shared" si="56"/>
        <v>0</v>
      </c>
      <c r="Y124" s="688">
        <f>IFERROR(VLOOKUP($A124,'[91]1月'!$A:$H,8,0),0)</f>
        <v>0</v>
      </c>
      <c r="Z124" s="688">
        <f>IFERROR(VLOOKUP($A124,'[91]2月'!$A:$H,8,0),0)</f>
        <v>0</v>
      </c>
      <c r="AA124" s="688">
        <f>IFERROR(VLOOKUP($A124,'[91]3月'!$A:$H,8,0),0)</f>
        <v>0</v>
      </c>
      <c r="AB124" s="688">
        <f>IFERROR(VLOOKUP($A124,'[91]4月'!$A:$H,8,0),0)</f>
        <v>0</v>
      </c>
      <c r="AC124" s="688">
        <f>IFERROR(VLOOKUP($A124,'[91]5月'!$A:$H,8,0),0)</f>
        <v>0</v>
      </c>
      <c r="AD124" s="688">
        <f>IFERROR(VLOOKUP($A124,'[91]6月'!$A:$H,8,0),0)</f>
        <v>0</v>
      </c>
      <c r="AE124" s="688">
        <f>IFERROR(VLOOKUP($A124,'[91]7月'!$A:$H,8,0),0)</f>
        <v>0</v>
      </c>
      <c r="AF124" s="688">
        <f>IFERROR(VLOOKUP($A124,'[91]8月'!$A:$H,8,0),0)</f>
        <v>0</v>
      </c>
      <c r="AG124" s="688">
        <f>IFERROR(VLOOKUP($A124,'[91]9月'!$A:$H,8,0),0)</f>
        <v>0</v>
      </c>
      <c r="AH124" s="688">
        <f>IFERROR(VLOOKUP($A124,'[91]10月'!$A:$H,8,0),0)</f>
        <v>0</v>
      </c>
      <c r="AI124" s="688">
        <f>IFERROR(VLOOKUP($A124,'[91]11月'!$A:$H,8,0),0)</f>
        <v>0</v>
      </c>
      <c r="AJ124" s="688">
        <f>IFERROR(VLOOKUP($A124,'[91]12月'!$A:$H,8,0),0)</f>
        <v>0</v>
      </c>
      <c r="AK124" s="688">
        <f t="shared" si="54"/>
        <v>0</v>
      </c>
    </row>
    <row r="125" spans="1:37" ht="11.1" customHeight="1">
      <c r="A125" s="653">
        <f>'Budget-合并'!A125</f>
        <v>0</v>
      </c>
      <c r="B125" s="653" t="str">
        <f>'Budget-合并'!B125</f>
        <v xml:space="preserve">    其他项目10</v>
      </c>
      <c r="C125" s="687" t="str">
        <f>'Budget-合并'!C125</f>
        <v xml:space="preserve">   Other project</v>
      </c>
      <c r="D125" s="676">
        <f t="shared" si="48"/>
        <v>0</v>
      </c>
      <c r="E125" s="676" t="e">
        <f t="shared" si="49"/>
        <v>#N/A</v>
      </c>
      <c r="F125" s="676" t="e">
        <f t="shared" si="50"/>
        <v>#N/A</v>
      </c>
      <c r="G125" s="676">
        <f t="shared" ca="1" si="51"/>
        <v>0</v>
      </c>
      <c r="H125" s="676" t="e">
        <f t="shared" ca="1" si="52"/>
        <v>#N/A</v>
      </c>
      <c r="I125" s="676" t="e">
        <f t="shared" ca="1" si="53"/>
        <v>#N/A</v>
      </c>
      <c r="K125" s="676"/>
      <c r="L125" s="676"/>
      <c r="M125" s="676"/>
      <c r="N125" s="676"/>
      <c r="O125" s="676"/>
      <c r="P125" s="676"/>
      <c r="Q125" s="676"/>
      <c r="R125" s="676"/>
      <c r="S125" s="676"/>
      <c r="T125" s="676"/>
      <c r="U125" s="676"/>
      <c r="V125" s="676"/>
      <c r="W125" s="676">
        <f t="shared" si="56"/>
        <v>0</v>
      </c>
      <c r="Y125" s="688">
        <f>IFERROR(VLOOKUP($A125,'[91]1月'!$A:$H,8,0),0)</f>
        <v>0</v>
      </c>
      <c r="Z125" s="688">
        <f>IFERROR(VLOOKUP($A125,'[91]2月'!$A:$H,8,0),0)</f>
        <v>0</v>
      </c>
      <c r="AA125" s="688">
        <f>IFERROR(VLOOKUP($A125,'[91]3月'!$A:$H,8,0),0)</f>
        <v>0</v>
      </c>
      <c r="AB125" s="688">
        <f>IFERROR(VLOOKUP($A125,'[91]4月'!$A:$H,8,0),0)</f>
        <v>0</v>
      </c>
      <c r="AC125" s="688">
        <f>IFERROR(VLOOKUP($A125,'[91]5月'!$A:$H,8,0),0)</f>
        <v>0</v>
      </c>
      <c r="AD125" s="688">
        <f>IFERROR(VLOOKUP($A125,'[91]6月'!$A:$H,8,0),0)</f>
        <v>0</v>
      </c>
      <c r="AE125" s="688">
        <f>IFERROR(VLOOKUP($A125,'[91]7月'!$A:$H,8,0),0)</f>
        <v>0</v>
      </c>
      <c r="AF125" s="688">
        <f>IFERROR(VLOOKUP($A125,'[91]8月'!$A:$H,8,0),0)</f>
        <v>0</v>
      </c>
      <c r="AG125" s="688">
        <f>IFERROR(VLOOKUP($A125,'[91]9月'!$A:$H,8,0),0)</f>
        <v>0</v>
      </c>
      <c r="AH125" s="688">
        <f>IFERROR(VLOOKUP($A125,'[91]10月'!$A:$H,8,0),0)</f>
        <v>0</v>
      </c>
      <c r="AI125" s="688">
        <f>IFERROR(VLOOKUP($A125,'[91]11月'!$A:$H,8,0),0)</f>
        <v>0</v>
      </c>
      <c r="AJ125" s="688">
        <f>IFERROR(VLOOKUP($A125,'[91]12月'!$A:$H,8,0),0)</f>
        <v>0</v>
      </c>
      <c r="AK125" s="688">
        <f t="shared" si="54"/>
        <v>0</v>
      </c>
    </row>
    <row r="126" spans="1:37" ht="11.1" customHeight="1">
      <c r="A126" s="653" t="str">
        <f>'Budget-合并'!A126</f>
        <v>6602.09.99</v>
      </c>
      <c r="B126" s="653" t="str">
        <f>'Budget-合并'!B126</f>
        <v>其他</v>
      </c>
      <c r="C126" s="687" t="str">
        <f>'Budget-合并'!C126</f>
        <v>Travel Other</v>
      </c>
      <c r="D126" s="676">
        <f t="shared" si="48"/>
        <v>741.6583333333333</v>
      </c>
      <c r="E126" s="676" t="e">
        <f t="shared" si="49"/>
        <v>#N/A</v>
      </c>
      <c r="F126" s="676" t="e">
        <f t="shared" si="50"/>
        <v>#N/A</v>
      </c>
      <c r="G126" s="676">
        <f t="shared" ca="1" si="51"/>
        <v>741.6583333333333</v>
      </c>
      <c r="H126" s="676" t="e">
        <f t="shared" ca="1" si="52"/>
        <v>#N/A</v>
      </c>
      <c r="I126" s="676" t="e">
        <f t="shared" ca="1" si="53"/>
        <v>#N/A</v>
      </c>
      <c r="K126" s="676">
        <f>SUMIFS('T&amp;E'!N$49:N$58,'T&amp;E'!$B$49:$B$58,$D$1,'T&amp;E'!$C$49:$C$58,$A$126)</f>
        <v>741.6583333333333</v>
      </c>
      <c r="L126" s="676">
        <f>SUMIFS('T&amp;E'!O$49:O$58,'T&amp;E'!$B$49:$B$58,$D$1,'T&amp;E'!$C$49:$C$58,$A$126)</f>
        <v>735.16666666666674</v>
      </c>
      <c r="M126" s="676">
        <f>SUMIFS('T&amp;E'!P$49:P$58,'T&amp;E'!$B$49:$B$58,$D$1,'T&amp;E'!$C$49:$C$58,$A$126)</f>
        <v>735.16666666666674</v>
      </c>
      <c r="N126" s="676">
        <f>SUMIFS('T&amp;E'!Q$49:Q$58,'T&amp;E'!$B$49:$B$58,$D$1,'T&amp;E'!$C$49:$C$58,$A$126)</f>
        <v>735.16666666666674</v>
      </c>
      <c r="O126" s="676">
        <f>SUMIFS('T&amp;E'!R$49:R$58,'T&amp;E'!$B$49:$B$58,$D$1,'T&amp;E'!$C$49:$C$58,$A$126)</f>
        <v>735.16666666666674</v>
      </c>
      <c r="P126" s="676">
        <f>SUMIFS('T&amp;E'!S$49:S$58,'T&amp;E'!$B$49:$B$58,$D$1,'T&amp;E'!$C$49:$C$58,$A$126)</f>
        <v>735.16666666666674</v>
      </c>
      <c r="Q126" s="676">
        <f>SUMIFS('T&amp;E'!T$49:T$58,'T&amp;E'!$B$49:$B$58,$D$1,'T&amp;E'!$C$49:$C$58,$A$126)</f>
        <v>735.16666666666674</v>
      </c>
      <c r="R126" s="676">
        <f>SUMIFS('T&amp;E'!U$49:U$58,'T&amp;E'!$B$49:$B$58,$D$1,'T&amp;E'!$C$49:$C$58,$A$126)</f>
        <v>735.16666666666674</v>
      </c>
      <c r="S126" s="676">
        <f>SUMIFS('T&amp;E'!V$49:V$58,'T&amp;E'!$B$49:$B$58,$D$1,'T&amp;E'!$C$49:$C$58,$A$126)</f>
        <v>735.16666666666674</v>
      </c>
      <c r="T126" s="676">
        <f>SUMIFS('T&amp;E'!W$49:W$58,'T&amp;E'!$B$49:$B$58,$D$1,'T&amp;E'!$C$49:$C$58,$A$126)</f>
        <v>735.16666666666674</v>
      </c>
      <c r="U126" s="676">
        <f>SUMIFS('T&amp;E'!X$49:X$58,'T&amp;E'!$B$49:$B$58,$D$1,'T&amp;E'!$C$49:$C$58,$A$126)</f>
        <v>735.16666666666674</v>
      </c>
      <c r="V126" s="676">
        <f>SUMIFS('T&amp;E'!Y$49:Y$58,'T&amp;E'!$B$49:$B$58,$D$1,'T&amp;E'!$C$49:$C$58,$A$126)</f>
        <v>735.16666666666674</v>
      </c>
      <c r="W126" s="676">
        <f t="shared" si="56"/>
        <v>8828.4916666666686</v>
      </c>
      <c r="Y126" s="688">
        <f>IFERROR(VLOOKUP($A126,'[91]1月'!$A:$H,8,0),0)</f>
        <v>0</v>
      </c>
      <c r="Z126" s="688">
        <f>IFERROR(VLOOKUP($A126,'[91]2月'!$A:$H,8,0),0)</f>
        <v>7910.56</v>
      </c>
      <c r="AA126" s="688">
        <f>IFERROR(VLOOKUP($A126,'[91]3月'!$A:$H,8,0),0)</f>
        <v>3937.17</v>
      </c>
      <c r="AB126" s="688">
        <f>IFERROR(VLOOKUP($A126,'[91]4月'!$A:$H,8,0),0)</f>
        <v>0</v>
      </c>
      <c r="AC126" s="688">
        <f>IFERROR(VLOOKUP($A126,'[91]5月'!$A:$H,8,0),0)</f>
        <v>5680</v>
      </c>
      <c r="AD126" s="688">
        <f>IFERROR(VLOOKUP($A126,'[91]6月'!$A:$H,8,0),0)</f>
        <v>-415.92</v>
      </c>
      <c r="AE126" s="688">
        <f>IFERROR(VLOOKUP($A126,'[91]7月'!$A:$H,8,0),0)</f>
        <v>407.36</v>
      </c>
      <c r="AF126" s="688">
        <f>IFERROR(VLOOKUP($A126,'[91]8月'!$A:$H,8,0),0)</f>
        <v>0</v>
      </c>
      <c r="AG126" s="688">
        <f>IFERROR(VLOOKUP($A126,'[91]9月'!$A:$H,8,0),0)</f>
        <v>13377.78</v>
      </c>
      <c r="AH126" s="688">
        <f>IFERROR(VLOOKUP($A126,'[91]10月'!$A:$H,8,0),0)</f>
        <v>0</v>
      </c>
      <c r="AI126" s="688">
        <f>IFERROR(VLOOKUP($A126,'[91]11月'!$A:$H,8,0),0)</f>
        <v>0</v>
      </c>
      <c r="AJ126" s="688">
        <f>IFERROR(VLOOKUP($A126,'[91]12月'!$A:$H,8,0),0)</f>
        <v>166</v>
      </c>
      <c r="AK126" s="688">
        <f t="shared" si="54"/>
        <v>31062.950000000004</v>
      </c>
    </row>
    <row r="127" spans="1:37" ht="11.1" customHeight="1">
      <c r="A127" s="663" t="str">
        <f>'Budget-合并'!A127</f>
        <v>6602.10</v>
      </c>
      <c r="B127" s="663" t="str">
        <f>'Budget-合并'!B127</f>
        <v>折旧费</v>
      </c>
      <c r="C127" s="687">
        <f>'Budget-合并'!C127</f>
        <v>0</v>
      </c>
      <c r="D127" s="676">
        <f t="shared" si="48"/>
        <v>741.6583333333333</v>
      </c>
      <c r="E127" s="676" t="e">
        <f t="shared" si="49"/>
        <v>#N/A</v>
      </c>
      <c r="F127" s="676" t="e">
        <f t="shared" si="50"/>
        <v>#N/A</v>
      </c>
      <c r="G127" s="676">
        <f t="shared" ca="1" si="51"/>
        <v>741.6583333333333</v>
      </c>
      <c r="H127" s="676" t="e">
        <f t="shared" ca="1" si="52"/>
        <v>#N/A</v>
      </c>
      <c r="I127" s="676" t="e">
        <f t="shared" ca="1" si="53"/>
        <v>#N/A</v>
      </c>
      <c r="K127" s="676">
        <f>SUM(K128:K131)</f>
        <v>741.6583333333333</v>
      </c>
      <c r="L127" s="676">
        <f t="shared" ref="L127:V127" si="60">SUM(L128:L131)</f>
        <v>735.16666666666663</v>
      </c>
      <c r="M127" s="676">
        <f t="shared" si="60"/>
        <v>735.16666666666663</v>
      </c>
      <c r="N127" s="676">
        <f t="shared" si="60"/>
        <v>735.16666666666663</v>
      </c>
      <c r="O127" s="676">
        <f t="shared" si="60"/>
        <v>735.16666666666663</v>
      </c>
      <c r="P127" s="676">
        <f t="shared" si="60"/>
        <v>735.16666666666663</v>
      </c>
      <c r="Q127" s="676">
        <f t="shared" si="60"/>
        <v>735.16666666666663</v>
      </c>
      <c r="R127" s="676">
        <f t="shared" si="60"/>
        <v>735.16666666666663</v>
      </c>
      <c r="S127" s="676">
        <f t="shared" si="60"/>
        <v>735.16666666666663</v>
      </c>
      <c r="T127" s="676">
        <f t="shared" si="60"/>
        <v>735.16666666666663</v>
      </c>
      <c r="U127" s="676">
        <f t="shared" si="60"/>
        <v>735.16666666666663</v>
      </c>
      <c r="V127" s="676">
        <f t="shared" si="60"/>
        <v>735.16666666666663</v>
      </c>
      <c r="W127" s="676">
        <f t="shared" si="56"/>
        <v>8828.4916666666668</v>
      </c>
      <c r="Y127" s="688">
        <f>IFERROR(VLOOKUP($A127,'[91]1月'!$A:$H,8,0),0)</f>
        <v>729.44</v>
      </c>
      <c r="Z127" s="688">
        <f>IFERROR(VLOOKUP($A127,'[91]2月'!$A:$H,8,0),0)</f>
        <v>729.44</v>
      </c>
      <c r="AA127" s="688">
        <f>IFERROR(VLOOKUP($A127,'[91]3月'!$A:$H,8,0),0)</f>
        <v>299.44</v>
      </c>
      <c r="AB127" s="688">
        <f>IFERROR(VLOOKUP($A127,'[91]4月'!$A:$H,8,0),0)</f>
        <v>299.44</v>
      </c>
      <c r="AC127" s="688">
        <f>IFERROR(VLOOKUP($A127,'[91]5月'!$A:$H,8,0),0)</f>
        <v>299.44</v>
      </c>
      <c r="AD127" s="688">
        <f>IFERROR(VLOOKUP($A127,'[91]6月'!$A:$H,8,0),0)</f>
        <v>299.44</v>
      </c>
      <c r="AE127" s="688">
        <f>IFERROR(VLOOKUP($A127,'[91]7月'!$A:$H,8,0),0)</f>
        <v>299.44</v>
      </c>
      <c r="AF127" s="688">
        <f>IFERROR(VLOOKUP($A127,'[91]8月'!$A:$H,8,0),0)</f>
        <v>299.44</v>
      </c>
      <c r="AG127" s="688">
        <f>IFERROR(VLOOKUP($A127,'[91]9月'!$A:$H,8,0),0)</f>
        <v>299.44</v>
      </c>
      <c r="AH127" s="688">
        <f>IFERROR(VLOOKUP($A127,'[91]10月'!$A:$H,8,0),0)</f>
        <v>299.44</v>
      </c>
      <c r="AI127" s="688">
        <f>IFERROR(VLOOKUP($A127,'[91]11月'!$A:$H,8,0),0)</f>
        <v>299.44</v>
      </c>
      <c r="AJ127" s="688">
        <f>IFERROR(VLOOKUP($A127,'[91]12月'!$A:$H,8,0),0)</f>
        <v>299.44</v>
      </c>
      <c r="AK127" s="688">
        <f t="shared" si="54"/>
        <v>4453.28</v>
      </c>
    </row>
    <row r="128" spans="1:37" ht="11.1" customHeight="1">
      <c r="A128" s="653" t="str">
        <f>'Budget-合并'!A128</f>
        <v>6602.10.01</v>
      </c>
      <c r="B128" s="653" t="str">
        <f>'Budget-合并'!B128</f>
        <v>电子设备</v>
      </c>
      <c r="C128" s="687" t="str">
        <f>'Budget-合并'!C128</f>
        <v>Dep Exp  Computer Equip</v>
      </c>
      <c r="D128" s="676">
        <f t="shared" si="48"/>
        <v>741.6583333333333</v>
      </c>
      <c r="E128" s="676" t="e">
        <f t="shared" si="49"/>
        <v>#N/A</v>
      </c>
      <c r="F128" s="676" t="e">
        <f t="shared" si="50"/>
        <v>#N/A</v>
      </c>
      <c r="G128" s="676">
        <f t="shared" ca="1" si="51"/>
        <v>741.6583333333333</v>
      </c>
      <c r="H128" s="676" t="e">
        <f t="shared" ca="1" si="52"/>
        <v>#N/A</v>
      </c>
      <c r="I128" s="676" t="e">
        <f t="shared" ca="1" si="53"/>
        <v>#N/A</v>
      </c>
      <c r="K128" s="676">
        <f>'Other Exp'!$AC$16*HLOOKUP(K$6,'FX Lookup'!$A$2:$Y$6,3)/(3*12)</f>
        <v>741.6583333333333</v>
      </c>
      <c r="L128" s="676">
        <f>'Other Exp'!$AC$16*HLOOKUP(L$6,'FX Lookup'!$A$2:$Y$6,3)/(3*12)</f>
        <v>735.16666666666663</v>
      </c>
      <c r="M128" s="676">
        <f>'Other Exp'!$AC$16*HLOOKUP(M$6,'FX Lookup'!$A$2:$Y$6,3)/(3*12)</f>
        <v>735.16666666666663</v>
      </c>
      <c r="N128" s="676">
        <f>'Other Exp'!$AC$16*HLOOKUP(N$6,'FX Lookup'!$A$2:$Y$6,3)/(3*12)</f>
        <v>735.16666666666663</v>
      </c>
      <c r="O128" s="676">
        <f>'Other Exp'!$AC$16*HLOOKUP(O$6,'FX Lookup'!$A$2:$Y$6,3)/(3*12)</f>
        <v>735.16666666666663</v>
      </c>
      <c r="P128" s="676">
        <f>'Other Exp'!$AC$16*HLOOKUP(P$6,'FX Lookup'!$A$2:$Y$6,3)/(3*12)</f>
        <v>735.16666666666663</v>
      </c>
      <c r="Q128" s="676">
        <f>'Other Exp'!$AC$16*HLOOKUP(Q$6,'FX Lookup'!$A$2:$Y$6,3)/(3*12)</f>
        <v>735.16666666666663</v>
      </c>
      <c r="R128" s="676">
        <f>'Other Exp'!$AC$16*HLOOKUP(R$6,'FX Lookup'!$A$2:$Y$6,3)/(3*12)</f>
        <v>735.16666666666663</v>
      </c>
      <c r="S128" s="676">
        <f>'Other Exp'!$AC$16*HLOOKUP(S$6,'FX Lookup'!$A$2:$Y$6,3)/(3*12)</f>
        <v>735.16666666666663</v>
      </c>
      <c r="T128" s="676">
        <f>'Other Exp'!$AC$16*HLOOKUP(T$6,'FX Lookup'!$A$2:$Y$6,3)/(3*12)</f>
        <v>735.16666666666663</v>
      </c>
      <c r="U128" s="676">
        <f>'Other Exp'!$AC$16*HLOOKUP(U$6,'FX Lookup'!$A$2:$Y$6,3)/(3*12)</f>
        <v>735.16666666666663</v>
      </c>
      <c r="V128" s="676">
        <f>'Other Exp'!$AC$16*HLOOKUP(V$6,'FX Lookup'!$A$2:$Y$6,3)/(3*12)</f>
        <v>735.16666666666663</v>
      </c>
      <c r="W128" s="676">
        <f t="shared" si="56"/>
        <v>8828.4916666666668</v>
      </c>
      <c r="Y128" s="688">
        <f>IFERROR(VLOOKUP($A128,'[91]1月'!$A:$H,8,0),0)</f>
        <v>729.44</v>
      </c>
      <c r="Z128" s="688">
        <f>IFERROR(VLOOKUP($A128,'[91]2月'!$A:$H,8,0),0)</f>
        <v>729.44</v>
      </c>
      <c r="AA128" s="688">
        <f>IFERROR(VLOOKUP($A128,'[91]3月'!$A:$H,8,0),0)</f>
        <v>299.44</v>
      </c>
      <c r="AB128" s="688">
        <f>IFERROR(VLOOKUP($A128,'[91]4月'!$A:$H,8,0),0)</f>
        <v>299.44</v>
      </c>
      <c r="AC128" s="688">
        <f>IFERROR(VLOOKUP($A128,'[91]5月'!$A:$H,8,0),0)</f>
        <v>299.44</v>
      </c>
      <c r="AD128" s="688">
        <f>IFERROR(VLOOKUP($A128,'[91]6月'!$A:$H,8,0),0)</f>
        <v>299.44</v>
      </c>
      <c r="AE128" s="688">
        <f>IFERROR(VLOOKUP($A128,'[91]7月'!$A:$H,8,0),0)</f>
        <v>299.44</v>
      </c>
      <c r="AF128" s="688">
        <f>IFERROR(VLOOKUP($A128,'[91]8月'!$A:$H,8,0),0)</f>
        <v>299.44</v>
      </c>
      <c r="AG128" s="688">
        <f>IFERROR(VLOOKUP($A128,'[91]9月'!$A:$H,8,0),0)</f>
        <v>299.44</v>
      </c>
      <c r="AH128" s="688">
        <f>IFERROR(VLOOKUP($A128,'[91]10月'!$A:$H,8,0),0)</f>
        <v>299.44</v>
      </c>
      <c r="AI128" s="688">
        <f>IFERROR(VLOOKUP($A128,'[91]11月'!$A:$H,8,0),0)</f>
        <v>299.44</v>
      </c>
      <c r="AJ128" s="688">
        <f>IFERROR(VLOOKUP($A128,'[91]12月'!$A:$H,8,0),0)</f>
        <v>299.44</v>
      </c>
      <c r="AK128" s="688">
        <f t="shared" si="54"/>
        <v>4453.28</v>
      </c>
    </row>
    <row r="129" spans="1:37" ht="11.1" customHeight="1">
      <c r="A129" s="653" t="str">
        <f>'Budget-合并'!A129</f>
        <v>6602.10.02</v>
      </c>
      <c r="B129" s="653" t="str">
        <f>'Budget-合并'!B129</f>
        <v>房屋建筑物</v>
      </c>
      <c r="C129" s="687">
        <f>'Budget-合并'!C129</f>
        <v>0</v>
      </c>
      <c r="D129" s="676">
        <f t="shared" si="48"/>
        <v>0</v>
      </c>
      <c r="E129" s="676" t="e">
        <f t="shared" si="49"/>
        <v>#N/A</v>
      </c>
      <c r="F129" s="676" t="e">
        <f t="shared" si="50"/>
        <v>#N/A</v>
      </c>
      <c r="G129" s="676">
        <f t="shared" ca="1" si="51"/>
        <v>0</v>
      </c>
      <c r="H129" s="676" t="e">
        <f t="shared" ca="1" si="52"/>
        <v>#N/A</v>
      </c>
      <c r="I129" s="676" t="e">
        <f t="shared" ca="1" si="53"/>
        <v>#N/A</v>
      </c>
      <c r="K129" s="676"/>
      <c r="L129" s="676"/>
      <c r="M129" s="676"/>
      <c r="N129" s="676"/>
      <c r="O129" s="676"/>
      <c r="P129" s="676"/>
      <c r="Q129" s="676"/>
      <c r="R129" s="676"/>
      <c r="S129" s="676"/>
      <c r="T129" s="676"/>
      <c r="U129" s="676"/>
      <c r="V129" s="676"/>
      <c r="W129" s="676">
        <f t="shared" si="56"/>
        <v>0</v>
      </c>
      <c r="Y129" s="688">
        <f>IFERROR(VLOOKUP($A129,'[91]1月'!$A:$H,8,0),0)</f>
        <v>0</v>
      </c>
      <c r="Z129" s="688">
        <f>IFERROR(VLOOKUP($A129,'[91]2月'!$A:$H,8,0),0)</f>
        <v>0</v>
      </c>
      <c r="AA129" s="688">
        <f>IFERROR(VLOOKUP($A129,'[91]3月'!$A:$H,8,0),0)</f>
        <v>0</v>
      </c>
      <c r="AB129" s="688">
        <f>IFERROR(VLOOKUP($A129,'[91]4月'!$A:$H,8,0),0)</f>
        <v>0</v>
      </c>
      <c r="AC129" s="688">
        <f>IFERROR(VLOOKUP($A129,'[91]5月'!$A:$H,8,0),0)</f>
        <v>0</v>
      </c>
      <c r="AD129" s="688">
        <f>IFERROR(VLOOKUP($A129,'[91]6月'!$A:$H,8,0),0)</f>
        <v>0</v>
      </c>
      <c r="AE129" s="688">
        <f>IFERROR(VLOOKUP($A129,'[91]7月'!$A:$H,8,0),0)</f>
        <v>0</v>
      </c>
      <c r="AF129" s="688">
        <f>IFERROR(VLOOKUP($A129,'[91]8月'!$A:$H,8,0),0)</f>
        <v>0</v>
      </c>
      <c r="AG129" s="688">
        <f>IFERROR(VLOOKUP($A129,'[91]9月'!$A:$H,8,0),0)</f>
        <v>0</v>
      </c>
      <c r="AH129" s="688">
        <f>IFERROR(VLOOKUP($A129,'[91]10月'!$A:$H,8,0),0)</f>
        <v>0</v>
      </c>
      <c r="AI129" s="688">
        <f>IFERROR(VLOOKUP($A129,'[91]11月'!$A:$H,8,0),0)</f>
        <v>0</v>
      </c>
      <c r="AJ129" s="688">
        <f>IFERROR(VLOOKUP($A129,'[91]12月'!$A:$H,8,0),0)</f>
        <v>0</v>
      </c>
      <c r="AK129" s="688">
        <f t="shared" si="54"/>
        <v>0</v>
      </c>
    </row>
    <row r="130" spans="1:37" ht="11.1" customHeight="1">
      <c r="A130" s="653" t="str">
        <f>'Budget-合并'!A130</f>
        <v>6602.10.03</v>
      </c>
      <c r="B130" s="653" t="str">
        <f>'Budget-合并'!B130</f>
        <v>机器设备</v>
      </c>
      <c r="C130" s="687">
        <f>'Budget-合并'!C130</f>
        <v>0</v>
      </c>
      <c r="D130" s="676">
        <f t="shared" si="48"/>
        <v>0</v>
      </c>
      <c r="E130" s="676" t="e">
        <f t="shared" si="49"/>
        <v>#N/A</v>
      </c>
      <c r="F130" s="676" t="e">
        <f t="shared" si="50"/>
        <v>#N/A</v>
      </c>
      <c r="G130" s="676">
        <f t="shared" ca="1" si="51"/>
        <v>0</v>
      </c>
      <c r="H130" s="676" t="e">
        <f t="shared" ca="1" si="52"/>
        <v>#N/A</v>
      </c>
      <c r="I130" s="676" t="e">
        <f t="shared" ca="1" si="53"/>
        <v>#N/A</v>
      </c>
      <c r="K130" s="676"/>
      <c r="L130" s="676"/>
      <c r="M130" s="676"/>
      <c r="N130" s="676"/>
      <c r="O130" s="676"/>
      <c r="P130" s="676"/>
      <c r="Q130" s="676"/>
      <c r="R130" s="676"/>
      <c r="S130" s="676"/>
      <c r="T130" s="676"/>
      <c r="U130" s="676"/>
      <c r="V130" s="676"/>
      <c r="W130" s="676">
        <f t="shared" si="56"/>
        <v>0</v>
      </c>
      <c r="Y130" s="688">
        <f>IFERROR(VLOOKUP($A130,'[91]1月'!$A:$H,8,0),0)</f>
        <v>0</v>
      </c>
      <c r="Z130" s="688">
        <f>IFERROR(VLOOKUP($A130,'[91]2月'!$A:$H,8,0),0)</f>
        <v>0</v>
      </c>
      <c r="AA130" s="688">
        <f>IFERROR(VLOOKUP($A130,'[91]3月'!$A:$H,8,0),0)</f>
        <v>0</v>
      </c>
      <c r="AB130" s="688">
        <f>IFERROR(VLOOKUP($A130,'[91]4月'!$A:$H,8,0),0)</f>
        <v>0</v>
      </c>
      <c r="AC130" s="688">
        <f>IFERROR(VLOOKUP($A130,'[91]5月'!$A:$H,8,0),0)</f>
        <v>0</v>
      </c>
      <c r="AD130" s="688">
        <f>IFERROR(VLOOKUP($A130,'[91]6月'!$A:$H,8,0),0)</f>
        <v>0</v>
      </c>
      <c r="AE130" s="688">
        <f>IFERROR(VLOOKUP($A130,'[91]7月'!$A:$H,8,0),0)</f>
        <v>0</v>
      </c>
      <c r="AF130" s="688">
        <f>IFERROR(VLOOKUP($A130,'[91]8月'!$A:$H,8,0),0)</f>
        <v>0</v>
      </c>
      <c r="AG130" s="688">
        <f>IFERROR(VLOOKUP($A130,'[91]9月'!$A:$H,8,0),0)</f>
        <v>0</v>
      </c>
      <c r="AH130" s="688">
        <f>IFERROR(VLOOKUP($A130,'[91]10月'!$A:$H,8,0),0)</f>
        <v>0</v>
      </c>
      <c r="AI130" s="688">
        <f>IFERROR(VLOOKUP($A130,'[91]11月'!$A:$H,8,0),0)</f>
        <v>0</v>
      </c>
      <c r="AJ130" s="688">
        <f>IFERROR(VLOOKUP($A130,'[91]12月'!$A:$H,8,0),0)</f>
        <v>0</v>
      </c>
      <c r="AK130" s="688">
        <f t="shared" si="54"/>
        <v>0</v>
      </c>
    </row>
    <row r="131" spans="1:37" ht="11.1" customHeight="1">
      <c r="A131" s="653" t="str">
        <f>'Budget-合并'!A131</f>
        <v>6602.10.04</v>
      </c>
      <c r="B131" s="653" t="str">
        <f>'Budget-合并'!B131</f>
        <v>家具设备</v>
      </c>
      <c r="C131" s="687" t="str">
        <f>'Budget-合并'!C131</f>
        <v xml:space="preserve">Dep Exp - Other EQ &amp; Furn </v>
      </c>
      <c r="D131" s="676">
        <f t="shared" si="48"/>
        <v>0</v>
      </c>
      <c r="E131" s="676" t="e">
        <f t="shared" si="49"/>
        <v>#N/A</v>
      </c>
      <c r="F131" s="676" t="e">
        <f t="shared" si="50"/>
        <v>#N/A</v>
      </c>
      <c r="G131" s="676">
        <f t="shared" ca="1" si="51"/>
        <v>0</v>
      </c>
      <c r="H131" s="676" t="e">
        <f t="shared" ca="1" si="52"/>
        <v>#N/A</v>
      </c>
      <c r="I131" s="676" t="e">
        <f t="shared" ca="1" si="53"/>
        <v>#N/A</v>
      </c>
      <c r="K131" s="676"/>
      <c r="L131" s="676"/>
      <c r="M131" s="676"/>
      <c r="N131" s="676"/>
      <c r="O131" s="676"/>
      <c r="P131" s="676"/>
      <c r="Q131" s="676"/>
      <c r="R131" s="676"/>
      <c r="S131" s="676"/>
      <c r="T131" s="676"/>
      <c r="U131" s="676"/>
      <c r="V131" s="676"/>
      <c r="W131" s="676">
        <f t="shared" si="56"/>
        <v>0</v>
      </c>
      <c r="Y131" s="688">
        <f>IFERROR(VLOOKUP($A131,'[91]1月'!$A:$H,8,0),0)</f>
        <v>0</v>
      </c>
      <c r="Z131" s="688">
        <f>IFERROR(VLOOKUP($A131,'[91]2月'!$A:$H,8,0),0)</f>
        <v>0</v>
      </c>
      <c r="AA131" s="688">
        <f>IFERROR(VLOOKUP($A131,'[91]3月'!$A:$H,8,0),0)</f>
        <v>0</v>
      </c>
      <c r="AB131" s="688">
        <f>IFERROR(VLOOKUP($A131,'[91]4月'!$A:$H,8,0),0)</f>
        <v>0</v>
      </c>
      <c r="AC131" s="688">
        <f>IFERROR(VLOOKUP($A131,'[91]5月'!$A:$H,8,0),0)</f>
        <v>0</v>
      </c>
      <c r="AD131" s="688">
        <f>IFERROR(VLOOKUP($A131,'[91]6月'!$A:$H,8,0),0)</f>
        <v>0</v>
      </c>
      <c r="AE131" s="688">
        <f>IFERROR(VLOOKUP($A131,'[91]7月'!$A:$H,8,0),0)</f>
        <v>0</v>
      </c>
      <c r="AF131" s="688">
        <f>IFERROR(VLOOKUP($A131,'[91]8月'!$A:$H,8,0),0)</f>
        <v>0</v>
      </c>
      <c r="AG131" s="688">
        <f>IFERROR(VLOOKUP($A131,'[91]9月'!$A:$H,8,0),0)</f>
        <v>0</v>
      </c>
      <c r="AH131" s="688">
        <f>IFERROR(VLOOKUP($A131,'[91]10月'!$A:$H,8,0),0)</f>
        <v>0</v>
      </c>
      <c r="AI131" s="688">
        <f>IFERROR(VLOOKUP($A131,'[91]11月'!$A:$H,8,0),0)</f>
        <v>0</v>
      </c>
      <c r="AJ131" s="688">
        <f>IFERROR(VLOOKUP($A131,'[91]12月'!$A:$H,8,0),0)</f>
        <v>0</v>
      </c>
      <c r="AK131" s="688">
        <f t="shared" si="54"/>
        <v>0</v>
      </c>
    </row>
    <row r="132" spans="1:37" ht="11.1" customHeight="1">
      <c r="A132" s="663" t="str">
        <f>'Budget-合并'!A132</f>
        <v>6602.12</v>
      </c>
      <c r="B132" s="663" t="str">
        <f>'Budget-合并'!B132</f>
        <v>使用权资产折旧</v>
      </c>
      <c r="C132" s="687" t="str">
        <f>'Budget-合并'!C132</f>
        <v>Dep Exp - Right of Use Asset</v>
      </c>
      <c r="D132" s="676">
        <f t="shared" si="48"/>
        <v>0</v>
      </c>
      <c r="E132" s="676" t="e">
        <f t="shared" si="49"/>
        <v>#N/A</v>
      </c>
      <c r="F132" s="676" t="e">
        <f t="shared" si="50"/>
        <v>#N/A</v>
      </c>
      <c r="G132" s="676">
        <f t="shared" ca="1" si="51"/>
        <v>0</v>
      </c>
      <c r="H132" s="676" t="e">
        <f t="shared" ca="1" si="52"/>
        <v>#N/A</v>
      </c>
      <c r="I132" s="676" t="e">
        <f t="shared" ca="1" si="53"/>
        <v>#N/A</v>
      </c>
      <c r="K132" s="676">
        <f>SUM(K133,K134,K137)</f>
        <v>0</v>
      </c>
      <c r="L132" s="676">
        <f t="shared" ref="L132:V132" si="61">SUM(L133,L134,L137)</f>
        <v>0</v>
      </c>
      <c r="M132" s="676">
        <f t="shared" si="61"/>
        <v>0</v>
      </c>
      <c r="N132" s="676">
        <f t="shared" si="61"/>
        <v>0</v>
      </c>
      <c r="O132" s="676">
        <f t="shared" si="61"/>
        <v>0</v>
      </c>
      <c r="P132" s="676">
        <f t="shared" si="61"/>
        <v>0</v>
      </c>
      <c r="Q132" s="676">
        <f t="shared" si="61"/>
        <v>0</v>
      </c>
      <c r="R132" s="676">
        <f t="shared" si="61"/>
        <v>0</v>
      </c>
      <c r="S132" s="676">
        <f t="shared" si="61"/>
        <v>0</v>
      </c>
      <c r="T132" s="676">
        <f t="shared" si="61"/>
        <v>0</v>
      </c>
      <c r="U132" s="676">
        <f t="shared" si="61"/>
        <v>0</v>
      </c>
      <c r="V132" s="676">
        <f t="shared" si="61"/>
        <v>0</v>
      </c>
      <c r="W132" s="676">
        <f t="shared" si="56"/>
        <v>0</v>
      </c>
      <c r="Y132" s="688">
        <f>IFERROR(VLOOKUP($A132,'[91]1月'!$A:$H,8,0),0)</f>
        <v>0</v>
      </c>
      <c r="Z132" s="688">
        <f>IFERROR(VLOOKUP($A132,'[91]2月'!$A:$H,8,0),0)</f>
        <v>0</v>
      </c>
      <c r="AA132" s="688">
        <f>IFERROR(VLOOKUP($A132,'[91]3月'!$A:$H,8,0),0)</f>
        <v>0</v>
      </c>
      <c r="AB132" s="688">
        <f>IFERROR(VLOOKUP($A132,'[91]4月'!$A:$H,8,0),0)</f>
        <v>0</v>
      </c>
      <c r="AC132" s="688">
        <f>IFERROR(VLOOKUP($A132,'[91]5月'!$A:$H,8,0),0)</f>
        <v>0</v>
      </c>
      <c r="AD132" s="688">
        <f>IFERROR(VLOOKUP($A132,'[91]6月'!$A:$H,8,0),0)</f>
        <v>0</v>
      </c>
      <c r="AE132" s="688">
        <f>IFERROR(VLOOKUP($A132,'[91]7月'!$A:$H,8,0),0)</f>
        <v>0</v>
      </c>
      <c r="AF132" s="688">
        <f>IFERROR(VLOOKUP($A132,'[91]8月'!$A:$H,8,0),0)</f>
        <v>0</v>
      </c>
      <c r="AG132" s="688">
        <f>IFERROR(VLOOKUP($A132,'[91]9月'!$A:$H,8,0),0)</f>
        <v>0</v>
      </c>
      <c r="AH132" s="688">
        <f>IFERROR(VLOOKUP($A132,'[91]10月'!$A:$H,8,0),0)</f>
        <v>0</v>
      </c>
      <c r="AI132" s="688">
        <f>IFERROR(VLOOKUP($A132,'[91]11月'!$A:$H,8,0),0)</f>
        <v>0</v>
      </c>
      <c r="AJ132" s="688">
        <f>IFERROR(VLOOKUP($A132,'[91]12月'!$A:$H,8,0),0)</f>
        <v>0</v>
      </c>
      <c r="AK132" s="688">
        <f t="shared" si="54"/>
        <v>0</v>
      </c>
    </row>
    <row r="133" spans="1:37" ht="11.1" customHeight="1">
      <c r="A133" s="653" t="str">
        <f>'Budget-合并'!A133</f>
        <v>6602.12.01</v>
      </c>
      <c r="B133" s="653" t="str">
        <f>'Budget-合并'!B133</f>
        <v>打印机租赁</v>
      </c>
      <c r="C133" s="687">
        <f>'Budget-合并'!C133</f>
        <v>0</v>
      </c>
      <c r="D133" s="676">
        <f t="shared" si="48"/>
        <v>0</v>
      </c>
      <c r="E133" s="676" t="e">
        <f t="shared" si="49"/>
        <v>#N/A</v>
      </c>
      <c r="F133" s="676" t="e">
        <f t="shared" si="50"/>
        <v>#N/A</v>
      </c>
      <c r="G133" s="676">
        <f t="shared" ca="1" si="51"/>
        <v>0</v>
      </c>
      <c r="H133" s="676" t="e">
        <f t="shared" ca="1" si="52"/>
        <v>#N/A</v>
      </c>
      <c r="I133" s="676" t="e">
        <f t="shared" ca="1" si="53"/>
        <v>#N/A</v>
      </c>
      <c r="K133" s="676"/>
      <c r="L133" s="676"/>
      <c r="M133" s="676"/>
      <c r="N133" s="676"/>
      <c r="O133" s="676"/>
      <c r="P133" s="676"/>
      <c r="Q133" s="676"/>
      <c r="R133" s="676"/>
      <c r="S133" s="676"/>
      <c r="T133" s="676"/>
      <c r="U133" s="676"/>
      <c r="V133" s="676"/>
      <c r="W133" s="676">
        <f t="shared" si="56"/>
        <v>0</v>
      </c>
      <c r="Y133" s="688">
        <f>IFERROR(VLOOKUP($A133,'[91]1月'!$A:$H,8,0),0)</f>
        <v>0</v>
      </c>
      <c r="Z133" s="688">
        <f>IFERROR(VLOOKUP($A133,'[91]2月'!$A:$H,8,0),0)</f>
        <v>0</v>
      </c>
      <c r="AA133" s="688">
        <f>IFERROR(VLOOKUP($A133,'[91]3月'!$A:$H,8,0),0)</f>
        <v>0</v>
      </c>
      <c r="AB133" s="688">
        <f>IFERROR(VLOOKUP($A133,'[91]4月'!$A:$H,8,0),0)</f>
        <v>0</v>
      </c>
      <c r="AC133" s="688">
        <f>IFERROR(VLOOKUP($A133,'[91]5月'!$A:$H,8,0),0)</f>
        <v>0</v>
      </c>
      <c r="AD133" s="688">
        <f>IFERROR(VLOOKUP($A133,'[91]6月'!$A:$H,8,0),0)</f>
        <v>0</v>
      </c>
      <c r="AE133" s="688">
        <f>IFERROR(VLOOKUP($A133,'[91]7月'!$A:$H,8,0),0)</f>
        <v>0</v>
      </c>
      <c r="AF133" s="688">
        <f>IFERROR(VLOOKUP($A133,'[91]8月'!$A:$H,8,0),0)</f>
        <v>0</v>
      </c>
      <c r="AG133" s="688">
        <f>IFERROR(VLOOKUP($A133,'[91]9月'!$A:$H,8,0),0)</f>
        <v>0</v>
      </c>
      <c r="AH133" s="688">
        <f>IFERROR(VLOOKUP($A133,'[91]10月'!$A:$H,8,0),0)</f>
        <v>0</v>
      </c>
      <c r="AI133" s="688">
        <f>IFERROR(VLOOKUP($A133,'[91]11月'!$A:$H,8,0),0)</f>
        <v>0</v>
      </c>
      <c r="AJ133" s="688">
        <f>IFERROR(VLOOKUP($A133,'[91]12月'!$A:$H,8,0),0)</f>
        <v>0</v>
      </c>
      <c r="AK133" s="688">
        <f t="shared" si="54"/>
        <v>0</v>
      </c>
    </row>
    <row r="134" spans="1:37" ht="11.1" customHeight="1">
      <c r="A134" s="653" t="str">
        <f>'Budget-合并'!A134</f>
        <v>6602.12.02</v>
      </c>
      <c r="B134" s="653" t="str">
        <f>'Budget-合并'!B134</f>
        <v>办公地址</v>
      </c>
      <c r="C134" s="687">
        <f>'Budget-合并'!C134</f>
        <v>0</v>
      </c>
      <c r="D134" s="676">
        <f t="shared" si="48"/>
        <v>0</v>
      </c>
      <c r="E134" s="676" t="e">
        <f t="shared" si="49"/>
        <v>#N/A</v>
      </c>
      <c r="F134" s="676" t="e">
        <f t="shared" si="50"/>
        <v>#N/A</v>
      </c>
      <c r="G134" s="676">
        <f t="shared" ca="1" si="51"/>
        <v>0</v>
      </c>
      <c r="H134" s="676" t="e">
        <f t="shared" ca="1" si="52"/>
        <v>#N/A</v>
      </c>
      <c r="I134" s="676" t="e">
        <f t="shared" ca="1" si="53"/>
        <v>#N/A</v>
      </c>
      <c r="K134" s="676">
        <f>SUM(K135:K136)</f>
        <v>0</v>
      </c>
      <c r="L134" s="676">
        <f t="shared" ref="L134:V134" si="62">SUM(L135:L136)</f>
        <v>0</v>
      </c>
      <c r="M134" s="676">
        <f t="shared" si="62"/>
        <v>0</v>
      </c>
      <c r="N134" s="676">
        <f t="shared" si="62"/>
        <v>0</v>
      </c>
      <c r="O134" s="676">
        <f t="shared" si="62"/>
        <v>0</v>
      </c>
      <c r="P134" s="676">
        <f t="shared" si="62"/>
        <v>0</v>
      </c>
      <c r="Q134" s="676">
        <f t="shared" si="62"/>
        <v>0</v>
      </c>
      <c r="R134" s="676">
        <f t="shared" si="62"/>
        <v>0</v>
      </c>
      <c r="S134" s="676">
        <f t="shared" si="62"/>
        <v>0</v>
      </c>
      <c r="T134" s="676">
        <f t="shared" si="62"/>
        <v>0</v>
      </c>
      <c r="U134" s="676">
        <f t="shared" si="62"/>
        <v>0</v>
      </c>
      <c r="V134" s="676">
        <f t="shared" si="62"/>
        <v>0</v>
      </c>
      <c r="W134" s="676">
        <f t="shared" si="56"/>
        <v>0</v>
      </c>
      <c r="Y134" s="688">
        <f>IFERROR(VLOOKUP($A134,'[91]1月'!$A:$H,8,0),0)</f>
        <v>0</v>
      </c>
      <c r="Z134" s="688">
        <f>IFERROR(VLOOKUP($A134,'[91]2月'!$A:$H,8,0),0)</f>
        <v>0</v>
      </c>
      <c r="AA134" s="688">
        <f>IFERROR(VLOOKUP($A134,'[91]3月'!$A:$H,8,0),0)</f>
        <v>0</v>
      </c>
      <c r="AB134" s="688">
        <f>IFERROR(VLOOKUP($A134,'[91]4月'!$A:$H,8,0),0)</f>
        <v>0</v>
      </c>
      <c r="AC134" s="688">
        <f>IFERROR(VLOOKUP($A134,'[91]5月'!$A:$H,8,0),0)</f>
        <v>0</v>
      </c>
      <c r="AD134" s="688">
        <f>IFERROR(VLOOKUP($A134,'[91]6月'!$A:$H,8,0),0)</f>
        <v>0</v>
      </c>
      <c r="AE134" s="688">
        <f>IFERROR(VLOOKUP($A134,'[91]7月'!$A:$H,8,0),0)</f>
        <v>0</v>
      </c>
      <c r="AF134" s="688">
        <f>IFERROR(VLOOKUP($A134,'[91]8月'!$A:$H,8,0),0)</f>
        <v>0</v>
      </c>
      <c r="AG134" s="688">
        <f>IFERROR(VLOOKUP($A134,'[91]9月'!$A:$H,8,0),0)</f>
        <v>0</v>
      </c>
      <c r="AH134" s="688">
        <f>IFERROR(VLOOKUP($A134,'[91]10月'!$A:$H,8,0),0)</f>
        <v>0</v>
      </c>
      <c r="AI134" s="688">
        <f>IFERROR(VLOOKUP($A134,'[91]11月'!$A:$H,8,0),0)</f>
        <v>0</v>
      </c>
      <c r="AJ134" s="688">
        <f>IFERROR(VLOOKUP($A134,'[91]12月'!$A:$H,8,0),0)</f>
        <v>0</v>
      </c>
      <c r="AK134" s="688">
        <f t="shared" si="54"/>
        <v>0</v>
      </c>
    </row>
    <row r="135" spans="1:37" ht="11.1" customHeight="1">
      <c r="A135" s="653" t="str">
        <f>'Budget-合并'!A135</f>
        <v>6602.12.02.01</v>
      </c>
      <c r="B135" s="653" t="str">
        <f>'Budget-合并'!B135</f>
        <v>旭智咨询--鼎和大厦1606</v>
      </c>
      <c r="C135" s="687">
        <f>'Budget-合并'!C135</f>
        <v>0</v>
      </c>
      <c r="D135" s="676">
        <f t="shared" si="48"/>
        <v>0</v>
      </c>
      <c r="E135" s="676" t="e">
        <f t="shared" si="49"/>
        <v>#N/A</v>
      </c>
      <c r="F135" s="676" t="e">
        <f t="shared" si="50"/>
        <v>#N/A</v>
      </c>
      <c r="G135" s="676">
        <f t="shared" ca="1" si="51"/>
        <v>0</v>
      </c>
      <c r="H135" s="676" t="e">
        <f t="shared" ca="1" si="52"/>
        <v>#N/A</v>
      </c>
      <c r="I135" s="676" t="e">
        <f t="shared" ca="1" si="53"/>
        <v>#N/A</v>
      </c>
      <c r="K135" s="676"/>
      <c r="L135" s="676"/>
      <c r="M135" s="676"/>
      <c r="N135" s="676"/>
      <c r="O135" s="676"/>
      <c r="P135" s="676"/>
      <c r="Q135" s="676"/>
      <c r="R135" s="676"/>
      <c r="S135" s="676"/>
      <c r="T135" s="676"/>
      <c r="U135" s="676"/>
      <c r="V135" s="676"/>
      <c r="W135" s="676">
        <f t="shared" si="56"/>
        <v>0</v>
      </c>
      <c r="Y135" s="688">
        <f>IFERROR(VLOOKUP($A135,'[91]1月'!$A:$H,8,0),0)</f>
        <v>0</v>
      </c>
      <c r="Z135" s="688">
        <f>IFERROR(VLOOKUP($A135,'[91]2月'!$A:$H,8,0),0)</f>
        <v>0</v>
      </c>
      <c r="AA135" s="688">
        <f>IFERROR(VLOOKUP($A135,'[91]3月'!$A:$H,8,0),0)</f>
        <v>0</v>
      </c>
      <c r="AB135" s="688">
        <f>IFERROR(VLOOKUP($A135,'[91]4月'!$A:$H,8,0),0)</f>
        <v>0</v>
      </c>
      <c r="AC135" s="688">
        <f>IFERROR(VLOOKUP($A135,'[91]5月'!$A:$H,8,0),0)</f>
        <v>0</v>
      </c>
      <c r="AD135" s="688">
        <f>IFERROR(VLOOKUP($A135,'[91]6月'!$A:$H,8,0),0)</f>
        <v>0</v>
      </c>
      <c r="AE135" s="688">
        <f>IFERROR(VLOOKUP($A135,'[91]7月'!$A:$H,8,0),0)</f>
        <v>0</v>
      </c>
      <c r="AF135" s="688">
        <f>IFERROR(VLOOKUP($A135,'[91]8月'!$A:$H,8,0),0)</f>
        <v>0</v>
      </c>
      <c r="AG135" s="688">
        <f>IFERROR(VLOOKUP($A135,'[91]9月'!$A:$H,8,0),0)</f>
        <v>0</v>
      </c>
      <c r="AH135" s="688">
        <f>IFERROR(VLOOKUP($A135,'[91]10月'!$A:$H,8,0),0)</f>
        <v>0</v>
      </c>
      <c r="AI135" s="688">
        <f>IFERROR(VLOOKUP($A135,'[91]11月'!$A:$H,8,0),0)</f>
        <v>0</v>
      </c>
      <c r="AJ135" s="688">
        <f>IFERROR(VLOOKUP($A135,'[91]12月'!$A:$H,8,0),0)</f>
        <v>0</v>
      </c>
      <c r="AK135" s="688">
        <f t="shared" si="54"/>
        <v>0</v>
      </c>
    </row>
    <row r="136" spans="1:37" ht="11.1" customHeight="1">
      <c r="A136" s="653" t="str">
        <f>'Budget-合并'!A136</f>
        <v>6602.12.02.02</v>
      </c>
      <c r="B136" s="653" t="str">
        <f>'Budget-合并'!B136</f>
        <v>旭智资本（香港）--冯氏大厦</v>
      </c>
      <c r="C136" s="687">
        <f>'Budget-合并'!C136</f>
        <v>0</v>
      </c>
      <c r="D136" s="676">
        <f t="shared" si="48"/>
        <v>0</v>
      </c>
      <c r="E136" s="676" t="e">
        <f t="shared" si="49"/>
        <v>#N/A</v>
      </c>
      <c r="F136" s="676" t="e">
        <f t="shared" si="50"/>
        <v>#N/A</v>
      </c>
      <c r="G136" s="676">
        <f t="shared" ca="1" si="51"/>
        <v>0</v>
      </c>
      <c r="H136" s="676" t="e">
        <f t="shared" ca="1" si="52"/>
        <v>#N/A</v>
      </c>
      <c r="I136" s="676" t="e">
        <f t="shared" ca="1" si="53"/>
        <v>#N/A</v>
      </c>
      <c r="K136" s="676"/>
      <c r="L136" s="676"/>
      <c r="M136" s="676"/>
      <c r="N136" s="676"/>
      <c r="O136" s="676"/>
      <c r="P136" s="676"/>
      <c r="Q136" s="676"/>
      <c r="R136" s="676"/>
      <c r="S136" s="676"/>
      <c r="T136" s="676"/>
      <c r="U136" s="676"/>
      <c r="V136" s="676"/>
      <c r="W136" s="676">
        <f t="shared" si="56"/>
        <v>0</v>
      </c>
      <c r="Y136" s="688">
        <f>IFERROR(VLOOKUP($A136,'[91]1月'!$A:$H,8,0),0)</f>
        <v>0</v>
      </c>
      <c r="Z136" s="688">
        <f>IFERROR(VLOOKUP($A136,'[91]2月'!$A:$H,8,0),0)</f>
        <v>0</v>
      </c>
      <c r="AA136" s="688">
        <f>IFERROR(VLOOKUP($A136,'[91]3月'!$A:$H,8,0),0)</f>
        <v>0</v>
      </c>
      <c r="AB136" s="688">
        <f>IFERROR(VLOOKUP($A136,'[91]4月'!$A:$H,8,0),0)</f>
        <v>0</v>
      </c>
      <c r="AC136" s="688">
        <f>IFERROR(VLOOKUP($A136,'[91]5月'!$A:$H,8,0),0)</f>
        <v>0</v>
      </c>
      <c r="AD136" s="688">
        <f>IFERROR(VLOOKUP($A136,'[91]6月'!$A:$H,8,0),0)</f>
        <v>0</v>
      </c>
      <c r="AE136" s="688">
        <f>IFERROR(VLOOKUP($A136,'[91]7月'!$A:$H,8,0),0)</f>
        <v>0</v>
      </c>
      <c r="AF136" s="688">
        <f>IFERROR(VLOOKUP($A136,'[91]8月'!$A:$H,8,0),0)</f>
        <v>0</v>
      </c>
      <c r="AG136" s="688">
        <f>IFERROR(VLOOKUP($A136,'[91]9月'!$A:$H,8,0),0)</f>
        <v>0</v>
      </c>
      <c r="AH136" s="688">
        <f>IFERROR(VLOOKUP($A136,'[91]10月'!$A:$H,8,0),0)</f>
        <v>0</v>
      </c>
      <c r="AI136" s="688">
        <f>IFERROR(VLOOKUP($A136,'[91]11月'!$A:$H,8,0),0)</f>
        <v>0</v>
      </c>
      <c r="AJ136" s="688">
        <f>IFERROR(VLOOKUP($A136,'[91]12月'!$A:$H,8,0),0)</f>
        <v>0</v>
      </c>
      <c r="AK136" s="688">
        <f t="shared" si="54"/>
        <v>0</v>
      </c>
    </row>
    <row r="137" spans="1:37" ht="11.1" customHeight="1">
      <c r="A137" s="653" t="str">
        <f>'Budget-合并'!A137</f>
        <v>6602.12.03</v>
      </c>
      <c r="B137" s="653" t="str">
        <f>'Budget-合并'!B137</f>
        <v>注册地址</v>
      </c>
      <c r="C137" s="687">
        <f>'Budget-合并'!C137</f>
        <v>0</v>
      </c>
      <c r="D137" s="676">
        <f t="shared" si="48"/>
        <v>0</v>
      </c>
      <c r="E137" s="676" t="e">
        <f t="shared" si="49"/>
        <v>#N/A</v>
      </c>
      <c r="F137" s="676" t="e">
        <f t="shared" si="50"/>
        <v>#N/A</v>
      </c>
      <c r="G137" s="676">
        <f t="shared" ca="1" si="51"/>
        <v>0</v>
      </c>
      <c r="H137" s="676" t="e">
        <f t="shared" ca="1" si="52"/>
        <v>#N/A</v>
      </c>
      <c r="I137" s="676" t="e">
        <f t="shared" ca="1" si="53"/>
        <v>#N/A</v>
      </c>
      <c r="K137" s="676">
        <f>SUM(K138:K139)</f>
        <v>0</v>
      </c>
      <c r="L137" s="676">
        <f t="shared" ref="L137:V137" si="63">SUM(L138:L139)</f>
        <v>0</v>
      </c>
      <c r="M137" s="676">
        <f t="shared" si="63"/>
        <v>0</v>
      </c>
      <c r="N137" s="676">
        <f t="shared" si="63"/>
        <v>0</v>
      </c>
      <c r="O137" s="676">
        <f t="shared" si="63"/>
        <v>0</v>
      </c>
      <c r="P137" s="676">
        <f t="shared" si="63"/>
        <v>0</v>
      </c>
      <c r="Q137" s="676">
        <f t="shared" si="63"/>
        <v>0</v>
      </c>
      <c r="R137" s="676">
        <f t="shared" si="63"/>
        <v>0</v>
      </c>
      <c r="S137" s="676">
        <f t="shared" si="63"/>
        <v>0</v>
      </c>
      <c r="T137" s="676">
        <f t="shared" si="63"/>
        <v>0</v>
      </c>
      <c r="U137" s="676">
        <f t="shared" si="63"/>
        <v>0</v>
      </c>
      <c r="V137" s="676">
        <f t="shared" si="63"/>
        <v>0</v>
      </c>
      <c r="W137" s="676">
        <f t="shared" si="56"/>
        <v>0</v>
      </c>
      <c r="Y137" s="688">
        <f>IFERROR(VLOOKUP($A137,'[91]1月'!$A:$H,8,0),0)</f>
        <v>0</v>
      </c>
      <c r="Z137" s="688">
        <f>IFERROR(VLOOKUP($A137,'[91]2月'!$A:$H,8,0),0)</f>
        <v>0</v>
      </c>
      <c r="AA137" s="688">
        <f>IFERROR(VLOOKUP($A137,'[91]3月'!$A:$H,8,0),0)</f>
        <v>0</v>
      </c>
      <c r="AB137" s="688">
        <f>IFERROR(VLOOKUP($A137,'[91]4月'!$A:$H,8,0),0)</f>
        <v>0</v>
      </c>
      <c r="AC137" s="688">
        <f>IFERROR(VLOOKUP($A137,'[91]5月'!$A:$H,8,0),0)</f>
        <v>0</v>
      </c>
      <c r="AD137" s="688">
        <f>IFERROR(VLOOKUP($A137,'[91]6月'!$A:$H,8,0),0)</f>
        <v>0</v>
      </c>
      <c r="AE137" s="688">
        <f>IFERROR(VLOOKUP($A137,'[91]7月'!$A:$H,8,0),0)</f>
        <v>0</v>
      </c>
      <c r="AF137" s="688">
        <f>IFERROR(VLOOKUP($A137,'[91]8月'!$A:$H,8,0),0)</f>
        <v>0</v>
      </c>
      <c r="AG137" s="688">
        <f>IFERROR(VLOOKUP($A137,'[91]9月'!$A:$H,8,0),0)</f>
        <v>0</v>
      </c>
      <c r="AH137" s="688">
        <f>IFERROR(VLOOKUP($A137,'[91]10月'!$A:$H,8,0),0)</f>
        <v>0</v>
      </c>
      <c r="AI137" s="688">
        <f>IFERROR(VLOOKUP($A137,'[91]11月'!$A:$H,8,0),0)</f>
        <v>0</v>
      </c>
      <c r="AJ137" s="688">
        <f>IFERROR(VLOOKUP($A137,'[91]12月'!$A:$H,8,0),0)</f>
        <v>0</v>
      </c>
      <c r="AK137" s="688">
        <f t="shared" si="54"/>
        <v>0</v>
      </c>
    </row>
    <row r="138" spans="1:37" ht="11.1" customHeight="1">
      <c r="A138" s="653" t="str">
        <f>'Budget-合并'!A138</f>
        <v>6602.12.03.01</v>
      </c>
      <c r="B138" s="653" t="str">
        <f>'Budget-合并'!B138</f>
        <v>旭智私募--前海壹号B座701E</v>
      </c>
      <c r="C138" s="687">
        <f>'Budget-合并'!C138</f>
        <v>0</v>
      </c>
      <c r="D138" s="676">
        <f t="shared" si="48"/>
        <v>0</v>
      </c>
      <c r="E138" s="676" t="e">
        <f t="shared" si="49"/>
        <v>#N/A</v>
      </c>
      <c r="F138" s="676" t="e">
        <f t="shared" si="50"/>
        <v>#N/A</v>
      </c>
      <c r="G138" s="676">
        <f t="shared" ca="1" si="51"/>
        <v>0</v>
      </c>
      <c r="H138" s="676" t="e">
        <f t="shared" ca="1" si="52"/>
        <v>#N/A</v>
      </c>
      <c r="I138" s="676" t="e">
        <f t="shared" ca="1" si="53"/>
        <v>#N/A</v>
      </c>
      <c r="K138" s="676"/>
      <c r="L138" s="676"/>
      <c r="M138" s="676"/>
      <c r="N138" s="676"/>
      <c r="O138" s="676"/>
      <c r="P138" s="676"/>
      <c r="Q138" s="676"/>
      <c r="R138" s="676"/>
      <c r="S138" s="676"/>
      <c r="T138" s="676"/>
      <c r="U138" s="676"/>
      <c r="V138" s="676"/>
      <c r="W138" s="676">
        <f t="shared" si="56"/>
        <v>0</v>
      </c>
      <c r="Y138" s="688">
        <f>IFERROR(VLOOKUP($A138,'[91]1月'!$A:$H,8,0),0)</f>
        <v>0</v>
      </c>
      <c r="Z138" s="688">
        <f>IFERROR(VLOOKUP($A138,'[91]2月'!$A:$H,8,0),0)</f>
        <v>0</v>
      </c>
      <c r="AA138" s="688">
        <f>IFERROR(VLOOKUP($A138,'[91]3月'!$A:$H,8,0),0)</f>
        <v>0</v>
      </c>
      <c r="AB138" s="688">
        <f>IFERROR(VLOOKUP($A138,'[91]4月'!$A:$H,8,0),0)</f>
        <v>0</v>
      </c>
      <c r="AC138" s="688">
        <f>IFERROR(VLOOKUP($A138,'[91]5月'!$A:$H,8,0),0)</f>
        <v>0</v>
      </c>
      <c r="AD138" s="688">
        <f>IFERROR(VLOOKUP($A138,'[91]6月'!$A:$H,8,0),0)</f>
        <v>0</v>
      </c>
      <c r="AE138" s="688">
        <f>IFERROR(VLOOKUP($A138,'[91]7月'!$A:$H,8,0),0)</f>
        <v>0</v>
      </c>
      <c r="AF138" s="688">
        <f>IFERROR(VLOOKUP($A138,'[91]8月'!$A:$H,8,0),0)</f>
        <v>0</v>
      </c>
      <c r="AG138" s="688">
        <f>IFERROR(VLOOKUP($A138,'[91]9月'!$A:$H,8,0),0)</f>
        <v>0</v>
      </c>
      <c r="AH138" s="688">
        <f>IFERROR(VLOOKUP($A138,'[91]10月'!$A:$H,8,0),0)</f>
        <v>0</v>
      </c>
      <c r="AI138" s="688">
        <f>IFERROR(VLOOKUP($A138,'[91]11月'!$A:$H,8,0),0)</f>
        <v>0</v>
      </c>
      <c r="AJ138" s="688">
        <f>IFERROR(VLOOKUP($A138,'[91]12月'!$A:$H,8,0),0)</f>
        <v>0</v>
      </c>
      <c r="AK138" s="688">
        <f t="shared" si="54"/>
        <v>0</v>
      </c>
    </row>
    <row r="139" spans="1:37" ht="11.1" customHeight="1">
      <c r="A139" s="653" t="str">
        <f>'Budget-合并'!A139</f>
        <v>6602.12.03.02</v>
      </c>
      <c r="B139" s="653" t="str">
        <f>'Budget-合并'!B139</f>
        <v>广州旭智--802房F028</v>
      </c>
      <c r="C139" s="687">
        <f>'Budget-合并'!C139</f>
        <v>0</v>
      </c>
      <c r="D139" s="676">
        <f t="shared" si="48"/>
        <v>0</v>
      </c>
      <c r="E139" s="676" t="e">
        <f t="shared" si="49"/>
        <v>#N/A</v>
      </c>
      <c r="F139" s="676" t="e">
        <f t="shared" si="50"/>
        <v>#N/A</v>
      </c>
      <c r="G139" s="676">
        <f t="shared" ca="1" si="51"/>
        <v>0</v>
      </c>
      <c r="H139" s="676" t="e">
        <f t="shared" ca="1" si="52"/>
        <v>#N/A</v>
      </c>
      <c r="I139" s="676" t="e">
        <f t="shared" ca="1" si="53"/>
        <v>#N/A</v>
      </c>
      <c r="K139" s="676"/>
      <c r="L139" s="676"/>
      <c r="M139" s="676"/>
      <c r="N139" s="676"/>
      <c r="O139" s="676"/>
      <c r="P139" s="676"/>
      <c r="Q139" s="676"/>
      <c r="R139" s="676"/>
      <c r="S139" s="676"/>
      <c r="T139" s="676"/>
      <c r="U139" s="676"/>
      <c r="V139" s="676"/>
      <c r="W139" s="676">
        <f t="shared" si="56"/>
        <v>0</v>
      </c>
      <c r="Y139" s="688">
        <f>IFERROR(VLOOKUP($A139,'[91]1月'!$A:$H,8,0),0)</f>
        <v>0</v>
      </c>
      <c r="Z139" s="688">
        <f>IFERROR(VLOOKUP($A139,'[91]2月'!$A:$H,8,0),0)</f>
        <v>0</v>
      </c>
      <c r="AA139" s="688">
        <f>IFERROR(VLOOKUP($A139,'[91]3月'!$A:$H,8,0),0)</f>
        <v>0</v>
      </c>
      <c r="AB139" s="688">
        <f>IFERROR(VLOOKUP($A139,'[91]4月'!$A:$H,8,0),0)</f>
        <v>0</v>
      </c>
      <c r="AC139" s="688">
        <f>IFERROR(VLOOKUP($A139,'[91]5月'!$A:$H,8,0),0)</f>
        <v>0</v>
      </c>
      <c r="AD139" s="688">
        <f>IFERROR(VLOOKUP($A139,'[91]6月'!$A:$H,8,0),0)</f>
        <v>0</v>
      </c>
      <c r="AE139" s="688">
        <f>IFERROR(VLOOKUP($A139,'[91]7月'!$A:$H,8,0),0)</f>
        <v>0</v>
      </c>
      <c r="AF139" s="688">
        <f>IFERROR(VLOOKUP($A139,'[91]8月'!$A:$H,8,0),0)</f>
        <v>0</v>
      </c>
      <c r="AG139" s="688">
        <f>IFERROR(VLOOKUP($A139,'[91]9月'!$A:$H,8,0),0)</f>
        <v>0</v>
      </c>
      <c r="AH139" s="688">
        <f>IFERROR(VLOOKUP($A139,'[91]10月'!$A:$H,8,0),0)</f>
        <v>0</v>
      </c>
      <c r="AI139" s="688">
        <f>IFERROR(VLOOKUP($A139,'[91]11月'!$A:$H,8,0),0)</f>
        <v>0</v>
      </c>
      <c r="AJ139" s="688">
        <f>IFERROR(VLOOKUP($A139,'[91]12月'!$A:$H,8,0),0)</f>
        <v>0</v>
      </c>
      <c r="AK139" s="688">
        <f t="shared" si="54"/>
        <v>0</v>
      </c>
    </row>
    <row r="140" spans="1:37" ht="13.5" customHeight="1">
      <c r="A140" s="653" t="str">
        <f>'Budget-合并'!A140</f>
        <v>6602.13</v>
      </c>
      <c r="B140" s="653" t="str">
        <f>'Budget-合并'!B140</f>
        <v>物业管理费</v>
      </c>
      <c r="C140" s="687">
        <f>'Budget-合并'!C140</f>
        <v>0</v>
      </c>
      <c r="D140" s="676">
        <f t="shared" si="48"/>
        <v>0</v>
      </c>
      <c r="E140" s="676" t="e">
        <f t="shared" si="49"/>
        <v>#N/A</v>
      </c>
      <c r="F140" s="676" t="e">
        <f t="shared" si="50"/>
        <v>#N/A</v>
      </c>
      <c r="G140" s="676">
        <f t="shared" ca="1" si="51"/>
        <v>0</v>
      </c>
      <c r="H140" s="676" t="e">
        <f t="shared" ca="1" si="52"/>
        <v>#N/A</v>
      </c>
      <c r="I140" s="676" t="e">
        <f t="shared" ca="1" si="53"/>
        <v>#N/A</v>
      </c>
      <c r="K140" s="676"/>
      <c r="L140" s="676"/>
      <c r="M140" s="676"/>
      <c r="N140" s="676"/>
      <c r="O140" s="676"/>
      <c r="P140" s="676"/>
      <c r="Q140" s="676"/>
      <c r="R140" s="676"/>
      <c r="S140" s="676"/>
      <c r="T140" s="676"/>
      <c r="U140" s="676"/>
      <c r="V140" s="676"/>
      <c r="W140" s="676">
        <f t="shared" si="56"/>
        <v>0</v>
      </c>
      <c r="Y140" s="688">
        <f>IFERROR(VLOOKUP($A140,'[91]1月'!$A:$H,8,0),0)</f>
        <v>0</v>
      </c>
      <c r="Z140" s="688">
        <f>IFERROR(VLOOKUP($A140,'[91]2月'!$A:$H,8,0),0)</f>
        <v>0</v>
      </c>
      <c r="AA140" s="688">
        <f>IFERROR(VLOOKUP($A140,'[91]3月'!$A:$H,8,0),0)</f>
        <v>0</v>
      </c>
      <c r="AB140" s="688">
        <f>IFERROR(VLOOKUP($A140,'[91]4月'!$A:$H,8,0),0)</f>
        <v>0</v>
      </c>
      <c r="AC140" s="688">
        <f>IFERROR(VLOOKUP($A140,'[91]5月'!$A:$H,8,0),0)</f>
        <v>0</v>
      </c>
      <c r="AD140" s="688">
        <f>IFERROR(VLOOKUP($A140,'[91]6月'!$A:$H,8,0),0)</f>
        <v>0</v>
      </c>
      <c r="AE140" s="688">
        <f>IFERROR(VLOOKUP($A140,'[91]7月'!$A:$H,8,0),0)</f>
        <v>0</v>
      </c>
      <c r="AF140" s="688">
        <f>IFERROR(VLOOKUP($A140,'[91]8月'!$A:$H,8,0),0)</f>
        <v>0</v>
      </c>
      <c r="AG140" s="688">
        <f>IFERROR(VLOOKUP($A140,'[91]9月'!$A:$H,8,0),0)</f>
        <v>0</v>
      </c>
      <c r="AH140" s="688">
        <f>IFERROR(VLOOKUP($A140,'[91]10月'!$A:$H,8,0),0)</f>
        <v>0</v>
      </c>
      <c r="AI140" s="688">
        <f>IFERROR(VLOOKUP($A140,'[91]11月'!$A:$H,8,0),0)</f>
        <v>0</v>
      </c>
      <c r="AJ140" s="688">
        <f>IFERROR(VLOOKUP($A140,'[91]12月'!$A:$H,8,0),0)</f>
        <v>0</v>
      </c>
      <c r="AK140" s="688">
        <f t="shared" si="54"/>
        <v>0</v>
      </c>
    </row>
    <row r="141" spans="1:37" ht="13.5" customHeight="1">
      <c r="A141" s="653" t="str">
        <f>'Budget-合并'!A141</f>
        <v>6602.14</v>
      </c>
      <c r="B141" s="653" t="str">
        <f>'Budget-合并'!B141</f>
        <v>修理费</v>
      </c>
      <c r="C141" s="687">
        <f>'Budget-合并'!C141</f>
        <v>0</v>
      </c>
      <c r="D141" s="676">
        <f t="shared" si="48"/>
        <v>0</v>
      </c>
      <c r="E141" s="676" t="e">
        <f t="shared" si="49"/>
        <v>#N/A</v>
      </c>
      <c r="F141" s="676" t="e">
        <f t="shared" si="50"/>
        <v>#N/A</v>
      </c>
      <c r="G141" s="676">
        <f t="shared" ca="1" si="51"/>
        <v>0</v>
      </c>
      <c r="H141" s="676" t="e">
        <f t="shared" ca="1" si="52"/>
        <v>#N/A</v>
      </c>
      <c r="I141" s="676" t="e">
        <f t="shared" ca="1" si="53"/>
        <v>#N/A</v>
      </c>
      <c r="K141" s="676"/>
      <c r="L141" s="676"/>
      <c r="M141" s="676"/>
      <c r="N141" s="676"/>
      <c r="O141" s="676"/>
      <c r="P141" s="676"/>
      <c r="Q141" s="676"/>
      <c r="R141" s="676"/>
      <c r="S141" s="676"/>
      <c r="T141" s="676"/>
      <c r="U141" s="676"/>
      <c r="V141" s="676"/>
      <c r="W141" s="676">
        <f t="shared" si="56"/>
        <v>0</v>
      </c>
      <c r="Y141" s="688">
        <f>IFERROR(VLOOKUP($A141,'[91]1月'!$A:$H,8,0),0)</f>
        <v>0</v>
      </c>
      <c r="Z141" s="688">
        <f>IFERROR(VLOOKUP($A141,'[91]2月'!$A:$H,8,0),0)</f>
        <v>0</v>
      </c>
      <c r="AA141" s="688">
        <f>IFERROR(VLOOKUP($A141,'[91]3月'!$A:$H,8,0),0)</f>
        <v>0</v>
      </c>
      <c r="AB141" s="688">
        <f>IFERROR(VLOOKUP($A141,'[91]4月'!$A:$H,8,0),0)</f>
        <v>0</v>
      </c>
      <c r="AC141" s="688">
        <f>IFERROR(VLOOKUP($A141,'[91]5月'!$A:$H,8,0),0)</f>
        <v>0</v>
      </c>
      <c r="AD141" s="688">
        <f>IFERROR(VLOOKUP($A141,'[91]6月'!$A:$H,8,0),0)</f>
        <v>0</v>
      </c>
      <c r="AE141" s="688">
        <f>IFERROR(VLOOKUP($A141,'[91]7月'!$A:$H,8,0),0)</f>
        <v>0</v>
      </c>
      <c r="AF141" s="688">
        <f>IFERROR(VLOOKUP($A141,'[91]8月'!$A:$H,8,0),0)</f>
        <v>0</v>
      </c>
      <c r="AG141" s="688">
        <f>IFERROR(VLOOKUP($A141,'[91]9月'!$A:$H,8,0),0)</f>
        <v>0</v>
      </c>
      <c r="AH141" s="688">
        <f>IFERROR(VLOOKUP($A141,'[91]10月'!$A:$H,8,0),0)</f>
        <v>0</v>
      </c>
      <c r="AI141" s="688">
        <f>IFERROR(VLOOKUP($A141,'[91]11月'!$A:$H,8,0),0)</f>
        <v>0</v>
      </c>
      <c r="AJ141" s="688">
        <f>IFERROR(VLOOKUP($A141,'[91]12月'!$A:$H,8,0),0)</f>
        <v>0</v>
      </c>
      <c r="AK141" s="688">
        <f t="shared" si="54"/>
        <v>0</v>
      </c>
    </row>
    <row r="142" spans="1:37" ht="13.5" customHeight="1">
      <c r="A142" s="653" t="str">
        <f>'Budget-合并'!A142</f>
        <v>6602.15</v>
      </c>
      <c r="B142" s="653" t="str">
        <f>'Budget-合并'!B142</f>
        <v>服务费</v>
      </c>
      <c r="C142" s="687" t="s">
        <v>2545</v>
      </c>
      <c r="D142" s="676">
        <f t="shared" si="48"/>
        <v>0</v>
      </c>
      <c r="E142" s="676" t="e">
        <f t="shared" si="49"/>
        <v>#N/A</v>
      </c>
      <c r="F142" s="676" t="e">
        <f t="shared" si="50"/>
        <v>#N/A</v>
      </c>
      <c r="G142" s="676">
        <f t="shared" ca="1" si="51"/>
        <v>0</v>
      </c>
      <c r="H142" s="676" t="e">
        <f t="shared" ca="1" si="52"/>
        <v>#N/A</v>
      </c>
      <c r="I142" s="676" t="e">
        <f t="shared" ca="1" si="53"/>
        <v>#N/A</v>
      </c>
      <c r="K142" s="676">
        <f>SUMIFS('Other Exp'!AG$3:AG$196,'Other Exp'!$B$3:$B$196,$D$1,'Other Exp'!$C$3:$C$196,$A142)</f>
        <v>0</v>
      </c>
      <c r="L142" s="676">
        <f>SUMIFS('Other Exp'!AH$3:AH$196,'Other Exp'!$B$3:$B$196,$D$1,'Other Exp'!$C$3:$C$196,$A142)</f>
        <v>0</v>
      </c>
      <c r="M142" s="676">
        <f>SUMIFS('Other Exp'!AI$3:AI$196,'Other Exp'!$B$3:$B$196,$D$1,'Other Exp'!$C$3:$C$196,$A142)</f>
        <v>0</v>
      </c>
      <c r="N142" s="676">
        <f>SUMIFS('Other Exp'!AJ$3:AJ$196,'Other Exp'!$B$3:$B$196,$D$1,'Other Exp'!$C$3:$C$196,$A142)</f>
        <v>0</v>
      </c>
      <c r="O142" s="676">
        <f>SUMIFS('Other Exp'!AK$3:AK$196,'Other Exp'!$B$3:$B$196,$D$1,'Other Exp'!$C$3:$C$196,$A142)</f>
        <v>0</v>
      </c>
      <c r="P142" s="676">
        <f>SUMIFS('Other Exp'!AL$3:AL$196,'Other Exp'!$B$3:$B$196,$D$1,'Other Exp'!$C$3:$C$196,$A142)</f>
        <v>0</v>
      </c>
      <c r="Q142" s="676">
        <f>SUMIFS('Other Exp'!AM$3:AM$196,'Other Exp'!$B$3:$B$196,$D$1,'Other Exp'!$C$3:$C$196,$A142)</f>
        <v>0</v>
      </c>
      <c r="R142" s="676">
        <f>SUMIFS('Other Exp'!AN$3:AN$196,'Other Exp'!$B$3:$B$196,$D$1,'Other Exp'!$C$3:$C$196,$A142)</f>
        <v>0</v>
      </c>
      <c r="S142" s="676">
        <f>SUMIFS('Other Exp'!AO$3:AO$196,'Other Exp'!$B$3:$B$196,$D$1,'Other Exp'!$C$3:$C$196,$A142)</f>
        <v>0</v>
      </c>
      <c r="T142" s="676">
        <f>SUMIFS('Other Exp'!AP$3:AP$196,'Other Exp'!$B$3:$B$196,$D$1,'Other Exp'!$C$3:$C$196,$A142)</f>
        <v>8151.5280000000002</v>
      </c>
      <c r="U142" s="676">
        <f>SUMIFS('Other Exp'!AQ$3:AQ$196,'Other Exp'!$B$3:$B$196,$D$1,'Other Exp'!$C$3:$C$196,$A142)</f>
        <v>0</v>
      </c>
      <c r="V142" s="676">
        <f>SUMIFS('Other Exp'!AR$3:AR$196,'Other Exp'!$B$3:$B$196,$D$1,'Other Exp'!$C$3:$C$196,$A142)</f>
        <v>0</v>
      </c>
      <c r="W142" s="676">
        <f t="shared" si="56"/>
        <v>8151.5280000000002</v>
      </c>
      <c r="Y142" s="688">
        <f>IFERROR(VLOOKUP($A142,'[91]1月'!$A:$H,8,0),0)</f>
        <v>0</v>
      </c>
      <c r="Z142" s="688">
        <f>IFERROR(VLOOKUP($A142,'[91]2月'!$A:$H,8,0),0)</f>
        <v>0</v>
      </c>
      <c r="AA142" s="688">
        <f>IFERROR(VLOOKUP($A142,'[91]3月'!$A:$H,8,0),0)</f>
        <v>4800</v>
      </c>
      <c r="AB142" s="688">
        <f>IFERROR(VLOOKUP($A142,'[91]4月'!$A:$H,8,0),0)</f>
        <v>0</v>
      </c>
      <c r="AC142" s="688">
        <f>IFERROR(VLOOKUP($A142,'[91]5月'!$A:$H,8,0),0)</f>
        <v>0</v>
      </c>
      <c r="AD142" s="688">
        <f>IFERROR(VLOOKUP($A142,'[91]6月'!$A:$H,8,0),0)</f>
        <v>0</v>
      </c>
      <c r="AE142" s="688">
        <f>IFERROR(VLOOKUP($A142,'[91]7月'!$A:$H,8,0),0)</f>
        <v>0</v>
      </c>
      <c r="AF142" s="688">
        <f>IFERROR(VLOOKUP($A142,'[91]8月'!$A:$H,8,0),0)</f>
        <v>0</v>
      </c>
      <c r="AG142" s="688">
        <f>IFERROR(VLOOKUP($A142,'[91]9月'!$A:$H,8,0),0)</f>
        <v>120000</v>
      </c>
      <c r="AH142" s="688">
        <f>IFERROR(VLOOKUP($A142,'[91]10月'!$A:$H,8,0),0)</f>
        <v>80000</v>
      </c>
      <c r="AI142" s="688">
        <f>IFERROR(VLOOKUP($A142,'[91]11月'!$A:$H,8,0),0)</f>
        <v>80000</v>
      </c>
      <c r="AJ142" s="688">
        <f>IFERROR(VLOOKUP($A142,'[91]12月'!$A:$H,8,0),0)</f>
        <v>80000</v>
      </c>
      <c r="AK142" s="688">
        <f t="shared" si="54"/>
        <v>364800</v>
      </c>
    </row>
    <row r="143" spans="1:37" ht="13.5" customHeight="1">
      <c r="A143" s="653" t="str">
        <f>'Budget-合并'!A143</f>
        <v>6602.16</v>
      </c>
      <c r="B143" s="653" t="str">
        <f>'Budget-合并'!B143</f>
        <v>董事会费</v>
      </c>
      <c r="C143" s="687" t="str">
        <f>'Budget-合并'!C143</f>
        <v>Internal ACP Meeting</v>
      </c>
      <c r="D143" s="676">
        <f t="shared" si="48"/>
        <v>0</v>
      </c>
      <c r="E143" s="676" t="e">
        <f t="shared" si="49"/>
        <v>#N/A</v>
      </c>
      <c r="F143" s="676" t="e">
        <f t="shared" si="50"/>
        <v>#N/A</v>
      </c>
      <c r="G143" s="676">
        <f t="shared" ca="1" si="51"/>
        <v>0</v>
      </c>
      <c r="H143" s="676" t="e">
        <f t="shared" ca="1" si="52"/>
        <v>#N/A</v>
      </c>
      <c r="I143" s="676" t="e">
        <f t="shared" ca="1" si="53"/>
        <v>#N/A</v>
      </c>
      <c r="K143" s="676"/>
      <c r="L143" s="676"/>
      <c r="M143" s="676"/>
      <c r="N143" s="676"/>
      <c r="O143" s="676"/>
      <c r="P143" s="676"/>
      <c r="Q143" s="676"/>
      <c r="R143" s="676"/>
      <c r="S143" s="676"/>
      <c r="T143" s="676"/>
      <c r="U143" s="676"/>
      <c r="V143" s="676"/>
      <c r="W143" s="676">
        <f t="shared" si="56"/>
        <v>0</v>
      </c>
      <c r="Y143" s="688">
        <f>IFERROR(VLOOKUP($A143,'[91]1月'!$A:$H,8,0),0)</f>
        <v>0</v>
      </c>
      <c r="Z143" s="688">
        <f>IFERROR(VLOOKUP($A143,'[91]2月'!$A:$H,8,0),0)</f>
        <v>0</v>
      </c>
      <c r="AA143" s="688">
        <f>IFERROR(VLOOKUP($A143,'[91]3月'!$A:$H,8,0),0)</f>
        <v>0</v>
      </c>
      <c r="AB143" s="688">
        <f>IFERROR(VLOOKUP($A143,'[91]4月'!$A:$H,8,0),0)</f>
        <v>0</v>
      </c>
      <c r="AC143" s="688">
        <f>IFERROR(VLOOKUP($A143,'[91]5月'!$A:$H,8,0),0)</f>
        <v>0</v>
      </c>
      <c r="AD143" s="688">
        <f>IFERROR(VLOOKUP($A143,'[91]6月'!$A:$H,8,0),0)</f>
        <v>0</v>
      </c>
      <c r="AE143" s="688">
        <f>IFERROR(VLOOKUP($A143,'[91]7月'!$A:$H,8,0),0)</f>
        <v>0</v>
      </c>
      <c r="AF143" s="688">
        <f>IFERROR(VLOOKUP($A143,'[91]8月'!$A:$H,8,0),0)</f>
        <v>0</v>
      </c>
      <c r="AG143" s="688">
        <f>IFERROR(VLOOKUP($A143,'[91]9月'!$A:$H,8,0),0)</f>
        <v>0</v>
      </c>
      <c r="AH143" s="688">
        <f>IFERROR(VLOOKUP($A143,'[91]10月'!$A:$H,8,0),0)</f>
        <v>0</v>
      </c>
      <c r="AI143" s="688">
        <f>IFERROR(VLOOKUP($A143,'[91]11月'!$A:$H,8,0),0)</f>
        <v>0</v>
      </c>
      <c r="AJ143" s="688">
        <f>IFERROR(VLOOKUP($A143,'[91]12月'!$A:$H,8,0),0)</f>
        <v>0</v>
      </c>
      <c r="AK143" s="688">
        <f t="shared" si="54"/>
        <v>0</v>
      </c>
    </row>
    <row r="144" spans="1:37" ht="13.5" customHeight="1">
      <c r="A144" s="653" t="str">
        <f>'Budget-合并'!A144</f>
        <v>6602.17</v>
      </c>
      <c r="B144" s="653" t="str">
        <f>'Budget-合并'!B144</f>
        <v>聘请中介机构费</v>
      </c>
      <c r="C144" s="687">
        <f>'Budget-合并'!C144</f>
        <v>0</v>
      </c>
      <c r="D144" s="676">
        <f t="shared" si="48"/>
        <v>0</v>
      </c>
      <c r="E144" s="676" t="e">
        <f t="shared" si="49"/>
        <v>#N/A</v>
      </c>
      <c r="F144" s="676" t="e">
        <f t="shared" si="50"/>
        <v>#N/A</v>
      </c>
      <c r="G144" s="676">
        <f t="shared" ca="1" si="51"/>
        <v>0</v>
      </c>
      <c r="H144" s="676" t="e">
        <f t="shared" ca="1" si="52"/>
        <v>#N/A</v>
      </c>
      <c r="I144" s="676" t="e">
        <f t="shared" ca="1" si="53"/>
        <v>#N/A</v>
      </c>
      <c r="K144" s="676"/>
      <c r="L144" s="676"/>
      <c r="M144" s="676"/>
      <c r="N144" s="676"/>
      <c r="O144" s="676"/>
      <c r="P144" s="676"/>
      <c r="Q144" s="676"/>
      <c r="R144" s="676"/>
      <c r="S144" s="676"/>
      <c r="T144" s="676"/>
      <c r="U144" s="676"/>
      <c r="V144" s="676"/>
      <c r="W144" s="676">
        <f t="shared" si="56"/>
        <v>0</v>
      </c>
      <c r="Y144" s="688">
        <f>IFERROR(VLOOKUP($A144,'[91]1月'!$A:$H,8,0),0)</f>
        <v>0</v>
      </c>
      <c r="Z144" s="688">
        <f>IFERROR(VLOOKUP($A144,'[91]2月'!$A:$H,8,0),0)</f>
        <v>0</v>
      </c>
      <c r="AA144" s="688">
        <f>IFERROR(VLOOKUP($A144,'[91]3月'!$A:$H,8,0),0)</f>
        <v>0</v>
      </c>
      <c r="AB144" s="688">
        <f>IFERROR(VLOOKUP($A144,'[91]4月'!$A:$H,8,0),0)</f>
        <v>0</v>
      </c>
      <c r="AC144" s="688">
        <f>IFERROR(VLOOKUP($A144,'[91]5月'!$A:$H,8,0),0)</f>
        <v>0</v>
      </c>
      <c r="AD144" s="688">
        <f>IFERROR(VLOOKUP($A144,'[91]6月'!$A:$H,8,0),0)</f>
        <v>0</v>
      </c>
      <c r="AE144" s="688">
        <f>IFERROR(VLOOKUP($A144,'[91]7月'!$A:$H,8,0),0)</f>
        <v>0</v>
      </c>
      <c r="AF144" s="688">
        <f>IFERROR(VLOOKUP($A144,'[91]8月'!$A:$H,8,0),0)</f>
        <v>0</v>
      </c>
      <c r="AG144" s="688">
        <f>IFERROR(VLOOKUP($A144,'[91]9月'!$A:$H,8,0),0)</f>
        <v>0</v>
      </c>
      <c r="AH144" s="688">
        <f>IFERROR(VLOOKUP($A144,'[91]10月'!$A:$H,8,0),0)</f>
        <v>0</v>
      </c>
      <c r="AI144" s="688">
        <f>IFERROR(VLOOKUP($A144,'[91]11月'!$A:$H,8,0),0)</f>
        <v>0</v>
      </c>
      <c r="AJ144" s="688">
        <f>IFERROR(VLOOKUP($A144,'[91]12月'!$A:$H,8,0),0)</f>
        <v>0</v>
      </c>
      <c r="AK144" s="688">
        <f t="shared" si="54"/>
        <v>0</v>
      </c>
    </row>
    <row r="145" spans="1:37" ht="13.5" customHeight="1">
      <c r="A145" s="653" t="str">
        <f>'Budget-合并'!A145</f>
        <v>6602.18</v>
      </c>
      <c r="B145" s="653" t="str">
        <f>'Budget-合并'!B145</f>
        <v>存货盘亏或盘盈</v>
      </c>
      <c r="C145" s="687">
        <f>'Budget-合并'!C145</f>
        <v>0</v>
      </c>
      <c r="D145" s="676">
        <f t="shared" si="48"/>
        <v>0</v>
      </c>
      <c r="E145" s="676" t="e">
        <f t="shared" si="49"/>
        <v>#N/A</v>
      </c>
      <c r="F145" s="676" t="e">
        <f t="shared" si="50"/>
        <v>#N/A</v>
      </c>
      <c r="G145" s="676">
        <f t="shared" ca="1" si="51"/>
        <v>0</v>
      </c>
      <c r="H145" s="676" t="e">
        <f t="shared" ca="1" si="52"/>
        <v>#N/A</v>
      </c>
      <c r="I145" s="676" t="e">
        <f t="shared" ca="1" si="53"/>
        <v>#N/A</v>
      </c>
      <c r="K145" s="676"/>
      <c r="L145" s="676"/>
      <c r="M145" s="676"/>
      <c r="N145" s="676"/>
      <c r="O145" s="676"/>
      <c r="P145" s="676"/>
      <c r="Q145" s="676"/>
      <c r="R145" s="676"/>
      <c r="S145" s="676"/>
      <c r="T145" s="676"/>
      <c r="U145" s="676"/>
      <c r="V145" s="676"/>
      <c r="W145" s="676">
        <f t="shared" si="56"/>
        <v>0</v>
      </c>
      <c r="Y145" s="688">
        <f>IFERROR(VLOOKUP($A145,'[91]1月'!$A:$H,8,0),0)</f>
        <v>0</v>
      </c>
      <c r="Z145" s="688">
        <f>IFERROR(VLOOKUP($A145,'[91]2月'!$A:$H,8,0),0)</f>
        <v>0</v>
      </c>
      <c r="AA145" s="688">
        <f>IFERROR(VLOOKUP($A145,'[91]3月'!$A:$H,8,0),0)</f>
        <v>0</v>
      </c>
      <c r="AB145" s="688">
        <f>IFERROR(VLOOKUP($A145,'[91]4月'!$A:$H,8,0),0)</f>
        <v>0</v>
      </c>
      <c r="AC145" s="688">
        <f>IFERROR(VLOOKUP($A145,'[91]5月'!$A:$H,8,0),0)</f>
        <v>0</v>
      </c>
      <c r="AD145" s="688">
        <f>IFERROR(VLOOKUP($A145,'[91]6月'!$A:$H,8,0),0)</f>
        <v>0</v>
      </c>
      <c r="AE145" s="688">
        <f>IFERROR(VLOOKUP($A145,'[91]7月'!$A:$H,8,0),0)</f>
        <v>0</v>
      </c>
      <c r="AF145" s="688">
        <f>IFERROR(VLOOKUP($A145,'[91]8月'!$A:$H,8,0),0)</f>
        <v>0</v>
      </c>
      <c r="AG145" s="688">
        <f>IFERROR(VLOOKUP($A145,'[91]9月'!$A:$H,8,0),0)</f>
        <v>0</v>
      </c>
      <c r="AH145" s="688">
        <f>IFERROR(VLOOKUP($A145,'[91]10月'!$A:$H,8,0),0)</f>
        <v>0</v>
      </c>
      <c r="AI145" s="688">
        <f>IFERROR(VLOOKUP($A145,'[91]11月'!$A:$H,8,0),0)</f>
        <v>0</v>
      </c>
      <c r="AJ145" s="688">
        <f>IFERROR(VLOOKUP($A145,'[91]12月'!$A:$H,8,0),0)</f>
        <v>0</v>
      </c>
      <c r="AK145" s="688">
        <f t="shared" si="54"/>
        <v>0</v>
      </c>
    </row>
    <row r="146" spans="1:37" ht="13.5" customHeight="1">
      <c r="A146" s="653" t="str">
        <f>'Budget-合并'!A146</f>
        <v>6602.19</v>
      </c>
      <c r="B146" s="653" t="str">
        <f>'Budget-合并'!B146</f>
        <v>会费（公司）</v>
      </c>
      <c r="C146" s="687" t="str">
        <f>'Budget-合并'!C146</f>
        <v>Membership Fee</v>
      </c>
      <c r="D146" s="676">
        <f t="shared" si="48"/>
        <v>0</v>
      </c>
      <c r="E146" s="676" t="e">
        <f t="shared" si="49"/>
        <v>#N/A</v>
      </c>
      <c r="F146" s="676" t="e">
        <f t="shared" si="50"/>
        <v>#N/A</v>
      </c>
      <c r="G146" s="676">
        <f t="shared" ca="1" si="51"/>
        <v>0</v>
      </c>
      <c r="H146" s="676" t="e">
        <f t="shared" ca="1" si="52"/>
        <v>#N/A</v>
      </c>
      <c r="I146" s="676" t="e">
        <f t="shared" ca="1" si="53"/>
        <v>#N/A</v>
      </c>
      <c r="K146" s="676">
        <f>SUMIFS('Other Exp'!AG$3:AG$196,'Other Exp'!$B$3:$B$196,$D$1,'Other Exp'!$C$3:$C$196,$A146)</f>
        <v>0</v>
      </c>
      <c r="L146" s="676">
        <f>SUMIFS('Other Exp'!AH$3:AH$196,'Other Exp'!$B$3:$B$196,$D$1,'Other Exp'!$C$3:$C$196,$A146)</f>
        <v>0</v>
      </c>
      <c r="M146" s="676">
        <f>SUMIFS('Other Exp'!AI$3:AI$196,'Other Exp'!$B$3:$B$196,$D$1,'Other Exp'!$C$3:$C$196,$A146)</f>
        <v>0</v>
      </c>
      <c r="N146" s="676">
        <f>SUMIFS('Other Exp'!AJ$3:AJ$196,'Other Exp'!$B$3:$B$196,$D$1,'Other Exp'!$C$3:$C$196,$A146)</f>
        <v>0</v>
      </c>
      <c r="O146" s="676">
        <f>SUMIFS('Other Exp'!AK$3:AK$196,'Other Exp'!$B$3:$B$196,$D$1,'Other Exp'!$C$3:$C$196,$A146)</f>
        <v>0</v>
      </c>
      <c r="P146" s="676">
        <f>SUMIFS('Other Exp'!AL$3:AL$196,'Other Exp'!$B$3:$B$196,$D$1,'Other Exp'!$C$3:$C$196,$A146)</f>
        <v>0</v>
      </c>
      <c r="Q146" s="676">
        <f>SUMIFS('Other Exp'!AM$3:AM$196,'Other Exp'!$B$3:$B$196,$D$1,'Other Exp'!$C$3:$C$196,$A146)</f>
        <v>0</v>
      </c>
      <c r="R146" s="676">
        <f>SUMIFS('Other Exp'!AN$3:AN$196,'Other Exp'!$B$3:$B$196,$D$1,'Other Exp'!$C$3:$C$196,$A146)</f>
        <v>0</v>
      </c>
      <c r="S146" s="676">
        <f>SUMIFS('Other Exp'!AO$3:AO$196,'Other Exp'!$B$3:$B$196,$D$1,'Other Exp'!$C$3:$C$196,$A146)</f>
        <v>0</v>
      </c>
      <c r="T146" s="676">
        <f>SUMIFS('Other Exp'!AP$3:AP$196,'Other Exp'!$B$3:$B$196,$D$1,'Other Exp'!$C$3:$C$196,$A146)</f>
        <v>0</v>
      </c>
      <c r="U146" s="676">
        <f>SUMIFS('Other Exp'!AQ$3:AQ$196,'Other Exp'!$B$3:$B$196,$D$1,'Other Exp'!$C$3:$C$196,$A146)</f>
        <v>0</v>
      </c>
      <c r="V146" s="676">
        <f>SUMIFS('Other Exp'!AR$3:AR$196,'Other Exp'!$B$3:$B$196,$D$1,'Other Exp'!$C$3:$C$196,$A146)</f>
        <v>0</v>
      </c>
      <c r="W146" s="676">
        <f t="shared" si="56"/>
        <v>0</v>
      </c>
      <c r="Y146" s="688">
        <f>IFERROR(VLOOKUP($A146,'[91]1月'!$A:$H,8,0),0)</f>
        <v>0</v>
      </c>
      <c r="Z146" s="688">
        <f>IFERROR(VLOOKUP($A146,'[91]2月'!$A:$H,8,0),0)</f>
        <v>7180</v>
      </c>
      <c r="AA146" s="688">
        <f>IFERROR(VLOOKUP($A146,'[91]3月'!$A:$H,8,0),0)</f>
        <v>0</v>
      </c>
      <c r="AB146" s="688">
        <f>IFERROR(VLOOKUP($A146,'[91]4月'!$A:$H,8,0),0)</f>
        <v>0</v>
      </c>
      <c r="AC146" s="688">
        <f>IFERROR(VLOOKUP($A146,'[91]5月'!$A:$H,8,0),0)</f>
        <v>0</v>
      </c>
      <c r="AD146" s="688">
        <f>IFERROR(VLOOKUP($A146,'[91]6月'!$A:$H,8,0),0)</f>
        <v>0</v>
      </c>
      <c r="AE146" s="688">
        <f>IFERROR(VLOOKUP($A146,'[91]7月'!$A:$H,8,0),0)</f>
        <v>0</v>
      </c>
      <c r="AF146" s="688">
        <f>IFERROR(VLOOKUP($A146,'[91]8月'!$A:$H,8,0),0)</f>
        <v>0</v>
      </c>
      <c r="AG146" s="688">
        <f>IFERROR(VLOOKUP($A146,'[91]9月'!$A:$H,8,0),0)</f>
        <v>0</v>
      </c>
      <c r="AH146" s="688">
        <f>IFERROR(VLOOKUP($A146,'[91]10月'!$A:$H,8,0),0)</f>
        <v>0</v>
      </c>
      <c r="AI146" s="688">
        <f>IFERROR(VLOOKUP($A146,'[91]11月'!$A:$H,8,0),0)</f>
        <v>0</v>
      </c>
      <c r="AJ146" s="688">
        <f>IFERROR(VLOOKUP($A146,'[91]12月'!$A:$H,8,0),0)</f>
        <v>0</v>
      </c>
      <c r="AK146" s="688">
        <f t="shared" si="54"/>
        <v>7180</v>
      </c>
    </row>
    <row r="147" spans="1:37" ht="13.5" customHeight="1">
      <c r="A147" s="653" t="str">
        <f>'Budget-合并'!A147</f>
        <v>6602.20</v>
      </c>
      <c r="B147" s="653" t="str">
        <f>'Budget-合并'!B147</f>
        <v>职工教育经费</v>
      </c>
      <c r="C147" s="687" t="str">
        <f>'Budget-合并'!C147</f>
        <v>Education Assistance</v>
      </c>
      <c r="D147" s="676">
        <f t="shared" si="48"/>
        <v>393.07891666666666</v>
      </c>
      <c r="E147" s="676" t="e">
        <f t="shared" si="49"/>
        <v>#N/A</v>
      </c>
      <c r="F147" s="676" t="e">
        <f t="shared" si="50"/>
        <v>#N/A</v>
      </c>
      <c r="G147" s="676">
        <f t="shared" ca="1" si="51"/>
        <v>393.07891666666666</v>
      </c>
      <c r="H147" s="676" t="e">
        <f t="shared" ca="1" si="52"/>
        <v>#N/A</v>
      </c>
      <c r="I147" s="676" t="e">
        <f t="shared" ca="1" si="53"/>
        <v>#N/A</v>
      </c>
      <c r="K147" s="676">
        <f>SUMIFS('Other Exp'!AG$3:AG$196,'Other Exp'!$B$3:$B$196,$D$1,'Other Exp'!$C$3:$C$196,$A147)</f>
        <v>393.07891666666666</v>
      </c>
      <c r="L147" s="676">
        <f>SUMIFS('Other Exp'!AH$3:AH$196,'Other Exp'!$B$3:$B$196,$D$1,'Other Exp'!$C$3:$C$196,$A147)</f>
        <v>389.63833333333332</v>
      </c>
      <c r="M147" s="676">
        <f>SUMIFS('Other Exp'!AI$3:AI$196,'Other Exp'!$B$3:$B$196,$D$1,'Other Exp'!$C$3:$C$196,$A147)</f>
        <v>389.63833333333332</v>
      </c>
      <c r="N147" s="676">
        <f>SUMIFS('Other Exp'!AJ$3:AJ$196,'Other Exp'!$B$3:$B$196,$D$1,'Other Exp'!$C$3:$C$196,$A147)</f>
        <v>389.63833333333332</v>
      </c>
      <c r="O147" s="676">
        <f>SUMIFS('Other Exp'!AK$3:AK$196,'Other Exp'!$B$3:$B$196,$D$1,'Other Exp'!$C$3:$C$196,$A147)</f>
        <v>389.63833333333332</v>
      </c>
      <c r="P147" s="676">
        <f>SUMIFS('Other Exp'!AL$3:AL$196,'Other Exp'!$B$3:$B$196,$D$1,'Other Exp'!$C$3:$C$196,$A147)</f>
        <v>389.63833333333332</v>
      </c>
      <c r="Q147" s="676">
        <f>SUMIFS('Other Exp'!AM$3:AM$196,'Other Exp'!$B$3:$B$196,$D$1,'Other Exp'!$C$3:$C$196,$A147)</f>
        <v>389.63833333333332</v>
      </c>
      <c r="R147" s="676">
        <f>SUMIFS('Other Exp'!AN$3:AN$196,'Other Exp'!$B$3:$B$196,$D$1,'Other Exp'!$C$3:$C$196,$A147)</f>
        <v>389.63833333333332</v>
      </c>
      <c r="S147" s="676">
        <f>SUMIFS('Other Exp'!AO$3:AO$196,'Other Exp'!$B$3:$B$196,$D$1,'Other Exp'!$C$3:$C$196,$A147)</f>
        <v>389.63833333333332</v>
      </c>
      <c r="T147" s="676">
        <f>SUMIFS('Other Exp'!AP$3:AP$196,'Other Exp'!$B$3:$B$196,$D$1,'Other Exp'!$C$3:$C$196,$A147)</f>
        <v>389.63833333333332</v>
      </c>
      <c r="U147" s="676">
        <f>SUMIFS('Other Exp'!AQ$3:AQ$196,'Other Exp'!$B$3:$B$196,$D$1,'Other Exp'!$C$3:$C$196,$A147)</f>
        <v>389.63833333333332</v>
      </c>
      <c r="V147" s="676">
        <f>SUMIFS('Other Exp'!AR$3:AR$196,'Other Exp'!$B$3:$B$196,$D$1,'Other Exp'!$C$3:$C$196,$A147)</f>
        <v>389.63833333333332</v>
      </c>
      <c r="W147" s="676">
        <f t="shared" si="56"/>
        <v>4679.1005833333329</v>
      </c>
      <c r="X147" s="652" t="s">
        <v>2546</v>
      </c>
      <c r="Y147" s="688">
        <f>IFERROR(VLOOKUP($A147,'[91]1月'!$A:$H,8,0),0)</f>
        <v>0</v>
      </c>
      <c r="Z147" s="688">
        <f>IFERROR(VLOOKUP($A147,'[91]2月'!$A:$H,8,0),0)</f>
        <v>0</v>
      </c>
      <c r="AA147" s="688">
        <f>IFERROR(VLOOKUP($A147,'[91]3月'!$A:$H,8,0),0)</f>
        <v>0</v>
      </c>
      <c r="AB147" s="688">
        <f>IFERROR(VLOOKUP($A147,'[91]4月'!$A:$H,8,0),0)</f>
        <v>0</v>
      </c>
      <c r="AC147" s="688">
        <f>IFERROR(VLOOKUP($A147,'[91]5月'!$A:$H,8,0),0)</f>
        <v>0</v>
      </c>
      <c r="AD147" s="688">
        <f>IFERROR(VLOOKUP($A147,'[91]6月'!$A:$H,8,0),0)</f>
        <v>0</v>
      </c>
      <c r="AE147" s="688">
        <f>IFERROR(VLOOKUP($A147,'[91]7月'!$A:$H,8,0),0)</f>
        <v>0</v>
      </c>
      <c r="AF147" s="688">
        <f>IFERROR(VLOOKUP($A147,'[91]8月'!$A:$H,8,0),0)</f>
        <v>0</v>
      </c>
      <c r="AG147" s="688">
        <f>IFERROR(VLOOKUP($A147,'[91]9月'!$A:$H,8,0),0)</f>
        <v>0</v>
      </c>
      <c r="AH147" s="688">
        <f>IFERROR(VLOOKUP($A147,'[91]10月'!$A:$H,8,0),0)</f>
        <v>0</v>
      </c>
      <c r="AI147" s="688">
        <f>IFERROR(VLOOKUP($A147,'[91]11月'!$A:$H,8,0),0)</f>
        <v>0</v>
      </c>
      <c r="AJ147" s="688">
        <f>IFERROR(VLOOKUP($A147,'[91]12月'!$A:$H,8,0),0)</f>
        <v>0</v>
      </c>
      <c r="AK147" s="688">
        <f t="shared" si="54"/>
        <v>0</v>
      </c>
    </row>
    <row r="148" spans="1:37" ht="13.5" customHeight="1">
      <c r="A148" s="653" t="str">
        <f>'Budget-合并'!A148</f>
        <v>6602.21</v>
      </c>
      <c r="B148" s="653" t="str">
        <f>'Budget-合并'!B148</f>
        <v>公司秘书费</v>
      </c>
      <c r="C148" s="687" t="str">
        <f>'Budget-合并'!C148</f>
        <v>Corporate Secretarial Fees</v>
      </c>
      <c r="D148" s="676">
        <f t="shared" si="48"/>
        <v>81285.234172500001</v>
      </c>
      <c r="E148" s="676" t="e">
        <f t="shared" si="49"/>
        <v>#N/A</v>
      </c>
      <c r="F148" s="676" t="e">
        <f t="shared" si="50"/>
        <v>#N/A</v>
      </c>
      <c r="G148" s="676">
        <f t="shared" ca="1" si="51"/>
        <v>81285.234172500001</v>
      </c>
      <c r="H148" s="676" t="e">
        <f t="shared" ca="1" si="52"/>
        <v>#N/A</v>
      </c>
      <c r="I148" s="676" t="e">
        <f t="shared" ca="1" si="53"/>
        <v>#N/A</v>
      </c>
      <c r="K148" s="676">
        <f>SUMIFS('Prof. Fee'!AF$3:AF$150,'Prof. Fee'!$B$3:$B$150,$D$1,'Prof. Fee'!$D$3:$D$150,$A148)</f>
        <v>81285.234172500001</v>
      </c>
      <c r="L148" s="676">
        <f>SUMIFS('Prof. Fee'!AG$3:AG$150,'Prof. Fee'!$B$3:$B$150,$D$1,'Prof. Fee'!$D$3:$D$150,$A148)</f>
        <v>0</v>
      </c>
      <c r="M148" s="676">
        <f>SUMIFS('Prof. Fee'!AH$3:AH$150,'Prof. Fee'!$B$3:$B$150,$D$1,'Prof. Fee'!$D$3:$D$150,$A148)</f>
        <v>0</v>
      </c>
      <c r="N148" s="676">
        <f>SUMIFS('Prof. Fee'!AI$3:AI$150,'Prof. Fee'!$B$3:$B$150,$D$1,'Prof. Fee'!$D$3:$D$150,$A148)</f>
        <v>0</v>
      </c>
      <c r="O148" s="676">
        <f>SUMIFS('Prof. Fee'!AJ$3:AJ$150,'Prof. Fee'!$B$3:$B$150,$D$1,'Prof. Fee'!$D$3:$D$150,$A148)</f>
        <v>0</v>
      </c>
      <c r="P148" s="676">
        <f>SUMIFS('Prof. Fee'!AK$3:AK$150,'Prof. Fee'!$B$3:$B$150,$D$1,'Prof. Fee'!$D$3:$D$150,$A148)</f>
        <v>0</v>
      </c>
      <c r="Q148" s="676">
        <f>SUMIFS('Prof. Fee'!AL$3:AL$150,'Prof. Fee'!$B$3:$B$150,$D$1,'Prof. Fee'!$D$3:$D$150,$A148)</f>
        <v>0</v>
      </c>
      <c r="R148" s="676">
        <f>SUMIFS('Prof. Fee'!AM$3:AM$150,'Prof. Fee'!$B$3:$B$150,$D$1,'Prof. Fee'!$D$3:$D$150,$A148)</f>
        <v>0</v>
      </c>
      <c r="S148" s="676">
        <f>SUMIFS('Prof. Fee'!AN$3:AN$150,'Prof. Fee'!$B$3:$B$150,$D$1,'Prof. Fee'!$D$3:$D$150,$A148)</f>
        <v>0</v>
      </c>
      <c r="T148" s="676">
        <f>SUMIFS('Prof. Fee'!AO$3:AO$150,'Prof. Fee'!$B$3:$B$150,$D$1,'Prof. Fee'!$D$3:$D$150,$A148)</f>
        <v>0</v>
      </c>
      <c r="U148" s="676">
        <f>SUMIFS('Prof. Fee'!AP$3:AP$150,'Prof. Fee'!$B$3:$B$150,$D$1,'Prof. Fee'!$D$3:$D$150,$A148)</f>
        <v>0</v>
      </c>
      <c r="V148" s="676">
        <f>SUMIFS('Prof. Fee'!AQ$3:AQ$150,'Prof. Fee'!$B$3:$B$150,$D$1,'Prof. Fee'!$D$3:$D$150,$A148)</f>
        <v>0</v>
      </c>
      <c r="W148" s="676">
        <f t="shared" si="56"/>
        <v>81285.234172500001</v>
      </c>
      <c r="Y148" s="688">
        <f>IFERROR(VLOOKUP($A148,'[91]1月'!$A:$H,8,0),0)</f>
        <v>1256.99</v>
      </c>
      <c r="Z148" s="688">
        <f>IFERROR(VLOOKUP($A148,'[91]2月'!$A:$H,8,0),0)</f>
        <v>1135.3399999999999</v>
      </c>
      <c r="AA148" s="688">
        <f>IFERROR(VLOOKUP($A148,'[91]3月'!$A:$H,8,0),0)</f>
        <v>1256.99</v>
      </c>
      <c r="AB148" s="688">
        <f>IFERROR(VLOOKUP($A148,'[91]4月'!$A:$H,8,0),0)</f>
        <v>11216.43</v>
      </c>
      <c r="AC148" s="688">
        <f>IFERROR(VLOOKUP($A148,'[91]5月'!$A:$H,8,0),0)</f>
        <v>1256.99</v>
      </c>
      <c r="AD148" s="688">
        <f>IFERROR(VLOOKUP($A148,'[91]6月'!$A:$H,8,0),0)</f>
        <v>1216.44</v>
      </c>
      <c r="AE148" s="688">
        <f>IFERROR(VLOOKUP($A148,'[91]7月'!$A:$H,8,0),0)</f>
        <v>1256.98</v>
      </c>
      <c r="AF148" s="688">
        <f>IFERROR(VLOOKUP($A148,'[91]8月'!$A:$H,8,0),0)</f>
        <v>45252.99</v>
      </c>
      <c r="AG148" s="688">
        <f>IFERROR(VLOOKUP($A148,'[91]9月'!$A:$H,8,0),0)</f>
        <v>1216.44</v>
      </c>
      <c r="AH148" s="688">
        <f>IFERROR(VLOOKUP($A148,'[91]10月'!$A:$H,8,0),0)</f>
        <v>1256.99</v>
      </c>
      <c r="AI148" s="688">
        <f>IFERROR(VLOOKUP($A148,'[91]11月'!$A:$H,8,0),0)</f>
        <v>1216.43</v>
      </c>
      <c r="AJ148" s="688">
        <f>IFERROR(VLOOKUP($A148,'[91]12月'!$A:$H,8,0),0)</f>
        <v>1256.99</v>
      </c>
      <c r="AK148" s="688">
        <f t="shared" si="54"/>
        <v>68796</v>
      </c>
    </row>
    <row r="149" spans="1:37" ht="13.5" customHeight="1">
      <c r="A149" s="653" t="str">
        <f>'Budget-合并'!A149</f>
        <v>6602.22</v>
      </c>
      <c r="B149" s="653" t="str">
        <f>'Budget-合并'!B149</f>
        <v>工会经费</v>
      </c>
      <c r="C149" s="687">
        <f>'Budget-合并'!C149</f>
        <v>0</v>
      </c>
      <c r="D149" s="676">
        <f t="shared" si="48"/>
        <v>0</v>
      </c>
      <c r="E149" s="676" t="e">
        <f t="shared" si="49"/>
        <v>#N/A</v>
      </c>
      <c r="F149" s="676" t="e">
        <f t="shared" si="50"/>
        <v>#N/A</v>
      </c>
      <c r="G149" s="676">
        <f t="shared" ca="1" si="51"/>
        <v>0</v>
      </c>
      <c r="H149" s="676" t="e">
        <f t="shared" ca="1" si="52"/>
        <v>#N/A</v>
      </c>
      <c r="I149" s="676" t="e">
        <f t="shared" ca="1" si="53"/>
        <v>#N/A</v>
      </c>
      <c r="K149" s="676"/>
      <c r="L149" s="676"/>
      <c r="M149" s="676"/>
      <c r="N149" s="676"/>
      <c r="O149" s="676"/>
      <c r="P149" s="676"/>
      <c r="Q149" s="676"/>
      <c r="R149" s="676"/>
      <c r="S149" s="676"/>
      <c r="T149" s="676"/>
      <c r="U149" s="676"/>
      <c r="V149" s="676"/>
      <c r="W149" s="676">
        <f t="shared" si="56"/>
        <v>0</v>
      </c>
      <c r="Y149" s="688">
        <f>IFERROR(VLOOKUP($A149,'[91]1月'!$A:$H,8,0),0)</f>
        <v>0</v>
      </c>
      <c r="Z149" s="688">
        <f>IFERROR(VLOOKUP($A149,'[91]2月'!$A:$H,8,0),0)</f>
        <v>0</v>
      </c>
      <c r="AA149" s="688">
        <f>IFERROR(VLOOKUP($A149,'[91]3月'!$A:$H,8,0),0)</f>
        <v>0</v>
      </c>
      <c r="AB149" s="688">
        <f>IFERROR(VLOOKUP($A149,'[91]4月'!$A:$H,8,0),0)</f>
        <v>0</v>
      </c>
      <c r="AC149" s="688">
        <f>IFERROR(VLOOKUP($A149,'[91]5月'!$A:$H,8,0),0)</f>
        <v>0</v>
      </c>
      <c r="AD149" s="688">
        <f>IFERROR(VLOOKUP($A149,'[91]6月'!$A:$H,8,0),0)</f>
        <v>0</v>
      </c>
      <c r="AE149" s="688">
        <f>IFERROR(VLOOKUP($A149,'[91]7月'!$A:$H,8,0),0)</f>
        <v>0</v>
      </c>
      <c r="AF149" s="688">
        <f>IFERROR(VLOOKUP($A149,'[91]8月'!$A:$H,8,0),0)</f>
        <v>0</v>
      </c>
      <c r="AG149" s="688">
        <f>IFERROR(VLOOKUP($A149,'[91]9月'!$A:$H,8,0),0)</f>
        <v>0</v>
      </c>
      <c r="AH149" s="688">
        <f>IFERROR(VLOOKUP($A149,'[91]10月'!$A:$H,8,0),0)</f>
        <v>0</v>
      </c>
      <c r="AI149" s="688">
        <f>IFERROR(VLOOKUP($A149,'[91]11月'!$A:$H,8,0),0)</f>
        <v>0</v>
      </c>
      <c r="AJ149" s="688">
        <f>IFERROR(VLOOKUP($A149,'[91]12月'!$A:$H,8,0),0)</f>
        <v>0</v>
      </c>
      <c r="AK149" s="688">
        <f t="shared" si="54"/>
        <v>0</v>
      </c>
    </row>
    <row r="150" spans="1:37" ht="13.5" customHeight="1">
      <c r="A150" s="653" t="str">
        <f>'Budget-合并'!A150</f>
        <v>6602.23</v>
      </c>
      <c r="B150" s="653" t="str">
        <f>'Budget-合并'!B150</f>
        <v>无形资产摊销</v>
      </c>
      <c r="C150" s="687" t="str">
        <f>'Budget-合并'!C150</f>
        <v>Contract Intangibles - Amortization</v>
      </c>
      <c r="D150" s="676">
        <f t="shared" si="48"/>
        <v>0</v>
      </c>
      <c r="E150" s="676" t="e">
        <f t="shared" si="49"/>
        <v>#N/A</v>
      </c>
      <c r="F150" s="676" t="e">
        <f t="shared" si="50"/>
        <v>#N/A</v>
      </c>
      <c r="G150" s="676">
        <f t="shared" ca="1" si="51"/>
        <v>0</v>
      </c>
      <c r="H150" s="676" t="e">
        <f t="shared" ca="1" si="52"/>
        <v>#N/A</v>
      </c>
      <c r="I150" s="676" t="e">
        <f t="shared" ca="1" si="53"/>
        <v>#N/A</v>
      </c>
      <c r="K150" s="676"/>
      <c r="L150" s="676"/>
      <c r="M150" s="676"/>
      <c r="N150" s="676"/>
      <c r="O150" s="676"/>
      <c r="P150" s="676"/>
      <c r="Q150" s="676"/>
      <c r="R150" s="676"/>
      <c r="S150" s="676"/>
      <c r="T150" s="676"/>
      <c r="U150" s="676"/>
      <c r="V150" s="676"/>
      <c r="W150" s="676">
        <f t="shared" si="56"/>
        <v>0</v>
      </c>
      <c r="Y150" s="688">
        <f>IFERROR(VLOOKUP($A150,'[91]1月'!$A:$H,8,0),0)</f>
        <v>150000</v>
      </c>
      <c r="Z150" s="688">
        <f>IFERROR(VLOOKUP($A150,'[91]2月'!$A:$H,8,0),0)</f>
        <v>150000</v>
      </c>
      <c r="AA150" s="688">
        <f>IFERROR(VLOOKUP($A150,'[91]3月'!$A:$H,8,0),0)</f>
        <v>150000</v>
      </c>
      <c r="AB150" s="688">
        <f>IFERROR(VLOOKUP($A150,'[91]4月'!$A:$H,8,0),0)</f>
        <v>150000</v>
      </c>
      <c r="AC150" s="688">
        <f>IFERROR(VLOOKUP($A150,'[91]5月'!$A:$H,8,0),0)</f>
        <v>150000</v>
      </c>
      <c r="AD150" s="688">
        <f>IFERROR(VLOOKUP($A150,'[91]6月'!$A:$H,8,0),0)</f>
        <v>150000</v>
      </c>
      <c r="AE150" s="688">
        <f>IFERROR(VLOOKUP($A150,'[91]7月'!$A:$H,8,0),0)</f>
        <v>150000</v>
      </c>
      <c r="AF150" s="688">
        <f>IFERROR(VLOOKUP($A150,'[91]8月'!$A:$H,8,0),0)</f>
        <v>150000</v>
      </c>
      <c r="AG150" s="688">
        <f>IFERROR(VLOOKUP($A150,'[91]9月'!$A:$H,8,0),0)</f>
        <v>150000</v>
      </c>
      <c r="AH150" s="688">
        <f>IFERROR(VLOOKUP($A150,'[91]10月'!$A:$H,8,0),0)</f>
        <v>150000</v>
      </c>
      <c r="AI150" s="688">
        <f>IFERROR(VLOOKUP($A150,'[91]11月'!$A:$H,8,0),0)</f>
        <v>150000</v>
      </c>
      <c r="AJ150" s="688">
        <f>IFERROR(VLOOKUP($A150,'[91]12月'!$A:$H,8,0),0)</f>
        <v>150000</v>
      </c>
      <c r="AK150" s="688">
        <f t="shared" si="54"/>
        <v>1800000</v>
      </c>
    </row>
    <row r="151" spans="1:37" ht="13.5" customHeight="1">
      <c r="A151" s="653" t="str">
        <f>'Budget-合并'!A151</f>
        <v>6602.24</v>
      </c>
      <c r="B151" s="653" t="str">
        <f>'Budget-合并'!B151</f>
        <v>监管费用</v>
      </c>
      <c r="C151" s="687" t="str">
        <f>'Budget-合并'!C151</f>
        <v xml:space="preserve">Regulatory fees </v>
      </c>
      <c r="D151" s="676">
        <f t="shared" si="48"/>
        <v>0</v>
      </c>
      <c r="E151" s="676" t="e">
        <f t="shared" si="49"/>
        <v>#N/A</v>
      </c>
      <c r="F151" s="676" t="e">
        <f t="shared" si="50"/>
        <v>#N/A</v>
      </c>
      <c r="G151" s="676">
        <f t="shared" ca="1" si="51"/>
        <v>0</v>
      </c>
      <c r="H151" s="676" t="e">
        <f t="shared" ca="1" si="52"/>
        <v>#N/A</v>
      </c>
      <c r="I151" s="676" t="e">
        <f t="shared" ca="1" si="53"/>
        <v>#N/A</v>
      </c>
      <c r="K151" s="676">
        <f>SUMIFS('Prof. Fee'!AF$3:AF$150,'Prof. Fee'!$B$3:$B$150,$D$1,'Prof. Fee'!$D$3:$D$150,$A151)</f>
        <v>0</v>
      </c>
      <c r="L151" s="676">
        <f>SUMIFS('Prof. Fee'!AG$3:AG$150,'Prof. Fee'!$B$3:$B$150,$D$1,'Prof. Fee'!$D$3:$D$150,$A151)</f>
        <v>0</v>
      </c>
      <c r="M151" s="676">
        <f>SUMIFS('Prof. Fee'!AH$3:AH$150,'Prof. Fee'!$B$3:$B$150,$D$1,'Prof. Fee'!$D$3:$D$150,$A151)</f>
        <v>0</v>
      </c>
      <c r="N151" s="676">
        <f>SUMIFS('Prof. Fee'!AI$3:AI$150,'Prof. Fee'!$B$3:$B$150,$D$1,'Prof. Fee'!$D$3:$D$150,$A151)</f>
        <v>0</v>
      </c>
      <c r="O151" s="676">
        <f>SUMIFS('Prof. Fee'!AJ$3:AJ$150,'Prof. Fee'!$B$3:$B$150,$D$1,'Prof. Fee'!$D$3:$D$150,$A151)</f>
        <v>0</v>
      </c>
      <c r="P151" s="676">
        <f>SUMIFS('Prof. Fee'!AK$3:AK$150,'Prof. Fee'!$B$3:$B$150,$D$1,'Prof. Fee'!$D$3:$D$150,$A151)</f>
        <v>0</v>
      </c>
      <c r="Q151" s="676">
        <f>SUMIFS('Prof. Fee'!AL$3:AL$150,'Prof. Fee'!$B$3:$B$150,$D$1,'Prof. Fee'!$D$3:$D$150,$A151)</f>
        <v>0</v>
      </c>
      <c r="R151" s="676">
        <f>SUMIFS('Prof. Fee'!AM$3:AM$150,'Prof. Fee'!$B$3:$B$150,$D$1,'Prof. Fee'!$D$3:$D$150,$A151)</f>
        <v>0</v>
      </c>
      <c r="S151" s="676">
        <f>SUMIFS('Prof. Fee'!AN$3:AN$150,'Prof. Fee'!$B$3:$B$150,$D$1,'Prof. Fee'!$D$3:$D$150,$A151)</f>
        <v>0</v>
      </c>
      <c r="T151" s="676">
        <f>SUMIFS('Prof. Fee'!AO$3:AO$150,'Prof. Fee'!$B$3:$B$150,$D$1,'Prof. Fee'!$D$3:$D$150,$A151)</f>
        <v>0</v>
      </c>
      <c r="U151" s="676">
        <f>SUMIFS('Prof. Fee'!AP$3:AP$150,'Prof. Fee'!$B$3:$B$150,$D$1,'Prof. Fee'!$D$3:$D$150,$A151)</f>
        <v>0</v>
      </c>
      <c r="V151" s="676">
        <f>SUMIFS('Prof. Fee'!AQ$3:AQ$150,'Prof. Fee'!$B$3:$B$150,$D$1,'Prof. Fee'!$D$3:$D$150,$A151)</f>
        <v>0</v>
      </c>
      <c r="W151" s="676">
        <f t="shared" ref="W151:W156" si="64">SUM(K151:V151)</f>
        <v>0</v>
      </c>
      <c r="Y151" s="688">
        <f>IFERROR(VLOOKUP($A151,'[91]1月'!$A:$H,8,0),0)</f>
        <v>0</v>
      </c>
      <c r="Z151" s="688">
        <f>IFERROR(VLOOKUP($A151,'[91]2月'!$A:$H,8,0),0)</f>
        <v>0</v>
      </c>
      <c r="AA151" s="688">
        <f>IFERROR(VLOOKUP($A151,'[91]3月'!$A:$H,8,0),0)</f>
        <v>0</v>
      </c>
      <c r="AB151" s="688">
        <f>IFERROR(VLOOKUP($A151,'[91]4月'!$A:$H,8,0),0)</f>
        <v>0</v>
      </c>
      <c r="AC151" s="688">
        <f>IFERROR(VLOOKUP($A151,'[91]5月'!$A:$H,8,0),0)</f>
        <v>0</v>
      </c>
      <c r="AD151" s="688">
        <f>IFERROR(VLOOKUP($A151,'[91]6月'!$A:$H,8,0),0)</f>
        <v>0</v>
      </c>
      <c r="AE151" s="688">
        <f>IFERROR(VLOOKUP($A151,'[91]7月'!$A:$H,8,0),0)</f>
        <v>0</v>
      </c>
      <c r="AF151" s="688">
        <f>IFERROR(VLOOKUP($A151,'[91]8月'!$A:$H,8,0),0)</f>
        <v>0</v>
      </c>
      <c r="AG151" s="688">
        <f>IFERROR(VLOOKUP($A151,'[91]9月'!$A:$H,8,0),0)</f>
        <v>2200</v>
      </c>
      <c r="AH151" s="688">
        <f>IFERROR(VLOOKUP($A151,'[91]10月'!$A:$H,8,0),0)</f>
        <v>0</v>
      </c>
      <c r="AI151" s="688">
        <f>IFERROR(VLOOKUP($A151,'[91]11月'!$A:$H,8,0),0)</f>
        <v>0</v>
      </c>
      <c r="AJ151" s="688">
        <f>IFERROR(VLOOKUP($A151,'[91]12月'!$A:$H,8,0),0)</f>
        <v>150</v>
      </c>
      <c r="AK151" s="688">
        <f t="shared" si="54"/>
        <v>2350</v>
      </c>
    </row>
    <row r="152" spans="1:37" ht="13.5" customHeight="1">
      <c r="A152" s="653" t="str">
        <f>'Budget-合并'!A152</f>
        <v>6602.99</v>
      </c>
      <c r="B152" s="653" t="str">
        <f>'Budget-合并'!B152</f>
        <v>其他</v>
      </c>
      <c r="C152" s="687" t="str">
        <f>'Budget-合并'!C152</f>
        <v>Admin Other</v>
      </c>
      <c r="D152" s="676">
        <f t="shared" si="48"/>
        <v>0</v>
      </c>
      <c r="E152" s="676" t="e">
        <f t="shared" si="49"/>
        <v>#N/A</v>
      </c>
      <c r="F152" s="676" t="e">
        <f t="shared" si="50"/>
        <v>#N/A</v>
      </c>
      <c r="G152" s="676">
        <f t="shared" ca="1" si="51"/>
        <v>0</v>
      </c>
      <c r="H152" s="676" t="e">
        <f t="shared" ca="1" si="52"/>
        <v>#N/A</v>
      </c>
      <c r="I152" s="676" t="e">
        <f t="shared" ca="1" si="53"/>
        <v>#N/A</v>
      </c>
      <c r="K152" s="676"/>
      <c r="L152" s="676"/>
      <c r="M152" s="676"/>
      <c r="N152" s="676"/>
      <c r="O152" s="676"/>
      <c r="P152" s="676"/>
      <c r="Q152" s="676"/>
      <c r="R152" s="676"/>
      <c r="S152" s="676"/>
      <c r="T152" s="676"/>
      <c r="U152" s="676"/>
      <c r="V152" s="676"/>
      <c r="W152" s="676">
        <f t="shared" si="64"/>
        <v>0</v>
      </c>
      <c r="Y152" s="688">
        <f>IFERROR(VLOOKUP($A152,'[91]1月'!$A:$H,8,0),0)</f>
        <v>3991</v>
      </c>
      <c r="Z152" s="688">
        <f>IFERROR(VLOOKUP($A152,'[91]2月'!$A:$H,8,0),0)</f>
        <v>6132</v>
      </c>
      <c r="AA152" s="688">
        <f>IFERROR(VLOOKUP($A152,'[91]3月'!$A:$H,8,0),0)</f>
        <v>4429.67</v>
      </c>
      <c r="AB152" s="688">
        <f>IFERROR(VLOOKUP($A152,'[91]4月'!$A:$H,8,0),0)</f>
        <v>3200</v>
      </c>
      <c r="AC152" s="688">
        <f>IFERROR(VLOOKUP($A152,'[91]5月'!$A:$H,8,0),0)</f>
        <v>3200</v>
      </c>
      <c r="AD152" s="688">
        <f>IFERROR(VLOOKUP($A152,'[91]6月'!$A:$H,8,0),0)</f>
        <v>3500</v>
      </c>
      <c r="AE152" s="688">
        <f>IFERROR(VLOOKUP($A152,'[91]7月'!$A:$H,8,0),0)</f>
        <v>10200</v>
      </c>
      <c r="AF152" s="688">
        <f>IFERROR(VLOOKUP($A152,'[91]8月'!$A:$H,8,0),0)</f>
        <v>3589.39</v>
      </c>
      <c r="AG152" s="688">
        <f>IFERROR(VLOOKUP($A152,'[91]9月'!$A:$H,8,0),0)</f>
        <v>3200</v>
      </c>
      <c r="AH152" s="688">
        <f>IFERROR(VLOOKUP($A152,'[91]10月'!$A:$H,8,0),0)</f>
        <v>3200</v>
      </c>
      <c r="AI152" s="688">
        <f>IFERROR(VLOOKUP($A152,'[91]11月'!$A:$H,8,0),0)</f>
        <v>3200</v>
      </c>
      <c r="AJ152" s="688">
        <f>IFERROR(VLOOKUP($A152,'[91]12月'!$A:$H,8,0),0)</f>
        <v>3200</v>
      </c>
      <c r="AK152" s="688">
        <f t="shared" si="54"/>
        <v>51042.06</v>
      </c>
    </row>
    <row r="153" spans="1:37" ht="13.5" customHeight="1">
      <c r="A153" s="686">
        <f>'Budget-合并'!A153</f>
        <v>0</v>
      </c>
      <c r="B153" s="686" t="str">
        <f>'Budget-合并'!B153</f>
        <v>管理费用合计</v>
      </c>
      <c r="C153" s="687">
        <f>'Budget-合并'!C153</f>
        <v>0</v>
      </c>
      <c r="D153" s="677">
        <f t="shared" ca="1" si="48"/>
        <v>160761.62671095831</v>
      </c>
      <c r="E153" s="677" t="e">
        <f t="shared" si="49"/>
        <v>#N/A</v>
      </c>
      <c r="F153" s="677" t="e">
        <f t="shared" ref="F153:F171" ca="1" si="65">D153-E153</f>
        <v>#N/A</v>
      </c>
      <c r="G153" s="677">
        <f t="shared" ca="1" si="51"/>
        <v>160761.62671095831</v>
      </c>
      <c r="H153" s="677" t="e">
        <f t="shared" ref="H153:H171" ca="1" si="66">SUM($Y153:OFFSET($Y153,0,MATCH(H$6,$Y$6:$AJ$6)-1))</f>
        <v>#N/A</v>
      </c>
      <c r="I153" s="677" t="e">
        <f t="shared" ca="1" si="53"/>
        <v>#N/A</v>
      </c>
      <c r="K153" s="677">
        <f ca="1">SUM(K44,K62,K75,K79,K80,K92,K127,K132,K140:K152)</f>
        <v>160761.62671095831</v>
      </c>
      <c r="L153" s="677">
        <f t="shared" ref="L153:V153" ca="1" si="67">SUM(L44,L62,L75,L79,L80,L92,L127,L132,L140:L152)</f>
        <v>78780.743039166671</v>
      </c>
      <c r="M153" s="677">
        <f t="shared" ca="1" si="67"/>
        <v>78780.743039166671</v>
      </c>
      <c r="N153" s="677">
        <f t="shared" ca="1" si="67"/>
        <v>78780.743039166671</v>
      </c>
      <c r="O153" s="677">
        <f t="shared" ca="1" si="67"/>
        <v>307270.54303916666</v>
      </c>
      <c r="P153" s="677">
        <f t="shared" ca="1" si="67"/>
        <v>157649.42303916666</v>
      </c>
      <c r="Q153" s="677">
        <f t="shared" ca="1" si="67"/>
        <v>78780.743039166671</v>
      </c>
      <c r="R153" s="677">
        <f t="shared" ca="1" si="67"/>
        <v>114068.74303916669</v>
      </c>
      <c r="S153" s="677">
        <f t="shared" ca="1" si="67"/>
        <v>114068.74303916669</v>
      </c>
      <c r="T153" s="677">
        <f t="shared" ca="1" si="67"/>
        <v>122220.27103916669</v>
      </c>
      <c r="U153" s="677">
        <f t="shared" ca="1" si="67"/>
        <v>114068.74303916669</v>
      </c>
      <c r="V153" s="677">
        <f t="shared" ca="1" si="67"/>
        <v>114068.74303916669</v>
      </c>
      <c r="W153" s="677">
        <f t="shared" ca="1" si="64"/>
        <v>1519299.8081417922</v>
      </c>
      <c r="Y153" s="677">
        <f t="shared" ref="Y153:AK153" si="68">SUM(Y44,Y62,Y75,Y79,Y80,Y92,Y127,Y132,Y140:Y152)</f>
        <v>262156.23</v>
      </c>
      <c r="Z153" s="677">
        <f t="shared" si="68"/>
        <v>302298.52</v>
      </c>
      <c r="AA153" s="677">
        <f t="shared" si="68"/>
        <v>268134.85000000003</v>
      </c>
      <c r="AB153" s="677">
        <f t="shared" si="68"/>
        <v>257298.13</v>
      </c>
      <c r="AC153" s="677">
        <f t="shared" si="68"/>
        <v>334292.75</v>
      </c>
      <c r="AD153" s="677">
        <f t="shared" si="68"/>
        <v>265122.2</v>
      </c>
      <c r="AE153" s="677">
        <f t="shared" si="68"/>
        <v>460551.65</v>
      </c>
      <c r="AF153" s="677">
        <f t="shared" si="68"/>
        <v>324170.36</v>
      </c>
      <c r="AG153" s="677">
        <f t="shared" si="68"/>
        <v>450965.82</v>
      </c>
      <c r="AH153" s="677">
        <f t="shared" si="68"/>
        <v>348371.75</v>
      </c>
      <c r="AI153" s="677">
        <f t="shared" si="68"/>
        <v>347346.15</v>
      </c>
      <c r="AJ153" s="677">
        <f t="shared" si="68"/>
        <v>345145.97</v>
      </c>
      <c r="AK153" s="677">
        <f t="shared" si="68"/>
        <v>3965854.3800000004</v>
      </c>
    </row>
    <row r="154" spans="1:37" ht="13.5" customHeight="1">
      <c r="A154" s="653">
        <f>'Budget-合并'!A154</f>
        <v>0</v>
      </c>
      <c r="B154" s="653">
        <f>'Budget-合并'!B154</f>
        <v>0</v>
      </c>
      <c r="C154" s="687">
        <f>'Budget-合并'!C154</f>
        <v>0</v>
      </c>
      <c r="W154" s="652">
        <f t="shared" si="64"/>
        <v>0</v>
      </c>
    </row>
    <row r="155" spans="1:37" ht="13.5" customHeight="1">
      <c r="A155" s="686" t="str">
        <f>'Budget-合并'!A155</f>
        <v>6603</v>
      </c>
      <c r="B155" s="686" t="str">
        <f>'Budget-合并'!B155</f>
        <v>财务费用</v>
      </c>
      <c r="C155" s="687">
        <f>'Budget-合并'!C155</f>
        <v>0</v>
      </c>
      <c r="D155" s="677"/>
      <c r="E155" s="677"/>
      <c r="F155" s="677"/>
      <c r="G155" s="677"/>
      <c r="H155" s="677"/>
      <c r="I155" s="677"/>
      <c r="K155" s="677"/>
      <c r="L155" s="677"/>
      <c r="M155" s="677"/>
      <c r="N155" s="677"/>
      <c r="O155" s="677"/>
      <c r="P155" s="677"/>
      <c r="Q155" s="677"/>
      <c r="R155" s="677"/>
      <c r="S155" s="677"/>
      <c r="T155" s="677"/>
      <c r="U155" s="677"/>
      <c r="V155" s="677"/>
      <c r="W155" s="677"/>
    </row>
    <row r="156" spans="1:37" ht="13.5" customHeight="1">
      <c r="A156" s="653" t="str">
        <f>'Budget-合并'!A156</f>
        <v>6603.01</v>
      </c>
      <c r="B156" s="653" t="str">
        <f>'Budget-合并'!B156</f>
        <v>汇兑损益</v>
      </c>
      <c r="C156" s="687" t="str">
        <f>'Budget-合并'!C156</f>
        <v>FX Gain/Loss Net</v>
      </c>
      <c r="D156" s="676">
        <f t="shared" ref="D156:D169" si="69">INDEX($K156:$V156,1,MATCH($D$6,$K$6:$V$6))</f>
        <v>0</v>
      </c>
      <c r="E156" s="676" t="e">
        <f t="shared" ref="E156:E171" si="70">INDEX($Y156:$AJ156,1,MATCH($E$6,$Y$6:$AJ$6))</f>
        <v>#N/A</v>
      </c>
      <c r="F156" s="676" t="e">
        <f t="shared" si="65"/>
        <v>#N/A</v>
      </c>
      <c r="G156" s="676">
        <f t="shared" ref="G156:G169" ca="1" si="71">SUM($K156:OFFSET($K156,0,MATCH(G$6,$K$6:$V$6)-1))</f>
        <v>0</v>
      </c>
      <c r="H156" s="676" t="e">
        <f t="shared" ca="1" si="66"/>
        <v>#N/A</v>
      </c>
      <c r="I156" s="676" t="e">
        <f t="shared" ref="I156:I172" ca="1" si="72">G156-H156</f>
        <v>#N/A</v>
      </c>
      <c r="K156" s="676">
        <f>SUMIFS('Other Exp'!AG$3:AG$196,'Other Exp'!$B$3:$B$196,$D$1,'Other Exp'!$C$3:$C$196,$A156)</f>
        <v>0</v>
      </c>
      <c r="L156" s="676">
        <f>SUMIFS('Other Exp'!AH$3:AH$196,'Other Exp'!$B$3:$B$196,$D$1,'Other Exp'!$C$3:$C$196,$A156)</f>
        <v>0</v>
      </c>
      <c r="M156" s="676">
        <f>SUMIFS('Other Exp'!AI$3:AI$196,'Other Exp'!$B$3:$B$196,$D$1,'Other Exp'!$C$3:$C$196,$A156)</f>
        <v>0</v>
      </c>
      <c r="N156" s="676">
        <f>SUMIFS('Other Exp'!AJ$3:AJ$196,'Other Exp'!$B$3:$B$196,$D$1,'Other Exp'!$C$3:$C$196,$A156)</f>
        <v>0</v>
      </c>
      <c r="O156" s="676">
        <f>SUMIFS('Other Exp'!AK$3:AK$196,'Other Exp'!$B$3:$B$196,$D$1,'Other Exp'!$C$3:$C$196,$A156)</f>
        <v>0</v>
      </c>
      <c r="P156" s="676">
        <f>SUMIFS('Other Exp'!AL$3:AL$196,'Other Exp'!$B$3:$B$196,$D$1,'Other Exp'!$C$3:$C$196,$A156)</f>
        <v>0</v>
      </c>
      <c r="Q156" s="676">
        <f>SUMIFS('Other Exp'!AM$3:AM$196,'Other Exp'!$B$3:$B$196,$D$1,'Other Exp'!$C$3:$C$196,$A156)</f>
        <v>0</v>
      </c>
      <c r="R156" s="676">
        <f>SUMIFS('Other Exp'!AN$3:AN$196,'Other Exp'!$B$3:$B$196,$D$1,'Other Exp'!$C$3:$C$196,$A156)</f>
        <v>0</v>
      </c>
      <c r="S156" s="676">
        <f>SUMIFS('Other Exp'!AO$3:AO$196,'Other Exp'!$B$3:$B$196,$D$1,'Other Exp'!$C$3:$C$196,$A156)</f>
        <v>0</v>
      </c>
      <c r="T156" s="676">
        <f>SUMIFS('Other Exp'!AP$3:AP$196,'Other Exp'!$B$3:$B$196,$D$1,'Other Exp'!$C$3:$C$196,$A156)</f>
        <v>0</v>
      </c>
      <c r="U156" s="676">
        <f>SUMIFS('Other Exp'!AQ$3:AQ$196,'Other Exp'!$B$3:$B$196,$D$1,'Other Exp'!$C$3:$C$196,$A156)</f>
        <v>0</v>
      </c>
      <c r="V156" s="676">
        <f>SUMIFS('Other Exp'!AR$3:AR$196,'Other Exp'!$B$3:$B$196,$D$1,'Other Exp'!$C$3:$C$196,$A156)</f>
        <v>0</v>
      </c>
      <c r="W156" s="676">
        <f t="shared" si="64"/>
        <v>0</v>
      </c>
      <c r="Y156" s="688">
        <f>IFERROR(VLOOKUP($A156,'[91]1月'!$A:$H,8,0),0)</f>
        <v>-21512.560000000001</v>
      </c>
      <c r="Z156" s="688">
        <f>IFERROR(VLOOKUP($A156,'[91]2月'!$A:$H,8,0),0)</f>
        <v>13448.95</v>
      </c>
      <c r="AA156" s="688">
        <f>IFERROR(VLOOKUP($A156,'[91]3月'!$A:$H,8,0),0)</f>
        <v>-36.229999999999997</v>
      </c>
      <c r="AB156" s="688">
        <f>IFERROR(VLOOKUP($A156,'[91]4月'!$A:$H,8,0),0)</f>
        <v>1862.85</v>
      </c>
      <c r="AC156" s="688">
        <f>IFERROR(VLOOKUP($A156,'[91]5月'!$A:$H,8,0),0)</f>
        <v>-7809.48</v>
      </c>
      <c r="AD156" s="688">
        <f>IFERROR(VLOOKUP($A156,'[91]6月'!$A:$H,8,0),0)</f>
        <v>-758.9</v>
      </c>
      <c r="AE156" s="688">
        <f>IFERROR(VLOOKUP($A156,'[91]7月'!$A:$H,8,0),0)</f>
        <v>-111.19</v>
      </c>
      <c r="AF156" s="688">
        <f>IFERROR(VLOOKUP($A156,'[91]8月'!$A:$H,8,0),0)</f>
        <v>5485.05</v>
      </c>
      <c r="AG156" s="688">
        <f>IFERROR(VLOOKUP($A156,'[91]9月'!$A:$H,8,0),0)</f>
        <v>1400.56</v>
      </c>
      <c r="AH156" s="688">
        <f>IFERROR(VLOOKUP($A156,'[91]10月'!$A:$H,8,0),0)</f>
        <v>1496.38</v>
      </c>
      <c r="AI156" s="688">
        <f>IFERROR(VLOOKUP($A156,'[91]11月'!$A:$H,8,0),0)</f>
        <v>-1458.82</v>
      </c>
      <c r="AJ156" s="688">
        <f>IFERROR(VLOOKUP($A156,'[91]12月'!$A:$H,8,0),0)</f>
        <v>1722.51</v>
      </c>
      <c r="AK156" s="688">
        <f t="shared" ref="AK156:AK171" si="73">SUM(Y156:AJ156)</f>
        <v>-6270.8799999999983</v>
      </c>
    </row>
    <row r="157" spans="1:37" ht="13.5" customHeight="1">
      <c r="A157" s="663" t="str">
        <f>'Budget-合并'!A157</f>
        <v>6603.02</v>
      </c>
      <c r="B157" s="663" t="str">
        <f>'Budget-合并'!B157</f>
        <v>利息费用</v>
      </c>
      <c r="C157" s="687">
        <f>'Budget-合并'!C157</f>
        <v>0</v>
      </c>
      <c r="D157" s="676">
        <f t="shared" si="69"/>
        <v>0</v>
      </c>
      <c r="E157" s="676" t="e">
        <f t="shared" si="70"/>
        <v>#N/A</v>
      </c>
      <c r="F157" s="676" t="e">
        <f t="shared" si="65"/>
        <v>#N/A</v>
      </c>
      <c r="G157" s="676">
        <f t="shared" ca="1" si="71"/>
        <v>0</v>
      </c>
      <c r="H157" s="676" t="e">
        <f t="shared" ca="1" si="66"/>
        <v>#N/A</v>
      </c>
      <c r="I157" s="676" t="e">
        <f t="shared" ca="1" si="72"/>
        <v>#N/A</v>
      </c>
      <c r="K157" s="676"/>
      <c r="L157" s="676"/>
      <c r="M157" s="676"/>
      <c r="N157" s="676"/>
      <c r="O157" s="676"/>
      <c r="P157" s="676"/>
      <c r="Q157" s="676"/>
      <c r="R157" s="676"/>
      <c r="S157" s="676"/>
      <c r="T157" s="676"/>
      <c r="U157" s="676"/>
      <c r="V157" s="676"/>
      <c r="W157" s="676">
        <f t="shared" ref="W157:W169" si="74">SUM(K157:V157)</f>
        <v>0</v>
      </c>
      <c r="Y157" s="688">
        <f>IFERROR(VLOOKUP($A157,'[91]1月'!$A:$H,8,0),0)</f>
        <v>0</v>
      </c>
      <c r="Z157" s="688">
        <f>IFERROR(VLOOKUP($A157,'[91]2月'!$A:$H,8,0),0)</f>
        <v>0</v>
      </c>
      <c r="AA157" s="688">
        <f>IFERROR(VLOOKUP($A157,'[91]3月'!$A:$H,8,0),0)</f>
        <v>0</v>
      </c>
      <c r="AB157" s="688">
        <f>IFERROR(VLOOKUP($A157,'[91]4月'!$A:$H,8,0),0)</f>
        <v>0</v>
      </c>
      <c r="AC157" s="688">
        <f>IFERROR(VLOOKUP($A157,'[91]5月'!$A:$H,8,0),0)</f>
        <v>0</v>
      </c>
      <c r="AD157" s="688">
        <f>IFERROR(VLOOKUP($A157,'[91]6月'!$A:$H,8,0),0)</f>
        <v>0</v>
      </c>
      <c r="AE157" s="688">
        <f>IFERROR(VLOOKUP($A157,'[91]7月'!$A:$H,8,0),0)</f>
        <v>0</v>
      </c>
      <c r="AF157" s="688">
        <f>IFERROR(VLOOKUP($A157,'[91]8月'!$A:$H,8,0),0)</f>
        <v>0</v>
      </c>
      <c r="AG157" s="688">
        <f>IFERROR(VLOOKUP($A157,'[91]9月'!$A:$H,8,0),0)</f>
        <v>0</v>
      </c>
      <c r="AH157" s="688">
        <f>IFERROR(VLOOKUP($A157,'[91]10月'!$A:$H,8,0),0)</f>
        <v>0</v>
      </c>
      <c r="AI157" s="688">
        <f>IFERROR(VLOOKUP($A157,'[91]11月'!$A:$H,8,0),0)</f>
        <v>0</v>
      </c>
      <c r="AJ157" s="688">
        <f>IFERROR(VLOOKUP($A157,'[91]12月'!$A:$H,8,0),0)</f>
        <v>0</v>
      </c>
      <c r="AK157" s="688">
        <f t="shared" si="73"/>
        <v>0</v>
      </c>
    </row>
    <row r="158" spans="1:37" ht="13.5" customHeight="1">
      <c r="A158" s="653" t="str">
        <f>'Budget-合并'!A158</f>
        <v>6603.02.01</v>
      </c>
      <c r="B158" s="653" t="str">
        <f>'Budget-合并'!B158</f>
        <v>打印机租赁</v>
      </c>
      <c r="C158" s="687">
        <f>'Budget-合并'!C158</f>
        <v>0</v>
      </c>
      <c r="D158" s="676">
        <f t="shared" si="69"/>
        <v>0</v>
      </c>
      <c r="E158" s="676" t="e">
        <f t="shared" si="70"/>
        <v>#N/A</v>
      </c>
      <c r="F158" s="676" t="e">
        <f t="shared" si="65"/>
        <v>#N/A</v>
      </c>
      <c r="G158" s="676">
        <f t="shared" ca="1" si="71"/>
        <v>0</v>
      </c>
      <c r="H158" s="676" t="e">
        <f t="shared" ca="1" si="66"/>
        <v>#N/A</v>
      </c>
      <c r="I158" s="676" t="e">
        <f t="shared" ca="1" si="72"/>
        <v>#N/A</v>
      </c>
      <c r="K158" s="676"/>
      <c r="L158" s="676"/>
      <c r="M158" s="676"/>
      <c r="N158" s="676"/>
      <c r="O158" s="676"/>
      <c r="P158" s="676"/>
      <c r="Q158" s="676"/>
      <c r="R158" s="676"/>
      <c r="S158" s="676"/>
      <c r="T158" s="676"/>
      <c r="U158" s="676"/>
      <c r="V158" s="676"/>
      <c r="W158" s="676">
        <f t="shared" si="74"/>
        <v>0</v>
      </c>
      <c r="Y158" s="688">
        <f>IFERROR(VLOOKUP($A158,'[91]1月'!$A:$H,8,0),0)</f>
        <v>0</v>
      </c>
      <c r="Z158" s="688">
        <f>IFERROR(VLOOKUP($A158,'[91]2月'!$A:$H,8,0),0)</f>
        <v>0</v>
      </c>
      <c r="AA158" s="688">
        <f>IFERROR(VLOOKUP($A158,'[91]3月'!$A:$H,8,0),0)</f>
        <v>0</v>
      </c>
      <c r="AB158" s="688">
        <f>IFERROR(VLOOKUP($A158,'[91]4月'!$A:$H,8,0),0)</f>
        <v>0</v>
      </c>
      <c r="AC158" s="688">
        <f>IFERROR(VLOOKUP($A158,'[91]5月'!$A:$H,8,0),0)</f>
        <v>0</v>
      </c>
      <c r="AD158" s="688">
        <f>IFERROR(VLOOKUP($A158,'[91]6月'!$A:$H,8,0),0)</f>
        <v>0</v>
      </c>
      <c r="AE158" s="688">
        <f>IFERROR(VLOOKUP($A158,'[91]7月'!$A:$H,8,0),0)</f>
        <v>0</v>
      </c>
      <c r="AF158" s="688">
        <f>IFERROR(VLOOKUP($A158,'[91]8月'!$A:$H,8,0),0)</f>
        <v>0</v>
      </c>
      <c r="AG158" s="688">
        <f>IFERROR(VLOOKUP($A158,'[91]9月'!$A:$H,8,0),0)</f>
        <v>0</v>
      </c>
      <c r="AH158" s="688">
        <f>IFERROR(VLOOKUP($A158,'[91]10月'!$A:$H,8,0),0)</f>
        <v>0</v>
      </c>
      <c r="AI158" s="688">
        <f>IFERROR(VLOOKUP($A158,'[91]11月'!$A:$H,8,0),0)</f>
        <v>0</v>
      </c>
      <c r="AJ158" s="688">
        <f>IFERROR(VLOOKUP($A158,'[91]12月'!$A:$H,8,0),0)</f>
        <v>0</v>
      </c>
      <c r="AK158" s="688">
        <f t="shared" si="73"/>
        <v>0</v>
      </c>
    </row>
    <row r="159" spans="1:37" ht="13.5" customHeight="1">
      <c r="A159" s="653" t="str">
        <f>'Budget-合并'!A159</f>
        <v>6603.02.02</v>
      </c>
      <c r="B159" s="653" t="str">
        <f>'Budget-合并'!B159</f>
        <v>办公地址</v>
      </c>
      <c r="C159" s="687">
        <f>'Budget-合并'!C159</f>
        <v>0</v>
      </c>
      <c r="D159" s="676">
        <f t="shared" si="69"/>
        <v>0</v>
      </c>
      <c r="E159" s="676" t="e">
        <f t="shared" si="70"/>
        <v>#N/A</v>
      </c>
      <c r="F159" s="676" t="e">
        <f t="shared" si="65"/>
        <v>#N/A</v>
      </c>
      <c r="G159" s="676">
        <f t="shared" ca="1" si="71"/>
        <v>0</v>
      </c>
      <c r="H159" s="676" t="e">
        <f t="shared" ca="1" si="66"/>
        <v>#N/A</v>
      </c>
      <c r="I159" s="676" t="e">
        <f t="shared" ca="1" si="72"/>
        <v>#N/A</v>
      </c>
      <c r="K159" s="676">
        <f>SUM(K160:K161)</f>
        <v>0</v>
      </c>
      <c r="L159" s="676">
        <f t="shared" ref="L159:V159" si="75">SUM(L160:L161)</f>
        <v>0</v>
      </c>
      <c r="M159" s="676">
        <f t="shared" si="75"/>
        <v>0</v>
      </c>
      <c r="N159" s="676">
        <f t="shared" si="75"/>
        <v>0</v>
      </c>
      <c r="O159" s="676">
        <f t="shared" si="75"/>
        <v>0</v>
      </c>
      <c r="P159" s="676">
        <f t="shared" si="75"/>
        <v>0</v>
      </c>
      <c r="Q159" s="676">
        <f t="shared" si="75"/>
        <v>0</v>
      </c>
      <c r="R159" s="676">
        <f t="shared" si="75"/>
        <v>0</v>
      </c>
      <c r="S159" s="676">
        <f t="shared" si="75"/>
        <v>0</v>
      </c>
      <c r="T159" s="676">
        <f t="shared" si="75"/>
        <v>0</v>
      </c>
      <c r="U159" s="676">
        <f t="shared" si="75"/>
        <v>0</v>
      </c>
      <c r="V159" s="676">
        <f t="shared" si="75"/>
        <v>0</v>
      </c>
      <c r="W159" s="676">
        <f t="shared" si="74"/>
        <v>0</v>
      </c>
      <c r="Y159" s="688">
        <f>IFERROR(VLOOKUP($A159,'[91]1月'!$A:$H,8,0),0)</f>
        <v>0</v>
      </c>
      <c r="Z159" s="688">
        <f>IFERROR(VLOOKUP($A159,'[91]2月'!$A:$H,8,0),0)</f>
        <v>0</v>
      </c>
      <c r="AA159" s="688">
        <f>IFERROR(VLOOKUP($A159,'[91]3月'!$A:$H,8,0),0)</f>
        <v>0</v>
      </c>
      <c r="AB159" s="688">
        <f>IFERROR(VLOOKUP($A159,'[91]4月'!$A:$H,8,0),0)</f>
        <v>0</v>
      </c>
      <c r="AC159" s="688">
        <f>IFERROR(VLOOKUP($A159,'[91]5月'!$A:$H,8,0),0)</f>
        <v>0</v>
      </c>
      <c r="AD159" s="688">
        <f>IFERROR(VLOOKUP($A159,'[91]6月'!$A:$H,8,0),0)</f>
        <v>0</v>
      </c>
      <c r="AE159" s="688">
        <f>IFERROR(VLOOKUP($A159,'[91]7月'!$A:$H,8,0),0)</f>
        <v>0</v>
      </c>
      <c r="AF159" s="688">
        <f>IFERROR(VLOOKUP($A159,'[91]8月'!$A:$H,8,0),0)</f>
        <v>0</v>
      </c>
      <c r="AG159" s="688">
        <f>IFERROR(VLOOKUP($A159,'[91]9月'!$A:$H,8,0),0)</f>
        <v>0</v>
      </c>
      <c r="AH159" s="688">
        <f>IFERROR(VLOOKUP($A159,'[91]10月'!$A:$H,8,0),0)</f>
        <v>0</v>
      </c>
      <c r="AI159" s="688">
        <f>IFERROR(VLOOKUP($A159,'[91]11月'!$A:$H,8,0),0)</f>
        <v>0</v>
      </c>
      <c r="AJ159" s="688">
        <f>IFERROR(VLOOKUP($A159,'[91]12月'!$A:$H,8,0),0)</f>
        <v>0</v>
      </c>
      <c r="AK159" s="688">
        <f t="shared" si="73"/>
        <v>0</v>
      </c>
    </row>
    <row r="160" spans="1:37" ht="13.5" customHeight="1">
      <c r="A160" s="653" t="str">
        <f>'Budget-合并'!A160</f>
        <v>6603.02.02.01</v>
      </c>
      <c r="B160" s="653" t="str">
        <f>'Budget-合并'!B160</f>
        <v>旭智咨询--鼎和大厦1606</v>
      </c>
      <c r="C160" s="687">
        <f>'Budget-合并'!C160</f>
        <v>0</v>
      </c>
      <c r="D160" s="676">
        <f t="shared" si="69"/>
        <v>0</v>
      </c>
      <c r="E160" s="676" t="e">
        <f t="shared" si="70"/>
        <v>#N/A</v>
      </c>
      <c r="F160" s="676" t="e">
        <f t="shared" si="65"/>
        <v>#N/A</v>
      </c>
      <c r="G160" s="676">
        <f t="shared" ca="1" si="71"/>
        <v>0</v>
      </c>
      <c r="H160" s="676" t="e">
        <f t="shared" ca="1" si="66"/>
        <v>#N/A</v>
      </c>
      <c r="I160" s="676" t="e">
        <f t="shared" ca="1" si="72"/>
        <v>#N/A</v>
      </c>
      <c r="K160" s="676"/>
      <c r="L160" s="676"/>
      <c r="M160" s="676"/>
      <c r="N160" s="676"/>
      <c r="O160" s="676"/>
      <c r="P160" s="676"/>
      <c r="Q160" s="676"/>
      <c r="R160" s="676"/>
      <c r="S160" s="676"/>
      <c r="T160" s="676"/>
      <c r="U160" s="676"/>
      <c r="V160" s="676"/>
      <c r="W160" s="676">
        <f t="shared" si="74"/>
        <v>0</v>
      </c>
      <c r="Y160" s="688">
        <f>IFERROR(VLOOKUP($A160,'[91]1月'!$A:$H,8,0),0)</f>
        <v>0</v>
      </c>
      <c r="Z160" s="688">
        <f>IFERROR(VLOOKUP($A160,'[91]2月'!$A:$H,8,0),0)</f>
        <v>0</v>
      </c>
      <c r="AA160" s="688">
        <f>IFERROR(VLOOKUP($A160,'[91]3月'!$A:$H,8,0),0)</f>
        <v>0</v>
      </c>
      <c r="AB160" s="688">
        <f>IFERROR(VLOOKUP($A160,'[91]4月'!$A:$H,8,0),0)</f>
        <v>0</v>
      </c>
      <c r="AC160" s="688">
        <f>IFERROR(VLOOKUP($A160,'[91]5月'!$A:$H,8,0),0)</f>
        <v>0</v>
      </c>
      <c r="AD160" s="688">
        <f>IFERROR(VLOOKUP($A160,'[91]6月'!$A:$H,8,0),0)</f>
        <v>0</v>
      </c>
      <c r="AE160" s="688">
        <f>IFERROR(VLOOKUP($A160,'[91]7月'!$A:$H,8,0),0)</f>
        <v>0</v>
      </c>
      <c r="AF160" s="688">
        <f>IFERROR(VLOOKUP($A160,'[91]8月'!$A:$H,8,0),0)</f>
        <v>0</v>
      </c>
      <c r="AG160" s="688">
        <f>IFERROR(VLOOKUP($A160,'[91]9月'!$A:$H,8,0),0)</f>
        <v>0</v>
      </c>
      <c r="AH160" s="688">
        <f>IFERROR(VLOOKUP($A160,'[91]10月'!$A:$H,8,0),0)</f>
        <v>0</v>
      </c>
      <c r="AI160" s="688">
        <f>IFERROR(VLOOKUP($A160,'[91]11月'!$A:$H,8,0),0)</f>
        <v>0</v>
      </c>
      <c r="AJ160" s="688">
        <f>IFERROR(VLOOKUP($A160,'[91]12月'!$A:$H,8,0),0)</f>
        <v>0</v>
      </c>
      <c r="AK160" s="688">
        <f t="shared" si="73"/>
        <v>0</v>
      </c>
    </row>
    <row r="161" spans="1:37" ht="13.5" customHeight="1">
      <c r="A161" s="653" t="str">
        <f>'Budget-合并'!A161</f>
        <v>6603.02.02.02</v>
      </c>
      <c r="B161" s="653" t="str">
        <f>'Budget-合并'!B161</f>
        <v>旭智资本（香港）--冯氏大厦</v>
      </c>
      <c r="C161" s="687" t="str">
        <f>'Budget-合并'!C161</f>
        <v>Interest Expense Lease</v>
      </c>
      <c r="D161" s="676">
        <f t="shared" si="69"/>
        <v>0</v>
      </c>
      <c r="E161" s="676" t="e">
        <f t="shared" si="70"/>
        <v>#N/A</v>
      </c>
      <c r="F161" s="676" t="e">
        <f t="shared" si="65"/>
        <v>#N/A</v>
      </c>
      <c r="G161" s="676">
        <f t="shared" ca="1" si="71"/>
        <v>0</v>
      </c>
      <c r="H161" s="676" t="e">
        <f t="shared" ca="1" si="66"/>
        <v>#N/A</v>
      </c>
      <c r="I161" s="676" t="e">
        <f t="shared" ca="1" si="72"/>
        <v>#N/A</v>
      </c>
      <c r="K161" s="676"/>
      <c r="L161" s="676"/>
      <c r="M161" s="676"/>
      <c r="N161" s="676"/>
      <c r="O161" s="676"/>
      <c r="P161" s="676"/>
      <c r="Q161" s="676"/>
      <c r="R161" s="676"/>
      <c r="S161" s="676"/>
      <c r="T161" s="676"/>
      <c r="U161" s="676"/>
      <c r="V161" s="676"/>
      <c r="W161" s="676">
        <f t="shared" si="74"/>
        <v>0</v>
      </c>
      <c r="Y161" s="688">
        <f>IFERROR(VLOOKUP($A161,'[91]1月'!$A:$H,8,0),0)</f>
        <v>0</v>
      </c>
      <c r="Z161" s="688">
        <f>IFERROR(VLOOKUP($A161,'[91]2月'!$A:$H,8,0),0)</f>
        <v>0</v>
      </c>
      <c r="AA161" s="688">
        <f>IFERROR(VLOOKUP($A161,'[91]3月'!$A:$H,8,0),0)</f>
        <v>0</v>
      </c>
      <c r="AB161" s="688">
        <f>IFERROR(VLOOKUP($A161,'[91]4月'!$A:$H,8,0),0)</f>
        <v>0</v>
      </c>
      <c r="AC161" s="688">
        <f>IFERROR(VLOOKUP($A161,'[91]5月'!$A:$H,8,0),0)</f>
        <v>0</v>
      </c>
      <c r="AD161" s="688">
        <f>IFERROR(VLOOKUP($A161,'[91]6月'!$A:$H,8,0),0)</f>
        <v>0</v>
      </c>
      <c r="AE161" s="688">
        <f>IFERROR(VLOOKUP($A161,'[91]7月'!$A:$H,8,0),0)</f>
        <v>0</v>
      </c>
      <c r="AF161" s="688">
        <f>IFERROR(VLOOKUP($A161,'[91]8月'!$A:$H,8,0),0)</f>
        <v>0</v>
      </c>
      <c r="AG161" s="688">
        <f>IFERROR(VLOOKUP($A161,'[91]9月'!$A:$H,8,0),0)</f>
        <v>0</v>
      </c>
      <c r="AH161" s="688">
        <f>IFERROR(VLOOKUP($A161,'[91]10月'!$A:$H,8,0),0)</f>
        <v>0</v>
      </c>
      <c r="AI161" s="688">
        <f>IFERROR(VLOOKUP($A161,'[91]11月'!$A:$H,8,0),0)</f>
        <v>0</v>
      </c>
      <c r="AJ161" s="688">
        <f>IFERROR(VLOOKUP($A161,'[91]12月'!$A:$H,8,0),0)</f>
        <v>0</v>
      </c>
      <c r="AK161" s="688">
        <f t="shared" si="73"/>
        <v>0</v>
      </c>
    </row>
    <row r="162" spans="1:37" ht="13.5" customHeight="1">
      <c r="A162" s="653" t="str">
        <f>'Budget-合并'!A162</f>
        <v>6603.02.03</v>
      </c>
      <c r="B162" s="653" t="str">
        <f>'Budget-合并'!B162</f>
        <v>注册地址</v>
      </c>
      <c r="C162" s="687">
        <f>'Budget-合并'!C162</f>
        <v>0</v>
      </c>
      <c r="D162" s="676">
        <f t="shared" si="69"/>
        <v>0</v>
      </c>
      <c r="E162" s="676" t="e">
        <f t="shared" si="70"/>
        <v>#N/A</v>
      </c>
      <c r="F162" s="676" t="e">
        <f t="shared" si="65"/>
        <v>#N/A</v>
      </c>
      <c r="G162" s="676">
        <f t="shared" ca="1" si="71"/>
        <v>0</v>
      </c>
      <c r="H162" s="676" t="e">
        <f t="shared" ca="1" si="66"/>
        <v>#N/A</v>
      </c>
      <c r="I162" s="676" t="e">
        <f t="shared" ca="1" si="72"/>
        <v>#N/A</v>
      </c>
      <c r="K162" s="676">
        <f>SUM(K163:K164)</f>
        <v>0</v>
      </c>
      <c r="L162" s="676">
        <f t="shared" ref="L162:V162" si="76">SUM(L163:L164)</f>
        <v>0</v>
      </c>
      <c r="M162" s="676">
        <f t="shared" si="76"/>
        <v>0</v>
      </c>
      <c r="N162" s="676">
        <f t="shared" si="76"/>
        <v>0</v>
      </c>
      <c r="O162" s="676">
        <f t="shared" si="76"/>
        <v>0</v>
      </c>
      <c r="P162" s="676">
        <f t="shared" si="76"/>
        <v>0</v>
      </c>
      <c r="Q162" s="676">
        <f t="shared" si="76"/>
        <v>0</v>
      </c>
      <c r="R162" s="676">
        <f t="shared" si="76"/>
        <v>0</v>
      </c>
      <c r="S162" s="676">
        <f t="shared" si="76"/>
        <v>0</v>
      </c>
      <c r="T162" s="676">
        <f t="shared" si="76"/>
        <v>0</v>
      </c>
      <c r="U162" s="676">
        <f t="shared" si="76"/>
        <v>0</v>
      </c>
      <c r="V162" s="676">
        <f t="shared" si="76"/>
        <v>0</v>
      </c>
      <c r="W162" s="676">
        <f t="shared" si="74"/>
        <v>0</v>
      </c>
      <c r="Y162" s="688">
        <f>IFERROR(VLOOKUP($A162,'[91]1月'!$A:$H,8,0),0)</f>
        <v>0</v>
      </c>
      <c r="Z162" s="688">
        <f>IFERROR(VLOOKUP($A162,'[91]2月'!$A:$H,8,0),0)</f>
        <v>0</v>
      </c>
      <c r="AA162" s="688">
        <f>IFERROR(VLOOKUP($A162,'[91]3月'!$A:$H,8,0),0)</f>
        <v>0</v>
      </c>
      <c r="AB162" s="688">
        <f>IFERROR(VLOOKUP($A162,'[91]4月'!$A:$H,8,0),0)</f>
        <v>0</v>
      </c>
      <c r="AC162" s="688">
        <f>IFERROR(VLOOKUP($A162,'[91]5月'!$A:$H,8,0),0)</f>
        <v>0</v>
      </c>
      <c r="AD162" s="688">
        <f>IFERROR(VLOOKUP($A162,'[91]6月'!$A:$H,8,0),0)</f>
        <v>0</v>
      </c>
      <c r="AE162" s="688">
        <f>IFERROR(VLOOKUP($A162,'[91]7月'!$A:$H,8,0),0)</f>
        <v>0</v>
      </c>
      <c r="AF162" s="688">
        <f>IFERROR(VLOOKUP($A162,'[91]8月'!$A:$H,8,0),0)</f>
        <v>0</v>
      </c>
      <c r="AG162" s="688">
        <f>IFERROR(VLOOKUP($A162,'[91]9月'!$A:$H,8,0),0)</f>
        <v>0</v>
      </c>
      <c r="AH162" s="688">
        <f>IFERROR(VLOOKUP($A162,'[91]10月'!$A:$H,8,0),0)</f>
        <v>0</v>
      </c>
      <c r="AI162" s="688">
        <f>IFERROR(VLOOKUP($A162,'[91]11月'!$A:$H,8,0),0)</f>
        <v>0</v>
      </c>
      <c r="AJ162" s="688">
        <f>IFERROR(VLOOKUP($A162,'[91]12月'!$A:$H,8,0),0)</f>
        <v>0</v>
      </c>
      <c r="AK162" s="688">
        <f t="shared" si="73"/>
        <v>0</v>
      </c>
    </row>
    <row r="163" spans="1:37" ht="13.5" customHeight="1">
      <c r="A163" s="653" t="str">
        <f>'Budget-合并'!A163</f>
        <v>6603.02.03.01</v>
      </c>
      <c r="B163" s="653" t="str">
        <f>'Budget-合并'!B163</f>
        <v>旭智私募--前海壹号B座701E</v>
      </c>
      <c r="C163" s="687">
        <f>'Budget-合并'!C163</f>
        <v>0</v>
      </c>
      <c r="D163" s="676">
        <f t="shared" si="69"/>
        <v>0</v>
      </c>
      <c r="E163" s="676" t="e">
        <f t="shared" si="70"/>
        <v>#N/A</v>
      </c>
      <c r="F163" s="676" t="e">
        <f t="shared" si="65"/>
        <v>#N/A</v>
      </c>
      <c r="G163" s="676">
        <f t="shared" ca="1" si="71"/>
        <v>0</v>
      </c>
      <c r="H163" s="676" t="e">
        <f t="shared" ca="1" si="66"/>
        <v>#N/A</v>
      </c>
      <c r="I163" s="676" t="e">
        <f t="shared" ca="1" si="72"/>
        <v>#N/A</v>
      </c>
      <c r="K163" s="676"/>
      <c r="L163" s="676"/>
      <c r="M163" s="676"/>
      <c r="N163" s="676"/>
      <c r="O163" s="676"/>
      <c r="P163" s="676"/>
      <c r="Q163" s="676"/>
      <c r="R163" s="676"/>
      <c r="S163" s="676"/>
      <c r="T163" s="676"/>
      <c r="U163" s="676"/>
      <c r="V163" s="676"/>
      <c r="W163" s="676">
        <f t="shared" si="74"/>
        <v>0</v>
      </c>
      <c r="Y163" s="688">
        <f>IFERROR(VLOOKUP($A163,'[91]1月'!$A:$H,8,0),0)</f>
        <v>0</v>
      </c>
      <c r="Z163" s="688">
        <f>IFERROR(VLOOKUP($A163,'[91]2月'!$A:$H,8,0),0)</f>
        <v>0</v>
      </c>
      <c r="AA163" s="688">
        <f>IFERROR(VLOOKUP($A163,'[91]3月'!$A:$H,8,0),0)</f>
        <v>0</v>
      </c>
      <c r="AB163" s="688">
        <f>IFERROR(VLOOKUP($A163,'[91]4月'!$A:$H,8,0),0)</f>
        <v>0</v>
      </c>
      <c r="AC163" s="688">
        <f>IFERROR(VLOOKUP($A163,'[91]5月'!$A:$H,8,0),0)</f>
        <v>0</v>
      </c>
      <c r="AD163" s="688">
        <f>IFERROR(VLOOKUP($A163,'[91]6月'!$A:$H,8,0),0)</f>
        <v>0</v>
      </c>
      <c r="AE163" s="688">
        <f>IFERROR(VLOOKUP($A163,'[91]7月'!$A:$H,8,0),0)</f>
        <v>0</v>
      </c>
      <c r="AF163" s="688">
        <f>IFERROR(VLOOKUP($A163,'[91]8月'!$A:$H,8,0),0)</f>
        <v>0</v>
      </c>
      <c r="AG163" s="688">
        <f>IFERROR(VLOOKUP($A163,'[91]9月'!$A:$H,8,0),0)</f>
        <v>0</v>
      </c>
      <c r="AH163" s="688">
        <f>IFERROR(VLOOKUP($A163,'[91]10月'!$A:$H,8,0),0)</f>
        <v>0</v>
      </c>
      <c r="AI163" s="688">
        <f>IFERROR(VLOOKUP($A163,'[91]11月'!$A:$H,8,0),0)</f>
        <v>0</v>
      </c>
      <c r="AJ163" s="688">
        <f>IFERROR(VLOOKUP($A163,'[91]12月'!$A:$H,8,0),0)</f>
        <v>0</v>
      </c>
      <c r="AK163" s="688">
        <f t="shared" si="73"/>
        <v>0</v>
      </c>
    </row>
    <row r="164" spans="1:37" ht="13.5" customHeight="1">
      <c r="A164" s="653" t="str">
        <f>'Budget-合并'!A164</f>
        <v>6603.02.03.02</v>
      </c>
      <c r="B164" s="653" t="str">
        <f>'Budget-合并'!B164</f>
        <v>广州旭智--802房F028</v>
      </c>
      <c r="C164" s="687">
        <f>'Budget-合并'!C164</f>
        <v>0</v>
      </c>
      <c r="D164" s="676">
        <f t="shared" si="69"/>
        <v>0</v>
      </c>
      <c r="E164" s="676" t="e">
        <f t="shared" si="70"/>
        <v>#N/A</v>
      </c>
      <c r="F164" s="676" t="e">
        <f t="shared" si="65"/>
        <v>#N/A</v>
      </c>
      <c r="G164" s="676">
        <f t="shared" ca="1" si="71"/>
        <v>0</v>
      </c>
      <c r="H164" s="676" t="e">
        <f t="shared" ca="1" si="66"/>
        <v>#N/A</v>
      </c>
      <c r="I164" s="676" t="e">
        <f t="shared" ca="1" si="72"/>
        <v>#N/A</v>
      </c>
      <c r="K164" s="676"/>
      <c r="L164" s="676"/>
      <c r="M164" s="676"/>
      <c r="N164" s="676"/>
      <c r="O164" s="676"/>
      <c r="P164" s="676"/>
      <c r="Q164" s="676"/>
      <c r="R164" s="676"/>
      <c r="S164" s="676"/>
      <c r="T164" s="676"/>
      <c r="U164" s="676"/>
      <c r="V164" s="676"/>
      <c r="W164" s="676">
        <f t="shared" si="74"/>
        <v>0</v>
      </c>
      <c r="Y164" s="688">
        <f>IFERROR(VLOOKUP($A164,'[91]1月'!$A:$H,8,0),0)</f>
        <v>0</v>
      </c>
      <c r="Z164" s="688">
        <f>IFERROR(VLOOKUP($A164,'[91]2月'!$A:$H,8,0),0)</f>
        <v>0</v>
      </c>
      <c r="AA164" s="688">
        <f>IFERROR(VLOOKUP($A164,'[91]3月'!$A:$H,8,0),0)</f>
        <v>0</v>
      </c>
      <c r="AB164" s="688">
        <f>IFERROR(VLOOKUP($A164,'[91]4月'!$A:$H,8,0),0)</f>
        <v>0</v>
      </c>
      <c r="AC164" s="688">
        <f>IFERROR(VLOOKUP($A164,'[91]5月'!$A:$H,8,0),0)</f>
        <v>0</v>
      </c>
      <c r="AD164" s="688">
        <f>IFERROR(VLOOKUP($A164,'[91]6月'!$A:$H,8,0),0)</f>
        <v>0</v>
      </c>
      <c r="AE164" s="688">
        <f>IFERROR(VLOOKUP($A164,'[91]7月'!$A:$H,8,0),0)</f>
        <v>0</v>
      </c>
      <c r="AF164" s="688">
        <f>IFERROR(VLOOKUP($A164,'[91]8月'!$A:$H,8,0),0)</f>
        <v>0</v>
      </c>
      <c r="AG164" s="688">
        <f>IFERROR(VLOOKUP($A164,'[91]9月'!$A:$H,8,0),0)</f>
        <v>0</v>
      </c>
      <c r="AH164" s="688">
        <f>IFERROR(VLOOKUP($A164,'[91]10月'!$A:$H,8,0),0)</f>
        <v>0</v>
      </c>
      <c r="AI164" s="688">
        <f>IFERROR(VLOOKUP($A164,'[91]11月'!$A:$H,8,0),0)</f>
        <v>0</v>
      </c>
      <c r="AJ164" s="688">
        <f>IFERROR(VLOOKUP($A164,'[91]12月'!$A:$H,8,0),0)</f>
        <v>0</v>
      </c>
      <c r="AK164" s="688">
        <f t="shared" si="73"/>
        <v>0</v>
      </c>
    </row>
    <row r="165" spans="1:37" ht="13.5" customHeight="1">
      <c r="A165" s="653" t="str">
        <f>'Budget-合并'!A165</f>
        <v>6603.03</v>
      </c>
      <c r="B165" s="653" t="str">
        <f>'Budget-合并'!B165</f>
        <v>银行手续费</v>
      </c>
      <c r="C165" s="687" t="str">
        <f>'Budget-合并'!C165</f>
        <v>Bank Charges</v>
      </c>
      <c r="D165" s="676">
        <f t="shared" si="69"/>
        <v>177.99799999999999</v>
      </c>
      <c r="E165" s="676" t="e">
        <f t="shared" si="70"/>
        <v>#N/A</v>
      </c>
      <c r="F165" s="676" t="e">
        <f t="shared" si="65"/>
        <v>#N/A</v>
      </c>
      <c r="G165" s="676">
        <f t="shared" ca="1" si="71"/>
        <v>177.99799999999999</v>
      </c>
      <c r="H165" s="676" t="e">
        <f t="shared" ca="1" si="66"/>
        <v>#N/A</v>
      </c>
      <c r="I165" s="676" t="e">
        <f t="shared" ca="1" si="72"/>
        <v>#N/A</v>
      </c>
      <c r="K165" s="676">
        <f>SUMIFS('Other Exp'!AG$3:AG$196,'Other Exp'!$B$3:$B$196,$D$1,'Other Exp'!$C$3:$C$196,$A165)</f>
        <v>177.99799999999999</v>
      </c>
      <c r="L165" s="676">
        <f>SUMIFS('Other Exp'!AH$3:AH$196,'Other Exp'!$B$3:$B$196,$D$1,'Other Exp'!$C$3:$C$196,$A165)</f>
        <v>176.44</v>
      </c>
      <c r="M165" s="676">
        <f>SUMIFS('Other Exp'!AI$3:AI$196,'Other Exp'!$B$3:$B$196,$D$1,'Other Exp'!$C$3:$C$196,$A165)</f>
        <v>176.44</v>
      </c>
      <c r="N165" s="676">
        <f>SUMIFS('Other Exp'!AJ$3:AJ$196,'Other Exp'!$B$3:$B$196,$D$1,'Other Exp'!$C$3:$C$196,$A165)</f>
        <v>176.44</v>
      </c>
      <c r="O165" s="676">
        <f>SUMIFS('Other Exp'!AK$3:AK$196,'Other Exp'!$B$3:$B$196,$D$1,'Other Exp'!$C$3:$C$196,$A165)</f>
        <v>176.44</v>
      </c>
      <c r="P165" s="676">
        <f>SUMIFS('Other Exp'!AL$3:AL$196,'Other Exp'!$B$3:$B$196,$D$1,'Other Exp'!$C$3:$C$196,$A165)</f>
        <v>176.44</v>
      </c>
      <c r="Q165" s="676">
        <f>SUMIFS('Other Exp'!AM$3:AM$196,'Other Exp'!$B$3:$B$196,$D$1,'Other Exp'!$C$3:$C$196,$A165)</f>
        <v>176.44</v>
      </c>
      <c r="R165" s="676">
        <f>SUMIFS('Other Exp'!AN$3:AN$196,'Other Exp'!$B$3:$B$196,$D$1,'Other Exp'!$C$3:$C$196,$A165)</f>
        <v>176.44</v>
      </c>
      <c r="S165" s="676">
        <f>SUMIFS('Other Exp'!AO$3:AO$196,'Other Exp'!$B$3:$B$196,$D$1,'Other Exp'!$C$3:$C$196,$A165)</f>
        <v>176.44</v>
      </c>
      <c r="T165" s="676">
        <f>SUMIFS('Other Exp'!AP$3:AP$196,'Other Exp'!$B$3:$B$196,$D$1,'Other Exp'!$C$3:$C$196,$A165)</f>
        <v>176.44</v>
      </c>
      <c r="U165" s="676">
        <f>SUMIFS('Other Exp'!AQ$3:AQ$196,'Other Exp'!$B$3:$B$196,$D$1,'Other Exp'!$C$3:$C$196,$A165)</f>
        <v>176.44</v>
      </c>
      <c r="V165" s="676">
        <f>SUMIFS('Other Exp'!AR$3:AR$196,'Other Exp'!$B$3:$B$196,$D$1,'Other Exp'!$C$3:$C$196,$A165)</f>
        <v>176.44</v>
      </c>
      <c r="W165" s="676">
        <f t="shared" si="74"/>
        <v>2118.8380000000002</v>
      </c>
      <c r="Y165" s="688">
        <f>IFERROR(VLOOKUP($A165,'[91]1月'!$A:$H,8,0),0)</f>
        <v>12.1</v>
      </c>
      <c r="Z165" s="688">
        <f>IFERROR(VLOOKUP($A165,'[91]2月'!$A:$H,8,0),0)</f>
        <v>651.6</v>
      </c>
      <c r="AA165" s="688">
        <f>IFERROR(VLOOKUP($A165,'[91]3月'!$A:$H,8,0),0)</f>
        <v>10.5</v>
      </c>
      <c r="AB165" s="688">
        <f>IFERROR(VLOOKUP($A165,'[91]4月'!$A:$H,8,0),0)</f>
        <v>8.8000000000000007</v>
      </c>
      <c r="AC165" s="688">
        <f>IFERROR(VLOOKUP($A165,'[91]5月'!$A:$H,8,0),0)</f>
        <v>4.4000000000000004</v>
      </c>
      <c r="AD165" s="688">
        <f>IFERROR(VLOOKUP($A165,'[91]6月'!$A:$H,8,0),0)</f>
        <v>8.8000000000000007</v>
      </c>
      <c r="AE165" s="688">
        <f>IFERROR(VLOOKUP($A165,'[91]7月'!$A:$H,8,0),0)</f>
        <v>209.9</v>
      </c>
      <c r="AF165" s="688">
        <f>IFERROR(VLOOKUP($A165,'[91]8月'!$A:$H,8,0),0)</f>
        <v>204.4</v>
      </c>
      <c r="AG165" s="688">
        <f>IFERROR(VLOOKUP($A165,'[91]9月'!$A:$H,8,0),0)</f>
        <v>209.4</v>
      </c>
      <c r="AH165" s="688">
        <f>IFERROR(VLOOKUP($A165,'[91]10月'!$A:$H,8,0),0)</f>
        <v>214.9</v>
      </c>
      <c r="AI165" s="688">
        <f>IFERROR(VLOOKUP($A165,'[91]11月'!$A:$H,8,0),0)</f>
        <v>790.56</v>
      </c>
      <c r="AJ165" s="688">
        <f>IFERROR(VLOOKUP($A165,'[91]12月'!$A:$H,8,0),0)</f>
        <v>17.7</v>
      </c>
      <c r="AK165" s="688">
        <f t="shared" si="73"/>
        <v>2343.06</v>
      </c>
    </row>
    <row r="166" spans="1:37" ht="13.5" customHeight="1">
      <c r="A166" s="653" t="str">
        <f>'Budget-合并'!A166</f>
        <v>6603.04</v>
      </c>
      <c r="B166" s="653" t="str">
        <f>'Budget-合并'!B166</f>
        <v>利息收入</v>
      </c>
      <c r="C166" s="687" t="str">
        <f>'Budget-合并'!C166</f>
        <v>Bank Interest Income</v>
      </c>
      <c r="D166" s="676">
        <f t="shared" si="69"/>
        <v>0</v>
      </c>
      <c r="E166" s="676" t="e">
        <f t="shared" si="70"/>
        <v>#N/A</v>
      </c>
      <c r="F166" s="676" t="e">
        <f t="shared" si="65"/>
        <v>#N/A</v>
      </c>
      <c r="G166" s="676">
        <f t="shared" ca="1" si="71"/>
        <v>0</v>
      </c>
      <c r="H166" s="676" t="e">
        <f t="shared" ca="1" si="66"/>
        <v>#N/A</v>
      </c>
      <c r="I166" s="676" t="e">
        <f t="shared" ca="1" si="72"/>
        <v>#N/A</v>
      </c>
      <c r="K166" s="676"/>
      <c r="L166" s="676"/>
      <c r="M166" s="676"/>
      <c r="N166" s="676"/>
      <c r="O166" s="676"/>
      <c r="P166" s="676"/>
      <c r="Q166" s="676"/>
      <c r="R166" s="676"/>
      <c r="S166" s="676"/>
      <c r="T166" s="676"/>
      <c r="U166" s="676"/>
      <c r="V166" s="676"/>
      <c r="W166" s="676">
        <f t="shared" si="74"/>
        <v>0</v>
      </c>
      <c r="Y166" s="688">
        <f>IFERROR(VLOOKUP($A166,'[91]1月'!$A:$H,8,0),0)</f>
        <v>-262.02999999999997</v>
      </c>
      <c r="Z166" s="688">
        <f>IFERROR(VLOOKUP($A166,'[91]2月'!$A:$H,8,0),0)</f>
        <v>-533.72</v>
      </c>
      <c r="AA166" s="688">
        <f>IFERROR(VLOOKUP($A166,'[91]3月'!$A:$H,8,0),0)</f>
        <v>-7.92</v>
      </c>
      <c r="AB166" s="688">
        <f>IFERROR(VLOOKUP($A166,'[91]4月'!$A:$H,8,0),0)</f>
        <v>-8.84</v>
      </c>
      <c r="AC166" s="688">
        <f>IFERROR(VLOOKUP($A166,'[91]5月'!$A:$H,8,0),0)</f>
        <v>-4.12</v>
      </c>
      <c r="AD166" s="688">
        <f>IFERROR(VLOOKUP($A166,'[91]6月'!$A:$H,8,0),0)</f>
        <v>-193.57</v>
      </c>
      <c r="AE166" s="688">
        <f>IFERROR(VLOOKUP($A166,'[91]7月'!$A:$H,8,0),0)</f>
        <v>-1.77</v>
      </c>
      <c r="AF166" s="688">
        <f>IFERROR(VLOOKUP($A166,'[91]8月'!$A:$H,8,0),0)</f>
        <v>-2.2000000000000002</v>
      </c>
      <c r="AG166" s="688">
        <f>IFERROR(VLOOKUP($A166,'[91]9月'!$A:$H,8,0),0)</f>
        <v>-1.74</v>
      </c>
      <c r="AH166" s="688">
        <f>IFERROR(VLOOKUP($A166,'[91]10月'!$A:$H,8,0),0)</f>
        <v>-5.35</v>
      </c>
      <c r="AI166" s="688">
        <f>IFERROR(VLOOKUP($A166,'[91]11月'!$A:$H,8,0),0)</f>
        <v>-1.28</v>
      </c>
      <c r="AJ166" s="688">
        <f>IFERROR(VLOOKUP($A166,'[91]12月'!$A:$H,8,0),0)</f>
        <v>-5.67</v>
      </c>
      <c r="AK166" s="688">
        <f t="shared" si="73"/>
        <v>-1028.21</v>
      </c>
    </row>
    <row r="167" spans="1:37" ht="13.5" customHeight="1">
      <c r="A167" s="663" t="str">
        <f>'Budget-合并'!A167</f>
        <v>6603.05</v>
      </c>
      <c r="B167" s="663" t="str">
        <f>'Budget-合并'!B167</f>
        <v>利息支出</v>
      </c>
      <c r="C167" s="687">
        <f>'Budget-合并'!C167</f>
        <v>0</v>
      </c>
      <c r="D167" s="676">
        <f t="shared" si="69"/>
        <v>0</v>
      </c>
      <c r="E167" s="676" t="e">
        <f t="shared" si="70"/>
        <v>#N/A</v>
      </c>
      <c r="F167" s="676" t="e">
        <f t="shared" si="65"/>
        <v>#N/A</v>
      </c>
      <c r="G167" s="676">
        <f t="shared" ca="1" si="71"/>
        <v>0</v>
      </c>
      <c r="H167" s="676" t="e">
        <f t="shared" ca="1" si="66"/>
        <v>#N/A</v>
      </c>
      <c r="I167" s="676" t="e">
        <f t="shared" ca="1" si="72"/>
        <v>#N/A</v>
      </c>
      <c r="K167" s="676">
        <f>SUM(K168:K170)</f>
        <v>0</v>
      </c>
      <c r="L167" s="676">
        <f t="shared" ref="L167:V167" si="77">SUM(L168:L170)</f>
        <v>0</v>
      </c>
      <c r="M167" s="676">
        <f t="shared" si="77"/>
        <v>0</v>
      </c>
      <c r="N167" s="676">
        <f t="shared" si="77"/>
        <v>0</v>
      </c>
      <c r="O167" s="676">
        <f t="shared" si="77"/>
        <v>0</v>
      </c>
      <c r="P167" s="676">
        <f t="shared" si="77"/>
        <v>0</v>
      </c>
      <c r="Q167" s="676">
        <f t="shared" si="77"/>
        <v>0</v>
      </c>
      <c r="R167" s="676">
        <f t="shared" si="77"/>
        <v>0</v>
      </c>
      <c r="S167" s="676">
        <f t="shared" si="77"/>
        <v>0</v>
      </c>
      <c r="T167" s="676">
        <f t="shared" si="77"/>
        <v>0</v>
      </c>
      <c r="U167" s="676">
        <f t="shared" si="77"/>
        <v>0</v>
      </c>
      <c r="V167" s="676">
        <f t="shared" si="77"/>
        <v>0</v>
      </c>
      <c r="W167" s="676">
        <f t="shared" si="74"/>
        <v>0</v>
      </c>
      <c r="Y167" s="688">
        <f>IFERROR(VLOOKUP($A167,'[91]1月'!$A:$H,8,0),0)</f>
        <v>0</v>
      </c>
      <c r="Z167" s="688">
        <f>IFERROR(VLOOKUP($A167,'[91]2月'!$A:$H,8,0),0)</f>
        <v>0</v>
      </c>
      <c r="AA167" s="688">
        <f>IFERROR(VLOOKUP($A167,'[91]3月'!$A:$H,8,0),0)</f>
        <v>0</v>
      </c>
      <c r="AB167" s="688">
        <f>IFERROR(VLOOKUP($A167,'[91]4月'!$A:$H,8,0),0)</f>
        <v>0</v>
      </c>
      <c r="AC167" s="688">
        <f>IFERROR(VLOOKUP($A167,'[91]5月'!$A:$H,8,0),0)</f>
        <v>0</v>
      </c>
      <c r="AD167" s="688">
        <f>IFERROR(VLOOKUP($A167,'[91]6月'!$A:$H,8,0),0)</f>
        <v>0</v>
      </c>
      <c r="AE167" s="688">
        <f>IFERROR(VLOOKUP($A167,'[91]7月'!$A:$H,8,0),0)</f>
        <v>0</v>
      </c>
      <c r="AF167" s="688">
        <f>IFERROR(VLOOKUP($A167,'[91]8月'!$A:$H,8,0),0)</f>
        <v>0</v>
      </c>
      <c r="AG167" s="688">
        <f>IFERROR(VLOOKUP($A167,'[91]9月'!$A:$H,8,0),0)</f>
        <v>0</v>
      </c>
      <c r="AH167" s="688">
        <f>IFERROR(VLOOKUP($A167,'[91]10月'!$A:$H,8,0),0)</f>
        <v>0</v>
      </c>
      <c r="AI167" s="688">
        <f>IFERROR(VLOOKUP($A167,'[91]11月'!$A:$H,8,0),0)</f>
        <v>0</v>
      </c>
      <c r="AJ167" s="688">
        <f>IFERROR(VLOOKUP($A167,'[91]12月'!$A:$H,8,0),0)</f>
        <v>690.41</v>
      </c>
      <c r="AK167" s="688">
        <f t="shared" si="73"/>
        <v>690.41</v>
      </c>
    </row>
    <row r="168" spans="1:37" ht="13.5" customHeight="1">
      <c r="A168" s="653" t="str">
        <f>'Budget-合并'!A168</f>
        <v>6603.05.01</v>
      </c>
      <c r="B168" s="653" t="str">
        <f>'Budget-合并'!B168</f>
        <v>兴业金融租赁有限责任公司</v>
      </c>
      <c r="C168" s="687">
        <f>'Budget-合并'!C168</f>
        <v>0</v>
      </c>
      <c r="D168" s="676">
        <f t="shared" si="69"/>
        <v>0</v>
      </c>
      <c r="E168" s="676" t="e">
        <f t="shared" si="70"/>
        <v>#N/A</v>
      </c>
      <c r="F168" s="676" t="e">
        <f t="shared" si="65"/>
        <v>#N/A</v>
      </c>
      <c r="G168" s="676">
        <f t="shared" ca="1" si="71"/>
        <v>0</v>
      </c>
      <c r="H168" s="676" t="e">
        <f t="shared" ca="1" si="66"/>
        <v>#N/A</v>
      </c>
      <c r="I168" s="676" t="e">
        <f t="shared" ca="1" si="72"/>
        <v>#N/A</v>
      </c>
      <c r="K168" s="676"/>
      <c r="L168" s="676"/>
      <c r="M168" s="676"/>
      <c r="N168" s="676"/>
      <c r="O168" s="676"/>
      <c r="P168" s="676"/>
      <c r="Q168" s="676"/>
      <c r="R168" s="676"/>
      <c r="S168" s="676"/>
      <c r="T168" s="676"/>
      <c r="U168" s="676"/>
      <c r="V168" s="676"/>
      <c r="W168" s="676">
        <f t="shared" si="74"/>
        <v>0</v>
      </c>
      <c r="Y168" s="688">
        <f>IFERROR(VLOOKUP($A168,'[91]1月'!$A:$H,8,0),0)</f>
        <v>0</v>
      </c>
      <c r="Z168" s="688">
        <f>IFERROR(VLOOKUP($A168,'[91]2月'!$A:$H,8,0),0)</f>
        <v>0</v>
      </c>
      <c r="AA168" s="688">
        <f>IFERROR(VLOOKUP($A168,'[91]3月'!$A:$H,8,0),0)</f>
        <v>0</v>
      </c>
      <c r="AB168" s="688">
        <f>IFERROR(VLOOKUP($A168,'[91]4月'!$A:$H,8,0),0)</f>
        <v>0</v>
      </c>
      <c r="AC168" s="688">
        <f>IFERROR(VLOOKUP($A168,'[91]5月'!$A:$H,8,0),0)</f>
        <v>0</v>
      </c>
      <c r="AD168" s="688">
        <f>IFERROR(VLOOKUP($A168,'[91]6月'!$A:$H,8,0),0)</f>
        <v>0</v>
      </c>
      <c r="AE168" s="688">
        <f>IFERROR(VLOOKUP($A168,'[91]7月'!$A:$H,8,0),0)</f>
        <v>0</v>
      </c>
      <c r="AF168" s="688">
        <f>IFERROR(VLOOKUP($A168,'[91]8月'!$A:$H,8,0),0)</f>
        <v>0</v>
      </c>
      <c r="AG168" s="688">
        <f>IFERROR(VLOOKUP($A168,'[91]9月'!$A:$H,8,0),0)</f>
        <v>0</v>
      </c>
      <c r="AH168" s="688">
        <f>IFERROR(VLOOKUP($A168,'[91]10月'!$A:$H,8,0),0)</f>
        <v>0</v>
      </c>
      <c r="AI168" s="688">
        <f>IFERROR(VLOOKUP($A168,'[91]11月'!$A:$H,8,0),0)</f>
        <v>0</v>
      </c>
      <c r="AJ168" s="688">
        <f>IFERROR(VLOOKUP($A168,'[91]12月'!$A:$H,8,0),0)</f>
        <v>0</v>
      </c>
      <c r="AK168" s="688">
        <f t="shared" si="73"/>
        <v>0</v>
      </c>
    </row>
    <row r="169" spans="1:37" ht="13.5" customHeight="1">
      <c r="A169" s="653" t="str">
        <f>'Budget-合并'!A169</f>
        <v>6603.05.02</v>
      </c>
      <c r="B169" s="653" t="str">
        <f>'Budget-合并'!B169</f>
        <v>湖南三一智慧新能源设计有限公司</v>
      </c>
      <c r="C169" s="687">
        <f>'Budget-合并'!C169</f>
        <v>0</v>
      </c>
      <c r="D169" s="676">
        <f t="shared" si="69"/>
        <v>0</v>
      </c>
      <c r="E169" s="676" t="e">
        <f t="shared" si="70"/>
        <v>#N/A</v>
      </c>
      <c r="F169" s="676" t="e">
        <f t="shared" si="65"/>
        <v>#N/A</v>
      </c>
      <c r="G169" s="676">
        <f t="shared" ca="1" si="71"/>
        <v>0</v>
      </c>
      <c r="H169" s="676" t="e">
        <f t="shared" ca="1" si="66"/>
        <v>#N/A</v>
      </c>
      <c r="I169" s="676" t="e">
        <f t="shared" ca="1" si="72"/>
        <v>#N/A</v>
      </c>
      <c r="K169" s="676"/>
      <c r="L169" s="676"/>
      <c r="M169" s="676"/>
      <c r="N169" s="676"/>
      <c r="O169" s="676"/>
      <c r="P169" s="676"/>
      <c r="Q169" s="676"/>
      <c r="R169" s="676"/>
      <c r="S169" s="676"/>
      <c r="T169" s="676"/>
      <c r="U169" s="676"/>
      <c r="V169" s="676"/>
      <c r="W169" s="676">
        <f t="shared" si="74"/>
        <v>0</v>
      </c>
      <c r="Y169" s="688">
        <f>IFERROR(VLOOKUP($A169,'[91]1月'!$A:$H,8,0),0)</f>
        <v>0</v>
      </c>
      <c r="Z169" s="688">
        <f>IFERROR(VLOOKUP($A169,'[91]2月'!$A:$H,8,0),0)</f>
        <v>0</v>
      </c>
      <c r="AA169" s="688">
        <f>IFERROR(VLOOKUP($A169,'[91]3月'!$A:$H,8,0),0)</f>
        <v>0</v>
      </c>
      <c r="AB169" s="688">
        <f>IFERROR(VLOOKUP($A169,'[91]4月'!$A:$H,8,0),0)</f>
        <v>0</v>
      </c>
      <c r="AC169" s="688">
        <f>IFERROR(VLOOKUP($A169,'[91]5月'!$A:$H,8,0),0)</f>
        <v>0</v>
      </c>
      <c r="AD169" s="688">
        <f>IFERROR(VLOOKUP($A169,'[91]6月'!$A:$H,8,0),0)</f>
        <v>0</v>
      </c>
      <c r="AE169" s="688">
        <f>IFERROR(VLOOKUP($A169,'[91]7月'!$A:$H,8,0),0)</f>
        <v>0</v>
      </c>
      <c r="AF169" s="688">
        <f>IFERROR(VLOOKUP($A169,'[91]8月'!$A:$H,8,0),0)</f>
        <v>0</v>
      </c>
      <c r="AG169" s="688">
        <f>IFERROR(VLOOKUP($A169,'[91]9月'!$A:$H,8,0),0)</f>
        <v>0</v>
      </c>
      <c r="AH169" s="688">
        <f>IFERROR(VLOOKUP($A169,'[91]10月'!$A:$H,8,0),0)</f>
        <v>0</v>
      </c>
      <c r="AI169" s="688">
        <f>IFERROR(VLOOKUP($A169,'[91]11月'!$A:$H,8,0),0)</f>
        <v>0</v>
      </c>
      <c r="AJ169" s="688">
        <f>IFERROR(VLOOKUP($A169,'[91]12月'!$A:$H,8,0),0)</f>
        <v>0</v>
      </c>
      <c r="AK169" s="688">
        <f t="shared" si="73"/>
        <v>0</v>
      </c>
    </row>
    <row r="170" spans="1:37" ht="13.5" customHeight="1">
      <c r="A170" s="653" t="str">
        <f>'Budget-合并'!A170</f>
        <v>6603.05.03</v>
      </c>
      <c r="B170" s="653" t="str">
        <f>'Budget-合并'!B170</f>
        <v>和谐天明投资管理(北京)有限公司</v>
      </c>
      <c r="C170" s="687"/>
      <c r="D170" s="676"/>
      <c r="E170" s="676" t="e">
        <f t="shared" si="70"/>
        <v>#N/A</v>
      </c>
      <c r="F170" s="676" t="e">
        <f t="shared" si="65"/>
        <v>#N/A</v>
      </c>
      <c r="G170" s="676"/>
      <c r="H170" s="676" t="e">
        <f t="shared" ca="1" si="66"/>
        <v>#N/A</v>
      </c>
      <c r="I170" s="676" t="e">
        <f t="shared" ca="1" si="72"/>
        <v>#N/A</v>
      </c>
      <c r="K170" s="676"/>
      <c r="L170" s="676"/>
      <c r="M170" s="676"/>
      <c r="N170" s="676"/>
      <c r="O170" s="676"/>
      <c r="P170" s="676"/>
      <c r="Q170" s="676"/>
      <c r="R170" s="676"/>
      <c r="S170" s="676"/>
      <c r="T170" s="676"/>
      <c r="U170" s="676"/>
      <c r="V170" s="676"/>
      <c r="W170" s="676"/>
      <c r="Y170" s="688">
        <f>IFERROR(VLOOKUP($A170,'[91]1月'!$A:$H,8,0),0)</f>
        <v>0</v>
      </c>
      <c r="Z170" s="688">
        <f>IFERROR(VLOOKUP($A170,'[91]2月'!$A:$H,8,0),0)</f>
        <v>0</v>
      </c>
      <c r="AA170" s="688">
        <f>IFERROR(VLOOKUP($A170,'[91]3月'!$A:$H,8,0),0)</f>
        <v>0</v>
      </c>
      <c r="AB170" s="688">
        <f>IFERROR(VLOOKUP($A170,'[91]4月'!$A:$H,8,0),0)</f>
        <v>0</v>
      </c>
      <c r="AC170" s="688">
        <f>IFERROR(VLOOKUP($A170,'[91]5月'!$A:$H,8,0),0)</f>
        <v>0</v>
      </c>
      <c r="AD170" s="688">
        <f>IFERROR(VLOOKUP($A170,'[91]6月'!$A:$H,8,0),0)</f>
        <v>0</v>
      </c>
      <c r="AE170" s="688">
        <f>IFERROR(VLOOKUP($A170,'[91]7月'!$A:$H,8,0),0)</f>
        <v>0</v>
      </c>
      <c r="AF170" s="688">
        <f>IFERROR(VLOOKUP($A170,'[91]8月'!$A:$H,8,0),0)</f>
        <v>0</v>
      </c>
      <c r="AG170" s="688">
        <f>IFERROR(VLOOKUP($A170,'[91]9月'!$A:$H,8,0),0)</f>
        <v>0</v>
      </c>
      <c r="AH170" s="688">
        <f>IFERROR(VLOOKUP($A170,'[91]10月'!$A:$H,8,0),0)</f>
        <v>0</v>
      </c>
      <c r="AI170" s="688">
        <f>IFERROR(VLOOKUP($A170,'[91]11月'!$A:$H,8,0),0)</f>
        <v>0</v>
      </c>
      <c r="AJ170" s="688">
        <f>IFERROR(VLOOKUP($A170,'[91]12月'!$A:$H,8,0),0)</f>
        <v>0</v>
      </c>
      <c r="AK170" s="688">
        <f t="shared" si="73"/>
        <v>0</v>
      </c>
    </row>
    <row r="171" spans="1:37" ht="13.5" customHeight="1">
      <c r="A171" s="653" t="str">
        <f>'Budget-合并'!A171</f>
        <v>6603.99</v>
      </c>
      <c r="B171" s="653" t="str">
        <f>'Budget-合并'!B171</f>
        <v>其他</v>
      </c>
      <c r="C171" s="687">
        <f>'Budget-合并'!C171</f>
        <v>0</v>
      </c>
      <c r="D171" s="676">
        <f>INDEX($K171:$V171,1,MATCH($D$6,$K$6:$V$6))</f>
        <v>0</v>
      </c>
      <c r="E171" s="676" t="e">
        <f t="shared" si="70"/>
        <v>#N/A</v>
      </c>
      <c r="F171" s="676" t="e">
        <f t="shared" si="65"/>
        <v>#N/A</v>
      </c>
      <c r="G171" s="676">
        <f ca="1">SUM($K171:OFFSET($K171,0,MATCH(G$6,$K$6:$V$6)-1))</f>
        <v>0</v>
      </c>
      <c r="H171" s="676" t="e">
        <f t="shared" ca="1" si="66"/>
        <v>#N/A</v>
      </c>
      <c r="I171" s="676" t="e">
        <f t="shared" ca="1" si="72"/>
        <v>#N/A</v>
      </c>
      <c r="K171" s="676">
        <f t="shared" ref="K171:V171" si="78">SUM(K161:K164,K168,K169)</f>
        <v>0</v>
      </c>
      <c r="L171" s="676">
        <f t="shared" si="78"/>
        <v>0</v>
      </c>
      <c r="M171" s="676">
        <f t="shared" si="78"/>
        <v>0</v>
      </c>
      <c r="N171" s="676">
        <f t="shared" si="78"/>
        <v>0</v>
      </c>
      <c r="O171" s="676">
        <f t="shared" si="78"/>
        <v>0</v>
      </c>
      <c r="P171" s="676">
        <f t="shared" si="78"/>
        <v>0</v>
      </c>
      <c r="Q171" s="676">
        <f t="shared" si="78"/>
        <v>0</v>
      </c>
      <c r="R171" s="676">
        <f t="shared" si="78"/>
        <v>0</v>
      </c>
      <c r="S171" s="676">
        <f t="shared" si="78"/>
        <v>0</v>
      </c>
      <c r="T171" s="676">
        <f t="shared" si="78"/>
        <v>0</v>
      </c>
      <c r="U171" s="676">
        <f t="shared" si="78"/>
        <v>0</v>
      </c>
      <c r="V171" s="676">
        <f t="shared" si="78"/>
        <v>0</v>
      </c>
      <c r="W171" s="676">
        <f>SUM(K171:V171)</f>
        <v>0</v>
      </c>
      <c r="Y171" s="688">
        <f>IFERROR(VLOOKUP($A171,'[91]1月'!$A:$H,8,0),0)</f>
        <v>0</v>
      </c>
      <c r="Z171" s="688">
        <f>IFERROR(VLOOKUP($A171,'[91]2月'!$A:$H,8,0),0)</f>
        <v>0</v>
      </c>
      <c r="AA171" s="688">
        <f>IFERROR(VLOOKUP($A171,'[91]3月'!$A:$H,8,0),0)</f>
        <v>0</v>
      </c>
      <c r="AB171" s="688">
        <f>IFERROR(VLOOKUP($A171,'[91]4月'!$A:$H,8,0),0)</f>
        <v>0</v>
      </c>
      <c r="AC171" s="688">
        <f>IFERROR(VLOOKUP($A171,'[91]5月'!$A:$H,8,0),0)</f>
        <v>0</v>
      </c>
      <c r="AD171" s="688">
        <f>IFERROR(VLOOKUP($A171,'[91]6月'!$A:$H,8,0),0)</f>
        <v>0</v>
      </c>
      <c r="AE171" s="688">
        <f>IFERROR(VLOOKUP($A171,'[91]7月'!$A:$H,8,0),0)</f>
        <v>0</v>
      </c>
      <c r="AF171" s="688">
        <f>IFERROR(VLOOKUP($A171,'[91]8月'!$A:$H,8,0),0)</f>
        <v>0</v>
      </c>
      <c r="AG171" s="688">
        <f>IFERROR(VLOOKUP($A171,'[91]9月'!$A:$H,8,0),0)</f>
        <v>0</v>
      </c>
      <c r="AH171" s="688">
        <f>IFERROR(VLOOKUP($A171,'[91]10月'!$A:$H,8,0),0)</f>
        <v>0</v>
      </c>
      <c r="AI171" s="688">
        <f>IFERROR(VLOOKUP($A171,'[91]11月'!$A:$H,8,0),0)</f>
        <v>0</v>
      </c>
      <c r="AJ171" s="688">
        <f>IFERROR(VLOOKUP($A171,'[91]12月'!$A:$H,8,0),0)</f>
        <v>0</v>
      </c>
      <c r="AK171" s="688">
        <f t="shared" si="73"/>
        <v>0</v>
      </c>
    </row>
    <row r="172" spans="1:37" ht="13.5" customHeight="1">
      <c r="A172" s="686">
        <f>'Budget-合并'!A172</f>
        <v>0</v>
      </c>
      <c r="B172" s="686" t="str">
        <f>'Budget-合并'!B172</f>
        <v>财务费用合计</v>
      </c>
      <c r="C172" s="687">
        <f>'Budget-合并'!C172</f>
        <v>0</v>
      </c>
      <c r="D172" s="677">
        <f>INDEX($K172:$V172,1,MATCH($D$6,$K$6:$V$6))</f>
        <v>177.99799999999999</v>
      </c>
      <c r="E172" s="677" t="e">
        <f t="shared" ref="E172:E182" si="79">INDEX($Y172:$AJ172,1,MATCH($E$6,$Y$6:$AJ$6))</f>
        <v>#N/A</v>
      </c>
      <c r="F172" s="677" t="e">
        <f t="shared" ref="F172:F182" si="80">D172-E172</f>
        <v>#N/A</v>
      </c>
      <c r="G172" s="677">
        <f ca="1">SUM($K172:OFFSET($K172,0,MATCH(G$6,$K$6:$V$6)-1))</f>
        <v>177.99799999999999</v>
      </c>
      <c r="H172" s="677" t="e">
        <f t="shared" ref="H172:H182" ca="1" si="81">SUM($Y172:OFFSET($Y172,0,MATCH(H$6,$Y$6:$AJ$6)-1))</f>
        <v>#N/A</v>
      </c>
      <c r="I172" s="677" t="e">
        <f t="shared" ca="1" si="72"/>
        <v>#N/A</v>
      </c>
      <c r="K172" s="677">
        <f>SUM(K156,K157,K165:K167,K171)</f>
        <v>177.99799999999999</v>
      </c>
      <c r="L172" s="677">
        <f t="shared" ref="L172:W172" si="82">SUM(L156,L157,L165:L167,L171)</f>
        <v>176.44</v>
      </c>
      <c r="M172" s="677">
        <f t="shared" si="82"/>
        <v>176.44</v>
      </c>
      <c r="N172" s="677">
        <f t="shared" si="82"/>
        <v>176.44</v>
      </c>
      <c r="O172" s="677">
        <f t="shared" si="82"/>
        <v>176.44</v>
      </c>
      <c r="P172" s="677">
        <f t="shared" si="82"/>
        <v>176.44</v>
      </c>
      <c r="Q172" s="677">
        <f t="shared" si="82"/>
        <v>176.44</v>
      </c>
      <c r="R172" s="677">
        <f t="shared" si="82"/>
        <v>176.44</v>
      </c>
      <c r="S172" s="677">
        <f t="shared" si="82"/>
        <v>176.44</v>
      </c>
      <c r="T172" s="677">
        <f t="shared" si="82"/>
        <v>176.44</v>
      </c>
      <c r="U172" s="677">
        <f t="shared" si="82"/>
        <v>176.44</v>
      </c>
      <c r="V172" s="677">
        <f t="shared" si="82"/>
        <v>176.44</v>
      </c>
      <c r="W172" s="677">
        <f t="shared" si="82"/>
        <v>2118.8380000000002</v>
      </c>
      <c r="Y172" s="677">
        <f t="shared" ref="Y172:AK172" si="83">SUM(Y156,Y157,Y165:Y167,Y171)</f>
        <v>-21762.49</v>
      </c>
      <c r="Z172" s="677">
        <f t="shared" si="83"/>
        <v>13566.830000000002</v>
      </c>
      <c r="AA172" s="677">
        <f t="shared" si="83"/>
        <v>-33.65</v>
      </c>
      <c r="AB172" s="677">
        <f t="shared" si="83"/>
        <v>1862.81</v>
      </c>
      <c r="AC172" s="677">
        <f t="shared" si="83"/>
        <v>-7809.2</v>
      </c>
      <c r="AD172" s="677">
        <f t="shared" si="83"/>
        <v>-943.67000000000007</v>
      </c>
      <c r="AE172" s="677">
        <f t="shared" si="83"/>
        <v>96.940000000000012</v>
      </c>
      <c r="AF172" s="677">
        <f t="shared" si="83"/>
        <v>5687.25</v>
      </c>
      <c r="AG172" s="677">
        <f t="shared" si="83"/>
        <v>1608.22</v>
      </c>
      <c r="AH172" s="677">
        <f t="shared" si="83"/>
        <v>1705.9300000000003</v>
      </c>
      <c r="AI172" s="677">
        <f t="shared" si="83"/>
        <v>-669.54</v>
      </c>
      <c r="AJ172" s="677">
        <f t="shared" si="83"/>
        <v>2424.9499999999998</v>
      </c>
      <c r="AK172" s="677">
        <f t="shared" si="83"/>
        <v>-4265.619999999999</v>
      </c>
    </row>
    <row r="173" spans="1:37" ht="13.5" customHeight="1">
      <c r="A173" s="653">
        <f>'Budget-合并'!A173</f>
        <v>0</v>
      </c>
      <c r="B173" s="653">
        <f>'Budget-合并'!B173</f>
        <v>0</v>
      </c>
      <c r="C173" s="687">
        <f>'Budget-合并'!C173</f>
        <v>0</v>
      </c>
      <c r="K173" s="652">
        <f t="shared" ref="K173:W173" si="84">K12-K19-K141-K159+K171</f>
        <v>0</v>
      </c>
      <c r="L173" s="652">
        <f t="shared" si="84"/>
        <v>0</v>
      </c>
      <c r="M173" s="652">
        <f t="shared" si="84"/>
        <v>0</v>
      </c>
      <c r="N173" s="652">
        <f t="shared" si="84"/>
        <v>0</v>
      </c>
      <c r="O173" s="652">
        <f t="shared" si="84"/>
        <v>0</v>
      </c>
      <c r="P173" s="652">
        <f t="shared" si="84"/>
        <v>0</v>
      </c>
      <c r="Q173" s="652">
        <f t="shared" si="84"/>
        <v>0</v>
      </c>
      <c r="R173" s="652">
        <f t="shared" si="84"/>
        <v>0</v>
      </c>
      <c r="S173" s="652">
        <f t="shared" si="84"/>
        <v>0</v>
      </c>
      <c r="T173" s="652">
        <f t="shared" si="84"/>
        <v>0</v>
      </c>
      <c r="U173" s="652">
        <f t="shared" si="84"/>
        <v>0</v>
      </c>
      <c r="V173" s="652">
        <f t="shared" si="84"/>
        <v>0</v>
      </c>
      <c r="W173" s="652">
        <f t="shared" si="84"/>
        <v>0</v>
      </c>
    </row>
    <row r="174" spans="1:37" ht="13.5" customHeight="1">
      <c r="A174" s="653" t="str">
        <f>'Budget-合并'!A174</f>
        <v>6051</v>
      </c>
      <c r="B174" s="653" t="str">
        <f>'Budget-合并'!B174</f>
        <v>其他业务收入</v>
      </c>
      <c r="C174" s="687">
        <f>'Budget-合并'!C174</f>
        <v>0</v>
      </c>
      <c r="D174" s="676">
        <f t="shared" ref="D174:D183" si="85">INDEX($K174:$V174,1,MATCH($D$6,$K$6:$V$6))</f>
        <v>0</v>
      </c>
      <c r="E174" s="676" t="e">
        <f t="shared" si="79"/>
        <v>#N/A</v>
      </c>
      <c r="F174" s="676" t="e">
        <f t="shared" si="80"/>
        <v>#N/A</v>
      </c>
      <c r="G174" s="676">
        <f t="shared" ref="G174:G183" ca="1" si="86">SUM($K174:OFFSET($K174,0,MATCH(G$6,$K$6:$V$6)-1))</f>
        <v>0</v>
      </c>
      <c r="H174" s="676" t="e">
        <f t="shared" ca="1" si="81"/>
        <v>#N/A</v>
      </c>
      <c r="I174" s="676" t="e">
        <f t="shared" ref="I174:I183" ca="1" si="87">G174-H174</f>
        <v>#N/A</v>
      </c>
      <c r="K174" s="676"/>
      <c r="L174" s="676"/>
      <c r="M174" s="676"/>
      <c r="N174" s="676"/>
      <c r="O174" s="676"/>
      <c r="P174" s="676"/>
      <c r="Q174" s="676"/>
      <c r="R174" s="676"/>
      <c r="S174" s="676"/>
      <c r="T174" s="676"/>
      <c r="U174" s="676"/>
      <c r="V174" s="676"/>
      <c r="W174" s="676">
        <f>SUM(K174:V174)</f>
        <v>0</v>
      </c>
      <c r="Y174" s="688">
        <f>IFERROR(VLOOKUP($A174,'[91]1月'!$A:$H,8,0),0)</f>
        <v>0</v>
      </c>
      <c r="Z174" s="688">
        <f>IFERROR(VLOOKUP($A174,'[91]2月'!$A:$H,8,0),0)</f>
        <v>0</v>
      </c>
      <c r="AA174" s="688">
        <f>IFERROR(VLOOKUP($A174,'[91]3月'!$A:$H,8,0),0)</f>
        <v>0</v>
      </c>
      <c r="AB174" s="688">
        <f>IFERROR(VLOOKUP($A174,'[91]4月'!$A:$H,8,0),0)</f>
        <v>0</v>
      </c>
      <c r="AC174" s="688">
        <f>IFERROR(VLOOKUP($A174,'[91]5月'!$A:$H,8,0),0)</f>
        <v>0</v>
      </c>
      <c r="AD174" s="688">
        <f>IFERROR(VLOOKUP($A174,'[91]6月'!$A:$H,8,0),0)</f>
        <v>0</v>
      </c>
      <c r="AE174" s="688">
        <f>IFERROR(VLOOKUP($A174,'[91]7月'!$A:$H,8,0),0)</f>
        <v>0</v>
      </c>
      <c r="AF174" s="688">
        <f>IFERROR(VLOOKUP($A174,'[91]8月'!$A:$H,8,0),0)</f>
        <v>0</v>
      </c>
      <c r="AG174" s="688">
        <f>IFERROR(VLOOKUP($A174,'[91]9月'!$A:$H,8,0),0)</f>
        <v>0</v>
      </c>
      <c r="AH174" s="688">
        <f>IFERROR(VLOOKUP($A174,'[91]10月'!$A:$H,8,0),0)</f>
        <v>0</v>
      </c>
      <c r="AI174" s="688">
        <f>IFERROR(VLOOKUP($A174,'[91]11月'!$A:$H,8,0),0)</f>
        <v>0</v>
      </c>
      <c r="AJ174" s="688">
        <f>IFERROR(VLOOKUP($A174,'[91]12月'!$A:$H,8,0),0)</f>
        <v>0</v>
      </c>
      <c r="AK174" s="688">
        <f t="shared" ref="AK174:AK182" si="88">SUM(Y174:AJ174)</f>
        <v>0</v>
      </c>
    </row>
    <row r="175" spans="1:37" ht="13.5" customHeight="1">
      <c r="A175" s="653" t="str">
        <f>'Budget-合并'!A175</f>
        <v>6101</v>
      </c>
      <c r="B175" s="653" t="str">
        <f>'Budget-合并'!B175</f>
        <v>公允价值变动损益</v>
      </c>
      <c r="C175" s="687">
        <f>'Budget-合并'!C175</f>
        <v>0</v>
      </c>
      <c r="D175" s="676">
        <f t="shared" si="85"/>
        <v>0</v>
      </c>
      <c r="E175" s="676" t="e">
        <f t="shared" si="79"/>
        <v>#N/A</v>
      </c>
      <c r="F175" s="676" t="e">
        <f t="shared" si="80"/>
        <v>#N/A</v>
      </c>
      <c r="G175" s="676">
        <f t="shared" ca="1" si="86"/>
        <v>0</v>
      </c>
      <c r="H175" s="676" t="e">
        <f t="shared" ca="1" si="81"/>
        <v>#N/A</v>
      </c>
      <c r="I175" s="676" t="e">
        <f t="shared" ca="1" si="87"/>
        <v>#N/A</v>
      </c>
      <c r="K175" s="676"/>
      <c r="L175" s="676"/>
      <c r="M175" s="676"/>
      <c r="N175" s="676"/>
      <c r="O175" s="676"/>
      <c r="P175" s="676"/>
      <c r="Q175" s="676"/>
      <c r="R175" s="676"/>
      <c r="S175" s="676"/>
      <c r="T175" s="676"/>
      <c r="U175" s="676"/>
      <c r="V175" s="676"/>
      <c r="W175" s="676">
        <f t="shared" ref="W175:W182" si="89">SUM(K175:V175)</f>
        <v>0</v>
      </c>
      <c r="Y175" s="688">
        <f>IFERROR(VLOOKUP($A175,'[91]1月'!$A:$H,8,0),0)</f>
        <v>0</v>
      </c>
      <c r="Z175" s="688">
        <f>IFERROR(VLOOKUP($A175,'[91]2月'!$A:$H,8,0),0)</f>
        <v>0</v>
      </c>
      <c r="AA175" s="688">
        <f>IFERROR(VLOOKUP($A175,'[91]3月'!$A:$H,8,0),0)</f>
        <v>0</v>
      </c>
      <c r="AB175" s="688">
        <f>IFERROR(VLOOKUP($A175,'[91]4月'!$A:$H,8,0),0)</f>
        <v>0</v>
      </c>
      <c r="AC175" s="688">
        <f>IFERROR(VLOOKUP($A175,'[91]5月'!$A:$H,8,0),0)</f>
        <v>0</v>
      </c>
      <c r="AD175" s="688">
        <f>IFERROR(VLOOKUP($A175,'[91]6月'!$A:$H,8,0),0)</f>
        <v>0</v>
      </c>
      <c r="AE175" s="688">
        <f>IFERROR(VLOOKUP($A175,'[91]7月'!$A:$H,8,0),0)</f>
        <v>0</v>
      </c>
      <c r="AF175" s="688">
        <f>IFERROR(VLOOKUP($A175,'[91]8月'!$A:$H,8,0),0)</f>
        <v>0</v>
      </c>
      <c r="AG175" s="688">
        <f>IFERROR(VLOOKUP($A175,'[91]9月'!$A:$H,8,0),0)</f>
        <v>0</v>
      </c>
      <c r="AH175" s="688">
        <f>IFERROR(VLOOKUP($A175,'[91]10月'!$A:$H,8,0),0)</f>
        <v>0</v>
      </c>
      <c r="AI175" s="688">
        <f>IFERROR(VLOOKUP($A175,'[91]11月'!$A:$H,8,0),0)</f>
        <v>0</v>
      </c>
      <c r="AJ175" s="688">
        <f>IFERROR(VLOOKUP($A175,'[91]12月'!$A:$H,8,0),0)</f>
        <v>0</v>
      </c>
      <c r="AK175" s="688">
        <f t="shared" si="88"/>
        <v>0</v>
      </c>
    </row>
    <row r="176" spans="1:37" ht="13.5" customHeight="1">
      <c r="A176" s="653" t="str">
        <f>'Budget-合并'!A176</f>
        <v>6111</v>
      </c>
      <c r="B176" s="653" t="str">
        <f>'Budget-合并'!B176</f>
        <v>投资收益</v>
      </c>
      <c r="C176" s="687" t="str">
        <f>'Budget-合并'!C176</f>
        <v>Gain on investment</v>
      </c>
      <c r="D176" s="676">
        <f t="shared" si="85"/>
        <v>0</v>
      </c>
      <c r="E176" s="676" t="e">
        <f t="shared" si="79"/>
        <v>#N/A</v>
      </c>
      <c r="F176" s="676" t="e">
        <f t="shared" si="80"/>
        <v>#N/A</v>
      </c>
      <c r="G176" s="676">
        <f t="shared" ca="1" si="86"/>
        <v>0</v>
      </c>
      <c r="H176" s="676" t="e">
        <f t="shared" ca="1" si="81"/>
        <v>#N/A</v>
      </c>
      <c r="I176" s="676" t="e">
        <f t="shared" ca="1" si="87"/>
        <v>#N/A</v>
      </c>
      <c r="K176" s="676"/>
      <c r="L176" s="676"/>
      <c r="M176" s="676"/>
      <c r="N176" s="676"/>
      <c r="O176" s="676"/>
      <c r="P176" s="676"/>
      <c r="Q176" s="676"/>
      <c r="R176" s="676"/>
      <c r="S176" s="676"/>
      <c r="T176" s="676"/>
      <c r="U176" s="676"/>
      <c r="V176" s="676"/>
      <c r="W176" s="676">
        <f t="shared" si="89"/>
        <v>0</v>
      </c>
      <c r="Y176" s="688">
        <f>IFERROR(VLOOKUP($A176,'[91]1月'!$A:$H,8,0),0)</f>
        <v>0</v>
      </c>
      <c r="Z176" s="688">
        <f>IFERROR(VLOOKUP($A176,'[91]2月'!$A:$H,8,0),0)</f>
        <v>0</v>
      </c>
      <c r="AA176" s="688">
        <f>IFERROR(VLOOKUP($A176,'[91]3月'!$A:$H,8,0),0)</f>
        <v>0</v>
      </c>
      <c r="AB176" s="688">
        <f>IFERROR(VLOOKUP($A176,'[91]4月'!$A:$H,8,0),0)</f>
        <v>0</v>
      </c>
      <c r="AC176" s="688">
        <f>IFERROR(VLOOKUP($A176,'[91]5月'!$A:$H,8,0),0)</f>
        <v>0</v>
      </c>
      <c r="AD176" s="688">
        <f>IFERROR(VLOOKUP($A176,'[91]6月'!$A:$H,8,0),0)</f>
        <v>0</v>
      </c>
      <c r="AE176" s="688">
        <f>IFERROR(VLOOKUP($A176,'[91]7月'!$A:$H,8,0),0)</f>
        <v>0</v>
      </c>
      <c r="AF176" s="688">
        <f>IFERROR(VLOOKUP($A176,'[91]8月'!$A:$H,8,0),0)</f>
        <v>0</v>
      </c>
      <c r="AG176" s="688">
        <f>IFERROR(VLOOKUP($A176,'[91]9月'!$A:$H,8,0),0)</f>
        <v>0</v>
      </c>
      <c r="AH176" s="688">
        <f>IFERROR(VLOOKUP($A176,'[91]10月'!$A:$H,8,0),0)</f>
        <v>0</v>
      </c>
      <c r="AI176" s="688">
        <f>IFERROR(VLOOKUP($A176,'[91]11月'!$A:$H,8,0),0)</f>
        <v>0</v>
      </c>
      <c r="AJ176" s="688">
        <f>IFERROR(VLOOKUP($A176,'[91]12月'!$A:$H,8,0),0)</f>
        <v>0</v>
      </c>
      <c r="AK176" s="688">
        <f t="shared" si="88"/>
        <v>0</v>
      </c>
    </row>
    <row r="177" spans="1:37" ht="13.5" customHeight="1">
      <c r="A177" s="663" t="str">
        <f>'Budget-合并'!A177</f>
        <v>6115</v>
      </c>
      <c r="B177" s="663" t="str">
        <f>'Budget-合并'!B177</f>
        <v>其他收益</v>
      </c>
      <c r="C177" s="687" t="str">
        <f>'Budget-合并'!C177</f>
        <v>Other income</v>
      </c>
      <c r="D177" s="676">
        <f t="shared" si="85"/>
        <v>0</v>
      </c>
      <c r="E177" s="676" t="e">
        <f t="shared" si="79"/>
        <v>#N/A</v>
      </c>
      <c r="F177" s="676" t="e">
        <f t="shared" si="80"/>
        <v>#N/A</v>
      </c>
      <c r="G177" s="676">
        <f t="shared" ca="1" si="86"/>
        <v>0</v>
      </c>
      <c r="H177" s="676" t="e">
        <f t="shared" ca="1" si="81"/>
        <v>#N/A</v>
      </c>
      <c r="I177" s="676" t="e">
        <f t="shared" ca="1" si="87"/>
        <v>#N/A</v>
      </c>
      <c r="K177" s="676">
        <f>SUM(K178:K180)</f>
        <v>0</v>
      </c>
      <c r="L177" s="676">
        <f t="shared" ref="L177:V177" si="90">SUM(L178:L180)</f>
        <v>0</v>
      </c>
      <c r="M177" s="676">
        <f t="shared" si="90"/>
        <v>0</v>
      </c>
      <c r="N177" s="676">
        <f t="shared" si="90"/>
        <v>0</v>
      </c>
      <c r="O177" s="676">
        <f t="shared" si="90"/>
        <v>0</v>
      </c>
      <c r="P177" s="676">
        <f t="shared" si="90"/>
        <v>0</v>
      </c>
      <c r="Q177" s="676">
        <f t="shared" si="90"/>
        <v>0</v>
      </c>
      <c r="R177" s="676">
        <f t="shared" si="90"/>
        <v>0</v>
      </c>
      <c r="S177" s="676">
        <f t="shared" si="90"/>
        <v>0</v>
      </c>
      <c r="T177" s="676">
        <f t="shared" si="90"/>
        <v>0</v>
      </c>
      <c r="U177" s="676">
        <f t="shared" si="90"/>
        <v>0</v>
      </c>
      <c r="V177" s="676">
        <f t="shared" si="90"/>
        <v>0</v>
      </c>
      <c r="W177" s="676">
        <f t="shared" si="89"/>
        <v>0</v>
      </c>
      <c r="Y177" s="688">
        <f>IFERROR(VLOOKUP($A177,'[91]1月'!$A:$H,8,0),0)</f>
        <v>131235.5</v>
      </c>
      <c r="Z177" s="688">
        <f>IFERROR(VLOOKUP($A177,'[91]2月'!$A:$H,8,0),0)</f>
        <v>131235.5</v>
      </c>
      <c r="AA177" s="688">
        <f>IFERROR(VLOOKUP($A177,'[91]3月'!$A:$H,8,0),0)</f>
        <v>206235.5</v>
      </c>
      <c r="AB177" s="688">
        <f>IFERROR(VLOOKUP($A177,'[91]4月'!$A:$H,8,0),0)</f>
        <v>77735.5</v>
      </c>
      <c r="AC177" s="688">
        <f>IFERROR(VLOOKUP($A177,'[91]5月'!$A:$H,8,0),0)</f>
        <v>77735.5</v>
      </c>
      <c r="AD177" s="688">
        <f>IFERROR(VLOOKUP($A177,'[91]6月'!$A:$H,8,0),0)</f>
        <v>77735.5</v>
      </c>
      <c r="AE177" s="688">
        <f>IFERROR(VLOOKUP($A177,'[91]7月'!$A:$H,8,0),0)</f>
        <v>77735.5</v>
      </c>
      <c r="AF177" s="688">
        <f>IFERROR(VLOOKUP($A177,'[91]8月'!$A:$H,8,0),0)</f>
        <v>77735.5</v>
      </c>
      <c r="AG177" s="688">
        <f>IFERROR(VLOOKUP($A177,'[91]9月'!$A:$H,8,0),0)</f>
        <v>77735.5</v>
      </c>
      <c r="AH177" s="688">
        <f>IFERROR(VLOOKUP($A177,'[91]10月'!$A:$H,8,0),0)</f>
        <v>77735.5</v>
      </c>
      <c r="AI177" s="688">
        <f>IFERROR(VLOOKUP($A177,'[91]11月'!$A:$H,8,0),0)</f>
        <v>77735.5</v>
      </c>
      <c r="AJ177" s="688">
        <f>IFERROR(VLOOKUP($A177,'[91]12月'!$A:$H,8,0),0)</f>
        <v>77735.5</v>
      </c>
      <c r="AK177" s="688">
        <f t="shared" si="88"/>
        <v>1168326</v>
      </c>
    </row>
    <row r="178" spans="1:37" ht="13.5" customHeight="1">
      <c r="A178" s="653" t="str">
        <f>'Budget-合并'!A178</f>
        <v>6115.01</v>
      </c>
      <c r="B178" s="653" t="str">
        <f>'Budget-合并'!B178</f>
        <v>政府补助</v>
      </c>
      <c r="C178" s="687">
        <f>'Budget-合并'!C178</f>
        <v>0</v>
      </c>
      <c r="D178" s="676">
        <f t="shared" si="85"/>
        <v>0</v>
      </c>
      <c r="E178" s="676" t="e">
        <f t="shared" si="79"/>
        <v>#N/A</v>
      </c>
      <c r="F178" s="676" t="e">
        <f t="shared" si="80"/>
        <v>#N/A</v>
      </c>
      <c r="G178" s="676">
        <f t="shared" ca="1" si="86"/>
        <v>0</v>
      </c>
      <c r="H178" s="676" t="e">
        <f t="shared" ca="1" si="81"/>
        <v>#N/A</v>
      </c>
      <c r="I178" s="676" t="e">
        <f t="shared" ca="1" si="87"/>
        <v>#N/A</v>
      </c>
      <c r="K178" s="676"/>
      <c r="L178" s="676"/>
      <c r="M178" s="676"/>
      <c r="N178" s="676"/>
      <c r="O178" s="676"/>
      <c r="P178" s="676"/>
      <c r="Q178" s="676"/>
      <c r="R178" s="676"/>
      <c r="S178" s="676"/>
      <c r="T178" s="676"/>
      <c r="U178" s="676"/>
      <c r="V178" s="676"/>
      <c r="W178" s="676">
        <f t="shared" si="89"/>
        <v>0</v>
      </c>
      <c r="Y178" s="688">
        <f>IFERROR(VLOOKUP($A178,'[91]1月'!$A:$H,8,0),0)</f>
        <v>0</v>
      </c>
      <c r="Z178" s="688">
        <f>IFERROR(VLOOKUP($A178,'[91]2月'!$A:$H,8,0),0)</f>
        <v>0</v>
      </c>
      <c r="AA178" s="688">
        <f>IFERROR(VLOOKUP($A178,'[91]3月'!$A:$H,8,0),0)</f>
        <v>0</v>
      </c>
      <c r="AB178" s="688">
        <f>IFERROR(VLOOKUP($A178,'[91]4月'!$A:$H,8,0),0)</f>
        <v>0</v>
      </c>
      <c r="AC178" s="688">
        <f>IFERROR(VLOOKUP($A178,'[91]5月'!$A:$H,8,0),0)</f>
        <v>0</v>
      </c>
      <c r="AD178" s="688">
        <f>IFERROR(VLOOKUP($A178,'[91]6月'!$A:$H,8,0),0)</f>
        <v>0</v>
      </c>
      <c r="AE178" s="688">
        <f>IFERROR(VLOOKUP($A178,'[91]7月'!$A:$H,8,0),0)</f>
        <v>0</v>
      </c>
      <c r="AF178" s="688">
        <f>IFERROR(VLOOKUP($A178,'[91]8月'!$A:$H,8,0),0)</f>
        <v>0</v>
      </c>
      <c r="AG178" s="688">
        <f>IFERROR(VLOOKUP($A178,'[91]9月'!$A:$H,8,0),0)</f>
        <v>0</v>
      </c>
      <c r="AH178" s="688">
        <f>IFERROR(VLOOKUP($A178,'[91]10月'!$A:$H,8,0),0)</f>
        <v>0</v>
      </c>
      <c r="AI178" s="688">
        <f>IFERROR(VLOOKUP($A178,'[91]11月'!$A:$H,8,0),0)</f>
        <v>0</v>
      </c>
      <c r="AJ178" s="688">
        <f>IFERROR(VLOOKUP($A178,'[91]12月'!$A:$H,8,0),0)</f>
        <v>0</v>
      </c>
      <c r="AK178" s="688">
        <f t="shared" si="88"/>
        <v>0</v>
      </c>
    </row>
    <row r="179" spans="1:37" ht="13.5" customHeight="1">
      <c r="A179" s="653" t="str">
        <f>'Budget-合并'!A179</f>
        <v>6115.02</v>
      </c>
      <c r="B179" s="653" t="str">
        <f>'Budget-合并'!B179</f>
        <v>个税手续费返还</v>
      </c>
      <c r="C179" s="687">
        <f>'Budget-合并'!C179</f>
        <v>0</v>
      </c>
      <c r="D179" s="676">
        <f t="shared" si="85"/>
        <v>0</v>
      </c>
      <c r="E179" s="676" t="e">
        <f t="shared" si="79"/>
        <v>#N/A</v>
      </c>
      <c r="F179" s="676" t="e">
        <f t="shared" si="80"/>
        <v>#N/A</v>
      </c>
      <c r="G179" s="676">
        <f t="shared" ca="1" si="86"/>
        <v>0</v>
      </c>
      <c r="H179" s="676" t="e">
        <f t="shared" ca="1" si="81"/>
        <v>#N/A</v>
      </c>
      <c r="I179" s="676" t="e">
        <f t="shared" ca="1" si="87"/>
        <v>#N/A</v>
      </c>
      <c r="K179" s="676"/>
      <c r="L179" s="676"/>
      <c r="M179" s="676"/>
      <c r="N179" s="676"/>
      <c r="O179" s="676"/>
      <c r="P179" s="676"/>
      <c r="Q179" s="676"/>
      <c r="R179" s="676"/>
      <c r="S179" s="676"/>
      <c r="T179" s="676"/>
      <c r="U179" s="676"/>
      <c r="V179" s="676"/>
      <c r="W179" s="676">
        <f t="shared" si="89"/>
        <v>0</v>
      </c>
      <c r="Y179" s="688">
        <f>IFERROR(VLOOKUP($A179,'[91]1月'!$A:$H,8,0),0)</f>
        <v>0</v>
      </c>
      <c r="Z179" s="688">
        <f>IFERROR(VLOOKUP($A179,'[91]2月'!$A:$H,8,0),0)</f>
        <v>0</v>
      </c>
      <c r="AA179" s="688">
        <f>IFERROR(VLOOKUP($A179,'[91]3月'!$A:$H,8,0),0)</f>
        <v>0</v>
      </c>
      <c r="AB179" s="688">
        <f>IFERROR(VLOOKUP($A179,'[91]4月'!$A:$H,8,0),0)</f>
        <v>0</v>
      </c>
      <c r="AC179" s="688">
        <f>IFERROR(VLOOKUP($A179,'[91]5月'!$A:$H,8,0),0)</f>
        <v>0</v>
      </c>
      <c r="AD179" s="688">
        <f>IFERROR(VLOOKUP($A179,'[91]6月'!$A:$H,8,0),0)</f>
        <v>0</v>
      </c>
      <c r="AE179" s="688">
        <f>IFERROR(VLOOKUP($A179,'[91]7月'!$A:$H,8,0),0)</f>
        <v>0</v>
      </c>
      <c r="AF179" s="688">
        <f>IFERROR(VLOOKUP($A179,'[91]8月'!$A:$H,8,0),0)</f>
        <v>0</v>
      </c>
      <c r="AG179" s="688">
        <f>IFERROR(VLOOKUP($A179,'[91]9月'!$A:$H,8,0),0)</f>
        <v>0</v>
      </c>
      <c r="AH179" s="688">
        <f>IFERROR(VLOOKUP($A179,'[91]10月'!$A:$H,8,0),0)</f>
        <v>0</v>
      </c>
      <c r="AI179" s="688">
        <f>IFERROR(VLOOKUP($A179,'[91]11月'!$A:$H,8,0),0)</f>
        <v>0</v>
      </c>
      <c r="AJ179" s="688">
        <f>IFERROR(VLOOKUP($A179,'[91]12月'!$A:$H,8,0),0)</f>
        <v>0</v>
      </c>
      <c r="AK179" s="688">
        <f t="shared" si="88"/>
        <v>0</v>
      </c>
    </row>
    <row r="180" spans="1:37" ht="13.5" customHeight="1">
      <c r="A180" s="653" t="str">
        <f>'Budget-合并'!A180</f>
        <v>6115.99</v>
      </c>
      <c r="B180" s="653" t="str">
        <f>'Budget-合并'!B180</f>
        <v>其他</v>
      </c>
      <c r="C180" s="687">
        <f>'Budget-合并'!C180</f>
        <v>0</v>
      </c>
      <c r="D180" s="676">
        <f t="shared" si="85"/>
        <v>0</v>
      </c>
      <c r="E180" s="676" t="e">
        <f t="shared" si="79"/>
        <v>#N/A</v>
      </c>
      <c r="F180" s="676" t="e">
        <f t="shared" si="80"/>
        <v>#N/A</v>
      </c>
      <c r="G180" s="676">
        <f t="shared" ca="1" si="86"/>
        <v>0</v>
      </c>
      <c r="H180" s="676" t="e">
        <f t="shared" ca="1" si="81"/>
        <v>#N/A</v>
      </c>
      <c r="I180" s="676" t="e">
        <f t="shared" ca="1" si="87"/>
        <v>#N/A</v>
      </c>
      <c r="K180" s="676"/>
      <c r="L180" s="676"/>
      <c r="M180" s="676"/>
      <c r="N180" s="676"/>
      <c r="O180" s="676"/>
      <c r="P180" s="676"/>
      <c r="Q180" s="676"/>
      <c r="R180" s="676"/>
      <c r="S180" s="676"/>
      <c r="T180" s="676"/>
      <c r="U180" s="676"/>
      <c r="V180" s="676"/>
      <c r="W180" s="676">
        <f t="shared" si="89"/>
        <v>0</v>
      </c>
      <c r="Y180" s="688">
        <f>IFERROR(VLOOKUP($A180,'[91]1月'!$A:$H,8,0),0)</f>
        <v>0</v>
      </c>
      <c r="Z180" s="688">
        <f>IFERROR(VLOOKUP($A180,'[91]2月'!$A:$H,8,0),0)</f>
        <v>0</v>
      </c>
      <c r="AA180" s="688">
        <f>IFERROR(VLOOKUP($A180,'[91]3月'!$A:$H,8,0),0)</f>
        <v>0</v>
      </c>
      <c r="AB180" s="688">
        <f>IFERROR(VLOOKUP($A180,'[91]4月'!$A:$H,8,0),0)</f>
        <v>0</v>
      </c>
      <c r="AC180" s="688">
        <f>IFERROR(VLOOKUP($A180,'[91]5月'!$A:$H,8,0),0)</f>
        <v>0</v>
      </c>
      <c r="AD180" s="688">
        <f>IFERROR(VLOOKUP($A180,'[91]6月'!$A:$H,8,0),0)</f>
        <v>0</v>
      </c>
      <c r="AE180" s="688">
        <f>IFERROR(VLOOKUP($A180,'[91]7月'!$A:$H,8,0),0)</f>
        <v>0</v>
      </c>
      <c r="AF180" s="688">
        <f>IFERROR(VLOOKUP($A180,'[91]8月'!$A:$H,8,0),0)</f>
        <v>0</v>
      </c>
      <c r="AG180" s="688">
        <f>IFERROR(VLOOKUP($A180,'[91]9月'!$A:$H,8,0),0)</f>
        <v>0</v>
      </c>
      <c r="AH180" s="688">
        <f>IFERROR(VLOOKUP($A180,'[91]10月'!$A:$H,8,0),0)</f>
        <v>0</v>
      </c>
      <c r="AI180" s="688">
        <f>IFERROR(VLOOKUP($A180,'[91]11月'!$A:$H,8,0),0)</f>
        <v>0</v>
      </c>
      <c r="AJ180" s="688">
        <f>IFERROR(VLOOKUP($A180,'[91]12月'!$A:$H,8,0),0)</f>
        <v>0</v>
      </c>
      <c r="AK180" s="688">
        <f t="shared" si="88"/>
        <v>0</v>
      </c>
    </row>
    <row r="181" spans="1:37" ht="13.5" customHeight="1">
      <c r="A181" s="653" t="str">
        <f>'Budget-合并'!A181</f>
        <v>6117</v>
      </c>
      <c r="B181" s="653" t="str">
        <f>'Budget-合并'!B181</f>
        <v>资产处置损益</v>
      </c>
      <c r="C181" s="687">
        <f>'Budget-合并'!C181</f>
        <v>0</v>
      </c>
      <c r="D181" s="676">
        <f t="shared" si="85"/>
        <v>0</v>
      </c>
      <c r="E181" s="676" t="e">
        <f t="shared" si="79"/>
        <v>#N/A</v>
      </c>
      <c r="F181" s="676" t="e">
        <f t="shared" si="80"/>
        <v>#N/A</v>
      </c>
      <c r="G181" s="676">
        <f t="shared" ca="1" si="86"/>
        <v>0</v>
      </c>
      <c r="H181" s="676" t="e">
        <f t="shared" ca="1" si="81"/>
        <v>#N/A</v>
      </c>
      <c r="I181" s="676" t="e">
        <f t="shared" ca="1" si="87"/>
        <v>#N/A</v>
      </c>
      <c r="K181" s="676"/>
      <c r="L181" s="676"/>
      <c r="M181" s="676"/>
      <c r="N181" s="676"/>
      <c r="O181" s="676"/>
      <c r="P181" s="676"/>
      <c r="Q181" s="676"/>
      <c r="R181" s="676"/>
      <c r="S181" s="676"/>
      <c r="T181" s="676"/>
      <c r="U181" s="676"/>
      <c r="V181" s="676"/>
      <c r="W181" s="676">
        <f t="shared" si="89"/>
        <v>0</v>
      </c>
      <c r="Y181" s="688">
        <f>IFERROR(VLOOKUP($A181,'[91]1月'!$A:$H,8,0),0)</f>
        <v>0</v>
      </c>
      <c r="Z181" s="688">
        <f>IFERROR(VLOOKUP($A181,'[91]2月'!$A:$H,8,0),0)</f>
        <v>0</v>
      </c>
      <c r="AA181" s="688">
        <f>IFERROR(VLOOKUP($A181,'[91]3月'!$A:$H,8,0),0)</f>
        <v>0</v>
      </c>
      <c r="AB181" s="688">
        <f>IFERROR(VLOOKUP($A181,'[91]4月'!$A:$H,8,0),0)</f>
        <v>0</v>
      </c>
      <c r="AC181" s="688">
        <f>IFERROR(VLOOKUP($A181,'[91]5月'!$A:$H,8,0),0)</f>
        <v>0</v>
      </c>
      <c r="AD181" s="688">
        <f>IFERROR(VLOOKUP($A181,'[91]6月'!$A:$H,8,0),0)</f>
        <v>0</v>
      </c>
      <c r="AE181" s="688">
        <f>IFERROR(VLOOKUP($A181,'[91]7月'!$A:$H,8,0),0)</f>
        <v>0</v>
      </c>
      <c r="AF181" s="688">
        <f>IFERROR(VLOOKUP($A181,'[91]8月'!$A:$H,8,0),0)</f>
        <v>0</v>
      </c>
      <c r="AG181" s="688">
        <f>IFERROR(VLOOKUP($A181,'[91]9月'!$A:$H,8,0),0)</f>
        <v>0</v>
      </c>
      <c r="AH181" s="688">
        <f>IFERROR(VLOOKUP($A181,'[91]10月'!$A:$H,8,0),0)</f>
        <v>0</v>
      </c>
      <c r="AI181" s="688">
        <f>IFERROR(VLOOKUP($A181,'[91]11月'!$A:$H,8,0),0)</f>
        <v>0</v>
      </c>
      <c r="AJ181" s="688">
        <f>IFERROR(VLOOKUP($A181,'[91]12月'!$A:$H,8,0),0)</f>
        <v>0</v>
      </c>
      <c r="AK181" s="688">
        <f t="shared" si="88"/>
        <v>0</v>
      </c>
    </row>
    <row r="182" spans="1:37" ht="13.5" customHeight="1">
      <c r="A182" s="653" t="str">
        <f>'Budget-合并'!A182</f>
        <v>6118</v>
      </c>
      <c r="B182" s="653" t="str">
        <f>'Budget-合并'!B182</f>
        <v>净敞口套期损益</v>
      </c>
      <c r="C182" s="687">
        <f>'Budget-合并'!C182</f>
        <v>0</v>
      </c>
      <c r="D182" s="676">
        <f t="shared" si="85"/>
        <v>0</v>
      </c>
      <c r="E182" s="676" t="e">
        <f t="shared" si="79"/>
        <v>#N/A</v>
      </c>
      <c r="F182" s="676" t="e">
        <f t="shared" si="80"/>
        <v>#N/A</v>
      </c>
      <c r="G182" s="676">
        <f t="shared" ca="1" si="86"/>
        <v>0</v>
      </c>
      <c r="H182" s="676" t="e">
        <f t="shared" ca="1" si="81"/>
        <v>#N/A</v>
      </c>
      <c r="I182" s="676" t="e">
        <f t="shared" ca="1" si="87"/>
        <v>#N/A</v>
      </c>
      <c r="K182" s="676"/>
      <c r="L182" s="676"/>
      <c r="M182" s="676"/>
      <c r="N182" s="676"/>
      <c r="O182" s="676"/>
      <c r="P182" s="676"/>
      <c r="Q182" s="676"/>
      <c r="R182" s="676"/>
      <c r="S182" s="676"/>
      <c r="T182" s="676"/>
      <c r="U182" s="676"/>
      <c r="V182" s="676"/>
      <c r="W182" s="676">
        <f t="shared" si="89"/>
        <v>0</v>
      </c>
      <c r="Y182" s="688">
        <f>IFERROR(VLOOKUP($A182,'[91]1月'!$A:$H,8,0),0)</f>
        <v>0</v>
      </c>
      <c r="Z182" s="688">
        <f>IFERROR(VLOOKUP($A182,'[91]2月'!$A:$H,8,0),0)</f>
        <v>0</v>
      </c>
      <c r="AA182" s="688">
        <f>IFERROR(VLOOKUP($A182,'[91]3月'!$A:$H,8,0),0)</f>
        <v>0</v>
      </c>
      <c r="AB182" s="688">
        <f>IFERROR(VLOOKUP($A182,'[91]4月'!$A:$H,8,0),0)</f>
        <v>0</v>
      </c>
      <c r="AC182" s="688">
        <f>IFERROR(VLOOKUP($A182,'[91]5月'!$A:$H,8,0),0)</f>
        <v>0</v>
      </c>
      <c r="AD182" s="688">
        <f>IFERROR(VLOOKUP($A182,'[91]6月'!$A:$H,8,0),0)</f>
        <v>0</v>
      </c>
      <c r="AE182" s="688">
        <f>IFERROR(VLOOKUP($A182,'[91]7月'!$A:$H,8,0),0)</f>
        <v>0</v>
      </c>
      <c r="AF182" s="688">
        <f>IFERROR(VLOOKUP($A182,'[91]8月'!$A:$H,8,0),0)</f>
        <v>0</v>
      </c>
      <c r="AG182" s="688">
        <f>IFERROR(VLOOKUP($A182,'[91]9月'!$A:$H,8,0),0)</f>
        <v>0</v>
      </c>
      <c r="AH182" s="688">
        <f>IFERROR(VLOOKUP($A182,'[91]10月'!$A:$H,8,0),0)</f>
        <v>0</v>
      </c>
      <c r="AI182" s="688">
        <f>IFERROR(VLOOKUP($A182,'[91]11月'!$A:$H,8,0),0)</f>
        <v>0</v>
      </c>
      <c r="AJ182" s="688">
        <f>IFERROR(VLOOKUP($A182,'[91]12月'!$A:$H,8,0),0)</f>
        <v>0</v>
      </c>
      <c r="AK182" s="688">
        <f t="shared" si="88"/>
        <v>0</v>
      </c>
    </row>
    <row r="183" spans="1:37" ht="13.5" customHeight="1">
      <c r="A183" s="686">
        <f>'Budget-合并'!A183</f>
        <v>0</v>
      </c>
      <c r="B183" s="686" t="str">
        <f>'Budget-合并'!B183</f>
        <v>其他收益合计</v>
      </c>
      <c r="C183" s="687">
        <f>'Budget-合并'!C183</f>
        <v>0</v>
      </c>
      <c r="D183" s="677">
        <f t="shared" si="85"/>
        <v>0</v>
      </c>
      <c r="E183" s="677" t="e">
        <f t="shared" ref="E183:E198" si="91">INDEX($Y183:$AJ183,1,MATCH($E$6,$Y$6:$AJ$6))</f>
        <v>#N/A</v>
      </c>
      <c r="F183" s="677" t="e">
        <f t="shared" ref="F183:F198" si="92">D183-E183</f>
        <v>#N/A</v>
      </c>
      <c r="G183" s="677">
        <f t="shared" ca="1" si="86"/>
        <v>0</v>
      </c>
      <c r="H183" s="677" t="e">
        <f t="shared" ref="H183:H198" ca="1" si="93">SUM($Y183:OFFSET($Y183,0,MATCH(H$6,$Y$6:$AJ$6)-1))</f>
        <v>#N/A</v>
      </c>
      <c r="I183" s="677" t="e">
        <f t="shared" ca="1" si="87"/>
        <v>#N/A</v>
      </c>
      <c r="K183" s="677">
        <f>SUM(K174,K174:K177,K181:K182)</f>
        <v>0</v>
      </c>
      <c r="L183" s="677">
        <f t="shared" ref="L183:W183" si="94">SUM(L174,L174:L177,L181:L182)</f>
        <v>0</v>
      </c>
      <c r="M183" s="677">
        <f t="shared" si="94"/>
        <v>0</v>
      </c>
      <c r="N183" s="677">
        <f t="shared" si="94"/>
        <v>0</v>
      </c>
      <c r="O183" s="677">
        <f t="shared" si="94"/>
        <v>0</v>
      </c>
      <c r="P183" s="677">
        <f t="shared" si="94"/>
        <v>0</v>
      </c>
      <c r="Q183" s="677">
        <f t="shared" si="94"/>
        <v>0</v>
      </c>
      <c r="R183" s="677">
        <f t="shared" si="94"/>
        <v>0</v>
      </c>
      <c r="S183" s="677">
        <f t="shared" si="94"/>
        <v>0</v>
      </c>
      <c r="T183" s="677">
        <f t="shared" si="94"/>
        <v>0</v>
      </c>
      <c r="U183" s="677">
        <f t="shared" si="94"/>
        <v>0</v>
      </c>
      <c r="V183" s="677">
        <f t="shared" si="94"/>
        <v>0</v>
      </c>
      <c r="W183" s="677">
        <f t="shared" si="94"/>
        <v>0</v>
      </c>
      <c r="Y183" s="677">
        <f t="shared" ref="Y183:AK183" si="95">SUM(Y174,Y174:Y177,Y181:Y182)</f>
        <v>131235.5</v>
      </c>
      <c r="Z183" s="677">
        <f t="shared" si="95"/>
        <v>131235.5</v>
      </c>
      <c r="AA183" s="677">
        <f t="shared" si="95"/>
        <v>206235.5</v>
      </c>
      <c r="AB183" s="677">
        <f t="shared" si="95"/>
        <v>77735.5</v>
      </c>
      <c r="AC183" s="677">
        <f t="shared" si="95"/>
        <v>77735.5</v>
      </c>
      <c r="AD183" s="677">
        <f t="shared" si="95"/>
        <v>77735.5</v>
      </c>
      <c r="AE183" s="677">
        <f t="shared" si="95"/>
        <v>77735.5</v>
      </c>
      <c r="AF183" s="677">
        <f t="shared" si="95"/>
        <v>77735.5</v>
      </c>
      <c r="AG183" s="677">
        <f t="shared" si="95"/>
        <v>77735.5</v>
      </c>
      <c r="AH183" s="677">
        <f t="shared" si="95"/>
        <v>77735.5</v>
      </c>
      <c r="AI183" s="677">
        <f t="shared" si="95"/>
        <v>77735.5</v>
      </c>
      <c r="AJ183" s="677">
        <f t="shared" si="95"/>
        <v>77735.5</v>
      </c>
      <c r="AK183" s="677">
        <f t="shared" si="95"/>
        <v>1168326</v>
      </c>
    </row>
    <row r="184" spans="1:37" ht="13.5" customHeight="1">
      <c r="A184" s="653">
        <f>'Budget-合并'!A184</f>
        <v>0</v>
      </c>
      <c r="B184" s="653">
        <f>'Budget-合并'!B184</f>
        <v>0</v>
      </c>
      <c r="C184" s="687">
        <f>'Budget-合并'!C184</f>
        <v>0</v>
      </c>
      <c r="W184" s="652">
        <f t="shared" ref="W184:W187" si="96">SUM(K184:V184)</f>
        <v>0</v>
      </c>
    </row>
    <row r="185" spans="1:37" ht="13.5" customHeight="1">
      <c r="A185" s="686">
        <f>'Budget-合并'!A185</f>
        <v>0</v>
      </c>
      <c r="B185" s="686" t="str">
        <f>'Budget-合并'!B185</f>
        <v>营业利润</v>
      </c>
      <c r="C185" s="687">
        <f>'Budget-合并'!C185</f>
        <v>0</v>
      </c>
      <c r="D185" s="677">
        <f ca="1">INDEX($K185:$V185,1,MATCH($D$6,$K$6:$V$6))</f>
        <v>-535366.29137762485</v>
      </c>
      <c r="E185" s="677" t="e">
        <f t="shared" si="91"/>
        <v>#N/A</v>
      </c>
      <c r="F185" s="677" t="e">
        <f t="shared" ca="1" si="92"/>
        <v>#N/A</v>
      </c>
      <c r="G185" s="677">
        <f t="shared" ref="G185:G199" ca="1" si="97">SUM($K185:OFFSET($K185,0,MATCH(G$6,$K$6:$V$6)-1))</f>
        <v>-535366.29137762485</v>
      </c>
      <c r="H185" s="677" t="e">
        <f t="shared" ca="1" si="93"/>
        <v>#N/A</v>
      </c>
      <c r="I185" s="677" t="e">
        <f t="shared" ref="I185:I199" ca="1" si="98">G185-H185</f>
        <v>#N/A</v>
      </c>
      <c r="K185" s="677">
        <f ca="1">K12-K19-K42-K153-K172+K183</f>
        <v>-535366.29137762485</v>
      </c>
      <c r="L185" s="677">
        <f t="shared" ref="L185:V185" ca="1" si="99">L12-L19-L42-L153-L172+L183</f>
        <v>-453383.84970583324</v>
      </c>
      <c r="M185" s="677">
        <f t="shared" ca="1" si="99"/>
        <v>-453383.84970583324</v>
      </c>
      <c r="N185" s="677">
        <f t="shared" ca="1" si="99"/>
        <v>-1361543.8497058335</v>
      </c>
      <c r="O185" s="677">
        <f t="shared" ca="1" si="99"/>
        <v>-681873.64970583317</v>
      </c>
      <c r="P185" s="677">
        <f t="shared" ca="1" si="99"/>
        <v>-532252.52970583318</v>
      </c>
      <c r="Q185" s="677">
        <f t="shared" ca="1" si="99"/>
        <v>-453383.84970583324</v>
      </c>
      <c r="R185" s="677">
        <f t="shared" ca="1" si="99"/>
        <v>-488671.84970583324</v>
      </c>
      <c r="S185" s="677">
        <f t="shared" ca="1" si="99"/>
        <v>-488671.84970583324</v>
      </c>
      <c r="T185" s="677">
        <f t="shared" ca="1" si="99"/>
        <v>-496823.37770583323</v>
      </c>
      <c r="U185" s="677">
        <f t="shared" ca="1" si="99"/>
        <v>-488671.84970583324</v>
      </c>
      <c r="V185" s="677">
        <f t="shared" ca="1" si="99"/>
        <v>-488671.84970583324</v>
      </c>
      <c r="W185" s="5">
        <f t="shared" ca="1" si="96"/>
        <v>-6922698.6461417899</v>
      </c>
      <c r="X185" s="5" t="e">
        <f>SUMIF(SPACE!$A:$A,$D$1,SPACE!$AA:$AA)+SUMIF('T&amp;E'!$B$16:$B$45,$D$1,'T&amp;E'!$U$16:$U$45)+SUMIF('Prof. Fee'!$B:$B,$D$1,'Prof. Fee'!$AR:$AR)+SUMIF('Other Exp'!$B:$B,$D$1,'Other Exp'!$AS:$AS)+SUMIF('Medical Exp Calc.'!$A$9:$A$13,$D$1,'Medical Exp Calc.'!$C$9:$C$13)+SUMIF('[90]Personnel-HK 2026'!$B$22:$B$37,$D$1,'[90]Personnel-HK 2026'!$AG$22:$AG$37)</f>
        <v>#VALUE!</v>
      </c>
      <c r="Y185" s="677">
        <f t="shared" ref="Y185:AK185" si="100">Y12-Y19-Y42-Y153-Y172+Y183</f>
        <v>-664128.69999999995</v>
      </c>
      <c r="Z185" s="677">
        <f t="shared" si="100"/>
        <v>-743169.58</v>
      </c>
      <c r="AA185" s="677">
        <f t="shared" si="100"/>
        <v>-588600.45000000007</v>
      </c>
      <c r="AB185" s="677">
        <f t="shared" si="100"/>
        <v>-666406.80000000005</v>
      </c>
      <c r="AC185" s="677">
        <f t="shared" si="100"/>
        <v>-705079.14000000013</v>
      </c>
      <c r="AD185" s="677">
        <f t="shared" si="100"/>
        <v>-641973.12</v>
      </c>
      <c r="AE185" s="677">
        <f t="shared" si="100"/>
        <v>-736744.17999999993</v>
      </c>
      <c r="AF185" s="677">
        <f t="shared" si="100"/>
        <v>-605953.19999999995</v>
      </c>
      <c r="AG185" s="677">
        <f t="shared" si="100"/>
        <v>-728853.16999999993</v>
      </c>
      <c r="AH185" s="677">
        <f t="shared" si="100"/>
        <v>-632740.47000000009</v>
      </c>
      <c r="AI185" s="677">
        <f t="shared" si="100"/>
        <v>-594487.21</v>
      </c>
      <c r="AJ185" s="677">
        <f t="shared" si="100"/>
        <v>-625273.60999999987</v>
      </c>
      <c r="AK185" s="677">
        <f t="shared" si="100"/>
        <v>-7933409.6300000008</v>
      </c>
    </row>
    <row r="186" spans="1:37" ht="13.5" customHeight="1">
      <c r="A186" s="653">
        <f>'Budget-合并'!A186</f>
        <v>0</v>
      </c>
      <c r="B186" s="653">
        <f>'Budget-合并'!B186</f>
        <v>0</v>
      </c>
      <c r="C186" s="687">
        <f>'Budget-合并'!C186</f>
        <v>0</v>
      </c>
    </row>
    <row r="187" spans="1:37" ht="13.5" customHeight="1">
      <c r="A187" s="653" t="str">
        <f>'Budget-合并'!A187</f>
        <v>6301</v>
      </c>
      <c r="B187" s="653" t="str">
        <f>'Budget-合并'!B187</f>
        <v>营业外收入</v>
      </c>
      <c r="C187" s="687">
        <f>'Budget-合并'!C187</f>
        <v>0</v>
      </c>
      <c r="D187" s="676">
        <f t="shared" ref="D187:D199" si="101">INDEX($K187:$V187,1,MATCH($D$6,$K$6:$V$6))</f>
        <v>0</v>
      </c>
      <c r="E187" s="676" t="e">
        <f t="shared" si="91"/>
        <v>#N/A</v>
      </c>
      <c r="F187" s="676" t="e">
        <f t="shared" si="92"/>
        <v>#N/A</v>
      </c>
      <c r="G187" s="676">
        <f t="shared" ca="1" si="97"/>
        <v>0</v>
      </c>
      <c r="H187" s="676" t="e">
        <f t="shared" ca="1" si="93"/>
        <v>#N/A</v>
      </c>
      <c r="I187" s="676" t="e">
        <f t="shared" ca="1" si="98"/>
        <v>#N/A</v>
      </c>
      <c r="K187" s="676">
        <f>SUM(K188:K192)</f>
        <v>0</v>
      </c>
      <c r="L187" s="676">
        <f t="shared" ref="L187:V187" si="102">SUM(L188:L192)</f>
        <v>0</v>
      </c>
      <c r="M187" s="676">
        <f t="shared" si="102"/>
        <v>0</v>
      </c>
      <c r="N187" s="676">
        <f t="shared" si="102"/>
        <v>0</v>
      </c>
      <c r="O187" s="676">
        <f t="shared" si="102"/>
        <v>0</v>
      </c>
      <c r="P187" s="676">
        <f t="shared" si="102"/>
        <v>0</v>
      </c>
      <c r="Q187" s="676">
        <f t="shared" si="102"/>
        <v>0</v>
      </c>
      <c r="R187" s="676">
        <f t="shared" si="102"/>
        <v>0</v>
      </c>
      <c r="S187" s="676">
        <f t="shared" si="102"/>
        <v>0</v>
      </c>
      <c r="T187" s="676">
        <f t="shared" si="102"/>
        <v>0</v>
      </c>
      <c r="U187" s="676">
        <f t="shared" si="102"/>
        <v>0</v>
      </c>
      <c r="V187" s="676">
        <f t="shared" si="102"/>
        <v>0</v>
      </c>
      <c r="W187" s="676">
        <f t="shared" si="96"/>
        <v>0</v>
      </c>
      <c r="Y187" s="688">
        <f>IFERROR(VLOOKUP($A187,'[91]1月'!$A:$H,8,0),0)</f>
        <v>0</v>
      </c>
      <c r="Z187" s="688">
        <f>IFERROR(VLOOKUP($A187,'[91]2月'!$A:$H,8,0),0)</f>
        <v>0</v>
      </c>
      <c r="AA187" s="688">
        <f>IFERROR(VLOOKUP($A187,'[91]3月'!$A:$H,8,0),0)</f>
        <v>0</v>
      </c>
      <c r="AB187" s="688">
        <f>IFERROR(VLOOKUP($A187,'[91]4月'!$A:$H,8,0),0)</f>
        <v>0</v>
      </c>
      <c r="AC187" s="688">
        <f>IFERROR(VLOOKUP($A187,'[91]5月'!$A:$H,8,0),0)</f>
        <v>0</v>
      </c>
      <c r="AD187" s="688">
        <f>IFERROR(VLOOKUP($A187,'[91]6月'!$A:$H,8,0),0)</f>
        <v>0</v>
      </c>
      <c r="AE187" s="688">
        <f>IFERROR(VLOOKUP($A187,'[91]7月'!$A:$H,8,0),0)</f>
        <v>0</v>
      </c>
      <c r="AF187" s="688">
        <f>IFERROR(VLOOKUP($A187,'[91]8月'!$A:$H,8,0),0)</f>
        <v>0</v>
      </c>
      <c r="AG187" s="688">
        <f>IFERROR(VLOOKUP($A187,'[91]9月'!$A:$H,8,0),0)</f>
        <v>0</v>
      </c>
      <c r="AH187" s="688">
        <f>IFERROR(VLOOKUP($A187,'[91]10月'!$A:$H,8,0),0)</f>
        <v>0</v>
      </c>
      <c r="AI187" s="688">
        <f>IFERROR(VLOOKUP($A187,'[91]11月'!$A:$H,8,0),0)</f>
        <v>0</v>
      </c>
      <c r="AJ187" s="688">
        <f>IFERROR(VLOOKUP($A187,'[91]12月'!$A:$H,8,0),0)</f>
        <v>0</v>
      </c>
      <c r="AK187" s="688">
        <f t="shared" ref="AK187:AK198" si="103">SUM(Y187:AJ187)</f>
        <v>0</v>
      </c>
    </row>
    <row r="188" spans="1:37" ht="13.5" customHeight="1">
      <c r="A188" s="653" t="str">
        <f>'Budget-合并'!A188</f>
        <v>6301.01</v>
      </c>
      <c r="B188" s="653" t="str">
        <f>'Budget-合并'!B188</f>
        <v>非流动资产处置利得</v>
      </c>
      <c r="C188" s="687">
        <f>'Budget-合并'!C188</f>
        <v>0</v>
      </c>
      <c r="D188" s="676">
        <f t="shared" si="101"/>
        <v>0</v>
      </c>
      <c r="E188" s="676" t="e">
        <f t="shared" si="91"/>
        <v>#N/A</v>
      </c>
      <c r="F188" s="676" t="e">
        <f t="shared" si="92"/>
        <v>#N/A</v>
      </c>
      <c r="G188" s="676">
        <f t="shared" ca="1" si="97"/>
        <v>0</v>
      </c>
      <c r="H188" s="676" t="e">
        <f t="shared" ca="1" si="93"/>
        <v>#N/A</v>
      </c>
      <c r="I188" s="676" t="e">
        <f t="shared" ca="1" si="98"/>
        <v>#N/A</v>
      </c>
      <c r="K188" s="676"/>
      <c r="L188" s="676"/>
      <c r="M188" s="676"/>
      <c r="N188" s="676"/>
      <c r="O188" s="676"/>
      <c r="P188" s="676"/>
      <c r="Q188" s="676"/>
      <c r="R188" s="676"/>
      <c r="S188" s="676"/>
      <c r="T188" s="676"/>
      <c r="U188" s="676"/>
      <c r="V188" s="676"/>
      <c r="W188" s="676">
        <f t="shared" ref="W188:W198" si="104">SUM(K188:V188)</f>
        <v>0</v>
      </c>
      <c r="Y188" s="688">
        <f>IFERROR(VLOOKUP($A188,'[91]1月'!$A:$H,8,0),0)</f>
        <v>0</v>
      </c>
      <c r="Z188" s="688">
        <f>IFERROR(VLOOKUP($A188,'[91]2月'!$A:$H,8,0),0)</f>
        <v>0</v>
      </c>
      <c r="AA188" s="688">
        <f>IFERROR(VLOOKUP($A188,'[91]3月'!$A:$H,8,0),0)</f>
        <v>0</v>
      </c>
      <c r="AB188" s="688">
        <f>IFERROR(VLOOKUP($A188,'[91]4月'!$A:$H,8,0),0)</f>
        <v>0</v>
      </c>
      <c r="AC188" s="688">
        <f>IFERROR(VLOOKUP($A188,'[91]5月'!$A:$H,8,0),0)</f>
        <v>0</v>
      </c>
      <c r="AD188" s="688">
        <f>IFERROR(VLOOKUP($A188,'[91]6月'!$A:$H,8,0),0)</f>
        <v>0</v>
      </c>
      <c r="AE188" s="688">
        <f>IFERROR(VLOOKUP($A188,'[91]7月'!$A:$H,8,0),0)</f>
        <v>0</v>
      </c>
      <c r="AF188" s="688">
        <f>IFERROR(VLOOKUP($A188,'[91]8月'!$A:$H,8,0),0)</f>
        <v>0</v>
      </c>
      <c r="AG188" s="688">
        <f>IFERROR(VLOOKUP($A188,'[91]9月'!$A:$H,8,0),0)</f>
        <v>0</v>
      </c>
      <c r="AH188" s="688">
        <f>IFERROR(VLOOKUP($A188,'[91]10月'!$A:$H,8,0),0)</f>
        <v>0</v>
      </c>
      <c r="AI188" s="688">
        <f>IFERROR(VLOOKUP($A188,'[91]11月'!$A:$H,8,0),0)</f>
        <v>0</v>
      </c>
      <c r="AJ188" s="688">
        <f>IFERROR(VLOOKUP($A188,'[91]12月'!$A:$H,8,0),0)</f>
        <v>0</v>
      </c>
      <c r="AK188" s="688">
        <f t="shared" si="103"/>
        <v>0</v>
      </c>
    </row>
    <row r="189" spans="1:37" ht="13.5" customHeight="1">
      <c r="A189" s="653" t="str">
        <f>'Budget-合并'!A189</f>
        <v>6301.02</v>
      </c>
      <c r="B189" s="653" t="str">
        <f>'Budget-合并'!B189</f>
        <v>债务重组利得</v>
      </c>
      <c r="C189" s="687">
        <f>'Budget-合并'!C189</f>
        <v>0</v>
      </c>
      <c r="D189" s="676">
        <f t="shared" si="101"/>
        <v>0</v>
      </c>
      <c r="E189" s="676" t="e">
        <f t="shared" si="91"/>
        <v>#N/A</v>
      </c>
      <c r="F189" s="676" t="e">
        <f t="shared" si="92"/>
        <v>#N/A</v>
      </c>
      <c r="G189" s="676">
        <f t="shared" ca="1" si="97"/>
        <v>0</v>
      </c>
      <c r="H189" s="676" t="e">
        <f t="shared" ca="1" si="93"/>
        <v>#N/A</v>
      </c>
      <c r="I189" s="676" t="e">
        <f t="shared" ca="1" si="98"/>
        <v>#N/A</v>
      </c>
      <c r="K189" s="676"/>
      <c r="L189" s="676"/>
      <c r="M189" s="676"/>
      <c r="N189" s="676"/>
      <c r="O189" s="676"/>
      <c r="P189" s="676"/>
      <c r="Q189" s="676"/>
      <c r="R189" s="676"/>
      <c r="S189" s="676"/>
      <c r="T189" s="676"/>
      <c r="U189" s="676"/>
      <c r="V189" s="676"/>
      <c r="W189" s="676">
        <f t="shared" si="104"/>
        <v>0</v>
      </c>
      <c r="Y189" s="688">
        <f>IFERROR(VLOOKUP($A189,'[91]1月'!$A:$H,8,0),0)</f>
        <v>0</v>
      </c>
      <c r="Z189" s="688">
        <f>IFERROR(VLOOKUP($A189,'[91]2月'!$A:$H,8,0),0)</f>
        <v>0</v>
      </c>
      <c r="AA189" s="688">
        <f>IFERROR(VLOOKUP($A189,'[91]3月'!$A:$H,8,0),0)</f>
        <v>0</v>
      </c>
      <c r="AB189" s="688">
        <f>IFERROR(VLOOKUP($A189,'[91]4月'!$A:$H,8,0),0)</f>
        <v>0</v>
      </c>
      <c r="AC189" s="688">
        <f>IFERROR(VLOOKUP($A189,'[91]5月'!$A:$H,8,0),0)</f>
        <v>0</v>
      </c>
      <c r="AD189" s="688">
        <f>IFERROR(VLOOKUP($A189,'[91]6月'!$A:$H,8,0),0)</f>
        <v>0</v>
      </c>
      <c r="AE189" s="688">
        <f>IFERROR(VLOOKUP($A189,'[91]7月'!$A:$H,8,0),0)</f>
        <v>0</v>
      </c>
      <c r="AF189" s="688">
        <f>IFERROR(VLOOKUP($A189,'[91]8月'!$A:$H,8,0),0)</f>
        <v>0</v>
      </c>
      <c r="AG189" s="688">
        <f>IFERROR(VLOOKUP($A189,'[91]9月'!$A:$H,8,0),0)</f>
        <v>0</v>
      </c>
      <c r="AH189" s="688">
        <f>IFERROR(VLOOKUP($A189,'[91]10月'!$A:$H,8,0),0)</f>
        <v>0</v>
      </c>
      <c r="AI189" s="688">
        <f>IFERROR(VLOOKUP($A189,'[91]11月'!$A:$H,8,0),0)</f>
        <v>0</v>
      </c>
      <c r="AJ189" s="688">
        <f>IFERROR(VLOOKUP($A189,'[91]12月'!$A:$H,8,0),0)</f>
        <v>0</v>
      </c>
      <c r="AK189" s="688">
        <f t="shared" si="103"/>
        <v>0</v>
      </c>
    </row>
    <row r="190" spans="1:37" ht="13.5" customHeight="1">
      <c r="A190" s="653" t="str">
        <f>'Budget-合并'!A190</f>
        <v>6301.03</v>
      </c>
      <c r="B190" s="653" t="str">
        <f>'Budget-合并'!B190</f>
        <v>盘盈利得</v>
      </c>
      <c r="C190" s="687">
        <f>'Budget-合并'!C190</f>
        <v>0</v>
      </c>
      <c r="D190" s="676">
        <f t="shared" si="101"/>
        <v>0</v>
      </c>
      <c r="E190" s="676" t="e">
        <f t="shared" si="91"/>
        <v>#N/A</v>
      </c>
      <c r="F190" s="676" t="e">
        <f t="shared" si="92"/>
        <v>#N/A</v>
      </c>
      <c r="G190" s="676">
        <f t="shared" ca="1" si="97"/>
        <v>0</v>
      </c>
      <c r="H190" s="676" t="e">
        <f t="shared" ca="1" si="93"/>
        <v>#N/A</v>
      </c>
      <c r="I190" s="676" t="e">
        <f t="shared" ca="1" si="98"/>
        <v>#N/A</v>
      </c>
      <c r="K190" s="676"/>
      <c r="L190" s="676"/>
      <c r="M190" s="676"/>
      <c r="N190" s="676"/>
      <c r="O190" s="676"/>
      <c r="P190" s="676"/>
      <c r="Q190" s="676"/>
      <c r="R190" s="676"/>
      <c r="S190" s="676"/>
      <c r="T190" s="676"/>
      <c r="U190" s="676"/>
      <c r="V190" s="676"/>
      <c r="W190" s="676">
        <f t="shared" si="104"/>
        <v>0</v>
      </c>
      <c r="Y190" s="688">
        <f>IFERROR(VLOOKUP($A190,'[91]1月'!$A:$H,8,0),0)</f>
        <v>0</v>
      </c>
      <c r="Z190" s="688">
        <f>IFERROR(VLOOKUP($A190,'[91]2月'!$A:$H,8,0),0)</f>
        <v>0</v>
      </c>
      <c r="AA190" s="688">
        <f>IFERROR(VLOOKUP($A190,'[91]3月'!$A:$H,8,0),0)</f>
        <v>0</v>
      </c>
      <c r="AB190" s="688">
        <f>IFERROR(VLOOKUP($A190,'[91]4月'!$A:$H,8,0),0)</f>
        <v>0</v>
      </c>
      <c r="AC190" s="688">
        <f>IFERROR(VLOOKUP($A190,'[91]5月'!$A:$H,8,0),0)</f>
        <v>0</v>
      </c>
      <c r="AD190" s="688">
        <f>IFERROR(VLOOKUP($A190,'[91]6月'!$A:$H,8,0),0)</f>
        <v>0</v>
      </c>
      <c r="AE190" s="688">
        <f>IFERROR(VLOOKUP($A190,'[91]7月'!$A:$H,8,0),0)</f>
        <v>0</v>
      </c>
      <c r="AF190" s="688">
        <f>IFERROR(VLOOKUP($A190,'[91]8月'!$A:$H,8,0),0)</f>
        <v>0</v>
      </c>
      <c r="AG190" s="688">
        <f>IFERROR(VLOOKUP($A190,'[91]9月'!$A:$H,8,0),0)</f>
        <v>0</v>
      </c>
      <c r="AH190" s="688">
        <f>IFERROR(VLOOKUP($A190,'[91]10月'!$A:$H,8,0),0)</f>
        <v>0</v>
      </c>
      <c r="AI190" s="688">
        <f>IFERROR(VLOOKUP($A190,'[91]11月'!$A:$H,8,0),0)</f>
        <v>0</v>
      </c>
      <c r="AJ190" s="688">
        <f>IFERROR(VLOOKUP($A190,'[91]12月'!$A:$H,8,0),0)</f>
        <v>0</v>
      </c>
      <c r="AK190" s="688">
        <f t="shared" si="103"/>
        <v>0</v>
      </c>
    </row>
    <row r="191" spans="1:37" ht="13.5" customHeight="1">
      <c r="A191" s="653" t="str">
        <f>'Budget-合并'!A191</f>
        <v>6301.04</v>
      </c>
      <c r="B191" s="653" t="str">
        <f>'Budget-合并'!B191</f>
        <v>捐赠利得</v>
      </c>
      <c r="C191" s="687">
        <f>'Budget-合并'!C191</f>
        <v>0</v>
      </c>
      <c r="D191" s="676">
        <f t="shared" si="101"/>
        <v>0</v>
      </c>
      <c r="E191" s="676" t="e">
        <f t="shared" si="91"/>
        <v>#N/A</v>
      </c>
      <c r="F191" s="676" t="e">
        <f t="shared" si="92"/>
        <v>#N/A</v>
      </c>
      <c r="G191" s="676">
        <f t="shared" ca="1" si="97"/>
        <v>0</v>
      </c>
      <c r="H191" s="676" t="e">
        <f t="shared" ca="1" si="93"/>
        <v>#N/A</v>
      </c>
      <c r="I191" s="676" t="e">
        <f t="shared" ca="1" si="98"/>
        <v>#N/A</v>
      </c>
      <c r="K191" s="676"/>
      <c r="L191" s="676"/>
      <c r="M191" s="676"/>
      <c r="N191" s="676"/>
      <c r="O191" s="676"/>
      <c r="P191" s="676"/>
      <c r="Q191" s="676"/>
      <c r="R191" s="676"/>
      <c r="S191" s="676"/>
      <c r="T191" s="676"/>
      <c r="U191" s="676"/>
      <c r="V191" s="676"/>
      <c r="W191" s="676">
        <f t="shared" si="104"/>
        <v>0</v>
      </c>
      <c r="Y191" s="688">
        <f>IFERROR(VLOOKUP($A191,'[91]1月'!$A:$H,8,0),0)</f>
        <v>0</v>
      </c>
      <c r="Z191" s="688">
        <f>IFERROR(VLOOKUP($A191,'[91]2月'!$A:$H,8,0),0)</f>
        <v>0</v>
      </c>
      <c r="AA191" s="688">
        <f>IFERROR(VLOOKUP($A191,'[91]3月'!$A:$H,8,0),0)</f>
        <v>0</v>
      </c>
      <c r="AB191" s="688">
        <f>IFERROR(VLOOKUP($A191,'[91]4月'!$A:$H,8,0),0)</f>
        <v>0</v>
      </c>
      <c r="AC191" s="688">
        <f>IFERROR(VLOOKUP($A191,'[91]5月'!$A:$H,8,0),0)</f>
        <v>0</v>
      </c>
      <c r="AD191" s="688">
        <f>IFERROR(VLOOKUP($A191,'[91]6月'!$A:$H,8,0),0)</f>
        <v>0</v>
      </c>
      <c r="AE191" s="688">
        <f>IFERROR(VLOOKUP($A191,'[91]7月'!$A:$H,8,0),0)</f>
        <v>0</v>
      </c>
      <c r="AF191" s="688">
        <f>IFERROR(VLOOKUP($A191,'[91]8月'!$A:$H,8,0),0)</f>
        <v>0</v>
      </c>
      <c r="AG191" s="688">
        <f>IFERROR(VLOOKUP($A191,'[91]9月'!$A:$H,8,0),0)</f>
        <v>0</v>
      </c>
      <c r="AH191" s="688">
        <f>IFERROR(VLOOKUP($A191,'[91]10月'!$A:$H,8,0),0)</f>
        <v>0</v>
      </c>
      <c r="AI191" s="688">
        <f>IFERROR(VLOOKUP($A191,'[91]11月'!$A:$H,8,0),0)</f>
        <v>0</v>
      </c>
      <c r="AJ191" s="688">
        <f>IFERROR(VLOOKUP($A191,'[91]12月'!$A:$H,8,0),0)</f>
        <v>0</v>
      </c>
      <c r="AK191" s="688">
        <f t="shared" si="103"/>
        <v>0</v>
      </c>
    </row>
    <row r="192" spans="1:37" ht="13.5" customHeight="1">
      <c r="A192" s="653" t="str">
        <f>'Budget-合并'!A192</f>
        <v>6301.99</v>
      </c>
      <c r="B192" s="653" t="str">
        <f>'Budget-合并'!B192</f>
        <v>其他</v>
      </c>
      <c r="C192" s="687">
        <f>'Budget-合并'!C192</f>
        <v>0</v>
      </c>
      <c r="D192" s="676">
        <f t="shared" si="101"/>
        <v>0</v>
      </c>
      <c r="E192" s="676" t="e">
        <f t="shared" si="91"/>
        <v>#N/A</v>
      </c>
      <c r="F192" s="676" t="e">
        <f t="shared" si="92"/>
        <v>#N/A</v>
      </c>
      <c r="G192" s="676">
        <f t="shared" ca="1" si="97"/>
        <v>0</v>
      </c>
      <c r="H192" s="676" t="e">
        <f t="shared" ca="1" si="93"/>
        <v>#N/A</v>
      </c>
      <c r="I192" s="676" t="e">
        <f t="shared" ca="1" si="98"/>
        <v>#N/A</v>
      </c>
      <c r="K192" s="676"/>
      <c r="L192" s="676"/>
      <c r="M192" s="676"/>
      <c r="N192" s="676"/>
      <c r="O192" s="676"/>
      <c r="P192" s="676"/>
      <c r="Q192" s="676"/>
      <c r="R192" s="676"/>
      <c r="S192" s="676"/>
      <c r="T192" s="676"/>
      <c r="U192" s="676"/>
      <c r="V192" s="676"/>
      <c r="W192" s="676">
        <f t="shared" si="104"/>
        <v>0</v>
      </c>
      <c r="Y192" s="688">
        <f>IFERROR(VLOOKUP($A192,'[91]1月'!$A:$H,8,0),0)</f>
        <v>0</v>
      </c>
      <c r="Z192" s="688">
        <f>IFERROR(VLOOKUP($A192,'[91]2月'!$A:$H,8,0),0)</f>
        <v>0</v>
      </c>
      <c r="AA192" s="688">
        <f>IFERROR(VLOOKUP($A192,'[91]3月'!$A:$H,8,0),0)</f>
        <v>0</v>
      </c>
      <c r="AB192" s="688">
        <f>IFERROR(VLOOKUP($A192,'[91]4月'!$A:$H,8,0),0)</f>
        <v>0</v>
      </c>
      <c r="AC192" s="688">
        <f>IFERROR(VLOOKUP($A192,'[91]5月'!$A:$H,8,0),0)</f>
        <v>0</v>
      </c>
      <c r="AD192" s="688">
        <f>IFERROR(VLOOKUP($A192,'[91]6月'!$A:$H,8,0),0)</f>
        <v>0</v>
      </c>
      <c r="AE192" s="688">
        <f>IFERROR(VLOOKUP($A192,'[91]7月'!$A:$H,8,0),0)</f>
        <v>0</v>
      </c>
      <c r="AF192" s="688">
        <f>IFERROR(VLOOKUP($A192,'[91]8月'!$A:$H,8,0),0)</f>
        <v>0</v>
      </c>
      <c r="AG192" s="688">
        <f>IFERROR(VLOOKUP($A192,'[91]9月'!$A:$H,8,0),0)</f>
        <v>0</v>
      </c>
      <c r="AH192" s="688">
        <f>IFERROR(VLOOKUP($A192,'[91]10月'!$A:$H,8,0),0)</f>
        <v>0</v>
      </c>
      <c r="AI192" s="688">
        <f>IFERROR(VLOOKUP($A192,'[91]11月'!$A:$H,8,0),0)</f>
        <v>0</v>
      </c>
      <c r="AJ192" s="688">
        <f>IFERROR(VLOOKUP($A192,'[91]12月'!$A:$H,8,0),0)</f>
        <v>0</v>
      </c>
      <c r="AK192" s="688">
        <f t="shared" si="103"/>
        <v>0</v>
      </c>
    </row>
    <row r="193" spans="1:37" ht="13.5" customHeight="1">
      <c r="A193" s="653" t="str">
        <f>'Budget-合并'!A193</f>
        <v>6402</v>
      </c>
      <c r="B193" s="653" t="str">
        <f>'Budget-合并'!B193</f>
        <v>其他业务成本</v>
      </c>
      <c r="C193" s="687">
        <f>'Budget-合并'!C193</f>
        <v>0</v>
      </c>
      <c r="D193" s="676">
        <f t="shared" si="101"/>
        <v>0</v>
      </c>
      <c r="E193" s="676" t="e">
        <f t="shared" si="91"/>
        <v>#N/A</v>
      </c>
      <c r="F193" s="676" t="e">
        <f t="shared" si="92"/>
        <v>#N/A</v>
      </c>
      <c r="G193" s="676">
        <f t="shared" ca="1" si="97"/>
        <v>0</v>
      </c>
      <c r="H193" s="676" t="e">
        <f t="shared" ca="1" si="93"/>
        <v>#N/A</v>
      </c>
      <c r="I193" s="676" t="e">
        <f t="shared" ca="1" si="98"/>
        <v>#N/A</v>
      </c>
      <c r="K193" s="676"/>
      <c r="L193" s="676"/>
      <c r="M193" s="676"/>
      <c r="N193" s="676"/>
      <c r="O193" s="676"/>
      <c r="P193" s="676"/>
      <c r="Q193" s="676"/>
      <c r="R193" s="676"/>
      <c r="S193" s="676"/>
      <c r="T193" s="676"/>
      <c r="U193" s="676"/>
      <c r="V193" s="676"/>
      <c r="W193" s="676">
        <f t="shared" si="104"/>
        <v>0</v>
      </c>
      <c r="Y193" s="688">
        <f>IFERROR(VLOOKUP($A193,'[91]1月'!$A:$H,8,0),0)</f>
        <v>0</v>
      </c>
      <c r="Z193" s="688">
        <f>IFERROR(VLOOKUP($A193,'[91]2月'!$A:$H,8,0),0)</f>
        <v>0</v>
      </c>
      <c r="AA193" s="688">
        <f>IFERROR(VLOOKUP($A193,'[91]3月'!$A:$H,8,0),0)</f>
        <v>0</v>
      </c>
      <c r="AB193" s="688">
        <f>IFERROR(VLOOKUP($A193,'[91]4月'!$A:$H,8,0),0)</f>
        <v>0</v>
      </c>
      <c r="AC193" s="688">
        <f>IFERROR(VLOOKUP($A193,'[91]5月'!$A:$H,8,0),0)</f>
        <v>0</v>
      </c>
      <c r="AD193" s="688">
        <f>IFERROR(VLOOKUP($A193,'[91]6月'!$A:$H,8,0),0)</f>
        <v>0</v>
      </c>
      <c r="AE193" s="688">
        <f>IFERROR(VLOOKUP($A193,'[91]7月'!$A:$H,8,0),0)</f>
        <v>0</v>
      </c>
      <c r="AF193" s="688">
        <f>IFERROR(VLOOKUP($A193,'[91]8月'!$A:$H,8,0),0)</f>
        <v>0</v>
      </c>
      <c r="AG193" s="688">
        <f>IFERROR(VLOOKUP($A193,'[91]9月'!$A:$H,8,0),0)</f>
        <v>0</v>
      </c>
      <c r="AH193" s="688">
        <f>IFERROR(VLOOKUP($A193,'[91]10月'!$A:$H,8,0),0)</f>
        <v>0</v>
      </c>
      <c r="AI193" s="688">
        <f>IFERROR(VLOOKUP($A193,'[91]11月'!$A:$H,8,0),0)</f>
        <v>0</v>
      </c>
      <c r="AJ193" s="688">
        <f>IFERROR(VLOOKUP($A193,'[91]12月'!$A:$H,8,0),0)</f>
        <v>0</v>
      </c>
      <c r="AK193" s="688">
        <f t="shared" si="103"/>
        <v>0</v>
      </c>
    </row>
    <row r="194" spans="1:37" ht="13.5" customHeight="1">
      <c r="A194" s="653" t="str">
        <f>'Budget-合并'!A194</f>
        <v>6701</v>
      </c>
      <c r="B194" s="653" t="str">
        <f>'Budget-合并'!B194</f>
        <v>资产减值损失</v>
      </c>
      <c r="C194" s="687" t="str">
        <f>'Budget-合并'!C194</f>
        <v>Impairment loss</v>
      </c>
      <c r="D194" s="676">
        <f t="shared" si="101"/>
        <v>0</v>
      </c>
      <c r="E194" s="676" t="e">
        <f t="shared" si="91"/>
        <v>#N/A</v>
      </c>
      <c r="F194" s="676" t="e">
        <f t="shared" si="92"/>
        <v>#N/A</v>
      </c>
      <c r="G194" s="676">
        <f t="shared" ca="1" si="97"/>
        <v>0</v>
      </c>
      <c r="H194" s="676" t="e">
        <f t="shared" ca="1" si="93"/>
        <v>#N/A</v>
      </c>
      <c r="I194" s="676" t="e">
        <f t="shared" ca="1" si="98"/>
        <v>#N/A</v>
      </c>
      <c r="K194" s="676"/>
      <c r="L194" s="676"/>
      <c r="M194" s="676"/>
      <c r="N194" s="676"/>
      <c r="O194" s="676"/>
      <c r="P194" s="676"/>
      <c r="Q194" s="676"/>
      <c r="R194" s="676"/>
      <c r="S194" s="676"/>
      <c r="T194" s="676"/>
      <c r="U194" s="676"/>
      <c r="V194" s="676"/>
      <c r="W194" s="676">
        <f t="shared" si="104"/>
        <v>0</v>
      </c>
      <c r="Y194" s="688">
        <f>IFERROR(VLOOKUP($A194,'[91]1月'!$A:$H,8,0),0)</f>
        <v>0</v>
      </c>
      <c r="Z194" s="688">
        <f>IFERROR(VLOOKUP($A194,'[91]2月'!$A:$H,8,0),0)</f>
        <v>0</v>
      </c>
      <c r="AA194" s="688">
        <f>IFERROR(VLOOKUP($A194,'[91]3月'!$A:$H,8,0),0)</f>
        <v>0</v>
      </c>
      <c r="AB194" s="688">
        <f>IFERROR(VLOOKUP($A194,'[91]4月'!$A:$H,8,0),0)</f>
        <v>0</v>
      </c>
      <c r="AC194" s="688">
        <f>IFERROR(VLOOKUP($A194,'[91]5月'!$A:$H,8,0),0)</f>
        <v>0</v>
      </c>
      <c r="AD194" s="688">
        <f>IFERROR(VLOOKUP($A194,'[91]6月'!$A:$H,8,0),0)</f>
        <v>0</v>
      </c>
      <c r="AE194" s="688">
        <f>IFERROR(VLOOKUP($A194,'[91]7月'!$A:$H,8,0),0)</f>
        <v>0</v>
      </c>
      <c r="AF194" s="688">
        <f>IFERROR(VLOOKUP($A194,'[91]8月'!$A:$H,8,0),0)</f>
        <v>0</v>
      </c>
      <c r="AG194" s="688">
        <f>IFERROR(VLOOKUP($A194,'[91]9月'!$A:$H,8,0),0)</f>
        <v>0</v>
      </c>
      <c r="AH194" s="688">
        <f>IFERROR(VLOOKUP($A194,'[91]10月'!$A:$H,8,0),0)</f>
        <v>0</v>
      </c>
      <c r="AI194" s="688">
        <f>IFERROR(VLOOKUP($A194,'[91]11月'!$A:$H,8,0),0)</f>
        <v>0</v>
      </c>
      <c r="AJ194" s="688">
        <f>IFERROR(VLOOKUP($A194,'[91]12月'!$A:$H,8,0),0)</f>
        <v>0</v>
      </c>
      <c r="AK194" s="688">
        <f t="shared" si="103"/>
        <v>0</v>
      </c>
    </row>
    <row r="195" spans="1:37" s="649" customFormat="1" ht="13.5" customHeight="1">
      <c r="A195" s="653" t="str">
        <f>'Budget-合并'!A195</f>
        <v>6711</v>
      </c>
      <c r="B195" s="653" t="str">
        <f>'Budget-合并'!B195</f>
        <v>营业外支出</v>
      </c>
      <c r="C195" s="687">
        <f>'Budget-合并'!C195</f>
        <v>0</v>
      </c>
      <c r="D195" s="676">
        <f t="shared" si="101"/>
        <v>0</v>
      </c>
      <c r="E195" s="676" t="e">
        <f t="shared" si="91"/>
        <v>#N/A</v>
      </c>
      <c r="F195" s="676" t="e">
        <f t="shared" si="92"/>
        <v>#N/A</v>
      </c>
      <c r="G195" s="676">
        <f t="shared" ca="1" si="97"/>
        <v>0</v>
      </c>
      <c r="H195" s="676" t="e">
        <f t="shared" ca="1" si="93"/>
        <v>#N/A</v>
      </c>
      <c r="I195" s="676" t="e">
        <f t="shared" ca="1" si="98"/>
        <v>#N/A</v>
      </c>
      <c r="J195" s="654"/>
      <c r="K195" s="676">
        <f>SUM(K196:K197)</f>
        <v>0</v>
      </c>
      <c r="L195" s="676">
        <f t="shared" ref="L195:V195" si="105">SUM(L196:L197)</f>
        <v>0</v>
      </c>
      <c r="M195" s="676">
        <f t="shared" si="105"/>
        <v>0</v>
      </c>
      <c r="N195" s="676">
        <f t="shared" si="105"/>
        <v>0</v>
      </c>
      <c r="O195" s="676">
        <f t="shared" si="105"/>
        <v>0</v>
      </c>
      <c r="P195" s="676">
        <f t="shared" si="105"/>
        <v>0</v>
      </c>
      <c r="Q195" s="676">
        <f t="shared" si="105"/>
        <v>0</v>
      </c>
      <c r="R195" s="676">
        <f t="shared" si="105"/>
        <v>0</v>
      </c>
      <c r="S195" s="676">
        <f t="shared" si="105"/>
        <v>0</v>
      </c>
      <c r="T195" s="676">
        <f t="shared" si="105"/>
        <v>0</v>
      </c>
      <c r="U195" s="676">
        <f t="shared" si="105"/>
        <v>0</v>
      </c>
      <c r="V195" s="676">
        <f t="shared" si="105"/>
        <v>0</v>
      </c>
      <c r="W195" s="676">
        <f t="shared" si="104"/>
        <v>0</v>
      </c>
      <c r="Y195" s="688">
        <f>IFERROR(VLOOKUP($A195,'[91]1月'!$A:$H,8,0),0)</f>
        <v>0</v>
      </c>
      <c r="Z195" s="688">
        <f>IFERROR(VLOOKUP($A195,'[91]2月'!$A:$H,8,0),0)</f>
        <v>0</v>
      </c>
      <c r="AA195" s="688">
        <f>IFERROR(VLOOKUP($A195,'[91]3月'!$A:$H,8,0),0)</f>
        <v>0</v>
      </c>
      <c r="AB195" s="688">
        <f>IFERROR(VLOOKUP($A195,'[91]4月'!$A:$H,8,0),0)</f>
        <v>0</v>
      </c>
      <c r="AC195" s="688">
        <f>IFERROR(VLOOKUP($A195,'[91]5月'!$A:$H,8,0),0)</f>
        <v>0</v>
      </c>
      <c r="AD195" s="688">
        <f>IFERROR(VLOOKUP($A195,'[91]6月'!$A:$H,8,0),0)</f>
        <v>0</v>
      </c>
      <c r="AE195" s="688">
        <f>IFERROR(VLOOKUP($A195,'[91]7月'!$A:$H,8,0),0)</f>
        <v>0</v>
      </c>
      <c r="AF195" s="688">
        <f>IFERROR(VLOOKUP($A195,'[91]8月'!$A:$H,8,0),0)</f>
        <v>0</v>
      </c>
      <c r="AG195" s="688">
        <f>IFERROR(VLOOKUP($A195,'[91]9月'!$A:$H,8,0),0)</f>
        <v>0</v>
      </c>
      <c r="AH195" s="688">
        <f>IFERROR(VLOOKUP($A195,'[91]10月'!$A:$H,8,0),0)</f>
        <v>0</v>
      </c>
      <c r="AI195" s="688">
        <f>IFERROR(VLOOKUP($A195,'[91]11月'!$A:$H,8,0),0)</f>
        <v>0</v>
      </c>
      <c r="AJ195" s="688">
        <f>IFERROR(VLOOKUP($A195,'[91]12月'!$A:$H,8,0),0)</f>
        <v>0</v>
      </c>
      <c r="AK195" s="688">
        <f t="shared" si="103"/>
        <v>0</v>
      </c>
    </row>
    <row r="196" spans="1:37" ht="13.5" customHeight="1">
      <c r="A196" s="653" t="str">
        <f>'Budget-合并'!A196</f>
        <v>6711.01</v>
      </c>
      <c r="B196" s="653" t="str">
        <f>'Budget-合并'!B196</f>
        <v>滞纳金</v>
      </c>
      <c r="C196" s="687">
        <f>'Budget-合并'!C196</f>
        <v>0</v>
      </c>
      <c r="D196" s="676">
        <f t="shared" si="101"/>
        <v>0</v>
      </c>
      <c r="E196" s="676" t="e">
        <f t="shared" si="91"/>
        <v>#N/A</v>
      </c>
      <c r="F196" s="676" t="e">
        <f t="shared" si="92"/>
        <v>#N/A</v>
      </c>
      <c r="G196" s="676">
        <f t="shared" ca="1" si="97"/>
        <v>0</v>
      </c>
      <c r="H196" s="676" t="e">
        <f t="shared" ca="1" si="93"/>
        <v>#N/A</v>
      </c>
      <c r="I196" s="676" t="e">
        <f t="shared" ca="1" si="98"/>
        <v>#N/A</v>
      </c>
      <c r="K196" s="676"/>
      <c r="L196" s="676"/>
      <c r="M196" s="676"/>
      <c r="N196" s="676"/>
      <c r="O196" s="676"/>
      <c r="P196" s="676"/>
      <c r="Q196" s="676"/>
      <c r="R196" s="676"/>
      <c r="S196" s="676"/>
      <c r="T196" s="676"/>
      <c r="U196" s="676"/>
      <c r="V196" s="676"/>
      <c r="W196" s="676">
        <f t="shared" si="104"/>
        <v>0</v>
      </c>
      <c r="Y196" s="688">
        <f>IFERROR(VLOOKUP($A196,'[91]1月'!$A:$H,8,0),0)</f>
        <v>0</v>
      </c>
      <c r="Z196" s="688">
        <f>IFERROR(VLOOKUP($A196,'[91]2月'!$A:$H,8,0),0)</f>
        <v>0</v>
      </c>
      <c r="AA196" s="688">
        <f>IFERROR(VLOOKUP($A196,'[91]3月'!$A:$H,8,0),0)</f>
        <v>0</v>
      </c>
      <c r="AB196" s="688">
        <f>IFERROR(VLOOKUP($A196,'[91]4月'!$A:$H,8,0),0)</f>
        <v>0</v>
      </c>
      <c r="AC196" s="688">
        <f>IFERROR(VLOOKUP($A196,'[91]5月'!$A:$H,8,0),0)</f>
        <v>0</v>
      </c>
      <c r="AD196" s="688">
        <f>IFERROR(VLOOKUP($A196,'[91]6月'!$A:$H,8,0),0)</f>
        <v>0</v>
      </c>
      <c r="AE196" s="688">
        <f>IFERROR(VLOOKUP($A196,'[91]7月'!$A:$H,8,0),0)</f>
        <v>0</v>
      </c>
      <c r="AF196" s="688">
        <f>IFERROR(VLOOKUP($A196,'[91]8月'!$A:$H,8,0),0)</f>
        <v>0</v>
      </c>
      <c r="AG196" s="688">
        <f>IFERROR(VLOOKUP($A196,'[91]9月'!$A:$H,8,0),0)</f>
        <v>0</v>
      </c>
      <c r="AH196" s="688">
        <f>IFERROR(VLOOKUP($A196,'[91]10月'!$A:$H,8,0),0)</f>
        <v>0</v>
      </c>
      <c r="AI196" s="688">
        <f>IFERROR(VLOOKUP($A196,'[91]11月'!$A:$H,8,0),0)</f>
        <v>0</v>
      </c>
      <c r="AJ196" s="688">
        <f>IFERROR(VLOOKUP($A196,'[91]12月'!$A:$H,8,0),0)</f>
        <v>0</v>
      </c>
      <c r="AK196" s="688">
        <f t="shared" si="103"/>
        <v>0</v>
      </c>
    </row>
    <row r="197" spans="1:37" ht="13.5" customHeight="1">
      <c r="A197" s="653" t="str">
        <f>'Budget-合并'!A197</f>
        <v>6711.02</v>
      </c>
      <c r="B197" s="653" t="str">
        <f>'Budget-合并'!B197</f>
        <v>非流动资产处置损失</v>
      </c>
      <c r="C197" s="687">
        <f>'Budget-合并'!C197</f>
        <v>0</v>
      </c>
      <c r="D197" s="676">
        <f t="shared" si="101"/>
        <v>0</v>
      </c>
      <c r="E197" s="676" t="e">
        <f t="shared" si="91"/>
        <v>#N/A</v>
      </c>
      <c r="F197" s="676" t="e">
        <f t="shared" si="92"/>
        <v>#N/A</v>
      </c>
      <c r="G197" s="676">
        <f t="shared" ca="1" si="97"/>
        <v>0</v>
      </c>
      <c r="H197" s="676" t="e">
        <f t="shared" ca="1" si="93"/>
        <v>#N/A</v>
      </c>
      <c r="I197" s="676" t="e">
        <f t="shared" ca="1" si="98"/>
        <v>#N/A</v>
      </c>
      <c r="K197" s="676"/>
      <c r="L197" s="676"/>
      <c r="M197" s="676"/>
      <c r="N197" s="676"/>
      <c r="O197" s="676"/>
      <c r="P197" s="676"/>
      <c r="Q197" s="676"/>
      <c r="R197" s="676"/>
      <c r="S197" s="676"/>
      <c r="T197" s="676"/>
      <c r="U197" s="676"/>
      <c r="V197" s="676"/>
      <c r="W197" s="676">
        <f t="shared" si="104"/>
        <v>0</v>
      </c>
      <c r="Y197" s="688">
        <f>IFERROR(VLOOKUP($A197,'[91]1月'!$A:$H,8,0),0)</f>
        <v>0</v>
      </c>
      <c r="Z197" s="688">
        <f>IFERROR(VLOOKUP($A197,'[91]2月'!$A:$H,8,0),0)</f>
        <v>0</v>
      </c>
      <c r="AA197" s="688">
        <f>IFERROR(VLOOKUP($A197,'[91]3月'!$A:$H,8,0),0)</f>
        <v>0</v>
      </c>
      <c r="AB197" s="688">
        <f>IFERROR(VLOOKUP($A197,'[91]4月'!$A:$H,8,0),0)</f>
        <v>0</v>
      </c>
      <c r="AC197" s="688">
        <f>IFERROR(VLOOKUP($A197,'[91]5月'!$A:$H,8,0),0)</f>
        <v>0</v>
      </c>
      <c r="AD197" s="688">
        <f>IFERROR(VLOOKUP($A197,'[91]6月'!$A:$H,8,0),0)</f>
        <v>0</v>
      </c>
      <c r="AE197" s="688">
        <f>IFERROR(VLOOKUP($A197,'[91]7月'!$A:$H,8,0),0)</f>
        <v>0</v>
      </c>
      <c r="AF197" s="688">
        <f>IFERROR(VLOOKUP($A197,'[91]8月'!$A:$H,8,0),0)</f>
        <v>0</v>
      </c>
      <c r="AG197" s="688">
        <f>IFERROR(VLOOKUP($A197,'[91]9月'!$A:$H,8,0),0)</f>
        <v>0</v>
      </c>
      <c r="AH197" s="688">
        <f>IFERROR(VLOOKUP($A197,'[91]10月'!$A:$H,8,0),0)</f>
        <v>0</v>
      </c>
      <c r="AI197" s="688">
        <f>IFERROR(VLOOKUP($A197,'[91]11月'!$A:$H,8,0),0)</f>
        <v>0</v>
      </c>
      <c r="AJ197" s="688">
        <f>IFERROR(VLOOKUP($A197,'[91]12月'!$A:$H,8,0),0)</f>
        <v>0</v>
      </c>
      <c r="AK197" s="688">
        <f t="shared" si="103"/>
        <v>0</v>
      </c>
    </row>
    <row r="198" spans="1:37" ht="13.5" customHeight="1">
      <c r="A198" s="653" t="str">
        <f>'Budget-合并'!A198</f>
        <v>6901</v>
      </c>
      <c r="B198" s="653" t="str">
        <f>'Budget-合并'!B198</f>
        <v>以前年度损益调整</v>
      </c>
      <c r="C198" s="687">
        <f>'Budget-合并'!C198</f>
        <v>0</v>
      </c>
      <c r="D198" s="676">
        <f t="shared" si="101"/>
        <v>0</v>
      </c>
      <c r="E198" s="676" t="e">
        <f t="shared" si="91"/>
        <v>#N/A</v>
      </c>
      <c r="F198" s="676" t="e">
        <f t="shared" si="92"/>
        <v>#N/A</v>
      </c>
      <c r="G198" s="676">
        <f t="shared" ca="1" si="97"/>
        <v>0</v>
      </c>
      <c r="H198" s="676" t="e">
        <f t="shared" ca="1" si="93"/>
        <v>#N/A</v>
      </c>
      <c r="I198" s="676" t="e">
        <f t="shared" ca="1" si="98"/>
        <v>#N/A</v>
      </c>
      <c r="K198" s="676"/>
      <c r="L198" s="676"/>
      <c r="M198" s="676"/>
      <c r="N198" s="676"/>
      <c r="O198" s="676"/>
      <c r="P198" s="676"/>
      <c r="Q198" s="676"/>
      <c r="R198" s="676"/>
      <c r="S198" s="676"/>
      <c r="T198" s="676"/>
      <c r="U198" s="676"/>
      <c r="V198" s="676"/>
      <c r="W198" s="676">
        <f t="shared" si="104"/>
        <v>0</v>
      </c>
      <c r="Y198" s="688">
        <f>IFERROR(VLOOKUP($A198,'[91]1月'!$A:$H,8,0),0)</f>
        <v>0</v>
      </c>
      <c r="Z198" s="688">
        <f>IFERROR(VLOOKUP($A198,'[91]2月'!$A:$H,8,0),0)</f>
        <v>0</v>
      </c>
      <c r="AA198" s="688">
        <f>IFERROR(VLOOKUP($A198,'[91]3月'!$A:$H,8,0),0)</f>
        <v>0</v>
      </c>
      <c r="AB198" s="688">
        <f>IFERROR(VLOOKUP($A198,'[91]4月'!$A:$H,8,0),0)</f>
        <v>0</v>
      </c>
      <c r="AC198" s="688">
        <f>IFERROR(VLOOKUP($A198,'[91]5月'!$A:$H,8,0),0)</f>
        <v>0</v>
      </c>
      <c r="AD198" s="688">
        <f>IFERROR(VLOOKUP($A198,'[91]6月'!$A:$H,8,0),0)</f>
        <v>0</v>
      </c>
      <c r="AE198" s="688">
        <f>IFERROR(VLOOKUP($A198,'[91]7月'!$A:$H,8,0),0)</f>
        <v>0</v>
      </c>
      <c r="AF198" s="688">
        <f>IFERROR(VLOOKUP($A198,'[91]8月'!$A:$H,8,0),0)</f>
        <v>0</v>
      </c>
      <c r="AG198" s="688">
        <f>IFERROR(VLOOKUP($A198,'[91]9月'!$A:$H,8,0),0)</f>
        <v>0</v>
      </c>
      <c r="AH198" s="688">
        <f>IFERROR(VLOOKUP($A198,'[91]10月'!$A:$H,8,0),0)</f>
        <v>0</v>
      </c>
      <c r="AI198" s="688">
        <f>IFERROR(VLOOKUP($A198,'[91]11月'!$A:$H,8,0),0)</f>
        <v>0</v>
      </c>
      <c r="AJ198" s="688">
        <f>IFERROR(VLOOKUP($A198,'[91]12月'!$A:$H,8,0),0)</f>
        <v>0</v>
      </c>
      <c r="AK198" s="688">
        <f t="shared" si="103"/>
        <v>0</v>
      </c>
    </row>
    <row r="199" spans="1:37" ht="13.5" customHeight="1">
      <c r="A199" s="686">
        <f>'Budget-合并'!A199</f>
        <v>0</v>
      </c>
      <c r="B199" s="686" t="str">
        <f>'Budget-合并'!B199</f>
        <v>营业外收入 (支-, 收+):</v>
      </c>
      <c r="C199" s="687">
        <f>'Budget-合并'!C199</f>
        <v>0</v>
      </c>
      <c r="D199" s="677">
        <f t="shared" si="101"/>
        <v>0</v>
      </c>
      <c r="E199" s="677" t="e">
        <f t="shared" ref="E199:E205" si="106">INDEX($Y199:$AJ199,1,MATCH($E$6,$Y$6:$AJ$6))</f>
        <v>#N/A</v>
      </c>
      <c r="F199" s="677" t="e">
        <f t="shared" ref="F199:F205" si="107">D199-E199</f>
        <v>#N/A</v>
      </c>
      <c r="G199" s="677">
        <f t="shared" ca="1" si="97"/>
        <v>0</v>
      </c>
      <c r="H199" s="677" t="e">
        <f t="shared" ref="H199:H205" ca="1" si="108">SUM($Y199:OFFSET($Y199,0,MATCH(H$6,$Y$6:$AJ$6)-1))</f>
        <v>#N/A</v>
      </c>
      <c r="I199" s="677" t="e">
        <f t="shared" ca="1" si="98"/>
        <v>#N/A</v>
      </c>
      <c r="K199" s="677">
        <f>K187-K193-K194-K195+K198</f>
        <v>0</v>
      </c>
      <c r="L199" s="677">
        <f t="shared" ref="L199:W199" si="109">L187-L193-L194-L195+L198</f>
        <v>0</v>
      </c>
      <c r="M199" s="677">
        <f t="shared" si="109"/>
        <v>0</v>
      </c>
      <c r="N199" s="677">
        <f t="shared" si="109"/>
        <v>0</v>
      </c>
      <c r="O199" s="677">
        <f t="shared" si="109"/>
        <v>0</v>
      </c>
      <c r="P199" s="677">
        <f t="shared" si="109"/>
        <v>0</v>
      </c>
      <c r="Q199" s="677">
        <f t="shared" si="109"/>
        <v>0</v>
      </c>
      <c r="R199" s="677">
        <f t="shared" si="109"/>
        <v>0</v>
      </c>
      <c r="S199" s="677">
        <f t="shared" si="109"/>
        <v>0</v>
      </c>
      <c r="T199" s="677">
        <f t="shared" si="109"/>
        <v>0</v>
      </c>
      <c r="U199" s="677">
        <f t="shared" si="109"/>
        <v>0</v>
      </c>
      <c r="V199" s="677">
        <f t="shared" si="109"/>
        <v>0</v>
      </c>
      <c r="W199" s="677">
        <f t="shared" si="109"/>
        <v>0</v>
      </c>
      <c r="Y199" s="677">
        <f t="shared" ref="Y199:AK199" si="110">Y187-Y193-Y194-Y195-Y198</f>
        <v>0</v>
      </c>
      <c r="Z199" s="677">
        <f t="shared" si="110"/>
        <v>0</v>
      </c>
      <c r="AA199" s="677">
        <f t="shared" si="110"/>
        <v>0</v>
      </c>
      <c r="AB199" s="677">
        <f t="shared" si="110"/>
        <v>0</v>
      </c>
      <c r="AC199" s="677">
        <f t="shared" si="110"/>
        <v>0</v>
      </c>
      <c r="AD199" s="677">
        <f t="shared" si="110"/>
        <v>0</v>
      </c>
      <c r="AE199" s="677">
        <f t="shared" si="110"/>
        <v>0</v>
      </c>
      <c r="AF199" s="677">
        <f t="shared" si="110"/>
        <v>0</v>
      </c>
      <c r="AG199" s="677">
        <f t="shared" si="110"/>
        <v>0</v>
      </c>
      <c r="AH199" s="677">
        <f t="shared" si="110"/>
        <v>0</v>
      </c>
      <c r="AI199" s="677">
        <f t="shared" si="110"/>
        <v>0</v>
      </c>
      <c r="AJ199" s="677">
        <f t="shared" si="110"/>
        <v>0</v>
      </c>
      <c r="AK199" s="677">
        <f t="shared" si="110"/>
        <v>0</v>
      </c>
    </row>
    <row r="200" spans="1:37" ht="13.5" customHeight="1">
      <c r="A200" s="653">
        <f>'Budget-合并'!A200</f>
        <v>0</v>
      </c>
      <c r="B200" s="653">
        <f>'Budget-合并'!B200</f>
        <v>0</v>
      </c>
      <c r="C200" s="687">
        <f>'Budget-合并'!C200</f>
        <v>0</v>
      </c>
    </row>
    <row r="201" spans="1:37" ht="13.5" customHeight="1">
      <c r="A201" s="686">
        <f>'Budget-合并'!A201</f>
        <v>0</v>
      </c>
      <c r="B201" s="686" t="str">
        <f>'Budget-合并'!B201</f>
        <v>利润总额 (税前利润)</v>
      </c>
      <c r="C201" s="687">
        <f>'Budget-合并'!C201</f>
        <v>0</v>
      </c>
      <c r="D201" s="677">
        <f ca="1">INDEX($K201:$V201,1,MATCH($D$6,$K$6:$V$6))</f>
        <v>-535366.29137762485</v>
      </c>
      <c r="E201" s="677" t="e">
        <f t="shared" si="106"/>
        <v>#N/A</v>
      </c>
      <c r="F201" s="677" t="e">
        <f t="shared" ca="1" si="107"/>
        <v>#N/A</v>
      </c>
      <c r="G201" s="677">
        <f t="shared" ref="G201:G205" ca="1" si="111">SUM($K201:OFFSET($K201,0,MATCH(G$6,$K$6:$V$6)-1))</f>
        <v>-535366.29137762485</v>
      </c>
      <c r="H201" s="677" t="e">
        <f t="shared" ca="1" si="108"/>
        <v>#N/A</v>
      </c>
      <c r="I201" s="677" t="e">
        <f t="shared" ref="I201:I205" ca="1" si="112">G201-H201</f>
        <v>#N/A</v>
      </c>
      <c r="K201" s="677">
        <f ca="1">K185+K199</f>
        <v>-535366.29137762485</v>
      </c>
      <c r="L201" s="677">
        <f t="shared" ref="L201:W201" ca="1" si="113">L185+L199</f>
        <v>-453383.84970583324</v>
      </c>
      <c r="M201" s="677">
        <f t="shared" ca="1" si="113"/>
        <v>-453383.84970583324</v>
      </c>
      <c r="N201" s="677">
        <f t="shared" ca="1" si="113"/>
        <v>-1361543.8497058335</v>
      </c>
      <c r="O201" s="677">
        <f t="shared" ca="1" si="113"/>
        <v>-681873.64970583317</v>
      </c>
      <c r="P201" s="677">
        <f t="shared" ca="1" si="113"/>
        <v>-532252.52970583318</v>
      </c>
      <c r="Q201" s="677">
        <f t="shared" ca="1" si="113"/>
        <v>-453383.84970583324</v>
      </c>
      <c r="R201" s="677">
        <f t="shared" ca="1" si="113"/>
        <v>-488671.84970583324</v>
      </c>
      <c r="S201" s="677">
        <f t="shared" ca="1" si="113"/>
        <v>-488671.84970583324</v>
      </c>
      <c r="T201" s="677">
        <f t="shared" ca="1" si="113"/>
        <v>-496823.37770583323</v>
      </c>
      <c r="U201" s="677">
        <f t="shared" ca="1" si="113"/>
        <v>-488671.84970583324</v>
      </c>
      <c r="V201" s="677">
        <f t="shared" ca="1" si="113"/>
        <v>-488671.84970583324</v>
      </c>
      <c r="W201" s="677">
        <f t="shared" ca="1" si="113"/>
        <v>-6922698.6461417899</v>
      </c>
      <c r="Y201" s="677">
        <f t="shared" ref="Y201:AK201" si="114">Y185+Y199</f>
        <v>-664128.69999999995</v>
      </c>
      <c r="Z201" s="677">
        <f t="shared" si="114"/>
        <v>-743169.58</v>
      </c>
      <c r="AA201" s="677">
        <f t="shared" si="114"/>
        <v>-588600.45000000007</v>
      </c>
      <c r="AB201" s="677">
        <f t="shared" si="114"/>
        <v>-666406.80000000005</v>
      </c>
      <c r="AC201" s="677">
        <f t="shared" si="114"/>
        <v>-705079.14000000013</v>
      </c>
      <c r="AD201" s="677">
        <f t="shared" si="114"/>
        <v>-641973.12</v>
      </c>
      <c r="AE201" s="677">
        <f t="shared" si="114"/>
        <v>-736744.17999999993</v>
      </c>
      <c r="AF201" s="677">
        <f t="shared" si="114"/>
        <v>-605953.19999999995</v>
      </c>
      <c r="AG201" s="677">
        <f t="shared" si="114"/>
        <v>-728853.16999999993</v>
      </c>
      <c r="AH201" s="677">
        <f t="shared" si="114"/>
        <v>-632740.47000000009</v>
      </c>
      <c r="AI201" s="677">
        <f t="shared" si="114"/>
        <v>-594487.21</v>
      </c>
      <c r="AJ201" s="677">
        <f t="shared" si="114"/>
        <v>-625273.60999999987</v>
      </c>
      <c r="AK201" s="677">
        <f t="shared" si="114"/>
        <v>-7933409.6300000008</v>
      </c>
    </row>
    <row r="202" spans="1:37" ht="13.5" customHeight="1">
      <c r="A202" s="653">
        <f>'Budget-合并'!A202</f>
        <v>0</v>
      </c>
      <c r="B202" s="653">
        <f>'Budget-合并'!B202</f>
        <v>0</v>
      </c>
      <c r="C202" s="687">
        <f>'Budget-合并'!C202</f>
        <v>0</v>
      </c>
    </row>
    <row r="203" spans="1:37" ht="13.5" customHeight="1">
      <c r="A203" s="653" t="str">
        <f>'Budget-合并'!A203</f>
        <v>6801.01</v>
      </c>
      <c r="B203" s="653" t="str">
        <f>'Budget-合并'!B203</f>
        <v>当期所得税费用</v>
      </c>
      <c r="C203" s="687" t="str">
        <f>'Budget-合并'!C203</f>
        <v>Enterprise Income Tax</v>
      </c>
      <c r="D203" s="676">
        <f t="shared" ref="D203:D205" si="115">INDEX($K203:$V203,1,MATCH($D$6,$K$6:$V$6))</f>
        <v>0</v>
      </c>
      <c r="E203" s="676" t="e">
        <f t="shared" si="106"/>
        <v>#N/A</v>
      </c>
      <c r="F203" s="676" t="e">
        <f t="shared" si="107"/>
        <v>#N/A</v>
      </c>
      <c r="G203" s="676">
        <f t="shared" ca="1" si="111"/>
        <v>0</v>
      </c>
      <c r="H203" s="676" t="e">
        <f t="shared" ca="1" si="108"/>
        <v>#N/A</v>
      </c>
      <c r="I203" s="676" t="e">
        <f t="shared" ca="1" si="112"/>
        <v>#N/A</v>
      </c>
      <c r="K203" s="676"/>
      <c r="L203" s="676"/>
      <c r="M203" s="676"/>
      <c r="N203" s="676"/>
      <c r="O203" s="676"/>
      <c r="P203" s="676"/>
      <c r="Q203" s="676"/>
      <c r="R203" s="676"/>
      <c r="S203" s="676"/>
      <c r="T203" s="676"/>
      <c r="U203" s="676"/>
      <c r="V203" s="676"/>
      <c r="W203" s="676">
        <f>SUM(K203:V203)</f>
        <v>0</v>
      </c>
      <c r="Y203" s="688">
        <f>IFERROR(VLOOKUP($A203,'[91]1月'!$A:$H,8,0),0)</f>
        <v>0</v>
      </c>
      <c r="Z203" s="688">
        <f>IFERROR(VLOOKUP($A203,'[91]2月'!$A:$H,8,0),0)</f>
        <v>0</v>
      </c>
      <c r="AA203" s="688">
        <f>IFERROR(VLOOKUP($A203,'[91]3月'!$A:$H,8,0),0)</f>
        <v>0</v>
      </c>
      <c r="AB203" s="688">
        <f>IFERROR(VLOOKUP($A203,'[91]4月'!$A:$H,8,0),0)</f>
        <v>0</v>
      </c>
      <c r="AC203" s="688">
        <f>IFERROR(VLOOKUP($A203,'[91]5月'!$A:$H,8,0),0)</f>
        <v>0</v>
      </c>
      <c r="AD203" s="688">
        <f>IFERROR(VLOOKUP($A203,'[91]6月'!$A:$H,8,0),0)</f>
        <v>0</v>
      </c>
      <c r="AE203" s="688">
        <f>IFERROR(VLOOKUP($A203,'[91]7月'!$A:$H,8,0),0)</f>
        <v>0</v>
      </c>
      <c r="AF203" s="688">
        <f>IFERROR(VLOOKUP($A203,'[91]8月'!$A:$H,8,0),0)</f>
        <v>0</v>
      </c>
      <c r="AG203" s="688">
        <f>IFERROR(VLOOKUP($A203,'[91]9月'!$A:$H,8,0),0)</f>
        <v>0</v>
      </c>
      <c r="AH203" s="688">
        <f>IFERROR(VLOOKUP($A203,'[91]10月'!$A:$H,8,0),0)</f>
        <v>0</v>
      </c>
      <c r="AI203" s="688">
        <f>IFERROR(VLOOKUP($A203,'[91]11月'!$A:$H,8,0),0)</f>
        <v>0</v>
      </c>
      <c r="AJ203" s="688">
        <f>IFERROR(VLOOKUP($A203,'[91]12月'!$A:$H,8,0),0)</f>
        <v>0</v>
      </c>
      <c r="AK203" s="688">
        <f t="shared" ref="AK203:AK205" si="116">SUM(Y203:AJ203)</f>
        <v>0</v>
      </c>
    </row>
    <row r="204" spans="1:37" ht="13.5" customHeight="1">
      <c r="A204" s="653" t="str">
        <f>'Budget-合并'!A204</f>
        <v>6801.02</v>
      </c>
      <c r="B204" s="653" t="str">
        <f>'Budget-合并'!B204</f>
        <v>递延所得税费用</v>
      </c>
      <c r="C204" s="687">
        <f>'Budget-合并'!C204</f>
        <v>0</v>
      </c>
      <c r="D204" s="676">
        <f t="shared" si="115"/>
        <v>0</v>
      </c>
      <c r="E204" s="676" t="e">
        <f t="shared" si="106"/>
        <v>#N/A</v>
      </c>
      <c r="F204" s="676" t="e">
        <f t="shared" si="107"/>
        <v>#N/A</v>
      </c>
      <c r="G204" s="676">
        <f t="shared" ca="1" si="111"/>
        <v>0</v>
      </c>
      <c r="H204" s="676" t="e">
        <f t="shared" ca="1" si="108"/>
        <v>#N/A</v>
      </c>
      <c r="I204" s="676" t="e">
        <f t="shared" ca="1" si="112"/>
        <v>#N/A</v>
      </c>
      <c r="K204" s="676"/>
      <c r="L204" s="676"/>
      <c r="M204" s="676"/>
      <c r="N204" s="676"/>
      <c r="O204" s="676"/>
      <c r="P204" s="676"/>
      <c r="Q204" s="676"/>
      <c r="R204" s="676"/>
      <c r="S204" s="676"/>
      <c r="T204" s="676"/>
      <c r="U204" s="676"/>
      <c r="V204" s="676"/>
      <c r="W204" s="676">
        <f>SUM(K204:V204)</f>
        <v>0</v>
      </c>
      <c r="Y204" s="688">
        <f>IFERROR(VLOOKUP($A204,'[91]1月'!$A:$H,8,0),0)</f>
        <v>0</v>
      </c>
      <c r="Z204" s="688">
        <f>IFERROR(VLOOKUP($A204,'[91]2月'!$A:$H,8,0),0)</f>
        <v>0</v>
      </c>
      <c r="AA204" s="688">
        <f>IFERROR(VLOOKUP($A204,'[91]3月'!$A:$H,8,0),0)</f>
        <v>0</v>
      </c>
      <c r="AB204" s="688">
        <f>IFERROR(VLOOKUP($A204,'[91]4月'!$A:$H,8,0),0)</f>
        <v>0</v>
      </c>
      <c r="AC204" s="688">
        <f>IFERROR(VLOOKUP($A204,'[91]5月'!$A:$H,8,0),0)</f>
        <v>0</v>
      </c>
      <c r="AD204" s="688">
        <f>IFERROR(VLOOKUP($A204,'[91]6月'!$A:$H,8,0),0)</f>
        <v>0</v>
      </c>
      <c r="AE204" s="688">
        <f>IFERROR(VLOOKUP($A204,'[91]7月'!$A:$H,8,0),0)</f>
        <v>0</v>
      </c>
      <c r="AF204" s="688">
        <f>IFERROR(VLOOKUP($A204,'[91]8月'!$A:$H,8,0),0)</f>
        <v>0</v>
      </c>
      <c r="AG204" s="688">
        <f>IFERROR(VLOOKUP($A204,'[91]9月'!$A:$H,8,0),0)</f>
        <v>0</v>
      </c>
      <c r="AH204" s="688">
        <f>IFERROR(VLOOKUP($A204,'[91]10月'!$A:$H,8,0),0)</f>
        <v>0</v>
      </c>
      <c r="AI204" s="688">
        <f>IFERROR(VLOOKUP($A204,'[91]11月'!$A:$H,8,0),0)</f>
        <v>0</v>
      </c>
      <c r="AJ204" s="688">
        <f>IFERROR(VLOOKUP($A204,'[91]12月'!$A:$H,8,0),0)</f>
        <v>0</v>
      </c>
      <c r="AK204" s="688">
        <f t="shared" si="116"/>
        <v>0</v>
      </c>
    </row>
    <row r="205" spans="1:37" ht="13.5" customHeight="1">
      <c r="A205" s="653" t="str">
        <f>'Budget-合并'!A205</f>
        <v>6801.03</v>
      </c>
      <c r="B205" s="653" t="str">
        <f>'Budget-合并'!B205</f>
        <v>以前年度所得税费用</v>
      </c>
      <c r="C205" s="687">
        <f>'Budget-合并'!C205</f>
        <v>0</v>
      </c>
      <c r="D205" s="676">
        <f t="shared" si="115"/>
        <v>0</v>
      </c>
      <c r="E205" s="676" t="e">
        <f t="shared" si="106"/>
        <v>#N/A</v>
      </c>
      <c r="F205" s="676" t="e">
        <f t="shared" si="107"/>
        <v>#N/A</v>
      </c>
      <c r="G205" s="676">
        <f t="shared" ca="1" si="111"/>
        <v>0</v>
      </c>
      <c r="H205" s="676" t="e">
        <f t="shared" ca="1" si="108"/>
        <v>#N/A</v>
      </c>
      <c r="I205" s="676" t="e">
        <f t="shared" ca="1" si="112"/>
        <v>#N/A</v>
      </c>
      <c r="K205" s="676"/>
      <c r="L205" s="676"/>
      <c r="M205" s="676"/>
      <c r="N205" s="676"/>
      <c r="O205" s="676"/>
      <c r="P205" s="676"/>
      <c r="Q205" s="676"/>
      <c r="R205" s="676"/>
      <c r="S205" s="676"/>
      <c r="T205" s="676"/>
      <c r="U205" s="676"/>
      <c r="V205" s="676"/>
      <c r="W205" s="676">
        <f>SUM(K205:V205)</f>
        <v>0</v>
      </c>
      <c r="Y205" s="688">
        <f>IFERROR(VLOOKUP($A205,'[91]1月'!$A:$H,8,0),0)</f>
        <v>0</v>
      </c>
      <c r="Z205" s="688">
        <f>IFERROR(VLOOKUP($A205,'[91]2月'!$A:$H,8,0),0)</f>
        <v>0</v>
      </c>
      <c r="AA205" s="688">
        <f>IFERROR(VLOOKUP($A205,'[91]3月'!$A:$H,8,0),0)</f>
        <v>0</v>
      </c>
      <c r="AB205" s="688">
        <f>IFERROR(VLOOKUP($A205,'[91]4月'!$A:$H,8,0),0)</f>
        <v>0</v>
      </c>
      <c r="AC205" s="688">
        <f>IFERROR(VLOOKUP($A205,'[91]5月'!$A:$H,8,0),0)</f>
        <v>0</v>
      </c>
      <c r="AD205" s="688">
        <f>IFERROR(VLOOKUP($A205,'[91]6月'!$A:$H,8,0),0)</f>
        <v>0</v>
      </c>
      <c r="AE205" s="688">
        <f>IFERROR(VLOOKUP($A205,'[91]7月'!$A:$H,8,0),0)</f>
        <v>0</v>
      </c>
      <c r="AF205" s="688">
        <f>IFERROR(VLOOKUP($A205,'[91]8月'!$A:$H,8,0),0)</f>
        <v>0</v>
      </c>
      <c r="AG205" s="688">
        <f>IFERROR(VLOOKUP($A205,'[91]9月'!$A:$H,8,0),0)</f>
        <v>0</v>
      </c>
      <c r="AH205" s="688">
        <f>IFERROR(VLOOKUP($A205,'[91]10月'!$A:$H,8,0),0)</f>
        <v>0</v>
      </c>
      <c r="AI205" s="688">
        <f>IFERROR(VLOOKUP($A205,'[91]11月'!$A:$H,8,0),0)</f>
        <v>0</v>
      </c>
      <c r="AJ205" s="688">
        <f>IFERROR(VLOOKUP($A205,'[91]12月'!$A:$H,8,0),0)</f>
        <v>0</v>
      </c>
      <c r="AK205" s="688">
        <f t="shared" si="116"/>
        <v>0</v>
      </c>
    </row>
    <row r="206" spans="1:37" ht="13.5" customHeight="1">
      <c r="A206" s="653">
        <f>'Budget-合并'!A206</f>
        <v>0</v>
      </c>
      <c r="B206" s="653">
        <f>'Budget-合并'!B206</f>
        <v>0</v>
      </c>
      <c r="C206" s="687">
        <f>'Budget-合并'!C206</f>
        <v>0</v>
      </c>
    </row>
    <row r="207" spans="1:37" ht="13.5" customHeight="1">
      <c r="A207" s="686">
        <f>'Budget-合并'!A207</f>
        <v>0</v>
      </c>
      <c r="B207" s="686" t="str">
        <f>'Budget-合并'!B207</f>
        <v>五  税后利润</v>
      </c>
      <c r="C207" s="687">
        <f>'Budget-合并'!C207</f>
        <v>0</v>
      </c>
      <c r="D207" s="677">
        <f ca="1">INDEX($K207:$V207,1,MATCH($D$6,$K$6:$V$6))</f>
        <v>-535366.29137762485</v>
      </c>
      <c r="E207" s="677" t="e">
        <f>INDEX($Y207:$AJ207,1,MATCH($E$6,$Y$6:$AJ$6))</f>
        <v>#N/A</v>
      </c>
      <c r="F207" s="677" t="e">
        <f ca="1">D207-E207</f>
        <v>#N/A</v>
      </c>
      <c r="G207" s="677">
        <f ca="1">SUM($K207:OFFSET($K207,0,MATCH(G$6,$K$6:$V$6)-1))</f>
        <v>-535366.29137762485</v>
      </c>
      <c r="H207" s="677" t="e">
        <f ca="1">SUM($Y207:OFFSET($Y207,0,MATCH(H$6,$Y$6:$AJ$6)-1))</f>
        <v>#N/A</v>
      </c>
      <c r="I207" s="677" t="e">
        <f ca="1">G207-H207</f>
        <v>#N/A</v>
      </c>
      <c r="K207" s="677">
        <f ca="1">K201-K203-K204-K205</f>
        <v>-535366.29137762485</v>
      </c>
      <c r="L207" s="677">
        <f t="shared" ref="L207:W207" ca="1" si="117">L201-L203-L204-L205</f>
        <v>-453383.84970583324</v>
      </c>
      <c r="M207" s="677">
        <f t="shared" ca="1" si="117"/>
        <v>-453383.84970583324</v>
      </c>
      <c r="N207" s="677">
        <f t="shared" ca="1" si="117"/>
        <v>-1361543.8497058335</v>
      </c>
      <c r="O207" s="677">
        <f t="shared" ca="1" si="117"/>
        <v>-681873.64970583317</v>
      </c>
      <c r="P207" s="677">
        <f t="shared" ca="1" si="117"/>
        <v>-532252.52970583318</v>
      </c>
      <c r="Q207" s="677">
        <f t="shared" ca="1" si="117"/>
        <v>-453383.84970583324</v>
      </c>
      <c r="R207" s="677">
        <f t="shared" ca="1" si="117"/>
        <v>-488671.84970583324</v>
      </c>
      <c r="S207" s="677">
        <f t="shared" ca="1" si="117"/>
        <v>-488671.84970583324</v>
      </c>
      <c r="T207" s="677">
        <f t="shared" ca="1" si="117"/>
        <v>-496823.37770583323</v>
      </c>
      <c r="U207" s="677">
        <f t="shared" ca="1" si="117"/>
        <v>-488671.84970583324</v>
      </c>
      <c r="V207" s="677">
        <f t="shared" ca="1" si="117"/>
        <v>-488671.84970583324</v>
      </c>
      <c r="W207" s="677">
        <f t="shared" ca="1" si="117"/>
        <v>-6922698.6461417899</v>
      </c>
      <c r="Y207" s="677">
        <f t="shared" ref="Y207:AK207" si="118">Y201-Y203-Y204-Y205</f>
        <v>-664128.69999999995</v>
      </c>
      <c r="Z207" s="677">
        <f t="shared" si="118"/>
        <v>-743169.58</v>
      </c>
      <c r="AA207" s="677">
        <f t="shared" si="118"/>
        <v>-588600.45000000007</v>
      </c>
      <c r="AB207" s="677">
        <f t="shared" si="118"/>
        <v>-666406.80000000005</v>
      </c>
      <c r="AC207" s="677">
        <f t="shared" si="118"/>
        <v>-705079.14000000013</v>
      </c>
      <c r="AD207" s="677">
        <f t="shared" si="118"/>
        <v>-641973.12</v>
      </c>
      <c r="AE207" s="677">
        <f t="shared" si="118"/>
        <v>-736744.17999999993</v>
      </c>
      <c r="AF207" s="677">
        <f t="shared" si="118"/>
        <v>-605953.19999999995</v>
      </c>
      <c r="AG207" s="677">
        <f t="shared" si="118"/>
        <v>-728853.16999999993</v>
      </c>
      <c r="AH207" s="677">
        <f t="shared" si="118"/>
        <v>-632740.47000000009</v>
      </c>
      <c r="AI207" s="677">
        <f t="shared" si="118"/>
        <v>-594487.21</v>
      </c>
      <c r="AJ207" s="677">
        <f t="shared" si="118"/>
        <v>-625273.60999999987</v>
      </c>
      <c r="AK207" s="677">
        <f t="shared" si="118"/>
        <v>-7933409.6300000008</v>
      </c>
    </row>
    <row r="208" spans="1:37" ht="13.5" customHeight="1">
      <c r="A208" s="653">
        <f>'Budget-合并'!A208</f>
        <v>0</v>
      </c>
      <c r="C208" s="687">
        <f>'Budget-合并'!C208</f>
        <v>0</v>
      </c>
    </row>
    <row r="209" spans="1:1" ht="13.5" customHeight="1">
      <c r="A209" s="653">
        <f>'Budget-合并'!A209</f>
        <v>0</v>
      </c>
    </row>
    <row r="210" spans="1:1" ht="13.5" customHeight="1">
      <c r="A210" s="653">
        <f>'Budget-合并'!A210</f>
        <v>0</v>
      </c>
    </row>
    <row r="211" spans="1:1" ht="13.5" customHeight="1">
      <c r="A211" s="653">
        <f>'Budget-合并'!A211</f>
        <v>0</v>
      </c>
    </row>
    <row r="212" spans="1:1" ht="13.5" customHeight="1">
      <c r="A212" s="653">
        <f>'Budget-合并'!A212</f>
        <v>0</v>
      </c>
    </row>
    <row r="213" spans="1:1" ht="13.5" customHeight="1">
      <c r="A213" s="653">
        <f>'Budget-合并'!A213</f>
        <v>0</v>
      </c>
    </row>
    <row r="214" spans="1:1" ht="13.5" customHeight="1">
      <c r="A214" s="653">
        <f>'Budget-合并'!A214</f>
        <v>0</v>
      </c>
    </row>
    <row r="215" spans="1:1" ht="13.5" customHeight="1">
      <c r="A215" s="653">
        <f>'Budget-合并'!A215</f>
        <v>0</v>
      </c>
    </row>
    <row r="216" spans="1:1" ht="13.5" customHeight="1">
      <c r="A216" s="653">
        <f>'Budget-合并'!A216</f>
        <v>0</v>
      </c>
    </row>
    <row r="217" spans="1:1" ht="13.5" customHeight="1">
      <c r="A217" s="653">
        <f>'Budget-合并'!A217</f>
        <v>0</v>
      </c>
    </row>
    <row r="218" spans="1:1" ht="13.5" customHeight="1">
      <c r="A218" s="653">
        <f>'Budget-合并'!A218</f>
        <v>0</v>
      </c>
    </row>
    <row r="219" spans="1:1" ht="13.5" customHeight="1">
      <c r="A219" s="653">
        <f>'Budget-合并'!A219</f>
        <v>0</v>
      </c>
    </row>
  </sheetData>
  <autoFilter ref="A6:X219" xr:uid="{00000000-0009-0000-0000-000009000000}"/>
  <conditionalFormatting sqref="K5:W5">
    <cfRule type="cellIs" dxfId="138" priority="4" stopIfTrue="1" operator="equal">
      <formula>"Actual"</formula>
    </cfRule>
    <cfRule type="cellIs" dxfId="137" priority="5" stopIfTrue="1" operator="equal">
      <formula>"Forecast"</formula>
    </cfRule>
    <cfRule type="cellIs" dxfId="136" priority="6" stopIfTrue="1" operator="equal">
      <formula>"Budget"</formula>
    </cfRule>
  </conditionalFormatting>
  <conditionalFormatting sqref="Y5:AK5">
    <cfRule type="cellIs" dxfId="135" priority="1" stopIfTrue="1" operator="equal">
      <formula>"Actual"</formula>
    </cfRule>
    <cfRule type="cellIs" dxfId="134" priority="2" stopIfTrue="1" operator="equal">
      <formula>"Forecast"</formula>
    </cfRule>
    <cfRule type="cellIs" dxfId="133" priority="3" stopIfTrue="1" operator="equal">
      <formula>"Budget"</formula>
    </cfRule>
  </conditionalFormatting>
  <dataValidations count="1">
    <dataValidation type="list" allowBlank="1" showInputMessage="1" showErrorMessage="1" sqref="K5:W5 Y5:AK5" xr:uid="{00000000-0002-0000-0900-000000000000}">
      <formula1>"Actual,Forecast,Budget"</formula1>
    </dataValidation>
  </dataValidations>
  <printOptions horizontalCentered="1" headings="1" gridLines="1"/>
  <pageMargins left="0.39" right="0.35" top="0.59" bottom="0.59" header="0.31" footer="0.31"/>
  <pageSetup paperSize="8" scale="26" orientation="landscape" cellComments="asDisplayed" r:id="rId1"/>
  <headerFooter scaleWithDoc="0" alignWithMargins="0">
    <oddFooter>&amp;L&amp;"Arial,Regular"&amp;8&amp;Z
&amp;F  
&amp;A&amp;CPage &amp;P of &amp;N
&amp;R&amp;"Times New Roman,Regular"&amp;8&amp;D
&amp;T</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pageSetUpPr fitToPage="1"/>
  </sheetPr>
  <dimension ref="A1:AK221"/>
  <sheetViews>
    <sheetView zoomScale="85" zoomScaleNormal="85" workbookViewId="0">
      <pane xSplit="2" ySplit="6" topLeftCell="C13" activePane="bottomRight" state="frozen"/>
      <selection pane="topRight" activeCell="C1" sqref="C1"/>
      <selection pane="bottomLeft" activeCell="A7" sqref="A7"/>
      <selection pane="bottomRight" activeCell="O26" sqref="O26"/>
    </sheetView>
  </sheetViews>
  <sheetFormatPr defaultColWidth="8.75" defaultRowHeight="13.5" customHeight="1"/>
  <cols>
    <col min="1" max="1" width="12.375" style="652" customWidth="1"/>
    <col min="2" max="2" width="20.875" style="653" customWidth="1"/>
    <col min="3" max="3" width="15.875" style="652" customWidth="1"/>
    <col min="4" max="4" width="14.25" style="654" customWidth="1"/>
    <col min="5" max="9" width="12.25" style="654" customWidth="1"/>
    <col min="10" max="10" width="3.875" style="654" customWidth="1"/>
    <col min="11" max="13" width="10.375" style="652" customWidth="1"/>
    <col min="14" max="14" width="13.125" style="652" customWidth="1"/>
    <col min="15" max="22" width="10.375" style="652" customWidth="1"/>
    <col min="23" max="23" width="12.5" style="652" customWidth="1"/>
    <col min="24" max="25" width="8.75" style="652" customWidth="1"/>
    <col min="26" max="28" width="8.75" style="652"/>
    <col min="29" max="29" width="9" style="652"/>
    <col min="30" max="33" width="8.75" style="652"/>
    <col min="34" max="34" width="10.5" style="652"/>
    <col min="35" max="36" width="8.75" style="652"/>
    <col min="37" max="37" width="9.625" style="652" bestFit="1" customWidth="1"/>
    <col min="38" max="16384" width="8.75" style="652"/>
  </cols>
  <sheetData>
    <row r="1" spans="1:37" ht="16.5" customHeight="1">
      <c r="B1" s="681" t="s">
        <v>2482</v>
      </c>
      <c r="C1" s="5"/>
      <c r="D1" s="612" t="s">
        <v>2109</v>
      </c>
      <c r="E1" s="612"/>
      <c r="F1" s="612"/>
    </row>
    <row r="2" spans="1:37" ht="16.5" customHeight="1"/>
    <row r="3" spans="1:37" ht="16.5" customHeight="1">
      <c r="B3" s="663" t="s">
        <v>2484</v>
      </c>
      <c r="C3" s="682"/>
      <c r="D3" s="5" t="s">
        <v>2046</v>
      </c>
      <c r="E3" s="5"/>
      <c r="F3" s="5"/>
    </row>
    <row r="4" spans="1:37" ht="16.5" customHeight="1">
      <c r="K4" s="662"/>
    </row>
    <row r="5" spans="1:37" ht="13.5" customHeight="1">
      <c r="B5" s="663"/>
      <c r="D5" s="664" t="s">
        <v>2495</v>
      </c>
      <c r="E5" s="664" t="s">
        <v>2496</v>
      </c>
      <c r="F5" s="664" t="s">
        <v>2497</v>
      </c>
      <c r="G5" s="664" t="s">
        <v>2498</v>
      </c>
      <c r="H5" s="664" t="s">
        <v>2499</v>
      </c>
      <c r="I5" s="664" t="s">
        <v>2500</v>
      </c>
      <c r="J5" s="665"/>
      <c r="K5" s="666" t="s">
        <v>2501</v>
      </c>
      <c r="L5" s="666" t="s">
        <v>2501</v>
      </c>
      <c r="M5" s="666" t="s">
        <v>2501</v>
      </c>
      <c r="N5" s="666" t="s">
        <v>2501</v>
      </c>
      <c r="O5" s="666" t="s">
        <v>2501</v>
      </c>
      <c r="P5" s="666" t="s">
        <v>2501</v>
      </c>
      <c r="Q5" s="666" t="s">
        <v>2501</v>
      </c>
      <c r="R5" s="666" t="s">
        <v>2501</v>
      </c>
      <c r="S5" s="666" t="s">
        <v>2501</v>
      </c>
      <c r="T5" s="666" t="s">
        <v>2501</v>
      </c>
      <c r="U5" s="666" t="s">
        <v>2501</v>
      </c>
      <c r="V5" s="666" t="s">
        <v>2501</v>
      </c>
      <c r="W5" s="666" t="s">
        <v>2501</v>
      </c>
      <c r="Y5" s="666" t="s">
        <v>2502</v>
      </c>
      <c r="Z5" s="666" t="s">
        <v>2502</v>
      </c>
      <c r="AA5" s="666" t="s">
        <v>2502</v>
      </c>
      <c r="AB5" s="666" t="s">
        <v>2502</v>
      </c>
      <c r="AC5" s="666" t="s">
        <v>2502</v>
      </c>
      <c r="AD5" s="666" t="s">
        <v>2502</v>
      </c>
      <c r="AE5" s="666" t="s">
        <v>2502</v>
      </c>
      <c r="AF5" s="666" t="s">
        <v>2502</v>
      </c>
      <c r="AG5" s="666" t="s">
        <v>2502</v>
      </c>
      <c r="AH5" s="666" t="s">
        <v>2502</v>
      </c>
      <c r="AI5" s="666" t="s">
        <v>2502</v>
      </c>
      <c r="AJ5" s="666" t="s">
        <v>2502</v>
      </c>
      <c r="AK5" s="666" t="s">
        <v>2502</v>
      </c>
    </row>
    <row r="6" spans="1:37" s="648" customFormat="1" ht="13.5" customHeight="1">
      <c r="A6" s="649" t="s">
        <v>2488</v>
      </c>
      <c r="B6" s="667"/>
      <c r="D6" s="668">
        <f>'Flash Report'!$C$2</f>
        <v>46023</v>
      </c>
      <c r="E6" s="668">
        <f>D6-365</f>
        <v>45658</v>
      </c>
      <c r="F6" s="683" t="s">
        <v>2503</v>
      </c>
      <c r="G6" s="684">
        <f>D6</f>
        <v>46023</v>
      </c>
      <c r="H6" s="684">
        <f>E6</f>
        <v>45658</v>
      </c>
      <c r="I6" s="685" t="s">
        <v>2503</v>
      </c>
      <c r="J6" s="669"/>
      <c r="K6" s="670">
        <v>46023</v>
      </c>
      <c r="L6" s="670">
        <v>46054</v>
      </c>
      <c r="M6" s="670">
        <v>46082</v>
      </c>
      <c r="N6" s="670">
        <v>46113</v>
      </c>
      <c r="O6" s="670">
        <v>46143</v>
      </c>
      <c r="P6" s="670">
        <v>46174</v>
      </c>
      <c r="Q6" s="670">
        <v>46204</v>
      </c>
      <c r="R6" s="670">
        <v>46235</v>
      </c>
      <c r="S6" s="670">
        <v>46266</v>
      </c>
      <c r="T6" s="670">
        <v>46296</v>
      </c>
      <c r="U6" s="670">
        <v>46327</v>
      </c>
      <c r="V6" s="670">
        <v>46357</v>
      </c>
      <c r="W6" s="671" t="s">
        <v>2504</v>
      </c>
      <c r="Y6" s="670">
        <f>'Budget-ACPL'!Y6</f>
        <v>46388</v>
      </c>
      <c r="Z6" s="670">
        <f>'Budget-ACPL'!Z6</f>
        <v>46419</v>
      </c>
      <c r="AA6" s="670">
        <f>'Budget-ACPL'!AA6</f>
        <v>46447</v>
      </c>
      <c r="AB6" s="670">
        <f>'Budget-ACPL'!AB6</f>
        <v>46478</v>
      </c>
      <c r="AC6" s="670">
        <f>'Budget-ACPL'!AC6</f>
        <v>46508</v>
      </c>
      <c r="AD6" s="670">
        <f>'Budget-ACPL'!AD6</f>
        <v>46539</v>
      </c>
      <c r="AE6" s="670">
        <f>'Budget-ACPL'!AE6</f>
        <v>46569</v>
      </c>
      <c r="AF6" s="670">
        <f>'Budget-ACPL'!AF6</f>
        <v>46600</v>
      </c>
      <c r="AG6" s="670">
        <f>'Budget-ACPL'!AG6</f>
        <v>46631</v>
      </c>
      <c r="AH6" s="670">
        <f>'Budget-ACPL'!AH6</f>
        <v>46661</v>
      </c>
      <c r="AI6" s="670">
        <f>'Budget-ACPL'!AI6</f>
        <v>46692</v>
      </c>
      <c r="AJ6" s="670">
        <f>'Budget-ACPL'!AJ6</f>
        <v>46722</v>
      </c>
      <c r="AK6" s="671" t="str">
        <f>'Budget-ACPL'!AK6</f>
        <v>2027 Total</v>
      </c>
    </row>
    <row r="7" spans="1:37" s="649" customFormat="1" ht="13.5" customHeight="1">
      <c r="A7" s="653" t="str">
        <f>'Budget-合并'!A7</f>
        <v>6001</v>
      </c>
      <c r="B7" s="686" t="str">
        <f>'Budget-合并'!B7</f>
        <v>营业收入</v>
      </c>
      <c r="C7" s="687">
        <f>VLOOKUP(A7,Account!A:F,4,0)</f>
        <v>0</v>
      </c>
      <c r="D7" s="674"/>
      <c r="E7" s="674"/>
      <c r="F7" s="674"/>
      <c r="G7" s="674"/>
      <c r="H7" s="674"/>
      <c r="I7" s="674"/>
      <c r="J7" s="674"/>
      <c r="K7" s="674"/>
      <c r="L7" s="674"/>
      <c r="M7" s="674"/>
      <c r="N7" s="674"/>
      <c r="O7" s="674"/>
      <c r="P7" s="674"/>
      <c r="Q7" s="674"/>
      <c r="R7" s="674"/>
      <c r="S7" s="674"/>
      <c r="T7" s="674"/>
      <c r="U7" s="674"/>
      <c r="V7" s="674"/>
      <c r="W7" s="674"/>
    </row>
    <row r="8" spans="1:37" ht="13.5" customHeight="1">
      <c r="A8" s="653" t="str">
        <f>'Budget-合并'!A8</f>
        <v>6001.01</v>
      </c>
      <c r="B8" s="653" t="str">
        <f>'Budget-合并'!B8</f>
        <v>基金管理费收入</v>
      </c>
      <c r="C8" s="687" t="str">
        <f>'Budget-合并'!C8</f>
        <v>Fund Management Fee</v>
      </c>
      <c r="D8" s="688">
        <f>INDEX($K8:$V8,1,MATCH($D$6,$K$6:$V$6))</f>
        <v>0</v>
      </c>
      <c r="E8" s="688" t="e">
        <f>INDEX($Y8:$AG8,1,MATCH($E$6,$Y$6:$AG$6))</f>
        <v>#N/A</v>
      </c>
      <c r="F8" s="688" t="e">
        <f>D8-E8</f>
        <v>#N/A</v>
      </c>
      <c r="G8" s="688">
        <f t="shared" ref="G8:G12" ca="1" si="0">SUM($K8:OFFSET($K8,0,MATCH(G$6,$K$6:$V$6)-1))</f>
        <v>0</v>
      </c>
      <c r="H8" s="688" t="e">
        <f t="shared" ref="H8:H12" ca="1" si="1">SUM($Y8:OFFSET($Y8,0,MATCH(H$6,$Y$6:$AJ$6)-1))</f>
        <v>#N/A</v>
      </c>
      <c r="I8" s="688" t="e">
        <f ca="1">G8-H8</f>
        <v>#N/A</v>
      </c>
      <c r="K8" s="688"/>
      <c r="L8" s="688"/>
      <c r="M8" s="688"/>
      <c r="N8" s="688"/>
      <c r="O8" s="688"/>
      <c r="P8" s="688"/>
      <c r="Q8" s="688"/>
      <c r="R8" s="688"/>
      <c r="S8" s="688"/>
      <c r="T8" s="688"/>
      <c r="U8" s="688"/>
      <c r="V8" s="688"/>
      <c r="W8" s="688">
        <f t="shared" ref="W8:W11" si="2">SUM(K8:V8)</f>
        <v>0</v>
      </c>
      <c r="Y8" s="688">
        <f>IFERROR(VLOOKUP($A8,'[92]1月'!$A:$H,8,0),0)</f>
        <v>0</v>
      </c>
      <c r="Z8" s="688">
        <f>IFERROR(VLOOKUP($A8,'[92]2月'!$A:$H,8,0),0)</f>
        <v>0</v>
      </c>
      <c r="AA8" s="688">
        <f>IFERROR(VLOOKUP($A8,'[92]3月'!$A:$H,8,0),0)</f>
        <v>0</v>
      </c>
      <c r="AB8" s="688">
        <f>IFERROR(VLOOKUP($A8,'[92]4月'!$A:$H,8,0),0)</f>
        <v>0</v>
      </c>
      <c r="AC8" s="688">
        <f>IFERROR(VLOOKUP($A8,'[92]5月'!$A:$H,8,0),0)</f>
        <v>0</v>
      </c>
      <c r="AD8" s="688">
        <f>IFERROR(VLOOKUP($A8,'[92]6月'!$A:$H,8,0),0)</f>
        <v>0</v>
      </c>
      <c r="AE8" s="688">
        <f>IFERROR(VLOOKUP($A8,'[92]7月'!$A:$H,8,0),0)</f>
        <v>0</v>
      </c>
      <c r="AF8" s="688">
        <f>IFERROR(VLOOKUP($A8,'[92]8月'!$A:$H,8,0),0)</f>
        <v>0</v>
      </c>
      <c r="AG8" s="688">
        <f>IFERROR(VLOOKUP($A8,'[92]9月'!$A:$H,8,0),0)</f>
        <v>0</v>
      </c>
      <c r="AH8" s="688">
        <f>IFERROR(VLOOKUP($A8,'[92]10月'!$A:$H,8,0),0)</f>
        <v>0</v>
      </c>
      <c r="AI8" s="688">
        <f>IFERROR(VLOOKUP($A8,'[92]11月'!$A:$H,8,0),0)</f>
        <v>0</v>
      </c>
      <c r="AJ8" s="688">
        <f>IFERROR(VLOOKUP($A8,'[92]12月'!$A:$H,8,0),0)</f>
        <v>0</v>
      </c>
      <c r="AK8" s="688">
        <f t="shared" ref="AK8:AK11" si="3">SUM(Y8:AJ8)</f>
        <v>0</v>
      </c>
    </row>
    <row r="9" spans="1:37" ht="13.5" customHeight="1">
      <c r="A9" s="653" t="str">
        <f>'Budget-合并'!A9</f>
        <v>6001.02</v>
      </c>
      <c r="B9" s="653" t="str">
        <f>'Budget-合并'!B9</f>
        <v>咨询服务费收入</v>
      </c>
      <c r="C9" s="687" t="str">
        <f>'Budget-合并'!C9</f>
        <v>Advisory Fee Income</v>
      </c>
      <c r="D9" s="688">
        <f t="shared" ref="D9:D18" si="4">INDEX($K9:$V9,1,MATCH($D$6,$K$6:$V$6))</f>
        <v>0</v>
      </c>
      <c r="E9" s="688" t="e">
        <f>INDEX($Y9:$AG9,1,MATCH($E$6,$Y$6:$AG$6))</f>
        <v>#N/A</v>
      </c>
      <c r="F9" s="688" t="e">
        <f t="shared" ref="F9:F18" si="5">D9-E9</f>
        <v>#N/A</v>
      </c>
      <c r="G9" s="688">
        <f t="shared" ca="1" si="0"/>
        <v>0</v>
      </c>
      <c r="H9" s="688" t="e">
        <f t="shared" ca="1" si="1"/>
        <v>#N/A</v>
      </c>
      <c r="I9" s="688" t="e">
        <f t="shared" ref="I9:I18" ca="1" si="6">G9-H9</f>
        <v>#N/A</v>
      </c>
      <c r="K9" s="688">
        <f t="shared" ref="K9:V9" si="7">SUM(K10:K11)</f>
        <v>0</v>
      </c>
      <c r="L9" s="688">
        <f t="shared" si="7"/>
        <v>0</v>
      </c>
      <c r="M9" s="688">
        <f t="shared" si="7"/>
        <v>0</v>
      </c>
      <c r="N9" s="688">
        <f t="shared" si="7"/>
        <v>0</v>
      </c>
      <c r="O9" s="688">
        <f t="shared" si="7"/>
        <v>237119.14479846173</v>
      </c>
      <c r="P9" s="688">
        <f t="shared" si="7"/>
        <v>0</v>
      </c>
      <c r="Q9" s="688">
        <f t="shared" si="7"/>
        <v>397316.96887259459</v>
      </c>
      <c r="R9" s="688">
        <f t="shared" si="7"/>
        <v>0</v>
      </c>
      <c r="S9" s="688">
        <f t="shared" si="7"/>
        <v>0</v>
      </c>
      <c r="T9" s="688">
        <f t="shared" si="7"/>
        <v>861224.46202955511</v>
      </c>
      <c r="U9" s="688">
        <f t="shared" si="7"/>
        <v>0</v>
      </c>
      <c r="V9" s="688">
        <f t="shared" si="7"/>
        <v>0</v>
      </c>
      <c r="W9" s="688">
        <f t="shared" si="2"/>
        <v>1495660.5757006113</v>
      </c>
      <c r="Y9" s="688">
        <f>IFERROR(VLOOKUP($A9,'[92]1月'!$A:$H,8,0),0)</f>
        <v>0</v>
      </c>
      <c r="Z9" s="688">
        <f>IFERROR(VLOOKUP($A9,'[92]2月'!$A:$H,8,0),0)</f>
        <v>0</v>
      </c>
      <c r="AA9" s="688">
        <f>IFERROR(VLOOKUP($A9,'[92]3月'!$A:$H,8,0),0)</f>
        <v>144841.78</v>
      </c>
      <c r="AB9" s="688">
        <f>IFERROR(VLOOKUP($A9,'[92]4月'!$A:$H,8,0),0)</f>
        <v>146705.63</v>
      </c>
      <c r="AC9" s="688">
        <f>IFERROR(VLOOKUP($A9,'[92]5月'!$A:$H,8,0),0)</f>
        <v>149703.13</v>
      </c>
      <c r="AD9" s="688">
        <f>IFERROR(VLOOKUP($A9,'[92]6月'!$A:$H,8,0),0)</f>
        <v>150425</v>
      </c>
      <c r="AE9" s="688">
        <f>IFERROR(VLOOKUP($A9,'[92]7月'!$A:$H,8,0),0)</f>
        <v>149978.13</v>
      </c>
      <c r="AF9" s="688">
        <f>IFERROR(VLOOKUP($A9,'[92]8月'!$A:$H,8,0),0)</f>
        <v>150301.25</v>
      </c>
      <c r="AG9" s="688">
        <f>IFERROR(VLOOKUP($A9,'[92]9月'!$A:$H,8,0),0)</f>
        <v>150266.88</v>
      </c>
      <c r="AH9" s="688">
        <f>IFERROR(VLOOKUP($A9,'[92]10月'!$A:$H,8,0),0)</f>
        <v>-1398219.76</v>
      </c>
      <c r="AI9" s="688">
        <f>IFERROR(VLOOKUP($A9,'[92]11月'!$A:$H,8,0),0)</f>
        <v>0</v>
      </c>
      <c r="AJ9" s="688">
        <f>IFERROR(VLOOKUP($A9,'[92]12月'!$A:$H,8,0),0)</f>
        <v>0</v>
      </c>
      <c r="AK9" s="688">
        <f t="shared" si="3"/>
        <v>-355997.95999999996</v>
      </c>
    </row>
    <row r="10" spans="1:37" ht="13.5" customHeight="1">
      <c r="A10" s="653">
        <f>'Budget-合并'!A10</f>
        <v>0</v>
      </c>
      <c r="B10" s="653" t="str">
        <f>'Budget-合并'!B10</f>
        <v xml:space="preserve">   辉飏咨询服务费</v>
      </c>
      <c r="C10" s="687" t="str">
        <f>'Budget-合并'!C10</f>
        <v xml:space="preserve">  HYNE</v>
      </c>
      <c r="D10" s="688">
        <f t="shared" si="4"/>
        <v>0</v>
      </c>
      <c r="E10" s="688" t="e">
        <f>INDEX($Y10:$AG10,1,MATCH($E$6,$Y$6:$AG$6))</f>
        <v>#N/A</v>
      </c>
      <c r="F10" s="688" t="e">
        <f t="shared" si="5"/>
        <v>#N/A</v>
      </c>
      <c r="G10" s="688">
        <f t="shared" ca="1" si="0"/>
        <v>0</v>
      </c>
      <c r="H10" s="688" t="e">
        <f t="shared" ca="1" si="1"/>
        <v>#N/A</v>
      </c>
      <c r="I10" s="688" t="e">
        <f t="shared" ca="1" si="6"/>
        <v>#N/A</v>
      </c>
      <c r="K10" s="688"/>
      <c r="L10" s="688"/>
      <c r="M10" s="688"/>
      <c r="N10" s="688"/>
      <c r="O10" s="688"/>
      <c r="P10" s="688"/>
      <c r="Q10" s="688"/>
      <c r="R10" s="688"/>
      <c r="S10" s="688"/>
      <c r="T10" s="688"/>
      <c r="U10" s="688"/>
      <c r="V10" s="688"/>
      <c r="W10" s="688">
        <f t="shared" si="2"/>
        <v>0</v>
      </c>
      <c r="Y10" s="688">
        <f>IFERROR(VLOOKUP($A10,'[92]1月'!$A:$H,8,0),0)</f>
        <v>0</v>
      </c>
      <c r="Z10" s="688">
        <f>IFERROR(VLOOKUP($A10,'[92]2月'!$A:$H,8,0),0)</f>
        <v>0</v>
      </c>
      <c r="AA10" s="688">
        <f>IFERROR(VLOOKUP($A10,'[92]3月'!$A:$H,8,0),0)</f>
        <v>0</v>
      </c>
      <c r="AB10" s="688">
        <f>IFERROR(VLOOKUP($A10,'[92]4月'!$A:$H,8,0),0)</f>
        <v>0</v>
      </c>
      <c r="AC10" s="688">
        <f>IFERROR(VLOOKUP($A10,'[92]5月'!$A:$H,8,0),0)</f>
        <v>0</v>
      </c>
      <c r="AD10" s="688">
        <f>IFERROR(VLOOKUP($A10,'[92]6月'!$A:$H,8,0),0)</f>
        <v>0</v>
      </c>
      <c r="AE10" s="688">
        <f>IFERROR(VLOOKUP($A10,'[92]7月'!$A:$H,8,0),0)</f>
        <v>0</v>
      </c>
      <c r="AF10" s="688">
        <f>IFERROR(VLOOKUP($A10,'[92]8月'!$A:$H,8,0),0)</f>
        <v>0</v>
      </c>
      <c r="AG10" s="688">
        <f>IFERROR(VLOOKUP($A10,'[92]9月'!$A:$H,8,0),0)</f>
        <v>0</v>
      </c>
      <c r="AH10" s="688">
        <f>IFERROR(VLOOKUP($A10,'[92]10月'!$A:$H,8,0),0)</f>
        <v>0</v>
      </c>
      <c r="AI10" s="688">
        <f>IFERROR(VLOOKUP($A10,'[92]11月'!$A:$H,8,0),0)</f>
        <v>0</v>
      </c>
      <c r="AJ10" s="688">
        <f>IFERROR(VLOOKUP($A10,'[92]12月'!$A:$H,8,0),0)</f>
        <v>0</v>
      </c>
      <c r="AK10" s="688">
        <f t="shared" si="3"/>
        <v>0</v>
      </c>
    </row>
    <row r="11" spans="1:37" ht="13.5" customHeight="1">
      <c r="A11" s="653">
        <f>'Budget-合并'!A11</f>
        <v>0</v>
      </c>
      <c r="B11" s="653" t="str">
        <f>'Budget-合并'!B11</f>
        <v xml:space="preserve">      MAA咨询管理费</v>
      </c>
      <c r="C11" s="687" t="str">
        <f>'Budget-合并'!C11</f>
        <v xml:space="preserve">  MAA</v>
      </c>
      <c r="D11" s="688">
        <f t="shared" si="4"/>
        <v>0</v>
      </c>
      <c r="E11" s="688" t="e">
        <f>INDEX($Y11:$AG11,1,MATCH($E$6,$Y$6:$AG$6))</f>
        <v>#N/A</v>
      </c>
      <c r="F11" s="688" t="e">
        <f t="shared" si="5"/>
        <v>#N/A</v>
      </c>
      <c r="G11" s="688">
        <f t="shared" ca="1" si="0"/>
        <v>0</v>
      </c>
      <c r="H11" s="688" t="e">
        <f t="shared" ca="1" si="1"/>
        <v>#N/A</v>
      </c>
      <c r="I11" s="688" t="e">
        <f t="shared" ca="1" si="6"/>
        <v>#N/A</v>
      </c>
      <c r="K11" s="688">
        <f>(INDEX(情形1!$G$78:$AK$78,MATCH(K$6,情形1!$G$3:$AP$3,0)))*10000</f>
        <v>0</v>
      </c>
      <c r="L11" s="688">
        <f>(INDEX(情形1!$G$78:$AK$78,MATCH(L$6,情形1!$G$3:$AP$3,0)))*10000</f>
        <v>0</v>
      </c>
      <c r="M11" s="688">
        <f>(INDEX(情形1!$G$78:$AK$78,MATCH(M$6,情形1!$G$3:$AP$3,0)))*10000</f>
        <v>0</v>
      </c>
      <c r="N11" s="688">
        <f>(INDEX(情形1!$G$78:$AK$78,MATCH(N$6,情形1!$G$3:$AP$3,0)))*10000</f>
        <v>0</v>
      </c>
      <c r="O11" s="688">
        <f>(INDEX(情形1!$G$78:$AK$78,MATCH(O$6,情形1!$G$3:$AP$3,0)))*10000</f>
        <v>237119.14479846173</v>
      </c>
      <c r="P11" s="688">
        <f>(INDEX(情形1!$G$78:$AK$78,MATCH(P$6,情形1!$G$3:$AP$3,0)))*10000</f>
        <v>0</v>
      </c>
      <c r="Q11" s="688">
        <f>(INDEX(情形1!$G$78:$AK$78,MATCH(Q$6,情形1!$G$3:$AP$3,0)))*10000</f>
        <v>397316.96887259459</v>
      </c>
      <c r="R11" s="688">
        <f>(INDEX(情形1!$G$78:$AK$78,MATCH(R$6,情形1!$G$3:$AP$3,0)))*10000</f>
        <v>0</v>
      </c>
      <c r="S11" s="688">
        <f>(INDEX(情形1!$G$78:$AK$78,MATCH(S$6,情形1!$G$3:$AP$3,0)))*10000</f>
        <v>0</v>
      </c>
      <c r="T11" s="688">
        <f>(INDEX(情形1!$G$78:$AK$78,MATCH(T$6,情形1!$G$3:$AP$3,0)))*10000</f>
        <v>861224.46202955511</v>
      </c>
      <c r="U11" s="688">
        <f>(INDEX(情形1!$G$78:$AK$78,MATCH(U$6,情形1!$G$3:$AP$3,0)))*10000</f>
        <v>0</v>
      </c>
      <c r="V11" s="688">
        <f>(INDEX(情形1!$G$78:$AK$78,MATCH(V$6,情形1!$G$3:$AP$3,0)))*10000</f>
        <v>0</v>
      </c>
      <c r="W11" s="688">
        <f t="shared" si="2"/>
        <v>1495660.5757006113</v>
      </c>
      <c r="X11" s="652" t="s">
        <v>2547</v>
      </c>
      <c r="Y11" s="688">
        <f>IFERROR(VLOOKUP($A11,'[92]1月'!$A:$H,8,0),0)</f>
        <v>0</v>
      </c>
      <c r="Z11" s="688">
        <f>IFERROR(VLOOKUP($A11,'[92]2月'!$A:$H,8,0),0)</f>
        <v>0</v>
      </c>
      <c r="AA11" s="688">
        <f>IFERROR(VLOOKUP($A11,'[92]3月'!$A:$H,8,0),0)</f>
        <v>0</v>
      </c>
      <c r="AB11" s="688">
        <f>IFERROR(VLOOKUP($A11,'[92]4月'!$A:$H,8,0),0)</f>
        <v>0</v>
      </c>
      <c r="AC11" s="688">
        <f>IFERROR(VLOOKUP($A11,'[92]5月'!$A:$H,8,0),0)</f>
        <v>0</v>
      </c>
      <c r="AD11" s="688">
        <f>IFERROR(VLOOKUP($A11,'[92]6月'!$A:$H,8,0),0)</f>
        <v>0</v>
      </c>
      <c r="AE11" s="688">
        <f>IFERROR(VLOOKUP($A11,'[92]7月'!$A:$H,8,0),0)</f>
        <v>0</v>
      </c>
      <c r="AF11" s="688">
        <f>IFERROR(VLOOKUP($A11,'[92]8月'!$A:$H,8,0),0)</f>
        <v>0</v>
      </c>
      <c r="AG11" s="688">
        <f>IFERROR(VLOOKUP($A11,'[92]9月'!$A:$H,8,0),0)</f>
        <v>0</v>
      </c>
      <c r="AH11" s="688">
        <f>IFERROR(VLOOKUP($A11,'[92]10月'!$A:$H,8,0),0)</f>
        <v>0</v>
      </c>
      <c r="AI11" s="688">
        <f>IFERROR(VLOOKUP($A11,'[92]11月'!$A:$H,8,0),0)</f>
        <v>0</v>
      </c>
      <c r="AJ11" s="688">
        <f>IFERROR(VLOOKUP($A11,'[92]12月'!$A:$H,8,0),0)</f>
        <v>0</v>
      </c>
      <c r="AK11" s="688">
        <f t="shared" si="3"/>
        <v>0</v>
      </c>
    </row>
    <row r="12" spans="1:37" s="680" customFormat="1" ht="13.5" customHeight="1">
      <c r="A12" s="653">
        <f>'Budget-合并'!A12</f>
        <v>0</v>
      </c>
      <c r="B12" s="686" t="str">
        <f>'Budget-合并'!B12</f>
        <v>营业收入合计</v>
      </c>
      <c r="C12" s="687">
        <f>'Budget-合并'!C12</f>
        <v>0</v>
      </c>
      <c r="D12" s="700">
        <f ca="1">SUM($K12:OFFSET($K12,0,MATCH(D$6,$K$6:$V$6)-1))</f>
        <v>0</v>
      </c>
      <c r="E12" s="700" t="e">
        <f>INDEX($Y12:$AG12,1,MATCH($E$6,$Y$6:$AG$6))</f>
        <v>#N/A</v>
      </c>
      <c r="F12" s="700" t="e">
        <f t="shared" ca="1" si="5"/>
        <v>#N/A</v>
      </c>
      <c r="G12" s="700">
        <f t="shared" ca="1" si="0"/>
        <v>0</v>
      </c>
      <c r="H12" s="700" t="e">
        <f t="shared" ca="1" si="1"/>
        <v>#N/A</v>
      </c>
      <c r="I12" s="700" t="e">
        <f t="shared" ca="1" si="6"/>
        <v>#N/A</v>
      </c>
      <c r="J12" s="654"/>
      <c r="K12" s="677">
        <f t="shared" ref="K12:W12" si="8">SUM(K8,K9)</f>
        <v>0</v>
      </c>
      <c r="L12" s="677">
        <f t="shared" si="8"/>
        <v>0</v>
      </c>
      <c r="M12" s="677">
        <f t="shared" si="8"/>
        <v>0</v>
      </c>
      <c r="N12" s="677">
        <f t="shared" si="8"/>
        <v>0</v>
      </c>
      <c r="O12" s="677">
        <f t="shared" si="8"/>
        <v>237119.14479846173</v>
      </c>
      <c r="P12" s="677">
        <f t="shared" si="8"/>
        <v>0</v>
      </c>
      <c r="Q12" s="677">
        <f t="shared" si="8"/>
        <v>397316.96887259459</v>
      </c>
      <c r="R12" s="677">
        <f t="shared" si="8"/>
        <v>0</v>
      </c>
      <c r="S12" s="677">
        <f t="shared" si="8"/>
        <v>0</v>
      </c>
      <c r="T12" s="677">
        <f t="shared" si="8"/>
        <v>861224.46202955511</v>
      </c>
      <c r="U12" s="677">
        <f t="shared" si="8"/>
        <v>0</v>
      </c>
      <c r="V12" s="677">
        <f t="shared" si="8"/>
        <v>0</v>
      </c>
      <c r="W12" s="677">
        <f t="shared" si="8"/>
        <v>1495660.5757006113</v>
      </c>
      <c r="Y12" s="654">
        <f t="shared" ref="Y12:AK12" si="9">SUM(Y8,Y9)</f>
        <v>0</v>
      </c>
      <c r="Z12" s="654">
        <f t="shared" si="9"/>
        <v>0</v>
      </c>
      <c r="AA12" s="654">
        <f t="shared" si="9"/>
        <v>144841.78</v>
      </c>
      <c r="AB12" s="654">
        <f t="shared" si="9"/>
        <v>146705.63</v>
      </c>
      <c r="AC12" s="654">
        <f t="shared" si="9"/>
        <v>149703.13</v>
      </c>
      <c r="AD12" s="654">
        <f t="shared" si="9"/>
        <v>150425</v>
      </c>
      <c r="AE12" s="654">
        <f t="shared" si="9"/>
        <v>149978.13</v>
      </c>
      <c r="AF12" s="654">
        <f t="shared" si="9"/>
        <v>150301.25</v>
      </c>
      <c r="AG12" s="654">
        <f t="shared" si="9"/>
        <v>150266.88</v>
      </c>
      <c r="AH12" s="654">
        <f t="shared" si="9"/>
        <v>-1398219.76</v>
      </c>
      <c r="AI12" s="654">
        <f t="shared" si="9"/>
        <v>0</v>
      </c>
      <c r="AJ12" s="654">
        <f t="shared" si="9"/>
        <v>0</v>
      </c>
      <c r="AK12" s="654">
        <f t="shared" si="9"/>
        <v>-355997.95999999996</v>
      </c>
    </row>
    <row r="13" spans="1:37" ht="13.5" customHeight="1">
      <c r="A13" s="653">
        <f>'Budget-合并'!A13</f>
        <v>0</v>
      </c>
      <c r="B13" s="653">
        <f>'Budget-合并'!B13</f>
        <v>0</v>
      </c>
      <c r="C13" s="687">
        <f>'Budget-合并'!C13</f>
        <v>0</v>
      </c>
      <c r="K13" s="654"/>
      <c r="L13" s="654"/>
      <c r="M13" s="654"/>
      <c r="N13" s="654"/>
      <c r="O13" s="654"/>
      <c r="P13" s="654"/>
      <c r="Q13" s="654"/>
      <c r="R13" s="654"/>
      <c r="S13" s="654"/>
      <c r="T13" s="654"/>
      <c r="U13" s="654"/>
      <c r="V13" s="654"/>
      <c r="W13" s="654"/>
    </row>
    <row r="14" spans="1:37" ht="13.5" customHeight="1">
      <c r="A14" s="653" t="str">
        <f>'Budget-合并'!A14</f>
        <v>6405.01</v>
      </c>
      <c r="B14" s="653" t="str">
        <f>'Budget-合并'!B14</f>
        <v>印花税</v>
      </c>
      <c r="C14" s="687" t="str">
        <f>'Budget-合并'!C14</f>
        <v>Stamp Duty</v>
      </c>
      <c r="D14" s="688">
        <f t="shared" si="4"/>
        <v>0</v>
      </c>
      <c r="E14" s="688" t="e">
        <f t="shared" ref="E14:E19" si="10">INDEX($Y14:$AG14,1,MATCH($E$6,$Y$6:$AG$6))</f>
        <v>#N/A</v>
      </c>
      <c r="F14" s="688" t="e">
        <f t="shared" si="5"/>
        <v>#N/A</v>
      </c>
      <c r="G14" s="688">
        <f t="shared" ref="G14:G19" ca="1" si="11">SUM($K14:OFFSET($K14,0,MATCH(G$6,$K$6:$V$6)-1))</f>
        <v>0</v>
      </c>
      <c r="H14" s="688" t="e">
        <f t="shared" ref="H14:H19" ca="1" si="12">SUM($Y14:OFFSET($Y14,0,MATCH(H$6,$Y$6:$AJ$6)-1))</f>
        <v>#N/A</v>
      </c>
      <c r="I14" s="688" t="e">
        <f t="shared" ca="1" si="6"/>
        <v>#N/A</v>
      </c>
      <c r="K14" s="676"/>
      <c r="L14" s="676"/>
      <c r="M14" s="676"/>
      <c r="N14" s="676"/>
      <c r="O14" s="676"/>
      <c r="P14" s="676"/>
      <c r="Q14" s="676"/>
      <c r="R14" s="676"/>
      <c r="S14" s="676"/>
      <c r="T14" s="676"/>
      <c r="U14" s="676"/>
      <c r="V14" s="676"/>
      <c r="W14" s="688">
        <f t="shared" ref="W14:W18" si="13">SUM(K14:V14)</f>
        <v>0</v>
      </c>
      <c r="Y14" s="688">
        <f>IFERROR(VLOOKUP($A14,'[92]1月'!$A:$H,8,0),0)</f>
        <v>0</v>
      </c>
      <c r="Z14" s="688">
        <f>IFERROR(VLOOKUP($A14,'[92]2月'!$A:$H,8,0),0)</f>
        <v>0</v>
      </c>
      <c r="AA14" s="688">
        <f>IFERROR(VLOOKUP($A14,'[92]3月'!$A:$H,8,0),0)</f>
        <v>0</v>
      </c>
      <c r="AB14" s="688">
        <f>IFERROR(VLOOKUP($A14,'[92]4月'!$A:$H,8,0),0)</f>
        <v>0</v>
      </c>
      <c r="AC14" s="688">
        <f>IFERROR(VLOOKUP($A14,'[92]5月'!$A:$H,8,0),0)</f>
        <v>0</v>
      </c>
      <c r="AD14" s="688">
        <f>IFERROR(VLOOKUP($A14,'[92]6月'!$A:$H,8,0),0)</f>
        <v>0</v>
      </c>
      <c r="AE14" s="688">
        <f>IFERROR(VLOOKUP($A14,'[92]7月'!$A:$H,8,0),0)</f>
        <v>0</v>
      </c>
      <c r="AF14" s="688">
        <f>IFERROR(VLOOKUP($A14,'[92]8月'!$A:$H,8,0),0)</f>
        <v>0</v>
      </c>
      <c r="AG14" s="688">
        <f>IFERROR(VLOOKUP($A14,'[92]9月'!$A:$H,8,0),0)</f>
        <v>0</v>
      </c>
      <c r="AH14" s="688">
        <f>IFERROR(VLOOKUP($A14,'[92]10月'!$A:$H,8,0),0)</f>
        <v>0</v>
      </c>
      <c r="AI14" s="688">
        <f>IFERROR(VLOOKUP($A14,'[92]11月'!$A:$H,8,0),0)</f>
        <v>0</v>
      </c>
      <c r="AJ14" s="688">
        <f>IFERROR(VLOOKUP($A14,'[92]12月'!$A:$H,8,0),0)</f>
        <v>0</v>
      </c>
      <c r="AK14" s="688">
        <f t="shared" ref="AK14:AK18" si="14">SUM(Y14:AJ14)</f>
        <v>0</v>
      </c>
    </row>
    <row r="15" spans="1:37" ht="13.5" customHeight="1">
      <c r="A15" s="653" t="str">
        <f>'Budget-合并'!A15</f>
        <v>6405.02</v>
      </c>
      <c r="B15" s="653" t="str">
        <f>'Budget-合并'!B15</f>
        <v>城市维护建设税</v>
      </c>
      <c r="C15" s="687" t="str">
        <f>'Budget-合并'!C15</f>
        <v>VAT surcharge</v>
      </c>
      <c r="D15" s="688">
        <f t="shared" si="4"/>
        <v>0</v>
      </c>
      <c r="E15" s="688" t="e">
        <f t="shared" si="10"/>
        <v>#N/A</v>
      </c>
      <c r="F15" s="688" t="e">
        <f t="shared" si="5"/>
        <v>#N/A</v>
      </c>
      <c r="G15" s="688">
        <f t="shared" ca="1" si="11"/>
        <v>0</v>
      </c>
      <c r="H15" s="688" t="e">
        <f t="shared" ca="1" si="12"/>
        <v>#N/A</v>
      </c>
      <c r="I15" s="688" t="e">
        <f t="shared" ca="1" si="6"/>
        <v>#N/A</v>
      </c>
      <c r="K15" s="676"/>
      <c r="L15" s="676"/>
      <c r="M15" s="676"/>
      <c r="N15" s="676"/>
      <c r="O15" s="676"/>
      <c r="P15" s="676"/>
      <c r="Q15" s="676"/>
      <c r="R15" s="676"/>
      <c r="S15" s="676"/>
      <c r="T15" s="676"/>
      <c r="U15" s="676"/>
      <c r="V15" s="676"/>
      <c r="W15" s="688">
        <f t="shared" si="13"/>
        <v>0</v>
      </c>
      <c r="Y15" s="688">
        <f>IFERROR(VLOOKUP($A15,'[92]1月'!$A:$H,8,0),0)</f>
        <v>0</v>
      </c>
      <c r="Z15" s="688">
        <f>IFERROR(VLOOKUP($A15,'[92]2月'!$A:$H,8,0),0)</f>
        <v>0</v>
      </c>
      <c r="AA15" s="688">
        <f>IFERROR(VLOOKUP($A15,'[92]3月'!$A:$H,8,0),0)</f>
        <v>0</v>
      </c>
      <c r="AB15" s="688">
        <f>IFERROR(VLOOKUP($A15,'[92]4月'!$A:$H,8,0),0)</f>
        <v>0</v>
      </c>
      <c r="AC15" s="688">
        <f>IFERROR(VLOOKUP($A15,'[92]5月'!$A:$H,8,0),0)</f>
        <v>0</v>
      </c>
      <c r="AD15" s="688">
        <f>IFERROR(VLOOKUP($A15,'[92]6月'!$A:$H,8,0),0)</f>
        <v>0</v>
      </c>
      <c r="AE15" s="688">
        <f>IFERROR(VLOOKUP($A15,'[92]7月'!$A:$H,8,0),0)</f>
        <v>0</v>
      </c>
      <c r="AF15" s="688">
        <f>IFERROR(VLOOKUP($A15,'[92]8月'!$A:$H,8,0),0)</f>
        <v>0</v>
      </c>
      <c r="AG15" s="688">
        <f>IFERROR(VLOOKUP($A15,'[92]9月'!$A:$H,8,0),0)</f>
        <v>0</v>
      </c>
      <c r="AH15" s="688">
        <f>IFERROR(VLOOKUP($A15,'[92]10月'!$A:$H,8,0),0)</f>
        <v>0</v>
      </c>
      <c r="AI15" s="688">
        <f>IFERROR(VLOOKUP($A15,'[92]11月'!$A:$H,8,0),0)</f>
        <v>0</v>
      </c>
      <c r="AJ15" s="688">
        <f>IFERROR(VLOOKUP($A15,'[92]12月'!$A:$H,8,0),0)</f>
        <v>0</v>
      </c>
      <c r="AK15" s="688">
        <f t="shared" si="14"/>
        <v>0</v>
      </c>
    </row>
    <row r="16" spans="1:37" ht="13.5" customHeight="1">
      <c r="A16" s="653" t="str">
        <f>'Budget-合并'!A16</f>
        <v>6405.03</v>
      </c>
      <c r="B16" s="653" t="str">
        <f>'Budget-合并'!B16</f>
        <v>教育费附加</v>
      </c>
      <c r="C16" s="687" t="str">
        <f>'Budget-合并'!C16</f>
        <v>VAT surcharge</v>
      </c>
      <c r="D16" s="688">
        <f t="shared" si="4"/>
        <v>0</v>
      </c>
      <c r="E16" s="688" t="e">
        <f t="shared" si="10"/>
        <v>#N/A</v>
      </c>
      <c r="F16" s="688" t="e">
        <f t="shared" si="5"/>
        <v>#N/A</v>
      </c>
      <c r="G16" s="688">
        <f t="shared" ca="1" si="11"/>
        <v>0</v>
      </c>
      <c r="H16" s="688" t="e">
        <f t="shared" ca="1" si="12"/>
        <v>#N/A</v>
      </c>
      <c r="I16" s="688" t="e">
        <f t="shared" ca="1" si="6"/>
        <v>#N/A</v>
      </c>
      <c r="K16" s="676"/>
      <c r="L16" s="676"/>
      <c r="M16" s="676"/>
      <c r="N16" s="676"/>
      <c r="O16" s="676"/>
      <c r="P16" s="676"/>
      <c r="Q16" s="676"/>
      <c r="R16" s="676"/>
      <c r="S16" s="676"/>
      <c r="T16" s="676"/>
      <c r="U16" s="676"/>
      <c r="V16" s="676"/>
      <c r="W16" s="688">
        <f t="shared" si="13"/>
        <v>0</v>
      </c>
      <c r="Y16" s="688">
        <f>IFERROR(VLOOKUP($A16,'[92]1月'!$A:$H,8,0),0)</f>
        <v>0</v>
      </c>
      <c r="Z16" s="688">
        <f>IFERROR(VLOOKUP($A16,'[92]2月'!$A:$H,8,0),0)</f>
        <v>0</v>
      </c>
      <c r="AA16" s="688">
        <f>IFERROR(VLOOKUP($A16,'[92]3月'!$A:$H,8,0),0)</f>
        <v>0</v>
      </c>
      <c r="AB16" s="688">
        <f>IFERROR(VLOOKUP($A16,'[92]4月'!$A:$H,8,0),0)</f>
        <v>0</v>
      </c>
      <c r="AC16" s="688">
        <f>IFERROR(VLOOKUP($A16,'[92]5月'!$A:$H,8,0),0)</f>
        <v>0</v>
      </c>
      <c r="AD16" s="688">
        <f>IFERROR(VLOOKUP($A16,'[92]6月'!$A:$H,8,0),0)</f>
        <v>0</v>
      </c>
      <c r="AE16" s="688">
        <f>IFERROR(VLOOKUP($A16,'[92]7月'!$A:$H,8,0),0)</f>
        <v>0</v>
      </c>
      <c r="AF16" s="688">
        <f>IFERROR(VLOOKUP($A16,'[92]8月'!$A:$H,8,0),0)</f>
        <v>0</v>
      </c>
      <c r="AG16" s="688">
        <f>IFERROR(VLOOKUP($A16,'[92]9月'!$A:$H,8,0),0)</f>
        <v>0</v>
      </c>
      <c r="AH16" s="688">
        <f>IFERROR(VLOOKUP($A16,'[92]10月'!$A:$H,8,0),0)</f>
        <v>0</v>
      </c>
      <c r="AI16" s="688">
        <f>IFERROR(VLOOKUP($A16,'[92]11月'!$A:$H,8,0),0)</f>
        <v>0</v>
      </c>
      <c r="AJ16" s="688">
        <f>IFERROR(VLOOKUP($A16,'[92]12月'!$A:$H,8,0),0)</f>
        <v>0</v>
      </c>
      <c r="AK16" s="688">
        <f t="shared" si="14"/>
        <v>0</v>
      </c>
    </row>
    <row r="17" spans="1:37" ht="13.5" customHeight="1">
      <c r="A17" s="653" t="str">
        <f>'Budget-合并'!A17</f>
        <v>6405.04</v>
      </c>
      <c r="B17" s="653" t="str">
        <f>'Budget-合并'!B17</f>
        <v>地方教育附加</v>
      </c>
      <c r="C17" s="687" t="str">
        <f>'Budget-合并'!C17</f>
        <v>VAT surcharge</v>
      </c>
      <c r="D17" s="688">
        <f t="shared" si="4"/>
        <v>0</v>
      </c>
      <c r="E17" s="688" t="e">
        <f t="shared" si="10"/>
        <v>#N/A</v>
      </c>
      <c r="F17" s="688" t="e">
        <f t="shared" si="5"/>
        <v>#N/A</v>
      </c>
      <c r="G17" s="688">
        <f t="shared" ca="1" si="11"/>
        <v>0</v>
      </c>
      <c r="H17" s="688" t="e">
        <f t="shared" ca="1" si="12"/>
        <v>#N/A</v>
      </c>
      <c r="I17" s="688" t="e">
        <f t="shared" ca="1" si="6"/>
        <v>#N/A</v>
      </c>
      <c r="K17" s="676"/>
      <c r="L17" s="676"/>
      <c r="M17" s="676"/>
      <c r="N17" s="676"/>
      <c r="O17" s="676"/>
      <c r="P17" s="676"/>
      <c r="Q17" s="676"/>
      <c r="R17" s="676"/>
      <c r="S17" s="676"/>
      <c r="T17" s="676"/>
      <c r="U17" s="676"/>
      <c r="V17" s="676"/>
      <c r="W17" s="688">
        <f t="shared" si="13"/>
        <v>0</v>
      </c>
      <c r="Y17" s="688">
        <f>IFERROR(VLOOKUP($A17,'[92]1月'!$A:$H,8,0),0)</f>
        <v>0</v>
      </c>
      <c r="Z17" s="688">
        <f>IFERROR(VLOOKUP($A17,'[92]2月'!$A:$H,8,0),0)</f>
        <v>0</v>
      </c>
      <c r="AA17" s="688">
        <f>IFERROR(VLOOKUP($A17,'[92]3月'!$A:$H,8,0),0)</f>
        <v>0</v>
      </c>
      <c r="AB17" s="688">
        <f>IFERROR(VLOOKUP($A17,'[92]4月'!$A:$H,8,0),0)</f>
        <v>0</v>
      </c>
      <c r="AC17" s="688">
        <f>IFERROR(VLOOKUP($A17,'[92]5月'!$A:$H,8,0),0)</f>
        <v>0</v>
      </c>
      <c r="AD17" s="688">
        <f>IFERROR(VLOOKUP($A17,'[92]6月'!$A:$H,8,0),0)</f>
        <v>0</v>
      </c>
      <c r="AE17" s="688">
        <f>IFERROR(VLOOKUP($A17,'[92]7月'!$A:$H,8,0),0)</f>
        <v>0</v>
      </c>
      <c r="AF17" s="688">
        <f>IFERROR(VLOOKUP($A17,'[92]8月'!$A:$H,8,0),0)</f>
        <v>0</v>
      </c>
      <c r="AG17" s="688">
        <f>IFERROR(VLOOKUP($A17,'[92]9月'!$A:$H,8,0),0)</f>
        <v>0</v>
      </c>
      <c r="AH17" s="688">
        <f>IFERROR(VLOOKUP($A17,'[92]10月'!$A:$H,8,0),0)</f>
        <v>0</v>
      </c>
      <c r="AI17" s="688">
        <f>IFERROR(VLOOKUP($A17,'[92]11月'!$A:$H,8,0),0)</f>
        <v>0</v>
      </c>
      <c r="AJ17" s="688">
        <f>IFERROR(VLOOKUP($A17,'[92]12月'!$A:$H,8,0),0)</f>
        <v>0</v>
      </c>
      <c r="AK17" s="688">
        <f t="shared" si="14"/>
        <v>0</v>
      </c>
    </row>
    <row r="18" spans="1:37" ht="13.5" customHeight="1">
      <c r="A18" s="653" t="str">
        <f>'Budget-合并'!A18</f>
        <v>6405.05</v>
      </c>
      <c r="B18" s="653" t="str">
        <f>'Budget-合并'!B18</f>
        <v>水利建设基金</v>
      </c>
      <c r="C18" s="687">
        <f>'Budget-合并'!C18</f>
        <v>0</v>
      </c>
      <c r="D18" s="688">
        <f t="shared" si="4"/>
        <v>0</v>
      </c>
      <c r="E18" s="688" t="e">
        <f t="shared" si="10"/>
        <v>#N/A</v>
      </c>
      <c r="F18" s="688" t="e">
        <f t="shared" si="5"/>
        <v>#N/A</v>
      </c>
      <c r="G18" s="688">
        <f t="shared" ca="1" si="11"/>
        <v>0</v>
      </c>
      <c r="H18" s="688" t="e">
        <f t="shared" ca="1" si="12"/>
        <v>#N/A</v>
      </c>
      <c r="I18" s="688" t="e">
        <f t="shared" ca="1" si="6"/>
        <v>#N/A</v>
      </c>
      <c r="K18" s="676"/>
      <c r="L18" s="676"/>
      <c r="M18" s="676"/>
      <c r="N18" s="676"/>
      <c r="O18" s="676"/>
      <c r="P18" s="676"/>
      <c r="Q18" s="676"/>
      <c r="R18" s="676"/>
      <c r="S18" s="676"/>
      <c r="T18" s="676"/>
      <c r="U18" s="676"/>
      <c r="V18" s="676"/>
      <c r="W18" s="676">
        <f t="shared" si="13"/>
        <v>0</v>
      </c>
      <c r="Y18" s="688">
        <f>IFERROR(VLOOKUP($A18,'[92]1月'!$A:$H,8,0),0)</f>
        <v>0</v>
      </c>
      <c r="Z18" s="688">
        <f>IFERROR(VLOOKUP($A18,'[92]2月'!$A:$H,8,0),0)</f>
        <v>0</v>
      </c>
      <c r="AA18" s="688">
        <f>IFERROR(VLOOKUP($A18,'[92]3月'!$A:$H,8,0),0)</f>
        <v>0</v>
      </c>
      <c r="AB18" s="688">
        <f>IFERROR(VLOOKUP($A18,'[92]4月'!$A:$H,8,0),0)</f>
        <v>0</v>
      </c>
      <c r="AC18" s="688">
        <f>IFERROR(VLOOKUP($A18,'[92]5月'!$A:$H,8,0),0)</f>
        <v>0</v>
      </c>
      <c r="AD18" s="688">
        <f>IFERROR(VLOOKUP($A18,'[92]6月'!$A:$H,8,0),0)</f>
        <v>0</v>
      </c>
      <c r="AE18" s="688">
        <f>IFERROR(VLOOKUP($A18,'[92]7月'!$A:$H,8,0),0)</f>
        <v>0</v>
      </c>
      <c r="AF18" s="688">
        <f>IFERROR(VLOOKUP($A18,'[92]8月'!$A:$H,8,0),0)</f>
        <v>0</v>
      </c>
      <c r="AG18" s="688">
        <f>IFERROR(VLOOKUP($A18,'[92]9月'!$A:$H,8,0),0)</f>
        <v>0</v>
      </c>
      <c r="AH18" s="688">
        <f>IFERROR(VLOOKUP($A18,'[92]10月'!$A:$H,8,0),0)</f>
        <v>0</v>
      </c>
      <c r="AI18" s="688">
        <f>IFERROR(VLOOKUP($A18,'[92]11月'!$A:$H,8,0),0)</f>
        <v>0</v>
      </c>
      <c r="AJ18" s="688">
        <f>IFERROR(VLOOKUP($A18,'[92]12月'!$A:$H,8,0),0)</f>
        <v>0</v>
      </c>
      <c r="AK18" s="688">
        <f t="shared" si="14"/>
        <v>0</v>
      </c>
    </row>
    <row r="19" spans="1:37" s="680" customFormat="1" ht="13.5" customHeight="1">
      <c r="A19" s="686">
        <f>'Budget-合并'!A19</f>
        <v>6401</v>
      </c>
      <c r="B19" s="686" t="str">
        <f>'Budget-合并'!B19</f>
        <v>税金及附加小计</v>
      </c>
      <c r="C19" s="687">
        <f>'Budget-合并'!C19</f>
        <v>0</v>
      </c>
      <c r="D19" s="701">
        <f>INDEX($K$8:$V$8,1,MATCH($D$6,$K$6:$V$6))</f>
        <v>0</v>
      </c>
      <c r="E19" s="700" t="e">
        <f t="shared" si="10"/>
        <v>#N/A</v>
      </c>
      <c r="F19" s="700" t="e">
        <f t="shared" ref="F19:F42" si="15">D19-E19</f>
        <v>#N/A</v>
      </c>
      <c r="G19" s="701">
        <f t="shared" ca="1" si="11"/>
        <v>0</v>
      </c>
      <c r="H19" s="701" t="e">
        <f t="shared" ca="1" si="12"/>
        <v>#N/A</v>
      </c>
      <c r="I19" s="700" t="e">
        <f t="shared" ref="I19:I42" ca="1" si="16">G19-H19</f>
        <v>#N/A</v>
      </c>
      <c r="J19" s="702"/>
      <c r="K19" s="702">
        <f t="shared" ref="K19:W19" si="17">SUM(K14:K18)</f>
        <v>0</v>
      </c>
      <c r="L19" s="702">
        <f t="shared" si="17"/>
        <v>0</v>
      </c>
      <c r="M19" s="702">
        <f t="shared" si="17"/>
        <v>0</v>
      </c>
      <c r="N19" s="702">
        <f t="shared" si="17"/>
        <v>0</v>
      </c>
      <c r="O19" s="702">
        <f t="shared" si="17"/>
        <v>0</v>
      </c>
      <c r="P19" s="702">
        <f t="shared" si="17"/>
        <v>0</v>
      </c>
      <c r="Q19" s="702">
        <f t="shared" si="17"/>
        <v>0</v>
      </c>
      <c r="R19" s="702">
        <f t="shared" si="17"/>
        <v>0</v>
      </c>
      <c r="S19" s="702">
        <f t="shared" si="17"/>
        <v>0</v>
      </c>
      <c r="T19" s="702">
        <f t="shared" si="17"/>
        <v>0</v>
      </c>
      <c r="U19" s="702">
        <f t="shared" si="17"/>
        <v>0</v>
      </c>
      <c r="V19" s="702">
        <f t="shared" si="17"/>
        <v>0</v>
      </c>
      <c r="W19" s="702">
        <f t="shared" si="17"/>
        <v>0</v>
      </c>
      <c r="Y19" s="654">
        <f t="shared" ref="Y19:AK19" si="18">SUM(Y14:Y18)</f>
        <v>0</v>
      </c>
      <c r="Z19" s="654">
        <f t="shared" si="18"/>
        <v>0</v>
      </c>
      <c r="AA19" s="654">
        <f t="shared" si="18"/>
        <v>0</v>
      </c>
      <c r="AB19" s="654">
        <f t="shared" si="18"/>
        <v>0</v>
      </c>
      <c r="AC19" s="654">
        <f t="shared" si="18"/>
        <v>0</v>
      </c>
      <c r="AD19" s="654">
        <f t="shared" si="18"/>
        <v>0</v>
      </c>
      <c r="AE19" s="654">
        <f t="shared" si="18"/>
        <v>0</v>
      </c>
      <c r="AF19" s="654">
        <f t="shared" si="18"/>
        <v>0</v>
      </c>
      <c r="AG19" s="654">
        <f t="shared" si="18"/>
        <v>0</v>
      </c>
      <c r="AH19" s="654">
        <f t="shared" si="18"/>
        <v>0</v>
      </c>
      <c r="AI19" s="654">
        <f t="shared" si="18"/>
        <v>0</v>
      </c>
      <c r="AJ19" s="654">
        <f t="shared" si="18"/>
        <v>0</v>
      </c>
      <c r="AK19" s="654">
        <f t="shared" si="18"/>
        <v>0</v>
      </c>
    </row>
    <row r="20" spans="1:37" ht="13.5" customHeight="1">
      <c r="A20" s="653">
        <f>'Budget-合并'!A20</f>
        <v>0</v>
      </c>
      <c r="B20" s="653">
        <f>'Budget-合并'!B20</f>
        <v>0</v>
      </c>
      <c r="C20" s="687">
        <f>'Budget-合并'!C20</f>
        <v>0</v>
      </c>
      <c r="K20" s="654"/>
      <c r="L20" s="654"/>
      <c r="M20" s="654"/>
      <c r="N20" s="654"/>
      <c r="O20" s="654"/>
      <c r="P20" s="654"/>
      <c r="Q20" s="654"/>
      <c r="R20" s="654"/>
      <c r="S20" s="654"/>
      <c r="T20" s="654"/>
      <c r="U20" s="654"/>
      <c r="V20" s="654"/>
      <c r="W20" s="654"/>
    </row>
    <row r="21" spans="1:37" ht="13.5" customHeight="1">
      <c r="A21" s="653">
        <f>'Budget-合并'!A21</f>
        <v>0</v>
      </c>
      <c r="B21" s="653">
        <f>'Budget-合并'!B21</f>
        <v>0</v>
      </c>
      <c r="C21" s="687">
        <f>'Budget-合并'!C21</f>
        <v>0</v>
      </c>
      <c r="D21" s="677"/>
      <c r="E21" s="677"/>
      <c r="F21" s="677"/>
      <c r="G21" s="677"/>
      <c r="H21" s="677"/>
      <c r="I21" s="677"/>
      <c r="K21" s="677"/>
      <c r="L21" s="677"/>
      <c r="M21" s="677"/>
      <c r="N21" s="677"/>
      <c r="O21" s="677"/>
      <c r="P21" s="677"/>
      <c r="Q21" s="677"/>
      <c r="R21" s="677"/>
      <c r="S21" s="677"/>
      <c r="T21" s="677"/>
      <c r="U21" s="677"/>
      <c r="V21" s="677"/>
      <c r="W21" s="677"/>
    </row>
    <row r="22" spans="1:37" ht="13.5" customHeight="1">
      <c r="A22" s="686" t="str">
        <f>'Budget-合并'!A22</f>
        <v>6602</v>
      </c>
      <c r="B22" s="686" t="str">
        <f>'Budget-合并'!B22</f>
        <v>管理费用</v>
      </c>
      <c r="C22" s="687">
        <f>'Budget-合并'!C22</f>
        <v>0</v>
      </c>
      <c r="D22" s="677"/>
      <c r="E22" s="677"/>
      <c r="F22" s="677"/>
      <c r="G22" s="677"/>
      <c r="H22" s="677"/>
      <c r="I22" s="677"/>
      <c r="K22" s="677"/>
      <c r="L22" s="677"/>
      <c r="M22" s="677"/>
      <c r="N22" s="677"/>
      <c r="O22" s="677"/>
      <c r="P22" s="677"/>
      <c r="Q22" s="677"/>
      <c r="R22" s="677"/>
      <c r="S22" s="677"/>
      <c r="T22" s="677"/>
      <c r="U22" s="677"/>
      <c r="V22" s="677"/>
      <c r="W22" s="677"/>
    </row>
    <row r="23" spans="1:37" ht="13.5" customHeight="1">
      <c r="A23" s="663" t="str">
        <f>'Budget-合并'!A23</f>
        <v>6602.01</v>
      </c>
      <c r="B23" s="703" t="str">
        <f>'Budget-合并'!B23</f>
        <v>工资薪金</v>
      </c>
      <c r="C23" s="687">
        <f>'Budget-合并'!C23</f>
        <v>0</v>
      </c>
      <c r="D23" s="688">
        <f t="shared" ref="D23:D42" si="19">INDEX($K23:$V23,1,MATCH($D$6,$K$6:$V$6))</f>
        <v>236746.764</v>
      </c>
      <c r="E23" s="688" t="e">
        <f t="shared" ref="E23:E42" si="20">INDEX($Y23:$AG23,1,MATCH($E$6,$Y$6:$AG$6))</f>
        <v>#N/A</v>
      </c>
      <c r="F23" s="688" t="e">
        <f t="shared" si="15"/>
        <v>#N/A</v>
      </c>
      <c r="G23" s="688">
        <f t="shared" ref="G23:G42" ca="1" si="21">SUM($K23:OFFSET($K23,0,MATCH(G$6,$K$6:$V$6)-1))</f>
        <v>236746.764</v>
      </c>
      <c r="H23" s="688" t="e">
        <f t="shared" ref="H23:H42" ca="1" si="22">SUM($Y23:OFFSET($Y23,0,MATCH(H$6,$Y$6:$AJ$6)-1))</f>
        <v>#N/A</v>
      </c>
      <c r="I23" s="688" t="e">
        <f t="shared" ca="1" si="16"/>
        <v>#N/A</v>
      </c>
      <c r="K23" s="704">
        <f t="shared" ref="K23:V23" si="23">SUM(K24:K32)</f>
        <v>236746.764</v>
      </c>
      <c r="L23" s="704">
        <f t="shared" si="23"/>
        <v>254546.764</v>
      </c>
      <c r="M23" s="704">
        <f t="shared" si="23"/>
        <v>307946.76400000002</v>
      </c>
      <c r="N23" s="704">
        <f t="shared" si="23"/>
        <v>852842.76399999997</v>
      </c>
      <c r="O23" s="704">
        <f t="shared" si="23"/>
        <v>307946.76400000002</v>
      </c>
      <c r="P23" s="704">
        <f t="shared" si="23"/>
        <v>307946.76400000002</v>
      </c>
      <c r="Q23" s="704">
        <f t="shared" si="23"/>
        <v>307946.76400000002</v>
      </c>
      <c r="R23" s="704">
        <f t="shared" si="23"/>
        <v>307946.76400000002</v>
      </c>
      <c r="S23" s="704">
        <f t="shared" si="23"/>
        <v>307946.76400000002</v>
      </c>
      <c r="T23" s="704">
        <f t="shared" si="23"/>
        <v>307946.76400000002</v>
      </c>
      <c r="U23" s="704">
        <f t="shared" si="23"/>
        <v>307946.76400000002</v>
      </c>
      <c r="V23" s="704">
        <f t="shared" si="23"/>
        <v>307946.76400000002</v>
      </c>
      <c r="W23" s="704">
        <f>SUM(K23:V23)</f>
        <v>4115657.1679999996</v>
      </c>
      <c r="Y23" s="688">
        <f>IFERROR(VLOOKUP($A23,'[92]1月'!$A:$H,8,0),0)</f>
        <v>414735.5</v>
      </c>
      <c r="Z23" s="688">
        <f>IFERROR(VLOOKUP($A23,'[92]2月'!$A:$H,8,0),0)</f>
        <v>414735.5</v>
      </c>
      <c r="AA23" s="688">
        <f>IFERROR(VLOOKUP($A23,'[92]3月'!$A:$H,8,0),0)</f>
        <v>443982.08000000002</v>
      </c>
      <c r="AB23" s="688">
        <f>IFERROR(VLOOKUP($A23,'[92]4月'!$A:$H,8,0),0)</f>
        <v>461235.5</v>
      </c>
      <c r="AC23" s="688">
        <f>IFERROR(VLOOKUP($A23,'[92]5月'!$A:$H,8,0),0)</f>
        <v>461235.5</v>
      </c>
      <c r="AD23" s="688">
        <f>IFERROR(VLOOKUP($A23,'[92]6月'!$A:$H,8,0),0)</f>
        <v>397286.3</v>
      </c>
      <c r="AE23" s="688">
        <f>IFERROR(VLOOKUP($A23,'[92]7月'!$A:$H,8,0),0)</f>
        <v>402947.59</v>
      </c>
      <c r="AF23" s="688">
        <f>IFERROR(VLOOKUP($A23,'[92]8月'!$A:$H,8,0),0)</f>
        <v>401004.66</v>
      </c>
      <c r="AG23" s="688">
        <f>IFERROR(VLOOKUP($A23,'[92]9月'!$A:$H,8,0),0)</f>
        <v>393567.94</v>
      </c>
      <c r="AH23" s="688">
        <f>IFERROR(VLOOKUP($A23,'[92]10月'!$A:$H,8,0),0)</f>
        <v>357008.56</v>
      </c>
      <c r="AI23" s="688">
        <f>IFERROR(VLOOKUP($A23,'[92]11月'!$A:$H,8,0),0)</f>
        <v>273767.7</v>
      </c>
      <c r="AJ23" s="688">
        <f>IFERROR(VLOOKUP($A23,'[92]12月'!$A:$H,8,0),0)</f>
        <v>285735.5</v>
      </c>
      <c r="AK23" s="688">
        <f t="shared" ref="AK23:AK41" si="24">SUM(Y23:AJ23)</f>
        <v>4707242.33</v>
      </c>
    </row>
    <row r="24" spans="1:37" ht="13.5" customHeight="1">
      <c r="A24" s="653" t="str">
        <f>'Budget-合并'!A24</f>
        <v>6602.01.01</v>
      </c>
      <c r="B24" s="705" t="str">
        <f>'Budget-合并'!B24</f>
        <v>基本工资（专业）</v>
      </c>
      <c r="C24" s="687" t="str">
        <f>'Budget-合并'!C24</f>
        <v>Salary Professional</v>
      </c>
      <c r="D24" s="688">
        <f t="shared" si="19"/>
        <v>229270.764</v>
      </c>
      <c r="E24" s="688" t="e">
        <f t="shared" si="20"/>
        <v>#N/A</v>
      </c>
      <c r="F24" s="688" t="e">
        <f t="shared" si="15"/>
        <v>#N/A</v>
      </c>
      <c r="G24" s="688">
        <f t="shared" ca="1" si="21"/>
        <v>229270.764</v>
      </c>
      <c r="H24" s="688" t="e">
        <f t="shared" ca="1" si="22"/>
        <v>#N/A</v>
      </c>
      <c r="I24" s="688" t="e">
        <f t="shared" ca="1" si="16"/>
        <v>#N/A</v>
      </c>
      <c r="K24" s="704">
        <f>SUM('[90]Personnel-HK 2026'!U$25:U$28)</f>
        <v>229270.764</v>
      </c>
      <c r="L24" s="704">
        <f>SUM('[90]Personnel-HK 2026'!V$25:V$28)</f>
        <v>247070.764</v>
      </c>
      <c r="M24" s="704">
        <f>SUM('[90]Personnel-HK 2026'!W$25:W$28)</f>
        <v>300470.76400000002</v>
      </c>
      <c r="N24" s="704">
        <f>SUM('[90]Personnel-HK 2026'!X$25:X$28)</f>
        <v>300470.76400000002</v>
      </c>
      <c r="O24" s="704">
        <f>SUM('[90]Personnel-HK 2026'!Y$25:Y$28)</f>
        <v>300470.76400000002</v>
      </c>
      <c r="P24" s="704">
        <f>SUM('[90]Personnel-HK 2026'!Z$25:Z$28)</f>
        <v>300470.76400000002</v>
      </c>
      <c r="Q24" s="704">
        <f>SUM('[90]Personnel-HK 2026'!AA$25:AA$28)</f>
        <v>300470.76400000002</v>
      </c>
      <c r="R24" s="704">
        <f>SUM('[90]Personnel-HK 2026'!AB$25:AB$28)</f>
        <v>300470.76400000002</v>
      </c>
      <c r="S24" s="704">
        <f>SUM('[90]Personnel-HK 2026'!AC$25:AC$28)</f>
        <v>300470.76400000002</v>
      </c>
      <c r="T24" s="704">
        <f>SUM('[90]Personnel-HK 2026'!AD$25:AD$28)</f>
        <v>300470.76400000002</v>
      </c>
      <c r="U24" s="704">
        <f>SUM('[90]Personnel-HK 2026'!AE$25:AE$28)</f>
        <v>300470.76400000002</v>
      </c>
      <c r="V24" s="704">
        <f>SUM('[90]Personnel-HK 2026'!AF$25:AF$28)</f>
        <v>300470.76400000002</v>
      </c>
      <c r="W24" s="704">
        <f>SUM(K24:V24)</f>
        <v>3481049.1680000001</v>
      </c>
      <c r="Y24" s="688">
        <f>IFERROR(VLOOKUP($A24,'[92]1月'!$A:$H,8,0),0)</f>
        <v>100000</v>
      </c>
      <c r="Z24" s="688">
        <f>IFERROR(VLOOKUP($A24,'[92]2月'!$A:$H,8,0),0)</f>
        <v>100000</v>
      </c>
      <c r="AA24" s="688">
        <f>IFERROR(VLOOKUP($A24,'[92]3月'!$A:$H,8,0),0)</f>
        <v>100000</v>
      </c>
      <c r="AB24" s="688">
        <f>IFERROR(VLOOKUP($A24,'[92]4月'!$A:$H,8,0),0)</f>
        <v>200000</v>
      </c>
      <c r="AC24" s="688">
        <f>IFERROR(VLOOKUP($A24,'[92]5月'!$A:$H,8,0),0)</f>
        <v>200000</v>
      </c>
      <c r="AD24" s="688">
        <f>IFERROR(VLOOKUP($A24,'[92]6月'!$A:$H,8,0),0)</f>
        <v>200000</v>
      </c>
      <c r="AE24" s="688">
        <f>IFERROR(VLOOKUP($A24,'[92]7月'!$A:$H,8,0),0)</f>
        <v>200000</v>
      </c>
      <c r="AF24" s="688">
        <f>IFERROR(VLOOKUP($A24,'[92]8月'!$A:$H,8,0),0)</f>
        <v>200000</v>
      </c>
      <c r="AG24" s="688">
        <f>IFERROR(VLOOKUP($A24,'[92]9月'!$A:$H,8,0),0)</f>
        <v>200000</v>
      </c>
      <c r="AH24" s="688">
        <f>IFERROR(VLOOKUP($A24,'[92]10月'!$A:$H,8,0),0)</f>
        <v>200000</v>
      </c>
      <c r="AI24" s="688">
        <f>IFERROR(VLOOKUP($A24,'[92]11月'!$A:$H,8,0),0)</f>
        <v>200000</v>
      </c>
      <c r="AJ24" s="688">
        <f>IFERROR(VLOOKUP($A24,'[92]12月'!$A:$H,8,0),0)</f>
        <v>200000</v>
      </c>
      <c r="AK24" s="688">
        <f t="shared" si="24"/>
        <v>2100000</v>
      </c>
    </row>
    <row r="25" spans="1:37" ht="13.5" customHeight="1">
      <c r="A25" s="653" t="str">
        <f>'Budget-合并'!A25</f>
        <v>6602.01.02</v>
      </c>
      <c r="B25" s="653" t="str">
        <f>'Budget-合并'!B25</f>
        <v>加班费</v>
      </c>
      <c r="C25" s="687">
        <f>'Budget-合并'!C25</f>
        <v>0</v>
      </c>
      <c r="D25" s="688">
        <f t="shared" si="19"/>
        <v>0</v>
      </c>
      <c r="E25" s="688" t="e">
        <f t="shared" si="20"/>
        <v>#N/A</v>
      </c>
      <c r="F25" s="688" t="e">
        <f t="shared" si="15"/>
        <v>#N/A</v>
      </c>
      <c r="G25" s="688">
        <f t="shared" ca="1" si="21"/>
        <v>0</v>
      </c>
      <c r="H25" s="688" t="e">
        <f t="shared" ca="1" si="22"/>
        <v>#N/A</v>
      </c>
      <c r="I25" s="688" t="e">
        <f t="shared" ca="1" si="16"/>
        <v>#N/A</v>
      </c>
      <c r="K25" s="704"/>
      <c r="L25" s="704"/>
      <c r="M25" s="704"/>
      <c r="N25" s="704"/>
      <c r="O25" s="704"/>
      <c r="P25" s="704"/>
      <c r="Q25" s="704"/>
      <c r="R25" s="704"/>
      <c r="S25" s="704"/>
      <c r="T25" s="704"/>
      <c r="U25" s="704"/>
      <c r="V25" s="704"/>
      <c r="W25" s="704">
        <f t="shared" ref="W25:W86" si="25">SUM(K25:V25)</f>
        <v>0</v>
      </c>
      <c r="Y25" s="688">
        <f>IFERROR(VLOOKUP($A25,'[92]1月'!$A:$H,8,0),0)</f>
        <v>0</v>
      </c>
      <c r="Z25" s="688">
        <f>IFERROR(VLOOKUP($A25,'[92]2月'!$A:$H,8,0),0)</f>
        <v>0</v>
      </c>
      <c r="AA25" s="688">
        <f>IFERROR(VLOOKUP($A25,'[92]3月'!$A:$H,8,0),0)</f>
        <v>0</v>
      </c>
      <c r="AB25" s="688">
        <f>IFERROR(VLOOKUP($A25,'[92]4月'!$A:$H,8,0),0)</f>
        <v>0</v>
      </c>
      <c r="AC25" s="688">
        <f>IFERROR(VLOOKUP($A25,'[92]5月'!$A:$H,8,0),0)</f>
        <v>0</v>
      </c>
      <c r="AD25" s="688">
        <f>IFERROR(VLOOKUP($A25,'[92]6月'!$A:$H,8,0),0)</f>
        <v>0</v>
      </c>
      <c r="AE25" s="688">
        <f>IFERROR(VLOOKUP($A25,'[92]7月'!$A:$H,8,0),0)</f>
        <v>0</v>
      </c>
      <c r="AF25" s="688">
        <f>IFERROR(VLOOKUP($A25,'[92]8月'!$A:$H,8,0),0)</f>
        <v>0</v>
      </c>
      <c r="AG25" s="688">
        <f>IFERROR(VLOOKUP($A25,'[92]9月'!$A:$H,8,0),0)</f>
        <v>0</v>
      </c>
      <c r="AH25" s="688">
        <f>IFERROR(VLOOKUP($A25,'[92]10月'!$A:$H,8,0),0)</f>
        <v>0</v>
      </c>
      <c r="AI25" s="688">
        <f>IFERROR(VLOOKUP($A25,'[92]11月'!$A:$H,8,0),0)</f>
        <v>0</v>
      </c>
      <c r="AJ25" s="688">
        <f>IFERROR(VLOOKUP($A25,'[92]12月'!$A:$H,8,0),0)</f>
        <v>0</v>
      </c>
      <c r="AK25" s="688">
        <f t="shared" si="24"/>
        <v>0</v>
      </c>
    </row>
    <row r="26" spans="1:37" ht="13.5" customHeight="1">
      <c r="A26" s="653" t="str">
        <f>'Budget-合并'!A26</f>
        <v>6602.01.03</v>
      </c>
      <c r="B26" s="653" t="str">
        <f>'Budget-合并'!B26</f>
        <v>员工奖金（专业）</v>
      </c>
      <c r="C26" s="687" t="str">
        <f>'Budget-合并'!C26</f>
        <v>Bonus Expense - Professional</v>
      </c>
      <c r="D26" s="688">
        <f t="shared" si="19"/>
        <v>0</v>
      </c>
      <c r="E26" s="688" t="e">
        <f t="shared" si="20"/>
        <v>#N/A</v>
      </c>
      <c r="F26" s="688" t="e">
        <f t="shared" si="15"/>
        <v>#N/A</v>
      </c>
      <c r="G26" s="688">
        <f t="shared" ca="1" si="21"/>
        <v>0</v>
      </c>
      <c r="H26" s="688" t="e">
        <f t="shared" ca="1" si="22"/>
        <v>#N/A</v>
      </c>
      <c r="I26" s="688" t="e">
        <f t="shared" ca="1" si="16"/>
        <v>#N/A</v>
      </c>
      <c r="K26" s="704"/>
      <c r="L26" s="704"/>
      <c r="M26" s="704"/>
      <c r="N26" s="704">
        <v>544896</v>
      </c>
      <c r="O26" s="704"/>
      <c r="P26" s="704"/>
      <c r="Q26" s="704"/>
      <c r="R26" s="704"/>
      <c r="S26" s="704"/>
      <c r="T26" s="704"/>
      <c r="U26" s="704"/>
      <c r="V26" s="704"/>
      <c r="W26" s="704">
        <f t="shared" si="25"/>
        <v>544896</v>
      </c>
      <c r="Y26" s="688">
        <f>IFERROR(VLOOKUP($A26,'[92]1月'!$A:$H,8,0),0)</f>
        <v>0</v>
      </c>
      <c r="Z26" s="688">
        <f>IFERROR(VLOOKUP($A26,'[92]2月'!$A:$H,8,0),0)</f>
        <v>0</v>
      </c>
      <c r="AA26" s="688">
        <f>IFERROR(VLOOKUP($A26,'[92]3月'!$A:$H,8,0),0)</f>
        <v>0</v>
      </c>
      <c r="AB26" s="688">
        <f>IFERROR(VLOOKUP($A26,'[92]4月'!$A:$H,8,0),0)</f>
        <v>0</v>
      </c>
      <c r="AC26" s="688">
        <f>IFERROR(VLOOKUP($A26,'[92]5月'!$A:$H,8,0),0)</f>
        <v>0</v>
      </c>
      <c r="AD26" s="688">
        <f>IFERROR(VLOOKUP($A26,'[92]6月'!$A:$H,8,0),0)</f>
        <v>0</v>
      </c>
      <c r="AE26" s="688">
        <f>IFERROR(VLOOKUP($A26,'[92]7月'!$A:$H,8,0),0)</f>
        <v>0</v>
      </c>
      <c r="AF26" s="688">
        <f>IFERROR(VLOOKUP($A26,'[92]8月'!$A:$H,8,0),0)</f>
        <v>0</v>
      </c>
      <c r="AG26" s="688">
        <f>IFERROR(VLOOKUP($A26,'[92]9月'!$A:$H,8,0),0)</f>
        <v>0</v>
      </c>
      <c r="AH26" s="688">
        <f>IFERROR(VLOOKUP($A26,'[92]10月'!$A:$H,8,0),0)</f>
        <v>0</v>
      </c>
      <c r="AI26" s="688">
        <f>IFERROR(VLOOKUP($A26,'[92]11月'!$A:$H,8,0),0)</f>
        <v>0</v>
      </c>
      <c r="AJ26" s="688">
        <f>IFERROR(VLOOKUP($A26,'[92]12月'!$A:$H,8,0),0)</f>
        <v>0</v>
      </c>
      <c r="AK26" s="688">
        <f t="shared" si="24"/>
        <v>0</v>
      </c>
    </row>
    <row r="27" spans="1:37" ht="13.5" customHeight="1">
      <c r="A27" s="653" t="str">
        <f>'Budget-合并'!A27</f>
        <v>6602.01.04</v>
      </c>
      <c r="B27" s="653" t="str">
        <f>'Budget-合并'!B27</f>
        <v>员工遣散费</v>
      </c>
      <c r="C27" s="687">
        <f>'Budget-合并'!C27</f>
        <v>0</v>
      </c>
      <c r="D27" s="688">
        <f t="shared" si="19"/>
        <v>0</v>
      </c>
      <c r="E27" s="688" t="e">
        <f t="shared" si="20"/>
        <v>#N/A</v>
      </c>
      <c r="F27" s="688" t="e">
        <f t="shared" si="15"/>
        <v>#N/A</v>
      </c>
      <c r="G27" s="688">
        <f t="shared" ca="1" si="21"/>
        <v>0</v>
      </c>
      <c r="H27" s="688" t="e">
        <f t="shared" ca="1" si="22"/>
        <v>#N/A</v>
      </c>
      <c r="I27" s="688" t="e">
        <f t="shared" ca="1" si="16"/>
        <v>#N/A</v>
      </c>
      <c r="K27" s="704"/>
      <c r="L27" s="704"/>
      <c r="M27" s="704"/>
      <c r="N27" s="704"/>
      <c r="O27" s="704"/>
      <c r="P27" s="704"/>
      <c r="Q27" s="704"/>
      <c r="R27" s="704"/>
      <c r="S27" s="704"/>
      <c r="T27" s="704"/>
      <c r="U27" s="704"/>
      <c r="V27" s="704"/>
      <c r="W27" s="704">
        <f t="shared" si="25"/>
        <v>0</v>
      </c>
      <c r="Y27" s="688">
        <f>IFERROR(VLOOKUP($A27,'[92]1月'!$A:$H,8,0),0)</f>
        <v>0</v>
      </c>
      <c r="Z27" s="688">
        <f>IFERROR(VLOOKUP($A27,'[92]2月'!$A:$H,8,0),0)</f>
        <v>0</v>
      </c>
      <c r="AA27" s="688">
        <f>IFERROR(VLOOKUP($A27,'[92]3月'!$A:$H,8,0),0)</f>
        <v>0</v>
      </c>
      <c r="AB27" s="688">
        <f>IFERROR(VLOOKUP($A27,'[92]4月'!$A:$H,8,0),0)</f>
        <v>0</v>
      </c>
      <c r="AC27" s="688">
        <f>IFERROR(VLOOKUP($A27,'[92]5月'!$A:$H,8,0),0)</f>
        <v>0</v>
      </c>
      <c r="AD27" s="688">
        <f>IFERROR(VLOOKUP($A27,'[92]6月'!$A:$H,8,0),0)</f>
        <v>0</v>
      </c>
      <c r="AE27" s="688">
        <f>IFERROR(VLOOKUP($A27,'[92]7月'!$A:$H,8,0),0)</f>
        <v>0</v>
      </c>
      <c r="AF27" s="688">
        <f>IFERROR(VLOOKUP($A27,'[92]8月'!$A:$H,8,0),0)</f>
        <v>0</v>
      </c>
      <c r="AG27" s="688">
        <f>IFERROR(VLOOKUP($A27,'[92]9月'!$A:$H,8,0),0)</f>
        <v>0</v>
      </c>
      <c r="AH27" s="688">
        <f>IFERROR(VLOOKUP($A27,'[92]10月'!$A:$H,8,0),0)</f>
        <v>0</v>
      </c>
      <c r="AI27" s="688">
        <f>IFERROR(VLOOKUP($A27,'[92]11月'!$A:$H,8,0),0)</f>
        <v>0</v>
      </c>
      <c r="AJ27" s="688">
        <f>IFERROR(VLOOKUP($A27,'[92]12月'!$A:$H,8,0),0)</f>
        <v>0</v>
      </c>
      <c r="AK27" s="688">
        <f t="shared" si="24"/>
        <v>0</v>
      </c>
    </row>
    <row r="28" spans="1:37" ht="13.5" customHeight="1">
      <c r="A28" s="653" t="str">
        <f>'Budget-合并'!A28</f>
        <v>6602.01.05</v>
      </c>
      <c r="B28" s="653" t="str">
        <f>'Budget-合并'!B28</f>
        <v>员工假期</v>
      </c>
      <c r="C28" s="687" t="str">
        <f>'Budget-合并'!C28</f>
        <v>Unused Leave Expense</v>
      </c>
      <c r="D28" s="688">
        <f t="shared" si="19"/>
        <v>0</v>
      </c>
      <c r="E28" s="688" t="e">
        <f t="shared" si="20"/>
        <v>#N/A</v>
      </c>
      <c r="F28" s="688" t="e">
        <f t="shared" si="15"/>
        <v>#N/A</v>
      </c>
      <c r="G28" s="688">
        <f t="shared" ca="1" si="21"/>
        <v>0</v>
      </c>
      <c r="H28" s="688" t="e">
        <f t="shared" ca="1" si="22"/>
        <v>#N/A</v>
      </c>
      <c r="I28" s="688" t="e">
        <f t="shared" ca="1" si="16"/>
        <v>#N/A</v>
      </c>
      <c r="K28" s="704"/>
      <c r="L28" s="704"/>
      <c r="M28" s="704"/>
      <c r="N28" s="704"/>
      <c r="O28" s="704"/>
      <c r="P28" s="704"/>
      <c r="Q28" s="704"/>
      <c r="R28" s="704"/>
      <c r="S28" s="704"/>
      <c r="T28" s="704"/>
      <c r="U28" s="704"/>
      <c r="V28" s="704"/>
      <c r="W28" s="704">
        <f t="shared" si="25"/>
        <v>0</v>
      </c>
      <c r="Y28" s="688">
        <f>IFERROR(VLOOKUP($A28,'[92]1月'!$A:$H,8,0),0)</f>
        <v>0</v>
      </c>
      <c r="Z28" s="688">
        <f>IFERROR(VLOOKUP($A28,'[92]2月'!$A:$H,8,0),0)</f>
        <v>0</v>
      </c>
      <c r="AA28" s="688">
        <f>IFERROR(VLOOKUP($A28,'[92]3月'!$A:$H,8,0),0)</f>
        <v>-45753.42</v>
      </c>
      <c r="AB28" s="688">
        <f>IFERROR(VLOOKUP($A28,'[92]4月'!$A:$H,8,0),0)</f>
        <v>0</v>
      </c>
      <c r="AC28" s="688">
        <f>IFERROR(VLOOKUP($A28,'[92]5月'!$A:$H,8,0),0)</f>
        <v>0</v>
      </c>
      <c r="AD28" s="688">
        <f>IFERROR(VLOOKUP($A28,'[92]6月'!$A:$H,8,0),0)</f>
        <v>0</v>
      </c>
      <c r="AE28" s="688">
        <f>IFERROR(VLOOKUP($A28,'[92]7月'!$A:$H,8,0),0)</f>
        <v>0</v>
      </c>
      <c r="AF28" s="688">
        <f>IFERROR(VLOOKUP($A28,'[92]8月'!$A:$H,8,0),0)</f>
        <v>0</v>
      </c>
      <c r="AG28" s="688">
        <f>IFERROR(VLOOKUP($A28,'[92]9月'!$A:$H,8,0),0)</f>
        <v>0</v>
      </c>
      <c r="AH28" s="688">
        <f>IFERROR(VLOOKUP($A28,'[92]10月'!$A:$H,8,0),0)</f>
        <v>0</v>
      </c>
      <c r="AI28" s="688">
        <f>IFERROR(VLOOKUP($A28,'[92]11月'!$A:$H,8,0),0)</f>
        <v>0</v>
      </c>
      <c r="AJ28" s="688">
        <f>IFERROR(VLOOKUP($A28,'[92]12月'!$A:$H,8,0),0)</f>
        <v>0</v>
      </c>
      <c r="AK28" s="688">
        <f t="shared" si="24"/>
        <v>-45753.42</v>
      </c>
    </row>
    <row r="29" spans="1:37" ht="13.5" customHeight="1">
      <c r="A29" s="653" t="str">
        <f>'Budget-合并'!A29</f>
        <v>6602.01.06</v>
      </c>
      <c r="B29" s="653" t="str">
        <f>'Budget-合并'!B29</f>
        <v>劳务报酬</v>
      </c>
      <c r="C29" s="687">
        <f>'Budget-合并'!C29</f>
        <v>0</v>
      </c>
      <c r="D29" s="688">
        <f t="shared" si="19"/>
        <v>0</v>
      </c>
      <c r="E29" s="688" t="e">
        <f t="shared" si="20"/>
        <v>#N/A</v>
      </c>
      <c r="F29" s="688" t="e">
        <f t="shared" si="15"/>
        <v>#N/A</v>
      </c>
      <c r="G29" s="688">
        <f t="shared" ca="1" si="21"/>
        <v>0</v>
      </c>
      <c r="H29" s="688" t="e">
        <f t="shared" ca="1" si="22"/>
        <v>#N/A</v>
      </c>
      <c r="I29" s="688" t="e">
        <f t="shared" ca="1" si="16"/>
        <v>#N/A</v>
      </c>
      <c r="K29" s="704"/>
      <c r="L29" s="704"/>
      <c r="M29" s="704"/>
      <c r="N29" s="704"/>
      <c r="O29" s="704"/>
      <c r="P29" s="704"/>
      <c r="Q29" s="704"/>
      <c r="R29" s="704"/>
      <c r="S29" s="704"/>
      <c r="T29" s="704"/>
      <c r="U29" s="704"/>
      <c r="V29" s="704"/>
      <c r="W29" s="704">
        <f t="shared" si="25"/>
        <v>0</v>
      </c>
      <c r="Y29" s="688">
        <f>IFERROR(VLOOKUP($A29,'[92]1月'!$A:$H,8,0),0)</f>
        <v>0</v>
      </c>
      <c r="Z29" s="688">
        <f>IFERROR(VLOOKUP($A29,'[92]2月'!$A:$H,8,0),0)</f>
        <v>0</v>
      </c>
      <c r="AA29" s="688">
        <f>IFERROR(VLOOKUP($A29,'[92]3月'!$A:$H,8,0),0)</f>
        <v>0</v>
      </c>
      <c r="AB29" s="688">
        <f>IFERROR(VLOOKUP($A29,'[92]4月'!$A:$H,8,0),0)</f>
        <v>0</v>
      </c>
      <c r="AC29" s="688">
        <f>IFERROR(VLOOKUP($A29,'[92]5月'!$A:$H,8,0),0)</f>
        <v>0</v>
      </c>
      <c r="AD29" s="688">
        <f>IFERROR(VLOOKUP($A29,'[92]6月'!$A:$H,8,0),0)</f>
        <v>0</v>
      </c>
      <c r="AE29" s="688">
        <f>IFERROR(VLOOKUP($A29,'[92]7月'!$A:$H,8,0),0)</f>
        <v>0</v>
      </c>
      <c r="AF29" s="688">
        <f>IFERROR(VLOOKUP($A29,'[92]8月'!$A:$H,8,0),0)</f>
        <v>0</v>
      </c>
      <c r="AG29" s="688">
        <f>IFERROR(VLOOKUP($A29,'[92]9月'!$A:$H,8,0),0)</f>
        <v>0</v>
      </c>
      <c r="AH29" s="688">
        <f>IFERROR(VLOOKUP($A29,'[92]10月'!$A:$H,8,0),0)</f>
        <v>0</v>
      </c>
      <c r="AI29" s="688">
        <f>IFERROR(VLOOKUP($A29,'[92]11月'!$A:$H,8,0),0)</f>
        <v>0</v>
      </c>
      <c r="AJ29" s="688">
        <f>IFERROR(VLOOKUP($A29,'[92]12月'!$A:$H,8,0),0)</f>
        <v>0</v>
      </c>
      <c r="AK29" s="688">
        <f t="shared" si="24"/>
        <v>0</v>
      </c>
    </row>
    <row r="30" spans="1:37" ht="13.5" customHeight="1">
      <c r="A30" s="653" t="str">
        <f>'Budget-合并'!A30</f>
        <v>6602.01.07</v>
      </c>
      <c r="B30" s="653" t="str">
        <f>'Budget-合并'!B30</f>
        <v>集团内分摊</v>
      </c>
      <c r="C30" s="687" t="str">
        <f>'Budget-合并'!C30</f>
        <v>Mantime X Charge</v>
      </c>
      <c r="D30" s="688">
        <f t="shared" si="19"/>
        <v>0</v>
      </c>
      <c r="E30" s="688" t="e">
        <f t="shared" si="20"/>
        <v>#N/A</v>
      </c>
      <c r="F30" s="688" t="e">
        <f t="shared" si="15"/>
        <v>#N/A</v>
      </c>
      <c r="G30" s="688">
        <f t="shared" ca="1" si="21"/>
        <v>0</v>
      </c>
      <c r="H30" s="688" t="e">
        <f t="shared" ca="1" si="22"/>
        <v>#N/A</v>
      </c>
      <c r="I30" s="688" t="e">
        <f t="shared" ca="1" si="16"/>
        <v>#N/A</v>
      </c>
      <c r="K30" s="704"/>
      <c r="L30" s="704"/>
      <c r="M30" s="704"/>
      <c r="N30" s="704"/>
      <c r="O30" s="704"/>
      <c r="P30" s="704"/>
      <c r="Q30" s="704"/>
      <c r="R30" s="704"/>
      <c r="S30" s="704"/>
      <c r="T30" s="704"/>
      <c r="U30" s="704"/>
      <c r="V30" s="704"/>
      <c r="W30" s="704">
        <f t="shared" si="25"/>
        <v>0</v>
      </c>
      <c r="Y30" s="688">
        <f>IFERROR(VLOOKUP($A30,'[92]1月'!$A:$H,8,0),0)</f>
        <v>131235.5</v>
      </c>
      <c r="Z30" s="688">
        <f>IFERROR(VLOOKUP($A30,'[92]2月'!$A:$H,8,0),0)</f>
        <v>131235.5</v>
      </c>
      <c r="AA30" s="688">
        <f>IFERROR(VLOOKUP($A30,'[92]3月'!$A:$H,8,0),0)</f>
        <v>206235.5</v>
      </c>
      <c r="AB30" s="688">
        <f>IFERROR(VLOOKUP($A30,'[92]4月'!$A:$H,8,0),0)</f>
        <v>77735.5</v>
      </c>
      <c r="AC30" s="688">
        <f>IFERROR(VLOOKUP($A30,'[92]5月'!$A:$H,8,0),0)</f>
        <v>77735.5</v>
      </c>
      <c r="AD30" s="688">
        <f>IFERROR(VLOOKUP($A30,'[92]6月'!$A:$H,8,0),0)</f>
        <v>77735.5</v>
      </c>
      <c r="AE30" s="688">
        <f>IFERROR(VLOOKUP($A30,'[92]7月'!$A:$H,8,0),0)</f>
        <v>77735.5</v>
      </c>
      <c r="AF30" s="688">
        <f>IFERROR(VLOOKUP($A30,'[92]8月'!$A:$H,8,0),0)</f>
        <v>77735.5</v>
      </c>
      <c r="AG30" s="688">
        <f>IFERROR(VLOOKUP($A30,'[92]9月'!$A:$H,8,0),0)</f>
        <v>77735.5</v>
      </c>
      <c r="AH30" s="688">
        <f>IFERROR(VLOOKUP($A30,'[92]10月'!$A:$H,8,0),0)</f>
        <v>77735.5</v>
      </c>
      <c r="AI30" s="688">
        <f>IFERROR(VLOOKUP($A30,'[92]11月'!$A:$H,8,0),0)</f>
        <v>77735.5</v>
      </c>
      <c r="AJ30" s="688">
        <f>IFERROR(VLOOKUP($A30,'[92]12月'!$A:$H,8,0),0)</f>
        <v>77735.5</v>
      </c>
      <c r="AK30" s="688">
        <f t="shared" si="24"/>
        <v>1168326</v>
      </c>
    </row>
    <row r="31" spans="1:37" ht="13.5" customHeight="1">
      <c r="A31" s="653" t="str">
        <f>'Budget-合并'!A31</f>
        <v>6602.01.08</v>
      </c>
      <c r="B31" s="705" t="str">
        <f>'Budget-合并'!B31</f>
        <v>基本工资（管理）</v>
      </c>
      <c r="C31" s="687" t="str">
        <f>'Budget-合并'!C31</f>
        <v>Salary Management</v>
      </c>
      <c r="D31" s="688">
        <f t="shared" si="19"/>
        <v>7476</v>
      </c>
      <c r="E31" s="688" t="e">
        <f t="shared" si="20"/>
        <v>#N/A</v>
      </c>
      <c r="F31" s="688" t="e">
        <f t="shared" si="15"/>
        <v>#N/A</v>
      </c>
      <c r="G31" s="688">
        <f t="shared" ca="1" si="21"/>
        <v>7476</v>
      </c>
      <c r="H31" s="688" t="e">
        <f t="shared" ca="1" si="22"/>
        <v>#N/A</v>
      </c>
      <c r="I31" s="688" t="e">
        <f t="shared" ca="1" si="16"/>
        <v>#N/A</v>
      </c>
      <c r="K31" s="704">
        <f>'[90]Personnel-HK 2026'!U$24</f>
        <v>7476</v>
      </c>
      <c r="L31" s="704">
        <f>'[90]Personnel-HK 2026'!V$24</f>
        <v>7476</v>
      </c>
      <c r="M31" s="704">
        <f>'[90]Personnel-HK 2026'!W$24</f>
        <v>7476</v>
      </c>
      <c r="N31" s="704">
        <f>'[90]Personnel-HK 2026'!X$24</f>
        <v>7476</v>
      </c>
      <c r="O31" s="704">
        <f>'[90]Personnel-HK 2026'!Y$24</f>
        <v>7476</v>
      </c>
      <c r="P31" s="704">
        <f>'[90]Personnel-HK 2026'!Z$24</f>
        <v>7476</v>
      </c>
      <c r="Q31" s="704">
        <f>'[90]Personnel-HK 2026'!AA$24</f>
        <v>7476</v>
      </c>
      <c r="R31" s="704">
        <f>'[90]Personnel-HK 2026'!AB$24</f>
        <v>7476</v>
      </c>
      <c r="S31" s="704">
        <f>'[90]Personnel-HK 2026'!AC$24</f>
        <v>7476</v>
      </c>
      <c r="T31" s="704">
        <f>'[90]Personnel-HK 2026'!AD$24</f>
        <v>7476</v>
      </c>
      <c r="U31" s="704">
        <f>'[90]Personnel-HK 2026'!AE$24</f>
        <v>7476</v>
      </c>
      <c r="V31" s="704">
        <f>'[90]Personnel-HK 2026'!AF$24</f>
        <v>7476</v>
      </c>
      <c r="W31" s="704">
        <f t="shared" si="25"/>
        <v>89712</v>
      </c>
      <c r="Y31" s="688">
        <f>IFERROR(VLOOKUP($A31,'[92]1月'!$A:$H,8,0),0)</f>
        <v>183500</v>
      </c>
      <c r="Z31" s="688">
        <f>IFERROR(VLOOKUP($A31,'[92]2月'!$A:$H,8,0),0)</f>
        <v>183500</v>
      </c>
      <c r="AA31" s="688">
        <f>IFERROR(VLOOKUP($A31,'[92]3月'!$A:$H,8,0),0)</f>
        <v>183500</v>
      </c>
      <c r="AB31" s="688">
        <f>IFERROR(VLOOKUP($A31,'[92]4月'!$A:$H,8,0),0)</f>
        <v>183500</v>
      </c>
      <c r="AC31" s="688">
        <f>IFERROR(VLOOKUP($A31,'[92]5月'!$A:$H,8,0),0)</f>
        <v>183500</v>
      </c>
      <c r="AD31" s="688">
        <f>IFERROR(VLOOKUP($A31,'[92]6月'!$A:$H,8,0),0)</f>
        <v>119550.8</v>
      </c>
      <c r="AE31" s="688">
        <f>IFERROR(VLOOKUP($A31,'[92]7月'!$A:$H,8,0),0)</f>
        <v>125212.09</v>
      </c>
      <c r="AF31" s="688">
        <f>IFERROR(VLOOKUP($A31,'[92]8月'!$A:$H,8,0),0)</f>
        <v>123269.16</v>
      </c>
      <c r="AG31" s="688">
        <f>IFERROR(VLOOKUP($A31,'[92]9月'!$A:$H,8,0),0)</f>
        <v>115832.44</v>
      </c>
      <c r="AH31" s="688">
        <f>IFERROR(VLOOKUP($A31,'[92]10月'!$A:$H,8,0),0)</f>
        <v>24983.87</v>
      </c>
      <c r="AI31" s="688">
        <f>IFERROR(VLOOKUP($A31,'[92]11月'!$A:$H,8,0),0)</f>
        <v>8000</v>
      </c>
      <c r="AJ31" s="688">
        <f>IFERROR(VLOOKUP($A31,'[92]12月'!$A:$H,8,0),0)</f>
        <v>8000</v>
      </c>
      <c r="AK31" s="688">
        <f t="shared" si="24"/>
        <v>1442348.36</v>
      </c>
    </row>
    <row r="32" spans="1:37" ht="13.5" customHeight="1">
      <c r="A32" s="653" t="str">
        <f>'Budget-合并'!A32</f>
        <v>6602.01.09</v>
      </c>
      <c r="B32" s="653" t="str">
        <f>'Budget-合并'!B32</f>
        <v>员工奖金（管理）</v>
      </c>
      <c r="C32" s="687" t="str">
        <f>'Budget-合并'!C32</f>
        <v>Bonus Expense - Management</v>
      </c>
      <c r="D32" s="688">
        <f t="shared" si="19"/>
        <v>0</v>
      </c>
      <c r="E32" s="688" t="e">
        <f t="shared" si="20"/>
        <v>#N/A</v>
      </c>
      <c r="F32" s="688" t="e">
        <f t="shared" si="15"/>
        <v>#N/A</v>
      </c>
      <c r="G32" s="688">
        <f t="shared" ca="1" si="21"/>
        <v>0</v>
      </c>
      <c r="H32" s="688" t="e">
        <f t="shared" ca="1" si="22"/>
        <v>#N/A</v>
      </c>
      <c r="I32" s="688" t="e">
        <f t="shared" ca="1" si="16"/>
        <v>#N/A</v>
      </c>
      <c r="K32" s="704"/>
      <c r="L32" s="704"/>
      <c r="M32" s="704"/>
      <c r="N32" s="704"/>
      <c r="O32" s="704"/>
      <c r="P32" s="704"/>
      <c r="Q32" s="704"/>
      <c r="R32" s="704"/>
      <c r="S32" s="704"/>
      <c r="T32" s="704"/>
      <c r="U32" s="704"/>
      <c r="V32" s="704"/>
      <c r="W32" s="704">
        <f t="shared" si="25"/>
        <v>0</v>
      </c>
      <c r="Y32" s="688">
        <f>IFERROR(VLOOKUP($A32,'[92]1月'!$A:$H,8,0),0)</f>
        <v>0</v>
      </c>
      <c r="Z32" s="688">
        <f>IFERROR(VLOOKUP($A32,'[92]2月'!$A:$H,8,0),0)</f>
        <v>0</v>
      </c>
      <c r="AA32" s="688">
        <f>IFERROR(VLOOKUP($A32,'[92]3月'!$A:$H,8,0),0)</f>
        <v>0</v>
      </c>
      <c r="AB32" s="688">
        <f>IFERROR(VLOOKUP($A32,'[92]4月'!$A:$H,8,0),0)</f>
        <v>0</v>
      </c>
      <c r="AC32" s="688">
        <f>IFERROR(VLOOKUP($A32,'[92]5月'!$A:$H,8,0),0)</f>
        <v>0</v>
      </c>
      <c r="AD32" s="688">
        <f>IFERROR(VLOOKUP($A32,'[92]6月'!$A:$H,8,0),0)</f>
        <v>0</v>
      </c>
      <c r="AE32" s="688">
        <f>IFERROR(VLOOKUP($A32,'[92]7月'!$A:$H,8,0),0)</f>
        <v>0</v>
      </c>
      <c r="AF32" s="688">
        <f>IFERROR(VLOOKUP($A32,'[92]8月'!$A:$H,8,0),0)</f>
        <v>0</v>
      </c>
      <c r="AG32" s="688">
        <f>IFERROR(VLOOKUP($A32,'[92]9月'!$A:$H,8,0),0)</f>
        <v>0</v>
      </c>
      <c r="AH32" s="688">
        <f>IFERROR(VLOOKUP($A32,'[92]10月'!$A:$H,8,0),0)</f>
        <v>0</v>
      </c>
      <c r="AI32" s="688">
        <f>IFERROR(VLOOKUP($A32,'[92]11月'!$A:$H,8,0),0)</f>
        <v>0</v>
      </c>
      <c r="AJ32" s="688">
        <f>IFERROR(VLOOKUP($A32,'[92]12月'!$A:$H,8,0),0)</f>
        <v>0</v>
      </c>
      <c r="AK32" s="688">
        <f t="shared" si="24"/>
        <v>0</v>
      </c>
    </row>
    <row r="33" spans="1:37" ht="13.5" customHeight="1">
      <c r="A33" s="663" t="str">
        <f>'Budget-合并'!A33</f>
        <v>6602.02</v>
      </c>
      <c r="B33" s="703" t="str">
        <f>'Budget-合并'!B33</f>
        <v>职工福利</v>
      </c>
      <c r="C33" s="687">
        <f>'Budget-合并'!C33</f>
        <v>0</v>
      </c>
      <c r="D33" s="688">
        <f t="shared" si="19"/>
        <v>14124.958333333332</v>
      </c>
      <c r="E33" s="688" t="e">
        <f t="shared" si="20"/>
        <v>#N/A</v>
      </c>
      <c r="F33" s="688" t="e">
        <f t="shared" si="15"/>
        <v>#N/A</v>
      </c>
      <c r="G33" s="688">
        <f t="shared" ca="1" si="21"/>
        <v>14124.958333333332</v>
      </c>
      <c r="H33" s="688" t="e">
        <f t="shared" ca="1" si="22"/>
        <v>#N/A</v>
      </c>
      <c r="I33" s="688" t="e">
        <f t="shared" ca="1" si="16"/>
        <v>#N/A</v>
      </c>
      <c r="K33" s="706">
        <f t="shared" ref="K33:V33" si="26">SUM(K34:K37)</f>
        <v>14124.958333333332</v>
      </c>
      <c r="L33" s="706">
        <f t="shared" si="26"/>
        <v>14092.5</v>
      </c>
      <c r="M33" s="706">
        <f t="shared" si="26"/>
        <v>14092.5</v>
      </c>
      <c r="N33" s="706">
        <f t="shared" si="26"/>
        <v>14092.5</v>
      </c>
      <c r="O33" s="706">
        <f t="shared" si="26"/>
        <v>14092.5</v>
      </c>
      <c r="P33" s="706">
        <f t="shared" si="26"/>
        <v>14092.5</v>
      </c>
      <c r="Q33" s="706">
        <f t="shared" si="26"/>
        <v>14092.5</v>
      </c>
      <c r="R33" s="706">
        <f t="shared" si="26"/>
        <v>14092.5</v>
      </c>
      <c r="S33" s="706">
        <f t="shared" si="26"/>
        <v>14092.5</v>
      </c>
      <c r="T33" s="706">
        <f t="shared" si="26"/>
        <v>14092.5</v>
      </c>
      <c r="U33" s="706">
        <f t="shared" si="26"/>
        <v>14092.5</v>
      </c>
      <c r="V33" s="706">
        <f t="shared" si="26"/>
        <v>14092.5</v>
      </c>
      <c r="W33" s="704">
        <f t="shared" si="25"/>
        <v>169142.45833333331</v>
      </c>
      <c r="Y33" s="688">
        <f>IFERROR(VLOOKUP($A33,'[92]1月'!$A:$H,8,0),0)</f>
        <v>0</v>
      </c>
      <c r="Z33" s="688">
        <f>IFERROR(VLOOKUP($A33,'[92]2月'!$A:$H,8,0),0)</f>
        <v>0</v>
      </c>
      <c r="AA33" s="688">
        <f>IFERROR(VLOOKUP($A33,'[92]3月'!$A:$H,8,0),0)</f>
        <v>0</v>
      </c>
      <c r="AB33" s="688">
        <f>IFERROR(VLOOKUP($A33,'[92]4月'!$A:$H,8,0),0)</f>
        <v>0</v>
      </c>
      <c r="AC33" s="688">
        <f>IFERROR(VLOOKUP($A33,'[92]5月'!$A:$H,8,0),0)</f>
        <v>0</v>
      </c>
      <c r="AD33" s="688">
        <f>IFERROR(VLOOKUP($A33,'[92]6月'!$A:$H,8,0),0)</f>
        <v>0</v>
      </c>
      <c r="AE33" s="688">
        <f>IFERROR(VLOOKUP($A33,'[92]7月'!$A:$H,8,0),0)</f>
        <v>2642.54</v>
      </c>
      <c r="AF33" s="688">
        <f>IFERROR(VLOOKUP($A33,'[92]8月'!$A:$H,8,0),0)</f>
        <v>155.63</v>
      </c>
      <c r="AG33" s="688">
        <f>IFERROR(VLOOKUP($A33,'[92]9月'!$A:$H,8,0),0)</f>
        <v>1791.3</v>
      </c>
      <c r="AH33" s="688">
        <f>IFERROR(VLOOKUP($A33,'[92]10月'!$A:$H,8,0),0)</f>
        <v>1325.46</v>
      </c>
      <c r="AI33" s="688">
        <f>IFERROR(VLOOKUP($A33,'[92]11月'!$A:$H,8,0),0)</f>
        <v>1630</v>
      </c>
      <c r="AJ33" s="688">
        <f>IFERROR(VLOOKUP($A33,'[92]12月'!$A:$H,8,0),0)</f>
        <v>0</v>
      </c>
      <c r="AK33" s="688">
        <f t="shared" si="24"/>
        <v>7544.93</v>
      </c>
    </row>
    <row r="34" spans="1:37" ht="13.5" customHeight="1">
      <c r="A34" s="653" t="str">
        <f>'Budget-合并'!A34</f>
        <v>6602.02.01</v>
      </c>
      <c r="B34" s="653" t="str">
        <f>'Budget-合并'!B34</f>
        <v>员工福利</v>
      </c>
      <c r="C34" s="687" t="str">
        <f>'Budget-合并'!C34</f>
        <v>Fringe Other</v>
      </c>
      <c r="D34" s="688">
        <f t="shared" si="19"/>
        <v>0</v>
      </c>
      <c r="E34" s="688" t="e">
        <f t="shared" si="20"/>
        <v>#N/A</v>
      </c>
      <c r="F34" s="688" t="e">
        <f t="shared" si="15"/>
        <v>#N/A</v>
      </c>
      <c r="G34" s="688">
        <f t="shared" ca="1" si="21"/>
        <v>0</v>
      </c>
      <c r="H34" s="688" t="e">
        <f t="shared" ca="1" si="22"/>
        <v>#N/A</v>
      </c>
      <c r="I34" s="688" t="e">
        <f t="shared" ca="1" si="16"/>
        <v>#N/A</v>
      </c>
      <c r="K34" s="704"/>
      <c r="L34" s="704"/>
      <c r="M34" s="704"/>
      <c r="N34" s="704"/>
      <c r="O34" s="704"/>
      <c r="P34" s="704"/>
      <c r="Q34" s="704"/>
      <c r="R34" s="704"/>
      <c r="S34" s="704"/>
      <c r="T34" s="704"/>
      <c r="U34" s="704"/>
      <c r="V34" s="704"/>
      <c r="W34" s="704">
        <f t="shared" si="25"/>
        <v>0</v>
      </c>
      <c r="Y34" s="688">
        <f>IFERROR(VLOOKUP($A34,'[92]1月'!$A:$H,8,0),0)</f>
        <v>0</v>
      </c>
      <c r="Z34" s="688">
        <f>IFERROR(VLOOKUP($A34,'[92]2月'!$A:$H,8,0),0)</f>
        <v>0</v>
      </c>
      <c r="AA34" s="688">
        <f>IFERROR(VLOOKUP($A34,'[92]3月'!$A:$H,8,0),0)</f>
        <v>0</v>
      </c>
      <c r="AB34" s="688">
        <f>IFERROR(VLOOKUP($A34,'[92]4月'!$A:$H,8,0),0)</f>
        <v>0</v>
      </c>
      <c r="AC34" s="688">
        <f>IFERROR(VLOOKUP($A34,'[92]5月'!$A:$H,8,0),0)</f>
        <v>0</v>
      </c>
      <c r="AD34" s="688">
        <f>IFERROR(VLOOKUP($A34,'[92]6月'!$A:$H,8,0),0)</f>
        <v>0</v>
      </c>
      <c r="AE34" s="688">
        <f>IFERROR(VLOOKUP($A34,'[92]7月'!$A:$H,8,0),0)</f>
        <v>0</v>
      </c>
      <c r="AF34" s="688">
        <f>IFERROR(VLOOKUP($A34,'[92]8月'!$A:$H,8,0),0)</f>
        <v>0</v>
      </c>
      <c r="AG34" s="688">
        <f>IFERROR(VLOOKUP($A34,'[92]9月'!$A:$H,8,0),0)</f>
        <v>0</v>
      </c>
      <c r="AH34" s="688">
        <f>IFERROR(VLOOKUP($A34,'[92]10月'!$A:$H,8,0),0)</f>
        <v>0</v>
      </c>
      <c r="AI34" s="688">
        <f>IFERROR(VLOOKUP($A34,'[92]11月'!$A:$H,8,0),0)</f>
        <v>0</v>
      </c>
      <c r="AJ34" s="688">
        <f>IFERROR(VLOOKUP($A34,'[92]12月'!$A:$H,8,0),0)</f>
        <v>0</v>
      </c>
      <c r="AK34" s="688">
        <f t="shared" si="24"/>
        <v>0</v>
      </c>
    </row>
    <row r="35" spans="1:37" ht="13.5" customHeight="1">
      <c r="A35" s="653" t="str">
        <f>'Budget-合并'!A35</f>
        <v>6602.02.02</v>
      </c>
      <c r="B35" s="705" t="str">
        <f>'Budget-合并'!B35</f>
        <v>团建活动</v>
      </c>
      <c r="C35" s="687" t="str">
        <f>'Budget-合并'!C35</f>
        <v>EE Morale Expense</v>
      </c>
      <c r="D35" s="688">
        <f t="shared" si="19"/>
        <v>3708.2916666666665</v>
      </c>
      <c r="E35" s="688" t="e">
        <f t="shared" si="20"/>
        <v>#N/A</v>
      </c>
      <c r="F35" s="688" t="e">
        <f t="shared" si="15"/>
        <v>#N/A</v>
      </c>
      <c r="G35" s="688">
        <f t="shared" ca="1" si="21"/>
        <v>3708.2916666666665</v>
      </c>
      <c r="H35" s="688" t="e">
        <f t="shared" ca="1" si="22"/>
        <v>#N/A</v>
      </c>
      <c r="I35" s="688" t="e">
        <f t="shared" ca="1" si="16"/>
        <v>#N/A</v>
      </c>
      <c r="K35" s="704">
        <f>SUMIFS('Other Exp'!AG$3:AG$196,'Other Exp'!$B$3:$B$196,$D$1,'Other Exp'!$C$3:$C$196,$A35)</f>
        <v>3708.2916666666665</v>
      </c>
      <c r="L35" s="704">
        <f>SUMIFS('Other Exp'!AH$3:AH$196,'Other Exp'!$B$3:$B$196,$D$1,'Other Exp'!$C$3:$C$196,$A35)</f>
        <v>3675.8333333333335</v>
      </c>
      <c r="M35" s="704">
        <f>SUMIFS('Other Exp'!AI$3:AI$196,'Other Exp'!$B$3:$B$196,$D$1,'Other Exp'!$C$3:$C$196,$A35)</f>
        <v>3675.8333333333335</v>
      </c>
      <c r="N35" s="704">
        <f>SUMIFS('Other Exp'!AJ$3:AJ$196,'Other Exp'!$B$3:$B$196,$D$1,'Other Exp'!$C$3:$C$196,$A35)</f>
        <v>3675.8333333333335</v>
      </c>
      <c r="O35" s="704">
        <f>SUMIFS('Other Exp'!AK$3:AK$196,'Other Exp'!$B$3:$B$196,$D$1,'Other Exp'!$C$3:$C$196,$A35)</f>
        <v>3675.8333333333335</v>
      </c>
      <c r="P35" s="704">
        <f>SUMIFS('Other Exp'!AL$3:AL$196,'Other Exp'!$B$3:$B$196,$D$1,'Other Exp'!$C$3:$C$196,$A35)</f>
        <v>3675.8333333333335</v>
      </c>
      <c r="Q35" s="704">
        <f>SUMIFS('Other Exp'!AM$3:AM$196,'Other Exp'!$B$3:$B$196,$D$1,'Other Exp'!$C$3:$C$196,$A35)</f>
        <v>3675.8333333333335</v>
      </c>
      <c r="R35" s="704">
        <f>SUMIFS('Other Exp'!AN$3:AN$196,'Other Exp'!$B$3:$B$196,$D$1,'Other Exp'!$C$3:$C$196,$A35)</f>
        <v>3675.8333333333335</v>
      </c>
      <c r="S35" s="704">
        <f>SUMIFS('Other Exp'!AO$3:AO$196,'Other Exp'!$B$3:$B$196,$D$1,'Other Exp'!$C$3:$C$196,$A35)</f>
        <v>3675.8333333333335</v>
      </c>
      <c r="T35" s="704">
        <f>SUMIFS('Other Exp'!AP$3:AP$196,'Other Exp'!$B$3:$B$196,$D$1,'Other Exp'!$C$3:$C$196,$A35)</f>
        <v>3675.8333333333335</v>
      </c>
      <c r="U35" s="704">
        <f>SUMIFS('Other Exp'!AQ$3:AQ$196,'Other Exp'!$B$3:$B$196,$D$1,'Other Exp'!$C$3:$C$196,$A35)</f>
        <v>3675.8333333333335</v>
      </c>
      <c r="V35" s="704">
        <f>SUMIFS('Other Exp'!AR$3:AR$196,'Other Exp'!$B$3:$B$196,$D$1,'Other Exp'!$C$3:$C$196,$A35)</f>
        <v>3675.8333333333335</v>
      </c>
      <c r="W35" s="704">
        <f t="shared" si="25"/>
        <v>44142.458333333336</v>
      </c>
      <c r="Y35" s="688">
        <f>IFERROR(VLOOKUP($A35,'[92]1月'!$A:$H,8,0),0)</f>
        <v>0</v>
      </c>
      <c r="Z35" s="688">
        <f>IFERROR(VLOOKUP($A35,'[92]2月'!$A:$H,8,0),0)</f>
        <v>0</v>
      </c>
      <c r="AA35" s="688">
        <f>IFERROR(VLOOKUP($A35,'[92]3月'!$A:$H,8,0),0)</f>
        <v>0</v>
      </c>
      <c r="AB35" s="688">
        <f>IFERROR(VLOOKUP($A35,'[92]4月'!$A:$H,8,0),0)</f>
        <v>0</v>
      </c>
      <c r="AC35" s="688">
        <f>IFERROR(VLOOKUP($A35,'[92]5月'!$A:$H,8,0),0)</f>
        <v>0</v>
      </c>
      <c r="AD35" s="688">
        <f>IFERROR(VLOOKUP($A35,'[92]6月'!$A:$H,8,0),0)</f>
        <v>0</v>
      </c>
      <c r="AE35" s="688">
        <f>IFERROR(VLOOKUP($A35,'[92]7月'!$A:$H,8,0),0)</f>
        <v>2642.54</v>
      </c>
      <c r="AF35" s="688">
        <f>IFERROR(VLOOKUP($A35,'[92]8月'!$A:$H,8,0),0)</f>
        <v>155.63</v>
      </c>
      <c r="AG35" s="688">
        <f>IFERROR(VLOOKUP($A35,'[92]9月'!$A:$H,8,0),0)</f>
        <v>1791.3</v>
      </c>
      <c r="AH35" s="688">
        <f>IFERROR(VLOOKUP($A35,'[92]10月'!$A:$H,8,0),0)</f>
        <v>1325.46</v>
      </c>
      <c r="AI35" s="688">
        <f>IFERROR(VLOOKUP($A35,'[92]11月'!$A:$H,8,0),0)</f>
        <v>1630</v>
      </c>
      <c r="AJ35" s="688">
        <f>IFERROR(VLOOKUP($A35,'[92]12月'!$A:$H,8,0),0)</f>
        <v>0</v>
      </c>
      <c r="AK35" s="688">
        <f t="shared" si="24"/>
        <v>7544.93</v>
      </c>
    </row>
    <row r="36" spans="1:37" ht="13.5" customHeight="1">
      <c r="A36" s="653" t="str">
        <f>'Budget-合并'!A36</f>
        <v>6602.02.03</v>
      </c>
      <c r="B36" s="653" t="str">
        <f>'Budget-合并'!B36</f>
        <v>体检费</v>
      </c>
      <c r="C36" s="687">
        <f>'Budget-合并'!C36</f>
        <v>0</v>
      </c>
      <c r="D36" s="688">
        <f t="shared" si="19"/>
        <v>0</v>
      </c>
      <c r="E36" s="688" t="e">
        <f t="shared" si="20"/>
        <v>#N/A</v>
      </c>
      <c r="F36" s="688" t="e">
        <f t="shared" si="15"/>
        <v>#N/A</v>
      </c>
      <c r="G36" s="688">
        <f t="shared" ca="1" si="21"/>
        <v>0</v>
      </c>
      <c r="H36" s="688" t="e">
        <f t="shared" ca="1" si="22"/>
        <v>#N/A</v>
      </c>
      <c r="I36" s="688" t="e">
        <f t="shared" ca="1" si="16"/>
        <v>#N/A</v>
      </c>
      <c r="K36" s="704"/>
      <c r="L36" s="704"/>
      <c r="M36" s="704"/>
      <c r="N36" s="704"/>
      <c r="O36" s="704"/>
      <c r="P36" s="704"/>
      <c r="Q36" s="704"/>
      <c r="R36" s="704"/>
      <c r="S36" s="704"/>
      <c r="T36" s="704"/>
      <c r="U36" s="704"/>
      <c r="V36" s="704"/>
      <c r="W36" s="704">
        <f t="shared" si="25"/>
        <v>0</v>
      </c>
      <c r="Y36" s="688">
        <f>IFERROR(VLOOKUP($A36,'[92]1月'!$A:$H,8,0),0)</f>
        <v>0</v>
      </c>
      <c r="Z36" s="688">
        <f>IFERROR(VLOOKUP($A36,'[92]2月'!$A:$H,8,0),0)</f>
        <v>0</v>
      </c>
      <c r="AA36" s="688">
        <f>IFERROR(VLOOKUP($A36,'[92]3月'!$A:$H,8,0),0)</f>
        <v>0</v>
      </c>
      <c r="AB36" s="688">
        <f>IFERROR(VLOOKUP($A36,'[92]4月'!$A:$H,8,0),0)</f>
        <v>0</v>
      </c>
      <c r="AC36" s="688">
        <f>IFERROR(VLOOKUP($A36,'[92]5月'!$A:$H,8,0),0)</f>
        <v>0</v>
      </c>
      <c r="AD36" s="688">
        <f>IFERROR(VLOOKUP($A36,'[92]6月'!$A:$H,8,0),0)</f>
        <v>0</v>
      </c>
      <c r="AE36" s="688">
        <f>IFERROR(VLOOKUP($A36,'[92]7月'!$A:$H,8,0),0)</f>
        <v>0</v>
      </c>
      <c r="AF36" s="688">
        <f>IFERROR(VLOOKUP($A36,'[92]8月'!$A:$H,8,0),0)</f>
        <v>0</v>
      </c>
      <c r="AG36" s="688">
        <f>IFERROR(VLOOKUP($A36,'[92]9月'!$A:$H,8,0),0)</f>
        <v>0</v>
      </c>
      <c r="AH36" s="688">
        <f>IFERROR(VLOOKUP($A36,'[92]10月'!$A:$H,8,0),0)</f>
        <v>0</v>
      </c>
      <c r="AI36" s="688">
        <f>IFERROR(VLOOKUP($A36,'[92]11月'!$A:$H,8,0),0)</f>
        <v>0</v>
      </c>
      <c r="AJ36" s="688">
        <f>IFERROR(VLOOKUP($A36,'[92]12月'!$A:$H,8,0),0)</f>
        <v>0</v>
      </c>
      <c r="AK36" s="688">
        <f t="shared" si="24"/>
        <v>0</v>
      </c>
    </row>
    <row r="37" spans="1:37" ht="13.5" customHeight="1">
      <c r="A37" s="653" t="str">
        <f>'Budget-合并'!A37</f>
        <v>6602.02.04</v>
      </c>
      <c r="B37" s="705" t="str">
        <f>'Budget-合并'!B37</f>
        <v>商业保险 - 医疗</v>
      </c>
      <c r="C37" s="687">
        <f>'Budget-合并'!C37</f>
        <v>0</v>
      </c>
      <c r="D37" s="688">
        <f t="shared" si="19"/>
        <v>10416.666666666666</v>
      </c>
      <c r="E37" s="688" t="e">
        <f t="shared" si="20"/>
        <v>#N/A</v>
      </c>
      <c r="F37" s="688" t="e">
        <f t="shared" si="15"/>
        <v>#N/A</v>
      </c>
      <c r="G37" s="688">
        <f t="shared" ca="1" si="21"/>
        <v>10416.666666666666</v>
      </c>
      <c r="H37" s="688" t="e">
        <f t="shared" ca="1" si="22"/>
        <v>#N/A</v>
      </c>
      <c r="I37" s="688" t="e">
        <f t="shared" ca="1" si="16"/>
        <v>#N/A</v>
      </c>
      <c r="K37" s="704">
        <f>VLOOKUP($D$1,'Medical Exp Calc.'!$A$10:$C$12,3,FALSE)/12</f>
        <v>10416.666666666666</v>
      </c>
      <c r="L37" s="704">
        <f>VLOOKUP($D$1,'Medical Exp Calc.'!$A$10:$C$12,3,FALSE)/12</f>
        <v>10416.666666666666</v>
      </c>
      <c r="M37" s="704">
        <f>VLOOKUP($D$1,'Medical Exp Calc.'!$A$10:$C$12,3,FALSE)/12</f>
        <v>10416.666666666666</v>
      </c>
      <c r="N37" s="704">
        <f>VLOOKUP($D$1,'Medical Exp Calc.'!$A$10:$C$12,3,FALSE)/12</f>
        <v>10416.666666666666</v>
      </c>
      <c r="O37" s="704">
        <f>VLOOKUP($D$1,'Medical Exp Calc.'!$A$10:$C$12,3,FALSE)/12</f>
        <v>10416.666666666666</v>
      </c>
      <c r="P37" s="704">
        <f>VLOOKUP($D$1,'Medical Exp Calc.'!$A$10:$C$12,3,FALSE)/12</f>
        <v>10416.666666666666</v>
      </c>
      <c r="Q37" s="704">
        <f>VLOOKUP($D$1,'Medical Exp Calc.'!$A$10:$C$12,3,FALSE)/12</f>
        <v>10416.666666666666</v>
      </c>
      <c r="R37" s="704">
        <f>VLOOKUP($D$1,'Medical Exp Calc.'!$A$10:$C$12,3,FALSE)/12</f>
        <v>10416.666666666666</v>
      </c>
      <c r="S37" s="704">
        <f>VLOOKUP($D$1,'Medical Exp Calc.'!$A$10:$C$12,3,FALSE)/12</f>
        <v>10416.666666666666</v>
      </c>
      <c r="T37" s="704">
        <f>VLOOKUP($D$1,'Medical Exp Calc.'!$A$10:$C$12,3,FALSE)/12</f>
        <v>10416.666666666666</v>
      </c>
      <c r="U37" s="704">
        <f>VLOOKUP($D$1,'Medical Exp Calc.'!$A$10:$C$12,3,FALSE)/12</f>
        <v>10416.666666666666</v>
      </c>
      <c r="V37" s="704">
        <f>VLOOKUP($D$1,'Medical Exp Calc.'!$A$10:$C$12,3,FALSE)/12</f>
        <v>10416.666666666666</v>
      </c>
      <c r="W37" s="704">
        <f t="shared" si="25"/>
        <v>125000.00000000001</v>
      </c>
      <c r="Y37" s="688">
        <f>IFERROR(VLOOKUP($A37,'[92]1月'!$A:$H,8,0),0)</f>
        <v>0</v>
      </c>
      <c r="Z37" s="688">
        <f>IFERROR(VLOOKUP($A37,'[92]2月'!$A:$H,8,0),0)</f>
        <v>0</v>
      </c>
      <c r="AA37" s="688">
        <f>IFERROR(VLOOKUP($A37,'[92]3月'!$A:$H,8,0),0)</f>
        <v>0</v>
      </c>
      <c r="AB37" s="688">
        <f>IFERROR(VLOOKUP($A37,'[92]4月'!$A:$H,8,0),0)</f>
        <v>0</v>
      </c>
      <c r="AC37" s="688">
        <f>IFERROR(VLOOKUP($A37,'[92]5月'!$A:$H,8,0),0)</f>
        <v>0</v>
      </c>
      <c r="AD37" s="688">
        <f>IFERROR(VLOOKUP($A37,'[92]6月'!$A:$H,8,0),0)</f>
        <v>0</v>
      </c>
      <c r="AE37" s="688">
        <f>IFERROR(VLOOKUP($A37,'[92]7月'!$A:$H,8,0),0)</f>
        <v>0</v>
      </c>
      <c r="AF37" s="688">
        <f>IFERROR(VLOOKUP($A37,'[92]8月'!$A:$H,8,0),0)</f>
        <v>0</v>
      </c>
      <c r="AG37" s="688">
        <f>IFERROR(VLOOKUP($A37,'[92]9月'!$A:$H,8,0),0)</f>
        <v>0</v>
      </c>
      <c r="AH37" s="688">
        <f>IFERROR(VLOOKUP($A37,'[92]10月'!$A:$H,8,0),0)</f>
        <v>0</v>
      </c>
      <c r="AI37" s="688">
        <f>IFERROR(VLOOKUP($A37,'[92]11月'!$A:$H,8,0),0)</f>
        <v>0</v>
      </c>
      <c r="AJ37" s="688">
        <f>IFERROR(VLOOKUP($A37,'[92]12月'!$A:$H,8,0),0)</f>
        <v>0</v>
      </c>
      <c r="AK37" s="688">
        <f t="shared" si="24"/>
        <v>0</v>
      </c>
    </row>
    <row r="38" spans="1:37" ht="13.5" customHeight="1">
      <c r="A38" s="663" t="str">
        <f>'Budget-合并'!A38</f>
        <v>6602.03</v>
      </c>
      <c r="B38" s="663" t="str">
        <f>'Budget-合并'!B38</f>
        <v>社保公积金</v>
      </c>
      <c r="C38" s="687">
        <f>'Budget-合并'!C38</f>
        <v>0</v>
      </c>
      <c r="D38" s="688">
        <f t="shared" si="19"/>
        <v>0</v>
      </c>
      <c r="E38" s="688" t="e">
        <f t="shared" si="20"/>
        <v>#N/A</v>
      </c>
      <c r="F38" s="688" t="e">
        <f t="shared" si="15"/>
        <v>#N/A</v>
      </c>
      <c r="G38" s="688">
        <f t="shared" ca="1" si="21"/>
        <v>0</v>
      </c>
      <c r="H38" s="688" t="e">
        <f t="shared" ca="1" si="22"/>
        <v>#N/A</v>
      </c>
      <c r="I38" s="688" t="e">
        <f t="shared" ca="1" si="16"/>
        <v>#N/A</v>
      </c>
      <c r="K38" s="706">
        <f t="shared" ref="K38:V38" si="27">SUM(K39:K41)</f>
        <v>0</v>
      </c>
      <c r="L38" s="706">
        <f t="shared" si="27"/>
        <v>0</v>
      </c>
      <c r="M38" s="706">
        <f t="shared" si="27"/>
        <v>0</v>
      </c>
      <c r="N38" s="706">
        <f t="shared" si="27"/>
        <v>0</v>
      </c>
      <c r="O38" s="706">
        <f t="shared" si="27"/>
        <v>0</v>
      </c>
      <c r="P38" s="706">
        <f t="shared" si="27"/>
        <v>0</v>
      </c>
      <c r="Q38" s="706">
        <f t="shared" si="27"/>
        <v>0</v>
      </c>
      <c r="R38" s="706">
        <f t="shared" si="27"/>
        <v>0</v>
      </c>
      <c r="S38" s="706">
        <f t="shared" si="27"/>
        <v>0</v>
      </c>
      <c r="T38" s="706">
        <f t="shared" si="27"/>
        <v>0</v>
      </c>
      <c r="U38" s="706">
        <f t="shared" si="27"/>
        <v>0</v>
      </c>
      <c r="V38" s="706">
        <f t="shared" si="27"/>
        <v>0</v>
      </c>
      <c r="W38" s="704">
        <f t="shared" si="25"/>
        <v>0</v>
      </c>
      <c r="Y38" s="688">
        <f>IFERROR(VLOOKUP($A38,'[92]1月'!$A:$H,8,0),0)</f>
        <v>20303.650000000001</v>
      </c>
      <c r="Z38" s="688">
        <f>IFERROR(VLOOKUP($A38,'[92]2月'!$A:$H,8,0),0)</f>
        <v>18667.810000000001</v>
      </c>
      <c r="AA38" s="688">
        <f>IFERROR(VLOOKUP($A38,'[92]3月'!$A:$H,8,0),0)</f>
        <v>20303.650000000001</v>
      </c>
      <c r="AB38" s="688">
        <f>IFERROR(VLOOKUP($A38,'[92]4月'!$A:$H,8,0),0)</f>
        <v>30962.42</v>
      </c>
      <c r="AC38" s="688">
        <f>IFERROR(VLOOKUP($A38,'[92]5月'!$A:$H,8,0),0)</f>
        <v>31831.17</v>
      </c>
      <c r="AD38" s="688">
        <f>IFERROR(VLOOKUP($A38,'[92]6月'!$A:$H,8,0),0)</f>
        <v>30962.42</v>
      </c>
      <c r="AE38" s="688">
        <f>IFERROR(VLOOKUP($A38,'[92]7月'!$A:$H,8,0),0)</f>
        <v>31831.17</v>
      </c>
      <c r="AF38" s="688">
        <f>IFERROR(VLOOKUP($A38,'[92]8月'!$A:$H,8,0),0)</f>
        <v>31831.16</v>
      </c>
      <c r="AG38" s="688">
        <f>IFERROR(VLOOKUP($A38,'[92]9月'!$A:$H,8,0),0)</f>
        <v>30962.42</v>
      </c>
      <c r="AH38" s="688">
        <f>IFERROR(VLOOKUP($A38,'[92]10月'!$A:$H,8,0),0)</f>
        <v>31180.36</v>
      </c>
      <c r="AI38" s="688">
        <f>IFERROR(VLOOKUP($A38,'[92]11月'!$A:$H,8,0),0)</f>
        <v>29462.42</v>
      </c>
      <c r="AJ38" s="688">
        <f>IFERROR(VLOOKUP($A38,'[92]12月'!$A:$H,8,0),0)</f>
        <v>30331.17</v>
      </c>
      <c r="AK38" s="688">
        <f t="shared" si="24"/>
        <v>338629.81999999995</v>
      </c>
    </row>
    <row r="39" spans="1:37" ht="13.5" customHeight="1">
      <c r="A39" s="653" t="str">
        <f>'Budget-合并'!A39</f>
        <v>6602.03.01</v>
      </c>
      <c r="B39" s="653" t="str">
        <f>'Budget-合并'!B39</f>
        <v>员工社保福利</v>
      </c>
      <c r="C39" s="687" t="str">
        <f>'Budget-合并'!C39</f>
        <v>Employee Insurance</v>
      </c>
      <c r="D39" s="688">
        <f t="shared" si="19"/>
        <v>0</v>
      </c>
      <c r="E39" s="688" t="e">
        <f t="shared" si="20"/>
        <v>#N/A</v>
      </c>
      <c r="F39" s="688" t="e">
        <f t="shared" si="15"/>
        <v>#N/A</v>
      </c>
      <c r="G39" s="688">
        <f t="shared" ca="1" si="21"/>
        <v>0</v>
      </c>
      <c r="H39" s="688" t="e">
        <f t="shared" ca="1" si="22"/>
        <v>#N/A</v>
      </c>
      <c r="I39" s="688" t="e">
        <f t="shared" ca="1" si="16"/>
        <v>#N/A</v>
      </c>
      <c r="K39" s="704"/>
      <c r="L39" s="704"/>
      <c r="M39" s="704"/>
      <c r="N39" s="704"/>
      <c r="O39" s="704"/>
      <c r="P39" s="704"/>
      <c r="Q39" s="704"/>
      <c r="R39" s="704"/>
      <c r="S39" s="704"/>
      <c r="T39" s="704"/>
      <c r="U39" s="704"/>
      <c r="V39" s="704"/>
      <c r="W39" s="704">
        <f t="shared" si="25"/>
        <v>0</v>
      </c>
      <c r="Y39" s="688">
        <f>IFERROR(VLOOKUP($A39,'[92]1月'!$A:$H,8,0),0)</f>
        <v>16903.650000000001</v>
      </c>
      <c r="Z39" s="688">
        <f>IFERROR(VLOOKUP($A39,'[92]2月'!$A:$H,8,0),0)</f>
        <v>15267.81</v>
      </c>
      <c r="AA39" s="688">
        <f>IFERROR(VLOOKUP($A39,'[92]3月'!$A:$H,8,0),0)</f>
        <v>16903.650000000001</v>
      </c>
      <c r="AB39" s="688">
        <f>IFERROR(VLOOKUP($A39,'[92]4月'!$A:$H,8,0),0)</f>
        <v>26062.42</v>
      </c>
      <c r="AC39" s="688">
        <f>IFERROR(VLOOKUP($A39,'[92]5月'!$A:$H,8,0),0)</f>
        <v>26931.17</v>
      </c>
      <c r="AD39" s="688">
        <f>IFERROR(VLOOKUP($A39,'[92]6月'!$A:$H,8,0),0)</f>
        <v>26062.42</v>
      </c>
      <c r="AE39" s="688">
        <f>IFERROR(VLOOKUP($A39,'[92]7月'!$A:$H,8,0),0)</f>
        <v>26931.17</v>
      </c>
      <c r="AF39" s="688">
        <f>IFERROR(VLOOKUP($A39,'[92]8月'!$A:$H,8,0),0)</f>
        <v>26931.16</v>
      </c>
      <c r="AG39" s="688">
        <f>IFERROR(VLOOKUP($A39,'[92]9月'!$A:$H,8,0),0)</f>
        <v>26062.42</v>
      </c>
      <c r="AH39" s="688">
        <f>IFERROR(VLOOKUP($A39,'[92]10月'!$A:$H,8,0),0)</f>
        <v>26931.17</v>
      </c>
      <c r="AI39" s="688">
        <f>IFERROR(VLOOKUP($A39,'[92]11月'!$A:$H,8,0),0)</f>
        <v>26062.42</v>
      </c>
      <c r="AJ39" s="688">
        <f>IFERROR(VLOOKUP($A39,'[92]12月'!$A:$H,8,0),0)</f>
        <v>26931.17</v>
      </c>
      <c r="AK39" s="688">
        <f t="shared" si="24"/>
        <v>287980.62999999995</v>
      </c>
    </row>
    <row r="40" spans="1:37" ht="13.5" customHeight="1">
      <c r="A40" s="653" t="str">
        <f>'Budget-合并'!A40</f>
        <v>6602.03.02</v>
      </c>
      <c r="B40" s="653" t="str">
        <f>'Budget-合并'!B40</f>
        <v>员工公积金福利</v>
      </c>
      <c r="C40" s="687">
        <f>'Budget-合并'!C40</f>
        <v>0</v>
      </c>
      <c r="D40" s="688">
        <f t="shared" si="19"/>
        <v>0</v>
      </c>
      <c r="E40" s="688" t="e">
        <f t="shared" si="20"/>
        <v>#N/A</v>
      </c>
      <c r="F40" s="688" t="e">
        <f t="shared" si="15"/>
        <v>#N/A</v>
      </c>
      <c r="G40" s="688">
        <f t="shared" ca="1" si="21"/>
        <v>0</v>
      </c>
      <c r="H40" s="688" t="e">
        <f t="shared" ca="1" si="22"/>
        <v>#N/A</v>
      </c>
      <c r="I40" s="688" t="e">
        <f t="shared" ca="1" si="16"/>
        <v>#N/A</v>
      </c>
      <c r="K40" s="704"/>
      <c r="L40" s="704"/>
      <c r="M40" s="704"/>
      <c r="N40" s="704"/>
      <c r="O40" s="704"/>
      <c r="P40" s="704"/>
      <c r="Q40" s="704"/>
      <c r="R40" s="704"/>
      <c r="S40" s="704"/>
      <c r="T40" s="704"/>
      <c r="U40" s="704"/>
      <c r="V40" s="704"/>
      <c r="W40" s="704">
        <f t="shared" si="25"/>
        <v>0</v>
      </c>
      <c r="Y40" s="688">
        <f>IFERROR(VLOOKUP($A40,'[92]1月'!$A:$H,8,0),0)</f>
        <v>0</v>
      </c>
      <c r="Z40" s="688">
        <f>IFERROR(VLOOKUP($A40,'[92]2月'!$A:$H,8,0),0)</f>
        <v>0</v>
      </c>
      <c r="AA40" s="688">
        <f>IFERROR(VLOOKUP($A40,'[92]3月'!$A:$H,8,0),0)</f>
        <v>0</v>
      </c>
      <c r="AB40" s="688">
        <f>IFERROR(VLOOKUP($A40,'[92]4月'!$A:$H,8,0),0)</f>
        <v>0</v>
      </c>
      <c r="AC40" s="688">
        <f>IFERROR(VLOOKUP($A40,'[92]5月'!$A:$H,8,0),0)</f>
        <v>0</v>
      </c>
      <c r="AD40" s="688">
        <f>IFERROR(VLOOKUP($A40,'[92]6月'!$A:$H,8,0),0)</f>
        <v>0</v>
      </c>
      <c r="AE40" s="688">
        <f>IFERROR(VLOOKUP($A40,'[92]7月'!$A:$H,8,0),0)</f>
        <v>0</v>
      </c>
      <c r="AF40" s="688">
        <f>IFERROR(VLOOKUP($A40,'[92]8月'!$A:$H,8,0),0)</f>
        <v>0</v>
      </c>
      <c r="AG40" s="688">
        <f>IFERROR(VLOOKUP($A40,'[92]9月'!$A:$H,8,0),0)</f>
        <v>0</v>
      </c>
      <c r="AH40" s="688">
        <f>IFERROR(VLOOKUP($A40,'[92]10月'!$A:$H,8,0),0)</f>
        <v>0</v>
      </c>
      <c r="AI40" s="688">
        <f>IFERROR(VLOOKUP($A40,'[92]11月'!$A:$H,8,0),0)</f>
        <v>0</v>
      </c>
      <c r="AJ40" s="688">
        <f>IFERROR(VLOOKUP($A40,'[92]12月'!$A:$H,8,0),0)</f>
        <v>0</v>
      </c>
      <c r="AK40" s="688">
        <f t="shared" si="24"/>
        <v>0</v>
      </c>
    </row>
    <row r="41" spans="1:37" ht="13.5" customHeight="1">
      <c r="A41" s="653" t="str">
        <f>'Budget-合并'!A41</f>
        <v>6602.03.03</v>
      </c>
      <c r="B41" s="653" t="str">
        <f>'Budget-合并'!B41</f>
        <v>员工强制性公积金福利</v>
      </c>
      <c r="C41" s="687" t="str">
        <f>'Budget-合并'!C41</f>
        <v>Pension Local/MPF</v>
      </c>
      <c r="D41" s="688">
        <f t="shared" si="19"/>
        <v>0</v>
      </c>
      <c r="E41" s="688" t="e">
        <f t="shared" si="20"/>
        <v>#N/A</v>
      </c>
      <c r="F41" s="688" t="e">
        <f t="shared" si="15"/>
        <v>#N/A</v>
      </c>
      <c r="G41" s="688">
        <f t="shared" ca="1" si="21"/>
        <v>0</v>
      </c>
      <c r="H41" s="688" t="e">
        <f t="shared" ca="1" si="22"/>
        <v>#N/A</v>
      </c>
      <c r="I41" s="688" t="e">
        <f t="shared" ca="1" si="16"/>
        <v>#N/A</v>
      </c>
      <c r="K41" s="704"/>
      <c r="L41" s="704"/>
      <c r="M41" s="704"/>
      <c r="N41" s="704"/>
      <c r="O41" s="704"/>
      <c r="P41" s="704"/>
      <c r="Q41" s="704"/>
      <c r="R41" s="704"/>
      <c r="S41" s="704"/>
      <c r="T41" s="704"/>
      <c r="U41" s="704"/>
      <c r="V41" s="704"/>
      <c r="W41" s="704">
        <f t="shared" si="25"/>
        <v>0</v>
      </c>
      <c r="Y41" s="688">
        <f>IFERROR(VLOOKUP($A41,'[92]1月'!$A:$H,8,0),0)</f>
        <v>3400</v>
      </c>
      <c r="Z41" s="688">
        <f>IFERROR(VLOOKUP($A41,'[92]2月'!$A:$H,8,0),0)</f>
        <v>3400</v>
      </c>
      <c r="AA41" s="688">
        <f>IFERROR(VLOOKUP($A41,'[92]3月'!$A:$H,8,0),0)</f>
        <v>3400</v>
      </c>
      <c r="AB41" s="688">
        <f>IFERROR(VLOOKUP($A41,'[92]4月'!$A:$H,8,0),0)</f>
        <v>4900</v>
      </c>
      <c r="AC41" s="688">
        <f>IFERROR(VLOOKUP($A41,'[92]5月'!$A:$H,8,0),0)</f>
        <v>4900</v>
      </c>
      <c r="AD41" s="688">
        <f>IFERROR(VLOOKUP($A41,'[92]6月'!$A:$H,8,0),0)</f>
        <v>4900</v>
      </c>
      <c r="AE41" s="688">
        <f>IFERROR(VLOOKUP($A41,'[92]7月'!$A:$H,8,0),0)</f>
        <v>4900</v>
      </c>
      <c r="AF41" s="688">
        <f>IFERROR(VLOOKUP($A41,'[92]8月'!$A:$H,8,0),0)</f>
        <v>4900</v>
      </c>
      <c r="AG41" s="688">
        <f>IFERROR(VLOOKUP($A41,'[92]9月'!$A:$H,8,0),0)</f>
        <v>4900</v>
      </c>
      <c r="AH41" s="688">
        <f>IFERROR(VLOOKUP($A41,'[92]10月'!$A:$H,8,0),0)</f>
        <v>4249.1899999999996</v>
      </c>
      <c r="AI41" s="688">
        <f>IFERROR(VLOOKUP($A41,'[92]11月'!$A:$H,8,0),0)</f>
        <v>3400</v>
      </c>
      <c r="AJ41" s="688">
        <f>IFERROR(VLOOKUP($A41,'[92]12月'!$A:$H,8,0),0)</f>
        <v>3400</v>
      </c>
      <c r="AK41" s="688">
        <f t="shared" si="24"/>
        <v>50649.19</v>
      </c>
    </row>
    <row r="42" spans="1:37" ht="13.5" customHeight="1">
      <c r="A42" s="686">
        <f>'Budget-合并'!A42</f>
        <v>0</v>
      </c>
      <c r="B42" s="686" t="str">
        <f>'Budget-合并'!B42</f>
        <v>管理人工费用小计</v>
      </c>
      <c r="C42" s="687">
        <f>'Budget-合并'!C42</f>
        <v>0</v>
      </c>
      <c r="D42" s="677">
        <f t="shared" si="19"/>
        <v>250871.72233333334</v>
      </c>
      <c r="E42" s="677" t="e">
        <f t="shared" si="20"/>
        <v>#N/A</v>
      </c>
      <c r="F42" s="677" t="e">
        <f t="shared" si="15"/>
        <v>#N/A</v>
      </c>
      <c r="G42" s="677">
        <f t="shared" ca="1" si="21"/>
        <v>250871.72233333334</v>
      </c>
      <c r="H42" s="677" t="e">
        <f t="shared" ca="1" si="22"/>
        <v>#N/A</v>
      </c>
      <c r="I42" s="677" t="e">
        <f t="shared" ca="1" si="16"/>
        <v>#N/A</v>
      </c>
      <c r="K42" s="677">
        <f>SUM(K23,K33,K38)</f>
        <v>250871.72233333334</v>
      </c>
      <c r="L42" s="677">
        <f t="shared" ref="L42:V42" si="28">SUM(L23,L33,L38)</f>
        <v>268639.26399999997</v>
      </c>
      <c r="M42" s="677">
        <f t="shared" si="28"/>
        <v>322039.26400000002</v>
      </c>
      <c r="N42" s="677">
        <f t="shared" si="28"/>
        <v>866935.26399999997</v>
      </c>
      <c r="O42" s="677">
        <f t="shared" si="28"/>
        <v>322039.26400000002</v>
      </c>
      <c r="P42" s="677">
        <f t="shared" si="28"/>
        <v>322039.26400000002</v>
      </c>
      <c r="Q42" s="677">
        <f t="shared" si="28"/>
        <v>322039.26400000002</v>
      </c>
      <c r="R42" s="677">
        <f t="shared" si="28"/>
        <v>322039.26400000002</v>
      </c>
      <c r="S42" s="677">
        <f t="shared" si="28"/>
        <v>322039.26400000002</v>
      </c>
      <c r="T42" s="677">
        <f t="shared" si="28"/>
        <v>322039.26400000002</v>
      </c>
      <c r="U42" s="677">
        <f t="shared" si="28"/>
        <v>322039.26400000002</v>
      </c>
      <c r="V42" s="677">
        <f t="shared" si="28"/>
        <v>322039.26400000002</v>
      </c>
      <c r="W42" s="677">
        <f t="shared" si="25"/>
        <v>4284799.6263333336</v>
      </c>
      <c r="Y42" s="677">
        <f t="shared" ref="Y42:AK42" si="29">SUM(Y23,Y33,Y38)</f>
        <v>435039.15</v>
      </c>
      <c r="Z42" s="677">
        <f t="shared" si="29"/>
        <v>433403.31</v>
      </c>
      <c r="AA42" s="677">
        <f t="shared" si="29"/>
        <v>464285.73000000004</v>
      </c>
      <c r="AB42" s="677">
        <f t="shared" si="29"/>
        <v>492197.92</v>
      </c>
      <c r="AC42" s="677">
        <f t="shared" si="29"/>
        <v>493066.67</v>
      </c>
      <c r="AD42" s="677">
        <f t="shared" si="29"/>
        <v>428248.72</v>
      </c>
      <c r="AE42" s="677">
        <f t="shared" si="29"/>
        <v>437421.3</v>
      </c>
      <c r="AF42" s="677">
        <f t="shared" si="29"/>
        <v>432991.44999999995</v>
      </c>
      <c r="AG42" s="677">
        <f t="shared" si="29"/>
        <v>426321.66</v>
      </c>
      <c r="AH42" s="677">
        <f t="shared" si="29"/>
        <v>389514.38</v>
      </c>
      <c r="AI42" s="677">
        <f t="shared" si="29"/>
        <v>304860.12</v>
      </c>
      <c r="AJ42" s="677">
        <f t="shared" si="29"/>
        <v>316066.67</v>
      </c>
      <c r="AK42" s="677">
        <f t="shared" si="29"/>
        <v>5053417.08</v>
      </c>
    </row>
    <row r="43" spans="1:37" ht="13.5" customHeight="1">
      <c r="A43" s="653">
        <f>'Budget-合并'!A43</f>
        <v>0</v>
      </c>
      <c r="B43" s="653">
        <f>'Budget-合并'!B43</f>
        <v>0</v>
      </c>
      <c r="C43" s="687">
        <f>'Budget-合并'!C43</f>
        <v>0</v>
      </c>
    </row>
    <row r="44" spans="1:37" ht="13.5" customHeight="1">
      <c r="A44" s="663" t="str">
        <f>'Budget-合并'!A44</f>
        <v>6602.04</v>
      </c>
      <c r="B44" s="663" t="str">
        <f>'Budget-合并'!B44</f>
        <v>咨询及专业服务费</v>
      </c>
      <c r="C44" s="687">
        <f>'Budget-合并'!C44</f>
        <v>0</v>
      </c>
      <c r="D44" s="704">
        <f t="shared" ref="D44:D107" si="30">INDEX($K44:$V44,1,MATCH($D$6,$K$6:$V$6))</f>
        <v>24118.728999999999</v>
      </c>
      <c r="E44" s="704" t="e">
        <f t="shared" ref="E44:E107" si="31">INDEX($Y44:$AG44,1,MATCH($E$6,$Y$6:$AG$6))</f>
        <v>#N/A</v>
      </c>
      <c r="F44" s="704" t="e">
        <f t="shared" ref="F44:F107" si="32">D44-E44</f>
        <v>#N/A</v>
      </c>
      <c r="G44" s="704">
        <f t="shared" ref="G44:G107" ca="1" si="33">SUM($K44:OFFSET($K44,0,MATCH(G$6,$K$6:$V$6)-1))</f>
        <v>24118.728999999999</v>
      </c>
      <c r="H44" s="704" t="e">
        <f t="shared" ref="H44:H107" ca="1" si="34">SUM($Y44:OFFSET($Y44,0,MATCH(H$6,$Y$6:$AJ$6)-1))</f>
        <v>#N/A</v>
      </c>
      <c r="I44" s="704" t="e">
        <f t="shared" ref="I44:I107" ca="1" si="35">G44-H44</f>
        <v>#N/A</v>
      </c>
      <c r="K44" s="704">
        <f>SUM(K45,K46,K47,K51:K61)</f>
        <v>24118.728999999999</v>
      </c>
      <c r="L44" s="704">
        <f t="shared" ref="L44:V44" si="36">SUM(L45,L46,L47,L51:L61)</f>
        <v>23907.62</v>
      </c>
      <c r="M44" s="704">
        <f t="shared" si="36"/>
        <v>23907.62</v>
      </c>
      <c r="N44" s="704">
        <f t="shared" si="36"/>
        <v>23907.62</v>
      </c>
      <c r="O44" s="704">
        <f t="shared" si="36"/>
        <v>209169.62</v>
      </c>
      <c r="P44" s="704">
        <f t="shared" si="36"/>
        <v>71546.42</v>
      </c>
      <c r="Q44" s="704">
        <f t="shared" si="36"/>
        <v>23907.62</v>
      </c>
      <c r="R44" s="704">
        <f t="shared" si="36"/>
        <v>59195.62</v>
      </c>
      <c r="S44" s="704">
        <f t="shared" si="36"/>
        <v>59195.62</v>
      </c>
      <c r="T44" s="704">
        <f t="shared" si="36"/>
        <v>59195.62</v>
      </c>
      <c r="U44" s="704">
        <f t="shared" si="36"/>
        <v>59195.62</v>
      </c>
      <c r="V44" s="704">
        <f t="shared" si="36"/>
        <v>59195.62</v>
      </c>
      <c r="W44" s="704">
        <f>SUM(K44:V44)</f>
        <v>696443.34899999993</v>
      </c>
      <c r="Y44" s="688">
        <f>IFERROR(VLOOKUP($A44,'[92]1月'!$A:$H,8,0),0)</f>
        <v>28500</v>
      </c>
      <c r="Z44" s="688">
        <f>IFERROR(VLOOKUP($A44,'[92]2月'!$A:$H,8,0),0)</f>
        <v>44100</v>
      </c>
      <c r="AA44" s="688">
        <f>IFERROR(VLOOKUP($A44,'[92]3月'!$A:$H,8,0),0)</f>
        <v>80746.880000000005</v>
      </c>
      <c r="AB44" s="688">
        <f>IFERROR(VLOOKUP($A44,'[92]4月'!$A:$H,8,0),0)</f>
        <v>44100</v>
      </c>
      <c r="AC44" s="688">
        <f>IFERROR(VLOOKUP($A44,'[92]5月'!$A:$H,8,0),0)</f>
        <v>142388.44</v>
      </c>
      <c r="AD44" s="688">
        <f>IFERROR(VLOOKUP($A44,'[92]6月'!$A:$H,8,0),0)</f>
        <v>175063.3</v>
      </c>
      <c r="AE44" s="688">
        <f>IFERROR(VLOOKUP($A44,'[92]7月'!$A:$H,8,0),0)</f>
        <v>50100</v>
      </c>
      <c r="AF44" s="688">
        <f>IFERROR(VLOOKUP($A44,'[92]8月'!$A:$H,8,0),0)</f>
        <v>44100</v>
      </c>
      <c r="AG44" s="688">
        <f>IFERROR(VLOOKUP($A44,'[92]9月'!$A:$H,8,0),0)</f>
        <v>44100</v>
      </c>
      <c r="AH44" s="688">
        <f>IFERROR(VLOOKUP($A44,'[92]10月'!$A:$H,8,0),0)</f>
        <v>44100</v>
      </c>
      <c r="AI44" s="688">
        <f>IFERROR(VLOOKUP($A44,'[92]11月'!$A:$H,8,0),0)</f>
        <v>48100</v>
      </c>
      <c r="AJ44" s="688">
        <f>IFERROR(VLOOKUP($A44,'[92]12月'!$A:$H,8,0),0)</f>
        <v>290235.90000000002</v>
      </c>
      <c r="AK44" s="688">
        <f t="shared" ref="AK44:AK107" si="37">SUM(Y44:AJ44)</f>
        <v>1035634.52</v>
      </c>
    </row>
    <row r="45" spans="1:37" ht="13.5" customHeight="1">
      <c r="A45" s="653" t="str">
        <f>'Budget-合并'!A45</f>
        <v>6602.04.01</v>
      </c>
      <c r="B45" s="653" t="str">
        <f>'Budget-合并'!B45</f>
        <v>会计服务费</v>
      </c>
      <c r="C45" s="687" t="str">
        <f>'Budget-合并'!C45</f>
        <v>Accounting/Payment Services</v>
      </c>
      <c r="D45" s="704">
        <f t="shared" si="30"/>
        <v>8009.91</v>
      </c>
      <c r="E45" s="704" t="e">
        <f t="shared" si="31"/>
        <v>#N/A</v>
      </c>
      <c r="F45" s="704" t="e">
        <f t="shared" si="32"/>
        <v>#N/A</v>
      </c>
      <c r="G45" s="704">
        <f t="shared" ca="1" si="33"/>
        <v>8009.91</v>
      </c>
      <c r="H45" s="704" t="e">
        <f t="shared" ca="1" si="34"/>
        <v>#N/A</v>
      </c>
      <c r="I45" s="704" t="e">
        <f t="shared" ca="1" si="35"/>
        <v>#N/A</v>
      </c>
      <c r="K45" s="704">
        <f>SUMIFS('Prof. Fee'!AF$3:AF$150,'Prof. Fee'!$B$3:$B$150,$D$1,'Prof. Fee'!$D$3:$D$150,$A45)</f>
        <v>8009.91</v>
      </c>
      <c r="L45" s="704">
        <f>SUMIFS('Prof. Fee'!AG$3:AG$150,'Prof. Fee'!$B$3:$B$150,$D$1,'Prof. Fee'!$D$3:$D$150,$A45)</f>
        <v>7939.8</v>
      </c>
      <c r="M45" s="704">
        <f>SUMIFS('Prof. Fee'!AH$3:AH$150,'Prof. Fee'!$B$3:$B$150,$D$1,'Prof. Fee'!$D$3:$D$150,$A45)</f>
        <v>7939.8</v>
      </c>
      <c r="N45" s="704">
        <f>SUMIFS('Prof. Fee'!AI$3:AI$150,'Prof. Fee'!$B$3:$B$150,$D$1,'Prof. Fee'!$D$3:$D$150,$A45)</f>
        <v>7939.8</v>
      </c>
      <c r="O45" s="704">
        <f>SUMIFS('Prof. Fee'!AJ$3:AJ$150,'Prof. Fee'!$B$3:$B$150,$D$1,'Prof. Fee'!$D$3:$D$150,$A45)</f>
        <v>7939.8</v>
      </c>
      <c r="P45" s="704">
        <f>SUMIFS('Prof. Fee'!AK$3:AK$150,'Prof. Fee'!$B$3:$B$150,$D$1,'Prof. Fee'!$D$3:$D$150,$A45)</f>
        <v>7939.8</v>
      </c>
      <c r="Q45" s="704">
        <f>SUMIFS('Prof. Fee'!AL$3:AL$150,'Prof. Fee'!$B$3:$B$150,$D$1,'Prof. Fee'!$D$3:$D$150,$A45)</f>
        <v>7939.8</v>
      </c>
      <c r="R45" s="704">
        <f>SUMIFS('Prof. Fee'!AM$3:AM$150,'Prof. Fee'!$B$3:$B$150,$D$1,'Prof. Fee'!$D$3:$D$150,$A45)</f>
        <v>7939.8</v>
      </c>
      <c r="S45" s="704">
        <f>SUMIFS('Prof. Fee'!AN$3:AN$150,'Prof. Fee'!$B$3:$B$150,$D$1,'Prof. Fee'!$D$3:$D$150,$A45)</f>
        <v>7939.8</v>
      </c>
      <c r="T45" s="704">
        <f>SUMIFS('Prof. Fee'!AO$3:AO$150,'Prof. Fee'!$B$3:$B$150,$D$1,'Prof. Fee'!$D$3:$D$150,$A45)</f>
        <v>7939.8</v>
      </c>
      <c r="U45" s="704">
        <f>SUMIFS('Prof. Fee'!AP$3:AP$150,'Prof. Fee'!$B$3:$B$150,$D$1,'Prof. Fee'!$D$3:$D$150,$A45)</f>
        <v>7939.8</v>
      </c>
      <c r="V45" s="704">
        <f>SUMIFS('Prof. Fee'!AQ$3:AQ$150,'Prof. Fee'!$B$3:$B$150,$D$1,'Prof. Fee'!$D$3:$D$150,$A45)</f>
        <v>7939.8</v>
      </c>
      <c r="W45" s="704">
        <f t="shared" si="25"/>
        <v>95347.710000000021</v>
      </c>
      <c r="Y45" s="688">
        <f>IFERROR(VLOOKUP($A45,'[92]1月'!$A:$H,8,0),0)</f>
        <v>8500</v>
      </c>
      <c r="Z45" s="688">
        <f>IFERROR(VLOOKUP($A45,'[92]2月'!$A:$H,8,0),0)</f>
        <v>8500</v>
      </c>
      <c r="AA45" s="688">
        <f>IFERROR(VLOOKUP($A45,'[92]3月'!$A:$H,8,0),0)</f>
        <v>8500</v>
      </c>
      <c r="AB45" s="688">
        <f>IFERROR(VLOOKUP($A45,'[92]4月'!$A:$H,8,0),0)</f>
        <v>8500</v>
      </c>
      <c r="AC45" s="688">
        <f>IFERROR(VLOOKUP($A45,'[92]5月'!$A:$H,8,0),0)</f>
        <v>14500</v>
      </c>
      <c r="AD45" s="688">
        <f>IFERROR(VLOOKUP($A45,'[92]6月'!$A:$H,8,0),0)</f>
        <v>8500</v>
      </c>
      <c r="AE45" s="688">
        <f>IFERROR(VLOOKUP($A45,'[92]7月'!$A:$H,8,0),0)</f>
        <v>14500</v>
      </c>
      <c r="AF45" s="688">
        <f>IFERROR(VLOOKUP($A45,'[92]8月'!$A:$H,8,0),0)</f>
        <v>8500</v>
      </c>
      <c r="AG45" s="688">
        <f>IFERROR(VLOOKUP($A45,'[92]9月'!$A:$H,8,0),0)</f>
        <v>8500</v>
      </c>
      <c r="AH45" s="688">
        <f>IFERROR(VLOOKUP($A45,'[92]10月'!$A:$H,8,0),0)</f>
        <v>8500</v>
      </c>
      <c r="AI45" s="688">
        <f>IFERROR(VLOOKUP($A45,'[92]11月'!$A:$H,8,0),0)</f>
        <v>8500</v>
      </c>
      <c r="AJ45" s="688">
        <f>IFERROR(VLOOKUP($A45,'[92]12月'!$A:$H,8,0),0)</f>
        <v>8500</v>
      </c>
      <c r="AK45" s="688">
        <f t="shared" si="37"/>
        <v>114000</v>
      </c>
    </row>
    <row r="46" spans="1:37" ht="13.5" customHeight="1">
      <c r="A46" s="653" t="str">
        <f>'Budget-合并'!A46</f>
        <v>6602.04.02</v>
      </c>
      <c r="B46" s="653" t="str">
        <f>'Budget-合并'!B46</f>
        <v>审计服务费</v>
      </c>
      <c r="C46" s="687" t="str">
        <f>'Budget-合并'!C46</f>
        <v>Audit Fees</v>
      </c>
      <c r="D46" s="704">
        <f t="shared" si="30"/>
        <v>0</v>
      </c>
      <c r="E46" s="704" t="e">
        <f t="shared" si="31"/>
        <v>#N/A</v>
      </c>
      <c r="F46" s="704" t="e">
        <f t="shared" si="32"/>
        <v>#N/A</v>
      </c>
      <c r="G46" s="704">
        <f t="shared" ca="1" si="33"/>
        <v>0</v>
      </c>
      <c r="H46" s="704" t="e">
        <f t="shared" ca="1" si="34"/>
        <v>#N/A</v>
      </c>
      <c r="I46" s="704" t="e">
        <f t="shared" ca="1" si="35"/>
        <v>#N/A</v>
      </c>
      <c r="K46" s="704">
        <f>SUMIFS('Prof. Fee'!AF$3:AF$150,'Prof. Fee'!$B$3:$B$150,$D$1,'Prof. Fee'!$D$3:$D$150,$A46)</f>
        <v>0</v>
      </c>
      <c r="L46" s="704">
        <f>SUMIFS('Prof. Fee'!AG$3:AG$150,'Prof. Fee'!$B$3:$B$150,$D$1,'Prof. Fee'!$D$3:$D$150,$A46)</f>
        <v>0</v>
      </c>
      <c r="M46" s="704">
        <f>SUMIFS('Prof. Fee'!AH$3:AH$150,'Prof. Fee'!$B$3:$B$150,$D$1,'Prof. Fee'!$D$3:$D$150,$A46)</f>
        <v>0</v>
      </c>
      <c r="N46" s="704">
        <f>SUMIFS('Prof. Fee'!AI$3:AI$150,'Prof. Fee'!$B$3:$B$150,$D$1,'Prof. Fee'!$D$3:$D$150,$A46)</f>
        <v>0</v>
      </c>
      <c r="O46" s="704">
        <f>SUMIFS('Prof. Fee'!AJ$3:AJ$150,'Prof. Fee'!$B$3:$B$150,$D$1,'Prof. Fee'!$D$3:$D$150,$A46)</f>
        <v>185262</v>
      </c>
      <c r="P46" s="704">
        <f>SUMIFS('Prof. Fee'!AK$3:AK$150,'Prof. Fee'!$B$3:$B$150,$D$1,'Prof. Fee'!$D$3:$D$150,$A46)</f>
        <v>0</v>
      </c>
      <c r="Q46" s="704">
        <f>SUMIFS('Prof. Fee'!AL$3:AL$150,'Prof. Fee'!$B$3:$B$150,$D$1,'Prof. Fee'!$D$3:$D$150,$A46)</f>
        <v>0</v>
      </c>
      <c r="R46" s="704">
        <f>SUMIFS('Prof. Fee'!AM$3:AM$150,'Prof. Fee'!$B$3:$B$150,$D$1,'Prof. Fee'!$D$3:$D$150,$A46)</f>
        <v>0</v>
      </c>
      <c r="S46" s="704">
        <f>SUMIFS('Prof. Fee'!AN$3:AN$150,'Prof. Fee'!$B$3:$B$150,$D$1,'Prof. Fee'!$D$3:$D$150,$A46)</f>
        <v>0</v>
      </c>
      <c r="T46" s="704">
        <f>SUMIFS('Prof. Fee'!AO$3:AO$150,'Prof. Fee'!$B$3:$B$150,$D$1,'Prof. Fee'!$D$3:$D$150,$A46)</f>
        <v>0</v>
      </c>
      <c r="U46" s="704">
        <f>SUMIFS('Prof. Fee'!AP$3:AP$150,'Prof. Fee'!$B$3:$B$150,$D$1,'Prof. Fee'!$D$3:$D$150,$A46)</f>
        <v>0</v>
      </c>
      <c r="V46" s="704">
        <f>SUMIFS('Prof. Fee'!AQ$3:AQ$150,'Prof. Fee'!$B$3:$B$150,$D$1,'Prof. Fee'!$D$3:$D$150,$A46)</f>
        <v>0</v>
      </c>
      <c r="W46" s="704">
        <f t="shared" si="25"/>
        <v>185262</v>
      </c>
      <c r="Y46" s="688">
        <f>IFERROR(VLOOKUP($A46,'[92]1月'!$A:$H,8,0),0)</f>
        <v>17500</v>
      </c>
      <c r="Z46" s="688">
        <f>IFERROR(VLOOKUP($A46,'[92]2月'!$A:$H,8,0),0)</f>
        <v>17500</v>
      </c>
      <c r="AA46" s="688">
        <f>IFERROR(VLOOKUP($A46,'[92]3月'!$A:$H,8,0),0)</f>
        <v>17500</v>
      </c>
      <c r="AB46" s="688">
        <f>IFERROR(VLOOKUP($A46,'[92]4月'!$A:$H,8,0),0)</f>
        <v>17500</v>
      </c>
      <c r="AC46" s="688">
        <f>IFERROR(VLOOKUP($A46,'[92]5月'!$A:$H,8,0),0)</f>
        <v>17500</v>
      </c>
      <c r="AD46" s="688">
        <f>IFERROR(VLOOKUP($A46,'[92]6月'!$A:$H,8,0),0)</f>
        <v>17500</v>
      </c>
      <c r="AE46" s="688">
        <f>IFERROR(VLOOKUP($A46,'[92]7月'!$A:$H,8,0),0)</f>
        <v>17500</v>
      </c>
      <c r="AF46" s="688">
        <f>IFERROR(VLOOKUP($A46,'[92]8月'!$A:$H,8,0),0)</f>
        <v>17500</v>
      </c>
      <c r="AG46" s="688">
        <f>IFERROR(VLOOKUP($A46,'[92]9月'!$A:$H,8,0),0)</f>
        <v>17500</v>
      </c>
      <c r="AH46" s="688">
        <f>IFERROR(VLOOKUP($A46,'[92]10月'!$A:$H,8,0),0)</f>
        <v>17500</v>
      </c>
      <c r="AI46" s="688">
        <f>IFERROR(VLOOKUP($A46,'[92]11月'!$A:$H,8,0),0)</f>
        <v>17500</v>
      </c>
      <c r="AJ46" s="688">
        <f>IFERROR(VLOOKUP($A46,'[92]12月'!$A:$H,8,0),0)</f>
        <v>7500</v>
      </c>
      <c r="AK46" s="688">
        <f t="shared" si="37"/>
        <v>200000</v>
      </c>
    </row>
    <row r="47" spans="1:37" ht="13.5" customHeight="1">
      <c r="A47" s="653" t="str">
        <f>'Budget-合并'!A47</f>
        <v>6602.04.03</v>
      </c>
      <c r="B47" s="653" t="str">
        <f>'Budget-合并'!B47</f>
        <v>顾问费</v>
      </c>
      <c r="C47" s="687" t="str">
        <f>'Budget-合并'!C47</f>
        <v>Advisory fee</v>
      </c>
      <c r="D47" s="704">
        <f t="shared" si="30"/>
        <v>0</v>
      </c>
      <c r="E47" s="704" t="e">
        <f t="shared" si="31"/>
        <v>#N/A</v>
      </c>
      <c r="F47" s="704" t="e">
        <f t="shared" si="32"/>
        <v>#N/A</v>
      </c>
      <c r="G47" s="704">
        <f t="shared" ca="1" si="33"/>
        <v>0</v>
      </c>
      <c r="H47" s="704" t="e">
        <f t="shared" ca="1" si="34"/>
        <v>#N/A</v>
      </c>
      <c r="I47" s="704" t="e">
        <f t="shared" ca="1" si="35"/>
        <v>#N/A</v>
      </c>
      <c r="K47" s="704">
        <f t="shared" ref="K47:V47" si="38">SUM(K48:K50)</f>
        <v>0</v>
      </c>
      <c r="L47" s="704">
        <f t="shared" si="38"/>
        <v>0</v>
      </c>
      <c r="M47" s="704">
        <f t="shared" si="38"/>
        <v>0</v>
      </c>
      <c r="N47" s="704">
        <f t="shared" si="38"/>
        <v>0</v>
      </c>
      <c r="O47" s="704">
        <f t="shared" si="38"/>
        <v>0</v>
      </c>
      <c r="P47" s="704">
        <f t="shared" si="38"/>
        <v>0</v>
      </c>
      <c r="Q47" s="704">
        <f t="shared" si="38"/>
        <v>0</v>
      </c>
      <c r="R47" s="704">
        <f t="shared" si="38"/>
        <v>0</v>
      </c>
      <c r="S47" s="704">
        <f t="shared" si="38"/>
        <v>0</v>
      </c>
      <c r="T47" s="704">
        <f t="shared" si="38"/>
        <v>0</v>
      </c>
      <c r="U47" s="704">
        <f t="shared" si="38"/>
        <v>0</v>
      </c>
      <c r="V47" s="704">
        <f t="shared" si="38"/>
        <v>0</v>
      </c>
      <c r="W47" s="704">
        <f t="shared" si="25"/>
        <v>0</v>
      </c>
      <c r="Y47" s="688">
        <f>IFERROR(VLOOKUP($A47,'[92]1月'!$A:$H,8,0),0)</f>
        <v>0</v>
      </c>
      <c r="Z47" s="688">
        <f>IFERROR(VLOOKUP($A47,'[92]2月'!$A:$H,8,0),0)</f>
        <v>0</v>
      </c>
      <c r="AA47" s="688">
        <f>IFERROR(VLOOKUP($A47,'[92]3月'!$A:$H,8,0),0)</f>
        <v>36646.879999999997</v>
      </c>
      <c r="AB47" s="688">
        <f>IFERROR(VLOOKUP($A47,'[92]4月'!$A:$H,8,0),0)</f>
        <v>0</v>
      </c>
      <c r="AC47" s="688">
        <f>IFERROR(VLOOKUP($A47,'[92]5月'!$A:$H,8,0),0)</f>
        <v>82608.44</v>
      </c>
      <c r="AD47" s="688">
        <f>IFERROR(VLOOKUP($A47,'[92]6月'!$A:$H,8,0),0)</f>
        <v>115363.3</v>
      </c>
      <c r="AE47" s="688">
        <f>IFERROR(VLOOKUP($A47,'[92]7月'!$A:$H,8,0),0)</f>
        <v>0</v>
      </c>
      <c r="AF47" s="688">
        <f>IFERROR(VLOOKUP($A47,'[92]8月'!$A:$H,8,0),0)</f>
        <v>0</v>
      </c>
      <c r="AG47" s="688">
        <f>IFERROR(VLOOKUP($A47,'[92]9月'!$A:$H,8,0),0)</f>
        <v>0</v>
      </c>
      <c r="AH47" s="688">
        <f>IFERROR(VLOOKUP($A47,'[92]10月'!$A:$H,8,0),0)</f>
        <v>0</v>
      </c>
      <c r="AI47" s="688">
        <f>IFERROR(VLOOKUP($A47,'[92]11月'!$A:$H,8,0),0)</f>
        <v>0</v>
      </c>
      <c r="AJ47" s="688">
        <f>IFERROR(VLOOKUP($A47,'[92]12月'!$A:$H,8,0),0)</f>
        <v>256135.9</v>
      </c>
      <c r="AK47" s="688">
        <f t="shared" si="37"/>
        <v>490754.52</v>
      </c>
    </row>
    <row r="48" spans="1:37" ht="13.5" customHeight="1">
      <c r="A48" s="653">
        <f>'Budget-合并'!A48</f>
        <v>0</v>
      </c>
      <c r="B48" s="653" t="str">
        <f>'Budget-合并'!B48</f>
        <v xml:space="preserve">    公司主体01</v>
      </c>
      <c r="C48" s="687" t="str">
        <f>'Budget-合并'!C48</f>
        <v xml:space="preserve">   Entity</v>
      </c>
      <c r="D48" s="704">
        <f t="shared" si="30"/>
        <v>0</v>
      </c>
      <c r="E48" s="704" t="e">
        <f t="shared" si="31"/>
        <v>#N/A</v>
      </c>
      <c r="F48" s="704" t="e">
        <f t="shared" si="32"/>
        <v>#N/A</v>
      </c>
      <c r="G48" s="704">
        <f t="shared" ca="1" si="33"/>
        <v>0</v>
      </c>
      <c r="H48" s="704" t="e">
        <f t="shared" ca="1" si="34"/>
        <v>#N/A</v>
      </c>
      <c r="I48" s="704" t="e">
        <f t="shared" ca="1" si="35"/>
        <v>#N/A</v>
      </c>
      <c r="K48" s="704"/>
      <c r="L48" s="704"/>
      <c r="M48" s="704"/>
      <c r="N48" s="704"/>
      <c r="O48" s="704"/>
      <c r="P48" s="704"/>
      <c r="Q48" s="704"/>
      <c r="R48" s="704"/>
      <c r="S48" s="704"/>
      <c r="T48" s="704"/>
      <c r="U48" s="704"/>
      <c r="V48" s="704"/>
      <c r="W48" s="704">
        <f t="shared" si="25"/>
        <v>0</v>
      </c>
      <c r="Y48" s="688">
        <f>IFERROR(VLOOKUP($A48,'[92]1月'!$A:$H,8,0),0)</f>
        <v>0</v>
      </c>
      <c r="Z48" s="688">
        <f>IFERROR(VLOOKUP($A48,'[92]2月'!$A:$H,8,0),0)</f>
        <v>0</v>
      </c>
      <c r="AA48" s="688">
        <f>IFERROR(VLOOKUP($A48,'[92]3月'!$A:$H,8,0),0)</f>
        <v>0</v>
      </c>
      <c r="AB48" s="688">
        <f>IFERROR(VLOOKUP($A48,'[92]4月'!$A:$H,8,0),0)</f>
        <v>0</v>
      </c>
      <c r="AC48" s="688">
        <f>IFERROR(VLOOKUP($A48,'[92]5月'!$A:$H,8,0),0)</f>
        <v>0</v>
      </c>
      <c r="AD48" s="688">
        <f>IFERROR(VLOOKUP($A48,'[92]6月'!$A:$H,8,0),0)</f>
        <v>0</v>
      </c>
      <c r="AE48" s="688">
        <f>IFERROR(VLOOKUP($A48,'[92]7月'!$A:$H,8,0),0)</f>
        <v>0</v>
      </c>
      <c r="AF48" s="688">
        <f>IFERROR(VLOOKUP($A48,'[92]8月'!$A:$H,8,0),0)</f>
        <v>0</v>
      </c>
      <c r="AG48" s="688">
        <f>IFERROR(VLOOKUP($A48,'[92]9月'!$A:$H,8,0),0)</f>
        <v>0</v>
      </c>
      <c r="AH48" s="688">
        <f>IFERROR(VLOOKUP($A48,'[92]10月'!$A:$H,8,0),0)</f>
        <v>0</v>
      </c>
      <c r="AI48" s="688">
        <f>IFERROR(VLOOKUP($A48,'[92]11月'!$A:$H,8,0),0)</f>
        <v>0</v>
      </c>
      <c r="AJ48" s="688">
        <f>IFERROR(VLOOKUP($A48,'[92]12月'!$A:$H,8,0),0)</f>
        <v>0</v>
      </c>
      <c r="AK48" s="688">
        <f t="shared" si="37"/>
        <v>0</v>
      </c>
    </row>
    <row r="49" spans="1:37" ht="13.5" customHeight="1">
      <c r="A49" s="653">
        <f>'Budget-合并'!A49</f>
        <v>0</v>
      </c>
      <c r="B49" s="653" t="str">
        <f>'Budget-合并'!B49</f>
        <v xml:space="preserve">    旭智富能01</v>
      </c>
      <c r="C49" s="687" t="str">
        <f>'Budget-合并'!C49</f>
        <v xml:space="preserve">   Foxpower</v>
      </c>
      <c r="D49" s="704">
        <f t="shared" si="30"/>
        <v>0</v>
      </c>
      <c r="E49" s="704" t="e">
        <f t="shared" si="31"/>
        <v>#N/A</v>
      </c>
      <c r="F49" s="704" t="e">
        <f t="shared" si="32"/>
        <v>#N/A</v>
      </c>
      <c r="G49" s="704">
        <f t="shared" ca="1" si="33"/>
        <v>0</v>
      </c>
      <c r="H49" s="704" t="e">
        <f t="shared" ca="1" si="34"/>
        <v>#N/A</v>
      </c>
      <c r="I49" s="704" t="e">
        <f t="shared" ca="1" si="35"/>
        <v>#N/A</v>
      </c>
      <c r="K49" s="704"/>
      <c r="L49" s="704"/>
      <c r="M49" s="704"/>
      <c r="N49" s="704"/>
      <c r="O49" s="704"/>
      <c r="P49" s="704"/>
      <c r="Q49" s="704"/>
      <c r="R49" s="704"/>
      <c r="S49" s="704"/>
      <c r="T49" s="704"/>
      <c r="U49" s="704"/>
      <c r="V49" s="704"/>
      <c r="W49" s="704">
        <f t="shared" si="25"/>
        <v>0</v>
      </c>
      <c r="Y49" s="688">
        <f>IFERROR(VLOOKUP($A49,'[92]1月'!$A:$H,8,0),0)</f>
        <v>0</v>
      </c>
      <c r="Z49" s="688">
        <f>IFERROR(VLOOKUP($A49,'[92]2月'!$A:$H,8,0),0)</f>
        <v>0</v>
      </c>
      <c r="AA49" s="688">
        <f>IFERROR(VLOOKUP($A49,'[92]3月'!$A:$H,8,0),0)</f>
        <v>0</v>
      </c>
      <c r="AB49" s="688">
        <f>IFERROR(VLOOKUP($A49,'[92]4月'!$A:$H,8,0),0)</f>
        <v>0</v>
      </c>
      <c r="AC49" s="688">
        <f>IFERROR(VLOOKUP($A49,'[92]5月'!$A:$H,8,0),0)</f>
        <v>0</v>
      </c>
      <c r="AD49" s="688">
        <f>IFERROR(VLOOKUP($A49,'[92]6月'!$A:$H,8,0),0)</f>
        <v>0</v>
      </c>
      <c r="AE49" s="688">
        <f>IFERROR(VLOOKUP($A49,'[92]7月'!$A:$H,8,0),0)</f>
        <v>0</v>
      </c>
      <c r="AF49" s="688">
        <f>IFERROR(VLOOKUP($A49,'[92]8月'!$A:$H,8,0),0)</f>
        <v>0</v>
      </c>
      <c r="AG49" s="688">
        <f>IFERROR(VLOOKUP($A49,'[92]9月'!$A:$H,8,0),0)</f>
        <v>0</v>
      </c>
      <c r="AH49" s="688">
        <f>IFERROR(VLOOKUP($A49,'[92]10月'!$A:$H,8,0),0)</f>
        <v>0</v>
      </c>
      <c r="AI49" s="688">
        <f>IFERROR(VLOOKUP($A49,'[92]11月'!$A:$H,8,0),0)</f>
        <v>0</v>
      </c>
      <c r="AJ49" s="688">
        <f>IFERROR(VLOOKUP($A49,'[92]12月'!$A:$H,8,0),0)</f>
        <v>0</v>
      </c>
      <c r="AK49" s="688">
        <f t="shared" si="37"/>
        <v>0</v>
      </c>
    </row>
    <row r="50" spans="1:37" ht="13.5" customHeight="1">
      <c r="A50" s="653">
        <f>'Budget-合并'!A50</f>
        <v>0</v>
      </c>
      <c r="B50" s="653" t="str">
        <f>'Budget-合并'!B50</f>
        <v xml:space="preserve">    其他项目01</v>
      </c>
      <c r="C50" s="687" t="str">
        <f>'Budget-合并'!C50</f>
        <v xml:space="preserve">   Other project</v>
      </c>
      <c r="D50" s="704">
        <f t="shared" si="30"/>
        <v>0</v>
      </c>
      <c r="E50" s="704" t="e">
        <f t="shared" si="31"/>
        <v>#N/A</v>
      </c>
      <c r="F50" s="704" t="e">
        <f t="shared" si="32"/>
        <v>#N/A</v>
      </c>
      <c r="G50" s="704">
        <f t="shared" ca="1" si="33"/>
        <v>0</v>
      </c>
      <c r="H50" s="704" t="e">
        <f t="shared" ca="1" si="34"/>
        <v>#N/A</v>
      </c>
      <c r="I50" s="704" t="e">
        <f t="shared" ca="1" si="35"/>
        <v>#N/A</v>
      </c>
      <c r="K50" s="704"/>
      <c r="L50" s="704"/>
      <c r="M50" s="704"/>
      <c r="N50" s="704"/>
      <c r="O50" s="704"/>
      <c r="P50" s="704"/>
      <c r="Q50" s="704"/>
      <c r="R50" s="704"/>
      <c r="S50" s="704"/>
      <c r="T50" s="704"/>
      <c r="U50" s="704"/>
      <c r="V50" s="704"/>
      <c r="W50" s="704">
        <f t="shared" si="25"/>
        <v>0</v>
      </c>
      <c r="Y50" s="688">
        <f>IFERROR(VLOOKUP($A50,'[92]1月'!$A:$H,8,0),0)</f>
        <v>0</v>
      </c>
      <c r="Z50" s="688">
        <f>IFERROR(VLOOKUP($A50,'[92]2月'!$A:$H,8,0),0)</f>
        <v>0</v>
      </c>
      <c r="AA50" s="688">
        <f>IFERROR(VLOOKUP($A50,'[92]3月'!$A:$H,8,0),0)</f>
        <v>0</v>
      </c>
      <c r="AB50" s="688">
        <f>IFERROR(VLOOKUP($A50,'[92]4月'!$A:$H,8,0),0)</f>
        <v>0</v>
      </c>
      <c r="AC50" s="688">
        <f>IFERROR(VLOOKUP($A50,'[92]5月'!$A:$H,8,0),0)</f>
        <v>0</v>
      </c>
      <c r="AD50" s="688">
        <f>IFERROR(VLOOKUP($A50,'[92]6月'!$A:$H,8,0),0)</f>
        <v>0</v>
      </c>
      <c r="AE50" s="688">
        <f>IFERROR(VLOOKUP($A50,'[92]7月'!$A:$H,8,0),0)</f>
        <v>0</v>
      </c>
      <c r="AF50" s="688">
        <f>IFERROR(VLOOKUP($A50,'[92]8月'!$A:$H,8,0),0)</f>
        <v>0</v>
      </c>
      <c r="AG50" s="688">
        <f>IFERROR(VLOOKUP($A50,'[92]9月'!$A:$H,8,0),0)</f>
        <v>0</v>
      </c>
      <c r="AH50" s="688">
        <f>IFERROR(VLOOKUP($A50,'[92]10月'!$A:$H,8,0),0)</f>
        <v>0</v>
      </c>
      <c r="AI50" s="688">
        <f>IFERROR(VLOOKUP($A50,'[92]11月'!$A:$H,8,0),0)</f>
        <v>0</v>
      </c>
      <c r="AJ50" s="688">
        <f>IFERROR(VLOOKUP($A50,'[92]12月'!$A:$H,8,0),0)</f>
        <v>0</v>
      </c>
      <c r="AK50" s="688">
        <f t="shared" si="37"/>
        <v>0</v>
      </c>
    </row>
    <row r="51" spans="1:37" ht="13.5" customHeight="1">
      <c r="A51" s="653" t="str">
        <f>'Budget-合并'!A51</f>
        <v>6602.04.04</v>
      </c>
      <c r="B51" s="653" t="str">
        <f>'Budget-合并'!B51</f>
        <v>税务服务费</v>
      </c>
      <c r="C51" s="687">
        <f>'Budget-合并'!C51</f>
        <v>0</v>
      </c>
      <c r="D51" s="704">
        <f t="shared" si="30"/>
        <v>0</v>
      </c>
      <c r="E51" s="704" t="e">
        <f t="shared" si="31"/>
        <v>#N/A</v>
      </c>
      <c r="F51" s="704" t="e">
        <f t="shared" si="32"/>
        <v>#N/A</v>
      </c>
      <c r="G51" s="704">
        <f t="shared" ca="1" si="33"/>
        <v>0</v>
      </c>
      <c r="H51" s="704" t="e">
        <f t="shared" ca="1" si="34"/>
        <v>#N/A</v>
      </c>
      <c r="I51" s="704" t="e">
        <f t="shared" ca="1" si="35"/>
        <v>#N/A</v>
      </c>
      <c r="K51" s="704">
        <f>SUMIFS('Prof. Fee'!AF$3:AF$150,'Prof. Fee'!$B$3:$B$150,$D$1,'Prof. Fee'!$D$3:$D$150,$A51)</f>
        <v>0</v>
      </c>
      <c r="L51" s="704">
        <f>SUMIFS('Prof. Fee'!AG$3:AG$150,'Prof. Fee'!$B$3:$B$150,$D$1,'Prof. Fee'!$D$3:$D$150,$A51)</f>
        <v>0</v>
      </c>
      <c r="M51" s="704">
        <f>SUMIFS('Prof. Fee'!AH$3:AH$150,'Prof. Fee'!$B$3:$B$150,$D$1,'Prof. Fee'!$D$3:$D$150,$A51)</f>
        <v>0</v>
      </c>
      <c r="N51" s="704">
        <f>SUMIFS('Prof. Fee'!AI$3:AI$150,'Prof. Fee'!$B$3:$B$150,$D$1,'Prof. Fee'!$D$3:$D$150,$A51)</f>
        <v>0</v>
      </c>
      <c r="O51" s="704">
        <f>SUMIFS('Prof. Fee'!AJ$3:AJ$150,'Prof. Fee'!$B$3:$B$150,$D$1,'Prof. Fee'!$D$3:$D$150,$A51)</f>
        <v>0</v>
      </c>
      <c r="P51" s="704">
        <f>SUMIFS('Prof. Fee'!AK$3:AK$150,'Prof. Fee'!$B$3:$B$150,$D$1,'Prof. Fee'!$D$3:$D$150,$A51)</f>
        <v>47638.799999999996</v>
      </c>
      <c r="Q51" s="704">
        <f>SUMIFS('Prof. Fee'!AL$3:AL$150,'Prof. Fee'!$B$3:$B$150,$D$1,'Prof. Fee'!$D$3:$D$150,$A51)</f>
        <v>0</v>
      </c>
      <c r="R51" s="704">
        <f>SUMIFS('Prof. Fee'!AM$3:AM$150,'Prof. Fee'!$B$3:$B$150,$D$1,'Prof. Fee'!$D$3:$D$150,$A51)</f>
        <v>0</v>
      </c>
      <c r="S51" s="704">
        <f>SUMIFS('Prof. Fee'!AN$3:AN$150,'Prof. Fee'!$B$3:$B$150,$D$1,'Prof. Fee'!$D$3:$D$150,$A51)</f>
        <v>0</v>
      </c>
      <c r="T51" s="704">
        <f>SUMIFS('Prof. Fee'!AO$3:AO$150,'Prof. Fee'!$B$3:$B$150,$D$1,'Prof. Fee'!$D$3:$D$150,$A51)</f>
        <v>0</v>
      </c>
      <c r="U51" s="704">
        <f>SUMIFS('Prof. Fee'!AP$3:AP$150,'Prof. Fee'!$B$3:$B$150,$D$1,'Prof. Fee'!$D$3:$D$150,$A51)</f>
        <v>0</v>
      </c>
      <c r="V51" s="704">
        <f>SUMIFS('Prof. Fee'!AQ$3:AQ$150,'Prof. Fee'!$B$3:$B$150,$D$1,'Prof. Fee'!$D$3:$D$150,$A51)</f>
        <v>0</v>
      </c>
      <c r="W51" s="704">
        <f t="shared" si="25"/>
        <v>47638.799999999996</v>
      </c>
      <c r="Y51" s="688">
        <f>IFERROR(VLOOKUP($A51,'[92]1月'!$A:$H,8,0),0)</f>
        <v>0</v>
      </c>
      <c r="Z51" s="688">
        <f>IFERROR(VLOOKUP($A51,'[92]2月'!$A:$H,8,0),0)</f>
        <v>0</v>
      </c>
      <c r="AA51" s="688">
        <f>IFERROR(VLOOKUP($A51,'[92]3月'!$A:$H,8,0),0)</f>
        <v>0</v>
      </c>
      <c r="AB51" s="688">
        <f>IFERROR(VLOOKUP($A51,'[92]4月'!$A:$H,8,0),0)</f>
        <v>0</v>
      </c>
      <c r="AC51" s="688">
        <f>IFERROR(VLOOKUP($A51,'[92]5月'!$A:$H,8,0),0)</f>
        <v>0</v>
      </c>
      <c r="AD51" s="688">
        <f>IFERROR(VLOOKUP($A51,'[92]6月'!$A:$H,8,0),0)</f>
        <v>0</v>
      </c>
      <c r="AE51" s="688">
        <f>IFERROR(VLOOKUP($A51,'[92]7月'!$A:$H,8,0),0)</f>
        <v>0</v>
      </c>
      <c r="AF51" s="688">
        <f>IFERROR(VLOOKUP($A51,'[92]8月'!$A:$H,8,0),0)</f>
        <v>0</v>
      </c>
      <c r="AG51" s="688">
        <f>IFERROR(VLOOKUP($A51,'[92]9月'!$A:$H,8,0),0)</f>
        <v>0</v>
      </c>
      <c r="AH51" s="688">
        <f>IFERROR(VLOOKUP($A51,'[92]10月'!$A:$H,8,0),0)</f>
        <v>0</v>
      </c>
      <c r="AI51" s="688">
        <f>IFERROR(VLOOKUP($A51,'[92]11月'!$A:$H,8,0),0)</f>
        <v>0</v>
      </c>
      <c r="AJ51" s="688">
        <f>IFERROR(VLOOKUP($A51,'[92]12月'!$A:$H,8,0),0)</f>
        <v>0</v>
      </c>
      <c r="AK51" s="688">
        <f t="shared" si="37"/>
        <v>0</v>
      </c>
    </row>
    <row r="52" spans="1:37" ht="13.5" customHeight="1">
      <c r="A52" s="653" t="str">
        <f>'Budget-合并'!A52</f>
        <v>6602.04.05</v>
      </c>
      <c r="B52" s="653" t="str">
        <f>'Budget-合并'!B52</f>
        <v>招聘服务费</v>
      </c>
      <c r="C52" s="687" t="str">
        <f>'Budget-合并'!C52</f>
        <v>Employment Agency Fee</v>
      </c>
      <c r="D52" s="704">
        <f t="shared" si="30"/>
        <v>0</v>
      </c>
      <c r="E52" s="704" t="e">
        <f t="shared" si="31"/>
        <v>#N/A</v>
      </c>
      <c r="F52" s="704" t="e">
        <f t="shared" si="32"/>
        <v>#N/A</v>
      </c>
      <c r="G52" s="704">
        <f t="shared" ca="1" si="33"/>
        <v>0</v>
      </c>
      <c r="H52" s="704" t="e">
        <f t="shared" ca="1" si="34"/>
        <v>#N/A</v>
      </c>
      <c r="I52" s="704" t="e">
        <f t="shared" ca="1" si="35"/>
        <v>#N/A</v>
      </c>
      <c r="K52" s="704">
        <f>SUMIFS('Prof. Fee'!AF$3:AF$150,'Prof. Fee'!$B$3:$B$150,$D$1,'Prof. Fee'!$D$3:$D$150,$A52)</f>
        <v>0</v>
      </c>
      <c r="L52" s="704">
        <f>SUMIFS('Prof. Fee'!AG$3:AG$150,'Prof. Fee'!$B$3:$B$150,$D$1,'Prof. Fee'!$D$3:$D$150,$A52)</f>
        <v>0</v>
      </c>
      <c r="M52" s="704">
        <f>SUMIFS('Prof. Fee'!AH$3:AH$150,'Prof. Fee'!$B$3:$B$150,$D$1,'Prof. Fee'!$D$3:$D$150,$A52)</f>
        <v>0</v>
      </c>
      <c r="N52" s="704">
        <f>SUMIFS('Prof. Fee'!AI$3:AI$150,'Prof. Fee'!$B$3:$B$150,$D$1,'Prof. Fee'!$D$3:$D$150,$A52)</f>
        <v>0</v>
      </c>
      <c r="O52" s="704">
        <f>SUMIFS('Prof. Fee'!AJ$3:AJ$150,'Prof. Fee'!$B$3:$B$150,$D$1,'Prof. Fee'!$D$3:$D$150,$A52)</f>
        <v>0</v>
      </c>
      <c r="P52" s="704">
        <f>SUMIFS('Prof. Fee'!AK$3:AK$150,'Prof. Fee'!$B$3:$B$150,$D$1,'Prof. Fee'!$D$3:$D$150,$A52)</f>
        <v>0</v>
      </c>
      <c r="Q52" s="704">
        <f>SUMIFS('Prof. Fee'!AL$3:AL$150,'Prof. Fee'!$B$3:$B$150,$D$1,'Prof. Fee'!$D$3:$D$150,$A52)</f>
        <v>0</v>
      </c>
      <c r="R52" s="704">
        <f>SUMIFS('Prof. Fee'!AM$3:AM$150,'Prof. Fee'!$B$3:$B$150,$D$1,'Prof. Fee'!$D$3:$D$150,$A52)</f>
        <v>0</v>
      </c>
      <c r="S52" s="704">
        <f>SUMIFS('Prof. Fee'!AN$3:AN$150,'Prof. Fee'!$B$3:$B$150,$D$1,'Prof. Fee'!$D$3:$D$150,$A52)</f>
        <v>0</v>
      </c>
      <c r="T52" s="704">
        <f>SUMIFS('Prof. Fee'!AO$3:AO$150,'Prof. Fee'!$B$3:$B$150,$D$1,'Prof. Fee'!$D$3:$D$150,$A52)</f>
        <v>0</v>
      </c>
      <c r="U52" s="704">
        <f>SUMIFS('Prof. Fee'!AP$3:AP$150,'Prof. Fee'!$B$3:$B$150,$D$1,'Prof. Fee'!$D$3:$D$150,$A52)</f>
        <v>0</v>
      </c>
      <c r="V52" s="704">
        <f>SUMIFS('Prof. Fee'!AQ$3:AQ$150,'Prof. Fee'!$B$3:$B$150,$D$1,'Prof. Fee'!$D$3:$D$150,$A52)</f>
        <v>0</v>
      </c>
      <c r="W52" s="704">
        <f t="shared" si="25"/>
        <v>0</v>
      </c>
      <c r="Y52" s="688">
        <f>IFERROR(VLOOKUP($A52,'[92]1月'!$A:$H,8,0),0)</f>
        <v>0</v>
      </c>
      <c r="Z52" s="688">
        <f>IFERROR(VLOOKUP($A52,'[92]2月'!$A:$H,8,0),0)</f>
        <v>0</v>
      </c>
      <c r="AA52" s="688">
        <f>IFERROR(VLOOKUP($A52,'[92]3月'!$A:$H,8,0),0)</f>
        <v>0</v>
      </c>
      <c r="AB52" s="688">
        <f>IFERROR(VLOOKUP($A52,'[92]4月'!$A:$H,8,0),0)</f>
        <v>0</v>
      </c>
      <c r="AC52" s="688">
        <f>IFERROR(VLOOKUP($A52,'[92]5月'!$A:$H,8,0),0)</f>
        <v>0</v>
      </c>
      <c r="AD52" s="688">
        <f>IFERROR(VLOOKUP($A52,'[92]6月'!$A:$H,8,0),0)</f>
        <v>0</v>
      </c>
      <c r="AE52" s="688">
        <f>IFERROR(VLOOKUP($A52,'[92]7月'!$A:$H,8,0),0)</f>
        <v>0</v>
      </c>
      <c r="AF52" s="688">
        <f>IFERROR(VLOOKUP($A52,'[92]8月'!$A:$H,8,0),0)</f>
        <v>0</v>
      </c>
      <c r="AG52" s="688">
        <f>IFERROR(VLOOKUP($A52,'[92]9月'!$A:$H,8,0),0)</f>
        <v>0</v>
      </c>
      <c r="AH52" s="688">
        <f>IFERROR(VLOOKUP($A52,'[92]10月'!$A:$H,8,0),0)</f>
        <v>0</v>
      </c>
      <c r="AI52" s="688">
        <f>IFERROR(VLOOKUP($A52,'[92]11月'!$A:$H,8,0),0)</f>
        <v>0</v>
      </c>
      <c r="AJ52" s="688">
        <f>IFERROR(VLOOKUP($A52,'[92]12月'!$A:$H,8,0),0)</f>
        <v>0</v>
      </c>
      <c r="AK52" s="688">
        <f t="shared" si="37"/>
        <v>0</v>
      </c>
    </row>
    <row r="53" spans="1:37" ht="13.5" customHeight="1">
      <c r="A53" s="653" t="str">
        <f>'Budget-合并'!A53</f>
        <v>6602.04.06</v>
      </c>
      <c r="B53" s="653" t="str">
        <f>'Budget-合并'!B53</f>
        <v>法律服务费</v>
      </c>
      <c r="C53" s="687" t="str">
        <f>'Budget-合并'!C53</f>
        <v>Legal Fees</v>
      </c>
      <c r="D53" s="704">
        <f t="shared" si="30"/>
        <v>0</v>
      </c>
      <c r="E53" s="704" t="e">
        <f t="shared" si="31"/>
        <v>#N/A</v>
      </c>
      <c r="F53" s="704" t="e">
        <f t="shared" si="32"/>
        <v>#N/A</v>
      </c>
      <c r="G53" s="704">
        <f t="shared" ca="1" si="33"/>
        <v>0</v>
      </c>
      <c r="H53" s="704" t="e">
        <f t="shared" ca="1" si="34"/>
        <v>#N/A</v>
      </c>
      <c r="I53" s="704" t="e">
        <f t="shared" ca="1" si="35"/>
        <v>#N/A</v>
      </c>
      <c r="K53" s="704">
        <f>SUMIFS('Prof. Fee'!AF$3:AF$150,'Prof. Fee'!$B$3:$B$150,$D$1,'Prof. Fee'!$D$3:$D$150,$A53)</f>
        <v>0</v>
      </c>
      <c r="L53" s="704">
        <f>SUMIFS('Prof. Fee'!AG$3:AG$150,'Prof. Fee'!$B$3:$B$150,$D$1,'Prof. Fee'!$D$3:$D$150,$A53)</f>
        <v>0</v>
      </c>
      <c r="M53" s="704">
        <f>SUMIFS('Prof. Fee'!AH$3:AH$150,'Prof. Fee'!$B$3:$B$150,$D$1,'Prof. Fee'!$D$3:$D$150,$A53)</f>
        <v>0</v>
      </c>
      <c r="N53" s="704">
        <f>SUMIFS('Prof. Fee'!AI$3:AI$150,'Prof. Fee'!$B$3:$B$150,$D$1,'Prof. Fee'!$D$3:$D$150,$A53)</f>
        <v>0</v>
      </c>
      <c r="O53" s="704">
        <f>SUMIFS('Prof. Fee'!AJ$3:AJ$150,'Prof. Fee'!$B$3:$B$150,$D$1,'Prof. Fee'!$D$3:$D$150,$A53)</f>
        <v>0</v>
      </c>
      <c r="P53" s="704">
        <f>SUMIFS('Prof. Fee'!AK$3:AK$150,'Prof. Fee'!$B$3:$B$150,$D$1,'Prof. Fee'!$D$3:$D$150,$A53)</f>
        <v>0</v>
      </c>
      <c r="Q53" s="704">
        <f>SUMIFS('Prof. Fee'!AL$3:AL$150,'Prof. Fee'!$B$3:$B$150,$D$1,'Prof. Fee'!$D$3:$D$150,$A53)</f>
        <v>0</v>
      </c>
      <c r="R53" s="704">
        <f>SUMIFS('Prof. Fee'!AM$3:AM$150,'Prof. Fee'!$B$3:$B$150,$D$1,'Prof. Fee'!$D$3:$D$150,$A53)</f>
        <v>35288</v>
      </c>
      <c r="S53" s="704">
        <f>SUMIFS('Prof. Fee'!AN$3:AN$150,'Prof. Fee'!$B$3:$B$150,$D$1,'Prof. Fee'!$D$3:$D$150,$A53)</f>
        <v>35288</v>
      </c>
      <c r="T53" s="704">
        <f>SUMIFS('Prof. Fee'!AO$3:AO$150,'Prof. Fee'!$B$3:$B$150,$D$1,'Prof. Fee'!$D$3:$D$150,$A53)</f>
        <v>35288</v>
      </c>
      <c r="U53" s="704">
        <f>SUMIFS('Prof. Fee'!AP$3:AP$150,'Prof. Fee'!$B$3:$B$150,$D$1,'Prof. Fee'!$D$3:$D$150,$A53)</f>
        <v>35288</v>
      </c>
      <c r="V53" s="704">
        <f>SUMIFS('Prof. Fee'!AQ$3:AQ$150,'Prof. Fee'!$B$3:$B$150,$D$1,'Prof. Fee'!$D$3:$D$150,$A53)</f>
        <v>35288</v>
      </c>
      <c r="W53" s="704">
        <f t="shared" si="25"/>
        <v>176440</v>
      </c>
      <c r="Y53" s="688">
        <f>IFERROR(VLOOKUP($A53,'[92]1月'!$A:$H,8,0),0)</f>
        <v>0</v>
      </c>
      <c r="Z53" s="688">
        <f>IFERROR(VLOOKUP($A53,'[92]2月'!$A:$H,8,0),0)</f>
        <v>0</v>
      </c>
      <c r="AA53" s="688">
        <f>IFERROR(VLOOKUP($A53,'[92]3月'!$A:$H,8,0),0)</f>
        <v>0</v>
      </c>
      <c r="AB53" s="688">
        <f>IFERROR(VLOOKUP($A53,'[92]4月'!$A:$H,8,0),0)</f>
        <v>0</v>
      </c>
      <c r="AC53" s="688">
        <f>IFERROR(VLOOKUP($A53,'[92]5月'!$A:$H,8,0),0)</f>
        <v>6180</v>
      </c>
      <c r="AD53" s="688">
        <f>IFERROR(VLOOKUP($A53,'[92]6月'!$A:$H,8,0),0)</f>
        <v>0</v>
      </c>
      <c r="AE53" s="688">
        <f>IFERROR(VLOOKUP($A53,'[92]7月'!$A:$H,8,0),0)</f>
        <v>0</v>
      </c>
      <c r="AF53" s="688">
        <f>IFERROR(VLOOKUP($A53,'[92]8月'!$A:$H,8,0),0)</f>
        <v>0</v>
      </c>
      <c r="AG53" s="688">
        <f>IFERROR(VLOOKUP($A53,'[92]9月'!$A:$H,8,0),0)</f>
        <v>0</v>
      </c>
      <c r="AH53" s="688">
        <f>IFERROR(VLOOKUP($A53,'[92]10月'!$A:$H,8,0),0)</f>
        <v>0</v>
      </c>
      <c r="AI53" s="688">
        <f>IFERROR(VLOOKUP($A53,'[92]11月'!$A:$H,8,0),0)</f>
        <v>0</v>
      </c>
      <c r="AJ53" s="688">
        <f>IFERROR(VLOOKUP($A53,'[92]12月'!$A:$H,8,0),0)</f>
        <v>0</v>
      </c>
      <c r="AK53" s="688">
        <f t="shared" si="37"/>
        <v>6180</v>
      </c>
    </row>
    <row r="54" spans="1:37" ht="13.5" customHeight="1">
      <c r="A54" s="653" t="str">
        <f>'Budget-合并'!A54</f>
        <v>6602.04.07</v>
      </c>
      <c r="B54" s="653" t="str">
        <f>'Budget-合并'!B54</f>
        <v>人力资源服务费</v>
      </c>
      <c r="C54" s="687" t="str">
        <f>'Budget-合并'!C54</f>
        <v>Payroll Services</v>
      </c>
      <c r="D54" s="704">
        <f t="shared" si="30"/>
        <v>2224.9749999999999</v>
      </c>
      <c r="E54" s="704" t="e">
        <f t="shared" si="31"/>
        <v>#N/A</v>
      </c>
      <c r="F54" s="704" t="e">
        <f t="shared" si="32"/>
        <v>#N/A</v>
      </c>
      <c r="G54" s="704">
        <f t="shared" ca="1" si="33"/>
        <v>2224.9749999999999</v>
      </c>
      <c r="H54" s="704" t="e">
        <f t="shared" ca="1" si="34"/>
        <v>#N/A</v>
      </c>
      <c r="I54" s="704" t="e">
        <f t="shared" ca="1" si="35"/>
        <v>#N/A</v>
      </c>
      <c r="K54" s="704">
        <f>SUMIFS('Prof. Fee'!AF$3:AF$150,'Prof. Fee'!$B$3:$B$150,$D$1,'Prof. Fee'!$D$3:$D$150,$A54)</f>
        <v>2224.9749999999999</v>
      </c>
      <c r="L54" s="704">
        <f>SUMIFS('Prof. Fee'!AG$3:AG$150,'Prof. Fee'!$B$3:$B$150,$D$1,'Prof. Fee'!$D$3:$D$150,$A54)</f>
        <v>2205.5</v>
      </c>
      <c r="M54" s="704">
        <f>SUMIFS('Prof. Fee'!AH$3:AH$150,'Prof. Fee'!$B$3:$B$150,$D$1,'Prof. Fee'!$D$3:$D$150,$A54)</f>
        <v>2205.5</v>
      </c>
      <c r="N54" s="704">
        <f>SUMIFS('Prof. Fee'!AI$3:AI$150,'Prof. Fee'!$B$3:$B$150,$D$1,'Prof. Fee'!$D$3:$D$150,$A54)</f>
        <v>2205.5</v>
      </c>
      <c r="O54" s="704">
        <f>SUMIFS('Prof. Fee'!AJ$3:AJ$150,'Prof. Fee'!$B$3:$B$150,$D$1,'Prof. Fee'!$D$3:$D$150,$A54)</f>
        <v>2205.5</v>
      </c>
      <c r="P54" s="704">
        <f>SUMIFS('Prof. Fee'!AK$3:AK$150,'Prof. Fee'!$B$3:$B$150,$D$1,'Prof. Fee'!$D$3:$D$150,$A54)</f>
        <v>2205.5</v>
      </c>
      <c r="Q54" s="704">
        <f>SUMIFS('Prof. Fee'!AL$3:AL$150,'Prof. Fee'!$B$3:$B$150,$D$1,'Prof. Fee'!$D$3:$D$150,$A54)</f>
        <v>2205.5</v>
      </c>
      <c r="R54" s="704">
        <f>SUMIFS('Prof. Fee'!AM$3:AM$150,'Prof. Fee'!$B$3:$B$150,$D$1,'Prof. Fee'!$D$3:$D$150,$A54)</f>
        <v>2205.5</v>
      </c>
      <c r="S54" s="704">
        <f>SUMIFS('Prof. Fee'!AN$3:AN$150,'Prof. Fee'!$B$3:$B$150,$D$1,'Prof. Fee'!$D$3:$D$150,$A54)</f>
        <v>2205.5</v>
      </c>
      <c r="T54" s="704">
        <f>SUMIFS('Prof. Fee'!AO$3:AO$150,'Prof. Fee'!$B$3:$B$150,$D$1,'Prof. Fee'!$D$3:$D$150,$A54)</f>
        <v>2205.5</v>
      </c>
      <c r="U54" s="704">
        <f>SUMIFS('Prof. Fee'!AP$3:AP$150,'Prof. Fee'!$B$3:$B$150,$D$1,'Prof. Fee'!$D$3:$D$150,$A54)</f>
        <v>2205.5</v>
      </c>
      <c r="V54" s="704">
        <f>SUMIFS('Prof. Fee'!AQ$3:AQ$150,'Prof. Fee'!$B$3:$B$150,$D$1,'Prof. Fee'!$D$3:$D$150,$A54)</f>
        <v>2205.5</v>
      </c>
      <c r="W54" s="704">
        <f t="shared" si="25"/>
        <v>26485.474999999999</v>
      </c>
      <c r="Y54" s="688">
        <f>IFERROR(VLOOKUP($A54,'[92]1月'!$A:$H,8,0),0)</f>
        <v>2500</v>
      </c>
      <c r="Z54" s="688">
        <f>IFERROR(VLOOKUP($A54,'[92]2月'!$A:$H,8,0),0)</f>
        <v>2500</v>
      </c>
      <c r="AA54" s="688">
        <f>IFERROR(VLOOKUP($A54,'[92]3月'!$A:$H,8,0),0)</f>
        <v>2500</v>
      </c>
      <c r="AB54" s="688">
        <f>IFERROR(VLOOKUP($A54,'[92]4月'!$A:$H,8,0),0)</f>
        <v>2500</v>
      </c>
      <c r="AC54" s="688">
        <f>IFERROR(VLOOKUP($A54,'[92]5月'!$A:$H,8,0),0)</f>
        <v>6000</v>
      </c>
      <c r="AD54" s="688">
        <f>IFERROR(VLOOKUP($A54,'[92]6月'!$A:$H,8,0),0)</f>
        <v>2500</v>
      </c>
      <c r="AE54" s="688">
        <f>IFERROR(VLOOKUP($A54,'[92]7月'!$A:$H,8,0),0)</f>
        <v>2500</v>
      </c>
      <c r="AF54" s="688">
        <f>IFERROR(VLOOKUP($A54,'[92]8月'!$A:$H,8,0),0)</f>
        <v>2500</v>
      </c>
      <c r="AG54" s="688">
        <f>IFERROR(VLOOKUP($A54,'[92]9月'!$A:$H,8,0),0)</f>
        <v>2500</v>
      </c>
      <c r="AH54" s="688">
        <f>IFERROR(VLOOKUP($A54,'[92]10月'!$A:$H,8,0),0)</f>
        <v>2500</v>
      </c>
      <c r="AI54" s="688">
        <f>IFERROR(VLOOKUP($A54,'[92]11月'!$A:$H,8,0),0)</f>
        <v>6500</v>
      </c>
      <c r="AJ54" s="688">
        <f>IFERROR(VLOOKUP($A54,'[92]12月'!$A:$H,8,0),0)</f>
        <v>2500</v>
      </c>
      <c r="AK54" s="688">
        <f t="shared" si="37"/>
        <v>37500</v>
      </c>
    </row>
    <row r="55" spans="1:37" ht="13.5" customHeight="1">
      <c r="A55" s="653" t="str">
        <f>'Budget-合并'!A55</f>
        <v>6602.04.08</v>
      </c>
      <c r="B55" s="653" t="str">
        <f>'Budget-合并'!B55</f>
        <v>背景调查费</v>
      </c>
      <c r="C55" s="687" t="str">
        <f>'Budget-合并'!C55</f>
        <v>Employee Background Check</v>
      </c>
      <c r="D55" s="704">
        <f t="shared" si="30"/>
        <v>0</v>
      </c>
      <c r="E55" s="704" t="e">
        <f t="shared" si="31"/>
        <v>#N/A</v>
      </c>
      <c r="F55" s="704" t="e">
        <f t="shared" si="32"/>
        <v>#N/A</v>
      </c>
      <c r="G55" s="704">
        <f t="shared" ca="1" si="33"/>
        <v>0</v>
      </c>
      <c r="H55" s="704" t="e">
        <f t="shared" ca="1" si="34"/>
        <v>#N/A</v>
      </c>
      <c r="I55" s="704" t="e">
        <f t="shared" ca="1" si="35"/>
        <v>#N/A</v>
      </c>
      <c r="K55" s="704">
        <f>SUMIFS('Other Exp'!AG$3:AG$196,'Other Exp'!$B$3:$B$196,$D$1,'Other Exp'!$C$3:$C$196,$A55)</f>
        <v>0</v>
      </c>
      <c r="L55" s="704">
        <f>SUMIFS('Other Exp'!AH$3:AH$196,'Other Exp'!$B$3:$B$196,$D$1,'Other Exp'!$C$3:$C$196,$A55)</f>
        <v>0</v>
      </c>
      <c r="M55" s="704">
        <f>SUMIFS('Other Exp'!AI$3:AI$196,'Other Exp'!$B$3:$B$196,$D$1,'Other Exp'!$C$3:$C$196,$A55)</f>
        <v>0</v>
      </c>
      <c r="N55" s="704">
        <f>SUMIFS('Other Exp'!AJ$3:AJ$196,'Other Exp'!$B$3:$B$196,$D$1,'Other Exp'!$C$3:$C$196,$A55)</f>
        <v>0</v>
      </c>
      <c r="O55" s="704">
        <f>SUMIFS('Other Exp'!AK$3:AK$196,'Other Exp'!$B$3:$B$196,$D$1,'Other Exp'!$C$3:$C$196,$A55)</f>
        <v>0</v>
      </c>
      <c r="P55" s="704">
        <f>SUMIFS('Other Exp'!AL$3:AL$196,'Other Exp'!$B$3:$B$196,$D$1,'Other Exp'!$C$3:$C$196,$A55)</f>
        <v>0</v>
      </c>
      <c r="Q55" s="704">
        <f>SUMIFS('Other Exp'!AM$3:AM$196,'Other Exp'!$B$3:$B$196,$D$1,'Other Exp'!$C$3:$C$196,$A55)</f>
        <v>0</v>
      </c>
      <c r="R55" s="704">
        <f>SUMIFS('Other Exp'!AN$3:AN$196,'Other Exp'!$B$3:$B$196,$D$1,'Other Exp'!$C$3:$C$196,$A55)</f>
        <v>0</v>
      </c>
      <c r="S55" s="704">
        <f>SUMIFS('Other Exp'!AO$3:AO$196,'Other Exp'!$B$3:$B$196,$D$1,'Other Exp'!$C$3:$C$196,$A55)</f>
        <v>0</v>
      </c>
      <c r="T55" s="704">
        <f>SUMIFS('Other Exp'!AP$3:AP$196,'Other Exp'!$B$3:$B$196,$D$1,'Other Exp'!$C$3:$C$196,$A55)</f>
        <v>0</v>
      </c>
      <c r="U55" s="704">
        <f>SUMIFS('Other Exp'!AQ$3:AQ$196,'Other Exp'!$B$3:$B$196,$D$1,'Other Exp'!$C$3:$C$196,$A55)</f>
        <v>0</v>
      </c>
      <c r="V55" s="704">
        <f>SUMIFS('Other Exp'!AR$3:AR$196,'Other Exp'!$B$3:$B$196,$D$1,'Other Exp'!$C$3:$C$196,$A55)</f>
        <v>0</v>
      </c>
      <c r="W55" s="704">
        <f t="shared" si="25"/>
        <v>0</v>
      </c>
      <c r="Y55" s="688">
        <f>IFERROR(VLOOKUP($A55,'[92]1月'!$A:$H,8,0),0)</f>
        <v>0</v>
      </c>
      <c r="Z55" s="688">
        <f>IFERROR(VLOOKUP($A55,'[92]2月'!$A:$H,8,0),0)</f>
        <v>0</v>
      </c>
      <c r="AA55" s="688">
        <f>IFERROR(VLOOKUP($A55,'[92]3月'!$A:$H,8,0),0)</f>
        <v>0</v>
      </c>
      <c r="AB55" s="688">
        <f>IFERROR(VLOOKUP($A55,'[92]4月'!$A:$H,8,0),0)</f>
        <v>0</v>
      </c>
      <c r="AC55" s="688">
        <f>IFERROR(VLOOKUP($A55,'[92]5月'!$A:$H,8,0),0)</f>
        <v>0</v>
      </c>
      <c r="AD55" s="688">
        <f>IFERROR(VLOOKUP($A55,'[92]6月'!$A:$H,8,0),0)</f>
        <v>0</v>
      </c>
      <c r="AE55" s="688">
        <f>IFERROR(VLOOKUP($A55,'[92]7月'!$A:$H,8,0),0)</f>
        <v>0</v>
      </c>
      <c r="AF55" s="688">
        <f>IFERROR(VLOOKUP($A55,'[92]8月'!$A:$H,8,0),0)</f>
        <v>0</v>
      </c>
      <c r="AG55" s="688">
        <f>IFERROR(VLOOKUP($A55,'[92]9月'!$A:$H,8,0),0)</f>
        <v>0</v>
      </c>
      <c r="AH55" s="688">
        <f>IFERROR(VLOOKUP($A55,'[92]10月'!$A:$H,8,0),0)</f>
        <v>0</v>
      </c>
      <c r="AI55" s="688">
        <f>IFERROR(VLOOKUP($A55,'[92]11月'!$A:$H,8,0),0)</f>
        <v>0</v>
      </c>
      <c r="AJ55" s="688">
        <f>IFERROR(VLOOKUP($A55,'[92]12月'!$A:$H,8,0),0)</f>
        <v>0</v>
      </c>
      <c r="AK55" s="688">
        <f t="shared" si="37"/>
        <v>0</v>
      </c>
    </row>
    <row r="56" spans="1:37" ht="13.5" customHeight="1">
      <c r="A56" s="653" t="str">
        <f>'Budget-合并'!A56</f>
        <v>6602.04.09</v>
      </c>
      <c r="B56" s="653" t="str">
        <f>'Budget-合并'!B56</f>
        <v>翻译服务费</v>
      </c>
      <c r="C56" s="687">
        <f>'Budget-合并'!C56</f>
        <v>0</v>
      </c>
      <c r="D56" s="704">
        <f t="shared" si="30"/>
        <v>0</v>
      </c>
      <c r="E56" s="704" t="e">
        <f t="shared" si="31"/>
        <v>#N/A</v>
      </c>
      <c r="F56" s="704" t="e">
        <f t="shared" si="32"/>
        <v>#N/A</v>
      </c>
      <c r="G56" s="704">
        <f t="shared" ca="1" si="33"/>
        <v>0</v>
      </c>
      <c r="H56" s="704" t="e">
        <f t="shared" ca="1" si="34"/>
        <v>#N/A</v>
      </c>
      <c r="I56" s="704" t="e">
        <f t="shared" ca="1" si="35"/>
        <v>#N/A</v>
      </c>
      <c r="K56" s="704">
        <f>SUMIFS('Prof. Fee'!AF$3:AF$150,'Prof. Fee'!$B$3:$B$150,$D$1,'Prof. Fee'!$D$3:$D$150,$A56)</f>
        <v>0</v>
      </c>
      <c r="L56" s="704">
        <f>SUMIFS('Prof. Fee'!AG$3:AG$150,'Prof. Fee'!$B$3:$B$150,$D$1,'Prof. Fee'!$D$3:$D$150,$A56)</f>
        <v>0</v>
      </c>
      <c r="M56" s="704">
        <f>SUMIFS('Prof. Fee'!AH$3:AH$150,'Prof. Fee'!$B$3:$B$150,$D$1,'Prof. Fee'!$D$3:$D$150,$A56)</f>
        <v>0</v>
      </c>
      <c r="N56" s="704">
        <f>SUMIFS('Prof. Fee'!AI$3:AI$150,'Prof. Fee'!$B$3:$B$150,$D$1,'Prof. Fee'!$D$3:$D$150,$A56)</f>
        <v>0</v>
      </c>
      <c r="O56" s="704">
        <f>SUMIFS('Prof. Fee'!AJ$3:AJ$150,'Prof. Fee'!$B$3:$B$150,$D$1,'Prof. Fee'!$D$3:$D$150,$A56)</f>
        <v>0</v>
      </c>
      <c r="P56" s="704">
        <f>SUMIFS('Prof. Fee'!AK$3:AK$150,'Prof. Fee'!$B$3:$B$150,$D$1,'Prof. Fee'!$D$3:$D$150,$A56)</f>
        <v>0</v>
      </c>
      <c r="Q56" s="704">
        <f>SUMIFS('Prof. Fee'!AL$3:AL$150,'Prof. Fee'!$B$3:$B$150,$D$1,'Prof. Fee'!$D$3:$D$150,$A56)</f>
        <v>0</v>
      </c>
      <c r="R56" s="704">
        <f>SUMIFS('Prof. Fee'!AM$3:AM$150,'Prof. Fee'!$B$3:$B$150,$D$1,'Prof. Fee'!$D$3:$D$150,$A56)</f>
        <v>0</v>
      </c>
      <c r="S56" s="704">
        <f>SUMIFS('Prof. Fee'!AN$3:AN$150,'Prof. Fee'!$B$3:$B$150,$D$1,'Prof. Fee'!$D$3:$D$150,$A56)</f>
        <v>0</v>
      </c>
      <c r="T56" s="704">
        <f>SUMIFS('Prof. Fee'!AO$3:AO$150,'Prof. Fee'!$B$3:$B$150,$D$1,'Prof. Fee'!$D$3:$D$150,$A56)</f>
        <v>0</v>
      </c>
      <c r="U56" s="704">
        <f>SUMIFS('Prof. Fee'!AP$3:AP$150,'Prof. Fee'!$B$3:$B$150,$D$1,'Prof. Fee'!$D$3:$D$150,$A56)</f>
        <v>0</v>
      </c>
      <c r="V56" s="704">
        <f>SUMIFS('Prof. Fee'!AQ$3:AQ$150,'Prof. Fee'!$B$3:$B$150,$D$1,'Prof. Fee'!$D$3:$D$150,$A56)</f>
        <v>0</v>
      </c>
      <c r="W56" s="704">
        <f t="shared" si="25"/>
        <v>0</v>
      </c>
      <c r="Y56" s="688">
        <f>IFERROR(VLOOKUP($A56,'[92]1月'!$A:$H,8,0),0)</f>
        <v>0</v>
      </c>
      <c r="Z56" s="688">
        <f>IFERROR(VLOOKUP($A56,'[92]2月'!$A:$H,8,0),0)</f>
        <v>0</v>
      </c>
      <c r="AA56" s="688">
        <f>IFERROR(VLOOKUP($A56,'[92]3月'!$A:$H,8,0),0)</f>
        <v>0</v>
      </c>
      <c r="AB56" s="688">
        <f>IFERROR(VLOOKUP($A56,'[92]4月'!$A:$H,8,0),0)</f>
        <v>0</v>
      </c>
      <c r="AC56" s="688">
        <f>IFERROR(VLOOKUP($A56,'[92]5月'!$A:$H,8,0),0)</f>
        <v>0</v>
      </c>
      <c r="AD56" s="688">
        <f>IFERROR(VLOOKUP($A56,'[92]6月'!$A:$H,8,0),0)</f>
        <v>0</v>
      </c>
      <c r="AE56" s="688">
        <f>IFERROR(VLOOKUP($A56,'[92]7月'!$A:$H,8,0),0)</f>
        <v>0</v>
      </c>
      <c r="AF56" s="688">
        <f>IFERROR(VLOOKUP($A56,'[92]8月'!$A:$H,8,0),0)</f>
        <v>0</v>
      </c>
      <c r="AG56" s="688">
        <f>IFERROR(VLOOKUP($A56,'[92]9月'!$A:$H,8,0),0)</f>
        <v>0</v>
      </c>
      <c r="AH56" s="688">
        <f>IFERROR(VLOOKUP($A56,'[92]10月'!$A:$H,8,0),0)</f>
        <v>0</v>
      </c>
      <c r="AI56" s="688">
        <f>IFERROR(VLOOKUP($A56,'[92]11月'!$A:$H,8,0),0)</f>
        <v>0</v>
      </c>
      <c r="AJ56" s="688">
        <f>IFERROR(VLOOKUP($A56,'[92]12月'!$A:$H,8,0),0)</f>
        <v>0</v>
      </c>
      <c r="AK56" s="688">
        <f t="shared" si="37"/>
        <v>0</v>
      </c>
    </row>
    <row r="57" spans="1:37" ht="13.5" customHeight="1">
      <c r="A57" s="653" t="str">
        <f>'Budget-合并'!A57</f>
        <v>6602.04.10</v>
      </c>
      <c r="B57" s="653" t="str">
        <f>'Budget-合并'!B57</f>
        <v>评估费</v>
      </c>
      <c r="C57" s="687">
        <f>'Budget-合并'!C57</f>
        <v>0</v>
      </c>
      <c r="D57" s="704">
        <f t="shared" si="30"/>
        <v>0</v>
      </c>
      <c r="E57" s="704" t="e">
        <f t="shared" si="31"/>
        <v>#N/A</v>
      </c>
      <c r="F57" s="704" t="e">
        <f t="shared" si="32"/>
        <v>#N/A</v>
      </c>
      <c r="G57" s="704">
        <f t="shared" ca="1" si="33"/>
        <v>0</v>
      </c>
      <c r="H57" s="704" t="e">
        <f t="shared" ca="1" si="34"/>
        <v>#N/A</v>
      </c>
      <c r="I57" s="704" t="e">
        <f t="shared" ca="1" si="35"/>
        <v>#N/A</v>
      </c>
      <c r="K57" s="704">
        <f>SUMIFS('Prof. Fee'!AF$3:AF$150,'Prof. Fee'!$B$3:$B$150,$D$1,'Prof. Fee'!$D$3:$D$150,$A57)</f>
        <v>0</v>
      </c>
      <c r="L57" s="704">
        <f>SUMIFS('Prof. Fee'!AG$3:AG$150,'Prof. Fee'!$B$3:$B$150,$D$1,'Prof. Fee'!$D$3:$D$150,$A57)</f>
        <v>0</v>
      </c>
      <c r="M57" s="704">
        <f>SUMIFS('Prof. Fee'!AH$3:AH$150,'Prof. Fee'!$B$3:$B$150,$D$1,'Prof. Fee'!$D$3:$D$150,$A57)</f>
        <v>0</v>
      </c>
      <c r="N57" s="704">
        <f>SUMIFS('Prof. Fee'!AI$3:AI$150,'Prof. Fee'!$B$3:$B$150,$D$1,'Prof. Fee'!$D$3:$D$150,$A57)</f>
        <v>0</v>
      </c>
      <c r="O57" s="704">
        <f>SUMIFS('Prof. Fee'!AJ$3:AJ$150,'Prof. Fee'!$B$3:$B$150,$D$1,'Prof. Fee'!$D$3:$D$150,$A57)</f>
        <v>0</v>
      </c>
      <c r="P57" s="704">
        <f>SUMIFS('Prof. Fee'!AK$3:AK$150,'Prof. Fee'!$B$3:$B$150,$D$1,'Prof. Fee'!$D$3:$D$150,$A57)</f>
        <v>0</v>
      </c>
      <c r="Q57" s="704">
        <f>SUMIFS('Prof. Fee'!AL$3:AL$150,'Prof. Fee'!$B$3:$B$150,$D$1,'Prof. Fee'!$D$3:$D$150,$A57)</f>
        <v>0</v>
      </c>
      <c r="R57" s="704">
        <f>SUMIFS('Prof. Fee'!AM$3:AM$150,'Prof. Fee'!$B$3:$B$150,$D$1,'Prof. Fee'!$D$3:$D$150,$A57)</f>
        <v>0</v>
      </c>
      <c r="S57" s="704">
        <f>SUMIFS('Prof. Fee'!AN$3:AN$150,'Prof. Fee'!$B$3:$B$150,$D$1,'Prof. Fee'!$D$3:$D$150,$A57)</f>
        <v>0</v>
      </c>
      <c r="T57" s="704">
        <f>SUMIFS('Prof. Fee'!AO$3:AO$150,'Prof. Fee'!$B$3:$B$150,$D$1,'Prof. Fee'!$D$3:$D$150,$A57)</f>
        <v>0</v>
      </c>
      <c r="U57" s="704">
        <f>SUMIFS('Prof. Fee'!AP$3:AP$150,'Prof. Fee'!$B$3:$B$150,$D$1,'Prof. Fee'!$D$3:$D$150,$A57)</f>
        <v>0</v>
      </c>
      <c r="V57" s="704">
        <f>SUMIFS('Prof. Fee'!AQ$3:AQ$150,'Prof. Fee'!$B$3:$B$150,$D$1,'Prof. Fee'!$D$3:$D$150,$A57)</f>
        <v>0</v>
      </c>
      <c r="W57" s="704">
        <f t="shared" si="25"/>
        <v>0</v>
      </c>
      <c r="Y57" s="688">
        <f>IFERROR(VLOOKUP($A57,'[92]1月'!$A:$H,8,0),0)</f>
        <v>0</v>
      </c>
      <c r="Z57" s="688">
        <f>IFERROR(VLOOKUP($A57,'[92]2月'!$A:$H,8,0),0)</f>
        <v>0</v>
      </c>
      <c r="AA57" s="688">
        <f>IFERROR(VLOOKUP($A57,'[92]3月'!$A:$H,8,0),0)</f>
        <v>0</v>
      </c>
      <c r="AB57" s="688">
        <f>IFERROR(VLOOKUP($A57,'[92]4月'!$A:$H,8,0),0)</f>
        <v>0</v>
      </c>
      <c r="AC57" s="688">
        <f>IFERROR(VLOOKUP($A57,'[92]5月'!$A:$H,8,0),0)</f>
        <v>0</v>
      </c>
      <c r="AD57" s="688">
        <f>IFERROR(VLOOKUP($A57,'[92]6月'!$A:$H,8,0),0)</f>
        <v>0</v>
      </c>
      <c r="AE57" s="688">
        <f>IFERROR(VLOOKUP($A57,'[92]7月'!$A:$H,8,0),0)</f>
        <v>0</v>
      </c>
      <c r="AF57" s="688">
        <f>IFERROR(VLOOKUP($A57,'[92]8月'!$A:$H,8,0),0)</f>
        <v>0</v>
      </c>
      <c r="AG57" s="688">
        <f>IFERROR(VLOOKUP($A57,'[92]9月'!$A:$H,8,0),0)</f>
        <v>0</v>
      </c>
      <c r="AH57" s="688">
        <f>IFERROR(VLOOKUP($A57,'[92]10月'!$A:$H,8,0),0)</f>
        <v>0</v>
      </c>
      <c r="AI57" s="688">
        <f>IFERROR(VLOOKUP($A57,'[92]11月'!$A:$H,8,0),0)</f>
        <v>0</v>
      </c>
      <c r="AJ57" s="688">
        <f>IFERROR(VLOOKUP($A57,'[92]12月'!$A:$H,8,0),0)</f>
        <v>0</v>
      </c>
      <c r="AK57" s="688">
        <f t="shared" si="37"/>
        <v>0</v>
      </c>
    </row>
    <row r="58" spans="1:37" ht="13.5" customHeight="1">
      <c r="A58" s="653" t="str">
        <f>'Budget-合并'!A58</f>
        <v>6602.04.11</v>
      </c>
      <c r="B58" s="653" t="str">
        <f>'Budget-合并'!B58</f>
        <v>技术服务费</v>
      </c>
      <c r="C58" s="687">
        <f>'Budget-合并'!C58</f>
        <v>0</v>
      </c>
      <c r="D58" s="704">
        <f t="shared" si="30"/>
        <v>0</v>
      </c>
      <c r="E58" s="704" t="e">
        <f t="shared" si="31"/>
        <v>#N/A</v>
      </c>
      <c r="F58" s="704" t="e">
        <f t="shared" si="32"/>
        <v>#N/A</v>
      </c>
      <c r="G58" s="704">
        <f t="shared" ca="1" si="33"/>
        <v>0</v>
      </c>
      <c r="H58" s="704" t="e">
        <f t="shared" ca="1" si="34"/>
        <v>#N/A</v>
      </c>
      <c r="I58" s="704" t="e">
        <f t="shared" ca="1" si="35"/>
        <v>#N/A</v>
      </c>
      <c r="K58" s="704">
        <f>SUMIFS('Prof. Fee'!AF$3:AF$150,'Prof. Fee'!$B$3:$B$150,$D$1,'Prof. Fee'!$D$3:$D$150,$A58)</f>
        <v>0</v>
      </c>
      <c r="L58" s="704">
        <f>SUMIFS('Prof. Fee'!AG$3:AG$150,'Prof. Fee'!$B$3:$B$150,$D$1,'Prof. Fee'!$D$3:$D$150,$A58)</f>
        <v>0</v>
      </c>
      <c r="M58" s="704">
        <f>SUMIFS('Prof. Fee'!AH$3:AH$150,'Prof. Fee'!$B$3:$B$150,$D$1,'Prof. Fee'!$D$3:$D$150,$A58)</f>
        <v>0</v>
      </c>
      <c r="N58" s="704">
        <f>SUMIFS('Prof. Fee'!AI$3:AI$150,'Prof. Fee'!$B$3:$B$150,$D$1,'Prof. Fee'!$D$3:$D$150,$A58)</f>
        <v>0</v>
      </c>
      <c r="O58" s="704">
        <f>SUMIFS('Prof. Fee'!AJ$3:AJ$150,'Prof. Fee'!$B$3:$B$150,$D$1,'Prof. Fee'!$D$3:$D$150,$A58)</f>
        <v>0</v>
      </c>
      <c r="P58" s="704">
        <f>SUMIFS('Prof. Fee'!AK$3:AK$150,'Prof. Fee'!$B$3:$B$150,$D$1,'Prof. Fee'!$D$3:$D$150,$A58)</f>
        <v>0</v>
      </c>
      <c r="Q58" s="704">
        <f>SUMIFS('Prof. Fee'!AL$3:AL$150,'Prof. Fee'!$B$3:$B$150,$D$1,'Prof. Fee'!$D$3:$D$150,$A58)</f>
        <v>0</v>
      </c>
      <c r="R58" s="704">
        <f>SUMIFS('Prof. Fee'!AM$3:AM$150,'Prof. Fee'!$B$3:$B$150,$D$1,'Prof. Fee'!$D$3:$D$150,$A58)</f>
        <v>0</v>
      </c>
      <c r="S58" s="704">
        <f>SUMIFS('Prof. Fee'!AN$3:AN$150,'Prof. Fee'!$B$3:$B$150,$D$1,'Prof. Fee'!$D$3:$D$150,$A58)</f>
        <v>0</v>
      </c>
      <c r="T58" s="704">
        <f>SUMIFS('Prof. Fee'!AO$3:AO$150,'Prof. Fee'!$B$3:$B$150,$D$1,'Prof. Fee'!$D$3:$D$150,$A58)</f>
        <v>0</v>
      </c>
      <c r="U58" s="704">
        <f>SUMIFS('Prof. Fee'!AP$3:AP$150,'Prof. Fee'!$B$3:$B$150,$D$1,'Prof. Fee'!$D$3:$D$150,$A58)</f>
        <v>0</v>
      </c>
      <c r="V58" s="704">
        <f>SUMIFS('Prof. Fee'!AQ$3:AQ$150,'Prof. Fee'!$B$3:$B$150,$D$1,'Prof. Fee'!$D$3:$D$150,$A58)</f>
        <v>0</v>
      </c>
      <c r="W58" s="704">
        <f t="shared" si="25"/>
        <v>0</v>
      </c>
      <c r="Y58" s="688">
        <f>IFERROR(VLOOKUP($A58,'[92]1月'!$A:$H,8,0),0)</f>
        <v>0</v>
      </c>
      <c r="Z58" s="688">
        <f>IFERROR(VLOOKUP($A58,'[92]2月'!$A:$H,8,0),0)</f>
        <v>0</v>
      </c>
      <c r="AA58" s="688">
        <f>IFERROR(VLOOKUP($A58,'[92]3月'!$A:$H,8,0),0)</f>
        <v>0</v>
      </c>
      <c r="AB58" s="688">
        <f>IFERROR(VLOOKUP($A58,'[92]4月'!$A:$H,8,0),0)</f>
        <v>0</v>
      </c>
      <c r="AC58" s="688">
        <f>IFERROR(VLOOKUP($A58,'[92]5月'!$A:$H,8,0),0)</f>
        <v>0</v>
      </c>
      <c r="AD58" s="688">
        <f>IFERROR(VLOOKUP($A58,'[92]6月'!$A:$H,8,0),0)</f>
        <v>0</v>
      </c>
      <c r="AE58" s="688">
        <f>IFERROR(VLOOKUP($A58,'[92]7月'!$A:$H,8,0),0)</f>
        <v>0</v>
      </c>
      <c r="AF58" s="688">
        <f>IFERROR(VLOOKUP($A58,'[92]8月'!$A:$H,8,0),0)</f>
        <v>0</v>
      </c>
      <c r="AG58" s="688">
        <f>IFERROR(VLOOKUP($A58,'[92]9月'!$A:$H,8,0),0)</f>
        <v>0</v>
      </c>
      <c r="AH58" s="688">
        <f>IFERROR(VLOOKUP($A58,'[92]10月'!$A:$H,8,0),0)</f>
        <v>0</v>
      </c>
      <c r="AI58" s="688">
        <f>IFERROR(VLOOKUP($A58,'[92]11月'!$A:$H,8,0),0)</f>
        <v>0</v>
      </c>
      <c r="AJ58" s="688">
        <f>IFERROR(VLOOKUP($A58,'[92]12月'!$A:$H,8,0),0)</f>
        <v>0</v>
      </c>
      <c r="AK58" s="688">
        <f t="shared" si="37"/>
        <v>0</v>
      </c>
    </row>
    <row r="59" spans="1:37" ht="13.5" customHeight="1">
      <c r="A59" s="653" t="str">
        <f>'Budget-合并'!A59</f>
        <v>6602.04.12</v>
      </c>
      <c r="B59" s="653" t="str">
        <f>'Budget-合并'!B59</f>
        <v>合规支持服务</v>
      </c>
      <c r="C59" s="687" t="str">
        <f>'Budget-合并'!C59</f>
        <v xml:space="preserve">Compliance Support Services </v>
      </c>
      <c r="D59" s="704">
        <f t="shared" si="30"/>
        <v>13883.843999999999</v>
      </c>
      <c r="E59" s="704" t="e">
        <f t="shared" si="31"/>
        <v>#N/A</v>
      </c>
      <c r="F59" s="704" t="e">
        <f t="shared" si="32"/>
        <v>#N/A</v>
      </c>
      <c r="G59" s="704">
        <f t="shared" ca="1" si="33"/>
        <v>13883.843999999999</v>
      </c>
      <c r="H59" s="704" t="e">
        <f t="shared" ca="1" si="34"/>
        <v>#N/A</v>
      </c>
      <c r="I59" s="704" t="e">
        <f t="shared" ca="1" si="35"/>
        <v>#N/A</v>
      </c>
      <c r="K59" s="704">
        <f>SUMIFS('Prof. Fee'!AF$3:AF$150,'Prof. Fee'!$B$3:$B$150,$D$1,'Prof. Fee'!$D$3:$D$150,$A59)</f>
        <v>13883.843999999999</v>
      </c>
      <c r="L59" s="704">
        <f>SUMIFS('Prof. Fee'!AG$3:AG$150,'Prof. Fee'!$B$3:$B$150,$D$1,'Prof. Fee'!$D$3:$D$150,$A59)</f>
        <v>13762.32</v>
      </c>
      <c r="M59" s="704">
        <f>SUMIFS('Prof. Fee'!AH$3:AH$150,'Prof. Fee'!$B$3:$B$150,$D$1,'Prof. Fee'!$D$3:$D$150,$A59)</f>
        <v>13762.32</v>
      </c>
      <c r="N59" s="704">
        <f>SUMIFS('Prof. Fee'!AI$3:AI$150,'Prof. Fee'!$B$3:$B$150,$D$1,'Prof. Fee'!$D$3:$D$150,$A59)</f>
        <v>13762.32</v>
      </c>
      <c r="O59" s="704">
        <f>SUMIFS('Prof. Fee'!AJ$3:AJ$150,'Prof. Fee'!$B$3:$B$150,$D$1,'Prof. Fee'!$D$3:$D$150,$A59)</f>
        <v>13762.32</v>
      </c>
      <c r="P59" s="704">
        <f>SUMIFS('Prof. Fee'!AK$3:AK$150,'Prof. Fee'!$B$3:$B$150,$D$1,'Prof. Fee'!$D$3:$D$150,$A59)</f>
        <v>13762.32</v>
      </c>
      <c r="Q59" s="704">
        <f>SUMIFS('Prof. Fee'!AL$3:AL$150,'Prof. Fee'!$B$3:$B$150,$D$1,'Prof. Fee'!$D$3:$D$150,$A59)</f>
        <v>13762.32</v>
      </c>
      <c r="R59" s="704">
        <f>SUMIFS('Prof. Fee'!AM$3:AM$150,'Prof. Fee'!$B$3:$B$150,$D$1,'Prof. Fee'!$D$3:$D$150,$A59)</f>
        <v>13762.32</v>
      </c>
      <c r="S59" s="704">
        <f>SUMIFS('Prof. Fee'!AN$3:AN$150,'Prof. Fee'!$B$3:$B$150,$D$1,'Prof. Fee'!$D$3:$D$150,$A59)</f>
        <v>13762.32</v>
      </c>
      <c r="T59" s="704">
        <f>SUMIFS('Prof. Fee'!AO$3:AO$150,'Prof. Fee'!$B$3:$B$150,$D$1,'Prof. Fee'!$D$3:$D$150,$A59)</f>
        <v>13762.32</v>
      </c>
      <c r="U59" s="704">
        <f>SUMIFS('Prof. Fee'!AP$3:AP$150,'Prof. Fee'!$B$3:$B$150,$D$1,'Prof. Fee'!$D$3:$D$150,$A59)</f>
        <v>13762.32</v>
      </c>
      <c r="V59" s="704">
        <f>SUMIFS('Prof. Fee'!AQ$3:AQ$150,'Prof. Fee'!$B$3:$B$150,$D$1,'Prof. Fee'!$D$3:$D$150,$A59)</f>
        <v>13762.32</v>
      </c>
      <c r="W59" s="704">
        <f t="shared" si="25"/>
        <v>165269.36400000003</v>
      </c>
      <c r="Y59" s="688">
        <f>IFERROR(VLOOKUP($A59,'[92]1月'!$A:$H,8,0),0)</f>
        <v>0</v>
      </c>
      <c r="Z59" s="688">
        <f>IFERROR(VLOOKUP($A59,'[92]2月'!$A:$H,8,0),0)</f>
        <v>15600</v>
      </c>
      <c r="AA59" s="688">
        <f>IFERROR(VLOOKUP($A59,'[92]3月'!$A:$H,8,0),0)</f>
        <v>15600</v>
      </c>
      <c r="AB59" s="688">
        <f>IFERROR(VLOOKUP($A59,'[92]4月'!$A:$H,8,0),0)</f>
        <v>15600</v>
      </c>
      <c r="AC59" s="688">
        <f>IFERROR(VLOOKUP($A59,'[92]5月'!$A:$H,8,0),0)</f>
        <v>15600</v>
      </c>
      <c r="AD59" s="688">
        <f>IFERROR(VLOOKUP($A59,'[92]6月'!$A:$H,8,0),0)</f>
        <v>31200</v>
      </c>
      <c r="AE59" s="688">
        <f>IFERROR(VLOOKUP($A59,'[92]7月'!$A:$H,8,0),0)</f>
        <v>15600</v>
      </c>
      <c r="AF59" s="688">
        <f>IFERROR(VLOOKUP($A59,'[92]8月'!$A:$H,8,0),0)</f>
        <v>15600</v>
      </c>
      <c r="AG59" s="688">
        <f>IFERROR(VLOOKUP($A59,'[92]9月'!$A:$H,8,0),0)</f>
        <v>15600</v>
      </c>
      <c r="AH59" s="688">
        <f>IFERROR(VLOOKUP($A59,'[92]10月'!$A:$H,8,0),0)</f>
        <v>15600</v>
      </c>
      <c r="AI59" s="688">
        <f>IFERROR(VLOOKUP($A59,'[92]11月'!$A:$H,8,0),0)</f>
        <v>15600</v>
      </c>
      <c r="AJ59" s="688">
        <f>IFERROR(VLOOKUP($A59,'[92]12月'!$A:$H,8,0),0)</f>
        <v>15600</v>
      </c>
      <c r="AK59" s="688">
        <f t="shared" si="37"/>
        <v>187200</v>
      </c>
    </row>
    <row r="60" spans="1:37" ht="13.5" customHeight="1">
      <c r="A60" s="653" t="str">
        <f>'Budget-合并'!A60</f>
        <v>6602.04.13</v>
      </c>
      <c r="B60" s="653" t="str">
        <f>'Budget-合并'!B60</f>
        <v>咨询费</v>
      </c>
      <c r="C60" s="687" t="str">
        <f>'Budget-合并'!C60</f>
        <v>Consulting fee</v>
      </c>
      <c r="D60" s="704">
        <f t="shared" si="30"/>
        <v>0</v>
      </c>
      <c r="E60" s="704" t="e">
        <f t="shared" si="31"/>
        <v>#N/A</v>
      </c>
      <c r="F60" s="704" t="e">
        <f t="shared" si="32"/>
        <v>#N/A</v>
      </c>
      <c r="G60" s="704">
        <f t="shared" ca="1" si="33"/>
        <v>0</v>
      </c>
      <c r="H60" s="704" t="e">
        <f t="shared" ca="1" si="34"/>
        <v>#N/A</v>
      </c>
      <c r="I60" s="704" t="e">
        <f t="shared" ca="1" si="35"/>
        <v>#N/A</v>
      </c>
      <c r="K60" s="704">
        <f>SUMIFS('Prof. Fee'!AF$3:AF$150,'Prof. Fee'!$B$3:$B$150,$D$1,'Prof. Fee'!$D$3:$D$150,$A60)</f>
        <v>0</v>
      </c>
      <c r="L60" s="704">
        <f>SUMIFS('Prof. Fee'!AG$3:AG$150,'Prof. Fee'!$B$3:$B$150,$D$1,'Prof. Fee'!$D$3:$D$150,$A60)</f>
        <v>0</v>
      </c>
      <c r="M60" s="704">
        <f>SUMIFS('Prof. Fee'!AH$3:AH$150,'Prof. Fee'!$B$3:$B$150,$D$1,'Prof. Fee'!$D$3:$D$150,$A60)</f>
        <v>0</v>
      </c>
      <c r="N60" s="704">
        <f>SUMIFS('Prof. Fee'!AI$3:AI$150,'Prof. Fee'!$B$3:$B$150,$D$1,'Prof. Fee'!$D$3:$D$150,$A60)</f>
        <v>0</v>
      </c>
      <c r="O60" s="704">
        <f>SUMIFS('Prof. Fee'!AJ$3:AJ$150,'Prof. Fee'!$B$3:$B$150,$D$1,'Prof. Fee'!$D$3:$D$150,$A60)</f>
        <v>0</v>
      </c>
      <c r="P60" s="704">
        <f>SUMIFS('Prof. Fee'!AK$3:AK$150,'Prof. Fee'!$B$3:$B$150,$D$1,'Prof. Fee'!$D$3:$D$150,$A60)</f>
        <v>0</v>
      </c>
      <c r="Q60" s="704">
        <f>SUMIFS('Prof. Fee'!AL$3:AL$150,'Prof. Fee'!$B$3:$B$150,$D$1,'Prof. Fee'!$D$3:$D$150,$A60)</f>
        <v>0</v>
      </c>
      <c r="R60" s="704">
        <f>SUMIFS('Prof. Fee'!AM$3:AM$150,'Prof. Fee'!$B$3:$B$150,$D$1,'Prof. Fee'!$D$3:$D$150,$A60)</f>
        <v>0</v>
      </c>
      <c r="S60" s="704">
        <f>SUMIFS('Prof. Fee'!AN$3:AN$150,'Prof. Fee'!$B$3:$B$150,$D$1,'Prof. Fee'!$D$3:$D$150,$A60)</f>
        <v>0</v>
      </c>
      <c r="T60" s="704">
        <f>SUMIFS('Prof. Fee'!AO$3:AO$150,'Prof. Fee'!$B$3:$B$150,$D$1,'Prof. Fee'!$D$3:$D$150,$A60)</f>
        <v>0</v>
      </c>
      <c r="U60" s="704">
        <f>SUMIFS('Prof. Fee'!AP$3:AP$150,'Prof. Fee'!$B$3:$B$150,$D$1,'Prof. Fee'!$D$3:$D$150,$A60)</f>
        <v>0</v>
      </c>
      <c r="V60" s="704">
        <f>SUMIFS('Prof. Fee'!AQ$3:AQ$150,'Prof. Fee'!$B$3:$B$150,$D$1,'Prof. Fee'!$D$3:$D$150,$A60)</f>
        <v>0</v>
      </c>
      <c r="W60" s="704">
        <f t="shared" si="25"/>
        <v>0</v>
      </c>
      <c r="Y60" s="688">
        <f>IFERROR(VLOOKUP($A60,'[92]1月'!$A:$H,8,0),0)</f>
        <v>0</v>
      </c>
      <c r="Z60" s="688">
        <f>IFERROR(VLOOKUP($A60,'[92]2月'!$A:$H,8,0),0)</f>
        <v>0</v>
      </c>
      <c r="AA60" s="688">
        <f>IFERROR(VLOOKUP($A60,'[92]3月'!$A:$H,8,0),0)</f>
        <v>0</v>
      </c>
      <c r="AB60" s="688">
        <f>IFERROR(VLOOKUP($A60,'[92]4月'!$A:$H,8,0),0)</f>
        <v>0</v>
      </c>
      <c r="AC60" s="688">
        <f>IFERROR(VLOOKUP($A60,'[92]5月'!$A:$H,8,0),0)</f>
        <v>0</v>
      </c>
      <c r="AD60" s="688">
        <f>IFERROR(VLOOKUP($A60,'[92]6月'!$A:$H,8,0),0)</f>
        <v>0</v>
      </c>
      <c r="AE60" s="688">
        <f>IFERROR(VLOOKUP($A60,'[92]7月'!$A:$H,8,0),0)</f>
        <v>0</v>
      </c>
      <c r="AF60" s="688">
        <f>IFERROR(VLOOKUP($A60,'[92]8月'!$A:$H,8,0),0)</f>
        <v>0</v>
      </c>
      <c r="AG60" s="688">
        <f>IFERROR(VLOOKUP($A60,'[92]9月'!$A:$H,8,0),0)</f>
        <v>0</v>
      </c>
      <c r="AH60" s="688">
        <f>IFERROR(VLOOKUP($A60,'[92]10月'!$A:$H,8,0),0)</f>
        <v>0</v>
      </c>
      <c r="AI60" s="688">
        <f>IFERROR(VLOOKUP($A60,'[92]11月'!$A:$H,8,0),0)</f>
        <v>0</v>
      </c>
      <c r="AJ60" s="688">
        <f>IFERROR(VLOOKUP($A60,'[92]12月'!$A:$H,8,0),0)</f>
        <v>0</v>
      </c>
      <c r="AK60" s="688">
        <f t="shared" si="37"/>
        <v>0</v>
      </c>
    </row>
    <row r="61" spans="1:37" ht="13.5" customHeight="1">
      <c r="A61" s="653" t="str">
        <f>'Budget-合并'!A61</f>
        <v>6602.04.99</v>
      </c>
      <c r="B61" s="653" t="str">
        <f>'Budget-合并'!B61</f>
        <v>其他</v>
      </c>
      <c r="C61" s="687">
        <f>'Budget-合并'!C61</f>
        <v>0</v>
      </c>
      <c r="D61" s="704">
        <f t="shared" si="30"/>
        <v>0</v>
      </c>
      <c r="E61" s="704" t="e">
        <f t="shared" si="31"/>
        <v>#N/A</v>
      </c>
      <c r="F61" s="704" t="e">
        <f t="shared" si="32"/>
        <v>#N/A</v>
      </c>
      <c r="G61" s="704">
        <f t="shared" ca="1" si="33"/>
        <v>0</v>
      </c>
      <c r="H61" s="704" t="e">
        <f t="shared" ca="1" si="34"/>
        <v>#N/A</v>
      </c>
      <c r="I61" s="704" t="e">
        <f t="shared" ca="1" si="35"/>
        <v>#N/A</v>
      </c>
      <c r="K61" s="704">
        <f>SUMIFS('Prof. Fee'!AF$3:AF$150,'Prof. Fee'!$B$3:$B$150,$D$1,'Prof. Fee'!$D$3:$D$150,$A61)</f>
        <v>0</v>
      </c>
      <c r="L61" s="704">
        <f>SUMIFS('Prof. Fee'!AG$3:AG$150,'Prof. Fee'!$B$3:$B$150,$D$1,'Prof. Fee'!$D$3:$D$150,$A61)</f>
        <v>0</v>
      </c>
      <c r="M61" s="704">
        <f>SUMIFS('Prof. Fee'!AH$3:AH$150,'Prof. Fee'!$B$3:$B$150,$D$1,'Prof. Fee'!$D$3:$D$150,$A61)</f>
        <v>0</v>
      </c>
      <c r="N61" s="704">
        <f>SUMIFS('Prof. Fee'!AI$3:AI$150,'Prof. Fee'!$B$3:$B$150,$D$1,'Prof. Fee'!$D$3:$D$150,$A61)</f>
        <v>0</v>
      </c>
      <c r="O61" s="704">
        <f>SUMIFS('Prof. Fee'!AJ$3:AJ$150,'Prof. Fee'!$B$3:$B$150,$D$1,'Prof. Fee'!$D$3:$D$150,$A61)</f>
        <v>0</v>
      </c>
      <c r="P61" s="704">
        <f>SUMIFS('Prof. Fee'!AK$3:AK$150,'Prof. Fee'!$B$3:$B$150,$D$1,'Prof. Fee'!$D$3:$D$150,$A61)</f>
        <v>0</v>
      </c>
      <c r="Q61" s="704">
        <f>SUMIFS('Prof. Fee'!AL$3:AL$150,'Prof. Fee'!$B$3:$B$150,$D$1,'Prof. Fee'!$D$3:$D$150,$A61)</f>
        <v>0</v>
      </c>
      <c r="R61" s="704">
        <f>SUMIFS('Prof. Fee'!AM$3:AM$150,'Prof. Fee'!$B$3:$B$150,$D$1,'Prof. Fee'!$D$3:$D$150,$A61)</f>
        <v>0</v>
      </c>
      <c r="S61" s="704">
        <f>SUMIFS('Prof. Fee'!AN$3:AN$150,'Prof. Fee'!$B$3:$B$150,$D$1,'Prof. Fee'!$D$3:$D$150,$A61)</f>
        <v>0</v>
      </c>
      <c r="T61" s="704">
        <f>SUMIFS('Prof. Fee'!AO$3:AO$150,'Prof. Fee'!$B$3:$B$150,$D$1,'Prof. Fee'!$D$3:$D$150,$A61)</f>
        <v>0</v>
      </c>
      <c r="U61" s="704">
        <f>SUMIFS('Prof. Fee'!AP$3:AP$150,'Prof. Fee'!$B$3:$B$150,$D$1,'Prof. Fee'!$D$3:$D$150,$A61)</f>
        <v>0</v>
      </c>
      <c r="V61" s="704">
        <f>SUMIFS('Prof. Fee'!AQ$3:AQ$150,'Prof. Fee'!$B$3:$B$150,$D$1,'Prof. Fee'!$D$3:$D$150,$A61)</f>
        <v>0</v>
      </c>
      <c r="W61" s="704">
        <f t="shared" si="25"/>
        <v>0</v>
      </c>
      <c r="Y61" s="688">
        <f>IFERROR(VLOOKUP($A61,'[92]1月'!$A:$H,8,0),0)</f>
        <v>0</v>
      </c>
      <c r="Z61" s="688">
        <f>IFERROR(VLOOKUP($A61,'[92]2月'!$A:$H,8,0),0)</f>
        <v>0</v>
      </c>
      <c r="AA61" s="688">
        <f>IFERROR(VLOOKUP($A61,'[92]3月'!$A:$H,8,0),0)</f>
        <v>0</v>
      </c>
      <c r="AB61" s="688">
        <f>IFERROR(VLOOKUP($A61,'[92]4月'!$A:$H,8,0),0)</f>
        <v>0</v>
      </c>
      <c r="AC61" s="688">
        <f>IFERROR(VLOOKUP($A61,'[92]5月'!$A:$H,8,0),0)</f>
        <v>0</v>
      </c>
      <c r="AD61" s="688">
        <f>IFERROR(VLOOKUP($A61,'[92]6月'!$A:$H,8,0),0)</f>
        <v>0</v>
      </c>
      <c r="AE61" s="688">
        <f>IFERROR(VLOOKUP($A61,'[92]7月'!$A:$H,8,0),0)</f>
        <v>0</v>
      </c>
      <c r="AF61" s="688">
        <f>IFERROR(VLOOKUP($A61,'[92]8月'!$A:$H,8,0),0)</f>
        <v>0</v>
      </c>
      <c r="AG61" s="688">
        <f>IFERROR(VLOOKUP($A61,'[92]9月'!$A:$H,8,0),0)</f>
        <v>0</v>
      </c>
      <c r="AH61" s="688">
        <f>IFERROR(VLOOKUP($A61,'[92]10月'!$A:$H,8,0),0)</f>
        <v>0</v>
      </c>
      <c r="AI61" s="688">
        <f>IFERROR(VLOOKUP($A61,'[92]11月'!$A:$H,8,0),0)</f>
        <v>0</v>
      </c>
      <c r="AJ61" s="688">
        <f>IFERROR(VLOOKUP($A61,'[92]12月'!$A:$H,8,0),0)</f>
        <v>0</v>
      </c>
      <c r="AK61" s="688">
        <f t="shared" si="37"/>
        <v>0</v>
      </c>
    </row>
    <row r="62" spans="1:37" ht="13.5" customHeight="1">
      <c r="A62" s="663" t="str">
        <f>'Budget-合并'!A62</f>
        <v>6602.05</v>
      </c>
      <c r="B62" s="663" t="str">
        <f>'Budget-合并'!B62</f>
        <v>占用费</v>
      </c>
      <c r="C62" s="687">
        <f>'Budget-合并'!C62</f>
        <v>0</v>
      </c>
      <c r="D62" s="704">
        <f t="shared" si="30"/>
        <v>38317.0974795</v>
      </c>
      <c r="E62" s="704" t="e">
        <f t="shared" si="31"/>
        <v>#N/A</v>
      </c>
      <c r="F62" s="704" t="e">
        <f t="shared" si="32"/>
        <v>#N/A</v>
      </c>
      <c r="G62" s="704">
        <f t="shared" ca="1" si="33"/>
        <v>38317.0974795</v>
      </c>
      <c r="H62" s="704" t="e">
        <f t="shared" ca="1" si="34"/>
        <v>#N/A</v>
      </c>
      <c r="I62" s="704" t="e">
        <f t="shared" ca="1" si="35"/>
        <v>#N/A</v>
      </c>
      <c r="K62" s="704">
        <f t="shared" ref="K62:V62" si="39">SUM(K63,K67:K74)</f>
        <v>38317.0974795</v>
      </c>
      <c r="L62" s="704">
        <f t="shared" si="39"/>
        <v>20027.748509999998</v>
      </c>
      <c r="M62" s="704">
        <f t="shared" si="39"/>
        <v>20027.748509999998</v>
      </c>
      <c r="N62" s="704">
        <f t="shared" si="39"/>
        <v>38140.248510000005</v>
      </c>
      <c r="O62" s="704">
        <f t="shared" si="39"/>
        <v>20027.748509999998</v>
      </c>
      <c r="P62" s="704">
        <f t="shared" si="39"/>
        <v>20027.748509999998</v>
      </c>
      <c r="Q62" s="704">
        <f t="shared" si="39"/>
        <v>38140.248510000005</v>
      </c>
      <c r="R62" s="704">
        <f t="shared" si="39"/>
        <v>20027.748509999998</v>
      </c>
      <c r="S62" s="704">
        <f t="shared" si="39"/>
        <v>20027.748509999998</v>
      </c>
      <c r="T62" s="704">
        <f t="shared" si="39"/>
        <v>38140.248510000005</v>
      </c>
      <c r="U62" s="704">
        <f t="shared" si="39"/>
        <v>20027.748509999998</v>
      </c>
      <c r="V62" s="704">
        <f t="shared" si="39"/>
        <v>20027.748509999998</v>
      </c>
      <c r="W62" s="704">
        <f t="shared" si="25"/>
        <v>312959.83108950005</v>
      </c>
      <c r="Y62" s="688">
        <f>IFERROR(VLOOKUP($A62,'[92]1月'!$A:$H,8,0),0)</f>
        <v>25465.37</v>
      </c>
      <c r="Z62" s="688">
        <f>IFERROR(VLOOKUP($A62,'[92]2月'!$A:$H,8,0),0)</f>
        <v>24741.46</v>
      </c>
      <c r="AA62" s="688">
        <f>IFERROR(VLOOKUP($A62,'[92]3月'!$A:$H,8,0),0)</f>
        <v>25413.37</v>
      </c>
      <c r="AB62" s="688">
        <f>IFERROR(VLOOKUP($A62,'[92]4月'!$A:$H,8,0),0)</f>
        <v>25409.05</v>
      </c>
      <c r="AC62" s="688">
        <f>IFERROR(VLOOKUP($A62,'[92]5月'!$A:$H,8,0),0)</f>
        <v>25597.74</v>
      </c>
      <c r="AD62" s="688">
        <f>IFERROR(VLOOKUP($A62,'[92]6月'!$A:$H,8,0),0)</f>
        <v>25253.05</v>
      </c>
      <c r="AE62" s="688">
        <f>IFERROR(VLOOKUP($A62,'[92]7月'!$A:$H,8,0),0)</f>
        <v>27769.77</v>
      </c>
      <c r="AF62" s="688">
        <f>IFERROR(VLOOKUP($A62,'[92]8月'!$A:$H,8,0),0)</f>
        <v>25693.200000000001</v>
      </c>
      <c r="AG62" s="688">
        <f>IFERROR(VLOOKUP($A62,'[92]9月'!$A:$H,8,0),0)</f>
        <v>25483.07</v>
      </c>
      <c r="AH62" s="688">
        <f>IFERROR(VLOOKUP($A62,'[92]10月'!$A:$H,8,0),0)</f>
        <v>25345.65</v>
      </c>
      <c r="AI62" s="688">
        <f>IFERROR(VLOOKUP($A62,'[92]11月'!$A:$H,8,0),0)</f>
        <v>25050.17</v>
      </c>
      <c r="AJ62" s="688">
        <f>IFERROR(VLOOKUP($A62,'[92]12月'!$A:$H,8,0),0)</f>
        <v>23760.66</v>
      </c>
      <c r="AK62" s="688">
        <f t="shared" si="37"/>
        <v>304982.56</v>
      </c>
    </row>
    <row r="63" spans="1:37" ht="13.5" customHeight="1">
      <c r="A63" s="653" t="str">
        <f>'Budget-合并'!A63</f>
        <v>6602.05.01</v>
      </c>
      <c r="B63" s="653" t="str">
        <f>'Budget-合并'!B63</f>
        <v>办公室租赁费</v>
      </c>
      <c r="C63" s="687">
        <f>'Budget-合并'!C63</f>
        <v>0</v>
      </c>
      <c r="D63" s="704">
        <f t="shared" si="30"/>
        <v>0</v>
      </c>
      <c r="E63" s="704" t="e">
        <f t="shared" si="31"/>
        <v>#N/A</v>
      </c>
      <c r="F63" s="704" t="e">
        <f t="shared" si="32"/>
        <v>#N/A</v>
      </c>
      <c r="G63" s="704">
        <f t="shared" ca="1" si="33"/>
        <v>0</v>
      </c>
      <c r="H63" s="704" t="e">
        <f t="shared" ca="1" si="34"/>
        <v>#N/A</v>
      </c>
      <c r="I63" s="704" t="e">
        <f t="shared" ca="1" si="35"/>
        <v>#N/A</v>
      </c>
      <c r="K63" s="704">
        <f t="shared" ref="K63:V63" si="40">SUM(K64:K66)</f>
        <v>0</v>
      </c>
      <c r="L63" s="704">
        <f t="shared" si="40"/>
        <v>0</v>
      </c>
      <c r="M63" s="704">
        <f t="shared" si="40"/>
        <v>0</v>
      </c>
      <c r="N63" s="704">
        <f t="shared" si="40"/>
        <v>0</v>
      </c>
      <c r="O63" s="704">
        <f t="shared" si="40"/>
        <v>0</v>
      </c>
      <c r="P63" s="704">
        <f t="shared" si="40"/>
        <v>0</v>
      </c>
      <c r="Q63" s="704">
        <f t="shared" si="40"/>
        <v>0</v>
      </c>
      <c r="R63" s="704">
        <f t="shared" si="40"/>
        <v>0</v>
      </c>
      <c r="S63" s="704">
        <f t="shared" si="40"/>
        <v>0</v>
      </c>
      <c r="T63" s="704">
        <f t="shared" si="40"/>
        <v>0</v>
      </c>
      <c r="U63" s="704">
        <f t="shared" si="40"/>
        <v>0</v>
      </c>
      <c r="V63" s="704">
        <f t="shared" si="40"/>
        <v>0</v>
      </c>
      <c r="W63" s="704">
        <f t="shared" si="25"/>
        <v>0</v>
      </c>
      <c r="Y63" s="688">
        <f>IFERROR(VLOOKUP($A63,'[92]1月'!$A:$H,8,0),0)</f>
        <v>0</v>
      </c>
      <c r="Z63" s="688">
        <f>IFERROR(VLOOKUP($A63,'[92]2月'!$A:$H,8,0),0)</f>
        <v>0</v>
      </c>
      <c r="AA63" s="688">
        <f>IFERROR(VLOOKUP($A63,'[92]3月'!$A:$H,8,0),0)</f>
        <v>0</v>
      </c>
      <c r="AB63" s="688">
        <f>IFERROR(VLOOKUP($A63,'[92]4月'!$A:$H,8,0),0)</f>
        <v>0</v>
      </c>
      <c r="AC63" s="688">
        <f>IFERROR(VLOOKUP($A63,'[92]5月'!$A:$H,8,0),0)</f>
        <v>0</v>
      </c>
      <c r="AD63" s="688">
        <f>IFERROR(VLOOKUP($A63,'[92]6月'!$A:$H,8,0),0)</f>
        <v>0</v>
      </c>
      <c r="AE63" s="688">
        <f>IFERROR(VLOOKUP($A63,'[92]7月'!$A:$H,8,0),0)</f>
        <v>0</v>
      </c>
      <c r="AF63" s="688">
        <f>IFERROR(VLOOKUP($A63,'[92]8月'!$A:$H,8,0),0)</f>
        <v>0</v>
      </c>
      <c r="AG63" s="688">
        <f>IFERROR(VLOOKUP($A63,'[92]9月'!$A:$H,8,0),0)</f>
        <v>0</v>
      </c>
      <c r="AH63" s="688">
        <f>IFERROR(VLOOKUP($A63,'[92]10月'!$A:$H,8,0),0)</f>
        <v>0</v>
      </c>
      <c r="AI63" s="688">
        <f>IFERROR(VLOOKUP($A63,'[92]11月'!$A:$H,8,0),0)</f>
        <v>0</v>
      </c>
      <c r="AJ63" s="688">
        <f>IFERROR(VLOOKUP($A63,'[92]12月'!$A:$H,8,0),0)</f>
        <v>0</v>
      </c>
      <c r="AK63" s="688">
        <f t="shared" si="37"/>
        <v>0</v>
      </c>
    </row>
    <row r="64" spans="1:37" ht="13.5" customHeight="1">
      <c r="A64" s="653" t="str">
        <f>'Budget-合并'!A64</f>
        <v>6602.05.01.01</v>
      </c>
      <c r="B64" s="653" t="str">
        <f>'Budget-合并'!B64</f>
        <v>旭智咨询--鼎和大厦1606</v>
      </c>
      <c r="C64" s="687">
        <f>'Budget-合并'!C64</f>
        <v>0</v>
      </c>
      <c r="D64" s="704">
        <f t="shared" si="30"/>
        <v>0</v>
      </c>
      <c r="E64" s="704" t="e">
        <f t="shared" si="31"/>
        <v>#N/A</v>
      </c>
      <c r="F64" s="704" t="e">
        <f t="shared" si="32"/>
        <v>#N/A</v>
      </c>
      <c r="G64" s="704">
        <f t="shared" ca="1" si="33"/>
        <v>0</v>
      </c>
      <c r="H64" s="704" t="e">
        <f t="shared" ca="1" si="34"/>
        <v>#N/A</v>
      </c>
      <c r="I64" s="704" t="e">
        <f t="shared" ca="1" si="35"/>
        <v>#N/A</v>
      </c>
      <c r="K64" s="704"/>
      <c r="L64" s="704"/>
      <c r="M64" s="704"/>
      <c r="N64" s="704"/>
      <c r="O64" s="704"/>
      <c r="P64" s="704"/>
      <c r="Q64" s="704"/>
      <c r="R64" s="704"/>
      <c r="S64" s="704"/>
      <c r="T64" s="704"/>
      <c r="U64" s="704"/>
      <c r="V64" s="704"/>
      <c r="W64" s="704">
        <f t="shared" si="25"/>
        <v>0</v>
      </c>
      <c r="Y64" s="688">
        <f>IFERROR(VLOOKUP($A64,'[92]1月'!$A:$H,8,0),0)</f>
        <v>0</v>
      </c>
      <c r="Z64" s="688">
        <f>IFERROR(VLOOKUP($A64,'[92]2月'!$A:$H,8,0),0)</f>
        <v>0</v>
      </c>
      <c r="AA64" s="688">
        <f>IFERROR(VLOOKUP($A64,'[92]3月'!$A:$H,8,0),0)</f>
        <v>0</v>
      </c>
      <c r="AB64" s="688">
        <f>IFERROR(VLOOKUP($A64,'[92]4月'!$A:$H,8,0),0)</f>
        <v>0</v>
      </c>
      <c r="AC64" s="688">
        <f>IFERROR(VLOOKUP($A64,'[92]5月'!$A:$H,8,0),0)</f>
        <v>0</v>
      </c>
      <c r="AD64" s="688">
        <f>IFERROR(VLOOKUP($A64,'[92]6月'!$A:$H,8,0),0)</f>
        <v>0</v>
      </c>
      <c r="AE64" s="688">
        <f>IFERROR(VLOOKUP($A64,'[92]7月'!$A:$H,8,0),0)</f>
        <v>0</v>
      </c>
      <c r="AF64" s="688">
        <f>IFERROR(VLOOKUP($A64,'[92]8月'!$A:$H,8,0),0)</f>
        <v>0</v>
      </c>
      <c r="AG64" s="688">
        <f>IFERROR(VLOOKUP($A64,'[92]9月'!$A:$H,8,0),0)</f>
        <v>0</v>
      </c>
      <c r="AH64" s="688">
        <f>IFERROR(VLOOKUP($A64,'[92]10月'!$A:$H,8,0),0)</f>
        <v>0</v>
      </c>
      <c r="AI64" s="688">
        <f>IFERROR(VLOOKUP($A64,'[92]11月'!$A:$H,8,0),0)</f>
        <v>0</v>
      </c>
      <c r="AJ64" s="688">
        <f>IFERROR(VLOOKUP($A64,'[92]12月'!$A:$H,8,0),0)</f>
        <v>0</v>
      </c>
      <c r="AK64" s="688">
        <f t="shared" si="37"/>
        <v>0</v>
      </c>
    </row>
    <row r="65" spans="1:37" ht="13.5" customHeight="1">
      <c r="A65" s="653" t="str">
        <f>'Budget-合并'!A65</f>
        <v>6602.05.01.02</v>
      </c>
      <c r="B65" s="653" t="str">
        <f>'Budget-合并'!B65</f>
        <v>广州注册地址403房J015</v>
      </c>
      <c r="C65" s="687">
        <f>'Budget-合并'!C65</f>
        <v>0</v>
      </c>
      <c r="D65" s="704">
        <f t="shared" si="30"/>
        <v>0</v>
      </c>
      <c r="E65" s="704" t="e">
        <f t="shared" si="31"/>
        <v>#N/A</v>
      </c>
      <c r="F65" s="704" t="e">
        <f t="shared" si="32"/>
        <v>#N/A</v>
      </c>
      <c r="G65" s="704">
        <f t="shared" ca="1" si="33"/>
        <v>0</v>
      </c>
      <c r="H65" s="704" t="e">
        <f t="shared" ca="1" si="34"/>
        <v>#N/A</v>
      </c>
      <c r="I65" s="704" t="e">
        <f t="shared" ca="1" si="35"/>
        <v>#N/A</v>
      </c>
      <c r="K65" s="704"/>
      <c r="L65" s="704"/>
      <c r="M65" s="704"/>
      <c r="N65" s="704"/>
      <c r="O65" s="704"/>
      <c r="P65" s="704"/>
      <c r="Q65" s="704"/>
      <c r="R65" s="704"/>
      <c r="S65" s="704"/>
      <c r="T65" s="704"/>
      <c r="U65" s="704"/>
      <c r="V65" s="704"/>
      <c r="W65" s="704">
        <f t="shared" si="25"/>
        <v>0</v>
      </c>
      <c r="Y65" s="688">
        <f>IFERROR(VLOOKUP($A65,'[92]1月'!$A:$H,8,0),0)</f>
        <v>0</v>
      </c>
      <c r="Z65" s="688">
        <f>IFERROR(VLOOKUP($A65,'[92]2月'!$A:$H,8,0),0)</f>
        <v>0</v>
      </c>
      <c r="AA65" s="688">
        <f>IFERROR(VLOOKUP($A65,'[92]3月'!$A:$H,8,0),0)</f>
        <v>0</v>
      </c>
      <c r="AB65" s="688">
        <f>IFERROR(VLOOKUP($A65,'[92]4月'!$A:$H,8,0),0)</f>
        <v>0</v>
      </c>
      <c r="AC65" s="688">
        <f>IFERROR(VLOOKUP($A65,'[92]5月'!$A:$H,8,0),0)</f>
        <v>0</v>
      </c>
      <c r="AD65" s="688">
        <f>IFERROR(VLOOKUP($A65,'[92]6月'!$A:$H,8,0),0)</f>
        <v>0</v>
      </c>
      <c r="AE65" s="688">
        <f>IFERROR(VLOOKUP($A65,'[92]7月'!$A:$H,8,0),0)</f>
        <v>0</v>
      </c>
      <c r="AF65" s="688">
        <f>IFERROR(VLOOKUP($A65,'[92]8月'!$A:$H,8,0),0)</f>
        <v>0</v>
      </c>
      <c r="AG65" s="688">
        <f>IFERROR(VLOOKUP($A65,'[92]9月'!$A:$H,8,0),0)</f>
        <v>0</v>
      </c>
      <c r="AH65" s="688">
        <f>IFERROR(VLOOKUP($A65,'[92]10月'!$A:$H,8,0),0)</f>
        <v>0</v>
      </c>
      <c r="AI65" s="688">
        <f>IFERROR(VLOOKUP($A65,'[92]11月'!$A:$H,8,0),0)</f>
        <v>0</v>
      </c>
      <c r="AJ65" s="688">
        <f>IFERROR(VLOOKUP($A65,'[92]12月'!$A:$H,8,0),0)</f>
        <v>0</v>
      </c>
      <c r="AK65" s="688">
        <f t="shared" si="37"/>
        <v>0</v>
      </c>
    </row>
    <row r="66" spans="1:37" ht="13.5" customHeight="1">
      <c r="A66" s="653" t="str">
        <f>'Budget-合并'!A66</f>
        <v>6602.05.01.03</v>
      </c>
      <c r="B66" s="653" t="str">
        <f>'Budget-合并'!B66</f>
        <v>广州注册地址403房J016</v>
      </c>
      <c r="C66" s="687">
        <f>'Budget-合并'!C66</f>
        <v>0</v>
      </c>
      <c r="D66" s="704">
        <f t="shared" si="30"/>
        <v>0</v>
      </c>
      <c r="E66" s="704" t="e">
        <f t="shared" si="31"/>
        <v>#N/A</v>
      </c>
      <c r="F66" s="704" t="e">
        <f t="shared" si="32"/>
        <v>#N/A</v>
      </c>
      <c r="G66" s="704">
        <f t="shared" ca="1" si="33"/>
        <v>0</v>
      </c>
      <c r="H66" s="704" t="e">
        <f t="shared" ca="1" si="34"/>
        <v>#N/A</v>
      </c>
      <c r="I66" s="704" t="e">
        <f t="shared" ca="1" si="35"/>
        <v>#N/A</v>
      </c>
      <c r="K66" s="704"/>
      <c r="L66" s="704"/>
      <c r="M66" s="704"/>
      <c r="N66" s="704"/>
      <c r="O66" s="704"/>
      <c r="P66" s="704"/>
      <c r="Q66" s="704"/>
      <c r="R66" s="704"/>
      <c r="S66" s="704"/>
      <c r="T66" s="704"/>
      <c r="U66" s="704"/>
      <c r="V66" s="704"/>
      <c r="W66" s="704">
        <f t="shared" si="25"/>
        <v>0</v>
      </c>
      <c r="Y66" s="688">
        <f>IFERROR(VLOOKUP($A66,'[92]1月'!$A:$H,8,0),0)</f>
        <v>0</v>
      </c>
      <c r="Z66" s="688">
        <f>IFERROR(VLOOKUP($A66,'[92]2月'!$A:$H,8,0),0)</f>
        <v>0</v>
      </c>
      <c r="AA66" s="688">
        <f>IFERROR(VLOOKUP($A66,'[92]3月'!$A:$H,8,0),0)</f>
        <v>0</v>
      </c>
      <c r="AB66" s="688">
        <f>IFERROR(VLOOKUP($A66,'[92]4月'!$A:$H,8,0),0)</f>
        <v>0</v>
      </c>
      <c r="AC66" s="688">
        <f>IFERROR(VLOOKUP($A66,'[92]5月'!$A:$H,8,0),0)</f>
        <v>0</v>
      </c>
      <c r="AD66" s="688">
        <f>IFERROR(VLOOKUP($A66,'[92]6月'!$A:$H,8,0),0)</f>
        <v>0</v>
      </c>
      <c r="AE66" s="688">
        <f>IFERROR(VLOOKUP($A66,'[92]7月'!$A:$H,8,0),0)</f>
        <v>0</v>
      </c>
      <c r="AF66" s="688">
        <f>IFERROR(VLOOKUP($A66,'[92]8月'!$A:$H,8,0),0)</f>
        <v>0</v>
      </c>
      <c r="AG66" s="688">
        <f>IFERROR(VLOOKUP($A66,'[92]9月'!$A:$H,8,0),0)</f>
        <v>0</v>
      </c>
      <c r="AH66" s="688">
        <f>IFERROR(VLOOKUP($A66,'[92]10月'!$A:$H,8,0),0)</f>
        <v>0</v>
      </c>
      <c r="AI66" s="688">
        <f>IFERROR(VLOOKUP($A66,'[92]11月'!$A:$H,8,0),0)</f>
        <v>0</v>
      </c>
      <c r="AJ66" s="688">
        <f>IFERROR(VLOOKUP($A66,'[92]12月'!$A:$H,8,0),0)</f>
        <v>0</v>
      </c>
      <c r="AK66" s="688">
        <f t="shared" si="37"/>
        <v>0</v>
      </c>
    </row>
    <row r="67" spans="1:37" ht="13.5" customHeight="1">
      <c r="A67" s="653" t="str">
        <f>'Budget-合并'!A67</f>
        <v>6602.05.02</v>
      </c>
      <c r="B67" s="653" t="str">
        <f>'Budget-合并'!B67</f>
        <v>管理费</v>
      </c>
      <c r="C67" s="687" t="str">
        <f>'Budget-合并'!C67</f>
        <v>Management fees</v>
      </c>
      <c r="D67" s="704">
        <f t="shared" si="30"/>
        <v>35233.282129500003</v>
      </c>
      <c r="E67" s="704" t="e">
        <f t="shared" si="31"/>
        <v>#N/A</v>
      </c>
      <c r="F67" s="704" t="e">
        <f t="shared" si="32"/>
        <v>#N/A</v>
      </c>
      <c r="G67" s="704">
        <f t="shared" ca="1" si="33"/>
        <v>35233.282129500003</v>
      </c>
      <c r="H67" s="704" t="e">
        <f t="shared" ca="1" si="34"/>
        <v>#N/A</v>
      </c>
      <c r="I67" s="704" t="e">
        <f t="shared" ca="1" si="35"/>
        <v>#N/A</v>
      </c>
      <c r="K67" s="704">
        <f>SUMIFS(SPACE!O$3:O$106,SPACE!$A$3:$A$106,$D$1,SPACE!$C$3:$C$106,$A67)</f>
        <v>35233.282129500003</v>
      </c>
      <c r="L67" s="704">
        <f>SUMIFS(SPACE!P$3:P$106,SPACE!$A$3:$A$106,$D$1,SPACE!$C$3:$C$106,$A67)</f>
        <v>16970.925509999997</v>
      </c>
      <c r="M67" s="704">
        <f>SUMIFS(SPACE!Q$3:Q$106,SPACE!$A$3:$A$106,$D$1,SPACE!$C$3:$C$106,$A67)</f>
        <v>16970.925509999997</v>
      </c>
      <c r="N67" s="704">
        <f>SUMIFS(SPACE!R$3:R$106,SPACE!$A$3:$A$106,$D$1,SPACE!$C$3:$C$106,$A67)</f>
        <v>35083.425510000001</v>
      </c>
      <c r="O67" s="704">
        <f>SUMIFS(SPACE!S$3:S$106,SPACE!$A$3:$A$106,$D$1,SPACE!$C$3:$C$106,$A67)</f>
        <v>16970.925509999997</v>
      </c>
      <c r="P67" s="704">
        <f>SUMIFS(SPACE!T$3:T$106,SPACE!$A$3:$A$106,$D$1,SPACE!$C$3:$C$106,$A67)</f>
        <v>16970.925509999997</v>
      </c>
      <c r="Q67" s="704">
        <f>SUMIFS(SPACE!U$3:U$106,SPACE!$A$3:$A$106,$D$1,SPACE!$C$3:$C$106,$A67)</f>
        <v>35083.425510000001</v>
      </c>
      <c r="R67" s="704">
        <f>SUMIFS(SPACE!V$3:V$106,SPACE!$A$3:$A$106,$D$1,SPACE!$C$3:$C$106,$A67)</f>
        <v>16970.925509999997</v>
      </c>
      <c r="S67" s="704">
        <f>SUMIFS(SPACE!W$3:W$106,SPACE!$A$3:$A$106,$D$1,SPACE!$C$3:$C$106,$A67)</f>
        <v>16970.925509999997</v>
      </c>
      <c r="T67" s="704">
        <f>SUMIFS(SPACE!X$3:X$106,SPACE!$A$3:$A$106,$D$1,SPACE!$C$3:$C$106,$A67)</f>
        <v>35083.425510000001</v>
      </c>
      <c r="U67" s="704">
        <f>SUMIFS(SPACE!Y$3:Y$106,SPACE!$A$3:$A$106,$D$1,SPACE!$C$3:$C$106,$A67)</f>
        <v>16970.925509999997</v>
      </c>
      <c r="V67" s="704">
        <f>SUMIFS(SPACE!Z$3:Z$106,SPACE!$A$3:$A$106,$D$1,SPACE!$C$3:$C$106,$A67)</f>
        <v>16970.925509999997</v>
      </c>
      <c r="W67" s="704">
        <f t="shared" si="25"/>
        <v>276250.96273949998</v>
      </c>
      <c r="Y67" s="688">
        <f>IFERROR(VLOOKUP($A67,'[92]1月'!$A:$H,8,0),0)</f>
        <v>23952.67</v>
      </c>
      <c r="Z67" s="688">
        <f>IFERROR(VLOOKUP($A67,'[92]2月'!$A:$H,8,0),0)</f>
        <v>23407.66</v>
      </c>
      <c r="AA67" s="688">
        <f>IFERROR(VLOOKUP($A67,'[92]3月'!$A:$H,8,0),0)</f>
        <v>23952.67</v>
      </c>
      <c r="AB67" s="688">
        <f>IFERROR(VLOOKUP($A67,'[92]4月'!$A:$H,8,0),0)</f>
        <v>23842.98</v>
      </c>
      <c r="AC67" s="688">
        <f>IFERROR(VLOOKUP($A67,'[92]5月'!$A:$H,8,0),0)</f>
        <v>24027.040000000001</v>
      </c>
      <c r="AD67" s="688">
        <f>IFERROR(VLOOKUP($A67,'[92]6月'!$A:$H,8,0),0)</f>
        <v>23842.98</v>
      </c>
      <c r="AE67" s="688">
        <f>IFERROR(VLOOKUP($A67,'[92]7月'!$A:$H,8,0),0)</f>
        <v>24133.5</v>
      </c>
      <c r="AF67" s="688">
        <f>IFERROR(VLOOKUP($A67,'[92]8月'!$A:$H,8,0),0)</f>
        <v>24133.5</v>
      </c>
      <c r="AG67" s="688">
        <f>IFERROR(VLOOKUP($A67,'[92]9月'!$A:$H,8,0),0)</f>
        <v>23946</v>
      </c>
      <c r="AH67" s="688">
        <f>IFERROR(VLOOKUP($A67,'[92]10月'!$A:$H,8,0),0)</f>
        <v>24133.5</v>
      </c>
      <c r="AI67" s="688">
        <f>IFERROR(VLOOKUP($A67,'[92]11月'!$A:$H,8,0),0)</f>
        <v>23946</v>
      </c>
      <c r="AJ67" s="688">
        <f>IFERROR(VLOOKUP($A67,'[92]12月'!$A:$H,8,0),0)</f>
        <v>24133.5</v>
      </c>
      <c r="AK67" s="688">
        <f t="shared" si="37"/>
        <v>287452</v>
      </c>
    </row>
    <row r="68" spans="1:37" ht="13.5" customHeight="1">
      <c r="A68" s="653" t="str">
        <f>'Budget-合并'!A68</f>
        <v>6602.05.03</v>
      </c>
      <c r="B68" s="653" t="str">
        <f>'Budget-合并'!B68</f>
        <v>电费</v>
      </c>
      <c r="C68" s="687" t="str">
        <f>'Budget-合并'!C68</f>
        <v>Utilities Electric</v>
      </c>
      <c r="D68" s="704">
        <f t="shared" si="30"/>
        <v>747.59159999999997</v>
      </c>
      <c r="E68" s="704" t="e">
        <f t="shared" si="31"/>
        <v>#N/A</v>
      </c>
      <c r="F68" s="704" t="e">
        <f t="shared" si="32"/>
        <v>#N/A</v>
      </c>
      <c r="G68" s="704">
        <f t="shared" ca="1" si="33"/>
        <v>747.59159999999997</v>
      </c>
      <c r="H68" s="704" t="e">
        <f t="shared" ca="1" si="34"/>
        <v>#N/A</v>
      </c>
      <c r="I68" s="704" t="e">
        <f t="shared" ca="1" si="35"/>
        <v>#N/A</v>
      </c>
      <c r="K68" s="704">
        <f>SUMIFS(SPACE!O$3:O$106,SPACE!$A$3:$A$106,$D$1,SPACE!$C$3:$C$106,$A68)</f>
        <v>747.59159999999997</v>
      </c>
      <c r="L68" s="704">
        <f>SUMIFS(SPACE!P$3:P$106,SPACE!$A$3:$A$106,$D$1,SPACE!$C$3:$C$106,$A68)</f>
        <v>741.048</v>
      </c>
      <c r="M68" s="704">
        <f>SUMIFS(SPACE!Q$3:Q$106,SPACE!$A$3:$A$106,$D$1,SPACE!$C$3:$C$106,$A68)</f>
        <v>741.048</v>
      </c>
      <c r="N68" s="704">
        <f>SUMIFS(SPACE!R$3:R$106,SPACE!$A$3:$A$106,$D$1,SPACE!$C$3:$C$106,$A68)</f>
        <v>741.048</v>
      </c>
      <c r="O68" s="704">
        <f>SUMIFS(SPACE!S$3:S$106,SPACE!$A$3:$A$106,$D$1,SPACE!$C$3:$C$106,$A68)</f>
        <v>741.048</v>
      </c>
      <c r="P68" s="704">
        <f>SUMIFS(SPACE!T$3:T$106,SPACE!$A$3:$A$106,$D$1,SPACE!$C$3:$C$106,$A68)</f>
        <v>741.048</v>
      </c>
      <c r="Q68" s="704">
        <f>SUMIFS(SPACE!U$3:U$106,SPACE!$A$3:$A$106,$D$1,SPACE!$C$3:$C$106,$A68)</f>
        <v>741.048</v>
      </c>
      <c r="R68" s="704">
        <f>SUMIFS(SPACE!V$3:V$106,SPACE!$A$3:$A$106,$D$1,SPACE!$C$3:$C$106,$A68)</f>
        <v>741.048</v>
      </c>
      <c r="S68" s="704">
        <f>SUMIFS(SPACE!W$3:W$106,SPACE!$A$3:$A$106,$D$1,SPACE!$C$3:$C$106,$A68)</f>
        <v>741.048</v>
      </c>
      <c r="T68" s="704">
        <f>SUMIFS(SPACE!X$3:X$106,SPACE!$A$3:$A$106,$D$1,SPACE!$C$3:$C$106,$A68)</f>
        <v>741.048</v>
      </c>
      <c r="U68" s="704">
        <f>SUMIFS(SPACE!Y$3:Y$106,SPACE!$A$3:$A$106,$D$1,SPACE!$C$3:$C$106,$A68)</f>
        <v>741.048</v>
      </c>
      <c r="V68" s="704">
        <f>SUMIFS(SPACE!Z$3:Z$106,SPACE!$A$3:$A$106,$D$1,SPACE!$C$3:$C$106,$A68)</f>
        <v>741.048</v>
      </c>
      <c r="W68" s="704">
        <f t="shared" si="25"/>
        <v>8899.1195999999982</v>
      </c>
      <c r="Y68" s="688">
        <f>IFERROR(VLOOKUP($A68,'[92]1月'!$A:$H,8,0),0)</f>
        <v>780</v>
      </c>
      <c r="Z68" s="688">
        <f>IFERROR(VLOOKUP($A68,'[92]2月'!$A:$H,8,0),0)</f>
        <v>672</v>
      </c>
      <c r="AA68" s="688">
        <f>IFERROR(VLOOKUP($A68,'[92]3月'!$A:$H,8,0),0)</f>
        <v>728</v>
      </c>
      <c r="AB68" s="688">
        <f>IFERROR(VLOOKUP($A68,'[92]4月'!$A:$H,8,0),0)</f>
        <v>857</v>
      </c>
      <c r="AC68" s="688">
        <f>IFERROR(VLOOKUP($A68,'[92]5月'!$A:$H,8,0),0)</f>
        <v>838</v>
      </c>
      <c r="AD68" s="688">
        <f>IFERROR(VLOOKUP($A68,'[92]6月'!$A:$H,8,0),0)</f>
        <v>701</v>
      </c>
      <c r="AE68" s="688">
        <f>IFERROR(VLOOKUP($A68,'[92]7月'!$A:$H,8,0),0)</f>
        <v>865</v>
      </c>
      <c r="AF68" s="688">
        <f>IFERROR(VLOOKUP($A68,'[92]8月'!$A:$H,8,0),0)</f>
        <v>827</v>
      </c>
      <c r="AG68" s="688">
        <f>IFERROR(VLOOKUP($A68,'[92]9月'!$A:$H,8,0),0)</f>
        <v>828</v>
      </c>
      <c r="AH68" s="688">
        <f>IFERROR(VLOOKUP($A68,'[92]10月'!$A:$H,8,0),0)</f>
        <v>841</v>
      </c>
      <c r="AI68" s="688">
        <f>IFERROR(VLOOKUP($A68,'[92]11月'!$A:$H,8,0),0)</f>
        <v>745</v>
      </c>
      <c r="AJ68" s="688">
        <f>IFERROR(VLOOKUP($A68,'[92]12月'!$A:$H,8,0),0)</f>
        <v>756</v>
      </c>
      <c r="AK68" s="688">
        <f t="shared" si="37"/>
        <v>9438</v>
      </c>
    </row>
    <row r="69" spans="1:37" ht="13.5" customHeight="1">
      <c r="A69" s="653" t="str">
        <f>'Budget-合并'!A69</f>
        <v>6602.05.04</v>
      </c>
      <c r="B69" s="653" t="str">
        <f>'Budget-合并'!B69</f>
        <v>水费</v>
      </c>
      <c r="C69" s="687">
        <f>'Budget-合并'!C69</f>
        <v>0</v>
      </c>
      <c r="D69" s="704">
        <f t="shared" si="30"/>
        <v>0</v>
      </c>
      <c r="E69" s="704" t="e">
        <f t="shared" si="31"/>
        <v>#N/A</v>
      </c>
      <c r="F69" s="704" t="e">
        <f t="shared" si="32"/>
        <v>#N/A</v>
      </c>
      <c r="G69" s="704">
        <f t="shared" ca="1" si="33"/>
        <v>0</v>
      </c>
      <c r="H69" s="704" t="e">
        <f t="shared" ca="1" si="34"/>
        <v>#N/A</v>
      </c>
      <c r="I69" s="704" t="e">
        <f t="shared" ca="1" si="35"/>
        <v>#N/A</v>
      </c>
      <c r="K69" s="704">
        <f>SUMIFS(SPACE!O$3:O$106,SPACE!$A$3:$A$106,$D$1,SPACE!$C$3:$C$106,$A69)</f>
        <v>0</v>
      </c>
      <c r="L69" s="704">
        <f>SUMIFS(SPACE!P$3:P$106,SPACE!$A$3:$A$106,$D$1,SPACE!$C$3:$C$106,$A69)</f>
        <v>0</v>
      </c>
      <c r="M69" s="704">
        <f>SUMIFS(SPACE!Q$3:Q$106,SPACE!$A$3:$A$106,$D$1,SPACE!$C$3:$C$106,$A69)</f>
        <v>0</v>
      </c>
      <c r="N69" s="704">
        <f>SUMIFS(SPACE!R$3:R$106,SPACE!$A$3:$A$106,$D$1,SPACE!$C$3:$C$106,$A69)</f>
        <v>0</v>
      </c>
      <c r="O69" s="704">
        <f>SUMIFS(SPACE!S$3:S$106,SPACE!$A$3:$A$106,$D$1,SPACE!$C$3:$C$106,$A69)</f>
        <v>0</v>
      </c>
      <c r="P69" s="704">
        <f>SUMIFS(SPACE!T$3:T$106,SPACE!$A$3:$A$106,$D$1,SPACE!$C$3:$C$106,$A69)</f>
        <v>0</v>
      </c>
      <c r="Q69" s="704">
        <f>SUMIFS(SPACE!U$3:U$106,SPACE!$A$3:$A$106,$D$1,SPACE!$C$3:$C$106,$A69)</f>
        <v>0</v>
      </c>
      <c r="R69" s="704">
        <f>SUMIFS(SPACE!V$3:V$106,SPACE!$A$3:$A$106,$D$1,SPACE!$C$3:$C$106,$A69)</f>
        <v>0</v>
      </c>
      <c r="S69" s="704">
        <f>SUMIFS(SPACE!W$3:W$106,SPACE!$A$3:$A$106,$D$1,SPACE!$C$3:$C$106,$A69)</f>
        <v>0</v>
      </c>
      <c r="T69" s="704">
        <f>SUMIFS(SPACE!X$3:X$106,SPACE!$A$3:$A$106,$D$1,SPACE!$C$3:$C$106,$A69)</f>
        <v>0</v>
      </c>
      <c r="U69" s="704">
        <f>SUMIFS(SPACE!Y$3:Y$106,SPACE!$A$3:$A$106,$D$1,SPACE!$C$3:$C$106,$A69)</f>
        <v>0</v>
      </c>
      <c r="V69" s="704">
        <f>SUMIFS(SPACE!Z$3:Z$106,SPACE!$A$3:$A$106,$D$1,SPACE!$C$3:$C$106,$A69)</f>
        <v>0</v>
      </c>
      <c r="W69" s="704">
        <f t="shared" si="25"/>
        <v>0</v>
      </c>
      <c r="Y69" s="688">
        <f>IFERROR(VLOOKUP($A69,'[92]1月'!$A:$H,8,0),0)</f>
        <v>0</v>
      </c>
      <c r="Z69" s="688">
        <f>IFERROR(VLOOKUP($A69,'[92]2月'!$A:$H,8,0),0)</f>
        <v>0</v>
      </c>
      <c r="AA69" s="688">
        <f>IFERROR(VLOOKUP($A69,'[92]3月'!$A:$H,8,0),0)</f>
        <v>0</v>
      </c>
      <c r="AB69" s="688">
        <f>IFERROR(VLOOKUP($A69,'[92]4月'!$A:$H,8,0),0)</f>
        <v>0</v>
      </c>
      <c r="AC69" s="688">
        <f>IFERROR(VLOOKUP($A69,'[92]5月'!$A:$H,8,0),0)</f>
        <v>0</v>
      </c>
      <c r="AD69" s="688">
        <f>IFERROR(VLOOKUP($A69,'[92]6月'!$A:$H,8,0),0)</f>
        <v>0</v>
      </c>
      <c r="AE69" s="688">
        <f>IFERROR(VLOOKUP($A69,'[92]7月'!$A:$H,8,0),0)</f>
        <v>0</v>
      </c>
      <c r="AF69" s="688">
        <f>IFERROR(VLOOKUP($A69,'[92]8月'!$A:$H,8,0),0)</f>
        <v>0</v>
      </c>
      <c r="AG69" s="688">
        <f>IFERROR(VLOOKUP($A69,'[92]9月'!$A:$H,8,0),0)</f>
        <v>0</v>
      </c>
      <c r="AH69" s="688">
        <f>IFERROR(VLOOKUP($A69,'[92]10月'!$A:$H,8,0),0)</f>
        <v>0</v>
      </c>
      <c r="AI69" s="688">
        <f>IFERROR(VLOOKUP($A69,'[92]11月'!$A:$H,8,0),0)</f>
        <v>0</v>
      </c>
      <c r="AJ69" s="688">
        <f>IFERROR(VLOOKUP($A69,'[92]12月'!$A:$H,8,0),0)</f>
        <v>0</v>
      </c>
      <c r="AK69" s="688">
        <f t="shared" si="37"/>
        <v>0</v>
      </c>
    </row>
    <row r="70" spans="1:37" ht="13.5" customHeight="1">
      <c r="A70" s="653" t="str">
        <f>'Budget-合并'!A70</f>
        <v>6602.05.05</v>
      </c>
      <c r="B70" s="653" t="str">
        <f>'Budget-合并'!B70</f>
        <v>维修费</v>
      </c>
      <c r="C70" s="687" t="str">
        <f>'Budget-合并'!C70</f>
        <v>Office Maintenance &amp; Repair</v>
      </c>
      <c r="D70" s="704">
        <f t="shared" si="30"/>
        <v>2336.2237499999997</v>
      </c>
      <c r="E70" s="704" t="e">
        <f t="shared" si="31"/>
        <v>#N/A</v>
      </c>
      <c r="F70" s="704" t="e">
        <f t="shared" si="32"/>
        <v>#N/A</v>
      </c>
      <c r="G70" s="704">
        <f t="shared" ca="1" si="33"/>
        <v>2336.2237499999997</v>
      </c>
      <c r="H70" s="704" t="e">
        <f t="shared" ca="1" si="34"/>
        <v>#N/A</v>
      </c>
      <c r="I70" s="704" t="e">
        <f t="shared" ca="1" si="35"/>
        <v>#N/A</v>
      </c>
      <c r="K70" s="704">
        <f>SUMIFS(SPACE!O$3:O$106,SPACE!$A$3:$A$106,$D$1,SPACE!$C$3:$C$106,$A70)</f>
        <v>2336.2237499999997</v>
      </c>
      <c r="L70" s="704">
        <f>SUMIFS(SPACE!P$3:P$106,SPACE!$A$3:$A$106,$D$1,SPACE!$C$3:$C$106,$A70)</f>
        <v>2315.7750000000001</v>
      </c>
      <c r="M70" s="704">
        <f>SUMIFS(SPACE!Q$3:Q$106,SPACE!$A$3:$A$106,$D$1,SPACE!$C$3:$C$106,$A70)</f>
        <v>2315.7750000000001</v>
      </c>
      <c r="N70" s="704">
        <f>SUMIFS(SPACE!R$3:R$106,SPACE!$A$3:$A$106,$D$1,SPACE!$C$3:$C$106,$A70)</f>
        <v>2315.7750000000001</v>
      </c>
      <c r="O70" s="704">
        <f>SUMIFS(SPACE!S$3:S$106,SPACE!$A$3:$A$106,$D$1,SPACE!$C$3:$C$106,$A70)</f>
        <v>2315.7750000000001</v>
      </c>
      <c r="P70" s="704">
        <f>SUMIFS(SPACE!T$3:T$106,SPACE!$A$3:$A$106,$D$1,SPACE!$C$3:$C$106,$A70)</f>
        <v>2315.7750000000001</v>
      </c>
      <c r="Q70" s="704">
        <f>SUMIFS(SPACE!U$3:U$106,SPACE!$A$3:$A$106,$D$1,SPACE!$C$3:$C$106,$A70)</f>
        <v>2315.7750000000001</v>
      </c>
      <c r="R70" s="704">
        <f>SUMIFS(SPACE!V$3:V$106,SPACE!$A$3:$A$106,$D$1,SPACE!$C$3:$C$106,$A70)</f>
        <v>2315.7750000000001</v>
      </c>
      <c r="S70" s="704">
        <f>SUMIFS(SPACE!W$3:W$106,SPACE!$A$3:$A$106,$D$1,SPACE!$C$3:$C$106,$A70)</f>
        <v>2315.7750000000001</v>
      </c>
      <c r="T70" s="704">
        <f>SUMIFS(SPACE!X$3:X$106,SPACE!$A$3:$A$106,$D$1,SPACE!$C$3:$C$106,$A70)</f>
        <v>2315.7750000000001</v>
      </c>
      <c r="U70" s="704">
        <f>SUMIFS(SPACE!Y$3:Y$106,SPACE!$A$3:$A$106,$D$1,SPACE!$C$3:$C$106,$A70)</f>
        <v>2315.7750000000001</v>
      </c>
      <c r="V70" s="704">
        <f>SUMIFS(SPACE!Z$3:Z$106,SPACE!$A$3:$A$106,$D$1,SPACE!$C$3:$C$106,$A70)</f>
        <v>2315.7750000000001</v>
      </c>
      <c r="W70" s="704">
        <f t="shared" si="25"/>
        <v>27809.748750000006</v>
      </c>
      <c r="Y70" s="688">
        <f>IFERROR(VLOOKUP($A70,'[92]1月'!$A:$H,8,0),0)</f>
        <v>732.7</v>
      </c>
      <c r="Z70" s="688">
        <f>IFERROR(VLOOKUP($A70,'[92]2月'!$A:$H,8,0),0)</f>
        <v>661.8</v>
      </c>
      <c r="AA70" s="688">
        <f>IFERROR(VLOOKUP($A70,'[92]3月'!$A:$H,8,0),0)</f>
        <v>732.7</v>
      </c>
      <c r="AB70" s="688">
        <f>IFERROR(VLOOKUP($A70,'[92]4月'!$A:$H,8,0),0)</f>
        <v>709.07</v>
      </c>
      <c r="AC70" s="688">
        <f>IFERROR(VLOOKUP($A70,'[92]5月'!$A:$H,8,0),0)</f>
        <v>732.7</v>
      </c>
      <c r="AD70" s="688">
        <f>IFERROR(VLOOKUP($A70,'[92]6月'!$A:$H,8,0),0)</f>
        <v>709.07</v>
      </c>
      <c r="AE70" s="688">
        <f>IFERROR(VLOOKUP($A70,'[92]7月'!$A:$H,8,0),0)</f>
        <v>2771.27</v>
      </c>
      <c r="AF70" s="688">
        <f>IFERROR(VLOOKUP($A70,'[92]8月'!$A:$H,8,0),0)</f>
        <v>732.7</v>
      </c>
      <c r="AG70" s="688">
        <f>IFERROR(VLOOKUP($A70,'[92]9月'!$A:$H,8,0),0)</f>
        <v>709.07</v>
      </c>
      <c r="AH70" s="688">
        <f>IFERROR(VLOOKUP($A70,'[92]10月'!$A:$H,8,0),0)</f>
        <v>371.15</v>
      </c>
      <c r="AI70" s="688">
        <f>IFERROR(VLOOKUP($A70,'[92]11月'!$A:$H,8,0),0)</f>
        <v>359.17</v>
      </c>
      <c r="AJ70" s="688">
        <f>IFERROR(VLOOKUP($A70,'[92]12月'!$A:$H,8,0),0)</f>
        <v>-1128.8399999999999</v>
      </c>
      <c r="AK70" s="688">
        <f t="shared" si="37"/>
        <v>8092.5599999999995</v>
      </c>
    </row>
    <row r="71" spans="1:37" ht="13.5" customHeight="1">
      <c r="A71" s="653" t="str">
        <f>'Budget-合并'!A71</f>
        <v>6602.05.06</v>
      </c>
      <c r="B71" s="653" t="str">
        <f>'Budget-合并'!B71</f>
        <v>装修费</v>
      </c>
      <c r="C71" s="687" t="str">
        <f>'Budget-合并'!C71</f>
        <v>Depreciation_Leasehold Improvement</v>
      </c>
      <c r="D71" s="704">
        <f t="shared" si="30"/>
        <v>0</v>
      </c>
      <c r="E71" s="704" t="e">
        <f t="shared" si="31"/>
        <v>#N/A</v>
      </c>
      <c r="F71" s="704" t="e">
        <f t="shared" si="32"/>
        <v>#N/A</v>
      </c>
      <c r="G71" s="704">
        <f t="shared" ca="1" si="33"/>
        <v>0</v>
      </c>
      <c r="H71" s="704" t="e">
        <f t="shared" ca="1" si="34"/>
        <v>#N/A</v>
      </c>
      <c r="I71" s="704" t="e">
        <f t="shared" ca="1" si="35"/>
        <v>#N/A</v>
      </c>
      <c r="K71" s="704">
        <f>SUMIFS(SPACE!O$3:O$106,SPACE!$A$3:$A$106,$D$1,SPACE!$C$3:$C$106,$A71)</f>
        <v>0</v>
      </c>
      <c r="L71" s="704">
        <f>SUMIFS(SPACE!P$3:P$106,SPACE!$A$3:$A$106,$D$1,SPACE!$C$3:$C$106,$A71)</f>
        <v>0</v>
      </c>
      <c r="M71" s="704">
        <f>SUMIFS(SPACE!Q$3:Q$106,SPACE!$A$3:$A$106,$D$1,SPACE!$C$3:$C$106,$A71)</f>
        <v>0</v>
      </c>
      <c r="N71" s="704">
        <f>SUMIFS(SPACE!R$3:R$106,SPACE!$A$3:$A$106,$D$1,SPACE!$C$3:$C$106,$A71)</f>
        <v>0</v>
      </c>
      <c r="O71" s="704">
        <f>SUMIFS(SPACE!S$3:S$106,SPACE!$A$3:$A$106,$D$1,SPACE!$C$3:$C$106,$A71)</f>
        <v>0</v>
      </c>
      <c r="P71" s="704">
        <f>SUMIFS(SPACE!T$3:T$106,SPACE!$A$3:$A$106,$D$1,SPACE!$C$3:$C$106,$A71)</f>
        <v>0</v>
      </c>
      <c r="Q71" s="704">
        <f>SUMIFS(SPACE!U$3:U$106,SPACE!$A$3:$A$106,$D$1,SPACE!$C$3:$C$106,$A71)</f>
        <v>0</v>
      </c>
      <c r="R71" s="704">
        <f>SUMIFS(SPACE!V$3:V$106,SPACE!$A$3:$A$106,$D$1,SPACE!$C$3:$C$106,$A71)</f>
        <v>0</v>
      </c>
      <c r="S71" s="704">
        <f>SUMIFS(SPACE!W$3:W$106,SPACE!$A$3:$A$106,$D$1,SPACE!$C$3:$C$106,$A71)</f>
        <v>0</v>
      </c>
      <c r="T71" s="704">
        <f>SUMIFS(SPACE!X$3:X$106,SPACE!$A$3:$A$106,$D$1,SPACE!$C$3:$C$106,$A71)</f>
        <v>0</v>
      </c>
      <c r="U71" s="704">
        <f>SUMIFS(SPACE!Y$3:Y$106,SPACE!$A$3:$A$106,$D$1,SPACE!$C$3:$C$106,$A71)</f>
        <v>0</v>
      </c>
      <c r="V71" s="704">
        <f>SUMIFS(SPACE!Z$3:Z$106,SPACE!$A$3:$A$106,$D$1,SPACE!$C$3:$C$106,$A71)</f>
        <v>0</v>
      </c>
      <c r="W71" s="704">
        <f t="shared" si="25"/>
        <v>0</v>
      </c>
      <c r="Y71" s="688">
        <f>IFERROR(VLOOKUP($A71,'[92]1月'!$A:$H,8,0),0)</f>
        <v>0</v>
      </c>
      <c r="Z71" s="688">
        <f>IFERROR(VLOOKUP($A71,'[92]2月'!$A:$H,8,0),0)</f>
        <v>0</v>
      </c>
      <c r="AA71" s="688">
        <f>IFERROR(VLOOKUP($A71,'[92]3月'!$A:$H,8,0),0)</f>
        <v>0</v>
      </c>
      <c r="AB71" s="688">
        <f>IFERROR(VLOOKUP($A71,'[92]4月'!$A:$H,8,0),0)</f>
        <v>0</v>
      </c>
      <c r="AC71" s="688">
        <f>IFERROR(VLOOKUP($A71,'[92]5月'!$A:$H,8,0),0)</f>
        <v>0</v>
      </c>
      <c r="AD71" s="688">
        <f>IFERROR(VLOOKUP($A71,'[92]6月'!$A:$H,8,0),0)</f>
        <v>0</v>
      </c>
      <c r="AE71" s="688">
        <f>IFERROR(VLOOKUP($A71,'[92]7月'!$A:$H,8,0),0)</f>
        <v>0</v>
      </c>
      <c r="AF71" s="688">
        <f>IFERROR(VLOOKUP($A71,'[92]8月'!$A:$H,8,0),0)</f>
        <v>0</v>
      </c>
      <c r="AG71" s="688">
        <f>IFERROR(VLOOKUP($A71,'[92]9月'!$A:$H,8,0),0)</f>
        <v>0</v>
      </c>
      <c r="AH71" s="688">
        <f>IFERROR(VLOOKUP($A71,'[92]10月'!$A:$H,8,0),0)</f>
        <v>0</v>
      </c>
      <c r="AI71" s="688">
        <f>IFERROR(VLOOKUP($A71,'[92]11月'!$A:$H,8,0),0)</f>
        <v>0</v>
      </c>
      <c r="AJ71" s="688">
        <f>IFERROR(VLOOKUP($A71,'[92]12月'!$A:$H,8,0),0)</f>
        <v>0</v>
      </c>
      <c r="AK71" s="688">
        <f t="shared" si="37"/>
        <v>0</v>
      </c>
    </row>
    <row r="72" spans="1:37" ht="13.5" customHeight="1">
      <c r="A72" s="653" t="str">
        <f>'Budget-合并'!A72</f>
        <v>6602.05.07</v>
      </c>
      <c r="B72" s="653" t="str">
        <f>'Budget-合并'!B72</f>
        <v>租金及物业费</v>
      </c>
      <c r="C72" s="687">
        <f>'Budget-合并'!C72</f>
        <v>0</v>
      </c>
      <c r="D72" s="704">
        <f t="shared" si="30"/>
        <v>0</v>
      </c>
      <c r="E72" s="704" t="e">
        <f t="shared" si="31"/>
        <v>#N/A</v>
      </c>
      <c r="F72" s="704" t="e">
        <f t="shared" si="32"/>
        <v>#N/A</v>
      </c>
      <c r="G72" s="704">
        <f t="shared" ca="1" si="33"/>
        <v>0</v>
      </c>
      <c r="H72" s="704" t="e">
        <f t="shared" ca="1" si="34"/>
        <v>#N/A</v>
      </c>
      <c r="I72" s="704" t="e">
        <f t="shared" ca="1" si="35"/>
        <v>#N/A</v>
      </c>
      <c r="K72" s="704">
        <f>SUMIFS(SPACE!O$3:O$106,SPACE!$A$3:$A$106,$D$1,SPACE!$C$3:$C$106,$A72)</f>
        <v>0</v>
      </c>
      <c r="L72" s="704">
        <f>SUMIFS(SPACE!P$3:P$106,SPACE!$A$3:$A$106,$D$1,SPACE!$C$3:$C$106,$A72)</f>
        <v>0</v>
      </c>
      <c r="M72" s="704">
        <f>SUMIFS(SPACE!Q$3:Q$106,SPACE!$A$3:$A$106,$D$1,SPACE!$C$3:$C$106,$A72)</f>
        <v>0</v>
      </c>
      <c r="N72" s="704">
        <f>SUMIFS(SPACE!R$3:R$106,SPACE!$A$3:$A$106,$D$1,SPACE!$C$3:$C$106,$A72)</f>
        <v>0</v>
      </c>
      <c r="O72" s="704">
        <f>SUMIFS(SPACE!S$3:S$106,SPACE!$A$3:$A$106,$D$1,SPACE!$C$3:$C$106,$A72)</f>
        <v>0</v>
      </c>
      <c r="P72" s="704">
        <f>SUMIFS(SPACE!T$3:T$106,SPACE!$A$3:$A$106,$D$1,SPACE!$C$3:$C$106,$A72)</f>
        <v>0</v>
      </c>
      <c r="Q72" s="704">
        <f>SUMIFS(SPACE!U$3:U$106,SPACE!$A$3:$A$106,$D$1,SPACE!$C$3:$C$106,$A72)</f>
        <v>0</v>
      </c>
      <c r="R72" s="704">
        <f>SUMIFS(SPACE!V$3:V$106,SPACE!$A$3:$A$106,$D$1,SPACE!$C$3:$C$106,$A72)</f>
        <v>0</v>
      </c>
      <c r="S72" s="704">
        <f>SUMIFS(SPACE!W$3:W$106,SPACE!$A$3:$A$106,$D$1,SPACE!$C$3:$C$106,$A72)</f>
        <v>0</v>
      </c>
      <c r="T72" s="704">
        <f>SUMIFS(SPACE!X$3:X$106,SPACE!$A$3:$A$106,$D$1,SPACE!$C$3:$C$106,$A72)</f>
        <v>0</v>
      </c>
      <c r="U72" s="704">
        <f>SUMIFS(SPACE!Y$3:Y$106,SPACE!$A$3:$A$106,$D$1,SPACE!$C$3:$C$106,$A72)</f>
        <v>0</v>
      </c>
      <c r="V72" s="704">
        <f>SUMIFS(SPACE!Z$3:Z$106,SPACE!$A$3:$A$106,$D$1,SPACE!$C$3:$C$106,$A72)</f>
        <v>0</v>
      </c>
      <c r="W72" s="704">
        <f t="shared" si="25"/>
        <v>0</v>
      </c>
      <c r="Y72" s="688">
        <f>IFERROR(VLOOKUP($A72,'[92]1月'!$A:$H,8,0),0)</f>
        <v>0</v>
      </c>
      <c r="Z72" s="688">
        <f>IFERROR(VLOOKUP($A72,'[92]2月'!$A:$H,8,0),0)</f>
        <v>0</v>
      </c>
      <c r="AA72" s="688">
        <f>IFERROR(VLOOKUP($A72,'[92]3月'!$A:$H,8,0),0)</f>
        <v>0</v>
      </c>
      <c r="AB72" s="688">
        <f>IFERROR(VLOOKUP($A72,'[92]4月'!$A:$H,8,0),0)</f>
        <v>0</v>
      </c>
      <c r="AC72" s="688">
        <f>IFERROR(VLOOKUP($A72,'[92]5月'!$A:$H,8,0),0)</f>
        <v>0</v>
      </c>
      <c r="AD72" s="688">
        <f>IFERROR(VLOOKUP($A72,'[92]6月'!$A:$H,8,0),0)</f>
        <v>0</v>
      </c>
      <c r="AE72" s="688">
        <f>IFERROR(VLOOKUP($A72,'[92]7月'!$A:$H,8,0),0)</f>
        <v>0</v>
      </c>
      <c r="AF72" s="688">
        <f>IFERROR(VLOOKUP($A72,'[92]8月'!$A:$H,8,0),0)</f>
        <v>0</v>
      </c>
      <c r="AG72" s="688">
        <f>IFERROR(VLOOKUP($A72,'[92]9月'!$A:$H,8,0),0)</f>
        <v>0</v>
      </c>
      <c r="AH72" s="688">
        <f>IFERROR(VLOOKUP($A72,'[92]10月'!$A:$H,8,0),0)</f>
        <v>0</v>
      </c>
      <c r="AI72" s="688">
        <f>IFERROR(VLOOKUP($A72,'[92]11月'!$A:$H,8,0),0)</f>
        <v>0</v>
      </c>
      <c r="AJ72" s="688">
        <f>IFERROR(VLOOKUP($A72,'[92]12月'!$A:$H,8,0),0)</f>
        <v>0</v>
      </c>
      <c r="AK72" s="688">
        <f t="shared" si="37"/>
        <v>0</v>
      </c>
    </row>
    <row r="73" spans="1:37" ht="11.1" customHeight="1">
      <c r="A73" s="653" t="str">
        <f>'Budget-合并'!A73</f>
        <v>6602.05.08</v>
      </c>
      <c r="B73" s="653" t="str">
        <f>'Budget-合并'!B73</f>
        <v>集团内分摊</v>
      </c>
      <c r="C73" s="687" t="str">
        <f>'Budget-合并'!C73</f>
        <v>Space Rel X Charge</v>
      </c>
      <c r="D73" s="704">
        <f t="shared" si="30"/>
        <v>0</v>
      </c>
      <c r="E73" s="704" t="e">
        <f t="shared" si="31"/>
        <v>#N/A</v>
      </c>
      <c r="F73" s="704" t="e">
        <f t="shared" si="32"/>
        <v>#N/A</v>
      </c>
      <c r="G73" s="704">
        <f t="shared" ca="1" si="33"/>
        <v>0</v>
      </c>
      <c r="H73" s="704" t="e">
        <f t="shared" ca="1" si="34"/>
        <v>#N/A</v>
      </c>
      <c r="I73" s="704" t="e">
        <f t="shared" ca="1" si="35"/>
        <v>#N/A</v>
      </c>
      <c r="K73" s="704">
        <f>SUMIFS(SPACE!O$3:O$106,SPACE!$A$3:$A$106,$D$1,SPACE!$C$3:$C$106,$A73)</f>
        <v>0</v>
      </c>
      <c r="L73" s="704">
        <f>SUMIFS(SPACE!P$3:P$106,SPACE!$A$3:$A$106,$D$1,SPACE!$C$3:$C$106,$A73)</f>
        <v>0</v>
      </c>
      <c r="M73" s="704">
        <f>SUMIFS(SPACE!Q$3:Q$106,SPACE!$A$3:$A$106,$D$1,SPACE!$C$3:$C$106,$A73)</f>
        <v>0</v>
      </c>
      <c r="N73" s="704">
        <f>SUMIFS(SPACE!R$3:R$106,SPACE!$A$3:$A$106,$D$1,SPACE!$C$3:$C$106,$A73)</f>
        <v>0</v>
      </c>
      <c r="O73" s="704">
        <f>SUMIFS(SPACE!S$3:S$106,SPACE!$A$3:$A$106,$D$1,SPACE!$C$3:$C$106,$A73)</f>
        <v>0</v>
      </c>
      <c r="P73" s="704">
        <f>SUMIFS(SPACE!T$3:T$106,SPACE!$A$3:$A$106,$D$1,SPACE!$C$3:$C$106,$A73)</f>
        <v>0</v>
      </c>
      <c r="Q73" s="704">
        <f>SUMIFS(SPACE!U$3:U$106,SPACE!$A$3:$A$106,$D$1,SPACE!$C$3:$C$106,$A73)</f>
        <v>0</v>
      </c>
      <c r="R73" s="704">
        <f>SUMIFS(SPACE!V$3:V$106,SPACE!$A$3:$A$106,$D$1,SPACE!$C$3:$C$106,$A73)</f>
        <v>0</v>
      </c>
      <c r="S73" s="704">
        <f>SUMIFS(SPACE!W$3:W$106,SPACE!$A$3:$A$106,$D$1,SPACE!$C$3:$C$106,$A73)</f>
        <v>0</v>
      </c>
      <c r="T73" s="704">
        <f>SUMIFS(SPACE!X$3:X$106,SPACE!$A$3:$A$106,$D$1,SPACE!$C$3:$C$106,$A73)</f>
        <v>0</v>
      </c>
      <c r="U73" s="704">
        <f>SUMIFS(SPACE!Y$3:Y$106,SPACE!$A$3:$A$106,$D$1,SPACE!$C$3:$C$106,$A73)</f>
        <v>0</v>
      </c>
      <c r="V73" s="704">
        <f>SUMIFS(SPACE!Z$3:Z$106,SPACE!$A$3:$A$106,$D$1,SPACE!$C$3:$C$106,$A73)</f>
        <v>0</v>
      </c>
      <c r="W73" s="704">
        <f t="shared" si="25"/>
        <v>0</v>
      </c>
      <c r="Y73" s="688">
        <f>IFERROR(VLOOKUP($A73,'[92]1月'!$A:$H,8,0),0)</f>
        <v>0</v>
      </c>
      <c r="Z73" s="688">
        <f>IFERROR(VLOOKUP($A73,'[92]2月'!$A:$H,8,0),0)</f>
        <v>0</v>
      </c>
      <c r="AA73" s="688">
        <f>IFERROR(VLOOKUP($A73,'[92]3月'!$A:$H,8,0),0)</f>
        <v>0</v>
      </c>
      <c r="AB73" s="688">
        <f>IFERROR(VLOOKUP($A73,'[92]4月'!$A:$H,8,0),0)</f>
        <v>0</v>
      </c>
      <c r="AC73" s="688">
        <f>IFERROR(VLOOKUP($A73,'[92]5月'!$A:$H,8,0),0)</f>
        <v>0</v>
      </c>
      <c r="AD73" s="688">
        <f>IFERROR(VLOOKUP($A73,'[92]6月'!$A:$H,8,0),0)</f>
        <v>0</v>
      </c>
      <c r="AE73" s="688">
        <f>IFERROR(VLOOKUP($A73,'[92]7月'!$A:$H,8,0),0)</f>
        <v>0</v>
      </c>
      <c r="AF73" s="688">
        <f>IFERROR(VLOOKUP($A73,'[92]8月'!$A:$H,8,0),0)</f>
        <v>0</v>
      </c>
      <c r="AG73" s="688">
        <f>IFERROR(VLOOKUP($A73,'[92]9月'!$A:$H,8,0),0)</f>
        <v>0</v>
      </c>
      <c r="AH73" s="688">
        <f>IFERROR(VLOOKUP($A73,'[92]10月'!$A:$H,8,0),0)</f>
        <v>0</v>
      </c>
      <c r="AI73" s="688">
        <f>IFERROR(VLOOKUP($A73,'[92]11月'!$A:$H,8,0),0)</f>
        <v>0</v>
      </c>
      <c r="AJ73" s="688">
        <f>IFERROR(VLOOKUP($A73,'[92]12月'!$A:$H,8,0),0)</f>
        <v>0</v>
      </c>
      <c r="AK73" s="688">
        <f t="shared" si="37"/>
        <v>0</v>
      </c>
    </row>
    <row r="74" spans="1:37" ht="11.1" customHeight="1">
      <c r="A74" s="653" t="str">
        <f>'Budget-合并'!A74</f>
        <v>6602.05.99</v>
      </c>
      <c r="B74" s="653" t="str">
        <f>'Budget-合并'!B74</f>
        <v>其他</v>
      </c>
      <c r="C74" s="687">
        <f>'Budget-合并'!C74</f>
        <v>0</v>
      </c>
      <c r="D74" s="704">
        <f t="shared" si="30"/>
        <v>0</v>
      </c>
      <c r="E74" s="704" t="e">
        <f t="shared" si="31"/>
        <v>#N/A</v>
      </c>
      <c r="F74" s="704" t="e">
        <f t="shared" si="32"/>
        <v>#N/A</v>
      </c>
      <c r="G74" s="704">
        <f t="shared" ca="1" si="33"/>
        <v>0</v>
      </c>
      <c r="H74" s="704" t="e">
        <f t="shared" ca="1" si="34"/>
        <v>#N/A</v>
      </c>
      <c r="I74" s="704" t="e">
        <f t="shared" ca="1" si="35"/>
        <v>#N/A</v>
      </c>
      <c r="K74" s="704">
        <f>SUMIFS(SPACE!O$3:O$106,SPACE!$A$3:$A$106,$D$1,SPACE!$C$3:$C$106,$A74)</f>
        <v>0</v>
      </c>
      <c r="L74" s="704">
        <f>SUMIFS(SPACE!P$3:P$106,SPACE!$A$3:$A$106,$D$1,SPACE!$C$3:$C$106,$A74)</f>
        <v>0</v>
      </c>
      <c r="M74" s="704">
        <f>SUMIFS(SPACE!Q$3:Q$106,SPACE!$A$3:$A$106,$D$1,SPACE!$C$3:$C$106,$A74)</f>
        <v>0</v>
      </c>
      <c r="N74" s="704">
        <f>SUMIFS(SPACE!R$3:R$106,SPACE!$A$3:$A$106,$D$1,SPACE!$C$3:$C$106,$A74)</f>
        <v>0</v>
      </c>
      <c r="O74" s="704">
        <f>SUMIFS(SPACE!S$3:S$106,SPACE!$A$3:$A$106,$D$1,SPACE!$C$3:$C$106,$A74)</f>
        <v>0</v>
      </c>
      <c r="P74" s="704">
        <f>SUMIFS(SPACE!T$3:T$106,SPACE!$A$3:$A$106,$D$1,SPACE!$C$3:$C$106,$A74)</f>
        <v>0</v>
      </c>
      <c r="Q74" s="704">
        <f>SUMIFS(SPACE!U$3:U$106,SPACE!$A$3:$A$106,$D$1,SPACE!$C$3:$C$106,$A74)</f>
        <v>0</v>
      </c>
      <c r="R74" s="704">
        <f>SUMIFS(SPACE!V$3:V$106,SPACE!$A$3:$A$106,$D$1,SPACE!$C$3:$C$106,$A74)</f>
        <v>0</v>
      </c>
      <c r="S74" s="704">
        <f>SUMIFS(SPACE!W$3:W$106,SPACE!$A$3:$A$106,$D$1,SPACE!$C$3:$C$106,$A74)</f>
        <v>0</v>
      </c>
      <c r="T74" s="704">
        <f>SUMIFS(SPACE!X$3:X$106,SPACE!$A$3:$A$106,$D$1,SPACE!$C$3:$C$106,$A74)</f>
        <v>0</v>
      </c>
      <c r="U74" s="704">
        <f>SUMIFS(SPACE!Y$3:Y$106,SPACE!$A$3:$A$106,$D$1,SPACE!$C$3:$C$106,$A74)</f>
        <v>0</v>
      </c>
      <c r="V74" s="704">
        <f>SUMIFS(SPACE!Z$3:Z$106,SPACE!$A$3:$A$106,$D$1,SPACE!$C$3:$C$106,$A74)</f>
        <v>0</v>
      </c>
      <c r="W74" s="704">
        <f t="shared" si="25"/>
        <v>0</v>
      </c>
      <c r="Y74" s="688">
        <f>IFERROR(VLOOKUP($A74,'[92]1月'!$A:$H,8,0),0)</f>
        <v>0</v>
      </c>
      <c r="Z74" s="688">
        <f>IFERROR(VLOOKUP($A74,'[92]2月'!$A:$H,8,0),0)</f>
        <v>0</v>
      </c>
      <c r="AA74" s="688">
        <f>IFERROR(VLOOKUP($A74,'[92]3月'!$A:$H,8,0),0)</f>
        <v>0</v>
      </c>
      <c r="AB74" s="688">
        <f>IFERROR(VLOOKUP($A74,'[92]4月'!$A:$H,8,0),0)</f>
        <v>0</v>
      </c>
      <c r="AC74" s="688">
        <f>IFERROR(VLOOKUP($A74,'[92]5月'!$A:$H,8,0),0)</f>
        <v>0</v>
      </c>
      <c r="AD74" s="688">
        <f>IFERROR(VLOOKUP($A74,'[92]6月'!$A:$H,8,0),0)</f>
        <v>0</v>
      </c>
      <c r="AE74" s="688">
        <f>IFERROR(VLOOKUP($A74,'[92]7月'!$A:$H,8,0),0)</f>
        <v>0</v>
      </c>
      <c r="AF74" s="688">
        <f>IFERROR(VLOOKUP($A74,'[92]8月'!$A:$H,8,0),0)</f>
        <v>0</v>
      </c>
      <c r="AG74" s="688">
        <f>IFERROR(VLOOKUP($A74,'[92]9月'!$A:$H,8,0),0)</f>
        <v>0</v>
      </c>
      <c r="AH74" s="688">
        <f>IFERROR(VLOOKUP($A74,'[92]10月'!$A:$H,8,0),0)</f>
        <v>0</v>
      </c>
      <c r="AI74" s="688">
        <f>IFERROR(VLOOKUP($A74,'[92]11月'!$A:$H,8,0),0)</f>
        <v>0</v>
      </c>
      <c r="AJ74" s="688">
        <f>IFERROR(VLOOKUP($A74,'[92]12月'!$A:$H,8,0),0)</f>
        <v>0</v>
      </c>
      <c r="AK74" s="688">
        <f t="shared" si="37"/>
        <v>0</v>
      </c>
    </row>
    <row r="75" spans="1:37" ht="11.1" customHeight="1">
      <c r="A75" s="663" t="str">
        <f>'Budget-合并'!A75</f>
        <v>6602.06</v>
      </c>
      <c r="B75" s="663" t="str">
        <f>'Budget-合并'!B75</f>
        <v>业务招待费</v>
      </c>
      <c r="C75" s="687" t="str">
        <f>'Budget-合并'!C75</f>
        <v>Client Entertainment</v>
      </c>
      <c r="D75" s="704">
        <f t="shared" si="30"/>
        <v>0</v>
      </c>
      <c r="E75" s="704" t="e">
        <f t="shared" si="31"/>
        <v>#N/A</v>
      </c>
      <c r="F75" s="704" t="e">
        <f t="shared" si="32"/>
        <v>#N/A</v>
      </c>
      <c r="G75" s="704">
        <f t="shared" ca="1" si="33"/>
        <v>0</v>
      </c>
      <c r="H75" s="704" t="e">
        <f t="shared" ca="1" si="34"/>
        <v>#N/A</v>
      </c>
      <c r="I75" s="704" t="e">
        <f t="shared" ca="1" si="35"/>
        <v>#N/A</v>
      </c>
      <c r="K75" s="704">
        <f t="shared" ref="K75:V75" si="41">SUM(K76:K78)</f>
        <v>0</v>
      </c>
      <c r="L75" s="704">
        <f t="shared" si="41"/>
        <v>0</v>
      </c>
      <c r="M75" s="704">
        <f t="shared" si="41"/>
        <v>0</v>
      </c>
      <c r="N75" s="704">
        <f t="shared" si="41"/>
        <v>0</v>
      </c>
      <c r="O75" s="704">
        <f t="shared" si="41"/>
        <v>0</v>
      </c>
      <c r="P75" s="704">
        <f t="shared" si="41"/>
        <v>0</v>
      </c>
      <c r="Q75" s="704">
        <f t="shared" si="41"/>
        <v>0</v>
      </c>
      <c r="R75" s="704">
        <f t="shared" si="41"/>
        <v>0</v>
      </c>
      <c r="S75" s="704">
        <f t="shared" si="41"/>
        <v>0</v>
      </c>
      <c r="T75" s="704">
        <f t="shared" si="41"/>
        <v>0</v>
      </c>
      <c r="U75" s="704">
        <f t="shared" si="41"/>
        <v>0</v>
      </c>
      <c r="V75" s="704">
        <f t="shared" si="41"/>
        <v>0</v>
      </c>
      <c r="W75" s="704">
        <f t="shared" si="25"/>
        <v>0</v>
      </c>
      <c r="Y75" s="688">
        <f>IFERROR(VLOOKUP($A75,'[92]1月'!$A:$H,8,0),0)</f>
        <v>0</v>
      </c>
      <c r="Z75" s="688">
        <f>IFERROR(VLOOKUP($A75,'[92]2月'!$A:$H,8,0),0)</f>
        <v>0</v>
      </c>
      <c r="AA75" s="688">
        <f>IFERROR(VLOOKUP($A75,'[92]3月'!$A:$H,8,0),0)</f>
        <v>0</v>
      </c>
      <c r="AB75" s="688">
        <f>IFERROR(VLOOKUP($A75,'[92]4月'!$A:$H,8,0),0)</f>
        <v>0</v>
      </c>
      <c r="AC75" s="688">
        <f>IFERROR(VLOOKUP($A75,'[92]5月'!$A:$H,8,0),0)</f>
        <v>94</v>
      </c>
      <c r="AD75" s="688">
        <f>IFERROR(VLOOKUP($A75,'[92]6月'!$A:$H,8,0),0)</f>
        <v>0</v>
      </c>
      <c r="AE75" s="688">
        <f>IFERROR(VLOOKUP($A75,'[92]7月'!$A:$H,8,0),0)</f>
        <v>0</v>
      </c>
      <c r="AF75" s="688">
        <f>IFERROR(VLOOKUP($A75,'[92]8月'!$A:$H,8,0),0)</f>
        <v>0</v>
      </c>
      <c r="AG75" s="688">
        <f>IFERROR(VLOOKUP($A75,'[92]9月'!$A:$H,8,0),0)</f>
        <v>279</v>
      </c>
      <c r="AH75" s="688">
        <f>IFERROR(VLOOKUP($A75,'[92]10月'!$A:$H,8,0),0)</f>
        <v>128</v>
      </c>
      <c r="AI75" s="688">
        <f>IFERROR(VLOOKUP($A75,'[92]11月'!$A:$H,8,0),0)</f>
        <v>0</v>
      </c>
      <c r="AJ75" s="688">
        <f>IFERROR(VLOOKUP($A75,'[92]12月'!$A:$H,8,0),0)</f>
        <v>4826.6499999999996</v>
      </c>
      <c r="AK75" s="688">
        <f t="shared" si="37"/>
        <v>5327.65</v>
      </c>
    </row>
    <row r="76" spans="1:37" ht="11.1" customHeight="1">
      <c r="A76" s="653">
        <f>'Budget-合并'!A76</f>
        <v>0</v>
      </c>
      <c r="B76" s="653" t="str">
        <f>'Budget-合并'!B76</f>
        <v xml:space="preserve">    公司主体02</v>
      </c>
      <c r="C76" s="687" t="str">
        <f>'Budget-合并'!C76</f>
        <v xml:space="preserve">   Entity</v>
      </c>
      <c r="D76" s="704">
        <f t="shared" si="30"/>
        <v>0</v>
      </c>
      <c r="E76" s="704" t="e">
        <f t="shared" si="31"/>
        <v>#N/A</v>
      </c>
      <c r="F76" s="704" t="e">
        <f t="shared" si="32"/>
        <v>#N/A</v>
      </c>
      <c r="G76" s="704">
        <f t="shared" ca="1" si="33"/>
        <v>0</v>
      </c>
      <c r="H76" s="704" t="e">
        <f t="shared" ca="1" si="34"/>
        <v>#N/A</v>
      </c>
      <c r="I76" s="704" t="e">
        <f t="shared" ca="1" si="35"/>
        <v>#N/A</v>
      </c>
      <c r="K76" s="704"/>
      <c r="L76" s="704"/>
      <c r="M76" s="704"/>
      <c r="N76" s="704"/>
      <c r="O76" s="704"/>
      <c r="P76" s="704"/>
      <c r="Q76" s="704"/>
      <c r="R76" s="704"/>
      <c r="S76" s="704"/>
      <c r="T76" s="704"/>
      <c r="U76" s="704"/>
      <c r="V76" s="704"/>
      <c r="W76" s="704">
        <f t="shared" si="25"/>
        <v>0</v>
      </c>
      <c r="Y76" s="688">
        <f>IFERROR(VLOOKUP($A76,'[92]1月'!$A:$H,8,0),0)</f>
        <v>0</v>
      </c>
      <c r="Z76" s="688">
        <f>IFERROR(VLOOKUP($A76,'[92]2月'!$A:$H,8,0),0)</f>
        <v>0</v>
      </c>
      <c r="AA76" s="688">
        <f>IFERROR(VLOOKUP($A76,'[92]3月'!$A:$H,8,0),0)</f>
        <v>0</v>
      </c>
      <c r="AB76" s="688">
        <f>IFERROR(VLOOKUP($A76,'[92]4月'!$A:$H,8,0),0)</f>
        <v>0</v>
      </c>
      <c r="AC76" s="688">
        <f>IFERROR(VLOOKUP($A76,'[92]5月'!$A:$H,8,0),0)</f>
        <v>0</v>
      </c>
      <c r="AD76" s="688">
        <f>IFERROR(VLOOKUP($A76,'[92]6月'!$A:$H,8,0),0)</f>
        <v>0</v>
      </c>
      <c r="AE76" s="688">
        <f>IFERROR(VLOOKUP($A76,'[92]7月'!$A:$H,8,0),0)</f>
        <v>0</v>
      </c>
      <c r="AF76" s="688">
        <f>IFERROR(VLOOKUP($A76,'[92]8月'!$A:$H,8,0),0)</f>
        <v>0</v>
      </c>
      <c r="AG76" s="688">
        <f>IFERROR(VLOOKUP($A76,'[92]9月'!$A:$H,8,0),0)</f>
        <v>0</v>
      </c>
      <c r="AH76" s="688">
        <f>IFERROR(VLOOKUP($A76,'[92]10月'!$A:$H,8,0),0)</f>
        <v>0</v>
      </c>
      <c r="AI76" s="688">
        <f>IFERROR(VLOOKUP($A76,'[92]11月'!$A:$H,8,0),0)</f>
        <v>0</v>
      </c>
      <c r="AJ76" s="688">
        <f>IFERROR(VLOOKUP($A76,'[92]12月'!$A:$H,8,0),0)</f>
        <v>0</v>
      </c>
      <c r="AK76" s="688">
        <f t="shared" si="37"/>
        <v>0</v>
      </c>
    </row>
    <row r="77" spans="1:37" ht="11.1" customHeight="1">
      <c r="A77" s="653">
        <f>'Budget-合并'!A77</f>
        <v>0</v>
      </c>
      <c r="B77" s="653" t="str">
        <f>'Budget-合并'!B77</f>
        <v xml:space="preserve">    旭智富能02</v>
      </c>
      <c r="C77" s="687" t="str">
        <f>'Budget-合并'!C77</f>
        <v xml:space="preserve">   Foxpower</v>
      </c>
      <c r="D77" s="704">
        <f t="shared" si="30"/>
        <v>0</v>
      </c>
      <c r="E77" s="704" t="e">
        <f t="shared" si="31"/>
        <v>#N/A</v>
      </c>
      <c r="F77" s="704" t="e">
        <f t="shared" si="32"/>
        <v>#N/A</v>
      </c>
      <c r="G77" s="704">
        <f t="shared" ca="1" si="33"/>
        <v>0</v>
      </c>
      <c r="H77" s="704" t="e">
        <f t="shared" ca="1" si="34"/>
        <v>#N/A</v>
      </c>
      <c r="I77" s="704" t="e">
        <f t="shared" ca="1" si="35"/>
        <v>#N/A</v>
      </c>
      <c r="K77" s="704"/>
      <c r="L77" s="704"/>
      <c r="M77" s="704"/>
      <c r="N77" s="704"/>
      <c r="O77" s="704"/>
      <c r="P77" s="704"/>
      <c r="Q77" s="704"/>
      <c r="R77" s="704"/>
      <c r="S77" s="704"/>
      <c r="T77" s="704"/>
      <c r="U77" s="704"/>
      <c r="V77" s="704"/>
      <c r="W77" s="704">
        <f t="shared" si="25"/>
        <v>0</v>
      </c>
      <c r="Y77" s="688">
        <f>IFERROR(VLOOKUP($A77,'[92]1月'!$A:$H,8,0),0)</f>
        <v>0</v>
      </c>
      <c r="Z77" s="688">
        <f>IFERROR(VLOOKUP($A77,'[92]2月'!$A:$H,8,0),0)</f>
        <v>0</v>
      </c>
      <c r="AA77" s="688">
        <f>IFERROR(VLOOKUP($A77,'[92]3月'!$A:$H,8,0),0)</f>
        <v>0</v>
      </c>
      <c r="AB77" s="688">
        <f>IFERROR(VLOOKUP($A77,'[92]4月'!$A:$H,8,0),0)</f>
        <v>0</v>
      </c>
      <c r="AC77" s="688">
        <f>IFERROR(VLOOKUP($A77,'[92]5月'!$A:$H,8,0),0)</f>
        <v>0</v>
      </c>
      <c r="AD77" s="688">
        <f>IFERROR(VLOOKUP($A77,'[92]6月'!$A:$H,8,0),0)</f>
        <v>0</v>
      </c>
      <c r="AE77" s="688">
        <f>IFERROR(VLOOKUP($A77,'[92]7月'!$A:$H,8,0),0)</f>
        <v>0</v>
      </c>
      <c r="AF77" s="688">
        <f>IFERROR(VLOOKUP($A77,'[92]8月'!$A:$H,8,0),0)</f>
        <v>0</v>
      </c>
      <c r="AG77" s="688">
        <f>IFERROR(VLOOKUP($A77,'[92]9月'!$A:$H,8,0),0)</f>
        <v>0</v>
      </c>
      <c r="AH77" s="688">
        <f>IFERROR(VLOOKUP($A77,'[92]10月'!$A:$H,8,0),0)</f>
        <v>0</v>
      </c>
      <c r="AI77" s="688">
        <f>IFERROR(VLOOKUP($A77,'[92]11月'!$A:$H,8,0),0)</f>
        <v>0</v>
      </c>
      <c r="AJ77" s="688">
        <f>IFERROR(VLOOKUP($A77,'[92]12月'!$A:$H,8,0),0)</f>
        <v>0</v>
      </c>
      <c r="AK77" s="688">
        <f t="shared" si="37"/>
        <v>0</v>
      </c>
    </row>
    <row r="78" spans="1:37" ht="11.1" customHeight="1">
      <c r="A78" s="653">
        <f>'Budget-合并'!A78</f>
        <v>0</v>
      </c>
      <c r="B78" s="653" t="str">
        <f>'Budget-合并'!B78</f>
        <v xml:space="preserve">    其他项目02</v>
      </c>
      <c r="C78" s="687" t="str">
        <f>'Budget-合并'!C78</f>
        <v xml:space="preserve">   Other project</v>
      </c>
      <c r="D78" s="704">
        <f t="shared" si="30"/>
        <v>0</v>
      </c>
      <c r="E78" s="704" t="e">
        <f t="shared" si="31"/>
        <v>#N/A</v>
      </c>
      <c r="F78" s="704" t="e">
        <f t="shared" si="32"/>
        <v>#N/A</v>
      </c>
      <c r="G78" s="704">
        <f t="shared" ca="1" si="33"/>
        <v>0</v>
      </c>
      <c r="H78" s="704" t="e">
        <f t="shared" ca="1" si="34"/>
        <v>#N/A</v>
      </c>
      <c r="I78" s="704" t="e">
        <f t="shared" ca="1" si="35"/>
        <v>#N/A</v>
      </c>
      <c r="K78" s="704"/>
      <c r="L78" s="704"/>
      <c r="M78" s="704"/>
      <c r="N78" s="704"/>
      <c r="O78" s="704"/>
      <c r="P78" s="704"/>
      <c r="Q78" s="704"/>
      <c r="R78" s="704"/>
      <c r="S78" s="704"/>
      <c r="T78" s="704"/>
      <c r="U78" s="704"/>
      <c r="V78" s="704"/>
      <c r="W78" s="704">
        <f t="shared" si="25"/>
        <v>0</v>
      </c>
      <c r="Y78" s="688">
        <f>IFERROR(VLOOKUP($A78,'[92]1月'!$A:$H,8,0),0)</f>
        <v>0</v>
      </c>
      <c r="Z78" s="688">
        <f>IFERROR(VLOOKUP($A78,'[92]2月'!$A:$H,8,0),0)</f>
        <v>0</v>
      </c>
      <c r="AA78" s="688">
        <f>IFERROR(VLOOKUP($A78,'[92]3月'!$A:$H,8,0),0)</f>
        <v>0</v>
      </c>
      <c r="AB78" s="688">
        <f>IFERROR(VLOOKUP($A78,'[92]4月'!$A:$H,8,0),0)</f>
        <v>0</v>
      </c>
      <c r="AC78" s="688">
        <f>IFERROR(VLOOKUP($A78,'[92]5月'!$A:$H,8,0),0)</f>
        <v>0</v>
      </c>
      <c r="AD78" s="688">
        <f>IFERROR(VLOOKUP($A78,'[92]6月'!$A:$H,8,0),0)</f>
        <v>0</v>
      </c>
      <c r="AE78" s="688">
        <f>IFERROR(VLOOKUP($A78,'[92]7月'!$A:$H,8,0),0)</f>
        <v>0</v>
      </c>
      <c r="AF78" s="688">
        <f>IFERROR(VLOOKUP($A78,'[92]8月'!$A:$H,8,0),0)</f>
        <v>0</v>
      </c>
      <c r="AG78" s="688">
        <f>IFERROR(VLOOKUP($A78,'[92]9月'!$A:$H,8,0),0)</f>
        <v>0</v>
      </c>
      <c r="AH78" s="688">
        <f>IFERROR(VLOOKUP($A78,'[92]10月'!$A:$H,8,0),0)</f>
        <v>0</v>
      </c>
      <c r="AI78" s="688">
        <f>IFERROR(VLOOKUP($A78,'[92]11月'!$A:$H,8,0),0)</f>
        <v>0</v>
      </c>
      <c r="AJ78" s="688">
        <f>IFERROR(VLOOKUP($A78,'[92]12月'!$A:$H,8,0),0)</f>
        <v>0</v>
      </c>
      <c r="AK78" s="688">
        <f t="shared" si="37"/>
        <v>0</v>
      </c>
    </row>
    <row r="79" spans="1:37" ht="11.1" customHeight="1">
      <c r="A79" s="653" t="str">
        <f>'Budget-合并'!A79</f>
        <v>6602.07</v>
      </c>
      <c r="B79" s="653" t="str">
        <f>'Budget-合并'!B79</f>
        <v>广告费和业务宣传费</v>
      </c>
      <c r="C79" s="687">
        <f>'Budget-合并'!C79</f>
        <v>0</v>
      </c>
      <c r="D79" s="704">
        <f t="shared" si="30"/>
        <v>0</v>
      </c>
      <c r="E79" s="704" t="e">
        <f t="shared" si="31"/>
        <v>#N/A</v>
      </c>
      <c r="F79" s="704" t="e">
        <f t="shared" si="32"/>
        <v>#N/A</v>
      </c>
      <c r="G79" s="704">
        <f t="shared" ca="1" si="33"/>
        <v>0</v>
      </c>
      <c r="H79" s="704" t="e">
        <f t="shared" ca="1" si="34"/>
        <v>#N/A</v>
      </c>
      <c r="I79" s="704" t="e">
        <f t="shared" ca="1" si="35"/>
        <v>#N/A</v>
      </c>
      <c r="K79" s="704"/>
      <c r="L79" s="704"/>
      <c r="M79" s="704"/>
      <c r="N79" s="704"/>
      <c r="O79" s="704"/>
      <c r="P79" s="704"/>
      <c r="Q79" s="704"/>
      <c r="R79" s="704"/>
      <c r="S79" s="704"/>
      <c r="T79" s="704"/>
      <c r="U79" s="704"/>
      <c r="V79" s="704"/>
      <c r="W79" s="704">
        <f t="shared" si="25"/>
        <v>0</v>
      </c>
      <c r="Y79" s="688">
        <f>IFERROR(VLOOKUP($A79,'[92]1月'!$A:$H,8,0),0)</f>
        <v>0</v>
      </c>
      <c r="Z79" s="688">
        <f>IFERROR(VLOOKUP($A79,'[92]2月'!$A:$H,8,0),0)</f>
        <v>0</v>
      </c>
      <c r="AA79" s="688">
        <f>IFERROR(VLOOKUP($A79,'[92]3月'!$A:$H,8,0),0)</f>
        <v>0</v>
      </c>
      <c r="AB79" s="688">
        <f>IFERROR(VLOOKUP($A79,'[92]4月'!$A:$H,8,0),0)</f>
        <v>0</v>
      </c>
      <c r="AC79" s="688">
        <f>IFERROR(VLOOKUP($A79,'[92]5月'!$A:$H,8,0),0)</f>
        <v>0</v>
      </c>
      <c r="AD79" s="688">
        <f>IFERROR(VLOOKUP($A79,'[92]6月'!$A:$H,8,0),0)</f>
        <v>0</v>
      </c>
      <c r="AE79" s="688">
        <f>IFERROR(VLOOKUP($A79,'[92]7月'!$A:$H,8,0),0)</f>
        <v>0</v>
      </c>
      <c r="AF79" s="688">
        <f>IFERROR(VLOOKUP($A79,'[92]8月'!$A:$H,8,0),0)</f>
        <v>0</v>
      </c>
      <c r="AG79" s="688">
        <f>IFERROR(VLOOKUP($A79,'[92]9月'!$A:$H,8,0),0)</f>
        <v>0</v>
      </c>
      <c r="AH79" s="688">
        <f>IFERROR(VLOOKUP($A79,'[92]10月'!$A:$H,8,0),0)</f>
        <v>0</v>
      </c>
      <c r="AI79" s="688">
        <f>IFERROR(VLOOKUP($A79,'[92]11月'!$A:$H,8,0),0)</f>
        <v>0</v>
      </c>
      <c r="AJ79" s="688">
        <f>IFERROR(VLOOKUP($A79,'[92]12月'!$A:$H,8,0),0)</f>
        <v>0</v>
      </c>
      <c r="AK79" s="688">
        <f t="shared" si="37"/>
        <v>0</v>
      </c>
    </row>
    <row r="80" spans="1:37" ht="11.1" customHeight="1">
      <c r="A80" s="663" t="str">
        <f>'Budget-合并'!A80</f>
        <v>6602.08</v>
      </c>
      <c r="B80" s="663" t="str">
        <f>'Budget-合并'!B80</f>
        <v>事务费用</v>
      </c>
      <c r="C80" s="687">
        <f>'Budget-合并'!C80</f>
        <v>0</v>
      </c>
      <c r="D80" s="704">
        <f t="shared" si="30"/>
        <v>22447.846940833333</v>
      </c>
      <c r="E80" s="704" t="e">
        <f t="shared" si="31"/>
        <v>#N/A</v>
      </c>
      <c r="F80" s="704" t="e">
        <f t="shared" si="32"/>
        <v>#N/A</v>
      </c>
      <c r="G80" s="704">
        <f t="shared" ca="1" si="33"/>
        <v>22447.846940833333</v>
      </c>
      <c r="H80" s="704" t="e">
        <f t="shared" ca="1" si="34"/>
        <v>#N/A</v>
      </c>
      <c r="I80" s="704" t="e">
        <f t="shared" ca="1" si="35"/>
        <v>#N/A</v>
      </c>
      <c r="K80" s="704">
        <f t="shared" ref="K80:V80" si="42">SUM(K81:K91)</f>
        <v>22447.846940833333</v>
      </c>
      <c r="L80" s="704">
        <f t="shared" si="42"/>
        <v>22251.363016666666</v>
      </c>
      <c r="M80" s="704">
        <f t="shared" si="42"/>
        <v>22251.363016666666</v>
      </c>
      <c r="N80" s="704">
        <f t="shared" si="42"/>
        <v>22251.363016666666</v>
      </c>
      <c r="O80" s="704">
        <f t="shared" si="42"/>
        <v>22251.363016666666</v>
      </c>
      <c r="P80" s="704">
        <f t="shared" si="42"/>
        <v>22251.363016666666</v>
      </c>
      <c r="Q80" s="704">
        <f t="shared" si="42"/>
        <v>22251.363016666666</v>
      </c>
      <c r="R80" s="704">
        <f t="shared" si="42"/>
        <v>22251.363016666666</v>
      </c>
      <c r="S80" s="704">
        <f t="shared" si="42"/>
        <v>22251.363016666666</v>
      </c>
      <c r="T80" s="704">
        <f t="shared" si="42"/>
        <v>22251.363016666666</v>
      </c>
      <c r="U80" s="704">
        <f t="shared" si="42"/>
        <v>22251.363016666666</v>
      </c>
      <c r="V80" s="704">
        <f t="shared" si="42"/>
        <v>22251.363016666666</v>
      </c>
      <c r="W80" s="704">
        <f t="shared" si="25"/>
        <v>267212.84012416669</v>
      </c>
      <c r="Y80" s="688">
        <f>IFERROR(VLOOKUP($A80,'[92]1月'!$A:$H,8,0),0)</f>
        <v>7330</v>
      </c>
      <c r="Z80" s="688">
        <f>IFERROR(VLOOKUP($A80,'[92]2月'!$A:$H,8,0),0)</f>
        <v>5621.16</v>
      </c>
      <c r="AA80" s="688">
        <f>IFERROR(VLOOKUP($A80,'[92]3月'!$A:$H,8,0),0)</f>
        <v>2560.58</v>
      </c>
      <c r="AB80" s="688">
        <f>IFERROR(VLOOKUP($A80,'[92]4月'!$A:$H,8,0),0)</f>
        <v>1751.71</v>
      </c>
      <c r="AC80" s="688">
        <f>IFERROR(VLOOKUP($A80,'[92]5月'!$A:$H,8,0),0)</f>
        <v>30612.41</v>
      </c>
      <c r="AD80" s="688">
        <f>IFERROR(VLOOKUP($A80,'[92]6月'!$A:$H,8,0),0)</f>
        <v>10797.43</v>
      </c>
      <c r="AE80" s="688">
        <f>IFERROR(VLOOKUP($A80,'[92]7月'!$A:$H,8,0),0)</f>
        <v>10523.69</v>
      </c>
      <c r="AF80" s="688">
        <f>IFERROR(VLOOKUP($A80,'[92]8月'!$A:$H,8,0),0)</f>
        <v>62170.28</v>
      </c>
      <c r="AG80" s="688">
        <f>IFERROR(VLOOKUP($A80,'[92]9月'!$A:$H,8,0),0)</f>
        <v>22440.09</v>
      </c>
      <c r="AH80" s="688">
        <f>IFERROR(VLOOKUP($A80,'[92]10月'!$A:$H,8,0),0)</f>
        <v>17189.66</v>
      </c>
      <c r="AI80" s="688">
        <f>IFERROR(VLOOKUP($A80,'[92]11月'!$A:$H,8,0),0)</f>
        <v>15525.91</v>
      </c>
      <c r="AJ80" s="688">
        <f>IFERROR(VLOOKUP($A80,'[92]12月'!$A:$H,8,0),0)</f>
        <v>118036.48</v>
      </c>
      <c r="AK80" s="688">
        <f t="shared" si="37"/>
        <v>304559.40000000002</v>
      </c>
    </row>
    <row r="81" spans="1:37" ht="11.1" customHeight="1">
      <c r="A81" s="653" t="str">
        <f>'Budget-合并'!A81</f>
        <v>6602.08.01</v>
      </c>
      <c r="B81" s="653" t="str">
        <f>'Budget-合并'!B81</f>
        <v>通信费</v>
      </c>
      <c r="C81" s="687" t="str">
        <f>'Budget-合并'!C81</f>
        <v>Telephone Monthly/Base Charge</v>
      </c>
      <c r="D81" s="704">
        <f t="shared" si="30"/>
        <v>0</v>
      </c>
      <c r="E81" s="704" t="e">
        <f t="shared" si="31"/>
        <v>#N/A</v>
      </c>
      <c r="F81" s="704" t="e">
        <f t="shared" si="32"/>
        <v>#N/A</v>
      </c>
      <c r="G81" s="704">
        <f t="shared" ca="1" si="33"/>
        <v>0</v>
      </c>
      <c r="H81" s="704" t="e">
        <f t="shared" ca="1" si="34"/>
        <v>#N/A</v>
      </c>
      <c r="I81" s="704" t="e">
        <f t="shared" ca="1" si="35"/>
        <v>#N/A</v>
      </c>
      <c r="K81" s="704">
        <f>SUMIFS(SPACE!O$3:O$106,SPACE!$A$3:$A$106,$D$1,SPACE!$C$3:$C$106,$A81)</f>
        <v>0</v>
      </c>
      <c r="L81" s="704">
        <f>SUMIFS(SPACE!P$3:P$106,SPACE!$A$3:$A$106,$D$1,SPACE!$C$3:$C$106,$A81)</f>
        <v>0</v>
      </c>
      <c r="M81" s="704">
        <f>SUMIFS(SPACE!Q$3:Q$106,SPACE!$A$3:$A$106,$D$1,SPACE!$C$3:$C$106,$A81)</f>
        <v>0</v>
      </c>
      <c r="N81" s="704">
        <f>SUMIFS(SPACE!R$3:R$106,SPACE!$A$3:$A$106,$D$1,SPACE!$C$3:$C$106,$A81)</f>
        <v>0</v>
      </c>
      <c r="O81" s="704">
        <f>SUMIFS(SPACE!S$3:S$106,SPACE!$A$3:$A$106,$D$1,SPACE!$C$3:$C$106,$A81)</f>
        <v>0</v>
      </c>
      <c r="P81" s="704">
        <f>SUMIFS(SPACE!T$3:T$106,SPACE!$A$3:$A$106,$D$1,SPACE!$C$3:$C$106,$A81)</f>
        <v>0</v>
      </c>
      <c r="Q81" s="704">
        <f>SUMIFS(SPACE!U$3:U$106,SPACE!$A$3:$A$106,$D$1,SPACE!$C$3:$C$106,$A81)</f>
        <v>0</v>
      </c>
      <c r="R81" s="704">
        <f>SUMIFS(SPACE!V$3:V$106,SPACE!$A$3:$A$106,$D$1,SPACE!$C$3:$C$106,$A81)</f>
        <v>0</v>
      </c>
      <c r="S81" s="704">
        <f>SUMIFS(SPACE!W$3:W$106,SPACE!$A$3:$A$106,$D$1,SPACE!$C$3:$C$106,$A81)</f>
        <v>0</v>
      </c>
      <c r="T81" s="704">
        <f>SUMIFS(SPACE!X$3:X$106,SPACE!$A$3:$A$106,$D$1,SPACE!$C$3:$C$106,$A81)</f>
        <v>0</v>
      </c>
      <c r="U81" s="704">
        <f>SUMIFS(SPACE!Y$3:Y$106,SPACE!$A$3:$A$106,$D$1,SPACE!$C$3:$C$106,$A81)</f>
        <v>0</v>
      </c>
      <c r="V81" s="704">
        <f>SUMIFS(SPACE!Z$3:Z$106,SPACE!$A$3:$A$106,$D$1,SPACE!$C$3:$C$106,$A81)</f>
        <v>0</v>
      </c>
      <c r="W81" s="704">
        <f t="shared" si="25"/>
        <v>0</v>
      </c>
      <c r="Y81" s="688">
        <f>IFERROR(VLOOKUP($A81,'[92]1月'!$A:$H,8,0),0)</f>
        <v>0</v>
      </c>
      <c r="Z81" s="688">
        <f>IFERROR(VLOOKUP($A81,'[92]2月'!$A:$H,8,0),0)</f>
        <v>0</v>
      </c>
      <c r="AA81" s="688">
        <f>IFERROR(VLOOKUP($A81,'[92]3月'!$A:$H,8,0),0)</f>
        <v>503</v>
      </c>
      <c r="AB81" s="688">
        <f>IFERROR(VLOOKUP($A81,'[92]4月'!$A:$H,8,0),0)</f>
        <v>0</v>
      </c>
      <c r="AC81" s="688">
        <f>IFERROR(VLOOKUP($A81,'[92]5月'!$A:$H,8,0),0)</f>
        <v>0</v>
      </c>
      <c r="AD81" s="688">
        <f>IFERROR(VLOOKUP($A81,'[92]6月'!$A:$H,8,0),0)</f>
        <v>0</v>
      </c>
      <c r="AE81" s="688">
        <f>IFERROR(VLOOKUP($A81,'[92]7月'!$A:$H,8,0),0)</f>
        <v>0</v>
      </c>
      <c r="AF81" s="688">
        <f>IFERROR(VLOOKUP($A81,'[92]8月'!$A:$H,8,0),0)</f>
        <v>1320</v>
      </c>
      <c r="AG81" s="688">
        <f>IFERROR(VLOOKUP($A81,'[92]9月'!$A:$H,8,0),0)</f>
        <v>2055</v>
      </c>
      <c r="AH81" s="688">
        <f>IFERROR(VLOOKUP($A81,'[92]10月'!$A:$H,8,0),0)</f>
        <v>330</v>
      </c>
      <c r="AI81" s="688">
        <f>IFERROR(VLOOKUP($A81,'[92]11月'!$A:$H,8,0),0)</f>
        <v>330</v>
      </c>
      <c r="AJ81" s="688">
        <f>IFERROR(VLOOKUP($A81,'[92]12月'!$A:$H,8,0),0)</f>
        <v>-187.56</v>
      </c>
      <c r="AK81" s="688">
        <f t="shared" si="37"/>
        <v>4350.4399999999996</v>
      </c>
    </row>
    <row r="82" spans="1:37" ht="11.1" customHeight="1">
      <c r="A82" s="653" t="str">
        <f>'Budget-合并'!A82</f>
        <v>6602.08.02</v>
      </c>
      <c r="B82" s="653" t="str">
        <f>'Budget-合并'!B82</f>
        <v>电脑软件费</v>
      </c>
      <c r="C82" s="687" t="str">
        <f>'Budget-合并'!C82</f>
        <v xml:space="preserve">PC Software </v>
      </c>
      <c r="D82" s="704">
        <f t="shared" si="30"/>
        <v>0</v>
      </c>
      <c r="E82" s="704" t="e">
        <f t="shared" si="31"/>
        <v>#N/A</v>
      </c>
      <c r="F82" s="704" t="e">
        <f t="shared" si="32"/>
        <v>#N/A</v>
      </c>
      <c r="G82" s="704">
        <f t="shared" ca="1" si="33"/>
        <v>0</v>
      </c>
      <c r="H82" s="704" t="e">
        <f t="shared" ca="1" si="34"/>
        <v>#N/A</v>
      </c>
      <c r="I82" s="704" t="e">
        <f t="shared" ca="1" si="35"/>
        <v>#N/A</v>
      </c>
      <c r="K82" s="704"/>
      <c r="L82" s="704"/>
      <c r="M82" s="704"/>
      <c r="N82" s="704"/>
      <c r="O82" s="704"/>
      <c r="P82" s="704"/>
      <c r="Q82" s="704"/>
      <c r="R82" s="704"/>
      <c r="S82" s="704"/>
      <c r="T82" s="704"/>
      <c r="U82" s="704"/>
      <c r="V82" s="704"/>
      <c r="W82" s="704">
        <f t="shared" si="25"/>
        <v>0</v>
      </c>
      <c r="Y82" s="688">
        <f>IFERROR(VLOOKUP($A82,'[92]1月'!$A:$H,8,0),0)</f>
        <v>0</v>
      </c>
      <c r="Z82" s="688">
        <f>IFERROR(VLOOKUP($A82,'[92]2月'!$A:$H,8,0),0)</f>
        <v>0</v>
      </c>
      <c r="AA82" s="688">
        <f>IFERROR(VLOOKUP($A82,'[92]3月'!$A:$H,8,0),0)</f>
        <v>0</v>
      </c>
      <c r="AB82" s="688">
        <f>IFERROR(VLOOKUP($A82,'[92]4月'!$A:$H,8,0),0)</f>
        <v>0</v>
      </c>
      <c r="AC82" s="688">
        <f>IFERROR(VLOOKUP($A82,'[92]5月'!$A:$H,8,0),0)</f>
        <v>0</v>
      </c>
      <c r="AD82" s="688">
        <f>IFERROR(VLOOKUP($A82,'[92]6月'!$A:$H,8,0),0)</f>
        <v>0</v>
      </c>
      <c r="AE82" s="688">
        <f>IFERROR(VLOOKUP($A82,'[92]7月'!$A:$H,8,0),0)</f>
        <v>0</v>
      </c>
      <c r="AF82" s="688">
        <f>IFERROR(VLOOKUP($A82,'[92]8月'!$A:$H,8,0),0)</f>
        <v>0</v>
      </c>
      <c r="AG82" s="688">
        <f>IFERROR(VLOOKUP($A82,'[92]9月'!$A:$H,8,0),0)</f>
        <v>0</v>
      </c>
      <c r="AH82" s="688">
        <f>IFERROR(VLOOKUP($A82,'[92]10月'!$A:$H,8,0),0)</f>
        <v>0</v>
      </c>
      <c r="AI82" s="688">
        <f>IFERROR(VLOOKUP($A82,'[92]11月'!$A:$H,8,0),0)</f>
        <v>0</v>
      </c>
      <c r="AJ82" s="688">
        <f>IFERROR(VLOOKUP($A82,'[92]12月'!$A:$H,8,0),0)</f>
        <v>0</v>
      </c>
      <c r="AK82" s="688">
        <f t="shared" si="37"/>
        <v>0</v>
      </c>
    </row>
    <row r="83" spans="1:37" ht="12.95" customHeight="1">
      <c r="A83" s="653" t="str">
        <f>'Budget-合并'!A83</f>
        <v>6602.08.03</v>
      </c>
      <c r="B83" s="653" t="str">
        <f>'Budget-合并'!B83</f>
        <v>办公用品</v>
      </c>
      <c r="C83" s="687" t="str">
        <f>'Budget-合并'!C83</f>
        <v xml:space="preserve">Office Supplies </v>
      </c>
      <c r="D83" s="704">
        <f t="shared" si="30"/>
        <v>1868.9789999999998</v>
      </c>
      <c r="E83" s="704" t="e">
        <f t="shared" si="31"/>
        <v>#N/A</v>
      </c>
      <c r="F83" s="704" t="e">
        <f t="shared" si="32"/>
        <v>#N/A</v>
      </c>
      <c r="G83" s="704">
        <f t="shared" ca="1" si="33"/>
        <v>1868.9789999999998</v>
      </c>
      <c r="H83" s="704" t="e">
        <f t="shared" ca="1" si="34"/>
        <v>#N/A</v>
      </c>
      <c r="I83" s="704" t="e">
        <f t="shared" ca="1" si="35"/>
        <v>#N/A</v>
      </c>
      <c r="K83" s="704">
        <f>SUMIFS('Other Exp'!AG$3:AG$196,'Other Exp'!$B$3:$B$196,$D$1,'Other Exp'!$C$3:$C$196,$A83)</f>
        <v>1868.9789999999998</v>
      </c>
      <c r="L83" s="704">
        <f>SUMIFS('Other Exp'!AH$3:AH$196,'Other Exp'!$B$3:$B$196,$D$1,'Other Exp'!$C$3:$C$196,$A83)</f>
        <v>1852.62</v>
      </c>
      <c r="M83" s="704">
        <f>SUMIFS('Other Exp'!AI$3:AI$196,'Other Exp'!$B$3:$B$196,$D$1,'Other Exp'!$C$3:$C$196,$A83)</f>
        <v>1852.62</v>
      </c>
      <c r="N83" s="704">
        <f>SUMIFS('Other Exp'!AJ$3:AJ$196,'Other Exp'!$B$3:$B$196,$D$1,'Other Exp'!$C$3:$C$196,$A83)</f>
        <v>1852.62</v>
      </c>
      <c r="O83" s="704">
        <f>SUMIFS('Other Exp'!AK$3:AK$196,'Other Exp'!$B$3:$B$196,$D$1,'Other Exp'!$C$3:$C$196,$A83)</f>
        <v>1852.62</v>
      </c>
      <c r="P83" s="704">
        <f>SUMIFS('Other Exp'!AL$3:AL$196,'Other Exp'!$B$3:$B$196,$D$1,'Other Exp'!$C$3:$C$196,$A83)</f>
        <v>1852.62</v>
      </c>
      <c r="Q83" s="704">
        <f>SUMIFS('Other Exp'!AM$3:AM$196,'Other Exp'!$B$3:$B$196,$D$1,'Other Exp'!$C$3:$C$196,$A83)</f>
        <v>1852.62</v>
      </c>
      <c r="R83" s="704">
        <f>SUMIFS('Other Exp'!AN$3:AN$196,'Other Exp'!$B$3:$B$196,$D$1,'Other Exp'!$C$3:$C$196,$A83)</f>
        <v>1852.62</v>
      </c>
      <c r="S83" s="704">
        <f>SUMIFS('Other Exp'!AO$3:AO$196,'Other Exp'!$B$3:$B$196,$D$1,'Other Exp'!$C$3:$C$196,$A83)</f>
        <v>1852.62</v>
      </c>
      <c r="T83" s="704">
        <f>SUMIFS('Other Exp'!AP$3:AP$196,'Other Exp'!$B$3:$B$196,$D$1,'Other Exp'!$C$3:$C$196,$A83)</f>
        <v>1852.62</v>
      </c>
      <c r="U83" s="704">
        <f>SUMIFS('Other Exp'!AQ$3:AQ$196,'Other Exp'!$B$3:$B$196,$D$1,'Other Exp'!$C$3:$C$196,$A83)</f>
        <v>1852.62</v>
      </c>
      <c r="V83" s="704">
        <f>SUMIFS('Other Exp'!AR$3:AR$196,'Other Exp'!$B$3:$B$196,$D$1,'Other Exp'!$C$3:$C$196,$A83)</f>
        <v>1852.62</v>
      </c>
      <c r="W83" s="704">
        <f t="shared" si="25"/>
        <v>22247.798999999992</v>
      </c>
      <c r="Y83" s="688">
        <f>IFERROR(VLOOKUP($A83,'[92]1月'!$A:$H,8,0),0)</f>
        <v>2084.4899999999998</v>
      </c>
      <c r="Z83" s="688">
        <f>IFERROR(VLOOKUP($A83,'[92]2月'!$A:$H,8,0),0)</f>
        <v>1608.01</v>
      </c>
      <c r="AA83" s="688">
        <f>IFERROR(VLOOKUP($A83,'[92]3月'!$A:$H,8,0),0)</f>
        <v>0</v>
      </c>
      <c r="AB83" s="688">
        <f>IFERROR(VLOOKUP($A83,'[92]4月'!$A:$H,8,0),0)</f>
        <v>1490.08</v>
      </c>
      <c r="AC83" s="688">
        <f>IFERROR(VLOOKUP($A83,'[92]5月'!$A:$H,8,0),0)</f>
        <v>3038.51</v>
      </c>
      <c r="AD83" s="688">
        <f>IFERROR(VLOOKUP($A83,'[92]6月'!$A:$H,8,0),0)</f>
        <v>3467.76</v>
      </c>
      <c r="AE83" s="688">
        <f>IFERROR(VLOOKUP($A83,'[92]7月'!$A:$H,8,0),0)</f>
        <v>2398.36</v>
      </c>
      <c r="AF83" s="688">
        <f>IFERROR(VLOOKUP($A83,'[92]8月'!$A:$H,8,0),0)</f>
        <v>1691.31</v>
      </c>
      <c r="AG83" s="688">
        <f>IFERROR(VLOOKUP($A83,'[92]9月'!$A:$H,8,0),0)</f>
        <v>3392.75</v>
      </c>
      <c r="AH83" s="688">
        <f>IFERROR(VLOOKUP($A83,'[92]10月'!$A:$H,8,0),0)</f>
        <v>1617.77</v>
      </c>
      <c r="AI83" s="688">
        <f>IFERROR(VLOOKUP($A83,'[92]11月'!$A:$H,8,0),0)</f>
        <v>133.02000000000001</v>
      </c>
      <c r="AJ83" s="688">
        <f>IFERROR(VLOOKUP($A83,'[92]12月'!$A:$H,8,0),0)</f>
        <v>67.33</v>
      </c>
      <c r="AK83" s="688">
        <f t="shared" si="37"/>
        <v>20989.390000000003</v>
      </c>
    </row>
    <row r="84" spans="1:37" ht="11.1" customHeight="1">
      <c r="A84" s="653" t="str">
        <f>'Budget-合并'!A84</f>
        <v>6602.08.04</v>
      </c>
      <c r="B84" s="653" t="str">
        <f>'Budget-合并'!B84</f>
        <v>事务保金</v>
      </c>
      <c r="C84" s="687" t="str">
        <f>'Budget-合并'!C84</f>
        <v>Other Insurance</v>
      </c>
      <c r="D84" s="704">
        <f t="shared" si="30"/>
        <v>4751.8791074999999</v>
      </c>
      <c r="E84" s="704" t="e">
        <f t="shared" si="31"/>
        <v>#N/A</v>
      </c>
      <c r="F84" s="704" t="e">
        <f t="shared" si="32"/>
        <v>#N/A</v>
      </c>
      <c r="G84" s="704">
        <f t="shared" ca="1" si="33"/>
        <v>4751.8791074999999</v>
      </c>
      <c r="H84" s="704" t="e">
        <f t="shared" ca="1" si="34"/>
        <v>#N/A</v>
      </c>
      <c r="I84" s="704" t="e">
        <f t="shared" ca="1" si="35"/>
        <v>#N/A</v>
      </c>
      <c r="K84" s="704">
        <f>SUMIFS('Other Exp'!AG$3:AG$196,'Other Exp'!$B$3:$B$196,$D$1,'Other Exp'!$C$3:$C$196,$A84)</f>
        <v>4751.8791074999999</v>
      </c>
      <c r="L84" s="704">
        <f>SUMIFS('Other Exp'!AH$3:AH$196,'Other Exp'!$B$3:$B$196,$D$1,'Other Exp'!$C$3:$C$196,$A84)</f>
        <v>4710.2863500000003</v>
      </c>
      <c r="M84" s="704">
        <f>SUMIFS('Other Exp'!AI$3:AI$196,'Other Exp'!$B$3:$B$196,$D$1,'Other Exp'!$C$3:$C$196,$A84)</f>
        <v>4710.2863500000003</v>
      </c>
      <c r="N84" s="704">
        <f>SUMIFS('Other Exp'!AJ$3:AJ$196,'Other Exp'!$B$3:$B$196,$D$1,'Other Exp'!$C$3:$C$196,$A84)</f>
        <v>4710.2863500000003</v>
      </c>
      <c r="O84" s="704">
        <f>SUMIFS('Other Exp'!AK$3:AK$196,'Other Exp'!$B$3:$B$196,$D$1,'Other Exp'!$C$3:$C$196,$A84)</f>
        <v>4710.2863500000003</v>
      </c>
      <c r="P84" s="704">
        <f>SUMIFS('Other Exp'!AL$3:AL$196,'Other Exp'!$B$3:$B$196,$D$1,'Other Exp'!$C$3:$C$196,$A84)</f>
        <v>4710.2863500000003</v>
      </c>
      <c r="Q84" s="704">
        <f>SUMIFS('Other Exp'!AM$3:AM$196,'Other Exp'!$B$3:$B$196,$D$1,'Other Exp'!$C$3:$C$196,$A84)</f>
        <v>4710.2863500000003</v>
      </c>
      <c r="R84" s="704">
        <f>SUMIFS('Other Exp'!AN$3:AN$196,'Other Exp'!$B$3:$B$196,$D$1,'Other Exp'!$C$3:$C$196,$A84)</f>
        <v>4710.2863500000003</v>
      </c>
      <c r="S84" s="704">
        <f>SUMIFS('Other Exp'!AO$3:AO$196,'Other Exp'!$B$3:$B$196,$D$1,'Other Exp'!$C$3:$C$196,$A84)</f>
        <v>4710.2863500000003</v>
      </c>
      <c r="T84" s="704">
        <f>SUMIFS('Other Exp'!AP$3:AP$196,'Other Exp'!$B$3:$B$196,$D$1,'Other Exp'!$C$3:$C$196,$A84)</f>
        <v>4710.2863500000003</v>
      </c>
      <c r="U84" s="704">
        <f>SUMIFS('Other Exp'!AQ$3:AQ$196,'Other Exp'!$B$3:$B$196,$D$1,'Other Exp'!$C$3:$C$196,$A84)</f>
        <v>4710.2863500000003</v>
      </c>
      <c r="V84" s="704">
        <f>SUMIFS('Other Exp'!AR$3:AR$196,'Other Exp'!$B$3:$B$196,$D$1,'Other Exp'!$C$3:$C$196,$A84)</f>
        <v>4710.2863500000003</v>
      </c>
      <c r="W84" s="704">
        <f t="shared" si="25"/>
        <v>56565.028957500013</v>
      </c>
      <c r="Y84" s="688">
        <f>IFERROR(VLOOKUP($A84,'[92]1月'!$A:$H,8,0),0)</f>
        <v>3963.97</v>
      </c>
      <c r="Z84" s="688">
        <f>IFERROR(VLOOKUP($A84,'[92]2月'!$A:$H,8,0),0)</f>
        <v>3580.36</v>
      </c>
      <c r="AA84" s="688">
        <f>IFERROR(VLOOKUP($A84,'[92]3月'!$A:$H,8,0),0)</f>
        <v>2057.58</v>
      </c>
      <c r="AB84" s="688">
        <f>IFERROR(VLOOKUP($A84,'[92]4月'!$A:$H,8,0),0)</f>
        <v>261.63</v>
      </c>
      <c r="AC84" s="688">
        <f>IFERROR(VLOOKUP($A84,'[92]5月'!$A:$H,8,0),0)</f>
        <v>14504.88</v>
      </c>
      <c r="AD84" s="688">
        <f>IFERROR(VLOOKUP($A84,'[92]6月'!$A:$H,8,0),0)</f>
        <v>4585.53</v>
      </c>
      <c r="AE84" s="688">
        <f>IFERROR(VLOOKUP($A84,'[92]7月'!$A:$H,8,0),0)</f>
        <v>5181.7</v>
      </c>
      <c r="AF84" s="688">
        <f>IFERROR(VLOOKUP($A84,'[92]8月'!$A:$H,8,0),0)</f>
        <v>4963.67</v>
      </c>
      <c r="AG84" s="688">
        <f>IFERROR(VLOOKUP($A84,'[92]9月'!$A:$H,8,0),0)</f>
        <v>4803.55</v>
      </c>
      <c r="AH84" s="688">
        <f>IFERROR(VLOOKUP($A84,'[92]10月'!$A:$H,8,0),0)</f>
        <v>4963.66</v>
      </c>
      <c r="AI84" s="688">
        <f>IFERROR(VLOOKUP($A84,'[92]11月'!$A:$H,8,0),0)</f>
        <v>4803.5600000000004</v>
      </c>
      <c r="AJ84" s="688">
        <f>IFERROR(VLOOKUP($A84,'[92]12月'!$A:$H,8,0),0)</f>
        <v>4963.67</v>
      </c>
      <c r="AK84" s="688">
        <f t="shared" si="37"/>
        <v>58633.759999999995</v>
      </c>
    </row>
    <row r="85" spans="1:37" ht="11.1" customHeight="1">
      <c r="A85" s="653" t="str">
        <f>'Budget-合并'!A85</f>
        <v>6602.08.05</v>
      </c>
      <c r="B85" s="653" t="str">
        <f>'Budget-合并'!B85</f>
        <v>邮费/邮递费</v>
      </c>
      <c r="C85" s="687" t="str">
        <f>'Budget-合并'!C85</f>
        <v>Postage / Freight / Delivery</v>
      </c>
      <c r="D85" s="704">
        <f t="shared" si="30"/>
        <v>0</v>
      </c>
      <c r="E85" s="704" t="e">
        <f t="shared" si="31"/>
        <v>#N/A</v>
      </c>
      <c r="F85" s="704" t="e">
        <f t="shared" si="32"/>
        <v>#N/A</v>
      </c>
      <c r="G85" s="704">
        <f t="shared" ca="1" si="33"/>
        <v>0</v>
      </c>
      <c r="H85" s="704" t="e">
        <f t="shared" ca="1" si="34"/>
        <v>#N/A</v>
      </c>
      <c r="I85" s="704" t="e">
        <f t="shared" ca="1" si="35"/>
        <v>#N/A</v>
      </c>
      <c r="K85" s="704">
        <f>SUMIFS('Other Exp'!AG$3:AG$196,'Other Exp'!$B$3:$B$196,$D$1,'Other Exp'!$C$3:$C$196,$A85)</f>
        <v>0</v>
      </c>
      <c r="L85" s="704">
        <f>SUMIFS('Other Exp'!AH$3:AH$196,'Other Exp'!$B$3:$B$196,$D$1,'Other Exp'!$C$3:$C$196,$A85)</f>
        <v>0</v>
      </c>
      <c r="M85" s="704">
        <f>SUMIFS('Other Exp'!AI$3:AI$196,'Other Exp'!$B$3:$B$196,$D$1,'Other Exp'!$C$3:$C$196,$A85)</f>
        <v>0</v>
      </c>
      <c r="N85" s="704">
        <f>SUMIFS('Other Exp'!AJ$3:AJ$196,'Other Exp'!$B$3:$B$196,$D$1,'Other Exp'!$C$3:$C$196,$A85)</f>
        <v>0</v>
      </c>
      <c r="O85" s="704">
        <f>SUMIFS('Other Exp'!AK$3:AK$196,'Other Exp'!$B$3:$B$196,$D$1,'Other Exp'!$C$3:$C$196,$A85)</f>
        <v>0</v>
      </c>
      <c r="P85" s="704">
        <f>SUMIFS('Other Exp'!AL$3:AL$196,'Other Exp'!$B$3:$B$196,$D$1,'Other Exp'!$C$3:$C$196,$A85)</f>
        <v>0</v>
      </c>
      <c r="Q85" s="704">
        <f>SUMIFS('Other Exp'!AM$3:AM$196,'Other Exp'!$B$3:$B$196,$D$1,'Other Exp'!$C$3:$C$196,$A85)</f>
        <v>0</v>
      </c>
      <c r="R85" s="704">
        <f>SUMIFS('Other Exp'!AN$3:AN$196,'Other Exp'!$B$3:$B$196,$D$1,'Other Exp'!$C$3:$C$196,$A85)</f>
        <v>0</v>
      </c>
      <c r="S85" s="704">
        <f>SUMIFS('Other Exp'!AO$3:AO$196,'Other Exp'!$B$3:$B$196,$D$1,'Other Exp'!$C$3:$C$196,$A85)</f>
        <v>0</v>
      </c>
      <c r="T85" s="704">
        <f>SUMIFS('Other Exp'!AP$3:AP$196,'Other Exp'!$B$3:$B$196,$D$1,'Other Exp'!$C$3:$C$196,$A85)</f>
        <v>0</v>
      </c>
      <c r="U85" s="704">
        <f>SUMIFS('Other Exp'!AQ$3:AQ$196,'Other Exp'!$B$3:$B$196,$D$1,'Other Exp'!$C$3:$C$196,$A85)</f>
        <v>0</v>
      </c>
      <c r="V85" s="704">
        <f>SUMIFS('Other Exp'!AR$3:AR$196,'Other Exp'!$B$3:$B$196,$D$1,'Other Exp'!$C$3:$C$196,$A85)</f>
        <v>0</v>
      </c>
      <c r="W85" s="704">
        <f t="shared" si="25"/>
        <v>0</v>
      </c>
      <c r="Y85" s="688">
        <f>IFERROR(VLOOKUP($A85,'[92]1月'!$A:$H,8,0),0)</f>
        <v>0</v>
      </c>
      <c r="Z85" s="688">
        <f>IFERROR(VLOOKUP($A85,'[92]2月'!$A:$H,8,0),0)</f>
        <v>0</v>
      </c>
      <c r="AA85" s="688">
        <f>IFERROR(VLOOKUP($A85,'[92]3月'!$A:$H,8,0),0)</f>
        <v>0</v>
      </c>
      <c r="AB85" s="688">
        <f>IFERROR(VLOOKUP($A85,'[92]4月'!$A:$H,8,0),0)</f>
        <v>0</v>
      </c>
      <c r="AC85" s="688">
        <f>IFERROR(VLOOKUP($A85,'[92]5月'!$A:$H,8,0),0)</f>
        <v>0</v>
      </c>
      <c r="AD85" s="688">
        <f>IFERROR(VLOOKUP($A85,'[92]6月'!$A:$H,8,0),0)</f>
        <v>0</v>
      </c>
      <c r="AE85" s="688">
        <f>IFERROR(VLOOKUP($A85,'[92]7月'!$A:$H,8,0),0)</f>
        <v>108</v>
      </c>
      <c r="AF85" s="688">
        <f>IFERROR(VLOOKUP($A85,'[92]8月'!$A:$H,8,0),0)</f>
        <v>0</v>
      </c>
      <c r="AG85" s="688">
        <f>IFERROR(VLOOKUP($A85,'[92]9月'!$A:$H,8,0),0)</f>
        <v>0</v>
      </c>
      <c r="AH85" s="688">
        <f>IFERROR(VLOOKUP($A85,'[92]10月'!$A:$H,8,0),0)</f>
        <v>0</v>
      </c>
      <c r="AI85" s="688">
        <f>IFERROR(VLOOKUP($A85,'[92]11月'!$A:$H,8,0),0)</f>
        <v>0</v>
      </c>
      <c r="AJ85" s="688">
        <f>IFERROR(VLOOKUP($A85,'[92]12月'!$A:$H,8,0),0)</f>
        <v>0</v>
      </c>
      <c r="AK85" s="688">
        <f t="shared" si="37"/>
        <v>108</v>
      </c>
    </row>
    <row r="86" spans="1:37" ht="11.1" customHeight="1">
      <c r="A86" s="653" t="str">
        <f>'Budget-合并'!A86</f>
        <v>6602.08.06</v>
      </c>
      <c r="B86" s="653" t="str">
        <f>'Budget-合并'!B86</f>
        <v>IT专业人士及微软服务</v>
      </c>
      <c r="C86" s="687" t="str">
        <f>'Budget-合并'!C86</f>
        <v xml:space="preserve">IT Professional &amp; MS Services </v>
      </c>
      <c r="D86" s="704">
        <f t="shared" si="30"/>
        <v>7342.4174999999996</v>
      </c>
      <c r="E86" s="704" t="e">
        <f t="shared" si="31"/>
        <v>#N/A</v>
      </c>
      <c r="F86" s="704" t="e">
        <f t="shared" si="32"/>
        <v>#N/A</v>
      </c>
      <c r="G86" s="704">
        <f t="shared" ca="1" si="33"/>
        <v>7342.4174999999996</v>
      </c>
      <c r="H86" s="704" t="e">
        <f t="shared" ca="1" si="34"/>
        <v>#N/A</v>
      </c>
      <c r="I86" s="704" t="e">
        <f t="shared" ca="1" si="35"/>
        <v>#N/A</v>
      </c>
      <c r="K86" s="704">
        <f>SUMIFS('Prof. Fee'!AF$3:AF$150,'Prof. Fee'!$B$3:$B$150,$D$1,'Prof. Fee'!$D$3:$D$150,$A86)</f>
        <v>7342.4174999999996</v>
      </c>
      <c r="L86" s="704">
        <f>SUMIFS('Prof. Fee'!AG$3:AG$150,'Prof. Fee'!$B$3:$B$150,$D$1,'Prof. Fee'!$D$3:$D$150,$A86)</f>
        <v>7278.15</v>
      </c>
      <c r="M86" s="704">
        <f>SUMIFS('Prof. Fee'!AH$3:AH$150,'Prof. Fee'!$B$3:$B$150,$D$1,'Prof. Fee'!$D$3:$D$150,$A86)</f>
        <v>7278.15</v>
      </c>
      <c r="N86" s="704">
        <f>SUMIFS('Prof. Fee'!AI$3:AI$150,'Prof. Fee'!$B$3:$B$150,$D$1,'Prof. Fee'!$D$3:$D$150,$A86)</f>
        <v>7278.15</v>
      </c>
      <c r="O86" s="704">
        <f>SUMIFS('Prof. Fee'!AJ$3:AJ$150,'Prof. Fee'!$B$3:$B$150,$D$1,'Prof. Fee'!$D$3:$D$150,$A86)</f>
        <v>7278.15</v>
      </c>
      <c r="P86" s="704">
        <f>SUMIFS('Prof. Fee'!AK$3:AK$150,'Prof. Fee'!$B$3:$B$150,$D$1,'Prof. Fee'!$D$3:$D$150,$A86)</f>
        <v>7278.15</v>
      </c>
      <c r="Q86" s="704">
        <f>SUMIFS('Prof. Fee'!AL$3:AL$150,'Prof. Fee'!$B$3:$B$150,$D$1,'Prof. Fee'!$D$3:$D$150,$A86)</f>
        <v>7278.15</v>
      </c>
      <c r="R86" s="704">
        <f>SUMIFS('Prof. Fee'!AM$3:AM$150,'Prof. Fee'!$B$3:$B$150,$D$1,'Prof. Fee'!$D$3:$D$150,$A86)</f>
        <v>7278.15</v>
      </c>
      <c r="S86" s="704">
        <f>SUMIFS('Prof. Fee'!AN$3:AN$150,'Prof. Fee'!$B$3:$B$150,$D$1,'Prof. Fee'!$D$3:$D$150,$A86)</f>
        <v>7278.15</v>
      </c>
      <c r="T86" s="704">
        <f>SUMIFS('Prof. Fee'!AO$3:AO$150,'Prof. Fee'!$B$3:$B$150,$D$1,'Prof. Fee'!$D$3:$D$150,$A86)</f>
        <v>7278.15</v>
      </c>
      <c r="U86" s="704">
        <f>SUMIFS('Prof. Fee'!AP$3:AP$150,'Prof. Fee'!$B$3:$B$150,$D$1,'Prof. Fee'!$D$3:$D$150,$A86)</f>
        <v>7278.15</v>
      </c>
      <c r="V86" s="704">
        <f>SUMIFS('Prof. Fee'!AQ$3:AQ$150,'Prof. Fee'!$B$3:$B$150,$D$1,'Prof. Fee'!$D$3:$D$150,$A86)</f>
        <v>7278.15</v>
      </c>
      <c r="W86" s="704">
        <f t="shared" si="25"/>
        <v>87402.06749999999</v>
      </c>
      <c r="Y86" s="688">
        <f>IFERROR(VLOOKUP($A86,'[92]1月'!$A:$H,8,0),0)</f>
        <v>0</v>
      </c>
      <c r="Z86" s="688">
        <f>IFERROR(VLOOKUP($A86,'[92]2月'!$A:$H,8,0),0)</f>
        <v>0</v>
      </c>
      <c r="AA86" s="688">
        <f>IFERROR(VLOOKUP($A86,'[92]3月'!$A:$H,8,0),0)</f>
        <v>0</v>
      </c>
      <c r="AB86" s="688">
        <f>IFERROR(VLOOKUP($A86,'[92]4月'!$A:$H,8,0),0)</f>
        <v>0</v>
      </c>
      <c r="AC86" s="688">
        <f>IFERROR(VLOOKUP($A86,'[92]5月'!$A:$H,8,0),0)</f>
        <v>5728.13</v>
      </c>
      <c r="AD86" s="688">
        <f>IFERROR(VLOOKUP($A86,'[92]6月'!$A:$H,8,0),0)</f>
        <v>1138.04</v>
      </c>
      <c r="AE86" s="688">
        <f>IFERROR(VLOOKUP($A86,'[92]7月'!$A:$H,8,0),0)</f>
        <v>1175.98</v>
      </c>
      <c r="AF86" s="688">
        <f>IFERROR(VLOOKUP($A86,'[92]8月'!$A:$H,8,0),0)</f>
        <v>51875.66</v>
      </c>
      <c r="AG86" s="688">
        <f>IFERROR(VLOOKUP($A86,'[92]9月'!$A:$H,8,0),0)</f>
        <v>7397.26</v>
      </c>
      <c r="AH86" s="688">
        <f>IFERROR(VLOOKUP($A86,'[92]10月'!$A:$H,8,0),0)</f>
        <v>7643.84</v>
      </c>
      <c r="AI86" s="688">
        <f>IFERROR(VLOOKUP($A86,'[92]11月'!$A:$H,8,0),0)</f>
        <v>7397.26</v>
      </c>
      <c r="AJ86" s="688">
        <f>IFERROR(VLOOKUP($A86,'[92]12月'!$A:$H,8,0),0)</f>
        <v>110143.83</v>
      </c>
      <c r="AK86" s="688">
        <f t="shared" si="37"/>
        <v>192500</v>
      </c>
    </row>
    <row r="87" spans="1:37" ht="11.1" customHeight="1">
      <c r="A87" s="653" t="str">
        <f>'Budget-合并'!A87</f>
        <v>6602.08.07</v>
      </c>
      <c r="B87" s="653" t="str">
        <f>'Budget-合并'!B87</f>
        <v>软件许可证费用</v>
      </c>
      <c r="C87" s="687" t="str">
        <f>'Budget-合并'!C87</f>
        <v xml:space="preserve">Software Licence Fee Exp </v>
      </c>
      <c r="D87" s="704">
        <f t="shared" si="30"/>
        <v>8484.5713333333333</v>
      </c>
      <c r="E87" s="704" t="e">
        <f t="shared" si="31"/>
        <v>#N/A</v>
      </c>
      <c r="F87" s="704" t="e">
        <f t="shared" si="32"/>
        <v>#N/A</v>
      </c>
      <c r="G87" s="704">
        <f t="shared" ca="1" si="33"/>
        <v>8484.5713333333333</v>
      </c>
      <c r="H87" s="704" t="e">
        <f t="shared" ca="1" si="34"/>
        <v>#N/A</v>
      </c>
      <c r="I87" s="704" t="e">
        <f t="shared" ca="1" si="35"/>
        <v>#N/A</v>
      </c>
      <c r="K87" s="704">
        <f>SUMIFS('Prof. Fee'!AF$3:AF$150,'Prof. Fee'!$B$3:$B$150,$D$1,'Prof. Fee'!$D$3:$D$150,$A87)</f>
        <v>8484.5713333333333</v>
      </c>
      <c r="L87" s="704">
        <f>SUMIFS('Prof. Fee'!AG$3:AG$150,'Prof. Fee'!$B$3:$B$150,$D$1,'Prof. Fee'!$D$3:$D$150,$A87)</f>
        <v>8410.3066666666673</v>
      </c>
      <c r="M87" s="704">
        <f>SUMIFS('Prof. Fee'!AH$3:AH$150,'Prof. Fee'!$B$3:$B$150,$D$1,'Prof. Fee'!$D$3:$D$150,$A87)</f>
        <v>8410.3066666666673</v>
      </c>
      <c r="N87" s="704">
        <f>SUMIFS('Prof. Fee'!AI$3:AI$150,'Prof. Fee'!$B$3:$B$150,$D$1,'Prof. Fee'!$D$3:$D$150,$A87)</f>
        <v>8410.3066666666673</v>
      </c>
      <c r="O87" s="704">
        <f>SUMIFS('Prof. Fee'!AJ$3:AJ$150,'Prof. Fee'!$B$3:$B$150,$D$1,'Prof. Fee'!$D$3:$D$150,$A87)</f>
        <v>8410.3066666666673</v>
      </c>
      <c r="P87" s="704">
        <f>SUMIFS('Prof. Fee'!AK$3:AK$150,'Prof. Fee'!$B$3:$B$150,$D$1,'Prof. Fee'!$D$3:$D$150,$A87)</f>
        <v>8410.3066666666673</v>
      </c>
      <c r="Q87" s="704">
        <f>SUMIFS('Prof. Fee'!AL$3:AL$150,'Prof. Fee'!$B$3:$B$150,$D$1,'Prof. Fee'!$D$3:$D$150,$A87)</f>
        <v>8410.3066666666673</v>
      </c>
      <c r="R87" s="704">
        <f>SUMIFS('Prof. Fee'!AM$3:AM$150,'Prof. Fee'!$B$3:$B$150,$D$1,'Prof. Fee'!$D$3:$D$150,$A87)</f>
        <v>8410.3066666666673</v>
      </c>
      <c r="S87" s="704">
        <f>SUMIFS('Prof. Fee'!AN$3:AN$150,'Prof. Fee'!$B$3:$B$150,$D$1,'Prof. Fee'!$D$3:$D$150,$A87)</f>
        <v>8410.3066666666673</v>
      </c>
      <c r="T87" s="704">
        <f>SUMIFS('Prof. Fee'!AO$3:AO$150,'Prof. Fee'!$B$3:$B$150,$D$1,'Prof. Fee'!$D$3:$D$150,$A87)</f>
        <v>8410.3066666666673</v>
      </c>
      <c r="U87" s="704">
        <f>SUMIFS('Prof. Fee'!AP$3:AP$150,'Prof. Fee'!$B$3:$B$150,$D$1,'Prof. Fee'!$D$3:$D$150,$A87)</f>
        <v>8410.3066666666673</v>
      </c>
      <c r="V87" s="704">
        <f>SUMIFS('Prof. Fee'!AQ$3:AQ$150,'Prof. Fee'!$B$3:$B$150,$D$1,'Prof. Fee'!$D$3:$D$150,$A87)</f>
        <v>8410.3066666666673</v>
      </c>
      <c r="W87" s="704">
        <f t="shared" ref="W87:W150" si="43">SUM(K87:V87)</f>
        <v>100997.94466666671</v>
      </c>
      <c r="Y87" s="688">
        <f>IFERROR(VLOOKUP($A87,'[92]1月'!$A:$H,8,0),0)</f>
        <v>1281.54</v>
      </c>
      <c r="Z87" s="688">
        <f>IFERROR(VLOOKUP($A87,'[92]2月'!$A:$H,8,0),0)</f>
        <v>432.79</v>
      </c>
      <c r="AA87" s="688">
        <f>IFERROR(VLOOKUP($A87,'[92]3月'!$A:$H,8,0),0)</f>
        <v>0</v>
      </c>
      <c r="AB87" s="688">
        <f>IFERROR(VLOOKUP($A87,'[92]4月'!$A:$H,8,0),0)</f>
        <v>0</v>
      </c>
      <c r="AC87" s="688">
        <f>IFERROR(VLOOKUP($A87,'[92]5月'!$A:$H,8,0),0)</f>
        <v>6370.89</v>
      </c>
      <c r="AD87" s="688">
        <f>IFERROR(VLOOKUP($A87,'[92]6月'!$A:$H,8,0),0)</f>
        <v>1606.1</v>
      </c>
      <c r="AE87" s="688">
        <f>IFERROR(VLOOKUP($A87,'[92]7月'!$A:$H,8,0),0)</f>
        <v>1659.65</v>
      </c>
      <c r="AF87" s="688">
        <f>IFERROR(VLOOKUP($A87,'[92]8月'!$A:$H,8,0),0)</f>
        <v>1659.64</v>
      </c>
      <c r="AG87" s="688">
        <f>IFERROR(VLOOKUP($A87,'[92]9月'!$A:$H,8,0),0)</f>
        <v>4791.53</v>
      </c>
      <c r="AH87" s="688">
        <f>IFERROR(VLOOKUP($A87,'[92]10月'!$A:$H,8,0),0)</f>
        <v>2634.39</v>
      </c>
      <c r="AI87" s="688">
        <f>IFERROR(VLOOKUP($A87,'[92]11月'!$A:$H,8,0),0)</f>
        <v>2862.07</v>
      </c>
      <c r="AJ87" s="688">
        <f>IFERROR(VLOOKUP($A87,'[92]12月'!$A:$H,8,0),0)</f>
        <v>3049.21</v>
      </c>
      <c r="AK87" s="688">
        <f t="shared" si="37"/>
        <v>26347.809999999998</v>
      </c>
    </row>
    <row r="88" spans="1:37" ht="11.1" customHeight="1">
      <c r="A88" s="653" t="str">
        <f>'Budget-合并'!A88</f>
        <v>6602.08.08</v>
      </c>
      <c r="B88" s="653" t="str">
        <f>'Budget-合并'!B88</f>
        <v>软件使用费</v>
      </c>
      <c r="C88" s="687">
        <f>'Budget-合并'!C88</f>
        <v>0</v>
      </c>
      <c r="D88" s="704">
        <f t="shared" si="30"/>
        <v>0</v>
      </c>
      <c r="E88" s="704" t="e">
        <f t="shared" si="31"/>
        <v>#N/A</v>
      </c>
      <c r="F88" s="704" t="e">
        <f t="shared" si="32"/>
        <v>#N/A</v>
      </c>
      <c r="G88" s="704">
        <f t="shared" ca="1" si="33"/>
        <v>0</v>
      </c>
      <c r="H88" s="704" t="e">
        <f t="shared" ca="1" si="34"/>
        <v>#N/A</v>
      </c>
      <c r="I88" s="704" t="e">
        <f t="shared" ca="1" si="35"/>
        <v>#N/A</v>
      </c>
      <c r="K88" s="704">
        <f>SUMIFS('Other Exp'!AG$3:AG$196,'Other Exp'!$B$3:$B$196,$D$1,'Other Exp'!$C$3:$C$196,$A88)</f>
        <v>0</v>
      </c>
      <c r="L88" s="704">
        <f>SUMIFS('Other Exp'!AH$3:AH$196,'Other Exp'!$B$3:$B$196,$D$1,'Other Exp'!$C$3:$C$196,$A88)</f>
        <v>0</v>
      </c>
      <c r="M88" s="704">
        <f>SUMIFS('Other Exp'!AI$3:AI$196,'Other Exp'!$B$3:$B$196,$D$1,'Other Exp'!$C$3:$C$196,$A88)</f>
        <v>0</v>
      </c>
      <c r="N88" s="704">
        <f>SUMIFS('Other Exp'!AJ$3:AJ$196,'Other Exp'!$B$3:$B$196,$D$1,'Other Exp'!$C$3:$C$196,$A88)</f>
        <v>0</v>
      </c>
      <c r="O88" s="704">
        <f>SUMIFS('Other Exp'!AK$3:AK$196,'Other Exp'!$B$3:$B$196,$D$1,'Other Exp'!$C$3:$C$196,$A88)</f>
        <v>0</v>
      </c>
      <c r="P88" s="704">
        <f>SUMIFS('Other Exp'!AL$3:AL$196,'Other Exp'!$B$3:$B$196,$D$1,'Other Exp'!$C$3:$C$196,$A88)</f>
        <v>0</v>
      </c>
      <c r="Q88" s="704">
        <f>SUMIFS('Other Exp'!AM$3:AM$196,'Other Exp'!$B$3:$B$196,$D$1,'Other Exp'!$C$3:$C$196,$A88)</f>
        <v>0</v>
      </c>
      <c r="R88" s="704">
        <f>SUMIFS('Other Exp'!AN$3:AN$196,'Other Exp'!$B$3:$B$196,$D$1,'Other Exp'!$C$3:$C$196,$A88)</f>
        <v>0</v>
      </c>
      <c r="S88" s="704">
        <f>SUMIFS('Other Exp'!AO$3:AO$196,'Other Exp'!$B$3:$B$196,$D$1,'Other Exp'!$C$3:$C$196,$A88)</f>
        <v>0</v>
      </c>
      <c r="T88" s="704">
        <f>SUMIFS('Other Exp'!AP$3:AP$196,'Other Exp'!$B$3:$B$196,$D$1,'Other Exp'!$C$3:$C$196,$A88)</f>
        <v>0</v>
      </c>
      <c r="U88" s="704">
        <f>SUMIFS('Other Exp'!AQ$3:AQ$196,'Other Exp'!$B$3:$B$196,$D$1,'Other Exp'!$C$3:$C$196,$A88)</f>
        <v>0</v>
      </c>
      <c r="V88" s="704">
        <f>SUMIFS('Other Exp'!AR$3:AR$196,'Other Exp'!$B$3:$B$196,$D$1,'Other Exp'!$C$3:$C$196,$A88)</f>
        <v>0</v>
      </c>
      <c r="W88" s="704">
        <f t="shared" si="43"/>
        <v>0</v>
      </c>
      <c r="Y88" s="688">
        <f>IFERROR(VLOOKUP($A88,'[92]1月'!$A:$H,8,0),0)</f>
        <v>0</v>
      </c>
      <c r="Z88" s="688">
        <f>IFERROR(VLOOKUP($A88,'[92]2月'!$A:$H,8,0),0)</f>
        <v>0</v>
      </c>
      <c r="AA88" s="688">
        <f>IFERROR(VLOOKUP($A88,'[92]3月'!$A:$H,8,0),0)</f>
        <v>0</v>
      </c>
      <c r="AB88" s="688">
        <f>IFERROR(VLOOKUP($A88,'[92]4月'!$A:$H,8,0),0)</f>
        <v>0</v>
      </c>
      <c r="AC88" s="688">
        <f>IFERROR(VLOOKUP($A88,'[92]5月'!$A:$H,8,0),0)</f>
        <v>0</v>
      </c>
      <c r="AD88" s="688">
        <f>IFERROR(VLOOKUP($A88,'[92]6月'!$A:$H,8,0),0)</f>
        <v>0</v>
      </c>
      <c r="AE88" s="688">
        <f>IFERROR(VLOOKUP($A88,'[92]7月'!$A:$H,8,0),0)</f>
        <v>0</v>
      </c>
      <c r="AF88" s="688">
        <f>IFERROR(VLOOKUP($A88,'[92]8月'!$A:$H,8,0),0)</f>
        <v>0</v>
      </c>
      <c r="AG88" s="688">
        <f>IFERROR(VLOOKUP($A88,'[92]9月'!$A:$H,8,0),0)</f>
        <v>0</v>
      </c>
      <c r="AH88" s="688">
        <f>IFERROR(VLOOKUP($A88,'[92]10月'!$A:$H,8,0),0)</f>
        <v>0</v>
      </c>
      <c r="AI88" s="688">
        <f>IFERROR(VLOOKUP($A88,'[92]11月'!$A:$H,8,0),0)</f>
        <v>0</v>
      </c>
      <c r="AJ88" s="688">
        <f>IFERROR(VLOOKUP($A88,'[92]12月'!$A:$H,8,0),0)</f>
        <v>0</v>
      </c>
      <c r="AK88" s="688">
        <f t="shared" si="37"/>
        <v>0</v>
      </c>
    </row>
    <row r="89" spans="1:37" ht="11.1" customHeight="1">
      <c r="A89" s="653" t="str">
        <f>'Budget-合并'!A89</f>
        <v>6602.08.09</v>
      </c>
      <c r="B89" s="653" t="str">
        <f>'Budget-合并'!B89</f>
        <v>清洁服务</v>
      </c>
      <c r="C89" s="687">
        <f>'Budget-合并'!C89</f>
        <v>0</v>
      </c>
      <c r="D89" s="704">
        <f t="shared" si="30"/>
        <v>0</v>
      </c>
      <c r="E89" s="704" t="e">
        <f t="shared" si="31"/>
        <v>#N/A</v>
      </c>
      <c r="F89" s="704" t="e">
        <f t="shared" si="32"/>
        <v>#N/A</v>
      </c>
      <c r="G89" s="704">
        <f t="shared" ca="1" si="33"/>
        <v>0</v>
      </c>
      <c r="H89" s="704" t="e">
        <f t="shared" ca="1" si="34"/>
        <v>#N/A</v>
      </c>
      <c r="I89" s="704" t="e">
        <f t="shared" ca="1" si="35"/>
        <v>#N/A</v>
      </c>
      <c r="K89" s="704">
        <f>SUMIFS('Other Exp'!AG$3:AG$196,'Other Exp'!$B$3:$B$196,$D$1,'Other Exp'!$C$3:$C$196,$A89)</f>
        <v>0</v>
      </c>
      <c r="L89" s="704">
        <f>SUMIFS('Other Exp'!AH$3:AH$196,'Other Exp'!$B$3:$B$196,$D$1,'Other Exp'!$C$3:$C$196,$A89)</f>
        <v>0</v>
      </c>
      <c r="M89" s="704">
        <f>SUMIFS('Other Exp'!AI$3:AI$196,'Other Exp'!$B$3:$B$196,$D$1,'Other Exp'!$C$3:$C$196,$A89)</f>
        <v>0</v>
      </c>
      <c r="N89" s="704">
        <f>SUMIFS('Other Exp'!AJ$3:AJ$196,'Other Exp'!$B$3:$B$196,$D$1,'Other Exp'!$C$3:$C$196,$A89)</f>
        <v>0</v>
      </c>
      <c r="O89" s="704">
        <f>SUMIFS('Other Exp'!AK$3:AK$196,'Other Exp'!$B$3:$B$196,$D$1,'Other Exp'!$C$3:$C$196,$A89)</f>
        <v>0</v>
      </c>
      <c r="P89" s="704">
        <f>SUMIFS('Other Exp'!AL$3:AL$196,'Other Exp'!$B$3:$B$196,$D$1,'Other Exp'!$C$3:$C$196,$A89)</f>
        <v>0</v>
      </c>
      <c r="Q89" s="704">
        <f>SUMIFS('Other Exp'!AM$3:AM$196,'Other Exp'!$B$3:$B$196,$D$1,'Other Exp'!$C$3:$C$196,$A89)</f>
        <v>0</v>
      </c>
      <c r="R89" s="704">
        <f>SUMIFS('Other Exp'!AN$3:AN$196,'Other Exp'!$B$3:$B$196,$D$1,'Other Exp'!$C$3:$C$196,$A89)</f>
        <v>0</v>
      </c>
      <c r="S89" s="704">
        <f>SUMIFS('Other Exp'!AO$3:AO$196,'Other Exp'!$B$3:$B$196,$D$1,'Other Exp'!$C$3:$C$196,$A89)</f>
        <v>0</v>
      </c>
      <c r="T89" s="704">
        <f>SUMIFS('Other Exp'!AP$3:AP$196,'Other Exp'!$B$3:$B$196,$D$1,'Other Exp'!$C$3:$C$196,$A89)</f>
        <v>0</v>
      </c>
      <c r="U89" s="704">
        <f>SUMIFS('Other Exp'!AQ$3:AQ$196,'Other Exp'!$B$3:$B$196,$D$1,'Other Exp'!$C$3:$C$196,$A89)</f>
        <v>0</v>
      </c>
      <c r="V89" s="704">
        <f>SUMIFS('Other Exp'!AR$3:AR$196,'Other Exp'!$B$3:$B$196,$D$1,'Other Exp'!$C$3:$C$196,$A89)</f>
        <v>0</v>
      </c>
      <c r="W89" s="704">
        <f t="shared" si="43"/>
        <v>0</v>
      </c>
      <c r="Y89" s="688">
        <f>IFERROR(VLOOKUP($A89,'[92]1月'!$A:$H,8,0),0)</f>
        <v>0</v>
      </c>
      <c r="Z89" s="688">
        <f>IFERROR(VLOOKUP($A89,'[92]2月'!$A:$H,8,0),0)</f>
        <v>0</v>
      </c>
      <c r="AA89" s="688">
        <f>IFERROR(VLOOKUP($A89,'[92]3月'!$A:$H,8,0),0)</f>
        <v>0</v>
      </c>
      <c r="AB89" s="688">
        <f>IFERROR(VLOOKUP($A89,'[92]4月'!$A:$H,8,0),0)</f>
        <v>0</v>
      </c>
      <c r="AC89" s="688">
        <f>IFERROR(VLOOKUP($A89,'[92]5月'!$A:$H,8,0),0)</f>
        <v>0</v>
      </c>
      <c r="AD89" s="688">
        <f>IFERROR(VLOOKUP($A89,'[92]6月'!$A:$H,8,0),0)</f>
        <v>0</v>
      </c>
      <c r="AE89" s="688">
        <f>IFERROR(VLOOKUP($A89,'[92]7月'!$A:$H,8,0),0)</f>
        <v>0</v>
      </c>
      <c r="AF89" s="688">
        <f>IFERROR(VLOOKUP($A89,'[92]8月'!$A:$H,8,0),0)</f>
        <v>0</v>
      </c>
      <c r="AG89" s="688">
        <f>IFERROR(VLOOKUP($A89,'[92]9月'!$A:$H,8,0),0)</f>
        <v>0</v>
      </c>
      <c r="AH89" s="688">
        <f>IFERROR(VLOOKUP($A89,'[92]10月'!$A:$H,8,0),0)</f>
        <v>0</v>
      </c>
      <c r="AI89" s="688">
        <f>IFERROR(VLOOKUP($A89,'[92]11月'!$A:$H,8,0),0)</f>
        <v>0</v>
      </c>
      <c r="AJ89" s="688">
        <f>IFERROR(VLOOKUP($A89,'[92]12月'!$A:$H,8,0),0)</f>
        <v>0</v>
      </c>
      <c r="AK89" s="688">
        <f t="shared" si="37"/>
        <v>0</v>
      </c>
    </row>
    <row r="90" spans="1:37" ht="11.1" customHeight="1">
      <c r="A90" s="653" t="str">
        <f>'Budget-合并'!A90</f>
        <v>6602.08.10</v>
      </c>
      <c r="B90" s="653" t="str">
        <f>'Budget-合并'!B90</f>
        <v>电话国际直拨/电话会议收费</v>
      </c>
      <c r="C90" s="687" t="str">
        <f>'Budget-合并'!C90</f>
        <v>Telephone IDD/Teleconf Charge</v>
      </c>
      <c r="D90" s="704">
        <f t="shared" si="30"/>
        <v>0</v>
      </c>
      <c r="E90" s="704" t="e">
        <f t="shared" si="31"/>
        <v>#N/A</v>
      </c>
      <c r="F90" s="704" t="e">
        <f t="shared" si="32"/>
        <v>#N/A</v>
      </c>
      <c r="G90" s="704">
        <f t="shared" ca="1" si="33"/>
        <v>0</v>
      </c>
      <c r="H90" s="704" t="e">
        <f t="shared" ca="1" si="34"/>
        <v>#N/A</v>
      </c>
      <c r="I90" s="704" t="e">
        <f t="shared" ca="1" si="35"/>
        <v>#N/A</v>
      </c>
      <c r="K90" s="704">
        <f>SUMIFS(SPACE!O$3:O$106,SPACE!$A$3:$A$106,$D$1,SPACE!$C$3:$C$106,$A90)</f>
        <v>0</v>
      </c>
      <c r="L90" s="704">
        <f>SUMIFS(SPACE!P$3:P$106,SPACE!$A$3:$A$106,$D$1,SPACE!$C$3:$C$106,$A90)</f>
        <v>0</v>
      </c>
      <c r="M90" s="704">
        <f>SUMIFS(SPACE!Q$3:Q$106,SPACE!$A$3:$A$106,$D$1,SPACE!$C$3:$C$106,$A90)</f>
        <v>0</v>
      </c>
      <c r="N90" s="704">
        <f>SUMIFS(SPACE!R$3:R$106,SPACE!$A$3:$A$106,$D$1,SPACE!$C$3:$C$106,$A90)</f>
        <v>0</v>
      </c>
      <c r="O90" s="704">
        <f>SUMIFS(SPACE!S$3:S$106,SPACE!$A$3:$A$106,$D$1,SPACE!$C$3:$C$106,$A90)</f>
        <v>0</v>
      </c>
      <c r="P90" s="704">
        <f>SUMIFS(SPACE!T$3:T$106,SPACE!$A$3:$A$106,$D$1,SPACE!$C$3:$C$106,$A90)</f>
        <v>0</v>
      </c>
      <c r="Q90" s="704">
        <f>SUMIFS(SPACE!U$3:U$106,SPACE!$A$3:$A$106,$D$1,SPACE!$C$3:$C$106,$A90)</f>
        <v>0</v>
      </c>
      <c r="R90" s="704">
        <f>SUMIFS(SPACE!V$3:V$106,SPACE!$A$3:$A$106,$D$1,SPACE!$C$3:$C$106,$A90)</f>
        <v>0</v>
      </c>
      <c r="S90" s="704">
        <f>SUMIFS(SPACE!W$3:W$106,SPACE!$A$3:$A$106,$D$1,SPACE!$C$3:$C$106,$A90)</f>
        <v>0</v>
      </c>
      <c r="T90" s="704">
        <f>SUMIFS(SPACE!X$3:X$106,SPACE!$A$3:$A$106,$D$1,SPACE!$C$3:$C$106,$A90)</f>
        <v>0</v>
      </c>
      <c r="U90" s="704">
        <f>SUMIFS(SPACE!Y$3:Y$106,SPACE!$A$3:$A$106,$D$1,SPACE!$C$3:$C$106,$A90)</f>
        <v>0</v>
      </c>
      <c r="V90" s="704">
        <f>SUMIFS(SPACE!Z$3:Z$106,SPACE!$A$3:$A$106,$D$1,SPACE!$C$3:$C$106,$A90)</f>
        <v>0</v>
      </c>
      <c r="W90" s="704">
        <f t="shared" si="43"/>
        <v>0</v>
      </c>
      <c r="Y90" s="688">
        <f>IFERROR(VLOOKUP($A90,'[92]1月'!$A:$H,8,0),0)</f>
        <v>0</v>
      </c>
      <c r="Z90" s="688">
        <f>IFERROR(VLOOKUP($A90,'[92]2月'!$A:$H,8,0),0)</f>
        <v>0</v>
      </c>
      <c r="AA90" s="688">
        <f>IFERROR(VLOOKUP($A90,'[92]3月'!$A:$H,8,0),0)</f>
        <v>0</v>
      </c>
      <c r="AB90" s="688">
        <f>IFERROR(VLOOKUP($A90,'[92]4月'!$A:$H,8,0),0)</f>
        <v>0</v>
      </c>
      <c r="AC90" s="688">
        <f>IFERROR(VLOOKUP($A90,'[92]5月'!$A:$H,8,0),0)</f>
        <v>970</v>
      </c>
      <c r="AD90" s="688">
        <f>IFERROR(VLOOKUP($A90,'[92]6月'!$A:$H,8,0),0)</f>
        <v>0</v>
      </c>
      <c r="AE90" s="688">
        <f>IFERROR(VLOOKUP($A90,'[92]7月'!$A:$H,8,0),0)</f>
        <v>0</v>
      </c>
      <c r="AF90" s="688">
        <f>IFERROR(VLOOKUP($A90,'[92]8月'!$A:$H,8,0),0)</f>
        <v>660</v>
      </c>
      <c r="AG90" s="688">
        <f>IFERROR(VLOOKUP($A90,'[92]9月'!$A:$H,8,0),0)</f>
        <v>0</v>
      </c>
      <c r="AH90" s="688">
        <f>IFERROR(VLOOKUP($A90,'[92]10月'!$A:$H,8,0),0)</f>
        <v>0</v>
      </c>
      <c r="AI90" s="688">
        <f>IFERROR(VLOOKUP($A90,'[92]11月'!$A:$H,8,0),0)</f>
        <v>0</v>
      </c>
      <c r="AJ90" s="688">
        <f>IFERROR(VLOOKUP($A90,'[92]12月'!$A:$H,8,0),0)</f>
        <v>0</v>
      </c>
      <c r="AK90" s="688">
        <f t="shared" si="37"/>
        <v>1630</v>
      </c>
    </row>
    <row r="91" spans="1:37" ht="11.1" customHeight="1">
      <c r="A91" s="653" t="str">
        <f>'Budget-合并'!A91</f>
        <v>6602.08.99</v>
      </c>
      <c r="B91" s="653" t="str">
        <f>'Budget-合并'!B91</f>
        <v>其他</v>
      </c>
      <c r="C91" s="687">
        <f>'Budget-合并'!C91</f>
        <v>0</v>
      </c>
      <c r="D91" s="704">
        <f t="shared" si="30"/>
        <v>0</v>
      </c>
      <c r="E91" s="704" t="e">
        <f t="shared" si="31"/>
        <v>#N/A</v>
      </c>
      <c r="F91" s="704" t="e">
        <f t="shared" si="32"/>
        <v>#N/A</v>
      </c>
      <c r="G91" s="704">
        <f t="shared" ca="1" si="33"/>
        <v>0</v>
      </c>
      <c r="H91" s="704" t="e">
        <f t="shared" ca="1" si="34"/>
        <v>#N/A</v>
      </c>
      <c r="I91" s="704" t="e">
        <f t="shared" ca="1" si="35"/>
        <v>#N/A</v>
      </c>
      <c r="K91" s="704">
        <f>SUMIFS('Other Exp'!AG$3:AG$196,'Other Exp'!$B$3:$B$196,$D$1,'Other Exp'!$C$3:$C$196,$A91)</f>
        <v>0</v>
      </c>
      <c r="L91" s="704">
        <f>SUMIFS('Other Exp'!AH$3:AH$196,'Other Exp'!$B$3:$B$196,$D$1,'Other Exp'!$C$3:$C$196,$A91)</f>
        <v>0</v>
      </c>
      <c r="M91" s="704">
        <f>SUMIFS('Other Exp'!AI$3:AI$196,'Other Exp'!$B$3:$B$196,$D$1,'Other Exp'!$C$3:$C$196,$A91)</f>
        <v>0</v>
      </c>
      <c r="N91" s="704">
        <f>SUMIFS('Other Exp'!AJ$3:AJ$196,'Other Exp'!$B$3:$B$196,$D$1,'Other Exp'!$C$3:$C$196,$A91)</f>
        <v>0</v>
      </c>
      <c r="O91" s="704">
        <f>SUMIFS('Other Exp'!AK$3:AK$196,'Other Exp'!$B$3:$B$196,$D$1,'Other Exp'!$C$3:$C$196,$A91)</f>
        <v>0</v>
      </c>
      <c r="P91" s="704">
        <f>SUMIFS('Other Exp'!AL$3:AL$196,'Other Exp'!$B$3:$B$196,$D$1,'Other Exp'!$C$3:$C$196,$A91)</f>
        <v>0</v>
      </c>
      <c r="Q91" s="704">
        <f>SUMIFS('Other Exp'!AM$3:AM$196,'Other Exp'!$B$3:$B$196,$D$1,'Other Exp'!$C$3:$C$196,$A91)</f>
        <v>0</v>
      </c>
      <c r="R91" s="704">
        <f>SUMIFS('Other Exp'!AN$3:AN$196,'Other Exp'!$B$3:$B$196,$D$1,'Other Exp'!$C$3:$C$196,$A91)</f>
        <v>0</v>
      </c>
      <c r="S91" s="704">
        <f>SUMIFS('Other Exp'!AO$3:AO$196,'Other Exp'!$B$3:$B$196,$D$1,'Other Exp'!$C$3:$C$196,$A91)</f>
        <v>0</v>
      </c>
      <c r="T91" s="704">
        <f>SUMIFS('Other Exp'!AP$3:AP$196,'Other Exp'!$B$3:$B$196,$D$1,'Other Exp'!$C$3:$C$196,$A91)</f>
        <v>0</v>
      </c>
      <c r="U91" s="704">
        <f>SUMIFS('Other Exp'!AQ$3:AQ$196,'Other Exp'!$B$3:$B$196,$D$1,'Other Exp'!$C$3:$C$196,$A91)</f>
        <v>0</v>
      </c>
      <c r="V91" s="704">
        <f>SUMIFS('Other Exp'!AR$3:AR$196,'Other Exp'!$B$3:$B$196,$D$1,'Other Exp'!$C$3:$C$196,$A91)</f>
        <v>0</v>
      </c>
      <c r="W91" s="704">
        <f t="shared" si="43"/>
        <v>0</v>
      </c>
      <c r="Y91" s="688">
        <f>IFERROR(VLOOKUP($A91,'[92]1月'!$A:$H,8,0),0)</f>
        <v>0</v>
      </c>
      <c r="Z91" s="688">
        <f>IFERROR(VLOOKUP($A91,'[92]2月'!$A:$H,8,0),0)</f>
        <v>0</v>
      </c>
      <c r="AA91" s="688">
        <f>IFERROR(VLOOKUP($A91,'[92]3月'!$A:$H,8,0),0)</f>
        <v>0</v>
      </c>
      <c r="AB91" s="688">
        <f>IFERROR(VLOOKUP($A91,'[92]4月'!$A:$H,8,0),0)</f>
        <v>0</v>
      </c>
      <c r="AC91" s="688">
        <f>IFERROR(VLOOKUP($A91,'[92]5月'!$A:$H,8,0),0)</f>
        <v>0</v>
      </c>
      <c r="AD91" s="688">
        <f>IFERROR(VLOOKUP($A91,'[92]6月'!$A:$H,8,0),0)</f>
        <v>0</v>
      </c>
      <c r="AE91" s="688">
        <f>IFERROR(VLOOKUP($A91,'[92]7月'!$A:$H,8,0),0)</f>
        <v>0</v>
      </c>
      <c r="AF91" s="688">
        <f>IFERROR(VLOOKUP($A91,'[92]8月'!$A:$H,8,0),0)</f>
        <v>0</v>
      </c>
      <c r="AG91" s="688">
        <f>IFERROR(VLOOKUP($A91,'[92]9月'!$A:$H,8,0),0)</f>
        <v>0</v>
      </c>
      <c r="AH91" s="688">
        <f>IFERROR(VLOOKUP($A91,'[92]10月'!$A:$H,8,0),0)</f>
        <v>0</v>
      </c>
      <c r="AI91" s="688">
        <f>IFERROR(VLOOKUP($A91,'[92]11月'!$A:$H,8,0),0)</f>
        <v>0</v>
      </c>
      <c r="AJ91" s="688">
        <f>IFERROR(VLOOKUP($A91,'[92]12月'!$A:$H,8,0),0)</f>
        <v>0</v>
      </c>
      <c r="AK91" s="688">
        <f t="shared" si="37"/>
        <v>0</v>
      </c>
    </row>
    <row r="92" spans="1:37" ht="11.1" customHeight="1">
      <c r="A92" s="663" t="str">
        <f>'Budget-合并'!A92</f>
        <v>6602.09</v>
      </c>
      <c r="B92" s="663" t="str">
        <f>'Budget-合并'!B92</f>
        <v>差旅费</v>
      </c>
      <c r="C92" s="687">
        <f>'Budget-合并'!C92</f>
        <v>0</v>
      </c>
      <c r="D92" s="704">
        <f t="shared" ca="1" si="30"/>
        <v>14625.502333333332</v>
      </c>
      <c r="E92" s="704" t="e">
        <f t="shared" si="31"/>
        <v>#N/A</v>
      </c>
      <c r="F92" s="704" t="e">
        <f t="shared" ca="1" si="32"/>
        <v>#N/A</v>
      </c>
      <c r="G92" s="704">
        <f t="shared" ca="1" si="33"/>
        <v>14625.502333333332</v>
      </c>
      <c r="H92" s="704" t="e">
        <f t="shared" ca="1" si="34"/>
        <v>#N/A</v>
      </c>
      <c r="I92" s="704" t="e">
        <f t="shared" ca="1" si="35"/>
        <v>#N/A</v>
      </c>
      <c r="K92" s="704">
        <f t="shared" ref="K92:V92" ca="1" si="44">SUM(K93,K97,K101,K105,K109,K113,K117,K118,K122,K126)</f>
        <v>14625.502333333332</v>
      </c>
      <c r="L92" s="704">
        <f t="shared" ca="1" si="44"/>
        <v>14497.486666666666</v>
      </c>
      <c r="M92" s="704">
        <f t="shared" ca="1" si="44"/>
        <v>14497.486666666666</v>
      </c>
      <c r="N92" s="704">
        <f t="shared" ca="1" si="44"/>
        <v>14497.486666666666</v>
      </c>
      <c r="O92" s="704">
        <f t="shared" ca="1" si="44"/>
        <v>14497.486666666666</v>
      </c>
      <c r="P92" s="704">
        <f t="shared" ca="1" si="44"/>
        <v>14497.486666666666</v>
      </c>
      <c r="Q92" s="704">
        <f t="shared" ca="1" si="44"/>
        <v>14497.486666666666</v>
      </c>
      <c r="R92" s="704">
        <f t="shared" ca="1" si="44"/>
        <v>14497.486666666666</v>
      </c>
      <c r="S92" s="704">
        <f t="shared" ca="1" si="44"/>
        <v>14497.486666666666</v>
      </c>
      <c r="T92" s="704">
        <f t="shared" ca="1" si="44"/>
        <v>14497.486666666666</v>
      </c>
      <c r="U92" s="704">
        <f t="shared" ca="1" si="44"/>
        <v>14497.486666666666</v>
      </c>
      <c r="V92" s="704">
        <f t="shared" ca="1" si="44"/>
        <v>14497.486666666666</v>
      </c>
      <c r="W92" s="704">
        <f t="shared" ca="1" si="43"/>
        <v>174097.85566666664</v>
      </c>
      <c r="Y92" s="688">
        <f>IFERROR(VLOOKUP($A92,'[92]1月'!$A:$H,8,0),0)</f>
        <v>0</v>
      </c>
      <c r="Z92" s="688">
        <f>IFERROR(VLOOKUP($A92,'[92]2月'!$A:$H,8,0),0)</f>
        <v>0</v>
      </c>
      <c r="AA92" s="688">
        <f>IFERROR(VLOOKUP($A92,'[92]3月'!$A:$H,8,0),0)</f>
        <v>25.4</v>
      </c>
      <c r="AB92" s="688">
        <f>IFERROR(VLOOKUP($A92,'[92]4月'!$A:$H,8,0),0)</f>
        <v>0</v>
      </c>
      <c r="AC92" s="688">
        <f>IFERROR(VLOOKUP($A92,'[92]5月'!$A:$H,8,0),0)</f>
        <v>21439.05</v>
      </c>
      <c r="AD92" s="688">
        <f>IFERROR(VLOOKUP($A92,'[92]6月'!$A:$H,8,0),0)</f>
        <v>0</v>
      </c>
      <c r="AE92" s="688">
        <f>IFERROR(VLOOKUP($A92,'[92]7月'!$A:$H,8,0),0)</f>
        <v>14444.44</v>
      </c>
      <c r="AF92" s="688">
        <f>IFERROR(VLOOKUP($A92,'[92]8月'!$A:$H,8,0),0)</f>
        <v>15292.15</v>
      </c>
      <c r="AG92" s="688">
        <f>IFERROR(VLOOKUP($A92,'[92]9月'!$A:$H,8,0),0)</f>
        <v>8864.5400000000009</v>
      </c>
      <c r="AH92" s="688">
        <f>IFERROR(VLOOKUP($A92,'[92]10月'!$A:$H,8,0),0)</f>
        <v>2732.41</v>
      </c>
      <c r="AI92" s="688">
        <f>IFERROR(VLOOKUP($A92,'[92]11月'!$A:$H,8,0),0)</f>
        <v>0</v>
      </c>
      <c r="AJ92" s="688">
        <f>IFERROR(VLOOKUP($A92,'[92]12月'!$A:$H,8,0),0)</f>
        <v>45956.52</v>
      </c>
      <c r="AK92" s="688">
        <f t="shared" si="37"/>
        <v>108754.51000000001</v>
      </c>
    </row>
    <row r="93" spans="1:37" ht="11.1" customHeight="1">
      <c r="A93" s="653" t="str">
        <f>'Budget-合并'!A93</f>
        <v>6602.09.01</v>
      </c>
      <c r="B93" s="653" t="str">
        <f>'Budget-合并'!B93</f>
        <v>住宿费</v>
      </c>
      <c r="C93" s="687" t="str">
        <f>'Budget-合并'!C93</f>
        <v>Travel Lodging</v>
      </c>
      <c r="D93" s="704">
        <f t="shared" ca="1" si="30"/>
        <v>5606.9369999999999</v>
      </c>
      <c r="E93" s="704" t="e">
        <f t="shared" si="31"/>
        <v>#N/A</v>
      </c>
      <c r="F93" s="704" t="e">
        <f t="shared" ca="1" si="32"/>
        <v>#N/A</v>
      </c>
      <c r="G93" s="704">
        <f t="shared" ca="1" si="33"/>
        <v>5606.9369999999999</v>
      </c>
      <c r="H93" s="704" t="e">
        <f t="shared" ca="1" si="34"/>
        <v>#N/A</v>
      </c>
      <c r="I93" s="704" t="e">
        <f t="shared" ca="1" si="35"/>
        <v>#N/A</v>
      </c>
      <c r="K93" s="704">
        <f ca="1">SUM(K94:K96)</f>
        <v>5606.9369999999999</v>
      </c>
      <c r="L93" s="704">
        <f t="shared" ref="L93:V93" ca="1" si="45">SUM(L94:L96)</f>
        <v>5557.86</v>
      </c>
      <c r="M93" s="704">
        <f t="shared" ca="1" si="45"/>
        <v>5557.86</v>
      </c>
      <c r="N93" s="704">
        <f t="shared" ca="1" si="45"/>
        <v>5557.86</v>
      </c>
      <c r="O93" s="704">
        <f t="shared" ca="1" si="45"/>
        <v>5557.86</v>
      </c>
      <c r="P93" s="704">
        <f t="shared" ca="1" si="45"/>
        <v>5557.86</v>
      </c>
      <c r="Q93" s="704">
        <f t="shared" ca="1" si="45"/>
        <v>5557.86</v>
      </c>
      <c r="R93" s="704">
        <f t="shared" ca="1" si="45"/>
        <v>5557.86</v>
      </c>
      <c r="S93" s="704">
        <f t="shared" ca="1" si="45"/>
        <v>5557.86</v>
      </c>
      <c r="T93" s="704">
        <f t="shared" ca="1" si="45"/>
        <v>5557.86</v>
      </c>
      <c r="U93" s="704">
        <f t="shared" ca="1" si="45"/>
        <v>5557.86</v>
      </c>
      <c r="V93" s="704">
        <f t="shared" ca="1" si="45"/>
        <v>5557.86</v>
      </c>
      <c r="W93" s="704">
        <f t="shared" ca="1" si="43"/>
        <v>66743.396999999997</v>
      </c>
      <c r="Y93" s="688">
        <f>IFERROR(VLOOKUP($A93,'[92]1月'!$A:$H,8,0),0)</f>
        <v>0</v>
      </c>
      <c r="Z93" s="688">
        <f>IFERROR(VLOOKUP($A93,'[92]2月'!$A:$H,8,0),0)</f>
        <v>0</v>
      </c>
      <c r="AA93" s="688">
        <f>IFERROR(VLOOKUP($A93,'[92]3月'!$A:$H,8,0),0)</f>
        <v>25.4</v>
      </c>
      <c r="AB93" s="688">
        <f>IFERROR(VLOOKUP($A93,'[92]4月'!$A:$H,8,0),0)</f>
        <v>0</v>
      </c>
      <c r="AC93" s="688">
        <f>IFERROR(VLOOKUP($A93,'[92]5月'!$A:$H,8,0),0)</f>
        <v>6739.05</v>
      </c>
      <c r="AD93" s="688">
        <f>IFERROR(VLOOKUP($A93,'[92]6月'!$A:$H,8,0),0)</f>
        <v>0</v>
      </c>
      <c r="AE93" s="688">
        <f>IFERROR(VLOOKUP($A93,'[92]7月'!$A:$H,8,0),0)</f>
        <v>0</v>
      </c>
      <c r="AF93" s="688">
        <f>IFERROR(VLOOKUP($A93,'[92]8月'!$A:$H,8,0),0)</f>
        <v>3292.43</v>
      </c>
      <c r="AG93" s="688">
        <f>IFERROR(VLOOKUP($A93,'[92]9月'!$A:$H,8,0),0)</f>
        <v>0</v>
      </c>
      <c r="AH93" s="688">
        <f>IFERROR(VLOOKUP($A93,'[92]10月'!$A:$H,8,0),0)</f>
        <v>14736.63</v>
      </c>
      <c r="AI93" s="688">
        <f>IFERROR(VLOOKUP($A93,'[92]11月'!$A:$H,8,0),0)</f>
        <v>0</v>
      </c>
      <c r="AJ93" s="688">
        <f>IFERROR(VLOOKUP($A93,'[92]12月'!$A:$H,8,0),0)</f>
        <v>9469.08</v>
      </c>
      <c r="AK93" s="688">
        <f t="shared" si="37"/>
        <v>34262.589999999997</v>
      </c>
    </row>
    <row r="94" spans="1:37" ht="11.1" customHeight="1">
      <c r="A94" s="707">
        <f ca="1">ROUND('T&amp;E'!J76/'T&amp;E'!J74,2)</f>
        <v>0.53</v>
      </c>
      <c r="B94" s="653" t="str">
        <f>'Budget-合并'!B94</f>
        <v xml:space="preserve">    公司主体03</v>
      </c>
      <c r="C94" s="687" t="str">
        <f>'Budget-合并'!C94</f>
        <v xml:space="preserve">   Entity</v>
      </c>
      <c r="D94" s="704">
        <f t="shared" ca="1" si="30"/>
        <v>2971.67661</v>
      </c>
      <c r="E94" s="704" t="e">
        <f t="shared" si="31"/>
        <v>#N/A</v>
      </c>
      <c r="F94" s="704" t="e">
        <f t="shared" ca="1" si="32"/>
        <v>#N/A</v>
      </c>
      <c r="G94" s="704">
        <f t="shared" ca="1" si="33"/>
        <v>2971.67661</v>
      </c>
      <c r="H94" s="704" t="e">
        <f t="shared" ca="1" si="34"/>
        <v>#N/A</v>
      </c>
      <c r="I94" s="704" t="e">
        <f t="shared" ca="1" si="35"/>
        <v>#N/A</v>
      </c>
      <c r="K94" s="704">
        <f ca="1">SUMIFS('T&amp;E'!N$64:N$73,'T&amp;E'!$B$64:$B$73,$D$1,'T&amp;E'!$C$64:$C$73,$A$93)*$A94</f>
        <v>2971.67661</v>
      </c>
      <c r="L94" s="704">
        <f ca="1">SUMIFS('T&amp;E'!O$64:O$73,'T&amp;E'!$B$64:$B$73,$D$1,'T&amp;E'!$C$64:$C$73,$A$93)*$A94</f>
        <v>2945.6657999999998</v>
      </c>
      <c r="M94" s="704">
        <f ca="1">SUMIFS('T&amp;E'!P$64:P$73,'T&amp;E'!$B$64:$B$73,$D$1,'T&amp;E'!$C$64:$C$73,$A$93)*$A94</f>
        <v>2945.6657999999998</v>
      </c>
      <c r="N94" s="704">
        <f ca="1">SUMIFS('T&amp;E'!Q$64:Q$73,'T&amp;E'!$B$64:$B$73,$D$1,'T&amp;E'!$C$64:$C$73,$A$93)*$A94</f>
        <v>2945.6657999999998</v>
      </c>
      <c r="O94" s="704">
        <f ca="1">SUMIFS('T&amp;E'!R$64:R$73,'T&amp;E'!$B$64:$B$73,$D$1,'T&amp;E'!$C$64:$C$73,$A$93)*$A94</f>
        <v>2945.6657999999998</v>
      </c>
      <c r="P94" s="704">
        <f ca="1">SUMIFS('T&amp;E'!S$64:S$73,'T&amp;E'!$B$64:$B$73,$D$1,'T&amp;E'!$C$64:$C$73,$A$93)*$A94</f>
        <v>2945.6657999999998</v>
      </c>
      <c r="Q94" s="704">
        <f ca="1">SUMIFS('T&amp;E'!T$64:T$73,'T&amp;E'!$B$64:$B$73,$D$1,'T&amp;E'!$C$64:$C$73,$A$93)*$A94</f>
        <v>2945.6657999999998</v>
      </c>
      <c r="R94" s="704">
        <f ca="1">SUMIFS('T&amp;E'!U$64:U$73,'T&amp;E'!$B$64:$B$73,$D$1,'T&amp;E'!$C$64:$C$73,$A$93)*$A94</f>
        <v>2945.6657999999998</v>
      </c>
      <c r="S94" s="704">
        <f ca="1">SUMIFS('T&amp;E'!V$64:V$73,'T&amp;E'!$B$64:$B$73,$D$1,'T&amp;E'!$C$64:$C$73,$A$93)*$A94</f>
        <v>2945.6657999999998</v>
      </c>
      <c r="T94" s="704">
        <f ca="1">SUMIFS('T&amp;E'!W$64:W$73,'T&amp;E'!$B$64:$B$73,$D$1,'T&amp;E'!$C$64:$C$73,$A$93)*$A94</f>
        <v>2945.6657999999998</v>
      </c>
      <c r="U94" s="704">
        <f ca="1">SUMIFS('T&amp;E'!X$64:X$73,'T&amp;E'!$B$64:$B$73,$D$1,'T&amp;E'!$C$64:$C$73,$A$93)*$A94</f>
        <v>2945.6657999999998</v>
      </c>
      <c r="V94" s="704">
        <f ca="1">SUMIFS('T&amp;E'!Y$64:Y$73,'T&amp;E'!$B$64:$B$73,$D$1,'T&amp;E'!$C$64:$C$73,$A$93)*$A94</f>
        <v>2945.6657999999998</v>
      </c>
      <c r="W94" s="704">
        <f t="shared" ca="1" si="43"/>
        <v>35374.000409999993</v>
      </c>
      <c r="Y94" s="688">
        <f ca="1">IFERROR(VLOOKUP($A94,'[92]1月'!$A:$H,8,0),0)</f>
        <v>0</v>
      </c>
      <c r="Z94" s="688">
        <f ca="1">IFERROR(VLOOKUP($A94,'[92]2月'!$A:$H,8,0),0)</f>
        <v>0</v>
      </c>
      <c r="AA94" s="688">
        <f ca="1">IFERROR(VLOOKUP($A94,'[92]3月'!$A:$H,8,0),0)</f>
        <v>0</v>
      </c>
      <c r="AB94" s="688">
        <f ca="1">IFERROR(VLOOKUP($A94,'[92]4月'!$A:$H,8,0),0)</f>
        <v>0</v>
      </c>
      <c r="AC94" s="688">
        <f ca="1">IFERROR(VLOOKUP($A94,'[92]5月'!$A:$H,8,0),0)</f>
        <v>0</v>
      </c>
      <c r="AD94" s="688">
        <f ca="1">IFERROR(VLOOKUP($A94,'[92]6月'!$A:$H,8,0),0)</f>
        <v>0</v>
      </c>
      <c r="AE94" s="688">
        <f ca="1">IFERROR(VLOOKUP($A94,'[92]7月'!$A:$H,8,0),0)</f>
        <v>0</v>
      </c>
      <c r="AF94" s="688">
        <f ca="1">IFERROR(VLOOKUP($A94,'[92]8月'!$A:$H,8,0),0)</f>
        <v>0</v>
      </c>
      <c r="AG94" s="688">
        <f ca="1">IFERROR(VLOOKUP($A94,'[92]9月'!$A:$H,8,0),0)</f>
        <v>0</v>
      </c>
      <c r="AH94" s="688">
        <f ca="1">IFERROR(VLOOKUP($A94,'[92]10月'!$A:$H,8,0),0)</f>
        <v>0</v>
      </c>
      <c r="AI94" s="688">
        <f ca="1">IFERROR(VLOOKUP($A94,'[92]11月'!$A:$H,8,0),0)</f>
        <v>0</v>
      </c>
      <c r="AJ94" s="688">
        <f ca="1">IFERROR(VLOOKUP($A94,'[92]12月'!$A:$H,8,0),0)</f>
        <v>0</v>
      </c>
      <c r="AK94" s="688">
        <f t="shared" ca="1" si="37"/>
        <v>0</v>
      </c>
    </row>
    <row r="95" spans="1:37" ht="11.1" customHeight="1">
      <c r="A95" s="707">
        <f ca="1">ROUND('T&amp;E'!J75/'T&amp;E'!J74,2)</f>
        <v>0.47</v>
      </c>
      <c r="B95" s="653" t="str">
        <f>'Budget-合并'!B95</f>
        <v xml:space="preserve">    旭智富能03</v>
      </c>
      <c r="C95" s="687" t="str">
        <f>'Budget-合并'!C95</f>
        <v xml:space="preserve">   Foxpower</v>
      </c>
      <c r="D95" s="704">
        <f t="shared" ca="1" si="30"/>
        <v>2635.2603899999999</v>
      </c>
      <c r="E95" s="704" t="e">
        <f t="shared" si="31"/>
        <v>#N/A</v>
      </c>
      <c r="F95" s="704" t="e">
        <f t="shared" ca="1" si="32"/>
        <v>#N/A</v>
      </c>
      <c r="G95" s="704">
        <f t="shared" ca="1" si="33"/>
        <v>2635.2603899999999</v>
      </c>
      <c r="H95" s="704" t="e">
        <f t="shared" ca="1" si="34"/>
        <v>#N/A</v>
      </c>
      <c r="I95" s="704" t="e">
        <f t="shared" ca="1" si="35"/>
        <v>#N/A</v>
      </c>
      <c r="K95" s="704">
        <f ca="1">SUMIFS('T&amp;E'!N$64:N$73,'T&amp;E'!$B$64:$B$73,$D$1,'T&amp;E'!$C$64:$C$73,$A$93)*$A95</f>
        <v>2635.2603899999999</v>
      </c>
      <c r="L95" s="704">
        <f ca="1">SUMIFS('T&amp;E'!O$64:O$73,'T&amp;E'!$B$64:$B$73,$D$1,'T&amp;E'!$C$64:$C$73,$A$93)*$A95</f>
        <v>2612.1941999999999</v>
      </c>
      <c r="M95" s="704">
        <f ca="1">SUMIFS('T&amp;E'!P$64:P$73,'T&amp;E'!$B$64:$B$73,$D$1,'T&amp;E'!$C$64:$C$73,$A$93)*$A95</f>
        <v>2612.1941999999999</v>
      </c>
      <c r="N95" s="704">
        <f ca="1">SUMIFS('T&amp;E'!Q$64:Q$73,'T&amp;E'!$B$64:$B$73,$D$1,'T&amp;E'!$C$64:$C$73,$A$93)*$A95</f>
        <v>2612.1941999999999</v>
      </c>
      <c r="O95" s="704">
        <f ca="1">SUMIFS('T&amp;E'!R$64:R$73,'T&amp;E'!$B$64:$B$73,$D$1,'T&amp;E'!$C$64:$C$73,$A$93)*$A95</f>
        <v>2612.1941999999999</v>
      </c>
      <c r="P95" s="704">
        <f ca="1">SUMIFS('T&amp;E'!S$64:S$73,'T&amp;E'!$B$64:$B$73,$D$1,'T&amp;E'!$C$64:$C$73,$A$93)*$A95</f>
        <v>2612.1941999999999</v>
      </c>
      <c r="Q95" s="704">
        <f ca="1">SUMIFS('T&amp;E'!T$64:T$73,'T&amp;E'!$B$64:$B$73,$D$1,'T&amp;E'!$C$64:$C$73,$A$93)*$A95</f>
        <v>2612.1941999999999</v>
      </c>
      <c r="R95" s="704">
        <f ca="1">SUMIFS('T&amp;E'!U$64:U$73,'T&amp;E'!$B$64:$B$73,$D$1,'T&amp;E'!$C$64:$C$73,$A$93)*$A95</f>
        <v>2612.1941999999999</v>
      </c>
      <c r="S95" s="704">
        <f ca="1">SUMIFS('T&amp;E'!V$64:V$73,'T&amp;E'!$B$64:$B$73,$D$1,'T&amp;E'!$C$64:$C$73,$A$93)*$A95</f>
        <v>2612.1941999999999</v>
      </c>
      <c r="T95" s="704">
        <f ca="1">SUMIFS('T&amp;E'!W$64:W$73,'T&amp;E'!$B$64:$B$73,$D$1,'T&amp;E'!$C$64:$C$73,$A$93)*$A95</f>
        <v>2612.1941999999999</v>
      </c>
      <c r="U95" s="704">
        <f ca="1">SUMIFS('T&amp;E'!X$64:X$73,'T&amp;E'!$B$64:$B$73,$D$1,'T&amp;E'!$C$64:$C$73,$A$93)*$A95</f>
        <v>2612.1941999999999</v>
      </c>
      <c r="V95" s="704">
        <f ca="1">SUMIFS('T&amp;E'!Y$64:Y$73,'T&amp;E'!$B$64:$B$73,$D$1,'T&amp;E'!$C$64:$C$73,$A$93)*$A95</f>
        <v>2612.1941999999999</v>
      </c>
      <c r="W95" s="704">
        <f t="shared" ca="1" si="43"/>
        <v>31369.396589999989</v>
      </c>
      <c r="Y95" s="688">
        <f ca="1">IFERROR(VLOOKUP($A95,'[92]1月'!$A:$H,8,0),0)</f>
        <v>0</v>
      </c>
      <c r="Z95" s="688">
        <f ca="1">IFERROR(VLOOKUP($A95,'[92]2月'!$A:$H,8,0),0)</f>
        <v>0</v>
      </c>
      <c r="AA95" s="688">
        <f ca="1">IFERROR(VLOOKUP($A95,'[92]3月'!$A:$H,8,0),0)</f>
        <v>0</v>
      </c>
      <c r="AB95" s="688">
        <f ca="1">IFERROR(VLOOKUP($A95,'[92]4月'!$A:$H,8,0),0)</f>
        <v>0</v>
      </c>
      <c r="AC95" s="688">
        <f ca="1">IFERROR(VLOOKUP($A95,'[92]5月'!$A:$H,8,0),0)</f>
        <v>0</v>
      </c>
      <c r="AD95" s="688">
        <f ca="1">IFERROR(VLOOKUP($A95,'[92]6月'!$A:$H,8,0),0)</f>
        <v>0</v>
      </c>
      <c r="AE95" s="688">
        <f ca="1">IFERROR(VLOOKUP($A95,'[92]7月'!$A:$H,8,0),0)</f>
        <v>0</v>
      </c>
      <c r="AF95" s="688">
        <f ca="1">IFERROR(VLOOKUP($A95,'[92]8月'!$A:$H,8,0),0)</f>
        <v>0</v>
      </c>
      <c r="AG95" s="688">
        <f ca="1">IFERROR(VLOOKUP($A95,'[92]9月'!$A:$H,8,0),0)</f>
        <v>0</v>
      </c>
      <c r="AH95" s="688">
        <f ca="1">IFERROR(VLOOKUP($A95,'[92]10月'!$A:$H,8,0),0)</f>
        <v>0</v>
      </c>
      <c r="AI95" s="688">
        <f ca="1">IFERROR(VLOOKUP($A95,'[92]11月'!$A:$H,8,0),0)</f>
        <v>0</v>
      </c>
      <c r="AJ95" s="688">
        <f ca="1">IFERROR(VLOOKUP($A95,'[92]12月'!$A:$H,8,0),0)</f>
        <v>0</v>
      </c>
      <c r="AK95" s="688">
        <f t="shared" ca="1" si="37"/>
        <v>0</v>
      </c>
    </row>
    <row r="96" spans="1:37" ht="11.1" customHeight="1">
      <c r="A96" s="653">
        <f>'Budget-合并'!A96</f>
        <v>0</v>
      </c>
      <c r="B96" s="653" t="str">
        <f>'Budget-合并'!B96</f>
        <v xml:space="preserve">    其他项目03</v>
      </c>
      <c r="C96" s="687" t="str">
        <f>'Budget-合并'!C96</f>
        <v xml:space="preserve">   Other project</v>
      </c>
      <c r="D96" s="704">
        <f t="shared" si="30"/>
        <v>0</v>
      </c>
      <c r="E96" s="704" t="e">
        <f t="shared" si="31"/>
        <v>#N/A</v>
      </c>
      <c r="F96" s="704" t="e">
        <f t="shared" si="32"/>
        <v>#N/A</v>
      </c>
      <c r="G96" s="704">
        <f t="shared" ca="1" si="33"/>
        <v>0</v>
      </c>
      <c r="H96" s="704" t="e">
        <f t="shared" ca="1" si="34"/>
        <v>#N/A</v>
      </c>
      <c r="I96" s="704" t="e">
        <f t="shared" ca="1" si="35"/>
        <v>#N/A</v>
      </c>
      <c r="K96" s="704"/>
      <c r="L96" s="704"/>
      <c r="M96" s="704"/>
      <c r="N96" s="704"/>
      <c r="O96" s="704"/>
      <c r="P96" s="704"/>
      <c r="Q96" s="704"/>
      <c r="R96" s="704"/>
      <c r="S96" s="704"/>
      <c r="T96" s="704"/>
      <c r="U96" s="704"/>
      <c r="V96" s="704"/>
      <c r="W96" s="704">
        <f t="shared" si="43"/>
        <v>0</v>
      </c>
      <c r="Y96" s="688">
        <f>IFERROR(VLOOKUP($A96,'[92]1月'!$A:$H,8,0),0)</f>
        <v>0</v>
      </c>
      <c r="Z96" s="688">
        <f>IFERROR(VLOOKUP($A96,'[92]2月'!$A:$H,8,0),0)</f>
        <v>0</v>
      </c>
      <c r="AA96" s="688">
        <f>IFERROR(VLOOKUP($A96,'[92]3月'!$A:$H,8,0),0)</f>
        <v>0</v>
      </c>
      <c r="AB96" s="688">
        <f>IFERROR(VLOOKUP($A96,'[92]4月'!$A:$H,8,0),0)</f>
        <v>0</v>
      </c>
      <c r="AC96" s="688">
        <f>IFERROR(VLOOKUP($A96,'[92]5月'!$A:$H,8,0),0)</f>
        <v>0</v>
      </c>
      <c r="AD96" s="688">
        <f>IFERROR(VLOOKUP($A96,'[92]6月'!$A:$H,8,0),0)</f>
        <v>0</v>
      </c>
      <c r="AE96" s="688">
        <f>IFERROR(VLOOKUP($A96,'[92]7月'!$A:$H,8,0),0)</f>
        <v>0</v>
      </c>
      <c r="AF96" s="688">
        <f>IFERROR(VLOOKUP($A96,'[92]8月'!$A:$H,8,0),0)</f>
        <v>0</v>
      </c>
      <c r="AG96" s="688">
        <f>IFERROR(VLOOKUP($A96,'[92]9月'!$A:$H,8,0),0)</f>
        <v>0</v>
      </c>
      <c r="AH96" s="688">
        <f>IFERROR(VLOOKUP($A96,'[92]10月'!$A:$H,8,0),0)</f>
        <v>0</v>
      </c>
      <c r="AI96" s="688">
        <f>IFERROR(VLOOKUP($A96,'[92]11月'!$A:$H,8,0),0)</f>
        <v>0</v>
      </c>
      <c r="AJ96" s="688">
        <f>IFERROR(VLOOKUP($A96,'[92]12月'!$A:$H,8,0),0)</f>
        <v>0</v>
      </c>
      <c r="AK96" s="688">
        <f t="shared" si="37"/>
        <v>0</v>
      </c>
    </row>
    <row r="97" spans="1:37" ht="11.1" customHeight="1">
      <c r="A97" s="653" t="str">
        <f>'Budget-合并'!A97</f>
        <v>6602.09.02</v>
      </c>
      <c r="B97" s="653" t="str">
        <f>'Budget-合并'!B97</f>
        <v>伙食费</v>
      </c>
      <c r="C97" s="687">
        <f>'Budget-合并'!C97</f>
        <v>0</v>
      </c>
      <c r="D97" s="704">
        <f t="shared" ca="1" si="30"/>
        <v>2313.9739999999997</v>
      </c>
      <c r="E97" s="704" t="e">
        <f t="shared" si="31"/>
        <v>#N/A</v>
      </c>
      <c r="F97" s="704" t="e">
        <f t="shared" ca="1" si="32"/>
        <v>#N/A</v>
      </c>
      <c r="G97" s="704">
        <f t="shared" ca="1" si="33"/>
        <v>2313.9739999999997</v>
      </c>
      <c r="H97" s="704" t="e">
        <f t="shared" ca="1" si="34"/>
        <v>#N/A</v>
      </c>
      <c r="I97" s="704" t="e">
        <f t="shared" ca="1" si="35"/>
        <v>#N/A</v>
      </c>
      <c r="K97" s="704">
        <f t="shared" ref="K97:V97" ca="1" si="46">SUM(K98:K100)</f>
        <v>2313.9739999999997</v>
      </c>
      <c r="L97" s="704">
        <f t="shared" ca="1" si="46"/>
        <v>2293.7199999999998</v>
      </c>
      <c r="M97" s="704">
        <f t="shared" ca="1" si="46"/>
        <v>2293.7199999999998</v>
      </c>
      <c r="N97" s="704">
        <f t="shared" ca="1" si="46"/>
        <v>2293.7199999999998</v>
      </c>
      <c r="O97" s="704">
        <f t="shared" ca="1" si="46"/>
        <v>2293.7199999999998</v>
      </c>
      <c r="P97" s="704">
        <f t="shared" ca="1" si="46"/>
        <v>2293.7199999999998</v>
      </c>
      <c r="Q97" s="704">
        <f t="shared" ca="1" si="46"/>
        <v>2293.7199999999998</v>
      </c>
      <c r="R97" s="704">
        <f t="shared" ca="1" si="46"/>
        <v>2293.7199999999998</v>
      </c>
      <c r="S97" s="704">
        <f t="shared" ca="1" si="46"/>
        <v>2293.7199999999998</v>
      </c>
      <c r="T97" s="704">
        <f t="shared" ca="1" si="46"/>
        <v>2293.7199999999998</v>
      </c>
      <c r="U97" s="704">
        <f t="shared" ca="1" si="46"/>
        <v>2293.7199999999998</v>
      </c>
      <c r="V97" s="704">
        <f t="shared" ca="1" si="46"/>
        <v>2293.7199999999998</v>
      </c>
      <c r="W97" s="704">
        <f t="shared" ca="1" si="43"/>
        <v>27544.894</v>
      </c>
      <c r="Y97" s="688">
        <f>IFERROR(VLOOKUP($A97,'[92]1月'!$A:$H,8,0),0)</f>
        <v>0</v>
      </c>
      <c r="Z97" s="688">
        <f>IFERROR(VLOOKUP($A97,'[92]2月'!$A:$H,8,0),0)</f>
        <v>0</v>
      </c>
      <c r="AA97" s="688">
        <f>IFERROR(VLOOKUP($A97,'[92]3月'!$A:$H,8,0),0)</f>
        <v>0</v>
      </c>
      <c r="AB97" s="688">
        <f>IFERROR(VLOOKUP($A97,'[92]4月'!$A:$H,8,0),0)</f>
        <v>0</v>
      </c>
      <c r="AC97" s="688">
        <f>IFERROR(VLOOKUP($A97,'[92]5月'!$A:$H,8,0),0)</f>
        <v>0</v>
      </c>
      <c r="AD97" s="688">
        <f>IFERROR(VLOOKUP($A97,'[92]6月'!$A:$H,8,0),0)</f>
        <v>0</v>
      </c>
      <c r="AE97" s="688">
        <f>IFERROR(VLOOKUP($A97,'[92]7月'!$A:$H,8,0),0)</f>
        <v>0</v>
      </c>
      <c r="AF97" s="688">
        <f>IFERROR(VLOOKUP($A97,'[92]8月'!$A:$H,8,0),0)</f>
        <v>0</v>
      </c>
      <c r="AG97" s="688">
        <f>IFERROR(VLOOKUP($A97,'[92]9月'!$A:$H,8,0),0)</f>
        <v>0</v>
      </c>
      <c r="AH97" s="688">
        <f>IFERROR(VLOOKUP($A97,'[92]10月'!$A:$H,8,0),0)</f>
        <v>0</v>
      </c>
      <c r="AI97" s="688">
        <f>IFERROR(VLOOKUP($A97,'[92]11月'!$A:$H,8,0),0)</f>
        <v>0</v>
      </c>
      <c r="AJ97" s="688">
        <f>IFERROR(VLOOKUP($A97,'[92]12月'!$A:$H,8,0),0)</f>
        <v>0</v>
      </c>
      <c r="AK97" s="688">
        <f t="shared" si="37"/>
        <v>0</v>
      </c>
    </row>
    <row r="98" spans="1:37" ht="11.1" customHeight="1">
      <c r="A98" s="707">
        <f ca="1">$A$94</f>
        <v>0.53</v>
      </c>
      <c r="B98" s="653" t="str">
        <f>'Budget-合并'!B98</f>
        <v xml:space="preserve">    公司主体04</v>
      </c>
      <c r="C98" s="687" t="str">
        <f>'Budget-合并'!C98</f>
        <v xml:space="preserve">   Entity</v>
      </c>
      <c r="D98" s="704">
        <f t="shared" ca="1" si="30"/>
        <v>1226.4062199999998</v>
      </c>
      <c r="E98" s="704" t="e">
        <f t="shared" si="31"/>
        <v>#N/A</v>
      </c>
      <c r="F98" s="704" t="e">
        <f t="shared" ca="1" si="32"/>
        <v>#N/A</v>
      </c>
      <c r="G98" s="704">
        <f t="shared" ca="1" si="33"/>
        <v>1226.4062199999998</v>
      </c>
      <c r="H98" s="704" t="e">
        <f t="shared" ca="1" si="34"/>
        <v>#N/A</v>
      </c>
      <c r="I98" s="704" t="e">
        <f t="shared" ca="1" si="35"/>
        <v>#N/A</v>
      </c>
      <c r="K98" s="704">
        <f ca="1">SUMIFS('T&amp;E'!N$64:N$73,'T&amp;E'!$B$64:$B$73,$D$1,'T&amp;E'!$C$64:$C$73,$A$97)*$A98</f>
        <v>1226.4062199999998</v>
      </c>
      <c r="L98" s="704">
        <f ca="1">SUMIFS('T&amp;E'!O$64:O$73,'T&amp;E'!$B$64:$B$73,$D$1,'T&amp;E'!$C$64:$C$73,$A$97)*$A98</f>
        <v>1215.6715999999999</v>
      </c>
      <c r="M98" s="704">
        <f ca="1">SUMIFS('T&amp;E'!P$64:P$73,'T&amp;E'!$B$64:$B$73,$D$1,'T&amp;E'!$C$64:$C$73,$A$97)*$A98</f>
        <v>1215.6715999999999</v>
      </c>
      <c r="N98" s="704">
        <f ca="1">SUMIFS('T&amp;E'!Q$64:Q$73,'T&amp;E'!$B$64:$B$73,$D$1,'T&amp;E'!$C$64:$C$73,$A$97)*$A98</f>
        <v>1215.6715999999999</v>
      </c>
      <c r="O98" s="704">
        <f ca="1">SUMIFS('T&amp;E'!R$64:R$73,'T&amp;E'!$B$64:$B$73,$D$1,'T&amp;E'!$C$64:$C$73,$A$97)*$A98</f>
        <v>1215.6715999999999</v>
      </c>
      <c r="P98" s="704">
        <f ca="1">SUMIFS('T&amp;E'!S$64:S$73,'T&amp;E'!$B$64:$B$73,$D$1,'T&amp;E'!$C$64:$C$73,$A$97)*$A98</f>
        <v>1215.6715999999999</v>
      </c>
      <c r="Q98" s="704">
        <f ca="1">SUMIFS('T&amp;E'!T$64:T$73,'T&amp;E'!$B$64:$B$73,$D$1,'T&amp;E'!$C$64:$C$73,$A$97)*$A98</f>
        <v>1215.6715999999999</v>
      </c>
      <c r="R98" s="704">
        <f ca="1">SUMIFS('T&amp;E'!U$64:U$73,'T&amp;E'!$B$64:$B$73,$D$1,'T&amp;E'!$C$64:$C$73,$A$97)*$A98</f>
        <v>1215.6715999999999</v>
      </c>
      <c r="S98" s="704">
        <f ca="1">SUMIFS('T&amp;E'!V$64:V$73,'T&amp;E'!$B$64:$B$73,$D$1,'T&amp;E'!$C$64:$C$73,$A$97)*$A98</f>
        <v>1215.6715999999999</v>
      </c>
      <c r="T98" s="704">
        <f ca="1">SUMIFS('T&amp;E'!W$64:W$73,'T&amp;E'!$B$64:$B$73,$D$1,'T&amp;E'!$C$64:$C$73,$A$97)*$A98</f>
        <v>1215.6715999999999</v>
      </c>
      <c r="U98" s="704">
        <f ca="1">SUMIFS('T&amp;E'!X$64:X$73,'T&amp;E'!$B$64:$B$73,$D$1,'T&amp;E'!$C$64:$C$73,$A$97)*$A98</f>
        <v>1215.6715999999999</v>
      </c>
      <c r="V98" s="704">
        <f ca="1">SUMIFS('T&amp;E'!Y$64:Y$73,'T&amp;E'!$B$64:$B$73,$D$1,'T&amp;E'!$C$64:$C$73,$A$97)*$A98</f>
        <v>1215.6715999999999</v>
      </c>
      <c r="W98" s="704">
        <f t="shared" ca="1" si="43"/>
        <v>14598.793819999997</v>
      </c>
      <c r="Y98" s="688">
        <f ca="1">IFERROR(VLOOKUP($A98,'[92]1月'!$A:$H,8,0),0)</f>
        <v>0</v>
      </c>
      <c r="Z98" s="688">
        <f ca="1">IFERROR(VLOOKUP($A98,'[92]2月'!$A:$H,8,0),0)</f>
        <v>0</v>
      </c>
      <c r="AA98" s="688">
        <f ca="1">IFERROR(VLOOKUP($A98,'[92]3月'!$A:$H,8,0),0)</f>
        <v>0</v>
      </c>
      <c r="AB98" s="688">
        <f ca="1">IFERROR(VLOOKUP($A98,'[92]4月'!$A:$H,8,0),0)</f>
        <v>0</v>
      </c>
      <c r="AC98" s="688">
        <f ca="1">IFERROR(VLOOKUP($A98,'[92]5月'!$A:$H,8,0),0)</f>
        <v>0</v>
      </c>
      <c r="AD98" s="688">
        <f ca="1">IFERROR(VLOOKUP($A98,'[92]6月'!$A:$H,8,0),0)</f>
        <v>0</v>
      </c>
      <c r="AE98" s="688">
        <f ca="1">IFERROR(VLOOKUP($A98,'[92]7月'!$A:$H,8,0),0)</f>
        <v>0</v>
      </c>
      <c r="AF98" s="688">
        <f ca="1">IFERROR(VLOOKUP($A98,'[92]8月'!$A:$H,8,0),0)</f>
        <v>0</v>
      </c>
      <c r="AG98" s="688">
        <f ca="1">IFERROR(VLOOKUP($A98,'[92]9月'!$A:$H,8,0),0)</f>
        <v>0</v>
      </c>
      <c r="AH98" s="688">
        <f ca="1">IFERROR(VLOOKUP($A98,'[92]10月'!$A:$H,8,0),0)</f>
        <v>0</v>
      </c>
      <c r="AI98" s="688">
        <f ca="1">IFERROR(VLOOKUP($A98,'[92]11月'!$A:$H,8,0),0)</f>
        <v>0</v>
      </c>
      <c r="AJ98" s="688">
        <f ca="1">IFERROR(VLOOKUP($A98,'[92]12月'!$A:$H,8,0),0)</f>
        <v>0</v>
      </c>
      <c r="AK98" s="688">
        <f t="shared" ca="1" si="37"/>
        <v>0</v>
      </c>
    </row>
    <row r="99" spans="1:37" ht="11.1" customHeight="1">
      <c r="A99" s="707">
        <f ca="1">$A$95</f>
        <v>0.47</v>
      </c>
      <c r="B99" s="653" t="str">
        <f>'Budget-合并'!B99</f>
        <v xml:space="preserve">    旭智富能04</v>
      </c>
      <c r="C99" s="687" t="str">
        <f>'Budget-合并'!C99</f>
        <v xml:space="preserve">   Foxpower</v>
      </c>
      <c r="D99" s="704">
        <f t="shared" ca="1" si="30"/>
        <v>1087.5677799999999</v>
      </c>
      <c r="E99" s="704" t="e">
        <f t="shared" si="31"/>
        <v>#N/A</v>
      </c>
      <c r="F99" s="704" t="e">
        <f t="shared" ca="1" si="32"/>
        <v>#N/A</v>
      </c>
      <c r="G99" s="704">
        <f t="shared" ca="1" si="33"/>
        <v>1087.5677799999999</v>
      </c>
      <c r="H99" s="704" t="e">
        <f t="shared" ca="1" si="34"/>
        <v>#N/A</v>
      </c>
      <c r="I99" s="704" t="e">
        <f t="shared" ca="1" si="35"/>
        <v>#N/A</v>
      </c>
      <c r="K99" s="704">
        <f ca="1">SUMIFS('T&amp;E'!N$64:N$73,'T&amp;E'!$B$64:$B$73,$D$1,'T&amp;E'!$C$64:$C$73,$A$97)*$A99</f>
        <v>1087.5677799999999</v>
      </c>
      <c r="L99" s="704">
        <f ca="1">SUMIFS('T&amp;E'!O$64:O$73,'T&amp;E'!$B$64:$B$73,$D$1,'T&amp;E'!$C$64:$C$73,$A$97)*$A99</f>
        <v>1078.0483999999999</v>
      </c>
      <c r="M99" s="704">
        <f ca="1">SUMIFS('T&amp;E'!P$64:P$73,'T&amp;E'!$B$64:$B$73,$D$1,'T&amp;E'!$C$64:$C$73,$A$97)*$A99</f>
        <v>1078.0483999999999</v>
      </c>
      <c r="N99" s="704">
        <f ca="1">SUMIFS('T&amp;E'!Q$64:Q$73,'T&amp;E'!$B$64:$B$73,$D$1,'T&amp;E'!$C$64:$C$73,$A$97)*$A99</f>
        <v>1078.0483999999999</v>
      </c>
      <c r="O99" s="704">
        <f ca="1">SUMIFS('T&amp;E'!R$64:R$73,'T&amp;E'!$B$64:$B$73,$D$1,'T&amp;E'!$C$64:$C$73,$A$97)*$A99</f>
        <v>1078.0483999999999</v>
      </c>
      <c r="P99" s="704">
        <f ca="1">SUMIFS('T&amp;E'!S$64:S$73,'T&amp;E'!$B$64:$B$73,$D$1,'T&amp;E'!$C$64:$C$73,$A$97)*$A99</f>
        <v>1078.0483999999999</v>
      </c>
      <c r="Q99" s="704">
        <f ca="1">SUMIFS('T&amp;E'!T$64:T$73,'T&amp;E'!$B$64:$B$73,$D$1,'T&amp;E'!$C$64:$C$73,$A$97)*$A99</f>
        <v>1078.0483999999999</v>
      </c>
      <c r="R99" s="704">
        <f ca="1">SUMIFS('T&amp;E'!U$64:U$73,'T&amp;E'!$B$64:$B$73,$D$1,'T&amp;E'!$C$64:$C$73,$A$97)*$A99</f>
        <v>1078.0483999999999</v>
      </c>
      <c r="S99" s="704">
        <f ca="1">SUMIFS('T&amp;E'!V$64:V$73,'T&amp;E'!$B$64:$B$73,$D$1,'T&amp;E'!$C$64:$C$73,$A$97)*$A99</f>
        <v>1078.0483999999999</v>
      </c>
      <c r="T99" s="704">
        <f ca="1">SUMIFS('T&amp;E'!W$64:W$73,'T&amp;E'!$B$64:$B$73,$D$1,'T&amp;E'!$C$64:$C$73,$A$97)*$A99</f>
        <v>1078.0483999999999</v>
      </c>
      <c r="U99" s="704">
        <f ca="1">SUMIFS('T&amp;E'!X$64:X$73,'T&amp;E'!$B$64:$B$73,$D$1,'T&amp;E'!$C$64:$C$73,$A$97)*$A99</f>
        <v>1078.0483999999999</v>
      </c>
      <c r="V99" s="704">
        <f ca="1">SUMIFS('T&amp;E'!Y$64:Y$73,'T&amp;E'!$B$64:$B$73,$D$1,'T&amp;E'!$C$64:$C$73,$A$97)*$A99</f>
        <v>1078.0483999999999</v>
      </c>
      <c r="W99" s="704">
        <f t="shared" ca="1" si="43"/>
        <v>12946.100179999998</v>
      </c>
      <c r="Y99" s="688">
        <f ca="1">IFERROR(VLOOKUP($A99,'[92]1月'!$A:$H,8,0),0)</f>
        <v>0</v>
      </c>
      <c r="Z99" s="688">
        <f ca="1">IFERROR(VLOOKUP($A99,'[92]2月'!$A:$H,8,0),0)</f>
        <v>0</v>
      </c>
      <c r="AA99" s="688">
        <f ca="1">IFERROR(VLOOKUP($A99,'[92]3月'!$A:$H,8,0),0)</f>
        <v>0</v>
      </c>
      <c r="AB99" s="688">
        <f ca="1">IFERROR(VLOOKUP($A99,'[92]4月'!$A:$H,8,0),0)</f>
        <v>0</v>
      </c>
      <c r="AC99" s="688">
        <f ca="1">IFERROR(VLOOKUP($A99,'[92]5月'!$A:$H,8,0),0)</f>
        <v>0</v>
      </c>
      <c r="AD99" s="688">
        <f ca="1">IFERROR(VLOOKUP($A99,'[92]6月'!$A:$H,8,0),0)</f>
        <v>0</v>
      </c>
      <c r="AE99" s="688">
        <f ca="1">IFERROR(VLOOKUP($A99,'[92]7月'!$A:$H,8,0),0)</f>
        <v>0</v>
      </c>
      <c r="AF99" s="688">
        <f ca="1">IFERROR(VLOOKUP($A99,'[92]8月'!$A:$H,8,0),0)</f>
        <v>0</v>
      </c>
      <c r="AG99" s="688">
        <f ca="1">IFERROR(VLOOKUP($A99,'[92]9月'!$A:$H,8,0),0)</f>
        <v>0</v>
      </c>
      <c r="AH99" s="688">
        <f ca="1">IFERROR(VLOOKUP($A99,'[92]10月'!$A:$H,8,0),0)</f>
        <v>0</v>
      </c>
      <c r="AI99" s="688">
        <f ca="1">IFERROR(VLOOKUP($A99,'[92]11月'!$A:$H,8,0),0)</f>
        <v>0</v>
      </c>
      <c r="AJ99" s="688">
        <f ca="1">IFERROR(VLOOKUP($A99,'[92]12月'!$A:$H,8,0),0)</f>
        <v>0</v>
      </c>
      <c r="AK99" s="688">
        <f t="shared" ca="1" si="37"/>
        <v>0</v>
      </c>
    </row>
    <row r="100" spans="1:37" ht="11.1" customHeight="1">
      <c r="A100" s="653">
        <f>'Budget-合并'!A100</f>
        <v>0</v>
      </c>
      <c r="B100" s="653" t="str">
        <f>'Budget-合并'!B100</f>
        <v xml:space="preserve">    其他项目04</v>
      </c>
      <c r="C100" s="687" t="str">
        <f>'Budget-合并'!C100</f>
        <v xml:space="preserve">   Other project</v>
      </c>
      <c r="D100" s="704">
        <f t="shared" si="30"/>
        <v>0</v>
      </c>
      <c r="E100" s="704" t="e">
        <f t="shared" si="31"/>
        <v>#N/A</v>
      </c>
      <c r="F100" s="704" t="e">
        <f t="shared" si="32"/>
        <v>#N/A</v>
      </c>
      <c r="G100" s="704">
        <f t="shared" ca="1" si="33"/>
        <v>0</v>
      </c>
      <c r="H100" s="704" t="e">
        <f t="shared" ca="1" si="34"/>
        <v>#N/A</v>
      </c>
      <c r="I100" s="704" t="e">
        <f t="shared" ca="1" si="35"/>
        <v>#N/A</v>
      </c>
      <c r="K100" s="704"/>
      <c r="L100" s="704"/>
      <c r="M100" s="704"/>
      <c r="N100" s="704"/>
      <c r="O100" s="704"/>
      <c r="P100" s="704"/>
      <c r="Q100" s="704"/>
      <c r="R100" s="704"/>
      <c r="S100" s="704"/>
      <c r="T100" s="704"/>
      <c r="U100" s="704"/>
      <c r="V100" s="704"/>
      <c r="W100" s="704">
        <f t="shared" si="43"/>
        <v>0</v>
      </c>
      <c r="Y100" s="688">
        <f>IFERROR(VLOOKUP($A100,'[92]1月'!$A:$H,8,0),0)</f>
        <v>0</v>
      </c>
      <c r="Z100" s="688">
        <f>IFERROR(VLOOKUP($A100,'[92]2月'!$A:$H,8,0),0)</f>
        <v>0</v>
      </c>
      <c r="AA100" s="688">
        <f>IFERROR(VLOOKUP($A100,'[92]3月'!$A:$H,8,0),0)</f>
        <v>0</v>
      </c>
      <c r="AB100" s="688">
        <f>IFERROR(VLOOKUP($A100,'[92]4月'!$A:$H,8,0),0)</f>
        <v>0</v>
      </c>
      <c r="AC100" s="688">
        <f>IFERROR(VLOOKUP($A100,'[92]5月'!$A:$H,8,0),0)</f>
        <v>0</v>
      </c>
      <c r="AD100" s="688">
        <f>IFERROR(VLOOKUP($A100,'[92]6月'!$A:$H,8,0),0)</f>
        <v>0</v>
      </c>
      <c r="AE100" s="688">
        <f>IFERROR(VLOOKUP($A100,'[92]7月'!$A:$H,8,0),0)</f>
        <v>0</v>
      </c>
      <c r="AF100" s="688">
        <f>IFERROR(VLOOKUP($A100,'[92]8月'!$A:$H,8,0),0)</f>
        <v>0</v>
      </c>
      <c r="AG100" s="688">
        <f>IFERROR(VLOOKUP($A100,'[92]9月'!$A:$H,8,0),0)</f>
        <v>0</v>
      </c>
      <c r="AH100" s="688">
        <f>IFERROR(VLOOKUP($A100,'[92]10月'!$A:$H,8,0),0)</f>
        <v>0</v>
      </c>
      <c r="AI100" s="688">
        <f>IFERROR(VLOOKUP($A100,'[92]11月'!$A:$H,8,0),0)</f>
        <v>0</v>
      </c>
      <c r="AJ100" s="688">
        <f>IFERROR(VLOOKUP($A100,'[92]12月'!$A:$H,8,0),0)</f>
        <v>0</v>
      </c>
      <c r="AK100" s="688">
        <f t="shared" si="37"/>
        <v>0</v>
      </c>
    </row>
    <row r="101" spans="1:37" ht="11.1" customHeight="1">
      <c r="A101" s="653" t="str">
        <f>'Budget-合并'!A101</f>
        <v>6602.09.03</v>
      </c>
      <c r="B101" s="653" t="str">
        <f>'Budget-合并'!B101</f>
        <v>地面交通费</v>
      </c>
      <c r="C101" s="687" t="str">
        <f>'Budget-合并'!C101</f>
        <v>Travel Ground Transport - Outstation</v>
      </c>
      <c r="D101" s="704">
        <f t="shared" ca="1" si="30"/>
        <v>4093.9539999999997</v>
      </c>
      <c r="E101" s="704" t="e">
        <f t="shared" si="31"/>
        <v>#N/A</v>
      </c>
      <c r="F101" s="704" t="e">
        <f t="shared" ca="1" si="32"/>
        <v>#N/A</v>
      </c>
      <c r="G101" s="704">
        <f t="shared" ca="1" si="33"/>
        <v>4093.9539999999997</v>
      </c>
      <c r="H101" s="704" t="e">
        <f t="shared" ca="1" si="34"/>
        <v>#N/A</v>
      </c>
      <c r="I101" s="704" t="e">
        <f t="shared" ca="1" si="35"/>
        <v>#N/A</v>
      </c>
      <c r="K101" s="704">
        <f t="shared" ref="K101:V101" ca="1" si="47">SUM(K102:K104)</f>
        <v>4093.9539999999997</v>
      </c>
      <c r="L101" s="704">
        <f t="shared" ca="1" si="47"/>
        <v>4058.12</v>
      </c>
      <c r="M101" s="704">
        <f t="shared" ca="1" si="47"/>
        <v>4058.12</v>
      </c>
      <c r="N101" s="704">
        <f t="shared" ca="1" si="47"/>
        <v>4058.12</v>
      </c>
      <c r="O101" s="704">
        <f t="shared" ca="1" si="47"/>
        <v>4058.12</v>
      </c>
      <c r="P101" s="704">
        <f t="shared" ca="1" si="47"/>
        <v>4058.12</v>
      </c>
      <c r="Q101" s="704">
        <f t="shared" ca="1" si="47"/>
        <v>4058.12</v>
      </c>
      <c r="R101" s="704">
        <f t="shared" ca="1" si="47"/>
        <v>4058.12</v>
      </c>
      <c r="S101" s="704">
        <f t="shared" ca="1" si="47"/>
        <v>4058.12</v>
      </c>
      <c r="T101" s="704">
        <f t="shared" ca="1" si="47"/>
        <v>4058.12</v>
      </c>
      <c r="U101" s="704">
        <f t="shared" ca="1" si="47"/>
        <v>4058.12</v>
      </c>
      <c r="V101" s="704">
        <f t="shared" ca="1" si="47"/>
        <v>4058.12</v>
      </c>
      <c r="W101" s="704">
        <f t="shared" ca="1" si="43"/>
        <v>48733.274000000005</v>
      </c>
      <c r="Y101" s="688">
        <f>IFERROR(VLOOKUP($A101,'[92]1月'!$A:$H,8,0),0)</f>
        <v>0</v>
      </c>
      <c r="Z101" s="688">
        <f>IFERROR(VLOOKUP($A101,'[92]2月'!$A:$H,8,0),0)</f>
        <v>0</v>
      </c>
      <c r="AA101" s="688">
        <f>IFERROR(VLOOKUP($A101,'[92]3月'!$A:$H,8,0),0)</f>
        <v>0</v>
      </c>
      <c r="AB101" s="688">
        <f>IFERROR(VLOOKUP($A101,'[92]4月'!$A:$H,8,0),0)</f>
        <v>0</v>
      </c>
      <c r="AC101" s="688">
        <f>IFERROR(VLOOKUP($A101,'[92]5月'!$A:$H,8,0),0)</f>
        <v>0</v>
      </c>
      <c r="AD101" s="688">
        <f>IFERROR(VLOOKUP($A101,'[92]6月'!$A:$H,8,0),0)</f>
        <v>0</v>
      </c>
      <c r="AE101" s="688">
        <f>IFERROR(VLOOKUP($A101,'[92]7月'!$A:$H,8,0),0)</f>
        <v>0</v>
      </c>
      <c r="AF101" s="688">
        <f>IFERROR(VLOOKUP($A101,'[92]8月'!$A:$H,8,0),0)</f>
        <v>0</v>
      </c>
      <c r="AG101" s="688">
        <f>IFERROR(VLOOKUP($A101,'[92]9月'!$A:$H,8,0),0)</f>
        <v>0</v>
      </c>
      <c r="AH101" s="688">
        <f>IFERROR(VLOOKUP($A101,'[92]10月'!$A:$H,8,0),0)</f>
        <v>0</v>
      </c>
      <c r="AI101" s="688">
        <f>IFERROR(VLOOKUP($A101,'[92]11月'!$A:$H,8,0),0)</f>
        <v>0</v>
      </c>
      <c r="AJ101" s="688">
        <f>IFERROR(VLOOKUP($A101,'[92]12月'!$A:$H,8,0),0)</f>
        <v>0</v>
      </c>
      <c r="AK101" s="688">
        <f t="shared" si="37"/>
        <v>0</v>
      </c>
    </row>
    <row r="102" spans="1:37" ht="11.1" customHeight="1">
      <c r="A102" s="707">
        <f ca="1">$A$94</f>
        <v>0.53</v>
      </c>
      <c r="B102" s="653" t="str">
        <f>'Budget-合并'!B102</f>
        <v xml:space="preserve">    公司主体05</v>
      </c>
      <c r="C102" s="687" t="str">
        <f>'Budget-合并'!C102</f>
        <v xml:space="preserve">   Entity</v>
      </c>
      <c r="D102" s="704">
        <f t="shared" ca="1" si="30"/>
        <v>2169.7956199999999</v>
      </c>
      <c r="E102" s="704" t="e">
        <f t="shared" si="31"/>
        <v>#N/A</v>
      </c>
      <c r="F102" s="704" t="e">
        <f t="shared" ca="1" si="32"/>
        <v>#N/A</v>
      </c>
      <c r="G102" s="704">
        <f t="shared" ca="1" si="33"/>
        <v>2169.7956199999999</v>
      </c>
      <c r="H102" s="704" t="e">
        <f t="shared" ca="1" si="34"/>
        <v>#N/A</v>
      </c>
      <c r="I102" s="704" t="e">
        <f t="shared" ca="1" si="35"/>
        <v>#N/A</v>
      </c>
      <c r="K102" s="704">
        <f ca="1">SUMIFS('T&amp;E'!N$64:N$73,'T&amp;E'!$B$64:$B$73,$D$1,'T&amp;E'!$C$64:$C$73,$A$101)*$A102</f>
        <v>2169.7956199999999</v>
      </c>
      <c r="L102" s="704">
        <f ca="1">SUMIFS('T&amp;E'!O$64:O$73,'T&amp;E'!$B$64:$B$73,$D$1,'T&amp;E'!$C$64:$C$73,$A$101)*$A102</f>
        <v>2150.8036000000002</v>
      </c>
      <c r="M102" s="704">
        <f ca="1">SUMIFS('T&amp;E'!P$64:P$73,'T&amp;E'!$B$64:$B$73,$D$1,'T&amp;E'!$C$64:$C$73,$A$101)*$A102</f>
        <v>2150.8036000000002</v>
      </c>
      <c r="N102" s="704">
        <f ca="1">SUMIFS('T&amp;E'!Q$64:Q$73,'T&amp;E'!$B$64:$B$73,$D$1,'T&amp;E'!$C$64:$C$73,$A$101)*$A102</f>
        <v>2150.8036000000002</v>
      </c>
      <c r="O102" s="704">
        <f ca="1">SUMIFS('T&amp;E'!R$64:R$73,'T&amp;E'!$B$64:$B$73,$D$1,'T&amp;E'!$C$64:$C$73,$A$101)*$A102</f>
        <v>2150.8036000000002</v>
      </c>
      <c r="P102" s="704">
        <f ca="1">SUMIFS('T&amp;E'!S$64:S$73,'T&amp;E'!$B$64:$B$73,$D$1,'T&amp;E'!$C$64:$C$73,$A$101)*$A102</f>
        <v>2150.8036000000002</v>
      </c>
      <c r="Q102" s="704">
        <f ca="1">SUMIFS('T&amp;E'!T$64:T$73,'T&amp;E'!$B$64:$B$73,$D$1,'T&amp;E'!$C$64:$C$73,$A$101)*$A102</f>
        <v>2150.8036000000002</v>
      </c>
      <c r="R102" s="704">
        <f ca="1">SUMIFS('T&amp;E'!U$64:U$73,'T&amp;E'!$B$64:$B$73,$D$1,'T&amp;E'!$C$64:$C$73,$A$101)*$A102</f>
        <v>2150.8036000000002</v>
      </c>
      <c r="S102" s="704">
        <f ca="1">SUMIFS('T&amp;E'!V$64:V$73,'T&amp;E'!$B$64:$B$73,$D$1,'T&amp;E'!$C$64:$C$73,$A$101)*$A102</f>
        <v>2150.8036000000002</v>
      </c>
      <c r="T102" s="704">
        <f ca="1">SUMIFS('T&amp;E'!W$64:W$73,'T&amp;E'!$B$64:$B$73,$D$1,'T&amp;E'!$C$64:$C$73,$A$101)*$A102</f>
        <v>2150.8036000000002</v>
      </c>
      <c r="U102" s="704">
        <f ca="1">SUMIFS('T&amp;E'!X$64:X$73,'T&amp;E'!$B$64:$B$73,$D$1,'T&amp;E'!$C$64:$C$73,$A$101)*$A102</f>
        <v>2150.8036000000002</v>
      </c>
      <c r="V102" s="704">
        <f ca="1">SUMIFS('T&amp;E'!Y$64:Y$73,'T&amp;E'!$B$64:$B$73,$D$1,'T&amp;E'!$C$64:$C$73,$A$101)*$A102</f>
        <v>2150.8036000000002</v>
      </c>
      <c r="W102" s="704">
        <f t="shared" ca="1" si="43"/>
        <v>25828.635219999996</v>
      </c>
      <c r="Y102" s="688">
        <f ca="1">IFERROR(VLOOKUP($A102,'[92]1月'!$A:$H,8,0),0)</f>
        <v>0</v>
      </c>
      <c r="Z102" s="688">
        <f ca="1">IFERROR(VLOOKUP($A102,'[92]2月'!$A:$H,8,0),0)</f>
        <v>0</v>
      </c>
      <c r="AA102" s="688">
        <f ca="1">IFERROR(VLOOKUP($A102,'[92]3月'!$A:$H,8,0),0)</f>
        <v>0</v>
      </c>
      <c r="AB102" s="688">
        <f ca="1">IFERROR(VLOOKUP($A102,'[92]4月'!$A:$H,8,0),0)</f>
        <v>0</v>
      </c>
      <c r="AC102" s="688">
        <f ca="1">IFERROR(VLOOKUP($A102,'[92]5月'!$A:$H,8,0),0)</f>
        <v>0</v>
      </c>
      <c r="AD102" s="688">
        <f ca="1">IFERROR(VLOOKUP($A102,'[92]6月'!$A:$H,8,0),0)</f>
        <v>0</v>
      </c>
      <c r="AE102" s="688">
        <f ca="1">IFERROR(VLOOKUP($A102,'[92]7月'!$A:$H,8,0),0)</f>
        <v>0</v>
      </c>
      <c r="AF102" s="688">
        <f ca="1">IFERROR(VLOOKUP($A102,'[92]8月'!$A:$H,8,0),0)</f>
        <v>0</v>
      </c>
      <c r="AG102" s="688">
        <f ca="1">IFERROR(VLOOKUP($A102,'[92]9月'!$A:$H,8,0),0)</f>
        <v>0</v>
      </c>
      <c r="AH102" s="688">
        <f ca="1">IFERROR(VLOOKUP($A102,'[92]10月'!$A:$H,8,0),0)</f>
        <v>0</v>
      </c>
      <c r="AI102" s="688">
        <f ca="1">IFERROR(VLOOKUP($A102,'[92]11月'!$A:$H,8,0),0)</f>
        <v>0</v>
      </c>
      <c r="AJ102" s="688">
        <f ca="1">IFERROR(VLOOKUP($A102,'[92]12月'!$A:$H,8,0),0)</f>
        <v>0</v>
      </c>
      <c r="AK102" s="688">
        <f t="shared" ca="1" si="37"/>
        <v>0</v>
      </c>
    </row>
    <row r="103" spans="1:37" ht="11.1" customHeight="1">
      <c r="A103" s="707">
        <f ca="1">$A$95</f>
        <v>0.47</v>
      </c>
      <c r="B103" s="653" t="str">
        <f>'Budget-合并'!B103</f>
        <v xml:space="preserve">    旭智富能05</v>
      </c>
      <c r="C103" s="687" t="str">
        <f>'Budget-合并'!C103</f>
        <v xml:space="preserve">   Foxpower</v>
      </c>
      <c r="D103" s="704">
        <f t="shared" ca="1" si="30"/>
        <v>1924.1583799999999</v>
      </c>
      <c r="E103" s="704" t="e">
        <f t="shared" si="31"/>
        <v>#N/A</v>
      </c>
      <c r="F103" s="704" t="e">
        <f t="shared" ca="1" si="32"/>
        <v>#N/A</v>
      </c>
      <c r="G103" s="704">
        <f t="shared" ca="1" si="33"/>
        <v>1924.1583799999999</v>
      </c>
      <c r="H103" s="704" t="e">
        <f t="shared" ca="1" si="34"/>
        <v>#N/A</v>
      </c>
      <c r="I103" s="704" t="e">
        <f t="shared" ca="1" si="35"/>
        <v>#N/A</v>
      </c>
      <c r="K103" s="704">
        <f ca="1">SUMIFS('T&amp;E'!N$64:N$73,'T&amp;E'!$B$64:$B$73,$D$1,'T&amp;E'!$C$64:$C$73,$A$101)*$A103</f>
        <v>1924.1583799999999</v>
      </c>
      <c r="L103" s="704">
        <f ca="1">SUMIFS('T&amp;E'!O$64:O$73,'T&amp;E'!$B$64:$B$73,$D$1,'T&amp;E'!$C$64:$C$73,$A$101)*$A103</f>
        <v>1907.3163999999999</v>
      </c>
      <c r="M103" s="704">
        <f ca="1">SUMIFS('T&amp;E'!P$64:P$73,'T&amp;E'!$B$64:$B$73,$D$1,'T&amp;E'!$C$64:$C$73,$A$101)*$A103</f>
        <v>1907.3163999999999</v>
      </c>
      <c r="N103" s="704">
        <f ca="1">SUMIFS('T&amp;E'!Q$64:Q$73,'T&amp;E'!$B$64:$B$73,$D$1,'T&amp;E'!$C$64:$C$73,$A$101)*$A103</f>
        <v>1907.3163999999999</v>
      </c>
      <c r="O103" s="704">
        <f ca="1">SUMIFS('T&amp;E'!R$64:R$73,'T&amp;E'!$B$64:$B$73,$D$1,'T&amp;E'!$C$64:$C$73,$A$101)*$A103</f>
        <v>1907.3163999999999</v>
      </c>
      <c r="P103" s="704">
        <f ca="1">SUMIFS('T&amp;E'!S$64:S$73,'T&amp;E'!$B$64:$B$73,$D$1,'T&amp;E'!$C$64:$C$73,$A$101)*$A103</f>
        <v>1907.3163999999999</v>
      </c>
      <c r="Q103" s="704">
        <f ca="1">SUMIFS('T&amp;E'!T$64:T$73,'T&amp;E'!$B$64:$B$73,$D$1,'T&amp;E'!$C$64:$C$73,$A$101)*$A103</f>
        <v>1907.3163999999999</v>
      </c>
      <c r="R103" s="704">
        <f ca="1">SUMIFS('T&amp;E'!U$64:U$73,'T&amp;E'!$B$64:$B$73,$D$1,'T&amp;E'!$C$64:$C$73,$A$101)*$A103</f>
        <v>1907.3163999999999</v>
      </c>
      <c r="S103" s="704">
        <f ca="1">SUMIFS('T&amp;E'!V$64:V$73,'T&amp;E'!$B$64:$B$73,$D$1,'T&amp;E'!$C$64:$C$73,$A$101)*$A103</f>
        <v>1907.3163999999999</v>
      </c>
      <c r="T103" s="704">
        <f ca="1">SUMIFS('T&amp;E'!W$64:W$73,'T&amp;E'!$B$64:$B$73,$D$1,'T&amp;E'!$C$64:$C$73,$A$101)*$A103</f>
        <v>1907.3163999999999</v>
      </c>
      <c r="U103" s="704">
        <f ca="1">SUMIFS('T&amp;E'!X$64:X$73,'T&amp;E'!$B$64:$B$73,$D$1,'T&amp;E'!$C$64:$C$73,$A$101)*$A103</f>
        <v>1907.3163999999999</v>
      </c>
      <c r="V103" s="704">
        <f ca="1">SUMIFS('T&amp;E'!Y$64:Y$73,'T&amp;E'!$B$64:$B$73,$D$1,'T&amp;E'!$C$64:$C$73,$A$101)*$A103</f>
        <v>1907.3163999999999</v>
      </c>
      <c r="W103" s="704">
        <f t="shared" ca="1" si="43"/>
        <v>22904.638779999997</v>
      </c>
      <c r="Y103" s="688">
        <f ca="1">IFERROR(VLOOKUP($A103,'[92]1月'!$A:$H,8,0),0)</f>
        <v>0</v>
      </c>
      <c r="Z103" s="688">
        <f ca="1">IFERROR(VLOOKUP($A103,'[92]2月'!$A:$H,8,0),0)</f>
        <v>0</v>
      </c>
      <c r="AA103" s="688">
        <f ca="1">IFERROR(VLOOKUP($A103,'[92]3月'!$A:$H,8,0),0)</f>
        <v>0</v>
      </c>
      <c r="AB103" s="688">
        <f ca="1">IFERROR(VLOOKUP($A103,'[92]4月'!$A:$H,8,0),0)</f>
        <v>0</v>
      </c>
      <c r="AC103" s="688">
        <f ca="1">IFERROR(VLOOKUP($A103,'[92]5月'!$A:$H,8,0),0)</f>
        <v>0</v>
      </c>
      <c r="AD103" s="688">
        <f ca="1">IFERROR(VLOOKUP($A103,'[92]6月'!$A:$H,8,0),0)</f>
        <v>0</v>
      </c>
      <c r="AE103" s="688">
        <f ca="1">IFERROR(VLOOKUP($A103,'[92]7月'!$A:$H,8,0),0)</f>
        <v>0</v>
      </c>
      <c r="AF103" s="688">
        <f ca="1">IFERROR(VLOOKUP($A103,'[92]8月'!$A:$H,8,0),0)</f>
        <v>0</v>
      </c>
      <c r="AG103" s="688">
        <f ca="1">IFERROR(VLOOKUP($A103,'[92]9月'!$A:$H,8,0),0)</f>
        <v>0</v>
      </c>
      <c r="AH103" s="688">
        <f ca="1">IFERROR(VLOOKUP($A103,'[92]10月'!$A:$H,8,0),0)</f>
        <v>0</v>
      </c>
      <c r="AI103" s="688">
        <f ca="1">IFERROR(VLOOKUP($A103,'[92]11月'!$A:$H,8,0),0)</f>
        <v>0</v>
      </c>
      <c r="AJ103" s="688">
        <f ca="1">IFERROR(VLOOKUP($A103,'[92]12月'!$A:$H,8,0),0)</f>
        <v>0</v>
      </c>
      <c r="AK103" s="688">
        <f t="shared" ca="1" si="37"/>
        <v>0</v>
      </c>
    </row>
    <row r="104" spans="1:37" ht="11.1" customHeight="1">
      <c r="A104" s="653">
        <f>'Budget-合并'!A104</f>
        <v>0</v>
      </c>
      <c r="B104" s="653" t="str">
        <f>'Budget-合并'!B104</f>
        <v xml:space="preserve">    其他项目05</v>
      </c>
      <c r="C104" s="687" t="str">
        <f>'Budget-合并'!C104</f>
        <v xml:space="preserve">   Other project</v>
      </c>
      <c r="D104" s="704">
        <f t="shared" si="30"/>
        <v>0</v>
      </c>
      <c r="E104" s="704" t="e">
        <f t="shared" si="31"/>
        <v>#N/A</v>
      </c>
      <c r="F104" s="704" t="e">
        <f t="shared" si="32"/>
        <v>#N/A</v>
      </c>
      <c r="G104" s="704">
        <f t="shared" ca="1" si="33"/>
        <v>0</v>
      </c>
      <c r="H104" s="704" t="e">
        <f t="shared" ca="1" si="34"/>
        <v>#N/A</v>
      </c>
      <c r="I104" s="704" t="e">
        <f t="shared" ca="1" si="35"/>
        <v>#N/A</v>
      </c>
      <c r="K104" s="704"/>
      <c r="L104" s="704"/>
      <c r="M104" s="704"/>
      <c r="N104" s="704"/>
      <c r="O104" s="704"/>
      <c r="P104" s="704"/>
      <c r="Q104" s="704"/>
      <c r="R104" s="704"/>
      <c r="S104" s="704"/>
      <c r="T104" s="704"/>
      <c r="U104" s="704"/>
      <c r="V104" s="704"/>
      <c r="W104" s="704">
        <f t="shared" si="43"/>
        <v>0</v>
      </c>
      <c r="Y104" s="688">
        <f>IFERROR(VLOOKUP($A104,'[92]1月'!$A:$H,8,0),0)</f>
        <v>0</v>
      </c>
      <c r="Z104" s="688">
        <f>IFERROR(VLOOKUP($A104,'[92]2月'!$A:$H,8,0),0)</f>
        <v>0</v>
      </c>
      <c r="AA104" s="688">
        <f>IFERROR(VLOOKUP($A104,'[92]3月'!$A:$H,8,0),0)</f>
        <v>0</v>
      </c>
      <c r="AB104" s="688">
        <f>IFERROR(VLOOKUP($A104,'[92]4月'!$A:$H,8,0),0)</f>
        <v>0</v>
      </c>
      <c r="AC104" s="688">
        <f>IFERROR(VLOOKUP($A104,'[92]5月'!$A:$H,8,0),0)</f>
        <v>0</v>
      </c>
      <c r="AD104" s="688">
        <f>IFERROR(VLOOKUP($A104,'[92]6月'!$A:$H,8,0),0)</f>
        <v>0</v>
      </c>
      <c r="AE104" s="688">
        <f>IFERROR(VLOOKUP($A104,'[92]7月'!$A:$H,8,0),0)</f>
        <v>0</v>
      </c>
      <c r="AF104" s="688">
        <f>IFERROR(VLOOKUP($A104,'[92]8月'!$A:$H,8,0),0)</f>
        <v>0</v>
      </c>
      <c r="AG104" s="688">
        <f>IFERROR(VLOOKUP($A104,'[92]9月'!$A:$H,8,0),0)</f>
        <v>0</v>
      </c>
      <c r="AH104" s="688">
        <f>IFERROR(VLOOKUP($A104,'[92]10月'!$A:$H,8,0),0)</f>
        <v>0</v>
      </c>
      <c r="AI104" s="688">
        <f>IFERROR(VLOOKUP($A104,'[92]11月'!$A:$H,8,0),0)</f>
        <v>0</v>
      </c>
      <c r="AJ104" s="688">
        <f>IFERROR(VLOOKUP($A104,'[92]12月'!$A:$H,8,0),0)</f>
        <v>0</v>
      </c>
      <c r="AK104" s="688">
        <f t="shared" si="37"/>
        <v>0</v>
      </c>
    </row>
    <row r="105" spans="1:37" ht="11.1" customHeight="1">
      <c r="A105" s="653" t="str">
        <f>'Budget-合并'!A105</f>
        <v>6602.09.04</v>
      </c>
      <c r="B105" s="653" t="str">
        <f>'Budget-合并'!B105</f>
        <v>空中交通费</v>
      </c>
      <c r="C105" s="687" t="str">
        <f>'Budget-合并'!C105</f>
        <v>Travel Air Transport</v>
      </c>
      <c r="D105" s="704">
        <f t="shared" ca="1" si="30"/>
        <v>1868.9789999999998</v>
      </c>
      <c r="E105" s="704" t="e">
        <f t="shared" si="31"/>
        <v>#N/A</v>
      </c>
      <c r="F105" s="704" t="e">
        <f t="shared" ca="1" si="32"/>
        <v>#N/A</v>
      </c>
      <c r="G105" s="704">
        <f t="shared" ca="1" si="33"/>
        <v>1868.9789999999998</v>
      </c>
      <c r="H105" s="704" t="e">
        <f t="shared" ca="1" si="34"/>
        <v>#N/A</v>
      </c>
      <c r="I105" s="704" t="e">
        <f t="shared" ca="1" si="35"/>
        <v>#N/A</v>
      </c>
      <c r="K105" s="704">
        <f t="shared" ref="K105:V105" ca="1" si="48">SUM(K106:K108)</f>
        <v>1868.9789999999998</v>
      </c>
      <c r="L105" s="704">
        <f t="shared" ca="1" si="48"/>
        <v>1852.62</v>
      </c>
      <c r="M105" s="704">
        <f t="shared" ca="1" si="48"/>
        <v>1852.62</v>
      </c>
      <c r="N105" s="704">
        <f t="shared" ca="1" si="48"/>
        <v>1852.62</v>
      </c>
      <c r="O105" s="704">
        <f t="shared" ca="1" si="48"/>
        <v>1852.62</v>
      </c>
      <c r="P105" s="704">
        <f t="shared" ca="1" si="48"/>
        <v>1852.62</v>
      </c>
      <c r="Q105" s="704">
        <f t="shared" ca="1" si="48"/>
        <v>1852.62</v>
      </c>
      <c r="R105" s="704">
        <f t="shared" ca="1" si="48"/>
        <v>1852.62</v>
      </c>
      <c r="S105" s="704">
        <f t="shared" ca="1" si="48"/>
        <v>1852.62</v>
      </c>
      <c r="T105" s="704">
        <f t="shared" ca="1" si="48"/>
        <v>1852.62</v>
      </c>
      <c r="U105" s="704">
        <f t="shared" ca="1" si="48"/>
        <v>1852.62</v>
      </c>
      <c r="V105" s="704">
        <f t="shared" ca="1" si="48"/>
        <v>1852.62</v>
      </c>
      <c r="W105" s="704">
        <f t="shared" ca="1" si="43"/>
        <v>22247.798999999992</v>
      </c>
      <c r="Y105" s="688">
        <f>IFERROR(VLOOKUP($A105,'[92]1月'!$A:$H,8,0),0)</f>
        <v>0</v>
      </c>
      <c r="Z105" s="688">
        <f>IFERROR(VLOOKUP($A105,'[92]2月'!$A:$H,8,0),0)</f>
        <v>0</v>
      </c>
      <c r="AA105" s="688">
        <f>IFERROR(VLOOKUP($A105,'[92]3月'!$A:$H,8,0),0)</f>
        <v>0</v>
      </c>
      <c r="AB105" s="688">
        <f>IFERROR(VLOOKUP($A105,'[92]4月'!$A:$H,8,0),0)</f>
        <v>0</v>
      </c>
      <c r="AC105" s="688">
        <f>IFERROR(VLOOKUP($A105,'[92]5月'!$A:$H,8,0),0)</f>
        <v>14700</v>
      </c>
      <c r="AD105" s="688">
        <f>IFERROR(VLOOKUP($A105,'[92]6月'!$A:$H,8,0),0)</f>
        <v>0</v>
      </c>
      <c r="AE105" s="688">
        <f>IFERROR(VLOOKUP($A105,'[92]7月'!$A:$H,8,0),0)</f>
        <v>0</v>
      </c>
      <c r="AF105" s="688">
        <f>IFERROR(VLOOKUP($A105,'[92]8月'!$A:$H,8,0),0)</f>
        <v>8858.76</v>
      </c>
      <c r="AG105" s="688">
        <f>IFERROR(VLOOKUP($A105,'[92]9月'!$A:$H,8,0),0)</f>
        <v>6351.76</v>
      </c>
      <c r="AH105" s="688">
        <f>IFERROR(VLOOKUP($A105,'[92]10月'!$A:$H,8,0),0)</f>
        <v>69841.789999999994</v>
      </c>
      <c r="AI105" s="688">
        <f>IFERROR(VLOOKUP($A105,'[92]11月'!$A:$H,8,0),0)</f>
        <v>0</v>
      </c>
      <c r="AJ105" s="688">
        <f>IFERROR(VLOOKUP($A105,'[92]12月'!$A:$H,8,0),0)</f>
        <v>27150</v>
      </c>
      <c r="AK105" s="688">
        <f t="shared" si="37"/>
        <v>126902.31</v>
      </c>
    </row>
    <row r="106" spans="1:37" ht="11.1" customHeight="1">
      <c r="A106" s="707">
        <f ca="1">$A$94</f>
        <v>0.53</v>
      </c>
      <c r="B106" s="653" t="str">
        <f>'Budget-合并'!B106</f>
        <v xml:space="preserve">    公司主体06</v>
      </c>
      <c r="C106" s="687" t="str">
        <f>'Budget-合并'!C106</f>
        <v xml:space="preserve">   Entity</v>
      </c>
      <c r="D106" s="704">
        <f t="shared" ca="1" si="30"/>
        <v>990.55886999999996</v>
      </c>
      <c r="E106" s="704" t="e">
        <f t="shared" si="31"/>
        <v>#N/A</v>
      </c>
      <c r="F106" s="704" t="e">
        <f t="shared" ca="1" si="32"/>
        <v>#N/A</v>
      </c>
      <c r="G106" s="704">
        <f t="shared" ca="1" si="33"/>
        <v>990.55886999999996</v>
      </c>
      <c r="H106" s="704" t="e">
        <f t="shared" ca="1" si="34"/>
        <v>#N/A</v>
      </c>
      <c r="I106" s="704" t="e">
        <f t="shared" ca="1" si="35"/>
        <v>#N/A</v>
      </c>
      <c r="K106" s="704">
        <f ca="1">SUMIFS('T&amp;E'!N$64:N$73,'T&amp;E'!$B$64:$B$73,$D$1,'T&amp;E'!$C$64:$C$73,$A$105)*$A106</f>
        <v>990.55886999999996</v>
      </c>
      <c r="L106" s="704">
        <f ca="1">SUMIFS('T&amp;E'!O$64:O$73,'T&amp;E'!$B$64:$B$73,$D$1,'T&amp;E'!$C$64:$C$73,$A$105)*$A106</f>
        <v>981.8886</v>
      </c>
      <c r="M106" s="704">
        <f ca="1">SUMIFS('T&amp;E'!P$64:P$73,'T&amp;E'!$B$64:$B$73,$D$1,'T&amp;E'!$C$64:$C$73,$A$105)*$A106</f>
        <v>981.8886</v>
      </c>
      <c r="N106" s="704">
        <f ca="1">SUMIFS('T&amp;E'!Q$64:Q$73,'T&amp;E'!$B$64:$B$73,$D$1,'T&amp;E'!$C$64:$C$73,$A$105)*$A106</f>
        <v>981.8886</v>
      </c>
      <c r="O106" s="704">
        <f ca="1">SUMIFS('T&amp;E'!R$64:R$73,'T&amp;E'!$B$64:$B$73,$D$1,'T&amp;E'!$C$64:$C$73,$A$105)*$A106</f>
        <v>981.8886</v>
      </c>
      <c r="P106" s="704">
        <f ca="1">SUMIFS('T&amp;E'!S$64:S$73,'T&amp;E'!$B$64:$B$73,$D$1,'T&amp;E'!$C$64:$C$73,$A$105)*$A106</f>
        <v>981.8886</v>
      </c>
      <c r="Q106" s="704">
        <f ca="1">SUMIFS('T&amp;E'!T$64:T$73,'T&amp;E'!$B$64:$B$73,$D$1,'T&amp;E'!$C$64:$C$73,$A$105)*$A106</f>
        <v>981.8886</v>
      </c>
      <c r="R106" s="704">
        <f ca="1">SUMIFS('T&amp;E'!U$64:U$73,'T&amp;E'!$B$64:$B$73,$D$1,'T&amp;E'!$C$64:$C$73,$A$105)*$A106</f>
        <v>981.8886</v>
      </c>
      <c r="S106" s="704">
        <f ca="1">SUMIFS('T&amp;E'!V$64:V$73,'T&amp;E'!$B$64:$B$73,$D$1,'T&amp;E'!$C$64:$C$73,$A$105)*$A106</f>
        <v>981.8886</v>
      </c>
      <c r="T106" s="704">
        <f ca="1">SUMIFS('T&amp;E'!W$64:W$73,'T&amp;E'!$B$64:$B$73,$D$1,'T&amp;E'!$C$64:$C$73,$A$105)*$A106</f>
        <v>981.8886</v>
      </c>
      <c r="U106" s="704">
        <f ca="1">SUMIFS('T&amp;E'!X$64:X$73,'T&amp;E'!$B$64:$B$73,$D$1,'T&amp;E'!$C$64:$C$73,$A$105)*$A106</f>
        <v>981.8886</v>
      </c>
      <c r="V106" s="704">
        <f ca="1">SUMIFS('T&amp;E'!Y$64:Y$73,'T&amp;E'!$B$64:$B$73,$D$1,'T&amp;E'!$C$64:$C$73,$A$105)*$A106</f>
        <v>981.8886</v>
      </c>
      <c r="W106" s="704">
        <f t="shared" ca="1" si="43"/>
        <v>11791.333470000001</v>
      </c>
      <c r="Y106" s="688">
        <f ca="1">IFERROR(VLOOKUP($A106,'[92]1月'!$A:$H,8,0),0)</f>
        <v>0</v>
      </c>
      <c r="Z106" s="688">
        <f ca="1">IFERROR(VLOOKUP($A106,'[92]2月'!$A:$H,8,0),0)</f>
        <v>0</v>
      </c>
      <c r="AA106" s="688">
        <f ca="1">IFERROR(VLOOKUP($A106,'[92]3月'!$A:$H,8,0),0)</f>
        <v>0</v>
      </c>
      <c r="AB106" s="688">
        <f ca="1">IFERROR(VLOOKUP($A106,'[92]4月'!$A:$H,8,0),0)</f>
        <v>0</v>
      </c>
      <c r="AC106" s="688">
        <f ca="1">IFERROR(VLOOKUP($A106,'[92]5月'!$A:$H,8,0),0)</f>
        <v>0</v>
      </c>
      <c r="AD106" s="688">
        <f ca="1">IFERROR(VLOOKUP($A106,'[92]6月'!$A:$H,8,0),0)</f>
        <v>0</v>
      </c>
      <c r="AE106" s="688">
        <f ca="1">IFERROR(VLOOKUP($A106,'[92]7月'!$A:$H,8,0),0)</f>
        <v>0</v>
      </c>
      <c r="AF106" s="688">
        <f ca="1">IFERROR(VLOOKUP($A106,'[92]8月'!$A:$H,8,0),0)</f>
        <v>0</v>
      </c>
      <c r="AG106" s="688">
        <f ca="1">IFERROR(VLOOKUP($A106,'[92]9月'!$A:$H,8,0),0)</f>
        <v>0</v>
      </c>
      <c r="AH106" s="688">
        <f ca="1">IFERROR(VLOOKUP($A106,'[92]10月'!$A:$H,8,0),0)</f>
        <v>0</v>
      </c>
      <c r="AI106" s="688">
        <f ca="1">IFERROR(VLOOKUP($A106,'[92]11月'!$A:$H,8,0),0)</f>
        <v>0</v>
      </c>
      <c r="AJ106" s="688">
        <f ca="1">IFERROR(VLOOKUP($A106,'[92]12月'!$A:$H,8,0),0)</f>
        <v>0</v>
      </c>
      <c r="AK106" s="688">
        <f t="shared" ca="1" si="37"/>
        <v>0</v>
      </c>
    </row>
    <row r="107" spans="1:37" ht="11.1" customHeight="1">
      <c r="A107" s="707">
        <f ca="1">$A$95</f>
        <v>0.47</v>
      </c>
      <c r="B107" s="653" t="str">
        <f>'Budget-合并'!B107</f>
        <v xml:space="preserve">    旭智富能06</v>
      </c>
      <c r="C107" s="687" t="str">
        <f>'Budget-合并'!C107</f>
        <v xml:space="preserve">   Foxpower</v>
      </c>
      <c r="D107" s="704">
        <f t="shared" ca="1" si="30"/>
        <v>878.42012999999986</v>
      </c>
      <c r="E107" s="704" t="e">
        <f t="shared" si="31"/>
        <v>#N/A</v>
      </c>
      <c r="F107" s="704" t="e">
        <f t="shared" ca="1" si="32"/>
        <v>#N/A</v>
      </c>
      <c r="G107" s="704">
        <f t="shared" ca="1" si="33"/>
        <v>878.42012999999986</v>
      </c>
      <c r="H107" s="704" t="e">
        <f t="shared" ca="1" si="34"/>
        <v>#N/A</v>
      </c>
      <c r="I107" s="704" t="e">
        <f t="shared" ca="1" si="35"/>
        <v>#N/A</v>
      </c>
      <c r="K107" s="704">
        <f ca="1">SUMIFS('T&amp;E'!N$64:N$73,'T&amp;E'!$B$64:$B$73,$D$1,'T&amp;E'!$C$64:$C$73,$A$105)*$A107</f>
        <v>878.42012999999986</v>
      </c>
      <c r="L107" s="704">
        <f ca="1">SUMIFS('T&amp;E'!O$64:O$73,'T&amp;E'!$B$64:$B$73,$D$1,'T&amp;E'!$C$64:$C$73,$A$105)*$A107</f>
        <v>870.73139999999989</v>
      </c>
      <c r="M107" s="704">
        <f ca="1">SUMIFS('T&amp;E'!P$64:P$73,'T&amp;E'!$B$64:$B$73,$D$1,'T&amp;E'!$C$64:$C$73,$A$105)*$A107</f>
        <v>870.73139999999989</v>
      </c>
      <c r="N107" s="704">
        <f ca="1">SUMIFS('T&amp;E'!Q$64:Q$73,'T&amp;E'!$B$64:$B$73,$D$1,'T&amp;E'!$C$64:$C$73,$A$105)*$A107</f>
        <v>870.73139999999989</v>
      </c>
      <c r="O107" s="704">
        <f ca="1">SUMIFS('T&amp;E'!R$64:R$73,'T&amp;E'!$B$64:$B$73,$D$1,'T&amp;E'!$C$64:$C$73,$A$105)*$A107</f>
        <v>870.73139999999989</v>
      </c>
      <c r="P107" s="704">
        <f ca="1">SUMIFS('T&amp;E'!S$64:S$73,'T&amp;E'!$B$64:$B$73,$D$1,'T&amp;E'!$C$64:$C$73,$A$105)*$A107</f>
        <v>870.73139999999989</v>
      </c>
      <c r="Q107" s="704">
        <f ca="1">SUMIFS('T&amp;E'!T$64:T$73,'T&amp;E'!$B$64:$B$73,$D$1,'T&amp;E'!$C$64:$C$73,$A$105)*$A107</f>
        <v>870.73139999999989</v>
      </c>
      <c r="R107" s="704">
        <f ca="1">SUMIFS('T&amp;E'!U$64:U$73,'T&amp;E'!$B$64:$B$73,$D$1,'T&amp;E'!$C$64:$C$73,$A$105)*$A107</f>
        <v>870.73139999999989</v>
      </c>
      <c r="S107" s="704">
        <f ca="1">SUMIFS('T&amp;E'!V$64:V$73,'T&amp;E'!$B$64:$B$73,$D$1,'T&amp;E'!$C$64:$C$73,$A$105)*$A107</f>
        <v>870.73139999999989</v>
      </c>
      <c r="T107" s="704">
        <f ca="1">SUMIFS('T&amp;E'!W$64:W$73,'T&amp;E'!$B$64:$B$73,$D$1,'T&amp;E'!$C$64:$C$73,$A$105)*$A107</f>
        <v>870.73139999999989</v>
      </c>
      <c r="U107" s="704">
        <f ca="1">SUMIFS('T&amp;E'!X$64:X$73,'T&amp;E'!$B$64:$B$73,$D$1,'T&amp;E'!$C$64:$C$73,$A$105)*$A107</f>
        <v>870.73139999999989</v>
      </c>
      <c r="V107" s="704">
        <f ca="1">SUMIFS('T&amp;E'!Y$64:Y$73,'T&amp;E'!$B$64:$B$73,$D$1,'T&amp;E'!$C$64:$C$73,$A$105)*$A107</f>
        <v>870.73139999999989</v>
      </c>
      <c r="W107" s="704">
        <f t="shared" ca="1" si="43"/>
        <v>10456.465529999999</v>
      </c>
      <c r="Y107" s="688">
        <f ca="1">IFERROR(VLOOKUP($A107,'[92]1月'!$A:$H,8,0),0)</f>
        <v>0</v>
      </c>
      <c r="Z107" s="688">
        <f ca="1">IFERROR(VLOOKUP($A107,'[92]2月'!$A:$H,8,0),0)</f>
        <v>0</v>
      </c>
      <c r="AA107" s="688">
        <f ca="1">IFERROR(VLOOKUP($A107,'[92]3月'!$A:$H,8,0),0)</f>
        <v>0</v>
      </c>
      <c r="AB107" s="688">
        <f ca="1">IFERROR(VLOOKUP($A107,'[92]4月'!$A:$H,8,0),0)</f>
        <v>0</v>
      </c>
      <c r="AC107" s="688">
        <f ca="1">IFERROR(VLOOKUP($A107,'[92]5月'!$A:$H,8,0),0)</f>
        <v>0</v>
      </c>
      <c r="AD107" s="688">
        <f ca="1">IFERROR(VLOOKUP($A107,'[92]6月'!$A:$H,8,0),0)</f>
        <v>0</v>
      </c>
      <c r="AE107" s="688">
        <f ca="1">IFERROR(VLOOKUP($A107,'[92]7月'!$A:$H,8,0),0)</f>
        <v>0</v>
      </c>
      <c r="AF107" s="688">
        <f ca="1">IFERROR(VLOOKUP($A107,'[92]8月'!$A:$H,8,0),0)</f>
        <v>0</v>
      </c>
      <c r="AG107" s="688">
        <f ca="1">IFERROR(VLOOKUP($A107,'[92]9月'!$A:$H,8,0),0)</f>
        <v>0</v>
      </c>
      <c r="AH107" s="688">
        <f ca="1">IFERROR(VLOOKUP($A107,'[92]10月'!$A:$H,8,0),0)</f>
        <v>0</v>
      </c>
      <c r="AI107" s="688">
        <f ca="1">IFERROR(VLOOKUP($A107,'[92]11月'!$A:$H,8,0),0)</f>
        <v>0</v>
      </c>
      <c r="AJ107" s="688">
        <f ca="1">IFERROR(VLOOKUP($A107,'[92]12月'!$A:$H,8,0),0)</f>
        <v>0</v>
      </c>
      <c r="AK107" s="688">
        <f t="shared" ca="1" si="37"/>
        <v>0</v>
      </c>
    </row>
    <row r="108" spans="1:37" ht="11.1" customHeight="1">
      <c r="A108" s="653">
        <f>'Budget-合并'!A108</f>
        <v>0</v>
      </c>
      <c r="B108" s="653" t="str">
        <f>'Budget-合并'!B108</f>
        <v xml:space="preserve">    其他项目06</v>
      </c>
      <c r="C108" s="687" t="str">
        <f>'Budget-合并'!C108</f>
        <v xml:space="preserve">   Other project</v>
      </c>
      <c r="D108" s="704">
        <f t="shared" ref="D108:D151" si="49">INDEX($K108:$V108,1,MATCH($D$6,$K$6:$V$6))</f>
        <v>0</v>
      </c>
      <c r="E108" s="704" t="e">
        <f t="shared" ref="E108:E153" si="50">INDEX($Y108:$AG108,1,MATCH($E$6,$Y$6:$AG$6))</f>
        <v>#N/A</v>
      </c>
      <c r="F108" s="704" t="e">
        <f t="shared" ref="F108:F153" si="51">D108-E108</f>
        <v>#N/A</v>
      </c>
      <c r="G108" s="704">
        <f ca="1">SUM($K108:OFFSET($K108,0,MATCH(G$6,$K$6:$V$6)-1))</f>
        <v>0</v>
      </c>
      <c r="H108" s="704" t="e">
        <f t="shared" ref="H108:H153" ca="1" si="52">SUM($Y108:OFFSET($Y108,0,MATCH(H$6,$Y$6:$AJ$6)-1))</f>
        <v>#N/A</v>
      </c>
      <c r="I108" s="704" t="e">
        <f t="shared" ref="I108:I153" ca="1" si="53">G108-H108</f>
        <v>#N/A</v>
      </c>
      <c r="K108" s="704"/>
      <c r="L108" s="704"/>
      <c r="M108" s="704"/>
      <c r="N108" s="704"/>
      <c r="O108" s="704"/>
      <c r="P108" s="704"/>
      <c r="Q108" s="704"/>
      <c r="R108" s="704"/>
      <c r="S108" s="704"/>
      <c r="T108" s="704"/>
      <c r="U108" s="704"/>
      <c r="V108" s="704"/>
      <c r="W108" s="704">
        <f t="shared" si="43"/>
        <v>0</v>
      </c>
      <c r="Y108" s="688">
        <f>IFERROR(VLOOKUP($A108,'[92]1月'!$A:$H,8,0),0)</f>
        <v>0</v>
      </c>
      <c r="Z108" s="688">
        <f>IFERROR(VLOOKUP($A108,'[92]2月'!$A:$H,8,0),0)</f>
        <v>0</v>
      </c>
      <c r="AA108" s="688">
        <f>IFERROR(VLOOKUP($A108,'[92]3月'!$A:$H,8,0),0)</f>
        <v>0</v>
      </c>
      <c r="AB108" s="688">
        <f>IFERROR(VLOOKUP($A108,'[92]4月'!$A:$H,8,0),0)</f>
        <v>0</v>
      </c>
      <c r="AC108" s="688">
        <f>IFERROR(VLOOKUP($A108,'[92]5月'!$A:$H,8,0),0)</f>
        <v>0</v>
      </c>
      <c r="AD108" s="688">
        <f>IFERROR(VLOOKUP($A108,'[92]6月'!$A:$H,8,0),0)</f>
        <v>0</v>
      </c>
      <c r="AE108" s="688">
        <f>IFERROR(VLOOKUP($A108,'[92]7月'!$A:$H,8,0),0)</f>
        <v>0</v>
      </c>
      <c r="AF108" s="688">
        <f>IFERROR(VLOOKUP($A108,'[92]8月'!$A:$H,8,0),0)</f>
        <v>0</v>
      </c>
      <c r="AG108" s="688">
        <f>IFERROR(VLOOKUP($A108,'[92]9月'!$A:$H,8,0),0)</f>
        <v>0</v>
      </c>
      <c r="AH108" s="688">
        <f>IFERROR(VLOOKUP($A108,'[92]10月'!$A:$H,8,0),0)</f>
        <v>0</v>
      </c>
      <c r="AI108" s="688">
        <f>IFERROR(VLOOKUP($A108,'[92]11月'!$A:$H,8,0),0)</f>
        <v>0</v>
      </c>
      <c r="AJ108" s="688">
        <f>IFERROR(VLOOKUP($A108,'[92]12月'!$A:$H,8,0),0)</f>
        <v>0</v>
      </c>
      <c r="AK108" s="688">
        <f t="shared" ref="AK108:AK152" si="54">SUM(Y108:AJ108)</f>
        <v>0</v>
      </c>
    </row>
    <row r="109" spans="1:37" ht="11.1" customHeight="1">
      <c r="A109" s="653" t="str">
        <f>'Budget-合并'!A109</f>
        <v>6602.09.05</v>
      </c>
      <c r="B109" s="653" t="str">
        <f>'Budget-合并'!B109</f>
        <v>租车</v>
      </c>
      <c r="C109" s="687">
        <f>'Budget-合并'!C109</f>
        <v>0</v>
      </c>
      <c r="D109" s="704">
        <f t="shared" si="49"/>
        <v>0</v>
      </c>
      <c r="E109" s="704" t="e">
        <f t="shared" si="50"/>
        <v>#N/A</v>
      </c>
      <c r="F109" s="704" t="e">
        <f t="shared" si="51"/>
        <v>#N/A</v>
      </c>
      <c r="G109" s="704">
        <f t="shared" ref="G109:G153" ca="1" si="55">SUM($K109:OFFSET($K109,0,MATCH(G$6,$K$6:$V$6)-1))</f>
        <v>0</v>
      </c>
      <c r="H109" s="704" t="e">
        <f t="shared" ca="1" si="52"/>
        <v>#N/A</v>
      </c>
      <c r="I109" s="704" t="e">
        <f t="shared" ca="1" si="53"/>
        <v>#N/A</v>
      </c>
      <c r="K109" s="704">
        <f t="shared" ref="K109:V109" si="56">SUM(K110:K112)</f>
        <v>0</v>
      </c>
      <c r="L109" s="704">
        <f t="shared" si="56"/>
        <v>0</v>
      </c>
      <c r="M109" s="704">
        <f t="shared" si="56"/>
        <v>0</v>
      </c>
      <c r="N109" s="704">
        <f t="shared" si="56"/>
        <v>0</v>
      </c>
      <c r="O109" s="704">
        <f t="shared" si="56"/>
        <v>0</v>
      </c>
      <c r="P109" s="704">
        <f t="shared" si="56"/>
        <v>0</v>
      </c>
      <c r="Q109" s="704">
        <f t="shared" si="56"/>
        <v>0</v>
      </c>
      <c r="R109" s="704">
        <f t="shared" si="56"/>
        <v>0</v>
      </c>
      <c r="S109" s="704">
        <f t="shared" si="56"/>
        <v>0</v>
      </c>
      <c r="T109" s="704">
        <f t="shared" si="56"/>
        <v>0</v>
      </c>
      <c r="U109" s="704">
        <f t="shared" si="56"/>
        <v>0</v>
      </c>
      <c r="V109" s="704">
        <f t="shared" si="56"/>
        <v>0</v>
      </c>
      <c r="W109" s="704">
        <f t="shared" si="43"/>
        <v>0</v>
      </c>
      <c r="Y109" s="688">
        <f>IFERROR(VLOOKUP($A109,'[92]1月'!$A:$H,8,0),0)</f>
        <v>0</v>
      </c>
      <c r="Z109" s="688">
        <f>IFERROR(VLOOKUP($A109,'[92]2月'!$A:$H,8,0),0)</f>
        <v>0</v>
      </c>
      <c r="AA109" s="688">
        <f>IFERROR(VLOOKUP($A109,'[92]3月'!$A:$H,8,0),0)</f>
        <v>0</v>
      </c>
      <c r="AB109" s="688">
        <f>IFERROR(VLOOKUP($A109,'[92]4月'!$A:$H,8,0),0)</f>
        <v>0</v>
      </c>
      <c r="AC109" s="688">
        <f>IFERROR(VLOOKUP($A109,'[92]5月'!$A:$H,8,0),0)</f>
        <v>0</v>
      </c>
      <c r="AD109" s="688">
        <f>IFERROR(VLOOKUP($A109,'[92]6月'!$A:$H,8,0),0)</f>
        <v>0</v>
      </c>
      <c r="AE109" s="688">
        <f>IFERROR(VLOOKUP($A109,'[92]7月'!$A:$H,8,0),0)</f>
        <v>0</v>
      </c>
      <c r="AF109" s="688">
        <f>IFERROR(VLOOKUP($A109,'[92]8月'!$A:$H,8,0),0)</f>
        <v>0</v>
      </c>
      <c r="AG109" s="688">
        <f>IFERROR(VLOOKUP($A109,'[92]9月'!$A:$H,8,0),0)</f>
        <v>0</v>
      </c>
      <c r="AH109" s="688">
        <f>IFERROR(VLOOKUP($A109,'[92]10月'!$A:$H,8,0),0)</f>
        <v>0</v>
      </c>
      <c r="AI109" s="688">
        <f>IFERROR(VLOOKUP($A109,'[92]11月'!$A:$H,8,0),0)</f>
        <v>0</v>
      </c>
      <c r="AJ109" s="688">
        <f>IFERROR(VLOOKUP($A109,'[92]12月'!$A:$H,8,0),0)</f>
        <v>0</v>
      </c>
      <c r="AK109" s="688">
        <f t="shared" si="54"/>
        <v>0</v>
      </c>
    </row>
    <row r="110" spans="1:37" ht="11.1" customHeight="1">
      <c r="A110" s="653">
        <f>'Budget-合并'!A110</f>
        <v>0</v>
      </c>
      <c r="B110" s="653" t="str">
        <f>'Budget-合并'!B110</f>
        <v xml:space="preserve">    公司主体07</v>
      </c>
      <c r="C110" s="687" t="str">
        <f>'Budget-合并'!C110</f>
        <v xml:space="preserve">   Entity</v>
      </c>
      <c r="D110" s="704">
        <f t="shared" si="49"/>
        <v>0</v>
      </c>
      <c r="E110" s="704" t="e">
        <f t="shared" si="50"/>
        <v>#N/A</v>
      </c>
      <c r="F110" s="704" t="e">
        <f t="shared" si="51"/>
        <v>#N/A</v>
      </c>
      <c r="G110" s="704">
        <f t="shared" ca="1" si="55"/>
        <v>0</v>
      </c>
      <c r="H110" s="704" t="e">
        <f t="shared" ca="1" si="52"/>
        <v>#N/A</v>
      </c>
      <c r="I110" s="704" t="e">
        <f t="shared" ca="1" si="53"/>
        <v>#N/A</v>
      </c>
      <c r="K110" s="704"/>
      <c r="L110" s="704"/>
      <c r="M110" s="704"/>
      <c r="N110" s="704"/>
      <c r="O110" s="704"/>
      <c r="P110" s="704"/>
      <c r="Q110" s="704"/>
      <c r="R110" s="704"/>
      <c r="S110" s="704"/>
      <c r="T110" s="704"/>
      <c r="U110" s="704"/>
      <c r="V110" s="704"/>
      <c r="W110" s="704">
        <f t="shared" si="43"/>
        <v>0</v>
      </c>
      <c r="Y110" s="688">
        <f>IFERROR(VLOOKUP($A110,'[92]1月'!$A:$H,8,0),0)</f>
        <v>0</v>
      </c>
      <c r="Z110" s="688">
        <f>IFERROR(VLOOKUP($A110,'[92]2月'!$A:$H,8,0),0)</f>
        <v>0</v>
      </c>
      <c r="AA110" s="688">
        <f>IFERROR(VLOOKUP($A110,'[92]3月'!$A:$H,8,0),0)</f>
        <v>0</v>
      </c>
      <c r="AB110" s="688">
        <f>IFERROR(VLOOKUP($A110,'[92]4月'!$A:$H,8,0),0)</f>
        <v>0</v>
      </c>
      <c r="AC110" s="688">
        <f>IFERROR(VLOOKUP($A110,'[92]5月'!$A:$H,8,0),0)</f>
        <v>0</v>
      </c>
      <c r="AD110" s="688">
        <f>IFERROR(VLOOKUP($A110,'[92]6月'!$A:$H,8,0),0)</f>
        <v>0</v>
      </c>
      <c r="AE110" s="688">
        <f>IFERROR(VLOOKUP($A110,'[92]7月'!$A:$H,8,0),0)</f>
        <v>0</v>
      </c>
      <c r="AF110" s="688">
        <f>IFERROR(VLOOKUP($A110,'[92]8月'!$A:$H,8,0),0)</f>
        <v>0</v>
      </c>
      <c r="AG110" s="688">
        <f>IFERROR(VLOOKUP($A110,'[92]9月'!$A:$H,8,0),0)</f>
        <v>0</v>
      </c>
      <c r="AH110" s="688">
        <f>IFERROR(VLOOKUP($A110,'[92]10月'!$A:$H,8,0),0)</f>
        <v>0</v>
      </c>
      <c r="AI110" s="688">
        <f>IFERROR(VLOOKUP($A110,'[92]11月'!$A:$H,8,0),0)</f>
        <v>0</v>
      </c>
      <c r="AJ110" s="688">
        <f>IFERROR(VLOOKUP($A110,'[92]12月'!$A:$H,8,0),0)</f>
        <v>0</v>
      </c>
      <c r="AK110" s="688">
        <f t="shared" si="54"/>
        <v>0</v>
      </c>
    </row>
    <row r="111" spans="1:37" ht="11.1" customHeight="1">
      <c r="A111" s="653">
        <f>'Budget-合并'!A111</f>
        <v>0</v>
      </c>
      <c r="B111" s="653" t="str">
        <f>'Budget-合并'!B111</f>
        <v xml:space="preserve">    旭智富能07</v>
      </c>
      <c r="C111" s="687" t="str">
        <f>'Budget-合并'!C111</f>
        <v xml:space="preserve">   Foxpower</v>
      </c>
      <c r="D111" s="704">
        <f t="shared" si="49"/>
        <v>0</v>
      </c>
      <c r="E111" s="704" t="e">
        <f t="shared" si="50"/>
        <v>#N/A</v>
      </c>
      <c r="F111" s="704" t="e">
        <f t="shared" si="51"/>
        <v>#N/A</v>
      </c>
      <c r="G111" s="704">
        <f t="shared" ca="1" si="55"/>
        <v>0</v>
      </c>
      <c r="H111" s="704" t="e">
        <f t="shared" ca="1" si="52"/>
        <v>#N/A</v>
      </c>
      <c r="I111" s="704" t="e">
        <f t="shared" ca="1" si="53"/>
        <v>#N/A</v>
      </c>
      <c r="K111" s="704"/>
      <c r="L111" s="704"/>
      <c r="M111" s="704"/>
      <c r="N111" s="704"/>
      <c r="O111" s="704"/>
      <c r="P111" s="704"/>
      <c r="Q111" s="704"/>
      <c r="R111" s="704"/>
      <c r="S111" s="704"/>
      <c r="T111" s="704"/>
      <c r="U111" s="704"/>
      <c r="V111" s="704"/>
      <c r="W111" s="704">
        <f t="shared" si="43"/>
        <v>0</v>
      </c>
      <c r="Y111" s="688">
        <f>IFERROR(VLOOKUP($A111,'[92]1月'!$A:$H,8,0),0)</f>
        <v>0</v>
      </c>
      <c r="Z111" s="688">
        <f>IFERROR(VLOOKUP($A111,'[92]2月'!$A:$H,8,0),0)</f>
        <v>0</v>
      </c>
      <c r="AA111" s="688">
        <f>IFERROR(VLOOKUP($A111,'[92]3月'!$A:$H,8,0),0)</f>
        <v>0</v>
      </c>
      <c r="AB111" s="688">
        <f>IFERROR(VLOOKUP($A111,'[92]4月'!$A:$H,8,0),0)</f>
        <v>0</v>
      </c>
      <c r="AC111" s="688">
        <f>IFERROR(VLOOKUP($A111,'[92]5月'!$A:$H,8,0),0)</f>
        <v>0</v>
      </c>
      <c r="AD111" s="688">
        <f>IFERROR(VLOOKUP($A111,'[92]6月'!$A:$H,8,0),0)</f>
        <v>0</v>
      </c>
      <c r="AE111" s="688">
        <f>IFERROR(VLOOKUP($A111,'[92]7月'!$A:$H,8,0),0)</f>
        <v>0</v>
      </c>
      <c r="AF111" s="688">
        <f>IFERROR(VLOOKUP($A111,'[92]8月'!$A:$H,8,0),0)</f>
        <v>0</v>
      </c>
      <c r="AG111" s="688">
        <f>IFERROR(VLOOKUP($A111,'[92]9月'!$A:$H,8,0),0)</f>
        <v>0</v>
      </c>
      <c r="AH111" s="688">
        <f>IFERROR(VLOOKUP($A111,'[92]10月'!$A:$H,8,0),0)</f>
        <v>0</v>
      </c>
      <c r="AI111" s="688">
        <f>IFERROR(VLOOKUP($A111,'[92]11月'!$A:$H,8,0),0)</f>
        <v>0</v>
      </c>
      <c r="AJ111" s="688">
        <f>IFERROR(VLOOKUP($A111,'[92]12月'!$A:$H,8,0),0)</f>
        <v>0</v>
      </c>
      <c r="AK111" s="688">
        <f t="shared" si="54"/>
        <v>0</v>
      </c>
    </row>
    <row r="112" spans="1:37" ht="11.1" customHeight="1">
      <c r="A112" s="653">
        <f>'Budget-合并'!A112</f>
        <v>0</v>
      </c>
      <c r="B112" s="653" t="str">
        <f>'Budget-合并'!B112</f>
        <v xml:space="preserve">    其他项目07</v>
      </c>
      <c r="C112" s="687" t="str">
        <f>'Budget-合并'!C112</f>
        <v xml:space="preserve">   Other project</v>
      </c>
      <c r="D112" s="704">
        <f t="shared" si="49"/>
        <v>0</v>
      </c>
      <c r="E112" s="704" t="e">
        <f t="shared" si="50"/>
        <v>#N/A</v>
      </c>
      <c r="F112" s="704" t="e">
        <f t="shared" si="51"/>
        <v>#N/A</v>
      </c>
      <c r="G112" s="704">
        <f t="shared" ca="1" si="55"/>
        <v>0</v>
      </c>
      <c r="H112" s="704" t="e">
        <f t="shared" ca="1" si="52"/>
        <v>#N/A</v>
      </c>
      <c r="I112" s="704" t="e">
        <f t="shared" ca="1" si="53"/>
        <v>#N/A</v>
      </c>
      <c r="K112" s="704"/>
      <c r="L112" s="704"/>
      <c r="M112" s="704"/>
      <c r="N112" s="704"/>
      <c r="O112" s="704"/>
      <c r="P112" s="704"/>
      <c r="Q112" s="704"/>
      <c r="R112" s="704"/>
      <c r="S112" s="704"/>
      <c r="T112" s="704"/>
      <c r="U112" s="704"/>
      <c r="V112" s="704"/>
      <c r="W112" s="704">
        <f t="shared" si="43"/>
        <v>0</v>
      </c>
      <c r="Y112" s="688">
        <f>IFERROR(VLOOKUP($A112,'[92]1月'!$A:$H,8,0),0)</f>
        <v>0</v>
      </c>
      <c r="Z112" s="688">
        <f>IFERROR(VLOOKUP($A112,'[92]2月'!$A:$H,8,0),0)</f>
        <v>0</v>
      </c>
      <c r="AA112" s="688">
        <f>IFERROR(VLOOKUP($A112,'[92]3月'!$A:$H,8,0),0)</f>
        <v>0</v>
      </c>
      <c r="AB112" s="688">
        <f>IFERROR(VLOOKUP($A112,'[92]4月'!$A:$H,8,0),0)</f>
        <v>0</v>
      </c>
      <c r="AC112" s="688">
        <f>IFERROR(VLOOKUP($A112,'[92]5月'!$A:$H,8,0),0)</f>
        <v>0</v>
      </c>
      <c r="AD112" s="688">
        <f>IFERROR(VLOOKUP($A112,'[92]6月'!$A:$H,8,0),0)</f>
        <v>0</v>
      </c>
      <c r="AE112" s="688">
        <f>IFERROR(VLOOKUP($A112,'[92]7月'!$A:$H,8,0),0)</f>
        <v>0</v>
      </c>
      <c r="AF112" s="688">
        <f>IFERROR(VLOOKUP($A112,'[92]8月'!$A:$H,8,0),0)</f>
        <v>0</v>
      </c>
      <c r="AG112" s="688">
        <f>IFERROR(VLOOKUP($A112,'[92]9月'!$A:$H,8,0),0)</f>
        <v>0</v>
      </c>
      <c r="AH112" s="688">
        <f>IFERROR(VLOOKUP($A112,'[92]10月'!$A:$H,8,0),0)</f>
        <v>0</v>
      </c>
      <c r="AI112" s="688">
        <f>IFERROR(VLOOKUP($A112,'[92]11月'!$A:$H,8,0),0)</f>
        <v>0</v>
      </c>
      <c r="AJ112" s="688">
        <f>IFERROR(VLOOKUP($A112,'[92]12月'!$A:$H,8,0),0)</f>
        <v>0</v>
      </c>
      <c r="AK112" s="688">
        <f t="shared" si="54"/>
        <v>0</v>
      </c>
    </row>
    <row r="113" spans="1:37" ht="11.1" customHeight="1">
      <c r="A113" s="653" t="str">
        <f>'Budget-合并'!A113</f>
        <v>6602.09.06</v>
      </c>
      <c r="B113" s="653" t="str">
        <f>'Budget-合并'!B113</f>
        <v>其他汽车费用</v>
      </c>
      <c r="C113" s="687">
        <f>'Budget-合并'!C113</f>
        <v>0</v>
      </c>
      <c r="D113" s="704">
        <f t="shared" si="49"/>
        <v>0</v>
      </c>
      <c r="E113" s="704" t="e">
        <f t="shared" si="50"/>
        <v>#N/A</v>
      </c>
      <c r="F113" s="704" t="e">
        <f t="shared" si="51"/>
        <v>#N/A</v>
      </c>
      <c r="G113" s="704">
        <f t="shared" ca="1" si="55"/>
        <v>0</v>
      </c>
      <c r="H113" s="704" t="e">
        <f t="shared" ca="1" si="52"/>
        <v>#N/A</v>
      </c>
      <c r="I113" s="704" t="e">
        <f t="shared" ca="1" si="53"/>
        <v>#N/A</v>
      </c>
      <c r="K113" s="704">
        <f t="shared" ref="K113:V113" si="57">SUM(K114:K116)</f>
        <v>0</v>
      </c>
      <c r="L113" s="704">
        <f t="shared" si="57"/>
        <v>0</v>
      </c>
      <c r="M113" s="704">
        <f t="shared" si="57"/>
        <v>0</v>
      </c>
      <c r="N113" s="704">
        <f t="shared" si="57"/>
        <v>0</v>
      </c>
      <c r="O113" s="704">
        <f t="shared" si="57"/>
        <v>0</v>
      </c>
      <c r="P113" s="704">
        <f t="shared" si="57"/>
        <v>0</v>
      </c>
      <c r="Q113" s="704">
        <f t="shared" si="57"/>
        <v>0</v>
      </c>
      <c r="R113" s="704">
        <f t="shared" si="57"/>
        <v>0</v>
      </c>
      <c r="S113" s="704">
        <f t="shared" si="57"/>
        <v>0</v>
      </c>
      <c r="T113" s="704">
        <f t="shared" si="57"/>
        <v>0</v>
      </c>
      <c r="U113" s="704">
        <f t="shared" si="57"/>
        <v>0</v>
      </c>
      <c r="V113" s="704">
        <f t="shared" si="57"/>
        <v>0</v>
      </c>
      <c r="W113" s="704">
        <f t="shared" si="43"/>
        <v>0</v>
      </c>
      <c r="Y113" s="688">
        <f>IFERROR(VLOOKUP($A113,'[92]1月'!$A:$H,8,0),0)</f>
        <v>0</v>
      </c>
      <c r="Z113" s="688">
        <f>IFERROR(VLOOKUP($A113,'[92]2月'!$A:$H,8,0),0)</f>
        <v>0</v>
      </c>
      <c r="AA113" s="688">
        <f>IFERROR(VLOOKUP($A113,'[92]3月'!$A:$H,8,0),0)</f>
        <v>0</v>
      </c>
      <c r="AB113" s="688">
        <f>IFERROR(VLOOKUP($A113,'[92]4月'!$A:$H,8,0),0)</f>
        <v>0</v>
      </c>
      <c r="AC113" s="688">
        <f>IFERROR(VLOOKUP($A113,'[92]5月'!$A:$H,8,0),0)</f>
        <v>0</v>
      </c>
      <c r="AD113" s="688">
        <f>IFERROR(VLOOKUP($A113,'[92]6月'!$A:$H,8,0),0)</f>
        <v>0</v>
      </c>
      <c r="AE113" s="688">
        <f>IFERROR(VLOOKUP($A113,'[92]7月'!$A:$H,8,0),0)</f>
        <v>0</v>
      </c>
      <c r="AF113" s="688">
        <f>IFERROR(VLOOKUP($A113,'[92]8月'!$A:$H,8,0),0)</f>
        <v>0</v>
      </c>
      <c r="AG113" s="688">
        <f>IFERROR(VLOOKUP($A113,'[92]9月'!$A:$H,8,0),0)</f>
        <v>0</v>
      </c>
      <c r="AH113" s="688">
        <f>IFERROR(VLOOKUP($A113,'[92]10月'!$A:$H,8,0),0)</f>
        <v>0</v>
      </c>
      <c r="AI113" s="688">
        <f>IFERROR(VLOOKUP($A113,'[92]11月'!$A:$H,8,0),0)</f>
        <v>0</v>
      </c>
      <c r="AJ113" s="688">
        <f>IFERROR(VLOOKUP($A113,'[92]12月'!$A:$H,8,0),0)</f>
        <v>0</v>
      </c>
      <c r="AK113" s="688">
        <f t="shared" si="54"/>
        <v>0</v>
      </c>
    </row>
    <row r="114" spans="1:37" ht="11.1" customHeight="1">
      <c r="A114" s="653">
        <f>'Budget-合并'!A114</f>
        <v>0</v>
      </c>
      <c r="B114" s="653" t="str">
        <f>'Budget-合并'!B114</f>
        <v xml:space="preserve">    公司主体08</v>
      </c>
      <c r="C114" s="687" t="str">
        <f>'Budget-合并'!C114</f>
        <v xml:space="preserve">   Entity</v>
      </c>
      <c r="D114" s="704">
        <f t="shared" si="49"/>
        <v>0</v>
      </c>
      <c r="E114" s="704" t="e">
        <f t="shared" si="50"/>
        <v>#N/A</v>
      </c>
      <c r="F114" s="704" t="e">
        <f t="shared" si="51"/>
        <v>#N/A</v>
      </c>
      <c r="G114" s="704">
        <f t="shared" ca="1" si="55"/>
        <v>0</v>
      </c>
      <c r="H114" s="704" t="e">
        <f t="shared" ca="1" si="52"/>
        <v>#N/A</v>
      </c>
      <c r="I114" s="704" t="e">
        <f t="shared" ca="1" si="53"/>
        <v>#N/A</v>
      </c>
      <c r="K114" s="704"/>
      <c r="L114" s="704"/>
      <c r="M114" s="704"/>
      <c r="N114" s="704"/>
      <c r="O114" s="704"/>
      <c r="P114" s="704"/>
      <c r="Q114" s="704"/>
      <c r="R114" s="704"/>
      <c r="S114" s="704"/>
      <c r="T114" s="704"/>
      <c r="U114" s="704"/>
      <c r="V114" s="704"/>
      <c r="W114" s="704">
        <f t="shared" si="43"/>
        <v>0</v>
      </c>
      <c r="Y114" s="688">
        <f>IFERROR(VLOOKUP($A114,'[92]1月'!$A:$H,8,0),0)</f>
        <v>0</v>
      </c>
      <c r="Z114" s="688">
        <f>IFERROR(VLOOKUP($A114,'[92]2月'!$A:$H,8,0),0)</f>
        <v>0</v>
      </c>
      <c r="AA114" s="688">
        <f>IFERROR(VLOOKUP($A114,'[92]3月'!$A:$H,8,0),0)</f>
        <v>0</v>
      </c>
      <c r="AB114" s="688">
        <f>IFERROR(VLOOKUP($A114,'[92]4月'!$A:$H,8,0),0)</f>
        <v>0</v>
      </c>
      <c r="AC114" s="688">
        <f>IFERROR(VLOOKUP($A114,'[92]5月'!$A:$H,8,0),0)</f>
        <v>0</v>
      </c>
      <c r="AD114" s="688">
        <f>IFERROR(VLOOKUP($A114,'[92]6月'!$A:$H,8,0),0)</f>
        <v>0</v>
      </c>
      <c r="AE114" s="688">
        <f>IFERROR(VLOOKUP($A114,'[92]7月'!$A:$H,8,0),0)</f>
        <v>0</v>
      </c>
      <c r="AF114" s="688">
        <f>IFERROR(VLOOKUP($A114,'[92]8月'!$A:$H,8,0),0)</f>
        <v>0</v>
      </c>
      <c r="AG114" s="688">
        <f>IFERROR(VLOOKUP($A114,'[92]9月'!$A:$H,8,0),0)</f>
        <v>0</v>
      </c>
      <c r="AH114" s="688">
        <f>IFERROR(VLOOKUP($A114,'[92]10月'!$A:$H,8,0),0)</f>
        <v>0</v>
      </c>
      <c r="AI114" s="688">
        <f>IFERROR(VLOOKUP($A114,'[92]11月'!$A:$H,8,0),0)</f>
        <v>0</v>
      </c>
      <c r="AJ114" s="688">
        <f>IFERROR(VLOOKUP($A114,'[92]12月'!$A:$H,8,0),0)</f>
        <v>0</v>
      </c>
      <c r="AK114" s="688">
        <f t="shared" si="54"/>
        <v>0</v>
      </c>
    </row>
    <row r="115" spans="1:37" ht="11.1" customHeight="1">
      <c r="A115" s="653">
        <f>'Budget-合并'!A115</f>
        <v>0</v>
      </c>
      <c r="B115" s="653" t="str">
        <f>'Budget-合并'!B115</f>
        <v xml:space="preserve">    旭智富能08</v>
      </c>
      <c r="C115" s="687" t="str">
        <f>'Budget-合并'!C115</f>
        <v xml:space="preserve">   Foxpower</v>
      </c>
      <c r="D115" s="704">
        <f t="shared" si="49"/>
        <v>0</v>
      </c>
      <c r="E115" s="704" t="e">
        <f t="shared" si="50"/>
        <v>#N/A</v>
      </c>
      <c r="F115" s="704" t="e">
        <f t="shared" si="51"/>
        <v>#N/A</v>
      </c>
      <c r="G115" s="704">
        <f t="shared" ca="1" si="55"/>
        <v>0</v>
      </c>
      <c r="H115" s="704" t="e">
        <f t="shared" ca="1" si="52"/>
        <v>#N/A</v>
      </c>
      <c r="I115" s="704" t="e">
        <f t="shared" ca="1" si="53"/>
        <v>#N/A</v>
      </c>
      <c r="K115" s="704"/>
      <c r="L115" s="704"/>
      <c r="M115" s="704"/>
      <c r="N115" s="704"/>
      <c r="O115" s="704"/>
      <c r="P115" s="704"/>
      <c r="Q115" s="704"/>
      <c r="R115" s="704"/>
      <c r="S115" s="704"/>
      <c r="T115" s="704"/>
      <c r="U115" s="704"/>
      <c r="V115" s="704"/>
      <c r="W115" s="704">
        <f t="shared" si="43"/>
        <v>0</v>
      </c>
      <c r="Y115" s="688">
        <f>IFERROR(VLOOKUP($A115,'[92]1月'!$A:$H,8,0),0)</f>
        <v>0</v>
      </c>
      <c r="Z115" s="688">
        <f>IFERROR(VLOOKUP($A115,'[92]2月'!$A:$H,8,0),0)</f>
        <v>0</v>
      </c>
      <c r="AA115" s="688">
        <f>IFERROR(VLOOKUP($A115,'[92]3月'!$A:$H,8,0),0)</f>
        <v>0</v>
      </c>
      <c r="AB115" s="688">
        <f>IFERROR(VLOOKUP($A115,'[92]4月'!$A:$H,8,0),0)</f>
        <v>0</v>
      </c>
      <c r="AC115" s="688">
        <f>IFERROR(VLOOKUP($A115,'[92]5月'!$A:$H,8,0),0)</f>
        <v>0</v>
      </c>
      <c r="AD115" s="688">
        <f>IFERROR(VLOOKUP($A115,'[92]6月'!$A:$H,8,0),0)</f>
        <v>0</v>
      </c>
      <c r="AE115" s="688">
        <f>IFERROR(VLOOKUP($A115,'[92]7月'!$A:$H,8,0),0)</f>
        <v>0</v>
      </c>
      <c r="AF115" s="688">
        <f>IFERROR(VLOOKUP($A115,'[92]8月'!$A:$H,8,0),0)</f>
        <v>0</v>
      </c>
      <c r="AG115" s="688">
        <f>IFERROR(VLOOKUP($A115,'[92]9月'!$A:$H,8,0),0)</f>
        <v>0</v>
      </c>
      <c r="AH115" s="688">
        <f>IFERROR(VLOOKUP($A115,'[92]10月'!$A:$H,8,0),0)</f>
        <v>0</v>
      </c>
      <c r="AI115" s="688">
        <f>IFERROR(VLOOKUP($A115,'[92]11月'!$A:$H,8,0),0)</f>
        <v>0</v>
      </c>
      <c r="AJ115" s="688">
        <f>IFERROR(VLOOKUP($A115,'[92]12月'!$A:$H,8,0),0)</f>
        <v>0</v>
      </c>
      <c r="AK115" s="688">
        <f t="shared" si="54"/>
        <v>0</v>
      </c>
    </row>
    <row r="116" spans="1:37" ht="11.1" customHeight="1">
      <c r="A116" s="653">
        <f>'Budget-合并'!A116</f>
        <v>0</v>
      </c>
      <c r="B116" s="653" t="str">
        <f>'Budget-合并'!B116</f>
        <v xml:space="preserve">    其他项目08</v>
      </c>
      <c r="C116" s="687" t="str">
        <f>'Budget-合并'!C116</f>
        <v xml:space="preserve">   Other project</v>
      </c>
      <c r="D116" s="704">
        <f t="shared" si="49"/>
        <v>0</v>
      </c>
      <c r="E116" s="704" t="e">
        <f t="shared" si="50"/>
        <v>#N/A</v>
      </c>
      <c r="F116" s="704" t="e">
        <f t="shared" si="51"/>
        <v>#N/A</v>
      </c>
      <c r="G116" s="704">
        <f t="shared" ca="1" si="55"/>
        <v>0</v>
      </c>
      <c r="H116" s="704" t="e">
        <f t="shared" ca="1" si="52"/>
        <v>#N/A</v>
      </c>
      <c r="I116" s="704" t="e">
        <f t="shared" ca="1" si="53"/>
        <v>#N/A</v>
      </c>
      <c r="K116" s="704"/>
      <c r="L116" s="704"/>
      <c r="M116" s="704"/>
      <c r="N116" s="704"/>
      <c r="O116" s="704"/>
      <c r="P116" s="704"/>
      <c r="Q116" s="704"/>
      <c r="R116" s="704"/>
      <c r="S116" s="704"/>
      <c r="T116" s="704"/>
      <c r="U116" s="704"/>
      <c r="V116" s="704"/>
      <c r="W116" s="704">
        <f t="shared" si="43"/>
        <v>0</v>
      </c>
      <c r="Y116" s="688">
        <f>IFERROR(VLOOKUP($A116,'[92]1月'!$A:$H,8,0),0)</f>
        <v>0</v>
      </c>
      <c r="Z116" s="688">
        <f>IFERROR(VLOOKUP($A116,'[92]2月'!$A:$H,8,0),0)</f>
        <v>0</v>
      </c>
      <c r="AA116" s="688">
        <f>IFERROR(VLOOKUP($A116,'[92]3月'!$A:$H,8,0),0)</f>
        <v>0</v>
      </c>
      <c r="AB116" s="688">
        <f>IFERROR(VLOOKUP($A116,'[92]4月'!$A:$H,8,0),0)</f>
        <v>0</v>
      </c>
      <c r="AC116" s="688">
        <f>IFERROR(VLOOKUP($A116,'[92]5月'!$A:$H,8,0),0)</f>
        <v>0</v>
      </c>
      <c r="AD116" s="688">
        <f>IFERROR(VLOOKUP($A116,'[92]6月'!$A:$H,8,0),0)</f>
        <v>0</v>
      </c>
      <c r="AE116" s="688">
        <f>IFERROR(VLOOKUP($A116,'[92]7月'!$A:$H,8,0),0)</f>
        <v>0</v>
      </c>
      <c r="AF116" s="688">
        <f>IFERROR(VLOOKUP($A116,'[92]8月'!$A:$H,8,0),0)</f>
        <v>0</v>
      </c>
      <c r="AG116" s="688">
        <f>IFERROR(VLOOKUP($A116,'[92]9月'!$A:$H,8,0),0)</f>
        <v>0</v>
      </c>
      <c r="AH116" s="688">
        <f>IFERROR(VLOOKUP($A116,'[92]10月'!$A:$H,8,0),0)</f>
        <v>0</v>
      </c>
      <c r="AI116" s="688">
        <f>IFERROR(VLOOKUP($A116,'[92]11月'!$A:$H,8,0),0)</f>
        <v>0</v>
      </c>
      <c r="AJ116" s="688">
        <f>IFERROR(VLOOKUP($A116,'[92]12月'!$A:$H,8,0),0)</f>
        <v>0</v>
      </c>
      <c r="AK116" s="688">
        <f t="shared" si="54"/>
        <v>0</v>
      </c>
    </row>
    <row r="117" spans="1:37" ht="11.1" customHeight="1">
      <c r="A117" s="653" t="str">
        <f>'Budget-合并'!A117</f>
        <v>6602.09.07</v>
      </c>
      <c r="B117" s="653" t="str">
        <f>'Budget-合并'!B117</f>
        <v>检测费</v>
      </c>
      <c r="C117" s="687">
        <f>'Budget-合并'!C117</f>
        <v>0</v>
      </c>
      <c r="D117" s="704">
        <f t="shared" si="49"/>
        <v>0</v>
      </c>
      <c r="E117" s="704" t="e">
        <f t="shared" si="50"/>
        <v>#N/A</v>
      </c>
      <c r="F117" s="704" t="e">
        <f t="shared" si="51"/>
        <v>#N/A</v>
      </c>
      <c r="G117" s="704">
        <f t="shared" ca="1" si="55"/>
        <v>0</v>
      </c>
      <c r="H117" s="704" t="e">
        <f t="shared" ca="1" si="52"/>
        <v>#N/A</v>
      </c>
      <c r="I117" s="704" t="e">
        <f t="shared" ca="1" si="53"/>
        <v>#N/A</v>
      </c>
      <c r="K117" s="704"/>
      <c r="L117" s="704"/>
      <c r="M117" s="704"/>
      <c r="N117" s="704"/>
      <c r="O117" s="704"/>
      <c r="P117" s="704"/>
      <c r="Q117" s="704"/>
      <c r="R117" s="704"/>
      <c r="S117" s="704"/>
      <c r="T117" s="704"/>
      <c r="U117" s="704"/>
      <c r="V117" s="704"/>
      <c r="W117" s="704">
        <f t="shared" si="43"/>
        <v>0</v>
      </c>
      <c r="Y117" s="688">
        <f>IFERROR(VLOOKUP($A117,'[92]1月'!$A:$H,8,0),0)</f>
        <v>0</v>
      </c>
      <c r="Z117" s="688">
        <f>IFERROR(VLOOKUP($A117,'[92]2月'!$A:$H,8,0),0)</f>
        <v>0</v>
      </c>
      <c r="AA117" s="688">
        <f>IFERROR(VLOOKUP($A117,'[92]3月'!$A:$H,8,0),0)</f>
        <v>0</v>
      </c>
      <c r="AB117" s="688">
        <f>IFERROR(VLOOKUP($A117,'[92]4月'!$A:$H,8,0),0)</f>
        <v>0</v>
      </c>
      <c r="AC117" s="688">
        <f>IFERROR(VLOOKUP($A117,'[92]5月'!$A:$H,8,0),0)</f>
        <v>0</v>
      </c>
      <c r="AD117" s="688">
        <f>IFERROR(VLOOKUP($A117,'[92]6月'!$A:$H,8,0),0)</f>
        <v>0</v>
      </c>
      <c r="AE117" s="688">
        <f>IFERROR(VLOOKUP($A117,'[92]7月'!$A:$H,8,0),0)</f>
        <v>0</v>
      </c>
      <c r="AF117" s="688">
        <f>IFERROR(VLOOKUP($A117,'[92]8月'!$A:$H,8,0),0)</f>
        <v>0</v>
      </c>
      <c r="AG117" s="688">
        <f>IFERROR(VLOOKUP($A117,'[92]9月'!$A:$H,8,0),0)</f>
        <v>0</v>
      </c>
      <c r="AH117" s="688">
        <f>IFERROR(VLOOKUP($A117,'[92]10月'!$A:$H,8,0),0)</f>
        <v>0</v>
      </c>
      <c r="AI117" s="688">
        <f>IFERROR(VLOOKUP($A117,'[92]11月'!$A:$H,8,0),0)</f>
        <v>0</v>
      </c>
      <c r="AJ117" s="688">
        <f>IFERROR(VLOOKUP($A117,'[92]12月'!$A:$H,8,0),0)</f>
        <v>0</v>
      </c>
      <c r="AK117" s="688">
        <f t="shared" si="54"/>
        <v>0</v>
      </c>
    </row>
    <row r="118" spans="1:37" ht="11.1" customHeight="1">
      <c r="A118" s="653" t="str">
        <f>'Budget-合并'!A118</f>
        <v>6602.09.08</v>
      </c>
      <c r="B118" s="653" t="str">
        <f>'Budget-合并'!B118</f>
        <v>退改费用（机票/火车等）</v>
      </c>
      <c r="C118" s="687">
        <f>'Budget-合并'!C118</f>
        <v>0</v>
      </c>
      <c r="D118" s="704">
        <f t="shared" si="49"/>
        <v>0</v>
      </c>
      <c r="E118" s="704" t="e">
        <f t="shared" si="50"/>
        <v>#N/A</v>
      </c>
      <c r="F118" s="704" t="e">
        <f t="shared" si="51"/>
        <v>#N/A</v>
      </c>
      <c r="G118" s="704">
        <f t="shared" ca="1" si="55"/>
        <v>0</v>
      </c>
      <c r="H118" s="704" t="e">
        <f t="shared" ca="1" si="52"/>
        <v>#N/A</v>
      </c>
      <c r="I118" s="704" t="e">
        <f t="shared" ca="1" si="53"/>
        <v>#N/A</v>
      </c>
      <c r="K118" s="704">
        <f t="shared" ref="K118:V118" si="58">SUM(K119:K121)</f>
        <v>0</v>
      </c>
      <c r="L118" s="704">
        <f t="shared" si="58"/>
        <v>0</v>
      </c>
      <c r="M118" s="704">
        <f t="shared" si="58"/>
        <v>0</v>
      </c>
      <c r="N118" s="704">
        <f t="shared" si="58"/>
        <v>0</v>
      </c>
      <c r="O118" s="704">
        <f t="shared" si="58"/>
        <v>0</v>
      </c>
      <c r="P118" s="704">
        <f t="shared" si="58"/>
        <v>0</v>
      </c>
      <c r="Q118" s="704">
        <f t="shared" si="58"/>
        <v>0</v>
      </c>
      <c r="R118" s="704">
        <f t="shared" si="58"/>
        <v>0</v>
      </c>
      <c r="S118" s="704">
        <f t="shared" si="58"/>
        <v>0</v>
      </c>
      <c r="T118" s="704">
        <f t="shared" si="58"/>
        <v>0</v>
      </c>
      <c r="U118" s="704">
        <f t="shared" si="58"/>
        <v>0</v>
      </c>
      <c r="V118" s="704">
        <f t="shared" si="58"/>
        <v>0</v>
      </c>
      <c r="W118" s="704">
        <f t="shared" si="43"/>
        <v>0</v>
      </c>
      <c r="Y118" s="688">
        <f>IFERROR(VLOOKUP($A118,'[92]1月'!$A:$H,8,0),0)</f>
        <v>0</v>
      </c>
      <c r="Z118" s="688">
        <f>IFERROR(VLOOKUP($A118,'[92]2月'!$A:$H,8,0),0)</f>
        <v>0</v>
      </c>
      <c r="AA118" s="688">
        <f>IFERROR(VLOOKUP($A118,'[92]3月'!$A:$H,8,0),0)</f>
        <v>0</v>
      </c>
      <c r="AB118" s="688">
        <f>IFERROR(VLOOKUP($A118,'[92]4月'!$A:$H,8,0),0)</f>
        <v>0</v>
      </c>
      <c r="AC118" s="688">
        <f>IFERROR(VLOOKUP($A118,'[92]5月'!$A:$H,8,0),0)</f>
        <v>0</v>
      </c>
      <c r="AD118" s="688">
        <f>IFERROR(VLOOKUP($A118,'[92]6月'!$A:$H,8,0),0)</f>
        <v>0</v>
      </c>
      <c r="AE118" s="688">
        <f>IFERROR(VLOOKUP($A118,'[92]7月'!$A:$H,8,0),0)</f>
        <v>0</v>
      </c>
      <c r="AF118" s="688">
        <f>IFERROR(VLOOKUP($A118,'[92]8月'!$A:$H,8,0),0)</f>
        <v>0</v>
      </c>
      <c r="AG118" s="688">
        <f>IFERROR(VLOOKUP($A118,'[92]9月'!$A:$H,8,0),0)</f>
        <v>0</v>
      </c>
      <c r="AH118" s="688">
        <f>IFERROR(VLOOKUP($A118,'[92]10月'!$A:$H,8,0),0)</f>
        <v>0</v>
      </c>
      <c r="AI118" s="688">
        <f>IFERROR(VLOOKUP($A118,'[92]11月'!$A:$H,8,0),0)</f>
        <v>0</v>
      </c>
      <c r="AJ118" s="688">
        <f>IFERROR(VLOOKUP($A118,'[92]12月'!$A:$H,8,0),0)</f>
        <v>0</v>
      </c>
      <c r="AK118" s="688">
        <f t="shared" si="54"/>
        <v>0</v>
      </c>
    </row>
    <row r="119" spans="1:37" ht="11.1" customHeight="1">
      <c r="A119" s="653">
        <f>'Budget-合并'!A119</f>
        <v>0</v>
      </c>
      <c r="B119" s="653" t="str">
        <f>'Budget-合并'!B119</f>
        <v xml:space="preserve">    公司主体09</v>
      </c>
      <c r="C119" s="687" t="str">
        <f>'Budget-合并'!C119</f>
        <v xml:space="preserve">   Entity</v>
      </c>
      <c r="D119" s="704">
        <f t="shared" si="49"/>
        <v>0</v>
      </c>
      <c r="E119" s="704" t="e">
        <f t="shared" si="50"/>
        <v>#N/A</v>
      </c>
      <c r="F119" s="704" t="e">
        <f t="shared" si="51"/>
        <v>#N/A</v>
      </c>
      <c r="G119" s="704">
        <f t="shared" ca="1" si="55"/>
        <v>0</v>
      </c>
      <c r="H119" s="704" t="e">
        <f t="shared" ca="1" si="52"/>
        <v>#N/A</v>
      </c>
      <c r="I119" s="704" t="e">
        <f t="shared" ca="1" si="53"/>
        <v>#N/A</v>
      </c>
      <c r="K119" s="704"/>
      <c r="L119" s="704"/>
      <c r="M119" s="704"/>
      <c r="N119" s="704"/>
      <c r="O119" s="704"/>
      <c r="P119" s="704"/>
      <c r="Q119" s="704"/>
      <c r="R119" s="704"/>
      <c r="S119" s="704"/>
      <c r="T119" s="704"/>
      <c r="U119" s="704"/>
      <c r="V119" s="704"/>
      <c r="W119" s="704">
        <f t="shared" si="43"/>
        <v>0</v>
      </c>
      <c r="Y119" s="688">
        <f>IFERROR(VLOOKUP($A119,'[92]1月'!$A:$H,8,0),0)</f>
        <v>0</v>
      </c>
      <c r="Z119" s="688">
        <f>IFERROR(VLOOKUP($A119,'[92]2月'!$A:$H,8,0),0)</f>
        <v>0</v>
      </c>
      <c r="AA119" s="688">
        <f>IFERROR(VLOOKUP($A119,'[92]3月'!$A:$H,8,0),0)</f>
        <v>0</v>
      </c>
      <c r="AB119" s="688">
        <f>IFERROR(VLOOKUP($A119,'[92]4月'!$A:$H,8,0),0)</f>
        <v>0</v>
      </c>
      <c r="AC119" s="688">
        <f>IFERROR(VLOOKUP($A119,'[92]5月'!$A:$H,8,0),0)</f>
        <v>0</v>
      </c>
      <c r="AD119" s="688">
        <f>IFERROR(VLOOKUP($A119,'[92]6月'!$A:$H,8,0),0)</f>
        <v>0</v>
      </c>
      <c r="AE119" s="688">
        <f>IFERROR(VLOOKUP($A119,'[92]7月'!$A:$H,8,0),0)</f>
        <v>0</v>
      </c>
      <c r="AF119" s="688">
        <f>IFERROR(VLOOKUP($A119,'[92]8月'!$A:$H,8,0),0)</f>
        <v>0</v>
      </c>
      <c r="AG119" s="688">
        <f>IFERROR(VLOOKUP($A119,'[92]9月'!$A:$H,8,0),0)</f>
        <v>0</v>
      </c>
      <c r="AH119" s="688">
        <f>IFERROR(VLOOKUP($A119,'[92]10月'!$A:$H,8,0),0)</f>
        <v>0</v>
      </c>
      <c r="AI119" s="688">
        <f>IFERROR(VLOOKUP($A119,'[92]11月'!$A:$H,8,0),0)</f>
        <v>0</v>
      </c>
      <c r="AJ119" s="688">
        <f>IFERROR(VLOOKUP($A119,'[92]12月'!$A:$H,8,0),0)</f>
        <v>0</v>
      </c>
      <c r="AK119" s="688">
        <f t="shared" si="54"/>
        <v>0</v>
      </c>
    </row>
    <row r="120" spans="1:37" ht="11.1" customHeight="1">
      <c r="A120" s="653">
        <f>'Budget-合并'!A120</f>
        <v>0</v>
      </c>
      <c r="B120" s="653" t="str">
        <f>'Budget-合并'!B120</f>
        <v xml:space="preserve">    旭智富能09</v>
      </c>
      <c r="C120" s="687" t="str">
        <f>'Budget-合并'!C120</f>
        <v xml:space="preserve">   Foxpower</v>
      </c>
      <c r="D120" s="704">
        <f t="shared" si="49"/>
        <v>0</v>
      </c>
      <c r="E120" s="704" t="e">
        <f t="shared" si="50"/>
        <v>#N/A</v>
      </c>
      <c r="F120" s="704" t="e">
        <f t="shared" si="51"/>
        <v>#N/A</v>
      </c>
      <c r="G120" s="704">
        <f t="shared" ca="1" si="55"/>
        <v>0</v>
      </c>
      <c r="H120" s="704" t="e">
        <f t="shared" ca="1" si="52"/>
        <v>#N/A</v>
      </c>
      <c r="I120" s="704" t="e">
        <f t="shared" ca="1" si="53"/>
        <v>#N/A</v>
      </c>
      <c r="K120" s="704"/>
      <c r="L120" s="704"/>
      <c r="M120" s="704"/>
      <c r="N120" s="704"/>
      <c r="O120" s="704"/>
      <c r="P120" s="704"/>
      <c r="Q120" s="704"/>
      <c r="R120" s="704"/>
      <c r="S120" s="704"/>
      <c r="T120" s="704"/>
      <c r="U120" s="704"/>
      <c r="V120" s="704"/>
      <c r="W120" s="704">
        <f t="shared" si="43"/>
        <v>0</v>
      </c>
      <c r="Y120" s="688">
        <f>IFERROR(VLOOKUP($A120,'[92]1月'!$A:$H,8,0),0)</f>
        <v>0</v>
      </c>
      <c r="Z120" s="688">
        <f>IFERROR(VLOOKUP($A120,'[92]2月'!$A:$H,8,0),0)</f>
        <v>0</v>
      </c>
      <c r="AA120" s="688">
        <f>IFERROR(VLOOKUP($A120,'[92]3月'!$A:$H,8,0),0)</f>
        <v>0</v>
      </c>
      <c r="AB120" s="688">
        <f>IFERROR(VLOOKUP($A120,'[92]4月'!$A:$H,8,0),0)</f>
        <v>0</v>
      </c>
      <c r="AC120" s="688">
        <f>IFERROR(VLOOKUP($A120,'[92]5月'!$A:$H,8,0),0)</f>
        <v>0</v>
      </c>
      <c r="AD120" s="688">
        <f>IFERROR(VLOOKUP($A120,'[92]6月'!$A:$H,8,0),0)</f>
        <v>0</v>
      </c>
      <c r="AE120" s="688">
        <f>IFERROR(VLOOKUP($A120,'[92]7月'!$A:$H,8,0),0)</f>
        <v>0</v>
      </c>
      <c r="AF120" s="688">
        <f>IFERROR(VLOOKUP($A120,'[92]8月'!$A:$H,8,0),0)</f>
        <v>0</v>
      </c>
      <c r="AG120" s="688">
        <f>IFERROR(VLOOKUP($A120,'[92]9月'!$A:$H,8,0),0)</f>
        <v>0</v>
      </c>
      <c r="AH120" s="688">
        <f>IFERROR(VLOOKUP($A120,'[92]10月'!$A:$H,8,0),0)</f>
        <v>0</v>
      </c>
      <c r="AI120" s="688">
        <f>IFERROR(VLOOKUP($A120,'[92]11月'!$A:$H,8,0),0)</f>
        <v>0</v>
      </c>
      <c r="AJ120" s="688">
        <f>IFERROR(VLOOKUP($A120,'[92]12月'!$A:$H,8,0),0)</f>
        <v>0</v>
      </c>
      <c r="AK120" s="688">
        <f t="shared" si="54"/>
        <v>0</v>
      </c>
    </row>
    <row r="121" spans="1:37" ht="11.1" customHeight="1">
      <c r="A121" s="653">
        <f>'Budget-合并'!A121</f>
        <v>0</v>
      </c>
      <c r="B121" s="653" t="str">
        <f>'Budget-合并'!B121</f>
        <v xml:space="preserve">    其他项目09</v>
      </c>
      <c r="C121" s="687" t="str">
        <f>'Budget-合并'!C121</f>
        <v xml:space="preserve">   Other project</v>
      </c>
      <c r="D121" s="704">
        <f t="shared" si="49"/>
        <v>0</v>
      </c>
      <c r="E121" s="704" t="e">
        <f t="shared" si="50"/>
        <v>#N/A</v>
      </c>
      <c r="F121" s="704" t="e">
        <f t="shared" si="51"/>
        <v>#N/A</v>
      </c>
      <c r="G121" s="704">
        <f t="shared" ca="1" si="55"/>
        <v>0</v>
      </c>
      <c r="H121" s="704" t="e">
        <f t="shared" ca="1" si="52"/>
        <v>#N/A</v>
      </c>
      <c r="I121" s="704" t="e">
        <f t="shared" ca="1" si="53"/>
        <v>#N/A</v>
      </c>
      <c r="K121" s="704"/>
      <c r="L121" s="704"/>
      <c r="M121" s="704"/>
      <c r="N121" s="704"/>
      <c r="O121" s="704"/>
      <c r="P121" s="704"/>
      <c r="Q121" s="704"/>
      <c r="R121" s="704"/>
      <c r="S121" s="704"/>
      <c r="T121" s="704"/>
      <c r="U121" s="704"/>
      <c r="V121" s="704"/>
      <c r="W121" s="704">
        <f t="shared" si="43"/>
        <v>0</v>
      </c>
      <c r="Y121" s="688">
        <f>IFERROR(VLOOKUP($A121,'[92]1月'!$A:$H,8,0),0)</f>
        <v>0</v>
      </c>
      <c r="Z121" s="688">
        <f>IFERROR(VLOOKUP($A121,'[92]2月'!$A:$H,8,0),0)</f>
        <v>0</v>
      </c>
      <c r="AA121" s="688">
        <f>IFERROR(VLOOKUP($A121,'[92]3月'!$A:$H,8,0),0)</f>
        <v>0</v>
      </c>
      <c r="AB121" s="688">
        <f>IFERROR(VLOOKUP($A121,'[92]4月'!$A:$H,8,0),0)</f>
        <v>0</v>
      </c>
      <c r="AC121" s="688">
        <f>IFERROR(VLOOKUP($A121,'[92]5月'!$A:$H,8,0),0)</f>
        <v>0</v>
      </c>
      <c r="AD121" s="688">
        <f>IFERROR(VLOOKUP($A121,'[92]6月'!$A:$H,8,0),0)</f>
        <v>0</v>
      </c>
      <c r="AE121" s="688">
        <f>IFERROR(VLOOKUP($A121,'[92]7月'!$A:$H,8,0),0)</f>
        <v>0</v>
      </c>
      <c r="AF121" s="688">
        <f>IFERROR(VLOOKUP($A121,'[92]8月'!$A:$H,8,0),0)</f>
        <v>0</v>
      </c>
      <c r="AG121" s="688">
        <f>IFERROR(VLOOKUP($A121,'[92]9月'!$A:$H,8,0),0)</f>
        <v>0</v>
      </c>
      <c r="AH121" s="688">
        <f>IFERROR(VLOOKUP($A121,'[92]10月'!$A:$H,8,0),0)</f>
        <v>0</v>
      </c>
      <c r="AI121" s="688">
        <f>IFERROR(VLOOKUP($A121,'[92]11月'!$A:$H,8,0),0)</f>
        <v>0</v>
      </c>
      <c r="AJ121" s="688">
        <f>IFERROR(VLOOKUP($A121,'[92]12月'!$A:$H,8,0),0)</f>
        <v>0</v>
      </c>
      <c r="AK121" s="688">
        <f t="shared" si="54"/>
        <v>0</v>
      </c>
    </row>
    <row r="122" spans="1:37" ht="11.1" customHeight="1">
      <c r="A122" s="653" t="str">
        <f>'Budget-合并'!A122</f>
        <v>6602.09.09</v>
      </c>
      <c r="B122" s="653" t="str">
        <f>'Budget-合并'!B122</f>
        <v>携程服务费</v>
      </c>
      <c r="C122" s="687">
        <f>'Budget-合并'!C122</f>
        <v>0</v>
      </c>
      <c r="D122" s="704">
        <f t="shared" si="49"/>
        <v>0</v>
      </c>
      <c r="E122" s="704" t="e">
        <f t="shared" si="50"/>
        <v>#N/A</v>
      </c>
      <c r="F122" s="704" t="e">
        <f t="shared" si="51"/>
        <v>#N/A</v>
      </c>
      <c r="G122" s="704">
        <f t="shared" ca="1" si="55"/>
        <v>0</v>
      </c>
      <c r="H122" s="704" t="e">
        <f t="shared" ca="1" si="52"/>
        <v>#N/A</v>
      </c>
      <c r="I122" s="704" t="e">
        <f t="shared" ca="1" si="53"/>
        <v>#N/A</v>
      </c>
      <c r="K122" s="704">
        <f t="shared" ref="K122:V122" si="59">SUM(K123:K125)</f>
        <v>0</v>
      </c>
      <c r="L122" s="704">
        <f t="shared" si="59"/>
        <v>0</v>
      </c>
      <c r="M122" s="704">
        <f t="shared" si="59"/>
        <v>0</v>
      </c>
      <c r="N122" s="704">
        <f t="shared" si="59"/>
        <v>0</v>
      </c>
      <c r="O122" s="704">
        <f t="shared" si="59"/>
        <v>0</v>
      </c>
      <c r="P122" s="704">
        <f t="shared" si="59"/>
        <v>0</v>
      </c>
      <c r="Q122" s="704">
        <f t="shared" si="59"/>
        <v>0</v>
      </c>
      <c r="R122" s="704">
        <f t="shared" si="59"/>
        <v>0</v>
      </c>
      <c r="S122" s="704">
        <f t="shared" si="59"/>
        <v>0</v>
      </c>
      <c r="T122" s="704">
        <f t="shared" si="59"/>
        <v>0</v>
      </c>
      <c r="U122" s="704">
        <f t="shared" si="59"/>
        <v>0</v>
      </c>
      <c r="V122" s="704">
        <f t="shared" si="59"/>
        <v>0</v>
      </c>
      <c r="W122" s="704">
        <f t="shared" si="43"/>
        <v>0</v>
      </c>
      <c r="Y122" s="688">
        <f>IFERROR(VLOOKUP($A122,'[92]1月'!$A:$H,8,0),0)</f>
        <v>0</v>
      </c>
      <c r="Z122" s="688">
        <f>IFERROR(VLOOKUP($A122,'[92]2月'!$A:$H,8,0),0)</f>
        <v>0</v>
      </c>
      <c r="AA122" s="688">
        <f>IFERROR(VLOOKUP($A122,'[92]3月'!$A:$H,8,0),0)</f>
        <v>0</v>
      </c>
      <c r="AB122" s="688">
        <f>IFERROR(VLOOKUP($A122,'[92]4月'!$A:$H,8,0),0)</f>
        <v>0</v>
      </c>
      <c r="AC122" s="688">
        <f>IFERROR(VLOOKUP($A122,'[92]5月'!$A:$H,8,0),0)</f>
        <v>0</v>
      </c>
      <c r="AD122" s="688">
        <f>IFERROR(VLOOKUP($A122,'[92]6月'!$A:$H,8,0),0)</f>
        <v>0</v>
      </c>
      <c r="AE122" s="688">
        <f>IFERROR(VLOOKUP($A122,'[92]7月'!$A:$H,8,0),0)</f>
        <v>0</v>
      </c>
      <c r="AF122" s="688">
        <f>IFERROR(VLOOKUP($A122,'[92]8月'!$A:$H,8,0),0)</f>
        <v>0</v>
      </c>
      <c r="AG122" s="688">
        <f>IFERROR(VLOOKUP($A122,'[92]9月'!$A:$H,8,0),0)</f>
        <v>0</v>
      </c>
      <c r="AH122" s="688">
        <f>IFERROR(VLOOKUP($A122,'[92]10月'!$A:$H,8,0),0)</f>
        <v>0</v>
      </c>
      <c r="AI122" s="688">
        <f>IFERROR(VLOOKUP($A122,'[92]11月'!$A:$H,8,0),0)</f>
        <v>0</v>
      </c>
      <c r="AJ122" s="688">
        <f>IFERROR(VLOOKUP($A122,'[92]12月'!$A:$H,8,0),0)</f>
        <v>0</v>
      </c>
      <c r="AK122" s="688">
        <f t="shared" si="54"/>
        <v>0</v>
      </c>
    </row>
    <row r="123" spans="1:37" ht="11.1" customHeight="1">
      <c r="A123" s="707"/>
      <c r="B123" s="653" t="str">
        <f>'Budget-合并'!B123</f>
        <v xml:space="preserve">    公司主体10</v>
      </c>
      <c r="C123" s="687" t="str">
        <f>'Budget-合并'!C123</f>
        <v xml:space="preserve">   Entity</v>
      </c>
      <c r="D123" s="704">
        <f t="shared" si="49"/>
        <v>0</v>
      </c>
      <c r="E123" s="704" t="e">
        <f t="shared" si="50"/>
        <v>#N/A</v>
      </c>
      <c r="F123" s="704" t="e">
        <f t="shared" si="51"/>
        <v>#N/A</v>
      </c>
      <c r="G123" s="704">
        <f t="shared" ca="1" si="55"/>
        <v>0</v>
      </c>
      <c r="H123" s="704" t="e">
        <f t="shared" ca="1" si="52"/>
        <v>#N/A</v>
      </c>
      <c r="I123" s="704" t="e">
        <f t="shared" ca="1" si="53"/>
        <v>#N/A</v>
      </c>
      <c r="K123" s="704"/>
      <c r="L123" s="704"/>
      <c r="M123" s="704"/>
      <c r="N123" s="704"/>
      <c r="O123" s="704"/>
      <c r="P123" s="704"/>
      <c r="Q123" s="704"/>
      <c r="R123" s="704"/>
      <c r="S123" s="704"/>
      <c r="T123" s="704"/>
      <c r="U123" s="704"/>
      <c r="V123" s="704"/>
      <c r="W123" s="704">
        <f t="shared" si="43"/>
        <v>0</v>
      </c>
      <c r="Y123" s="688">
        <f>IFERROR(VLOOKUP($A123,'[92]1月'!$A:$H,8,0),0)</f>
        <v>0</v>
      </c>
      <c r="Z123" s="688">
        <f>IFERROR(VLOOKUP($A123,'[92]2月'!$A:$H,8,0),0)</f>
        <v>0</v>
      </c>
      <c r="AA123" s="688">
        <f>IFERROR(VLOOKUP($A123,'[92]3月'!$A:$H,8,0),0)</f>
        <v>0</v>
      </c>
      <c r="AB123" s="688">
        <f>IFERROR(VLOOKUP($A123,'[92]4月'!$A:$H,8,0),0)</f>
        <v>0</v>
      </c>
      <c r="AC123" s="688">
        <f>IFERROR(VLOOKUP($A123,'[92]5月'!$A:$H,8,0),0)</f>
        <v>0</v>
      </c>
      <c r="AD123" s="688">
        <f>IFERROR(VLOOKUP($A123,'[92]6月'!$A:$H,8,0),0)</f>
        <v>0</v>
      </c>
      <c r="AE123" s="688">
        <f>IFERROR(VLOOKUP($A123,'[92]7月'!$A:$H,8,0),0)</f>
        <v>0</v>
      </c>
      <c r="AF123" s="688">
        <f>IFERROR(VLOOKUP($A123,'[92]8月'!$A:$H,8,0),0)</f>
        <v>0</v>
      </c>
      <c r="AG123" s="688">
        <f>IFERROR(VLOOKUP($A123,'[92]9月'!$A:$H,8,0),0)</f>
        <v>0</v>
      </c>
      <c r="AH123" s="688">
        <f>IFERROR(VLOOKUP($A123,'[92]10月'!$A:$H,8,0),0)</f>
        <v>0</v>
      </c>
      <c r="AI123" s="688">
        <f>IFERROR(VLOOKUP($A123,'[92]11月'!$A:$H,8,0),0)</f>
        <v>0</v>
      </c>
      <c r="AJ123" s="688">
        <f>IFERROR(VLOOKUP($A123,'[92]12月'!$A:$H,8,0),0)</f>
        <v>0</v>
      </c>
      <c r="AK123" s="688">
        <f t="shared" si="54"/>
        <v>0</v>
      </c>
    </row>
    <row r="124" spans="1:37" ht="11.1" customHeight="1">
      <c r="A124" s="707"/>
      <c r="B124" s="653" t="str">
        <f>'Budget-合并'!B124</f>
        <v xml:space="preserve">    旭智富能10</v>
      </c>
      <c r="C124" s="687" t="str">
        <f>'Budget-合并'!C124</f>
        <v xml:space="preserve">   Foxpower</v>
      </c>
      <c r="D124" s="704">
        <f t="shared" si="49"/>
        <v>0</v>
      </c>
      <c r="E124" s="704" t="e">
        <f t="shared" si="50"/>
        <v>#N/A</v>
      </c>
      <c r="F124" s="704" t="e">
        <f t="shared" si="51"/>
        <v>#N/A</v>
      </c>
      <c r="G124" s="704">
        <f t="shared" ca="1" si="55"/>
        <v>0</v>
      </c>
      <c r="H124" s="704" t="e">
        <f t="shared" ca="1" si="52"/>
        <v>#N/A</v>
      </c>
      <c r="I124" s="704" t="e">
        <f t="shared" ca="1" si="53"/>
        <v>#N/A</v>
      </c>
      <c r="K124" s="704"/>
      <c r="L124" s="704"/>
      <c r="M124" s="704"/>
      <c r="N124" s="704"/>
      <c r="O124" s="704"/>
      <c r="P124" s="704"/>
      <c r="Q124" s="704"/>
      <c r="R124" s="704"/>
      <c r="S124" s="704"/>
      <c r="T124" s="704"/>
      <c r="U124" s="704"/>
      <c r="V124" s="704"/>
      <c r="W124" s="704">
        <f t="shared" si="43"/>
        <v>0</v>
      </c>
      <c r="Y124" s="688">
        <f>IFERROR(VLOOKUP($A124,'[92]1月'!$A:$H,8,0),0)</f>
        <v>0</v>
      </c>
      <c r="Z124" s="688">
        <f>IFERROR(VLOOKUP($A124,'[92]2月'!$A:$H,8,0),0)</f>
        <v>0</v>
      </c>
      <c r="AA124" s="688">
        <f>IFERROR(VLOOKUP($A124,'[92]3月'!$A:$H,8,0),0)</f>
        <v>0</v>
      </c>
      <c r="AB124" s="688">
        <f>IFERROR(VLOOKUP($A124,'[92]4月'!$A:$H,8,0),0)</f>
        <v>0</v>
      </c>
      <c r="AC124" s="688">
        <f>IFERROR(VLOOKUP($A124,'[92]5月'!$A:$H,8,0),0)</f>
        <v>0</v>
      </c>
      <c r="AD124" s="688">
        <f>IFERROR(VLOOKUP($A124,'[92]6月'!$A:$H,8,0),0)</f>
        <v>0</v>
      </c>
      <c r="AE124" s="688">
        <f>IFERROR(VLOOKUP($A124,'[92]7月'!$A:$H,8,0),0)</f>
        <v>0</v>
      </c>
      <c r="AF124" s="688">
        <f>IFERROR(VLOOKUP($A124,'[92]8月'!$A:$H,8,0),0)</f>
        <v>0</v>
      </c>
      <c r="AG124" s="688">
        <f>IFERROR(VLOOKUP($A124,'[92]9月'!$A:$H,8,0),0)</f>
        <v>0</v>
      </c>
      <c r="AH124" s="688">
        <f>IFERROR(VLOOKUP($A124,'[92]10月'!$A:$H,8,0),0)</f>
        <v>0</v>
      </c>
      <c r="AI124" s="688">
        <f>IFERROR(VLOOKUP($A124,'[92]11月'!$A:$H,8,0),0)</f>
        <v>0</v>
      </c>
      <c r="AJ124" s="688">
        <f>IFERROR(VLOOKUP($A124,'[92]12月'!$A:$H,8,0),0)</f>
        <v>0</v>
      </c>
      <c r="AK124" s="688">
        <f t="shared" si="54"/>
        <v>0</v>
      </c>
    </row>
    <row r="125" spans="1:37" ht="11.1" customHeight="1">
      <c r="A125" s="653">
        <f>'Budget-合并'!A125</f>
        <v>0</v>
      </c>
      <c r="B125" s="653" t="str">
        <f>'Budget-合并'!B125</f>
        <v xml:space="preserve">    其他项目10</v>
      </c>
      <c r="C125" s="687" t="str">
        <f>'Budget-合并'!C125</f>
        <v xml:space="preserve">   Other project</v>
      </c>
      <c r="D125" s="704">
        <f t="shared" si="49"/>
        <v>0</v>
      </c>
      <c r="E125" s="704" t="e">
        <f t="shared" si="50"/>
        <v>#N/A</v>
      </c>
      <c r="F125" s="704" t="e">
        <f t="shared" si="51"/>
        <v>#N/A</v>
      </c>
      <c r="G125" s="704">
        <f t="shared" ca="1" si="55"/>
        <v>0</v>
      </c>
      <c r="H125" s="704" t="e">
        <f t="shared" ca="1" si="52"/>
        <v>#N/A</v>
      </c>
      <c r="I125" s="704" t="e">
        <f t="shared" ca="1" si="53"/>
        <v>#N/A</v>
      </c>
      <c r="K125" s="704"/>
      <c r="L125" s="704"/>
      <c r="M125" s="704"/>
      <c r="N125" s="704"/>
      <c r="O125" s="704"/>
      <c r="P125" s="704"/>
      <c r="Q125" s="704"/>
      <c r="R125" s="704"/>
      <c r="S125" s="704"/>
      <c r="T125" s="704"/>
      <c r="U125" s="704"/>
      <c r="V125" s="704"/>
      <c r="W125" s="704">
        <f t="shared" si="43"/>
        <v>0</v>
      </c>
      <c r="Y125" s="688">
        <f>IFERROR(VLOOKUP($A125,'[92]1月'!$A:$H,8,0),0)</f>
        <v>0</v>
      </c>
      <c r="Z125" s="688">
        <f>IFERROR(VLOOKUP($A125,'[92]2月'!$A:$H,8,0),0)</f>
        <v>0</v>
      </c>
      <c r="AA125" s="688">
        <f>IFERROR(VLOOKUP($A125,'[92]3月'!$A:$H,8,0),0)</f>
        <v>0</v>
      </c>
      <c r="AB125" s="688">
        <f>IFERROR(VLOOKUP($A125,'[92]4月'!$A:$H,8,0),0)</f>
        <v>0</v>
      </c>
      <c r="AC125" s="688">
        <f>IFERROR(VLOOKUP($A125,'[92]5月'!$A:$H,8,0),0)</f>
        <v>0</v>
      </c>
      <c r="AD125" s="688">
        <f>IFERROR(VLOOKUP($A125,'[92]6月'!$A:$H,8,0),0)</f>
        <v>0</v>
      </c>
      <c r="AE125" s="688">
        <f>IFERROR(VLOOKUP($A125,'[92]7月'!$A:$H,8,0),0)</f>
        <v>0</v>
      </c>
      <c r="AF125" s="688">
        <f>IFERROR(VLOOKUP($A125,'[92]8月'!$A:$H,8,0),0)</f>
        <v>0</v>
      </c>
      <c r="AG125" s="688">
        <f>IFERROR(VLOOKUP($A125,'[92]9月'!$A:$H,8,0),0)</f>
        <v>0</v>
      </c>
      <c r="AH125" s="688">
        <f>IFERROR(VLOOKUP($A125,'[92]10月'!$A:$H,8,0),0)</f>
        <v>0</v>
      </c>
      <c r="AI125" s="688">
        <f>IFERROR(VLOOKUP($A125,'[92]11月'!$A:$H,8,0),0)</f>
        <v>0</v>
      </c>
      <c r="AJ125" s="688">
        <f>IFERROR(VLOOKUP($A125,'[92]12月'!$A:$H,8,0),0)</f>
        <v>0</v>
      </c>
      <c r="AK125" s="688">
        <f t="shared" si="54"/>
        <v>0</v>
      </c>
    </row>
    <row r="126" spans="1:37" ht="11.1" customHeight="1">
      <c r="A126" s="653" t="str">
        <f>'Budget-合并'!A126</f>
        <v>6602.09.99</v>
      </c>
      <c r="B126" s="653" t="str">
        <f>'Budget-合并'!B126</f>
        <v>其他</v>
      </c>
      <c r="C126" s="687" t="str">
        <f>'Budget-合并'!C126</f>
        <v>Travel Other</v>
      </c>
      <c r="D126" s="704">
        <f t="shared" si="49"/>
        <v>741.6583333333333</v>
      </c>
      <c r="E126" s="704" t="e">
        <f t="shared" si="50"/>
        <v>#N/A</v>
      </c>
      <c r="F126" s="704" t="e">
        <f t="shared" si="51"/>
        <v>#N/A</v>
      </c>
      <c r="G126" s="704">
        <f t="shared" ca="1" si="55"/>
        <v>741.6583333333333</v>
      </c>
      <c r="H126" s="704" t="e">
        <f t="shared" ca="1" si="52"/>
        <v>#N/A</v>
      </c>
      <c r="I126" s="704" t="e">
        <f t="shared" ca="1" si="53"/>
        <v>#N/A</v>
      </c>
      <c r="K126" s="704">
        <f>SUMIFS('T&amp;E'!N$64:N$73,'T&amp;E'!$B$64:$B$73,$D$1,'T&amp;E'!$C$64:$C$73,$A$126)</f>
        <v>741.6583333333333</v>
      </c>
      <c r="L126" s="704">
        <f>SUMIFS('T&amp;E'!O$64:O$73,'T&amp;E'!$B$64:$B$73,$D$1,'T&amp;E'!$C$64:$C$73,$A$126)</f>
        <v>735.16666666666674</v>
      </c>
      <c r="M126" s="704">
        <f>SUMIFS('T&amp;E'!P$64:P$73,'T&amp;E'!$B$64:$B$73,$D$1,'T&amp;E'!$C$64:$C$73,$A$126)</f>
        <v>735.16666666666674</v>
      </c>
      <c r="N126" s="704">
        <f>SUMIFS('T&amp;E'!Q$64:Q$73,'T&amp;E'!$B$64:$B$73,$D$1,'T&amp;E'!$C$64:$C$73,$A$126)</f>
        <v>735.16666666666674</v>
      </c>
      <c r="O126" s="704">
        <f>SUMIFS('T&amp;E'!R$64:R$73,'T&amp;E'!$B$64:$B$73,$D$1,'T&amp;E'!$C$64:$C$73,$A$126)</f>
        <v>735.16666666666674</v>
      </c>
      <c r="P126" s="704">
        <f>SUMIFS('T&amp;E'!S$64:S$73,'T&amp;E'!$B$64:$B$73,$D$1,'T&amp;E'!$C$64:$C$73,$A$126)</f>
        <v>735.16666666666674</v>
      </c>
      <c r="Q126" s="704">
        <f>SUMIFS('T&amp;E'!T$64:T$73,'T&amp;E'!$B$64:$B$73,$D$1,'T&amp;E'!$C$64:$C$73,$A$126)</f>
        <v>735.16666666666674</v>
      </c>
      <c r="R126" s="704">
        <f>SUMIFS('T&amp;E'!U$64:U$73,'T&amp;E'!$B$64:$B$73,$D$1,'T&amp;E'!$C$64:$C$73,$A$126)</f>
        <v>735.16666666666674</v>
      </c>
      <c r="S126" s="704">
        <f>SUMIFS('T&amp;E'!V$64:V$73,'T&amp;E'!$B$64:$B$73,$D$1,'T&amp;E'!$C$64:$C$73,$A$126)</f>
        <v>735.16666666666674</v>
      </c>
      <c r="T126" s="704">
        <f>SUMIFS('T&amp;E'!W$64:W$73,'T&amp;E'!$B$64:$B$73,$D$1,'T&amp;E'!$C$64:$C$73,$A$126)</f>
        <v>735.16666666666674</v>
      </c>
      <c r="U126" s="704">
        <f>SUMIFS('T&amp;E'!X$64:X$73,'T&amp;E'!$B$64:$B$73,$D$1,'T&amp;E'!$C$64:$C$73,$A$126)</f>
        <v>735.16666666666674</v>
      </c>
      <c r="V126" s="704">
        <f>SUMIFS('T&amp;E'!Y$64:Y$73,'T&amp;E'!$B$64:$B$73,$D$1,'T&amp;E'!$C$64:$C$73,$A$126)</f>
        <v>735.16666666666674</v>
      </c>
      <c r="W126" s="704">
        <f t="shared" si="43"/>
        <v>8828.4916666666686</v>
      </c>
      <c r="Y126" s="688">
        <f>IFERROR(VLOOKUP($A126,'[92]1月'!$A:$H,8,0),0)</f>
        <v>0</v>
      </c>
      <c r="Z126" s="688">
        <f>IFERROR(VLOOKUP($A126,'[92]2月'!$A:$H,8,0),0)</f>
        <v>0</v>
      </c>
      <c r="AA126" s="688">
        <f>IFERROR(VLOOKUP($A126,'[92]3月'!$A:$H,8,0),0)</f>
        <v>0</v>
      </c>
      <c r="AB126" s="688">
        <f>IFERROR(VLOOKUP($A126,'[92]4月'!$A:$H,8,0),0)</f>
        <v>0</v>
      </c>
      <c r="AC126" s="688">
        <f>IFERROR(VLOOKUP($A126,'[92]5月'!$A:$H,8,0),0)</f>
        <v>0</v>
      </c>
      <c r="AD126" s="688">
        <f>IFERROR(VLOOKUP($A126,'[92]6月'!$A:$H,8,0),0)</f>
        <v>0</v>
      </c>
      <c r="AE126" s="688">
        <f>IFERROR(VLOOKUP($A126,'[92]7月'!$A:$H,8,0),0)</f>
        <v>14444.44</v>
      </c>
      <c r="AF126" s="688">
        <f>IFERROR(VLOOKUP($A126,'[92]8月'!$A:$H,8,0),0)</f>
        <v>3140.96</v>
      </c>
      <c r="AG126" s="688">
        <f>IFERROR(VLOOKUP($A126,'[92]9月'!$A:$H,8,0),0)</f>
        <v>2512.7800000000002</v>
      </c>
      <c r="AH126" s="688">
        <f>IFERROR(VLOOKUP($A126,'[92]10月'!$A:$H,8,0),0)</f>
        <v>-81846.009999999995</v>
      </c>
      <c r="AI126" s="688">
        <f>IFERROR(VLOOKUP($A126,'[92]11月'!$A:$H,8,0),0)</f>
        <v>0</v>
      </c>
      <c r="AJ126" s="688">
        <f>IFERROR(VLOOKUP($A126,'[92]12月'!$A:$H,8,0),0)</f>
        <v>9337.44</v>
      </c>
      <c r="AK126" s="688">
        <f t="shared" si="54"/>
        <v>-52410.389999999992</v>
      </c>
    </row>
    <row r="127" spans="1:37" ht="11.1" customHeight="1">
      <c r="A127" s="663" t="str">
        <f>'Budget-合并'!A127</f>
        <v>6602.10</v>
      </c>
      <c r="B127" s="663" t="str">
        <f>'Budget-合并'!B127</f>
        <v>折旧费</v>
      </c>
      <c r="C127" s="687">
        <f>'Budget-合并'!C127</f>
        <v>0</v>
      </c>
      <c r="D127" s="704">
        <f t="shared" si="49"/>
        <v>0</v>
      </c>
      <c r="E127" s="704" t="e">
        <f t="shared" si="50"/>
        <v>#N/A</v>
      </c>
      <c r="F127" s="704" t="e">
        <f t="shared" si="51"/>
        <v>#N/A</v>
      </c>
      <c r="G127" s="704">
        <f t="shared" ca="1" si="55"/>
        <v>0</v>
      </c>
      <c r="H127" s="704" t="e">
        <f t="shared" ca="1" si="52"/>
        <v>#N/A</v>
      </c>
      <c r="I127" s="704" t="e">
        <f t="shared" ca="1" si="53"/>
        <v>#N/A</v>
      </c>
      <c r="K127" s="704">
        <f t="shared" ref="K127:V127" si="60">SUM(K128:K131)</f>
        <v>0</v>
      </c>
      <c r="L127" s="704">
        <f t="shared" si="60"/>
        <v>0</v>
      </c>
      <c r="M127" s="704">
        <f t="shared" si="60"/>
        <v>0</v>
      </c>
      <c r="N127" s="704">
        <f t="shared" si="60"/>
        <v>0</v>
      </c>
      <c r="O127" s="704">
        <f t="shared" si="60"/>
        <v>0</v>
      </c>
      <c r="P127" s="704">
        <f t="shared" si="60"/>
        <v>0</v>
      </c>
      <c r="Q127" s="704">
        <f t="shared" si="60"/>
        <v>0</v>
      </c>
      <c r="R127" s="704">
        <f t="shared" si="60"/>
        <v>0</v>
      </c>
      <c r="S127" s="704">
        <f t="shared" si="60"/>
        <v>0</v>
      </c>
      <c r="T127" s="704">
        <f t="shared" si="60"/>
        <v>0</v>
      </c>
      <c r="U127" s="704">
        <f t="shared" si="60"/>
        <v>0</v>
      </c>
      <c r="V127" s="704">
        <f t="shared" si="60"/>
        <v>0</v>
      </c>
      <c r="W127" s="704">
        <f t="shared" si="43"/>
        <v>0</v>
      </c>
      <c r="Y127" s="688">
        <f>IFERROR(VLOOKUP($A127,'[92]1月'!$A:$H,8,0),0)</f>
        <v>0</v>
      </c>
      <c r="Z127" s="688">
        <f>IFERROR(VLOOKUP($A127,'[92]2月'!$A:$H,8,0),0)</f>
        <v>0</v>
      </c>
      <c r="AA127" s="688">
        <f>IFERROR(VLOOKUP($A127,'[92]3月'!$A:$H,8,0),0)</f>
        <v>0</v>
      </c>
      <c r="AB127" s="688">
        <f>IFERROR(VLOOKUP($A127,'[92]4月'!$A:$H,8,0),0)</f>
        <v>0</v>
      </c>
      <c r="AC127" s="688">
        <f>IFERROR(VLOOKUP($A127,'[92]5月'!$A:$H,8,0),0)</f>
        <v>0</v>
      </c>
      <c r="AD127" s="688">
        <f>IFERROR(VLOOKUP($A127,'[92]6月'!$A:$H,8,0),0)</f>
        <v>0</v>
      </c>
      <c r="AE127" s="688">
        <f>IFERROR(VLOOKUP($A127,'[92]7月'!$A:$H,8,0),0)</f>
        <v>0</v>
      </c>
      <c r="AF127" s="688">
        <f>IFERROR(VLOOKUP($A127,'[92]8月'!$A:$H,8,0),0)</f>
        <v>0</v>
      </c>
      <c r="AG127" s="688">
        <f>IFERROR(VLOOKUP($A127,'[92]9月'!$A:$H,8,0),0)</f>
        <v>0</v>
      </c>
      <c r="AH127" s="688">
        <f>IFERROR(VLOOKUP($A127,'[92]10月'!$A:$H,8,0),0)</f>
        <v>0</v>
      </c>
      <c r="AI127" s="688">
        <f>IFERROR(VLOOKUP($A127,'[92]11月'!$A:$H,8,0),0)</f>
        <v>0</v>
      </c>
      <c r="AJ127" s="688">
        <f>IFERROR(VLOOKUP($A127,'[92]12月'!$A:$H,8,0),0)</f>
        <v>0</v>
      </c>
      <c r="AK127" s="688">
        <f t="shared" si="54"/>
        <v>0</v>
      </c>
    </row>
    <row r="128" spans="1:37" ht="11.1" customHeight="1">
      <c r="A128" s="653" t="str">
        <f>'Budget-合并'!A128</f>
        <v>6602.10.01</v>
      </c>
      <c r="B128" s="653" t="str">
        <f>'Budget-合并'!B128</f>
        <v>电子设备</v>
      </c>
      <c r="C128" s="687" t="str">
        <f>'Budget-合并'!C128</f>
        <v>Dep Exp  Computer Equip</v>
      </c>
      <c r="D128" s="704">
        <f t="shared" si="49"/>
        <v>0</v>
      </c>
      <c r="E128" s="704" t="e">
        <f t="shared" si="50"/>
        <v>#N/A</v>
      </c>
      <c r="F128" s="704" t="e">
        <f t="shared" si="51"/>
        <v>#N/A</v>
      </c>
      <c r="G128" s="704">
        <f t="shared" ca="1" si="55"/>
        <v>0</v>
      </c>
      <c r="H128" s="704" t="e">
        <f t="shared" ca="1" si="52"/>
        <v>#N/A</v>
      </c>
      <c r="I128" s="704" t="e">
        <f t="shared" ca="1" si="53"/>
        <v>#N/A</v>
      </c>
      <c r="K128" s="704"/>
      <c r="L128" s="704"/>
      <c r="M128" s="704"/>
      <c r="N128" s="704"/>
      <c r="O128" s="704"/>
      <c r="P128" s="704"/>
      <c r="Q128" s="704"/>
      <c r="R128" s="704"/>
      <c r="S128" s="704"/>
      <c r="T128" s="704"/>
      <c r="U128" s="704"/>
      <c r="V128" s="704"/>
      <c r="W128" s="704">
        <f t="shared" si="43"/>
        <v>0</v>
      </c>
      <c r="Y128" s="688">
        <f>IFERROR(VLOOKUP($A128,'[92]1月'!$A:$H,8,0),0)</f>
        <v>0</v>
      </c>
      <c r="Z128" s="688">
        <f>IFERROR(VLOOKUP($A128,'[92]2月'!$A:$H,8,0),0)</f>
        <v>0</v>
      </c>
      <c r="AA128" s="688">
        <f>IFERROR(VLOOKUP($A128,'[92]3月'!$A:$H,8,0),0)</f>
        <v>0</v>
      </c>
      <c r="AB128" s="688">
        <f>IFERROR(VLOOKUP($A128,'[92]4月'!$A:$H,8,0),0)</f>
        <v>0</v>
      </c>
      <c r="AC128" s="688">
        <f>IFERROR(VLOOKUP($A128,'[92]5月'!$A:$H,8,0),0)</f>
        <v>0</v>
      </c>
      <c r="AD128" s="688">
        <f>IFERROR(VLOOKUP($A128,'[92]6月'!$A:$H,8,0),0)</f>
        <v>0</v>
      </c>
      <c r="AE128" s="688">
        <f>IFERROR(VLOOKUP($A128,'[92]7月'!$A:$H,8,0),0)</f>
        <v>0</v>
      </c>
      <c r="AF128" s="688">
        <f>IFERROR(VLOOKUP($A128,'[92]8月'!$A:$H,8,0),0)</f>
        <v>0</v>
      </c>
      <c r="AG128" s="688">
        <f>IFERROR(VLOOKUP($A128,'[92]9月'!$A:$H,8,0),0)</f>
        <v>0</v>
      </c>
      <c r="AH128" s="688">
        <f>IFERROR(VLOOKUP($A128,'[92]10月'!$A:$H,8,0),0)</f>
        <v>0</v>
      </c>
      <c r="AI128" s="688">
        <f>IFERROR(VLOOKUP($A128,'[92]11月'!$A:$H,8,0),0)</f>
        <v>0</v>
      </c>
      <c r="AJ128" s="688">
        <f>IFERROR(VLOOKUP($A128,'[92]12月'!$A:$H,8,0),0)</f>
        <v>0</v>
      </c>
      <c r="AK128" s="688">
        <f t="shared" si="54"/>
        <v>0</v>
      </c>
    </row>
    <row r="129" spans="1:37" ht="11.1" customHeight="1">
      <c r="A129" s="653" t="str">
        <f>'Budget-合并'!A129</f>
        <v>6602.10.02</v>
      </c>
      <c r="B129" s="653" t="str">
        <f>'Budget-合并'!B129</f>
        <v>房屋建筑物</v>
      </c>
      <c r="C129" s="687">
        <f>'Budget-合并'!C129</f>
        <v>0</v>
      </c>
      <c r="D129" s="704">
        <f t="shared" si="49"/>
        <v>0</v>
      </c>
      <c r="E129" s="704" t="e">
        <f t="shared" si="50"/>
        <v>#N/A</v>
      </c>
      <c r="F129" s="704" t="e">
        <f t="shared" si="51"/>
        <v>#N/A</v>
      </c>
      <c r="G129" s="704">
        <f t="shared" ca="1" si="55"/>
        <v>0</v>
      </c>
      <c r="H129" s="704" t="e">
        <f t="shared" ca="1" si="52"/>
        <v>#N/A</v>
      </c>
      <c r="I129" s="704" t="e">
        <f t="shared" ca="1" si="53"/>
        <v>#N/A</v>
      </c>
      <c r="K129" s="704"/>
      <c r="L129" s="704"/>
      <c r="M129" s="704"/>
      <c r="N129" s="704"/>
      <c r="O129" s="704"/>
      <c r="P129" s="704"/>
      <c r="Q129" s="704"/>
      <c r="R129" s="704"/>
      <c r="S129" s="704"/>
      <c r="T129" s="704"/>
      <c r="U129" s="704"/>
      <c r="V129" s="704"/>
      <c r="W129" s="704">
        <f t="shared" si="43"/>
        <v>0</v>
      </c>
      <c r="Y129" s="688">
        <f>IFERROR(VLOOKUP($A129,'[92]1月'!$A:$H,8,0),0)</f>
        <v>0</v>
      </c>
      <c r="Z129" s="688">
        <f>IFERROR(VLOOKUP($A129,'[92]2月'!$A:$H,8,0),0)</f>
        <v>0</v>
      </c>
      <c r="AA129" s="688">
        <f>IFERROR(VLOOKUP($A129,'[92]3月'!$A:$H,8,0),0)</f>
        <v>0</v>
      </c>
      <c r="AB129" s="688">
        <f>IFERROR(VLOOKUP($A129,'[92]4月'!$A:$H,8,0),0)</f>
        <v>0</v>
      </c>
      <c r="AC129" s="688">
        <f>IFERROR(VLOOKUP($A129,'[92]5月'!$A:$H,8,0),0)</f>
        <v>0</v>
      </c>
      <c r="AD129" s="688">
        <f>IFERROR(VLOOKUP($A129,'[92]6月'!$A:$H,8,0),0)</f>
        <v>0</v>
      </c>
      <c r="AE129" s="688">
        <f>IFERROR(VLOOKUP($A129,'[92]7月'!$A:$H,8,0),0)</f>
        <v>0</v>
      </c>
      <c r="AF129" s="688">
        <f>IFERROR(VLOOKUP($A129,'[92]8月'!$A:$H,8,0),0)</f>
        <v>0</v>
      </c>
      <c r="AG129" s="688">
        <f>IFERROR(VLOOKUP($A129,'[92]9月'!$A:$H,8,0),0)</f>
        <v>0</v>
      </c>
      <c r="AH129" s="688">
        <f>IFERROR(VLOOKUP($A129,'[92]10月'!$A:$H,8,0),0)</f>
        <v>0</v>
      </c>
      <c r="AI129" s="688">
        <f>IFERROR(VLOOKUP($A129,'[92]11月'!$A:$H,8,0),0)</f>
        <v>0</v>
      </c>
      <c r="AJ129" s="688">
        <f>IFERROR(VLOOKUP($A129,'[92]12月'!$A:$H,8,0),0)</f>
        <v>0</v>
      </c>
      <c r="AK129" s="688">
        <f t="shared" si="54"/>
        <v>0</v>
      </c>
    </row>
    <row r="130" spans="1:37" ht="11.1" customHeight="1">
      <c r="A130" s="653" t="str">
        <f>'Budget-合并'!A130</f>
        <v>6602.10.03</v>
      </c>
      <c r="B130" s="653" t="str">
        <f>'Budget-合并'!B130</f>
        <v>机器设备</v>
      </c>
      <c r="C130" s="687">
        <f>'Budget-合并'!C130</f>
        <v>0</v>
      </c>
      <c r="D130" s="704">
        <f t="shared" si="49"/>
        <v>0</v>
      </c>
      <c r="E130" s="704" t="e">
        <f t="shared" si="50"/>
        <v>#N/A</v>
      </c>
      <c r="F130" s="704" t="e">
        <f t="shared" si="51"/>
        <v>#N/A</v>
      </c>
      <c r="G130" s="704">
        <f t="shared" ca="1" si="55"/>
        <v>0</v>
      </c>
      <c r="H130" s="704" t="e">
        <f t="shared" ca="1" si="52"/>
        <v>#N/A</v>
      </c>
      <c r="I130" s="704" t="e">
        <f t="shared" ca="1" si="53"/>
        <v>#N/A</v>
      </c>
      <c r="K130" s="704"/>
      <c r="L130" s="704"/>
      <c r="M130" s="704"/>
      <c r="N130" s="704"/>
      <c r="O130" s="704"/>
      <c r="P130" s="704"/>
      <c r="Q130" s="704"/>
      <c r="R130" s="704"/>
      <c r="S130" s="704"/>
      <c r="T130" s="704"/>
      <c r="U130" s="704"/>
      <c r="V130" s="704"/>
      <c r="W130" s="704">
        <f t="shared" si="43"/>
        <v>0</v>
      </c>
      <c r="Y130" s="688">
        <f>IFERROR(VLOOKUP($A130,'[92]1月'!$A:$H,8,0),0)</f>
        <v>0</v>
      </c>
      <c r="Z130" s="688">
        <f>IFERROR(VLOOKUP($A130,'[92]2月'!$A:$H,8,0),0)</f>
        <v>0</v>
      </c>
      <c r="AA130" s="688">
        <f>IFERROR(VLOOKUP($A130,'[92]3月'!$A:$H,8,0),0)</f>
        <v>0</v>
      </c>
      <c r="AB130" s="688">
        <f>IFERROR(VLOOKUP($A130,'[92]4月'!$A:$H,8,0),0)</f>
        <v>0</v>
      </c>
      <c r="AC130" s="688">
        <f>IFERROR(VLOOKUP($A130,'[92]5月'!$A:$H,8,0),0)</f>
        <v>0</v>
      </c>
      <c r="AD130" s="688">
        <f>IFERROR(VLOOKUP($A130,'[92]6月'!$A:$H,8,0),0)</f>
        <v>0</v>
      </c>
      <c r="AE130" s="688">
        <f>IFERROR(VLOOKUP($A130,'[92]7月'!$A:$H,8,0),0)</f>
        <v>0</v>
      </c>
      <c r="AF130" s="688">
        <f>IFERROR(VLOOKUP($A130,'[92]8月'!$A:$H,8,0),0)</f>
        <v>0</v>
      </c>
      <c r="AG130" s="688">
        <f>IFERROR(VLOOKUP($A130,'[92]9月'!$A:$H,8,0),0)</f>
        <v>0</v>
      </c>
      <c r="AH130" s="688">
        <f>IFERROR(VLOOKUP($A130,'[92]10月'!$A:$H,8,0),0)</f>
        <v>0</v>
      </c>
      <c r="AI130" s="688">
        <f>IFERROR(VLOOKUP($A130,'[92]11月'!$A:$H,8,0),0)</f>
        <v>0</v>
      </c>
      <c r="AJ130" s="688">
        <f>IFERROR(VLOOKUP($A130,'[92]12月'!$A:$H,8,0),0)</f>
        <v>0</v>
      </c>
      <c r="AK130" s="688">
        <f t="shared" si="54"/>
        <v>0</v>
      </c>
    </row>
    <row r="131" spans="1:37" ht="11.1" customHeight="1">
      <c r="A131" s="653" t="str">
        <f>'Budget-合并'!A131</f>
        <v>6602.10.04</v>
      </c>
      <c r="B131" s="653" t="str">
        <f>'Budget-合并'!B131</f>
        <v>家具设备</v>
      </c>
      <c r="C131" s="687" t="str">
        <f>'Budget-合并'!C131</f>
        <v xml:space="preserve">Dep Exp - Other EQ &amp; Furn </v>
      </c>
      <c r="D131" s="704">
        <f t="shared" si="49"/>
        <v>0</v>
      </c>
      <c r="E131" s="704" t="e">
        <f t="shared" si="50"/>
        <v>#N/A</v>
      </c>
      <c r="F131" s="704" t="e">
        <f t="shared" si="51"/>
        <v>#N/A</v>
      </c>
      <c r="G131" s="704">
        <f t="shared" ca="1" si="55"/>
        <v>0</v>
      </c>
      <c r="H131" s="704" t="e">
        <f t="shared" ca="1" si="52"/>
        <v>#N/A</v>
      </c>
      <c r="I131" s="704" t="e">
        <f t="shared" ca="1" si="53"/>
        <v>#N/A</v>
      </c>
      <c r="K131" s="704"/>
      <c r="L131" s="704"/>
      <c r="M131" s="704"/>
      <c r="N131" s="704"/>
      <c r="O131" s="704"/>
      <c r="P131" s="704"/>
      <c r="Q131" s="704"/>
      <c r="R131" s="704"/>
      <c r="S131" s="704"/>
      <c r="T131" s="704"/>
      <c r="U131" s="704"/>
      <c r="V131" s="704"/>
      <c r="W131" s="704">
        <f t="shared" si="43"/>
        <v>0</v>
      </c>
      <c r="Y131" s="688">
        <f>IFERROR(VLOOKUP($A131,'[92]1月'!$A:$H,8,0),0)</f>
        <v>0</v>
      </c>
      <c r="Z131" s="688">
        <f>IFERROR(VLOOKUP($A131,'[92]2月'!$A:$H,8,0),0)</f>
        <v>0</v>
      </c>
      <c r="AA131" s="688">
        <f>IFERROR(VLOOKUP($A131,'[92]3月'!$A:$H,8,0),0)</f>
        <v>0</v>
      </c>
      <c r="AB131" s="688">
        <f>IFERROR(VLOOKUP($A131,'[92]4月'!$A:$H,8,0),0)</f>
        <v>0</v>
      </c>
      <c r="AC131" s="688">
        <f>IFERROR(VLOOKUP($A131,'[92]5月'!$A:$H,8,0),0)</f>
        <v>0</v>
      </c>
      <c r="AD131" s="688">
        <f>IFERROR(VLOOKUP($A131,'[92]6月'!$A:$H,8,0),0)</f>
        <v>0</v>
      </c>
      <c r="AE131" s="688">
        <f>IFERROR(VLOOKUP($A131,'[92]7月'!$A:$H,8,0),0)</f>
        <v>0</v>
      </c>
      <c r="AF131" s="688">
        <f>IFERROR(VLOOKUP($A131,'[92]8月'!$A:$H,8,0),0)</f>
        <v>0</v>
      </c>
      <c r="AG131" s="688">
        <f>IFERROR(VLOOKUP($A131,'[92]9月'!$A:$H,8,0),0)</f>
        <v>0</v>
      </c>
      <c r="AH131" s="688">
        <f>IFERROR(VLOOKUP($A131,'[92]10月'!$A:$H,8,0),0)</f>
        <v>0</v>
      </c>
      <c r="AI131" s="688">
        <f>IFERROR(VLOOKUP($A131,'[92]11月'!$A:$H,8,0),0)</f>
        <v>0</v>
      </c>
      <c r="AJ131" s="688">
        <f>IFERROR(VLOOKUP($A131,'[92]12月'!$A:$H,8,0),0)</f>
        <v>0</v>
      </c>
      <c r="AK131" s="688">
        <f t="shared" si="54"/>
        <v>0</v>
      </c>
    </row>
    <row r="132" spans="1:37" ht="11.1" customHeight="1">
      <c r="A132" s="663" t="str">
        <f>'Budget-合并'!A132</f>
        <v>6602.12</v>
      </c>
      <c r="B132" s="663" t="str">
        <f>'Budget-合并'!B132</f>
        <v>使用权资产折旧</v>
      </c>
      <c r="C132" s="687" t="str">
        <f>'Budget-合并'!C132</f>
        <v>Dep Exp - Right of Use Asset</v>
      </c>
      <c r="D132" s="704">
        <f t="shared" si="49"/>
        <v>71794.122715400008</v>
      </c>
      <c r="E132" s="704" t="e">
        <f t="shared" si="50"/>
        <v>#N/A</v>
      </c>
      <c r="F132" s="704" t="e">
        <f t="shared" si="51"/>
        <v>#N/A</v>
      </c>
      <c r="G132" s="704">
        <f t="shared" ca="1" si="55"/>
        <v>71794.122715400008</v>
      </c>
      <c r="H132" s="704" t="e">
        <f t="shared" ca="1" si="52"/>
        <v>#N/A</v>
      </c>
      <c r="I132" s="704" t="e">
        <f t="shared" ca="1" si="53"/>
        <v>#N/A</v>
      </c>
      <c r="K132" s="704">
        <f>SUM(K133,K134,K137)</f>
        <v>71794.122715400008</v>
      </c>
      <c r="L132" s="704">
        <f t="shared" ref="L132:V132" si="61">SUM(L133,L134,L137)</f>
        <v>71165.715412000005</v>
      </c>
      <c r="M132" s="704">
        <f t="shared" si="61"/>
        <v>71165.715412000005</v>
      </c>
      <c r="N132" s="704">
        <f t="shared" si="61"/>
        <v>71165.715412000005</v>
      </c>
      <c r="O132" s="704">
        <f t="shared" si="61"/>
        <v>71165.715412000005</v>
      </c>
      <c r="P132" s="704">
        <f t="shared" si="61"/>
        <v>71165.715412000005</v>
      </c>
      <c r="Q132" s="704">
        <f t="shared" si="61"/>
        <v>71165.715412000005</v>
      </c>
      <c r="R132" s="704">
        <f t="shared" si="61"/>
        <v>71165.715412000005</v>
      </c>
      <c r="S132" s="704">
        <f t="shared" si="61"/>
        <v>71165.715412000005</v>
      </c>
      <c r="T132" s="704">
        <f t="shared" si="61"/>
        <v>71165.715412000005</v>
      </c>
      <c r="U132" s="704">
        <f t="shared" si="61"/>
        <v>71165.715412000005</v>
      </c>
      <c r="V132" s="704">
        <f t="shared" si="61"/>
        <v>71165.715412000005</v>
      </c>
      <c r="W132" s="704">
        <f t="shared" si="43"/>
        <v>854616.99224739999</v>
      </c>
      <c r="Y132" s="688">
        <f>IFERROR(VLOOKUP($A132,'[92]1月'!$A:$H,8,0),0)</f>
        <v>80668.460000000006</v>
      </c>
      <c r="Z132" s="688">
        <f>IFERROR(VLOOKUP($A132,'[92]2月'!$A:$H,8,0),0)</f>
        <v>80668.460000000006</v>
      </c>
      <c r="AA132" s="688">
        <f>IFERROR(VLOOKUP($A132,'[92]3月'!$A:$H,8,0),0)</f>
        <v>80668.460000000006</v>
      </c>
      <c r="AB132" s="688">
        <f>IFERROR(VLOOKUP($A132,'[92]4月'!$A:$H,8,0),0)</f>
        <v>80668.460000000006</v>
      </c>
      <c r="AC132" s="688">
        <f>IFERROR(VLOOKUP($A132,'[92]5月'!$A:$H,8,0),0)</f>
        <v>80668.460000000006</v>
      </c>
      <c r="AD132" s="688">
        <f>IFERROR(VLOOKUP($A132,'[92]6月'!$A:$H,8,0),0)</f>
        <v>80668.460000000006</v>
      </c>
      <c r="AE132" s="688">
        <f>IFERROR(VLOOKUP($A132,'[92]7月'!$A:$H,8,0),0)</f>
        <v>80668.460000000006</v>
      </c>
      <c r="AF132" s="688">
        <f>IFERROR(VLOOKUP($A132,'[92]8月'!$A:$H,8,0),0)</f>
        <v>80668.460000000006</v>
      </c>
      <c r="AG132" s="688">
        <f>IFERROR(VLOOKUP($A132,'[92]9月'!$A:$H,8,0),0)</f>
        <v>80668.460000000006</v>
      </c>
      <c r="AH132" s="688">
        <f>IFERROR(VLOOKUP($A132,'[92]10月'!$A:$H,8,0),0)</f>
        <v>80668.460000000006</v>
      </c>
      <c r="AI132" s="688">
        <f>IFERROR(VLOOKUP($A132,'[92]11月'!$A:$H,8,0),0)</f>
        <v>80668.460000000006</v>
      </c>
      <c r="AJ132" s="688">
        <f>IFERROR(VLOOKUP($A132,'[92]12月'!$A:$H,8,0),0)</f>
        <v>80668.460000000006</v>
      </c>
      <c r="AK132" s="688">
        <f t="shared" si="54"/>
        <v>968021.5199999999</v>
      </c>
    </row>
    <row r="133" spans="1:37" ht="11.1" customHeight="1">
      <c r="A133" s="653" t="str">
        <f>'Budget-合并'!A133</f>
        <v>6602.12.01</v>
      </c>
      <c r="B133" s="653" t="str">
        <f>'Budget-合并'!B133</f>
        <v>打印机租赁</v>
      </c>
      <c r="C133" s="687">
        <f>'Budget-合并'!C133</f>
        <v>0</v>
      </c>
      <c r="D133" s="704">
        <f t="shared" si="49"/>
        <v>0</v>
      </c>
      <c r="E133" s="704" t="e">
        <f t="shared" si="50"/>
        <v>#N/A</v>
      </c>
      <c r="F133" s="704" t="e">
        <f t="shared" si="51"/>
        <v>#N/A</v>
      </c>
      <c r="G133" s="704">
        <f t="shared" ca="1" si="55"/>
        <v>0</v>
      </c>
      <c r="H133" s="704" t="e">
        <f t="shared" ca="1" si="52"/>
        <v>#N/A</v>
      </c>
      <c r="I133" s="704" t="e">
        <f t="shared" ca="1" si="53"/>
        <v>#N/A</v>
      </c>
      <c r="K133" s="704"/>
      <c r="L133" s="704"/>
      <c r="M133" s="704"/>
      <c r="N133" s="704"/>
      <c r="O133" s="704"/>
      <c r="P133" s="704"/>
      <c r="Q133" s="704"/>
      <c r="R133" s="704"/>
      <c r="S133" s="704"/>
      <c r="T133" s="704"/>
      <c r="U133" s="704"/>
      <c r="V133" s="704"/>
      <c r="W133" s="704">
        <f t="shared" si="43"/>
        <v>0</v>
      </c>
      <c r="Y133" s="688">
        <f>IFERROR(VLOOKUP($A133,'[92]1月'!$A:$H,8,0),0)</f>
        <v>0</v>
      </c>
      <c r="Z133" s="688">
        <f>IFERROR(VLOOKUP($A133,'[92]2月'!$A:$H,8,0),0)</f>
        <v>0</v>
      </c>
      <c r="AA133" s="688">
        <f>IFERROR(VLOOKUP($A133,'[92]3月'!$A:$H,8,0),0)</f>
        <v>0</v>
      </c>
      <c r="AB133" s="688">
        <f>IFERROR(VLOOKUP($A133,'[92]4月'!$A:$H,8,0),0)</f>
        <v>0</v>
      </c>
      <c r="AC133" s="688">
        <f>IFERROR(VLOOKUP($A133,'[92]5月'!$A:$H,8,0),0)</f>
        <v>0</v>
      </c>
      <c r="AD133" s="688">
        <f>IFERROR(VLOOKUP($A133,'[92]6月'!$A:$H,8,0),0)</f>
        <v>0</v>
      </c>
      <c r="AE133" s="688">
        <f>IFERROR(VLOOKUP($A133,'[92]7月'!$A:$H,8,0),0)</f>
        <v>0</v>
      </c>
      <c r="AF133" s="688">
        <f>IFERROR(VLOOKUP($A133,'[92]8月'!$A:$H,8,0),0)</f>
        <v>0</v>
      </c>
      <c r="AG133" s="688">
        <f>IFERROR(VLOOKUP($A133,'[92]9月'!$A:$H,8,0),0)</f>
        <v>0</v>
      </c>
      <c r="AH133" s="688">
        <f>IFERROR(VLOOKUP($A133,'[92]10月'!$A:$H,8,0),0)</f>
        <v>0</v>
      </c>
      <c r="AI133" s="688">
        <f>IFERROR(VLOOKUP($A133,'[92]11月'!$A:$H,8,0),0)</f>
        <v>0</v>
      </c>
      <c r="AJ133" s="688">
        <f>IFERROR(VLOOKUP($A133,'[92]12月'!$A:$H,8,0),0)</f>
        <v>0</v>
      </c>
      <c r="AK133" s="688">
        <f t="shared" si="54"/>
        <v>0</v>
      </c>
    </row>
    <row r="134" spans="1:37" ht="11.1" customHeight="1">
      <c r="A134" s="653" t="str">
        <f>'Budget-合并'!A134</f>
        <v>6602.12.02</v>
      </c>
      <c r="B134" s="705" t="str">
        <f>'Budget-合并'!B134</f>
        <v>办公地址</v>
      </c>
      <c r="C134" s="687">
        <f>'Budget-合并'!C134</f>
        <v>0</v>
      </c>
      <c r="D134" s="704">
        <f t="shared" si="49"/>
        <v>71794.122715400008</v>
      </c>
      <c r="E134" s="704" t="e">
        <f t="shared" si="50"/>
        <v>#N/A</v>
      </c>
      <c r="F134" s="704" t="e">
        <f t="shared" si="51"/>
        <v>#N/A</v>
      </c>
      <c r="G134" s="704">
        <f t="shared" ca="1" si="55"/>
        <v>71794.122715400008</v>
      </c>
      <c r="H134" s="704" t="e">
        <f t="shared" ca="1" si="52"/>
        <v>#N/A</v>
      </c>
      <c r="I134" s="704" t="e">
        <f t="shared" ca="1" si="53"/>
        <v>#N/A</v>
      </c>
      <c r="K134" s="704">
        <f t="shared" ref="K134:V134" si="62">SUM(K135:K136)</f>
        <v>71794.122715400008</v>
      </c>
      <c r="L134" s="704">
        <f t="shared" si="62"/>
        <v>71165.715412000005</v>
      </c>
      <c r="M134" s="704">
        <f t="shared" si="62"/>
        <v>71165.715412000005</v>
      </c>
      <c r="N134" s="704">
        <f t="shared" si="62"/>
        <v>71165.715412000005</v>
      </c>
      <c r="O134" s="704">
        <f t="shared" si="62"/>
        <v>71165.715412000005</v>
      </c>
      <c r="P134" s="704">
        <f t="shared" si="62"/>
        <v>71165.715412000005</v>
      </c>
      <c r="Q134" s="704">
        <f t="shared" si="62"/>
        <v>71165.715412000005</v>
      </c>
      <c r="R134" s="704">
        <f t="shared" si="62"/>
        <v>71165.715412000005</v>
      </c>
      <c r="S134" s="704">
        <f t="shared" si="62"/>
        <v>71165.715412000005</v>
      </c>
      <c r="T134" s="704">
        <f t="shared" si="62"/>
        <v>71165.715412000005</v>
      </c>
      <c r="U134" s="704">
        <f t="shared" si="62"/>
        <v>71165.715412000005</v>
      </c>
      <c r="V134" s="704">
        <f t="shared" si="62"/>
        <v>71165.715412000005</v>
      </c>
      <c r="W134" s="704">
        <f t="shared" si="43"/>
        <v>854616.99224739999</v>
      </c>
      <c r="Y134" s="688">
        <f>IFERROR(VLOOKUP($A134,'[92]1月'!$A:$H,8,0),0)</f>
        <v>80668.460000000006</v>
      </c>
      <c r="Z134" s="688">
        <f>IFERROR(VLOOKUP($A134,'[92]2月'!$A:$H,8,0),0)</f>
        <v>80668.460000000006</v>
      </c>
      <c r="AA134" s="688">
        <f>IFERROR(VLOOKUP($A134,'[92]3月'!$A:$H,8,0),0)</f>
        <v>80668.460000000006</v>
      </c>
      <c r="AB134" s="688">
        <f>IFERROR(VLOOKUP($A134,'[92]4月'!$A:$H,8,0),0)</f>
        <v>80668.460000000006</v>
      </c>
      <c r="AC134" s="688">
        <f>IFERROR(VLOOKUP($A134,'[92]5月'!$A:$H,8,0),0)</f>
        <v>80668.460000000006</v>
      </c>
      <c r="AD134" s="688">
        <f>IFERROR(VLOOKUP($A134,'[92]6月'!$A:$H,8,0),0)</f>
        <v>80668.460000000006</v>
      </c>
      <c r="AE134" s="688">
        <f>IFERROR(VLOOKUP($A134,'[92]7月'!$A:$H,8,0),0)</f>
        <v>80668.460000000006</v>
      </c>
      <c r="AF134" s="688">
        <f>IFERROR(VLOOKUP($A134,'[92]8月'!$A:$H,8,0),0)</f>
        <v>80668.460000000006</v>
      </c>
      <c r="AG134" s="688">
        <f>IFERROR(VLOOKUP($A134,'[92]9月'!$A:$H,8,0),0)</f>
        <v>80668.460000000006</v>
      </c>
      <c r="AH134" s="688">
        <f>IFERROR(VLOOKUP($A134,'[92]10月'!$A:$H,8,0),0)</f>
        <v>80668.460000000006</v>
      </c>
      <c r="AI134" s="688">
        <f>IFERROR(VLOOKUP($A134,'[92]11月'!$A:$H,8,0),0)</f>
        <v>80668.460000000006</v>
      </c>
      <c r="AJ134" s="688">
        <f>IFERROR(VLOOKUP($A134,'[92]12月'!$A:$H,8,0),0)</f>
        <v>80668.460000000006</v>
      </c>
      <c r="AK134" s="688">
        <f t="shared" si="54"/>
        <v>968021.5199999999</v>
      </c>
    </row>
    <row r="135" spans="1:37" ht="11.1" customHeight="1">
      <c r="A135" s="653" t="str">
        <f>'Budget-合并'!A135</f>
        <v>6602.12.02.01</v>
      </c>
      <c r="B135" s="653" t="str">
        <f>'Budget-合并'!B135</f>
        <v>旭智咨询--鼎和大厦1606</v>
      </c>
      <c r="C135" s="687">
        <f>'Budget-合并'!C135</f>
        <v>0</v>
      </c>
      <c r="D135" s="704">
        <f t="shared" si="49"/>
        <v>0</v>
      </c>
      <c r="E135" s="704" t="e">
        <f t="shared" si="50"/>
        <v>#N/A</v>
      </c>
      <c r="F135" s="704" t="e">
        <f t="shared" si="51"/>
        <v>#N/A</v>
      </c>
      <c r="G135" s="704">
        <f t="shared" ca="1" si="55"/>
        <v>0</v>
      </c>
      <c r="H135" s="704" t="e">
        <f t="shared" ca="1" si="52"/>
        <v>#N/A</v>
      </c>
      <c r="I135" s="704" t="e">
        <f t="shared" ca="1" si="53"/>
        <v>#N/A</v>
      </c>
      <c r="K135" s="704"/>
      <c r="L135" s="704"/>
      <c r="M135" s="704"/>
      <c r="N135" s="704"/>
      <c r="O135" s="704"/>
      <c r="P135" s="704"/>
      <c r="Q135" s="704"/>
      <c r="R135" s="704"/>
      <c r="S135" s="704"/>
      <c r="T135" s="704"/>
      <c r="U135" s="704"/>
      <c r="V135" s="704"/>
      <c r="W135" s="704">
        <f t="shared" si="43"/>
        <v>0</v>
      </c>
      <c r="Y135" s="688">
        <f>IFERROR(VLOOKUP($A135,'[92]1月'!$A:$H,8,0),0)</f>
        <v>0</v>
      </c>
      <c r="Z135" s="688">
        <f>IFERROR(VLOOKUP($A135,'[92]2月'!$A:$H,8,0),0)</f>
        <v>0</v>
      </c>
      <c r="AA135" s="688">
        <f>IFERROR(VLOOKUP($A135,'[92]3月'!$A:$H,8,0),0)</f>
        <v>0</v>
      </c>
      <c r="AB135" s="688">
        <f>IFERROR(VLOOKUP($A135,'[92]4月'!$A:$H,8,0),0)</f>
        <v>0</v>
      </c>
      <c r="AC135" s="688">
        <f>IFERROR(VLOOKUP($A135,'[92]5月'!$A:$H,8,0),0)</f>
        <v>0</v>
      </c>
      <c r="AD135" s="688">
        <f>IFERROR(VLOOKUP($A135,'[92]6月'!$A:$H,8,0),0)</f>
        <v>0</v>
      </c>
      <c r="AE135" s="688">
        <f>IFERROR(VLOOKUP($A135,'[92]7月'!$A:$H,8,0),0)</f>
        <v>0</v>
      </c>
      <c r="AF135" s="688">
        <f>IFERROR(VLOOKUP($A135,'[92]8月'!$A:$H,8,0),0)</f>
        <v>0</v>
      </c>
      <c r="AG135" s="688">
        <f>IFERROR(VLOOKUP($A135,'[92]9月'!$A:$H,8,0),0)</f>
        <v>0</v>
      </c>
      <c r="AH135" s="688">
        <f>IFERROR(VLOOKUP($A135,'[92]10月'!$A:$H,8,0),0)</f>
        <v>0</v>
      </c>
      <c r="AI135" s="688">
        <f>IFERROR(VLOOKUP($A135,'[92]11月'!$A:$H,8,0),0)</f>
        <v>0</v>
      </c>
      <c r="AJ135" s="688">
        <f>IFERROR(VLOOKUP($A135,'[92]12月'!$A:$H,8,0),0)</f>
        <v>0</v>
      </c>
      <c r="AK135" s="688">
        <f t="shared" si="54"/>
        <v>0</v>
      </c>
    </row>
    <row r="136" spans="1:37" ht="11.1" customHeight="1">
      <c r="A136" s="653" t="str">
        <f>'Budget-合并'!A136</f>
        <v>6602.12.02.02</v>
      </c>
      <c r="B136" s="653" t="str">
        <f>'Budget-合并'!B136</f>
        <v>旭智资本（香港）--冯氏大厦</v>
      </c>
      <c r="C136" s="687">
        <f>'Budget-合并'!C136</f>
        <v>0</v>
      </c>
      <c r="D136" s="704">
        <f t="shared" si="49"/>
        <v>71794.122715400008</v>
      </c>
      <c r="E136" s="704" t="e">
        <f t="shared" si="50"/>
        <v>#N/A</v>
      </c>
      <c r="F136" s="704" t="e">
        <f t="shared" si="51"/>
        <v>#N/A</v>
      </c>
      <c r="G136" s="704">
        <f t="shared" ca="1" si="55"/>
        <v>71794.122715400008</v>
      </c>
      <c r="H136" s="704" t="e">
        <f t="shared" ca="1" si="52"/>
        <v>#N/A</v>
      </c>
      <c r="I136" s="704" t="e">
        <f t="shared" ca="1" si="53"/>
        <v>#N/A</v>
      </c>
      <c r="K136" s="704">
        <f>80668.46*HLOOKUP(K$6,'FX Lookup'!$A$2:$Y$5,3,FALSE)</f>
        <v>71794.122715400008</v>
      </c>
      <c r="L136" s="704">
        <f>80668.46*HLOOKUP(L$6,'FX Lookup'!$A$2:$Y$5,3,FALSE)</f>
        <v>71165.715412000005</v>
      </c>
      <c r="M136" s="704">
        <f>80668.46*HLOOKUP(M$6,'FX Lookup'!$A$2:$Y$5,3,FALSE)</f>
        <v>71165.715412000005</v>
      </c>
      <c r="N136" s="704">
        <f>80668.46*HLOOKUP(N$6,'FX Lookup'!$A$2:$Y$5,3,FALSE)</f>
        <v>71165.715412000005</v>
      </c>
      <c r="O136" s="704">
        <f>80668.46*HLOOKUP(O$6,'FX Lookup'!$A$2:$Y$5,3,FALSE)</f>
        <v>71165.715412000005</v>
      </c>
      <c r="P136" s="704">
        <f>80668.46*HLOOKUP(P$6,'FX Lookup'!$A$2:$Y$5,3,FALSE)</f>
        <v>71165.715412000005</v>
      </c>
      <c r="Q136" s="704">
        <f>80668.46*HLOOKUP(Q$6,'FX Lookup'!$A$2:$Y$5,3,FALSE)</f>
        <v>71165.715412000005</v>
      </c>
      <c r="R136" s="704">
        <f>80668.46*HLOOKUP(R$6,'FX Lookup'!$A$2:$Y$5,3,FALSE)</f>
        <v>71165.715412000005</v>
      </c>
      <c r="S136" s="704">
        <f>80668.46*HLOOKUP(S$6,'FX Lookup'!$A$2:$Y$5,3,FALSE)</f>
        <v>71165.715412000005</v>
      </c>
      <c r="T136" s="704">
        <f>80668.46*HLOOKUP(T$6,'FX Lookup'!$A$2:$Y$5,3,FALSE)</f>
        <v>71165.715412000005</v>
      </c>
      <c r="U136" s="704">
        <f>80668.46*HLOOKUP(U$6,'FX Lookup'!$A$2:$Y$5,3,FALSE)</f>
        <v>71165.715412000005</v>
      </c>
      <c r="V136" s="704">
        <f>80668.46*HLOOKUP(V$6,'FX Lookup'!$A$2:$Y$5,3,FALSE)</f>
        <v>71165.715412000005</v>
      </c>
      <c r="W136" s="704">
        <f t="shared" si="43"/>
        <v>854616.99224739999</v>
      </c>
      <c r="X136" s="652" t="s">
        <v>2548</v>
      </c>
      <c r="Y136" s="688">
        <f>IFERROR(VLOOKUP($A136,'[92]1月'!$A:$H,8,0),0)</f>
        <v>80668.460000000006</v>
      </c>
      <c r="Z136" s="688">
        <f>IFERROR(VLOOKUP($A136,'[92]2月'!$A:$H,8,0),0)</f>
        <v>80668.460000000006</v>
      </c>
      <c r="AA136" s="688">
        <f>IFERROR(VLOOKUP($A136,'[92]3月'!$A:$H,8,0),0)</f>
        <v>80668.460000000006</v>
      </c>
      <c r="AB136" s="688">
        <f>IFERROR(VLOOKUP($A136,'[92]4月'!$A:$H,8,0),0)</f>
        <v>80668.460000000006</v>
      </c>
      <c r="AC136" s="688">
        <f>IFERROR(VLOOKUP($A136,'[92]5月'!$A:$H,8,0),0)</f>
        <v>80668.460000000006</v>
      </c>
      <c r="AD136" s="688">
        <f>IFERROR(VLOOKUP($A136,'[92]6月'!$A:$H,8,0),0)</f>
        <v>80668.460000000006</v>
      </c>
      <c r="AE136" s="688">
        <f>IFERROR(VLOOKUP($A136,'[92]7月'!$A:$H,8,0),0)</f>
        <v>80668.460000000006</v>
      </c>
      <c r="AF136" s="688">
        <f>IFERROR(VLOOKUP($A136,'[92]8月'!$A:$H,8,0),0)</f>
        <v>80668.460000000006</v>
      </c>
      <c r="AG136" s="688">
        <f>IFERROR(VLOOKUP($A136,'[92]9月'!$A:$H,8,0),0)</f>
        <v>80668.460000000006</v>
      </c>
      <c r="AH136" s="688">
        <f>IFERROR(VLOOKUP($A136,'[92]10月'!$A:$H,8,0),0)</f>
        <v>80668.460000000006</v>
      </c>
      <c r="AI136" s="688">
        <f>IFERROR(VLOOKUP($A136,'[92]11月'!$A:$H,8,0),0)</f>
        <v>80668.460000000006</v>
      </c>
      <c r="AJ136" s="688">
        <f>IFERROR(VLOOKUP($A136,'[92]12月'!$A:$H,8,0),0)</f>
        <v>80668.460000000006</v>
      </c>
      <c r="AK136" s="688">
        <f t="shared" si="54"/>
        <v>968021.5199999999</v>
      </c>
    </row>
    <row r="137" spans="1:37" ht="11.1" customHeight="1">
      <c r="A137" s="653" t="str">
        <f>'Budget-合并'!A137</f>
        <v>6602.12.03</v>
      </c>
      <c r="B137" s="653" t="str">
        <f>'Budget-合并'!B137</f>
        <v>注册地址</v>
      </c>
      <c r="C137" s="687">
        <f>'Budget-合并'!C137</f>
        <v>0</v>
      </c>
      <c r="D137" s="704">
        <f t="shared" si="49"/>
        <v>0</v>
      </c>
      <c r="E137" s="704" t="e">
        <f t="shared" si="50"/>
        <v>#N/A</v>
      </c>
      <c r="F137" s="704" t="e">
        <f t="shared" si="51"/>
        <v>#N/A</v>
      </c>
      <c r="G137" s="704">
        <f t="shared" ca="1" si="55"/>
        <v>0</v>
      </c>
      <c r="H137" s="704" t="e">
        <f t="shared" ca="1" si="52"/>
        <v>#N/A</v>
      </c>
      <c r="I137" s="704" t="e">
        <f t="shared" ca="1" si="53"/>
        <v>#N/A</v>
      </c>
      <c r="K137" s="704">
        <f t="shared" ref="K137:V137" si="63">SUM(K138:K139)</f>
        <v>0</v>
      </c>
      <c r="L137" s="704">
        <f t="shared" si="63"/>
        <v>0</v>
      </c>
      <c r="M137" s="704">
        <f t="shared" si="63"/>
        <v>0</v>
      </c>
      <c r="N137" s="704">
        <f t="shared" si="63"/>
        <v>0</v>
      </c>
      <c r="O137" s="704">
        <f t="shared" si="63"/>
        <v>0</v>
      </c>
      <c r="P137" s="704">
        <f t="shared" si="63"/>
        <v>0</v>
      </c>
      <c r="Q137" s="704">
        <f t="shared" si="63"/>
        <v>0</v>
      </c>
      <c r="R137" s="704">
        <f t="shared" si="63"/>
        <v>0</v>
      </c>
      <c r="S137" s="704">
        <f t="shared" si="63"/>
        <v>0</v>
      </c>
      <c r="T137" s="704">
        <f t="shared" si="63"/>
        <v>0</v>
      </c>
      <c r="U137" s="704">
        <f t="shared" si="63"/>
        <v>0</v>
      </c>
      <c r="V137" s="704">
        <f t="shared" si="63"/>
        <v>0</v>
      </c>
      <c r="W137" s="704">
        <f t="shared" si="43"/>
        <v>0</v>
      </c>
      <c r="Y137" s="688">
        <f>IFERROR(VLOOKUP($A137,'[92]1月'!$A:$H,8,0),0)</f>
        <v>0</v>
      </c>
      <c r="Z137" s="688">
        <f>IFERROR(VLOOKUP($A137,'[92]2月'!$A:$H,8,0),0)</f>
        <v>0</v>
      </c>
      <c r="AA137" s="688">
        <f>IFERROR(VLOOKUP($A137,'[92]3月'!$A:$H,8,0),0)</f>
        <v>0</v>
      </c>
      <c r="AB137" s="688">
        <f>IFERROR(VLOOKUP($A137,'[92]4月'!$A:$H,8,0),0)</f>
        <v>0</v>
      </c>
      <c r="AC137" s="688">
        <f>IFERROR(VLOOKUP($A137,'[92]5月'!$A:$H,8,0),0)</f>
        <v>0</v>
      </c>
      <c r="AD137" s="688">
        <f>IFERROR(VLOOKUP($A137,'[92]6月'!$A:$H,8,0),0)</f>
        <v>0</v>
      </c>
      <c r="AE137" s="688">
        <f>IFERROR(VLOOKUP($A137,'[92]7月'!$A:$H,8,0),0)</f>
        <v>0</v>
      </c>
      <c r="AF137" s="688">
        <f>IFERROR(VLOOKUP($A137,'[92]8月'!$A:$H,8,0),0)</f>
        <v>0</v>
      </c>
      <c r="AG137" s="688">
        <f>IFERROR(VLOOKUP($A137,'[92]9月'!$A:$H,8,0),0)</f>
        <v>0</v>
      </c>
      <c r="AH137" s="688">
        <f>IFERROR(VLOOKUP($A137,'[92]10月'!$A:$H,8,0),0)</f>
        <v>0</v>
      </c>
      <c r="AI137" s="688">
        <f>IFERROR(VLOOKUP($A137,'[92]11月'!$A:$H,8,0),0)</f>
        <v>0</v>
      </c>
      <c r="AJ137" s="688">
        <f>IFERROR(VLOOKUP($A137,'[92]12月'!$A:$H,8,0),0)</f>
        <v>0</v>
      </c>
      <c r="AK137" s="688">
        <f t="shared" si="54"/>
        <v>0</v>
      </c>
    </row>
    <row r="138" spans="1:37" ht="11.1" customHeight="1">
      <c r="A138" s="653" t="str">
        <f>'Budget-合并'!A138</f>
        <v>6602.12.03.01</v>
      </c>
      <c r="B138" s="653" t="str">
        <f>'Budget-合并'!B138</f>
        <v>旭智私募--前海壹号B座701E</v>
      </c>
      <c r="C138" s="687">
        <f>'Budget-合并'!C138</f>
        <v>0</v>
      </c>
      <c r="D138" s="704">
        <f t="shared" si="49"/>
        <v>0</v>
      </c>
      <c r="E138" s="704" t="e">
        <f t="shared" si="50"/>
        <v>#N/A</v>
      </c>
      <c r="F138" s="704" t="e">
        <f t="shared" si="51"/>
        <v>#N/A</v>
      </c>
      <c r="G138" s="704">
        <f t="shared" ca="1" si="55"/>
        <v>0</v>
      </c>
      <c r="H138" s="704" t="e">
        <f t="shared" ca="1" si="52"/>
        <v>#N/A</v>
      </c>
      <c r="I138" s="704" t="e">
        <f t="shared" ca="1" si="53"/>
        <v>#N/A</v>
      </c>
      <c r="K138" s="704"/>
      <c r="L138" s="704"/>
      <c r="M138" s="704"/>
      <c r="N138" s="704"/>
      <c r="O138" s="704"/>
      <c r="P138" s="704"/>
      <c r="Q138" s="704"/>
      <c r="R138" s="704"/>
      <c r="S138" s="704"/>
      <c r="T138" s="704"/>
      <c r="U138" s="704"/>
      <c r="V138" s="704"/>
      <c r="W138" s="704">
        <f t="shared" si="43"/>
        <v>0</v>
      </c>
      <c r="Y138" s="688">
        <f>IFERROR(VLOOKUP($A138,'[92]1月'!$A:$H,8,0),0)</f>
        <v>0</v>
      </c>
      <c r="Z138" s="688">
        <f>IFERROR(VLOOKUP($A138,'[92]2月'!$A:$H,8,0),0)</f>
        <v>0</v>
      </c>
      <c r="AA138" s="688">
        <f>IFERROR(VLOOKUP($A138,'[92]3月'!$A:$H,8,0),0)</f>
        <v>0</v>
      </c>
      <c r="AB138" s="688">
        <f>IFERROR(VLOOKUP($A138,'[92]4月'!$A:$H,8,0),0)</f>
        <v>0</v>
      </c>
      <c r="AC138" s="688">
        <f>IFERROR(VLOOKUP($A138,'[92]5月'!$A:$H,8,0),0)</f>
        <v>0</v>
      </c>
      <c r="AD138" s="688">
        <f>IFERROR(VLOOKUP($A138,'[92]6月'!$A:$H,8,0),0)</f>
        <v>0</v>
      </c>
      <c r="AE138" s="688">
        <f>IFERROR(VLOOKUP($A138,'[92]7月'!$A:$H,8,0),0)</f>
        <v>0</v>
      </c>
      <c r="AF138" s="688">
        <f>IFERROR(VLOOKUP($A138,'[92]8月'!$A:$H,8,0),0)</f>
        <v>0</v>
      </c>
      <c r="AG138" s="688">
        <f>IFERROR(VLOOKUP($A138,'[92]9月'!$A:$H,8,0),0)</f>
        <v>0</v>
      </c>
      <c r="AH138" s="688">
        <f>IFERROR(VLOOKUP($A138,'[92]10月'!$A:$H,8,0),0)</f>
        <v>0</v>
      </c>
      <c r="AI138" s="688">
        <f>IFERROR(VLOOKUP($A138,'[92]11月'!$A:$H,8,0),0)</f>
        <v>0</v>
      </c>
      <c r="AJ138" s="688">
        <f>IFERROR(VLOOKUP($A138,'[92]12月'!$A:$H,8,0),0)</f>
        <v>0</v>
      </c>
      <c r="AK138" s="688">
        <f t="shared" si="54"/>
        <v>0</v>
      </c>
    </row>
    <row r="139" spans="1:37" ht="11.1" customHeight="1">
      <c r="A139" s="653" t="str">
        <f>'Budget-合并'!A139</f>
        <v>6602.12.03.02</v>
      </c>
      <c r="B139" s="653" t="str">
        <f>'Budget-合并'!B139</f>
        <v>广州旭智--802房F028</v>
      </c>
      <c r="C139" s="687">
        <f>'Budget-合并'!C139</f>
        <v>0</v>
      </c>
      <c r="D139" s="704">
        <f t="shared" si="49"/>
        <v>0</v>
      </c>
      <c r="E139" s="704" t="e">
        <f t="shared" si="50"/>
        <v>#N/A</v>
      </c>
      <c r="F139" s="704" t="e">
        <f t="shared" si="51"/>
        <v>#N/A</v>
      </c>
      <c r="G139" s="704">
        <f t="shared" ca="1" si="55"/>
        <v>0</v>
      </c>
      <c r="H139" s="704" t="e">
        <f t="shared" ca="1" si="52"/>
        <v>#N/A</v>
      </c>
      <c r="I139" s="704" t="e">
        <f t="shared" ca="1" si="53"/>
        <v>#N/A</v>
      </c>
      <c r="K139" s="704"/>
      <c r="L139" s="704"/>
      <c r="M139" s="704"/>
      <c r="N139" s="704"/>
      <c r="O139" s="704"/>
      <c r="P139" s="704"/>
      <c r="Q139" s="704"/>
      <c r="R139" s="704"/>
      <c r="S139" s="704"/>
      <c r="T139" s="704"/>
      <c r="U139" s="704"/>
      <c r="V139" s="704"/>
      <c r="W139" s="704">
        <f t="shared" si="43"/>
        <v>0</v>
      </c>
      <c r="Y139" s="688">
        <f>IFERROR(VLOOKUP($A139,'[92]1月'!$A:$H,8,0),0)</f>
        <v>0</v>
      </c>
      <c r="Z139" s="688">
        <f>IFERROR(VLOOKUP($A139,'[92]2月'!$A:$H,8,0),0)</f>
        <v>0</v>
      </c>
      <c r="AA139" s="688">
        <f>IFERROR(VLOOKUP($A139,'[92]3月'!$A:$H,8,0),0)</f>
        <v>0</v>
      </c>
      <c r="AB139" s="688">
        <f>IFERROR(VLOOKUP($A139,'[92]4月'!$A:$H,8,0),0)</f>
        <v>0</v>
      </c>
      <c r="AC139" s="688">
        <f>IFERROR(VLOOKUP($A139,'[92]5月'!$A:$H,8,0),0)</f>
        <v>0</v>
      </c>
      <c r="AD139" s="688">
        <f>IFERROR(VLOOKUP($A139,'[92]6月'!$A:$H,8,0),0)</f>
        <v>0</v>
      </c>
      <c r="AE139" s="688">
        <f>IFERROR(VLOOKUP($A139,'[92]7月'!$A:$H,8,0),0)</f>
        <v>0</v>
      </c>
      <c r="AF139" s="688">
        <f>IFERROR(VLOOKUP($A139,'[92]8月'!$A:$H,8,0),0)</f>
        <v>0</v>
      </c>
      <c r="AG139" s="688">
        <f>IFERROR(VLOOKUP($A139,'[92]9月'!$A:$H,8,0),0)</f>
        <v>0</v>
      </c>
      <c r="AH139" s="688">
        <f>IFERROR(VLOOKUP($A139,'[92]10月'!$A:$H,8,0),0)</f>
        <v>0</v>
      </c>
      <c r="AI139" s="688">
        <f>IFERROR(VLOOKUP($A139,'[92]11月'!$A:$H,8,0),0)</f>
        <v>0</v>
      </c>
      <c r="AJ139" s="688">
        <f>IFERROR(VLOOKUP($A139,'[92]12月'!$A:$H,8,0),0)</f>
        <v>0</v>
      </c>
      <c r="AK139" s="688">
        <f t="shared" si="54"/>
        <v>0</v>
      </c>
    </row>
    <row r="140" spans="1:37" ht="13.5" customHeight="1">
      <c r="A140" s="653" t="str">
        <f>'Budget-合并'!A140</f>
        <v>6602.13</v>
      </c>
      <c r="B140" s="653" t="str">
        <f>'Budget-合并'!B140</f>
        <v>物业管理费</v>
      </c>
      <c r="C140" s="687">
        <f>'Budget-合并'!C140</f>
        <v>0</v>
      </c>
      <c r="D140" s="704">
        <f t="shared" si="49"/>
        <v>0</v>
      </c>
      <c r="E140" s="704" t="e">
        <f t="shared" si="50"/>
        <v>#N/A</v>
      </c>
      <c r="F140" s="704" t="e">
        <f t="shared" si="51"/>
        <v>#N/A</v>
      </c>
      <c r="G140" s="704">
        <f t="shared" ca="1" si="55"/>
        <v>0</v>
      </c>
      <c r="H140" s="704" t="e">
        <f t="shared" ca="1" si="52"/>
        <v>#N/A</v>
      </c>
      <c r="I140" s="704" t="e">
        <f t="shared" ca="1" si="53"/>
        <v>#N/A</v>
      </c>
      <c r="K140" s="704"/>
      <c r="L140" s="704"/>
      <c r="M140" s="704"/>
      <c r="N140" s="704"/>
      <c r="O140" s="704"/>
      <c r="P140" s="704"/>
      <c r="Q140" s="704"/>
      <c r="R140" s="704"/>
      <c r="S140" s="704"/>
      <c r="T140" s="704"/>
      <c r="U140" s="704"/>
      <c r="V140" s="704"/>
      <c r="W140" s="704">
        <f t="shared" si="43"/>
        <v>0</v>
      </c>
      <c r="Y140" s="688">
        <f>IFERROR(VLOOKUP($A140,'[92]1月'!$A:$H,8,0),0)</f>
        <v>0</v>
      </c>
      <c r="Z140" s="688">
        <f>IFERROR(VLOOKUP($A140,'[92]2月'!$A:$H,8,0),0)</f>
        <v>0</v>
      </c>
      <c r="AA140" s="688">
        <f>IFERROR(VLOOKUP($A140,'[92]3月'!$A:$H,8,0),0)</f>
        <v>0</v>
      </c>
      <c r="AB140" s="688">
        <f>IFERROR(VLOOKUP($A140,'[92]4月'!$A:$H,8,0),0)</f>
        <v>0</v>
      </c>
      <c r="AC140" s="688">
        <f>IFERROR(VLOOKUP($A140,'[92]5月'!$A:$H,8,0),0)</f>
        <v>0</v>
      </c>
      <c r="AD140" s="688">
        <f>IFERROR(VLOOKUP($A140,'[92]6月'!$A:$H,8,0),0)</f>
        <v>0</v>
      </c>
      <c r="AE140" s="688">
        <f>IFERROR(VLOOKUP($A140,'[92]7月'!$A:$H,8,0),0)</f>
        <v>0</v>
      </c>
      <c r="AF140" s="688">
        <f>IFERROR(VLOOKUP($A140,'[92]8月'!$A:$H,8,0),0)</f>
        <v>0</v>
      </c>
      <c r="AG140" s="688">
        <f>IFERROR(VLOOKUP($A140,'[92]9月'!$A:$H,8,0),0)</f>
        <v>0</v>
      </c>
      <c r="AH140" s="688">
        <f>IFERROR(VLOOKUP($A140,'[92]10月'!$A:$H,8,0),0)</f>
        <v>0</v>
      </c>
      <c r="AI140" s="688">
        <f>IFERROR(VLOOKUP($A140,'[92]11月'!$A:$H,8,0),0)</f>
        <v>0</v>
      </c>
      <c r="AJ140" s="688">
        <f>IFERROR(VLOOKUP($A140,'[92]12月'!$A:$H,8,0),0)</f>
        <v>0</v>
      </c>
      <c r="AK140" s="688">
        <f t="shared" si="54"/>
        <v>0</v>
      </c>
    </row>
    <row r="141" spans="1:37" ht="13.5" customHeight="1">
      <c r="A141" s="653" t="str">
        <f>'Budget-合并'!A141</f>
        <v>6602.14</v>
      </c>
      <c r="B141" s="653" t="str">
        <f>'Budget-合并'!B141</f>
        <v>修理费</v>
      </c>
      <c r="C141" s="687">
        <f>'Budget-合并'!C141</f>
        <v>0</v>
      </c>
      <c r="D141" s="704">
        <f t="shared" si="49"/>
        <v>0</v>
      </c>
      <c r="E141" s="704" t="e">
        <f t="shared" si="50"/>
        <v>#N/A</v>
      </c>
      <c r="F141" s="704" t="e">
        <f t="shared" si="51"/>
        <v>#N/A</v>
      </c>
      <c r="G141" s="704">
        <f t="shared" ca="1" si="55"/>
        <v>0</v>
      </c>
      <c r="H141" s="704" t="e">
        <f t="shared" ca="1" si="52"/>
        <v>#N/A</v>
      </c>
      <c r="I141" s="704" t="e">
        <f t="shared" ca="1" si="53"/>
        <v>#N/A</v>
      </c>
      <c r="K141" s="704"/>
      <c r="L141" s="704"/>
      <c r="M141" s="704"/>
      <c r="N141" s="704"/>
      <c r="O141" s="704"/>
      <c r="P141" s="704"/>
      <c r="Q141" s="704"/>
      <c r="R141" s="704"/>
      <c r="S141" s="704"/>
      <c r="T141" s="704"/>
      <c r="U141" s="704"/>
      <c r="V141" s="704"/>
      <c r="W141" s="704">
        <f t="shared" si="43"/>
        <v>0</v>
      </c>
      <c r="Y141" s="688">
        <f>IFERROR(VLOOKUP($A141,'[92]1月'!$A:$H,8,0),0)</f>
        <v>0</v>
      </c>
      <c r="Z141" s="688">
        <f>IFERROR(VLOOKUP($A141,'[92]2月'!$A:$H,8,0),0)</f>
        <v>0</v>
      </c>
      <c r="AA141" s="688">
        <f>IFERROR(VLOOKUP($A141,'[92]3月'!$A:$H,8,0),0)</f>
        <v>0</v>
      </c>
      <c r="AB141" s="688">
        <f>IFERROR(VLOOKUP($A141,'[92]4月'!$A:$H,8,0),0)</f>
        <v>0</v>
      </c>
      <c r="AC141" s="688">
        <f>IFERROR(VLOOKUP($A141,'[92]5月'!$A:$H,8,0),0)</f>
        <v>0</v>
      </c>
      <c r="AD141" s="688">
        <f>IFERROR(VLOOKUP($A141,'[92]6月'!$A:$H,8,0),0)</f>
        <v>0</v>
      </c>
      <c r="AE141" s="688">
        <f>IFERROR(VLOOKUP($A141,'[92]7月'!$A:$H,8,0),0)</f>
        <v>0</v>
      </c>
      <c r="AF141" s="688">
        <f>IFERROR(VLOOKUP($A141,'[92]8月'!$A:$H,8,0),0)</f>
        <v>0</v>
      </c>
      <c r="AG141" s="688">
        <f>IFERROR(VLOOKUP($A141,'[92]9月'!$A:$H,8,0),0)</f>
        <v>0</v>
      </c>
      <c r="AH141" s="688">
        <f>IFERROR(VLOOKUP($A141,'[92]10月'!$A:$H,8,0),0)</f>
        <v>0</v>
      </c>
      <c r="AI141" s="688">
        <f>IFERROR(VLOOKUP($A141,'[92]11月'!$A:$H,8,0),0)</f>
        <v>0</v>
      </c>
      <c r="AJ141" s="688">
        <f>IFERROR(VLOOKUP($A141,'[92]12月'!$A:$H,8,0),0)</f>
        <v>0</v>
      </c>
      <c r="AK141" s="688">
        <f t="shared" si="54"/>
        <v>0</v>
      </c>
    </row>
    <row r="142" spans="1:37" ht="13.5" customHeight="1">
      <c r="A142" s="653" t="str">
        <f>'Budget-合并'!A142</f>
        <v>6602.15</v>
      </c>
      <c r="B142" s="653" t="str">
        <f>'Budget-合并'!B142</f>
        <v>服务费</v>
      </c>
      <c r="C142" s="687" t="str">
        <f>'Budget-合并'!C142</f>
        <v>Professional Fee</v>
      </c>
      <c r="D142" s="704">
        <f t="shared" si="49"/>
        <v>0</v>
      </c>
      <c r="E142" s="704" t="e">
        <f t="shared" si="50"/>
        <v>#N/A</v>
      </c>
      <c r="F142" s="704" t="e">
        <f t="shared" si="51"/>
        <v>#N/A</v>
      </c>
      <c r="G142" s="704">
        <f t="shared" ca="1" si="55"/>
        <v>0</v>
      </c>
      <c r="H142" s="704" t="e">
        <f t="shared" ca="1" si="52"/>
        <v>#N/A</v>
      </c>
      <c r="I142" s="704" t="e">
        <f t="shared" ca="1" si="53"/>
        <v>#N/A</v>
      </c>
      <c r="K142" s="704"/>
      <c r="L142" s="704"/>
      <c r="M142" s="704"/>
      <c r="N142" s="704"/>
      <c r="O142" s="704"/>
      <c r="P142" s="704"/>
      <c r="Q142" s="704"/>
      <c r="R142" s="704"/>
      <c r="S142" s="704">
        <f>'Other Exp'!$AC$31*HLOOKUP(S$6,'FX Lookup'!$A$2:$Y$6,3,FALSE)</f>
        <v>2037.8820000000001</v>
      </c>
      <c r="T142" s="704"/>
      <c r="U142" s="704"/>
      <c r="V142" s="704"/>
      <c r="W142" s="704">
        <f t="shared" si="43"/>
        <v>2037.8820000000001</v>
      </c>
      <c r="X142" s="652" t="s">
        <v>2545</v>
      </c>
      <c r="Y142" s="688">
        <f>IFERROR(VLOOKUP($A142,'[92]1月'!$A:$H,8,0),0)</f>
        <v>0</v>
      </c>
      <c r="Z142" s="688">
        <f>IFERROR(VLOOKUP($A142,'[92]2月'!$A:$H,8,0),0)</f>
        <v>0</v>
      </c>
      <c r="AA142" s="688">
        <f>IFERROR(VLOOKUP($A142,'[92]3月'!$A:$H,8,0),0)</f>
        <v>0</v>
      </c>
      <c r="AB142" s="688">
        <f>IFERROR(VLOOKUP($A142,'[92]4月'!$A:$H,8,0),0)</f>
        <v>0</v>
      </c>
      <c r="AC142" s="688">
        <f>IFERROR(VLOOKUP($A142,'[92]5月'!$A:$H,8,0),0)</f>
        <v>0</v>
      </c>
      <c r="AD142" s="688">
        <f>IFERROR(VLOOKUP($A142,'[92]6月'!$A:$H,8,0),0)</f>
        <v>0</v>
      </c>
      <c r="AE142" s="688">
        <f>IFERROR(VLOOKUP($A142,'[92]7月'!$A:$H,8,0),0)</f>
        <v>0</v>
      </c>
      <c r="AF142" s="688">
        <f>IFERROR(VLOOKUP($A142,'[92]8月'!$A:$H,8,0),0)</f>
        <v>0</v>
      </c>
      <c r="AG142" s="688">
        <f>IFERROR(VLOOKUP($A142,'[92]9月'!$A:$H,8,0),0)</f>
        <v>0</v>
      </c>
      <c r="AH142" s="688">
        <f>IFERROR(VLOOKUP($A142,'[92]10月'!$A:$H,8,0),0)</f>
        <v>0</v>
      </c>
      <c r="AI142" s="688">
        <f>IFERROR(VLOOKUP($A142,'[92]11月'!$A:$H,8,0),0)</f>
        <v>0</v>
      </c>
      <c r="AJ142" s="688">
        <f>IFERROR(VLOOKUP($A142,'[92]12月'!$A:$H,8,0),0)</f>
        <v>0</v>
      </c>
      <c r="AK142" s="688">
        <f t="shared" si="54"/>
        <v>0</v>
      </c>
    </row>
    <row r="143" spans="1:37" ht="13.5" customHeight="1">
      <c r="A143" s="653" t="str">
        <f>'Budget-合并'!A143</f>
        <v>6602.16</v>
      </c>
      <c r="B143" s="653" t="str">
        <f>'Budget-合并'!B143</f>
        <v>董事会费</v>
      </c>
      <c r="C143" s="687" t="str">
        <f>'Budget-合并'!C143</f>
        <v>Internal ACP Meeting</v>
      </c>
      <c r="D143" s="704">
        <f t="shared" si="49"/>
        <v>0</v>
      </c>
      <c r="E143" s="704" t="e">
        <f t="shared" si="50"/>
        <v>#N/A</v>
      </c>
      <c r="F143" s="704" t="e">
        <f t="shared" si="51"/>
        <v>#N/A</v>
      </c>
      <c r="G143" s="704">
        <f t="shared" ca="1" si="55"/>
        <v>0</v>
      </c>
      <c r="H143" s="704" t="e">
        <f t="shared" ca="1" si="52"/>
        <v>#N/A</v>
      </c>
      <c r="I143" s="704" t="e">
        <f t="shared" ca="1" si="53"/>
        <v>#N/A</v>
      </c>
      <c r="K143" s="704"/>
      <c r="L143" s="704"/>
      <c r="M143" s="704"/>
      <c r="N143" s="704"/>
      <c r="O143" s="704"/>
      <c r="P143" s="704"/>
      <c r="Q143" s="704"/>
      <c r="R143" s="704"/>
      <c r="S143" s="704"/>
      <c r="T143" s="704"/>
      <c r="U143" s="704"/>
      <c r="V143" s="704"/>
      <c r="W143" s="704">
        <f t="shared" si="43"/>
        <v>0</v>
      </c>
      <c r="Y143" s="688">
        <f>IFERROR(VLOOKUP($A143,'[92]1月'!$A:$H,8,0),0)</f>
        <v>0</v>
      </c>
      <c r="Z143" s="688">
        <f>IFERROR(VLOOKUP($A143,'[92]2月'!$A:$H,8,0),0)</f>
        <v>0</v>
      </c>
      <c r="AA143" s="688">
        <f>IFERROR(VLOOKUP($A143,'[92]3月'!$A:$H,8,0),0)</f>
        <v>0</v>
      </c>
      <c r="AB143" s="688">
        <f>IFERROR(VLOOKUP($A143,'[92]4月'!$A:$H,8,0),0)</f>
        <v>0</v>
      </c>
      <c r="AC143" s="688">
        <f>IFERROR(VLOOKUP($A143,'[92]5月'!$A:$H,8,0),0)</f>
        <v>0</v>
      </c>
      <c r="AD143" s="688">
        <f>IFERROR(VLOOKUP($A143,'[92]6月'!$A:$H,8,0),0)</f>
        <v>0</v>
      </c>
      <c r="AE143" s="688">
        <f>IFERROR(VLOOKUP($A143,'[92]7月'!$A:$H,8,0),0)</f>
        <v>0</v>
      </c>
      <c r="AF143" s="688">
        <f>IFERROR(VLOOKUP($A143,'[92]8月'!$A:$H,8,0),0)</f>
        <v>0</v>
      </c>
      <c r="AG143" s="688">
        <f>IFERROR(VLOOKUP($A143,'[92]9月'!$A:$H,8,0),0)</f>
        <v>0</v>
      </c>
      <c r="AH143" s="688">
        <f>IFERROR(VLOOKUP($A143,'[92]10月'!$A:$H,8,0),0)</f>
        <v>0</v>
      </c>
      <c r="AI143" s="688">
        <f>IFERROR(VLOOKUP($A143,'[92]11月'!$A:$H,8,0),0)</f>
        <v>0</v>
      </c>
      <c r="AJ143" s="688">
        <f>IFERROR(VLOOKUP($A143,'[92]12月'!$A:$H,8,0),0)</f>
        <v>0</v>
      </c>
      <c r="AK143" s="688">
        <f t="shared" si="54"/>
        <v>0</v>
      </c>
    </row>
    <row r="144" spans="1:37" ht="13.5" customHeight="1">
      <c r="A144" s="653" t="str">
        <f>'Budget-合并'!A144</f>
        <v>6602.17</v>
      </c>
      <c r="B144" s="653" t="str">
        <f>'Budget-合并'!B144</f>
        <v>聘请中介机构费</v>
      </c>
      <c r="C144" s="687">
        <f>'Budget-合并'!C144</f>
        <v>0</v>
      </c>
      <c r="D144" s="704">
        <f t="shared" si="49"/>
        <v>0</v>
      </c>
      <c r="E144" s="704" t="e">
        <f t="shared" si="50"/>
        <v>#N/A</v>
      </c>
      <c r="F144" s="704" t="e">
        <f t="shared" si="51"/>
        <v>#N/A</v>
      </c>
      <c r="G144" s="704">
        <f t="shared" ca="1" si="55"/>
        <v>0</v>
      </c>
      <c r="H144" s="704" t="e">
        <f t="shared" ca="1" si="52"/>
        <v>#N/A</v>
      </c>
      <c r="I144" s="704" t="e">
        <f t="shared" ca="1" si="53"/>
        <v>#N/A</v>
      </c>
      <c r="K144" s="704"/>
      <c r="L144" s="704"/>
      <c r="M144" s="704"/>
      <c r="N144" s="704"/>
      <c r="O144" s="704"/>
      <c r="P144" s="704"/>
      <c r="Q144" s="704"/>
      <c r="R144" s="704"/>
      <c r="S144" s="704"/>
      <c r="T144" s="704"/>
      <c r="U144" s="704"/>
      <c r="V144" s="704"/>
      <c r="W144" s="704">
        <f t="shared" si="43"/>
        <v>0</v>
      </c>
      <c r="Y144" s="688">
        <f>IFERROR(VLOOKUP($A144,'[92]1月'!$A:$H,8,0),0)</f>
        <v>0</v>
      </c>
      <c r="Z144" s="688">
        <f>IFERROR(VLOOKUP($A144,'[92]2月'!$A:$H,8,0),0)</f>
        <v>0</v>
      </c>
      <c r="AA144" s="688">
        <f>IFERROR(VLOOKUP($A144,'[92]3月'!$A:$H,8,0),0)</f>
        <v>0</v>
      </c>
      <c r="AB144" s="688">
        <f>IFERROR(VLOOKUP($A144,'[92]4月'!$A:$H,8,0),0)</f>
        <v>0</v>
      </c>
      <c r="AC144" s="688">
        <f>IFERROR(VLOOKUP($A144,'[92]5月'!$A:$H,8,0),0)</f>
        <v>0</v>
      </c>
      <c r="AD144" s="688">
        <f>IFERROR(VLOOKUP($A144,'[92]6月'!$A:$H,8,0),0)</f>
        <v>0</v>
      </c>
      <c r="AE144" s="688">
        <f>IFERROR(VLOOKUP($A144,'[92]7月'!$A:$H,8,0),0)</f>
        <v>0</v>
      </c>
      <c r="AF144" s="688">
        <f>IFERROR(VLOOKUP($A144,'[92]8月'!$A:$H,8,0),0)</f>
        <v>0</v>
      </c>
      <c r="AG144" s="688">
        <f>IFERROR(VLOOKUP($A144,'[92]9月'!$A:$H,8,0),0)</f>
        <v>0</v>
      </c>
      <c r="AH144" s="688">
        <f>IFERROR(VLOOKUP($A144,'[92]10月'!$A:$H,8,0),0)</f>
        <v>0</v>
      </c>
      <c r="AI144" s="688">
        <f>IFERROR(VLOOKUP($A144,'[92]11月'!$A:$H,8,0),0)</f>
        <v>0</v>
      </c>
      <c r="AJ144" s="688">
        <f>IFERROR(VLOOKUP($A144,'[92]12月'!$A:$H,8,0),0)</f>
        <v>0</v>
      </c>
      <c r="AK144" s="688">
        <f t="shared" si="54"/>
        <v>0</v>
      </c>
    </row>
    <row r="145" spans="1:37" ht="13.5" customHeight="1">
      <c r="A145" s="653" t="str">
        <f>'Budget-合并'!A145</f>
        <v>6602.18</v>
      </c>
      <c r="B145" s="653" t="str">
        <f>'Budget-合并'!B145</f>
        <v>存货盘亏或盘盈</v>
      </c>
      <c r="C145" s="687">
        <f>'Budget-合并'!C145</f>
        <v>0</v>
      </c>
      <c r="D145" s="704">
        <f t="shared" si="49"/>
        <v>0</v>
      </c>
      <c r="E145" s="704" t="e">
        <f t="shared" si="50"/>
        <v>#N/A</v>
      </c>
      <c r="F145" s="704" t="e">
        <f t="shared" si="51"/>
        <v>#N/A</v>
      </c>
      <c r="G145" s="704">
        <f t="shared" ca="1" si="55"/>
        <v>0</v>
      </c>
      <c r="H145" s="704" t="e">
        <f t="shared" ca="1" si="52"/>
        <v>#N/A</v>
      </c>
      <c r="I145" s="704" t="e">
        <f t="shared" ca="1" si="53"/>
        <v>#N/A</v>
      </c>
      <c r="K145" s="704"/>
      <c r="L145" s="704"/>
      <c r="M145" s="704"/>
      <c r="N145" s="704"/>
      <c r="O145" s="704"/>
      <c r="P145" s="704"/>
      <c r="Q145" s="704"/>
      <c r="R145" s="704"/>
      <c r="S145" s="704"/>
      <c r="T145" s="704"/>
      <c r="U145" s="704"/>
      <c r="V145" s="704"/>
      <c r="W145" s="704">
        <f t="shared" si="43"/>
        <v>0</v>
      </c>
      <c r="Y145" s="688">
        <f>IFERROR(VLOOKUP($A145,'[92]1月'!$A:$H,8,0),0)</f>
        <v>0</v>
      </c>
      <c r="Z145" s="688">
        <f>IFERROR(VLOOKUP($A145,'[92]2月'!$A:$H,8,0),0)</f>
        <v>0</v>
      </c>
      <c r="AA145" s="688">
        <f>IFERROR(VLOOKUP($A145,'[92]3月'!$A:$H,8,0),0)</f>
        <v>0</v>
      </c>
      <c r="AB145" s="688">
        <f>IFERROR(VLOOKUP($A145,'[92]4月'!$A:$H,8,0),0)</f>
        <v>0</v>
      </c>
      <c r="AC145" s="688">
        <f>IFERROR(VLOOKUP($A145,'[92]5月'!$A:$H,8,0),0)</f>
        <v>0</v>
      </c>
      <c r="AD145" s="688">
        <f>IFERROR(VLOOKUP($A145,'[92]6月'!$A:$H,8,0),0)</f>
        <v>0</v>
      </c>
      <c r="AE145" s="688">
        <f>IFERROR(VLOOKUP($A145,'[92]7月'!$A:$H,8,0),0)</f>
        <v>0</v>
      </c>
      <c r="AF145" s="688">
        <f>IFERROR(VLOOKUP($A145,'[92]8月'!$A:$H,8,0),0)</f>
        <v>0</v>
      </c>
      <c r="AG145" s="688">
        <f>IFERROR(VLOOKUP($A145,'[92]9月'!$A:$H,8,0),0)</f>
        <v>0</v>
      </c>
      <c r="AH145" s="688">
        <f>IFERROR(VLOOKUP($A145,'[92]10月'!$A:$H,8,0),0)</f>
        <v>0</v>
      </c>
      <c r="AI145" s="688">
        <f>IFERROR(VLOOKUP($A145,'[92]11月'!$A:$H,8,0),0)</f>
        <v>0</v>
      </c>
      <c r="AJ145" s="688">
        <f>IFERROR(VLOOKUP($A145,'[92]12月'!$A:$H,8,0),0)</f>
        <v>0</v>
      </c>
      <c r="AK145" s="688">
        <f t="shared" si="54"/>
        <v>0</v>
      </c>
    </row>
    <row r="146" spans="1:37" ht="13.5" customHeight="1">
      <c r="A146" s="653" t="str">
        <f>'Budget-合并'!A146</f>
        <v>6602.19</v>
      </c>
      <c r="B146" s="653" t="str">
        <f>'Budget-合并'!B146</f>
        <v>会费（公司）</v>
      </c>
      <c r="C146" s="687" t="str">
        <f>'Budget-合并'!C146</f>
        <v>Membership Fee</v>
      </c>
      <c r="D146" s="704">
        <f t="shared" si="49"/>
        <v>0</v>
      </c>
      <c r="E146" s="704" t="e">
        <f t="shared" si="50"/>
        <v>#N/A</v>
      </c>
      <c r="F146" s="704" t="e">
        <f t="shared" si="51"/>
        <v>#N/A</v>
      </c>
      <c r="G146" s="704">
        <f t="shared" ca="1" si="55"/>
        <v>0</v>
      </c>
      <c r="H146" s="704" t="e">
        <f t="shared" ca="1" si="52"/>
        <v>#N/A</v>
      </c>
      <c r="I146" s="704" t="e">
        <f t="shared" ca="1" si="53"/>
        <v>#N/A</v>
      </c>
      <c r="K146" s="704">
        <f>SUMIFS('Other Exp'!AG$3:AG$196,'Other Exp'!$B$3:$B$196,$D$1,'Other Exp'!$C$3:$C$196,$A146)</f>
        <v>0</v>
      </c>
      <c r="L146" s="704">
        <f>SUMIFS('Other Exp'!AH$3:AH$196,'Other Exp'!$B$3:$B$196,$D$1,'Other Exp'!$C$3:$C$196,$A146)</f>
        <v>0</v>
      </c>
      <c r="M146" s="704">
        <f>SUMIFS('Other Exp'!AI$3:AI$196,'Other Exp'!$B$3:$B$196,$D$1,'Other Exp'!$C$3:$C$196,$A146)</f>
        <v>0</v>
      </c>
      <c r="N146" s="704">
        <f>SUMIFS('Other Exp'!AJ$3:AJ$196,'Other Exp'!$B$3:$B$196,$D$1,'Other Exp'!$C$3:$C$196,$A146)</f>
        <v>0</v>
      </c>
      <c r="O146" s="704">
        <f>SUMIFS('Other Exp'!AK$3:AK$196,'Other Exp'!$B$3:$B$196,$D$1,'Other Exp'!$C$3:$C$196,$A146)</f>
        <v>0</v>
      </c>
      <c r="P146" s="704">
        <f>SUMIFS('Other Exp'!AL$3:AL$196,'Other Exp'!$B$3:$B$196,$D$1,'Other Exp'!$C$3:$C$196,$A146)</f>
        <v>0</v>
      </c>
      <c r="Q146" s="704">
        <f>SUMIFS('Other Exp'!AM$3:AM$196,'Other Exp'!$B$3:$B$196,$D$1,'Other Exp'!$C$3:$C$196,$A146)</f>
        <v>0</v>
      </c>
      <c r="R146" s="704">
        <f>SUMIFS('Other Exp'!AN$3:AN$196,'Other Exp'!$B$3:$B$196,$D$1,'Other Exp'!$C$3:$C$196,$A146)</f>
        <v>0</v>
      </c>
      <c r="S146" s="704">
        <f>SUMIFS('Other Exp'!AO$3:AO$196,'Other Exp'!$B$3:$B$196,$D$1,'Other Exp'!$C$3:$C$196,$A146)</f>
        <v>0</v>
      </c>
      <c r="T146" s="704">
        <f>SUMIFS('Other Exp'!AP$3:AP$196,'Other Exp'!$B$3:$B$196,$D$1,'Other Exp'!$C$3:$C$196,$A146)</f>
        <v>0</v>
      </c>
      <c r="U146" s="704">
        <f>SUMIFS('Other Exp'!AQ$3:AQ$196,'Other Exp'!$B$3:$B$196,$D$1,'Other Exp'!$C$3:$C$196,$A146)</f>
        <v>0</v>
      </c>
      <c r="V146" s="704">
        <f>SUMIFS('Other Exp'!AR$3:AR$196,'Other Exp'!$B$3:$B$196,$D$1,'Other Exp'!$C$3:$C$196,$A146)</f>
        <v>0</v>
      </c>
      <c r="W146" s="704">
        <f t="shared" si="43"/>
        <v>0</v>
      </c>
      <c r="Y146" s="688">
        <f>IFERROR(VLOOKUP($A146,'[92]1月'!$A:$H,8,0),0)</f>
        <v>0</v>
      </c>
      <c r="Z146" s="688">
        <f>IFERROR(VLOOKUP($A146,'[92]2月'!$A:$H,8,0),0)</f>
        <v>0</v>
      </c>
      <c r="AA146" s="688">
        <f>IFERROR(VLOOKUP($A146,'[92]3月'!$A:$H,8,0),0)</f>
        <v>0</v>
      </c>
      <c r="AB146" s="688">
        <f>IFERROR(VLOOKUP($A146,'[92]4月'!$A:$H,8,0),0)</f>
        <v>0</v>
      </c>
      <c r="AC146" s="688">
        <f>IFERROR(VLOOKUP($A146,'[92]5月'!$A:$H,8,0),0)</f>
        <v>0</v>
      </c>
      <c r="AD146" s="688">
        <f>IFERROR(VLOOKUP($A146,'[92]6月'!$A:$H,8,0),0)</f>
        <v>0</v>
      </c>
      <c r="AE146" s="688">
        <f>IFERROR(VLOOKUP($A146,'[92]7月'!$A:$H,8,0),0)</f>
        <v>0</v>
      </c>
      <c r="AF146" s="688">
        <f>IFERROR(VLOOKUP($A146,'[92]8月'!$A:$H,8,0),0)</f>
        <v>0</v>
      </c>
      <c r="AG146" s="688">
        <f>IFERROR(VLOOKUP($A146,'[92]9月'!$A:$H,8,0),0)</f>
        <v>0</v>
      </c>
      <c r="AH146" s="688">
        <f>IFERROR(VLOOKUP($A146,'[92]10月'!$A:$H,8,0),0)</f>
        <v>0</v>
      </c>
      <c r="AI146" s="688">
        <f>IFERROR(VLOOKUP($A146,'[92]11月'!$A:$H,8,0),0)</f>
        <v>0</v>
      </c>
      <c r="AJ146" s="688">
        <f>IFERROR(VLOOKUP($A146,'[92]12月'!$A:$H,8,0),0)</f>
        <v>-14807.19</v>
      </c>
      <c r="AK146" s="688">
        <f t="shared" si="54"/>
        <v>-14807.19</v>
      </c>
    </row>
    <row r="147" spans="1:37" ht="13.5" customHeight="1">
      <c r="A147" s="653" t="str">
        <f>'Budget-合并'!A147</f>
        <v>6602.20</v>
      </c>
      <c r="B147" s="653" t="str">
        <f>'Budget-合并'!B147</f>
        <v>职工教育经费</v>
      </c>
      <c r="C147" s="687" t="str">
        <f>'Budget-合并'!C147</f>
        <v>Education Assistance</v>
      </c>
      <c r="D147" s="704">
        <f t="shared" si="49"/>
        <v>1260.8191666666667</v>
      </c>
      <c r="E147" s="704" t="e">
        <f t="shared" si="50"/>
        <v>#N/A</v>
      </c>
      <c r="F147" s="704" t="e">
        <f t="shared" si="51"/>
        <v>#N/A</v>
      </c>
      <c r="G147" s="704">
        <f t="shared" ca="1" si="55"/>
        <v>1260.8191666666667</v>
      </c>
      <c r="H147" s="704" t="e">
        <f t="shared" ca="1" si="52"/>
        <v>#N/A</v>
      </c>
      <c r="I147" s="704" t="e">
        <f t="shared" ca="1" si="53"/>
        <v>#N/A</v>
      </c>
      <c r="K147" s="704">
        <f>SUMIFS('Prof. Fee'!AF$3:AF$150,'Prof. Fee'!$B$3:$B$150,$D$1,'Prof. Fee'!$D$3:$D$150,$A147)+SUMIFS('Other Exp'!AG$3:AG$196,'Other Exp'!$B$3:$B$196,$D$1,'Other Exp'!$C$3:$C$196,$A147)</f>
        <v>1260.8191666666667</v>
      </c>
      <c r="L147" s="704">
        <f>SUMIFS('Prof. Fee'!AG$3:AG$150,'Prof. Fee'!$B$3:$B$150,$D$1,'Prof. Fee'!$D$3:$D$150,$A147)+SUMIFS('Other Exp'!AH$3:AH$196,'Other Exp'!$B$3:$B$196,$D$1,'Other Exp'!$C$3:$C$196,$A147)</f>
        <v>1249.7833333333333</v>
      </c>
      <c r="M147" s="704">
        <f>SUMIFS('Prof. Fee'!AH$3:AH$150,'Prof. Fee'!$B$3:$B$150,$D$1,'Prof. Fee'!$D$3:$D$150,$A147)+SUMIFS('Other Exp'!AI$3:AI$196,'Other Exp'!$B$3:$B$196,$D$1,'Other Exp'!$C$3:$C$196,$A147)</f>
        <v>1249.7833333333333</v>
      </c>
      <c r="N147" s="704">
        <f>SUMIFS('Prof. Fee'!AI$3:AI$150,'Prof. Fee'!$B$3:$B$150,$D$1,'Prof. Fee'!$D$3:$D$150,$A147)+SUMIFS('Other Exp'!AJ$3:AJ$196,'Other Exp'!$B$3:$B$196,$D$1,'Other Exp'!$C$3:$C$196,$A147)</f>
        <v>1249.7833333333333</v>
      </c>
      <c r="O147" s="704">
        <f>SUMIFS('Prof. Fee'!AJ$3:AJ$150,'Prof. Fee'!$B$3:$B$150,$D$1,'Prof. Fee'!$D$3:$D$150,$A147)+SUMIFS('Other Exp'!AK$3:AK$196,'Other Exp'!$B$3:$B$196,$D$1,'Other Exp'!$C$3:$C$196,$A147)</f>
        <v>1249.7833333333333</v>
      </c>
      <c r="P147" s="704">
        <f>SUMIFS('Prof. Fee'!AK$3:AK$150,'Prof. Fee'!$B$3:$B$150,$D$1,'Prof. Fee'!$D$3:$D$150,$A147)+SUMIFS('Other Exp'!AL$3:AL$196,'Other Exp'!$B$3:$B$196,$D$1,'Other Exp'!$C$3:$C$196,$A147)</f>
        <v>1911.4333333333334</v>
      </c>
      <c r="Q147" s="704">
        <f>SUMIFS('Prof. Fee'!AL$3:AL$150,'Prof. Fee'!$B$3:$B$150,$D$1,'Prof. Fee'!$D$3:$D$150,$A147)+SUMIFS('Other Exp'!AM$3:AM$196,'Other Exp'!$B$3:$B$196,$D$1,'Other Exp'!$C$3:$C$196,$A147)</f>
        <v>1911.4333333333334</v>
      </c>
      <c r="R147" s="704">
        <f>SUMIFS('Prof. Fee'!AM$3:AM$150,'Prof. Fee'!$B$3:$B$150,$D$1,'Prof. Fee'!$D$3:$D$150,$A147)+SUMIFS('Other Exp'!AN$3:AN$196,'Other Exp'!$B$3:$B$196,$D$1,'Other Exp'!$C$3:$C$196,$A147)</f>
        <v>1911.4333333333334</v>
      </c>
      <c r="S147" s="704">
        <f>SUMIFS('Prof. Fee'!AN$3:AN$150,'Prof. Fee'!$B$3:$B$150,$D$1,'Prof. Fee'!$D$3:$D$150,$A147)+SUMIFS('Other Exp'!AO$3:AO$196,'Other Exp'!$B$3:$B$196,$D$1,'Other Exp'!$C$3:$C$196,$A147)</f>
        <v>1911.4333333333334</v>
      </c>
      <c r="T147" s="704">
        <f>SUMIFS('Prof. Fee'!AO$3:AO$150,'Prof. Fee'!$B$3:$B$150,$D$1,'Prof. Fee'!$D$3:$D$150,$A147)+SUMIFS('Other Exp'!AP$3:AP$196,'Other Exp'!$B$3:$B$196,$D$1,'Other Exp'!$C$3:$C$196,$A147)</f>
        <v>1911.4333333333334</v>
      </c>
      <c r="U147" s="704">
        <f>SUMIFS('Prof. Fee'!AP$3:AP$150,'Prof. Fee'!$B$3:$B$150,$D$1,'Prof. Fee'!$D$3:$D$150,$A147)+SUMIFS('Other Exp'!AQ$3:AQ$196,'Other Exp'!$B$3:$B$196,$D$1,'Other Exp'!$C$3:$C$196,$A147)</f>
        <v>1911.4333333333334</v>
      </c>
      <c r="V147" s="704">
        <f>SUMIFS('Prof. Fee'!AQ$3:AQ$150,'Prof. Fee'!$B$3:$B$150,$D$1,'Prof. Fee'!$D$3:$D$150,$A147)+SUMIFS('Other Exp'!AR$3:AR$196,'Other Exp'!$B$3:$B$196,$D$1,'Other Exp'!$C$3:$C$196,$A147)</f>
        <v>1911.4333333333334</v>
      </c>
      <c r="W147" s="704">
        <f t="shared" si="43"/>
        <v>19639.985833333336</v>
      </c>
      <c r="Y147" s="688">
        <f>IFERROR(VLOOKUP($A147,'[92]1月'!$A:$H,8,0),0)</f>
        <v>0</v>
      </c>
      <c r="Z147" s="688">
        <f>IFERROR(VLOOKUP($A147,'[92]2月'!$A:$H,8,0),0)</f>
        <v>0</v>
      </c>
      <c r="AA147" s="688">
        <f>IFERROR(VLOOKUP($A147,'[92]3月'!$A:$H,8,0),0)</f>
        <v>0</v>
      </c>
      <c r="AB147" s="688">
        <f>IFERROR(VLOOKUP($A147,'[92]4月'!$A:$H,8,0),0)</f>
        <v>0</v>
      </c>
      <c r="AC147" s="688">
        <f>IFERROR(VLOOKUP($A147,'[92]5月'!$A:$H,8,0),0)</f>
        <v>0</v>
      </c>
      <c r="AD147" s="688">
        <f>IFERROR(VLOOKUP($A147,'[92]6月'!$A:$H,8,0),0)</f>
        <v>0</v>
      </c>
      <c r="AE147" s="688">
        <f>IFERROR(VLOOKUP($A147,'[92]7月'!$A:$H,8,0),0)</f>
        <v>0</v>
      </c>
      <c r="AF147" s="688">
        <f>IFERROR(VLOOKUP($A147,'[92]8月'!$A:$H,8,0),0)</f>
        <v>1630</v>
      </c>
      <c r="AG147" s="688">
        <f>IFERROR(VLOOKUP($A147,'[92]9月'!$A:$H,8,0),0)</f>
        <v>2577.5500000000002</v>
      </c>
      <c r="AH147" s="688">
        <f>IFERROR(VLOOKUP($A147,'[92]10月'!$A:$H,8,0),0)</f>
        <v>0</v>
      </c>
      <c r="AI147" s="688">
        <f>IFERROR(VLOOKUP($A147,'[92]11月'!$A:$H,8,0),0)</f>
        <v>0</v>
      </c>
      <c r="AJ147" s="688">
        <f>IFERROR(VLOOKUP($A147,'[92]12月'!$A:$H,8,0),0)</f>
        <v>11685</v>
      </c>
      <c r="AK147" s="688">
        <f t="shared" si="54"/>
        <v>15892.55</v>
      </c>
    </row>
    <row r="148" spans="1:37" ht="13.5" customHeight="1">
      <c r="A148" s="653" t="str">
        <f>'Budget-合并'!A148</f>
        <v>6602.21</v>
      </c>
      <c r="B148" s="653" t="str">
        <f>'Budget-合并'!B148</f>
        <v>公司秘书费</v>
      </c>
      <c r="C148" s="687" t="str">
        <f>'Budget-合并'!C148</f>
        <v>Corporate Secretarial Fees</v>
      </c>
      <c r="D148" s="704">
        <f t="shared" si="49"/>
        <v>13398.799449999999</v>
      </c>
      <c r="E148" s="704" t="e">
        <f t="shared" si="50"/>
        <v>#N/A</v>
      </c>
      <c r="F148" s="704" t="e">
        <f t="shared" si="51"/>
        <v>#N/A</v>
      </c>
      <c r="G148" s="704">
        <f t="shared" ca="1" si="55"/>
        <v>13398.799449999999</v>
      </c>
      <c r="H148" s="704" t="e">
        <f t="shared" ca="1" si="52"/>
        <v>#N/A</v>
      </c>
      <c r="I148" s="704" t="e">
        <f t="shared" ca="1" si="53"/>
        <v>#N/A</v>
      </c>
      <c r="K148" s="704">
        <f>SUMIFS('Prof. Fee'!AF$3:AF$150,'Prof. Fee'!$B$3:$B$150,$D$1,'Prof. Fee'!$D$3:$D$150,$A148)</f>
        <v>13398.799449999999</v>
      </c>
      <c r="L148" s="704">
        <f>SUMIFS('Prof. Fee'!AG$3:AG$150,'Prof. Fee'!$B$3:$B$150,$D$1,'Prof. Fee'!$D$3:$D$150,$A148)</f>
        <v>0</v>
      </c>
      <c r="M148" s="704">
        <f>SUMIFS('Prof. Fee'!AH$3:AH$150,'Prof. Fee'!$B$3:$B$150,$D$1,'Prof. Fee'!$D$3:$D$150,$A148)</f>
        <v>0</v>
      </c>
      <c r="N148" s="704">
        <f>SUMIFS('Prof. Fee'!AI$3:AI$150,'Prof. Fee'!$B$3:$B$150,$D$1,'Prof. Fee'!$D$3:$D$150,$A148)</f>
        <v>0</v>
      </c>
      <c r="O148" s="704">
        <f>SUMIFS('Prof. Fee'!AJ$3:AJ$150,'Prof. Fee'!$B$3:$B$150,$D$1,'Prof. Fee'!$D$3:$D$150,$A148)</f>
        <v>0</v>
      </c>
      <c r="P148" s="704">
        <f>SUMIFS('Prof. Fee'!AK$3:AK$150,'Prof. Fee'!$B$3:$B$150,$D$1,'Prof. Fee'!$D$3:$D$150,$A148)</f>
        <v>0</v>
      </c>
      <c r="Q148" s="704">
        <f>SUMIFS('Prof. Fee'!AL$3:AL$150,'Prof. Fee'!$B$3:$B$150,$D$1,'Prof. Fee'!$D$3:$D$150,$A148)</f>
        <v>0</v>
      </c>
      <c r="R148" s="704">
        <f>SUMIFS('Prof. Fee'!AM$3:AM$150,'Prof. Fee'!$B$3:$B$150,$D$1,'Prof. Fee'!$D$3:$D$150,$A148)</f>
        <v>0</v>
      </c>
      <c r="S148" s="704">
        <f>SUMIFS('Prof. Fee'!AN$3:AN$150,'Prof. Fee'!$B$3:$B$150,$D$1,'Prof. Fee'!$D$3:$D$150,$A148)</f>
        <v>0</v>
      </c>
      <c r="T148" s="704">
        <f>SUMIFS('Prof. Fee'!AO$3:AO$150,'Prof. Fee'!$B$3:$B$150,$D$1,'Prof. Fee'!$D$3:$D$150,$A148)</f>
        <v>0</v>
      </c>
      <c r="U148" s="704">
        <f>SUMIFS('Prof. Fee'!AP$3:AP$150,'Prof. Fee'!$B$3:$B$150,$D$1,'Prof. Fee'!$D$3:$D$150,$A148)</f>
        <v>0</v>
      </c>
      <c r="V148" s="704">
        <f>SUMIFS('Prof. Fee'!AQ$3:AQ$150,'Prof. Fee'!$B$3:$B$150,$D$1,'Prof. Fee'!$D$3:$D$150,$A148)</f>
        <v>0</v>
      </c>
      <c r="W148" s="704">
        <f t="shared" si="43"/>
        <v>13398.799449999999</v>
      </c>
      <c r="Y148" s="688">
        <f>IFERROR(VLOOKUP($A148,'[92]1月'!$A:$H,8,0),0)</f>
        <v>1214.52</v>
      </c>
      <c r="Z148" s="688">
        <f>IFERROR(VLOOKUP($A148,'[92]2月'!$A:$H,8,0),0)</f>
        <v>1096.99</v>
      </c>
      <c r="AA148" s="688">
        <f>IFERROR(VLOOKUP($A148,'[92]3月'!$A:$H,8,0),0)</f>
        <v>1214.52</v>
      </c>
      <c r="AB148" s="688">
        <f>IFERROR(VLOOKUP($A148,'[92]4月'!$A:$H,8,0),0)</f>
        <v>1175.3399999999999</v>
      </c>
      <c r="AC148" s="688">
        <f>IFERROR(VLOOKUP($A148,'[92]5月'!$A:$H,8,0),0)</f>
        <v>1214.52</v>
      </c>
      <c r="AD148" s="688">
        <f>IFERROR(VLOOKUP($A148,'[92]6月'!$A:$H,8,0),0)</f>
        <v>1175.3399999999999</v>
      </c>
      <c r="AE148" s="688">
        <f>IFERROR(VLOOKUP($A148,'[92]7月'!$A:$H,8,0),0)</f>
        <v>1214.52</v>
      </c>
      <c r="AF148" s="688">
        <f>IFERROR(VLOOKUP($A148,'[92]8月'!$A:$H,8,0),0)</f>
        <v>1214.52</v>
      </c>
      <c r="AG148" s="688">
        <f>IFERROR(VLOOKUP($A148,'[92]9月'!$A:$H,8,0),0)</f>
        <v>1175.3499999999999</v>
      </c>
      <c r="AH148" s="688">
        <f>IFERROR(VLOOKUP($A148,'[92]10月'!$A:$H,8,0),0)</f>
        <v>1214.52</v>
      </c>
      <c r="AI148" s="688">
        <f>IFERROR(VLOOKUP($A148,'[92]11月'!$A:$H,8,0),0)</f>
        <v>1175.3399999999999</v>
      </c>
      <c r="AJ148" s="688">
        <f>IFERROR(VLOOKUP($A148,'[92]12月'!$A:$H,8,0),0)</f>
        <v>1214.52</v>
      </c>
      <c r="AK148" s="688">
        <f t="shared" si="54"/>
        <v>14300.000000000002</v>
      </c>
    </row>
    <row r="149" spans="1:37" ht="13.5" customHeight="1">
      <c r="A149" s="653" t="str">
        <f>'Budget-合并'!A149</f>
        <v>6602.22</v>
      </c>
      <c r="B149" s="653" t="str">
        <f>'Budget-合并'!B149</f>
        <v>工会经费</v>
      </c>
      <c r="C149" s="687">
        <f>'Budget-合并'!C149</f>
        <v>0</v>
      </c>
      <c r="D149" s="704">
        <f t="shared" si="49"/>
        <v>0</v>
      </c>
      <c r="E149" s="704" t="e">
        <f t="shared" si="50"/>
        <v>#N/A</v>
      </c>
      <c r="F149" s="704" t="e">
        <f t="shared" si="51"/>
        <v>#N/A</v>
      </c>
      <c r="G149" s="704">
        <f t="shared" ca="1" si="55"/>
        <v>0</v>
      </c>
      <c r="H149" s="704" t="e">
        <f t="shared" ca="1" si="52"/>
        <v>#N/A</v>
      </c>
      <c r="I149" s="704" t="e">
        <f t="shared" ca="1" si="53"/>
        <v>#N/A</v>
      </c>
      <c r="K149" s="704"/>
      <c r="L149" s="704"/>
      <c r="M149" s="704"/>
      <c r="N149" s="704"/>
      <c r="O149" s="704"/>
      <c r="P149" s="704"/>
      <c r="Q149" s="704"/>
      <c r="R149" s="704"/>
      <c r="S149" s="704"/>
      <c r="T149" s="704"/>
      <c r="U149" s="704"/>
      <c r="V149" s="704"/>
      <c r="W149" s="704">
        <f t="shared" si="43"/>
        <v>0</v>
      </c>
      <c r="Y149" s="688">
        <f>IFERROR(VLOOKUP($A149,'[92]1月'!$A:$H,8,0),0)</f>
        <v>0</v>
      </c>
      <c r="Z149" s="688">
        <f>IFERROR(VLOOKUP($A149,'[92]2月'!$A:$H,8,0),0)</f>
        <v>0</v>
      </c>
      <c r="AA149" s="688">
        <f>IFERROR(VLOOKUP($A149,'[92]3月'!$A:$H,8,0),0)</f>
        <v>0</v>
      </c>
      <c r="AB149" s="688">
        <f>IFERROR(VLOOKUP($A149,'[92]4月'!$A:$H,8,0),0)</f>
        <v>0</v>
      </c>
      <c r="AC149" s="688">
        <f>IFERROR(VLOOKUP($A149,'[92]5月'!$A:$H,8,0),0)</f>
        <v>0</v>
      </c>
      <c r="AD149" s="688">
        <f>IFERROR(VLOOKUP($A149,'[92]6月'!$A:$H,8,0),0)</f>
        <v>0</v>
      </c>
      <c r="AE149" s="688">
        <f>IFERROR(VLOOKUP($A149,'[92]7月'!$A:$H,8,0),0)</f>
        <v>0</v>
      </c>
      <c r="AF149" s="688">
        <f>IFERROR(VLOOKUP($A149,'[92]8月'!$A:$H,8,0),0)</f>
        <v>0</v>
      </c>
      <c r="AG149" s="688">
        <f>IFERROR(VLOOKUP($A149,'[92]9月'!$A:$H,8,0),0)</f>
        <v>0</v>
      </c>
      <c r="AH149" s="688">
        <f>IFERROR(VLOOKUP($A149,'[92]10月'!$A:$H,8,0),0)</f>
        <v>0</v>
      </c>
      <c r="AI149" s="688">
        <f>IFERROR(VLOOKUP($A149,'[92]11月'!$A:$H,8,0),0)</f>
        <v>0</v>
      </c>
      <c r="AJ149" s="688">
        <f>IFERROR(VLOOKUP($A149,'[92]12月'!$A:$H,8,0),0)</f>
        <v>0</v>
      </c>
      <c r="AK149" s="688">
        <f t="shared" si="54"/>
        <v>0</v>
      </c>
    </row>
    <row r="150" spans="1:37" ht="13.5" customHeight="1">
      <c r="A150" s="653" t="str">
        <f>'Budget-合并'!A150</f>
        <v>6602.23</v>
      </c>
      <c r="B150" s="653" t="str">
        <f>'Budget-合并'!B150</f>
        <v>无形资产摊销</v>
      </c>
      <c r="C150" s="687" t="str">
        <f>'Budget-合并'!C150</f>
        <v>Contract Intangibles - Amortization</v>
      </c>
      <c r="D150" s="704">
        <f t="shared" si="49"/>
        <v>0</v>
      </c>
      <c r="E150" s="704" t="e">
        <f t="shared" si="50"/>
        <v>#N/A</v>
      </c>
      <c r="F150" s="704" t="e">
        <f t="shared" si="51"/>
        <v>#N/A</v>
      </c>
      <c r="G150" s="704">
        <f t="shared" ca="1" si="55"/>
        <v>0</v>
      </c>
      <c r="H150" s="704" t="e">
        <f t="shared" ca="1" si="52"/>
        <v>#N/A</v>
      </c>
      <c r="I150" s="704" t="e">
        <f t="shared" ca="1" si="53"/>
        <v>#N/A</v>
      </c>
      <c r="K150" s="704"/>
      <c r="L150" s="704"/>
      <c r="M150" s="704"/>
      <c r="N150" s="704"/>
      <c r="O150" s="704"/>
      <c r="P150" s="704"/>
      <c r="Q150" s="704"/>
      <c r="R150" s="704"/>
      <c r="S150" s="704"/>
      <c r="T150" s="704"/>
      <c r="U150" s="704"/>
      <c r="V150" s="704"/>
      <c r="W150" s="704">
        <f t="shared" si="43"/>
        <v>0</v>
      </c>
      <c r="Y150" s="688">
        <f>IFERROR(VLOOKUP($A150,'[92]1月'!$A:$H,8,0),0)</f>
        <v>0</v>
      </c>
      <c r="Z150" s="688">
        <f>IFERROR(VLOOKUP($A150,'[92]2月'!$A:$H,8,0),0)</f>
        <v>0</v>
      </c>
      <c r="AA150" s="688">
        <f>IFERROR(VLOOKUP($A150,'[92]3月'!$A:$H,8,0),0)</f>
        <v>0</v>
      </c>
      <c r="AB150" s="688">
        <f>IFERROR(VLOOKUP($A150,'[92]4月'!$A:$H,8,0),0)</f>
        <v>0</v>
      </c>
      <c r="AC150" s="688">
        <f>IFERROR(VLOOKUP($A150,'[92]5月'!$A:$H,8,0),0)</f>
        <v>0</v>
      </c>
      <c r="AD150" s="688">
        <f>IFERROR(VLOOKUP($A150,'[92]6月'!$A:$H,8,0),0)</f>
        <v>0</v>
      </c>
      <c r="AE150" s="688">
        <f>IFERROR(VLOOKUP($A150,'[92]7月'!$A:$H,8,0),0)</f>
        <v>0</v>
      </c>
      <c r="AF150" s="688">
        <f>IFERROR(VLOOKUP($A150,'[92]8月'!$A:$H,8,0),0)</f>
        <v>0</v>
      </c>
      <c r="AG150" s="688">
        <f>IFERROR(VLOOKUP($A150,'[92]9月'!$A:$H,8,0),0)</f>
        <v>0</v>
      </c>
      <c r="AH150" s="688">
        <f>IFERROR(VLOOKUP($A150,'[92]10月'!$A:$H,8,0),0)</f>
        <v>0</v>
      </c>
      <c r="AI150" s="688">
        <f>IFERROR(VLOOKUP($A150,'[92]11月'!$A:$H,8,0),0)</f>
        <v>0</v>
      </c>
      <c r="AJ150" s="688">
        <f>IFERROR(VLOOKUP($A150,'[92]12月'!$A:$H,8,0),0)</f>
        <v>0</v>
      </c>
      <c r="AK150" s="688">
        <f t="shared" si="54"/>
        <v>0</v>
      </c>
    </row>
    <row r="151" spans="1:37" ht="13.5" customHeight="1">
      <c r="A151" s="653" t="str">
        <f>'Budget-合并'!A151</f>
        <v>6602.24</v>
      </c>
      <c r="B151" s="653" t="str">
        <f>'Budget-合并'!B151</f>
        <v>监管费用</v>
      </c>
      <c r="C151" s="687" t="str">
        <f>'Budget-合并'!C151</f>
        <v xml:space="preserve">Regulatory fees </v>
      </c>
      <c r="D151" s="704">
        <f t="shared" si="49"/>
        <v>9480</v>
      </c>
      <c r="E151" s="704" t="e">
        <f t="shared" si="50"/>
        <v>#N/A</v>
      </c>
      <c r="F151" s="704" t="e">
        <f t="shared" si="51"/>
        <v>#N/A</v>
      </c>
      <c r="G151" s="704">
        <f t="shared" ca="1" si="55"/>
        <v>9480</v>
      </c>
      <c r="H151" s="704" t="e">
        <f t="shared" ca="1" si="52"/>
        <v>#N/A</v>
      </c>
      <c r="I151" s="704" t="e">
        <f t="shared" ca="1" si="53"/>
        <v>#N/A</v>
      </c>
      <c r="K151" s="704">
        <f>SUMIFS('Prof. Fee'!AF$3:AF$150,'Prof. Fee'!$B$3:$B$150,$D$1,'Prof. Fee'!$D$3:$D$150,$A151)</f>
        <v>9480</v>
      </c>
      <c r="L151" s="704">
        <f>SUMIFS('Prof. Fee'!AG$3:AG$150,'Prof. Fee'!$B$3:$B$150,$D$1,'Prof. Fee'!$D$3:$D$150,$A151)</f>
        <v>25510</v>
      </c>
      <c r="M151" s="704">
        <f>SUMIFS('Prof. Fee'!AH$3:AH$150,'Prof. Fee'!$B$3:$B$150,$D$1,'Prof. Fee'!$D$3:$D$150,$A151)</f>
        <v>0</v>
      </c>
      <c r="N151" s="704">
        <f>SUMIFS('Prof. Fee'!AI$3:AI$150,'Prof. Fee'!$B$3:$B$150,$D$1,'Prof. Fee'!$D$3:$D$150,$A151)</f>
        <v>0</v>
      </c>
      <c r="O151" s="704">
        <f>SUMIFS('Prof. Fee'!AJ$3:AJ$150,'Prof. Fee'!$B$3:$B$150,$D$1,'Prof. Fee'!$D$3:$D$150,$A151)</f>
        <v>0</v>
      </c>
      <c r="P151" s="704">
        <f>SUMIFS('Prof. Fee'!AK$3:AK$150,'Prof. Fee'!$B$3:$B$150,$D$1,'Prof. Fee'!$D$3:$D$150,$A151)</f>
        <v>25010</v>
      </c>
      <c r="Q151" s="704">
        <f>SUMIFS('Prof. Fee'!AL$3:AL$150,'Prof. Fee'!$B$3:$B$150,$D$1,'Prof. Fee'!$D$3:$D$150,$A151)</f>
        <v>0</v>
      </c>
      <c r="R151" s="704">
        <f>SUMIFS('Prof. Fee'!AM$3:AM$150,'Prof. Fee'!$B$3:$B$150,$D$1,'Prof. Fee'!$D$3:$D$150,$A151)</f>
        <v>0</v>
      </c>
      <c r="S151" s="704">
        <f>SUMIFS('Prof. Fee'!AN$3:AN$150,'Prof. Fee'!$B$3:$B$150,$D$1,'Prof. Fee'!$D$3:$D$150,$A151)</f>
        <v>0</v>
      </c>
      <c r="T151" s="704">
        <f>SUMIFS('Prof. Fee'!AO$3:AO$150,'Prof. Fee'!$B$3:$B$150,$D$1,'Prof. Fee'!$D$3:$D$150,$A151)</f>
        <v>0</v>
      </c>
      <c r="U151" s="704">
        <f>SUMIFS('Prof. Fee'!AP$3:AP$150,'Prof. Fee'!$B$3:$B$150,$D$1,'Prof. Fee'!$D$3:$D$150,$A151)</f>
        <v>0</v>
      </c>
      <c r="V151" s="704">
        <f>SUMIFS('Prof. Fee'!AQ$3:AQ$150,'Prof. Fee'!$B$3:$B$150,$D$1,'Prof. Fee'!$D$3:$D$150,$A151)</f>
        <v>0</v>
      </c>
      <c r="W151" s="704">
        <f t="shared" ref="W151:W154" si="64">SUM(K151:V151)</f>
        <v>60000</v>
      </c>
      <c r="Y151" s="688">
        <f>IFERROR(VLOOKUP($A151,'[92]1月'!$A:$H,8,0),0)</f>
        <v>0</v>
      </c>
      <c r="Z151" s="688">
        <f>IFERROR(VLOOKUP($A151,'[92]2月'!$A:$H,8,0),0)</f>
        <v>0</v>
      </c>
      <c r="AA151" s="688">
        <f>IFERROR(VLOOKUP($A151,'[92]3月'!$A:$H,8,0),0)</f>
        <v>4380</v>
      </c>
      <c r="AB151" s="688">
        <f>IFERROR(VLOOKUP($A151,'[92]4月'!$A:$H,8,0),0)</f>
        <v>0</v>
      </c>
      <c r="AC151" s="688">
        <f>IFERROR(VLOOKUP($A151,'[92]5月'!$A:$H,8,0),0)</f>
        <v>0</v>
      </c>
      <c r="AD151" s="688">
        <f>IFERROR(VLOOKUP($A151,'[92]6月'!$A:$H,8,0),0)</f>
        <v>0</v>
      </c>
      <c r="AE151" s="688">
        <f>IFERROR(VLOOKUP($A151,'[92]7月'!$A:$H,8,0),0)</f>
        <v>0</v>
      </c>
      <c r="AF151" s="688">
        <f>IFERROR(VLOOKUP($A151,'[92]8月'!$A:$H,8,0),0)</f>
        <v>0</v>
      </c>
      <c r="AG151" s="688">
        <f>IFERROR(VLOOKUP($A151,'[92]9月'!$A:$H,8,0),0)</f>
        <v>2200</v>
      </c>
      <c r="AH151" s="688">
        <f>IFERROR(VLOOKUP($A151,'[92]10月'!$A:$H,8,0),0)</f>
        <v>9480</v>
      </c>
      <c r="AI151" s="688">
        <f>IFERROR(VLOOKUP($A151,'[92]11月'!$A:$H,8,0),0)</f>
        <v>0</v>
      </c>
      <c r="AJ151" s="688">
        <f>IFERROR(VLOOKUP($A151,'[92]12月'!$A:$H,8,0),0)</f>
        <v>0</v>
      </c>
      <c r="AK151" s="688">
        <f t="shared" si="54"/>
        <v>16060</v>
      </c>
    </row>
    <row r="152" spans="1:37" ht="13.5" customHeight="1">
      <c r="A152" s="653" t="str">
        <f>'Budget-合并'!A152</f>
        <v>6602.99</v>
      </c>
      <c r="B152" s="653" t="str">
        <f>'Budget-合并'!B152</f>
        <v>其他</v>
      </c>
      <c r="C152" s="687" t="str">
        <f>'Budget-合并'!C152</f>
        <v>Admin Other</v>
      </c>
      <c r="D152" s="704">
        <f t="shared" ref="D152:D169" si="65">INDEX($K152:$V152,1,MATCH($D$6,$K$6:$V$6))</f>
        <v>0</v>
      </c>
      <c r="E152" s="704" t="e">
        <f t="shared" si="50"/>
        <v>#N/A</v>
      </c>
      <c r="F152" s="704" t="e">
        <f t="shared" si="51"/>
        <v>#N/A</v>
      </c>
      <c r="G152" s="704">
        <f t="shared" ca="1" si="55"/>
        <v>0</v>
      </c>
      <c r="H152" s="704" t="e">
        <f t="shared" ca="1" si="52"/>
        <v>#N/A</v>
      </c>
      <c r="I152" s="704" t="e">
        <f t="shared" ca="1" si="53"/>
        <v>#N/A</v>
      </c>
      <c r="K152" s="704">
        <f>SUMIFS('Other Exp'!AG$3:AG$196,'Other Exp'!$B$3:$B$196,$D$1,'Other Exp'!$C$3:$C$196,$A152)</f>
        <v>0</v>
      </c>
      <c r="L152" s="704">
        <f>SUMIFS('Other Exp'!AH$3:AH$196,'Other Exp'!$B$3:$B$196,$D$1,'Other Exp'!$C$3:$C$196,$A152)</f>
        <v>0</v>
      </c>
      <c r="M152" s="704">
        <f>SUMIFS('Other Exp'!AI$3:AI$196,'Other Exp'!$B$3:$B$196,$D$1,'Other Exp'!$C$3:$C$196,$A152)</f>
        <v>0</v>
      </c>
      <c r="N152" s="704">
        <f>SUMIFS('Other Exp'!AJ$3:AJ$196,'Other Exp'!$B$3:$B$196,$D$1,'Other Exp'!$C$3:$C$196,$A152)</f>
        <v>0</v>
      </c>
      <c r="O152" s="704">
        <f>SUMIFS('Other Exp'!AK$3:AK$196,'Other Exp'!$B$3:$B$196,$D$1,'Other Exp'!$C$3:$C$196,$A152)</f>
        <v>0</v>
      </c>
      <c r="P152" s="704">
        <f>SUMIFS('Other Exp'!AL$3:AL$196,'Other Exp'!$B$3:$B$196,$D$1,'Other Exp'!$C$3:$C$196,$A152)</f>
        <v>0</v>
      </c>
      <c r="Q152" s="704">
        <f>SUMIFS('Other Exp'!AM$3:AM$196,'Other Exp'!$B$3:$B$196,$D$1,'Other Exp'!$C$3:$C$196,$A152)</f>
        <v>0</v>
      </c>
      <c r="R152" s="704">
        <f>SUMIFS('Other Exp'!AN$3:AN$196,'Other Exp'!$B$3:$B$196,$D$1,'Other Exp'!$C$3:$C$196,$A152)</f>
        <v>0</v>
      </c>
      <c r="S152" s="704">
        <f>SUMIFS('Other Exp'!AO$3:AO$196,'Other Exp'!$B$3:$B$196,$D$1,'Other Exp'!$C$3:$C$196,$A152)</f>
        <v>0</v>
      </c>
      <c r="T152" s="704">
        <f>SUMIFS('Other Exp'!AP$3:AP$196,'Other Exp'!$B$3:$B$196,$D$1,'Other Exp'!$C$3:$C$196,$A152)</f>
        <v>0</v>
      </c>
      <c r="U152" s="704">
        <f>SUMIFS('Other Exp'!AQ$3:AQ$196,'Other Exp'!$B$3:$B$196,$D$1,'Other Exp'!$C$3:$C$196,$A152)</f>
        <v>3943.3016700000003</v>
      </c>
      <c r="V152" s="704">
        <f>SUMIFS('Other Exp'!AR$3:AR$196,'Other Exp'!$B$3:$B$196,$D$1,'Other Exp'!$C$3:$C$196,$A152)</f>
        <v>0</v>
      </c>
      <c r="W152" s="704">
        <f t="shared" si="64"/>
        <v>3943.3016700000003</v>
      </c>
      <c r="Y152" s="688">
        <f>IFERROR(VLOOKUP($A152,'[92]1月'!$A:$H,8,0),0)</f>
        <v>972</v>
      </c>
      <c r="Z152" s="688">
        <f>IFERROR(VLOOKUP($A152,'[92]2月'!$A:$H,8,0),0)</f>
        <v>157</v>
      </c>
      <c r="AA152" s="688">
        <f>IFERROR(VLOOKUP($A152,'[92]3月'!$A:$H,8,0),0)</f>
        <v>200</v>
      </c>
      <c r="AB152" s="688">
        <f>IFERROR(VLOOKUP($A152,'[92]4月'!$A:$H,8,0),0)</f>
        <v>200</v>
      </c>
      <c r="AC152" s="688">
        <f>IFERROR(VLOOKUP($A152,'[92]5月'!$A:$H,8,0),0)</f>
        <v>5620.47</v>
      </c>
      <c r="AD152" s="688">
        <f>IFERROR(VLOOKUP($A152,'[92]6月'!$A:$H,8,0),0)</f>
        <v>200</v>
      </c>
      <c r="AE152" s="688">
        <f>IFERROR(VLOOKUP($A152,'[92]7月'!$A:$H,8,0),0)</f>
        <v>6200</v>
      </c>
      <c r="AF152" s="688">
        <f>IFERROR(VLOOKUP($A152,'[92]8月'!$A:$H,8,0),0)</f>
        <v>200</v>
      </c>
      <c r="AG152" s="688">
        <f>IFERROR(VLOOKUP($A152,'[92]9月'!$A:$H,8,0),0)</f>
        <v>200</v>
      </c>
      <c r="AH152" s="688">
        <f>IFERROR(VLOOKUP($A152,'[92]10月'!$A:$H,8,0),0)</f>
        <v>200</v>
      </c>
      <c r="AI152" s="688">
        <f>IFERROR(VLOOKUP($A152,'[92]11月'!$A:$H,8,0),0)</f>
        <v>200</v>
      </c>
      <c r="AJ152" s="688">
        <f>IFERROR(VLOOKUP($A152,'[92]12月'!$A:$H,8,0),0)</f>
        <v>1844</v>
      </c>
      <c r="AK152" s="688">
        <f t="shared" si="54"/>
        <v>16193.470000000001</v>
      </c>
    </row>
    <row r="153" spans="1:37" ht="13.5" customHeight="1">
      <c r="A153" s="686">
        <f>'Budget-合并'!A153</f>
        <v>0</v>
      </c>
      <c r="B153" s="686" t="str">
        <f>'Budget-合并'!B153</f>
        <v>管理费用合计</v>
      </c>
      <c r="C153" s="687">
        <f>'Budget-合并'!C153</f>
        <v>0</v>
      </c>
      <c r="D153" s="677">
        <f t="shared" ca="1" si="65"/>
        <v>195442.91708573332</v>
      </c>
      <c r="E153" s="677" t="e">
        <f t="shared" si="50"/>
        <v>#N/A</v>
      </c>
      <c r="F153" s="677" t="e">
        <f t="shared" ca="1" si="51"/>
        <v>#N/A</v>
      </c>
      <c r="G153" s="677">
        <f t="shared" ca="1" si="55"/>
        <v>195442.91708573332</v>
      </c>
      <c r="H153" s="677" t="e">
        <f t="shared" ca="1" si="52"/>
        <v>#N/A</v>
      </c>
      <c r="I153" s="677" t="e">
        <f t="shared" ca="1" si="53"/>
        <v>#N/A</v>
      </c>
      <c r="K153" s="677">
        <f ca="1">SUM(K44,K62,K75,K79,K80,K92,K127,K132,K140:K152)</f>
        <v>195442.91708573332</v>
      </c>
      <c r="L153" s="677">
        <f t="shared" ref="L153:V153" ca="1" si="66">SUM(L44,L62,L75,L79,L80,L92,L127,L132,L140:L152)</f>
        <v>178609.71693866665</v>
      </c>
      <c r="M153" s="677">
        <f t="shared" ca="1" si="66"/>
        <v>153099.71693866665</v>
      </c>
      <c r="N153" s="677">
        <f t="shared" ca="1" si="66"/>
        <v>171212.21693866665</v>
      </c>
      <c r="O153" s="677">
        <f t="shared" ca="1" si="66"/>
        <v>338361.71693866671</v>
      </c>
      <c r="P153" s="677">
        <f t="shared" ca="1" si="66"/>
        <v>226410.16693866663</v>
      </c>
      <c r="Q153" s="677">
        <f t="shared" ca="1" si="66"/>
        <v>171873.86693866664</v>
      </c>
      <c r="R153" s="677">
        <f t="shared" ca="1" si="66"/>
        <v>189049.36693866664</v>
      </c>
      <c r="S153" s="677">
        <f t="shared" ca="1" si="66"/>
        <v>191087.24893866666</v>
      </c>
      <c r="T153" s="677">
        <f t="shared" ca="1" si="66"/>
        <v>207161.86693866664</v>
      </c>
      <c r="U153" s="677">
        <f t="shared" ca="1" si="66"/>
        <v>192992.66860866663</v>
      </c>
      <c r="V153" s="677">
        <f t="shared" ca="1" si="66"/>
        <v>189049.36693866664</v>
      </c>
      <c r="W153" s="677">
        <f t="shared" ca="1" si="64"/>
        <v>2404350.8370810663</v>
      </c>
      <c r="Y153" s="677">
        <f t="shared" ref="Y153:AK153" si="67">SUM(Y44,Y62,Y75,Y79,Y80,Y92,Y127,Y132,Y140:Y152)</f>
        <v>144150.35</v>
      </c>
      <c r="Z153" s="677">
        <f t="shared" si="67"/>
        <v>156385.07</v>
      </c>
      <c r="AA153" s="677">
        <f t="shared" si="67"/>
        <v>195209.21</v>
      </c>
      <c r="AB153" s="677">
        <f t="shared" si="67"/>
        <v>153304.56000000003</v>
      </c>
      <c r="AC153" s="677">
        <f t="shared" si="67"/>
        <v>307635.08999999997</v>
      </c>
      <c r="AD153" s="677">
        <f t="shared" si="67"/>
        <v>293157.58</v>
      </c>
      <c r="AE153" s="677">
        <f t="shared" si="67"/>
        <v>190920.88</v>
      </c>
      <c r="AF153" s="677">
        <f t="shared" si="67"/>
        <v>230968.60999999996</v>
      </c>
      <c r="AG153" s="677">
        <f t="shared" si="67"/>
        <v>187988.06000000003</v>
      </c>
      <c r="AH153" s="677">
        <f t="shared" si="67"/>
        <v>181058.69999999998</v>
      </c>
      <c r="AI153" s="677">
        <f t="shared" si="67"/>
        <v>170719.88</v>
      </c>
      <c r="AJ153" s="677">
        <f t="shared" si="67"/>
        <v>563421.00000000012</v>
      </c>
      <c r="AK153" s="677">
        <f t="shared" si="67"/>
        <v>2774918.9899999998</v>
      </c>
    </row>
    <row r="154" spans="1:37" ht="13.5" customHeight="1">
      <c r="A154" s="653">
        <f>'Budget-合并'!A154</f>
        <v>0</v>
      </c>
      <c r="B154" s="653">
        <f>'Budget-合并'!B154</f>
        <v>0</v>
      </c>
      <c r="C154" s="687">
        <f>'Budget-合并'!C154</f>
        <v>0</v>
      </c>
      <c r="W154" s="652">
        <f t="shared" si="64"/>
        <v>0</v>
      </c>
    </row>
    <row r="155" spans="1:37" ht="13.5" customHeight="1">
      <c r="A155" s="686" t="str">
        <f>'Budget-合并'!A155</f>
        <v>6603</v>
      </c>
      <c r="B155" s="686" t="str">
        <f>'Budget-合并'!B155</f>
        <v>财务费用</v>
      </c>
      <c r="C155" s="687">
        <f>'Budget-合并'!C155</f>
        <v>0</v>
      </c>
      <c r="D155" s="677"/>
      <c r="E155" s="677"/>
      <c r="F155" s="677"/>
      <c r="G155" s="677"/>
      <c r="H155" s="677"/>
      <c r="I155" s="677"/>
      <c r="K155" s="677"/>
      <c r="L155" s="677"/>
      <c r="M155" s="677"/>
      <c r="N155" s="677"/>
      <c r="O155" s="677"/>
      <c r="P155" s="677"/>
      <c r="Q155" s="677"/>
      <c r="R155" s="677"/>
      <c r="S155" s="677"/>
      <c r="T155" s="677"/>
      <c r="U155" s="677"/>
      <c r="V155" s="677"/>
      <c r="W155" s="677"/>
    </row>
    <row r="156" spans="1:37" ht="13.5" customHeight="1">
      <c r="A156" s="653" t="str">
        <f>'Budget-合并'!A156</f>
        <v>6603.01</v>
      </c>
      <c r="B156" s="653" t="str">
        <f>'Budget-合并'!B156</f>
        <v>汇兑损益</v>
      </c>
      <c r="C156" s="687" t="str">
        <f>'Budget-合并'!C156</f>
        <v>FX Gain/Loss Net</v>
      </c>
      <c r="D156" s="704">
        <f t="shared" si="65"/>
        <v>0</v>
      </c>
      <c r="E156" s="704" t="e">
        <f t="shared" ref="E156:E172" si="68">INDEX($Y156:$AG156,1,MATCH($E$6,$Y$6:$AG$6))</f>
        <v>#N/A</v>
      </c>
      <c r="F156" s="704" t="e">
        <f t="shared" ref="F156:F172" si="69">D156-E156</f>
        <v>#N/A</v>
      </c>
      <c r="G156" s="704">
        <f t="shared" ref="G156:G169" ca="1" si="70">SUM($K156:OFFSET($K156,0,MATCH(G$6,$K$6:$V$6)-1))</f>
        <v>0</v>
      </c>
      <c r="H156" s="704" t="e">
        <f t="shared" ref="H156:H171" ca="1" si="71">SUM($Y156:OFFSET($Y156,0,MATCH(H$6,$Y$6:$AJ$6)-1))</f>
        <v>#N/A</v>
      </c>
      <c r="I156" s="704" t="e">
        <f t="shared" ref="I156:I172" ca="1" si="72">G156-H156</f>
        <v>#N/A</v>
      </c>
      <c r="K156" s="704">
        <f>SUMIFS('Other Exp'!AG$3:AG$196,'Other Exp'!$B$3:$B$196,$D$1,'Other Exp'!$C$3:$C$196,$A156)</f>
        <v>0</v>
      </c>
      <c r="L156" s="704">
        <f>SUMIFS('Other Exp'!AH$3:AH$196,'Other Exp'!$B$3:$B$196,$D$1,'Other Exp'!$C$3:$C$196,$A156)</f>
        <v>0</v>
      </c>
      <c r="M156" s="704">
        <f>SUMIFS('Other Exp'!AI$3:AI$196,'Other Exp'!$B$3:$B$196,$D$1,'Other Exp'!$C$3:$C$196,$A156)</f>
        <v>0</v>
      </c>
      <c r="N156" s="704">
        <f>SUMIFS('Other Exp'!AJ$3:AJ$196,'Other Exp'!$B$3:$B$196,$D$1,'Other Exp'!$C$3:$C$196,$A156)</f>
        <v>0</v>
      </c>
      <c r="O156" s="704">
        <f>SUMIFS('Other Exp'!AK$3:AK$196,'Other Exp'!$B$3:$B$196,$D$1,'Other Exp'!$C$3:$C$196,$A156)</f>
        <v>0</v>
      </c>
      <c r="P156" s="704">
        <f>SUMIFS('Other Exp'!AL$3:AL$196,'Other Exp'!$B$3:$B$196,$D$1,'Other Exp'!$C$3:$C$196,$A156)</f>
        <v>0</v>
      </c>
      <c r="Q156" s="704">
        <f>SUMIFS('Other Exp'!AM$3:AM$196,'Other Exp'!$B$3:$B$196,$D$1,'Other Exp'!$C$3:$C$196,$A156)</f>
        <v>0</v>
      </c>
      <c r="R156" s="704">
        <f>SUMIFS('Other Exp'!AN$3:AN$196,'Other Exp'!$B$3:$B$196,$D$1,'Other Exp'!$C$3:$C$196,$A156)</f>
        <v>0</v>
      </c>
      <c r="S156" s="704">
        <f>SUMIFS('Other Exp'!AO$3:AO$196,'Other Exp'!$B$3:$B$196,$D$1,'Other Exp'!$C$3:$C$196,$A156)</f>
        <v>0</v>
      </c>
      <c r="T156" s="704">
        <f>SUMIFS('Other Exp'!AP$3:AP$196,'Other Exp'!$B$3:$B$196,$D$1,'Other Exp'!$C$3:$C$196,$A156)</f>
        <v>0</v>
      </c>
      <c r="U156" s="704">
        <f>SUMIFS('Other Exp'!AQ$3:AQ$196,'Other Exp'!$B$3:$B$196,$D$1,'Other Exp'!$C$3:$C$196,$A156)</f>
        <v>0</v>
      </c>
      <c r="V156" s="704">
        <f>SUMIFS('Other Exp'!AR$3:AR$196,'Other Exp'!$B$3:$B$196,$D$1,'Other Exp'!$C$3:$C$196,$A156)</f>
        <v>0</v>
      </c>
      <c r="W156" s="704">
        <f t="shared" ref="W156:W169" si="73">SUM(K156:V156)</f>
        <v>0</v>
      </c>
      <c r="Y156" s="688">
        <f>IFERROR(VLOOKUP($A156,'[92]1月'!$A:$H,8,0),0)</f>
        <v>-314009.53000000003</v>
      </c>
      <c r="Z156" s="688">
        <f>IFERROR(VLOOKUP($A156,'[92]2月'!$A:$H,8,0),0)</f>
        <v>178141.17</v>
      </c>
      <c r="AA156" s="688">
        <f>IFERROR(VLOOKUP($A156,'[92]3月'!$A:$H,8,0),0)</f>
        <v>-6867.81</v>
      </c>
      <c r="AB156" s="688">
        <f>IFERROR(VLOOKUP($A156,'[92]4月'!$A:$H,8,0),0)</f>
        <v>112569.06</v>
      </c>
      <c r="AC156" s="688">
        <f>IFERROR(VLOOKUP($A156,'[92]5月'!$A:$H,8,0),0)</f>
        <v>-692558.45</v>
      </c>
      <c r="AD156" s="688">
        <f>IFERROR(VLOOKUP($A156,'[92]6月'!$A:$H,8,0),0)</f>
        <v>-103447.88</v>
      </c>
      <c r="AE156" s="688">
        <f>IFERROR(VLOOKUP($A156,'[92]7月'!$A:$H,8,0),0)</f>
        <v>23942.52</v>
      </c>
      <c r="AF156" s="688">
        <f>IFERROR(VLOOKUP($A156,'[92]8月'!$A:$H,8,0),0)</f>
        <v>351087.29</v>
      </c>
      <c r="AG156" s="688">
        <f>IFERROR(VLOOKUP($A156,'[92]9月'!$A:$H,8,0),0)</f>
        <v>83336.41</v>
      </c>
      <c r="AH156" s="688">
        <f>IFERROR(VLOOKUP($A156,'[92]10月'!$A:$H,8,0),0)</f>
        <v>113001.89</v>
      </c>
      <c r="AI156" s="688">
        <f>IFERROR(VLOOKUP($A156,'[92]11月'!$A:$H,8,0),0)</f>
        <v>-104988.9</v>
      </c>
      <c r="AJ156" s="688">
        <f>IFERROR(VLOOKUP($A156,'[92]12月'!$A:$H,8,0),0)</f>
        <v>23086.59</v>
      </c>
      <c r="AK156" s="688">
        <f t="shared" ref="AK156:AK171" si="74">SUM(Y156:AJ156)</f>
        <v>-336707.63999999996</v>
      </c>
    </row>
    <row r="157" spans="1:37" ht="13.5" customHeight="1">
      <c r="A157" s="663" t="str">
        <f>'Budget-合并'!A157</f>
        <v>6603.02</v>
      </c>
      <c r="B157" s="663" t="str">
        <f>'Budget-合并'!B157</f>
        <v>利息费用</v>
      </c>
      <c r="C157" s="687">
        <f>'Budget-合并'!C157</f>
        <v>0</v>
      </c>
      <c r="D157" s="704">
        <f t="shared" si="65"/>
        <v>2698.8679752999997</v>
      </c>
      <c r="E157" s="704" t="e">
        <f t="shared" si="68"/>
        <v>#N/A</v>
      </c>
      <c r="F157" s="704" t="e">
        <f t="shared" si="69"/>
        <v>#N/A</v>
      </c>
      <c r="G157" s="704">
        <f t="shared" ca="1" si="70"/>
        <v>2698.8679752999997</v>
      </c>
      <c r="H157" s="704" t="e">
        <f t="shared" ca="1" si="71"/>
        <v>#N/A</v>
      </c>
      <c r="I157" s="704" t="e">
        <f t="shared" ca="1" si="72"/>
        <v>#N/A</v>
      </c>
      <c r="K157" s="704">
        <f>SUM(K158:K159,K162)</f>
        <v>2698.8679752999997</v>
      </c>
      <c r="L157" s="704">
        <f t="shared" ref="L157:V157" si="75">SUM(L158:L159,L162)</f>
        <v>2382.07233</v>
      </c>
      <c r="M157" s="704">
        <f t="shared" si="75"/>
        <v>2087.8939180000002</v>
      </c>
      <c r="N157" s="704">
        <f t="shared" si="75"/>
        <v>1792.7097979999999</v>
      </c>
      <c r="O157" s="704">
        <f t="shared" si="75"/>
        <v>1496.5111479999998</v>
      </c>
      <c r="P157" s="704">
        <f t="shared" si="75"/>
        <v>1199.2979680000001</v>
      </c>
      <c r="Q157" s="704">
        <f t="shared" si="75"/>
        <v>901.06143599999996</v>
      </c>
      <c r="R157" s="704">
        <f t="shared" si="75"/>
        <v>601.81037399999991</v>
      </c>
      <c r="S157" s="704">
        <f t="shared" si="75"/>
        <v>235.997322</v>
      </c>
      <c r="T157" s="704">
        <f t="shared" si="75"/>
        <v>0</v>
      </c>
      <c r="U157" s="704">
        <f t="shared" si="75"/>
        <v>0</v>
      </c>
      <c r="V157" s="704">
        <f t="shared" si="75"/>
        <v>0</v>
      </c>
      <c r="W157" s="704">
        <f t="shared" si="73"/>
        <v>13396.2222693</v>
      </c>
      <c r="Y157" s="688">
        <f>IFERROR(VLOOKUP($A157,'[92]1月'!$A:$H,8,0),0)</f>
        <v>0</v>
      </c>
      <c r="Z157" s="688">
        <f>IFERROR(VLOOKUP($A157,'[92]2月'!$A:$H,8,0),0)</f>
        <v>6613.93</v>
      </c>
      <c r="AA157" s="688">
        <f>IFERROR(VLOOKUP($A157,'[92]3月'!$A:$H,8,0),0)</f>
        <v>6293.89</v>
      </c>
      <c r="AB157" s="688">
        <f>IFERROR(VLOOKUP($A157,'[92]4月'!$A:$H,8,0),0)</f>
        <v>5972.74</v>
      </c>
      <c r="AC157" s="688">
        <f>IFERROR(VLOOKUP($A157,'[92]5月'!$A:$H,8,0),0)</f>
        <v>5650.5</v>
      </c>
      <c r="AD157" s="688">
        <f>IFERROR(VLOOKUP($A157,'[92]6月'!$A:$H,8,0),0)</f>
        <v>5327.15</v>
      </c>
      <c r="AE157" s="688">
        <f>IFERROR(VLOOKUP($A157,'[92]7月'!$A:$H,8,0),0)</f>
        <v>5002.6899999999996</v>
      </c>
      <c r="AF157" s="688">
        <f>IFERROR(VLOOKUP($A157,'[92]8月'!$A:$H,8,0),0)</f>
        <v>4677.13</v>
      </c>
      <c r="AG157" s="688">
        <f>IFERROR(VLOOKUP($A157,'[92]9月'!$A:$H,8,0),0)</f>
        <v>4350.4399999999996</v>
      </c>
      <c r="AH157" s="688">
        <f>IFERROR(VLOOKUP($A157,'[92]10月'!$A:$H,8,0),0)</f>
        <v>4022.64</v>
      </c>
      <c r="AI157" s="688">
        <f>IFERROR(VLOOKUP($A157,'[92]11月'!$A:$H,8,0),0)</f>
        <v>3693.71</v>
      </c>
      <c r="AJ157" s="688">
        <f>IFERROR(VLOOKUP($A157,'[92]12月'!$A:$H,8,0),0)</f>
        <v>3363.66</v>
      </c>
      <c r="AK157" s="688">
        <f t="shared" si="74"/>
        <v>54968.479999999996</v>
      </c>
    </row>
    <row r="158" spans="1:37" ht="13.5" customHeight="1">
      <c r="A158" s="653" t="str">
        <f>'Budget-合并'!A158</f>
        <v>6603.02.01</v>
      </c>
      <c r="B158" s="653" t="str">
        <f>'Budget-合并'!B158</f>
        <v>打印机租赁</v>
      </c>
      <c r="C158" s="687">
        <f>'Budget-合并'!C158</f>
        <v>0</v>
      </c>
      <c r="D158" s="704">
        <f t="shared" si="65"/>
        <v>0</v>
      </c>
      <c r="E158" s="704" t="e">
        <f t="shared" si="68"/>
        <v>#N/A</v>
      </c>
      <c r="F158" s="704" t="e">
        <f t="shared" si="69"/>
        <v>#N/A</v>
      </c>
      <c r="G158" s="704">
        <f t="shared" ca="1" si="70"/>
        <v>0</v>
      </c>
      <c r="H158" s="704" t="e">
        <f t="shared" ca="1" si="71"/>
        <v>#N/A</v>
      </c>
      <c r="I158" s="704" t="e">
        <f t="shared" ca="1" si="72"/>
        <v>#N/A</v>
      </c>
      <c r="K158" s="704"/>
      <c r="L158" s="704"/>
      <c r="M158" s="704"/>
      <c r="N158" s="704"/>
      <c r="O158" s="704"/>
      <c r="P158" s="704"/>
      <c r="Q158" s="704"/>
      <c r="R158" s="704"/>
      <c r="S158" s="704"/>
      <c r="T158" s="704"/>
      <c r="U158" s="704"/>
      <c r="V158" s="704"/>
      <c r="W158" s="704">
        <f t="shared" si="73"/>
        <v>0</v>
      </c>
      <c r="Y158" s="688">
        <f>IFERROR(VLOOKUP($A158,'[92]1月'!$A:$H,8,0),0)</f>
        <v>0</v>
      </c>
      <c r="Z158" s="688">
        <f>IFERROR(VLOOKUP($A158,'[92]2月'!$A:$H,8,0),0)</f>
        <v>0</v>
      </c>
      <c r="AA158" s="688">
        <f>IFERROR(VLOOKUP($A158,'[92]3月'!$A:$H,8,0),0)</f>
        <v>0</v>
      </c>
      <c r="AB158" s="688">
        <f>IFERROR(VLOOKUP($A158,'[92]4月'!$A:$H,8,0),0)</f>
        <v>0</v>
      </c>
      <c r="AC158" s="688">
        <f>IFERROR(VLOOKUP($A158,'[92]5月'!$A:$H,8,0),0)</f>
        <v>0</v>
      </c>
      <c r="AD158" s="688">
        <f>IFERROR(VLOOKUP($A158,'[92]6月'!$A:$H,8,0),0)</f>
        <v>0</v>
      </c>
      <c r="AE158" s="688">
        <f>IFERROR(VLOOKUP($A158,'[92]7月'!$A:$H,8,0),0)</f>
        <v>0</v>
      </c>
      <c r="AF158" s="688">
        <f>IFERROR(VLOOKUP($A158,'[92]8月'!$A:$H,8,0),0)</f>
        <v>0</v>
      </c>
      <c r="AG158" s="688">
        <f>IFERROR(VLOOKUP($A158,'[92]9月'!$A:$H,8,0),0)</f>
        <v>0</v>
      </c>
      <c r="AH158" s="688">
        <f>IFERROR(VLOOKUP($A158,'[92]10月'!$A:$H,8,0),0)</f>
        <v>0</v>
      </c>
      <c r="AI158" s="688">
        <f>IFERROR(VLOOKUP($A158,'[92]11月'!$A:$H,8,0),0)</f>
        <v>0</v>
      </c>
      <c r="AJ158" s="688">
        <f>IFERROR(VLOOKUP($A158,'[92]12月'!$A:$H,8,0),0)</f>
        <v>0</v>
      </c>
      <c r="AK158" s="688">
        <f t="shared" si="74"/>
        <v>0</v>
      </c>
    </row>
    <row r="159" spans="1:37" ht="13.5" customHeight="1">
      <c r="A159" s="653" t="str">
        <f>'Budget-合并'!A159</f>
        <v>6603.02.02</v>
      </c>
      <c r="B159" s="653" t="str">
        <f>'Budget-合并'!B159</f>
        <v>办公地址</v>
      </c>
      <c r="C159" s="687">
        <f>'Budget-合并'!C159</f>
        <v>0</v>
      </c>
      <c r="D159" s="704">
        <f t="shared" si="65"/>
        <v>2698.8679752999997</v>
      </c>
      <c r="E159" s="704" t="e">
        <f t="shared" si="68"/>
        <v>#N/A</v>
      </c>
      <c r="F159" s="704" t="e">
        <f t="shared" si="69"/>
        <v>#N/A</v>
      </c>
      <c r="G159" s="704">
        <f t="shared" ca="1" si="70"/>
        <v>2698.8679752999997</v>
      </c>
      <c r="H159" s="704" t="e">
        <f t="shared" ca="1" si="71"/>
        <v>#N/A</v>
      </c>
      <c r="I159" s="704" t="e">
        <f t="shared" ca="1" si="72"/>
        <v>#N/A</v>
      </c>
      <c r="K159" s="704">
        <f>SUM(K160:K161)</f>
        <v>2698.8679752999997</v>
      </c>
      <c r="L159" s="704">
        <f t="shared" ref="L159:V159" si="76">SUM(L160:L161)</f>
        <v>2382.07233</v>
      </c>
      <c r="M159" s="704">
        <f t="shared" si="76"/>
        <v>2087.8939180000002</v>
      </c>
      <c r="N159" s="704">
        <f t="shared" si="76"/>
        <v>1792.7097979999999</v>
      </c>
      <c r="O159" s="704">
        <f t="shared" si="76"/>
        <v>1496.5111479999998</v>
      </c>
      <c r="P159" s="704">
        <f t="shared" si="76"/>
        <v>1199.2979680000001</v>
      </c>
      <c r="Q159" s="704">
        <f t="shared" si="76"/>
        <v>901.06143599999996</v>
      </c>
      <c r="R159" s="704">
        <f t="shared" si="76"/>
        <v>601.81037399999991</v>
      </c>
      <c r="S159" s="704">
        <f t="shared" si="76"/>
        <v>235.997322</v>
      </c>
      <c r="T159" s="704">
        <f t="shared" si="76"/>
        <v>0</v>
      </c>
      <c r="U159" s="704">
        <f t="shared" si="76"/>
        <v>0</v>
      </c>
      <c r="V159" s="704">
        <f t="shared" si="76"/>
        <v>0</v>
      </c>
      <c r="W159" s="704">
        <f t="shared" si="73"/>
        <v>13396.2222693</v>
      </c>
      <c r="Y159" s="688">
        <f>IFERROR(VLOOKUP($A159,'[92]1月'!$A:$H,8,0),0)</f>
        <v>0</v>
      </c>
      <c r="Z159" s="688">
        <f>IFERROR(VLOOKUP($A159,'[92]2月'!$A:$H,8,0),0)</f>
        <v>6613.93</v>
      </c>
      <c r="AA159" s="688">
        <f>IFERROR(VLOOKUP($A159,'[92]3月'!$A:$H,8,0),0)</f>
        <v>6293.89</v>
      </c>
      <c r="AB159" s="688">
        <f>IFERROR(VLOOKUP($A159,'[92]4月'!$A:$H,8,0),0)</f>
        <v>5972.74</v>
      </c>
      <c r="AC159" s="688">
        <f>IFERROR(VLOOKUP($A159,'[92]5月'!$A:$H,8,0),0)</f>
        <v>5650.5</v>
      </c>
      <c r="AD159" s="688">
        <f>IFERROR(VLOOKUP($A159,'[92]6月'!$A:$H,8,0),0)</f>
        <v>5327.15</v>
      </c>
      <c r="AE159" s="688">
        <f>IFERROR(VLOOKUP($A159,'[92]7月'!$A:$H,8,0),0)</f>
        <v>5002.6899999999996</v>
      </c>
      <c r="AF159" s="688">
        <f>IFERROR(VLOOKUP($A159,'[92]8月'!$A:$H,8,0),0)</f>
        <v>4677.13</v>
      </c>
      <c r="AG159" s="688">
        <f>IFERROR(VLOOKUP($A159,'[92]9月'!$A:$H,8,0),0)</f>
        <v>4350.4399999999996</v>
      </c>
      <c r="AH159" s="688">
        <f>IFERROR(VLOOKUP($A159,'[92]10月'!$A:$H,8,0),0)</f>
        <v>4022.64</v>
      </c>
      <c r="AI159" s="688">
        <f>IFERROR(VLOOKUP($A159,'[92]11月'!$A:$H,8,0),0)</f>
        <v>3693.71</v>
      </c>
      <c r="AJ159" s="688">
        <f>IFERROR(VLOOKUP($A159,'[92]12月'!$A:$H,8,0),0)</f>
        <v>3363.66</v>
      </c>
      <c r="AK159" s="688">
        <f t="shared" si="74"/>
        <v>54968.479999999996</v>
      </c>
    </row>
    <row r="160" spans="1:37" ht="13.5" customHeight="1">
      <c r="A160" s="653" t="str">
        <f>'Budget-合并'!A160</f>
        <v>6603.02.02.01</v>
      </c>
      <c r="B160" s="653" t="str">
        <f>'Budget-合并'!B160</f>
        <v>旭智咨询--鼎和大厦1606</v>
      </c>
      <c r="C160" s="687">
        <f>'Budget-合并'!C160</f>
        <v>0</v>
      </c>
      <c r="D160" s="704">
        <f t="shared" si="65"/>
        <v>0</v>
      </c>
      <c r="E160" s="704" t="e">
        <f t="shared" si="68"/>
        <v>#N/A</v>
      </c>
      <c r="F160" s="704" t="e">
        <f t="shared" si="69"/>
        <v>#N/A</v>
      </c>
      <c r="G160" s="704">
        <f t="shared" ca="1" si="70"/>
        <v>0</v>
      </c>
      <c r="H160" s="704" t="e">
        <f t="shared" ca="1" si="71"/>
        <v>#N/A</v>
      </c>
      <c r="I160" s="704" t="e">
        <f t="shared" ca="1" si="72"/>
        <v>#N/A</v>
      </c>
      <c r="K160" s="704"/>
      <c r="L160" s="704"/>
      <c r="M160" s="704"/>
      <c r="N160" s="704"/>
      <c r="O160" s="704"/>
      <c r="P160" s="704"/>
      <c r="Q160" s="704"/>
      <c r="R160" s="704"/>
      <c r="S160" s="704"/>
      <c r="T160" s="704"/>
      <c r="U160" s="704"/>
      <c r="V160" s="704"/>
      <c r="W160" s="704">
        <f t="shared" si="73"/>
        <v>0</v>
      </c>
      <c r="Y160" s="688">
        <f>IFERROR(VLOOKUP($A160,'[92]1月'!$A:$H,8,0),0)</f>
        <v>0</v>
      </c>
      <c r="Z160" s="688">
        <f>IFERROR(VLOOKUP($A160,'[92]2月'!$A:$H,8,0),0)</f>
        <v>0</v>
      </c>
      <c r="AA160" s="688">
        <f>IFERROR(VLOOKUP($A160,'[92]3月'!$A:$H,8,0),0)</f>
        <v>0</v>
      </c>
      <c r="AB160" s="688">
        <f>IFERROR(VLOOKUP($A160,'[92]4月'!$A:$H,8,0),0)</f>
        <v>0</v>
      </c>
      <c r="AC160" s="688">
        <f>IFERROR(VLOOKUP($A160,'[92]5月'!$A:$H,8,0),0)</f>
        <v>0</v>
      </c>
      <c r="AD160" s="688">
        <f>IFERROR(VLOOKUP($A160,'[92]6月'!$A:$H,8,0),0)</f>
        <v>0</v>
      </c>
      <c r="AE160" s="688">
        <f>IFERROR(VLOOKUP($A160,'[92]7月'!$A:$H,8,0),0)</f>
        <v>0</v>
      </c>
      <c r="AF160" s="688">
        <f>IFERROR(VLOOKUP($A160,'[92]8月'!$A:$H,8,0),0)</f>
        <v>0</v>
      </c>
      <c r="AG160" s="688">
        <f>IFERROR(VLOOKUP($A160,'[92]9月'!$A:$H,8,0),0)</f>
        <v>0</v>
      </c>
      <c r="AH160" s="688">
        <f>IFERROR(VLOOKUP($A160,'[92]10月'!$A:$H,8,0),0)</f>
        <v>0</v>
      </c>
      <c r="AI160" s="688">
        <f>IFERROR(VLOOKUP($A160,'[92]11月'!$A:$H,8,0),0)</f>
        <v>0</v>
      </c>
      <c r="AJ160" s="688">
        <f>IFERROR(VLOOKUP($A160,'[92]12月'!$A:$H,8,0),0)</f>
        <v>0</v>
      </c>
      <c r="AK160" s="688">
        <f t="shared" si="74"/>
        <v>0</v>
      </c>
    </row>
    <row r="161" spans="1:37" ht="13.5" customHeight="1">
      <c r="A161" s="653" t="str">
        <f>'Budget-合并'!A161</f>
        <v>6603.02.02.02</v>
      </c>
      <c r="B161" s="653" t="str">
        <f>'Budget-合并'!B161</f>
        <v>旭智资本（香港）--冯氏大厦</v>
      </c>
      <c r="C161" s="687" t="str">
        <f>'Budget-合并'!C161</f>
        <v>Interest Expense Lease</v>
      </c>
      <c r="D161" s="704">
        <f t="shared" si="65"/>
        <v>2698.8679752999997</v>
      </c>
      <c r="E161" s="704" t="e">
        <f t="shared" si="68"/>
        <v>#N/A</v>
      </c>
      <c r="F161" s="704" t="e">
        <f t="shared" si="69"/>
        <v>#N/A</v>
      </c>
      <c r="G161" s="704">
        <f t="shared" ca="1" si="70"/>
        <v>2698.8679752999997</v>
      </c>
      <c r="H161" s="704" t="e">
        <f t="shared" ca="1" si="71"/>
        <v>#N/A</v>
      </c>
      <c r="I161" s="704" t="e">
        <f t="shared" ca="1" si="72"/>
        <v>#N/A</v>
      </c>
      <c r="K161" s="704">
        <f>3032.47*HLOOKUP(K$6,'FX Lookup'!$A$2:$Y$5,3,FALSE)</f>
        <v>2698.8679752999997</v>
      </c>
      <c r="L161" s="704">
        <f>2700.15*HLOOKUP(L$6,'FX Lookup'!$A$2:$Y$5,3,FALSE)</f>
        <v>2382.07233</v>
      </c>
      <c r="M161" s="704">
        <f>2366.69*HLOOKUP(M$6,'FX Lookup'!$A$2:$Y$5,3,FALSE)</f>
        <v>2087.8939180000002</v>
      </c>
      <c r="N161" s="704">
        <f>2032.09*HLOOKUP(N6,'FX Lookup'!$A$2:$Y$5,3,FALSE)</f>
        <v>1792.7097979999999</v>
      </c>
      <c r="O161" s="704">
        <f>1696.34*HLOOKUP(O6,'FX Lookup'!$A$2:$Y$5,3,FALSE)</f>
        <v>1496.5111479999998</v>
      </c>
      <c r="P161" s="704">
        <f>1359.44*HLOOKUP(P6,'FX Lookup'!$A$2:$Y$5,3,FALSE)</f>
        <v>1199.2979680000001</v>
      </c>
      <c r="Q161" s="704">
        <f>1021.38*HLOOKUP(Q6,'FX Lookup'!$A$2:$Y$5,3,FALSE)</f>
        <v>901.06143599999996</v>
      </c>
      <c r="R161" s="704">
        <f>682.17*HLOOKUP(R6,'FX Lookup'!$A$2:$Y$5,3,FALSE)</f>
        <v>601.81037399999991</v>
      </c>
      <c r="S161" s="704">
        <f>267.51*HLOOKUP(S6,'FX Lookup'!$A$2:$Y$5,3,FALSE)</f>
        <v>235.997322</v>
      </c>
      <c r="T161" s="704"/>
      <c r="U161" s="704"/>
      <c r="V161" s="704"/>
      <c r="W161" s="704">
        <f t="shared" si="73"/>
        <v>13396.2222693</v>
      </c>
      <c r="X161" s="652" t="s">
        <v>2549</v>
      </c>
      <c r="Y161" s="688">
        <f>IFERROR(VLOOKUP($A161,'[92]1月'!$A:$H,8,0),0)</f>
        <v>0</v>
      </c>
      <c r="Z161" s="688">
        <f>IFERROR(VLOOKUP($A161,'[92]2月'!$A:$H,8,0),0)</f>
        <v>6613.93</v>
      </c>
      <c r="AA161" s="688">
        <f>IFERROR(VLOOKUP($A161,'[92]3月'!$A:$H,8,0),0)</f>
        <v>6293.89</v>
      </c>
      <c r="AB161" s="688">
        <f>IFERROR(VLOOKUP($A161,'[92]4月'!$A:$H,8,0),0)</f>
        <v>5972.74</v>
      </c>
      <c r="AC161" s="688">
        <f>IFERROR(VLOOKUP($A161,'[92]5月'!$A:$H,8,0),0)</f>
        <v>5650.5</v>
      </c>
      <c r="AD161" s="688">
        <f>IFERROR(VLOOKUP($A161,'[92]6月'!$A:$H,8,0),0)</f>
        <v>5327.15</v>
      </c>
      <c r="AE161" s="688">
        <f>IFERROR(VLOOKUP($A161,'[92]7月'!$A:$H,8,0),0)</f>
        <v>5002.6899999999996</v>
      </c>
      <c r="AF161" s="688">
        <f>IFERROR(VLOOKUP($A161,'[92]8月'!$A:$H,8,0),0)</f>
        <v>4677.13</v>
      </c>
      <c r="AG161" s="688">
        <f>IFERROR(VLOOKUP($A161,'[92]9月'!$A:$H,8,0),0)</f>
        <v>4350.4399999999996</v>
      </c>
      <c r="AH161" s="688">
        <f>IFERROR(VLOOKUP($A161,'[92]10月'!$A:$H,8,0),0)</f>
        <v>4022.64</v>
      </c>
      <c r="AI161" s="688">
        <f>IFERROR(VLOOKUP($A161,'[92]11月'!$A:$H,8,0),0)</f>
        <v>3693.71</v>
      </c>
      <c r="AJ161" s="688">
        <f>IFERROR(VLOOKUP($A161,'[92]12月'!$A:$H,8,0),0)</f>
        <v>3363.66</v>
      </c>
      <c r="AK161" s="688">
        <f t="shared" si="74"/>
        <v>54968.479999999996</v>
      </c>
    </row>
    <row r="162" spans="1:37" ht="13.5" customHeight="1">
      <c r="A162" s="653" t="str">
        <f>'Budget-合并'!A162</f>
        <v>6603.02.03</v>
      </c>
      <c r="B162" s="653" t="str">
        <f>'Budget-合并'!B162</f>
        <v>注册地址</v>
      </c>
      <c r="C162" s="687">
        <f>'Budget-合并'!C162</f>
        <v>0</v>
      </c>
      <c r="D162" s="704">
        <f t="shared" si="65"/>
        <v>0</v>
      </c>
      <c r="E162" s="704" t="e">
        <f t="shared" si="68"/>
        <v>#N/A</v>
      </c>
      <c r="F162" s="704" t="e">
        <f t="shared" si="69"/>
        <v>#N/A</v>
      </c>
      <c r="G162" s="704">
        <f t="shared" ca="1" si="70"/>
        <v>0</v>
      </c>
      <c r="H162" s="704" t="e">
        <f t="shared" ca="1" si="71"/>
        <v>#N/A</v>
      </c>
      <c r="I162" s="704" t="e">
        <f t="shared" ca="1" si="72"/>
        <v>#N/A</v>
      </c>
      <c r="K162" s="704">
        <f>SUM(K163:K164)</f>
        <v>0</v>
      </c>
      <c r="L162" s="704">
        <f t="shared" ref="L162:V162" si="77">SUM(L163:L164)</f>
        <v>0</v>
      </c>
      <c r="M162" s="704">
        <f t="shared" si="77"/>
        <v>0</v>
      </c>
      <c r="N162" s="704">
        <f t="shared" si="77"/>
        <v>0</v>
      </c>
      <c r="O162" s="704">
        <f t="shared" si="77"/>
        <v>0</v>
      </c>
      <c r="P162" s="704">
        <f t="shared" si="77"/>
        <v>0</v>
      </c>
      <c r="Q162" s="704">
        <f t="shared" si="77"/>
        <v>0</v>
      </c>
      <c r="R162" s="704">
        <f t="shared" si="77"/>
        <v>0</v>
      </c>
      <c r="S162" s="704">
        <f t="shared" si="77"/>
        <v>0</v>
      </c>
      <c r="T162" s="704">
        <f t="shared" si="77"/>
        <v>0</v>
      </c>
      <c r="U162" s="704">
        <f t="shared" si="77"/>
        <v>0</v>
      </c>
      <c r="V162" s="704">
        <f t="shared" si="77"/>
        <v>0</v>
      </c>
      <c r="W162" s="704">
        <f t="shared" si="73"/>
        <v>0</v>
      </c>
      <c r="Y162" s="688">
        <f>IFERROR(VLOOKUP($A162,'[92]1月'!$A:$H,8,0),0)</f>
        <v>0</v>
      </c>
      <c r="Z162" s="688">
        <f>IFERROR(VLOOKUP($A162,'[92]2月'!$A:$H,8,0),0)</f>
        <v>0</v>
      </c>
      <c r="AA162" s="688">
        <f>IFERROR(VLOOKUP($A162,'[92]3月'!$A:$H,8,0),0)</f>
        <v>0</v>
      </c>
      <c r="AB162" s="688">
        <f>IFERROR(VLOOKUP($A162,'[92]4月'!$A:$H,8,0),0)</f>
        <v>0</v>
      </c>
      <c r="AC162" s="688">
        <f>IFERROR(VLOOKUP($A162,'[92]5月'!$A:$H,8,0),0)</f>
        <v>0</v>
      </c>
      <c r="AD162" s="688">
        <f>IFERROR(VLOOKUP($A162,'[92]6月'!$A:$H,8,0),0)</f>
        <v>0</v>
      </c>
      <c r="AE162" s="688">
        <f>IFERROR(VLOOKUP($A162,'[92]7月'!$A:$H,8,0),0)</f>
        <v>0</v>
      </c>
      <c r="AF162" s="688">
        <f>IFERROR(VLOOKUP($A162,'[92]8月'!$A:$H,8,0),0)</f>
        <v>0</v>
      </c>
      <c r="AG162" s="688">
        <f>IFERROR(VLOOKUP($A162,'[92]9月'!$A:$H,8,0),0)</f>
        <v>0</v>
      </c>
      <c r="AH162" s="688">
        <f>IFERROR(VLOOKUP($A162,'[92]10月'!$A:$H,8,0),0)</f>
        <v>0</v>
      </c>
      <c r="AI162" s="688">
        <f>IFERROR(VLOOKUP($A162,'[92]11月'!$A:$H,8,0),0)</f>
        <v>0</v>
      </c>
      <c r="AJ162" s="688">
        <f>IFERROR(VLOOKUP($A162,'[92]12月'!$A:$H,8,0),0)</f>
        <v>0</v>
      </c>
      <c r="AK162" s="688">
        <f t="shared" si="74"/>
        <v>0</v>
      </c>
    </row>
    <row r="163" spans="1:37" ht="13.5" customHeight="1">
      <c r="A163" s="653" t="str">
        <f>'Budget-合并'!A163</f>
        <v>6603.02.03.01</v>
      </c>
      <c r="B163" s="653" t="str">
        <f>'Budget-合并'!B163</f>
        <v>旭智私募--前海壹号B座701E</v>
      </c>
      <c r="C163" s="687">
        <f>'Budget-合并'!C163</f>
        <v>0</v>
      </c>
      <c r="D163" s="704">
        <f t="shared" si="65"/>
        <v>0</v>
      </c>
      <c r="E163" s="704" t="e">
        <f t="shared" si="68"/>
        <v>#N/A</v>
      </c>
      <c r="F163" s="704" t="e">
        <f t="shared" si="69"/>
        <v>#N/A</v>
      </c>
      <c r="G163" s="704">
        <f t="shared" ca="1" si="70"/>
        <v>0</v>
      </c>
      <c r="H163" s="704" t="e">
        <f t="shared" ca="1" si="71"/>
        <v>#N/A</v>
      </c>
      <c r="I163" s="704" t="e">
        <f t="shared" ca="1" si="72"/>
        <v>#N/A</v>
      </c>
      <c r="K163" s="704"/>
      <c r="L163" s="704"/>
      <c r="M163" s="704"/>
      <c r="N163" s="704"/>
      <c r="O163" s="704"/>
      <c r="P163" s="704"/>
      <c r="Q163" s="704"/>
      <c r="R163" s="704"/>
      <c r="S163" s="704"/>
      <c r="T163" s="704"/>
      <c r="U163" s="704"/>
      <c r="V163" s="704"/>
      <c r="W163" s="704">
        <f t="shared" si="73"/>
        <v>0</v>
      </c>
      <c r="Y163" s="688">
        <f>IFERROR(VLOOKUP($A163,'[92]1月'!$A:$H,8,0),0)</f>
        <v>0</v>
      </c>
      <c r="Z163" s="688">
        <f>IFERROR(VLOOKUP($A163,'[92]2月'!$A:$H,8,0),0)</f>
        <v>0</v>
      </c>
      <c r="AA163" s="688">
        <f>IFERROR(VLOOKUP($A163,'[92]3月'!$A:$H,8,0),0)</f>
        <v>0</v>
      </c>
      <c r="AB163" s="688">
        <f>IFERROR(VLOOKUP($A163,'[92]4月'!$A:$H,8,0),0)</f>
        <v>0</v>
      </c>
      <c r="AC163" s="688">
        <f>IFERROR(VLOOKUP($A163,'[92]5月'!$A:$H,8,0),0)</f>
        <v>0</v>
      </c>
      <c r="AD163" s="688">
        <f>IFERROR(VLOOKUP($A163,'[92]6月'!$A:$H,8,0),0)</f>
        <v>0</v>
      </c>
      <c r="AE163" s="688">
        <f>IFERROR(VLOOKUP($A163,'[92]7月'!$A:$H,8,0),0)</f>
        <v>0</v>
      </c>
      <c r="AF163" s="688">
        <f>IFERROR(VLOOKUP($A163,'[92]8月'!$A:$H,8,0),0)</f>
        <v>0</v>
      </c>
      <c r="AG163" s="688">
        <f>IFERROR(VLOOKUP($A163,'[92]9月'!$A:$H,8,0),0)</f>
        <v>0</v>
      </c>
      <c r="AH163" s="688">
        <f>IFERROR(VLOOKUP($A163,'[92]10月'!$A:$H,8,0),0)</f>
        <v>0</v>
      </c>
      <c r="AI163" s="688">
        <f>IFERROR(VLOOKUP($A163,'[92]11月'!$A:$H,8,0),0)</f>
        <v>0</v>
      </c>
      <c r="AJ163" s="688">
        <f>IFERROR(VLOOKUP($A163,'[92]12月'!$A:$H,8,0),0)</f>
        <v>0</v>
      </c>
      <c r="AK163" s="688">
        <f t="shared" si="74"/>
        <v>0</v>
      </c>
    </row>
    <row r="164" spans="1:37" ht="13.5" customHeight="1">
      <c r="A164" s="653" t="str">
        <f>'Budget-合并'!A164</f>
        <v>6603.02.03.02</v>
      </c>
      <c r="B164" s="653" t="str">
        <f>'Budget-合并'!B164</f>
        <v>广州旭智--802房F028</v>
      </c>
      <c r="C164" s="687">
        <f>'Budget-合并'!C164</f>
        <v>0</v>
      </c>
      <c r="D164" s="704">
        <f t="shared" si="65"/>
        <v>0</v>
      </c>
      <c r="E164" s="704" t="e">
        <f t="shared" si="68"/>
        <v>#N/A</v>
      </c>
      <c r="F164" s="704" t="e">
        <f t="shared" si="69"/>
        <v>#N/A</v>
      </c>
      <c r="G164" s="704">
        <f t="shared" ca="1" si="70"/>
        <v>0</v>
      </c>
      <c r="H164" s="704" t="e">
        <f t="shared" ca="1" si="71"/>
        <v>#N/A</v>
      </c>
      <c r="I164" s="704" t="e">
        <f t="shared" ca="1" si="72"/>
        <v>#N/A</v>
      </c>
      <c r="K164" s="704"/>
      <c r="L164" s="704"/>
      <c r="M164" s="704"/>
      <c r="N164" s="704"/>
      <c r="O164" s="704"/>
      <c r="P164" s="704"/>
      <c r="Q164" s="704"/>
      <c r="R164" s="704"/>
      <c r="S164" s="704"/>
      <c r="T164" s="704"/>
      <c r="U164" s="704"/>
      <c r="V164" s="704"/>
      <c r="W164" s="704">
        <f t="shared" si="73"/>
        <v>0</v>
      </c>
      <c r="Y164" s="688">
        <f>IFERROR(VLOOKUP($A164,'[92]1月'!$A:$H,8,0),0)</f>
        <v>0</v>
      </c>
      <c r="Z164" s="688">
        <f>IFERROR(VLOOKUP($A164,'[92]2月'!$A:$H,8,0),0)</f>
        <v>0</v>
      </c>
      <c r="AA164" s="688">
        <f>IFERROR(VLOOKUP($A164,'[92]3月'!$A:$H,8,0),0)</f>
        <v>0</v>
      </c>
      <c r="AB164" s="688">
        <f>IFERROR(VLOOKUP($A164,'[92]4月'!$A:$H,8,0),0)</f>
        <v>0</v>
      </c>
      <c r="AC164" s="688">
        <f>IFERROR(VLOOKUP($A164,'[92]5月'!$A:$H,8,0),0)</f>
        <v>0</v>
      </c>
      <c r="AD164" s="688">
        <f>IFERROR(VLOOKUP($A164,'[92]6月'!$A:$H,8,0),0)</f>
        <v>0</v>
      </c>
      <c r="AE164" s="688">
        <f>IFERROR(VLOOKUP($A164,'[92]7月'!$A:$H,8,0),0)</f>
        <v>0</v>
      </c>
      <c r="AF164" s="688">
        <f>IFERROR(VLOOKUP($A164,'[92]8月'!$A:$H,8,0),0)</f>
        <v>0</v>
      </c>
      <c r="AG164" s="688">
        <f>IFERROR(VLOOKUP($A164,'[92]9月'!$A:$H,8,0),0)</f>
        <v>0</v>
      </c>
      <c r="AH164" s="688">
        <f>IFERROR(VLOOKUP($A164,'[92]10月'!$A:$H,8,0),0)</f>
        <v>0</v>
      </c>
      <c r="AI164" s="688">
        <f>IFERROR(VLOOKUP($A164,'[92]11月'!$A:$H,8,0),0)</f>
        <v>0</v>
      </c>
      <c r="AJ164" s="688">
        <f>IFERROR(VLOOKUP($A164,'[92]12月'!$A:$H,8,0),0)</f>
        <v>0</v>
      </c>
      <c r="AK164" s="688">
        <f t="shared" si="74"/>
        <v>0</v>
      </c>
    </row>
    <row r="165" spans="1:37" ht="13.5" customHeight="1">
      <c r="A165" s="653" t="str">
        <f>'Budget-合并'!A165</f>
        <v>6603.03</v>
      </c>
      <c r="B165" s="653" t="str">
        <f>'Budget-合并'!B165</f>
        <v>银行手续费</v>
      </c>
      <c r="C165" s="687" t="str">
        <f>'Budget-合并'!C165</f>
        <v>Bank Charges</v>
      </c>
      <c r="D165" s="704">
        <f t="shared" si="65"/>
        <v>177.99799999999999</v>
      </c>
      <c r="E165" s="704" t="e">
        <f t="shared" si="68"/>
        <v>#N/A</v>
      </c>
      <c r="F165" s="704" t="e">
        <f t="shared" si="69"/>
        <v>#N/A</v>
      </c>
      <c r="G165" s="704">
        <f t="shared" ca="1" si="70"/>
        <v>177.99799999999999</v>
      </c>
      <c r="H165" s="704" t="e">
        <f t="shared" ca="1" si="71"/>
        <v>#N/A</v>
      </c>
      <c r="I165" s="704" t="e">
        <f t="shared" ca="1" si="72"/>
        <v>#N/A</v>
      </c>
      <c r="K165" s="704">
        <f>SUMIFS('Other Exp'!AG$3:AG$196,'Other Exp'!$B$3:$B$196,$D$1,'Other Exp'!$C$3:$C$196,$A165)</f>
        <v>177.99799999999999</v>
      </c>
      <c r="L165" s="704">
        <f>SUMIFS('Other Exp'!AH$3:AH$196,'Other Exp'!$B$3:$B$196,$D$1,'Other Exp'!$C$3:$C$196,$A165)</f>
        <v>176.44</v>
      </c>
      <c r="M165" s="704">
        <f>SUMIFS('Other Exp'!AI$3:AI$196,'Other Exp'!$B$3:$B$196,$D$1,'Other Exp'!$C$3:$C$196,$A165)</f>
        <v>176.44</v>
      </c>
      <c r="N165" s="704">
        <f>SUMIFS('Other Exp'!AJ$3:AJ$196,'Other Exp'!$B$3:$B$196,$D$1,'Other Exp'!$C$3:$C$196,$A165)</f>
        <v>176.44</v>
      </c>
      <c r="O165" s="704">
        <f>SUMIFS('Other Exp'!AK$3:AK$196,'Other Exp'!$B$3:$B$196,$D$1,'Other Exp'!$C$3:$C$196,$A165)</f>
        <v>176.44</v>
      </c>
      <c r="P165" s="704">
        <f>SUMIFS('Other Exp'!AL$3:AL$196,'Other Exp'!$B$3:$B$196,$D$1,'Other Exp'!$C$3:$C$196,$A165)</f>
        <v>176.44</v>
      </c>
      <c r="Q165" s="704">
        <f>SUMIFS('Other Exp'!AM$3:AM$196,'Other Exp'!$B$3:$B$196,$D$1,'Other Exp'!$C$3:$C$196,$A165)</f>
        <v>176.44</v>
      </c>
      <c r="R165" s="704">
        <f>SUMIFS('Other Exp'!AN$3:AN$196,'Other Exp'!$B$3:$B$196,$D$1,'Other Exp'!$C$3:$C$196,$A165)</f>
        <v>176.44</v>
      </c>
      <c r="S165" s="704">
        <f>SUMIFS('Other Exp'!AO$3:AO$196,'Other Exp'!$B$3:$B$196,$D$1,'Other Exp'!$C$3:$C$196,$A165)</f>
        <v>176.44</v>
      </c>
      <c r="T165" s="704">
        <f>SUMIFS('Other Exp'!AP$3:AP$196,'Other Exp'!$B$3:$B$196,$D$1,'Other Exp'!$C$3:$C$196,$A165)</f>
        <v>176.44</v>
      </c>
      <c r="U165" s="704">
        <f>SUMIFS('Other Exp'!AQ$3:AQ$196,'Other Exp'!$B$3:$B$196,$D$1,'Other Exp'!$C$3:$C$196,$A165)</f>
        <v>176.44</v>
      </c>
      <c r="V165" s="704">
        <f>SUMIFS('Other Exp'!AR$3:AR$196,'Other Exp'!$B$3:$B$196,$D$1,'Other Exp'!$C$3:$C$196,$A165)</f>
        <v>176.44</v>
      </c>
      <c r="W165" s="704">
        <f t="shared" si="73"/>
        <v>2118.8380000000002</v>
      </c>
      <c r="Y165" s="688">
        <f>IFERROR(VLOOKUP($A165,'[92]1月'!$A:$H,8,0),0)</f>
        <v>7.7</v>
      </c>
      <c r="Z165" s="688">
        <f>IFERROR(VLOOKUP($A165,'[92]2月'!$A:$H,8,0),0)</f>
        <v>974.35</v>
      </c>
      <c r="AA165" s="688">
        <f>IFERROR(VLOOKUP($A165,'[92]3月'!$A:$H,8,0),0)</f>
        <v>280.87</v>
      </c>
      <c r="AB165" s="688">
        <f>IFERROR(VLOOKUP($A165,'[92]4月'!$A:$H,8,0),0)</f>
        <v>673.16</v>
      </c>
      <c r="AC165" s="688">
        <f>IFERROR(VLOOKUP($A165,'[92]5月'!$A:$H,8,0),0)</f>
        <v>345.69</v>
      </c>
      <c r="AD165" s="688">
        <f>IFERROR(VLOOKUP($A165,'[92]6月'!$A:$H,8,0),0)</f>
        <v>73.8</v>
      </c>
      <c r="AE165" s="688">
        <f>IFERROR(VLOOKUP($A165,'[92]7月'!$A:$H,8,0),0)</f>
        <v>221.35</v>
      </c>
      <c r="AF165" s="688">
        <f>IFERROR(VLOOKUP($A165,'[92]8月'!$A:$H,8,0),0)</f>
        <v>76.760000000000005</v>
      </c>
      <c r="AG165" s="688">
        <f>IFERROR(VLOOKUP($A165,'[92]9月'!$A:$H,8,0),0)</f>
        <v>173.25</v>
      </c>
      <c r="AH165" s="688">
        <f>IFERROR(VLOOKUP($A165,'[92]10月'!$A:$H,8,0),0)</f>
        <v>113.09</v>
      </c>
      <c r="AI165" s="688">
        <f>IFERROR(VLOOKUP($A165,'[92]11月'!$A:$H,8,0),0)</f>
        <v>9.9</v>
      </c>
      <c r="AJ165" s="688">
        <f>IFERROR(VLOOKUP($A165,'[92]12月'!$A:$H,8,0),0)</f>
        <v>7.7</v>
      </c>
      <c r="AK165" s="688">
        <f t="shared" si="74"/>
        <v>2957.6200000000003</v>
      </c>
    </row>
    <row r="166" spans="1:37" ht="13.5" customHeight="1">
      <c r="A166" s="653" t="str">
        <f>'Budget-合并'!A166</f>
        <v>6603.04</v>
      </c>
      <c r="B166" s="653" t="str">
        <f>'Budget-合并'!B166</f>
        <v>利息收入</v>
      </c>
      <c r="C166" s="687" t="str">
        <f>'Budget-合并'!C166</f>
        <v>Bank Interest Income</v>
      </c>
      <c r="D166" s="704">
        <f t="shared" si="65"/>
        <v>0</v>
      </c>
      <c r="E166" s="704" t="e">
        <f t="shared" si="68"/>
        <v>#N/A</v>
      </c>
      <c r="F166" s="704" t="e">
        <f t="shared" si="69"/>
        <v>#N/A</v>
      </c>
      <c r="G166" s="704">
        <f t="shared" ca="1" si="70"/>
        <v>0</v>
      </c>
      <c r="H166" s="704" t="e">
        <f t="shared" ca="1" si="71"/>
        <v>#N/A</v>
      </c>
      <c r="I166" s="704" t="e">
        <f t="shared" ca="1" si="72"/>
        <v>#N/A</v>
      </c>
      <c r="K166" s="704"/>
      <c r="L166" s="704"/>
      <c r="M166" s="704"/>
      <c r="N166" s="704"/>
      <c r="O166" s="704"/>
      <c r="P166" s="704"/>
      <c r="Q166" s="704"/>
      <c r="R166" s="704"/>
      <c r="S166" s="704"/>
      <c r="T166" s="704"/>
      <c r="U166" s="704"/>
      <c r="V166" s="704"/>
      <c r="W166" s="704">
        <f t="shared" si="73"/>
        <v>0</v>
      </c>
      <c r="Y166" s="688">
        <f>IFERROR(VLOOKUP($A166,'[92]1月'!$A:$H,8,0),0)</f>
        <v>-935.37</v>
      </c>
      <c r="Z166" s="688">
        <f>IFERROR(VLOOKUP($A166,'[92]2月'!$A:$H,8,0),0)</f>
        <v>-2741.14</v>
      </c>
      <c r="AA166" s="688">
        <f>IFERROR(VLOOKUP($A166,'[92]3月'!$A:$H,8,0),0)</f>
        <v>-2837.64</v>
      </c>
      <c r="AB166" s="688">
        <f>IFERROR(VLOOKUP($A166,'[92]4月'!$A:$H,8,0),0)</f>
        <v>-15831.7</v>
      </c>
      <c r="AC166" s="688">
        <f>IFERROR(VLOOKUP($A166,'[92]5月'!$A:$H,8,0),0)</f>
        <v>-1342.37</v>
      </c>
      <c r="AD166" s="688">
        <f>IFERROR(VLOOKUP($A166,'[92]6月'!$A:$H,8,0),0)</f>
        <v>-1117.26</v>
      </c>
      <c r="AE166" s="688">
        <f>IFERROR(VLOOKUP($A166,'[92]7月'!$A:$H,8,0),0)</f>
        <v>1934.56</v>
      </c>
      <c r="AF166" s="688">
        <f>IFERROR(VLOOKUP($A166,'[92]8月'!$A:$H,8,0),0)</f>
        <v>-178.86</v>
      </c>
      <c r="AG166" s="688">
        <f>IFERROR(VLOOKUP($A166,'[92]9月'!$A:$H,8,0),0)</f>
        <v>-316.64999999999998</v>
      </c>
      <c r="AH166" s="688">
        <f>IFERROR(VLOOKUP($A166,'[92]10月'!$A:$H,8,0),0)</f>
        <v>-355.7</v>
      </c>
      <c r="AI166" s="688">
        <f>IFERROR(VLOOKUP($A166,'[92]11月'!$A:$H,8,0),0)</f>
        <v>-13.71</v>
      </c>
      <c r="AJ166" s="688">
        <f>IFERROR(VLOOKUP($A166,'[92]12月'!$A:$H,8,0),0)</f>
        <v>-875.99</v>
      </c>
      <c r="AK166" s="688">
        <f t="shared" si="74"/>
        <v>-24611.829999999998</v>
      </c>
    </row>
    <row r="167" spans="1:37" ht="13.5" customHeight="1">
      <c r="A167" s="663" t="str">
        <f>'Budget-合并'!A167</f>
        <v>6603.05</v>
      </c>
      <c r="B167" s="663" t="str">
        <f>'Budget-合并'!B167</f>
        <v>利息支出</v>
      </c>
      <c r="C167" s="687">
        <f>'Budget-合并'!C167</f>
        <v>0</v>
      </c>
      <c r="D167" s="704">
        <f t="shared" si="65"/>
        <v>0</v>
      </c>
      <c r="E167" s="704" t="e">
        <f t="shared" si="68"/>
        <v>#N/A</v>
      </c>
      <c r="F167" s="704" t="e">
        <f t="shared" si="69"/>
        <v>#N/A</v>
      </c>
      <c r="G167" s="704">
        <f t="shared" ca="1" si="70"/>
        <v>0</v>
      </c>
      <c r="H167" s="704" t="e">
        <f t="shared" ca="1" si="71"/>
        <v>#N/A</v>
      </c>
      <c r="I167" s="704" t="e">
        <f t="shared" ca="1" si="72"/>
        <v>#N/A</v>
      </c>
      <c r="K167" s="704">
        <f>SUM(K168:K170)</f>
        <v>0</v>
      </c>
      <c r="L167" s="704">
        <f t="shared" ref="L167:V167" si="78">SUM(L168:L170)</f>
        <v>0</v>
      </c>
      <c r="M167" s="704">
        <f t="shared" si="78"/>
        <v>0</v>
      </c>
      <c r="N167" s="704">
        <f t="shared" si="78"/>
        <v>0</v>
      </c>
      <c r="O167" s="704">
        <f t="shared" si="78"/>
        <v>0</v>
      </c>
      <c r="P167" s="704">
        <f t="shared" si="78"/>
        <v>0</v>
      </c>
      <c r="Q167" s="704">
        <f t="shared" si="78"/>
        <v>0</v>
      </c>
      <c r="R167" s="704">
        <f t="shared" si="78"/>
        <v>0</v>
      </c>
      <c r="S167" s="704">
        <f t="shared" si="78"/>
        <v>0</v>
      </c>
      <c r="T167" s="704">
        <f t="shared" si="78"/>
        <v>0</v>
      </c>
      <c r="U167" s="704">
        <f t="shared" si="78"/>
        <v>0</v>
      </c>
      <c r="V167" s="704">
        <f t="shared" si="78"/>
        <v>0</v>
      </c>
      <c r="W167" s="704">
        <f t="shared" si="73"/>
        <v>0</v>
      </c>
      <c r="Y167" s="688">
        <f>IFERROR(VLOOKUP($A167,'[92]1月'!$A:$H,8,0),0)</f>
        <v>0</v>
      </c>
      <c r="Z167" s="688">
        <f>IFERROR(VLOOKUP($A167,'[92]2月'!$A:$H,8,0),0)</f>
        <v>0</v>
      </c>
      <c r="AA167" s="688">
        <f>IFERROR(VLOOKUP($A167,'[92]3月'!$A:$H,8,0),0)</f>
        <v>0</v>
      </c>
      <c r="AB167" s="688">
        <f>IFERROR(VLOOKUP($A167,'[92]4月'!$A:$H,8,0),0)</f>
        <v>0</v>
      </c>
      <c r="AC167" s="688">
        <f>IFERROR(VLOOKUP($A167,'[92]5月'!$A:$H,8,0),0)</f>
        <v>0</v>
      </c>
      <c r="AD167" s="688">
        <f>IFERROR(VLOOKUP($A167,'[92]6月'!$A:$H,8,0),0)</f>
        <v>0</v>
      </c>
      <c r="AE167" s="688">
        <f>IFERROR(VLOOKUP($A167,'[92]7月'!$A:$H,8,0),0)</f>
        <v>0</v>
      </c>
      <c r="AF167" s="688">
        <f>IFERROR(VLOOKUP($A167,'[92]8月'!$A:$H,8,0),0)</f>
        <v>0</v>
      </c>
      <c r="AG167" s="688">
        <f>IFERROR(VLOOKUP($A167,'[92]9月'!$A:$H,8,0),0)</f>
        <v>0</v>
      </c>
      <c r="AH167" s="688">
        <f>IFERROR(VLOOKUP($A167,'[92]10月'!$A:$H,8,0),0)</f>
        <v>0</v>
      </c>
      <c r="AI167" s="688">
        <f>IFERROR(VLOOKUP($A167,'[92]11月'!$A:$H,8,0),0)</f>
        <v>0</v>
      </c>
      <c r="AJ167" s="688">
        <f>IFERROR(VLOOKUP($A167,'[92]12月'!$A:$H,8,0),0)</f>
        <v>0</v>
      </c>
      <c r="AK167" s="688">
        <f t="shared" si="74"/>
        <v>0</v>
      </c>
    </row>
    <row r="168" spans="1:37" ht="13.5" customHeight="1">
      <c r="A168" s="653" t="str">
        <f>'Budget-合并'!A168</f>
        <v>6603.05.01</v>
      </c>
      <c r="B168" s="653" t="str">
        <f>'Budget-合并'!B168</f>
        <v>兴业金融租赁有限责任公司</v>
      </c>
      <c r="C168" s="687">
        <f>'Budget-合并'!C168</f>
        <v>0</v>
      </c>
      <c r="D168" s="704">
        <f t="shared" si="65"/>
        <v>0</v>
      </c>
      <c r="E168" s="704" t="e">
        <f t="shared" si="68"/>
        <v>#N/A</v>
      </c>
      <c r="F168" s="704" t="e">
        <f t="shared" si="69"/>
        <v>#N/A</v>
      </c>
      <c r="G168" s="704">
        <f t="shared" ca="1" si="70"/>
        <v>0</v>
      </c>
      <c r="H168" s="704" t="e">
        <f t="shared" ca="1" si="71"/>
        <v>#N/A</v>
      </c>
      <c r="I168" s="704" t="e">
        <f t="shared" ca="1" si="72"/>
        <v>#N/A</v>
      </c>
      <c r="K168" s="704"/>
      <c r="L168" s="704"/>
      <c r="M168" s="704"/>
      <c r="N168" s="704"/>
      <c r="O168" s="704"/>
      <c r="P168" s="704"/>
      <c r="Q168" s="704"/>
      <c r="R168" s="704"/>
      <c r="S168" s="704"/>
      <c r="T168" s="704"/>
      <c r="U168" s="704"/>
      <c r="V168" s="704"/>
      <c r="W168" s="704">
        <f t="shared" si="73"/>
        <v>0</v>
      </c>
      <c r="Y168" s="688">
        <f>IFERROR(VLOOKUP($A168,'[92]1月'!$A:$H,8,0),0)</f>
        <v>0</v>
      </c>
      <c r="Z168" s="688">
        <f>IFERROR(VLOOKUP($A168,'[92]2月'!$A:$H,8,0),0)</f>
        <v>0</v>
      </c>
      <c r="AA168" s="688">
        <f>IFERROR(VLOOKUP($A168,'[92]3月'!$A:$H,8,0),0)</f>
        <v>0</v>
      </c>
      <c r="AB168" s="688">
        <f>IFERROR(VLOOKUP($A168,'[92]4月'!$A:$H,8,0),0)</f>
        <v>0</v>
      </c>
      <c r="AC168" s="688">
        <f>IFERROR(VLOOKUP($A168,'[92]5月'!$A:$H,8,0),0)</f>
        <v>0</v>
      </c>
      <c r="AD168" s="688">
        <f>IFERROR(VLOOKUP($A168,'[92]6月'!$A:$H,8,0),0)</f>
        <v>0</v>
      </c>
      <c r="AE168" s="688">
        <f>IFERROR(VLOOKUP($A168,'[92]7月'!$A:$H,8,0),0)</f>
        <v>0</v>
      </c>
      <c r="AF168" s="688">
        <f>IFERROR(VLOOKUP($A168,'[92]8月'!$A:$H,8,0),0)</f>
        <v>0</v>
      </c>
      <c r="AG168" s="688">
        <f>IFERROR(VLOOKUP($A168,'[92]9月'!$A:$H,8,0),0)</f>
        <v>0</v>
      </c>
      <c r="AH168" s="688">
        <f>IFERROR(VLOOKUP($A168,'[92]10月'!$A:$H,8,0),0)</f>
        <v>0</v>
      </c>
      <c r="AI168" s="688">
        <f>IFERROR(VLOOKUP($A168,'[92]11月'!$A:$H,8,0),0)</f>
        <v>0</v>
      </c>
      <c r="AJ168" s="688">
        <f>IFERROR(VLOOKUP($A168,'[92]12月'!$A:$H,8,0),0)</f>
        <v>0</v>
      </c>
      <c r="AK168" s="688">
        <f t="shared" si="74"/>
        <v>0</v>
      </c>
    </row>
    <row r="169" spans="1:37" ht="13.5" customHeight="1">
      <c r="A169" s="653" t="str">
        <f>'Budget-合并'!A169</f>
        <v>6603.05.02</v>
      </c>
      <c r="B169" s="653" t="str">
        <f>'Budget-合并'!B169</f>
        <v>湖南三一智慧新能源设计有限公司</v>
      </c>
      <c r="C169" s="687">
        <f>'Budget-合并'!C169</f>
        <v>0</v>
      </c>
      <c r="D169" s="704">
        <f t="shared" si="65"/>
        <v>0</v>
      </c>
      <c r="E169" s="704" t="e">
        <f t="shared" si="68"/>
        <v>#N/A</v>
      </c>
      <c r="F169" s="704" t="e">
        <f t="shared" si="69"/>
        <v>#N/A</v>
      </c>
      <c r="G169" s="704">
        <f t="shared" ca="1" si="70"/>
        <v>0</v>
      </c>
      <c r="H169" s="704" t="e">
        <f t="shared" ca="1" si="71"/>
        <v>#N/A</v>
      </c>
      <c r="I169" s="704" t="e">
        <f t="shared" ca="1" si="72"/>
        <v>#N/A</v>
      </c>
      <c r="K169" s="704"/>
      <c r="L169" s="704"/>
      <c r="M169" s="704"/>
      <c r="N169" s="704"/>
      <c r="O169" s="704"/>
      <c r="P169" s="704"/>
      <c r="Q169" s="704"/>
      <c r="R169" s="704"/>
      <c r="S169" s="704"/>
      <c r="T169" s="704"/>
      <c r="U169" s="704"/>
      <c r="V169" s="704"/>
      <c r="W169" s="704">
        <f t="shared" si="73"/>
        <v>0</v>
      </c>
      <c r="Y169" s="688">
        <f>IFERROR(VLOOKUP($A169,'[92]1月'!$A:$H,8,0),0)</f>
        <v>0</v>
      </c>
      <c r="Z169" s="688">
        <f>IFERROR(VLOOKUP($A169,'[92]2月'!$A:$H,8,0),0)</f>
        <v>0</v>
      </c>
      <c r="AA169" s="688">
        <f>IFERROR(VLOOKUP($A169,'[92]3月'!$A:$H,8,0),0)</f>
        <v>0</v>
      </c>
      <c r="AB169" s="688">
        <f>IFERROR(VLOOKUP($A169,'[92]4月'!$A:$H,8,0),0)</f>
        <v>0</v>
      </c>
      <c r="AC169" s="688">
        <f>IFERROR(VLOOKUP($A169,'[92]5月'!$A:$H,8,0),0)</f>
        <v>0</v>
      </c>
      <c r="AD169" s="688">
        <f>IFERROR(VLOOKUP($A169,'[92]6月'!$A:$H,8,0),0)</f>
        <v>0</v>
      </c>
      <c r="AE169" s="688">
        <f>IFERROR(VLOOKUP($A169,'[92]7月'!$A:$H,8,0),0)</f>
        <v>0</v>
      </c>
      <c r="AF169" s="688">
        <f>IFERROR(VLOOKUP($A169,'[92]8月'!$A:$H,8,0),0)</f>
        <v>0</v>
      </c>
      <c r="AG169" s="688">
        <f>IFERROR(VLOOKUP($A169,'[92]9月'!$A:$H,8,0),0)</f>
        <v>0</v>
      </c>
      <c r="AH169" s="688">
        <f>IFERROR(VLOOKUP($A169,'[92]10月'!$A:$H,8,0),0)</f>
        <v>0</v>
      </c>
      <c r="AI169" s="688">
        <f>IFERROR(VLOOKUP($A169,'[92]11月'!$A:$H,8,0),0)</f>
        <v>0</v>
      </c>
      <c r="AJ169" s="688">
        <f>IFERROR(VLOOKUP($A169,'[92]12月'!$A:$H,8,0),0)</f>
        <v>0</v>
      </c>
      <c r="AK169" s="688">
        <f t="shared" si="74"/>
        <v>0</v>
      </c>
    </row>
    <row r="170" spans="1:37" ht="13.5" customHeight="1">
      <c r="A170" s="653" t="str">
        <f>'Budget-合并'!A170</f>
        <v>6603.05.03</v>
      </c>
      <c r="B170" s="653" t="str">
        <f>'Budget-合并'!B170</f>
        <v>和谐天明投资管理(北京)有限公司</v>
      </c>
      <c r="C170" s="687"/>
      <c r="D170" s="704"/>
      <c r="E170" s="704" t="e">
        <f t="shared" si="68"/>
        <v>#N/A</v>
      </c>
      <c r="F170" s="704" t="e">
        <f t="shared" si="69"/>
        <v>#N/A</v>
      </c>
      <c r="G170" s="704"/>
      <c r="H170" s="704" t="e">
        <f t="shared" ca="1" si="71"/>
        <v>#N/A</v>
      </c>
      <c r="I170" s="704" t="e">
        <f t="shared" ca="1" si="72"/>
        <v>#N/A</v>
      </c>
      <c r="K170" s="704"/>
      <c r="L170" s="704"/>
      <c r="M170" s="704"/>
      <c r="N170" s="704"/>
      <c r="O170" s="704"/>
      <c r="P170" s="704"/>
      <c r="Q170" s="704"/>
      <c r="R170" s="704"/>
      <c r="S170" s="704"/>
      <c r="T170" s="704"/>
      <c r="U170" s="704"/>
      <c r="V170" s="704"/>
      <c r="W170" s="704"/>
      <c r="Y170" s="688">
        <f>IFERROR(VLOOKUP($A170,'[92]1月'!$A:$H,8,0),0)</f>
        <v>0</v>
      </c>
      <c r="Z170" s="688">
        <f>IFERROR(VLOOKUP($A170,'[92]2月'!$A:$H,8,0),0)</f>
        <v>0</v>
      </c>
      <c r="AA170" s="688">
        <f>IFERROR(VLOOKUP($A170,'[92]3月'!$A:$H,8,0),0)</f>
        <v>0</v>
      </c>
      <c r="AB170" s="688">
        <f>IFERROR(VLOOKUP($A170,'[92]4月'!$A:$H,8,0),0)</f>
        <v>0</v>
      </c>
      <c r="AC170" s="688">
        <f>IFERROR(VLOOKUP($A170,'[92]5月'!$A:$H,8,0),0)</f>
        <v>0</v>
      </c>
      <c r="AD170" s="688">
        <f>IFERROR(VLOOKUP($A170,'[92]6月'!$A:$H,8,0),0)</f>
        <v>0</v>
      </c>
      <c r="AE170" s="688">
        <f>IFERROR(VLOOKUP($A170,'[92]7月'!$A:$H,8,0),0)</f>
        <v>0</v>
      </c>
      <c r="AF170" s="688">
        <f>IFERROR(VLOOKUP($A170,'[92]8月'!$A:$H,8,0),0)</f>
        <v>0</v>
      </c>
      <c r="AG170" s="688">
        <f>IFERROR(VLOOKUP($A170,'[92]9月'!$A:$H,8,0),0)</f>
        <v>0</v>
      </c>
      <c r="AH170" s="688">
        <f>IFERROR(VLOOKUP($A170,'[92]10月'!$A:$H,8,0),0)</f>
        <v>0</v>
      </c>
      <c r="AI170" s="688">
        <f>IFERROR(VLOOKUP($A170,'[92]11月'!$A:$H,8,0),0)</f>
        <v>0</v>
      </c>
      <c r="AJ170" s="688">
        <f>IFERROR(VLOOKUP($A170,'[92]12月'!$A:$H,8,0),0)</f>
        <v>0</v>
      </c>
      <c r="AK170" s="688">
        <f t="shared" si="74"/>
        <v>0</v>
      </c>
    </row>
    <row r="171" spans="1:37" ht="13.5" customHeight="1">
      <c r="A171" s="653" t="str">
        <f>'Budget-合并'!A171</f>
        <v>6603.99</v>
      </c>
      <c r="B171" s="653" t="str">
        <f>'Budget-合并'!B171</f>
        <v>其他</v>
      </c>
      <c r="C171" s="687">
        <f>'Budget-合并'!C171</f>
        <v>0</v>
      </c>
      <c r="D171" s="704">
        <f>INDEX($K171:$V171,1,MATCH($D$6,$K$6:$V$6))</f>
        <v>0</v>
      </c>
      <c r="E171" s="704" t="e">
        <f t="shared" si="68"/>
        <v>#N/A</v>
      </c>
      <c r="F171" s="704" t="e">
        <f t="shared" si="69"/>
        <v>#N/A</v>
      </c>
      <c r="G171" s="704">
        <f ca="1">SUM($K171:OFFSET($K171,0,MATCH(G$6,$K$6:$V$6)-1))</f>
        <v>0</v>
      </c>
      <c r="H171" s="704" t="e">
        <f t="shared" ca="1" si="71"/>
        <v>#N/A</v>
      </c>
      <c r="I171" s="704" t="e">
        <f t="shared" ca="1" si="72"/>
        <v>#N/A</v>
      </c>
      <c r="K171" s="704"/>
      <c r="L171" s="704"/>
      <c r="M171" s="704"/>
      <c r="N171" s="704"/>
      <c r="O171" s="704"/>
      <c r="P171" s="704"/>
      <c r="Q171" s="704"/>
      <c r="R171" s="704"/>
      <c r="S171" s="704"/>
      <c r="T171" s="704"/>
      <c r="U171" s="704"/>
      <c r="V171" s="704"/>
      <c r="W171" s="704">
        <f>SUM(K171:V171)</f>
        <v>0</v>
      </c>
      <c r="Y171" s="688">
        <f>IFERROR(VLOOKUP($A171,'[92]1月'!$A:$H,8,0),0)</f>
        <v>0</v>
      </c>
      <c r="Z171" s="688">
        <f>IFERROR(VLOOKUP($A171,'[92]2月'!$A:$H,8,0),0)</f>
        <v>0</v>
      </c>
      <c r="AA171" s="688">
        <f>IFERROR(VLOOKUP($A171,'[92]3月'!$A:$H,8,0),0)</f>
        <v>0</v>
      </c>
      <c r="AB171" s="688">
        <f>IFERROR(VLOOKUP($A171,'[92]4月'!$A:$H,8,0),0)</f>
        <v>0</v>
      </c>
      <c r="AC171" s="688">
        <f>IFERROR(VLOOKUP($A171,'[92]5月'!$A:$H,8,0),0)</f>
        <v>0</v>
      </c>
      <c r="AD171" s="688">
        <f>IFERROR(VLOOKUP($A171,'[92]6月'!$A:$H,8,0),0)</f>
        <v>0</v>
      </c>
      <c r="AE171" s="688">
        <f>IFERROR(VLOOKUP($A171,'[92]7月'!$A:$H,8,0),0)</f>
        <v>0</v>
      </c>
      <c r="AF171" s="688">
        <f>IFERROR(VLOOKUP($A171,'[92]8月'!$A:$H,8,0),0)</f>
        <v>0</v>
      </c>
      <c r="AG171" s="688">
        <f>IFERROR(VLOOKUP($A171,'[92]9月'!$A:$H,8,0),0)</f>
        <v>0</v>
      </c>
      <c r="AH171" s="688">
        <f>IFERROR(VLOOKUP($A171,'[92]10月'!$A:$H,8,0),0)</f>
        <v>0</v>
      </c>
      <c r="AI171" s="688">
        <f>IFERROR(VLOOKUP($A171,'[92]11月'!$A:$H,8,0),0)</f>
        <v>0</v>
      </c>
      <c r="AJ171" s="688">
        <f>IFERROR(VLOOKUP($A171,'[92]12月'!$A:$H,8,0),0)</f>
        <v>0</v>
      </c>
      <c r="AK171" s="688">
        <f t="shared" si="74"/>
        <v>0</v>
      </c>
    </row>
    <row r="172" spans="1:37" ht="13.5" customHeight="1">
      <c r="A172" s="686">
        <f>'Budget-合并'!A172</f>
        <v>0</v>
      </c>
      <c r="B172" s="686" t="str">
        <f>'Budget-合并'!B172</f>
        <v>财务费用合计</v>
      </c>
      <c r="C172" s="687">
        <f>'Budget-合并'!C172</f>
        <v>0</v>
      </c>
      <c r="D172" s="677">
        <f>INDEX($K172:$V172,1,MATCH($D$6,$K$6:$V$6))</f>
        <v>2876.8659752999997</v>
      </c>
      <c r="E172" s="677" t="e">
        <f t="shared" si="68"/>
        <v>#N/A</v>
      </c>
      <c r="F172" s="677" t="e">
        <f t="shared" si="69"/>
        <v>#N/A</v>
      </c>
      <c r="G172" s="677">
        <f ca="1">SUM($K172:OFFSET($K172,0,MATCH(G$6,$K$6:$V$6)-1))</f>
        <v>2876.8659752999997</v>
      </c>
      <c r="H172" s="677" t="e">
        <f t="shared" ref="H172:H182" ca="1" si="79">SUM($Y172:OFFSET($Y172,0,MATCH(H$6,$Y$6:$AJ$6)-1))</f>
        <v>#N/A</v>
      </c>
      <c r="I172" s="677" t="e">
        <f t="shared" ca="1" si="72"/>
        <v>#N/A</v>
      </c>
      <c r="K172" s="677">
        <f>SUM(K156,K157,K165:K167,K171)</f>
        <v>2876.8659752999997</v>
      </c>
      <c r="L172" s="677">
        <f t="shared" ref="L172:W172" si="80">SUM(L156,L157,L165:L167,L171)</f>
        <v>2558.51233</v>
      </c>
      <c r="M172" s="677">
        <f t="shared" si="80"/>
        <v>2264.3339180000003</v>
      </c>
      <c r="N172" s="677">
        <f t="shared" si="80"/>
        <v>1969.1497979999999</v>
      </c>
      <c r="O172" s="677">
        <f t="shared" si="80"/>
        <v>1672.9511479999999</v>
      </c>
      <c r="P172" s="677">
        <f t="shared" si="80"/>
        <v>1375.7379680000001</v>
      </c>
      <c r="Q172" s="677">
        <f t="shared" si="80"/>
        <v>1077.501436</v>
      </c>
      <c r="R172" s="677">
        <f t="shared" si="80"/>
        <v>778.25037399999997</v>
      </c>
      <c r="S172" s="677">
        <f t="shared" si="80"/>
        <v>412.43732199999999</v>
      </c>
      <c r="T172" s="677">
        <f t="shared" si="80"/>
        <v>176.44</v>
      </c>
      <c r="U172" s="677">
        <f t="shared" si="80"/>
        <v>176.44</v>
      </c>
      <c r="V172" s="677">
        <f t="shared" si="80"/>
        <v>176.44</v>
      </c>
      <c r="W172" s="677">
        <f t="shared" si="80"/>
        <v>15515.0602693</v>
      </c>
      <c r="Y172" s="677">
        <f t="shared" ref="Y172:AK172" si="81">SUM(Y156,Y157,Y165:Y167,Y171)</f>
        <v>-314937.2</v>
      </c>
      <c r="Z172" s="677">
        <f t="shared" si="81"/>
        <v>182988.31</v>
      </c>
      <c r="AA172" s="677">
        <f t="shared" si="81"/>
        <v>-3130.69</v>
      </c>
      <c r="AB172" s="677">
        <f t="shared" si="81"/>
        <v>103383.26000000001</v>
      </c>
      <c r="AC172" s="677">
        <f t="shared" si="81"/>
        <v>-687904.63</v>
      </c>
      <c r="AD172" s="677">
        <f t="shared" si="81"/>
        <v>-99164.19</v>
      </c>
      <c r="AE172" s="677">
        <f t="shared" si="81"/>
        <v>31101.119999999999</v>
      </c>
      <c r="AF172" s="677">
        <f t="shared" si="81"/>
        <v>355662.32</v>
      </c>
      <c r="AG172" s="677">
        <f t="shared" si="81"/>
        <v>87543.450000000012</v>
      </c>
      <c r="AH172" s="677">
        <f t="shared" si="81"/>
        <v>116781.92</v>
      </c>
      <c r="AI172" s="677">
        <f t="shared" si="81"/>
        <v>-101299</v>
      </c>
      <c r="AJ172" s="677">
        <f t="shared" si="81"/>
        <v>25581.96</v>
      </c>
      <c r="AK172" s="677">
        <f t="shared" si="81"/>
        <v>-303393.37</v>
      </c>
    </row>
    <row r="173" spans="1:37" ht="13.5" customHeight="1">
      <c r="A173" s="653">
        <f>'Budget-合并'!A173</f>
        <v>0</v>
      </c>
      <c r="B173" s="653">
        <f>'Budget-合并'!B173</f>
        <v>0</v>
      </c>
      <c r="C173" s="687">
        <f>'Budget-合并'!C173</f>
        <v>0</v>
      </c>
    </row>
    <row r="174" spans="1:37" ht="13.5" customHeight="1">
      <c r="A174" s="653" t="str">
        <f>'Budget-合并'!A174</f>
        <v>6051</v>
      </c>
      <c r="B174" s="653" t="str">
        <f>'Budget-合并'!B174</f>
        <v>其他业务收入</v>
      </c>
      <c r="C174" s="687">
        <f>'Budget-合并'!C174</f>
        <v>0</v>
      </c>
      <c r="D174" s="704">
        <f t="shared" ref="D174:D183" si="82">INDEX($K174:$V174,1,MATCH($D$6,$K$6:$V$6))</f>
        <v>0</v>
      </c>
      <c r="E174" s="704" t="e">
        <f t="shared" ref="E174:E183" si="83">INDEX($Y174:$AG174,1,MATCH($E$6,$Y$6:$AG$6))</f>
        <v>#N/A</v>
      </c>
      <c r="F174" s="704" t="e">
        <f t="shared" ref="F174:F183" si="84">D174-E174</f>
        <v>#N/A</v>
      </c>
      <c r="G174" s="704">
        <f t="shared" ref="G174:G183" ca="1" si="85">SUM($K174:OFFSET($K174,0,MATCH(G$6,$K$6:$V$6)-1))</f>
        <v>0</v>
      </c>
      <c r="H174" s="704" t="e">
        <f t="shared" ca="1" si="79"/>
        <v>#N/A</v>
      </c>
      <c r="I174" s="704" t="e">
        <f t="shared" ref="I174:I183" ca="1" si="86">G174-H174</f>
        <v>#N/A</v>
      </c>
      <c r="K174" s="704"/>
      <c r="L174" s="704"/>
      <c r="M174" s="704"/>
      <c r="N174" s="704"/>
      <c r="O174" s="704"/>
      <c r="P174" s="704"/>
      <c r="Q174" s="704"/>
      <c r="R174" s="704"/>
      <c r="S174" s="704"/>
      <c r="T174" s="704"/>
      <c r="U174" s="704"/>
      <c r="V174" s="704"/>
      <c r="W174" s="704">
        <f t="shared" ref="W174:W182" si="87">SUM(K174:V174)</f>
        <v>0</v>
      </c>
      <c r="Y174" s="688">
        <f>IFERROR(VLOOKUP($A174,'[92]1月'!$A:$H,8,0),0)</f>
        <v>0</v>
      </c>
      <c r="Z174" s="688">
        <f>IFERROR(VLOOKUP($A174,'[92]2月'!$A:$H,8,0),0)</f>
        <v>0</v>
      </c>
      <c r="AA174" s="688">
        <f>IFERROR(VLOOKUP($A174,'[92]3月'!$A:$H,8,0),0)</f>
        <v>0</v>
      </c>
      <c r="AB174" s="688">
        <f>IFERROR(VLOOKUP($A174,'[92]4月'!$A:$H,8,0),0)</f>
        <v>0</v>
      </c>
      <c r="AC174" s="688">
        <f>IFERROR(VLOOKUP($A174,'[92]5月'!$A:$H,8,0),0)</f>
        <v>0</v>
      </c>
      <c r="AD174" s="688">
        <f>IFERROR(VLOOKUP($A174,'[92]6月'!$A:$H,8,0),0)</f>
        <v>0</v>
      </c>
      <c r="AE174" s="688">
        <f>IFERROR(VLOOKUP($A174,'[92]7月'!$A:$H,8,0),0)</f>
        <v>0</v>
      </c>
      <c r="AF174" s="688">
        <f>IFERROR(VLOOKUP($A174,'[92]8月'!$A:$H,8,0),0)</f>
        <v>0</v>
      </c>
      <c r="AG174" s="688">
        <f>IFERROR(VLOOKUP($A174,'[92]9月'!$A:$H,8,0),0)</f>
        <v>0</v>
      </c>
      <c r="AH174" s="688">
        <f>IFERROR(VLOOKUP($A174,'[92]10月'!$A:$H,8,0),0)</f>
        <v>0</v>
      </c>
      <c r="AI174" s="688">
        <f>IFERROR(VLOOKUP($A174,'[92]11月'!$A:$H,8,0),0)</f>
        <v>0</v>
      </c>
      <c r="AJ174" s="688">
        <f>IFERROR(VLOOKUP($A174,'[92]12月'!$A:$H,8,0),0)</f>
        <v>0</v>
      </c>
      <c r="AK174" s="688">
        <f t="shared" ref="AK174:AK182" si="88">SUM(Y174:AJ174)</f>
        <v>0</v>
      </c>
    </row>
    <row r="175" spans="1:37" ht="13.5" customHeight="1">
      <c r="A175" s="653" t="str">
        <f>'Budget-合并'!A175</f>
        <v>6101</v>
      </c>
      <c r="B175" s="653" t="str">
        <f>'Budget-合并'!B175</f>
        <v>公允价值变动损益</v>
      </c>
      <c r="C175" s="687">
        <f>'Budget-合并'!C175</f>
        <v>0</v>
      </c>
      <c r="D175" s="704">
        <f t="shared" si="82"/>
        <v>0</v>
      </c>
      <c r="E175" s="704" t="e">
        <f t="shared" si="83"/>
        <v>#N/A</v>
      </c>
      <c r="F175" s="704" t="e">
        <f t="shared" si="84"/>
        <v>#N/A</v>
      </c>
      <c r="G175" s="704">
        <f t="shared" ca="1" si="85"/>
        <v>0</v>
      </c>
      <c r="H175" s="704" t="e">
        <f t="shared" ca="1" si="79"/>
        <v>#N/A</v>
      </c>
      <c r="I175" s="704" t="e">
        <f t="shared" ca="1" si="86"/>
        <v>#N/A</v>
      </c>
      <c r="K175" s="704"/>
      <c r="L175" s="704"/>
      <c r="M175" s="704"/>
      <c r="N175" s="704"/>
      <c r="O175" s="704"/>
      <c r="P175" s="704"/>
      <c r="Q175" s="704"/>
      <c r="R175" s="704"/>
      <c r="S175" s="704"/>
      <c r="T175" s="704"/>
      <c r="U175" s="704"/>
      <c r="V175" s="704"/>
      <c r="W175" s="704">
        <f t="shared" si="87"/>
        <v>0</v>
      </c>
      <c r="Y175" s="688">
        <f>IFERROR(VLOOKUP($A175,'[92]1月'!$A:$H,8,0),0)</f>
        <v>0</v>
      </c>
      <c r="Z175" s="688">
        <f>IFERROR(VLOOKUP($A175,'[92]2月'!$A:$H,8,0),0)</f>
        <v>0</v>
      </c>
      <c r="AA175" s="688">
        <f>IFERROR(VLOOKUP($A175,'[92]3月'!$A:$H,8,0),0)</f>
        <v>0</v>
      </c>
      <c r="AB175" s="688">
        <f>IFERROR(VLOOKUP($A175,'[92]4月'!$A:$H,8,0),0)</f>
        <v>0</v>
      </c>
      <c r="AC175" s="688">
        <f>IFERROR(VLOOKUP($A175,'[92]5月'!$A:$H,8,0),0)</f>
        <v>0</v>
      </c>
      <c r="AD175" s="688">
        <f>IFERROR(VLOOKUP($A175,'[92]6月'!$A:$H,8,0),0)</f>
        <v>0</v>
      </c>
      <c r="AE175" s="688">
        <f>IFERROR(VLOOKUP($A175,'[92]7月'!$A:$H,8,0),0)</f>
        <v>0</v>
      </c>
      <c r="AF175" s="688">
        <f>IFERROR(VLOOKUP($A175,'[92]8月'!$A:$H,8,0),0)</f>
        <v>0</v>
      </c>
      <c r="AG175" s="688">
        <f>IFERROR(VLOOKUP($A175,'[92]9月'!$A:$H,8,0),0)</f>
        <v>0</v>
      </c>
      <c r="AH175" s="688">
        <f>IFERROR(VLOOKUP($A175,'[92]10月'!$A:$H,8,0),0)</f>
        <v>0</v>
      </c>
      <c r="AI175" s="688">
        <f>IFERROR(VLOOKUP($A175,'[92]11月'!$A:$H,8,0),0)</f>
        <v>0</v>
      </c>
      <c r="AJ175" s="688">
        <f>IFERROR(VLOOKUP($A175,'[92]12月'!$A:$H,8,0),0)</f>
        <v>0</v>
      </c>
      <c r="AK175" s="688">
        <f t="shared" si="88"/>
        <v>0</v>
      </c>
    </row>
    <row r="176" spans="1:37" ht="13.5" customHeight="1">
      <c r="A176" s="653" t="str">
        <f>'Budget-合并'!A176</f>
        <v>6111</v>
      </c>
      <c r="B176" s="653" t="str">
        <f>'Budget-合并'!B176</f>
        <v>投资收益</v>
      </c>
      <c r="C176" s="687" t="str">
        <f>'Budget-合并'!C176</f>
        <v>Gain on investment</v>
      </c>
      <c r="D176" s="704">
        <f t="shared" si="82"/>
        <v>0</v>
      </c>
      <c r="E176" s="704" t="e">
        <f t="shared" si="83"/>
        <v>#N/A</v>
      </c>
      <c r="F176" s="704" t="e">
        <f t="shared" si="84"/>
        <v>#N/A</v>
      </c>
      <c r="G176" s="704">
        <f t="shared" ca="1" si="85"/>
        <v>0</v>
      </c>
      <c r="H176" s="704" t="e">
        <f t="shared" ca="1" si="79"/>
        <v>#N/A</v>
      </c>
      <c r="I176" s="704" t="e">
        <f t="shared" ca="1" si="86"/>
        <v>#N/A</v>
      </c>
      <c r="K176" s="704"/>
      <c r="L176" s="704"/>
      <c r="M176" s="704"/>
      <c r="N176" s="704"/>
      <c r="O176" s="704"/>
      <c r="P176" s="704"/>
      <c r="Q176" s="704"/>
      <c r="R176" s="704"/>
      <c r="S176" s="704"/>
      <c r="T176" s="704"/>
      <c r="U176" s="704"/>
      <c r="V176" s="704"/>
      <c r="W176" s="704">
        <f t="shared" si="87"/>
        <v>0</v>
      </c>
      <c r="Y176" s="688">
        <f>IFERROR(VLOOKUP($A176,'[92]1月'!$A:$H,8,0),0)</f>
        <v>0</v>
      </c>
      <c r="Z176" s="688">
        <f>IFERROR(VLOOKUP($A176,'[92]2月'!$A:$H,8,0),0)</f>
        <v>0</v>
      </c>
      <c r="AA176" s="688">
        <f>IFERROR(VLOOKUP($A176,'[92]3月'!$A:$H,8,0),0)</f>
        <v>0</v>
      </c>
      <c r="AB176" s="688">
        <f>IFERROR(VLOOKUP($A176,'[92]4月'!$A:$H,8,0),0)</f>
        <v>0</v>
      </c>
      <c r="AC176" s="688">
        <f>IFERROR(VLOOKUP($A176,'[92]5月'!$A:$H,8,0),0)</f>
        <v>0</v>
      </c>
      <c r="AD176" s="688">
        <f>IFERROR(VLOOKUP($A176,'[92]6月'!$A:$H,8,0),0)</f>
        <v>0</v>
      </c>
      <c r="AE176" s="688">
        <f>IFERROR(VLOOKUP($A176,'[92]7月'!$A:$H,8,0),0)</f>
        <v>0</v>
      </c>
      <c r="AF176" s="688">
        <f>IFERROR(VLOOKUP($A176,'[92]8月'!$A:$H,8,0),0)</f>
        <v>0</v>
      </c>
      <c r="AG176" s="688">
        <f>IFERROR(VLOOKUP($A176,'[92]9月'!$A:$H,8,0),0)</f>
        <v>0</v>
      </c>
      <c r="AH176" s="688">
        <f>IFERROR(VLOOKUP($A176,'[92]10月'!$A:$H,8,0),0)</f>
        <v>0</v>
      </c>
      <c r="AI176" s="688">
        <f>IFERROR(VLOOKUP($A176,'[92]11月'!$A:$H,8,0),0)</f>
        <v>0</v>
      </c>
      <c r="AJ176" s="688">
        <f>IFERROR(VLOOKUP($A176,'[92]12月'!$A:$H,8,0),0)</f>
        <v>0</v>
      </c>
      <c r="AK176" s="688">
        <f t="shared" si="88"/>
        <v>0</v>
      </c>
    </row>
    <row r="177" spans="1:37" ht="13.5" customHeight="1">
      <c r="A177" s="663" t="str">
        <f>'Budget-合并'!A177</f>
        <v>6115</v>
      </c>
      <c r="B177" s="663" t="str">
        <f>'Budget-合并'!B177</f>
        <v>其他收益</v>
      </c>
      <c r="C177" s="687" t="str">
        <f>'Budget-合并'!C177</f>
        <v>Other income</v>
      </c>
      <c r="D177" s="704">
        <f t="shared" si="82"/>
        <v>0</v>
      </c>
      <c r="E177" s="704" t="e">
        <f t="shared" si="83"/>
        <v>#N/A</v>
      </c>
      <c r="F177" s="704" t="e">
        <f t="shared" si="84"/>
        <v>#N/A</v>
      </c>
      <c r="G177" s="704">
        <f t="shared" ca="1" si="85"/>
        <v>0</v>
      </c>
      <c r="H177" s="704" t="e">
        <f t="shared" ca="1" si="79"/>
        <v>#N/A</v>
      </c>
      <c r="I177" s="704" t="e">
        <f t="shared" ca="1" si="86"/>
        <v>#N/A</v>
      </c>
      <c r="K177" s="704">
        <f t="shared" ref="K177:V177" si="89">SUM(K178:K180)</f>
        <v>0</v>
      </c>
      <c r="L177" s="704">
        <f t="shared" si="89"/>
        <v>0</v>
      </c>
      <c r="M177" s="704">
        <f t="shared" si="89"/>
        <v>0</v>
      </c>
      <c r="N177" s="704">
        <f t="shared" si="89"/>
        <v>0</v>
      </c>
      <c r="O177" s="704">
        <f t="shared" si="89"/>
        <v>0</v>
      </c>
      <c r="P177" s="704">
        <f t="shared" si="89"/>
        <v>0</v>
      </c>
      <c r="Q177" s="704">
        <f t="shared" si="89"/>
        <v>0</v>
      </c>
      <c r="R177" s="704">
        <f t="shared" si="89"/>
        <v>0</v>
      </c>
      <c r="S177" s="704">
        <f t="shared" si="89"/>
        <v>0</v>
      </c>
      <c r="T177" s="704">
        <f t="shared" si="89"/>
        <v>0</v>
      </c>
      <c r="U177" s="704">
        <f t="shared" si="89"/>
        <v>0</v>
      </c>
      <c r="V177" s="704">
        <f t="shared" si="89"/>
        <v>0</v>
      </c>
      <c r="W177" s="704">
        <f t="shared" si="87"/>
        <v>0</v>
      </c>
      <c r="Y177" s="688">
        <f>IFERROR(VLOOKUP($A177,'[92]1月'!$A:$H,8,0),0)</f>
        <v>61050</v>
      </c>
      <c r="Z177" s="688">
        <f>IFERROR(VLOOKUP($A177,'[92]2月'!$A:$H,8,0),0)</f>
        <v>61050</v>
      </c>
      <c r="AA177" s="688">
        <f>IFERROR(VLOOKUP($A177,'[92]3月'!$A:$H,8,0),0)</f>
        <v>61050</v>
      </c>
      <c r="AB177" s="688">
        <f>IFERROR(VLOOKUP($A177,'[92]4月'!$A:$H,8,0),0)</f>
        <v>55650</v>
      </c>
      <c r="AC177" s="688">
        <f>IFERROR(VLOOKUP($A177,'[92]5月'!$A:$H,8,0),0)</f>
        <v>55650</v>
      </c>
      <c r="AD177" s="688">
        <f>IFERROR(VLOOKUP($A177,'[92]6月'!$A:$H,8,0),0)</f>
        <v>55650</v>
      </c>
      <c r="AE177" s="688">
        <f>IFERROR(VLOOKUP($A177,'[92]7月'!$A:$H,8,0),0)</f>
        <v>55650</v>
      </c>
      <c r="AF177" s="688">
        <f>IFERROR(VLOOKUP($A177,'[92]8月'!$A:$H,8,0),0)</f>
        <v>55650</v>
      </c>
      <c r="AG177" s="688">
        <f>IFERROR(VLOOKUP($A177,'[92]9月'!$A:$H,8,0),0)</f>
        <v>55650</v>
      </c>
      <c r="AH177" s="688">
        <f>IFERROR(VLOOKUP($A177,'[92]10月'!$A:$H,8,0),0)</f>
        <v>55650</v>
      </c>
      <c r="AI177" s="688">
        <f>IFERROR(VLOOKUP($A177,'[92]11月'!$A:$H,8,0),0)</f>
        <v>55650</v>
      </c>
      <c r="AJ177" s="688">
        <f>IFERROR(VLOOKUP($A177,'[92]12月'!$A:$H,8,0),0)</f>
        <v>55650</v>
      </c>
      <c r="AK177" s="688">
        <f t="shared" si="88"/>
        <v>684000</v>
      </c>
    </row>
    <row r="178" spans="1:37" ht="13.5" customHeight="1">
      <c r="A178" s="653" t="str">
        <f>'Budget-合并'!A178</f>
        <v>6115.01</v>
      </c>
      <c r="B178" s="653" t="str">
        <f>'Budget-合并'!B178</f>
        <v>政府补助</v>
      </c>
      <c r="C178" s="687">
        <f>'Budget-合并'!C178</f>
        <v>0</v>
      </c>
      <c r="D178" s="704">
        <f t="shared" si="82"/>
        <v>0</v>
      </c>
      <c r="E178" s="704" t="e">
        <f t="shared" si="83"/>
        <v>#N/A</v>
      </c>
      <c r="F178" s="704" t="e">
        <f t="shared" si="84"/>
        <v>#N/A</v>
      </c>
      <c r="G178" s="704">
        <f t="shared" ca="1" si="85"/>
        <v>0</v>
      </c>
      <c r="H178" s="704" t="e">
        <f t="shared" ca="1" si="79"/>
        <v>#N/A</v>
      </c>
      <c r="I178" s="704" t="e">
        <f t="shared" ca="1" si="86"/>
        <v>#N/A</v>
      </c>
      <c r="K178" s="704"/>
      <c r="L178" s="704"/>
      <c r="M178" s="704"/>
      <c r="N178" s="704"/>
      <c r="O178" s="704"/>
      <c r="P178" s="704"/>
      <c r="Q178" s="704"/>
      <c r="R178" s="704"/>
      <c r="S178" s="704"/>
      <c r="T178" s="704"/>
      <c r="U178" s="704"/>
      <c r="V178" s="704"/>
      <c r="W178" s="704">
        <f t="shared" si="87"/>
        <v>0</v>
      </c>
      <c r="Y178" s="688">
        <f>IFERROR(VLOOKUP($A178,'[92]1月'!$A:$H,8,0),0)</f>
        <v>0</v>
      </c>
      <c r="Z178" s="688">
        <f>IFERROR(VLOOKUP($A178,'[92]2月'!$A:$H,8,0),0)</f>
        <v>0</v>
      </c>
      <c r="AA178" s="688">
        <f>IFERROR(VLOOKUP($A178,'[92]3月'!$A:$H,8,0),0)</f>
        <v>0</v>
      </c>
      <c r="AB178" s="688">
        <f>IFERROR(VLOOKUP($A178,'[92]4月'!$A:$H,8,0),0)</f>
        <v>0</v>
      </c>
      <c r="AC178" s="688">
        <f>IFERROR(VLOOKUP($A178,'[92]5月'!$A:$H,8,0),0)</f>
        <v>0</v>
      </c>
      <c r="AD178" s="688">
        <f>IFERROR(VLOOKUP($A178,'[92]6月'!$A:$H,8,0),0)</f>
        <v>0</v>
      </c>
      <c r="AE178" s="688">
        <f>IFERROR(VLOOKUP($A178,'[92]7月'!$A:$H,8,0),0)</f>
        <v>0</v>
      </c>
      <c r="AF178" s="688">
        <f>IFERROR(VLOOKUP($A178,'[92]8月'!$A:$H,8,0),0)</f>
        <v>0</v>
      </c>
      <c r="AG178" s="688">
        <f>IFERROR(VLOOKUP($A178,'[92]9月'!$A:$H,8,0),0)</f>
        <v>0</v>
      </c>
      <c r="AH178" s="688">
        <f>IFERROR(VLOOKUP($A178,'[92]10月'!$A:$H,8,0),0)</f>
        <v>0</v>
      </c>
      <c r="AI178" s="688">
        <f>IFERROR(VLOOKUP($A178,'[92]11月'!$A:$H,8,0),0)</f>
        <v>0</v>
      </c>
      <c r="AJ178" s="688">
        <f>IFERROR(VLOOKUP($A178,'[92]12月'!$A:$H,8,0),0)</f>
        <v>0</v>
      </c>
      <c r="AK178" s="688">
        <f t="shared" si="88"/>
        <v>0</v>
      </c>
    </row>
    <row r="179" spans="1:37" ht="13.5" customHeight="1">
      <c r="A179" s="653" t="str">
        <f>'Budget-合并'!A179</f>
        <v>6115.02</v>
      </c>
      <c r="B179" s="653" t="str">
        <f>'Budget-合并'!B179</f>
        <v>个税手续费返还</v>
      </c>
      <c r="C179" s="687">
        <f>'Budget-合并'!C179</f>
        <v>0</v>
      </c>
      <c r="D179" s="704">
        <f t="shared" si="82"/>
        <v>0</v>
      </c>
      <c r="E179" s="704" t="e">
        <f t="shared" si="83"/>
        <v>#N/A</v>
      </c>
      <c r="F179" s="704" t="e">
        <f t="shared" si="84"/>
        <v>#N/A</v>
      </c>
      <c r="G179" s="704">
        <f t="shared" ca="1" si="85"/>
        <v>0</v>
      </c>
      <c r="H179" s="704" t="e">
        <f t="shared" ca="1" si="79"/>
        <v>#N/A</v>
      </c>
      <c r="I179" s="704" t="e">
        <f t="shared" ca="1" si="86"/>
        <v>#N/A</v>
      </c>
      <c r="K179" s="704"/>
      <c r="L179" s="704"/>
      <c r="M179" s="704"/>
      <c r="N179" s="704"/>
      <c r="O179" s="704"/>
      <c r="P179" s="704"/>
      <c r="Q179" s="704"/>
      <c r="R179" s="704"/>
      <c r="S179" s="704"/>
      <c r="T179" s="704"/>
      <c r="U179" s="704"/>
      <c r="V179" s="704"/>
      <c r="W179" s="704">
        <f t="shared" si="87"/>
        <v>0</v>
      </c>
      <c r="Y179" s="688">
        <f>IFERROR(VLOOKUP($A179,'[92]1月'!$A:$H,8,0),0)</f>
        <v>0</v>
      </c>
      <c r="Z179" s="688">
        <f>IFERROR(VLOOKUP($A179,'[92]2月'!$A:$H,8,0),0)</f>
        <v>0</v>
      </c>
      <c r="AA179" s="688">
        <f>IFERROR(VLOOKUP($A179,'[92]3月'!$A:$H,8,0),0)</f>
        <v>0</v>
      </c>
      <c r="AB179" s="688">
        <f>IFERROR(VLOOKUP($A179,'[92]4月'!$A:$H,8,0),0)</f>
        <v>0</v>
      </c>
      <c r="AC179" s="688">
        <f>IFERROR(VLOOKUP($A179,'[92]5月'!$A:$H,8,0),0)</f>
        <v>0</v>
      </c>
      <c r="AD179" s="688">
        <f>IFERROR(VLOOKUP($A179,'[92]6月'!$A:$H,8,0),0)</f>
        <v>0</v>
      </c>
      <c r="AE179" s="688">
        <f>IFERROR(VLOOKUP($A179,'[92]7月'!$A:$H,8,0),0)</f>
        <v>0</v>
      </c>
      <c r="AF179" s="688">
        <f>IFERROR(VLOOKUP($A179,'[92]8月'!$A:$H,8,0),0)</f>
        <v>0</v>
      </c>
      <c r="AG179" s="688">
        <f>IFERROR(VLOOKUP($A179,'[92]9月'!$A:$H,8,0),0)</f>
        <v>0</v>
      </c>
      <c r="AH179" s="688">
        <f>IFERROR(VLOOKUP($A179,'[92]10月'!$A:$H,8,0),0)</f>
        <v>0</v>
      </c>
      <c r="AI179" s="688">
        <f>IFERROR(VLOOKUP($A179,'[92]11月'!$A:$H,8,0),0)</f>
        <v>0</v>
      </c>
      <c r="AJ179" s="688">
        <f>IFERROR(VLOOKUP($A179,'[92]12月'!$A:$H,8,0),0)</f>
        <v>0</v>
      </c>
      <c r="AK179" s="688">
        <f t="shared" si="88"/>
        <v>0</v>
      </c>
    </row>
    <row r="180" spans="1:37" ht="13.5" customHeight="1">
      <c r="A180" s="653" t="str">
        <f>'Budget-合并'!A180</f>
        <v>6115.99</v>
      </c>
      <c r="B180" s="653" t="str">
        <f>'Budget-合并'!B180</f>
        <v>其他</v>
      </c>
      <c r="C180" s="687">
        <f>'Budget-合并'!C180</f>
        <v>0</v>
      </c>
      <c r="D180" s="704">
        <f t="shared" si="82"/>
        <v>0</v>
      </c>
      <c r="E180" s="704" t="e">
        <f t="shared" si="83"/>
        <v>#N/A</v>
      </c>
      <c r="F180" s="704" t="e">
        <f t="shared" si="84"/>
        <v>#N/A</v>
      </c>
      <c r="G180" s="704">
        <f t="shared" ca="1" si="85"/>
        <v>0</v>
      </c>
      <c r="H180" s="704" t="e">
        <f t="shared" ca="1" si="79"/>
        <v>#N/A</v>
      </c>
      <c r="I180" s="704" t="e">
        <f t="shared" ca="1" si="86"/>
        <v>#N/A</v>
      </c>
      <c r="K180" s="704"/>
      <c r="L180" s="704"/>
      <c r="M180" s="704"/>
      <c r="N180" s="704"/>
      <c r="O180" s="704"/>
      <c r="P180" s="704"/>
      <c r="Q180" s="704"/>
      <c r="R180" s="704"/>
      <c r="S180" s="704"/>
      <c r="T180" s="704"/>
      <c r="U180" s="704"/>
      <c r="V180" s="704"/>
      <c r="W180" s="704">
        <f t="shared" si="87"/>
        <v>0</v>
      </c>
      <c r="Y180" s="688">
        <f>IFERROR(VLOOKUP($A180,'[92]1月'!$A:$H,8,0),0)</f>
        <v>0</v>
      </c>
      <c r="Z180" s="688">
        <f>IFERROR(VLOOKUP($A180,'[92]2月'!$A:$H,8,0),0)</f>
        <v>0</v>
      </c>
      <c r="AA180" s="688">
        <f>IFERROR(VLOOKUP($A180,'[92]3月'!$A:$H,8,0),0)</f>
        <v>0</v>
      </c>
      <c r="AB180" s="688">
        <f>IFERROR(VLOOKUP($A180,'[92]4月'!$A:$H,8,0),0)</f>
        <v>0</v>
      </c>
      <c r="AC180" s="688">
        <f>IFERROR(VLOOKUP($A180,'[92]5月'!$A:$H,8,0),0)</f>
        <v>0</v>
      </c>
      <c r="AD180" s="688">
        <f>IFERROR(VLOOKUP($A180,'[92]6月'!$A:$H,8,0),0)</f>
        <v>0</v>
      </c>
      <c r="AE180" s="688">
        <f>IFERROR(VLOOKUP($A180,'[92]7月'!$A:$H,8,0),0)</f>
        <v>0</v>
      </c>
      <c r="AF180" s="688">
        <f>IFERROR(VLOOKUP($A180,'[92]8月'!$A:$H,8,0),0)</f>
        <v>0</v>
      </c>
      <c r="AG180" s="688">
        <f>IFERROR(VLOOKUP($A180,'[92]9月'!$A:$H,8,0),0)</f>
        <v>0</v>
      </c>
      <c r="AH180" s="688">
        <f>IFERROR(VLOOKUP($A180,'[92]10月'!$A:$H,8,0),0)</f>
        <v>0</v>
      </c>
      <c r="AI180" s="688">
        <f>IFERROR(VLOOKUP($A180,'[92]11月'!$A:$H,8,0),0)</f>
        <v>0</v>
      </c>
      <c r="AJ180" s="688">
        <f>IFERROR(VLOOKUP($A180,'[92]12月'!$A:$H,8,0),0)</f>
        <v>0</v>
      </c>
      <c r="AK180" s="688">
        <f t="shared" si="88"/>
        <v>0</v>
      </c>
    </row>
    <row r="181" spans="1:37" ht="13.5" customHeight="1">
      <c r="A181" s="653" t="str">
        <f>'Budget-合并'!A181</f>
        <v>6117</v>
      </c>
      <c r="B181" s="653" t="str">
        <f>'Budget-合并'!B181</f>
        <v>资产处置损益</v>
      </c>
      <c r="C181" s="687">
        <f>'Budget-合并'!C181</f>
        <v>0</v>
      </c>
      <c r="D181" s="704">
        <f t="shared" si="82"/>
        <v>0</v>
      </c>
      <c r="E181" s="704" t="e">
        <f t="shared" si="83"/>
        <v>#N/A</v>
      </c>
      <c r="F181" s="704" t="e">
        <f t="shared" si="84"/>
        <v>#N/A</v>
      </c>
      <c r="G181" s="704">
        <f t="shared" ca="1" si="85"/>
        <v>0</v>
      </c>
      <c r="H181" s="704" t="e">
        <f t="shared" ca="1" si="79"/>
        <v>#N/A</v>
      </c>
      <c r="I181" s="704" t="e">
        <f t="shared" ca="1" si="86"/>
        <v>#N/A</v>
      </c>
      <c r="K181" s="704"/>
      <c r="L181" s="704"/>
      <c r="M181" s="704"/>
      <c r="N181" s="704"/>
      <c r="O181" s="704"/>
      <c r="P181" s="704"/>
      <c r="Q181" s="704"/>
      <c r="R181" s="704"/>
      <c r="S181" s="704"/>
      <c r="T181" s="704"/>
      <c r="U181" s="704"/>
      <c r="V181" s="704"/>
      <c r="W181" s="704">
        <f t="shared" si="87"/>
        <v>0</v>
      </c>
      <c r="Y181" s="688">
        <f>IFERROR(VLOOKUP($A181,'[92]1月'!$A:$H,8,0),0)</f>
        <v>0</v>
      </c>
      <c r="Z181" s="688">
        <f>IFERROR(VLOOKUP($A181,'[92]2月'!$A:$H,8,0),0)</f>
        <v>0</v>
      </c>
      <c r="AA181" s="688">
        <f>IFERROR(VLOOKUP($A181,'[92]3月'!$A:$H,8,0),0)</f>
        <v>0</v>
      </c>
      <c r="AB181" s="688">
        <f>IFERROR(VLOOKUP($A181,'[92]4月'!$A:$H,8,0),0)</f>
        <v>0</v>
      </c>
      <c r="AC181" s="688">
        <f>IFERROR(VLOOKUP($A181,'[92]5月'!$A:$H,8,0),0)</f>
        <v>0</v>
      </c>
      <c r="AD181" s="688">
        <f>IFERROR(VLOOKUP($A181,'[92]6月'!$A:$H,8,0),0)</f>
        <v>0</v>
      </c>
      <c r="AE181" s="688">
        <f>IFERROR(VLOOKUP($A181,'[92]7月'!$A:$H,8,0),0)</f>
        <v>0</v>
      </c>
      <c r="AF181" s="688">
        <f>IFERROR(VLOOKUP($A181,'[92]8月'!$A:$H,8,0),0)</f>
        <v>0</v>
      </c>
      <c r="AG181" s="688">
        <f>IFERROR(VLOOKUP($A181,'[92]9月'!$A:$H,8,0),0)</f>
        <v>0</v>
      </c>
      <c r="AH181" s="688">
        <f>IFERROR(VLOOKUP($A181,'[92]10月'!$A:$H,8,0),0)</f>
        <v>0</v>
      </c>
      <c r="AI181" s="688">
        <f>IFERROR(VLOOKUP($A181,'[92]11月'!$A:$H,8,0),0)</f>
        <v>0</v>
      </c>
      <c r="AJ181" s="688">
        <f>IFERROR(VLOOKUP($A181,'[92]12月'!$A:$H,8,0),0)</f>
        <v>0</v>
      </c>
      <c r="AK181" s="688">
        <f t="shared" si="88"/>
        <v>0</v>
      </c>
    </row>
    <row r="182" spans="1:37" ht="13.5" customHeight="1">
      <c r="A182" s="653" t="str">
        <f>'Budget-合并'!A182</f>
        <v>6118</v>
      </c>
      <c r="B182" s="653" t="str">
        <f>'Budget-合并'!B182</f>
        <v>净敞口套期损益</v>
      </c>
      <c r="C182" s="687">
        <f>'Budget-合并'!C182</f>
        <v>0</v>
      </c>
      <c r="D182" s="704">
        <f t="shared" si="82"/>
        <v>0</v>
      </c>
      <c r="E182" s="704" t="e">
        <f t="shared" si="83"/>
        <v>#N/A</v>
      </c>
      <c r="F182" s="704" t="e">
        <f t="shared" si="84"/>
        <v>#N/A</v>
      </c>
      <c r="G182" s="704">
        <f t="shared" ca="1" si="85"/>
        <v>0</v>
      </c>
      <c r="H182" s="704" t="e">
        <f t="shared" ca="1" si="79"/>
        <v>#N/A</v>
      </c>
      <c r="I182" s="704" t="e">
        <f t="shared" ca="1" si="86"/>
        <v>#N/A</v>
      </c>
      <c r="K182" s="704"/>
      <c r="L182" s="704"/>
      <c r="M182" s="704"/>
      <c r="N182" s="704"/>
      <c r="O182" s="704"/>
      <c r="P182" s="704"/>
      <c r="Q182" s="704"/>
      <c r="R182" s="704"/>
      <c r="S182" s="704"/>
      <c r="T182" s="704"/>
      <c r="U182" s="704"/>
      <c r="V182" s="704"/>
      <c r="W182" s="704">
        <f t="shared" si="87"/>
        <v>0</v>
      </c>
      <c r="Y182" s="688">
        <f>IFERROR(VLOOKUP($A182,'[92]1月'!$A:$H,8,0),0)</f>
        <v>0</v>
      </c>
      <c r="Z182" s="688">
        <f>IFERROR(VLOOKUP($A182,'[92]2月'!$A:$H,8,0),0)</f>
        <v>0</v>
      </c>
      <c r="AA182" s="688">
        <f>IFERROR(VLOOKUP($A182,'[92]3月'!$A:$H,8,0),0)</f>
        <v>0</v>
      </c>
      <c r="AB182" s="688">
        <f>IFERROR(VLOOKUP($A182,'[92]4月'!$A:$H,8,0),0)</f>
        <v>0</v>
      </c>
      <c r="AC182" s="688">
        <f>IFERROR(VLOOKUP($A182,'[92]5月'!$A:$H,8,0),0)</f>
        <v>0</v>
      </c>
      <c r="AD182" s="688">
        <f>IFERROR(VLOOKUP($A182,'[92]6月'!$A:$H,8,0),0)</f>
        <v>0</v>
      </c>
      <c r="AE182" s="688">
        <f>IFERROR(VLOOKUP($A182,'[92]7月'!$A:$H,8,0),0)</f>
        <v>0</v>
      </c>
      <c r="AF182" s="688">
        <f>IFERROR(VLOOKUP($A182,'[92]8月'!$A:$H,8,0),0)</f>
        <v>0</v>
      </c>
      <c r="AG182" s="688">
        <f>IFERROR(VLOOKUP($A182,'[92]9月'!$A:$H,8,0),0)</f>
        <v>0</v>
      </c>
      <c r="AH182" s="688">
        <f>IFERROR(VLOOKUP($A182,'[92]10月'!$A:$H,8,0),0)</f>
        <v>0</v>
      </c>
      <c r="AI182" s="688">
        <f>IFERROR(VLOOKUP($A182,'[92]11月'!$A:$H,8,0),0)</f>
        <v>0</v>
      </c>
      <c r="AJ182" s="688">
        <f>IFERROR(VLOOKUP($A182,'[92]12月'!$A:$H,8,0),0)</f>
        <v>0</v>
      </c>
      <c r="AK182" s="688">
        <f t="shared" si="88"/>
        <v>0</v>
      </c>
    </row>
    <row r="183" spans="1:37" ht="13.5" customHeight="1">
      <c r="A183" s="686">
        <f>'Budget-合并'!A183</f>
        <v>0</v>
      </c>
      <c r="B183" s="686" t="str">
        <f>'Budget-合并'!B183</f>
        <v>其他收益合计</v>
      </c>
      <c r="C183" s="687">
        <f>'Budget-合并'!C183</f>
        <v>0</v>
      </c>
      <c r="D183" s="700">
        <f t="shared" si="82"/>
        <v>0</v>
      </c>
      <c r="E183" s="677" t="e">
        <f t="shared" si="83"/>
        <v>#N/A</v>
      </c>
      <c r="F183" s="677" t="e">
        <f t="shared" si="84"/>
        <v>#N/A</v>
      </c>
      <c r="G183" s="700">
        <f t="shared" ca="1" si="85"/>
        <v>0</v>
      </c>
      <c r="H183" s="677" t="e">
        <f t="shared" ref="H183:H198" ca="1" si="90">SUM($Y183:OFFSET($Y183,0,MATCH(H$6,$Y$6:$AJ$6)-1))</f>
        <v>#N/A</v>
      </c>
      <c r="I183" s="677" t="e">
        <f t="shared" ca="1" si="86"/>
        <v>#N/A</v>
      </c>
      <c r="K183" s="700">
        <f t="shared" ref="K183:W183" si="91">SUM(K174,K174:K177,K181:K182)</f>
        <v>0</v>
      </c>
      <c r="L183" s="700">
        <f t="shared" si="91"/>
        <v>0</v>
      </c>
      <c r="M183" s="700">
        <f t="shared" si="91"/>
        <v>0</v>
      </c>
      <c r="N183" s="700">
        <f t="shared" si="91"/>
        <v>0</v>
      </c>
      <c r="O183" s="700">
        <f t="shared" si="91"/>
        <v>0</v>
      </c>
      <c r="P183" s="700">
        <f t="shared" si="91"/>
        <v>0</v>
      </c>
      <c r="Q183" s="700">
        <f t="shared" si="91"/>
        <v>0</v>
      </c>
      <c r="R183" s="700">
        <f t="shared" si="91"/>
        <v>0</v>
      </c>
      <c r="S183" s="700">
        <f t="shared" si="91"/>
        <v>0</v>
      </c>
      <c r="T183" s="700">
        <f t="shared" si="91"/>
        <v>0</v>
      </c>
      <c r="U183" s="700">
        <f t="shared" si="91"/>
        <v>0</v>
      </c>
      <c r="V183" s="700">
        <f t="shared" si="91"/>
        <v>0</v>
      </c>
      <c r="W183" s="700">
        <f t="shared" si="91"/>
        <v>0</v>
      </c>
      <c r="Y183" s="677">
        <f t="shared" ref="Y183:AK183" si="92">SUM(Y174,Y174:Y177,Y181:Y182)</f>
        <v>61050</v>
      </c>
      <c r="Z183" s="677">
        <f t="shared" si="92"/>
        <v>61050</v>
      </c>
      <c r="AA183" s="677">
        <f t="shared" si="92"/>
        <v>61050</v>
      </c>
      <c r="AB183" s="677">
        <f t="shared" si="92"/>
        <v>55650</v>
      </c>
      <c r="AC183" s="677">
        <f t="shared" si="92"/>
        <v>55650</v>
      </c>
      <c r="AD183" s="677">
        <f t="shared" si="92"/>
        <v>55650</v>
      </c>
      <c r="AE183" s="677">
        <f t="shared" si="92"/>
        <v>55650</v>
      </c>
      <c r="AF183" s="677">
        <f t="shared" si="92"/>
        <v>55650</v>
      </c>
      <c r="AG183" s="677">
        <f t="shared" si="92"/>
        <v>55650</v>
      </c>
      <c r="AH183" s="677">
        <f t="shared" si="92"/>
        <v>55650</v>
      </c>
      <c r="AI183" s="677">
        <f t="shared" si="92"/>
        <v>55650</v>
      </c>
      <c r="AJ183" s="677">
        <f t="shared" si="92"/>
        <v>55650</v>
      </c>
      <c r="AK183" s="677">
        <f t="shared" si="92"/>
        <v>684000</v>
      </c>
    </row>
    <row r="184" spans="1:37" ht="13.5" customHeight="1">
      <c r="A184" s="653">
        <f>'Budget-合并'!A184</f>
        <v>0</v>
      </c>
      <c r="B184" s="653">
        <f>'Budget-合并'!B184</f>
        <v>0</v>
      </c>
      <c r="C184" s="687">
        <f>'Budget-合并'!C184</f>
        <v>0</v>
      </c>
      <c r="W184" s="652">
        <f t="shared" ref="W184:W198" si="93">SUM(K184:V184)</f>
        <v>0</v>
      </c>
    </row>
    <row r="185" spans="1:37" ht="13.5" customHeight="1">
      <c r="A185" s="686">
        <f>'Budget-合并'!A185</f>
        <v>0</v>
      </c>
      <c r="B185" s="686" t="str">
        <f>'Budget-合并'!B185</f>
        <v>营业利润</v>
      </c>
      <c r="C185" s="687">
        <f>'Budget-合并'!C185</f>
        <v>0</v>
      </c>
      <c r="D185" s="677">
        <f ca="1">INDEX($K185:$V185,1,MATCH($D$6,$K$6:$V$6))</f>
        <v>-449191.50539436669</v>
      </c>
      <c r="E185" s="677" t="e">
        <f t="shared" ref="E185:E198" si="94">INDEX($Y185:$AG185,1,MATCH($E$6,$Y$6:$AG$6))</f>
        <v>#N/A</v>
      </c>
      <c r="F185" s="677" t="e">
        <f ca="1">D185-E185</f>
        <v>#N/A</v>
      </c>
      <c r="G185" s="677">
        <f t="shared" ref="G185:G199" ca="1" si="95">SUM($K185:OFFSET($K185,0,MATCH(G$6,$K$6:$V$6)-1))</f>
        <v>-449191.50539436669</v>
      </c>
      <c r="H185" s="677" t="e">
        <f t="shared" ca="1" si="90"/>
        <v>#N/A</v>
      </c>
      <c r="I185" s="677" t="e">
        <f t="shared" ref="I185:I199" ca="1" si="96">G185-H185</f>
        <v>#N/A</v>
      </c>
      <c r="K185" s="677">
        <f ca="1">K12-K19-K42-K153-K172+K183</f>
        <v>-449191.50539436669</v>
      </c>
      <c r="L185" s="677">
        <f t="shared" ref="L185:V185" ca="1" si="97">L12-L19-L42-L153-L172+L183</f>
        <v>-449807.49326866661</v>
      </c>
      <c r="M185" s="677">
        <f t="shared" ca="1" si="97"/>
        <v>-477403.31485666666</v>
      </c>
      <c r="N185" s="677">
        <f t="shared" ca="1" si="97"/>
        <v>-1040116.6307366666</v>
      </c>
      <c r="O185" s="677">
        <f t="shared" ca="1" si="97"/>
        <v>-424954.78728820506</v>
      </c>
      <c r="P185" s="677">
        <f t="shared" ca="1" si="97"/>
        <v>-549825.16890666669</v>
      </c>
      <c r="Q185" s="677">
        <f t="shared" ca="1" si="97"/>
        <v>-97673.663502072086</v>
      </c>
      <c r="R185" s="677">
        <f t="shared" ca="1" si="97"/>
        <v>-511866.88131266664</v>
      </c>
      <c r="S185" s="677">
        <f t="shared" ca="1" si="97"/>
        <v>-513538.95026066666</v>
      </c>
      <c r="T185" s="677">
        <f t="shared" ca="1" si="97"/>
        <v>331846.89109088847</v>
      </c>
      <c r="U185" s="677">
        <f t="shared" ca="1" si="97"/>
        <v>-515208.37260866666</v>
      </c>
      <c r="V185" s="677">
        <f t="shared" ca="1" si="97"/>
        <v>-511265.07093866664</v>
      </c>
      <c r="W185" s="677">
        <f t="shared" ca="1" si="93"/>
        <v>-5209004.947983088</v>
      </c>
      <c r="Y185" s="677">
        <f t="shared" ref="Y185:AK185" si="98">Y12-Y19-Y42-Y153-Y172+Y183</f>
        <v>-203202.3</v>
      </c>
      <c r="Z185" s="677">
        <f t="shared" si="98"/>
        <v>-711726.69</v>
      </c>
      <c r="AA185" s="677">
        <f t="shared" si="98"/>
        <v>-450472.47000000003</v>
      </c>
      <c r="AB185" s="677">
        <f t="shared" si="98"/>
        <v>-546530.11</v>
      </c>
      <c r="AC185" s="677">
        <f t="shared" si="98"/>
        <v>92556.000000000116</v>
      </c>
      <c r="AD185" s="677">
        <f t="shared" si="98"/>
        <v>-416167.11000000004</v>
      </c>
      <c r="AE185" s="677">
        <f t="shared" si="98"/>
        <v>-453815.17</v>
      </c>
      <c r="AF185" s="677">
        <f t="shared" si="98"/>
        <v>-813671.12999999989</v>
      </c>
      <c r="AG185" s="677">
        <f t="shared" si="98"/>
        <v>-495936.29000000004</v>
      </c>
      <c r="AH185" s="677">
        <f t="shared" si="98"/>
        <v>-2029924.76</v>
      </c>
      <c r="AI185" s="677">
        <f t="shared" si="98"/>
        <v>-318631</v>
      </c>
      <c r="AJ185" s="677">
        <f t="shared" si="98"/>
        <v>-849419.63000000012</v>
      </c>
      <c r="AK185" s="677">
        <f t="shared" si="98"/>
        <v>-7196940.6599999992</v>
      </c>
    </row>
    <row r="186" spans="1:37" ht="13.5" customHeight="1">
      <c r="A186" s="653">
        <f>'Budget-合并'!A186</f>
        <v>0</v>
      </c>
      <c r="B186" s="653">
        <f>'Budget-合并'!B186</f>
        <v>0</v>
      </c>
      <c r="C186" s="687">
        <f>'Budget-合并'!C186</f>
        <v>0</v>
      </c>
    </row>
    <row r="187" spans="1:37" ht="13.5" customHeight="1">
      <c r="A187" s="653" t="str">
        <f>'Budget-合并'!A187</f>
        <v>6301</v>
      </c>
      <c r="B187" s="653" t="str">
        <f>'Budget-合并'!B187</f>
        <v>营业外收入</v>
      </c>
      <c r="C187" s="687">
        <f>'Budget-合并'!C187</f>
        <v>0</v>
      </c>
      <c r="D187" s="704">
        <f t="shared" ref="D187:D199" si="99">INDEX($K187:$V187,1,MATCH($D$6,$K$6:$V$6))</f>
        <v>0</v>
      </c>
      <c r="E187" s="704" t="e">
        <f t="shared" si="94"/>
        <v>#N/A</v>
      </c>
      <c r="F187" s="704" t="e">
        <f t="shared" ref="F187:F199" si="100">D187-E187</f>
        <v>#N/A</v>
      </c>
      <c r="G187" s="704">
        <f t="shared" ca="1" si="95"/>
        <v>0</v>
      </c>
      <c r="H187" s="704" t="e">
        <f t="shared" ca="1" si="90"/>
        <v>#N/A</v>
      </c>
      <c r="I187" s="704" t="e">
        <f t="shared" ca="1" si="96"/>
        <v>#N/A</v>
      </c>
      <c r="K187" s="704">
        <f t="shared" ref="K187:V187" si="101">SUM(K188:K192)</f>
        <v>0</v>
      </c>
      <c r="L187" s="704">
        <f t="shared" si="101"/>
        <v>0</v>
      </c>
      <c r="M187" s="704">
        <f t="shared" si="101"/>
        <v>0</v>
      </c>
      <c r="N187" s="704">
        <f t="shared" si="101"/>
        <v>0</v>
      </c>
      <c r="O187" s="704">
        <f t="shared" si="101"/>
        <v>0</v>
      </c>
      <c r="P187" s="704">
        <f t="shared" si="101"/>
        <v>0</v>
      </c>
      <c r="Q187" s="704">
        <f t="shared" si="101"/>
        <v>0</v>
      </c>
      <c r="R187" s="704">
        <f t="shared" si="101"/>
        <v>0</v>
      </c>
      <c r="S187" s="704">
        <f t="shared" si="101"/>
        <v>0</v>
      </c>
      <c r="T187" s="704">
        <f t="shared" si="101"/>
        <v>0</v>
      </c>
      <c r="U187" s="704">
        <f t="shared" si="101"/>
        <v>0</v>
      </c>
      <c r="V187" s="704">
        <f t="shared" si="101"/>
        <v>0</v>
      </c>
      <c r="W187" s="704">
        <f t="shared" si="93"/>
        <v>0</v>
      </c>
      <c r="Y187" s="688">
        <f>IFERROR(VLOOKUP($A187,'[92]1月'!$A:$H,8,0),0)</f>
        <v>0</v>
      </c>
      <c r="Z187" s="688">
        <f>IFERROR(VLOOKUP($A187,'[92]2月'!$A:$H,8,0),0)</f>
        <v>0</v>
      </c>
      <c r="AA187" s="688">
        <f>IFERROR(VLOOKUP($A187,'[92]3月'!$A:$H,8,0),0)</f>
        <v>0</v>
      </c>
      <c r="AB187" s="688">
        <f>IFERROR(VLOOKUP($A187,'[92]4月'!$A:$H,8,0),0)</f>
        <v>0</v>
      </c>
      <c r="AC187" s="688">
        <f>IFERROR(VLOOKUP($A187,'[92]5月'!$A:$H,8,0),0)</f>
        <v>0</v>
      </c>
      <c r="AD187" s="688">
        <f>IFERROR(VLOOKUP($A187,'[92]6月'!$A:$H,8,0),0)</f>
        <v>0</v>
      </c>
      <c r="AE187" s="688">
        <f>IFERROR(VLOOKUP($A187,'[92]7月'!$A:$H,8,0),0)</f>
        <v>0</v>
      </c>
      <c r="AF187" s="688">
        <f>IFERROR(VLOOKUP($A187,'[92]8月'!$A:$H,8,0),0)</f>
        <v>0</v>
      </c>
      <c r="AG187" s="688">
        <f>IFERROR(VLOOKUP($A187,'[92]9月'!$A:$H,8,0),0)</f>
        <v>0</v>
      </c>
      <c r="AH187" s="688">
        <f>IFERROR(VLOOKUP($A187,'[92]10月'!$A:$H,8,0),0)</f>
        <v>0</v>
      </c>
      <c r="AI187" s="688">
        <f>IFERROR(VLOOKUP($A187,'[92]11月'!$A:$H,8,0),0)</f>
        <v>0</v>
      </c>
      <c r="AJ187" s="688">
        <f>IFERROR(VLOOKUP($A187,'[92]12月'!$A:$H,8,0),0)</f>
        <v>0</v>
      </c>
      <c r="AK187" s="688">
        <f t="shared" ref="AK187:AK198" si="102">SUM(Y187:AJ187)</f>
        <v>0</v>
      </c>
    </row>
    <row r="188" spans="1:37" ht="13.5" customHeight="1">
      <c r="A188" s="653" t="str">
        <f>'Budget-合并'!A188</f>
        <v>6301.01</v>
      </c>
      <c r="B188" s="653" t="str">
        <f>'Budget-合并'!B188</f>
        <v>非流动资产处置利得</v>
      </c>
      <c r="C188" s="687">
        <f>'Budget-合并'!C188</f>
        <v>0</v>
      </c>
      <c r="D188" s="704">
        <f t="shared" si="99"/>
        <v>0</v>
      </c>
      <c r="E188" s="704" t="e">
        <f t="shared" si="94"/>
        <v>#N/A</v>
      </c>
      <c r="F188" s="704" t="e">
        <f t="shared" si="100"/>
        <v>#N/A</v>
      </c>
      <c r="G188" s="704">
        <f t="shared" ca="1" si="95"/>
        <v>0</v>
      </c>
      <c r="H188" s="704" t="e">
        <f t="shared" ca="1" si="90"/>
        <v>#N/A</v>
      </c>
      <c r="I188" s="704" t="e">
        <f t="shared" ca="1" si="96"/>
        <v>#N/A</v>
      </c>
      <c r="K188" s="704"/>
      <c r="L188" s="704"/>
      <c r="M188" s="704"/>
      <c r="N188" s="704"/>
      <c r="O188" s="704"/>
      <c r="P188" s="704"/>
      <c r="Q188" s="704"/>
      <c r="R188" s="704"/>
      <c r="S188" s="704"/>
      <c r="T188" s="704"/>
      <c r="U188" s="704"/>
      <c r="V188" s="704"/>
      <c r="W188" s="704">
        <f t="shared" si="93"/>
        <v>0</v>
      </c>
      <c r="Y188" s="688">
        <f>IFERROR(VLOOKUP($A188,'[92]1月'!$A:$H,8,0),0)</f>
        <v>0</v>
      </c>
      <c r="Z188" s="688">
        <f>IFERROR(VLOOKUP($A188,'[92]2月'!$A:$H,8,0),0)</f>
        <v>0</v>
      </c>
      <c r="AA188" s="688">
        <f>IFERROR(VLOOKUP($A188,'[92]3月'!$A:$H,8,0),0)</f>
        <v>0</v>
      </c>
      <c r="AB188" s="688">
        <f>IFERROR(VLOOKUP($A188,'[92]4月'!$A:$H,8,0),0)</f>
        <v>0</v>
      </c>
      <c r="AC188" s="688">
        <f>IFERROR(VLOOKUP($A188,'[92]5月'!$A:$H,8,0),0)</f>
        <v>0</v>
      </c>
      <c r="AD188" s="688">
        <f>IFERROR(VLOOKUP($A188,'[92]6月'!$A:$H,8,0),0)</f>
        <v>0</v>
      </c>
      <c r="AE188" s="688">
        <f>IFERROR(VLOOKUP($A188,'[92]7月'!$A:$H,8,0),0)</f>
        <v>0</v>
      </c>
      <c r="AF188" s="688">
        <f>IFERROR(VLOOKUP($A188,'[92]8月'!$A:$H,8,0),0)</f>
        <v>0</v>
      </c>
      <c r="AG188" s="688">
        <f>IFERROR(VLOOKUP($A188,'[92]9月'!$A:$H,8,0),0)</f>
        <v>0</v>
      </c>
      <c r="AH188" s="688">
        <f>IFERROR(VLOOKUP($A188,'[92]10月'!$A:$H,8,0),0)</f>
        <v>0</v>
      </c>
      <c r="AI188" s="688">
        <f>IFERROR(VLOOKUP($A188,'[92]11月'!$A:$H,8,0),0)</f>
        <v>0</v>
      </c>
      <c r="AJ188" s="688">
        <f>IFERROR(VLOOKUP($A188,'[92]12月'!$A:$H,8,0),0)</f>
        <v>0</v>
      </c>
      <c r="AK188" s="688">
        <f t="shared" si="102"/>
        <v>0</v>
      </c>
    </row>
    <row r="189" spans="1:37" ht="13.5" customHeight="1">
      <c r="A189" s="653" t="str">
        <f>'Budget-合并'!A189</f>
        <v>6301.02</v>
      </c>
      <c r="B189" s="653" t="str">
        <f>'Budget-合并'!B189</f>
        <v>债务重组利得</v>
      </c>
      <c r="C189" s="687">
        <f>'Budget-合并'!C189</f>
        <v>0</v>
      </c>
      <c r="D189" s="704">
        <f t="shared" si="99"/>
        <v>0</v>
      </c>
      <c r="E189" s="704" t="e">
        <f t="shared" si="94"/>
        <v>#N/A</v>
      </c>
      <c r="F189" s="704" t="e">
        <f t="shared" si="100"/>
        <v>#N/A</v>
      </c>
      <c r="G189" s="704">
        <f t="shared" ca="1" si="95"/>
        <v>0</v>
      </c>
      <c r="H189" s="704" t="e">
        <f t="shared" ca="1" si="90"/>
        <v>#N/A</v>
      </c>
      <c r="I189" s="704" t="e">
        <f t="shared" ca="1" si="96"/>
        <v>#N/A</v>
      </c>
      <c r="K189" s="704"/>
      <c r="L189" s="704"/>
      <c r="M189" s="704"/>
      <c r="N189" s="704"/>
      <c r="O189" s="704"/>
      <c r="P189" s="704"/>
      <c r="Q189" s="704"/>
      <c r="R189" s="704"/>
      <c r="S189" s="704"/>
      <c r="T189" s="704"/>
      <c r="U189" s="704"/>
      <c r="V189" s="704"/>
      <c r="W189" s="704">
        <f t="shared" si="93"/>
        <v>0</v>
      </c>
      <c r="Y189" s="688">
        <f>IFERROR(VLOOKUP($A189,'[92]1月'!$A:$H,8,0),0)</f>
        <v>0</v>
      </c>
      <c r="Z189" s="688">
        <f>IFERROR(VLOOKUP($A189,'[92]2月'!$A:$H,8,0),0)</f>
        <v>0</v>
      </c>
      <c r="AA189" s="688">
        <f>IFERROR(VLOOKUP($A189,'[92]3月'!$A:$H,8,0),0)</f>
        <v>0</v>
      </c>
      <c r="AB189" s="688">
        <f>IFERROR(VLOOKUP($A189,'[92]4月'!$A:$H,8,0),0)</f>
        <v>0</v>
      </c>
      <c r="AC189" s="688">
        <f>IFERROR(VLOOKUP($A189,'[92]5月'!$A:$H,8,0),0)</f>
        <v>0</v>
      </c>
      <c r="AD189" s="688">
        <f>IFERROR(VLOOKUP($A189,'[92]6月'!$A:$H,8,0),0)</f>
        <v>0</v>
      </c>
      <c r="AE189" s="688">
        <f>IFERROR(VLOOKUP($A189,'[92]7月'!$A:$H,8,0),0)</f>
        <v>0</v>
      </c>
      <c r="AF189" s="688">
        <f>IFERROR(VLOOKUP($A189,'[92]8月'!$A:$H,8,0),0)</f>
        <v>0</v>
      </c>
      <c r="AG189" s="688">
        <f>IFERROR(VLOOKUP($A189,'[92]9月'!$A:$H,8,0),0)</f>
        <v>0</v>
      </c>
      <c r="AH189" s="688">
        <f>IFERROR(VLOOKUP($A189,'[92]10月'!$A:$H,8,0),0)</f>
        <v>0</v>
      </c>
      <c r="AI189" s="688">
        <f>IFERROR(VLOOKUP($A189,'[92]11月'!$A:$H,8,0),0)</f>
        <v>0</v>
      </c>
      <c r="AJ189" s="688">
        <f>IFERROR(VLOOKUP($A189,'[92]12月'!$A:$H,8,0),0)</f>
        <v>0</v>
      </c>
      <c r="AK189" s="688">
        <f t="shared" si="102"/>
        <v>0</v>
      </c>
    </row>
    <row r="190" spans="1:37" ht="13.5" customHeight="1">
      <c r="A190" s="653" t="str">
        <f>'Budget-合并'!A190</f>
        <v>6301.03</v>
      </c>
      <c r="B190" s="653" t="str">
        <f>'Budget-合并'!B190</f>
        <v>盘盈利得</v>
      </c>
      <c r="C190" s="687">
        <f>'Budget-合并'!C190</f>
        <v>0</v>
      </c>
      <c r="D190" s="704">
        <f t="shared" si="99"/>
        <v>0</v>
      </c>
      <c r="E190" s="704" t="e">
        <f t="shared" si="94"/>
        <v>#N/A</v>
      </c>
      <c r="F190" s="704" t="e">
        <f t="shared" si="100"/>
        <v>#N/A</v>
      </c>
      <c r="G190" s="704">
        <f t="shared" ca="1" si="95"/>
        <v>0</v>
      </c>
      <c r="H190" s="704" t="e">
        <f t="shared" ca="1" si="90"/>
        <v>#N/A</v>
      </c>
      <c r="I190" s="704" t="e">
        <f t="shared" ca="1" si="96"/>
        <v>#N/A</v>
      </c>
      <c r="K190" s="704"/>
      <c r="L190" s="704"/>
      <c r="M190" s="704"/>
      <c r="N190" s="704"/>
      <c r="O190" s="704"/>
      <c r="P190" s="704"/>
      <c r="Q190" s="704"/>
      <c r="R190" s="704"/>
      <c r="S190" s="704"/>
      <c r="T190" s="704"/>
      <c r="U190" s="704"/>
      <c r="V190" s="704"/>
      <c r="W190" s="704">
        <f t="shared" si="93"/>
        <v>0</v>
      </c>
      <c r="Y190" s="688">
        <f>IFERROR(VLOOKUP($A190,'[92]1月'!$A:$H,8,0),0)</f>
        <v>0</v>
      </c>
      <c r="Z190" s="688">
        <f>IFERROR(VLOOKUP($A190,'[92]2月'!$A:$H,8,0),0)</f>
        <v>0</v>
      </c>
      <c r="AA190" s="688">
        <f>IFERROR(VLOOKUP($A190,'[92]3月'!$A:$H,8,0),0)</f>
        <v>0</v>
      </c>
      <c r="AB190" s="688">
        <f>IFERROR(VLOOKUP($A190,'[92]4月'!$A:$H,8,0),0)</f>
        <v>0</v>
      </c>
      <c r="AC190" s="688">
        <f>IFERROR(VLOOKUP($A190,'[92]5月'!$A:$H,8,0),0)</f>
        <v>0</v>
      </c>
      <c r="AD190" s="688">
        <f>IFERROR(VLOOKUP($A190,'[92]6月'!$A:$H,8,0),0)</f>
        <v>0</v>
      </c>
      <c r="AE190" s="688">
        <f>IFERROR(VLOOKUP($A190,'[92]7月'!$A:$H,8,0),0)</f>
        <v>0</v>
      </c>
      <c r="AF190" s="688">
        <f>IFERROR(VLOOKUP($A190,'[92]8月'!$A:$H,8,0),0)</f>
        <v>0</v>
      </c>
      <c r="AG190" s="688">
        <f>IFERROR(VLOOKUP($A190,'[92]9月'!$A:$H,8,0),0)</f>
        <v>0</v>
      </c>
      <c r="AH190" s="688">
        <f>IFERROR(VLOOKUP($A190,'[92]10月'!$A:$H,8,0),0)</f>
        <v>0</v>
      </c>
      <c r="AI190" s="688">
        <f>IFERROR(VLOOKUP($A190,'[92]11月'!$A:$H,8,0),0)</f>
        <v>0</v>
      </c>
      <c r="AJ190" s="688">
        <f>IFERROR(VLOOKUP($A190,'[92]12月'!$A:$H,8,0),0)</f>
        <v>0</v>
      </c>
      <c r="AK190" s="688">
        <f t="shared" si="102"/>
        <v>0</v>
      </c>
    </row>
    <row r="191" spans="1:37" ht="13.5" customHeight="1">
      <c r="A191" s="653" t="str">
        <f>'Budget-合并'!A191</f>
        <v>6301.04</v>
      </c>
      <c r="B191" s="653" t="str">
        <f>'Budget-合并'!B191</f>
        <v>捐赠利得</v>
      </c>
      <c r="C191" s="687">
        <f>'Budget-合并'!C191</f>
        <v>0</v>
      </c>
      <c r="D191" s="704">
        <f t="shared" si="99"/>
        <v>0</v>
      </c>
      <c r="E191" s="704" t="e">
        <f t="shared" si="94"/>
        <v>#N/A</v>
      </c>
      <c r="F191" s="704" t="e">
        <f t="shared" si="100"/>
        <v>#N/A</v>
      </c>
      <c r="G191" s="704">
        <f t="shared" ca="1" si="95"/>
        <v>0</v>
      </c>
      <c r="H191" s="704" t="e">
        <f t="shared" ca="1" si="90"/>
        <v>#N/A</v>
      </c>
      <c r="I191" s="704" t="e">
        <f t="shared" ca="1" si="96"/>
        <v>#N/A</v>
      </c>
      <c r="K191" s="704"/>
      <c r="L191" s="704"/>
      <c r="M191" s="704"/>
      <c r="N191" s="704"/>
      <c r="O191" s="704"/>
      <c r="P191" s="704"/>
      <c r="Q191" s="704"/>
      <c r="R191" s="704"/>
      <c r="S191" s="704"/>
      <c r="T191" s="704"/>
      <c r="U191" s="704"/>
      <c r="V191" s="704"/>
      <c r="W191" s="704">
        <f t="shared" si="93"/>
        <v>0</v>
      </c>
      <c r="Y191" s="688">
        <f>IFERROR(VLOOKUP($A191,'[92]1月'!$A:$H,8,0),0)</f>
        <v>0</v>
      </c>
      <c r="Z191" s="688">
        <f>IFERROR(VLOOKUP($A191,'[92]2月'!$A:$H,8,0),0)</f>
        <v>0</v>
      </c>
      <c r="AA191" s="688">
        <f>IFERROR(VLOOKUP($A191,'[92]3月'!$A:$H,8,0),0)</f>
        <v>0</v>
      </c>
      <c r="AB191" s="688">
        <f>IFERROR(VLOOKUP($A191,'[92]4月'!$A:$H,8,0),0)</f>
        <v>0</v>
      </c>
      <c r="AC191" s="688">
        <f>IFERROR(VLOOKUP($A191,'[92]5月'!$A:$H,8,0),0)</f>
        <v>0</v>
      </c>
      <c r="AD191" s="688">
        <f>IFERROR(VLOOKUP($A191,'[92]6月'!$A:$H,8,0),0)</f>
        <v>0</v>
      </c>
      <c r="AE191" s="688">
        <f>IFERROR(VLOOKUP($A191,'[92]7月'!$A:$H,8,0),0)</f>
        <v>0</v>
      </c>
      <c r="AF191" s="688">
        <f>IFERROR(VLOOKUP($A191,'[92]8月'!$A:$H,8,0),0)</f>
        <v>0</v>
      </c>
      <c r="AG191" s="688">
        <f>IFERROR(VLOOKUP($A191,'[92]9月'!$A:$H,8,0),0)</f>
        <v>0</v>
      </c>
      <c r="AH191" s="688">
        <f>IFERROR(VLOOKUP($A191,'[92]10月'!$A:$H,8,0),0)</f>
        <v>0</v>
      </c>
      <c r="AI191" s="688">
        <f>IFERROR(VLOOKUP($A191,'[92]11月'!$A:$H,8,0),0)</f>
        <v>0</v>
      </c>
      <c r="AJ191" s="688">
        <f>IFERROR(VLOOKUP($A191,'[92]12月'!$A:$H,8,0),0)</f>
        <v>0</v>
      </c>
      <c r="AK191" s="688">
        <f t="shared" si="102"/>
        <v>0</v>
      </c>
    </row>
    <row r="192" spans="1:37" ht="13.5" customHeight="1">
      <c r="A192" s="653" t="str">
        <f>'Budget-合并'!A192</f>
        <v>6301.99</v>
      </c>
      <c r="B192" s="653" t="str">
        <f>'Budget-合并'!B192</f>
        <v>其他</v>
      </c>
      <c r="C192" s="687">
        <f>'Budget-合并'!C192</f>
        <v>0</v>
      </c>
      <c r="D192" s="704">
        <f t="shared" si="99"/>
        <v>0</v>
      </c>
      <c r="E192" s="704" t="e">
        <f t="shared" si="94"/>
        <v>#N/A</v>
      </c>
      <c r="F192" s="704" t="e">
        <f t="shared" si="100"/>
        <v>#N/A</v>
      </c>
      <c r="G192" s="704">
        <f t="shared" ca="1" si="95"/>
        <v>0</v>
      </c>
      <c r="H192" s="704" t="e">
        <f t="shared" ca="1" si="90"/>
        <v>#N/A</v>
      </c>
      <c r="I192" s="704" t="e">
        <f t="shared" ca="1" si="96"/>
        <v>#N/A</v>
      </c>
      <c r="K192" s="704"/>
      <c r="L192" s="704"/>
      <c r="M192" s="704"/>
      <c r="N192" s="704"/>
      <c r="O192" s="704"/>
      <c r="P192" s="704"/>
      <c r="Q192" s="704"/>
      <c r="R192" s="704"/>
      <c r="S192" s="704"/>
      <c r="T192" s="704"/>
      <c r="U192" s="704"/>
      <c r="V192" s="704"/>
      <c r="W192" s="704">
        <f t="shared" si="93"/>
        <v>0</v>
      </c>
      <c r="Y192" s="688">
        <f>IFERROR(VLOOKUP($A192,'[92]1月'!$A:$H,8,0),0)</f>
        <v>0</v>
      </c>
      <c r="Z192" s="688">
        <f>IFERROR(VLOOKUP($A192,'[92]2月'!$A:$H,8,0),0)</f>
        <v>0</v>
      </c>
      <c r="AA192" s="688">
        <f>IFERROR(VLOOKUP($A192,'[92]3月'!$A:$H,8,0),0)</f>
        <v>0</v>
      </c>
      <c r="AB192" s="688">
        <f>IFERROR(VLOOKUP($A192,'[92]4月'!$A:$H,8,0),0)</f>
        <v>0</v>
      </c>
      <c r="AC192" s="688">
        <f>IFERROR(VLOOKUP($A192,'[92]5月'!$A:$H,8,0),0)</f>
        <v>0</v>
      </c>
      <c r="AD192" s="688">
        <f>IFERROR(VLOOKUP($A192,'[92]6月'!$A:$H,8,0),0)</f>
        <v>0</v>
      </c>
      <c r="AE192" s="688">
        <f>IFERROR(VLOOKUP($A192,'[92]7月'!$A:$H,8,0),0)</f>
        <v>0</v>
      </c>
      <c r="AF192" s="688">
        <f>IFERROR(VLOOKUP($A192,'[92]8月'!$A:$H,8,0),0)</f>
        <v>0</v>
      </c>
      <c r="AG192" s="688">
        <f>IFERROR(VLOOKUP($A192,'[92]9月'!$A:$H,8,0),0)</f>
        <v>0</v>
      </c>
      <c r="AH192" s="688">
        <f>IFERROR(VLOOKUP($A192,'[92]10月'!$A:$H,8,0),0)</f>
        <v>0</v>
      </c>
      <c r="AI192" s="688">
        <f>IFERROR(VLOOKUP($A192,'[92]11月'!$A:$H,8,0),0)</f>
        <v>0</v>
      </c>
      <c r="AJ192" s="688">
        <f>IFERROR(VLOOKUP($A192,'[92]12月'!$A:$H,8,0),0)</f>
        <v>0</v>
      </c>
      <c r="AK192" s="688">
        <f t="shared" si="102"/>
        <v>0</v>
      </c>
    </row>
    <row r="193" spans="1:37" ht="13.5" customHeight="1">
      <c r="A193" s="653" t="str">
        <f>'Budget-合并'!A193</f>
        <v>6402</v>
      </c>
      <c r="B193" s="653" t="str">
        <f>'Budget-合并'!B193</f>
        <v>其他业务成本</v>
      </c>
      <c r="C193" s="687">
        <f>'Budget-合并'!C193</f>
        <v>0</v>
      </c>
      <c r="D193" s="704">
        <f t="shared" si="99"/>
        <v>0</v>
      </c>
      <c r="E193" s="704" t="e">
        <f t="shared" si="94"/>
        <v>#N/A</v>
      </c>
      <c r="F193" s="704" t="e">
        <f t="shared" si="100"/>
        <v>#N/A</v>
      </c>
      <c r="G193" s="704">
        <f t="shared" ca="1" si="95"/>
        <v>0</v>
      </c>
      <c r="H193" s="704" t="e">
        <f t="shared" ca="1" si="90"/>
        <v>#N/A</v>
      </c>
      <c r="I193" s="704" t="e">
        <f t="shared" ca="1" si="96"/>
        <v>#N/A</v>
      </c>
      <c r="K193" s="704"/>
      <c r="L193" s="704"/>
      <c r="M193" s="704"/>
      <c r="N193" s="704"/>
      <c r="O193" s="704"/>
      <c r="P193" s="704"/>
      <c r="Q193" s="704"/>
      <c r="R193" s="704"/>
      <c r="S193" s="704"/>
      <c r="T193" s="704"/>
      <c r="U193" s="704"/>
      <c r="V193" s="704"/>
      <c r="W193" s="704">
        <f t="shared" si="93"/>
        <v>0</v>
      </c>
      <c r="Y193" s="688">
        <f>IFERROR(VLOOKUP($A193,'[92]1月'!$A:$H,8,0),0)</f>
        <v>0</v>
      </c>
      <c r="Z193" s="688">
        <f>IFERROR(VLOOKUP($A193,'[92]2月'!$A:$H,8,0),0)</f>
        <v>0</v>
      </c>
      <c r="AA193" s="688">
        <f>IFERROR(VLOOKUP($A193,'[92]3月'!$A:$H,8,0),0)</f>
        <v>0</v>
      </c>
      <c r="AB193" s="688">
        <f>IFERROR(VLOOKUP($A193,'[92]4月'!$A:$H,8,0),0)</f>
        <v>0</v>
      </c>
      <c r="AC193" s="688">
        <f>IFERROR(VLOOKUP($A193,'[92]5月'!$A:$H,8,0),0)</f>
        <v>0</v>
      </c>
      <c r="AD193" s="688">
        <f>IFERROR(VLOOKUP($A193,'[92]6月'!$A:$H,8,0),0)</f>
        <v>0</v>
      </c>
      <c r="AE193" s="688">
        <f>IFERROR(VLOOKUP($A193,'[92]7月'!$A:$H,8,0),0)</f>
        <v>0</v>
      </c>
      <c r="AF193" s="688">
        <f>IFERROR(VLOOKUP($A193,'[92]8月'!$A:$H,8,0),0)</f>
        <v>0</v>
      </c>
      <c r="AG193" s="688">
        <f>IFERROR(VLOOKUP($A193,'[92]9月'!$A:$H,8,0),0)</f>
        <v>0</v>
      </c>
      <c r="AH193" s="688">
        <f>IFERROR(VLOOKUP($A193,'[92]10月'!$A:$H,8,0),0)</f>
        <v>0</v>
      </c>
      <c r="AI193" s="688">
        <f>IFERROR(VLOOKUP($A193,'[92]11月'!$A:$H,8,0),0)</f>
        <v>0</v>
      </c>
      <c r="AJ193" s="688">
        <f>IFERROR(VLOOKUP($A193,'[92]12月'!$A:$H,8,0),0)</f>
        <v>0</v>
      </c>
      <c r="AK193" s="688">
        <f t="shared" si="102"/>
        <v>0</v>
      </c>
    </row>
    <row r="194" spans="1:37" ht="13.5" customHeight="1">
      <c r="A194" s="653" t="str">
        <f>'Budget-合并'!A194</f>
        <v>6701</v>
      </c>
      <c r="B194" s="653" t="str">
        <f>'Budget-合并'!B194</f>
        <v>资产减值损失</v>
      </c>
      <c r="C194" s="687" t="str">
        <f>'Budget-合并'!C194</f>
        <v>Impairment loss</v>
      </c>
      <c r="D194" s="704">
        <f t="shared" si="99"/>
        <v>0</v>
      </c>
      <c r="E194" s="704" t="e">
        <f t="shared" si="94"/>
        <v>#N/A</v>
      </c>
      <c r="F194" s="704" t="e">
        <f t="shared" si="100"/>
        <v>#N/A</v>
      </c>
      <c r="G194" s="704">
        <f t="shared" ca="1" si="95"/>
        <v>0</v>
      </c>
      <c r="H194" s="704" t="e">
        <f t="shared" ca="1" si="90"/>
        <v>#N/A</v>
      </c>
      <c r="I194" s="704" t="e">
        <f t="shared" ca="1" si="96"/>
        <v>#N/A</v>
      </c>
      <c r="K194" s="704"/>
      <c r="L194" s="704"/>
      <c r="M194" s="704"/>
      <c r="N194" s="704"/>
      <c r="O194" s="704"/>
      <c r="P194" s="704"/>
      <c r="Q194" s="704"/>
      <c r="R194" s="704"/>
      <c r="S194" s="704"/>
      <c r="T194" s="704"/>
      <c r="U194" s="704"/>
      <c r="V194" s="704"/>
      <c r="W194" s="704">
        <f t="shared" si="93"/>
        <v>0</v>
      </c>
      <c r="Y194" s="688">
        <f>IFERROR(VLOOKUP($A194,'[92]1月'!$A:$H,8,0),0)</f>
        <v>0</v>
      </c>
      <c r="Z194" s="688">
        <f>IFERROR(VLOOKUP($A194,'[92]2月'!$A:$H,8,0),0)</f>
        <v>0</v>
      </c>
      <c r="AA194" s="688">
        <f>IFERROR(VLOOKUP($A194,'[92]3月'!$A:$H,8,0),0)</f>
        <v>0</v>
      </c>
      <c r="AB194" s="688">
        <f>IFERROR(VLOOKUP($A194,'[92]4月'!$A:$H,8,0),0)</f>
        <v>0</v>
      </c>
      <c r="AC194" s="688">
        <f>IFERROR(VLOOKUP($A194,'[92]5月'!$A:$H,8,0),0)</f>
        <v>0</v>
      </c>
      <c r="AD194" s="688">
        <f>IFERROR(VLOOKUP($A194,'[92]6月'!$A:$H,8,0),0)</f>
        <v>0</v>
      </c>
      <c r="AE194" s="688">
        <f>IFERROR(VLOOKUP($A194,'[92]7月'!$A:$H,8,0),0)</f>
        <v>0</v>
      </c>
      <c r="AF194" s="688">
        <f>IFERROR(VLOOKUP($A194,'[92]8月'!$A:$H,8,0),0)</f>
        <v>0</v>
      </c>
      <c r="AG194" s="688">
        <f>IFERROR(VLOOKUP($A194,'[92]9月'!$A:$H,8,0),0)</f>
        <v>0</v>
      </c>
      <c r="AH194" s="688">
        <f>IFERROR(VLOOKUP($A194,'[92]10月'!$A:$H,8,0),0)</f>
        <v>0</v>
      </c>
      <c r="AI194" s="688">
        <f>IFERROR(VLOOKUP($A194,'[92]11月'!$A:$H,8,0),0)</f>
        <v>0</v>
      </c>
      <c r="AJ194" s="688">
        <f>IFERROR(VLOOKUP($A194,'[92]12月'!$A:$H,8,0),0)</f>
        <v>0</v>
      </c>
      <c r="AK194" s="688">
        <f t="shared" si="102"/>
        <v>0</v>
      </c>
    </row>
    <row r="195" spans="1:37" s="649" customFormat="1" ht="13.5" customHeight="1">
      <c r="A195" s="653" t="str">
        <f>'Budget-合并'!A195</f>
        <v>6711</v>
      </c>
      <c r="B195" s="653" t="str">
        <f>'Budget-合并'!B195</f>
        <v>营业外支出</v>
      </c>
      <c r="C195" s="687">
        <f>'Budget-合并'!C195</f>
        <v>0</v>
      </c>
      <c r="D195" s="704">
        <f t="shared" si="99"/>
        <v>0</v>
      </c>
      <c r="E195" s="704" t="e">
        <f t="shared" si="94"/>
        <v>#N/A</v>
      </c>
      <c r="F195" s="704" t="e">
        <f t="shared" si="100"/>
        <v>#N/A</v>
      </c>
      <c r="G195" s="704">
        <f t="shared" ca="1" si="95"/>
        <v>0</v>
      </c>
      <c r="H195" s="704" t="e">
        <f t="shared" ca="1" si="90"/>
        <v>#N/A</v>
      </c>
      <c r="I195" s="704" t="e">
        <f t="shared" ca="1" si="96"/>
        <v>#N/A</v>
      </c>
      <c r="J195" s="654"/>
      <c r="K195" s="704">
        <f t="shared" ref="K195:V195" si="103">SUM(K196:K197)</f>
        <v>0</v>
      </c>
      <c r="L195" s="704">
        <f t="shared" si="103"/>
        <v>0</v>
      </c>
      <c r="M195" s="704">
        <f t="shared" si="103"/>
        <v>0</v>
      </c>
      <c r="N195" s="704">
        <f t="shared" si="103"/>
        <v>0</v>
      </c>
      <c r="O195" s="704">
        <f t="shared" si="103"/>
        <v>0</v>
      </c>
      <c r="P195" s="704">
        <f t="shared" si="103"/>
        <v>0</v>
      </c>
      <c r="Q195" s="704">
        <f t="shared" si="103"/>
        <v>0</v>
      </c>
      <c r="R195" s="704">
        <f t="shared" si="103"/>
        <v>0</v>
      </c>
      <c r="S195" s="704">
        <f t="shared" si="103"/>
        <v>0</v>
      </c>
      <c r="T195" s="704">
        <f t="shared" si="103"/>
        <v>0</v>
      </c>
      <c r="U195" s="704">
        <f t="shared" si="103"/>
        <v>0</v>
      </c>
      <c r="V195" s="704">
        <f t="shared" si="103"/>
        <v>0</v>
      </c>
      <c r="W195" s="704">
        <f t="shared" si="93"/>
        <v>0</v>
      </c>
      <c r="Y195" s="688">
        <f>IFERROR(VLOOKUP($A195,'[92]1月'!$A:$H,8,0),0)</f>
        <v>0</v>
      </c>
      <c r="Z195" s="688">
        <f>IFERROR(VLOOKUP($A195,'[92]2月'!$A:$H,8,0),0)</f>
        <v>0</v>
      </c>
      <c r="AA195" s="688">
        <f>IFERROR(VLOOKUP($A195,'[92]3月'!$A:$H,8,0),0)</f>
        <v>0</v>
      </c>
      <c r="AB195" s="688">
        <f>IFERROR(VLOOKUP($A195,'[92]4月'!$A:$H,8,0),0)</f>
        <v>0</v>
      </c>
      <c r="AC195" s="688">
        <f>IFERROR(VLOOKUP($A195,'[92]5月'!$A:$H,8,0),0)</f>
        <v>0</v>
      </c>
      <c r="AD195" s="688">
        <f>IFERROR(VLOOKUP($A195,'[92]6月'!$A:$H,8,0),0)</f>
        <v>0</v>
      </c>
      <c r="AE195" s="688">
        <f>IFERROR(VLOOKUP($A195,'[92]7月'!$A:$H,8,0),0)</f>
        <v>0</v>
      </c>
      <c r="AF195" s="688">
        <f>IFERROR(VLOOKUP($A195,'[92]8月'!$A:$H,8,0),0)</f>
        <v>0</v>
      </c>
      <c r="AG195" s="688">
        <f>IFERROR(VLOOKUP($A195,'[92]9月'!$A:$H,8,0),0)</f>
        <v>0</v>
      </c>
      <c r="AH195" s="688">
        <f>IFERROR(VLOOKUP($A195,'[92]10月'!$A:$H,8,0),0)</f>
        <v>0</v>
      </c>
      <c r="AI195" s="688">
        <f>IFERROR(VLOOKUP($A195,'[92]11月'!$A:$H,8,0),0)</f>
        <v>0</v>
      </c>
      <c r="AJ195" s="688">
        <f>IFERROR(VLOOKUP($A195,'[92]12月'!$A:$H,8,0),0)</f>
        <v>0</v>
      </c>
      <c r="AK195" s="688">
        <f t="shared" si="102"/>
        <v>0</v>
      </c>
    </row>
    <row r="196" spans="1:37" ht="13.5" customHeight="1">
      <c r="A196" s="653" t="str">
        <f>'Budget-合并'!A196</f>
        <v>6711.01</v>
      </c>
      <c r="B196" s="653" t="str">
        <f>'Budget-合并'!B196</f>
        <v>滞纳金</v>
      </c>
      <c r="C196" s="687">
        <f>'Budget-合并'!C196</f>
        <v>0</v>
      </c>
      <c r="D196" s="704">
        <f t="shared" si="99"/>
        <v>0</v>
      </c>
      <c r="E196" s="704" t="e">
        <f t="shared" si="94"/>
        <v>#N/A</v>
      </c>
      <c r="F196" s="704" t="e">
        <f t="shared" si="100"/>
        <v>#N/A</v>
      </c>
      <c r="G196" s="704">
        <f t="shared" ca="1" si="95"/>
        <v>0</v>
      </c>
      <c r="H196" s="704" t="e">
        <f t="shared" ca="1" si="90"/>
        <v>#N/A</v>
      </c>
      <c r="I196" s="704" t="e">
        <f t="shared" ca="1" si="96"/>
        <v>#N/A</v>
      </c>
      <c r="K196" s="704"/>
      <c r="L196" s="704"/>
      <c r="M196" s="704"/>
      <c r="N196" s="704"/>
      <c r="O196" s="704"/>
      <c r="P196" s="704"/>
      <c r="Q196" s="704"/>
      <c r="R196" s="704"/>
      <c r="S196" s="704"/>
      <c r="T196" s="704"/>
      <c r="U196" s="704"/>
      <c r="V196" s="704"/>
      <c r="W196" s="704">
        <f t="shared" si="93"/>
        <v>0</v>
      </c>
      <c r="Y196" s="688">
        <f>IFERROR(VLOOKUP($A196,'[92]1月'!$A:$H,8,0),0)</f>
        <v>0</v>
      </c>
      <c r="Z196" s="688">
        <f>IFERROR(VLOOKUP($A196,'[92]2月'!$A:$H,8,0),0)</f>
        <v>0</v>
      </c>
      <c r="AA196" s="688">
        <f>IFERROR(VLOOKUP($A196,'[92]3月'!$A:$H,8,0),0)</f>
        <v>0</v>
      </c>
      <c r="AB196" s="688">
        <f>IFERROR(VLOOKUP($A196,'[92]4月'!$A:$H,8,0),0)</f>
        <v>0</v>
      </c>
      <c r="AC196" s="688">
        <f>IFERROR(VLOOKUP($A196,'[92]5月'!$A:$H,8,0),0)</f>
        <v>0</v>
      </c>
      <c r="AD196" s="688">
        <f>IFERROR(VLOOKUP($A196,'[92]6月'!$A:$H,8,0),0)</f>
        <v>0</v>
      </c>
      <c r="AE196" s="688">
        <f>IFERROR(VLOOKUP($A196,'[92]7月'!$A:$H,8,0),0)</f>
        <v>0</v>
      </c>
      <c r="AF196" s="688">
        <f>IFERROR(VLOOKUP($A196,'[92]8月'!$A:$H,8,0),0)</f>
        <v>0</v>
      </c>
      <c r="AG196" s="688">
        <f>IFERROR(VLOOKUP($A196,'[92]9月'!$A:$H,8,0),0)</f>
        <v>0</v>
      </c>
      <c r="AH196" s="688">
        <f>IFERROR(VLOOKUP($A196,'[92]10月'!$A:$H,8,0),0)</f>
        <v>0</v>
      </c>
      <c r="AI196" s="688">
        <f>IFERROR(VLOOKUP($A196,'[92]11月'!$A:$H,8,0),0)</f>
        <v>0</v>
      </c>
      <c r="AJ196" s="688">
        <f>IFERROR(VLOOKUP($A196,'[92]12月'!$A:$H,8,0),0)</f>
        <v>0</v>
      </c>
      <c r="AK196" s="688">
        <f t="shared" si="102"/>
        <v>0</v>
      </c>
    </row>
    <row r="197" spans="1:37" ht="13.5" customHeight="1">
      <c r="A197" s="653" t="str">
        <f>'Budget-合并'!A197</f>
        <v>6711.02</v>
      </c>
      <c r="B197" s="653" t="str">
        <f>'Budget-合并'!B197</f>
        <v>非流动资产处置损失</v>
      </c>
      <c r="C197" s="687">
        <f>'Budget-合并'!C197</f>
        <v>0</v>
      </c>
      <c r="D197" s="704">
        <f t="shared" si="99"/>
        <v>0</v>
      </c>
      <c r="E197" s="704" t="e">
        <f t="shared" si="94"/>
        <v>#N/A</v>
      </c>
      <c r="F197" s="704" t="e">
        <f t="shared" si="100"/>
        <v>#N/A</v>
      </c>
      <c r="G197" s="704">
        <f t="shared" ca="1" si="95"/>
        <v>0</v>
      </c>
      <c r="H197" s="704" t="e">
        <f t="shared" ca="1" si="90"/>
        <v>#N/A</v>
      </c>
      <c r="I197" s="704" t="e">
        <f t="shared" ca="1" si="96"/>
        <v>#N/A</v>
      </c>
      <c r="K197" s="704"/>
      <c r="L197" s="704"/>
      <c r="M197" s="704"/>
      <c r="N197" s="704"/>
      <c r="O197" s="704"/>
      <c r="P197" s="704"/>
      <c r="Q197" s="704"/>
      <c r="R197" s="704"/>
      <c r="S197" s="704"/>
      <c r="T197" s="704"/>
      <c r="U197" s="704"/>
      <c r="V197" s="704"/>
      <c r="W197" s="704">
        <f t="shared" si="93"/>
        <v>0</v>
      </c>
      <c r="Y197" s="688">
        <f>IFERROR(VLOOKUP($A197,'[92]1月'!$A:$H,8,0),0)</f>
        <v>0</v>
      </c>
      <c r="Z197" s="688">
        <f>IFERROR(VLOOKUP($A197,'[92]2月'!$A:$H,8,0),0)</f>
        <v>0</v>
      </c>
      <c r="AA197" s="688">
        <f>IFERROR(VLOOKUP($A197,'[92]3月'!$A:$H,8,0),0)</f>
        <v>0</v>
      </c>
      <c r="AB197" s="688">
        <f>IFERROR(VLOOKUP($A197,'[92]4月'!$A:$H,8,0),0)</f>
        <v>0</v>
      </c>
      <c r="AC197" s="688">
        <f>IFERROR(VLOOKUP($A197,'[92]5月'!$A:$H,8,0),0)</f>
        <v>0</v>
      </c>
      <c r="AD197" s="688">
        <f>IFERROR(VLOOKUP($A197,'[92]6月'!$A:$H,8,0),0)</f>
        <v>0</v>
      </c>
      <c r="AE197" s="688">
        <f>IFERROR(VLOOKUP($A197,'[92]7月'!$A:$H,8,0),0)</f>
        <v>0</v>
      </c>
      <c r="AF197" s="688">
        <f>IFERROR(VLOOKUP($A197,'[92]8月'!$A:$H,8,0),0)</f>
        <v>0</v>
      </c>
      <c r="AG197" s="688">
        <f>IFERROR(VLOOKUP($A197,'[92]9月'!$A:$H,8,0),0)</f>
        <v>0</v>
      </c>
      <c r="AH197" s="688">
        <f>IFERROR(VLOOKUP($A197,'[92]10月'!$A:$H,8,0),0)</f>
        <v>0</v>
      </c>
      <c r="AI197" s="688">
        <f>IFERROR(VLOOKUP($A197,'[92]11月'!$A:$H,8,0),0)</f>
        <v>0</v>
      </c>
      <c r="AJ197" s="688">
        <f>IFERROR(VLOOKUP($A197,'[92]12月'!$A:$H,8,0),0)</f>
        <v>0</v>
      </c>
      <c r="AK197" s="688">
        <f t="shared" si="102"/>
        <v>0</v>
      </c>
    </row>
    <row r="198" spans="1:37" ht="13.5" customHeight="1">
      <c r="A198" s="653" t="str">
        <f>'Budget-合并'!A198</f>
        <v>6901</v>
      </c>
      <c r="B198" s="653" t="str">
        <f>'Budget-合并'!B198</f>
        <v>以前年度损益调整</v>
      </c>
      <c r="C198" s="687">
        <f>'Budget-合并'!C198</f>
        <v>0</v>
      </c>
      <c r="D198" s="704">
        <f t="shared" si="99"/>
        <v>0</v>
      </c>
      <c r="E198" s="704" t="e">
        <f t="shared" si="94"/>
        <v>#N/A</v>
      </c>
      <c r="F198" s="704" t="e">
        <f t="shared" si="100"/>
        <v>#N/A</v>
      </c>
      <c r="G198" s="704">
        <f t="shared" ca="1" si="95"/>
        <v>0</v>
      </c>
      <c r="H198" s="704" t="e">
        <f t="shared" ca="1" si="90"/>
        <v>#N/A</v>
      </c>
      <c r="I198" s="704" t="e">
        <f t="shared" ca="1" si="96"/>
        <v>#N/A</v>
      </c>
      <c r="K198" s="704"/>
      <c r="L198" s="704"/>
      <c r="M198" s="704"/>
      <c r="N198" s="704"/>
      <c r="O198" s="704"/>
      <c r="P198" s="704"/>
      <c r="Q198" s="704"/>
      <c r="R198" s="704"/>
      <c r="S198" s="704"/>
      <c r="T198" s="704"/>
      <c r="U198" s="704"/>
      <c r="V198" s="704"/>
      <c r="W198" s="704">
        <f t="shared" si="93"/>
        <v>0</v>
      </c>
      <c r="Y198" s="688">
        <f>IFERROR(VLOOKUP($A198,'[92]1月'!$A:$H,8,0),0)</f>
        <v>0</v>
      </c>
      <c r="Z198" s="688">
        <f>IFERROR(VLOOKUP($A198,'[92]2月'!$A:$H,8,0),0)</f>
        <v>0</v>
      </c>
      <c r="AA198" s="688">
        <f>IFERROR(VLOOKUP($A198,'[92]3月'!$A:$H,8,0),0)</f>
        <v>0</v>
      </c>
      <c r="AB198" s="688">
        <f>IFERROR(VLOOKUP($A198,'[92]4月'!$A:$H,8,0),0)</f>
        <v>0</v>
      </c>
      <c r="AC198" s="688">
        <f>IFERROR(VLOOKUP($A198,'[92]5月'!$A:$H,8,0),0)</f>
        <v>0</v>
      </c>
      <c r="AD198" s="688">
        <f>IFERROR(VLOOKUP($A198,'[92]6月'!$A:$H,8,0),0)</f>
        <v>0</v>
      </c>
      <c r="AE198" s="688">
        <f>IFERROR(VLOOKUP($A198,'[92]7月'!$A:$H,8,0),0)</f>
        <v>0</v>
      </c>
      <c r="AF198" s="688">
        <f>IFERROR(VLOOKUP($A198,'[92]8月'!$A:$H,8,0),0)</f>
        <v>0</v>
      </c>
      <c r="AG198" s="688">
        <f>IFERROR(VLOOKUP($A198,'[92]9月'!$A:$H,8,0),0)</f>
        <v>0</v>
      </c>
      <c r="AH198" s="688">
        <f>IFERROR(VLOOKUP($A198,'[92]10月'!$A:$H,8,0),0)</f>
        <v>0</v>
      </c>
      <c r="AI198" s="688">
        <f>IFERROR(VLOOKUP($A198,'[92]11月'!$A:$H,8,0),0)</f>
        <v>0</v>
      </c>
      <c r="AJ198" s="688">
        <f>IFERROR(VLOOKUP($A198,'[92]12月'!$A:$H,8,0),0)</f>
        <v>0</v>
      </c>
      <c r="AK198" s="688">
        <f t="shared" si="102"/>
        <v>0</v>
      </c>
    </row>
    <row r="199" spans="1:37" ht="13.5" customHeight="1">
      <c r="A199" s="686">
        <f>'Budget-合并'!A199</f>
        <v>0</v>
      </c>
      <c r="B199" s="686" t="str">
        <f>'Budget-合并'!B199</f>
        <v>营业外收入 (支-, 收+):</v>
      </c>
      <c r="C199" s="687">
        <f>'Budget-合并'!C199</f>
        <v>0</v>
      </c>
      <c r="D199" s="700">
        <f t="shared" si="99"/>
        <v>0</v>
      </c>
      <c r="E199" s="700" t="e">
        <f>INDEX($Y199:$AG199,1,MATCH($E$6,$Y$6:$AG$6))</f>
        <v>#N/A</v>
      </c>
      <c r="F199" s="700" t="e">
        <f t="shared" si="100"/>
        <v>#N/A</v>
      </c>
      <c r="G199" s="700">
        <f t="shared" ca="1" si="95"/>
        <v>0</v>
      </c>
      <c r="H199" s="700" t="e">
        <f t="shared" ref="H199:H205" ca="1" si="104">SUM($Y199:OFFSET($Y199,0,MATCH(H$6,$Y$6:$AJ$6)-1))</f>
        <v>#N/A</v>
      </c>
      <c r="I199" s="700" t="e">
        <f t="shared" ca="1" si="96"/>
        <v>#N/A</v>
      </c>
      <c r="K199" s="700">
        <f t="shared" ref="K199:W199" si="105">K187-K193-K194-K195+K198</f>
        <v>0</v>
      </c>
      <c r="L199" s="700">
        <f t="shared" si="105"/>
        <v>0</v>
      </c>
      <c r="M199" s="700">
        <f t="shared" si="105"/>
        <v>0</v>
      </c>
      <c r="N199" s="700">
        <f t="shared" si="105"/>
        <v>0</v>
      </c>
      <c r="O199" s="700">
        <f t="shared" si="105"/>
        <v>0</v>
      </c>
      <c r="P199" s="700">
        <f t="shared" si="105"/>
        <v>0</v>
      </c>
      <c r="Q199" s="700">
        <f t="shared" si="105"/>
        <v>0</v>
      </c>
      <c r="R199" s="700">
        <f t="shared" si="105"/>
        <v>0</v>
      </c>
      <c r="S199" s="700">
        <f t="shared" si="105"/>
        <v>0</v>
      </c>
      <c r="T199" s="700">
        <f t="shared" si="105"/>
        <v>0</v>
      </c>
      <c r="U199" s="700">
        <f t="shared" si="105"/>
        <v>0</v>
      </c>
      <c r="V199" s="700">
        <f t="shared" si="105"/>
        <v>0</v>
      </c>
      <c r="W199" s="700">
        <f t="shared" si="105"/>
        <v>0</v>
      </c>
      <c r="Y199" s="700">
        <f t="shared" ref="Y199:AK199" si="106">Y187-Y193-Y194-Y195-Y198</f>
        <v>0</v>
      </c>
      <c r="Z199" s="700">
        <f t="shared" si="106"/>
        <v>0</v>
      </c>
      <c r="AA199" s="700">
        <f t="shared" si="106"/>
        <v>0</v>
      </c>
      <c r="AB199" s="700">
        <f t="shared" si="106"/>
        <v>0</v>
      </c>
      <c r="AC199" s="700">
        <f t="shared" si="106"/>
        <v>0</v>
      </c>
      <c r="AD199" s="700">
        <f t="shared" si="106"/>
        <v>0</v>
      </c>
      <c r="AE199" s="700">
        <f t="shared" si="106"/>
        <v>0</v>
      </c>
      <c r="AF199" s="700">
        <f t="shared" si="106"/>
        <v>0</v>
      </c>
      <c r="AG199" s="700">
        <f t="shared" si="106"/>
        <v>0</v>
      </c>
      <c r="AH199" s="700">
        <f t="shared" si="106"/>
        <v>0</v>
      </c>
      <c r="AI199" s="700">
        <f t="shared" si="106"/>
        <v>0</v>
      </c>
      <c r="AJ199" s="700">
        <f t="shared" si="106"/>
        <v>0</v>
      </c>
      <c r="AK199" s="700">
        <f t="shared" si="106"/>
        <v>0</v>
      </c>
    </row>
    <row r="200" spans="1:37" ht="13.5" customHeight="1">
      <c r="A200" s="653">
        <f>'Budget-合并'!A200</f>
        <v>0</v>
      </c>
      <c r="B200" s="653">
        <f>'Budget-合并'!B200</f>
        <v>0</v>
      </c>
      <c r="C200" s="687">
        <f>'Budget-合并'!C200</f>
        <v>0</v>
      </c>
      <c r="G200" s="677"/>
      <c r="H200" s="677"/>
      <c r="I200" s="677"/>
    </row>
    <row r="201" spans="1:37" s="699" customFormat="1" ht="13.5" customHeight="1">
      <c r="A201" s="708">
        <f>'Budget-合并'!A201</f>
        <v>0</v>
      </c>
      <c r="B201" s="708" t="str">
        <f>'Budget-合并'!B201</f>
        <v>利润总额 (税前利润)</v>
      </c>
      <c r="C201" s="709">
        <f>'Budget-合并'!C201</f>
        <v>0</v>
      </c>
      <c r="D201" s="677">
        <f ca="1">INDEX($K201:$V201,1,MATCH($D$6,$K$6:$V$6))</f>
        <v>-449191.50539436669</v>
      </c>
      <c r="E201" s="677" t="e">
        <f>INDEX($Y201:$AG201,1,MATCH($E$6,$Y$6:$AG$6))</f>
        <v>#N/A</v>
      </c>
      <c r="F201" s="677" t="e">
        <f t="shared" ref="F201:F205" ca="1" si="107">D201-E201</f>
        <v>#N/A</v>
      </c>
      <c r="G201" s="677">
        <f t="shared" ref="G201:G205" ca="1" si="108">SUM($K201:OFFSET($K201,0,MATCH(G$6,$K$6:$V$6)-1))</f>
        <v>-449191.50539436669</v>
      </c>
      <c r="H201" s="677" t="e">
        <f t="shared" ca="1" si="104"/>
        <v>#N/A</v>
      </c>
      <c r="I201" s="677" t="e">
        <f t="shared" ref="I201:I205" ca="1" si="109">G201-H201</f>
        <v>#N/A</v>
      </c>
      <c r="K201" s="677">
        <f ca="1">K185+K199</f>
        <v>-449191.50539436669</v>
      </c>
      <c r="L201" s="677">
        <f t="shared" ref="L201:W201" ca="1" si="110">L185+L199</f>
        <v>-449807.49326866661</v>
      </c>
      <c r="M201" s="677">
        <f t="shared" ca="1" si="110"/>
        <v>-477403.31485666666</v>
      </c>
      <c r="N201" s="677">
        <f t="shared" ca="1" si="110"/>
        <v>-1040116.6307366666</v>
      </c>
      <c r="O201" s="677">
        <f t="shared" ca="1" si="110"/>
        <v>-424954.78728820506</v>
      </c>
      <c r="P201" s="677">
        <f t="shared" ca="1" si="110"/>
        <v>-549825.16890666669</v>
      </c>
      <c r="Q201" s="677">
        <f t="shared" ca="1" si="110"/>
        <v>-97673.663502072086</v>
      </c>
      <c r="R201" s="677">
        <f t="shared" ca="1" si="110"/>
        <v>-511866.88131266664</v>
      </c>
      <c r="S201" s="677">
        <f t="shared" ca="1" si="110"/>
        <v>-513538.95026066666</v>
      </c>
      <c r="T201" s="677">
        <f t="shared" ca="1" si="110"/>
        <v>331846.89109088847</v>
      </c>
      <c r="U201" s="677">
        <f t="shared" ca="1" si="110"/>
        <v>-515208.37260866666</v>
      </c>
      <c r="V201" s="677">
        <f t="shared" ca="1" si="110"/>
        <v>-511265.07093866664</v>
      </c>
      <c r="W201" s="677">
        <f t="shared" ca="1" si="110"/>
        <v>-5209004.947983088</v>
      </c>
      <c r="Y201" s="677">
        <f t="shared" ref="Y201:AK201" si="111">Y185+Y199</f>
        <v>-203202.3</v>
      </c>
      <c r="Z201" s="677">
        <f t="shared" si="111"/>
        <v>-711726.69</v>
      </c>
      <c r="AA201" s="677">
        <f t="shared" si="111"/>
        <v>-450472.47000000003</v>
      </c>
      <c r="AB201" s="677">
        <f t="shared" si="111"/>
        <v>-546530.11</v>
      </c>
      <c r="AC201" s="677">
        <f t="shared" si="111"/>
        <v>92556.000000000116</v>
      </c>
      <c r="AD201" s="677">
        <f t="shared" si="111"/>
        <v>-416167.11000000004</v>
      </c>
      <c r="AE201" s="677">
        <f t="shared" si="111"/>
        <v>-453815.17</v>
      </c>
      <c r="AF201" s="677">
        <f t="shared" si="111"/>
        <v>-813671.12999999989</v>
      </c>
      <c r="AG201" s="677">
        <f t="shared" si="111"/>
        <v>-495936.29000000004</v>
      </c>
      <c r="AH201" s="677">
        <f t="shared" si="111"/>
        <v>-2029924.76</v>
      </c>
      <c r="AI201" s="677">
        <f t="shared" si="111"/>
        <v>-318631</v>
      </c>
      <c r="AJ201" s="677">
        <f t="shared" si="111"/>
        <v>-849419.63000000012</v>
      </c>
      <c r="AK201" s="677">
        <f t="shared" si="111"/>
        <v>-7196940.6599999992</v>
      </c>
    </row>
    <row r="202" spans="1:37" ht="13.5" customHeight="1">
      <c r="A202" s="653">
        <f>'Budget-合并'!A202</f>
        <v>0</v>
      </c>
      <c r="B202" s="653">
        <f>'Budget-合并'!B202</f>
        <v>0</v>
      </c>
      <c r="C202" s="687">
        <f>'Budget-合并'!C202</f>
        <v>0</v>
      </c>
    </row>
    <row r="203" spans="1:37" ht="13.5" customHeight="1">
      <c r="A203" s="653" t="str">
        <f>'Budget-合并'!A203</f>
        <v>6801.01</v>
      </c>
      <c r="B203" s="653" t="str">
        <f>'Budget-合并'!B203</f>
        <v>当期所得税费用</v>
      </c>
      <c r="C203" s="687" t="str">
        <f>'Budget-合并'!C203</f>
        <v>Enterprise Income Tax</v>
      </c>
      <c r="D203" s="676">
        <f t="shared" ref="D203:D205" si="112">INDEX($K203:$V203,1,MATCH($D$6,$K$6:$V$6))</f>
        <v>0</v>
      </c>
      <c r="E203" s="688" t="e">
        <f>INDEX($Y203:$AG203,1,MATCH($E$6,$Y$6:$AG$6))</f>
        <v>#N/A</v>
      </c>
      <c r="F203" s="688" t="e">
        <f t="shared" si="107"/>
        <v>#N/A</v>
      </c>
      <c r="G203" s="676">
        <f t="shared" ca="1" si="108"/>
        <v>0</v>
      </c>
      <c r="H203" s="688" t="e">
        <f t="shared" ca="1" si="104"/>
        <v>#N/A</v>
      </c>
      <c r="I203" s="688" t="e">
        <f t="shared" ca="1" si="109"/>
        <v>#N/A</v>
      </c>
      <c r="K203" s="676"/>
      <c r="L203" s="676"/>
      <c r="M203" s="676"/>
      <c r="N203" s="676"/>
      <c r="O203" s="676"/>
      <c r="P203" s="676"/>
      <c r="Q203" s="676"/>
      <c r="R203" s="676"/>
      <c r="S203" s="676"/>
      <c r="T203" s="676"/>
      <c r="U203" s="676"/>
      <c r="V203" s="676"/>
      <c r="W203" s="676">
        <f t="shared" ref="W203:W205" si="113">SUM(K203:V203)</f>
        <v>0</v>
      </c>
      <c r="Y203" s="688">
        <f>IFERROR(VLOOKUP($A203,'[92]1月'!$A:$H,8,0),0)</f>
        <v>0</v>
      </c>
      <c r="Z203" s="688">
        <f>IFERROR(VLOOKUP($A203,'[92]2月'!$A:$H,8,0),0)</f>
        <v>0</v>
      </c>
      <c r="AA203" s="688">
        <f>IFERROR(VLOOKUP($A203,'[92]3月'!$A:$H,8,0),0)</f>
        <v>0</v>
      </c>
      <c r="AB203" s="688">
        <f>IFERROR(VLOOKUP($A203,'[92]4月'!$A:$H,8,0),0)</f>
        <v>0</v>
      </c>
      <c r="AC203" s="688">
        <f>IFERROR(VLOOKUP($A203,'[92]5月'!$A:$H,8,0),0)</f>
        <v>0</v>
      </c>
      <c r="AD203" s="688">
        <f>IFERROR(VLOOKUP($A203,'[92]6月'!$A:$H,8,0),0)</f>
        <v>0</v>
      </c>
      <c r="AE203" s="688">
        <f>IFERROR(VLOOKUP($A203,'[92]7月'!$A:$H,8,0),0)</f>
        <v>0</v>
      </c>
      <c r="AF203" s="688">
        <f>IFERROR(VLOOKUP($A203,'[92]8月'!$A:$H,8,0),0)</f>
        <v>0</v>
      </c>
      <c r="AG203" s="688">
        <f>IFERROR(VLOOKUP($A203,'[92]9月'!$A:$H,8,0),0)</f>
        <v>0</v>
      </c>
      <c r="AH203" s="688">
        <f>IFERROR(VLOOKUP($A203,'[92]10月'!$A:$H,8,0),0)</f>
        <v>0</v>
      </c>
      <c r="AI203" s="688">
        <f>IFERROR(VLOOKUP($A203,'[92]11月'!$A:$H,8,0),0)</f>
        <v>0</v>
      </c>
      <c r="AJ203" s="688">
        <f>IFERROR(VLOOKUP($A203,'[92]12月'!$A:$H,8,0),0)</f>
        <v>0</v>
      </c>
      <c r="AK203" s="688">
        <f t="shared" ref="AK203:AK205" si="114">SUM(Y203:AJ203)</f>
        <v>0</v>
      </c>
    </row>
    <row r="204" spans="1:37" ht="13.5" customHeight="1">
      <c r="A204" s="653" t="str">
        <f>'Budget-合并'!A204</f>
        <v>6801.02</v>
      </c>
      <c r="B204" s="653" t="str">
        <f>'Budget-合并'!B204</f>
        <v>递延所得税费用</v>
      </c>
      <c r="C204" s="687">
        <f>'Budget-合并'!C204</f>
        <v>0</v>
      </c>
      <c r="D204" s="676">
        <f t="shared" si="112"/>
        <v>0</v>
      </c>
      <c r="E204" s="688" t="e">
        <f>INDEX($Y204:$AG204,1,MATCH($E$6,$Y$6:$AG$6))</f>
        <v>#N/A</v>
      </c>
      <c r="F204" s="688" t="e">
        <f t="shared" si="107"/>
        <v>#N/A</v>
      </c>
      <c r="G204" s="676">
        <f t="shared" ca="1" si="108"/>
        <v>0</v>
      </c>
      <c r="H204" s="688" t="e">
        <f t="shared" ca="1" si="104"/>
        <v>#N/A</v>
      </c>
      <c r="I204" s="688" t="e">
        <f t="shared" ca="1" si="109"/>
        <v>#N/A</v>
      </c>
      <c r="K204" s="676"/>
      <c r="L204" s="676"/>
      <c r="M204" s="676"/>
      <c r="N204" s="676"/>
      <c r="O204" s="676"/>
      <c r="P204" s="676"/>
      <c r="Q204" s="676"/>
      <c r="R204" s="676"/>
      <c r="S204" s="676"/>
      <c r="T204" s="676"/>
      <c r="U204" s="676"/>
      <c r="V204" s="676"/>
      <c r="W204" s="676">
        <f t="shared" si="113"/>
        <v>0</v>
      </c>
      <c r="Y204" s="688">
        <f>IFERROR(VLOOKUP($A204,'[92]1月'!$A:$H,8,0),0)</f>
        <v>0</v>
      </c>
      <c r="Z204" s="688">
        <f>IFERROR(VLOOKUP($A204,'[92]2月'!$A:$H,8,0),0)</f>
        <v>0</v>
      </c>
      <c r="AA204" s="688">
        <f>IFERROR(VLOOKUP($A204,'[92]3月'!$A:$H,8,0),0)</f>
        <v>0</v>
      </c>
      <c r="AB204" s="688">
        <f>IFERROR(VLOOKUP($A204,'[92]4月'!$A:$H,8,0),0)</f>
        <v>0</v>
      </c>
      <c r="AC204" s="688">
        <f>IFERROR(VLOOKUP($A204,'[92]5月'!$A:$H,8,0),0)</f>
        <v>0</v>
      </c>
      <c r="AD204" s="688">
        <f>IFERROR(VLOOKUP($A204,'[92]6月'!$A:$H,8,0),0)</f>
        <v>0</v>
      </c>
      <c r="AE204" s="688">
        <f>IFERROR(VLOOKUP($A204,'[92]7月'!$A:$H,8,0),0)</f>
        <v>0</v>
      </c>
      <c r="AF204" s="688">
        <f>IFERROR(VLOOKUP($A204,'[92]8月'!$A:$H,8,0),0)</f>
        <v>0</v>
      </c>
      <c r="AG204" s="688">
        <f>IFERROR(VLOOKUP($A204,'[92]9月'!$A:$H,8,0),0)</f>
        <v>0</v>
      </c>
      <c r="AH204" s="688">
        <f>IFERROR(VLOOKUP($A204,'[92]10月'!$A:$H,8,0),0)</f>
        <v>0</v>
      </c>
      <c r="AI204" s="688">
        <f>IFERROR(VLOOKUP($A204,'[92]11月'!$A:$H,8,0),0)</f>
        <v>0</v>
      </c>
      <c r="AJ204" s="688">
        <f>IFERROR(VLOOKUP($A204,'[92]12月'!$A:$H,8,0),0)</f>
        <v>0</v>
      </c>
      <c r="AK204" s="688">
        <f t="shared" si="114"/>
        <v>0</v>
      </c>
    </row>
    <row r="205" spans="1:37" ht="13.5" customHeight="1">
      <c r="A205" s="653" t="str">
        <f>'Budget-合并'!A205</f>
        <v>6801.03</v>
      </c>
      <c r="B205" s="653" t="str">
        <f>'Budget-合并'!B205</f>
        <v>以前年度所得税费用</v>
      </c>
      <c r="C205" s="687">
        <f>'Budget-合并'!C205</f>
        <v>0</v>
      </c>
      <c r="D205" s="676">
        <f t="shared" si="112"/>
        <v>0</v>
      </c>
      <c r="E205" s="688" t="e">
        <f>INDEX($Y205:$AG205,1,MATCH($E$6,$Y$6:$AG$6))</f>
        <v>#N/A</v>
      </c>
      <c r="F205" s="688" t="e">
        <f t="shared" si="107"/>
        <v>#N/A</v>
      </c>
      <c r="G205" s="676">
        <f t="shared" ca="1" si="108"/>
        <v>0</v>
      </c>
      <c r="H205" s="688" t="e">
        <f t="shared" ca="1" si="104"/>
        <v>#N/A</v>
      </c>
      <c r="I205" s="688" t="e">
        <f t="shared" ca="1" si="109"/>
        <v>#N/A</v>
      </c>
      <c r="K205" s="676"/>
      <c r="L205" s="676"/>
      <c r="M205" s="676"/>
      <c r="N205" s="676"/>
      <c r="O205" s="676"/>
      <c r="P205" s="676"/>
      <c r="Q205" s="676"/>
      <c r="R205" s="676"/>
      <c r="S205" s="676"/>
      <c r="T205" s="676"/>
      <c r="U205" s="676"/>
      <c r="V205" s="676"/>
      <c r="W205" s="676">
        <f t="shared" si="113"/>
        <v>0</v>
      </c>
      <c r="Y205" s="688">
        <f>IFERROR(VLOOKUP($A205,'[92]1月'!$A:$H,8,0),0)</f>
        <v>0</v>
      </c>
      <c r="Z205" s="688">
        <f>IFERROR(VLOOKUP($A205,'[92]2月'!$A:$H,8,0),0)</f>
        <v>0</v>
      </c>
      <c r="AA205" s="688">
        <f>IFERROR(VLOOKUP($A205,'[92]3月'!$A:$H,8,0),0)</f>
        <v>0</v>
      </c>
      <c r="AB205" s="688">
        <f>IFERROR(VLOOKUP($A205,'[92]4月'!$A:$H,8,0),0)</f>
        <v>0</v>
      </c>
      <c r="AC205" s="688">
        <f>IFERROR(VLOOKUP($A205,'[92]5月'!$A:$H,8,0),0)</f>
        <v>0</v>
      </c>
      <c r="AD205" s="688">
        <f>IFERROR(VLOOKUP($A205,'[92]6月'!$A:$H,8,0),0)</f>
        <v>0</v>
      </c>
      <c r="AE205" s="688">
        <f>IFERROR(VLOOKUP($A205,'[92]7月'!$A:$H,8,0),0)</f>
        <v>0</v>
      </c>
      <c r="AF205" s="688">
        <f>IFERROR(VLOOKUP($A205,'[92]8月'!$A:$H,8,0),0)</f>
        <v>0</v>
      </c>
      <c r="AG205" s="688">
        <f>IFERROR(VLOOKUP($A205,'[92]9月'!$A:$H,8,0),0)</f>
        <v>0</v>
      </c>
      <c r="AH205" s="688">
        <f>IFERROR(VLOOKUP($A205,'[92]10月'!$A:$H,8,0),0)</f>
        <v>0</v>
      </c>
      <c r="AI205" s="688">
        <f>IFERROR(VLOOKUP($A205,'[92]11月'!$A:$H,8,0),0)</f>
        <v>0</v>
      </c>
      <c r="AJ205" s="688">
        <f>IFERROR(VLOOKUP($A205,'[92]12月'!$A:$H,8,0),0)</f>
        <v>0</v>
      </c>
      <c r="AK205" s="688">
        <f t="shared" si="114"/>
        <v>0</v>
      </c>
    </row>
    <row r="206" spans="1:37" ht="13.5" customHeight="1">
      <c r="A206" s="653">
        <f>'Budget-合并'!A206</f>
        <v>0</v>
      </c>
      <c r="B206" s="653">
        <f>'Budget-合并'!B206</f>
        <v>0</v>
      </c>
      <c r="C206" s="687">
        <f>'Budget-合并'!C206</f>
        <v>0</v>
      </c>
    </row>
    <row r="207" spans="1:37" ht="13.5" customHeight="1">
      <c r="A207" s="686">
        <f>'Budget-合并'!A207</f>
        <v>0</v>
      </c>
      <c r="B207" s="686" t="str">
        <f>'Budget-合并'!B207</f>
        <v>五  税后利润</v>
      </c>
      <c r="C207" s="687">
        <f>'Budget-合并'!C207</f>
        <v>0</v>
      </c>
      <c r="D207" s="677">
        <f ca="1">INDEX($K207:$V207,1,MATCH($D$6,$K$6:$V$6))</f>
        <v>-449191.50539436669</v>
      </c>
      <c r="E207" s="677" t="e">
        <f>INDEX($Y207:$AG207,1,MATCH($E$6,$Y$6:$AG$6))</f>
        <v>#N/A</v>
      </c>
      <c r="F207" s="677" t="e">
        <f ca="1">D207-E207</f>
        <v>#N/A</v>
      </c>
      <c r="G207" s="677">
        <f ca="1">SUM($K207:OFFSET($K207,0,MATCH(G$6,$K$6:$V$6)-1))</f>
        <v>-449191.50539436669</v>
      </c>
      <c r="H207" s="677" t="e">
        <f ca="1">SUM($Y207:OFFSET($Y207,0,MATCH(H$6,$Y$6:$AJ$6)-1))</f>
        <v>#N/A</v>
      </c>
      <c r="I207" s="677" t="e">
        <f ca="1">G207-H207</f>
        <v>#N/A</v>
      </c>
      <c r="K207" s="677">
        <f t="shared" ref="K207:W207" ca="1" si="115">K201-K203-K204-K205</f>
        <v>-449191.50539436669</v>
      </c>
      <c r="L207" s="677">
        <f t="shared" ca="1" si="115"/>
        <v>-449807.49326866661</v>
      </c>
      <c r="M207" s="677">
        <f t="shared" ca="1" si="115"/>
        <v>-477403.31485666666</v>
      </c>
      <c r="N207" s="677">
        <f t="shared" ca="1" si="115"/>
        <v>-1040116.6307366666</v>
      </c>
      <c r="O207" s="677">
        <f t="shared" ca="1" si="115"/>
        <v>-424954.78728820506</v>
      </c>
      <c r="P207" s="677">
        <f t="shared" ca="1" si="115"/>
        <v>-549825.16890666669</v>
      </c>
      <c r="Q207" s="677">
        <f t="shared" ca="1" si="115"/>
        <v>-97673.663502072086</v>
      </c>
      <c r="R207" s="677">
        <f t="shared" ca="1" si="115"/>
        <v>-511866.88131266664</v>
      </c>
      <c r="S207" s="677">
        <f t="shared" ca="1" si="115"/>
        <v>-513538.95026066666</v>
      </c>
      <c r="T207" s="677">
        <f t="shared" ca="1" si="115"/>
        <v>331846.89109088847</v>
      </c>
      <c r="U207" s="677">
        <f t="shared" ca="1" si="115"/>
        <v>-515208.37260866666</v>
      </c>
      <c r="V207" s="677">
        <f t="shared" ca="1" si="115"/>
        <v>-511265.07093866664</v>
      </c>
      <c r="W207" s="677">
        <f t="shared" ca="1" si="115"/>
        <v>-5209004.947983088</v>
      </c>
      <c r="Y207" s="677">
        <f t="shared" ref="Y207:AK207" si="116">Y201-Y203-Y204-Y205</f>
        <v>-203202.3</v>
      </c>
      <c r="Z207" s="677">
        <f t="shared" si="116"/>
        <v>-711726.69</v>
      </c>
      <c r="AA207" s="677">
        <f t="shared" si="116"/>
        <v>-450472.47000000003</v>
      </c>
      <c r="AB207" s="677">
        <f t="shared" si="116"/>
        <v>-546530.11</v>
      </c>
      <c r="AC207" s="677">
        <f t="shared" si="116"/>
        <v>92556.000000000116</v>
      </c>
      <c r="AD207" s="677">
        <f t="shared" si="116"/>
        <v>-416167.11000000004</v>
      </c>
      <c r="AE207" s="677">
        <f t="shared" si="116"/>
        <v>-453815.17</v>
      </c>
      <c r="AF207" s="677">
        <f t="shared" si="116"/>
        <v>-813671.12999999989</v>
      </c>
      <c r="AG207" s="677">
        <f t="shared" si="116"/>
        <v>-495936.29000000004</v>
      </c>
      <c r="AH207" s="677">
        <f t="shared" si="116"/>
        <v>-2029924.76</v>
      </c>
      <c r="AI207" s="677">
        <f t="shared" si="116"/>
        <v>-318631</v>
      </c>
      <c r="AJ207" s="677">
        <f t="shared" si="116"/>
        <v>-849419.63000000012</v>
      </c>
      <c r="AK207" s="677">
        <f t="shared" si="116"/>
        <v>-7196940.6599999992</v>
      </c>
    </row>
    <row r="208" spans="1:37" ht="13.5" customHeight="1">
      <c r="A208" s="653">
        <f>'Budget-合并'!A208</f>
        <v>0</v>
      </c>
      <c r="C208" s="687">
        <f>'Budget-合并'!C208</f>
        <v>0</v>
      </c>
    </row>
    <row r="209" spans="1:22" ht="13.5" customHeight="1">
      <c r="A209" s="653">
        <f>'Budget-合并'!A209</f>
        <v>0</v>
      </c>
    </row>
    <row r="210" spans="1:22" ht="13.5" customHeight="1">
      <c r="A210" s="653">
        <f>'Budget-合并'!A210</f>
        <v>0</v>
      </c>
    </row>
    <row r="211" spans="1:22" ht="13.5" customHeight="1">
      <c r="A211" s="653">
        <f>'Budget-合并'!A211</f>
        <v>0</v>
      </c>
    </row>
    <row r="212" spans="1:22" ht="13.5" customHeight="1">
      <c r="A212" s="653">
        <f>'Budget-合并'!A212</f>
        <v>0</v>
      </c>
    </row>
    <row r="213" spans="1:22" ht="13.5" customHeight="1">
      <c r="A213" s="653">
        <f>'Budget-合并'!A213</f>
        <v>0</v>
      </c>
    </row>
    <row r="214" spans="1:22" ht="13.5" customHeight="1">
      <c r="A214" s="653">
        <f>'Budget-合并'!A214</f>
        <v>0</v>
      </c>
    </row>
    <row r="215" spans="1:22" ht="13.5" customHeight="1">
      <c r="A215" s="653">
        <f>'Budget-合并'!A215</f>
        <v>0</v>
      </c>
    </row>
    <row r="216" spans="1:22" ht="13.5" customHeight="1">
      <c r="A216" s="653">
        <f>'Budget-合并'!A216</f>
        <v>0</v>
      </c>
    </row>
    <row r="217" spans="1:22" ht="13.5" customHeight="1">
      <c r="A217" s="653">
        <f>'Budget-合并'!A217</f>
        <v>0</v>
      </c>
    </row>
    <row r="218" spans="1:22" ht="13.5" customHeight="1">
      <c r="A218" s="653">
        <f>'Budget-合并'!A218</f>
        <v>0</v>
      </c>
    </row>
    <row r="219" spans="1:22" ht="13.5" customHeight="1">
      <c r="A219" s="653">
        <f>'Budget-合并'!A219</f>
        <v>0</v>
      </c>
    </row>
    <row r="220" spans="1:22" ht="13.5" customHeight="1">
      <c r="K220" s="654"/>
    </row>
    <row r="221" spans="1:22" ht="13.5" customHeight="1">
      <c r="L221" s="654"/>
      <c r="V221" s="710"/>
    </row>
  </sheetData>
  <autoFilter ref="A6:X219" xr:uid="{00000000-0009-0000-0000-00000A000000}"/>
  <conditionalFormatting sqref="K5:W5">
    <cfRule type="cellIs" dxfId="132" priority="4" stopIfTrue="1" operator="equal">
      <formula>"Actual"</formula>
    </cfRule>
    <cfRule type="cellIs" dxfId="131" priority="5" stopIfTrue="1" operator="equal">
      <formula>"Forecast"</formula>
    </cfRule>
    <cfRule type="cellIs" dxfId="130" priority="6" stopIfTrue="1" operator="equal">
      <formula>"Budget"</formula>
    </cfRule>
  </conditionalFormatting>
  <conditionalFormatting sqref="Y5:AK5">
    <cfRule type="cellIs" dxfId="129" priority="1" stopIfTrue="1" operator="equal">
      <formula>"Actual"</formula>
    </cfRule>
    <cfRule type="cellIs" dxfId="128" priority="2" stopIfTrue="1" operator="equal">
      <formula>"Forecast"</formula>
    </cfRule>
    <cfRule type="cellIs" dxfId="127" priority="3" stopIfTrue="1" operator="equal">
      <formula>"Budget"</formula>
    </cfRule>
  </conditionalFormatting>
  <dataValidations count="1">
    <dataValidation type="list" allowBlank="1" showInputMessage="1" showErrorMessage="1" sqref="K5:W5 Y5:AK5" xr:uid="{00000000-0002-0000-0A00-000000000000}">
      <formula1>"Actual,Forecast,Budget"</formula1>
    </dataValidation>
  </dataValidations>
  <printOptions horizontalCentered="1" headings="1" gridLines="1"/>
  <pageMargins left="0.39" right="0.35" top="0.59" bottom="0.59" header="0.31" footer="0.31"/>
  <pageSetup paperSize="8" scale="26" orientation="landscape" cellComments="asDisplayed" r:id="rId1"/>
  <headerFooter scaleWithDoc="0" alignWithMargins="0">
    <oddFooter>&amp;L&amp;"Arial,Regular"&amp;8&amp;Z
&amp;F  
&amp;A&amp;CPage &amp;P of &amp;N
&amp;R&amp;"Times New Roman,Regular"&amp;8&amp;D
&amp;T</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pageSetUpPr fitToPage="1"/>
  </sheetPr>
  <dimension ref="A1:XFC219"/>
  <sheetViews>
    <sheetView zoomScale="60" zoomScaleNormal="60" workbookViewId="0">
      <pane xSplit="2" ySplit="6" topLeftCell="C7" activePane="bottomRight" state="frozen"/>
      <selection pane="topRight" activeCell="C1" sqref="C1"/>
      <selection pane="bottomLeft" activeCell="A7" sqref="A7"/>
      <selection pane="bottomRight" activeCell="D25" sqref="D25"/>
    </sheetView>
  </sheetViews>
  <sheetFormatPr defaultColWidth="8.75" defaultRowHeight="13.5" customHeight="1" outlineLevelCol="1"/>
  <cols>
    <col min="1" max="1" width="12.375" style="652" customWidth="1"/>
    <col min="2" max="2" width="19.375" style="653" customWidth="1"/>
    <col min="3" max="3" width="15.875" style="652" customWidth="1"/>
    <col min="4" max="4" width="13.625" style="654" customWidth="1"/>
    <col min="5" max="9" width="12.25" style="654" customWidth="1"/>
    <col min="10" max="10" width="2.625" style="654" customWidth="1"/>
    <col min="11" max="22" width="10.375" style="652" customWidth="1" outlineLevel="1"/>
    <col min="23" max="23" width="10.25" style="652" customWidth="1" outlineLevel="1"/>
    <col min="24" max="24" width="3.375" style="652" customWidth="1"/>
    <col min="25" max="25" width="10.875" style="652"/>
    <col min="26" max="36" width="8.75" style="652"/>
    <col min="37" max="37" width="9.625" style="652" bestFit="1" customWidth="1"/>
    <col min="38" max="16382" width="8.75" style="652"/>
    <col min="16384" max="16384" width="8.75" style="652"/>
  </cols>
  <sheetData>
    <row r="1" spans="1:37" ht="16.5" customHeight="1">
      <c r="B1" s="681" t="s">
        <v>2482</v>
      </c>
      <c r="C1" s="5"/>
      <c r="D1" s="612" t="s">
        <v>2242</v>
      </c>
      <c r="E1" s="5"/>
    </row>
    <row r="2" spans="1:37" ht="16.5" customHeight="1"/>
    <row r="3" spans="1:37" ht="16.5" customHeight="1">
      <c r="B3" s="663" t="s">
        <v>2484</v>
      </c>
      <c r="C3" s="682"/>
      <c r="D3" s="5" t="s">
        <v>2046</v>
      </c>
      <c r="E3" s="5"/>
    </row>
    <row r="4" spans="1:37" ht="16.5" customHeight="1">
      <c r="K4" s="662"/>
    </row>
    <row r="5" spans="1:37" ht="13.5" customHeight="1">
      <c r="B5" s="663"/>
      <c r="D5" s="664" t="s">
        <v>2495</v>
      </c>
      <c r="E5" s="664" t="s">
        <v>2496</v>
      </c>
      <c r="F5" s="664" t="s">
        <v>2497</v>
      </c>
      <c r="G5" s="664" t="s">
        <v>2498</v>
      </c>
      <c r="H5" s="664" t="s">
        <v>2499</v>
      </c>
      <c r="I5" s="664" t="s">
        <v>2500</v>
      </c>
      <c r="J5" s="665"/>
      <c r="K5" s="666" t="s">
        <v>2501</v>
      </c>
      <c r="L5" s="666" t="s">
        <v>2501</v>
      </c>
      <c r="M5" s="666" t="s">
        <v>2501</v>
      </c>
      <c r="N5" s="666" t="s">
        <v>2501</v>
      </c>
      <c r="O5" s="666" t="s">
        <v>2501</v>
      </c>
      <c r="P5" s="666" t="s">
        <v>2501</v>
      </c>
      <c r="Q5" s="666" t="s">
        <v>2501</v>
      </c>
      <c r="R5" s="666" t="s">
        <v>2501</v>
      </c>
      <c r="S5" s="666" t="s">
        <v>2501</v>
      </c>
      <c r="T5" s="666" t="s">
        <v>2501</v>
      </c>
      <c r="U5" s="666" t="s">
        <v>2501</v>
      </c>
      <c r="V5" s="666" t="s">
        <v>2501</v>
      </c>
      <c r="W5" s="666" t="s">
        <v>2501</v>
      </c>
      <c r="Y5" s="666" t="s">
        <v>2502</v>
      </c>
      <c r="Z5" s="666" t="s">
        <v>2502</v>
      </c>
      <c r="AA5" s="666" t="s">
        <v>2502</v>
      </c>
      <c r="AB5" s="666" t="s">
        <v>2502</v>
      </c>
      <c r="AC5" s="666" t="s">
        <v>2502</v>
      </c>
      <c r="AD5" s="666" t="s">
        <v>2502</v>
      </c>
      <c r="AE5" s="666" t="s">
        <v>2502</v>
      </c>
      <c r="AF5" s="666" t="s">
        <v>2502</v>
      </c>
      <c r="AG5" s="666" t="s">
        <v>2502</v>
      </c>
      <c r="AH5" s="666" t="s">
        <v>2502</v>
      </c>
      <c r="AI5" s="666" t="s">
        <v>2502</v>
      </c>
      <c r="AJ5" s="666" t="s">
        <v>2502</v>
      </c>
      <c r="AK5" s="666" t="s">
        <v>2502</v>
      </c>
    </row>
    <row r="6" spans="1:37" s="648" customFormat="1" ht="13.5" customHeight="1">
      <c r="A6" s="649" t="s">
        <v>2488</v>
      </c>
      <c r="B6" s="667"/>
      <c r="D6" s="668">
        <f>'Flash Report'!$C$2</f>
        <v>46023</v>
      </c>
      <c r="E6" s="668">
        <f>D6-365</f>
        <v>45658</v>
      </c>
      <c r="F6" s="683" t="s">
        <v>2503</v>
      </c>
      <c r="G6" s="684">
        <f>D6</f>
        <v>46023</v>
      </c>
      <c r="H6" s="684">
        <f>E6</f>
        <v>45658</v>
      </c>
      <c r="I6" s="685" t="s">
        <v>2503</v>
      </c>
      <c r="J6" s="669"/>
      <c r="K6" s="670">
        <v>46023</v>
      </c>
      <c r="L6" s="670">
        <v>46054</v>
      </c>
      <c r="M6" s="670">
        <v>46082</v>
      </c>
      <c r="N6" s="670">
        <v>46113</v>
      </c>
      <c r="O6" s="670">
        <v>46143</v>
      </c>
      <c r="P6" s="670">
        <v>46174</v>
      </c>
      <c r="Q6" s="670">
        <v>46204</v>
      </c>
      <c r="R6" s="670">
        <v>46235</v>
      </c>
      <c r="S6" s="670">
        <v>46266</v>
      </c>
      <c r="T6" s="670">
        <v>46296</v>
      </c>
      <c r="U6" s="670">
        <v>46327</v>
      </c>
      <c r="V6" s="670">
        <v>46357</v>
      </c>
      <c r="W6" s="671" t="s">
        <v>2504</v>
      </c>
      <c r="Y6" s="670">
        <f>'Budget-ACPLHK'!Y6</f>
        <v>46388</v>
      </c>
      <c r="Z6" s="670">
        <f>'Budget-ACPLHK'!Z6</f>
        <v>46419</v>
      </c>
      <c r="AA6" s="670">
        <f>'Budget-ACPLHK'!AA6</f>
        <v>46447</v>
      </c>
      <c r="AB6" s="670">
        <f>'Budget-ACPLHK'!AB6</f>
        <v>46478</v>
      </c>
      <c r="AC6" s="670">
        <f>'Budget-ACPLHK'!AC6</f>
        <v>46508</v>
      </c>
      <c r="AD6" s="670">
        <f>'Budget-ACPLHK'!AD6</f>
        <v>46539</v>
      </c>
      <c r="AE6" s="670">
        <f>'Budget-ACPLHK'!AE6</f>
        <v>46569</v>
      </c>
      <c r="AF6" s="670">
        <f>'Budget-ACPLHK'!AF6</f>
        <v>46600</v>
      </c>
      <c r="AG6" s="670">
        <f>'Budget-ACPLHK'!AG6</f>
        <v>46631</v>
      </c>
      <c r="AH6" s="670">
        <f>'Budget-ACPLHK'!AH6</f>
        <v>46661</v>
      </c>
      <c r="AI6" s="670">
        <f>'Budget-ACPLHK'!AI6</f>
        <v>46692</v>
      </c>
      <c r="AJ6" s="670">
        <f>'Budget-ACPLHK'!AJ6</f>
        <v>46722</v>
      </c>
      <c r="AK6" s="671" t="str">
        <f>'Budget-ACPLHK'!AK6</f>
        <v>2027 Total</v>
      </c>
    </row>
    <row r="7" spans="1:37" s="649" customFormat="1" ht="13.5" customHeight="1">
      <c r="A7" s="653" t="str">
        <f>'Budget-合并'!A7</f>
        <v>6001</v>
      </c>
      <c r="B7" s="686" t="str">
        <f>'Budget-合并'!B7</f>
        <v>营业收入</v>
      </c>
      <c r="C7" s="687">
        <f>VLOOKUP(A7,Account!A:F,4,0)</f>
        <v>0</v>
      </c>
      <c r="D7" s="674"/>
      <c r="E7" s="674"/>
      <c r="F7" s="674"/>
      <c r="G7" s="674"/>
      <c r="H7" s="674"/>
      <c r="I7" s="674"/>
      <c r="J7" s="674"/>
      <c r="K7" s="674"/>
      <c r="L7" s="674"/>
      <c r="M7" s="674"/>
      <c r="N7" s="674"/>
      <c r="O7" s="674"/>
      <c r="P7" s="674"/>
      <c r="Q7" s="674"/>
      <c r="R7" s="674"/>
      <c r="S7" s="674"/>
      <c r="T7" s="674"/>
      <c r="U7" s="674"/>
      <c r="V7" s="674"/>
      <c r="W7" s="674"/>
    </row>
    <row r="8" spans="1:37" ht="13.5" customHeight="1">
      <c r="A8" s="653" t="str">
        <f>'Budget-合并'!A8</f>
        <v>6001.01</v>
      </c>
      <c r="B8" s="653" t="str">
        <f>'Budget-合并'!B8</f>
        <v>基金管理费收入</v>
      </c>
      <c r="C8" s="687" t="str">
        <f>'Budget-合并'!C8</f>
        <v>Fund Management Fee</v>
      </c>
      <c r="D8" s="676">
        <f>INDEX($K8:$V8,1,MATCH($D$6,$K$6:$V$6))</f>
        <v>8333.3333333333339</v>
      </c>
      <c r="E8" s="676" t="e">
        <f>INDEX($Y8:AHV8,1,MATCH($E$6,$Y$6:$AJ$6))</f>
        <v>#N/A</v>
      </c>
      <c r="F8" s="676" t="e">
        <f t="shared" ref="F8:F12" si="0">D8-E8</f>
        <v>#N/A</v>
      </c>
      <c r="G8" s="676">
        <f t="shared" ref="G8:G12" ca="1" si="1">SUM($K8:OFFSET($K8,0,MATCH(G$6,$K$6:$V$6)-1))</f>
        <v>8333.3333333333339</v>
      </c>
      <c r="H8" s="676" t="e">
        <f t="shared" ref="H8:H12" ca="1" si="2">SUM($Y8:OFFSET($Y8,0,MATCH(H$6,$Y$6:$AJ$6)-1))</f>
        <v>#N/A</v>
      </c>
      <c r="I8" s="676" t="e">
        <f ca="1">G8-H8</f>
        <v>#N/A</v>
      </c>
      <c r="K8" s="676">
        <f>100000/12</f>
        <v>8333.3333333333339</v>
      </c>
      <c r="L8" s="676">
        <f t="shared" ref="L8:V8" si="3">100000/12</f>
        <v>8333.3333333333303</v>
      </c>
      <c r="M8" s="676">
        <f t="shared" si="3"/>
        <v>8333.3333333333303</v>
      </c>
      <c r="N8" s="676">
        <f t="shared" si="3"/>
        <v>8333.3333333333303</v>
      </c>
      <c r="O8" s="676">
        <f t="shared" si="3"/>
        <v>8333.3333333333303</v>
      </c>
      <c r="P8" s="676">
        <f t="shared" si="3"/>
        <v>8333.3333333333303</v>
      </c>
      <c r="Q8" s="676">
        <f t="shared" si="3"/>
        <v>8333.3333333333303</v>
      </c>
      <c r="R8" s="676">
        <f t="shared" si="3"/>
        <v>8333.3333333333303</v>
      </c>
      <c r="S8" s="676">
        <f t="shared" si="3"/>
        <v>8333.3333333333303</v>
      </c>
      <c r="T8" s="676">
        <f t="shared" si="3"/>
        <v>8333.3333333333303</v>
      </c>
      <c r="U8" s="676">
        <f t="shared" si="3"/>
        <v>8333.3333333333303</v>
      </c>
      <c r="V8" s="676">
        <f t="shared" si="3"/>
        <v>8333.3333333333303</v>
      </c>
      <c r="W8" s="676">
        <f t="shared" ref="W8:W11" si="4">SUM(K8:V8)</f>
        <v>99999.999999999956</v>
      </c>
      <c r="Y8" s="688">
        <f>IFERROR(VLOOKUP(A8,'[93]1月'!$A:$H,8,0),0)</f>
        <v>0</v>
      </c>
      <c r="Z8" s="688">
        <f>IFERROR(VLOOKUP(A8,'[93]2月'!$A:$H,8,0),0)</f>
        <v>0</v>
      </c>
      <c r="AA8" s="688">
        <f>IFERROR(VLOOKUP($A8,'[93]3月'!$A:$H,8,0),0)</f>
        <v>0</v>
      </c>
      <c r="AB8" s="688">
        <f>IFERROR(VLOOKUP($A8,'[93]4月'!$A:$H,8,0),0)</f>
        <v>0</v>
      </c>
      <c r="AC8" s="688">
        <f>IFERROR(VLOOKUP($A8,'[93]5月'!$A:$H,8,0),0)</f>
        <v>0</v>
      </c>
      <c r="AD8" s="688">
        <f>IFERROR(VLOOKUP($A8,'[93]6月'!$A:$H,8,0),0)</f>
        <v>0</v>
      </c>
      <c r="AE8" s="688">
        <f>IFERROR(VLOOKUP($A8,'[93]7月'!$A:$H,8,0),0)</f>
        <v>0</v>
      </c>
      <c r="AF8" s="688">
        <f>IFERROR(VLOOKUP($A8,'[93]8月'!$A:$H,8,0),0)</f>
        <v>0</v>
      </c>
      <c r="AG8" s="688">
        <f>IFERROR(VLOOKUP($A8,'[93]9月'!$A:$H,8,0),0)</f>
        <v>0</v>
      </c>
      <c r="AH8" s="688">
        <f>IFERROR(VLOOKUP($A8,'[93]10月'!$A:$H,8,0),0)</f>
        <v>0</v>
      </c>
      <c r="AI8" s="688">
        <f>IFERROR(VLOOKUP($A8,'[93]11月'!$A:$H,8,0),0)</f>
        <v>0</v>
      </c>
      <c r="AJ8" s="688">
        <f>IFERROR(VLOOKUP($A8,'[93]12月'!$A:$H,8,0),0)</f>
        <v>5210.6499999999996</v>
      </c>
      <c r="AK8" s="688">
        <f>SUM(Y8:AJ8)</f>
        <v>5210.6499999999996</v>
      </c>
    </row>
    <row r="9" spans="1:37" ht="13.5" customHeight="1">
      <c r="A9" s="653" t="str">
        <f>'Budget-合并'!A9</f>
        <v>6001.02</v>
      </c>
      <c r="B9" s="653" t="str">
        <f>'Budget-合并'!B9</f>
        <v>咨询服务费收入</v>
      </c>
      <c r="C9" s="687" t="str">
        <f>'Budget-合并'!C9</f>
        <v>Advisory Fee Income</v>
      </c>
      <c r="D9" s="676">
        <f>INDEX($K9:$V9,1,MATCH($D$6,$K$6:$V$6))</f>
        <v>0</v>
      </c>
      <c r="E9" s="676" t="e">
        <f>INDEX($Y9:AHV9,1,MATCH($E$6,$Y$6:$AJ$6))</f>
        <v>#N/A</v>
      </c>
      <c r="F9" s="676" t="e">
        <f t="shared" si="0"/>
        <v>#N/A</v>
      </c>
      <c r="G9" s="676">
        <f t="shared" ca="1" si="1"/>
        <v>0</v>
      </c>
      <c r="H9" s="676" t="e">
        <f t="shared" ca="1" si="2"/>
        <v>#N/A</v>
      </c>
      <c r="I9" s="676" t="e">
        <f t="shared" ref="I9:I19" ca="1" si="5">G9-H9</f>
        <v>#N/A</v>
      </c>
      <c r="K9" s="676">
        <f t="shared" ref="K9:V9" si="6">SUM(K10:K11)</f>
        <v>0</v>
      </c>
      <c r="L9" s="676">
        <f t="shared" si="6"/>
        <v>0</v>
      </c>
      <c r="M9" s="676">
        <f t="shared" si="6"/>
        <v>0</v>
      </c>
      <c r="N9" s="676">
        <f t="shared" si="6"/>
        <v>0</v>
      </c>
      <c r="O9" s="676">
        <f t="shared" si="6"/>
        <v>0</v>
      </c>
      <c r="P9" s="676">
        <f t="shared" si="6"/>
        <v>0</v>
      </c>
      <c r="Q9" s="676">
        <f t="shared" si="6"/>
        <v>0</v>
      </c>
      <c r="R9" s="676">
        <f t="shared" si="6"/>
        <v>0</v>
      </c>
      <c r="S9" s="676">
        <f t="shared" si="6"/>
        <v>0</v>
      </c>
      <c r="T9" s="676">
        <f t="shared" si="6"/>
        <v>0</v>
      </c>
      <c r="U9" s="676">
        <f t="shared" si="6"/>
        <v>0</v>
      </c>
      <c r="V9" s="676">
        <f t="shared" si="6"/>
        <v>0</v>
      </c>
      <c r="W9" s="676">
        <f t="shared" si="4"/>
        <v>0</v>
      </c>
      <c r="Y9" s="688">
        <f>IFERROR(VLOOKUP(A9,'[93]1月'!$A:$H,8,0),0)</f>
        <v>0</v>
      </c>
      <c r="Z9" s="688">
        <f>IFERROR(VLOOKUP(A9,'[93]2月'!$A:$H,8,0),0)</f>
        <v>0</v>
      </c>
      <c r="AA9" s="688">
        <f>IFERROR(VLOOKUP($A9,'[93]3月'!$A:$H,8,0),0)</f>
        <v>0</v>
      </c>
      <c r="AB9" s="688">
        <f>IFERROR(VLOOKUP($A9,'[93]4月'!$A:$H,8,0),0)</f>
        <v>0</v>
      </c>
      <c r="AC9" s="688">
        <f>IFERROR(VLOOKUP($A9,'[93]5月'!$A:$H,8,0),0)</f>
        <v>0</v>
      </c>
      <c r="AD9" s="688">
        <f>IFERROR(VLOOKUP($A9,'[93]6月'!$A:$H,8,0),0)</f>
        <v>0</v>
      </c>
      <c r="AE9" s="688">
        <f>IFERROR(VLOOKUP($A9,'[93]7月'!$A:$H,8,0),0)</f>
        <v>0</v>
      </c>
      <c r="AF9" s="688">
        <f>IFERROR(VLOOKUP($A9,'[93]8月'!$A:$H,8,0),0)</f>
        <v>0</v>
      </c>
      <c r="AG9" s="688">
        <f>IFERROR(VLOOKUP($A9,'[93]9月'!$A:$H,8,0),0)</f>
        <v>0</v>
      </c>
      <c r="AH9" s="688">
        <f>IFERROR(VLOOKUP($A9,'[93]10月'!$A:$H,8,0),0)</f>
        <v>0</v>
      </c>
      <c r="AI9" s="688">
        <f>IFERROR(VLOOKUP($A9,'[93]11月'!$A:$H,8,0),0)</f>
        <v>0</v>
      </c>
      <c r="AJ9" s="688">
        <f>IFERROR(VLOOKUP($A9,'[93]12月'!$A:$H,8,0),0)</f>
        <v>0</v>
      </c>
      <c r="AK9" s="688">
        <f t="shared" ref="AK9:AK18" si="7">SUM(Y9:AJ9)</f>
        <v>0</v>
      </c>
    </row>
    <row r="10" spans="1:37" ht="13.5" customHeight="1">
      <c r="A10" s="653">
        <f>'Budget-合并'!A10</f>
        <v>0</v>
      </c>
      <c r="B10" s="653" t="str">
        <f>'Budget-合并'!B10</f>
        <v xml:space="preserve">   辉飏咨询服务费</v>
      </c>
      <c r="C10" s="687" t="str">
        <f>'Budget-合并'!C10</f>
        <v xml:space="preserve">  HYNE</v>
      </c>
      <c r="D10" s="676">
        <f t="shared" ref="D10:D12" si="8">INDEX($K10:$V10,1,MATCH($D$6,$K$6:$V$6))</f>
        <v>0</v>
      </c>
      <c r="E10" s="676" t="e">
        <f>INDEX($Y10:AHV10,1,MATCH($E$6,$Y$6:$AJ$6))</f>
        <v>#N/A</v>
      </c>
      <c r="F10" s="676" t="e">
        <f t="shared" si="0"/>
        <v>#N/A</v>
      </c>
      <c r="G10" s="676">
        <f t="shared" ca="1" si="1"/>
        <v>0</v>
      </c>
      <c r="H10" s="676" t="e">
        <f t="shared" ca="1" si="2"/>
        <v>#N/A</v>
      </c>
      <c r="I10" s="676" t="e">
        <f t="shared" ca="1" si="5"/>
        <v>#N/A</v>
      </c>
      <c r="K10" s="676"/>
      <c r="L10" s="676"/>
      <c r="M10" s="676"/>
      <c r="N10" s="676"/>
      <c r="O10" s="676"/>
      <c r="P10" s="676"/>
      <c r="Q10" s="676"/>
      <c r="R10" s="676"/>
      <c r="S10" s="676"/>
      <c r="T10" s="676"/>
      <c r="U10" s="676"/>
      <c r="V10" s="676"/>
      <c r="W10" s="676">
        <f t="shared" si="4"/>
        <v>0</v>
      </c>
      <c r="Y10" s="688">
        <f>IFERROR(VLOOKUP(A10,'[93]1月'!$A:$H,8,0),0)</f>
        <v>0</v>
      </c>
      <c r="Z10" s="688">
        <f>IFERROR(VLOOKUP(A10,'[93]2月'!$A:$H,8,0),0)</f>
        <v>0</v>
      </c>
      <c r="AA10" s="688">
        <f>IFERROR(VLOOKUP($A10,'[93]3月'!$A:$H,8,0),0)</f>
        <v>0</v>
      </c>
      <c r="AB10" s="688">
        <f>IFERROR(VLOOKUP($A10,'[93]4月'!$A:$H,8,0),0)</f>
        <v>0</v>
      </c>
      <c r="AC10" s="688">
        <f>IFERROR(VLOOKUP($A10,'[93]5月'!$A:$H,8,0),0)</f>
        <v>0</v>
      </c>
      <c r="AD10" s="688">
        <f>IFERROR(VLOOKUP($A10,'[93]6月'!$A:$H,8,0),0)</f>
        <v>0</v>
      </c>
      <c r="AE10" s="688">
        <f>IFERROR(VLOOKUP($A10,'[93]7月'!$A:$H,8,0),0)</f>
        <v>0</v>
      </c>
      <c r="AF10" s="688">
        <f>IFERROR(VLOOKUP($A10,'[93]8月'!$A:$H,8,0),0)</f>
        <v>0</v>
      </c>
      <c r="AG10" s="688">
        <f>IFERROR(VLOOKUP($A10,'[93]9月'!$A:$H,8,0),0)</f>
        <v>0</v>
      </c>
      <c r="AH10" s="688">
        <f>IFERROR(VLOOKUP($A10,'[93]10月'!$A:$H,8,0),0)</f>
        <v>0</v>
      </c>
      <c r="AI10" s="688">
        <f>IFERROR(VLOOKUP($A10,'[93]11月'!$A:$H,8,0),0)</f>
        <v>0</v>
      </c>
      <c r="AJ10" s="688">
        <f>IFERROR(VLOOKUP($A10,'[93]12月'!$A:$H,8,0),0)</f>
        <v>0</v>
      </c>
      <c r="AK10" s="688">
        <f t="shared" si="7"/>
        <v>0</v>
      </c>
    </row>
    <row r="11" spans="1:37" ht="13.5" customHeight="1">
      <c r="A11" s="653">
        <f>'Budget-合并'!A11</f>
        <v>0</v>
      </c>
      <c r="B11" s="653" t="str">
        <f>'Budget-合并'!B11</f>
        <v xml:space="preserve">      MAA咨询管理费</v>
      </c>
      <c r="C11" s="687" t="str">
        <f>'Budget-合并'!C11</f>
        <v xml:space="preserve">  MAA</v>
      </c>
      <c r="D11" s="676">
        <f t="shared" si="8"/>
        <v>0</v>
      </c>
      <c r="E11" s="676" t="e">
        <f>INDEX($Y11:AHV11,1,MATCH($E$6,$Y$6:$AJ$6))</f>
        <v>#N/A</v>
      </c>
      <c r="F11" s="676" t="e">
        <f t="shared" si="0"/>
        <v>#N/A</v>
      </c>
      <c r="G11" s="676">
        <f t="shared" ca="1" si="1"/>
        <v>0</v>
      </c>
      <c r="H11" s="676" t="e">
        <f t="shared" ca="1" si="2"/>
        <v>#N/A</v>
      </c>
      <c r="I11" s="676" t="e">
        <f t="shared" ca="1" si="5"/>
        <v>#N/A</v>
      </c>
      <c r="K11" s="676"/>
      <c r="L11" s="676"/>
      <c r="M11" s="676"/>
      <c r="N11" s="676"/>
      <c r="O11" s="676"/>
      <c r="P11" s="676"/>
      <c r="Q11" s="676"/>
      <c r="R11" s="676"/>
      <c r="S11" s="676"/>
      <c r="T11" s="676"/>
      <c r="U11" s="676"/>
      <c r="V11" s="676"/>
      <c r="W11" s="676">
        <f t="shared" si="4"/>
        <v>0</v>
      </c>
      <c r="Y11" s="688">
        <f>IFERROR(VLOOKUP(A11,'[93]1月'!$A:$H,8,0),0)</f>
        <v>0</v>
      </c>
      <c r="Z11" s="688">
        <f>IFERROR(VLOOKUP(A11,'[93]2月'!$A:$H,8,0),0)</f>
        <v>0</v>
      </c>
      <c r="AA11" s="688">
        <f>IFERROR(VLOOKUP($A11,'[93]3月'!$A:$H,8,0),0)</f>
        <v>0</v>
      </c>
      <c r="AB11" s="688">
        <f>IFERROR(VLOOKUP($A11,'[93]4月'!$A:$H,8,0),0)</f>
        <v>0</v>
      </c>
      <c r="AC11" s="688">
        <f>IFERROR(VLOOKUP($A11,'[93]5月'!$A:$H,8,0),0)</f>
        <v>0</v>
      </c>
      <c r="AD11" s="688">
        <f>IFERROR(VLOOKUP($A11,'[93]6月'!$A:$H,8,0),0)</f>
        <v>0</v>
      </c>
      <c r="AE11" s="688">
        <f>IFERROR(VLOOKUP($A11,'[93]7月'!$A:$H,8,0),0)</f>
        <v>0</v>
      </c>
      <c r="AF11" s="688">
        <f>IFERROR(VLOOKUP($A11,'[93]8月'!$A:$H,8,0),0)</f>
        <v>0</v>
      </c>
      <c r="AG11" s="688">
        <f>IFERROR(VLOOKUP($A11,'[93]9月'!$A:$H,8,0),0)</f>
        <v>0</v>
      </c>
      <c r="AH11" s="688">
        <f>IFERROR(VLOOKUP($A11,'[93]10月'!$A:$H,8,0),0)</f>
        <v>0</v>
      </c>
      <c r="AI11" s="688">
        <f>IFERROR(VLOOKUP($A11,'[93]11月'!$A:$H,8,0),0)</f>
        <v>0</v>
      </c>
      <c r="AJ11" s="688">
        <f>IFERROR(VLOOKUP($A11,'[93]12月'!$A:$H,8,0),0)</f>
        <v>0</v>
      </c>
      <c r="AK11" s="688">
        <f t="shared" si="7"/>
        <v>0</v>
      </c>
    </row>
    <row r="12" spans="1:37" s="680" customFormat="1" ht="13.5" customHeight="1">
      <c r="A12" s="653">
        <f>'Budget-合并'!A12</f>
        <v>0</v>
      </c>
      <c r="B12" s="686" t="str">
        <f>'Budget-合并'!B12</f>
        <v>营业收入合计</v>
      </c>
      <c r="C12" s="687">
        <f>'Budget-合并'!C12</f>
        <v>0</v>
      </c>
      <c r="D12" s="654">
        <f t="shared" si="8"/>
        <v>8333.3333333333339</v>
      </c>
      <c r="E12" s="654" t="e">
        <f>INDEX($Y12:AHV12,1,MATCH($E$6,$Y$6:$AJ$6))</f>
        <v>#N/A</v>
      </c>
      <c r="F12" s="654" t="e">
        <f t="shared" si="0"/>
        <v>#N/A</v>
      </c>
      <c r="G12" s="654">
        <f t="shared" ca="1" si="1"/>
        <v>8333.3333333333339</v>
      </c>
      <c r="H12" s="654" t="e">
        <f t="shared" ca="1" si="2"/>
        <v>#N/A</v>
      </c>
      <c r="I12" s="654" t="e">
        <f t="shared" ca="1" si="5"/>
        <v>#N/A</v>
      </c>
      <c r="J12" s="654"/>
      <c r="K12" s="654">
        <f t="shared" ref="K12:W12" si="9">SUM(K8,K9)</f>
        <v>8333.3333333333339</v>
      </c>
      <c r="L12" s="654">
        <f t="shared" si="9"/>
        <v>8333.3333333333303</v>
      </c>
      <c r="M12" s="654">
        <f t="shared" si="9"/>
        <v>8333.3333333333303</v>
      </c>
      <c r="N12" s="654">
        <f t="shared" si="9"/>
        <v>8333.3333333333303</v>
      </c>
      <c r="O12" s="654">
        <f t="shared" si="9"/>
        <v>8333.3333333333303</v>
      </c>
      <c r="P12" s="654">
        <f t="shared" si="9"/>
        <v>8333.3333333333303</v>
      </c>
      <c r="Q12" s="654">
        <f t="shared" si="9"/>
        <v>8333.3333333333303</v>
      </c>
      <c r="R12" s="654">
        <f t="shared" si="9"/>
        <v>8333.3333333333303</v>
      </c>
      <c r="S12" s="654">
        <f t="shared" si="9"/>
        <v>8333.3333333333303</v>
      </c>
      <c r="T12" s="654">
        <f t="shared" si="9"/>
        <v>8333.3333333333303</v>
      </c>
      <c r="U12" s="654">
        <f t="shared" si="9"/>
        <v>8333.3333333333303</v>
      </c>
      <c r="V12" s="654">
        <f t="shared" si="9"/>
        <v>8333.3333333333303</v>
      </c>
      <c r="W12" s="654">
        <f t="shared" si="9"/>
        <v>99999.999999999956</v>
      </c>
      <c r="Y12" s="654">
        <f>SUM(Y8,Y9)</f>
        <v>0</v>
      </c>
      <c r="Z12" s="654">
        <f t="shared" ref="Z12:AK12" si="10">SUM(Z8,Z9)</f>
        <v>0</v>
      </c>
      <c r="AA12" s="654">
        <f t="shared" si="10"/>
        <v>0</v>
      </c>
      <c r="AB12" s="654">
        <f t="shared" si="10"/>
        <v>0</v>
      </c>
      <c r="AC12" s="654">
        <f t="shared" si="10"/>
        <v>0</v>
      </c>
      <c r="AD12" s="654">
        <f t="shared" si="10"/>
        <v>0</v>
      </c>
      <c r="AE12" s="654">
        <f t="shared" si="10"/>
        <v>0</v>
      </c>
      <c r="AF12" s="654">
        <f t="shared" si="10"/>
        <v>0</v>
      </c>
      <c r="AG12" s="654">
        <f t="shared" si="10"/>
        <v>0</v>
      </c>
      <c r="AH12" s="654">
        <f t="shared" si="10"/>
        <v>0</v>
      </c>
      <c r="AI12" s="654">
        <f t="shared" si="10"/>
        <v>0</v>
      </c>
      <c r="AJ12" s="654">
        <f t="shared" si="10"/>
        <v>5210.6499999999996</v>
      </c>
      <c r="AK12" s="654">
        <f t="shared" si="10"/>
        <v>5210.6499999999996</v>
      </c>
    </row>
    <row r="13" spans="1:37" ht="13.5" customHeight="1">
      <c r="A13" s="653">
        <f>'Budget-合并'!A13</f>
        <v>0</v>
      </c>
      <c r="B13" s="653">
        <f>'Budget-合并'!B13</f>
        <v>0</v>
      </c>
      <c r="C13" s="687">
        <f>'Budget-合并'!C13</f>
        <v>0</v>
      </c>
      <c r="K13" s="654"/>
      <c r="L13" s="654"/>
      <c r="M13" s="654"/>
      <c r="N13" s="654"/>
      <c r="O13" s="654"/>
      <c r="P13" s="654"/>
      <c r="Q13" s="654"/>
      <c r="R13" s="654"/>
      <c r="S13" s="654"/>
      <c r="T13" s="654"/>
      <c r="U13" s="654"/>
      <c r="V13" s="654"/>
      <c r="W13" s="654"/>
    </row>
    <row r="14" spans="1:37" ht="13.5" customHeight="1">
      <c r="A14" s="653" t="str">
        <f>'Budget-合并'!A14</f>
        <v>6405.01</v>
      </c>
      <c r="B14" s="653" t="str">
        <f>'Budget-合并'!B14</f>
        <v>印花税</v>
      </c>
      <c r="C14" s="687" t="str">
        <f>'Budget-合并'!C14</f>
        <v>Stamp Duty</v>
      </c>
      <c r="D14" s="676">
        <f t="shared" ref="D14:D19" si="11">INDEX($K14:$V14,1,MATCH($D$6,$K$6:$V$6))</f>
        <v>0</v>
      </c>
      <c r="E14" s="676" t="e">
        <f>INDEX($Y14:AHV14,1,MATCH($E$6,$Y$6:$AJ$6))</f>
        <v>#N/A</v>
      </c>
      <c r="F14" s="676" t="e">
        <f t="shared" ref="F14:F18" si="12">D14-E14</f>
        <v>#N/A</v>
      </c>
      <c r="G14" s="676">
        <f t="shared" ref="G14:G19" ca="1" si="13">SUM($K14:OFFSET($K14,0,MATCH(G$6,$K$6:$V$6)-1))</f>
        <v>0</v>
      </c>
      <c r="H14" s="676" t="e">
        <f t="shared" ref="H14:H19" ca="1" si="14">SUM($Y14:OFFSET($Y14,0,MATCH(H$6,$Y$6:$AJ$6)-1))</f>
        <v>#N/A</v>
      </c>
      <c r="I14" s="676" t="e">
        <f t="shared" ca="1" si="5"/>
        <v>#N/A</v>
      </c>
      <c r="K14" s="676"/>
      <c r="L14" s="676"/>
      <c r="M14" s="676"/>
      <c r="N14" s="676"/>
      <c r="O14" s="676"/>
      <c r="P14" s="676"/>
      <c r="Q14" s="676"/>
      <c r="R14" s="676"/>
      <c r="S14" s="676"/>
      <c r="T14" s="676"/>
      <c r="U14" s="676"/>
      <c r="V14" s="676"/>
      <c r="W14" s="676">
        <f t="shared" ref="W14:W18" si="15">SUM(K14:V14)</f>
        <v>0</v>
      </c>
      <c r="Y14" s="688">
        <f>IFERROR(VLOOKUP(A14,'[93]1月'!$A:$H,8,0),0)</f>
        <v>0</v>
      </c>
      <c r="Z14" s="688">
        <f>IFERROR(VLOOKUP(A14,'[93]2月'!$A:$H,8,0),0)</f>
        <v>0</v>
      </c>
      <c r="AA14" s="688">
        <f>IFERROR(VLOOKUP($A14,'[93]3月'!$A:$H,8,0),0)</f>
        <v>0</v>
      </c>
      <c r="AB14" s="688">
        <f>IFERROR(VLOOKUP($A14,'[93]4月'!$A:$H,8,0),0)</f>
        <v>0</v>
      </c>
      <c r="AC14" s="688">
        <f>IFERROR(VLOOKUP($A14,'[93]5月'!$A:$H,8,0),0)</f>
        <v>0</v>
      </c>
      <c r="AD14" s="688">
        <f>IFERROR(VLOOKUP($A14,'[93]6月'!$A:$H,8,0),0)</f>
        <v>0</v>
      </c>
      <c r="AE14" s="688">
        <f>IFERROR(VLOOKUP($A14,'[93]7月'!$A:$H,8,0),0)</f>
        <v>0</v>
      </c>
      <c r="AF14" s="688">
        <f>IFERROR(VLOOKUP($A14,'[93]8月'!$A:$H,8,0),0)</f>
        <v>0</v>
      </c>
      <c r="AG14" s="688">
        <f>IFERROR(VLOOKUP($A14,'[93]9月'!$A:$H,8,0),0)</f>
        <v>0</v>
      </c>
      <c r="AH14" s="688">
        <f>IFERROR(VLOOKUP($A14,'[93]10月'!$A:$H,8,0),0)</f>
        <v>0</v>
      </c>
      <c r="AI14" s="688">
        <f>IFERROR(VLOOKUP($A14,'[93]11月'!$A:$H,8,0),0)</f>
        <v>0</v>
      </c>
      <c r="AJ14" s="688">
        <f>IFERROR(VLOOKUP($A14,'[93]12月'!$A:$H,8,0),0)</f>
        <v>0</v>
      </c>
      <c r="AK14" s="688">
        <f t="shared" si="7"/>
        <v>0</v>
      </c>
    </row>
    <row r="15" spans="1:37" ht="13.5" customHeight="1">
      <c r="A15" s="653" t="str">
        <f>'Budget-合并'!A15</f>
        <v>6405.02</v>
      </c>
      <c r="B15" s="653" t="str">
        <f>'Budget-合并'!B15</f>
        <v>城市维护建设税</v>
      </c>
      <c r="C15" s="687" t="str">
        <f>'Budget-合并'!C15</f>
        <v>VAT surcharge</v>
      </c>
      <c r="D15" s="676">
        <f t="shared" si="11"/>
        <v>0</v>
      </c>
      <c r="E15" s="676" t="e">
        <f>INDEX($Y15:AHV15,1,MATCH($E$6,$Y$6:$AJ$6))</f>
        <v>#N/A</v>
      </c>
      <c r="F15" s="676" t="e">
        <f t="shared" si="12"/>
        <v>#N/A</v>
      </c>
      <c r="G15" s="676">
        <f t="shared" ca="1" si="13"/>
        <v>0</v>
      </c>
      <c r="H15" s="676" t="e">
        <f t="shared" ca="1" si="14"/>
        <v>#N/A</v>
      </c>
      <c r="I15" s="676" t="e">
        <f t="shared" ca="1" si="5"/>
        <v>#N/A</v>
      </c>
      <c r="K15" s="676"/>
      <c r="L15" s="676"/>
      <c r="M15" s="676"/>
      <c r="N15" s="676"/>
      <c r="O15" s="676"/>
      <c r="P15" s="676"/>
      <c r="Q15" s="676"/>
      <c r="R15" s="676"/>
      <c r="S15" s="676"/>
      <c r="T15" s="676"/>
      <c r="U15" s="676"/>
      <c r="V15" s="676"/>
      <c r="W15" s="676">
        <f t="shared" si="15"/>
        <v>0</v>
      </c>
      <c r="Y15" s="688">
        <f>IFERROR(VLOOKUP(A15,'[93]1月'!$A:$H,8,0),0)</f>
        <v>0</v>
      </c>
      <c r="Z15" s="688">
        <f>IFERROR(VLOOKUP(A15,'[93]2月'!$A:$H,8,0),0)</f>
        <v>0</v>
      </c>
      <c r="AA15" s="688">
        <f>IFERROR(VLOOKUP($A15,'[93]3月'!$A:$H,8,0),0)</f>
        <v>0</v>
      </c>
      <c r="AB15" s="688">
        <f>IFERROR(VLOOKUP($A15,'[93]4月'!$A:$H,8,0),0)</f>
        <v>0</v>
      </c>
      <c r="AC15" s="688">
        <f>IFERROR(VLOOKUP($A15,'[93]5月'!$A:$H,8,0),0)</f>
        <v>0</v>
      </c>
      <c r="AD15" s="688">
        <f>IFERROR(VLOOKUP($A15,'[93]6月'!$A:$H,8,0),0)</f>
        <v>0</v>
      </c>
      <c r="AE15" s="688">
        <f>IFERROR(VLOOKUP($A15,'[93]7月'!$A:$H,8,0),0)</f>
        <v>0</v>
      </c>
      <c r="AF15" s="688">
        <f>IFERROR(VLOOKUP($A15,'[93]8月'!$A:$H,8,0),0)</f>
        <v>0</v>
      </c>
      <c r="AG15" s="688">
        <f>IFERROR(VLOOKUP($A15,'[93]9月'!$A:$H,8,0),0)</f>
        <v>0</v>
      </c>
      <c r="AH15" s="688">
        <f>IFERROR(VLOOKUP($A15,'[93]10月'!$A:$H,8,0),0)</f>
        <v>0</v>
      </c>
      <c r="AI15" s="688">
        <f>IFERROR(VLOOKUP($A15,'[93]11月'!$A:$H,8,0),0)</f>
        <v>0</v>
      </c>
      <c r="AJ15" s="688">
        <f>IFERROR(VLOOKUP($A15,'[93]12月'!$A:$H,8,0),0)</f>
        <v>0</v>
      </c>
      <c r="AK15" s="688">
        <f t="shared" si="7"/>
        <v>0</v>
      </c>
    </row>
    <row r="16" spans="1:37" ht="13.5" customHeight="1">
      <c r="A16" s="653" t="str">
        <f>'Budget-合并'!A16</f>
        <v>6405.03</v>
      </c>
      <c r="B16" s="653" t="str">
        <f>'Budget-合并'!B16</f>
        <v>教育费附加</v>
      </c>
      <c r="C16" s="687" t="str">
        <f>'Budget-合并'!C16</f>
        <v>VAT surcharge</v>
      </c>
      <c r="D16" s="676">
        <f t="shared" si="11"/>
        <v>0</v>
      </c>
      <c r="E16" s="676" t="e">
        <f>INDEX($Y16:AHV16,1,MATCH($E$6,$Y$6:$AJ$6))</f>
        <v>#N/A</v>
      </c>
      <c r="F16" s="676" t="e">
        <f t="shared" si="12"/>
        <v>#N/A</v>
      </c>
      <c r="G16" s="676">
        <f t="shared" ca="1" si="13"/>
        <v>0</v>
      </c>
      <c r="H16" s="676" t="e">
        <f t="shared" ca="1" si="14"/>
        <v>#N/A</v>
      </c>
      <c r="I16" s="676" t="e">
        <f t="shared" ca="1" si="5"/>
        <v>#N/A</v>
      </c>
      <c r="K16" s="676"/>
      <c r="L16" s="676"/>
      <c r="M16" s="676"/>
      <c r="N16" s="676"/>
      <c r="O16" s="676"/>
      <c r="P16" s="676"/>
      <c r="Q16" s="676"/>
      <c r="R16" s="676"/>
      <c r="S16" s="676"/>
      <c r="T16" s="676"/>
      <c r="U16" s="676"/>
      <c r="V16" s="676"/>
      <c r="W16" s="676">
        <f t="shared" si="15"/>
        <v>0</v>
      </c>
      <c r="Y16" s="688">
        <f>IFERROR(VLOOKUP(A16,'[93]1月'!$A:$H,8,0),0)</f>
        <v>0</v>
      </c>
      <c r="Z16" s="688">
        <f>IFERROR(VLOOKUP(A16,'[93]2月'!$A:$H,8,0),0)</f>
        <v>0</v>
      </c>
      <c r="AA16" s="688">
        <f>IFERROR(VLOOKUP($A16,'[93]3月'!$A:$H,8,0),0)</f>
        <v>0</v>
      </c>
      <c r="AB16" s="688">
        <f>IFERROR(VLOOKUP($A16,'[93]4月'!$A:$H,8,0),0)</f>
        <v>0</v>
      </c>
      <c r="AC16" s="688">
        <f>IFERROR(VLOOKUP($A16,'[93]5月'!$A:$H,8,0),0)</f>
        <v>0</v>
      </c>
      <c r="AD16" s="688">
        <f>IFERROR(VLOOKUP($A16,'[93]6月'!$A:$H,8,0),0)</f>
        <v>0</v>
      </c>
      <c r="AE16" s="688">
        <f>IFERROR(VLOOKUP($A16,'[93]7月'!$A:$H,8,0),0)</f>
        <v>0</v>
      </c>
      <c r="AF16" s="688">
        <f>IFERROR(VLOOKUP($A16,'[93]8月'!$A:$H,8,0),0)</f>
        <v>0</v>
      </c>
      <c r="AG16" s="688">
        <f>IFERROR(VLOOKUP($A16,'[93]9月'!$A:$H,8,0),0)</f>
        <v>0</v>
      </c>
      <c r="AH16" s="688">
        <f>IFERROR(VLOOKUP($A16,'[93]10月'!$A:$H,8,0),0)</f>
        <v>0</v>
      </c>
      <c r="AI16" s="688">
        <f>IFERROR(VLOOKUP($A16,'[93]11月'!$A:$H,8,0),0)</f>
        <v>0</v>
      </c>
      <c r="AJ16" s="688">
        <f>IFERROR(VLOOKUP($A16,'[93]12月'!$A:$H,8,0),0)</f>
        <v>0</v>
      </c>
      <c r="AK16" s="688">
        <f t="shared" si="7"/>
        <v>0</v>
      </c>
    </row>
    <row r="17" spans="1:37" ht="13.5" customHeight="1">
      <c r="A17" s="653" t="str">
        <f>'Budget-合并'!A17</f>
        <v>6405.04</v>
      </c>
      <c r="B17" s="653" t="str">
        <f>'Budget-合并'!B17</f>
        <v>地方教育附加</v>
      </c>
      <c r="C17" s="687" t="str">
        <f>'Budget-合并'!C17</f>
        <v>VAT surcharge</v>
      </c>
      <c r="D17" s="676">
        <f t="shared" si="11"/>
        <v>0</v>
      </c>
      <c r="E17" s="676" t="e">
        <f>INDEX($Y17:AHV17,1,MATCH($E$6,$Y$6:$AJ$6))</f>
        <v>#N/A</v>
      </c>
      <c r="F17" s="676" t="e">
        <f t="shared" si="12"/>
        <v>#N/A</v>
      </c>
      <c r="G17" s="676">
        <f t="shared" ca="1" si="13"/>
        <v>0</v>
      </c>
      <c r="H17" s="676" t="e">
        <f t="shared" ca="1" si="14"/>
        <v>#N/A</v>
      </c>
      <c r="I17" s="676" t="e">
        <f t="shared" ca="1" si="5"/>
        <v>#N/A</v>
      </c>
      <c r="K17" s="676"/>
      <c r="L17" s="676"/>
      <c r="M17" s="676"/>
      <c r="N17" s="676"/>
      <c r="O17" s="676"/>
      <c r="P17" s="676"/>
      <c r="Q17" s="676"/>
      <c r="R17" s="676"/>
      <c r="S17" s="676"/>
      <c r="T17" s="676"/>
      <c r="U17" s="676"/>
      <c r="V17" s="676"/>
      <c r="W17" s="676">
        <f t="shared" si="15"/>
        <v>0</v>
      </c>
      <c r="Y17" s="688">
        <f>IFERROR(VLOOKUP(A17,'[93]1月'!$A:$H,8,0),0)</f>
        <v>0</v>
      </c>
      <c r="Z17" s="688">
        <f>IFERROR(VLOOKUP(A17,'[93]2月'!$A:$H,8,0),0)</f>
        <v>0</v>
      </c>
      <c r="AA17" s="688">
        <f>IFERROR(VLOOKUP($A17,'[93]3月'!$A:$H,8,0),0)</f>
        <v>0</v>
      </c>
      <c r="AB17" s="688">
        <f>IFERROR(VLOOKUP($A17,'[93]4月'!$A:$H,8,0),0)</f>
        <v>0</v>
      </c>
      <c r="AC17" s="688">
        <f>IFERROR(VLOOKUP($A17,'[93]5月'!$A:$H,8,0),0)</f>
        <v>0</v>
      </c>
      <c r="AD17" s="688">
        <f>IFERROR(VLOOKUP($A17,'[93]6月'!$A:$H,8,0),0)</f>
        <v>0</v>
      </c>
      <c r="AE17" s="688">
        <f>IFERROR(VLOOKUP($A17,'[93]7月'!$A:$H,8,0),0)</f>
        <v>0</v>
      </c>
      <c r="AF17" s="688">
        <f>IFERROR(VLOOKUP($A17,'[93]8月'!$A:$H,8,0),0)</f>
        <v>0</v>
      </c>
      <c r="AG17" s="688">
        <f>IFERROR(VLOOKUP($A17,'[93]9月'!$A:$H,8,0),0)</f>
        <v>0</v>
      </c>
      <c r="AH17" s="688">
        <f>IFERROR(VLOOKUP($A17,'[93]10月'!$A:$H,8,0),0)</f>
        <v>0</v>
      </c>
      <c r="AI17" s="688">
        <f>IFERROR(VLOOKUP($A17,'[93]11月'!$A:$H,8,0),0)</f>
        <v>0</v>
      </c>
      <c r="AJ17" s="688">
        <f>IFERROR(VLOOKUP($A17,'[93]12月'!$A:$H,8,0),0)</f>
        <v>0</v>
      </c>
      <c r="AK17" s="688">
        <f t="shared" si="7"/>
        <v>0</v>
      </c>
    </row>
    <row r="18" spans="1:37" ht="13.5" customHeight="1">
      <c r="A18" s="653" t="str">
        <f>'Budget-合并'!A18</f>
        <v>6405.05</v>
      </c>
      <c r="B18" s="653" t="str">
        <f>'Budget-合并'!B18</f>
        <v>水利建设基金</v>
      </c>
      <c r="C18" s="687">
        <f>'Budget-合并'!C18</f>
        <v>0</v>
      </c>
      <c r="D18" s="676">
        <f t="shared" si="11"/>
        <v>0</v>
      </c>
      <c r="E18" s="676" t="e">
        <f>INDEX($Y18:AHV18,1,MATCH($E$6,$Y$6:$AJ$6))</f>
        <v>#N/A</v>
      </c>
      <c r="F18" s="676" t="e">
        <f t="shared" si="12"/>
        <v>#N/A</v>
      </c>
      <c r="G18" s="676">
        <f t="shared" ca="1" si="13"/>
        <v>0</v>
      </c>
      <c r="H18" s="676" t="e">
        <f t="shared" ca="1" si="14"/>
        <v>#N/A</v>
      </c>
      <c r="I18" s="676" t="e">
        <f t="shared" ca="1" si="5"/>
        <v>#N/A</v>
      </c>
      <c r="K18" s="676"/>
      <c r="L18" s="676"/>
      <c r="M18" s="676"/>
      <c r="N18" s="676"/>
      <c r="O18" s="676"/>
      <c r="P18" s="676"/>
      <c r="Q18" s="676"/>
      <c r="R18" s="676"/>
      <c r="S18" s="676"/>
      <c r="T18" s="676"/>
      <c r="U18" s="676"/>
      <c r="V18" s="676"/>
      <c r="W18" s="676">
        <f t="shared" si="15"/>
        <v>0</v>
      </c>
      <c r="Y18" s="688">
        <f>IFERROR(VLOOKUP(A18,'[93]1月'!$A:$H,8,0),0)</f>
        <v>0</v>
      </c>
      <c r="Z18" s="688">
        <f>IFERROR(VLOOKUP(A18,'[93]2月'!$A:$H,8,0),0)</f>
        <v>0</v>
      </c>
      <c r="AA18" s="688">
        <f>IFERROR(VLOOKUP($A18,'[93]3月'!$A:$H,8,0),0)</f>
        <v>0</v>
      </c>
      <c r="AB18" s="688">
        <f>IFERROR(VLOOKUP($A18,'[93]4月'!$A:$H,8,0),0)</f>
        <v>0</v>
      </c>
      <c r="AC18" s="688">
        <f>IFERROR(VLOOKUP($A18,'[93]5月'!$A:$H,8,0),0)</f>
        <v>0</v>
      </c>
      <c r="AD18" s="688">
        <f>IFERROR(VLOOKUP($A18,'[93]6月'!$A:$H,8,0),0)</f>
        <v>0</v>
      </c>
      <c r="AE18" s="688">
        <f>IFERROR(VLOOKUP($A18,'[93]7月'!$A:$H,8,0),0)</f>
        <v>0</v>
      </c>
      <c r="AF18" s="688">
        <f>IFERROR(VLOOKUP($A18,'[93]8月'!$A:$H,8,0),0)</f>
        <v>0</v>
      </c>
      <c r="AG18" s="688">
        <f>IFERROR(VLOOKUP($A18,'[93]9月'!$A:$H,8,0),0)</f>
        <v>0</v>
      </c>
      <c r="AH18" s="688">
        <f>IFERROR(VLOOKUP($A18,'[93]10月'!$A:$H,8,0),0)</f>
        <v>0</v>
      </c>
      <c r="AI18" s="688">
        <f>IFERROR(VLOOKUP($A18,'[93]11月'!$A:$H,8,0),0)</f>
        <v>0</v>
      </c>
      <c r="AJ18" s="688">
        <f>IFERROR(VLOOKUP($A18,'[93]12月'!$A:$H,8,0),0)</f>
        <v>0</v>
      </c>
      <c r="AK18" s="688">
        <f t="shared" si="7"/>
        <v>0</v>
      </c>
    </row>
    <row r="19" spans="1:37" s="680" customFormat="1" ht="13.5" customHeight="1">
      <c r="A19" s="686">
        <f>'Budget-合并'!A19</f>
        <v>6401</v>
      </c>
      <c r="B19" s="686" t="str">
        <f>'Budget-合并'!B19</f>
        <v>税金及附加小计</v>
      </c>
      <c r="C19" s="687">
        <f>'Budget-合并'!C19</f>
        <v>0</v>
      </c>
      <c r="D19" s="654">
        <f t="shared" si="11"/>
        <v>0</v>
      </c>
      <c r="E19" s="654" t="e">
        <f>INDEX($Y19:AHV19,1,MATCH($E$6,$Y$6:$AJ$6))</f>
        <v>#N/A</v>
      </c>
      <c r="F19" s="654" t="e">
        <f t="shared" ref="F19:F42" si="16">D19-E19</f>
        <v>#N/A</v>
      </c>
      <c r="G19" s="654">
        <f t="shared" ca="1" si="13"/>
        <v>0</v>
      </c>
      <c r="H19" s="654" t="e">
        <f t="shared" ca="1" si="14"/>
        <v>#N/A</v>
      </c>
      <c r="I19" s="654" t="e">
        <f t="shared" ca="1" si="5"/>
        <v>#N/A</v>
      </c>
      <c r="J19" s="654"/>
      <c r="K19" s="654">
        <f t="shared" ref="K19:W19" si="17">SUM(K14:K18)</f>
        <v>0</v>
      </c>
      <c r="L19" s="654">
        <f t="shared" si="17"/>
        <v>0</v>
      </c>
      <c r="M19" s="654">
        <f t="shared" si="17"/>
        <v>0</v>
      </c>
      <c r="N19" s="654">
        <f t="shared" si="17"/>
        <v>0</v>
      </c>
      <c r="O19" s="654">
        <f t="shared" si="17"/>
        <v>0</v>
      </c>
      <c r="P19" s="654">
        <f t="shared" si="17"/>
        <v>0</v>
      </c>
      <c r="Q19" s="654">
        <f t="shared" si="17"/>
        <v>0</v>
      </c>
      <c r="R19" s="654">
        <f t="shared" si="17"/>
        <v>0</v>
      </c>
      <c r="S19" s="654">
        <f t="shared" si="17"/>
        <v>0</v>
      </c>
      <c r="T19" s="654">
        <f t="shared" si="17"/>
        <v>0</v>
      </c>
      <c r="U19" s="654">
        <f t="shared" si="17"/>
        <v>0</v>
      </c>
      <c r="V19" s="654">
        <f t="shared" si="17"/>
        <v>0</v>
      </c>
      <c r="W19" s="654">
        <f t="shared" si="17"/>
        <v>0</v>
      </c>
      <c r="Y19" s="654">
        <f>SUM(Y14:Y18)</f>
        <v>0</v>
      </c>
      <c r="Z19" s="654">
        <f t="shared" ref="Z19:AK19" si="18">SUM(Z14:Z18)</f>
        <v>0</v>
      </c>
      <c r="AA19" s="654">
        <f t="shared" si="18"/>
        <v>0</v>
      </c>
      <c r="AB19" s="654">
        <f t="shared" si="18"/>
        <v>0</v>
      </c>
      <c r="AC19" s="654">
        <f t="shared" si="18"/>
        <v>0</v>
      </c>
      <c r="AD19" s="654">
        <f t="shared" si="18"/>
        <v>0</v>
      </c>
      <c r="AE19" s="654">
        <f t="shared" si="18"/>
        <v>0</v>
      </c>
      <c r="AF19" s="654">
        <f t="shared" si="18"/>
        <v>0</v>
      </c>
      <c r="AG19" s="654">
        <f t="shared" si="18"/>
        <v>0</v>
      </c>
      <c r="AH19" s="654">
        <f t="shared" si="18"/>
        <v>0</v>
      </c>
      <c r="AI19" s="654">
        <f t="shared" si="18"/>
        <v>0</v>
      </c>
      <c r="AJ19" s="654">
        <f t="shared" si="18"/>
        <v>0</v>
      </c>
      <c r="AK19" s="654">
        <f t="shared" si="18"/>
        <v>0</v>
      </c>
    </row>
    <row r="20" spans="1:37" ht="13.5" customHeight="1">
      <c r="A20" s="653">
        <f>'Budget-合并'!A20</f>
        <v>0</v>
      </c>
      <c r="B20" s="653">
        <f>'Budget-合并'!B20</f>
        <v>0</v>
      </c>
      <c r="C20" s="687">
        <f>'Budget-合并'!C20</f>
        <v>0</v>
      </c>
      <c r="K20" s="654"/>
      <c r="L20" s="654"/>
      <c r="M20" s="654"/>
      <c r="N20" s="654"/>
      <c r="O20" s="654"/>
      <c r="P20" s="654"/>
      <c r="Q20" s="654"/>
      <c r="R20" s="654"/>
      <c r="S20" s="654"/>
      <c r="T20" s="654"/>
      <c r="U20" s="654"/>
      <c r="V20" s="654"/>
      <c r="W20" s="654"/>
    </row>
    <row r="21" spans="1:37" ht="13.5" customHeight="1">
      <c r="A21" s="653">
        <f>'Budget-合并'!A21</f>
        <v>0</v>
      </c>
      <c r="B21" s="653">
        <f>'Budget-合并'!B21</f>
        <v>0</v>
      </c>
      <c r="C21" s="687">
        <f>'Budget-合并'!C21</f>
        <v>0</v>
      </c>
      <c r="D21" s="677"/>
      <c r="E21" s="677"/>
      <c r="F21" s="677"/>
      <c r="G21" s="677"/>
      <c r="H21" s="677"/>
      <c r="I21" s="677"/>
      <c r="K21" s="677"/>
      <c r="L21" s="677"/>
      <c r="M21" s="677"/>
      <c r="N21" s="677"/>
      <c r="O21" s="677"/>
      <c r="P21" s="677"/>
      <c r="Q21" s="677"/>
      <c r="R21" s="677"/>
      <c r="S21" s="677"/>
      <c r="T21" s="677"/>
      <c r="U21" s="677"/>
      <c r="V21" s="677"/>
      <c r="W21" s="677"/>
    </row>
    <row r="22" spans="1:37" ht="13.5" customHeight="1">
      <c r="A22" s="686" t="str">
        <f>'Budget-合并'!A22</f>
        <v>6602</v>
      </c>
      <c r="B22" s="686" t="str">
        <f>'Budget-合并'!B22</f>
        <v>管理费用</v>
      </c>
      <c r="C22" s="687">
        <f>'Budget-合并'!C22</f>
        <v>0</v>
      </c>
      <c r="D22" s="677"/>
      <c r="E22" s="677"/>
      <c r="F22" s="677"/>
      <c r="G22" s="677"/>
      <c r="H22" s="677"/>
      <c r="I22" s="677"/>
      <c r="K22" s="677"/>
      <c r="L22" s="677"/>
      <c r="M22" s="677"/>
      <c r="N22" s="677"/>
      <c r="O22" s="677"/>
      <c r="P22" s="677"/>
      <c r="Q22" s="677"/>
      <c r="R22" s="677"/>
      <c r="S22" s="677"/>
      <c r="T22" s="677"/>
      <c r="U22" s="677"/>
      <c r="V22" s="677"/>
      <c r="W22" s="677"/>
    </row>
    <row r="23" spans="1:37" ht="13.5" customHeight="1">
      <c r="A23" s="663" t="str">
        <f>'Budget-合并'!A23</f>
        <v>6602.01</v>
      </c>
      <c r="B23" s="663" t="str">
        <f>'Budget-合并'!B23</f>
        <v>工资薪金</v>
      </c>
      <c r="C23" s="687">
        <f>'Budget-合并'!C23</f>
        <v>0</v>
      </c>
      <c r="D23" s="676">
        <f t="shared" ref="D23:D42" ca="1" si="19">INDEX($K23:$V23,1,MATCH($D$6,$K$6:$V$6))</f>
        <v>215000</v>
      </c>
      <c r="E23" s="676" t="e">
        <f>INDEX($Y23:AHV23,1,MATCH($E$6,$Y$6:$AJ$6))</f>
        <v>#N/A</v>
      </c>
      <c r="F23" s="676" t="e">
        <f t="shared" ca="1" si="16"/>
        <v>#N/A</v>
      </c>
      <c r="G23" s="676">
        <f t="shared" ref="G23:G42" ca="1" si="20">SUM($K23:OFFSET($K23,0,MATCH(G$6,$K$6:$V$6)-1))</f>
        <v>215000</v>
      </c>
      <c r="H23" s="676" t="e">
        <f t="shared" ref="H23:H42" ca="1" si="21">SUM($Y23:OFFSET($Y23,0,MATCH(H$6,$Y$6:$AJ$6)-1))</f>
        <v>#N/A</v>
      </c>
      <c r="I23" s="676" t="e">
        <f t="shared" ref="I23:I42" ca="1" si="22">G23-H23</f>
        <v>#N/A</v>
      </c>
      <c r="K23" s="676">
        <f t="shared" ref="K23:V23" ca="1" si="23">SUM(K24:K32)</f>
        <v>215000</v>
      </c>
      <c r="L23" s="676">
        <f t="shared" ca="1" si="23"/>
        <v>215000</v>
      </c>
      <c r="M23" s="676">
        <f t="shared" ca="1" si="23"/>
        <v>215000</v>
      </c>
      <c r="N23" s="676">
        <f t="shared" ca="1" si="23"/>
        <v>576000</v>
      </c>
      <c r="O23" s="676">
        <f t="shared" ca="1" si="23"/>
        <v>255000</v>
      </c>
      <c r="P23" s="676">
        <f t="shared" ca="1" si="23"/>
        <v>255000</v>
      </c>
      <c r="Q23" s="676">
        <f t="shared" ca="1" si="23"/>
        <v>255000</v>
      </c>
      <c r="R23" s="676">
        <f t="shared" ca="1" si="23"/>
        <v>255000</v>
      </c>
      <c r="S23" s="676">
        <f t="shared" ca="1" si="23"/>
        <v>255000</v>
      </c>
      <c r="T23" s="676">
        <f t="shared" ca="1" si="23"/>
        <v>255000</v>
      </c>
      <c r="U23" s="676">
        <f t="shared" ca="1" si="23"/>
        <v>255000</v>
      </c>
      <c r="V23" s="676">
        <f t="shared" ca="1" si="23"/>
        <v>255000</v>
      </c>
      <c r="W23" s="676">
        <f t="shared" ref="W23:W86" ca="1" si="24">SUM(K23:V23)</f>
        <v>3261000</v>
      </c>
      <c r="Y23" s="688">
        <f>IFERROR(VLOOKUP(A23,'[93]1月'!$A:$H,8,0),0)</f>
        <v>238500</v>
      </c>
      <c r="Z23" s="688">
        <f>IFERROR(VLOOKUP(A23,'[93]2月'!$A:$H,8,0),0)</f>
        <v>246545.98</v>
      </c>
      <c r="AA23" s="688">
        <f>IFERROR(VLOOKUP($A23,'[93]3月'!$A:$H,8,0),0)</f>
        <v>273500</v>
      </c>
      <c r="AB23" s="688">
        <f>IFERROR(VLOOKUP($A23,'[93]4月'!$A:$H,8,0),0)</f>
        <v>273500</v>
      </c>
      <c r="AC23" s="688">
        <f>IFERROR(VLOOKUP($A23,'[93]5月'!$A:$H,8,0),0)</f>
        <v>337867.82</v>
      </c>
      <c r="AD23" s="688">
        <f>IFERROR(VLOOKUP($A23,'[93]6月'!$A:$H,8,0),0)</f>
        <v>278500</v>
      </c>
      <c r="AE23" s="688">
        <f>IFERROR(VLOOKUP($A23,'[93]7月'!$A:$H,8,0),0)</f>
        <v>285000</v>
      </c>
      <c r="AF23" s="688">
        <f>IFERROR(VLOOKUP($A23,'[93]8月'!$A:$H,8,0),0)</f>
        <v>285000</v>
      </c>
      <c r="AG23" s="688">
        <f>IFERROR(VLOOKUP($A23,'[93]9月'!$A:$H,8,0),0)</f>
        <v>285000</v>
      </c>
      <c r="AH23" s="688">
        <f>IFERROR(VLOOKUP($A23,'[93]10月'!$A:$H,8,0),0)</f>
        <v>285000</v>
      </c>
      <c r="AI23" s="688">
        <f>IFERROR(VLOOKUP($A23,'[93]11月'!$A:$H,8,0),0)</f>
        <v>285000</v>
      </c>
      <c r="AJ23" s="688">
        <f>IFERROR(VLOOKUP($A23,'[93]12月'!$A:$H,8,0),0)</f>
        <v>276149.43</v>
      </c>
      <c r="AK23" s="688">
        <f t="shared" ref="AK23:AK41" si="25">SUM(Y23:AJ23)</f>
        <v>3349563.23</v>
      </c>
    </row>
    <row r="24" spans="1:37" ht="13.5" customHeight="1">
      <c r="A24" s="653" t="str">
        <f>'Budget-合并'!A24</f>
        <v>6602.01.01</v>
      </c>
      <c r="B24" s="653" t="str">
        <f>'Budget-合并'!B24</f>
        <v>基本工资（专业）</v>
      </c>
      <c r="C24" s="687" t="str">
        <f>'Budget-合并'!C24</f>
        <v>Salary Professional</v>
      </c>
      <c r="D24" s="676">
        <f t="shared" ca="1" si="19"/>
        <v>215000</v>
      </c>
      <c r="E24" s="676" t="e">
        <f>INDEX($Y24:AHV24,1,MATCH($E$6,$Y$6:$AJ$6))</f>
        <v>#N/A</v>
      </c>
      <c r="F24" s="676" t="e">
        <f t="shared" ca="1" si="16"/>
        <v>#N/A</v>
      </c>
      <c r="G24" s="676">
        <f t="shared" ca="1" si="20"/>
        <v>215000</v>
      </c>
      <c r="H24" s="676" t="e">
        <f t="shared" ca="1" si="21"/>
        <v>#N/A</v>
      </c>
      <c r="I24" s="676" t="e">
        <f t="shared" ca="1" si="22"/>
        <v>#N/A</v>
      </c>
      <c r="K24" s="676">
        <f ca="1">INDEX('Personnel-CN'!$W$45:$AV$45,MATCH(K$6,'Personnel-CN'!$W$15:$AV$15,0))</f>
        <v>215000</v>
      </c>
      <c r="L24" s="676">
        <f ca="1">INDEX('Personnel-CN'!$W$45:$AV$45,MATCH(L$6,'Personnel-CN'!$W$15:$AV$15,0))</f>
        <v>215000</v>
      </c>
      <c r="M24" s="676">
        <f ca="1">INDEX('Personnel-CN'!$W$45:$AV$45,MATCH(M$6,'Personnel-CN'!$W$15:$AV$15,0))</f>
        <v>215000</v>
      </c>
      <c r="N24" s="676">
        <f ca="1">INDEX('Personnel-CN'!$W$45:$AV$45,MATCH(N$6,'Personnel-CN'!$W$15:$AV$15,0))</f>
        <v>255000</v>
      </c>
      <c r="O24" s="676">
        <f ca="1">INDEX('Personnel-CN'!$W$45:$AV$45,MATCH(O$6,'Personnel-CN'!$W$15:$AV$15,0))</f>
        <v>255000</v>
      </c>
      <c r="P24" s="676">
        <f ca="1">INDEX('Personnel-CN'!$W$45:$AV$45,MATCH(P$6,'Personnel-CN'!$W$15:$AV$15,0))</f>
        <v>255000</v>
      </c>
      <c r="Q24" s="676">
        <f ca="1">INDEX('Personnel-CN'!$W$45:$AV$45,MATCH(Q$6,'Personnel-CN'!$W$15:$AV$15,0))</f>
        <v>255000</v>
      </c>
      <c r="R24" s="676">
        <f ca="1">INDEX('Personnel-CN'!$W$45:$AV$45,MATCH(R$6,'Personnel-CN'!$W$15:$AV$15,0))</f>
        <v>255000</v>
      </c>
      <c r="S24" s="676">
        <f ca="1">INDEX('Personnel-CN'!$W$45:$AV$45,MATCH(S$6,'Personnel-CN'!$W$15:$AV$15,0))</f>
        <v>255000</v>
      </c>
      <c r="T24" s="676">
        <f ca="1">INDEX('Personnel-CN'!$W$45:$AV$45,MATCH(T$6,'Personnel-CN'!$W$15:$AV$15,0))</f>
        <v>255000</v>
      </c>
      <c r="U24" s="676">
        <f ca="1">INDEX('Personnel-CN'!$W$45:$AV$45,MATCH(U$6,'Personnel-CN'!$W$15:$AV$15,0))</f>
        <v>255000</v>
      </c>
      <c r="V24" s="676">
        <f ca="1">INDEX('Personnel-CN'!$W$45:$AV$45,MATCH(V$6,'Personnel-CN'!$W$15:$AV$15,0))</f>
        <v>255000</v>
      </c>
      <c r="W24" s="676">
        <f t="shared" ca="1" si="24"/>
        <v>2940000</v>
      </c>
      <c r="Y24" s="688">
        <f>IFERROR(VLOOKUP(A24,'[93]1月'!$A:$H,8,0),0)</f>
        <v>238500</v>
      </c>
      <c r="Z24" s="688">
        <f>IFERROR(VLOOKUP(A24,'[93]2月'!$A:$H,8,0),0)</f>
        <v>246545.98</v>
      </c>
      <c r="AA24" s="688">
        <f>IFERROR(VLOOKUP($A24,'[93]3月'!$A:$H,8,0),0)</f>
        <v>273500</v>
      </c>
      <c r="AB24" s="688">
        <f>IFERROR(VLOOKUP($A24,'[93]4月'!$A:$H,8,0),0)</f>
        <v>273500</v>
      </c>
      <c r="AC24" s="688">
        <f>IFERROR(VLOOKUP($A24,'[93]5月'!$A:$H,8,0),0)</f>
        <v>337867.82</v>
      </c>
      <c r="AD24" s="688">
        <f>IFERROR(VLOOKUP($A24,'[93]6月'!$A:$H,8,0),0)</f>
        <v>278500</v>
      </c>
      <c r="AE24" s="688">
        <f>IFERROR(VLOOKUP($A24,'[93]7月'!$A:$H,8,0),0)</f>
        <v>285000</v>
      </c>
      <c r="AF24" s="688">
        <f>IFERROR(VLOOKUP($A24,'[93]8月'!$A:$H,8,0),0)</f>
        <v>285000</v>
      </c>
      <c r="AG24" s="688">
        <f>IFERROR(VLOOKUP($A24,'[93]9月'!$A:$H,8,0),0)</f>
        <v>285000</v>
      </c>
      <c r="AH24" s="688">
        <f>IFERROR(VLOOKUP($A24,'[93]10月'!$A:$H,8,0),0)</f>
        <v>285000</v>
      </c>
      <c r="AI24" s="688">
        <f>IFERROR(VLOOKUP($A24,'[93]11月'!$A:$H,8,0),0)</f>
        <v>285000</v>
      </c>
      <c r="AJ24" s="688">
        <f>IFERROR(VLOOKUP($A24,'[93]12月'!$A:$H,8,0),0)</f>
        <v>276149.43</v>
      </c>
      <c r="AK24" s="688">
        <f t="shared" si="25"/>
        <v>3349563.23</v>
      </c>
    </row>
    <row r="25" spans="1:37" ht="13.5" customHeight="1">
      <c r="A25" s="653" t="str">
        <f>'Budget-合并'!A25</f>
        <v>6602.01.02</v>
      </c>
      <c r="B25" s="653" t="str">
        <f>'Budget-合并'!B25</f>
        <v>加班费</v>
      </c>
      <c r="C25" s="687">
        <f>'Budget-合并'!C25</f>
        <v>0</v>
      </c>
      <c r="D25" s="676">
        <f t="shared" si="19"/>
        <v>0</v>
      </c>
      <c r="E25" s="676" t="e">
        <f>INDEX($Y25:AHV25,1,MATCH($E$6,$Y$6:$AJ$6))</f>
        <v>#N/A</v>
      </c>
      <c r="F25" s="676" t="e">
        <f t="shared" si="16"/>
        <v>#N/A</v>
      </c>
      <c r="G25" s="676">
        <f t="shared" ca="1" si="20"/>
        <v>0</v>
      </c>
      <c r="H25" s="676" t="e">
        <f t="shared" ca="1" si="21"/>
        <v>#N/A</v>
      </c>
      <c r="I25" s="676" t="e">
        <f t="shared" ca="1" si="22"/>
        <v>#N/A</v>
      </c>
      <c r="K25" s="676"/>
      <c r="L25" s="676"/>
      <c r="M25" s="676"/>
      <c r="N25" s="676"/>
      <c r="O25" s="676"/>
      <c r="P25" s="676"/>
      <c r="Q25" s="676"/>
      <c r="R25" s="676"/>
      <c r="S25" s="676"/>
      <c r="T25" s="676"/>
      <c r="U25" s="676"/>
      <c r="V25" s="676"/>
      <c r="W25" s="676">
        <f t="shared" si="24"/>
        <v>0</v>
      </c>
      <c r="Y25" s="688">
        <f>IFERROR(VLOOKUP(A25,'[93]1月'!$A:$H,8,0),0)</f>
        <v>0</v>
      </c>
      <c r="Z25" s="688">
        <f>IFERROR(VLOOKUP(A25,'[93]2月'!$A:$H,8,0),0)</f>
        <v>0</v>
      </c>
      <c r="AA25" s="688">
        <f>IFERROR(VLOOKUP($A25,'[93]3月'!$A:$H,8,0),0)</f>
        <v>0</v>
      </c>
      <c r="AB25" s="688">
        <f>IFERROR(VLOOKUP($A25,'[93]4月'!$A:$H,8,0),0)</f>
        <v>0</v>
      </c>
      <c r="AC25" s="688">
        <f>IFERROR(VLOOKUP($A25,'[93]5月'!$A:$H,8,0),0)</f>
        <v>0</v>
      </c>
      <c r="AD25" s="688">
        <f>IFERROR(VLOOKUP($A25,'[93]6月'!$A:$H,8,0),0)</f>
        <v>0</v>
      </c>
      <c r="AE25" s="688">
        <f>IFERROR(VLOOKUP($A25,'[93]7月'!$A:$H,8,0),0)</f>
        <v>0</v>
      </c>
      <c r="AF25" s="688">
        <f>IFERROR(VLOOKUP($A25,'[93]8月'!$A:$H,8,0),0)</f>
        <v>0</v>
      </c>
      <c r="AG25" s="688">
        <f>IFERROR(VLOOKUP($A25,'[93]9月'!$A:$H,8,0),0)</f>
        <v>0</v>
      </c>
      <c r="AH25" s="688">
        <f>IFERROR(VLOOKUP($A25,'[93]10月'!$A:$H,8,0),0)</f>
        <v>0</v>
      </c>
      <c r="AI25" s="688">
        <f>IFERROR(VLOOKUP($A25,'[93]11月'!$A:$H,8,0),0)</f>
        <v>0</v>
      </c>
      <c r="AJ25" s="688">
        <f>IFERROR(VLOOKUP($A25,'[93]12月'!$A:$H,8,0),0)</f>
        <v>0</v>
      </c>
      <c r="AK25" s="688">
        <f t="shared" si="25"/>
        <v>0</v>
      </c>
    </row>
    <row r="26" spans="1:37" ht="13.5" customHeight="1">
      <c r="A26" s="653" t="str">
        <f>'Budget-合并'!A26</f>
        <v>6602.01.03</v>
      </c>
      <c r="B26" s="653" t="str">
        <f>'Budget-合并'!B26</f>
        <v>员工奖金（专业）</v>
      </c>
      <c r="C26" s="687" t="str">
        <f>'Budget-合并'!C26</f>
        <v>Bonus Expense - Professional</v>
      </c>
      <c r="D26" s="676">
        <f t="shared" si="19"/>
        <v>0</v>
      </c>
      <c r="E26" s="676" t="e">
        <f>INDEX($Y26:AHV26,1,MATCH($E$6,$Y$6:$AJ$6))</f>
        <v>#N/A</v>
      </c>
      <c r="F26" s="676" t="e">
        <f t="shared" si="16"/>
        <v>#N/A</v>
      </c>
      <c r="G26" s="676">
        <f t="shared" ca="1" si="20"/>
        <v>0</v>
      </c>
      <c r="H26" s="676" t="e">
        <f t="shared" ca="1" si="21"/>
        <v>#N/A</v>
      </c>
      <c r="I26" s="676" t="e">
        <f t="shared" ca="1" si="22"/>
        <v>#N/A</v>
      </c>
      <c r="K26" s="676"/>
      <c r="L26" s="676"/>
      <c r="M26" s="676"/>
      <c r="N26" s="676">
        <v>321000</v>
      </c>
      <c r="O26" s="676"/>
      <c r="P26" s="676"/>
      <c r="Q26" s="676"/>
      <c r="R26" s="676"/>
      <c r="S26" s="676"/>
      <c r="T26" s="676"/>
      <c r="U26" s="676"/>
      <c r="V26" s="676"/>
      <c r="W26" s="676">
        <f t="shared" si="24"/>
        <v>321000</v>
      </c>
      <c r="Y26" s="688">
        <f>IFERROR(VLOOKUP(A26,'[93]1月'!$A:$H,8,0),0)</f>
        <v>0</v>
      </c>
      <c r="Z26" s="688">
        <f>IFERROR(VLOOKUP(A26,'[93]2月'!$A:$H,8,0),0)</f>
        <v>0</v>
      </c>
      <c r="AA26" s="688">
        <f>IFERROR(VLOOKUP($A26,'[93]3月'!$A:$H,8,0),0)</f>
        <v>0</v>
      </c>
      <c r="AB26" s="688">
        <f>IFERROR(VLOOKUP($A26,'[93]4月'!$A:$H,8,0),0)</f>
        <v>0</v>
      </c>
      <c r="AC26" s="688">
        <f>IFERROR(VLOOKUP($A26,'[93]5月'!$A:$H,8,0),0)</f>
        <v>0</v>
      </c>
      <c r="AD26" s="688">
        <f>IFERROR(VLOOKUP($A26,'[93]6月'!$A:$H,8,0),0)</f>
        <v>0</v>
      </c>
      <c r="AE26" s="688">
        <f>IFERROR(VLOOKUP($A26,'[93]7月'!$A:$H,8,0),0)</f>
        <v>0</v>
      </c>
      <c r="AF26" s="688">
        <f>IFERROR(VLOOKUP($A26,'[93]8月'!$A:$H,8,0),0)</f>
        <v>0</v>
      </c>
      <c r="AG26" s="688">
        <f>IFERROR(VLOOKUP($A26,'[93]9月'!$A:$H,8,0),0)</f>
        <v>0</v>
      </c>
      <c r="AH26" s="688">
        <f>IFERROR(VLOOKUP($A26,'[93]10月'!$A:$H,8,0),0)</f>
        <v>0</v>
      </c>
      <c r="AI26" s="688">
        <f>IFERROR(VLOOKUP($A26,'[93]11月'!$A:$H,8,0),0)</f>
        <v>0</v>
      </c>
      <c r="AJ26" s="688">
        <f>IFERROR(VLOOKUP($A26,'[93]12月'!$A:$H,8,0),0)</f>
        <v>0</v>
      </c>
      <c r="AK26" s="688">
        <f t="shared" si="25"/>
        <v>0</v>
      </c>
    </row>
    <row r="27" spans="1:37" ht="13.5" customHeight="1">
      <c r="A27" s="653" t="str">
        <f>'Budget-合并'!A27</f>
        <v>6602.01.04</v>
      </c>
      <c r="B27" s="653" t="str">
        <f>'Budget-合并'!B27</f>
        <v>员工遣散费</v>
      </c>
      <c r="C27" s="687">
        <f>'Budget-合并'!C27</f>
        <v>0</v>
      </c>
      <c r="D27" s="676">
        <f t="shared" si="19"/>
        <v>0</v>
      </c>
      <c r="E27" s="676" t="e">
        <f>INDEX($Y27:AHV27,1,MATCH($E$6,$Y$6:$AJ$6))</f>
        <v>#N/A</v>
      </c>
      <c r="F27" s="676" t="e">
        <f t="shared" si="16"/>
        <v>#N/A</v>
      </c>
      <c r="G27" s="676">
        <f t="shared" ca="1" si="20"/>
        <v>0</v>
      </c>
      <c r="H27" s="676" t="e">
        <f t="shared" ca="1" si="21"/>
        <v>#N/A</v>
      </c>
      <c r="I27" s="676" t="e">
        <f t="shared" ca="1" si="22"/>
        <v>#N/A</v>
      </c>
      <c r="K27" s="676"/>
      <c r="L27" s="676"/>
      <c r="M27" s="676"/>
      <c r="N27" s="676"/>
      <c r="O27" s="676"/>
      <c r="P27" s="676"/>
      <c r="Q27" s="676"/>
      <c r="R27" s="676"/>
      <c r="S27" s="676"/>
      <c r="T27" s="676"/>
      <c r="U27" s="676"/>
      <c r="V27" s="676"/>
      <c r="W27" s="676">
        <f t="shared" si="24"/>
        <v>0</v>
      </c>
      <c r="Y27" s="688">
        <f>IFERROR(VLOOKUP(A27,'[93]1月'!$A:$H,8,0),0)</f>
        <v>0</v>
      </c>
      <c r="Z27" s="688">
        <f>IFERROR(VLOOKUP(A27,'[93]2月'!$A:$H,8,0),0)</f>
        <v>0</v>
      </c>
      <c r="AA27" s="688">
        <f>IFERROR(VLOOKUP($A27,'[93]3月'!$A:$H,8,0),0)</f>
        <v>0</v>
      </c>
      <c r="AB27" s="688">
        <f>IFERROR(VLOOKUP($A27,'[93]4月'!$A:$H,8,0),0)</f>
        <v>0</v>
      </c>
      <c r="AC27" s="688">
        <f>IFERROR(VLOOKUP($A27,'[93]5月'!$A:$H,8,0),0)</f>
        <v>0</v>
      </c>
      <c r="AD27" s="688">
        <f>IFERROR(VLOOKUP($A27,'[93]6月'!$A:$H,8,0),0)</f>
        <v>0</v>
      </c>
      <c r="AE27" s="688">
        <f>IFERROR(VLOOKUP($A27,'[93]7月'!$A:$H,8,0),0)</f>
        <v>0</v>
      </c>
      <c r="AF27" s="688">
        <f>IFERROR(VLOOKUP($A27,'[93]8月'!$A:$H,8,0),0)</f>
        <v>0</v>
      </c>
      <c r="AG27" s="688">
        <f>IFERROR(VLOOKUP($A27,'[93]9月'!$A:$H,8,0),0)</f>
        <v>0</v>
      </c>
      <c r="AH27" s="688">
        <f>IFERROR(VLOOKUP($A27,'[93]10月'!$A:$H,8,0),0)</f>
        <v>0</v>
      </c>
      <c r="AI27" s="688">
        <f>IFERROR(VLOOKUP($A27,'[93]11月'!$A:$H,8,0),0)</f>
        <v>0</v>
      </c>
      <c r="AJ27" s="688">
        <f>IFERROR(VLOOKUP($A27,'[93]12月'!$A:$H,8,0),0)</f>
        <v>0</v>
      </c>
      <c r="AK27" s="688">
        <f t="shared" si="25"/>
        <v>0</v>
      </c>
    </row>
    <row r="28" spans="1:37" ht="13.5" customHeight="1">
      <c r="A28" s="653" t="str">
        <f>'Budget-合并'!A28</f>
        <v>6602.01.05</v>
      </c>
      <c r="B28" s="653" t="str">
        <f>'Budget-合并'!B28</f>
        <v>员工假期</v>
      </c>
      <c r="C28" s="687" t="str">
        <f>'Budget-合并'!C28</f>
        <v>Unused Leave Expense</v>
      </c>
      <c r="D28" s="676">
        <f t="shared" si="19"/>
        <v>0</v>
      </c>
      <c r="E28" s="676" t="e">
        <f>INDEX($Y28:AHV28,1,MATCH($E$6,$Y$6:$AJ$6))</f>
        <v>#N/A</v>
      </c>
      <c r="F28" s="676" t="e">
        <f t="shared" si="16"/>
        <v>#N/A</v>
      </c>
      <c r="G28" s="676">
        <f t="shared" ca="1" si="20"/>
        <v>0</v>
      </c>
      <c r="H28" s="676" t="e">
        <f t="shared" ca="1" si="21"/>
        <v>#N/A</v>
      </c>
      <c r="I28" s="676" t="e">
        <f t="shared" ca="1" si="22"/>
        <v>#N/A</v>
      </c>
      <c r="K28" s="676"/>
      <c r="L28" s="676"/>
      <c r="M28" s="676"/>
      <c r="N28" s="676"/>
      <c r="O28" s="676"/>
      <c r="P28" s="676"/>
      <c r="Q28" s="676"/>
      <c r="R28" s="676"/>
      <c r="S28" s="676"/>
      <c r="T28" s="676"/>
      <c r="U28" s="676"/>
      <c r="V28" s="676"/>
      <c r="W28" s="676">
        <f t="shared" si="24"/>
        <v>0</v>
      </c>
      <c r="Y28" s="688">
        <f>IFERROR(VLOOKUP(A28,'[93]1月'!$A:$H,8,0),0)</f>
        <v>0</v>
      </c>
      <c r="Z28" s="688">
        <f>IFERROR(VLOOKUP(A28,'[93]2月'!$A:$H,8,0),0)</f>
        <v>0</v>
      </c>
      <c r="AA28" s="688">
        <f>IFERROR(VLOOKUP($A28,'[93]3月'!$A:$H,8,0),0)</f>
        <v>0</v>
      </c>
      <c r="AB28" s="688">
        <f>IFERROR(VLOOKUP($A28,'[93]4月'!$A:$H,8,0),0)</f>
        <v>0</v>
      </c>
      <c r="AC28" s="688">
        <f>IFERROR(VLOOKUP($A28,'[93]5月'!$A:$H,8,0),0)</f>
        <v>0</v>
      </c>
      <c r="AD28" s="688">
        <f>IFERROR(VLOOKUP($A28,'[93]6月'!$A:$H,8,0),0)</f>
        <v>0</v>
      </c>
      <c r="AE28" s="688">
        <f>IFERROR(VLOOKUP($A28,'[93]7月'!$A:$H,8,0),0)</f>
        <v>0</v>
      </c>
      <c r="AF28" s="688">
        <f>IFERROR(VLOOKUP($A28,'[93]8月'!$A:$H,8,0),0)</f>
        <v>0</v>
      </c>
      <c r="AG28" s="688">
        <f>IFERROR(VLOOKUP($A28,'[93]9月'!$A:$H,8,0),0)</f>
        <v>0</v>
      </c>
      <c r="AH28" s="688">
        <f>IFERROR(VLOOKUP($A28,'[93]10月'!$A:$H,8,0),0)</f>
        <v>0</v>
      </c>
      <c r="AI28" s="688">
        <f>IFERROR(VLOOKUP($A28,'[93]11月'!$A:$H,8,0),0)</f>
        <v>0</v>
      </c>
      <c r="AJ28" s="688">
        <f>IFERROR(VLOOKUP($A28,'[93]12月'!$A:$H,8,0),0)</f>
        <v>0</v>
      </c>
      <c r="AK28" s="688">
        <f t="shared" si="25"/>
        <v>0</v>
      </c>
    </row>
    <row r="29" spans="1:37" ht="13.5" customHeight="1">
      <c r="A29" s="653" t="str">
        <f>'Budget-合并'!A29</f>
        <v>6602.01.06</v>
      </c>
      <c r="B29" s="653" t="str">
        <f>'Budget-合并'!B29</f>
        <v>劳务报酬</v>
      </c>
      <c r="C29" s="687">
        <f>'Budget-合并'!C29</f>
        <v>0</v>
      </c>
      <c r="D29" s="676">
        <f t="shared" si="19"/>
        <v>0</v>
      </c>
      <c r="E29" s="676" t="e">
        <f>INDEX($Y29:AHV29,1,MATCH($E$6,$Y$6:$AJ$6))</f>
        <v>#N/A</v>
      </c>
      <c r="F29" s="676" t="e">
        <f t="shared" si="16"/>
        <v>#N/A</v>
      </c>
      <c r="G29" s="676">
        <f t="shared" ca="1" si="20"/>
        <v>0</v>
      </c>
      <c r="H29" s="676" t="e">
        <f t="shared" ca="1" si="21"/>
        <v>#N/A</v>
      </c>
      <c r="I29" s="676" t="e">
        <f t="shared" ca="1" si="22"/>
        <v>#N/A</v>
      </c>
      <c r="K29" s="676"/>
      <c r="L29" s="676"/>
      <c r="M29" s="676"/>
      <c r="N29" s="676"/>
      <c r="O29" s="676"/>
      <c r="P29" s="676"/>
      <c r="Q29" s="676"/>
      <c r="R29" s="676"/>
      <c r="S29" s="676"/>
      <c r="T29" s="676"/>
      <c r="U29" s="676"/>
      <c r="V29" s="676"/>
      <c r="W29" s="676">
        <f t="shared" si="24"/>
        <v>0</v>
      </c>
      <c r="Y29" s="688">
        <f>IFERROR(VLOOKUP(A29,'[93]1月'!$A:$H,8,0),0)</f>
        <v>0</v>
      </c>
      <c r="Z29" s="688">
        <f>IFERROR(VLOOKUP(A29,'[93]2月'!$A:$H,8,0),0)</f>
        <v>0</v>
      </c>
      <c r="AA29" s="688">
        <f>IFERROR(VLOOKUP($A29,'[93]3月'!$A:$H,8,0),0)</f>
        <v>0</v>
      </c>
      <c r="AB29" s="688">
        <f>IFERROR(VLOOKUP($A29,'[93]4月'!$A:$H,8,0),0)</f>
        <v>0</v>
      </c>
      <c r="AC29" s="688">
        <f>IFERROR(VLOOKUP($A29,'[93]5月'!$A:$H,8,0),0)</f>
        <v>0</v>
      </c>
      <c r="AD29" s="688">
        <f>IFERROR(VLOOKUP($A29,'[93]6月'!$A:$H,8,0),0)</f>
        <v>0</v>
      </c>
      <c r="AE29" s="688">
        <f>IFERROR(VLOOKUP($A29,'[93]7月'!$A:$H,8,0),0)</f>
        <v>0</v>
      </c>
      <c r="AF29" s="688">
        <f>IFERROR(VLOOKUP($A29,'[93]8月'!$A:$H,8,0),0)</f>
        <v>0</v>
      </c>
      <c r="AG29" s="688">
        <f>IFERROR(VLOOKUP($A29,'[93]9月'!$A:$H,8,0),0)</f>
        <v>0</v>
      </c>
      <c r="AH29" s="688">
        <f>IFERROR(VLOOKUP($A29,'[93]10月'!$A:$H,8,0),0)</f>
        <v>0</v>
      </c>
      <c r="AI29" s="688">
        <f>IFERROR(VLOOKUP($A29,'[93]11月'!$A:$H,8,0),0)</f>
        <v>0</v>
      </c>
      <c r="AJ29" s="688">
        <f>IFERROR(VLOOKUP($A29,'[93]12月'!$A:$H,8,0),0)</f>
        <v>0</v>
      </c>
      <c r="AK29" s="688">
        <f t="shared" si="25"/>
        <v>0</v>
      </c>
    </row>
    <row r="30" spans="1:37" ht="13.5" customHeight="1">
      <c r="A30" s="653" t="str">
        <f>'Budget-合并'!A30</f>
        <v>6602.01.07</v>
      </c>
      <c r="B30" s="653" t="str">
        <f>'Budget-合并'!B30</f>
        <v>集团内分摊</v>
      </c>
      <c r="C30" s="687" t="str">
        <f>'Budget-合并'!C30</f>
        <v>Mantime X Charge</v>
      </c>
      <c r="D30" s="676">
        <f t="shared" si="19"/>
        <v>0</v>
      </c>
      <c r="E30" s="676" t="e">
        <f>INDEX($Y30:AHV30,1,MATCH($E$6,$Y$6:$AJ$6))</f>
        <v>#N/A</v>
      </c>
      <c r="F30" s="676" t="e">
        <f t="shared" si="16"/>
        <v>#N/A</v>
      </c>
      <c r="G30" s="676">
        <f t="shared" ca="1" si="20"/>
        <v>0</v>
      </c>
      <c r="H30" s="676" t="e">
        <f t="shared" ca="1" si="21"/>
        <v>#N/A</v>
      </c>
      <c r="I30" s="676" t="e">
        <f t="shared" ca="1" si="22"/>
        <v>#N/A</v>
      </c>
      <c r="K30" s="676"/>
      <c r="L30" s="676"/>
      <c r="M30" s="676"/>
      <c r="N30" s="676"/>
      <c r="O30" s="676"/>
      <c r="P30" s="676"/>
      <c r="Q30" s="676"/>
      <c r="R30" s="676"/>
      <c r="S30" s="676"/>
      <c r="T30" s="676"/>
      <c r="U30" s="676"/>
      <c r="V30" s="676"/>
      <c r="W30" s="676">
        <f t="shared" si="24"/>
        <v>0</v>
      </c>
      <c r="Y30" s="688">
        <f>IFERROR(VLOOKUP(A30,'[93]1月'!$A:$H,8,0),0)</f>
        <v>0</v>
      </c>
      <c r="Z30" s="688">
        <f>IFERROR(VLOOKUP(A30,'[93]2月'!$A:$H,8,0),0)</f>
        <v>0</v>
      </c>
      <c r="AA30" s="688">
        <f>IFERROR(VLOOKUP($A30,'[93]3月'!$A:$H,8,0),0)</f>
        <v>0</v>
      </c>
      <c r="AB30" s="688">
        <f>IFERROR(VLOOKUP($A30,'[93]4月'!$A:$H,8,0),0)</f>
        <v>0</v>
      </c>
      <c r="AC30" s="688">
        <f>IFERROR(VLOOKUP($A30,'[93]5月'!$A:$H,8,0),0)</f>
        <v>0</v>
      </c>
      <c r="AD30" s="688">
        <f>IFERROR(VLOOKUP($A30,'[93]6月'!$A:$H,8,0),0)</f>
        <v>0</v>
      </c>
      <c r="AE30" s="688">
        <f>IFERROR(VLOOKUP($A30,'[93]7月'!$A:$H,8,0),0)</f>
        <v>0</v>
      </c>
      <c r="AF30" s="688">
        <f>IFERROR(VLOOKUP($A30,'[93]8月'!$A:$H,8,0),0)</f>
        <v>0</v>
      </c>
      <c r="AG30" s="688">
        <f>IFERROR(VLOOKUP($A30,'[93]9月'!$A:$H,8,0),0)</f>
        <v>0</v>
      </c>
      <c r="AH30" s="688">
        <f>IFERROR(VLOOKUP($A30,'[93]10月'!$A:$H,8,0),0)</f>
        <v>0</v>
      </c>
      <c r="AI30" s="688">
        <f>IFERROR(VLOOKUP($A30,'[93]11月'!$A:$H,8,0),0)</f>
        <v>0</v>
      </c>
      <c r="AJ30" s="688">
        <f>IFERROR(VLOOKUP($A30,'[93]12月'!$A:$H,8,0),0)</f>
        <v>0</v>
      </c>
      <c r="AK30" s="688">
        <f t="shared" si="25"/>
        <v>0</v>
      </c>
    </row>
    <row r="31" spans="1:37" ht="13.5" customHeight="1">
      <c r="A31" s="653" t="str">
        <f>'Budget-合并'!A31</f>
        <v>6602.01.08</v>
      </c>
      <c r="B31" s="653" t="str">
        <f>'Budget-合并'!B31</f>
        <v>基本工资（管理）</v>
      </c>
      <c r="C31" s="687" t="str">
        <f>'Budget-合并'!C31</f>
        <v>Salary Management</v>
      </c>
      <c r="D31" s="676">
        <f t="shared" si="19"/>
        <v>0</v>
      </c>
      <c r="E31" s="676" t="e">
        <f>INDEX($Y31:AHV31,1,MATCH($E$6,$Y$6:$AJ$6))</f>
        <v>#N/A</v>
      </c>
      <c r="F31" s="676" t="e">
        <f t="shared" si="16"/>
        <v>#N/A</v>
      </c>
      <c r="G31" s="676">
        <f t="shared" ca="1" si="20"/>
        <v>0</v>
      </c>
      <c r="H31" s="676" t="e">
        <f t="shared" ca="1" si="21"/>
        <v>#N/A</v>
      </c>
      <c r="I31" s="676" t="e">
        <f t="shared" ca="1" si="22"/>
        <v>#N/A</v>
      </c>
      <c r="K31" s="676"/>
      <c r="L31" s="676"/>
      <c r="M31" s="676"/>
      <c r="N31" s="676"/>
      <c r="O31" s="676"/>
      <c r="P31" s="676"/>
      <c r="Q31" s="676"/>
      <c r="R31" s="676"/>
      <c r="S31" s="676"/>
      <c r="T31" s="676"/>
      <c r="U31" s="676"/>
      <c r="V31" s="676"/>
      <c r="W31" s="676">
        <f t="shared" si="24"/>
        <v>0</v>
      </c>
      <c r="Y31" s="688">
        <f>IFERROR(VLOOKUP(A31,'[93]1月'!$A:$H,8,0),0)</f>
        <v>0</v>
      </c>
      <c r="Z31" s="688">
        <f>IFERROR(VLOOKUP(A31,'[93]2月'!$A:$H,8,0),0)</f>
        <v>0</v>
      </c>
      <c r="AA31" s="688">
        <f>IFERROR(VLOOKUP($A31,'[93]3月'!$A:$H,8,0),0)</f>
        <v>0</v>
      </c>
      <c r="AB31" s="688">
        <f>IFERROR(VLOOKUP($A31,'[93]4月'!$A:$H,8,0),0)</f>
        <v>0</v>
      </c>
      <c r="AC31" s="688">
        <f>IFERROR(VLOOKUP($A31,'[93]5月'!$A:$H,8,0),0)</f>
        <v>0</v>
      </c>
      <c r="AD31" s="688">
        <f>IFERROR(VLOOKUP($A31,'[93]6月'!$A:$H,8,0),0)</f>
        <v>0</v>
      </c>
      <c r="AE31" s="688">
        <f>IFERROR(VLOOKUP($A31,'[93]7月'!$A:$H,8,0),0)</f>
        <v>0</v>
      </c>
      <c r="AF31" s="688">
        <f>IFERROR(VLOOKUP($A31,'[93]8月'!$A:$H,8,0),0)</f>
        <v>0</v>
      </c>
      <c r="AG31" s="688">
        <f>IFERROR(VLOOKUP($A31,'[93]9月'!$A:$H,8,0),0)</f>
        <v>0</v>
      </c>
      <c r="AH31" s="688">
        <f>IFERROR(VLOOKUP($A31,'[93]10月'!$A:$H,8,0),0)</f>
        <v>0</v>
      </c>
      <c r="AI31" s="688">
        <f>IFERROR(VLOOKUP($A31,'[93]11月'!$A:$H,8,0),0)</f>
        <v>0</v>
      </c>
      <c r="AJ31" s="688">
        <f>IFERROR(VLOOKUP($A31,'[93]12月'!$A:$H,8,0),0)</f>
        <v>0</v>
      </c>
      <c r="AK31" s="688">
        <f t="shared" si="25"/>
        <v>0</v>
      </c>
    </row>
    <row r="32" spans="1:37" ht="13.5" customHeight="1">
      <c r="A32" s="653" t="str">
        <f>'Budget-合并'!A32</f>
        <v>6602.01.09</v>
      </c>
      <c r="B32" s="653" t="str">
        <f>'Budget-合并'!B32</f>
        <v>员工奖金（管理）</v>
      </c>
      <c r="C32" s="687" t="str">
        <f>'Budget-合并'!C32</f>
        <v>Bonus Expense - Management</v>
      </c>
      <c r="D32" s="676">
        <f t="shared" si="19"/>
        <v>0</v>
      </c>
      <c r="E32" s="676" t="e">
        <f>INDEX($Y32:AHV32,1,MATCH($E$6,$Y$6:$AJ$6))</f>
        <v>#N/A</v>
      </c>
      <c r="F32" s="676" t="e">
        <f t="shared" si="16"/>
        <v>#N/A</v>
      </c>
      <c r="G32" s="676">
        <f t="shared" ca="1" si="20"/>
        <v>0</v>
      </c>
      <c r="H32" s="676" t="e">
        <f t="shared" ca="1" si="21"/>
        <v>#N/A</v>
      </c>
      <c r="I32" s="676" t="e">
        <f t="shared" ca="1" si="22"/>
        <v>#N/A</v>
      </c>
      <c r="K32" s="676"/>
      <c r="L32" s="676"/>
      <c r="M32" s="676"/>
      <c r="N32" s="676"/>
      <c r="O32" s="676"/>
      <c r="P32" s="676"/>
      <c r="Q32" s="676"/>
      <c r="R32" s="676"/>
      <c r="S32" s="676"/>
      <c r="T32" s="676"/>
      <c r="U32" s="676"/>
      <c r="V32" s="676"/>
      <c r="W32" s="676">
        <f t="shared" si="24"/>
        <v>0</v>
      </c>
      <c r="Y32" s="688">
        <f>IFERROR(VLOOKUP(A32,'[93]1月'!$A:$H,8,0),0)</f>
        <v>0</v>
      </c>
      <c r="Z32" s="688">
        <f>IFERROR(VLOOKUP(A32,'[93]2月'!$A:$H,8,0),0)</f>
        <v>0</v>
      </c>
      <c r="AA32" s="688">
        <f>IFERROR(VLOOKUP($A32,'[93]3月'!$A:$H,8,0),0)</f>
        <v>0</v>
      </c>
      <c r="AB32" s="688">
        <f>IFERROR(VLOOKUP($A32,'[93]4月'!$A:$H,8,0),0)</f>
        <v>0</v>
      </c>
      <c r="AC32" s="688">
        <f>IFERROR(VLOOKUP($A32,'[93]5月'!$A:$H,8,0),0)</f>
        <v>0</v>
      </c>
      <c r="AD32" s="688">
        <f>IFERROR(VLOOKUP($A32,'[93]6月'!$A:$H,8,0),0)</f>
        <v>0</v>
      </c>
      <c r="AE32" s="688">
        <f>IFERROR(VLOOKUP($A32,'[93]7月'!$A:$H,8,0),0)</f>
        <v>0</v>
      </c>
      <c r="AF32" s="688">
        <f>IFERROR(VLOOKUP($A32,'[93]8月'!$A:$H,8,0),0)</f>
        <v>0</v>
      </c>
      <c r="AG32" s="688">
        <f>IFERROR(VLOOKUP($A32,'[93]9月'!$A:$H,8,0),0)</f>
        <v>0</v>
      </c>
      <c r="AH32" s="688">
        <f>IFERROR(VLOOKUP($A32,'[93]10月'!$A:$H,8,0),0)</f>
        <v>0</v>
      </c>
      <c r="AI32" s="688">
        <f>IFERROR(VLOOKUP($A32,'[93]11月'!$A:$H,8,0),0)</f>
        <v>0</v>
      </c>
      <c r="AJ32" s="688">
        <f>IFERROR(VLOOKUP($A32,'[93]12月'!$A:$H,8,0),0)</f>
        <v>0</v>
      </c>
      <c r="AK32" s="688">
        <f t="shared" si="25"/>
        <v>0</v>
      </c>
    </row>
    <row r="33" spans="1:37" ht="13.5" customHeight="1">
      <c r="A33" s="663" t="str">
        <f>'Budget-合并'!A33</f>
        <v>6602.02</v>
      </c>
      <c r="B33" s="663" t="str">
        <f>'Budget-合并'!B33</f>
        <v>职工福利</v>
      </c>
      <c r="C33" s="687">
        <f>'Budget-合并'!C33</f>
        <v>0</v>
      </c>
      <c r="D33" s="676">
        <f t="shared" si="19"/>
        <v>500</v>
      </c>
      <c r="E33" s="676" t="e">
        <f>INDEX($Y33:AHV33,1,MATCH($E$6,$Y$6:$AJ$6))</f>
        <v>#N/A</v>
      </c>
      <c r="F33" s="676" t="e">
        <f t="shared" si="16"/>
        <v>#N/A</v>
      </c>
      <c r="G33" s="676">
        <f t="shared" ca="1" si="20"/>
        <v>500</v>
      </c>
      <c r="H33" s="676" t="e">
        <f t="shared" ca="1" si="21"/>
        <v>#N/A</v>
      </c>
      <c r="I33" s="676" t="e">
        <f t="shared" ca="1" si="22"/>
        <v>#N/A</v>
      </c>
      <c r="K33" s="679">
        <f t="shared" ref="K33:V33" si="26">SUM(K34:K37)</f>
        <v>500</v>
      </c>
      <c r="L33" s="679">
        <f t="shared" si="26"/>
        <v>500</v>
      </c>
      <c r="M33" s="679">
        <f t="shared" si="26"/>
        <v>500</v>
      </c>
      <c r="N33" s="679">
        <f t="shared" si="26"/>
        <v>500</v>
      </c>
      <c r="O33" s="679">
        <f t="shared" si="26"/>
        <v>500</v>
      </c>
      <c r="P33" s="679">
        <f t="shared" si="26"/>
        <v>500</v>
      </c>
      <c r="Q33" s="679">
        <f t="shared" si="26"/>
        <v>500</v>
      </c>
      <c r="R33" s="679">
        <f t="shared" si="26"/>
        <v>500</v>
      </c>
      <c r="S33" s="679">
        <f t="shared" si="26"/>
        <v>500</v>
      </c>
      <c r="T33" s="679">
        <f t="shared" si="26"/>
        <v>500</v>
      </c>
      <c r="U33" s="679">
        <f t="shared" si="26"/>
        <v>500</v>
      </c>
      <c r="V33" s="679">
        <f t="shared" si="26"/>
        <v>500</v>
      </c>
      <c r="W33" s="676">
        <f t="shared" si="24"/>
        <v>6000</v>
      </c>
      <c r="Y33" s="688">
        <f>IFERROR(VLOOKUP(A33,'[93]1月'!$A:$H,8,0),0)</f>
        <v>0</v>
      </c>
      <c r="Z33" s="688">
        <f>IFERROR(VLOOKUP(A33,'[93]2月'!$A:$H,8,0),0)</f>
        <v>0</v>
      </c>
      <c r="AA33" s="688">
        <f>IFERROR(VLOOKUP($A33,'[93]3月'!$A:$H,8,0),0)</f>
        <v>0</v>
      </c>
      <c r="AB33" s="688">
        <f>IFERROR(VLOOKUP($A33,'[93]4月'!$A:$H,8,0),0)</f>
        <v>0</v>
      </c>
      <c r="AC33" s="688">
        <f>IFERROR(VLOOKUP($A33,'[93]5月'!$A:$H,8,0),0)</f>
        <v>0</v>
      </c>
      <c r="AD33" s="688">
        <f>IFERROR(VLOOKUP($A33,'[93]6月'!$A:$H,8,0),0)</f>
        <v>0</v>
      </c>
      <c r="AE33" s="688">
        <f>IFERROR(VLOOKUP($A33,'[93]7月'!$A:$H,8,0),0)</f>
        <v>0</v>
      </c>
      <c r="AF33" s="688">
        <f>IFERROR(VLOOKUP($A33,'[93]8月'!$A:$H,8,0),0)</f>
        <v>0</v>
      </c>
      <c r="AG33" s="688">
        <f>IFERROR(VLOOKUP($A33,'[93]9月'!$A:$H,8,0),0)</f>
        <v>0</v>
      </c>
      <c r="AH33" s="688">
        <f>IFERROR(VLOOKUP($A33,'[93]10月'!$A:$H,8,0),0)</f>
        <v>0</v>
      </c>
      <c r="AI33" s="688">
        <f>IFERROR(VLOOKUP($A33,'[93]11月'!$A:$H,8,0),0)</f>
        <v>0</v>
      </c>
      <c r="AJ33" s="688">
        <f>IFERROR(VLOOKUP($A33,'[93]12月'!$A:$H,8,0),0)</f>
        <v>2000</v>
      </c>
      <c r="AK33" s="688">
        <f t="shared" si="25"/>
        <v>2000</v>
      </c>
    </row>
    <row r="34" spans="1:37" ht="13.5" customHeight="1">
      <c r="A34" s="653" t="str">
        <f>'Budget-合并'!A34</f>
        <v>6602.02.01</v>
      </c>
      <c r="B34" s="653" t="str">
        <f>'Budget-合并'!B34</f>
        <v>员工福利</v>
      </c>
      <c r="C34" s="687" t="str">
        <f>'Budget-合并'!C34</f>
        <v>Fringe Other</v>
      </c>
      <c r="D34" s="676">
        <f t="shared" si="19"/>
        <v>0</v>
      </c>
      <c r="E34" s="676" t="e">
        <f>INDEX($Y34:AHV34,1,MATCH($E$6,$Y$6:$AJ$6))</f>
        <v>#N/A</v>
      </c>
      <c r="F34" s="676" t="e">
        <f t="shared" si="16"/>
        <v>#N/A</v>
      </c>
      <c r="G34" s="676">
        <f t="shared" ca="1" si="20"/>
        <v>0</v>
      </c>
      <c r="H34" s="676" t="e">
        <f t="shared" ca="1" si="21"/>
        <v>#N/A</v>
      </c>
      <c r="I34" s="676" t="e">
        <f t="shared" ca="1" si="22"/>
        <v>#N/A</v>
      </c>
      <c r="K34" s="676"/>
      <c r="L34" s="676"/>
      <c r="M34" s="676"/>
      <c r="N34" s="676"/>
      <c r="O34" s="676"/>
      <c r="P34" s="676"/>
      <c r="Q34" s="676"/>
      <c r="R34" s="676"/>
      <c r="S34" s="676"/>
      <c r="T34" s="676"/>
      <c r="U34" s="676"/>
      <c r="V34" s="676"/>
      <c r="W34" s="676">
        <f t="shared" si="24"/>
        <v>0</v>
      </c>
      <c r="Y34" s="688">
        <f>IFERROR(VLOOKUP(A34,'[93]1月'!$A:$H,8,0),0)</f>
        <v>0</v>
      </c>
      <c r="Z34" s="688">
        <f>IFERROR(VLOOKUP(A34,'[93]2月'!$A:$H,8,0),0)</f>
        <v>0</v>
      </c>
      <c r="AA34" s="688">
        <f>IFERROR(VLOOKUP($A34,'[93]3月'!$A:$H,8,0),0)</f>
        <v>0</v>
      </c>
      <c r="AB34" s="688">
        <f>IFERROR(VLOOKUP($A34,'[93]4月'!$A:$H,8,0),0)</f>
        <v>0</v>
      </c>
      <c r="AC34" s="688">
        <f>IFERROR(VLOOKUP($A34,'[93]5月'!$A:$H,8,0),0)</f>
        <v>0</v>
      </c>
      <c r="AD34" s="688">
        <f>IFERROR(VLOOKUP($A34,'[93]6月'!$A:$H,8,0),0)</f>
        <v>0</v>
      </c>
      <c r="AE34" s="688">
        <f>IFERROR(VLOOKUP($A34,'[93]7月'!$A:$H,8,0),0)</f>
        <v>0</v>
      </c>
      <c r="AF34" s="688">
        <f>IFERROR(VLOOKUP($A34,'[93]8月'!$A:$H,8,0),0)</f>
        <v>0</v>
      </c>
      <c r="AG34" s="688">
        <f>IFERROR(VLOOKUP($A34,'[93]9月'!$A:$H,8,0),0)</f>
        <v>0</v>
      </c>
      <c r="AH34" s="688">
        <f>IFERROR(VLOOKUP($A34,'[93]10月'!$A:$H,8,0),0)</f>
        <v>0</v>
      </c>
      <c r="AI34" s="688">
        <f>IFERROR(VLOOKUP($A34,'[93]11月'!$A:$H,8,0),0)</f>
        <v>0</v>
      </c>
      <c r="AJ34" s="688">
        <f>IFERROR(VLOOKUP($A34,'[93]12月'!$A:$H,8,0),0)</f>
        <v>0</v>
      </c>
      <c r="AK34" s="688">
        <f t="shared" si="25"/>
        <v>0</v>
      </c>
    </row>
    <row r="35" spans="1:37" ht="13.5" customHeight="1">
      <c r="A35" s="653" t="str">
        <f>'Budget-合并'!A35</f>
        <v>6602.02.02</v>
      </c>
      <c r="B35" s="653" t="str">
        <f>'Budget-合并'!B35</f>
        <v>团建活动</v>
      </c>
      <c r="C35" s="687" t="str">
        <f>'Budget-合并'!C35</f>
        <v>EE Morale Expense</v>
      </c>
      <c r="D35" s="676">
        <f t="shared" si="19"/>
        <v>0</v>
      </c>
      <c r="E35" s="676" t="e">
        <f>INDEX($Y35:AHV35,1,MATCH($E$6,$Y$6:$AJ$6))</f>
        <v>#N/A</v>
      </c>
      <c r="F35" s="676" t="e">
        <f t="shared" si="16"/>
        <v>#N/A</v>
      </c>
      <c r="G35" s="676">
        <f t="shared" ca="1" si="20"/>
        <v>0</v>
      </c>
      <c r="H35" s="676" t="e">
        <f t="shared" ca="1" si="21"/>
        <v>#N/A</v>
      </c>
      <c r="I35" s="676" t="e">
        <f t="shared" ca="1" si="22"/>
        <v>#N/A</v>
      </c>
      <c r="K35" s="676">
        <f>SUMIFS('Other Exp'!AG$3:AG$196,'Other Exp'!$B$3:$B$196,$D$1,'Other Exp'!$C$3:$C$196,$A35)</f>
        <v>0</v>
      </c>
      <c r="L35" s="676">
        <f>SUMIFS('Other Exp'!AH$3:AH$196,'Other Exp'!$B$3:$B$196,$D$1,'Other Exp'!$C$3:$C$196,$A35)</f>
        <v>0</v>
      </c>
      <c r="M35" s="676">
        <f>SUMIFS('Other Exp'!AI$3:AI$196,'Other Exp'!$B$3:$B$196,$D$1,'Other Exp'!$C$3:$C$196,$A35)</f>
        <v>0</v>
      </c>
      <c r="N35" s="676">
        <f>SUMIFS('Other Exp'!AJ$3:AJ$196,'Other Exp'!$B$3:$B$196,$D$1,'Other Exp'!$C$3:$C$196,$A35)</f>
        <v>0</v>
      </c>
      <c r="O35" s="676">
        <f>SUMIFS('Other Exp'!AK$3:AK$196,'Other Exp'!$B$3:$B$196,$D$1,'Other Exp'!$C$3:$C$196,$A35)</f>
        <v>0</v>
      </c>
      <c r="P35" s="676">
        <f>SUMIFS('Other Exp'!AL$3:AL$196,'Other Exp'!$B$3:$B$196,$D$1,'Other Exp'!$C$3:$C$196,$A35)</f>
        <v>0</v>
      </c>
      <c r="Q35" s="676">
        <f>SUMIFS('Other Exp'!AM$3:AM$196,'Other Exp'!$B$3:$B$196,$D$1,'Other Exp'!$C$3:$C$196,$A35)</f>
        <v>0</v>
      </c>
      <c r="R35" s="676">
        <f>SUMIFS('Other Exp'!AN$3:AN$196,'Other Exp'!$B$3:$B$196,$D$1,'Other Exp'!$C$3:$C$196,$A35)</f>
        <v>0</v>
      </c>
      <c r="S35" s="676">
        <f>SUMIFS('Other Exp'!AO$3:AO$196,'Other Exp'!$B$3:$B$196,$D$1,'Other Exp'!$C$3:$C$196,$A35)</f>
        <v>0</v>
      </c>
      <c r="T35" s="676">
        <f>SUMIFS('Other Exp'!AP$3:AP$196,'Other Exp'!$B$3:$B$196,$D$1,'Other Exp'!$C$3:$C$196,$A35)</f>
        <v>0</v>
      </c>
      <c r="U35" s="676">
        <f>SUMIFS('Other Exp'!AQ$3:AQ$196,'Other Exp'!$B$3:$B$196,$D$1,'Other Exp'!$C$3:$C$196,$A35)</f>
        <v>0</v>
      </c>
      <c r="V35" s="676">
        <f>SUMIFS('Other Exp'!AR$3:AR$196,'Other Exp'!$B$3:$B$196,$D$1,'Other Exp'!$C$3:$C$196,$A35)</f>
        <v>0</v>
      </c>
      <c r="W35" s="676">
        <f t="shared" si="24"/>
        <v>0</v>
      </c>
      <c r="Y35" s="688">
        <f>IFERROR(VLOOKUP(A35,'[93]1月'!$A:$H,8,0),0)</f>
        <v>0</v>
      </c>
      <c r="Z35" s="688">
        <f>IFERROR(VLOOKUP(A35,'[93]2月'!$A:$H,8,0),0)</f>
        <v>0</v>
      </c>
      <c r="AA35" s="688">
        <f>IFERROR(VLOOKUP($A35,'[93]3月'!$A:$H,8,0),0)</f>
        <v>0</v>
      </c>
      <c r="AB35" s="688">
        <f>IFERROR(VLOOKUP($A35,'[93]4月'!$A:$H,8,0),0)</f>
        <v>0</v>
      </c>
      <c r="AC35" s="688">
        <f>IFERROR(VLOOKUP($A35,'[93]5月'!$A:$H,8,0),0)</f>
        <v>0</v>
      </c>
      <c r="AD35" s="688">
        <f>IFERROR(VLOOKUP($A35,'[93]6月'!$A:$H,8,0),0)</f>
        <v>0</v>
      </c>
      <c r="AE35" s="688">
        <f>IFERROR(VLOOKUP($A35,'[93]7月'!$A:$H,8,0),0)</f>
        <v>0</v>
      </c>
      <c r="AF35" s="688">
        <f>IFERROR(VLOOKUP($A35,'[93]8月'!$A:$H,8,0),0)</f>
        <v>0</v>
      </c>
      <c r="AG35" s="688">
        <f>IFERROR(VLOOKUP($A35,'[93]9月'!$A:$H,8,0),0)</f>
        <v>0</v>
      </c>
      <c r="AH35" s="688">
        <f>IFERROR(VLOOKUP($A35,'[93]10月'!$A:$H,8,0),0)</f>
        <v>0</v>
      </c>
      <c r="AI35" s="688">
        <f>IFERROR(VLOOKUP($A35,'[93]11月'!$A:$H,8,0),0)</f>
        <v>0</v>
      </c>
      <c r="AJ35" s="688">
        <f>IFERROR(VLOOKUP($A35,'[93]12月'!$A:$H,8,0),0)</f>
        <v>0</v>
      </c>
      <c r="AK35" s="688">
        <f t="shared" si="25"/>
        <v>0</v>
      </c>
    </row>
    <row r="36" spans="1:37" ht="13.5" customHeight="1">
      <c r="A36" s="653" t="str">
        <f>'Budget-合并'!A36</f>
        <v>6602.02.03</v>
      </c>
      <c r="B36" s="653" t="str">
        <f>'Budget-合并'!B36</f>
        <v>体检费</v>
      </c>
      <c r="C36" s="687">
        <f>'Budget-合并'!C36</f>
        <v>0</v>
      </c>
      <c r="D36" s="676">
        <f t="shared" si="19"/>
        <v>500</v>
      </c>
      <c r="E36" s="676" t="e">
        <f>INDEX($Y36:AHV36,1,MATCH($E$6,$Y$6:$AJ$6))</f>
        <v>#N/A</v>
      </c>
      <c r="F36" s="676" t="e">
        <f t="shared" si="16"/>
        <v>#N/A</v>
      </c>
      <c r="G36" s="676">
        <f t="shared" ca="1" si="20"/>
        <v>500</v>
      </c>
      <c r="H36" s="676" t="e">
        <f t="shared" ca="1" si="21"/>
        <v>#N/A</v>
      </c>
      <c r="I36" s="676" t="e">
        <f t="shared" ca="1" si="22"/>
        <v>#N/A</v>
      </c>
      <c r="K36" s="676">
        <f>1000*6/12</f>
        <v>500</v>
      </c>
      <c r="L36" s="676">
        <f t="shared" ref="L36:V36" si="27">1000*6/12</f>
        <v>500</v>
      </c>
      <c r="M36" s="676">
        <f t="shared" si="27"/>
        <v>500</v>
      </c>
      <c r="N36" s="676">
        <f t="shared" si="27"/>
        <v>500</v>
      </c>
      <c r="O36" s="676">
        <f t="shared" si="27"/>
        <v>500</v>
      </c>
      <c r="P36" s="676">
        <f t="shared" si="27"/>
        <v>500</v>
      </c>
      <c r="Q36" s="676">
        <f t="shared" si="27"/>
        <v>500</v>
      </c>
      <c r="R36" s="676">
        <f t="shared" si="27"/>
        <v>500</v>
      </c>
      <c r="S36" s="676">
        <f t="shared" si="27"/>
        <v>500</v>
      </c>
      <c r="T36" s="676">
        <f t="shared" si="27"/>
        <v>500</v>
      </c>
      <c r="U36" s="676">
        <f t="shared" si="27"/>
        <v>500</v>
      </c>
      <c r="V36" s="676">
        <f t="shared" si="27"/>
        <v>500</v>
      </c>
      <c r="W36" s="676">
        <f t="shared" si="24"/>
        <v>6000</v>
      </c>
      <c r="Y36" s="688">
        <f>IFERROR(VLOOKUP(A36,'[93]1月'!$A:$H,8,0),0)</f>
        <v>0</v>
      </c>
      <c r="Z36" s="688">
        <f>IFERROR(VLOOKUP(A36,'[93]2月'!$A:$H,8,0),0)</f>
        <v>0</v>
      </c>
      <c r="AA36" s="688">
        <f>IFERROR(VLOOKUP($A36,'[93]3月'!$A:$H,8,0),0)</f>
        <v>0</v>
      </c>
      <c r="AB36" s="688">
        <f>IFERROR(VLOOKUP($A36,'[93]4月'!$A:$H,8,0),0)</f>
        <v>0</v>
      </c>
      <c r="AC36" s="688">
        <f>IFERROR(VLOOKUP($A36,'[93]5月'!$A:$H,8,0),0)</f>
        <v>0</v>
      </c>
      <c r="AD36" s="688">
        <f>IFERROR(VLOOKUP($A36,'[93]6月'!$A:$H,8,0),0)</f>
        <v>0</v>
      </c>
      <c r="AE36" s="688">
        <f>IFERROR(VLOOKUP($A36,'[93]7月'!$A:$H,8,0),0)</f>
        <v>0</v>
      </c>
      <c r="AF36" s="688">
        <f>IFERROR(VLOOKUP($A36,'[93]8月'!$A:$H,8,0),0)</f>
        <v>0</v>
      </c>
      <c r="AG36" s="688">
        <f>IFERROR(VLOOKUP($A36,'[93]9月'!$A:$H,8,0),0)</f>
        <v>0</v>
      </c>
      <c r="AH36" s="688">
        <f>IFERROR(VLOOKUP($A36,'[93]10月'!$A:$H,8,0),0)</f>
        <v>0</v>
      </c>
      <c r="AI36" s="688">
        <f>IFERROR(VLOOKUP($A36,'[93]11月'!$A:$H,8,0),0)</f>
        <v>0</v>
      </c>
      <c r="AJ36" s="688">
        <f>IFERROR(VLOOKUP($A36,'[93]12月'!$A:$H,8,0),0)</f>
        <v>2000</v>
      </c>
      <c r="AK36" s="688">
        <f t="shared" si="25"/>
        <v>2000</v>
      </c>
    </row>
    <row r="37" spans="1:37" ht="13.5" customHeight="1">
      <c r="A37" s="653" t="str">
        <f>'Budget-合并'!A37</f>
        <v>6602.02.04</v>
      </c>
      <c r="B37" s="653" t="str">
        <f>'Budget-合并'!B37</f>
        <v>商业保险 - 医疗</v>
      </c>
      <c r="C37" s="687">
        <f>'Budget-合并'!C37</f>
        <v>0</v>
      </c>
      <c r="D37" s="676">
        <f t="shared" si="19"/>
        <v>0</v>
      </c>
      <c r="E37" s="676" t="e">
        <f>INDEX($Y37:AHV37,1,MATCH($E$6,$Y$6:$AJ$6))</f>
        <v>#N/A</v>
      </c>
      <c r="F37" s="676" t="e">
        <f t="shared" si="16"/>
        <v>#N/A</v>
      </c>
      <c r="G37" s="676">
        <f t="shared" ca="1" si="20"/>
        <v>0</v>
      </c>
      <c r="H37" s="676" t="e">
        <f t="shared" ca="1" si="21"/>
        <v>#N/A</v>
      </c>
      <c r="I37" s="676" t="e">
        <f t="shared" ca="1" si="22"/>
        <v>#N/A</v>
      </c>
      <c r="K37" s="676"/>
      <c r="L37" s="676"/>
      <c r="M37" s="676"/>
      <c r="N37" s="676"/>
      <c r="O37" s="676"/>
      <c r="P37" s="676"/>
      <c r="Q37" s="676"/>
      <c r="R37" s="676"/>
      <c r="S37" s="676"/>
      <c r="T37" s="676"/>
      <c r="U37" s="676"/>
      <c r="V37" s="676"/>
      <c r="W37" s="676">
        <f t="shared" si="24"/>
        <v>0</v>
      </c>
      <c r="Y37" s="688">
        <f>IFERROR(VLOOKUP(A37,'[93]1月'!$A:$H,8,0),0)</f>
        <v>0</v>
      </c>
      <c r="Z37" s="688">
        <f>IFERROR(VLOOKUP(A37,'[93]2月'!$A:$H,8,0),0)</f>
        <v>0</v>
      </c>
      <c r="AA37" s="688">
        <f>IFERROR(VLOOKUP($A37,'[93]3月'!$A:$H,8,0),0)</f>
        <v>0</v>
      </c>
      <c r="AB37" s="688">
        <f>IFERROR(VLOOKUP($A37,'[93]4月'!$A:$H,8,0),0)</f>
        <v>0</v>
      </c>
      <c r="AC37" s="688">
        <f>IFERROR(VLOOKUP($A37,'[93]5月'!$A:$H,8,0),0)</f>
        <v>0</v>
      </c>
      <c r="AD37" s="688">
        <f>IFERROR(VLOOKUP($A37,'[93]6月'!$A:$H,8,0),0)</f>
        <v>0</v>
      </c>
      <c r="AE37" s="688">
        <f>IFERROR(VLOOKUP($A37,'[93]7月'!$A:$H,8,0),0)</f>
        <v>0</v>
      </c>
      <c r="AF37" s="688">
        <f>IFERROR(VLOOKUP($A37,'[93]8月'!$A:$H,8,0),0)</f>
        <v>0</v>
      </c>
      <c r="AG37" s="688">
        <f>IFERROR(VLOOKUP($A37,'[93]9月'!$A:$H,8,0),0)</f>
        <v>0</v>
      </c>
      <c r="AH37" s="688">
        <f>IFERROR(VLOOKUP($A37,'[93]10月'!$A:$H,8,0),0)</f>
        <v>0</v>
      </c>
      <c r="AI37" s="688">
        <f>IFERROR(VLOOKUP($A37,'[93]11月'!$A:$H,8,0),0)</f>
        <v>0</v>
      </c>
      <c r="AJ37" s="688">
        <f>IFERROR(VLOOKUP($A37,'[93]12月'!$A:$H,8,0),0)</f>
        <v>0</v>
      </c>
      <c r="AK37" s="688">
        <f t="shared" si="25"/>
        <v>0</v>
      </c>
    </row>
    <row r="38" spans="1:37" ht="13.5" customHeight="1">
      <c r="A38" s="663" t="str">
        <f>'Budget-合并'!A38</f>
        <v>6602.03</v>
      </c>
      <c r="B38" s="663" t="str">
        <f>'Budget-合并'!B38</f>
        <v>社保公积金</v>
      </c>
      <c r="C38" s="687">
        <f>'Budget-合并'!C38</f>
        <v>0</v>
      </c>
      <c r="D38" s="676">
        <f t="shared" ca="1" si="19"/>
        <v>39969.009999999995</v>
      </c>
      <c r="E38" s="676" t="e">
        <f>INDEX($Y38:AHV38,1,MATCH($E$6,$Y$6:$AJ$6))</f>
        <v>#N/A</v>
      </c>
      <c r="F38" s="676" t="e">
        <f t="shared" ca="1" si="16"/>
        <v>#N/A</v>
      </c>
      <c r="G38" s="676">
        <f t="shared" ca="1" si="20"/>
        <v>39969.009999999995</v>
      </c>
      <c r="H38" s="676" t="e">
        <f t="shared" ca="1" si="21"/>
        <v>#N/A</v>
      </c>
      <c r="I38" s="676" t="e">
        <f t="shared" ca="1" si="22"/>
        <v>#N/A</v>
      </c>
      <c r="K38" s="679">
        <f t="shared" ref="K38:V38" ca="1" si="28">SUM(K39:K41)</f>
        <v>39969.009999999995</v>
      </c>
      <c r="L38" s="679">
        <f t="shared" ca="1" si="28"/>
        <v>39839.009999999995</v>
      </c>
      <c r="M38" s="679">
        <f t="shared" ca="1" si="28"/>
        <v>39839.009999999995</v>
      </c>
      <c r="N38" s="679">
        <f t="shared" ca="1" si="28"/>
        <v>51643.97</v>
      </c>
      <c r="O38" s="679">
        <f t="shared" ca="1" si="28"/>
        <v>51643.97</v>
      </c>
      <c r="P38" s="679">
        <f t="shared" ca="1" si="28"/>
        <v>51643.97</v>
      </c>
      <c r="Q38" s="679">
        <f t="shared" ca="1" si="28"/>
        <v>51643.97</v>
      </c>
      <c r="R38" s="679">
        <f t="shared" ca="1" si="28"/>
        <v>51643.97</v>
      </c>
      <c r="S38" s="679">
        <f t="shared" ca="1" si="28"/>
        <v>51643.97</v>
      </c>
      <c r="T38" s="679">
        <f t="shared" ca="1" si="28"/>
        <v>51643.97</v>
      </c>
      <c r="U38" s="679">
        <f t="shared" ca="1" si="28"/>
        <v>51643.97</v>
      </c>
      <c r="V38" s="679">
        <f t="shared" ca="1" si="28"/>
        <v>51643.97</v>
      </c>
      <c r="W38" s="676">
        <f t="shared" ca="1" si="24"/>
        <v>584442.75999999989</v>
      </c>
      <c r="Y38" s="688">
        <f>IFERROR(VLOOKUP(A38,'[93]1月'!$A:$H,8,0),0)</f>
        <v>48054.71</v>
      </c>
      <c r="Z38" s="688">
        <f>IFERROR(VLOOKUP(A38,'[93]2月'!$A:$H,8,0),0)</f>
        <v>52740.31</v>
      </c>
      <c r="AA38" s="688">
        <f>IFERROR(VLOOKUP($A38,'[93]3月'!$A:$H,8,0),0)</f>
        <v>56940.31</v>
      </c>
      <c r="AB38" s="688">
        <f>IFERROR(VLOOKUP($A38,'[93]4月'!$A:$H,8,0),0)</f>
        <v>56940.31</v>
      </c>
      <c r="AC38" s="688">
        <f>IFERROR(VLOOKUP($A38,'[93]5月'!$A:$H,8,0),0)</f>
        <v>68880.45</v>
      </c>
      <c r="AD38" s="688">
        <f>IFERROR(VLOOKUP($A38,'[93]6月'!$A:$H,8,0),0)</f>
        <v>56652.800000000003</v>
      </c>
      <c r="AE38" s="688">
        <f>IFERROR(VLOOKUP($A38,'[93]7月'!$A:$H,8,0),0)</f>
        <v>52102.23</v>
      </c>
      <c r="AF38" s="688">
        <f>IFERROR(VLOOKUP($A38,'[93]8月'!$A:$H,8,0),0)</f>
        <v>52102.23</v>
      </c>
      <c r="AG38" s="688">
        <f>IFERROR(VLOOKUP($A38,'[93]9月'!$A:$H,8,0),0)</f>
        <v>52102.23</v>
      </c>
      <c r="AH38" s="688">
        <f>IFERROR(VLOOKUP($A38,'[93]10月'!$A:$H,8,0),0)</f>
        <v>52102.23</v>
      </c>
      <c r="AI38" s="688">
        <f>IFERROR(VLOOKUP($A38,'[93]11月'!$A:$H,8,0),0)</f>
        <v>52222.23</v>
      </c>
      <c r="AJ38" s="688">
        <f>IFERROR(VLOOKUP($A38,'[93]12月'!$A:$H,8,0),0)</f>
        <v>52126.23</v>
      </c>
      <c r="AK38" s="688">
        <f t="shared" si="25"/>
        <v>652966.2699999999</v>
      </c>
    </row>
    <row r="39" spans="1:37" ht="13.5" customHeight="1">
      <c r="A39" s="653" t="str">
        <f>'Budget-合并'!A39</f>
        <v>6602.03.01</v>
      </c>
      <c r="B39" s="653" t="str">
        <f>'Budget-合并'!B39</f>
        <v>员工社保福利</v>
      </c>
      <c r="C39" s="687" t="str">
        <f>'Budget-合并'!C39</f>
        <v>Employee Insurance</v>
      </c>
      <c r="D39" s="676">
        <f t="shared" ca="1" si="19"/>
        <v>24817.21</v>
      </c>
      <c r="E39" s="676" t="e">
        <f>INDEX($Y39:AHV39,1,MATCH($E$6,$Y$6:$AJ$6))</f>
        <v>#N/A</v>
      </c>
      <c r="F39" s="676" t="e">
        <f t="shared" ca="1" si="16"/>
        <v>#N/A</v>
      </c>
      <c r="G39" s="676">
        <f t="shared" ca="1" si="20"/>
        <v>24817.21</v>
      </c>
      <c r="H39" s="676" t="e">
        <f t="shared" ca="1" si="21"/>
        <v>#N/A</v>
      </c>
      <c r="I39" s="676" t="e">
        <f t="shared" ca="1" si="22"/>
        <v>#N/A</v>
      </c>
      <c r="K39" s="676">
        <f ca="1">INDEX('Personnel-CN'!$W$292:$AV$292,MATCH(K$6,'Personnel-CN'!$W$15:$AV$15,0))</f>
        <v>24817.21</v>
      </c>
      <c r="L39" s="676">
        <f ca="1">INDEX('Personnel-CN'!$W$292:$AV$292,MATCH(L$6,'Personnel-CN'!$W$15:$AV$15,0))</f>
        <v>24687.21</v>
      </c>
      <c r="M39" s="676">
        <f ca="1">INDEX('Personnel-CN'!$W$292:$AV$292,MATCH(M$6,'Personnel-CN'!$W$15:$AV$15,0))</f>
        <v>24687.21</v>
      </c>
      <c r="N39" s="676">
        <f ca="1">INDEX('Personnel-CN'!$W$292:$AV$292,MATCH(N$6,'Personnel-CN'!$W$15:$AV$15,0))</f>
        <v>31692.17</v>
      </c>
      <c r="O39" s="676">
        <f ca="1">INDEX('Personnel-CN'!$W$292:$AV$292,MATCH(O$6,'Personnel-CN'!$W$15:$AV$15,0))</f>
        <v>31692.17</v>
      </c>
      <c r="P39" s="676">
        <f ca="1">INDEX('Personnel-CN'!$W$292:$AV$292,MATCH(P$6,'Personnel-CN'!$W$15:$AV$15,0))</f>
        <v>31692.17</v>
      </c>
      <c r="Q39" s="676">
        <f ca="1">INDEX('Personnel-CN'!$W$292:$AV$292,MATCH(Q$6,'Personnel-CN'!$W$15:$AV$15,0))</f>
        <v>31692.17</v>
      </c>
      <c r="R39" s="676">
        <f ca="1">INDEX('Personnel-CN'!$W$292:$AV$292,MATCH(R$6,'Personnel-CN'!$W$15:$AV$15,0))</f>
        <v>31692.17</v>
      </c>
      <c r="S39" s="676">
        <f ca="1">INDEX('Personnel-CN'!$W$292:$AV$292,MATCH(S$6,'Personnel-CN'!$W$15:$AV$15,0))</f>
        <v>31692.17</v>
      </c>
      <c r="T39" s="676">
        <f ca="1">INDEX('Personnel-CN'!$W$292:$AV$292,MATCH(T$6,'Personnel-CN'!$W$15:$AV$15,0))</f>
        <v>31692.17</v>
      </c>
      <c r="U39" s="676">
        <f ca="1">INDEX('Personnel-CN'!$W$292:$AV$292,MATCH(U$6,'Personnel-CN'!$W$15:$AV$15,0))</f>
        <v>31692.17</v>
      </c>
      <c r="V39" s="676">
        <f ca="1">INDEX('Personnel-CN'!$W$292:$AV$292,MATCH(V$6,'Personnel-CN'!$W$15:$AV$15,0))</f>
        <v>31692.17</v>
      </c>
      <c r="W39" s="676">
        <f t="shared" ca="1" si="24"/>
        <v>359421.15999999992</v>
      </c>
      <c r="Y39" s="688">
        <f>IFERROR(VLOOKUP(A39,'[93]1月'!$A:$H,8,0),0)</f>
        <v>30349.55</v>
      </c>
      <c r="Z39" s="688">
        <f>IFERROR(VLOOKUP(A39,'[93]2月'!$A:$H,8,0),0)</f>
        <v>35035.15</v>
      </c>
      <c r="AA39" s="688">
        <f>IFERROR(VLOOKUP($A39,'[93]3月'!$A:$H,8,0),0)</f>
        <v>35035.15</v>
      </c>
      <c r="AB39" s="688">
        <f>IFERROR(VLOOKUP($A39,'[93]4月'!$A:$H,8,0),0)</f>
        <v>35035.15</v>
      </c>
      <c r="AC39" s="688">
        <f>IFERROR(VLOOKUP($A39,'[93]5月'!$A:$H,8,0),0)</f>
        <v>41736.21</v>
      </c>
      <c r="AD39" s="688">
        <f>IFERROR(VLOOKUP($A39,'[93]6月'!$A:$H,8,0),0)</f>
        <v>34747.64</v>
      </c>
      <c r="AE39" s="688">
        <f>IFERROR(VLOOKUP($A39,'[93]7月'!$A:$H,8,0),0)</f>
        <v>31638.63</v>
      </c>
      <c r="AF39" s="688">
        <f>IFERROR(VLOOKUP($A39,'[93]8月'!$A:$H,8,0),0)</f>
        <v>31638.63</v>
      </c>
      <c r="AG39" s="688">
        <f>IFERROR(VLOOKUP($A39,'[93]9月'!$A:$H,8,0),0)</f>
        <v>31638.63</v>
      </c>
      <c r="AH39" s="688">
        <f>IFERROR(VLOOKUP($A39,'[93]10月'!$A:$H,8,0),0)</f>
        <v>31638.63</v>
      </c>
      <c r="AI39" s="688">
        <f>IFERROR(VLOOKUP($A39,'[93]11月'!$A:$H,8,0),0)</f>
        <v>31758.63</v>
      </c>
      <c r="AJ39" s="688">
        <f>IFERROR(VLOOKUP($A39,'[93]12月'!$A:$H,8,0),0)</f>
        <v>31662.63</v>
      </c>
      <c r="AK39" s="688">
        <f t="shared" si="25"/>
        <v>401914.63</v>
      </c>
    </row>
    <row r="40" spans="1:37" ht="13.5" customHeight="1">
      <c r="A40" s="653" t="str">
        <f>'Budget-合并'!A40</f>
        <v>6602.03.02</v>
      </c>
      <c r="B40" s="653" t="str">
        <f>'Budget-合并'!B40</f>
        <v>员工公积金福利</v>
      </c>
      <c r="C40" s="687">
        <f>'Budget-合并'!C40</f>
        <v>0</v>
      </c>
      <c r="D40" s="676">
        <f t="shared" ca="1" si="19"/>
        <v>15151.8</v>
      </c>
      <c r="E40" s="676" t="e">
        <f>INDEX($Y40:AHV40,1,MATCH($E$6,$Y$6:$AJ$6))</f>
        <v>#N/A</v>
      </c>
      <c r="F40" s="676" t="e">
        <f t="shared" ca="1" si="16"/>
        <v>#N/A</v>
      </c>
      <c r="G40" s="676">
        <f t="shared" ca="1" si="20"/>
        <v>15151.8</v>
      </c>
      <c r="H40" s="676" t="e">
        <f t="shared" ca="1" si="21"/>
        <v>#N/A</v>
      </c>
      <c r="I40" s="676" t="e">
        <f t="shared" ca="1" si="22"/>
        <v>#N/A</v>
      </c>
      <c r="K40" s="676">
        <f ca="1">INDEX('Personnel-CN'!$W$256:$AV$256,MATCH(K$6,'Personnel-CN'!$W$15:$AV$15,0))</f>
        <v>15151.8</v>
      </c>
      <c r="L40" s="676">
        <f ca="1">INDEX('Personnel-CN'!$W$256:$AV$256,MATCH(L$6,'Personnel-CN'!$W$15:$AV$15,0))</f>
        <v>15151.8</v>
      </c>
      <c r="M40" s="676">
        <f ca="1">INDEX('Personnel-CN'!$W$256:$AV$256,MATCH(M$6,'Personnel-CN'!$W$15:$AV$15,0))</f>
        <v>15151.8</v>
      </c>
      <c r="N40" s="676">
        <f ca="1">INDEX('Personnel-CN'!$W$256:$AV$256,MATCH(N$6,'Personnel-CN'!$W$15:$AV$15,0))</f>
        <v>19951.8</v>
      </c>
      <c r="O40" s="676">
        <f ca="1">INDEX('Personnel-CN'!$W$256:$AV$256,MATCH(O$6,'Personnel-CN'!$W$15:$AV$15,0))</f>
        <v>19951.8</v>
      </c>
      <c r="P40" s="676">
        <f ca="1">INDEX('Personnel-CN'!$W$256:$AV$256,MATCH(P$6,'Personnel-CN'!$W$15:$AV$15,0))</f>
        <v>19951.8</v>
      </c>
      <c r="Q40" s="676">
        <f ca="1">INDEX('Personnel-CN'!$W$256:$AV$256,MATCH(Q$6,'Personnel-CN'!$W$15:$AV$15,0))</f>
        <v>19951.8</v>
      </c>
      <c r="R40" s="676">
        <f ca="1">INDEX('Personnel-CN'!$W$256:$AV$256,MATCH(R$6,'Personnel-CN'!$W$15:$AV$15,0))</f>
        <v>19951.8</v>
      </c>
      <c r="S40" s="676">
        <f ca="1">INDEX('Personnel-CN'!$W$256:$AV$256,MATCH(S$6,'Personnel-CN'!$W$15:$AV$15,0))</f>
        <v>19951.8</v>
      </c>
      <c r="T40" s="676">
        <f ca="1">INDEX('Personnel-CN'!$W$256:$AV$256,MATCH(T$6,'Personnel-CN'!$W$15:$AV$15,0))</f>
        <v>19951.8</v>
      </c>
      <c r="U40" s="676">
        <f ca="1">INDEX('Personnel-CN'!$W$256:$AV$256,MATCH(U$6,'Personnel-CN'!$W$15:$AV$15,0))</f>
        <v>19951.8</v>
      </c>
      <c r="V40" s="676">
        <f ca="1">INDEX('Personnel-CN'!$W$256:$AV$256,MATCH(V$6,'Personnel-CN'!$W$15:$AV$15,0))</f>
        <v>19951.8</v>
      </c>
      <c r="W40" s="676">
        <f t="shared" ca="1" si="24"/>
        <v>225021.59999999995</v>
      </c>
      <c r="Y40" s="688">
        <f>IFERROR(VLOOKUP(A40,'[93]1月'!$A:$H,8,0),0)</f>
        <v>17705.16</v>
      </c>
      <c r="Z40" s="688">
        <f>IFERROR(VLOOKUP(A40,'[93]2月'!$A:$H,8,0),0)</f>
        <v>17705.16</v>
      </c>
      <c r="AA40" s="688">
        <f>IFERROR(VLOOKUP($A40,'[93]3月'!$A:$H,8,0),0)</f>
        <v>21905.16</v>
      </c>
      <c r="AB40" s="688">
        <f>IFERROR(VLOOKUP($A40,'[93]4月'!$A:$H,8,0),0)</f>
        <v>21905.16</v>
      </c>
      <c r="AC40" s="688">
        <f>IFERROR(VLOOKUP($A40,'[93]5月'!$A:$H,8,0),0)</f>
        <v>27144.240000000002</v>
      </c>
      <c r="AD40" s="688">
        <f>IFERROR(VLOOKUP($A40,'[93]6月'!$A:$H,8,0),0)</f>
        <v>21905.16</v>
      </c>
      <c r="AE40" s="688">
        <f>IFERROR(VLOOKUP($A40,'[93]7月'!$A:$H,8,0),0)</f>
        <v>20463.599999999999</v>
      </c>
      <c r="AF40" s="688">
        <f>IFERROR(VLOOKUP($A40,'[93]8月'!$A:$H,8,0),0)</f>
        <v>20463.599999999999</v>
      </c>
      <c r="AG40" s="688">
        <f>IFERROR(VLOOKUP($A40,'[93]9月'!$A:$H,8,0),0)</f>
        <v>20463.599999999999</v>
      </c>
      <c r="AH40" s="688">
        <f>IFERROR(VLOOKUP($A40,'[93]10月'!$A:$H,8,0),0)</f>
        <v>20463.599999999999</v>
      </c>
      <c r="AI40" s="688">
        <f>IFERROR(VLOOKUP($A40,'[93]11月'!$A:$H,8,0),0)</f>
        <v>20463.599999999999</v>
      </c>
      <c r="AJ40" s="688">
        <f>IFERROR(VLOOKUP($A40,'[93]12月'!$A:$H,8,0),0)</f>
        <v>20463.599999999999</v>
      </c>
      <c r="AK40" s="688">
        <f t="shared" si="25"/>
        <v>251051.64000000004</v>
      </c>
    </row>
    <row r="41" spans="1:37" ht="13.5" customHeight="1">
      <c r="A41" s="653" t="str">
        <f>'Budget-合并'!A41</f>
        <v>6602.03.03</v>
      </c>
      <c r="B41" s="653" t="str">
        <f>'Budget-合并'!B41</f>
        <v>员工强制性公积金福利</v>
      </c>
      <c r="C41" s="687" t="str">
        <f>'Budget-合并'!C41</f>
        <v>Pension Local/MPF</v>
      </c>
      <c r="D41" s="676">
        <f t="shared" si="19"/>
        <v>0</v>
      </c>
      <c r="E41" s="676" t="e">
        <f>INDEX($Y41:AHV41,1,MATCH($E$6,$Y$6:$AJ$6))</f>
        <v>#N/A</v>
      </c>
      <c r="F41" s="676" t="e">
        <f t="shared" si="16"/>
        <v>#N/A</v>
      </c>
      <c r="G41" s="676">
        <f t="shared" ca="1" si="20"/>
        <v>0</v>
      </c>
      <c r="H41" s="676" t="e">
        <f t="shared" ca="1" si="21"/>
        <v>#N/A</v>
      </c>
      <c r="I41" s="676" t="e">
        <f t="shared" ca="1" si="22"/>
        <v>#N/A</v>
      </c>
      <c r="K41" s="676"/>
      <c r="L41" s="676"/>
      <c r="M41" s="676"/>
      <c r="N41" s="676"/>
      <c r="O41" s="676"/>
      <c r="P41" s="676"/>
      <c r="Q41" s="676"/>
      <c r="R41" s="676"/>
      <c r="S41" s="676"/>
      <c r="T41" s="676"/>
      <c r="U41" s="676"/>
      <c r="V41" s="676"/>
      <c r="W41" s="676">
        <f t="shared" si="24"/>
        <v>0</v>
      </c>
      <c r="Y41" s="688">
        <f>IFERROR(VLOOKUP(A41,'[93]1月'!$A:$H,8,0),0)</f>
        <v>0</v>
      </c>
      <c r="Z41" s="688">
        <f>IFERROR(VLOOKUP(A41,'[93]2月'!$A:$H,8,0),0)</f>
        <v>0</v>
      </c>
      <c r="AA41" s="688">
        <f>IFERROR(VLOOKUP($A41,'[93]3月'!$A:$H,8,0),0)</f>
        <v>0</v>
      </c>
      <c r="AB41" s="688">
        <f>IFERROR(VLOOKUP($A41,'[93]4月'!$A:$H,8,0),0)</f>
        <v>0</v>
      </c>
      <c r="AC41" s="688">
        <f>IFERROR(VLOOKUP($A41,'[93]5月'!$A:$H,8,0),0)</f>
        <v>0</v>
      </c>
      <c r="AD41" s="688">
        <f>IFERROR(VLOOKUP($A41,'[93]6月'!$A:$H,8,0),0)</f>
        <v>0</v>
      </c>
      <c r="AE41" s="688">
        <f>IFERROR(VLOOKUP($A41,'[93]7月'!$A:$H,8,0),0)</f>
        <v>0</v>
      </c>
      <c r="AF41" s="688">
        <f>IFERROR(VLOOKUP($A41,'[93]8月'!$A:$H,8,0),0)</f>
        <v>0</v>
      </c>
      <c r="AG41" s="688">
        <f>IFERROR(VLOOKUP($A41,'[93]9月'!$A:$H,8,0),0)</f>
        <v>0</v>
      </c>
      <c r="AH41" s="688">
        <f>IFERROR(VLOOKUP($A41,'[93]10月'!$A:$H,8,0),0)</f>
        <v>0</v>
      </c>
      <c r="AI41" s="688">
        <f>IFERROR(VLOOKUP($A41,'[93]11月'!$A:$H,8,0),0)</f>
        <v>0</v>
      </c>
      <c r="AJ41" s="688">
        <f>IFERROR(VLOOKUP($A41,'[93]12月'!$A:$H,8,0),0)</f>
        <v>0</v>
      </c>
      <c r="AK41" s="688">
        <f t="shared" si="25"/>
        <v>0</v>
      </c>
    </row>
    <row r="42" spans="1:37" ht="13.5" customHeight="1">
      <c r="A42" s="686">
        <f>'Budget-合并'!A42</f>
        <v>0</v>
      </c>
      <c r="B42" s="686" t="str">
        <f>'Budget-合并'!B42</f>
        <v>管理人工费用小计</v>
      </c>
      <c r="C42" s="687">
        <f>'Budget-合并'!C42</f>
        <v>0</v>
      </c>
      <c r="D42" s="677">
        <f t="shared" ca="1" si="19"/>
        <v>255469.01</v>
      </c>
      <c r="E42" s="677" t="e">
        <f>INDEX($Y42:AHV42,1,MATCH($E$6,$Y$6:$AJ$6))</f>
        <v>#N/A</v>
      </c>
      <c r="F42" s="677" t="e">
        <f t="shared" ca="1" si="16"/>
        <v>#N/A</v>
      </c>
      <c r="G42" s="677">
        <f t="shared" ca="1" si="20"/>
        <v>255469.01</v>
      </c>
      <c r="H42" s="677" t="e">
        <f t="shared" ca="1" si="21"/>
        <v>#N/A</v>
      </c>
      <c r="I42" s="677" t="e">
        <f t="shared" ca="1" si="22"/>
        <v>#N/A</v>
      </c>
      <c r="K42" s="677">
        <f ca="1">SUM(K23,K33,K38)</f>
        <v>255469.01</v>
      </c>
      <c r="L42" s="677">
        <f t="shared" ref="L42:V42" ca="1" si="29">SUM(L23,L33,L38)</f>
        <v>255339.01</v>
      </c>
      <c r="M42" s="677">
        <f t="shared" ca="1" si="29"/>
        <v>255339.01</v>
      </c>
      <c r="N42" s="677">
        <f t="shared" ca="1" si="29"/>
        <v>628143.97</v>
      </c>
      <c r="O42" s="677">
        <f t="shared" ca="1" si="29"/>
        <v>307143.96999999997</v>
      </c>
      <c r="P42" s="677">
        <f t="shared" ca="1" si="29"/>
        <v>307143.96999999997</v>
      </c>
      <c r="Q42" s="677">
        <f t="shared" ca="1" si="29"/>
        <v>307143.96999999997</v>
      </c>
      <c r="R42" s="677">
        <f t="shared" ca="1" si="29"/>
        <v>307143.96999999997</v>
      </c>
      <c r="S42" s="677">
        <f t="shared" ca="1" si="29"/>
        <v>307143.96999999997</v>
      </c>
      <c r="T42" s="677">
        <f t="shared" ca="1" si="29"/>
        <v>307143.96999999997</v>
      </c>
      <c r="U42" s="677">
        <f t="shared" ca="1" si="29"/>
        <v>307143.96999999997</v>
      </c>
      <c r="V42" s="677">
        <f t="shared" ca="1" si="29"/>
        <v>307143.96999999997</v>
      </c>
      <c r="W42" s="677">
        <f t="shared" ca="1" si="24"/>
        <v>3851442.7599999988</v>
      </c>
      <c r="Y42" s="677">
        <f>SUM(Y23,Y33,Y38)</f>
        <v>286554.71000000002</v>
      </c>
      <c r="Z42" s="677">
        <f t="shared" ref="Z42:AK42" si="30">SUM(Z23,Z33,Z38)</f>
        <v>299286.29000000004</v>
      </c>
      <c r="AA42" s="677">
        <f t="shared" si="30"/>
        <v>330440.31</v>
      </c>
      <c r="AB42" s="677">
        <f t="shared" si="30"/>
        <v>330440.31</v>
      </c>
      <c r="AC42" s="677">
        <f t="shared" si="30"/>
        <v>406748.27</v>
      </c>
      <c r="AD42" s="677">
        <f t="shared" si="30"/>
        <v>335152.8</v>
      </c>
      <c r="AE42" s="677">
        <f t="shared" si="30"/>
        <v>337102.23</v>
      </c>
      <c r="AF42" s="677">
        <f t="shared" si="30"/>
        <v>337102.23</v>
      </c>
      <c r="AG42" s="677">
        <f t="shared" si="30"/>
        <v>337102.23</v>
      </c>
      <c r="AH42" s="677">
        <f t="shared" si="30"/>
        <v>337102.23</v>
      </c>
      <c r="AI42" s="677">
        <f t="shared" si="30"/>
        <v>337222.23</v>
      </c>
      <c r="AJ42" s="677">
        <f t="shared" si="30"/>
        <v>330275.65999999997</v>
      </c>
      <c r="AK42" s="677">
        <f t="shared" si="30"/>
        <v>4004529.5</v>
      </c>
    </row>
    <row r="43" spans="1:37" ht="13.5" customHeight="1">
      <c r="A43" s="653">
        <f>'Budget-合并'!A43</f>
        <v>0</v>
      </c>
      <c r="B43" s="653">
        <f>'Budget-合并'!B43</f>
        <v>0</v>
      </c>
      <c r="C43" s="687">
        <f>'Budget-合并'!C43</f>
        <v>0</v>
      </c>
    </row>
    <row r="44" spans="1:37" ht="13.5" customHeight="1">
      <c r="A44" s="663" t="str">
        <f>'Budget-合并'!A44</f>
        <v>6602.04</v>
      </c>
      <c r="B44" s="663" t="str">
        <f>'Budget-合并'!B44</f>
        <v>咨询及专业服务费</v>
      </c>
      <c r="C44" s="687">
        <f>'Budget-合并'!C44</f>
        <v>0</v>
      </c>
      <c r="D44" s="676">
        <f t="shared" ref="D44:D107" si="31">INDEX($K44:$V44,1,MATCH($D$6,$K$6:$V$6))</f>
        <v>1200</v>
      </c>
      <c r="E44" s="676" t="e">
        <f>INDEX($Y44:AHV44,1,MATCH($E$6,$Y$6:$AJ$6))</f>
        <v>#N/A</v>
      </c>
      <c r="F44" s="676" t="e">
        <f t="shared" ref="F44:F107" si="32">D44-E44</f>
        <v>#N/A</v>
      </c>
      <c r="G44" s="676">
        <f t="shared" ref="G44:G107" ca="1" si="33">SUM($K44:OFFSET($K44,0,MATCH(G$6,$K$6:$V$6)-1))</f>
        <v>1200</v>
      </c>
      <c r="H44" s="676" t="e">
        <f t="shared" ref="H44:H107" ca="1" si="34">SUM($Y44:OFFSET($Y44,0,MATCH(H$6,$Y$6:$AJ$6)-1))</f>
        <v>#N/A</v>
      </c>
      <c r="I44" s="676" t="e">
        <f t="shared" ref="I44:I107" ca="1" si="35">G44-H44</f>
        <v>#N/A</v>
      </c>
      <c r="K44" s="676">
        <f t="shared" ref="K44:V44" si="36">SUM(K45,K46,K47,K51:K61)</f>
        <v>1200</v>
      </c>
      <c r="L44" s="676">
        <f t="shared" si="36"/>
        <v>1200</v>
      </c>
      <c r="M44" s="676">
        <f t="shared" si="36"/>
        <v>1200</v>
      </c>
      <c r="N44" s="676">
        <f t="shared" si="36"/>
        <v>1200</v>
      </c>
      <c r="O44" s="676">
        <f t="shared" si="36"/>
        <v>1200</v>
      </c>
      <c r="P44" s="676">
        <f t="shared" si="36"/>
        <v>95720</v>
      </c>
      <c r="Q44" s="676">
        <f t="shared" si="36"/>
        <v>1200</v>
      </c>
      <c r="R44" s="676">
        <f t="shared" si="36"/>
        <v>1200</v>
      </c>
      <c r="S44" s="676">
        <f t="shared" si="36"/>
        <v>1200</v>
      </c>
      <c r="T44" s="676">
        <f t="shared" si="36"/>
        <v>1200</v>
      </c>
      <c r="U44" s="676">
        <f t="shared" si="36"/>
        <v>1200</v>
      </c>
      <c r="V44" s="676">
        <f t="shared" si="36"/>
        <v>1200</v>
      </c>
      <c r="W44" s="676">
        <f t="shared" si="24"/>
        <v>108920</v>
      </c>
      <c r="Y44" s="688">
        <f>IFERROR(VLOOKUP(A44,'[93]1月'!$A:$H,8,0),0)</f>
        <v>1200</v>
      </c>
      <c r="Z44" s="688">
        <f>IFERROR(VLOOKUP(A44,'[93]2月'!$A:$H,8,0),0)</f>
        <v>1400</v>
      </c>
      <c r="AA44" s="688">
        <f>IFERROR(VLOOKUP($A44,'[93]3月'!$A:$H,8,0),0)</f>
        <v>1400</v>
      </c>
      <c r="AB44" s="688">
        <f>IFERROR(VLOOKUP($A44,'[93]4月'!$A:$H,8,0),0)</f>
        <v>1400</v>
      </c>
      <c r="AC44" s="688">
        <f>IFERROR(VLOOKUP($A44,'[93]5月'!$A:$H,8,0),0)</f>
        <v>4105</v>
      </c>
      <c r="AD44" s="688">
        <f>IFERROR(VLOOKUP($A44,'[93]6月'!$A:$H,8,0),0)</f>
        <v>1400</v>
      </c>
      <c r="AE44" s="688">
        <f>IFERROR(VLOOKUP($A44,'[93]7月'!$A:$H,8,0),0)</f>
        <v>1200</v>
      </c>
      <c r="AF44" s="688">
        <f>IFERROR(VLOOKUP($A44,'[93]8月'!$A:$H,8,0),0)</f>
        <v>1200</v>
      </c>
      <c r="AG44" s="688">
        <f>IFERROR(VLOOKUP($A44,'[93]9月'!$A:$H,8,0),0)</f>
        <v>1200</v>
      </c>
      <c r="AH44" s="688">
        <f>IFERROR(VLOOKUP($A44,'[93]10月'!$A:$H,8,0),0)</f>
        <v>1200</v>
      </c>
      <c r="AI44" s="688">
        <f>IFERROR(VLOOKUP($A44,'[93]11月'!$A:$H,8,0),0)</f>
        <v>1200</v>
      </c>
      <c r="AJ44" s="688">
        <f>IFERROR(VLOOKUP($A44,'[93]12月'!$A:$H,8,0),0)</f>
        <v>41200</v>
      </c>
      <c r="AK44" s="688">
        <f t="shared" ref="AK44:AK107" si="37">SUM(Y44:AJ44)</f>
        <v>58105</v>
      </c>
    </row>
    <row r="45" spans="1:37" ht="13.5" customHeight="1">
      <c r="A45" s="653" t="str">
        <f>'Budget-合并'!A45</f>
        <v>6602.04.01</v>
      </c>
      <c r="B45" s="653" t="str">
        <f>'Budget-合并'!B45</f>
        <v>会计服务费</v>
      </c>
      <c r="C45" s="687" t="str">
        <f>'Budget-合并'!C45</f>
        <v>Accounting/Payment Services</v>
      </c>
      <c r="D45" s="676">
        <f t="shared" si="31"/>
        <v>0</v>
      </c>
      <c r="E45" s="676" t="e">
        <f>INDEX($Y45:AHV45,1,MATCH($E$6,$Y$6:$AJ$6))</f>
        <v>#N/A</v>
      </c>
      <c r="F45" s="676" t="e">
        <f t="shared" si="32"/>
        <v>#N/A</v>
      </c>
      <c r="G45" s="676">
        <f t="shared" ca="1" si="33"/>
        <v>0</v>
      </c>
      <c r="H45" s="676" t="e">
        <f t="shared" ca="1" si="34"/>
        <v>#N/A</v>
      </c>
      <c r="I45" s="676" t="e">
        <f t="shared" ca="1" si="35"/>
        <v>#N/A</v>
      </c>
      <c r="K45" s="676">
        <f>SUMIFS('Prof. Fee'!AF$3:AF$150,'Prof. Fee'!$B$3:$B$150,$D$1,'Prof. Fee'!$D$3:$D$150,$A45)</f>
        <v>0</v>
      </c>
      <c r="L45" s="676">
        <f>SUMIFS('Prof. Fee'!AG$3:AG$150,'Prof. Fee'!$B$3:$B$150,$D$1,'Prof. Fee'!$D$3:$D$150,$A45)</f>
        <v>0</v>
      </c>
      <c r="M45" s="676">
        <f>SUMIFS('Prof. Fee'!AH$3:AH$150,'Prof. Fee'!$B$3:$B$150,$D$1,'Prof. Fee'!$D$3:$D$150,$A45)</f>
        <v>0</v>
      </c>
      <c r="N45" s="676">
        <f>SUMIFS('Prof. Fee'!AI$3:AI$150,'Prof. Fee'!$B$3:$B$150,$D$1,'Prof. Fee'!$D$3:$D$150,$A45)</f>
        <v>0</v>
      </c>
      <c r="O45" s="676">
        <f>SUMIFS('Prof. Fee'!AJ$3:AJ$150,'Prof. Fee'!$B$3:$B$150,$D$1,'Prof. Fee'!$D$3:$D$150,$A45)</f>
        <v>0</v>
      </c>
      <c r="P45" s="676">
        <f>SUMIFS('Prof. Fee'!AK$3:AK$150,'Prof. Fee'!$B$3:$B$150,$D$1,'Prof. Fee'!$D$3:$D$150,$A45)</f>
        <v>0</v>
      </c>
      <c r="Q45" s="676">
        <f>SUMIFS('Prof. Fee'!AL$3:AL$150,'Prof. Fee'!$B$3:$B$150,$D$1,'Prof. Fee'!$D$3:$D$150,$A45)</f>
        <v>0</v>
      </c>
      <c r="R45" s="676">
        <f>SUMIFS('Prof. Fee'!AM$3:AM$150,'Prof. Fee'!$B$3:$B$150,$D$1,'Prof. Fee'!$D$3:$D$150,$A45)</f>
        <v>0</v>
      </c>
      <c r="S45" s="676">
        <f>SUMIFS('Prof. Fee'!AN$3:AN$150,'Prof. Fee'!$B$3:$B$150,$D$1,'Prof. Fee'!$D$3:$D$150,$A45)</f>
        <v>0</v>
      </c>
      <c r="T45" s="676">
        <f>SUMIFS('Prof. Fee'!AO$3:AO$150,'Prof. Fee'!$B$3:$B$150,$D$1,'Prof. Fee'!$D$3:$D$150,$A45)</f>
        <v>0</v>
      </c>
      <c r="U45" s="676">
        <f>SUMIFS('Prof. Fee'!AP$3:AP$150,'Prof. Fee'!$B$3:$B$150,$D$1,'Prof. Fee'!$D$3:$D$150,$A45)</f>
        <v>0</v>
      </c>
      <c r="V45" s="676">
        <f>SUMIFS('Prof. Fee'!AQ$3:AQ$150,'Prof. Fee'!$B$3:$B$150,$D$1,'Prof. Fee'!$D$3:$D$150,$A45)</f>
        <v>0</v>
      </c>
      <c r="W45" s="676">
        <f t="shared" si="24"/>
        <v>0</v>
      </c>
      <c r="Y45" s="688">
        <f>IFERROR(VLOOKUP(A45,'[93]1月'!$A:$H,8,0),0)</f>
        <v>0</v>
      </c>
      <c r="Z45" s="688">
        <f>IFERROR(VLOOKUP(A45,'[93]2月'!$A:$H,8,0),0)</f>
        <v>0</v>
      </c>
      <c r="AA45" s="688">
        <f>IFERROR(VLOOKUP($A45,'[93]3月'!$A:$H,8,0),0)</f>
        <v>0</v>
      </c>
      <c r="AB45" s="688">
        <f>IFERROR(VLOOKUP($A45,'[93]4月'!$A:$H,8,0),0)</f>
        <v>0</v>
      </c>
      <c r="AC45" s="688">
        <f>IFERROR(VLOOKUP($A45,'[93]5月'!$A:$H,8,0),0)</f>
        <v>0</v>
      </c>
      <c r="AD45" s="688">
        <f>IFERROR(VLOOKUP($A45,'[93]6月'!$A:$H,8,0),0)</f>
        <v>0</v>
      </c>
      <c r="AE45" s="688">
        <f>IFERROR(VLOOKUP($A45,'[93]7月'!$A:$H,8,0),0)</f>
        <v>0</v>
      </c>
      <c r="AF45" s="688">
        <f>IFERROR(VLOOKUP($A45,'[93]8月'!$A:$H,8,0),0)</f>
        <v>0</v>
      </c>
      <c r="AG45" s="688">
        <f>IFERROR(VLOOKUP($A45,'[93]9月'!$A:$H,8,0),0)</f>
        <v>0</v>
      </c>
      <c r="AH45" s="688">
        <f>IFERROR(VLOOKUP($A45,'[93]10月'!$A:$H,8,0),0)</f>
        <v>0</v>
      </c>
      <c r="AI45" s="688">
        <f>IFERROR(VLOOKUP($A45,'[93]11月'!$A:$H,8,0),0)</f>
        <v>0</v>
      </c>
      <c r="AJ45" s="688">
        <f>IFERROR(VLOOKUP($A45,'[93]12月'!$A:$H,8,0),0)</f>
        <v>0</v>
      </c>
      <c r="AK45" s="688">
        <f t="shared" si="37"/>
        <v>0</v>
      </c>
    </row>
    <row r="46" spans="1:37" ht="13.5" customHeight="1">
      <c r="A46" s="653" t="str">
        <f>'Budget-合并'!A46</f>
        <v>6602.04.02</v>
      </c>
      <c r="B46" s="653" t="str">
        <f>'Budget-合并'!B46</f>
        <v>审计服务费</v>
      </c>
      <c r="C46" s="687" t="str">
        <f>'Budget-合并'!C46</f>
        <v>Audit Fees</v>
      </c>
      <c r="D46" s="676">
        <f t="shared" si="31"/>
        <v>0</v>
      </c>
      <c r="E46" s="676" t="e">
        <f>INDEX($Y46:AHV46,1,MATCH($E$6,$Y$6:$AJ$6))</f>
        <v>#N/A</v>
      </c>
      <c r="F46" s="676" t="e">
        <f t="shared" si="32"/>
        <v>#N/A</v>
      </c>
      <c r="G46" s="676">
        <f t="shared" ca="1" si="33"/>
        <v>0</v>
      </c>
      <c r="H46" s="676" t="e">
        <f t="shared" ca="1" si="34"/>
        <v>#N/A</v>
      </c>
      <c r="I46" s="676" t="e">
        <f t="shared" ca="1" si="35"/>
        <v>#N/A</v>
      </c>
      <c r="K46" s="676">
        <f>SUMIFS('Prof. Fee'!AF$3:AF$150,'Prof. Fee'!$B$3:$B$150,$D$1,'Prof. Fee'!$D$3:$D$150,$A46)</f>
        <v>0</v>
      </c>
      <c r="L46" s="676">
        <f>SUMIFS('Prof. Fee'!AG$3:AG$150,'Prof. Fee'!$B$3:$B$150,$D$1,'Prof. Fee'!$D$3:$D$150,$A46)</f>
        <v>0</v>
      </c>
      <c r="M46" s="676">
        <f>SUMIFS('Prof. Fee'!AH$3:AH$150,'Prof. Fee'!$B$3:$B$150,$D$1,'Prof. Fee'!$D$3:$D$150,$A46)</f>
        <v>0</v>
      </c>
      <c r="N46" s="676">
        <f>SUMIFS('Prof. Fee'!AI$3:AI$150,'Prof. Fee'!$B$3:$B$150,$D$1,'Prof. Fee'!$D$3:$D$150,$A46)</f>
        <v>0</v>
      </c>
      <c r="O46" s="676">
        <f>SUMIFS('Prof. Fee'!AJ$3:AJ$150,'Prof. Fee'!$B$3:$B$150,$D$1,'Prof. Fee'!$D$3:$D$150,$A46)</f>
        <v>0</v>
      </c>
      <c r="P46" s="676">
        <f>SUMIFS('Prof. Fee'!AK$3:AK$150,'Prof. Fee'!$B$3:$B$150,$D$1,'Prof. Fee'!$D$3:$D$150,$A46)</f>
        <v>44520</v>
      </c>
      <c r="Q46" s="676">
        <f>SUMIFS('Prof. Fee'!AL$3:AL$150,'Prof. Fee'!$B$3:$B$150,$D$1,'Prof. Fee'!$D$3:$D$150,$A46)</f>
        <v>0</v>
      </c>
      <c r="R46" s="676">
        <f>SUMIFS('Prof. Fee'!AM$3:AM$150,'Prof. Fee'!$B$3:$B$150,$D$1,'Prof. Fee'!$D$3:$D$150,$A46)</f>
        <v>0</v>
      </c>
      <c r="S46" s="676">
        <f>SUMIFS('Prof. Fee'!AN$3:AN$150,'Prof. Fee'!$B$3:$B$150,$D$1,'Prof. Fee'!$D$3:$D$150,$A46)</f>
        <v>0</v>
      </c>
      <c r="T46" s="676">
        <f>SUMIFS('Prof. Fee'!AO$3:AO$150,'Prof. Fee'!$B$3:$B$150,$D$1,'Prof. Fee'!$D$3:$D$150,$A46)</f>
        <v>0</v>
      </c>
      <c r="U46" s="676">
        <f>SUMIFS('Prof. Fee'!AP$3:AP$150,'Prof. Fee'!$B$3:$B$150,$D$1,'Prof. Fee'!$D$3:$D$150,$A46)</f>
        <v>0</v>
      </c>
      <c r="V46" s="676">
        <f>SUMIFS('Prof. Fee'!AQ$3:AQ$150,'Prof. Fee'!$B$3:$B$150,$D$1,'Prof. Fee'!$D$3:$D$150,$A46)</f>
        <v>0</v>
      </c>
      <c r="W46" s="676">
        <f t="shared" si="24"/>
        <v>44520</v>
      </c>
      <c r="Y46" s="688">
        <f>IFERROR(VLOOKUP(A46,'[93]1月'!$A:$H,8,0),0)</f>
        <v>0</v>
      </c>
      <c r="Z46" s="688">
        <f>IFERROR(VLOOKUP(A46,'[93]2月'!$A:$H,8,0),0)</f>
        <v>0</v>
      </c>
      <c r="AA46" s="688">
        <f>IFERROR(VLOOKUP($A46,'[93]3月'!$A:$H,8,0),0)</f>
        <v>0</v>
      </c>
      <c r="AB46" s="688">
        <f>IFERROR(VLOOKUP($A46,'[93]4月'!$A:$H,8,0),0)</f>
        <v>0</v>
      </c>
      <c r="AC46" s="688">
        <f>IFERROR(VLOOKUP($A46,'[93]5月'!$A:$H,8,0),0)</f>
        <v>894.43</v>
      </c>
      <c r="AD46" s="688">
        <f>IFERROR(VLOOKUP($A46,'[93]6月'!$A:$H,8,0),0)</f>
        <v>0</v>
      </c>
      <c r="AE46" s="688">
        <f>IFERROR(VLOOKUP($A46,'[93]7月'!$A:$H,8,0),0)</f>
        <v>0</v>
      </c>
      <c r="AF46" s="688">
        <f>IFERROR(VLOOKUP($A46,'[93]8月'!$A:$H,8,0),0)</f>
        <v>0</v>
      </c>
      <c r="AG46" s="688">
        <f>IFERROR(VLOOKUP($A46,'[93]9月'!$A:$H,8,0),0)</f>
        <v>0</v>
      </c>
      <c r="AH46" s="688">
        <f>IFERROR(VLOOKUP($A46,'[93]10月'!$A:$H,8,0),0)</f>
        <v>0</v>
      </c>
      <c r="AI46" s="688">
        <f>IFERROR(VLOOKUP($A46,'[93]11月'!$A:$H,8,0),0)</f>
        <v>0</v>
      </c>
      <c r="AJ46" s="688">
        <f>IFERROR(VLOOKUP($A46,'[93]12月'!$A:$H,8,0),0)</f>
        <v>40000</v>
      </c>
      <c r="AK46" s="688">
        <f t="shared" si="37"/>
        <v>40894.43</v>
      </c>
    </row>
    <row r="47" spans="1:37" ht="13.5" customHeight="1">
      <c r="A47" s="653" t="str">
        <f>'Budget-合并'!A47</f>
        <v>6602.04.03</v>
      </c>
      <c r="B47" s="653" t="str">
        <f>'Budget-合并'!B47</f>
        <v>顾问费</v>
      </c>
      <c r="C47" s="687" t="str">
        <f>'Budget-合并'!C47</f>
        <v>Advisory fee</v>
      </c>
      <c r="D47" s="676">
        <f t="shared" si="31"/>
        <v>0</v>
      </c>
      <c r="E47" s="676" t="e">
        <f>INDEX($Y47:AHV47,1,MATCH($E$6,$Y$6:$AJ$6))</f>
        <v>#N/A</v>
      </c>
      <c r="F47" s="676" t="e">
        <f t="shared" si="32"/>
        <v>#N/A</v>
      </c>
      <c r="G47" s="676">
        <f t="shared" ca="1" si="33"/>
        <v>0</v>
      </c>
      <c r="H47" s="676" t="e">
        <f t="shared" ca="1" si="34"/>
        <v>#N/A</v>
      </c>
      <c r="I47" s="676" t="e">
        <f t="shared" ca="1" si="35"/>
        <v>#N/A</v>
      </c>
      <c r="K47" s="676">
        <f t="shared" ref="K47:V47" si="38">SUM(K48:K50)</f>
        <v>0</v>
      </c>
      <c r="L47" s="676">
        <f t="shared" si="38"/>
        <v>0</v>
      </c>
      <c r="M47" s="676">
        <f t="shared" si="38"/>
        <v>0</v>
      </c>
      <c r="N47" s="676">
        <f t="shared" si="38"/>
        <v>0</v>
      </c>
      <c r="O47" s="676">
        <f t="shared" si="38"/>
        <v>0</v>
      </c>
      <c r="P47" s="676">
        <f t="shared" si="38"/>
        <v>0</v>
      </c>
      <c r="Q47" s="676">
        <f t="shared" si="38"/>
        <v>0</v>
      </c>
      <c r="R47" s="676">
        <f t="shared" si="38"/>
        <v>0</v>
      </c>
      <c r="S47" s="676">
        <f t="shared" si="38"/>
        <v>0</v>
      </c>
      <c r="T47" s="676">
        <f t="shared" si="38"/>
        <v>0</v>
      </c>
      <c r="U47" s="676">
        <f t="shared" si="38"/>
        <v>0</v>
      </c>
      <c r="V47" s="676">
        <f t="shared" si="38"/>
        <v>0</v>
      </c>
      <c r="W47" s="676">
        <f t="shared" si="24"/>
        <v>0</v>
      </c>
      <c r="Y47" s="688">
        <f>IFERROR(VLOOKUP(A47,'[93]1月'!$A:$H,8,0),0)</f>
        <v>0</v>
      </c>
      <c r="Z47" s="688">
        <f>IFERROR(VLOOKUP(A47,'[93]2月'!$A:$H,8,0),0)</f>
        <v>0</v>
      </c>
      <c r="AA47" s="688">
        <f>IFERROR(VLOOKUP($A47,'[93]3月'!$A:$H,8,0),0)</f>
        <v>0</v>
      </c>
      <c r="AB47" s="688">
        <f>IFERROR(VLOOKUP($A47,'[93]4月'!$A:$H,8,0),0)</f>
        <v>0</v>
      </c>
      <c r="AC47" s="688">
        <f>IFERROR(VLOOKUP($A47,'[93]5月'!$A:$H,8,0),0)</f>
        <v>0</v>
      </c>
      <c r="AD47" s="688">
        <f>IFERROR(VLOOKUP($A47,'[93]6月'!$A:$H,8,0),0)</f>
        <v>0</v>
      </c>
      <c r="AE47" s="688">
        <f>IFERROR(VLOOKUP($A47,'[93]7月'!$A:$H,8,0),0)</f>
        <v>0</v>
      </c>
      <c r="AF47" s="688">
        <f>IFERROR(VLOOKUP($A47,'[93]8月'!$A:$H,8,0),0)</f>
        <v>0</v>
      </c>
      <c r="AG47" s="688">
        <f>IFERROR(VLOOKUP($A47,'[93]9月'!$A:$H,8,0),0)</f>
        <v>0</v>
      </c>
      <c r="AH47" s="688">
        <f>IFERROR(VLOOKUP($A47,'[93]10月'!$A:$H,8,0),0)</f>
        <v>0</v>
      </c>
      <c r="AI47" s="688">
        <f>IFERROR(VLOOKUP($A47,'[93]11月'!$A:$H,8,0),0)</f>
        <v>0</v>
      </c>
      <c r="AJ47" s="688">
        <f>IFERROR(VLOOKUP($A47,'[93]12月'!$A:$H,8,0),0)</f>
        <v>0</v>
      </c>
      <c r="AK47" s="688">
        <f t="shared" si="37"/>
        <v>0</v>
      </c>
    </row>
    <row r="48" spans="1:37" ht="13.5" customHeight="1">
      <c r="A48" s="653">
        <f>'Budget-合并'!A48</f>
        <v>0</v>
      </c>
      <c r="B48" s="653" t="str">
        <f>'Budget-合并'!B48</f>
        <v xml:space="preserve">    公司主体01</v>
      </c>
      <c r="C48" s="687" t="str">
        <f>'Budget-合并'!C48</f>
        <v xml:space="preserve">   Entity</v>
      </c>
      <c r="D48" s="676">
        <f t="shared" si="31"/>
        <v>0</v>
      </c>
      <c r="E48" s="676" t="e">
        <f>INDEX($Y48:AHV48,1,MATCH($E$6,$Y$6:$AJ$6))</f>
        <v>#N/A</v>
      </c>
      <c r="F48" s="676" t="e">
        <f t="shared" si="32"/>
        <v>#N/A</v>
      </c>
      <c r="G48" s="676">
        <f t="shared" ca="1" si="33"/>
        <v>0</v>
      </c>
      <c r="H48" s="676" t="e">
        <f t="shared" ca="1" si="34"/>
        <v>#N/A</v>
      </c>
      <c r="I48" s="676" t="e">
        <f t="shared" ca="1" si="35"/>
        <v>#N/A</v>
      </c>
      <c r="K48" s="676"/>
      <c r="L48" s="676"/>
      <c r="M48" s="676"/>
      <c r="N48" s="676"/>
      <c r="O48" s="676"/>
      <c r="P48" s="676"/>
      <c r="Q48" s="676"/>
      <c r="R48" s="676"/>
      <c r="S48" s="676"/>
      <c r="T48" s="676"/>
      <c r="U48" s="676"/>
      <c r="V48" s="676"/>
      <c r="W48" s="676">
        <f t="shared" si="24"/>
        <v>0</v>
      </c>
      <c r="Y48" s="688">
        <f>IFERROR(VLOOKUP(A48,'[93]1月'!$A:$H,8,0),0)</f>
        <v>0</v>
      </c>
      <c r="Z48" s="688">
        <f>IFERROR(VLOOKUP(A48,'[93]2月'!$A:$H,8,0),0)</f>
        <v>0</v>
      </c>
      <c r="AA48" s="688">
        <f>IFERROR(VLOOKUP($A48,'[93]3月'!$A:$H,8,0),0)</f>
        <v>0</v>
      </c>
      <c r="AB48" s="688">
        <f>IFERROR(VLOOKUP($A48,'[93]4月'!$A:$H,8,0),0)</f>
        <v>0</v>
      </c>
      <c r="AC48" s="688">
        <f>IFERROR(VLOOKUP($A48,'[93]5月'!$A:$H,8,0),0)</f>
        <v>0</v>
      </c>
      <c r="AD48" s="688">
        <f>IFERROR(VLOOKUP($A48,'[93]6月'!$A:$H,8,0),0)</f>
        <v>0</v>
      </c>
      <c r="AE48" s="688">
        <f>IFERROR(VLOOKUP($A48,'[93]7月'!$A:$H,8,0),0)</f>
        <v>0</v>
      </c>
      <c r="AF48" s="688">
        <f>IFERROR(VLOOKUP($A48,'[93]8月'!$A:$H,8,0),0)</f>
        <v>0</v>
      </c>
      <c r="AG48" s="688">
        <f>IFERROR(VLOOKUP($A48,'[93]9月'!$A:$H,8,0),0)</f>
        <v>0</v>
      </c>
      <c r="AH48" s="688">
        <f>IFERROR(VLOOKUP($A48,'[93]10月'!$A:$H,8,0),0)</f>
        <v>0</v>
      </c>
      <c r="AI48" s="688">
        <f>IFERROR(VLOOKUP($A48,'[93]11月'!$A:$H,8,0),0)</f>
        <v>0</v>
      </c>
      <c r="AJ48" s="688">
        <f>IFERROR(VLOOKUP($A48,'[93]12月'!$A:$H,8,0),0)</f>
        <v>0</v>
      </c>
      <c r="AK48" s="688">
        <f t="shared" si="37"/>
        <v>0</v>
      </c>
    </row>
    <row r="49" spans="1:37" ht="13.5" customHeight="1">
      <c r="A49" s="653">
        <f>'Budget-合并'!A49</f>
        <v>0</v>
      </c>
      <c r="B49" s="653" t="str">
        <f>'Budget-合并'!B49</f>
        <v xml:space="preserve">    旭智富能01</v>
      </c>
      <c r="C49" s="687" t="str">
        <f>'Budget-合并'!C49</f>
        <v xml:space="preserve">   Foxpower</v>
      </c>
      <c r="D49" s="676">
        <f t="shared" si="31"/>
        <v>0</v>
      </c>
      <c r="E49" s="676" t="e">
        <f>INDEX($Y49:AHV49,1,MATCH($E$6,$Y$6:$AJ$6))</f>
        <v>#N/A</v>
      </c>
      <c r="F49" s="676" t="e">
        <f t="shared" si="32"/>
        <v>#N/A</v>
      </c>
      <c r="G49" s="676">
        <f t="shared" ca="1" si="33"/>
        <v>0</v>
      </c>
      <c r="H49" s="676" t="e">
        <f t="shared" ca="1" si="34"/>
        <v>#N/A</v>
      </c>
      <c r="I49" s="676" t="e">
        <f t="shared" ca="1" si="35"/>
        <v>#N/A</v>
      </c>
      <c r="K49" s="676"/>
      <c r="L49" s="676"/>
      <c r="M49" s="676"/>
      <c r="N49" s="676"/>
      <c r="O49" s="676"/>
      <c r="P49" s="676"/>
      <c r="Q49" s="676"/>
      <c r="R49" s="676"/>
      <c r="S49" s="676"/>
      <c r="T49" s="676"/>
      <c r="U49" s="676"/>
      <c r="V49" s="676"/>
      <c r="W49" s="676">
        <f t="shared" si="24"/>
        <v>0</v>
      </c>
      <c r="Y49" s="688">
        <f>IFERROR(VLOOKUP(A49,'[93]1月'!$A:$H,8,0),0)</f>
        <v>0</v>
      </c>
      <c r="Z49" s="688">
        <f>IFERROR(VLOOKUP(A49,'[93]2月'!$A:$H,8,0),0)</f>
        <v>0</v>
      </c>
      <c r="AA49" s="688">
        <f>IFERROR(VLOOKUP($A49,'[93]3月'!$A:$H,8,0),0)</f>
        <v>0</v>
      </c>
      <c r="AB49" s="688">
        <f>IFERROR(VLOOKUP($A49,'[93]4月'!$A:$H,8,0),0)</f>
        <v>0</v>
      </c>
      <c r="AC49" s="688">
        <f>IFERROR(VLOOKUP($A49,'[93]5月'!$A:$H,8,0),0)</f>
        <v>0</v>
      </c>
      <c r="AD49" s="688">
        <f>IFERROR(VLOOKUP($A49,'[93]6月'!$A:$H,8,0),0)</f>
        <v>0</v>
      </c>
      <c r="AE49" s="688">
        <f>IFERROR(VLOOKUP($A49,'[93]7月'!$A:$H,8,0),0)</f>
        <v>0</v>
      </c>
      <c r="AF49" s="688">
        <f>IFERROR(VLOOKUP($A49,'[93]8月'!$A:$H,8,0),0)</f>
        <v>0</v>
      </c>
      <c r="AG49" s="688">
        <f>IFERROR(VLOOKUP($A49,'[93]9月'!$A:$H,8,0),0)</f>
        <v>0</v>
      </c>
      <c r="AH49" s="688">
        <f>IFERROR(VLOOKUP($A49,'[93]10月'!$A:$H,8,0),0)</f>
        <v>0</v>
      </c>
      <c r="AI49" s="688">
        <f>IFERROR(VLOOKUP($A49,'[93]11月'!$A:$H,8,0),0)</f>
        <v>0</v>
      </c>
      <c r="AJ49" s="688">
        <f>IFERROR(VLOOKUP($A49,'[93]12月'!$A:$H,8,0),0)</f>
        <v>0</v>
      </c>
      <c r="AK49" s="688">
        <f t="shared" si="37"/>
        <v>0</v>
      </c>
    </row>
    <row r="50" spans="1:37" ht="13.5" customHeight="1">
      <c r="A50" s="653">
        <f>'Budget-合并'!A50</f>
        <v>0</v>
      </c>
      <c r="B50" s="653" t="str">
        <f>'Budget-合并'!B50</f>
        <v xml:space="preserve">    其他项目01</v>
      </c>
      <c r="C50" s="687" t="str">
        <f>'Budget-合并'!C50</f>
        <v xml:space="preserve">   Other project</v>
      </c>
      <c r="D50" s="676">
        <f t="shared" si="31"/>
        <v>0</v>
      </c>
      <c r="E50" s="676" t="e">
        <f>INDEX($Y50:AHV50,1,MATCH($E$6,$Y$6:$AJ$6))</f>
        <v>#N/A</v>
      </c>
      <c r="F50" s="676" t="e">
        <f t="shared" si="32"/>
        <v>#N/A</v>
      </c>
      <c r="G50" s="676">
        <f t="shared" ca="1" si="33"/>
        <v>0</v>
      </c>
      <c r="H50" s="676" t="e">
        <f t="shared" ca="1" si="34"/>
        <v>#N/A</v>
      </c>
      <c r="I50" s="676" t="e">
        <f t="shared" ca="1" si="35"/>
        <v>#N/A</v>
      </c>
      <c r="K50" s="676"/>
      <c r="L50" s="676"/>
      <c r="M50" s="676"/>
      <c r="N50" s="676"/>
      <c r="O50" s="676"/>
      <c r="P50" s="676"/>
      <c r="Q50" s="676"/>
      <c r="R50" s="676"/>
      <c r="S50" s="676"/>
      <c r="T50" s="676"/>
      <c r="U50" s="676"/>
      <c r="V50" s="676"/>
      <c r="W50" s="676">
        <f t="shared" si="24"/>
        <v>0</v>
      </c>
      <c r="Y50" s="688">
        <f>IFERROR(VLOOKUP(A50,'[93]1月'!$A:$H,8,0),0)</f>
        <v>0</v>
      </c>
      <c r="Z50" s="688">
        <f>IFERROR(VLOOKUP(A50,'[93]2月'!$A:$H,8,0),0)</f>
        <v>0</v>
      </c>
      <c r="AA50" s="688">
        <f>IFERROR(VLOOKUP($A50,'[93]3月'!$A:$H,8,0),0)</f>
        <v>0</v>
      </c>
      <c r="AB50" s="688">
        <f>IFERROR(VLOOKUP($A50,'[93]4月'!$A:$H,8,0),0)</f>
        <v>0</v>
      </c>
      <c r="AC50" s="688">
        <f>IFERROR(VLOOKUP($A50,'[93]5月'!$A:$H,8,0),0)</f>
        <v>0</v>
      </c>
      <c r="AD50" s="688">
        <f>IFERROR(VLOOKUP($A50,'[93]6月'!$A:$H,8,0),0)</f>
        <v>0</v>
      </c>
      <c r="AE50" s="688">
        <f>IFERROR(VLOOKUP($A50,'[93]7月'!$A:$H,8,0),0)</f>
        <v>0</v>
      </c>
      <c r="AF50" s="688">
        <f>IFERROR(VLOOKUP($A50,'[93]8月'!$A:$H,8,0),0)</f>
        <v>0</v>
      </c>
      <c r="AG50" s="688">
        <f>IFERROR(VLOOKUP($A50,'[93]9月'!$A:$H,8,0),0)</f>
        <v>0</v>
      </c>
      <c r="AH50" s="688">
        <f>IFERROR(VLOOKUP($A50,'[93]10月'!$A:$H,8,0),0)</f>
        <v>0</v>
      </c>
      <c r="AI50" s="688">
        <f>IFERROR(VLOOKUP($A50,'[93]11月'!$A:$H,8,0),0)</f>
        <v>0</v>
      </c>
      <c r="AJ50" s="688">
        <f>IFERROR(VLOOKUP($A50,'[93]12月'!$A:$H,8,0),0)</f>
        <v>0</v>
      </c>
      <c r="AK50" s="688">
        <f t="shared" si="37"/>
        <v>0</v>
      </c>
    </row>
    <row r="51" spans="1:37" ht="13.5" customHeight="1">
      <c r="A51" s="653" t="str">
        <f>'Budget-合并'!A51</f>
        <v>6602.04.04</v>
      </c>
      <c r="B51" s="653" t="str">
        <f>'Budget-合并'!B51</f>
        <v>税务服务费</v>
      </c>
      <c r="C51" s="687">
        <f>'Budget-合并'!C51</f>
        <v>0</v>
      </c>
      <c r="D51" s="676">
        <f t="shared" si="31"/>
        <v>0</v>
      </c>
      <c r="E51" s="676" t="e">
        <f>INDEX($Y51:AHV51,1,MATCH($E$6,$Y$6:$AJ$6))</f>
        <v>#N/A</v>
      </c>
      <c r="F51" s="676" t="e">
        <f t="shared" si="32"/>
        <v>#N/A</v>
      </c>
      <c r="G51" s="676">
        <f t="shared" ca="1" si="33"/>
        <v>0</v>
      </c>
      <c r="H51" s="676" t="e">
        <f t="shared" ca="1" si="34"/>
        <v>#N/A</v>
      </c>
      <c r="I51" s="676" t="e">
        <f t="shared" ca="1" si="35"/>
        <v>#N/A</v>
      </c>
      <c r="K51" s="676">
        <f>SUMIFS('Prof. Fee'!AF$3:AF$150,'Prof. Fee'!$B$3:$B$150,$D$1,'Prof. Fee'!$D$3:$D$150,$A51)</f>
        <v>0</v>
      </c>
      <c r="L51" s="676">
        <f>SUMIFS('Prof. Fee'!AG$3:AG$150,'Prof. Fee'!$B$3:$B$150,$D$1,'Prof. Fee'!$D$3:$D$150,$A51)</f>
        <v>0</v>
      </c>
      <c r="M51" s="676">
        <f>SUMIFS('Prof. Fee'!AH$3:AH$150,'Prof. Fee'!$B$3:$B$150,$D$1,'Prof. Fee'!$D$3:$D$150,$A51)</f>
        <v>0</v>
      </c>
      <c r="N51" s="676">
        <f>SUMIFS('Prof. Fee'!AI$3:AI$150,'Prof. Fee'!$B$3:$B$150,$D$1,'Prof. Fee'!$D$3:$D$150,$A51)</f>
        <v>0</v>
      </c>
      <c r="O51" s="676">
        <f>SUMIFS('Prof. Fee'!AJ$3:AJ$150,'Prof. Fee'!$B$3:$B$150,$D$1,'Prof. Fee'!$D$3:$D$150,$A51)</f>
        <v>0</v>
      </c>
      <c r="P51" s="676">
        <f>SUMIFS('Prof. Fee'!AK$3:AK$150,'Prof. Fee'!$B$3:$B$150,$D$1,'Prof. Fee'!$D$3:$D$150,$A51)</f>
        <v>0</v>
      </c>
      <c r="Q51" s="676">
        <f>SUMIFS('Prof. Fee'!AL$3:AL$150,'Prof. Fee'!$B$3:$B$150,$D$1,'Prof. Fee'!$D$3:$D$150,$A51)</f>
        <v>0</v>
      </c>
      <c r="R51" s="676">
        <f>SUMIFS('Prof. Fee'!AM$3:AM$150,'Prof. Fee'!$B$3:$B$150,$D$1,'Prof. Fee'!$D$3:$D$150,$A51)</f>
        <v>0</v>
      </c>
      <c r="S51" s="676">
        <f>SUMIFS('Prof. Fee'!AN$3:AN$150,'Prof. Fee'!$B$3:$B$150,$D$1,'Prof. Fee'!$D$3:$D$150,$A51)</f>
        <v>0</v>
      </c>
      <c r="T51" s="676">
        <f>SUMIFS('Prof. Fee'!AO$3:AO$150,'Prof. Fee'!$B$3:$B$150,$D$1,'Prof. Fee'!$D$3:$D$150,$A51)</f>
        <v>0</v>
      </c>
      <c r="U51" s="676">
        <f>SUMIFS('Prof. Fee'!AP$3:AP$150,'Prof. Fee'!$B$3:$B$150,$D$1,'Prof. Fee'!$D$3:$D$150,$A51)</f>
        <v>0</v>
      </c>
      <c r="V51" s="676">
        <f>SUMIFS('Prof. Fee'!AQ$3:AQ$150,'Prof. Fee'!$B$3:$B$150,$D$1,'Prof. Fee'!$D$3:$D$150,$A51)</f>
        <v>0</v>
      </c>
      <c r="W51" s="676">
        <f t="shared" si="24"/>
        <v>0</v>
      </c>
      <c r="Y51" s="688">
        <f>IFERROR(VLOOKUP(A51,'[93]1月'!$A:$H,8,0),0)</f>
        <v>0</v>
      </c>
      <c r="Z51" s="688">
        <f>IFERROR(VLOOKUP(A51,'[93]2月'!$A:$H,8,0),0)</f>
        <v>0</v>
      </c>
      <c r="AA51" s="688">
        <f>IFERROR(VLOOKUP($A51,'[93]3月'!$A:$H,8,0),0)</f>
        <v>0</v>
      </c>
      <c r="AB51" s="688">
        <f>IFERROR(VLOOKUP($A51,'[93]4月'!$A:$H,8,0),0)</f>
        <v>0</v>
      </c>
      <c r="AC51" s="688">
        <f>IFERROR(VLOOKUP($A51,'[93]5月'!$A:$H,8,0),0)</f>
        <v>0</v>
      </c>
      <c r="AD51" s="688">
        <f>IFERROR(VLOOKUP($A51,'[93]6月'!$A:$H,8,0),0)</f>
        <v>0</v>
      </c>
      <c r="AE51" s="688">
        <f>IFERROR(VLOOKUP($A51,'[93]7月'!$A:$H,8,0),0)</f>
        <v>0</v>
      </c>
      <c r="AF51" s="688">
        <f>IFERROR(VLOOKUP($A51,'[93]8月'!$A:$H,8,0),0)</f>
        <v>0</v>
      </c>
      <c r="AG51" s="688">
        <f>IFERROR(VLOOKUP($A51,'[93]9月'!$A:$H,8,0),0)</f>
        <v>0</v>
      </c>
      <c r="AH51" s="688">
        <f>IFERROR(VLOOKUP($A51,'[93]10月'!$A:$H,8,0),0)</f>
        <v>0</v>
      </c>
      <c r="AI51" s="688">
        <f>IFERROR(VLOOKUP($A51,'[93]11月'!$A:$H,8,0),0)</f>
        <v>0</v>
      </c>
      <c r="AJ51" s="688">
        <f>IFERROR(VLOOKUP($A51,'[93]12月'!$A:$H,8,0),0)</f>
        <v>0</v>
      </c>
      <c r="AK51" s="688">
        <f t="shared" si="37"/>
        <v>0</v>
      </c>
    </row>
    <row r="52" spans="1:37" ht="13.5" customHeight="1">
      <c r="A52" s="653" t="str">
        <f>'Budget-合并'!A52</f>
        <v>6602.04.05</v>
      </c>
      <c r="B52" s="653" t="str">
        <f>'Budget-合并'!B52</f>
        <v>招聘服务费</v>
      </c>
      <c r="C52" s="687" t="str">
        <f>'Budget-合并'!C52</f>
        <v>Employment Agency Fee</v>
      </c>
      <c r="D52" s="676">
        <f t="shared" si="31"/>
        <v>0</v>
      </c>
      <c r="E52" s="676" t="e">
        <f>INDEX($Y52:AHV52,1,MATCH($E$6,$Y$6:$AJ$6))</f>
        <v>#N/A</v>
      </c>
      <c r="F52" s="676" t="e">
        <f t="shared" si="32"/>
        <v>#N/A</v>
      </c>
      <c r="G52" s="676">
        <f t="shared" ca="1" si="33"/>
        <v>0</v>
      </c>
      <c r="H52" s="676" t="e">
        <f t="shared" ca="1" si="34"/>
        <v>#N/A</v>
      </c>
      <c r="I52" s="676" t="e">
        <f t="shared" ca="1" si="35"/>
        <v>#N/A</v>
      </c>
      <c r="K52" s="676">
        <f>SUMIFS('Prof. Fee'!AF$3:AF$150,'Prof. Fee'!$B$3:$B$150,$D$1,'Prof. Fee'!$D$3:$D$150,$A52)</f>
        <v>0</v>
      </c>
      <c r="L52" s="676">
        <f>SUMIFS('Prof. Fee'!AG$3:AG$150,'Prof. Fee'!$B$3:$B$150,$D$1,'Prof. Fee'!$D$3:$D$150,$A52)</f>
        <v>0</v>
      </c>
      <c r="M52" s="676">
        <f>SUMIFS('Prof. Fee'!AH$3:AH$150,'Prof. Fee'!$B$3:$B$150,$D$1,'Prof. Fee'!$D$3:$D$150,$A52)</f>
        <v>0</v>
      </c>
      <c r="N52" s="676">
        <f>SUMIFS('Prof. Fee'!AI$3:AI$150,'Prof. Fee'!$B$3:$B$150,$D$1,'Prof. Fee'!$D$3:$D$150,$A52)</f>
        <v>0</v>
      </c>
      <c r="O52" s="676">
        <f>SUMIFS('Prof. Fee'!AJ$3:AJ$150,'Prof. Fee'!$B$3:$B$150,$D$1,'Prof. Fee'!$D$3:$D$150,$A52)</f>
        <v>0</v>
      </c>
      <c r="P52" s="676">
        <f>SUMIFS('Prof. Fee'!AK$3:AK$150,'Prof. Fee'!$B$3:$B$150,$D$1,'Prof. Fee'!$D$3:$D$150,$A52)</f>
        <v>0</v>
      </c>
      <c r="Q52" s="676">
        <f>SUMIFS('Prof. Fee'!AL$3:AL$150,'Prof. Fee'!$B$3:$B$150,$D$1,'Prof. Fee'!$D$3:$D$150,$A52)</f>
        <v>0</v>
      </c>
      <c r="R52" s="676">
        <f>SUMIFS('Prof. Fee'!AM$3:AM$150,'Prof. Fee'!$B$3:$B$150,$D$1,'Prof. Fee'!$D$3:$D$150,$A52)</f>
        <v>0</v>
      </c>
      <c r="S52" s="676">
        <f>SUMIFS('Prof. Fee'!AN$3:AN$150,'Prof. Fee'!$B$3:$B$150,$D$1,'Prof. Fee'!$D$3:$D$150,$A52)</f>
        <v>0</v>
      </c>
      <c r="T52" s="676">
        <f>SUMIFS('Prof. Fee'!AO$3:AO$150,'Prof. Fee'!$B$3:$B$150,$D$1,'Prof. Fee'!$D$3:$D$150,$A52)</f>
        <v>0</v>
      </c>
      <c r="U52" s="676">
        <f>SUMIFS('Prof. Fee'!AP$3:AP$150,'Prof. Fee'!$B$3:$B$150,$D$1,'Prof. Fee'!$D$3:$D$150,$A52)</f>
        <v>0</v>
      </c>
      <c r="V52" s="676">
        <f>SUMIFS('Prof. Fee'!AQ$3:AQ$150,'Prof. Fee'!$B$3:$B$150,$D$1,'Prof. Fee'!$D$3:$D$150,$A52)</f>
        <v>0</v>
      </c>
      <c r="W52" s="676">
        <f t="shared" si="24"/>
        <v>0</v>
      </c>
      <c r="Y52" s="688">
        <f>IFERROR(VLOOKUP(A52,'[93]1月'!$A:$H,8,0),0)</f>
        <v>0</v>
      </c>
      <c r="Z52" s="688">
        <f>IFERROR(VLOOKUP(A52,'[93]2月'!$A:$H,8,0),0)</f>
        <v>0</v>
      </c>
      <c r="AA52" s="688">
        <f>IFERROR(VLOOKUP($A52,'[93]3月'!$A:$H,8,0),0)</f>
        <v>0</v>
      </c>
      <c r="AB52" s="688">
        <f>IFERROR(VLOOKUP($A52,'[93]4月'!$A:$H,8,0),0)</f>
        <v>0</v>
      </c>
      <c r="AC52" s="688">
        <f>IFERROR(VLOOKUP($A52,'[93]5月'!$A:$H,8,0),0)</f>
        <v>0</v>
      </c>
      <c r="AD52" s="688">
        <f>IFERROR(VLOOKUP($A52,'[93]6月'!$A:$H,8,0),0)</f>
        <v>0</v>
      </c>
      <c r="AE52" s="688">
        <f>IFERROR(VLOOKUP($A52,'[93]7月'!$A:$H,8,0),0)</f>
        <v>0</v>
      </c>
      <c r="AF52" s="688">
        <f>IFERROR(VLOOKUP($A52,'[93]8月'!$A:$H,8,0),0)</f>
        <v>0</v>
      </c>
      <c r="AG52" s="688">
        <f>IFERROR(VLOOKUP($A52,'[93]9月'!$A:$H,8,0),0)</f>
        <v>0</v>
      </c>
      <c r="AH52" s="688">
        <f>IFERROR(VLOOKUP($A52,'[93]10月'!$A:$H,8,0),0)</f>
        <v>0</v>
      </c>
      <c r="AI52" s="688">
        <f>IFERROR(VLOOKUP($A52,'[93]11月'!$A:$H,8,0),0)</f>
        <v>0</v>
      </c>
      <c r="AJ52" s="688">
        <f>IFERROR(VLOOKUP($A52,'[93]12月'!$A:$H,8,0),0)</f>
        <v>0</v>
      </c>
      <c r="AK52" s="688">
        <f t="shared" si="37"/>
        <v>0</v>
      </c>
    </row>
    <row r="53" spans="1:37" ht="13.5" customHeight="1">
      <c r="A53" s="653" t="str">
        <f>'Budget-合并'!A53</f>
        <v>6602.04.06</v>
      </c>
      <c r="B53" s="653" t="str">
        <f>'Budget-合并'!B53</f>
        <v>法律服务费</v>
      </c>
      <c r="C53" s="687" t="str">
        <f>'Budget-合并'!C53</f>
        <v>Legal Fees</v>
      </c>
      <c r="D53" s="676">
        <f t="shared" si="31"/>
        <v>0</v>
      </c>
      <c r="E53" s="676" t="e">
        <f>INDEX($Y53:AHV53,1,MATCH($E$6,$Y$6:$AJ$6))</f>
        <v>#N/A</v>
      </c>
      <c r="F53" s="676" t="e">
        <f t="shared" si="32"/>
        <v>#N/A</v>
      </c>
      <c r="G53" s="676">
        <f t="shared" ca="1" si="33"/>
        <v>0</v>
      </c>
      <c r="H53" s="676" t="e">
        <f t="shared" ca="1" si="34"/>
        <v>#N/A</v>
      </c>
      <c r="I53" s="676" t="e">
        <f t="shared" ca="1" si="35"/>
        <v>#N/A</v>
      </c>
      <c r="K53" s="676"/>
      <c r="L53" s="676">
        <f>SUMIFS('Prof. Fee'!AG$3:AG$150,'Prof. Fee'!$B$3:$B$150,$D$1,'Prof. Fee'!$D$3:$D$150,$A53)</f>
        <v>0</v>
      </c>
      <c r="M53" s="676">
        <f>SUMIFS('Prof. Fee'!AH$3:AH$150,'Prof. Fee'!$B$3:$B$150,$D$1,'Prof. Fee'!$D$3:$D$150,$A53)</f>
        <v>0</v>
      </c>
      <c r="N53" s="676">
        <f>SUMIFS('Prof. Fee'!AI$3:AI$150,'Prof. Fee'!$B$3:$B$150,$D$1,'Prof. Fee'!$D$3:$D$150,$A53)</f>
        <v>0</v>
      </c>
      <c r="O53" s="676">
        <f>SUMIFS('Prof. Fee'!AJ$3:AJ$150,'Prof. Fee'!$B$3:$B$150,$D$1,'Prof. Fee'!$D$3:$D$150,$A53)</f>
        <v>0</v>
      </c>
      <c r="P53" s="676">
        <f>SUMIFS('Prof. Fee'!AK$3:AK$150,'Prof. Fee'!$B$3:$B$150,$D$1,'Prof. Fee'!$D$3:$D$150,$A53)</f>
        <v>50000</v>
      </c>
      <c r="Q53" s="676">
        <f>SUMIFS('Prof. Fee'!AL$3:AL$150,'Prof. Fee'!$B$3:$B$150,$D$1,'Prof. Fee'!$D$3:$D$150,$A53)</f>
        <v>0</v>
      </c>
      <c r="R53" s="676">
        <f>SUMIFS('Prof. Fee'!AM$3:AM$150,'Prof. Fee'!$B$3:$B$150,$D$1,'Prof. Fee'!$D$3:$D$150,$A53)</f>
        <v>0</v>
      </c>
      <c r="S53" s="676">
        <f>SUMIFS('Prof. Fee'!AN$3:AN$150,'Prof. Fee'!$B$3:$B$150,$D$1,'Prof. Fee'!$D$3:$D$150,$A53)</f>
        <v>0</v>
      </c>
      <c r="T53" s="676">
        <f>SUMIFS('Prof. Fee'!AO$3:AO$150,'Prof. Fee'!$B$3:$B$150,$D$1,'Prof. Fee'!$D$3:$D$150,$A53)</f>
        <v>0</v>
      </c>
      <c r="U53" s="676">
        <f>SUMIFS('Prof. Fee'!AP$3:AP$150,'Prof. Fee'!$B$3:$B$150,$D$1,'Prof. Fee'!$D$3:$D$150,$A53)</f>
        <v>0</v>
      </c>
      <c r="V53" s="676">
        <f>SUMIFS('Prof. Fee'!AQ$3:AQ$150,'Prof. Fee'!$B$3:$B$150,$D$1,'Prof. Fee'!$D$3:$D$150,$A53)</f>
        <v>0</v>
      </c>
      <c r="W53" s="676">
        <f t="shared" si="24"/>
        <v>50000</v>
      </c>
      <c r="Y53" s="688">
        <f>IFERROR(VLOOKUP(A53,'[93]1月'!$A:$H,8,0),0)</f>
        <v>0</v>
      </c>
      <c r="Z53" s="688">
        <f>IFERROR(VLOOKUP(A53,'[93]2月'!$A:$H,8,0),0)</f>
        <v>0</v>
      </c>
      <c r="AA53" s="688">
        <f>IFERROR(VLOOKUP($A53,'[93]3月'!$A:$H,8,0),0)</f>
        <v>0</v>
      </c>
      <c r="AB53" s="688">
        <f>IFERROR(VLOOKUP($A53,'[93]4月'!$A:$H,8,0),0)</f>
        <v>0</v>
      </c>
      <c r="AC53" s="688">
        <f>IFERROR(VLOOKUP($A53,'[93]5月'!$A:$H,8,0),0)</f>
        <v>0</v>
      </c>
      <c r="AD53" s="688">
        <f>IFERROR(VLOOKUP($A53,'[93]6月'!$A:$H,8,0),0)</f>
        <v>0</v>
      </c>
      <c r="AE53" s="688">
        <f>IFERROR(VLOOKUP($A53,'[93]7月'!$A:$H,8,0),0)</f>
        <v>0</v>
      </c>
      <c r="AF53" s="688">
        <f>IFERROR(VLOOKUP($A53,'[93]8月'!$A:$H,8,0),0)</f>
        <v>0</v>
      </c>
      <c r="AG53" s="688">
        <f>IFERROR(VLOOKUP($A53,'[93]9月'!$A:$H,8,0),0)</f>
        <v>0</v>
      </c>
      <c r="AH53" s="688">
        <f>IFERROR(VLOOKUP($A53,'[93]10月'!$A:$H,8,0),0)</f>
        <v>0</v>
      </c>
      <c r="AI53" s="688">
        <f>IFERROR(VLOOKUP($A53,'[93]11月'!$A:$H,8,0),0)</f>
        <v>0</v>
      </c>
      <c r="AJ53" s="688">
        <f>IFERROR(VLOOKUP($A53,'[93]12月'!$A:$H,8,0),0)</f>
        <v>0</v>
      </c>
      <c r="AK53" s="688">
        <f t="shared" si="37"/>
        <v>0</v>
      </c>
    </row>
    <row r="54" spans="1:37" ht="13.5" customHeight="1">
      <c r="A54" s="653" t="str">
        <f>'Budget-合并'!A54</f>
        <v>6602.04.07</v>
      </c>
      <c r="B54" s="653" t="str">
        <f>'Budget-合并'!B54</f>
        <v>人力资源服务费</v>
      </c>
      <c r="C54" s="687" t="str">
        <f>'Budget-合并'!C54</f>
        <v>Payroll Services</v>
      </c>
      <c r="D54" s="676">
        <f t="shared" si="31"/>
        <v>1200</v>
      </c>
      <c r="E54" s="676" t="e">
        <f>INDEX($Y54:AHV54,1,MATCH($E$6,$Y$6:$AJ$6))</f>
        <v>#N/A</v>
      </c>
      <c r="F54" s="676" t="e">
        <f t="shared" si="32"/>
        <v>#N/A</v>
      </c>
      <c r="G54" s="676">
        <f t="shared" ca="1" si="33"/>
        <v>1200</v>
      </c>
      <c r="H54" s="676" t="e">
        <f t="shared" ca="1" si="34"/>
        <v>#N/A</v>
      </c>
      <c r="I54" s="676" t="e">
        <f t="shared" ca="1" si="35"/>
        <v>#N/A</v>
      </c>
      <c r="K54" s="676">
        <f>SUMIFS('Prof. Fee'!AF$3:AF$150,'Prof. Fee'!$B$3:$B$150,$D$1,'Prof. Fee'!$D$3:$D$150,$A54)</f>
        <v>1200</v>
      </c>
      <c r="L54" s="676">
        <f>SUMIFS('Prof. Fee'!AG$3:AG$150,'Prof. Fee'!$B$3:$B$150,$D$1,'Prof. Fee'!$D$3:$D$150,$A54)</f>
        <v>1200</v>
      </c>
      <c r="M54" s="676">
        <f>SUMIFS('Prof. Fee'!AH$3:AH$150,'Prof. Fee'!$B$3:$B$150,$D$1,'Prof. Fee'!$D$3:$D$150,$A54)</f>
        <v>1200</v>
      </c>
      <c r="N54" s="676">
        <f>SUMIFS('Prof. Fee'!AI$3:AI$150,'Prof. Fee'!$B$3:$B$150,$D$1,'Prof. Fee'!$D$3:$D$150,$A54)</f>
        <v>1200</v>
      </c>
      <c r="O54" s="676">
        <f>SUMIFS('Prof. Fee'!AJ$3:AJ$150,'Prof. Fee'!$B$3:$B$150,$D$1,'Prof. Fee'!$D$3:$D$150,$A54)</f>
        <v>1200</v>
      </c>
      <c r="P54" s="676">
        <f>SUMIFS('Prof. Fee'!AK$3:AK$150,'Prof. Fee'!$B$3:$B$150,$D$1,'Prof. Fee'!$D$3:$D$150,$A54)</f>
        <v>1200</v>
      </c>
      <c r="Q54" s="676">
        <f>SUMIFS('Prof. Fee'!AL$3:AL$150,'Prof. Fee'!$B$3:$B$150,$D$1,'Prof. Fee'!$D$3:$D$150,$A54)</f>
        <v>1200</v>
      </c>
      <c r="R54" s="676">
        <f>SUMIFS('Prof. Fee'!AM$3:AM$150,'Prof. Fee'!$B$3:$B$150,$D$1,'Prof. Fee'!$D$3:$D$150,$A54)</f>
        <v>1200</v>
      </c>
      <c r="S54" s="676">
        <f>SUMIFS('Prof. Fee'!AN$3:AN$150,'Prof. Fee'!$B$3:$B$150,$D$1,'Prof. Fee'!$D$3:$D$150,$A54)</f>
        <v>1200</v>
      </c>
      <c r="T54" s="676">
        <f>SUMIFS('Prof. Fee'!AO$3:AO$150,'Prof. Fee'!$B$3:$B$150,$D$1,'Prof. Fee'!$D$3:$D$150,$A54)</f>
        <v>1200</v>
      </c>
      <c r="U54" s="676">
        <f>SUMIFS('Prof. Fee'!AP$3:AP$150,'Prof. Fee'!$B$3:$B$150,$D$1,'Prof. Fee'!$D$3:$D$150,$A54)</f>
        <v>1200</v>
      </c>
      <c r="V54" s="676">
        <f>SUMIFS('Prof. Fee'!AQ$3:AQ$150,'Prof. Fee'!$B$3:$B$150,$D$1,'Prof. Fee'!$D$3:$D$150,$A54)</f>
        <v>1200</v>
      </c>
      <c r="W54" s="676">
        <f t="shared" si="24"/>
        <v>14400</v>
      </c>
      <c r="Y54" s="688">
        <f>IFERROR(VLOOKUP(A54,'[93]1月'!$A:$H,8,0),0)</f>
        <v>1200</v>
      </c>
      <c r="Z54" s="688">
        <f>IFERROR(VLOOKUP(A54,'[93]2月'!$A:$H,8,0),0)</f>
        <v>1400</v>
      </c>
      <c r="AA54" s="688">
        <f>IFERROR(VLOOKUP($A54,'[93]3月'!$A:$H,8,0),0)</f>
        <v>1400</v>
      </c>
      <c r="AB54" s="688">
        <f>IFERROR(VLOOKUP($A54,'[93]4月'!$A:$H,8,0),0)</f>
        <v>1400</v>
      </c>
      <c r="AC54" s="688">
        <f>IFERROR(VLOOKUP($A54,'[93]5月'!$A:$H,8,0),0)</f>
        <v>1600</v>
      </c>
      <c r="AD54" s="688">
        <f>IFERROR(VLOOKUP($A54,'[93]6月'!$A:$H,8,0),0)</f>
        <v>1400</v>
      </c>
      <c r="AE54" s="688">
        <f>IFERROR(VLOOKUP($A54,'[93]7月'!$A:$H,8,0),0)</f>
        <v>1200</v>
      </c>
      <c r="AF54" s="688">
        <f>IFERROR(VLOOKUP($A54,'[93]8月'!$A:$H,8,0),0)</f>
        <v>1200</v>
      </c>
      <c r="AG54" s="688">
        <f>IFERROR(VLOOKUP($A54,'[93]9月'!$A:$H,8,0),0)</f>
        <v>1200</v>
      </c>
      <c r="AH54" s="688">
        <f>IFERROR(VLOOKUP($A54,'[93]10月'!$A:$H,8,0),0)</f>
        <v>1200</v>
      </c>
      <c r="AI54" s="688">
        <f>IFERROR(VLOOKUP($A54,'[93]11月'!$A:$H,8,0),0)</f>
        <v>1200</v>
      </c>
      <c r="AJ54" s="688">
        <f>IFERROR(VLOOKUP($A54,'[93]12月'!$A:$H,8,0),0)</f>
        <v>1200</v>
      </c>
      <c r="AK54" s="688">
        <f t="shared" si="37"/>
        <v>15600</v>
      </c>
    </row>
    <row r="55" spans="1:37" ht="13.5" customHeight="1">
      <c r="A55" s="653" t="str">
        <f>'Budget-合并'!A55</f>
        <v>6602.04.08</v>
      </c>
      <c r="B55" s="653" t="str">
        <f>'Budget-合并'!B55</f>
        <v>背景调查费</v>
      </c>
      <c r="C55" s="687" t="str">
        <f>'Budget-合并'!C55</f>
        <v>Employee Background Check</v>
      </c>
      <c r="D55" s="676">
        <f t="shared" si="31"/>
        <v>0</v>
      </c>
      <c r="E55" s="676" t="e">
        <f>INDEX($Y55:AHV55,1,MATCH($E$6,$Y$6:$AJ$6))</f>
        <v>#N/A</v>
      </c>
      <c r="F55" s="676" t="e">
        <f t="shared" si="32"/>
        <v>#N/A</v>
      </c>
      <c r="G55" s="676">
        <f t="shared" ca="1" si="33"/>
        <v>0</v>
      </c>
      <c r="H55" s="676" t="e">
        <f t="shared" ca="1" si="34"/>
        <v>#N/A</v>
      </c>
      <c r="I55" s="676" t="e">
        <f t="shared" ca="1" si="35"/>
        <v>#N/A</v>
      </c>
      <c r="K55" s="676">
        <f>SUMIFS('Other Exp'!AG$3:AG$196,'Other Exp'!$B$3:$B$196,$D$1,'Other Exp'!$C$3:$C$196,$A55)</f>
        <v>0</v>
      </c>
      <c r="L55" s="676">
        <f>SUMIFS('Other Exp'!AH$3:AH$196,'Other Exp'!$B$3:$B$196,$D$1,'Other Exp'!$C$3:$C$196,$A55)</f>
        <v>0</v>
      </c>
      <c r="M55" s="676">
        <f>SUMIFS('Other Exp'!AI$3:AI$196,'Other Exp'!$B$3:$B$196,$D$1,'Other Exp'!$C$3:$C$196,$A55)</f>
        <v>0</v>
      </c>
      <c r="N55" s="676">
        <f>SUMIFS('Other Exp'!AJ$3:AJ$196,'Other Exp'!$B$3:$B$196,$D$1,'Other Exp'!$C$3:$C$196,$A55)</f>
        <v>0</v>
      </c>
      <c r="O55" s="676">
        <f>SUMIFS('Other Exp'!AK$3:AK$196,'Other Exp'!$B$3:$B$196,$D$1,'Other Exp'!$C$3:$C$196,$A55)</f>
        <v>0</v>
      </c>
      <c r="P55" s="676">
        <f>SUMIFS('Other Exp'!AL$3:AL$196,'Other Exp'!$B$3:$B$196,$D$1,'Other Exp'!$C$3:$C$196,$A55)</f>
        <v>0</v>
      </c>
      <c r="Q55" s="676">
        <f>SUMIFS('Other Exp'!AM$3:AM$196,'Other Exp'!$B$3:$B$196,$D$1,'Other Exp'!$C$3:$C$196,$A55)</f>
        <v>0</v>
      </c>
      <c r="R55" s="676">
        <f>SUMIFS('Other Exp'!AN$3:AN$196,'Other Exp'!$B$3:$B$196,$D$1,'Other Exp'!$C$3:$C$196,$A55)</f>
        <v>0</v>
      </c>
      <c r="S55" s="676">
        <f>SUMIFS('Other Exp'!AO$3:AO$196,'Other Exp'!$B$3:$B$196,$D$1,'Other Exp'!$C$3:$C$196,$A55)</f>
        <v>0</v>
      </c>
      <c r="T55" s="676">
        <f>SUMIFS('Other Exp'!AP$3:AP$196,'Other Exp'!$B$3:$B$196,$D$1,'Other Exp'!$C$3:$C$196,$A55)</f>
        <v>0</v>
      </c>
      <c r="U55" s="676">
        <f>SUMIFS('Other Exp'!AQ$3:AQ$196,'Other Exp'!$B$3:$B$196,$D$1,'Other Exp'!$C$3:$C$196,$A55)</f>
        <v>0</v>
      </c>
      <c r="V55" s="676">
        <f>SUMIFS('Other Exp'!AR$3:AR$196,'Other Exp'!$B$3:$B$196,$D$1,'Other Exp'!$C$3:$C$196,$A55)</f>
        <v>0</v>
      </c>
      <c r="W55" s="676">
        <f t="shared" si="24"/>
        <v>0</v>
      </c>
      <c r="Y55" s="688">
        <f>IFERROR(VLOOKUP(A55,'[93]1月'!$A:$H,8,0),0)</f>
        <v>0</v>
      </c>
      <c r="Z55" s="688">
        <f>IFERROR(VLOOKUP(A55,'[93]2月'!$A:$H,8,0),0)</f>
        <v>0</v>
      </c>
      <c r="AA55" s="688">
        <f>IFERROR(VLOOKUP($A55,'[93]3月'!$A:$H,8,0),0)</f>
        <v>0</v>
      </c>
      <c r="AB55" s="688">
        <f>IFERROR(VLOOKUP($A55,'[93]4月'!$A:$H,8,0),0)</f>
        <v>0</v>
      </c>
      <c r="AC55" s="688">
        <f>IFERROR(VLOOKUP($A55,'[93]5月'!$A:$H,8,0),0)</f>
        <v>1610.57</v>
      </c>
      <c r="AD55" s="688">
        <f>IFERROR(VLOOKUP($A55,'[93]6月'!$A:$H,8,0),0)</f>
        <v>0</v>
      </c>
      <c r="AE55" s="688">
        <f>IFERROR(VLOOKUP($A55,'[93]7月'!$A:$H,8,0),0)</f>
        <v>0</v>
      </c>
      <c r="AF55" s="688">
        <f>IFERROR(VLOOKUP($A55,'[93]8月'!$A:$H,8,0),0)</f>
        <v>0</v>
      </c>
      <c r="AG55" s="688">
        <f>IFERROR(VLOOKUP($A55,'[93]9月'!$A:$H,8,0),0)</f>
        <v>0</v>
      </c>
      <c r="AH55" s="688">
        <f>IFERROR(VLOOKUP($A55,'[93]10月'!$A:$H,8,0),0)</f>
        <v>0</v>
      </c>
      <c r="AI55" s="688">
        <f>IFERROR(VLOOKUP($A55,'[93]11月'!$A:$H,8,0),0)</f>
        <v>0</v>
      </c>
      <c r="AJ55" s="688">
        <f>IFERROR(VLOOKUP($A55,'[93]12月'!$A:$H,8,0),0)</f>
        <v>0</v>
      </c>
      <c r="AK55" s="688">
        <f t="shared" si="37"/>
        <v>1610.57</v>
      </c>
    </row>
    <row r="56" spans="1:37" ht="13.5" customHeight="1">
      <c r="A56" s="653" t="str">
        <f>'Budget-合并'!A56</f>
        <v>6602.04.09</v>
      </c>
      <c r="B56" s="653" t="str">
        <f>'Budget-合并'!B56</f>
        <v>翻译服务费</v>
      </c>
      <c r="C56" s="687">
        <f>'Budget-合并'!C56</f>
        <v>0</v>
      </c>
      <c r="D56" s="676">
        <f t="shared" si="31"/>
        <v>0</v>
      </c>
      <c r="E56" s="676" t="e">
        <f>INDEX($Y56:AHV56,1,MATCH($E$6,$Y$6:$AJ$6))</f>
        <v>#N/A</v>
      </c>
      <c r="F56" s="676" t="e">
        <f t="shared" si="32"/>
        <v>#N/A</v>
      </c>
      <c r="G56" s="676">
        <f t="shared" ca="1" si="33"/>
        <v>0</v>
      </c>
      <c r="H56" s="676" t="e">
        <f t="shared" ca="1" si="34"/>
        <v>#N/A</v>
      </c>
      <c r="I56" s="676" t="e">
        <f t="shared" ca="1" si="35"/>
        <v>#N/A</v>
      </c>
      <c r="K56" s="676">
        <f>SUMIFS('Prof. Fee'!AF$3:AF$150,'Prof. Fee'!$B$3:$B$150,$D$1,'Prof. Fee'!$D$3:$D$150,$A56)</f>
        <v>0</v>
      </c>
      <c r="L56" s="676">
        <f>SUMIFS('Prof. Fee'!AG$3:AG$150,'Prof. Fee'!$B$3:$B$150,$D$1,'Prof. Fee'!$D$3:$D$150,$A56)</f>
        <v>0</v>
      </c>
      <c r="M56" s="676">
        <f>SUMIFS('Prof. Fee'!AH$3:AH$150,'Prof. Fee'!$B$3:$B$150,$D$1,'Prof. Fee'!$D$3:$D$150,$A56)</f>
        <v>0</v>
      </c>
      <c r="N56" s="676">
        <f>SUMIFS('Prof. Fee'!AI$3:AI$150,'Prof. Fee'!$B$3:$B$150,$D$1,'Prof. Fee'!$D$3:$D$150,$A56)</f>
        <v>0</v>
      </c>
      <c r="O56" s="676">
        <f>SUMIFS('Prof. Fee'!AJ$3:AJ$150,'Prof. Fee'!$B$3:$B$150,$D$1,'Prof. Fee'!$D$3:$D$150,$A56)</f>
        <v>0</v>
      </c>
      <c r="P56" s="676">
        <f>SUMIFS('Prof. Fee'!AK$3:AK$150,'Prof. Fee'!$B$3:$B$150,$D$1,'Prof. Fee'!$D$3:$D$150,$A56)</f>
        <v>0</v>
      </c>
      <c r="Q56" s="676">
        <f>SUMIFS('Prof. Fee'!AL$3:AL$150,'Prof. Fee'!$B$3:$B$150,$D$1,'Prof. Fee'!$D$3:$D$150,$A56)</f>
        <v>0</v>
      </c>
      <c r="R56" s="676">
        <f>SUMIFS('Prof. Fee'!AM$3:AM$150,'Prof. Fee'!$B$3:$B$150,$D$1,'Prof. Fee'!$D$3:$D$150,$A56)</f>
        <v>0</v>
      </c>
      <c r="S56" s="676">
        <f>SUMIFS('Prof. Fee'!AN$3:AN$150,'Prof. Fee'!$B$3:$B$150,$D$1,'Prof. Fee'!$D$3:$D$150,$A56)</f>
        <v>0</v>
      </c>
      <c r="T56" s="676">
        <f>SUMIFS('Prof. Fee'!AO$3:AO$150,'Prof. Fee'!$B$3:$B$150,$D$1,'Prof. Fee'!$D$3:$D$150,$A56)</f>
        <v>0</v>
      </c>
      <c r="U56" s="676">
        <f>SUMIFS('Prof. Fee'!AP$3:AP$150,'Prof. Fee'!$B$3:$B$150,$D$1,'Prof. Fee'!$D$3:$D$150,$A56)</f>
        <v>0</v>
      </c>
      <c r="V56" s="676">
        <f>SUMIFS('Prof. Fee'!AQ$3:AQ$150,'Prof. Fee'!$B$3:$B$150,$D$1,'Prof. Fee'!$D$3:$D$150,$A56)</f>
        <v>0</v>
      </c>
      <c r="W56" s="676">
        <f t="shared" si="24"/>
        <v>0</v>
      </c>
      <c r="Y56" s="688">
        <f>IFERROR(VLOOKUP(A56,'[93]1月'!$A:$H,8,0),0)</f>
        <v>0</v>
      </c>
      <c r="Z56" s="688">
        <f>IFERROR(VLOOKUP(A56,'[93]2月'!$A:$H,8,0),0)</f>
        <v>0</v>
      </c>
      <c r="AA56" s="688">
        <f>IFERROR(VLOOKUP($A56,'[93]3月'!$A:$H,8,0),0)</f>
        <v>0</v>
      </c>
      <c r="AB56" s="688">
        <f>IFERROR(VLOOKUP($A56,'[93]4月'!$A:$H,8,0),0)</f>
        <v>0</v>
      </c>
      <c r="AC56" s="688">
        <f>IFERROR(VLOOKUP($A56,'[93]5月'!$A:$H,8,0),0)</f>
        <v>0</v>
      </c>
      <c r="AD56" s="688">
        <f>IFERROR(VLOOKUP($A56,'[93]6月'!$A:$H,8,0),0)</f>
        <v>0</v>
      </c>
      <c r="AE56" s="688">
        <f>IFERROR(VLOOKUP($A56,'[93]7月'!$A:$H,8,0),0)</f>
        <v>0</v>
      </c>
      <c r="AF56" s="688">
        <f>IFERROR(VLOOKUP($A56,'[93]8月'!$A:$H,8,0),0)</f>
        <v>0</v>
      </c>
      <c r="AG56" s="688">
        <f>IFERROR(VLOOKUP($A56,'[93]9月'!$A:$H,8,0),0)</f>
        <v>0</v>
      </c>
      <c r="AH56" s="688">
        <f>IFERROR(VLOOKUP($A56,'[93]10月'!$A:$H,8,0),0)</f>
        <v>0</v>
      </c>
      <c r="AI56" s="688">
        <f>IFERROR(VLOOKUP($A56,'[93]11月'!$A:$H,8,0),0)</f>
        <v>0</v>
      </c>
      <c r="AJ56" s="688">
        <f>IFERROR(VLOOKUP($A56,'[93]12月'!$A:$H,8,0),0)</f>
        <v>0</v>
      </c>
      <c r="AK56" s="688">
        <f t="shared" si="37"/>
        <v>0</v>
      </c>
    </row>
    <row r="57" spans="1:37" ht="13.5" customHeight="1">
      <c r="A57" s="653" t="str">
        <f>'Budget-合并'!A57</f>
        <v>6602.04.10</v>
      </c>
      <c r="B57" s="653" t="str">
        <f>'Budget-合并'!B57</f>
        <v>评估费</v>
      </c>
      <c r="C57" s="687">
        <f>'Budget-合并'!C57</f>
        <v>0</v>
      </c>
      <c r="D57" s="676">
        <f t="shared" si="31"/>
        <v>0</v>
      </c>
      <c r="E57" s="676" t="e">
        <f>INDEX($Y57:AHV57,1,MATCH($E$6,$Y$6:$AJ$6))</f>
        <v>#N/A</v>
      </c>
      <c r="F57" s="676" t="e">
        <f t="shared" si="32"/>
        <v>#N/A</v>
      </c>
      <c r="G57" s="676">
        <f t="shared" ca="1" si="33"/>
        <v>0</v>
      </c>
      <c r="H57" s="676" t="e">
        <f t="shared" ca="1" si="34"/>
        <v>#N/A</v>
      </c>
      <c r="I57" s="676" t="e">
        <f t="shared" ca="1" si="35"/>
        <v>#N/A</v>
      </c>
      <c r="K57" s="676">
        <f>SUMIFS('Prof. Fee'!AF$3:AF$150,'Prof. Fee'!$B$3:$B$150,$D$1,'Prof. Fee'!$D$3:$D$150,$A57)</f>
        <v>0</v>
      </c>
      <c r="L57" s="676">
        <f>SUMIFS('Prof. Fee'!AG$3:AG$150,'Prof. Fee'!$B$3:$B$150,$D$1,'Prof. Fee'!$D$3:$D$150,$A57)</f>
        <v>0</v>
      </c>
      <c r="M57" s="676">
        <f>SUMIFS('Prof. Fee'!AH$3:AH$150,'Prof. Fee'!$B$3:$B$150,$D$1,'Prof. Fee'!$D$3:$D$150,$A57)</f>
        <v>0</v>
      </c>
      <c r="N57" s="676">
        <f>SUMIFS('Prof. Fee'!AI$3:AI$150,'Prof. Fee'!$B$3:$B$150,$D$1,'Prof. Fee'!$D$3:$D$150,$A57)</f>
        <v>0</v>
      </c>
      <c r="O57" s="676">
        <f>SUMIFS('Prof. Fee'!AJ$3:AJ$150,'Prof. Fee'!$B$3:$B$150,$D$1,'Prof. Fee'!$D$3:$D$150,$A57)</f>
        <v>0</v>
      </c>
      <c r="P57" s="676">
        <f>SUMIFS('Prof. Fee'!AK$3:AK$150,'Prof. Fee'!$B$3:$B$150,$D$1,'Prof. Fee'!$D$3:$D$150,$A57)</f>
        <v>0</v>
      </c>
      <c r="Q57" s="676">
        <f>SUMIFS('Prof. Fee'!AL$3:AL$150,'Prof. Fee'!$B$3:$B$150,$D$1,'Prof. Fee'!$D$3:$D$150,$A57)</f>
        <v>0</v>
      </c>
      <c r="R57" s="676">
        <f>SUMIFS('Prof. Fee'!AM$3:AM$150,'Prof. Fee'!$B$3:$B$150,$D$1,'Prof. Fee'!$D$3:$D$150,$A57)</f>
        <v>0</v>
      </c>
      <c r="S57" s="676">
        <f>SUMIFS('Prof. Fee'!AN$3:AN$150,'Prof. Fee'!$B$3:$B$150,$D$1,'Prof. Fee'!$D$3:$D$150,$A57)</f>
        <v>0</v>
      </c>
      <c r="T57" s="676">
        <f>SUMIFS('Prof. Fee'!AO$3:AO$150,'Prof. Fee'!$B$3:$B$150,$D$1,'Prof. Fee'!$D$3:$D$150,$A57)</f>
        <v>0</v>
      </c>
      <c r="U57" s="676">
        <f>SUMIFS('Prof. Fee'!AP$3:AP$150,'Prof. Fee'!$B$3:$B$150,$D$1,'Prof. Fee'!$D$3:$D$150,$A57)</f>
        <v>0</v>
      </c>
      <c r="V57" s="676">
        <f>SUMIFS('Prof. Fee'!AQ$3:AQ$150,'Prof. Fee'!$B$3:$B$150,$D$1,'Prof. Fee'!$D$3:$D$150,$A57)</f>
        <v>0</v>
      </c>
      <c r="W57" s="676">
        <f t="shared" si="24"/>
        <v>0</v>
      </c>
      <c r="Y57" s="688">
        <f>IFERROR(VLOOKUP(A57,'[93]1月'!$A:$H,8,0),0)</f>
        <v>0</v>
      </c>
      <c r="Z57" s="688">
        <f>IFERROR(VLOOKUP(A57,'[93]2月'!$A:$H,8,0),0)</f>
        <v>0</v>
      </c>
      <c r="AA57" s="688">
        <f>IFERROR(VLOOKUP($A57,'[93]3月'!$A:$H,8,0),0)</f>
        <v>0</v>
      </c>
      <c r="AB57" s="688">
        <f>IFERROR(VLOOKUP($A57,'[93]4月'!$A:$H,8,0),0)</f>
        <v>0</v>
      </c>
      <c r="AC57" s="688">
        <f>IFERROR(VLOOKUP($A57,'[93]5月'!$A:$H,8,0),0)</f>
        <v>0</v>
      </c>
      <c r="AD57" s="688">
        <f>IFERROR(VLOOKUP($A57,'[93]6月'!$A:$H,8,0),0)</f>
        <v>0</v>
      </c>
      <c r="AE57" s="688">
        <f>IFERROR(VLOOKUP($A57,'[93]7月'!$A:$H,8,0),0)</f>
        <v>0</v>
      </c>
      <c r="AF57" s="688">
        <f>IFERROR(VLOOKUP($A57,'[93]8月'!$A:$H,8,0),0)</f>
        <v>0</v>
      </c>
      <c r="AG57" s="688">
        <f>IFERROR(VLOOKUP($A57,'[93]9月'!$A:$H,8,0),0)</f>
        <v>0</v>
      </c>
      <c r="AH57" s="688">
        <f>IFERROR(VLOOKUP($A57,'[93]10月'!$A:$H,8,0),0)</f>
        <v>0</v>
      </c>
      <c r="AI57" s="688">
        <f>IFERROR(VLOOKUP($A57,'[93]11月'!$A:$H,8,0),0)</f>
        <v>0</v>
      </c>
      <c r="AJ57" s="688">
        <f>IFERROR(VLOOKUP($A57,'[93]12月'!$A:$H,8,0),0)</f>
        <v>0</v>
      </c>
      <c r="AK57" s="688">
        <f t="shared" si="37"/>
        <v>0</v>
      </c>
    </row>
    <row r="58" spans="1:37" ht="13.5" customHeight="1">
      <c r="A58" s="653" t="str">
        <f>'Budget-合并'!A58</f>
        <v>6602.04.11</v>
      </c>
      <c r="B58" s="653" t="str">
        <f>'Budget-合并'!B58</f>
        <v>技术服务费</v>
      </c>
      <c r="C58" s="687">
        <f>'Budget-合并'!C58</f>
        <v>0</v>
      </c>
      <c r="D58" s="676">
        <f t="shared" si="31"/>
        <v>0</v>
      </c>
      <c r="E58" s="676" t="e">
        <f>INDEX($Y58:AHV58,1,MATCH($E$6,$Y$6:$AJ$6))</f>
        <v>#N/A</v>
      </c>
      <c r="F58" s="676" t="e">
        <f t="shared" si="32"/>
        <v>#N/A</v>
      </c>
      <c r="G58" s="676">
        <f t="shared" ca="1" si="33"/>
        <v>0</v>
      </c>
      <c r="H58" s="676" t="e">
        <f t="shared" ca="1" si="34"/>
        <v>#N/A</v>
      </c>
      <c r="I58" s="676" t="e">
        <f t="shared" ca="1" si="35"/>
        <v>#N/A</v>
      </c>
      <c r="K58" s="676">
        <f>SUMIFS('Prof. Fee'!AF$3:AF$150,'Prof. Fee'!$B$3:$B$150,$D$1,'Prof. Fee'!$D$3:$D$150,$A58)</f>
        <v>0</v>
      </c>
      <c r="L58" s="676">
        <f>SUMIFS('Prof. Fee'!AG$3:AG$150,'Prof. Fee'!$B$3:$B$150,$D$1,'Prof. Fee'!$D$3:$D$150,$A58)</f>
        <v>0</v>
      </c>
      <c r="M58" s="676">
        <f>SUMIFS('Prof. Fee'!AH$3:AH$150,'Prof. Fee'!$B$3:$B$150,$D$1,'Prof. Fee'!$D$3:$D$150,$A58)</f>
        <v>0</v>
      </c>
      <c r="N58" s="676">
        <f>SUMIFS('Prof. Fee'!AI$3:AI$150,'Prof. Fee'!$B$3:$B$150,$D$1,'Prof. Fee'!$D$3:$D$150,$A58)</f>
        <v>0</v>
      </c>
      <c r="O58" s="676">
        <f>SUMIFS('Prof. Fee'!AJ$3:AJ$150,'Prof. Fee'!$B$3:$B$150,$D$1,'Prof. Fee'!$D$3:$D$150,$A58)</f>
        <v>0</v>
      </c>
      <c r="P58" s="676">
        <f>SUMIFS('Prof. Fee'!AK$3:AK$150,'Prof. Fee'!$B$3:$B$150,$D$1,'Prof. Fee'!$D$3:$D$150,$A58)</f>
        <v>0</v>
      </c>
      <c r="Q58" s="676">
        <f>SUMIFS('Prof. Fee'!AL$3:AL$150,'Prof. Fee'!$B$3:$B$150,$D$1,'Prof. Fee'!$D$3:$D$150,$A58)</f>
        <v>0</v>
      </c>
      <c r="R58" s="676">
        <f>SUMIFS('Prof. Fee'!AM$3:AM$150,'Prof. Fee'!$B$3:$B$150,$D$1,'Prof. Fee'!$D$3:$D$150,$A58)</f>
        <v>0</v>
      </c>
      <c r="S58" s="676">
        <f>SUMIFS('Prof. Fee'!AN$3:AN$150,'Prof. Fee'!$B$3:$B$150,$D$1,'Prof. Fee'!$D$3:$D$150,$A58)</f>
        <v>0</v>
      </c>
      <c r="T58" s="676">
        <f>SUMIFS('Prof. Fee'!AO$3:AO$150,'Prof. Fee'!$B$3:$B$150,$D$1,'Prof. Fee'!$D$3:$D$150,$A58)</f>
        <v>0</v>
      </c>
      <c r="U58" s="676">
        <f>SUMIFS('Prof. Fee'!AP$3:AP$150,'Prof. Fee'!$B$3:$B$150,$D$1,'Prof. Fee'!$D$3:$D$150,$A58)</f>
        <v>0</v>
      </c>
      <c r="V58" s="676">
        <f>SUMIFS('Prof. Fee'!AQ$3:AQ$150,'Prof. Fee'!$B$3:$B$150,$D$1,'Prof. Fee'!$D$3:$D$150,$A58)</f>
        <v>0</v>
      </c>
      <c r="W58" s="676">
        <f t="shared" si="24"/>
        <v>0</v>
      </c>
      <c r="Y58" s="688">
        <f>IFERROR(VLOOKUP(A58,'[93]1月'!$A:$H,8,0),0)</f>
        <v>0</v>
      </c>
      <c r="Z58" s="688">
        <f>IFERROR(VLOOKUP(A58,'[93]2月'!$A:$H,8,0),0)</f>
        <v>0</v>
      </c>
      <c r="AA58" s="688">
        <f>IFERROR(VLOOKUP($A58,'[93]3月'!$A:$H,8,0),0)</f>
        <v>0</v>
      </c>
      <c r="AB58" s="688">
        <f>IFERROR(VLOOKUP($A58,'[93]4月'!$A:$H,8,0),0)</f>
        <v>0</v>
      </c>
      <c r="AC58" s="688">
        <f>IFERROR(VLOOKUP($A58,'[93]5月'!$A:$H,8,0),0)</f>
        <v>0</v>
      </c>
      <c r="AD58" s="688">
        <f>IFERROR(VLOOKUP($A58,'[93]6月'!$A:$H,8,0),0)</f>
        <v>0</v>
      </c>
      <c r="AE58" s="688">
        <f>IFERROR(VLOOKUP($A58,'[93]7月'!$A:$H,8,0),0)</f>
        <v>0</v>
      </c>
      <c r="AF58" s="688">
        <f>IFERROR(VLOOKUP($A58,'[93]8月'!$A:$H,8,0),0)</f>
        <v>0</v>
      </c>
      <c r="AG58" s="688">
        <f>IFERROR(VLOOKUP($A58,'[93]9月'!$A:$H,8,0),0)</f>
        <v>0</v>
      </c>
      <c r="AH58" s="688">
        <f>IFERROR(VLOOKUP($A58,'[93]10月'!$A:$H,8,0),0)</f>
        <v>0</v>
      </c>
      <c r="AI58" s="688">
        <f>IFERROR(VLOOKUP($A58,'[93]11月'!$A:$H,8,0),0)</f>
        <v>0</v>
      </c>
      <c r="AJ58" s="688">
        <f>IFERROR(VLOOKUP($A58,'[93]12月'!$A:$H,8,0),0)</f>
        <v>0</v>
      </c>
      <c r="AK58" s="688">
        <f t="shared" si="37"/>
        <v>0</v>
      </c>
    </row>
    <row r="59" spans="1:37" ht="13.5" customHeight="1">
      <c r="A59" s="653" t="str">
        <f>'Budget-合并'!A59</f>
        <v>6602.04.12</v>
      </c>
      <c r="B59" s="653" t="str">
        <f>'Budget-合并'!B59</f>
        <v>合规支持服务</v>
      </c>
      <c r="C59" s="687" t="str">
        <f>'Budget-合并'!C59</f>
        <v xml:space="preserve">Compliance Support Services </v>
      </c>
      <c r="D59" s="676">
        <f t="shared" si="31"/>
        <v>0</v>
      </c>
      <c r="E59" s="676" t="e">
        <f>INDEX($Y59:AHV59,1,MATCH($E$6,$Y$6:$AJ$6))</f>
        <v>#N/A</v>
      </c>
      <c r="F59" s="676" t="e">
        <f t="shared" si="32"/>
        <v>#N/A</v>
      </c>
      <c r="G59" s="676">
        <f t="shared" ca="1" si="33"/>
        <v>0</v>
      </c>
      <c r="H59" s="676" t="e">
        <f t="shared" ca="1" si="34"/>
        <v>#N/A</v>
      </c>
      <c r="I59" s="676" t="e">
        <f t="shared" ca="1" si="35"/>
        <v>#N/A</v>
      </c>
      <c r="K59" s="676">
        <f>SUMIFS('Prof. Fee'!AF$3:AF$150,'Prof. Fee'!$B$3:$B$150,$D$1,'Prof. Fee'!$D$3:$D$150,$A59)</f>
        <v>0</v>
      </c>
      <c r="L59" s="676">
        <f>SUMIFS('Prof. Fee'!AG$3:AG$150,'Prof. Fee'!$B$3:$B$150,$D$1,'Prof. Fee'!$D$3:$D$150,$A59)</f>
        <v>0</v>
      </c>
      <c r="M59" s="676">
        <f>SUMIFS('Prof. Fee'!AH$3:AH$150,'Prof. Fee'!$B$3:$B$150,$D$1,'Prof. Fee'!$D$3:$D$150,$A59)</f>
        <v>0</v>
      </c>
      <c r="N59" s="676">
        <f>SUMIFS('Prof. Fee'!AI$3:AI$150,'Prof. Fee'!$B$3:$B$150,$D$1,'Prof. Fee'!$D$3:$D$150,$A59)</f>
        <v>0</v>
      </c>
      <c r="O59" s="676">
        <f>SUMIFS('Prof. Fee'!AJ$3:AJ$150,'Prof. Fee'!$B$3:$B$150,$D$1,'Prof. Fee'!$D$3:$D$150,$A59)</f>
        <v>0</v>
      </c>
      <c r="P59" s="676">
        <f>SUMIFS('Prof. Fee'!AK$3:AK$150,'Prof. Fee'!$B$3:$B$150,$D$1,'Prof. Fee'!$D$3:$D$150,$A59)</f>
        <v>0</v>
      </c>
      <c r="Q59" s="676">
        <f>SUMIFS('Prof. Fee'!AL$3:AL$150,'Prof. Fee'!$B$3:$B$150,$D$1,'Prof. Fee'!$D$3:$D$150,$A59)</f>
        <v>0</v>
      </c>
      <c r="R59" s="676">
        <f>SUMIFS('Prof. Fee'!AM$3:AM$150,'Prof. Fee'!$B$3:$B$150,$D$1,'Prof. Fee'!$D$3:$D$150,$A59)</f>
        <v>0</v>
      </c>
      <c r="S59" s="676">
        <f>SUMIFS('Prof. Fee'!AN$3:AN$150,'Prof. Fee'!$B$3:$B$150,$D$1,'Prof. Fee'!$D$3:$D$150,$A59)</f>
        <v>0</v>
      </c>
      <c r="T59" s="676">
        <f>SUMIFS('Prof. Fee'!AO$3:AO$150,'Prof. Fee'!$B$3:$B$150,$D$1,'Prof. Fee'!$D$3:$D$150,$A59)</f>
        <v>0</v>
      </c>
      <c r="U59" s="676">
        <f>SUMIFS('Prof. Fee'!AP$3:AP$150,'Prof. Fee'!$B$3:$B$150,$D$1,'Prof. Fee'!$D$3:$D$150,$A59)</f>
        <v>0</v>
      </c>
      <c r="V59" s="676">
        <f>SUMIFS('Prof. Fee'!AQ$3:AQ$150,'Prof. Fee'!$B$3:$B$150,$D$1,'Prof. Fee'!$D$3:$D$150,$A59)</f>
        <v>0</v>
      </c>
      <c r="W59" s="676">
        <f t="shared" si="24"/>
        <v>0</v>
      </c>
      <c r="Y59" s="688">
        <f>IFERROR(VLOOKUP(A59,'[93]1月'!$A:$H,8,0),0)</f>
        <v>0</v>
      </c>
      <c r="Z59" s="688">
        <f>IFERROR(VLOOKUP(A59,'[93]2月'!$A:$H,8,0),0)</f>
        <v>0</v>
      </c>
      <c r="AA59" s="688">
        <f>IFERROR(VLOOKUP($A59,'[93]3月'!$A:$H,8,0),0)</f>
        <v>0</v>
      </c>
      <c r="AB59" s="688">
        <f>IFERROR(VLOOKUP($A59,'[93]4月'!$A:$H,8,0),0)</f>
        <v>0</v>
      </c>
      <c r="AC59" s="688">
        <f>IFERROR(VLOOKUP($A59,'[93]5月'!$A:$H,8,0),0)</f>
        <v>0</v>
      </c>
      <c r="AD59" s="688">
        <f>IFERROR(VLOOKUP($A59,'[93]6月'!$A:$H,8,0),0)</f>
        <v>0</v>
      </c>
      <c r="AE59" s="688">
        <f>IFERROR(VLOOKUP($A59,'[93]7月'!$A:$H,8,0),0)</f>
        <v>0</v>
      </c>
      <c r="AF59" s="688">
        <f>IFERROR(VLOOKUP($A59,'[93]8月'!$A:$H,8,0),0)</f>
        <v>0</v>
      </c>
      <c r="AG59" s="688">
        <f>IFERROR(VLOOKUP($A59,'[93]9月'!$A:$H,8,0),0)</f>
        <v>0</v>
      </c>
      <c r="AH59" s="688">
        <f>IFERROR(VLOOKUP($A59,'[93]10月'!$A:$H,8,0),0)</f>
        <v>0</v>
      </c>
      <c r="AI59" s="688">
        <f>IFERROR(VLOOKUP($A59,'[93]11月'!$A:$H,8,0),0)</f>
        <v>0</v>
      </c>
      <c r="AJ59" s="688">
        <f>IFERROR(VLOOKUP($A59,'[93]12月'!$A:$H,8,0),0)</f>
        <v>0</v>
      </c>
      <c r="AK59" s="688">
        <f t="shared" si="37"/>
        <v>0</v>
      </c>
    </row>
    <row r="60" spans="1:37" ht="13.5" customHeight="1">
      <c r="A60" s="653" t="str">
        <f>'Budget-合并'!A60</f>
        <v>6602.04.13</v>
      </c>
      <c r="B60" s="653" t="str">
        <f>'Budget-合并'!B60</f>
        <v>咨询费</v>
      </c>
      <c r="C60" s="687" t="str">
        <f>'Budget-合并'!C60</f>
        <v>Consulting fee</v>
      </c>
      <c r="D60" s="676">
        <f t="shared" si="31"/>
        <v>0</v>
      </c>
      <c r="E60" s="676" t="e">
        <f>INDEX($Y60:AHV60,1,MATCH($E$6,$Y$6:$AJ$6))</f>
        <v>#N/A</v>
      </c>
      <c r="F60" s="676" t="e">
        <f t="shared" si="32"/>
        <v>#N/A</v>
      </c>
      <c r="G60" s="676">
        <f t="shared" ca="1" si="33"/>
        <v>0</v>
      </c>
      <c r="H60" s="676" t="e">
        <f t="shared" ca="1" si="34"/>
        <v>#N/A</v>
      </c>
      <c r="I60" s="676" t="e">
        <f t="shared" ca="1" si="35"/>
        <v>#N/A</v>
      </c>
      <c r="K60" s="676">
        <f>SUMIFS('Prof. Fee'!AF$3:AF$150,'Prof. Fee'!$B$3:$B$150,$D$1,'Prof. Fee'!$D$3:$D$150,$A60)</f>
        <v>0</v>
      </c>
      <c r="L60" s="676">
        <f>SUMIFS('Prof. Fee'!AG$3:AG$150,'Prof. Fee'!$B$3:$B$150,$D$1,'Prof. Fee'!$D$3:$D$150,$A60)</f>
        <v>0</v>
      </c>
      <c r="M60" s="676">
        <f>SUMIFS('Prof. Fee'!AH$3:AH$150,'Prof. Fee'!$B$3:$B$150,$D$1,'Prof. Fee'!$D$3:$D$150,$A60)</f>
        <v>0</v>
      </c>
      <c r="N60" s="676">
        <f>SUMIFS('Prof. Fee'!AI$3:AI$150,'Prof. Fee'!$B$3:$B$150,$D$1,'Prof. Fee'!$D$3:$D$150,$A60)</f>
        <v>0</v>
      </c>
      <c r="O60" s="676">
        <f>SUMIFS('Prof. Fee'!AJ$3:AJ$150,'Prof. Fee'!$B$3:$B$150,$D$1,'Prof. Fee'!$D$3:$D$150,$A60)</f>
        <v>0</v>
      </c>
      <c r="P60" s="676">
        <f>SUMIFS('Prof. Fee'!AK$3:AK$150,'Prof. Fee'!$B$3:$B$150,$D$1,'Prof. Fee'!$D$3:$D$150,$A60)</f>
        <v>0</v>
      </c>
      <c r="Q60" s="676">
        <f>SUMIFS('Prof. Fee'!AL$3:AL$150,'Prof. Fee'!$B$3:$B$150,$D$1,'Prof. Fee'!$D$3:$D$150,$A60)</f>
        <v>0</v>
      </c>
      <c r="R60" s="676">
        <f>SUMIFS('Prof. Fee'!AM$3:AM$150,'Prof. Fee'!$B$3:$B$150,$D$1,'Prof. Fee'!$D$3:$D$150,$A60)</f>
        <v>0</v>
      </c>
      <c r="S60" s="676">
        <f>SUMIFS('Prof. Fee'!AN$3:AN$150,'Prof. Fee'!$B$3:$B$150,$D$1,'Prof. Fee'!$D$3:$D$150,$A60)</f>
        <v>0</v>
      </c>
      <c r="T60" s="676">
        <f>SUMIFS('Prof. Fee'!AO$3:AO$150,'Prof. Fee'!$B$3:$B$150,$D$1,'Prof. Fee'!$D$3:$D$150,$A60)</f>
        <v>0</v>
      </c>
      <c r="U60" s="676">
        <f>SUMIFS('Prof. Fee'!AP$3:AP$150,'Prof. Fee'!$B$3:$B$150,$D$1,'Prof. Fee'!$D$3:$D$150,$A60)</f>
        <v>0</v>
      </c>
      <c r="V60" s="676">
        <f>SUMIFS('Prof. Fee'!AQ$3:AQ$150,'Prof. Fee'!$B$3:$B$150,$D$1,'Prof. Fee'!$D$3:$D$150,$A60)</f>
        <v>0</v>
      </c>
      <c r="W60" s="676">
        <f t="shared" si="24"/>
        <v>0</v>
      </c>
      <c r="Y60" s="688">
        <f>IFERROR(VLOOKUP(A60,'[93]1月'!$A:$H,8,0),0)</f>
        <v>0</v>
      </c>
      <c r="Z60" s="688">
        <f>IFERROR(VLOOKUP(A60,'[93]2月'!$A:$H,8,0),0)</f>
        <v>0</v>
      </c>
      <c r="AA60" s="688">
        <f>IFERROR(VLOOKUP($A60,'[93]3月'!$A:$H,8,0),0)</f>
        <v>0</v>
      </c>
      <c r="AB60" s="688">
        <f>IFERROR(VLOOKUP($A60,'[93]4月'!$A:$H,8,0),0)</f>
        <v>0</v>
      </c>
      <c r="AC60" s="688">
        <f>IFERROR(VLOOKUP($A60,'[93]5月'!$A:$H,8,0),0)</f>
        <v>0</v>
      </c>
      <c r="AD60" s="688">
        <f>IFERROR(VLOOKUP($A60,'[93]6月'!$A:$H,8,0),0)</f>
        <v>0</v>
      </c>
      <c r="AE60" s="688">
        <f>IFERROR(VLOOKUP($A60,'[93]7月'!$A:$H,8,0),0)</f>
        <v>0</v>
      </c>
      <c r="AF60" s="688">
        <f>IFERROR(VLOOKUP($A60,'[93]8月'!$A:$H,8,0),0)</f>
        <v>0</v>
      </c>
      <c r="AG60" s="688">
        <f>IFERROR(VLOOKUP($A60,'[93]9月'!$A:$H,8,0),0)</f>
        <v>0</v>
      </c>
      <c r="AH60" s="688">
        <f>IFERROR(VLOOKUP($A60,'[93]10月'!$A:$H,8,0),0)</f>
        <v>0</v>
      </c>
      <c r="AI60" s="688">
        <f>IFERROR(VLOOKUP($A60,'[93]11月'!$A:$H,8,0),0)</f>
        <v>0</v>
      </c>
      <c r="AJ60" s="688">
        <f>IFERROR(VLOOKUP($A60,'[93]12月'!$A:$H,8,0),0)</f>
        <v>0</v>
      </c>
      <c r="AK60" s="688">
        <f t="shared" si="37"/>
        <v>0</v>
      </c>
    </row>
    <row r="61" spans="1:37" ht="13.5" customHeight="1">
      <c r="A61" s="653" t="str">
        <f>'Budget-合并'!A61</f>
        <v>6602.04.99</v>
      </c>
      <c r="B61" s="653" t="str">
        <f>'Budget-合并'!B61</f>
        <v>其他</v>
      </c>
      <c r="C61" s="687">
        <f>'Budget-合并'!C61</f>
        <v>0</v>
      </c>
      <c r="D61" s="676">
        <f t="shared" si="31"/>
        <v>0</v>
      </c>
      <c r="E61" s="676" t="e">
        <f>INDEX($Y61:AHV61,1,MATCH($E$6,$Y$6:$AJ$6))</f>
        <v>#N/A</v>
      </c>
      <c r="F61" s="676" t="e">
        <f t="shared" si="32"/>
        <v>#N/A</v>
      </c>
      <c r="G61" s="676">
        <f t="shared" ca="1" si="33"/>
        <v>0</v>
      </c>
      <c r="H61" s="676" t="e">
        <f t="shared" ca="1" si="34"/>
        <v>#N/A</v>
      </c>
      <c r="I61" s="676" t="e">
        <f t="shared" ca="1" si="35"/>
        <v>#N/A</v>
      </c>
      <c r="K61" s="676">
        <f>SUMIFS('Prof. Fee'!AF$3:AF$150,'Prof. Fee'!$B$3:$B$150,$D$1,'Prof. Fee'!$D$3:$D$150,$A61)</f>
        <v>0</v>
      </c>
      <c r="L61" s="676">
        <f>SUMIFS('Prof. Fee'!AG$3:AG$150,'Prof. Fee'!$B$3:$B$150,$D$1,'Prof. Fee'!$D$3:$D$150,$A61)</f>
        <v>0</v>
      </c>
      <c r="M61" s="676">
        <f>SUMIFS('Prof. Fee'!AH$3:AH$150,'Prof. Fee'!$B$3:$B$150,$D$1,'Prof. Fee'!$D$3:$D$150,$A61)</f>
        <v>0</v>
      </c>
      <c r="N61" s="676">
        <f>SUMIFS('Prof. Fee'!AI$3:AI$150,'Prof. Fee'!$B$3:$B$150,$D$1,'Prof. Fee'!$D$3:$D$150,$A61)</f>
        <v>0</v>
      </c>
      <c r="O61" s="676">
        <f>SUMIFS('Prof. Fee'!AJ$3:AJ$150,'Prof. Fee'!$B$3:$B$150,$D$1,'Prof. Fee'!$D$3:$D$150,$A61)</f>
        <v>0</v>
      </c>
      <c r="P61" s="676">
        <f>SUMIFS('Prof. Fee'!AK$3:AK$150,'Prof. Fee'!$B$3:$B$150,$D$1,'Prof. Fee'!$D$3:$D$150,$A61)</f>
        <v>0</v>
      </c>
      <c r="Q61" s="676">
        <f>SUMIFS('Prof. Fee'!AL$3:AL$150,'Prof. Fee'!$B$3:$B$150,$D$1,'Prof. Fee'!$D$3:$D$150,$A61)</f>
        <v>0</v>
      </c>
      <c r="R61" s="676">
        <f>SUMIFS('Prof. Fee'!AM$3:AM$150,'Prof. Fee'!$B$3:$B$150,$D$1,'Prof. Fee'!$D$3:$D$150,$A61)</f>
        <v>0</v>
      </c>
      <c r="S61" s="676">
        <f>SUMIFS('Prof. Fee'!AN$3:AN$150,'Prof. Fee'!$B$3:$B$150,$D$1,'Prof. Fee'!$D$3:$D$150,$A61)</f>
        <v>0</v>
      </c>
      <c r="T61" s="676">
        <f>SUMIFS('Prof. Fee'!AO$3:AO$150,'Prof. Fee'!$B$3:$B$150,$D$1,'Prof. Fee'!$D$3:$D$150,$A61)</f>
        <v>0</v>
      </c>
      <c r="U61" s="676">
        <f>SUMIFS('Prof. Fee'!AP$3:AP$150,'Prof. Fee'!$B$3:$B$150,$D$1,'Prof. Fee'!$D$3:$D$150,$A61)</f>
        <v>0</v>
      </c>
      <c r="V61" s="676">
        <f>SUMIFS('Prof. Fee'!AQ$3:AQ$150,'Prof. Fee'!$B$3:$B$150,$D$1,'Prof. Fee'!$D$3:$D$150,$A61)</f>
        <v>0</v>
      </c>
      <c r="W61" s="676">
        <f t="shared" si="24"/>
        <v>0</v>
      </c>
      <c r="Y61" s="688">
        <f>IFERROR(VLOOKUP(A61,'[93]1月'!$A:$H,8,0),0)</f>
        <v>0</v>
      </c>
      <c r="Z61" s="688">
        <f>IFERROR(VLOOKUP(A61,'[93]2月'!$A:$H,8,0),0)</f>
        <v>0</v>
      </c>
      <c r="AA61" s="688">
        <f>IFERROR(VLOOKUP($A61,'[93]3月'!$A:$H,8,0),0)</f>
        <v>0</v>
      </c>
      <c r="AB61" s="688">
        <f>IFERROR(VLOOKUP($A61,'[93]4月'!$A:$H,8,0),0)</f>
        <v>0</v>
      </c>
      <c r="AC61" s="688">
        <f>IFERROR(VLOOKUP($A61,'[93]5月'!$A:$H,8,0),0)</f>
        <v>0</v>
      </c>
      <c r="AD61" s="688">
        <f>IFERROR(VLOOKUP($A61,'[93]6月'!$A:$H,8,0),0)</f>
        <v>0</v>
      </c>
      <c r="AE61" s="688">
        <f>IFERROR(VLOOKUP($A61,'[93]7月'!$A:$H,8,0),0)</f>
        <v>0</v>
      </c>
      <c r="AF61" s="688">
        <f>IFERROR(VLOOKUP($A61,'[93]8月'!$A:$H,8,0),0)</f>
        <v>0</v>
      </c>
      <c r="AG61" s="688">
        <f>IFERROR(VLOOKUP($A61,'[93]9月'!$A:$H,8,0),0)</f>
        <v>0</v>
      </c>
      <c r="AH61" s="688">
        <f>IFERROR(VLOOKUP($A61,'[93]10月'!$A:$H,8,0),0)</f>
        <v>0</v>
      </c>
      <c r="AI61" s="688">
        <f>IFERROR(VLOOKUP($A61,'[93]11月'!$A:$H,8,0),0)</f>
        <v>0</v>
      </c>
      <c r="AJ61" s="688">
        <f>IFERROR(VLOOKUP($A61,'[93]12月'!$A:$H,8,0),0)</f>
        <v>0</v>
      </c>
      <c r="AK61" s="688">
        <f t="shared" si="37"/>
        <v>0</v>
      </c>
    </row>
    <row r="62" spans="1:37" ht="13.5" customHeight="1">
      <c r="A62" s="663" t="str">
        <f>'Budget-合并'!A62</f>
        <v>6602.05</v>
      </c>
      <c r="B62" s="663" t="str">
        <f>'Budget-合并'!B62</f>
        <v>占用费</v>
      </c>
      <c r="C62" s="687">
        <f>'Budget-合并'!C62</f>
        <v>0</v>
      </c>
      <c r="D62" s="676">
        <f t="shared" si="31"/>
        <v>0</v>
      </c>
      <c r="E62" s="676" t="e">
        <f>INDEX($Y62:AHV62,1,MATCH($E$6,$Y$6:$AJ$6))</f>
        <v>#N/A</v>
      </c>
      <c r="F62" s="676" t="e">
        <f t="shared" si="32"/>
        <v>#N/A</v>
      </c>
      <c r="G62" s="676">
        <f t="shared" ca="1" si="33"/>
        <v>0</v>
      </c>
      <c r="H62" s="676" t="e">
        <f t="shared" ca="1" si="34"/>
        <v>#N/A</v>
      </c>
      <c r="I62" s="676" t="e">
        <f t="shared" ca="1" si="35"/>
        <v>#N/A</v>
      </c>
      <c r="K62" s="676">
        <f t="shared" ref="K62:V62" si="39">SUM(K63,K67:K74)</f>
        <v>0</v>
      </c>
      <c r="L62" s="676">
        <f t="shared" si="39"/>
        <v>0</v>
      </c>
      <c r="M62" s="676">
        <f t="shared" si="39"/>
        <v>0</v>
      </c>
      <c r="N62" s="676">
        <f t="shared" si="39"/>
        <v>0</v>
      </c>
      <c r="O62" s="676">
        <f t="shared" si="39"/>
        <v>0</v>
      </c>
      <c r="P62" s="676">
        <f t="shared" si="39"/>
        <v>0</v>
      </c>
      <c r="Q62" s="676">
        <f t="shared" si="39"/>
        <v>0</v>
      </c>
      <c r="R62" s="676">
        <f t="shared" si="39"/>
        <v>0</v>
      </c>
      <c r="S62" s="676">
        <f t="shared" si="39"/>
        <v>0</v>
      </c>
      <c r="T62" s="676">
        <f t="shared" si="39"/>
        <v>0</v>
      </c>
      <c r="U62" s="676">
        <f t="shared" si="39"/>
        <v>0</v>
      </c>
      <c r="V62" s="676">
        <f t="shared" si="39"/>
        <v>0</v>
      </c>
      <c r="W62" s="676">
        <f t="shared" si="24"/>
        <v>0</v>
      </c>
      <c r="Y62" s="688">
        <f>IFERROR(VLOOKUP(A62,'[93]1月'!$A:$H,8,0),0)</f>
        <v>0</v>
      </c>
      <c r="Z62" s="688">
        <f>IFERROR(VLOOKUP(A62,'[93]2月'!$A:$H,8,0),0)</f>
        <v>0</v>
      </c>
      <c r="AA62" s="688">
        <f>IFERROR(VLOOKUP($A62,'[93]3月'!$A:$H,8,0),0)</f>
        <v>0</v>
      </c>
      <c r="AB62" s="688">
        <f>IFERROR(VLOOKUP($A62,'[93]4月'!$A:$H,8,0),0)</f>
        <v>0</v>
      </c>
      <c r="AC62" s="688">
        <f>IFERROR(VLOOKUP($A62,'[93]5月'!$A:$H,8,0),0)</f>
        <v>0</v>
      </c>
      <c r="AD62" s="688">
        <f>IFERROR(VLOOKUP($A62,'[93]6月'!$A:$H,8,0),0)</f>
        <v>0</v>
      </c>
      <c r="AE62" s="688">
        <f>IFERROR(VLOOKUP($A62,'[93]7月'!$A:$H,8,0),0)</f>
        <v>0</v>
      </c>
      <c r="AF62" s="688">
        <f>IFERROR(VLOOKUP($A62,'[93]8月'!$A:$H,8,0),0)</f>
        <v>0</v>
      </c>
      <c r="AG62" s="688">
        <f>IFERROR(VLOOKUP($A62,'[93]9月'!$A:$H,8,0),0)</f>
        <v>0</v>
      </c>
      <c r="AH62" s="688">
        <f>IFERROR(VLOOKUP($A62,'[93]10月'!$A:$H,8,0),0)</f>
        <v>0</v>
      </c>
      <c r="AI62" s="688">
        <f>IFERROR(VLOOKUP($A62,'[93]11月'!$A:$H,8,0),0)</f>
        <v>0</v>
      </c>
      <c r="AJ62" s="688">
        <f>IFERROR(VLOOKUP($A62,'[93]12月'!$A:$H,8,0),0)</f>
        <v>0</v>
      </c>
      <c r="AK62" s="688">
        <f t="shared" si="37"/>
        <v>0</v>
      </c>
    </row>
    <row r="63" spans="1:37" ht="13.5" customHeight="1">
      <c r="A63" s="653" t="str">
        <f>'Budget-合并'!A63</f>
        <v>6602.05.01</v>
      </c>
      <c r="B63" s="653" t="str">
        <f>'Budget-合并'!B63</f>
        <v>办公室租赁费</v>
      </c>
      <c r="C63" s="687">
        <f>'Budget-合并'!C63</f>
        <v>0</v>
      </c>
      <c r="D63" s="676">
        <f t="shared" si="31"/>
        <v>0</v>
      </c>
      <c r="E63" s="676" t="e">
        <f>INDEX($Y63:AHV63,1,MATCH($E$6,$Y$6:$AJ$6))</f>
        <v>#N/A</v>
      </c>
      <c r="F63" s="676" t="e">
        <f t="shared" si="32"/>
        <v>#N/A</v>
      </c>
      <c r="G63" s="676">
        <f t="shared" ca="1" si="33"/>
        <v>0</v>
      </c>
      <c r="H63" s="676" t="e">
        <f t="shared" ca="1" si="34"/>
        <v>#N/A</v>
      </c>
      <c r="I63" s="676" t="e">
        <f t="shared" ca="1" si="35"/>
        <v>#N/A</v>
      </c>
      <c r="K63" s="676">
        <f t="shared" ref="K63:V63" si="40">SUM(K64:K66)</f>
        <v>0</v>
      </c>
      <c r="L63" s="676">
        <f t="shared" si="40"/>
        <v>0</v>
      </c>
      <c r="M63" s="676">
        <f t="shared" si="40"/>
        <v>0</v>
      </c>
      <c r="N63" s="676">
        <f t="shared" si="40"/>
        <v>0</v>
      </c>
      <c r="O63" s="676">
        <f t="shared" si="40"/>
        <v>0</v>
      </c>
      <c r="P63" s="676">
        <f t="shared" si="40"/>
        <v>0</v>
      </c>
      <c r="Q63" s="676">
        <f t="shared" si="40"/>
        <v>0</v>
      </c>
      <c r="R63" s="676">
        <f t="shared" si="40"/>
        <v>0</v>
      </c>
      <c r="S63" s="676">
        <f t="shared" si="40"/>
        <v>0</v>
      </c>
      <c r="T63" s="676">
        <f t="shared" si="40"/>
        <v>0</v>
      </c>
      <c r="U63" s="676">
        <f t="shared" si="40"/>
        <v>0</v>
      </c>
      <c r="V63" s="676">
        <f t="shared" si="40"/>
        <v>0</v>
      </c>
      <c r="W63" s="676">
        <f t="shared" si="24"/>
        <v>0</v>
      </c>
      <c r="Y63" s="688">
        <f>IFERROR(VLOOKUP(A63,'[93]1月'!$A:$H,8,0),0)</f>
        <v>0</v>
      </c>
      <c r="Z63" s="688">
        <f>IFERROR(VLOOKUP(A63,'[93]2月'!$A:$H,8,0),0)</f>
        <v>0</v>
      </c>
      <c r="AA63" s="688">
        <f>IFERROR(VLOOKUP($A63,'[93]3月'!$A:$H,8,0),0)</f>
        <v>0</v>
      </c>
      <c r="AB63" s="688">
        <f>IFERROR(VLOOKUP($A63,'[93]4月'!$A:$H,8,0),0)</f>
        <v>0</v>
      </c>
      <c r="AC63" s="688">
        <f>IFERROR(VLOOKUP($A63,'[93]5月'!$A:$H,8,0),0)</f>
        <v>0</v>
      </c>
      <c r="AD63" s="688">
        <f>IFERROR(VLOOKUP($A63,'[93]6月'!$A:$H,8,0),0)</f>
        <v>0</v>
      </c>
      <c r="AE63" s="688">
        <f>IFERROR(VLOOKUP($A63,'[93]7月'!$A:$H,8,0),0)</f>
        <v>0</v>
      </c>
      <c r="AF63" s="688">
        <f>IFERROR(VLOOKUP($A63,'[93]8月'!$A:$H,8,0),0)</f>
        <v>0</v>
      </c>
      <c r="AG63" s="688">
        <f>IFERROR(VLOOKUP($A63,'[93]9月'!$A:$H,8,0),0)</f>
        <v>0</v>
      </c>
      <c r="AH63" s="688">
        <f>IFERROR(VLOOKUP($A63,'[93]10月'!$A:$H,8,0),0)</f>
        <v>0</v>
      </c>
      <c r="AI63" s="688">
        <f>IFERROR(VLOOKUP($A63,'[93]11月'!$A:$H,8,0),0)</f>
        <v>0</v>
      </c>
      <c r="AJ63" s="688">
        <f>IFERROR(VLOOKUP($A63,'[93]12月'!$A:$H,8,0),0)</f>
        <v>0</v>
      </c>
      <c r="AK63" s="688">
        <f t="shared" si="37"/>
        <v>0</v>
      </c>
    </row>
    <row r="64" spans="1:37" ht="13.5" customHeight="1">
      <c r="A64" s="653" t="str">
        <f>'Budget-合并'!A64</f>
        <v>6602.05.01.01</v>
      </c>
      <c r="B64" s="653" t="str">
        <f>'Budget-合并'!B64</f>
        <v>旭智咨询--鼎和大厦1606</v>
      </c>
      <c r="C64" s="687">
        <f>'Budget-合并'!C64</f>
        <v>0</v>
      </c>
      <c r="D64" s="676">
        <f t="shared" si="31"/>
        <v>0</v>
      </c>
      <c r="E64" s="676" t="e">
        <f>INDEX($Y64:AHV64,1,MATCH($E$6,$Y$6:$AJ$6))</f>
        <v>#N/A</v>
      </c>
      <c r="F64" s="676" t="e">
        <f t="shared" si="32"/>
        <v>#N/A</v>
      </c>
      <c r="G64" s="676">
        <f t="shared" ca="1" si="33"/>
        <v>0</v>
      </c>
      <c r="H64" s="676" t="e">
        <f t="shared" ca="1" si="34"/>
        <v>#N/A</v>
      </c>
      <c r="I64" s="676" t="e">
        <f t="shared" ca="1" si="35"/>
        <v>#N/A</v>
      </c>
      <c r="K64" s="676"/>
      <c r="L64" s="676"/>
      <c r="M64" s="676"/>
      <c r="N64" s="676"/>
      <c r="O64" s="676"/>
      <c r="P64" s="676"/>
      <c r="Q64" s="676"/>
      <c r="R64" s="676"/>
      <c r="S64" s="676"/>
      <c r="T64" s="676"/>
      <c r="U64" s="676"/>
      <c r="V64" s="676"/>
      <c r="W64" s="676">
        <f t="shared" si="24"/>
        <v>0</v>
      </c>
      <c r="Y64" s="688">
        <f>IFERROR(VLOOKUP(A64,'[93]1月'!$A:$H,8,0),0)</f>
        <v>0</v>
      </c>
      <c r="Z64" s="688">
        <f>IFERROR(VLOOKUP(A64,'[93]2月'!$A:$H,8,0),0)</f>
        <v>0</v>
      </c>
      <c r="AA64" s="688">
        <f>IFERROR(VLOOKUP($A64,'[93]3月'!$A:$H,8,0),0)</f>
        <v>0</v>
      </c>
      <c r="AB64" s="688">
        <f>IFERROR(VLOOKUP($A64,'[93]4月'!$A:$H,8,0),0)</f>
        <v>0</v>
      </c>
      <c r="AC64" s="688">
        <f>IFERROR(VLOOKUP($A64,'[93]5月'!$A:$H,8,0),0)</f>
        <v>0</v>
      </c>
      <c r="AD64" s="688">
        <f>IFERROR(VLOOKUP($A64,'[93]6月'!$A:$H,8,0),0)</f>
        <v>0</v>
      </c>
      <c r="AE64" s="688">
        <f>IFERROR(VLOOKUP($A64,'[93]7月'!$A:$H,8,0),0)</f>
        <v>0</v>
      </c>
      <c r="AF64" s="688">
        <f>IFERROR(VLOOKUP($A64,'[93]8月'!$A:$H,8,0),0)</f>
        <v>0</v>
      </c>
      <c r="AG64" s="688">
        <f>IFERROR(VLOOKUP($A64,'[93]9月'!$A:$H,8,0),0)</f>
        <v>0</v>
      </c>
      <c r="AH64" s="688">
        <f>IFERROR(VLOOKUP($A64,'[93]10月'!$A:$H,8,0),0)</f>
        <v>0</v>
      </c>
      <c r="AI64" s="688">
        <f>IFERROR(VLOOKUP($A64,'[93]11月'!$A:$H,8,0),0)</f>
        <v>0</v>
      </c>
      <c r="AJ64" s="688">
        <f>IFERROR(VLOOKUP($A64,'[93]12月'!$A:$H,8,0),0)</f>
        <v>0</v>
      </c>
      <c r="AK64" s="688">
        <f t="shared" si="37"/>
        <v>0</v>
      </c>
    </row>
    <row r="65" spans="1:37" ht="13.5" customHeight="1">
      <c r="A65" s="653" t="str">
        <f>'Budget-合并'!A65</f>
        <v>6602.05.01.02</v>
      </c>
      <c r="B65" s="653" t="str">
        <f>'Budget-合并'!B65</f>
        <v>广州注册地址403房J015</v>
      </c>
      <c r="C65" s="687">
        <f>'Budget-合并'!C65</f>
        <v>0</v>
      </c>
      <c r="D65" s="676">
        <f t="shared" si="31"/>
        <v>0</v>
      </c>
      <c r="E65" s="676" t="e">
        <f>INDEX($Y65:AHV65,1,MATCH($E$6,$Y$6:$AJ$6))</f>
        <v>#N/A</v>
      </c>
      <c r="F65" s="676" t="e">
        <f t="shared" si="32"/>
        <v>#N/A</v>
      </c>
      <c r="G65" s="676">
        <f t="shared" ca="1" si="33"/>
        <v>0</v>
      </c>
      <c r="H65" s="676" t="e">
        <f t="shared" ca="1" si="34"/>
        <v>#N/A</v>
      </c>
      <c r="I65" s="676" t="e">
        <f t="shared" ca="1" si="35"/>
        <v>#N/A</v>
      </c>
      <c r="K65" s="676"/>
      <c r="L65" s="676"/>
      <c r="M65" s="676"/>
      <c r="N65" s="676"/>
      <c r="O65" s="676"/>
      <c r="P65" s="676"/>
      <c r="Q65" s="676"/>
      <c r="R65" s="676"/>
      <c r="S65" s="676"/>
      <c r="T65" s="676"/>
      <c r="U65" s="676"/>
      <c r="V65" s="676"/>
      <c r="W65" s="676">
        <f t="shared" si="24"/>
        <v>0</v>
      </c>
      <c r="Y65" s="688">
        <f>IFERROR(VLOOKUP(A65,'[93]1月'!$A:$H,8,0),0)</f>
        <v>0</v>
      </c>
      <c r="Z65" s="688">
        <f>IFERROR(VLOOKUP(A65,'[93]2月'!$A:$H,8,0),0)</f>
        <v>0</v>
      </c>
      <c r="AA65" s="688">
        <f>IFERROR(VLOOKUP($A65,'[93]3月'!$A:$H,8,0),0)</f>
        <v>0</v>
      </c>
      <c r="AB65" s="688">
        <f>IFERROR(VLOOKUP($A65,'[93]4月'!$A:$H,8,0),0)</f>
        <v>0</v>
      </c>
      <c r="AC65" s="688">
        <f>IFERROR(VLOOKUP($A65,'[93]5月'!$A:$H,8,0),0)</f>
        <v>0</v>
      </c>
      <c r="AD65" s="688">
        <f>IFERROR(VLOOKUP($A65,'[93]6月'!$A:$H,8,0),0)</f>
        <v>0</v>
      </c>
      <c r="AE65" s="688">
        <f>IFERROR(VLOOKUP($A65,'[93]7月'!$A:$H,8,0),0)</f>
        <v>0</v>
      </c>
      <c r="AF65" s="688">
        <f>IFERROR(VLOOKUP($A65,'[93]8月'!$A:$H,8,0),0)</f>
        <v>0</v>
      </c>
      <c r="AG65" s="688">
        <f>IFERROR(VLOOKUP($A65,'[93]9月'!$A:$H,8,0),0)</f>
        <v>0</v>
      </c>
      <c r="AH65" s="688">
        <f>IFERROR(VLOOKUP($A65,'[93]10月'!$A:$H,8,0),0)</f>
        <v>0</v>
      </c>
      <c r="AI65" s="688">
        <f>IFERROR(VLOOKUP($A65,'[93]11月'!$A:$H,8,0),0)</f>
        <v>0</v>
      </c>
      <c r="AJ65" s="688">
        <f>IFERROR(VLOOKUP($A65,'[93]12月'!$A:$H,8,0),0)</f>
        <v>0</v>
      </c>
      <c r="AK65" s="688">
        <f t="shared" si="37"/>
        <v>0</v>
      </c>
    </row>
    <row r="66" spans="1:37" ht="13.5" customHeight="1">
      <c r="A66" s="653" t="str">
        <f>'Budget-合并'!A66</f>
        <v>6602.05.01.03</v>
      </c>
      <c r="B66" s="653" t="str">
        <f>'Budget-合并'!B66</f>
        <v>广州注册地址403房J016</v>
      </c>
      <c r="C66" s="687">
        <f>'Budget-合并'!C66</f>
        <v>0</v>
      </c>
      <c r="D66" s="676">
        <f t="shared" si="31"/>
        <v>0</v>
      </c>
      <c r="E66" s="676" t="e">
        <f>INDEX($Y66:AHV66,1,MATCH($E$6,$Y$6:$AJ$6))</f>
        <v>#N/A</v>
      </c>
      <c r="F66" s="676" t="e">
        <f t="shared" si="32"/>
        <v>#N/A</v>
      </c>
      <c r="G66" s="676">
        <f t="shared" ca="1" si="33"/>
        <v>0</v>
      </c>
      <c r="H66" s="676" t="e">
        <f t="shared" ca="1" si="34"/>
        <v>#N/A</v>
      </c>
      <c r="I66" s="676" t="e">
        <f t="shared" ca="1" si="35"/>
        <v>#N/A</v>
      </c>
      <c r="K66" s="676"/>
      <c r="L66" s="676"/>
      <c r="M66" s="676"/>
      <c r="N66" s="676"/>
      <c r="O66" s="676"/>
      <c r="P66" s="676"/>
      <c r="Q66" s="676"/>
      <c r="R66" s="676"/>
      <c r="S66" s="676"/>
      <c r="T66" s="676"/>
      <c r="U66" s="676"/>
      <c r="V66" s="676"/>
      <c r="W66" s="676">
        <f t="shared" si="24"/>
        <v>0</v>
      </c>
      <c r="Y66" s="688">
        <f>IFERROR(VLOOKUP(A66,'[93]1月'!$A:$H,8,0),0)</f>
        <v>0</v>
      </c>
      <c r="Z66" s="688">
        <f>IFERROR(VLOOKUP(A66,'[93]2月'!$A:$H,8,0),0)</f>
        <v>0</v>
      </c>
      <c r="AA66" s="688">
        <f>IFERROR(VLOOKUP($A66,'[93]3月'!$A:$H,8,0),0)</f>
        <v>0</v>
      </c>
      <c r="AB66" s="688">
        <f>IFERROR(VLOOKUP($A66,'[93]4月'!$A:$H,8,0),0)</f>
        <v>0</v>
      </c>
      <c r="AC66" s="688">
        <f>IFERROR(VLOOKUP($A66,'[93]5月'!$A:$H,8,0),0)</f>
        <v>0</v>
      </c>
      <c r="AD66" s="688">
        <f>IFERROR(VLOOKUP($A66,'[93]6月'!$A:$H,8,0),0)</f>
        <v>0</v>
      </c>
      <c r="AE66" s="688">
        <f>IFERROR(VLOOKUP($A66,'[93]7月'!$A:$H,8,0),0)</f>
        <v>0</v>
      </c>
      <c r="AF66" s="688">
        <f>IFERROR(VLOOKUP($A66,'[93]8月'!$A:$H,8,0),0)</f>
        <v>0</v>
      </c>
      <c r="AG66" s="688">
        <f>IFERROR(VLOOKUP($A66,'[93]9月'!$A:$H,8,0),0)</f>
        <v>0</v>
      </c>
      <c r="AH66" s="688">
        <f>IFERROR(VLOOKUP($A66,'[93]10月'!$A:$H,8,0),0)</f>
        <v>0</v>
      </c>
      <c r="AI66" s="688">
        <f>IFERROR(VLOOKUP($A66,'[93]11月'!$A:$H,8,0),0)</f>
        <v>0</v>
      </c>
      <c r="AJ66" s="688">
        <f>IFERROR(VLOOKUP($A66,'[93]12月'!$A:$H,8,0),0)</f>
        <v>0</v>
      </c>
      <c r="AK66" s="688">
        <f t="shared" si="37"/>
        <v>0</v>
      </c>
    </row>
    <row r="67" spans="1:37" ht="13.5" customHeight="1">
      <c r="A67" s="653" t="str">
        <f>'Budget-合并'!A67</f>
        <v>6602.05.02</v>
      </c>
      <c r="B67" s="653" t="str">
        <f>'Budget-合并'!B67</f>
        <v>管理费</v>
      </c>
      <c r="C67" s="687" t="str">
        <f>'Budget-合并'!C67</f>
        <v>Management fees</v>
      </c>
      <c r="D67" s="676">
        <f t="shared" si="31"/>
        <v>0</v>
      </c>
      <c r="E67" s="676" t="e">
        <f>INDEX($Y67:AHV67,1,MATCH($E$6,$Y$6:$AJ$6))</f>
        <v>#N/A</v>
      </c>
      <c r="F67" s="676" t="e">
        <f t="shared" si="32"/>
        <v>#N/A</v>
      </c>
      <c r="G67" s="676">
        <f t="shared" ca="1" si="33"/>
        <v>0</v>
      </c>
      <c r="H67" s="676" t="e">
        <f t="shared" ca="1" si="34"/>
        <v>#N/A</v>
      </c>
      <c r="I67" s="676" t="e">
        <f t="shared" ca="1" si="35"/>
        <v>#N/A</v>
      </c>
      <c r="K67" s="676">
        <f>SUMIFS(SPACE!O$3:O$106,SPACE!$A$3:$A$106,$D$1,SPACE!$C$3:$C$106,$A67)</f>
        <v>0</v>
      </c>
      <c r="L67" s="676">
        <f>SUMIFS(SPACE!P$3:P$106,SPACE!$A$3:$A$106,$D$1,SPACE!$C$3:$C$106,$A67)</f>
        <v>0</v>
      </c>
      <c r="M67" s="676">
        <f>SUMIFS(SPACE!Q$3:Q$106,SPACE!$A$3:$A$106,$D$1,SPACE!$C$3:$C$106,$A67)</f>
        <v>0</v>
      </c>
      <c r="N67" s="676">
        <f>SUMIFS(SPACE!R$3:R$106,SPACE!$A$3:$A$106,$D$1,SPACE!$C$3:$C$106,$A67)</f>
        <v>0</v>
      </c>
      <c r="O67" s="676">
        <f>SUMIFS(SPACE!S$3:S$106,SPACE!$A$3:$A$106,$D$1,SPACE!$C$3:$C$106,$A67)</f>
        <v>0</v>
      </c>
      <c r="P67" s="676">
        <f>SUMIFS(SPACE!T$3:T$106,SPACE!$A$3:$A$106,$D$1,SPACE!$C$3:$C$106,$A67)</f>
        <v>0</v>
      </c>
      <c r="Q67" s="676">
        <f>SUMIFS(SPACE!U$3:U$106,SPACE!$A$3:$A$106,$D$1,SPACE!$C$3:$C$106,$A67)</f>
        <v>0</v>
      </c>
      <c r="R67" s="676">
        <f>SUMIFS(SPACE!V$3:V$106,SPACE!$A$3:$A$106,$D$1,SPACE!$C$3:$C$106,$A67)</f>
        <v>0</v>
      </c>
      <c r="S67" s="676">
        <f>SUMIFS(SPACE!W$3:W$106,SPACE!$A$3:$A$106,$D$1,SPACE!$C$3:$C$106,$A67)</f>
        <v>0</v>
      </c>
      <c r="T67" s="676">
        <f>SUMIFS(SPACE!X$3:X$106,SPACE!$A$3:$A$106,$D$1,SPACE!$C$3:$C$106,$A67)</f>
        <v>0</v>
      </c>
      <c r="U67" s="676">
        <f>SUMIFS(SPACE!Y$3:Y$106,SPACE!$A$3:$A$106,$D$1,SPACE!$C$3:$C$106,$A67)</f>
        <v>0</v>
      </c>
      <c r="V67" s="676">
        <f>SUMIFS(SPACE!Z$3:Z$106,SPACE!$A$3:$A$106,$D$1,SPACE!$C$3:$C$106,$A67)</f>
        <v>0</v>
      </c>
      <c r="W67" s="676">
        <f t="shared" si="24"/>
        <v>0</v>
      </c>
      <c r="Y67" s="688">
        <f>IFERROR(VLOOKUP(A67,'[93]1月'!$A:$H,8,0),0)</f>
        <v>0</v>
      </c>
      <c r="Z67" s="688">
        <f>IFERROR(VLOOKUP(A67,'[93]2月'!$A:$H,8,0),0)</f>
        <v>0</v>
      </c>
      <c r="AA67" s="688">
        <f>IFERROR(VLOOKUP($A67,'[93]3月'!$A:$H,8,0),0)</f>
        <v>0</v>
      </c>
      <c r="AB67" s="688">
        <f>IFERROR(VLOOKUP($A67,'[93]4月'!$A:$H,8,0),0)</f>
        <v>0</v>
      </c>
      <c r="AC67" s="688">
        <f>IFERROR(VLOOKUP($A67,'[93]5月'!$A:$H,8,0),0)</f>
        <v>0</v>
      </c>
      <c r="AD67" s="688">
        <f>IFERROR(VLOOKUP($A67,'[93]6月'!$A:$H,8,0),0)</f>
        <v>0</v>
      </c>
      <c r="AE67" s="688">
        <f>IFERROR(VLOOKUP($A67,'[93]7月'!$A:$H,8,0),0)</f>
        <v>0</v>
      </c>
      <c r="AF67" s="688">
        <f>IFERROR(VLOOKUP($A67,'[93]8月'!$A:$H,8,0),0)</f>
        <v>0</v>
      </c>
      <c r="AG67" s="688">
        <f>IFERROR(VLOOKUP($A67,'[93]9月'!$A:$H,8,0),0)</f>
        <v>0</v>
      </c>
      <c r="AH67" s="688">
        <f>IFERROR(VLOOKUP($A67,'[93]10月'!$A:$H,8,0),0)</f>
        <v>0</v>
      </c>
      <c r="AI67" s="688">
        <f>IFERROR(VLOOKUP($A67,'[93]11月'!$A:$H,8,0),0)</f>
        <v>0</v>
      </c>
      <c r="AJ67" s="688">
        <f>IFERROR(VLOOKUP($A67,'[93]12月'!$A:$H,8,0),0)</f>
        <v>0</v>
      </c>
      <c r="AK67" s="688">
        <f t="shared" si="37"/>
        <v>0</v>
      </c>
    </row>
    <row r="68" spans="1:37" ht="13.5" customHeight="1">
      <c r="A68" s="653" t="str">
        <f>'Budget-合并'!A68</f>
        <v>6602.05.03</v>
      </c>
      <c r="B68" s="653" t="str">
        <f>'Budget-合并'!B68</f>
        <v>电费</v>
      </c>
      <c r="C68" s="687" t="str">
        <f>'Budget-合并'!C68</f>
        <v>Utilities Electric</v>
      </c>
      <c r="D68" s="676">
        <f t="shared" si="31"/>
        <v>0</v>
      </c>
      <c r="E68" s="676" t="e">
        <f>INDEX($Y68:AHV68,1,MATCH($E$6,$Y$6:$AJ$6))</f>
        <v>#N/A</v>
      </c>
      <c r="F68" s="676" t="e">
        <f t="shared" si="32"/>
        <v>#N/A</v>
      </c>
      <c r="G68" s="676">
        <f t="shared" ca="1" si="33"/>
        <v>0</v>
      </c>
      <c r="H68" s="676" t="e">
        <f t="shared" ca="1" si="34"/>
        <v>#N/A</v>
      </c>
      <c r="I68" s="676" t="e">
        <f t="shared" ca="1" si="35"/>
        <v>#N/A</v>
      </c>
      <c r="K68" s="676">
        <f>SUMIFS(SPACE!O$3:O$106,SPACE!$A$3:$A$106,$D$1,SPACE!$C$3:$C$106,$A68)</f>
        <v>0</v>
      </c>
      <c r="L68" s="676">
        <f>SUMIFS(SPACE!P$3:P$106,SPACE!$A$3:$A$106,$D$1,SPACE!$C$3:$C$106,$A68)</f>
        <v>0</v>
      </c>
      <c r="M68" s="676">
        <f>SUMIFS(SPACE!Q$3:Q$106,SPACE!$A$3:$A$106,$D$1,SPACE!$C$3:$C$106,$A68)</f>
        <v>0</v>
      </c>
      <c r="N68" s="676">
        <f>SUMIFS(SPACE!R$3:R$106,SPACE!$A$3:$A$106,$D$1,SPACE!$C$3:$C$106,$A68)</f>
        <v>0</v>
      </c>
      <c r="O68" s="676">
        <f>SUMIFS(SPACE!S$3:S$106,SPACE!$A$3:$A$106,$D$1,SPACE!$C$3:$C$106,$A68)</f>
        <v>0</v>
      </c>
      <c r="P68" s="676">
        <f>SUMIFS(SPACE!T$3:T$106,SPACE!$A$3:$A$106,$D$1,SPACE!$C$3:$C$106,$A68)</f>
        <v>0</v>
      </c>
      <c r="Q68" s="676">
        <f>SUMIFS(SPACE!U$3:U$106,SPACE!$A$3:$A$106,$D$1,SPACE!$C$3:$C$106,$A68)</f>
        <v>0</v>
      </c>
      <c r="R68" s="676">
        <f>SUMIFS(SPACE!V$3:V$106,SPACE!$A$3:$A$106,$D$1,SPACE!$C$3:$C$106,$A68)</f>
        <v>0</v>
      </c>
      <c r="S68" s="676">
        <f>SUMIFS(SPACE!W$3:W$106,SPACE!$A$3:$A$106,$D$1,SPACE!$C$3:$C$106,$A68)</f>
        <v>0</v>
      </c>
      <c r="T68" s="676">
        <f>SUMIFS(SPACE!X$3:X$106,SPACE!$A$3:$A$106,$D$1,SPACE!$C$3:$C$106,$A68)</f>
        <v>0</v>
      </c>
      <c r="U68" s="676">
        <f>SUMIFS(SPACE!Y$3:Y$106,SPACE!$A$3:$A$106,$D$1,SPACE!$C$3:$C$106,$A68)</f>
        <v>0</v>
      </c>
      <c r="V68" s="676">
        <f>SUMIFS(SPACE!Z$3:Z$106,SPACE!$A$3:$A$106,$D$1,SPACE!$C$3:$C$106,$A68)</f>
        <v>0</v>
      </c>
      <c r="W68" s="676">
        <f t="shared" si="24"/>
        <v>0</v>
      </c>
      <c r="Y68" s="688">
        <f>IFERROR(VLOOKUP(A68,'[93]1月'!$A:$H,8,0),0)</f>
        <v>0</v>
      </c>
      <c r="Z68" s="688">
        <f>IFERROR(VLOOKUP(A68,'[93]2月'!$A:$H,8,0),0)</f>
        <v>0</v>
      </c>
      <c r="AA68" s="688">
        <f>IFERROR(VLOOKUP($A68,'[93]3月'!$A:$H,8,0),0)</f>
        <v>0</v>
      </c>
      <c r="AB68" s="688">
        <f>IFERROR(VLOOKUP($A68,'[93]4月'!$A:$H,8,0),0)</f>
        <v>0</v>
      </c>
      <c r="AC68" s="688">
        <f>IFERROR(VLOOKUP($A68,'[93]5月'!$A:$H,8,0),0)</f>
        <v>0</v>
      </c>
      <c r="AD68" s="688">
        <f>IFERROR(VLOOKUP($A68,'[93]6月'!$A:$H,8,0),0)</f>
        <v>0</v>
      </c>
      <c r="AE68" s="688">
        <f>IFERROR(VLOOKUP($A68,'[93]7月'!$A:$H,8,0),0)</f>
        <v>0</v>
      </c>
      <c r="AF68" s="688">
        <f>IFERROR(VLOOKUP($A68,'[93]8月'!$A:$H,8,0),0)</f>
        <v>0</v>
      </c>
      <c r="AG68" s="688">
        <f>IFERROR(VLOOKUP($A68,'[93]9月'!$A:$H,8,0),0)</f>
        <v>0</v>
      </c>
      <c r="AH68" s="688">
        <f>IFERROR(VLOOKUP($A68,'[93]10月'!$A:$H,8,0),0)</f>
        <v>0</v>
      </c>
      <c r="AI68" s="688">
        <f>IFERROR(VLOOKUP($A68,'[93]11月'!$A:$H,8,0),0)</f>
        <v>0</v>
      </c>
      <c r="AJ68" s="688">
        <f>IFERROR(VLOOKUP($A68,'[93]12月'!$A:$H,8,0),0)</f>
        <v>0</v>
      </c>
      <c r="AK68" s="688">
        <f t="shared" si="37"/>
        <v>0</v>
      </c>
    </row>
    <row r="69" spans="1:37" ht="13.5" customHeight="1">
      <c r="A69" s="653" t="str">
        <f>'Budget-合并'!A69</f>
        <v>6602.05.04</v>
      </c>
      <c r="B69" s="653" t="str">
        <f>'Budget-合并'!B69</f>
        <v>水费</v>
      </c>
      <c r="C69" s="687">
        <f>'Budget-合并'!C69</f>
        <v>0</v>
      </c>
      <c r="D69" s="676">
        <f t="shared" si="31"/>
        <v>0</v>
      </c>
      <c r="E69" s="676" t="e">
        <f>INDEX($Y69:AHV69,1,MATCH($E$6,$Y$6:$AJ$6))</f>
        <v>#N/A</v>
      </c>
      <c r="F69" s="676" t="e">
        <f t="shared" si="32"/>
        <v>#N/A</v>
      </c>
      <c r="G69" s="676">
        <f t="shared" ca="1" si="33"/>
        <v>0</v>
      </c>
      <c r="H69" s="676" t="e">
        <f t="shared" ca="1" si="34"/>
        <v>#N/A</v>
      </c>
      <c r="I69" s="676" t="e">
        <f t="shared" ca="1" si="35"/>
        <v>#N/A</v>
      </c>
      <c r="K69" s="676">
        <f>SUMIFS(SPACE!O$3:O$106,SPACE!$A$3:$A$106,$D$1,SPACE!$C$3:$C$106,$A69)</f>
        <v>0</v>
      </c>
      <c r="L69" s="676">
        <f>SUMIFS(SPACE!P$3:P$106,SPACE!$A$3:$A$106,$D$1,SPACE!$C$3:$C$106,$A69)</f>
        <v>0</v>
      </c>
      <c r="M69" s="676">
        <f>SUMIFS(SPACE!Q$3:Q$106,SPACE!$A$3:$A$106,$D$1,SPACE!$C$3:$C$106,$A69)</f>
        <v>0</v>
      </c>
      <c r="N69" s="676">
        <f>SUMIFS(SPACE!R$3:R$106,SPACE!$A$3:$A$106,$D$1,SPACE!$C$3:$C$106,$A69)</f>
        <v>0</v>
      </c>
      <c r="O69" s="676">
        <f>SUMIFS(SPACE!S$3:S$106,SPACE!$A$3:$A$106,$D$1,SPACE!$C$3:$C$106,$A69)</f>
        <v>0</v>
      </c>
      <c r="P69" s="676">
        <f>SUMIFS(SPACE!T$3:T$106,SPACE!$A$3:$A$106,$D$1,SPACE!$C$3:$C$106,$A69)</f>
        <v>0</v>
      </c>
      <c r="Q69" s="676">
        <f>SUMIFS(SPACE!U$3:U$106,SPACE!$A$3:$A$106,$D$1,SPACE!$C$3:$C$106,$A69)</f>
        <v>0</v>
      </c>
      <c r="R69" s="676">
        <f>SUMIFS(SPACE!V$3:V$106,SPACE!$A$3:$A$106,$D$1,SPACE!$C$3:$C$106,$A69)</f>
        <v>0</v>
      </c>
      <c r="S69" s="676">
        <f>SUMIFS(SPACE!W$3:W$106,SPACE!$A$3:$A$106,$D$1,SPACE!$C$3:$C$106,$A69)</f>
        <v>0</v>
      </c>
      <c r="T69" s="676">
        <f>SUMIFS(SPACE!X$3:X$106,SPACE!$A$3:$A$106,$D$1,SPACE!$C$3:$C$106,$A69)</f>
        <v>0</v>
      </c>
      <c r="U69" s="676">
        <f>SUMIFS(SPACE!Y$3:Y$106,SPACE!$A$3:$A$106,$D$1,SPACE!$C$3:$C$106,$A69)</f>
        <v>0</v>
      </c>
      <c r="V69" s="676">
        <f>SUMIFS(SPACE!Z$3:Z$106,SPACE!$A$3:$A$106,$D$1,SPACE!$C$3:$C$106,$A69)</f>
        <v>0</v>
      </c>
      <c r="W69" s="676">
        <f t="shared" si="24"/>
        <v>0</v>
      </c>
      <c r="Y69" s="688">
        <f>IFERROR(VLOOKUP(A69,'[93]1月'!$A:$H,8,0),0)</f>
        <v>0</v>
      </c>
      <c r="Z69" s="688">
        <f>IFERROR(VLOOKUP(A69,'[93]2月'!$A:$H,8,0),0)</f>
        <v>0</v>
      </c>
      <c r="AA69" s="688">
        <f>IFERROR(VLOOKUP($A69,'[93]3月'!$A:$H,8,0),0)</f>
        <v>0</v>
      </c>
      <c r="AB69" s="688">
        <f>IFERROR(VLOOKUP($A69,'[93]4月'!$A:$H,8,0),0)</f>
        <v>0</v>
      </c>
      <c r="AC69" s="688">
        <f>IFERROR(VLOOKUP($A69,'[93]5月'!$A:$H,8,0),0)</f>
        <v>0</v>
      </c>
      <c r="AD69" s="688">
        <f>IFERROR(VLOOKUP($A69,'[93]6月'!$A:$H,8,0),0)</f>
        <v>0</v>
      </c>
      <c r="AE69" s="688">
        <f>IFERROR(VLOOKUP($A69,'[93]7月'!$A:$H,8,0),0)</f>
        <v>0</v>
      </c>
      <c r="AF69" s="688">
        <f>IFERROR(VLOOKUP($A69,'[93]8月'!$A:$H,8,0),0)</f>
        <v>0</v>
      </c>
      <c r="AG69" s="688">
        <f>IFERROR(VLOOKUP($A69,'[93]9月'!$A:$H,8,0),0)</f>
        <v>0</v>
      </c>
      <c r="AH69" s="688">
        <f>IFERROR(VLOOKUP($A69,'[93]10月'!$A:$H,8,0),0)</f>
        <v>0</v>
      </c>
      <c r="AI69" s="688">
        <f>IFERROR(VLOOKUP($A69,'[93]11月'!$A:$H,8,0),0)</f>
        <v>0</v>
      </c>
      <c r="AJ69" s="688">
        <f>IFERROR(VLOOKUP($A69,'[93]12月'!$A:$H,8,0),0)</f>
        <v>0</v>
      </c>
      <c r="AK69" s="688">
        <f t="shared" si="37"/>
        <v>0</v>
      </c>
    </row>
    <row r="70" spans="1:37" ht="13.5" customHeight="1">
      <c r="A70" s="653" t="str">
        <f>'Budget-合并'!A70</f>
        <v>6602.05.05</v>
      </c>
      <c r="B70" s="653" t="str">
        <f>'Budget-合并'!B70</f>
        <v>维修费</v>
      </c>
      <c r="C70" s="687" t="str">
        <f>'Budget-合并'!C70</f>
        <v>Office Maintenance &amp; Repair</v>
      </c>
      <c r="D70" s="676">
        <f t="shared" si="31"/>
        <v>0</v>
      </c>
      <c r="E70" s="676" t="e">
        <f>INDEX($Y70:AHV70,1,MATCH($E$6,$Y$6:$AJ$6))</f>
        <v>#N/A</v>
      </c>
      <c r="F70" s="676" t="e">
        <f t="shared" si="32"/>
        <v>#N/A</v>
      </c>
      <c r="G70" s="676">
        <f t="shared" ca="1" si="33"/>
        <v>0</v>
      </c>
      <c r="H70" s="676" t="e">
        <f t="shared" ca="1" si="34"/>
        <v>#N/A</v>
      </c>
      <c r="I70" s="676" t="e">
        <f t="shared" ca="1" si="35"/>
        <v>#N/A</v>
      </c>
      <c r="K70" s="676">
        <f>SUMIFS(SPACE!O$3:O$106,SPACE!$A$3:$A$106,$D$1,SPACE!$C$3:$C$106,$A70)</f>
        <v>0</v>
      </c>
      <c r="L70" s="676">
        <f>SUMIFS(SPACE!P$3:P$106,SPACE!$A$3:$A$106,$D$1,SPACE!$C$3:$C$106,$A70)</f>
        <v>0</v>
      </c>
      <c r="M70" s="676">
        <f>SUMIFS(SPACE!Q$3:Q$106,SPACE!$A$3:$A$106,$D$1,SPACE!$C$3:$C$106,$A70)</f>
        <v>0</v>
      </c>
      <c r="N70" s="676">
        <f>SUMIFS(SPACE!R$3:R$106,SPACE!$A$3:$A$106,$D$1,SPACE!$C$3:$C$106,$A70)</f>
        <v>0</v>
      </c>
      <c r="O70" s="676">
        <f>SUMIFS(SPACE!S$3:S$106,SPACE!$A$3:$A$106,$D$1,SPACE!$C$3:$C$106,$A70)</f>
        <v>0</v>
      </c>
      <c r="P70" s="676">
        <f>SUMIFS(SPACE!T$3:T$106,SPACE!$A$3:$A$106,$D$1,SPACE!$C$3:$C$106,$A70)</f>
        <v>0</v>
      </c>
      <c r="Q70" s="676">
        <f>SUMIFS(SPACE!U$3:U$106,SPACE!$A$3:$A$106,$D$1,SPACE!$C$3:$C$106,$A70)</f>
        <v>0</v>
      </c>
      <c r="R70" s="676">
        <f>SUMIFS(SPACE!V$3:V$106,SPACE!$A$3:$A$106,$D$1,SPACE!$C$3:$C$106,$A70)</f>
        <v>0</v>
      </c>
      <c r="S70" s="676">
        <f>SUMIFS(SPACE!W$3:W$106,SPACE!$A$3:$A$106,$D$1,SPACE!$C$3:$C$106,$A70)</f>
        <v>0</v>
      </c>
      <c r="T70" s="676">
        <f>SUMIFS(SPACE!X$3:X$106,SPACE!$A$3:$A$106,$D$1,SPACE!$C$3:$C$106,$A70)</f>
        <v>0</v>
      </c>
      <c r="U70" s="676">
        <f>SUMIFS(SPACE!Y$3:Y$106,SPACE!$A$3:$A$106,$D$1,SPACE!$C$3:$C$106,$A70)</f>
        <v>0</v>
      </c>
      <c r="V70" s="676">
        <f>SUMIFS(SPACE!Z$3:Z$106,SPACE!$A$3:$A$106,$D$1,SPACE!$C$3:$C$106,$A70)</f>
        <v>0</v>
      </c>
      <c r="W70" s="676">
        <f t="shared" si="24"/>
        <v>0</v>
      </c>
      <c r="Y70" s="688">
        <f>IFERROR(VLOOKUP(A70,'[93]1月'!$A:$H,8,0),0)</f>
        <v>0</v>
      </c>
      <c r="Z70" s="688">
        <f>IFERROR(VLOOKUP(A70,'[93]2月'!$A:$H,8,0),0)</f>
        <v>0</v>
      </c>
      <c r="AA70" s="688">
        <f>IFERROR(VLOOKUP($A70,'[93]3月'!$A:$H,8,0),0)</f>
        <v>0</v>
      </c>
      <c r="AB70" s="688">
        <f>IFERROR(VLOOKUP($A70,'[93]4月'!$A:$H,8,0),0)</f>
        <v>0</v>
      </c>
      <c r="AC70" s="688">
        <f>IFERROR(VLOOKUP($A70,'[93]5月'!$A:$H,8,0),0)</f>
        <v>0</v>
      </c>
      <c r="AD70" s="688">
        <f>IFERROR(VLOOKUP($A70,'[93]6月'!$A:$H,8,0),0)</f>
        <v>0</v>
      </c>
      <c r="AE70" s="688">
        <f>IFERROR(VLOOKUP($A70,'[93]7月'!$A:$H,8,0),0)</f>
        <v>0</v>
      </c>
      <c r="AF70" s="688">
        <f>IFERROR(VLOOKUP($A70,'[93]8月'!$A:$H,8,0),0)</f>
        <v>0</v>
      </c>
      <c r="AG70" s="688">
        <f>IFERROR(VLOOKUP($A70,'[93]9月'!$A:$H,8,0),0)</f>
        <v>0</v>
      </c>
      <c r="AH70" s="688">
        <f>IFERROR(VLOOKUP($A70,'[93]10月'!$A:$H,8,0),0)</f>
        <v>0</v>
      </c>
      <c r="AI70" s="688">
        <f>IFERROR(VLOOKUP($A70,'[93]11月'!$A:$H,8,0),0)</f>
        <v>0</v>
      </c>
      <c r="AJ70" s="688">
        <f>IFERROR(VLOOKUP($A70,'[93]12月'!$A:$H,8,0),0)</f>
        <v>0</v>
      </c>
      <c r="AK70" s="688">
        <f t="shared" si="37"/>
        <v>0</v>
      </c>
    </row>
    <row r="71" spans="1:37" ht="13.5" customHeight="1">
      <c r="A71" s="653" t="str">
        <f>'Budget-合并'!A71</f>
        <v>6602.05.06</v>
      </c>
      <c r="B71" s="653" t="str">
        <f>'Budget-合并'!B71</f>
        <v>装修费</v>
      </c>
      <c r="C71" s="687" t="str">
        <f>'Budget-合并'!C71</f>
        <v>Depreciation_Leasehold Improvement</v>
      </c>
      <c r="D71" s="676">
        <f t="shared" si="31"/>
        <v>0</v>
      </c>
      <c r="E71" s="676" t="e">
        <f>INDEX($Y71:AHV71,1,MATCH($E$6,$Y$6:$AJ$6))</f>
        <v>#N/A</v>
      </c>
      <c r="F71" s="676" t="e">
        <f t="shared" si="32"/>
        <v>#N/A</v>
      </c>
      <c r="G71" s="676">
        <f t="shared" ca="1" si="33"/>
        <v>0</v>
      </c>
      <c r="H71" s="676" t="e">
        <f t="shared" ca="1" si="34"/>
        <v>#N/A</v>
      </c>
      <c r="I71" s="676" t="e">
        <f t="shared" ca="1" si="35"/>
        <v>#N/A</v>
      </c>
      <c r="K71" s="676">
        <f>SUMIFS(SPACE!O$3:O$106,SPACE!$A$3:$A$106,$D$1,SPACE!$C$3:$C$106,$A71)</f>
        <v>0</v>
      </c>
      <c r="L71" s="676">
        <f>SUMIFS(SPACE!P$3:P$106,SPACE!$A$3:$A$106,$D$1,SPACE!$C$3:$C$106,$A71)</f>
        <v>0</v>
      </c>
      <c r="M71" s="676">
        <f>SUMIFS(SPACE!Q$3:Q$106,SPACE!$A$3:$A$106,$D$1,SPACE!$C$3:$C$106,$A71)</f>
        <v>0</v>
      </c>
      <c r="N71" s="676">
        <f>SUMIFS(SPACE!R$3:R$106,SPACE!$A$3:$A$106,$D$1,SPACE!$C$3:$C$106,$A71)</f>
        <v>0</v>
      </c>
      <c r="O71" s="676">
        <f>SUMIFS(SPACE!S$3:S$106,SPACE!$A$3:$A$106,$D$1,SPACE!$C$3:$C$106,$A71)</f>
        <v>0</v>
      </c>
      <c r="P71" s="676">
        <f>SUMIFS(SPACE!T$3:T$106,SPACE!$A$3:$A$106,$D$1,SPACE!$C$3:$C$106,$A71)</f>
        <v>0</v>
      </c>
      <c r="Q71" s="676">
        <f>SUMIFS(SPACE!U$3:U$106,SPACE!$A$3:$A$106,$D$1,SPACE!$C$3:$C$106,$A71)</f>
        <v>0</v>
      </c>
      <c r="R71" s="676">
        <f>SUMIFS(SPACE!V$3:V$106,SPACE!$A$3:$A$106,$D$1,SPACE!$C$3:$C$106,$A71)</f>
        <v>0</v>
      </c>
      <c r="S71" s="676">
        <f>SUMIFS(SPACE!W$3:W$106,SPACE!$A$3:$A$106,$D$1,SPACE!$C$3:$C$106,$A71)</f>
        <v>0</v>
      </c>
      <c r="T71" s="676">
        <f>SUMIFS(SPACE!X$3:X$106,SPACE!$A$3:$A$106,$D$1,SPACE!$C$3:$C$106,$A71)</f>
        <v>0</v>
      </c>
      <c r="U71" s="676">
        <f>SUMIFS(SPACE!Y$3:Y$106,SPACE!$A$3:$A$106,$D$1,SPACE!$C$3:$C$106,$A71)</f>
        <v>0</v>
      </c>
      <c r="V71" s="676">
        <f>SUMIFS(SPACE!Z$3:Z$106,SPACE!$A$3:$A$106,$D$1,SPACE!$C$3:$C$106,$A71)</f>
        <v>0</v>
      </c>
      <c r="W71" s="676">
        <f t="shared" si="24"/>
        <v>0</v>
      </c>
      <c r="Y71" s="688">
        <f>IFERROR(VLOOKUP(A71,'[93]1月'!$A:$H,8,0),0)</f>
        <v>0</v>
      </c>
      <c r="Z71" s="688">
        <f>IFERROR(VLOOKUP(A71,'[93]2月'!$A:$H,8,0),0)</f>
        <v>0</v>
      </c>
      <c r="AA71" s="688">
        <f>IFERROR(VLOOKUP($A71,'[93]3月'!$A:$H,8,0),0)</f>
        <v>0</v>
      </c>
      <c r="AB71" s="688">
        <f>IFERROR(VLOOKUP($A71,'[93]4月'!$A:$H,8,0),0)</f>
        <v>0</v>
      </c>
      <c r="AC71" s="688">
        <f>IFERROR(VLOOKUP($A71,'[93]5月'!$A:$H,8,0),0)</f>
        <v>0</v>
      </c>
      <c r="AD71" s="688">
        <f>IFERROR(VLOOKUP($A71,'[93]6月'!$A:$H,8,0),0)</f>
        <v>0</v>
      </c>
      <c r="AE71" s="688">
        <f>IFERROR(VLOOKUP($A71,'[93]7月'!$A:$H,8,0),0)</f>
        <v>0</v>
      </c>
      <c r="AF71" s="688">
        <f>IFERROR(VLOOKUP($A71,'[93]8月'!$A:$H,8,0),0)</f>
        <v>0</v>
      </c>
      <c r="AG71" s="688">
        <f>IFERROR(VLOOKUP($A71,'[93]9月'!$A:$H,8,0),0)</f>
        <v>0</v>
      </c>
      <c r="AH71" s="688">
        <f>IFERROR(VLOOKUP($A71,'[93]10月'!$A:$H,8,0),0)</f>
        <v>0</v>
      </c>
      <c r="AI71" s="688">
        <f>IFERROR(VLOOKUP($A71,'[93]11月'!$A:$H,8,0),0)</f>
        <v>0</v>
      </c>
      <c r="AJ71" s="688">
        <f>IFERROR(VLOOKUP($A71,'[93]12月'!$A:$H,8,0),0)</f>
        <v>0</v>
      </c>
      <c r="AK71" s="688">
        <f t="shared" si="37"/>
        <v>0</v>
      </c>
    </row>
    <row r="72" spans="1:37" ht="13.5" customHeight="1">
      <c r="A72" s="653" t="str">
        <f>'Budget-合并'!A72</f>
        <v>6602.05.07</v>
      </c>
      <c r="B72" s="653" t="str">
        <f>'Budget-合并'!B72</f>
        <v>租金及物业费</v>
      </c>
      <c r="C72" s="687">
        <f>'Budget-合并'!C72</f>
        <v>0</v>
      </c>
      <c r="D72" s="676">
        <f t="shared" si="31"/>
        <v>0</v>
      </c>
      <c r="E72" s="676" t="e">
        <f>INDEX($Y72:AHV72,1,MATCH($E$6,$Y$6:$AJ$6))</f>
        <v>#N/A</v>
      </c>
      <c r="F72" s="676" t="e">
        <f t="shared" si="32"/>
        <v>#N/A</v>
      </c>
      <c r="G72" s="676">
        <f t="shared" ca="1" si="33"/>
        <v>0</v>
      </c>
      <c r="H72" s="676" t="e">
        <f t="shared" ca="1" si="34"/>
        <v>#N/A</v>
      </c>
      <c r="I72" s="676" t="e">
        <f t="shared" ca="1" si="35"/>
        <v>#N/A</v>
      </c>
      <c r="K72" s="676">
        <f>SUMIFS(SPACE!O$3:O$106,SPACE!$A$3:$A$106,$D$1,SPACE!$C$3:$C$106,$A72)</f>
        <v>0</v>
      </c>
      <c r="L72" s="676">
        <f>SUMIFS(SPACE!P$3:P$106,SPACE!$A$3:$A$106,$D$1,SPACE!$C$3:$C$106,$A72)</f>
        <v>0</v>
      </c>
      <c r="M72" s="676">
        <f>SUMIFS(SPACE!Q$3:Q$106,SPACE!$A$3:$A$106,$D$1,SPACE!$C$3:$C$106,$A72)</f>
        <v>0</v>
      </c>
      <c r="N72" s="676">
        <f>SUMIFS(SPACE!R$3:R$106,SPACE!$A$3:$A$106,$D$1,SPACE!$C$3:$C$106,$A72)</f>
        <v>0</v>
      </c>
      <c r="O72" s="676">
        <f>SUMIFS(SPACE!S$3:S$106,SPACE!$A$3:$A$106,$D$1,SPACE!$C$3:$C$106,$A72)</f>
        <v>0</v>
      </c>
      <c r="P72" s="676">
        <f>SUMIFS(SPACE!T$3:T$106,SPACE!$A$3:$A$106,$D$1,SPACE!$C$3:$C$106,$A72)</f>
        <v>0</v>
      </c>
      <c r="Q72" s="676">
        <f>SUMIFS(SPACE!U$3:U$106,SPACE!$A$3:$A$106,$D$1,SPACE!$C$3:$C$106,$A72)</f>
        <v>0</v>
      </c>
      <c r="R72" s="676">
        <f>SUMIFS(SPACE!V$3:V$106,SPACE!$A$3:$A$106,$D$1,SPACE!$C$3:$C$106,$A72)</f>
        <v>0</v>
      </c>
      <c r="S72" s="676">
        <f>SUMIFS(SPACE!W$3:W$106,SPACE!$A$3:$A$106,$D$1,SPACE!$C$3:$C$106,$A72)</f>
        <v>0</v>
      </c>
      <c r="T72" s="676">
        <f>SUMIFS(SPACE!X$3:X$106,SPACE!$A$3:$A$106,$D$1,SPACE!$C$3:$C$106,$A72)</f>
        <v>0</v>
      </c>
      <c r="U72" s="676">
        <f>SUMIFS(SPACE!Y$3:Y$106,SPACE!$A$3:$A$106,$D$1,SPACE!$C$3:$C$106,$A72)</f>
        <v>0</v>
      </c>
      <c r="V72" s="676">
        <f>SUMIFS(SPACE!Z$3:Z$106,SPACE!$A$3:$A$106,$D$1,SPACE!$C$3:$C$106,$A72)</f>
        <v>0</v>
      </c>
      <c r="W72" s="676">
        <f t="shared" si="24"/>
        <v>0</v>
      </c>
      <c r="Y72" s="688">
        <f>IFERROR(VLOOKUP(A72,'[93]1月'!$A:$H,8,0),0)</f>
        <v>0</v>
      </c>
      <c r="Z72" s="688">
        <f>IFERROR(VLOOKUP(A72,'[93]2月'!$A:$H,8,0),0)</f>
        <v>0</v>
      </c>
      <c r="AA72" s="688">
        <f>IFERROR(VLOOKUP($A72,'[93]3月'!$A:$H,8,0),0)</f>
        <v>0</v>
      </c>
      <c r="AB72" s="688">
        <f>IFERROR(VLOOKUP($A72,'[93]4月'!$A:$H,8,0),0)</f>
        <v>0</v>
      </c>
      <c r="AC72" s="688">
        <f>IFERROR(VLOOKUP($A72,'[93]5月'!$A:$H,8,0),0)</f>
        <v>0</v>
      </c>
      <c r="AD72" s="688">
        <f>IFERROR(VLOOKUP($A72,'[93]6月'!$A:$H,8,0),0)</f>
        <v>0</v>
      </c>
      <c r="AE72" s="688">
        <f>IFERROR(VLOOKUP($A72,'[93]7月'!$A:$H,8,0),0)</f>
        <v>0</v>
      </c>
      <c r="AF72" s="688">
        <f>IFERROR(VLOOKUP($A72,'[93]8月'!$A:$H,8,0),0)</f>
        <v>0</v>
      </c>
      <c r="AG72" s="688">
        <f>IFERROR(VLOOKUP($A72,'[93]9月'!$A:$H,8,0),0)</f>
        <v>0</v>
      </c>
      <c r="AH72" s="688">
        <f>IFERROR(VLOOKUP($A72,'[93]10月'!$A:$H,8,0),0)</f>
        <v>0</v>
      </c>
      <c r="AI72" s="688">
        <f>IFERROR(VLOOKUP($A72,'[93]11月'!$A:$H,8,0),0)</f>
        <v>0</v>
      </c>
      <c r="AJ72" s="688">
        <f>IFERROR(VLOOKUP($A72,'[93]12月'!$A:$H,8,0),0)</f>
        <v>0</v>
      </c>
      <c r="AK72" s="688">
        <f t="shared" si="37"/>
        <v>0</v>
      </c>
    </row>
    <row r="73" spans="1:37" ht="11.1" customHeight="1">
      <c r="A73" s="653" t="str">
        <f>'Budget-合并'!A73</f>
        <v>6602.05.08</v>
      </c>
      <c r="B73" s="653" t="str">
        <f>'Budget-合并'!B73</f>
        <v>集团内分摊</v>
      </c>
      <c r="C73" s="687" t="str">
        <f>'Budget-合并'!C73</f>
        <v>Space Rel X Charge</v>
      </c>
      <c r="D73" s="676">
        <f t="shared" si="31"/>
        <v>0</v>
      </c>
      <c r="E73" s="676" t="e">
        <f>INDEX($Y73:AHV73,1,MATCH($E$6,$Y$6:$AJ$6))</f>
        <v>#N/A</v>
      </c>
      <c r="F73" s="676" t="e">
        <f t="shared" si="32"/>
        <v>#N/A</v>
      </c>
      <c r="G73" s="676">
        <f t="shared" ca="1" si="33"/>
        <v>0</v>
      </c>
      <c r="H73" s="676" t="e">
        <f t="shared" ca="1" si="34"/>
        <v>#N/A</v>
      </c>
      <c r="I73" s="676" t="e">
        <f t="shared" ca="1" si="35"/>
        <v>#N/A</v>
      </c>
      <c r="K73" s="676">
        <f>SUMIFS(SPACE!O$3:O$106,SPACE!$A$3:$A$106,$D$1,SPACE!$C$3:$C$106,$A73)</f>
        <v>0</v>
      </c>
      <c r="L73" s="676">
        <f>SUMIFS(SPACE!P$3:P$106,SPACE!$A$3:$A$106,$D$1,SPACE!$C$3:$C$106,$A73)</f>
        <v>0</v>
      </c>
      <c r="M73" s="676">
        <f>SUMIFS(SPACE!Q$3:Q$106,SPACE!$A$3:$A$106,$D$1,SPACE!$C$3:$C$106,$A73)</f>
        <v>0</v>
      </c>
      <c r="N73" s="676">
        <f>SUMIFS(SPACE!R$3:R$106,SPACE!$A$3:$A$106,$D$1,SPACE!$C$3:$C$106,$A73)</f>
        <v>0</v>
      </c>
      <c r="O73" s="676">
        <f>SUMIFS(SPACE!S$3:S$106,SPACE!$A$3:$A$106,$D$1,SPACE!$C$3:$C$106,$A73)</f>
        <v>0</v>
      </c>
      <c r="P73" s="676">
        <f>SUMIFS(SPACE!T$3:T$106,SPACE!$A$3:$A$106,$D$1,SPACE!$C$3:$C$106,$A73)</f>
        <v>0</v>
      </c>
      <c r="Q73" s="676">
        <f>SUMIFS(SPACE!U$3:U$106,SPACE!$A$3:$A$106,$D$1,SPACE!$C$3:$C$106,$A73)</f>
        <v>0</v>
      </c>
      <c r="R73" s="676">
        <f>SUMIFS(SPACE!V$3:V$106,SPACE!$A$3:$A$106,$D$1,SPACE!$C$3:$C$106,$A73)</f>
        <v>0</v>
      </c>
      <c r="S73" s="676">
        <f>SUMIFS(SPACE!W$3:W$106,SPACE!$A$3:$A$106,$D$1,SPACE!$C$3:$C$106,$A73)</f>
        <v>0</v>
      </c>
      <c r="T73" s="676">
        <f>SUMIFS(SPACE!X$3:X$106,SPACE!$A$3:$A$106,$D$1,SPACE!$C$3:$C$106,$A73)</f>
        <v>0</v>
      </c>
      <c r="U73" s="676">
        <f>SUMIFS(SPACE!Y$3:Y$106,SPACE!$A$3:$A$106,$D$1,SPACE!$C$3:$C$106,$A73)</f>
        <v>0</v>
      </c>
      <c r="V73" s="676">
        <f>SUMIFS(SPACE!Z$3:Z$106,SPACE!$A$3:$A$106,$D$1,SPACE!$C$3:$C$106,$A73)</f>
        <v>0</v>
      </c>
      <c r="W73" s="676">
        <f t="shared" si="24"/>
        <v>0</v>
      </c>
      <c r="Y73" s="688">
        <f>IFERROR(VLOOKUP(A73,'[93]1月'!$A:$H,8,0),0)</f>
        <v>0</v>
      </c>
      <c r="Z73" s="688">
        <f>IFERROR(VLOOKUP(A73,'[93]2月'!$A:$H,8,0),0)</f>
        <v>0</v>
      </c>
      <c r="AA73" s="688">
        <f>IFERROR(VLOOKUP($A73,'[93]3月'!$A:$H,8,0),0)</f>
        <v>0</v>
      </c>
      <c r="AB73" s="688">
        <f>IFERROR(VLOOKUP($A73,'[93]4月'!$A:$H,8,0),0)</f>
        <v>0</v>
      </c>
      <c r="AC73" s="688">
        <f>IFERROR(VLOOKUP($A73,'[93]5月'!$A:$H,8,0),0)</f>
        <v>0</v>
      </c>
      <c r="AD73" s="688">
        <f>IFERROR(VLOOKUP($A73,'[93]6月'!$A:$H,8,0),0)</f>
        <v>0</v>
      </c>
      <c r="AE73" s="688">
        <f>IFERROR(VLOOKUP($A73,'[93]7月'!$A:$H,8,0),0)</f>
        <v>0</v>
      </c>
      <c r="AF73" s="688">
        <f>IFERROR(VLOOKUP($A73,'[93]8月'!$A:$H,8,0),0)</f>
        <v>0</v>
      </c>
      <c r="AG73" s="688">
        <f>IFERROR(VLOOKUP($A73,'[93]9月'!$A:$H,8,0),0)</f>
        <v>0</v>
      </c>
      <c r="AH73" s="688">
        <f>IFERROR(VLOOKUP($A73,'[93]10月'!$A:$H,8,0),0)</f>
        <v>0</v>
      </c>
      <c r="AI73" s="688">
        <f>IFERROR(VLOOKUP($A73,'[93]11月'!$A:$H,8,0),0)</f>
        <v>0</v>
      </c>
      <c r="AJ73" s="688">
        <f>IFERROR(VLOOKUP($A73,'[93]12月'!$A:$H,8,0),0)</f>
        <v>0</v>
      </c>
      <c r="AK73" s="688">
        <f t="shared" si="37"/>
        <v>0</v>
      </c>
    </row>
    <row r="74" spans="1:37" ht="11.1" customHeight="1">
      <c r="A74" s="653" t="str">
        <f>'Budget-合并'!A74</f>
        <v>6602.05.99</v>
      </c>
      <c r="B74" s="653" t="str">
        <f>'Budget-合并'!B74</f>
        <v>其他</v>
      </c>
      <c r="C74" s="687">
        <f>'Budget-合并'!C74</f>
        <v>0</v>
      </c>
      <c r="D74" s="676">
        <f t="shared" si="31"/>
        <v>0</v>
      </c>
      <c r="E74" s="676" t="e">
        <f>INDEX($Y74:AHV74,1,MATCH($E$6,$Y$6:$AJ$6))</f>
        <v>#N/A</v>
      </c>
      <c r="F74" s="676" t="e">
        <f t="shared" si="32"/>
        <v>#N/A</v>
      </c>
      <c r="G74" s="676">
        <f t="shared" ca="1" si="33"/>
        <v>0</v>
      </c>
      <c r="H74" s="676" t="e">
        <f t="shared" ca="1" si="34"/>
        <v>#N/A</v>
      </c>
      <c r="I74" s="676" t="e">
        <f t="shared" ca="1" si="35"/>
        <v>#N/A</v>
      </c>
      <c r="K74" s="676">
        <f>SUMIFS(SPACE!O$3:O$106,SPACE!$A$3:$A$106,$D$1,SPACE!$C$3:$C$106,$A74)</f>
        <v>0</v>
      </c>
      <c r="L74" s="676">
        <f>SUMIFS(SPACE!P$3:P$106,SPACE!$A$3:$A$106,$D$1,SPACE!$C$3:$C$106,$A74)</f>
        <v>0</v>
      </c>
      <c r="M74" s="676">
        <f>SUMIFS(SPACE!Q$3:Q$106,SPACE!$A$3:$A$106,$D$1,SPACE!$C$3:$C$106,$A74)</f>
        <v>0</v>
      </c>
      <c r="N74" s="676">
        <f>SUMIFS(SPACE!R$3:R$106,SPACE!$A$3:$A$106,$D$1,SPACE!$C$3:$C$106,$A74)</f>
        <v>0</v>
      </c>
      <c r="O74" s="676">
        <f>SUMIFS(SPACE!S$3:S$106,SPACE!$A$3:$A$106,$D$1,SPACE!$C$3:$C$106,$A74)</f>
        <v>0</v>
      </c>
      <c r="P74" s="676">
        <f>SUMIFS(SPACE!T$3:T$106,SPACE!$A$3:$A$106,$D$1,SPACE!$C$3:$C$106,$A74)</f>
        <v>0</v>
      </c>
      <c r="Q74" s="676">
        <f>SUMIFS(SPACE!U$3:U$106,SPACE!$A$3:$A$106,$D$1,SPACE!$C$3:$C$106,$A74)</f>
        <v>0</v>
      </c>
      <c r="R74" s="676">
        <f>SUMIFS(SPACE!V$3:V$106,SPACE!$A$3:$A$106,$D$1,SPACE!$C$3:$C$106,$A74)</f>
        <v>0</v>
      </c>
      <c r="S74" s="676">
        <f>SUMIFS(SPACE!W$3:W$106,SPACE!$A$3:$A$106,$D$1,SPACE!$C$3:$C$106,$A74)</f>
        <v>0</v>
      </c>
      <c r="T74" s="676">
        <f>SUMIFS(SPACE!X$3:X$106,SPACE!$A$3:$A$106,$D$1,SPACE!$C$3:$C$106,$A74)</f>
        <v>0</v>
      </c>
      <c r="U74" s="676">
        <f>SUMIFS(SPACE!Y$3:Y$106,SPACE!$A$3:$A$106,$D$1,SPACE!$C$3:$C$106,$A74)</f>
        <v>0</v>
      </c>
      <c r="V74" s="676">
        <f>SUMIFS(SPACE!Z$3:Z$106,SPACE!$A$3:$A$106,$D$1,SPACE!$C$3:$C$106,$A74)</f>
        <v>0</v>
      </c>
      <c r="W74" s="676">
        <f t="shared" si="24"/>
        <v>0</v>
      </c>
      <c r="Y74" s="688">
        <f>IFERROR(VLOOKUP(A74,'[93]1月'!$A:$H,8,0),0)</f>
        <v>0</v>
      </c>
      <c r="Z74" s="688">
        <f>IFERROR(VLOOKUP(A74,'[93]2月'!$A:$H,8,0),0)</f>
        <v>0</v>
      </c>
      <c r="AA74" s="688">
        <f>IFERROR(VLOOKUP($A74,'[93]3月'!$A:$H,8,0),0)</f>
        <v>0</v>
      </c>
      <c r="AB74" s="688">
        <f>IFERROR(VLOOKUP($A74,'[93]4月'!$A:$H,8,0),0)</f>
        <v>0</v>
      </c>
      <c r="AC74" s="688">
        <f>IFERROR(VLOOKUP($A74,'[93]5月'!$A:$H,8,0),0)</f>
        <v>0</v>
      </c>
      <c r="AD74" s="688">
        <f>IFERROR(VLOOKUP($A74,'[93]6月'!$A:$H,8,0),0)</f>
        <v>0</v>
      </c>
      <c r="AE74" s="688">
        <f>IFERROR(VLOOKUP($A74,'[93]7月'!$A:$H,8,0),0)</f>
        <v>0</v>
      </c>
      <c r="AF74" s="688">
        <f>IFERROR(VLOOKUP($A74,'[93]8月'!$A:$H,8,0),0)</f>
        <v>0</v>
      </c>
      <c r="AG74" s="688">
        <f>IFERROR(VLOOKUP($A74,'[93]9月'!$A:$H,8,0),0)</f>
        <v>0</v>
      </c>
      <c r="AH74" s="688">
        <f>IFERROR(VLOOKUP($A74,'[93]10月'!$A:$H,8,0),0)</f>
        <v>0</v>
      </c>
      <c r="AI74" s="688">
        <f>IFERROR(VLOOKUP($A74,'[93]11月'!$A:$H,8,0),0)</f>
        <v>0</v>
      </c>
      <c r="AJ74" s="688">
        <f>IFERROR(VLOOKUP($A74,'[93]12月'!$A:$H,8,0),0)</f>
        <v>0</v>
      </c>
      <c r="AK74" s="688">
        <f t="shared" si="37"/>
        <v>0</v>
      </c>
    </row>
    <row r="75" spans="1:37" ht="11.1" customHeight="1">
      <c r="A75" s="663" t="str">
        <f>'Budget-合并'!A75</f>
        <v>6602.06</v>
      </c>
      <c r="B75" s="663" t="str">
        <f>'Budget-合并'!B75</f>
        <v>业务招待费</v>
      </c>
      <c r="C75" s="687" t="str">
        <f>'Budget-合并'!C75</f>
        <v>Client Entertainment</v>
      </c>
      <c r="D75" s="676">
        <f t="shared" si="31"/>
        <v>3333.3333333333335</v>
      </c>
      <c r="E75" s="676" t="e">
        <f>INDEX($Y75:AHV75,1,MATCH($E$6,$Y$6:$AJ$6))</f>
        <v>#N/A</v>
      </c>
      <c r="F75" s="676" t="e">
        <f t="shared" si="32"/>
        <v>#N/A</v>
      </c>
      <c r="G75" s="676">
        <f t="shared" ca="1" si="33"/>
        <v>3333.3333333333335</v>
      </c>
      <c r="H75" s="676" t="e">
        <f t="shared" ca="1" si="34"/>
        <v>#N/A</v>
      </c>
      <c r="I75" s="676" t="e">
        <f t="shared" ca="1" si="35"/>
        <v>#N/A</v>
      </c>
      <c r="K75" s="676">
        <f t="shared" ref="K75:V75" si="41">SUM(K76:K78)</f>
        <v>3333.3333333333335</v>
      </c>
      <c r="L75" s="676">
        <f t="shared" si="41"/>
        <v>3333.3333333333335</v>
      </c>
      <c r="M75" s="676">
        <f t="shared" si="41"/>
        <v>3333.3333333333335</v>
      </c>
      <c r="N75" s="676">
        <f t="shared" si="41"/>
        <v>3333.3333333333335</v>
      </c>
      <c r="O75" s="676">
        <f t="shared" si="41"/>
        <v>3333.3333333333335</v>
      </c>
      <c r="P75" s="676">
        <f t="shared" si="41"/>
        <v>3333.3333333333335</v>
      </c>
      <c r="Q75" s="676">
        <f t="shared" si="41"/>
        <v>3333.3333333333335</v>
      </c>
      <c r="R75" s="676">
        <f t="shared" si="41"/>
        <v>3333.3333333333335</v>
      </c>
      <c r="S75" s="676">
        <f t="shared" si="41"/>
        <v>3333.3333333333335</v>
      </c>
      <c r="T75" s="676">
        <f t="shared" si="41"/>
        <v>3333.3333333333335</v>
      </c>
      <c r="U75" s="676">
        <f t="shared" si="41"/>
        <v>3333.3333333333335</v>
      </c>
      <c r="V75" s="676">
        <f t="shared" si="41"/>
        <v>3333.3333333333335</v>
      </c>
      <c r="W75" s="676">
        <f t="shared" si="24"/>
        <v>40000</v>
      </c>
      <c r="Y75" s="688">
        <f>IFERROR(VLOOKUP(A75,'[93]1月'!$A:$H,8,0),0)</f>
        <v>0</v>
      </c>
      <c r="Z75" s="688">
        <f>IFERROR(VLOOKUP(A75,'[93]2月'!$A:$H,8,0),0)</f>
        <v>0</v>
      </c>
      <c r="AA75" s="688">
        <f>IFERROR(VLOOKUP($A75,'[93]3月'!$A:$H,8,0),0)</f>
        <v>0</v>
      </c>
      <c r="AB75" s="688">
        <f>IFERROR(VLOOKUP($A75,'[93]4月'!$A:$H,8,0),0)</f>
        <v>0</v>
      </c>
      <c r="AC75" s="688">
        <f>IFERROR(VLOOKUP($A75,'[93]5月'!$A:$H,8,0),0)</f>
        <v>948</v>
      </c>
      <c r="AD75" s="688">
        <f>IFERROR(VLOOKUP($A75,'[93]6月'!$A:$H,8,0),0)</f>
        <v>0</v>
      </c>
      <c r="AE75" s="688">
        <f>IFERROR(VLOOKUP($A75,'[93]7月'!$A:$H,8,0),0)</f>
        <v>0</v>
      </c>
      <c r="AF75" s="688">
        <f>IFERROR(VLOOKUP($A75,'[93]8月'!$A:$H,8,0),0)</f>
        <v>0</v>
      </c>
      <c r="AG75" s="688">
        <f>IFERROR(VLOOKUP($A75,'[93]9月'!$A:$H,8,0),0)</f>
        <v>0</v>
      </c>
      <c r="AH75" s="688">
        <f>IFERROR(VLOOKUP($A75,'[93]10月'!$A:$H,8,0),0)</f>
        <v>0</v>
      </c>
      <c r="AI75" s="688">
        <f>IFERROR(VLOOKUP($A75,'[93]11月'!$A:$H,8,0),0)</f>
        <v>0</v>
      </c>
      <c r="AJ75" s="688">
        <f>IFERROR(VLOOKUP($A75,'[93]12月'!$A:$H,8,0),0)</f>
        <v>6378</v>
      </c>
      <c r="AK75" s="688">
        <f t="shared" si="37"/>
        <v>7326</v>
      </c>
    </row>
    <row r="76" spans="1:37" ht="11.1" customHeight="1">
      <c r="A76" s="653">
        <f>'Budget-合并'!A76</f>
        <v>0</v>
      </c>
      <c r="B76" s="653" t="str">
        <f>'Budget-合并'!B76</f>
        <v xml:space="preserve">    公司主体02</v>
      </c>
      <c r="C76" s="687" t="str">
        <f>'Budget-合并'!C76</f>
        <v xml:space="preserve">   Entity</v>
      </c>
      <c r="D76" s="676">
        <f t="shared" si="31"/>
        <v>0</v>
      </c>
      <c r="E76" s="676" t="e">
        <f>INDEX($Y76:AHV76,1,MATCH($E$6,$Y$6:$AJ$6))</f>
        <v>#N/A</v>
      </c>
      <c r="F76" s="676" t="e">
        <f t="shared" si="32"/>
        <v>#N/A</v>
      </c>
      <c r="G76" s="676">
        <f t="shared" ca="1" si="33"/>
        <v>0</v>
      </c>
      <c r="H76" s="676" t="e">
        <f t="shared" ca="1" si="34"/>
        <v>#N/A</v>
      </c>
      <c r="I76" s="676" t="e">
        <f t="shared" ca="1" si="35"/>
        <v>#N/A</v>
      </c>
      <c r="K76" s="676"/>
      <c r="L76" s="676"/>
      <c r="M76" s="676"/>
      <c r="N76" s="676"/>
      <c r="O76" s="676"/>
      <c r="P76" s="676"/>
      <c r="Q76" s="676"/>
      <c r="R76" s="676"/>
      <c r="S76" s="676"/>
      <c r="T76" s="676"/>
      <c r="U76" s="676"/>
      <c r="V76" s="676"/>
      <c r="W76" s="676">
        <f t="shared" si="24"/>
        <v>0</v>
      </c>
      <c r="Y76" s="688">
        <f>IFERROR(VLOOKUP(A76,'[93]1月'!$A:$H,8,0),0)</f>
        <v>0</v>
      </c>
      <c r="Z76" s="688">
        <f>IFERROR(VLOOKUP(A76,'[93]2月'!$A:$H,8,0),0)</f>
        <v>0</v>
      </c>
      <c r="AA76" s="688">
        <f>IFERROR(VLOOKUP($A76,'[93]3月'!$A:$H,8,0),0)</f>
        <v>0</v>
      </c>
      <c r="AB76" s="688">
        <f>IFERROR(VLOOKUP($A76,'[93]4月'!$A:$H,8,0),0)</f>
        <v>0</v>
      </c>
      <c r="AC76" s="688">
        <f>IFERROR(VLOOKUP($A76,'[93]5月'!$A:$H,8,0),0)</f>
        <v>0</v>
      </c>
      <c r="AD76" s="688">
        <f>IFERROR(VLOOKUP($A76,'[93]6月'!$A:$H,8,0),0)</f>
        <v>0</v>
      </c>
      <c r="AE76" s="688">
        <f>IFERROR(VLOOKUP($A76,'[93]7月'!$A:$H,8,0),0)</f>
        <v>0</v>
      </c>
      <c r="AF76" s="688">
        <f>IFERROR(VLOOKUP($A76,'[93]8月'!$A:$H,8,0),0)</f>
        <v>0</v>
      </c>
      <c r="AG76" s="688">
        <f>IFERROR(VLOOKUP($A76,'[93]9月'!$A:$H,8,0),0)</f>
        <v>0</v>
      </c>
      <c r="AH76" s="688">
        <f>IFERROR(VLOOKUP($A76,'[93]10月'!$A:$H,8,0),0)</f>
        <v>0</v>
      </c>
      <c r="AI76" s="688">
        <f>IFERROR(VLOOKUP($A76,'[93]11月'!$A:$H,8,0),0)</f>
        <v>0</v>
      </c>
      <c r="AJ76" s="688">
        <f>IFERROR(VLOOKUP($A76,'[93]12月'!$A:$H,8,0),0)</f>
        <v>0</v>
      </c>
      <c r="AK76" s="688">
        <f t="shared" si="37"/>
        <v>0</v>
      </c>
    </row>
    <row r="77" spans="1:37" ht="11.1" customHeight="1">
      <c r="A77" s="695">
        <v>1</v>
      </c>
      <c r="B77" s="653" t="str">
        <f>'Budget-合并'!B77</f>
        <v xml:space="preserve">    旭智富能02</v>
      </c>
      <c r="C77" s="687" t="str">
        <f>'Budget-合并'!C77</f>
        <v xml:space="preserve">   Foxpower</v>
      </c>
      <c r="D77" s="676">
        <f t="shared" si="31"/>
        <v>3333.3333333333335</v>
      </c>
      <c r="E77" s="676" t="e">
        <f>INDEX($Y77:AHV77,1,MATCH($E$6,$Y$6:$AJ$6))</f>
        <v>#N/A</v>
      </c>
      <c r="F77" s="676" t="e">
        <f t="shared" si="32"/>
        <v>#N/A</v>
      </c>
      <c r="G77" s="676">
        <f t="shared" ca="1" si="33"/>
        <v>3333.3333333333335</v>
      </c>
      <c r="H77" s="676" t="e">
        <f t="shared" ca="1" si="34"/>
        <v>#N/A</v>
      </c>
      <c r="I77" s="676" t="e">
        <f t="shared" ca="1" si="35"/>
        <v>#N/A</v>
      </c>
      <c r="K77" s="676">
        <f>SUMIFS('T&amp;E'!N$109:N$118,'T&amp;E'!$B$109:$B$118,$D$1,'T&amp;E'!$C$109:$C$118,$A$75)*$A77</f>
        <v>3333.3333333333335</v>
      </c>
      <c r="L77" s="676">
        <f>SUMIFS('T&amp;E'!O$109:O$118,'T&amp;E'!$B$109:$B$118,$D$1,'T&amp;E'!$C$109:$C$118,$A$75)*$A77</f>
        <v>3333.3333333333335</v>
      </c>
      <c r="M77" s="676">
        <f>SUMIFS('T&amp;E'!P$109:P$118,'T&amp;E'!$B$109:$B$118,$D$1,'T&amp;E'!$C$109:$C$118,$A$75)*$A77</f>
        <v>3333.3333333333335</v>
      </c>
      <c r="N77" s="676">
        <f>SUMIFS('T&amp;E'!Q$109:Q$118,'T&amp;E'!$B$109:$B$118,$D$1,'T&amp;E'!$C$109:$C$118,$A$75)*$A77</f>
        <v>3333.3333333333335</v>
      </c>
      <c r="O77" s="676">
        <f>SUMIFS('T&amp;E'!R$109:R$118,'T&amp;E'!$B$109:$B$118,$D$1,'T&amp;E'!$C$109:$C$118,$A$75)*$A77</f>
        <v>3333.3333333333335</v>
      </c>
      <c r="P77" s="676">
        <f>SUMIFS('T&amp;E'!S$109:S$118,'T&amp;E'!$B$109:$B$118,$D$1,'T&amp;E'!$C$109:$C$118,$A$75)*$A77</f>
        <v>3333.3333333333335</v>
      </c>
      <c r="Q77" s="676">
        <f>SUMIFS('T&amp;E'!T$109:T$118,'T&amp;E'!$B$109:$B$118,$D$1,'T&amp;E'!$C$109:$C$118,$A$75)*$A77</f>
        <v>3333.3333333333335</v>
      </c>
      <c r="R77" s="676">
        <f>SUMIFS('T&amp;E'!U$109:U$118,'T&amp;E'!$B$109:$B$118,$D$1,'T&amp;E'!$C$109:$C$118,$A$75)*$A77</f>
        <v>3333.3333333333335</v>
      </c>
      <c r="S77" s="676">
        <f>SUMIFS('T&amp;E'!V$109:V$118,'T&amp;E'!$B$109:$B$118,$D$1,'T&amp;E'!$C$109:$C$118,$A$75)*$A77</f>
        <v>3333.3333333333335</v>
      </c>
      <c r="T77" s="676">
        <f>SUMIFS('T&amp;E'!W$109:W$118,'T&amp;E'!$B$109:$B$118,$D$1,'T&amp;E'!$C$109:$C$118,$A$75)*$A77</f>
        <v>3333.3333333333335</v>
      </c>
      <c r="U77" s="676">
        <f>SUMIFS('T&amp;E'!X$109:X$118,'T&amp;E'!$B$109:$B$118,$D$1,'T&amp;E'!$C$109:$C$118,$A$75)*$A77</f>
        <v>3333.3333333333335</v>
      </c>
      <c r="V77" s="676">
        <f>SUMIFS('T&amp;E'!Y$109:Y$118,'T&amp;E'!$B$109:$B$118,$D$1,'T&amp;E'!$C$109:$C$118,$A$75)*$A77</f>
        <v>3333.3333333333335</v>
      </c>
      <c r="W77" s="676">
        <f t="shared" si="24"/>
        <v>40000</v>
      </c>
      <c r="Y77" s="688">
        <f>IFERROR(VLOOKUP(A77,'[93]1月'!$A:$H,8,0),0)</f>
        <v>0</v>
      </c>
      <c r="Z77" s="688">
        <f>IFERROR(VLOOKUP(A77,'[93]2月'!$A:$H,8,0),0)</f>
        <v>0</v>
      </c>
      <c r="AA77" s="688">
        <f>IFERROR(VLOOKUP($A77,'[93]3月'!$A:$H,8,0),0)</f>
        <v>0</v>
      </c>
      <c r="AB77" s="688">
        <f>IFERROR(VLOOKUP($A77,'[93]4月'!$A:$H,8,0),0)</f>
        <v>0</v>
      </c>
      <c r="AC77" s="688">
        <f>IFERROR(VLOOKUP($A77,'[93]5月'!$A:$H,8,0),0)</f>
        <v>0</v>
      </c>
      <c r="AD77" s="688">
        <f>IFERROR(VLOOKUP($A77,'[93]6月'!$A:$H,8,0),0)</f>
        <v>0</v>
      </c>
      <c r="AE77" s="688">
        <f>IFERROR(VLOOKUP($A77,'[93]7月'!$A:$H,8,0),0)</f>
        <v>0</v>
      </c>
      <c r="AF77" s="688">
        <f>IFERROR(VLOOKUP($A77,'[93]8月'!$A:$H,8,0),0)</f>
        <v>0</v>
      </c>
      <c r="AG77" s="688">
        <f>IFERROR(VLOOKUP($A77,'[93]9月'!$A:$H,8,0),0)</f>
        <v>0</v>
      </c>
      <c r="AH77" s="688">
        <f>IFERROR(VLOOKUP($A77,'[93]10月'!$A:$H,8,0),0)</f>
        <v>0</v>
      </c>
      <c r="AI77" s="688">
        <f>IFERROR(VLOOKUP($A77,'[93]11月'!$A:$H,8,0),0)</f>
        <v>0</v>
      </c>
      <c r="AJ77" s="688">
        <f>IFERROR(VLOOKUP($A77,'[93]12月'!$A:$H,8,0),0)</f>
        <v>0</v>
      </c>
      <c r="AK77" s="688">
        <f t="shared" si="37"/>
        <v>0</v>
      </c>
    </row>
    <row r="78" spans="1:37" ht="11.1" customHeight="1">
      <c r="A78" s="653">
        <f>'Budget-合并'!A78</f>
        <v>0</v>
      </c>
      <c r="B78" s="653" t="str">
        <f>'Budget-合并'!B78</f>
        <v xml:space="preserve">    其他项目02</v>
      </c>
      <c r="C78" s="687" t="str">
        <f>'Budget-合并'!C78</f>
        <v xml:space="preserve">   Other project</v>
      </c>
      <c r="D78" s="676">
        <f t="shared" si="31"/>
        <v>0</v>
      </c>
      <c r="E78" s="676" t="e">
        <f>INDEX($Y78:AHV78,1,MATCH($E$6,$Y$6:$AJ$6))</f>
        <v>#N/A</v>
      </c>
      <c r="F78" s="676" t="e">
        <f t="shared" si="32"/>
        <v>#N/A</v>
      </c>
      <c r="G78" s="676">
        <f t="shared" ca="1" si="33"/>
        <v>0</v>
      </c>
      <c r="H78" s="676" t="e">
        <f t="shared" ca="1" si="34"/>
        <v>#N/A</v>
      </c>
      <c r="I78" s="676" t="e">
        <f t="shared" ca="1" si="35"/>
        <v>#N/A</v>
      </c>
      <c r="K78" s="676"/>
      <c r="L78" s="676"/>
      <c r="M78" s="676"/>
      <c r="N78" s="676"/>
      <c r="O78" s="676"/>
      <c r="P78" s="676"/>
      <c r="Q78" s="676"/>
      <c r="R78" s="676"/>
      <c r="S78" s="676"/>
      <c r="T78" s="676"/>
      <c r="U78" s="676"/>
      <c r="V78" s="676"/>
      <c r="W78" s="676">
        <f t="shared" si="24"/>
        <v>0</v>
      </c>
      <c r="Y78" s="688">
        <f>IFERROR(VLOOKUP(A78,'[93]1月'!$A:$H,8,0),0)</f>
        <v>0</v>
      </c>
      <c r="Z78" s="688">
        <f>IFERROR(VLOOKUP(A78,'[93]2月'!$A:$H,8,0),0)</f>
        <v>0</v>
      </c>
      <c r="AA78" s="688">
        <f>IFERROR(VLOOKUP($A78,'[93]3月'!$A:$H,8,0),0)</f>
        <v>0</v>
      </c>
      <c r="AB78" s="688">
        <f>IFERROR(VLOOKUP($A78,'[93]4月'!$A:$H,8,0),0)</f>
        <v>0</v>
      </c>
      <c r="AC78" s="688">
        <f>IFERROR(VLOOKUP($A78,'[93]5月'!$A:$H,8,0),0)</f>
        <v>0</v>
      </c>
      <c r="AD78" s="688">
        <f>IFERROR(VLOOKUP($A78,'[93]6月'!$A:$H,8,0),0)</f>
        <v>0</v>
      </c>
      <c r="AE78" s="688">
        <f>IFERROR(VLOOKUP($A78,'[93]7月'!$A:$H,8,0),0)</f>
        <v>0</v>
      </c>
      <c r="AF78" s="688">
        <f>IFERROR(VLOOKUP($A78,'[93]8月'!$A:$H,8,0),0)</f>
        <v>0</v>
      </c>
      <c r="AG78" s="688">
        <f>IFERROR(VLOOKUP($A78,'[93]9月'!$A:$H,8,0),0)</f>
        <v>0</v>
      </c>
      <c r="AH78" s="688">
        <f>IFERROR(VLOOKUP($A78,'[93]10月'!$A:$H,8,0),0)</f>
        <v>0</v>
      </c>
      <c r="AI78" s="688">
        <f>IFERROR(VLOOKUP($A78,'[93]11月'!$A:$H,8,0),0)</f>
        <v>0</v>
      </c>
      <c r="AJ78" s="688">
        <f>IFERROR(VLOOKUP($A78,'[93]12月'!$A:$H,8,0),0)</f>
        <v>0</v>
      </c>
      <c r="AK78" s="688">
        <f t="shared" si="37"/>
        <v>0</v>
      </c>
    </row>
    <row r="79" spans="1:37" ht="11.1" customHeight="1">
      <c r="A79" s="653" t="str">
        <f>'Budget-合并'!A79</f>
        <v>6602.07</v>
      </c>
      <c r="B79" s="653" t="str">
        <f>'Budget-合并'!B79</f>
        <v>广告费和业务宣传费</v>
      </c>
      <c r="C79" s="687">
        <f>'Budget-合并'!C79</f>
        <v>0</v>
      </c>
      <c r="D79" s="676">
        <f t="shared" si="31"/>
        <v>0</v>
      </c>
      <c r="E79" s="676" t="e">
        <f>INDEX($Y79:AHV79,1,MATCH($E$6,$Y$6:$AJ$6))</f>
        <v>#N/A</v>
      </c>
      <c r="F79" s="676" t="e">
        <f t="shared" si="32"/>
        <v>#N/A</v>
      </c>
      <c r="G79" s="676">
        <f t="shared" ca="1" si="33"/>
        <v>0</v>
      </c>
      <c r="H79" s="676" t="e">
        <f t="shared" ca="1" si="34"/>
        <v>#N/A</v>
      </c>
      <c r="I79" s="676" t="e">
        <f t="shared" ca="1" si="35"/>
        <v>#N/A</v>
      </c>
      <c r="K79" s="676"/>
      <c r="L79" s="676"/>
      <c r="M79" s="676"/>
      <c r="N79" s="676"/>
      <c r="O79" s="676"/>
      <c r="P79" s="676"/>
      <c r="Q79" s="676"/>
      <c r="R79" s="676"/>
      <c r="S79" s="676"/>
      <c r="T79" s="676"/>
      <c r="U79" s="676"/>
      <c r="V79" s="676"/>
      <c r="W79" s="676">
        <f t="shared" si="24"/>
        <v>0</v>
      </c>
      <c r="Y79" s="688">
        <f>IFERROR(VLOOKUP(A79,'[93]1月'!$A:$H,8,0),0)</f>
        <v>0</v>
      </c>
      <c r="Z79" s="688">
        <f>IFERROR(VLOOKUP(A79,'[93]2月'!$A:$H,8,0),0)</f>
        <v>0</v>
      </c>
      <c r="AA79" s="688">
        <f>IFERROR(VLOOKUP($A79,'[93]3月'!$A:$H,8,0),0)</f>
        <v>0</v>
      </c>
      <c r="AB79" s="688">
        <f>IFERROR(VLOOKUP($A79,'[93]4月'!$A:$H,8,0),0)</f>
        <v>0</v>
      </c>
      <c r="AC79" s="688">
        <f>IFERROR(VLOOKUP($A79,'[93]5月'!$A:$H,8,0),0)</f>
        <v>0</v>
      </c>
      <c r="AD79" s="688">
        <f>IFERROR(VLOOKUP($A79,'[93]6月'!$A:$H,8,0),0)</f>
        <v>0</v>
      </c>
      <c r="AE79" s="688">
        <f>IFERROR(VLOOKUP($A79,'[93]7月'!$A:$H,8,0),0)</f>
        <v>0</v>
      </c>
      <c r="AF79" s="688">
        <f>IFERROR(VLOOKUP($A79,'[93]8月'!$A:$H,8,0),0)</f>
        <v>0</v>
      </c>
      <c r="AG79" s="688">
        <f>IFERROR(VLOOKUP($A79,'[93]9月'!$A:$H,8,0),0)</f>
        <v>0</v>
      </c>
      <c r="AH79" s="688">
        <f>IFERROR(VLOOKUP($A79,'[93]10月'!$A:$H,8,0),0)</f>
        <v>0</v>
      </c>
      <c r="AI79" s="688">
        <f>IFERROR(VLOOKUP($A79,'[93]11月'!$A:$H,8,0),0)</f>
        <v>0</v>
      </c>
      <c r="AJ79" s="688">
        <f>IFERROR(VLOOKUP($A79,'[93]12月'!$A:$H,8,0),0)</f>
        <v>0</v>
      </c>
      <c r="AK79" s="688">
        <f t="shared" si="37"/>
        <v>0</v>
      </c>
    </row>
    <row r="80" spans="1:37" ht="11.1" customHeight="1">
      <c r="A80" s="663" t="str">
        <f>'Budget-合并'!A80</f>
        <v>6602.08</v>
      </c>
      <c r="B80" s="663" t="str">
        <f>'Budget-合并'!B80</f>
        <v>事务费用</v>
      </c>
      <c r="C80" s="687">
        <f>'Budget-合并'!C80</f>
        <v>0</v>
      </c>
      <c r="D80" s="676">
        <f t="shared" si="31"/>
        <v>1260</v>
      </c>
      <c r="E80" s="676" t="e">
        <f>INDEX($Y80:AHV80,1,MATCH($E$6,$Y$6:$AJ$6))</f>
        <v>#N/A</v>
      </c>
      <c r="F80" s="676" t="e">
        <f t="shared" si="32"/>
        <v>#N/A</v>
      </c>
      <c r="G80" s="676">
        <f t="shared" ca="1" si="33"/>
        <v>1260</v>
      </c>
      <c r="H80" s="676" t="e">
        <f t="shared" ca="1" si="34"/>
        <v>#N/A</v>
      </c>
      <c r="I80" s="676" t="e">
        <f t="shared" ca="1" si="35"/>
        <v>#N/A</v>
      </c>
      <c r="K80" s="676">
        <f t="shared" ref="K80:V80" si="42">SUM(K81:K91)</f>
        <v>1260</v>
      </c>
      <c r="L80" s="676">
        <f t="shared" si="42"/>
        <v>1260</v>
      </c>
      <c r="M80" s="676">
        <f t="shared" si="42"/>
        <v>1260</v>
      </c>
      <c r="N80" s="676">
        <f t="shared" si="42"/>
        <v>1260</v>
      </c>
      <c r="O80" s="676">
        <f t="shared" si="42"/>
        <v>1260</v>
      </c>
      <c r="P80" s="676">
        <f t="shared" si="42"/>
        <v>1260</v>
      </c>
      <c r="Q80" s="676">
        <f t="shared" si="42"/>
        <v>1260</v>
      </c>
      <c r="R80" s="676">
        <f t="shared" si="42"/>
        <v>1260</v>
      </c>
      <c r="S80" s="676">
        <f t="shared" si="42"/>
        <v>1260</v>
      </c>
      <c r="T80" s="676">
        <f t="shared" si="42"/>
        <v>1260</v>
      </c>
      <c r="U80" s="676">
        <f t="shared" si="42"/>
        <v>1260</v>
      </c>
      <c r="V80" s="676">
        <f t="shared" si="42"/>
        <v>1260</v>
      </c>
      <c r="W80" s="676">
        <f t="shared" si="24"/>
        <v>15120</v>
      </c>
      <c r="Y80" s="688">
        <f>IFERROR(VLOOKUP(A80,'[93]1月'!$A:$H,8,0),0)</f>
        <v>16.98</v>
      </c>
      <c r="Z80" s="688">
        <f>IFERROR(VLOOKUP(A80,'[93]2月'!$A:$H,8,0),0)</f>
        <v>0</v>
      </c>
      <c r="AA80" s="688">
        <f>IFERROR(VLOOKUP($A80,'[93]3月'!$A:$H,8,0),0)</f>
        <v>-99.44</v>
      </c>
      <c r="AB80" s="688">
        <f>IFERROR(VLOOKUP($A80,'[93]4月'!$A:$H,8,0),0)</f>
        <v>0</v>
      </c>
      <c r="AC80" s="688">
        <f>IFERROR(VLOOKUP($A80,'[93]5月'!$A:$H,8,0),0)</f>
        <v>997.45</v>
      </c>
      <c r="AD80" s="688">
        <f>IFERROR(VLOOKUP($A80,'[93]6月'!$A:$H,8,0),0)</f>
        <v>184.8</v>
      </c>
      <c r="AE80" s="688">
        <f>IFERROR(VLOOKUP($A80,'[93]7月'!$A:$H,8,0),0)</f>
        <v>25.8</v>
      </c>
      <c r="AF80" s="688">
        <f>IFERROR(VLOOKUP($A80,'[93]8月'!$A:$H,8,0),0)</f>
        <v>1076.82</v>
      </c>
      <c r="AG80" s="688">
        <f>IFERROR(VLOOKUP($A80,'[93]9月'!$A:$H,8,0),0)</f>
        <v>55.9</v>
      </c>
      <c r="AH80" s="688">
        <f>IFERROR(VLOOKUP($A80,'[93]10月'!$A:$H,8,0),0)</f>
        <v>68</v>
      </c>
      <c r="AI80" s="688">
        <f>IFERROR(VLOOKUP($A80,'[93]11月'!$A:$H,8,0),0)</f>
        <v>0</v>
      </c>
      <c r="AJ80" s="688">
        <f>IFERROR(VLOOKUP($A80,'[93]12月'!$A:$H,8,0),0)</f>
        <v>1686.79</v>
      </c>
      <c r="AK80" s="688">
        <f t="shared" si="37"/>
        <v>4013.1</v>
      </c>
    </row>
    <row r="81" spans="1:37" ht="11.1" customHeight="1">
      <c r="A81" s="653" t="str">
        <f>'Budget-合并'!A81</f>
        <v>6602.08.01</v>
      </c>
      <c r="B81" s="653" t="str">
        <f>'Budget-合并'!B81</f>
        <v>通信费</v>
      </c>
      <c r="C81" s="687" t="str">
        <f>'Budget-合并'!C81</f>
        <v>Telephone Monthly/Base Charge</v>
      </c>
      <c r="D81" s="676">
        <f t="shared" si="31"/>
        <v>1260</v>
      </c>
      <c r="E81" s="676" t="e">
        <f>INDEX($Y81:AHV81,1,MATCH($E$6,$Y$6:$AJ$6))</f>
        <v>#N/A</v>
      </c>
      <c r="F81" s="676" t="e">
        <f t="shared" si="32"/>
        <v>#N/A</v>
      </c>
      <c r="G81" s="676">
        <f t="shared" ca="1" si="33"/>
        <v>1260</v>
      </c>
      <c r="H81" s="676" t="e">
        <f t="shared" ca="1" si="34"/>
        <v>#N/A</v>
      </c>
      <c r="I81" s="676" t="e">
        <f t="shared" ca="1" si="35"/>
        <v>#N/A</v>
      </c>
      <c r="K81" s="676">
        <f>SUMIFS(SPACE!O$3:O$106,SPACE!$A$3:$A$106,$D$1,SPACE!$C$3:$C$106,$A81)</f>
        <v>1260</v>
      </c>
      <c r="L81" s="676">
        <f>SUMIFS(SPACE!P$3:P$106,SPACE!$A$3:$A$106,$D$1,SPACE!$C$3:$C$106,$A81)</f>
        <v>1260</v>
      </c>
      <c r="M81" s="676">
        <f>SUMIFS(SPACE!Q$3:Q$106,SPACE!$A$3:$A$106,$D$1,SPACE!$C$3:$C$106,$A81)</f>
        <v>1260</v>
      </c>
      <c r="N81" s="676">
        <f>SUMIFS(SPACE!R$3:R$106,SPACE!$A$3:$A$106,$D$1,SPACE!$C$3:$C$106,$A81)</f>
        <v>1260</v>
      </c>
      <c r="O81" s="676">
        <f>SUMIFS(SPACE!S$3:S$106,SPACE!$A$3:$A$106,$D$1,SPACE!$C$3:$C$106,$A81)</f>
        <v>1260</v>
      </c>
      <c r="P81" s="676">
        <f>SUMIFS(SPACE!T$3:T$106,SPACE!$A$3:$A$106,$D$1,SPACE!$C$3:$C$106,$A81)</f>
        <v>1260</v>
      </c>
      <c r="Q81" s="676">
        <f>SUMIFS(SPACE!U$3:U$106,SPACE!$A$3:$A$106,$D$1,SPACE!$C$3:$C$106,$A81)</f>
        <v>1260</v>
      </c>
      <c r="R81" s="676">
        <f>SUMIFS(SPACE!V$3:V$106,SPACE!$A$3:$A$106,$D$1,SPACE!$C$3:$C$106,$A81)</f>
        <v>1260</v>
      </c>
      <c r="S81" s="676">
        <f>SUMIFS(SPACE!W$3:W$106,SPACE!$A$3:$A$106,$D$1,SPACE!$C$3:$C$106,$A81)</f>
        <v>1260</v>
      </c>
      <c r="T81" s="676">
        <f>SUMIFS(SPACE!X$3:X$106,SPACE!$A$3:$A$106,$D$1,SPACE!$C$3:$C$106,$A81)</f>
        <v>1260</v>
      </c>
      <c r="U81" s="676">
        <f>SUMIFS(SPACE!Y$3:Y$106,SPACE!$A$3:$A$106,$D$1,SPACE!$C$3:$C$106,$A81)</f>
        <v>1260</v>
      </c>
      <c r="V81" s="676">
        <f>SUMIFS(SPACE!Z$3:Z$106,SPACE!$A$3:$A$106,$D$1,SPACE!$C$3:$C$106,$A81)</f>
        <v>1260</v>
      </c>
      <c r="W81" s="676">
        <f t="shared" si="24"/>
        <v>15120</v>
      </c>
      <c r="Y81" s="688">
        <f>IFERROR(VLOOKUP(A81,'[93]1月'!$A:$H,8,0),0)</f>
        <v>0</v>
      </c>
      <c r="Z81" s="688">
        <f>IFERROR(VLOOKUP(A81,'[93]2月'!$A:$H,8,0),0)</f>
        <v>0</v>
      </c>
      <c r="AA81" s="688">
        <f>IFERROR(VLOOKUP($A81,'[93]3月'!$A:$H,8,0),0)</f>
        <v>-99.44</v>
      </c>
      <c r="AB81" s="688">
        <f>IFERROR(VLOOKUP($A81,'[93]4月'!$A:$H,8,0),0)</f>
        <v>0</v>
      </c>
      <c r="AC81" s="688">
        <f>IFERROR(VLOOKUP($A81,'[93]5月'!$A:$H,8,0),0)</f>
        <v>932.2</v>
      </c>
      <c r="AD81" s="688">
        <f>IFERROR(VLOOKUP($A81,'[93]6月'!$A:$H,8,0),0)</f>
        <v>157.80000000000001</v>
      </c>
      <c r="AE81" s="688">
        <f>IFERROR(VLOOKUP($A81,'[93]7月'!$A:$H,8,0),0)</f>
        <v>25.8</v>
      </c>
      <c r="AF81" s="688">
        <f>IFERROR(VLOOKUP($A81,'[93]8月'!$A:$H,8,0),0)</f>
        <v>949.86</v>
      </c>
      <c r="AG81" s="688">
        <f>IFERROR(VLOOKUP($A81,'[93]9月'!$A:$H,8,0),0)</f>
        <v>12.9</v>
      </c>
      <c r="AH81" s="688">
        <f>IFERROR(VLOOKUP($A81,'[93]10月'!$A:$H,8,0),0)</f>
        <v>68</v>
      </c>
      <c r="AI81" s="688">
        <f>IFERROR(VLOOKUP($A81,'[93]11月'!$A:$H,8,0),0)</f>
        <v>0</v>
      </c>
      <c r="AJ81" s="688">
        <f>IFERROR(VLOOKUP($A81,'[93]12月'!$A:$H,8,0),0)</f>
        <v>1588.29</v>
      </c>
      <c r="AK81" s="688">
        <f t="shared" si="37"/>
        <v>3635.41</v>
      </c>
    </row>
    <row r="82" spans="1:37" ht="11.1" customHeight="1">
      <c r="A82" s="653" t="str">
        <f>'Budget-合并'!A82</f>
        <v>6602.08.02</v>
      </c>
      <c r="B82" s="653" t="str">
        <f>'Budget-合并'!B82</f>
        <v>电脑软件费</v>
      </c>
      <c r="C82" s="687" t="str">
        <f>'Budget-合并'!C82</f>
        <v xml:space="preserve">PC Software </v>
      </c>
      <c r="D82" s="676">
        <f t="shared" si="31"/>
        <v>0</v>
      </c>
      <c r="E82" s="676" t="e">
        <f>INDEX($Y82:AHV82,1,MATCH($E$6,$Y$6:$AJ$6))</f>
        <v>#N/A</v>
      </c>
      <c r="F82" s="676" t="e">
        <f t="shared" si="32"/>
        <v>#N/A</v>
      </c>
      <c r="G82" s="676">
        <f t="shared" ca="1" si="33"/>
        <v>0</v>
      </c>
      <c r="H82" s="676" t="e">
        <f t="shared" ca="1" si="34"/>
        <v>#N/A</v>
      </c>
      <c r="I82" s="676" t="e">
        <f t="shared" ca="1" si="35"/>
        <v>#N/A</v>
      </c>
      <c r="K82" s="676"/>
      <c r="L82" s="676"/>
      <c r="M82" s="676"/>
      <c r="N82" s="676"/>
      <c r="O82" s="676"/>
      <c r="P82" s="676"/>
      <c r="Q82" s="676"/>
      <c r="R82" s="676"/>
      <c r="S82" s="676"/>
      <c r="T82" s="676"/>
      <c r="U82" s="676"/>
      <c r="V82" s="676"/>
      <c r="W82" s="676">
        <f t="shared" si="24"/>
        <v>0</v>
      </c>
      <c r="Y82" s="688">
        <f>IFERROR(VLOOKUP(A82,'[93]1月'!$A:$H,8,0),0)</f>
        <v>0</v>
      </c>
      <c r="Z82" s="688">
        <f>IFERROR(VLOOKUP(A82,'[93]2月'!$A:$H,8,0),0)</f>
        <v>0</v>
      </c>
      <c r="AA82" s="688">
        <f>IFERROR(VLOOKUP($A82,'[93]3月'!$A:$H,8,0),0)</f>
        <v>0</v>
      </c>
      <c r="AB82" s="688">
        <f>IFERROR(VLOOKUP($A82,'[93]4月'!$A:$H,8,0),0)</f>
        <v>0</v>
      </c>
      <c r="AC82" s="688">
        <f>IFERROR(VLOOKUP($A82,'[93]5月'!$A:$H,8,0),0)</f>
        <v>0</v>
      </c>
      <c r="AD82" s="688">
        <f>IFERROR(VLOOKUP($A82,'[93]6月'!$A:$H,8,0),0)</f>
        <v>0</v>
      </c>
      <c r="AE82" s="688">
        <f>IFERROR(VLOOKUP($A82,'[93]7月'!$A:$H,8,0),0)</f>
        <v>0</v>
      </c>
      <c r="AF82" s="688">
        <f>IFERROR(VLOOKUP($A82,'[93]8月'!$A:$H,8,0),0)</f>
        <v>0</v>
      </c>
      <c r="AG82" s="688">
        <f>IFERROR(VLOOKUP($A82,'[93]9月'!$A:$H,8,0),0)</f>
        <v>0</v>
      </c>
      <c r="AH82" s="688">
        <f>IFERROR(VLOOKUP($A82,'[93]10月'!$A:$H,8,0),0)</f>
        <v>0</v>
      </c>
      <c r="AI82" s="688">
        <f>IFERROR(VLOOKUP($A82,'[93]11月'!$A:$H,8,0),0)</f>
        <v>0</v>
      </c>
      <c r="AJ82" s="688">
        <f>IFERROR(VLOOKUP($A82,'[93]12月'!$A:$H,8,0),0)</f>
        <v>0</v>
      </c>
      <c r="AK82" s="688">
        <f t="shared" si="37"/>
        <v>0</v>
      </c>
    </row>
    <row r="83" spans="1:37" ht="12.95" customHeight="1">
      <c r="A83" s="653" t="str">
        <f>'Budget-合并'!A83</f>
        <v>6602.08.03</v>
      </c>
      <c r="B83" s="653" t="str">
        <f>'Budget-合并'!B83</f>
        <v>办公用品</v>
      </c>
      <c r="C83" s="687" t="str">
        <f>'Budget-合并'!C83</f>
        <v xml:space="preserve">Office Supplies </v>
      </c>
      <c r="D83" s="676">
        <f t="shared" si="31"/>
        <v>0</v>
      </c>
      <c r="E83" s="676" t="e">
        <f>INDEX($Y83:AHV83,1,MATCH($E$6,$Y$6:$AJ$6))</f>
        <v>#N/A</v>
      </c>
      <c r="F83" s="676" t="e">
        <f t="shared" si="32"/>
        <v>#N/A</v>
      </c>
      <c r="G83" s="676">
        <f t="shared" ca="1" si="33"/>
        <v>0</v>
      </c>
      <c r="H83" s="676" t="e">
        <f t="shared" ca="1" si="34"/>
        <v>#N/A</v>
      </c>
      <c r="I83" s="676" t="e">
        <f t="shared" ca="1" si="35"/>
        <v>#N/A</v>
      </c>
      <c r="K83" s="676">
        <f>SUMIFS('Other Exp'!AG$3:AG$196,'Other Exp'!$B$3:$B$196,$D$1,'Other Exp'!$C$3:$C$196,$A83)</f>
        <v>0</v>
      </c>
      <c r="L83" s="676">
        <f>SUMIFS('Other Exp'!AH$3:AH$196,'Other Exp'!$B$3:$B$196,$D$1,'Other Exp'!$C$3:$C$196,$A83)</f>
        <v>0</v>
      </c>
      <c r="M83" s="676">
        <f>SUMIFS('Other Exp'!AI$3:AI$196,'Other Exp'!$B$3:$B$196,$D$1,'Other Exp'!$C$3:$C$196,$A83)</f>
        <v>0</v>
      </c>
      <c r="N83" s="676">
        <f>SUMIFS('Other Exp'!AJ$3:AJ$196,'Other Exp'!$B$3:$B$196,$D$1,'Other Exp'!$C$3:$C$196,$A83)</f>
        <v>0</v>
      </c>
      <c r="O83" s="676">
        <f>SUMIFS('Other Exp'!AK$3:AK$196,'Other Exp'!$B$3:$B$196,$D$1,'Other Exp'!$C$3:$C$196,$A83)</f>
        <v>0</v>
      </c>
      <c r="P83" s="676">
        <f>SUMIFS('Other Exp'!AL$3:AL$196,'Other Exp'!$B$3:$B$196,$D$1,'Other Exp'!$C$3:$C$196,$A83)</f>
        <v>0</v>
      </c>
      <c r="Q83" s="676">
        <f>SUMIFS('Other Exp'!AM$3:AM$196,'Other Exp'!$B$3:$B$196,$D$1,'Other Exp'!$C$3:$C$196,$A83)</f>
        <v>0</v>
      </c>
      <c r="R83" s="676">
        <f>SUMIFS('Other Exp'!AN$3:AN$196,'Other Exp'!$B$3:$B$196,$D$1,'Other Exp'!$C$3:$C$196,$A83)</f>
        <v>0</v>
      </c>
      <c r="S83" s="676">
        <f>SUMIFS('Other Exp'!AO$3:AO$196,'Other Exp'!$B$3:$B$196,$D$1,'Other Exp'!$C$3:$C$196,$A83)</f>
        <v>0</v>
      </c>
      <c r="T83" s="676">
        <f>SUMIFS('Other Exp'!AP$3:AP$196,'Other Exp'!$B$3:$B$196,$D$1,'Other Exp'!$C$3:$C$196,$A83)</f>
        <v>0</v>
      </c>
      <c r="U83" s="676">
        <f>SUMIFS('Other Exp'!AQ$3:AQ$196,'Other Exp'!$B$3:$B$196,$D$1,'Other Exp'!$C$3:$C$196,$A83)</f>
        <v>0</v>
      </c>
      <c r="V83" s="676">
        <f>SUMIFS('Other Exp'!AR$3:AR$196,'Other Exp'!$B$3:$B$196,$D$1,'Other Exp'!$C$3:$C$196,$A83)</f>
        <v>0</v>
      </c>
      <c r="W83" s="676">
        <f t="shared" si="24"/>
        <v>0</v>
      </c>
      <c r="Y83" s="688">
        <f>IFERROR(VLOOKUP(A83,'[93]1月'!$A:$H,8,0),0)</f>
        <v>0</v>
      </c>
      <c r="Z83" s="688">
        <f>IFERROR(VLOOKUP(A83,'[93]2月'!$A:$H,8,0),0)</f>
        <v>0</v>
      </c>
      <c r="AA83" s="688">
        <f>IFERROR(VLOOKUP($A83,'[93]3月'!$A:$H,8,0),0)</f>
        <v>0</v>
      </c>
      <c r="AB83" s="688">
        <f>IFERROR(VLOOKUP($A83,'[93]4月'!$A:$H,8,0),0)</f>
        <v>0</v>
      </c>
      <c r="AC83" s="688">
        <f>IFERROR(VLOOKUP($A83,'[93]5月'!$A:$H,8,0),0)</f>
        <v>0</v>
      </c>
      <c r="AD83" s="688">
        <f>IFERROR(VLOOKUP($A83,'[93]6月'!$A:$H,8,0),0)</f>
        <v>27</v>
      </c>
      <c r="AE83" s="688">
        <f>IFERROR(VLOOKUP($A83,'[93]7月'!$A:$H,8,0),0)</f>
        <v>0</v>
      </c>
      <c r="AF83" s="688">
        <f>IFERROR(VLOOKUP($A83,'[93]8月'!$A:$H,8,0),0)</f>
        <v>80</v>
      </c>
      <c r="AG83" s="688">
        <f>IFERROR(VLOOKUP($A83,'[93]9月'!$A:$H,8,0),0)</f>
        <v>0</v>
      </c>
      <c r="AH83" s="688">
        <f>IFERROR(VLOOKUP($A83,'[93]10月'!$A:$H,8,0),0)</f>
        <v>0</v>
      </c>
      <c r="AI83" s="688">
        <f>IFERROR(VLOOKUP($A83,'[93]11月'!$A:$H,8,0),0)</f>
        <v>0</v>
      </c>
      <c r="AJ83" s="688">
        <f>IFERROR(VLOOKUP($A83,'[93]12月'!$A:$H,8,0),0)</f>
        <v>40</v>
      </c>
      <c r="AK83" s="688">
        <f t="shared" si="37"/>
        <v>147</v>
      </c>
    </row>
    <row r="84" spans="1:37" ht="11.1" customHeight="1">
      <c r="A84" s="653" t="str">
        <f>'Budget-合并'!A84</f>
        <v>6602.08.04</v>
      </c>
      <c r="B84" s="653" t="str">
        <f>'Budget-合并'!B84</f>
        <v>事务保金</v>
      </c>
      <c r="C84" s="687" t="str">
        <f>'Budget-合并'!C84</f>
        <v>Other Insurance</v>
      </c>
      <c r="D84" s="676">
        <f t="shared" si="31"/>
        <v>0</v>
      </c>
      <c r="E84" s="676" t="e">
        <f>INDEX($Y84:AHV84,1,MATCH($E$6,$Y$6:$AJ$6))</f>
        <v>#N/A</v>
      </c>
      <c r="F84" s="676" t="e">
        <f t="shared" si="32"/>
        <v>#N/A</v>
      </c>
      <c r="G84" s="676">
        <f t="shared" ca="1" si="33"/>
        <v>0</v>
      </c>
      <c r="H84" s="676" t="e">
        <f t="shared" ca="1" si="34"/>
        <v>#N/A</v>
      </c>
      <c r="I84" s="676" t="e">
        <f t="shared" ca="1" si="35"/>
        <v>#N/A</v>
      </c>
      <c r="K84" s="676">
        <f>SUMIFS('Other Exp'!AG$3:AG$196,'Other Exp'!$B$3:$B$196,$D$1,'Other Exp'!$C$3:$C$196,$A84)</f>
        <v>0</v>
      </c>
      <c r="L84" s="676">
        <f>SUMIFS('Other Exp'!AH$3:AH$196,'Other Exp'!$B$3:$B$196,$D$1,'Other Exp'!$C$3:$C$196,$A84)</f>
        <v>0</v>
      </c>
      <c r="M84" s="676">
        <f>SUMIFS('Other Exp'!AI$3:AI$196,'Other Exp'!$B$3:$B$196,$D$1,'Other Exp'!$C$3:$C$196,$A84)</f>
        <v>0</v>
      </c>
      <c r="N84" s="676">
        <f>SUMIFS('Other Exp'!AJ$3:AJ$196,'Other Exp'!$B$3:$B$196,$D$1,'Other Exp'!$C$3:$C$196,$A84)</f>
        <v>0</v>
      </c>
      <c r="O84" s="676">
        <f>SUMIFS('Other Exp'!AK$3:AK$196,'Other Exp'!$B$3:$B$196,$D$1,'Other Exp'!$C$3:$C$196,$A84)</f>
        <v>0</v>
      </c>
      <c r="P84" s="676">
        <f>SUMIFS('Other Exp'!AL$3:AL$196,'Other Exp'!$B$3:$B$196,$D$1,'Other Exp'!$C$3:$C$196,$A84)</f>
        <v>0</v>
      </c>
      <c r="Q84" s="676">
        <f>SUMIFS('Other Exp'!AM$3:AM$196,'Other Exp'!$B$3:$B$196,$D$1,'Other Exp'!$C$3:$C$196,$A84)</f>
        <v>0</v>
      </c>
      <c r="R84" s="676">
        <f>SUMIFS('Other Exp'!AN$3:AN$196,'Other Exp'!$B$3:$B$196,$D$1,'Other Exp'!$C$3:$C$196,$A84)</f>
        <v>0</v>
      </c>
      <c r="S84" s="676">
        <f>SUMIFS('Other Exp'!AO$3:AO$196,'Other Exp'!$B$3:$B$196,$D$1,'Other Exp'!$C$3:$C$196,$A84)</f>
        <v>0</v>
      </c>
      <c r="T84" s="676">
        <f>SUMIFS('Other Exp'!AP$3:AP$196,'Other Exp'!$B$3:$B$196,$D$1,'Other Exp'!$C$3:$C$196,$A84)</f>
        <v>0</v>
      </c>
      <c r="U84" s="676">
        <f>SUMIFS('Other Exp'!AQ$3:AQ$196,'Other Exp'!$B$3:$B$196,$D$1,'Other Exp'!$C$3:$C$196,$A84)</f>
        <v>0</v>
      </c>
      <c r="V84" s="676">
        <f>SUMIFS('Other Exp'!AR$3:AR$196,'Other Exp'!$B$3:$B$196,$D$1,'Other Exp'!$C$3:$C$196,$A84)</f>
        <v>0</v>
      </c>
      <c r="W84" s="676">
        <f t="shared" si="24"/>
        <v>0</v>
      </c>
      <c r="Y84" s="688">
        <f>IFERROR(VLOOKUP(A84,'[93]1月'!$A:$H,8,0),0)</f>
        <v>0</v>
      </c>
      <c r="Z84" s="688">
        <f>IFERROR(VLOOKUP(A84,'[93]2月'!$A:$H,8,0),0)</f>
        <v>0</v>
      </c>
      <c r="AA84" s="688">
        <f>IFERROR(VLOOKUP($A84,'[93]3月'!$A:$H,8,0),0)</f>
        <v>0</v>
      </c>
      <c r="AB84" s="688">
        <f>IFERROR(VLOOKUP($A84,'[93]4月'!$A:$H,8,0),0)</f>
        <v>0</v>
      </c>
      <c r="AC84" s="688">
        <f>IFERROR(VLOOKUP($A84,'[93]5月'!$A:$H,8,0),0)</f>
        <v>0</v>
      </c>
      <c r="AD84" s="688">
        <f>IFERROR(VLOOKUP($A84,'[93]6月'!$A:$H,8,0),0)</f>
        <v>0</v>
      </c>
      <c r="AE84" s="688">
        <f>IFERROR(VLOOKUP($A84,'[93]7月'!$A:$H,8,0),0)</f>
        <v>0</v>
      </c>
      <c r="AF84" s="688">
        <f>IFERROR(VLOOKUP($A84,'[93]8月'!$A:$H,8,0),0)</f>
        <v>0</v>
      </c>
      <c r="AG84" s="688">
        <f>IFERROR(VLOOKUP($A84,'[93]9月'!$A:$H,8,0),0)</f>
        <v>0</v>
      </c>
      <c r="AH84" s="688">
        <f>IFERROR(VLOOKUP($A84,'[93]10月'!$A:$H,8,0),0)</f>
        <v>0</v>
      </c>
      <c r="AI84" s="688">
        <f>IFERROR(VLOOKUP($A84,'[93]11月'!$A:$H,8,0),0)</f>
        <v>0</v>
      </c>
      <c r="AJ84" s="688">
        <f>IFERROR(VLOOKUP($A84,'[93]12月'!$A:$H,8,0),0)</f>
        <v>0</v>
      </c>
      <c r="AK84" s="688">
        <f t="shared" si="37"/>
        <v>0</v>
      </c>
    </row>
    <row r="85" spans="1:37" ht="11.1" customHeight="1">
      <c r="A85" s="653" t="str">
        <f>'Budget-合并'!A85</f>
        <v>6602.08.05</v>
      </c>
      <c r="B85" s="653" t="str">
        <f>'Budget-合并'!B85</f>
        <v>邮费/邮递费</v>
      </c>
      <c r="C85" s="687" t="str">
        <f>'Budget-合并'!C85</f>
        <v>Postage / Freight / Delivery</v>
      </c>
      <c r="D85" s="676">
        <f t="shared" si="31"/>
        <v>0</v>
      </c>
      <c r="E85" s="676" t="e">
        <f>INDEX($Y85:AHV85,1,MATCH($E$6,$Y$6:$AJ$6))</f>
        <v>#N/A</v>
      </c>
      <c r="F85" s="676" t="e">
        <f t="shared" si="32"/>
        <v>#N/A</v>
      </c>
      <c r="G85" s="676">
        <f t="shared" ca="1" si="33"/>
        <v>0</v>
      </c>
      <c r="H85" s="676" t="e">
        <f t="shared" ca="1" si="34"/>
        <v>#N/A</v>
      </c>
      <c r="I85" s="676" t="e">
        <f t="shared" ca="1" si="35"/>
        <v>#N/A</v>
      </c>
      <c r="K85" s="676">
        <f>SUMIFS('Other Exp'!AG$3:AG$196,'Other Exp'!$B$3:$B$196,$D$1,'Other Exp'!$C$3:$C$196,$A85)</f>
        <v>0</v>
      </c>
      <c r="L85" s="676">
        <f>SUMIFS('Other Exp'!AH$3:AH$196,'Other Exp'!$B$3:$B$196,$D$1,'Other Exp'!$C$3:$C$196,$A85)</f>
        <v>0</v>
      </c>
      <c r="M85" s="676">
        <f>SUMIFS('Other Exp'!AI$3:AI$196,'Other Exp'!$B$3:$B$196,$D$1,'Other Exp'!$C$3:$C$196,$A85)</f>
        <v>0</v>
      </c>
      <c r="N85" s="676">
        <f>SUMIFS('Other Exp'!AJ$3:AJ$196,'Other Exp'!$B$3:$B$196,$D$1,'Other Exp'!$C$3:$C$196,$A85)</f>
        <v>0</v>
      </c>
      <c r="O85" s="676">
        <f>SUMIFS('Other Exp'!AK$3:AK$196,'Other Exp'!$B$3:$B$196,$D$1,'Other Exp'!$C$3:$C$196,$A85)</f>
        <v>0</v>
      </c>
      <c r="P85" s="676">
        <f>SUMIFS('Other Exp'!AL$3:AL$196,'Other Exp'!$B$3:$B$196,$D$1,'Other Exp'!$C$3:$C$196,$A85)</f>
        <v>0</v>
      </c>
      <c r="Q85" s="676">
        <f>SUMIFS('Other Exp'!AM$3:AM$196,'Other Exp'!$B$3:$B$196,$D$1,'Other Exp'!$C$3:$C$196,$A85)</f>
        <v>0</v>
      </c>
      <c r="R85" s="676">
        <f>SUMIFS('Other Exp'!AN$3:AN$196,'Other Exp'!$B$3:$B$196,$D$1,'Other Exp'!$C$3:$C$196,$A85)</f>
        <v>0</v>
      </c>
      <c r="S85" s="676">
        <f>SUMIFS('Other Exp'!AO$3:AO$196,'Other Exp'!$B$3:$B$196,$D$1,'Other Exp'!$C$3:$C$196,$A85)</f>
        <v>0</v>
      </c>
      <c r="T85" s="676">
        <f>SUMIFS('Other Exp'!AP$3:AP$196,'Other Exp'!$B$3:$B$196,$D$1,'Other Exp'!$C$3:$C$196,$A85)</f>
        <v>0</v>
      </c>
      <c r="U85" s="676">
        <f>SUMIFS('Other Exp'!AQ$3:AQ$196,'Other Exp'!$B$3:$B$196,$D$1,'Other Exp'!$C$3:$C$196,$A85)</f>
        <v>0</v>
      </c>
      <c r="V85" s="676">
        <f>SUMIFS('Other Exp'!AR$3:AR$196,'Other Exp'!$B$3:$B$196,$D$1,'Other Exp'!$C$3:$C$196,$A85)</f>
        <v>0</v>
      </c>
      <c r="W85" s="676">
        <f t="shared" si="24"/>
        <v>0</v>
      </c>
      <c r="Y85" s="688">
        <f>IFERROR(VLOOKUP(A85,'[93]1月'!$A:$H,8,0),0)</f>
        <v>16.98</v>
      </c>
      <c r="Z85" s="688">
        <f>IFERROR(VLOOKUP(A85,'[93]2月'!$A:$H,8,0),0)</f>
        <v>0</v>
      </c>
      <c r="AA85" s="688">
        <f>IFERROR(VLOOKUP($A85,'[93]3月'!$A:$H,8,0),0)</f>
        <v>0</v>
      </c>
      <c r="AB85" s="688">
        <f>IFERROR(VLOOKUP($A85,'[93]4月'!$A:$H,8,0),0)</f>
        <v>0</v>
      </c>
      <c r="AC85" s="688">
        <f>IFERROR(VLOOKUP($A85,'[93]5月'!$A:$H,8,0),0)</f>
        <v>65.25</v>
      </c>
      <c r="AD85" s="688">
        <f>IFERROR(VLOOKUP($A85,'[93]6月'!$A:$H,8,0),0)</f>
        <v>0</v>
      </c>
      <c r="AE85" s="688">
        <f>IFERROR(VLOOKUP($A85,'[93]7月'!$A:$H,8,0),0)</f>
        <v>0</v>
      </c>
      <c r="AF85" s="688">
        <f>IFERROR(VLOOKUP($A85,'[93]8月'!$A:$H,8,0),0)</f>
        <v>46.96</v>
      </c>
      <c r="AG85" s="688">
        <f>IFERROR(VLOOKUP($A85,'[93]9月'!$A:$H,8,0),0)</f>
        <v>43</v>
      </c>
      <c r="AH85" s="688">
        <f>IFERROR(VLOOKUP($A85,'[93]10月'!$A:$H,8,0),0)</f>
        <v>0</v>
      </c>
      <c r="AI85" s="688">
        <f>IFERROR(VLOOKUP($A85,'[93]11月'!$A:$H,8,0),0)</f>
        <v>0</v>
      </c>
      <c r="AJ85" s="688">
        <f>IFERROR(VLOOKUP($A85,'[93]12月'!$A:$H,8,0),0)</f>
        <v>58.5</v>
      </c>
      <c r="AK85" s="688">
        <f t="shared" si="37"/>
        <v>230.69</v>
      </c>
    </row>
    <row r="86" spans="1:37" ht="11.1" customHeight="1">
      <c r="A86" s="653" t="str">
        <f>'Budget-合并'!A86</f>
        <v>6602.08.06</v>
      </c>
      <c r="B86" s="653" t="str">
        <f>'Budget-合并'!B86</f>
        <v>IT专业人士及微软服务</v>
      </c>
      <c r="C86" s="687" t="str">
        <f>'Budget-合并'!C86</f>
        <v xml:space="preserve">IT Professional &amp; MS Services </v>
      </c>
      <c r="D86" s="676">
        <f t="shared" si="31"/>
        <v>0</v>
      </c>
      <c r="E86" s="676" t="e">
        <f>INDEX($Y86:AHV86,1,MATCH($E$6,$Y$6:$AJ$6))</f>
        <v>#N/A</v>
      </c>
      <c r="F86" s="676" t="e">
        <f t="shared" si="32"/>
        <v>#N/A</v>
      </c>
      <c r="G86" s="676">
        <f t="shared" ca="1" si="33"/>
        <v>0</v>
      </c>
      <c r="H86" s="676" t="e">
        <f t="shared" ca="1" si="34"/>
        <v>#N/A</v>
      </c>
      <c r="I86" s="676" t="e">
        <f t="shared" ca="1" si="35"/>
        <v>#N/A</v>
      </c>
      <c r="K86" s="676">
        <f>SUMIFS('Prof. Fee'!AF$3:AF$150,'Prof. Fee'!$B$3:$B$150,$D$1,'Prof. Fee'!$D$3:$D$150,$A86)</f>
        <v>0</v>
      </c>
      <c r="L86" s="676">
        <f>SUMIFS('Prof. Fee'!AG$3:AG$150,'Prof. Fee'!$B$3:$B$150,$D$1,'Prof. Fee'!$D$3:$D$150,$A86)</f>
        <v>0</v>
      </c>
      <c r="M86" s="676">
        <f>SUMIFS('Prof. Fee'!AH$3:AH$150,'Prof. Fee'!$B$3:$B$150,$D$1,'Prof. Fee'!$D$3:$D$150,$A86)</f>
        <v>0</v>
      </c>
      <c r="N86" s="676">
        <f>SUMIFS('Prof. Fee'!AI$3:AI$150,'Prof. Fee'!$B$3:$B$150,$D$1,'Prof. Fee'!$D$3:$D$150,$A86)</f>
        <v>0</v>
      </c>
      <c r="O86" s="676">
        <f>SUMIFS('Prof. Fee'!AJ$3:AJ$150,'Prof. Fee'!$B$3:$B$150,$D$1,'Prof. Fee'!$D$3:$D$150,$A86)</f>
        <v>0</v>
      </c>
      <c r="P86" s="676">
        <f>SUMIFS('Prof. Fee'!AK$3:AK$150,'Prof. Fee'!$B$3:$B$150,$D$1,'Prof. Fee'!$D$3:$D$150,$A86)</f>
        <v>0</v>
      </c>
      <c r="Q86" s="676">
        <f>SUMIFS('Prof. Fee'!AL$3:AL$150,'Prof. Fee'!$B$3:$B$150,$D$1,'Prof. Fee'!$D$3:$D$150,$A86)</f>
        <v>0</v>
      </c>
      <c r="R86" s="676">
        <f>SUMIFS('Prof. Fee'!AM$3:AM$150,'Prof. Fee'!$B$3:$B$150,$D$1,'Prof. Fee'!$D$3:$D$150,$A86)</f>
        <v>0</v>
      </c>
      <c r="S86" s="676">
        <f>SUMIFS('Prof. Fee'!AN$3:AN$150,'Prof. Fee'!$B$3:$B$150,$D$1,'Prof. Fee'!$D$3:$D$150,$A86)</f>
        <v>0</v>
      </c>
      <c r="T86" s="676">
        <f>SUMIFS('Prof. Fee'!AO$3:AO$150,'Prof. Fee'!$B$3:$B$150,$D$1,'Prof. Fee'!$D$3:$D$150,$A86)</f>
        <v>0</v>
      </c>
      <c r="U86" s="676">
        <f>SUMIFS('Prof. Fee'!AP$3:AP$150,'Prof. Fee'!$B$3:$B$150,$D$1,'Prof. Fee'!$D$3:$D$150,$A86)</f>
        <v>0</v>
      </c>
      <c r="V86" s="676">
        <f>SUMIFS('Prof. Fee'!AQ$3:AQ$150,'Prof. Fee'!$B$3:$B$150,$D$1,'Prof. Fee'!$D$3:$D$150,$A86)</f>
        <v>0</v>
      </c>
      <c r="W86" s="676">
        <f t="shared" si="24"/>
        <v>0</v>
      </c>
      <c r="Y86" s="688">
        <f>IFERROR(VLOOKUP(A86,'[93]1月'!$A:$H,8,0),0)</f>
        <v>0</v>
      </c>
      <c r="Z86" s="688">
        <f>IFERROR(VLOOKUP(A86,'[93]2月'!$A:$H,8,0),0)</f>
        <v>0</v>
      </c>
      <c r="AA86" s="688">
        <f>IFERROR(VLOOKUP($A86,'[93]3月'!$A:$H,8,0),0)</f>
        <v>0</v>
      </c>
      <c r="AB86" s="688">
        <f>IFERROR(VLOOKUP($A86,'[93]4月'!$A:$H,8,0),0)</f>
        <v>0</v>
      </c>
      <c r="AC86" s="688">
        <f>IFERROR(VLOOKUP($A86,'[93]5月'!$A:$H,8,0),0)</f>
        <v>0</v>
      </c>
      <c r="AD86" s="688">
        <f>IFERROR(VLOOKUP($A86,'[93]6月'!$A:$H,8,0),0)</f>
        <v>0</v>
      </c>
      <c r="AE86" s="688">
        <f>IFERROR(VLOOKUP($A86,'[93]7月'!$A:$H,8,0),0)</f>
        <v>0</v>
      </c>
      <c r="AF86" s="688">
        <f>IFERROR(VLOOKUP($A86,'[93]8月'!$A:$H,8,0),0)</f>
        <v>0</v>
      </c>
      <c r="AG86" s="688">
        <f>IFERROR(VLOOKUP($A86,'[93]9月'!$A:$H,8,0),0)</f>
        <v>0</v>
      </c>
      <c r="AH86" s="688">
        <f>IFERROR(VLOOKUP($A86,'[93]10月'!$A:$H,8,0),0)</f>
        <v>0</v>
      </c>
      <c r="AI86" s="688">
        <f>IFERROR(VLOOKUP($A86,'[93]11月'!$A:$H,8,0),0)</f>
        <v>0</v>
      </c>
      <c r="AJ86" s="688">
        <f>IFERROR(VLOOKUP($A86,'[93]12月'!$A:$H,8,0),0)</f>
        <v>0</v>
      </c>
      <c r="AK86" s="688">
        <f t="shared" si="37"/>
        <v>0</v>
      </c>
    </row>
    <row r="87" spans="1:37" ht="11.1" customHeight="1">
      <c r="A87" s="653" t="str">
        <f>'Budget-合并'!A87</f>
        <v>6602.08.07</v>
      </c>
      <c r="B87" s="653" t="str">
        <f>'Budget-合并'!B87</f>
        <v>软件许可证费用</v>
      </c>
      <c r="C87" s="687" t="str">
        <f>'Budget-合并'!C87</f>
        <v xml:space="preserve">Software Licence Fee Exp </v>
      </c>
      <c r="D87" s="676">
        <f t="shared" si="31"/>
        <v>0</v>
      </c>
      <c r="E87" s="676" t="e">
        <f>INDEX($Y87:AHV87,1,MATCH($E$6,$Y$6:$AJ$6))</f>
        <v>#N/A</v>
      </c>
      <c r="F87" s="676" t="e">
        <f t="shared" si="32"/>
        <v>#N/A</v>
      </c>
      <c r="G87" s="676">
        <f t="shared" ca="1" si="33"/>
        <v>0</v>
      </c>
      <c r="H87" s="676" t="e">
        <f t="shared" ca="1" si="34"/>
        <v>#N/A</v>
      </c>
      <c r="I87" s="676" t="e">
        <f t="shared" ca="1" si="35"/>
        <v>#N/A</v>
      </c>
      <c r="K87" s="676">
        <f>SUMIFS('Prof. Fee'!AF$3:AF$150,'Prof. Fee'!$B$3:$B$150,$D$1,'Prof. Fee'!$D$3:$D$150,$A87)</f>
        <v>0</v>
      </c>
      <c r="L87" s="676">
        <f>SUMIFS('Prof. Fee'!AG$3:AG$150,'Prof. Fee'!$B$3:$B$150,$D$1,'Prof. Fee'!$D$3:$D$150,$A87)</f>
        <v>0</v>
      </c>
      <c r="M87" s="676">
        <f>SUMIFS('Prof. Fee'!AH$3:AH$150,'Prof. Fee'!$B$3:$B$150,$D$1,'Prof. Fee'!$D$3:$D$150,$A87)</f>
        <v>0</v>
      </c>
      <c r="N87" s="676">
        <f>SUMIFS('Prof. Fee'!AI$3:AI$150,'Prof. Fee'!$B$3:$B$150,$D$1,'Prof. Fee'!$D$3:$D$150,$A87)</f>
        <v>0</v>
      </c>
      <c r="O87" s="676">
        <f>SUMIFS('Prof. Fee'!AJ$3:AJ$150,'Prof. Fee'!$B$3:$B$150,$D$1,'Prof. Fee'!$D$3:$D$150,$A87)</f>
        <v>0</v>
      </c>
      <c r="P87" s="676">
        <f>SUMIFS('Prof. Fee'!AK$3:AK$150,'Prof. Fee'!$B$3:$B$150,$D$1,'Prof. Fee'!$D$3:$D$150,$A87)</f>
        <v>0</v>
      </c>
      <c r="Q87" s="676">
        <f>SUMIFS('Prof. Fee'!AL$3:AL$150,'Prof. Fee'!$B$3:$B$150,$D$1,'Prof. Fee'!$D$3:$D$150,$A87)</f>
        <v>0</v>
      </c>
      <c r="R87" s="676">
        <f>SUMIFS('Prof. Fee'!AM$3:AM$150,'Prof. Fee'!$B$3:$B$150,$D$1,'Prof. Fee'!$D$3:$D$150,$A87)</f>
        <v>0</v>
      </c>
      <c r="S87" s="676">
        <f>SUMIFS('Prof. Fee'!AN$3:AN$150,'Prof. Fee'!$B$3:$B$150,$D$1,'Prof. Fee'!$D$3:$D$150,$A87)</f>
        <v>0</v>
      </c>
      <c r="T87" s="676">
        <f>SUMIFS('Prof. Fee'!AO$3:AO$150,'Prof. Fee'!$B$3:$B$150,$D$1,'Prof. Fee'!$D$3:$D$150,$A87)</f>
        <v>0</v>
      </c>
      <c r="U87" s="676">
        <f>SUMIFS('Prof. Fee'!AP$3:AP$150,'Prof. Fee'!$B$3:$B$150,$D$1,'Prof. Fee'!$D$3:$D$150,$A87)</f>
        <v>0</v>
      </c>
      <c r="V87" s="676">
        <f>SUMIFS('Prof. Fee'!AQ$3:AQ$150,'Prof. Fee'!$B$3:$B$150,$D$1,'Prof. Fee'!$D$3:$D$150,$A87)</f>
        <v>0</v>
      </c>
      <c r="W87" s="676">
        <f t="shared" ref="W87:W150" si="43">SUM(K87:V87)</f>
        <v>0</v>
      </c>
      <c r="Y87" s="688">
        <f>IFERROR(VLOOKUP(A87,'[93]1月'!$A:$H,8,0),0)</f>
        <v>0</v>
      </c>
      <c r="Z87" s="688">
        <f>IFERROR(VLOOKUP(A87,'[93]2月'!$A:$H,8,0),0)</f>
        <v>0</v>
      </c>
      <c r="AA87" s="688">
        <f>IFERROR(VLOOKUP($A87,'[93]3月'!$A:$H,8,0),0)</f>
        <v>0</v>
      </c>
      <c r="AB87" s="688">
        <f>IFERROR(VLOOKUP($A87,'[93]4月'!$A:$H,8,0),0)</f>
        <v>0</v>
      </c>
      <c r="AC87" s="688">
        <f>IFERROR(VLOOKUP($A87,'[93]5月'!$A:$H,8,0),0)</f>
        <v>0</v>
      </c>
      <c r="AD87" s="688">
        <f>IFERROR(VLOOKUP($A87,'[93]6月'!$A:$H,8,0),0)</f>
        <v>0</v>
      </c>
      <c r="AE87" s="688">
        <f>IFERROR(VLOOKUP($A87,'[93]7月'!$A:$H,8,0),0)</f>
        <v>0</v>
      </c>
      <c r="AF87" s="688">
        <f>IFERROR(VLOOKUP($A87,'[93]8月'!$A:$H,8,0),0)</f>
        <v>0</v>
      </c>
      <c r="AG87" s="688">
        <f>IFERROR(VLOOKUP($A87,'[93]9月'!$A:$H,8,0),0)</f>
        <v>0</v>
      </c>
      <c r="AH87" s="688">
        <f>IFERROR(VLOOKUP($A87,'[93]10月'!$A:$H,8,0),0)</f>
        <v>0</v>
      </c>
      <c r="AI87" s="688">
        <f>IFERROR(VLOOKUP($A87,'[93]11月'!$A:$H,8,0),0)</f>
        <v>0</v>
      </c>
      <c r="AJ87" s="688">
        <f>IFERROR(VLOOKUP($A87,'[93]12月'!$A:$H,8,0),0)</f>
        <v>0</v>
      </c>
      <c r="AK87" s="688">
        <f t="shared" si="37"/>
        <v>0</v>
      </c>
    </row>
    <row r="88" spans="1:37" ht="11.1" customHeight="1">
      <c r="A88" s="653" t="str">
        <f>'Budget-合并'!A88</f>
        <v>6602.08.08</v>
      </c>
      <c r="B88" s="653" t="str">
        <f>'Budget-合并'!B88</f>
        <v>软件使用费</v>
      </c>
      <c r="C88" s="687">
        <f>'Budget-合并'!C88</f>
        <v>0</v>
      </c>
      <c r="D88" s="676">
        <f t="shared" si="31"/>
        <v>0</v>
      </c>
      <c r="E88" s="676" t="e">
        <f>INDEX($Y88:AHV88,1,MATCH($E$6,$Y$6:$AJ$6))</f>
        <v>#N/A</v>
      </c>
      <c r="F88" s="676" t="e">
        <f t="shared" si="32"/>
        <v>#N/A</v>
      </c>
      <c r="G88" s="676">
        <f t="shared" ca="1" si="33"/>
        <v>0</v>
      </c>
      <c r="H88" s="676" t="e">
        <f t="shared" ca="1" si="34"/>
        <v>#N/A</v>
      </c>
      <c r="I88" s="676" t="e">
        <f t="shared" ca="1" si="35"/>
        <v>#N/A</v>
      </c>
      <c r="K88" s="676">
        <f>SUMIFS('Other Exp'!AG$3:AG$196,'Other Exp'!$B$3:$B$196,$D$1,'Other Exp'!$C$3:$C$196,$A88)</f>
        <v>0</v>
      </c>
      <c r="L88" s="676">
        <f>SUMIFS('Other Exp'!AH$3:AH$196,'Other Exp'!$B$3:$B$196,$D$1,'Other Exp'!$C$3:$C$196,$A88)</f>
        <v>0</v>
      </c>
      <c r="M88" s="676">
        <f>SUMIFS('Other Exp'!AI$3:AI$196,'Other Exp'!$B$3:$B$196,$D$1,'Other Exp'!$C$3:$C$196,$A88)</f>
        <v>0</v>
      </c>
      <c r="N88" s="676">
        <f>SUMIFS('Other Exp'!AJ$3:AJ$196,'Other Exp'!$B$3:$B$196,$D$1,'Other Exp'!$C$3:$C$196,$A88)</f>
        <v>0</v>
      </c>
      <c r="O88" s="676">
        <f>SUMIFS('Other Exp'!AK$3:AK$196,'Other Exp'!$B$3:$B$196,$D$1,'Other Exp'!$C$3:$C$196,$A88)</f>
        <v>0</v>
      </c>
      <c r="P88" s="676">
        <f>SUMIFS('Other Exp'!AL$3:AL$196,'Other Exp'!$B$3:$B$196,$D$1,'Other Exp'!$C$3:$C$196,$A88)</f>
        <v>0</v>
      </c>
      <c r="Q88" s="676">
        <f>SUMIFS('Other Exp'!AM$3:AM$196,'Other Exp'!$B$3:$B$196,$D$1,'Other Exp'!$C$3:$C$196,$A88)</f>
        <v>0</v>
      </c>
      <c r="R88" s="676">
        <f>SUMIFS('Other Exp'!AN$3:AN$196,'Other Exp'!$B$3:$B$196,$D$1,'Other Exp'!$C$3:$C$196,$A88)</f>
        <v>0</v>
      </c>
      <c r="S88" s="676">
        <f>SUMIFS('Other Exp'!AO$3:AO$196,'Other Exp'!$B$3:$B$196,$D$1,'Other Exp'!$C$3:$C$196,$A88)</f>
        <v>0</v>
      </c>
      <c r="T88" s="676">
        <f>SUMIFS('Other Exp'!AP$3:AP$196,'Other Exp'!$B$3:$B$196,$D$1,'Other Exp'!$C$3:$C$196,$A88)</f>
        <v>0</v>
      </c>
      <c r="U88" s="676">
        <f>SUMIFS('Other Exp'!AQ$3:AQ$196,'Other Exp'!$B$3:$B$196,$D$1,'Other Exp'!$C$3:$C$196,$A88)</f>
        <v>0</v>
      </c>
      <c r="V88" s="676">
        <f>SUMIFS('Other Exp'!AR$3:AR$196,'Other Exp'!$B$3:$B$196,$D$1,'Other Exp'!$C$3:$C$196,$A88)</f>
        <v>0</v>
      </c>
      <c r="W88" s="676">
        <f t="shared" si="43"/>
        <v>0</v>
      </c>
      <c r="Y88" s="688">
        <f>IFERROR(VLOOKUP(A88,'[93]1月'!$A:$H,8,0),0)</f>
        <v>0</v>
      </c>
      <c r="Z88" s="688">
        <f>IFERROR(VLOOKUP(A88,'[93]2月'!$A:$H,8,0),0)</f>
        <v>0</v>
      </c>
      <c r="AA88" s="688">
        <f>IFERROR(VLOOKUP($A88,'[93]3月'!$A:$H,8,0),0)</f>
        <v>0</v>
      </c>
      <c r="AB88" s="688">
        <f>IFERROR(VLOOKUP($A88,'[93]4月'!$A:$H,8,0),0)</f>
        <v>0</v>
      </c>
      <c r="AC88" s="688">
        <f>IFERROR(VLOOKUP($A88,'[93]5月'!$A:$H,8,0),0)</f>
        <v>0</v>
      </c>
      <c r="AD88" s="688">
        <f>IFERROR(VLOOKUP($A88,'[93]6月'!$A:$H,8,0),0)</f>
        <v>0</v>
      </c>
      <c r="AE88" s="688">
        <f>IFERROR(VLOOKUP($A88,'[93]7月'!$A:$H,8,0),0)</f>
        <v>0</v>
      </c>
      <c r="AF88" s="688">
        <f>IFERROR(VLOOKUP($A88,'[93]8月'!$A:$H,8,0),0)</f>
        <v>0</v>
      </c>
      <c r="AG88" s="688">
        <f>IFERROR(VLOOKUP($A88,'[93]9月'!$A:$H,8,0),0)</f>
        <v>0</v>
      </c>
      <c r="AH88" s="688">
        <f>IFERROR(VLOOKUP($A88,'[93]10月'!$A:$H,8,0),0)</f>
        <v>0</v>
      </c>
      <c r="AI88" s="688">
        <f>IFERROR(VLOOKUP($A88,'[93]11月'!$A:$H,8,0),0)</f>
        <v>0</v>
      </c>
      <c r="AJ88" s="688">
        <f>IFERROR(VLOOKUP($A88,'[93]12月'!$A:$H,8,0),0)</f>
        <v>0</v>
      </c>
      <c r="AK88" s="688">
        <f t="shared" si="37"/>
        <v>0</v>
      </c>
    </row>
    <row r="89" spans="1:37" ht="11.1" customHeight="1">
      <c r="A89" s="653" t="str">
        <f>'Budget-合并'!A89</f>
        <v>6602.08.09</v>
      </c>
      <c r="B89" s="653" t="str">
        <f>'Budget-合并'!B89</f>
        <v>清洁服务</v>
      </c>
      <c r="C89" s="687">
        <f>'Budget-合并'!C89</f>
        <v>0</v>
      </c>
      <c r="D89" s="676">
        <f t="shared" si="31"/>
        <v>0</v>
      </c>
      <c r="E89" s="676" t="e">
        <f>INDEX($Y89:AHV89,1,MATCH($E$6,$Y$6:$AJ$6))</f>
        <v>#N/A</v>
      </c>
      <c r="F89" s="676" t="e">
        <f t="shared" si="32"/>
        <v>#N/A</v>
      </c>
      <c r="G89" s="676">
        <f t="shared" ca="1" si="33"/>
        <v>0</v>
      </c>
      <c r="H89" s="676" t="e">
        <f t="shared" ca="1" si="34"/>
        <v>#N/A</v>
      </c>
      <c r="I89" s="676" t="e">
        <f t="shared" ca="1" si="35"/>
        <v>#N/A</v>
      </c>
      <c r="K89" s="676">
        <f>SUMIFS('Other Exp'!AG$3:AG$196,'Other Exp'!$B$3:$B$196,$D$1,'Other Exp'!$C$3:$C$196,$A89)</f>
        <v>0</v>
      </c>
      <c r="L89" s="676">
        <f>SUMIFS('Other Exp'!AH$3:AH$196,'Other Exp'!$B$3:$B$196,$D$1,'Other Exp'!$C$3:$C$196,$A89)</f>
        <v>0</v>
      </c>
      <c r="M89" s="676">
        <f>SUMIFS('Other Exp'!AI$3:AI$196,'Other Exp'!$B$3:$B$196,$D$1,'Other Exp'!$C$3:$C$196,$A89)</f>
        <v>0</v>
      </c>
      <c r="N89" s="676">
        <f>SUMIFS('Other Exp'!AJ$3:AJ$196,'Other Exp'!$B$3:$B$196,$D$1,'Other Exp'!$C$3:$C$196,$A89)</f>
        <v>0</v>
      </c>
      <c r="O89" s="676">
        <f>SUMIFS('Other Exp'!AK$3:AK$196,'Other Exp'!$B$3:$B$196,$D$1,'Other Exp'!$C$3:$C$196,$A89)</f>
        <v>0</v>
      </c>
      <c r="P89" s="676">
        <f>SUMIFS('Other Exp'!AL$3:AL$196,'Other Exp'!$B$3:$B$196,$D$1,'Other Exp'!$C$3:$C$196,$A89)</f>
        <v>0</v>
      </c>
      <c r="Q89" s="676">
        <f>SUMIFS('Other Exp'!AM$3:AM$196,'Other Exp'!$B$3:$B$196,$D$1,'Other Exp'!$C$3:$C$196,$A89)</f>
        <v>0</v>
      </c>
      <c r="R89" s="676">
        <f>SUMIFS('Other Exp'!AN$3:AN$196,'Other Exp'!$B$3:$B$196,$D$1,'Other Exp'!$C$3:$C$196,$A89)</f>
        <v>0</v>
      </c>
      <c r="S89" s="676">
        <f>SUMIFS('Other Exp'!AO$3:AO$196,'Other Exp'!$B$3:$B$196,$D$1,'Other Exp'!$C$3:$C$196,$A89)</f>
        <v>0</v>
      </c>
      <c r="T89" s="676">
        <f>SUMIFS('Other Exp'!AP$3:AP$196,'Other Exp'!$B$3:$B$196,$D$1,'Other Exp'!$C$3:$C$196,$A89)</f>
        <v>0</v>
      </c>
      <c r="U89" s="676">
        <f>SUMIFS('Other Exp'!AQ$3:AQ$196,'Other Exp'!$B$3:$B$196,$D$1,'Other Exp'!$C$3:$C$196,$A89)</f>
        <v>0</v>
      </c>
      <c r="V89" s="676">
        <f>SUMIFS('Other Exp'!AR$3:AR$196,'Other Exp'!$B$3:$B$196,$D$1,'Other Exp'!$C$3:$C$196,$A89)</f>
        <v>0</v>
      </c>
      <c r="W89" s="676">
        <f t="shared" si="43"/>
        <v>0</v>
      </c>
      <c r="Y89" s="688">
        <f>IFERROR(VLOOKUP(A89,'[93]1月'!$A:$H,8,0),0)</f>
        <v>0</v>
      </c>
      <c r="Z89" s="688">
        <f>IFERROR(VLOOKUP(A89,'[93]2月'!$A:$H,8,0),0)</f>
        <v>0</v>
      </c>
      <c r="AA89" s="688">
        <f>IFERROR(VLOOKUP($A89,'[93]3月'!$A:$H,8,0),0)</f>
        <v>0</v>
      </c>
      <c r="AB89" s="688">
        <f>IFERROR(VLOOKUP($A89,'[93]4月'!$A:$H,8,0),0)</f>
        <v>0</v>
      </c>
      <c r="AC89" s="688">
        <f>IFERROR(VLOOKUP($A89,'[93]5月'!$A:$H,8,0),0)</f>
        <v>0</v>
      </c>
      <c r="AD89" s="688">
        <f>IFERROR(VLOOKUP($A89,'[93]6月'!$A:$H,8,0),0)</f>
        <v>0</v>
      </c>
      <c r="AE89" s="688">
        <f>IFERROR(VLOOKUP($A89,'[93]7月'!$A:$H,8,0),0)</f>
        <v>0</v>
      </c>
      <c r="AF89" s="688">
        <f>IFERROR(VLOOKUP($A89,'[93]8月'!$A:$H,8,0),0)</f>
        <v>0</v>
      </c>
      <c r="AG89" s="688">
        <f>IFERROR(VLOOKUP($A89,'[93]9月'!$A:$H,8,0),0)</f>
        <v>0</v>
      </c>
      <c r="AH89" s="688">
        <f>IFERROR(VLOOKUP($A89,'[93]10月'!$A:$H,8,0),0)</f>
        <v>0</v>
      </c>
      <c r="AI89" s="688">
        <f>IFERROR(VLOOKUP($A89,'[93]11月'!$A:$H,8,0),0)</f>
        <v>0</v>
      </c>
      <c r="AJ89" s="688">
        <f>IFERROR(VLOOKUP($A89,'[93]12月'!$A:$H,8,0),0)</f>
        <v>0</v>
      </c>
      <c r="AK89" s="688">
        <f t="shared" si="37"/>
        <v>0</v>
      </c>
    </row>
    <row r="90" spans="1:37" ht="11.1" customHeight="1">
      <c r="A90" s="653" t="str">
        <f>'Budget-合并'!A90</f>
        <v>6602.08.10</v>
      </c>
      <c r="B90" s="653" t="str">
        <f>'Budget-合并'!B90</f>
        <v>电话国际直拨/电话会议收费</v>
      </c>
      <c r="C90" s="687" t="str">
        <f>'Budget-合并'!C90</f>
        <v>Telephone IDD/Teleconf Charge</v>
      </c>
      <c r="D90" s="676">
        <f t="shared" si="31"/>
        <v>0</v>
      </c>
      <c r="E90" s="676" t="e">
        <f>INDEX($Y90:AHV90,1,MATCH($E$6,$Y$6:$AJ$6))</f>
        <v>#N/A</v>
      </c>
      <c r="F90" s="676" t="e">
        <f t="shared" si="32"/>
        <v>#N/A</v>
      </c>
      <c r="G90" s="676">
        <f t="shared" ca="1" si="33"/>
        <v>0</v>
      </c>
      <c r="H90" s="676" t="e">
        <f t="shared" ca="1" si="34"/>
        <v>#N/A</v>
      </c>
      <c r="I90" s="676" t="e">
        <f t="shared" ca="1" si="35"/>
        <v>#N/A</v>
      </c>
      <c r="K90" s="676">
        <f>SUMIFS(SPACE!O$3:O$106,SPACE!$A$3:$A$106,$D$1,SPACE!$C$3:$C$106,$A90)</f>
        <v>0</v>
      </c>
      <c r="L90" s="676">
        <f>SUMIFS(SPACE!P$3:P$106,SPACE!$A$3:$A$106,$D$1,SPACE!$C$3:$C$106,$A90)</f>
        <v>0</v>
      </c>
      <c r="M90" s="676">
        <f>SUMIFS(SPACE!Q$3:Q$106,SPACE!$A$3:$A$106,$D$1,SPACE!$C$3:$C$106,$A90)</f>
        <v>0</v>
      </c>
      <c r="N90" s="676">
        <f>SUMIFS(SPACE!R$3:R$106,SPACE!$A$3:$A$106,$D$1,SPACE!$C$3:$C$106,$A90)</f>
        <v>0</v>
      </c>
      <c r="O90" s="676">
        <f>SUMIFS(SPACE!S$3:S$106,SPACE!$A$3:$A$106,$D$1,SPACE!$C$3:$C$106,$A90)</f>
        <v>0</v>
      </c>
      <c r="P90" s="676">
        <f>SUMIFS(SPACE!T$3:T$106,SPACE!$A$3:$A$106,$D$1,SPACE!$C$3:$C$106,$A90)</f>
        <v>0</v>
      </c>
      <c r="Q90" s="676">
        <f>SUMIFS(SPACE!U$3:U$106,SPACE!$A$3:$A$106,$D$1,SPACE!$C$3:$C$106,$A90)</f>
        <v>0</v>
      </c>
      <c r="R90" s="676">
        <f>SUMIFS(SPACE!V$3:V$106,SPACE!$A$3:$A$106,$D$1,SPACE!$C$3:$C$106,$A90)</f>
        <v>0</v>
      </c>
      <c r="S90" s="676">
        <f>SUMIFS(SPACE!W$3:W$106,SPACE!$A$3:$A$106,$D$1,SPACE!$C$3:$C$106,$A90)</f>
        <v>0</v>
      </c>
      <c r="T90" s="676">
        <f>SUMIFS(SPACE!X$3:X$106,SPACE!$A$3:$A$106,$D$1,SPACE!$C$3:$C$106,$A90)</f>
        <v>0</v>
      </c>
      <c r="U90" s="676">
        <f>SUMIFS(SPACE!Y$3:Y$106,SPACE!$A$3:$A$106,$D$1,SPACE!$C$3:$C$106,$A90)</f>
        <v>0</v>
      </c>
      <c r="V90" s="676">
        <f>SUMIFS(SPACE!Z$3:Z$106,SPACE!$A$3:$A$106,$D$1,SPACE!$C$3:$C$106,$A90)</f>
        <v>0</v>
      </c>
      <c r="W90" s="676">
        <f t="shared" si="43"/>
        <v>0</v>
      </c>
      <c r="Y90" s="688">
        <f>IFERROR(VLOOKUP(A90,'[93]1月'!$A:$H,8,0),0)</f>
        <v>0</v>
      </c>
      <c r="Z90" s="688">
        <f>IFERROR(VLOOKUP(A90,'[93]2月'!$A:$H,8,0),0)</f>
        <v>0</v>
      </c>
      <c r="AA90" s="688">
        <f>IFERROR(VLOOKUP($A90,'[93]3月'!$A:$H,8,0),0)</f>
        <v>0</v>
      </c>
      <c r="AB90" s="688">
        <f>IFERROR(VLOOKUP($A90,'[93]4月'!$A:$H,8,0),0)</f>
        <v>0</v>
      </c>
      <c r="AC90" s="688">
        <f>IFERROR(VLOOKUP($A90,'[93]5月'!$A:$H,8,0),0)</f>
        <v>0</v>
      </c>
      <c r="AD90" s="688">
        <f>IFERROR(VLOOKUP($A90,'[93]6月'!$A:$H,8,0),0)</f>
        <v>0</v>
      </c>
      <c r="AE90" s="688">
        <f>IFERROR(VLOOKUP($A90,'[93]7月'!$A:$H,8,0),0)</f>
        <v>0</v>
      </c>
      <c r="AF90" s="688">
        <f>IFERROR(VLOOKUP($A90,'[93]8月'!$A:$H,8,0),0)</f>
        <v>0</v>
      </c>
      <c r="AG90" s="688">
        <f>IFERROR(VLOOKUP($A90,'[93]9月'!$A:$H,8,0),0)</f>
        <v>0</v>
      </c>
      <c r="AH90" s="688">
        <f>IFERROR(VLOOKUP($A90,'[93]10月'!$A:$H,8,0),0)</f>
        <v>0</v>
      </c>
      <c r="AI90" s="688">
        <f>IFERROR(VLOOKUP($A90,'[93]11月'!$A:$H,8,0),0)</f>
        <v>0</v>
      </c>
      <c r="AJ90" s="688">
        <f>IFERROR(VLOOKUP($A90,'[93]12月'!$A:$H,8,0),0)</f>
        <v>0</v>
      </c>
      <c r="AK90" s="688">
        <f t="shared" si="37"/>
        <v>0</v>
      </c>
    </row>
    <row r="91" spans="1:37" ht="11.1" customHeight="1">
      <c r="A91" s="653" t="str">
        <f>'Budget-合并'!A91</f>
        <v>6602.08.99</v>
      </c>
      <c r="B91" s="653" t="str">
        <f>'Budget-合并'!B91</f>
        <v>其他</v>
      </c>
      <c r="C91" s="687">
        <f>'Budget-合并'!C91</f>
        <v>0</v>
      </c>
      <c r="D91" s="676">
        <f t="shared" si="31"/>
        <v>0</v>
      </c>
      <c r="E91" s="676" t="e">
        <f>INDEX($Y91:AHV91,1,MATCH($E$6,$Y$6:$AJ$6))</f>
        <v>#N/A</v>
      </c>
      <c r="F91" s="676" t="e">
        <f t="shared" si="32"/>
        <v>#N/A</v>
      </c>
      <c r="G91" s="676">
        <f t="shared" ca="1" si="33"/>
        <v>0</v>
      </c>
      <c r="H91" s="676" t="e">
        <f t="shared" ca="1" si="34"/>
        <v>#N/A</v>
      </c>
      <c r="I91" s="676" t="e">
        <f t="shared" ca="1" si="35"/>
        <v>#N/A</v>
      </c>
      <c r="K91" s="676">
        <f>SUMIFS('Other Exp'!AG$3:AG$196,'Other Exp'!$B$3:$B$196,$D$1,'Other Exp'!$C$3:$C$196,$A91)</f>
        <v>0</v>
      </c>
      <c r="L91" s="676">
        <f>SUMIFS('Other Exp'!AH$3:AH$196,'Other Exp'!$B$3:$B$196,$D$1,'Other Exp'!$C$3:$C$196,$A91)</f>
        <v>0</v>
      </c>
      <c r="M91" s="676">
        <f>SUMIFS('Other Exp'!AI$3:AI$196,'Other Exp'!$B$3:$B$196,$D$1,'Other Exp'!$C$3:$C$196,$A91)</f>
        <v>0</v>
      </c>
      <c r="N91" s="676">
        <f>SUMIFS('Other Exp'!AJ$3:AJ$196,'Other Exp'!$B$3:$B$196,$D$1,'Other Exp'!$C$3:$C$196,$A91)</f>
        <v>0</v>
      </c>
      <c r="O91" s="676">
        <f>SUMIFS('Other Exp'!AK$3:AK$196,'Other Exp'!$B$3:$B$196,$D$1,'Other Exp'!$C$3:$C$196,$A91)</f>
        <v>0</v>
      </c>
      <c r="P91" s="676">
        <f>SUMIFS('Other Exp'!AL$3:AL$196,'Other Exp'!$B$3:$B$196,$D$1,'Other Exp'!$C$3:$C$196,$A91)</f>
        <v>0</v>
      </c>
      <c r="Q91" s="676">
        <f>SUMIFS('Other Exp'!AM$3:AM$196,'Other Exp'!$B$3:$B$196,$D$1,'Other Exp'!$C$3:$C$196,$A91)</f>
        <v>0</v>
      </c>
      <c r="R91" s="676">
        <f>SUMIFS('Other Exp'!AN$3:AN$196,'Other Exp'!$B$3:$B$196,$D$1,'Other Exp'!$C$3:$C$196,$A91)</f>
        <v>0</v>
      </c>
      <c r="S91" s="676">
        <f>SUMIFS('Other Exp'!AO$3:AO$196,'Other Exp'!$B$3:$B$196,$D$1,'Other Exp'!$C$3:$C$196,$A91)</f>
        <v>0</v>
      </c>
      <c r="T91" s="676">
        <f>SUMIFS('Other Exp'!AP$3:AP$196,'Other Exp'!$B$3:$B$196,$D$1,'Other Exp'!$C$3:$C$196,$A91)</f>
        <v>0</v>
      </c>
      <c r="U91" s="676">
        <f>SUMIFS('Other Exp'!AQ$3:AQ$196,'Other Exp'!$B$3:$B$196,$D$1,'Other Exp'!$C$3:$C$196,$A91)</f>
        <v>0</v>
      </c>
      <c r="V91" s="676">
        <f>SUMIFS('Other Exp'!AR$3:AR$196,'Other Exp'!$B$3:$B$196,$D$1,'Other Exp'!$C$3:$C$196,$A91)</f>
        <v>0</v>
      </c>
      <c r="W91" s="676">
        <f t="shared" si="43"/>
        <v>0</v>
      </c>
      <c r="Y91" s="688">
        <f>IFERROR(VLOOKUP(A91,'[93]1月'!$A:$H,8,0),0)</f>
        <v>0</v>
      </c>
      <c r="Z91" s="688">
        <f>IFERROR(VLOOKUP(A91,'[93]2月'!$A:$H,8,0),0)</f>
        <v>0</v>
      </c>
      <c r="AA91" s="688">
        <f>IFERROR(VLOOKUP($A91,'[93]3月'!$A:$H,8,0),0)</f>
        <v>0</v>
      </c>
      <c r="AB91" s="688">
        <f>IFERROR(VLOOKUP($A91,'[93]4月'!$A:$H,8,0),0)</f>
        <v>0</v>
      </c>
      <c r="AC91" s="688">
        <f>IFERROR(VLOOKUP($A91,'[93]5月'!$A:$H,8,0),0)</f>
        <v>0</v>
      </c>
      <c r="AD91" s="688">
        <f>IFERROR(VLOOKUP($A91,'[93]6月'!$A:$H,8,0),0)</f>
        <v>0</v>
      </c>
      <c r="AE91" s="688">
        <f>IFERROR(VLOOKUP($A91,'[93]7月'!$A:$H,8,0),0)</f>
        <v>0</v>
      </c>
      <c r="AF91" s="688">
        <f>IFERROR(VLOOKUP($A91,'[93]8月'!$A:$H,8,0),0)</f>
        <v>0</v>
      </c>
      <c r="AG91" s="688">
        <f>IFERROR(VLOOKUP($A91,'[93]9月'!$A:$H,8,0),0)</f>
        <v>0</v>
      </c>
      <c r="AH91" s="688">
        <f>IFERROR(VLOOKUP($A91,'[93]10月'!$A:$H,8,0),0)</f>
        <v>0</v>
      </c>
      <c r="AI91" s="688">
        <f>IFERROR(VLOOKUP($A91,'[93]11月'!$A:$H,8,0),0)</f>
        <v>0</v>
      </c>
      <c r="AJ91" s="688">
        <f>IFERROR(VLOOKUP($A91,'[93]12月'!$A:$H,8,0),0)</f>
        <v>0</v>
      </c>
      <c r="AK91" s="688">
        <f t="shared" si="37"/>
        <v>0</v>
      </c>
    </row>
    <row r="92" spans="1:37" ht="11.1" customHeight="1">
      <c r="A92" s="663" t="str">
        <f>'Budget-合并'!A92</f>
        <v>6602.09</v>
      </c>
      <c r="B92" s="663" t="str">
        <f>'Budget-合并'!B92</f>
        <v>差旅费</v>
      </c>
      <c r="C92" s="687">
        <f>'Budget-合并'!C92</f>
        <v>0</v>
      </c>
      <c r="D92" s="676">
        <f t="shared" si="31"/>
        <v>38675.333333333336</v>
      </c>
      <c r="E92" s="676" t="e">
        <f>INDEX($Y92:AHV92,1,MATCH($E$6,$Y$6:$AJ$6))</f>
        <v>#N/A</v>
      </c>
      <c r="F92" s="676" t="e">
        <f t="shared" si="32"/>
        <v>#N/A</v>
      </c>
      <c r="G92" s="676">
        <f t="shared" ca="1" si="33"/>
        <v>38675.333333333336</v>
      </c>
      <c r="H92" s="676" t="e">
        <f t="shared" ca="1" si="34"/>
        <v>#N/A</v>
      </c>
      <c r="I92" s="676" t="e">
        <f t="shared" ca="1" si="35"/>
        <v>#N/A</v>
      </c>
      <c r="K92" s="676">
        <f t="shared" ref="K92:V92" si="44">SUM(K93,K97,K101,K105,K109,K113,K117,K118,K122,K126)</f>
        <v>38675.333333333336</v>
      </c>
      <c r="L92" s="676">
        <f t="shared" si="44"/>
        <v>38675.333333333336</v>
      </c>
      <c r="M92" s="676">
        <f t="shared" si="44"/>
        <v>38675.333333333336</v>
      </c>
      <c r="N92" s="676">
        <f t="shared" si="44"/>
        <v>38675.333333333336</v>
      </c>
      <c r="O92" s="676">
        <f t="shared" si="44"/>
        <v>38675.333333333336</v>
      </c>
      <c r="P92" s="676">
        <f t="shared" si="44"/>
        <v>38675.333333333336</v>
      </c>
      <c r="Q92" s="676">
        <f t="shared" si="44"/>
        <v>38675.333333333336</v>
      </c>
      <c r="R92" s="676">
        <f t="shared" si="44"/>
        <v>38675.333333333336</v>
      </c>
      <c r="S92" s="676">
        <f t="shared" si="44"/>
        <v>38675.333333333336</v>
      </c>
      <c r="T92" s="676">
        <f t="shared" si="44"/>
        <v>38675.333333333336</v>
      </c>
      <c r="U92" s="676">
        <f t="shared" si="44"/>
        <v>38675.333333333336</v>
      </c>
      <c r="V92" s="676">
        <f t="shared" si="44"/>
        <v>38675.333333333336</v>
      </c>
      <c r="W92" s="676">
        <f t="shared" si="43"/>
        <v>464103.99999999994</v>
      </c>
      <c r="Y92" s="688">
        <f>IFERROR(VLOOKUP(A92,'[93]1月'!$A:$H,8,0),0)</f>
        <v>1044</v>
      </c>
      <c r="Z92" s="688">
        <f>IFERROR(VLOOKUP(A92,'[93]2月'!$A:$H,8,0),0)</f>
        <v>539.5</v>
      </c>
      <c r="AA92" s="688">
        <f>IFERROR(VLOOKUP($A92,'[93]3月'!$A:$H,8,0),0)</f>
        <v>8998.02</v>
      </c>
      <c r="AB92" s="688">
        <f>IFERROR(VLOOKUP($A92,'[93]4月'!$A:$H,8,0),0)</f>
        <v>0</v>
      </c>
      <c r="AC92" s="688">
        <f>IFERROR(VLOOKUP($A92,'[93]5月'!$A:$H,8,0),0)</f>
        <v>50122.87</v>
      </c>
      <c r="AD92" s="688">
        <f>IFERROR(VLOOKUP($A92,'[93]6月'!$A:$H,8,0),0)</f>
        <v>35900.910000000003</v>
      </c>
      <c r="AE92" s="688">
        <f>IFERROR(VLOOKUP($A92,'[93]7月'!$A:$H,8,0),0)</f>
        <v>30271.38</v>
      </c>
      <c r="AF92" s="688">
        <f>IFERROR(VLOOKUP($A92,'[93]8月'!$A:$H,8,0),0)</f>
        <v>42125.63</v>
      </c>
      <c r="AG92" s="688">
        <f>IFERROR(VLOOKUP($A92,'[93]9月'!$A:$H,8,0),0)</f>
        <v>35516.660000000003</v>
      </c>
      <c r="AH92" s="688">
        <f>IFERROR(VLOOKUP($A92,'[93]10月'!$A:$H,8,0),0)</f>
        <v>14496.49</v>
      </c>
      <c r="AI92" s="688">
        <f>IFERROR(VLOOKUP($A92,'[93]11月'!$A:$H,8,0),0)</f>
        <v>29818.400000000001</v>
      </c>
      <c r="AJ92" s="688">
        <f>IFERROR(VLOOKUP($A92,'[93]12月'!$A:$H,8,0),0)</f>
        <v>79159.240000000005</v>
      </c>
      <c r="AK92" s="688">
        <f t="shared" si="37"/>
        <v>327993.09999999998</v>
      </c>
    </row>
    <row r="93" spans="1:37" ht="11.1" customHeight="1">
      <c r="A93" s="653" t="str">
        <f>'Budget-合并'!A93</f>
        <v>6602.09.01</v>
      </c>
      <c r="B93" s="653" t="str">
        <f>'Budget-合并'!B93</f>
        <v>住宿费</v>
      </c>
      <c r="C93" s="687" t="str">
        <f>'Budget-合并'!C93</f>
        <v>Travel Lodging</v>
      </c>
      <c r="D93" s="676">
        <f t="shared" si="31"/>
        <v>14800</v>
      </c>
      <c r="E93" s="676" t="e">
        <f>INDEX($Y93:AHV93,1,MATCH($E$6,$Y$6:$AJ$6))</f>
        <v>#N/A</v>
      </c>
      <c r="F93" s="676" t="e">
        <f t="shared" si="32"/>
        <v>#N/A</v>
      </c>
      <c r="G93" s="676">
        <f t="shared" ca="1" si="33"/>
        <v>14800</v>
      </c>
      <c r="H93" s="676" t="e">
        <f t="shared" ca="1" si="34"/>
        <v>#N/A</v>
      </c>
      <c r="I93" s="676" t="e">
        <f t="shared" ca="1" si="35"/>
        <v>#N/A</v>
      </c>
      <c r="K93" s="676">
        <f>SUM(K94:K96)</f>
        <v>14800</v>
      </c>
      <c r="L93" s="676">
        <f t="shared" ref="L93:V93" si="45">SUM(L94:L96)</f>
        <v>14800</v>
      </c>
      <c r="M93" s="676">
        <f t="shared" si="45"/>
        <v>14800</v>
      </c>
      <c r="N93" s="676">
        <f t="shared" si="45"/>
        <v>14800</v>
      </c>
      <c r="O93" s="676">
        <f t="shared" si="45"/>
        <v>14800</v>
      </c>
      <c r="P93" s="676">
        <f t="shared" si="45"/>
        <v>14800</v>
      </c>
      <c r="Q93" s="676">
        <f t="shared" si="45"/>
        <v>14800</v>
      </c>
      <c r="R93" s="676">
        <f t="shared" si="45"/>
        <v>14800</v>
      </c>
      <c r="S93" s="676">
        <f t="shared" si="45"/>
        <v>14800</v>
      </c>
      <c r="T93" s="676">
        <f t="shared" si="45"/>
        <v>14800</v>
      </c>
      <c r="U93" s="676">
        <f t="shared" si="45"/>
        <v>14800</v>
      </c>
      <c r="V93" s="676">
        <f t="shared" si="45"/>
        <v>14800</v>
      </c>
      <c r="W93" s="676">
        <f t="shared" si="43"/>
        <v>177600</v>
      </c>
      <c r="Y93" s="688">
        <f>IFERROR(VLOOKUP(A93,'[93]1月'!$A:$H,8,0),0)</f>
        <v>0</v>
      </c>
      <c r="Z93" s="688">
        <f>IFERROR(VLOOKUP(A93,'[93]2月'!$A:$H,8,0),0)</f>
        <v>0</v>
      </c>
      <c r="AA93" s="688">
        <f>IFERROR(VLOOKUP($A93,'[93]3月'!$A:$H,8,0),0)</f>
        <v>1246.1300000000001</v>
      </c>
      <c r="AB93" s="688">
        <f>IFERROR(VLOOKUP($A93,'[93]4月'!$A:$H,8,0),0)</f>
        <v>0</v>
      </c>
      <c r="AC93" s="688">
        <f>IFERROR(VLOOKUP($A93,'[93]5月'!$A:$H,8,0),0)</f>
        <v>16631.060000000001</v>
      </c>
      <c r="AD93" s="688">
        <f>IFERROR(VLOOKUP($A93,'[93]6月'!$A:$H,8,0),0)</f>
        <v>11471.69</v>
      </c>
      <c r="AE93" s="688">
        <f>IFERROR(VLOOKUP($A93,'[93]7月'!$A:$H,8,0),0)</f>
        <v>10871.69</v>
      </c>
      <c r="AF93" s="688">
        <f>IFERROR(VLOOKUP($A93,'[93]8月'!$A:$H,8,0),0)</f>
        <v>16905.849999999999</v>
      </c>
      <c r="AG93" s="688">
        <f>IFERROR(VLOOKUP($A93,'[93]9月'!$A:$H,8,0),0)</f>
        <v>14292.43</v>
      </c>
      <c r="AH93" s="688">
        <f>IFERROR(VLOOKUP($A93,'[93]10月'!$A:$H,8,0),0)</f>
        <v>5699.06</v>
      </c>
      <c r="AI93" s="688">
        <f>IFERROR(VLOOKUP($A93,'[93]11月'!$A:$H,8,0),0)</f>
        <v>11559.08</v>
      </c>
      <c r="AJ93" s="688">
        <f>IFERROR(VLOOKUP($A93,'[93]12月'!$A:$H,8,0),0)</f>
        <v>15953.56</v>
      </c>
      <c r="AK93" s="688">
        <f t="shared" si="37"/>
        <v>104630.55</v>
      </c>
    </row>
    <row r="94" spans="1:37" ht="11.1" customHeight="1">
      <c r="A94" s="696">
        <f>ROUND('T&amp;E'!J121/'T&amp;E'!J119,2)</f>
        <v>0.09</v>
      </c>
      <c r="B94" s="653" t="str">
        <f>'Budget-合并'!B94</f>
        <v xml:space="preserve">    公司主体03</v>
      </c>
      <c r="C94" s="687" t="str">
        <f>'Budget-合并'!C94</f>
        <v xml:space="preserve">   Entity</v>
      </c>
      <c r="D94" s="676">
        <f t="shared" si="31"/>
        <v>1332</v>
      </c>
      <c r="E94" s="676" t="e">
        <f>INDEX($Y94:AHV94,1,MATCH($E$6,$Y$6:$AJ$6))</f>
        <v>#N/A</v>
      </c>
      <c r="F94" s="676" t="e">
        <f t="shared" si="32"/>
        <v>#N/A</v>
      </c>
      <c r="G94" s="676">
        <f t="shared" ca="1" si="33"/>
        <v>1332</v>
      </c>
      <c r="H94" s="676" t="e">
        <f t="shared" ca="1" si="34"/>
        <v>#N/A</v>
      </c>
      <c r="I94" s="676" t="e">
        <f t="shared" ca="1" si="35"/>
        <v>#N/A</v>
      </c>
      <c r="K94" s="676">
        <f>SUMIFS('T&amp;E'!N$109:N$118,'T&amp;E'!$B$109:$B$118,$D$1,'T&amp;E'!$C$109:$C$118,$A$93)*$A94</f>
        <v>1332</v>
      </c>
      <c r="L94" s="676">
        <f>SUMIFS('T&amp;E'!O$109:O$118,'T&amp;E'!$B$109:$B$118,$D$1,'T&amp;E'!$C$109:$C$118,$A$93)*$A94</f>
        <v>1332</v>
      </c>
      <c r="M94" s="676">
        <f>SUMIFS('T&amp;E'!P$109:P$118,'T&amp;E'!$B$109:$B$118,$D$1,'T&amp;E'!$C$109:$C$118,$A$93)*$A94</f>
        <v>1332</v>
      </c>
      <c r="N94" s="676">
        <f>SUMIFS('T&amp;E'!Q$109:Q$118,'T&amp;E'!$B$109:$B$118,$D$1,'T&amp;E'!$C$109:$C$118,$A$93)*$A94</f>
        <v>1332</v>
      </c>
      <c r="O94" s="676">
        <f>SUMIFS('T&amp;E'!R$109:R$118,'T&amp;E'!$B$109:$B$118,$D$1,'T&amp;E'!$C$109:$C$118,$A$93)*$A94</f>
        <v>1332</v>
      </c>
      <c r="P94" s="676">
        <f>SUMIFS('T&amp;E'!S$109:S$118,'T&amp;E'!$B$109:$B$118,$D$1,'T&amp;E'!$C$109:$C$118,$A$93)*$A94</f>
        <v>1332</v>
      </c>
      <c r="Q94" s="676">
        <f>SUMIFS('T&amp;E'!T$109:T$118,'T&amp;E'!$B$109:$B$118,$D$1,'T&amp;E'!$C$109:$C$118,$A$93)*$A94</f>
        <v>1332</v>
      </c>
      <c r="R94" s="676">
        <f>SUMIFS('T&amp;E'!U$109:U$118,'T&amp;E'!$B$109:$B$118,$D$1,'T&amp;E'!$C$109:$C$118,$A$93)*$A94</f>
        <v>1332</v>
      </c>
      <c r="S94" s="676">
        <f>SUMIFS('T&amp;E'!V$109:V$118,'T&amp;E'!$B$109:$B$118,$D$1,'T&amp;E'!$C$109:$C$118,$A$93)*$A94</f>
        <v>1332</v>
      </c>
      <c r="T94" s="676">
        <f>SUMIFS('T&amp;E'!W$109:W$118,'T&amp;E'!$B$109:$B$118,$D$1,'T&amp;E'!$C$109:$C$118,$A$93)*$A94</f>
        <v>1332</v>
      </c>
      <c r="U94" s="676">
        <f>SUMIFS('T&amp;E'!X$109:X$118,'T&amp;E'!$B$109:$B$118,$D$1,'T&amp;E'!$C$109:$C$118,$A$93)*$A94</f>
        <v>1332</v>
      </c>
      <c r="V94" s="676">
        <f>SUMIFS('T&amp;E'!Y$109:Y$118,'T&amp;E'!$B$109:$B$118,$D$1,'T&amp;E'!$C$109:$C$118,$A$93)*$A94</f>
        <v>1332</v>
      </c>
      <c r="W94" s="676">
        <f t="shared" si="43"/>
        <v>15984</v>
      </c>
      <c r="Y94" s="688">
        <f>IFERROR(VLOOKUP(A94,'[93]1月'!$A:$H,8,0),0)</f>
        <v>0</v>
      </c>
      <c r="Z94" s="688">
        <f>IFERROR(VLOOKUP(A94,'[93]2月'!$A:$H,8,0),0)</f>
        <v>0</v>
      </c>
      <c r="AA94" s="688">
        <v>-118.87</v>
      </c>
      <c r="AB94" s="688">
        <f>IFERROR(VLOOKUP($A94,'[93]4月'!$A:$H,8,0),0)</f>
        <v>0</v>
      </c>
      <c r="AC94" s="688">
        <v>1470.75</v>
      </c>
      <c r="AD94" s="688">
        <v>2494.34</v>
      </c>
      <c r="AE94" s="688">
        <v>1886.79</v>
      </c>
      <c r="AF94" s="688">
        <v>5155.66</v>
      </c>
      <c r="AG94" s="688">
        <v>1694.34</v>
      </c>
      <c r="AH94" s="688">
        <f>IFERROR(VLOOKUP($A94,'[93]10月'!$A:$H,8,0),0)</f>
        <v>0</v>
      </c>
      <c r="AI94" s="688">
        <f>IFERROR(VLOOKUP($A94,'[93]11月'!$A:$H,8,0),0)</f>
        <v>0</v>
      </c>
      <c r="AJ94" s="688">
        <f>IFERROR(VLOOKUP($A94,'[93]12月'!$A:$H,8,0),0)</f>
        <v>0</v>
      </c>
      <c r="AK94" s="688">
        <f t="shared" si="37"/>
        <v>12583.01</v>
      </c>
    </row>
    <row r="95" spans="1:37" ht="11.1" customHeight="1">
      <c r="A95" s="696">
        <f>ROUND('T&amp;E'!J120/'T&amp;E'!J119,2)</f>
        <v>0.91</v>
      </c>
      <c r="B95" s="653" t="str">
        <f>'Budget-合并'!B95</f>
        <v xml:space="preserve">    旭智富能03</v>
      </c>
      <c r="C95" s="687" t="str">
        <f>'Budget-合并'!C95</f>
        <v xml:space="preserve">   Foxpower</v>
      </c>
      <c r="D95" s="676">
        <f t="shared" si="31"/>
        <v>13468</v>
      </c>
      <c r="E95" s="676" t="e">
        <f>INDEX($Y95:AHV95,1,MATCH($E$6,$Y$6:$AJ$6))</f>
        <v>#N/A</v>
      </c>
      <c r="F95" s="676" t="e">
        <f t="shared" si="32"/>
        <v>#N/A</v>
      </c>
      <c r="G95" s="676">
        <f t="shared" ca="1" si="33"/>
        <v>13468</v>
      </c>
      <c r="H95" s="676" t="e">
        <f t="shared" ca="1" si="34"/>
        <v>#N/A</v>
      </c>
      <c r="I95" s="676" t="e">
        <f t="shared" ca="1" si="35"/>
        <v>#N/A</v>
      </c>
      <c r="K95" s="676">
        <f>SUMIFS('T&amp;E'!N$109:N$118,'T&amp;E'!$B$109:$B$118,$D$1,'T&amp;E'!$C$109:$C$118,$A$93)*$A95</f>
        <v>13468</v>
      </c>
      <c r="L95" s="676">
        <f>SUMIFS('T&amp;E'!O$109:O$118,'T&amp;E'!$B$109:$B$118,$D$1,'T&amp;E'!$C$109:$C$118,$A$93)*$A95</f>
        <v>13468</v>
      </c>
      <c r="M95" s="676">
        <f>SUMIFS('T&amp;E'!P$109:P$118,'T&amp;E'!$B$109:$B$118,$D$1,'T&amp;E'!$C$109:$C$118,$A$93)*$A95</f>
        <v>13468</v>
      </c>
      <c r="N95" s="676">
        <f>SUMIFS('T&amp;E'!Q$109:Q$118,'T&amp;E'!$B$109:$B$118,$D$1,'T&amp;E'!$C$109:$C$118,$A$93)*$A95</f>
        <v>13468</v>
      </c>
      <c r="O95" s="676">
        <f>SUMIFS('T&amp;E'!R$109:R$118,'T&amp;E'!$B$109:$B$118,$D$1,'T&amp;E'!$C$109:$C$118,$A$93)*$A95</f>
        <v>13468</v>
      </c>
      <c r="P95" s="676">
        <f>SUMIFS('T&amp;E'!S$109:S$118,'T&amp;E'!$B$109:$B$118,$D$1,'T&amp;E'!$C$109:$C$118,$A$93)*$A95</f>
        <v>13468</v>
      </c>
      <c r="Q95" s="676">
        <f>SUMIFS('T&amp;E'!T$109:T$118,'T&amp;E'!$B$109:$B$118,$D$1,'T&amp;E'!$C$109:$C$118,$A$93)*$A95</f>
        <v>13468</v>
      </c>
      <c r="R95" s="676">
        <f>SUMIFS('T&amp;E'!U$109:U$118,'T&amp;E'!$B$109:$B$118,$D$1,'T&amp;E'!$C$109:$C$118,$A$93)*$A95</f>
        <v>13468</v>
      </c>
      <c r="S95" s="676">
        <f>SUMIFS('T&amp;E'!V$109:V$118,'T&amp;E'!$B$109:$B$118,$D$1,'T&amp;E'!$C$109:$C$118,$A$93)*$A95</f>
        <v>13468</v>
      </c>
      <c r="T95" s="676">
        <f>SUMIFS('T&amp;E'!W$109:W$118,'T&amp;E'!$B$109:$B$118,$D$1,'T&amp;E'!$C$109:$C$118,$A$93)*$A95</f>
        <v>13468</v>
      </c>
      <c r="U95" s="676">
        <f>SUMIFS('T&amp;E'!X$109:X$118,'T&amp;E'!$B$109:$B$118,$D$1,'T&amp;E'!$C$109:$C$118,$A$93)*$A95</f>
        <v>13468</v>
      </c>
      <c r="V95" s="676">
        <f>SUMIFS('T&amp;E'!Y$109:Y$118,'T&amp;E'!$B$109:$B$118,$D$1,'T&amp;E'!$C$109:$C$118,$A$93)*$A95</f>
        <v>13468</v>
      </c>
      <c r="W95" s="676">
        <f t="shared" si="43"/>
        <v>161616</v>
      </c>
      <c r="Y95" s="688">
        <f>IFERROR(VLOOKUP(A95,'[93]1月'!$A:$H,8,0),0)</f>
        <v>0</v>
      </c>
      <c r="Z95" s="688">
        <f>IFERROR(VLOOKUP(A95,'[93]2月'!$A:$H,8,0),0)</f>
        <v>0</v>
      </c>
      <c r="AA95" s="688"/>
      <c r="AB95" s="688">
        <f>IFERROR(VLOOKUP($A95,'[93]4月'!$A:$H,8,0),0)</f>
        <v>0</v>
      </c>
      <c r="AC95" s="688">
        <v>10813.21</v>
      </c>
      <c r="AD95" s="688">
        <v>7426.41</v>
      </c>
      <c r="AE95" s="688">
        <v>7233.96</v>
      </c>
      <c r="AF95" s="688">
        <v>6457.55</v>
      </c>
      <c r="AG95" s="688">
        <v>9449.0400000000009</v>
      </c>
      <c r="AH95" s="688">
        <v>5699.06</v>
      </c>
      <c r="AI95" s="688">
        <v>8125.85</v>
      </c>
      <c r="AJ95" s="688">
        <v>9975.9599999999991</v>
      </c>
      <c r="AK95" s="688">
        <f t="shared" si="37"/>
        <v>65181.039999999994</v>
      </c>
    </row>
    <row r="96" spans="1:37" ht="11.1" customHeight="1">
      <c r="A96" s="697">
        <f>'Budget-合并'!A96</f>
        <v>0</v>
      </c>
      <c r="B96" s="653" t="str">
        <f>'Budget-合并'!B96</f>
        <v xml:space="preserve">    其他项目03</v>
      </c>
      <c r="C96" s="687" t="str">
        <f>'Budget-合并'!C96</f>
        <v xml:space="preserve">   Other project</v>
      </c>
      <c r="D96" s="676">
        <f t="shared" si="31"/>
        <v>0</v>
      </c>
      <c r="E96" s="676" t="e">
        <f>INDEX($Y96:AHV96,1,MATCH($E$6,$Y$6:$AJ$6))</f>
        <v>#N/A</v>
      </c>
      <c r="F96" s="676" t="e">
        <f t="shared" si="32"/>
        <v>#N/A</v>
      </c>
      <c r="G96" s="676">
        <f t="shared" ca="1" si="33"/>
        <v>0</v>
      </c>
      <c r="H96" s="676" t="e">
        <f t="shared" ca="1" si="34"/>
        <v>#N/A</v>
      </c>
      <c r="I96" s="676" t="e">
        <f t="shared" ca="1" si="35"/>
        <v>#N/A</v>
      </c>
      <c r="K96" s="676"/>
      <c r="L96" s="676"/>
      <c r="M96" s="676"/>
      <c r="N96" s="676"/>
      <c r="O96" s="676"/>
      <c r="P96" s="676"/>
      <c r="Q96" s="676"/>
      <c r="R96" s="676"/>
      <c r="S96" s="676"/>
      <c r="T96" s="676"/>
      <c r="U96" s="676"/>
      <c r="V96" s="676"/>
      <c r="W96" s="676">
        <f t="shared" si="43"/>
        <v>0</v>
      </c>
      <c r="Y96" s="688">
        <f>IFERROR(VLOOKUP(A96,'[93]1月'!$A:$H,8,0),0)</f>
        <v>0</v>
      </c>
      <c r="Z96" s="688">
        <f>IFERROR(VLOOKUP(A96,'[93]2月'!$A:$H,8,0),0)</f>
        <v>0</v>
      </c>
      <c r="AA96" s="688">
        <v>1365</v>
      </c>
      <c r="AB96" s="688">
        <f>IFERROR(VLOOKUP($A96,'[93]4月'!$A:$H,8,0),0)</f>
        <v>0</v>
      </c>
      <c r="AC96" s="688">
        <v>4347.1000000000004</v>
      </c>
      <c r="AD96" s="688">
        <v>1550.94</v>
      </c>
      <c r="AE96" s="688">
        <v>1750.94</v>
      </c>
      <c r="AF96" s="688">
        <v>5292.64</v>
      </c>
      <c r="AG96" s="688">
        <v>3149.05</v>
      </c>
      <c r="AH96" s="688">
        <f>IFERROR(VLOOKUP($A96,'[93]10月'!$A:$H,8,0),0)</f>
        <v>0</v>
      </c>
      <c r="AI96" s="688">
        <v>3433.23</v>
      </c>
      <c r="AJ96" s="688">
        <v>5977.6</v>
      </c>
      <c r="AK96" s="688">
        <f t="shared" si="37"/>
        <v>26866.5</v>
      </c>
    </row>
    <row r="97" spans="1:37" ht="11.1" customHeight="1">
      <c r="A97" s="653" t="str">
        <f>'Budget-合并'!A97</f>
        <v>6602.09.02</v>
      </c>
      <c r="B97" s="653" t="str">
        <f>'Budget-合并'!B97</f>
        <v>伙食费</v>
      </c>
      <c r="C97" s="687">
        <f>'Budget-合并'!C97</f>
        <v>0</v>
      </c>
      <c r="D97" s="676">
        <f t="shared" si="31"/>
        <v>6100</v>
      </c>
      <c r="E97" s="676" t="e">
        <f>INDEX($Y97:AHV97,1,MATCH($E$6,$Y$6:$AJ$6))</f>
        <v>#N/A</v>
      </c>
      <c r="F97" s="676" t="e">
        <f t="shared" si="32"/>
        <v>#N/A</v>
      </c>
      <c r="G97" s="676">
        <f t="shared" ca="1" si="33"/>
        <v>6100</v>
      </c>
      <c r="H97" s="676" t="e">
        <f t="shared" ca="1" si="34"/>
        <v>#N/A</v>
      </c>
      <c r="I97" s="676" t="e">
        <f t="shared" ca="1" si="35"/>
        <v>#N/A</v>
      </c>
      <c r="K97" s="676">
        <f>SUM(K98:K100)</f>
        <v>6100</v>
      </c>
      <c r="L97" s="676">
        <f>SUM(L98:L100)</f>
        <v>6100</v>
      </c>
      <c r="M97" s="676">
        <f t="shared" ref="M97:V97" si="46">SUM(M98:M100)</f>
        <v>6100</v>
      </c>
      <c r="N97" s="676">
        <f t="shared" si="46"/>
        <v>6100</v>
      </c>
      <c r="O97" s="676">
        <f t="shared" si="46"/>
        <v>6100</v>
      </c>
      <c r="P97" s="676">
        <f t="shared" si="46"/>
        <v>6100</v>
      </c>
      <c r="Q97" s="676">
        <f t="shared" si="46"/>
        <v>6100</v>
      </c>
      <c r="R97" s="676">
        <f t="shared" si="46"/>
        <v>6100</v>
      </c>
      <c r="S97" s="676">
        <f t="shared" si="46"/>
        <v>6100</v>
      </c>
      <c r="T97" s="676">
        <f t="shared" si="46"/>
        <v>6100</v>
      </c>
      <c r="U97" s="676">
        <f t="shared" si="46"/>
        <v>6100</v>
      </c>
      <c r="V97" s="676">
        <f t="shared" si="46"/>
        <v>6100</v>
      </c>
      <c r="W97" s="676">
        <f t="shared" si="43"/>
        <v>73200</v>
      </c>
      <c r="Y97" s="688">
        <f>IFERROR(VLOOKUP(A97,'[93]1月'!$A:$H,8,0),0)</f>
        <v>0</v>
      </c>
      <c r="Z97" s="688">
        <f>IFERROR(VLOOKUP(A97,'[93]2月'!$A:$H,8,0),0)</f>
        <v>336</v>
      </c>
      <c r="AA97" s="688">
        <f>IFERROR(VLOOKUP($A97,'[93]3月'!$A:$H,8,0),0)</f>
        <v>0</v>
      </c>
      <c r="AB97" s="688">
        <f>IFERROR(VLOOKUP($A97,'[93]4月'!$A:$H,8,0),0)</f>
        <v>0</v>
      </c>
      <c r="AC97" s="688">
        <f>IFERROR(VLOOKUP($A97,'[93]5月'!$A:$H,8,0),0)</f>
        <v>1203.8900000000001</v>
      </c>
      <c r="AD97" s="688">
        <f>IFERROR(VLOOKUP($A97,'[93]6月'!$A:$H,8,0),0)</f>
        <v>185.44</v>
      </c>
      <c r="AE97" s="688">
        <f>IFERROR(VLOOKUP($A97,'[93]7月'!$A:$H,8,0),0)</f>
        <v>982.9</v>
      </c>
      <c r="AF97" s="688">
        <f>IFERROR(VLOOKUP($A97,'[93]8月'!$A:$H,8,0),0)</f>
        <v>833.16</v>
      </c>
      <c r="AG97" s="688">
        <f>IFERROR(VLOOKUP($A97,'[93]9月'!$A:$H,8,0),0)</f>
        <v>772.9</v>
      </c>
      <c r="AH97" s="688">
        <f>IFERROR(VLOOKUP($A97,'[93]10月'!$A:$H,8,0),0)</f>
        <v>1042.2</v>
      </c>
      <c r="AI97" s="688">
        <f>IFERROR(VLOOKUP($A97,'[93]11月'!$A:$H,8,0),0)</f>
        <v>0</v>
      </c>
      <c r="AJ97" s="688">
        <f>IFERROR(VLOOKUP($A97,'[93]12月'!$A:$H,8,0),0)</f>
        <v>4817.1899999999996</v>
      </c>
      <c r="AK97" s="688">
        <f t="shared" si="37"/>
        <v>10173.68</v>
      </c>
    </row>
    <row r="98" spans="1:37" ht="11.1" customHeight="1">
      <c r="A98" s="696">
        <f>$A$94</f>
        <v>0.09</v>
      </c>
      <c r="B98" s="653" t="str">
        <f>'Budget-合并'!B98</f>
        <v xml:space="preserve">    公司主体04</v>
      </c>
      <c r="C98" s="687" t="str">
        <f>'Budget-合并'!C98</f>
        <v xml:space="preserve">   Entity</v>
      </c>
      <c r="D98" s="676">
        <f t="shared" si="31"/>
        <v>549</v>
      </c>
      <c r="E98" s="676" t="e">
        <f>INDEX($Y98:AHV98,1,MATCH($E$6,$Y$6:$AJ$6))</f>
        <v>#N/A</v>
      </c>
      <c r="F98" s="676" t="e">
        <f t="shared" si="32"/>
        <v>#N/A</v>
      </c>
      <c r="G98" s="676">
        <f t="shared" ca="1" si="33"/>
        <v>549</v>
      </c>
      <c r="H98" s="676" t="e">
        <f t="shared" ca="1" si="34"/>
        <v>#N/A</v>
      </c>
      <c r="I98" s="676" t="e">
        <f t="shared" ca="1" si="35"/>
        <v>#N/A</v>
      </c>
      <c r="K98" s="676">
        <f>SUMIFS('T&amp;E'!N$109:N$118,'T&amp;E'!$B$109:$B$118,$D$1,'T&amp;E'!$C$109:$C$118,$A$97)*$A98</f>
        <v>549</v>
      </c>
      <c r="L98" s="676">
        <f>SUMIFS('T&amp;E'!O$109:O$118,'T&amp;E'!$B$109:$B$118,$D$1,'T&amp;E'!$C$109:$C$118,$A$97)*$A98</f>
        <v>549</v>
      </c>
      <c r="M98" s="676">
        <f>SUMIFS('T&amp;E'!P$109:P$118,'T&amp;E'!$B$109:$B$118,$D$1,'T&amp;E'!$C$109:$C$118,$A$97)*$A98</f>
        <v>549</v>
      </c>
      <c r="N98" s="676">
        <f>SUMIFS('T&amp;E'!Q$109:Q$118,'T&amp;E'!$B$109:$B$118,$D$1,'T&amp;E'!$C$109:$C$118,$A$97)*$A98</f>
        <v>549</v>
      </c>
      <c r="O98" s="676">
        <f>SUMIFS('T&amp;E'!R$109:R$118,'T&amp;E'!$B$109:$B$118,$D$1,'T&amp;E'!$C$109:$C$118,$A$97)*$A98</f>
        <v>549</v>
      </c>
      <c r="P98" s="676">
        <f>SUMIFS('T&amp;E'!S$109:S$118,'T&amp;E'!$B$109:$B$118,$D$1,'T&amp;E'!$C$109:$C$118,$A$97)*$A98</f>
        <v>549</v>
      </c>
      <c r="Q98" s="676">
        <f>SUMIFS('T&amp;E'!T$109:T$118,'T&amp;E'!$B$109:$B$118,$D$1,'T&amp;E'!$C$109:$C$118,$A$97)*$A98</f>
        <v>549</v>
      </c>
      <c r="R98" s="676">
        <f>SUMIFS('T&amp;E'!U$109:U$118,'T&amp;E'!$B$109:$B$118,$D$1,'T&amp;E'!$C$109:$C$118,$A$97)*$A98</f>
        <v>549</v>
      </c>
      <c r="S98" s="676">
        <f>SUMIFS('T&amp;E'!V$109:V$118,'T&amp;E'!$B$109:$B$118,$D$1,'T&amp;E'!$C$109:$C$118,$A$97)*$A98</f>
        <v>549</v>
      </c>
      <c r="T98" s="676">
        <f>SUMIFS('T&amp;E'!W$109:W$118,'T&amp;E'!$B$109:$B$118,$D$1,'T&amp;E'!$C$109:$C$118,$A$97)*$A98</f>
        <v>549</v>
      </c>
      <c r="U98" s="676">
        <f>SUMIFS('T&amp;E'!X$109:X$118,'T&amp;E'!$B$109:$B$118,$D$1,'T&amp;E'!$C$109:$C$118,$A$97)*$A98</f>
        <v>549</v>
      </c>
      <c r="V98" s="676">
        <f>SUMIFS('T&amp;E'!Y$109:Y$118,'T&amp;E'!$B$109:$B$118,$D$1,'T&amp;E'!$C$109:$C$118,$A$97)*$A98</f>
        <v>549</v>
      </c>
      <c r="W98" s="676">
        <f t="shared" si="43"/>
        <v>6588</v>
      </c>
      <c r="Y98" s="688">
        <f>IFERROR(VLOOKUP(A98,'[93]1月'!$A:$H,8,0),0)</f>
        <v>0</v>
      </c>
      <c r="Z98" s="688">
        <f>IFERROR(VLOOKUP(A98,'[93]2月'!$A:$H,8,0),0)</f>
        <v>0</v>
      </c>
      <c r="AA98" s="688">
        <f>IFERROR(VLOOKUP($A98,'[93]3月'!$A:$H,8,0),0)</f>
        <v>0</v>
      </c>
      <c r="AB98" s="688">
        <f>IFERROR(VLOOKUP($A98,'[93]4月'!$A:$H,8,0),0)</f>
        <v>0</v>
      </c>
      <c r="AC98" s="688">
        <v>275.10000000000002</v>
      </c>
      <c r="AD98" s="688">
        <v>97.84</v>
      </c>
      <c r="AE98" s="688">
        <v>194.9</v>
      </c>
      <c r="AF98" s="688">
        <v>211.16</v>
      </c>
      <c r="AG98" s="688">
        <v>89.5</v>
      </c>
      <c r="AH98" s="688">
        <f>IFERROR(VLOOKUP($A98,'[93]10月'!$A:$H,8,0),0)</f>
        <v>0</v>
      </c>
      <c r="AI98" s="688">
        <f>IFERROR(VLOOKUP($A98,'[93]11月'!$A:$H,8,0),0)</f>
        <v>0</v>
      </c>
      <c r="AJ98" s="688">
        <v>1006.21</v>
      </c>
      <c r="AK98" s="688">
        <f t="shared" si="37"/>
        <v>1874.71</v>
      </c>
    </row>
    <row r="99" spans="1:37" ht="11.1" customHeight="1">
      <c r="A99" s="696">
        <f>$A$95</f>
        <v>0.91</v>
      </c>
      <c r="B99" s="653" t="str">
        <f>'Budget-合并'!B99</f>
        <v xml:space="preserve">    旭智富能04</v>
      </c>
      <c r="C99" s="687" t="str">
        <f>'Budget-合并'!C99</f>
        <v xml:space="preserve">   Foxpower</v>
      </c>
      <c r="D99" s="676">
        <f t="shared" si="31"/>
        <v>5551</v>
      </c>
      <c r="E99" s="676" t="e">
        <f>INDEX($Y99:AHV99,1,MATCH($E$6,$Y$6:$AJ$6))</f>
        <v>#N/A</v>
      </c>
      <c r="F99" s="676" t="e">
        <f t="shared" si="32"/>
        <v>#N/A</v>
      </c>
      <c r="G99" s="676">
        <f t="shared" ca="1" si="33"/>
        <v>5551</v>
      </c>
      <c r="H99" s="676" t="e">
        <f t="shared" ca="1" si="34"/>
        <v>#N/A</v>
      </c>
      <c r="I99" s="676" t="e">
        <f t="shared" ca="1" si="35"/>
        <v>#N/A</v>
      </c>
      <c r="K99" s="676">
        <f>SUMIFS('T&amp;E'!N$109:N$118,'T&amp;E'!$B$109:$B$118,$D$1,'T&amp;E'!$C$109:$C$118,$A$97)*$A99</f>
        <v>5551</v>
      </c>
      <c r="L99" s="676">
        <f>SUMIFS('T&amp;E'!O$109:O$118,'T&amp;E'!$B$109:$B$118,$D$1,'T&amp;E'!$C$109:$C$118,$A$97)*$A99</f>
        <v>5551</v>
      </c>
      <c r="M99" s="676">
        <f>SUMIFS('T&amp;E'!P$109:P$118,'T&amp;E'!$B$109:$B$118,$D$1,'T&amp;E'!$C$109:$C$118,$A$97)*$A99</f>
        <v>5551</v>
      </c>
      <c r="N99" s="676">
        <f>SUMIFS('T&amp;E'!Q$109:Q$118,'T&amp;E'!$B$109:$B$118,$D$1,'T&amp;E'!$C$109:$C$118,$A$97)*$A99</f>
        <v>5551</v>
      </c>
      <c r="O99" s="676">
        <f>SUMIFS('T&amp;E'!R$109:R$118,'T&amp;E'!$B$109:$B$118,$D$1,'T&amp;E'!$C$109:$C$118,$A$97)*$A99</f>
        <v>5551</v>
      </c>
      <c r="P99" s="676">
        <f>SUMIFS('T&amp;E'!S$109:S$118,'T&amp;E'!$B$109:$B$118,$D$1,'T&amp;E'!$C$109:$C$118,$A$97)*$A99</f>
        <v>5551</v>
      </c>
      <c r="Q99" s="676">
        <f>SUMIFS('T&amp;E'!T$109:T$118,'T&amp;E'!$B$109:$B$118,$D$1,'T&amp;E'!$C$109:$C$118,$A$97)*$A99</f>
        <v>5551</v>
      </c>
      <c r="R99" s="676">
        <f>SUMIFS('T&amp;E'!U$109:U$118,'T&amp;E'!$B$109:$B$118,$D$1,'T&amp;E'!$C$109:$C$118,$A$97)*$A99</f>
        <v>5551</v>
      </c>
      <c r="S99" s="676">
        <f>SUMIFS('T&amp;E'!V$109:V$118,'T&amp;E'!$B$109:$B$118,$D$1,'T&amp;E'!$C$109:$C$118,$A$97)*$A99</f>
        <v>5551</v>
      </c>
      <c r="T99" s="676">
        <f>SUMIFS('T&amp;E'!W$109:W$118,'T&amp;E'!$B$109:$B$118,$D$1,'T&amp;E'!$C$109:$C$118,$A$97)*$A99</f>
        <v>5551</v>
      </c>
      <c r="U99" s="676">
        <f>SUMIFS('T&amp;E'!X$109:X$118,'T&amp;E'!$B$109:$B$118,$D$1,'T&amp;E'!$C$109:$C$118,$A$97)*$A99</f>
        <v>5551</v>
      </c>
      <c r="V99" s="676">
        <f>SUMIFS('T&amp;E'!Y$109:Y$118,'T&amp;E'!$B$109:$B$118,$D$1,'T&amp;E'!$C$109:$C$118,$A$97)*$A99</f>
        <v>5551</v>
      </c>
      <c r="W99" s="676">
        <f t="shared" si="43"/>
        <v>66612</v>
      </c>
      <c r="Y99" s="688">
        <f>IFERROR(VLOOKUP(A99,'[93]1月'!$A:$H,8,0),0)</f>
        <v>0</v>
      </c>
      <c r="Z99" s="688">
        <v>336</v>
      </c>
      <c r="AA99" s="688">
        <f>IFERROR(VLOOKUP($A99,'[93]3月'!$A:$H,8,0),0)</f>
        <v>0</v>
      </c>
      <c r="AB99" s="688">
        <f>IFERROR(VLOOKUP($A99,'[93]4月'!$A:$H,8,0),0)</f>
        <v>0</v>
      </c>
      <c r="AC99" s="688">
        <v>749</v>
      </c>
      <c r="AD99" s="688">
        <f>IFERROR(VLOOKUP($A99,'[93]6月'!$A:$H,8,0),0)</f>
        <v>0</v>
      </c>
      <c r="AE99" s="688">
        <v>788</v>
      </c>
      <c r="AF99" s="688">
        <v>197</v>
      </c>
      <c r="AG99" s="688">
        <v>683.4</v>
      </c>
      <c r="AH99" s="688">
        <v>298</v>
      </c>
      <c r="AI99" s="688">
        <f>IFERROR(VLOOKUP($A99,'[93]11月'!$A:$H,8,0),0)</f>
        <v>0</v>
      </c>
      <c r="AJ99" s="688">
        <v>2477.1999999999998</v>
      </c>
      <c r="AK99" s="688">
        <f t="shared" si="37"/>
        <v>5528.6</v>
      </c>
    </row>
    <row r="100" spans="1:37" ht="11.1" customHeight="1">
      <c r="A100" s="653">
        <f>'Budget-合并'!A100</f>
        <v>0</v>
      </c>
      <c r="B100" s="653" t="str">
        <f>'Budget-合并'!B100</f>
        <v xml:space="preserve">    其他项目04</v>
      </c>
      <c r="C100" s="687" t="str">
        <f>'Budget-合并'!C100</f>
        <v xml:space="preserve">   Other project</v>
      </c>
      <c r="D100" s="676">
        <f t="shared" si="31"/>
        <v>0</v>
      </c>
      <c r="E100" s="676" t="e">
        <f>INDEX($Y100:AHV100,1,MATCH($E$6,$Y$6:$AJ$6))</f>
        <v>#N/A</v>
      </c>
      <c r="F100" s="676" t="e">
        <f t="shared" si="32"/>
        <v>#N/A</v>
      </c>
      <c r="G100" s="676">
        <f t="shared" ca="1" si="33"/>
        <v>0</v>
      </c>
      <c r="H100" s="676" t="e">
        <f t="shared" ca="1" si="34"/>
        <v>#N/A</v>
      </c>
      <c r="I100" s="676" t="e">
        <f t="shared" ca="1" si="35"/>
        <v>#N/A</v>
      </c>
      <c r="K100" s="676"/>
      <c r="L100" s="676"/>
      <c r="M100" s="676"/>
      <c r="N100" s="676"/>
      <c r="O100" s="676"/>
      <c r="P100" s="676"/>
      <c r="Q100" s="676"/>
      <c r="R100" s="676"/>
      <c r="S100" s="676"/>
      <c r="T100" s="676"/>
      <c r="U100" s="676"/>
      <c r="V100" s="676"/>
      <c r="W100" s="676">
        <f t="shared" si="43"/>
        <v>0</v>
      </c>
      <c r="Y100" s="688">
        <f>IFERROR(VLOOKUP(A100,'[93]1月'!$A:$H,8,0),0)</f>
        <v>0</v>
      </c>
      <c r="Z100" s="688">
        <f>IFERROR(VLOOKUP(A100,'[93]2月'!$A:$H,8,0),0)</f>
        <v>0</v>
      </c>
      <c r="AA100" s="688">
        <f>IFERROR(VLOOKUP($A100,'[93]3月'!$A:$H,8,0),0)</f>
        <v>0</v>
      </c>
      <c r="AB100" s="688">
        <f>IFERROR(VLOOKUP($A100,'[93]4月'!$A:$H,8,0),0)</f>
        <v>0</v>
      </c>
      <c r="AC100" s="688">
        <v>179.79</v>
      </c>
      <c r="AD100" s="688">
        <v>87.6</v>
      </c>
      <c r="AE100" s="688"/>
      <c r="AF100" s="688">
        <v>425</v>
      </c>
      <c r="AG100" s="688"/>
      <c r="AH100" s="688">
        <v>744.2</v>
      </c>
      <c r="AI100" s="688">
        <f>IFERROR(VLOOKUP($A100,'[93]11月'!$A:$H,8,0),0)</f>
        <v>0</v>
      </c>
      <c r="AJ100" s="688">
        <v>1333.78</v>
      </c>
      <c r="AK100" s="688">
        <f t="shared" si="37"/>
        <v>2770.37</v>
      </c>
    </row>
    <row r="101" spans="1:37" ht="11.1" customHeight="1">
      <c r="A101" s="653" t="str">
        <f>'Budget-合并'!A101</f>
        <v>6602.09.03</v>
      </c>
      <c r="B101" s="653" t="str">
        <f>'Budget-合并'!B101</f>
        <v>地面交通费</v>
      </c>
      <c r="C101" s="687" t="str">
        <f>'Budget-合并'!C101</f>
        <v>Travel Ground Transport - Outstation</v>
      </c>
      <c r="D101" s="676">
        <f t="shared" si="31"/>
        <v>10600</v>
      </c>
      <c r="E101" s="676" t="e">
        <f>INDEX($Y101:AHV101,1,MATCH($E$6,$Y$6:$AJ$6))</f>
        <v>#N/A</v>
      </c>
      <c r="F101" s="676" t="e">
        <f t="shared" si="32"/>
        <v>#N/A</v>
      </c>
      <c r="G101" s="676">
        <f t="shared" ca="1" si="33"/>
        <v>10600</v>
      </c>
      <c r="H101" s="676" t="e">
        <f t="shared" ca="1" si="34"/>
        <v>#N/A</v>
      </c>
      <c r="I101" s="676" t="e">
        <f t="shared" ca="1" si="35"/>
        <v>#N/A</v>
      </c>
      <c r="K101" s="676">
        <f>SUM(K102:K104)</f>
        <v>10600</v>
      </c>
      <c r="L101" s="676">
        <f t="shared" ref="L101:V101" si="47">SUM(L102:L104)</f>
        <v>10600</v>
      </c>
      <c r="M101" s="676">
        <f t="shared" si="47"/>
        <v>10600</v>
      </c>
      <c r="N101" s="676">
        <f t="shared" si="47"/>
        <v>10600</v>
      </c>
      <c r="O101" s="676">
        <f t="shared" si="47"/>
        <v>10600</v>
      </c>
      <c r="P101" s="676">
        <f t="shared" si="47"/>
        <v>10600</v>
      </c>
      <c r="Q101" s="676">
        <f t="shared" si="47"/>
        <v>10600</v>
      </c>
      <c r="R101" s="676">
        <f t="shared" si="47"/>
        <v>10600</v>
      </c>
      <c r="S101" s="676">
        <f t="shared" si="47"/>
        <v>10600</v>
      </c>
      <c r="T101" s="676">
        <f t="shared" si="47"/>
        <v>10600</v>
      </c>
      <c r="U101" s="676">
        <f t="shared" si="47"/>
        <v>10600</v>
      </c>
      <c r="V101" s="676">
        <f t="shared" si="47"/>
        <v>10600</v>
      </c>
      <c r="W101" s="676">
        <f t="shared" si="43"/>
        <v>127200</v>
      </c>
      <c r="Y101" s="688">
        <f>IFERROR(VLOOKUP(A101,'[93]1月'!$A:$H,8,0),0)</f>
        <v>1044</v>
      </c>
      <c r="Z101" s="688">
        <f>IFERROR(VLOOKUP(A101,'[93]2月'!$A:$H,8,0),0)</f>
        <v>203.5</v>
      </c>
      <c r="AA101" s="688">
        <f>IFERROR(VLOOKUP($A101,'[93]3月'!$A:$H,8,0),0)</f>
        <v>754.89</v>
      </c>
      <c r="AB101" s="688">
        <f>IFERROR(VLOOKUP($A101,'[93]4月'!$A:$H,8,0),0)</f>
        <v>0</v>
      </c>
      <c r="AC101" s="688">
        <f>IFERROR(VLOOKUP($A101,'[93]5月'!$A:$H,8,0),0)</f>
        <v>9987.91</v>
      </c>
      <c r="AD101" s="688">
        <f>IFERROR(VLOOKUP($A101,'[93]6月'!$A:$H,8,0),0)</f>
        <v>3663.78</v>
      </c>
      <c r="AE101" s="688">
        <f>IFERROR(VLOOKUP($A101,'[93]7月'!$A:$H,8,0),0)</f>
        <v>8782.43</v>
      </c>
      <c r="AF101" s="688">
        <f>IFERROR(VLOOKUP($A101,'[93]8月'!$A:$H,8,0),0)</f>
        <v>5704.64</v>
      </c>
      <c r="AG101" s="688">
        <f>IFERROR(VLOOKUP($A101,'[93]9月'!$A:$H,8,0),0)</f>
        <v>5135.4799999999996</v>
      </c>
      <c r="AH101" s="688">
        <f>IFERROR(VLOOKUP($A101,'[93]10月'!$A:$H,8,0),0)</f>
        <v>3211.26</v>
      </c>
      <c r="AI101" s="688">
        <f>IFERROR(VLOOKUP($A101,'[93]11月'!$A:$H,8,0),0)</f>
        <v>3184.5</v>
      </c>
      <c r="AJ101" s="688">
        <f>IFERROR(VLOOKUP($A101,'[93]12月'!$A:$H,8,0),0)</f>
        <v>41397.199999999997</v>
      </c>
      <c r="AK101" s="688">
        <f t="shared" si="37"/>
        <v>83069.59</v>
      </c>
    </row>
    <row r="102" spans="1:37" ht="11.1" customHeight="1">
      <c r="A102" s="696">
        <f>$A$94</f>
        <v>0.09</v>
      </c>
      <c r="B102" s="653" t="str">
        <f>'Budget-合并'!B102</f>
        <v xml:space="preserve">    公司主体05</v>
      </c>
      <c r="C102" s="687" t="str">
        <f>'Budget-合并'!C102</f>
        <v xml:space="preserve">   Entity</v>
      </c>
      <c r="D102" s="676">
        <f t="shared" si="31"/>
        <v>954</v>
      </c>
      <c r="E102" s="676" t="e">
        <f>INDEX($Y102:AHV102,1,MATCH($E$6,$Y$6:$AJ$6))</f>
        <v>#N/A</v>
      </c>
      <c r="F102" s="676" t="e">
        <f t="shared" si="32"/>
        <v>#N/A</v>
      </c>
      <c r="G102" s="676">
        <f t="shared" ca="1" si="33"/>
        <v>954</v>
      </c>
      <c r="H102" s="676" t="e">
        <f t="shared" ca="1" si="34"/>
        <v>#N/A</v>
      </c>
      <c r="I102" s="676" t="e">
        <f t="shared" ca="1" si="35"/>
        <v>#N/A</v>
      </c>
      <c r="K102" s="676">
        <f>SUMIFS('T&amp;E'!N$109:N$118,'T&amp;E'!$B$109:$B$118,$D$1,'T&amp;E'!$C$109:$C$118,$A$101)*$A102</f>
        <v>954</v>
      </c>
      <c r="L102" s="676">
        <f>SUMIFS('T&amp;E'!O$109:O$118,'T&amp;E'!$B$109:$B$118,$D$1,'T&amp;E'!$C$109:$C$118,$A$101)*$A102</f>
        <v>954</v>
      </c>
      <c r="M102" s="676">
        <f>SUMIFS('T&amp;E'!P$109:P$118,'T&amp;E'!$B$109:$B$118,$D$1,'T&amp;E'!$C$109:$C$118,$A$101)*$A102</f>
        <v>954</v>
      </c>
      <c r="N102" s="676">
        <f>SUMIFS('T&amp;E'!Q$109:Q$118,'T&amp;E'!$B$109:$B$118,$D$1,'T&amp;E'!$C$109:$C$118,$A$101)*$A102</f>
        <v>954</v>
      </c>
      <c r="O102" s="676">
        <f>SUMIFS('T&amp;E'!R$109:R$118,'T&amp;E'!$B$109:$B$118,$D$1,'T&amp;E'!$C$109:$C$118,$A$101)*$A102</f>
        <v>954</v>
      </c>
      <c r="P102" s="676">
        <f>SUMIFS('T&amp;E'!S$109:S$118,'T&amp;E'!$B$109:$B$118,$D$1,'T&amp;E'!$C$109:$C$118,$A$101)*$A102</f>
        <v>954</v>
      </c>
      <c r="Q102" s="676">
        <f>SUMIFS('T&amp;E'!T$109:T$118,'T&amp;E'!$B$109:$B$118,$D$1,'T&amp;E'!$C$109:$C$118,$A$101)*$A102</f>
        <v>954</v>
      </c>
      <c r="R102" s="676">
        <f>SUMIFS('T&amp;E'!U$109:U$118,'T&amp;E'!$B$109:$B$118,$D$1,'T&amp;E'!$C$109:$C$118,$A$101)*$A102</f>
        <v>954</v>
      </c>
      <c r="S102" s="676">
        <f>SUMIFS('T&amp;E'!V$109:V$118,'T&amp;E'!$B$109:$B$118,$D$1,'T&amp;E'!$C$109:$C$118,$A$101)*$A102</f>
        <v>954</v>
      </c>
      <c r="T102" s="676">
        <f>SUMIFS('T&amp;E'!W$109:W$118,'T&amp;E'!$B$109:$B$118,$D$1,'T&amp;E'!$C$109:$C$118,$A$101)*$A102</f>
        <v>954</v>
      </c>
      <c r="U102" s="676">
        <f>SUMIFS('T&amp;E'!X$109:X$118,'T&amp;E'!$B$109:$B$118,$D$1,'T&amp;E'!$C$109:$C$118,$A$101)*$A102</f>
        <v>954</v>
      </c>
      <c r="V102" s="676">
        <f>SUMIFS('T&amp;E'!Y$109:Y$118,'T&amp;E'!$B$109:$B$118,$D$1,'T&amp;E'!$C$109:$C$118,$A$101)*$A102</f>
        <v>954</v>
      </c>
      <c r="W102" s="676">
        <f t="shared" si="43"/>
        <v>11448</v>
      </c>
      <c r="Y102" s="676">
        <v>866.4</v>
      </c>
      <c r="Z102" s="688">
        <f>IFERROR(VLOOKUP(A102,'[93]2月'!$A:$H,8,0),0)</f>
        <v>0</v>
      </c>
      <c r="AA102" s="688">
        <v>187.97</v>
      </c>
      <c r="AB102" s="688">
        <f>IFERROR(VLOOKUP($A102,'[93]4月'!$A:$H,8,0),0)</f>
        <v>0</v>
      </c>
      <c r="AC102" s="688">
        <v>1998.24</v>
      </c>
      <c r="AD102" s="688">
        <v>1595</v>
      </c>
      <c r="AE102" s="688">
        <v>662.44</v>
      </c>
      <c r="AF102" s="688">
        <v>1537.7</v>
      </c>
      <c r="AG102" s="688">
        <v>839.33</v>
      </c>
      <c r="AH102" s="688">
        <v>414.2</v>
      </c>
      <c r="AI102" s="688">
        <v>340</v>
      </c>
      <c r="AJ102" s="688">
        <v>12104.07</v>
      </c>
      <c r="AK102" s="688">
        <f t="shared" si="37"/>
        <v>20545.349999999999</v>
      </c>
    </row>
    <row r="103" spans="1:37" ht="11.1" customHeight="1">
      <c r="A103" s="696">
        <f>$A$95</f>
        <v>0.91</v>
      </c>
      <c r="B103" s="653" t="str">
        <f>'Budget-合并'!B103</f>
        <v xml:space="preserve">    旭智富能05</v>
      </c>
      <c r="C103" s="687" t="str">
        <f>'Budget-合并'!C103</f>
        <v xml:space="preserve">   Foxpower</v>
      </c>
      <c r="D103" s="676">
        <f t="shared" si="31"/>
        <v>9646</v>
      </c>
      <c r="E103" s="676" t="e">
        <f>INDEX($Y103:AHV103,1,MATCH($E$6,$Y$6:$AJ$6))</f>
        <v>#N/A</v>
      </c>
      <c r="F103" s="676" t="e">
        <f t="shared" si="32"/>
        <v>#N/A</v>
      </c>
      <c r="G103" s="676">
        <f t="shared" ca="1" si="33"/>
        <v>9646</v>
      </c>
      <c r="H103" s="676" t="e">
        <f t="shared" ca="1" si="34"/>
        <v>#N/A</v>
      </c>
      <c r="I103" s="676" t="e">
        <f t="shared" ca="1" si="35"/>
        <v>#N/A</v>
      </c>
      <c r="K103" s="676">
        <f>SUMIFS('T&amp;E'!N$109:N$118,'T&amp;E'!$B$109:$B$118,$D$1,'T&amp;E'!$C$109:$C$118,$A$101)*$A103</f>
        <v>9646</v>
      </c>
      <c r="L103" s="676">
        <f>SUMIFS('T&amp;E'!O$109:O$118,'T&amp;E'!$B$109:$B$118,$D$1,'T&amp;E'!$C$109:$C$118,$A$101)*$A103</f>
        <v>9646</v>
      </c>
      <c r="M103" s="676">
        <f>SUMIFS('T&amp;E'!P$109:P$118,'T&amp;E'!$B$109:$B$118,$D$1,'T&amp;E'!$C$109:$C$118,$A$101)*$A103</f>
        <v>9646</v>
      </c>
      <c r="N103" s="676">
        <f>SUMIFS('T&amp;E'!Q$109:Q$118,'T&amp;E'!$B$109:$B$118,$D$1,'T&amp;E'!$C$109:$C$118,$A$101)*$A103</f>
        <v>9646</v>
      </c>
      <c r="O103" s="676">
        <f>SUMIFS('T&amp;E'!R$109:R$118,'T&amp;E'!$B$109:$B$118,$D$1,'T&amp;E'!$C$109:$C$118,$A$101)*$A103</f>
        <v>9646</v>
      </c>
      <c r="P103" s="676">
        <f>SUMIFS('T&amp;E'!S$109:S$118,'T&amp;E'!$B$109:$B$118,$D$1,'T&amp;E'!$C$109:$C$118,$A$101)*$A103</f>
        <v>9646</v>
      </c>
      <c r="Q103" s="676">
        <f>SUMIFS('T&amp;E'!T$109:T$118,'T&amp;E'!$B$109:$B$118,$D$1,'T&amp;E'!$C$109:$C$118,$A$101)*$A103</f>
        <v>9646</v>
      </c>
      <c r="R103" s="676">
        <f>SUMIFS('T&amp;E'!U$109:U$118,'T&amp;E'!$B$109:$B$118,$D$1,'T&amp;E'!$C$109:$C$118,$A$101)*$A103</f>
        <v>9646</v>
      </c>
      <c r="S103" s="676">
        <f>SUMIFS('T&amp;E'!V$109:V$118,'T&amp;E'!$B$109:$B$118,$D$1,'T&amp;E'!$C$109:$C$118,$A$101)*$A103</f>
        <v>9646</v>
      </c>
      <c r="T103" s="676">
        <f>SUMIFS('T&amp;E'!W$109:W$118,'T&amp;E'!$B$109:$B$118,$D$1,'T&amp;E'!$C$109:$C$118,$A$101)*$A103</f>
        <v>9646</v>
      </c>
      <c r="U103" s="676">
        <f>SUMIFS('T&amp;E'!X$109:X$118,'T&amp;E'!$B$109:$B$118,$D$1,'T&amp;E'!$C$109:$C$118,$A$101)*$A103</f>
        <v>9646</v>
      </c>
      <c r="V103" s="676">
        <f>SUMIFS('T&amp;E'!Y$109:Y$118,'T&amp;E'!$B$109:$B$118,$D$1,'T&amp;E'!$C$109:$C$118,$A$101)*$A103</f>
        <v>9646</v>
      </c>
      <c r="W103" s="676">
        <f t="shared" si="43"/>
        <v>115752</v>
      </c>
      <c r="Y103" s="676">
        <v>177.6</v>
      </c>
      <c r="Z103" s="688">
        <v>203.5</v>
      </c>
      <c r="AA103" s="688"/>
      <c r="AB103" s="688">
        <f>IFERROR(VLOOKUP($A103,'[93]4月'!$A:$H,8,0),0)</f>
        <v>0</v>
      </c>
      <c r="AC103" s="688">
        <v>4071.31</v>
      </c>
      <c r="AD103" s="688">
        <v>903</v>
      </c>
      <c r="AE103" s="688">
        <v>8119.99</v>
      </c>
      <c r="AF103" s="688">
        <v>2073.1</v>
      </c>
      <c r="AG103" s="688">
        <v>3771.38</v>
      </c>
      <c r="AH103" s="688">
        <v>1180.6500000000001</v>
      </c>
      <c r="AI103" s="688">
        <v>2685.78</v>
      </c>
      <c r="AJ103" s="688">
        <v>24355.54</v>
      </c>
      <c r="AK103" s="688">
        <f t="shared" si="37"/>
        <v>47541.850000000006</v>
      </c>
    </row>
    <row r="104" spans="1:37" ht="11.1" customHeight="1">
      <c r="A104" s="653">
        <f>'Budget-合并'!A104</f>
        <v>0</v>
      </c>
      <c r="B104" s="653" t="str">
        <f>'Budget-合并'!B104</f>
        <v xml:space="preserve">    其他项目05</v>
      </c>
      <c r="C104" s="687" t="str">
        <f>'Budget-合并'!C104</f>
        <v xml:space="preserve">   Other project</v>
      </c>
      <c r="D104" s="676">
        <f t="shared" si="31"/>
        <v>0</v>
      </c>
      <c r="E104" s="676" t="e">
        <f>INDEX($Y104:AHV104,1,MATCH($E$6,$Y$6:$AJ$6))</f>
        <v>#N/A</v>
      </c>
      <c r="F104" s="676" t="e">
        <f t="shared" si="32"/>
        <v>#N/A</v>
      </c>
      <c r="G104" s="676">
        <f t="shared" ca="1" si="33"/>
        <v>0</v>
      </c>
      <c r="H104" s="676" t="e">
        <f t="shared" ca="1" si="34"/>
        <v>#N/A</v>
      </c>
      <c r="I104" s="676" t="e">
        <f t="shared" ca="1" si="35"/>
        <v>#N/A</v>
      </c>
      <c r="K104" s="676"/>
      <c r="L104" s="676"/>
      <c r="M104" s="676"/>
      <c r="N104" s="676"/>
      <c r="O104" s="676"/>
      <c r="P104" s="676"/>
      <c r="Q104" s="676"/>
      <c r="R104" s="676"/>
      <c r="S104" s="676"/>
      <c r="T104" s="676"/>
      <c r="U104" s="676"/>
      <c r="V104" s="676"/>
      <c r="W104" s="676">
        <f t="shared" si="43"/>
        <v>0</v>
      </c>
      <c r="Y104" s="676"/>
      <c r="Z104" s="688">
        <f>IFERROR(VLOOKUP(A104,'[93]2月'!$A:$H,8,0),0)</f>
        <v>0</v>
      </c>
      <c r="AA104" s="688">
        <v>566.91999999999996</v>
      </c>
      <c r="AB104" s="688">
        <f>IFERROR(VLOOKUP($A104,'[93]4月'!$A:$H,8,0),0)</f>
        <v>0</v>
      </c>
      <c r="AC104" s="688">
        <v>3918.36</v>
      </c>
      <c r="AD104" s="688">
        <v>1165.78</v>
      </c>
      <c r="AE104" s="688"/>
      <c r="AF104" s="688">
        <v>2093.84</v>
      </c>
      <c r="AG104" s="688">
        <v>524.77</v>
      </c>
      <c r="AH104" s="688">
        <v>1616.41</v>
      </c>
      <c r="AI104" s="688">
        <v>158.72</v>
      </c>
      <c r="AJ104" s="688">
        <v>4937.59</v>
      </c>
      <c r="AK104" s="688">
        <f t="shared" si="37"/>
        <v>14982.39</v>
      </c>
    </row>
    <row r="105" spans="1:37" ht="11.1" customHeight="1">
      <c r="A105" s="653" t="str">
        <f>'Budget-合并'!A105</f>
        <v>6602.09.04</v>
      </c>
      <c r="B105" s="653" t="str">
        <f>'Budget-合并'!B105</f>
        <v>空中交通费</v>
      </c>
      <c r="C105" s="687" t="str">
        <f>'Budget-合并'!C105</f>
        <v>Travel Air Transport</v>
      </c>
      <c r="D105" s="676">
        <f t="shared" si="31"/>
        <v>5600</v>
      </c>
      <c r="E105" s="676" t="e">
        <f>INDEX($Y105:AHV105,1,MATCH($E$6,$Y$6:$AJ$6))</f>
        <v>#N/A</v>
      </c>
      <c r="F105" s="676" t="e">
        <f t="shared" si="32"/>
        <v>#N/A</v>
      </c>
      <c r="G105" s="676">
        <f t="shared" ca="1" si="33"/>
        <v>5600</v>
      </c>
      <c r="H105" s="676" t="e">
        <f t="shared" ca="1" si="34"/>
        <v>#N/A</v>
      </c>
      <c r="I105" s="676" t="e">
        <f t="shared" ca="1" si="35"/>
        <v>#N/A</v>
      </c>
      <c r="K105" s="676">
        <f>SUM(K106:K108)</f>
        <v>5600</v>
      </c>
      <c r="L105" s="676">
        <f t="shared" ref="L105:V105" si="48">SUM(L106:L108)</f>
        <v>5600</v>
      </c>
      <c r="M105" s="676">
        <f t="shared" si="48"/>
        <v>5600</v>
      </c>
      <c r="N105" s="676">
        <f t="shared" si="48"/>
        <v>5600</v>
      </c>
      <c r="O105" s="676">
        <f t="shared" si="48"/>
        <v>5600</v>
      </c>
      <c r="P105" s="676">
        <f t="shared" si="48"/>
        <v>5600</v>
      </c>
      <c r="Q105" s="676">
        <f t="shared" si="48"/>
        <v>5600</v>
      </c>
      <c r="R105" s="676">
        <f t="shared" si="48"/>
        <v>5600</v>
      </c>
      <c r="S105" s="676">
        <f t="shared" si="48"/>
        <v>5600</v>
      </c>
      <c r="T105" s="676">
        <f t="shared" si="48"/>
        <v>5600</v>
      </c>
      <c r="U105" s="676">
        <f t="shared" si="48"/>
        <v>5600</v>
      </c>
      <c r="V105" s="676">
        <f t="shared" si="48"/>
        <v>5600</v>
      </c>
      <c r="W105" s="676">
        <f t="shared" si="43"/>
        <v>67200</v>
      </c>
      <c r="Y105" s="688">
        <f>IFERROR(VLOOKUP(A105,'[93]1月'!$A:$H,8,0),0)</f>
        <v>0</v>
      </c>
      <c r="Z105" s="688">
        <f>IFERROR(VLOOKUP(A105,'[93]2月'!$A:$H,8,0),0)</f>
        <v>0</v>
      </c>
      <c r="AA105" s="688">
        <f>IFERROR(VLOOKUP($A105,'[93]3月'!$A:$H,8,0),0)</f>
        <v>6997</v>
      </c>
      <c r="AB105" s="688">
        <f>IFERROR(VLOOKUP($A105,'[93]4月'!$A:$H,8,0),0)</f>
        <v>0</v>
      </c>
      <c r="AC105" s="688">
        <f>IFERROR(VLOOKUP($A105,'[93]5月'!$A:$H,8,0),0)</f>
        <v>20533.04</v>
      </c>
      <c r="AD105" s="688">
        <f>IFERROR(VLOOKUP($A105,'[93]6月'!$A:$H,8,0),0)</f>
        <v>19680</v>
      </c>
      <c r="AE105" s="688">
        <f>IFERROR(VLOOKUP($A105,'[93]7月'!$A:$H,8,0),0)</f>
        <v>8940</v>
      </c>
      <c r="AF105" s="688">
        <f>IFERROR(VLOOKUP($A105,'[93]8月'!$A:$H,8,0),0)</f>
        <v>18040</v>
      </c>
      <c r="AG105" s="688">
        <f>IFERROR(VLOOKUP($A105,'[93]9月'!$A:$H,8,0),0)</f>
        <v>14780</v>
      </c>
      <c r="AH105" s="688">
        <f>IFERROR(VLOOKUP($A105,'[93]10月'!$A:$H,8,0),0)</f>
        <v>4290.2</v>
      </c>
      <c r="AI105" s="688">
        <f>IFERROR(VLOOKUP($A105,'[93]11月'!$A:$H,8,0),0)</f>
        <v>14241.81</v>
      </c>
      <c r="AJ105" s="688">
        <f>IFERROR(VLOOKUP($A105,'[93]12月'!$A:$H,8,0),0)</f>
        <v>16294.11</v>
      </c>
      <c r="AK105" s="688">
        <f t="shared" si="37"/>
        <v>123796.16</v>
      </c>
    </row>
    <row r="106" spans="1:37" ht="11.1" customHeight="1">
      <c r="A106" s="696">
        <f>$A$94</f>
        <v>0.09</v>
      </c>
      <c r="B106" s="653" t="str">
        <f>'Budget-合并'!B106</f>
        <v xml:space="preserve">    公司主体06</v>
      </c>
      <c r="C106" s="687" t="str">
        <f>'Budget-合并'!C106</f>
        <v xml:space="preserve">   Entity</v>
      </c>
      <c r="D106" s="676">
        <f t="shared" si="31"/>
        <v>504</v>
      </c>
      <c r="E106" s="676" t="e">
        <f>INDEX($Y106:AHV106,1,MATCH($E$6,$Y$6:$AJ$6))</f>
        <v>#N/A</v>
      </c>
      <c r="F106" s="676" t="e">
        <f t="shared" si="32"/>
        <v>#N/A</v>
      </c>
      <c r="G106" s="676">
        <f t="shared" ca="1" si="33"/>
        <v>504</v>
      </c>
      <c r="H106" s="676" t="e">
        <f t="shared" ca="1" si="34"/>
        <v>#N/A</v>
      </c>
      <c r="I106" s="676" t="e">
        <f t="shared" ca="1" si="35"/>
        <v>#N/A</v>
      </c>
      <c r="K106" s="676">
        <f>SUMIFS('T&amp;E'!N$109:N$118,'T&amp;E'!$B$109:$B$118,$D$1,'T&amp;E'!$C$109:$C$118,$A$105)*$A106</f>
        <v>504</v>
      </c>
      <c r="L106" s="676">
        <f>SUMIFS('T&amp;E'!O$109:O$118,'T&amp;E'!$B$109:$B$118,$D$1,'T&amp;E'!$C$109:$C$118,$A$105)*$A106</f>
        <v>504</v>
      </c>
      <c r="M106" s="676">
        <f>SUMIFS('T&amp;E'!P$109:P$118,'T&amp;E'!$B$109:$B$118,$D$1,'T&amp;E'!$C$109:$C$118,$A$105)*$A106</f>
        <v>504</v>
      </c>
      <c r="N106" s="676">
        <f>SUMIFS('T&amp;E'!Q$109:Q$118,'T&amp;E'!$B$109:$B$118,$D$1,'T&amp;E'!$C$109:$C$118,$A$105)*$A106</f>
        <v>504</v>
      </c>
      <c r="O106" s="676">
        <f>SUMIFS('T&amp;E'!R$109:R$118,'T&amp;E'!$B$109:$B$118,$D$1,'T&amp;E'!$C$109:$C$118,$A$105)*$A106</f>
        <v>504</v>
      </c>
      <c r="P106" s="676">
        <f>SUMIFS('T&amp;E'!S$109:S$118,'T&amp;E'!$B$109:$B$118,$D$1,'T&amp;E'!$C$109:$C$118,$A$105)*$A106</f>
        <v>504</v>
      </c>
      <c r="Q106" s="676">
        <f>SUMIFS('T&amp;E'!T$109:T$118,'T&amp;E'!$B$109:$B$118,$D$1,'T&amp;E'!$C$109:$C$118,$A$105)*$A106</f>
        <v>504</v>
      </c>
      <c r="R106" s="676">
        <f>SUMIFS('T&amp;E'!U$109:U$118,'T&amp;E'!$B$109:$B$118,$D$1,'T&amp;E'!$C$109:$C$118,$A$105)*$A106</f>
        <v>504</v>
      </c>
      <c r="S106" s="676">
        <f>SUMIFS('T&amp;E'!V$109:V$118,'T&amp;E'!$B$109:$B$118,$D$1,'T&amp;E'!$C$109:$C$118,$A$105)*$A106</f>
        <v>504</v>
      </c>
      <c r="T106" s="676">
        <f>SUMIFS('T&amp;E'!W$109:W$118,'T&amp;E'!$B$109:$B$118,$D$1,'T&amp;E'!$C$109:$C$118,$A$105)*$A106</f>
        <v>504</v>
      </c>
      <c r="U106" s="676">
        <f>SUMIFS('T&amp;E'!X$109:X$118,'T&amp;E'!$B$109:$B$118,$D$1,'T&amp;E'!$C$109:$C$118,$A$105)*$A106</f>
        <v>504</v>
      </c>
      <c r="V106" s="676">
        <f>SUMIFS('T&amp;E'!Y$109:Y$118,'T&amp;E'!$B$109:$B$118,$D$1,'T&amp;E'!$C$109:$C$118,$A$105)*$A106</f>
        <v>504</v>
      </c>
      <c r="W106" s="676">
        <f t="shared" si="43"/>
        <v>6048</v>
      </c>
      <c r="Y106" s="688">
        <f>IFERROR(VLOOKUP(A106,'[93]1月'!$A:$H,8,0),0)</f>
        <v>0</v>
      </c>
      <c r="Z106" s="688">
        <f>IFERROR(VLOOKUP(A106,'[93]2月'!$A:$H,8,0),0)</f>
        <v>0</v>
      </c>
      <c r="AA106" s="688">
        <f>IFERROR(VLOOKUP($A106,'[93]3月'!$A:$H,8,0),0)</f>
        <v>0</v>
      </c>
      <c r="AB106" s="688">
        <f>IFERROR(VLOOKUP($A106,'[93]4月'!$A:$H,8,0),0)</f>
        <v>0</v>
      </c>
      <c r="AC106" s="688">
        <v>4140</v>
      </c>
      <c r="AD106" s="688">
        <v>3260</v>
      </c>
      <c r="AE106" s="688">
        <v>2430</v>
      </c>
      <c r="AF106" s="688">
        <v>8250</v>
      </c>
      <c r="AG106" s="688">
        <v>1740</v>
      </c>
      <c r="AH106" s="688">
        <v>-135.41</v>
      </c>
      <c r="AI106" s="688">
        <f>IFERROR(VLOOKUP($A106,'[93]11月'!$A:$H,8,0),0)</f>
        <v>0</v>
      </c>
      <c r="AJ106" s="688">
        <f>IFERROR(VLOOKUP($A106,'[93]12月'!$A:$H,8,0),0)</f>
        <v>0</v>
      </c>
      <c r="AK106" s="688">
        <f t="shared" si="37"/>
        <v>19684.59</v>
      </c>
    </row>
    <row r="107" spans="1:37" ht="11.1" customHeight="1">
      <c r="A107" s="696">
        <f>$A$95</f>
        <v>0.91</v>
      </c>
      <c r="B107" s="653" t="str">
        <f>'Budget-合并'!B107</f>
        <v xml:space="preserve">    旭智富能06</v>
      </c>
      <c r="C107" s="687" t="str">
        <f>'Budget-合并'!C107</f>
        <v xml:space="preserve">   Foxpower</v>
      </c>
      <c r="D107" s="676">
        <f t="shared" si="31"/>
        <v>5096</v>
      </c>
      <c r="E107" s="676" t="e">
        <f>INDEX($Y107:AHV107,1,MATCH($E$6,$Y$6:$AJ$6))</f>
        <v>#N/A</v>
      </c>
      <c r="F107" s="676" t="e">
        <f t="shared" si="32"/>
        <v>#N/A</v>
      </c>
      <c r="G107" s="676">
        <f t="shared" ca="1" si="33"/>
        <v>5096</v>
      </c>
      <c r="H107" s="676" t="e">
        <f t="shared" ca="1" si="34"/>
        <v>#N/A</v>
      </c>
      <c r="I107" s="676" t="e">
        <f t="shared" ca="1" si="35"/>
        <v>#N/A</v>
      </c>
      <c r="K107" s="676">
        <f>SUMIFS('T&amp;E'!N$109:N$118,'T&amp;E'!$B$109:$B$118,$D$1,'T&amp;E'!$C$109:$C$118,$A$105)*$A107</f>
        <v>5096</v>
      </c>
      <c r="L107" s="676">
        <f>SUMIFS('T&amp;E'!O$109:O$118,'T&amp;E'!$B$109:$B$118,$D$1,'T&amp;E'!$C$109:$C$118,$A$105)*$A107</f>
        <v>5096</v>
      </c>
      <c r="M107" s="676">
        <f>SUMIFS('T&amp;E'!P$109:P$118,'T&amp;E'!$B$109:$B$118,$D$1,'T&amp;E'!$C$109:$C$118,$A$105)*$A107</f>
        <v>5096</v>
      </c>
      <c r="N107" s="676">
        <f>SUMIFS('T&amp;E'!Q$109:Q$118,'T&amp;E'!$B$109:$B$118,$D$1,'T&amp;E'!$C$109:$C$118,$A$105)*$A107</f>
        <v>5096</v>
      </c>
      <c r="O107" s="676">
        <f>SUMIFS('T&amp;E'!R$109:R$118,'T&amp;E'!$B$109:$B$118,$D$1,'T&amp;E'!$C$109:$C$118,$A$105)*$A107</f>
        <v>5096</v>
      </c>
      <c r="P107" s="676">
        <f>SUMIFS('T&amp;E'!S$109:S$118,'T&amp;E'!$B$109:$B$118,$D$1,'T&amp;E'!$C$109:$C$118,$A$105)*$A107</f>
        <v>5096</v>
      </c>
      <c r="Q107" s="676">
        <f>SUMIFS('T&amp;E'!T$109:T$118,'T&amp;E'!$B$109:$B$118,$D$1,'T&amp;E'!$C$109:$C$118,$A$105)*$A107</f>
        <v>5096</v>
      </c>
      <c r="R107" s="676">
        <f>SUMIFS('T&amp;E'!U$109:U$118,'T&amp;E'!$B$109:$B$118,$D$1,'T&amp;E'!$C$109:$C$118,$A$105)*$A107</f>
        <v>5096</v>
      </c>
      <c r="S107" s="676">
        <f>SUMIFS('T&amp;E'!V$109:V$118,'T&amp;E'!$B$109:$B$118,$D$1,'T&amp;E'!$C$109:$C$118,$A$105)*$A107</f>
        <v>5096</v>
      </c>
      <c r="T107" s="676">
        <f>SUMIFS('T&amp;E'!W$109:W$118,'T&amp;E'!$B$109:$B$118,$D$1,'T&amp;E'!$C$109:$C$118,$A$105)*$A107</f>
        <v>5096</v>
      </c>
      <c r="U107" s="676">
        <f>SUMIFS('T&amp;E'!X$109:X$118,'T&amp;E'!$B$109:$B$118,$D$1,'T&amp;E'!$C$109:$C$118,$A$105)*$A107</f>
        <v>5096</v>
      </c>
      <c r="V107" s="676">
        <f>SUMIFS('T&amp;E'!Y$109:Y$118,'T&amp;E'!$B$109:$B$118,$D$1,'T&amp;E'!$C$109:$C$118,$A$105)*$A107</f>
        <v>5096</v>
      </c>
      <c r="W107" s="676">
        <f t="shared" si="43"/>
        <v>61152</v>
      </c>
      <c r="Y107" s="688">
        <f>IFERROR(VLOOKUP(A107,'[93]1月'!$A:$H,8,0),0)</f>
        <v>0</v>
      </c>
      <c r="Z107" s="688">
        <f>IFERROR(VLOOKUP(A107,'[93]2月'!$A:$H,8,0),0)</f>
        <v>0</v>
      </c>
      <c r="AA107" s="688">
        <f>IFERROR(VLOOKUP($A107,'[93]3月'!$A:$H,8,0),0)</f>
        <v>0</v>
      </c>
      <c r="AB107" s="688">
        <f>IFERROR(VLOOKUP($A107,'[93]4月'!$A:$H,8,0),0)</f>
        <v>0</v>
      </c>
      <c r="AC107" s="688">
        <v>10549.04</v>
      </c>
      <c r="AD107" s="688">
        <v>14050</v>
      </c>
      <c r="AE107" s="688">
        <v>3470</v>
      </c>
      <c r="AF107" s="688">
        <v>5220</v>
      </c>
      <c r="AG107" s="688">
        <v>7490</v>
      </c>
      <c r="AH107" s="688">
        <v>4867.3500000000004</v>
      </c>
      <c r="AI107" s="688">
        <v>9744.1</v>
      </c>
      <c r="AJ107" s="688">
        <v>10117.49</v>
      </c>
      <c r="AK107" s="688">
        <f t="shared" si="37"/>
        <v>65507.979999999996</v>
      </c>
    </row>
    <row r="108" spans="1:37" ht="11.1" customHeight="1">
      <c r="A108" s="653">
        <f>'Budget-合并'!A108</f>
        <v>0</v>
      </c>
      <c r="B108" s="653" t="str">
        <f>'Budget-合并'!B108</f>
        <v xml:space="preserve">    其他项目06</v>
      </c>
      <c r="C108" s="687" t="str">
        <f>'Budget-合并'!C108</f>
        <v xml:space="preserve">   Other project</v>
      </c>
      <c r="D108" s="676">
        <f t="shared" ref="D108:D151" si="49">INDEX($K108:$V108,1,MATCH($D$6,$K$6:$V$6))</f>
        <v>0</v>
      </c>
      <c r="E108" s="676" t="e">
        <f>INDEX($Y108:AHV108,1,MATCH($E$6,$Y$6:$AJ$6))</f>
        <v>#N/A</v>
      </c>
      <c r="F108" s="676" t="e">
        <f t="shared" ref="F108:F153" si="50">D108-E108</f>
        <v>#N/A</v>
      </c>
      <c r="G108" s="676">
        <f t="shared" ref="G108:G153" ca="1" si="51">SUM($K108:OFFSET($K108,0,MATCH(G$6,$K$6:$V$6)-1))</f>
        <v>0</v>
      </c>
      <c r="H108" s="676" t="e">
        <f t="shared" ref="H108:H153" ca="1" si="52">SUM($Y108:OFFSET($Y108,0,MATCH(H$6,$Y$6:$AJ$6)-1))</f>
        <v>#N/A</v>
      </c>
      <c r="I108" s="676" t="e">
        <f t="shared" ref="I108:I153" ca="1" si="53">G108-H108</f>
        <v>#N/A</v>
      </c>
      <c r="K108" s="676"/>
      <c r="L108" s="676"/>
      <c r="M108" s="676"/>
      <c r="N108" s="676"/>
      <c r="O108" s="676"/>
      <c r="P108" s="676"/>
      <c r="Q108" s="676"/>
      <c r="R108" s="676"/>
      <c r="S108" s="676"/>
      <c r="T108" s="676"/>
      <c r="U108" s="676"/>
      <c r="V108" s="676"/>
      <c r="W108" s="676">
        <f t="shared" si="43"/>
        <v>0</v>
      </c>
      <c r="Y108" s="688">
        <f>IFERROR(VLOOKUP(A108,'[93]1月'!$A:$H,8,0),0)</f>
        <v>0</v>
      </c>
      <c r="Z108" s="688">
        <f>IFERROR(VLOOKUP(A108,'[93]2月'!$A:$H,8,0),0)</f>
        <v>0</v>
      </c>
      <c r="AA108" s="688">
        <v>6997</v>
      </c>
      <c r="AB108" s="688">
        <f>IFERROR(VLOOKUP($A108,'[93]4月'!$A:$H,8,0),0)</f>
        <v>0</v>
      </c>
      <c r="AC108" s="688">
        <v>5844</v>
      </c>
      <c r="AD108" s="688">
        <v>2370</v>
      </c>
      <c r="AE108" s="688">
        <v>3040</v>
      </c>
      <c r="AF108" s="688">
        <v>4570</v>
      </c>
      <c r="AG108" s="688">
        <v>5550</v>
      </c>
      <c r="AH108" s="688">
        <v>-441.74</v>
      </c>
      <c r="AI108" s="688">
        <v>4497.71</v>
      </c>
      <c r="AJ108" s="688">
        <v>6176.62</v>
      </c>
      <c r="AK108" s="688">
        <f t="shared" ref="AK108:AK152" si="54">SUM(Y108:AJ108)</f>
        <v>38603.589999999997</v>
      </c>
    </row>
    <row r="109" spans="1:37" ht="11.1" customHeight="1">
      <c r="A109" s="653" t="str">
        <f>'Budget-合并'!A109</f>
        <v>6602.09.05</v>
      </c>
      <c r="B109" s="653" t="str">
        <f>'Budget-合并'!B109</f>
        <v>租车</v>
      </c>
      <c r="C109" s="687">
        <f>'Budget-合并'!C109</f>
        <v>0</v>
      </c>
      <c r="D109" s="676">
        <f t="shared" si="49"/>
        <v>0</v>
      </c>
      <c r="E109" s="676" t="e">
        <f>INDEX($Y109:AHV109,1,MATCH($E$6,$Y$6:$AJ$6))</f>
        <v>#N/A</v>
      </c>
      <c r="F109" s="676" t="e">
        <f t="shared" si="50"/>
        <v>#N/A</v>
      </c>
      <c r="G109" s="676">
        <f t="shared" ca="1" si="51"/>
        <v>0</v>
      </c>
      <c r="H109" s="676" t="e">
        <f t="shared" ca="1" si="52"/>
        <v>#N/A</v>
      </c>
      <c r="I109" s="676" t="e">
        <f t="shared" ca="1" si="53"/>
        <v>#N/A</v>
      </c>
      <c r="K109" s="676">
        <f t="shared" ref="K109:V109" si="55">SUM(K110:K112)</f>
        <v>0</v>
      </c>
      <c r="L109" s="676">
        <f t="shared" si="55"/>
        <v>0</v>
      </c>
      <c r="M109" s="676">
        <f t="shared" si="55"/>
        <v>0</v>
      </c>
      <c r="N109" s="676">
        <f t="shared" si="55"/>
        <v>0</v>
      </c>
      <c r="O109" s="676">
        <f t="shared" si="55"/>
        <v>0</v>
      </c>
      <c r="P109" s="676">
        <f t="shared" si="55"/>
        <v>0</v>
      </c>
      <c r="Q109" s="676">
        <f t="shared" si="55"/>
        <v>0</v>
      </c>
      <c r="R109" s="676">
        <f t="shared" si="55"/>
        <v>0</v>
      </c>
      <c r="S109" s="676">
        <f t="shared" si="55"/>
        <v>0</v>
      </c>
      <c r="T109" s="676">
        <f t="shared" si="55"/>
        <v>0</v>
      </c>
      <c r="U109" s="676">
        <f t="shared" si="55"/>
        <v>0</v>
      </c>
      <c r="V109" s="676">
        <f t="shared" si="55"/>
        <v>0</v>
      </c>
      <c r="W109" s="676">
        <f t="shared" si="43"/>
        <v>0</v>
      </c>
      <c r="Y109" s="688">
        <f>IFERROR(VLOOKUP(A109,'[93]1月'!$A:$H,8,0),0)</f>
        <v>0</v>
      </c>
      <c r="Z109" s="688">
        <f>IFERROR(VLOOKUP(A109,'[93]2月'!$A:$H,8,0),0)</f>
        <v>0</v>
      </c>
      <c r="AA109" s="688">
        <f>IFERROR(VLOOKUP($A109,'[93]3月'!$A:$H,8,0),0)</f>
        <v>0</v>
      </c>
      <c r="AB109" s="688">
        <f>IFERROR(VLOOKUP($A109,'[93]4月'!$A:$H,8,0),0)</f>
        <v>0</v>
      </c>
      <c r="AC109" s="688">
        <f>IFERROR(VLOOKUP($A109,'[93]5月'!$A:$H,8,0),0)</f>
        <v>0</v>
      </c>
      <c r="AD109" s="688">
        <f>IFERROR(VLOOKUP($A109,'[93]6月'!$A:$H,8,0),0)</f>
        <v>0</v>
      </c>
      <c r="AE109" s="688">
        <f>IFERROR(VLOOKUP($A109,'[93]7月'!$A:$H,8,0),0)</f>
        <v>0</v>
      </c>
      <c r="AF109" s="688">
        <f>IFERROR(VLOOKUP($A109,'[93]8月'!$A:$H,8,0),0)</f>
        <v>0</v>
      </c>
      <c r="AG109" s="688">
        <f>IFERROR(VLOOKUP($A109,'[93]9月'!$A:$H,8,0),0)</f>
        <v>0</v>
      </c>
      <c r="AH109" s="688">
        <f>IFERROR(VLOOKUP($A109,'[93]10月'!$A:$H,8,0),0)</f>
        <v>0</v>
      </c>
      <c r="AI109" s="688">
        <f>IFERROR(VLOOKUP($A109,'[93]11月'!$A:$H,8,0),0)</f>
        <v>0</v>
      </c>
      <c r="AJ109" s="688">
        <f>IFERROR(VLOOKUP($A109,'[93]12月'!$A:$H,8,0),0)</f>
        <v>0</v>
      </c>
      <c r="AK109" s="688">
        <f t="shared" si="54"/>
        <v>0</v>
      </c>
    </row>
    <row r="110" spans="1:37" ht="11.1" customHeight="1">
      <c r="A110" s="696">
        <f>$A$94</f>
        <v>0.09</v>
      </c>
      <c r="B110" s="653" t="str">
        <f>'Budget-合并'!B110</f>
        <v xml:space="preserve">    公司主体07</v>
      </c>
      <c r="C110" s="687" t="str">
        <f>'Budget-合并'!C110</f>
        <v xml:space="preserve">   Entity</v>
      </c>
      <c r="D110" s="676">
        <f t="shared" si="49"/>
        <v>0</v>
      </c>
      <c r="E110" s="676" t="e">
        <f>INDEX($Y110:AHV110,1,MATCH($E$6,$Y$6:$AJ$6))</f>
        <v>#N/A</v>
      </c>
      <c r="F110" s="676" t="e">
        <f t="shared" si="50"/>
        <v>#N/A</v>
      </c>
      <c r="G110" s="676">
        <f t="shared" ca="1" si="51"/>
        <v>0</v>
      </c>
      <c r="H110" s="676" t="e">
        <f t="shared" ca="1" si="52"/>
        <v>#N/A</v>
      </c>
      <c r="I110" s="676" t="e">
        <f t="shared" ca="1" si="53"/>
        <v>#N/A</v>
      </c>
      <c r="K110" s="676"/>
      <c r="L110" s="676"/>
      <c r="M110" s="676"/>
      <c r="N110" s="676"/>
      <c r="O110" s="676"/>
      <c r="P110" s="676"/>
      <c r="Q110" s="676"/>
      <c r="R110" s="676"/>
      <c r="S110" s="676"/>
      <c r="T110" s="676"/>
      <c r="U110" s="676"/>
      <c r="V110" s="676"/>
      <c r="W110" s="676">
        <f t="shared" si="43"/>
        <v>0</v>
      </c>
      <c r="Y110" s="688">
        <f>IFERROR(VLOOKUP(A110,'[93]1月'!$A:$H,8,0),0)</f>
        <v>0</v>
      </c>
      <c r="Z110" s="688">
        <f>IFERROR(VLOOKUP(A110,'[93]2月'!$A:$H,8,0),0)</f>
        <v>0</v>
      </c>
      <c r="AA110" s="688">
        <f>IFERROR(VLOOKUP($A110,'[93]3月'!$A:$H,8,0),0)</f>
        <v>0</v>
      </c>
      <c r="AB110" s="688">
        <f>IFERROR(VLOOKUP($A110,'[93]4月'!$A:$H,8,0),0)</f>
        <v>0</v>
      </c>
      <c r="AC110" s="688">
        <f>IFERROR(VLOOKUP($A110,'[93]5月'!$A:$H,8,0),0)</f>
        <v>0</v>
      </c>
      <c r="AD110" s="688">
        <f>IFERROR(VLOOKUP($A110,'[93]6月'!$A:$H,8,0),0)</f>
        <v>0</v>
      </c>
      <c r="AE110" s="688">
        <f>IFERROR(VLOOKUP($A110,'[93]7月'!$A:$H,8,0),0)</f>
        <v>0</v>
      </c>
      <c r="AF110" s="688">
        <f>IFERROR(VLOOKUP($A110,'[93]8月'!$A:$H,8,0),0)</f>
        <v>0</v>
      </c>
      <c r="AG110" s="688">
        <f>IFERROR(VLOOKUP($A110,'[93]9月'!$A:$H,8,0),0)</f>
        <v>0</v>
      </c>
      <c r="AH110" s="688">
        <f>IFERROR(VLOOKUP($A110,'[93]10月'!$A:$H,8,0),0)</f>
        <v>0</v>
      </c>
      <c r="AI110" s="688">
        <f>IFERROR(VLOOKUP($A110,'[93]11月'!$A:$H,8,0),0)</f>
        <v>0</v>
      </c>
      <c r="AJ110" s="688">
        <f>IFERROR(VLOOKUP($A110,'[93]12月'!$A:$H,8,0),0)</f>
        <v>0</v>
      </c>
      <c r="AK110" s="688">
        <f t="shared" si="54"/>
        <v>0</v>
      </c>
    </row>
    <row r="111" spans="1:37" ht="11.1" customHeight="1">
      <c r="A111" s="696">
        <f>$A$95</f>
        <v>0.91</v>
      </c>
      <c r="B111" s="653" t="str">
        <f>'Budget-合并'!B111</f>
        <v xml:space="preserve">    旭智富能07</v>
      </c>
      <c r="C111" s="687" t="str">
        <f>'Budget-合并'!C111</f>
        <v xml:space="preserve">   Foxpower</v>
      </c>
      <c r="D111" s="676">
        <f t="shared" si="49"/>
        <v>0</v>
      </c>
      <c r="E111" s="676" t="e">
        <f>INDEX($Y111:AHV111,1,MATCH($E$6,$Y$6:$AJ$6))</f>
        <v>#N/A</v>
      </c>
      <c r="F111" s="676" t="e">
        <f t="shared" si="50"/>
        <v>#N/A</v>
      </c>
      <c r="G111" s="676">
        <f t="shared" ca="1" si="51"/>
        <v>0</v>
      </c>
      <c r="H111" s="676" t="e">
        <f t="shared" ca="1" si="52"/>
        <v>#N/A</v>
      </c>
      <c r="I111" s="676" t="e">
        <f t="shared" ca="1" si="53"/>
        <v>#N/A</v>
      </c>
      <c r="K111" s="676"/>
      <c r="L111" s="676"/>
      <c r="M111" s="676"/>
      <c r="N111" s="676"/>
      <c r="O111" s="676"/>
      <c r="P111" s="676"/>
      <c r="Q111" s="676"/>
      <c r="R111" s="676"/>
      <c r="S111" s="676"/>
      <c r="T111" s="676"/>
      <c r="U111" s="676"/>
      <c r="V111" s="676"/>
      <c r="W111" s="676">
        <f t="shared" si="43"/>
        <v>0</v>
      </c>
      <c r="Y111" s="688">
        <f>IFERROR(VLOOKUP(A111,'[93]1月'!$A:$H,8,0),0)</f>
        <v>0</v>
      </c>
      <c r="Z111" s="688">
        <f>IFERROR(VLOOKUP(A111,'[93]2月'!$A:$H,8,0),0)</f>
        <v>0</v>
      </c>
      <c r="AA111" s="688">
        <f>IFERROR(VLOOKUP($A111,'[93]3月'!$A:$H,8,0),0)</f>
        <v>0</v>
      </c>
      <c r="AB111" s="688">
        <f>IFERROR(VLOOKUP($A111,'[93]4月'!$A:$H,8,0),0)</f>
        <v>0</v>
      </c>
      <c r="AC111" s="688">
        <f>IFERROR(VLOOKUP($A111,'[93]5月'!$A:$H,8,0),0)</f>
        <v>0</v>
      </c>
      <c r="AD111" s="688">
        <f>IFERROR(VLOOKUP($A111,'[93]6月'!$A:$H,8,0),0)</f>
        <v>0</v>
      </c>
      <c r="AE111" s="688">
        <f>IFERROR(VLOOKUP($A111,'[93]7月'!$A:$H,8,0),0)</f>
        <v>0</v>
      </c>
      <c r="AF111" s="688">
        <f>IFERROR(VLOOKUP($A111,'[93]8月'!$A:$H,8,0),0)</f>
        <v>0</v>
      </c>
      <c r="AG111" s="688">
        <f>IFERROR(VLOOKUP($A111,'[93]9月'!$A:$H,8,0),0)</f>
        <v>0</v>
      </c>
      <c r="AH111" s="688">
        <f>IFERROR(VLOOKUP($A111,'[93]10月'!$A:$H,8,0),0)</f>
        <v>0</v>
      </c>
      <c r="AI111" s="688">
        <f>IFERROR(VLOOKUP($A111,'[93]11月'!$A:$H,8,0),0)</f>
        <v>0</v>
      </c>
      <c r="AJ111" s="688">
        <f>IFERROR(VLOOKUP($A111,'[93]12月'!$A:$H,8,0),0)</f>
        <v>0</v>
      </c>
      <c r="AK111" s="688">
        <f t="shared" si="54"/>
        <v>0</v>
      </c>
    </row>
    <row r="112" spans="1:37" ht="11.1" customHeight="1">
      <c r="A112" s="653">
        <f>'Budget-合并'!A112</f>
        <v>0</v>
      </c>
      <c r="B112" s="653" t="str">
        <f>'Budget-合并'!B112</f>
        <v xml:space="preserve">    其他项目07</v>
      </c>
      <c r="C112" s="687" t="str">
        <f>'Budget-合并'!C112</f>
        <v xml:space="preserve">   Other project</v>
      </c>
      <c r="D112" s="676">
        <f t="shared" si="49"/>
        <v>0</v>
      </c>
      <c r="E112" s="676" t="e">
        <f>INDEX($Y112:AHV112,1,MATCH($E$6,$Y$6:$AJ$6))</f>
        <v>#N/A</v>
      </c>
      <c r="F112" s="676" t="e">
        <f t="shared" si="50"/>
        <v>#N/A</v>
      </c>
      <c r="G112" s="676">
        <f t="shared" ca="1" si="51"/>
        <v>0</v>
      </c>
      <c r="H112" s="676" t="e">
        <f t="shared" ca="1" si="52"/>
        <v>#N/A</v>
      </c>
      <c r="I112" s="676" t="e">
        <f t="shared" ca="1" si="53"/>
        <v>#N/A</v>
      </c>
      <c r="K112" s="676"/>
      <c r="L112" s="676"/>
      <c r="M112" s="676"/>
      <c r="N112" s="676"/>
      <c r="O112" s="676"/>
      <c r="P112" s="676"/>
      <c r="Q112" s="676"/>
      <c r="R112" s="676"/>
      <c r="S112" s="676"/>
      <c r="T112" s="676"/>
      <c r="U112" s="676"/>
      <c r="V112" s="676"/>
      <c r="W112" s="676">
        <f t="shared" si="43"/>
        <v>0</v>
      </c>
      <c r="Y112" s="688">
        <f>IFERROR(VLOOKUP(A112,'[93]1月'!$A:$H,8,0),0)</f>
        <v>0</v>
      </c>
      <c r="Z112" s="688">
        <f>IFERROR(VLOOKUP(A112,'[93]2月'!$A:$H,8,0),0)</f>
        <v>0</v>
      </c>
      <c r="AA112" s="688">
        <f>IFERROR(VLOOKUP($A112,'[93]3月'!$A:$H,8,0),0)</f>
        <v>0</v>
      </c>
      <c r="AB112" s="688">
        <f>IFERROR(VLOOKUP($A112,'[93]4月'!$A:$H,8,0),0)</f>
        <v>0</v>
      </c>
      <c r="AC112" s="688">
        <f>IFERROR(VLOOKUP($A112,'[93]5月'!$A:$H,8,0),0)</f>
        <v>0</v>
      </c>
      <c r="AD112" s="688">
        <f>IFERROR(VLOOKUP($A112,'[93]6月'!$A:$H,8,0),0)</f>
        <v>0</v>
      </c>
      <c r="AE112" s="688">
        <f>IFERROR(VLOOKUP($A112,'[93]7月'!$A:$H,8,0),0)</f>
        <v>0</v>
      </c>
      <c r="AF112" s="688">
        <f>IFERROR(VLOOKUP($A112,'[93]8月'!$A:$H,8,0),0)</f>
        <v>0</v>
      </c>
      <c r="AG112" s="688">
        <f>IFERROR(VLOOKUP($A112,'[93]9月'!$A:$H,8,0),0)</f>
        <v>0</v>
      </c>
      <c r="AH112" s="688">
        <f>IFERROR(VLOOKUP($A112,'[93]10月'!$A:$H,8,0),0)</f>
        <v>0</v>
      </c>
      <c r="AI112" s="688">
        <f>IFERROR(VLOOKUP($A112,'[93]11月'!$A:$H,8,0),0)</f>
        <v>0</v>
      </c>
      <c r="AJ112" s="688">
        <f>IFERROR(VLOOKUP($A112,'[93]12月'!$A:$H,8,0),0)</f>
        <v>0</v>
      </c>
      <c r="AK112" s="688">
        <f t="shared" si="54"/>
        <v>0</v>
      </c>
    </row>
    <row r="113" spans="1:37" ht="11.1" customHeight="1">
      <c r="A113" s="653" t="str">
        <f>'Budget-合并'!A113</f>
        <v>6602.09.06</v>
      </c>
      <c r="B113" s="653" t="str">
        <f>'Budget-合并'!B113</f>
        <v>其他汽车费用</v>
      </c>
      <c r="C113" s="687">
        <f>'Budget-合并'!C113</f>
        <v>0</v>
      </c>
      <c r="D113" s="676">
        <f t="shared" si="49"/>
        <v>0</v>
      </c>
      <c r="E113" s="676" t="e">
        <f>INDEX($Y113:AHV113,1,MATCH($E$6,$Y$6:$AJ$6))</f>
        <v>#N/A</v>
      </c>
      <c r="F113" s="676" t="e">
        <f t="shared" si="50"/>
        <v>#N/A</v>
      </c>
      <c r="G113" s="676">
        <f t="shared" ca="1" si="51"/>
        <v>0</v>
      </c>
      <c r="H113" s="676" t="e">
        <f t="shared" ca="1" si="52"/>
        <v>#N/A</v>
      </c>
      <c r="I113" s="676" t="e">
        <f t="shared" ca="1" si="53"/>
        <v>#N/A</v>
      </c>
      <c r="K113" s="676">
        <f t="shared" ref="K113:V113" si="56">SUM(K114:K116)</f>
        <v>0</v>
      </c>
      <c r="L113" s="676">
        <f t="shared" si="56"/>
        <v>0</v>
      </c>
      <c r="M113" s="676">
        <f t="shared" si="56"/>
        <v>0</v>
      </c>
      <c r="N113" s="676">
        <f t="shared" si="56"/>
        <v>0</v>
      </c>
      <c r="O113" s="676">
        <f t="shared" si="56"/>
        <v>0</v>
      </c>
      <c r="P113" s="676">
        <f t="shared" si="56"/>
        <v>0</v>
      </c>
      <c r="Q113" s="676">
        <f t="shared" si="56"/>
        <v>0</v>
      </c>
      <c r="R113" s="676">
        <f t="shared" si="56"/>
        <v>0</v>
      </c>
      <c r="S113" s="676">
        <f t="shared" si="56"/>
        <v>0</v>
      </c>
      <c r="T113" s="676">
        <f t="shared" si="56"/>
        <v>0</v>
      </c>
      <c r="U113" s="676">
        <f t="shared" si="56"/>
        <v>0</v>
      </c>
      <c r="V113" s="676">
        <f t="shared" si="56"/>
        <v>0</v>
      </c>
      <c r="W113" s="676">
        <f t="shared" si="43"/>
        <v>0</v>
      </c>
      <c r="Y113" s="688">
        <f>IFERROR(VLOOKUP(A113,'[93]1月'!$A:$H,8,0),0)</f>
        <v>0</v>
      </c>
      <c r="Z113" s="688">
        <f>IFERROR(VLOOKUP(A113,'[93]2月'!$A:$H,8,0),0)</f>
        <v>0</v>
      </c>
      <c r="AA113" s="688">
        <f>IFERROR(VLOOKUP($A113,'[93]3月'!$A:$H,8,0),0)</f>
        <v>0</v>
      </c>
      <c r="AB113" s="688">
        <f>IFERROR(VLOOKUP($A113,'[93]4月'!$A:$H,8,0),0)</f>
        <v>0</v>
      </c>
      <c r="AC113" s="688">
        <f>IFERROR(VLOOKUP($A113,'[93]5月'!$A:$H,8,0),0)</f>
        <v>0</v>
      </c>
      <c r="AD113" s="688">
        <f>IFERROR(VLOOKUP($A113,'[93]6月'!$A:$H,8,0),0)</f>
        <v>0</v>
      </c>
      <c r="AE113" s="688">
        <f>IFERROR(VLOOKUP($A113,'[93]7月'!$A:$H,8,0),0)</f>
        <v>0</v>
      </c>
      <c r="AF113" s="688">
        <f>IFERROR(VLOOKUP($A113,'[93]8月'!$A:$H,8,0),0)</f>
        <v>0</v>
      </c>
      <c r="AG113" s="688">
        <f>IFERROR(VLOOKUP($A113,'[93]9月'!$A:$H,8,0),0)</f>
        <v>0</v>
      </c>
      <c r="AH113" s="688">
        <f>IFERROR(VLOOKUP($A113,'[93]10月'!$A:$H,8,0),0)</f>
        <v>0</v>
      </c>
      <c r="AI113" s="688">
        <f>IFERROR(VLOOKUP($A113,'[93]11月'!$A:$H,8,0),0)</f>
        <v>0</v>
      </c>
      <c r="AJ113" s="688">
        <f>IFERROR(VLOOKUP($A113,'[93]12月'!$A:$H,8,0),0)</f>
        <v>0</v>
      </c>
      <c r="AK113" s="688">
        <f t="shared" si="54"/>
        <v>0</v>
      </c>
    </row>
    <row r="114" spans="1:37" ht="11.1" customHeight="1">
      <c r="A114" s="696">
        <f>$A$94</f>
        <v>0.09</v>
      </c>
      <c r="B114" s="653" t="str">
        <f>'Budget-合并'!B114</f>
        <v xml:space="preserve">    公司主体08</v>
      </c>
      <c r="C114" s="687" t="str">
        <f>'Budget-合并'!C114</f>
        <v xml:space="preserve">   Entity</v>
      </c>
      <c r="D114" s="676">
        <f t="shared" si="49"/>
        <v>0</v>
      </c>
      <c r="E114" s="676" t="e">
        <f>INDEX($Y114:AHV114,1,MATCH($E$6,$Y$6:$AJ$6))</f>
        <v>#N/A</v>
      </c>
      <c r="F114" s="676" t="e">
        <f t="shared" si="50"/>
        <v>#N/A</v>
      </c>
      <c r="G114" s="676">
        <f t="shared" ca="1" si="51"/>
        <v>0</v>
      </c>
      <c r="H114" s="676" t="e">
        <f t="shared" ca="1" si="52"/>
        <v>#N/A</v>
      </c>
      <c r="I114" s="676" t="e">
        <f t="shared" ca="1" si="53"/>
        <v>#N/A</v>
      </c>
      <c r="K114" s="676"/>
      <c r="L114" s="676"/>
      <c r="M114" s="676"/>
      <c r="N114" s="676"/>
      <c r="O114" s="676"/>
      <c r="P114" s="676"/>
      <c r="Q114" s="676"/>
      <c r="R114" s="676"/>
      <c r="S114" s="676"/>
      <c r="T114" s="676"/>
      <c r="U114" s="676"/>
      <c r="V114" s="676"/>
      <c r="W114" s="676">
        <f t="shared" si="43"/>
        <v>0</v>
      </c>
      <c r="Y114" s="688">
        <f>IFERROR(VLOOKUP(A114,'[93]1月'!$A:$H,8,0),0)</f>
        <v>0</v>
      </c>
      <c r="Z114" s="688">
        <f>IFERROR(VLOOKUP(A114,'[93]2月'!$A:$H,8,0),0)</f>
        <v>0</v>
      </c>
      <c r="AA114" s="688">
        <f>IFERROR(VLOOKUP($A114,'[93]3月'!$A:$H,8,0),0)</f>
        <v>0</v>
      </c>
      <c r="AB114" s="688">
        <f>IFERROR(VLOOKUP($A114,'[93]4月'!$A:$H,8,0),0)</f>
        <v>0</v>
      </c>
      <c r="AC114" s="688">
        <f>IFERROR(VLOOKUP($A114,'[93]5月'!$A:$H,8,0),0)</f>
        <v>0</v>
      </c>
      <c r="AD114" s="688">
        <f>IFERROR(VLOOKUP($A114,'[93]6月'!$A:$H,8,0),0)</f>
        <v>0</v>
      </c>
      <c r="AE114" s="688">
        <f>IFERROR(VLOOKUP($A114,'[93]7月'!$A:$H,8,0),0)</f>
        <v>0</v>
      </c>
      <c r="AF114" s="688">
        <f>IFERROR(VLOOKUP($A114,'[93]8月'!$A:$H,8,0),0)</f>
        <v>0</v>
      </c>
      <c r="AG114" s="688">
        <f>IFERROR(VLOOKUP($A114,'[93]9月'!$A:$H,8,0),0)</f>
        <v>0</v>
      </c>
      <c r="AH114" s="688">
        <f>IFERROR(VLOOKUP($A114,'[93]10月'!$A:$H,8,0),0)</f>
        <v>0</v>
      </c>
      <c r="AI114" s="688">
        <f>IFERROR(VLOOKUP($A114,'[93]11月'!$A:$H,8,0),0)</f>
        <v>0</v>
      </c>
      <c r="AJ114" s="688">
        <f>IFERROR(VLOOKUP($A114,'[93]12月'!$A:$H,8,0),0)</f>
        <v>0</v>
      </c>
      <c r="AK114" s="688">
        <f t="shared" si="54"/>
        <v>0</v>
      </c>
    </row>
    <row r="115" spans="1:37" ht="11.1" customHeight="1">
      <c r="A115" s="696">
        <f>$A$95</f>
        <v>0.91</v>
      </c>
      <c r="B115" s="653" t="str">
        <f>'Budget-合并'!B115</f>
        <v xml:space="preserve">    旭智富能08</v>
      </c>
      <c r="C115" s="687" t="str">
        <f>'Budget-合并'!C115</f>
        <v xml:space="preserve">   Foxpower</v>
      </c>
      <c r="D115" s="676">
        <f t="shared" si="49"/>
        <v>0</v>
      </c>
      <c r="E115" s="676" t="e">
        <f>INDEX($Y115:AHV115,1,MATCH($E$6,$Y$6:$AJ$6))</f>
        <v>#N/A</v>
      </c>
      <c r="F115" s="676" t="e">
        <f t="shared" si="50"/>
        <v>#N/A</v>
      </c>
      <c r="G115" s="676">
        <f t="shared" ca="1" si="51"/>
        <v>0</v>
      </c>
      <c r="H115" s="676" t="e">
        <f t="shared" ca="1" si="52"/>
        <v>#N/A</v>
      </c>
      <c r="I115" s="676" t="e">
        <f t="shared" ca="1" si="53"/>
        <v>#N/A</v>
      </c>
      <c r="K115" s="676"/>
      <c r="L115" s="676"/>
      <c r="M115" s="676"/>
      <c r="N115" s="676"/>
      <c r="O115" s="676"/>
      <c r="P115" s="676"/>
      <c r="Q115" s="676"/>
      <c r="R115" s="676"/>
      <c r="S115" s="676"/>
      <c r="T115" s="676"/>
      <c r="U115" s="676"/>
      <c r="V115" s="676"/>
      <c r="W115" s="676">
        <f t="shared" si="43"/>
        <v>0</v>
      </c>
      <c r="Y115" s="688">
        <f>IFERROR(VLOOKUP(A115,'[93]1月'!$A:$H,8,0),0)</f>
        <v>0</v>
      </c>
      <c r="Z115" s="688">
        <f>IFERROR(VLOOKUP(A115,'[93]2月'!$A:$H,8,0),0)</f>
        <v>0</v>
      </c>
      <c r="AA115" s="688">
        <f>IFERROR(VLOOKUP($A115,'[93]3月'!$A:$H,8,0),0)</f>
        <v>0</v>
      </c>
      <c r="AB115" s="688">
        <f>IFERROR(VLOOKUP($A115,'[93]4月'!$A:$H,8,0),0)</f>
        <v>0</v>
      </c>
      <c r="AC115" s="688">
        <f>IFERROR(VLOOKUP($A115,'[93]5月'!$A:$H,8,0),0)</f>
        <v>0</v>
      </c>
      <c r="AD115" s="688">
        <f>IFERROR(VLOOKUP($A115,'[93]6月'!$A:$H,8,0),0)</f>
        <v>0</v>
      </c>
      <c r="AE115" s="688">
        <f>IFERROR(VLOOKUP($A115,'[93]7月'!$A:$H,8,0),0)</f>
        <v>0</v>
      </c>
      <c r="AF115" s="688">
        <f>IFERROR(VLOOKUP($A115,'[93]8月'!$A:$H,8,0),0)</f>
        <v>0</v>
      </c>
      <c r="AG115" s="688">
        <f>IFERROR(VLOOKUP($A115,'[93]9月'!$A:$H,8,0),0)</f>
        <v>0</v>
      </c>
      <c r="AH115" s="688">
        <f>IFERROR(VLOOKUP($A115,'[93]10月'!$A:$H,8,0),0)</f>
        <v>0</v>
      </c>
      <c r="AI115" s="688">
        <f>IFERROR(VLOOKUP($A115,'[93]11月'!$A:$H,8,0),0)</f>
        <v>0</v>
      </c>
      <c r="AJ115" s="688">
        <f>IFERROR(VLOOKUP($A115,'[93]12月'!$A:$H,8,0),0)</f>
        <v>0</v>
      </c>
      <c r="AK115" s="688">
        <f t="shared" si="54"/>
        <v>0</v>
      </c>
    </row>
    <row r="116" spans="1:37" ht="11.1" customHeight="1">
      <c r="A116" s="653">
        <f>'Budget-合并'!A116</f>
        <v>0</v>
      </c>
      <c r="B116" s="653" t="str">
        <f>'Budget-合并'!B116</f>
        <v xml:space="preserve">    其他项目08</v>
      </c>
      <c r="C116" s="687" t="str">
        <f>'Budget-合并'!C116</f>
        <v xml:space="preserve">   Other project</v>
      </c>
      <c r="D116" s="676">
        <f t="shared" si="49"/>
        <v>0</v>
      </c>
      <c r="E116" s="676" t="e">
        <f>INDEX($Y116:AHV116,1,MATCH($E$6,$Y$6:$AJ$6))</f>
        <v>#N/A</v>
      </c>
      <c r="F116" s="676" t="e">
        <f t="shared" si="50"/>
        <v>#N/A</v>
      </c>
      <c r="G116" s="676">
        <f t="shared" ca="1" si="51"/>
        <v>0</v>
      </c>
      <c r="H116" s="676" t="e">
        <f t="shared" ca="1" si="52"/>
        <v>#N/A</v>
      </c>
      <c r="I116" s="676" t="e">
        <f t="shared" ca="1" si="53"/>
        <v>#N/A</v>
      </c>
      <c r="K116" s="676"/>
      <c r="L116" s="676"/>
      <c r="M116" s="676"/>
      <c r="N116" s="676"/>
      <c r="O116" s="676"/>
      <c r="P116" s="676"/>
      <c r="Q116" s="676"/>
      <c r="R116" s="676"/>
      <c r="S116" s="676"/>
      <c r="T116" s="676"/>
      <c r="U116" s="676"/>
      <c r="V116" s="676"/>
      <c r="W116" s="676">
        <f t="shared" si="43"/>
        <v>0</v>
      </c>
      <c r="Y116" s="688">
        <f>IFERROR(VLOOKUP(A116,'[93]1月'!$A:$H,8,0),0)</f>
        <v>0</v>
      </c>
      <c r="Z116" s="688">
        <f>IFERROR(VLOOKUP(A116,'[93]2月'!$A:$H,8,0),0)</f>
        <v>0</v>
      </c>
      <c r="AA116" s="688">
        <f>IFERROR(VLOOKUP($A116,'[93]3月'!$A:$H,8,0),0)</f>
        <v>0</v>
      </c>
      <c r="AB116" s="688">
        <f>IFERROR(VLOOKUP($A116,'[93]4月'!$A:$H,8,0),0)</f>
        <v>0</v>
      </c>
      <c r="AC116" s="688">
        <f>IFERROR(VLOOKUP($A116,'[93]5月'!$A:$H,8,0),0)</f>
        <v>0</v>
      </c>
      <c r="AD116" s="688">
        <f>IFERROR(VLOOKUP($A116,'[93]6月'!$A:$H,8,0),0)</f>
        <v>0</v>
      </c>
      <c r="AE116" s="688">
        <f>IFERROR(VLOOKUP($A116,'[93]7月'!$A:$H,8,0),0)</f>
        <v>0</v>
      </c>
      <c r="AF116" s="688">
        <f>IFERROR(VLOOKUP($A116,'[93]8月'!$A:$H,8,0),0)</f>
        <v>0</v>
      </c>
      <c r="AG116" s="688">
        <f>IFERROR(VLOOKUP($A116,'[93]9月'!$A:$H,8,0),0)</f>
        <v>0</v>
      </c>
      <c r="AH116" s="688">
        <f>IFERROR(VLOOKUP($A116,'[93]10月'!$A:$H,8,0),0)</f>
        <v>0</v>
      </c>
      <c r="AI116" s="688">
        <f>IFERROR(VLOOKUP($A116,'[93]11月'!$A:$H,8,0),0)</f>
        <v>0</v>
      </c>
      <c r="AJ116" s="688">
        <f>IFERROR(VLOOKUP($A116,'[93]12月'!$A:$H,8,0),0)</f>
        <v>0</v>
      </c>
      <c r="AK116" s="688">
        <f t="shared" si="54"/>
        <v>0</v>
      </c>
    </row>
    <row r="117" spans="1:37" ht="11.1" customHeight="1">
      <c r="A117" s="653" t="str">
        <f>'Budget-合并'!A117</f>
        <v>6602.09.07</v>
      </c>
      <c r="B117" s="653" t="str">
        <f>'Budget-合并'!B117</f>
        <v>检测费</v>
      </c>
      <c r="C117" s="687">
        <f>'Budget-合并'!C117</f>
        <v>0</v>
      </c>
      <c r="D117" s="676">
        <f t="shared" si="49"/>
        <v>0</v>
      </c>
      <c r="E117" s="676" t="e">
        <f>INDEX($Y117:AHV117,1,MATCH($E$6,$Y$6:$AJ$6))</f>
        <v>#N/A</v>
      </c>
      <c r="F117" s="676" t="e">
        <f t="shared" si="50"/>
        <v>#N/A</v>
      </c>
      <c r="G117" s="676">
        <f t="shared" ca="1" si="51"/>
        <v>0</v>
      </c>
      <c r="H117" s="676" t="e">
        <f t="shared" ca="1" si="52"/>
        <v>#N/A</v>
      </c>
      <c r="I117" s="676" t="e">
        <f t="shared" ca="1" si="53"/>
        <v>#N/A</v>
      </c>
      <c r="K117" s="676"/>
      <c r="L117" s="676"/>
      <c r="M117" s="676"/>
      <c r="N117" s="676"/>
      <c r="O117" s="676"/>
      <c r="P117" s="676"/>
      <c r="Q117" s="676"/>
      <c r="R117" s="676"/>
      <c r="S117" s="676"/>
      <c r="T117" s="676"/>
      <c r="U117" s="676"/>
      <c r="V117" s="676"/>
      <c r="W117" s="676">
        <f t="shared" si="43"/>
        <v>0</v>
      </c>
      <c r="Y117" s="688">
        <f>IFERROR(VLOOKUP(A117,'[93]1月'!$A:$H,8,0),0)</f>
        <v>0</v>
      </c>
      <c r="Z117" s="688">
        <f>IFERROR(VLOOKUP(A117,'[93]2月'!$A:$H,8,0),0)</f>
        <v>0</v>
      </c>
      <c r="AA117" s="688">
        <f>IFERROR(VLOOKUP($A117,'[93]3月'!$A:$H,8,0),0)</f>
        <v>0</v>
      </c>
      <c r="AB117" s="688">
        <f>IFERROR(VLOOKUP($A117,'[93]4月'!$A:$H,8,0),0)</f>
        <v>0</v>
      </c>
      <c r="AC117" s="688">
        <f>IFERROR(VLOOKUP($A117,'[93]5月'!$A:$H,8,0),0)</f>
        <v>0</v>
      </c>
      <c r="AD117" s="688">
        <f>IFERROR(VLOOKUP($A117,'[93]6月'!$A:$H,8,0),0)</f>
        <v>0</v>
      </c>
      <c r="AE117" s="688">
        <f>IFERROR(VLOOKUP($A117,'[93]7月'!$A:$H,8,0),0)</f>
        <v>0</v>
      </c>
      <c r="AF117" s="688">
        <f>IFERROR(VLOOKUP($A117,'[93]8月'!$A:$H,8,0),0)</f>
        <v>0</v>
      </c>
      <c r="AG117" s="688">
        <f>IFERROR(VLOOKUP($A117,'[93]9月'!$A:$H,8,0),0)</f>
        <v>0</v>
      </c>
      <c r="AH117" s="688">
        <f>IFERROR(VLOOKUP($A117,'[93]10月'!$A:$H,8,0),0)</f>
        <v>0</v>
      </c>
      <c r="AI117" s="688">
        <f>IFERROR(VLOOKUP($A117,'[93]11月'!$A:$H,8,0),0)</f>
        <v>0</v>
      </c>
      <c r="AJ117" s="688">
        <f>IFERROR(VLOOKUP($A117,'[93]12月'!$A:$H,8,0),0)</f>
        <v>0</v>
      </c>
      <c r="AK117" s="688">
        <f t="shared" si="54"/>
        <v>0</v>
      </c>
    </row>
    <row r="118" spans="1:37" ht="11.1" customHeight="1">
      <c r="A118" s="653" t="str">
        <f>'Budget-合并'!A118</f>
        <v>6602.09.08</v>
      </c>
      <c r="B118" s="653" t="str">
        <f>'Budget-合并'!B118</f>
        <v>退改费用（机票/火车等）</v>
      </c>
      <c r="C118" s="687">
        <f>'Budget-合并'!C118</f>
        <v>0</v>
      </c>
      <c r="D118" s="676">
        <f t="shared" si="49"/>
        <v>0</v>
      </c>
      <c r="E118" s="676" t="e">
        <f>INDEX($Y118:AHV118,1,MATCH($E$6,$Y$6:$AJ$6))</f>
        <v>#N/A</v>
      </c>
      <c r="F118" s="676" t="e">
        <f t="shared" si="50"/>
        <v>#N/A</v>
      </c>
      <c r="G118" s="676">
        <f t="shared" ca="1" si="51"/>
        <v>0</v>
      </c>
      <c r="H118" s="676" t="e">
        <f t="shared" ca="1" si="52"/>
        <v>#N/A</v>
      </c>
      <c r="I118" s="676" t="e">
        <f t="shared" ca="1" si="53"/>
        <v>#N/A</v>
      </c>
      <c r="K118" s="676">
        <f t="shared" ref="K118:V118" si="57">SUM(K119:K121)</f>
        <v>0</v>
      </c>
      <c r="L118" s="676">
        <f t="shared" si="57"/>
        <v>0</v>
      </c>
      <c r="M118" s="676">
        <f t="shared" si="57"/>
        <v>0</v>
      </c>
      <c r="N118" s="676">
        <f t="shared" si="57"/>
        <v>0</v>
      </c>
      <c r="O118" s="676">
        <f t="shared" si="57"/>
        <v>0</v>
      </c>
      <c r="P118" s="676">
        <f t="shared" si="57"/>
        <v>0</v>
      </c>
      <c r="Q118" s="676">
        <f t="shared" si="57"/>
        <v>0</v>
      </c>
      <c r="R118" s="676">
        <f t="shared" si="57"/>
        <v>0</v>
      </c>
      <c r="S118" s="676">
        <f t="shared" si="57"/>
        <v>0</v>
      </c>
      <c r="T118" s="676">
        <f t="shared" si="57"/>
        <v>0</v>
      </c>
      <c r="U118" s="676">
        <f t="shared" si="57"/>
        <v>0</v>
      </c>
      <c r="V118" s="676">
        <f t="shared" si="57"/>
        <v>0</v>
      </c>
      <c r="W118" s="676">
        <f t="shared" si="43"/>
        <v>0</v>
      </c>
      <c r="Y118" s="688">
        <f>IFERROR(VLOOKUP(A118,'[93]1月'!$A:$H,8,0),0)</f>
        <v>0</v>
      </c>
      <c r="Z118" s="688">
        <f>IFERROR(VLOOKUP(A118,'[93]2月'!$A:$H,8,0),0)</f>
        <v>0</v>
      </c>
      <c r="AA118" s="688">
        <f>IFERROR(VLOOKUP($A118,'[93]3月'!$A:$H,8,0),0)</f>
        <v>0</v>
      </c>
      <c r="AB118" s="688">
        <f>IFERROR(VLOOKUP($A118,'[93]4月'!$A:$H,8,0),0)</f>
        <v>0</v>
      </c>
      <c r="AC118" s="688">
        <f>IFERROR(VLOOKUP($A118,'[93]5月'!$A:$H,8,0),0)</f>
        <v>333</v>
      </c>
      <c r="AD118" s="688">
        <f>IFERROR(VLOOKUP($A118,'[93]6月'!$A:$H,8,0),0)</f>
        <v>0</v>
      </c>
      <c r="AE118" s="688">
        <f>IFERROR(VLOOKUP($A118,'[93]7月'!$A:$H,8,0),0)</f>
        <v>167</v>
      </c>
      <c r="AF118" s="688">
        <f>IFERROR(VLOOKUP($A118,'[93]8月'!$A:$H,8,0),0)</f>
        <v>8.9600000000000009</v>
      </c>
      <c r="AG118" s="688">
        <f>IFERROR(VLOOKUP($A118,'[93]9月'!$A:$H,8,0),0)</f>
        <v>0</v>
      </c>
      <c r="AH118" s="688">
        <f>IFERROR(VLOOKUP($A118,'[93]10月'!$A:$H,8,0),0)</f>
        <v>0</v>
      </c>
      <c r="AI118" s="688">
        <f>IFERROR(VLOOKUP($A118,'[93]11月'!$A:$H,8,0),0)</f>
        <v>0</v>
      </c>
      <c r="AJ118" s="688">
        <f>IFERROR(VLOOKUP($A118,'[93]12月'!$A:$H,8,0),0)</f>
        <v>0</v>
      </c>
      <c r="AK118" s="688">
        <f t="shared" si="54"/>
        <v>508.96</v>
      </c>
    </row>
    <row r="119" spans="1:37" ht="11.1" customHeight="1">
      <c r="A119" s="696">
        <f>$A$94</f>
        <v>0.09</v>
      </c>
      <c r="B119" s="653" t="str">
        <f>'Budget-合并'!B119</f>
        <v xml:space="preserve">    公司主体09</v>
      </c>
      <c r="C119" s="687" t="str">
        <f>'Budget-合并'!C119</f>
        <v xml:space="preserve">   Entity</v>
      </c>
      <c r="D119" s="676">
        <f t="shared" si="49"/>
        <v>0</v>
      </c>
      <c r="E119" s="676" t="e">
        <f>INDEX($Y119:AHV119,1,MATCH($E$6,$Y$6:$AJ$6))</f>
        <v>#N/A</v>
      </c>
      <c r="F119" s="676" t="e">
        <f t="shared" si="50"/>
        <v>#N/A</v>
      </c>
      <c r="G119" s="676">
        <f t="shared" ca="1" si="51"/>
        <v>0</v>
      </c>
      <c r="H119" s="676" t="e">
        <f t="shared" ca="1" si="52"/>
        <v>#N/A</v>
      </c>
      <c r="I119" s="676" t="e">
        <f t="shared" ca="1" si="53"/>
        <v>#N/A</v>
      </c>
      <c r="K119" s="676"/>
      <c r="L119" s="676"/>
      <c r="M119" s="676"/>
      <c r="N119" s="676"/>
      <c r="O119" s="676"/>
      <c r="P119" s="676"/>
      <c r="Q119" s="676"/>
      <c r="R119" s="676"/>
      <c r="S119" s="676"/>
      <c r="T119" s="676"/>
      <c r="U119" s="676"/>
      <c r="V119" s="676"/>
      <c r="W119" s="676">
        <f t="shared" si="43"/>
        <v>0</v>
      </c>
      <c r="Y119" s="688">
        <f>IFERROR(VLOOKUP(A119,'[93]1月'!$A:$H,8,0),0)</f>
        <v>0</v>
      </c>
      <c r="Z119" s="688">
        <f>IFERROR(VLOOKUP(A119,'[93]2月'!$A:$H,8,0),0)</f>
        <v>0</v>
      </c>
      <c r="AA119" s="688">
        <f>IFERROR(VLOOKUP($A119,'[93]3月'!$A:$H,8,0),0)</f>
        <v>0</v>
      </c>
      <c r="AB119" s="688">
        <f>IFERROR(VLOOKUP($A119,'[93]4月'!$A:$H,8,0),0)</f>
        <v>0</v>
      </c>
      <c r="AC119" s="688">
        <v>333</v>
      </c>
      <c r="AD119" s="688">
        <f>IFERROR(VLOOKUP($A119,'[93]6月'!$A:$H,8,0),0)</f>
        <v>0</v>
      </c>
      <c r="AE119" s="688">
        <f>IFERROR(VLOOKUP($A119,'[93]7月'!$A:$H,8,0),0)</f>
        <v>0</v>
      </c>
      <c r="AF119" s="688">
        <f>IFERROR(VLOOKUP($A119,'[93]8月'!$A:$H,8,0),0)</f>
        <v>0</v>
      </c>
      <c r="AG119" s="688">
        <f>IFERROR(VLOOKUP($A119,'[93]9月'!$A:$H,8,0),0)</f>
        <v>0</v>
      </c>
      <c r="AH119" s="688">
        <f>IFERROR(VLOOKUP($A119,'[93]10月'!$A:$H,8,0),0)</f>
        <v>0</v>
      </c>
      <c r="AI119" s="688">
        <f>IFERROR(VLOOKUP($A119,'[93]11月'!$A:$H,8,0),0)</f>
        <v>0</v>
      </c>
      <c r="AJ119" s="688">
        <f>IFERROR(VLOOKUP($A119,'[93]12月'!$A:$H,8,0),0)</f>
        <v>0</v>
      </c>
      <c r="AK119" s="688">
        <f t="shared" si="54"/>
        <v>333</v>
      </c>
    </row>
    <row r="120" spans="1:37" ht="11.1" customHeight="1">
      <c r="A120" s="696">
        <f>$A$95</f>
        <v>0.91</v>
      </c>
      <c r="B120" s="653" t="str">
        <f>'Budget-合并'!B120</f>
        <v xml:space="preserve">    旭智富能09</v>
      </c>
      <c r="C120" s="687" t="str">
        <f>'Budget-合并'!C120</f>
        <v xml:space="preserve">   Foxpower</v>
      </c>
      <c r="D120" s="676">
        <f t="shared" si="49"/>
        <v>0</v>
      </c>
      <c r="E120" s="676" t="e">
        <f>INDEX($Y120:AHV120,1,MATCH($E$6,$Y$6:$AJ$6))</f>
        <v>#N/A</v>
      </c>
      <c r="F120" s="676" t="e">
        <f t="shared" si="50"/>
        <v>#N/A</v>
      </c>
      <c r="G120" s="676">
        <f t="shared" ca="1" si="51"/>
        <v>0</v>
      </c>
      <c r="H120" s="676" t="e">
        <f t="shared" ca="1" si="52"/>
        <v>#N/A</v>
      </c>
      <c r="I120" s="676" t="e">
        <f t="shared" ca="1" si="53"/>
        <v>#N/A</v>
      </c>
      <c r="K120" s="676"/>
      <c r="L120" s="676"/>
      <c r="M120" s="676"/>
      <c r="N120" s="676"/>
      <c r="O120" s="676"/>
      <c r="P120" s="676"/>
      <c r="Q120" s="676"/>
      <c r="R120" s="676"/>
      <c r="S120" s="676"/>
      <c r="T120" s="676"/>
      <c r="U120" s="676"/>
      <c r="V120" s="676"/>
      <c r="W120" s="676">
        <f t="shared" si="43"/>
        <v>0</v>
      </c>
      <c r="Y120" s="688">
        <f>IFERROR(VLOOKUP(A120,'[93]1月'!$A:$H,8,0),0)</f>
        <v>0</v>
      </c>
      <c r="Z120" s="688">
        <f>IFERROR(VLOOKUP(A120,'[93]2月'!$A:$H,8,0),0)</f>
        <v>0</v>
      </c>
      <c r="AA120" s="688">
        <f>IFERROR(VLOOKUP($A120,'[93]3月'!$A:$H,8,0),0)</f>
        <v>0</v>
      </c>
      <c r="AB120" s="688">
        <f>IFERROR(VLOOKUP($A120,'[93]4月'!$A:$H,8,0),0)</f>
        <v>0</v>
      </c>
      <c r="AC120" s="688">
        <f>IFERROR(VLOOKUP($A120,'[93]5月'!$A:$H,8,0),0)</f>
        <v>0</v>
      </c>
      <c r="AD120" s="688">
        <f>IFERROR(VLOOKUP($A120,'[93]6月'!$A:$H,8,0),0)</f>
        <v>0</v>
      </c>
      <c r="AE120" s="688">
        <v>167</v>
      </c>
      <c r="AF120" s="688">
        <v>8.9600000000000009</v>
      </c>
      <c r="AG120" s="688">
        <f>IFERROR(VLOOKUP($A120,'[93]9月'!$A:$H,8,0),0)</f>
        <v>0</v>
      </c>
      <c r="AH120" s="688">
        <f>IFERROR(VLOOKUP($A120,'[93]10月'!$A:$H,8,0),0)</f>
        <v>0</v>
      </c>
      <c r="AI120" s="688">
        <f>IFERROR(VLOOKUP($A120,'[93]11月'!$A:$H,8,0),0)</f>
        <v>0</v>
      </c>
      <c r="AJ120" s="688">
        <f>IFERROR(VLOOKUP($A120,'[93]12月'!$A:$H,8,0),0)</f>
        <v>0</v>
      </c>
      <c r="AK120" s="688">
        <f t="shared" si="54"/>
        <v>175.96</v>
      </c>
    </row>
    <row r="121" spans="1:37" ht="11.1" customHeight="1">
      <c r="A121" s="653">
        <f>'Budget-合并'!A121</f>
        <v>0</v>
      </c>
      <c r="B121" s="653" t="str">
        <f>'Budget-合并'!B121</f>
        <v xml:space="preserve">    其他项目09</v>
      </c>
      <c r="C121" s="687" t="str">
        <f>'Budget-合并'!C121</f>
        <v xml:space="preserve">   Other project</v>
      </c>
      <c r="D121" s="676">
        <f t="shared" si="49"/>
        <v>0</v>
      </c>
      <c r="E121" s="676" t="e">
        <f>INDEX($Y121:AHV121,1,MATCH($E$6,$Y$6:$AJ$6))</f>
        <v>#N/A</v>
      </c>
      <c r="F121" s="676" t="e">
        <f t="shared" si="50"/>
        <v>#N/A</v>
      </c>
      <c r="G121" s="676">
        <f t="shared" ca="1" si="51"/>
        <v>0</v>
      </c>
      <c r="H121" s="676" t="e">
        <f t="shared" ca="1" si="52"/>
        <v>#N/A</v>
      </c>
      <c r="I121" s="676" t="e">
        <f t="shared" ca="1" si="53"/>
        <v>#N/A</v>
      </c>
      <c r="K121" s="676"/>
      <c r="L121" s="676"/>
      <c r="M121" s="676"/>
      <c r="N121" s="676"/>
      <c r="O121" s="676"/>
      <c r="P121" s="676"/>
      <c r="Q121" s="676"/>
      <c r="R121" s="676"/>
      <c r="S121" s="676"/>
      <c r="T121" s="676"/>
      <c r="U121" s="676"/>
      <c r="V121" s="676"/>
      <c r="W121" s="676">
        <f t="shared" si="43"/>
        <v>0</v>
      </c>
      <c r="Y121" s="688">
        <f>IFERROR(VLOOKUP(A121,'[93]1月'!$A:$H,8,0),0)</f>
        <v>0</v>
      </c>
      <c r="Z121" s="688">
        <f>IFERROR(VLOOKUP(A121,'[93]2月'!$A:$H,8,0),0)</f>
        <v>0</v>
      </c>
      <c r="AA121" s="688">
        <f>IFERROR(VLOOKUP($A121,'[93]3月'!$A:$H,8,0),0)</f>
        <v>0</v>
      </c>
      <c r="AB121" s="688">
        <f>IFERROR(VLOOKUP($A121,'[93]4月'!$A:$H,8,0),0)</f>
        <v>0</v>
      </c>
      <c r="AC121" s="688">
        <f>IFERROR(VLOOKUP($A121,'[93]5月'!$A:$H,8,0),0)</f>
        <v>0</v>
      </c>
      <c r="AD121" s="688">
        <f>IFERROR(VLOOKUP($A121,'[93]6月'!$A:$H,8,0),0)</f>
        <v>0</v>
      </c>
      <c r="AE121" s="688">
        <f>IFERROR(VLOOKUP($A121,'[93]7月'!$A:$H,8,0),0)</f>
        <v>0</v>
      </c>
      <c r="AF121" s="688">
        <f>IFERROR(VLOOKUP($A121,'[93]8月'!$A:$H,8,0),0)</f>
        <v>0</v>
      </c>
      <c r="AG121" s="688">
        <f>IFERROR(VLOOKUP($A121,'[93]9月'!$A:$H,8,0),0)</f>
        <v>0</v>
      </c>
      <c r="AH121" s="688">
        <f>IFERROR(VLOOKUP($A121,'[93]10月'!$A:$H,8,0),0)</f>
        <v>0</v>
      </c>
      <c r="AI121" s="688">
        <f>IFERROR(VLOOKUP($A121,'[93]11月'!$A:$H,8,0),0)</f>
        <v>0</v>
      </c>
      <c r="AJ121" s="688">
        <f>IFERROR(VLOOKUP($A121,'[93]12月'!$A:$H,8,0),0)</f>
        <v>0</v>
      </c>
      <c r="AK121" s="688">
        <f t="shared" si="54"/>
        <v>0</v>
      </c>
    </row>
    <row r="122" spans="1:37" ht="11.1" customHeight="1">
      <c r="A122" s="653" t="str">
        <f>'Budget-合并'!A122</f>
        <v>6602.09.09</v>
      </c>
      <c r="B122" s="653" t="str">
        <f>'Budget-合并'!B122</f>
        <v>携程服务费</v>
      </c>
      <c r="C122" s="687">
        <f>'Budget-合并'!C122</f>
        <v>0</v>
      </c>
      <c r="D122" s="676">
        <f t="shared" si="49"/>
        <v>742</v>
      </c>
      <c r="E122" s="676" t="e">
        <f>INDEX($Y122:AHV122,1,MATCH($E$6,$Y$6:$AJ$6))</f>
        <v>#N/A</v>
      </c>
      <c r="F122" s="676" t="e">
        <f t="shared" si="50"/>
        <v>#N/A</v>
      </c>
      <c r="G122" s="676">
        <f t="shared" ca="1" si="51"/>
        <v>742</v>
      </c>
      <c r="H122" s="676" t="e">
        <f t="shared" ca="1" si="52"/>
        <v>#N/A</v>
      </c>
      <c r="I122" s="676" t="e">
        <f t="shared" ca="1" si="53"/>
        <v>#N/A</v>
      </c>
      <c r="K122" s="676">
        <f>SUM(K123:K125)</f>
        <v>742</v>
      </c>
      <c r="L122" s="676">
        <f t="shared" ref="L122:V122" si="58">SUM(L123:L125)</f>
        <v>742</v>
      </c>
      <c r="M122" s="676">
        <f t="shared" si="58"/>
        <v>742</v>
      </c>
      <c r="N122" s="676">
        <f t="shared" si="58"/>
        <v>742</v>
      </c>
      <c r="O122" s="676">
        <f t="shared" si="58"/>
        <v>742</v>
      </c>
      <c r="P122" s="676">
        <f t="shared" si="58"/>
        <v>742</v>
      </c>
      <c r="Q122" s="676">
        <f t="shared" si="58"/>
        <v>742</v>
      </c>
      <c r="R122" s="676">
        <f t="shared" si="58"/>
        <v>742</v>
      </c>
      <c r="S122" s="676">
        <f t="shared" si="58"/>
        <v>742</v>
      </c>
      <c r="T122" s="676">
        <f t="shared" si="58"/>
        <v>742</v>
      </c>
      <c r="U122" s="676">
        <f t="shared" si="58"/>
        <v>742</v>
      </c>
      <c r="V122" s="676">
        <f t="shared" si="58"/>
        <v>742</v>
      </c>
      <c r="W122" s="676">
        <f t="shared" si="43"/>
        <v>8904</v>
      </c>
      <c r="Y122" s="688">
        <f>IFERROR(VLOOKUP(A122,'[93]1月'!$A:$H,8,0),0)</f>
        <v>0</v>
      </c>
      <c r="Z122" s="688">
        <f>IFERROR(VLOOKUP(A122,'[93]2月'!$A:$H,8,0),0)</f>
        <v>0</v>
      </c>
      <c r="AA122" s="688">
        <f>IFERROR(VLOOKUP($A122,'[93]3月'!$A:$H,8,0),0)</f>
        <v>0</v>
      </c>
      <c r="AB122" s="688">
        <f>IFERROR(VLOOKUP($A122,'[93]4月'!$A:$H,8,0),0)</f>
        <v>0</v>
      </c>
      <c r="AC122" s="688">
        <f>IFERROR(VLOOKUP($A122,'[93]5月'!$A:$H,8,0),0)</f>
        <v>633.97</v>
      </c>
      <c r="AD122" s="688">
        <f>IFERROR(VLOOKUP($A122,'[93]6月'!$A:$H,8,0),0)</f>
        <v>900</v>
      </c>
      <c r="AE122" s="688">
        <f>IFERROR(VLOOKUP($A122,'[93]7月'!$A:$H,8,0),0)</f>
        <v>527.36</v>
      </c>
      <c r="AF122" s="688">
        <f>IFERROR(VLOOKUP($A122,'[93]8月'!$A:$H,8,0),0)</f>
        <v>633.02</v>
      </c>
      <c r="AG122" s="688">
        <f>IFERROR(VLOOKUP($A122,'[93]9月'!$A:$H,8,0),0)</f>
        <v>535.85</v>
      </c>
      <c r="AH122" s="688">
        <f>IFERROR(VLOOKUP($A122,'[93]10月'!$A:$H,8,0),0)</f>
        <v>253.77</v>
      </c>
      <c r="AI122" s="688">
        <f>IFERROR(VLOOKUP($A122,'[93]11月'!$A:$H,8,0),0)</f>
        <v>833.01</v>
      </c>
      <c r="AJ122" s="688">
        <f>IFERROR(VLOOKUP($A122,'[93]12月'!$A:$H,8,0),0)</f>
        <v>697.18</v>
      </c>
      <c r="AK122" s="688">
        <f t="shared" si="54"/>
        <v>5014.16</v>
      </c>
    </row>
    <row r="123" spans="1:37" ht="11.1" customHeight="1">
      <c r="A123" s="696">
        <f>$A$94</f>
        <v>0.09</v>
      </c>
      <c r="B123" s="653" t="str">
        <f>'Budget-合并'!B123</f>
        <v xml:space="preserve">    公司主体10</v>
      </c>
      <c r="C123" s="687" t="str">
        <f>'Budget-合并'!C123</f>
        <v xml:space="preserve">   Entity</v>
      </c>
      <c r="D123" s="676">
        <f t="shared" si="49"/>
        <v>66.78</v>
      </c>
      <c r="E123" s="676" t="e">
        <f>INDEX($Y123:AHV123,1,MATCH($E$6,$Y$6:$AJ$6))</f>
        <v>#N/A</v>
      </c>
      <c r="F123" s="676" t="e">
        <f t="shared" si="50"/>
        <v>#N/A</v>
      </c>
      <c r="G123" s="676">
        <f t="shared" ca="1" si="51"/>
        <v>66.78</v>
      </c>
      <c r="H123" s="676" t="e">
        <f t="shared" ca="1" si="52"/>
        <v>#N/A</v>
      </c>
      <c r="I123" s="676" t="e">
        <f t="shared" ca="1" si="53"/>
        <v>#N/A</v>
      </c>
      <c r="K123" s="676">
        <f>SUM(K$93,K$97,K$101,K$105,K$109,K$113,K$117,K$118)*2%*$A$123</f>
        <v>66.78</v>
      </c>
      <c r="L123" s="676">
        <f t="shared" ref="L123:V123" si="59">SUM(L$93,L$97,L$101,L$105,L$109,L$113,L$117,L$118)*2%*$A$123</f>
        <v>66.78</v>
      </c>
      <c r="M123" s="676">
        <f t="shared" si="59"/>
        <v>66.78</v>
      </c>
      <c r="N123" s="676">
        <f t="shared" si="59"/>
        <v>66.78</v>
      </c>
      <c r="O123" s="676">
        <f t="shared" si="59"/>
        <v>66.78</v>
      </c>
      <c r="P123" s="676">
        <f t="shared" si="59"/>
        <v>66.78</v>
      </c>
      <c r="Q123" s="676">
        <f t="shared" si="59"/>
        <v>66.78</v>
      </c>
      <c r="R123" s="676">
        <f t="shared" si="59"/>
        <v>66.78</v>
      </c>
      <c r="S123" s="676">
        <f t="shared" si="59"/>
        <v>66.78</v>
      </c>
      <c r="T123" s="676">
        <f t="shared" si="59"/>
        <v>66.78</v>
      </c>
      <c r="U123" s="676">
        <f t="shared" si="59"/>
        <v>66.78</v>
      </c>
      <c r="V123" s="676">
        <f t="shared" si="59"/>
        <v>66.78</v>
      </c>
      <c r="W123" s="676">
        <f t="shared" si="43"/>
        <v>801.35999999999979</v>
      </c>
      <c r="Y123" s="688">
        <f>IFERROR(VLOOKUP(A123,'[93]1月'!$A:$H,8,0),0)</f>
        <v>0</v>
      </c>
      <c r="Z123" s="688">
        <f>IFERROR(VLOOKUP(A123,'[93]2月'!$A:$H,8,0),0)</f>
        <v>0</v>
      </c>
      <c r="AA123" s="688">
        <f>IFERROR(VLOOKUP($A123,'[93]3月'!$A:$H,8,0),0)</f>
        <v>0</v>
      </c>
      <c r="AB123" s="688">
        <f>IFERROR(VLOOKUP($A123,'[93]4月'!$A:$H,8,0),0)</f>
        <v>0</v>
      </c>
      <c r="AC123" s="688">
        <v>173.58</v>
      </c>
      <c r="AD123" s="688">
        <v>205.66</v>
      </c>
      <c r="AE123" s="688">
        <v>143.4</v>
      </c>
      <c r="AF123" s="688">
        <v>272.64999999999998</v>
      </c>
      <c r="AG123" s="688">
        <v>53.78</v>
      </c>
      <c r="AH123" s="688">
        <v>28.3</v>
      </c>
      <c r="AI123" s="688">
        <v>23.58</v>
      </c>
      <c r="AJ123" s="688">
        <v>18.87</v>
      </c>
      <c r="AK123" s="688">
        <f t="shared" si="54"/>
        <v>919.81999999999994</v>
      </c>
    </row>
    <row r="124" spans="1:37" ht="11.1" customHeight="1">
      <c r="A124" s="696">
        <f>$A$95</f>
        <v>0.91</v>
      </c>
      <c r="B124" s="653" t="str">
        <f>'Budget-合并'!B124</f>
        <v xml:space="preserve">    旭智富能10</v>
      </c>
      <c r="C124" s="687" t="str">
        <f>'Budget-合并'!C124</f>
        <v xml:space="preserve">   Foxpower</v>
      </c>
      <c r="D124" s="676">
        <f t="shared" si="49"/>
        <v>675.22</v>
      </c>
      <c r="E124" s="676" t="e">
        <f>INDEX($Y124:AHV124,1,MATCH($E$6,$Y$6:$AJ$6))</f>
        <v>#N/A</v>
      </c>
      <c r="F124" s="676" t="e">
        <f t="shared" si="50"/>
        <v>#N/A</v>
      </c>
      <c r="G124" s="676">
        <f t="shared" ca="1" si="51"/>
        <v>675.22</v>
      </c>
      <c r="H124" s="676" t="e">
        <f t="shared" ca="1" si="52"/>
        <v>#N/A</v>
      </c>
      <c r="I124" s="676" t="e">
        <f t="shared" ca="1" si="53"/>
        <v>#N/A</v>
      </c>
      <c r="K124" s="676">
        <f>SUM(K$93,K$97,K$101,K$105,K$109,K$113,K$117,K$118)*2%*$A$124</f>
        <v>675.22</v>
      </c>
      <c r="L124" s="676">
        <f t="shared" ref="L124:V124" si="60">SUM(L$93,L$97,L$101,L$105,L$109,L$113,L$117,L$118)*2%*$A$124</f>
        <v>675.22</v>
      </c>
      <c r="M124" s="676">
        <f t="shared" si="60"/>
        <v>675.22</v>
      </c>
      <c r="N124" s="676">
        <f t="shared" si="60"/>
        <v>675.22</v>
      </c>
      <c r="O124" s="676">
        <f t="shared" si="60"/>
        <v>675.22</v>
      </c>
      <c r="P124" s="676">
        <f t="shared" si="60"/>
        <v>675.22</v>
      </c>
      <c r="Q124" s="676">
        <f t="shared" si="60"/>
        <v>675.22</v>
      </c>
      <c r="R124" s="676">
        <f t="shared" si="60"/>
        <v>675.22</v>
      </c>
      <c r="S124" s="676">
        <f t="shared" si="60"/>
        <v>675.22</v>
      </c>
      <c r="T124" s="676">
        <f t="shared" si="60"/>
        <v>675.22</v>
      </c>
      <c r="U124" s="676">
        <f t="shared" si="60"/>
        <v>675.22</v>
      </c>
      <c r="V124" s="676">
        <f t="shared" si="60"/>
        <v>675.22</v>
      </c>
      <c r="W124" s="676">
        <f t="shared" si="43"/>
        <v>8102.6400000000021</v>
      </c>
      <c r="Y124" s="688">
        <f>IFERROR(VLOOKUP(A124,'[93]1月'!$A:$H,8,0),0)</f>
        <v>0</v>
      </c>
      <c r="Z124" s="688">
        <f>IFERROR(VLOOKUP(A124,'[93]2月'!$A:$H,8,0),0)</f>
        <v>0</v>
      </c>
      <c r="AA124" s="688">
        <f>IFERROR(VLOOKUP($A124,'[93]3月'!$A:$H,8,0),0)</f>
        <v>0</v>
      </c>
      <c r="AB124" s="688">
        <f>IFERROR(VLOOKUP($A124,'[93]4月'!$A:$H,8,0),0)</f>
        <v>0</v>
      </c>
      <c r="AC124" s="688">
        <v>426.42</v>
      </c>
      <c r="AD124" s="688">
        <v>507.55</v>
      </c>
      <c r="AE124" s="688">
        <v>297.16000000000003</v>
      </c>
      <c r="AF124" s="688">
        <v>172.64</v>
      </c>
      <c r="AG124" s="688">
        <v>341.5</v>
      </c>
      <c r="AH124" s="688">
        <v>225.47</v>
      </c>
      <c r="AI124" s="688">
        <v>639.62</v>
      </c>
      <c r="AJ124" s="688">
        <v>513.21</v>
      </c>
      <c r="AK124" s="688">
        <f t="shared" si="54"/>
        <v>3123.57</v>
      </c>
    </row>
    <row r="125" spans="1:37" ht="11.1" customHeight="1">
      <c r="A125" s="653">
        <f>'Budget-合并'!A125</f>
        <v>0</v>
      </c>
      <c r="B125" s="653" t="str">
        <f>'Budget-合并'!B125</f>
        <v xml:space="preserve">    其他项目10</v>
      </c>
      <c r="C125" s="687" t="str">
        <f>'Budget-合并'!C125</f>
        <v xml:space="preserve">   Other project</v>
      </c>
      <c r="D125" s="676">
        <f t="shared" si="49"/>
        <v>0</v>
      </c>
      <c r="E125" s="676" t="e">
        <f>INDEX($Y125:AHV125,1,MATCH($E$6,$Y$6:$AJ$6))</f>
        <v>#N/A</v>
      </c>
      <c r="F125" s="676" t="e">
        <f t="shared" si="50"/>
        <v>#N/A</v>
      </c>
      <c r="G125" s="676">
        <f t="shared" ca="1" si="51"/>
        <v>0</v>
      </c>
      <c r="H125" s="676" t="e">
        <f t="shared" ca="1" si="52"/>
        <v>#N/A</v>
      </c>
      <c r="I125" s="676" t="e">
        <f t="shared" ca="1" si="53"/>
        <v>#N/A</v>
      </c>
      <c r="K125" s="676"/>
      <c r="L125" s="676"/>
      <c r="M125" s="676"/>
      <c r="N125" s="676"/>
      <c r="O125" s="676"/>
      <c r="P125" s="676"/>
      <c r="Q125" s="676"/>
      <c r="R125" s="676"/>
      <c r="S125" s="676"/>
      <c r="T125" s="676"/>
      <c r="U125" s="676"/>
      <c r="V125" s="676"/>
      <c r="W125" s="676">
        <f t="shared" si="43"/>
        <v>0</v>
      </c>
      <c r="Y125" s="688">
        <f>IFERROR(VLOOKUP(A125,'[93]1月'!$A:$H,8,0),0)</f>
        <v>0</v>
      </c>
      <c r="Z125" s="688">
        <f>IFERROR(VLOOKUP(A125,'[93]2月'!$A:$H,8,0),0)</f>
        <v>0</v>
      </c>
      <c r="AA125" s="688">
        <f>IFERROR(VLOOKUP($A125,'[93]3月'!$A:$H,8,0),0)</f>
        <v>0</v>
      </c>
      <c r="AB125" s="688">
        <f>IFERROR(VLOOKUP($A125,'[93]4月'!$A:$H,8,0),0)</f>
        <v>0</v>
      </c>
      <c r="AC125" s="688">
        <v>33.97</v>
      </c>
      <c r="AD125" s="688">
        <v>186.79</v>
      </c>
      <c r="AE125" s="688">
        <v>86.8</v>
      </c>
      <c r="AF125" s="688">
        <v>187.73</v>
      </c>
      <c r="AG125" s="688">
        <v>140.57</v>
      </c>
      <c r="AH125" s="688"/>
      <c r="AI125" s="688">
        <v>169.81</v>
      </c>
      <c r="AJ125" s="688">
        <v>165.1</v>
      </c>
      <c r="AK125" s="688">
        <f t="shared" si="54"/>
        <v>970.76999999999987</v>
      </c>
    </row>
    <row r="126" spans="1:37" ht="11.1" customHeight="1">
      <c r="A126" s="653" t="str">
        <f>'Budget-合并'!A126</f>
        <v>6602.09.99</v>
      </c>
      <c r="B126" s="653" t="str">
        <f>'Budget-合并'!B126</f>
        <v>其他</v>
      </c>
      <c r="C126" s="687" t="str">
        <f>'Budget-合并'!C126</f>
        <v>Travel Other</v>
      </c>
      <c r="D126" s="676">
        <f t="shared" si="49"/>
        <v>833.33333333333337</v>
      </c>
      <c r="E126" s="676" t="e">
        <f>INDEX($Y126:AHV126,1,MATCH($E$6,$Y$6:$AJ$6))</f>
        <v>#N/A</v>
      </c>
      <c r="F126" s="676" t="e">
        <f t="shared" si="50"/>
        <v>#N/A</v>
      </c>
      <c r="G126" s="676">
        <f t="shared" ca="1" si="51"/>
        <v>833.33333333333337</v>
      </c>
      <c r="H126" s="676" t="e">
        <f t="shared" ca="1" si="52"/>
        <v>#N/A</v>
      </c>
      <c r="I126" s="676" t="e">
        <f t="shared" ca="1" si="53"/>
        <v>#N/A</v>
      </c>
      <c r="K126" s="676">
        <f>SUMIFS('T&amp;E'!N$109:N$118,'T&amp;E'!$B$109:$B$118,$D$1,'T&amp;E'!$C$109:$C$118,$A$126)</f>
        <v>833.33333333333337</v>
      </c>
      <c r="L126" s="676">
        <f>SUMIFS('T&amp;E'!O$109:O$118,'T&amp;E'!$B$109:$B$118,$D$1,'T&amp;E'!$C$109:$C$118,$A$126)</f>
        <v>833.33333333333337</v>
      </c>
      <c r="M126" s="676">
        <f>SUMIFS('T&amp;E'!P$109:P$118,'T&amp;E'!$B$109:$B$118,$D$1,'T&amp;E'!$C$109:$C$118,$A$126)</f>
        <v>833.33333333333337</v>
      </c>
      <c r="N126" s="676">
        <f>SUMIFS('T&amp;E'!Q$109:Q$118,'T&amp;E'!$B$109:$B$118,$D$1,'T&amp;E'!$C$109:$C$118,$A$126)</f>
        <v>833.33333333333337</v>
      </c>
      <c r="O126" s="676">
        <f>SUMIFS('T&amp;E'!R$109:R$118,'T&amp;E'!$B$109:$B$118,$D$1,'T&amp;E'!$C$109:$C$118,$A$126)</f>
        <v>833.33333333333337</v>
      </c>
      <c r="P126" s="676">
        <f>SUMIFS('T&amp;E'!S$109:S$118,'T&amp;E'!$B$109:$B$118,$D$1,'T&amp;E'!$C$109:$C$118,$A$126)</f>
        <v>833.33333333333337</v>
      </c>
      <c r="Q126" s="676">
        <f>SUMIFS('T&amp;E'!T$109:T$118,'T&amp;E'!$B$109:$B$118,$D$1,'T&amp;E'!$C$109:$C$118,$A$126)</f>
        <v>833.33333333333337</v>
      </c>
      <c r="R126" s="676">
        <f>SUMIFS('T&amp;E'!U$109:U$118,'T&amp;E'!$B$109:$B$118,$D$1,'T&amp;E'!$C$109:$C$118,$A$126)</f>
        <v>833.33333333333337</v>
      </c>
      <c r="S126" s="676">
        <f>SUMIFS('T&amp;E'!V$109:V$118,'T&amp;E'!$B$109:$B$118,$D$1,'T&amp;E'!$C$109:$C$118,$A$126)</f>
        <v>833.33333333333337</v>
      </c>
      <c r="T126" s="676">
        <f>SUMIFS('T&amp;E'!W$109:W$118,'T&amp;E'!$B$109:$B$118,$D$1,'T&amp;E'!$C$109:$C$118,$A$126)</f>
        <v>833.33333333333337</v>
      </c>
      <c r="U126" s="676">
        <f>SUMIFS('T&amp;E'!X$109:X$118,'T&amp;E'!$B$109:$B$118,$D$1,'T&amp;E'!$C$109:$C$118,$A$126)</f>
        <v>833.33333333333337</v>
      </c>
      <c r="V126" s="676">
        <f>SUMIFS('T&amp;E'!Y$109:Y$118,'T&amp;E'!$B$109:$B$118,$D$1,'T&amp;E'!$C$109:$C$118,$A$126)</f>
        <v>833.33333333333337</v>
      </c>
      <c r="W126" s="676">
        <f t="shared" si="43"/>
        <v>10000</v>
      </c>
      <c r="Y126" s="688">
        <f>IFERROR(VLOOKUP(A126,'[93]1月'!$A:$H,8,0),0)</f>
        <v>0</v>
      </c>
      <c r="Z126" s="688">
        <f>IFERROR(VLOOKUP(A126,'[93]2月'!$A:$H,8,0),0)</f>
        <v>0</v>
      </c>
      <c r="AA126" s="688">
        <f>IFERROR(VLOOKUP($A126,'[93]3月'!$A:$H,8,0),0)</f>
        <v>0</v>
      </c>
      <c r="AB126" s="688">
        <f>IFERROR(VLOOKUP($A126,'[93]4月'!$A:$H,8,0),0)</f>
        <v>0</v>
      </c>
      <c r="AC126" s="688">
        <f>IFERROR(VLOOKUP($A126,'[93]5月'!$A:$H,8,0),0)</f>
        <v>800</v>
      </c>
      <c r="AD126" s="688">
        <f>IFERROR(VLOOKUP($A126,'[93]6月'!$A:$H,8,0),0)</f>
        <v>0</v>
      </c>
      <c r="AE126" s="688">
        <f>IFERROR(VLOOKUP($A126,'[93]7月'!$A:$H,8,0),0)</f>
        <v>0</v>
      </c>
      <c r="AF126" s="688">
        <f>IFERROR(VLOOKUP($A126,'[93]8月'!$A:$H,8,0),0)</f>
        <v>0</v>
      </c>
      <c r="AG126" s="688">
        <f>IFERROR(VLOOKUP($A126,'[93]9月'!$A:$H,8,0),0)</f>
        <v>0</v>
      </c>
      <c r="AH126" s="688">
        <f>IFERROR(VLOOKUP($A126,'[93]10月'!$A:$H,8,0),0)</f>
        <v>0</v>
      </c>
      <c r="AI126" s="688">
        <f>IFERROR(VLOOKUP($A126,'[93]11月'!$A:$H,8,0),0)</f>
        <v>0</v>
      </c>
      <c r="AJ126" s="688">
        <f>IFERROR(VLOOKUP($A126,'[93]12月'!$A:$H,8,0),0)</f>
        <v>0</v>
      </c>
      <c r="AK126" s="688">
        <f t="shared" si="54"/>
        <v>800</v>
      </c>
    </row>
    <row r="127" spans="1:37" ht="11.1" customHeight="1">
      <c r="A127" s="663" t="str">
        <f>'Budget-合并'!A127</f>
        <v>6602.10</v>
      </c>
      <c r="B127" s="663" t="str">
        <f>'Budget-合并'!B127</f>
        <v>折旧费</v>
      </c>
      <c r="C127" s="687">
        <f>'Budget-合并'!C127</f>
        <v>0</v>
      </c>
      <c r="D127" s="676">
        <f t="shared" si="49"/>
        <v>40.929166666666703</v>
      </c>
      <c r="E127" s="676" t="e">
        <f>INDEX($Y127:AHV127,1,MATCH($E$6,$Y$6:$AJ$6))</f>
        <v>#N/A</v>
      </c>
      <c r="F127" s="676" t="e">
        <f t="shared" si="50"/>
        <v>#N/A</v>
      </c>
      <c r="G127" s="676">
        <f t="shared" ca="1" si="51"/>
        <v>40.929166666666703</v>
      </c>
      <c r="H127" s="676" t="e">
        <f t="shared" ca="1" si="52"/>
        <v>#N/A</v>
      </c>
      <c r="I127" s="676" t="e">
        <f t="shared" ca="1" si="53"/>
        <v>#N/A</v>
      </c>
      <c r="K127" s="676">
        <f t="shared" ref="K127:V127" si="61">SUM(K128:K131)</f>
        <v>40.929166666666703</v>
      </c>
      <c r="L127" s="676">
        <f t="shared" si="61"/>
        <v>40.929166666666703</v>
      </c>
      <c r="M127" s="676">
        <f t="shared" si="61"/>
        <v>40.929166666666703</v>
      </c>
      <c r="N127" s="676">
        <f t="shared" si="61"/>
        <v>40.929166666666703</v>
      </c>
      <c r="O127" s="676">
        <f t="shared" si="61"/>
        <v>40.929166666666703</v>
      </c>
      <c r="P127" s="676">
        <f t="shared" si="61"/>
        <v>40.929166666666703</v>
      </c>
      <c r="Q127" s="676">
        <f t="shared" si="61"/>
        <v>40.929166666666703</v>
      </c>
      <c r="R127" s="676">
        <f t="shared" si="61"/>
        <v>40.929166666666703</v>
      </c>
      <c r="S127" s="676">
        <f t="shared" si="61"/>
        <v>40.929166666666703</v>
      </c>
      <c r="T127" s="676">
        <f t="shared" si="61"/>
        <v>40.929166666666703</v>
      </c>
      <c r="U127" s="676">
        <f t="shared" si="61"/>
        <v>40.929166666666703</v>
      </c>
      <c r="V127" s="676">
        <f t="shared" si="61"/>
        <v>40.929166666666703</v>
      </c>
      <c r="W127" s="676">
        <f t="shared" si="43"/>
        <v>491.15</v>
      </c>
      <c r="Y127" s="688">
        <f>IFERROR(VLOOKUP(A127,'[93]1月'!$A:$H,8,0),0)</f>
        <v>40.93</v>
      </c>
      <c r="Z127" s="688">
        <f>IFERROR(VLOOKUP(A127,'[93]2月'!$A:$H,8,0),0)</f>
        <v>40.93</v>
      </c>
      <c r="AA127" s="688">
        <f>IFERROR(VLOOKUP($A127,'[93]3月'!$A:$H,8,0),0)</f>
        <v>40.93</v>
      </c>
      <c r="AB127" s="688">
        <f>IFERROR(VLOOKUP($A127,'[93]4月'!$A:$H,8,0),0)</f>
        <v>40.93</v>
      </c>
      <c r="AC127" s="688">
        <f>IFERROR(VLOOKUP($A127,'[93]5月'!$A:$H,8,0),0)</f>
        <v>40.93</v>
      </c>
      <c r="AD127" s="688">
        <f>IFERROR(VLOOKUP($A127,'[93]6月'!$A:$H,8,0),0)</f>
        <v>40.93</v>
      </c>
      <c r="AE127" s="688">
        <f>IFERROR(VLOOKUP($A127,'[93]7月'!$A:$H,8,0),0)</f>
        <v>40.93</v>
      </c>
      <c r="AF127" s="688">
        <f>IFERROR(VLOOKUP($A127,'[93]8月'!$A:$H,8,0),0)</f>
        <v>40.93</v>
      </c>
      <c r="AG127" s="688">
        <f>IFERROR(VLOOKUP($A127,'[93]9月'!$A:$H,8,0),0)</f>
        <v>40.93</v>
      </c>
      <c r="AH127" s="688">
        <f>IFERROR(VLOOKUP($A127,'[93]10月'!$A:$H,8,0),0)</f>
        <v>40.93</v>
      </c>
      <c r="AI127" s="688">
        <f>IFERROR(VLOOKUP($A127,'[93]11月'!$A:$H,8,0),0)</f>
        <v>40.93</v>
      </c>
      <c r="AJ127" s="688">
        <f>IFERROR(VLOOKUP($A127,'[93]12月'!$A:$H,8,0),0)</f>
        <v>40.93</v>
      </c>
      <c r="AK127" s="688">
        <f t="shared" si="54"/>
        <v>491.16</v>
      </c>
    </row>
    <row r="128" spans="1:37" ht="11.1" customHeight="1">
      <c r="A128" s="653" t="str">
        <f>'Budget-合并'!A128</f>
        <v>6602.10.01</v>
      </c>
      <c r="B128" s="653" t="str">
        <f>'Budget-合并'!B128</f>
        <v>电子设备</v>
      </c>
      <c r="C128" s="687" t="str">
        <f>'Budget-合并'!C128</f>
        <v>Dep Exp  Computer Equip</v>
      </c>
      <c r="D128" s="676">
        <f t="shared" si="49"/>
        <v>40.929166666666703</v>
      </c>
      <c r="E128" s="676" t="e">
        <f>INDEX($Y128:AHV128,1,MATCH($E$6,$Y$6:$AJ$6))</f>
        <v>#N/A</v>
      </c>
      <c r="F128" s="676" t="e">
        <f t="shared" si="50"/>
        <v>#N/A</v>
      </c>
      <c r="G128" s="676">
        <f t="shared" ca="1" si="51"/>
        <v>40.929166666666703</v>
      </c>
      <c r="H128" s="676" t="e">
        <f t="shared" ca="1" si="52"/>
        <v>#N/A</v>
      </c>
      <c r="I128" s="676" t="e">
        <f t="shared" ca="1" si="53"/>
        <v>#N/A</v>
      </c>
      <c r="K128" s="676">
        <f>2585*0.95/(5*12)</f>
        <v>40.929166666666703</v>
      </c>
      <c r="L128" s="676">
        <f t="shared" ref="L128:V128" si="62">2585*0.95/(5*12)</f>
        <v>40.929166666666703</v>
      </c>
      <c r="M128" s="676">
        <f t="shared" si="62"/>
        <v>40.929166666666703</v>
      </c>
      <c r="N128" s="676">
        <f t="shared" si="62"/>
        <v>40.929166666666703</v>
      </c>
      <c r="O128" s="676">
        <f t="shared" si="62"/>
        <v>40.929166666666703</v>
      </c>
      <c r="P128" s="676">
        <f t="shared" si="62"/>
        <v>40.929166666666703</v>
      </c>
      <c r="Q128" s="676">
        <f t="shared" si="62"/>
        <v>40.929166666666703</v>
      </c>
      <c r="R128" s="676">
        <f t="shared" si="62"/>
        <v>40.929166666666703</v>
      </c>
      <c r="S128" s="676">
        <f t="shared" si="62"/>
        <v>40.929166666666703</v>
      </c>
      <c r="T128" s="676">
        <f t="shared" si="62"/>
        <v>40.929166666666703</v>
      </c>
      <c r="U128" s="676">
        <f t="shared" si="62"/>
        <v>40.929166666666703</v>
      </c>
      <c r="V128" s="676">
        <f t="shared" si="62"/>
        <v>40.929166666666703</v>
      </c>
      <c r="W128" s="676">
        <f t="shared" si="43"/>
        <v>491.15</v>
      </c>
      <c r="Y128" s="688">
        <f>IFERROR(VLOOKUP(A128,'[93]1月'!$A:$H,8,0),0)</f>
        <v>0</v>
      </c>
      <c r="Z128" s="688">
        <f>IFERROR(VLOOKUP(A128,'[93]2月'!$A:$H,8,0),0)</f>
        <v>0</v>
      </c>
      <c r="AA128" s="688">
        <f>IFERROR(VLOOKUP($A128,'[93]3月'!$A:$H,8,0),0)</f>
        <v>0</v>
      </c>
      <c r="AB128" s="688">
        <f>IFERROR(VLOOKUP($A128,'[93]4月'!$A:$H,8,0),0)</f>
        <v>0</v>
      </c>
      <c r="AC128" s="688">
        <f>IFERROR(VLOOKUP($A128,'[93]5月'!$A:$H,8,0),0)</f>
        <v>0</v>
      </c>
      <c r="AD128" s="688">
        <f>IFERROR(VLOOKUP($A128,'[93]6月'!$A:$H,8,0),0)</f>
        <v>0</v>
      </c>
      <c r="AE128" s="688">
        <f>IFERROR(VLOOKUP($A128,'[93]7月'!$A:$H,8,0),0)</f>
        <v>0</v>
      </c>
      <c r="AF128" s="688">
        <f>IFERROR(VLOOKUP($A128,'[93]8月'!$A:$H,8,0),0)</f>
        <v>0</v>
      </c>
      <c r="AG128" s="688">
        <f>IFERROR(VLOOKUP($A128,'[93]9月'!$A:$H,8,0),0)</f>
        <v>0</v>
      </c>
      <c r="AH128" s="688">
        <f>IFERROR(VLOOKUP($A128,'[93]10月'!$A:$H,8,0),0)</f>
        <v>0</v>
      </c>
      <c r="AI128" s="688">
        <f>IFERROR(VLOOKUP($A128,'[93]11月'!$A:$H,8,0),0)</f>
        <v>0</v>
      </c>
      <c r="AJ128" s="688">
        <f>IFERROR(VLOOKUP($A128,'[93]12月'!$A:$H,8,0),0)</f>
        <v>0</v>
      </c>
      <c r="AK128" s="688">
        <f t="shared" si="54"/>
        <v>0</v>
      </c>
    </row>
    <row r="129" spans="1:37" ht="11.1" customHeight="1">
      <c r="A129" s="653" t="str">
        <f>'Budget-合并'!A129</f>
        <v>6602.10.02</v>
      </c>
      <c r="B129" s="653" t="str">
        <f>'Budget-合并'!B129</f>
        <v>房屋建筑物</v>
      </c>
      <c r="C129" s="687">
        <f>'Budget-合并'!C129</f>
        <v>0</v>
      </c>
      <c r="D129" s="676">
        <f t="shared" si="49"/>
        <v>0</v>
      </c>
      <c r="E129" s="676" t="e">
        <f>INDEX($Y129:AHV129,1,MATCH($E$6,$Y$6:$AJ$6))</f>
        <v>#N/A</v>
      </c>
      <c r="F129" s="676" t="e">
        <f t="shared" si="50"/>
        <v>#N/A</v>
      </c>
      <c r="G129" s="676">
        <f t="shared" ca="1" si="51"/>
        <v>0</v>
      </c>
      <c r="H129" s="676" t="e">
        <f t="shared" ca="1" si="52"/>
        <v>#N/A</v>
      </c>
      <c r="I129" s="676" t="e">
        <f t="shared" ca="1" si="53"/>
        <v>#N/A</v>
      </c>
      <c r="K129" s="676"/>
      <c r="L129" s="676"/>
      <c r="M129" s="676"/>
      <c r="N129" s="676"/>
      <c r="O129" s="676"/>
      <c r="P129" s="676"/>
      <c r="Q129" s="676"/>
      <c r="R129" s="676"/>
      <c r="S129" s="676"/>
      <c r="T129" s="676"/>
      <c r="U129" s="676"/>
      <c r="V129" s="676"/>
      <c r="W129" s="676">
        <f t="shared" si="43"/>
        <v>0</v>
      </c>
      <c r="Y129" s="688">
        <f>IFERROR(VLOOKUP(A129,'[93]1月'!$A:$H,8,0),0)</f>
        <v>0</v>
      </c>
      <c r="Z129" s="688">
        <f>IFERROR(VLOOKUP(A129,'[93]2月'!$A:$H,8,0),0)</f>
        <v>0</v>
      </c>
      <c r="AA129" s="688">
        <f>IFERROR(VLOOKUP($A129,'[93]3月'!$A:$H,8,0),0)</f>
        <v>0</v>
      </c>
      <c r="AB129" s="688">
        <f>IFERROR(VLOOKUP($A129,'[93]4月'!$A:$H,8,0),0)</f>
        <v>0</v>
      </c>
      <c r="AC129" s="688">
        <f>IFERROR(VLOOKUP($A129,'[93]5月'!$A:$H,8,0),0)</f>
        <v>0</v>
      </c>
      <c r="AD129" s="688">
        <f>IFERROR(VLOOKUP($A129,'[93]6月'!$A:$H,8,0),0)</f>
        <v>0</v>
      </c>
      <c r="AE129" s="688">
        <f>IFERROR(VLOOKUP($A129,'[93]7月'!$A:$H,8,0),0)</f>
        <v>0</v>
      </c>
      <c r="AF129" s="688">
        <f>IFERROR(VLOOKUP($A129,'[93]8月'!$A:$H,8,0),0)</f>
        <v>0</v>
      </c>
      <c r="AG129" s="688">
        <f>IFERROR(VLOOKUP($A129,'[93]9月'!$A:$H,8,0),0)</f>
        <v>0</v>
      </c>
      <c r="AH129" s="688">
        <f>IFERROR(VLOOKUP($A129,'[93]10月'!$A:$H,8,0),0)</f>
        <v>0</v>
      </c>
      <c r="AI129" s="688">
        <f>IFERROR(VLOOKUP($A129,'[93]11月'!$A:$H,8,0),0)</f>
        <v>0</v>
      </c>
      <c r="AJ129" s="688">
        <f>IFERROR(VLOOKUP($A129,'[93]12月'!$A:$H,8,0),0)</f>
        <v>0</v>
      </c>
      <c r="AK129" s="688">
        <f t="shared" si="54"/>
        <v>0</v>
      </c>
    </row>
    <row r="130" spans="1:37" ht="11.1" customHeight="1">
      <c r="A130" s="653" t="str">
        <f>'Budget-合并'!A130</f>
        <v>6602.10.03</v>
      </c>
      <c r="B130" s="653" t="str">
        <f>'Budget-合并'!B130</f>
        <v>机器设备</v>
      </c>
      <c r="C130" s="687">
        <f>'Budget-合并'!C130</f>
        <v>0</v>
      </c>
      <c r="D130" s="676">
        <f t="shared" si="49"/>
        <v>0</v>
      </c>
      <c r="E130" s="676" t="e">
        <f>INDEX($Y130:AHV130,1,MATCH($E$6,$Y$6:$AJ$6))</f>
        <v>#N/A</v>
      </c>
      <c r="F130" s="676" t="e">
        <f t="shared" si="50"/>
        <v>#N/A</v>
      </c>
      <c r="G130" s="676">
        <f t="shared" ca="1" si="51"/>
        <v>0</v>
      </c>
      <c r="H130" s="676" t="e">
        <f t="shared" ca="1" si="52"/>
        <v>#N/A</v>
      </c>
      <c r="I130" s="676" t="e">
        <f t="shared" ca="1" si="53"/>
        <v>#N/A</v>
      </c>
      <c r="K130" s="676"/>
      <c r="L130" s="676"/>
      <c r="M130" s="676"/>
      <c r="N130" s="676"/>
      <c r="O130" s="676"/>
      <c r="P130" s="676"/>
      <c r="Q130" s="676"/>
      <c r="R130" s="676"/>
      <c r="S130" s="676"/>
      <c r="T130" s="676"/>
      <c r="U130" s="676"/>
      <c r="V130" s="676"/>
      <c r="W130" s="676">
        <f t="shared" si="43"/>
        <v>0</v>
      </c>
      <c r="Y130" s="688">
        <f>IFERROR(VLOOKUP(A130,'[93]1月'!$A:$H,8,0),0)</f>
        <v>0</v>
      </c>
      <c r="Z130" s="688">
        <f>IFERROR(VLOOKUP(A130,'[93]2月'!$A:$H,8,0),0)</f>
        <v>0</v>
      </c>
      <c r="AA130" s="688">
        <f>IFERROR(VLOOKUP($A130,'[93]3月'!$A:$H,8,0),0)</f>
        <v>0</v>
      </c>
      <c r="AB130" s="688">
        <f>IFERROR(VLOOKUP($A130,'[93]4月'!$A:$H,8,0),0)</f>
        <v>0</v>
      </c>
      <c r="AC130" s="688">
        <f>IFERROR(VLOOKUP($A130,'[93]5月'!$A:$H,8,0),0)</f>
        <v>0</v>
      </c>
      <c r="AD130" s="688">
        <f>IFERROR(VLOOKUP($A130,'[93]6月'!$A:$H,8,0),0)</f>
        <v>0</v>
      </c>
      <c r="AE130" s="688">
        <f>IFERROR(VLOOKUP($A130,'[93]7月'!$A:$H,8,0),0)</f>
        <v>0</v>
      </c>
      <c r="AF130" s="688">
        <f>IFERROR(VLOOKUP($A130,'[93]8月'!$A:$H,8,0),0)</f>
        <v>0</v>
      </c>
      <c r="AG130" s="688">
        <f>IFERROR(VLOOKUP($A130,'[93]9月'!$A:$H,8,0),0)</f>
        <v>0</v>
      </c>
      <c r="AH130" s="688">
        <f>IFERROR(VLOOKUP($A130,'[93]10月'!$A:$H,8,0),0)</f>
        <v>0</v>
      </c>
      <c r="AI130" s="688">
        <f>IFERROR(VLOOKUP($A130,'[93]11月'!$A:$H,8,0),0)</f>
        <v>0</v>
      </c>
      <c r="AJ130" s="688">
        <f>IFERROR(VLOOKUP($A130,'[93]12月'!$A:$H,8,0),0)</f>
        <v>0</v>
      </c>
      <c r="AK130" s="688">
        <f t="shared" si="54"/>
        <v>0</v>
      </c>
    </row>
    <row r="131" spans="1:37" ht="11.1" customHeight="1">
      <c r="A131" s="653" t="str">
        <f>'Budget-合并'!A131</f>
        <v>6602.10.04</v>
      </c>
      <c r="B131" s="653" t="str">
        <f>'Budget-合并'!B131</f>
        <v>家具设备</v>
      </c>
      <c r="C131" s="687" t="str">
        <f>'Budget-合并'!C131</f>
        <v xml:space="preserve">Dep Exp - Other EQ &amp; Furn </v>
      </c>
      <c r="D131" s="676">
        <f t="shared" si="49"/>
        <v>0</v>
      </c>
      <c r="E131" s="676" t="e">
        <f>INDEX($Y131:AHV131,1,MATCH($E$6,$Y$6:$AJ$6))</f>
        <v>#N/A</v>
      </c>
      <c r="F131" s="676" t="e">
        <f t="shared" si="50"/>
        <v>#N/A</v>
      </c>
      <c r="G131" s="676">
        <f t="shared" ca="1" si="51"/>
        <v>0</v>
      </c>
      <c r="H131" s="676" t="e">
        <f t="shared" ca="1" si="52"/>
        <v>#N/A</v>
      </c>
      <c r="I131" s="676" t="e">
        <f t="shared" ca="1" si="53"/>
        <v>#N/A</v>
      </c>
      <c r="K131" s="676"/>
      <c r="L131" s="676"/>
      <c r="M131" s="676"/>
      <c r="N131" s="676"/>
      <c r="O131" s="676"/>
      <c r="P131" s="676"/>
      <c r="Q131" s="676"/>
      <c r="R131" s="676"/>
      <c r="S131" s="676"/>
      <c r="T131" s="676"/>
      <c r="U131" s="676"/>
      <c r="V131" s="676"/>
      <c r="W131" s="676">
        <f t="shared" si="43"/>
        <v>0</v>
      </c>
      <c r="Y131" s="688">
        <f>IFERROR(VLOOKUP(A131,'[93]1月'!$A:$H,8,0),0)</f>
        <v>40.93</v>
      </c>
      <c r="Z131" s="688">
        <f>IFERROR(VLOOKUP(A131,'[93]2月'!$A:$H,8,0),0)</f>
        <v>40.93</v>
      </c>
      <c r="AA131" s="688">
        <f>IFERROR(VLOOKUP($A131,'[93]3月'!$A:$H,8,0),0)</f>
        <v>40.93</v>
      </c>
      <c r="AB131" s="688">
        <f>IFERROR(VLOOKUP($A131,'[93]4月'!$A:$H,8,0),0)</f>
        <v>40.93</v>
      </c>
      <c r="AC131" s="688">
        <f>IFERROR(VLOOKUP($A131,'[93]5月'!$A:$H,8,0),0)</f>
        <v>40.93</v>
      </c>
      <c r="AD131" s="688">
        <f>IFERROR(VLOOKUP($A131,'[93]6月'!$A:$H,8,0),0)</f>
        <v>40.93</v>
      </c>
      <c r="AE131" s="688">
        <f>IFERROR(VLOOKUP($A131,'[93]7月'!$A:$H,8,0),0)</f>
        <v>40.93</v>
      </c>
      <c r="AF131" s="688">
        <f>IFERROR(VLOOKUP($A131,'[93]8月'!$A:$H,8,0),0)</f>
        <v>40.93</v>
      </c>
      <c r="AG131" s="688">
        <f>IFERROR(VLOOKUP($A131,'[93]9月'!$A:$H,8,0),0)</f>
        <v>40.93</v>
      </c>
      <c r="AH131" s="688">
        <f>IFERROR(VLOOKUP($A131,'[93]10月'!$A:$H,8,0),0)</f>
        <v>40.93</v>
      </c>
      <c r="AI131" s="688">
        <f>IFERROR(VLOOKUP($A131,'[93]11月'!$A:$H,8,0),0)</f>
        <v>40.93</v>
      </c>
      <c r="AJ131" s="688">
        <f>IFERROR(VLOOKUP($A131,'[93]12月'!$A:$H,8,0),0)</f>
        <v>40.93</v>
      </c>
      <c r="AK131" s="688">
        <f t="shared" si="54"/>
        <v>491.16</v>
      </c>
    </row>
    <row r="132" spans="1:37" ht="11.1" customHeight="1">
      <c r="A132" s="663" t="str">
        <f>'Budget-合并'!A132</f>
        <v>6602.12</v>
      </c>
      <c r="B132" s="663" t="str">
        <f>'Budget-合并'!B132</f>
        <v>使用权资产折旧</v>
      </c>
      <c r="C132" s="687" t="str">
        <f>'Budget-合并'!C132</f>
        <v>Dep Exp - Right of Use Asset</v>
      </c>
      <c r="D132" s="676">
        <f t="shared" si="49"/>
        <v>12694.4</v>
      </c>
      <c r="E132" s="676" t="e">
        <f>INDEX($Y132:AHV132,1,MATCH($E$6,$Y$6:$AJ$6))</f>
        <v>#N/A</v>
      </c>
      <c r="F132" s="676" t="e">
        <f t="shared" si="50"/>
        <v>#N/A</v>
      </c>
      <c r="G132" s="676">
        <f t="shared" ca="1" si="51"/>
        <v>12694.4</v>
      </c>
      <c r="H132" s="676" t="e">
        <f t="shared" ca="1" si="52"/>
        <v>#N/A</v>
      </c>
      <c r="I132" s="676" t="e">
        <f t="shared" ca="1" si="53"/>
        <v>#N/A</v>
      </c>
      <c r="K132" s="676">
        <f t="shared" ref="K132:V132" si="63">SUM(K133,K134,K137)</f>
        <v>12694.4</v>
      </c>
      <c r="L132" s="676">
        <f t="shared" si="63"/>
        <v>12694.4</v>
      </c>
      <c r="M132" s="676">
        <f t="shared" si="63"/>
        <v>12694.4</v>
      </c>
      <c r="N132" s="676">
        <f t="shared" si="63"/>
        <v>12694.4</v>
      </c>
      <c r="O132" s="676">
        <f t="shared" si="63"/>
        <v>12694.4</v>
      </c>
      <c r="P132" s="676">
        <f t="shared" si="63"/>
        <v>12694.4</v>
      </c>
      <c r="Q132" s="676">
        <f t="shared" si="63"/>
        <v>12694.4</v>
      </c>
      <c r="R132" s="676">
        <f t="shared" si="63"/>
        <v>12694.4</v>
      </c>
      <c r="S132" s="676">
        <f t="shared" si="63"/>
        <v>12694.4</v>
      </c>
      <c r="T132" s="676">
        <f t="shared" si="63"/>
        <v>12694.4</v>
      </c>
      <c r="U132" s="676">
        <f t="shared" si="63"/>
        <v>12694.4</v>
      </c>
      <c r="V132" s="676">
        <f t="shared" si="63"/>
        <v>12694.4</v>
      </c>
      <c r="W132" s="676">
        <f t="shared" si="43"/>
        <v>152332.79999999996</v>
      </c>
      <c r="Y132" s="688">
        <f>IFERROR(VLOOKUP(A132,'[93]1月'!$A:$H,8,0),0)</f>
        <v>6284.82</v>
      </c>
      <c r="Z132" s="688">
        <f>IFERROR(VLOOKUP(A132,'[93]2月'!$A:$H,8,0),0)</f>
        <v>6284.82</v>
      </c>
      <c r="AA132" s="688">
        <f>IFERROR(VLOOKUP($A132,'[93]3月'!$A:$H,8,0),0)</f>
        <v>6284.82</v>
      </c>
      <c r="AB132" s="688">
        <f>IFERROR(VLOOKUP($A132,'[93]4月'!$A:$H,8,0),0)</f>
        <v>6284.82</v>
      </c>
      <c r="AC132" s="688">
        <f>IFERROR(VLOOKUP($A132,'[93]5月'!$A:$H,8,0),0)</f>
        <v>6284.82</v>
      </c>
      <c r="AD132" s="688">
        <f>IFERROR(VLOOKUP($A132,'[93]6月'!$A:$H,8,0),0)</f>
        <v>6284.82</v>
      </c>
      <c r="AE132" s="688">
        <f>IFERROR(VLOOKUP($A132,'[93]7月'!$A:$H,8,0),0)</f>
        <v>6284.82</v>
      </c>
      <c r="AF132" s="688">
        <f>IFERROR(VLOOKUP($A132,'[93]8月'!$A:$H,8,0),0)</f>
        <v>6284.82</v>
      </c>
      <c r="AG132" s="688">
        <f>IFERROR(VLOOKUP($A132,'[93]9月'!$A:$H,8,0),0)</f>
        <v>6284.82</v>
      </c>
      <c r="AH132" s="688">
        <f>IFERROR(VLOOKUP($A132,'[93]10月'!$A:$H,8,0),0)</f>
        <v>6284.82</v>
      </c>
      <c r="AI132" s="688">
        <f>IFERROR(VLOOKUP($A132,'[93]11月'!$A:$H,8,0),0)</f>
        <v>6284.82</v>
      </c>
      <c r="AJ132" s="688">
        <f>IFERROR(VLOOKUP($A132,'[93]12月'!$A:$H,8,0),0)</f>
        <v>6284.85</v>
      </c>
      <c r="AK132" s="688">
        <f t="shared" si="54"/>
        <v>75417.87</v>
      </c>
    </row>
    <row r="133" spans="1:37" ht="11.1" customHeight="1">
      <c r="A133" s="653" t="str">
        <f>'Budget-合并'!A133</f>
        <v>6602.12.01</v>
      </c>
      <c r="B133" s="653" t="str">
        <f>'Budget-合并'!B133</f>
        <v>打印机租赁</v>
      </c>
      <c r="C133" s="687">
        <f>'Budget-合并'!C133</f>
        <v>0</v>
      </c>
      <c r="D133" s="676">
        <f t="shared" si="49"/>
        <v>0</v>
      </c>
      <c r="E133" s="676" t="e">
        <f>INDEX($Y133:AHV133,1,MATCH($E$6,$Y$6:$AJ$6))</f>
        <v>#N/A</v>
      </c>
      <c r="F133" s="676" t="e">
        <f t="shared" si="50"/>
        <v>#N/A</v>
      </c>
      <c r="G133" s="676">
        <f t="shared" ca="1" si="51"/>
        <v>0</v>
      </c>
      <c r="H133" s="676" t="e">
        <f t="shared" ca="1" si="52"/>
        <v>#N/A</v>
      </c>
      <c r="I133" s="676" t="e">
        <f t="shared" ca="1" si="53"/>
        <v>#N/A</v>
      </c>
      <c r="K133" s="676"/>
      <c r="L133" s="676"/>
      <c r="M133" s="676"/>
      <c r="N133" s="676"/>
      <c r="O133" s="676"/>
      <c r="P133" s="676"/>
      <c r="Q133" s="676"/>
      <c r="R133" s="676"/>
      <c r="S133" s="676"/>
      <c r="T133" s="676"/>
      <c r="U133" s="676"/>
      <c r="V133" s="676"/>
      <c r="W133" s="676">
        <f t="shared" si="43"/>
        <v>0</v>
      </c>
      <c r="Y133" s="688">
        <f>IFERROR(VLOOKUP(A133,'[93]1月'!$A:$H,8,0),0)</f>
        <v>0</v>
      </c>
      <c r="Z133" s="688">
        <f>IFERROR(VLOOKUP(A133,'[93]2月'!$A:$H,8,0),0)</f>
        <v>0</v>
      </c>
      <c r="AA133" s="688">
        <f>IFERROR(VLOOKUP($A133,'[93]3月'!$A:$H,8,0),0)</f>
        <v>0</v>
      </c>
      <c r="AB133" s="688">
        <f>IFERROR(VLOOKUP($A133,'[93]4月'!$A:$H,8,0),0)</f>
        <v>0</v>
      </c>
      <c r="AC133" s="688">
        <f>IFERROR(VLOOKUP($A133,'[93]5月'!$A:$H,8,0),0)</f>
        <v>0</v>
      </c>
      <c r="AD133" s="688">
        <f>IFERROR(VLOOKUP($A133,'[93]6月'!$A:$H,8,0),0)</f>
        <v>0</v>
      </c>
      <c r="AE133" s="688">
        <f>IFERROR(VLOOKUP($A133,'[93]7月'!$A:$H,8,0),0)</f>
        <v>0</v>
      </c>
      <c r="AF133" s="688">
        <f>IFERROR(VLOOKUP($A133,'[93]8月'!$A:$H,8,0),0)</f>
        <v>0</v>
      </c>
      <c r="AG133" s="688">
        <f>IFERROR(VLOOKUP($A133,'[93]9月'!$A:$H,8,0),0)</f>
        <v>0</v>
      </c>
      <c r="AH133" s="688">
        <f>IFERROR(VLOOKUP($A133,'[93]10月'!$A:$H,8,0),0)</f>
        <v>0</v>
      </c>
      <c r="AI133" s="688">
        <f>IFERROR(VLOOKUP($A133,'[93]11月'!$A:$H,8,0),0)</f>
        <v>0</v>
      </c>
      <c r="AJ133" s="688">
        <f>IFERROR(VLOOKUP($A133,'[93]12月'!$A:$H,8,0),0)</f>
        <v>0</v>
      </c>
      <c r="AK133" s="688">
        <f t="shared" si="54"/>
        <v>0</v>
      </c>
    </row>
    <row r="134" spans="1:37" ht="11.1" customHeight="1">
      <c r="A134" s="653" t="str">
        <f>'Budget-合并'!A134</f>
        <v>6602.12.02</v>
      </c>
      <c r="B134" s="653" t="str">
        <f>'Budget-合并'!B134</f>
        <v>办公地址</v>
      </c>
      <c r="C134" s="687">
        <f>'Budget-合并'!C134</f>
        <v>0</v>
      </c>
      <c r="D134" s="676">
        <f t="shared" si="49"/>
        <v>0</v>
      </c>
      <c r="E134" s="676" t="e">
        <f>INDEX($Y134:AHV134,1,MATCH($E$6,$Y$6:$AJ$6))</f>
        <v>#N/A</v>
      </c>
      <c r="F134" s="676" t="e">
        <f t="shared" si="50"/>
        <v>#N/A</v>
      </c>
      <c r="G134" s="676">
        <f t="shared" ca="1" si="51"/>
        <v>0</v>
      </c>
      <c r="H134" s="676" t="e">
        <f t="shared" ca="1" si="52"/>
        <v>#N/A</v>
      </c>
      <c r="I134" s="676" t="e">
        <f t="shared" ca="1" si="53"/>
        <v>#N/A</v>
      </c>
      <c r="K134" s="676">
        <f t="shared" ref="K134:V134" si="64">SUM(K135:K136)</f>
        <v>0</v>
      </c>
      <c r="L134" s="676">
        <f t="shared" si="64"/>
        <v>0</v>
      </c>
      <c r="M134" s="676">
        <f t="shared" si="64"/>
        <v>0</v>
      </c>
      <c r="N134" s="676">
        <f t="shared" si="64"/>
        <v>0</v>
      </c>
      <c r="O134" s="676">
        <f t="shared" si="64"/>
        <v>0</v>
      </c>
      <c r="P134" s="676">
        <f t="shared" si="64"/>
        <v>0</v>
      </c>
      <c r="Q134" s="676">
        <f t="shared" si="64"/>
        <v>0</v>
      </c>
      <c r="R134" s="676">
        <f t="shared" si="64"/>
        <v>0</v>
      </c>
      <c r="S134" s="676">
        <f t="shared" si="64"/>
        <v>0</v>
      </c>
      <c r="T134" s="676">
        <f t="shared" si="64"/>
        <v>0</v>
      </c>
      <c r="U134" s="676">
        <f t="shared" si="64"/>
        <v>0</v>
      </c>
      <c r="V134" s="676">
        <f t="shared" si="64"/>
        <v>0</v>
      </c>
      <c r="W134" s="676">
        <f t="shared" si="43"/>
        <v>0</v>
      </c>
      <c r="Y134" s="688">
        <f>IFERROR(VLOOKUP(A134,'[93]1月'!$A:$H,8,0),0)</f>
        <v>0</v>
      </c>
      <c r="Z134" s="688">
        <f>IFERROR(VLOOKUP(A134,'[93]2月'!$A:$H,8,0),0)</f>
        <v>0</v>
      </c>
      <c r="AA134" s="688">
        <f>IFERROR(VLOOKUP($A134,'[93]3月'!$A:$H,8,0),0)</f>
        <v>0</v>
      </c>
      <c r="AB134" s="688">
        <f>IFERROR(VLOOKUP($A134,'[93]4月'!$A:$H,8,0),0)</f>
        <v>0</v>
      </c>
      <c r="AC134" s="688">
        <f>IFERROR(VLOOKUP($A134,'[93]5月'!$A:$H,8,0),0)</f>
        <v>0</v>
      </c>
      <c r="AD134" s="688">
        <f>IFERROR(VLOOKUP($A134,'[93]6月'!$A:$H,8,0),0)</f>
        <v>0</v>
      </c>
      <c r="AE134" s="688">
        <f>IFERROR(VLOOKUP($A134,'[93]7月'!$A:$H,8,0),0)</f>
        <v>0</v>
      </c>
      <c r="AF134" s="688">
        <f>IFERROR(VLOOKUP($A134,'[93]8月'!$A:$H,8,0),0)</f>
        <v>0</v>
      </c>
      <c r="AG134" s="688">
        <f>IFERROR(VLOOKUP($A134,'[93]9月'!$A:$H,8,0),0)</f>
        <v>0</v>
      </c>
      <c r="AH134" s="688">
        <f>IFERROR(VLOOKUP($A134,'[93]10月'!$A:$H,8,0),0)</f>
        <v>0</v>
      </c>
      <c r="AI134" s="688">
        <f>IFERROR(VLOOKUP($A134,'[93]11月'!$A:$H,8,0),0)</f>
        <v>0</v>
      </c>
      <c r="AJ134" s="688">
        <f>IFERROR(VLOOKUP($A134,'[93]12月'!$A:$H,8,0),0)</f>
        <v>0</v>
      </c>
      <c r="AK134" s="688">
        <f t="shared" si="54"/>
        <v>0</v>
      </c>
    </row>
    <row r="135" spans="1:37" ht="11.1" customHeight="1">
      <c r="A135" s="653" t="str">
        <f>'Budget-合并'!A135</f>
        <v>6602.12.02.01</v>
      </c>
      <c r="B135" s="653" t="str">
        <f>'Budget-合并'!B135</f>
        <v>旭智咨询--鼎和大厦1606</v>
      </c>
      <c r="C135" s="687">
        <f>'Budget-合并'!C135</f>
        <v>0</v>
      </c>
      <c r="D135" s="676">
        <f t="shared" si="49"/>
        <v>0</v>
      </c>
      <c r="E135" s="676" t="e">
        <f>INDEX($Y135:AHV135,1,MATCH($E$6,$Y$6:$AJ$6))</f>
        <v>#N/A</v>
      </c>
      <c r="F135" s="676" t="e">
        <f t="shared" si="50"/>
        <v>#N/A</v>
      </c>
      <c r="G135" s="676">
        <f t="shared" ca="1" si="51"/>
        <v>0</v>
      </c>
      <c r="H135" s="676" t="e">
        <f t="shared" ca="1" si="52"/>
        <v>#N/A</v>
      </c>
      <c r="I135" s="676" t="e">
        <f t="shared" ca="1" si="53"/>
        <v>#N/A</v>
      </c>
      <c r="K135" s="676"/>
      <c r="L135" s="676"/>
      <c r="M135" s="676"/>
      <c r="N135" s="676"/>
      <c r="O135" s="676"/>
      <c r="P135" s="676"/>
      <c r="Q135" s="676"/>
      <c r="R135" s="676"/>
      <c r="S135" s="676"/>
      <c r="T135" s="676"/>
      <c r="U135" s="676"/>
      <c r="V135" s="676"/>
      <c r="W135" s="676">
        <f t="shared" si="43"/>
        <v>0</v>
      </c>
      <c r="Y135" s="688">
        <f>IFERROR(VLOOKUP(A135,'[93]1月'!$A:$H,8,0),0)</f>
        <v>0</v>
      </c>
      <c r="Z135" s="688">
        <f>IFERROR(VLOOKUP(A135,'[93]2月'!$A:$H,8,0),0)</f>
        <v>0</v>
      </c>
      <c r="AA135" s="688">
        <f>IFERROR(VLOOKUP($A135,'[93]3月'!$A:$H,8,0),0)</f>
        <v>0</v>
      </c>
      <c r="AB135" s="688">
        <f>IFERROR(VLOOKUP($A135,'[93]4月'!$A:$H,8,0),0)</f>
        <v>0</v>
      </c>
      <c r="AC135" s="688">
        <f>IFERROR(VLOOKUP($A135,'[93]5月'!$A:$H,8,0),0)</f>
        <v>0</v>
      </c>
      <c r="AD135" s="688">
        <f>IFERROR(VLOOKUP($A135,'[93]6月'!$A:$H,8,0),0)</f>
        <v>0</v>
      </c>
      <c r="AE135" s="688">
        <f>IFERROR(VLOOKUP($A135,'[93]7月'!$A:$H,8,0),0)</f>
        <v>0</v>
      </c>
      <c r="AF135" s="688">
        <f>IFERROR(VLOOKUP($A135,'[93]8月'!$A:$H,8,0),0)</f>
        <v>0</v>
      </c>
      <c r="AG135" s="688">
        <f>IFERROR(VLOOKUP($A135,'[93]9月'!$A:$H,8,0),0)</f>
        <v>0</v>
      </c>
      <c r="AH135" s="688">
        <f>IFERROR(VLOOKUP($A135,'[93]10月'!$A:$H,8,0),0)</f>
        <v>0</v>
      </c>
      <c r="AI135" s="688">
        <f>IFERROR(VLOOKUP($A135,'[93]11月'!$A:$H,8,0),0)</f>
        <v>0</v>
      </c>
      <c r="AJ135" s="688">
        <f>IFERROR(VLOOKUP($A135,'[93]12月'!$A:$H,8,0),0)</f>
        <v>0</v>
      </c>
      <c r="AK135" s="688">
        <f t="shared" si="54"/>
        <v>0</v>
      </c>
    </row>
    <row r="136" spans="1:37" ht="11.1" customHeight="1">
      <c r="A136" s="653" t="str">
        <f>'Budget-合并'!A136</f>
        <v>6602.12.02.02</v>
      </c>
      <c r="B136" s="653" t="str">
        <f>'Budget-合并'!B136</f>
        <v>旭智资本（香港）--冯氏大厦</v>
      </c>
      <c r="C136" s="687">
        <f>'Budget-合并'!C136</f>
        <v>0</v>
      </c>
      <c r="D136" s="676">
        <f t="shared" si="49"/>
        <v>0</v>
      </c>
      <c r="E136" s="676" t="e">
        <f>INDEX($Y136:AHV136,1,MATCH($E$6,$Y$6:$AJ$6))</f>
        <v>#N/A</v>
      </c>
      <c r="F136" s="676" t="e">
        <f t="shared" si="50"/>
        <v>#N/A</v>
      </c>
      <c r="G136" s="676">
        <f t="shared" ca="1" si="51"/>
        <v>0</v>
      </c>
      <c r="H136" s="676" t="e">
        <f t="shared" ca="1" si="52"/>
        <v>#N/A</v>
      </c>
      <c r="I136" s="676" t="e">
        <f t="shared" ca="1" si="53"/>
        <v>#N/A</v>
      </c>
      <c r="K136" s="676"/>
      <c r="L136" s="676"/>
      <c r="M136" s="676"/>
      <c r="N136" s="676"/>
      <c r="O136" s="676"/>
      <c r="P136" s="676"/>
      <c r="Q136" s="676"/>
      <c r="R136" s="676"/>
      <c r="S136" s="676"/>
      <c r="T136" s="676"/>
      <c r="U136" s="676"/>
      <c r="V136" s="676"/>
      <c r="W136" s="676">
        <f t="shared" si="43"/>
        <v>0</v>
      </c>
      <c r="Y136" s="688">
        <f>IFERROR(VLOOKUP(A136,'[93]1月'!$A:$H,8,0),0)</f>
        <v>0</v>
      </c>
      <c r="Z136" s="688">
        <f>IFERROR(VLOOKUP(A136,'[93]2月'!$A:$H,8,0),0)</f>
        <v>0</v>
      </c>
      <c r="AA136" s="688">
        <f>IFERROR(VLOOKUP($A136,'[93]3月'!$A:$H,8,0),0)</f>
        <v>0</v>
      </c>
      <c r="AB136" s="688">
        <f>IFERROR(VLOOKUP($A136,'[93]4月'!$A:$H,8,0),0)</f>
        <v>0</v>
      </c>
      <c r="AC136" s="688">
        <f>IFERROR(VLOOKUP($A136,'[93]5月'!$A:$H,8,0),0)</f>
        <v>0</v>
      </c>
      <c r="AD136" s="688">
        <f>IFERROR(VLOOKUP($A136,'[93]6月'!$A:$H,8,0),0)</f>
        <v>0</v>
      </c>
      <c r="AE136" s="688">
        <f>IFERROR(VLOOKUP($A136,'[93]7月'!$A:$H,8,0),0)</f>
        <v>0</v>
      </c>
      <c r="AF136" s="688">
        <f>IFERROR(VLOOKUP($A136,'[93]8月'!$A:$H,8,0),0)</f>
        <v>0</v>
      </c>
      <c r="AG136" s="688">
        <f>IFERROR(VLOOKUP($A136,'[93]9月'!$A:$H,8,0),0)</f>
        <v>0</v>
      </c>
      <c r="AH136" s="688">
        <f>IFERROR(VLOOKUP($A136,'[93]10月'!$A:$H,8,0),0)</f>
        <v>0</v>
      </c>
      <c r="AI136" s="688">
        <f>IFERROR(VLOOKUP($A136,'[93]11月'!$A:$H,8,0),0)</f>
        <v>0</v>
      </c>
      <c r="AJ136" s="688">
        <f>IFERROR(VLOOKUP($A136,'[93]12月'!$A:$H,8,0),0)</f>
        <v>0</v>
      </c>
      <c r="AK136" s="688">
        <f t="shared" si="54"/>
        <v>0</v>
      </c>
    </row>
    <row r="137" spans="1:37" ht="11.1" customHeight="1">
      <c r="A137" s="653" t="str">
        <f>'Budget-合并'!A137</f>
        <v>6602.12.03</v>
      </c>
      <c r="B137" s="653" t="str">
        <f>'Budget-合并'!B137</f>
        <v>注册地址</v>
      </c>
      <c r="C137" s="687">
        <f>'Budget-合并'!C137</f>
        <v>0</v>
      </c>
      <c r="D137" s="676">
        <f t="shared" si="49"/>
        <v>12694.4</v>
      </c>
      <c r="E137" s="676" t="e">
        <f>INDEX($Y137:AHV137,1,MATCH($E$6,$Y$6:$AJ$6))</f>
        <v>#N/A</v>
      </c>
      <c r="F137" s="676" t="e">
        <f t="shared" si="50"/>
        <v>#N/A</v>
      </c>
      <c r="G137" s="676">
        <f t="shared" ca="1" si="51"/>
        <v>12694.4</v>
      </c>
      <c r="H137" s="676" t="e">
        <f t="shared" ca="1" si="52"/>
        <v>#N/A</v>
      </c>
      <c r="I137" s="676" t="e">
        <f t="shared" ca="1" si="53"/>
        <v>#N/A</v>
      </c>
      <c r="K137" s="676">
        <f t="shared" ref="K137:V137" si="65">SUM(K138:K139)</f>
        <v>12694.4</v>
      </c>
      <c r="L137" s="676">
        <f t="shared" si="65"/>
        <v>12694.4</v>
      </c>
      <c r="M137" s="676">
        <f t="shared" si="65"/>
        <v>12694.4</v>
      </c>
      <c r="N137" s="676">
        <f t="shared" si="65"/>
        <v>12694.4</v>
      </c>
      <c r="O137" s="676">
        <f t="shared" si="65"/>
        <v>12694.4</v>
      </c>
      <c r="P137" s="676">
        <f t="shared" si="65"/>
        <v>12694.4</v>
      </c>
      <c r="Q137" s="676">
        <f t="shared" si="65"/>
        <v>12694.4</v>
      </c>
      <c r="R137" s="676">
        <f t="shared" si="65"/>
        <v>12694.4</v>
      </c>
      <c r="S137" s="676">
        <f t="shared" si="65"/>
        <v>12694.4</v>
      </c>
      <c r="T137" s="676">
        <f t="shared" si="65"/>
        <v>12694.4</v>
      </c>
      <c r="U137" s="676">
        <f t="shared" si="65"/>
        <v>12694.4</v>
      </c>
      <c r="V137" s="676">
        <f t="shared" si="65"/>
        <v>12694.4</v>
      </c>
      <c r="W137" s="676">
        <f t="shared" si="43"/>
        <v>152332.79999999996</v>
      </c>
      <c r="Y137" s="688">
        <f>IFERROR(VLOOKUP(A137,'[93]1月'!$A:$H,8,0),0)</f>
        <v>6284.82</v>
      </c>
      <c r="Z137" s="688">
        <f>IFERROR(VLOOKUP(A137,'[93]2月'!$A:$H,8,0),0)</f>
        <v>6284.82</v>
      </c>
      <c r="AA137" s="688">
        <f>IFERROR(VLOOKUP($A137,'[93]3月'!$A:$H,8,0),0)</f>
        <v>6284.82</v>
      </c>
      <c r="AB137" s="688">
        <f>IFERROR(VLOOKUP($A137,'[93]4月'!$A:$H,8,0),0)</f>
        <v>6284.82</v>
      </c>
      <c r="AC137" s="688">
        <f>IFERROR(VLOOKUP($A137,'[93]5月'!$A:$H,8,0),0)</f>
        <v>6284.82</v>
      </c>
      <c r="AD137" s="688">
        <f>IFERROR(VLOOKUP($A137,'[93]6月'!$A:$H,8,0),0)</f>
        <v>6284.82</v>
      </c>
      <c r="AE137" s="688">
        <f>IFERROR(VLOOKUP($A137,'[93]7月'!$A:$H,8,0),0)</f>
        <v>6284.82</v>
      </c>
      <c r="AF137" s="688">
        <f>IFERROR(VLOOKUP($A137,'[93]8月'!$A:$H,8,0),0)</f>
        <v>6284.82</v>
      </c>
      <c r="AG137" s="688">
        <f>IFERROR(VLOOKUP($A137,'[93]9月'!$A:$H,8,0),0)</f>
        <v>6284.82</v>
      </c>
      <c r="AH137" s="688">
        <f>IFERROR(VLOOKUP($A137,'[93]10月'!$A:$H,8,0),0)</f>
        <v>6284.82</v>
      </c>
      <c r="AI137" s="688">
        <f>IFERROR(VLOOKUP($A137,'[93]11月'!$A:$H,8,0),0)</f>
        <v>6284.82</v>
      </c>
      <c r="AJ137" s="688">
        <f>IFERROR(VLOOKUP($A137,'[93]12月'!$A:$H,8,0),0)</f>
        <v>6284.85</v>
      </c>
      <c r="AK137" s="688">
        <f t="shared" si="54"/>
        <v>75417.87</v>
      </c>
    </row>
    <row r="138" spans="1:37" ht="11.1" customHeight="1">
      <c r="A138" s="653" t="str">
        <f>'Budget-合并'!A138</f>
        <v>6602.12.03.01</v>
      </c>
      <c r="B138" s="653" t="str">
        <f>'Budget-合并'!B138</f>
        <v>旭智私募--前海壹号B座701E</v>
      </c>
      <c r="C138" s="687">
        <f>'Budget-合并'!C138</f>
        <v>0</v>
      </c>
      <c r="D138" s="676">
        <f t="shared" si="49"/>
        <v>12694.4</v>
      </c>
      <c r="E138" s="676" t="e">
        <f>INDEX($Y138:AHV138,1,MATCH($E$6,$Y$6:$AJ$6))</f>
        <v>#N/A</v>
      </c>
      <c r="F138" s="676" t="e">
        <f t="shared" si="50"/>
        <v>#N/A</v>
      </c>
      <c r="G138" s="676">
        <f t="shared" ca="1" si="51"/>
        <v>12694.4</v>
      </c>
      <c r="H138" s="676" t="e">
        <f t="shared" ca="1" si="52"/>
        <v>#N/A</v>
      </c>
      <c r="I138" s="676" t="e">
        <f t="shared" ca="1" si="53"/>
        <v>#N/A</v>
      </c>
      <c r="K138" s="676">
        <f>SPACE!$K$92/12</f>
        <v>12694.4</v>
      </c>
      <c r="L138" s="676">
        <f>SPACE!$K$92/12</f>
        <v>12694.4</v>
      </c>
      <c r="M138" s="676">
        <f>SPACE!$K$92/12</f>
        <v>12694.4</v>
      </c>
      <c r="N138" s="676">
        <f>SPACE!$K$92/12</f>
        <v>12694.4</v>
      </c>
      <c r="O138" s="676">
        <f>SPACE!$K$92/12</f>
        <v>12694.4</v>
      </c>
      <c r="P138" s="676">
        <f>SPACE!$K$92/12</f>
        <v>12694.4</v>
      </c>
      <c r="Q138" s="676">
        <f>SPACE!$K$92/12</f>
        <v>12694.4</v>
      </c>
      <c r="R138" s="676">
        <f>SPACE!$K$92/12</f>
        <v>12694.4</v>
      </c>
      <c r="S138" s="676">
        <f>SPACE!$K$92/12</f>
        <v>12694.4</v>
      </c>
      <c r="T138" s="676">
        <f>SPACE!$K$92/12</f>
        <v>12694.4</v>
      </c>
      <c r="U138" s="676">
        <f>SPACE!$K$92/12</f>
        <v>12694.4</v>
      </c>
      <c r="V138" s="676">
        <f>SPACE!$K$92/12</f>
        <v>12694.4</v>
      </c>
      <c r="W138" s="676">
        <f t="shared" si="43"/>
        <v>152332.79999999996</v>
      </c>
      <c r="Y138" s="688">
        <f>IFERROR(VLOOKUP(A138,'[93]1月'!$A:$H,8,0),0)</f>
        <v>6284.82</v>
      </c>
      <c r="Z138" s="688">
        <f>IFERROR(VLOOKUP(A138,'[93]2月'!$A:$H,8,0),0)</f>
        <v>6284.82</v>
      </c>
      <c r="AA138" s="688">
        <f>IFERROR(VLOOKUP($A138,'[93]3月'!$A:$H,8,0),0)</f>
        <v>6284.82</v>
      </c>
      <c r="AB138" s="688">
        <f>IFERROR(VLOOKUP($A138,'[93]4月'!$A:$H,8,0),0)</f>
        <v>6284.82</v>
      </c>
      <c r="AC138" s="688">
        <f>IFERROR(VLOOKUP($A138,'[93]5月'!$A:$H,8,0),0)</f>
        <v>6284.82</v>
      </c>
      <c r="AD138" s="688">
        <f>IFERROR(VLOOKUP($A138,'[93]6月'!$A:$H,8,0),0)</f>
        <v>6284.82</v>
      </c>
      <c r="AE138" s="688">
        <f>IFERROR(VLOOKUP($A138,'[93]7月'!$A:$H,8,0),0)</f>
        <v>6284.82</v>
      </c>
      <c r="AF138" s="688">
        <f>IFERROR(VLOOKUP($A138,'[93]8月'!$A:$H,8,0),0)</f>
        <v>6284.82</v>
      </c>
      <c r="AG138" s="688">
        <f>IFERROR(VLOOKUP($A138,'[93]9月'!$A:$H,8,0),0)</f>
        <v>6284.82</v>
      </c>
      <c r="AH138" s="688">
        <f>IFERROR(VLOOKUP($A138,'[93]10月'!$A:$H,8,0),0)</f>
        <v>6284.82</v>
      </c>
      <c r="AI138" s="688">
        <f>IFERROR(VLOOKUP($A138,'[93]11月'!$A:$H,8,0),0)</f>
        <v>6284.82</v>
      </c>
      <c r="AJ138" s="688">
        <f>IFERROR(VLOOKUP($A138,'[93]12月'!$A:$H,8,0),0)</f>
        <v>6284.85</v>
      </c>
      <c r="AK138" s="688">
        <f t="shared" si="54"/>
        <v>75417.87</v>
      </c>
    </row>
    <row r="139" spans="1:37" ht="11.1" customHeight="1">
      <c r="A139" s="653" t="str">
        <f>'Budget-合并'!A139</f>
        <v>6602.12.03.02</v>
      </c>
      <c r="B139" s="653" t="str">
        <f>'Budget-合并'!B139</f>
        <v>广州旭智--802房F028</v>
      </c>
      <c r="C139" s="687">
        <f>'Budget-合并'!C139</f>
        <v>0</v>
      </c>
      <c r="D139" s="676">
        <f t="shared" si="49"/>
        <v>0</v>
      </c>
      <c r="E139" s="676" t="e">
        <f>INDEX($Y139:AHV139,1,MATCH($E$6,$Y$6:$AJ$6))</f>
        <v>#N/A</v>
      </c>
      <c r="F139" s="676" t="e">
        <f t="shared" si="50"/>
        <v>#N/A</v>
      </c>
      <c r="G139" s="676">
        <f t="shared" ca="1" si="51"/>
        <v>0</v>
      </c>
      <c r="H139" s="676" t="e">
        <f t="shared" ca="1" si="52"/>
        <v>#N/A</v>
      </c>
      <c r="I139" s="676" t="e">
        <f t="shared" ca="1" si="53"/>
        <v>#N/A</v>
      </c>
      <c r="K139" s="676"/>
      <c r="L139" s="676"/>
      <c r="M139" s="676"/>
      <c r="N139" s="676"/>
      <c r="O139" s="676"/>
      <c r="P139" s="676"/>
      <c r="Q139" s="676"/>
      <c r="R139" s="676"/>
      <c r="S139" s="676"/>
      <c r="T139" s="676"/>
      <c r="U139" s="676"/>
      <c r="V139" s="676"/>
      <c r="W139" s="676">
        <f t="shared" si="43"/>
        <v>0</v>
      </c>
      <c r="Y139" s="688">
        <f>IFERROR(VLOOKUP(A139,'[93]1月'!$A:$H,8,0),0)</f>
        <v>0</v>
      </c>
      <c r="Z139" s="688">
        <f>IFERROR(VLOOKUP(A139,'[93]2月'!$A:$H,8,0),0)</f>
        <v>0</v>
      </c>
      <c r="AA139" s="688">
        <f>IFERROR(VLOOKUP($A139,'[93]3月'!$A:$H,8,0),0)</f>
        <v>0</v>
      </c>
      <c r="AB139" s="688">
        <f>IFERROR(VLOOKUP($A139,'[93]4月'!$A:$H,8,0),0)</f>
        <v>0</v>
      </c>
      <c r="AC139" s="688">
        <f>IFERROR(VLOOKUP($A139,'[93]5月'!$A:$H,8,0),0)</f>
        <v>0</v>
      </c>
      <c r="AD139" s="688">
        <f>IFERROR(VLOOKUP($A139,'[93]6月'!$A:$H,8,0),0)</f>
        <v>0</v>
      </c>
      <c r="AE139" s="688">
        <f>IFERROR(VLOOKUP($A139,'[93]7月'!$A:$H,8,0),0)</f>
        <v>0</v>
      </c>
      <c r="AF139" s="688">
        <f>IFERROR(VLOOKUP($A139,'[93]8月'!$A:$H,8,0),0)</f>
        <v>0</v>
      </c>
      <c r="AG139" s="688">
        <f>IFERROR(VLOOKUP($A139,'[93]9月'!$A:$H,8,0),0)</f>
        <v>0</v>
      </c>
      <c r="AH139" s="688">
        <f>IFERROR(VLOOKUP($A139,'[93]10月'!$A:$H,8,0),0)</f>
        <v>0</v>
      </c>
      <c r="AI139" s="688">
        <f>IFERROR(VLOOKUP($A139,'[93]11月'!$A:$H,8,0),0)</f>
        <v>0</v>
      </c>
      <c r="AJ139" s="688">
        <f>IFERROR(VLOOKUP($A139,'[93]12月'!$A:$H,8,0),0)</f>
        <v>0</v>
      </c>
      <c r="AK139" s="688">
        <f t="shared" si="54"/>
        <v>0</v>
      </c>
    </row>
    <row r="140" spans="1:37" ht="13.5" customHeight="1">
      <c r="A140" s="653" t="str">
        <f>'Budget-合并'!A140</f>
        <v>6602.13</v>
      </c>
      <c r="B140" s="653" t="str">
        <f>'Budget-合并'!B140</f>
        <v>物业管理费</v>
      </c>
      <c r="C140" s="687">
        <f>'Budget-合并'!C140</f>
        <v>0</v>
      </c>
      <c r="D140" s="676">
        <f t="shared" si="49"/>
        <v>0</v>
      </c>
      <c r="E140" s="676" t="e">
        <f>INDEX($Y140:AHV140,1,MATCH($E$6,$Y$6:$AJ$6))</f>
        <v>#N/A</v>
      </c>
      <c r="F140" s="676" t="e">
        <f t="shared" si="50"/>
        <v>#N/A</v>
      </c>
      <c r="G140" s="676">
        <f t="shared" ca="1" si="51"/>
        <v>0</v>
      </c>
      <c r="H140" s="676" t="e">
        <f t="shared" ca="1" si="52"/>
        <v>#N/A</v>
      </c>
      <c r="I140" s="676" t="e">
        <f t="shared" ca="1" si="53"/>
        <v>#N/A</v>
      </c>
      <c r="K140" s="676"/>
      <c r="L140" s="676"/>
      <c r="M140" s="676"/>
      <c r="N140" s="676"/>
      <c r="O140" s="676"/>
      <c r="P140" s="676"/>
      <c r="Q140" s="676"/>
      <c r="R140" s="676"/>
      <c r="S140" s="676"/>
      <c r="T140" s="676"/>
      <c r="U140" s="676"/>
      <c r="V140" s="676"/>
      <c r="W140" s="676">
        <f t="shared" si="43"/>
        <v>0</v>
      </c>
      <c r="Y140" s="688">
        <f>IFERROR(VLOOKUP(A140,'[93]1月'!$A:$H,8,0),0)</f>
        <v>0</v>
      </c>
      <c r="Z140" s="688">
        <f>IFERROR(VLOOKUP(A140,'[93]2月'!$A:$H,8,0),0)</f>
        <v>0</v>
      </c>
      <c r="AA140" s="688">
        <f>IFERROR(VLOOKUP($A140,'[93]3月'!$A:$H,8,0),0)</f>
        <v>0</v>
      </c>
      <c r="AB140" s="688">
        <f>IFERROR(VLOOKUP($A140,'[93]4月'!$A:$H,8,0),0)</f>
        <v>0</v>
      </c>
      <c r="AC140" s="688">
        <f>IFERROR(VLOOKUP($A140,'[93]5月'!$A:$H,8,0),0)</f>
        <v>0</v>
      </c>
      <c r="AD140" s="688">
        <f>IFERROR(VLOOKUP($A140,'[93]6月'!$A:$H,8,0),0)</f>
        <v>0</v>
      </c>
      <c r="AE140" s="688">
        <f>IFERROR(VLOOKUP($A140,'[93]7月'!$A:$H,8,0),0)</f>
        <v>0</v>
      </c>
      <c r="AF140" s="688">
        <f>IFERROR(VLOOKUP($A140,'[93]8月'!$A:$H,8,0),0)</f>
        <v>0</v>
      </c>
      <c r="AG140" s="688">
        <f>IFERROR(VLOOKUP($A140,'[93]9月'!$A:$H,8,0),0)</f>
        <v>0</v>
      </c>
      <c r="AH140" s="688">
        <f>IFERROR(VLOOKUP($A140,'[93]10月'!$A:$H,8,0),0)</f>
        <v>0</v>
      </c>
      <c r="AI140" s="688">
        <f>IFERROR(VLOOKUP($A140,'[93]11月'!$A:$H,8,0),0)</f>
        <v>0</v>
      </c>
      <c r="AJ140" s="688">
        <f>IFERROR(VLOOKUP($A140,'[93]12月'!$A:$H,8,0),0)</f>
        <v>0</v>
      </c>
      <c r="AK140" s="688">
        <f t="shared" si="54"/>
        <v>0</v>
      </c>
    </row>
    <row r="141" spans="1:37" ht="13.5" customHeight="1">
      <c r="A141" s="653" t="str">
        <f>'Budget-合并'!A141</f>
        <v>6602.14</v>
      </c>
      <c r="B141" s="653" t="str">
        <f>'Budget-合并'!B141</f>
        <v>修理费</v>
      </c>
      <c r="C141" s="687">
        <f>'Budget-合并'!C141</f>
        <v>0</v>
      </c>
      <c r="D141" s="676">
        <f t="shared" si="49"/>
        <v>0</v>
      </c>
      <c r="E141" s="676" t="e">
        <f>INDEX($Y141:AHV141,1,MATCH($E$6,$Y$6:$AJ$6))</f>
        <v>#N/A</v>
      </c>
      <c r="F141" s="676" t="e">
        <f t="shared" si="50"/>
        <v>#N/A</v>
      </c>
      <c r="G141" s="676">
        <f t="shared" ca="1" si="51"/>
        <v>0</v>
      </c>
      <c r="H141" s="676" t="e">
        <f t="shared" ca="1" si="52"/>
        <v>#N/A</v>
      </c>
      <c r="I141" s="676" t="e">
        <f t="shared" ca="1" si="53"/>
        <v>#N/A</v>
      </c>
      <c r="K141" s="676"/>
      <c r="L141" s="676"/>
      <c r="M141" s="676"/>
      <c r="N141" s="676"/>
      <c r="O141" s="676"/>
      <c r="P141" s="676"/>
      <c r="Q141" s="676"/>
      <c r="R141" s="676"/>
      <c r="S141" s="676"/>
      <c r="T141" s="676"/>
      <c r="U141" s="676"/>
      <c r="V141" s="676"/>
      <c r="W141" s="676">
        <f t="shared" si="43"/>
        <v>0</v>
      </c>
      <c r="Y141" s="688">
        <f>IFERROR(VLOOKUP(A141,'[93]1月'!$A:$H,8,0),0)</f>
        <v>0</v>
      </c>
      <c r="Z141" s="688">
        <f>IFERROR(VLOOKUP(A141,'[93]2月'!$A:$H,8,0),0)</f>
        <v>0</v>
      </c>
      <c r="AA141" s="688">
        <f>IFERROR(VLOOKUP($A141,'[93]3月'!$A:$H,8,0),0)</f>
        <v>0</v>
      </c>
      <c r="AB141" s="688">
        <f>IFERROR(VLOOKUP($A141,'[93]4月'!$A:$H,8,0),0)</f>
        <v>0</v>
      </c>
      <c r="AC141" s="688">
        <f>IFERROR(VLOOKUP($A141,'[93]5月'!$A:$H,8,0),0)</f>
        <v>0</v>
      </c>
      <c r="AD141" s="688">
        <f>IFERROR(VLOOKUP($A141,'[93]6月'!$A:$H,8,0),0)</f>
        <v>0</v>
      </c>
      <c r="AE141" s="688">
        <f>IFERROR(VLOOKUP($A141,'[93]7月'!$A:$H,8,0),0)</f>
        <v>0</v>
      </c>
      <c r="AF141" s="688">
        <f>IFERROR(VLOOKUP($A141,'[93]8月'!$A:$H,8,0),0)</f>
        <v>0</v>
      </c>
      <c r="AG141" s="688">
        <f>IFERROR(VLOOKUP($A141,'[93]9月'!$A:$H,8,0),0)</f>
        <v>0</v>
      </c>
      <c r="AH141" s="688">
        <f>IFERROR(VLOOKUP($A141,'[93]10月'!$A:$H,8,0),0)</f>
        <v>0</v>
      </c>
      <c r="AI141" s="688">
        <f>IFERROR(VLOOKUP($A141,'[93]11月'!$A:$H,8,0),0)</f>
        <v>0</v>
      </c>
      <c r="AJ141" s="688">
        <f>IFERROR(VLOOKUP($A141,'[93]12月'!$A:$H,8,0),0)</f>
        <v>0</v>
      </c>
      <c r="AK141" s="688">
        <f t="shared" si="54"/>
        <v>0</v>
      </c>
    </row>
    <row r="142" spans="1:37" ht="13.5" customHeight="1">
      <c r="A142" s="653" t="str">
        <f>'Budget-合并'!A142</f>
        <v>6602.15</v>
      </c>
      <c r="B142" s="653" t="str">
        <f>'Budget-合并'!B142</f>
        <v>服务费</v>
      </c>
      <c r="C142" s="687" t="str">
        <f>'Budget-合并'!C142</f>
        <v>Professional Fee</v>
      </c>
      <c r="D142" s="676">
        <f t="shared" si="49"/>
        <v>833.33333333333337</v>
      </c>
      <c r="E142" s="676" t="e">
        <f>INDEX($Y142:AHV142,1,MATCH($E$6,$Y$6:$AJ$6))</f>
        <v>#N/A</v>
      </c>
      <c r="F142" s="676" t="e">
        <f t="shared" si="50"/>
        <v>#N/A</v>
      </c>
      <c r="G142" s="676">
        <f t="shared" ca="1" si="51"/>
        <v>833.33333333333337</v>
      </c>
      <c r="H142" s="676" t="e">
        <f t="shared" ca="1" si="52"/>
        <v>#N/A</v>
      </c>
      <c r="I142" s="676" t="e">
        <f t="shared" ca="1" si="53"/>
        <v>#N/A</v>
      </c>
      <c r="K142" s="676">
        <f>SUMIFS('Prof. Fee'!AF$3:AF$150,'Prof. Fee'!$B$3:$B$150,$D$1,'Prof. Fee'!$D$3:$D$150,$A142)+SUMIFS('Other Exp'!AG$3:AG$196,'Other Exp'!$B$3:$B$196,$D$1,'Other Exp'!$C$3:$C$196,$A142)</f>
        <v>833.33333333333337</v>
      </c>
      <c r="L142" s="676">
        <f>SUMIFS('Prof. Fee'!AG$3:AG$150,'Prof. Fee'!$B$3:$B$150,$D$1,'Prof. Fee'!$D$3:$D$150,$A142)+SUMIFS('Other Exp'!AH$3:AH$196,'Other Exp'!$B$3:$B$196,$D$1,'Other Exp'!$C$3:$C$196,$A142)</f>
        <v>833.33333333333337</v>
      </c>
      <c r="M142" s="676">
        <f>SUMIFS('Prof. Fee'!AH$3:AH$150,'Prof. Fee'!$B$3:$B$150,$D$1,'Prof. Fee'!$D$3:$D$150,$A142)+SUMIFS('Other Exp'!AI$3:AI$196,'Other Exp'!$B$3:$B$196,$D$1,'Other Exp'!$C$3:$C$196,$A142)</f>
        <v>833.33333333333337</v>
      </c>
      <c r="N142" s="676">
        <f>SUMIFS('Prof. Fee'!AI$3:AI$150,'Prof. Fee'!$B$3:$B$150,$D$1,'Prof. Fee'!$D$3:$D$150,$A142)+SUMIFS('Other Exp'!AJ$3:AJ$196,'Other Exp'!$B$3:$B$196,$D$1,'Other Exp'!$C$3:$C$196,$A142)</f>
        <v>833.33333333333337</v>
      </c>
      <c r="O142" s="676">
        <f>SUMIFS('Prof. Fee'!AJ$3:AJ$150,'Prof. Fee'!$B$3:$B$150,$D$1,'Prof. Fee'!$D$3:$D$150,$A142)+SUMIFS('Other Exp'!AK$3:AK$196,'Other Exp'!$B$3:$B$196,$D$1,'Other Exp'!$C$3:$C$196,$A142)</f>
        <v>833.33333333333337</v>
      </c>
      <c r="P142" s="676">
        <f>SUMIFS('Prof. Fee'!AK$3:AK$150,'Prof. Fee'!$B$3:$B$150,$D$1,'Prof. Fee'!$D$3:$D$150,$A142)+SUMIFS('Other Exp'!AL$3:AL$196,'Other Exp'!$B$3:$B$196,$D$1,'Other Exp'!$C$3:$C$196,$A142)</f>
        <v>833.33333333333337</v>
      </c>
      <c r="Q142" s="676">
        <f>SUMIFS('Prof. Fee'!AL$3:AL$150,'Prof. Fee'!$B$3:$B$150,$D$1,'Prof. Fee'!$D$3:$D$150,$A142)+SUMIFS('Other Exp'!AM$3:AM$196,'Other Exp'!$B$3:$B$196,$D$1,'Other Exp'!$C$3:$C$196,$A142)</f>
        <v>0</v>
      </c>
      <c r="R142" s="676">
        <f>SUMIFS('Prof. Fee'!AM$3:AM$150,'Prof. Fee'!$B$3:$B$150,$D$1,'Prof. Fee'!$D$3:$D$150,$A142)+SUMIFS('Other Exp'!AN$3:AN$196,'Other Exp'!$B$3:$B$196,$D$1,'Other Exp'!$C$3:$C$196,$A142)</f>
        <v>0</v>
      </c>
      <c r="S142" s="676">
        <f>SUMIFS('Prof. Fee'!AN$3:AN$150,'Prof. Fee'!$B$3:$B$150,$D$1,'Prof. Fee'!$D$3:$D$150,$A142)+SUMIFS('Other Exp'!AO$3:AO$196,'Other Exp'!$B$3:$B$196,$D$1,'Other Exp'!$C$3:$C$196,$A142)</f>
        <v>0</v>
      </c>
      <c r="T142" s="676">
        <f>SUMIFS('Prof. Fee'!AO$3:AO$150,'Prof. Fee'!$B$3:$B$150,$D$1,'Prof. Fee'!$D$3:$D$150,$A142)+SUMIFS('Other Exp'!AP$3:AP$196,'Other Exp'!$B$3:$B$196,$D$1,'Other Exp'!$C$3:$C$196,$A142)</f>
        <v>0</v>
      </c>
      <c r="U142" s="676">
        <f>SUMIFS('Prof. Fee'!AP$3:AP$150,'Prof. Fee'!$B$3:$B$150,$D$1,'Prof. Fee'!$D$3:$D$150,$A142)+SUMIFS('Other Exp'!AQ$3:AQ$196,'Other Exp'!$B$3:$B$196,$D$1,'Other Exp'!$C$3:$C$196,$A142)</f>
        <v>0</v>
      </c>
      <c r="V142" s="676">
        <f>SUMIFS('Prof. Fee'!AQ$3:AQ$150,'Prof. Fee'!$B$3:$B$150,$D$1,'Prof. Fee'!$D$3:$D$150,$A142)+SUMIFS('Other Exp'!AR$3:AR$196,'Other Exp'!$B$3:$B$196,$D$1,'Other Exp'!$C$3:$C$196,$A142)</f>
        <v>0</v>
      </c>
      <c r="W142" s="676">
        <f t="shared" si="43"/>
        <v>5000</v>
      </c>
      <c r="Y142" s="688">
        <f>IFERROR(VLOOKUP(A142,'[93]1月'!$A:$H,8,0),0)</f>
        <v>0</v>
      </c>
      <c r="Z142" s="688">
        <f>IFERROR(VLOOKUP(A142,'[93]2月'!$A:$H,8,0),0)</f>
        <v>0</v>
      </c>
      <c r="AA142" s="688">
        <f>IFERROR(VLOOKUP($A142,'[93]3月'!$A:$H,8,0),0)</f>
        <v>0</v>
      </c>
      <c r="AB142" s="688">
        <f>IFERROR(VLOOKUP($A142,'[93]4月'!$A:$H,8,0),0)</f>
        <v>0</v>
      </c>
      <c r="AC142" s="688">
        <f>IFERROR(VLOOKUP($A142,'[93]5月'!$A:$H,8,0),0)</f>
        <v>0</v>
      </c>
      <c r="AD142" s="688">
        <f>IFERROR(VLOOKUP($A142,'[93]6月'!$A:$H,8,0),0)</f>
        <v>0</v>
      </c>
      <c r="AE142" s="688">
        <f>IFERROR(VLOOKUP($A142,'[93]7月'!$A:$H,8,0),0)</f>
        <v>1782.18</v>
      </c>
      <c r="AF142" s="688">
        <f>IFERROR(VLOOKUP($A142,'[93]8月'!$A:$H,8,0),0)</f>
        <v>0</v>
      </c>
      <c r="AG142" s="688">
        <f>IFERROR(VLOOKUP($A142,'[93]9月'!$A:$H,8,0),0)</f>
        <v>0</v>
      </c>
      <c r="AH142" s="688">
        <f>IFERROR(VLOOKUP($A142,'[93]10月'!$A:$H,8,0),0)</f>
        <v>0</v>
      </c>
      <c r="AI142" s="688">
        <f>IFERROR(VLOOKUP($A142,'[93]11月'!$A:$H,8,0),0)</f>
        <v>0</v>
      </c>
      <c r="AJ142" s="688">
        <f>IFERROR(VLOOKUP($A142,'[93]12月'!$A:$H,8,0),0)</f>
        <v>0</v>
      </c>
      <c r="AK142" s="688">
        <f t="shared" si="54"/>
        <v>1782.18</v>
      </c>
    </row>
    <row r="143" spans="1:37" ht="13.5" customHeight="1">
      <c r="A143" s="653" t="str">
        <f>'Budget-合并'!A143</f>
        <v>6602.16</v>
      </c>
      <c r="B143" s="653" t="str">
        <f>'Budget-合并'!B143</f>
        <v>董事会费</v>
      </c>
      <c r="C143" s="687" t="str">
        <f>'Budget-合并'!C143</f>
        <v>Internal ACP Meeting</v>
      </c>
      <c r="D143" s="676">
        <f t="shared" si="49"/>
        <v>0</v>
      </c>
      <c r="E143" s="676" t="e">
        <f>INDEX($Y143:AHV143,1,MATCH($E$6,$Y$6:$AJ$6))</f>
        <v>#N/A</v>
      </c>
      <c r="F143" s="676" t="e">
        <f t="shared" si="50"/>
        <v>#N/A</v>
      </c>
      <c r="G143" s="676">
        <f t="shared" ca="1" si="51"/>
        <v>0</v>
      </c>
      <c r="H143" s="676" t="e">
        <f t="shared" ca="1" si="52"/>
        <v>#N/A</v>
      </c>
      <c r="I143" s="676" t="e">
        <f t="shared" ca="1" si="53"/>
        <v>#N/A</v>
      </c>
      <c r="K143" s="676"/>
      <c r="L143" s="676"/>
      <c r="M143" s="676"/>
      <c r="N143" s="676"/>
      <c r="O143" s="676"/>
      <c r="P143" s="676"/>
      <c r="Q143" s="676"/>
      <c r="R143" s="676"/>
      <c r="S143" s="676"/>
      <c r="T143" s="676"/>
      <c r="U143" s="676"/>
      <c r="V143" s="676"/>
      <c r="W143" s="676">
        <f t="shared" si="43"/>
        <v>0</v>
      </c>
      <c r="Y143" s="688">
        <f>IFERROR(VLOOKUP(A143,'[93]1月'!$A:$H,8,0),0)</f>
        <v>0</v>
      </c>
      <c r="Z143" s="688">
        <f>IFERROR(VLOOKUP(A143,'[93]2月'!$A:$H,8,0),0)</f>
        <v>0</v>
      </c>
      <c r="AA143" s="688">
        <f>IFERROR(VLOOKUP($A143,'[93]3月'!$A:$H,8,0),0)</f>
        <v>0</v>
      </c>
      <c r="AB143" s="688">
        <f>IFERROR(VLOOKUP($A143,'[93]4月'!$A:$H,8,0),0)</f>
        <v>0</v>
      </c>
      <c r="AC143" s="688">
        <f>IFERROR(VLOOKUP($A143,'[93]5月'!$A:$H,8,0),0)</f>
        <v>0</v>
      </c>
      <c r="AD143" s="688">
        <f>IFERROR(VLOOKUP($A143,'[93]6月'!$A:$H,8,0),0)</f>
        <v>0</v>
      </c>
      <c r="AE143" s="688">
        <f>IFERROR(VLOOKUP($A143,'[93]7月'!$A:$H,8,0),0)</f>
        <v>0</v>
      </c>
      <c r="AF143" s="688">
        <f>IFERROR(VLOOKUP($A143,'[93]8月'!$A:$H,8,0),0)</f>
        <v>0</v>
      </c>
      <c r="AG143" s="688">
        <f>IFERROR(VLOOKUP($A143,'[93]9月'!$A:$H,8,0),0)</f>
        <v>0</v>
      </c>
      <c r="AH143" s="688">
        <f>IFERROR(VLOOKUP($A143,'[93]10月'!$A:$H,8,0),0)</f>
        <v>0</v>
      </c>
      <c r="AI143" s="688">
        <f>IFERROR(VLOOKUP($A143,'[93]11月'!$A:$H,8,0),0)</f>
        <v>0</v>
      </c>
      <c r="AJ143" s="688">
        <f>IFERROR(VLOOKUP($A143,'[93]12月'!$A:$H,8,0),0)</f>
        <v>0</v>
      </c>
      <c r="AK143" s="688">
        <f t="shared" si="54"/>
        <v>0</v>
      </c>
    </row>
    <row r="144" spans="1:37" ht="13.5" customHeight="1">
      <c r="A144" s="653" t="str">
        <f>'Budget-合并'!A144</f>
        <v>6602.17</v>
      </c>
      <c r="B144" s="653" t="str">
        <f>'Budget-合并'!B144</f>
        <v>聘请中介机构费</v>
      </c>
      <c r="C144" s="687">
        <f>'Budget-合并'!C144</f>
        <v>0</v>
      </c>
      <c r="D144" s="676">
        <f t="shared" si="49"/>
        <v>0</v>
      </c>
      <c r="E144" s="676" t="e">
        <f>INDEX($Y144:AHV144,1,MATCH($E$6,$Y$6:$AJ$6))</f>
        <v>#N/A</v>
      </c>
      <c r="F144" s="676" t="e">
        <f t="shared" si="50"/>
        <v>#N/A</v>
      </c>
      <c r="G144" s="676">
        <f t="shared" ca="1" si="51"/>
        <v>0</v>
      </c>
      <c r="H144" s="676" t="e">
        <f t="shared" ca="1" si="52"/>
        <v>#N/A</v>
      </c>
      <c r="I144" s="676" t="e">
        <f t="shared" ca="1" si="53"/>
        <v>#N/A</v>
      </c>
      <c r="K144" s="676"/>
      <c r="L144" s="676"/>
      <c r="M144" s="676"/>
      <c r="N144" s="676"/>
      <c r="O144" s="676"/>
      <c r="P144" s="676"/>
      <c r="Q144" s="676"/>
      <c r="R144" s="676"/>
      <c r="S144" s="676"/>
      <c r="T144" s="676"/>
      <c r="U144" s="676"/>
      <c r="V144" s="676"/>
      <c r="W144" s="676">
        <f t="shared" si="43"/>
        <v>0</v>
      </c>
      <c r="Y144" s="688">
        <f>IFERROR(VLOOKUP(A144,'[93]1月'!$A:$H,8,0),0)</f>
        <v>0</v>
      </c>
      <c r="Z144" s="688">
        <f>IFERROR(VLOOKUP(A144,'[93]2月'!$A:$H,8,0),0)</f>
        <v>0</v>
      </c>
      <c r="AA144" s="688">
        <f>IFERROR(VLOOKUP($A144,'[93]3月'!$A:$H,8,0),0)</f>
        <v>0</v>
      </c>
      <c r="AB144" s="688">
        <f>IFERROR(VLOOKUP($A144,'[93]4月'!$A:$H,8,0),0)</f>
        <v>0</v>
      </c>
      <c r="AC144" s="688">
        <f>IFERROR(VLOOKUP($A144,'[93]5月'!$A:$H,8,0),0)</f>
        <v>0</v>
      </c>
      <c r="AD144" s="688">
        <f>IFERROR(VLOOKUP($A144,'[93]6月'!$A:$H,8,0),0)</f>
        <v>0</v>
      </c>
      <c r="AE144" s="688">
        <f>IFERROR(VLOOKUP($A144,'[93]7月'!$A:$H,8,0),0)</f>
        <v>0</v>
      </c>
      <c r="AF144" s="688">
        <f>IFERROR(VLOOKUP($A144,'[93]8月'!$A:$H,8,0),0)</f>
        <v>0</v>
      </c>
      <c r="AG144" s="688">
        <f>IFERROR(VLOOKUP($A144,'[93]9月'!$A:$H,8,0),0)</f>
        <v>0</v>
      </c>
      <c r="AH144" s="688">
        <f>IFERROR(VLOOKUP($A144,'[93]10月'!$A:$H,8,0),0)</f>
        <v>0</v>
      </c>
      <c r="AI144" s="688">
        <f>IFERROR(VLOOKUP($A144,'[93]11月'!$A:$H,8,0),0)</f>
        <v>0</v>
      </c>
      <c r="AJ144" s="688">
        <f>IFERROR(VLOOKUP($A144,'[93]12月'!$A:$H,8,0),0)</f>
        <v>0</v>
      </c>
      <c r="AK144" s="688">
        <f t="shared" si="54"/>
        <v>0</v>
      </c>
    </row>
    <row r="145" spans="1:37" ht="13.5" customHeight="1">
      <c r="A145" s="653" t="str">
        <f>'Budget-合并'!A145</f>
        <v>6602.18</v>
      </c>
      <c r="B145" s="653" t="str">
        <f>'Budget-合并'!B145</f>
        <v>存货盘亏或盘盈</v>
      </c>
      <c r="C145" s="687">
        <f>'Budget-合并'!C145</f>
        <v>0</v>
      </c>
      <c r="D145" s="676">
        <f t="shared" si="49"/>
        <v>0</v>
      </c>
      <c r="E145" s="676" t="e">
        <f>INDEX($Y145:AHV145,1,MATCH($E$6,$Y$6:$AJ$6))</f>
        <v>#N/A</v>
      </c>
      <c r="F145" s="676" t="e">
        <f t="shared" si="50"/>
        <v>#N/A</v>
      </c>
      <c r="G145" s="676">
        <f t="shared" ca="1" si="51"/>
        <v>0</v>
      </c>
      <c r="H145" s="676" t="e">
        <f t="shared" ca="1" si="52"/>
        <v>#N/A</v>
      </c>
      <c r="I145" s="676" t="e">
        <f t="shared" ca="1" si="53"/>
        <v>#N/A</v>
      </c>
      <c r="K145" s="676"/>
      <c r="L145" s="676"/>
      <c r="M145" s="676"/>
      <c r="N145" s="676"/>
      <c r="O145" s="676"/>
      <c r="P145" s="676"/>
      <c r="Q145" s="676"/>
      <c r="R145" s="676"/>
      <c r="S145" s="676"/>
      <c r="T145" s="676"/>
      <c r="U145" s="676"/>
      <c r="V145" s="676"/>
      <c r="W145" s="676">
        <f t="shared" si="43"/>
        <v>0</v>
      </c>
      <c r="Y145" s="688">
        <f>IFERROR(VLOOKUP(A145,'[93]1月'!$A:$H,8,0),0)</f>
        <v>0</v>
      </c>
      <c r="Z145" s="688">
        <f>IFERROR(VLOOKUP(A145,'[93]2月'!$A:$H,8,0),0)</f>
        <v>0</v>
      </c>
      <c r="AA145" s="688">
        <f>IFERROR(VLOOKUP($A145,'[93]3月'!$A:$H,8,0),0)</f>
        <v>0</v>
      </c>
      <c r="AB145" s="688">
        <f>IFERROR(VLOOKUP($A145,'[93]4月'!$A:$H,8,0),0)</f>
        <v>0</v>
      </c>
      <c r="AC145" s="688">
        <f>IFERROR(VLOOKUP($A145,'[93]5月'!$A:$H,8,0),0)</f>
        <v>0</v>
      </c>
      <c r="AD145" s="688">
        <f>IFERROR(VLOOKUP($A145,'[93]6月'!$A:$H,8,0),0)</f>
        <v>0</v>
      </c>
      <c r="AE145" s="688">
        <f>IFERROR(VLOOKUP($A145,'[93]7月'!$A:$H,8,0),0)</f>
        <v>0</v>
      </c>
      <c r="AF145" s="688">
        <f>IFERROR(VLOOKUP($A145,'[93]8月'!$A:$H,8,0),0)</f>
        <v>0</v>
      </c>
      <c r="AG145" s="688">
        <f>IFERROR(VLOOKUP($A145,'[93]9月'!$A:$H,8,0),0)</f>
        <v>0</v>
      </c>
      <c r="AH145" s="688">
        <f>IFERROR(VLOOKUP($A145,'[93]10月'!$A:$H,8,0),0)</f>
        <v>0</v>
      </c>
      <c r="AI145" s="688">
        <f>IFERROR(VLOOKUP($A145,'[93]11月'!$A:$H,8,0),0)</f>
        <v>0</v>
      </c>
      <c r="AJ145" s="688">
        <f>IFERROR(VLOOKUP($A145,'[93]12月'!$A:$H,8,0),0)</f>
        <v>0</v>
      </c>
      <c r="AK145" s="688">
        <f t="shared" si="54"/>
        <v>0</v>
      </c>
    </row>
    <row r="146" spans="1:37" ht="13.5" customHeight="1">
      <c r="A146" s="653" t="str">
        <f>'Budget-合并'!A146</f>
        <v>6602.19</v>
      </c>
      <c r="B146" s="653" t="str">
        <f>'Budget-合并'!B146</f>
        <v>会费（公司）</v>
      </c>
      <c r="C146" s="687" t="str">
        <f>'Budget-合并'!C146</f>
        <v>Membership Fee</v>
      </c>
      <c r="D146" s="676">
        <f t="shared" si="49"/>
        <v>0</v>
      </c>
      <c r="E146" s="676" t="e">
        <f>INDEX($Y146:AHV146,1,MATCH($E$6,$Y$6:$AJ$6))</f>
        <v>#N/A</v>
      </c>
      <c r="F146" s="676" t="e">
        <f t="shared" si="50"/>
        <v>#N/A</v>
      </c>
      <c r="G146" s="676">
        <f t="shared" ca="1" si="51"/>
        <v>0</v>
      </c>
      <c r="H146" s="676" t="e">
        <f t="shared" ca="1" si="52"/>
        <v>#N/A</v>
      </c>
      <c r="I146" s="676" t="e">
        <f t="shared" ca="1" si="53"/>
        <v>#N/A</v>
      </c>
      <c r="K146" s="676">
        <f>SUMIFS('Other Exp'!AG$3:AG$196,'Other Exp'!$B$3:$B$196,$D$1,'Other Exp'!$C$3:$C$196,$A146)</f>
        <v>0</v>
      </c>
      <c r="L146" s="676">
        <f>SUMIFS('Other Exp'!AH$3:AH$196,'Other Exp'!$B$3:$B$196,$D$1,'Other Exp'!$C$3:$C$196,$A146)</f>
        <v>10000</v>
      </c>
      <c r="M146" s="676">
        <f>SUMIFS('Other Exp'!AI$3:AI$196,'Other Exp'!$B$3:$B$196,$D$1,'Other Exp'!$C$3:$C$196,$A146)</f>
        <v>0</v>
      </c>
      <c r="N146" s="676">
        <f>SUMIFS('Other Exp'!AJ$3:AJ$196,'Other Exp'!$B$3:$B$196,$D$1,'Other Exp'!$C$3:$C$196,$A146)</f>
        <v>0</v>
      </c>
      <c r="O146" s="676">
        <f>SUMIFS('Other Exp'!AK$3:AK$196,'Other Exp'!$B$3:$B$196,$D$1,'Other Exp'!$C$3:$C$196,$A146)</f>
        <v>0</v>
      </c>
      <c r="P146" s="676">
        <f>SUMIFS('Other Exp'!AL$3:AL$196,'Other Exp'!$B$3:$B$196,$D$1,'Other Exp'!$C$3:$C$196,$A146)</f>
        <v>0</v>
      </c>
      <c r="Q146" s="676">
        <f>SUMIFS('Other Exp'!AM$3:AM$196,'Other Exp'!$B$3:$B$196,$D$1,'Other Exp'!$C$3:$C$196,$A146)</f>
        <v>0</v>
      </c>
      <c r="R146" s="676">
        <f>SUMIFS('Other Exp'!AN$3:AN$196,'Other Exp'!$B$3:$B$196,$D$1,'Other Exp'!$C$3:$C$196,$A146)</f>
        <v>0</v>
      </c>
      <c r="S146" s="676">
        <f>SUMIFS('Other Exp'!AO$3:AO$196,'Other Exp'!$B$3:$B$196,$D$1,'Other Exp'!$C$3:$C$196,$A146)</f>
        <v>0</v>
      </c>
      <c r="T146" s="676">
        <f>SUMIFS('Other Exp'!AP$3:AP$196,'Other Exp'!$B$3:$B$196,$D$1,'Other Exp'!$C$3:$C$196,$A146)</f>
        <v>10000</v>
      </c>
      <c r="U146" s="676">
        <f>SUMIFS('Other Exp'!AQ$3:AQ$196,'Other Exp'!$B$3:$B$196,$D$1,'Other Exp'!$C$3:$C$196,$A146)</f>
        <v>0</v>
      </c>
      <c r="V146" s="676">
        <f>SUMIFS('Other Exp'!AR$3:AR$196,'Other Exp'!$B$3:$B$196,$D$1,'Other Exp'!$C$3:$C$196,$A146)</f>
        <v>0</v>
      </c>
      <c r="W146" s="676">
        <f t="shared" si="43"/>
        <v>20000</v>
      </c>
      <c r="Y146" s="688">
        <f>IFERROR(VLOOKUP(A146,'[93]1月'!$A:$H,8,0),0)</f>
        <v>0</v>
      </c>
      <c r="Z146" s="688">
        <f>IFERROR(VLOOKUP(A146,'[93]2月'!$A:$H,8,0),0)</f>
        <v>10000</v>
      </c>
      <c r="AA146" s="688">
        <f>IFERROR(VLOOKUP($A146,'[93]3月'!$A:$H,8,0),0)</f>
        <v>0</v>
      </c>
      <c r="AB146" s="688">
        <f>IFERROR(VLOOKUP($A146,'[93]4月'!$A:$H,8,0),0)</f>
        <v>0</v>
      </c>
      <c r="AC146" s="688">
        <f>IFERROR(VLOOKUP($A146,'[93]5月'!$A:$H,8,0),0)</f>
        <v>0</v>
      </c>
      <c r="AD146" s="688">
        <f>IFERROR(VLOOKUP($A146,'[93]6月'!$A:$H,8,0),0)</f>
        <v>0</v>
      </c>
      <c r="AE146" s="688">
        <f>IFERROR(VLOOKUP($A146,'[93]7月'!$A:$H,8,0),0)</f>
        <v>0</v>
      </c>
      <c r="AF146" s="688">
        <f>IFERROR(VLOOKUP($A146,'[93]8月'!$A:$H,8,0),0)</f>
        <v>0</v>
      </c>
      <c r="AG146" s="688">
        <f>IFERROR(VLOOKUP($A146,'[93]9月'!$A:$H,8,0),0)</f>
        <v>0</v>
      </c>
      <c r="AH146" s="688">
        <f>IFERROR(VLOOKUP($A146,'[93]10月'!$A:$H,8,0),0)</f>
        <v>0</v>
      </c>
      <c r="AI146" s="688">
        <f>IFERROR(VLOOKUP($A146,'[93]11月'!$A:$H,8,0),0)</f>
        <v>0</v>
      </c>
      <c r="AJ146" s="688">
        <f>IFERROR(VLOOKUP($A146,'[93]12月'!$A:$H,8,0),0)</f>
        <v>10000</v>
      </c>
      <c r="AK146" s="688">
        <f t="shared" si="54"/>
        <v>20000</v>
      </c>
    </row>
    <row r="147" spans="1:37" ht="13.5" customHeight="1">
      <c r="A147" s="653" t="str">
        <f>'Budget-合并'!A147</f>
        <v>6602.20</v>
      </c>
      <c r="B147" s="653" t="str">
        <f>'Budget-合并'!B147</f>
        <v>职工教育经费</v>
      </c>
      <c r="C147" s="687" t="str">
        <f>'Budget-合并'!C147</f>
        <v>Education Assistance</v>
      </c>
      <c r="D147" s="676">
        <f t="shared" si="49"/>
        <v>833.33333333333337</v>
      </c>
      <c r="E147" s="676" t="e">
        <f>INDEX($Y147:AHV147,1,MATCH($E$6,$Y$6:$AJ$6))</f>
        <v>#N/A</v>
      </c>
      <c r="F147" s="676" t="e">
        <f t="shared" si="50"/>
        <v>#N/A</v>
      </c>
      <c r="G147" s="676">
        <f t="shared" ca="1" si="51"/>
        <v>833.33333333333337</v>
      </c>
      <c r="H147" s="676" t="e">
        <f t="shared" ca="1" si="52"/>
        <v>#N/A</v>
      </c>
      <c r="I147" s="676" t="e">
        <f t="shared" ca="1" si="53"/>
        <v>#N/A</v>
      </c>
      <c r="K147" s="676">
        <f>SUMIFS('Prof. Fee'!AF$3:AF$150,'Prof. Fee'!$B$3:$B$150,$D$1,'Prof. Fee'!$D$3:$D$150,$A147)+SUMIFS('Other Exp'!AG$3:AG$196,'Other Exp'!$B$3:$B$196,$D$1,'Other Exp'!$C$3:$C$196,$A147)</f>
        <v>833.33333333333337</v>
      </c>
      <c r="L147" s="676">
        <f>SUMIFS('Prof. Fee'!AG$3:AG$150,'Prof. Fee'!$B$3:$B$150,$D$1,'Prof. Fee'!$D$3:$D$150,$A147)+SUMIFS('Other Exp'!AH$3:AH$196,'Other Exp'!$B$3:$B$196,$D$1,'Other Exp'!$C$3:$C$196,$A147)</f>
        <v>833.33333333333337</v>
      </c>
      <c r="M147" s="676">
        <f>SUMIFS('Prof. Fee'!AH$3:AH$150,'Prof. Fee'!$B$3:$B$150,$D$1,'Prof. Fee'!$D$3:$D$150,$A147)+SUMIFS('Other Exp'!AI$3:AI$196,'Other Exp'!$B$3:$B$196,$D$1,'Other Exp'!$C$3:$C$196,$A147)</f>
        <v>833.33333333333337</v>
      </c>
      <c r="N147" s="676">
        <f>SUMIFS('Prof. Fee'!AI$3:AI$150,'Prof. Fee'!$B$3:$B$150,$D$1,'Prof. Fee'!$D$3:$D$150,$A147)+SUMIFS('Other Exp'!AJ$3:AJ$196,'Other Exp'!$B$3:$B$196,$D$1,'Other Exp'!$C$3:$C$196,$A147)</f>
        <v>833.33333333333337</v>
      </c>
      <c r="O147" s="676">
        <f>SUMIFS('Prof. Fee'!AJ$3:AJ$150,'Prof. Fee'!$B$3:$B$150,$D$1,'Prof. Fee'!$D$3:$D$150,$A147)+SUMIFS('Other Exp'!AK$3:AK$196,'Other Exp'!$B$3:$B$196,$D$1,'Other Exp'!$C$3:$C$196,$A147)</f>
        <v>833.33333333333337</v>
      </c>
      <c r="P147" s="676">
        <f>SUMIFS('Prof. Fee'!AK$3:AK$150,'Prof. Fee'!$B$3:$B$150,$D$1,'Prof. Fee'!$D$3:$D$150,$A147)+SUMIFS('Other Exp'!AL$3:AL$196,'Other Exp'!$B$3:$B$196,$D$1,'Other Exp'!$C$3:$C$196,$A147)</f>
        <v>833.33333333333337</v>
      </c>
      <c r="Q147" s="676">
        <f>SUMIFS('Prof. Fee'!AL$3:AL$150,'Prof. Fee'!$B$3:$B$150,$D$1,'Prof. Fee'!$D$3:$D$150,$A147)+SUMIFS('Other Exp'!AM$3:AM$196,'Other Exp'!$B$3:$B$196,$D$1,'Other Exp'!$C$3:$C$196,$A147)</f>
        <v>833.33333333333337</v>
      </c>
      <c r="R147" s="676">
        <f>SUMIFS('Prof. Fee'!AM$3:AM$150,'Prof. Fee'!$B$3:$B$150,$D$1,'Prof. Fee'!$D$3:$D$150,$A147)+SUMIFS('Other Exp'!AN$3:AN$196,'Other Exp'!$B$3:$B$196,$D$1,'Other Exp'!$C$3:$C$196,$A147)</f>
        <v>833.33333333333337</v>
      </c>
      <c r="S147" s="676">
        <f>SUMIFS('Prof. Fee'!AN$3:AN$150,'Prof. Fee'!$B$3:$B$150,$D$1,'Prof. Fee'!$D$3:$D$150,$A147)+SUMIFS('Other Exp'!AO$3:AO$196,'Other Exp'!$B$3:$B$196,$D$1,'Other Exp'!$C$3:$C$196,$A147)</f>
        <v>833.33333333333337</v>
      </c>
      <c r="T147" s="676">
        <f>SUMIFS('Prof. Fee'!AO$3:AO$150,'Prof. Fee'!$B$3:$B$150,$D$1,'Prof. Fee'!$D$3:$D$150,$A147)+SUMIFS('Other Exp'!AP$3:AP$196,'Other Exp'!$B$3:$B$196,$D$1,'Other Exp'!$C$3:$C$196,$A147)</f>
        <v>833.33333333333337</v>
      </c>
      <c r="U147" s="676">
        <f>SUMIFS('Prof. Fee'!AP$3:AP$150,'Prof. Fee'!$B$3:$B$150,$D$1,'Prof. Fee'!$D$3:$D$150,$A147)+SUMIFS('Other Exp'!AQ$3:AQ$196,'Other Exp'!$B$3:$B$196,$D$1,'Other Exp'!$C$3:$C$196,$A147)</f>
        <v>833.33333333333337</v>
      </c>
      <c r="V147" s="676">
        <f>SUMIFS('Prof. Fee'!AQ$3:AQ$150,'Prof. Fee'!$B$3:$B$150,$D$1,'Prof. Fee'!$D$3:$D$150,$A147)+SUMIFS('Other Exp'!AR$3:AR$196,'Other Exp'!$B$3:$B$196,$D$1,'Other Exp'!$C$3:$C$196,$A147)</f>
        <v>833.33333333333337</v>
      </c>
      <c r="W147" s="676">
        <f t="shared" si="43"/>
        <v>10000</v>
      </c>
      <c r="Y147" s="688">
        <f>IFERROR(VLOOKUP(A147,'[93]1月'!$A:$H,8,0),0)</f>
        <v>0</v>
      </c>
      <c r="Z147" s="688">
        <f>IFERROR(VLOOKUP(A147,'[93]2月'!$A:$H,8,0),0)</f>
        <v>0</v>
      </c>
      <c r="AA147" s="688">
        <f>IFERROR(VLOOKUP($A147,'[93]3月'!$A:$H,8,0),0)</f>
        <v>5471.7</v>
      </c>
      <c r="AB147" s="688">
        <f>IFERROR(VLOOKUP($A147,'[93]4月'!$A:$H,8,0),0)</f>
        <v>0</v>
      </c>
      <c r="AC147" s="688">
        <f>IFERROR(VLOOKUP($A147,'[93]5月'!$A:$H,8,0),0)</f>
        <v>0</v>
      </c>
      <c r="AD147" s="688">
        <f>IFERROR(VLOOKUP($A147,'[93]6月'!$A:$H,8,0),0)</f>
        <v>0</v>
      </c>
      <c r="AE147" s="688">
        <f>IFERROR(VLOOKUP($A147,'[93]7月'!$A:$H,8,0),0)</f>
        <v>0</v>
      </c>
      <c r="AF147" s="688">
        <f>IFERROR(VLOOKUP($A147,'[93]8月'!$A:$H,8,0),0)</f>
        <v>0</v>
      </c>
      <c r="AG147" s="688">
        <f>IFERROR(VLOOKUP($A147,'[93]9月'!$A:$H,8,0),0)</f>
        <v>0</v>
      </c>
      <c r="AH147" s="688">
        <f>IFERROR(VLOOKUP($A147,'[93]10月'!$A:$H,8,0),0)</f>
        <v>0</v>
      </c>
      <c r="AI147" s="688">
        <f>IFERROR(VLOOKUP($A147,'[93]11月'!$A:$H,8,0),0)</f>
        <v>0</v>
      </c>
      <c r="AJ147" s="688">
        <f>IFERROR(VLOOKUP($A147,'[93]12月'!$A:$H,8,0),0)</f>
        <v>125</v>
      </c>
      <c r="AK147" s="688">
        <f t="shared" si="54"/>
        <v>5596.7</v>
      </c>
    </row>
    <row r="148" spans="1:37" ht="13.5" customHeight="1">
      <c r="A148" s="653" t="str">
        <f>'Budget-合并'!A148</f>
        <v>6602.21</v>
      </c>
      <c r="B148" s="653" t="str">
        <f>'Budget-合并'!B148</f>
        <v>公司秘书费</v>
      </c>
      <c r="C148" s="687" t="str">
        <f>'Budget-合并'!C148</f>
        <v>Corporate Secretarial Fees</v>
      </c>
      <c r="D148" s="676">
        <f t="shared" si="49"/>
        <v>0</v>
      </c>
      <c r="E148" s="676" t="e">
        <f>INDEX($Y148:AHV148,1,MATCH($E$6,$Y$6:$AJ$6))</f>
        <v>#N/A</v>
      </c>
      <c r="F148" s="676" t="e">
        <f t="shared" si="50"/>
        <v>#N/A</v>
      </c>
      <c r="G148" s="676">
        <f t="shared" ca="1" si="51"/>
        <v>0</v>
      </c>
      <c r="H148" s="676" t="e">
        <f t="shared" ca="1" si="52"/>
        <v>#N/A</v>
      </c>
      <c r="I148" s="676" t="e">
        <f t="shared" ca="1" si="53"/>
        <v>#N/A</v>
      </c>
      <c r="K148" s="676">
        <f>SUMIFS('Prof. Fee'!AF$3:AF$150,'Prof. Fee'!$B$3:$B$150,$D$1,'Prof. Fee'!$D$3:$D$150,$A148)</f>
        <v>0</v>
      </c>
      <c r="L148" s="676">
        <f>SUMIFS('Prof. Fee'!AG$3:AG$150,'Prof. Fee'!$B$3:$B$150,$D$1,'Prof. Fee'!$D$3:$D$150,$A148)</f>
        <v>0</v>
      </c>
      <c r="M148" s="676">
        <f>SUMIFS('Prof. Fee'!AH$3:AH$150,'Prof. Fee'!$B$3:$B$150,$D$1,'Prof. Fee'!$D$3:$D$150,$A148)</f>
        <v>0</v>
      </c>
      <c r="N148" s="676">
        <f>SUMIFS('Prof. Fee'!AI$3:AI$150,'Prof. Fee'!$B$3:$B$150,$D$1,'Prof. Fee'!$D$3:$D$150,$A148)</f>
        <v>0</v>
      </c>
      <c r="O148" s="676">
        <f>SUMIFS('Prof. Fee'!AJ$3:AJ$150,'Prof. Fee'!$B$3:$B$150,$D$1,'Prof. Fee'!$D$3:$D$150,$A148)</f>
        <v>0</v>
      </c>
      <c r="P148" s="676">
        <f>SUMIFS('Prof. Fee'!AK$3:AK$150,'Prof. Fee'!$B$3:$B$150,$D$1,'Prof. Fee'!$D$3:$D$150,$A148)</f>
        <v>0</v>
      </c>
      <c r="Q148" s="676">
        <f>SUMIFS('Prof. Fee'!AL$3:AL$150,'Prof. Fee'!$B$3:$B$150,$D$1,'Prof. Fee'!$D$3:$D$150,$A148)</f>
        <v>0</v>
      </c>
      <c r="R148" s="676">
        <f>SUMIFS('Prof. Fee'!AM$3:AM$150,'Prof. Fee'!$B$3:$B$150,$D$1,'Prof. Fee'!$D$3:$D$150,$A148)</f>
        <v>0</v>
      </c>
      <c r="S148" s="676">
        <f>SUMIFS('Prof. Fee'!AN$3:AN$150,'Prof. Fee'!$B$3:$B$150,$D$1,'Prof. Fee'!$D$3:$D$150,$A148)</f>
        <v>0</v>
      </c>
      <c r="T148" s="676">
        <f>SUMIFS('Prof. Fee'!AO$3:AO$150,'Prof. Fee'!$B$3:$B$150,$D$1,'Prof. Fee'!$D$3:$D$150,$A148)</f>
        <v>0</v>
      </c>
      <c r="U148" s="676">
        <f>SUMIFS('Prof. Fee'!AP$3:AP$150,'Prof. Fee'!$B$3:$B$150,$D$1,'Prof. Fee'!$D$3:$D$150,$A148)</f>
        <v>0</v>
      </c>
      <c r="V148" s="676">
        <f>SUMIFS('Prof. Fee'!AQ$3:AQ$150,'Prof. Fee'!$B$3:$B$150,$D$1,'Prof. Fee'!$D$3:$D$150,$A148)</f>
        <v>0</v>
      </c>
      <c r="W148" s="676">
        <f t="shared" si="43"/>
        <v>0</v>
      </c>
      <c r="Y148" s="688">
        <f>IFERROR(VLOOKUP(A148,'[93]1月'!$A:$H,8,0),0)</f>
        <v>0</v>
      </c>
      <c r="Z148" s="688">
        <f>IFERROR(VLOOKUP(A148,'[93]2月'!$A:$H,8,0),0)</f>
        <v>0</v>
      </c>
      <c r="AA148" s="688">
        <f>IFERROR(VLOOKUP($A148,'[93]3月'!$A:$H,8,0),0)</f>
        <v>0</v>
      </c>
      <c r="AB148" s="688">
        <f>IFERROR(VLOOKUP($A148,'[93]4月'!$A:$H,8,0),0)</f>
        <v>0</v>
      </c>
      <c r="AC148" s="688">
        <f>IFERROR(VLOOKUP($A148,'[93]5月'!$A:$H,8,0),0)</f>
        <v>0</v>
      </c>
      <c r="AD148" s="688">
        <f>IFERROR(VLOOKUP($A148,'[93]6月'!$A:$H,8,0),0)</f>
        <v>0</v>
      </c>
      <c r="AE148" s="688">
        <f>IFERROR(VLOOKUP($A148,'[93]7月'!$A:$H,8,0),0)</f>
        <v>0</v>
      </c>
      <c r="AF148" s="688">
        <f>IFERROR(VLOOKUP($A148,'[93]8月'!$A:$H,8,0),0)</f>
        <v>0</v>
      </c>
      <c r="AG148" s="688">
        <f>IFERROR(VLOOKUP($A148,'[93]9月'!$A:$H,8,0),0)</f>
        <v>0</v>
      </c>
      <c r="AH148" s="688">
        <f>IFERROR(VLOOKUP($A148,'[93]10月'!$A:$H,8,0),0)</f>
        <v>0</v>
      </c>
      <c r="AI148" s="688">
        <f>IFERROR(VLOOKUP($A148,'[93]11月'!$A:$H,8,0),0)</f>
        <v>0</v>
      </c>
      <c r="AJ148" s="688">
        <f>IFERROR(VLOOKUP($A148,'[93]12月'!$A:$H,8,0),0)</f>
        <v>0</v>
      </c>
      <c r="AK148" s="688">
        <f t="shared" si="54"/>
        <v>0</v>
      </c>
    </row>
    <row r="149" spans="1:37" ht="13.5" customHeight="1">
      <c r="A149" s="653" t="str">
        <f>'Budget-合并'!A149</f>
        <v>6602.22</v>
      </c>
      <c r="B149" s="653" t="str">
        <f>'Budget-合并'!B149</f>
        <v>工会经费</v>
      </c>
      <c r="C149" s="687">
        <f>'Budget-合并'!C149</f>
        <v>0</v>
      </c>
      <c r="D149" s="676">
        <f t="shared" si="49"/>
        <v>0</v>
      </c>
      <c r="E149" s="676" t="e">
        <f>INDEX($Y149:AHV149,1,MATCH($E$6,$Y$6:$AJ$6))</f>
        <v>#N/A</v>
      </c>
      <c r="F149" s="676" t="e">
        <f t="shared" si="50"/>
        <v>#N/A</v>
      </c>
      <c r="G149" s="676">
        <f t="shared" ca="1" si="51"/>
        <v>0</v>
      </c>
      <c r="H149" s="676" t="e">
        <f t="shared" ca="1" si="52"/>
        <v>#N/A</v>
      </c>
      <c r="I149" s="676" t="e">
        <f t="shared" ca="1" si="53"/>
        <v>#N/A</v>
      </c>
      <c r="K149" s="676"/>
      <c r="L149" s="676"/>
      <c r="M149" s="676"/>
      <c r="N149" s="676"/>
      <c r="O149" s="676"/>
      <c r="P149" s="676"/>
      <c r="Q149" s="676"/>
      <c r="R149" s="676"/>
      <c r="S149" s="676"/>
      <c r="T149" s="676"/>
      <c r="U149" s="676"/>
      <c r="V149" s="676"/>
      <c r="W149" s="676">
        <f t="shared" si="43"/>
        <v>0</v>
      </c>
      <c r="Y149" s="688">
        <f>IFERROR(VLOOKUP(A149,'[93]1月'!$A:$H,8,0),0)</f>
        <v>0</v>
      </c>
      <c r="Z149" s="688">
        <f>IFERROR(VLOOKUP(A149,'[93]2月'!$A:$H,8,0),0)</f>
        <v>0</v>
      </c>
      <c r="AA149" s="688">
        <f>IFERROR(VLOOKUP($A149,'[93]3月'!$A:$H,8,0),0)</f>
        <v>0</v>
      </c>
      <c r="AB149" s="688">
        <f>IFERROR(VLOOKUP($A149,'[93]4月'!$A:$H,8,0),0)</f>
        <v>0</v>
      </c>
      <c r="AC149" s="688">
        <f>IFERROR(VLOOKUP($A149,'[93]5月'!$A:$H,8,0),0)</f>
        <v>0</v>
      </c>
      <c r="AD149" s="688">
        <f>IFERROR(VLOOKUP($A149,'[93]6月'!$A:$H,8,0),0)</f>
        <v>0</v>
      </c>
      <c r="AE149" s="688">
        <f>IFERROR(VLOOKUP($A149,'[93]7月'!$A:$H,8,0),0)</f>
        <v>0</v>
      </c>
      <c r="AF149" s="688">
        <f>IFERROR(VLOOKUP($A149,'[93]8月'!$A:$H,8,0),0)</f>
        <v>0</v>
      </c>
      <c r="AG149" s="688">
        <f>IFERROR(VLOOKUP($A149,'[93]9月'!$A:$H,8,0),0)</f>
        <v>0</v>
      </c>
      <c r="AH149" s="688">
        <f>IFERROR(VLOOKUP($A149,'[93]10月'!$A:$H,8,0),0)</f>
        <v>0</v>
      </c>
      <c r="AI149" s="688">
        <f>IFERROR(VLOOKUP($A149,'[93]11月'!$A:$H,8,0),0)</f>
        <v>0</v>
      </c>
      <c r="AJ149" s="688">
        <f>IFERROR(VLOOKUP($A149,'[93]12月'!$A:$H,8,0),0)</f>
        <v>0</v>
      </c>
      <c r="AK149" s="688">
        <f t="shared" si="54"/>
        <v>0</v>
      </c>
    </row>
    <row r="150" spans="1:37" ht="13.5" customHeight="1">
      <c r="A150" s="653" t="str">
        <f>'Budget-合并'!A150</f>
        <v>6602.23</v>
      </c>
      <c r="B150" s="653" t="str">
        <f>'Budget-合并'!B150</f>
        <v>无形资产摊销</v>
      </c>
      <c r="C150" s="687" t="str">
        <f>'Budget-合并'!C150</f>
        <v>Contract Intangibles - Amortization</v>
      </c>
      <c r="D150" s="676">
        <f t="shared" si="49"/>
        <v>0</v>
      </c>
      <c r="E150" s="676" t="e">
        <f>INDEX($Y150:AHV150,1,MATCH($E$6,$Y$6:$AJ$6))</f>
        <v>#N/A</v>
      </c>
      <c r="F150" s="676" t="e">
        <f t="shared" si="50"/>
        <v>#N/A</v>
      </c>
      <c r="G150" s="676">
        <f t="shared" ca="1" si="51"/>
        <v>0</v>
      </c>
      <c r="H150" s="676" t="e">
        <f t="shared" ca="1" si="52"/>
        <v>#N/A</v>
      </c>
      <c r="I150" s="676" t="e">
        <f t="shared" ca="1" si="53"/>
        <v>#N/A</v>
      </c>
      <c r="K150" s="676"/>
      <c r="L150" s="676"/>
      <c r="M150" s="676"/>
      <c r="N150" s="676"/>
      <c r="O150" s="676"/>
      <c r="P150" s="676"/>
      <c r="Q150" s="676"/>
      <c r="R150" s="676"/>
      <c r="S150" s="676"/>
      <c r="T150" s="676"/>
      <c r="U150" s="676"/>
      <c r="V150" s="676"/>
      <c r="W150" s="676">
        <f t="shared" si="43"/>
        <v>0</v>
      </c>
      <c r="Y150" s="688">
        <f>IFERROR(VLOOKUP(A150,'[93]1月'!$A:$H,8,0),0)</f>
        <v>0</v>
      </c>
      <c r="Z150" s="688">
        <f>IFERROR(VLOOKUP(A150,'[93]2月'!$A:$H,8,0),0)</f>
        <v>0</v>
      </c>
      <c r="AA150" s="688">
        <f>IFERROR(VLOOKUP($A150,'[93]3月'!$A:$H,8,0),0)</f>
        <v>0</v>
      </c>
      <c r="AB150" s="688">
        <f>IFERROR(VLOOKUP($A150,'[93]4月'!$A:$H,8,0),0)</f>
        <v>0</v>
      </c>
      <c r="AC150" s="688">
        <f>IFERROR(VLOOKUP($A150,'[93]5月'!$A:$H,8,0),0)</f>
        <v>0</v>
      </c>
      <c r="AD150" s="688">
        <f>IFERROR(VLOOKUP($A150,'[93]6月'!$A:$H,8,0),0)</f>
        <v>0</v>
      </c>
      <c r="AE150" s="688">
        <f>IFERROR(VLOOKUP($A150,'[93]7月'!$A:$H,8,0),0)</f>
        <v>0</v>
      </c>
      <c r="AF150" s="688">
        <f>IFERROR(VLOOKUP($A150,'[93]8月'!$A:$H,8,0),0)</f>
        <v>0</v>
      </c>
      <c r="AG150" s="688">
        <f>IFERROR(VLOOKUP($A150,'[93]9月'!$A:$H,8,0),0)</f>
        <v>0</v>
      </c>
      <c r="AH150" s="688">
        <f>IFERROR(VLOOKUP($A150,'[93]10月'!$A:$H,8,0),0)</f>
        <v>0</v>
      </c>
      <c r="AI150" s="688">
        <f>IFERROR(VLOOKUP($A150,'[93]11月'!$A:$H,8,0),0)</f>
        <v>0</v>
      </c>
      <c r="AJ150" s="688">
        <f>IFERROR(VLOOKUP($A150,'[93]12月'!$A:$H,8,0),0)</f>
        <v>0</v>
      </c>
      <c r="AK150" s="688">
        <f t="shared" si="54"/>
        <v>0</v>
      </c>
    </row>
    <row r="151" spans="1:37" ht="13.5" customHeight="1">
      <c r="A151" s="653" t="str">
        <f>'Budget-合并'!A151</f>
        <v>6602.24</v>
      </c>
      <c r="B151" s="653" t="str">
        <f>'Budget-合并'!B151</f>
        <v>监管费用</v>
      </c>
      <c r="C151" s="687" t="str">
        <f>'Budget-合并'!C151</f>
        <v xml:space="preserve">Regulatory fees </v>
      </c>
      <c r="D151" s="676">
        <f t="shared" si="49"/>
        <v>0</v>
      </c>
      <c r="E151" s="676" t="e">
        <f>INDEX($Y151:AHV151,1,MATCH($E$6,$Y$6:$AJ$6))</f>
        <v>#N/A</v>
      </c>
      <c r="F151" s="676" t="e">
        <f t="shared" si="50"/>
        <v>#N/A</v>
      </c>
      <c r="G151" s="676">
        <f t="shared" ca="1" si="51"/>
        <v>0</v>
      </c>
      <c r="H151" s="676" t="e">
        <f t="shared" ca="1" si="52"/>
        <v>#N/A</v>
      </c>
      <c r="I151" s="676" t="e">
        <f t="shared" ca="1" si="53"/>
        <v>#N/A</v>
      </c>
      <c r="K151" s="676">
        <f>SUMIFS('Prof. Fee'!AF$3:AF$150,'Prof. Fee'!$B$3:$B$150,$D$1,'Prof. Fee'!$D$3:$D$150,$A151)</f>
        <v>0</v>
      </c>
      <c r="L151" s="676">
        <f>SUMIFS('Prof. Fee'!AG$3:AG$150,'Prof. Fee'!$B$3:$B$150,$D$1,'Prof. Fee'!$D$3:$D$150,$A151)</f>
        <v>0</v>
      </c>
      <c r="M151" s="676">
        <f>SUMIFS('Prof. Fee'!AH$3:AH$150,'Prof. Fee'!$B$3:$B$150,$D$1,'Prof. Fee'!$D$3:$D$150,$A151)</f>
        <v>0</v>
      </c>
      <c r="N151" s="676">
        <f>SUMIFS('Prof. Fee'!AI$3:AI$150,'Prof. Fee'!$B$3:$B$150,$D$1,'Prof. Fee'!$D$3:$D$150,$A151)</f>
        <v>0</v>
      </c>
      <c r="O151" s="676">
        <f>SUMIFS('Prof. Fee'!AJ$3:AJ$150,'Prof. Fee'!$B$3:$B$150,$D$1,'Prof. Fee'!$D$3:$D$150,$A151)</f>
        <v>0</v>
      </c>
      <c r="P151" s="676">
        <f>SUMIFS('Prof. Fee'!AK$3:AK$150,'Prof. Fee'!$B$3:$B$150,$D$1,'Prof. Fee'!$D$3:$D$150,$A151)</f>
        <v>0</v>
      </c>
      <c r="Q151" s="676">
        <f>SUMIFS('Prof. Fee'!AL$3:AL$150,'Prof. Fee'!$B$3:$B$150,$D$1,'Prof. Fee'!$D$3:$D$150,$A151)</f>
        <v>0</v>
      </c>
      <c r="R151" s="676">
        <f>SUMIFS('Prof. Fee'!AM$3:AM$150,'Prof. Fee'!$B$3:$B$150,$D$1,'Prof. Fee'!$D$3:$D$150,$A151)</f>
        <v>0</v>
      </c>
      <c r="S151" s="676">
        <f>SUMIFS('Prof. Fee'!AN$3:AN$150,'Prof. Fee'!$B$3:$B$150,$D$1,'Prof. Fee'!$D$3:$D$150,$A151)</f>
        <v>0</v>
      </c>
      <c r="T151" s="676">
        <f>SUMIFS('Prof. Fee'!AO$3:AO$150,'Prof. Fee'!$B$3:$B$150,$D$1,'Prof. Fee'!$D$3:$D$150,$A151)</f>
        <v>0</v>
      </c>
      <c r="U151" s="676">
        <f>SUMIFS('Prof. Fee'!AP$3:AP$150,'Prof. Fee'!$B$3:$B$150,$D$1,'Prof. Fee'!$D$3:$D$150,$A151)</f>
        <v>0</v>
      </c>
      <c r="V151" s="676">
        <f>SUMIFS('Prof. Fee'!AQ$3:AQ$150,'Prof. Fee'!$B$3:$B$150,$D$1,'Prof. Fee'!$D$3:$D$150,$A151)</f>
        <v>0</v>
      </c>
      <c r="W151" s="676">
        <f t="shared" ref="W151:W154" si="66">SUM(K151:V151)</f>
        <v>0</v>
      </c>
      <c r="Y151" s="688">
        <f>IFERROR(VLOOKUP(A151,'[93]1月'!$A:$H,8,0),0)</f>
        <v>0</v>
      </c>
      <c r="Z151" s="688">
        <f>IFERROR(VLOOKUP(A151,'[93]2月'!$A:$H,8,0),0)</f>
        <v>0</v>
      </c>
      <c r="AA151" s="688">
        <f>IFERROR(VLOOKUP($A151,'[93]3月'!$A:$H,8,0),0)</f>
        <v>0</v>
      </c>
      <c r="AB151" s="688">
        <f>IFERROR(VLOOKUP($A151,'[93]4月'!$A:$H,8,0),0)</f>
        <v>0</v>
      </c>
      <c r="AC151" s="688">
        <f>IFERROR(VLOOKUP($A151,'[93]5月'!$A:$H,8,0),0)</f>
        <v>0</v>
      </c>
      <c r="AD151" s="688">
        <f>IFERROR(VLOOKUP($A151,'[93]6月'!$A:$H,8,0),0)</f>
        <v>0</v>
      </c>
      <c r="AE151" s="688">
        <f>IFERROR(VLOOKUP($A151,'[93]7月'!$A:$H,8,0),0)</f>
        <v>0</v>
      </c>
      <c r="AF151" s="688">
        <f>IFERROR(VLOOKUP($A151,'[93]8月'!$A:$H,8,0),0)</f>
        <v>0</v>
      </c>
      <c r="AG151" s="688">
        <f>IFERROR(VLOOKUP($A151,'[93]9月'!$A:$H,8,0),0)</f>
        <v>0</v>
      </c>
      <c r="AH151" s="688">
        <f>IFERROR(VLOOKUP($A151,'[93]10月'!$A:$H,8,0),0)</f>
        <v>0</v>
      </c>
      <c r="AI151" s="688">
        <f>IFERROR(VLOOKUP($A151,'[93]11月'!$A:$H,8,0),0)</f>
        <v>0</v>
      </c>
      <c r="AJ151" s="688">
        <f>IFERROR(VLOOKUP($A151,'[93]12月'!$A:$H,8,0),0)</f>
        <v>0</v>
      </c>
      <c r="AK151" s="688">
        <f t="shared" si="54"/>
        <v>0</v>
      </c>
    </row>
    <row r="152" spans="1:37" ht="13.5" customHeight="1">
      <c r="A152" s="653" t="str">
        <f>'Budget-合并'!A152</f>
        <v>6602.99</v>
      </c>
      <c r="B152" s="653" t="str">
        <f>'Budget-合并'!B152</f>
        <v>其他</v>
      </c>
      <c r="C152" s="687" t="str">
        <f>'Budget-合并'!C152</f>
        <v>Admin Other</v>
      </c>
      <c r="D152" s="676">
        <f t="shared" ref="D152:D169" si="67">INDEX($K152:$V152,1,MATCH($D$6,$K$6:$V$6))</f>
        <v>0</v>
      </c>
      <c r="E152" s="676" t="e">
        <f>INDEX($Y152:AHV152,1,MATCH($E$6,$Y$6:$AJ$6))</f>
        <v>#N/A</v>
      </c>
      <c r="F152" s="676" t="e">
        <f t="shared" si="50"/>
        <v>#N/A</v>
      </c>
      <c r="G152" s="676">
        <f t="shared" ca="1" si="51"/>
        <v>0</v>
      </c>
      <c r="H152" s="676" t="e">
        <f t="shared" ca="1" si="52"/>
        <v>#N/A</v>
      </c>
      <c r="I152" s="676" t="e">
        <f t="shared" ca="1" si="53"/>
        <v>#N/A</v>
      </c>
      <c r="K152" s="676">
        <f>SUMIFS('Prof. Fee'!AF$3:AF$150,'Prof. Fee'!$B$3:$B$150,$D$1,'Prof. Fee'!$D$3:$D$150,$A152)+SUMIFS('Other Exp'!AG$3:AG$196,'Other Exp'!$B$3:$B$196,$D$1,'Other Exp'!$C$3:$C$196,$A152)</f>
        <v>0</v>
      </c>
      <c r="L152" s="676">
        <f>SUMIFS('Prof. Fee'!AG$3:AG$150,'Prof. Fee'!$B$3:$B$150,$D$1,'Prof. Fee'!$D$3:$D$150,$A152)+SUMIFS('Other Exp'!AH$3:AH$196,'Other Exp'!$B$3:$B$196,$D$1,'Other Exp'!$C$3:$C$196,$A152)</f>
        <v>0</v>
      </c>
      <c r="M152" s="676">
        <f>SUMIFS('Prof. Fee'!AH$3:AH$150,'Prof. Fee'!$B$3:$B$150,$D$1,'Prof. Fee'!$D$3:$D$150,$A152)+SUMIFS('Other Exp'!AI$3:AI$196,'Other Exp'!$B$3:$B$196,$D$1,'Other Exp'!$C$3:$C$196,$A152)</f>
        <v>0</v>
      </c>
      <c r="N152" s="676">
        <f>SUMIFS('Prof. Fee'!AI$3:AI$150,'Prof. Fee'!$B$3:$B$150,$D$1,'Prof. Fee'!$D$3:$D$150,$A152)+SUMIFS('Other Exp'!AJ$3:AJ$196,'Other Exp'!$B$3:$B$196,$D$1,'Other Exp'!$C$3:$C$196,$A152)</f>
        <v>0</v>
      </c>
      <c r="O152" s="676">
        <f>SUMIFS('Prof. Fee'!AJ$3:AJ$150,'Prof. Fee'!$B$3:$B$150,$D$1,'Prof. Fee'!$D$3:$D$150,$A152)+SUMIFS('Other Exp'!AK$3:AK$196,'Other Exp'!$B$3:$B$196,$D$1,'Other Exp'!$C$3:$C$196,$A152)</f>
        <v>0</v>
      </c>
      <c r="P152" s="676">
        <f>SUMIFS('Prof. Fee'!AK$3:AK$150,'Prof. Fee'!$B$3:$B$150,$D$1,'Prof. Fee'!$D$3:$D$150,$A152)+SUMIFS('Other Exp'!AL$3:AL$196,'Other Exp'!$B$3:$B$196,$D$1,'Other Exp'!$C$3:$C$196,$A152)</f>
        <v>0</v>
      </c>
      <c r="Q152" s="676">
        <f>SUMIFS('Prof. Fee'!AL$3:AL$150,'Prof. Fee'!$B$3:$B$150,$D$1,'Prof. Fee'!$D$3:$D$150,$A152)+SUMIFS('Other Exp'!AM$3:AM$196,'Other Exp'!$B$3:$B$196,$D$1,'Other Exp'!$C$3:$C$196,$A152)</f>
        <v>0</v>
      </c>
      <c r="R152" s="676">
        <f>SUMIFS('Prof. Fee'!AM$3:AM$150,'Prof. Fee'!$B$3:$B$150,$D$1,'Prof. Fee'!$D$3:$D$150,$A152)+SUMIFS('Other Exp'!AN$3:AN$196,'Other Exp'!$B$3:$B$196,$D$1,'Other Exp'!$C$3:$C$196,$A152)</f>
        <v>0</v>
      </c>
      <c r="S152" s="676">
        <f>SUMIFS('Prof. Fee'!AN$3:AN$150,'Prof. Fee'!$B$3:$B$150,$D$1,'Prof. Fee'!$D$3:$D$150,$A152)+SUMIFS('Other Exp'!AO$3:AO$196,'Other Exp'!$B$3:$B$196,$D$1,'Other Exp'!$C$3:$C$196,$A152)</f>
        <v>0</v>
      </c>
      <c r="T152" s="676">
        <f>SUMIFS('Prof. Fee'!AO$3:AO$150,'Prof. Fee'!$B$3:$B$150,$D$1,'Prof. Fee'!$D$3:$D$150,$A152)+SUMIFS('Other Exp'!AP$3:AP$196,'Other Exp'!$B$3:$B$196,$D$1,'Other Exp'!$C$3:$C$196,$A152)</f>
        <v>0</v>
      </c>
      <c r="U152" s="676">
        <f>SUMIFS('Prof. Fee'!AP$3:AP$150,'Prof. Fee'!$B$3:$B$150,$D$1,'Prof. Fee'!$D$3:$D$150,$A152)+SUMIFS('Other Exp'!AQ$3:AQ$196,'Other Exp'!$B$3:$B$196,$D$1,'Other Exp'!$C$3:$C$196,$A152)</f>
        <v>0</v>
      </c>
      <c r="V152" s="676">
        <f>SUMIFS('Prof. Fee'!AQ$3:AQ$150,'Prof. Fee'!$B$3:$B$150,$D$1,'Prof. Fee'!$D$3:$D$150,$A152)+SUMIFS('Other Exp'!AR$3:AR$196,'Other Exp'!$B$3:$B$196,$D$1,'Other Exp'!$C$3:$C$196,$A152)</f>
        <v>0</v>
      </c>
      <c r="W152" s="676">
        <f t="shared" si="66"/>
        <v>0</v>
      </c>
      <c r="Y152" s="688">
        <f>IFERROR(VLOOKUP(A152,'[93]1月'!$A:$H,8,0),0)</f>
        <v>0</v>
      </c>
      <c r="Z152" s="688">
        <f>IFERROR(VLOOKUP(A152,'[93]2月'!$A:$H,8,0),0)</f>
        <v>0</v>
      </c>
      <c r="AA152" s="688">
        <f>IFERROR(VLOOKUP($A152,'[93]3月'!$A:$H,8,0),0)</f>
        <v>0</v>
      </c>
      <c r="AB152" s="688">
        <f>IFERROR(VLOOKUP($A152,'[93]4月'!$A:$H,8,0),0)</f>
        <v>0</v>
      </c>
      <c r="AC152" s="688">
        <f>IFERROR(VLOOKUP($A152,'[93]5月'!$A:$H,8,0),0)</f>
        <v>0</v>
      </c>
      <c r="AD152" s="688">
        <f>IFERROR(VLOOKUP($A152,'[93]6月'!$A:$H,8,0),0)</f>
        <v>0</v>
      </c>
      <c r="AE152" s="688">
        <f>IFERROR(VLOOKUP($A152,'[93]7月'!$A:$H,8,0),0)</f>
        <v>0</v>
      </c>
      <c r="AF152" s="688">
        <f>IFERROR(VLOOKUP($A152,'[93]8月'!$A:$H,8,0),0)</f>
        <v>0</v>
      </c>
      <c r="AG152" s="688">
        <f>IFERROR(VLOOKUP($A152,'[93]9月'!$A:$H,8,0),0)</f>
        <v>0</v>
      </c>
      <c r="AH152" s="688">
        <f>IFERROR(VLOOKUP($A152,'[93]10月'!$A:$H,8,0),0)</f>
        <v>0</v>
      </c>
      <c r="AI152" s="688">
        <f>IFERROR(VLOOKUP($A152,'[93]11月'!$A:$H,8,0),0)</f>
        <v>0</v>
      </c>
      <c r="AJ152" s="688">
        <f>IFERROR(VLOOKUP($A152,'[93]12月'!$A:$H,8,0),0)</f>
        <v>0</v>
      </c>
      <c r="AK152" s="688">
        <f t="shared" si="54"/>
        <v>0</v>
      </c>
    </row>
    <row r="153" spans="1:37" ht="13.5" customHeight="1">
      <c r="A153" s="686">
        <f>'Budget-合并'!A153</f>
        <v>0</v>
      </c>
      <c r="B153" s="686" t="str">
        <f>'Budget-合并'!B153</f>
        <v>管理费用合计</v>
      </c>
      <c r="C153" s="687">
        <f>'Budget-合并'!C153</f>
        <v>0</v>
      </c>
      <c r="D153" s="677">
        <f t="shared" si="67"/>
        <v>58870.662500000013</v>
      </c>
      <c r="E153" s="677" t="e">
        <f>INDEX($Y153:AHV153,1,MATCH($E$6,$Y$6:$AJ$6))</f>
        <v>#N/A</v>
      </c>
      <c r="F153" s="677" t="e">
        <f t="shared" si="50"/>
        <v>#N/A</v>
      </c>
      <c r="G153" s="677">
        <f t="shared" ca="1" si="51"/>
        <v>58870.662500000013</v>
      </c>
      <c r="H153" s="677" t="e">
        <f t="shared" ca="1" si="52"/>
        <v>#N/A</v>
      </c>
      <c r="I153" s="677" t="e">
        <f t="shared" ca="1" si="53"/>
        <v>#N/A</v>
      </c>
      <c r="K153" s="677">
        <f>SUM(K44,K62,K75,K79,K80,K92,K127,K132,K140:K152)</f>
        <v>58870.662500000013</v>
      </c>
      <c r="L153" s="677">
        <f t="shared" ref="L153:V153" si="68">SUM(L44,L62,L75,L79,L80,L92,L127,L132,L140:L152)</f>
        <v>68870.662500000006</v>
      </c>
      <c r="M153" s="677">
        <f t="shared" si="68"/>
        <v>58870.662500000013</v>
      </c>
      <c r="N153" s="677">
        <f t="shared" si="68"/>
        <v>58870.662500000013</v>
      </c>
      <c r="O153" s="677">
        <f t="shared" si="68"/>
        <v>58870.662500000013</v>
      </c>
      <c r="P153" s="677">
        <f t="shared" si="68"/>
        <v>153390.66250000001</v>
      </c>
      <c r="Q153" s="677">
        <f t="shared" si="68"/>
        <v>58037.329166666677</v>
      </c>
      <c r="R153" s="677">
        <f t="shared" si="68"/>
        <v>58037.329166666677</v>
      </c>
      <c r="S153" s="677">
        <f t="shared" si="68"/>
        <v>58037.329166666677</v>
      </c>
      <c r="T153" s="677">
        <f t="shared" si="68"/>
        <v>68037.329166666677</v>
      </c>
      <c r="U153" s="677">
        <f t="shared" si="68"/>
        <v>58037.329166666677</v>
      </c>
      <c r="V153" s="677">
        <f t="shared" si="68"/>
        <v>58037.329166666677</v>
      </c>
      <c r="W153" s="677">
        <f t="shared" si="66"/>
        <v>815967.9500000003</v>
      </c>
      <c r="Y153" s="677">
        <f>SUM(Y44,Y62,Y75,Y79,Y80,Y92,Y127,Y132,Y140:Y152)</f>
        <v>8586.73</v>
      </c>
      <c r="Z153" s="677">
        <f t="shared" ref="Z153:AK153" si="69">SUM(Z44,Z62,Z75,Z79,Z80,Z92,Z127,Z132,Z140:Z152)</f>
        <v>18265.25</v>
      </c>
      <c r="AA153" s="677">
        <f t="shared" si="69"/>
        <v>22096.030000000002</v>
      </c>
      <c r="AB153" s="677">
        <f t="shared" si="69"/>
        <v>7725.75</v>
      </c>
      <c r="AC153" s="677">
        <f t="shared" si="69"/>
        <v>62499.07</v>
      </c>
      <c r="AD153" s="677">
        <f t="shared" si="69"/>
        <v>43811.460000000006</v>
      </c>
      <c r="AE153" s="677">
        <f t="shared" si="69"/>
        <v>39605.11</v>
      </c>
      <c r="AF153" s="677">
        <f t="shared" si="69"/>
        <v>50728.2</v>
      </c>
      <c r="AG153" s="677">
        <f t="shared" si="69"/>
        <v>43098.310000000005</v>
      </c>
      <c r="AH153" s="677">
        <f t="shared" si="69"/>
        <v>22090.239999999998</v>
      </c>
      <c r="AI153" s="677">
        <f t="shared" si="69"/>
        <v>37344.15</v>
      </c>
      <c r="AJ153" s="677">
        <f t="shared" si="69"/>
        <v>144874.81</v>
      </c>
      <c r="AK153" s="677">
        <f t="shared" si="69"/>
        <v>500725.10999999993</v>
      </c>
    </row>
    <row r="154" spans="1:37" ht="13.5" customHeight="1">
      <c r="A154" s="653">
        <f>'Budget-合并'!A154</f>
        <v>0</v>
      </c>
      <c r="B154" s="653">
        <f>'Budget-合并'!B154</f>
        <v>0</v>
      </c>
      <c r="C154" s="687">
        <f>'Budget-合并'!C154</f>
        <v>0</v>
      </c>
      <c r="W154" s="652">
        <f t="shared" si="66"/>
        <v>0</v>
      </c>
    </row>
    <row r="155" spans="1:37" ht="13.5" customHeight="1">
      <c r="A155" s="686" t="str">
        <f>'Budget-合并'!A155</f>
        <v>6603</v>
      </c>
      <c r="B155" s="686" t="str">
        <f>'Budget-合并'!B155</f>
        <v>财务费用</v>
      </c>
      <c r="C155" s="687">
        <f>'Budget-合并'!C155</f>
        <v>0</v>
      </c>
      <c r="D155" s="677"/>
      <c r="E155" s="677"/>
      <c r="F155" s="677"/>
      <c r="G155" s="677"/>
      <c r="H155" s="677"/>
      <c r="I155" s="677"/>
      <c r="K155" s="677"/>
      <c r="L155" s="677"/>
      <c r="M155" s="677"/>
      <c r="N155" s="677"/>
      <c r="O155" s="677"/>
      <c r="P155" s="677"/>
      <c r="Q155" s="677"/>
      <c r="R155" s="677"/>
      <c r="S155" s="677"/>
      <c r="T155" s="677"/>
      <c r="U155" s="677"/>
      <c r="V155" s="677"/>
      <c r="W155" s="677"/>
    </row>
    <row r="156" spans="1:37" ht="13.5" customHeight="1">
      <c r="A156" s="653" t="str">
        <f>'Budget-合并'!A156</f>
        <v>6603.01</v>
      </c>
      <c r="B156" s="653" t="str">
        <f>'Budget-合并'!B156</f>
        <v>汇兑损益</v>
      </c>
      <c r="C156" s="687" t="str">
        <f>'Budget-合并'!C156</f>
        <v>FX Gain/Loss Net</v>
      </c>
      <c r="D156" s="676">
        <f t="shared" si="67"/>
        <v>0</v>
      </c>
      <c r="E156" s="676" t="e">
        <f>INDEX($Y156:AHV156,1,MATCH($E$6,$Y$6:$AJ$6))</f>
        <v>#N/A</v>
      </c>
      <c r="F156" s="676" t="e">
        <f t="shared" ref="F156:F172" si="70">D156-E156</f>
        <v>#N/A</v>
      </c>
      <c r="G156" s="676">
        <f t="shared" ref="G156:G169" ca="1" si="71">SUM($K156:OFFSET($K156,0,MATCH(G$6,$K$6:$V$6)-1))</f>
        <v>0</v>
      </c>
      <c r="H156" s="676" t="e">
        <f t="shared" ref="H156:H172" ca="1" si="72">SUM($Y156:OFFSET($Y156,0,MATCH(H$6,$Y$6:$AJ$6)-1))</f>
        <v>#N/A</v>
      </c>
      <c r="I156" s="676" t="e">
        <f t="shared" ref="I156:I172" ca="1" si="73">G156-H156</f>
        <v>#N/A</v>
      </c>
      <c r="K156" s="676">
        <f>SUMIFS('Other Exp'!AG$3:AG$196,'Other Exp'!$B$3:$B$196,$D$1,'Other Exp'!$C$3:$C$196,$A156)</f>
        <v>0</v>
      </c>
      <c r="L156" s="676">
        <f>SUMIFS('Other Exp'!AH$3:AH$196,'Other Exp'!$B$3:$B$196,$D$1,'Other Exp'!$C$3:$C$196,$A156)</f>
        <v>0</v>
      </c>
      <c r="M156" s="676">
        <f>SUMIFS('Other Exp'!AI$3:AI$196,'Other Exp'!$B$3:$B$196,$D$1,'Other Exp'!$C$3:$C$196,$A156)</f>
        <v>0</v>
      </c>
      <c r="N156" s="676">
        <f>SUMIFS('Other Exp'!AJ$3:AJ$196,'Other Exp'!$B$3:$B$196,$D$1,'Other Exp'!$C$3:$C$196,$A156)</f>
        <v>0</v>
      </c>
      <c r="O156" s="676">
        <f>SUMIFS('Other Exp'!AK$3:AK$196,'Other Exp'!$B$3:$B$196,$D$1,'Other Exp'!$C$3:$C$196,$A156)</f>
        <v>0</v>
      </c>
      <c r="P156" s="676">
        <f>SUMIFS('Other Exp'!AL$3:AL$196,'Other Exp'!$B$3:$B$196,$D$1,'Other Exp'!$C$3:$C$196,$A156)</f>
        <v>0</v>
      </c>
      <c r="Q156" s="676">
        <f>SUMIFS('Other Exp'!AM$3:AM$196,'Other Exp'!$B$3:$B$196,$D$1,'Other Exp'!$C$3:$C$196,$A156)</f>
        <v>0</v>
      </c>
      <c r="R156" s="676">
        <f>SUMIFS('Other Exp'!AN$3:AN$196,'Other Exp'!$B$3:$B$196,$D$1,'Other Exp'!$C$3:$C$196,$A156)</f>
        <v>0</v>
      </c>
      <c r="S156" s="676">
        <f>SUMIFS('Other Exp'!AO$3:AO$196,'Other Exp'!$B$3:$B$196,$D$1,'Other Exp'!$C$3:$C$196,$A156)</f>
        <v>0</v>
      </c>
      <c r="T156" s="676">
        <f>SUMIFS('Other Exp'!AP$3:AP$196,'Other Exp'!$B$3:$B$196,$D$1,'Other Exp'!$C$3:$C$196,$A156)</f>
        <v>0</v>
      </c>
      <c r="U156" s="676">
        <f>SUMIFS('Other Exp'!AQ$3:AQ$196,'Other Exp'!$B$3:$B$196,$D$1,'Other Exp'!$C$3:$C$196,$A156)</f>
        <v>0</v>
      </c>
      <c r="V156" s="676">
        <f>SUMIFS('Other Exp'!AR$3:AR$196,'Other Exp'!$B$3:$B$196,$D$1,'Other Exp'!$C$3:$C$196,$A156)</f>
        <v>0</v>
      </c>
      <c r="W156" s="676">
        <f t="shared" ref="W156:W169" si="74">SUM(K156:V156)</f>
        <v>0</v>
      </c>
      <c r="Y156" s="688">
        <f>IFERROR(VLOOKUP(A156,'[93]1月'!$A:$H,8,0),0)</f>
        <v>4.12</v>
      </c>
      <c r="Z156" s="688">
        <f>IFERROR(VLOOKUP(A156,'[93]2月'!$A:$H,8,0),0)</f>
        <v>-1.54</v>
      </c>
      <c r="AA156" s="688">
        <f>IFERROR(VLOOKUP($A156,'[93]3月'!$A:$H,8,0),0)</f>
        <v>-0.17</v>
      </c>
      <c r="AB156" s="688">
        <f>IFERROR(VLOOKUP($A156,'[93]4月'!$A:$H,8,0),0)</f>
        <v>-3.98</v>
      </c>
      <c r="AC156" s="688">
        <f>IFERROR(VLOOKUP($A156,'[93]5月'!$A:$H,8,0),0)</f>
        <v>8.7899999999999991</v>
      </c>
      <c r="AD156" s="688">
        <f>IFERROR(VLOOKUP($A156,'[93]6月'!$A:$H,8,0),0)</f>
        <v>3.36</v>
      </c>
      <c r="AE156" s="688">
        <f>IFERROR(VLOOKUP($A156,'[93]7月'!$A:$H,8,0),0)</f>
        <v>0.87</v>
      </c>
      <c r="AF156" s="688">
        <f>IFERROR(VLOOKUP($A156,'[93]8月'!$A:$H,8,0),0)</f>
        <v>-0.59</v>
      </c>
      <c r="AG156" s="688">
        <f>IFERROR(VLOOKUP($A156,'[93]9月'!$A:$H,8,0),0)</f>
        <v>-1.05</v>
      </c>
      <c r="AH156" s="688">
        <f>IFERROR(VLOOKUP($A156,'[93]10月'!$A:$H,8,0),0)</f>
        <v>0.53</v>
      </c>
      <c r="AI156" s="688">
        <f>IFERROR(VLOOKUP($A156,'[93]11月'!$A:$H,8,0),0)</f>
        <v>1.78</v>
      </c>
      <c r="AJ156" s="688">
        <f>IFERROR(VLOOKUP($A156,'[93]12月'!$A:$H,8,0),0)</f>
        <v>5.0199999999999996</v>
      </c>
      <c r="AK156" s="688">
        <f t="shared" ref="AK156:AK171" si="75">SUM(Y156:AJ156)</f>
        <v>17.139999999999993</v>
      </c>
    </row>
    <row r="157" spans="1:37" ht="13.5" customHeight="1">
      <c r="A157" s="663" t="str">
        <f>'Budget-合并'!A157</f>
        <v>6603.02</v>
      </c>
      <c r="B157" s="663" t="str">
        <f>'Budget-合并'!B157</f>
        <v>利息费用</v>
      </c>
      <c r="C157" s="687">
        <f>'Budget-合并'!C157</f>
        <v>0</v>
      </c>
      <c r="D157" s="676">
        <f t="shared" si="67"/>
        <v>0</v>
      </c>
      <c r="E157" s="676" t="e">
        <f>INDEX($Y157:AHV157,1,MATCH($E$6,$Y$6:$AJ$6))</f>
        <v>#N/A</v>
      </c>
      <c r="F157" s="676" t="e">
        <f t="shared" si="70"/>
        <v>#N/A</v>
      </c>
      <c r="G157" s="676">
        <f t="shared" ca="1" si="71"/>
        <v>0</v>
      </c>
      <c r="H157" s="676" t="e">
        <f t="shared" ca="1" si="72"/>
        <v>#N/A</v>
      </c>
      <c r="I157" s="676" t="e">
        <f t="shared" ca="1" si="73"/>
        <v>#N/A</v>
      </c>
      <c r="K157" s="676"/>
      <c r="L157" s="676"/>
      <c r="M157" s="676"/>
      <c r="N157" s="676"/>
      <c r="O157" s="676"/>
      <c r="P157" s="676"/>
      <c r="Q157" s="676"/>
      <c r="R157" s="676"/>
      <c r="S157" s="676"/>
      <c r="T157" s="676"/>
      <c r="U157" s="676"/>
      <c r="V157" s="676"/>
      <c r="W157" s="676">
        <f t="shared" si="74"/>
        <v>0</v>
      </c>
      <c r="Y157" s="688">
        <f>IFERROR(VLOOKUP(A157,'[93]1月'!$A:$H,8,0),0)</f>
        <v>235.38</v>
      </c>
      <c r="Z157" s="688">
        <f>IFERROR(VLOOKUP(A157,'[93]2月'!$A:$H,8,0),0)</f>
        <v>216.1</v>
      </c>
      <c r="AA157" s="688">
        <f>IFERROR(VLOOKUP($A157,'[93]3月'!$A:$H,8,0),0)</f>
        <v>196.76</v>
      </c>
      <c r="AB157" s="688">
        <f>IFERROR(VLOOKUP($A157,'[93]4月'!$A:$H,8,0),0)</f>
        <v>177.37</v>
      </c>
      <c r="AC157" s="688">
        <f>IFERROR(VLOOKUP($A157,'[93]5月'!$A:$H,8,0),0)</f>
        <v>157.91</v>
      </c>
      <c r="AD157" s="688">
        <f>IFERROR(VLOOKUP($A157,'[93]6月'!$A:$H,8,0),0)</f>
        <v>138.38</v>
      </c>
      <c r="AE157" s="688">
        <f>IFERROR(VLOOKUP($A157,'[93]7月'!$A:$H,8,0),0)</f>
        <v>118.8</v>
      </c>
      <c r="AF157" s="688">
        <f>IFERROR(VLOOKUP($A157,'[93]8月'!$A:$H,8,0),0)</f>
        <v>99.16</v>
      </c>
      <c r="AG157" s="688">
        <f>IFERROR(VLOOKUP($A157,'[93]9月'!$A:$H,8,0),0)</f>
        <v>79.45</v>
      </c>
      <c r="AH157" s="688">
        <f>IFERROR(VLOOKUP($A157,'[93]10月'!$A:$H,8,0),0)</f>
        <v>59.68</v>
      </c>
      <c r="AI157" s="688">
        <f>IFERROR(VLOOKUP($A157,'[93]11月'!$A:$H,8,0),0)</f>
        <v>39.85</v>
      </c>
      <c r="AJ157" s="688">
        <f>IFERROR(VLOOKUP($A157,'[93]12月'!$A:$H,8,0),0)</f>
        <v>19.940000000000001</v>
      </c>
      <c r="AK157" s="688">
        <f t="shared" si="75"/>
        <v>1538.7800000000002</v>
      </c>
    </row>
    <row r="158" spans="1:37" ht="13.5" customHeight="1">
      <c r="A158" s="653" t="str">
        <f>'Budget-合并'!A158</f>
        <v>6603.02.01</v>
      </c>
      <c r="B158" s="653" t="str">
        <f>'Budget-合并'!B158</f>
        <v>打印机租赁</v>
      </c>
      <c r="C158" s="687">
        <f>'Budget-合并'!C158</f>
        <v>0</v>
      </c>
      <c r="D158" s="676">
        <f t="shared" si="67"/>
        <v>0</v>
      </c>
      <c r="E158" s="676" t="e">
        <f>INDEX($Y158:AHV158,1,MATCH($E$6,$Y$6:$AJ$6))</f>
        <v>#N/A</v>
      </c>
      <c r="F158" s="676" t="e">
        <f t="shared" si="70"/>
        <v>#N/A</v>
      </c>
      <c r="G158" s="676">
        <f t="shared" ca="1" si="71"/>
        <v>0</v>
      </c>
      <c r="H158" s="676" t="e">
        <f t="shared" ca="1" si="72"/>
        <v>#N/A</v>
      </c>
      <c r="I158" s="676" t="e">
        <f t="shared" ca="1" si="73"/>
        <v>#N/A</v>
      </c>
      <c r="K158" s="676"/>
      <c r="L158" s="676"/>
      <c r="M158" s="676"/>
      <c r="N158" s="676"/>
      <c r="O158" s="676"/>
      <c r="P158" s="676"/>
      <c r="Q158" s="676"/>
      <c r="R158" s="676"/>
      <c r="S158" s="676"/>
      <c r="T158" s="676"/>
      <c r="U158" s="676"/>
      <c r="V158" s="676"/>
      <c r="W158" s="676">
        <f t="shared" si="74"/>
        <v>0</v>
      </c>
      <c r="Y158" s="688">
        <f>IFERROR(VLOOKUP(A158,'[93]1月'!$A:$H,8,0),0)</f>
        <v>0</v>
      </c>
      <c r="Z158" s="688">
        <f>IFERROR(VLOOKUP(A158,'[93]2月'!$A:$H,8,0),0)</f>
        <v>0</v>
      </c>
      <c r="AA158" s="688">
        <f>IFERROR(VLOOKUP($A158,'[93]3月'!$A:$H,8,0),0)</f>
        <v>0</v>
      </c>
      <c r="AB158" s="688">
        <f>IFERROR(VLOOKUP($A158,'[93]4月'!$A:$H,8,0),0)</f>
        <v>0</v>
      </c>
      <c r="AC158" s="688">
        <f>IFERROR(VLOOKUP($A158,'[93]5月'!$A:$H,8,0),0)</f>
        <v>0</v>
      </c>
      <c r="AD158" s="688">
        <f>IFERROR(VLOOKUP($A158,'[93]6月'!$A:$H,8,0),0)</f>
        <v>0</v>
      </c>
      <c r="AE158" s="688">
        <f>IFERROR(VLOOKUP($A158,'[93]7月'!$A:$H,8,0),0)</f>
        <v>0</v>
      </c>
      <c r="AF158" s="688">
        <f>IFERROR(VLOOKUP($A158,'[93]8月'!$A:$H,8,0),0)</f>
        <v>0</v>
      </c>
      <c r="AG158" s="688">
        <f>IFERROR(VLOOKUP($A158,'[93]9月'!$A:$H,8,0),0)</f>
        <v>0</v>
      </c>
      <c r="AH158" s="688">
        <f>IFERROR(VLOOKUP($A158,'[93]10月'!$A:$H,8,0),0)</f>
        <v>0</v>
      </c>
      <c r="AI158" s="688">
        <f>IFERROR(VLOOKUP($A158,'[93]11月'!$A:$H,8,0),0)</f>
        <v>0</v>
      </c>
      <c r="AJ158" s="688">
        <f>IFERROR(VLOOKUP($A158,'[93]12月'!$A:$H,8,0),0)</f>
        <v>0</v>
      </c>
      <c r="AK158" s="688">
        <f t="shared" si="75"/>
        <v>0</v>
      </c>
    </row>
    <row r="159" spans="1:37" ht="13.5" customHeight="1">
      <c r="A159" s="653" t="str">
        <f>'Budget-合并'!A159</f>
        <v>6603.02.02</v>
      </c>
      <c r="B159" s="653" t="str">
        <f>'Budget-合并'!B159</f>
        <v>办公地址</v>
      </c>
      <c r="C159" s="687">
        <f>'Budget-合并'!C159</f>
        <v>0</v>
      </c>
      <c r="D159" s="676">
        <f t="shared" si="67"/>
        <v>0</v>
      </c>
      <c r="E159" s="676" t="e">
        <f>INDEX($Y159:AHV159,1,MATCH($E$6,$Y$6:$AJ$6))</f>
        <v>#N/A</v>
      </c>
      <c r="F159" s="676" t="e">
        <f t="shared" si="70"/>
        <v>#N/A</v>
      </c>
      <c r="G159" s="676">
        <f t="shared" ca="1" si="71"/>
        <v>0</v>
      </c>
      <c r="H159" s="676" t="e">
        <f t="shared" ca="1" si="72"/>
        <v>#N/A</v>
      </c>
      <c r="I159" s="676" t="e">
        <f t="shared" ca="1" si="73"/>
        <v>#N/A</v>
      </c>
      <c r="K159" s="676">
        <f t="shared" ref="K159:V159" si="76">SUM(K160:K161)</f>
        <v>0</v>
      </c>
      <c r="L159" s="676">
        <f t="shared" si="76"/>
        <v>0</v>
      </c>
      <c r="M159" s="676">
        <f t="shared" si="76"/>
        <v>0</v>
      </c>
      <c r="N159" s="676">
        <f t="shared" si="76"/>
        <v>0</v>
      </c>
      <c r="O159" s="676">
        <f t="shared" si="76"/>
        <v>0</v>
      </c>
      <c r="P159" s="676">
        <f t="shared" si="76"/>
        <v>0</v>
      </c>
      <c r="Q159" s="676">
        <f t="shared" si="76"/>
        <v>0</v>
      </c>
      <c r="R159" s="676">
        <f t="shared" si="76"/>
        <v>0</v>
      </c>
      <c r="S159" s="676">
        <f t="shared" si="76"/>
        <v>0</v>
      </c>
      <c r="T159" s="676">
        <f t="shared" si="76"/>
        <v>0</v>
      </c>
      <c r="U159" s="676">
        <f t="shared" si="76"/>
        <v>0</v>
      </c>
      <c r="V159" s="676">
        <f t="shared" si="76"/>
        <v>0</v>
      </c>
      <c r="W159" s="676">
        <f t="shared" si="74"/>
        <v>0</v>
      </c>
      <c r="Y159" s="688">
        <f>IFERROR(VLOOKUP(A159,'[93]1月'!$A:$H,8,0),0)</f>
        <v>0</v>
      </c>
      <c r="Z159" s="688">
        <f>IFERROR(VLOOKUP(A159,'[93]2月'!$A:$H,8,0),0)</f>
        <v>0</v>
      </c>
      <c r="AA159" s="688">
        <f>IFERROR(VLOOKUP($A159,'[93]3月'!$A:$H,8,0),0)</f>
        <v>0</v>
      </c>
      <c r="AB159" s="688">
        <f>IFERROR(VLOOKUP($A159,'[93]4月'!$A:$H,8,0),0)</f>
        <v>0</v>
      </c>
      <c r="AC159" s="688">
        <f>IFERROR(VLOOKUP($A159,'[93]5月'!$A:$H,8,0),0)</f>
        <v>0</v>
      </c>
      <c r="AD159" s="688">
        <f>IFERROR(VLOOKUP($A159,'[93]6月'!$A:$H,8,0),0)</f>
        <v>0</v>
      </c>
      <c r="AE159" s="688">
        <f>IFERROR(VLOOKUP($A159,'[93]7月'!$A:$H,8,0),0)</f>
        <v>0</v>
      </c>
      <c r="AF159" s="688">
        <f>IFERROR(VLOOKUP($A159,'[93]8月'!$A:$H,8,0),0)</f>
        <v>0</v>
      </c>
      <c r="AG159" s="688">
        <f>IFERROR(VLOOKUP($A159,'[93]9月'!$A:$H,8,0),0)</f>
        <v>0</v>
      </c>
      <c r="AH159" s="688">
        <f>IFERROR(VLOOKUP($A159,'[93]10月'!$A:$H,8,0),0)</f>
        <v>0</v>
      </c>
      <c r="AI159" s="688">
        <f>IFERROR(VLOOKUP($A159,'[93]11月'!$A:$H,8,0),0)</f>
        <v>0</v>
      </c>
      <c r="AJ159" s="688">
        <f>IFERROR(VLOOKUP($A159,'[93]12月'!$A:$H,8,0),0)</f>
        <v>0</v>
      </c>
      <c r="AK159" s="688">
        <f t="shared" si="75"/>
        <v>0</v>
      </c>
    </row>
    <row r="160" spans="1:37" ht="13.5" customHeight="1">
      <c r="A160" s="653" t="str">
        <f>'Budget-合并'!A160</f>
        <v>6603.02.02.01</v>
      </c>
      <c r="B160" s="653" t="str">
        <f>'Budget-合并'!B160</f>
        <v>旭智咨询--鼎和大厦1606</v>
      </c>
      <c r="C160" s="687">
        <f>'Budget-合并'!C160</f>
        <v>0</v>
      </c>
      <c r="D160" s="676">
        <f t="shared" si="67"/>
        <v>0</v>
      </c>
      <c r="E160" s="676" t="e">
        <f>INDEX($Y160:AHV160,1,MATCH($E$6,$Y$6:$AJ$6))</f>
        <v>#N/A</v>
      </c>
      <c r="F160" s="676" t="e">
        <f t="shared" si="70"/>
        <v>#N/A</v>
      </c>
      <c r="G160" s="676">
        <f t="shared" ca="1" si="71"/>
        <v>0</v>
      </c>
      <c r="H160" s="676" t="e">
        <f t="shared" ca="1" si="72"/>
        <v>#N/A</v>
      </c>
      <c r="I160" s="676" t="e">
        <f t="shared" ca="1" si="73"/>
        <v>#N/A</v>
      </c>
      <c r="K160" s="676"/>
      <c r="L160" s="676"/>
      <c r="M160" s="676"/>
      <c r="N160" s="676"/>
      <c r="O160" s="676"/>
      <c r="P160" s="676"/>
      <c r="Q160" s="676"/>
      <c r="R160" s="676"/>
      <c r="S160" s="676"/>
      <c r="T160" s="676"/>
      <c r="U160" s="676"/>
      <c r="V160" s="676"/>
      <c r="W160" s="676">
        <f t="shared" si="74"/>
        <v>0</v>
      </c>
      <c r="Y160" s="688">
        <f>IFERROR(VLOOKUP(A160,'[93]1月'!$A:$H,8,0),0)</f>
        <v>0</v>
      </c>
      <c r="Z160" s="688">
        <f>IFERROR(VLOOKUP(A160,'[93]2月'!$A:$H,8,0),0)</f>
        <v>0</v>
      </c>
      <c r="AA160" s="688">
        <f>IFERROR(VLOOKUP($A160,'[93]3月'!$A:$H,8,0),0)</f>
        <v>0</v>
      </c>
      <c r="AB160" s="688">
        <f>IFERROR(VLOOKUP($A160,'[93]4月'!$A:$H,8,0),0)</f>
        <v>0</v>
      </c>
      <c r="AC160" s="688">
        <f>IFERROR(VLOOKUP($A160,'[93]5月'!$A:$H,8,0),0)</f>
        <v>0</v>
      </c>
      <c r="AD160" s="688">
        <f>IFERROR(VLOOKUP($A160,'[93]6月'!$A:$H,8,0),0)</f>
        <v>0</v>
      </c>
      <c r="AE160" s="688">
        <f>IFERROR(VLOOKUP($A160,'[93]7月'!$A:$H,8,0),0)</f>
        <v>0</v>
      </c>
      <c r="AF160" s="688">
        <f>IFERROR(VLOOKUP($A160,'[93]8月'!$A:$H,8,0),0)</f>
        <v>0</v>
      </c>
      <c r="AG160" s="688">
        <f>IFERROR(VLOOKUP($A160,'[93]9月'!$A:$H,8,0),0)</f>
        <v>0</v>
      </c>
      <c r="AH160" s="688">
        <f>IFERROR(VLOOKUP($A160,'[93]10月'!$A:$H,8,0),0)</f>
        <v>0</v>
      </c>
      <c r="AI160" s="688">
        <f>IFERROR(VLOOKUP($A160,'[93]11月'!$A:$H,8,0),0)</f>
        <v>0</v>
      </c>
      <c r="AJ160" s="688">
        <f>IFERROR(VLOOKUP($A160,'[93]12月'!$A:$H,8,0),0)</f>
        <v>0</v>
      </c>
      <c r="AK160" s="688">
        <f t="shared" si="75"/>
        <v>0</v>
      </c>
    </row>
    <row r="161" spans="1:37" ht="13.5" customHeight="1">
      <c r="A161" s="653" t="str">
        <f>'Budget-合并'!A161</f>
        <v>6603.02.02.02</v>
      </c>
      <c r="B161" s="653" t="str">
        <f>'Budget-合并'!B161</f>
        <v>旭智资本（香港）--冯氏大厦</v>
      </c>
      <c r="C161" s="687" t="str">
        <f>'Budget-合并'!C161</f>
        <v>Interest Expense Lease</v>
      </c>
      <c r="D161" s="676">
        <f t="shared" si="67"/>
        <v>0</v>
      </c>
      <c r="E161" s="676" t="e">
        <f>INDEX($Y161:AHV161,1,MATCH($E$6,$Y$6:$AJ$6))</f>
        <v>#N/A</v>
      </c>
      <c r="F161" s="676" t="e">
        <f t="shared" si="70"/>
        <v>#N/A</v>
      </c>
      <c r="G161" s="676">
        <f t="shared" ca="1" si="71"/>
        <v>0</v>
      </c>
      <c r="H161" s="676" t="e">
        <f t="shared" ca="1" si="72"/>
        <v>#N/A</v>
      </c>
      <c r="I161" s="676" t="e">
        <f t="shared" ca="1" si="73"/>
        <v>#N/A</v>
      </c>
      <c r="K161" s="676"/>
      <c r="L161" s="676"/>
      <c r="M161" s="676"/>
      <c r="N161" s="676"/>
      <c r="O161" s="676"/>
      <c r="P161" s="676"/>
      <c r="Q161" s="676"/>
      <c r="R161" s="676"/>
      <c r="S161" s="676"/>
      <c r="T161" s="676"/>
      <c r="U161" s="676"/>
      <c r="V161" s="676"/>
      <c r="W161" s="676">
        <f t="shared" si="74"/>
        <v>0</v>
      </c>
      <c r="Y161" s="688">
        <f>IFERROR(VLOOKUP(A161,'[93]1月'!$A:$H,8,0),0)</f>
        <v>0</v>
      </c>
      <c r="Z161" s="688">
        <f>IFERROR(VLOOKUP(A161,'[93]2月'!$A:$H,8,0),0)</f>
        <v>0</v>
      </c>
      <c r="AA161" s="688">
        <f>IFERROR(VLOOKUP($A161,'[93]3月'!$A:$H,8,0),0)</f>
        <v>0</v>
      </c>
      <c r="AB161" s="688">
        <f>IFERROR(VLOOKUP($A161,'[93]4月'!$A:$H,8,0),0)</f>
        <v>0</v>
      </c>
      <c r="AC161" s="688">
        <f>IFERROR(VLOOKUP($A161,'[93]5月'!$A:$H,8,0),0)</f>
        <v>0</v>
      </c>
      <c r="AD161" s="688">
        <f>IFERROR(VLOOKUP($A161,'[93]6月'!$A:$H,8,0),0)</f>
        <v>0</v>
      </c>
      <c r="AE161" s="688">
        <f>IFERROR(VLOOKUP($A161,'[93]7月'!$A:$H,8,0),0)</f>
        <v>0</v>
      </c>
      <c r="AF161" s="688">
        <f>IFERROR(VLOOKUP($A161,'[93]8月'!$A:$H,8,0),0)</f>
        <v>0</v>
      </c>
      <c r="AG161" s="688">
        <f>IFERROR(VLOOKUP($A161,'[93]9月'!$A:$H,8,0),0)</f>
        <v>0</v>
      </c>
      <c r="AH161" s="688">
        <f>IFERROR(VLOOKUP($A161,'[93]10月'!$A:$H,8,0),0)</f>
        <v>0</v>
      </c>
      <c r="AI161" s="688">
        <f>IFERROR(VLOOKUP($A161,'[93]11月'!$A:$H,8,0),0)</f>
        <v>0</v>
      </c>
      <c r="AJ161" s="688">
        <f>IFERROR(VLOOKUP($A161,'[93]12月'!$A:$H,8,0),0)</f>
        <v>0</v>
      </c>
      <c r="AK161" s="688">
        <f t="shared" si="75"/>
        <v>0</v>
      </c>
    </row>
    <row r="162" spans="1:37" ht="13.5" customHeight="1">
      <c r="A162" s="653" t="str">
        <f>'Budget-合并'!A162</f>
        <v>6603.02.03</v>
      </c>
      <c r="B162" s="653" t="str">
        <f>'Budget-合并'!B162</f>
        <v>注册地址</v>
      </c>
      <c r="C162" s="687">
        <f>'Budget-合并'!C162</f>
        <v>0</v>
      </c>
      <c r="D162" s="676">
        <f t="shared" si="67"/>
        <v>0</v>
      </c>
      <c r="E162" s="676" t="e">
        <f>INDEX($Y162:AHV162,1,MATCH($E$6,$Y$6:$AJ$6))</f>
        <v>#N/A</v>
      </c>
      <c r="F162" s="676" t="e">
        <f t="shared" si="70"/>
        <v>#N/A</v>
      </c>
      <c r="G162" s="676">
        <f t="shared" ca="1" si="71"/>
        <v>0</v>
      </c>
      <c r="H162" s="676" t="e">
        <f t="shared" ca="1" si="72"/>
        <v>#N/A</v>
      </c>
      <c r="I162" s="676" t="e">
        <f t="shared" ca="1" si="73"/>
        <v>#N/A</v>
      </c>
      <c r="K162" s="676">
        <f>SUM(K163:K164)</f>
        <v>0</v>
      </c>
      <c r="L162" s="676">
        <f t="shared" ref="L162:V162" si="77">SUM(L163:L164)</f>
        <v>0</v>
      </c>
      <c r="M162" s="676">
        <f t="shared" si="77"/>
        <v>0</v>
      </c>
      <c r="N162" s="676">
        <f t="shared" si="77"/>
        <v>0</v>
      </c>
      <c r="O162" s="676">
        <f t="shared" si="77"/>
        <v>0</v>
      </c>
      <c r="P162" s="676">
        <f t="shared" si="77"/>
        <v>0</v>
      </c>
      <c r="Q162" s="676">
        <f t="shared" si="77"/>
        <v>0</v>
      </c>
      <c r="R162" s="676">
        <f t="shared" si="77"/>
        <v>0</v>
      </c>
      <c r="S162" s="676">
        <f t="shared" si="77"/>
        <v>0</v>
      </c>
      <c r="T162" s="676">
        <f t="shared" si="77"/>
        <v>0</v>
      </c>
      <c r="U162" s="676">
        <f t="shared" si="77"/>
        <v>0</v>
      </c>
      <c r="V162" s="676">
        <f t="shared" si="77"/>
        <v>0</v>
      </c>
      <c r="W162" s="676">
        <f t="shared" si="74"/>
        <v>0</v>
      </c>
      <c r="Y162" s="688">
        <f>IFERROR(VLOOKUP(A162,'[93]1月'!$A:$H,8,0),0)</f>
        <v>235.38</v>
      </c>
      <c r="Z162" s="688">
        <f>IFERROR(VLOOKUP(A162,'[93]2月'!$A:$H,8,0),0)</f>
        <v>216.1</v>
      </c>
      <c r="AA162" s="688">
        <f>IFERROR(VLOOKUP($A162,'[93]3月'!$A:$H,8,0),0)</f>
        <v>196.76</v>
      </c>
      <c r="AB162" s="688">
        <f>IFERROR(VLOOKUP($A162,'[93]4月'!$A:$H,8,0),0)</f>
        <v>177.37</v>
      </c>
      <c r="AC162" s="688">
        <f>IFERROR(VLOOKUP($A162,'[93]5月'!$A:$H,8,0),0)</f>
        <v>157.91</v>
      </c>
      <c r="AD162" s="688">
        <f>IFERROR(VLOOKUP($A162,'[93]6月'!$A:$H,8,0),0)</f>
        <v>138.38</v>
      </c>
      <c r="AE162" s="688">
        <f>IFERROR(VLOOKUP($A162,'[93]7月'!$A:$H,8,0),0)</f>
        <v>118.8</v>
      </c>
      <c r="AF162" s="688">
        <f>IFERROR(VLOOKUP($A162,'[93]8月'!$A:$H,8,0),0)</f>
        <v>99.16</v>
      </c>
      <c r="AG162" s="688">
        <f>IFERROR(VLOOKUP($A162,'[93]9月'!$A:$H,8,0),0)</f>
        <v>79.45</v>
      </c>
      <c r="AH162" s="688">
        <f>IFERROR(VLOOKUP($A162,'[93]10月'!$A:$H,8,0),0)</f>
        <v>59.68</v>
      </c>
      <c r="AI162" s="688">
        <f>IFERROR(VLOOKUP($A162,'[93]11月'!$A:$H,8,0),0)</f>
        <v>39.85</v>
      </c>
      <c r="AJ162" s="688">
        <f>IFERROR(VLOOKUP($A162,'[93]12月'!$A:$H,8,0),0)</f>
        <v>19.940000000000001</v>
      </c>
      <c r="AK162" s="688">
        <f t="shared" si="75"/>
        <v>1538.7800000000002</v>
      </c>
    </row>
    <row r="163" spans="1:37" ht="13.5" customHeight="1">
      <c r="A163" s="653" t="str">
        <f>'Budget-合并'!A163</f>
        <v>6603.02.03.01</v>
      </c>
      <c r="B163" s="653" t="str">
        <f>'Budget-合并'!B163</f>
        <v>旭智私募--前海壹号B座701E</v>
      </c>
      <c r="C163" s="687">
        <f>'Budget-合并'!C163</f>
        <v>0</v>
      </c>
      <c r="D163" s="676">
        <f t="shared" si="67"/>
        <v>0</v>
      </c>
      <c r="E163" s="676" t="e">
        <f>INDEX($Y163:AHV163,1,MATCH($E$6,$Y$6:$AJ$6))</f>
        <v>#N/A</v>
      </c>
      <c r="F163" s="676" t="e">
        <f t="shared" si="70"/>
        <v>#N/A</v>
      </c>
      <c r="G163" s="676">
        <f t="shared" ca="1" si="71"/>
        <v>0</v>
      </c>
      <c r="H163" s="676" t="e">
        <f t="shared" ca="1" si="72"/>
        <v>#N/A</v>
      </c>
      <c r="I163" s="676" t="e">
        <f t="shared" ca="1" si="73"/>
        <v>#N/A</v>
      </c>
      <c r="K163" s="676"/>
      <c r="L163" s="676"/>
      <c r="M163" s="676"/>
      <c r="N163" s="676"/>
      <c r="O163" s="676"/>
      <c r="P163" s="676"/>
      <c r="Q163" s="676"/>
      <c r="R163" s="676"/>
      <c r="S163" s="676"/>
      <c r="T163" s="676"/>
      <c r="U163" s="676"/>
      <c r="V163" s="676"/>
      <c r="W163" s="676">
        <f t="shared" si="74"/>
        <v>0</v>
      </c>
      <c r="Y163" s="688">
        <f>IFERROR(VLOOKUP(A163,'[93]1月'!$A:$H,8,0),0)</f>
        <v>235.38</v>
      </c>
      <c r="Z163" s="688">
        <f>IFERROR(VLOOKUP(A163,'[93]2月'!$A:$H,8,0),0)</f>
        <v>216.1</v>
      </c>
      <c r="AA163" s="688">
        <f>IFERROR(VLOOKUP($A163,'[93]3月'!$A:$H,8,0),0)</f>
        <v>196.76</v>
      </c>
      <c r="AB163" s="688">
        <f>IFERROR(VLOOKUP($A163,'[93]4月'!$A:$H,8,0),0)</f>
        <v>177.37</v>
      </c>
      <c r="AC163" s="688">
        <f>IFERROR(VLOOKUP($A163,'[93]5月'!$A:$H,8,0),0)</f>
        <v>157.91</v>
      </c>
      <c r="AD163" s="688">
        <f>IFERROR(VLOOKUP($A163,'[93]6月'!$A:$H,8,0),0)</f>
        <v>138.38</v>
      </c>
      <c r="AE163" s="688">
        <f>IFERROR(VLOOKUP($A163,'[93]7月'!$A:$H,8,0),0)</f>
        <v>118.8</v>
      </c>
      <c r="AF163" s="688">
        <f>IFERROR(VLOOKUP($A163,'[93]8月'!$A:$H,8,0),0)</f>
        <v>99.16</v>
      </c>
      <c r="AG163" s="688">
        <f>IFERROR(VLOOKUP($A163,'[93]9月'!$A:$H,8,0),0)</f>
        <v>79.45</v>
      </c>
      <c r="AH163" s="688">
        <f>IFERROR(VLOOKUP($A163,'[93]10月'!$A:$H,8,0),0)</f>
        <v>59.68</v>
      </c>
      <c r="AI163" s="688">
        <f>IFERROR(VLOOKUP($A163,'[93]11月'!$A:$H,8,0),0)</f>
        <v>39.85</v>
      </c>
      <c r="AJ163" s="688">
        <f>IFERROR(VLOOKUP($A163,'[93]12月'!$A:$H,8,0),0)</f>
        <v>19.940000000000001</v>
      </c>
      <c r="AK163" s="688">
        <f t="shared" si="75"/>
        <v>1538.7800000000002</v>
      </c>
    </row>
    <row r="164" spans="1:37" ht="13.5" customHeight="1">
      <c r="A164" s="653" t="str">
        <f>'Budget-合并'!A164</f>
        <v>6603.02.03.02</v>
      </c>
      <c r="B164" s="653" t="str">
        <f>'Budget-合并'!B164</f>
        <v>广州旭智--802房F028</v>
      </c>
      <c r="C164" s="687">
        <f>'Budget-合并'!C164</f>
        <v>0</v>
      </c>
      <c r="D164" s="676">
        <f t="shared" si="67"/>
        <v>0</v>
      </c>
      <c r="E164" s="676" t="e">
        <f>INDEX($Y164:AHV164,1,MATCH($E$6,$Y$6:$AJ$6))</f>
        <v>#N/A</v>
      </c>
      <c r="F164" s="676" t="e">
        <f t="shared" si="70"/>
        <v>#N/A</v>
      </c>
      <c r="G164" s="676">
        <f t="shared" ca="1" si="71"/>
        <v>0</v>
      </c>
      <c r="H164" s="676" t="e">
        <f t="shared" ca="1" si="72"/>
        <v>#N/A</v>
      </c>
      <c r="I164" s="676" t="e">
        <f t="shared" ca="1" si="73"/>
        <v>#N/A</v>
      </c>
      <c r="K164" s="676"/>
      <c r="L164" s="676"/>
      <c r="M164" s="676"/>
      <c r="N164" s="676"/>
      <c r="O164" s="676"/>
      <c r="P164" s="676"/>
      <c r="Q164" s="676"/>
      <c r="R164" s="676"/>
      <c r="S164" s="676"/>
      <c r="T164" s="676"/>
      <c r="U164" s="676"/>
      <c r="V164" s="676"/>
      <c r="W164" s="676">
        <f t="shared" si="74"/>
        <v>0</v>
      </c>
      <c r="Y164" s="688">
        <f>IFERROR(VLOOKUP(A164,'[93]1月'!$A:$H,8,0),0)</f>
        <v>0</v>
      </c>
      <c r="Z164" s="688">
        <f>IFERROR(VLOOKUP(A164,'[93]2月'!$A:$H,8,0),0)</f>
        <v>0</v>
      </c>
      <c r="AA164" s="688">
        <f>IFERROR(VLOOKUP($A164,'[93]3月'!$A:$H,8,0),0)</f>
        <v>0</v>
      </c>
      <c r="AB164" s="688">
        <f>IFERROR(VLOOKUP($A164,'[93]4月'!$A:$H,8,0),0)</f>
        <v>0</v>
      </c>
      <c r="AC164" s="688">
        <f>IFERROR(VLOOKUP($A164,'[93]5月'!$A:$H,8,0),0)</f>
        <v>0</v>
      </c>
      <c r="AD164" s="688">
        <f>IFERROR(VLOOKUP($A164,'[93]6月'!$A:$H,8,0),0)</f>
        <v>0</v>
      </c>
      <c r="AE164" s="688">
        <f>IFERROR(VLOOKUP($A164,'[93]7月'!$A:$H,8,0),0)</f>
        <v>0</v>
      </c>
      <c r="AF164" s="688">
        <f>IFERROR(VLOOKUP($A164,'[93]8月'!$A:$H,8,0),0)</f>
        <v>0</v>
      </c>
      <c r="AG164" s="688">
        <f>IFERROR(VLOOKUP($A164,'[93]9月'!$A:$H,8,0),0)</f>
        <v>0</v>
      </c>
      <c r="AH164" s="688">
        <f>IFERROR(VLOOKUP($A164,'[93]10月'!$A:$H,8,0),0)</f>
        <v>0</v>
      </c>
      <c r="AI164" s="688">
        <f>IFERROR(VLOOKUP($A164,'[93]11月'!$A:$H,8,0),0)</f>
        <v>0</v>
      </c>
      <c r="AJ164" s="688">
        <f>IFERROR(VLOOKUP($A164,'[93]12月'!$A:$H,8,0),0)</f>
        <v>0</v>
      </c>
      <c r="AK164" s="688">
        <f t="shared" si="75"/>
        <v>0</v>
      </c>
    </row>
    <row r="165" spans="1:37" ht="13.5" customHeight="1">
      <c r="A165" s="653" t="str">
        <f>'Budget-合并'!A165</f>
        <v>6603.03</v>
      </c>
      <c r="B165" s="653" t="str">
        <f>'Budget-合并'!B165</f>
        <v>银行手续费</v>
      </c>
      <c r="C165" s="687" t="str">
        <f>'Budget-合并'!C165</f>
        <v>Bank Charges</v>
      </c>
      <c r="D165" s="676">
        <f t="shared" si="67"/>
        <v>83.333333333333329</v>
      </c>
      <c r="E165" s="676" t="e">
        <f>INDEX($Y165:AHV165,1,MATCH($E$6,$Y$6:$AJ$6))</f>
        <v>#N/A</v>
      </c>
      <c r="F165" s="676" t="e">
        <f t="shared" si="70"/>
        <v>#N/A</v>
      </c>
      <c r="G165" s="676">
        <f t="shared" ca="1" si="71"/>
        <v>83.333333333333329</v>
      </c>
      <c r="H165" s="676" t="e">
        <f t="shared" ca="1" si="72"/>
        <v>#N/A</v>
      </c>
      <c r="I165" s="676" t="e">
        <f t="shared" ca="1" si="73"/>
        <v>#N/A</v>
      </c>
      <c r="K165" s="676">
        <f>SUMIFS('Other Exp'!AG$3:AG$196,'Other Exp'!$B$3:$B$196,$D$1,'Other Exp'!$C$3:$C$196,$A165)</f>
        <v>83.333333333333329</v>
      </c>
      <c r="L165" s="676">
        <f>SUMIFS('Other Exp'!AH$3:AH$196,'Other Exp'!$B$3:$B$196,$D$1,'Other Exp'!$C$3:$C$196,$A165)</f>
        <v>83.333333333333329</v>
      </c>
      <c r="M165" s="676">
        <f>SUMIFS('Other Exp'!AI$3:AI$196,'Other Exp'!$B$3:$B$196,$D$1,'Other Exp'!$C$3:$C$196,$A165)</f>
        <v>83.333333333333329</v>
      </c>
      <c r="N165" s="676">
        <f>SUMIFS('Other Exp'!AJ$3:AJ$196,'Other Exp'!$B$3:$B$196,$D$1,'Other Exp'!$C$3:$C$196,$A165)</f>
        <v>83.333333333333329</v>
      </c>
      <c r="O165" s="676">
        <f>SUMIFS('Other Exp'!AK$3:AK$196,'Other Exp'!$B$3:$B$196,$D$1,'Other Exp'!$C$3:$C$196,$A165)</f>
        <v>83.333333333333329</v>
      </c>
      <c r="P165" s="676">
        <f>SUMIFS('Other Exp'!AL$3:AL$196,'Other Exp'!$B$3:$B$196,$D$1,'Other Exp'!$C$3:$C$196,$A165)</f>
        <v>83.333333333333329</v>
      </c>
      <c r="Q165" s="676">
        <f>SUMIFS('Other Exp'!AM$3:AM$196,'Other Exp'!$B$3:$B$196,$D$1,'Other Exp'!$C$3:$C$196,$A165)</f>
        <v>83.333333333333329</v>
      </c>
      <c r="R165" s="676">
        <f>SUMIFS('Other Exp'!AN$3:AN$196,'Other Exp'!$B$3:$B$196,$D$1,'Other Exp'!$C$3:$C$196,$A165)</f>
        <v>83.333333333333329</v>
      </c>
      <c r="S165" s="676">
        <f>SUMIFS('Other Exp'!AO$3:AO$196,'Other Exp'!$B$3:$B$196,$D$1,'Other Exp'!$C$3:$C$196,$A165)</f>
        <v>83.333333333333329</v>
      </c>
      <c r="T165" s="676">
        <f>SUMIFS('Other Exp'!AP$3:AP$196,'Other Exp'!$B$3:$B$196,$D$1,'Other Exp'!$C$3:$C$196,$A165)</f>
        <v>83.333333333333329</v>
      </c>
      <c r="U165" s="676">
        <f>SUMIFS('Other Exp'!AQ$3:AQ$196,'Other Exp'!$B$3:$B$196,$D$1,'Other Exp'!$C$3:$C$196,$A165)</f>
        <v>83.333333333333329</v>
      </c>
      <c r="V165" s="676">
        <f>SUMIFS('Other Exp'!AR$3:AR$196,'Other Exp'!$B$3:$B$196,$D$1,'Other Exp'!$C$3:$C$196,$A165)</f>
        <v>83.333333333333329</v>
      </c>
      <c r="W165" s="676">
        <f t="shared" si="74"/>
        <v>1000.0000000000001</v>
      </c>
      <c r="Y165" s="688">
        <f>IFERROR(VLOOKUP(A165,'[93]1月'!$A:$H,8,0),0)</f>
        <v>4.5</v>
      </c>
      <c r="Z165" s="688">
        <f>IFERROR(VLOOKUP(A165,'[93]2月'!$A:$H,8,0),0)</f>
        <v>17</v>
      </c>
      <c r="AA165" s="688">
        <f>IFERROR(VLOOKUP($A165,'[93]3月'!$A:$H,8,0),0)</f>
        <v>12</v>
      </c>
      <c r="AB165" s="688">
        <f>IFERROR(VLOOKUP($A165,'[93]4月'!$A:$H,8,0),0)</f>
        <v>4.5</v>
      </c>
      <c r="AC165" s="688">
        <f>IFERROR(VLOOKUP($A165,'[93]5月'!$A:$H,8,0),0)</f>
        <v>27</v>
      </c>
      <c r="AD165" s="688">
        <f>IFERROR(VLOOKUP($A165,'[93]6月'!$A:$H,8,0),0)</f>
        <v>20.5</v>
      </c>
      <c r="AE165" s="688">
        <f>IFERROR(VLOOKUP($A165,'[93]7月'!$A:$H,8,0),0)</f>
        <v>197</v>
      </c>
      <c r="AF165" s="688">
        <f>IFERROR(VLOOKUP($A165,'[93]8月'!$A:$H,8,0),0)</f>
        <v>28</v>
      </c>
      <c r="AG165" s="688">
        <f>IFERROR(VLOOKUP($A165,'[93]9月'!$A:$H,8,0),0)</f>
        <v>25</v>
      </c>
      <c r="AH165" s="688">
        <f>IFERROR(VLOOKUP($A165,'[93]10月'!$A:$H,8,0),0)</f>
        <v>18</v>
      </c>
      <c r="AI165" s="688">
        <f>IFERROR(VLOOKUP($A165,'[93]11月'!$A:$H,8,0),0)</f>
        <v>33</v>
      </c>
      <c r="AJ165" s="688">
        <f>IFERROR(VLOOKUP($A165,'[93]12月'!$A:$H,8,0),0)</f>
        <v>50</v>
      </c>
      <c r="AK165" s="688">
        <f t="shared" si="75"/>
        <v>436.5</v>
      </c>
    </row>
    <row r="166" spans="1:37" ht="13.5" customHeight="1">
      <c r="A166" s="653" t="str">
        <f>'Budget-合并'!A166</f>
        <v>6603.04</v>
      </c>
      <c r="B166" s="653" t="str">
        <f>'Budget-合并'!B166</f>
        <v>利息收入</v>
      </c>
      <c r="C166" s="687" t="str">
        <f>'Budget-合并'!C166</f>
        <v>Bank Interest Income</v>
      </c>
      <c r="D166" s="676">
        <f t="shared" si="67"/>
        <v>0</v>
      </c>
      <c r="E166" s="676" t="e">
        <f>INDEX($Y166:AHV166,1,MATCH($E$6,$Y$6:$AJ$6))</f>
        <v>#N/A</v>
      </c>
      <c r="F166" s="676" t="e">
        <f t="shared" si="70"/>
        <v>#N/A</v>
      </c>
      <c r="G166" s="676">
        <f t="shared" ca="1" si="71"/>
        <v>0</v>
      </c>
      <c r="H166" s="676" t="e">
        <f t="shared" ca="1" si="72"/>
        <v>#N/A</v>
      </c>
      <c r="I166" s="676" t="e">
        <f t="shared" ca="1" si="73"/>
        <v>#N/A</v>
      </c>
      <c r="K166" s="676"/>
      <c r="L166" s="676"/>
      <c r="M166" s="676"/>
      <c r="N166" s="676"/>
      <c r="O166" s="676"/>
      <c r="P166" s="676"/>
      <c r="Q166" s="676"/>
      <c r="R166" s="676"/>
      <c r="S166" s="676"/>
      <c r="T166" s="676"/>
      <c r="U166" s="676"/>
      <c r="V166" s="676"/>
      <c r="W166" s="676">
        <f t="shared" si="74"/>
        <v>0</v>
      </c>
      <c r="Y166" s="688">
        <f>IFERROR(VLOOKUP(A166,'[93]1月'!$A:$H,8,0),0)</f>
        <v>-427.5</v>
      </c>
      <c r="Z166" s="688">
        <f>IFERROR(VLOOKUP(A166,'[93]2月'!$A:$H,8,0),0)</f>
        <v>-1446.25</v>
      </c>
      <c r="AA166" s="688">
        <f>IFERROR(VLOOKUP($A166,'[93]3月'!$A:$H,8,0),0)</f>
        <v>-17754.66</v>
      </c>
      <c r="AB166" s="688">
        <f>IFERROR(VLOOKUP($A166,'[93]4月'!$A:$H,8,0),0)</f>
        <v>-210</v>
      </c>
      <c r="AC166" s="688">
        <f>IFERROR(VLOOKUP($A166,'[93]5月'!$A:$H,8,0),0)</f>
        <v>-490</v>
      </c>
      <c r="AD166" s="688">
        <f>IFERROR(VLOOKUP($A166,'[93]6月'!$A:$H,8,0),0)</f>
        <v>-3388.59</v>
      </c>
      <c r="AE166" s="688">
        <f>IFERROR(VLOOKUP($A166,'[93]7月'!$A:$H,8,0),0)</f>
        <v>-180.56</v>
      </c>
      <c r="AF166" s="688">
        <f>IFERROR(VLOOKUP($A166,'[93]8月'!$A:$H,8,0),0)</f>
        <v>0</v>
      </c>
      <c r="AG166" s="688">
        <f>IFERROR(VLOOKUP($A166,'[93]9月'!$A:$H,8,0),0)</f>
        <v>-752.25</v>
      </c>
      <c r="AH166" s="688">
        <f>IFERROR(VLOOKUP($A166,'[93]10月'!$A:$H,8,0),0)</f>
        <v>0</v>
      </c>
      <c r="AI166" s="688">
        <f>IFERROR(VLOOKUP($A166,'[93]11月'!$A:$H,8,0),0)</f>
        <v>0</v>
      </c>
      <c r="AJ166" s="688">
        <f>IFERROR(VLOOKUP($A166,'[93]12月'!$A:$H,8,0),0)</f>
        <v>-3577.09</v>
      </c>
      <c r="AK166" s="688">
        <f t="shared" si="75"/>
        <v>-28226.9</v>
      </c>
    </row>
    <row r="167" spans="1:37" ht="13.5" customHeight="1">
      <c r="A167" s="663" t="str">
        <f>'Budget-合并'!A167</f>
        <v>6603.05</v>
      </c>
      <c r="B167" s="663" t="str">
        <f>'Budget-合并'!B167</f>
        <v>利息支出</v>
      </c>
      <c r="C167" s="687">
        <f>'Budget-合并'!C167</f>
        <v>0</v>
      </c>
      <c r="D167" s="676">
        <f t="shared" si="67"/>
        <v>0</v>
      </c>
      <c r="E167" s="676" t="e">
        <f>INDEX($Y167:AHV167,1,MATCH($E$6,$Y$6:$AJ$6))</f>
        <v>#N/A</v>
      </c>
      <c r="F167" s="676" t="e">
        <f t="shared" si="70"/>
        <v>#N/A</v>
      </c>
      <c r="G167" s="676">
        <f t="shared" ca="1" si="71"/>
        <v>0</v>
      </c>
      <c r="H167" s="676" t="e">
        <f t="shared" ca="1" si="72"/>
        <v>#N/A</v>
      </c>
      <c r="I167" s="676" t="e">
        <f t="shared" ca="1" si="73"/>
        <v>#N/A</v>
      </c>
      <c r="K167" s="676">
        <f>SUM(K168:K170)</f>
        <v>0</v>
      </c>
      <c r="L167" s="676">
        <f t="shared" ref="L167:V167" si="78">SUM(L168:L170)</f>
        <v>0</v>
      </c>
      <c r="M167" s="676">
        <f t="shared" si="78"/>
        <v>0</v>
      </c>
      <c r="N167" s="676">
        <f t="shared" si="78"/>
        <v>0</v>
      </c>
      <c r="O167" s="676">
        <f t="shared" si="78"/>
        <v>0</v>
      </c>
      <c r="P167" s="676">
        <f t="shared" si="78"/>
        <v>0</v>
      </c>
      <c r="Q167" s="676">
        <f t="shared" si="78"/>
        <v>0</v>
      </c>
      <c r="R167" s="676">
        <f t="shared" si="78"/>
        <v>0</v>
      </c>
      <c r="S167" s="676">
        <f t="shared" si="78"/>
        <v>0</v>
      </c>
      <c r="T167" s="676">
        <f t="shared" si="78"/>
        <v>0</v>
      </c>
      <c r="U167" s="676">
        <f t="shared" si="78"/>
        <v>0</v>
      </c>
      <c r="V167" s="676">
        <f t="shared" si="78"/>
        <v>0</v>
      </c>
      <c r="W167" s="676">
        <f t="shared" si="74"/>
        <v>0</v>
      </c>
      <c r="Y167" s="688">
        <f>IFERROR(VLOOKUP(A167,'[93]1月'!$A:$H,8,0),0)</f>
        <v>0</v>
      </c>
      <c r="Z167" s="688">
        <f>IFERROR(VLOOKUP(A167,'[93]2月'!$A:$H,8,0),0)</f>
        <v>0</v>
      </c>
      <c r="AA167" s="688">
        <f>IFERROR(VLOOKUP($A167,'[93]3月'!$A:$H,8,0),0)</f>
        <v>0</v>
      </c>
      <c r="AB167" s="688">
        <f>IFERROR(VLOOKUP($A167,'[93]4月'!$A:$H,8,0),0)</f>
        <v>0</v>
      </c>
      <c r="AC167" s="688">
        <f>IFERROR(VLOOKUP($A167,'[93]5月'!$A:$H,8,0),0)</f>
        <v>0</v>
      </c>
      <c r="AD167" s="688">
        <f>IFERROR(VLOOKUP($A167,'[93]6月'!$A:$H,8,0),0)</f>
        <v>0</v>
      </c>
      <c r="AE167" s="688">
        <f>IFERROR(VLOOKUP($A167,'[93]7月'!$A:$H,8,0),0)</f>
        <v>0</v>
      </c>
      <c r="AF167" s="688">
        <f>IFERROR(VLOOKUP($A167,'[93]8月'!$A:$H,8,0),0)</f>
        <v>0</v>
      </c>
      <c r="AG167" s="688">
        <f>IFERROR(VLOOKUP($A167,'[93]9月'!$A:$H,8,0),0)</f>
        <v>0</v>
      </c>
      <c r="AH167" s="688">
        <f>IFERROR(VLOOKUP($A167,'[93]10月'!$A:$H,8,0),0)</f>
        <v>0</v>
      </c>
      <c r="AI167" s="688">
        <f>IFERROR(VLOOKUP($A167,'[93]11月'!$A:$H,8,0),0)</f>
        <v>0</v>
      </c>
      <c r="AJ167" s="688">
        <f>IFERROR(VLOOKUP($A167,'[93]12月'!$A:$H,8,0),0)</f>
        <v>0</v>
      </c>
      <c r="AK167" s="688">
        <f t="shared" si="75"/>
        <v>0</v>
      </c>
    </row>
    <row r="168" spans="1:37" ht="13.5" customHeight="1">
      <c r="A168" s="653" t="str">
        <f>'Budget-合并'!A168</f>
        <v>6603.05.01</v>
      </c>
      <c r="B168" s="653" t="str">
        <f>'Budget-合并'!B168</f>
        <v>兴业金融租赁有限责任公司</v>
      </c>
      <c r="C168" s="687">
        <f>'Budget-合并'!C168</f>
        <v>0</v>
      </c>
      <c r="D168" s="676">
        <f t="shared" si="67"/>
        <v>0</v>
      </c>
      <c r="E168" s="676" t="e">
        <f>INDEX($Y168:AHV168,1,MATCH($E$6,$Y$6:$AJ$6))</f>
        <v>#N/A</v>
      </c>
      <c r="F168" s="676" t="e">
        <f t="shared" si="70"/>
        <v>#N/A</v>
      </c>
      <c r="G168" s="676">
        <f t="shared" ca="1" si="71"/>
        <v>0</v>
      </c>
      <c r="H168" s="676" t="e">
        <f t="shared" ca="1" si="72"/>
        <v>#N/A</v>
      </c>
      <c r="I168" s="676" t="e">
        <f t="shared" ca="1" si="73"/>
        <v>#N/A</v>
      </c>
      <c r="K168" s="676"/>
      <c r="L168" s="676"/>
      <c r="M168" s="676"/>
      <c r="N168" s="676"/>
      <c r="O168" s="676"/>
      <c r="P168" s="676"/>
      <c r="Q168" s="676"/>
      <c r="R168" s="676"/>
      <c r="S168" s="676"/>
      <c r="T168" s="676"/>
      <c r="U168" s="676"/>
      <c r="V168" s="676"/>
      <c r="W168" s="676">
        <f t="shared" si="74"/>
        <v>0</v>
      </c>
      <c r="Y168" s="688">
        <f>IFERROR(VLOOKUP(A168,'[93]1月'!$A:$H,8,0),0)</f>
        <v>0</v>
      </c>
      <c r="Z168" s="688">
        <f>IFERROR(VLOOKUP(A168,'[93]2月'!$A:$H,8,0),0)</f>
        <v>0</v>
      </c>
      <c r="AA168" s="688">
        <f>IFERROR(VLOOKUP($A168,'[93]3月'!$A:$H,8,0),0)</f>
        <v>0</v>
      </c>
      <c r="AB168" s="688">
        <f>IFERROR(VLOOKUP($A168,'[93]4月'!$A:$H,8,0),0)</f>
        <v>0</v>
      </c>
      <c r="AC168" s="688">
        <f>IFERROR(VLOOKUP($A168,'[93]5月'!$A:$H,8,0),0)</f>
        <v>0</v>
      </c>
      <c r="AD168" s="688">
        <f>IFERROR(VLOOKUP($A168,'[93]6月'!$A:$H,8,0),0)</f>
        <v>0</v>
      </c>
      <c r="AE168" s="688">
        <f>IFERROR(VLOOKUP($A168,'[93]7月'!$A:$H,8,0),0)</f>
        <v>0</v>
      </c>
      <c r="AF168" s="688">
        <f>IFERROR(VLOOKUP($A168,'[93]8月'!$A:$H,8,0),0)</f>
        <v>0</v>
      </c>
      <c r="AG168" s="688">
        <f>IFERROR(VLOOKUP($A168,'[93]9月'!$A:$H,8,0),0)</f>
        <v>0</v>
      </c>
      <c r="AH168" s="688">
        <f>IFERROR(VLOOKUP($A168,'[93]10月'!$A:$H,8,0),0)</f>
        <v>0</v>
      </c>
      <c r="AI168" s="688">
        <f>IFERROR(VLOOKUP($A168,'[93]11月'!$A:$H,8,0),0)</f>
        <v>0</v>
      </c>
      <c r="AJ168" s="688">
        <f>IFERROR(VLOOKUP($A168,'[93]12月'!$A:$H,8,0),0)</f>
        <v>0</v>
      </c>
      <c r="AK168" s="688">
        <f t="shared" si="75"/>
        <v>0</v>
      </c>
    </row>
    <row r="169" spans="1:37" ht="13.5" customHeight="1">
      <c r="A169" s="653" t="str">
        <f>'Budget-合并'!A169</f>
        <v>6603.05.02</v>
      </c>
      <c r="B169" s="653" t="str">
        <f>'Budget-合并'!B169</f>
        <v>湖南三一智慧新能源设计有限公司</v>
      </c>
      <c r="C169" s="687">
        <f>'Budget-合并'!C169</f>
        <v>0</v>
      </c>
      <c r="D169" s="676">
        <f t="shared" si="67"/>
        <v>0</v>
      </c>
      <c r="E169" s="676" t="e">
        <f>INDEX($Y169:AHV169,1,MATCH($E$6,$Y$6:$AJ$6))</f>
        <v>#N/A</v>
      </c>
      <c r="F169" s="676" t="e">
        <f t="shared" si="70"/>
        <v>#N/A</v>
      </c>
      <c r="G169" s="676">
        <f t="shared" ca="1" si="71"/>
        <v>0</v>
      </c>
      <c r="H169" s="676" t="e">
        <f t="shared" ca="1" si="72"/>
        <v>#N/A</v>
      </c>
      <c r="I169" s="676" t="e">
        <f t="shared" ca="1" si="73"/>
        <v>#N/A</v>
      </c>
      <c r="K169" s="676"/>
      <c r="L169" s="676"/>
      <c r="M169" s="676"/>
      <c r="N169" s="676"/>
      <c r="O169" s="676"/>
      <c r="P169" s="676"/>
      <c r="Q169" s="676"/>
      <c r="R169" s="676"/>
      <c r="S169" s="676"/>
      <c r="T169" s="676"/>
      <c r="U169" s="676"/>
      <c r="V169" s="676"/>
      <c r="W169" s="676">
        <f t="shared" si="74"/>
        <v>0</v>
      </c>
      <c r="Y169" s="688">
        <f>IFERROR(VLOOKUP(A169,'[93]1月'!$A:$H,8,0),0)</f>
        <v>0</v>
      </c>
      <c r="Z169" s="688">
        <f>IFERROR(VLOOKUP(A169,'[93]2月'!$A:$H,8,0),0)</f>
        <v>0</v>
      </c>
      <c r="AA169" s="688">
        <f>IFERROR(VLOOKUP($A169,'[93]3月'!$A:$H,8,0),0)</f>
        <v>0</v>
      </c>
      <c r="AB169" s="688">
        <f>IFERROR(VLOOKUP($A169,'[93]4月'!$A:$H,8,0),0)</f>
        <v>0</v>
      </c>
      <c r="AC169" s="688">
        <f>IFERROR(VLOOKUP($A169,'[93]5月'!$A:$H,8,0),0)</f>
        <v>0</v>
      </c>
      <c r="AD169" s="688">
        <f>IFERROR(VLOOKUP($A169,'[93]6月'!$A:$H,8,0),0)</f>
        <v>0</v>
      </c>
      <c r="AE169" s="688">
        <f>IFERROR(VLOOKUP($A169,'[93]7月'!$A:$H,8,0),0)</f>
        <v>0</v>
      </c>
      <c r="AF169" s="688">
        <f>IFERROR(VLOOKUP($A169,'[93]8月'!$A:$H,8,0),0)</f>
        <v>0</v>
      </c>
      <c r="AG169" s="688">
        <f>IFERROR(VLOOKUP($A169,'[93]9月'!$A:$H,8,0),0)</f>
        <v>0</v>
      </c>
      <c r="AH169" s="688">
        <f>IFERROR(VLOOKUP($A169,'[93]10月'!$A:$H,8,0),0)</f>
        <v>0</v>
      </c>
      <c r="AI169" s="688">
        <f>IFERROR(VLOOKUP($A169,'[93]11月'!$A:$H,8,0),0)</f>
        <v>0</v>
      </c>
      <c r="AJ169" s="688">
        <f>IFERROR(VLOOKUP($A169,'[93]12月'!$A:$H,8,0),0)</f>
        <v>0</v>
      </c>
      <c r="AK169" s="688">
        <f t="shared" si="75"/>
        <v>0</v>
      </c>
    </row>
    <row r="170" spans="1:37" ht="13.5" customHeight="1">
      <c r="A170" s="653" t="str">
        <f>'Budget-合并'!A170</f>
        <v>6603.05.03</v>
      </c>
      <c r="B170" s="653" t="str">
        <f>'Budget-合并'!B170</f>
        <v>和谐天明投资管理(北京)有限公司</v>
      </c>
      <c r="C170" s="687"/>
      <c r="D170" s="676"/>
      <c r="E170" s="676" t="e">
        <f>INDEX($Y170:AHV170,1,MATCH($E$6,$Y$6:$AJ$6))</f>
        <v>#N/A</v>
      </c>
      <c r="F170" s="676" t="e">
        <f t="shared" si="70"/>
        <v>#N/A</v>
      </c>
      <c r="G170" s="676"/>
      <c r="H170" s="676" t="e">
        <f t="shared" ca="1" si="72"/>
        <v>#N/A</v>
      </c>
      <c r="I170" s="676" t="e">
        <f t="shared" ca="1" si="73"/>
        <v>#N/A</v>
      </c>
      <c r="K170" s="676"/>
      <c r="L170" s="676"/>
      <c r="M170" s="676"/>
      <c r="N170" s="676"/>
      <c r="O170" s="676"/>
      <c r="P170" s="676"/>
      <c r="Q170" s="676"/>
      <c r="R170" s="676"/>
      <c r="S170" s="676"/>
      <c r="T170" s="676"/>
      <c r="U170" s="676"/>
      <c r="V170" s="676"/>
      <c r="W170" s="676"/>
      <c r="Y170" s="688">
        <f>IFERROR(VLOOKUP(A170,'[93]1月'!$A:$H,8,0),0)</f>
        <v>0</v>
      </c>
      <c r="Z170" s="688">
        <f>IFERROR(VLOOKUP(A170,'[93]2月'!$A:$H,8,0),0)</f>
        <v>0</v>
      </c>
      <c r="AA170" s="688">
        <f>IFERROR(VLOOKUP($A170,'[93]3月'!$A:$H,8,0),0)</f>
        <v>0</v>
      </c>
      <c r="AB170" s="688">
        <f>IFERROR(VLOOKUP($A170,'[93]4月'!$A:$H,8,0),0)</f>
        <v>0</v>
      </c>
      <c r="AC170" s="688">
        <f>IFERROR(VLOOKUP($A170,'[93]5月'!$A:$H,8,0),0)</f>
        <v>0</v>
      </c>
      <c r="AD170" s="688">
        <f>IFERROR(VLOOKUP($A170,'[93]6月'!$A:$H,8,0),0)</f>
        <v>0</v>
      </c>
      <c r="AE170" s="688">
        <f>IFERROR(VLOOKUP($A170,'[93]7月'!$A:$H,8,0),0)</f>
        <v>0</v>
      </c>
      <c r="AF170" s="688">
        <f>IFERROR(VLOOKUP($A170,'[93]8月'!$A:$H,8,0),0)</f>
        <v>0</v>
      </c>
      <c r="AG170" s="688">
        <f>IFERROR(VLOOKUP($A170,'[93]9月'!$A:$H,8,0),0)</f>
        <v>0</v>
      </c>
      <c r="AH170" s="688">
        <f>IFERROR(VLOOKUP($A170,'[93]10月'!$A:$H,8,0),0)</f>
        <v>0</v>
      </c>
      <c r="AI170" s="688">
        <f>IFERROR(VLOOKUP($A170,'[93]11月'!$A:$H,8,0),0)</f>
        <v>0</v>
      </c>
      <c r="AJ170" s="688">
        <f>IFERROR(VLOOKUP($A170,'[93]12月'!$A:$H,8,0),0)</f>
        <v>0</v>
      </c>
      <c r="AK170" s="688">
        <f t="shared" si="75"/>
        <v>0</v>
      </c>
    </row>
    <row r="171" spans="1:37" ht="13.5" customHeight="1">
      <c r="A171" s="653" t="str">
        <f>'Budget-合并'!A171</f>
        <v>6603.99</v>
      </c>
      <c r="B171" s="653" t="str">
        <f>'Budget-合并'!B171</f>
        <v>其他</v>
      </c>
      <c r="C171" s="687">
        <f>'Budget-合并'!C171</f>
        <v>0</v>
      </c>
      <c r="D171" s="676">
        <f>INDEX($K171:$V171,1,MATCH($D$6,$K$6:$V$6))</f>
        <v>0</v>
      </c>
      <c r="E171" s="676" t="e">
        <f>INDEX($Y171:AHV171,1,MATCH($E$6,$Y$6:$AJ$6))</f>
        <v>#N/A</v>
      </c>
      <c r="F171" s="676" t="e">
        <f t="shared" si="70"/>
        <v>#N/A</v>
      </c>
      <c r="G171" s="676">
        <f ca="1">SUM($K171:OFFSET($K171,0,MATCH(G$6,$K$6:$V$6)-1))</f>
        <v>0</v>
      </c>
      <c r="H171" s="676" t="e">
        <f t="shared" ca="1" si="72"/>
        <v>#N/A</v>
      </c>
      <c r="I171" s="676" t="e">
        <f t="shared" ca="1" si="73"/>
        <v>#N/A</v>
      </c>
      <c r="K171" s="676">
        <f t="shared" ref="K171:V171" si="79">SUM(K161:K164,K168,K169)</f>
        <v>0</v>
      </c>
      <c r="L171" s="676">
        <f t="shared" si="79"/>
        <v>0</v>
      </c>
      <c r="M171" s="676">
        <f t="shared" si="79"/>
        <v>0</v>
      </c>
      <c r="N171" s="676">
        <f t="shared" si="79"/>
        <v>0</v>
      </c>
      <c r="O171" s="676">
        <f t="shared" si="79"/>
        <v>0</v>
      </c>
      <c r="P171" s="676">
        <f t="shared" si="79"/>
        <v>0</v>
      </c>
      <c r="Q171" s="676">
        <f t="shared" si="79"/>
        <v>0</v>
      </c>
      <c r="R171" s="676">
        <f t="shared" si="79"/>
        <v>0</v>
      </c>
      <c r="S171" s="676">
        <f t="shared" si="79"/>
        <v>0</v>
      </c>
      <c r="T171" s="676">
        <f t="shared" si="79"/>
        <v>0</v>
      </c>
      <c r="U171" s="676">
        <f t="shared" si="79"/>
        <v>0</v>
      </c>
      <c r="V171" s="676">
        <f t="shared" si="79"/>
        <v>0</v>
      </c>
      <c r="W171" s="676">
        <f>SUM(K171:V171)</f>
        <v>0</v>
      </c>
      <c r="Y171" s="688">
        <f>IFERROR(VLOOKUP(A171,'[93]1月'!$A:$H,8,0),0)</f>
        <v>0</v>
      </c>
      <c r="Z171" s="688">
        <f>IFERROR(VLOOKUP(A171,'[93]2月'!$A:$H,8,0),0)</f>
        <v>0</v>
      </c>
      <c r="AA171" s="688">
        <f>IFERROR(VLOOKUP($A171,'[93]3月'!$A:$H,8,0),0)</f>
        <v>0</v>
      </c>
      <c r="AB171" s="688">
        <f>IFERROR(VLOOKUP($A171,'[93]4月'!$A:$H,8,0),0)</f>
        <v>0</v>
      </c>
      <c r="AC171" s="688">
        <f>IFERROR(VLOOKUP($A171,'[93]5月'!$A:$H,8,0),0)</f>
        <v>0</v>
      </c>
      <c r="AD171" s="688">
        <f>IFERROR(VLOOKUP($A171,'[93]6月'!$A:$H,8,0),0)</f>
        <v>0</v>
      </c>
      <c r="AE171" s="688">
        <f>IFERROR(VLOOKUP($A171,'[93]7月'!$A:$H,8,0),0)</f>
        <v>0</v>
      </c>
      <c r="AF171" s="688">
        <f>IFERROR(VLOOKUP($A171,'[93]8月'!$A:$H,8,0),0)</f>
        <v>0</v>
      </c>
      <c r="AG171" s="688">
        <f>IFERROR(VLOOKUP($A171,'[93]9月'!$A:$H,8,0),0)</f>
        <v>0</v>
      </c>
      <c r="AH171" s="688">
        <f>IFERROR(VLOOKUP($A171,'[93]10月'!$A:$H,8,0),0)</f>
        <v>0</v>
      </c>
      <c r="AI171" s="688">
        <f>IFERROR(VLOOKUP($A171,'[93]11月'!$A:$H,8,0),0)</f>
        <v>0</v>
      </c>
      <c r="AJ171" s="688">
        <f>IFERROR(VLOOKUP($A171,'[93]12月'!$A:$H,8,0),0)</f>
        <v>0</v>
      </c>
      <c r="AK171" s="688">
        <f t="shared" si="75"/>
        <v>0</v>
      </c>
    </row>
    <row r="172" spans="1:37" ht="13.5" customHeight="1">
      <c r="A172" s="686">
        <f>'Budget-合并'!A172</f>
        <v>0</v>
      </c>
      <c r="B172" s="686" t="str">
        <f>'Budget-合并'!B172</f>
        <v>财务费用合计</v>
      </c>
      <c r="C172" s="687">
        <f>'Budget-合并'!C172</f>
        <v>0</v>
      </c>
      <c r="D172" s="677">
        <f>INDEX($K172:$V172,1,MATCH($D$6,$K$6:$V$6))</f>
        <v>83.333333333333329</v>
      </c>
      <c r="E172" s="677" t="e">
        <f>INDEX($Y172:AHV172,1,MATCH($E$6,$Y$6:$AJ$6))</f>
        <v>#N/A</v>
      </c>
      <c r="F172" s="677" t="e">
        <f t="shared" si="70"/>
        <v>#N/A</v>
      </c>
      <c r="G172" s="677">
        <f ca="1">SUM($K172:OFFSET($K172,0,MATCH(G$6,$K$6:$V$6)-1))</f>
        <v>83.333333333333329</v>
      </c>
      <c r="H172" s="677" t="e">
        <f t="shared" ca="1" si="72"/>
        <v>#N/A</v>
      </c>
      <c r="I172" s="677" t="e">
        <f t="shared" ca="1" si="73"/>
        <v>#N/A</v>
      </c>
      <c r="K172" s="677">
        <f t="shared" ref="K172:W172" si="80">SUM(K156,K157,K165:K167,K171)</f>
        <v>83.333333333333329</v>
      </c>
      <c r="L172" s="677">
        <f t="shared" si="80"/>
        <v>83.333333333333329</v>
      </c>
      <c r="M172" s="677">
        <f t="shared" si="80"/>
        <v>83.333333333333329</v>
      </c>
      <c r="N172" s="677">
        <f t="shared" si="80"/>
        <v>83.333333333333329</v>
      </c>
      <c r="O172" s="677">
        <f t="shared" si="80"/>
        <v>83.333333333333329</v>
      </c>
      <c r="P172" s="677">
        <f t="shared" si="80"/>
        <v>83.333333333333329</v>
      </c>
      <c r="Q172" s="677">
        <f t="shared" si="80"/>
        <v>83.333333333333329</v>
      </c>
      <c r="R172" s="677">
        <f t="shared" si="80"/>
        <v>83.333333333333329</v>
      </c>
      <c r="S172" s="677">
        <f t="shared" si="80"/>
        <v>83.333333333333329</v>
      </c>
      <c r="T172" s="677">
        <f t="shared" si="80"/>
        <v>83.333333333333329</v>
      </c>
      <c r="U172" s="677">
        <f t="shared" si="80"/>
        <v>83.333333333333329</v>
      </c>
      <c r="V172" s="677">
        <f t="shared" si="80"/>
        <v>83.333333333333329</v>
      </c>
      <c r="W172" s="677">
        <f t="shared" si="80"/>
        <v>1000.0000000000001</v>
      </c>
      <c r="Y172" s="677">
        <f>SUM(Y156,Y157,Y165:Y167,Y171)</f>
        <v>-183.5</v>
      </c>
      <c r="Z172" s="677">
        <f t="shared" ref="Z172:AK172" si="81">SUM(Z156,Z157,Z165:Z167,Z171)</f>
        <v>-1214.69</v>
      </c>
      <c r="AA172" s="677">
        <f t="shared" si="81"/>
        <v>-17546.07</v>
      </c>
      <c r="AB172" s="677">
        <f t="shared" si="81"/>
        <v>-32.109999999999985</v>
      </c>
      <c r="AC172" s="677">
        <f t="shared" si="81"/>
        <v>-296.3</v>
      </c>
      <c r="AD172" s="677">
        <f t="shared" si="81"/>
        <v>-3226.3500000000004</v>
      </c>
      <c r="AE172" s="677">
        <f t="shared" si="81"/>
        <v>136.11000000000001</v>
      </c>
      <c r="AF172" s="677">
        <f t="shared" si="81"/>
        <v>126.57</v>
      </c>
      <c r="AG172" s="677">
        <f t="shared" si="81"/>
        <v>-648.85</v>
      </c>
      <c r="AH172" s="677">
        <f t="shared" si="81"/>
        <v>78.210000000000008</v>
      </c>
      <c r="AI172" s="677">
        <f t="shared" si="81"/>
        <v>74.63</v>
      </c>
      <c r="AJ172" s="677">
        <f t="shared" si="81"/>
        <v>-3502.13</v>
      </c>
      <c r="AK172" s="677">
        <f t="shared" si="81"/>
        <v>-26234.48</v>
      </c>
    </row>
    <row r="173" spans="1:37" ht="13.5" customHeight="1">
      <c r="A173" s="653">
        <f>'Budget-合并'!A173</f>
        <v>0</v>
      </c>
      <c r="B173" s="653">
        <f>'Budget-合并'!B173</f>
        <v>0</v>
      </c>
      <c r="C173" s="687">
        <f>'Budget-合并'!C173</f>
        <v>0</v>
      </c>
    </row>
    <row r="174" spans="1:37" ht="13.5" customHeight="1">
      <c r="A174" s="653" t="str">
        <f>'Budget-合并'!A174</f>
        <v>6051</v>
      </c>
      <c r="B174" s="653" t="str">
        <f>'Budget-合并'!B174</f>
        <v>其他业务收入</v>
      </c>
      <c r="C174" s="687">
        <f>'Budget-合并'!C174</f>
        <v>0</v>
      </c>
      <c r="D174" s="676">
        <f t="shared" ref="D174:D183" si="82">INDEX($K174:$V174,1,MATCH($D$6,$K$6:$V$6))</f>
        <v>0</v>
      </c>
      <c r="E174" s="676" t="e">
        <f>INDEX($Y174:AHV174,1,MATCH($E$6,$Y$6:$AJ$6))</f>
        <v>#N/A</v>
      </c>
      <c r="F174" s="676" t="e">
        <f t="shared" ref="F174:F183" si="83">D174-E174</f>
        <v>#N/A</v>
      </c>
      <c r="G174" s="676">
        <f t="shared" ref="G174:G183" ca="1" si="84">SUM($K174:OFFSET($K174,0,MATCH(G$6,$K$6:$V$6)-1))</f>
        <v>0</v>
      </c>
      <c r="H174" s="676" t="e">
        <f t="shared" ref="H174:H183" ca="1" si="85">SUM($Y174:OFFSET($Y174,0,MATCH(H$6,$Y$6:$AJ$6)-1))</f>
        <v>#N/A</v>
      </c>
      <c r="I174" s="676" t="e">
        <f t="shared" ref="I174:I183" ca="1" si="86">G174-H174</f>
        <v>#N/A</v>
      </c>
      <c r="K174" s="676"/>
      <c r="L174" s="676"/>
      <c r="M174" s="676"/>
      <c r="N174" s="676"/>
      <c r="O174" s="676"/>
      <c r="P174" s="676"/>
      <c r="Q174" s="676"/>
      <c r="R174" s="676"/>
      <c r="S174" s="676"/>
      <c r="T174" s="676"/>
      <c r="U174" s="676"/>
      <c r="V174" s="676"/>
      <c r="W174" s="676">
        <f t="shared" ref="W174:W182" si="87">SUM(K174:V174)</f>
        <v>0</v>
      </c>
      <c r="Y174" s="688">
        <f>IFERROR(VLOOKUP(A174,'[93]1月'!$A:$H,8,0),0)</f>
        <v>0</v>
      </c>
      <c r="Z174" s="688">
        <f>IFERROR(VLOOKUP(A174,'[93]2月'!$A:$H,8,0),0)</f>
        <v>0</v>
      </c>
      <c r="AA174" s="688">
        <f>IFERROR(VLOOKUP($A174,'[93]3月'!$A:$H,8,0),0)</f>
        <v>0</v>
      </c>
      <c r="AB174" s="688">
        <f>IFERROR(VLOOKUP($A174,'[93]4月'!$A:$H,8,0),0)</f>
        <v>0</v>
      </c>
      <c r="AC174" s="688">
        <f>IFERROR(VLOOKUP($A174,'[93]5月'!$A:$H,8,0),0)</f>
        <v>0</v>
      </c>
      <c r="AD174" s="688">
        <f>IFERROR(VLOOKUP($A174,'[93]6月'!$A:$H,8,0),0)</f>
        <v>0</v>
      </c>
      <c r="AE174" s="688">
        <f>IFERROR(VLOOKUP($A174,'[93]7月'!$A:$H,8,0),0)</f>
        <v>0</v>
      </c>
      <c r="AF174" s="688">
        <f>IFERROR(VLOOKUP($A174,'[93]8月'!$A:$H,8,0),0)</f>
        <v>0</v>
      </c>
      <c r="AG174" s="688">
        <f>IFERROR(VLOOKUP($A174,'[93]9月'!$A:$H,8,0),0)</f>
        <v>0</v>
      </c>
      <c r="AH174" s="688">
        <f>IFERROR(VLOOKUP($A174,'[93]10月'!$A:$H,8,0),0)</f>
        <v>0</v>
      </c>
      <c r="AI174" s="688">
        <f>IFERROR(VLOOKUP($A174,'[93]11月'!$A:$H,8,0),0)</f>
        <v>0</v>
      </c>
      <c r="AJ174" s="688">
        <f>IFERROR(VLOOKUP($A174,'[93]12月'!$A:$H,8,0),0)</f>
        <v>0</v>
      </c>
      <c r="AK174" s="688">
        <f t="shared" ref="AK174:AK182" si="88">SUM(Y174:AJ174)</f>
        <v>0</v>
      </c>
    </row>
    <row r="175" spans="1:37" ht="13.5" customHeight="1">
      <c r="A175" s="653" t="str">
        <f>'Budget-合并'!A175</f>
        <v>6101</v>
      </c>
      <c r="B175" s="653" t="str">
        <f>'Budget-合并'!B175</f>
        <v>公允价值变动损益</v>
      </c>
      <c r="C175" s="687">
        <f>'Budget-合并'!C175</f>
        <v>0</v>
      </c>
      <c r="D175" s="676">
        <f t="shared" si="82"/>
        <v>0</v>
      </c>
      <c r="E175" s="676" t="e">
        <f>INDEX($Y175:AHV175,1,MATCH($E$6,$Y$6:$AJ$6))</f>
        <v>#N/A</v>
      </c>
      <c r="F175" s="676" t="e">
        <f t="shared" si="83"/>
        <v>#N/A</v>
      </c>
      <c r="G175" s="676">
        <f t="shared" ca="1" si="84"/>
        <v>0</v>
      </c>
      <c r="H175" s="676" t="e">
        <f t="shared" ca="1" si="85"/>
        <v>#N/A</v>
      </c>
      <c r="I175" s="676" t="e">
        <f t="shared" ca="1" si="86"/>
        <v>#N/A</v>
      </c>
      <c r="K175" s="676"/>
      <c r="L175" s="676"/>
      <c r="M175" s="676"/>
      <c r="N175" s="676"/>
      <c r="O175" s="676"/>
      <c r="P175" s="676"/>
      <c r="Q175" s="676"/>
      <c r="R175" s="676"/>
      <c r="S175" s="676"/>
      <c r="T175" s="676"/>
      <c r="U175" s="676"/>
      <c r="V175" s="676"/>
      <c r="W175" s="676">
        <f t="shared" si="87"/>
        <v>0</v>
      </c>
      <c r="Y175" s="688">
        <f>IFERROR(VLOOKUP(A175,'[93]1月'!$A:$H,8,0),0)</f>
        <v>0</v>
      </c>
      <c r="Z175" s="688">
        <f>IFERROR(VLOOKUP(A175,'[93]2月'!$A:$H,8,0),0)</f>
        <v>0</v>
      </c>
      <c r="AA175" s="688">
        <f>IFERROR(VLOOKUP($A175,'[93]3月'!$A:$H,8,0),0)</f>
        <v>0</v>
      </c>
      <c r="AB175" s="688">
        <f>IFERROR(VLOOKUP($A175,'[93]4月'!$A:$H,8,0),0)</f>
        <v>0</v>
      </c>
      <c r="AC175" s="688">
        <f>IFERROR(VLOOKUP($A175,'[93]5月'!$A:$H,8,0),0)</f>
        <v>0</v>
      </c>
      <c r="AD175" s="688">
        <f>IFERROR(VLOOKUP($A175,'[93]6月'!$A:$H,8,0),0)</f>
        <v>0</v>
      </c>
      <c r="AE175" s="688">
        <f>IFERROR(VLOOKUP($A175,'[93]7月'!$A:$H,8,0),0)</f>
        <v>0</v>
      </c>
      <c r="AF175" s="688">
        <f>IFERROR(VLOOKUP($A175,'[93]8月'!$A:$H,8,0),0)</f>
        <v>0</v>
      </c>
      <c r="AG175" s="688">
        <f>IFERROR(VLOOKUP($A175,'[93]9月'!$A:$H,8,0),0)</f>
        <v>0</v>
      </c>
      <c r="AH175" s="688">
        <f>IFERROR(VLOOKUP($A175,'[93]10月'!$A:$H,8,0),0)</f>
        <v>0</v>
      </c>
      <c r="AI175" s="688">
        <f>IFERROR(VLOOKUP($A175,'[93]11月'!$A:$H,8,0),0)</f>
        <v>0</v>
      </c>
      <c r="AJ175" s="688">
        <f>IFERROR(VLOOKUP($A175,'[93]12月'!$A:$H,8,0),0)</f>
        <v>0</v>
      </c>
      <c r="AK175" s="688">
        <f t="shared" si="88"/>
        <v>0</v>
      </c>
    </row>
    <row r="176" spans="1:37" ht="13.5" customHeight="1">
      <c r="A176" s="653" t="str">
        <f>'Budget-合并'!A176</f>
        <v>6111</v>
      </c>
      <c r="B176" s="653" t="str">
        <f>'Budget-合并'!B176</f>
        <v>投资收益</v>
      </c>
      <c r="C176" s="687" t="str">
        <f>'Budget-合并'!C176</f>
        <v>Gain on investment</v>
      </c>
      <c r="D176" s="676">
        <f t="shared" si="82"/>
        <v>0</v>
      </c>
      <c r="E176" s="676" t="e">
        <f>INDEX($Y176:AHV176,1,MATCH($E$6,$Y$6:$AJ$6))</f>
        <v>#N/A</v>
      </c>
      <c r="F176" s="676" t="e">
        <f t="shared" si="83"/>
        <v>#N/A</v>
      </c>
      <c r="G176" s="676">
        <f t="shared" ca="1" si="84"/>
        <v>0</v>
      </c>
      <c r="H176" s="676" t="e">
        <f t="shared" ca="1" si="85"/>
        <v>#N/A</v>
      </c>
      <c r="I176" s="676" t="e">
        <f t="shared" ca="1" si="86"/>
        <v>#N/A</v>
      </c>
      <c r="K176" s="676"/>
      <c r="L176" s="676"/>
      <c r="M176" s="676"/>
      <c r="N176" s="676"/>
      <c r="O176" s="676"/>
      <c r="P176" s="676"/>
      <c r="Q176" s="676"/>
      <c r="R176" s="676"/>
      <c r="S176" s="676"/>
      <c r="T176" s="676"/>
      <c r="U176" s="676"/>
      <c r="V176" s="676"/>
      <c r="W176" s="676">
        <f t="shared" si="87"/>
        <v>0</v>
      </c>
      <c r="Y176" s="688">
        <f>IFERROR(VLOOKUP(A176,'[93]1月'!$A:$H,8,0),0)</f>
        <v>0</v>
      </c>
      <c r="Z176" s="688">
        <f>IFERROR(VLOOKUP(A176,'[93]2月'!$A:$H,8,0),0)</f>
        <v>0</v>
      </c>
      <c r="AA176" s="688">
        <f>IFERROR(VLOOKUP($A176,'[93]3月'!$A:$H,8,0),0)</f>
        <v>0</v>
      </c>
      <c r="AB176" s="688">
        <f>IFERROR(VLOOKUP($A176,'[93]4月'!$A:$H,8,0),0)</f>
        <v>0</v>
      </c>
      <c r="AC176" s="688">
        <f>IFERROR(VLOOKUP($A176,'[93]5月'!$A:$H,8,0),0)</f>
        <v>3873.49</v>
      </c>
      <c r="AD176" s="688">
        <f>IFERROR(VLOOKUP($A176,'[93]6月'!$A:$H,8,0),0)</f>
        <v>0</v>
      </c>
      <c r="AE176" s="688">
        <f>IFERROR(VLOOKUP($A176,'[93]7月'!$A:$H,8,0),0)</f>
        <v>2297.0300000000002</v>
      </c>
      <c r="AF176" s="688">
        <f>IFERROR(VLOOKUP($A176,'[93]8月'!$A:$H,8,0),0)</f>
        <v>0</v>
      </c>
      <c r="AG176" s="688">
        <f>IFERROR(VLOOKUP($A176,'[93]9月'!$A:$H,8,0),0)</f>
        <v>2250.2199999999998</v>
      </c>
      <c r="AH176" s="688">
        <f>IFERROR(VLOOKUP($A176,'[93]10月'!$A:$H,8,0),0)</f>
        <v>2105.1</v>
      </c>
      <c r="AI176" s="688">
        <f>IFERROR(VLOOKUP($A176,'[93]11月'!$A:$H,8,0),0)</f>
        <v>0</v>
      </c>
      <c r="AJ176" s="688">
        <f>IFERROR(VLOOKUP($A176,'[93]12月'!$A:$H,8,0),0)</f>
        <v>0</v>
      </c>
      <c r="AK176" s="688">
        <f t="shared" si="88"/>
        <v>10525.84</v>
      </c>
    </row>
    <row r="177" spans="1:37" ht="13.5" customHeight="1">
      <c r="A177" s="663" t="str">
        <f>'Budget-合并'!A177</f>
        <v>6115</v>
      </c>
      <c r="B177" s="663" t="str">
        <f>'Budget-合并'!B177</f>
        <v>其他收益</v>
      </c>
      <c r="C177" s="687" t="str">
        <f>'Budget-合并'!C177</f>
        <v>Other income</v>
      </c>
      <c r="D177" s="676">
        <f t="shared" si="82"/>
        <v>0</v>
      </c>
      <c r="E177" s="676" t="e">
        <f>INDEX($Y177:AHV177,1,MATCH($E$6,$Y$6:$AJ$6))</f>
        <v>#N/A</v>
      </c>
      <c r="F177" s="676" t="e">
        <f t="shared" si="83"/>
        <v>#N/A</v>
      </c>
      <c r="G177" s="676">
        <f t="shared" ca="1" si="84"/>
        <v>0</v>
      </c>
      <c r="H177" s="676" t="e">
        <f t="shared" ca="1" si="85"/>
        <v>#N/A</v>
      </c>
      <c r="I177" s="676" t="e">
        <f t="shared" ca="1" si="86"/>
        <v>#N/A</v>
      </c>
      <c r="K177" s="676">
        <f t="shared" ref="K177:V177" si="89">SUM(K178:K180)</f>
        <v>0</v>
      </c>
      <c r="L177" s="676">
        <f t="shared" si="89"/>
        <v>0</v>
      </c>
      <c r="M177" s="676">
        <f t="shared" si="89"/>
        <v>9600</v>
      </c>
      <c r="N177" s="676">
        <f t="shared" si="89"/>
        <v>0</v>
      </c>
      <c r="O177" s="676">
        <f t="shared" si="89"/>
        <v>0</v>
      </c>
      <c r="P177" s="676">
        <f t="shared" si="89"/>
        <v>0</v>
      </c>
      <c r="Q177" s="676">
        <f t="shared" si="89"/>
        <v>0</v>
      </c>
      <c r="R177" s="676">
        <f t="shared" si="89"/>
        <v>0</v>
      </c>
      <c r="S177" s="676">
        <f t="shared" si="89"/>
        <v>0</v>
      </c>
      <c r="T177" s="676">
        <f t="shared" si="89"/>
        <v>0</v>
      </c>
      <c r="U177" s="676">
        <f t="shared" si="89"/>
        <v>0</v>
      </c>
      <c r="V177" s="676">
        <f t="shared" si="89"/>
        <v>0</v>
      </c>
      <c r="W177" s="676">
        <f t="shared" si="87"/>
        <v>9600</v>
      </c>
      <c r="Y177" s="688">
        <f>IFERROR(VLOOKUP(A177,'[93]1月'!$A:$H,8,0),0)</f>
        <v>0</v>
      </c>
      <c r="Z177" s="688">
        <f>IFERROR(VLOOKUP(A177,'[93]2月'!$A:$H,8,0),0)</f>
        <v>0</v>
      </c>
      <c r="AA177" s="688">
        <f>IFERROR(VLOOKUP($A177,'[93]3月'!$A:$H,8,0),0)</f>
        <v>0</v>
      </c>
      <c r="AB177" s="688">
        <f>IFERROR(VLOOKUP($A177,'[93]4月'!$A:$H,8,0),0)</f>
        <v>3130.27</v>
      </c>
      <c r="AC177" s="688">
        <f>IFERROR(VLOOKUP($A177,'[93]5月'!$A:$H,8,0),0)</f>
        <v>0</v>
      </c>
      <c r="AD177" s="688">
        <f>IFERROR(VLOOKUP($A177,'[93]6月'!$A:$H,8,0),0)</f>
        <v>0</v>
      </c>
      <c r="AE177" s="688">
        <f>IFERROR(VLOOKUP($A177,'[93]7月'!$A:$H,8,0),0)</f>
        <v>0</v>
      </c>
      <c r="AF177" s="688">
        <f>IFERROR(VLOOKUP($A177,'[93]8月'!$A:$H,8,0),0)</f>
        <v>0</v>
      </c>
      <c r="AG177" s="688">
        <f>IFERROR(VLOOKUP($A177,'[93]9月'!$A:$H,8,0),0)</f>
        <v>0</v>
      </c>
      <c r="AH177" s="688">
        <f>IFERROR(VLOOKUP($A177,'[93]10月'!$A:$H,8,0),0)</f>
        <v>0</v>
      </c>
      <c r="AI177" s="688">
        <f>IFERROR(VLOOKUP($A177,'[93]11月'!$A:$H,8,0),0)</f>
        <v>0</v>
      </c>
      <c r="AJ177" s="688">
        <f>IFERROR(VLOOKUP($A177,'[93]12月'!$A:$H,8,0),0)</f>
        <v>0</v>
      </c>
      <c r="AK177" s="688">
        <f t="shared" si="88"/>
        <v>3130.27</v>
      </c>
    </row>
    <row r="178" spans="1:37" ht="13.5" customHeight="1">
      <c r="A178" s="653" t="str">
        <f>'Budget-合并'!A178</f>
        <v>6115.01</v>
      </c>
      <c r="B178" s="653" t="str">
        <f>'Budget-合并'!B178</f>
        <v>政府补助</v>
      </c>
      <c r="C178" s="687">
        <f>'Budget-合并'!C178</f>
        <v>0</v>
      </c>
      <c r="D178" s="676">
        <f t="shared" si="82"/>
        <v>0</v>
      </c>
      <c r="E178" s="676" t="e">
        <f>INDEX($Y178:AHV178,1,MATCH($E$6,$Y$6:$AJ$6))</f>
        <v>#N/A</v>
      </c>
      <c r="F178" s="676" t="e">
        <f t="shared" si="83"/>
        <v>#N/A</v>
      </c>
      <c r="G178" s="676">
        <f t="shared" ca="1" si="84"/>
        <v>0</v>
      </c>
      <c r="H178" s="676" t="e">
        <f t="shared" ca="1" si="85"/>
        <v>#N/A</v>
      </c>
      <c r="I178" s="676" t="e">
        <f t="shared" ca="1" si="86"/>
        <v>#N/A</v>
      </c>
      <c r="K178" s="676"/>
      <c r="L178" s="676"/>
      <c r="M178" s="676"/>
      <c r="N178" s="676"/>
      <c r="O178" s="676"/>
      <c r="P178" s="676"/>
      <c r="Q178" s="676"/>
      <c r="R178" s="676"/>
      <c r="S178" s="676"/>
      <c r="T178" s="676"/>
      <c r="U178" s="676"/>
      <c r="V178" s="676"/>
      <c r="W178" s="676">
        <f t="shared" si="87"/>
        <v>0</v>
      </c>
      <c r="Y178" s="688">
        <f>IFERROR(VLOOKUP(A178,'[93]1月'!$A:$H,8,0),0)</f>
        <v>0</v>
      </c>
      <c r="Z178" s="688">
        <f>IFERROR(VLOOKUP(A178,'[93]2月'!$A:$H,8,0),0)</f>
        <v>0</v>
      </c>
      <c r="AA178" s="688">
        <f>IFERROR(VLOOKUP($A178,'[93]3月'!$A:$H,8,0),0)</f>
        <v>0</v>
      </c>
      <c r="AB178" s="688">
        <f>IFERROR(VLOOKUP($A178,'[93]4月'!$A:$H,8,0),0)</f>
        <v>0</v>
      </c>
      <c r="AC178" s="688">
        <f>IFERROR(VLOOKUP($A178,'[93]5月'!$A:$H,8,0),0)</f>
        <v>0</v>
      </c>
      <c r="AD178" s="688">
        <f>IFERROR(VLOOKUP($A178,'[93]6月'!$A:$H,8,0),0)</f>
        <v>0</v>
      </c>
      <c r="AE178" s="688">
        <f>IFERROR(VLOOKUP($A178,'[93]7月'!$A:$H,8,0),0)</f>
        <v>0</v>
      </c>
      <c r="AF178" s="688">
        <f>IFERROR(VLOOKUP($A178,'[93]8月'!$A:$H,8,0),0)</f>
        <v>0</v>
      </c>
      <c r="AG178" s="688">
        <f>IFERROR(VLOOKUP($A178,'[93]9月'!$A:$H,8,0),0)</f>
        <v>0</v>
      </c>
      <c r="AH178" s="688">
        <f>IFERROR(VLOOKUP($A178,'[93]10月'!$A:$H,8,0),0)</f>
        <v>0</v>
      </c>
      <c r="AI178" s="688">
        <f>IFERROR(VLOOKUP($A178,'[93]11月'!$A:$H,8,0),0)</f>
        <v>0</v>
      </c>
      <c r="AJ178" s="688">
        <f>IFERROR(VLOOKUP($A178,'[93]12月'!$A:$H,8,0),0)</f>
        <v>0</v>
      </c>
      <c r="AK178" s="688">
        <f t="shared" si="88"/>
        <v>0</v>
      </c>
    </row>
    <row r="179" spans="1:37" ht="13.5" customHeight="1">
      <c r="A179" s="653" t="str">
        <f>'Budget-合并'!A179</f>
        <v>6115.02</v>
      </c>
      <c r="B179" s="653" t="str">
        <f>'Budget-合并'!B179</f>
        <v>个税手续费返还</v>
      </c>
      <c r="C179" s="687">
        <f>'Budget-合并'!C179</f>
        <v>0</v>
      </c>
      <c r="D179" s="676">
        <f t="shared" si="82"/>
        <v>0</v>
      </c>
      <c r="E179" s="676" t="e">
        <f>INDEX($Y179:AHV179,1,MATCH($E$6,$Y$6:$AJ$6))</f>
        <v>#N/A</v>
      </c>
      <c r="F179" s="676" t="e">
        <f t="shared" si="83"/>
        <v>#N/A</v>
      </c>
      <c r="G179" s="676">
        <f t="shared" ca="1" si="84"/>
        <v>0</v>
      </c>
      <c r="H179" s="676" t="e">
        <f t="shared" ca="1" si="85"/>
        <v>#N/A</v>
      </c>
      <c r="I179" s="676" t="e">
        <f t="shared" ca="1" si="86"/>
        <v>#N/A</v>
      </c>
      <c r="K179" s="676"/>
      <c r="L179" s="676"/>
      <c r="M179" s="676">
        <f>ROUND(480000*2%,0)</f>
        <v>9600</v>
      </c>
      <c r="N179" s="676"/>
      <c r="O179" s="676"/>
      <c r="P179" s="676"/>
      <c r="Q179" s="676"/>
      <c r="R179" s="676"/>
      <c r="S179" s="676"/>
      <c r="T179" s="676"/>
      <c r="U179" s="676"/>
      <c r="V179" s="676"/>
      <c r="W179" s="676">
        <f t="shared" si="87"/>
        <v>9600</v>
      </c>
      <c r="Y179" s="688">
        <f>IFERROR(VLOOKUP(A179,'[93]1月'!$A:$H,8,0),0)</f>
        <v>0</v>
      </c>
      <c r="Z179" s="688">
        <f>IFERROR(VLOOKUP(A179,'[93]2月'!$A:$H,8,0),0)</f>
        <v>0</v>
      </c>
      <c r="AA179" s="688">
        <f>IFERROR(VLOOKUP($A179,'[93]3月'!$A:$H,8,0),0)</f>
        <v>0</v>
      </c>
      <c r="AB179" s="688">
        <f>IFERROR(VLOOKUP($A179,'[93]4月'!$A:$H,8,0),0)</f>
        <v>3130.27</v>
      </c>
      <c r="AC179" s="688">
        <f>IFERROR(VLOOKUP($A179,'[93]5月'!$A:$H,8,0),0)</f>
        <v>0</v>
      </c>
      <c r="AD179" s="688">
        <f>IFERROR(VLOOKUP($A179,'[93]6月'!$A:$H,8,0),0)</f>
        <v>0</v>
      </c>
      <c r="AE179" s="688">
        <f>IFERROR(VLOOKUP($A179,'[93]7月'!$A:$H,8,0),0)</f>
        <v>0</v>
      </c>
      <c r="AF179" s="688">
        <f>IFERROR(VLOOKUP($A179,'[93]8月'!$A:$H,8,0),0)</f>
        <v>0</v>
      </c>
      <c r="AG179" s="688">
        <f>IFERROR(VLOOKUP($A179,'[93]9月'!$A:$H,8,0),0)</f>
        <v>0</v>
      </c>
      <c r="AH179" s="688">
        <f>IFERROR(VLOOKUP($A179,'[93]10月'!$A:$H,8,0),0)</f>
        <v>0</v>
      </c>
      <c r="AI179" s="688">
        <f>IFERROR(VLOOKUP($A179,'[93]11月'!$A:$H,8,0),0)</f>
        <v>0</v>
      </c>
      <c r="AJ179" s="688">
        <f>IFERROR(VLOOKUP($A179,'[93]12月'!$A:$H,8,0),0)</f>
        <v>0</v>
      </c>
      <c r="AK179" s="688">
        <f t="shared" si="88"/>
        <v>3130.27</v>
      </c>
    </row>
    <row r="180" spans="1:37" ht="13.5" customHeight="1">
      <c r="A180" s="653" t="str">
        <f>'Budget-合并'!A180</f>
        <v>6115.99</v>
      </c>
      <c r="B180" s="653" t="str">
        <f>'Budget-合并'!B180</f>
        <v>其他</v>
      </c>
      <c r="C180" s="687">
        <f>'Budget-合并'!C180</f>
        <v>0</v>
      </c>
      <c r="D180" s="676">
        <f t="shared" si="82"/>
        <v>0</v>
      </c>
      <c r="E180" s="676" t="e">
        <f>INDEX($Y180:AHV180,1,MATCH($E$6,$Y$6:$AJ$6))</f>
        <v>#N/A</v>
      </c>
      <c r="F180" s="676" t="e">
        <f t="shared" si="83"/>
        <v>#N/A</v>
      </c>
      <c r="G180" s="676">
        <f t="shared" ca="1" si="84"/>
        <v>0</v>
      </c>
      <c r="H180" s="676" t="e">
        <f t="shared" ca="1" si="85"/>
        <v>#N/A</v>
      </c>
      <c r="I180" s="676" t="e">
        <f t="shared" ca="1" si="86"/>
        <v>#N/A</v>
      </c>
      <c r="K180" s="676"/>
      <c r="L180" s="676"/>
      <c r="M180" s="676"/>
      <c r="N180" s="676"/>
      <c r="O180" s="676"/>
      <c r="P180" s="676"/>
      <c r="Q180" s="676"/>
      <c r="R180" s="676"/>
      <c r="S180" s="676"/>
      <c r="T180" s="676"/>
      <c r="U180" s="676"/>
      <c r="V180" s="676"/>
      <c r="W180" s="676">
        <f t="shared" si="87"/>
        <v>0</v>
      </c>
      <c r="Y180" s="688">
        <f>IFERROR(VLOOKUP(A180,'[93]1月'!$A:$H,8,0),0)</f>
        <v>0</v>
      </c>
      <c r="Z180" s="688">
        <f>IFERROR(VLOOKUP(A180,'[93]2月'!$A:$H,8,0),0)</f>
        <v>0</v>
      </c>
      <c r="AA180" s="688">
        <f>IFERROR(VLOOKUP($A180,'[93]3月'!$A:$H,8,0),0)</f>
        <v>0</v>
      </c>
      <c r="AB180" s="688">
        <f>IFERROR(VLOOKUP($A180,'[93]4月'!$A:$H,8,0),0)</f>
        <v>0</v>
      </c>
      <c r="AC180" s="688">
        <f>IFERROR(VLOOKUP($A180,'[93]5月'!$A:$H,8,0),0)</f>
        <v>0</v>
      </c>
      <c r="AD180" s="688">
        <f>IFERROR(VLOOKUP($A180,'[93]6月'!$A:$H,8,0),0)</f>
        <v>0</v>
      </c>
      <c r="AE180" s="688">
        <f>IFERROR(VLOOKUP($A180,'[93]7月'!$A:$H,8,0),0)</f>
        <v>0</v>
      </c>
      <c r="AF180" s="688">
        <f>IFERROR(VLOOKUP($A180,'[93]8月'!$A:$H,8,0),0)</f>
        <v>0</v>
      </c>
      <c r="AG180" s="688">
        <f>IFERROR(VLOOKUP($A180,'[93]9月'!$A:$H,8,0),0)</f>
        <v>0</v>
      </c>
      <c r="AH180" s="688">
        <f>IFERROR(VLOOKUP($A180,'[93]10月'!$A:$H,8,0),0)</f>
        <v>0</v>
      </c>
      <c r="AI180" s="688">
        <f>IFERROR(VLOOKUP($A180,'[93]11月'!$A:$H,8,0),0)</f>
        <v>0</v>
      </c>
      <c r="AJ180" s="688">
        <f>IFERROR(VLOOKUP($A180,'[93]12月'!$A:$H,8,0),0)</f>
        <v>0</v>
      </c>
      <c r="AK180" s="688">
        <f t="shared" si="88"/>
        <v>0</v>
      </c>
    </row>
    <row r="181" spans="1:37" ht="13.5" customHeight="1">
      <c r="A181" s="653" t="str">
        <f>'Budget-合并'!A181</f>
        <v>6117</v>
      </c>
      <c r="B181" s="653" t="str">
        <f>'Budget-合并'!B181</f>
        <v>资产处置损益</v>
      </c>
      <c r="C181" s="687">
        <f>'Budget-合并'!C181</f>
        <v>0</v>
      </c>
      <c r="D181" s="676">
        <f t="shared" si="82"/>
        <v>0</v>
      </c>
      <c r="E181" s="676" t="e">
        <f>INDEX($Y181:AHV181,1,MATCH($E$6,$Y$6:$AJ$6))</f>
        <v>#N/A</v>
      </c>
      <c r="F181" s="676" t="e">
        <f t="shared" si="83"/>
        <v>#N/A</v>
      </c>
      <c r="G181" s="676">
        <f t="shared" ca="1" si="84"/>
        <v>0</v>
      </c>
      <c r="H181" s="676" t="e">
        <f t="shared" ca="1" si="85"/>
        <v>#N/A</v>
      </c>
      <c r="I181" s="676" t="e">
        <f t="shared" ca="1" si="86"/>
        <v>#N/A</v>
      </c>
      <c r="K181" s="676"/>
      <c r="L181" s="676"/>
      <c r="M181" s="676"/>
      <c r="N181" s="676"/>
      <c r="O181" s="676"/>
      <c r="P181" s="676"/>
      <c r="Q181" s="676"/>
      <c r="R181" s="676"/>
      <c r="S181" s="676"/>
      <c r="T181" s="676"/>
      <c r="U181" s="676"/>
      <c r="V181" s="676"/>
      <c r="W181" s="676">
        <f t="shared" si="87"/>
        <v>0</v>
      </c>
      <c r="Y181" s="688">
        <f>IFERROR(VLOOKUP(A181,'[93]1月'!$A:$H,8,0),0)</f>
        <v>0</v>
      </c>
      <c r="Z181" s="688">
        <f>IFERROR(VLOOKUP(A181,'[93]2月'!$A:$H,8,0),0)</f>
        <v>0</v>
      </c>
      <c r="AA181" s="688">
        <f>IFERROR(VLOOKUP($A181,'[93]3月'!$A:$H,8,0),0)</f>
        <v>0</v>
      </c>
      <c r="AB181" s="688">
        <f>IFERROR(VLOOKUP($A181,'[93]4月'!$A:$H,8,0),0)</f>
        <v>0</v>
      </c>
      <c r="AC181" s="688">
        <f>IFERROR(VLOOKUP($A181,'[93]5月'!$A:$H,8,0),0)</f>
        <v>0</v>
      </c>
      <c r="AD181" s="688">
        <f>IFERROR(VLOOKUP($A181,'[93]6月'!$A:$H,8,0),0)</f>
        <v>0</v>
      </c>
      <c r="AE181" s="688">
        <f>IFERROR(VLOOKUP($A181,'[93]7月'!$A:$H,8,0),0)</f>
        <v>0</v>
      </c>
      <c r="AF181" s="688">
        <f>IFERROR(VLOOKUP($A181,'[93]8月'!$A:$H,8,0),0)</f>
        <v>0</v>
      </c>
      <c r="AG181" s="688">
        <f>IFERROR(VLOOKUP($A181,'[93]9月'!$A:$H,8,0),0)</f>
        <v>0</v>
      </c>
      <c r="AH181" s="688">
        <f>IFERROR(VLOOKUP($A181,'[93]10月'!$A:$H,8,0),0)</f>
        <v>0</v>
      </c>
      <c r="AI181" s="688">
        <f>IFERROR(VLOOKUP($A181,'[93]11月'!$A:$H,8,0),0)</f>
        <v>0</v>
      </c>
      <c r="AJ181" s="688">
        <f>IFERROR(VLOOKUP($A181,'[93]12月'!$A:$H,8,0),0)</f>
        <v>0</v>
      </c>
      <c r="AK181" s="688">
        <f t="shared" si="88"/>
        <v>0</v>
      </c>
    </row>
    <row r="182" spans="1:37" ht="13.5" customHeight="1">
      <c r="A182" s="653" t="str">
        <f>'Budget-合并'!A182</f>
        <v>6118</v>
      </c>
      <c r="B182" s="653" t="str">
        <f>'Budget-合并'!B182</f>
        <v>净敞口套期损益</v>
      </c>
      <c r="C182" s="687">
        <f>'Budget-合并'!C182</f>
        <v>0</v>
      </c>
      <c r="D182" s="676">
        <f t="shared" si="82"/>
        <v>0</v>
      </c>
      <c r="E182" s="676" t="e">
        <f>INDEX($Y182:AHV182,1,MATCH($E$6,$Y$6:$AJ$6))</f>
        <v>#N/A</v>
      </c>
      <c r="F182" s="676" t="e">
        <f t="shared" si="83"/>
        <v>#N/A</v>
      </c>
      <c r="G182" s="676">
        <f t="shared" ca="1" si="84"/>
        <v>0</v>
      </c>
      <c r="H182" s="676" t="e">
        <f t="shared" ca="1" si="85"/>
        <v>#N/A</v>
      </c>
      <c r="I182" s="676" t="e">
        <f t="shared" ca="1" si="86"/>
        <v>#N/A</v>
      </c>
      <c r="K182" s="676"/>
      <c r="L182" s="676"/>
      <c r="M182" s="676"/>
      <c r="N182" s="676"/>
      <c r="O182" s="676"/>
      <c r="P182" s="676"/>
      <c r="Q182" s="676"/>
      <c r="R182" s="676"/>
      <c r="S182" s="676"/>
      <c r="T182" s="676"/>
      <c r="U182" s="676"/>
      <c r="V182" s="676"/>
      <c r="W182" s="676">
        <f t="shared" si="87"/>
        <v>0</v>
      </c>
      <c r="Y182" s="688">
        <f>IFERROR(VLOOKUP(A182,'[93]1月'!$A:$H,8,0),0)</f>
        <v>0</v>
      </c>
      <c r="Z182" s="688">
        <f>IFERROR(VLOOKUP(A182,'[93]2月'!$A:$H,8,0),0)</f>
        <v>0</v>
      </c>
      <c r="AA182" s="688">
        <f>IFERROR(VLOOKUP($A182,'[93]3月'!$A:$H,8,0),0)</f>
        <v>0</v>
      </c>
      <c r="AB182" s="688">
        <f>IFERROR(VLOOKUP($A182,'[93]4月'!$A:$H,8,0),0)</f>
        <v>0</v>
      </c>
      <c r="AC182" s="688">
        <f>IFERROR(VLOOKUP($A182,'[93]5月'!$A:$H,8,0),0)</f>
        <v>0</v>
      </c>
      <c r="AD182" s="688">
        <f>IFERROR(VLOOKUP($A182,'[93]6月'!$A:$H,8,0),0)</f>
        <v>0</v>
      </c>
      <c r="AE182" s="688">
        <f>IFERROR(VLOOKUP($A182,'[93]7月'!$A:$H,8,0),0)</f>
        <v>0</v>
      </c>
      <c r="AF182" s="688">
        <f>IFERROR(VLOOKUP($A182,'[93]8月'!$A:$H,8,0),0)</f>
        <v>0</v>
      </c>
      <c r="AG182" s="688">
        <f>IFERROR(VLOOKUP($A182,'[93]9月'!$A:$H,8,0),0)</f>
        <v>0</v>
      </c>
      <c r="AH182" s="688">
        <f>IFERROR(VLOOKUP($A182,'[93]10月'!$A:$H,8,0),0)</f>
        <v>0</v>
      </c>
      <c r="AI182" s="688">
        <f>IFERROR(VLOOKUP($A182,'[93]11月'!$A:$H,8,0),0)</f>
        <v>0</v>
      </c>
      <c r="AJ182" s="688">
        <f>IFERROR(VLOOKUP($A182,'[93]12月'!$A:$H,8,0),0)</f>
        <v>0</v>
      </c>
      <c r="AK182" s="688">
        <f t="shared" si="88"/>
        <v>0</v>
      </c>
    </row>
    <row r="183" spans="1:37" ht="13.5" customHeight="1">
      <c r="A183" s="686">
        <f>'Budget-合并'!A183</f>
        <v>0</v>
      </c>
      <c r="B183" s="686" t="str">
        <f>'Budget-合并'!B183</f>
        <v>其他收益合计</v>
      </c>
      <c r="C183" s="687">
        <f>'Budget-合并'!C183</f>
        <v>0</v>
      </c>
      <c r="D183" s="677">
        <f t="shared" si="82"/>
        <v>0</v>
      </c>
      <c r="E183" s="677" t="e">
        <f>INDEX($Y183:AHV183,1,MATCH($E$6,$Y$6:$AJ$6))</f>
        <v>#N/A</v>
      </c>
      <c r="F183" s="677" t="e">
        <f t="shared" si="83"/>
        <v>#N/A</v>
      </c>
      <c r="G183" s="677">
        <f t="shared" ca="1" si="84"/>
        <v>0</v>
      </c>
      <c r="H183" s="677" t="e">
        <f t="shared" ca="1" si="85"/>
        <v>#N/A</v>
      </c>
      <c r="I183" s="677" t="e">
        <f t="shared" ca="1" si="86"/>
        <v>#N/A</v>
      </c>
      <c r="K183" s="677">
        <f>SUM(K174,K174:K177,K181:K182)</f>
        <v>0</v>
      </c>
      <c r="L183" s="677">
        <f t="shared" ref="L183:W183" si="90">SUM(L174,L174:L177,L181:L182)</f>
        <v>0</v>
      </c>
      <c r="M183" s="677">
        <f t="shared" si="90"/>
        <v>9600</v>
      </c>
      <c r="N183" s="677">
        <f t="shared" si="90"/>
        <v>0</v>
      </c>
      <c r="O183" s="677">
        <f t="shared" si="90"/>
        <v>0</v>
      </c>
      <c r="P183" s="677">
        <f t="shared" si="90"/>
        <v>0</v>
      </c>
      <c r="Q183" s="677">
        <f t="shared" si="90"/>
        <v>0</v>
      </c>
      <c r="R183" s="677">
        <f t="shared" si="90"/>
        <v>0</v>
      </c>
      <c r="S183" s="677">
        <f t="shared" si="90"/>
        <v>0</v>
      </c>
      <c r="T183" s="677">
        <f t="shared" si="90"/>
        <v>0</v>
      </c>
      <c r="U183" s="677">
        <f t="shared" si="90"/>
        <v>0</v>
      </c>
      <c r="V183" s="677">
        <f t="shared" si="90"/>
        <v>0</v>
      </c>
      <c r="W183" s="677">
        <f t="shared" si="90"/>
        <v>9600</v>
      </c>
      <c r="Y183" s="677">
        <f>SUM(Y174,Y174:Y177,Y181:Y182)</f>
        <v>0</v>
      </c>
      <c r="Z183" s="677">
        <f t="shared" ref="Z183:AK183" si="91">SUM(Z174,Z174:Z177,Z181:Z182)</f>
        <v>0</v>
      </c>
      <c r="AA183" s="677">
        <f t="shared" si="91"/>
        <v>0</v>
      </c>
      <c r="AB183" s="677">
        <f t="shared" si="91"/>
        <v>3130.27</v>
      </c>
      <c r="AC183" s="677">
        <f t="shared" si="91"/>
        <v>3873.49</v>
      </c>
      <c r="AD183" s="677">
        <f t="shared" si="91"/>
        <v>0</v>
      </c>
      <c r="AE183" s="677">
        <f t="shared" si="91"/>
        <v>2297.0300000000002</v>
      </c>
      <c r="AF183" s="677">
        <f t="shared" si="91"/>
        <v>0</v>
      </c>
      <c r="AG183" s="677">
        <f t="shared" si="91"/>
        <v>2250.2199999999998</v>
      </c>
      <c r="AH183" s="677">
        <f t="shared" si="91"/>
        <v>2105.1</v>
      </c>
      <c r="AI183" s="677">
        <f t="shared" si="91"/>
        <v>0</v>
      </c>
      <c r="AJ183" s="677">
        <f t="shared" si="91"/>
        <v>0</v>
      </c>
      <c r="AK183" s="677">
        <f t="shared" si="91"/>
        <v>13656.11</v>
      </c>
    </row>
    <row r="184" spans="1:37" ht="13.5" customHeight="1">
      <c r="A184" s="653">
        <f>'Budget-合并'!A184</f>
        <v>0</v>
      </c>
      <c r="B184" s="653">
        <f>'Budget-合并'!B184</f>
        <v>0</v>
      </c>
      <c r="C184" s="687">
        <f>'Budget-合并'!C184</f>
        <v>0</v>
      </c>
      <c r="D184" s="677"/>
      <c r="E184" s="677"/>
      <c r="H184" s="677"/>
      <c r="I184" s="677"/>
      <c r="W184" s="652">
        <f t="shared" ref="W184:W198" si="92">SUM(K184:V184)</f>
        <v>0</v>
      </c>
    </row>
    <row r="185" spans="1:37" ht="13.5" customHeight="1">
      <c r="A185" s="686">
        <f>'Budget-合并'!A185</f>
        <v>0</v>
      </c>
      <c r="B185" s="686" t="str">
        <f>'Budget-合并'!B185</f>
        <v>营业利润</v>
      </c>
      <c r="C185" s="687">
        <f>'Budget-合并'!C185</f>
        <v>0</v>
      </c>
      <c r="D185" s="677">
        <f ca="1">INDEX($K185:$V185,1,MATCH($D$6,$K$6:$V$6))</f>
        <v>-306089.67249999999</v>
      </c>
      <c r="E185" s="677" t="e">
        <f>INDEX($Y185:AHV185,1,MATCH($E$6,$Y$6:$AJ$6))</f>
        <v>#N/A</v>
      </c>
      <c r="F185" s="677" t="e">
        <f t="shared" ref="F185:F199" ca="1" si="93">D185-E185</f>
        <v>#N/A</v>
      </c>
      <c r="G185" s="677">
        <f t="shared" ref="G185:G201" ca="1" si="94">SUM($K185:OFFSET($K185,0,MATCH(G$6,$K$6:$V$6)-1))</f>
        <v>-306089.67249999999</v>
      </c>
      <c r="H185" s="677" t="e">
        <f t="shared" ref="H185:H199" ca="1" si="95">SUM($Y185:OFFSET($Y185,0,MATCH(H$6,$Y$6:$AJ$6)-1))</f>
        <v>#N/A</v>
      </c>
      <c r="I185" s="677" t="e">
        <f t="shared" ref="I185:I199" ca="1" si="96">G185-H185</f>
        <v>#N/A</v>
      </c>
      <c r="K185" s="677">
        <f ca="1">K12-K19-K42-K153-K172+K183</f>
        <v>-306089.67249999999</v>
      </c>
      <c r="L185" s="677">
        <f t="shared" ref="L185:V185" ca="1" si="97">L12-L19-L42-L153-L172+L183</f>
        <v>-315959.67249999999</v>
      </c>
      <c r="M185" s="677">
        <f t="shared" ca="1" si="97"/>
        <v>-296359.67249999999</v>
      </c>
      <c r="N185" s="677">
        <f t="shared" ca="1" si="97"/>
        <v>-678764.63249999995</v>
      </c>
      <c r="O185" s="677">
        <f t="shared" ca="1" si="97"/>
        <v>-357764.63250000001</v>
      </c>
      <c r="P185" s="677">
        <f t="shared" ca="1" si="97"/>
        <v>-452284.63250000001</v>
      </c>
      <c r="Q185" s="677">
        <f t="shared" ca="1" si="97"/>
        <v>-356931.29916666663</v>
      </c>
      <c r="R185" s="677">
        <f t="shared" ca="1" si="97"/>
        <v>-356931.29916666663</v>
      </c>
      <c r="S185" s="677">
        <f t="shared" ca="1" si="97"/>
        <v>-356931.29916666663</v>
      </c>
      <c r="T185" s="677">
        <f t="shared" ca="1" si="97"/>
        <v>-366931.29916666663</v>
      </c>
      <c r="U185" s="677">
        <f t="shared" ca="1" si="97"/>
        <v>-356931.29916666663</v>
      </c>
      <c r="V185" s="677">
        <f t="shared" ca="1" si="97"/>
        <v>-356931.29916666663</v>
      </c>
      <c r="W185" s="677">
        <f t="shared" ca="1" si="92"/>
        <v>-4558810.71</v>
      </c>
      <c r="Y185" s="677">
        <f>Y12-Y19-Y42-Y153-Y172+Y183</f>
        <v>-294957.94</v>
      </c>
      <c r="Z185" s="677">
        <f t="shared" ref="Z185:AK185" si="98">Z12-Z19-Z42-Z153-Z172+Z183</f>
        <v>-316336.85000000003</v>
      </c>
      <c r="AA185" s="677">
        <f t="shared" si="98"/>
        <v>-334990.27</v>
      </c>
      <c r="AB185" s="677">
        <f t="shared" si="98"/>
        <v>-335003.68</v>
      </c>
      <c r="AC185" s="677">
        <f t="shared" si="98"/>
        <v>-465077.55000000005</v>
      </c>
      <c r="AD185" s="677">
        <f t="shared" si="98"/>
        <v>-375737.91000000003</v>
      </c>
      <c r="AE185" s="677">
        <f t="shared" si="98"/>
        <v>-374546.41999999993</v>
      </c>
      <c r="AF185" s="677">
        <f t="shared" si="98"/>
        <v>-387957</v>
      </c>
      <c r="AG185" s="677">
        <f t="shared" si="98"/>
        <v>-377301.47000000003</v>
      </c>
      <c r="AH185" s="677">
        <f t="shared" si="98"/>
        <v>-357165.58</v>
      </c>
      <c r="AI185" s="677">
        <f t="shared" si="98"/>
        <v>-374641.01</v>
      </c>
      <c r="AJ185" s="677">
        <f t="shared" si="98"/>
        <v>-466437.68999999994</v>
      </c>
      <c r="AK185" s="677">
        <f t="shared" si="98"/>
        <v>-4460153.3699999992</v>
      </c>
    </row>
    <row r="186" spans="1:37" ht="13.5" customHeight="1">
      <c r="A186" s="653">
        <f>'Budget-合并'!A186</f>
        <v>0</v>
      </c>
      <c r="B186" s="653">
        <f>'Budget-合并'!B186</f>
        <v>0</v>
      </c>
      <c r="C186" s="687">
        <f>'Budget-合并'!C186</f>
        <v>0</v>
      </c>
    </row>
    <row r="187" spans="1:37" ht="13.5" customHeight="1">
      <c r="A187" s="653" t="str">
        <f>'Budget-合并'!A187</f>
        <v>6301</v>
      </c>
      <c r="B187" s="653" t="str">
        <f>'Budget-合并'!B187</f>
        <v>营业外收入</v>
      </c>
      <c r="C187" s="687">
        <f>'Budget-合并'!C187</f>
        <v>0</v>
      </c>
      <c r="D187" s="676">
        <f t="shared" ref="D187:D199" si="99">INDEX($K187:$V187,1,MATCH($D$6,$K$6:$V$6))</f>
        <v>0</v>
      </c>
      <c r="E187" s="676" t="e">
        <f>INDEX($Y187:AHV187,1,MATCH($E$6,$Y$6:$AJ$6))</f>
        <v>#N/A</v>
      </c>
      <c r="F187" s="676" t="e">
        <f t="shared" si="93"/>
        <v>#N/A</v>
      </c>
      <c r="G187" s="676">
        <f t="shared" ca="1" si="94"/>
        <v>0</v>
      </c>
      <c r="H187" s="676" t="e">
        <f t="shared" ca="1" si="95"/>
        <v>#N/A</v>
      </c>
      <c r="I187" s="676" t="e">
        <f t="shared" ca="1" si="96"/>
        <v>#N/A</v>
      </c>
      <c r="K187" s="676">
        <f>SUM(K188:K192)</f>
        <v>0</v>
      </c>
      <c r="L187" s="676">
        <f t="shared" ref="L187:V187" si="100">SUM(L188:L192)</f>
        <v>0</v>
      </c>
      <c r="M187" s="676">
        <f t="shared" si="100"/>
        <v>0</v>
      </c>
      <c r="N187" s="676">
        <f t="shared" si="100"/>
        <v>0</v>
      </c>
      <c r="O187" s="676">
        <f t="shared" si="100"/>
        <v>0</v>
      </c>
      <c r="P187" s="676">
        <f t="shared" si="100"/>
        <v>0</v>
      </c>
      <c r="Q187" s="676">
        <f t="shared" si="100"/>
        <v>0</v>
      </c>
      <c r="R187" s="676">
        <f t="shared" si="100"/>
        <v>0</v>
      </c>
      <c r="S187" s="676">
        <f t="shared" si="100"/>
        <v>0</v>
      </c>
      <c r="T187" s="676">
        <f t="shared" si="100"/>
        <v>0</v>
      </c>
      <c r="U187" s="676">
        <f t="shared" si="100"/>
        <v>0</v>
      </c>
      <c r="V187" s="676">
        <f t="shared" si="100"/>
        <v>0</v>
      </c>
      <c r="W187" s="676">
        <f t="shared" si="92"/>
        <v>0</v>
      </c>
      <c r="Y187" s="688">
        <f>IFERROR(VLOOKUP(A187,'[93]1月'!$A:$H,8,0),0)</f>
        <v>0</v>
      </c>
      <c r="Z187" s="688">
        <f>IFERROR(VLOOKUP(A187,'[93]2月'!$A:$H,8,0),0)</f>
        <v>0</v>
      </c>
      <c r="AA187" s="688">
        <f>IFERROR(VLOOKUP($A187,'[93]3月'!$A:$H,8,0),0)</f>
        <v>0</v>
      </c>
      <c r="AB187" s="688">
        <f>IFERROR(VLOOKUP($A187,'[93]4月'!$A:$H,8,0),0)</f>
        <v>0</v>
      </c>
      <c r="AC187" s="688">
        <f>IFERROR(VLOOKUP($A187,'[93]5月'!$A:$H,8,0),0)</f>
        <v>0</v>
      </c>
      <c r="AD187" s="688">
        <f>IFERROR(VLOOKUP($A187,'[93]6月'!$A:$H,8,0),0)</f>
        <v>0</v>
      </c>
      <c r="AE187" s="688">
        <f>IFERROR(VLOOKUP($A187,'[93]7月'!$A:$H,8,0),0)</f>
        <v>0</v>
      </c>
      <c r="AF187" s="688">
        <f>IFERROR(VLOOKUP($A187,'[93]8月'!$A:$H,8,0),0)</f>
        <v>0</v>
      </c>
      <c r="AG187" s="688">
        <f>IFERROR(VLOOKUP($A187,'[93]9月'!$A:$H,8,0),0)</f>
        <v>0</v>
      </c>
      <c r="AH187" s="688">
        <f>IFERROR(VLOOKUP($A187,'[93]10月'!$A:$H,8,0),0)</f>
        <v>0</v>
      </c>
      <c r="AI187" s="688">
        <f>IFERROR(VLOOKUP($A187,'[93]11月'!$A:$H,8,0),0)</f>
        <v>0</v>
      </c>
      <c r="AJ187" s="688">
        <f>IFERROR(VLOOKUP($A187,'[93]12月'!$A:$H,8,0),0)</f>
        <v>0</v>
      </c>
      <c r="AK187" s="688">
        <f t="shared" ref="AK187:AK198" si="101">SUM(Y187:AJ187)</f>
        <v>0</v>
      </c>
    </row>
    <row r="188" spans="1:37" ht="13.5" customHeight="1">
      <c r="A188" s="653" t="str">
        <f>'Budget-合并'!A188</f>
        <v>6301.01</v>
      </c>
      <c r="B188" s="653" t="str">
        <f>'Budget-合并'!B188</f>
        <v>非流动资产处置利得</v>
      </c>
      <c r="C188" s="687">
        <f>'Budget-合并'!C188</f>
        <v>0</v>
      </c>
      <c r="D188" s="676">
        <f t="shared" si="99"/>
        <v>0</v>
      </c>
      <c r="E188" s="676" t="e">
        <f>INDEX($Y188:AHV188,1,MATCH($E$6,$Y$6:$AJ$6))</f>
        <v>#N/A</v>
      </c>
      <c r="F188" s="676" t="e">
        <f t="shared" si="93"/>
        <v>#N/A</v>
      </c>
      <c r="G188" s="676">
        <f t="shared" ca="1" si="94"/>
        <v>0</v>
      </c>
      <c r="H188" s="676" t="e">
        <f t="shared" ca="1" si="95"/>
        <v>#N/A</v>
      </c>
      <c r="I188" s="676" t="e">
        <f t="shared" ca="1" si="96"/>
        <v>#N/A</v>
      </c>
      <c r="K188" s="676"/>
      <c r="L188" s="676"/>
      <c r="M188" s="676"/>
      <c r="N188" s="676"/>
      <c r="O188" s="676"/>
      <c r="P188" s="676"/>
      <c r="Q188" s="676"/>
      <c r="R188" s="676"/>
      <c r="S188" s="676"/>
      <c r="T188" s="676"/>
      <c r="U188" s="676"/>
      <c r="V188" s="676"/>
      <c r="W188" s="676">
        <f t="shared" si="92"/>
        <v>0</v>
      </c>
      <c r="Y188" s="688">
        <f>IFERROR(VLOOKUP(A188,'[93]1月'!$A:$H,8,0),0)</f>
        <v>0</v>
      </c>
      <c r="Z188" s="688">
        <f>IFERROR(VLOOKUP(A188,'[93]2月'!$A:$H,8,0),0)</f>
        <v>0</v>
      </c>
      <c r="AA188" s="688">
        <f>IFERROR(VLOOKUP($A188,'[93]3月'!$A:$H,8,0),0)</f>
        <v>0</v>
      </c>
      <c r="AB188" s="688">
        <f>IFERROR(VLOOKUP($A188,'[93]4月'!$A:$H,8,0),0)</f>
        <v>0</v>
      </c>
      <c r="AC188" s="688">
        <f>IFERROR(VLOOKUP($A188,'[93]5月'!$A:$H,8,0),0)</f>
        <v>0</v>
      </c>
      <c r="AD188" s="688">
        <f>IFERROR(VLOOKUP($A188,'[93]6月'!$A:$H,8,0),0)</f>
        <v>0</v>
      </c>
      <c r="AE188" s="688">
        <f>IFERROR(VLOOKUP($A188,'[93]7月'!$A:$H,8,0),0)</f>
        <v>0</v>
      </c>
      <c r="AF188" s="688">
        <f>IFERROR(VLOOKUP($A188,'[93]8月'!$A:$H,8,0),0)</f>
        <v>0</v>
      </c>
      <c r="AG188" s="688">
        <f>IFERROR(VLOOKUP($A188,'[93]9月'!$A:$H,8,0),0)</f>
        <v>0</v>
      </c>
      <c r="AH188" s="688">
        <f>IFERROR(VLOOKUP($A188,'[93]10月'!$A:$H,8,0),0)</f>
        <v>0</v>
      </c>
      <c r="AI188" s="688">
        <f>IFERROR(VLOOKUP($A188,'[93]11月'!$A:$H,8,0),0)</f>
        <v>0</v>
      </c>
      <c r="AJ188" s="688">
        <f>IFERROR(VLOOKUP($A188,'[93]12月'!$A:$H,8,0),0)</f>
        <v>0</v>
      </c>
      <c r="AK188" s="688">
        <f t="shared" si="101"/>
        <v>0</v>
      </c>
    </row>
    <row r="189" spans="1:37" ht="13.5" customHeight="1">
      <c r="A189" s="653" t="str">
        <f>'Budget-合并'!A189</f>
        <v>6301.02</v>
      </c>
      <c r="B189" s="653" t="str">
        <f>'Budget-合并'!B189</f>
        <v>债务重组利得</v>
      </c>
      <c r="C189" s="687">
        <f>'Budget-合并'!C189</f>
        <v>0</v>
      </c>
      <c r="D189" s="676">
        <f t="shared" si="99"/>
        <v>0</v>
      </c>
      <c r="E189" s="676" t="e">
        <f>INDEX($Y189:AHV189,1,MATCH($E$6,$Y$6:$AJ$6))</f>
        <v>#N/A</v>
      </c>
      <c r="F189" s="676" t="e">
        <f t="shared" si="93"/>
        <v>#N/A</v>
      </c>
      <c r="G189" s="676">
        <f t="shared" ca="1" si="94"/>
        <v>0</v>
      </c>
      <c r="H189" s="676" t="e">
        <f t="shared" ca="1" si="95"/>
        <v>#N/A</v>
      </c>
      <c r="I189" s="676" t="e">
        <f t="shared" ca="1" si="96"/>
        <v>#N/A</v>
      </c>
      <c r="K189" s="676"/>
      <c r="L189" s="676"/>
      <c r="M189" s="676"/>
      <c r="N189" s="676"/>
      <c r="O189" s="676"/>
      <c r="P189" s="676"/>
      <c r="Q189" s="676"/>
      <c r="R189" s="676"/>
      <c r="S189" s="676"/>
      <c r="T189" s="676"/>
      <c r="U189" s="676"/>
      <c r="V189" s="676"/>
      <c r="W189" s="676">
        <f t="shared" si="92"/>
        <v>0</v>
      </c>
      <c r="Y189" s="688">
        <f>IFERROR(VLOOKUP(A189,'[93]1月'!$A:$H,8,0),0)</f>
        <v>0</v>
      </c>
      <c r="Z189" s="688">
        <f>IFERROR(VLOOKUP(A189,'[93]2月'!$A:$H,8,0),0)</f>
        <v>0</v>
      </c>
      <c r="AA189" s="688">
        <f>IFERROR(VLOOKUP($A189,'[93]3月'!$A:$H,8,0),0)</f>
        <v>0</v>
      </c>
      <c r="AB189" s="688">
        <f>IFERROR(VLOOKUP($A189,'[93]4月'!$A:$H,8,0),0)</f>
        <v>0</v>
      </c>
      <c r="AC189" s="688">
        <f>IFERROR(VLOOKUP($A189,'[93]5月'!$A:$H,8,0),0)</f>
        <v>0</v>
      </c>
      <c r="AD189" s="688">
        <f>IFERROR(VLOOKUP($A189,'[93]6月'!$A:$H,8,0),0)</f>
        <v>0</v>
      </c>
      <c r="AE189" s="688">
        <f>IFERROR(VLOOKUP($A189,'[93]7月'!$A:$H,8,0),0)</f>
        <v>0</v>
      </c>
      <c r="AF189" s="688">
        <f>IFERROR(VLOOKUP($A189,'[93]8月'!$A:$H,8,0),0)</f>
        <v>0</v>
      </c>
      <c r="AG189" s="688">
        <f>IFERROR(VLOOKUP($A189,'[93]9月'!$A:$H,8,0),0)</f>
        <v>0</v>
      </c>
      <c r="AH189" s="688">
        <f>IFERROR(VLOOKUP($A189,'[93]10月'!$A:$H,8,0),0)</f>
        <v>0</v>
      </c>
      <c r="AI189" s="688">
        <f>IFERROR(VLOOKUP($A189,'[93]11月'!$A:$H,8,0),0)</f>
        <v>0</v>
      </c>
      <c r="AJ189" s="688">
        <f>IFERROR(VLOOKUP($A189,'[93]12月'!$A:$H,8,0),0)</f>
        <v>0</v>
      </c>
      <c r="AK189" s="688">
        <f t="shared" si="101"/>
        <v>0</v>
      </c>
    </row>
    <row r="190" spans="1:37" ht="13.5" customHeight="1">
      <c r="A190" s="653" t="str">
        <f>'Budget-合并'!A190</f>
        <v>6301.03</v>
      </c>
      <c r="B190" s="653" t="str">
        <f>'Budget-合并'!B190</f>
        <v>盘盈利得</v>
      </c>
      <c r="C190" s="687">
        <f>'Budget-合并'!C190</f>
        <v>0</v>
      </c>
      <c r="D190" s="676">
        <f t="shared" si="99"/>
        <v>0</v>
      </c>
      <c r="E190" s="676" t="e">
        <f>INDEX($Y190:AHV190,1,MATCH($E$6,$Y$6:$AJ$6))</f>
        <v>#N/A</v>
      </c>
      <c r="F190" s="676" t="e">
        <f t="shared" si="93"/>
        <v>#N/A</v>
      </c>
      <c r="G190" s="676">
        <f t="shared" ca="1" si="94"/>
        <v>0</v>
      </c>
      <c r="H190" s="676" t="e">
        <f t="shared" ca="1" si="95"/>
        <v>#N/A</v>
      </c>
      <c r="I190" s="676" t="e">
        <f t="shared" ca="1" si="96"/>
        <v>#N/A</v>
      </c>
      <c r="K190" s="676"/>
      <c r="L190" s="676"/>
      <c r="M190" s="676"/>
      <c r="N190" s="676"/>
      <c r="O190" s="676"/>
      <c r="P190" s="676"/>
      <c r="Q190" s="676"/>
      <c r="R190" s="676"/>
      <c r="S190" s="676"/>
      <c r="T190" s="676"/>
      <c r="U190" s="676"/>
      <c r="V190" s="676"/>
      <c r="W190" s="676">
        <f t="shared" si="92"/>
        <v>0</v>
      </c>
      <c r="Y190" s="688">
        <f>IFERROR(VLOOKUP(A190,'[93]1月'!$A:$H,8,0),0)</f>
        <v>0</v>
      </c>
      <c r="Z190" s="688">
        <f>IFERROR(VLOOKUP(A190,'[93]2月'!$A:$H,8,0),0)</f>
        <v>0</v>
      </c>
      <c r="AA190" s="688">
        <f>IFERROR(VLOOKUP($A190,'[93]3月'!$A:$H,8,0),0)</f>
        <v>0</v>
      </c>
      <c r="AB190" s="688">
        <f>IFERROR(VLOOKUP($A190,'[93]4月'!$A:$H,8,0),0)</f>
        <v>0</v>
      </c>
      <c r="AC190" s="688">
        <f>IFERROR(VLOOKUP($A190,'[93]5月'!$A:$H,8,0),0)</f>
        <v>0</v>
      </c>
      <c r="AD190" s="688">
        <f>IFERROR(VLOOKUP($A190,'[93]6月'!$A:$H,8,0),0)</f>
        <v>0</v>
      </c>
      <c r="AE190" s="688">
        <f>IFERROR(VLOOKUP($A190,'[93]7月'!$A:$H,8,0),0)</f>
        <v>0</v>
      </c>
      <c r="AF190" s="688">
        <f>IFERROR(VLOOKUP($A190,'[93]8月'!$A:$H,8,0),0)</f>
        <v>0</v>
      </c>
      <c r="AG190" s="688">
        <f>IFERROR(VLOOKUP($A190,'[93]9月'!$A:$H,8,0),0)</f>
        <v>0</v>
      </c>
      <c r="AH190" s="688">
        <f>IFERROR(VLOOKUP($A190,'[93]10月'!$A:$H,8,0),0)</f>
        <v>0</v>
      </c>
      <c r="AI190" s="688">
        <f>IFERROR(VLOOKUP($A190,'[93]11月'!$A:$H,8,0),0)</f>
        <v>0</v>
      </c>
      <c r="AJ190" s="688">
        <f>IFERROR(VLOOKUP($A190,'[93]12月'!$A:$H,8,0),0)</f>
        <v>0</v>
      </c>
      <c r="AK190" s="688">
        <f t="shared" si="101"/>
        <v>0</v>
      </c>
    </row>
    <row r="191" spans="1:37" ht="13.5" customHeight="1">
      <c r="A191" s="653" t="str">
        <f>'Budget-合并'!A191</f>
        <v>6301.04</v>
      </c>
      <c r="B191" s="653" t="str">
        <f>'Budget-合并'!B191</f>
        <v>捐赠利得</v>
      </c>
      <c r="C191" s="687">
        <f>'Budget-合并'!C191</f>
        <v>0</v>
      </c>
      <c r="D191" s="676">
        <f t="shared" si="99"/>
        <v>0</v>
      </c>
      <c r="E191" s="676" t="e">
        <f>INDEX($Y191:AHV191,1,MATCH($E$6,$Y$6:$AJ$6))</f>
        <v>#N/A</v>
      </c>
      <c r="F191" s="676" t="e">
        <f t="shared" si="93"/>
        <v>#N/A</v>
      </c>
      <c r="G191" s="676">
        <f t="shared" ca="1" si="94"/>
        <v>0</v>
      </c>
      <c r="H191" s="676" t="e">
        <f t="shared" ca="1" si="95"/>
        <v>#N/A</v>
      </c>
      <c r="I191" s="676" t="e">
        <f t="shared" ca="1" si="96"/>
        <v>#N/A</v>
      </c>
      <c r="K191" s="676"/>
      <c r="L191" s="676"/>
      <c r="M191" s="676"/>
      <c r="N191" s="676"/>
      <c r="O191" s="676"/>
      <c r="P191" s="676"/>
      <c r="Q191" s="676"/>
      <c r="R191" s="676"/>
      <c r="S191" s="676"/>
      <c r="T191" s="676"/>
      <c r="U191" s="676"/>
      <c r="V191" s="676"/>
      <c r="W191" s="676">
        <f t="shared" si="92"/>
        <v>0</v>
      </c>
      <c r="Y191" s="688">
        <f>IFERROR(VLOOKUP(A191,'[93]1月'!$A:$H,8,0),0)</f>
        <v>0</v>
      </c>
      <c r="Z191" s="688">
        <f>IFERROR(VLOOKUP(A191,'[93]2月'!$A:$H,8,0),0)</f>
        <v>0</v>
      </c>
      <c r="AA191" s="688">
        <f>IFERROR(VLOOKUP($A191,'[93]3月'!$A:$H,8,0),0)</f>
        <v>0</v>
      </c>
      <c r="AB191" s="688">
        <f>IFERROR(VLOOKUP($A191,'[93]4月'!$A:$H,8,0),0)</f>
        <v>0</v>
      </c>
      <c r="AC191" s="688">
        <f>IFERROR(VLOOKUP($A191,'[93]5月'!$A:$H,8,0),0)</f>
        <v>0</v>
      </c>
      <c r="AD191" s="688">
        <f>IFERROR(VLOOKUP($A191,'[93]6月'!$A:$H,8,0),0)</f>
        <v>0</v>
      </c>
      <c r="AE191" s="688">
        <f>IFERROR(VLOOKUP($A191,'[93]7月'!$A:$H,8,0),0)</f>
        <v>0</v>
      </c>
      <c r="AF191" s="688">
        <f>IFERROR(VLOOKUP($A191,'[93]8月'!$A:$H,8,0),0)</f>
        <v>0</v>
      </c>
      <c r="AG191" s="688">
        <f>IFERROR(VLOOKUP($A191,'[93]9月'!$A:$H,8,0),0)</f>
        <v>0</v>
      </c>
      <c r="AH191" s="688">
        <f>IFERROR(VLOOKUP($A191,'[93]10月'!$A:$H,8,0),0)</f>
        <v>0</v>
      </c>
      <c r="AI191" s="688">
        <f>IFERROR(VLOOKUP($A191,'[93]11月'!$A:$H,8,0),0)</f>
        <v>0</v>
      </c>
      <c r="AJ191" s="688">
        <f>IFERROR(VLOOKUP($A191,'[93]12月'!$A:$H,8,0),0)</f>
        <v>0</v>
      </c>
      <c r="AK191" s="688">
        <f t="shared" si="101"/>
        <v>0</v>
      </c>
    </row>
    <row r="192" spans="1:37" ht="13.5" customHeight="1">
      <c r="A192" s="653" t="str">
        <f>'Budget-合并'!A192</f>
        <v>6301.99</v>
      </c>
      <c r="B192" s="653" t="str">
        <f>'Budget-合并'!B192</f>
        <v>其他</v>
      </c>
      <c r="C192" s="687">
        <f>'Budget-合并'!C192</f>
        <v>0</v>
      </c>
      <c r="D192" s="676">
        <f t="shared" si="99"/>
        <v>0</v>
      </c>
      <c r="E192" s="676" t="e">
        <f>INDEX($Y192:AHV192,1,MATCH($E$6,$Y$6:$AJ$6))</f>
        <v>#N/A</v>
      </c>
      <c r="F192" s="676" t="e">
        <f t="shared" si="93"/>
        <v>#N/A</v>
      </c>
      <c r="G192" s="676">
        <f t="shared" ca="1" si="94"/>
        <v>0</v>
      </c>
      <c r="H192" s="676" t="e">
        <f t="shared" ca="1" si="95"/>
        <v>#N/A</v>
      </c>
      <c r="I192" s="676" t="e">
        <f t="shared" ca="1" si="96"/>
        <v>#N/A</v>
      </c>
      <c r="K192" s="676"/>
      <c r="L192" s="676"/>
      <c r="M192" s="676"/>
      <c r="N192" s="676"/>
      <c r="O192" s="676"/>
      <c r="P192" s="676"/>
      <c r="Q192" s="676"/>
      <c r="R192" s="676"/>
      <c r="S192" s="676"/>
      <c r="T192" s="676"/>
      <c r="U192" s="676"/>
      <c r="V192" s="676"/>
      <c r="W192" s="676">
        <f t="shared" si="92"/>
        <v>0</v>
      </c>
      <c r="Y192" s="688">
        <f>IFERROR(VLOOKUP(A192,'[93]1月'!$A:$H,8,0),0)</f>
        <v>0</v>
      </c>
      <c r="Z192" s="688">
        <f>IFERROR(VLOOKUP(A192,'[93]2月'!$A:$H,8,0),0)</f>
        <v>0</v>
      </c>
      <c r="AA192" s="688">
        <f>IFERROR(VLOOKUP($A192,'[93]3月'!$A:$H,8,0),0)</f>
        <v>0</v>
      </c>
      <c r="AB192" s="688">
        <f>IFERROR(VLOOKUP($A192,'[93]4月'!$A:$H,8,0),0)</f>
        <v>0</v>
      </c>
      <c r="AC192" s="688">
        <f>IFERROR(VLOOKUP($A192,'[93]5月'!$A:$H,8,0),0)</f>
        <v>0</v>
      </c>
      <c r="AD192" s="688">
        <f>IFERROR(VLOOKUP($A192,'[93]6月'!$A:$H,8,0),0)</f>
        <v>0</v>
      </c>
      <c r="AE192" s="688">
        <f>IFERROR(VLOOKUP($A192,'[93]7月'!$A:$H,8,0),0)</f>
        <v>0</v>
      </c>
      <c r="AF192" s="688">
        <f>IFERROR(VLOOKUP($A192,'[93]8月'!$A:$H,8,0),0)</f>
        <v>0</v>
      </c>
      <c r="AG192" s="688">
        <f>IFERROR(VLOOKUP($A192,'[93]9月'!$A:$H,8,0),0)</f>
        <v>0</v>
      </c>
      <c r="AH192" s="688">
        <f>IFERROR(VLOOKUP($A192,'[93]10月'!$A:$H,8,0),0)</f>
        <v>0</v>
      </c>
      <c r="AI192" s="688">
        <f>IFERROR(VLOOKUP($A192,'[93]11月'!$A:$H,8,0),0)</f>
        <v>0</v>
      </c>
      <c r="AJ192" s="688">
        <f>IFERROR(VLOOKUP($A192,'[93]12月'!$A:$H,8,0),0)</f>
        <v>0</v>
      </c>
      <c r="AK192" s="688">
        <f t="shared" si="101"/>
        <v>0</v>
      </c>
    </row>
    <row r="193" spans="1:37" ht="13.5" customHeight="1">
      <c r="A193" s="653" t="str">
        <f>'Budget-合并'!A193</f>
        <v>6402</v>
      </c>
      <c r="B193" s="653" t="str">
        <f>'Budget-合并'!B193</f>
        <v>其他业务成本</v>
      </c>
      <c r="C193" s="687">
        <f>'Budget-合并'!C193</f>
        <v>0</v>
      </c>
      <c r="D193" s="676">
        <f t="shared" si="99"/>
        <v>0</v>
      </c>
      <c r="E193" s="676" t="e">
        <f>INDEX($Y193:AHV193,1,MATCH($E$6,$Y$6:$AJ$6))</f>
        <v>#N/A</v>
      </c>
      <c r="F193" s="676" t="e">
        <f t="shared" si="93"/>
        <v>#N/A</v>
      </c>
      <c r="G193" s="676">
        <f t="shared" ca="1" si="94"/>
        <v>0</v>
      </c>
      <c r="H193" s="676" t="e">
        <f t="shared" ca="1" si="95"/>
        <v>#N/A</v>
      </c>
      <c r="I193" s="676" t="e">
        <f t="shared" ca="1" si="96"/>
        <v>#N/A</v>
      </c>
      <c r="K193" s="676"/>
      <c r="L193" s="676"/>
      <c r="M193" s="676"/>
      <c r="N193" s="676"/>
      <c r="O193" s="676"/>
      <c r="P193" s="676"/>
      <c r="Q193" s="676"/>
      <c r="R193" s="676"/>
      <c r="S193" s="676"/>
      <c r="T193" s="676"/>
      <c r="U193" s="676"/>
      <c r="V193" s="676"/>
      <c r="W193" s="676">
        <f t="shared" si="92"/>
        <v>0</v>
      </c>
      <c r="Y193" s="688">
        <f>IFERROR(VLOOKUP(A193,'[93]1月'!$A:$H,8,0),0)</f>
        <v>0</v>
      </c>
      <c r="Z193" s="688">
        <f>IFERROR(VLOOKUP(A193,'[93]2月'!$A:$H,8,0),0)</f>
        <v>0</v>
      </c>
      <c r="AA193" s="688">
        <f>IFERROR(VLOOKUP($A193,'[93]3月'!$A:$H,8,0),0)</f>
        <v>0</v>
      </c>
      <c r="AB193" s="688">
        <f>IFERROR(VLOOKUP($A193,'[93]4月'!$A:$H,8,0),0)</f>
        <v>0</v>
      </c>
      <c r="AC193" s="688">
        <f>IFERROR(VLOOKUP($A193,'[93]5月'!$A:$H,8,0),0)</f>
        <v>0</v>
      </c>
      <c r="AD193" s="688">
        <f>IFERROR(VLOOKUP($A193,'[93]6月'!$A:$H,8,0),0)</f>
        <v>0</v>
      </c>
      <c r="AE193" s="688">
        <f>IFERROR(VLOOKUP($A193,'[93]7月'!$A:$H,8,0),0)</f>
        <v>0</v>
      </c>
      <c r="AF193" s="688">
        <f>IFERROR(VLOOKUP($A193,'[93]8月'!$A:$H,8,0),0)</f>
        <v>0</v>
      </c>
      <c r="AG193" s="688">
        <f>IFERROR(VLOOKUP($A193,'[93]9月'!$A:$H,8,0),0)</f>
        <v>0</v>
      </c>
      <c r="AH193" s="688">
        <f>IFERROR(VLOOKUP($A193,'[93]10月'!$A:$H,8,0),0)</f>
        <v>0</v>
      </c>
      <c r="AI193" s="688">
        <f>IFERROR(VLOOKUP($A193,'[93]11月'!$A:$H,8,0),0)</f>
        <v>0</v>
      </c>
      <c r="AJ193" s="688">
        <f>IFERROR(VLOOKUP($A193,'[93]12月'!$A:$H,8,0),0)</f>
        <v>0</v>
      </c>
      <c r="AK193" s="688">
        <f t="shared" si="101"/>
        <v>0</v>
      </c>
    </row>
    <row r="194" spans="1:37" ht="13.5" customHeight="1">
      <c r="A194" s="653" t="str">
        <f>'Budget-合并'!A194</f>
        <v>6701</v>
      </c>
      <c r="B194" s="653" t="str">
        <f>'Budget-合并'!B194</f>
        <v>资产减值损失</v>
      </c>
      <c r="C194" s="687" t="str">
        <f>'Budget-合并'!C194</f>
        <v>Impairment loss</v>
      </c>
      <c r="D194" s="676">
        <f t="shared" si="99"/>
        <v>0</v>
      </c>
      <c r="E194" s="676" t="e">
        <f>INDEX($Y194:AHV194,1,MATCH($E$6,$Y$6:$AJ$6))</f>
        <v>#N/A</v>
      </c>
      <c r="F194" s="676" t="e">
        <f t="shared" si="93"/>
        <v>#N/A</v>
      </c>
      <c r="G194" s="676">
        <f t="shared" ca="1" si="94"/>
        <v>0</v>
      </c>
      <c r="H194" s="676" t="e">
        <f t="shared" ca="1" si="95"/>
        <v>#N/A</v>
      </c>
      <c r="I194" s="676" t="e">
        <f t="shared" ca="1" si="96"/>
        <v>#N/A</v>
      </c>
      <c r="K194" s="676"/>
      <c r="L194" s="676"/>
      <c r="M194" s="676"/>
      <c r="N194" s="676"/>
      <c r="O194" s="676"/>
      <c r="P194" s="676"/>
      <c r="Q194" s="676"/>
      <c r="R194" s="676"/>
      <c r="S194" s="676"/>
      <c r="T194" s="676"/>
      <c r="U194" s="676"/>
      <c r="V194" s="676"/>
      <c r="W194" s="676">
        <f t="shared" si="92"/>
        <v>0</v>
      </c>
      <c r="Y194" s="688">
        <f>IFERROR(VLOOKUP(A194,'[93]1月'!$A:$H,8,0),0)</f>
        <v>0</v>
      </c>
      <c r="Z194" s="688">
        <f>IFERROR(VLOOKUP(A194,'[93]2月'!$A:$H,8,0),0)</f>
        <v>0</v>
      </c>
      <c r="AA194" s="688">
        <f>IFERROR(VLOOKUP($A194,'[93]3月'!$A:$H,8,0),0)</f>
        <v>0</v>
      </c>
      <c r="AB194" s="688">
        <f>IFERROR(VLOOKUP($A194,'[93]4月'!$A:$H,8,0),0)</f>
        <v>0</v>
      </c>
      <c r="AC194" s="688">
        <f>IFERROR(VLOOKUP($A194,'[93]5月'!$A:$H,8,0),0)</f>
        <v>0</v>
      </c>
      <c r="AD194" s="688">
        <f>IFERROR(VLOOKUP($A194,'[93]6月'!$A:$H,8,0),0)</f>
        <v>0</v>
      </c>
      <c r="AE194" s="688">
        <f>IFERROR(VLOOKUP($A194,'[93]7月'!$A:$H,8,0),0)</f>
        <v>0</v>
      </c>
      <c r="AF194" s="688">
        <f>IFERROR(VLOOKUP($A194,'[93]8月'!$A:$H,8,0),0)</f>
        <v>0</v>
      </c>
      <c r="AG194" s="688">
        <f>IFERROR(VLOOKUP($A194,'[93]9月'!$A:$H,8,0),0)</f>
        <v>0</v>
      </c>
      <c r="AH194" s="688">
        <f>IFERROR(VLOOKUP($A194,'[93]10月'!$A:$H,8,0),0)</f>
        <v>0</v>
      </c>
      <c r="AI194" s="688">
        <f>IFERROR(VLOOKUP($A194,'[93]11月'!$A:$H,8,0),0)</f>
        <v>0</v>
      </c>
      <c r="AJ194" s="688">
        <f>IFERROR(VLOOKUP($A194,'[93]12月'!$A:$H,8,0),0)</f>
        <v>0</v>
      </c>
      <c r="AK194" s="688">
        <f t="shared" si="101"/>
        <v>0</v>
      </c>
    </row>
    <row r="195" spans="1:37" s="649" customFormat="1" ht="13.5" customHeight="1">
      <c r="A195" s="653" t="str">
        <f>'Budget-合并'!A195</f>
        <v>6711</v>
      </c>
      <c r="B195" s="653" t="str">
        <f>'Budget-合并'!B195</f>
        <v>营业外支出</v>
      </c>
      <c r="C195" s="687">
        <f>'Budget-合并'!C195</f>
        <v>0</v>
      </c>
      <c r="D195" s="676">
        <f t="shared" si="99"/>
        <v>0</v>
      </c>
      <c r="E195" s="676" t="e">
        <f>INDEX($Y195:AHV195,1,MATCH($E$6,$Y$6:$AJ$6))</f>
        <v>#N/A</v>
      </c>
      <c r="F195" s="676" t="e">
        <f t="shared" si="93"/>
        <v>#N/A</v>
      </c>
      <c r="G195" s="676">
        <f t="shared" ca="1" si="94"/>
        <v>0</v>
      </c>
      <c r="H195" s="676" t="e">
        <f t="shared" ca="1" si="95"/>
        <v>#N/A</v>
      </c>
      <c r="I195" s="676" t="e">
        <f t="shared" ca="1" si="96"/>
        <v>#N/A</v>
      </c>
      <c r="J195" s="654"/>
      <c r="K195" s="676">
        <f>SUM(K196:K197)</f>
        <v>0</v>
      </c>
      <c r="L195" s="676">
        <f t="shared" ref="L195:V195" si="102">SUM(L196:L197)</f>
        <v>0</v>
      </c>
      <c r="M195" s="676">
        <f t="shared" si="102"/>
        <v>0</v>
      </c>
      <c r="N195" s="676">
        <f t="shared" si="102"/>
        <v>0</v>
      </c>
      <c r="O195" s="676">
        <f t="shared" si="102"/>
        <v>0</v>
      </c>
      <c r="P195" s="676">
        <f t="shared" si="102"/>
        <v>0</v>
      </c>
      <c r="Q195" s="676">
        <f t="shared" si="102"/>
        <v>0</v>
      </c>
      <c r="R195" s="676">
        <f t="shared" si="102"/>
        <v>0</v>
      </c>
      <c r="S195" s="676">
        <f t="shared" si="102"/>
        <v>0</v>
      </c>
      <c r="T195" s="676">
        <f t="shared" si="102"/>
        <v>0</v>
      </c>
      <c r="U195" s="676">
        <f t="shared" si="102"/>
        <v>0</v>
      </c>
      <c r="V195" s="676">
        <f t="shared" si="102"/>
        <v>0</v>
      </c>
      <c r="W195" s="676">
        <f t="shared" si="92"/>
        <v>0</v>
      </c>
      <c r="Y195" s="688">
        <f>IFERROR(VLOOKUP(A195,'[93]1月'!$A:$H,8,0),0)</f>
        <v>0</v>
      </c>
      <c r="Z195" s="688">
        <f>IFERROR(VLOOKUP(A195,'[93]2月'!$A:$H,8,0),0)</f>
        <v>0</v>
      </c>
      <c r="AA195" s="688">
        <f>IFERROR(VLOOKUP($A195,'[93]3月'!$A:$H,8,0),0)</f>
        <v>0</v>
      </c>
      <c r="AB195" s="688">
        <f>IFERROR(VLOOKUP($A195,'[93]4月'!$A:$H,8,0),0)</f>
        <v>0</v>
      </c>
      <c r="AC195" s="688">
        <f>IFERROR(VLOOKUP($A195,'[93]5月'!$A:$H,8,0),0)</f>
        <v>0</v>
      </c>
      <c r="AD195" s="688">
        <f>IFERROR(VLOOKUP($A195,'[93]6月'!$A:$H,8,0),0)</f>
        <v>0</v>
      </c>
      <c r="AE195" s="688">
        <f>IFERROR(VLOOKUP($A195,'[93]7月'!$A:$H,8,0),0)</f>
        <v>0</v>
      </c>
      <c r="AF195" s="688">
        <f>IFERROR(VLOOKUP($A195,'[93]8月'!$A:$H,8,0),0)</f>
        <v>0</v>
      </c>
      <c r="AG195" s="688">
        <f>IFERROR(VLOOKUP($A195,'[93]9月'!$A:$H,8,0),0)</f>
        <v>0</v>
      </c>
      <c r="AH195" s="688">
        <f>IFERROR(VLOOKUP($A195,'[93]10月'!$A:$H,8,0),0)</f>
        <v>0</v>
      </c>
      <c r="AI195" s="688">
        <f>IFERROR(VLOOKUP($A195,'[93]11月'!$A:$H,8,0),0)</f>
        <v>0</v>
      </c>
      <c r="AJ195" s="688">
        <f>IFERROR(VLOOKUP($A195,'[93]12月'!$A:$H,8,0),0)</f>
        <v>0</v>
      </c>
      <c r="AK195" s="688">
        <f t="shared" si="101"/>
        <v>0</v>
      </c>
    </row>
    <row r="196" spans="1:37" ht="13.5" customHeight="1">
      <c r="A196" s="653" t="str">
        <f>'Budget-合并'!A196</f>
        <v>6711.01</v>
      </c>
      <c r="B196" s="653" t="str">
        <f>'Budget-合并'!B196</f>
        <v>滞纳金</v>
      </c>
      <c r="C196" s="687">
        <f>'Budget-合并'!C196</f>
        <v>0</v>
      </c>
      <c r="D196" s="676">
        <f t="shared" si="99"/>
        <v>0</v>
      </c>
      <c r="E196" s="676" t="e">
        <f>INDEX($Y196:AHV196,1,MATCH($E$6,$Y$6:$AJ$6))</f>
        <v>#N/A</v>
      </c>
      <c r="F196" s="676" t="e">
        <f t="shared" si="93"/>
        <v>#N/A</v>
      </c>
      <c r="G196" s="676">
        <f t="shared" ca="1" si="94"/>
        <v>0</v>
      </c>
      <c r="H196" s="676" t="e">
        <f t="shared" ca="1" si="95"/>
        <v>#N/A</v>
      </c>
      <c r="I196" s="676" t="e">
        <f t="shared" ca="1" si="96"/>
        <v>#N/A</v>
      </c>
      <c r="K196" s="676"/>
      <c r="L196" s="676"/>
      <c r="M196" s="676"/>
      <c r="N196" s="676"/>
      <c r="O196" s="676"/>
      <c r="P196" s="676"/>
      <c r="Q196" s="676"/>
      <c r="R196" s="676"/>
      <c r="S196" s="676"/>
      <c r="T196" s="676"/>
      <c r="U196" s="676"/>
      <c r="V196" s="676"/>
      <c r="W196" s="676">
        <f t="shared" si="92"/>
        <v>0</v>
      </c>
      <c r="Y196" s="688">
        <f>IFERROR(VLOOKUP(A196,'[93]1月'!$A:$H,8,0),0)</f>
        <v>0</v>
      </c>
      <c r="Z196" s="688">
        <f>IFERROR(VLOOKUP(A196,'[93]2月'!$A:$H,8,0),0)</f>
        <v>0</v>
      </c>
      <c r="AA196" s="688">
        <f>IFERROR(VLOOKUP($A196,'[93]3月'!$A:$H,8,0),0)</f>
        <v>0</v>
      </c>
      <c r="AB196" s="688">
        <f>IFERROR(VLOOKUP($A196,'[93]4月'!$A:$H,8,0),0)</f>
        <v>0</v>
      </c>
      <c r="AC196" s="688">
        <f>IFERROR(VLOOKUP($A196,'[93]5月'!$A:$H,8,0),0)</f>
        <v>0</v>
      </c>
      <c r="AD196" s="688">
        <f>IFERROR(VLOOKUP($A196,'[93]6月'!$A:$H,8,0),0)</f>
        <v>0</v>
      </c>
      <c r="AE196" s="688">
        <f>IFERROR(VLOOKUP($A196,'[93]7月'!$A:$H,8,0),0)</f>
        <v>0</v>
      </c>
      <c r="AF196" s="688">
        <f>IFERROR(VLOOKUP($A196,'[93]8月'!$A:$H,8,0),0)</f>
        <v>0</v>
      </c>
      <c r="AG196" s="688">
        <f>IFERROR(VLOOKUP($A196,'[93]9月'!$A:$H,8,0),0)</f>
        <v>0</v>
      </c>
      <c r="AH196" s="688">
        <f>IFERROR(VLOOKUP($A196,'[93]10月'!$A:$H,8,0),0)</f>
        <v>0</v>
      </c>
      <c r="AI196" s="688">
        <f>IFERROR(VLOOKUP($A196,'[93]11月'!$A:$H,8,0),0)</f>
        <v>0</v>
      </c>
      <c r="AJ196" s="688">
        <f>IFERROR(VLOOKUP($A196,'[93]12月'!$A:$H,8,0),0)</f>
        <v>0</v>
      </c>
      <c r="AK196" s="688">
        <f t="shared" si="101"/>
        <v>0</v>
      </c>
    </row>
    <row r="197" spans="1:37" ht="13.5" customHeight="1">
      <c r="A197" s="653" t="str">
        <f>'Budget-合并'!A197</f>
        <v>6711.02</v>
      </c>
      <c r="B197" s="653" t="str">
        <f>'Budget-合并'!B197</f>
        <v>非流动资产处置损失</v>
      </c>
      <c r="C197" s="687">
        <f>'Budget-合并'!C197</f>
        <v>0</v>
      </c>
      <c r="D197" s="676">
        <f t="shared" si="99"/>
        <v>0</v>
      </c>
      <c r="E197" s="676" t="e">
        <f>INDEX($Y197:AHV197,1,MATCH($E$6,$Y$6:$AJ$6))</f>
        <v>#N/A</v>
      </c>
      <c r="F197" s="676" t="e">
        <f t="shared" si="93"/>
        <v>#N/A</v>
      </c>
      <c r="G197" s="676">
        <f t="shared" ca="1" si="94"/>
        <v>0</v>
      </c>
      <c r="H197" s="676" t="e">
        <f t="shared" ca="1" si="95"/>
        <v>#N/A</v>
      </c>
      <c r="I197" s="676" t="e">
        <f t="shared" ca="1" si="96"/>
        <v>#N/A</v>
      </c>
      <c r="K197" s="676"/>
      <c r="L197" s="676"/>
      <c r="M197" s="676"/>
      <c r="N197" s="676"/>
      <c r="O197" s="676"/>
      <c r="P197" s="676"/>
      <c r="Q197" s="676"/>
      <c r="R197" s="676"/>
      <c r="S197" s="676"/>
      <c r="T197" s="676"/>
      <c r="U197" s="676"/>
      <c r="V197" s="676"/>
      <c r="W197" s="676">
        <f t="shared" si="92"/>
        <v>0</v>
      </c>
      <c r="Y197" s="688">
        <f>IFERROR(VLOOKUP(A197,'[93]1月'!$A:$H,8,0),0)</f>
        <v>0</v>
      </c>
      <c r="Z197" s="688">
        <f>IFERROR(VLOOKUP(A197,'[93]2月'!$A:$H,8,0),0)</f>
        <v>0</v>
      </c>
      <c r="AA197" s="688">
        <f>IFERROR(VLOOKUP($A197,'[93]3月'!$A:$H,8,0),0)</f>
        <v>0</v>
      </c>
      <c r="AB197" s="688">
        <f>IFERROR(VLOOKUP($A197,'[93]4月'!$A:$H,8,0),0)</f>
        <v>0</v>
      </c>
      <c r="AC197" s="688">
        <f>IFERROR(VLOOKUP($A197,'[93]5月'!$A:$H,8,0),0)</f>
        <v>0</v>
      </c>
      <c r="AD197" s="688">
        <f>IFERROR(VLOOKUP($A197,'[93]6月'!$A:$H,8,0),0)</f>
        <v>0</v>
      </c>
      <c r="AE197" s="688">
        <f>IFERROR(VLOOKUP($A197,'[93]7月'!$A:$H,8,0),0)</f>
        <v>0</v>
      </c>
      <c r="AF197" s="688">
        <f>IFERROR(VLOOKUP($A197,'[93]8月'!$A:$H,8,0),0)</f>
        <v>0</v>
      </c>
      <c r="AG197" s="688">
        <f>IFERROR(VLOOKUP($A197,'[93]9月'!$A:$H,8,0),0)</f>
        <v>0</v>
      </c>
      <c r="AH197" s="688">
        <f>IFERROR(VLOOKUP($A197,'[93]10月'!$A:$H,8,0),0)</f>
        <v>0</v>
      </c>
      <c r="AI197" s="688">
        <f>IFERROR(VLOOKUP($A197,'[93]11月'!$A:$H,8,0),0)</f>
        <v>0</v>
      </c>
      <c r="AJ197" s="688">
        <f>IFERROR(VLOOKUP($A197,'[93]12月'!$A:$H,8,0),0)</f>
        <v>0</v>
      </c>
      <c r="AK197" s="688">
        <f t="shared" si="101"/>
        <v>0</v>
      </c>
    </row>
    <row r="198" spans="1:37" ht="13.5" customHeight="1">
      <c r="A198" s="653" t="str">
        <f>'Budget-合并'!A198</f>
        <v>6901</v>
      </c>
      <c r="B198" s="653" t="str">
        <f>'Budget-合并'!B198</f>
        <v>以前年度损益调整</v>
      </c>
      <c r="C198" s="687">
        <f>'Budget-合并'!C198</f>
        <v>0</v>
      </c>
      <c r="D198" s="676">
        <f t="shared" si="99"/>
        <v>0</v>
      </c>
      <c r="E198" s="676" t="e">
        <f>INDEX($Y198:AHV198,1,MATCH($E$6,$Y$6:$AJ$6))</f>
        <v>#N/A</v>
      </c>
      <c r="F198" s="676" t="e">
        <f t="shared" si="93"/>
        <v>#N/A</v>
      </c>
      <c r="G198" s="676">
        <f t="shared" ca="1" si="94"/>
        <v>0</v>
      </c>
      <c r="H198" s="676" t="e">
        <f t="shared" ca="1" si="95"/>
        <v>#N/A</v>
      </c>
      <c r="I198" s="676" t="e">
        <f t="shared" ca="1" si="96"/>
        <v>#N/A</v>
      </c>
      <c r="K198" s="676"/>
      <c r="L198" s="676"/>
      <c r="M198" s="676"/>
      <c r="N198" s="676"/>
      <c r="O198" s="676"/>
      <c r="P198" s="676"/>
      <c r="Q198" s="676"/>
      <c r="R198" s="676"/>
      <c r="S198" s="676"/>
      <c r="T198" s="676"/>
      <c r="U198" s="676"/>
      <c r="V198" s="676"/>
      <c r="W198" s="676">
        <f t="shared" si="92"/>
        <v>0</v>
      </c>
      <c r="Y198" s="688">
        <f>IFERROR(VLOOKUP(A198,'[93]1月'!$A:$H,8,0),0)</f>
        <v>0</v>
      </c>
      <c r="Z198" s="688">
        <f>IFERROR(VLOOKUP(A198,'[93]2月'!$A:$H,8,0),0)</f>
        <v>0</v>
      </c>
      <c r="AA198" s="688">
        <f>IFERROR(VLOOKUP($A198,'[93]3月'!$A:$H,8,0),0)</f>
        <v>0</v>
      </c>
      <c r="AB198" s="688">
        <f>IFERROR(VLOOKUP($A198,'[93]4月'!$A:$H,8,0),0)</f>
        <v>0</v>
      </c>
      <c r="AC198" s="688">
        <f>IFERROR(VLOOKUP($A198,'[93]5月'!$A:$H,8,0),0)</f>
        <v>0</v>
      </c>
      <c r="AD198" s="688">
        <f>IFERROR(VLOOKUP($A198,'[93]6月'!$A:$H,8,0),0)</f>
        <v>0</v>
      </c>
      <c r="AE198" s="688">
        <f>IFERROR(VLOOKUP($A198,'[93]7月'!$A:$H,8,0),0)</f>
        <v>0</v>
      </c>
      <c r="AF198" s="688">
        <f>IFERROR(VLOOKUP($A198,'[93]8月'!$A:$H,8,0),0)</f>
        <v>0</v>
      </c>
      <c r="AG198" s="688">
        <f>IFERROR(VLOOKUP($A198,'[93]9月'!$A:$H,8,0),0)</f>
        <v>0</v>
      </c>
      <c r="AH198" s="688">
        <f>IFERROR(VLOOKUP($A198,'[93]10月'!$A:$H,8,0),0)</f>
        <v>0</v>
      </c>
      <c r="AI198" s="688">
        <f>IFERROR(VLOOKUP($A198,'[93]11月'!$A:$H,8,0),0)</f>
        <v>0</v>
      </c>
      <c r="AJ198" s="688">
        <f>IFERROR(VLOOKUP($A198,'[93]12月'!$A:$H,8,0),0)</f>
        <v>0</v>
      </c>
      <c r="AK198" s="688">
        <f t="shared" si="101"/>
        <v>0</v>
      </c>
    </row>
    <row r="199" spans="1:37" ht="13.5" customHeight="1">
      <c r="A199" s="686">
        <f>'Budget-合并'!A199</f>
        <v>0</v>
      </c>
      <c r="B199" s="686" t="str">
        <f>'Budget-合并'!B199</f>
        <v>营业外收入 (支-, 收+):</v>
      </c>
      <c r="C199" s="687">
        <f>'Budget-合并'!C199</f>
        <v>0</v>
      </c>
      <c r="D199" s="677">
        <f t="shared" si="99"/>
        <v>0</v>
      </c>
      <c r="E199" s="677" t="e">
        <f>INDEX($Y199:AHV199,1,MATCH($E$6,$Y$6:$AJ$6))</f>
        <v>#N/A</v>
      </c>
      <c r="F199" s="677" t="e">
        <f t="shared" si="93"/>
        <v>#N/A</v>
      </c>
      <c r="G199" s="677">
        <f t="shared" ca="1" si="94"/>
        <v>0</v>
      </c>
      <c r="H199" s="677" t="e">
        <f t="shared" ca="1" si="95"/>
        <v>#N/A</v>
      </c>
      <c r="I199" s="677" t="e">
        <f t="shared" ca="1" si="96"/>
        <v>#N/A</v>
      </c>
      <c r="K199" s="677">
        <f>K187-K193-K194-K195-K198</f>
        <v>0</v>
      </c>
      <c r="L199" s="677">
        <f>L187-L193-L194-L195-L198</f>
        <v>0</v>
      </c>
      <c r="M199" s="677">
        <f>M187-M193-M194-M195-M198</f>
        <v>0</v>
      </c>
      <c r="N199" s="677">
        <f t="shared" ref="N199:W199" si="103">N187-N193-N194-N195-N198</f>
        <v>0</v>
      </c>
      <c r="O199" s="677">
        <f t="shared" si="103"/>
        <v>0</v>
      </c>
      <c r="P199" s="677">
        <f t="shared" si="103"/>
        <v>0</v>
      </c>
      <c r="Q199" s="677">
        <f t="shared" si="103"/>
        <v>0</v>
      </c>
      <c r="R199" s="677">
        <f t="shared" si="103"/>
        <v>0</v>
      </c>
      <c r="S199" s="677">
        <f t="shared" si="103"/>
        <v>0</v>
      </c>
      <c r="T199" s="677">
        <f t="shared" si="103"/>
        <v>0</v>
      </c>
      <c r="U199" s="677">
        <f t="shared" si="103"/>
        <v>0</v>
      </c>
      <c r="V199" s="677">
        <f t="shared" si="103"/>
        <v>0</v>
      </c>
      <c r="W199" s="677">
        <f t="shared" si="103"/>
        <v>0</v>
      </c>
      <c r="Y199" s="677">
        <f>Y187-Y193-Y194-Y195-Y198</f>
        <v>0</v>
      </c>
      <c r="Z199" s="677">
        <f t="shared" ref="Z199:AK199" si="104">Z187-Z193-Z194-Z195-Z198</f>
        <v>0</v>
      </c>
      <c r="AA199" s="677">
        <f t="shared" si="104"/>
        <v>0</v>
      </c>
      <c r="AB199" s="677">
        <f t="shared" si="104"/>
        <v>0</v>
      </c>
      <c r="AC199" s="677">
        <f t="shared" si="104"/>
        <v>0</v>
      </c>
      <c r="AD199" s="677">
        <f t="shared" si="104"/>
        <v>0</v>
      </c>
      <c r="AE199" s="677">
        <f t="shared" si="104"/>
        <v>0</v>
      </c>
      <c r="AF199" s="677">
        <f t="shared" si="104"/>
        <v>0</v>
      </c>
      <c r="AG199" s="677">
        <f t="shared" si="104"/>
        <v>0</v>
      </c>
      <c r="AH199" s="677">
        <f t="shared" si="104"/>
        <v>0</v>
      </c>
      <c r="AI199" s="677">
        <f t="shared" si="104"/>
        <v>0</v>
      </c>
      <c r="AJ199" s="677">
        <f t="shared" si="104"/>
        <v>0</v>
      </c>
      <c r="AK199" s="677">
        <f t="shared" si="104"/>
        <v>0</v>
      </c>
    </row>
    <row r="200" spans="1:37" ht="13.5" customHeight="1">
      <c r="A200" s="653">
        <f>'Budget-合并'!A200</f>
        <v>0</v>
      </c>
      <c r="B200" s="653">
        <f>'Budget-合并'!B200</f>
        <v>0</v>
      </c>
      <c r="C200" s="687">
        <f>'Budget-合并'!C200</f>
        <v>0</v>
      </c>
      <c r="D200" s="677"/>
      <c r="E200" s="677"/>
      <c r="F200" s="677"/>
      <c r="G200" s="677"/>
      <c r="H200" s="677"/>
      <c r="I200" s="677"/>
      <c r="K200" s="698"/>
      <c r="S200" s="677"/>
    </row>
    <row r="201" spans="1:37" ht="13.5" customHeight="1">
      <c r="A201" s="686">
        <f>'Budget-合并'!A201</f>
        <v>0</v>
      </c>
      <c r="B201" s="686" t="str">
        <f>'Budget-合并'!B201</f>
        <v>利润总额 (税前利润)</v>
      </c>
      <c r="C201" s="687">
        <f>'Budget-合并'!C201</f>
        <v>0</v>
      </c>
      <c r="D201" s="677">
        <f ca="1">INDEX($K201:$V201,1,MATCH($D$6,$K$6:$V$6))</f>
        <v>-306089.67249999999</v>
      </c>
      <c r="E201" s="677" t="e">
        <f>INDEX($Y201:AHV201,1,MATCH($E$6,$Y$6:$AJ$6))</f>
        <v>#N/A</v>
      </c>
      <c r="F201" s="677" t="e">
        <f t="shared" ref="F201:F205" ca="1" si="105">D201-E201</f>
        <v>#N/A</v>
      </c>
      <c r="G201" s="677">
        <f t="shared" ca="1" si="94"/>
        <v>-306089.67249999999</v>
      </c>
      <c r="H201" s="677" t="e">
        <f t="shared" ref="H201:H205" ca="1" si="106">SUM($Y201:OFFSET($Y201,0,MATCH(H$6,$Y$6:$AJ$6)-1))</f>
        <v>#N/A</v>
      </c>
      <c r="I201" s="677" t="e">
        <f t="shared" ref="I201:I205" ca="1" si="107">G201-H201</f>
        <v>#N/A</v>
      </c>
      <c r="K201" s="677">
        <f ca="1">K185+K199</f>
        <v>-306089.67249999999</v>
      </c>
      <c r="L201" s="677">
        <f t="shared" ref="L201:W201" ca="1" si="108">L185+L199</f>
        <v>-315959.67249999999</v>
      </c>
      <c r="M201" s="677">
        <f t="shared" ca="1" si="108"/>
        <v>-296359.67249999999</v>
      </c>
      <c r="N201" s="677">
        <f t="shared" ca="1" si="108"/>
        <v>-678764.63249999995</v>
      </c>
      <c r="O201" s="677">
        <f t="shared" ca="1" si="108"/>
        <v>-357764.63250000001</v>
      </c>
      <c r="P201" s="677">
        <f t="shared" ca="1" si="108"/>
        <v>-452284.63250000001</v>
      </c>
      <c r="Q201" s="677">
        <f t="shared" ca="1" si="108"/>
        <v>-356931.29916666663</v>
      </c>
      <c r="R201" s="677">
        <f t="shared" ca="1" si="108"/>
        <v>-356931.29916666663</v>
      </c>
      <c r="S201" s="677">
        <f t="shared" ca="1" si="108"/>
        <v>-356931.29916666663</v>
      </c>
      <c r="T201" s="677">
        <f t="shared" ca="1" si="108"/>
        <v>-366931.29916666663</v>
      </c>
      <c r="U201" s="677">
        <f t="shared" ca="1" si="108"/>
        <v>-356931.29916666663</v>
      </c>
      <c r="V201" s="677">
        <f t="shared" ca="1" si="108"/>
        <v>-356931.29916666663</v>
      </c>
      <c r="W201" s="677">
        <f t="shared" ca="1" si="108"/>
        <v>-4558810.71</v>
      </c>
      <c r="Y201" s="677">
        <f>Y185+Y199</f>
        <v>-294957.94</v>
      </c>
      <c r="Z201" s="677">
        <f t="shared" ref="Z201:AK201" si="109">Z185+Z199</f>
        <v>-316336.85000000003</v>
      </c>
      <c r="AA201" s="677">
        <f t="shared" si="109"/>
        <v>-334990.27</v>
      </c>
      <c r="AB201" s="677">
        <f t="shared" si="109"/>
        <v>-335003.68</v>
      </c>
      <c r="AC201" s="677">
        <f t="shared" si="109"/>
        <v>-465077.55000000005</v>
      </c>
      <c r="AD201" s="677">
        <f t="shared" si="109"/>
        <v>-375737.91000000003</v>
      </c>
      <c r="AE201" s="677">
        <f t="shared" si="109"/>
        <v>-374546.41999999993</v>
      </c>
      <c r="AF201" s="677">
        <f t="shared" si="109"/>
        <v>-387957</v>
      </c>
      <c r="AG201" s="677">
        <f t="shared" si="109"/>
        <v>-377301.47000000003</v>
      </c>
      <c r="AH201" s="677">
        <f t="shared" si="109"/>
        <v>-357165.58</v>
      </c>
      <c r="AI201" s="677">
        <f t="shared" si="109"/>
        <v>-374641.01</v>
      </c>
      <c r="AJ201" s="677">
        <f t="shared" si="109"/>
        <v>-466437.68999999994</v>
      </c>
      <c r="AK201" s="677">
        <f t="shared" si="109"/>
        <v>-4460153.3699999992</v>
      </c>
    </row>
    <row r="202" spans="1:37" ht="13.5" customHeight="1">
      <c r="A202" s="653">
        <f>'Budget-合并'!A202</f>
        <v>0</v>
      </c>
      <c r="B202" s="653">
        <f>'Budget-合并'!B202</f>
        <v>0</v>
      </c>
      <c r="C202" s="687">
        <f>'Budget-合并'!C202</f>
        <v>0</v>
      </c>
    </row>
    <row r="203" spans="1:37" ht="13.5" customHeight="1">
      <c r="A203" s="653" t="str">
        <f>'Budget-合并'!A203</f>
        <v>6801.01</v>
      </c>
      <c r="B203" s="653" t="str">
        <f>'Budget-合并'!B203</f>
        <v>当期所得税费用</v>
      </c>
      <c r="C203" s="687" t="str">
        <f>'Budget-合并'!C203</f>
        <v>Enterprise Income Tax</v>
      </c>
      <c r="D203" s="676">
        <f t="shared" ref="D203:D205" si="110">INDEX($K203:$V203,1,MATCH($D$6,$K$6:$V$6))</f>
        <v>0</v>
      </c>
      <c r="E203" s="676" t="e">
        <f>INDEX($Y203:AHV203,1,MATCH($E$6,$Y$6:$AJ$6))</f>
        <v>#N/A</v>
      </c>
      <c r="F203" s="676" t="e">
        <f t="shared" si="105"/>
        <v>#N/A</v>
      </c>
      <c r="G203" s="676">
        <f t="shared" ref="G203:G205" ca="1" si="111">SUM($K203:OFFSET($K203,0,MATCH(G$6,$K$6:$V$6)-1))</f>
        <v>0</v>
      </c>
      <c r="H203" s="676" t="e">
        <f t="shared" ca="1" si="106"/>
        <v>#N/A</v>
      </c>
      <c r="I203" s="676" t="e">
        <f t="shared" ca="1" si="107"/>
        <v>#N/A</v>
      </c>
      <c r="K203" s="676"/>
      <c r="L203" s="676"/>
      <c r="M203" s="676"/>
      <c r="N203" s="676"/>
      <c r="O203" s="676"/>
      <c r="P203" s="676"/>
      <c r="Q203" s="676"/>
      <c r="R203" s="676"/>
      <c r="S203" s="676"/>
      <c r="T203" s="676"/>
      <c r="U203" s="676"/>
      <c r="V203" s="676"/>
      <c r="W203" s="676">
        <f t="shared" ref="W203:W205" si="112">SUM(K203:V203)</f>
        <v>0</v>
      </c>
      <c r="Y203" s="688">
        <f>IFERROR(VLOOKUP(A203,'[93]1月'!$A:$H,8,0),0)</f>
        <v>0</v>
      </c>
      <c r="Z203" s="688">
        <f>IFERROR(VLOOKUP(A203,'[93]2月'!$A:$H,8,0),0)</f>
        <v>0</v>
      </c>
      <c r="AA203" s="688">
        <f>IFERROR(VLOOKUP($A203,'[93]3月'!$A:$H,8,0),0)</f>
        <v>0</v>
      </c>
      <c r="AB203" s="688">
        <f>IFERROR(VLOOKUP($A203,'[93]4月'!$A:$H,8,0),0)</f>
        <v>0</v>
      </c>
      <c r="AC203" s="688">
        <f>IFERROR(VLOOKUP($A203,'[93]5月'!$A:$H,8,0),0)</f>
        <v>0</v>
      </c>
      <c r="AD203" s="688">
        <f>IFERROR(VLOOKUP($A203,'[93]6月'!$A:$H,8,0),0)</f>
        <v>0</v>
      </c>
      <c r="AE203" s="688">
        <f>IFERROR(VLOOKUP($A203,'[93]7月'!$A:$H,8,0),0)</f>
        <v>0</v>
      </c>
      <c r="AF203" s="688">
        <f>IFERROR(VLOOKUP($A203,'[93]8月'!$A:$H,8,0),0)</f>
        <v>0</v>
      </c>
      <c r="AG203" s="688">
        <f>IFERROR(VLOOKUP($A203,'[93]9月'!$A:$H,8,0),0)</f>
        <v>0</v>
      </c>
      <c r="AH203" s="688">
        <f>IFERROR(VLOOKUP($A203,'[93]10月'!$A:$H,8,0),0)</f>
        <v>0</v>
      </c>
      <c r="AI203" s="688">
        <f>IFERROR(VLOOKUP($A203,'[93]11月'!$A:$H,8,0),0)</f>
        <v>0</v>
      </c>
      <c r="AJ203" s="688">
        <f>IFERROR(VLOOKUP($A203,'[93]12月'!$A:$H,8,0),0)</f>
        <v>0</v>
      </c>
      <c r="AK203" s="688">
        <f t="shared" ref="AK203:AK205" si="113">SUM(Y203:AJ203)</f>
        <v>0</v>
      </c>
    </row>
    <row r="204" spans="1:37" ht="13.5" customHeight="1">
      <c r="A204" s="653" t="str">
        <f>'Budget-合并'!A204</f>
        <v>6801.02</v>
      </c>
      <c r="B204" s="653" t="str">
        <f>'Budget-合并'!B204</f>
        <v>递延所得税费用</v>
      </c>
      <c r="C204" s="687">
        <f>'Budget-合并'!C204</f>
        <v>0</v>
      </c>
      <c r="D204" s="676">
        <f t="shared" si="110"/>
        <v>0</v>
      </c>
      <c r="E204" s="676" t="e">
        <f>INDEX($Y204:AHV204,1,MATCH($E$6,$Y$6:$AJ$6))</f>
        <v>#N/A</v>
      </c>
      <c r="F204" s="676" t="e">
        <f t="shared" si="105"/>
        <v>#N/A</v>
      </c>
      <c r="G204" s="676">
        <f t="shared" ca="1" si="111"/>
        <v>0</v>
      </c>
      <c r="H204" s="676" t="e">
        <f t="shared" ca="1" si="106"/>
        <v>#N/A</v>
      </c>
      <c r="I204" s="676" t="e">
        <f t="shared" ca="1" si="107"/>
        <v>#N/A</v>
      </c>
      <c r="K204" s="676"/>
      <c r="L204" s="676"/>
      <c r="M204" s="676"/>
      <c r="N204" s="676"/>
      <c r="O204" s="676"/>
      <c r="P204" s="676"/>
      <c r="Q204" s="676"/>
      <c r="R204" s="676"/>
      <c r="S204" s="676"/>
      <c r="T204" s="676"/>
      <c r="U204" s="676"/>
      <c r="V204" s="676"/>
      <c r="W204" s="676">
        <f t="shared" si="112"/>
        <v>0</v>
      </c>
      <c r="Y204" s="688">
        <f>IFERROR(VLOOKUP(A204,'[93]1月'!$A:$H,8,0),0)</f>
        <v>0</v>
      </c>
      <c r="Z204" s="688">
        <f>IFERROR(VLOOKUP(A204,'[93]2月'!$A:$H,8,0),0)</f>
        <v>0</v>
      </c>
      <c r="AA204" s="688">
        <f>IFERROR(VLOOKUP($A204,'[93]3月'!$A:$H,8,0),0)</f>
        <v>0</v>
      </c>
      <c r="AB204" s="688">
        <f>IFERROR(VLOOKUP($A204,'[93]4月'!$A:$H,8,0),0)</f>
        <v>0</v>
      </c>
      <c r="AC204" s="688">
        <f>IFERROR(VLOOKUP($A204,'[93]5月'!$A:$H,8,0),0)</f>
        <v>0</v>
      </c>
      <c r="AD204" s="688">
        <f>IFERROR(VLOOKUP($A204,'[93]6月'!$A:$H,8,0),0)</f>
        <v>0</v>
      </c>
      <c r="AE204" s="688">
        <f>IFERROR(VLOOKUP($A204,'[93]7月'!$A:$H,8,0),0)</f>
        <v>0</v>
      </c>
      <c r="AF204" s="688">
        <f>IFERROR(VLOOKUP($A204,'[93]8月'!$A:$H,8,0),0)</f>
        <v>0</v>
      </c>
      <c r="AG204" s="688">
        <f>IFERROR(VLOOKUP($A204,'[93]9月'!$A:$H,8,0),0)</f>
        <v>0</v>
      </c>
      <c r="AH204" s="688">
        <f>IFERROR(VLOOKUP($A204,'[93]10月'!$A:$H,8,0),0)</f>
        <v>0</v>
      </c>
      <c r="AI204" s="688">
        <f>IFERROR(VLOOKUP($A204,'[93]11月'!$A:$H,8,0),0)</f>
        <v>0</v>
      </c>
      <c r="AJ204" s="688">
        <f>IFERROR(VLOOKUP($A204,'[93]12月'!$A:$H,8,0),0)</f>
        <v>0</v>
      </c>
      <c r="AK204" s="688">
        <f t="shared" si="113"/>
        <v>0</v>
      </c>
    </row>
    <row r="205" spans="1:37" ht="13.5" customHeight="1">
      <c r="A205" s="653" t="str">
        <f>'Budget-合并'!A205</f>
        <v>6801.03</v>
      </c>
      <c r="B205" s="653" t="str">
        <f>'Budget-合并'!B205</f>
        <v>以前年度所得税费用</v>
      </c>
      <c r="C205" s="687">
        <f>'Budget-合并'!C205</f>
        <v>0</v>
      </c>
      <c r="D205" s="676">
        <f t="shared" si="110"/>
        <v>0</v>
      </c>
      <c r="E205" s="676" t="e">
        <f>INDEX($Y205:AHV205,1,MATCH($E$6,$Y$6:$AJ$6))</f>
        <v>#N/A</v>
      </c>
      <c r="F205" s="676" t="e">
        <f t="shared" si="105"/>
        <v>#N/A</v>
      </c>
      <c r="G205" s="676">
        <f t="shared" ca="1" si="111"/>
        <v>0</v>
      </c>
      <c r="H205" s="676" t="e">
        <f t="shared" ca="1" si="106"/>
        <v>#N/A</v>
      </c>
      <c r="I205" s="676" t="e">
        <f t="shared" ca="1" si="107"/>
        <v>#N/A</v>
      </c>
      <c r="K205" s="676"/>
      <c r="L205" s="676"/>
      <c r="M205" s="676"/>
      <c r="N205" s="676"/>
      <c r="O205" s="676"/>
      <c r="P205" s="676"/>
      <c r="Q205" s="676"/>
      <c r="R205" s="676"/>
      <c r="S205" s="676"/>
      <c r="T205" s="676"/>
      <c r="U205" s="676"/>
      <c r="V205" s="676"/>
      <c r="W205" s="676">
        <f t="shared" si="112"/>
        <v>0</v>
      </c>
      <c r="Y205" s="688">
        <f>IFERROR(VLOOKUP(A205,'[93]1月'!$A:$H,8,0),0)</f>
        <v>0</v>
      </c>
      <c r="Z205" s="688">
        <f>IFERROR(VLOOKUP(A205,'[93]2月'!$A:$H,8,0),0)</f>
        <v>0</v>
      </c>
      <c r="AA205" s="688">
        <f>IFERROR(VLOOKUP($A205,'[93]3月'!$A:$H,8,0),0)</f>
        <v>0</v>
      </c>
      <c r="AB205" s="688">
        <f>IFERROR(VLOOKUP($A205,'[93]4月'!$A:$H,8,0),0)</f>
        <v>0</v>
      </c>
      <c r="AC205" s="688">
        <f>IFERROR(VLOOKUP($A205,'[93]5月'!$A:$H,8,0),0)</f>
        <v>0</v>
      </c>
      <c r="AD205" s="688">
        <f>IFERROR(VLOOKUP($A205,'[93]6月'!$A:$H,8,0),0)</f>
        <v>0</v>
      </c>
      <c r="AE205" s="688">
        <f>IFERROR(VLOOKUP($A205,'[93]7月'!$A:$H,8,0),0)</f>
        <v>0</v>
      </c>
      <c r="AF205" s="688">
        <f>IFERROR(VLOOKUP($A205,'[93]8月'!$A:$H,8,0),0)</f>
        <v>0</v>
      </c>
      <c r="AG205" s="688">
        <f>IFERROR(VLOOKUP($A205,'[93]9月'!$A:$H,8,0),0)</f>
        <v>0</v>
      </c>
      <c r="AH205" s="688">
        <f>IFERROR(VLOOKUP($A205,'[93]10月'!$A:$H,8,0),0)</f>
        <v>0</v>
      </c>
      <c r="AI205" s="688">
        <f>IFERROR(VLOOKUP($A205,'[93]11月'!$A:$H,8,0),0)</f>
        <v>0</v>
      </c>
      <c r="AJ205" s="688">
        <f>IFERROR(VLOOKUP($A205,'[93]12月'!$A:$H,8,0),0)</f>
        <v>0</v>
      </c>
      <c r="AK205" s="688">
        <f t="shared" si="113"/>
        <v>0</v>
      </c>
    </row>
    <row r="206" spans="1:37" ht="13.5" customHeight="1">
      <c r="A206" s="653">
        <f>'Budget-合并'!A206</f>
        <v>0</v>
      </c>
      <c r="B206" s="653">
        <f>'Budget-合并'!B206</f>
        <v>0</v>
      </c>
      <c r="C206" s="687">
        <f>'Budget-合并'!C206</f>
        <v>0</v>
      </c>
    </row>
    <row r="207" spans="1:37" ht="13.5" customHeight="1">
      <c r="A207" s="686">
        <f>'Budget-合并'!A207</f>
        <v>0</v>
      </c>
      <c r="B207" s="686" t="str">
        <f>'Budget-合并'!B207</f>
        <v>五  税后利润</v>
      </c>
      <c r="C207" s="687">
        <f>'Budget-合并'!C207</f>
        <v>0</v>
      </c>
      <c r="D207" s="677">
        <f ca="1">INDEX($K207:$V207,1,MATCH($D$6,$K$6:$V$6))</f>
        <v>-306089.67249999999</v>
      </c>
      <c r="E207" s="677" t="e">
        <f>INDEX($Y207:AHV207,1,MATCH($E$6,$Y$6:$AJ$6))</f>
        <v>#N/A</v>
      </c>
      <c r="F207" s="677" t="e">
        <f ca="1">D207-E207</f>
        <v>#N/A</v>
      </c>
      <c r="G207" s="677">
        <f ca="1">SUM($K207:OFFSET($K207,0,MATCH(G$6,$K$6:$V$6)-1))</f>
        <v>-306089.67249999999</v>
      </c>
      <c r="H207" s="677" t="e">
        <f ca="1">SUM($Y207:OFFSET($Y207,0,MATCH(H$6,$Y$6:$AJ$6)-1))</f>
        <v>#N/A</v>
      </c>
      <c r="I207" s="677" t="e">
        <f ca="1">G207-H207</f>
        <v>#N/A</v>
      </c>
      <c r="K207" s="677">
        <f ca="1">K201-K203-K204-K205</f>
        <v>-306089.67249999999</v>
      </c>
      <c r="L207" s="677">
        <f t="shared" ref="L207:W207" ca="1" si="114">L201-L203-L204-L205</f>
        <v>-315959.67249999999</v>
      </c>
      <c r="M207" s="677">
        <f t="shared" ca="1" si="114"/>
        <v>-296359.67249999999</v>
      </c>
      <c r="N207" s="677">
        <f t="shared" ca="1" si="114"/>
        <v>-678764.63249999995</v>
      </c>
      <c r="O207" s="677">
        <f t="shared" ca="1" si="114"/>
        <v>-357764.63250000001</v>
      </c>
      <c r="P207" s="677">
        <f t="shared" ca="1" si="114"/>
        <v>-452284.63250000001</v>
      </c>
      <c r="Q207" s="677">
        <f t="shared" ca="1" si="114"/>
        <v>-356931.29916666663</v>
      </c>
      <c r="R207" s="677">
        <f t="shared" ca="1" si="114"/>
        <v>-356931.29916666663</v>
      </c>
      <c r="S207" s="677">
        <f t="shared" ca="1" si="114"/>
        <v>-356931.29916666663</v>
      </c>
      <c r="T207" s="677">
        <f t="shared" ca="1" si="114"/>
        <v>-366931.29916666663</v>
      </c>
      <c r="U207" s="677">
        <f t="shared" ca="1" si="114"/>
        <v>-356931.29916666663</v>
      </c>
      <c r="V207" s="677">
        <f t="shared" ca="1" si="114"/>
        <v>-356931.29916666663</v>
      </c>
      <c r="W207" s="677">
        <f t="shared" ca="1" si="114"/>
        <v>-4558810.71</v>
      </c>
      <c r="Y207" s="677">
        <f>Y201-Y203-Y204-Y205</f>
        <v>-294957.94</v>
      </c>
      <c r="Z207" s="677">
        <f t="shared" ref="Z207:AK207" si="115">Z201-Z203-Z204-Z205</f>
        <v>-316336.85000000003</v>
      </c>
      <c r="AA207" s="677">
        <f t="shared" si="115"/>
        <v>-334990.27</v>
      </c>
      <c r="AB207" s="677">
        <f t="shared" si="115"/>
        <v>-335003.68</v>
      </c>
      <c r="AC207" s="677">
        <f t="shared" si="115"/>
        <v>-465077.55000000005</v>
      </c>
      <c r="AD207" s="677">
        <f t="shared" si="115"/>
        <v>-375737.91000000003</v>
      </c>
      <c r="AE207" s="677">
        <f t="shared" si="115"/>
        <v>-374546.41999999993</v>
      </c>
      <c r="AF207" s="677">
        <f t="shared" si="115"/>
        <v>-387957</v>
      </c>
      <c r="AG207" s="677">
        <f t="shared" si="115"/>
        <v>-377301.47000000003</v>
      </c>
      <c r="AH207" s="677">
        <f t="shared" si="115"/>
        <v>-357165.58</v>
      </c>
      <c r="AI207" s="677">
        <f t="shared" si="115"/>
        <v>-374641.01</v>
      </c>
      <c r="AJ207" s="677">
        <f t="shared" si="115"/>
        <v>-466437.68999999994</v>
      </c>
      <c r="AK207" s="677">
        <f t="shared" si="115"/>
        <v>-4460153.3699999992</v>
      </c>
    </row>
    <row r="208" spans="1:37" ht="13.5" customHeight="1">
      <c r="A208" s="653">
        <f>'Budget-合并'!A208</f>
        <v>0</v>
      </c>
      <c r="C208" s="687">
        <f>'Budget-合并'!C208</f>
        <v>0</v>
      </c>
    </row>
    <row r="209" spans="1:1" ht="13.5" customHeight="1">
      <c r="A209" s="653">
        <f>'Budget-合并'!A209</f>
        <v>0</v>
      </c>
    </row>
    <row r="210" spans="1:1" ht="13.5" customHeight="1">
      <c r="A210" s="653">
        <f>'Budget-合并'!A210</f>
        <v>0</v>
      </c>
    </row>
    <row r="211" spans="1:1" ht="13.5" customHeight="1">
      <c r="A211" s="653">
        <f>'Budget-合并'!A211</f>
        <v>0</v>
      </c>
    </row>
    <row r="212" spans="1:1" ht="13.5" customHeight="1">
      <c r="A212" s="653">
        <f>'Budget-合并'!A212</f>
        <v>0</v>
      </c>
    </row>
    <row r="213" spans="1:1" ht="13.5" customHeight="1">
      <c r="A213" s="653">
        <f>'Budget-合并'!A213</f>
        <v>0</v>
      </c>
    </row>
    <row r="214" spans="1:1" ht="13.5" customHeight="1">
      <c r="A214" s="653">
        <f>'Budget-合并'!A214</f>
        <v>0</v>
      </c>
    </row>
    <row r="215" spans="1:1" ht="13.5" customHeight="1">
      <c r="A215" s="653">
        <f>'Budget-合并'!A215</f>
        <v>0</v>
      </c>
    </row>
    <row r="216" spans="1:1" ht="13.5" customHeight="1">
      <c r="A216" s="653">
        <f>'Budget-合并'!A216</f>
        <v>0</v>
      </c>
    </row>
    <row r="217" spans="1:1" ht="13.5" customHeight="1">
      <c r="A217" s="653">
        <f>'Budget-合并'!A217</f>
        <v>0</v>
      </c>
    </row>
    <row r="218" spans="1:1" ht="13.5" customHeight="1">
      <c r="A218" s="653">
        <f>'Budget-合并'!A218</f>
        <v>0</v>
      </c>
    </row>
    <row r="219" spans="1:1" ht="13.5" customHeight="1">
      <c r="A219" s="653">
        <f>'Budget-合并'!A219</f>
        <v>0</v>
      </c>
    </row>
  </sheetData>
  <conditionalFormatting sqref="K5:W5">
    <cfRule type="cellIs" dxfId="126" priority="4" stopIfTrue="1" operator="equal">
      <formula>"Actual"</formula>
    </cfRule>
    <cfRule type="cellIs" dxfId="125" priority="5" stopIfTrue="1" operator="equal">
      <formula>"Forecast"</formula>
    </cfRule>
    <cfRule type="cellIs" dxfId="124" priority="6" stopIfTrue="1" operator="equal">
      <formula>"Budget"</formula>
    </cfRule>
  </conditionalFormatting>
  <conditionalFormatting sqref="Y5:AK5">
    <cfRule type="cellIs" dxfId="123" priority="1" stopIfTrue="1" operator="equal">
      <formula>"Actual"</formula>
    </cfRule>
    <cfRule type="cellIs" dxfId="122" priority="2" stopIfTrue="1" operator="equal">
      <formula>"Forecast"</formula>
    </cfRule>
    <cfRule type="cellIs" dxfId="121" priority="3" stopIfTrue="1" operator="equal">
      <formula>"Budget"</formula>
    </cfRule>
  </conditionalFormatting>
  <dataValidations count="1">
    <dataValidation type="list" allowBlank="1" showInputMessage="1" showErrorMessage="1" sqref="K5:W5 Y5:AK5" xr:uid="{00000000-0002-0000-0B00-000000000000}">
      <formula1>"Actual,Forecast,Budget"</formula1>
    </dataValidation>
  </dataValidations>
  <printOptions horizontalCentered="1" headings="1" gridLines="1"/>
  <pageMargins left="0.39" right="0.35" top="0.59" bottom="0.59" header="0.31" footer="0.31"/>
  <pageSetup paperSize="8" scale="26" orientation="landscape" cellComments="asDisplayed" r:id="rId1"/>
  <headerFooter scaleWithDoc="0" alignWithMargins="0">
    <oddFooter>&amp;L&amp;"Arial,Regular"&amp;8&amp;Z
&amp;F  
&amp;A&amp;CPage &amp;P of &amp;N
&amp;R&amp;"Times New Roman,Regular"&amp;8&amp;D
&amp;T</oddFooter>
  </headerFooter>
  <ignoredErrors>
    <ignoredError sqref="J171:W178 J180:W182 J1:W3 J5:W7 J75:W76 J78:W80 J62:W66 J47:W49 J36:W41 J43:W44 J25:W25 J92:W92 J82:W82 J96:W96 J100:W101 J104:W104 J108:W121 J124:W125 J166:W166 J157:W164 J154:W155 J149:W150 J143:W145 J127:W141 J168:W169 J184:W184 J186:W186 J188:W188 J190:W198 J202:W219 J20:W23 J13:W18 J9:W11 J27:W34 J19:U19 J12:U12 J26:M26 J179:L179 J4 J24 J77 J67:J74 J50:J61 J45:J46 J42 J35 J81 J83:J91 J93:J95 J97:J99 J102:J103 J105:J107 J122:J123 J165 J156 J151:J153 J146:J148 J142 J126 J167 J183 J185 J187 J189 J199:J201 J8 G26:G35 G9:G18 G19:G24 G199:G219 G189:G198 G187:G188 G185:G186 G183:G184 G167:G169 G126:G142 G122:G125 G143:G148 G149:G153 G154:G156 G157:G165 G166 G105:G121 G102:G104 G97:G101 G93:G96 G81:G91 G92 G25 G42:G46 G36:G41 G47:G61 G62:G74 G77:G80 G75:G76 G6:G8 G1:G3 G179:G182 G171:G178 G4 O26:W26 A25:D41 W8 A8:C12 W12 A13:D13 A14:C19 W19 A20:D23 A3:C3 A171:D219 L200:W200 W189 L187:W187 L185:W185 L183:W183 C169:D169 A166:D168 W167 A125:D153 W126 W142 W146:W148 W151:W152 A154:D165 L153:U153 W156 W165 B123:D124 L122:W123 A121:D122 B119:D120 A116:D118 B114:D115 A112:D113 B110:D111 A108:D109 W106:W107 B106:D107 A104:D105 L105:W105 W102:W103 B102:D103 A100:D101 W98:W99 B98:D99 A96:D97 M97:W97 B94:D95 W94:W95 L93:W93 A92:D93 A75:D91 W83:W91 W81 W35 A42:D74 L42:U42 W45:W46 W50:W61 W67:W74 W77 L24:W24 A24:C24 A5:C5 A6:D7 L4:W4 A4:D4 A1:D2 N179:W179" emptyCellReference="1"/>
  </ignoredError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tabColor rgb="FFFFFF00"/>
    <pageSetUpPr fitToPage="1"/>
  </sheetPr>
  <dimension ref="A1:AK219"/>
  <sheetViews>
    <sheetView zoomScale="70" zoomScaleNormal="70" workbookViewId="0">
      <pane xSplit="2" ySplit="6" topLeftCell="P54" activePane="bottomRight" state="frozen"/>
      <selection pane="topRight" activeCell="C1" sqref="C1"/>
      <selection pane="bottomLeft" activeCell="A7" sqref="A7"/>
      <selection pane="bottomRight" activeCell="B124" sqref="B124"/>
    </sheetView>
  </sheetViews>
  <sheetFormatPr defaultColWidth="8.75" defaultRowHeight="13.5" customHeight="1"/>
  <cols>
    <col min="1" max="1" width="12.375" style="652" customWidth="1"/>
    <col min="2" max="2" width="28.25" style="653" customWidth="1"/>
    <col min="3" max="3" width="15.875" style="652" customWidth="1"/>
    <col min="4" max="9" width="12.25" style="654" customWidth="1"/>
    <col min="10" max="10" width="2.625" style="654" customWidth="1"/>
    <col min="11" max="11" width="12.5" style="652" customWidth="1"/>
    <col min="12" max="13" width="10.375" style="652" customWidth="1"/>
    <col min="14" max="14" width="12.5" style="652" customWidth="1"/>
    <col min="15" max="16" width="10.375" style="652" customWidth="1"/>
    <col min="17" max="17" width="12.5" style="652" customWidth="1"/>
    <col min="18" max="19" width="10.375" style="652" customWidth="1"/>
    <col min="20" max="20" width="12.5" style="652" customWidth="1"/>
    <col min="21" max="22" width="10.375" style="652" customWidth="1"/>
    <col min="23" max="23" width="12.5" style="652" customWidth="1"/>
    <col min="24" max="25" width="8.75" style="652" customWidth="1"/>
    <col min="26" max="28" width="8.75" style="652"/>
    <col min="29" max="29" width="9" style="652"/>
    <col min="30" max="30" width="9.625" style="652" bestFit="1" customWidth="1"/>
    <col min="31" max="32" width="9" style="652"/>
    <col min="33" max="33" width="8.75" style="652"/>
    <col min="34" max="34" width="9" style="652"/>
    <col min="35" max="36" width="8.75" style="652"/>
    <col min="37" max="37" width="9.625" style="652" bestFit="1" customWidth="1"/>
    <col min="38" max="16384" width="8.75" style="652"/>
  </cols>
  <sheetData>
    <row r="1" spans="1:37" ht="16.5" customHeight="1">
      <c r="B1" s="681" t="s">
        <v>2482</v>
      </c>
      <c r="C1" s="5"/>
      <c r="D1" s="612" t="s">
        <v>2111</v>
      </c>
      <c r="E1" s="612"/>
      <c r="F1" s="612"/>
    </row>
    <row r="2" spans="1:37" ht="16.5" customHeight="1"/>
    <row r="3" spans="1:37" ht="16.5" customHeight="1">
      <c r="B3" s="663" t="s">
        <v>2484</v>
      </c>
      <c r="C3" s="682"/>
      <c r="D3" s="5" t="s">
        <v>2046</v>
      </c>
      <c r="E3" s="5"/>
      <c r="F3" s="5"/>
    </row>
    <row r="4" spans="1:37" ht="16.5" customHeight="1">
      <c r="K4" s="662"/>
    </row>
    <row r="5" spans="1:37" ht="13.5" customHeight="1">
      <c r="B5" s="663"/>
      <c r="D5" s="664" t="s">
        <v>2495</v>
      </c>
      <c r="E5" s="664" t="s">
        <v>2496</v>
      </c>
      <c r="F5" s="664" t="s">
        <v>2497</v>
      </c>
      <c r="G5" s="664" t="s">
        <v>2498</v>
      </c>
      <c r="H5" s="664" t="s">
        <v>2499</v>
      </c>
      <c r="I5" s="664" t="s">
        <v>2500</v>
      </c>
      <c r="J5" s="689"/>
      <c r="K5" s="690" t="s">
        <v>2501</v>
      </c>
      <c r="L5" s="690" t="s">
        <v>2501</v>
      </c>
      <c r="M5" s="690" t="s">
        <v>2501</v>
      </c>
      <c r="N5" s="690" t="s">
        <v>2501</v>
      </c>
      <c r="O5" s="690" t="s">
        <v>2501</v>
      </c>
      <c r="P5" s="690" t="s">
        <v>2501</v>
      </c>
      <c r="Q5" s="690" t="s">
        <v>2501</v>
      </c>
      <c r="R5" s="690" t="s">
        <v>2501</v>
      </c>
      <c r="S5" s="690" t="s">
        <v>2501</v>
      </c>
      <c r="T5" s="690" t="s">
        <v>2501</v>
      </c>
      <c r="U5" s="690" t="s">
        <v>2501</v>
      </c>
      <c r="V5" s="690" t="s">
        <v>2501</v>
      </c>
      <c r="W5" s="690" t="s">
        <v>2501</v>
      </c>
      <c r="Y5" s="666" t="s">
        <v>2502</v>
      </c>
      <c r="Z5" s="666" t="s">
        <v>2502</v>
      </c>
      <c r="AA5" s="666" t="s">
        <v>2502</v>
      </c>
      <c r="AB5" s="666" t="s">
        <v>2502</v>
      </c>
      <c r="AC5" s="666" t="s">
        <v>2502</v>
      </c>
      <c r="AD5" s="666" t="s">
        <v>2502</v>
      </c>
      <c r="AE5" s="666" t="s">
        <v>2502</v>
      </c>
      <c r="AF5" s="666" t="s">
        <v>2502</v>
      </c>
      <c r="AG5" s="666" t="s">
        <v>2502</v>
      </c>
      <c r="AH5" s="666" t="s">
        <v>2502</v>
      </c>
      <c r="AI5" s="666" t="s">
        <v>2502</v>
      </c>
      <c r="AJ5" s="666" t="s">
        <v>2502</v>
      </c>
      <c r="AK5" s="666" t="s">
        <v>2502</v>
      </c>
    </row>
    <row r="6" spans="1:37" s="648" customFormat="1" ht="13.5" customHeight="1">
      <c r="A6" s="649" t="s">
        <v>2488</v>
      </c>
      <c r="B6" s="667"/>
      <c r="D6" s="668">
        <f>'Flash Report'!$C$2</f>
        <v>46023</v>
      </c>
      <c r="E6" s="668">
        <f>D6-365</f>
        <v>45658</v>
      </c>
      <c r="F6" s="683" t="s">
        <v>2503</v>
      </c>
      <c r="G6" s="684">
        <f>D6</f>
        <v>46023</v>
      </c>
      <c r="H6" s="684">
        <f>E6</f>
        <v>45658</v>
      </c>
      <c r="I6" s="685" t="s">
        <v>2503</v>
      </c>
      <c r="J6" s="669"/>
      <c r="K6" s="691">
        <v>46023</v>
      </c>
      <c r="L6" s="691">
        <v>46054</v>
      </c>
      <c r="M6" s="691">
        <v>46082</v>
      </c>
      <c r="N6" s="691">
        <v>46113</v>
      </c>
      <c r="O6" s="691">
        <v>46143</v>
      </c>
      <c r="P6" s="691">
        <v>46174</v>
      </c>
      <c r="Q6" s="691">
        <v>46204</v>
      </c>
      <c r="R6" s="691">
        <v>46235</v>
      </c>
      <c r="S6" s="691">
        <v>46266</v>
      </c>
      <c r="T6" s="691">
        <v>46296</v>
      </c>
      <c r="U6" s="691">
        <v>46327</v>
      </c>
      <c r="V6" s="691">
        <v>46357</v>
      </c>
      <c r="W6" s="671" t="s">
        <v>2504</v>
      </c>
      <c r="Y6" s="670">
        <f>'Budget-ACPSZL'!Y6</f>
        <v>46388</v>
      </c>
      <c r="Z6" s="670">
        <f>'Budget-ACPSZL'!Z6</f>
        <v>46419</v>
      </c>
      <c r="AA6" s="670">
        <f>'Budget-ACPSZL'!AA6</f>
        <v>46447</v>
      </c>
      <c r="AB6" s="670">
        <f>'Budget-ACPSZL'!AB6</f>
        <v>46478</v>
      </c>
      <c r="AC6" s="670">
        <f>'Budget-ACPSZL'!AC6</f>
        <v>46508</v>
      </c>
      <c r="AD6" s="670">
        <f>'Budget-ACPSZL'!AD6</f>
        <v>46539</v>
      </c>
      <c r="AE6" s="670">
        <f>'Budget-ACPSZL'!AE6</f>
        <v>46569</v>
      </c>
      <c r="AF6" s="670">
        <f>'Budget-ACPSZL'!AF6</f>
        <v>46600</v>
      </c>
      <c r="AG6" s="670">
        <f>'Budget-ACPSZL'!AG6</f>
        <v>46631</v>
      </c>
      <c r="AH6" s="670">
        <f>'Budget-ACPSZL'!AH6</f>
        <v>46661</v>
      </c>
      <c r="AI6" s="670">
        <f>'Budget-ACPSZL'!AI6</f>
        <v>46692</v>
      </c>
      <c r="AJ6" s="670">
        <f>'Budget-ACPSZL'!AJ6</f>
        <v>46722</v>
      </c>
      <c r="AK6" s="671" t="str">
        <f>'Budget-ACPSZL'!AK6</f>
        <v>2027 Total</v>
      </c>
    </row>
    <row r="7" spans="1:37" s="649" customFormat="1" ht="13.5" customHeight="1">
      <c r="A7" s="653" t="str">
        <f>'Budget-合并'!A7</f>
        <v>6001</v>
      </c>
      <c r="B7" s="686" t="str">
        <f>'Budget-合并'!B7</f>
        <v>营业收入</v>
      </c>
      <c r="C7" s="687">
        <f>VLOOKUP(A7,Account!A:F,4,0)</f>
        <v>0</v>
      </c>
      <c r="D7" s="674"/>
      <c r="E7" s="674"/>
      <c r="F7" s="674"/>
      <c r="G7" s="674"/>
      <c r="H7" s="674"/>
      <c r="I7" s="674"/>
      <c r="J7" s="674"/>
      <c r="K7" s="674"/>
      <c r="L7" s="674"/>
      <c r="M7" s="674"/>
      <c r="N7" s="674"/>
      <c r="O7" s="674"/>
      <c r="P7" s="674"/>
      <c r="Q7" s="674"/>
      <c r="R7" s="674"/>
      <c r="S7" s="674"/>
      <c r="T7" s="674"/>
      <c r="U7" s="674"/>
      <c r="V7" s="674"/>
      <c r="W7" s="674"/>
    </row>
    <row r="8" spans="1:37" ht="13.5" customHeight="1">
      <c r="A8" s="653" t="str">
        <f>'Budget-合并'!A8</f>
        <v>6001.01</v>
      </c>
      <c r="B8" s="653" t="str">
        <f>'Budget-合并'!B8</f>
        <v>基金管理费收入</v>
      </c>
      <c r="C8" s="687" t="str">
        <f>'Budget-合并'!C8</f>
        <v>Fund Management Fee</v>
      </c>
      <c r="D8" s="676">
        <f>INDEX($K8:$V8,1,MATCH($D$6,$K$6:$V$6))</f>
        <v>0</v>
      </c>
      <c r="E8" s="676" t="e">
        <f t="shared" ref="E8:E12" si="0">INDEX($Y8:$AJ8,1,MATCH($E$6,$Y$6:$AJ$6))</f>
        <v>#N/A</v>
      </c>
      <c r="F8" s="676" t="e">
        <f>D8-E8</f>
        <v>#N/A</v>
      </c>
      <c r="G8" s="676">
        <f t="shared" ref="G8:G12" ca="1" si="1">SUM($K8:OFFSET($K8,0,MATCH(G$6,$K$6:$V$6)-1))</f>
        <v>0</v>
      </c>
      <c r="H8" s="676" t="e">
        <f t="shared" ref="H8:H12" ca="1" si="2">SUM($Y8:OFFSET($Y8,0,MATCH(H$6,$Y$6:$AJ$6)-1))</f>
        <v>#N/A</v>
      </c>
      <c r="I8" s="676" t="e">
        <f ca="1">G8-H8</f>
        <v>#N/A</v>
      </c>
      <c r="K8" s="688">
        <f>(INDEX(情形1!$G$73:$AK$73,MATCH(K$6,情形1!$G$3:$AP$3,0))*10000)</f>
        <v>0</v>
      </c>
      <c r="L8" s="688">
        <f>(INDEX(情形1!$G$73:$AK$73,MATCH(L$6,情形1!$G$3:$AP$3,0))*10000)</f>
        <v>0</v>
      </c>
      <c r="M8" s="688">
        <f>(INDEX(情形1!$G$73:$AK$73,MATCH(M$6,情形1!$G$3:$AP$3,0))*10000)</f>
        <v>0</v>
      </c>
      <c r="N8" s="688">
        <f>(INDEX(情形1!$G$73:$AK$73,MATCH(N$6,情形1!$G$3:$AP$3,0))*10000)</f>
        <v>182145.17884975369</v>
      </c>
      <c r="O8" s="688">
        <f>(INDEX(情形1!$G$73:$AK$73,MATCH(O$6,情形1!$G$3:$AP$3,0))*10000)</f>
        <v>0</v>
      </c>
      <c r="P8" s="688">
        <f>(INDEX(情形1!$G$73:$AK$73,MATCH(P$6,情形1!$G$3:$AP$3,0))*10000)</f>
        <v>437921.47371883737</v>
      </c>
      <c r="Q8" s="688">
        <f>(INDEX(情形1!$G$73:$AK$73,MATCH(Q$6,情形1!$G$3:$AP$3,0))*10000)</f>
        <v>0</v>
      </c>
      <c r="R8" s="688">
        <f>(INDEX(情形1!$G$73:$AK$73,MATCH(R$6,情形1!$G$3:$AP$3,0))*10000)</f>
        <v>0</v>
      </c>
      <c r="S8" s="688">
        <f>(INDEX(情形1!$G$73:$AK$73,MATCH(S$6,情形1!$G$3:$AP$3,0))*10000)</f>
        <v>0</v>
      </c>
      <c r="T8" s="688">
        <f>(INDEX(情形1!$G$73:$AK$73,MATCH(T$6,情形1!$G$3:$AP$3,0))*10000)</f>
        <v>0</v>
      </c>
      <c r="U8" s="688">
        <f>(INDEX(情形1!$G$73:$AK$73,MATCH(U$6,情形1!$G$3:$AP$3,0))*10000)</f>
        <v>0</v>
      </c>
      <c r="V8" s="688">
        <f>(INDEX(情形1!$G$73:$AK$73,MATCH(V$6,情形1!$G$3:$AP$3,0))*10000)</f>
        <v>246716.32322188024</v>
      </c>
      <c r="W8" s="688">
        <f t="shared" ref="W8:W11" si="3">SUM(K8:V8)</f>
        <v>866782.9757904713</v>
      </c>
      <c r="Y8" s="688">
        <f>IFERROR(VLOOKUP($A8,'[94]1月'!$A:$H,8,0),0)</f>
        <v>0</v>
      </c>
      <c r="Z8" s="688">
        <f>IFERROR(VLOOKUP($A8,'[94]2月'!$A:$H,8,0),0)</f>
        <v>0</v>
      </c>
      <c r="AA8" s="688">
        <f>IFERROR(VLOOKUP($A8,'[94]3月'!$A:$H,8,0),0)</f>
        <v>0</v>
      </c>
      <c r="AB8" s="688">
        <f>IFERROR(VLOOKUP($A8,'[94]4月'!$A:$H,8,0),0)</f>
        <v>0</v>
      </c>
      <c r="AC8" s="688">
        <f>IFERROR(VLOOKUP($A8,'[94]5月'!$A:$H,8,0),0)</f>
        <v>0</v>
      </c>
      <c r="AD8" s="688">
        <f>IFERROR(VLOOKUP($A8,'[94]6月'!$A:$H,8,0),0)</f>
        <v>0</v>
      </c>
      <c r="AE8" s="688">
        <f>IFERROR(VLOOKUP($A8,'[94]7月'!$A:$H,8,0),0)</f>
        <v>0</v>
      </c>
      <c r="AF8" s="688">
        <f>IFERROR(VLOOKUP($A8,'[94]8月'!$A:$H,8,0),0)</f>
        <v>0</v>
      </c>
      <c r="AG8" s="688">
        <f>IFERROR(VLOOKUP($A8,'[94]9月'!$A:$H,8,0),0)</f>
        <v>0</v>
      </c>
      <c r="AH8" s="688">
        <f>IFERROR(VLOOKUP($A8,'[94]10月'!$A:$H,8,0),0)</f>
        <v>0</v>
      </c>
      <c r="AI8" s="688">
        <f>IFERROR(VLOOKUP($A8,'[94]11月'!$A:$H,8,0),0)</f>
        <v>0</v>
      </c>
      <c r="AJ8" s="688">
        <f>IFERROR(VLOOKUP($A8,'[94]12月'!$A:$H,8,0),0)</f>
        <v>0</v>
      </c>
      <c r="AK8" s="688">
        <f t="shared" ref="AK8:AK11" si="4">SUM(Y8:AJ8)</f>
        <v>0</v>
      </c>
    </row>
    <row r="9" spans="1:37" ht="13.5" customHeight="1">
      <c r="A9" s="653" t="str">
        <f>'Budget-合并'!A9</f>
        <v>6001.02</v>
      </c>
      <c r="B9" s="653" t="str">
        <f>'Budget-合并'!B9</f>
        <v>咨询服务费收入</v>
      </c>
      <c r="C9" s="687" t="str">
        <f>'Budget-合并'!C9</f>
        <v>Advisory Fee Income</v>
      </c>
      <c r="D9" s="676">
        <f t="shared" ref="D9:D19" si="5">INDEX($K9:$V9,1,MATCH($D$6,$K$6:$V$6))</f>
        <v>0</v>
      </c>
      <c r="E9" s="676" t="e">
        <f t="shared" si="0"/>
        <v>#N/A</v>
      </c>
      <c r="F9" s="676" t="e">
        <f t="shared" ref="F9:F19" si="6">D9-E9</f>
        <v>#N/A</v>
      </c>
      <c r="G9" s="676">
        <f t="shared" ca="1" si="1"/>
        <v>0</v>
      </c>
      <c r="H9" s="676" t="e">
        <f t="shared" ca="1" si="2"/>
        <v>#N/A</v>
      </c>
      <c r="I9" s="676" t="e">
        <f t="shared" ref="I9:I19" ca="1" si="7">G9-H9</f>
        <v>#N/A</v>
      </c>
      <c r="K9" s="688">
        <f t="shared" ref="K9:V9" si="8">SUM(K10:K11)</f>
        <v>0</v>
      </c>
      <c r="L9" s="688">
        <f t="shared" si="8"/>
        <v>0</v>
      </c>
      <c r="M9" s="688">
        <f t="shared" si="8"/>
        <v>0</v>
      </c>
      <c r="N9" s="688">
        <f t="shared" si="8"/>
        <v>0</v>
      </c>
      <c r="O9" s="688">
        <f t="shared" si="8"/>
        <v>2829606.9592905273</v>
      </c>
      <c r="P9" s="688">
        <f t="shared" si="8"/>
        <v>0</v>
      </c>
      <c r="Q9" s="688">
        <f t="shared" si="8"/>
        <v>1254685.1648608253</v>
      </c>
      <c r="R9" s="688">
        <f t="shared" si="8"/>
        <v>0</v>
      </c>
      <c r="S9" s="688">
        <f t="shared" si="8"/>
        <v>0</v>
      </c>
      <c r="T9" s="688">
        <f t="shared" si="8"/>
        <v>2719656.1958828056</v>
      </c>
      <c r="U9" s="688">
        <f t="shared" si="8"/>
        <v>0</v>
      </c>
      <c r="V9" s="688">
        <f t="shared" si="8"/>
        <v>0</v>
      </c>
      <c r="W9" s="688">
        <f t="shared" si="3"/>
        <v>6803948.3200341584</v>
      </c>
      <c r="Y9" s="688">
        <f>IFERROR(VLOOKUP($A9,'[94]1月'!$A:$H,8,0),0)</f>
        <v>720619.93</v>
      </c>
      <c r="Z9" s="688">
        <f>IFERROR(VLOOKUP($A9,'[94]2月'!$A:$H,8,0),0)</f>
        <v>720619.93</v>
      </c>
      <c r="AA9" s="688">
        <f>IFERROR(VLOOKUP($A9,'[94]3月'!$A:$H,8,0),0)</f>
        <v>767836.11</v>
      </c>
      <c r="AB9" s="688">
        <f>IFERROR(VLOOKUP($A9,'[94]4月'!$A:$H,8,0),0)</f>
        <v>730853.97</v>
      </c>
      <c r="AC9" s="688">
        <f>IFERROR(VLOOKUP($A9,'[94]5月'!$A:$H,8,0),0)</f>
        <v>718265.13</v>
      </c>
      <c r="AD9" s="688">
        <f>IFERROR(VLOOKUP($A9,'[94]6月'!$A:$H,8,0),0)</f>
        <v>0</v>
      </c>
      <c r="AE9" s="688">
        <f>IFERROR(VLOOKUP($A9,'[94]7月'!$A:$H,8,0),0)</f>
        <v>0</v>
      </c>
      <c r="AF9" s="688">
        <f>IFERROR(VLOOKUP($A9,'[94]8月'!$A:$H,8,0),0)</f>
        <v>0</v>
      </c>
      <c r="AG9" s="688">
        <f>IFERROR(VLOOKUP($A9,'[94]9月'!$A:$H,8,0),0)</f>
        <v>0</v>
      </c>
      <c r="AH9" s="688">
        <f>IFERROR(VLOOKUP($A9,'[94]10月'!$A:$H,8,0),0)</f>
        <v>0</v>
      </c>
      <c r="AI9" s="688">
        <f>IFERROR(VLOOKUP($A9,'[94]11月'!$A:$H,8,0),0)</f>
        <v>0</v>
      </c>
      <c r="AJ9" s="688">
        <f>IFERROR(VLOOKUP($A9,'[94]12月'!$A:$H,8,0),0)</f>
        <v>0</v>
      </c>
      <c r="AK9" s="688">
        <f t="shared" si="4"/>
        <v>3658195.0700000003</v>
      </c>
    </row>
    <row r="10" spans="1:37" ht="13.5" hidden="1" customHeight="1">
      <c r="A10" s="653">
        <f>'Budget-合并'!A10</f>
        <v>0</v>
      </c>
      <c r="B10" s="653" t="str">
        <f>'Budget-合并'!B10</f>
        <v xml:space="preserve">   辉飏咨询服务费</v>
      </c>
      <c r="C10" s="687" t="str">
        <f>'Budget-合并'!C10</f>
        <v xml:space="preserve">  HYNE</v>
      </c>
      <c r="D10" s="676">
        <f t="shared" si="5"/>
        <v>0</v>
      </c>
      <c r="E10" s="676" t="e">
        <f t="shared" si="0"/>
        <v>#N/A</v>
      </c>
      <c r="F10" s="676" t="e">
        <f t="shared" si="6"/>
        <v>#N/A</v>
      </c>
      <c r="G10" s="676">
        <f t="shared" ca="1" si="1"/>
        <v>0</v>
      </c>
      <c r="H10" s="676" t="e">
        <f t="shared" ca="1" si="2"/>
        <v>#N/A</v>
      </c>
      <c r="I10" s="676" t="e">
        <f t="shared" ca="1" si="7"/>
        <v>#N/A</v>
      </c>
      <c r="K10" s="688"/>
      <c r="L10" s="688"/>
      <c r="M10" s="688"/>
      <c r="N10" s="688"/>
      <c r="O10" s="688"/>
      <c r="P10" s="688"/>
      <c r="Q10" s="688"/>
      <c r="R10" s="688"/>
      <c r="S10" s="688"/>
      <c r="T10" s="688"/>
      <c r="U10" s="688"/>
      <c r="V10" s="688"/>
      <c r="W10" s="688">
        <f t="shared" si="3"/>
        <v>0</v>
      </c>
      <c r="Y10" s="688">
        <f>IFERROR(VLOOKUP($A10,'[94]1月'!$A:$H,8,0),0)</f>
        <v>0</v>
      </c>
      <c r="Z10" s="688">
        <f>IFERROR(VLOOKUP($A10,'[94]2月'!$A:$H,8,0),0)</f>
        <v>0</v>
      </c>
      <c r="AA10" s="688">
        <f>IFERROR(VLOOKUP($A10,'[94]3月'!$A:$H,8,0),0)</f>
        <v>0</v>
      </c>
      <c r="AB10" s="688">
        <f>IFERROR(VLOOKUP($A10,'[94]4月'!$A:$H,8,0),0)</f>
        <v>0</v>
      </c>
      <c r="AC10" s="688">
        <f>IFERROR(VLOOKUP($A10,'[94]5月'!$A:$H,8,0),0)</f>
        <v>0</v>
      </c>
      <c r="AD10" s="688">
        <f>IFERROR(VLOOKUP($A10,'[94]6月'!$A:$H,8,0),0)</f>
        <v>0</v>
      </c>
      <c r="AE10" s="688">
        <f>IFERROR(VLOOKUP($A10,'[94]7月'!$A:$H,8,0),0)</f>
        <v>0</v>
      </c>
      <c r="AF10" s="688">
        <f>IFERROR(VLOOKUP($A10,'[94]8月'!$A:$H,8,0),0)</f>
        <v>0</v>
      </c>
      <c r="AG10" s="688">
        <f>IFERROR(VLOOKUP($A10,'[94]9月'!$A:$H,8,0),0)</f>
        <v>0</v>
      </c>
      <c r="AH10" s="688">
        <f>IFERROR(VLOOKUP($A10,'[94]10月'!$A:$H,8,0),0)</f>
        <v>0</v>
      </c>
      <c r="AI10" s="688">
        <f>IFERROR(VLOOKUP($A10,'[94]11月'!$A:$H,8,0),0)</f>
        <v>0</v>
      </c>
      <c r="AJ10" s="688">
        <f>IFERROR(VLOOKUP($A10,'[94]12月'!$A:$H,8,0),0)</f>
        <v>0</v>
      </c>
      <c r="AK10" s="688">
        <f t="shared" si="4"/>
        <v>0</v>
      </c>
    </row>
    <row r="11" spans="1:37" ht="13.5" customHeight="1">
      <c r="A11" s="653">
        <f>'Budget-合并'!A11</f>
        <v>0</v>
      </c>
      <c r="B11" s="653" t="str">
        <f>'Budget-合并'!B11</f>
        <v xml:space="preserve">      MAA咨询管理费</v>
      </c>
      <c r="C11" s="687" t="str">
        <f>'Budget-合并'!C11</f>
        <v xml:space="preserve">  MAA</v>
      </c>
      <c r="D11" s="676">
        <f t="shared" si="5"/>
        <v>0</v>
      </c>
      <c r="E11" s="676" t="e">
        <f t="shared" si="0"/>
        <v>#N/A</v>
      </c>
      <c r="F11" s="676" t="e">
        <f t="shared" si="6"/>
        <v>#N/A</v>
      </c>
      <c r="G11" s="676">
        <f t="shared" ca="1" si="1"/>
        <v>0</v>
      </c>
      <c r="H11" s="676" t="e">
        <f t="shared" ca="1" si="2"/>
        <v>#N/A</v>
      </c>
      <c r="I11" s="676" t="e">
        <f t="shared" ca="1" si="7"/>
        <v>#N/A</v>
      </c>
      <c r="K11" s="688">
        <f>INDEX(情形1!$76:$76,MATCH(K$6,情形1!$3:$3,0))*10000</f>
        <v>0</v>
      </c>
      <c r="L11" s="688">
        <f>INDEX(情形1!$76:$76,MATCH(L$6,情形1!$3:$3,0))*10000</f>
        <v>0</v>
      </c>
      <c r="M11" s="688">
        <f>INDEX(情形1!$76:$76,MATCH(M$6,情形1!$3:$3,0))*10000</f>
        <v>0</v>
      </c>
      <c r="N11" s="688">
        <f>INDEX(情形1!$76:$76,MATCH(N$6,情形1!$3:$3,0))*10000</f>
        <v>0</v>
      </c>
      <c r="O11" s="688">
        <f>INDEX(情形1!$76:$76,MATCH(O$6,情形1!$3:$3,0))*10000</f>
        <v>2829606.9592905273</v>
      </c>
      <c r="P11" s="688">
        <f>INDEX(情形1!$76:$76,MATCH(P$6,情形1!$3:$3,0))*10000</f>
        <v>0</v>
      </c>
      <c r="Q11" s="688">
        <f>INDEX(情形1!$76:$76,MATCH(Q$6,情形1!$3:$3,0))*10000</f>
        <v>1254685.1648608253</v>
      </c>
      <c r="R11" s="688">
        <f>INDEX(情形1!$76:$76,MATCH(R$6,情形1!$3:$3,0))*10000</f>
        <v>0</v>
      </c>
      <c r="S11" s="688">
        <f>INDEX(情形1!$76:$76,MATCH(S$6,情形1!$3:$3,0))*10000</f>
        <v>0</v>
      </c>
      <c r="T11" s="688">
        <f>INDEX(情形1!$76:$76,MATCH(T$6,情形1!$3:$3,0))*10000</f>
        <v>2719656.1958828056</v>
      </c>
      <c r="U11" s="688">
        <f>INDEX(情形1!$76:$76,MATCH(U$6,情形1!$3:$3,0))*10000</f>
        <v>0</v>
      </c>
      <c r="V11" s="688">
        <f>INDEX(情形1!$76:$76,MATCH(V$6,情形1!$3:$3,0))*10000</f>
        <v>0</v>
      </c>
      <c r="W11" s="688">
        <f t="shared" si="3"/>
        <v>6803948.3200341584</v>
      </c>
      <c r="Y11" s="688">
        <f>IFERROR(VLOOKUP($A11,'[94]1月'!$A:$H,8,0),0)</f>
        <v>0</v>
      </c>
      <c r="Z11" s="688">
        <f>IFERROR(VLOOKUP($A11,'[94]2月'!$A:$H,8,0),0)</f>
        <v>0</v>
      </c>
      <c r="AA11" s="688">
        <f>IFERROR(VLOOKUP($A11,'[94]3月'!$A:$H,8,0),0)</f>
        <v>0</v>
      </c>
      <c r="AB11" s="688">
        <f>IFERROR(VLOOKUP($A11,'[94]4月'!$A:$H,8,0),0)</f>
        <v>0</v>
      </c>
      <c r="AC11" s="688">
        <f>IFERROR(VLOOKUP($A11,'[94]5月'!$A:$H,8,0),0)</f>
        <v>0</v>
      </c>
      <c r="AD11" s="688">
        <f>IFERROR(VLOOKUP($A11,'[94]6月'!$A:$H,8,0),0)</f>
        <v>0</v>
      </c>
      <c r="AE11" s="688">
        <f>IFERROR(VLOOKUP($A11,'[94]7月'!$A:$H,8,0),0)</f>
        <v>0</v>
      </c>
      <c r="AF11" s="688">
        <f>IFERROR(VLOOKUP($A11,'[94]8月'!$A:$H,8,0),0)</f>
        <v>0</v>
      </c>
      <c r="AG11" s="688">
        <f>IFERROR(VLOOKUP($A11,'[94]9月'!$A:$H,8,0),0)</f>
        <v>0</v>
      </c>
      <c r="AH11" s="688">
        <f>IFERROR(VLOOKUP($A11,'[94]10月'!$A:$H,8,0),0)</f>
        <v>0</v>
      </c>
      <c r="AI11" s="688">
        <f>IFERROR(VLOOKUP($A11,'[94]11月'!$A:$H,8,0),0)</f>
        <v>0</v>
      </c>
      <c r="AJ11" s="688">
        <f>IFERROR(VLOOKUP($A11,'[94]12月'!$A:$H,8,0),0)</f>
        <v>0</v>
      </c>
      <c r="AK11" s="688">
        <f t="shared" si="4"/>
        <v>0</v>
      </c>
    </row>
    <row r="12" spans="1:37" s="680" customFormat="1" ht="13.5" customHeight="1">
      <c r="A12" s="653">
        <f>'Budget-合并'!A12</f>
        <v>0</v>
      </c>
      <c r="B12" s="686" t="str">
        <f>'Budget-合并'!B12</f>
        <v>营业收入合计</v>
      </c>
      <c r="C12" s="687">
        <f>'Budget-合并'!C12</f>
        <v>0</v>
      </c>
      <c r="D12" s="654">
        <f t="shared" si="5"/>
        <v>0</v>
      </c>
      <c r="E12" s="654" t="e">
        <f t="shared" si="0"/>
        <v>#N/A</v>
      </c>
      <c r="F12" s="654" t="e">
        <f t="shared" si="6"/>
        <v>#N/A</v>
      </c>
      <c r="G12" s="654">
        <f t="shared" ca="1" si="1"/>
        <v>0</v>
      </c>
      <c r="H12" s="654" t="e">
        <f t="shared" ca="1" si="2"/>
        <v>#N/A</v>
      </c>
      <c r="I12" s="654" t="e">
        <f t="shared" ca="1" si="7"/>
        <v>#N/A</v>
      </c>
      <c r="J12" s="654"/>
      <c r="K12" s="677">
        <f t="shared" ref="K12:W12" si="9">SUM(K8,K9)</f>
        <v>0</v>
      </c>
      <c r="L12" s="677">
        <f t="shared" si="9"/>
        <v>0</v>
      </c>
      <c r="M12" s="677">
        <f t="shared" si="9"/>
        <v>0</v>
      </c>
      <c r="N12" s="677">
        <f t="shared" si="9"/>
        <v>182145.17884975369</v>
      </c>
      <c r="O12" s="677">
        <f t="shared" si="9"/>
        <v>2829606.9592905273</v>
      </c>
      <c r="P12" s="677">
        <f t="shared" si="9"/>
        <v>437921.47371883737</v>
      </c>
      <c r="Q12" s="677">
        <f t="shared" si="9"/>
        <v>1254685.1648608253</v>
      </c>
      <c r="R12" s="677">
        <f t="shared" si="9"/>
        <v>0</v>
      </c>
      <c r="S12" s="677">
        <f t="shared" si="9"/>
        <v>0</v>
      </c>
      <c r="T12" s="677">
        <f t="shared" si="9"/>
        <v>2719656.1958828056</v>
      </c>
      <c r="U12" s="677">
        <f t="shared" si="9"/>
        <v>0</v>
      </c>
      <c r="V12" s="677">
        <f t="shared" si="9"/>
        <v>246716.32322188024</v>
      </c>
      <c r="W12" s="677">
        <f t="shared" si="9"/>
        <v>7670731.2958246302</v>
      </c>
      <c r="Y12" s="677">
        <f t="shared" ref="Y12:AK12" si="10">SUM(Y8,Y9)</f>
        <v>720619.93</v>
      </c>
      <c r="Z12" s="677">
        <f t="shared" si="10"/>
        <v>720619.93</v>
      </c>
      <c r="AA12" s="677">
        <f t="shared" si="10"/>
        <v>767836.11</v>
      </c>
      <c r="AB12" s="677">
        <f t="shared" si="10"/>
        <v>730853.97</v>
      </c>
      <c r="AC12" s="677">
        <f t="shared" si="10"/>
        <v>718265.13</v>
      </c>
      <c r="AD12" s="677">
        <f t="shared" si="10"/>
        <v>0</v>
      </c>
      <c r="AE12" s="677">
        <f t="shared" si="10"/>
        <v>0</v>
      </c>
      <c r="AF12" s="677">
        <f t="shared" si="10"/>
        <v>0</v>
      </c>
      <c r="AG12" s="677">
        <f t="shared" si="10"/>
        <v>0</v>
      </c>
      <c r="AH12" s="677">
        <f t="shared" si="10"/>
        <v>0</v>
      </c>
      <c r="AI12" s="677">
        <f t="shared" si="10"/>
        <v>0</v>
      </c>
      <c r="AJ12" s="677">
        <f t="shared" si="10"/>
        <v>0</v>
      </c>
      <c r="AK12" s="677">
        <f t="shared" si="10"/>
        <v>3658195.0700000003</v>
      </c>
    </row>
    <row r="13" spans="1:37" ht="13.5" customHeight="1">
      <c r="A13" s="653">
        <f>'Budget-合并'!A13</f>
        <v>0</v>
      </c>
      <c r="B13" s="653">
        <f>'Budget-合并'!B13</f>
        <v>0</v>
      </c>
      <c r="C13" s="687">
        <f>'Budget-合并'!C13</f>
        <v>0</v>
      </c>
      <c r="K13" s="654"/>
      <c r="L13" s="654"/>
      <c r="M13" s="654"/>
      <c r="N13" s="654"/>
      <c r="O13" s="654"/>
      <c r="P13" s="654"/>
      <c r="Q13" s="654"/>
      <c r="R13" s="654"/>
      <c r="S13" s="654"/>
      <c r="T13" s="654"/>
      <c r="U13" s="654"/>
      <c r="V13" s="654"/>
      <c r="W13" s="654"/>
    </row>
    <row r="14" spans="1:37" ht="13.5" hidden="1" customHeight="1">
      <c r="A14" s="653" t="str">
        <f>'Budget-合并'!A14</f>
        <v>6405.01</v>
      </c>
      <c r="B14" s="653" t="str">
        <f>'Budget-合并'!B14</f>
        <v>印花税</v>
      </c>
      <c r="C14" s="687" t="str">
        <f>'Budget-合并'!C14</f>
        <v>Stamp Duty</v>
      </c>
      <c r="D14" s="676">
        <f t="shared" si="5"/>
        <v>0</v>
      </c>
      <c r="E14" s="676" t="e">
        <f t="shared" ref="E14:E18" si="11">INDEX($Y14:$AJ14,1,MATCH($E$6,$Y$6:$AJ$6))</f>
        <v>#N/A</v>
      </c>
      <c r="F14" s="676" t="e">
        <f t="shared" si="6"/>
        <v>#N/A</v>
      </c>
      <c r="G14" s="676">
        <f t="shared" ref="G14:G19" ca="1" si="12">SUM($K14:OFFSET($K14,0,MATCH(G$6,$K$6:$V$6)-1))</f>
        <v>0</v>
      </c>
      <c r="H14" s="676" t="e">
        <f t="shared" ref="H14:H19" ca="1" si="13">SUM($Y14:OFFSET($Y14,0,MATCH(H$6,$Y$6:$AJ$6)-1))</f>
        <v>#N/A</v>
      </c>
      <c r="I14" s="676" t="e">
        <f t="shared" ca="1" si="7"/>
        <v>#N/A</v>
      </c>
      <c r="K14" s="688"/>
      <c r="L14" s="688"/>
      <c r="M14" s="688"/>
      <c r="N14" s="688"/>
      <c r="O14" s="688"/>
      <c r="P14" s="688"/>
      <c r="Q14" s="688"/>
      <c r="R14" s="688"/>
      <c r="S14" s="688"/>
      <c r="T14" s="688"/>
      <c r="U14" s="688"/>
      <c r="V14" s="688"/>
      <c r="W14" s="688">
        <f t="shared" ref="W14:W18" si="14">SUM(K14:V14)</f>
        <v>0</v>
      </c>
      <c r="Y14" s="688">
        <f>IFERROR(VLOOKUP($A14,'[94]1月'!$A:$H,8,0),0)</f>
        <v>0</v>
      </c>
      <c r="Z14" s="688">
        <f>IFERROR(VLOOKUP($A14,'[94]2月'!$A:$H,8,0),0)</f>
        <v>0</v>
      </c>
      <c r="AA14" s="688">
        <f>IFERROR(VLOOKUP($A14,'[94]3月'!$A:$H,8,0),0)</f>
        <v>0</v>
      </c>
      <c r="AB14" s="688">
        <f>IFERROR(VLOOKUP($A14,'[94]4月'!$A:$H,8,0),0)</f>
        <v>0</v>
      </c>
      <c r="AC14" s="688">
        <f>IFERROR(VLOOKUP($A14,'[94]5月'!$A:$H,8,0),0)</f>
        <v>0</v>
      </c>
      <c r="AD14" s="688">
        <f>IFERROR(VLOOKUP($A14,'[94]6月'!$A:$H,8,0),0)</f>
        <v>0</v>
      </c>
      <c r="AE14" s="688">
        <f>IFERROR(VLOOKUP($A14,'[94]7月'!$A:$H,8,0),0)</f>
        <v>0</v>
      </c>
      <c r="AF14" s="688">
        <f>IFERROR(VLOOKUP($A14,'[94]8月'!$A:$H,8,0),0)</f>
        <v>0</v>
      </c>
      <c r="AG14" s="688">
        <f>IFERROR(VLOOKUP($A14,'[94]9月'!$A:$H,8,0),0)</f>
        <v>0</v>
      </c>
      <c r="AH14" s="688">
        <f>IFERROR(VLOOKUP($A14,'[94]10月'!$A:$H,8,0),0)</f>
        <v>0</v>
      </c>
      <c r="AI14" s="688">
        <f>IFERROR(VLOOKUP($A14,'[94]11月'!$A:$H,8,0),0)</f>
        <v>0</v>
      </c>
      <c r="AJ14" s="688">
        <f>IFERROR(VLOOKUP($A14,'[94]12月'!$A:$H,8,0),0)</f>
        <v>0</v>
      </c>
      <c r="AK14" s="688">
        <f t="shared" ref="AK14:AK18" si="15">SUM(Y14:AJ14)</f>
        <v>0</v>
      </c>
    </row>
    <row r="15" spans="1:37" ht="13.5" customHeight="1">
      <c r="A15" s="653" t="str">
        <f>'Budget-合并'!A15</f>
        <v>6405.02</v>
      </c>
      <c r="B15" s="653" t="str">
        <f>'Budget-合并'!B15</f>
        <v>城市维护建设税</v>
      </c>
      <c r="C15" s="687" t="str">
        <f>'Budget-合并'!C15</f>
        <v>VAT surcharge</v>
      </c>
      <c r="D15" s="676">
        <f t="shared" si="5"/>
        <v>0</v>
      </c>
      <c r="E15" s="676" t="e">
        <f t="shared" si="11"/>
        <v>#N/A</v>
      </c>
      <c r="F15" s="676" t="e">
        <f t="shared" si="6"/>
        <v>#N/A</v>
      </c>
      <c r="G15" s="676">
        <f t="shared" ca="1" si="12"/>
        <v>0</v>
      </c>
      <c r="H15" s="676" t="e">
        <f t="shared" ca="1" si="13"/>
        <v>#N/A</v>
      </c>
      <c r="I15" s="676" t="e">
        <f t="shared" ca="1" si="7"/>
        <v>#N/A</v>
      </c>
      <c r="K15" s="688">
        <f>ROUND(K$12*0.06*7%,2)</f>
        <v>0</v>
      </c>
      <c r="L15" s="688">
        <f t="shared" ref="L15:V15" si="16">ROUND(L$12*0.06*7%,2)</f>
        <v>0</v>
      </c>
      <c r="M15" s="688">
        <f t="shared" si="16"/>
        <v>0</v>
      </c>
      <c r="N15" s="688">
        <f t="shared" si="16"/>
        <v>765.01</v>
      </c>
      <c r="O15" s="688">
        <f t="shared" si="16"/>
        <v>11884.35</v>
      </c>
      <c r="P15" s="688">
        <f t="shared" si="16"/>
        <v>1839.27</v>
      </c>
      <c r="Q15" s="688">
        <f t="shared" si="16"/>
        <v>5269.68</v>
      </c>
      <c r="R15" s="688">
        <f t="shared" si="16"/>
        <v>0</v>
      </c>
      <c r="S15" s="688">
        <f t="shared" si="16"/>
        <v>0</v>
      </c>
      <c r="T15" s="688">
        <f t="shared" si="16"/>
        <v>11422.56</v>
      </c>
      <c r="U15" s="688">
        <f t="shared" si="16"/>
        <v>0</v>
      </c>
      <c r="V15" s="688">
        <f t="shared" si="16"/>
        <v>1036.21</v>
      </c>
      <c r="W15" s="688">
        <f t="shared" si="14"/>
        <v>32217.08</v>
      </c>
      <c r="Y15" s="688">
        <f>IFERROR(VLOOKUP($A15,'[94]1月'!$A:$H,8,0),0)</f>
        <v>1463.19</v>
      </c>
      <c r="Z15" s="688">
        <f>IFERROR(VLOOKUP($A15,'[94]2月'!$A:$H,8,0),0)</f>
        <v>706.89</v>
      </c>
      <c r="AA15" s="688">
        <f>IFERROR(VLOOKUP($A15,'[94]3月'!$A:$H,8,0),0)</f>
        <v>1552.46</v>
      </c>
      <c r="AB15" s="688">
        <f>IFERROR(VLOOKUP($A15,'[94]4月'!$A:$H,8,0),0)</f>
        <v>0</v>
      </c>
      <c r="AC15" s="688">
        <f>IFERROR(VLOOKUP($A15,'[94]5月'!$A:$H,8,0),0)</f>
        <v>1805.39</v>
      </c>
      <c r="AD15" s="688">
        <f>IFERROR(VLOOKUP($A15,'[94]6月'!$A:$H,8,0),0)</f>
        <v>0</v>
      </c>
      <c r="AE15" s="688">
        <f>IFERROR(VLOOKUP($A15,'[94]7月'!$A:$H,8,0),0)</f>
        <v>0</v>
      </c>
      <c r="AF15" s="688">
        <f>IFERROR(VLOOKUP($A15,'[94]8月'!$A:$H,8,0),0)</f>
        <v>0</v>
      </c>
      <c r="AG15" s="688">
        <f>IFERROR(VLOOKUP($A15,'[94]9月'!$A:$H,8,0),0)</f>
        <v>0</v>
      </c>
      <c r="AH15" s="688">
        <f>IFERROR(VLOOKUP($A15,'[94]10月'!$A:$H,8,0),0)</f>
        <v>0</v>
      </c>
      <c r="AI15" s="688">
        <f>IFERROR(VLOOKUP($A15,'[94]11月'!$A:$H,8,0),0)</f>
        <v>0</v>
      </c>
      <c r="AJ15" s="688">
        <f>IFERROR(VLOOKUP($A15,'[94]12月'!$A:$H,8,0),0)</f>
        <v>0</v>
      </c>
      <c r="AK15" s="688">
        <f t="shared" si="15"/>
        <v>5527.93</v>
      </c>
    </row>
    <row r="16" spans="1:37" ht="13.5" customHeight="1">
      <c r="A16" s="653" t="str">
        <f>'Budget-合并'!A16</f>
        <v>6405.03</v>
      </c>
      <c r="B16" s="653" t="str">
        <f>'Budget-合并'!B16</f>
        <v>教育费附加</v>
      </c>
      <c r="C16" s="687" t="str">
        <f>'Budget-合并'!C16</f>
        <v>VAT surcharge</v>
      </c>
      <c r="D16" s="676">
        <f t="shared" si="5"/>
        <v>0</v>
      </c>
      <c r="E16" s="676" t="e">
        <f t="shared" si="11"/>
        <v>#N/A</v>
      </c>
      <c r="F16" s="676" t="e">
        <f t="shared" si="6"/>
        <v>#N/A</v>
      </c>
      <c r="G16" s="676">
        <f t="shared" ca="1" si="12"/>
        <v>0</v>
      </c>
      <c r="H16" s="676" t="e">
        <f t="shared" ca="1" si="13"/>
        <v>#N/A</v>
      </c>
      <c r="I16" s="676" t="e">
        <f t="shared" ca="1" si="7"/>
        <v>#N/A</v>
      </c>
      <c r="K16" s="688">
        <f>ROUND(K$12*0.06*3%,2)</f>
        <v>0</v>
      </c>
      <c r="L16" s="688">
        <f t="shared" ref="L16:V16" si="17">ROUND(L$12*0.06*3%,2)</f>
        <v>0</v>
      </c>
      <c r="M16" s="688">
        <f t="shared" si="17"/>
        <v>0</v>
      </c>
      <c r="N16" s="688">
        <f t="shared" si="17"/>
        <v>327.86</v>
      </c>
      <c r="O16" s="688">
        <f t="shared" si="17"/>
        <v>5093.29</v>
      </c>
      <c r="P16" s="688">
        <f t="shared" si="17"/>
        <v>788.26</v>
      </c>
      <c r="Q16" s="688">
        <f t="shared" si="17"/>
        <v>2258.4299999999998</v>
      </c>
      <c r="R16" s="688">
        <f t="shared" si="17"/>
        <v>0</v>
      </c>
      <c r="S16" s="688">
        <f t="shared" si="17"/>
        <v>0</v>
      </c>
      <c r="T16" s="688">
        <f t="shared" si="17"/>
        <v>4895.38</v>
      </c>
      <c r="U16" s="688">
        <f t="shared" si="17"/>
        <v>0</v>
      </c>
      <c r="V16" s="688">
        <f t="shared" si="17"/>
        <v>444.09</v>
      </c>
      <c r="W16" s="688">
        <f t="shared" si="14"/>
        <v>13807.310000000001</v>
      </c>
      <c r="Y16" s="688">
        <f>IFERROR(VLOOKUP($A16,'[94]1月'!$A:$H,8,0),0)</f>
        <v>627.08000000000004</v>
      </c>
      <c r="Z16" s="688">
        <f>IFERROR(VLOOKUP($A16,'[94]2月'!$A:$H,8,0),0)</f>
        <v>302.95</v>
      </c>
      <c r="AA16" s="688">
        <f>IFERROR(VLOOKUP($A16,'[94]3月'!$A:$H,8,0),0)</f>
        <v>665.34</v>
      </c>
      <c r="AB16" s="688">
        <f>IFERROR(VLOOKUP($A16,'[94]4月'!$A:$H,8,0),0)</f>
        <v>0</v>
      </c>
      <c r="AC16" s="688">
        <f>IFERROR(VLOOKUP($A16,'[94]5月'!$A:$H,8,0),0)</f>
        <v>773.74</v>
      </c>
      <c r="AD16" s="688">
        <f>IFERROR(VLOOKUP($A16,'[94]6月'!$A:$H,8,0),0)</f>
        <v>0</v>
      </c>
      <c r="AE16" s="688">
        <f>IFERROR(VLOOKUP($A16,'[94]7月'!$A:$H,8,0),0)</f>
        <v>0</v>
      </c>
      <c r="AF16" s="688">
        <f>IFERROR(VLOOKUP($A16,'[94]8月'!$A:$H,8,0),0)</f>
        <v>0</v>
      </c>
      <c r="AG16" s="688">
        <f>IFERROR(VLOOKUP($A16,'[94]9月'!$A:$H,8,0),0)</f>
        <v>0</v>
      </c>
      <c r="AH16" s="688">
        <f>IFERROR(VLOOKUP($A16,'[94]10月'!$A:$H,8,0),0)</f>
        <v>0</v>
      </c>
      <c r="AI16" s="688">
        <f>IFERROR(VLOOKUP($A16,'[94]11月'!$A:$H,8,0),0)</f>
        <v>0</v>
      </c>
      <c r="AJ16" s="688">
        <f>IFERROR(VLOOKUP($A16,'[94]12月'!$A:$H,8,0),0)</f>
        <v>0</v>
      </c>
      <c r="AK16" s="688">
        <f t="shared" si="15"/>
        <v>2369.1099999999997</v>
      </c>
    </row>
    <row r="17" spans="1:37" ht="13.5" customHeight="1">
      <c r="A17" s="653" t="str">
        <f>'Budget-合并'!A17</f>
        <v>6405.04</v>
      </c>
      <c r="B17" s="653" t="str">
        <f>'Budget-合并'!B17</f>
        <v>地方教育附加</v>
      </c>
      <c r="C17" s="687" t="str">
        <f>'Budget-合并'!C17</f>
        <v>VAT surcharge</v>
      </c>
      <c r="D17" s="676">
        <f t="shared" si="5"/>
        <v>0</v>
      </c>
      <c r="E17" s="676" t="e">
        <f t="shared" si="11"/>
        <v>#N/A</v>
      </c>
      <c r="F17" s="676" t="e">
        <f t="shared" si="6"/>
        <v>#N/A</v>
      </c>
      <c r="G17" s="676">
        <f t="shared" ca="1" si="12"/>
        <v>0</v>
      </c>
      <c r="H17" s="676" t="e">
        <f t="shared" ca="1" si="13"/>
        <v>#N/A</v>
      </c>
      <c r="I17" s="676" t="e">
        <f t="shared" ca="1" si="7"/>
        <v>#N/A</v>
      </c>
      <c r="K17" s="688">
        <f>ROUND(K$12*0.06*2%,2)</f>
        <v>0</v>
      </c>
      <c r="L17" s="688">
        <f t="shared" ref="L17:V17" si="18">ROUND(L$12*0.06*2%,2)</f>
        <v>0</v>
      </c>
      <c r="M17" s="688">
        <f t="shared" si="18"/>
        <v>0</v>
      </c>
      <c r="N17" s="688">
        <f t="shared" si="18"/>
        <v>218.57</v>
      </c>
      <c r="O17" s="688">
        <f t="shared" si="18"/>
        <v>3395.53</v>
      </c>
      <c r="P17" s="688">
        <f t="shared" si="18"/>
        <v>525.51</v>
      </c>
      <c r="Q17" s="688">
        <f t="shared" si="18"/>
        <v>1505.62</v>
      </c>
      <c r="R17" s="688">
        <f t="shared" si="18"/>
        <v>0</v>
      </c>
      <c r="S17" s="688">
        <f t="shared" si="18"/>
        <v>0</v>
      </c>
      <c r="T17" s="688">
        <f t="shared" si="18"/>
        <v>3263.59</v>
      </c>
      <c r="U17" s="688">
        <f t="shared" si="18"/>
        <v>0</v>
      </c>
      <c r="V17" s="688">
        <f t="shared" si="18"/>
        <v>296.06</v>
      </c>
      <c r="W17" s="688">
        <f t="shared" si="14"/>
        <v>9204.8799999999992</v>
      </c>
      <c r="Y17" s="688">
        <f>IFERROR(VLOOKUP($A17,'[94]1月'!$A:$H,8,0),0)</f>
        <v>418.05</v>
      </c>
      <c r="Z17" s="688">
        <f>IFERROR(VLOOKUP($A17,'[94]2月'!$A:$H,8,0),0)</f>
        <v>201.97</v>
      </c>
      <c r="AA17" s="688">
        <f>IFERROR(VLOOKUP($A17,'[94]3月'!$A:$H,8,0),0)</f>
        <v>443.56</v>
      </c>
      <c r="AB17" s="688">
        <f>IFERROR(VLOOKUP($A17,'[94]4月'!$A:$H,8,0),0)</f>
        <v>0</v>
      </c>
      <c r="AC17" s="688">
        <f>IFERROR(VLOOKUP($A17,'[94]5月'!$A:$H,8,0),0)</f>
        <v>515.82000000000005</v>
      </c>
      <c r="AD17" s="688">
        <f>IFERROR(VLOOKUP($A17,'[94]6月'!$A:$H,8,0),0)</f>
        <v>0</v>
      </c>
      <c r="AE17" s="688">
        <f>IFERROR(VLOOKUP($A17,'[94]7月'!$A:$H,8,0),0)</f>
        <v>0</v>
      </c>
      <c r="AF17" s="688">
        <f>IFERROR(VLOOKUP($A17,'[94]8月'!$A:$H,8,0),0)</f>
        <v>0</v>
      </c>
      <c r="AG17" s="688">
        <f>IFERROR(VLOOKUP($A17,'[94]9月'!$A:$H,8,0),0)</f>
        <v>0</v>
      </c>
      <c r="AH17" s="688">
        <f>IFERROR(VLOOKUP($A17,'[94]10月'!$A:$H,8,0),0)</f>
        <v>0</v>
      </c>
      <c r="AI17" s="688">
        <f>IFERROR(VLOOKUP($A17,'[94]11月'!$A:$H,8,0),0)</f>
        <v>0</v>
      </c>
      <c r="AJ17" s="688">
        <f>IFERROR(VLOOKUP($A17,'[94]12月'!$A:$H,8,0),0)</f>
        <v>0</v>
      </c>
      <c r="AK17" s="688">
        <f t="shared" si="15"/>
        <v>1579.4</v>
      </c>
    </row>
    <row r="18" spans="1:37" ht="13.5" hidden="1" customHeight="1">
      <c r="A18" s="653" t="str">
        <f>'Budget-合并'!A18</f>
        <v>6405.05</v>
      </c>
      <c r="B18" s="653" t="str">
        <f>'Budget-合并'!B18</f>
        <v>水利建设基金</v>
      </c>
      <c r="C18" s="687">
        <f>'Budget-合并'!C18</f>
        <v>0</v>
      </c>
      <c r="D18" s="676">
        <f t="shared" si="5"/>
        <v>0</v>
      </c>
      <c r="E18" s="676" t="e">
        <f t="shared" si="11"/>
        <v>#N/A</v>
      </c>
      <c r="F18" s="676" t="e">
        <f t="shared" si="6"/>
        <v>#N/A</v>
      </c>
      <c r="G18" s="676">
        <f t="shared" ca="1" si="12"/>
        <v>0</v>
      </c>
      <c r="H18" s="676" t="e">
        <f t="shared" ca="1" si="13"/>
        <v>#N/A</v>
      </c>
      <c r="I18" s="676" t="e">
        <f t="shared" ca="1" si="7"/>
        <v>#N/A</v>
      </c>
      <c r="K18" s="688"/>
      <c r="L18" s="688"/>
      <c r="M18" s="688"/>
      <c r="N18" s="688"/>
      <c r="O18" s="688"/>
      <c r="P18" s="688"/>
      <c r="Q18" s="688"/>
      <c r="R18" s="688"/>
      <c r="S18" s="688"/>
      <c r="T18" s="688"/>
      <c r="U18" s="688"/>
      <c r="V18" s="688"/>
      <c r="W18" s="688">
        <f t="shared" si="14"/>
        <v>0</v>
      </c>
      <c r="Y18" s="688">
        <f>IFERROR(VLOOKUP($A18,'[94]1月'!$A:$H,8,0),0)</f>
        <v>0</v>
      </c>
      <c r="Z18" s="688">
        <f>IFERROR(VLOOKUP($A18,'[94]2月'!$A:$H,8,0),0)</f>
        <v>0</v>
      </c>
      <c r="AA18" s="688">
        <f>IFERROR(VLOOKUP($A18,'[94]3月'!$A:$H,8,0),0)</f>
        <v>0</v>
      </c>
      <c r="AB18" s="688">
        <f>IFERROR(VLOOKUP($A18,'[94]4月'!$A:$H,8,0),0)</f>
        <v>0</v>
      </c>
      <c r="AC18" s="688">
        <f>IFERROR(VLOOKUP($A18,'[94]5月'!$A:$H,8,0),0)</f>
        <v>0</v>
      </c>
      <c r="AD18" s="688">
        <f>IFERROR(VLOOKUP($A18,'[94]6月'!$A:$H,8,0),0)</f>
        <v>0</v>
      </c>
      <c r="AE18" s="688">
        <f>IFERROR(VLOOKUP($A18,'[94]7月'!$A:$H,8,0),0)</f>
        <v>0</v>
      </c>
      <c r="AF18" s="688">
        <f>IFERROR(VLOOKUP($A18,'[94]8月'!$A:$H,8,0),0)</f>
        <v>0</v>
      </c>
      <c r="AG18" s="688">
        <f>IFERROR(VLOOKUP($A18,'[94]9月'!$A:$H,8,0),0)</f>
        <v>0</v>
      </c>
      <c r="AH18" s="688">
        <f>IFERROR(VLOOKUP($A18,'[94]10月'!$A:$H,8,0),0)</f>
        <v>0</v>
      </c>
      <c r="AI18" s="688">
        <f>IFERROR(VLOOKUP($A18,'[94]11月'!$A:$H,8,0),0)</f>
        <v>0</v>
      </c>
      <c r="AJ18" s="688">
        <f>IFERROR(VLOOKUP($A18,'[94]12月'!$A:$H,8,0),0)</f>
        <v>0</v>
      </c>
      <c r="AK18" s="688">
        <f t="shared" si="15"/>
        <v>0</v>
      </c>
    </row>
    <row r="19" spans="1:37" s="680" customFormat="1" ht="13.5" customHeight="1">
      <c r="A19" s="686">
        <f>'Budget-合并'!A19</f>
        <v>6401</v>
      </c>
      <c r="B19" s="686" t="str">
        <f>'Budget-合并'!B19</f>
        <v>税金及附加小计</v>
      </c>
      <c r="C19" s="687">
        <f>'Budget-合并'!C19</f>
        <v>0</v>
      </c>
      <c r="D19" s="654">
        <f t="shared" si="5"/>
        <v>0</v>
      </c>
      <c r="E19" s="654" t="e">
        <f t="shared" ref="E19:E42" si="19">INDEX($Y19:$AJ19,1,MATCH($E$6,$Y$6:$AJ$6))</f>
        <v>#N/A</v>
      </c>
      <c r="F19" s="654" t="e">
        <f t="shared" si="6"/>
        <v>#N/A</v>
      </c>
      <c r="G19" s="654">
        <f t="shared" ca="1" si="12"/>
        <v>0</v>
      </c>
      <c r="H19" s="654" t="e">
        <f t="shared" ca="1" si="13"/>
        <v>#N/A</v>
      </c>
      <c r="I19" s="654" t="e">
        <f t="shared" ca="1" si="7"/>
        <v>#N/A</v>
      </c>
      <c r="J19" s="654"/>
      <c r="K19" s="677">
        <f>SUM(K14:K18)</f>
        <v>0</v>
      </c>
      <c r="L19" s="677">
        <f t="shared" ref="L19:W19" si="20">SUM(L14:L18)</f>
        <v>0</v>
      </c>
      <c r="M19" s="677">
        <f t="shared" si="20"/>
        <v>0</v>
      </c>
      <c r="N19" s="677">
        <f t="shared" si="20"/>
        <v>1311.4399999999998</v>
      </c>
      <c r="O19" s="677">
        <f t="shared" si="20"/>
        <v>20373.169999999998</v>
      </c>
      <c r="P19" s="677">
        <f t="shared" si="20"/>
        <v>3153.04</v>
      </c>
      <c r="Q19" s="677">
        <f t="shared" si="20"/>
        <v>9033.73</v>
      </c>
      <c r="R19" s="677">
        <f t="shared" si="20"/>
        <v>0</v>
      </c>
      <c r="S19" s="677">
        <f t="shared" si="20"/>
        <v>0</v>
      </c>
      <c r="T19" s="677">
        <f t="shared" si="20"/>
        <v>19581.53</v>
      </c>
      <c r="U19" s="677">
        <f t="shared" si="20"/>
        <v>0</v>
      </c>
      <c r="V19" s="677">
        <f t="shared" si="20"/>
        <v>1776.36</v>
      </c>
      <c r="W19" s="677">
        <f t="shared" si="20"/>
        <v>55229.27</v>
      </c>
      <c r="Y19" s="677">
        <f t="shared" ref="Y19:AK19" si="21">SUM(Y14:Y18)</f>
        <v>2508.3200000000002</v>
      </c>
      <c r="Z19" s="677">
        <f t="shared" si="21"/>
        <v>1211.81</v>
      </c>
      <c r="AA19" s="677">
        <f t="shared" si="21"/>
        <v>2661.36</v>
      </c>
      <c r="AB19" s="677">
        <f t="shared" si="21"/>
        <v>0</v>
      </c>
      <c r="AC19" s="677">
        <f t="shared" si="21"/>
        <v>3094.9500000000003</v>
      </c>
      <c r="AD19" s="677">
        <f t="shared" si="21"/>
        <v>0</v>
      </c>
      <c r="AE19" s="677">
        <f t="shared" si="21"/>
        <v>0</v>
      </c>
      <c r="AF19" s="677">
        <f t="shared" si="21"/>
        <v>0</v>
      </c>
      <c r="AG19" s="677">
        <f t="shared" si="21"/>
        <v>0</v>
      </c>
      <c r="AH19" s="677">
        <f t="shared" si="21"/>
        <v>0</v>
      </c>
      <c r="AI19" s="677">
        <f t="shared" si="21"/>
        <v>0</v>
      </c>
      <c r="AJ19" s="677">
        <f t="shared" si="21"/>
        <v>0</v>
      </c>
      <c r="AK19" s="677">
        <f t="shared" si="21"/>
        <v>9476.44</v>
      </c>
    </row>
    <row r="20" spans="1:37" ht="13.5" customHeight="1">
      <c r="A20" s="653">
        <f>'Budget-合并'!A20</f>
        <v>0</v>
      </c>
      <c r="B20" s="653">
        <f>'Budget-合并'!B20</f>
        <v>0</v>
      </c>
      <c r="C20" s="687">
        <f>'Budget-合并'!C20</f>
        <v>0</v>
      </c>
      <c r="K20" s="654"/>
      <c r="L20" s="654"/>
      <c r="M20" s="654"/>
      <c r="N20" s="654"/>
      <c r="O20" s="654"/>
      <c r="P20" s="654"/>
      <c r="Q20" s="654"/>
      <c r="R20" s="654"/>
      <c r="S20" s="654"/>
      <c r="T20" s="654"/>
      <c r="U20" s="654"/>
      <c r="V20" s="654"/>
      <c r="W20" s="654"/>
    </row>
    <row r="21" spans="1:37" ht="13.5" customHeight="1">
      <c r="A21" s="653">
        <f>'Budget-合并'!A21</f>
        <v>0</v>
      </c>
      <c r="B21" s="653">
        <f>'Budget-合并'!B21</f>
        <v>0</v>
      </c>
      <c r="C21" s="687">
        <f>'Budget-合并'!C21</f>
        <v>0</v>
      </c>
      <c r="D21" s="677"/>
      <c r="E21" s="677"/>
      <c r="F21" s="677"/>
      <c r="G21" s="677"/>
      <c r="H21" s="677"/>
      <c r="I21" s="677"/>
      <c r="K21" s="677"/>
      <c r="L21" s="677"/>
      <c r="M21" s="677"/>
      <c r="N21" s="677"/>
      <c r="O21" s="677"/>
      <c r="P21" s="677"/>
      <c r="Q21" s="677"/>
      <c r="R21" s="677"/>
      <c r="S21" s="677"/>
      <c r="T21" s="677"/>
      <c r="U21" s="677"/>
      <c r="V21" s="677"/>
      <c r="W21" s="677"/>
    </row>
    <row r="22" spans="1:37" ht="13.5" customHeight="1">
      <c r="A22" s="686" t="str">
        <f>'Budget-合并'!A22</f>
        <v>6602</v>
      </c>
      <c r="B22" s="686" t="str">
        <f>'Budget-合并'!B22</f>
        <v>管理费用</v>
      </c>
      <c r="C22" s="687">
        <f>'Budget-合并'!C22</f>
        <v>0</v>
      </c>
      <c r="D22" s="677"/>
      <c r="E22" s="677"/>
      <c r="F22" s="677"/>
      <c r="G22" s="677"/>
      <c r="H22" s="677"/>
      <c r="I22" s="677"/>
      <c r="K22" s="677"/>
      <c r="L22" s="677"/>
      <c r="M22" s="677"/>
      <c r="N22" s="677"/>
      <c r="O22" s="677"/>
      <c r="P22" s="677"/>
      <c r="Q22" s="677"/>
      <c r="R22" s="677"/>
      <c r="S22" s="677"/>
      <c r="T22" s="677"/>
      <c r="U22" s="677"/>
      <c r="V22" s="677"/>
      <c r="W22" s="677"/>
    </row>
    <row r="23" spans="1:37" ht="13.5" customHeight="1">
      <c r="A23" s="663" t="str">
        <f>'Budget-合并'!A23</f>
        <v>6602.01</v>
      </c>
      <c r="B23" s="663" t="str">
        <f>'Budget-合并'!B23</f>
        <v>工资薪金</v>
      </c>
      <c r="C23" s="687">
        <f>'Budget-合并'!C23</f>
        <v>0</v>
      </c>
      <c r="D23" s="676">
        <f ca="1">INDEX($K23:$V23,1,MATCH($D$6,$K$6:$V$6))</f>
        <v>300500</v>
      </c>
      <c r="E23" s="676" t="e">
        <f t="shared" si="19"/>
        <v>#N/A</v>
      </c>
      <c r="F23" s="676" t="e">
        <f t="shared" ref="F23:F42" ca="1" si="22">D23-E23</f>
        <v>#N/A</v>
      </c>
      <c r="G23" s="676">
        <f t="shared" ref="G23:G42" ca="1" si="23">SUM($K23:OFFSET($K23,0,MATCH(G$6,$K$6:$V$6)-1))</f>
        <v>300500</v>
      </c>
      <c r="H23" s="676" t="e">
        <f t="shared" ref="H23:H42" ca="1" si="24">SUM($Y23:OFFSET($Y23,0,MATCH(H$6,$Y$6:$AJ$6)-1))</f>
        <v>#N/A</v>
      </c>
      <c r="I23" s="676" t="e">
        <f t="shared" ref="I23:I42" ca="1" si="25">G23-H23</f>
        <v>#N/A</v>
      </c>
      <c r="K23" s="676">
        <f t="shared" ref="K23:V23" ca="1" si="26">SUM(K24:K32)</f>
        <v>300500</v>
      </c>
      <c r="L23" s="676">
        <f t="shared" ca="1" si="26"/>
        <v>333500</v>
      </c>
      <c r="M23" s="676">
        <f t="shared" ca="1" si="26"/>
        <v>289250</v>
      </c>
      <c r="N23" s="676">
        <f t="shared" ca="1" si="26"/>
        <v>668750</v>
      </c>
      <c r="O23" s="676">
        <f t="shared" ca="1" si="26"/>
        <v>572500</v>
      </c>
      <c r="P23" s="676">
        <f t="shared" ca="1" si="26"/>
        <v>572500</v>
      </c>
      <c r="Q23" s="676">
        <f t="shared" ca="1" si="26"/>
        <v>572500</v>
      </c>
      <c r="R23" s="676">
        <f t="shared" ca="1" si="26"/>
        <v>589500</v>
      </c>
      <c r="S23" s="676">
        <f t="shared" ca="1" si="26"/>
        <v>589500</v>
      </c>
      <c r="T23" s="676">
        <f t="shared" ca="1" si="26"/>
        <v>589500</v>
      </c>
      <c r="U23" s="676">
        <f t="shared" ca="1" si="26"/>
        <v>589500</v>
      </c>
      <c r="V23" s="676">
        <f t="shared" ca="1" si="26"/>
        <v>1912928.5714285714</v>
      </c>
      <c r="W23" s="676">
        <f t="shared" ref="W23:W86" ca="1" si="27">SUM(K23:V23)</f>
        <v>7580428.5714285709</v>
      </c>
      <c r="Y23" s="688">
        <f>IFERROR(VLOOKUP($A23,'[94]1月'!$A:$H,8,0),0)</f>
        <v>177500</v>
      </c>
      <c r="Z23" s="688">
        <f>IFERROR(VLOOKUP($A23,'[94]2月'!$A:$H,8,0),0)</f>
        <v>182250</v>
      </c>
      <c r="AA23" s="688">
        <f>IFERROR(VLOOKUP($A23,'[94]3月'!$A:$H,8,0),0)</f>
        <v>318625.09999999998</v>
      </c>
      <c r="AB23" s="688">
        <f>IFERROR(VLOOKUP($A23,'[94]4月'!$A:$H,8,0),0)</f>
        <v>186100</v>
      </c>
      <c r="AC23" s="688">
        <f>IFERROR(VLOOKUP($A23,'[94]5月'!$A:$H,8,0),0)</f>
        <v>261900</v>
      </c>
      <c r="AD23" s="688">
        <f>IFERROR(VLOOKUP($A23,'[94]6月'!$A:$H,8,0),0)</f>
        <v>274132.18</v>
      </c>
      <c r="AE23" s="688">
        <f>IFERROR(VLOOKUP($A23,'[94]7月'!$A:$H,8,0),0)</f>
        <v>308900</v>
      </c>
      <c r="AF23" s="688">
        <f>IFERROR(VLOOKUP($A23,'[94]8月'!$A:$H,8,0),0)</f>
        <v>170375</v>
      </c>
      <c r="AG23" s="688">
        <f>IFERROR(VLOOKUP($A23,'[94]9月'!$A:$H,8,0),0)</f>
        <v>305100</v>
      </c>
      <c r="AH23" s="688">
        <f>IFERROR(VLOOKUP($A23,'[94]10月'!$A:$H,8,0),0)</f>
        <v>304100</v>
      </c>
      <c r="AI23" s="688">
        <f>IFERROR(VLOOKUP($A23,'[94]11月'!$A:$H,8,0),0)</f>
        <v>308500</v>
      </c>
      <c r="AJ23" s="688">
        <f>IFERROR(VLOOKUP($A23,'[94]12月'!$A:$H,8,0),0)</f>
        <v>311100</v>
      </c>
      <c r="AK23" s="688">
        <f t="shared" ref="AK23:AK41" si="28">SUM(Y23:AJ23)</f>
        <v>3108582.2800000003</v>
      </c>
    </row>
    <row r="24" spans="1:37" ht="13.5" customHeight="1">
      <c r="A24" s="653" t="str">
        <f>'Budget-合并'!A24</f>
        <v>6602.01.01</v>
      </c>
      <c r="B24" s="653" t="str">
        <f>'Budget-合并'!B24</f>
        <v>基本工资（专业）</v>
      </c>
      <c r="C24" s="687" t="str">
        <f>'Budget-合并'!C24</f>
        <v>Salary Professional</v>
      </c>
      <c r="D24" s="676">
        <f ca="1">INDEX($K24:$V24,1,MATCH($D$6,$K$6:$V$6))</f>
        <v>300500</v>
      </c>
      <c r="E24" s="676" t="e">
        <f t="shared" si="19"/>
        <v>#N/A</v>
      </c>
      <c r="F24" s="676" t="e">
        <f t="shared" ca="1" si="22"/>
        <v>#N/A</v>
      </c>
      <c r="G24" s="676">
        <f t="shared" ca="1" si="23"/>
        <v>300500</v>
      </c>
      <c r="H24" s="676" t="e">
        <f t="shared" ca="1" si="24"/>
        <v>#N/A</v>
      </c>
      <c r="I24" s="676" t="e">
        <f t="shared" ca="1" si="25"/>
        <v>#N/A</v>
      </c>
      <c r="K24" s="676">
        <f ca="1">INDEX('Personnel-CN'!$W$44:$AV$44,MATCH(K$6,'Personnel-CN'!$W$15:$AV$15,0))</f>
        <v>300500</v>
      </c>
      <c r="L24" s="676">
        <f ca="1">INDEX('Personnel-CN'!$W$44:$AV$44,MATCH(L$6,'Personnel-CN'!$W$15:$AV$15,0))</f>
        <v>333500</v>
      </c>
      <c r="M24" s="676">
        <f ca="1">INDEX('Personnel-CN'!$W$44:$AV$44,MATCH(M$6,'Personnel-CN'!$W$15:$AV$15,0))</f>
        <v>289250</v>
      </c>
      <c r="N24" s="676">
        <f ca="1">INDEX('Personnel-CN'!$W$44:$AV$44,MATCH(N$6,'Personnel-CN'!$W$15:$AV$15,0))</f>
        <v>306500</v>
      </c>
      <c r="O24" s="676">
        <f ca="1">INDEX('Personnel-CN'!$W$44:$AV$44,MATCH(O$6,'Personnel-CN'!$W$15:$AV$15,0))</f>
        <v>572500</v>
      </c>
      <c r="P24" s="676">
        <f ca="1">INDEX('Personnel-CN'!$W$44:$AV$44,MATCH(P$6,'Personnel-CN'!$W$15:$AV$15,0))</f>
        <v>572500</v>
      </c>
      <c r="Q24" s="676">
        <f ca="1">INDEX('Personnel-CN'!$W$44:$AV$44,MATCH(Q$6,'Personnel-CN'!$W$15:$AV$15,0))</f>
        <v>572500</v>
      </c>
      <c r="R24" s="676">
        <f ca="1">INDEX('Personnel-CN'!$W$44:$AV$44,MATCH(R$6,'Personnel-CN'!$W$15:$AV$15,0))</f>
        <v>589500</v>
      </c>
      <c r="S24" s="676">
        <f ca="1">INDEX('Personnel-CN'!$W$44:$AV$44,MATCH(S$6,'Personnel-CN'!$W$15:$AV$15,0))</f>
        <v>589500</v>
      </c>
      <c r="T24" s="676">
        <f ca="1">INDEX('Personnel-CN'!$W$44:$AV$44,MATCH(T$6,'Personnel-CN'!$W$15:$AV$15,0))</f>
        <v>589500</v>
      </c>
      <c r="U24" s="676">
        <f ca="1">INDEX('Personnel-CN'!$W$44:$AV$44,MATCH(U$6,'Personnel-CN'!$W$15:$AV$15,0))</f>
        <v>589500</v>
      </c>
      <c r="V24" s="676">
        <f ca="1">INDEX('Personnel-CN'!$W$44:$AV$44,MATCH(V$6,'Personnel-CN'!$W$15:$AV$15,0))</f>
        <v>1912928.5714285714</v>
      </c>
      <c r="W24" s="676">
        <f t="shared" ca="1" si="27"/>
        <v>7218178.5714285709</v>
      </c>
      <c r="Y24" s="688">
        <f>IFERROR(VLOOKUP($A24,'[94]1月'!$A:$H,8,0),0)</f>
        <v>177500</v>
      </c>
      <c r="Z24" s="688">
        <f>IFERROR(VLOOKUP($A24,'[94]2月'!$A:$H,8,0),0)</f>
        <v>182250</v>
      </c>
      <c r="AA24" s="688">
        <f>IFERROR(VLOOKUP($A24,'[94]3月'!$A:$H,8,0),0)</f>
        <v>177500.1</v>
      </c>
      <c r="AB24" s="688">
        <f>IFERROR(VLOOKUP($A24,'[94]4月'!$A:$H,8,0),0)</f>
        <v>177500</v>
      </c>
      <c r="AC24" s="688">
        <f>IFERROR(VLOOKUP($A24,'[94]5月'!$A:$H,8,0),0)</f>
        <v>254700</v>
      </c>
      <c r="AD24" s="688">
        <f>IFERROR(VLOOKUP($A24,'[94]6月'!$A:$H,8,0),0)</f>
        <v>269132.18</v>
      </c>
      <c r="AE24" s="688">
        <f>IFERROR(VLOOKUP($A24,'[94]7月'!$A:$H,8,0),0)</f>
        <v>308900</v>
      </c>
      <c r="AF24" s="688">
        <f>IFERROR(VLOOKUP($A24,'[94]8月'!$A:$H,8,0),0)</f>
        <v>300500</v>
      </c>
      <c r="AG24" s="688">
        <f>IFERROR(VLOOKUP($A24,'[94]9月'!$A:$H,8,0),0)</f>
        <v>300500</v>
      </c>
      <c r="AH24" s="688">
        <f>IFERROR(VLOOKUP($A24,'[94]10月'!$A:$H,8,0),0)</f>
        <v>300500</v>
      </c>
      <c r="AI24" s="688">
        <f>IFERROR(VLOOKUP($A24,'[94]11月'!$A:$H,8,0),0)</f>
        <v>304500</v>
      </c>
      <c r="AJ24" s="688">
        <f>IFERROR(VLOOKUP($A24,'[94]12月'!$A:$H,8,0),0)</f>
        <v>306500</v>
      </c>
      <c r="AK24" s="688">
        <f t="shared" si="28"/>
        <v>3059982.2800000003</v>
      </c>
    </row>
    <row r="25" spans="1:37" ht="13.5" hidden="1" customHeight="1">
      <c r="A25" s="653" t="str">
        <f>'Budget-合并'!A25</f>
        <v>6602.01.02</v>
      </c>
      <c r="B25" s="653" t="str">
        <f>'Budget-合并'!B25</f>
        <v>加班费</v>
      </c>
      <c r="C25" s="687">
        <f>'Budget-合并'!C25</f>
        <v>0</v>
      </c>
      <c r="D25" s="676">
        <f t="shared" ref="D25:D42" si="29">INDEX($K25:$V25,1,MATCH($D$6,$K$6:$V$6))</f>
        <v>0</v>
      </c>
      <c r="E25" s="676" t="e">
        <f t="shared" si="19"/>
        <v>#N/A</v>
      </c>
      <c r="F25" s="676" t="e">
        <f t="shared" si="22"/>
        <v>#N/A</v>
      </c>
      <c r="G25" s="676">
        <f t="shared" ca="1" si="23"/>
        <v>0</v>
      </c>
      <c r="H25" s="676" t="e">
        <f t="shared" ca="1" si="24"/>
        <v>#N/A</v>
      </c>
      <c r="I25" s="676" t="e">
        <f t="shared" ca="1" si="25"/>
        <v>#N/A</v>
      </c>
      <c r="K25" s="676"/>
      <c r="L25" s="676"/>
      <c r="M25" s="676"/>
      <c r="N25" s="676"/>
      <c r="O25" s="676"/>
      <c r="P25" s="676"/>
      <c r="Q25" s="676"/>
      <c r="R25" s="676"/>
      <c r="S25" s="676"/>
      <c r="T25" s="676"/>
      <c r="U25" s="676"/>
      <c r="V25" s="676"/>
      <c r="W25" s="676">
        <f t="shared" si="27"/>
        <v>0</v>
      </c>
      <c r="Y25" s="688">
        <f>IFERROR(VLOOKUP($A25,'[94]1月'!$A:$H,8,0),0)</f>
        <v>0</v>
      </c>
      <c r="Z25" s="688">
        <f>IFERROR(VLOOKUP($A25,'[94]2月'!$A:$H,8,0),0)</f>
        <v>0</v>
      </c>
      <c r="AA25" s="688">
        <f>IFERROR(VLOOKUP($A25,'[94]3月'!$A:$H,8,0),0)</f>
        <v>0</v>
      </c>
      <c r="AB25" s="688">
        <f>IFERROR(VLOOKUP($A25,'[94]4月'!$A:$H,8,0),0)</f>
        <v>0</v>
      </c>
      <c r="AC25" s="688">
        <f>IFERROR(VLOOKUP($A25,'[94]5月'!$A:$H,8,0),0)</f>
        <v>0</v>
      </c>
      <c r="AD25" s="688">
        <f>IFERROR(VLOOKUP($A25,'[94]6月'!$A:$H,8,0),0)</f>
        <v>0</v>
      </c>
      <c r="AE25" s="688">
        <f>IFERROR(VLOOKUP($A25,'[94]7月'!$A:$H,8,0),0)</f>
        <v>0</v>
      </c>
      <c r="AF25" s="688">
        <f>IFERROR(VLOOKUP($A25,'[94]8月'!$A:$H,8,0),0)</f>
        <v>0</v>
      </c>
      <c r="AG25" s="688">
        <f>IFERROR(VLOOKUP($A25,'[94]9月'!$A:$H,8,0),0)</f>
        <v>0</v>
      </c>
      <c r="AH25" s="688">
        <f>IFERROR(VLOOKUP($A25,'[94]10月'!$A:$H,8,0),0)</f>
        <v>0</v>
      </c>
      <c r="AI25" s="688">
        <f>IFERROR(VLOOKUP($A25,'[94]11月'!$A:$H,8,0),0)</f>
        <v>0</v>
      </c>
      <c r="AJ25" s="688">
        <f>IFERROR(VLOOKUP($A25,'[94]12月'!$A:$H,8,0),0)</f>
        <v>0</v>
      </c>
      <c r="AK25" s="688">
        <f t="shared" si="28"/>
        <v>0</v>
      </c>
    </row>
    <row r="26" spans="1:37" ht="13.5" customHeight="1">
      <c r="A26" s="653" t="str">
        <f>'Budget-合并'!A26</f>
        <v>6602.01.03</v>
      </c>
      <c r="B26" s="653" t="str">
        <f>'Budget-合并'!B26</f>
        <v>员工奖金（专业）</v>
      </c>
      <c r="C26" s="687" t="str">
        <f>'Budget-合并'!C26</f>
        <v>Bonus Expense - Professional</v>
      </c>
      <c r="D26" s="676">
        <f t="shared" si="29"/>
        <v>0</v>
      </c>
      <c r="E26" s="676" t="e">
        <f t="shared" si="19"/>
        <v>#N/A</v>
      </c>
      <c r="F26" s="676" t="e">
        <f t="shared" si="22"/>
        <v>#N/A</v>
      </c>
      <c r="G26" s="676">
        <f t="shared" ca="1" si="23"/>
        <v>0</v>
      </c>
      <c r="H26" s="676" t="e">
        <f t="shared" ca="1" si="24"/>
        <v>#N/A</v>
      </c>
      <c r="I26" s="676" t="e">
        <f t="shared" ca="1" si="25"/>
        <v>#N/A</v>
      </c>
      <c r="K26" s="676"/>
      <c r="L26" s="676"/>
      <c r="M26" s="676"/>
      <c r="N26" s="676">
        <v>362250</v>
      </c>
      <c r="O26" s="676"/>
      <c r="P26" s="676"/>
      <c r="Q26" s="676"/>
      <c r="R26" s="676"/>
      <c r="S26" s="676"/>
      <c r="T26" s="676"/>
      <c r="U26" s="676"/>
      <c r="V26" s="676"/>
      <c r="W26" s="676">
        <f t="shared" si="27"/>
        <v>362250</v>
      </c>
      <c r="Y26" s="688">
        <f>IFERROR(VLOOKUP($A26,'[94]1月'!$A:$H,8,0),0)</f>
        <v>0</v>
      </c>
      <c r="Z26" s="688">
        <f>IFERROR(VLOOKUP($A26,'[94]2月'!$A:$H,8,0),0)</f>
        <v>0</v>
      </c>
      <c r="AA26" s="688">
        <f>IFERROR(VLOOKUP($A26,'[94]3月'!$A:$H,8,0),0)</f>
        <v>133125</v>
      </c>
      <c r="AB26" s="688">
        <f>IFERROR(VLOOKUP($A26,'[94]4月'!$A:$H,8,0),0)</f>
        <v>0</v>
      </c>
      <c r="AC26" s="688">
        <f>IFERROR(VLOOKUP($A26,'[94]5月'!$A:$H,8,0),0)</f>
        <v>0</v>
      </c>
      <c r="AD26" s="688">
        <f>IFERROR(VLOOKUP($A26,'[94]6月'!$A:$H,8,0),0)</f>
        <v>0</v>
      </c>
      <c r="AE26" s="688">
        <f>IFERROR(VLOOKUP($A26,'[94]7月'!$A:$H,8,0),0)</f>
        <v>0</v>
      </c>
      <c r="AF26" s="688">
        <f>IFERROR(VLOOKUP($A26,'[94]8月'!$A:$H,8,0),0)</f>
        <v>-133125</v>
      </c>
      <c r="AG26" s="688">
        <f>IFERROR(VLOOKUP($A26,'[94]9月'!$A:$H,8,0),0)</f>
        <v>0</v>
      </c>
      <c r="AH26" s="688">
        <f>IFERROR(VLOOKUP($A26,'[94]10月'!$A:$H,8,0),0)</f>
        <v>0</v>
      </c>
      <c r="AI26" s="688">
        <f>IFERROR(VLOOKUP($A26,'[94]11月'!$A:$H,8,0),0)</f>
        <v>0</v>
      </c>
      <c r="AJ26" s="688">
        <f>IFERROR(VLOOKUP($A26,'[94]12月'!$A:$H,8,0),0)</f>
        <v>0</v>
      </c>
      <c r="AK26" s="688">
        <f t="shared" si="28"/>
        <v>0</v>
      </c>
    </row>
    <row r="27" spans="1:37" ht="13.5" hidden="1" customHeight="1">
      <c r="A27" s="653" t="str">
        <f>'Budget-合并'!A27</f>
        <v>6602.01.04</v>
      </c>
      <c r="B27" s="653" t="str">
        <f>'Budget-合并'!B27</f>
        <v>员工遣散费</v>
      </c>
      <c r="C27" s="687">
        <f>'Budget-合并'!C27</f>
        <v>0</v>
      </c>
      <c r="D27" s="676">
        <f t="shared" si="29"/>
        <v>0</v>
      </c>
      <c r="E27" s="676" t="e">
        <f t="shared" si="19"/>
        <v>#N/A</v>
      </c>
      <c r="F27" s="676" t="e">
        <f t="shared" si="22"/>
        <v>#N/A</v>
      </c>
      <c r="G27" s="676">
        <f t="shared" ca="1" si="23"/>
        <v>0</v>
      </c>
      <c r="H27" s="676" t="e">
        <f t="shared" ca="1" si="24"/>
        <v>#N/A</v>
      </c>
      <c r="I27" s="676" t="e">
        <f t="shared" ca="1" si="25"/>
        <v>#N/A</v>
      </c>
      <c r="K27" s="676"/>
      <c r="L27" s="676"/>
      <c r="M27" s="676"/>
      <c r="N27" s="676"/>
      <c r="O27" s="676"/>
      <c r="P27" s="676"/>
      <c r="Q27" s="676"/>
      <c r="R27" s="676"/>
      <c r="S27" s="676"/>
      <c r="T27" s="676"/>
      <c r="U27" s="676"/>
      <c r="V27" s="676"/>
      <c r="W27" s="676">
        <f t="shared" si="27"/>
        <v>0</v>
      </c>
      <c r="Y27" s="688">
        <f>IFERROR(VLOOKUP($A27,'[94]1月'!$A:$H,8,0),0)</f>
        <v>0</v>
      </c>
      <c r="Z27" s="688">
        <f>IFERROR(VLOOKUP($A27,'[94]2月'!$A:$H,8,0),0)</f>
        <v>0</v>
      </c>
      <c r="AA27" s="688">
        <f>IFERROR(VLOOKUP($A27,'[94]3月'!$A:$H,8,0),0)</f>
        <v>0</v>
      </c>
      <c r="AB27" s="688">
        <f>IFERROR(VLOOKUP($A27,'[94]4月'!$A:$H,8,0),0)</f>
        <v>0</v>
      </c>
      <c r="AC27" s="688">
        <f>IFERROR(VLOOKUP($A27,'[94]5月'!$A:$H,8,0),0)</f>
        <v>0</v>
      </c>
      <c r="AD27" s="688">
        <f>IFERROR(VLOOKUP($A27,'[94]6月'!$A:$H,8,0),0)</f>
        <v>0</v>
      </c>
      <c r="AE27" s="688">
        <f>IFERROR(VLOOKUP($A27,'[94]7月'!$A:$H,8,0),0)</f>
        <v>0</v>
      </c>
      <c r="AF27" s="688">
        <f>IFERROR(VLOOKUP($A27,'[94]8月'!$A:$H,8,0),0)</f>
        <v>0</v>
      </c>
      <c r="AG27" s="688">
        <f>IFERROR(VLOOKUP($A27,'[94]9月'!$A:$H,8,0),0)</f>
        <v>0</v>
      </c>
      <c r="AH27" s="688">
        <f>IFERROR(VLOOKUP($A27,'[94]10月'!$A:$H,8,0),0)</f>
        <v>0</v>
      </c>
      <c r="AI27" s="688">
        <f>IFERROR(VLOOKUP($A27,'[94]11月'!$A:$H,8,0),0)</f>
        <v>0</v>
      </c>
      <c r="AJ27" s="688">
        <f>IFERROR(VLOOKUP($A27,'[94]12月'!$A:$H,8,0),0)</f>
        <v>0</v>
      </c>
      <c r="AK27" s="688">
        <f t="shared" si="28"/>
        <v>0</v>
      </c>
    </row>
    <row r="28" spans="1:37" ht="13.5" hidden="1" customHeight="1">
      <c r="A28" s="653" t="str">
        <f>'Budget-合并'!A28</f>
        <v>6602.01.05</v>
      </c>
      <c r="B28" s="653" t="str">
        <f>'Budget-合并'!B28</f>
        <v>员工假期</v>
      </c>
      <c r="C28" s="687" t="str">
        <f>'Budget-合并'!C28</f>
        <v>Unused Leave Expense</v>
      </c>
      <c r="D28" s="676">
        <f t="shared" si="29"/>
        <v>0</v>
      </c>
      <c r="E28" s="676" t="e">
        <f t="shared" si="19"/>
        <v>#N/A</v>
      </c>
      <c r="F28" s="676" t="e">
        <f t="shared" si="22"/>
        <v>#N/A</v>
      </c>
      <c r="G28" s="676">
        <f t="shared" ca="1" si="23"/>
        <v>0</v>
      </c>
      <c r="H28" s="676" t="e">
        <f t="shared" ca="1" si="24"/>
        <v>#N/A</v>
      </c>
      <c r="I28" s="676" t="e">
        <f t="shared" ca="1" si="25"/>
        <v>#N/A</v>
      </c>
      <c r="K28" s="676"/>
      <c r="L28" s="676"/>
      <c r="M28" s="676"/>
      <c r="N28" s="676"/>
      <c r="O28" s="676"/>
      <c r="P28" s="676"/>
      <c r="Q28" s="676"/>
      <c r="R28" s="676"/>
      <c r="S28" s="676"/>
      <c r="T28" s="676"/>
      <c r="U28" s="676"/>
      <c r="V28" s="676"/>
      <c r="W28" s="676">
        <f t="shared" si="27"/>
        <v>0</v>
      </c>
      <c r="Y28" s="688">
        <f>IFERROR(VLOOKUP($A28,'[94]1月'!$A:$H,8,0),0)</f>
        <v>0</v>
      </c>
      <c r="Z28" s="688">
        <f>IFERROR(VLOOKUP($A28,'[94]2月'!$A:$H,8,0),0)</f>
        <v>0</v>
      </c>
      <c r="AA28" s="688">
        <f>IFERROR(VLOOKUP($A28,'[94]3月'!$A:$H,8,0),0)</f>
        <v>0</v>
      </c>
      <c r="AB28" s="688">
        <f>IFERROR(VLOOKUP($A28,'[94]4月'!$A:$H,8,0),0)</f>
        <v>0</v>
      </c>
      <c r="AC28" s="688">
        <f>IFERROR(VLOOKUP($A28,'[94]5月'!$A:$H,8,0),0)</f>
        <v>0</v>
      </c>
      <c r="AD28" s="688">
        <f>IFERROR(VLOOKUP($A28,'[94]6月'!$A:$H,8,0),0)</f>
        <v>0</v>
      </c>
      <c r="AE28" s="688">
        <f>IFERROR(VLOOKUP($A28,'[94]7月'!$A:$H,8,0),0)</f>
        <v>0</v>
      </c>
      <c r="AF28" s="688">
        <f>IFERROR(VLOOKUP($A28,'[94]8月'!$A:$H,8,0),0)</f>
        <v>0</v>
      </c>
      <c r="AG28" s="688">
        <f>IFERROR(VLOOKUP($A28,'[94]9月'!$A:$H,8,0),0)</f>
        <v>0</v>
      </c>
      <c r="AH28" s="688">
        <f>IFERROR(VLOOKUP($A28,'[94]10月'!$A:$H,8,0),0)</f>
        <v>0</v>
      </c>
      <c r="AI28" s="688">
        <f>IFERROR(VLOOKUP($A28,'[94]11月'!$A:$H,8,0),0)</f>
        <v>0</v>
      </c>
      <c r="AJ28" s="688">
        <f>IFERROR(VLOOKUP($A28,'[94]12月'!$A:$H,8,0),0)</f>
        <v>0</v>
      </c>
      <c r="AK28" s="688">
        <f t="shared" si="28"/>
        <v>0</v>
      </c>
    </row>
    <row r="29" spans="1:37" ht="13.5" hidden="1" customHeight="1">
      <c r="A29" s="653" t="str">
        <f>'Budget-合并'!A29</f>
        <v>6602.01.06</v>
      </c>
      <c r="B29" s="653" t="str">
        <f>'Budget-合并'!B29</f>
        <v>劳务报酬</v>
      </c>
      <c r="C29" s="687">
        <f>'Budget-合并'!C29</f>
        <v>0</v>
      </c>
      <c r="D29" s="676">
        <f t="shared" si="29"/>
        <v>0</v>
      </c>
      <c r="E29" s="676" t="e">
        <f t="shared" si="19"/>
        <v>#N/A</v>
      </c>
      <c r="F29" s="676" t="e">
        <f t="shared" si="22"/>
        <v>#N/A</v>
      </c>
      <c r="G29" s="676">
        <f t="shared" ca="1" si="23"/>
        <v>0</v>
      </c>
      <c r="H29" s="676" t="e">
        <f t="shared" ca="1" si="24"/>
        <v>#N/A</v>
      </c>
      <c r="I29" s="676" t="e">
        <f t="shared" ca="1" si="25"/>
        <v>#N/A</v>
      </c>
      <c r="K29" s="676"/>
      <c r="L29" s="676"/>
      <c r="M29" s="676"/>
      <c r="N29" s="676"/>
      <c r="O29" s="676"/>
      <c r="P29" s="676"/>
      <c r="Q29" s="676"/>
      <c r="R29" s="676"/>
      <c r="S29" s="676"/>
      <c r="T29" s="676"/>
      <c r="U29" s="676"/>
      <c r="V29" s="676"/>
      <c r="W29" s="676">
        <f t="shared" si="27"/>
        <v>0</v>
      </c>
      <c r="Y29" s="688">
        <f>IFERROR(VLOOKUP($A29,'[94]1月'!$A:$H,8,0),0)</f>
        <v>0</v>
      </c>
      <c r="Z29" s="688">
        <f>IFERROR(VLOOKUP($A29,'[94]2月'!$A:$H,8,0),0)</f>
        <v>0</v>
      </c>
      <c r="AA29" s="688">
        <f>IFERROR(VLOOKUP($A29,'[94]3月'!$A:$H,8,0),0)</f>
        <v>8000</v>
      </c>
      <c r="AB29" s="688">
        <f>IFERROR(VLOOKUP($A29,'[94]4月'!$A:$H,8,0),0)</f>
        <v>8600</v>
      </c>
      <c r="AC29" s="688">
        <f>IFERROR(VLOOKUP($A29,'[94]5月'!$A:$H,8,0),0)</f>
        <v>7200</v>
      </c>
      <c r="AD29" s="688">
        <f>IFERROR(VLOOKUP($A29,'[94]6月'!$A:$H,8,0),0)</f>
        <v>5000</v>
      </c>
      <c r="AE29" s="688">
        <f>IFERROR(VLOOKUP($A29,'[94]7月'!$A:$H,8,0),0)</f>
        <v>0</v>
      </c>
      <c r="AF29" s="688">
        <f>IFERROR(VLOOKUP($A29,'[94]8月'!$A:$H,8,0),0)</f>
        <v>3000</v>
      </c>
      <c r="AG29" s="688">
        <f>IFERROR(VLOOKUP($A29,'[94]9月'!$A:$H,8,0),0)</f>
        <v>4600</v>
      </c>
      <c r="AH29" s="688">
        <f>IFERROR(VLOOKUP($A29,'[94]10月'!$A:$H,8,0),0)</f>
        <v>3600</v>
      </c>
      <c r="AI29" s="688">
        <f>IFERROR(VLOOKUP($A29,'[94]11月'!$A:$H,8,0),0)</f>
        <v>4000</v>
      </c>
      <c r="AJ29" s="688">
        <f>IFERROR(VLOOKUP($A29,'[94]12月'!$A:$H,8,0),0)</f>
        <v>4600</v>
      </c>
      <c r="AK29" s="688">
        <f t="shared" si="28"/>
        <v>48600</v>
      </c>
    </row>
    <row r="30" spans="1:37" ht="13.5" hidden="1" customHeight="1">
      <c r="A30" s="653" t="str">
        <f>'Budget-合并'!A30</f>
        <v>6602.01.07</v>
      </c>
      <c r="B30" s="653" t="str">
        <f>'Budget-合并'!B30</f>
        <v>集团内分摊</v>
      </c>
      <c r="C30" s="687" t="str">
        <f>'Budget-合并'!C30</f>
        <v>Mantime X Charge</v>
      </c>
      <c r="D30" s="676">
        <f t="shared" si="29"/>
        <v>0</v>
      </c>
      <c r="E30" s="676" t="e">
        <f t="shared" si="19"/>
        <v>#N/A</v>
      </c>
      <c r="F30" s="676" t="e">
        <f t="shared" si="22"/>
        <v>#N/A</v>
      </c>
      <c r="G30" s="676">
        <f t="shared" ca="1" si="23"/>
        <v>0</v>
      </c>
      <c r="H30" s="676" t="e">
        <f t="shared" ca="1" si="24"/>
        <v>#N/A</v>
      </c>
      <c r="I30" s="676" t="e">
        <f t="shared" ca="1" si="25"/>
        <v>#N/A</v>
      </c>
      <c r="K30" s="676"/>
      <c r="L30" s="676"/>
      <c r="M30" s="676"/>
      <c r="N30" s="676"/>
      <c r="O30" s="676"/>
      <c r="P30" s="676"/>
      <c r="Q30" s="676"/>
      <c r="R30" s="676"/>
      <c r="S30" s="676"/>
      <c r="T30" s="676"/>
      <c r="U30" s="676"/>
      <c r="V30" s="676"/>
      <c r="W30" s="676">
        <f t="shared" si="27"/>
        <v>0</v>
      </c>
      <c r="Y30" s="688">
        <f>IFERROR(VLOOKUP($A30,'[94]1月'!$A:$H,8,0),0)</f>
        <v>0</v>
      </c>
      <c r="Z30" s="688">
        <f>IFERROR(VLOOKUP($A30,'[94]2月'!$A:$H,8,0),0)</f>
        <v>0</v>
      </c>
      <c r="AA30" s="688">
        <f>IFERROR(VLOOKUP($A30,'[94]3月'!$A:$H,8,0),0)</f>
        <v>0</v>
      </c>
      <c r="AB30" s="688">
        <f>IFERROR(VLOOKUP($A30,'[94]4月'!$A:$H,8,0),0)</f>
        <v>0</v>
      </c>
      <c r="AC30" s="688">
        <f>IFERROR(VLOOKUP($A30,'[94]5月'!$A:$H,8,0),0)</f>
        <v>0</v>
      </c>
      <c r="AD30" s="688">
        <f>IFERROR(VLOOKUP($A30,'[94]6月'!$A:$H,8,0),0)</f>
        <v>0</v>
      </c>
      <c r="AE30" s="688">
        <f>IFERROR(VLOOKUP($A30,'[94]7月'!$A:$H,8,0),0)</f>
        <v>0</v>
      </c>
      <c r="AF30" s="688">
        <f>IFERROR(VLOOKUP($A30,'[94]8月'!$A:$H,8,0),0)</f>
        <v>0</v>
      </c>
      <c r="AG30" s="688">
        <f>IFERROR(VLOOKUP($A30,'[94]9月'!$A:$H,8,0),0)</f>
        <v>0</v>
      </c>
      <c r="AH30" s="688">
        <f>IFERROR(VLOOKUP($A30,'[94]10月'!$A:$H,8,0),0)</f>
        <v>0</v>
      </c>
      <c r="AI30" s="688">
        <f>IFERROR(VLOOKUP($A30,'[94]11月'!$A:$H,8,0),0)</f>
        <v>0</v>
      </c>
      <c r="AJ30" s="688">
        <f>IFERROR(VLOOKUP($A30,'[94]12月'!$A:$H,8,0),0)</f>
        <v>0</v>
      </c>
      <c r="AK30" s="688">
        <f t="shared" si="28"/>
        <v>0</v>
      </c>
    </row>
    <row r="31" spans="1:37" ht="13.5" hidden="1" customHeight="1">
      <c r="A31" s="653" t="str">
        <f>'Budget-合并'!A31</f>
        <v>6602.01.08</v>
      </c>
      <c r="B31" s="653" t="str">
        <f>'Budget-合并'!B31</f>
        <v>基本工资（管理）</v>
      </c>
      <c r="C31" s="687" t="str">
        <f>'Budget-合并'!C31</f>
        <v>Salary Management</v>
      </c>
      <c r="D31" s="676">
        <f t="shared" si="29"/>
        <v>0</v>
      </c>
      <c r="E31" s="676" t="e">
        <f t="shared" si="19"/>
        <v>#N/A</v>
      </c>
      <c r="F31" s="676" t="e">
        <f t="shared" si="22"/>
        <v>#N/A</v>
      </c>
      <c r="G31" s="676">
        <f t="shared" ca="1" si="23"/>
        <v>0</v>
      </c>
      <c r="H31" s="676" t="e">
        <f t="shared" ca="1" si="24"/>
        <v>#N/A</v>
      </c>
      <c r="I31" s="676" t="e">
        <f t="shared" ca="1" si="25"/>
        <v>#N/A</v>
      </c>
      <c r="K31" s="676"/>
      <c r="L31" s="676"/>
      <c r="M31" s="676"/>
      <c r="N31" s="676"/>
      <c r="O31" s="676"/>
      <c r="P31" s="676"/>
      <c r="Q31" s="676"/>
      <c r="R31" s="676"/>
      <c r="S31" s="676"/>
      <c r="T31" s="676"/>
      <c r="U31" s="676"/>
      <c r="V31" s="676"/>
      <c r="W31" s="676">
        <f t="shared" si="27"/>
        <v>0</v>
      </c>
      <c r="Y31" s="688">
        <f>IFERROR(VLOOKUP($A31,'[94]1月'!$A:$H,8,0),0)</f>
        <v>0</v>
      </c>
      <c r="Z31" s="688">
        <f>IFERROR(VLOOKUP($A31,'[94]2月'!$A:$H,8,0),0)</f>
        <v>0</v>
      </c>
      <c r="AA31" s="688">
        <f>IFERROR(VLOOKUP($A31,'[94]3月'!$A:$H,8,0),0)</f>
        <v>0</v>
      </c>
      <c r="AB31" s="688">
        <f>IFERROR(VLOOKUP($A31,'[94]4月'!$A:$H,8,0),0)</f>
        <v>0</v>
      </c>
      <c r="AC31" s="688">
        <f>IFERROR(VLOOKUP($A31,'[94]5月'!$A:$H,8,0),0)</f>
        <v>0</v>
      </c>
      <c r="AD31" s="688">
        <f>IFERROR(VLOOKUP($A31,'[94]6月'!$A:$H,8,0),0)</f>
        <v>0</v>
      </c>
      <c r="AE31" s="688">
        <f>IFERROR(VLOOKUP($A31,'[94]7月'!$A:$H,8,0),0)</f>
        <v>0</v>
      </c>
      <c r="AF31" s="688">
        <f>IFERROR(VLOOKUP($A31,'[94]8月'!$A:$H,8,0),0)</f>
        <v>0</v>
      </c>
      <c r="AG31" s="688">
        <f>IFERROR(VLOOKUP($A31,'[94]9月'!$A:$H,8,0),0)</f>
        <v>0</v>
      </c>
      <c r="AH31" s="688">
        <f>IFERROR(VLOOKUP($A31,'[94]10月'!$A:$H,8,0),0)</f>
        <v>0</v>
      </c>
      <c r="AI31" s="688">
        <f>IFERROR(VLOOKUP($A31,'[94]11月'!$A:$H,8,0),0)</f>
        <v>0</v>
      </c>
      <c r="AJ31" s="688">
        <f>IFERROR(VLOOKUP($A31,'[94]12月'!$A:$H,8,0),0)</f>
        <v>0</v>
      </c>
      <c r="AK31" s="688">
        <f t="shared" si="28"/>
        <v>0</v>
      </c>
    </row>
    <row r="32" spans="1:37" ht="13.5" hidden="1" customHeight="1">
      <c r="A32" s="653" t="str">
        <f>'Budget-合并'!A32</f>
        <v>6602.01.09</v>
      </c>
      <c r="B32" s="653" t="str">
        <f>'Budget-合并'!B32</f>
        <v>员工奖金（管理）</v>
      </c>
      <c r="C32" s="687" t="str">
        <f>'Budget-合并'!C32</f>
        <v>Bonus Expense - Management</v>
      </c>
      <c r="D32" s="676">
        <f t="shared" si="29"/>
        <v>0</v>
      </c>
      <c r="E32" s="676" t="e">
        <f t="shared" si="19"/>
        <v>#N/A</v>
      </c>
      <c r="F32" s="676" t="e">
        <f t="shared" si="22"/>
        <v>#N/A</v>
      </c>
      <c r="G32" s="676">
        <f t="shared" ca="1" si="23"/>
        <v>0</v>
      </c>
      <c r="H32" s="676" t="e">
        <f t="shared" ca="1" si="24"/>
        <v>#N/A</v>
      </c>
      <c r="I32" s="676" t="e">
        <f t="shared" ca="1" si="25"/>
        <v>#N/A</v>
      </c>
      <c r="K32" s="676"/>
      <c r="L32" s="676"/>
      <c r="M32" s="676"/>
      <c r="N32" s="676"/>
      <c r="O32" s="676"/>
      <c r="P32" s="676"/>
      <c r="Q32" s="676"/>
      <c r="R32" s="676"/>
      <c r="S32" s="676"/>
      <c r="T32" s="676"/>
      <c r="U32" s="676"/>
      <c r="V32" s="676"/>
      <c r="W32" s="676">
        <f t="shared" si="27"/>
        <v>0</v>
      </c>
      <c r="Y32" s="688">
        <f>IFERROR(VLOOKUP($A32,'[94]1月'!$A:$H,8,0),0)</f>
        <v>0</v>
      </c>
      <c r="Z32" s="688">
        <f>IFERROR(VLOOKUP($A32,'[94]2月'!$A:$H,8,0),0)</f>
        <v>0</v>
      </c>
      <c r="AA32" s="688">
        <f>IFERROR(VLOOKUP($A32,'[94]3月'!$A:$H,8,0),0)</f>
        <v>0</v>
      </c>
      <c r="AB32" s="688">
        <f>IFERROR(VLOOKUP($A32,'[94]4月'!$A:$H,8,0),0)</f>
        <v>0</v>
      </c>
      <c r="AC32" s="688">
        <f>IFERROR(VLOOKUP($A32,'[94]5月'!$A:$H,8,0),0)</f>
        <v>0</v>
      </c>
      <c r="AD32" s="688">
        <f>IFERROR(VLOOKUP($A32,'[94]6月'!$A:$H,8,0),0)</f>
        <v>0</v>
      </c>
      <c r="AE32" s="688">
        <f>IFERROR(VLOOKUP($A32,'[94]7月'!$A:$H,8,0),0)</f>
        <v>0</v>
      </c>
      <c r="AF32" s="688">
        <f>IFERROR(VLOOKUP($A32,'[94]8月'!$A:$H,8,0),0)</f>
        <v>0</v>
      </c>
      <c r="AG32" s="688">
        <f>IFERROR(VLOOKUP($A32,'[94]9月'!$A:$H,8,0),0)</f>
        <v>0</v>
      </c>
      <c r="AH32" s="688">
        <f>IFERROR(VLOOKUP($A32,'[94]10月'!$A:$H,8,0),0)</f>
        <v>0</v>
      </c>
      <c r="AI32" s="688">
        <f>IFERROR(VLOOKUP($A32,'[94]11月'!$A:$H,8,0),0)</f>
        <v>0</v>
      </c>
      <c r="AJ32" s="688">
        <f>IFERROR(VLOOKUP($A32,'[94]12月'!$A:$H,8,0),0)</f>
        <v>0</v>
      </c>
      <c r="AK32" s="688">
        <f t="shared" si="28"/>
        <v>0</v>
      </c>
    </row>
    <row r="33" spans="1:37" ht="13.5" customHeight="1">
      <c r="A33" s="663" t="str">
        <f>'Budget-合并'!A33</f>
        <v>6602.02</v>
      </c>
      <c r="B33" s="663" t="str">
        <f>'Budget-合并'!B33</f>
        <v>职工福利</v>
      </c>
      <c r="C33" s="687">
        <f>'Budget-合并'!C33</f>
        <v>0</v>
      </c>
      <c r="D33" s="676">
        <f t="shared" si="29"/>
        <v>13750</v>
      </c>
      <c r="E33" s="676" t="e">
        <f t="shared" si="19"/>
        <v>#N/A</v>
      </c>
      <c r="F33" s="676" t="e">
        <f t="shared" si="22"/>
        <v>#N/A</v>
      </c>
      <c r="G33" s="676">
        <f t="shared" ca="1" si="23"/>
        <v>13750</v>
      </c>
      <c r="H33" s="676" t="e">
        <f t="shared" ca="1" si="24"/>
        <v>#N/A</v>
      </c>
      <c r="I33" s="676" t="e">
        <f t="shared" ca="1" si="25"/>
        <v>#N/A</v>
      </c>
      <c r="K33" s="676">
        <f t="shared" ref="K33:V33" si="30">SUM(K34:K37)</f>
        <v>13750</v>
      </c>
      <c r="L33" s="676">
        <f t="shared" si="30"/>
        <v>13750</v>
      </c>
      <c r="M33" s="676">
        <f t="shared" si="30"/>
        <v>13750</v>
      </c>
      <c r="N33" s="676">
        <f t="shared" si="30"/>
        <v>13750</v>
      </c>
      <c r="O33" s="676">
        <f t="shared" si="30"/>
        <v>13750</v>
      </c>
      <c r="P33" s="676">
        <f t="shared" si="30"/>
        <v>13750</v>
      </c>
      <c r="Q33" s="676">
        <f t="shared" si="30"/>
        <v>13750</v>
      </c>
      <c r="R33" s="676">
        <f t="shared" si="30"/>
        <v>13750</v>
      </c>
      <c r="S33" s="676">
        <f t="shared" si="30"/>
        <v>13750</v>
      </c>
      <c r="T33" s="676">
        <f t="shared" si="30"/>
        <v>13750</v>
      </c>
      <c r="U33" s="676">
        <f t="shared" si="30"/>
        <v>13750</v>
      </c>
      <c r="V33" s="676">
        <f t="shared" si="30"/>
        <v>13750</v>
      </c>
      <c r="W33" s="676">
        <f t="shared" si="27"/>
        <v>165000</v>
      </c>
      <c r="Y33" s="688">
        <f>IFERROR(VLOOKUP($A33,'[94]1月'!$A:$H,8,0),0)</f>
        <v>9184</v>
      </c>
      <c r="Z33" s="688">
        <f>IFERROR(VLOOKUP($A33,'[94]2月'!$A:$H,8,0),0)</f>
        <v>-1000</v>
      </c>
      <c r="AA33" s="688">
        <f>IFERROR(VLOOKUP($A33,'[94]3月'!$A:$H,8,0),0)</f>
        <v>5552</v>
      </c>
      <c r="AB33" s="688">
        <f>IFERROR(VLOOKUP($A33,'[94]4月'!$A:$H,8,0),0)</f>
        <v>0</v>
      </c>
      <c r="AC33" s="688">
        <f>IFERROR(VLOOKUP($A33,'[94]5月'!$A:$H,8,0),0)</f>
        <v>1492</v>
      </c>
      <c r="AD33" s="688">
        <f>IFERROR(VLOOKUP($A33,'[94]6月'!$A:$H,8,0),0)</f>
        <v>0</v>
      </c>
      <c r="AE33" s="688">
        <f>IFERROR(VLOOKUP($A33,'[94]7月'!$A:$H,8,0),0)</f>
        <v>5656</v>
      </c>
      <c r="AF33" s="688">
        <f>IFERROR(VLOOKUP($A33,'[94]8月'!$A:$H,8,0),0)</f>
        <v>0</v>
      </c>
      <c r="AG33" s="688">
        <f>IFERROR(VLOOKUP($A33,'[94]9月'!$A:$H,8,0),0)</f>
        <v>2680.6</v>
      </c>
      <c r="AH33" s="688">
        <f>IFERROR(VLOOKUP($A33,'[94]10月'!$A:$H,8,0),0)</f>
        <v>0</v>
      </c>
      <c r="AI33" s="688">
        <f>IFERROR(VLOOKUP($A33,'[94]11月'!$A:$H,8,0),0)</f>
        <v>0</v>
      </c>
      <c r="AJ33" s="688">
        <f>IFERROR(VLOOKUP($A33,'[94]12月'!$A:$H,8,0),0)</f>
        <v>4831</v>
      </c>
      <c r="AK33" s="688">
        <f t="shared" si="28"/>
        <v>28395.599999999999</v>
      </c>
    </row>
    <row r="34" spans="1:37" ht="13.5" hidden="1" customHeight="1">
      <c r="A34" s="653" t="str">
        <f>'Budget-合并'!A34</f>
        <v>6602.02.01</v>
      </c>
      <c r="B34" s="653" t="str">
        <f>'Budget-合并'!B34</f>
        <v>员工福利</v>
      </c>
      <c r="C34" s="687" t="str">
        <f>'Budget-合并'!C34</f>
        <v>Fringe Other</v>
      </c>
      <c r="D34" s="676">
        <f t="shared" si="29"/>
        <v>0</v>
      </c>
      <c r="E34" s="676" t="e">
        <f t="shared" si="19"/>
        <v>#N/A</v>
      </c>
      <c r="F34" s="676" t="e">
        <f t="shared" si="22"/>
        <v>#N/A</v>
      </c>
      <c r="G34" s="676">
        <f t="shared" ca="1" si="23"/>
        <v>0</v>
      </c>
      <c r="H34" s="676" t="e">
        <f t="shared" ca="1" si="24"/>
        <v>#N/A</v>
      </c>
      <c r="I34" s="676" t="e">
        <f t="shared" ca="1" si="25"/>
        <v>#N/A</v>
      </c>
      <c r="K34" s="676"/>
      <c r="L34" s="676"/>
      <c r="M34" s="676"/>
      <c r="N34" s="676"/>
      <c r="O34" s="676"/>
      <c r="P34" s="676"/>
      <c r="Q34" s="676"/>
      <c r="R34" s="676"/>
      <c r="S34" s="676"/>
      <c r="T34" s="676"/>
      <c r="U34" s="676"/>
      <c r="V34" s="676"/>
      <c r="W34" s="676">
        <f t="shared" si="27"/>
        <v>0</v>
      </c>
      <c r="Y34" s="688">
        <f>IFERROR(VLOOKUP($A34,'[94]1月'!$A:$H,8,0),0)</f>
        <v>0</v>
      </c>
      <c r="Z34" s="688">
        <f>IFERROR(VLOOKUP($A34,'[94]2月'!$A:$H,8,0),0)</f>
        <v>0</v>
      </c>
      <c r="AA34" s="688">
        <f>IFERROR(VLOOKUP($A34,'[94]3月'!$A:$H,8,0),0)</f>
        <v>0</v>
      </c>
      <c r="AB34" s="688">
        <f>IFERROR(VLOOKUP($A34,'[94]4月'!$A:$H,8,0),0)</f>
        <v>0</v>
      </c>
      <c r="AC34" s="688">
        <f>IFERROR(VLOOKUP($A34,'[94]5月'!$A:$H,8,0),0)</f>
        <v>0</v>
      </c>
      <c r="AD34" s="688">
        <f>IFERROR(VLOOKUP($A34,'[94]6月'!$A:$H,8,0),0)</f>
        <v>0</v>
      </c>
      <c r="AE34" s="688">
        <f>IFERROR(VLOOKUP($A34,'[94]7月'!$A:$H,8,0),0)</f>
        <v>0</v>
      </c>
      <c r="AF34" s="688">
        <f>IFERROR(VLOOKUP($A34,'[94]8月'!$A:$H,8,0),0)</f>
        <v>0</v>
      </c>
      <c r="AG34" s="688">
        <f>IFERROR(VLOOKUP($A34,'[94]9月'!$A:$H,8,0),0)</f>
        <v>1040.5999999999999</v>
      </c>
      <c r="AH34" s="688">
        <f>IFERROR(VLOOKUP($A34,'[94]10月'!$A:$H,8,0),0)</f>
        <v>0</v>
      </c>
      <c r="AI34" s="688">
        <f>IFERROR(VLOOKUP($A34,'[94]11月'!$A:$H,8,0),0)</f>
        <v>0</v>
      </c>
      <c r="AJ34" s="688">
        <f>IFERROR(VLOOKUP($A34,'[94]12月'!$A:$H,8,0),0)</f>
        <v>0</v>
      </c>
      <c r="AK34" s="688">
        <f t="shared" si="28"/>
        <v>1040.5999999999999</v>
      </c>
    </row>
    <row r="35" spans="1:37" ht="13.5" customHeight="1">
      <c r="A35" s="653" t="str">
        <f>'Budget-合并'!A35</f>
        <v>6602.02.02</v>
      </c>
      <c r="B35" s="653" t="str">
        <f>'Budget-合并'!B35</f>
        <v>团建活动</v>
      </c>
      <c r="C35" s="687" t="str">
        <f>'Budget-合并'!C35</f>
        <v>EE Morale Expense</v>
      </c>
      <c r="D35" s="676">
        <f t="shared" si="29"/>
        <v>12500</v>
      </c>
      <c r="E35" s="676" t="e">
        <f t="shared" si="19"/>
        <v>#N/A</v>
      </c>
      <c r="F35" s="676" t="e">
        <f t="shared" si="22"/>
        <v>#N/A</v>
      </c>
      <c r="G35" s="676">
        <f t="shared" ca="1" si="23"/>
        <v>12500</v>
      </c>
      <c r="H35" s="676" t="e">
        <f t="shared" ca="1" si="24"/>
        <v>#N/A</v>
      </c>
      <c r="I35" s="676" t="e">
        <f t="shared" ca="1" si="25"/>
        <v>#N/A</v>
      </c>
      <c r="K35" s="676">
        <f>SUMIFS('Other Exp'!AG$3:AG$196,'Other Exp'!$B$3:$B$196,$D$1,'Other Exp'!$C$3:$C$196,$A35)</f>
        <v>12500</v>
      </c>
      <c r="L35" s="676">
        <f>SUMIFS('Other Exp'!AH$3:AH$196,'Other Exp'!$B$3:$B$196,$D$1,'Other Exp'!$C$3:$C$196,$A35)</f>
        <v>12500</v>
      </c>
      <c r="M35" s="676">
        <f>SUMIFS('Other Exp'!AI$3:AI$196,'Other Exp'!$B$3:$B$196,$D$1,'Other Exp'!$C$3:$C$196,$A35)</f>
        <v>12500</v>
      </c>
      <c r="N35" s="676">
        <f>SUMIFS('Other Exp'!AJ$3:AJ$196,'Other Exp'!$B$3:$B$196,$D$1,'Other Exp'!$C$3:$C$196,$A35)</f>
        <v>12500</v>
      </c>
      <c r="O35" s="676">
        <f>SUMIFS('Other Exp'!AK$3:AK$196,'Other Exp'!$B$3:$B$196,$D$1,'Other Exp'!$C$3:$C$196,$A35)</f>
        <v>12500</v>
      </c>
      <c r="P35" s="676">
        <f>SUMIFS('Other Exp'!AL$3:AL$196,'Other Exp'!$B$3:$B$196,$D$1,'Other Exp'!$C$3:$C$196,$A35)</f>
        <v>12500</v>
      </c>
      <c r="Q35" s="676">
        <f>SUMIFS('Other Exp'!AM$3:AM$196,'Other Exp'!$B$3:$B$196,$D$1,'Other Exp'!$C$3:$C$196,$A35)</f>
        <v>12500</v>
      </c>
      <c r="R35" s="676">
        <f>SUMIFS('Other Exp'!AN$3:AN$196,'Other Exp'!$B$3:$B$196,$D$1,'Other Exp'!$C$3:$C$196,$A35)</f>
        <v>12500</v>
      </c>
      <c r="S35" s="676">
        <f>SUMIFS('Other Exp'!AO$3:AO$196,'Other Exp'!$B$3:$B$196,$D$1,'Other Exp'!$C$3:$C$196,$A35)</f>
        <v>12500</v>
      </c>
      <c r="T35" s="676">
        <f>SUMIFS('Other Exp'!AP$3:AP$196,'Other Exp'!$B$3:$B$196,$D$1,'Other Exp'!$C$3:$C$196,$A35)</f>
        <v>12500</v>
      </c>
      <c r="U35" s="676">
        <f>SUMIFS('Other Exp'!AQ$3:AQ$196,'Other Exp'!$B$3:$B$196,$D$1,'Other Exp'!$C$3:$C$196,$A35)</f>
        <v>12500</v>
      </c>
      <c r="V35" s="676">
        <f>SUMIFS('Other Exp'!AR$3:AR$196,'Other Exp'!$B$3:$B$196,$D$1,'Other Exp'!$C$3:$C$196,$A35)</f>
        <v>12500</v>
      </c>
      <c r="W35" s="676">
        <f t="shared" si="27"/>
        <v>150000</v>
      </c>
      <c r="Y35" s="688">
        <f>IFERROR(VLOOKUP($A35,'[94]1月'!$A:$H,8,0),0)</f>
        <v>9184</v>
      </c>
      <c r="Z35" s="688">
        <f>IFERROR(VLOOKUP($A35,'[94]2月'!$A:$H,8,0),0)</f>
        <v>0</v>
      </c>
      <c r="AA35" s="688">
        <f>IFERROR(VLOOKUP($A35,'[94]3月'!$A:$H,8,0),0)</f>
        <v>5552</v>
      </c>
      <c r="AB35" s="688">
        <f>IFERROR(VLOOKUP($A35,'[94]4月'!$A:$H,8,0),0)</f>
        <v>0</v>
      </c>
      <c r="AC35" s="688">
        <f>IFERROR(VLOOKUP($A35,'[94]5月'!$A:$H,8,0),0)</f>
        <v>1492</v>
      </c>
      <c r="AD35" s="688">
        <f>IFERROR(VLOOKUP($A35,'[94]6月'!$A:$H,8,0),0)</f>
        <v>0</v>
      </c>
      <c r="AE35" s="688">
        <f>IFERROR(VLOOKUP($A35,'[94]7月'!$A:$H,8,0),0)</f>
        <v>5656</v>
      </c>
      <c r="AF35" s="688">
        <f>IFERROR(VLOOKUP($A35,'[94]8月'!$A:$H,8,0),0)</f>
        <v>0</v>
      </c>
      <c r="AG35" s="688">
        <f>IFERROR(VLOOKUP($A35,'[94]9月'!$A:$H,8,0),0)</f>
        <v>1640</v>
      </c>
      <c r="AH35" s="688">
        <f>IFERROR(VLOOKUP($A35,'[94]10月'!$A:$H,8,0),0)</f>
        <v>0</v>
      </c>
      <c r="AI35" s="688">
        <f>IFERROR(VLOOKUP($A35,'[94]11月'!$A:$H,8,0),0)</f>
        <v>0</v>
      </c>
      <c r="AJ35" s="688">
        <f>IFERROR(VLOOKUP($A35,'[94]12月'!$A:$H,8,0),0)</f>
        <v>3831</v>
      </c>
      <c r="AK35" s="688">
        <f t="shared" si="28"/>
        <v>27355</v>
      </c>
    </row>
    <row r="36" spans="1:37" ht="13.5" customHeight="1">
      <c r="A36" s="653" t="str">
        <f>'Budget-合并'!A36</f>
        <v>6602.02.03</v>
      </c>
      <c r="B36" s="653" t="str">
        <f>'Budget-合并'!B36</f>
        <v>体检费</v>
      </c>
      <c r="C36" s="687">
        <f>'Budget-合并'!C36</f>
        <v>0</v>
      </c>
      <c r="D36" s="676">
        <f t="shared" si="29"/>
        <v>1250</v>
      </c>
      <c r="E36" s="676" t="e">
        <f t="shared" si="19"/>
        <v>#N/A</v>
      </c>
      <c r="F36" s="676" t="e">
        <f t="shared" si="22"/>
        <v>#N/A</v>
      </c>
      <c r="G36" s="676">
        <f t="shared" ca="1" si="23"/>
        <v>1250</v>
      </c>
      <c r="H36" s="676" t="e">
        <f t="shared" ca="1" si="24"/>
        <v>#N/A</v>
      </c>
      <c r="I36" s="676" t="e">
        <f t="shared" ca="1" si="25"/>
        <v>#N/A</v>
      </c>
      <c r="K36" s="676">
        <f>15*1000/12</f>
        <v>1250</v>
      </c>
      <c r="L36" s="676">
        <f t="shared" ref="L36:V36" si="31">15*1000/12</f>
        <v>1250</v>
      </c>
      <c r="M36" s="676">
        <f t="shared" si="31"/>
        <v>1250</v>
      </c>
      <c r="N36" s="676">
        <f t="shared" si="31"/>
        <v>1250</v>
      </c>
      <c r="O36" s="676">
        <f t="shared" si="31"/>
        <v>1250</v>
      </c>
      <c r="P36" s="676">
        <f t="shared" si="31"/>
        <v>1250</v>
      </c>
      <c r="Q36" s="676">
        <f t="shared" si="31"/>
        <v>1250</v>
      </c>
      <c r="R36" s="676">
        <f t="shared" si="31"/>
        <v>1250</v>
      </c>
      <c r="S36" s="676">
        <f t="shared" si="31"/>
        <v>1250</v>
      </c>
      <c r="T36" s="676">
        <f t="shared" si="31"/>
        <v>1250</v>
      </c>
      <c r="U36" s="676">
        <f t="shared" si="31"/>
        <v>1250</v>
      </c>
      <c r="V36" s="676">
        <f t="shared" si="31"/>
        <v>1250</v>
      </c>
      <c r="W36" s="676">
        <f t="shared" si="27"/>
        <v>15000</v>
      </c>
      <c r="Y36" s="688">
        <f>IFERROR(VLOOKUP($A36,'[94]1月'!$A:$H,8,0),0)</f>
        <v>0</v>
      </c>
      <c r="Z36" s="688">
        <f>IFERROR(VLOOKUP($A36,'[94]2月'!$A:$H,8,0),0)</f>
        <v>-1000</v>
      </c>
      <c r="AA36" s="688">
        <f>IFERROR(VLOOKUP($A36,'[94]3月'!$A:$H,8,0),0)</f>
        <v>0</v>
      </c>
      <c r="AB36" s="688">
        <f>IFERROR(VLOOKUP($A36,'[94]4月'!$A:$H,8,0),0)</f>
        <v>0</v>
      </c>
      <c r="AC36" s="688">
        <f>IFERROR(VLOOKUP($A36,'[94]5月'!$A:$H,8,0),0)</f>
        <v>0</v>
      </c>
      <c r="AD36" s="688">
        <f>IFERROR(VLOOKUP($A36,'[94]6月'!$A:$H,8,0),0)</f>
        <v>0</v>
      </c>
      <c r="AE36" s="688">
        <f>IFERROR(VLOOKUP($A36,'[94]7月'!$A:$H,8,0),0)</f>
        <v>0</v>
      </c>
      <c r="AF36" s="688">
        <f>IFERROR(VLOOKUP($A36,'[94]8月'!$A:$H,8,0),0)</f>
        <v>0</v>
      </c>
      <c r="AG36" s="688">
        <f>IFERROR(VLOOKUP($A36,'[94]9月'!$A:$H,8,0),0)</f>
        <v>0</v>
      </c>
      <c r="AH36" s="688">
        <f>IFERROR(VLOOKUP($A36,'[94]10月'!$A:$H,8,0),0)</f>
        <v>0</v>
      </c>
      <c r="AI36" s="688">
        <f>IFERROR(VLOOKUP($A36,'[94]11月'!$A:$H,8,0),0)</f>
        <v>0</v>
      </c>
      <c r="AJ36" s="688">
        <f>IFERROR(VLOOKUP($A36,'[94]12月'!$A:$H,8,0),0)</f>
        <v>1000</v>
      </c>
      <c r="AK36" s="688">
        <f t="shared" si="28"/>
        <v>0</v>
      </c>
    </row>
    <row r="37" spans="1:37" ht="13.5" hidden="1" customHeight="1">
      <c r="A37" s="653" t="str">
        <f>'Budget-合并'!A37</f>
        <v>6602.02.04</v>
      </c>
      <c r="B37" s="653" t="str">
        <f>'Budget-合并'!B37</f>
        <v>商业保险 - 医疗</v>
      </c>
      <c r="C37" s="687">
        <f>'Budget-合并'!C37</f>
        <v>0</v>
      </c>
      <c r="D37" s="676">
        <f t="shared" si="29"/>
        <v>0</v>
      </c>
      <c r="E37" s="676" t="e">
        <f t="shared" si="19"/>
        <v>#N/A</v>
      </c>
      <c r="F37" s="676" t="e">
        <f t="shared" si="22"/>
        <v>#N/A</v>
      </c>
      <c r="G37" s="676">
        <f t="shared" ca="1" si="23"/>
        <v>0</v>
      </c>
      <c r="H37" s="676" t="e">
        <f t="shared" ca="1" si="24"/>
        <v>#N/A</v>
      </c>
      <c r="I37" s="676" t="e">
        <f t="shared" ca="1" si="25"/>
        <v>#N/A</v>
      </c>
      <c r="K37" s="676"/>
      <c r="L37" s="676"/>
      <c r="M37" s="676"/>
      <c r="N37" s="676"/>
      <c r="O37" s="676"/>
      <c r="P37" s="676"/>
      <c r="Q37" s="676"/>
      <c r="R37" s="676"/>
      <c r="S37" s="676"/>
      <c r="T37" s="676"/>
      <c r="U37" s="676"/>
      <c r="V37" s="676"/>
      <c r="W37" s="676">
        <f t="shared" si="27"/>
        <v>0</v>
      </c>
      <c r="Y37" s="688">
        <f>IFERROR(VLOOKUP($A37,'[94]1月'!$A:$H,8,0),0)</f>
        <v>0</v>
      </c>
      <c r="Z37" s="688">
        <f>IFERROR(VLOOKUP($A37,'[94]2月'!$A:$H,8,0),0)</f>
        <v>0</v>
      </c>
      <c r="AA37" s="688">
        <f>IFERROR(VLOOKUP($A37,'[94]3月'!$A:$H,8,0),0)</f>
        <v>0</v>
      </c>
      <c r="AB37" s="688">
        <f>IFERROR(VLOOKUP($A37,'[94]4月'!$A:$H,8,0),0)</f>
        <v>0</v>
      </c>
      <c r="AC37" s="688">
        <f>IFERROR(VLOOKUP($A37,'[94]5月'!$A:$H,8,0),0)</f>
        <v>0</v>
      </c>
      <c r="AD37" s="688">
        <f>IFERROR(VLOOKUP($A37,'[94]6月'!$A:$H,8,0),0)</f>
        <v>0</v>
      </c>
      <c r="AE37" s="688">
        <f>IFERROR(VLOOKUP($A37,'[94]7月'!$A:$H,8,0),0)</f>
        <v>0</v>
      </c>
      <c r="AF37" s="688">
        <f>IFERROR(VLOOKUP($A37,'[94]8月'!$A:$H,8,0),0)</f>
        <v>0</v>
      </c>
      <c r="AG37" s="688">
        <f>IFERROR(VLOOKUP($A37,'[94]9月'!$A:$H,8,0),0)</f>
        <v>0</v>
      </c>
      <c r="AH37" s="688">
        <f>IFERROR(VLOOKUP($A37,'[94]10月'!$A:$H,8,0),0)</f>
        <v>0</v>
      </c>
      <c r="AI37" s="688">
        <f>IFERROR(VLOOKUP($A37,'[94]11月'!$A:$H,8,0),0)</f>
        <v>0</v>
      </c>
      <c r="AJ37" s="688">
        <f>IFERROR(VLOOKUP($A37,'[94]12月'!$A:$H,8,0),0)</f>
        <v>0</v>
      </c>
      <c r="AK37" s="688">
        <f t="shared" si="28"/>
        <v>0</v>
      </c>
    </row>
    <row r="38" spans="1:37" ht="13.5" customHeight="1">
      <c r="A38" s="663" t="str">
        <f>'Budget-合并'!A38</f>
        <v>6602.03</v>
      </c>
      <c r="B38" s="663" t="str">
        <f>'Budget-合并'!B38</f>
        <v>社保公积金</v>
      </c>
      <c r="C38" s="687">
        <f>'Budget-合并'!C38</f>
        <v>0</v>
      </c>
      <c r="D38" s="676">
        <f t="shared" ca="1" si="29"/>
        <v>85877.178000000029</v>
      </c>
      <c r="E38" s="676" t="e">
        <f t="shared" si="19"/>
        <v>#N/A</v>
      </c>
      <c r="F38" s="676" t="e">
        <f t="shared" ca="1" si="22"/>
        <v>#N/A</v>
      </c>
      <c r="G38" s="676">
        <f t="shared" ca="1" si="23"/>
        <v>85877.178000000029</v>
      </c>
      <c r="H38" s="676" t="e">
        <f t="shared" ca="1" si="24"/>
        <v>#N/A</v>
      </c>
      <c r="I38" s="676" t="e">
        <f t="shared" ca="1" si="25"/>
        <v>#N/A</v>
      </c>
      <c r="K38" s="676">
        <f ca="1">SUM(K39:K41)</f>
        <v>85877.178000000029</v>
      </c>
      <c r="L38" s="676">
        <f t="shared" ref="L38:V38" ca="1" si="32">SUM(L39:L41)</f>
        <v>96731.508000000031</v>
      </c>
      <c r="M38" s="676">
        <f t="shared" ca="1" si="32"/>
        <v>86749.398000000016</v>
      </c>
      <c r="N38" s="676">
        <f t="shared" ca="1" si="32"/>
        <v>89535.675000000017</v>
      </c>
      <c r="O38" s="676">
        <f t="shared" ca="1" si="32"/>
        <v>134528.68500000003</v>
      </c>
      <c r="P38" s="676">
        <f t="shared" ca="1" si="32"/>
        <v>134081.68500000003</v>
      </c>
      <c r="Q38" s="676">
        <f t="shared" ca="1" si="32"/>
        <v>134528.68500000003</v>
      </c>
      <c r="R38" s="676">
        <f t="shared" ca="1" si="32"/>
        <v>140597.68500000003</v>
      </c>
      <c r="S38" s="676">
        <f t="shared" ca="1" si="32"/>
        <v>140597.68500000003</v>
      </c>
      <c r="T38" s="676">
        <f t="shared" ca="1" si="32"/>
        <v>140597.68500000003</v>
      </c>
      <c r="U38" s="676">
        <f t="shared" ca="1" si="32"/>
        <v>140597.68500000003</v>
      </c>
      <c r="V38" s="676">
        <f t="shared" ca="1" si="32"/>
        <v>144881.68500000003</v>
      </c>
      <c r="W38" s="676">
        <f t="shared" ca="1" si="27"/>
        <v>1469305.2390000005</v>
      </c>
      <c r="Y38" s="688">
        <f>IFERROR(VLOOKUP($A38,'[94]1月'!$A:$H,8,0),0)</f>
        <v>45870.879999999997</v>
      </c>
      <c r="Z38" s="688">
        <f>IFERROR(VLOOKUP($A38,'[94]2月'!$A:$H,8,0),0)</f>
        <v>46121.52</v>
      </c>
      <c r="AA38" s="688">
        <f>IFERROR(VLOOKUP($A38,'[94]3月'!$A:$H,8,0),0)</f>
        <v>45996.2</v>
      </c>
      <c r="AB38" s="688">
        <f>IFERROR(VLOOKUP($A38,'[94]4月'!$A:$H,8,0),0)</f>
        <v>46066.39</v>
      </c>
      <c r="AC38" s="688">
        <f>IFERROR(VLOOKUP($A38,'[94]5月'!$A:$H,8,0),0)</f>
        <v>60260.84</v>
      </c>
      <c r="AD38" s="688">
        <f>IFERROR(VLOOKUP($A38,'[94]6月'!$A:$H,8,0),0)</f>
        <v>73368.62</v>
      </c>
      <c r="AE38" s="688">
        <f>IFERROR(VLOOKUP($A38,'[94]7月'!$A:$H,8,0),0)</f>
        <v>85190.31</v>
      </c>
      <c r="AF38" s="688">
        <f>IFERROR(VLOOKUP($A38,'[94]8月'!$A:$H,8,0),0)</f>
        <v>85190.31</v>
      </c>
      <c r="AG38" s="688">
        <f>IFERROR(VLOOKUP($A38,'[94]9月'!$A:$H,8,0),0)</f>
        <v>85394.29</v>
      </c>
      <c r="AH38" s="688">
        <f>IFERROR(VLOOKUP($A38,'[94]10月'!$A:$H,8,0),0)</f>
        <v>85955.97</v>
      </c>
      <c r="AI38" s="688">
        <f>IFERROR(VLOOKUP($A38,'[94]11月'!$A:$H,8,0),0)</f>
        <v>85665.61</v>
      </c>
      <c r="AJ38" s="688">
        <f>IFERROR(VLOOKUP($A38,'[94]12月'!$A:$H,8,0),0)</f>
        <v>85571.53</v>
      </c>
      <c r="AK38" s="688">
        <f t="shared" si="28"/>
        <v>830652.47</v>
      </c>
    </row>
    <row r="39" spans="1:37" ht="13.5" customHeight="1">
      <c r="A39" s="653" t="str">
        <f>'Budget-合并'!A39</f>
        <v>6602.03.01</v>
      </c>
      <c r="B39" s="653" t="str">
        <f>'Budget-合并'!B39</f>
        <v>员工社保福利</v>
      </c>
      <c r="C39" s="687" t="str">
        <f>'Budget-合并'!C39</f>
        <v>Employee Insurance</v>
      </c>
      <c r="D39" s="676">
        <f t="shared" ca="1" si="29"/>
        <v>55460.988000000034</v>
      </c>
      <c r="E39" s="676" t="e">
        <f t="shared" si="19"/>
        <v>#N/A</v>
      </c>
      <c r="F39" s="676" t="e">
        <f t="shared" ca="1" si="22"/>
        <v>#N/A</v>
      </c>
      <c r="G39" s="676">
        <f t="shared" ca="1" si="23"/>
        <v>55460.988000000034</v>
      </c>
      <c r="H39" s="676" t="e">
        <f t="shared" ca="1" si="24"/>
        <v>#N/A</v>
      </c>
      <c r="I39" s="676" t="e">
        <f t="shared" ca="1" si="25"/>
        <v>#N/A</v>
      </c>
      <c r="K39" s="676">
        <f ca="1">INDEX('Personnel-CN'!$W$291:$AV$291,MATCH(K$6,'Personnel-CN'!$W$15:$AV$15,0))</f>
        <v>55460.988000000034</v>
      </c>
      <c r="L39" s="676">
        <f ca="1">INDEX('Personnel-CN'!$W$291:$AV$291,MATCH(L$6,'Personnel-CN'!$W$15:$AV$15,0))</f>
        <v>62355.318000000028</v>
      </c>
      <c r="M39" s="676">
        <f ca="1">INDEX('Personnel-CN'!$W$291:$AV$291,MATCH(M$6,'Personnel-CN'!$W$15:$AV$15,0))</f>
        <v>55437.91800000002</v>
      </c>
      <c r="N39" s="676">
        <f ca="1">INDEX('Personnel-CN'!$W$291:$AV$291,MATCH(N$6,'Personnel-CN'!$W$15:$AV$15,0))</f>
        <v>57345.075000000026</v>
      </c>
      <c r="O39" s="676">
        <f ca="1">INDEX('Personnel-CN'!$W$291:$AV$291,MATCH(O$6,'Personnel-CN'!$W$15:$AV$15,0))</f>
        <v>83282.685000000012</v>
      </c>
      <c r="P39" s="676">
        <f ca="1">INDEX('Personnel-CN'!$W$291:$AV$291,MATCH(P$6,'Personnel-CN'!$W$15:$AV$15,0))</f>
        <v>83015.685000000012</v>
      </c>
      <c r="Q39" s="676">
        <f ca="1">INDEX('Personnel-CN'!$W$291:$AV$291,MATCH(Q$6,'Personnel-CN'!$W$15:$AV$15,0))</f>
        <v>83282.685000000012</v>
      </c>
      <c r="R39" s="676">
        <f ca="1">INDEX('Personnel-CN'!$W$291:$AV$291,MATCH(R$6,'Personnel-CN'!$W$15:$AV$15,0))</f>
        <v>87311.685000000012</v>
      </c>
      <c r="S39" s="676">
        <f ca="1">INDEX('Personnel-CN'!$W$291:$AV$291,MATCH(S$6,'Personnel-CN'!$W$15:$AV$15,0))</f>
        <v>87311.685000000012</v>
      </c>
      <c r="T39" s="676">
        <f ca="1">INDEX('Personnel-CN'!$W$291:$AV$291,MATCH(T$6,'Personnel-CN'!$W$15:$AV$15,0))</f>
        <v>87311.685000000012</v>
      </c>
      <c r="U39" s="676">
        <f ca="1">INDEX('Personnel-CN'!$W$291:$AV$291,MATCH(U$6,'Personnel-CN'!$W$15:$AV$15,0))</f>
        <v>87311.685000000012</v>
      </c>
      <c r="V39" s="676">
        <f ca="1">INDEX('Personnel-CN'!$W$291:$AV$291,MATCH(V$6,'Personnel-CN'!$W$15:$AV$15,0))</f>
        <v>90155.685000000012</v>
      </c>
      <c r="W39" s="676">
        <f t="shared" ca="1" si="27"/>
        <v>919582.77900000033</v>
      </c>
      <c r="Y39" s="688">
        <f>IFERROR(VLOOKUP($A39,'[94]1月'!$A:$H,8,0),0)</f>
        <v>29769.8</v>
      </c>
      <c r="Z39" s="688">
        <f>IFERROR(VLOOKUP($A39,'[94]2月'!$A:$H,8,0),0)</f>
        <v>30020.44</v>
      </c>
      <c r="AA39" s="688">
        <f>IFERROR(VLOOKUP($A39,'[94]3月'!$A:$H,8,0),0)</f>
        <v>29895.119999999999</v>
      </c>
      <c r="AB39" s="688">
        <f>IFERROR(VLOOKUP($A39,'[94]4月'!$A:$H,8,0),0)</f>
        <v>29965.31</v>
      </c>
      <c r="AC39" s="688">
        <f>IFERROR(VLOOKUP($A39,'[94]5月'!$A:$H,8,0),0)</f>
        <v>35800.68</v>
      </c>
      <c r="AD39" s="688">
        <f>IFERROR(VLOOKUP($A39,'[94]6月'!$A:$H,8,0),0)</f>
        <v>46868.46</v>
      </c>
      <c r="AE39" s="688">
        <f>IFERROR(VLOOKUP($A39,'[94]7月'!$A:$H,8,0),0)</f>
        <v>54837.15</v>
      </c>
      <c r="AF39" s="688">
        <f>IFERROR(VLOOKUP($A39,'[94]8月'!$A:$H,8,0),0)</f>
        <v>54837.15</v>
      </c>
      <c r="AG39" s="688">
        <f>IFERROR(VLOOKUP($A39,'[94]9月'!$A:$H,8,0),0)</f>
        <v>54978.13</v>
      </c>
      <c r="AH39" s="688">
        <f>IFERROR(VLOOKUP($A39,'[94]10月'!$A:$H,8,0),0)</f>
        <v>55413.81</v>
      </c>
      <c r="AI39" s="688">
        <f>IFERROR(VLOOKUP($A39,'[94]11月'!$A:$H,8,0),0)</f>
        <v>55249.45</v>
      </c>
      <c r="AJ39" s="688">
        <f>IFERROR(VLOOKUP($A39,'[94]12月'!$A:$H,8,0),0)</f>
        <v>55155.37</v>
      </c>
      <c r="AK39" s="688">
        <f t="shared" si="28"/>
        <v>532790.87</v>
      </c>
    </row>
    <row r="40" spans="1:37" ht="13.5" customHeight="1">
      <c r="A40" s="653" t="str">
        <f>'Budget-合并'!A40</f>
        <v>6602.03.02</v>
      </c>
      <c r="B40" s="653" t="str">
        <f>'Budget-合并'!B40</f>
        <v>员工公积金福利</v>
      </c>
      <c r="C40" s="687">
        <f>'Budget-合并'!C40</f>
        <v>0</v>
      </c>
      <c r="D40" s="676">
        <f t="shared" ca="1" si="29"/>
        <v>30416.19</v>
      </c>
      <c r="E40" s="676" t="e">
        <f t="shared" si="19"/>
        <v>#N/A</v>
      </c>
      <c r="F40" s="676" t="e">
        <f t="shared" ca="1" si="22"/>
        <v>#N/A</v>
      </c>
      <c r="G40" s="676">
        <f t="shared" ca="1" si="23"/>
        <v>30416.19</v>
      </c>
      <c r="H40" s="676" t="e">
        <f t="shared" ca="1" si="24"/>
        <v>#N/A</v>
      </c>
      <c r="I40" s="676" t="e">
        <f t="shared" ca="1" si="25"/>
        <v>#N/A</v>
      </c>
      <c r="K40" s="676">
        <f ca="1">INDEX('Personnel-CN'!$W$255:$AV$255,MATCH(K$6,'Personnel-CN'!$W$15:$AV$15,0))</f>
        <v>30416.19</v>
      </c>
      <c r="L40" s="676">
        <f ca="1">INDEX('Personnel-CN'!$W$255:$AV$255,MATCH(L$6,'Personnel-CN'!$W$15:$AV$15,0))</f>
        <v>34376.19</v>
      </c>
      <c r="M40" s="676">
        <f ca="1">INDEX('Personnel-CN'!$W$255:$AV$255,MATCH(M$6,'Personnel-CN'!$W$15:$AV$15,0))</f>
        <v>31311.48</v>
      </c>
      <c r="N40" s="676">
        <f ca="1">INDEX('Personnel-CN'!$W$255:$AV$255,MATCH(N$6,'Personnel-CN'!$W$15:$AV$15,0))</f>
        <v>32190.6</v>
      </c>
      <c r="O40" s="676">
        <f ca="1">INDEX('Personnel-CN'!$W$255:$AV$255,MATCH(O$6,'Personnel-CN'!$W$15:$AV$15,0))</f>
        <v>51246.000000000007</v>
      </c>
      <c r="P40" s="676">
        <f ca="1">INDEX('Personnel-CN'!$W$255:$AV$255,MATCH(P$6,'Personnel-CN'!$W$15:$AV$15,0))</f>
        <v>51066.000000000007</v>
      </c>
      <c r="Q40" s="676">
        <f ca="1">INDEX('Personnel-CN'!$W$255:$AV$255,MATCH(Q$6,'Personnel-CN'!$W$15:$AV$15,0))</f>
        <v>51246.000000000007</v>
      </c>
      <c r="R40" s="676">
        <f ca="1">INDEX('Personnel-CN'!$W$255:$AV$255,MATCH(R$6,'Personnel-CN'!$W$15:$AV$15,0))</f>
        <v>53286.000000000007</v>
      </c>
      <c r="S40" s="676">
        <f ca="1">INDEX('Personnel-CN'!$W$255:$AV$255,MATCH(S$6,'Personnel-CN'!$W$15:$AV$15,0))</f>
        <v>53286.000000000007</v>
      </c>
      <c r="T40" s="676">
        <f ca="1">INDEX('Personnel-CN'!$W$255:$AV$255,MATCH(T$6,'Personnel-CN'!$W$15:$AV$15,0))</f>
        <v>53286.000000000007</v>
      </c>
      <c r="U40" s="676">
        <f ca="1">INDEX('Personnel-CN'!$W$255:$AV$255,MATCH(U$6,'Personnel-CN'!$W$15:$AV$15,0))</f>
        <v>53286.000000000007</v>
      </c>
      <c r="V40" s="676">
        <f ca="1">INDEX('Personnel-CN'!$W$255:$AV$255,MATCH(V$6,'Personnel-CN'!$W$15:$AV$15,0))</f>
        <v>54726.000000000007</v>
      </c>
      <c r="W40" s="676">
        <f t="shared" ca="1" si="27"/>
        <v>549722.46000000008</v>
      </c>
      <c r="Y40" s="688">
        <f>IFERROR(VLOOKUP($A40,'[94]1月'!$A:$H,8,0),0)</f>
        <v>16101.08</v>
      </c>
      <c r="Z40" s="688">
        <f>IFERROR(VLOOKUP($A40,'[94]2月'!$A:$H,8,0),0)</f>
        <v>16101.08</v>
      </c>
      <c r="AA40" s="688">
        <f>IFERROR(VLOOKUP($A40,'[94]3月'!$A:$H,8,0),0)</f>
        <v>16101.08</v>
      </c>
      <c r="AB40" s="688">
        <f>IFERROR(VLOOKUP($A40,'[94]4月'!$A:$H,8,0),0)</f>
        <v>16101.08</v>
      </c>
      <c r="AC40" s="688">
        <f>IFERROR(VLOOKUP($A40,'[94]5月'!$A:$H,8,0),0)</f>
        <v>24460.16</v>
      </c>
      <c r="AD40" s="688">
        <f>IFERROR(VLOOKUP($A40,'[94]6月'!$A:$H,8,0),0)</f>
        <v>26500.16</v>
      </c>
      <c r="AE40" s="688">
        <f>IFERROR(VLOOKUP($A40,'[94]7月'!$A:$H,8,0),0)</f>
        <v>30353.16</v>
      </c>
      <c r="AF40" s="688">
        <f>IFERROR(VLOOKUP($A40,'[94]8月'!$A:$H,8,0),0)</f>
        <v>30353.16</v>
      </c>
      <c r="AG40" s="688">
        <f>IFERROR(VLOOKUP($A40,'[94]9月'!$A:$H,8,0),0)</f>
        <v>30416.16</v>
      </c>
      <c r="AH40" s="688">
        <f>IFERROR(VLOOKUP($A40,'[94]10月'!$A:$H,8,0),0)</f>
        <v>30542.16</v>
      </c>
      <c r="AI40" s="688">
        <f>IFERROR(VLOOKUP($A40,'[94]11月'!$A:$H,8,0),0)</f>
        <v>30416.16</v>
      </c>
      <c r="AJ40" s="688">
        <f>IFERROR(VLOOKUP($A40,'[94]12月'!$A:$H,8,0),0)</f>
        <v>30416.16</v>
      </c>
      <c r="AK40" s="688">
        <f t="shared" si="28"/>
        <v>297861.59999999998</v>
      </c>
    </row>
    <row r="41" spans="1:37" ht="13.5" hidden="1" customHeight="1">
      <c r="A41" s="653" t="str">
        <f>'Budget-合并'!A41</f>
        <v>6602.03.03</v>
      </c>
      <c r="B41" s="653" t="str">
        <f>'Budget-合并'!B41</f>
        <v>员工强制性公积金福利</v>
      </c>
      <c r="C41" s="687" t="str">
        <f>'Budget-合并'!C41</f>
        <v>Pension Local/MPF</v>
      </c>
      <c r="D41" s="676">
        <f t="shared" si="29"/>
        <v>0</v>
      </c>
      <c r="E41" s="676" t="e">
        <f t="shared" si="19"/>
        <v>#N/A</v>
      </c>
      <c r="F41" s="676" t="e">
        <f t="shared" si="22"/>
        <v>#N/A</v>
      </c>
      <c r="G41" s="676">
        <f t="shared" ca="1" si="23"/>
        <v>0</v>
      </c>
      <c r="H41" s="676" t="e">
        <f t="shared" ca="1" si="24"/>
        <v>#N/A</v>
      </c>
      <c r="I41" s="676" t="e">
        <f t="shared" ca="1" si="25"/>
        <v>#N/A</v>
      </c>
      <c r="K41" s="676"/>
      <c r="L41" s="676"/>
      <c r="M41" s="676"/>
      <c r="N41" s="676"/>
      <c r="O41" s="676"/>
      <c r="P41" s="676"/>
      <c r="Q41" s="676"/>
      <c r="R41" s="676"/>
      <c r="S41" s="676"/>
      <c r="T41" s="676"/>
      <c r="U41" s="676"/>
      <c r="V41" s="676"/>
      <c r="W41" s="676">
        <f t="shared" si="27"/>
        <v>0</v>
      </c>
      <c r="Y41" s="688">
        <f>IFERROR(VLOOKUP($A41,'[94]1月'!$A:$H,8,0),0)</f>
        <v>0</v>
      </c>
      <c r="Z41" s="688">
        <f>IFERROR(VLOOKUP($A41,'[94]2月'!$A:$H,8,0),0)</f>
        <v>0</v>
      </c>
      <c r="AA41" s="688">
        <f>IFERROR(VLOOKUP($A41,'[94]3月'!$A:$H,8,0),0)</f>
        <v>0</v>
      </c>
      <c r="AB41" s="688">
        <f>IFERROR(VLOOKUP($A41,'[94]4月'!$A:$H,8,0),0)</f>
        <v>0</v>
      </c>
      <c r="AC41" s="688">
        <f>IFERROR(VLOOKUP($A41,'[94]5月'!$A:$H,8,0),0)</f>
        <v>0</v>
      </c>
      <c r="AD41" s="688">
        <f>IFERROR(VLOOKUP($A41,'[94]6月'!$A:$H,8,0),0)</f>
        <v>0</v>
      </c>
      <c r="AE41" s="688">
        <f>IFERROR(VLOOKUP($A41,'[94]7月'!$A:$H,8,0),0)</f>
        <v>0</v>
      </c>
      <c r="AF41" s="688">
        <f>IFERROR(VLOOKUP($A41,'[94]8月'!$A:$H,8,0),0)</f>
        <v>0</v>
      </c>
      <c r="AG41" s="688">
        <f>IFERROR(VLOOKUP($A41,'[94]9月'!$A:$H,8,0),0)</f>
        <v>0</v>
      </c>
      <c r="AH41" s="688">
        <f>IFERROR(VLOOKUP($A41,'[94]10月'!$A:$H,8,0),0)</f>
        <v>0</v>
      </c>
      <c r="AI41" s="688">
        <f>IFERROR(VLOOKUP($A41,'[94]11月'!$A:$H,8,0),0)</f>
        <v>0</v>
      </c>
      <c r="AJ41" s="688">
        <f>IFERROR(VLOOKUP($A41,'[94]12月'!$A:$H,8,0),0)</f>
        <v>0</v>
      </c>
      <c r="AK41" s="688">
        <f t="shared" si="28"/>
        <v>0</v>
      </c>
    </row>
    <row r="42" spans="1:37" ht="13.5" customHeight="1">
      <c r="A42" s="686">
        <f>'Budget-合并'!A42</f>
        <v>0</v>
      </c>
      <c r="B42" s="686" t="str">
        <f>'Budget-合并'!B42</f>
        <v>管理人工费用小计</v>
      </c>
      <c r="C42" s="687">
        <f>'Budget-合并'!C42</f>
        <v>0</v>
      </c>
      <c r="D42" s="677">
        <f t="shared" ca="1" si="29"/>
        <v>400127.17800000001</v>
      </c>
      <c r="E42" s="677" t="e">
        <f t="shared" si="19"/>
        <v>#N/A</v>
      </c>
      <c r="F42" s="677" t="e">
        <f t="shared" ca="1" si="22"/>
        <v>#N/A</v>
      </c>
      <c r="G42" s="677">
        <f t="shared" ca="1" si="23"/>
        <v>400127.17800000001</v>
      </c>
      <c r="H42" s="677" t="e">
        <f t="shared" ca="1" si="24"/>
        <v>#N/A</v>
      </c>
      <c r="I42" s="677" t="e">
        <f t="shared" ca="1" si="25"/>
        <v>#N/A</v>
      </c>
      <c r="K42" s="677">
        <f ca="1">SUM(K23,K33,K38)</f>
        <v>400127.17800000001</v>
      </c>
      <c r="L42" s="677">
        <f t="shared" ref="L42:V42" ca="1" si="33">SUM(L23,L33,L38)</f>
        <v>443981.50800000003</v>
      </c>
      <c r="M42" s="677">
        <f t="shared" ca="1" si="33"/>
        <v>389749.39800000004</v>
      </c>
      <c r="N42" s="677">
        <f t="shared" ca="1" si="33"/>
        <v>772035.67500000005</v>
      </c>
      <c r="O42" s="677">
        <f t="shared" ca="1" si="33"/>
        <v>720778.68500000006</v>
      </c>
      <c r="P42" s="677">
        <f t="shared" ca="1" si="33"/>
        <v>720331.68500000006</v>
      </c>
      <c r="Q42" s="677">
        <f t="shared" ca="1" si="33"/>
        <v>720778.68500000006</v>
      </c>
      <c r="R42" s="677">
        <f t="shared" ca="1" si="33"/>
        <v>743847.68500000006</v>
      </c>
      <c r="S42" s="677">
        <f t="shared" ca="1" si="33"/>
        <v>743847.68500000006</v>
      </c>
      <c r="T42" s="677">
        <f t="shared" ca="1" si="33"/>
        <v>743847.68500000006</v>
      </c>
      <c r="U42" s="677">
        <f t="shared" ca="1" si="33"/>
        <v>743847.68500000006</v>
      </c>
      <c r="V42" s="677">
        <f t="shared" ca="1" si="33"/>
        <v>2071560.2564285714</v>
      </c>
      <c r="W42" s="677">
        <f t="shared" ca="1" si="27"/>
        <v>9214733.8104285728</v>
      </c>
      <c r="Y42" s="677">
        <f t="shared" ref="Y42:AK42" si="34">SUM(Y23,Y33,Y38)</f>
        <v>232554.88</v>
      </c>
      <c r="Z42" s="677">
        <f t="shared" si="34"/>
        <v>227371.51999999999</v>
      </c>
      <c r="AA42" s="677">
        <f t="shared" si="34"/>
        <v>370173.3</v>
      </c>
      <c r="AB42" s="677">
        <f t="shared" si="34"/>
        <v>232166.39</v>
      </c>
      <c r="AC42" s="677">
        <f t="shared" si="34"/>
        <v>323652.83999999997</v>
      </c>
      <c r="AD42" s="677">
        <f t="shared" si="34"/>
        <v>347500.79999999999</v>
      </c>
      <c r="AE42" s="677">
        <f t="shared" si="34"/>
        <v>399746.31</v>
      </c>
      <c r="AF42" s="677">
        <f t="shared" si="34"/>
        <v>255565.31</v>
      </c>
      <c r="AG42" s="677">
        <f t="shared" si="34"/>
        <v>393174.88999999996</v>
      </c>
      <c r="AH42" s="677">
        <f t="shared" si="34"/>
        <v>390055.97</v>
      </c>
      <c r="AI42" s="677">
        <f t="shared" si="34"/>
        <v>394165.61</v>
      </c>
      <c r="AJ42" s="677">
        <f t="shared" si="34"/>
        <v>401502.53</v>
      </c>
      <c r="AK42" s="677">
        <f t="shared" si="34"/>
        <v>3967630.3500000006</v>
      </c>
    </row>
    <row r="43" spans="1:37" ht="13.5" customHeight="1">
      <c r="A43" s="653">
        <f>'Budget-合并'!A43</f>
        <v>0</v>
      </c>
      <c r="B43" s="653">
        <f>'Budget-合并'!B43</f>
        <v>0</v>
      </c>
      <c r="C43" s="687">
        <f>'Budget-合并'!C43</f>
        <v>0</v>
      </c>
    </row>
    <row r="44" spans="1:37" ht="13.5" customHeight="1">
      <c r="A44" s="663" t="str">
        <f>'Budget-合并'!A44</f>
        <v>6602.04</v>
      </c>
      <c r="B44" s="663" t="str">
        <f>'Budget-合并'!B44</f>
        <v>咨询及专业服务费</v>
      </c>
      <c r="C44" s="687">
        <f>'Budget-合并'!C44</f>
        <v>0</v>
      </c>
      <c r="D44" s="676">
        <f t="shared" ref="D44:D107" si="35">INDEX($K44:$V44,1,MATCH($D$6,$K$6:$V$6))</f>
        <v>26062.5</v>
      </c>
      <c r="E44" s="676" t="e">
        <f t="shared" ref="E44:E107" si="36">INDEX($Y44:$AJ44,1,MATCH($E$6,$Y$6:$AJ$6))</f>
        <v>#N/A</v>
      </c>
      <c r="F44" s="676" t="e">
        <f t="shared" ref="F44:F107" si="37">D44-E44</f>
        <v>#N/A</v>
      </c>
      <c r="G44" s="676">
        <f t="shared" ref="G44:G107" ca="1" si="38">SUM($K44:OFFSET($K44,0,MATCH(G$6,$K$6:$V$6)-1))</f>
        <v>26062.5</v>
      </c>
      <c r="H44" s="676" t="e">
        <f t="shared" ref="H44:H107" ca="1" si="39">SUM($Y44:OFFSET($Y44,0,MATCH(H$6,$Y$6:$AJ$6)-1))</f>
        <v>#N/A</v>
      </c>
      <c r="I44" s="676" t="e">
        <f t="shared" ref="I44:I107" ca="1" si="40">G44-H44</f>
        <v>#N/A</v>
      </c>
      <c r="K44" s="676">
        <f t="shared" ref="K44:V44" si="41">SUM(K45,K46,K47,K51:K61)</f>
        <v>26062.5</v>
      </c>
      <c r="L44" s="676">
        <f t="shared" si="41"/>
        <v>117142.5</v>
      </c>
      <c r="M44" s="676">
        <f t="shared" si="41"/>
        <v>26062.5</v>
      </c>
      <c r="N44" s="676">
        <f t="shared" si="41"/>
        <v>39062.5</v>
      </c>
      <c r="O44" s="676">
        <f t="shared" si="41"/>
        <v>39062.5</v>
      </c>
      <c r="P44" s="676">
        <f t="shared" si="41"/>
        <v>450317.5</v>
      </c>
      <c r="Q44" s="676">
        <f t="shared" si="41"/>
        <v>39062.5</v>
      </c>
      <c r="R44" s="676">
        <f t="shared" si="41"/>
        <v>39062.5</v>
      </c>
      <c r="S44" s="676">
        <f t="shared" si="41"/>
        <v>189062.5</v>
      </c>
      <c r="T44" s="676">
        <f t="shared" si="41"/>
        <v>39062.5</v>
      </c>
      <c r="U44" s="676">
        <f t="shared" si="41"/>
        <v>39062.5</v>
      </c>
      <c r="V44" s="676">
        <f t="shared" si="41"/>
        <v>584906.59600000002</v>
      </c>
      <c r="W44" s="676">
        <f t="shared" si="27"/>
        <v>1627929.0959999999</v>
      </c>
      <c r="Y44" s="676">
        <f>SUM(Y45,Y46,Y47,Y51:Y61)</f>
        <v>1100</v>
      </c>
      <c r="Z44" s="676">
        <f t="shared" ref="Z44:AJ44" si="42">SUM(Z45,Z46,Z47,Z51:Z61)</f>
        <v>282130.06</v>
      </c>
      <c r="AA44" s="676">
        <f t="shared" si="42"/>
        <v>737132.31</v>
      </c>
      <c r="AB44" s="676">
        <f t="shared" si="42"/>
        <v>20581.14</v>
      </c>
      <c r="AC44" s="676">
        <f t="shared" si="42"/>
        <v>-91185.27</v>
      </c>
      <c r="AD44" s="676">
        <f t="shared" si="42"/>
        <v>844173.81</v>
      </c>
      <c r="AE44" s="676">
        <f t="shared" si="42"/>
        <v>-208279.24</v>
      </c>
      <c r="AF44" s="676">
        <f t="shared" si="42"/>
        <v>63907.57</v>
      </c>
      <c r="AG44" s="676">
        <f t="shared" si="42"/>
        <v>64464.15</v>
      </c>
      <c r="AH44" s="676">
        <f t="shared" si="42"/>
        <v>-456051.41000000003</v>
      </c>
      <c r="AI44" s="676">
        <f t="shared" si="42"/>
        <v>22011.31</v>
      </c>
      <c r="AJ44" s="676">
        <f t="shared" si="42"/>
        <v>77011.320000000007</v>
      </c>
      <c r="AK44" s="688">
        <f t="shared" ref="AK44:AK107" si="43">SUM(Y44:AJ44)</f>
        <v>1356995.7500000002</v>
      </c>
    </row>
    <row r="45" spans="1:37" ht="13.5" customHeight="1">
      <c r="A45" s="653" t="str">
        <f>'Budget-合并'!A45</f>
        <v>6602.04.01</v>
      </c>
      <c r="B45" s="653" t="str">
        <f>'Budget-合并'!B45</f>
        <v>会计服务费</v>
      </c>
      <c r="C45" s="687" t="str">
        <f>'Budget-合并'!C45</f>
        <v>Accounting/Payment Services</v>
      </c>
      <c r="D45" s="676">
        <f t="shared" si="35"/>
        <v>0</v>
      </c>
      <c r="E45" s="676" t="e">
        <f t="shared" si="36"/>
        <v>#N/A</v>
      </c>
      <c r="F45" s="676" t="e">
        <f t="shared" si="37"/>
        <v>#N/A</v>
      </c>
      <c r="G45" s="676">
        <f t="shared" ca="1" si="38"/>
        <v>0</v>
      </c>
      <c r="H45" s="676" t="e">
        <f t="shared" ca="1" si="39"/>
        <v>#N/A</v>
      </c>
      <c r="I45" s="676" t="e">
        <f t="shared" ca="1" si="40"/>
        <v>#N/A</v>
      </c>
      <c r="K45" s="676">
        <f>SUMIFS('Prof. Fee'!AF$3:AF$150,'Prof. Fee'!$B$3:$B$150,$D$1,'Prof. Fee'!$D$3:$D$150,$A45)</f>
        <v>0</v>
      </c>
      <c r="L45" s="676">
        <f>SUMIFS('Prof. Fee'!AG$3:AG$150,'Prof. Fee'!$B$3:$B$150,$D$1,'Prof. Fee'!$D$3:$D$150,$A45)</f>
        <v>0</v>
      </c>
      <c r="M45" s="676">
        <f>SUMIFS('Prof. Fee'!AH$3:AH$150,'Prof. Fee'!$B$3:$B$150,$D$1,'Prof. Fee'!$D$3:$D$150,$A45)</f>
        <v>0</v>
      </c>
      <c r="N45" s="676">
        <f>SUMIFS('Prof. Fee'!AI$3:AI$150,'Prof. Fee'!$B$3:$B$150,$D$1,'Prof. Fee'!$D$3:$D$150,$A45)</f>
        <v>13000</v>
      </c>
      <c r="O45" s="676">
        <f>SUMIFS('Prof. Fee'!AJ$3:AJ$150,'Prof. Fee'!$B$3:$B$150,$D$1,'Prof. Fee'!$D$3:$D$150,$A45)</f>
        <v>13000</v>
      </c>
      <c r="P45" s="676">
        <f>SUMIFS('Prof. Fee'!AK$3:AK$150,'Prof. Fee'!$B$3:$B$150,$D$1,'Prof. Fee'!$D$3:$D$150,$A45)</f>
        <v>13000</v>
      </c>
      <c r="Q45" s="676">
        <f>SUMIFS('Prof. Fee'!AL$3:AL$150,'Prof. Fee'!$B$3:$B$150,$D$1,'Prof. Fee'!$D$3:$D$150,$A45)</f>
        <v>13000</v>
      </c>
      <c r="R45" s="676">
        <f>SUMIFS('Prof. Fee'!AM$3:AM$150,'Prof. Fee'!$B$3:$B$150,$D$1,'Prof. Fee'!$D$3:$D$150,$A45)</f>
        <v>13000</v>
      </c>
      <c r="S45" s="676">
        <f>SUMIFS('Prof. Fee'!AN$3:AN$150,'Prof. Fee'!$B$3:$B$150,$D$1,'Prof. Fee'!$D$3:$D$150,$A45)</f>
        <v>13000</v>
      </c>
      <c r="T45" s="676">
        <f>SUMIFS('Prof. Fee'!AO$3:AO$150,'Prof. Fee'!$B$3:$B$150,$D$1,'Prof. Fee'!$D$3:$D$150,$A45)</f>
        <v>13000</v>
      </c>
      <c r="U45" s="676">
        <f>SUMIFS('Prof. Fee'!AP$3:AP$150,'Prof. Fee'!$B$3:$B$150,$D$1,'Prof. Fee'!$D$3:$D$150,$A45)</f>
        <v>13000</v>
      </c>
      <c r="V45" s="676">
        <f>SUMIFS('Prof. Fee'!AQ$3:AQ$150,'Prof. Fee'!$B$3:$B$150,$D$1,'Prof. Fee'!$D$3:$D$150,$A45)</f>
        <v>13000</v>
      </c>
      <c r="W45" s="676">
        <f t="shared" si="27"/>
        <v>117000</v>
      </c>
      <c r="Y45" s="688">
        <f>IFERROR(VLOOKUP($A45,'[94]1月'!$A:$H,8,0),0)</f>
        <v>0</v>
      </c>
      <c r="Z45" s="688">
        <f>IFERROR(VLOOKUP($A45,'[94]2月'!$A:$H,8,0),0)</f>
        <v>0</v>
      </c>
      <c r="AA45" s="688">
        <f>IFERROR(VLOOKUP($A45,'[94]3月'!$A:$H,8,0),0)</f>
        <v>0</v>
      </c>
      <c r="AB45" s="688">
        <f>IFERROR(VLOOKUP($A45,'[94]4月'!$A:$H,8,0),0)</f>
        <v>0</v>
      </c>
      <c r="AC45" s="688">
        <f>IFERROR(VLOOKUP($A45,'[94]5月'!$A:$H,8,0),0)</f>
        <v>0</v>
      </c>
      <c r="AD45" s="688">
        <f>IFERROR(VLOOKUP($A45,'[94]6月'!$A:$H,8,0),0)</f>
        <v>0</v>
      </c>
      <c r="AE45" s="688">
        <f>IFERROR(VLOOKUP($A45,'[94]7月'!$A:$H,8,0),0)</f>
        <v>0</v>
      </c>
      <c r="AF45" s="688">
        <f>IFERROR(VLOOKUP($A45,'[94]8月'!$A:$H,8,0),0)</f>
        <v>0</v>
      </c>
      <c r="AG45" s="688">
        <f>IFERROR(VLOOKUP($A45,'[94]9月'!$A:$H,8,0),0)</f>
        <v>0</v>
      </c>
      <c r="AH45" s="688">
        <f>IFERROR(VLOOKUP($A45,'[94]10月'!$A:$H,8,0),0)</f>
        <v>0</v>
      </c>
      <c r="AI45" s="688">
        <f>IFERROR(VLOOKUP($A45,'[94]11月'!$A:$H,8,0),0)</f>
        <v>0</v>
      </c>
      <c r="AJ45" s="688">
        <f>IFERROR(VLOOKUP($A45,'[94]12月'!$A:$H,8,0),0)</f>
        <v>0</v>
      </c>
      <c r="AK45" s="688">
        <f t="shared" si="43"/>
        <v>0</v>
      </c>
    </row>
    <row r="46" spans="1:37" ht="13.5" customHeight="1">
      <c r="A46" s="653" t="str">
        <f>'Budget-合并'!A46</f>
        <v>6602.04.02</v>
      </c>
      <c r="B46" s="653" t="str">
        <f>'Budget-合并'!B46</f>
        <v>审计服务费</v>
      </c>
      <c r="C46" s="687" t="str">
        <f>'Budget-合并'!C46</f>
        <v>Audit Fees</v>
      </c>
      <c r="D46" s="676">
        <f t="shared" si="35"/>
        <v>0</v>
      </c>
      <c r="E46" s="676" t="e">
        <f t="shared" si="36"/>
        <v>#N/A</v>
      </c>
      <c r="F46" s="676" t="e">
        <f t="shared" si="37"/>
        <v>#N/A</v>
      </c>
      <c r="G46" s="676">
        <f t="shared" ca="1" si="38"/>
        <v>0</v>
      </c>
      <c r="H46" s="676" t="e">
        <f t="shared" ca="1" si="39"/>
        <v>#N/A</v>
      </c>
      <c r="I46" s="676" t="e">
        <f t="shared" ca="1" si="40"/>
        <v>#N/A</v>
      </c>
      <c r="K46" s="676">
        <f>SUMIFS('Prof. Fee'!AF$3:AF$150,'Prof. Fee'!$B$3:$B$150,$D$1,'Prof. Fee'!$D$3:$D$150,$A46)</f>
        <v>0</v>
      </c>
      <c r="L46" s="676">
        <f>SUMIFS('Prof. Fee'!AG$3:AG$150,'Prof. Fee'!$B$3:$B$150,$D$1,'Prof. Fee'!$D$3:$D$150,$A46)</f>
        <v>0</v>
      </c>
      <c r="M46" s="676">
        <f>SUMIFS('Prof. Fee'!AH$3:AH$150,'Prof. Fee'!$B$3:$B$150,$D$1,'Prof. Fee'!$D$3:$D$150,$A46)</f>
        <v>0</v>
      </c>
      <c r="N46" s="676">
        <f>SUMIFS('Prof. Fee'!AI$3:AI$150,'Prof. Fee'!$B$3:$B$150,$D$1,'Prof. Fee'!$D$3:$D$150,$A46)</f>
        <v>0</v>
      </c>
      <c r="O46" s="676">
        <f>SUMIFS('Prof. Fee'!AJ$3:AJ$150,'Prof. Fee'!$B$3:$B$150,$D$1,'Prof. Fee'!$D$3:$D$150,$A46)</f>
        <v>0</v>
      </c>
      <c r="P46" s="676">
        <f>SUMIFS('Prof. Fee'!AK$3:AK$150,'Prof. Fee'!$B$3:$B$150,$D$1,'Prof. Fee'!$D$3:$D$150,$A46)</f>
        <v>61215</v>
      </c>
      <c r="Q46" s="676">
        <f>SUMIFS('Prof. Fee'!AL$3:AL$150,'Prof. Fee'!$B$3:$B$150,$D$1,'Prof. Fee'!$D$3:$D$150,$A46)</f>
        <v>0</v>
      </c>
      <c r="R46" s="676">
        <f>SUMIFS('Prof. Fee'!AM$3:AM$150,'Prof. Fee'!$B$3:$B$150,$D$1,'Prof. Fee'!$D$3:$D$150,$A46)</f>
        <v>0</v>
      </c>
      <c r="S46" s="676">
        <f>SUMIFS('Prof. Fee'!AN$3:AN$150,'Prof. Fee'!$B$3:$B$150,$D$1,'Prof. Fee'!$D$3:$D$150,$A46)</f>
        <v>0</v>
      </c>
      <c r="T46" s="676">
        <f>SUMIFS('Prof. Fee'!AO$3:AO$150,'Prof. Fee'!$B$3:$B$150,$D$1,'Prof. Fee'!$D$3:$D$150,$A46)</f>
        <v>0</v>
      </c>
      <c r="U46" s="676">
        <f>SUMIFS('Prof. Fee'!AP$3:AP$150,'Prof. Fee'!$B$3:$B$150,$D$1,'Prof. Fee'!$D$3:$D$150,$A46)</f>
        <v>0</v>
      </c>
      <c r="V46" s="676">
        <f>SUMIFS('Prof. Fee'!AQ$3:AQ$150,'Prof. Fee'!$B$3:$B$150,$D$1,'Prof. Fee'!$D$3:$D$150,$A46)</f>
        <v>0</v>
      </c>
      <c r="W46" s="676">
        <f t="shared" si="27"/>
        <v>61215</v>
      </c>
      <c r="Y46" s="688">
        <f>IFERROR(VLOOKUP($A46,'[94]1月'!$A:$H,8,0),0)</f>
        <v>0</v>
      </c>
      <c r="Z46" s="688">
        <f>IFERROR(VLOOKUP($A46,'[94]2月'!$A:$H,8,0),0)</f>
        <v>0</v>
      </c>
      <c r="AA46" s="688">
        <f>IFERROR(VLOOKUP($A46,'[94]3月'!$A:$H,8,0),0)</f>
        <v>14051.17</v>
      </c>
      <c r="AB46" s="688">
        <f>IFERROR(VLOOKUP($A46,'[94]4月'!$A:$H,8,0),0)</f>
        <v>0</v>
      </c>
      <c r="AC46" s="688">
        <f>IFERROR(VLOOKUP($A46,'[94]5月'!$A:$H,8,0),0)</f>
        <v>1204.67</v>
      </c>
      <c r="AD46" s="688">
        <f>IFERROR(VLOOKUP($A46,'[94]6月'!$A:$H,8,0),0)</f>
        <v>14051.17</v>
      </c>
      <c r="AE46" s="688">
        <f>IFERROR(VLOOKUP($A46,'[94]7月'!$A:$H,8,0),0)</f>
        <v>0</v>
      </c>
      <c r="AF46" s="688">
        <f>IFERROR(VLOOKUP($A46,'[94]8月'!$A:$H,8,0),0)</f>
        <v>0</v>
      </c>
      <c r="AG46" s="688">
        <f>IFERROR(VLOOKUP($A46,'[94]9月'!$A:$H,8,0),0)</f>
        <v>0</v>
      </c>
      <c r="AH46" s="688">
        <f>IFERROR(VLOOKUP($A46,'[94]10月'!$A:$H,8,0),0)</f>
        <v>-28102.34</v>
      </c>
      <c r="AI46" s="688">
        <f>IFERROR(VLOOKUP($A46,'[94]11月'!$A:$H,8,0),0)</f>
        <v>0</v>
      </c>
      <c r="AJ46" s="688">
        <f>IFERROR(VLOOKUP($A46,'[94]12月'!$A:$H,8,0),0)</f>
        <v>55000</v>
      </c>
      <c r="AK46" s="688">
        <f t="shared" si="43"/>
        <v>56204.67</v>
      </c>
    </row>
    <row r="47" spans="1:37" ht="13.5" hidden="1" customHeight="1">
      <c r="A47" s="653" t="str">
        <f>'Budget-合并'!A47</f>
        <v>6602.04.03</v>
      </c>
      <c r="B47" s="653" t="str">
        <f>'Budget-合并'!B47</f>
        <v>顾问费</v>
      </c>
      <c r="C47" s="687" t="str">
        <f>'Budget-合并'!C47</f>
        <v>Advisory fee</v>
      </c>
      <c r="D47" s="676">
        <f t="shared" si="35"/>
        <v>0</v>
      </c>
      <c r="E47" s="676" t="e">
        <f t="shared" si="36"/>
        <v>#N/A</v>
      </c>
      <c r="F47" s="676" t="e">
        <f t="shared" si="37"/>
        <v>#N/A</v>
      </c>
      <c r="G47" s="676">
        <f t="shared" ca="1" si="38"/>
        <v>0</v>
      </c>
      <c r="H47" s="676" t="e">
        <f t="shared" ca="1" si="39"/>
        <v>#N/A</v>
      </c>
      <c r="I47" s="676" t="e">
        <f t="shared" ca="1" si="40"/>
        <v>#N/A</v>
      </c>
      <c r="K47" s="676">
        <f t="shared" ref="K47:V47" si="44">SUM(K48:K50)</f>
        <v>0</v>
      </c>
      <c r="L47" s="676">
        <f t="shared" si="44"/>
        <v>0</v>
      </c>
      <c r="M47" s="676">
        <f t="shared" si="44"/>
        <v>0</v>
      </c>
      <c r="N47" s="676">
        <f t="shared" si="44"/>
        <v>0</v>
      </c>
      <c r="O47" s="676">
        <f t="shared" si="44"/>
        <v>0</v>
      </c>
      <c r="P47" s="676">
        <f t="shared" si="44"/>
        <v>0</v>
      </c>
      <c r="Q47" s="676">
        <f t="shared" si="44"/>
        <v>0</v>
      </c>
      <c r="R47" s="676">
        <f t="shared" si="44"/>
        <v>0</v>
      </c>
      <c r="S47" s="676">
        <f t="shared" si="44"/>
        <v>0</v>
      </c>
      <c r="T47" s="676">
        <f t="shared" si="44"/>
        <v>0</v>
      </c>
      <c r="U47" s="676">
        <f t="shared" si="44"/>
        <v>0</v>
      </c>
      <c r="V47" s="676">
        <f t="shared" si="44"/>
        <v>0</v>
      </c>
      <c r="W47" s="676">
        <f t="shared" si="27"/>
        <v>0</v>
      </c>
      <c r="Y47" s="688">
        <f>IFERROR(VLOOKUP($A47,'[94]1月'!$A:$H,8,0),0)</f>
        <v>0</v>
      </c>
      <c r="Z47" s="688">
        <f>IFERROR(VLOOKUP($A47,'[94]2月'!$A:$H,8,0),0)</f>
        <v>214285.71</v>
      </c>
      <c r="AA47" s="688">
        <f>IFERROR(VLOOKUP($A47,'[94]3月'!$A:$H,8,0),0)</f>
        <v>700000</v>
      </c>
      <c r="AB47" s="688">
        <f>IFERROR(VLOOKUP($A47,'[94]4月'!$A:$H,8,0),0)</f>
        <v>0</v>
      </c>
      <c r="AC47" s="688">
        <f>IFERROR(VLOOKUP($A47,'[94]5月'!$A:$H,8,0),0)</f>
        <v>-115157.86</v>
      </c>
      <c r="AD47" s="688">
        <f>IFERROR(VLOOKUP($A47,'[94]6月'!$A:$H,8,0),0)</f>
        <v>800000</v>
      </c>
      <c r="AE47" s="688">
        <f>IFERROR(VLOOKUP($A47,'[94]7月'!$A:$H,8,0),0)</f>
        <v>-350000</v>
      </c>
      <c r="AF47" s="688">
        <f>IFERROR(VLOOKUP($A47,'[94]8月'!$A:$H,8,0),0)</f>
        <v>0</v>
      </c>
      <c r="AG47" s="688">
        <f>IFERROR(VLOOKUP($A47,'[94]9月'!$A:$H,8,0),0)</f>
        <v>0</v>
      </c>
      <c r="AH47" s="688">
        <f>IFERROR(VLOOKUP($A47,'[94]10月'!$A:$H,8,0),0)</f>
        <v>-450000</v>
      </c>
      <c r="AI47" s="688">
        <f>IFERROR(VLOOKUP($A47,'[94]11月'!$A:$H,8,0),0)</f>
        <v>0</v>
      </c>
      <c r="AJ47" s="688">
        <f>IFERROR(VLOOKUP($A47,'[94]12月'!$A:$H,8,0),0)</f>
        <v>0</v>
      </c>
      <c r="AK47" s="688">
        <f t="shared" si="43"/>
        <v>799127.85000000009</v>
      </c>
    </row>
    <row r="48" spans="1:37" ht="13.5" hidden="1" customHeight="1">
      <c r="A48" s="653">
        <f>'Budget-合并'!A48</f>
        <v>0</v>
      </c>
      <c r="B48" s="653" t="str">
        <f>'Budget-合并'!B48</f>
        <v xml:space="preserve">    公司主体01</v>
      </c>
      <c r="C48" s="687" t="str">
        <f>'Budget-合并'!C48</f>
        <v xml:space="preserve">   Entity</v>
      </c>
      <c r="D48" s="676">
        <f t="shared" si="35"/>
        <v>0</v>
      </c>
      <c r="E48" s="676" t="e">
        <f t="shared" si="36"/>
        <v>#N/A</v>
      </c>
      <c r="F48" s="676" t="e">
        <f t="shared" si="37"/>
        <v>#N/A</v>
      </c>
      <c r="G48" s="676">
        <f t="shared" ca="1" si="38"/>
        <v>0</v>
      </c>
      <c r="H48" s="676" t="e">
        <f t="shared" ca="1" si="39"/>
        <v>#N/A</v>
      </c>
      <c r="I48" s="676" t="e">
        <f t="shared" ca="1" si="40"/>
        <v>#N/A</v>
      </c>
      <c r="K48" s="676"/>
      <c r="L48" s="676"/>
      <c r="M48" s="676"/>
      <c r="N48" s="676"/>
      <c r="O48" s="676"/>
      <c r="P48" s="676"/>
      <c r="Q48" s="676"/>
      <c r="R48" s="676"/>
      <c r="S48" s="676"/>
      <c r="T48" s="676"/>
      <c r="U48" s="676"/>
      <c r="V48" s="676"/>
      <c r="W48" s="676">
        <f t="shared" si="27"/>
        <v>0</v>
      </c>
      <c r="Y48" s="688">
        <f>IFERROR(VLOOKUP($A48,'[94]1月'!$A:$H,8,0),0)</f>
        <v>0</v>
      </c>
      <c r="Z48" s="688">
        <f>IFERROR(VLOOKUP($A48,'[94]2月'!$A:$H,8,0),0)</f>
        <v>0</v>
      </c>
      <c r="AA48" s="688">
        <f>IFERROR(VLOOKUP($A48,'[94]3月'!$A:$H,8,0),0)</f>
        <v>0</v>
      </c>
      <c r="AB48" s="688">
        <f>IFERROR(VLOOKUP($A48,'[94]4月'!$A:$H,8,0),0)</f>
        <v>0</v>
      </c>
      <c r="AC48" s="688">
        <f>IFERROR(VLOOKUP($A48,'[94]5月'!$A:$H,8,0),0)</f>
        <v>0</v>
      </c>
      <c r="AD48" s="688">
        <f>IFERROR(VLOOKUP($A48,'[94]6月'!$A:$H,8,0),0)</f>
        <v>0</v>
      </c>
      <c r="AE48" s="688">
        <f>IFERROR(VLOOKUP($A48,'[94]7月'!$A:$H,8,0),0)</f>
        <v>0</v>
      </c>
      <c r="AF48" s="688">
        <f>IFERROR(VLOOKUP($A48,'[94]8月'!$A:$H,8,0),0)</f>
        <v>0</v>
      </c>
      <c r="AG48" s="688">
        <f>IFERROR(VLOOKUP($A48,'[94]9月'!$A:$H,8,0),0)</f>
        <v>0</v>
      </c>
      <c r="AH48" s="688">
        <f>IFERROR(VLOOKUP($A48,'[94]10月'!$A:$H,8,0),0)</f>
        <v>0</v>
      </c>
      <c r="AI48" s="688">
        <f>IFERROR(VLOOKUP($A48,'[94]11月'!$A:$H,8,0),0)</f>
        <v>0</v>
      </c>
      <c r="AJ48" s="688">
        <f>IFERROR(VLOOKUP($A48,'[94]12月'!$A:$H,8,0),0)</f>
        <v>0</v>
      </c>
      <c r="AK48" s="688">
        <f t="shared" si="43"/>
        <v>0</v>
      </c>
    </row>
    <row r="49" spans="1:37" ht="13.5" hidden="1" customHeight="1">
      <c r="A49" s="653">
        <f>'Budget-合并'!A49</f>
        <v>0</v>
      </c>
      <c r="B49" s="653" t="str">
        <f>'Budget-合并'!B49</f>
        <v xml:space="preserve">    旭智富能01</v>
      </c>
      <c r="C49" s="687" t="str">
        <f>'Budget-合并'!C49</f>
        <v xml:space="preserve">   Foxpower</v>
      </c>
      <c r="D49" s="676">
        <f t="shared" si="35"/>
        <v>0</v>
      </c>
      <c r="E49" s="676" t="e">
        <f t="shared" si="36"/>
        <v>#N/A</v>
      </c>
      <c r="F49" s="676" t="e">
        <f t="shared" si="37"/>
        <v>#N/A</v>
      </c>
      <c r="G49" s="676">
        <f t="shared" ca="1" si="38"/>
        <v>0</v>
      </c>
      <c r="H49" s="676" t="e">
        <f t="shared" ca="1" si="39"/>
        <v>#N/A</v>
      </c>
      <c r="I49" s="676" t="e">
        <f t="shared" ca="1" si="40"/>
        <v>#N/A</v>
      </c>
      <c r="K49" s="676"/>
      <c r="L49" s="676"/>
      <c r="M49" s="676"/>
      <c r="N49" s="676"/>
      <c r="O49" s="676"/>
      <c r="P49" s="676"/>
      <c r="Q49" s="676"/>
      <c r="R49" s="676"/>
      <c r="S49" s="676"/>
      <c r="T49" s="676"/>
      <c r="U49" s="676"/>
      <c r="V49" s="676"/>
      <c r="W49" s="676">
        <f t="shared" si="27"/>
        <v>0</v>
      </c>
      <c r="Y49" s="688">
        <f>IFERROR(VLOOKUP($A49,'[94]1月'!$A:$H,8,0),0)</f>
        <v>0</v>
      </c>
      <c r="Z49" s="688">
        <f>IFERROR(VLOOKUP($A49,'[94]2月'!$A:$H,8,0),0)</f>
        <v>0</v>
      </c>
      <c r="AA49" s="688">
        <f>IFERROR(VLOOKUP($A49,'[94]3月'!$A:$H,8,0),0)</f>
        <v>0</v>
      </c>
      <c r="AB49" s="688">
        <f>IFERROR(VLOOKUP($A49,'[94]4月'!$A:$H,8,0),0)</f>
        <v>0</v>
      </c>
      <c r="AC49" s="688">
        <f>IFERROR(VLOOKUP($A49,'[94]5月'!$A:$H,8,0),0)</f>
        <v>0</v>
      </c>
      <c r="AD49" s="688">
        <f>IFERROR(VLOOKUP($A49,'[94]6月'!$A:$H,8,0),0)</f>
        <v>0</v>
      </c>
      <c r="AE49" s="688">
        <f>IFERROR(VLOOKUP($A49,'[94]7月'!$A:$H,8,0),0)</f>
        <v>0</v>
      </c>
      <c r="AF49" s="688">
        <f>IFERROR(VLOOKUP($A49,'[94]8月'!$A:$H,8,0),0)</f>
        <v>0</v>
      </c>
      <c r="AG49" s="688">
        <f>IFERROR(VLOOKUP($A49,'[94]9月'!$A:$H,8,0),0)</f>
        <v>0</v>
      </c>
      <c r="AH49" s="688">
        <f>IFERROR(VLOOKUP($A49,'[94]10月'!$A:$H,8,0),0)</f>
        <v>0</v>
      </c>
      <c r="AI49" s="688">
        <f>IFERROR(VLOOKUP($A49,'[94]11月'!$A:$H,8,0),0)</f>
        <v>0</v>
      </c>
      <c r="AJ49" s="688">
        <f>IFERROR(VLOOKUP($A49,'[94]12月'!$A:$H,8,0),0)</f>
        <v>0</v>
      </c>
      <c r="AK49" s="688">
        <f t="shared" si="43"/>
        <v>0</v>
      </c>
    </row>
    <row r="50" spans="1:37" ht="13.5" hidden="1" customHeight="1">
      <c r="A50" s="653">
        <f>'Budget-合并'!A50</f>
        <v>0</v>
      </c>
      <c r="B50" s="653" t="str">
        <f>'Budget-合并'!B50</f>
        <v xml:space="preserve">    其他项目01</v>
      </c>
      <c r="C50" s="687" t="str">
        <f>'Budget-合并'!C50</f>
        <v xml:space="preserve">   Other project</v>
      </c>
      <c r="D50" s="676">
        <f t="shared" si="35"/>
        <v>0</v>
      </c>
      <c r="E50" s="676" t="e">
        <f t="shared" si="36"/>
        <v>#N/A</v>
      </c>
      <c r="F50" s="676" t="e">
        <f t="shared" si="37"/>
        <v>#N/A</v>
      </c>
      <c r="G50" s="676">
        <f t="shared" ca="1" si="38"/>
        <v>0</v>
      </c>
      <c r="H50" s="676" t="e">
        <f t="shared" ca="1" si="39"/>
        <v>#N/A</v>
      </c>
      <c r="I50" s="676" t="e">
        <f t="shared" ca="1" si="40"/>
        <v>#N/A</v>
      </c>
      <c r="K50" s="676"/>
      <c r="L50" s="676"/>
      <c r="M50" s="676"/>
      <c r="N50" s="676"/>
      <c r="O50" s="676"/>
      <c r="P50" s="676"/>
      <c r="Q50" s="676"/>
      <c r="R50" s="676"/>
      <c r="S50" s="676"/>
      <c r="T50" s="676"/>
      <c r="U50" s="676"/>
      <c r="V50" s="676"/>
      <c r="W50" s="676">
        <f t="shared" si="27"/>
        <v>0</v>
      </c>
      <c r="Y50" s="688">
        <f>IFERROR(VLOOKUP($A50,'[94]1月'!$A:$H,8,0),0)</f>
        <v>0</v>
      </c>
      <c r="Z50" s="688">
        <f>IFERROR(VLOOKUP($A50,'[94]2月'!$A:$H,8,0),0)</f>
        <v>0</v>
      </c>
      <c r="AA50" s="688">
        <f>IFERROR(VLOOKUP($A50,'[94]3月'!$A:$H,8,0),0)</f>
        <v>0</v>
      </c>
      <c r="AB50" s="688">
        <f>IFERROR(VLOOKUP($A50,'[94]4月'!$A:$H,8,0),0)</f>
        <v>0</v>
      </c>
      <c r="AC50" s="688">
        <f>IFERROR(VLOOKUP($A50,'[94]5月'!$A:$H,8,0),0)</f>
        <v>0</v>
      </c>
      <c r="AD50" s="688">
        <f>IFERROR(VLOOKUP($A50,'[94]6月'!$A:$H,8,0),0)</f>
        <v>0</v>
      </c>
      <c r="AE50" s="688">
        <f>IFERROR(VLOOKUP($A50,'[94]7月'!$A:$H,8,0),0)</f>
        <v>0</v>
      </c>
      <c r="AF50" s="688">
        <f>IFERROR(VLOOKUP($A50,'[94]8月'!$A:$H,8,0),0)</f>
        <v>0</v>
      </c>
      <c r="AG50" s="688">
        <f>IFERROR(VLOOKUP($A50,'[94]9月'!$A:$H,8,0),0)</f>
        <v>0</v>
      </c>
      <c r="AH50" s="688">
        <f>IFERROR(VLOOKUP($A50,'[94]10月'!$A:$H,8,0),0)</f>
        <v>0</v>
      </c>
      <c r="AI50" s="688">
        <f>IFERROR(VLOOKUP($A50,'[94]11月'!$A:$H,8,0),0)</f>
        <v>0</v>
      </c>
      <c r="AJ50" s="688">
        <f>IFERROR(VLOOKUP($A50,'[94]12月'!$A:$H,8,0),0)</f>
        <v>0</v>
      </c>
      <c r="AK50" s="688">
        <f t="shared" si="43"/>
        <v>0</v>
      </c>
    </row>
    <row r="51" spans="1:37" ht="13.5" customHeight="1">
      <c r="A51" s="653" t="str">
        <f>'Budget-合并'!A51</f>
        <v>6602.04.04</v>
      </c>
      <c r="B51" s="653" t="str">
        <f>'Budget-合并'!B51</f>
        <v>税务服务费</v>
      </c>
      <c r="C51" s="687">
        <f>'Budget-合并'!C51</f>
        <v>0</v>
      </c>
      <c r="D51" s="676">
        <f t="shared" si="35"/>
        <v>0</v>
      </c>
      <c r="E51" s="676" t="e">
        <f t="shared" si="36"/>
        <v>#N/A</v>
      </c>
      <c r="F51" s="676" t="e">
        <f t="shared" si="37"/>
        <v>#N/A</v>
      </c>
      <c r="G51" s="676">
        <f t="shared" ca="1" si="38"/>
        <v>0</v>
      </c>
      <c r="H51" s="676" t="e">
        <f t="shared" ca="1" si="39"/>
        <v>#N/A</v>
      </c>
      <c r="I51" s="676" t="e">
        <f t="shared" ca="1" si="40"/>
        <v>#N/A</v>
      </c>
      <c r="K51" s="676">
        <f>SUMIFS('Prof. Fee'!AF$3:AF$150,'Prof. Fee'!$B$3:$B$150,$D$1,'Prof. Fee'!$D$3:$D$150,$A51)</f>
        <v>0</v>
      </c>
      <c r="L51" s="676">
        <f>SUMIFS('Prof. Fee'!AG$3:AG$150,'Prof. Fee'!$B$3:$B$150,$D$1,'Prof. Fee'!$D$3:$D$150,$A51)</f>
        <v>0</v>
      </c>
      <c r="M51" s="676">
        <f>SUMIFS('Prof. Fee'!AH$3:AH$150,'Prof. Fee'!$B$3:$B$150,$D$1,'Prof. Fee'!$D$3:$D$150,$A51)</f>
        <v>0</v>
      </c>
      <c r="N51" s="676">
        <f>SUMIFS('Prof. Fee'!AI$3:AI$150,'Prof. Fee'!$B$3:$B$150,$D$1,'Prof. Fee'!$D$3:$D$150,$A51)</f>
        <v>0</v>
      </c>
      <c r="O51" s="676">
        <f>SUMIFS('Prof. Fee'!AJ$3:AJ$150,'Prof. Fee'!$B$3:$B$150,$D$1,'Prof. Fee'!$D$3:$D$150,$A51)</f>
        <v>0</v>
      </c>
      <c r="P51" s="676">
        <f>SUMIFS('Prof. Fee'!AK$3:AK$150,'Prof. Fee'!$B$3:$B$150,$D$1,'Prof. Fee'!$D$3:$D$150,$A51)</f>
        <v>7350</v>
      </c>
      <c r="Q51" s="676">
        <f>SUMIFS('Prof. Fee'!AL$3:AL$150,'Prof. Fee'!$B$3:$B$150,$D$1,'Prof. Fee'!$D$3:$D$150,$A51)</f>
        <v>0</v>
      </c>
      <c r="R51" s="676">
        <f>SUMIFS('Prof. Fee'!AM$3:AM$150,'Prof. Fee'!$B$3:$B$150,$D$1,'Prof. Fee'!$D$3:$D$150,$A51)</f>
        <v>0</v>
      </c>
      <c r="S51" s="676">
        <f>SUMIFS('Prof. Fee'!AN$3:AN$150,'Prof. Fee'!$B$3:$B$150,$D$1,'Prof. Fee'!$D$3:$D$150,$A51)</f>
        <v>0</v>
      </c>
      <c r="T51" s="676">
        <f>SUMIFS('Prof. Fee'!AO$3:AO$150,'Prof. Fee'!$B$3:$B$150,$D$1,'Prof. Fee'!$D$3:$D$150,$A51)</f>
        <v>0</v>
      </c>
      <c r="U51" s="676">
        <f>SUMIFS('Prof. Fee'!AP$3:AP$150,'Prof. Fee'!$B$3:$B$150,$D$1,'Prof. Fee'!$D$3:$D$150,$A51)</f>
        <v>0</v>
      </c>
      <c r="V51" s="676">
        <f>SUMIFS('Prof. Fee'!AQ$3:AQ$150,'Prof. Fee'!$B$3:$B$150,$D$1,'Prof. Fee'!$D$3:$D$150,$A51)</f>
        <v>0</v>
      </c>
      <c r="W51" s="676">
        <f t="shared" si="27"/>
        <v>7350</v>
      </c>
      <c r="Y51" s="688">
        <f>IFERROR(VLOOKUP($A51,'[94]1月'!$A:$H,8,0),0)</f>
        <v>0</v>
      </c>
      <c r="Z51" s="688">
        <f>IFERROR(VLOOKUP($A51,'[94]2月'!$A:$H,8,0),0)</f>
        <v>0</v>
      </c>
      <c r="AA51" s="688">
        <f>IFERROR(VLOOKUP($A51,'[94]3月'!$A:$H,8,0),0)</f>
        <v>0</v>
      </c>
      <c r="AB51" s="688">
        <f>IFERROR(VLOOKUP($A51,'[94]4月'!$A:$H,8,0),0)</f>
        <v>0</v>
      </c>
      <c r="AC51" s="688">
        <f>IFERROR(VLOOKUP($A51,'[94]5月'!$A:$H,8,0),0)</f>
        <v>0</v>
      </c>
      <c r="AD51" s="688">
        <f>IFERROR(VLOOKUP($A51,'[94]6月'!$A:$H,8,0),0)</f>
        <v>6603.77</v>
      </c>
      <c r="AE51" s="688">
        <f>IFERROR(VLOOKUP($A51,'[94]7月'!$A:$H,8,0),0)</f>
        <v>0</v>
      </c>
      <c r="AF51" s="688">
        <f>IFERROR(VLOOKUP($A51,'[94]8月'!$A:$H,8,0),0)</f>
        <v>0</v>
      </c>
      <c r="AG51" s="688">
        <f>IFERROR(VLOOKUP($A51,'[94]9月'!$A:$H,8,0),0)</f>
        <v>42452.83</v>
      </c>
      <c r="AH51" s="688">
        <f>IFERROR(VLOOKUP($A51,'[94]10月'!$A:$H,8,0),0)</f>
        <v>0</v>
      </c>
      <c r="AI51" s="688">
        <f>IFERROR(VLOOKUP($A51,'[94]11月'!$A:$H,8,0),0)</f>
        <v>0</v>
      </c>
      <c r="AJ51" s="688">
        <f>IFERROR(VLOOKUP($A51,'[94]12月'!$A:$H,8,0),0)</f>
        <v>0</v>
      </c>
      <c r="AK51" s="688">
        <f t="shared" si="43"/>
        <v>49056.600000000006</v>
      </c>
    </row>
    <row r="52" spans="1:37" ht="13.5" customHeight="1">
      <c r="A52" s="653" t="str">
        <f>'Budget-合并'!A52</f>
        <v>6602.04.05</v>
      </c>
      <c r="B52" s="653" t="str">
        <f>'Budget-合并'!B52</f>
        <v>招聘服务费</v>
      </c>
      <c r="C52" s="687" t="str">
        <f>'Budget-合并'!C52</f>
        <v>Employment Agency Fee</v>
      </c>
      <c r="D52" s="676">
        <f t="shared" si="35"/>
        <v>0</v>
      </c>
      <c r="E52" s="676" t="e">
        <f t="shared" si="36"/>
        <v>#N/A</v>
      </c>
      <c r="F52" s="676" t="e">
        <f t="shared" si="37"/>
        <v>#N/A</v>
      </c>
      <c r="G52" s="676">
        <f t="shared" ca="1" si="38"/>
        <v>0</v>
      </c>
      <c r="H52" s="676" t="e">
        <f t="shared" ca="1" si="39"/>
        <v>#N/A</v>
      </c>
      <c r="I52" s="676" t="e">
        <f t="shared" ca="1" si="40"/>
        <v>#N/A</v>
      </c>
      <c r="K52" s="676">
        <f>SUMIFS('Prof. Fee'!AF$3:AF$150,'Prof. Fee'!$B$3:$B$150,$D$1,'Prof. Fee'!$D$3:$D$150,$A52)</f>
        <v>0</v>
      </c>
      <c r="L52" s="676">
        <f>SUMIFS('Prof. Fee'!AG$3:AG$150,'Prof. Fee'!$B$3:$B$150,$D$1,'Prof. Fee'!$D$3:$D$150,$A52)</f>
        <v>91080</v>
      </c>
      <c r="M52" s="676">
        <f>SUMIFS('Prof. Fee'!AH$3:AH$150,'Prof. Fee'!$B$3:$B$150,$D$1,'Prof. Fee'!$D$3:$D$150,$A52)</f>
        <v>0</v>
      </c>
      <c r="N52" s="676">
        <f>SUMIFS('Prof. Fee'!AI$3:AI$150,'Prof. Fee'!$B$3:$B$150,$D$1,'Prof. Fee'!$D$3:$D$150,$A52)</f>
        <v>0</v>
      </c>
      <c r="O52" s="676">
        <f>SUMIFS('Prof. Fee'!AJ$3:AJ$150,'Prof. Fee'!$B$3:$B$150,$D$1,'Prof. Fee'!$D$3:$D$150,$A52)</f>
        <v>0</v>
      </c>
      <c r="P52" s="676">
        <f>SUMIFS('Prof. Fee'!AK$3:AK$150,'Prof. Fee'!$B$3:$B$150,$D$1,'Prof. Fee'!$D$3:$D$150,$A52)</f>
        <v>342690</v>
      </c>
      <c r="Q52" s="676">
        <f>SUMIFS('Prof. Fee'!AL$3:AL$150,'Prof. Fee'!$B$3:$B$150,$D$1,'Prof. Fee'!$D$3:$D$150,$A52)</f>
        <v>0</v>
      </c>
      <c r="R52" s="676">
        <f>SUMIFS('Prof. Fee'!AM$3:AM$150,'Prof. Fee'!$B$3:$B$150,$D$1,'Prof. Fee'!$D$3:$D$150,$A52)</f>
        <v>0</v>
      </c>
      <c r="S52" s="676">
        <f>SUMIFS('Prof. Fee'!AN$3:AN$150,'Prof. Fee'!$B$3:$B$150,$D$1,'Prof. Fee'!$D$3:$D$150,$A52)</f>
        <v>0</v>
      </c>
      <c r="T52" s="676">
        <f>SUMIFS('Prof. Fee'!AO$3:AO$150,'Prof. Fee'!$B$3:$B$150,$D$1,'Prof. Fee'!$D$3:$D$150,$A52)</f>
        <v>0</v>
      </c>
      <c r="U52" s="676">
        <f>SUMIFS('Prof. Fee'!AP$3:AP$150,'Prof. Fee'!$B$3:$B$150,$D$1,'Prof. Fee'!$D$3:$D$150,$A52)</f>
        <v>0</v>
      </c>
      <c r="V52" s="676">
        <f>SUMIFS('Prof. Fee'!AQ$3:AQ$150,'Prof. Fee'!$B$3:$B$150,$D$1,'Prof. Fee'!$D$3:$D$150,$A52)</f>
        <v>0</v>
      </c>
      <c r="W52" s="676">
        <f t="shared" si="27"/>
        <v>433770</v>
      </c>
      <c r="Y52" s="688">
        <f>IFERROR(VLOOKUP($A52,'[94]1月'!$A:$H,8,0),0)</f>
        <v>0</v>
      </c>
      <c r="Z52" s="688">
        <f>IFERROR(VLOOKUP($A52,'[94]2月'!$A:$H,8,0),0)</f>
        <v>0</v>
      </c>
      <c r="AA52" s="688">
        <f>IFERROR(VLOOKUP($A52,'[94]3月'!$A:$H,8,0),0)</f>
        <v>0</v>
      </c>
      <c r="AB52" s="688">
        <f>IFERROR(VLOOKUP($A52,'[94]4月'!$A:$H,8,0),0)</f>
        <v>0</v>
      </c>
      <c r="AC52" s="688">
        <f>IFERROR(VLOOKUP($A52,'[94]5月'!$A:$H,8,0),0)</f>
        <v>0</v>
      </c>
      <c r="AD52" s="688">
        <f>IFERROR(VLOOKUP($A52,'[94]6月'!$A:$H,8,0),0)</f>
        <v>0</v>
      </c>
      <c r="AE52" s="688">
        <f>IFERROR(VLOOKUP($A52,'[94]7月'!$A:$H,8,0),0)</f>
        <v>5471.7</v>
      </c>
      <c r="AF52" s="688">
        <f>IFERROR(VLOOKUP($A52,'[94]8月'!$A:$H,8,0),0)</f>
        <v>0</v>
      </c>
      <c r="AG52" s="688">
        <f>IFERROR(VLOOKUP($A52,'[94]9月'!$A:$H,8,0),0)</f>
        <v>0</v>
      </c>
      <c r="AH52" s="688">
        <f>IFERROR(VLOOKUP($A52,'[94]10月'!$A:$H,8,0),0)</f>
        <v>0</v>
      </c>
      <c r="AI52" s="688">
        <f>IFERROR(VLOOKUP($A52,'[94]11月'!$A:$H,8,0),0)</f>
        <v>0</v>
      </c>
      <c r="AJ52" s="688">
        <f>IFERROR(VLOOKUP($A52,'[94]12月'!$A:$H,8,0),0)</f>
        <v>0</v>
      </c>
      <c r="AK52" s="688">
        <f t="shared" si="43"/>
        <v>5471.7</v>
      </c>
    </row>
    <row r="53" spans="1:37" ht="13.5" customHeight="1">
      <c r="A53" s="653" t="str">
        <f>'Budget-合并'!A53</f>
        <v>6602.04.06</v>
      </c>
      <c r="B53" s="653" t="str">
        <f>'Budget-合并'!B53</f>
        <v>法律服务费</v>
      </c>
      <c r="C53" s="687" t="str">
        <f>'Budget-合并'!C53</f>
        <v>Legal Fees</v>
      </c>
      <c r="D53" s="676">
        <f t="shared" si="35"/>
        <v>0</v>
      </c>
      <c r="E53" s="676" t="e">
        <f t="shared" si="36"/>
        <v>#N/A</v>
      </c>
      <c r="F53" s="676" t="e">
        <f t="shared" si="37"/>
        <v>#N/A</v>
      </c>
      <c r="G53" s="676">
        <f t="shared" ca="1" si="38"/>
        <v>0</v>
      </c>
      <c r="H53" s="676" t="e">
        <f t="shared" ca="1" si="39"/>
        <v>#N/A</v>
      </c>
      <c r="I53" s="676" t="e">
        <f t="shared" ca="1" si="40"/>
        <v>#N/A</v>
      </c>
      <c r="K53" s="676">
        <f>SUMIFS('Prof. Fee'!AF$3:AF$150,'Prof. Fee'!$B$3:$B$150,$D$1,'Prof. Fee'!$D$3:$D$150,$A53)</f>
        <v>0</v>
      </c>
      <c r="L53" s="676">
        <f>SUMIFS('Prof. Fee'!AG$3:AG$150,'Prof. Fee'!$B$3:$B$150,$D$1,'Prof. Fee'!$D$3:$D$150,$A53)</f>
        <v>0</v>
      </c>
      <c r="M53" s="676">
        <f>SUMIFS('Prof. Fee'!AH$3:AH$150,'Prof. Fee'!$B$3:$B$150,$D$1,'Prof. Fee'!$D$3:$D$150,$A53)</f>
        <v>0</v>
      </c>
      <c r="N53" s="676">
        <f>SUMIFS('Prof. Fee'!AI$3:AI$150,'Prof. Fee'!$B$3:$B$150,$D$1,'Prof. Fee'!$D$3:$D$150,$A53)</f>
        <v>0</v>
      </c>
      <c r="O53" s="676">
        <f>SUMIFS('Prof. Fee'!AJ$3:AJ$150,'Prof. Fee'!$B$3:$B$150,$D$1,'Prof. Fee'!$D$3:$D$150,$A53)</f>
        <v>0</v>
      </c>
      <c r="P53" s="676">
        <f>SUMIFS('Prof. Fee'!AK$3:AK$150,'Prof. Fee'!$B$3:$B$150,$D$1,'Prof. Fee'!$D$3:$D$150,$A53)</f>
        <v>0</v>
      </c>
      <c r="Q53" s="676">
        <f>SUMIFS('Prof. Fee'!AL$3:AL$150,'Prof. Fee'!$B$3:$B$150,$D$1,'Prof. Fee'!$D$3:$D$150,$A53)</f>
        <v>0</v>
      </c>
      <c r="R53" s="676">
        <f>SUMIFS('Prof. Fee'!AM$3:AM$150,'Prof. Fee'!$B$3:$B$150,$D$1,'Prof. Fee'!$D$3:$D$150,$A53)</f>
        <v>0</v>
      </c>
      <c r="S53" s="676">
        <f>SUMIFS('Prof. Fee'!AN$3:AN$150,'Prof. Fee'!$B$3:$B$150,$D$1,'Prof. Fee'!$D$3:$D$150,$A53)</f>
        <v>150000</v>
      </c>
      <c r="T53" s="676">
        <f>SUMIFS('Prof. Fee'!AO$3:AO$150,'Prof. Fee'!$B$3:$B$150,$D$1,'Prof. Fee'!$D$3:$D$150,$A53)</f>
        <v>0</v>
      </c>
      <c r="U53" s="676">
        <f>SUMIFS('Prof. Fee'!AP$3:AP$150,'Prof. Fee'!$B$3:$B$150,$D$1,'Prof. Fee'!$D$3:$D$150,$A53)</f>
        <v>0</v>
      </c>
      <c r="V53" s="676">
        <f>SUMIFS('Prof. Fee'!AQ$3:AQ$150,'Prof. Fee'!$B$3:$B$150,$D$1,'Prof. Fee'!$D$3:$D$150,$A53)</f>
        <v>0</v>
      </c>
      <c r="W53" s="676">
        <f t="shared" si="27"/>
        <v>150000</v>
      </c>
      <c r="Y53" s="688">
        <f>IFERROR(VLOOKUP($A53,'[94]1月'!$A:$H,8,0),0)</f>
        <v>0</v>
      </c>
      <c r="Z53" s="688">
        <v>28301.89</v>
      </c>
      <c r="AA53" s="688">
        <f>IFERROR(VLOOKUP($A53,'[94]3月'!$A:$H,8,0),0)</f>
        <v>0</v>
      </c>
      <c r="AB53" s="688">
        <f>IFERROR(VLOOKUP($A53,'[94]4月'!$A:$H,8,0),0)</f>
        <v>0</v>
      </c>
      <c r="AC53" s="688">
        <f>IFERROR(VLOOKUP($A53,'[94]5月'!$A:$H,8,0),0)</f>
        <v>0</v>
      </c>
      <c r="AD53" s="688">
        <f>IFERROR(VLOOKUP($A53,'[94]6月'!$A:$H,8,0),0)</f>
        <v>0</v>
      </c>
      <c r="AE53" s="688">
        <f>IFERROR(VLOOKUP($A53,'[94]7月'!$A:$H,8,0),0)</f>
        <v>0</v>
      </c>
      <c r="AF53" s="688">
        <f>IFERROR(VLOOKUP($A53,'[94]8月'!$A:$H,8,0),0)</f>
        <v>0</v>
      </c>
      <c r="AG53" s="688"/>
      <c r="AH53" s="688">
        <f>IFERROR(VLOOKUP($A53,'[94]10月'!$A:$H,8,0),0)</f>
        <v>0</v>
      </c>
      <c r="AI53" s="688">
        <f>IFERROR(VLOOKUP($A53,'[94]11月'!$A:$H,8,0),0)</f>
        <v>0</v>
      </c>
      <c r="AJ53" s="688">
        <f>IFERROR(VLOOKUP($A53,'[94]12月'!$A:$H,8,0),0)</f>
        <v>0</v>
      </c>
      <c r="AK53" s="688">
        <f t="shared" si="43"/>
        <v>28301.89</v>
      </c>
    </row>
    <row r="54" spans="1:37" ht="13.5" customHeight="1">
      <c r="A54" s="653" t="str">
        <f>'Budget-合并'!A54</f>
        <v>6602.04.07</v>
      </c>
      <c r="B54" s="653" t="str">
        <f>'Budget-合并'!B54</f>
        <v>人力资源服务费</v>
      </c>
      <c r="C54" s="687" t="str">
        <f>'Budget-合并'!C54</f>
        <v>Payroll Services</v>
      </c>
      <c r="D54" s="676">
        <f t="shared" si="35"/>
        <v>3400</v>
      </c>
      <c r="E54" s="676" t="e">
        <f t="shared" si="36"/>
        <v>#N/A</v>
      </c>
      <c r="F54" s="676" t="e">
        <f t="shared" si="37"/>
        <v>#N/A</v>
      </c>
      <c r="G54" s="676">
        <f t="shared" ca="1" si="38"/>
        <v>3400</v>
      </c>
      <c r="H54" s="676" t="e">
        <f t="shared" ca="1" si="39"/>
        <v>#N/A</v>
      </c>
      <c r="I54" s="676" t="e">
        <f t="shared" ca="1" si="40"/>
        <v>#N/A</v>
      </c>
      <c r="K54" s="676">
        <f>SUMIFS('Prof. Fee'!AF$3:AF$150,'Prof. Fee'!$B$3:$B$150,$D$1,'Prof. Fee'!$D$3:$D$150,$A54)</f>
        <v>3400</v>
      </c>
      <c r="L54" s="676">
        <f>SUMIFS('Prof. Fee'!AG$3:AG$150,'Prof. Fee'!$B$3:$B$150,$D$1,'Prof. Fee'!$D$3:$D$150,$A54)</f>
        <v>3400</v>
      </c>
      <c r="M54" s="676">
        <f>SUMIFS('Prof. Fee'!AH$3:AH$150,'Prof. Fee'!$B$3:$B$150,$D$1,'Prof. Fee'!$D$3:$D$150,$A54)</f>
        <v>3400</v>
      </c>
      <c r="N54" s="676">
        <f>SUMIFS('Prof. Fee'!AI$3:AI$150,'Prof. Fee'!$B$3:$B$150,$D$1,'Prof. Fee'!$D$3:$D$150,$A54)</f>
        <v>3400</v>
      </c>
      <c r="O54" s="676">
        <f>SUMIFS('Prof. Fee'!AJ$3:AJ$150,'Prof. Fee'!$B$3:$B$150,$D$1,'Prof. Fee'!$D$3:$D$150,$A54)</f>
        <v>3400</v>
      </c>
      <c r="P54" s="676">
        <f>SUMIFS('Prof. Fee'!AK$3:AK$150,'Prof. Fee'!$B$3:$B$150,$D$1,'Prof. Fee'!$D$3:$D$150,$A54)</f>
        <v>3400</v>
      </c>
      <c r="Q54" s="676">
        <f>SUMIFS('Prof. Fee'!AL$3:AL$150,'Prof. Fee'!$B$3:$B$150,$D$1,'Prof. Fee'!$D$3:$D$150,$A54)</f>
        <v>3400</v>
      </c>
      <c r="R54" s="676">
        <f>SUMIFS('Prof. Fee'!AM$3:AM$150,'Prof. Fee'!$B$3:$B$150,$D$1,'Prof. Fee'!$D$3:$D$150,$A54)</f>
        <v>3400</v>
      </c>
      <c r="S54" s="676">
        <f>SUMIFS('Prof. Fee'!AN$3:AN$150,'Prof. Fee'!$B$3:$B$150,$D$1,'Prof. Fee'!$D$3:$D$150,$A54)</f>
        <v>3400</v>
      </c>
      <c r="T54" s="676">
        <f>SUMIFS('Prof. Fee'!AO$3:AO$150,'Prof. Fee'!$B$3:$B$150,$D$1,'Prof. Fee'!$D$3:$D$150,$A54)</f>
        <v>3400</v>
      </c>
      <c r="U54" s="676">
        <f>SUMIFS('Prof. Fee'!AP$3:AP$150,'Prof. Fee'!$B$3:$B$150,$D$1,'Prof. Fee'!$D$3:$D$150,$A54)</f>
        <v>3400</v>
      </c>
      <c r="V54" s="676">
        <f>SUMIFS('Prof. Fee'!AQ$3:AQ$150,'Prof. Fee'!$B$3:$B$150,$D$1,'Prof. Fee'!$D$3:$D$150,$A54)</f>
        <v>3400</v>
      </c>
      <c r="W54" s="676">
        <f t="shared" si="27"/>
        <v>40800</v>
      </c>
      <c r="Y54" s="688">
        <f>IFERROR(VLOOKUP($A54,'[94]1月'!$A:$H,8,0),0)</f>
        <v>1100</v>
      </c>
      <c r="Z54" s="688">
        <f>IFERROR(VLOOKUP($A54,'[94]2月'!$A:$H,8,0),0)</f>
        <v>3600</v>
      </c>
      <c r="AA54" s="688">
        <f>IFERROR(VLOOKUP($A54,'[94]3月'!$A:$H,8,0),0)</f>
        <v>6100</v>
      </c>
      <c r="AB54" s="688">
        <f>IFERROR(VLOOKUP($A54,'[94]4月'!$A:$H,8,0),0)</f>
        <v>3600</v>
      </c>
      <c r="AC54" s="688">
        <f>IFERROR(VLOOKUP($A54,'[94]5月'!$A:$H,8,0),0)</f>
        <v>3900</v>
      </c>
      <c r="AD54" s="688">
        <f>IFERROR(VLOOKUP($A54,'[94]6月'!$A:$H,8,0),0)</f>
        <v>2000</v>
      </c>
      <c r="AE54" s="688">
        <f>IFERROR(VLOOKUP($A54,'[94]7月'!$A:$H,8,0),0)</f>
        <v>2400</v>
      </c>
      <c r="AF54" s="688">
        <f>IFERROR(VLOOKUP($A54,'[94]8月'!$A:$H,8,0),0)</f>
        <v>2400</v>
      </c>
      <c r="AG54" s="688">
        <f>IFERROR(VLOOKUP($A54,'[94]9月'!$A:$H,8,0),0)</f>
        <v>2200</v>
      </c>
      <c r="AH54" s="688">
        <f>IFERROR(VLOOKUP($A54,'[94]10月'!$A:$H,8,0),0)</f>
        <v>2200</v>
      </c>
      <c r="AI54" s="688">
        <f>IFERROR(VLOOKUP($A54,'[94]11月'!$A:$H,8,0),0)</f>
        <v>2200</v>
      </c>
      <c r="AJ54" s="688">
        <f>IFERROR(VLOOKUP($A54,'[94]12月'!$A:$H,8,0),0)</f>
        <v>2200</v>
      </c>
      <c r="AK54" s="688">
        <f t="shared" si="43"/>
        <v>33900</v>
      </c>
    </row>
    <row r="55" spans="1:37" ht="13.5" customHeight="1">
      <c r="A55" s="653" t="str">
        <f>'Budget-合并'!A55</f>
        <v>6602.04.08</v>
      </c>
      <c r="B55" s="653" t="str">
        <f>'Budget-合并'!B55</f>
        <v>背景调查费</v>
      </c>
      <c r="C55" s="687" t="str">
        <f>'Budget-合并'!C55</f>
        <v>Employee Background Check</v>
      </c>
      <c r="D55" s="676">
        <f t="shared" si="35"/>
        <v>612.5</v>
      </c>
      <c r="E55" s="676" t="e">
        <f t="shared" si="36"/>
        <v>#N/A</v>
      </c>
      <c r="F55" s="676" t="e">
        <f t="shared" si="37"/>
        <v>#N/A</v>
      </c>
      <c r="G55" s="676">
        <f t="shared" ca="1" si="38"/>
        <v>612.5</v>
      </c>
      <c r="H55" s="676" t="e">
        <f t="shared" ca="1" si="39"/>
        <v>#N/A</v>
      </c>
      <c r="I55" s="676" t="e">
        <f t="shared" ca="1" si="40"/>
        <v>#N/A</v>
      </c>
      <c r="K55" s="676">
        <f>SUMIFS('Other Exp'!AG$3:AG$196,'Other Exp'!$B$3:$B$196,$D$1,'Other Exp'!$C$3:$C$196,$A55)</f>
        <v>612.5</v>
      </c>
      <c r="L55" s="676">
        <f>SUMIFS('Other Exp'!AH$3:AH$196,'Other Exp'!$B$3:$B$196,$D$1,'Other Exp'!$C$3:$C$196,$A55)</f>
        <v>612.5</v>
      </c>
      <c r="M55" s="676">
        <f>SUMIFS('Other Exp'!AI$3:AI$196,'Other Exp'!$B$3:$B$196,$D$1,'Other Exp'!$C$3:$C$196,$A55)</f>
        <v>612.5</v>
      </c>
      <c r="N55" s="676">
        <f>SUMIFS('Other Exp'!AJ$3:AJ$196,'Other Exp'!$B$3:$B$196,$D$1,'Other Exp'!$C$3:$C$196,$A55)</f>
        <v>612.5</v>
      </c>
      <c r="O55" s="676">
        <f>SUMIFS('Other Exp'!AK$3:AK$196,'Other Exp'!$B$3:$B$196,$D$1,'Other Exp'!$C$3:$C$196,$A55)</f>
        <v>612.5</v>
      </c>
      <c r="P55" s="676">
        <f>SUMIFS('Other Exp'!AL$3:AL$196,'Other Exp'!$B$3:$B$196,$D$1,'Other Exp'!$C$3:$C$196,$A55)</f>
        <v>612.5</v>
      </c>
      <c r="Q55" s="676">
        <f>SUMIFS('Other Exp'!AM$3:AM$196,'Other Exp'!$B$3:$B$196,$D$1,'Other Exp'!$C$3:$C$196,$A55)</f>
        <v>612.5</v>
      </c>
      <c r="R55" s="676">
        <f>SUMIFS('Other Exp'!AN$3:AN$196,'Other Exp'!$B$3:$B$196,$D$1,'Other Exp'!$C$3:$C$196,$A55)</f>
        <v>612.5</v>
      </c>
      <c r="S55" s="676">
        <f>SUMIFS('Other Exp'!AO$3:AO$196,'Other Exp'!$B$3:$B$196,$D$1,'Other Exp'!$C$3:$C$196,$A55)</f>
        <v>612.5</v>
      </c>
      <c r="T55" s="676">
        <f>SUMIFS('Other Exp'!AP$3:AP$196,'Other Exp'!$B$3:$B$196,$D$1,'Other Exp'!$C$3:$C$196,$A55)</f>
        <v>612.5</v>
      </c>
      <c r="U55" s="676">
        <f>SUMIFS('Other Exp'!AQ$3:AQ$196,'Other Exp'!$B$3:$B$196,$D$1,'Other Exp'!$C$3:$C$196,$A55)</f>
        <v>612.5</v>
      </c>
      <c r="V55" s="676">
        <f>SUMIFS('Other Exp'!AR$3:AR$196,'Other Exp'!$B$3:$B$196,$D$1,'Other Exp'!$C$3:$C$196,$A55)</f>
        <v>612.5</v>
      </c>
      <c r="W55" s="676">
        <f t="shared" si="27"/>
        <v>7350</v>
      </c>
      <c r="Y55" s="688">
        <f>IFERROR(VLOOKUP($A55,'[94]1月'!$A:$H,8,0),0)</f>
        <v>0</v>
      </c>
      <c r="Z55" s="688">
        <f>IFERROR(VLOOKUP($A55,'[94]2月'!$A:$H,8,0),0)</f>
        <v>0</v>
      </c>
      <c r="AA55" s="688">
        <f>IFERROR(VLOOKUP($A55,'[94]3月'!$A:$H,8,0),0)</f>
        <v>0</v>
      </c>
      <c r="AB55" s="688">
        <f>IFERROR(VLOOKUP($A55,'[94]4月'!$A:$H,8,0),0)</f>
        <v>0</v>
      </c>
      <c r="AC55" s="688">
        <f>IFERROR(VLOOKUP($A55,'[94]5月'!$A:$H,8,0),0)</f>
        <v>0</v>
      </c>
      <c r="AD55" s="688">
        <f>IFERROR(VLOOKUP($A55,'[94]6月'!$A:$H,8,0),0)</f>
        <v>1707.55</v>
      </c>
      <c r="AE55" s="688">
        <f>IFERROR(VLOOKUP($A55,'[94]7月'!$A:$H,8,0),0)</f>
        <v>830.19</v>
      </c>
      <c r="AF55" s="688">
        <f>IFERROR(VLOOKUP($A55,'[94]8月'!$A:$H,8,0),0)</f>
        <v>0</v>
      </c>
      <c r="AG55" s="688">
        <f>IFERROR(VLOOKUP($A55,'[94]9月'!$A:$H,8,0),0)</f>
        <v>0</v>
      </c>
      <c r="AH55" s="688">
        <f>IFERROR(VLOOKUP($A55,'[94]10月'!$A:$H,8,0),0)</f>
        <v>0</v>
      </c>
      <c r="AI55" s="688">
        <f>IFERROR(VLOOKUP($A55,'[94]11月'!$A:$H,8,0),0)</f>
        <v>0</v>
      </c>
      <c r="AJ55" s="688">
        <f>IFERROR(VLOOKUP($A55,'[94]12月'!$A:$H,8,0),0)</f>
        <v>0</v>
      </c>
      <c r="AK55" s="688">
        <f t="shared" si="43"/>
        <v>2537.7399999999998</v>
      </c>
    </row>
    <row r="56" spans="1:37" ht="13.5" hidden="1" customHeight="1">
      <c r="A56" s="653" t="str">
        <f>'Budget-合并'!A56</f>
        <v>6602.04.09</v>
      </c>
      <c r="B56" s="653" t="str">
        <f>'Budget-合并'!B56</f>
        <v>翻译服务费</v>
      </c>
      <c r="C56" s="687">
        <f>'Budget-合并'!C56</f>
        <v>0</v>
      </c>
      <c r="D56" s="676">
        <f t="shared" si="35"/>
        <v>0</v>
      </c>
      <c r="E56" s="676" t="e">
        <f t="shared" si="36"/>
        <v>#N/A</v>
      </c>
      <c r="F56" s="676" t="e">
        <f t="shared" si="37"/>
        <v>#N/A</v>
      </c>
      <c r="G56" s="676">
        <f t="shared" ca="1" si="38"/>
        <v>0</v>
      </c>
      <c r="H56" s="676" t="e">
        <f t="shared" ca="1" si="39"/>
        <v>#N/A</v>
      </c>
      <c r="I56" s="676" t="e">
        <f t="shared" ca="1" si="40"/>
        <v>#N/A</v>
      </c>
      <c r="K56" s="676">
        <f>SUMIFS('Prof. Fee'!AF$3:AF$150,'Prof. Fee'!$B$3:$B$150,$D$1,'Prof. Fee'!$D$3:$D$150,$A56)</f>
        <v>0</v>
      </c>
      <c r="L56" s="676">
        <f>SUMIFS('Prof. Fee'!AG$3:AG$150,'Prof. Fee'!$B$3:$B$150,$D$1,'Prof. Fee'!$D$3:$D$150,$A56)</f>
        <v>0</v>
      </c>
      <c r="M56" s="676">
        <f>SUMIFS('Prof. Fee'!AH$3:AH$150,'Prof. Fee'!$B$3:$B$150,$D$1,'Prof. Fee'!$D$3:$D$150,$A56)</f>
        <v>0</v>
      </c>
      <c r="N56" s="676">
        <f>SUMIFS('Prof. Fee'!AI$3:AI$150,'Prof. Fee'!$B$3:$B$150,$D$1,'Prof. Fee'!$D$3:$D$150,$A56)</f>
        <v>0</v>
      </c>
      <c r="O56" s="676">
        <f>SUMIFS('Prof. Fee'!AJ$3:AJ$150,'Prof. Fee'!$B$3:$B$150,$D$1,'Prof. Fee'!$D$3:$D$150,$A56)</f>
        <v>0</v>
      </c>
      <c r="P56" s="676">
        <f>SUMIFS('Prof. Fee'!AK$3:AK$150,'Prof. Fee'!$B$3:$B$150,$D$1,'Prof. Fee'!$D$3:$D$150,$A56)</f>
        <v>0</v>
      </c>
      <c r="Q56" s="676">
        <f>SUMIFS('Prof. Fee'!AL$3:AL$150,'Prof. Fee'!$B$3:$B$150,$D$1,'Prof. Fee'!$D$3:$D$150,$A56)</f>
        <v>0</v>
      </c>
      <c r="R56" s="676">
        <f>SUMIFS('Prof. Fee'!AM$3:AM$150,'Prof. Fee'!$B$3:$B$150,$D$1,'Prof. Fee'!$D$3:$D$150,$A56)</f>
        <v>0</v>
      </c>
      <c r="S56" s="676">
        <f>SUMIFS('Prof. Fee'!AN$3:AN$150,'Prof. Fee'!$B$3:$B$150,$D$1,'Prof. Fee'!$D$3:$D$150,$A56)</f>
        <v>0</v>
      </c>
      <c r="T56" s="676">
        <f>SUMIFS('Prof. Fee'!AO$3:AO$150,'Prof. Fee'!$B$3:$B$150,$D$1,'Prof. Fee'!$D$3:$D$150,$A56)</f>
        <v>0</v>
      </c>
      <c r="U56" s="676">
        <f>SUMIFS('Prof. Fee'!AP$3:AP$150,'Prof. Fee'!$B$3:$B$150,$D$1,'Prof. Fee'!$D$3:$D$150,$A56)</f>
        <v>0</v>
      </c>
      <c r="V56" s="676">
        <f>SUMIFS('Prof. Fee'!AQ$3:AQ$150,'Prof. Fee'!$B$3:$B$150,$D$1,'Prof. Fee'!$D$3:$D$150,$A56)</f>
        <v>0</v>
      </c>
      <c r="W56" s="676">
        <f t="shared" si="27"/>
        <v>0</v>
      </c>
      <c r="Y56" s="688">
        <f>IFERROR(VLOOKUP($A56,'[94]1月'!$A:$H,8,0),0)</f>
        <v>0</v>
      </c>
      <c r="Z56" s="688">
        <f>IFERROR(VLOOKUP($A56,'[94]2月'!$A:$H,8,0),0)</f>
        <v>0</v>
      </c>
      <c r="AA56" s="688">
        <f>IFERROR(VLOOKUP($A56,'[94]3月'!$A:$H,8,0),0)</f>
        <v>0</v>
      </c>
      <c r="AB56" s="688">
        <f>IFERROR(VLOOKUP($A56,'[94]4月'!$A:$H,8,0),0)</f>
        <v>0</v>
      </c>
      <c r="AC56" s="688">
        <f>IFERROR(VLOOKUP($A56,'[94]5月'!$A:$H,8,0),0)</f>
        <v>0</v>
      </c>
      <c r="AD56" s="688">
        <f>IFERROR(VLOOKUP($A56,'[94]6月'!$A:$H,8,0),0)</f>
        <v>0</v>
      </c>
      <c r="AE56" s="688">
        <f>IFERROR(VLOOKUP($A56,'[94]7月'!$A:$H,8,0),0)</f>
        <v>0</v>
      </c>
      <c r="AF56" s="688">
        <f>IFERROR(VLOOKUP($A56,'[94]8月'!$A:$H,8,0),0)</f>
        <v>0</v>
      </c>
      <c r="AG56" s="688">
        <f>IFERROR(VLOOKUP($A56,'[94]9月'!$A:$H,8,0),0)</f>
        <v>0</v>
      </c>
      <c r="AH56" s="688">
        <f>IFERROR(VLOOKUP($A56,'[94]10月'!$A:$H,8,0),0)</f>
        <v>0</v>
      </c>
      <c r="AI56" s="688">
        <f>IFERROR(VLOOKUP($A56,'[94]11月'!$A:$H,8,0),0)</f>
        <v>0</v>
      </c>
      <c r="AJ56" s="688">
        <f>IFERROR(VLOOKUP($A56,'[94]12月'!$A:$H,8,0),0)</f>
        <v>0</v>
      </c>
      <c r="AK56" s="688">
        <f t="shared" si="43"/>
        <v>0</v>
      </c>
    </row>
    <row r="57" spans="1:37" ht="13.5" hidden="1" customHeight="1">
      <c r="A57" s="653" t="str">
        <f>'Budget-合并'!A57</f>
        <v>6602.04.10</v>
      </c>
      <c r="B57" s="653" t="str">
        <f>'Budget-合并'!B57</f>
        <v>评估费</v>
      </c>
      <c r="C57" s="687">
        <f>'Budget-合并'!C57</f>
        <v>0</v>
      </c>
      <c r="D57" s="676">
        <f t="shared" si="35"/>
        <v>0</v>
      </c>
      <c r="E57" s="676" t="e">
        <f t="shared" si="36"/>
        <v>#N/A</v>
      </c>
      <c r="F57" s="676" t="e">
        <f t="shared" si="37"/>
        <v>#N/A</v>
      </c>
      <c r="G57" s="676">
        <f t="shared" ca="1" si="38"/>
        <v>0</v>
      </c>
      <c r="H57" s="676" t="e">
        <f t="shared" ca="1" si="39"/>
        <v>#N/A</v>
      </c>
      <c r="I57" s="676" t="e">
        <f t="shared" ca="1" si="40"/>
        <v>#N/A</v>
      </c>
      <c r="K57" s="676">
        <f>SUMIFS('Prof. Fee'!AF$3:AF$150,'Prof. Fee'!$B$3:$B$150,$D$1,'Prof. Fee'!$D$3:$D$150,$A57)</f>
        <v>0</v>
      </c>
      <c r="L57" s="676">
        <f>SUMIFS('Prof. Fee'!AG$3:AG$150,'Prof. Fee'!$B$3:$B$150,$D$1,'Prof. Fee'!$D$3:$D$150,$A57)</f>
        <v>0</v>
      </c>
      <c r="M57" s="676">
        <f>SUMIFS('Prof. Fee'!AH$3:AH$150,'Prof. Fee'!$B$3:$B$150,$D$1,'Prof. Fee'!$D$3:$D$150,$A57)</f>
        <v>0</v>
      </c>
      <c r="N57" s="676">
        <f>SUMIFS('Prof. Fee'!AI$3:AI$150,'Prof. Fee'!$B$3:$B$150,$D$1,'Prof. Fee'!$D$3:$D$150,$A57)</f>
        <v>0</v>
      </c>
      <c r="O57" s="676">
        <f>SUMIFS('Prof. Fee'!AJ$3:AJ$150,'Prof. Fee'!$B$3:$B$150,$D$1,'Prof. Fee'!$D$3:$D$150,$A57)</f>
        <v>0</v>
      </c>
      <c r="P57" s="676">
        <f>SUMIFS('Prof. Fee'!AK$3:AK$150,'Prof. Fee'!$B$3:$B$150,$D$1,'Prof. Fee'!$D$3:$D$150,$A57)</f>
        <v>0</v>
      </c>
      <c r="Q57" s="676">
        <f>SUMIFS('Prof. Fee'!AL$3:AL$150,'Prof. Fee'!$B$3:$B$150,$D$1,'Prof. Fee'!$D$3:$D$150,$A57)</f>
        <v>0</v>
      </c>
      <c r="R57" s="676">
        <f>SUMIFS('Prof. Fee'!AM$3:AM$150,'Prof. Fee'!$B$3:$B$150,$D$1,'Prof. Fee'!$D$3:$D$150,$A57)</f>
        <v>0</v>
      </c>
      <c r="S57" s="676">
        <f>SUMIFS('Prof. Fee'!AN$3:AN$150,'Prof. Fee'!$B$3:$B$150,$D$1,'Prof. Fee'!$D$3:$D$150,$A57)</f>
        <v>0</v>
      </c>
      <c r="T57" s="676">
        <f>SUMIFS('Prof. Fee'!AO$3:AO$150,'Prof. Fee'!$B$3:$B$150,$D$1,'Prof. Fee'!$D$3:$D$150,$A57)</f>
        <v>0</v>
      </c>
      <c r="U57" s="676">
        <f>SUMIFS('Prof. Fee'!AP$3:AP$150,'Prof. Fee'!$B$3:$B$150,$D$1,'Prof. Fee'!$D$3:$D$150,$A57)</f>
        <v>0</v>
      </c>
      <c r="V57" s="676">
        <f>SUMIFS('Prof. Fee'!AQ$3:AQ$150,'Prof. Fee'!$B$3:$B$150,$D$1,'Prof. Fee'!$D$3:$D$150,$A57)</f>
        <v>0</v>
      </c>
      <c r="W57" s="676">
        <f t="shared" si="27"/>
        <v>0</v>
      </c>
      <c r="Y57" s="688">
        <f>IFERROR(VLOOKUP($A57,'[94]1月'!$A:$H,8,0),0)</f>
        <v>0</v>
      </c>
      <c r="Z57" s="688">
        <f>IFERROR(VLOOKUP($A57,'[94]2月'!$A:$H,8,0),0)</f>
        <v>0</v>
      </c>
      <c r="AA57" s="688">
        <f>IFERROR(VLOOKUP($A57,'[94]3月'!$A:$H,8,0),0)</f>
        <v>0</v>
      </c>
      <c r="AB57" s="688">
        <f>IFERROR(VLOOKUP($A57,'[94]4月'!$A:$H,8,0),0)</f>
        <v>0</v>
      </c>
      <c r="AC57" s="688">
        <f>IFERROR(VLOOKUP($A57,'[94]5月'!$A:$H,8,0),0)</f>
        <v>0</v>
      </c>
      <c r="AD57" s="688">
        <f>IFERROR(VLOOKUP($A57,'[94]6月'!$A:$H,8,0),0)</f>
        <v>0</v>
      </c>
      <c r="AE57" s="688">
        <f>IFERROR(VLOOKUP($A57,'[94]7月'!$A:$H,8,0),0)</f>
        <v>0</v>
      </c>
      <c r="AF57" s="688">
        <f>IFERROR(VLOOKUP($A57,'[94]8月'!$A:$H,8,0),0)</f>
        <v>0</v>
      </c>
      <c r="AG57" s="688">
        <f>IFERROR(VLOOKUP($A57,'[94]9月'!$A:$H,8,0),0)</f>
        <v>0</v>
      </c>
      <c r="AH57" s="688">
        <f>IFERROR(VLOOKUP($A57,'[94]10月'!$A:$H,8,0),0)</f>
        <v>0</v>
      </c>
      <c r="AI57" s="688">
        <f>IFERROR(VLOOKUP($A57,'[94]11月'!$A:$H,8,0),0)</f>
        <v>0</v>
      </c>
      <c r="AJ57" s="688">
        <f>IFERROR(VLOOKUP($A57,'[94]12月'!$A:$H,8,0),0)</f>
        <v>0</v>
      </c>
      <c r="AK57" s="688">
        <f t="shared" si="43"/>
        <v>0</v>
      </c>
    </row>
    <row r="58" spans="1:37" ht="13.5" hidden="1" customHeight="1">
      <c r="A58" s="653" t="str">
        <f>'Budget-合并'!A58</f>
        <v>6602.04.11</v>
      </c>
      <c r="B58" s="653" t="str">
        <f>'Budget-合并'!B58</f>
        <v>技术服务费</v>
      </c>
      <c r="C58" s="687">
        <f>'Budget-合并'!C58</f>
        <v>0</v>
      </c>
      <c r="D58" s="676">
        <f t="shared" si="35"/>
        <v>0</v>
      </c>
      <c r="E58" s="676" t="e">
        <f t="shared" si="36"/>
        <v>#N/A</v>
      </c>
      <c r="F58" s="676" t="e">
        <f t="shared" si="37"/>
        <v>#N/A</v>
      </c>
      <c r="G58" s="676">
        <f t="shared" ca="1" si="38"/>
        <v>0</v>
      </c>
      <c r="H58" s="676" t="e">
        <f t="shared" ca="1" si="39"/>
        <v>#N/A</v>
      </c>
      <c r="I58" s="676" t="e">
        <f t="shared" ca="1" si="40"/>
        <v>#N/A</v>
      </c>
      <c r="K58" s="676">
        <f>SUMIFS('Prof. Fee'!AF$3:AF$150,'Prof. Fee'!$B$3:$B$150,$D$1,'Prof. Fee'!$D$3:$D$150,$A58)</f>
        <v>0</v>
      </c>
      <c r="L58" s="676">
        <f>SUMIFS('Prof. Fee'!AG$3:AG$150,'Prof. Fee'!$B$3:$B$150,$D$1,'Prof. Fee'!$D$3:$D$150,$A58)</f>
        <v>0</v>
      </c>
      <c r="M58" s="676">
        <f>SUMIFS('Prof. Fee'!AH$3:AH$150,'Prof. Fee'!$B$3:$B$150,$D$1,'Prof. Fee'!$D$3:$D$150,$A58)</f>
        <v>0</v>
      </c>
      <c r="N58" s="676">
        <f>SUMIFS('Prof. Fee'!AI$3:AI$150,'Prof. Fee'!$B$3:$B$150,$D$1,'Prof. Fee'!$D$3:$D$150,$A58)</f>
        <v>0</v>
      </c>
      <c r="O58" s="676">
        <f>SUMIFS('Prof. Fee'!AJ$3:AJ$150,'Prof. Fee'!$B$3:$B$150,$D$1,'Prof. Fee'!$D$3:$D$150,$A58)</f>
        <v>0</v>
      </c>
      <c r="P58" s="676">
        <f>SUMIFS('Prof. Fee'!AK$3:AK$150,'Prof. Fee'!$B$3:$B$150,$D$1,'Prof. Fee'!$D$3:$D$150,$A58)</f>
        <v>0</v>
      </c>
      <c r="Q58" s="676">
        <f>SUMIFS('Prof. Fee'!AL$3:AL$150,'Prof. Fee'!$B$3:$B$150,$D$1,'Prof. Fee'!$D$3:$D$150,$A58)</f>
        <v>0</v>
      </c>
      <c r="R58" s="676">
        <f>SUMIFS('Prof. Fee'!AM$3:AM$150,'Prof. Fee'!$B$3:$B$150,$D$1,'Prof. Fee'!$D$3:$D$150,$A58)</f>
        <v>0</v>
      </c>
      <c r="S58" s="676">
        <f>SUMIFS('Prof. Fee'!AN$3:AN$150,'Prof. Fee'!$B$3:$B$150,$D$1,'Prof. Fee'!$D$3:$D$150,$A58)</f>
        <v>0</v>
      </c>
      <c r="T58" s="676">
        <f>SUMIFS('Prof. Fee'!AO$3:AO$150,'Prof. Fee'!$B$3:$B$150,$D$1,'Prof. Fee'!$D$3:$D$150,$A58)</f>
        <v>0</v>
      </c>
      <c r="U58" s="676">
        <f>SUMIFS('Prof. Fee'!AP$3:AP$150,'Prof. Fee'!$B$3:$B$150,$D$1,'Prof. Fee'!$D$3:$D$150,$A58)</f>
        <v>0</v>
      </c>
      <c r="V58" s="676">
        <f>SUMIFS('Prof. Fee'!AQ$3:AQ$150,'Prof. Fee'!$B$3:$B$150,$D$1,'Prof. Fee'!$D$3:$D$150,$A58)</f>
        <v>0</v>
      </c>
      <c r="W58" s="676">
        <f t="shared" si="27"/>
        <v>0</v>
      </c>
      <c r="Y58" s="688">
        <f>IFERROR(VLOOKUP($A58,'[94]1月'!$A:$H,8,0),0)</f>
        <v>0</v>
      </c>
      <c r="Z58" s="688">
        <f>IFERROR(VLOOKUP($A58,'[94]2月'!$A:$H,8,0),0)</f>
        <v>0</v>
      </c>
      <c r="AA58" s="688">
        <f>IFERROR(VLOOKUP($A58,'[94]3月'!$A:$H,8,0),0)</f>
        <v>0</v>
      </c>
      <c r="AB58" s="688">
        <f>IFERROR(VLOOKUP($A58,'[94]4月'!$A:$H,8,0),0)</f>
        <v>0</v>
      </c>
      <c r="AC58" s="688">
        <f>IFERROR(VLOOKUP($A58,'[94]5月'!$A:$H,8,0),0)</f>
        <v>0</v>
      </c>
      <c r="AD58" s="688">
        <f>IFERROR(VLOOKUP($A58,'[94]6月'!$A:$H,8,0),0)</f>
        <v>0</v>
      </c>
      <c r="AE58" s="688">
        <v>113207.55</v>
      </c>
      <c r="AF58" s="688">
        <v>37735.85</v>
      </c>
      <c r="AG58" s="688"/>
      <c r="AH58" s="688">
        <f>IFERROR(VLOOKUP($A58,'[94]10月'!$A:$H,8,0),0)</f>
        <v>0</v>
      </c>
      <c r="AI58" s="688">
        <f>IFERROR(VLOOKUP($A58,'[94]11月'!$A:$H,8,0),0)</f>
        <v>0</v>
      </c>
      <c r="AJ58" s="688">
        <f>IFERROR(VLOOKUP($A58,'[94]12月'!$A:$H,8,0),0)</f>
        <v>0</v>
      </c>
      <c r="AK58" s="688">
        <f t="shared" si="43"/>
        <v>150943.4</v>
      </c>
    </row>
    <row r="59" spans="1:37" ht="13.5" hidden="1" customHeight="1">
      <c r="A59" s="653" t="str">
        <f>'Budget-合并'!A59</f>
        <v>6602.04.12</v>
      </c>
      <c r="B59" s="653" t="str">
        <f>'Budget-合并'!B59</f>
        <v>合规支持服务</v>
      </c>
      <c r="C59" s="687" t="str">
        <f>'Budget-合并'!C59</f>
        <v xml:space="preserve">Compliance Support Services </v>
      </c>
      <c r="D59" s="676">
        <f t="shared" si="35"/>
        <v>0</v>
      </c>
      <c r="E59" s="676" t="e">
        <f t="shared" si="36"/>
        <v>#N/A</v>
      </c>
      <c r="F59" s="676" t="e">
        <f t="shared" si="37"/>
        <v>#N/A</v>
      </c>
      <c r="G59" s="676">
        <f t="shared" ca="1" si="38"/>
        <v>0</v>
      </c>
      <c r="H59" s="676" t="e">
        <f t="shared" ca="1" si="39"/>
        <v>#N/A</v>
      </c>
      <c r="I59" s="676" t="e">
        <f t="shared" ca="1" si="40"/>
        <v>#N/A</v>
      </c>
      <c r="K59" s="676">
        <f>SUMIFS('Prof. Fee'!AF$3:AF$150,'Prof. Fee'!$B$3:$B$150,$D$1,'Prof. Fee'!$D$3:$D$150,$A59)</f>
        <v>0</v>
      </c>
      <c r="L59" s="676">
        <f>SUMIFS('Prof. Fee'!AG$3:AG$150,'Prof. Fee'!$B$3:$B$150,$D$1,'Prof. Fee'!$D$3:$D$150,$A59)</f>
        <v>0</v>
      </c>
      <c r="M59" s="676">
        <f>SUMIFS('Prof. Fee'!AH$3:AH$150,'Prof. Fee'!$B$3:$B$150,$D$1,'Prof. Fee'!$D$3:$D$150,$A59)</f>
        <v>0</v>
      </c>
      <c r="N59" s="676">
        <f>SUMIFS('Prof. Fee'!AI$3:AI$150,'Prof. Fee'!$B$3:$B$150,$D$1,'Prof. Fee'!$D$3:$D$150,$A59)</f>
        <v>0</v>
      </c>
      <c r="O59" s="676">
        <f>SUMIFS('Prof. Fee'!AJ$3:AJ$150,'Prof. Fee'!$B$3:$B$150,$D$1,'Prof. Fee'!$D$3:$D$150,$A59)</f>
        <v>0</v>
      </c>
      <c r="P59" s="676">
        <f>SUMIFS('Prof. Fee'!AK$3:AK$150,'Prof. Fee'!$B$3:$B$150,$D$1,'Prof. Fee'!$D$3:$D$150,$A59)</f>
        <v>0</v>
      </c>
      <c r="Q59" s="676">
        <f>SUMIFS('Prof. Fee'!AL$3:AL$150,'Prof. Fee'!$B$3:$B$150,$D$1,'Prof. Fee'!$D$3:$D$150,$A59)</f>
        <v>0</v>
      </c>
      <c r="R59" s="676">
        <f>SUMIFS('Prof. Fee'!AM$3:AM$150,'Prof. Fee'!$B$3:$B$150,$D$1,'Prof. Fee'!$D$3:$D$150,$A59)</f>
        <v>0</v>
      </c>
      <c r="S59" s="676">
        <f>SUMIFS('Prof. Fee'!AN$3:AN$150,'Prof. Fee'!$B$3:$B$150,$D$1,'Prof. Fee'!$D$3:$D$150,$A59)</f>
        <v>0</v>
      </c>
      <c r="T59" s="676">
        <f>SUMIFS('Prof. Fee'!AO$3:AO$150,'Prof. Fee'!$B$3:$B$150,$D$1,'Prof. Fee'!$D$3:$D$150,$A59)</f>
        <v>0</v>
      </c>
      <c r="U59" s="676">
        <f>SUMIFS('Prof. Fee'!AP$3:AP$150,'Prof. Fee'!$B$3:$B$150,$D$1,'Prof. Fee'!$D$3:$D$150,$A59)</f>
        <v>0</v>
      </c>
      <c r="V59" s="676">
        <f>SUMIFS('Prof. Fee'!AQ$3:AQ$150,'Prof. Fee'!$B$3:$B$150,$D$1,'Prof. Fee'!$D$3:$D$150,$A59)</f>
        <v>0</v>
      </c>
      <c r="W59" s="676">
        <f t="shared" si="27"/>
        <v>0</v>
      </c>
      <c r="Y59" s="688">
        <f>IFERROR(VLOOKUP($A59,'[94]1月'!$A:$H,8,0),0)</f>
        <v>0</v>
      </c>
      <c r="Z59" s="688">
        <f>IFERROR(VLOOKUP($A59,'[94]2月'!$A:$H,8,0),0)</f>
        <v>0</v>
      </c>
      <c r="AA59" s="688">
        <f>IFERROR(VLOOKUP($A59,'[94]3月'!$A:$H,8,0),0)</f>
        <v>0</v>
      </c>
      <c r="AB59" s="688">
        <f>IFERROR(VLOOKUP($A59,'[94]4月'!$A:$H,8,0),0)</f>
        <v>0</v>
      </c>
      <c r="AC59" s="688">
        <f>IFERROR(VLOOKUP($A59,'[94]5月'!$A:$H,8,0),0)</f>
        <v>0</v>
      </c>
      <c r="AD59" s="688">
        <f>IFERROR(VLOOKUP($A59,'[94]6月'!$A:$H,8,0),0)</f>
        <v>0</v>
      </c>
      <c r="AE59" s="688">
        <f>IFERROR(VLOOKUP($A59,'[94]7月'!$A:$H,8,0),0)</f>
        <v>0</v>
      </c>
      <c r="AF59" s="688">
        <f>IFERROR(VLOOKUP($A59,'[94]8月'!$A:$H,8,0),0)</f>
        <v>0</v>
      </c>
      <c r="AG59" s="688">
        <f>IFERROR(VLOOKUP($A59,'[94]9月'!$A:$H,8,0),0)</f>
        <v>0</v>
      </c>
      <c r="AH59" s="688">
        <f>IFERROR(VLOOKUP($A59,'[94]10月'!$A:$H,8,0),0)</f>
        <v>0</v>
      </c>
      <c r="AI59" s="688">
        <f>IFERROR(VLOOKUP($A59,'[94]11月'!$A:$H,8,0),0)</f>
        <v>0</v>
      </c>
      <c r="AJ59" s="688">
        <f>IFERROR(VLOOKUP($A59,'[94]12月'!$A:$H,8,0),0)</f>
        <v>0</v>
      </c>
      <c r="AK59" s="688">
        <f t="shared" si="43"/>
        <v>0</v>
      </c>
    </row>
    <row r="60" spans="1:37" ht="13.5" customHeight="1">
      <c r="A60" s="653" t="str">
        <f>'Budget-合并'!A60</f>
        <v>6602.04.13</v>
      </c>
      <c r="B60" s="653" t="str">
        <f>'Budget-合并'!B60</f>
        <v>咨询费</v>
      </c>
      <c r="C60" s="687" t="str">
        <f>'Budget-合并'!C60</f>
        <v>Consulting fee</v>
      </c>
      <c r="D60" s="676">
        <f t="shared" si="35"/>
        <v>22050</v>
      </c>
      <c r="E60" s="676" t="e">
        <f t="shared" si="36"/>
        <v>#N/A</v>
      </c>
      <c r="F60" s="676" t="e">
        <f t="shared" si="37"/>
        <v>#N/A</v>
      </c>
      <c r="G60" s="676">
        <f t="shared" ca="1" si="38"/>
        <v>22050</v>
      </c>
      <c r="H60" s="676" t="e">
        <f t="shared" ca="1" si="39"/>
        <v>#N/A</v>
      </c>
      <c r="I60" s="676" t="e">
        <f t="shared" ca="1" si="40"/>
        <v>#N/A</v>
      </c>
      <c r="K60" s="676">
        <f>SUMIFS(SPACE!O$3:O$106,SPACE!$A$3:$A$106,$D$1,SPACE!$C$3:$C$106,$A60)</f>
        <v>22050</v>
      </c>
      <c r="L60" s="676">
        <f>SUMIFS(SPACE!P$3:P$106,SPACE!$A$3:$A$106,$D$1,SPACE!$C$3:$C$106,$A60)</f>
        <v>22050</v>
      </c>
      <c r="M60" s="676">
        <f>SUMIFS(SPACE!Q$3:Q$106,SPACE!$A$3:$A$106,$D$1,SPACE!$C$3:$C$106,$A60)</f>
        <v>22050</v>
      </c>
      <c r="N60" s="676">
        <f>SUMIFS(SPACE!R$3:R$106,SPACE!$A$3:$A$106,$D$1,SPACE!$C$3:$C$106,$A60)</f>
        <v>22050</v>
      </c>
      <c r="O60" s="676">
        <f>SUMIFS(SPACE!S$3:S$106,SPACE!$A$3:$A$106,$D$1,SPACE!$C$3:$C$106,$A60)</f>
        <v>22050</v>
      </c>
      <c r="P60" s="676">
        <f>SUMIFS(SPACE!T$3:T$106,SPACE!$A$3:$A$106,$D$1,SPACE!$C$3:$C$106,$A60)</f>
        <v>22050</v>
      </c>
      <c r="Q60" s="676">
        <f>SUMIFS(SPACE!U$3:U$106,SPACE!$A$3:$A$106,$D$1,SPACE!$C$3:$C$106,$A60)</f>
        <v>22050</v>
      </c>
      <c r="R60" s="676">
        <f>SUMIFS(SPACE!V$3:V$106,SPACE!$A$3:$A$106,$D$1,SPACE!$C$3:$C$106,$A60)</f>
        <v>22050</v>
      </c>
      <c r="S60" s="676">
        <f>SUMIFS(SPACE!W$3:W$106,SPACE!$A$3:$A$106,$D$1,SPACE!$C$3:$C$106,$A60)</f>
        <v>22050</v>
      </c>
      <c r="T60" s="676">
        <f>SUMIFS(SPACE!X$3:X$106,SPACE!$A$3:$A$106,$D$1,SPACE!$C$3:$C$106,$A60)</f>
        <v>22050</v>
      </c>
      <c r="U60" s="676">
        <f>SUMIFS(SPACE!Y$3:Y$106,SPACE!$A$3:$A$106,$D$1,SPACE!$C$3:$C$106,$A60)</f>
        <v>22050</v>
      </c>
      <c r="V60" s="676">
        <f>SUMIFS(SPACE!Z$3:Z$106,SPACE!$A$3:$A$106,$D$1,SPACE!$C$3:$C$106,$A60)</f>
        <v>567894.09600000002</v>
      </c>
      <c r="W60" s="676">
        <f t="shared" si="27"/>
        <v>810444.09600000002</v>
      </c>
      <c r="X60" s="652" t="s">
        <v>2550</v>
      </c>
      <c r="Y60" s="688">
        <f>IFERROR(VLOOKUP($A60,'[94]1月'!$A:$H,8,0),0)</f>
        <v>0</v>
      </c>
      <c r="Z60" s="688">
        <f>IFERROR(VLOOKUP($A60,'[94]2月'!$A:$H,8,0),0)</f>
        <v>0</v>
      </c>
      <c r="AA60" s="688">
        <f>IFERROR(VLOOKUP($A60,'[94]3月'!$A:$H,8,0),0)</f>
        <v>0</v>
      </c>
      <c r="AB60" s="688">
        <f>IFERROR(VLOOKUP($A60,'[94]4月'!$A:$H,8,0),0)</f>
        <v>0</v>
      </c>
      <c r="AC60" s="688">
        <f>IFERROR(VLOOKUP($A60,'[94]5月'!$A:$H,8,0),0)</f>
        <v>0</v>
      </c>
      <c r="AD60" s="688">
        <f>IFERROR(VLOOKUP($A60,'[94]6月'!$A:$H,8,0),0)</f>
        <v>0</v>
      </c>
      <c r="AE60" s="688">
        <f>IFERROR(VLOOKUP($A60,'[94]7月'!$A:$H,8,0),0)</f>
        <v>0</v>
      </c>
      <c r="AF60" s="688">
        <f>IFERROR(VLOOKUP($A60,'[94]8月'!$A:$H,8,0),0)</f>
        <v>0</v>
      </c>
      <c r="AG60" s="688">
        <f>IFERROR(VLOOKUP($A60,'[94]9月'!$A:$H,8,0),0)</f>
        <v>0</v>
      </c>
      <c r="AH60" s="688">
        <f>IFERROR(VLOOKUP($A60,'[94]10月'!$A:$H,8,0),0)</f>
        <v>0</v>
      </c>
      <c r="AI60" s="688">
        <f>IFERROR(VLOOKUP($A60,'[94]11月'!$A:$H,8,0),0)</f>
        <v>0</v>
      </c>
      <c r="AJ60" s="688">
        <f>IFERROR(VLOOKUP($A60,'[94]12月'!$A:$H,8,0),0)</f>
        <v>0</v>
      </c>
      <c r="AK60" s="688">
        <f t="shared" si="43"/>
        <v>0</v>
      </c>
    </row>
    <row r="61" spans="1:37" ht="13.5" hidden="1" customHeight="1">
      <c r="A61" s="653" t="str">
        <f>'Budget-合并'!A61</f>
        <v>6602.04.99</v>
      </c>
      <c r="B61" s="653" t="str">
        <f>'Budget-合并'!B61</f>
        <v>其他</v>
      </c>
      <c r="C61" s="687">
        <f>'Budget-合并'!C61</f>
        <v>0</v>
      </c>
      <c r="D61" s="676">
        <f t="shared" si="35"/>
        <v>0</v>
      </c>
      <c r="E61" s="676" t="e">
        <f t="shared" si="36"/>
        <v>#N/A</v>
      </c>
      <c r="F61" s="676" t="e">
        <f t="shared" si="37"/>
        <v>#N/A</v>
      </c>
      <c r="G61" s="676">
        <f t="shared" ca="1" si="38"/>
        <v>0</v>
      </c>
      <c r="H61" s="676" t="e">
        <f t="shared" ca="1" si="39"/>
        <v>#N/A</v>
      </c>
      <c r="I61" s="676" t="e">
        <f t="shared" ca="1" si="40"/>
        <v>#N/A</v>
      </c>
      <c r="K61" s="676">
        <f>SUMIFS('Prof. Fee'!AF$3:AF$150,'Prof. Fee'!$B$3:$B$150,$D$1,'Prof. Fee'!$D$3:$D$150,$A61)</f>
        <v>0</v>
      </c>
      <c r="L61" s="676">
        <f>SUMIFS('Prof. Fee'!AG$3:AG$150,'Prof. Fee'!$B$3:$B$150,$D$1,'Prof. Fee'!$D$3:$D$150,$A61)</f>
        <v>0</v>
      </c>
      <c r="M61" s="676">
        <f>SUMIFS('Prof. Fee'!AH$3:AH$150,'Prof. Fee'!$B$3:$B$150,$D$1,'Prof. Fee'!$D$3:$D$150,$A61)</f>
        <v>0</v>
      </c>
      <c r="N61" s="676">
        <f>SUMIFS('Prof. Fee'!AI$3:AI$150,'Prof. Fee'!$B$3:$B$150,$D$1,'Prof. Fee'!$D$3:$D$150,$A61)</f>
        <v>0</v>
      </c>
      <c r="O61" s="676">
        <f>SUMIFS('Prof. Fee'!AJ$3:AJ$150,'Prof. Fee'!$B$3:$B$150,$D$1,'Prof. Fee'!$D$3:$D$150,$A61)</f>
        <v>0</v>
      </c>
      <c r="P61" s="676">
        <f>SUMIFS('Prof. Fee'!AK$3:AK$150,'Prof. Fee'!$B$3:$B$150,$D$1,'Prof. Fee'!$D$3:$D$150,$A61)</f>
        <v>0</v>
      </c>
      <c r="Q61" s="676">
        <f>SUMIFS('Prof. Fee'!AL$3:AL$150,'Prof. Fee'!$B$3:$B$150,$D$1,'Prof. Fee'!$D$3:$D$150,$A61)</f>
        <v>0</v>
      </c>
      <c r="R61" s="676">
        <f>SUMIFS('Prof. Fee'!AM$3:AM$150,'Prof. Fee'!$B$3:$B$150,$D$1,'Prof. Fee'!$D$3:$D$150,$A61)</f>
        <v>0</v>
      </c>
      <c r="S61" s="676">
        <f>SUMIFS('Prof. Fee'!AN$3:AN$150,'Prof. Fee'!$B$3:$B$150,$D$1,'Prof. Fee'!$D$3:$D$150,$A61)</f>
        <v>0</v>
      </c>
      <c r="T61" s="676">
        <f>SUMIFS('Prof. Fee'!AO$3:AO$150,'Prof. Fee'!$B$3:$B$150,$D$1,'Prof. Fee'!$D$3:$D$150,$A61)</f>
        <v>0</v>
      </c>
      <c r="U61" s="676">
        <f>SUMIFS('Prof. Fee'!AP$3:AP$150,'Prof. Fee'!$B$3:$B$150,$D$1,'Prof. Fee'!$D$3:$D$150,$A61)</f>
        <v>0</v>
      </c>
      <c r="V61" s="676">
        <f>SUMIFS('Prof. Fee'!AQ$3:AQ$150,'Prof. Fee'!$B$3:$B$150,$D$1,'Prof. Fee'!$D$3:$D$150,$A61)</f>
        <v>0</v>
      </c>
      <c r="W61" s="676">
        <f t="shared" si="27"/>
        <v>0</v>
      </c>
      <c r="Y61" s="688">
        <f>IFERROR(VLOOKUP($A61,'[94]1月'!$A:$H,8,0),0)</f>
        <v>0</v>
      </c>
      <c r="Z61" s="688">
        <f>IFERROR(VLOOKUP($A61,'[94]2月'!$A:$H,8,0),0)</f>
        <v>35942.46</v>
      </c>
      <c r="AA61" s="688">
        <f>IFERROR(VLOOKUP($A61,'[94]3月'!$A:$H,8,0),0)</f>
        <v>16981.14</v>
      </c>
      <c r="AB61" s="688">
        <f>IFERROR(VLOOKUP($A61,'[94]4月'!$A:$H,8,0),0)</f>
        <v>16981.14</v>
      </c>
      <c r="AC61" s="688">
        <f>IFERROR(VLOOKUP($A61,'[94]5月'!$A:$H,8,0),0)</f>
        <v>18867.919999999998</v>
      </c>
      <c r="AD61" s="688">
        <f>IFERROR(VLOOKUP($A61,'[94]6月'!$A:$H,8,0),0)</f>
        <v>19811.32</v>
      </c>
      <c r="AE61" s="688">
        <f>IFERROR(VLOOKUP($A61,'[94]7月'!$A:$H,8,0),0)</f>
        <v>19811.32</v>
      </c>
      <c r="AF61" s="688">
        <f>IFERROR(VLOOKUP($A61,'[94]8月'!$A:$H,8,0),0)</f>
        <v>23771.72</v>
      </c>
      <c r="AG61" s="688">
        <f>IFERROR(VLOOKUP($A61,'[94]9月'!$A:$H,8,0),0)</f>
        <v>19811.32</v>
      </c>
      <c r="AH61" s="688">
        <f>IFERROR(VLOOKUP($A61,'[94]10月'!$A:$H,8,0),0)</f>
        <v>19850.93</v>
      </c>
      <c r="AI61" s="688">
        <f>IFERROR(VLOOKUP($A61,'[94]11月'!$A:$H,8,0),0)</f>
        <v>19811.310000000001</v>
      </c>
      <c r="AJ61" s="688">
        <f>IFERROR(VLOOKUP($A61,'[94]12月'!$A:$H,8,0),0)</f>
        <v>19811.32</v>
      </c>
      <c r="AK61" s="688">
        <f t="shared" si="43"/>
        <v>231451.9</v>
      </c>
    </row>
    <row r="62" spans="1:37" ht="13.5" hidden="1" customHeight="1">
      <c r="A62" s="663" t="str">
        <f>'Budget-合并'!A62</f>
        <v>6602.05</v>
      </c>
      <c r="B62" s="663" t="str">
        <f>'Budget-合并'!B62</f>
        <v>占用费</v>
      </c>
      <c r="C62" s="687">
        <f>'Budget-合并'!C62</f>
        <v>0</v>
      </c>
      <c r="D62" s="676">
        <f t="shared" si="35"/>
        <v>0</v>
      </c>
      <c r="E62" s="676" t="e">
        <f t="shared" si="36"/>
        <v>#N/A</v>
      </c>
      <c r="F62" s="676" t="e">
        <f t="shared" si="37"/>
        <v>#N/A</v>
      </c>
      <c r="G62" s="676">
        <f t="shared" ca="1" si="38"/>
        <v>0</v>
      </c>
      <c r="H62" s="676" t="e">
        <f t="shared" ca="1" si="39"/>
        <v>#N/A</v>
      </c>
      <c r="I62" s="676" t="e">
        <f t="shared" ca="1" si="40"/>
        <v>#N/A</v>
      </c>
      <c r="K62" s="676">
        <f t="shared" ref="K62:V62" si="45">SUM(K63,K67:K74)</f>
        <v>0</v>
      </c>
      <c r="L62" s="676">
        <f t="shared" si="45"/>
        <v>0</v>
      </c>
      <c r="M62" s="676">
        <f t="shared" si="45"/>
        <v>0</v>
      </c>
      <c r="N62" s="676">
        <f t="shared" si="45"/>
        <v>0</v>
      </c>
      <c r="O62" s="676">
        <f t="shared" si="45"/>
        <v>0</v>
      </c>
      <c r="P62" s="676">
        <f t="shared" si="45"/>
        <v>0</v>
      </c>
      <c r="Q62" s="676">
        <f t="shared" si="45"/>
        <v>0</v>
      </c>
      <c r="R62" s="676">
        <f t="shared" si="45"/>
        <v>0</v>
      </c>
      <c r="S62" s="676">
        <f t="shared" si="45"/>
        <v>0</v>
      </c>
      <c r="T62" s="676">
        <f t="shared" si="45"/>
        <v>0</v>
      </c>
      <c r="U62" s="676">
        <f t="shared" si="45"/>
        <v>0</v>
      </c>
      <c r="V62" s="676">
        <f t="shared" si="45"/>
        <v>0</v>
      </c>
      <c r="W62" s="676">
        <f t="shared" si="27"/>
        <v>0</v>
      </c>
      <c r="Y62" s="688">
        <f>IFERROR(VLOOKUP($A62,'[94]1月'!$A:$H,8,0),0)</f>
        <v>277145.49</v>
      </c>
      <c r="Z62" s="688">
        <f>IFERROR(VLOOKUP($A62,'[94]2月'!$A:$H,8,0),0)</f>
        <v>-6571.37</v>
      </c>
      <c r="AA62" s="688">
        <f>IFERROR(VLOOKUP($A62,'[94]3月'!$A:$H,8,0),0)</f>
        <v>0</v>
      </c>
      <c r="AB62" s="688">
        <f>IFERROR(VLOOKUP($A62,'[94]4月'!$A:$H,8,0),0)</f>
        <v>-42393.58</v>
      </c>
      <c r="AC62" s="688">
        <f>IFERROR(VLOOKUP($A62,'[94]5月'!$A:$H,8,0),0)</f>
        <v>0</v>
      </c>
      <c r="AD62" s="688">
        <f>IFERROR(VLOOKUP($A62,'[94]6月'!$A:$H,8,0),0)</f>
        <v>0</v>
      </c>
      <c r="AE62" s="688">
        <f>IFERROR(VLOOKUP($A62,'[94]7月'!$A:$H,8,0),0)</f>
        <v>0</v>
      </c>
      <c r="AF62" s="688">
        <f>IFERROR(VLOOKUP($A62,'[94]8月'!$A:$H,8,0),0)</f>
        <v>0</v>
      </c>
      <c r="AG62" s="688">
        <f>IFERROR(VLOOKUP($A62,'[94]9月'!$A:$H,8,0),0)</f>
        <v>0</v>
      </c>
      <c r="AH62" s="688">
        <f>IFERROR(VLOOKUP($A62,'[94]10月'!$A:$H,8,0),0)</f>
        <v>0</v>
      </c>
      <c r="AI62" s="688">
        <f>IFERROR(VLOOKUP($A62,'[94]11月'!$A:$H,8,0),0)</f>
        <v>0</v>
      </c>
      <c r="AJ62" s="688">
        <f>IFERROR(VLOOKUP($A62,'[94]12月'!$A:$H,8,0),0)</f>
        <v>0</v>
      </c>
      <c r="AK62" s="688">
        <f t="shared" si="43"/>
        <v>228180.53999999998</v>
      </c>
    </row>
    <row r="63" spans="1:37" ht="13.5" hidden="1" customHeight="1">
      <c r="A63" s="653" t="str">
        <f>'Budget-合并'!A63</f>
        <v>6602.05.01</v>
      </c>
      <c r="B63" s="653" t="str">
        <f>'Budget-合并'!B63</f>
        <v>办公室租赁费</v>
      </c>
      <c r="C63" s="687">
        <f>'Budget-合并'!C63</f>
        <v>0</v>
      </c>
      <c r="D63" s="676">
        <f t="shared" si="35"/>
        <v>0</v>
      </c>
      <c r="E63" s="676" t="e">
        <f t="shared" si="36"/>
        <v>#N/A</v>
      </c>
      <c r="F63" s="676" t="e">
        <f t="shared" si="37"/>
        <v>#N/A</v>
      </c>
      <c r="G63" s="676">
        <f t="shared" ca="1" si="38"/>
        <v>0</v>
      </c>
      <c r="H63" s="676" t="e">
        <f t="shared" ca="1" si="39"/>
        <v>#N/A</v>
      </c>
      <c r="I63" s="676" t="e">
        <f t="shared" ca="1" si="40"/>
        <v>#N/A</v>
      </c>
      <c r="K63" s="676">
        <f t="shared" ref="K63:V63" si="46">SUM(K64:K66)</f>
        <v>0</v>
      </c>
      <c r="L63" s="676">
        <f t="shared" si="46"/>
        <v>0</v>
      </c>
      <c r="M63" s="676">
        <f t="shared" si="46"/>
        <v>0</v>
      </c>
      <c r="N63" s="676">
        <f t="shared" si="46"/>
        <v>0</v>
      </c>
      <c r="O63" s="676">
        <f t="shared" si="46"/>
        <v>0</v>
      </c>
      <c r="P63" s="676">
        <f t="shared" si="46"/>
        <v>0</v>
      </c>
      <c r="Q63" s="676">
        <f t="shared" si="46"/>
        <v>0</v>
      </c>
      <c r="R63" s="676">
        <f t="shared" si="46"/>
        <v>0</v>
      </c>
      <c r="S63" s="676">
        <f t="shared" si="46"/>
        <v>0</v>
      </c>
      <c r="T63" s="676">
        <f t="shared" si="46"/>
        <v>0</v>
      </c>
      <c r="U63" s="676">
        <f t="shared" si="46"/>
        <v>0</v>
      </c>
      <c r="V63" s="676">
        <f t="shared" si="46"/>
        <v>0</v>
      </c>
      <c r="W63" s="676">
        <f t="shared" si="27"/>
        <v>0</v>
      </c>
      <c r="Y63" s="688">
        <f>IFERROR(VLOOKUP($A63,'[94]1月'!$A:$H,8,0),0)</f>
        <v>0</v>
      </c>
      <c r="Z63" s="688">
        <f>IFERROR(VLOOKUP($A63,'[94]2月'!$A:$H,8,0),0)</f>
        <v>0</v>
      </c>
      <c r="AA63" s="688">
        <f>IFERROR(VLOOKUP($A63,'[94]3月'!$A:$H,8,0),0)</f>
        <v>0</v>
      </c>
      <c r="AB63" s="688">
        <f>IFERROR(VLOOKUP($A63,'[94]4月'!$A:$H,8,0),0)</f>
        <v>0</v>
      </c>
      <c r="AC63" s="688">
        <f>IFERROR(VLOOKUP($A63,'[94]5月'!$A:$H,8,0),0)</f>
        <v>0</v>
      </c>
      <c r="AD63" s="688">
        <f>IFERROR(VLOOKUP($A63,'[94]6月'!$A:$H,8,0),0)</f>
        <v>0</v>
      </c>
      <c r="AE63" s="688">
        <f>IFERROR(VLOOKUP($A63,'[94]7月'!$A:$H,8,0),0)</f>
        <v>0</v>
      </c>
      <c r="AF63" s="688">
        <f>IFERROR(VLOOKUP($A63,'[94]8月'!$A:$H,8,0),0)</f>
        <v>0</v>
      </c>
      <c r="AG63" s="688">
        <f>IFERROR(VLOOKUP($A63,'[94]9月'!$A:$H,8,0),0)</f>
        <v>0</v>
      </c>
      <c r="AH63" s="688">
        <f>IFERROR(VLOOKUP($A63,'[94]10月'!$A:$H,8,0),0)</f>
        <v>0</v>
      </c>
      <c r="AI63" s="688">
        <f>IFERROR(VLOOKUP($A63,'[94]11月'!$A:$H,8,0),0)</f>
        <v>0</v>
      </c>
      <c r="AJ63" s="688">
        <f>IFERROR(VLOOKUP($A63,'[94]12月'!$A:$H,8,0),0)</f>
        <v>0</v>
      </c>
      <c r="AK63" s="688">
        <f t="shared" si="43"/>
        <v>0</v>
      </c>
    </row>
    <row r="64" spans="1:37" ht="13.5" hidden="1" customHeight="1">
      <c r="A64" s="653" t="str">
        <f>'Budget-合并'!A64</f>
        <v>6602.05.01.01</v>
      </c>
      <c r="B64" s="653" t="str">
        <f>'Budget-合并'!B64</f>
        <v>旭智咨询--鼎和大厦1606</v>
      </c>
      <c r="C64" s="687">
        <f>'Budget-合并'!C64</f>
        <v>0</v>
      </c>
      <c r="D64" s="676">
        <f t="shared" si="35"/>
        <v>0</v>
      </c>
      <c r="E64" s="676" t="e">
        <f t="shared" si="36"/>
        <v>#N/A</v>
      </c>
      <c r="F64" s="676" t="e">
        <f t="shared" si="37"/>
        <v>#N/A</v>
      </c>
      <c r="G64" s="676">
        <f t="shared" ca="1" si="38"/>
        <v>0</v>
      </c>
      <c r="H64" s="676" t="e">
        <f t="shared" ca="1" si="39"/>
        <v>#N/A</v>
      </c>
      <c r="I64" s="676" t="e">
        <f t="shared" ca="1" si="40"/>
        <v>#N/A</v>
      </c>
      <c r="K64" s="676"/>
      <c r="L64" s="676"/>
      <c r="M64" s="676"/>
      <c r="N64" s="676"/>
      <c r="O64" s="676"/>
      <c r="P64" s="676"/>
      <c r="Q64" s="676"/>
      <c r="R64" s="676"/>
      <c r="S64" s="676"/>
      <c r="T64" s="676"/>
      <c r="U64" s="676"/>
      <c r="V64" s="676"/>
      <c r="W64" s="676">
        <f t="shared" si="27"/>
        <v>0</v>
      </c>
      <c r="Y64" s="688">
        <f>IFERROR(VLOOKUP($A64,'[94]1月'!$A:$H,8,0),0)</f>
        <v>0</v>
      </c>
      <c r="Z64" s="688">
        <f>IFERROR(VLOOKUP($A64,'[94]2月'!$A:$H,8,0),0)</f>
        <v>0</v>
      </c>
      <c r="AA64" s="688">
        <f>IFERROR(VLOOKUP($A64,'[94]3月'!$A:$H,8,0),0)</f>
        <v>0</v>
      </c>
      <c r="AB64" s="688">
        <f>IFERROR(VLOOKUP($A64,'[94]4月'!$A:$H,8,0),0)</f>
        <v>0</v>
      </c>
      <c r="AC64" s="688">
        <f>IFERROR(VLOOKUP($A64,'[94]5月'!$A:$H,8,0),0)</f>
        <v>0</v>
      </c>
      <c r="AD64" s="688">
        <f>IFERROR(VLOOKUP($A64,'[94]6月'!$A:$H,8,0),0)</f>
        <v>0</v>
      </c>
      <c r="AE64" s="688">
        <f>IFERROR(VLOOKUP($A64,'[94]7月'!$A:$H,8,0),0)</f>
        <v>0</v>
      </c>
      <c r="AF64" s="688">
        <f>IFERROR(VLOOKUP($A64,'[94]8月'!$A:$H,8,0),0)</f>
        <v>0</v>
      </c>
      <c r="AG64" s="688">
        <f>IFERROR(VLOOKUP($A64,'[94]9月'!$A:$H,8,0),0)</f>
        <v>0</v>
      </c>
      <c r="AH64" s="688">
        <f>IFERROR(VLOOKUP($A64,'[94]10月'!$A:$H,8,0),0)</f>
        <v>0</v>
      </c>
      <c r="AI64" s="688">
        <f>IFERROR(VLOOKUP($A64,'[94]11月'!$A:$H,8,0),0)</f>
        <v>0</v>
      </c>
      <c r="AJ64" s="688">
        <f>IFERROR(VLOOKUP($A64,'[94]12月'!$A:$H,8,0),0)</f>
        <v>0</v>
      </c>
      <c r="AK64" s="688">
        <f t="shared" si="43"/>
        <v>0</v>
      </c>
    </row>
    <row r="65" spans="1:37" ht="13.5" hidden="1" customHeight="1">
      <c r="A65" s="653" t="str">
        <f>'Budget-合并'!A65</f>
        <v>6602.05.01.02</v>
      </c>
      <c r="B65" s="653" t="str">
        <f>'Budget-合并'!B65</f>
        <v>广州注册地址403房J015</v>
      </c>
      <c r="C65" s="687">
        <f>'Budget-合并'!C65</f>
        <v>0</v>
      </c>
      <c r="D65" s="676">
        <f t="shared" si="35"/>
        <v>0</v>
      </c>
      <c r="E65" s="676" t="e">
        <f t="shared" si="36"/>
        <v>#N/A</v>
      </c>
      <c r="F65" s="676" t="e">
        <f t="shared" si="37"/>
        <v>#N/A</v>
      </c>
      <c r="G65" s="676">
        <f t="shared" ca="1" si="38"/>
        <v>0</v>
      </c>
      <c r="H65" s="676" t="e">
        <f t="shared" ca="1" si="39"/>
        <v>#N/A</v>
      </c>
      <c r="I65" s="676" t="e">
        <f t="shared" ca="1" si="40"/>
        <v>#N/A</v>
      </c>
      <c r="K65" s="676"/>
      <c r="L65" s="676"/>
      <c r="M65" s="676"/>
      <c r="N65" s="676"/>
      <c r="O65" s="676"/>
      <c r="P65" s="676"/>
      <c r="Q65" s="676"/>
      <c r="R65" s="676"/>
      <c r="S65" s="676"/>
      <c r="T65" s="676"/>
      <c r="U65" s="676"/>
      <c r="V65" s="676"/>
      <c r="W65" s="676">
        <f t="shared" si="27"/>
        <v>0</v>
      </c>
      <c r="Y65" s="688">
        <f>IFERROR(VLOOKUP($A65,'[94]1月'!$A:$H,8,0),0)</f>
        <v>0</v>
      </c>
      <c r="Z65" s="688">
        <f>IFERROR(VLOOKUP($A65,'[94]2月'!$A:$H,8,0),0)</f>
        <v>0</v>
      </c>
      <c r="AA65" s="688">
        <f>IFERROR(VLOOKUP($A65,'[94]3月'!$A:$H,8,0),0)</f>
        <v>0</v>
      </c>
      <c r="AB65" s="688">
        <f>IFERROR(VLOOKUP($A65,'[94]4月'!$A:$H,8,0),0)</f>
        <v>0</v>
      </c>
      <c r="AC65" s="688">
        <f>IFERROR(VLOOKUP($A65,'[94]5月'!$A:$H,8,0),0)</f>
        <v>0</v>
      </c>
      <c r="AD65" s="688">
        <f>IFERROR(VLOOKUP($A65,'[94]6月'!$A:$H,8,0),0)</f>
        <v>0</v>
      </c>
      <c r="AE65" s="688">
        <f>IFERROR(VLOOKUP($A65,'[94]7月'!$A:$H,8,0),0)</f>
        <v>0</v>
      </c>
      <c r="AF65" s="688">
        <f>IFERROR(VLOOKUP($A65,'[94]8月'!$A:$H,8,0),0)</f>
        <v>0</v>
      </c>
      <c r="AG65" s="688">
        <f>IFERROR(VLOOKUP($A65,'[94]9月'!$A:$H,8,0),0)</f>
        <v>0</v>
      </c>
      <c r="AH65" s="688">
        <f>IFERROR(VLOOKUP($A65,'[94]10月'!$A:$H,8,0),0)</f>
        <v>0</v>
      </c>
      <c r="AI65" s="688">
        <f>IFERROR(VLOOKUP($A65,'[94]11月'!$A:$H,8,0),0)</f>
        <v>0</v>
      </c>
      <c r="AJ65" s="688">
        <f>IFERROR(VLOOKUP($A65,'[94]12月'!$A:$H,8,0),0)</f>
        <v>0</v>
      </c>
      <c r="AK65" s="688">
        <f t="shared" si="43"/>
        <v>0</v>
      </c>
    </row>
    <row r="66" spans="1:37" ht="13.5" hidden="1" customHeight="1">
      <c r="A66" s="653" t="str">
        <f>'Budget-合并'!A66</f>
        <v>6602.05.01.03</v>
      </c>
      <c r="B66" s="653" t="str">
        <f>'Budget-合并'!B66</f>
        <v>广州注册地址403房J016</v>
      </c>
      <c r="C66" s="687">
        <f>'Budget-合并'!C66</f>
        <v>0</v>
      </c>
      <c r="D66" s="676">
        <f t="shared" si="35"/>
        <v>0</v>
      </c>
      <c r="E66" s="676" t="e">
        <f t="shared" si="36"/>
        <v>#N/A</v>
      </c>
      <c r="F66" s="676" t="e">
        <f t="shared" si="37"/>
        <v>#N/A</v>
      </c>
      <c r="G66" s="676">
        <f t="shared" ca="1" si="38"/>
        <v>0</v>
      </c>
      <c r="H66" s="676" t="e">
        <f t="shared" ca="1" si="39"/>
        <v>#N/A</v>
      </c>
      <c r="I66" s="676" t="e">
        <f t="shared" ca="1" si="40"/>
        <v>#N/A</v>
      </c>
      <c r="K66" s="676"/>
      <c r="L66" s="676"/>
      <c r="M66" s="676"/>
      <c r="N66" s="676"/>
      <c r="O66" s="676"/>
      <c r="P66" s="676"/>
      <c r="Q66" s="676"/>
      <c r="R66" s="676"/>
      <c r="S66" s="676"/>
      <c r="T66" s="676"/>
      <c r="U66" s="676"/>
      <c r="V66" s="676"/>
      <c r="W66" s="676">
        <f t="shared" si="27"/>
        <v>0</v>
      </c>
      <c r="Y66" s="688">
        <f>IFERROR(VLOOKUP($A66,'[94]1月'!$A:$H,8,0),0)</f>
        <v>0</v>
      </c>
      <c r="Z66" s="688">
        <f>IFERROR(VLOOKUP($A66,'[94]2月'!$A:$H,8,0),0)</f>
        <v>0</v>
      </c>
      <c r="AA66" s="688">
        <f>IFERROR(VLOOKUP($A66,'[94]3月'!$A:$H,8,0),0)</f>
        <v>0</v>
      </c>
      <c r="AB66" s="688">
        <f>IFERROR(VLOOKUP($A66,'[94]4月'!$A:$H,8,0),0)</f>
        <v>0</v>
      </c>
      <c r="AC66" s="688">
        <f>IFERROR(VLOOKUP($A66,'[94]5月'!$A:$H,8,0),0)</f>
        <v>0</v>
      </c>
      <c r="AD66" s="688">
        <f>IFERROR(VLOOKUP($A66,'[94]6月'!$A:$H,8,0),0)</f>
        <v>0</v>
      </c>
      <c r="AE66" s="688">
        <f>IFERROR(VLOOKUP($A66,'[94]7月'!$A:$H,8,0),0)</f>
        <v>0</v>
      </c>
      <c r="AF66" s="688">
        <f>IFERROR(VLOOKUP($A66,'[94]8月'!$A:$H,8,0),0)</f>
        <v>0</v>
      </c>
      <c r="AG66" s="688">
        <f>IFERROR(VLOOKUP($A66,'[94]9月'!$A:$H,8,0),0)</f>
        <v>0</v>
      </c>
      <c r="AH66" s="688">
        <f>IFERROR(VLOOKUP($A66,'[94]10月'!$A:$H,8,0),0)</f>
        <v>0</v>
      </c>
      <c r="AI66" s="688">
        <f>IFERROR(VLOOKUP($A66,'[94]11月'!$A:$H,8,0),0)</f>
        <v>0</v>
      </c>
      <c r="AJ66" s="688">
        <f>IFERROR(VLOOKUP($A66,'[94]12月'!$A:$H,8,0),0)</f>
        <v>0</v>
      </c>
      <c r="AK66" s="688">
        <f t="shared" si="43"/>
        <v>0</v>
      </c>
    </row>
    <row r="67" spans="1:37" ht="13.5" hidden="1" customHeight="1">
      <c r="A67" s="653" t="str">
        <f>'Budget-合并'!A67</f>
        <v>6602.05.02</v>
      </c>
      <c r="B67" s="653" t="str">
        <f>'Budget-合并'!B67</f>
        <v>管理费</v>
      </c>
      <c r="C67" s="687" t="str">
        <f>'Budget-合并'!C67</f>
        <v>Management fees</v>
      </c>
      <c r="D67" s="676">
        <f t="shared" si="35"/>
        <v>0</v>
      </c>
      <c r="E67" s="676" t="e">
        <f t="shared" si="36"/>
        <v>#N/A</v>
      </c>
      <c r="F67" s="676" t="e">
        <f t="shared" si="37"/>
        <v>#N/A</v>
      </c>
      <c r="G67" s="676">
        <f t="shared" ca="1" si="38"/>
        <v>0</v>
      </c>
      <c r="H67" s="676" t="e">
        <f t="shared" ca="1" si="39"/>
        <v>#N/A</v>
      </c>
      <c r="I67" s="676" t="e">
        <f t="shared" ca="1" si="40"/>
        <v>#N/A</v>
      </c>
      <c r="K67" s="676">
        <f>SUMIFS(SPACE!O$3:O$106,SPACE!$A$3:$A$106,$D$1,SPACE!$C$3:$C$106,$A67)</f>
        <v>0</v>
      </c>
      <c r="L67" s="676">
        <f>SUMIFS(SPACE!P$3:P$106,SPACE!$A$3:$A$106,$D$1,SPACE!$C$3:$C$106,$A67)</f>
        <v>0</v>
      </c>
      <c r="M67" s="676">
        <f>SUMIFS(SPACE!Q$3:Q$106,SPACE!$A$3:$A$106,$D$1,SPACE!$C$3:$C$106,$A67)</f>
        <v>0</v>
      </c>
      <c r="N67" s="676">
        <f>SUMIFS(SPACE!R$3:R$106,SPACE!$A$3:$A$106,$D$1,SPACE!$C$3:$C$106,$A67)</f>
        <v>0</v>
      </c>
      <c r="O67" s="676">
        <f>SUMIFS(SPACE!S$3:S$106,SPACE!$A$3:$A$106,$D$1,SPACE!$C$3:$C$106,$A67)</f>
        <v>0</v>
      </c>
      <c r="P67" s="676">
        <f>SUMIFS(SPACE!T$3:T$106,SPACE!$A$3:$A$106,$D$1,SPACE!$C$3:$C$106,$A67)</f>
        <v>0</v>
      </c>
      <c r="Q67" s="676">
        <f>SUMIFS(SPACE!U$3:U$106,SPACE!$A$3:$A$106,$D$1,SPACE!$C$3:$C$106,$A67)</f>
        <v>0</v>
      </c>
      <c r="R67" s="676">
        <f>SUMIFS(SPACE!V$3:V$106,SPACE!$A$3:$A$106,$D$1,SPACE!$C$3:$C$106,$A67)</f>
        <v>0</v>
      </c>
      <c r="S67" s="676">
        <f>SUMIFS(SPACE!W$3:W$106,SPACE!$A$3:$A$106,$D$1,SPACE!$C$3:$C$106,$A67)</f>
        <v>0</v>
      </c>
      <c r="T67" s="676">
        <f>SUMIFS(SPACE!X$3:X$106,SPACE!$A$3:$A$106,$D$1,SPACE!$C$3:$C$106,$A67)</f>
        <v>0</v>
      </c>
      <c r="U67" s="676">
        <f>SUMIFS(SPACE!Y$3:Y$106,SPACE!$A$3:$A$106,$D$1,SPACE!$C$3:$C$106,$A67)</f>
        <v>0</v>
      </c>
      <c r="V67" s="676">
        <f>SUMIFS(SPACE!Z$3:Z$106,SPACE!$A$3:$A$106,$D$1,SPACE!$C$3:$C$106,$A67)</f>
        <v>0</v>
      </c>
      <c r="W67" s="676">
        <f t="shared" si="27"/>
        <v>0</v>
      </c>
      <c r="Y67" s="688">
        <f>IFERROR(VLOOKUP($A67,'[94]1月'!$A:$H,8,0),0)</f>
        <v>0</v>
      </c>
      <c r="Z67" s="688">
        <f>IFERROR(VLOOKUP($A67,'[94]2月'!$A:$H,8,0),0)</f>
        <v>0</v>
      </c>
      <c r="AA67" s="688">
        <f>IFERROR(VLOOKUP($A67,'[94]3月'!$A:$H,8,0),0)</f>
        <v>0</v>
      </c>
      <c r="AB67" s="688">
        <f>IFERROR(VLOOKUP($A67,'[94]4月'!$A:$H,8,0),0)</f>
        <v>0</v>
      </c>
      <c r="AC67" s="688">
        <f>IFERROR(VLOOKUP($A67,'[94]5月'!$A:$H,8,0),0)</f>
        <v>0</v>
      </c>
      <c r="AD67" s="688">
        <f>IFERROR(VLOOKUP($A67,'[94]6月'!$A:$H,8,0),0)</f>
        <v>0</v>
      </c>
      <c r="AE67" s="688">
        <f>IFERROR(VLOOKUP($A67,'[94]7月'!$A:$H,8,0),0)</f>
        <v>0</v>
      </c>
      <c r="AF67" s="688">
        <f>IFERROR(VLOOKUP($A67,'[94]8月'!$A:$H,8,0),0)</f>
        <v>0</v>
      </c>
      <c r="AG67" s="688">
        <f>IFERROR(VLOOKUP($A67,'[94]9月'!$A:$H,8,0),0)</f>
        <v>0</v>
      </c>
      <c r="AH67" s="688">
        <f>IFERROR(VLOOKUP($A67,'[94]10月'!$A:$H,8,0),0)</f>
        <v>0</v>
      </c>
      <c r="AI67" s="688">
        <f>IFERROR(VLOOKUP($A67,'[94]11月'!$A:$H,8,0),0)</f>
        <v>0</v>
      </c>
      <c r="AJ67" s="688">
        <f>IFERROR(VLOOKUP($A67,'[94]12月'!$A:$H,8,0),0)</f>
        <v>0</v>
      </c>
      <c r="AK67" s="688">
        <f t="shared" si="43"/>
        <v>0</v>
      </c>
    </row>
    <row r="68" spans="1:37" ht="13.5" hidden="1" customHeight="1">
      <c r="A68" s="653" t="str">
        <f>'Budget-合并'!A68</f>
        <v>6602.05.03</v>
      </c>
      <c r="B68" s="653" t="str">
        <f>'Budget-合并'!B68</f>
        <v>电费</v>
      </c>
      <c r="C68" s="687" t="str">
        <f>'Budget-合并'!C68</f>
        <v>Utilities Electric</v>
      </c>
      <c r="D68" s="676">
        <f t="shared" si="35"/>
        <v>0</v>
      </c>
      <c r="E68" s="676" t="e">
        <f t="shared" si="36"/>
        <v>#N/A</v>
      </c>
      <c r="F68" s="676" t="e">
        <f t="shared" si="37"/>
        <v>#N/A</v>
      </c>
      <c r="G68" s="676">
        <f t="shared" ca="1" si="38"/>
        <v>0</v>
      </c>
      <c r="H68" s="676" t="e">
        <f t="shared" ca="1" si="39"/>
        <v>#N/A</v>
      </c>
      <c r="I68" s="676" t="e">
        <f t="shared" ca="1" si="40"/>
        <v>#N/A</v>
      </c>
      <c r="K68" s="676">
        <f>SUMIFS(SPACE!O$3:O$106,SPACE!$A$3:$A$106,$D$1,SPACE!$C$3:$C$106,$A68)</f>
        <v>0</v>
      </c>
      <c r="L68" s="676">
        <f>SUMIFS(SPACE!P$3:P$106,SPACE!$A$3:$A$106,$D$1,SPACE!$C$3:$C$106,$A68)</f>
        <v>0</v>
      </c>
      <c r="M68" s="676">
        <f>SUMIFS(SPACE!Q$3:Q$106,SPACE!$A$3:$A$106,$D$1,SPACE!$C$3:$C$106,$A68)</f>
        <v>0</v>
      </c>
      <c r="N68" s="676">
        <f>SUMIFS(SPACE!R$3:R$106,SPACE!$A$3:$A$106,$D$1,SPACE!$C$3:$C$106,$A68)</f>
        <v>0</v>
      </c>
      <c r="O68" s="676">
        <f>SUMIFS(SPACE!S$3:S$106,SPACE!$A$3:$A$106,$D$1,SPACE!$C$3:$C$106,$A68)</f>
        <v>0</v>
      </c>
      <c r="P68" s="676">
        <f>SUMIFS(SPACE!T$3:T$106,SPACE!$A$3:$A$106,$D$1,SPACE!$C$3:$C$106,$A68)</f>
        <v>0</v>
      </c>
      <c r="Q68" s="676">
        <f>SUMIFS(SPACE!U$3:U$106,SPACE!$A$3:$A$106,$D$1,SPACE!$C$3:$C$106,$A68)</f>
        <v>0</v>
      </c>
      <c r="R68" s="676">
        <f>SUMIFS(SPACE!V$3:V$106,SPACE!$A$3:$A$106,$D$1,SPACE!$C$3:$C$106,$A68)</f>
        <v>0</v>
      </c>
      <c r="S68" s="676">
        <f>SUMIFS(SPACE!W$3:W$106,SPACE!$A$3:$A$106,$D$1,SPACE!$C$3:$C$106,$A68)</f>
        <v>0</v>
      </c>
      <c r="T68" s="676">
        <f>SUMIFS(SPACE!X$3:X$106,SPACE!$A$3:$A$106,$D$1,SPACE!$C$3:$C$106,$A68)</f>
        <v>0</v>
      </c>
      <c r="U68" s="676">
        <f>SUMIFS(SPACE!Y$3:Y$106,SPACE!$A$3:$A$106,$D$1,SPACE!$C$3:$C$106,$A68)</f>
        <v>0</v>
      </c>
      <c r="V68" s="676">
        <f>SUMIFS(SPACE!Z$3:Z$106,SPACE!$A$3:$A$106,$D$1,SPACE!$C$3:$C$106,$A68)</f>
        <v>0</v>
      </c>
      <c r="W68" s="676">
        <f t="shared" si="27"/>
        <v>0</v>
      </c>
      <c r="Y68" s="688">
        <f>IFERROR(VLOOKUP($A68,'[94]1月'!$A:$H,8,0),0)</f>
        <v>0</v>
      </c>
      <c r="Z68" s="688">
        <f>IFERROR(VLOOKUP($A68,'[94]2月'!$A:$H,8,0),0)</f>
        <v>1339.5</v>
      </c>
      <c r="AA68" s="688">
        <f>IFERROR(VLOOKUP($A68,'[94]3月'!$A:$H,8,0),0)</f>
        <v>0</v>
      </c>
      <c r="AB68" s="688">
        <f>IFERROR(VLOOKUP($A68,'[94]4月'!$A:$H,8,0),0)</f>
        <v>0</v>
      </c>
      <c r="AC68" s="688">
        <f>IFERROR(VLOOKUP($A68,'[94]5月'!$A:$H,8,0),0)</f>
        <v>0</v>
      </c>
      <c r="AD68" s="688">
        <f>IFERROR(VLOOKUP($A68,'[94]6月'!$A:$H,8,0),0)</f>
        <v>0</v>
      </c>
      <c r="AE68" s="688">
        <f>IFERROR(VLOOKUP($A68,'[94]7月'!$A:$H,8,0),0)</f>
        <v>0</v>
      </c>
      <c r="AF68" s="688">
        <f>IFERROR(VLOOKUP($A68,'[94]8月'!$A:$H,8,0),0)</f>
        <v>0</v>
      </c>
      <c r="AG68" s="688">
        <f>IFERROR(VLOOKUP($A68,'[94]9月'!$A:$H,8,0),0)</f>
        <v>0</v>
      </c>
      <c r="AH68" s="688">
        <f>IFERROR(VLOOKUP($A68,'[94]10月'!$A:$H,8,0),0)</f>
        <v>0</v>
      </c>
      <c r="AI68" s="688">
        <f>IFERROR(VLOOKUP($A68,'[94]11月'!$A:$H,8,0),0)</f>
        <v>0</v>
      </c>
      <c r="AJ68" s="688">
        <f>IFERROR(VLOOKUP($A68,'[94]12月'!$A:$H,8,0),0)</f>
        <v>0</v>
      </c>
      <c r="AK68" s="688">
        <f t="shared" si="43"/>
        <v>1339.5</v>
      </c>
    </row>
    <row r="69" spans="1:37" ht="13.5" hidden="1" customHeight="1">
      <c r="A69" s="653" t="str">
        <f>'Budget-合并'!A69</f>
        <v>6602.05.04</v>
      </c>
      <c r="B69" s="653" t="str">
        <f>'Budget-合并'!B69</f>
        <v>水费</v>
      </c>
      <c r="C69" s="687">
        <f>'Budget-合并'!C69</f>
        <v>0</v>
      </c>
      <c r="D69" s="676">
        <f t="shared" si="35"/>
        <v>0</v>
      </c>
      <c r="E69" s="676" t="e">
        <f t="shared" si="36"/>
        <v>#N/A</v>
      </c>
      <c r="F69" s="676" t="e">
        <f t="shared" si="37"/>
        <v>#N/A</v>
      </c>
      <c r="G69" s="676">
        <f t="shared" ca="1" si="38"/>
        <v>0</v>
      </c>
      <c r="H69" s="676" t="e">
        <f t="shared" ca="1" si="39"/>
        <v>#N/A</v>
      </c>
      <c r="I69" s="676" t="e">
        <f t="shared" ca="1" si="40"/>
        <v>#N/A</v>
      </c>
      <c r="K69" s="676">
        <f>SUMIFS(SPACE!O$3:O$106,SPACE!$A$3:$A$106,$D$1,SPACE!$C$3:$C$106,$A69)</f>
        <v>0</v>
      </c>
      <c r="L69" s="676">
        <f>SUMIFS(SPACE!P$3:P$106,SPACE!$A$3:$A$106,$D$1,SPACE!$C$3:$C$106,$A69)</f>
        <v>0</v>
      </c>
      <c r="M69" s="676">
        <f>SUMIFS(SPACE!Q$3:Q$106,SPACE!$A$3:$A$106,$D$1,SPACE!$C$3:$C$106,$A69)</f>
        <v>0</v>
      </c>
      <c r="N69" s="676">
        <f>SUMIFS(SPACE!R$3:R$106,SPACE!$A$3:$A$106,$D$1,SPACE!$C$3:$C$106,$A69)</f>
        <v>0</v>
      </c>
      <c r="O69" s="676">
        <f>SUMIFS(SPACE!S$3:S$106,SPACE!$A$3:$A$106,$D$1,SPACE!$C$3:$C$106,$A69)</f>
        <v>0</v>
      </c>
      <c r="P69" s="676">
        <f>SUMIFS(SPACE!T$3:T$106,SPACE!$A$3:$A$106,$D$1,SPACE!$C$3:$C$106,$A69)</f>
        <v>0</v>
      </c>
      <c r="Q69" s="676">
        <f>SUMIFS(SPACE!U$3:U$106,SPACE!$A$3:$A$106,$D$1,SPACE!$C$3:$C$106,$A69)</f>
        <v>0</v>
      </c>
      <c r="R69" s="676">
        <f>SUMIFS(SPACE!V$3:V$106,SPACE!$A$3:$A$106,$D$1,SPACE!$C$3:$C$106,$A69)</f>
        <v>0</v>
      </c>
      <c r="S69" s="676">
        <f>SUMIFS(SPACE!W$3:W$106,SPACE!$A$3:$A$106,$D$1,SPACE!$C$3:$C$106,$A69)</f>
        <v>0</v>
      </c>
      <c r="T69" s="676">
        <f>SUMIFS(SPACE!X$3:X$106,SPACE!$A$3:$A$106,$D$1,SPACE!$C$3:$C$106,$A69)</f>
        <v>0</v>
      </c>
      <c r="U69" s="676">
        <f>SUMIFS(SPACE!Y$3:Y$106,SPACE!$A$3:$A$106,$D$1,SPACE!$C$3:$C$106,$A69)</f>
        <v>0</v>
      </c>
      <c r="V69" s="676">
        <f>SUMIFS(SPACE!Z$3:Z$106,SPACE!$A$3:$A$106,$D$1,SPACE!$C$3:$C$106,$A69)</f>
        <v>0</v>
      </c>
      <c r="W69" s="676">
        <f t="shared" si="27"/>
        <v>0</v>
      </c>
      <c r="Y69" s="688">
        <f>IFERROR(VLOOKUP($A69,'[94]1月'!$A:$H,8,0),0)</f>
        <v>0</v>
      </c>
      <c r="Z69" s="688">
        <f>IFERROR(VLOOKUP($A69,'[94]2月'!$A:$H,8,0),0)</f>
        <v>0</v>
      </c>
      <c r="AA69" s="688">
        <f>IFERROR(VLOOKUP($A69,'[94]3月'!$A:$H,8,0),0)</f>
        <v>0</v>
      </c>
      <c r="AB69" s="688">
        <f>IFERROR(VLOOKUP($A69,'[94]4月'!$A:$H,8,0),0)</f>
        <v>0</v>
      </c>
      <c r="AC69" s="688">
        <f>IFERROR(VLOOKUP($A69,'[94]5月'!$A:$H,8,0),0)</f>
        <v>0</v>
      </c>
      <c r="AD69" s="688">
        <f>IFERROR(VLOOKUP($A69,'[94]6月'!$A:$H,8,0),0)</f>
        <v>0</v>
      </c>
      <c r="AE69" s="688">
        <f>IFERROR(VLOOKUP($A69,'[94]7月'!$A:$H,8,0),0)</f>
        <v>0</v>
      </c>
      <c r="AF69" s="688">
        <f>IFERROR(VLOOKUP($A69,'[94]8月'!$A:$H,8,0),0)</f>
        <v>0</v>
      </c>
      <c r="AG69" s="688">
        <f>IFERROR(VLOOKUP($A69,'[94]9月'!$A:$H,8,0),0)</f>
        <v>0</v>
      </c>
      <c r="AH69" s="688">
        <f>IFERROR(VLOOKUP($A69,'[94]10月'!$A:$H,8,0),0)</f>
        <v>0</v>
      </c>
      <c r="AI69" s="688">
        <f>IFERROR(VLOOKUP($A69,'[94]11月'!$A:$H,8,0),0)</f>
        <v>0</v>
      </c>
      <c r="AJ69" s="688">
        <f>IFERROR(VLOOKUP($A69,'[94]12月'!$A:$H,8,0),0)</f>
        <v>0</v>
      </c>
      <c r="AK69" s="688">
        <f t="shared" si="43"/>
        <v>0</v>
      </c>
    </row>
    <row r="70" spans="1:37" ht="13.5" hidden="1" customHeight="1">
      <c r="A70" s="653" t="str">
        <f>'Budget-合并'!A70</f>
        <v>6602.05.05</v>
      </c>
      <c r="B70" s="653" t="str">
        <f>'Budget-合并'!B70</f>
        <v>维修费</v>
      </c>
      <c r="C70" s="687" t="str">
        <f>'Budget-合并'!C70</f>
        <v>Office Maintenance &amp; Repair</v>
      </c>
      <c r="D70" s="676">
        <f t="shared" si="35"/>
        <v>0</v>
      </c>
      <c r="E70" s="676" t="e">
        <f t="shared" si="36"/>
        <v>#N/A</v>
      </c>
      <c r="F70" s="676" t="e">
        <f t="shared" si="37"/>
        <v>#N/A</v>
      </c>
      <c r="G70" s="676">
        <f t="shared" ca="1" si="38"/>
        <v>0</v>
      </c>
      <c r="H70" s="676" t="e">
        <f t="shared" ca="1" si="39"/>
        <v>#N/A</v>
      </c>
      <c r="I70" s="676" t="e">
        <f t="shared" ca="1" si="40"/>
        <v>#N/A</v>
      </c>
      <c r="K70" s="676">
        <f>SUMIFS(SPACE!O$3:O$106,SPACE!$A$3:$A$106,$D$1,SPACE!$C$3:$C$106,$A70)</f>
        <v>0</v>
      </c>
      <c r="L70" s="676">
        <f>SUMIFS(SPACE!P$3:P$106,SPACE!$A$3:$A$106,$D$1,SPACE!$C$3:$C$106,$A70)</f>
        <v>0</v>
      </c>
      <c r="M70" s="676">
        <f>SUMIFS(SPACE!Q$3:Q$106,SPACE!$A$3:$A$106,$D$1,SPACE!$C$3:$C$106,$A70)</f>
        <v>0</v>
      </c>
      <c r="N70" s="676">
        <f>SUMIFS(SPACE!R$3:R$106,SPACE!$A$3:$A$106,$D$1,SPACE!$C$3:$C$106,$A70)</f>
        <v>0</v>
      </c>
      <c r="O70" s="676">
        <f>SUMIFS(SPACE!S$3:S$106,SPACE!$A$3:$A$106,$D$1,SPACE!$C$3:$C$106,$A70)</f>
        <v>0</v>
      </c>
      <c r="P70" s="676">
        <f>SUMIFS(SPACE!T$3:T$106,SPACE!$A$3:$A$106,$D$1,SPACE!$C$3:$C$106,$A70)</f>
        <v>0</v>
      </c>
      <c r="Q70" s="676">
        <f>SUMIFS(SPACE!U$3:U$106,SPACE!$A$3:$A$106,$D$1,SPACE!$C$3:$C$106,$A70)</f>
        <v>0</v>
      </c>
      <c r="R70" s="676">
        <f>SUMIFS(SPACE!V$3:V$106,SPACE!$A$3:$A$106,$D$1,SPACE!$C$3:$C$106,$A70)</f>
        <v>0</v>
      </c>
      <c r="S70" s="676">
        <f>SUMIFS(SPACE!W$3:W$106,SPACE!$A$3:$A$106,$D$1,SPACE!$C$3:$C$106,$A70)</f>
        <v>0</v>
      </c>
      <c r="T70" s="676">
        <f>SUMIFS(SPACE!X$3:X$106,SPACE!$A$3:$A$106,$D$1,SPACE!$C$3:$C$106,$A70)</f>
        <v>0</v>
      </c>
      <c r="U70" s="676">
        <f>SUMIFS(SPACE!Y$3:Y$106,SPACE!$A$3:$A$106,$D$1,SPACE!$C$3:$C$106,$A70)</f>
        <v>0</v>
      </c>
      <c r="V70" s="676">
        <f>SUMIFS(SPACE!Z$3:Z$106,SPACE!$A$3:$A$106,$D$1,SPACE!$C$3:$C$106,$A70)</f>
        <v>0</v>
      </c>
      <c r="W70" s="676">
        <f t="shared" si="27"/>
        <v>0</v>
      </c>
      <c r="Y70" s="688">
        <f>IFERROR(VLOOKUP($A70,'[94]1月'!$A:$H,8,0),0)</f>
        <v>0</v>
      </c>
      <c r="Z70" s="688">
        <f>IFERROR(VLOOKUP($A70,'[94]2月'!$A:$H,8,0),0)</f>
        <v>0</v>
      </c>
      <c r="AA70" s="688">
        <f>IFERROR(VLOOKUP($A70,'[94]3月'!$A:$H,8,0),0)</f>
        <v>0</v>
      </c>
      <c r="AB70" s="688">
        <f>IFERROR(VLOOKUP($A70,'[94]4月'!$A:$H,8,0),0)</f>
        <v>0</v>
      </c>
      <c r="AC70" s="688">
        <f>IFERROR(VLOOKUP($A70,'[94]5月'!$A:$H,8,0),0)</f>
        <v>0</v>
      </c>
      <c r="AD70" s="688">
        <f>IFERROR(VLOOKUP($A70,'[94]6月'!$A:$H,8,0),0)</f>
        <v>0</v>
      </c>
      <c r="AE70" s="688">
        <f>IFERROR(VLOOKUP($A70,'[94]7月'!$A:$H,8,0),0)</f>
        <v>0</v>
      </c>
      <c r="AF70" s="688">
        <f>IFERROR(VLOOKUP($A70,'[94]8月'!$A:$H,8,0),0)</f>
        <v>0</v>
      </c>
      <c r="AG70" s="688">
        <f>IFERROR(VLOOKUP($A70,'[94]9月'!$A:$H,8,0),0)</f>
        <v>0</v>
      </c>
      <c r="AH70" s="688">
        <f>IFERROR(VLOOKUP($A70,'[94]10月'!$A:$H,8,0),0)</f>
        <v>0</v>
      </c>
      <c r="AI70" s="688">
        <f>IFERROR(VLOOKUP($A70,'[94]11月'!$A:$H,8,0),0)</f>
        <v>0</v>
      </c>
      <c r="AJ70" s="688">
        <f>IFERROR(VLOOKUP($A70,'[94]12月'!$A:$H,8,0),0)</f>
        <v>0</v>
      </c>
      <c r="AK70" s="688">
        <f t="shared" si="43"/>
        <v>0</v>
      </c>
    </row>
    <row r="71" spans="1:37" ht="13.5" hidden="1" customHeight="1">
      <c r="A71" s="653" t="str">
        <f>'Budget-合并'!A71</f>
        <v>6602.05.06</v>
      </c>
      <c r="B71" s="653" t="str">
        <f>'Budget-合并'!B71</f>
        <v>装修费</v>
      </c>
      <c r="C71" s="687" t="str">
        <f>'Budget-合并'!C71</f>
        <v>Depreciation_Leasehold Improvement</v>
      </c>
      <c r="D71" s="676">
        <f t="shared" si="35"/>
        <v>0</v>
      </c>
      <c r="E71" s="676" t="e">
        <f t="shared" si="36"/>
        <v>#N/A</v>
      </c>
      <c r="F71" s="676" t="e">
        <f t="shared" si="37"/>
        <v>#N/A</v>
      </c>
      <c r="G71" s="676">
        <f t="shared" ca="1" si="38"/>
        <v>0</v>
      </c>
      <c r="H71" s="676" t="e">
        <f t="shared" ca="1" si="39"/>
        <v>#N/A</v>
      </c>
      <c r="I71" s="676" t="e">
        <f t="shared" ca="1" si="40"/>
        <v>#N/A</v>
      </c>
      <c r="K71" s="676">
        <f>SUMIFS(SPACE!O$3:O$106,SPACE!$A$3:$A$106,$D$1,SPACE!$C$3:$C$106,$A71)</f>
        <v>0</v>
      </c>
      <c r="L71" s="676">
        <f>SUMIFS(SPACE!P$3:P$106,SPACE!$A$3:$A$106,$D$1,SPACE!$C$3:$C$106,$A71)</f>
        <v>0</v>
      </c>
      <c r="M71" s="676">
        <f>SUMIFS(SPACE!Q$3:Q$106,SPACE!$A$3:$A$106,$D$1,SPACE!$C$3:$C$106,$A71)</f>
        <v>0</v>
      </c>
      <c r="N71" s="676">
        <f>SUMIFS(SPACE!R$3:R$106,SPACE!$A$3:$A$106,$D$1,SPACE!$C$3:$C$106,$A71)</f>
        <v>0</v>
      </c>
      <c r="O71" s="676">
        <f>SUMIFS(SPACE!S$3:S$106,SPACE!$A$3:$A$106,$D$1,SPACE!$C$3:$C$106,$A71)</f>
        <v>0</v>
      </c>
      <c r="P71" s="676">
        <f>SUMIFS(SPACE!T$3:T$106,SPACE!$A$3:$A$106,$D$1,SPACE!$C$3:$C$106,$A71)</f>
        <v>0</v>
      </c>
      <c r="Q71" s="676">
        <f>SUMIFS(SPACE!U$3:U$106,SPACE!$A$3:$A$106,$D$1,SPACE!$C$3:$C$106,$A71)</f>
        <v>0</v>
      </c>
      <c r="R71" s="676">
        <f>SUMIFS(SPACE!V$3:V$106,SPACE!$A$3:$A$106,$D$1,SPACE!$C$3:$C$106,$A71)</f>
        <v>0</v>
      </c>
      <c r="S71" s="676">
        <f>SUMIFS(SPACE!W$3:W$106,SPACE!$A$3:$A$106,$D$1,SPACE!$C$3:$C$106,$A71)</f>
        <v>0</v>
      </c>
      <c r="T71" s="676">
        <f>SUMIFS(SPACE!X$3:X$106,SPACE!$A$3:$A$106,$D$1,SPACE!$C$3:$C$106,$A71)</f>
        <v>0</v>
      </c>
      <c r="U71" s="676">
        <f>SUMIFS(SPACE!Y$3:Y$106,SPACE!$A$3:$A$106,$D$1,SPACE!$C$3:$C$106,$A71)</f>
        <v>0</v>
      </c>
      <c r="V71" s="676">
        <f>SUMIFS(SPACE!Z$3:Z$106,SPACE!$A$3:$A$106,$D$1,SPACE!$C$3:$C$106,$A71)</f>
        <v>0</v>
      </c>
      <c r="W71" s="676">
        <f t="shared" si="27"/>
        <v>0</v>
      </c>
      <c r="Y71" s="688">
        <f>IFERROR(VLOOKUP($A71,'[94]1月'!$A:$H,8,0),0)</f>
        <v>277145.49</v>
      </c>
      <c r="Z71" s="688">
        <f>IFERROR(VLOOKUP($A71,'[94]2月'!$A:$H,8,0),0)</f>
        <v>0</v>
      </c>
      <c r="AA71" s="688">
        <f>IFERROR(VLOOKUP($A71,'[94]3月'!$A:$H,8,0),0)</f>
        <v>0</v>
      </c>
      <c r="AB71" s="688">
        <f>IFERROR(VLOOKUP($A71,'[94]4月'!$A:$H,8,0),0)</f>
        <v>0</v>
      </c>
      <c r="AC71" s="688">
        <f>IFERROR(VLOOKUP($A71,'[94]5月'!$A:$H,8,0),0)</f>
        <v>0</v>
      </c>
      <c r="AD71" s="688">
        <f>IFERROR(VLOOKUP($A71,'[94]6月'!$A:$H,8,0),0)</f>
        <v>0</v>
      </c>
      <c r="AE71" s="688">
        <f>IFERROR(VLOOKUP($A71,'[94]7月'!$A:$H,8,0),0)</f>
        <v>0</v>
      </c>
      <c r="AF71" s="688">
        <f>IFERROR(VLOOKUP($A71,'[94]8月'!$A:$H,8,0),0)</f>
        <v>0</v>
      </c>
      <c r="AG71" s="688">
        <f>IFERROR(VLOOKUP($A71,'[94]9月'!$A:$H,8,0),0)</f>
        <v>0</v>
      </c>
      <c r="AH71" s="688">
        <f>IFERROR(VLOOKUP($A71,'[94]10月'!$A:$H,8,0),0)</f>
        <v>0</v>
      </c>
      <c r="AI71" s="688">
        <f>IFERROR(VLOOKUP($A71,'[94]11月'!$A:$H,8,0),0)</f>
        <v>0</v>
      </c>
      <c r="AJ71" s="688">
        <f>IFERROR(VLOOKUP($A71,'[94]12月'!$A:$H,8,0),0)</f>
        <v>0</v>
      </c>
      <c r="AK71" s="688">
        <f t="shared" si="43"/>
        <v>277145.49</v>
      </c>
    </row>
    <row r="72" spans="1:37" ht="13.5" hidden="1" customHeight="1">
      <c r="A72" s="653" t="str">
        <f>'Budget-合并'!A72</f>
        <v>6602.05.07</v>
      </c>
      <c r="B72" s="653" t="str">
        <f>'Budget-合并'!B72</f>
        <v>租金及物业费</v>
      </c>
      <c r="C72" s="687">
        <f>'Budget-合并'!C72</f>
        <v>0</v>
      </c>
      <c r="D72" s="676">
        <f t="shared" si="35"/>
        <v>0</v>
      </c>
      <c r="E72" s="676" t="e">
        <f t="shared" si="36"/>
        <v>#N/A</v>
      </c>
      <c r="F72" s="676" t="e">
        <f t="shared" si="37"/>
        <v>#N/A</v>
      </c>
      <c r="G72" s="676">
        <f t="shared" ca="1" si="38"/>
        <v>0</v>
      </c>
      <c r="H72" s="676" t="e">
        <f t="shared" ca="1" si="39"/>
        <v>#N/A</v>
      </c>
      <c r="I72" s="676" t="e">
        <f t="shared" ca="1" si="40"/>
        <v>#N/A</v>
      </c>
      <c r="K72" s="676">
        <f>SUMIFS(SPACE!O$3:O$106,SPACE!$A$3:$A$106,$D$1,SPACE!$C$3:$C$106,$A72)</f>
        <v>0</v>
      </c>
      <c r="L72" s="676">
        <f>SUMIFS(SPACE!P$3:P$106,SPACE!$A$3:$A$106,$D$1,SPACE!$C$3:$C$106,$A72)</f>
        <v>0</v>
      </c>
      <c r="M72" s="676">
        <f>SUMIFS(SPACE!Q$3:Q$106,SPACE!$A$3:$A$106,$D$1,SPACE!$C$3:$C$106,$A72)</f>
        <v>0</v>
      </c>
      <c r="N72" s="676">
        <f>SUMIFS(SPACE!R$3:R$106,SPACE!$A$3:$A$106,$D$1,SPACE!$C$3:$C$106,$A72)</f>
        <v>0</v>
      </c>
      <c r="O72" s="676">
        <f>SUMIFS(SPACE!S$3:S$106,SPACE!$A$3:$A$106,$D$1,SPACE!$C$3:$C$106,$A72)</f>
        <v>0</v>
      </c>
      <c r="P72" s="676">
        <f>SUMIFS(SPACE!T$3:T$106,SPACE!$A$3:$A$106,$D$1,SPACE!$C$3:$C$106,$A72)</f>
        <v>0</v>
      </c>
      <c r="Q72" s="676">
        <f>SUMIFS(SPACE!U$3:U$106,SPACE!$A$3:$A$106,$D$1,SPACE!$C$3:$C$106,$A72)</f>
        <v>0</v>
      </c>
      <c r="R72" s="676">
        <f>SUMIFS(SPACE!V$3:V$106,SPACE!$A$3:$A$106,$D$1,SPACE!$C$3:$C$106,$A72)</f>
        <v>0</v>
      </c>
      <c r="S72" s="676">
        <f>SUMIFS(SPACE!W$3:W$106,SPACE!$A$3:$A$106,$D$1,SPACE!$C$3:$C$106,$A72)</f>
        <v>0</v>
      </c>
      <c r="T72" s="676">
        <f>SUMIFS(SPACE!X$3:X$106,SPACE!$A$3:$A$106,$D$1,SPACE!$C$3:$C$106,$A72)</f>
        <v>0</v>
      </c>
      <c r="U72" s="676">
        <f>SUMIFS(SPACE!Y$3:Y$106,SPACE!$A$3:$A$106,$D$1,SPACE!$C$3:$C$106,$A72)</f>
        <v>0</v>
      </c>
      <c r="V72" s="676">
        <f>SUMIFS(SPACE!Z$3:Z$106,SPACE!$A$3:$A$106,$D$1,SPACE!$C$3:$C$106,$A72)</f>
        <v>0</v>
      </c>
      <c r="W72" s="676">
        <f t="shared" si="27"/>
        <v>0</v>
      </c>
      <c r="Y72" s="688">
        <f>IFERROR(VLOOKUP($A72,'[94]1月'!$A:$H,8,0),0)</f>
        <v>0</v>
      </c>
      <c r="Z72" s="688">
        <f>IFERROR(VLOOKUP($A72,'[94]2月'!$A:$H,8,0),0)</f>
        <v>0</v>
      </c>
      <c r="AA72" s="688">
        <f>IFERROR(VLOOKUP($A72,'[94]3月'!$A:$H,8,0),0)</f>
        <v>0</v>
      </c>
      <c r="AB72" s="688">
        <f>IFERROR(VLOOKUP($A72,'[94]4月'!$A:$H,8,0),0)</f>
        <v>0</v>
      </c>
      <c r="AC72" s="688">
        <f>IFERROR(VLOOKUP($A72,'[94]5月'!$A:$H,8,0),0)</f>
        <v>0</v>
      </c>
      <c r="AD72" s="688">
        <f>IFERROR(VLOOKUP($A72,'[94]6月'!$A:$H,8,0),0)</f>
        <v>0</v>
      </c>
      <c r="AE72" s="688">
        <f>IFERROR(VLOOKUP($A72,'[94]7月'!$A:$H,8,0),0)</f>
        <v>0</v>
      </c>
      <c r="AF72" s="688">
        <f>IFERROR(VLOOKUP($A72,'[94]8月'!$A:$H,8,0),0)</f>
        <v>0</v>
      </c>
      <c r="AG72" s="688">
        <f>IFERROR(VLOOKUP($A72,'[94]9月'!$A:$H,8,0),0)</f>
        <v>0</v>
      </c>
      <c r="AH72" s="688">
        <f>IFERROR(VLOOKUP($A72,'[94]10月'!$A:$H,8,0),0)</f>
        <v>0</v>
      </c>
      <c r="AI72" s="688">
        <f>IFERROR(VLOOKUP($A72,'[94]11月'!$A:$H,8,0),0)</f>
        <v>0</v>
      </c>
      <c r="AJ72" s="688">
        <f>IFERROR(VLOOKUP($A72,'[94]12月'!$A:$H,8,0),0)</f>
        <v>0</v>
      </c>
      <c r="AK72" s="688">
        <f t="shared" si="43"/>
        <v>0</v>
      </c>
    </row>
    <row r="73" spans="1:37" ht="11.1" hidden="1" customHeight="1">
      <c r="A73" s="653" t="str">
        <f>'Budget-合并'!A73</f>
        <v>6602.05.08</v>
      </c>
      <c r="B73" s="653" t="str">
        <f>'Budget-合并'!B73</f>
        <v>集团内分摊</v>
      </c>
      <c r="C73" s="687" t="str">
        <f>'Budget-合并'!C73</f>
        <v>Space Rel X Charge</v>
      </c>
      <c r="D73" s="676">
        <f t="shared" si="35"/>
        <v>0</v>
      </c>
      <c r="E73" s="676" t="e">
        <f t="shared" si="36"/>
        <v>#N/A</v>
      </c>
      <c r="F73" s="676" t="e">
        <f t="shared" si="37"/>
        <v>#N/A</v>
      </c>
      <c r="G73" s="676">
        <f t="shared" ca="1" si="38"/>
        <v>0</v>
      </c>
      <c r="H73" s="676" t="e">
        <f t="shared" ca="1" si="39"/>
        <v>#N/A</v>
      </c>
      <c r="I73" s="676" t="e">
        <f t="shared" ca="1" si="40"/>
        <v>#N/A</v>
      </c>
      <c r="K73" s="676">
        <f>SUMIFS(SPACE!O$3:O$106,SPACE!$A$3:$A$106,$D$1,SPACE!$C$3:$C$106,$A73)</f>
        <v>0</v>
      </c>
      <c r="L73" s="676">
        <f>SUMIFS(SPACE!P$3:P$106,SPACE!$A$3:$A$106,$D$1,SPACE!$C$3:$C$106,$A73)</f>
        <v>0</v>
      </c>
      <c r="M73" s="676">
        <f>SUMIFS(SPACE!Q$3:Q$106,SPACE!$A$3:$A$106,$D$1,SPACE!$C$3:$C$106,$A73)</f>
        <v>0</v>
      </c>
      <c r="N73" s="676">
        <f>SUMIFS(SPACE!R$3:R$106,SPACE!$A$3:$A$106,$D$1,SPACE!$C$3:$C$106,$A73)</f>
        <v>0</v>
      </c>
      <c r="O73" s="676">
        <f>SUMIFS(SPACE!S$3:S$106,SPACE!$A$3:$A$106,$D$1,SPACE!$C$3:$C$106,$A73)</f>
        <v>0</v>
      </c>
      <c r="P73" s="676">
        <f>SUMIFS(SPACE!T$3:T$106,SPACE!$A$3:$A$106,$D$1,SPACE!$C$3:$C$106,$A73)</f>
        <v>0</v>
      </c>
      <c r="Q73" s="676">
        <f>SUMIFS(SPACE!U$3:U$106,SPACE!$A$3:$A$106,$D$1,SPACE!$C$3:$C$106,$A73)</f>
        <v>0</v>
      </c>
      <c r="R73" s="676">
        <f>SUMIFS(SPACE!V$3:V$106,SPACE!$A$3:$A$106,$D$1,SPACE!$C$3:$C$106,$A73)</f>
        <v>0</v>
      </c>
      <c r="S73" s="676">
        <f>SUMIFS(SPACE!W$3:W$106,SPACE!$A$3:$A$106,$D$1,SPACE!$C$3:$C$106,$A73)</f>
        <v>0</v>
      </c>
      <c r="T73" s="676">
        <f>SUMIFS(SPACE!X$3:X$106,SPACE!$A$3:$A$106,$D$1,SPACE!$C$3:$C$106,$A73)</f>
        <v>0</v>
      </c>
      <c r="U73" s="676">
        <f>SUMIFS(SPACE!Y$3:Y$106,SPACE!$A$3:$A$106,$D$1,SPACE!$C$3:$C$106,$A73)</f>
        <v>0</v>
      </c>
      <c r="V73" s="676">
        <f>SUMIFS(SPACE!Z$3:Z$106,SPACE!$A$3:$A$106,$D$1,SPACE!$C$3:$C$106,$A73)</f>
        <v>0</v>
      </c>
      <c r="W73" s="676">
        <f t="shared" si="27"/>
        <v>0</v>
      </c>
      <c r="Y73" s="688">
        <f>IFERROR(VLOOKUP($A73,'[94]1月'!$A:$H,8,0),0)</f>
        <v>0</v>
      </c>
      <c r="Z73" s="688">
        <f>IFERROR(VLOOKUP($A73,'[94]2月'!$A:$H,8,0),0)</f>
        <v>0</v>
      </c>
      <c r="AA73" s="688">
        <f>IFERROR(VLOOKUP($A73,'[94]3月'!$A:$H,8,0),0)</f>
        <v>0</v>
      </c>
      <c r="AB73" s="688">
        <f>IFERROR(VLOOKUP($A73,'[94]4月'!$A:$H,8,0),0)</f>
        <v>0</v>
      </c>
      <c r="AC73" s="688">
        <f>IFERROR(VLOOKUP($A73,'[94]5月'!$A:$H,8,0),0)</f>
        <v>0</v>
      </c>
      <c r="AD73" s="688">
        <f>IFERROR(VLOOKUP($A73,'[94]6月'!$A:$H,8,0),0)</f>
        <v>0</v>
      </c>
      <c r="AE73" s="688">
        <f>IFERROR(VLOOKUP($A73,'[94]7月'!$A:$H,8,0),0)</f>
        <v>0</v>
      </c>
      <c r="AF73" s="688">
        <f>IFERROR(VLOOKUP($A73,'[94]8月'!$A:$H,8,0),0)</f>
        <v>0</v>
      </c>
      <c r="AG73" s="688">
        <f>IFERROR(VLOOKUP($A73,'[94]9月'!$A:$H,8,0),0)</f>
        <v>0</v>
      </c>
      <c r="AH73" s="688">
        <f>IFERROR(VLOOKUP($A73,'[94]10月'!$A:$H,8,0),0)</f>
        <v>0</v>
      </c>
      <c r="AI73" s="688">
        <f>IFERROR(VLOOKUP($A73,'[94]11月'!$A:$H,8,0),0)</f>
        <v>0</v>
      </c>
      <c r="AJ73" s="688">
        <f>IFERROR(VLOOKUP($A73,'[94]12月'!$A:$H,8,0),0)</f>
        <v>0</v>
      </c>
      <c r="AK73" s="688">
        <f t="shared" si="43"/>
        <v>0</v>
      </c>
    </row>
    <row r="74" spans="1:37" ht="11.1" hidden="1" customHeight="1">
      <c r="A74" s="653" t="str">
        <f>'Budget-合并'!A74</f>
        <v>6602.05.99</v>
      </c>
      <c r="B74" s="653" t="str">
        <f>'Budget-合并'!B74</f>
        <v>其他</v>
      </c>
      <c r="C74" s="687">
        <f>'Budget-合并'!C74</f>
        <v>0</v>
      </c>
      <c r="D74" s="676">
        <f t="shared" si="35"/>
        <v>0</v>
      </c>
      <c r="E74" s="676" t="e">
        <f t="shared" si="36"/>
        <v>#N/A</v>
      </c>
      <c r="F74" s="676" t="e">
        <f t="shared" si="37"/>
        <v>#N/A</v>
      </c>
      <c r="G74" s="676">
        <f t="shared" ca="1" si="38"/>
        <v>0</v>
      </c>
      <c r="H74" s="676" t="e">
        <f t="shared" ca="1" si="39"/>
        <v>#N/A</v>
      </c>
      <c r="I74" s="676" t="e">
        <f t="shared" ca="1" si="40"/>
        <v>#N/A</v>
      </c>
      <c r="K74" s="676">
        <f>SUMIFS(SPACE!O$3:O$106,SPACE!$A$3:$A$106,$D$1,SPACE!$C$3:$C$106,$A74)</f>
        <v>0</v>
      </c>
      <c r="L74" s="676">
        <f>SUMIFS(SPACE!P$3:P$106,SPACE!$A$3:$A$106,$D$1,SPACE!$C$3:$C$106,$A74)</f>
        <v>0</v>
      </c>
      <c r="M74" s="676">
        <f>SUMIFS(SPACE!Q$3:Q$106,SPACE!$A$3:$A$106,$D$1,SPACE!$C$3:$C$106,$A74)</f>
        <v>0</v>
      </c>
      <c r="N74" s="676">
        <f>SUMIFS(SPACE!R$3:R$106,SPACE!$A$3:$A$106,$D$1,SPACE!$C$3:$C$106,$A74)</f>
        <v>0</v>
      </c>
      <c r="O74" s="676">
        <f>SUMIFS(SPACE!S$3:S$106,SPACE!$A$3:$A$106,$D$1,SPACE!$C$3:$C$106,$A74)</f>
        <v>0</v>
      </c>
      <c r="P74" s="676">
        <f>SUMIFS(SPACE!T$3:T$106,SPACE!$A$3:$A$106,$D$1,SPACE!$C$3:$C$106,$A74)</f>
        <v>0</v>
      </c>
      <c r="Q74" s="676">
        <f>SUMIFS(SPACE!U$3:U$106,SPACE!$A$3:$A$106,$D$1,SPACE!$C$3:$C$106,$A74)</f>
        <v>0</v>
      </c>
      <c r="R74" s="676">
        <f>SUMIFS(SPACE!V$3:V$106,SPACE!$A$3:$A$106,$D$1,SPACE!$C$3:$C$106,$A74)</f>
        <v>0</v>
      </c>
      <c r="S74" s="676">
        <f>SUMIFS(SPACE!W$3:W$106,SPACE!$A$3:$A$106,$D$1,SPACE!$C$3:$C$106,$A74)</f>
        <v>0</v>
      </c>
      <c r="T74" s="676">
        <f>SUMIFS(SPACE!X$3:X$106,SPACE!$A$3:$A$106,$D$1,SPACE!$C$3:$C$106,$A74)</f>
        <v>0</v>
      </c>
      <c r="U74" s="676">
        <f>SUMIFS(SPACE!Y$3:Y$106,SPACE!$A$3:$A$106,$D$1,SPACE!$C$3:$C$106,$A74)</f>
        <v>0</v>
      </c>
      <c r="V74" s="676">
        <f>SUMIFS(SPACE!Z$3:Z$106,SPACE!$A$3:$A$106,$D$1,SPACE!$C$3:$C$106,$A74)</f>
        <v>0</v>
      </c>
      <c r="W74" s="676">
        <f t="shared" si="27"/>
        <v>0</v>
      </c>
      <c r="Y74" s="688">
        <f>IFERROR(VLOOKUP($A74,'[94]1月'!$A:$H,8,0),0)</f>
        <v>0</v>
      </c>
      <c r="Z74" s="688">
        <f>IFERROR(VLOOKUP($A74,'[94]2月'!$A:$H,8,0),0)</f>
        <v>-7910.87</v>
      </c>
      <c r="AA74" s="688">
        <f>IFERROR(VLOOKUP($A74,'[94]3月'!$A:$H,8,0),0)</f>
        <v>0</v>
      </c>
      <c r="AB74" s="688">
        <f>IFERROR(VLOOKUP($A74,'[94]4月'!$A:$H,8,0),0)</f>
        <v>-42393.58</v>
      </c>
      <c r="AC74" s="688">
        <f>IFERROR(VLOOKUP($A74,'[94]5月'!$A:$H,8,0),0)</f>
        <v>0</v>
      </c>
      <c r="AD74" s="688">
        <f>IFERROR(VLOOKUP($A74,'[94]6月'!$A:$H,8,0),0)</f>
        <v>0</v>
      </c>
      <c r="AE74" s="688">
        <f>IFERROR(VLOOKUP($A74,'[94]7月'!$A:$H,8,0),0)</f>
        <v>0</v>
      </c>
      <c r="AF74" s="688">
        <f>IFERROR(VLOOKUP($A74,'[94]8月'!$A:$H,8,0),0)</f>
        <v>0</v>
      </c>
      <c r="AG74" s="688">
        <f>IFERROR(VLOOKUP($A74,'[94]9月'!$A:$H,8,0),0)</f>
        <v>0</v>
      </c>
      <c r="AH74" s="688">
        <f>IFERROR(VLOOKUP($A74,'[94]10月'!$A:$H,8,0),0)</f>
        <v>0</v>
      </c>
      <c r="AI74" s="688">
        <f>IFERROR(VLOOKUP($A74,'[94]11月'!$A:$H,8,0),0)</f>
        <v>0</v>
      </c>
      <c r="AJ74" s="688">
        <f>IFERROR(VLOOKUP($A74,'[94]12月'!$A:$H,8,0),0)</f>
        <v>0</v>
      </c>
      <c r="AK74" s="688">
        <f t="shared" si="43"/>
        <v>-50304.450000000004</v>
      </c>
    </row>
    <row r="75" spans="1:37" ht="11.1" customHeight="1">
      <c r="A75" s="663" t="str">
        <f>'Budget-合并'!A75</f>
        <v>6602.06</v>
      </c>
      <c r="B75" s="663" t="str">
        <f>'Budget-合并'!B75</f>
        <v>业务招待费</v>
      </c>
      <c r="C75" s="687" t="str">
        <f>'Budget-合并'!C75</f>
        <v>Client Entertainment</v>
      </c>
      <c r="D75" s="676">
        <f t="shared" si="35"/>
        <v>8333.3333333333339</v>
      </c>
      <c r="E75" s="676" t="e">
        <f t="shared" si="36"/>
        <v>#N/A</v>
      </c>
      <c r="F75" s="676" t="e">
        <f t="shared" si="37"/>
        <v>#N/A</v>
      </c>
      <c r="G75" s="676">
        <f t="shared" ca="1" si="38"/>
        <v>8333.3333333333339</v>
      </c>
      <c r="H75" s="676" t="e">
        <f t="shared" ca="1" si="39"/>
        <v>#N/A</v>
      </c>
      <c r="I75" s="676" t="e">
        <f t="shared" ca="1" si="40"/>
        <v>#N/A</v>
      </c>
      <c r="K75" s="676">
        <f>SUM(K76:K78)</f>
        <v>8333.3333333333339</v>
      </c>
      <c r="L75" s="676">
        <f t="shared" ref="L75:V75" si="47">SUM(L76:L78)</f>
        <v>8333.3333333333339</v>
      </c>
      <c r="M75" s="676">
        <f t="shared" si="47"/>
        <v>8333.3333333333339</v>
      </c>
      <c r="N75" s="676">
        <f t="shared" si="47"/>
        <v>8333.3333333333339</v>
      </c>
      <c r="O75" s="676">
        <f t="shared" si="47"/>
        <v>8333.3333333333339</v>
      </c>
      <c r="P75" s="676">
        <f t="shared" si="47"/>
        <v>8333.3333333333339</v>
      </c>
      <c r="Q75" s="676">
        <f t="shared" si="47"/>
        <v>8333.3333333333339</v>
      </c>
      <c r="R75" s="676">
        <f t="shared" si="47"/>
        <v>8333.3333333333339</v>
      </c>
      <c r="S75" s="676">
        <f t="shared" si="47"/>
        <v>8333.3333333333339</v>
      </c>
      <c r="T75" s="676">
        <f t="shared" si="47"/>
        <v>8333.3333333333339</v>
      </c>
      <c r="U75" s="676">
        <f t="shared" si="47"/>
        <v>8333.3333333333339</v>
      </c>
      <c r="V75" s="676">
        <f t="shared" si="47"/>
        <v>8333.3333333333339</v>
      </c>
      <c r="W75" s="676">
        <f t="shared" si="27"/>
        <v>99999.999999999985</v>
      </c>
      <c r="Y75" s="676">
        <f>SUM(Y76:Y78)</f>
        <v>0</v>
      </c>
      <c r="Z75" s="676">
        <f>SUM(Z76:Z78)</f>
        <v>954</v>
      </c>
      <c r="AA75" s="676">
        <f t="shared" ref="AA75:AJ75" si="48">SUM(AA76:AA78)</f>
        <v>-4002</v>
      </c>
      <c r="AB75" s="676">
        <f t="shared" si="48"/>
        <v>0</v>
      </c>
      <c r="AC75" s="676">
        <f t="shared" si="48"/>
        <v>28062.75</v>
      </c>
      <c r="AD75" s="676">
        <f t="shared" si="48"/>
        <v>2626</v>
      </c>
      <c r="AE75" s="676">
        <f t="shared" si="48"/>
        <v>0</v>
      </c>
      <c r="AF75" s="676">
        <f t="shared" si="48"/>
        <v>2587</v>
      </c>
      <c r="AG75" s="676">
        <f t="shared" si="48"/>
        <v>1901</v>
      </c>
      <c r="AH75" s="676">
        <f t="shared" si="48"/>
        <v>0</v>
      </c>
      <c r="AI75" s="676">
        <f t="shared" si="48"/>
        <v>16238</v>
      </c>
      <c r="AJ75" s="676">
        <f t="shared" si="48"/>
        <v>21902.1</v>
      </c>
      <c r="AK75" s="688">
        <f t="shared" si="43"/>
        <v>70268.850000000006</v>
      </c>
    </row>
    <row r="76" spans="1:37" ht="11.1" hidden="1" customHeight="1">
      <c r="A76" s="653">
        <f>'Budget-合并'!A76</f>
        <v>0</v>
      </c>
      <c r="B76" s="653" t="str">
        <f>'Budget-合并'!B76</f>
        <v xml:space="preserve">    公司主体02</v>
      </c>
      <c r="C76" s="687" t="str">
        <f>'Budget-合并'!C76</f>
        <v xml:space="preserve">   Entity</v>
      </c>
      <c r="D76" s="676">
        <f t="shared" si="35"/>
        <v>0</v>
      </c>
      <c r="E76" s="676" t="e">
        <f t="shared" si="36"/>
        <v>#N/A</v>
      </c>
      <c r="F76" s="676" t="e">
        <f t="shared" si="37"/>
        <v>#N/A</v>
      </c>
      <c r="G76" s="676">
        <f t="shared" ca="1" si="38"/>
        <v>0</v>
      </c>
      <c r="H76" s="676" t="e">
        <f t="shared" ca="1" si="39"/>
        <v>#N/A</v>
      </c>
      <c r="I76" s="676" t="e">
        <f t="shared" ca="1" si="40"/>
        <v>#N/A</v>
      </c>
      <c r="K76" s="676"/>
      <c r="L76" s="676"/>
      <c r="M76" s="676"/>
      <c r="N76" s="676"/>
      <c r="O76" s="676"/>
      <c r="P76" s="676"/>
      <c r="Q76" s="676"/>
      <c r="R76" s="676"/>
      <c r="S76" s="676"/>
      <c r="T76" s="676"/>
      <c r="U76" s="676"/>
      <c r="V76" s="676"/>
      <c r="W76" s="676">
        <f t="shared" si="27"/>
        <v>0</v>
      </c>
      <c r="Y76" s="688">
        <f>IFERROR(VLOOKUP($A76,'[94]1月'!$A:$H,8,0),0)</f>
        <v>0</v>
      </c>
      <c r="Z76" s="688">
        <f>IFERROR(VLOOKUP($A76,'[94]2月'!$A:$H,8,0),0)</f>
        <v>0</v>
      </c>
      <c r="AA76" s="688">
        <f>IFERROR(VLOOKUP($A76,'[94]3月'!$A:$H,8,0),0)</f>
        <v>0</v>
      </c>
      <c r="AB76" s="688">
        <f>IFERROR(VLOOKUP($A76,'[94]4月'!$A:$H,8,0),0)</f>
        <v>0</v>
      </c>
      <c r="AC76" s="688">
        <f>IFERROR(VLOOKUP($A76,'[94]5月'!$A:$H,8,0),0)</f>
        <v>0</v>
      </c>
      <c r="AD76" s="688">
        <f>IFERROR(VLOOKUP($A76,'[94]6月'!$A:$H,8,0),0)</f>
        <v>0</v>
      </c>
      <c r="AE76" s="688">
        <f>IFERROR(VLOOKUP($A76,'[94]7月'!$A:$H,8,0),0)</f>
        <v>0</v>
      </c>
      <c r="AF76" s="688">
        <f>IFERROR(VLOOKUP($A76,'[94]8月'!$A:$H,8,0),0)</f>
        <v>0</v>
      </c>
      <c r="AG76" s="688">
        <f>IFERROR(VLOOKUP($A76,'[94]9月'!$A:$H,8,0),0)</f>
        <v>0</v>
      </c>
      <c r="AH76" s="688">
        <f>IFERROR(VLOOKUP($A76,'[94]10月'!$A:$H,8,0),0)</f>
        <v>0</v>
      </c>
      <c r="AI76" s="688">
        <f>IFERROR(VLOOKUP($A76,'[94]11月'!$A:$H,8,0),0)</f>
        <v>0</v>
      </c>
      <c r="AJ76" s="688">
        <f>IFERROR(VLOOKUP($A76,'[94]12月'!$A:$H,8,0),0)</f>
        <v>0</v>
      </c>
      <c r="AK76" s="688">
        <f t="shared" si="43"/>
        <v>0</v>
      </c>
    </row>
    <row r="77" spans="1:37" ht="11.1" customHeight="1">
      <c r="A77" s="692">
        <v>1</v>
      </c>
      <c r="B77" s="653" t="str">
        <f>'Budget-合并'!B77</f>
        <v xml:space="preserve">    旭智富能02</v>
      </c>
      <c r="C77" s="687" t="str">
        <f>'Budget-合并'!C77</f>
        <v xml:space="preserve">   Foxpower</v>
      </c>
      <c r="D77" s="676">
        <f t="shared" si="35"/>
        <v>8333.3333333333339</v>
      </c>
      <c r="E77" s="676" t="e">
        <f t="shared" si="36"/>
        <v>#N/A</v>
      </c>
      <c r="F77" s="676" t="e">
        <f t="shared" si="37"/>
        <v>#N/A</v>
      </c>
      <c r="G77" s="676">
        <f t="shared" ca="1" si="38"/>
        <v>8333.3333333333339</v>
      </c>
      <c r="H77" s="676" t="e">
        <f t="shared" ca="1" si="39"/>
        <v>#N/A</v>
      </c>
      <c r="I77" s="676" t="e">
        <f t="shared" ca="1" si="40"/>
        <v>#N/A</v>
      </c>
      <c r="K77" s="676">
        <f>SUMIFS('T&amp;E'!N$94:N$103,'T&amp;E'!$B$94:$B$103,$D$1,'T&amp;E'!$C$94:$C$103,$A$75)*$A77</f>
        <v>8333.3333333333339</v>
      </c>
      <c r="L77" s="676">
        <f>SUMIFS('T&amp;E'!O$94:O$103,'T&amp;E'!$B$94:$B$103,$D$1,'T&amp;E'!$C$94:$C$103,$A$75)*$A77</f>
        <v>8333.3333333333339</v>
      </c>
      <c r="M77" s="676">
        <f>SUMIFS('T&amp;E'!P$94:P$103,'T&amp;E'!$B$94:$B$103,$D$1,'T&amp;E'!$C$94:$C$103,$A$75)*$A77</f>
        <v>8333.3333333333339</v>
      </c>
      <c r="N77" s="676">
        <f>SUMIFS('T&amp;E'!Q$94:Q$103,'T&amp;E'!$B$94:$B$103,$D$1,'T&amp;E'!$C$94:$C$103,$A$75)*$A77</f>
        <v>8333.3333333333339</v>
      </c>
      <c r="O77" s="676">
        <f>SUMIFS('T&amp;E'!R$94:R$103,'T&amp;E'!$B$94:$B$103,$D$1,'T&amp;E'!$C$94:$C$103,$A$75)*$A77</f>
        <v>8333.3333333333339</v>
      </c>
      <c r="P77" s="676">
        <f>SUMIFS('T&amp;E'!S$94:S$103,'T&amp;E'!$B$94:$B$103,$D$1,'T&amp;E'!$C$94:$C$103,$A$75)*$A77</f>
        <v>8333.3333333333339</v>
      </c>
      <c r="Q77" s="676">
        <f>SUMIFS('T&amp;E'!T$94:T$103,'T&amp;E'!$B$94:$B$103,$D$1,'T&amp;E'!$C$94:$C$103,$A$75)*$A77</f>
        <v>8333.3333333333339</v>
      </c>
      <c r="R77" s="676">
        <f>SUMIFS('T&amp;E'!U$94:U$103,'T&amp;E'!$B$94:$B$103,$D$1,'T&amp;E'!$C$94:$C$103,$A$75)*$A77</f>
        <v>8333.3333333333339</v>
      </c>
      <c r="S77" s="676">
        <f>SUMIFS('T&amp;E'!V$94:V$103,'T&amp;E'!$B$94:$B$103,$D$1,'T&amp;E'!$C$94:$C$103,$A$75)*$A77</f>
        <v>8333.3333333333339</v>
      </c>
      <c r="T77" s="676">
        <f>SUMIFS('T&amp;E'!W$94:W$103,'T&amp;E'!$B$94:$B$103,$D$1,'T&amp;E'!$C$94:$C$103,$A$75)*$A77</f>
        <v>8333.3333333333339</v>
      </c>
      <c r="U77" s="676">
        <f>SUMIFS('T&amp;E'!X$94:X$103,'T&amp;E'!$B$94:$B$103,$D$1,'T&amp;E'!$C$94:$C$103,$A$75)*$A77</f>
        <v>8333.3333333333339</v>
      </c>
      <c r="V77" s="676">
        <f>SUMIFS('T&amp;E'!Y$94:Y$103,'T&amp;E'!$B$94:$B$103,$D$1,'T&amp;E'!$C$94:$C$103,$A$75)*$A77</f>
        <v>8333.3333333333339</v>
      </c>
      <c r="W77" s="676">
        <f t="shared" si="27"/>
        <v>99999.999999999985</v>
      </c>
      <c r="Y77" s="688">
        <f>IFERROR(VLOOKUP($A77,'[94]1月'!$A:$H,8,0),0)</f>
        <v>0</v>
      </c>
      <c r="Z77" s="688">
        <v>954</v>
      </c>
      <c r="AA77" s="688">
        <v>8302.99</v>
      </c>
      <c r="AB77" s="688">
        <f>IFERROR(VLOOKUP($A77,'[94]4月'!$A:$H,8,0),0)</f>
        <v>0</v>
      </c>
      <c r="AC77" s="688">
        <v>39153.760000000002</v>
      </c>
      <c r="AD77" s="688">
        <v>2626</v>
      </c>
      <c r="AE77" s="688">
        <f>IFERROR(VLOOKUP($A77,'[94]7月'!$A:$H,8,0),0)</f>
        <v>0</v>
      </c>
      <c r="AF77" s="688">
        <v>2587</v>
      </c>
      <c r="AG77" s="688">
        <v>1901</v>
      </c>
      <c r="AH77" s="688">
        <f>IFERROR(VLOOKUP($A77,'[94]10月'!$A:$H,8,0),0)</f>
        <v>0</v>
      </c>
      <c r="AI77" s="688">
        <v>16238</v>
      </c>
      <c r="AJ77" s="688">
        <v>21902.1</v>
      </c>
      <c r="AK77" s="688">
        <f t="shared" si="43"/>
        <v>93664.85</v>
      </c>
    </row>
    <row r="78" spans="1:37" ht="11.1" hidden="1" customHeight="1">
      <c r="A78" s="653">
        <f>'Budget-合并'!A78</f>
        <v>0</v>
      </c>
      <c r="B78" s="653" t="str">
        <f>'Budget-合并'!B78</f>
        <v xml:space="preserve">    其他项目02</v>
      </c>
      <c r="C78" s="687" t="str">
        <f>'Budget-合并'!C78</f>
        <v xml:space="preserve">   Other project</v>
      </c>
      <c r="D78" s="676">
        <f t="shared" si="35"/>
        <v>0</v>
      </c>
      <c r="E78" s="676" t="e">
        <f t="shared" si="36"/>
        <v>#N/A</v>
      </c>
      <c r="F78" s="676" t="e">
        <f t="shared" si="37"/>
        <v>#N/A</v>
      </c>
      <c r="G78" s="676">
        <f t="shared" ca="1" si="38"/>
        <v>0</v>
      </c>
      <c r="H78" s="676" t="e">
        <f t="shared" ca="1" si="39"/>
        <v>#N/A</v>
      </c>
      <c r="I78" s="676" t="e">
        <f t="shared" ca="1" si="40"/>
        <v>#N/A</v>
      </c>
      <c r="K78" s="676"/>
      <c r="L78" s="676"/>
      <c r="M78" s="676"/>
      <c r="N78" s="676"/>
      <c r="O78" s="676"/>
      <c r="P78" s="676"/>
      <c r="Q78" s="676"/>
      <c r="R78" s="676"/>
      <c r="S78" s="676"/>
      <c r="T78" s="676"/>
      <c r="U78" s="676"/>
      <c r="V78" s="676"/>
      <c r="W78" s="676">
        <f t="shared" si="27"/>
        <v>0</v>
      </c>
      <c r="Y78" s="688">
        <f>IFERROR(VLOOKUP($A78,'[94]1月'!$A:$H,8,0),0)</f>
        <v>0</v>
      </c>
      <c r="Z78" s="688">
        <f>IFERROR(VLOOKUP($A78,'[94]2月'!$A:$H,8,0),0)</f>
        <v>0</v>
      </c>
      <c r="AA78" s="688">
        <v>-12304.99</v>
      </c>
      <c r="AB78" s="688">
        <f>IFERROR(VLOOKUP($A78,'[94]4月'!$A:$H,8,0),0)</f>
        <v>0</v>
      </c>
      <c r="AC78" s="688">
        <v>-11091.01</v>
      </c>
      <c r="AD78" s="688">
        <f>IFERROR(VLOOKUP($A78,'[94]6月'!$A:$H,8,0),0)</f>
        <v>0</v>
      </c>
      <c r="AE78" s="688">
        <f>IFERROR(VLOOKUP($A78,'[94]7月'!$A:$H,8,0),0)</f>
        <v>0</v>
      </c>
      <c r="AF78" s="688">
        <f>IFERROR(VLOOKUP($A78,'[94]8月'!$A:$H,8,0),0)</f>
        <v>0</v>
      </c>
      <c r="AG78" s="688">
        <f>IFERROR(VLOOKUP($A78,'[94]9月'!$A:$H,8,0),0)</f>
        <v>0</v>
      </c>
      <c r="AH78" s="688">
        <f>IFERROR(VLOOKUP($A78,'[94]10月'!$A:$H,8,0),0)</f>
        <v>0</v>
      </c>
      <c r="AI78" s="688">
        <f>IFERROR(VLOOKUP($A78,'[94]11月'!$A:$H,8,0),0)</f>
        <v>0</v>
      </c>
      <c r="AJ78" s="688">
        <f>IFERROR(VLOOKUP($A78,'[94]12月'!$A:$H,8,0),0)</f>
        <v>0</v>
      </c>
      <c r="AK78" s="688">
        <f t="shared" si="43"/>
        <v>-23396</v>
      </c>
    </row>
    <row r="79" spans="1:37" ht="11.1" hidden="1" customHeight="1">
      <c r="A79" s="653" t="str">
        <f>'Budget-合并'!A79</f>
        <v>6602.07</v>
      </c>
      <c r="B79" s="653" t="str">
        <f>'Budget-合并'!B79</f>
        <v>广告费和业务宣传费</v>
      </c>
      <c r="C79" s="687">
        <f>'Budget-合并'!C79</f>
        <v>0</v>
      </c>
      <c r="D79" s="676">
        <f t="shared" si="35"/>
        <v>0</v>
      </c>
      <c r="E79" s="676" t="e">
        <f t="shared" si="36"/>
        <v>#N/A</v>
      </c>
      <c r="F79" s="676" t="e">
        <f t="shared" si="37"/>
        <v>#N/A</v>
      </c>
      <c r="G79" s="676">
        <f t="shared" ca="1" si="38"/>
        <v>0</v>
      </c>
      <c r="H79" s="676" t="e">
        <f t="shared" ca="1" si="39"/>
        <v>#N/A</v>
      </c>
      <c r="I79" s="676" t="e">
        <f t="shared" ca="1" si="40"/>
        <v>#N/A</v>
      </c>
      <c r="K79" s="676"/>
      <c r="L79" s="676"/>
      <c r="M79" s="676"/>
      <c r="N79" s="676"/>
      <c r="O79" s="676"/>
      <c r="P79" s="676"/>
      <c r="Q79" s="676"/>
      <c r="R79" s="676"/>
      <c r="S79" s="676"/>
      <c r="T79" s="676"/>
      <c r="U79" s="676"/>
      <c r="V79" s="676"/>
      <c r="W79" s="676">
        <f t="shared" si="27"/>
        <v>0</v>
      </c>
      <c r="Y79" s="688">
        <f>IFERROR(VLOOKUP($A79,'[94]1月'!$A:$H,8,0),0)</f>
        <v>0</v>
      </c>
      <c r="Z79" s="688">
        <f>IFERROR(VLOOKUP($A79,'[94]2月'!$A:$H,8,0),0)</f>
        <v>0</v>
      </c>
      <c r="AA79" s="688">
        <f>IFERROR(VLOOKUP($A79,'[94]3月'!$A:$H,8,0),0)</f>
        <v>0</v>
      </c>
      <c r="AB79" s="688">
        <f>IFERROR(VLOOKUP($A79,'[94]4月'!$A:$H,8,0),0)</f>
        <v>0</v>
      </c>
      <c r="AC79" s="688">
        <f>IFERROR(VLOOKUP($A79,'[94]5月'!$A:$H,8,0),0)</f>
        <v>0</v>
      </c>
      <c r="AD79" s="688">
        <f>IFERROR(VLOOKUP($A79,'[94]6月'!$A:$H,8,0),0)</f>
        <v>0</v>
      </c>
      <c r="AE79" s="688">
        <f>IFERROR(VLOOKUP($A79,'[94]7月'!$A:$H,8,0),0)</f>
        <v>0</v>
      </c>
      <c r="AF79" s="688">
        <f>IFERROR(VLOOKUP($A79,'[94]8月'!$A:$H,8,0),0)</f>
        <v>0</v>
      </c>
      <c r="AG79" s="688">
        <f>IFERROR(VLOOKUP($A79,'[94]9月'!$A:$H,8,0),0)</f>
        <v>0</v>
      </c>
      <c r="AH79" s="688">
        <f>IFERROR(VLOOKUP($A79,'[94]10月'!$A:$H,8,0),0)</f>
        <v>0</v>
      </c>
      <c r="AI79" s="688">
        <f>IFERROR(VLOOKUP($A79,'[94]11月'!$A:$H,8,0),0)</f>
        <v>0</v>
      </c>
      <c r="AJ79" s="688">
        <f>IFERROR(VLOOKUP($A79,'[94]12月'!$A:$H,8,0),0)</f>
        <v>0</v>
      </c>
      <c r="AK79" s="688">
        <f t="shared" si="43"/>
        <v>0</v>
      </c>
    </row>
    <row r="80" spans="1:37" ht="11.1" customHeight="1">
      <c r="A80" s="663" t="str">
        <f>'Budget-合并'!A80</f>
        <v>6602.08</v>
      </c>
      <c r="B80" s="663" t="str">
        <f>'Budget-合并'!B80</f>
        <v>事务费用</v>
      </c>
      <c r="C80" s="687">
        <f>'Budget-合并'!C80</f>
        <v>0</v>
      </c>
      <c r="D80" s="676">
        <f t="shared" si="35"/>
        <v>5436.95</v>
      </c>
      <c r="E80" s="676" t="e">
        <f t="shared" si="36"/>
        <v>#N/A</v>
      </c>
      <c r="F80" s="676" t="e">
        <f t="shared" si="37"/>
        <v>#N/A</v>
      </c>
      <c r="G80" s="676">
        <f t="shared" ca="1" si="38"/>
        <v>5436.95</v>
      </c>
      <c r="H80" s="676" t="e">
        <f t="shared" ca="1" si="39"/>
        <v>#N/A</v>
      </c>
      <c r="I80" s="676" t="e">
        <f t="shared" ca="1" si="40"/>
        <v>#N/A</v>
      </c>
      <c r="K80" s="676">
        <f>SUM(K81:K91)</f>
        <v>5436.95</v>
      </c>
      <c r="L80" s="676">
        <f t="shared" ref="L80:V80" si="49">SUM(L81:L91)</f>
        <v>5436.95</v>
      </c>
      <c r="M80" s="676">
        <f t="shared" si="49"/>
        <v>37230.949999999997</v>
      </c>
      <c r="N80" s="676">
        <f t="shared" si="49"/>
        <v>5436.95</v>
      </c>
      <c r="O80" s="676">
        <f t="shared" si="49"/>
        <v>5436.95</v>
      </c>
      <c r="P80" s="676">
        <f t="shared" si="49"/>
        <v>5436.95</v>
      </c>
      <c r="Q80" s="676">
        <f t="shared" si="49"/>
        <v>5436.95</v>
      </c>
      <c r="R80" s="676">
        <f t="shared" si="49"/>
        <v>5436.95</v>
      </c>
      <c r="S80" s="676">
        <f t="shared" si="49"/>
        <v>5436.95</v>
      </c>
      <c r="T80" s="676">
        <f t="shared" si="49"/>
        <v>5436.95</v>
      </c>
      <c r="U80" s="676">
        <f t="shared" si="49"/>
        <v>5436.95</v>
      </c>
      <c r="V80" s="676">
        <f t="shared" si="49"/>
        <v>5436.95</v>
      </c>
      <c r="W80" s="676">
        <f t="shared" si="27"/>
        <v>97037.39999999998</v>
      </c>
      <c r="Y80" s="676">
        <f>SUM(Y81:Y91)</f>
        <v>2234.75</v>
      </c>
      <c r="Z80" s="676">
        <f t="shared" ref="Z80:AJ80" si="50">SUM(Z81:Z91)</f>
        <v>8120</v>
      </c>
      <c r="AA80" s="676">
        <f t="shared" si="50"/>
        <v>3974.87</v>
      </c>
      <c r="AB80" s="676">
        <f t="shared" si="50"/>
        <v>905</v>
      </c>
      <c r="AC80" s="676">
        <f t="shared" si="50"/>
        <v>2829.8</v>
      </c>
      <c r="AD80" s="676">
        <f t="shared" si="50"/>
        <v>3184.6</v>
      </c>
      <c r="AE80" s="676">
        <f t="shared" si="50"/>
        <v>3589.1</v>
      </c>
      <c r="AF80" s="676">
        <f t="shared" si="50"/>
        <v>2156.4</v>
      </c>
      <c r="AG80" s="676">
        <f t="shared" si="50"/>
        <v>2505.9</v>
      </c>
      <c r="AH80" s="676">
        <f t="shared" si="50"/>
        <v>462.21</v>
      </c>
      <c r="AI80" s="676">
        <f t="shared" si="50"/>
        <v>2033.1799999999998</v>
      </c>
      <c r="AJ80" s="676">
        <f t="shared" si="50"/>
        <v>9591.9200000000019</v>
      </c>
      <c r="AK80" s="688">
        <f t="shared" si="43"/>
        <v>41587.729999999996</v>
      </c>
    </row>
    <row r="81" spans="1:37" ht="11.1" customHeight="1">
      <c r="A81" s="653" t="str">
        <f>'Budget-合并'!A81</f>
        <v>6602.08.01</v>
      </c>
      <c r="B81" s="653" t="str">
        <f>'Budget-合并'!B81</f>
        <v>通信费</v>
      </c>
      <c r="C81" s="687" t="str">
        <f>'Budget-合并'!C81</f>
        <v>Telephone Monthly/Base Charge</v>
      </c>
      <c r="D81" s="676">
        <f t="shared" si="35"/>
        <v>3631.95</v>
      </c>
      <c r="E81" s="676" t="e">
        <f t="shared" si="36"/>
        <v>#N/A</v>
      </c>
      <c r="F81" s="676" t="e">
        <f t="shared" si="37"/>
        <v>#N/A</v>
      </c>
      <c r="G81" s="676">
        <f t="shared" ca="1" si="38"/>
        <v>3631.95</v>
      </c>
      <c r="H81" s="676" t="e">
        <f t="shared" ca="1" si="39"/>
        <v>#N/A</v>
      </c>
      <c r="I81" s="676" t="e">
        <f t="shared" ca="1" si="40"/>
        <v>#N/A</v>
      </c>
      <c r="K81" s="676">
        <f>SUMIFS(SPACE!O$3:O$106,SPACE!$A$3:$A$106,$D$1,SPACE!$C$3:$C$106,$A81)</f>
        <v>3631.95</v>
      </c>
      <c r="L81" s="676">
        <f>SUMIFS(SPACE!P$3:P$106,SPACE!$A$3:$A$106,$D$1,SPACE!$C$3:$C$106,$A81)</f>
        <v>3631.95</v>
      </c>
      <c r="M81" s="676">
        <f>SUMIFS(SPACE!Q$3:Q$106,SPACE!$A$3:$A$106,$D$1,SPACE!$C$3:$C$106,$A81)</f>
        <v>3631.95</v>
      </c>
      <c r="N81" s="676">
        <f>SUMIFS(SPACE!R$3:R$106,SPACE!$A$3:$A$106,$D$1,SPACE!$C$3:$C$106,$A81)</f>
        <v>3631.95</v>
      </c>
      <c r="O81" s="676">
        <f>SUMIFS(SPACE!S$3:S$106,SPACE!$A$3:$A$106,$D$1,SPACE!$C$3:$C$106,$A81)</f>
        <v>3631.95</v>
      </c>
      <c r="P81" s="676">
        <f>SUMIFS(SPACE!T$3:T$106,SPACE!$A$3:$A$106,$D$1,SPACE!$C$3:$C$106,$A81)</f>
        <v>3631.95</v>
      </c>
      <c r="Q81" s="676">
        <f>SUMIFS(SPACE!U$3:U$106,SPACE!$A$3:$A$106,$D$1,SPACE!$C$3:$C$106,$A81)</f>
        <v>3631.95</v>
      </c>
      <c r="R81" s="676">
        <f>SUMIFS(SPACE!V$3:V$106,SPACE!$A$3:$A$106,$D$1,SPACE!$C$3:$C$106,$A81)</f>
        <v>3631.95</v>
      </c>
      <c r="S81" s="676">
        <f>SUMIFS(SPACE!W$3:W$106,SPACE!$A$3:$A$106,$D$1,SPACE!$C$3:$C$106,$A81)</f>
        <v>3631.95</v>
      </c>
      <c r="T81" s="676">
        <f>SUMIFS(SPACE!X$3:X$106,SPACE!$A$3:$A$106,$D$1,SPACE!$C$3:$C$106,$A81)</f>
        <v>3631.95</v>
      </c>
      <c r="U81" s="676">
        <f>SUMIFS(SPACE!Y$3:Y$106,SPACE!$A$3:$A$106,$D$1,SPACE!$C$3:$C$106,$A81)</f>
        <v>3631.95</v>
      </c>
      <c r="V81" s="676">
        <f>SUMIFS(SPACE!Z$3:Z$106,SPACE!$A$3:$A$106,$D$1,SPACE!$C$3:$C$106,$A81)</f>
        <v>3631.95</v>
      </c>
      <c r="W81" s="676">
        <f t="shared" si="27"/>
        <v>43583.399999999994</v>
      </c>
      <c r="Y81" s="688">
        <f>IFERROR(VLOOKUP($A81,'[94]1月'!$A:$H,8,0),0)</f>
        <v>0</v>
      </c>
      <c r="Z81" s="688">
        <f>IFERROR(VLOOKUP($A81,'[94]2月'!$A:$H,8,0),0)</f>
        <v>399</v>
      </c>
      <c r="AA81" s="688">
        <f>IFERROR(VLOOKUP($A81,'[94]3月'!$A:$H,8,0),0)</f>
        <v>3557.87</v>
      </c>
      <c r="AB81" s="688">
        <f>IFERROR(VLOOKUP($A81,'[94]4月'!$A:$H,8,0),0)</f>
        <v>399</v>
      </c>
      <c r="AC81" s="688">
        <f>IFERROR(VLOOKUP($A81,'[94]5月'!$A:$H,8,0),0)</f>
        <v>1649.34</v>
      </c>
      <c r="AD81" s="688">
        <f>IFERROR(VLOOKUP($A81,'[94]6月'!$A:$H,8,0),0)</f>
        <v>1543</v>
      </c>
      <c r="AE81" s="688">
        <f>IFERROR(VLOOKUP($A81,'[94]7月'!$A:$H,8,0),0)</f>
        <v>578</v>
      </c>
      <c r="AF81" s="688">
        <f>IFERROR(VLOOKUP($A81,'[94]8月'!$A:$H,8,0),0)</f>
        <v>1285.4000000000001</v>
      </c>
      <c r="AG81" s="688">
        <f>IFERROR(VLOOKUP($A81,'[94]9月'!$A:$H,8,0),0)</f>
        <v>1990.9</v>
      </c>
      <c r="AH81" s="688">
        <f>IFERROR(VLOOKUP($A81,'[94]10月'!$A:$H,8,0),0)</f>
        <v>59</v>
      </c>
      <c r="AI81" s="688">
        <f>IFERROR(VLOOKUP($A81,'[94]11月'!$A:$H,8,0),0)</f>
        <v>1613.37</v>
      </c>
      <c r="AJ81" s="688">
        <f>IFERROR(VLOOKUP($A81,'[94]12月'!$A:$H,8,0),0)</f>
        <v>8094.47</v>
      </c>
      <c r="AK81" s="688">
        <f t="shared" si="43"/>
        <v>21169.350000000002</v>
      </c>
    </row>
    <row r="82" spans="1:37" ht="11.1" hidden="1" customHeight="1">
      <c r="A82" s="653" t="str">
        <f>'Budget-合并'!A82</f>
        <v>6602.08.02</v>
      </c>
      <c r="B82" s="653" t="str">
        <f>'Budget-合并'!B82</f>
        <v>电脑软件费</v>
      </c>
      <c r="C82" s="687" t="str">
        <f>'Budget-合并'!C82</f>
        <v xml:space="preserve">PC Software </v>
      </c>
      <c r="D82" s="676">
        <f t="shared" si="35"/>
        <v>0</v>
      </c>
      <c r="E82" s="676" t="e">
        <f t="shared" si="36"/>
        <v>#N/A</v>
      </c>
      <c r="F82" s="676" t="e">
        <f t="shared" si="37"/>
        <v>#N/A</v>
      </c>
      <c r="G82" s="676">
        <f t="shared" ca="1" si="38"/>
        <v>0</v>
      </c>
      <c r="H82" s="676" t="e">
        <f t="shared" ca="1" si="39"/>
        <v>#N/A</v>
      </c>
      <c r="I82" s="676" t="e">
        <f t="shared" ca="1" si="40"/>
        <v>#N/A</v>
      </c>
      <c r="K82" s="676"/>
      <c r="L82" s="676"/>
      <c r="M82" s="676"/>
      <c r="N82" s="676"/>
      <c r="O82" s="676"/>
      <c r="P82" s="676"/>
      <c r="Q82" s="676"/>
      <c r="R82" s="676"/>
      <c r="S82" s="676"/>
      <c r="T82" s="676"/>
      <c r="U82" s="676"/>
      <c r="V82" s="676"/>
      <c r="W82" s="676">
        <f t="shared" si="27"/>
        <v>0</v>
      </c>
      <c r="Y82" s="688">
        <f>IFERROR(VLOOKUP($A82,'[94]1月'!$A:$H,8,0),0)</f>
        <v>0</v>
      </c>
      <c r="Z82" s="688">
        <f>IFERROR(VLOOKUP($A82,'[94]2月'!$A:$H,8,0),0)</f>
        <v>0</v>
      </c>
      <c r="AA82" s="688">
        <f>IFERROR(VLOOKUP($A82,'[94]3月'!$A:$H,8,0),0)</f>
        <v>0</v>
      </c>
      <c r="AB82" s="688">
        <f>IFERROR(VLOOKUP($A82,'[94]4月'!$A:$H,8,0),0)</f>
        <v>0</v>
      </c>
      <c r="AC82" s="688">
        <f>IFERROR(VLOOKUP($A82,'[94]5月'!$A:$H,8,0),0)</f>
        <v>0</v>
      </c>
      <c r="AD82" s="688">
        <f>IFERROR(VLOOKUP($A82,'[94]6月'!$A:$H,8,0),0)</f>
        <v>0</v>
      </c>
      <c r="AE82" s="688">
        <f>IFERROR(VLOOKUP($A82,'[94]7月'!$A:$H,8,0),0)</f>
        <v>0</v>
      </c>
      <c r="AF82" s="688">
        <f>IFERROR(VLOOKUP($A82,'[94]8月'!$A:$H,8,0),0)</f>
        <v>0</v>
      </c>
      <c r="AG82" s="688">
        <f>IFERROR(VLOOKUP($A82,'[94]9月'!$A:$H,8,0),0)</f>
        <v>0</v>
      </c>
      <c r="AH82" s="688">
        <f>IFERROR(VLOOKUP($A82,'[94]10月'!$A:$H,8,0),0)</f>
        <v>0</v>
      </c>
      <c r="AI82" s="688">
        <f>IFERROR(VLOOKUP($A82,'[94]11月'!$A:$H,8,0),0)</f>
        <v>0</v>
      </c>
      <c r="AJ82" s="688">
        <f>IFERROR(VLOOKUP($A82,'[94]12月'!$A:$H,8,0),0)</f>
        <v>0</v>
      </c>
      <c r="AK82" s="688">
        <f t="shared" si="43"/>
        <v>0</v>
      </c>
    </row>
    <row r="83" spans="1:37" ht="12.95" customHeight="1">
      <c r="A83" s="653" t="str">
        <f>'Budget-合并'!A83</f>
        <v>6602.08.03</v>
      </c>
      <c r="B83" s="653" t="str">
        <f>'Budget-合并'!B83</f>
        <v>办公用品</v>
      </c>
      <c r="C83" s="687" t="str">
        <f>'Budget-合并'!C83</f>
        <v xml:space="preserve">Office Supplies </v>
      </c>
      <c r="D83" s="676">
        <f t="shared" si="35"/>
        <v>875</v>
      </c>
      <c r="E83" s="676" t="e">
        <f t="shared" si="36"/>
        <v>#N/A</v>
      </c>
      <c r="F83" s="676" t="e">
        <f t="shared" si="37"/>
        <v>#N/A</v>
      </c>
      <c r="G83" s="676">
        <f t="shared" ca="1" si="38"/>
        <v>875</v>
      </c>
      <c r="H83" s="676" t="e">
        <f t="shared" ca="1" si="39"/>
        <v>#N/A</v>
      </c>
      <c r="I83" s="676" t="e">
        <f t="shared" ca="1" si="40"/>
        <v>#N/A</v>
      </c>
      <c r="K83" s="676">
        <f>SUMIFS('Other Exp'!AG$3:AG$196,'Other Exp'!$B$3:$B$196,$D$1,'Other Exp'!$C$3:$C$196,$A83)</f>
        <v>875</v>
      </c>
      <c r="L83" s="676">
        <f>SUMIFS('Other Exp'!AH$3:AH$196,'Other Exp'!$B$3:$B$196,$D$1,'Other Exp'!$C$3:$C$196,$A83)</f>
        <v>875</v>
      </c>
      <c r="M83" s="676">
        <f>SUMIFS('Other Exp'!AI$3:AI$196,'Other Exp'!$B$3:$B$196,$D$1,'Other Exp'!$C$3:$C$196,$A83)</f>
        <v>875</v>
      </c>
      <c r="N83" s="676">
        <f>SUMIFS('Other Exp'!AJ$3:AJ$196,'Other Exp'!$B$3:$B$196,$D$1,'Other Exp'!$C$3:$C$196,$A83)</f>
        <v>875</v>
      </c>
      <c r="O83" s="676">
        <f>SUMIFS('Other Exp'!AK$3:AK$196,'Other Exp'!$B$3:$B$196,$D$1,'Other Exp'!$C$3:$C$196,$A83)</f>
        <v>875</v>
      </c>
      <c r="P83" s="676">
        <f>SUMIFS('Other Exp'!AL$3:AL$196,'Other Exp'!$B$3:$B$196,$D$1,'Other Exp'!$C$3:$C$196,$A83)</f>
        <v>875</v>
      </c>
      <c r="Q83" s="676">
        <f>SUMIFS('Other Exp'!AM$3:AM$196,'Other Exp'!$B$3:$B$196,$D$1,'Other Exp'!$C$3:$C$196,$A83)</f>
        <v>875</v>
      </c>
      <c r="R83" s="676">
        <f>SUMIFS('Other Exp'!AN$3:AN$196,'Other Exp'!$B$3:$B$196,$D$1,'Other Exp'!$C$3:$C$196,$A83)</f>
        <v>875</v>
      </c>
      <c r="S83" s="676">
        <f>SUMIFS('Other Exp'!AO$3:AO$196,'Other Exp'!$B$3:$B$196,$D$1,'Other Exp'!$C$3:$C$196,$A83)</f>
        <v>875</v>
      </c>
      <c r="T83" s="676">
        <f>SUMIFS('Other Exp'!AP$3:AP$196,'Other Exp'!$B$3:$B$196,$D$1,'Other Exp'!$C$3:$C$196,$A83)</f>
        <v>875</v>
      </c>
      <c r="U83" s="676">
        <f>SUMIFS('Other Exp'!AQ$3:AQ$196,'Other Exp'!$B$3:$B$196,$D$1,'Other Exp'!$C$3:$C$196,$A83)</f>
        <v>875</v>
      </c>
      <c r="V83" s="676">
        <f>SUMIFS('Other Exp'!AR$3:AR$196,'Other Exp'!$B$3:$B$196,$D$1,'Other Exp'!$C$3:$C$196,$A83)</f>
        <v>875</v>
      </c>
      <c r="W83" s="676">
        <f t="shared" si="27"/>
        <v>10500</v>
      </c>
      <c r="Y83" s="688">
        <f>IFERROR(VLOOKUP($A83,'[94]1月'!$A:$H,8,0),0)</f>
        <v>734</v>
      </c>
      <c r="Z83" s="688">
        <f>IFERROR(VLOOKUP($A83,'[94]2月'!$A:$H,8,0),0)</f>
        <v>1122</v>
      </c>
      <c r="AA83" s="688">
        <f>IFERROR(VLOOKUP($A83,'[94]3月'!$A:$H,8,0),0)</f>
        <v>0</v>
      </c>
      <c r="AB83" s="688">
        <f>IFERROR(VLOOKUP($A83,'[94]4月'!$A:$H,8,0),0)</f>
        <v>0</v>
      </c>
      <c r="AC83" s="688">
        <v>136.46</v>
      </c>
      <c r="AD83" s="688">
        <f>IFERROR(VLOOKUP($A83,'[94]6月'!$A:$H,8,0),0)</f>
        <v>1067.5999999999999</v>
      </c>
      <c r="AE83" s="688">
        <f>IFERROR(VLOOKUP($A83,'[94]7月'!$A:$H,8,0),0)</f>
        <v>0</v>
      </c>
      <c r="AF83" s="688">
        <v>98</v>
      </c>
      <c r="AG83" s="688"/>
      <c r="AH83" s="688">
        <f>IFERROR(VLOOKUP($A83,'[94]10月'!$A:$H,8,0),0)</f>
        <v>0</v>
      </c>
      <c r="AI83" s="688">
        <f>IFERROR(VLOOKUP($A83,'[94]11月'!$A:$H,8,0),0)</f>
        <v>0</v>
      </c>
      <c r="AJ83" s="688">
        <f>IFERROR(VLOOKUP($A83,'[94]12月'!$A:$H,8,0),0)</f>
        <v>1000</v>
      </c>
      <c r="AK83" s="688">
        <f t="shared" si="43"/>
        <v>4158.0599999999995</v>
      </c>
    </row>
    <row r="84" spans="1:37" ht="11.1" hidden="1" customHeight="1">
      <c r="A84" s="653" t="str">
        <f>'Budget-合并'!A84</f>
        <v>6602.08.04</v>
      </c>
      <c r="B84" s="653" t="str">
        <f>'Budget-合并'!B84</f>
        <v>事务保金</v>
      </c>
      <c r="C84" s="687" t="str">
        <f>'Budget-合并'!C84</f>
        <v>Other Insurance</v>
      </c>
      <c r="D84" s="676">
        <f t="shared" si="35"/>
        <v>0</v>
      </c>
      <c r="E84" s="676" t="e">
        <f t="shared" si="36"/>
        <v>#N/A</v>
      </c>
      <c r="F84" s="676" t="e">
        <f t="shared" si="37"/>
        <v>#N/A</v>
      </c>
      <c r="G84" s="676">
        <f t="shared" ca="1" si="38"/>
        <v>0</v>
      </c>
      <c r="H84" s="676" t="e">
        <f t="shared" ca="1" si="39"/>
        <v>#N/A</v>
      </c>
      <c r="I84" s="676" t="e">
        <f t="shared" ca="1" si="40"/>
        <v>#N/A</v>
      </c>
      <c r="K84" s="676">
        <f>SUMIFS('Other Exp'!AG$3:AG$196,'Other Exp'!$B$3:$B$196,$D$1,'Other Exp'!$C$3:$C$196,$A84)</f>
        <v>0</v>
      </c>
      <c r="L84" s="676">
        <f>SUMIFS('Other Exp'!AH$3:AH$196,'Other Exp'!$B$3:$B$196,$D$1,'Other Exp'!$C$3:$C$196,$A84)</f>
        <v>0</v>
      </c>
      <c r="M84" s="676">
        <f>SUMIFS('Other Exp'!AI$3:AI$196,'Other Exp'!$B$3:$B$196,$D$1,'Other Exp'!$C$3:$C$196,$A84)</f>
        <v>0</v>
      </c>
      <c r="N84" s="676">
        <f>SUMIFS('Other Exp'!AJ$3:AJ$196,'Other Exp'!$B$3:$B$196,$D$1,'Other Exp'!$C$3:$C$196,$A84)</f>
        <v>0</v>
      </c>
      <c r="O84" s="676">
        <f>SUMIFS('Other Exp'!AK$3:AK$196,'Other Exp'!$B$3:$B$196,$D$1,'Other Exp'!$C$3:$C$196,$A84)</f>
        <v>0</v>
      </c>
      <c r="P84" s="676">
        <f>SUMIFS('Other Exp'!AL$3:AL$196,'Other Exp'!$B$3:$B$196,$D$1,'Other Exp'!$C$3:$C$196,$A84)</f>
        <v>0</v>
      </c>
      <c r="Q84" s="676">
        <f>SUMIFS('Other Exp'!AM$3:AM$196,'Other Exp'!$B$3:$B$196,$D$1,'Other Exp'!$C$3:$C$196,$A84)</f>
        <v>0</v>
      </c>
      <c r="R84" s="676">
        <f>SUMIFS('Other Exp'!AN$3:AN$196,'Other Exp'!$B$3:$B$196,$D$1,'Other Exp'!$C$3:$C$196,$A84)</f>
        <v>0</v>
      </c>
      <c r="S84" s="676">
        <f>SUMIFS('Other Exp'!AO$3:AO$196,'Other Exp'!$B$3:$B$196,$D$1,'Other Exp'!$C$3:$C$196,$A84)</f>
        <v>0</v>
      </c>
      <c r="T84" s="676">
        <f>SUMIFS('Other Exp'!AP$3:AP$196,'Other Exp'!$B$3:$B$196,$D$1,'Other Exp'!$C$3:$C$196,$A84)</f>
        <v>0</v>
      </c>
      <c r="U84" s="676">
        <f>SUMIFS('Other Exp'!AQ$3:AQ$196,'Other Exp'!$B$3:$B$196,$D$1,'Other Exp'!$C$3:$C$196,$A84)</f>
        <v>0</v>
      </c>
      <c r="V84" s="676">
        <f>SUMIFS('Other Exp'!AR$3:AR$196,'Other Exp'!$B$3:$B$196,$D$1,'Other Exp'!$C$3:$C$196,$A84)</f>
        <v>0</v>
      </c>
      <c r="W84" s="676">
        <f t="shared" si="27"/>
        <v>0</v>
      </c>
      <c r="X84" s="652" t="s">
        <v>2551</v>
      </c>
      <c r="Y84" s="688">
        <f>IFERROR(VLOOKUP($A84,'[94]1月'!$A:$H,8,0),0)</f>
        <v>0</v>
      </c>
      <c r="Z84" s="688">
        <f>IFERROR(VLOOKUP($A84,'[94]2月'!$A:$H,8,0),0)</f>
        <v>0</v>
      </c>
      <c r="AA84" s="688">
        <f>IFERROR(VLOOKUP($A84,'[94]3月'!$A:$H,8,0),0)</f>
        <v>0</v>
      </c>
      <c r="AB84" s="688">
        <f>IFERROR(VLOOKUP($A84,'[94]4月'!$A:$H,8,0),0)</f>
        <v>0</v>
      </c>
      <c r="AC84" s="688">
        <f>IFERROR(VLOOKUP($A84,'[94]5月'!$A:$H,8,0),0)</f>
        <v>0</v>
      </c>
      <c r="AD84" s="688">
        <f>IFERROR(VLOOKUP($A84,'[94]6月'!$A:$H,8,0),0)</f>
        <v>0</v>
      </c>
      <c r="AE84" s="688">
        <f>IFERROR(VLOOKUP($A84,'[94]7月'!$A:$H,8,0),0)</f>
        <v>0</v>
      </c>
      <c r="AF84" s="688">
        <f>IFERROR(VLOOKUP($A84,'[94]8月'!$A:$H,8,0),0)</f>
        <v>0</v>
      </c>
      <c r="AG84" s="688">
        <f>IFERROR(VLOOKUP($A84,'[94]9月'!$A:$H,8,0),0)</f>
        <v>0</v>
      </c>
      <c r="AH84" s="688">
        <f>IFERROR(VLOOKUP($A84,'[94]10月'!$A:$H,8,0),0)</f>
        <v>0</v>
      </c>
      <c r="AI84" s="688">
        <f>IFERROR(VLOOKUP($A84,'[94]11月'!$A:$H,8,0),0)</f>
        <v>0</v>
      </c>
      <c r="AJ84" s="688">
        <f>IFERROR(VLOOKUP($A84,'[94]12月'!$A:$H,8,0),0)</f>
        <v>0</v>
      </c>
      <c r="AK84" s="688">
        <f t="shared" si="43"/>
        <v>0</v>
      </c>
    </row>
    <row r="85" spans="1:37" ht="11.1" customHeight="1">
      <c r="A85" s="653" t="str">
        <f>'Budget-合并'!A85</f>
        <v>6602.08.05</v>
      </c>
      <c r="B85" s="653" t="str">
        <f>'Budget-合并'!B85</f>
        <v>邮费/邮递费</v>
      </c>
      <c r="C85" s="687" t="str">
        <f>'Budget-合并'!C85</f>
        <v>Postage / Freight / Delivery</v>
      </c>
      <c r="D85" s="676">
        <f t="shared" si="35"/>
        <v>630</v>
      </c>
      <c r="E85" s="676" t="e">
        <f t="shared" si="36"/>
        <v>#N/A</v>
      </c>
      <c r="F85" s="676" t="e">
        <f t="shared" si="37"/>
        <v>#N/A</v>
      </c>
      <c r="G85" s="676">
        <f t="shared" ca="1" si="38"/>
        <v>630</v>
      </c>
      <c r="H85" s="676" t="e">
        <f t="shared" ca="1" si="39"/>
        <v>#N/A</v>
      </c>
      <c r="I85" s="676" t="e">
        <f t="shared" ca="1" si="40"/>
        <v>#N/A</v>
      </c>
      <c r="K85" s="676">
        <f>SUMIFS('Other Exp'!AG$3:AG$196,'Other Exp'!$B$3:$B$196,$D$1,'Other Exp'!$C$3:$C$196,$A85)</f>
        <v>630</v>
      </c>
      <c r="L85" s="676">
        <f>SUMIFS('Other Exp'!AH$3:AH$196,'Other Exp'!$B$3:$B$196,$D$1,'Other Exp'!$C$3:$C$196,$A85)</f>
        <v>630</v>
      </c>
      <c r="M85" s="676">
        <f>SUMIFS('Other Exp'!AI$3:AI$196,'Other Exp'!$B$3:$B$196,$D$1,'Other Exp'!$C$3:$C$196,$A85)</f>
        <v>630</v>
      </c>
      <c r="N85" s="676">
        <f>SUMIFS('Other Exp'!AJ$3:AJ$196,'Other Exp'!$B$3:$B$196,$D$1,'Other Exp'!$C$3:$C$196,$A85)</f>
        <v>630</v>
      </c>
      <c r="O85" s="676">
        <f>SUMIFS('Other Exp'!AK$3:AK$196,'Other Exp'!$B$3:$B$196,$D$1,'Other Exp'!$C$3:$C$196,$A85)</f>
        <v>630</v>
      </c>
      <c r="P85" s="676">
        <f>SUMIFS('Other Exp'!AL$3:AL$196,'Other Exp'!$B$3:$B$196,$D$1,'Other Exp'!$C$3:$C$196,$A85)</f>
        <v>630</v>
      </c>
      <c r="Q85" s="676">
        <f>SUMIFS('Other Exp'!AM$3:AM$196,'Other Exp'!$B$3:$B$196,$D$1,'Other Exp'!$C$3:$C$196,$A85)</f>
        <v>630</v>
      </c>
      <c r="R85" s="676">
        <f>SUMIFS('Other Exp'!AN$3:AN$196,'Other Exp'!$B$3:$B$196,$D$1,'Other Exp'!$C$3:$C$196,$A85)</f>
        <v>630</v>
      </c>
      <c r="S85" s="676">
        <f>SUMIFS('Other Exp'!AO$3:AO$196,'Other Exp'!$B$3:$B$196,$D$1,'Other Exp'!$C$3:$C$196,$A85)</f>
        <v>630</v>
      </c>
      <c r="T85" s="676">
        <f>SUMIFS('Other Exp'!AP$3:AP$196,'Other Exp'!$B$3:$B$196,$D$1,'Other Exp'!$C$3:$C$196,$A85)</f>
        <v>630</v>
      </c>
      <c r="U85" s="676">
        <f>SUMIFS('Other Exp'!AQ$3:AQ$196,'Other Exp'!$B$3:$B$196,$D$1,'Other Exp'!$C$3:$C$196,$A85)</f>
        <v>630</v>
      </c>
      <c r="V85" s="676">
        <f>SUMIFS('Other Exp'!AR$3:AR$196,'Other Exp'!$B$3:$B$196,$D$1,'Other Exp'!$C$3:$C$196,$A85)</f>
        <v>630</v>
      </c>
      <c r="W85" s="676">
        <f t="shared" si="27"/>
        <v>7560</v>
      </c>
      <c r="Y85" s="688">
        <f>IFERROR(VLOOKUP($A85,'[94]1月'!$A:$H,8,0),0)</f>
        <v>0</v>
      </c>
      <c r="Z85" s="688">
        <f>IFERROR(VLOOKUP($A85,'[94]2月'!$A:$H,8,0),0)</f>
        <v>399</v>
      </c>
      <c r="AA85" s="688">
        <f>IFERROR(VLOOKUP($A85,'[94]3月'!$A:$H,8,0),0)</f>
        <v>417</v>
      </c>
      <c r="AB85" s="688">
        <f>IFERROR(VLOOKUP($A85,'[94]4月'!$A:$H,8,0),0)</f>
        <v>506</v>
      </c>
      <c r="AC85" s="688">
        <f>IFERROR(VLOOKUP($A85,'[94]5月'!$A:$H,8,0),0)</f>
        <v>1044</v>
      </c>
      <c r="AD85" s="688">
        <f>IFERROR(VLOOKUP($A85,'[94]6月'!$A:$H,8,0),0)</f>
        <v>574</v>
      </c>
      <c r="AE85" s="688">
        <f>IFERROR(VLOOKUP($A85,'[94]7月'!$A:$H,8,0),0)</f>
        <v>611.1</v>
      </c>
      <c r="AF85" s="688">
        <f>IFERROR(VLOOKUP($A85,'[94]8月'!$A:$H,8,0),0)</f>
        <v>519</v>
      </c>
      <c r="AG85" s="688">
        <f>IFERROR(VLOOKUP($A85,'[94]9月'!$A:$H,8,0),0)</f>
        <v>515</v>
      </c>
      <c r="AH85" s="688">
        <f>IFERROR(VLOOKUP($A85,'[94]10月'!$A:$H,8,0),0)</f>
        <v>403.21</v>
      </c>
      <c r="AI85" s="688">
        <f>IFERROR(VLOOKUP($A85,'[94]11月'!$A:$H,8,0),0)</f>
        <v>419.81</v>
      </c>
      <c r="AJ85" s="688">
        <f>IFERROR(VLOOKUP($A85,'[94]12月'!$A:$H,8,0),0)</f>
        <v>497.45</v>
      </c>
      <c r="AK85" s="688">
        <f t="shared" si="43"/>
        <v>5905.5700000000006</v>
      </c>
    </row>
    <row r="86" spans="1:37" ht="11.1" hidden="1" customHeight="1">
      <c r="A86" s="653" t="str">
        <f>'Budget-合并'!A86</f>
        <v>6602.08.06</v>
      </c>
      <c r="B86" s="653" t="str">
        <f>'Budget-合并'!B86</f>
        <v>IT专业人士及微软服务</v>
      </c>
      <c r="C86" s="687" t="str">
        <f>'Budget-合并'!C86</f>
        <v xml:space="preserve">IT Professional &amp; MS Services </v>
      </c>
      <c r="D86" s="676">
        <f t="shared" si="35"/>
        <v>0</v>
      </c>
      <c r="E86" s="676" t="e">
        <f t="shared" si="36"/>
        <v>#N/A</v>
      </c>
      <c r="F86" s="676" t="e">
        <f t="shared" si="37"/>
        <v>#N/A</v>
      </c>
      <c r="G86" s="676">
        <f t="shared" ca="1" si="38"/>
        <v>0</v>
      </c>
      <c r="H86" s="676" t="e">
        <f t="shared" ca="1" si="39"/>
        <v>#N/A</v>
      </c>
      <c r="I86" s="676" t="e">
        <f t="shared" ca="1" si="40"/>
        <v>#N/A</v>
      </c>
      <c r="K86" s="676">
        <f>SUMIFS('Prof. Fee'!AF$3:AF$150,'Prof. Fee'!$B$3:$B$150,$D$1,'Prof. Fee'!$D$3:$D$150,$A86)</f>
        <v>0</v>
      </c>
      <c r="L86" s="676">
        <f>SUMIFS('Prof. Fee'!AG$3:AG$150,'Prof. Fee'!$B$3:$B$150,$D$1,'Prof. Fee'!$D$3:$D$150,$A86)</f>
        <v>0</v>
      </c>
      <c r="M86" s="676">
        <f>SUMIFS('Prof. Fee'!AH$3:AH$150,'Prof. Fee'!$B$3:$B$150,$D$1,'Prof. Fee'!$D$3:$D$150,$A86)</f>
        <v>0</v>
      </c>
      <c r="N86" s="676">
        <f>SUMIFS('Prof. Fee'!AI$3:AI$150,'Prof. Fee'!$B$3:$B$150,$D$1,'Prof. Fee'!$D$3:$D$150,$A86)</f>
        <v>0</v>
      </c>
      <c r="O86" s="676">
        <f>SUMIFS('Prof. Fee'!AJ$3:AJ$150,'Prof. Fee'!$B$3:$B$150,$D$1,'Prof. Fee'!$D$3:$D$150,$A86)</f>
        <v>0</v>
      </c>
      <c r="P86" s="676">
        <f>SUMIFS('Prof. Fee'!AK$3:AK$150,'Prof. Fee'!$B$3:$B$150,$D$1,'Prof. Fee'!$D$3:$D$150,$A86)</f>
        <v>0</v>
      </c>
      <c r="Q86" s="676">
        <f>SUMIFS('Prof. Fee'!AL$3:AL$150,'Prof. Fee'!$B$3:$B$150,$D$1,'Prof. Fee'!$D$3:$D$150,$A86)</f>
        <v>0</v>
      </c>
      <c r="R86" s="676">
        <f>SUMIFS('Prof. Fee'!AM$3:AM$150,'Prof. Fee'!$B$3:$B$150,$D$1,'Prof. Fee'!$D$3:$D$150,$A86)</f>
        <v>0</v>
      </c>
      <c r="S86" s="676">
        <f>SUMIFS('Prof. Fee'!AN$3:AN$150,'Prof. Fee'!$B$3:$B$150,$D$1,'Prof. Fee'!$D$3:$D$150,$A86)</f>
        <v>0</v>
      </c>
      <c r="T86" s="676">
        <f>SUMIFS('Prof. Fee'!AO$3:AO$150,'Prof. Fee'!$B$3:$B$150,$D$1,'Prof. Fee'!$D$3:$D$150,$A86)</f>
        <v>0</v>
      </c>
      <c r="U86" s="676">
        <f>SUMIFS('Prof. Fee'!AP$3:AP$150,'Prof. Fee'!$B$3:$B$150,$D$1,'Prof. Fee'!$D$3:$D$150,$A86)</f>
        <v>0</v>
      </c>
      <c r="V86" s="676">
        <f>SUMIFS('Prof. Fee'!AQ$3:AQ$150,'Prof. Fee'!$B$3:$B$150,$D$1,'Prof. Fee'!$D$3:$D$150,$A86)</f>
        <v>0</v>
      </c>
      <c r="W86" s="676">
        <f t="shared" si="27"/>
        <v>0</v>
      </c>
      <c r="Y86" s="688">
        <f>IFERROR(VLOOKUP($A86,'[94]1月'!$A:$H,8,0),0)</f>
        <v>0</v>
      </c>
      <c r="Z86" s="688">
        <f>IFERROR(VLOOKUP($A86,'[94]2月'!$A:$H,8,0),0)</f>
        <v>0</v>
      </c>
      <c r="AA86" s="688">
        <f>IFERROR(VLOOKUP($A86,'[94]3月'!$A:$H,8,0),0)</f>
        <v>0</v>
      </c>
      <c r="AB86" s="688">
        <f>IFERROR(VLOOKUP($A86,'[94]4月'!$A:$H,8,0),0)</f>
        <v>0</v>
      </c>
      <c r="AC86" s="688">
        <f>IFERROR(VLOOKUP($A86,'[94]5月'!$A:$H,8,0),0)</f>
        <v>0</v>
      </c>
      <c r="AD86" s="688">
        <f>IFERROR(VLOOKUP($A86,'[94]6月'!$A:$H,8,0),0)</f>
        <v>0</v>
      </c>
      <c r="AE86" s="688">
        <f>IFERROR(VLOOKUP($A86,'[94]7月'!$A:$H,8,0),0)</f>
        <v>0</v>
      </c>
      <c r="AF86" s="688">
        <f>IFERROR(VLOOKUP($A86,'[94]8月'!$A:$H,8,0),0)</f>
        <v>0</v>
      </c>
      <c r="AG86" s="688">
        <f>IFERROR(VLOOKUP($A86,'[94]9月'!$A:$H,8,0),0)</f>
        <v>0</v>
      </c>
      <c r="AH86" s="688">
        <f>IFERROR(VLOOKUP($A86,'[94]10月'!$A:$H,8,0),0)</f>
        <v>0</v>
      </c>
      <c r="AI86" s="688">
        <f>IFERROR(VLOOKUP($A86,'[94]11月'!$A:$H,8,0),0)</f>
        <v>0</v>
      </c>
      <c r="AJ86" s="688">
        <f>IFERROR(VLOOKUP($A86,'[94]12月'!$A:$H,8,0),0)</f>
        <v>0</v>
      </c>
      <c r="AK86" s="688">
        <f t="shared" si="43"/>
        <v>0</v>
      </c>
    </row>
    <row r="87" spans="1:37" ht="11.1" hidden="1" customHeight="1">
      <c r="A87" s="653" t="str">
        <f>'Budget-合并'!A87</f>
        <v>6602.08.07</v>
      </c>
      <c r="B87" s="653" t="str">
        <f>'Budget-合并'!B87</f>
        <v>软件许可证费用</v>
      </c>
      <c r="C87" s="687" t="str">
        <f>'Budget-合并'!C87</f>
        <v xml:space="preserve">Software Licence Fee Exp </v>
      </c>
      <c r="D87" s="676">
        <f t="shared" si="35"/>
        <v>0</v>
      </c>
      <c r="E87" s="676" t="e">
        <f t="shared" si="36"/>
        <v>#N/A</v>
      </c>
      <c r="F87" s="676" t="e">
        <f t="shared" si="37"/>
        <v>#N/A</v>
      </c>
      <c r="G87" s="676">
        <f t="shared" ca="1" si="38"/>
        <v>0</v>
      </c>
      <c r="H87" s="676" t="e">
        <f t="shared" ca="1" si="39"/>
        <v>#N/A</v>
      </c>
      <c r="I87" s="676" t="e">
        <f t="shared" ca="1" si="40"/>
        <v>#N/A</v>
      </c>
      <c r="K87" s="676">
        <f>SUMIFS('Prof. Fee'!AF$3:AF$150,'Prof. Fee'!$B$3:$B$150,$D$1,'Prof. Fee'!$D$3:$D$150,$A87)</f>
        <v>0</v>
      </c>
      <c r="L87" s="676">
        <f>SUMIFS('Prof. Fee'!AG$3:AG$150,'Prof. Fee'!$B$3:$B$150,$D$1,'Prof. Fee'!$D$3:$D$150,$A87)</f>
        <v>0</v>
      </c>
      <c r="M87" s="676">
        <f>SUMIFS('Prof. Fee'!AH$3:AH$150,'Prof. Fee'!$B$3:$B$150,$D$1,'Prof. Fee'!$D$3:$D$150,$A87)</f>
        <v>0</v>
      </c>
      <c r="N87" s="676">
        <f>SUMIFS('Prof. Fee'!AI$3:AI$150,'Prof. Fee'!$B$3:$B$150,$D$1,'Prof. Fee'!$D$3:$D$150,$A87)</f>
        <v>0</v>
      </c>
      <c r="O87" s="676">
        <f>SUMIFS('Prof. Fee'!AJ$3:AJ$150,'Prof. Fee'!$B$3:$B$150,$D$1,'Prof. Fee'!$D$3:$D$150,$A87)</f>
        <v>0</v>
      </c>
      <c r="P87" s="676">
        <f>SUMIFS('Prof. Fee'!AK$3:AK$150,'Prof. Fee'!$B$3:$B$150,$D$1,'Prof. Fee'!$D$3:$D$150,$A87)</f>
        <v>0</v>
      </c>
      <c r="Q87" s="676">
        <f>SUMIFS('Prof. Fee'!AL$3:AL$150,'Prof. Fee'!$B$3:$B$150,$D$1,'Prof. Fee'!$D$3:$D$150,$A87)</f>
        <v>0</v>
      </c>
      <c r="R87" s="676">
        <f>SUMIFS('Prof. Fee'!AM$3:AM$150,'Prof. Fee'!$B$3:$B$150,$D$1,'Prof. Fee'!$D$3:$D$150,$A87)</f>
        <v>0</v>
      </c>
      <c r="S87" s="676">
        <f>SUMIFS('Prof. Fee'!AN$3:AN$150,'Prof. Fee'!$B$3:$B$150,$D$1,'Prof. Fee'!$D$3:$D$150,$A87)</f>
        <v>0</v>
      </c>
      <c r="T87" s="676">
        <f>SUMIFS('Prof. Fee'!AO$3:AO$150,'Prof. Fee'!$B$3:$B$150,$D$1,'Prof. Fee'!$D$3:$D$150,$A87)</f>
        <v>0</v>
      </c>
      <c r="U87" s="676">
        <f>SUMIFS('Prof. Fee'!AP$3:AP$150,'Prof. Fee'!$B$3:$B$150,$D$1,'Prof. Fee'!$D$3:$D$150,$A87)</f>
        <v>0</v>
      </c>
      <c r="V87" s="676">
        <f>SUMIFS('Prof. Fee'!AQ$3:AQ$150,'Prof. Fee'!$B$3:$B$150,$D$1,'Prof. Fee'!$D$3:$D$150,$A87)</f>
        <v>0</v>
      </c>
      <c r="W87" s="676">
        <f t="shared" ref="W87:W150" si="51">SUM(K87:V87)</f>
        <v>0</v>
      </c>
      <c r="Y87" s="688">
        <f>IFERROR(VLOOKUP($A87,'[94]1月'!$A:$H,8,0),0)</f>
        <v>0</v>
      </c>
      <c r="Z87" s="688">
        <f>IFERROR(VLOOKUP($A87,'[94]2月'!$A:$H,8,0),0)</f>
        <v>0</v>
      </c>
      <c r="AA87" s="688">
        <f>IFERROR(VLOOKUP($A87,'[94]3月'!$A:$H,8,0),0)</f>
        <v>0</v>
      </c>
      <c r="AB87" s="688">
        <f>IFERROR(VLOOKUP($A87,'[94]4月'!$A:$H,8,0),0)</f>
        <v>0</v>
      </c>
      <c r="AC87" s="688">
        <f>IFERROR(VLOOKUP($A87,'[94]5月'!$A:$H,8,0),0)</f>
        <v>0</v>
      </c>
      <c r="AD87" s="688">
        <f>IFERROR(VLOOKUP($A87,'[94]6月'!$A:$H,8,0),0)</f>
        <v>0</v>
      </c>
      <c r="AE87" s="688">
        <f>IFERROR(VLOOKUP($A87,'[94]7月'!$A:$H,8,0),0)</f>
        <v>0</v>
      </c>
      <c r="AF87" s="688">
        <f>IFERROR(VLOOKUP($A87,'[94]8月'!$A:$H,8,0),0)</f>
        <v>0</v>
      </c>
      <c r="AG87" s="688">
        <f>IFERROR(VLOOKUP($A87,'[94]9月'!$A:$H,8,0),0)</f>
        <v>0</v>
      </c>
      <c r="AH87" s="688">
        <f>IFERROR(VLOOKUP($A87,'[94]10月'!$A:$H,8,0),0)</f>
        <v>0</v>
      </c>
      <c r="AI87" s="688">
        <f>IFERROR(VLOOKUP($A87,'[94]11月'!$A:$H,8,0),0)</f>
        <v>0</v>
      </c>
      <c r="AJ87" s="688">
        <f>IFERROR(VLOOKUP($A87,'[94]12月'!$A:$H,8,0),0)</f>
        <v>0</v>
      </c>
      <c r="AK87" s="688">
        <f t="shared" si="43"/>
        <v>0</v>
      </c>
    </row>
    <row r="88" spans="1:37" ht="11.1" customHeight="1">
      <c r="A88" s="653" t="str">
        <f>'Budget-合并'!A88</f>
        <v>6602.08.08</v>
      </c>
      <c r="B88" s="653" t="str">
        <f>'Budget-合并'!B88</f>
        <v>软件使用费</v>
      </c>
      <c r="C88" s="687">
        <f>'Budget-合并'!C88</f>
        <v>0</v>
      </c>
      <c r="D88" s="676">
        <f t="shared" si="35"/>
        <v>0</v>
      </c>
      <c r="E88" s="676" t="e">
        <f t="shared" si="36"/>
        <v>#N/A</v>
      </c>
      <c r="F88" s="676" t="e">
        <f t="shared" si="37"/>
        <v>#N/A</v>
      </c>
      <c r="G88" s="676">
        <f t="shared" ca="1" si="38"/>
        <v>0</v>
      </c>
      <c r="H88" s="676" t="e">
        <f t="shared" ca="1" si="39"/>
        <v>#N/A</v>
      </c>
      <c r="I88" s="676" t="e">
        <f t="shared" ca="1" si="40"/>
        <v>#N/A</v>
      </c>
      <c r="K88" s="676">
        <f>SUMIFS('Other Exp'!AG$3:AG$196,'Other Exp'!$B$3:$B$196,$D$1,'Other Exp'!$C$3:$C$196,$A88)</f>
        <v>0</v>
      </c>
      <c r="L88" s="676">
        <f>SUMIFS('Other Exp'!AH$3:AH$196,'Other Exp'!$B$3:$B$196,$D$1,'Other Exp'!$C$3:$C$196,$A88)</f>
        <v>0</v>
      </c>
      <c r="M88" s="676">
        <f>SUMIFS('Other Exp'!AI$3:AI$196,'Other Exp'!$B$3:$B$196,$D$1,'Other Exp'!$C$3:$C$196,$A88)</f>
        <v>31794</v>
      </c>
      <c r="N88" s="676">
        <f>SUMIFS('Other Exp'!AJ$3:AJ$196,'Other Exp'!$B$3:$B$196,$D$1,'Other Exp'!$C$3:$C$196,$A88)</f>
        <v>0</v>
      </c>
      <c r="O88" s="676">
        <f>SUMIFS('Other Exp'!AK$3:AK$196,'Other Exp'!$B$3:$B$196,$D$1,'Other Exp'!$C$3:$C$196,$A88)</f>
        <v>0</v>
      </c>
      <c r="P88" s="676">
        <f>SUMIFS('Other Exp'!AL$3:AL$196,'Other Exp'!$B$3:$B$196,$D$1,'Other Exp'!$C$3:$C$196,$A88)</f>
        <v>0</v>
      </c>
      <c r="Q88" s="676">
        <f>SUMIFS('Other Exp'!AM$3:AM$196,'Other Exp'!$B$3:$B$196,$D$1,'Other Exp'!$C$3:$C$196,$A88)</f>
        <v>0</v>
      </c>
      <c r="R88" s="676">
        <f>SUMIFS('Other Exp'!AN$3:AN$196,'Other Exp'!$B$3:$B$196,$D$1,'Other Exp'!$C$3:$C$196,$A88)</f>
        <v>0</v>
      </c>
      <c r="S88" s="676">
        <f>SUMIFS('Other Exp'!AO$3:AO$196,'Other Exp'!$B$3:$B$196,$D$1,'Other Exp'!$C$3:$C$196,$A88)</f>
        <v>0</v>
      </c>
      <c r="T88" s="676">
        <f>SUMIFS('Other Exp'!AP$3:AP$196,'Other Exp'!$B$3:$B$196,$D$1,'Other Exp'!$C$3:$C$196,$A88)</f>
        <v>0</v>
      </c>
      <c r="U88" s="676">
        <f>SUMIFS('Other Exp'!AQ$3:AQ$196,'Other Exp'!$B$3:$B$196,$D$1,'Other Exp'!$C$3:$C$196,$A88)</f>
        <v>0</v>
      </c>
      <c r="V88" s="676">
        <f>SUMIFS('Other Exp'!AR$3:AR$196,'Other Exp'!$B$3:$B$196,$D$1,'Other Exp'!$C$3:$C$196,$A88)</f>
        <v>0</v>
      </c>
      <c r="W88" s="676">
        <f t="shared" si="51"/>
        <v>31794</v>
      </c>
      <c r="Y88" s="688">
        <f>IFERROR(VLOOKUP($A88,'[94]1月'!$A:$H,8,0),0)</f>
        <v>0</v>
      </c>
      <c r="Z88" s="688">
        <f>IFERROR(VLOOKUP($A88,'[94]2月'!$A:$H,8,0),0)</f>
        <v>0</v>
      </c>
      <c r="AA88" s="688">
        <f>IFERROR(VLOOKUP($A88,'[94]3月'!$A:$H,8,0),0)</f>
        <v>0</v>
      </c>
      <c r="AB88" s="688">
        <f>IFERROR(VLOOKUP($A88,'[94]4月'!$A:$H,8,0),0)</f>
        <v>0</v>
      </c>
      <c r="AC88" s="688">
        <f>IFERROR(VLOOKUP($A88,'[94]5月'!$A:$H,8,0),0)</f>
        <v>0</v>
      </c>
      <c r="AD88" s="688">
        <f>IFERROR(VLOOKUP($A88,'[94]6月'!$A:$H,8,0),0)</f>
        <v>0</v>
      </c>
      <c r="AE88" s="688">
        <f>IFERROR(VLOOKUP($A88,'[94]7月'!$A:$H,8,0),0)</f>
        <v>0</v>
      </c>
      <c r="AF88" s="688">
        <f>IFERROR(VLOOKUP($A88,'[94]8月'!$A:$H,8,0),0)</f>
        <v>254</v>
      </c>
      <c r="AG88" s="688">
        <f>IFERROR(VLOOKUP($A88,'[94]9月'!$A:$H,8,0),0)</f>
        <v>0</v>
      </c>
      <c r="AH88" s="688">
        <f>IFERROR(VLOOKUP($A88,'[94]10月'!$A:$H,8,0),0)</f>
        <v>0</v>
      </c>
      <c r="AI88" s="688">
        <f>IFERROR(VLOOKUP($A88,'[94]11月'!$A:$H,8,0),0)</f>
        <v>0</v>
      </c>
      <c r="AJ88" s="688">
        <f>IFERROR(VLOOKUP($A88,'[94]12月'!$A:$H,8,0),0)</f>
        <v>0</v>
      </c>
      <c r="AK88" s="688">
        <f t="shared" si="43"/>
        <v>254</v>
      </c>
    </row>
    <row r="89" spans="1:37" ht="11.1" hidden="1" customHeight="1">
      <c r="A89" s="653" t="str">
        <f>'Budget-合并'!A89</f>
        <v>6602.08.09</v>
      </c>
      <c r="B89" s="653" t="str">
        <f>'Budget-合并'!B89</f>
        <v>清洁服务</v>
      </c>
      <c r="C89" s="687">
        <f>'Budget-合并'!C89</f>
        <v>0</v>
      </c>
      <c r="D89" s="676">
        <f t="shared" si="35"/>
        <v>0</v>
      </c>
      <c r="E89" s="676" t="e">
        <f t="shared" si="36"/>
        <v>#N/A</v>
      </c>
      <c r="F89" s="676" t="e">
        <f t="shared" si="37"/>
        <v>#N/A</v>
      </c>
      <c r="G89" s="676">
        <f t="shared" ca="1" si="38"/>
        <v>0</v>
      </c>
      <c r="H89" s="676" t="e">
        <f t="shared" ca="1" si="39"/>
        <v>#N/A</v>
      </c>
      <c r="I89" s="676" t="e">
        <f t="shared" ca="1" si="40"/>
        <v>#N/A</v>
      </c>
      <c r="K89" s="676">
        <f>SUMIFS('Other Exp'!AG$3:AG$196,'Other Exp'!$B$3:$B$196,$D$1,'Other Exp'!$C$3:$C$196,$A89)</f>
        <v>0</v>
      </c>
      <c r="L89" s="676">
        <f>SUMIFS('Other Exp'!AH$3:AH$196,'Other Exp'!$B$3:$B$196,$D$1,'Other Exp'!$C$3:$C$196,$A89)</f>
        <v>0</v>
      </c>
      <c r="M89" s="676">
        <f>SUMIFS('Other Exp'!AI$3:AI$196,'Other Exp'!$B$3:$B$196,$D$1,'Other Exp'!$C$3:$C$196,$A89)</f>
        <v>0</v>
      </c>
      <c r="N89" s="676">
        <f>SUMIFS('Other Exp'!AJ$3:AJ$196,'Other Exp'!$B$3:$B$196,$D$1,'Other Exp'!$C$3:$C$196,$A89)</f>
        <v>0</v>
      </c>
      <c r="O89" s="676">
        <f>SUMIFS('Other Exp'!AK$3:AK$196,'Other Exp'!$B$3:$B$196,$D$1,'Other Exp'!$C$3:$C$196,$A89)</f>
        <v>0</v>
      </c>
      <c r="P89" s="676">
        <f>SUMIFS('Other Exp'!AL$3:AL$196,'Other Exp'!$B$3:$B$196,$D$1,'Other Exp'!$C$3:$C$196,$A89)</f>
        <v>0</v>
      </c>
      <c r="Q89" s="676">
        <f>SUMIFS('Other Exp'!AM$3:AM$196,'Other Exp'!$B$3:$B$196,$D$1,'Other Exp'!$C$3:$C$196,$A89)</f>
        <v>0</v>
      </c>
      <c r="R89" s="676">
        <f>SUMIFS('Other Exp'!AN$3:AN$196,'Other Exp'!$B$3:$B$196,$D$1,'Other Exp'!$C$3:$C$196,$A89)</f>
        <v>0</v>
      </c>
      <c r="S89" s="676">
        <f>SUMIFS('Other Exp'!AO$3:AO$196,'Other Exp'!$B$3:$B$196,$D$1,'Other Exp'!$C$3:$C$196,$A89)</f>
        <v>0</v>
      </c>
      <c r="T89" s="676">
        <f>SUMIFS('Other Exp'!AP$3:AP$196,'Other Exp'!$B$3:$B$196,$D$1,'Other Exp'!$C$3:$C$196,$A89)</f>
        <v>0</v>
      </c>
      <c r="U89" s="676">
        <f>SUMIFS('Other Exp'!AQ$3:AQ$196,'Other Exp'!$B$3:$B$196,$D$1,'Other Exp'!$C$3:$C$196,$A89)</f>
        <v>0</v>
      </c>
      <c r="V89" s="676">
        <f>SUMIFS('Other Exp'!AR$3:AR$196,'Other Exp'!$B$3:$B$196,$D$1,'Other Exp'!$C$3:$C$196,$A89)</f>
        <v>0</v>
      </c>
      <c r="W89" s="676">
        <f t="shared" si="51"/>
        <v>0</v>
      </c>
      <c r="Y89" s="688">
        <f>IFERROR(VLOOKUP($A89,'[94]1月'!$A:$H,8,0),0)</f>
        <v>0</v>
      </c>
      <c r="Z89" s="688">
        <f>IFERROR(VLOOKUP($A89,'[94]2月'!$A:$H,8,0),0)</f>
        <v>0</v>
      </c>
      <c r="AA89" s="688">
        <f>IFERROR(VLOOKUP($A89,'[94]3月'!$A:$H,8,0),0)</f>
        <v>0</v>
      </c>
      <c r="AB89" s="688">
        <f>IFERROR(VLOOKUP($A89,'[94]4月'!$A:$H,8,0),0)</f>
        <v>0</v>
      </c>
      <c r="AC89" s="688">
        <f>IFERROR(VLOOKUP($A89,'[94]5月'!$A:$H,8,0),0)</f>
        <v>0</v>
      </c>
      <c r="AD89" s="688">
        <f>IFERROR(VLOOKUP($A89,'[94]6月'!$A:$H,8,0),0)</f>
        <v>0</v>
      </c>
      <c r="AE89" s="688">
        <f>IFERROR(VLOOKUP($A89,'[94]7月'!$A:$H,8,0),0)</f>
        <v>0</v>
      </c>
      <c r="AF89" s="688">
        <f>IFERROR(VLOOKUP($A89,'[94]8月'!$A:$H,8,0),0)</f>
        <v>0</v>
      </c>
      <c r="AG89" s="688">
        <f>IFERROR(VLOOKUP($A89,'[94]9月'!$A:$H,8,0),0)</f>
        <v>0</v>
      </c>
      <c r="AH89" s="688">
        <f>IFERROR(VLOOKUP($A89,'[94]10月'!$A:$H,8,0),0)</f>
        <v>0</v>
      </c>
      <c r="AI89" s="688">
        <f>IFERROR(VLOOKUP($A89,'[94]11月'!$A:$H,8,0),0)</f>
        <v>0</v>
      </c>
      <c r="AJ89" s="688">
        <f>IFERROR(VLOOKUP($A89,'[94]12月'!$A:$H,8,0),0)</f>
        <v>0</v>
      </c>
      <c r="AK89" s="688">
        <f t="shared" si="43"/>
        <v>0</v>
      </c>
    </row>
    <row r="90" spans="1:37" ht="11.1" customHeight="1">
      <c r="A90" s="653" t="str">
        <f>'Budget-合并'!A90</f>
        <v>6602.08.10</v>
      </c>
      <c r="B90" s="653" t="str">
        <f>'Budget-合并'!B90</f>
        <v>电话国际直拨/电话会议收费</v>
      </c>
      <c r="C90" s="687" t="str">
        <f>'Budget-合并'!C90</f>
        <v>Telephone IDD/Teleconf Charge</v>
      </c>
      <c r="D90" s="676">
        <f t="shared" si="35"/>
        <v>300</v>
      </c>
      <c r="E90" s="676" t="e">
        <f t="shared" si="36"/>
        <v>#N/A</v>
      </c>
      <c r="F90" s="676" t="e">
        <f t="shared" si="37"/>
        <v>#N/A</v>
      </c>
      <c r="G90" s="676">
        <f t="shared" ca="1" si="38"/>
        <v>300</v>
      </c>
      <c r="H90" s="676" t="e">
        <f t="shared" ca="1" si="39"/>
        <v>#N/A</v>
      </c>
      <c r="I90" s="676" t="e">
        <f t="shared" ca="1" si="40"/>
        <v>#N/A</v>
      </c>
      <c r="K90" s="676">
        <f>SUMIFS(SPACE!O$3:O$106,SPACE!$A$3:$A$106,$D$1,SPACE!$C$3:$C$106,$A90)</f>
        <v>300</v>
      </c>
      <c r="L90" s="676">
        <f>SUMIFS(SPACE!P$3:P$106,SPACE!$A$3:$A$106,$D$1,SPACE!$C$3:$C$106,$A90)</f>
        <v>300</v>
      </c>
      <c r="M90" s="676">
        <f>SUMIFS(SPACE!Q$3:Q$106,SPACE!$A$3:$A$106,$D$1,SPACE!$C$3:$C$106,$A90)</f>
        <v>300</v>
      </c>
      <c r="N90" s="676">
        <f>SUMIFS(SPACE!R$3:R$106,SPACE!$A$3:$A$106,$D$1,SPACE!$C$3:$C$106,$A90)</f>
        <v>300</v>
      </c>
      <c r="O90" s="676">
        <f>SUMIFS(SPACE!S$3:S$106,SPACE!$A$3:$A$106,$D$1,SPACE!$C$3:$C$106,$A90)</f>
        <v>300</v>
      </c>
      <c r="P90" s="676">
        <f>SUMIFS(SPACE!T$3:T$106,SPACE!$A$3:$A$106,$D$1,SPACE!$C$3:$C$106,$A90)</f>
        <v>300</v>
      </c>
      <c r="Q90" s="676">
        <f>SUMIFS(SPACE!U$3:U$106,SPACE!$A$3:$A$106,$D$1,SPACE!$C$3:$C$106,$A90)</f>
        <v>300</v>
      </c>
      <c r="R90" s="676">
        <f>SUMIFS(SPACE!V$3:V$106,SPACE!$A$3:$A$106,$D$1,SPACE!$C$3:$C$106,$A90)</f>
        <v>300</v>
      </c>
      <c r="S90" s="676">
        <f>SUMIFS(SPACE!W$3:W$106,SPACE!$A$3:$A$106,$D$1,SPACE!$C$3:$C$106,$A90)</f>
        <v>300</v>
      </c>
      <c r="T90" s="676">
        <f>SUMIFS(SPACE!X$3:X$106,SPACE!$A$3:$A$106,$D$1,SPACE!$C$3:$C$106,$A90)</f>
        <v>300</v>
      </c>
      <c r="U90" s="676">
        <f>SUMIFS(SPACE!Y$3:Y$106,SPACE!$A$3:$A$106,$D$1,SPACE!$C$3:$C$106,$A90)</f>
        <v>300</v>
      </c>
      <c r="V90" s="676">
        <f>SUMIFS(SPACE!Z$3:Z$106,SPACE!$A$3:$A$106,$D$1,SPACE!$C$3:$C$106,$A90)</f>
        <v>300</v>
      </c>
      <c r="W90" s="676">
        <f t="shared" si="51"/>
        <v>3600</v>
      </c>
      <c r="Y90" s="688">
        <f>IFERROR(VLOOKUP($A90,'[94]1月'!$A:$H,8,0),0)</f>
        <v>0</v>
      </c>
      <c r="Z90" s="688">
        <f>IFERROR(VLOOKUP($A90,'[94]2月'!$A:$H,8,0),0)</f>
        <v>0</v>
      </c>
      <c r="AA90" s="688">
        <f>IFERROR(VLOOKUP($A90,'[94]3月'!$A:$H,8,0),0)</f>
        <v>0</v>
      </c>
      <c r="AB90" s="688">
        <f>IFERROR(VLOOKUP($A90,'[94]4月'!$A:$H,8,0),0)</f>
        <v>0</v>
      </c>
      <c r="AC90" s="688">
        <f>IFERROR(VLOOKUP($A90,'[94]5月'!$A:$H,8,0),0)</f>
        <v>0</v>
      </c>
      <c r="AD90" s="688">
        <f>IFERROR(VLOOKUP($A90,'[94]6月'!$A:$H,8,0),0)</f>
        <v>0</v>
      </c>
      <c r="AE90" s="688">
        <f>IFERROR(VLOOKUP($A90,'[94]7月'!$A:$H,8,0),0)</f>
        <v>0</v>
      </c>
      <c r="AF90" s="688">
        <f>IFERROR(VLOOKUP($A90,'[94]8月'!$A:$H,8,0),0)</f>
        <v>0</v>
      </c>
      <c r="AG90" s="688">
        <f>IFERROR(VLOOKUP($A90,'[94]9月'!$A:$H,8,0),0)</f>
        <v>0</v>
      </c>
      <c r="AH90" s="688">
        <f>IFERROR(VLOOKUP($A90,'[94]10月'!$A:$H,8,0),0)</f>
        <v>0</v>
      </c>
      <c r="AI90" s="688">
        <f>IFERROR(VLOOKUP($A90,'[94]11月'!$A:$H,8,0),0)</f>
        <v>0</v>
      </c>
      <c r="AJ90" s="688">
        <f>IFERROR(VLOOKUP($A90,'[94]12月'!$A:$H,8,0),0)</f>
        <v>0</v>
      </c>
      <c r="AK90" s="688">
        <f t="shared" si="43"/>
        <v>0</v>
      </c>
    </row>
    <row r="91" spans="1:37" ht="11.1" hidden="1" customHeight="1">
      <c r="A91" s="653" t="str">
        <f>'Budget-合并'!A91</f>
        <v>6602.08.99</v>
      </c>
      <c r="B91" s="653" t="str">
        <f>'Budget-合并'!B91</f>
        <v>其他</v>
      </c>
      <c r="C91" s="687">
        <f>'Budget-合并'!C91</f>
        <v>0</v>
      </c>
      <c r="D91" s="676">
        <f t="shared" si="35"/>
        <v>0</v>
      </c>
      <c r="E91" s="676" t="e">
        <f t="shared" si="36"/>
        <v>#N/A</v>
      </c>
      <c r="F91" s="676" t="e">
        <f t="shared" si="37"/>
        <v>#N/A</v>
      </c>
      <c r="G91" s="676">
        <f t="shared" ca="1" si="38"/>
        <v>0</v>
      </c>
      <c r="H91" s="676" t="e">
        <f t="shared" ca="1" si="39"/>
        <v>#N/A</v>
      </c>
      <c r="I91" s="676" t="e">
        <f t="shared" ca="1" si="40"/>
        <v>#N/A</v>
      </c>
      <c r="K91" s="676">
        <f>SUMIFS('Other Exp'!AG$3:AG$196,'Other Exp'!$B$3:$B$196,$D$1,'Other Exp'!$C$3:$C$196,$A91)</f>
        <v>0</v>
      </c>
      <c r="L91" s="676">
        <f>SUMIFS('Other Exp'!AH$3:AH$196,'Other Exp'!$B$3:$B$196,$D$1,'Other Exp'!$C$3:$C$196,$A91)</f>
        <v>0</v>
      </c>
      <c r="M91" s="676">
        <f>SUMIFS('Other Exp'!AI$3:AI$196,'Other Exp'!$B$3:$B$196,$D$1,'Other Exp'!$C$3:$C$196,$A91)</f>
        <v>0</v>
      </c>
      <c r="N91" s="676">
        <f>SUMIFS('Other Exp'!AJ$3:AJ$196,'Other Exp'!$B$3:$B$196,$D$1,'Other Exp'!$C$3:$C$196,$A91)</f>
        <v>0</v>
      </c>
      <c r="O91" s="676">
        <f>SUMIFS('Other Exp'!AK$3:AK$196,'Other Exp'!$B$3:$B$196,$D$1,'Other Exp'!$C$3:$C$196,$A91)</f>
        <v>0</v>
      </c>
      <c r="P91" s="676">
        <f>SUMIFS('Other Exp'!AL$3:AL$196,'Other Exp'!$B$3:$B$196,$D$1,'Other Exp'!$C$3:$C$196,$A91)</f>
        <v>0</v>
      </c>
      <c r="Q91" s="676">
        <f>SUMIFS('Other Exp'!AM$3:AM$196,'Other Exp'!$B$3:$B$196,$D$1,'Other Exp'!$C$3:$C$196,$A91)</f>
        <v>0</v>
      </c>
      <c r="R91" s="676">
        <f>SUMIFS('Other Exp'!AN$3:AN$196,'Other Exp'!$B$3:$B$196,$D$1,'Other Exp'!$C$3:$C$196,$A91)</f>
        <v>0</v>
      </c>
      <c r="S91" s="676">
        <f>SUMIFS('Other Exp'!AO$3:AO$196,'Other Exp'!$B$3:$B$196,$D$1,'Other Exp'!$C$3:$C$196,$A91)</f>
        <v>0</v>
      </c>
      <c r="T91" s="676">
        <f>SUMIFS('Other Exp'!AP$3:AP$196,'Other Exp'!$B$3:$B$196,$D$1,'Other Exp'!$C$3:$C$196,$A91)</f>
        <v>0</v>
      </c>
      <c r="U91" s="676">
        <f>SUMIFS('Other Exp'!AQ$3:AQ$196,'Other Exp'!$B$3:$B$196,$D$1,'Other Exp'!$C$3:$C$196,$A91)</f>
        <v>0</v>
      </c>
      <c r="V91" s="676">
        <f>SUMIFS('Other Exp'!AR$3:AR$196,'Other Exp'!$B$3:$B$196,$D$1,'Other Exp'!$C$3:$C$196,$A91)</f>
        <v>0</v>
      </c>
      <c r="W91" s="676">
        <f t="shared" si="51"/>
        <v>0</v>
      </c>
      <c r="Y91" s="688">
        <f>IFERROR(VLOOKUP($A91,'[94]1月'!$A:$H,8,0),0)</f>
        <v>1500.75</v>
      </c>
      <c r="Z91" s="688">
        <f>IFERROR(VLOOKUP($A91,'[94]2月'!$A:$H,8,0),0)+1000</f>
        <v>6200</v>
      </c>
      <c r="AA91" s="688">
        <f>IFERROR(VLOOKUP($A91,'[94]3月'!$A:$H,8,0),0)</f>
        <v>0</v>
      </c>
      <c r="AB91" s="688">
        <f>IFERROR(VLOOKUP($A91,'[94]4月'!$A:$H,8,0),0)</f>
        <v>0</v>
      </c>
      <c r="AC91" s="688">
        <f>IFERROR(VLOOKUP($A91,'[94]5月'!$A:$H,8,0),0)</f>
        <v>0</v>
      </c>
      <c r="AD91" s="688">
        <f>IFERROR(VLOOKUP($A91,'[94]6月'!$A:$H,8,0),0)</f>
        <v>0</v>
      </c>
      <c r="AE91" s="688">
        <f>IFERROR(VLOOKUP($A91,'[94]7月'!$A:$H,8,0),0)</f>
        <v>2400</v>
      </c>
      <c r="AF91" s="688">
        <f>IFERROR(VLOOKUP($A91,'[94]8月'!$A:$H,8,0),0)</f>
        <v>0</v>
      </c>
      <c r="AG91" s="688"/>
      <c r="AH91" s="688">
        <f>IFERROR(VLOOKUP($A91,'[94]10月'!$A:$H,8,0),0)</f>
        <v>0</v>
      </c>
      <c r="AI91" s="688">
        <f>IFERROR(VLOOKUP($A91,'[94]11月'!$A:$H,8,0),0)</f>
        <v>0</v>
      </c>
      <c r="AJ91" s="688">
        <f>IFERROR(VLOOKUP($A91,'[94]12月'!$A:$H,8,0),0)</f>
        <v>0</v>
      </c>
      <c r="AK91" s="688">
        <f t="shared" si="43"/>
        <v>10100.75</v>
      </c>
    </row>
    <row r="92" spans="1:37" ht="11.1" customHeight="1">
      <c r="A92" s="663" t="str">
        <f>'Budget-合并'!A92</f>
        <v>6602.09</v>
      </c>
      <c r="B92" s="663" t="str">
        <f>'Budget-合并'!B92</f>
        <v>差旅费</v>
      </c>
      <c r="C92" s="687">
        <f>'Budget-合并'!C92</f>
        <v>0</v>
      </c>
      <c r="D92" s="676">
        <f t="shared" si="35"/>
        <v>118762.66666666667</v>
      </c>
      <c r="E92" s="676" t="e">
        <f t="shared" si="36"/>
        <v>#N/A</v>
      </c>
      <c r="F92" s="676" t="e">
        <f t="shared" si="37"/>
        <v>#N/A</v>
      </c>
      <c r="G92" s="676">
        <f t="shared" ca="1" si="38"/>
        <v>118762.66666666667</v>
      </c>
      <c r="H92" s="676" t="e">
        <f t="shared" ca="1" si="39"/>
        <v>#N/A</v>
      </c>
      <c r="I92" s="676" t="e">
        <f t="shared" ca="1" si="40"/>
        <v>#N/A</v>
      </c>
      <c r="K92" s="676">
        <f t="shared" ref="K92:V92" si="52">SUM(K93,K97,K101,K105,K109,K113,K117,K118,K122,K126)</f>
        <v>118762.66666666667</v>
      </c>
      <c r="L92" s="676">
        <f t="shared" si="52"/>
        <v>118762.66666666667</v>
      </c>
      <c r="M92" s="676">
        <f t="shared" si="52"/>
        <v>118762.66666666667</v>
      </c>
      <c r="N92" s="676">
        <f t="shared" si="52"/>
        <v>118762.66666666667</v>
      </c>
      <c r="O92" s="676">
        <f t="shared" si="52"/>
        <v>118762.66666666667</v>
      </c>
      <c r="P92" s="676">
        <f t="shared" si="52"/>
        <v>118762.66666666667</v>
      </c>
      <c r="Q92" s="676">
        <f t="shared" si="52"/>
        <v>118762.66666666667</v>
      </c>
      <c r="R92" s="676">
        <f t="shared" si="52"/>
        <v>118762.66666666667</v>
      </c>
      <c r="S92" s="676">
        <f t="shared" si="52"/>
        <v>118762.66666666667</v>
      </c>
      <c r="T92" s="676">
        <f t="shared" si="52"/>
        <v>118762.66666666667</v>
      </c>
      <c r="U92" s="676">
        <f t="shared" si="52"/>
        <v>118762.66666666667</v>
      </c>
      <c r="V92" s="676">
        <f t="shared" si="52"/>
        <v>118762.66666666667</v>
      </c>
      <c r="W92" s="676">
        <f t="shared" si="51"/>
        <v>1425152.0000000002</v>
      </c>
      <c r="Y92" s="676">
        <f>SUM(Y93,Y97,Y101,Y105,Y109,Y113,Y117,Y118,Y122,Y126)</f>
        <v>49442.47</v>
      </c>
      <c r="Z92" s="676">
        <f t="shared" ref="Z92:AJ92" si="53">SUM(Z93,Z97,Z101,Z105,Z109,Z113,Z117,Z118,Z122,Z126)</f>
        <v>11640.75</v>
      </c>
      <c r="AA92" s="676">
        <f t="shared" si="53"/>
        <v>42883.479999999996</v>
      </c>
      <c r="AB92" s="676">
        <f t="shared" si="53"/>
        <v>36174.15</v>
      </c>
      <c r="AC92" s="676">
        <f t="shared" si="53"/>
        <v>44735.38</v>
      </c>
      <c r="AD92" s="676">
        <f t="shared" si="53"/>
        <v>45585.570000000007</v>
      </c>
      <c r="AE92" s="676">
        <f t="shared" si="53"/>
        <v>39060.730000000003</v>
      </c>
      <c r="AF92" s="676">
        <f t="shared" si="53"/>
        <v>48587.11</v>
      </c>
      <c r="AG92" s="676">
        <f t="shared" si="53"/>
        <v>52496.02</v>
      </c>
      <c r="AH92" s="676">
        <f t="shared" si="53"/>
        <v>21490.84</v>
      </c>
      <c r="AI92" s="676">
        <f t="shared" si="53"/>
        <v>52582.01</v>
      </c>
      <c r="AJ92" s="676">
        <f t="shared" si="53"/>
        <v>124260.9</v>
      </c>
      <c r="AK92" s="688">
        <f t="shared" si="43"/>
        <v>568939.41</v>
      </c>
    </row>
    <row r="93" spans="1:37" ht="11.1" customHeight="1">
      <c r="A93" s="653" t="str">
        <f>'Budget-合并'!A93</f>
        <v>6602.09.01</v>
      </c>
      <c r="B93" s="653" t="str">
        <f>'Budget-合并'!B93</f>
        <v>住宿费</v>
      </c>
      <c r="C93" s="687" t="str">
        <f>'Budget-合并'!C93</f>
        <v>Travel Lodging</v>
      </c>
      <c r="D93" s="676">
        <f t="shared" si="35"/>
        <v>44650</v>
      </c>
      <c r="E93" s="676" t="e">
        <f t="shared" si="36"/>
        <v>#N/A</v>
      </c>
      <c r="F93" s="676" t="e">
        <f t="shared" si="37"/>
        <v>#N/A</v>
      </c>
      <c r="G93" s="676">
        <f t="shared" ca="1" si="38"/>
        <v>44650</v>
      </c>
      <c r="H93" s="676" t="e">
        <f t="shared" ca="1" si="39"/>
        <v>#N/A</v>
      </c>
      <c r="I93" s="676" t="e">
        <f t="shared" ca="1" si="40"/>
        <v>#N/A</v>
      </c>
      <c r="K93" s="676">
        <f>SUM(K94:K96)</f>
        <v>44650</v>
      </c>
      <c r="L93" s="676">
        <f t="shared" ref="L93:V93" si="54">SUM(L94:L96)</f>
        <v>44650</v>
      </c>
      <c r="M93" s="676">
        <f t="shared" si="54"/>
        <v>44650</v>
      </c>
      <c r="N93" s="676">
        <f t="shared" si="54"/>
        <v>44650</v>
      </c>
      <c r="O93" s="676">
        <f t="shared" si="54"/>
        <v>44650</v>
      </c>
      <c r="P93" s="676">
        <f t="shared" si="54"/>
        <v>44650</v>
      </c>
      <c r="Q93" s="676">
        <f t="shared" si="54"/>
        <v>44650</v>
      </c>
      <c r="R93" s="676">
        <f t="shared" si="54"/>
        <v>44650</v>
      </c>
      <c r="S93" s="676">
        <f t="shared" si="54"/>
        <v>44650</v>
      </c>
      <c r="T93" s="676">
        <f t="shared" si="54"/>
        <v>44650</v>
      </c>
      <c r="U93" s="676">
        <f t="shared" si="54"/>
        <v>44650</v>
      </c>
      <c r="V93" s="676">
        <f t="shared" si="54"/>
        <v>44650</v>
      </c>
      <c r="W93" s="676">
        <f t="shared" si="51"/>
        <v>535800</v>
      </c>
      <c r="Y93" s="676">
        <f>SUM(Y94:Y96)</f>
        <v>19652.969999999998</v>
      </c>
      <c r="Z93" s="676">
        <f t="shared" ref="Z93:AJ93" si="55">SUM(Z94:Z96)</f>
        <v>3956.06</v>
      </c>
      <c r="AA93" s="676">
        <f t="shared" si="55"/>
        <v>14889.61</v>
      </c>
      <c r="AB93" s="676">
        <f t="shared" si="55"/>
        <v>18665.5</v>
      </c>
      <c r="AC93" s="676">
        <f t="shared" si="55"/>
        <v>11116.1</v>
      </c>
      <c r="AD93" s="676">
        <f t="shared" si="55"/>
        <v>16738.43</v>
      </c>
      <c r="AE93" s="676">
        <f t="shared" si="55"/>
        <v>15906.07</v>
      </c>
      <c r="AF93" s="676">
        <f t="shared" si="55"/>
        <v>17415.3</v>
      </c>
      <c r="AG93" s="676">
        <f t="shared" si="55"/>
        <v>20311.930000000008</v>
      </c>
      <c r="AH93" s="676">
        <f t="shared" si="55"/>
        <v>11299.48</v>
      </c>
      <c r="AI93" s="676">
        <f t="shared" si="55"/>
        <v>13869.94</v>
      </c>
      <c r="AJ93" s="676">
        <f t="shared" si="55"/>
        <v>14268.92</v>
      </c>
      <c r="AK93" s="688">
        <f t="shared" si="43"/>
        <v>178090.31000000006</v>
      </c>
    </row>
    <row r="94" spans="1:37" ht="11.1" customHeight="1">
      <c r="A94" s="693">
        <f>ROUND('T&amp;E'!J106/'T&amp;E'!J104,2)</f>
        <v>0.05</v>
      </c>
      <c r="B94" s="653" t="str">
        <f>'Budget-合并'!B94</f>
        <v xml:space="preserve">    公司主体03</v>
      </c>
      <c r="C94" s="687" t="str">
        <f>'Budget-合并'!C94</f>
        <v xml:space="preserve">   Entity</v>
      </c>
      <c r="D94" s="676">
        <f t="shared" si="35"/>
        <v>2232.5</v>
      </c>
      <c r="E94" s="676" t="e">
        <f t="shared" si="36"/>
        <v>#N/A</v>
      </c>
      <c r="F94" s="676" t="e">
        <f t="shared" si="37"/>
        <v>#N/A</v>
      </c>
      <c r="G94" s="676">
        <f t="shared" ca="1" si="38"/>
        <v>2232.5</v>
      </c>
      <c r="H94" s="676" t="e">
        <f t="shared" ca="1" si="39"/>
        <v>#N/A</v>
      </c>
      <c r="I94" s="676" t="e">
        <f t="shared" ca="1" si="40"/>
        <v>#N/A</v>
      </c>
      <c r="K94" s="676">
        <f>SUMIFS('T&amp;E'!N$94:N$103,'T&amp;E'!$B$94:$B$103,$D$1,'T&amp;E'!$C$94:$C$103,$A$93)*$A94</f>
        <v>2232.5</v>
      </c>
      <c r="L94" s="676">
        <f>SUMIFS('T&amp;E'!O$94:O$103,'T&amp;E'!$B$94:$B$103,$D$1,'T&amp;E'!$C$94:$C$103,$A$93)*$A94</f>
        <v>2232.5</v>
      </c>
      <c r="M94" s="676">
        <f>SUMIFS('T&amp;E'!P$94:P$103,'T&amp;E'!$B$94:$B$103,$D$1,'T&amp;E'!$C$94:$C$103,$A$93)*$A94</f>
        <v>2232.5</v>
      </c>
      <c r="N94" s="676">
        <f>SUMIFS('T&amp;E'!Q$94:Q$103,'T&amp;E'!$B$94:$B$103,$D$1,'T&amp;E'!$C$94:$C$103,$A$93)*$A94</f>
        <v>2232.5</v>
      </c>
      <c r="O94" s="676">
        <f>SUMIFS('T&amp;E'!R$94:R$103,'T&amp;E'!$B$94:$B$103,$D$1,'T&amp;E'!$C$94:$C$103,$A$93)*$A94</f>
        <v>2232.5</v>
      </c>
      <c r="P94" s="676">
        <f>SUMIFS('T&amp;E'!S$94:S$103,'T&amp;E'!$B$94:$B$103,$D$1,'T&amp;E'!$C$94:$C$103,$A$93)*$A94</f>
        <v>2232.5</v>
      </c>
      <c r="Q94" s="676">
        <f>SUMIFS('T&amp;E'!T$94:T$103,'T&amp;E'!$B$94:$B$103,$D$1,'T&amp;E'!$C$94:$C$103,$A$93)*$A94</f>
        <v>2232.5</v>
      </c>
      <c r="R94" s="676">
        <f>SUMIFS('T&amp;E'!U$94:U$103,'T&amp;E'!$B$94:$B$103,$D$1,'T&amp;E'!$C$94:$C$103,$A$93)*$A94</f>
        <v>2232.5</v>
      </c>
      <c r="S94" s="676">
        <f>SUMIFS('T&amp;E'!V$94:V$103,'T&amp;E'!$B$94:$B$103,$D$1,'T&amp;E'!$C$94:$C$103,$A$93)*$A94</f>
        <v>2232.5</v>
      </c>
      <c r="T94" s="676">
        <f>SUMIFS('T&amp;E'!W$94:W$103,'T&amp;E'!$B$94:$B$103,$D$1,'T&amp;E'!$C$94:$C$103,$A$93)*$A94</f>
        <v>2232.5</v>
      </c>
      <c r="U94" s="676">
        <f>SUMIFS('T&amp;E'!X$94:X$103,'T&amp;E'!$B$94:$B$103,$D$1,'T&amp;E'!$C$94:$C$103,$A$93)*$A94</f>
        <v>2232.5</v>
      </c>
      <c r="V94" s="676">
        <f>SUMIFS('T&amp;E'!Y$94:Y$103,'T&amp;E'!$B$94:$B$103,$D$1,'T&amp;E'!$C$94:$C$103,$A$93)*$A94</f>
        <v>2232.5</v>
      </c>
      <c r="W94" s="676">
        <f t="shared" si="51"/>
        <v>26790</v>
      </c>
      <c r="Y94" s="688">
        <v>1238.3</v>
      </c>
      <c r="Z94" s="688">
        <v>-610.24</v>
      </c>
      <c r="AA94" s="688">
        <f>IFERROR(VLOOKUP($A94,'[94]3月'!$A:$H,8,0),0)</f>
        <v>0</v>
      </c>
      <c r="AB94" s="688">
        <v>1155.6600000000001</v>
      </c>
      <c r="AC94" s="688">
        <f>IFERROR(VLOOKUP($A94,'[94]5月'!$A:$H,8,0),0)</f>
        <v>0</v>
      </c>
      <c r="AD94" s="688">
        <f>IFERROR(VLOOKUP($A94,'[94]6月'!$A:$H,8,0),0)</f>
        <v>0</v>
      </c>
      <c r="AE94" s="688">
        <f>IFERROR(VLOOKUP($A94,'[94]7月'!$A:$H,8,0),0)</f>
        <v>0</v>
      </c>
      <c r="AF94" s="688">
        <f>IFERROR(VLOOKUP($A94,'[94]8月'!$A:$H,8,0),0)</f>
        <v>0</v>
      </c>
      <c r="AG94" s="688">
        <f>IFERROR(VLOOKUP($A94,'[94]9月'!$A:$H,8,0),0)</f>
        <v>0</v>
      </c>
      <c r="AH94" s="688">
        <f>IFERROR(VLOOKUP($A94,'[94]10月'!$A:$H,8,0),0)</f>
        <v>0</v>
      </c>
      <c r="AI94" s="688">
        <v>5734.77</v>
      </c>
      <c r="AJ94" s="688">
        <f>IFERROR(VLOOKUP($A94,'[94]12月'!$A:$H,8,0),0)</f>
        <v>0</v>
      </c>
      <c r="AK94" s="688">
        <f t="shared" si="43"/>
        <v>7518.4900000000007</v>
      </c>
    </row>
    <row r="95" spans="1:37" ht="11.1" customHeight="1">
      <c r="A95" s="693">
        <f>ROUND('T&amp;E'!J105/'T&amp;E'!J104,2)</f>
        <v>0.95</v>
      </c>
      <c r="B95" s="653" t="str">
        <f>'Budget-合并'!B95</f>
        <v xml:space="preserve">    旭智富能03</v>
      </c>
      <c r="C95" s="687" t="str">
        <f>'Budget-合并'!C95</f>
        <v xml:space="preserve">   Foxpower</v>
      </c>
      <c r="D95" s="676">
        <f t="shared" si="35"/>
        <v>42417.5</v>
      </c>
      <c r="E95" s="676" t="e">
        <f t="shared" si="36"/>
        <v>#N/A</v>
      </c>
      <c r="F95" s="676" t="e">
        <f t="shared" si="37"/>
        <v>#N/A</v>
      </c>
      <c r="G95" s="676">
        <f t="shared" ca="1" si="38"/>
        <v>42417.5</v>
      </c>
      <c r="H95" s="676" t="e">
        <f t="shared" ca="1" si="39"/>
        <v>#N/A</v>
      </c>
      <c r="I95" s="676" t="e">
        <f t="shared" ca="1" si="40"/>
        <v>#N/A</v>
      </c>
      <c r="K95" s="676">
        <f>SUMIFS('T&amp;E'!N$94:N$103,'T&amp;E'!$B$94:$B$103,$D$1,'T&amp;E'!$C$94:$C$103,$A$93)*$A95</f>
        <v>42417.5</v>
      </c>
      <c r="L95" s="676">
        <f>SUMIFS('T&amp;E'!O$94:O$103,'T&amp;E'!$B$94:$B$103,$D$1,'T&amp;E'!$C$94:$C$103,$A$93)*$A95</f>
        <v>42417.5</v>
      </c>
      <c r="M95" s="676">
        <f>SUMIFS('T&amp;E'!P$94:P$103,'T&amp;E'!$B$94:$B$103,$D$1,'T&amp;E'!$C$94:$C$103,$A$93)*$A95</f>
        <v>42417.5</v>
      </c>
      <c r="N95" s="676">
        <f>SUMIFS('T&amp;E'!Q$94:Q$103,'T&amp;E'!$B$94:$B$103,$D$1,'T&amp;E'!$C$94:$C$103,$A$93)*$A95</f>
        <v>42417.5</v>
      </c>
      <c r="O95" s="676">
        <f>SUMIFS('T&amp;E'!R$94:R$103,'T&amp;E'!$B$94:$B$103,$D$1,'T&amp;E'!$C$94:$C$103,$A$93)*$A95</f>
        <v>42417.5</v>
      </c>
      <c r="P95" s="676">
        <f>SUMIFS('T&amp;E'!S$94:S$103,'T&amp;E'!$B$94:$B$103,$D$1,'T&amp;E'!$C$94:$C$103,$A$93)*$A95</f>
        <v>42417.5</v>
      </c>
      <c r="Q95" s="676">
        <f>SUMIFS('T&amp;E'!T$94:T$103,'T&amp;E'!$B$94:$B$103,$D$1,'T&amp;E'!$C$94:$C$103,$A$93)*$A95</f>
        <v>42417.5</v>
      </c>
      <c r="R95" s="676">
        <f>SUMIFS('T&amp;E'!U$94:U$103,'T&amp;E'!$B$94:$B$103,$D$1,'T&amp;E'!$C$94:$C$103,$A$93)*$A95</f>
        <v>42417.5</v>
      </c>
      <c r="S95" s="676">
        <f>SUMIFS('T&amp;E'!V$94:V$103,'T&amp;E'!$B$94:$B$103,$D$1,'T&amp;E'!$C$94:$C$103,$A$93)*$A95</f>
        <v>42417.5</v>
      </c>
      <c r="T95" s="676">
        <f>SUMIFS('T&amp;E'!W$94:W$103,'T&amp;E'!$B$94:$B$103,$D$1,'T&amp;E'!$C$94:$C$103,$A$93)*$A95</f>
        <v>42417.5</v>
      </c>
      <c r="U95" s="676">
        <f>SUMIFS('T&amp;E'!X$94:X$103,'T&amp;E'!$B$94:$B$103,$D$1,'T&amp;E'!$C$94:$C$103,$A$93)*$A95</f>
        <v>42417.5</v>
      </c>
      <c r="V95" s="676">
        <f>SUMIFS('T&amp;E'!Y$94:Y$103,'T&amp;E'!$B$94:$B$103,$D$1,'T&amp;E'!$C$94:$C$103,$A$93)*$A95</f>
        <v>42417.5</v>
      </c>
      <c r="W95" s="676">
        <f t="shared" si="51"/>
        <v>509010</v>
      </c>
      <c r="Y95" s="688">
        <v>17599.53</v>
      </c>
      <c r="Z95" s="688">
        <v>4612.4399999999996</v>
      </c>
      <c r="AA95" s="688">
        <v>13394.33</v>
      </c>
      <c r="AB95" s="688">
        <v>14415.5</v>
      </c>
      <c r="AC95" s="688">
        <v>11116.1</v>
      </c>
      <c r="AD95" s="688">
        <v>16738.43</v>
      </c>
      <c r="AE95" s="688">
        <v>15906.07</v>
      </c>
      <c r="AF95" s="688">
        <v>17415.3</v>
      </c>
      <c r="AG95" s="688">
        <f>131509.63-SUM(Y95:AF95)</f>
        <v>20311.930000000008</v>
      </c>
      <c r="AH95" s="688">
        <v>11299.48</v>
      </c>
      <c r="AI95" s="688">
        <v>8135.17</v>
      </c>
      <c r="AJ95" s="688">
        <v>14268.92</v>
      </c>
      <c r="AK95" s="688">
        <f t="shared" si="43"/>
        <v>165213.20000000004</v>
      </c>
    </row>
    <row r="96" spans="1:37" ht="11.1" hidden="1" customHeight="1">
      <c r="A96" s="694">
        <f>'Budget-合并'!A96</f>
        <v>0</v>
      </c>
      <c r="B96" s="653" t="str">
        <f>'Budget-合并'!B96</f>
        <v xml:space="preserve">    其他项目03</v>
      </c>
      <c r="C96" s="687" t="str">
        <f>'Budget-合并'!C96</f>
        <v xml:space="preserve">   Other project</v>
      </c>
      <c r="D96" s="676">
        <f t="shared" si="35"/>
        <v>0</v>
      </c>
      <c r="E96" s="676" t="e">
        <f t="shared" si="36"/>
        <v>#N/A</v>
      </c>
      <c r="F96" s="676" t="e">
        <f t="shared" si="37"/>
        <v>#N/A</v>
      </c>
      <c r="G96" s="676">
        <f t="shared" ca="1" si="38"/>
        <v>0</v>
      </c>
      <c r="H96" s="676" t="e">
        <f t="shared" ca="1" si="39"/>
        <v>#N/A</v>
      </c>
      <c r="I96" s="676" t="e">
        <f t="shared" ca="1" si="40"/>
        <v>#N/A</v>
      </c>
      <c r="K96" s="676"/>
      <c r="L96" s="676"/>
      <c r="M96" s="676"/>
      <c r="N96" s="676"/>
      <c r="O96" s="676"/>
      <c r="P96" s="676"/>
      <c r="Q96" s="676"/>
      <c r="R96" s="676"/>
      <c r="S96" s="676"/>
      <c r="T96" s="676"/>
      <c r="U96" s="676"/>
      <c r="V96" s="676"/>
      <c r="W96" s="676">
        <f t="shared" si="51"/>
        <v>0</v>
      </c>
      <c r="Y96" s="688">
        <v>815.14</v>
      </c>
      <c r="Z96" s="688">
        <v>-46.14</v>
      </c>
      <c r="AA96" s="688">
        <v>1495.28</v>
      </c>
      <c r="AB96" s="688">
        <v>3094.34</v>
      </c>
      <c r="AC96" s="688">
        <f>IFERROR(VLOOKUP($A96,'[94]5月'!$A:$H,8,0),0)</f>
        <v>0</v>
      </c>
      <c r="AD96" s="688">
        <f>IFERROR(VLOOKUP($A96,'[94]6月'!$A:$H,8,0),0)</f>
        <v>0</v>
      </c>
      <c r="AE96" s="688">
        <f>IFERROR(VLOOKUP($A96,'[94]7月'!$A:$H,8,0),0)</f>
        <v>0</v>
      </c>
      <c r="AF96" s="688">
        <f>IFERROR(VLOOKUP($A96,'[94]8月'!$A:$H,8,0),0)</f>
        <v>0</v>
      </c>
      <c r="AG96" s="688">
        <f>IFERROR(VLOOKUP($A96,'[94]9月'!$A:$H,8,0),0)</f>
        <v>0</v>
      </c>
      <c r="AH96" s="688">
        <f>IFERROR(VLOOKUP($A96,'[94]10月'!$A:$H,8,0),0)</f>
        <v>0</v>
      </c>
      <c r="AI96" s="688">
        <f>IFERROR(VLOOKUP($A96,'[94]11月'!$A:$H,8,0),0)</f>
        <v>0</v>
      </c>
      <c r="AJ96" s="688">
        <f>IFERROR(VLOOKUP($A96,'[94]12月'!$A:$H,8,0),0)</f>
        <v>0</v>
      </c>
      <c r="AK96" s="688">
        <f t="shared" si="43"/>
        <v>5358.62</v>
      </c>
    </row>
    <row r="97" spans="1:37" ht="11.1" customHeight="1">
      <c r="A97" s="653" t="str">
        <f>'Budget-合并'!A97</f>
        <v>6602.09.02</v>
      </c>
      <c r="B97" s="653" t="str">
        <f>'Budget-合并'!B97</f>
        <v>伙食费</v>
      </c>
      <c r="C97" s="687">
        <f>'Budget-合并'!C97</f>
        <v>0</v>
      </c>
      <c r="D97" s="676">
        <f t="shared" si="35"/>
        <v>17800</v>
      </c>
      <c r="E97" s="676" t="e">
        <f t="shared" si="36"/>
        <v>#N/A</v>
      </c>
      <c r="F97" s="676" t="e">
        <f t="shared" si="37"/>
        <v>#N/A</v>
      </c>
      <c r="G97" s="676">
        <f t="shared" ca="1" si="38"/>
        <v>17800</v>
      </c>
      <c r="H97" s="676" t="e">
        <f t="shared" ca="1" si="39"/>
        <v>#N/A</v>
      </c>
      <c r="I97" s="676" t="e">
        <f t="shared" ca="1" si="40"/>
        <v>#N/A</v>
      </c>
      <c r="K97" s="676">
        <f t="shared" ref="K97:V97" si="56">SUM(K98:K100)</f>
        <v>17800</v>
      </c>
      <c r="L97" s="676">
        <f t="shared" si="56"/>
        <v>17800</v>
      </c>
      <c r="M97" s="676">
        <f t="shared" si="56"/>
        <v>17800</v>
      </c>
      <c r="N97" s="676">
        <f t="shared" si="56"/>
        <v>17800</v>
      </c>
      <c r="O97" s="676">
        <f t="shared" si="56"/>
        <v>17800</v>
      </c>
      <c r="P97" s="676">
        <f t="shared" si="56"/>
        <v>17800</v>
      </c>
      <c r="Q97" s="676">
        <f t="shared" si="56"/>
        <v>17800</v>
      </c>
      <c r="R97" s="676">
        <f t="shared" si="56"/>
        <v>17800</v>
      </c>
      <c r="S97" s="676">
        <f t="shared" si="56"/>
        <v>17800</v>
      </c>
      <c r="T97" s="676">
        <f t="shared" si="56"/>
        <v>17800</v>
      </c>
      <c r="U97" s="676">
        <f t="shared" si="56"/>
        <v>17800</v>
      </c>
      <c r="V97" s="676">
        <f t="shared" si="56"/>
        <v>17800</v>
      </c>
      <c r="W97" s="676">
        <f t="shared" si="51"/>
        <v>213600</v>
      </c>
      <c r="Y97" s="676">
        <f>SUM(Y98:Y100)</f>
        <v>0</v>
      </c>
      <c r="Z97" s="676">
        <f t="shared" ref="Z97:AJ97" si="57">SUM(Z98:Z100)</f>
        <v>0</v>
      </c>
      <c r="AA97" s="676">
        <f t="shared" si="57"/>
        <v>2560.37</v>
      </c>
      <c r="AB97" s="676">
        <f t="shared" si="57"/>
        <v>0</v>
      </c>
      <c r="AC97" s="676">
        <f t="shared" si="57"/>
        <v>8579.6</v>
      </c>
      <c r="AD97" s="676">
        <f t="shared" si="57"/>
        <v>1175.9000000000001</v>
      </c>
      <c r="AE97" s="676">
        <f t="shared" si="57"/>
        <v>1090</v>
      </c>
      <c r="AF97" s="676">
        <f t="shared" si="57"/>
        <v>1080</v>
      </c>
      <c r="AG97" s="676">
        <f t="shared" si="57"/>
        <v>2877.2299999999977</v>
      </c>
      <c r="AH97" s="676">
        <f t="shared" si="57"/>
        <v>0</v>
      </c>
      <c r="AI97" s="676">
        <f t="shared" si="57"/>
        <v>1943.45</v>
      </c>
      <c r="AJ97" s="676">
        <f t="shared" si="57"/>
        <v>9856.7999999999993</v>
      </c>
      <c r="AK97" s="688">
        <f t="shared" si="43"/>
        <v>29163.35</v>
      </c>
    </row>
    <row r="98" spans="1:37" ht="11.1" customHeight="1">
      <c r="A98" s="693">
        <f>$A$94</f>
        <v>0.05</v>
      </c>
      <c r="B98" s="653" t="str">
        <f>'Budget-合并'!B98</f>
        <v xml:space="preserve">    公司主体04</v>
      </c>
      <c r="C98" s="687" t="str">
        <f>'Budget-合并'!C98</f>
        <v xml:space="preserve">   Entity</v>
      </c>
      <c r="D98" s="676">
        <f t="shared" si="35"/>
        <v>890</v>
      </c>
      <c r="E98" s="676" t="e">
        <f t="shared" si="36"/>
        <v>#N/A</v>
      </c>
      <c r="F98" s="676" t="e">
        <f t="shared" si="37"/>
        <v>#N/A</v>
      </c>
      <c r="G98" s="676">
        <f t="shared" ca="1" si="38"/>
        <v>890</v>
      </c>
      <c r="H98" s="676" t="e">
        <f t="shared" ca="1" si="39"/>
        <v>#N/A</v>
      </c>
      <c r="I98" s="676" t="e">
        <f t="shared" ca="1" si="40"/>
        <v>#N/A</v>
      </c>
      <c r="K98" s="676">
        <f>SUMIFS('T&amp;E'!N$94:N$103,'T&amp;E'!$B$94:$B$103,$D$1,'T&amp;E'!$C$94:$C$103,$A$97)*$A98</f>
        <v>890</v>
      </c>
      <c r="L98" s="676">
        <f>SUMIFS('T&amp;E'!O$94:O$103,'T&amp;E'!$B$94:$B$103,$D$1,'T&amp;E'!$C$94:$C$103,$A$97)*$A98</f>
        <v>890</v>
      </c>
      <c r="M98" s="676">
        <f>SUMIFS('T&amp;E'!P$94:P$103,'T&amp;E'!$B$94:$B$103,$D$1,'T&amp;E'!$C$94:$C$103,$A$97)*$A98</f>
        <v>890</v>
      </c>
      <c r="N98" s="676">
        <f>SUMIFS('T&amp;E'!Q$94:Q$103,'T&amp;E'!$B$94:$B$103,$D$1,'T&amp;E'!$C$94:$C$103,$A$97)*$A98</f>
        <v>890</v>
      </c>
      <c r="O98" s="676">
        <f>SUMIFS('T&amp;E'!R$94:R$103,'T&amp;E'!$B$94:$B$103,$D$1,'T&amp;E'!$C$94:$C$103,$A$97)*$A98</f>
        <v>890</v>
      </c>
      <c r="P98" s="676">
        <f>SUMIFS('T&amp;E'!S$94:S$103,'T&amp;E'!$B$94:$B$103,$D$1,'T&amp;E'!$C$94:$C$103,$A$97)*$A98</f>
        <v>890</v>
      </c>
      <c r="Q98" s="676">
        <f>SUMIFS('T&amp;E'!T$94:T$103,'T&amp;E'!$B$94:$B$103,$D$1,'T&amp;E'!$C$94:$C$103,$A$97)*$A98</f>
        <v>890</v>
      </c>
      <c r="R98" s="676">
        <f>SUMIFS('T&amp;E'!U$94:U$103,'T&amp;E'!$B$94:$B$103,$D$1,'T&amp;E'!$C$94:$C$103,$A$97)*$A98</f>
        <v>890</v>
      </c>
      <c r="S98" s="676">
        <f>SUMIFS('T&amp;E'!V$94:V$103,'T&amp;E'!$B$94:$B$103,$D$1,'T&amp;E'!$C$94:$C$103,$A$97)*$A98</f>
        <v>890</v>
      </c>
      <c r="T98" s="676">
        <f>SUMIFS('T&amp;E'!W$94:W$103,'T&amp;E'!$B$94:$B$103,$D$1,'T&amp;E'!$C$94:$C$103,$A$97)*$A98</f>
        <v>890</v>
      </c>
      <c r="U98" s="676">
        <f>SUMIFS('T&amp;E'!X$94:X$103,'T&amp;E'!$B$94:$B$103,$D$1,'T&amp;E'!$C$94:$C$103,$A$97)*$A98</f>
        <v>890</v>
      </c>
      <c r="V98" s="676">
        <f>SUMIFS('T&amp;E'!Y$94:Y$103,'T&amp;E'!$B$94:$B$103,$D$1,'T&amp;E'!$C$94:$C$103,$A$97)*$A98</f>
        <v>890</v>
      </c>
      <c r="W98" s="676">
        <f t="shared" si="51"/>
        <v>10680</v>
      </c>
      <c r="Y98" s="688">
        <f>IFERROR(VLOOKUP($A98,'[94]1月'!$A:$H,8,0),0)</f>
        <v>0</v>
      </c>
      <c r="Z98" s="688">
        <f>IFERROR(VLOOKUP($A98,'[94]2月'!$A:$H,8,0),0)</f>
        <v>0</v>
      </c>
      <c r="AA98" s="688">
        <v>620</v>
      </c>
      <c r="AB98" s="688">
        <f>IFERROR(VLOOKUP($A98,'[94]4月'!$A:$H,8,0),0)</f>
        <v>0</v>
      </c>
      <c r="AC98" s="688">
        <v>304</v>
      </c>
      <c r="AD98" s="688">
        <f>IFERROR(VLOOKUP($A98,'[94]6月'!$A:$H,8,0),0)</f>
        <v>0</v>
      </c>
      <c r="AE98" s="688">
        <f>IFERROR(VLOOKUP($A98,'[94]7月'!$A:$H,8,0),0)</f>
        <v>0</v>
      </c>
      <c r="AF98" s="688">
        <f>IFERROR(VLOOKUP($A98,'[94]8月'!$A:$H,8,0),0)</f>
        <v>0</v>
      </c>
      <c r="AG98" s="688">
        <f>IFERROR(VLOOKUP($A98,'[94]9月'!$A:$H,8,0),0)</f>
        <v>0</v>
      </c>
      <c r="AH98" s="688">
        <f>IFERROR(VLOOKUP($A98,'[94]10月'!$A:$H,8,0),0)</f>
        <v>0</v>
      </c>
      <c r="AI98" s="688">
        <f>IFERROR(VLOOKUP($A98,'[94]11月'!$A:$H,8,0),0)</f>
        <v>0</v>
      </c>
      <c r="AJ98" s="688">
        <f>IFERROR(VLOOKUP($A98,'[94]12月'!$A:$H,8,0),0)</f>
        <v>0</v>
      </c>
      <c r="AK98" s="688">
        <f t="shared" si="43"/>
        <v>924</v>
      </c>
    </row>
    <row r="99" spans="1:37" ht="11.1" customHeight="1">
      <c r="A99" s="693">
        <f>$A$95</f>
        <v>0.95</v>
      </c>
      <c r="B99" s="653" t="str">
        <f>'Budget-合并'!B99</f>
        <v xml:space="preserve">    旭智富能04</v>
      </c>
      <c r="C99" s="687" t="str">
        <f>'Budget-合并'!C99</f>
        <v xml:space="preserve">   Foxpower</v>
      </c>
      <c r="D99" s="676">
        <f t="shared" si="35"/>
        <v>16910</v>
      </c>
      <c r="E99" s="676" t="e">
        <f t="shared" si="36"/>
        <v>#N/A</v>
      </c>
      <c r="F99" s="676" t="e">
        <f t="shared" si="37"/>
        <v>#N/A</v>
      </c>
      <c r="G99" s="676">
        <f t="shared" ca="1" si="38"/>
        <v>16910</v>
      </c>
      <c r="H99" s="676" t="e">
        <f t="shared" ca="1" si="39"/>
        <v>#N/A</v>
      </c>
      <c r="I99" s="676" t="e">
        <f t="shared" ca="1" si="40"/>
        <v>#N/A</v>
      </c>
      <c r="K99" s="676">
        <f>SUMIFS('T&amp;E'!N$94:N$103,'T&amp;E'!$B$94:$B$103,$D$1,'T&amp;E'!$C$94:$C$103,$A$97)*$A99</f>
        <v>16910</v>
      </c>
      <c r="L99" s="676">
        <f>SUMIFS('T&amp;E'!O$94:O$103,'T&amp;E'!$B$94:$B$103,$D$1,'T&amp;E'!$C$94:$C$103,$A$97)*$A99</f>
        <v>16910</v>
      </c>
      <c r="M99" s="676">
        <f>SUMIFS('T&amp;E'!P$94:P$103,'T&amp;E'!$B$94:$B$103,$D$1,'T&amp;E'!$C$94:$C$103,$A$97)*$A99</f>
        <v>16910</v>
      </c>
      <c r="N99" s="676">
        <f>SUMIFS('T&amp;E'!Q$94:Q$103,'T&amp;E'!$B$94:$B$103,$D$1,'T&amp;E'!$C$94:$C$103,$A$97)*$A99</f>
        <v>16910</v>
      </c>
      <c r="O99" s="676">
        <f>SUMIFS('T&amp;E'!R$94:R$103,'T&amp;E'!$B$94:$B$103,$D$1,'T&amp;E'!$C$94:$C$103,$A$97)*$A99</f>
        <v>16910</v>
      </c>
      <c r="P99" s="676">
        <f>SUMIFS('T&amp;E'!S$94:S$103,'T&amp;E'!$B$94:$B$103,$D$1,'T&amp;E'!$C$94:$C$103,$A$97)*$A99</f>
        <v>16910</v>
      </c>
      <c r="Q99" s="676">
        <f>SUMIFS('T&amp;E'!T$94:T$103,'T&amp;E'!$B$94:$B$103,$D$1,'T&amp;E'!$C$94:$C$103,$A$97)*$A99</f>
        <v>16910</v>
      </c>
      <c r="R99" s="676">
        <f>SUMIFS('T&amp;E'!U$94:U$103,'T&amp;E'!$B$94:$B$103,$D$1,'T&amp;E'!$C$94:$C$103,$A$97)*$A99</f>
        <v>16910</v>
      </c>
      <c r="S99" s="676">
        <f>SUMIFS('T&amp;E'!V$94:V$103,'T&amp;E'!$B$94:$B$103,$D$1,'T&amp;E'!$C$94:$C$103,$A$97)*$A99</f>
        <v>16910</v>
      </c>
      <c r="T99" s="676">
        <f>SUMIFS('T&amp;E'!W$94:W$103,'T&amp;E'!$B$94:$B$103,$D$1,'T&amp;E'!$C$94:$C$103,$A$97)*$A99</f>
        <v>16910</v>
      </c>
      <c r="U99" s="676">
        <f>SUMIFS('T&amp;E'!X$94:X$103,'T&amp;E'!$B$94:$B$103,$D$1,'T&amp;E'!$C$94:$C$103,$A$97)*$A99</f>
        <v>16910</v>
      </c>
      <c r="V99" s="676">
        <f>SUMIFS('T&amp;E'!Y$94:Y$103,'T&amp;E'!$B$94:$B$103,$D$1,'T&amp;E'!$C$94:$C$103,$A$97)*$A99</f>
        <v>16910</v>
      </c>
      <c r="W99" s="676">
        <f t="shared" si="51"/>
        <v>202920</v>
      </c>
      <c r="Y99" s="688">
        <f>IFERROR(VLOOKUP($A99,'[94]1月'!$A:$H,8,0),0)</f>
        <v>0</v>
      </c>
      <c r="Z99" s="688">
        <f>IFERROR(VLOOKUP($A99,'[94]2月'!$A:$H,8,0),0)</f>
        <v>0</v>
      </c>
      <c r="AA99" s="688">
        <v>1940.37</v>
      </c>
      <c r="AB99" s="688">
        <f>IFERROR(VLOOKUP($A99,'[94]4月'!$A:$H,8,0),0)</f>
        <v>0</v>
      </c>
      <c r="AC99" s="688">
        <v>8275.6</v>
      </c>
      <c r="AD99" s="688">
        <v>1175.9000000000001</v>
      </c>
      <c r="AE99" s="688">
        <v>1090</v>
      </c>
      <c r="AF99" s="688">
        <v>1080</v>
      </c>
      <c r="AG99" s="688">
        <f>16439.1-SUM(Y99:AF99)</f>
        <v>2877.2299999999977</v>
      </c>
      <c r="AH99" s="688">
        <f>IFERROR(VLOOKUP($A99,'[94]10月'!$A:$H,8,0),0)</f>
        <v>0</v>
      </c>
      <c r="AI99" s="688">
        <v>1943.45</v>
      </c>
      <c r="AJ99" s="688">
        <v>9856.7999999999993</v>
      </c>
      <c r="AK99" s="688">
        <f t="shared" si="43"/>
        <v>28239.35</v>
      </c>
    </row>
    <row r="100" spans="1:37" ht="11.1" hidden="1" customHeight="1">
      <c r="A100" s="653">
        <f>'Budget-合并'!A100</f>
        <v>0</v>
      </c>
      <c r="B100" s="653" t="str">
        <f>'Budget-合并'!B100</f>
        <v xml:space="preserve">    其他项目04</v>
      </c>
      <c r="C100" s="687" t="str">
        <f>'Budget-合并'!C100</f>
        <v xml:space="preserve">   Other project</v>
      </c>
      <c r="D100" s="676">
        <f t="shared" si="35"/>
        <v>0</v>
      </c>
      <c r="E100" s="676" t="e">
        <f t="shared" si="36"/>
        <v>#N/A</v>
      </c>
      <c r="F100" s="676" t="e">
        <f t="shared" si="37"/>
        <v>#N/A</v>
      </c>
      <c r="G100" s="676">
        <f t="shared" ca="1" si="38"/>
        <v>0</v>
      </c>
      <c r="H100" s="676" t="e">
        <f t="shared" ca="1" si="39"/>
        <v>#N/A</v>
      </c>
      <c r="I100" s="676" t="e">
        <f t="shared" ca="1" si="40"/>
        <v>#N/A</v>
      </c>
      <c r="K100" s="676"/>
      <c r="L100" s="676"/>
      <c r="M100" s="676"/>
      <c r="N100" s="676"/>
      <c r="O100" s="676"/>
      <c r="P100" s="676"/>
      <c r="Q100" s="676"/>
      <c r="R100" s="676"/>
      <c r="S100" s="676"/>
      <c r="T100" s="676"/>
      <c r="U100" s="676"/>
      <c r="V100" s="676"/>
      <c r="W100" s="676">
        <f t="shared" si="51"/>
        <v>0</v>
      </c>
      <c r="Y100" s="688">
        <f>IFERROR(VLOOKUP($A100,'[94]1月'!$A:$H,8,0),0)</f>
        <v>0</v>
      </c>
      <c r="Z100" s="688">
        <f>IFERROR(VLOOKUP($A100,'[94]2月'!$A:$H,8,0),0)</f>
        <v>0</v>
      </c>
      <c r="AA100" s="688">
        <f>IFERROR(VLOOKUP($A100,'[94]3月'!$A:$H,8,0),0)</f>
        <v>0</v>
      </c>
      <c r="AB100" s="688">
        <f>IFERROR(VLOOKUP($A100,'[94]4月'!$A:$H,8,0),0)</f>
        <v>0</v>
      </c>
      <c r="AC100" s="688">
        <f>IFERROR(VLOOKUP($A100,'[94]5月'!$A:$H,8,0),0)</f>
        <v>0</v>
      </c>
      <c r="AD100" s="688">
        <f>IFERROR(VLOOKUP($A100,'[94]6月'!$A:$H,8,0),0)</f>
        <v>0</v>
      </c>
      <c r="AE100" s="688">
        <f>IFERROR(VLOOKUP($A100,'[94]7月'!$A:$H,8,0),0)</f>
        <v>0</v>
      </c>
      <c r="AF100" s="688">
        <f>IFERROR(VLOOKUP($A100,'[94]8月'!$A:$H,8,0),0)</f>
        <v>0</v>
      </c>
      <c r="AG100" s="688">
        <f>IFERROR(VLOOKUP($A100,'[94]9月'!$A:$H,8,0),0)</f>
        <v>0</v>
      </c>
      <c r="AH100" s="688">
        <f>IFERROR(VLOOKUP($A100,'[94]10月'!$A:$H,8,0),0)</f>
        <v>0</v>
      </c>
      <c r="AI100" s="688">
        <f>IFERROR(VLOOKUP($A100,'[94]11月'!$A:$H,8,0),0)</f>
        <v>0</v>
      </c>
      <c r="AJ100" s="688">
        <f>IFERROR(VLOOKUP($A100,'[94]12月'!$A:$H,8,0),0)</f>
        <v>0</v>
      </c>
      <c r="AK100" s="688">
        <f t="shared" si="43"/>
        <v>0</v>
      </c>
    </row>
    <row r="101" spans="1:37" ht="11.1" customHeight="1">
      <c r="A101" s="653" t="str">
        <f>'Budget-合并'!A101</f>
        <v>6602.09.03</v>
      </c>
      <c r="B101" s="653" t="str">
        <f>'Budget-合并'!B101</f>
        <v>地面交通费</v>
      </c>
      <c r="C101" s="687" t="str">
        <f>'Budget-合并'!C101</f>
        <v>Travel Ground Transport - Outstation</v>
      </c>
      <c r="D101" s="676">
        <f t="shared" si="35"/>
        <v>27800</v>
      </c>
      <c r="E101" s="676" t="e">
        <f t="shared" si="36"/>
        <v>#N/A</v>
      </c>
      <c r="F101" s="676" t="e">
        <f t="shared" si="37"/>
        <v>#N/A</v>
      </c>
      <c r="G101" s="676">
        <f t="shared" ca="1" si="38"/>
        <v>27800</v>
      </c>
      <c r="H101" s="676" t="e">
        <f t="shared" ca="1" si="39"/>
        <v>#N/A</v>
      </c>
      <c r="I101" s="676" t="e">
        <f t="shared" ca="1" si="40"/>
        <v>#N/A</v>
      </c>
      <c r="K101" s="676">
        <f t="shared" ref="K101:V101" si="58">SUM(K102:K104)</f>
        <v>27800</v>
      </c>
      <c r="L101" s="676">
        <f t="shared" si="58"/>
        <v>27800</v>
      </c>
      <c r="M101" s="676">
        <f t="shared" si="58"/>
        <v>27800</v>
      </c>
      <c r="N101" s="676">
        <f t="shared" si="58"/>
        <v>27800</v>
      </c>
      <c r="O101" s="676">
        <f t="shared" si="58"/>
        <v>27800</v>
      </c>
      <c r="P101" s="676">
        <f t="shared" si="58"/>
        <v>27800</v>
      </c>
      <c r="Q101" s="676">
        <f t="shared" si="58"/>
        <v>27800</v>
      </c>
      <c r="R101" s="676">
        <f t="shared" si="58"/>
        <v>27800</v>
      </c>
      <c r="S101" s="676">
        <f t="shared" si="58"/>
        <v>27800</v>
      </c>
      <c r="T101" s="676">
        <f t="shared" si="58"/>
        <v>27800</v>
      </c>
      <c r="U101" s="676">
        <f t="shared" si="58"/>
        <v>27800</v>
      </c>
      <c r="V101" s="676">
        <f t="shared" si="58"/>
        <v>27800</v>
      </c>
      <c r="W101" s="676">
        <f t="shared" si="51"/>
        <v>333600</v>
      </c>
      <c r="Y101" s="676">
        <f>SUM(Y102:Y104)</f>
        <v>6520.5</v>
      </c>
      <c r="Z101" s="676">
        <f t="shared" ref="Z101:AJ101" si="59">SUM(Z102:Z104)</f>
        <v>5364.88</v>
      </c>
      <c r="AA101" s="676">
        <f t="shared" si="59"/>
        <v>5721.22</v>
      </c>
      <c r="AB101" s="676">
        <f t="shared" si="59"/>
        <v>7526.01</v>
      </c>
      <c r="AC101" s="676">
        <f t="shared" si="59"/>
        <v>16649.189999999999</v>
      </c>
      <c r="AD101" s="676">
        <f t="shared" si="59"/>
        <v>9025.3799999999992</v>
      </c>
      <c r="AE101" s="676">
        <f t="shared" si="59"/>
        <v>8668.3700000000008</v>
      </c>
      <c r="AF101" s="676">
        <f t="shared" si="59"/>
        <v>6776.1</v>
      </c>
      <c r="AG101" s="676">
        <f t="shared" si="59"/>
        <v>15511.179999999997</v>
      </c>
      <c r="AH101" s="676">
        <f t="shared" si="59"/>
        <v>5264.27</v>
      </c>
      <c r="AI101" s="676">
        <f t="shared" si="59"/>
        <v>20418.97</v>
      </c>
      <c r="AJ101" s="676">
        <f t="shared" si="59"/>
        <v>67053.75</v>
      </c>
      <c r="AK101" s="688">
        <f t="shared" si="43"/>
        <v>174499.82</v>
      </c>
    </row>
    <row r="102" spans="1:37" ht="11.1" customHeight="1">
      <c r="A102" s="693">
        <f>$A$94</f>
        <v>0.05</v>
      </c>
      <c r="B102" s="653" t="str">
        <f>'Budget-合并'!B102</f>
        <v xml:space="preserve">    公司主体05</v>
      </c>
      <c r="C102" s="687" t="str">
        <f>'Budget-合并'!C102</f>
        <v xml:space="preserve">   Entity</v>
      </c>
      <c r="D102" s="676">
        <f t="shared" si="35"/>
        <v>1390</v>
      </c>
      <c r="E102" s="676" t="e">
        <f t="shared" si="36"/>
        <v>#N/A</v>
      </c>
      <c r="F102" s="676" t="e">
        <f t="shared" si="37"/>
        <v>#N/A</v>
      </c>
      <c r="G102" s="676">
        <f t="shared" ca="1" si="38"/>
        <v>1390</v>
      </c>
      <c r="H102" s="676" t="e">
        <f t="shared" ca="1" si="39"/>
        <v>#N/A</v>
      </c>
      <c r="I102" s="676" t="e">
        <f t="shared" ca="1" si="40"/>
        <v>#N/A</v>
      </c>
      <c r="K102" s="676">
        <f>SUMIFS('T&amp;E'!N$94:N$103,'T&amp;E'!$B$94:$B$103,$D$1,'T&amp;E'!$C$94:$C$103,$A$101)*$A102</f>
        <v>1390</v>
      </c>
      <c r="L102" s="676">
        <f>SUMIFS('T&amp;E'!O$94:O$103,'T&amp;E'!$B$94:$B$103,$D$1,'T&amp;E'!$C$94:$C$103,$A$101)*$A102</f>
        <v>1390</v>
      </c>
      <c r="M102" s="676">
        <f>SUMIFS('T&amp;E'!P$94:P$103,'T&amp;E'!$B$94:$B$103,$D$1,'T&amp;E'!$C$94:$C$103,$A$101)*$A102</f>
        <v>1390</v>
      </c>
      <c r="N102" s="676">
        <f>SUMIFS('T&amp;E'!Q$94:Q$103,'T&amp;E'!$B$94:$B$103,$D$1,'T&amp;E'!$C$94:$C$103,$A$101)*$A102</f>
        <v>1390</v>
      </c>
      <c r="O102" s="676">
        <f>SUMIFS('T&amp;E'!R$94:R$103,'T&amp;E'!$B$94:$B$103,$D$1,'T&amp;E'!$C$94:$C$103,$A$101)*$A102</f>
        <v>1390</v>
      </c>
      <c r="P102" s="676">
        <f>SUMIFS('T&amp;E'!S$94:S$103,'T&amp;E'!$B$94:$B$103,$D$1,'T&amp;E'!$C$94:$C$103,$A$101)*$A102</f>
        <v>1390</v>
      </c>
      <c r="Q102" s="676">
        <f>SUMIFS('T&amp;E'!T$94:T$103,'T&amp;E'!$B$94:$B$103,$D$1,'T&amp;E'!$C$94:$C$103,$A$101)*$A102</f>
        <v>1390</v>
      </c>
      <c r="R102" s="676">
        <f>SUMIFS('T&amp;E'!U$94:U$103,'T&amp;E'!$B$94:$B$103,$D$1,'T&amp;E'!$C$94:$C$103,$A$101)*$A102</f>
        <v>1390</v>
      </c>
      <c r="S102" s="676">
        <f>SUMIFS('T&amp;E'!V$94:V$103,'T&amp;E'!$B$94:$B$103,$D$1,'T&amp;E'!$C$94:$C$103,$A$101)*$A102</f>
        <v>1390</v>
      </c>
      <c r="T102" s="676">
        <f>SUMIFS('T&amp;E'!W$94:W$103,'T&amp;E'!$B$94:$B$103,$D$1,'T&amp;E'!$C$94:$C$103,$A$101)*$A102</f>
        <v>1390</v>
      </c>
      <c r="U102" s="676">
        <f>SUMIFS('T&amp;E'!X$94:X$103,'T&amp;E'!$B$94:$B$103,$D$1,'T&amp;E'!$C$94:$C$103,$A$101)*$A102</f>
        <v>1390</v>
      </c>
      <c r="V102" s="676">
        <f>SUMIFS('T&amp;E'!Y$94:Y$103,'T&amp;E'!$B$94:$B$103,$D$1,'T&amp;E'!$C$94:$C$103,$A$101)*$A102</f>
        <v>1390</v>
      </c>
      <c r="W102" s="676">
        <f t="shared" si="51"/>
        <v>16680</v>
      </c>
      <c r="Y102" s="688">
        <f>IFERROR(VLOOKUP($A102,'[94]1月'!$A:$H,8,0),0)</f>
        <v>0</v>
      </c>
      <c r="Z102" s="688">
        <v>-1.7</v>
      </c>
      <c r="AA102" s="688">
        <v>570.92999999999995</v>
      </c>
      <c r="AB102" s="688">
        <f>IFERROR(VLOOKUP($A102,'[94]4月'!$A:$H,8,0),0)</f>
        <v>0</v>
      </c>
      <c r="AC102" s="688">
        <v>417.42</v>
      </c>
      <c r="AD102" s="688">
        <f>IFERROR(VLOOKUP($A102,'[94]6月'!$A:$H,8,0),0)</f>
        <v>0</v>
      </c>
      <c r="AE102" s="688">
        <f>IFERROR(VLOOKUP($A102,'[94]7月'!$A:$H,8,0),0)</f>
        <v>0</v>
      </c>
      <c r="AF102" s="688">
        <f>IFERROR(VLOOKUP($A102,'[94]8月'!$A:$H,8,0),0)</f>
        <v>0</v>
      </c>
      <c r="AG102" s="688">
        <f>3112.38</f>
        <v>3112.38</v>
      </c>
      <c r="AH102" s="688">
        <f>IFERROR(VLOOKUP($A102,'[94]10月'!$A:$H,8,0),0)</f>
        <v>0</v>
      </c>
      <c r="AI102" s="688">
        <v>1739.98</v>
      </c>
      <c r="AJ102" s="688">
        <v>600</v>
      </c>
      <c r="AK102" s="688">
        <f t="shared" si="43"/>
        <v>6439.01</v>
      </c>
    </row>
    <row r="103" spans="1:37" ht="11.1" customHeight="1">
      <c r="A103" s="693">
        <f>$A$95</f>
        <v>0.95</v>
      </c>
      <c r="B103" s="653" t="str">
        <f>'Budget-合并'!B103</f>
        <v xml:space="preserve">    旭智富能05</v>
      </c>
      <c r="C103" s="687" t="str">
        <f>'Budget-合并'!C103</f>
        <v xml:space="preserve">   Foxpower</v>
      </c>
      <c r="D103" s="676">
        <f t="shared" si="35"/>
        <v>26410</v>
      </c>
      <c r="E103" s="676" t="e">
        <f t="shared" si="36"/>
        <v>#N/A</v>
      </c>
      <c r="F103" s="676" t="e">
        <f t="shared" si="37"/>
        <v>#N/A</v>
      </c>
      <c r="G103" s="676">
        <f t="shared" ca="1" si="38"/>
        <v>26410</v>
      </c>
      <c r="H103" s="676" t="e">
        <f t="shared" ca="1" si="39"/>
        <v>#N/A</v>
      </c>
      <c r="I103" s="676" t="e">
        <f t="shared" ca="1" si="40"/>
        <v>#N/A</v>
      </c>
      <c r="K103" s="676">
        <f>SUMIFS('T&amp;E'!N$94:N$103,'T&amp;E'!$B$94:$B$103,$D$1,'T&amp;E'!$C$94:$C$103,$A$101)*$A103</f>
        <v>26410</v>
      </c>
      <c r="L103" s="676">
        <f>SUMIFS('T&amp;E'!O$94:O$103,'T&amp;E'!$B$94:$B$103,$D$1,'T&amp;E'!$C$94:$C$103,$A$101)*$A103</f>
        <v>26410</v>
      </c>
      <c r="M103" s="676">
        <f>SUMIFS('T&amp;E'!P$94:P$103,'T&amp;E'!$B$94:$B$103,$D$1,'T&amp;E'!$C$94:$C$103,$A$101)*$A103</f>
        <v>26410</v>
      </c>
      <c r="N103" s="676">
        <f>SUMIFS('T&amp;E'!Q$94:Q$103,'T&amp;E'!$B$94:$B$103,$D$1,'T&amp;E'!$C$94:$C$103,$A$101)*$A103</f>
        <v>26410</v>
      </c>
      <c r="O103" s="676">
        <f>SUMIFS('T&amp;E'!R$94:R$103,'T&amp;E'!$B$94:$B$103,$D$1,'T&amp;E'!$C$94:$C$103,$A$101)*$A103</f>
        <v>26410</v>
      </c>
      <c r="P103" s="676">
        <f>SUMIFS('T&amp;E'!S$94:S$103,'T&amp;E'!$B$94:$B$103,$D$1,'T&amp;E'!$C$94:$C$103,$A$101)*$A103</f>
        <v>26410</v>
      </c>
      <c r="Q103" s="676">
        <f>SUMIFS('T&amp;E'!T$94:T$103,'T&amp;E'!$B$94:$B$103,$D$1,'T&amp;E'!$C$94:$C$103,$A$101)*$A103</f>
        <v>26410</v>
      </c>
      <c r="R103" s="676">
        <f>SUMIFS('T&amp;E'!U$94:U$103,'T&amp;E'!$B$94:$B$103,$D$1,'T&amp;E'!$C$94:$C$103,$A$101)*$A103</f>
        <v>26410</v>
      </c>
      <c r="S103" s="676">
        <f>SUMIFS('T&amp;E'!V$94:V$103,'T&amp;E'!$B$94:$B$103,$D$1,'T&amp;E'!$C$94:$C$103,$A$101)*$A103</f>
        <v>26410</v>
      </c>
      <c r="T103" s="676">
        <f>SUMIFS('T&amp;E'!W$94:W$103,'T&amp;E'!$B$94:$B$103,$D$1,'T&amp;E'!$C$94:$C$103,$A$101)*$A103</f>
        <v>26410</v>
      </c>
      <c r="U103" s="676">
        <f>SUMIFS('T&amp;E'!X$94:X$103,'T&amp;E'!$B$94:$B$103,$D$1,'T&amp;E'!$C$94:$C$103,$A$101)*$A103</f>
        <v>26410</v>
      </c>
      <c r="V103" s="676">
        <f>SUMIFS('T&amp;E'!Y$94:Y$103,'T&amp;E'!$B$94:$B$103,$D$1,'T&amp;E'!$C$94:$C$103,$A$101)*$A103</f>
        <v>26410</v>
      </c>
      <c r="W103" s="676">
        <f t="shared" si="51"/>
        <v>316920</v>
      </c>
      <c r="Y103" s="688">
        <v>6374.5</v>
      </c>
      <c r="Z103" s="688">
        <v>5390.62</v>
      </c>
      <c r="AA103" s="688">
        <v>4765.57</v>
      </c>
      <c r="AB103" s="688">
        <v>7526.01</v>
      </c>
      <c r="AC103" s="688">
        <v>16231.77</v>
      </c>
      <c r="AD103" s="688">
        <v>9025.3799999999992</v>
      </c>
      <c r="AE103" s="688">
        <v>8668.3700000000008</v>
      </c>
      <c r="AF103" s="688">
        <v>6776.1</v>
      </c>
      <c r="AG103" s="688">
        <f>77157.12-SUM(Y103:AF103)</f>
        <v>12398.799999999996</v>
      </c>
      <c r="AH103" s="688">
        <v>5264.27</v>
      </c>
      <c r="AI103" s="688">
        <v>18678.990000000002</v>
      </c>
      <c r="AJ103" s="688">
        <v>66453.75</v>
      </c>
      <c r="AK103" s="688">
        <f t="shared" si="43"/>
        <v>167554.13</v>
      </c>
    </row>
    <row r="104" spans="1:37" ht="11.1" hidden="1" customHeight="1">
      <c r="A104" s="653">
        <f>'Budget-合并'!A104</f>
        <v>0</v>
      </c>
      <c r="B104" s="653" t="str">
        <f>'Budget-合并'!B104</f>
        <v xml:space="preserve">    其他项目05</v>
      </c>
      <c r="C104" s="687" t="str">
        <f>'Budget-合并'!C104</f>
        <v xml:space="preserve">   Other project</v>
      </c>
      <c r="D104" s="676">
        <f t="shared" si="35"/>
        <v>0</v>
      </c>
      <c r="E104" s="676" t="e">
        <f t="shared" si="36"/>
        <v>#N/A</v>
      </c>
      <c r="F104" s="676" t="e">
        <f t="shared" si="37"/>
        <v>#N/A</v>
      </c>
      <c r="G104" s="676">
        <f t="shared" ca="1" si="38"/>
        <v>0</v>
      </c>
      <c r="H104" s="676" t="e">
        <f t="shared" ca="1" si="39"/>
        <v>#N/A</v>
      </c>
      <c r="I104" s="676" t="e">
        <f t="shared" ca="1" si="40"/>
        <v>#N/A</v>
      </c>
      <c r="K104" s="676"/>
      <c r="L104" s="676"/>
      <c r="M104" s="676"/>
      <c r="N104" s="676"/>
      <c r="O104" s="676"/>
      <c r="P104" s="676"/>
      <c r="Q104" s="676"/>
      <c r="R104" s="676"/>
      <c r="S104" s="676"/>
      <c r="T104" s="676"/>
      <c r="U104" s="676"/>
      <c r="V104" s="676"/>
      <c r="W104" s="676">
        <f t="shared" si="51"/>
        <v>0</v>
      </c>
      <c r="Y104" s="688">
        <v>146</v>
      </c>
      <c r="Z104" s="688">
        <v>-24.04</v>
      </c>
      <c r="AA104" s="688">
        <v>384.72</v>
      </c>
      <c r="AB104" s="688">
        <f>IFERROR(VLOOKUP($A104,'[94]4月'!$A:$H,8,0),0)</f>
        <v>0</v>
      </c>
      <c r="AC104" s="688">
        <f>IFERROR(VLOOKUP($A104,'[94]5月'!$A:$H,8,0),0)</f>
        <v>0</v>
      </c>
      <c r="AD104" s="688">
        <f>IFERROR(VLOOKUP($A104,'[94]6月'!$A:$H,8,0),0)</f>
        <v>0</v>
      </c>
      <c r="AE104" s="688">
        <f>IFERROR(VLOOKUP($A104,'[94]7月'!$A:$H,8,0),0)</f>
        <v>0</v>
      </c>
      <c r="AF104" s="688">
        <f>IFERROR(VLOOKUP($A104,'[94]8月'!$A:$H,8,0),0)</f>
        <v>0</v>
      </c>
      <c r="AG104" s="688">
        <f>IFERROR(VLOOKUP($A104,'[94]9月'!$A:$H,8,0),0)</f>
        <v>0</v>
      </c>
      <c r="AH104" s="688">
        <f>IFERROR(VLOOKUP($A104,'[94]10月'!$A:$H,8,0),0)</f>
        <v>0</v>
      </c>
      <c r="AI104" s="688">
        <f>IFERROR(VLOOKUP($A104,'[94]11月'!$A:$H,8,0),0)</f>
        <v>0</v>
      </c>
      <c r="AJ104" s="688">
        <f>IFERROR(VLOOKUP($A104,'[94]12月'!$A:$H,8,0),0)</f>
        <v>0</v>
      </c>
      <c r="AK104" s="688">
        <f t="shared" si="43"/>
        <v>506.68000000000006</v>
      </c>
    </row>
    <row r="105" spans="1:37" ht="11.1" customHeight="1">
      <c r="A105" s="653" t="str">
        <f>'Budget-合并'!A105</f>
        <v>6602.09.04</v>
      </c>
      <c r="B105" s="653" t="str">
        <f>'Budget-合并'!B105</f>
        <v>空中交通费</v>
      </c>
      <c r="C105" s="687" t="str">
        <f>'Budget-合并'!C105</f>
        <v>Travel Air Transport</v>
      </c>
      <c r="D105" s="676">
        <f t="shared" si="35"/>
        <v>24550</v>
      </c>
      <c r="E105" s="676" t="e">
        <f t="shared" si="36"/>
        <v>#N/A</v>
      </c>
      <c r="F105" s="676" t="e">
        <f t="shared" si="37"/>
        <v>#N/A</v>
      </c>
      <c r="G105" s="676">
        <f t="shared" ca="1" si="38"/>
        <v>24550</v>
      </c>
      <c r="H105" s="676" t="e">
        <f t="shared" ca="1" si="39"/>
        <v>#N/A</v>
      </c>
      <c r="I105" s="676" t="e">
        <f t="shared" ca="1" si="40"/>
        <v>#N/A</v>
      </c>
      <c r="K105" s="676">
        <f t="shared" ref="K105:V105" si="60">SUM(K106:K108)</f>
        <v>24550</v>
      </c>
      <c r="L105" s="676">
        <f t="shared" si="60"/>
        <v>24550</v>
      </c>
      <c r="M105" s="676">
        <f t="shared" si="60"/>
        <v>24550</v>
      </c>
      <c r="N105" s="676">
        <f t="shared" si="60"/>
        <v>24550</v>
      </c>
      <c r="O105" s="676">
        <f t="shared" si="60"/>
        <v>24550</v>
      </c>
      <c r="P105" s="676">
        <f t="shared" si="60"/>
        <v>24550</v>
      </c>
      <c r="Q105" s="676">
        <f t="shared" si="60"/>
        <v>24550</v>
      </c>
      <c r="R105" s="676">
        <f t="shared" si="60"/>
        <v>24550</v>
      </c>
      <c r="S105" s="676">
        <f t="shared" si="60"/>
        <v>24550</v>
      </c>
      <c r="T105" s="676">
        <f t="shared" si="60"/>
        <v>24550</v>
      </c>
      <c r="U105" s="676">
        <f t="shared" si="60"/>
        <v>24550</v>
      </c>
      <c r="V105" s="676">
        <f t="shared" si="60"/>
        <v>24550</v>
      </c>
      <c r="W105" s="676">
        <f t="shared" si="51"/>
        <v>294600</v>
      </c>
      <c r="Y105" s="676">
        <f>SUM(Y106:Y108)</f>
        <v>22289</v>
      </c>
      <c r="Z105" s="676">
        <f t="shared" ref="Z105:AJ105" si="61">SUM(Z106:Z108)</f>
        <v>2319.81</v>
      </c>
      <c r="AA105" s="676">
        <f t="shared" si="61"/>
        <v>22085.279999999999</v>
      </c>
      <c r="AB105" s="676">
        <f t="shared" si="61"/>
        <v>9982.64</v>
      </c>
      <c r="AC105" s="676">
        <f t="shared" si="61"/>
        <v>2679.27</v>
      </c>
      <c r="AD105" s="676">
        <f t="shared" si="61"/>
        <v>18117.45</v>
      </c>
      <c r="AE105" s="676">
        <f t="shared" si="61"/>
        <v>13170.47</v>
      </c>
      <c r="AF105" s="676">
        <f t="shared" si="61"/>
        <v>21679.83</v>
      </c>
      <c r="AG105" s="676">
        <f t="shared" si="61"/>
        <v>11723.940000000002</v>
      </c>
      <c r="AH105" s="676">
        <f t="shared" si="61"/>
        <v>4927.09</v>
      </c>
      <c r="AI105" s="676">
        <f t="shared" si="61"/>
        <v>15169.91</v>
      </c>
      <c r="AJ105" s="676">
        <f t="shared" si="61"/>
        <v>33047.43</v>
      </c>
      <c r="AK105" s="688">
        <f t="shared" si="43"/>
        <v>177192.12</v>
      </c>
    </row>
    <row r="106" spans="1:37" ht="11.1" customHeight="1">
      <c r="A106" s="693">
        <f>$A$94</f>
        <v>0.05</v>
      </c>
      <c r="B106" s="653" t="str">
        <f>'Budget-合并'!B106</f>
        <v xml:space="preserve">    公司主体06</v>
      </c>
      <c r="C106" s="687" t="str">
        <f>'Budget-合并'!C106</f>
        <v xml:space="preserve">   Entity</v>
      </c>
      <c r="D106" s="676">
        <f t="shared" si="35"/>
        <v>1227.5</v>
      </c>
      <c r="E106" s="676" t="e">
        <f t="shared" si="36"/>
        <v>#N/A</v>
      </c>
      <c r="F106" s="676" t="e">
        <f t="shared" si="37"/>
        <v>#N/A</v>
      </c>
      <c r="G106" s="676">
        <f t="shared" ca="1" si="38"/>
        <v>1227.5</v>
      </c>
      <c r="H106" s="676" t="e">
        <f t="shared" ca="1" si="39"/>
        <v>#N/A</v>
      </c>
      <c r="I106" s="676" t="e">
        <f t="shared" ca="1" si="40"/>
        <v>#N/A</v>
      </c>
      <c r="K106" s="676">
        <f>SUMIFS('T&amp;E'!N$94:N$103,'T&amp;E'!$B$94:$B$103,$D$1,'T&amp;E'!$C$94:$C$103,$A$105)*$A106</f>
        <v>1227.5</v>
      </c>
      <c r="L106" s="676">
        <f>SUMIFS('T&amp;E'!O$94:O$103,'T&amp;E'!$B$94:$B$103,$D$1,'T&amp;E'!$C$94:$C$103,$A$105)*$A106</f>
        <v>1227.5</v>
      </c>
      <c r="M106" s="676">
        <f>SUMIFS('T&amp;E'!P$94:P$103,'T&amp;E'!$B$94:$B$103,$D$1,'T&amp;E'!$C$94:$C$103,$A$105)*$A106</f>
        <v>1227.5</v>
      </c>
      <c r="N106" s="676">
        <f>SUMIFS('T&amp;E'!Q$94:Q$103,'T&amp;E'!$B$94:$B$103,$D$1,'T&amp;E'!$C$94:$C$103,$A$105)*$A106</f>
        <v>1227.5</v>
      </c>
      <c r="O106" s="676">
        <f>SUMIFS('T&amp;E'!R$94:R$103,'T&amp;E'!$B$94:$B$103,$D$1,'T&amp;E'!$C$94:$C$103,$A$105)*$A106</f>
        <v>1227.5</v>
      </c>
      <c r="P106" s="676">
        <f>SUMIFS('T&amp;E'!S$94:S$103,'T&amp;E'!$B$94:$B$103,$D$1,'T&amp;E'!$C$94:$C$103,$A$105)*$A106</f>
        <v>1227.5</v>
      </c>
      <c r="Q106" s="676">
        <f>SUMIFS('T&amp;E'!T$94:T$103,'T&amp;E'!$B$94:$B$103,$D$1,'T&amp;E'!$C$94:$C$103,$A$105)*$A106</f>
        <v>1227.5</v>
      </c>
      <c r="R106" s="676">
        <f>SUMIFS('T&amp;E'!U$94:U$103,'T&amp;E'!$B$94:$B$103,$D$1,'T&amp;E'!$C$94:$C$103,$A$105)*$A106</f>
        <v>1227.5</v>
      </c>
      <c r="S106" s="676">
        <f>SUMIFS('T&amp;E'!V$94:V$103,'T&amp;E'!$B$94:$B$103,$D$1,'T&amp;E'!$C$94:$C$103,$A$105)*$A106</f>
        <v>1227.5</v>
      </c>
      <c r="T106" s="676">
        <f>SUMIFS('T&amp;E'!W$94:W$103,'T&amp;E'!$B$94:$B$103,$D$1,'T&amp;E'!$C$94:$C$103,$A$105)*$A106</f>
        <v>1227.5</v>
      </c>
      <c r="U106" s="676">
        <f>SUMIFS('T&amp;E'!X$94:X$103,'T&amp;E'!$B$94:$B$103,$D$1,'T&amp;E'!$C$94:$C$103,$A$105)*$A106</f>
        <v>1227.5</v>
      </c>
      <c r="V106" s="676">
        <f>SUMIFS('T&amp;E'!Y$94:Y$103,'T&amp;E'!$B$94:$B$103,$D$1,'T&amp;E'!$C$94:$C$103,$A$105)*$A106</f>
        <v>1227.5</v>
      </c>
      <c r="W106" s="676">
        <f t="shared" si="51"/>
        <v>14730</v>
      </c>
      <c r="Y106" s="688">
        <v>1710</v>
      </c>
      <c r="Z106" s="688">
        <v>-46.87</v>
      </c>
      <c r="AA106" s="688">
        <f>IFERROR(VLOOKUP($A106,'[94]3月'!$A:$H,8,0),0)</f>
        <v>0</v>
      </c>
      <c r="AB106" s="688">
        <f>IFERROR(VLOOKUP($A106,'[94]4月'!$A:$H,8,0),0)</f>
        <v>0</v>
      </c>
      <c r="AC106" s="688">
        <f>IFERROR(VLOOKUP($A106,'[94]5月'!$A:$H,8,0),0)</f>
        <v>0</v>
      </c>
      <c r="AD106" s="688">
        <f>IFERROR(VLOOKUP($A106,'[94]6月'!$A:$H,8,0),0)</f>
        <v>0</v>
      </c>
      <c r="AE106" s="688">
        <f>IFERROR(VLOOKUP($A106,'[94]7月'!$A:$H,8,0),0)</f>
        <v>0</v>
      </c>
      <c r="AF106" s="688">
        <f>IFERROR(VLOOKUP($A106,'[94]8月'!$A:$H,8,0),0)</f>
        <v>0</v>
      </c>
      <c r="AG106" s="688">
        <f>IFERROR(VLOOKUP($A106,'[94]9月'!$A:$H,8,0),0)</f>
        <v>0</v>
      </c>
      <c r="AH106" s="688">
        <f>IFERROR(VLOOKUP($A106,'[94]10月'!$A:$H,8,0),0)</f>
        <v>0</v>
      </c>
      <c r="AI106" s="688">
        <v>4894.0600000000004</v>
      </c>
      <c r="AJ106" s="688">
        <f>IFERROR(VLOOKUP($A106,'[94]12月'!$A:$H,8,0),0)</f>
        <v>0</v>
      </c>
      <c r="AK106" s="688">
        <f t="shared" si="43"/>
        <v>6557.1900000000005</v>
      </c>
    </row>
    <row r="107" spans="1:37" ht="11.1" customHeight="1">
      <c r="A107" s="693">
        <f>$A$95</f>
        <v>0.95</v>
      </c>
      <c r="B107" s="653" t="str">
        <f>'Budget-合并'!B107</f>
        <v xml:space="preserve">    旭智富能06</v>
      </c>
      <c r="C107" s="687" t="str">
        <f>'Budget-合并'!C107</f>
        <v xml:space="preserve">   Foxpower</v>
      </c>
      <c r="D107" s="676">
        <f t="shared" si="35"/>
        <v>23322.5</v>
      </c>
      <c r="E107" s="676" t="e">
        <f t="shared" si="36"/>
        <v>#N/A</v>
      </c>
      <c r="F107" s="676" t="e">
        <f t="shared" si="37"/>
        <v>#N/A</v>
      </c>
      <c r="G107" s="676">
        <f t="shared" ca="1" si="38"/>
        <v>23322.5</v>
      </c>
      <c r="H107" s="676" t="e">
        <f t="shared" ca="1" si="39"/>
        <v>#N/A</v>
      </c>
      <c r="I107" s="676" t="e">
        <f t="shared" ca="1" si="40"/>
        <v>#N/A</v>
      </c>
      <c r="K107" s="676">
        <f>SUMIFS('T&amp;E'!N$94:N$103,'T&amp;E'!$B$94:$B$103,$D$1,'T&amp;E'!$C$94:$C$103,$A$105)*$A107</f>
        <v>23322.5</v>
      </c>
      <c r="L107" s="676">
        <f>SUMIFS('T&amp;E'!O$94:O$103,'T&amp;E'!$B$94:$B$103,$D$1,'T&amp;E'!$C$94:$C$103,$A$105)*$A107</f>
        <v>23322.5</v>
      </c>
      <c r="M107" s="676">
        <f>SUMIFS('T&amp;E'!P$94:P$103,'T&amp;E'!$B$94:$B$103,$D$1,'T&amp;E'!$C$94:$C$103,$A$105)*$A107</f>
        <v>23322.5</v>
      </c>
      <c r="N107" s="676">
        <f>SUMIFS('T&amp;E'!Q$94:Q$103,'T&amp;E'!$B$94:$B$103,$D$1,'T&amp;E'!$C$94:$C$103,$A$105)*$A107</f>
        <v>23322.5</v>
      </c>
      <c r="O107" s="676">
        <f>SUMIFS('T&amp;E'!R$94:R$103,'T&amp;E'!$B$94:$B$103,$D$1,'T&amp;E'!$C$94:$C$103,$A$105)*$A107</f>
        <v>23322.5</v>
      </c>
      <c r="P107" s="676">
        <f>SUMIFS('T&amp;E'!S$94:S$103,'T&amp;E'!$B$94:$B$103,$D$1,'T&amp;E'!$C$94:$C$103,$A$105)*$A107</f>
        <v>23322.5</v>
      </c>
      <c r="Q107" s="676">
        <f>SUMIFS('T&amp;E'!T$94:T$103,'T&amp;E'!$B$94:$B$103,$D$1,'T&amp;E'!$C$94:$C$103,$A$105)*$A107</f>
        <v>23322.5</v>
      </c>
      <c r="R107" s="676">
        <f>SUMIFS('T&amp;E'!U$94:U$103,'T&amp;E'!$B$94:$B$103,$D$1,'T&amp;E'!$C$94:$C$103,$A$105)*$A107</f>
        <v>23322.5</v>
      </c>
      <c r="S107" s="676">
        <f>SUMIFS('T&amp;E'!V$94:V$103,'T&amp;E'!$B$94:$B$103,$D$1,'T&amp;E'!$C$94:$C$103,$A$105)*$A107</f>
        <v>23322.5</v>
      </c>
      <c r="T107" s="676">
        <f>SUMIFS('T&amp;E'!W$94:W$103,'T&amp;E'!$B$94:$B$103,$D$1,'T&amp;E'!$C$94:$C$103,$A$105)*$A107</f>
        <v>23322.5</v>
      </c>
      <c r="U107" s="676">
        <f>SUMIFS('T&amp;E'!X$94:X$103,'T&amp;E'!$B$94:$B$103,$D$1,'T&amp;E'!$C$94:$C$103,$A$105)*$A107</f>
        <v>23322.5</v>
      </c>
      <c r="V107" s="676">
        <f>SUMIFS('T&amp;E'!Y$94:Y$103,'T&amp;E'!$B$94:$B$103,$D$1,'T&amp;E'!$C$94:$C$103,$A$105)*$A107</f>
        <v>23322.5</v>
      </c>
      <c r="W107" s="676">
        <f t="shared" si="51"/>
        <v>279870</v>
      </c>
      <c r="Y107" s="688">
        <v>17604</v>
      </c>
      <c r="Z107" s="688">
        <v>2371.89</v>
      </c>
      <c r="AA107" s="688">
        <v>19300.75</v>
      </c>
      <c r="AB107" s="688">
        <v>6718.12</v>
      </c>
      <c r="AC107" s="688">
        <v>2679.27</v>
      </c>
      <c r="AD107" s="688">
        <v>18117.45</v>
      </c>
      <c r="AE107" s="688">
        <v>13170.47</v>
      </c>
      <c r="AF107" s="688">
        <v>21679.83</v>
      </c>
      <c r="AG107" s="688">
        <f>113365.72-SUM(Y107:AF107)</f>
        <v>11723.940000000002</v>
      </c>
      <c r="AH107" s="688">
        <v>4927.09</v>
      </c>
      <c r="AI107" s="688">
        <v>10275.85</v>
      </c>
      <c r="AJ107" s="688">
        <v>33047.43</v>
      </c>
      <c r="AK107" s="688">
        <f t="shared" si="43"/>
        <v>161616.09</v>
      </c>
    </row>
    <row r="108" spans="1:37" ht="11.1" hidden="1" customHeight="1">
      <c r="A108" s="653">
        <f>'Budget-合并'!A108</f>
        <v>0</v>
      </c>
      <c r="B108" s="653" t="str">
        <f>'Budget-合并'!B108</f>
        <v xml:space="preserve">    其他项目06</v>
      </c>
      <c r="C108" s="687" t="str">
        <f>'Budget-合并'!C108</f>
        <v xml:space="preserve">   Other project</v>
      </c>
      <c r="D108" s="676">
        <f t="shared" ref="D108:D153" si="62">INDEX($K108:$V108,1,MATCH($D$6,$K$6:$V$6))</f>
        <v>0</v>
      </c>
      <c r="E108" s="676" t="e">
        <f t="shared" ref="E108:E153" si="63">INDEX($Y108:$AJ108,1,MATCH($E$6,$Y$6:$AJ$6))</f>
        <v>#N/A</v>
      </c>
      <c r="F108" s="676" t="e">
        <f t="shared" ref="F108:F153" si="64">D108-E108</f>
        <v>#N/A</v>
      </c>
      <c r="G108" s="676">
        <f t="shared" ref="G108:G153" ca="1" si="65">SUM($K108:OFFSET($K108,0,MATCH(G$6,$K$6:$V$6)-1))</f>
        <v>0</v>
      </c>
      <c r="H108" s="676" t="e">
        <f t="shared" ref="H108:H153" ca="1" si="66">SUM($Y108:OFFSET($Y108,0,MATCH(H$6,$Y$6:$AJ$6)-1))</f>
        <v>#N/A</v>
      </c>
      <c r="I108" s="676" t="e">
        <f t="shared" ref="I108:I153" ca="1" si="67">G108-H108</f>
        <v>#N/A</v>
      </c>
      <c r="K108" s="676"/>
      <c r="L108" s="676"/>
      <c r="M108" s="676"/>
      <c r="N108" s="676"/>
      <c r="O108" s="676"/>
      <c r="P108" s="676"/>
      <c r="Q108" s="676"/>
      <c r="R108" s="676"/>
      <c r="S108" s="676"/>
      <c r="T108" s="676"/>
      <c r="U108" s="676"/>
      <c r="V108" s="676"/>
      <c r="W108" s="676">
        <f t="shared" si="51"/>
        <v>0</v>
      </c>
      <c r="Y108" s="688">
        <v>2975</v>
      </c>
      <c r="Z108" s="688">
        <v>-5.21</v>
      </c>
      <c r="AA108" s="688">
        <v>2784.53</v>
      </c>
      <c r="AB108" s="688">
        <v>3264.52</v>
      </c>
      <c r="AC108" s="688">
        <f>IFERROR(VLOOKUP($A108,'[94]5月'!$A:$H,8,0),0)</f>
        <v>0</v>
      </c>
      <c r="AD108" s="688">
        <f>IFERROR(VLOOKUP($A108,'[94]6月'!$A:$H,8,0),0)</f>
        <v>0</v>
      </c>
      <c r="AE108" s="688">
        <f>IFERROR(VLOOKUP($A108,'[94]7月'!$A:$H,8,0),0)</f>
        <v>0</v>
      </c>
      <c r="AF108" s="688">
        <f>IFERROR(VLOOKUP($A108,'[94]8月'!$A:$H,8,0),0)</f>
        <v>0</v>
      </c>
      <c r="AG108" s="688">
        <f>IFERROR(VLOOKUP($A108,'[94]9月'!$A:$H,8,0),0)</f>
        <v>0</v>
      </c>
      <c r="AH108" s="688">
        <f>IFERROR(VLOOKUP($A108,'[94]10月'!$A:$H,8,0),0)</f>
        <v>0</v>
      </c>
      <c r="AI108" s="688">
        <f>IFERROR(VLOOKUP($A108,'[94]11月'!$A:$H,8,0),0)</f>
        <v>0</v>
      </c>
      <c r="AJ108" s="688">
        <f>IFERROR(VLOOKUP($A108,'[94]12月'!$A:$H,8,0),0)</f>
        <v>0</v>
      </c>
      <c r="AK108" s="688">
        <f t="shared" ref="AK108:AK152" si="68">SUM(Y108:AJ108)</f>
        <v>9018.84</v>
      </c>
    </row>
    <row r="109" spans="1:37" ht="11.1" hidden="1" customHeight="1">
      <c r="A109" s="653" t="str">
        <f>'Budget-合并'!A109</f>
        <v>6602.09.05</v>
      </c>
      <c r="B109" s="653" t="str">
        <f>'Budget-合并'!B109</f>
        <v>租车</v>
      </c>
      <c r="C109" s="687">
        <f>'Budget-合并'!C109</f>
        <v>0</v>
      </c>
      <c r="D109" s="676">
        <f t="shared" si="62"/>
        <v>0</v>
      </c>
      <c r="E109" s="676" t="e">
        <f t="shared" si="63"/>
        <v>#N/A</v>
      </c>
      <c r="F109" s="676" t="e">
        <f t="shared" si="64"/>
        <v>#N/A</v>
      </c>
      <c r="G109" s="676">
        <f t="shared" ca="1" si="65"/>
        <v>0</v>
      </c>
      <c r="H109" s="676" t="e">
        <f t="shared" ca="1" si="66"/>
        <v>#N/A</v>
      </c>
      <c r="I109" s="676" t="e">
        <f t="shared" ca="1" si="67"/>
        <v>#N/A</v>
      </c>
      <c r="K109" s="676">
        <f t="shared" ref="K109:V109" si="69">SUM(K110:K112)</f>
        <v>0</v>
      </c>
      <c r="L109" s="676">
        <f t="shared" si="69"/>
        <v>0</v>
      </c>
      <c r="M109" s="676">
        <f t="shared" si="69"/>
        <v>0</v>
      </c>
      <c r="N109" s="676">
        <f t="shared" si="69"/>
        <v>0</v>
      </c>
      <c r="O109" s="676">
        <f t="shared" si="69"/>
        <v>0</v>
      </c>
      <c r="P109" s="676">
        <f t="shared" si="69"/>
        <v>0</v>
      </c>
      <c r="Q109" s="676">
        <f t="shared" si="69"/>
        <v>0</v>
      </c>
      <c r="R109" s="676">
        <f t="shared" si="69"/>
        <v>0</v>
      </c>
      <c r="S109" s="676">
        <f t="shared" si="69"/>
        <v>0</v>
      </c>
      <c r="T109" s="676">
        <f t="shared" si="69"/>
        <v>0</v>
      </c>
      <c r="U109" s="676">
        <f t="shared" si="69"/>
        <v>0</v>
      </c>
      <c r="V109" s="676">
        <f t="shared" si="69"/>
        <v>0</v>
      </c>
      <c r="W109" s="676">
        <f t="shared" si="51"/>
        <v>0</v>
      </c>
      <c r="Y109" s="676">
        <f>SUM(Y110:Y112)</f>
        <v>980</v>
      </c>
      <c r="Z109" s="676">
        <f t="shared" ref="Z109:AJ109" si="70">SUM(Z110:Z112)</f>
        <v>0</v>
      </c>
      <c r="AA109" s="676">
        <f t="shared" si="70"/>
        <v>987</v>
      </c>
      <c r="AB109" s="676">
        <f t="shared" si="70"/>
        <v>0</v>
      </c>
      <c r="AC109" s="676">
        <f t="shared" si="70"/>
        <v>4209.22</v>
      </c>
      <c r="AD109" s="676">
        <f t="shared" si="70"/>
        <v>528.41</v>
      </c>
      <c r="AE109" s="676">
        <f t="shared" si="70"/>
        <v>170.82</v>
      </c>
      <c r="AF109" s="676">
        <f t="shared" si="70"/>
        <v>1242.7</v>
      </c>
      <c r="AG109" s="676">
        <f t="shared" si="70"/>
        <v>1643.7399999999998</v>
      </c>
      <c r="AH109" s="676">
        <f t="shared" si="70"/>
        <v>0</v>
      </c>
      <c r="AI109" s="676">
        <f t="shared" si="70"/>
        <v>1179.74</v>
      </c>
      <c r="AJ109" s="676">
        <f t="shared" si="70"/>
        <v>0</v>
      </c>
      <c r="AK109" s="688">
        <f t="shared" si="68"/>
        <v>10941.63</v>
      </c>
    </row>
    <row r="110" spans="1:37" ht="11.1" hidden="1" customHeight="1">
      <c r="A110" s="693">
        <f>$A$94</f>
        <v>0.05</v>
      </c>
      <c r="B110" s="653" t="str">
        <f>'Budget-合并'!B110</f>
        <v xml:space="preserve">    公司主体07</v>
      </c>
      <c r="C110" s="687" t="str">
        <f>'Budget-合并'!C110</f>
        <v xml:space="preserve">   Entity</v>
      </c>
      <c r="D110" s="676">
        <f t="shared" si="62"/>
        <v>0</v>
      </c>
      <c r="E110" s="676" t="e">
        <f t="shared" si="63"/>
        <v>#N/A</v>
      </c>
      <c r="F110" s="676" t="e">
        <f t="shared" si="64"/>
        <v>#N/A</v>
      </c>
      <c r="G110" s="676">
        <f t="shared" ca="1" si="65"/>
        <v>0</v>
      </c>
      <c r="H110" s="676" t="e">
        <f t="shared" ca="1" si="66"/>
        <v>#N/A</v>
      </c>
      <c r="I110" s="676" t="e">
        <f t="shared" ca="1" si="67"/>
        <v>#N/A</v>
      </c>
      <c r="K110" s="676"/>
      <c r="L110" s="676"/>
      <c r="M110" s="676"/>
      <c r="N110" s="676"/>
      <c r="O110" s="676"/>
      <c r="P110" s="676"/>
      <c r="Q110" s="676"/>
      <c r="R110" s="676"/>
      <c r="S110" s="676"/>
      <c r="T110" s="676"/>
      <c r="U110" s="676"/>
      <c r="V110" s="676"/>
      <c r="W110" s="676">
        <f t="shared" si="51"/>
        <v>0</v>
      </c>
      <c r="Y110" s="688">
        <f>IFERROR(VLOOKUP($A110,'[94]1月'!$A:$H,8,0),0)</f>
        <v>0</v>
      </c>
      <c r="Z110" s="688">
        <f>IFERROR(VLOOKUP($A110,'[94]2月'!$A:$H,8,0),0)</f>
        <v>0</v>
      </c>
      <c r="AA110" s="688">
        <f>IFERROR(VLOOKUP($A110,'[94]3月'!$A:$H,8,0),0)</f>
        <v>0</v>
      </c>
      <c r="AB110" s="688">
        <f>IFERROR(VLOOKUP($A110,'[94]4月'!$A:$H,8,0),0)</f>
        <v>0</v>
      </c>
      <c r="AC110" s="688">
        <f>IFERROR(VLOOKUP($A110,'[94]5月'!$A:$H,8,0),0)</f>
        <v>0</v>
      </c>
      <c r="AD110" s="688">
        <f>IFERROR(VLOOKUP($A110,'[94]6月'!$A:$H,8,0),0)</f>
        <v>0</v>
      </c>
      <c r="AE110" s="688">
        <f>IFERROR(VLOOKUP($A110,'[94]7月'!$A:$H,8,0),0)</f>
        <v>0</v>
      </c>
      <c r="AF110" s="688">
        <f>IFERROR(VLOOKUP($A110,'[94]8月'!$A:$H,8,0),0)</f>
        <v>0</v>
      </c>
      <c r="AG110" s="688">
        <f>IFERROR(VLOOKUP($A110,'[94]9月'!$A:$H,8,0),0)</f>
        <v>0</v>
      </c>
      <c r="AH110" s="688">
        <f>IFERROR(VLOOKUP($A110,'[94]10月'!$A:$H,8,0),0)</f>
        <v>0</v>
      </c>
      <c r="AI110" s="688">
        <f>IFERROR(VLOOKUP($A110,'[94]11月'!$A:$H,8,0),0)</f>
        <v>0</v>
      </c>
      <c r="AJ110" s="688">
        <f>IFERROR(VLOOKUP($A110,'[94]12月'!$A:$H,8,0),0)</f>
        <v>0</v>
      </c>
      <c r="AK110" s="688">
        <f t="shared" si="68"/>
        <v>0</v>
      </c>
    </row>
    <row r="111" spans="1:37" ht="11.1" hidden="1" customHeight="1">
      <c r="A111" s="693">
        <f>$A$95</f>
        <v>0.95</v>
      </c>
      <c r="B111" s="653" t="str">
        <f>'Budget-合并'!B111</f>
        <v xml:space="preserve">    旭智富能07</v>
      </c>
      <c r="C111" s="687" t="str">
        <f>'Budget-合并'!C111</f>
        <v xml:space="preserve">   Foxpower</v>
      </c>
      <c r="D111" s="676">
        <f t="shared" si="62"/>
        <v>0</v>
      </c>
      <c r="E111" s="676" t="e">
        <f t="shared" si="63"/>
        <v>#N/A</v>
      </c>
      <c r="F111" s="676" t="e">
        <f t="shared" si="64"/>
        <v>#N/A</v>
      </c>
      <c r="G111" s="676">
        <f t="shared" ca="1" si="65"/>
        <v>0</v>
      </c>
      <c r="H111" s="676" t="e">
        <f t="shared" ca="1" si="66"/>
        <v>#N/A</v>
      </c>
      <c r="I111" s="676" t="e">
        <f t="shared" ca="1" si="67"/>
        <v>#N/A</v>
      </c>
      <c r="K111" s="676"/>
      <c r="L111" s="676"/>
      <c r="M111" s="676"/>
      <c r="N111" s="676"/>
      <c r="O111" s="676"/>
      <c r="P111" s="676"/>
      <c r="Q111" s="676"/>
      <c r="R111" s="676"/>
      <c r="S111" s="676"/>
      <c r="T111" s="676"/>
      <c r="U111" s="676"/>
      <c r="V111" s="676"/>
      <c r="W111" s="676">
        <f t="shared" si="51"/>
        <v>0</v>
      </c>
      <c r="Y111" s="688">
        <v>980</v>
      </c>
      <c r="Z111" s="688">
        <f>IFERROR(VLOOKUP($A111,'[94]2月'!$A:$H,8,0),0)</f>
        <v>0</v>
      </c>
      <c r="AA111" s="688">
        <v>987</v>
      </c>
      <c r="AB111" s="688">
        <f>IFERROR(VLOOKUP($A111,'[94]4月'!$A:$H,8,0),0)</f>
        <v>0</v>
      </c>
      <c r="AC111" s="688">
        <v>4209.22</v>
      </c>
      <c r="AD111" s="688">
        <v>528.41</v>
      </c>
      <c r="AE111" s="688">
        <v>170.82</v>
      </c>
      <c r="AF111" s="688">
        <v>1242.7</v>
      </c>
      <c r="AG111" s="688">
        <f>9761.89-SUM(Y111:AF111)</f>
        <v>1643.7399999999998</v>
      </c>
      <c r="AH111" s="688">
        <f>IFERROR(VLOOKUP($A111,'[94]10月'!$A:$H,8,0),0)</f>
        <v>0</v>
      </c>
      <c r="AI111" s="688">
        <v>1179.74</v>
      </c>
      <c r="AJ111" s="688">
        <f>IFERROR(VLOOKUP($A111,'[94]12月'!$A:$H,8,0),0)</f>
        <v>0</v>
      </c>
      <c r="AK111" s="688">
        <f t="shared" si="68"/>
        <v>10941.63</v>
      </c>
    </row>
    <row r="112" spans="1:37" ht="11.1" hidden="1" customHeight="1">
      <c r="A112" s="653">
        <f>'Budget-合并'!A112</f>
        <v>0</v>
      </c>
      <c r="B112" s="653" t="str">
        <f>'Budget-合并'!B112</f>
        <v xml:space="preserve">    其他项目07</v>
      </c>
      <c r="C112" s="687" t="str">
        <f>'Budget-合并'!C112</f>
        <v xml:space="preserve">   Other project</v>
      </c>
      <c r="D112" s="676">
        <f t="shared" si="62"/>
        <v>0</v>
      </c>
      <c r="E112" s="676" t="e">
        <f t="shared" si="63"/>
        <v>#N/A</v>
      </c>
      <c r="F112" s="676" t="e">
        <f t="shared" si="64"/>
        <v>#N/A</v>
      </c>
      <c r="G112" s="676">
        <f t="shared" ca="1" si="65"/>
        <v>0</v>
      </c>
      <c r="H112" s="676" t="e">
        <f t="shared" ca="1" si="66"/>
        <v>#N/A</v>
      </c>
      <c r="I112" s="676" t="e">
        <f t="shared" ca="1" si="67"/>
        <v>#N/A</v>
      </c>
      <c r="K112" s="676"/>
      <c r="L112" s="676"/>
      <c r="M112" s="676"/>
      <c r="N112" s="676"/>
      <c r="O112" s="676"/>
      <c r="P112" s="676"/>
      <c r="Q112" s="676"/>
      <c r="R112" s="676"/>
      <c r="S112" s="676"/>
      <c r="T112" s="676"/>
      <c r="U112" s="676"/>
      <c r="V112" s="676"/>
      <c r="W112" s="676">
        <f t="shared" si="51"/>
        <v>0</v>
      </c>
      <c r="Y112" s="688">
        <f>IFERROR(VLOOKUP($A112,'[94]1月'!$A:$H,8,0),0)</f>
        <v>0</v>
      </c>
      <c r="Z112" s="688">
        <f>IFERROR(VLOOKUP($A112,'[94]2月'!$A:$H,8,0),0)</f>
        <v>0</v>
      </c>
      <c r="AA112" s="688">
        <f>IFERROR(VLOOKUP($A112,'[94]3月'!$A:$H,8,0),0)</f>
        <v>0</v>
      </c>
      <c r="AB112" s="688">
        <f>IFERROR(VLOOKUP($A112,'[94]4月'!$A:$H,8,0),0)</f>
        <v>0</v>
      </c>
      <c r="AC112" s="688">
        <f>IFERROR(VLOOKUP($A112,'[94]5月'!$A:$H,8,0),0)</f>
        <v>0</v>
      </c>
      <c r="AD112" s="688">
        <f>IFERROR(VLOOKUP($A112,'[94]6月'!$A:$H,8,0),0)</f>
        <v>0</v>
      </c>
      <c r="AE112" s="688">
        <f>IFERROR(VLOOKUP($A112,'[94]7月'!$A:$H,8,0),0)</f>
        <v>0</v>
      </c>
      <c r="AF112" s="688">
        <f>IFERROR(VLOOKUP($A112,'[94]8月'!$A:$H,8,0),0)</f>
        <v>0</v>
      </c>
      <c r="AG112" s="688">
        <f>IFERROR(VLOOKUP($A112,'[94]9月'!$A:$H,8,0),0)</f>
        <v>0</v>
      </c>
      <c r="AH112" s="688">
        <f>IFERROR(VLOOKUP($A112,'[94]10月'!$A:$H,8,0),0)</f>
        <v>0</v>
      </c>
      <c r="AI112" s="688">
        <f>IFERROR(VLOOKUP($A112,'[94]11月'!$A:$H,8,0),0)</f>
        <v>0</v>
      </c>
      <c r="AJ112" s="688">
        <f>IFERROR(VLOOKUP($A112,'[94]12月'!$A:$H,8,0),0)</f>
        <v>0</v>
      </c>
      <c r="AK112" s="688">
        <f t="shared" si="68"/>
        <v>0</v>
      </c>
    </row>
    <row r="113" spans="1:37" ht="11.1" hidden="1" customHeight="1">
      <c r="A113" s="653" t="str">
        <f>'Budget-合并'!A113</f>
        <v>6602.09.06</v>
      </c>
      <c r="B113" s="653" t="str">
        <f>'Budget-合并'!B113</f>
        <v>其他汽车费用</v>
      </c>
      <c r="C113" s="687">
        <f>'Budget-合并'!C113</f>
        <v>0</v>
      </c>
      <c r="D113" s="676">
        <f t="shared" si="62"/>
        <v>0</v>
      </c>
      <c r="E113" s="676" t="e">
        <f t="shared" si="63"/>
        <v>#N/A</v>
      </c>
      <c r="F113" s="676" t="e">
        <f t="shared" si="64"/>
        <v>#N/A</v>
      </c>
      <c r="G113" s="676">
        <f t="shared" ca="1" si="65"/>
        <v>0</v>
      </c>
      <c r="H113" s="676" t="e">
        <f t="shared" ca="1" si="66"/>
        <v>#N/A</v>
      </c>
      <c r="I113" s="676" t="e">
        <f t="shared" ca="1" si="67"/>
        <v>#N/A</v>
      </c>
      <c r="K113" s="676">
        <f t="shared" ref="K113:V113" si="71">SUM(K114:K116)</f>
        <v>0</v>
      </c>
      <c r="L113" s="676">
        <f t="shared" si="71"/>
        <v>0</v>
      </c>
      <c r="M113" s="676">
        <f t="shared" si="71"/>
        <v>0</v>
      </c>
      <c r="N113" s="676">
        <f t="shared" si="71"/>
        <v>0</v>
      </c>
      <c r="O113" s="676">
        <f t="shared" si="71"/>
        <v>0</v>
      </c>
      <c r="P113" s="676">
        <f t="shared" si="71"/>
        <v>0</v>
      </c>
      <c r="Q113" s="676">
        <f t="shared" si="71"/>
        <v>0</v>
      </c>
      <c r="R113" s="676">
        <f t="shared" si="71"/>
        <v>0</v>
      </c>
      <c r="S113" s="676">
        <f t="shared" si="71"/>
        <v>0</v>
      </c>
      <c r="T113" s="676">
        <f t="shared" si="71"/>
        <v>0</v>
      </c>
      <c r="U113" s="676">
        <f t="shared" si="71"/>
        <v>0</v>
      </c>
      <c r="V113" s="676">
        <f t="shared" si="71"/>
        <v>0</v>
      </c>
      <c r="W113" s="676">
        <f t="shared" si="51"/>
        <v>0</v>
      </c>
      <c r="Y113" s="676">
        <f>SUM(Y114:Y116)</f>
        <v>0</v>
      </c>
      <c r="Z113" s="676">
        <f t="shared" ref="Z113:AJ113" si="72">SUM(Z114:Z116)</f>
        <v>0</v>
      </c>
      <c r="AA113" s="676">
        <f t="shared" si="72"/>
        <v>0</v>
      </c>
      <c r="AB113" s="676">
        <f t="shared" si="72"/>
        <v>0</v>
      </c>
      <c r="AC113" s="676">
        <f t="shared" si="72"/>
        <v>1502</v>
      </c>
      <c r="AD113" s="676">
        <f t="shared" si="72"/>
        <v>0</v>
      </c>
      <c r="AE113" s="676">
        <f t="shared" si="72"/>
        <v>55</v>
      </c>
      <c r="AF113" s="676">
        <f t="shared" si="72"/>
        <v>393.18</v>
      </c>
      <c r="AG113" s="676">
        <f t="shared" si="72"/>
        <v>427.99999999999977</v>
      </c>
      <c r="AH113" s="676">
        <f t="shared" si="72"/>
        <v>0</v>
      </c>
      <c r="AI113" s="676">
        <f t="shared" si="72"/>
        <v>0</v>
      </c>
      <c r="AJ113" s="676">
        <f t="shared" si="72"/>
        <v>34</v>
      </c>
      <c r="AK113" s="688">
        <f t="shared" si="68"/>
        <v>2412.1799999999998</v>
      </c>
    </row>
    <row r="114" spans="1:37" ht="11.1" hidden="1" customHeight="1">
      <c r="A114" s="693">
        <f>$A$94</f>
        <v>0.05</v>
      </c>
      <c r="B114" s="653" t="str">
        <f>'Budget-合并'!B114</f>
        <v xml:space="preserve">    公司主体08</v>
      </c>
      <c r="C114" s="687" t="str">
        <f>'Budget-合并'!C114</f>
        <v xml:space="preserve">   Entity</v>
      </c>
      <c r="D114" s="676">
        <f t="shared" si="62"/>
        <v>0</v>
      </c>
      <c r="E114" s="676" t="e">
        <f t="shared" si="63"/>
        <v>#N/A</v>
      </c>
      <c r="F114" s="676" t="e">
        <f t="shared" si="64"/>
        <v>#N/A</v>
      </c>
      <c r="G114" s="676">
        <f t="shared" ca="1" si="65"/>
        <v>0</v>
      </c>
      <c r="H114" s="676" t="e">
        <f t="shared" ca="1" si="66"/>
        <v>#N/A</v>
      </c>
      <c r="I114" s="676" t="e">
        <f t="shared" ca="1" si="67"/>
        <v>#N/A</v>
      </c>
      <c r="K114" s="676"/>
      <c r="L114" s="676"/>
      <c r="M114" s="676"/>
      <c r="N114" s="676"/>
      <c r="O114" s="676"/>
      <c r="P114" s="676"/>
      <c r="Q114" s="676"/>
      <c r="R114" s="676"/>
      <c r="S114" s="676"/>
      <c r="T114" s="676"/>
      <c r="U114" s="676"/>
      <c r="V114" s="676"/>
      <c r="W114" s="676">
        <f t="shared" si="51"/>
        <v>0</v>
      </c>
      <c r="Y114" s="688">
        <f>IFERROR(VLOOKUP($A114,'[94]1月'!$A:$H,8,0),0)</f>
        <v>0</v>
      </c>
      <c r="Z114" s="688">
        <f>IFERROR(VLOOKUP($A114,'[94]2月'!$A:$H,8,0),0)</f>
        <v>0</v>
      </c>
      <c r="AA114" s="688">
        <f>IFERROR(VLOOKUP($A114,'[94]3月'!$A:$H,8,0),0)</f>
        <v>0</v>
      </c>
      <c r="AB114" s="688">
        <f>IFERROR(VLOOKUP($A114,'[94]4月'!$A:$H,8,0),0)</f>
        <v>0</v>
      </c>
      <c r="AC114" s="688">
        <f>IFERROR(VLOOKUP($A114,'[94]5月'!$A:$H,8,0),0)</f>
        <v>0</v>
      </c>
      <c r="AD114" s="688">
        <f>IFERROR(VLOOKUP($A114,'[94]6月'!$A:$H,8,0),0)</f>
        <v>0</v>
      </c>
      <c r="AE114" s="688">
        <f>IFERROR(VLOOKUP($A114,'[94]7月'!$A:$H,8,0),0)</f>
        <v>0</v>
      </c>
      <c r="AF114" s="688">
        <f>IFERROR(VLOOKUP($A114,'[94]8月'!$A:$H,8,0),0)</f>
        <v>0</v>
      </c>
      <c r="AG114" s="688">
        <f>IFERROR(VLOOKUP($A114,'[94]9月'!$A:$H,8,0),0)</f>
        <v>0</v>
      </c>
      <c r="AH114" s="688">
        <f>IFERROR(VLOOKUP($A114,'[94]10月'!$A:$H,8,0),0)</f>
        <v>0</v>
      </c>
      <c r="AI114" s="688">
        <f>IFERROR(VLOOKUP($A114,'[94]11月'!$A:$H,8,0),0)</f>
        <v>0</v>
      </c>
      <c r="AJ114" s="688">
        <f>IFERROR(VLOOKUP($A114,'[94]12月'!$A:$H,8,0),0)</f>
        <v>0</v>
      </c>
      <c r="AK114" s="688">
        <f t="shared" si="68"/>
        <v>0</v>
      </c>
    </row>
    <row r="115" spans="1:37" ht="11.1" hidden="1" customHeight="1">
      <c r="A115" s="693">
        <f>$A$95</f>
        <v>0.95</v>
      </c>
      <c r="B115" s="653" t="str">
        <f>'Budget-合并'!B115</f>
        <v xml:space="preserve">    旭智富能08</v>
      </c>
      <c r="C115" s="687" t="str">
        <f>'Budget-合并'!C115</f>
        <v xml:space="preserve">   Foxpower</v>
      </c>
      <c r="D115" s="676">
        <f t="shared" si="62"/>
        <v>0</v>
      </c>
      <c r="E115" s="676" t="e">
        <f t="shared" si="63"/>
        <v>#N/A</v>
      </c>
      <c r="F115" s="676" t="e">
        <f t="shared" si="64"/>
        <v>#N/A</v>
      </c>
      <c r="G115" s="676">
        <f t="shared" ca="1" si="65"/>
        <v>0</v>
      </c>
      <c r="H115" s="676" t="e">
        <f t="shared" ca="1" si="66"/>
        <v>#N/A</v>
      </c>
      <c r="I115" s="676" t="e">
        <f t="shared" ca="1" si="67"/>
        <v>#N/A</v>
      </c>
      <c r="K115" s="676"/>
      <c r="L115" s="676"/>
      <c r="M115" s="676"/>
      <c r="N115" s="676"/>
      <c r="O115" s="676"/>
      <c r="P115" s="676"/>
      <c r="Q115" s="676"/>
      <c r="R115" s="676"/>
      <c r="S115" s="676"/>
      <c r="T115" s="676"/>
      <c r="U115" s="676"/>
      <c r="V115" s="676"/>
      <c r="W115" s="676">
        <f t="shared" si="51"/>
        <v>0</v>
      </c>
      <c r="Y115" s="688">
        <f>IFERROR(VLOOKUP($A115,'[94]1月'!$A:$H,8,0),0)</f>
        <v>0</v>
      </c>
      <c r="Z115" s="688">
        <f>IFERROR(VLOOKUP($A115,'[94]2月'!$A:$H,8,0),0)</f>
        <v>0</v>
      </c>
      <c r="AA115" s="688">
        <f>IFERROR(VLOOKUP($A115,'[94]3月'!$A:$H,8,0),0)</f>
        <v>0</v>
      </c>
      <c r="AB115" s="688">
        <f>IFERROR(VLOOKUP($A115,'[94]4月'!$A:$H,8,0),0)</f>
        <v>0</v>
      </c>
      <c r="AC115" s="688">
        <v>1502</v>
      </c>
      <c r="AD115" s="688">
        <f>IFERROR(VLOOKUP($A115,'[94]6月'!$A:$H,8,0),0)</f>
        <v>0</v>
      </c>
      <c r="AE115" s="688">
        <v>55</v>
      </c>
      <c r="AF115" s="688">
        <v>393.18</v>
      </c>
      <c r="AG115" s="688">
        <f>2378.18-SUM(Y115:AF115)</f>
        <v>427.99999999999977</v>
      </c>
      <c r="AH115" s="688">
        <f>IFERROR(VLOOKUP($A115,'[94]10月'!$A:$H,8,0),0)</f>
        <v>0</v>
      </c>
      <c r="AI115" s="688">
        <f>IFERROR(VLOOKUP($A115,'[94]11月'!$A:$H,8,0),0)</f>
        <v>0</v>
      </c>
      <c r="AJ115" s="688">
        <v>34</v>
      </c>
      <c r="AK115" s="688">
        <f t="shared" si="68"/>
        <v>2412.1799999999998</v>
      </c>
    </row>
    <row r="116" spans="1:37" ht="11.1" hidden="1" customHeight="1">
      <c r="A116" s="653">
        <f>'Budget-合并'!A116</f>
        <v>0</v>
      </c>
      <c r="B116" s="653" t="str">
        <f>'Budget-合并'!B116</f>
        <v xml:space="preserve">    其他项目08</v>
      </c>
      <c r="C116" s="687" t="str">
        <f>'Budget-合并'!C116</f>
        <v xml:space="preserve">   Other project</v>
      </c>
      <c r="D116" s="676">
        <f t="shared" si="62"/>
        <v>0</v>
      </c>
      <c r="E116" s="676" t="e">
        <f t="shared" si="63"/>
        <v>#N/A</v>
      </c>
      <c r="F116" s="676" t="e">
        <f t="shared" si="64"/>
        <v>#N/A</v>
      </c>
      <c r="G116" s="676">
        <f t="shared" ca="1" si="65"/>
        <v>0</v>
      </c>
      <c r="H116" s="676" t="e">
        <f t="shared" ca="1" si="66"/>
        <v>#N/A</v>
      </c>
      <c r="I116" s="676" t="e">
        <f t="shared" ca="1" si="67"/>
        <v>#N/A</v>
      </c>
      <c r="K116" s="676"/>
      <c r="L116" s="676"/>
      <c r="M116" s="676"/>
      <c r="N116" s="676"/>
      <c r="O116" s="676"/>
      <c r="P116" s="676"/>
      <c r="Q116" s="676"/>
      <c r="R116" s="676"/>
      <c r="S116" s="676"/>
      <c r="T116" s="676"/>
      <c r="U116" s="676"/>
      <c r="V116" s="676"/>
      <c r="W116" s="676">
        <f t="shared" si="51"/>
        <v>0</v>
      </c>
      <c r="Y116" s="688">
        <f>IFERROR(VLOOKUP($A116,'[94]1月'!$A:$H,8,0),0)</f>
        <v>0</v>
      </c>
      <c r="Z116" s="688">
        <f>IFERROR(VLOOKUP($A116,'[94]2月'!$A:$H,8,0),0)</f>
        <v>0</v>
      </c>
      <c r="AA116" s="688">
        <f>IFERROR(VLOOKUP($A116,'[94]3月'!$A:$H,8,0),0)</f>
        <v>0</v>
      </c>
      <c r="AB116" s="688">
        <f>IFERROR(VLOOKUP($A116,'[94]4月'!$A:$H,8,0),0)</f>
        <v>0</v>
      </c>
      <c r="AC116" s="688">
        <f>IFERROR(VLOOKUP($A116,'[94]5月'!$A:$H,8,0),0)</f>
        <v>0</v>
      </c>
      <c r="AD116" s="688">
        <f>IFERROR(VLOOKUP($A116,'[94]6月'!$A:$H,8,0),0)</f>
        <v>0</v>
      </c>
      <c r="AE116" s="688">
        <f>IFERROR(VLOOKUP($A116,'[94]7月'!$A:$H,8,0),0)</f>
        <v>0</v>
      </c>
      <c r="AF116" s="688">
        <f>IFERROR(VLOOKUP($A116,'[94]8月'!$A:$H,8,0),0)</f>
        <v>0</v>
      </c>
      <c r="AG116" s="688">
        <f>IFERROR(VLOOKUP($A116,'[94]9月'!$A:$H,8,0),0)</f>
        <v>0</v>
      </c>
      <c r="AH116" s="688">
        <f>IFERROR(VLOOKUP($A116,'[94]10月'!$A:$H,8,0),0)</f>
        <v>0</v>
      </c>
      <c r="AI116" s="688">
        <f>IFERROR(VLOOKUP($A116,'[94]11月'!$A:$H,8,0),0)</f>
        <v>0</v>
      </c>
      <c r="AJ116" s="688">
        <f>IFERROR(VLOOKUP($A116,'[94]12月'!$A:$H,8,0),0)</f>
        <v>0</v>
      </c>
      <c r="AK116" s="688">
        <f t="shared" si="68"/>
        <v>0</v>
      </c>
    </row>
    <row r="117" spans="1:37" ht="11.1" hidden="1" customHeight="1">
      <c r="A117" s="653" t="str">
        <f>'Budget-合并'!A117</f>
        <v>6602.09.07</v>
      </c>
      <c r="B117" s="653" t="str">
        <f>'Budget-合并'!B117</f>
        <v>检测费</v>
      </c>
      <c r="C117" s="687">
        <f>'Budget-合并'!C117</f>
        <v>0</v>
      </c>
      <c r="D117" s="676">
        <f t="shared" si="62"/>
        <v>0</v>
      </c>
      <c r="E117" s="676" t="e">
        <f t="shared" si="63"/>
        <v>#N/A</v>
      </c>
      <c r="F117" s="676" t="e">
        <f t="shared" si="64"/>
        <v>#N/A</v>
      </c>
      <c r="G117" s="676">
        <f t="shared" ca="1" si="65"/>
        <v>0</v>
      </c>
      <c r="H117" s="676" t="e">
        <f t="shared" ca="1" si="66"/>
        <v>#N/A</v>
      </c>
      <c r="I117" s="676" t="e">
        <f t="shared" ca="1" si="67"/>
        <v>#N/A</v>
      </c>
      <c r="K117" s="676"/>
      <c r="L117" s="676"/>
      <c r="M117" s="676"/>
      <c r="N117" s="676"/>
      <c r="O117" s="676"/>
      <c r="P117" s="676"/>
      <c r="Q117" s="676"/>
      <c r="R117" s="676"/>
      <c r="S117" s="676"/>
      <c r="T117" s="676"/>
      <c r="U117" s="676"/>
      <c r="V117" s="676"/>
      <c r="W117" s="676">
        <f t="shared" si="51"/>
        <v>0</v>
      </c>
      <c r="Y117" s="688">
        <f>IFERROR(VLOOKUP($A117,'[94]1月'!$A:$H,8,0),0)</f>
        <v>0</v>
      </c>
      <c r="Z117" s="688">
        <f>IFERROR(VLOOKUP($A117,'[94]2月'!$A:$H,8,0),0)</f>
        <v>0</v>
      </c>
      <c r="AA117" s="688">
        <f>IFERROR(VLOOKUP($A117,'[94]3月'!$A:$H,8,0),0)</f>
        <v>0</v>
      </c>
      <c r="AB117" s="688">
        <f>IFERROR(VLOOKUP($A117,'[94]4月'!$A:$H,8,0),0)</f>
        <v>0</v>
      </c>
      <c r="AC117" s="688">
        <f>IFERROR(VLOOKUP($A117,'[94]5月'!$A:$H,8,0),0)</f>
        <v>0</v>
      </c>
      <c r="AD117" s="688">
        <f>IFERROR(VLOOKUP($A117,'[94]6月'!$A:$H,8,0),0)</f>
        <v>0</v>
      </c>
      <c r="AE117" s="688">
        <f>IFERROR(VLOOKUP($A117,'[94]7月'!$A:$H,8,0),0)</f>
        <v>0</v>
      </c>
      <c r="AF117" s="688">
        <f>IFERROR(VLOOKUP($A117,'[94]8月'!$A:$H,8,0),0)</f>
        <v>0</v>
      </c>
      <c r="AG117" s="688">
        <f>IFERROR(VLOOKUP($A117,'[94]9月'!$A:$H,8,0),0)</f>
        <v>0</v>
      </c>
      <c r="AH117" s="688">
        <f>IFERROR(VLOOKUP($A117,'[94]10月'!$A:$H,8,0),0)</f>
        <v>0</v>
      </c>
      <c r="AI117" s="688">
        <f>IFERROR(VLOOKUP($A117,'[94]11月'!$A:$H,8,0),0)</f>
        <v>0</v>
      </c>
      <c r="AJ117" s="688">
        <f>IFERROR(VLOOKUP($A117,'[94]12月'!$A:$H,8,0),0)</f>
        <v>0</v>
      </c>
      <c r="AK117" s="688">
        <f t="shared" si="68"/>
        <v>0</v>
      </c>
    </row>
    <row r="118" spans="1:37" ht="11.1" hidden="1" customHeight="1">
      <c r="A118" s="653" t="str">
        <f>'Budget-合并'!A118</f>
        <v>6602.09.08</v>
      </c>
      <c r="B118" s="653" t="str">
        <f>'Budget-合并'!B118</f>
        <v>退改费用（机票/火车等）</v>
      </c>
      <c r="C118" s="687">
        <f>'Budget-合并'!C118</f>
        <v>0</v>
      </c>
      <c r="D118" s="676">
        <f t="shared" si="62"/>
        <v>0</v>
      </c>
      <c r="E118" s="676" t="e">
        <f t="shared" si="63"/>
        <v>#N/A</v>
      </c>
      <c r="F118" s="676" t="e">
        <f t="shared" si="64"/>
        <v>#N/A</v>
      </c>
      <c r="G118" s="676">
        <f t="shared" ca="1" si="65"/>
        <v>0</v>
      </c>
      <c r="H118" s="676" t="e">
        <f t="shared" ca="1" si="66"/>
        <v>#N/A</v>
      </c>
      <c r="I118" s="676" t="e">
        <f t="shared" ca="1" si="67"/>
        <v>#N/A</v>
      </c>
      <c r="K118" s="676">
        <f t="shared" ref="K118:V118" si="73">SUM(K119:K121)</f>
        <v>0</v>
      </c>
      <c r="L118" s="676">
        <f t="shared" si="73"/>
        <v>0</v>
      </c>
      <c r="M118" s="676">
        <f t="shared" si="73"/>
        <v>0</v>
      </c>
      <c r="N118" s="676">
        <f t="shared" si="73"/>
        <v>0</v>
      </c>
      <c r="O118" s="676">
        <f t="shared" si="73"/>
        <v>0</v>
      </c>
      <c r="P118" s="676">
        <f t="shared" si="73"/>
        <v>0</v>
      </c>
      <c r="Q118" s="676">
        <f t="shared" si="73"/>
        <v>0</v>
      </c>
      <c r="R118" s="676">
        <f t="shared" si="73"/>
        <v>0</v>
      </c>
      <c r="S118" s="676">
        <f t="shared" si="73"/>
        <v>0</v>
      </c>
      <c r="T118" s="676">
        <f t="shared" si="73"/>
        <v>0</v>
      </c>
      <c r="U118" s="676">
        <f t="shared" si="73"/>
        <v>0</v>
      </c>
      <c r="V118" s="676">
        <f t="shared" si="73"/>
        <v>0</v>
      </c>
      <c r="W118" s="676">
        <f t="shared" si="51"/>
        <v>0</v>
      </c>
      <c r="Y118" s="676">
        <f>SUM(Y119:Y121)</f>
        <v>0</v>
      </c>
      <c r="Z118" s="676">
        <f t="shared" ref="Z118:AJ118" si="74">SUM(Z119:Z121)</f>
        <v>0</v>
      </c>
      <c r="AA118" s="676">
        <f t="shared" si="74"/>
        <v>0</v>
      </c>
      <c r="AB118" s="676">
        <f t="shared" si="74"/>
        <v>0</v>
      </c>
      <c r="AC118" s="676">
        <f t="shared" si="74"/>
        <v>0</v>
      </c>
      <c r="AD118" s="676">
        <f t="shared" si="74"/>
        <v>0</v>
      </c>
      <c r="AE118" s="676">
        <f t="shared" si="74"/>
        <v>0</v>
      </c>
      <c r="AF118" s="676">
        <f t="shared" si="74"/>
        <v>0</v>
      </c>
      <c r="AG118" s="676">
        <f t="shared" si="74"/>
        <v>0</v>
      </c>
      <c r="AH118" s="676">
        <f t="shared" si="74"/>
        <v>0</v>
      </c>
      <c r="AI118" s="676">
        <f t="shared" si="74"/>
        <v>0</v>
      </c>
      <c r="AJ118" s="676">
        <f t="shared" si="74"/>
        <v>0</v>
      </c>
      <c r="AK118" s="688">
        <f t="shared" si="68"/>
        <v>0</v>
      </c>
    </row>
    <row r="119" spans="1:37" ht="11.1" hidden="1" customHeight="1">
      <c r="A119" s="693">
        <f>$A$94</f>
        <v>0.05</v>
      </c>
      <c r="B119" s="653" t="str">
        <f>'Budget-合并'!B119</f>
        <v xml:space="preserve">    公司主体09</v>
      </c>
      <c r="C119" s="687" t="str">
        <f>'Budget-合并'!C119</f>
        <v xml:space="preserve">   Entity</v>
      </c>
      <c r="D119" s="676">
        <f t="shared" si="62"/>
        <v>0</v>
      </c>
      <c r="E119" s="676" t="e">
        <f t="shared" si="63"/>
        <v>#N/A</v>
      </c>
      <c r="F119" s="676" t="e">
        <f t="shared" si="64"/>
        <v>#N/A</v>
      </c>
      <c r="G119" s="676">
        <f t="shared" ca="1" si="65"/>
        <v>0</v>
      </c>
      <c r="H119" s="676" t="e">
        <f t="shared" ca="1" si="66"/>
        <v>#N/A</v>
      </c>
      <c r="I119" s="676" t="e">
        <f t="shared" ca="1" si="67"/>
        <v>#N/A</v>
      </c>
      <c r="K119" s="676"/>
      <c r="L119" s="676"/>
      <c r="M119" s="676"/>
      <c r="N119" s="676"/>
      <c r="O119" s="676"/>
      <c r="P119" s="676"/>
      <c r="Q119" s="676"/>
      <c r="R119" s="676"/>
      <c r="S119" s="676"/>
      <c r="T119" s="676"/>
      <c r="U119" s="676"/>
      <c r="V119" s="676"/>
      <c r="W119" s="676">
        <f t="shared" si="51"/>
        <v>0</v>
      </c>
      <c r="Y119" s="688">
        <f>IFERROR(VLOOKUP($A119,'[94]1月'!$A:$H,8,0),0)</f>
        <v>0</v>
      </c>
      <c r="Z119" s="688">
        <f>IFERROR(VLOOKUP($A119,'[94]2月'!$A:$H,8,0),0)</f>
        <v>0</v>
      </c>
      <c r="AA119" s="688">
        <f>IFERROR(VLOOKUP($A119,'[94]3月'!$A:$H,8,0),0)</f>
        <v>0</v>
      </c>
      <c r="AB119" s="688">
        <f>IFERROR(VLOOKUP($A119,'[94]4月'!$A:$H,8,0),0)</f>
        <v>0</v>
      </c>
      <c r="AC119" s="688">
        <f>IFERROR(VLOOKUP($A119,'[94]5月'!$A:$H,8,0),0)</f>
        <v>0</v>
      </c>
      <c r="AD119" s="688">
        <f>IFERROR(VLOOKUP($A119,'[94]6月'!$A:$H,8,0),0)</f>
        <v>0</v>
      </c>
      <c r="AE119" s="688">
        <f>IFERROR(VLOOKUP($A119,'[94]7月'!$A:$H,8,0),0)</f>
        <v>0</v>
      </c>
      <c r="AF119" s="688">
        <f>IFERROR(VLOOKUP($A119,'[94]8月'!$A:$H,8,0),0)</f>
        <v>0</v>
      </c>
      <c r="AG119" s="688">
        <f>IFERROR(VLOOKUP($A119,'[94]9月'!$A:$H,8,0),0)</f>
        <v>0</v>
      </c>
      <c r="AH119" s="688">
        <f>IFERROR(VLOOKUP($A119,'[94]10月'!$A:$H,8,0),0)</f>
        <v>0</v>
      </c>
      <c r="AI119" s="688">
        <f>IFERROR(VLOOKUP($A119,'[94]11月'!$A:$H,8,0),0)</f>
        <v>0</v>
      </c>
      <c r="AJ119" s="688">
        <f>IFERROR(VLOOKUP($A119,'[94]12月'!$A:$H,8,0),0)</f>
        <v>0</v>
      </c>
      <c r="AK119" s="688">
        <f t="shared" si="68"/>
        <v>0</v>
      </c>
    </row>
    <row r="120" spans="1:37" ht="11.1" hidden="1" customHeight="1">
      <c r="A120" s="693">
        <f>$A$95</f>
        <v>0.95</v>
      </c>
      <c r="B120" s="653" t="str">
        <f>'Budget-合并'!B120</f>
        <v xml:space="preserve">    旭智富能09</v>
      </c>
      <c r="C120" s="687" t="str">
        <f>'Budget-合并'!C120</f>
        <v xml:space="preserve">   Foxpower</v>
      </c>
      <c r="D120" s="676">
        <f t="shared" si="62"/>
        <v>0</v>
      </c>
      <c r="E120" s="676" t="e">
        <f t="shared" si="63"/>
        <v>#N/A</v>
      </c>
      <c r="F120" s="676" t="e">
        <f t="shared" si="64"/>
        <v>#N/A</v>
      </c>
      <c r="G120" s="676">
        <f t="shared" ca="1" si="65"/>
        <v>0</v>
      </c>
      <c r="H120" s="676" t="e">
        <f t="shared" ca="1" si="66"/>
        <v>#N/A</v>
      </c>
      <c r="I120" s="676" t="e">
        <f t="shared" ca="1" si="67"/>
        <v>#N/A</v>
      </c>
      <c r="K120" s="676"/>
      <c r="L120" s="676"/>
      <c r="M120" s="676"/>
      <c r="N120" s="676"/>
      <c r="O120" s="676"/>
      <c r="P120" s="676"/>
      <c r="Q120" s="676"/>
      <c r="R120" s="676"/>
      <c r="S120" s="676"/>
      <c r="T120" s="676"/>
      <c r="U120" s="676"/>
      <c r="V120" s="676"/>
      <c r="W120" s="676">
        <f t="shared" si="51"/>
        <v>0</v>
      </c>
      <c r="Y120" s="688">
        <f>IFERROR(VLOOKUP($A120,'[94]1月'!$A:$H,8,0),0)</f>
        <v>0</v>
      </c>
      <c r="Z120" s="688">
        <f>IFERROR(VLOOKUP($A120,'[94]2月'!$A:$H,8,0),0)</f>
        <v>0</v>
      </c>
      <c r="AA120" s="688">
        <f>IFERROR(VLOOKUP($A120,'[94]3月'!$A:$H,8,0),0)</f>
        <v>0</v>
      </c>
      <c r="AB120" s="688">
        <f>IFERROR(VLOOKUP($A120,'[94]4月'!$A:$H,8,0),0)</f>
        <v>0</v>
      </c>
      <c r="AC120" s="688">
        <f>IFERROR(VLOOKUP($A120,'[94]5月'!$A:$H,8,0),0)</f>
        <v>0</v>
      </c>
      <c r="AD120" s="688">
        <f>IFERROR(VLOOKUP($A120,'[94]6月'!$A:$H,8,0),0)</f>
        <v>0</v>
      </c>
      <c r="AE120" s="688">
        <f>IFERROR(VLOOKUP($A120,'[94]7月'!$A:$H,8,0),0)</f>
        <v>0</v>
      </c>
      <c r="AF120" s="688">
        <f>IFERROR(VLOOKUP($A120,'[94]8月'!$A:$H,8,0),0)</f>
        <v>0</v>
      </c>
      <c r="AG120" s="688">
        <f>IFERROR(VLOOKUP($A120,'[94]9月'!$A:$H,8,0),0)</f>
        <v>0</v>
      </c>
      <c r="AH120" s="688">
        <f>IFERROR(VLOOKUP($A120,'[94]10月'!$A:$H,8,0),0)</f>
        <v>0</v>
      </c>
      <c r="AI120" s="688">
        <f>IFERROR(VLOOKUP($A120,'[94]11月'!$A:$H,8,0),0)</f>
        <v>0</v>
      </c>
      <c r="AJ120" s="688">
        <f>IFERROR(VLOOKUP($A120,'[94]12月'!$A:$H,8,0),0)</f>
        <v>0</v>
      </c>
      <c r="AK120" s="688">
        <f t="shared" si="68"/>
        <v>0</v>
      </c>
    </row>
    <row r="121" spans="1:37" ht="11.1" hidden="1" customHeight="1">
      <c r="A121" s="653">
        <f>'Budget-合并'!A121</f>
        <v>0</v>
      </c>
      <c r="B121" s="653" t="str">
        <f>'Budget-合并'!B121</f>
        <v xml:space="preserve">    其他项目09</v>
      </c>
      <c r="C121" s="687" t="str">
        <f>'Budget-合并'!C121</f>
        <v xml:space="preserve">   Other project</v>
      </c>
      <c r="D121" s="676">
        <f t="shared" si="62"/>
        <v>0</v>
      </c>
      <c r="E121" s="676" t="e">
        <f t="shared" si="63"/>
        <v>#N/A</v>
      </c>
      <c r="F121" s="676" t="e">
        <f t="shared" si="64"/>
        <v>#N/A</v>
      </c>
      <c r="G121" s="676">
        <f t="shared" ca="1" si="65"/>
        <v>0</v>
      </c>
      <c r="H121" s="676" t="e">
        <f t="shared" ca="1" si="66"/>
        <v>#N/A</v>
      </c>
      <c r="I121" s="676" t="e">
        <f t="shared" ca="1" si="67"/>
        <v>#N/A</v>
      </c>
      <c r="K121" s="676"/>
      <c r="L121" s="676"/>
      <c r="M121" s="676"/>
      <c r="N121" s="676"/>
      <c r="O121" s="676"/>
      <c r="P121" s="676"/>
      <c r="Q121" s="676"/>
      <c r="R121" s="676"/>
      <c r="S121" s="676"/>
      <c r="T121" s="676"/>
      <c r="U121" s="676"/>
      <c r="V121" s="676"/>
      <c r="W121" s="676">
        <f t="shared" si="51"/>
        <v>0</v>
      </c>
      <c r="Y121" s="688">
        <f>IFERROR(VLOOKUP($A121,'[94]1月'!$A:$H,8,0),0)</f>
        <v>0</v>
      </c>
      <c r="Z121" s="688">
        <f>IFERROR(VLOOKUP($A121,'[94]2月'!$A:$H,8,0),0)</f>
        <v>0</v>
      </c>
      <c r="AA121" s="688">
        <f>IFERROR(VLOOKUP($A121,'[94]3月'!$A:$H,8,0),0)</f>
        <v>0</v>
      </c>
      <c r="AB121" s="688">
        <f>IFERROR(VLOOKUP($A121,'[94]4月'!$A:$H,8,0),0)</f>
        <v>0</v>
      </c>
      <c r="AC121" s="688">
        <f>IFERROR(VLOOKUP($A121,'[94]5月'!$A:$H,8,0),0)</f>
        <v>0</v>
      </c>
      <c r="AD121" s="688">
        <f>IFERROR(VLOOKUP($A121,'[94]6月'!$A:$H,8,0),0)</f>
        <v>0</v>
      </c>
      <c r="AE121" s="688">
        <f>IFERROR(VLOOKUP($A121,'[94]7月'!$A:$H,8,0),0)</f>
        <v>0</v>
      </c>
      <c r="AF121" s="688">
        <f>IFERROR(VLOOKUP($A121,'[94]8月'!$A:$H,8,0),0)</f>
        <v>0</v>
      </c>
      <c r="AG121" s="688">
        <f>IFERROR(VLOOKUP($A121,'[94]9月'!$A:$H,8,0),0)</f>
        <v>0</v>
      </c>
      <c r="AH121" s="688">
        <f>IFERROR(VLOOKUP($A121,'[94]10月'!$A:$H,8,0),0)</f>
        <v>0</v>
      </c>
      <c r="AI121" s="688">
        <f>IFERROR(VLOOKUP($A121,'[94]11月'!$A:$H,8,0),0)</f>
        <v>0</v>
      </c>
      <c r="AJ121" s="688">
        <f>IFERROR(VLOOKUP($A121,'[94]12月'!$A:$H,8,0),0)</f>
        <v>0</v>
      </c>
      <c r="AK121" s="688">
        <f t="shared" si="68"/>
        <v>0</v>
      </c>
    </row>
    <row r="122" spans="1:37" ht="11.1" customHeight="1">
      <c r="A122" s="653" t="str">
        <f>'Budget-合并'!A122</f>
        <v>6602.09.09</v>
      </c>
      <c r="B122" s="653" t="str">
        <f>'Budget-合并'!B122</f>
        <v>携程服务费</v>
      </c>
      <c r="C122" s="687">
        <f>'Budget-合并'!C122</f>
        <v>0</v>
      </c>
      <c r="D122" s="676">
        <f t="shared" si="62"/>
        <v>2296</v>
      </c>
      <c r="E122" s="676" t="e">
        <f t="shared" si="63"/>
        <v>#N/A</v>
      </c>
      <c r="F122" s="676" t="e">
        <f t="shared" si="64"/>
        <v>#N/A</v>
      </c>
      <c r="G122" s="676">
        <f t="shared" ca="1" si="65"/>
        <v>2296</v>
      </c>
      <c r="H122" s="676" t="e">
        <f t="shared" ca="1" si="66"/>
        <v>#N/A</v>
      </c>
      <c r="I122" s="676" t="e">
        <f t="shared" ca="1" si="67"/>
        <v>#N/A</v>
      </c>
      <c r="K122" s="676">
        <f t="shared" ref="K122:V122" si="75">SUM(K123:K125)</f>
        <v>2296</v>
      </c>
      <c r="L122" s="676">
        <f t="shared" si="75"/>
        <v>2296</v>
      </c>
      <c r="M122" s="676">
        <f t="shared" si="75"/>
        <v>2296</v>
      </c>
      <c r="N122" s="676">
        <f t="shared" si="75"/>
        <v>2296</v>
      </c>
      <c r="O122" s="676">
        <f t="shared" si="75"/>
        <v>2296</v>
      </c>
      <c r="P122" s="676">
        <f t="shared" si="75"/>
        <v>2296</v>
      </c>
      <c r="Q122" s="676">
        <f t="shared" si="75"/>
        <v>2296</v>
      </c>
      <c r="R122" s="676">
        <f t="shared" si="75"/>
        <v>2296</v>
      </c>
      <c r="S122" s="676">
        <f t="shared" si="75"/>
        <v>2296</v>
      </c>
      <c r="T122" s="676">
        <f t="shared" si="75"/>
        <v>2296</v>
      </c>
      <c r="U122" s="676">
        <f t="shared" si="75"/>
        <v>2296</v>
      </c>
      <c r="V122" s="676">
        <f t="shared" si="75"/>
        <v>2296</v>
      </c>
      <c r="W122" s="676">
        <f t="shared" si="51"/>
        <v>27552</v>
      </c>
      <c r="Y122" s="676">
        <f>SUM(Y123:Y125)</f>
        <v>0</v>
      </c>
      <c r="Z122" s="676">
        <f t="shared" ref="Z122:AJ122" si="76">SUM(Z123:Z125)</f>
        <v>0</v>
      </c>
      <c r="AA122" s="676">
        <f t="shared" si="76"/>
        <v>0</v>
      </c>
      <c r="AB122" s="676">
        <f t="shared" si="76"/>
        <v>0</v>
      </c>
      <c r="AC122" s="676">
        <f t="shared" si="76"/>
        <v>0</v>
      </c>
      <c r="AD122" s="676">
        <f t="shared" si="76"/>
        <v>0</v>
      </c>
      <c r="AE122" s="676">
        <f t="shared" si="76"/>
        <v>0</v>
      </c>
      <c r="AF122" s="676">
        <f t="shared" si="76"/>
        <v>0</v>
      </c>
      <c r="AG122" s="676">
        <f t="shared" si="76"/>
        <v>0</v>
      </c>
      <c r="AH122" s="676">
        <f t="shared" si="76"/>
        <v>0</v>
      </c>
      <c r="AI122" s="676">
        <f t="shared" si="76"/>
        <v>0</v>
      </c>
      <c r="AJ122" s="676">
        <f t="shared" si="76"/>
        <v>0</v>
      </c>
      <c r="AK122" s="688">
        <f t="shared" si="68"/>
        <v>0</v>
      </c>
    </row>
    <row r="123" spans="1:37" ht="11.1" customHeight="1">
      <c r="A123" s="693">
        <f>$A$94</f>
        <v>0.05</v>
      </c>
      <c r="B123" s="653" t="str">
        <f>'Budget-合并'!B123</f>
        <v xml:space="preserve">    公司主体10</v>
      </c>
      <c r="C123" s="687" t="str">
        <f>'Budget-合并'!C123</f>
        <v xml:space="preserve">   Entity</v>
      </c>
      <c r="D123" s="676">
        <f t="shared" si="62"/>
        <v>114.80000000000001</v>
      </c>
      <c r="E123" s="676" t="e">
        <f t="shared" si="63"/>
        <v>#N/A</v>
      </c>
      <c r="F123" s="676" t="e">
        <f t="shared" si="64"/>
        <v>#N/A</v>
      </c>
      <c r="G123" s="676">
        <f t="shared" ca="1" si="65"/>
        <v>114.80000000000001</v>
      </c>
      <c r="H123" s="676" t="e">
        <f t="shared" ca="1" si="66"/>
        <v>#N/A</v>
      </c>
      <c r="I123" s="676" t="e">
        <f t="shared" ca="1" si="67"/>
        <v>#N/A</v>
      </c>
      <c r="K123" s="676">
        <f>SUM(K$93,K$97,K$101,K$105,K$109,K$113,K$117,K$118)*2%*$A$123</f>
        <v>114.80000000000001</v>
      </c>
      <c r="L123" s="676">
        <f t="shared" ref="L123:V123" si="77">SUM(L$93,L$97,L$101,L$105,L$109,L$113,L$117,L$118)*2%*$A$123</f>
        <v>114.80000000000001</v>
      </c>
      <c r="M123" s="676">
        <f t="shared" si="77"/>
        <v>114.80000000000001</v>
      </c>
      <c r="N123" s="676">
        <f t="shared" si="77"/>
        <v>114.80000000000001</v>
      </c>
      <c r="O123" s="676">
        <f t="shared" si="77"/>
        <v>114.80000000000001</v>
      </c>
      <c r="P123" s="676">
        <f t="shared" si="77"/>
        <v>114.80000000000001</v>
      </c>
      <c r="Q123" s="676">
        <f t="shared" si="77"/>
        <v>114.80000000000001</v>
      </c>
      <c r="R123" s="676">
        <f t="shared" si="77"/>
        <v>114.80000000000001</v>
      </c>
      <c r="S123" s="676">
        <f t="shared" si="77"/>
        <v>114.80000000000001</v>
      </c>
      <c r="T123" s="676">
        <f t="shared" si="77"/>
        <v>114.80000000000001</v>
      </c>
      <c r="U123" s="676">
        <f t="shared" si="77"/>
        <v>114.80000000000001</v>
      </c>
      <c r="V123" s="676">
        <f t="shared" si="77"/>
        <v>114.80000000000001</v>
      </c>
      <c r="W123" s="676">
        <f t="shared" si="51"/>
        <v>1377.5999999999997</v>
      </c>
      <c r="Y123" s="688">
        <f>IFERROR(VLOOKUP($A123,'[94]1月'!$A:$H,8,0),0)</f>
        <v>0</v>
      </c>
      <c r="Z123" s="688">
        <f>IFERROR(VLOOKUP($A123,'[94]2月'!$A:$H,8,0),0)</f>
        <v>0</v>
      </c>
      <c r="AA123" s="688">
        <f>IFERROR(VLOOKUP($A123,'[94]3月'!$A:$H,8,0),0)</f>
        <v>0</v>
      </c>
      <c r="AB123" s="688">
        <f>IFERROR(VLOOKUP($A123,'[94]4月'!$A:$H,8,0),0)</f>
        <v>0</v>
      </c>
      <c r="AC123" s="688">
        <f>IFERROR(VLOOKUP($A123,'[94]5月'!$A:$H,8,0),0)</f>
        <v>0</v>
      </c>
      <c r="AD123" s="688">
        <f>IFERROR(VLOOKUP($A123,'[94]6月'!$A:$H,8,0),0)</f>
        <v>0</v>
      </c>
      <c r="AE123" s="688">
        <f>IFERROR(VLOOKUP($A123,'[94]7月'!$A:$H,8,0),0)</f>
        <v>0</v>
      </c>
      <c r="AF123" s="688">
        <f>IFERROR(VLOOKUP($A123,'[94]8月'!$A:$H,8,0),0)</f>
        <v>0</v>
      </c>
      <c r="AG123" s="688">
        <f>IFERROR(VLOOKUP($A123,'[94]9月'!$A:$H,8,0),0)</f>
        <v>0</v>
      </c>
      <c r="AH123" s="688">
        <f>IFERROR(VLOOKUP($A123,'[94]10月'!$A:$H,8,0),0)</f>
        <v>0</v>
      </c>
      <c r="AI123" s="688">
        <f>IFERROR(VLOOKUP($A123,'[94]11月'!$A:$H,8,0),0)</f>
        <v>0</v>
      </c>
      <c r="AJ123" s="688">
        <f>IFERROR(VLOOKUP($A123,'[94]12月'!$A:$H,8,0),0)</f>
        <v>0</v>
      </c>
      <c r="AK123" s="688">
        <f t="shared" si="68"/>
        <v>0</v>
      </c>
    </row>
    <row r="124" spans="1:37" ht="11.1" customHeight="1">
      <c r="A124" s="693">
        <f>$A$95</f>
        <v>0.95</v>
      </c>
      <c r="B124" s="653" t="str">
        <f>'Budget-合并'!B124</f>
        <v xml:space="preserve">    旭智富能10</v>
      </c>
      <c r="C124" s="687" t="str">
        <f>'Budget-合并'!C124</f>
        <v xml:space="preserve">   Foxpower</v>
      </c>
      <c r="D124" s="676">
        <f t="shared" si="62"/>
        <v>2181.1999999999998</v>
      </c>
      <c r="E124" s="676" t="e">
        <f t="shared" si="63"/>
        <v>#N/A</v>
      </c>
      <c r="F124" s="676" t="e">
        <f t="shared" si="64"/>
        <v>#N/A</v>
      </c>
      <c r="G124" s="676">
        <f t="shared" ca="1" si="65"/>
        <v>2181.1999999999998</v>
      </c>
      <c r="H124" s="676" t="e">
        <f t="shared" ca="1" si="66"/>
        <v>#N/A</v>
      </c>
      <c r="I124" s="676" t="e">
        <f t="shared" ca="1" si="67"/>
        <v>#N/A</v>
      </c>
      <c r="K124" s="676">
        <f>SUM(K$93,K$97,K$101,K$105,K$109,K$113,K$117,K$118)*2%*$A$124</f>
        <v>2181.1999999999998</v>
      </c>
      <c r="L124" s="676">
        <f t="shared" ref="L124:V124" si="78">SUM(L$93,L$97,L$101,L$105,L$109,L$113,L$117,L$118)*2%*$A$124</f>
        <v>2181.1999999999998</v>
      </c>
      <c r="M124" s="676">
        <f t="shared" si="78"/>
        <v>2181.1999999999998</v>
      </c>
      <c r="N124" s="676">
        <f t="shared" si="78"/>
        <v>2181.1999999999998</v>
      </c>
      <c r="O124" s="676">
        <f t="shared" si="78"/>
        <v>2181.1999999999998</v>
      </c>
      <c r="P124" s="676">
        <f t="shared" si="78"/>
        <v>2181.1999999999998</v>
      </c>
      <c r="Q124" s="676">
        <f t="shared" si="78"/>
        <v>2181.1999999999998</v>
      </c>
      <c r="R124" s="676">
        <f t="shared" si="78"/>
        <v>2181.1999999999998</v>
      </c>
      <c r="S124" s="676">
        <f t="shared" si="78"/>
        <v>2181.1999999999998</v>
      </c>
      <c r="T124" s="676">
        <f t="shared" si="78"/>
        <v>2181.1999999999998</v>
      </c>
      <c r="U124" s="676">
        <f t="shared" si="78"/>
        <v>2181.1999999999998</v>
      </c>
      <c r="V124" s="676">
        <f t="shared" si="78"/>
        <v>2181.1999999999998</v>
      </c>
      <c r="W124" s="676">
        <f t="shared" si="51"/>
        <v>26174.400000000005</v>
      </c>
      <c r="Y124" s="688">
        <f>IFERROR(VLOOKUP($A124,'[94]1月'!$A:$H,8,0),0)</f>
        <v>0</v>
      </c>
      <c r="Z124" s="688">
        <f>IFERROR(VLOOKUP($A124,'[94]2月'!$A:$H,8,0),0)</f>
        <v>0</v>
      </c>
      <c r="AA124" s="688">
        <f>IFERROR(VLOOKUP($A124,'[94]3月'!$A:$H,8,0),0)</f>
        <v>0</v>
      </c>
      <c r="AB124" s="688">
        <f>IFERROR(VLOOKUP($A124,'[94]4月'!$A:$H,8,0),0)</f>
        <v>0</v>
      </c>
      <c r="AC124" s="688">
        <f>IFERROR(VLOOKUP($A124,'[94]5月'!$A:$H,8,0),0)</f>
        <v>0</v>
      </c>
      <c r="AD124" s="688">
        <f>IFERROR(VLOOKUP($A124,'[94]6月'!$A:$H,8,0),0)</f>
        <v>0</v>
      </c>
      <c r="AE124" s="688">
        <f>IFERROR(VLOOKUP($A124,'[94]7月'!$A:$H,8,0),0)</f>
        <v>0</v>
      </c>
      <c r="AF124" s="688">
        <f>IFERROR(VLOOKUP($A124,'[94]8月'!$A:$H,8,0),0)</f>
        <v>0</v>
      </c>
      <c r="AG124" s="688">
        <f>IFERROR(VLOOKUP($A124,'[94]9月'!$A:$H,8,0),0)</f>
        <v>0</v>
      </c>
      <c r="AH124" s="688">
        <f>IFERROR(VLOOKUP($A124,'[94]10月'!$A:$H,8,0),0)</f>
        <v>0</v>
      </c>
      <c r="AI124" s="688">
        <f>IFERROR(VLOOKUP($A124,'[94]11月'!$A:$H,8,0),0)</f>
        <v>0</v>
      </c>
      <c r="AJ124" s="688">
        <f>IFERROR(VLOOKUP($A124,'[94]12月'!$A:$H,8,0),0)</f>
        <v>0</v>
      </c>
      <c r="AK124" s="688">
        <f t="shared" si="68"/>
        <v>0</v>
      </c>
    </row>
    <row r="125" spans="1:37" ht="11.1" hidden="1" customHeight="1">
      <c r="A125" s="653">
        <f>'Budget-合并'!A125</f>
        <v>0</v>
      </c>
      <c r="B125" s="653" t="str">
        <f>'Budget-合并'!B125</f>
        <v xml:space="preserve">    其他项目10</v>
      </c>
      <c r="C125" s="687" t="str">
        <f>'Budget-合并'!C125</f>
        <v xml:space="preserve">   Other project</v>
      </c>
      <c r="D125" s="676">
        <f t="shared" si="62"/>
        <v>0</v>
      </c>
      <c r="E125" s="676" t="e">
        <f t="shared" si="63"/>
        <v>#N/A</v>
      </c>
      <c r="F125" s="676" t="e">
        <f t="shared" si="64"/>
        <v>#N/A</v>
      </c>
      <c r="G125" s="676">
        <f t="shared" ca="1" si="65"/>
        <v>0</v>
      </c>
      <c r="H125" s="676" t="e">
        <f t="shared" ca="1" si="66"/>
        <v>#N/A</v>
      </c>
      <c r="I125" s="676" t="e">
        <f t="shared" ca="1" si="67"/>
        <v>#N/A</v>
      </c>
      <c r="K125" s="676"/>
      <c r="L125" s="676"/>
      <c r="M125" s="676"/>
      <c r="N125" s="676"/>
      <c r="O125" s="676"/>
      <c r="P125" s="676"/>
      <c r="Q125" s="676"/>
      <c r="R125" s="676"/>
      <c r="S125" s="676"/>
      <c r="T125" s="676"/>
      <c r="U125" s="676"/>
      <c r="V125" s="676"/>
      <c r="W125" s="676">
        <f t="shared" si="51"/>
        <v>0</v>
      </c>
      <c r="Y125" s="688">
        <f>IFERROR(VLOOKUP($A125,'[94]1月'!$A:$H,8,0),0)</f>
        <v>0</v>
      </c>
      <c r="Z125" s="688">
        <f>IFERROR(VLOOKUP($A125,'[94]2月'!$A:$H,8,0),0)</f>
        <v>0</v>
      </c>
      <c r="AA125" s="688">
        <f>IFERROR(VLOOKUP($A125,'[94]3月'!$A:$H,8,0),0)</f>
        <v>0</v>
      </c>
      <c r="AB125" s="688">
        <f>IFERROR(VLOOKUP($A125,'[94]4月'!$A:$H,8,0),0)</f>
        <v>0</v>
      </c>
      <c r="AC125" s="688">
        <f>IFERROR(VLOOKUP($A125,'[94]5月'!$A:$H,8,0),0)</f>
        <v>0</v>
      </c>
      <c r="AD125" s="688">
        <f>IFERROR(VLOOKUP($A125,'[94]6月'!$A:$H,8,0),0)</f>
        <v>0</v>
      </c>
      <c r="AE125" s="688">
        <f>IFERROR(VLOOKUP($A125,'[94]7月'!$A:$H,8,0),0)</f>
        <v>0</v>
      </c>
      <c r="AF125" s="688">
        <f>IFERROR(VLOOKUP($A125,'[94]8月'!$A:$H,8,0),0)</f>
        <v>0</v>
      </c>
      <c r="AG125" s="688">
        <f>IFERROR(VLOOKUP($A125,'[94]9月'!$A:$H,8,0),0)</f>
        <v>0</v>
      </c>
      <c r="AH125" s="688">
        <f>IFERROR(VLOOKUP($A125,'[94]10月'!$A:$H,8,0),0)</f>
        <v>0</v>
      </c>
      <c r="AI125" s="688">
        <f>IFERROR(VLOOKUP($A125,'[94]11月'!$A:$H,8,0),0)</f>
        <v>0</v>
      </c>
      <c r="AJ125" s="688">
        <f>IFERROR(VLOOKUP($A125,'[94]12月'!$A:$H,8,0),0)</f>
        <v>0</v>
      </c>
      <c r="AK125" s="688">
        <f t="shared" si="68"/>
        <v>0</v>
      </c>
    </row>
    <row r="126" spans="1:37" ht="11.1" customHeight="1">
      <c r="A126" s="653" t="str">
        <f>'Budget-合并'!A126</f>
        <v>6602.09.99</v>
      </c>
      <c r="B126" s="653" t="str">
        <f>'Budget-合并'!B126</f>
        <v>其他</v>
      </c>
      <c r="C126" s="687" t="str">
        <f>'Budget-合并'!C126</f>
        <v>Travel Other</v>
      </c>
      <c r="D126" s="676">
        <f t="shared" si="62"/>
        <v>1666.6666666666667</v>
      </c>
      <c r="E126" s="676" t="e">
        <f t="shared" si="63"/>
        <v>#N/A</v>
      </c>
      <c r="F126" s="676" t="e">
        <f t="shared" si="64"/>
        <v>#N/A</v>
      </c>
      <c r="G126" s="676">
        <f t="shared" ca="1" si="65"/>
        <v>1666.6666666666667</v>
      </c>
      <c r="H126" s="676" t="e">
        <f t="shared" ca="1" si="66"/>
        <v>#N/A</v>
      </c>
      <c r="I126" s="676" t="e">
        <f t="shared" ca="1" si="67"/>
        <v>#N/A</v>
      </c>
      <c r="K126" s="676">
        <f>SUMIFS('T&amp;E'!N$94:N$103,'T&amp;E'!$B$94:$B$103,$D$1,'T&amp;E'!$C$94:$C$103,$A$126)</f>
        <v>1666.6666666666667</v>
      </c>
      <c r="L126" s="676">
        <f>SUMIFS('T&amp;E'!O$94:O$103,'T&amp;E'!$B$94:$B$103,$D$1,'T&amp;E'!$C$94:$C$103,$A$126)</f>
        <v>1666.6666666666667</v>
      </c>
      <c r="M126" s="676">
        <f>SUMIFS('T&amp;E'!P$94:P$103,'T&amp;E'!$B$94:$B$103,$D$1,'T&amp;E'!$C$94:$C$103,$A$126)</f>
        <v>1666.6666666666667</v>
      </c>
      <c r="N126" s="676">
        <f>SUMIFS('T&amp;E'!Q$94:Q$103,'T&amp;E'!$B$94:$B$103,$D$1,'T&amp;E'!$C$94:$C$103,$A$126)</f>
        <v>1666.6666666666667</v>
      </c>
      <c r="O126" s="676">
        <f>SUMIFS('T&amp;E'!R$94:R$103,'T&amp;E'!$B$94:$B$103,$D$1,'T&amp;E'!$C$94:$C$103,$A$126)</f>
        <v>1666.6666666666667</v>
      </c>
      <c r="P126" s="676">
        <f>SUMIFS('T&amp;E'!S$94:S$103,'T&amp;E'!$B$94:$B$103,$D$1,'T&amp;E'!$C$94:$C$103,$A$126)</f>
        <v>1666.6666666666667</v>
      </c>
      <c r="Q126" s="676">
        <f>SUMIFS('T&amp;E'!T$94:T$103,'T&amp;E'!$B$94:$B$103,$D$1,'T&amp;E'!$C$94:$C$103,$A$126)</f>
        <v>1666.6666666666667</v>
      </c>
      <c r="R126" s="676">
        <f>SUMIFS('T&amp;E'!U$94:U$103,'T&amp;E'!$B$94:$B$103,$D$1,'T&amp;E'!$C$94:$C$103,$A$126)</f>
        <v>1666.6666666666667</v>
      </c>
      <c r="S126" s="676">
        <f>SUMIFS('T&amp;E'!V$94:V$103,'T&amp;E'!$B$94:$B$103,$D$1,'T&amp;E'!$C$94:$C$103,$A$126)</f>
        <v>1666.6666666666667</v>
      </c>
      <c r="T126" s="676">
        <f>SUMIFS('T&amp;E'!W$94:W$103,'T&amp;E'!$B$94:$B$103,$D$1,'T&amp;E'!$C$94:$C$103,$A$126)</f>
        <v>1666.6666666666667</v>
      </c>
      <c r="U126" s="676">
        <f>SUMIFS('T&amp;E'!X$94:X$103,'T&amp;E'!$B$94:$B$103,$D$1,'T&amp;E'!$C$94:$C$103,$A$126)</f>
        <v>1666.6666666666667</v>
      </c>
      <c r="V126" s="676">
        <f>SUMIFS('T&amp;E'!Y$94:Y$103,'T&amp;E'!$B$94:$B$103,$D$1,'T&amp;E'!$C$94:$C$103,$A$126)</f>
        <v>1666.6666666666667</v>
      </c>
      <c r="W126" s="676">
        <f t="shared" si="51"/>
        <v>20000</v>
      </c>
      <c r="Y126" s="688">
        <f>IFERROR(VLOOKUP($A126,'[94]1月'!$A:$H,8,0),0)</f>
        <v>0</v>
      </c>
      <c r="Z126" s="688">
        <f>IFERROR(VLOOKUP($A126,'[94]2月'!$A:$H,8,0),0)</f>
        <v>0</v>
      </c>
      <c r="AA126" s="688">
        <v>-3360</v>
      </c>
      <c r="AB126" s="688">
        <f>IFERROR(VLOOKUP($A126,'[94]4月'!$A:$H,8,0),0)</f>
        <v>0</v>
      </c>
      <c r="AC126" s="688">
        <f>IFERROR(VLOOKUP($A126,'[94]5月'!$A:$H,8,0),0)</f>
        <v>0</v>
      </c>
      <c r="AD126" s="688">
        <f>IFERROR(VLOOKUP($A126,'[94]6月'!$A:$H,8,0),0)</f>
        <v>0</v>
      </c>
      <c r="AE126" s="688">
        <f>IFERROR(VLOOKUP($A126,'[94]7月'!$A:$H,8,0),0)</f>
        <v>0</v>
      </c>
      <c r="AF126" s="688">
        <f>IFERROR(VLOOKUP($A126,'[94]8月'!$A:$H,8,0),0)</f>
        <v>0</v>
      </c>
      <c r="AG126" s="688">
        <v>0</v>
      </c>
      <c r="AH126" s="688">
        <f>IFERROR(VLOOKUP($A126,'[94]10月'!$A:$H,8,0),0)</f>
        <v>0</v>
      </c>
      <c r="AI126" s="688">
        <f>IFERROR(VLOOKUP($A126,'[94]11月'!$A:$H,8,0),0)</f>
        <v>0</v>
      </c>
      <c r="AJ126" s="688">
        <f>IFERROR(VLOOKUP($A126,'[94]12月'!$A:$H,8,0),0)</f>
        <v>0</v>
      </c>
      <c r="AK126" s="688">
        <f t="shared" si="68"/>
        <v>-3360</v>
      </c>
    </row>
    <row r="127" spans="1:37" ht="11.1" customHeight="1">
      <c r="A127" s="663" t="str">
        <f>'Budget-合并'!A127</f>
        <v>6602.10</v>
      </c>
      <c r="B127" s="663" t="str">
        <f>'Budget-合并'!B127</f>
        <v>折旧费</v>
      </c>
      <c r="C127" s="687">
        <f>'Budget-合并'!C127</f>
        <v>0</v>
      </c>
      <c r="D127" s="676">
        <f t="shared" si="62"/>
        <v>4557.6822222222218</v>
      </c>
      <c r="E127" s="676" t="e">
        <f t="shared" si="63"/>
        <v>#N/A</v>
      </c>
      <c r="F127" s="676" t="e">
        <f t="shared" si="64"/>
        <v>#N/A</v>
      </c>
      <c r="G127" s="676">
        <f t="shared" ca="1" si="65"/>
        <v>4557.6822222222218</v>
      </c>
      <c r="H127" s="676" t="e">
        <f t="shared" ca="1" si="66"/>
        <v>#N/A</v>
      </c>
      <c r="I127" s="676" t="e">
        <f t="shared" ca="1" si="67"/>
        <v>#N/A</v>
      </c>
      <c r="K127" s="676">
        <f>SUM(K128:K131)</f>
        <v>4557.6822222222218</v>
      </c>
      <c r="L127" s="676">
        <f t="shared" ref="L127:V127" si="79">SUM(L128:L131)</f>
        <v>4557.6822222222218</v>
      </c>
      <c r="M127" s="676">
        <f t="shared" si="79"/>
        <v>4557.6822222222218</v>
      </c>
      <c r="N127" s="676">
        <f t="shared" si="79"/>
        <v>4557.6822222222218</v>
      </c>
      <c r="O127" s="676">
        <f t="shared" si="79"/>
        <v>4557.6822222222218</v>
      </c>
      <c r="P127" s="676">
        <f t="shared" si="79"/>
        <v>4557.6822222222218</v>
      </c>
      <c r="Q127" s="676">
        <f t="shared" si="79"/>
        <v>4557.6822222222218</v>
      </c>
      <c r="R127" s="676">
        <f t="shared" si="79"/>
        <v>4557.6822222222218</v>
      </c>
      <c r="S127" s="676">
        <f t="shared" si="79"/>
        <v>4557.6822222222218</v>
      </c>
      <c r="T127" s="676">
        <f t="shared" si="79"/>
        <v>4557.6822222222218</v>
      </c>
      <c r="U127" s="676">
        <f t="shared" si="79"/>
        <v>4557.6822222222218</v>
      </c>
      <c r="V127" s="676">
        <f t="shared" si="79"/>
        <v>4557.6822222222218</v>
      </c>
      <c r="W127" s="676">
        <f t="shared" si="51"/>
        <v>54692.186666666676</v>
      </c>
      <c r="Y127" s="688">
        <f>IFERROR(VLOOKUP($A127,'[94]1月'!$A:$H,8,0),0)</f>
        <v>2696.13</v>
      </c>
      <c r="Z127" s="688">
        <f>IFERROR(VLOOKUP($A127,'[94]2月'!$A:$H,8,0),0)</f>
        <v>2696.13</v>
      </c>
      <c r="AA127" s="688">
        <f>IFERROR(VLOOKUP($A127,'[94]3月'!$A:$H,8,0),0)</f>
        <v>2197.91</v>
      </c>
      <c r="AB127" s="688">
        <f>IFERROR(VLOOKUP($A127,'[94]4月'!$A:$H,8,0),0)</f>
        <v>2197.91</v>
      </c>
      <c r="AC127" s="688">
        <f>IFERROR(VLOOKUP($A127,'[94]5月'!$A:$H,8,0),0)</f>
        <v>2197.91</v>
      </c>
      <c r="AD127" s="688">
        <f>IFERROR(VLOOKUP($A127,'[94]6月'!$A:$H,8,0),0)</f>
        <v>2567.31</v>
      </c>
      <c r="AE127" s="688">
        <f>IFERROR(VLOOKUP($A127,'[94]7月'!$A:$H,8,0),0)</f>
        <v>2710.46</v>
      </c>
      <c r="AF127" s="688">
        <f>IFERROR(VLOOKUP($A127,'[94]8月'!$A:$H,8,0),0)</f>
        <v>2710.46</v>
      </c>
      <c r="AG127" s="688">
        <f>IFERROR(VLOOKUP($A127,'[94]9月'!$A:$H,8,0),0)</f>
        <v>2710.46</v>
      </c>
      <c r="AH127" s="688">
        <f>IFERROR(VLOOKUP($A127,'[94]10月'!$A:$H,8,0),0)</f>
        <v>2710.46</v>
      </c>
      <c r="AI127" s="688">
        <f>IFERROR(VLOOKUP($A127,'[94]11月'!$A:$H,8,0),0)</f>
        <v>2710.46</v>
      </c>
      <c r="AJ127" s="688">
        <f>IFERROR(VLOOKUP($A127,'[94]12月'!$A:$H,8,0),0)</f>
        <v>2710.46</v>
      </c>
      <c r="AK127" s="688">
        <f t="shared" si="68"/>
        <v>30816.059999999994</v>
      </c>
    </row>
    <row r="128" spans="1:37" ht="11.1" customHeight="1">
      <c r="A128" s="653" t="str">
        <f>'Budget-合并'!A128</f>
        <v>6602.10.01</v>
      </c>
      <c r="B128" s="653" t="str">
        <f>'Budget-合并'!B128</f>
        <v>电子设备</v>
      </c>
      <c r="C128" s="687" t="str">
        <f>'Budget-合并'!C128</f>
        <v>Dep Exp  Computer Equip</v>
      </c>
      <c r="D128" s="676">
        <f t="shared" si="62"/>
        <v>3879.5922222222221</v>
      </c>
      <c r="E128" s="676" t="e">
        <f t="shared" si="63"/>
        <v>#N/A</v>
      </c>
      <c r="F128" s="676" t="e">
        <f t="shared" si="64"/>
        <v>#N/A</v>
      </c>
      <c r="G128" s="676">
        <f t="shared" ca="1" si="65"/>
        <v>3879.5922222222221</v>
      </c>
      <c r="H128" s="676" t="e">
        <f t="shared" ca="1" si="66"/>
        <v>#N/A</v>
      </c>
      <c r="I128" s="676" t="e">
        <f t="shared" ca="1" si="67"/>
        <v>#N/A</v>
      </c>
      <c r="K128" s="676">
        <f>2032.37+'Other Exp'!$AC$88*0.95/(3*12)</f>
        <v>3879.5922222222221</v>
      </c>
      <c r="L128" s="676">
        <f>2032.37+'Other Exp'!$AC$88*0.95/(3*12)</f>
        <v>3879.5922222222221</v>
      </c>
      <c r="M128" s="676">
        <f>2032.37+'Other Exp'!$AC$88*0.95/(3*12)</f>
        <v>3879.5922222222221</v>
      </c>
      <c r="N128" s="676">
        <f>2032.37+'Other Exp'!$AC$88*0.95/(3*12)</f>
        <v>3879.5922222222221</v>
      </c>
      <c r="O128" s="676">
        <f>2032.37+'Other Exp'!$AC$88*0.95/(3*12)</f>
        <v>3879.5922222222221</v>
      </c>
      <c r="P128" s="676">
        <f>2032.37+'Other Exp'!$AC$88*0.95/(3*12)</f>
        <v>3879.5922222222221</v>
      </c>
      <c r="Q128" s="676">
        <f>2032.37+'Other Exp'!$AC$88*0.95/(3*12)</f>
        <v>3879.5922222222221</v>
      </c>
      <c r="R128" s="676">
        <f>2032.37+'Other Exp'!$AC$88*0.95/(3*12)</f>
        <v>3879.5922222222221</v>
      </c>
      <c r="S128" s="676">
        <f>2032.37+'Other Exp'!$AC$88*0.95/(3*12)</f>
        <v>3879.5922222222221</v>
      </c>
      <c r="T128" s="676">
        <f>2032.37+'Other Exp'!$AC$88*0.95/(3*12)</f>
        <v>3879.5922222222221</v>
      </c>
      <c r="U128" s="676">
        <f>2032.37+'Other Exp'!$AC$88*0.95/(3*12)</f>
        <v>3879.5922222222221</v>
      </c>
      <c r="V128" s="676">
        <f>2032.37+'Other Exp'!$AC$88*0.95/(3*12)</f>
        <v>3879.5922222222221</v>
      </c>
      <c r="W128" s="676">
        <f t="shared" si="51"/>
        <v>46555.106666666667</v>
      </c>
      <c r="Y128" s="688">
        <f>IFERROR(VLOOKUP($A128,'[94]1月'!$A:$H,8,0),0)</f>
        <v>965.72</v>
      </c>
      <c r="Z128" s="688">
        <f>IFERROR(VLOOKUP($A128,'[94]2月'!$A:$H,8,0),0)</f>
        <v>965.72</v>
      </c>
      <c r="AA128" s="688">
        <f>IFERROR(VLOOKUP($A128,'[94]3月'!$A:$H,8,0),0)</f>
        <v>1519.82</v>
      </c>
      <c r="AB128" s="688">
        <f>IFERROR(VLOOKUP($A128,'[94]4月'!$A:$H,8,0),0)</f>
        <v>1519.82</v>
      </c>
      <c r="AC128" s="688">
        <f>IFERROR(VLOOKUP($A128,'[94]5月'!$A:$H,8,0),0)</f>
        <v>1519.82</v>
      </c>
      <c r="AD128" s="688">
        <f>IFERROR(VLOOKUP($A128,'[94]6月'!$A:$H,8,0),0)</f>
        <v>1889.22</v>
      </c>
      <c r="AE128" s="688">
        <f>IFERROR(VLOOKUP($A128,'[94]7月'!$A:$H,8,0),0)</f>
        <v>2032.37</v>
      </c>
      <c r="AF128" s="688">
        <f>IFERROR(VLOOKUP($A128,'[94]8月'!$A:$H,8,0),0)</f>
        <v>2032.37</v>
      </c>
      <c r="AG128" s="688">
        <f>IFERROR(VLOOKUP($A128,'[94]9月'!$A:$H,8,0),0)</f>
        <v>2032.37</v>
      </c>
      <c r="AH128" s="688">
        <f>IFERROR(VLOOKUP($A128,'[94]10月'!$A:$H,8,0),0)</f>
        <v>2032.37</v>
      </c>
      <c r="AI128" s="688">
        <f>IFERROR(VLOOKUP($A128,'[94]11月'!$A:$H,8,0),0)</f>
        <v>2032.37</v>
      </c>
      <c r="AJ128" s="688">
        <f>IFERROR(VLOOKUP($A128,'[94]12月'!$A:$H,8,0),0)</f>
        <v>2032.37</v>
      </c>
      <c r="AK128" s="688">
        <f t="shared" si="68"/>
        <v>20574.339999999993</v>
      </c>
    </row>
    <row r="129" spans="1:37" ht="11.1" hidden="1" customHeight="1">
      <c r="A129" s="653" t="str">
        <f>'Budget-合并'!A129</f>
        <v>6602.10.02</v>
      </c>
      <c r="B129" s="653" t="str">
        <f>'Budget-合并'!B129</f>
        <v>房屋建筑物</v>
      </c>
      <c r="C129" s="687">
        <f>'Budget-合并'!C129</f>
        <v>0</v>
      </c>
      <c r="D129" s="676">
        <f t="shared" si="62"/>
        <v>0</v>
      </c>
      <c r="E129" s="676" t="e">
        <f t="shared" si="63"/>
        <v>#N/A</v>
      </c>
      <c r="F129" s="676" t="e">
        <f t="shared" si="64"/>
        <v>#N/A</v>
      </c>
      <c r="G129" s="676">
        <f t="shared" ca="1" si="65"/>
        <v>0</v>
      </c>
      <c r="H129" s="676" t="e">
        <f t="shared" ca="1" si="66"/>
        <v>#N/A</v>
      </c>
      <c r="I129" s="676" t="e">
        <f t="shared" ca="1" si="67"/>
        <v>#N/A</v>
      </c>
      <c r="K129" s="676"/>
      <c r="L129" s="676"/>
      <c r="M129" s="676"/>
      <c r="N129" s="676"/>
      <c r="O129" s="676"/>
      <c r="P129" s="676"/>
      <c r="Q129" s="676"/>
      <c r="R129" s="676"/>
      <c r="S129" s="676"/>
      <c r="T129" s="676"/>
      <c r="U129" s="676"/>
      <c r="V129" s="676"/>
      <c r="W129" s="676">
        <f t="shared" si="51"/>
        <v>0</v>
      </c>
      <c r="Y129" s="688">
        <f>IFERROR(VLOOKUP($A129,'[94]1月'!$A:$H,8,0),0)</f>
        <v>0</v>
      </c>
      <c r="Z129" s="688">
        <f>IFERROR(VLOOKUP($A129,'[94]2月'!$A:$H,8,0),0)</f>
        <v>0</v>
      </c>
      <c r="AA129" s="688">
        <f>IFERROR(VLOOKUP($A129,'[94]3月'!$A:$H,8,0),0)</f>
        <v>0</v>
      </c>
      <c r="AB129" s="688">
        <f>IFERROR(VLOOKUP($A129,'[94]4月'!$A:$H,8,0),0)</f>
        <v>0</v>
      </c>
      <c r="AC129" s="688">
        <f>IFERROR(VLOOKUP($A129,'[94]5月'!$A:$H,8,0),0)</f>
        <v>0</v>
      </c>
      <c r="AD129" s="688">
        <f>IFERROR(VLOOKUP($A129,'[94]6月'!$A:$H,8,0),0)</f>
        <v>0</v>
      </c>
      <c r="AE129" s="688">
        <f>IFERROR(VLOOKUP($A129,'[94]7月'!$A:$H,8,0),0)</f>
        <v>0</v>
      </c>
      <c r="AF129" s="688">
        <f>IFERROR(VLOOKUP($A129,'[94]8月'!$A:$H,8,0),0)</f>
        <v>0</v>
      </c>
      <c r="AG129" s="688">
        <f>IFERROR(VLOOKUP($A129,'[94]9月'!$A:$H,8,0),0)</f>
        <v>0</v>
      </c>
      <c r="AH129" s="688">
        <f>IFERROR(VLOOKUP($A129,'[94]10月'!$A:$H,8,0),0)</f>
        <v>0</v>
      </c>
      <c r="AI129" s="688">
        <f>IFERROR(VLOOKUP($A129,'[94]11月'!$A:$H,8,0),0)</f>
        <v>0</v>
      </c>
      <c r="AJ129" s="688">
        <f>IFERROR(VLOOKUP($A129,'[94]12月'!$A:$H,8,0),0)</f>
        <v>0</v>
      </c>
      <c r="AK129" s="688">
        <f t="shared" si="68"/>
        <v>0</v>
      </c>
    </row>
    <row r="130" spans="1:37" ht="11.1" hidden="1" customHeight="1">
      <c r="A130" s="653" t="str">
        <f>'Budget-合并'!A130</f>
        <v>6602.10.03</v>
      </c>
      <c r="B130" s="653" t="str">
        <f>'Budget-合并'!B130</f>
        <v>机器设备</v>
      </c>
      <c r="C130" s="687">
        <f>'Budget-合并'!C130</f>
        <v>0</v>
      </c>
      <c r="D130" s="676">
        <f t="shared" si="62"/>
        <v>0</v>
      </c>
      <c r="E130" s="676" t="e">
        <f t="shared" si="63"/>
        <v>#N/A</v>
      </c>
      <c r="F130" s="676" t="e">
        <f t="shared" si="64"/>
        <v>#N/A</v>
      </c>
      <c r="G130" s="676">
        <f t="shared" ca="1" si="65"/>
        <v>0</v>
      </c>
      <c r="H130" s="676" t="e">
        <f t="shared" ca="1" si="66"/>
        <v>#N/A</v>
      </c>
      <c r="I130" s="676" t="e">
        <f t="shared" ca="1" si="67"/>
        <v>#N/A</v>
      </c>
      <c r="K130" s="676"/>
      <c r="L130" s="676"/>
      <c r="M130" s="676"/>
      <c r="N130" s="676"/>
      <c r="O130" s="676"/>
      <c r="P130" s="676"/>
      <c r="Q130" s="676"/>
      <c r="R130" s="676"/>
      <c r="S130" s="676"/>
      <c r="T130" s="676"/>
      <c r="U130" s="676"/>
      <c r="V130" s="676"/>
      <c r="W130" s="676">
        <f t="shared" si="51"/>
        <v>0</v>
      </c>
      <c r="Y130" s="688">
        <f>IFERROR(VLOOKUP($A130,'[94]1月'!$A:$H,8,0),0)</f>
        <v>0</v>
      </c>
      <c r="Z130" s="688">
        <f>IFERROR(VLOOKUP($A130,'[94]2月'!$A:$H,8,0),0)</f>
        <v>0</v>
      </c>
      <c r="AA130" s="688">
        <f>IFERROR(VLOOKUP($A130,'[94]3月'!$A:$H,8,0),0)</f>
        <v>0</v>
      </c>
      <c r="AB130" s="688">
        <f>IFERROR(VLOOKUP($A130,'[94]4月'!$A:$H,8,0),0)</f>
        <v>0</v>
      </c>
      <c r="AC130" s="688">
        <f>IFERROR(VLOOKUP($A130,'[94]5月'!$A:$H,8,0),0)</f>
        <v>0</v>
      </c>
      <c r="AD130" s="688">
        <f>IFERROR(VLOOKUP($A130,'[94]6月'!$A:$H,8,0),0)</f>
        <v>0</v>
      </c>
      <c r="AE130" s="688">
        <f>IFERROR(VLOOKUP($A130,'[94]7月'!$A:$H,8,0),0)</f>
        <v>0</v>
      </c>
      <c r="AF130" s="688">
        <f>IFERROR(VLOOKUP($A130,'[94]8月'!$A:$H,8,0),0)</f>
        <v>0</v>
      </c>
      <c r="AG130" s="688">
        <f>IFERROR(VLOOKUP($A130,'[94]9月'!$A:$H,8,0),0)</f>
        <v>0</v>
      </c>
      <c r="AH130" s="688">
        <f>IFERROR(VLOOKUP($A130,'[94]10月'!$A:$H,8,0),0)</f>
        <v>0</v>
      </c>
      <c r="AI130" s="688">
        <f>IFERROR(VLOOKUP($A130,'[94]11月'!$A:$H,8,0),0)</f>
        <v>0</v>
      </c>
      <c r="AJ130" s="688">
        <f>IFERROR(VLOOKUP($A130,'[94]12月'!$A:$H,8,0),0)</f>
        <v>0</v>
      </c>
      <c r="AK130" s="688">
        <f t="shared" si="68"/>
        <v>0</v>
      </c>
    </row>
    <row r="131" spans="1:37" ht="11.1" customHeight="1">
      <c r="A131" s="653" t="str">
        <f>'Budget-合并'!A131</f>
        <v>6602.10.04</v>
      </c>
      <c r="B131" s="653" t="str">
        <f>'Budget-合并'!B131</f>
        <v>家具设备</v>
      </c>
      <c r="C131" s="687" t="str">
        <f>'Budget-合并'!C131</f>
        <v xml:space="preserve">Dep Exp - Other EQ &amp; Furn </v>
      </c>
      <c r="D131" s="676">
        <f t="shared" si="62"/>
        <v>678.09</v>
      </c>
      <c r="E131" s="676" t="e">
        <f t="shared" si="63"/>
        <v>#N/A</v>
      </c>
      <c r="F131" s="676" t="e">
        <f t="shared" si="64"/>
        <v>#N/A</v>
      </c>
      <c r="G131" s="676">
        <f t="shared" ca="1" si="65"/>
        <v>678.09</v>
      </c>
      <c r="H131" s="676" t="e">
        <f t="shared" ca="1" si="66"/>
        <v>#N/A</v>
      </c>
      <c r="I131" s="676" t="e">
        <f t="shared" ca="1" si="67"/>
        <v>#N/A</v>
      </c>
      <c r="K131" s="676">
        <v>678.09</v>
      </c>
      <c r="L131" s="676">
        <v>678.09</v>
      </c>
      <c r="M131" s="676">
        <v>678.09</v>
      </c>
      <c r="N131" s="676">
        <v>678.09</v>
      </c>
      <c r="O131" s="676">
        <v>678.09</v>
      </c>
      <c r="P131" s="676">
        <v>678.09</v>
      </c>
      <c r="Q131" s="676">
        <v>678.09</v>
      </c>
      <c r="R131" s="676">
        <v>678.09</v>
      </c>
      <c r="S131" s="676">
        <v>678.09</v>
      </c>
      <c r="T131" s="676">
        <v>678.09</v>
      </c>
      <c r="U131" s="676">
        <v>678.09</v>
      </c>
      <c r="V131" s="676">
        <v>678.09</v>
      </c>
      <c r="W131" s="676">
        <f t="shared" si="51"/>
        <v>8137.0800000000008</v>
      </c>
      <c r="Y131" s="688">
        <f>IFERROR(VLOOKUP($A131,'[94]1月'!$A:$H,8,0),0)</f>
        <v>1730.41</v>
      </c>
      <c r="Z131" s="688">
        <f>IFERROR(VLOOKUP($A131,'[94]2月'!$A:$H,8,0),0)</f>
        <v>1730.41</v>
      </c>
      <c r="AA131" s="688">
        <f>IFERROR(VLOOKUP($A131,'[94]3月'!$A:$H,8,0),0)</f>
        <v>678.09</v>
      </c>
      <c r="AB131" s="688">
        <f>IFERROR(VLOOKUP($A131,'[94]4月'!$A:$H,8,0),0)</f>
        <v>678.09</v>
      </c>
      <c r="AC131" s="688">
        <f>IFERROR(VLOOKUP($A131,'[94]5月'!$A:$H,8,0),0)</f>
        <v>678.09</v>
      </c>
      <c r="AD131" s="688">
        <f>IFERROR(VLOOKUP($A131,'[94]6月'!$A:$H,8,0),0)</f>
        <v>678.09</v>
      </c>
      <c r="AE131" s="688">
        <f>IFERROR(VLOOKUP($A131,'[94]7月'!$A:$H,8,0),0)</f>
        <v>678.09</v>
      </c>
      <c r="AF131" s="688">
        <f>IFERROR(VLOOKUP($A131,'[94]8月'!$A:$H,8,0),0)</f>
        <v>678.09</v>
      </c>
      <c r="AG131" s="688">
        <f>IFERROR(VLOOKUP($A131,'[94]9月'!$A:$H,8,0),0)</f>
        <v>678.09</v>
      </c>
      <c r="AH131" s="688">
        <f>IFERROR(VLOOKUP($A131,'[94]10月'!$A:$H,8,0),0)</f>
        <v>678.09</v>
      </c>
      <c r="AI131" s="688">
        <f>IFERROR(VLOOKUP($A131,'[94]11月'!$A:$H,8,0),0)</f>
        <v>678.09</v>
      </c>
      <c r="AJ131" s="688">
        <f>IFERROR(VLOOKUP($A131,'[94]12月'!$A:$H,8,0),0)</f>
        <v>678.09</v>
      </c>
      <c r="AK131" s="688">
        <f t="shared" si="68"/>
        <v>10241.720000000001</v>
      </c>
    </row>
    <row r="132" spans="1:37" ht="11.1" hidden="1" customHeight="1">
      <c r="A132" s="663" t="str">
        <f>'Budget-合并'!A132</f>
        <v>6602.12</v>
      </c>
      <c r="B132" s="663" t="str">
        <f>'Budget-合并'!B132</f>
        <v>使用权资产折旧</v>
      </c>
      <c r="C132" s="687" t="str">
        <f>'Budget-合并'!C132</f>
        <v>Dep Exp - Right of Use Asset</v>
      </c>
      <c r="D132" s="676">
        <f t="shared" si="62"/>
        <v>0</v>
      </c>
      <c r="E132" s="676" t="e">
        <f t="shared" si="63"/>
        <v>#N/A</v>
      </c>
      <c r="F132" s="676" t="e">
        <f t="shared" si="64"/>
        <v>#N/A</v>
      </c>
      <c r="G132" s="676">
        <f t="shared" ca="1" si="65"/>
        <v>0</v>
      </c>
      <c r="H132" s="676" t="e">
        <f t="shared" ca="1" si="66"/>
        <v>#N/A</v>
      </c>
      <c r="I132" s="676" t="e">
        <f t="shared" ca="1" si="67"/>
        <v>#N/A</v>
      </c>
      <c r="K132" s="676">
        <f t="shared" ref="K132:V132" si="80">SUM(K133,K134,K137)</f>
        <v>0</v>
      </c>
      <c r="L132" s="676">
        <f t="shared" si="80"/>
        <v>0</v>
      </c>
      <c r="M132" s="676">
        <f t="shared" si="80"/>
        <v>0</v>
      </c>
      <c r="N132" s="676">
        <f t="shared" si="80"/>
        <v>0</v>
      </c>
      <c r="O132" s="676">
        <f t="shared" si="80"/>
        <v>0</v>
      </c>
      <c r="P132" s="676">
        <f t="shared" si="80"/>
        <v>0</v>
      </c>
      <c r="Q132" s="676">
        <f t="shared" si="80"/>
        <v>0</v>
      </c>
      <c r="R132" s="676">
        <f t="shared" si="80"/>
        <v>0</v>
      </c>
      <c r="S132" s="676">
        <f t="shared" si="80"/>
        <v>0</v>
      </c>
      <c r="T132" s="676">
        <f t="shared" si="80"/>
        <v>0</v>
      </c>
      <c r="U132" s="676">
        <f t="shared" si="80"/>
        <v>0</v>
      </c>
      <c r="V132" s="676">
        <f t="shared" si="80"/>
        <v>0</v>
      </c>
      <c r="W132" s="676">
        <f t="shared" si="51"/>
        <v>0</v>
      </c>
      <c r="Y132" s="688">
        <f>IFERROR(VLOOKUP($A132,'[94]1月'!$A:$H,8,0),0)</f>
        <v>36249.71</v>
      </c>
      <c r="Z132" s="688">
        <f>IFERROR(VLOOKUP($A132,'[94]2月'!$A:$H,8,0),0)</f>
        <v>0</v>
      </c>
      <c r="AA132" s="688">
        <f>IFERROR(VLOOKUP($A132,'[94]3月'!$A:$H,8,0),0)</f>
        <v>0</v>
      </c>
      <c r="AB132" s="688">
        <f>IFERROR(VLOOKUP($A132,'[94]4月'!$A:$H,8,0),0)</f>
        <v>0</v>
      </c>
      <c r="AC132" s="688">
        <f>IFERROR(VLOOKUP($A132,'[94]5月'!$A:$H,8,0),0)</f>
        <v>0</v>
      </c>
      <c r="AD132" s="688">
        <f>IFERROR(VLOOKUP($A132,'[94]6月'!$A:$H,8,0),0)</f>
        <v>0</v>
      </c>
      <c r="AE132" s="688">
        <f>IFERROR(VLOOKUP($A132,'[94]7月'!$A:$H,8,0),0)</f>
        <v>0</v>
      </c>
      <c r="AF132" s="688">
        <f>IFERROR(VLOOKUP($A132,'[94]8月'!$A:$H,8,0),0)</f>
        <v>0</v>
      </c>
      <c r="AG132" s="688">
        <f>IFERROR(VLOOKUP($A132,'[94]9月'!$A:$H,8,0),0)</f>
        <v>0</v>
      </c>
      <c r="AH132" s="688">
        <f>IFERROR(VLOOKUP($A132,'[94]10月'!$A:$H,8,0),0)</f>
        <v>0</v>
      </c>
      <c r="AI132" s="688">
        <f>IFERROR(VLOOKUP($A132,'[94]11月'!$A:$H,8,0),0)</f>
        <v>0</v>
      </c>
      <c r="AJ132" s="688">
        <f>IFERROR(VLOOKUP($A132,'[94]12月'!$A:$H,8,0),0)</f>
        <v>0</v>
      </c>
      <c r="AK132" s="688">
        <f t="shared" si="68"/>
        <v>36249.71</v>
      </c>
    </row>
    <row r="133" spans="1:37" ht="11.1" hidden="1" customHeight="1">
      <c r="A133" s="653" t="str">
        <f>'Budget-合并'!A133</f>
        <v>6602.12.01</v>
      </c>
      <c r="B133" s="653" t="str">
        <f>'Budget-合并'!B133</f>
        <v>打印机租赁</v>
      </c>
      <c r="C133" s="687">
        <f>'Budget-合并'!C133</f>
        <v>0</v>
      </c>
      <c r="D133" s="676">
        <f t="shared" si="62"/>
        <v>0</v>
      </c>
      <c r="E133" s="676" t="e">
        <f t="shared" si="63"/>
        <v>#N/A</v>
      </c>
      <c r="F133" s="676" t="e">
        <f t="shared" si="64"/>
        <v>#N/A</v>
      </c>
      <c r="G133" s="676">
        <f t="shared" ca="1" si="65"/>
        <v>0</v>
      </c>
      <c r="H133" s="676" t="e">
        <f t="shared" ca="1" si="66"/>
        <v>#N/A</v>
      </c>
      <c r="I133" s="676" t="e">
        <f t="shared" ca="1" si="67"/>
        <v>#N/A</v>
      </c>
      <c r="K133" s="676"/>
      <c r="L133" s="676"/>
      <c r="M133" s="676"/>
      <c r="N133" s="676"/>
      <c r="O133" s="676"/>
      <c r="P133" s="676"/>
      <c r="Q133" s="676"/>
      <c r="R133" s="676"/>
      <c r="S133" s="676"/>
      <c r="T133" s="676"/>
      <c r="U133" s="676"/>
      <c r="V133" s="676"/>
      <c r="W133" s="676">
        <f t="shared" si="51"/>
        <v>0</v>
      </c>
      <c r="Y133" s="688">
        <f>IFERROR(VLOOKUP($A133,'[94]1月'!$A:$H,8,0),0)</f>
        <v>0</v>
      </c>
      <c r="Z133" s="688">
        <f>IFERROR(VLOOKUP($A133,'[94]2月'!$A:$H,8,0),0)</f>
        <v>0</v>
      </c>
      <c r="AA133" s="688">
        <f>IFERROR(VLOOKUP($A133,'[94]3月'!$A:$H,8,0),0)</f>
        <v>0</v>
      </c>
      <c r="AB133" s="688">
        <f>IFERROR(VLOOKUP($A133,'[94]4月'!$A:$H,8,0),0)</f>
        <v>0</v>
      </c>
      <c r="AC133" s="688">
        <f>IFERROR(VLOOKUP($A133,'[94]5月'!$A:$H,8,0),0)</f>
        <v>0</v>
      </c>
      <c r="AD133" s="688">
        <f>IFERROR(VLOOKUP($A133,'[94]6月'!$A:$H,8,0),0)</f>
        <v>0</v>
      </c>
      <c r="AE133" s="688">
        <f>IFERROR(VLOOKUP($A133,'[94]7月'!$A:$H,8,0),0)</f>
        <v>0</v>
      </c>
      <c r="AF133" s="688">
        <f>IFERROR(VLOOKUP($A133,'[94]8月'!$A:$H,8,0),0)</f>
        <v>0</v>
      </c>
      <c r="AG133" s="688">
        <f>IFERROR(VLOOKUP($A133,'[94]9月'!$A:$H,8,0),0)</f>
        <v>0</v>
      </c>
      <c r="AH133" s="688">
        <f>IFERROR(VLOOKUP($A133,'[94]10月'!$A:$H,8,0),0)</f>
        <v>0</v>
      </c>
      <c r="AI133" s="688">
        <f>IFERROR(VLOOKUP($A133,'[94]11月'!$A:$H,8,0),0)</f>
        <v>0</v>
      </c>
      <c r="AJ133" s="688">
        <f>IFERROR(VLOOKUP($A133,'[94]12月'!$A:$H,8,0),0)</f>
        <v>0</v>
      </c>
      <c r="AK133" s="688">
        <f t="shared" si="68"/>
        <v>0</v>
      </c>
    </row>
    <row r="134" spans="1:37" ht="11.1" hidden="1" customHeight="1">
      <c r="A134" s="653" t="str">
        <f>'Budget-合并'!A134</f>
        <v>6602.12.02</v>
      </c>
      <c r="B134" s="653" t="str">
        <f>'Budget-合并'!B134</f>
        <v>办公地址</v>
      </c>
      <c r="C134" s="687">
        <f>'Budget-合并'!C134</f>
        <v>0</v>
      </c>
      <c r="D134" s="676">
        <f t="shared" si="62"/>
        <v>0</v>
      </c>
      <c r="E134" s="676" t="e">
        <f t="shared" si="63"/>
        <v>#N/A</v>
      </c>
      <c r="F134" s="676" t="e">
        <f t="shared" si="64"/>
        <v>#N/A</v>
      </c>
      <c r="G134" s="676">
        <f t="shared" ca="1" si="65"/>
        <v>0</v>
      </c>
      <c r="H134" s="676" t="e">
        <f t="shared" ca="1" si="66"/>
        <v>#N/A</v>
      </c>
      <c r="I134" s="676" t="e">
        <f t="shared" ca="1" si="67"/>
        <v>#N/A</v>
      </c>
      <c r="K134" s="676">
        <f t="shared" ref="K134:V134" si="81">SUM(K135:K136)</f>
        <v>0</v>
      </c>
      <c r="L134" s="676">
        <f t="shared" si="81"/>
        <v>0</v>
      </c>
      <c r="M134" s="676">
        <f t="shared" si="81"/>
        <v>0</v>
      </c>
      <c r="N134" s="676">
        <f t="shared" si="81"/>
        <v>0</v>
      </c>
      <c r="O134" s="676">
        <f t="shared" si="81"/>
        <v>0</v>
      </c>
      <c r="P134" s="676">
        <f t="shared" si="81"/>
        <v>0</v>
      </c>
      <c r="Q134" s="676">
        <f t="shared" si="81"/>
        <v>0</v>
      </c>
      <c r="R134" s="676">
        <f t="shared" si="81"/>
        <v>0</v>
      </c>
      <c r="S134" s="676">
        <f t="shared" si="81"/>
        <v>0</v>
      </c>
      <c r="T134" s="676">
        <f t="shared" si="81"/>
        <v>0</v>
      </c>
      <c r="U134" s="676">
        <f t="shared" si="81"/>
        <v>0</v>
      </c>
      <c r="V134" s="676">
        <f t="shared" si="81"/>
        <v>0</v>
      </c>
      <c r="W134" s="676">
        <f t="shared" si="51"/>
        <v>0</v>
      </c>
      <c r="Y134" s="688">
        <f>IFERROR(VLOOKUP($A134,'[94]1月'!$A:$H,8,0),0)</f>
        <v>36249.71</v>
      </c>
      <c r="Z134" s="688">
        <f>IFERROR(VLOOKUP($A134,'[94]2月'!$A:$H,8,0),0)</f>
        <v>0</v>
      </c>
      <c r="AA134" s="688">
        <f>IFERROR(VLOOKUP($A134,'[94]3月'!$A:$H,8,0),0)</f>
        <v>0</v>
      </c>
      <c r="AB134" s="688">
        <f>IFERROR(VLOOKUP($A134,'[94]4月'!$A:$H,8,0),0)</f>
        <v>0</v>
      </c>
      <c r="AC134" s="688">
        <f>IFERROR(VLOOKUP($A134,'[94]5月'!$A:$H,8,0),0)</f>
        <v>0</v>
      </c>
      <c r="AD134" s="688">
        <f>IFERROR(VLOOKUP($A134,'[94]6月'!$A:$H,8,0),0)</f>
        <v>0</v>
      </c>
      <c r="AE134" s="688">
        <f>IFERROR(VLOOKUP($A134,'[94]7月'!$A:$H,8,0),0)</f>
        <v>0</v>
      </c>
      <c r="AF134" s="688">
        <f>IFERROR(VLOOKUP($A134,'[94]8月'!$A:$H,8,0),0)</f>
        <v>0</v>
      </c>
      <c r="AG134" s="688">
        <f>IFERROR(VLOOKUP($A134,'[94]9月'!$A:$H,8,0),0)</f>
        <v>0</v>
      </c>
      <c r="AH134" s="688">
        <f>IFERROR(VLOOKUP($A134,'[94]10月'!$A:$H,8,0),0)</f>
        <v>0</v>
      </c>
      <c r="AI134" s="688">
        <f>IFERROR(VLOOKUP($A134,'[94]11月'!$A:$H,8,0),0)</f>
        <v>0</v>
      </c>
      <c r="AJ134" s="688">
        <f>IFERROR(VLOOKUP($A134,'[94]12月'!$A:$H,8,0),0)</f>
        <v>0</v>
      </c>
      <c r="AK134" s="688">
        <f t="shared" si="68"/>
        <v>36249.71</v>
      </c>
    </row>
    <row r="135" spans="1:37" ht="11.1" hidden="1" customHeight="1">
      <c r="A135" s="653" t="str">
        <f>'Budget-合并'!A135</f>
        <v>6602.12.02.01</v>
      </c>
      <c r="B135" s="653" t="str">
        <f>'Budget-合并'!B135</f>
        <v>旭智咨询--鼎和大厦1606</v>
      </c>
      <c r="C135" s="687">
        <f>'Budget-合并'!C135</f>
        <v>0</v>
      </c>
      <c r="D135" s="676">
        <f t="shared" si="62"/>
        <v>0</v>
      </c>
      <c r="E135" s="676" t="e">
        <f t="shared" si="63"/>
        <v>#N/A</v>
      </c>
      <c r="F135" s="676" t="e">
        <f t="shared" si="64"/>
        <v>#N/A</v>
      </c>
      <c r="G135" s="676">
        <f t="shared" ca="1" si="65"/>
        <v>0</v>
      </c>
      <c r="H135" s="676" t="e">
        <f t="shared" ca="1" si="66"/>
        <v>#N/A</v>
      </c>
      <c r="I135" s="676" t="e">
        <f t="shared" ca="1" si="67"/>
        <v>#N/A</v>
      </c>
      <c r="K135" s="676"/>
      <c r="L135" s="676"/>
      <c r="M135" s="676"/>
      <c r="N135" s="676"/>
      <c r="O135" s="676"/>
      <c r="P135" s="676"/>
      <c r="Q135" s="676"/>
      <c r="R135" s="676"/>
      <c r="S135" s="676"/>
      <c r="T135" s="676"/>
      <c r="U135" s="676"/>
      <c r="V135" s="676"/>
      <c r="W135" s="676">
        <f t="shared" si="51"/>
        <v>0</v>
      </c>
      <c r="Y135" s="688">
        <f>IFERROR(VLOOKUP($A135,'[94]1月'!$A:$H,8,0),0)</f>
        <v>36249.71</v>
      </c>
      <c r="Z135" s="688">
        <f>IFERROR(VLOOKUP($A135,'[94]2月'!$A:$H,8,0),0)</f>
        <v>0</v>
      </c>
      <c r="AA135" s="688">
        <f>IFERROR(VLOOKUP($A135,'[94]3月'!$A:$H,8,0),0)</f>
        <v>0</v>
      </c>
      <c r="AB135" s="688">
        <f>IFERROR(VLOOKUP($A135,'[94]4月'!$A:$H,8,0),0)</f>
        <v>0</v>
      </c>
      <c r="AC135" s="688">
        <f>IFERROR(VLOOKUP($A135,'[94]5月'!$A:$H,8,0),0)</f>
        <v>0</v>
      </c>
      <c r="AD135" s="688">
        <f>IFERROR(VLOOKUP($A135,'[94]6月'!$A:$H,8,0),0)</f>
        <v>0</v>
      </c>
      <c r="AE135" s="688">
        <f>IFERROR(VLOOKUP($A135,'[94]7月'!$A:$H,8,0),0)</f>
        <v>0</v>
      </c>
      <c r="AF135" s="688">
        <f>IFERROR(VLOOKUP($A135,'[94]8月'!$A:$H,8,0),0)</f>
        <v>0</v>
      </c>
      <c r="AG135" s="688">
        <f>IFERROR(VLOOKUP($A135,'[94]9月'!$A:$H,8,0),0)</f>
        <v>0</v>
      </c>
      <c r="AH135" s="688">
        <f>IFERROR(VLOOKUP($A135,'[94]10月'!$A:$H,8,0),0)</f>
        <v>0</v>
      </c>
      <c r="AI135" s="688">
        <f>IFERROR(VLOOKUP($A135,'[94]11月'!$A:$H,8,0),0)</f>
        <v>0</v>
      </c>
      <c r="AJ135" s="688">
        <f>IFERROR(VLOOKUP($A135,'[94]12月'!$A:$H,8,0),0)</f>
        <v>0</v>
      </c>
      <c r="AK135" s="688">
        <f t="shared" si="68"/>
        <v>36249.71</v>
      </c>
    </row>
    <row r="136" spans="1:37" ht="11.1" hidden="1" customHeight="1">
      <c r="A136" s="653" t="str">
        <f>'Budget-合并'!A136</f>
        <v>6602.12.02.02</v>
      </c>
      <c r="B136" s="653" t="str">
        <f>'Budget-合并'!B136</f>
        <v>旭智资本（香港）--冯氏大厦</v>
      </c>
      <c r="C136" s="687">
        <f>'Budget-合并'!C136</f>
        <v>0</v>
      </c>
      <c r="D136" s="676">
        <f t="shared" si="62"/>
        <v>0</v>
      </c>
      <c r="E136" s="676" t="e">
        <f t="shared" si="63"/>
        <v>#N/A</v>
      </c>
      <c r="F136" s="676" t="e">
        <f t="shared" si="64"/>
        <v>#N/A</v>
      </c>
      <c r="G136" s="676">
        <f t="shared" ca="1" si="65"/>
        <v>0</v>
      </c>
      <c r="H136" s="676" t="e">
        <f t="shared" ca="1" si="66"/>
        <v>#N/A</v>
      </c>
      <c r="I136" s="676" t="e">
        <f t="shared" ca="1" si="67"/>
        <v>#N/A</v>
      </c>
      <c r="K136" s="676"/>
      <c r="L136" s="676"/>
      <c r="M136" s="676"/>
      <c r="N136" s="676"/>
      <c r="O136" s="676"/>
      <c r="P136" s="676"/>
      <c r="Q136" s="676"/>
      <c r="R136" s="676"/>
      <c r="S136" s="676"/>
      <c r="T136" s="676"/>
      <c r="U136" s="676"/>
      <c r="V136" s="676"/>
      <c r="W136" s="676">
        <f t="shared" si="51"/>
        <v>0</v>
      </c>
      <c r="Y136" s="688">
        <f>IFERROR(VLOOKUP($A136,'[94]1月'!$A:$H,8,0),0)</f>
        <v>0</v>
      </c>
      <c r="Z136" s="688">
        <f>IFERROR(VLOOKUP($A136,'[94]2月'!$A:$H,8,0),0)</f>
        <v>0</v>
      </c>
      <c r="AA136" s="688">
        <f>IFERROR(VLOOKUP($A136,'[94]3月'!$A:$H,8,0),0)</f>
        <v>0</v>
      </c>
      <c r="AB136" s="688">
        <f>IFERROR(VLOOKUP($A136,'[94]4月'!$A:$H,8,0),0)</f>
        <v>0</v>
      </c>
      <c r="AC136" s="688">
        <f>IFERROR(VLOOKUP($A136,'[94]5月'!$A:$H,8,0),0)</f>
        <v>0</v>
      </c>
      <c r="AD136" s="688">
        <f>IFERROR(VLOOKUP($A136,'[94]6月'!$A:$H,8,0),0)</f>
        <v>0</v>
      </c>
      <c r="AE136" s="688">
        <f>IFERROR(VLOOKUP($A136,'[94]7月'!$A:$H,8,0),0)</f>
        <v>0</v>
      </c>
      <c r="AF136" s="688">
        <f>IFERROR(VLOOKUP($A136,'[94]8月'!$A:$H,8,0),0)</f>
        <v>0</v>
      </c>
      <c r="AG136" s="688">
        <f>IFERROR(VLOOKUP($A136,'[94]9月'!$A:$H,8,0),0)</f>
        <v>0</v>
      </c>
      <c r="AH136" s="688">
        <f>IFERROR(VLOOKUP($A136,'[94]10月'!$A:$H,8,0),0)</f>
        <v>0</v>
      </c>
      <c r="AI136" s="688">
        <f>IFERROR(VLOOKUP($A136,'[94]11月'!$A:$H,8,0),0)</f>
        <v>0</v>
      </c>
      <c r="AJ136" s="688">
        <f>IFERROR(VLOOKUP($A136,'[94]12月'!$A:$H,8,0),0)</f>
        <v>0</v>
      </c>
      <c r="AK136" s="688">
        <f t="shared" si="68"/>
        <v>0</v>
      </c>
    </row>
    <row r="137" spans="1:37" ht="11.1" hidden="1" customHeight="1">
      <c r="A137" s="653" t="str">
        <f>'Budget-合并'!A137</f>
        <v>6602.12.03</v>
      </c>
      <c r="B137" s="653" t="str">
        <f>'Budget-合并'!B137</f>
        <v>注册地址</v>
      </c>
      <c r="C137" s="687">
        <f>'Budget-合并'!C137</f>
        <v>0</v>
      </c>
      <c r="D137" s="676">
        <f t="shared" si="62"/>
        <v>0</v>
      </c>
      <c r="E137" s="676" t="e">
        <f t="shared" si="63"/>
        <v>#N/A</v>
      </c>
      <c r="F137" s="676" t="e">
        <f t="shared" si="64"/>
        <v>#N/A</v>
      </c>
      <c r="G137" s="676">
        <f t="shared" ca="1" si="65"/>
        <v>0</v>
      </c>
      <c r="H137" s="676" t="e">
        <f t="shared" ca="1" si="66"/>
        <v>#N/A</v>
      </c>
      <c r="I137" s="676" t="e">
        <f t="shared" ca="1" si="67"/>
        <v>#N/A</v>
      </c>
      <c r="K137" s="676">
        <f t="shared" ref="K137:V137" si="82">SUM(K138:K139)</f>
        <v>0</v>
      </c>
      <c r="L137" s="676">
        <f t="shared" si="82"/>
        <v>0</v>
      </c>
      <c r="M137" s="676">
        <f t="shared" si="82"/>
        <v>0</v>
      </c>
      <c r="N137" s="676">
        <f t="shared" si="82"/>
        <v>0</v>
      </c>
      <c r="O137" s="676">
        <f t="shared" si="82"/>
        <v>0</v>
      </c>
      <c r="P137" s="676">
        <f t="shared" si="82"/>
        <v>0</v>
      </c>
      <c r="Q137" s="676">
        <f t="shared" si="82"/>
        <v>0</v>
      </c>
      <c r="R137" s="676">
        <f t="shared" si="82"/>
        <v>0</v>
      </c>
      <c r="S137" s="676">
        <f t="shared" si="82"/>
        <v>0</v>
      </c>
      <c r="T137" s="676">
        <f t="shared" si="82"/>
        <v>0</v>
      </c>
      <c r="U137" s="676">
        <f t="shared" si="82"/>
        <v>0</v>
      </c>
      <c r="V137" s="676">
        <f t="shared" si="82"/>
        <v>0</v>
      </c>
      <c r="W137" s="676">
        <f t="shared" si="51"/>
        <v>0</v>
      </c>
      <c r="Y137" s="688">
        <f>IFERROR(VLOOKUP($A137,'[94]1月'!$A:$H,8,0),0)</f>
        <v>0</v>
      </c>
      <c r="Z137" s="688">
        <f>IFERROR(VLOOKUP($A137,'[94]2月'!$A:$H,8,0),0)</f>
        <v>0</v>
      </c>
      <c r="AA137" s="688">
        <f>IFERROR(VLOOKUP($A137,'[94]3月'!$A:$H,8,0),0)</f>
        <v>0</v>
      </c>
      <c r="AB137" s="688">
        <f>IFERROR(VLOOKUP($A137,'[94]4月'!$A:$H,8,0),0)</f>
        <v>0</v>
      </c>
      <c r="AC137" s="688">
        <f>IFERROR(VLOOKUP($A137,'[94]5月'!$A:$H,8,0),0)</f>
        <v>0</v>
      </c>
      <c r="AD137" s="688">
        <f>IFERROR(VLOOKUP($A137,'[94]6月'!$A:$H,8,0),0)</f>
        <v>0</v>
      </c>
      <c r="AE137" s="688">
        <f>IFERROR(VLOOKUP($A137,'[94]7月'!$A:$H,8,0),0)</f>
        <v>0</v>
      </c>
      <c r="AF137" s="688">
        <f>IFERROR(VLOOKUP($A137,'[94]8月'!$A:$H,8,0),0)</f>
        <v>0</v>
      </c>
      <c r="AG137" s="688">
        <f>IFERROR(VLOOKUP($A137,'[94]9月'!$A:$H,8,0),0)</f>
        <v>0</v>
      </c>
      <c r="AH137" s="688">
        <f>IFERROR(VLOOKUP($A137,'[94]10月'!$A:$H,8,0),0)</f>
        <v>0</v>
      </c>
      <c r="AI137" s="688">
        <f>IFERROR(VLOOKUP($A137,'[94]11月'!$A:$H,8,0),0)</f>
        <v>0</v>
      </c>
      <c r="AJ137" s="688">
        <f>IFERROR(VLOOKUP($A137,'[94]12月'!$A:$H,8,0),0)</f>
        <v>0</v>
      </c>
      <c r="AK137" s="688">
        <f t="shared" si="68"/>
        <v>0</v>
      </c>
    </row>
    <row r="138" spans="1:37" ht="11.1" hidden="1" customHeight="1">
      <c r="A138" s="653" t="str">
        <f>'Budget-合并'!A138</f>
        <v>6602.12.03.01</v>
      </c>
      <c r="B138" s="653" t="str">
        <f>'Budget-合并'!B138</f>
        <v>旭智私募--前海壹号B座701E</v>
      </c>
      <c r="C138" s="687">
        <f>'Budget-合并'!C138</f>
        <v>0</v>
      </c>
      <c r="D138" s="676">
        <f t="shared" si="62"/>
        <v>0</v>
      </c>
      <c r="E138" s="676" t="e">
        <f t="shared" si="63"/>
        <v>#N/A</v>
      </c>
      <c r="F138" s="676" t="e">
        <f t="shared" si="64"/>
        <v>#N/A</v>
      </c>
      <c r="G138" s="676">
        <f t="shared" ca="1" si="65"/>
        <v>0</v>
      </c>
      <c r="H138" s="676" t="e">
        <f t="shared" ca="1" si="66"/>
        <v>#N/A</v>
      </c>
      <c r="I138" s="676" t="e">
        <f t="shared" ca="1" si="67"/>
        <v>#N/A</v>
      </c>
      <c r="K138" s="676"/>
      <c r="L138" s="676"/>
      <c r="M138" s="676"/>
      <c r="N138" s="676"/>
      <c r="O138" s="676"/>
      <c r="P138" s="676"/>
      <c r="Q138" s="676"/>
      <c r="R138" s="676"/>
      <c r="S138" s="676"/>
      <c r="T138" s="676"/>
      <c r="U138" s="676"/>
      <c r="V138" s="676"/>
      <c r="W138" s="676">
        <f t="shared" si="51"/>
        <v>0</v>
      </c>
      <c r="Y138" s="688">
        <f>IFERROR(VLOOKUP($A138,'[94]1月'!$A:$H,8,0),0)</f>
        <v>0</v>
      </c>
      <c r="Z138" s="688">
        <f>IFERROR(VLOOKUP($A138,'[94]2月'!$A:$H,8,0),0)</f>
        <v>0</v>
      </c>
      <c r="AA138" s="688">
        <f>IFERROR(VLOOKUP($A138,'[94]3月'!$A:$H,8,0),0)</f>
        <v>0</v>
      </c>
      <c r="AB138" s="688">
        <f>IFERROR(VLOOKUP($A138,'[94]4月'!$A:$H,8,0),0)</f>
        <v>0</v>
      </c>
      <c r="AC138" s="688">
        <f>IFERROR(VLOOKUP($A138,'[94]5月'!$A:$H,8,0),0)</f>
        <v>0</v>
      </c>
      <c r="AD138" s="688">
        <f>IFERROR(VLOOKUP($A138,'[94]6月'!$A:$H,8,0),0)</f>
        <v>0</v>
      </c>
      <c r="AE138" s="688">
        <f>IFERROR(VLOOKUP($A138,'[94]7月'!$A:$H,8,0),0)</f>
        <v>0</v>
      </c>
      <c r="AF138" s="688">
        <f>IFERROR(VLOOKUP($A138,'[94]8月'!$A:$H,8,0),0)</f>
        <v>0</v>
      </c>
      <c r="AG138" s="688">
        <f>IFERROR(VLOOKUP($A138,'[94]9月'!$A:$H,8,0),0)</f>
        <v>0</v>
      </c>
      <c r="AH138" s="688">
        <f>IFERROR(VLOOKUP($A138,'[94]10月'!$A:$H,8,0),0)</f>
        <v>0</v>
      </c>
      <c r="AI138" s="688">
        <f>IFERROR(VLOOKUP($A138,'[94]11月'!$A:$H,8,0),0)</f>
        <v>0</v>
      </c>
      <c r="AJ138" s="688">
        <f>IFERROR(VLOOKUP($A138,'[94]12月'!$A:$H,8,0),0)</f>
        <v>0</v>
      </c>
      <c r="AK138" s="688">
        <f t="shared" si="68"/>
        <v>0</v>
      </c>
    </row>
    <row r="139" spans="1:37" ht="11.1" hidden="1" customHeight="1">
      <c r="A139" s="653" t="str">
        <f>'Budget-合并'!A139</f>
        <v>6602.12.03.02</v>
      </c>
      <c r="B139" s="653" t="str">
        <f>'Budget-合并'!B139</f>
        <v>广州旭智--802房F028</v>
      </c>
      <c r="C139" s="687">
        <f>'Budget-合并'!C139</f>
        <v>0</v>
      </c>
      <c r="D139" s="676">
        <f t="shared" si="62"/>
        <v>0</v>
      </c>
      <c r="E139" s="676" t="e">
        <f t="shared" si="63"/>
        <v>#N/A</v>
      </c>
      <c r="F139" s="676" t="e">
        <f t="shared" si="64"/>
        <v>#N/A</v>
      </c>
      <c r="G139" s="676">
        <f t="shared" ca="1" si="65"/>
        <v>0</v>
      </c>
      <c r="H139" s="676" t="e">
        <f t="shared" ca="1" si="66"/>
        <v>#N/A</v>
      </c>
      <c r="I139" s="676" t="e">
        <f t="shared" ca="1" si="67"/>
        <v>#N/A</v>
      </c>
      <c r="K139" s="676"/>
      <c r="L139" s="676"/>
      <c r="M139" s="676"/>
      <c r="N139" s="676"/>
      <c r="O139" s="676"/>
      <c r="P139" s="676"/>
      <c r="Q139" s="676"/>
      <c r="R139" s="676"/>
      <c r="S139" s="676"/>
      <c r="T139" s="676"/>
      <c r="U139" s="676"/>
      <c r="V139" s="676"/>
      <c r="W139" s="676">
        <f t="shared" si="51"/>
        <v>0</v>
      </c>
      <c r="Y139" s="688">
        <f>IFERROR(VLOOKUP($A139,'[94]1月'!$A:$H,8,0),0)</f>
        <v>0</v>
      </c>
      <c r="Z139" s="688">
        <f>IFERROR(VLOOKUP($A139,'[94]2月'!$A:$H,8,0),0)</f>
        <v>0</v>
      </c>
      <c r="AA139" s="688">
        <f>IFERROR(VLOOKUP($A139,'[94]3月'!$A:$H,8,0),0)</f>
        <v>0</v>
      </c>
      <c r="AB139" s="688">
        <f>IFERROR(VLOOKUP($A139,'[94]4月'!$A:$H,8,0),0)</f>
        <v>0</v>
      </c>
      <c r="AC139" s="688">
        <f>IFERROR(VLOOKUP($A139,'[94]5月'!$A:$H,8,0),0)</f>
        <v>0</v>
      </c>
      <c r="AD139" s="688">
        <f>IFERROR(VLOOKUP($A139,'[94]6月'!$A:$H,8,0),0)</f>
        <v>0</v>
      </c>
      <c r="AE139" s="688">
        <f>IFERROR(VLOOKUP($A139,'[94]7月'!$A:$H,8,0),0)</f>
        <v>0</v>
      </c>
      <c r="AF139" s="688">
        <f>IFERROR(VLOOKUP($A139,'[94]8月'!$A:$H,8,0),0)</f>
        <v>0</v>
      </c>
      <c r="AG139" s="688">
        <f>IFERROR(VLOOKUP($A139,'[94]9月'!$A:$H,8,0),0)</f>
        <v>0</v>
      </c>
      <c r="AH139" s="688">
        <f>IFERROR(VLOOKUP($A139,'[94]10月'!$A:$H,8,0),0)</f>
        <v>0</v>
      </c>
      <c r="AI139" s="688">
        <f>IFERROR(VLOOKUP($A139,'[94]11月'!$A:$H,8,0),0)</f>
        <v>0</v>
      </c>
      <c r="AJ139" s="688">
        <f>IFERROR(VLOOKUP($A139,'[94]12月'!$A:$H,8,0),0)</f>
        <v>0</v>
      </c>
      <c r="AK139" s="688">
        <f t="shared" si="68"/>
        <v>0</v>
      </c>
    </row>
    <row r="140" spans="1:37" ht="13.5" hidden="1" customHeight="1">
      <c r="A140" s="653" t="str">
        <f>'Budget-合并'!A140</f>
        <v>6602.13</v>
      </c>
      <c r="B140" s="653" t="str">
        <f>'Budget-合并'!B140</f>
        <v>物业管理费</v>
      </c>
      <c r="C140" s="687">
        <f>'Budget-合并'!C140</f>
        <v>0</v>
      </c>
      <c r="D140" s="676">
        <f t="shared" si="62"/>
        <v>0</v>
      </c>
      <c r="E140" s="676" t="e">
        <f t="shared" si="63"/>
        <v>#N/A</v>
      </c>
      <c r="F140" s="676" t="e">
        <f t="shared" si="64"/>
        <v>#N/A</v>
      </c>
      <c r="G140" s="676">
        <f t="shared" ca="1" si="65"/>
        <v>0</v>
      </c>
      <c r="H140" s="676" t="e">
        <f t="shared" ca="1" si="66"/>
        <v>#N/A</v>
      </c>
      <c r="I140" s="676" t="e">
        <f t="shared" ca="1" si="67"/>
        <v>#N/A</v>
      </c>
      <c r="K140" s="676"/>
      <c r="L140" s="676"/>
      <c r="M140" s="676"/>
      <c r="N140" s="676"/>
      <c r="O140" s="676"/>
      <c r="P140" s="676"/>
      <c r="Q140" s="676"/>
      <c r="R140" s="676"/>
      <c r="S140" s="676"/>
      <c r="T140" s="676"/>
      <c r="U140" s="676"/>
      <c r="V140" s="676"/>
      <c r="W140" s="676">
        <f t="shared" si="51"/>
        <v>0</v>
      </c>
      <c r="Y140" s="688">
        <f>IFERROR(VLOOKUP($A140,'[94]1月'!$A:$H,8,0),0)</f>
        <v>6951.64</v>
      </c>
      <c r="Z140" s="688">
        <f>IFERROR(VLOOKUP($A140,'[94]2月'!$A:$H,8,0),0)</f>
        <v>-1563.66</v>
      </c>
      <c r="AA140" s="688">
        <f>IFERROR(VLOOKUP($A140,'[94]3月'!$A:$H,8,0),0)</f>
        <v>0</v>
      </c>
      <c r="AB140" s="688">
        <f>IFERROR(VLOOKUP($A140,'[94]4月'!$A:$H,8,0),0)</f>
        <v>0</v>
      </c>
      <c r="AC140" s="688">
        <f>IFERROR(VLOOKUP($A140,'[94]5月'!$A:$H,8,0),0)</f>
        <v>0</v>
      </c>
      <c r="AD140" s="688">
        <f>IFERROR(VLOOKUP($A140,'[94]6月'!$A:$H,8,0),0)</f>
        <v>0</v>
      </c>
      <c r="AE140" s="688">
        <f>IFERROR(VLOOKUP($A140,'[94]7月'!$A:$H,8,0),0)</f>
        <v>0</v>
      </c>
      <c r="AF140" s="688">
        <f>IFERROR(VLOOKUP($A140,'[94]8月'!$A:$H,8,0),0)</f>
        <v>0</v>
      </c>
      <c r="AG140" s="688">
        <f>IFERROR(VLOOKUP($A140,'[94]9月'!$A:$H,8,0),0)</f>
        <v>0</v>
      </c>
      <c r="AH140" s="688">
        <f>IFERROR(VLOOKUP($A140,'[94]10月'!$A:$H,8,0),0)</f>
        <v>0</v>
      </c>
      <c r="AI140" s="688">
        <f>IFERROR(VLOOKUP($A140,'[94]11月'!$A:$H,8,0),0)</f>
        <v>0</v>
      </c>
      <c r="AJ140" s="688">
        <f>IFERROR(VLOOKUP($A140,'[94]12月'!$A:$H,8,0),0)</f>
        <v>0</v>
      </c>
      <c r="AK140" s="688">
        <f t="shared" si="68"/>
        <v>5387.9800000000005</v>
      </c>
    </row>
    <row r="141" spans="1:37" ht="13.5" hidden="1" customHeight="1">
      <c r="A141" s="653" t="str">
        <f>'Budget-合并'!A141</f>
        <v>6602.14</v>
      </c>
      <c r="B141" s="653" t="str">
        <f>'Budget-合并'!B141</f>
        <v>修理费</v>
      </c>
      <c r="C141" s="687">
        <f>'Budget-合并'!C141</f>
        <v>0</v>
      </c>
      <c r="D141" s="676">
        <f t="shared" si="62"/>
        <v>0</v>
      </c>
      <c r="E141" s="676" t="e">
        <f t="shared" si="63"/>
        <v>#N/A</v>
      </c>
      <c r="F141" s="676" t="e">
        <f t="shared" si="64"/>
        <v>#N/A</v>
      </c>
      <c r="G141" s="676">
        <f t="shared" ca="1" si="65"/>
        <v>0</v>
      </c>
      <c r="H141" s="676" t="e">
        <f t="shared" ca="1" si="66"/>
        <v>#N/A</v>
      </c>
      <c r="I141" s="676" t="e">
        <f t="shared" ca="1" si="67"/>
        <v>#N/A</v>
      </c>
      <c r="K141" s="676"/>
      <c r="L141" s="676"/>
      <c r="M141" s="676"/>
      <c r="N141" s="676"/>
      <c r="O141" s="676"/>
      <c r="P141" s="676"/>
      <c r="Q141" s="676"/>
      <c r="R141" s="676"/>
      <c r="S141" s="676"/>
      <c r="T141" s="676"/>
      <c r="U141" s="676"/>
      <c r="V141" s="676"/>
      <c r="W141" s="676">
        <f t="shared" si="51"/>
        <v>0</v>
      </c>
      <c r="Y141" s="688">
        <f>IFERROR(VLOOKUP($A141,'[94]1月'!$A:$H,8,0),0)</f>
        <v>0</v>
      </c>
      <c r="Z141" s="688">
        <f>IFERROR(VLOOKUP($A141,'[94]2月'!$A:$H,8,0),0)</f>
        <v>0</v>
      </c>
      <c r="AA141" s="688">
        <f>IFERROR(VLOOKUP($A141,'[94]3月'!$A:$H,8,0),0)</f>
        <v>0</v>
      </c>
      <c r="AB141" s="688">
        <f>IFERROR(VLOOKUP($A141,'[94]4月'!$A:$H,8,0),0)</f>
        <v>0</v>
      </c>
      <c r="AC141" s="688">
        <f>IFERROR(VLOOKUP($A141,'[94]5月'!$A:$H,8,0),0)</f>
        <v>0</v>
      </c>
      <c r="AD141" s="688">
        <f>IFERROR(VLOOKUP($A141,'[94]6月'!$A:$H,8,0),0)</f>
        <v>0</v>
      </c>
      <c r="AE141" s="688">
        <f>IFERROR(VLOOKUP($A141,'[94]7月'!$A:$H,8,0),0)</f>
        <v>0</v>
      </c>
      <c r="AF141" s="688">
        <f>IFERROR(VLOOKUP($A141,'[94]8月'!$A:$H,8,0),0)</f>
        <v>0</v>
      </c>
      <c r="AG141" s="688">
        <f>IFERROR(VLOOKUP($A141,'[94]9月'!$A:$H,8,0),0)</f>
        <v>0</v>
      </c>
      <c r="AH141" s="688">
        <f>IFERROR(VLOOKUP($A141,'[94]10月'!$A:$H,8,0),0)</f>
        <v>0</v>
      </c>
      <c r="AI141" s="688">
        <f>IFERROR(VLOOKUP($A141,'[94]11月'!$A:$H,8,0),0)</f>
        <v>0</v>
      </c>
      <c r="AJ141" s="688">
        <f>IFERROR(VLOOKUP($A141,'[94]12月'!$A:$H,8,0),0)</f>
        <v>0</v>
      </c>
      <c r="AK141" s="688">
        <f t="shared" si="68"/>
        <v>0</v>
      </c>
    </row>
    <row r="142" spans="1:37" ht="13.5" customHeight="1">
      <c r="A142" s="653" t="str">
        <f>'Budget-合并'!A142</f>
        <v>6602.15</v>
      </c>
      <c r="B142" s="653" t="str">
        <f>'Budget-合并'!B142</f>
        <v>服务费</v>
      </c>
      <c r="C142" s="687" t="str">
        <f>'Budget-合并'!C142</f>
        <v>Professional Fee</v>
      </c>
      <c r="D142" s="676">
        <f t="shared" si="62"/>
        <v>0</v>
      </c>
      <c r="E142" s="676" t="e">
        <f t="shared" si="63"/>
        <v>#N/A</v>
      </c>
      <c r="F142" s="676" t="e">
        <f t="shared" si="64"/>
        <v>#N/A</v>
      </c>
      <c r="G142" s="676">
        <f t="shared" ca="1" si="65"/>
        <v>0</v>
      </c>
      <c r="H142" s="676" t="e">
        <f t="shared" ca="1" si="66"/>
        <v>#N/A</v>
      </c>
      <c r="I142" s="676" t="e">
        <f t="shared" ca="1" si="67"/>
        <v>#N/A</v>
      </c>
      <c r="K142" s="676">
        <f>SUMIFS('Prof. Fee'!AF$3:AF$150,'Prof. Fee'!$B$3:$B$150,$D$1,'Prof. Fee'!$D$3:$D$150,$A142)+SUMIFS('Other Exp'!AG$3:AG$196,'Other Exp'!$B$3:$B$196,$D$1,'Other Exp'!$C$3:$C$196,$A142)</f>
        <v>0</v>
      </c>
      <c r="L142" s="676">
        <f>SUMIFS('Prof. Fee'!AG$3:AG$150,'Prof. Fee'!$B$3:$B$150,$D$1,'Prof. Fee'!$D$3:$D$150,$A142)+SUMIFS('Other Exp'!AH$3:AH$196,'Other Exp'!$B$3:$B$196,$D$1,'Other Exp'!$C$3:$C$196,$A142)</f>
        <v>0</v>
      </c>
      <c r="M142" s="676">
        <f>SUMIFS('Prof. Fee'!AH$3:AH$150,'Prof. Fee'!$B$3:$B$150,$D$1,'Prof. Fee'!$D$3:$D$150,$A142)+SUMIFS('Other Exp'!AI$3:AI$196,'Other Exp'!$B$3:$B$196,$D$1,'Other Exp'!$C$3:$C$196,$A142)</f>
        <v>0</v>
      </c>
      <c r="N142" s="676">
        <f>SUMIFS('Prof. Fee'!AI$3:AI$150,'Prof. Fee'!$B$3:$B$150,$D$1,'Prof. Fee'!$D$3:$D$150,$A142)+SUMIFS('Other Exp'!AJ$3:AJ$196,'Other Exp'!$B$3:$B$196,$D$1,'Other Exp'!$C$3:$C$196,$A142)</f>
        <v>0</v>
      </c>
      <c r="O142" s="676">
        <f>SUMIFS('Prof. Fee'!AJ$3:AJ$150,'Prof. Fee'!$B$3:$B$150,$D$1,'Prof. Fee'!$D$3:$D$150,$A142)+SUMIFS('Other Exp'!AK$3:AK$196,'Other Exp'!$B$3:$B$196,$D$1,'Other Exp'!$C$3:$C$196,$A142)</f>
        <v>0</v>
      </c>
      <c r="P142" s="676">
        <f>SUMIFS('Prof. Fee'!AK$3:AK$150,'Prof. Fee'!$B$3:$B$150,$D$1,'Prof. Fee'!$D$3:$D$150,$A142)+SUMIFS('Other Exp'!AL$3:AL$196,'Other Exp'!$B$3:$B$196,$D$1,'Other Exp'!$C$3:$C$196,$A142)</f>
        <v>0</v>
      </c>
      <c r="Q142" s="676">
        <f>SUMIFS('Prof. Fee'!AL$3:AL$150,'Prof. Fee'!$B$3:$B$150,$D$1,'Prof. Fee'!$D$3:$D$150,$A142)+SUMIFS('Other Exp'!AM$3:AM$196,'Other Exp'!$B$3:$B$196,$D$1,'Other Exp'!$C$3:$C$196,$A142)</f>
        <v>2520</v>
      </c>
      <c r="R142" s="676">
        <f>SUMIFS('Prof. Fee'!AM$3:AM$150,'Prof. Fee'!$B$3:$B$150,$D$1,'Prof. Fee'!$D$3:$D$150,$A142)+SUMIFS('Other Exp'!AN$3:AN$196,'Other Exp'!$B$3:$B$196,$D$1,'Other Exp'!$C$3:$C$196,$A142)</f>
        <v>4200</v>
      </c>
      <c r="S142" s="676">
        <f>SUMIFS('Prof. Fee'!AN$3:AN$150,'Prof. Fee'!$B$3:$B$150,$D$1,'Prof. Fee'!$D$3:$D$150,$A142)+SUMIFS('Other Exp'!AO$3:AO$196,'Other Exp'!$B$3:$B$196,$D$1,'Other Exp'!$C$3:$C$196,$A142)</f>
        <v>0</v>
      </c>
      <c r="T142" s="676">
        <f>SUMIFS('Prof. Fee'!AO$3:AO$150,'Prof. Fee'!$B$3:$B$150,$D$1,'Prof. Fee'!$D$3:$D$150,$A142)+SUMIFS('Other Exp'!AP$3:AP$196,'Other Exp'!$B$3:$B$196,$D$1,'Other Exp'!$C$3:$C$196,$A142)</f>
        <v>0</v>
      </c>
      <c r="U142" s="676">
        <f>SUMIFS('Prof. Fee'!AP$3:AP$150,'Prof. Fee'!$B$3:$B$150,$D$1,'Prof. Fee'!$D$3:$D$150,$A142)+SUMIFS('Other Exp'!AQ$3:AQ$196,'Other Exp'!$B$3:$B$196,$D$1,'Other Exp'!$C$3:$C$196,$A142)</f>
        <v>0</v>
      </c>
      <c r="V142" s="676">
        <f>SUMIFS('Prof. Fee'!AQ$3:AQ$150,'Prof. Fee'!$B$3:$B$150,$D$1,'Prof. Fee'!$D$3:$D$150,$A142)+SUMIFS('Other Exp'!AR$3:AR$196,'Other Exp'!$B$3:$B$196,$D$1,'Other Exp'!$C$3:$C$196,$A142)</f>
        <v>0</v>
      </c>
      <c r="W142" s="676">
        <f t="shared" si="51"/>
        <v>6720</v>
      </c>
      <c r="X142" s="652" t="s">
        <v>2552</v>
      </c>
      <c r="Y142" s="688">
        <f>IFERROR(VLOOKUP($A142,'[94]1月'!$A:$H,8,0),0)</f>
        <v>0</v>
      </c>
      <c r="Z142" s="688">
        <f>IFERROR(VLOOKUP($A142,'[94]2月'!$A:$H,8,0),0)</f>
        <v>0</v>
      </c>
      <c r="AA142" s="688">
        <f>IFERROR(VLOOKUP($A142,'[94]3月'!$A:$H,8,0),0)</f>
        <v>28566.04</v>
      </c>
      <c r="AB142" s="688">
        <f>IFERROR(VLOOKUP($A142,'[94]4月'!$A:$H,8,0),0)</f>
        <v>0</v>
      </c>
      <c r="AC142" s="688">
        <f>IFERROR(VLOOKUP($A142,'[94]5月'!$A:$H,8,0),0)</f>
        <v>0</v>
      </c>
      <c r="AD142" s="688">
        <f>IFERROR(VLOOKUP($A142,'[94]6月'!$A:$H,8,0),0)</f>
        <v>0</v>
      </c>
      <c r="AE142" s="688">
        <f>IFERROR(VLOOKUP($A142,'[94]7月'!$A:$H,8,0),0)</f>
        <v>0</v>
      </c>
      <c r="AF142" s="688">
        <f>IFERROR(VLOOKUP($A142,'[94]8月'!$A:$H,8,0),0)</f>
        <v>0</v>
      </c>
      <c r="AG142" s="688">
        <f>IFERROR(VLOOKUP($A142,'[94]9月'!$A:$H,8,0),0)</f>
        <v>0</v>
      </c>
      <c r="AH142" s="688">
        <f>IFERROR(VLOOKUP($A142,'[94]10月'!$A:$H,8,0),0)</f>
        <v>0</v>
      </c>
      <c r="AI142" s="688">
        <f>IFERROR(VLOOKUP($A142,'[94]11月'!$A:$H,8,0),0)</f>
        <v>0</v>
      </c>
      <c r="AJ142" s="688">
        <f>IFERROR(VLOOKUP($A142,'[94]12月'!$A:$H,8,0),0)</f>
        <v>0</v>
      </c>
      <c r="AK142" s="688">
        <f t="shared" si="68"/>
        <v>28566.04</v>
      </c>
    </row>
    <row r="143" spans="1:37" ht="13.5" hidden="1" customHeight="1">
      <c r="A143" s="653" t="str">
        <f>'Budget-合并'!A143</f>
        <v>6602.16</v>
      </c>
      <c r="B143" s="653" t="str">
        <f>'Budget-合并'!B143</f>
        <v>董事会费</v>
      </c>
      <c r="C143" s="687" t="str">
        <f>'Budget-合并'!C143</f>
        <v>Internal ACP Meeting</v>
      </c>
      <c r="D143" s="676">
        <f t="shared" si="62"/>
        <v>0</v>
      </c>
      <c r="E143" s="676" t="e">
        <f t="shared" si="63"/>
        <v>#N/A</v>
      </c>
      <c r="F143" s="676" t="e">
        <f t="shared" si="64"/>
        <v>#N/A</v>
      </c>
      <c r="G143" s="676">
        <f t="shared" ca="1" si="65"/>
        <v>0</v>
      </c>
      <c r="H143" s="676" t="e">
        <f t="shared" ca="1" si="66"/>
        <v>#N/A</v>
      </c>
      <c r="I143" s="676" t="e">
        <f t="shared" ca="1" si="67"/>
        <v>#N/A</v>
      </c>
      <c r="K143" s="676"/>
      <c r="L143" s="676"/>
      <c r="M143" s="676"/>
      <c r="N143" s="676"/>
      <c r="O143" s="676"/>
      <c r="P143" s="676"/>
      <c r="Q143" s="676"/>
      <c r="R143" s="676"/>
      <c r="S143" s="676"/>
      <c r="T143" s="676"/>
      <c r="U143" s="676"/>
      <c r="V143" s="676"/>
      <c r="W143" s="676">
        <f t="shared" si="51"/>
        <v>0</v>
      </c>
      <c r="Y143" s="688">
        <f>IFERROR(VLOOKUP($A143,'[94]1月'!$A:$H,8,0),0)</f>
        <v>0</v>
      </c>
      <c r="Z143" s="688">
        <f>IFERROR(VLOOKUP($A143,'[94]2月'!$A:$H,8,0),0)</f>
        <v>0</v>
      </c>
      <c r="AA143" s="688">
        <f>IFERROR(VLOOKUP($A143,'[94]3月'!$A:$H,8,0),0)</f>
        <v>0</v>
      </c>
      <c r="AB143" s="688">
        <f>IFERROR(VLOOKUP($A143,'[94]4月'!$A:$H,8,0),0)</f>
        <v>0</v>
      </c>
      <c r="AC143" s="688">
        <f>IFERROR(VLOOKUP($A143,'[94]5月'!$A:$H,8,0),0)</f>
        <v>0</v>
      </c>
      <c r="AD143" s="688">
        <f>IFERROR(VLOOKUP($A143,'[94]6月'!$A:$H,8,0),0)</f>
        <v>0</v>
      </c>
      <c r="AE143" s="688">
        <f>IFERROR(VLOOKUP($A143,'[94]7月'!$A:$H,8,0),0)</f>
        <v>0</v>
      </c>
      <c r="AF143" s="688">
        <f>IFERROR(VLOOKUP($A143,'[94]8月'!$A:$H,8,0),0)</f>
        <v>0</v>
      </c>
      <c r="AG143" s="688">
        <f>IFERROR(VLOOKUP($A143,'[94]9月'!$A:$H,8,0),0)</f>
        <v>0</v>
      </c>
      <c r="AH143" s="688">
        <f>IFERROR(VLOOKUP($A143,'[94]10月'!$A:$H,8,0),0)</f>
        <v>0</v>
      </c>
      <c r="AI143" s="688">
        <f>IFERROR(VLOOKUP($A143,'[94]11月'!$A:$H,8,0),0)</f>
        <v>0</v>
      </c>
      <c r="AJ143" s="688">
        <f>IFERROR(VLOOKUP($A143,'[94]12月'!$A:$H,8,0),0)</f>
        <v>0</v>
      </c>
      <c r="AK143" s="688">
        <f t="shared" si="68"/>
        <v>0</v>
      </c>
    </row>
    <row r="144" spans="1:37" ht="13.5" hidden="1" customHeight="1">
      <c r="A144" s="653" t="str">
        <f>'Budget-合并'!A144</f>
        <v>6602.17</v>
      </c>
      <c r="B144" s="653" t="str">
        <f>'Budget-合并'!B144</f>
        <v>聘请中介机构费</v>
      </c>
      <c r="C144" s="687">
        <f>'Budget-合并'!C144</f>
        <v>0</v>
      </c>
      <c r="D144" s="676">
        <f t="shared" si="62"/>
        <v>0</v>
      </c>
      <c r="E144" s="676" t="e">
        <f t="shared" si="63"/>
        <v>#N/A</v>
      </c>
      <c r="F144" s="676" t="e">
        <f t="shared" si="64"/>
        <v>#N/A</v>
      </c>
      <c r="G144" s="676">
        <f t="shared" ca="1" si="65"/>
        <v>0</v>
      </c>
      <c r="H144" s="676" t="e">
        <f t="shared" ca="1" si="66"/>
        <v>#N/A</v>
      </c>
      <c r="I144" s="676" t="e">
        <f t="shared" ca="1" si="67"/>
        <v>#N/A</v>
      </c>
      <c r="K144" s="676"/>
      <c r="L144" s="676"/>
      <c r="M144" s="676"/>
      <c r="N144" s="676"/>
      <c r="O144" s="676"/>
      <c r="P144" s="676"/>
      <c r="Q144" s="676"/>
      <c r="R144" s="676"/>
      <c r="S144" s="676"/>
      <c r="T144" s="676"/>
      <c r="U144" s="676"/>
      <c r="V144" s="676"/>
      <c r="W144" s="676">
        <f t="shared" si="51"/>
        <v>0</v>
      </c>
      <c r="Y144" s="688">
        <f>IFERROR(VLOOKUP($A144,'[94]1月'!$A:$H,8,0),0)</f>
        <v>0</v>
      </c>
      <c r="Z144" s="688">
        <f>IFERROR(VLOOKUP($A144,'[94]2月'!$A:$H,8,0),0)</f>
        <v>0</v>
      </c>
      <c r="AA144" s="688">
        <f>IFERROR(VLOOKUP($A144,'[94]3月'!$A:$H,8,0),0)</f>
        <v>0</v>
      </c>
      <c r="AB144" s="688">
        <f>IFERROR(VLOOKUP($A144,'[94]4月'!$A:$H,8,0),0)</f>
        <v>0</v>
      </c>
      <c r="AC144" s="688">
        <f>IFERROR(VLOOKUP($A144,'[94]5月'!$A:$H,8,0),0)</f>
        <v>0</v>
      </c>
      <c r="AD144" s="688">
        <f>IFERROR(VLOOKUP($A144,'[94]6月'!$A:$H,8,0),0)</f>
        <v>0</v>
      </c>
      <c r="AE144" s="688">
        <f>IFERROR(VLOOKUP($A144,'[94]7月'!$A:$H,8,0),0)</f>
        <v>0</v>
      </c>
      <c r="AF144" s="688">
        <f>IFERROR(VLOOKUP($A144,'[94]8月'!$A:$H,8,0),0)</f>
        <v>0</v>
      </c>
      <c r="AG144" s="688">
        <f>IFERROR(VLOOKUP($A144,'[94]9月'!$A:$H,8,0),0)</f>
        <v>0</v>
      </c>
      <c r="AH144" s="688">
        <f>IFERROR(VLOOKUP($A144,'[94]10月'!$A:$H,8,0),0)</f>
        <v>0</v>
      </c>
      <c r="AI144" s="688">
        <f>IFERROR(VLOOKUP($A144,'[94]11月'!$A:$H,8,0),0)</f>
        <v>0</v>
      </c>
      <c r="AJ144" s="688">
        <f>IFERROR(VLOOKUP($A144,'[94]12月'!$A:$H,8,0),0)</f>
        <v>0</v>
      </c>
      <c r="AK144" s="688">
        <f t="shared" si="68"/>
        <v>0</v>
      </c>
    </row>
    <row r="145" spans="1:37" ht="13.5" hidden="1" customHeight="1">
      <c r="A145" s="653" t="str">
        <f>'Budget-合并'!A145</f>
        <v>6602.18</v>
      </c>
      <c r="B145" s="653" t="str">
        <f>'Budget-合并'!B145</f>
        <v>存货盘亏或盘盈</v>
      </c>
      <c r="C145" s="687">
        <f>'Budget-合并'!C145</f>
        <v>0</v>
      </c>
      <c r="D145" s="676">
        <f t="shared" si="62"/>
        <v>0</v>
      </c>
      <c r="E145" s="676" t="e">
        <f t="shared" si="63"/>
        <v>#N/A</v>
      </c>
      <c r="F145" s="676" t="e">
        <f t="shared" si="64"/>
        <v>#N/A</v>
      </c>
      <c r="G145" s="676">
        <f t="shared" ca="1" si="65"/>
        <v>0</v>
      </c>
      <c r="H145" s="676" t="e">
        <f t="shared" ca="1" si="66"/>
        <v>#N/A</v>
      </c>
      <c r="I145" s="676" t="e">
        <f t="shared" ca="1" si="67"/>
        <v>#N/A</v>
      </c>
      <c r="K145" s="676"/>
      <c r="L145" s="676"/>
      <c r="M145" s="676"/>
      <c r="N145" s="676"/>
      <c r="O145" s="676"/>
      <c r="P145" s="676"/>
      <c r="Q145" s="676"/>
      <c r="R145" s="676"/>
      <c r="S145" s="676"/>
      <c r="T145" s="676"/>
      <c r="U145" s="676"/>
      <c r="V145" s="676"/>
      <c r="W145" s="676">
        <f t="shared" si="51"/>
        <v>0</v>
      </c>
      <c r="Y145" s="688">
        <f>IFERROR(VLOOKUP($A145,'[94]1月'!$A:$H,8,0),0)</f>
        <v>0</v>
      </c>
      <c r="Z145" s="688">
        <f>IFERROR(VLOOKUP($A145,'[94]2月'!$A:$H,8,0),0)</f>
        <v>0</v>
      </c>
      <c r="AA145" s="688">
        <f>IFERROR(VLOOKUP($A145,'[94]3月'!$A:$H,8,0),0)</f>
        <v>0</v>
      </c>
      <c r="AB145" s="688">
        <f>IFERROR(VLOOKUP($A145,'[94]4月'!$A:$H,8,0),0)</f>
        <v>0</v>
      </c>
      <c r="AC145" s="688">
        <f>IFERROR(VLOOKUP($A145,'[94]5月'!$A:$H,8,0),0)</f>
        <v>0</v>
      </c>
      <c r="AD145" s="688">
        <f>IFERROR(VLOOKUP($A145,'[94]6月'!$A:$H,8,0),0)</f>
        <v>0</v>
      </c>
      <c r="AE145" s="688">
        <f>IFERROR(VLOOKUP($A145,'[94]7月'!$A:$H,8,0),0)</f>
        <v>0</v>
      </c>
      <c r="AF145" s="688">
        <f>IFERROR(VLOOKUP($A145,'[94]8月'!$A:$H,8,0),0)</f>
        <v>0</v>
      </c>
      <c r="AG145" s="688">
        <f>IFERROR(VLOOKUP($A145,'[94]9月'!$A:$H,8,0),0)</f>
        <v>0</v>
      </c>
      <c r="AH145" s="688">
        <f>IFERROR(VLOOKUP($A145,'[94]10月'!$A:$H,8,0),0)</f>
        <v>0</v>
      </c>
      <c r="AI145" s="688">
        <f>IFERROR(VLOOKUP($A145,'[94]11月'!$A:$H,8,0),0)</f>
        <v>0</v>
      </c>
      <c r="AJ145" s="688">
        <f>IFERROR(VLOOKUP($A145,'[94]12月'!$A:$H,8,0),0)</f>
        <v>0</v>
      </c>
      <c r="AK145" s="688">
        <f t="shared" si="68"/>
        <v>0</v>
      </c>
    </row>
    <row r="146" spans="1:37" ht="13.5" hidden="1" customHeight="1">
      <c r="A146" s="653" t="str">
        <f>'Budget-合并'!A146</f>
        <v>6602.19</v>
      </c>
      <c r="B146" s="653" t="str">
        <f>'Budget-合并'!B146</f>
        <v>会费（公司）</v>
      </c>
      <c r="C146" s="687" t="str">
        <f>'Budget-合并'!C146</f>
        <v>Membership Fee</v>
      </c>
      <c r="D146" s="676">
        <f t="shared" si="62"/>
        <v>0</v>
      </c>
      <c r="E146" s="676" t="e">
        <f t="shared" si="63"/>
        <v>#N/A</v>
      </c>
      <c r="F146" s="676" t="e">
        <f t="shared" si="64"/>
        <v>#N/A</v>
      </c>
      <c r="G146" s="676">
        <f t="shared" ca="1" si="65"/>
        <v>0</v>
      </c>
      <c r="H146" s="676" t="e">
        <f t="shared" ca="1" si="66"/>
        <v>#N/A</v>
      </c>
      <c r="I146" s="676" t="e">
        <f t="shared" ca="1" si="67"/>
        <v>#N/A</v>
      </c>
      <c r="K146" s="676">
        <f>SUMIFS('Other Exp'!AG$3:AG$196,'Other Exp'!$B$3:$B$196,$D$1,'Other Exp'!$C$3:$C$196,$A146)</f>
        <v>0</v>
      </c>
      <c r="L146" s="676">
        <f>SUMIFS('Other Exp'!AH$3:AH$196,'Other Exp'!$B$3:$B$196,$D$1,'Other Exp'!$C$3:$C$196,$A146)</f>
        <v>0</v>
      </c>
      <c r="M146" s="676">
        <f>SUMIFS('Other Exp'!AI$3:AI$196,'Other Exp'!$B$3:$B$196,$D$1,'Other Exp'!$C$3:$C$196,$A146)</f>
        <v>0</v>
      </c>
      <c r="N146" s="676">
        <f>SUMIFS('Other Exp'!AJ$3:AJ$196,'Other Exp'!$B$3:$B$196,$D$1,'Other Exp'!$C$3:$C$196,$A146)</f>
        <v>0</v>
      </c>
      <c r="O146" s="676">
        <f>SUMIFS('Other Exp'!AK$3:AK$196,'Other Exp'!$B$3:$B$196,$D$1,'Other Exp'!$C$3:$C$196,$A146)</f>
        <v>0</v>
      </c>
      <c r="P146" s="676">
        <f>SUMIFS('Other Exp'!AL$3:AL$196,'Other Exp'!$B$3:$B$196,$D$1,'Other Exp'!$C$3:$C$196,$A146)</f>
        <v>0</v>
      </c>
      <c r="Q146" s="676">
        <f>SUMIFS('Other Exp'!AM$3:AM$196,'Other Exp'!$B$3:$B$196,$D$1,'Other Exp'!$C$3:$C$196,$A146)</f>
        <v>0</v>
      </c>
      <c r="R146" s="676">
        <f>SUMIFS('Other Exp'!AN$3:AN$196,'Other Exp'!$B$3:$B$196,$D$1,'Other Exp'!$C$3:$C$196,$A146)</f>
        <v>0</v>
      </c>
      <c r="S146" s="676">
        <f>SUMIFS('Other Exp'!AO$3:AO$196,'Other Exp'!$B$3:$B$196,$D$1,'Other Exp'!$C$3:$C$196,$A146)</f>
        <v>0</v>
      </c>
      <c r="T146" s="676">
        <f>SUMIFS('Other Exp'!AP$3:AP$196,'Other Exp'!$B$3:$B$196,$D$1,'Other Exp'!$C$3:$C$196,$A146)</f>
        <v>0</v>
      </c>
      <c r="U146" s="676">
        <f>SUMIFS('Other Exp'!AQ$3:AQ$196,'Other Exp'!$B$3:$B$196,$D$1,'Other Exp'!$C$3:$C$196,$A146)</f>
        <v>0</v>
      </c>
      <c r="V146" s="676">
        <f>SUMIFS('Other Exp'!AR$3:AR$196,'Other Exp'!$B$3:$B$196,$D$1,'Other Exp'!$C$3:$C$196,$A146)</f>
        <v>0</v>
      </c>
      <c r="W146" s="676">
        <f t="shared" si="51"/>
        <v>0</v>
      </c>
      <c r="Y146" s="688">
        <f>IFERROR(VLOOKUP($A146,'[94]1月'!$A:$H,8,0),0)</f>
        <v>0</v>
      </c>
      <c r="Z146" s="688">
        <f>IFERROR(VLOOKUP($A146,'[94]2月'!$A:$H,8,0),0)</f>
        <v>0</v>
      </c>
      <c r="AA146" s="688">
        <f>IFERROR(VLOOKUP($A146,'[94]3月'!$A:$H,8,0),0)</f>
        <v>0</v>
      </c>
      <c r="AB146" s="688">
        <f>IFERROR(VLOOKUP($A146,'[94]4月'!$A:$H,8,0),0)</f>
        <v>0</v>
      </c>
      <c r="AC146" s="688">
        <f>IFERROR(VLOOKUP($A146,'[94]5月'!$A:$H,8,0),0)</f>
        <v>0</v>
      </c>
      <c r="AD146" s="688">
        <f>IFERROR(VLOOKUP($A146,'[94]6月'!$A:$H,8,0),0)</f>
        <v>0</v>
      </c>
      <c r="AE146" s="688">
        <f>IFERROR(VLOOKUP($A146,'[94]7月'!$A:$H,8,0),0)</f>
        <v>0</v>
      </c>
      <c r="AF146" s="688">
        <f>IFERROR(VLOOKUP($A146,'[94]8月'!$A:$H,8,0),0)</f>
        <v>0</v>
      </c>
      <c r="AG146" s="688">
        <f>IFERROR(VLOOKUP($A146,'[94]9月'!$A:$H,8,0),0)</f>
        <v>0</v>
      </c>
      <c r="AH146" s="688">
        <f>IFERROR(VLOOKUP($A146,'[94]10月'!$A:$H,8,0),0)</f>
        <v>0</v>
      </c>
      <c r="AI146" s="688">
        <f>IFERROR(VLOOKUP($A146,'[94]11月'!$A:$H,8,0),0)</f>
        <v>0</v>
      </c>
      <c r="AJ146" s="688">
        <f>IFERROR(VLOOKUP($A146,'[94]12月'!$A:$H,8,0),0)</f>
        <v>0</v>
      </c>
      <c r="AK146" s="688">
        <f t="shared" si="68"/>
        <v>0</v>
      </c>
    </row>
    <row r="147" spans="1:37" ht="13.5" customHeight="1">
      <c r="A147" s="653" t="str">
        <f>'Budget-合并'!A147</f>
        <v>6602.20</v>
      </c>
      <c r="B147" s="653" t="str">
        <f>'Budget-合并'!B147</f>
        <v>职工教育经费</v>
      </c>
      <c r="C147" s="687" t="str">
        <f>'Budget-合并'!C147</f>
        <v>Education Assistance</v>
      </c>
      <c r="D147" s="676">
        <f t="shared" si="62"/>
        <v>833.33333333333337</v>
      </c>
      <c r="E147" s="676" t="e">
        <f t="shared" si="63"/>
        <v>#N/A</v>
      </c>
      <c r="F147" s="676" t="e">
        <f t="shared" si="64"/>
        <v>#N/A</v>
      </c>
      <c r="G147" s="676">
        <f t="shared" ca="1" si="65"/>
        <v>833.33333333333337</v>
      </c>
      <c r="H147" s="676" t="e">
        <f t="shared" ca="1" si="66"/>
        <v>#N/A</v>
      </c>
      <c r="I147" s="676" t="e">
        <f t="shared" ca="1" si="67"/>
        <v>#N/A</v>
      </c>
      <c r="K147" s="676">
        <f>SUMIFS('Prof. Fee'!AF$3:AF$150,'Prof. Fee'!$B$3:$B$150,$D$1,'Prof. Fee'!$D$3:$D$150,$A147)+SUMIFS('Other Exp'!AG$3:AG$196,'Other Exp'!$B$3:$B$196,$D$1,'Other Exp'!$C$3:$C$196,$A147)</f>
        <v>833.33333333333337</v>
      </c>
      <c r="L147" s="676">
        <f>SUMIFS('Prof. Fee'!AG$3:AG$150,'Prof. Fee'!$B$3:$B$150,$D$1,'Prof. Fee'!$D$3:$D$150,$A147)+SUMIFS('Other Exp'!AH$3:AH$196,'Other Exp'!$B$3:$B$196,$D$1,'Other Exp'!$C$3:$C$196,$A147)</f>
        <v>833.33333333333337</v>
      </c>
      <c r="M147" s="676">
        <f>SUMIFS('Prof. Fee'!AH$3:AH$150,'Prof. Fee'!$B$3:$B$150,$D$1,'Prof. Fee'!$D$3:$D$150,$A147)+SUMIFS('Other Exp'!AI$3:AI$196,'Other Exp'!$B$3:$B$196,$D$1,'Other Exp'!$C$3:$C$196,$A147)</f>
        <v>833.33333333333337</v>
      </c>
      <c r="N147" s="676">
        <f>SUMIFS('Prof. Fee'!AI$3:AI$150,'Prof. Fee'!$B$3:$B$150,$D$1,'Prof. Fee'!$D$3:$D$150,$A147)+SUMIFS('Other Exp'!AJ$3:AJ$196,'Other Exp'!$B$3:$B$196,$D$1,'Other Exp'!$C$3:$C$196,$A147)</f>
        <v>833.33333333333337</v>
      </c>
      <c r="O147" s="676">
        <f>SUMIFS('Prof. Fee'!AJ$3:AJ$150,'Prof. Fee'!$B$3:$B$150,$D$1,'Prof. Fee'!$D$3:$D$150,$A147)+SUMIFS('Other Exp'!AK$3:AK$196,'Other Exp'!$B$3:$B$196,$D$1,'Other Exp'!$C$3:$C$196,$A147)</f>
        <v>833.33333333333337</v>
      </c>
      <c r="P147" s="676">
        <f>SUMIFS('Prof. Fee'!AK$3:AK$150,'Prof. Fee'!$B$3:$B$150,$D$1,'Prof. Fee'!$D$3:$D$150,$A147)+SUMIFS('Other Exp'!AL$3:AL$196,'Other Exp'!$B$3:$B$196,$D$1,'Other Exp'!$C$3:$C$196,$A147)</f>
        <v>833.33333333333337</v>
      </c>
      <c r="Q147" s="676">
        <f>SUMIFS('Prof. Fee'!AL$3:AL$150,'Prof. Fee'!$B$3:$B$150,$D$1,'Prof. Fee'!$D$3:$D$150,$A147)+SUMIFS('Other Exp'!AM$3:AM$196,'Other Exp'!$B$3:$B$196,$D$1,'Other Exp'!$C$3:$C$196,$A147)</f>
        <v>833.33333333333337</v>
      </c>
      <c r="R147" s="676">
        <f>SUMIFS('Prof. Fee'!AM$3:AM$150,'Prof. Fee'!$B$3:$B$150,$D$1,'Prof. Fee'!$D$3:$D$150,$A147)+SUMIFS('Other Exp'!AN$3:AN$196,'Other Exp'!$B$3:$B$196,$D$1,'Other Exp'!$C$3:$C$196,$A147)</f>
        <v>833.33333333333337</v>
      </c>
      <c r="S147" s="676">
        <f>SUMIFS('Prof. Fee'!AN$3:AN$150,'Prof. Fee'!$B$3:$B$150,$D$1,'Prof. Fee'!$D$3:$D$150,$A147)+SUMIFS('Other Exp'!AO$3:AO$196,'Other Exp'!$B$3:$B$196,$D$1,'Other Exp'!$C$3:$C$196,$A147)</f>
        <v>833.33333333333337</v>
      </c>
      <c r="T147" s="676">
        <f>SUMIFS('Prof. Fee'!AO$3:AO$150,'Prof. Fee'!$B$3:$B$150,$D$1,'Prof. Fee'!$D$3:$D$150,$A147)+SUMIFS('Other Exp'!AP$3:AP$196,'Other Exp'!$B$3:$B$196,$D$1,'Other Exp'!$C$3:$C$196,$A147)</f>
        <v>833.33333333333337</v>
      </c>
      <c r="U147" s="676">
        <f>SUMIFS('Prof. Fee'!AP$3:AP$150,'Prof. Fee'!$B$3:$B$150,$D$1,'Prof. Fee'!$D$3:$D$150,$A147)+SUMIFS('Other Exp'!AQ$3:AQ$196,'Other Exp'!$B$3:$B$196,$D$1,'Other Exp'!$C$3:$C$196,$A147)</f>
        <v>833.33333333333337</v>
      </c>
      <c r="V147" s="676">
        <f>SUMIFS('Prof. Fee'!AQ$3:AQ$150,'Prof. Fee'!$B$3:$B$150,$D$1,'Prof. Fee'!$D$3:$D$150,$A147)+SUMIFS('Other Exp'!AR$3:AR$196,'Other Exp'!$B$3:$B$196,$D$1,'Other Exp'!$C$3:$C$196,$A147)</f>
        <v>833.33333333333337</v>
      </c>
      <c r="W147" s="676">
        <f t="shared" si="51"/>
        <v>10000</v>
      </c>
      <c r="Y147" s="688">
        <f>IFERROR(VLOOKUP($A147,'[94]1月'!$A:$H,8,0),0)</f>
        <v>0</v>
      </c>
      <c r="Z147" s="688">
        <f>IFERROR(VLOOKUP($A147,'[94]2月'!$A:$H,8,0),0)</f>
        <v>0</v>
      </c>
      <c r="AA147" s="688">
        <f>IFERROR(VLOOKUP($A147,'[94]3月'!$A:$H,8,0),0)</f>
        <v>0</v>
      </c>
      <c r="AB147" s="688">
        <f>IFERROR(VLOOKUP($A147,'[94]4月'!$A:$H,8,0),0)</f>
        <v>0</v>
      </c>
      <c r="AC147" s="688">
        <f>IFERROR(VLOOKUP($A147,'[94]5月'!$A:$H,8,0),0)</f>
        <v>0</v>
      </c>
      <c r="AD147" s="688">
        <f>IFERROR(VLOOKUP($A147,'[94]6月'!$A:$H,8,0),0)</f>
        <v>0</v>
      </c>
      <c r="AE147" s="688">
        <f>IFERROR(VLOOKUP($A147,'[94]7月'!$A:$H,8,0),0)</f>
        <v>0</v>
      </c>
      <c r="AF147" s="688">
        <f>IFERROR(VLOOKUP($A147,'[94]8月'!$A:$H,8,0),0)</f>
        <v>0</v>
      </c>
      <c r="AG147" s="688">
        <f>IFERROR(VLOOKUP($A147,'[94]9月'!$A:$H,8,0),0)</f>
        <v>0</v>
      </c>
      <c r="AH147" s="688">
        <f>IFERROR(VLOOKUP($A147,'[94]10月'!$A:$H,8,0),0)</f>
        <v>0</v>
      </c>
      <c r="AI147" s="688">
        <f>IFERROR(VLOOKUP($A147,'[94]11月'!$A:$H,8,0),0)</f>
        <v>0</v>
      </c>
      <c r="AJ147" s="688">
        <f>IFERROR(VLOOKUP($A147,'[94]12月'!$A:$H,8,0),0)</f>
        <v>0</v>
      </c>
      <c r="AK147" s="688">
        <f t="shared" si="68"/>
        <v>0</v>
      </c>
    </row>
    <row r="148" spans="1:37" ht="13.5" hidden="1" customHeight="1">
      <c r="A148" s="653" t="str">
        <f>'Budget-合并'!A148</f>
        <v>6602.21</v>
      </c>
      <c r="B148" s="653" t="str">
        <f>'Budget-合并'!B148</f>
        <v>公司秘书费</v>
      </c>
      <c r="C148" s="687" t="str">
        <f>'Budget-合并'!C148</f>
        <v>Corporate Secretarial Fees</v>
      </c>
      <c r="D148" s="676">
        <f t="shared" si="62"/>
        <v>0</v>
      </c>
      <c r="E148" s="676" t="e">
        <f t="shared" si="63"/>
        <v>#N/A</v>
      </c>
      <c r="F148" s="676" t="e">
        <f t="shared" si="64"/>
        <v>#N/A</v>
      </c>
      <c r="G148" s="676">
        <f t="shared" ca="1" si="65"/>
        <v>0</v>
      </c>
      <c r="H148" s="676" t="e">
        <f t="shared" ca="1" si="66"/>
        <v>#N/A</v>
      </c>
      <c r="I148" s="676" t="e">
        <f t="shared" ca="1" si="67"/>
        <v>#N/A</v>
      </c>
      <c r="K148" s="676">
        <f>SUMIFS('Prof. Fee'!AF$3:AF$150,'Prof. Fee'!$B$3:$B$150,$D$1,'Prof. Fee'!$D$3:$D$150,$A148)</f>
        <v>0</v>
      </c>
      <c r="L148" s="676">
        <f>SUMIFS('Prof. Fee'!AG$3:AG$150,'Prof. Fee'!$B$3:$B$150,$D$1,'Prof. Fee'!$D$3:$D$150,$A148)</f>
        <v>0</v>
      </c>
      <c r="M148" s="676">
        <f>SUMIFS('Prof. Fee'!AH$3:AH$150,'Prof. Fee'!$B$3:$B$150,$D$1,'Prof. Fee'!$D$3:$D$150,$A148)</f>
        <v>0</v>
      </c>
      <c r="N148" s="676">
        <f>SUMIFS('Prof. Fee'!AI$3:AI$150,'Prof. Fee'!$B$3:$B$150,$D$1,'Prof. Fee'!$D$3:$D$150,$A148)</f>
        <v>0</v>
      </c>
      <c r="O148" s="676">
        <f>SUMIFS('Prof. Fee'!AJ$3:AJ$150,'Prof. Fee'!$B$3:$B$150,$D$1,'Prof. Fee'!$D$3:$D$150,$A148)</f>
        <v>0</v>
      </c>
      <c r="P148" s="676">
        <f>SUMIFS('Prof. Fee'!AK$3:AK$150,'Prof. Fee'!$B$3:$B$150,$D$1,'Prof. Fee'!$D$3:$D$150,$A148)</f>
        <v>0</v>
      </c>
      <c r="Q148" s="676">
        <f>SUMIFS('Prof. Fee'!AL$3:AL$150,'Prof. Fee'!$B$3:$B$150,$D$1,'Prof. Fee'!$D$3:$D$150,$A148)</f>
        <v>0</v>
      </c>
      <c r="R148" s="676">
        <f>SUMIFS('Prof. Fee'!AM$3:AM$150,'Prof. Fee'!$B$3:$B$150,$D$1,'Prof. Fee'!$D$3:$D$150,$A148)</f>
        <v>0</v>
      </c>
      <c r="S148" s="676">
        <f>SUMIFS('Prof. Fee'!AN$3:AN$150,'Prof. Fee'!$B$3:$B$150,$D$1,'Prof. Fee'!$D$3:$D$150,$A148)</f>
        <v>0</v>
      </c>
      <c r="T148" s="676">
        <f>SUMIFS('Prof. Fee'!AO$3:AO$150,'Prof. Fee'!$B$3:$B$150,$D$1,'Prof. Fee'!$D$3:$D$150,$A148)</f>
        <v>0</v>
      </c>
      <c r="U148" s="676">
        <f>SUMIFS('Prof. Fee'!AP$3:AP$150,'Prof. Fee'!$B$3:$B$150,$D$1,'Prof. Fee'!$D$3:$D$150,$A148)</f>
        <v>0</v>
      </c>
      <c r="V148" s="676">
        <f>SUMIFS('Prof. Fee'!AQ$3:AQ$150,'Prof. Fee'!$B$3:$B$150,$D$1,'Prof. Fee'!$D$3:$D$150,$A148)</f>
        <v>0</v>
      </c>
      <c r="W148" s="676">
        <f t="shared" si="51"/>
        <v>0</v>
      </c>
      <c r="Y148" s="688">
        <f>IFERROR(VLOOKUP($A148,'[94]1月'!$A:$H,8,0),0)</f>
        <v>0</v>
      </c>
      <c r="Z148" s="688">
        <f>IFERROR(VLOOKUP($A148,'[94]2月'!$A:$H,8,0),0)</f>
        <v>0</v>
      </c>
      <c r="AA148" s="688">
        <f>IFERROR(VLOOKUP($A148,'[94]3月'!$A:$H,8,0),0)</f>
        <v>0</v>
      </c>
      <c r="AB148" s="688">
        <f>IFERROR(VLOOKUP($A148,'[94]4月'!$A:$H,8,0),0)</f>
        <v>0</v>
      </c>
      <c r="AC148" s="688">
        <f>IFERROR(VLOOKUP($A148,'[94]5月'!$A:$H,8,0),0)</f>
        <v>0</v>
      </c>
      <c r="AD148" s="688">
        <f>IFERROR(VLOOKUP($A148,'[94]6月'!$A:$H,8,0),0)</f>
        <v>0</v>
      </c>
      <c r="AE148" s="688">
        <f>IFERROR(VLOOKUP($A148,'[94]7月'!$A:$H,8,0),0)</f>
        <v>0</v>
      </c>
      <c r="AF148" s="688">
        <f>IFERROR(VLOOKUP($A148,'[94]8月'!$A:$H,8,0),0)</f>
        <v>0</v>
      </c>
      <c r="AG148" s="688">
        <f>IFERROR(VLOOKUP($A148,'[94]9月'!$A:$H,8,0),0)</f>
        <v>0</v>
      </c>
      <c r="AH148" s="688">
        <f>IFERROR(VLOOKUP($A148,'[94]10月'!$A:$H,8,0),0)</f>
        <v>0</v>
      </c>
      <c r="AI148" s="688">
        <f>IFERROR(VLOOKUP($A148,'[94]11月'!$A:$H,8,0),0)</f>
        <v>0</v>
      </c>
      <c r="AJ148" s="688">
        <f>IFERROR(VLOOKUP($A148,'[94]12月'!$A:$H,8,0),0)</f>
        <v>0</v>
      </c>
      <c r="AK148" s="688">
        <f t="shared" si="68"/>
        <v>0</v>
      </c>
    </row>
    <row r="149" spans="1:37" ht="13.5" hidden="1" customHeight="1">
      <c r="A149" s="653" t="str">
        <f>'Budget-合并'!A149</f>
        <v>6602.22</v>
      </c>
      <c r="B149" s="653" t="str">
        <f>'Budget-合并'!B149</f>
        <v>工会经费</v>
      </c>
      <c r="C149" s="687">
        <f>'Budget-合并'!C149</f>
        <v>0</v>
      </c>
      <c r="D149" s="676">
        <f t="shared" si="62"/>
        <v>0</v>
      </c>
      <c r="E149" s="676" t="e">
        <f t="shared" si="63"/>
        <v>#N/A</v>
      </c>
      <c r="F149" s="676" t="e">
        <f t="shared" si="64"/>
        <v>#N/A</v>
      </c>
      <c r="G149" s="676">
        <f t="shared" ca="1" si="65"/>
        <v>0</v>
      </c>
      <c r="H149" s="676" t="e">
        <f t="shared" ca="1" si="66"/>
        <v>#N/A</v>
      </c>
      <c r="I149" s="676" t="e">
        <f t="shared" ca="1" si="67"/>
        <v>#N/A</v>
      </c>
      <c r="K149" s="676"/>
      <c r="L149" s="676"/>
      <c r="M149" s="676"/>
      <c r="N149" s="676"/>
      <c r="O149" s="676"/>
      <c r="P149" s="676"/>
      <c r="Q149" s="676"/>
      <c r="R149" s="676"/>
      <c r="S149" s="676"/>
      <c r="T149" s="676"/>
      <c r="U149" s="676"/>
      <c r="V149" s="676"/>
      <c r="W149" s="676">
        <f t="shared" si="51"/>
        <v>0</v>
      </c>
      <c r="Y149" s="688">
        <f>IFERROR(VLOOKUP($A149,'[94]1月'!$A:$H,8,0),0)</f>
        <v>0</v>
      </c>
      <c r="Z149" s="688">
        <f>IFERROR(VLOOKUP($A149,'[94]2月'!$A:$H,8,0),0)</f>
        <v>0</v>
      </c>
      <c r="AA149" s="688">
        <f>IFERROR(VLOOKUP($A149,'[94]3月'!$A:$H,8,0),0)</f>
        <v>0</v>
      </c>
      <c r="AB149" s="688">
        <f>IFERROR(VLOOKUP($A149,'[94]4月'!$A:$H,8,0),0)</f>
        <v>0</v>
      </c>
      <c r="AC149" s="688">
        <f>IFERROR(VLOOKUP($A149,'[94]5月'!$A:$H,8,0),0)</f>
        <v>0</v>
      </c>
      <c r="AD149" s="688">
        <f>IFERROR(VLOOKUP($A149,'[94]6月'!$A:$H,8,0),0)</f>
        <v>0</v>
      </c>
      <c r="AE149" s="688">
        <f>IFERROR(VLOOKUP($A149,'[94]7月'!$A:$H,8,0),0)</f>
        <v>0</v>
      </c>
      <c r="AF149" s="688">
        <f>IFERROR(VLOOKUP($A149,'[94]8月'!$A:$H,8,0),0)</f>
        <v>0</v>
      </c>
      <c r="AG149" s="688">
        <f>IFERROR(VLOOKUP($A149,'[94]9月'!$A:$H,8,0),0)</f>
        <v>0</v>
      </c>
      <c r="AH149" s="688">
        <f>IFERROR(VLOOKUP($A149,'[94]10月'!$A:$H,8,0),0)</f>
        <v>0</v>
      </c>
      <c r="AI149" s="688">
        <f>IFERROR(VLOOKUP($A149,'[94]11月'!$A:$H,8,0),0)</f>
        <v>0</v>
      </c>
      <c r="AJ149" s="688">
        <f>IFERROR(VLOOKUP($A149,'[94]12月'!$A:$H,8,0),0)</f>
        <v>0</v>
      </c>
      <c r="AK149" s="688">
        <f t="shared" si="68"/>
        <v>0</v>
      </c>
    </row>
    <row r="150" spans="1:37" ht="13.5" hidden="1" customHeight="1">
      <c r="A150" s="653" t="str">
        <f>'Budget-合并'!A150</f>
        <v>6602.23</v>
      </c>
      <c r="B150" s="653" t="str">
        <f>'Budget-合并'!B150</f>
        <v>无形资产摊销</v>
      </c>
      <c r="C150" s="687" t="str">
        <f>'Budget-合并'!C150</f>
        <v>Contract Intangibles - Amortization</v>
      </c>
      <c r="D150" s="676">
        <f t="shared" si="62"/>
        <v>0</v>
      </c>
      <c r="E150" s="676" t="e">
        <f t="shared" si="63"/>
        <v>#N/A</v>
      </c>
      <c r="F150" s="676" t="e">
        <f t="shared" si="64"/>
        <v>#N/A</v>
      </c>
      <c r="G150" s="676">
        <f t="shared" ca="1" si="65"/>
        <v>0</v>
      </c>
      <c r="H150" s="676" t="e">
        <f t="shared" ca="1" si="66"/>
        <v>#N/A</v>
      </c>
      <c r="I150" s="676" t="e">
        <f t="shared" ca="1" si="67"/>
        <v>#N/A</v>
      </c>
      <c r="K150" s="676"/>
      <c r="L150" s="676"/>
      <c r="M150" s="676"/>
      <c r="N150" s="676"/>
      <c r="O150" s="676"/>
      <c r="P150" s="676"/>
      <c r="Q150" s="676"/>
      <c r="R150" s="676"/>
      <c r="S150" s="676"/>
      <c r="T150" s="676"/>
      <c r="U150" s="676"/>
      <c r="V150" s="676"/>
      <c r="W150" s="676">
        <f t="shared" si="51"/>
        <v>0</v>
      </c>
      <c r="Y150" s="688">
        <f>IFERROR(VLOOKUP($A150,'[94]1月'!$A:$H,8,0),0)</f>
        <v>0</v>
      </c>
      <c r="Z150" s="688">
        <f>IFERROR(VLOOKUP($A150,'[94]2月'!$A:$H,8,0),0)</f>
        <v>0</v>
      </c>
      <c r="AA150" s="688">
        <f>IFERROR(VLOOKUP($A150,'[94]3月'!$A:$H,8,0),0)</f>
        <v>0</v>
      </c>
      <c r="AB150" s="688">
        <f>IFERROR(VLOOKUP($A150,'[94]4月'!$A:$H,8,0),0)</f>
        <v>0</v>
      </c>
      <c r="AC150" s="688">
        <f>IFERROR(VLOOKUP($A150,'[94]5月'!$A:$H,8,0),0)</f>
        <v>0</v>
      </c>
      <c r="AD150" s="688">
        <f>IFERROR(VLOOKUP($A150,'[94]6月'!$A:$H,8,0),0)</f>
        <v>0</v>
      </c>
      <c r="AE150" s="688">
        <f>IFERROR(VLOOKUP($A150,'[94]7月'!$A:$H,8,0),0)</f>
        <v>0</v>
      </c>
      <c r="AF150" s="688">
        <f>IFERROR(VLOOKUP($A150,'[94]8月'!$A:$H,8,0),0)</f>
        <v>0</v>
      </c>
      <c r="AG150" s="688">
        <f>IFERROR(VLOOKUP($A150,'[94]9月'!$A:$H,8,0),0)</f>
        <v>0</v>
      </c>
      <c r="AH150" s="688">
        <f>IFERROR(VLOOKUP($A150,'[94]10月'!$A:$H,8,0),0)</f>
        <v>0</v>
      </c>
      <c r="AI150" s="688">
        <f>IFERROR(VLOOKUP($A150,'[94]11月'!$A:$H,8,0),0)</f>
        <v>0</v>
      </c>
      <c r="AJ150" s="688">
        <f>IFERROR(VLOOKUP($A150,'[94]12月'!$A:$H,8,0),0)</f>
        <v>0</v>
      </c>
      <c r="AK150" s="688">
        <f t="shared" si="68"/>
        <v>0</v>
      </c>
    </row>
    <row r="151" spans="1:37" ht="13.5" hidden="1" customHeight="1">
      <c r="A151" s="653" t="str">
        <f>'Budget-合并'!A151</f>
        <v>6602.24</v>
      </c>
      <c r="B151" s="653" t="str">
        <f>'Budget-合并'!B151</f>
        <v>监管费用</v>
      </c>
      <c r="C151" s="687" t="str">
        <f>'Budget-合并'!C151</f>
        <v xml:space="preserve">Regulatory fees </v>
      </c>
      <c r="D151" s="676">
        <f t="shared" si="62"/>
        <v>0</v>
      </c>
      <c r="E151" s="676" t="e">
        <f t="shared" si="63"/>
        <v>#N/A</v>
      </c>
      <c r="F151" s="676" t="e">
        <f t="shared" si="64"/>
        <v>#N/A</v>
      </c>
      <c r="G151" s="676">
        <f t="shared" ca="1" si="65"/>
        <v>0</v>
      </c>
      <c r="H151" s="676" t="e">
        <f t="shared" ca="1" si="66"/>
        <v>#N/A</v>
      </c>
      <c r="I151" s="676" t="e">
        <f t="shared" ca="1" si="67"/>
        <v>#N/A</v>
      </c>
      <c r="K151" s="676">
        <f>SUMIFS('Prof. Fee'!AF$3:AF$150,'Prof. Fee'!$B$3:$B$150,$D$1,'Prof. Fee'!$D$3:$D$150,$A151)</f>
        <v>0</v>
      </c>
      <c r="L151" s="676">
        <f>SUMIFS('Prof. Fee'!AG$3:AG$150,'Prof. Fee'!$B$3:$B$150,$D$1,'Prof. Fee'!$D$3:$D$150,$A151)</f>
        <v>0</v>
      </c>
      <c r="M151" s="676">
        <f>SUMIFS('Prof. Fee'!AH$3:AH$150,'Prof. Fee'!$B$3:$B$150,$D$1,'Prof. Fee'!$D$3:$D$150,$A151)</f>
        <v>0</v>
      </c>
      <c r="N151" s="676">
        <f>SUMIFS('Prof. Fee'!AI$3:AI$150,'Prof. Fee'!$B$3:$B$150,$D$1,'Prof. Fee'!$D$3:$D$150,$A151)</f>
        <v>0</v>
      </c>
      <c r="O151" s="676">
        <f>SUMIFS('Prof. Fee'!AJ$3:AJ$150,'Prof. Fee'!$B$3:$B$150,$D$1,'Prof. Fee'!$D$3:$D$150,$A151)</f>
        <v>0</v>
      </c>
      <c r="P151" s="676">
        <f>SUMIFS('Prof. Fee'!AK$3:AK$150,'Prof. Fee'!$B$3:$B$150,$D$1,'Prof. Fee'!$D$3:$D$150,$A151)</f>
        <v>0</v>
      </c>
      <c r="Q151" s="676">
        <f>SUMIFS('Prof. Fee'!AL$3:AL$150,'Prof. Fee'!$B$3:$B$150,$D$1,'Prof. Fee'!$D$3:$D$150,$A151)</f>
        <v>0</v>
      </c>
      <c r="R151" s="676">
        <f>SUMIFS('Prof. Fee'!AM$3:AM$150,'Prof. Fee'!$B$3:$B$150,$D$1,'Prof. Fee'!$D$3:$D$150,$A151)</f>
        <v>0</v>
      </c>
      <c r="S151" s="676">
        <f>SUMIFS('Prof. Fee'!AN$3:AN$150,'Prof. Fee'!$B$3:$B$150,$D$1,'Prof. Fee'!$D$3:$D$150,$A151)</f>
        <v>0</v>
      </c>
      <c r="T151" s="676">
        <f>SUMIFS('Prof. Fee'!AO$3:AO$150,'Prof. Fee'!$B$3:$B$150,$D$1,'Prof. Fee'!$D$3:$D$150,$A151)</f>
        <v>0</v>
      </c>
      <c r="U151" s="676">
        <f>SUMIFS('Prof. Fee'!AP$3:AP$150,'Prof. Fee'!$B$3:$B$150,$D$1,'Prof. Fee'!$D$3:$D$150,$A151)</f>
        <v>0</v>
      </c>
      <c r="V151" s="676">
        <f>SUMIFS('Prof. Fee'!AQ$3:AQ$150,'Prof. Fee'!$B$3:$B$150,$D$1,'Prof. Fee'!$D$3:$D$150,$A151)</f>
        <v>0</v>
      </c>
      <c r="W151" s="676">
        <f t="shared" ref="W151:W154" si="83">SUM(K151:V151)</f>
        <v>0</v>
      </c>
      <c r="Y151" s="688">
        <f>IFERROR(VLOOKUP($A151,'[94]1月'!$A:$H,8,0),0)</f>
        <v>0</v>
      </c>
      <c r="Z151" s="688">
        <f>IFERROR(VLOOKUP($A151,'[94]2月'!$A:$H,8,0),0)</f>
        <v>0</v>
      </c>
      <c r="AA151" s="688">
        <f>IFERROR(VLOOKUP($A151,'[94]3月'!$A:$H,8,0),0)</f>
        <v>0</v>
      </c>
      <c r="AB151" s="688">
        <f>IFERROR(VLOOKUP($A151,'[94]4月'!$A:$H,8,0),0)</f>
        <v>0</v>
      </c>
      <c r="AC151" s="688">
        <f>IFERROR(VLOOKUP($A151,'[94]5月'!$A:$H,8,0),0)</f>
        <v>0</v>
      </c>
      <c r="AD151" s="688">
        <f>IFERROR(VLOOKUP($A151,'[94]6月'!$A:$H,8,0),0)</f>
        <v>0</v>
      </c>
      <c r="AE151" s="688">
        <f>IFERROR(VLOOKUP($A151,'[94]7月'!$A:$H,8,0),0)</f>
        <v>0</v>
      </c>
      <c r="AF151" s="688">
        <f>IFERROR(VLOOKUP($A151,'[94]8月'!$A:$H,8,0),0)</f>
        <v>0</v>
      </c>
      <c r="AG151" s="688">
        <f>IFERROR(VLOOKUP($A151,'[94]9月'!$A:$H,8,0),0)</f>
        <v>0</v>
      </c>
      <c r="AH151" s="688">
        <f>IFERROR(VLOOKUP($A151,'[94]10月'!$A:$H,8,0),0)</f>
        <v>0</v>
      </c>
      <c r="AI151" s="688">
        <f>IFERROR(VLOOKUP($A151,'[94]11月'!$A:$H,8,0),0)</f>
        <v>0</v>
      </c>
      <c r="AJ151" s="688">
        <f>IFERROR(VLOOKUP($A151,'[94]12月'!$A:$H,8,0),0)</f>
        <v>0</v>
      </c>
      <c r="AK151" s="688">
        <f t="shared" si="68"/>
        <v>0</v>
      </c>
    </row>
    <row r="152" spans="1:37" ht="13.5" hidden="1" customHeight="1">
      <c r="A152" s="653" t="str">
        <f>'Budget-合并'!A152</f>
        <v>6602.99</v>
      </c>
      <c r="B152" s="653" t="str">
        <f>'Budget-合并'!B152</f>
        <v>其他</v>
      </c>
      <c r="C152" s="687" t="str">
        <f>'Budget-合并'!C152</f>
        <v>Admin Other</v>
      </c>
      <c r="D152" s="676">
        <f t="shared" si="62"/>
        <v>0</v>
      </c>
      <c r="E152" s="676" t="e">
        <f t="shared" si="63"/>
        <v>#N/A</v>
      </c>
      <c r="F152" s="676" t="e">
        <f t="shared" si="64"/>
        <v>#N/A</v>
      </c>
      <c r="G152" s="676">
        <f t="shared" ca="1" si="65"/>
        <v>0</v>
      </c>
      <c r="H152" s="676" t="e">
        <f t="shared" ca="1" si="66"/>
        <v>#N/A</v>
      </c>
      <c r="I152" s="676" t="e">
        <f t="shared" ca="1" si="67"/>
        <v>#N/A</v>
      </c>
      <c r="K152" s="676">
        <f>SUMIFS('Prof. Fee'!AF$3:AF$150,'Prof. Fee'!$B$3:$B$150,$D$1,'Prof. Fee'!$D$3:$D$150,$A152)+SUMIFS('Other Exp'!AG$3:AG$196,'Other Exp'!$B$3:$B$196,$D$1,'Other Exp'!$C$3:$C$196,$A152)</f>
        <v>0</v>
      </c>
      <c r="L152" s="676">
        <f>SUMIFS('Prof. Fee'!AG$3:AG$150,'Prof. Fee'!$B$3:$B$150,$D$1,'Prof. Fee'!$D$3:$D$150,$A152)+SUMIFS('Other Exp'!AH$3:AH$196,'Other Exp'!$B$3:$B$196,$D$1,'Other Exp'!$C$3:$C$196,$A152)</f>
        <v>0</v>
      </c>
      <c r="M152" s="676">
        <f>SUMIFS('Prof. Fee'!AH$3:AH$150,'Prof. Fee'!$B$3:$B$150,$D$1,'Prof. Fee'!$D$3:$D$150,$A152)+SUMIFS('Other Exp'!AI$3:AI$196,'Other Exp'!$B$3:$B$196,$D$1,'Other Exp'!$C$3:$C$196,$A152)</f>
        <v>0</v>
      </c>
      <c r="N152" s="676">
        <f>SUMIFS('Prof. Fee'!AI$3:AI$150,'Prof. Fee'!$B$3:$B$150,$D$1,'Prof. Fee'!$D$3:$D$150,$A152)+SUMIFS('Other Exp'!AJ$3:AJ$196,'Other Exp'!$B$3:$B$196,$D$1,'Other Exp'!$C$3:$C$196,$A152)</f>
        <v>0</v>
      </c>
      <c r="O152" s="676">
        <f>SUMIFS('Prof. Fee'!AJ$3:AJ$150,'Prof. Fee'!$B$3:$B$150,$D$1,'Prof. Fee'!$D$3:$D$150,$A152)+SUMIFS('Other Exp'!AK$3:AK$196,'Other Exp'!$B$3:$B$196,$D$1,'Other Exp'!$C$3:$C$196,$A152)</f>
        <v>0</v>
      </c>
      <c r="P152" s="676">
        <f>SUMIFS('Prof. Fee'!AK$3:AK$150,'Prof. Fee'!$B$3:$B$150,$D$1,'Prof. Fee'!$D$3:$D$150,$A152)+SUMIFS('Other Exp'!AL$3:AL$196,'Other Exp'!$B$3:$B$196,$D$1,'Other Exp'!$C$3:$C$196,$A152)</f>
        <v>0</v>
      </c>
      <c r="Q152" s="676">
        <f>SUMIFS('Prof. Fee'!AL$3:AL$150,'Prof. Fee'!$B$3:$B$150,$D$1,'Prof. Fee'!$D$3:$D$150,$A152)+SUMIFS('Other Exp'!AM$3:AM$196,'Other Exp'!$B$3:$B$196,$D$1,'Other Exp'!$C$3:$C$196,$A152)</f>
        <v>0</v>
      </c>
      <c r="R152" s="676">
        <f>SUMIFS('Prof. Fee'!AM$3:AM$150,'Prof. Fee'!$B$3:$B$150,$D$1,'Prof. Fee'!$D$3:$D$150,$A152)+SUMIFS('Other Exp'!AN$3:AN$196,'Other Exp'!$B$3:$B$196,$D$1,'Other Exp'!$C$3:$C$196,$A152)</f>
        <v>0</v>
      </c>
      <c r="S152" s="676">
        <f>SUMIFS('Prof. Fee'!AN$3:AN$150,'Prof. Fee'!$B$3:$B$150,$D$1,'Prof. Fee'!$D$3:$D$150,$A152)+SUMIFS('Other Exp'!AO$3:AO$196,'Other Exp'!$B$3:$B$196,$D$1,'Other Exp'!$C$3:$C$196,$A152)</f>
        <v>0</v>
      </c>
      <c r="T152" s="676">
        <f>SUMIFS('Prof. Fee'!AO$3:AO$150,'Prof. Fee'!$B$3:$B$150,$D$1,'Prof. Fee'!$D$3:$D$150,$A152)+SUMIFS('Other Exp'!AP$3:AP$196,'Other Exp'!$B$3:$B$196,$D$1,'Other Exp'!$C$3:$C$196,$A152)</f>
        <v>0</v>
      </c>
      <c r="U152" s="676">
        <f>SUMIFS('Prof. Fee'!AP$3:AP$150,'Prof. Fee'!$B$3:$B$150,$D$1,'Prof. Fee'!$D$3:$D$150,$A152)+SUMIFS('Other Exp'!AQ$3:AQ$196,'Other Exp'!$B$3:$B$196,$D$1,'Other Exp'!$C$3:$C$196,$A152)</f>
        <v>0</v>
      </c>
      <c r="V152" s="676">
        <f>SUMIFS('Prof. Fee'!AQ$3:AQ$150,'Prof. Fee'!$B$3:$B$150,$D$1,'Prof. Fee'!$D$3:$D$150,$A152)+SUMIFS('Other Exp'!AR$3:AR$196,'Other Exp'!$B$3:$B$196,$D$1,'Other Exp'!$C$3:$C$196,$A152)</f>
        <v>0</v>
      </c>
      <c r="W152" s="676">
        <f t="shared" si="83"/>
        <v>0</v>
      </c>
      <c r="Y152" s="688">
        <f>IFERROR(VLOOKUP($A152,'[94]1月'!$A:$H,8,0),0)</f>
        <v>0</v>
      </c>
      <c r="Z152" s="688">
        <f>IFERROR(VLOOKUP($A152,'[94]2月'!$A:$H,8,0),0)</f>
        <v>0</v>
      </c>
      <c r="AA152" s="688">
        <f>IFERROR(VLOOKUP($A152,'[94]3月'!$A:$H,8,0),0)</f>
        <v>722.53</v>
      </c>
      <c r="AB152" s="688">
        <f>IFERROR(VLOOKUP($A152,'[94]4月'!$A:$H,8,0),0)</f>
        <v>0</v>
      </c>
      <c r="AC152" s="688">
        <f>IFERROR(VLOOKUP($A152,'[94]5月'!$A:$H,8,0),0)</f>
        <v>0</v>
      </c>
      <c r="AD152" s="688">
        <f>IFERROR(VLOOKUP($A152,'[94]6月'!$A:$H,8,0),0)</f>
        <v>0</v>
      </c>
      <c r="AE152" s="688">
        <f>IFERROR(VLOOKUP($A152,'[94]7月'!$A:$H,8,0),0)</f>
        <v>0</v>
      </c>
      <c r="AF152" s="688">
        <f>IFERROR(VLOOKUP($A152,'[94]8月'!$A:$H,8,0),0)</f>
        <v>0</v>
      </c>
      <c r="AG152" s="688">
        <f>IFERROR(VLOOKUP($A152,'[94]9月'!$A:$H,8,0),0)</f>
        <v>0</v>
      </c>
      <c r="AH152" s="688">
        <f>IFERROR(VLOOKUP($A152,'[94]10月'!$A:$H,8,0),0)</f>
        <v>0</v>
      </c>
      <c r="AI152" s="688">
        <f>IFERROR(VLOOKUP($A152,'[94]11月'!$A:$H,8,0),0)</f>
        <v>0</v>
      </c>
      <c r="AJ152" s="688">
        <f>IFERROR(VLOOKUP($A152,'[94]12月'!$A:$H,8,0),0)</f>
        <v>0</v>
      </c>
      <c r="AK152" s="688">
        <f t="shared" si="68"/>
        <v>722.53</v>
      </c>
    </row>
    <row r="153" spans="1:37" ht="13.5" customHeight="1">
      <c r="A153" s="686">
        <f>'Budget-合并'!A153</f>
        <v>0</v>
      </c>
      <c r="B153" s="686" t="str">
        <f>'Budget-合并'!B153</f>
        <v>管理费用合计</v>
      </c>
      <c r="C153" s="687">
        <f>'Budget-合并'!C153</f>
        <v>0</v>
      </c>
      <c r="D153" s="677">
        <f t="shared" si="62"/>
        <v>163986.46555555557</v>
      </c>
      <c r="E153" s="677" t="e">
        <f t="shared" si="63"/>
        <v>#N/A</v>
      </c>
      <c r="F153" s="677" t="e">
        <f t="shared" si="64"/>
        <v>#N/A</v>
      </c>
      <c r="G153" s="677">
        <f t="shared" ca="1" si="65"/>
        <v>163986.46555555557</v>
      </c>
      <c r="H153" s="677" t="e">
        <f t="shared" ca="1" si="66"/>
        <v>#N/A</v>
      </c>
      <c r="I153" s="677" t="e">
        <f t="shared" ca="1" si="67"/>
        <v>#N/A</v>
      </c>
      <c r="K153" s="677">
        <f t="shared" ref="K153:V153" si="84">SUM(K44,K62,K75,K79,K80,K92,K127,K132,K140:K152)</f>
        <v>163986.46555555557</v>
      </c>
      <c r="L153" s="677">
        <f t="shared" si="84"/>
        <v>255066.46555555557</v>
      </c>
      <c r="M153" s="677">
        <f t="shared" si="84"/>
        <v>195780.46555555557</v>
      </c>
      <c r="N153" s="677">
        <f t="shared" si="84"/>
        <v>176986.46555555557</v>
      </c>
      <c r="O153" s="677">
        <f t="shared" si="84"/>
        <v>176986.46555555557</v>
      </c>
      <c r="P153" s="677">
        <f t="shared" si="84"/>
        <v>588241.46555555554</v>
      </c>
      <c r="Q153" s="677">
        <f t="shared" si="84"/>
        <v>179506.46555555557</v>
      </c>
      <c r="R153" s="677">
        <f t="shared" si="84"/>
        <v>181186.46555555557</v>
      </c>
      <c r="S153" s="677">
        <f t="shared" si="84"/>
        <v>326986.46555555554</v>
      </c>
      <c r="T153" s="677">
        <f t="shared" si="84"/>
        <v>176986.46555555557</v>
      </c>
      <c r="U153" s="677">
        <f t="shared" si="84"/>
        <v>176986.46555555557</v>
      </c>
      <c r="V153" s="677">
        <f t="shared" si="84"/>
        <v>722830.56155555556</v>
      </c>
      <c r="W153" s="677">
        <f t="shared" si="83"/>
        <v>3321530.6826666673</v>
      </c>
      <c r="Y153" s="677">
        <f t="shared" ref="Y153:AK153" si="85">SUM(Y44,Y62,Y75,Y79,Y80,Y92,Y127,Y132,Y140:Y152)</f>
        <v>375820.19</v>
      </c>
      <c r="Z153" s="677">
        <f t="shared" si="85"/>
        <v>297405.91000000003</v>
      </c>
      <c r="AA153" s="677">
        <f t="shared" si="85"/>
        <v>811475.14000000013</v>
      </c>
      <c r="AB153" s="677">
        <f t="shared" si="85"/>
        <v>17464.62</v>
      </c>
      <c r="AC153" s="677">
        <f t="shared" si="85"/>
        <v>-13359.430000000004</v>
      </c>
      <c r="AD153" s="677">
        <f t="shared" si="85"/>
        <v>898137.29</v>
      </c>
      <c r="AE153" s="677">
        <f t="shared" si="85"/>
        <v>-162918.94999999998</v>
      </c>
      <c r="AF153" s="677">
        <f t="shared" si="85"/>
        <v>119948.54000000001</v>
      </c>
      <c r="AG153" s="677">
        <f t="shared" si="85"/>
        <v>124077.52999999998</v>
      </c>
      <c r="AH153" s="677">
        <f t="shared" si="85"/>
        <v>-431387.89999999997</v>
      </c>
      <c r="AI153" s="677">
        <f t="shared" si="85"/>
        <v>95574.96</v>
      </c>
      <c r="AJ153" s="677">
        <f t="shared" si="85"/>
        <v>235476.69999999998</v>
      </c>
      <c r="AK153" s="677">
        <f t="shared" si="85"/>
        <v>2367714.6</v>
      </c>
    </row>
    <row r="154" spans="1:37" ht="13.5" hidden="1" customHeight="1">
      <c r="A154" s="653">
        <f>'Budget-合并'!A154</f>
        <v>0</v>
      </c>
      <c r="B154" s="653">
        <f>'Budget-合并'!B154</f>
        <v>0</v>
      </c>
      <c r="C154" s="687">
        <f>'Budget-合并'!C154</f>
        <v>0</v>
      </c>
      <c r="W154" s="652">
        <f t="shared" si="83"/>
        <v>0</v>
      </c>
    </row>
    <row r="155" spans="1:37" ht="13.5" customHeight="1">
      <c r="A155" s="686" t="str">
        <f>'Budget-合并'!A155</f>
        <v>6603</v>
      </c>
      <c r="B155" s="686" t="str">
        <f>'Budget-合并'!B155</f>
        <v>财务费用</v>
      </c>
      <c r="C155" s="687">
        <f>'Budget-合并'!C155</f>
        <v>0</v>
      </c>
      <c r="D155" s="677"/>
      <c r="E155" s="677"/>
      <c r="F155" s="677"/>
      <c r="G155" s="677"/>
      <c r="H155" s="677"/>
      <c r="I155" s="677"/>
      <c r="K155" s="677"/>
      <c r="L155" s="677"/>
      <c r="M155" s="677"/>
      <c r="N155" s="677"/>
      <c r="O155" s="677"/>
      <c r="P155" s="677"/>
      <c r="Q155" s="677"/>
      <c r="R155" s="677"/>
      <c r="S155" s="677"/>
      <c r="T155" s="677"/>
      <c r="U155" s="677"/>
      <c r="V155" s="677"/>
      <c r="W155" s="677"/>
    </row>
    <row r="156" spans="1:37" ht="13.5" hidden="1" customHeight="1">
      <c r="A156" s="653" t="str">
        <f>'Budget-合并'!A156</f>
        <v>6603.01</v>
      </c>
      <c r="B156" s="653" t="str">
        <f>'Budget-合并'!B156</f>
        <v>汇兑损益</v>
      </c>
      <c r="C156" s="687" t="str">
        <f>'Budget-合并'!C156</f>
        <v>FX Gain/Loss Net</v>
      </c>
      <c r="D156" s="676">
        <f t="shared" ref="D156:D169" si="86">INDEX($K156:$V156,1,MATCH($D$6,$K$6:$V$6))</f>
        <v>0</v>
      </c>
      <c r="E156" s="676" t="e">
        <f t="shared" ref="E156:E172" si="87">INDEX($Y156:$AJ156,1,MATCH($E$6,$Y$6:$AJ$6))</f>
        <v>#N/A</v>
      </c>
      <c r="F156" s="676" t="e">
        <f t="shared" ref="F156:F172" si="88">D156-E156</f>
        <v>#N/A</v>
      </c>
      <c r="G156" s="676">
        <f t="shared" ref="G156:G169" ca="1" si="89">SUM($K156:OFFSET($K156,0,MATCH(G$6,$K$6:$V$6)-1))</f>
        <v>0</v>
      </c>
      <c r="H156" s="676" t="e">
        <f t="shared" ref="H156:H172" ca="1" si="90">SUM($Y156:OFFSET($Y156,0,MATCH(H$6,$Y$6:$AJ$6)-1))</f>
        <v>#N/A</v>
      </c>
      <c r="I156" s="676" t="e">
        <f t="shared" ref="I156:I172" ca="1" si="91">G156-H156</f>
        <v>#N/A</v>
      </c>
      <c r="K156" s="676">
        <f>SUMIFS('Other Exp'!AG$3:AG$196,'Other Exp'!$B$3:$B$196,$D$1,'Other Exp'!$C$3:$C$196,$A156)</f>
        <v>0</v>
      </c>
      <c r="L156" s="676">
        <f>SUMIFS('Other Exp'!AH$3:AH$196,'Other Exp'!$B$3:$B$196,$D$1,'Other Exp'!$C$3:$C$196,$A156)</f>
        <v>0</v>
      </c>
      <c r="M156" s="676">
        <f>SUMIFS('Other Exp'!AI$3:AI$196,'Other Exp'!$B$3:$B$196,$D$1,'Other Exp'!$C$3:$C$196,$A156)</f>
        <v>0</v>
      </c>
      <c r="N156" s="676">
        <f>SUMIFS('Other Exp'!AJ$3:AJ$196,'Other Exp'!$B$3:$B$196,$D$1,'Other Exp'!$C$3:$C$196,$A156)</f>
        <v>0</v>
      </c>
      <c r="O156" s="676">
        <f>SUMIFS('Other Exp'!AK$3:AK$196,'Other Exp'!$B$3:$B$196,$D$1,'Other Exp'!$C$3:$C$196,$A156)</f>
        <v>0</v>
      </c>
      <c r="P156" s="676">
        <f>SUMIFS('Other Exp'!AL$3:AL$196,'Other Exp'!$B$3:$B$196,$D$1,'Other Exp'!$C$3:$C$196,$A156)</f>
        <v>0</v>
      </c>
      <c r="Q156" s="676">
        <f>SUMIFS('Other Exp'!AM$3:AM$196,'Other Exp'!$B$3:$B$196,$D$1,'Other Exp'!$C$3:$C$196,$A156)</f>
        <v>0</v>
      </c>
      <c r="R156" s="676">
        <f>SUMIFS('Other Exp'!AN$3:AN$196,'Other Exp'!$B$3:$B$196,$D$1,'Other Exp'!$C$3:$C$196,$A156)</f>
        <v>0</v>
      </c>
      <c r="S156" s="676">
        <f>SUMIFS('Other Exp'!AO$3:AO$196,'Other Exp'!$B$3:$B$196,$D$1,'Other Exp'!$C$3:$C$196,$A156)</f>
        <v>0</v>
      </c>
      <c r="T156" s="676">
        <f>SUMIFS('Other Exp'!AP$3:AP$196,'Other Exp'!$B$3:$B$196,$D$1,'Other Exp'!$C$3:$C$196,$A156)</f>
        <v>0</v>
      </c>
      <c r="U156" s="676">
        <f>SUMIFS('Other Exp'!AQ$3:AQ$196,'Other Exp'!$B$3:$B$196,$D$1,'Other Exp'!$C$3:$C$196,$A156)</f>
        <v>0</v>
      </c>
      <c r="V156" s="676">
        <f>SUMIFS('Other Exp'!AR$3:AR$196,'Other Exp'!$B$3:$B$196,$D$1,'Other Exp'!$C$3:$C$196,$A156)</f>
        <v>0</v>
      </c>
      <c r="W156" s="676">
        <f t="shared" ref="W156:W169" si="92">SUM(K156:V156)</f>
        <v>0</v>
      </c>
      <c r="Y156" s="688">
        <f>IFERROR(VLOOKUP($A156,'[94]1月'!$A:$H,8,0),0)</f>
        <v>-448.85</v>
      </c>
      <c r="Z156" s="688">
        <f>IFERROR(VLOOKUP($A156,'[94]2月'!$A:$H,8,0),0)</f>
        <v>320.16000000000003</v>
      </c>
      <c r="AA156" s="688">
        <f>IFERROR(VLOOKUP($A156,'[94]3月'!$A:$H,8,0),0)</f>
        <v>-208.82</v>
      </c>
      <c r="AB156" s="688">
        <f>IFERROR(VLOOKUP($A156,'[94]4月'!$A:$H,8,0),0)</f>
        <v>53.03</v>
      </c>
      <c r="AC156" s="688">
        <f>IFERROR(VLOOKUP($A156,'[94]5月'!$A:$H,8,0),0)</f>
        <v>-654.49</v>
      </c>
      <c r="AD156" s="688">
        <f>IFERROR(VLOOKUP($A156,'[94]6月'!$A:$H,8,0),0)</f>
        <v>-242.05</v>
      </c>
      <c r="AE156" s="688">
        <f>IFERROR(VLOOKUP($A156,'[94]7月'!$A:$H,8,0),0)</f>
        <v>199.23</v>
      </c>
      <c r="AF156" s="688">
        <f>IFERROR(VLOOKUP($A156,'[94]8月'!$A:$H,8,0),0)</f>
        <v>-597.70000000000005</v>
      </c>
      <c r="AG156" s="688">
        <f>IFERROR(VLOOKUP($A156,'[94]9月'!$A:$H,8,0),0)</f>
        <v>-96.82</v>
      </c>
      <c r="AH156" s="688">
        <f>IFERROR(VLOOKUP($A156,'[94]10月'!$A:$H,8,0),0)</f>
        <v>-93.1</v>
      </c>
      <c r="AI156" s="688">
        <f>IFERROR(VLOOKUP($A156,'[94]11月'!$A:$H,8,0),0)</f>
        <v>-283.02999999999997</v>
      </c>
      <c r="AJ156" s="688">
        <f>IFERROR(VLOOKUP($A156,'[94]12月'!$A:$H,8,0),0)</f>
        <v>-773.65</v>
      </c>
      <c r="AK156" s="688">
        <f t="shared" ref="AK156:AK171" si="93">SUM(Y156:AJ156)</f>
        <v>-2826.0899999999997</v>
      </c>
    </row>
    <row r="157" spans="1:37" ht="13.5" hidden="1" customHeight="1">
      <c r="A157" s="663" t="str">
        <f>'Budget-合并'!A157</f>
        <v>6603.02</v>
      </c>
      <c r="B157" s="663" t="str">
        <f>'Budget-合并'!B157</f>
        <v>利息费用</v>
      </c>
      <c r="C157" s="687">
        <f>'Budget-合并'!C157</f>
        <v>0</v>
      </c>
      <c r="D157" s="676">
        <f t="shared" si="86"/>
        <v>0</v>
      </c>
      <c r="E157" s="676" t="e">
        <f t="shared" si="87"/>
        <v>#N/A</v>
      </c>
      <c r="F157" s="676" t="e">
        <f t="shared" si="88"/>
        <v>#N/A</v>
      </c>
      <c r="G157" s="676">
        <f t="shared" ca="1" si="89"/>
        <v>0</v>
      </c>
      <c r="H157" s="676" t="e">
        <f t="shared" ca="1" si="90"/>
        <v>#N/A</v>
      </c>
      <c r="I157" s="676" t="e">
        <f t="shared" ca="1" si="91"/>
        <v>#N/A</v>
      </c>
      <c r="K157" s="676"/>
      <c r="L157" s="676"/>
      <c r="M157" s="676"/>
      <c r="N157" s="676"/>
      <c r="O157" s="676"/>
      <c r="P157" s="676"/>
      <c r="Q157" s="676"/>
      <c r="R157" s="676"/>
      <c r="S157" s="676"/>
      <c r="T157" s="676"/>
      <c r="U157" s="676"/>
      <c r="V157" s="676"/>
      <c r="W157" s="676">
        <f t="shared" si="92"/>
        <v>0</v>
      </c>
      <c r="Y157" s="688">
        <f>IFERROR(VLOOKUP($A157,'[94]1月'!$A:$H,8,0),0)</f>
        <v>4832.9799999999996</v>
      </c>
      <c r="Z157" s="688">
        <f>IFERROR(VLOOKUP($A157,'[94]2月'!$A:$H,8,0),0)</f>
        <v>0</v>
      </c>
      <c r="AA157" s="688">
        <f>IFERROR(VLOOKUP($A157,'[94]3月'!$A:$H,8,0),0)</f>
        <v>0</v>
      </c>
      <c r="AB157" s="688">
        <f>IFERROR(VLOOKUP($A157,'[94]4月'!$A:$H,8,0),0)</f>
        <v>0</v>
      </c>
      <c r="AC157" s="688">
        <f>IFERROR(VLOOKUP($A157,'[94]5月'!$A:$H,8,0),0)</f>
        <v>0</v>
      </c>
      <c r="AD157" s="688">
        <f>IFERROR(VLOOKUP($A157,'[94]6月'!$A:$H,8,0),0)</f>
        <v>0</v>
      </c>
      <c r="AE157" s="688">
        <f>IFERROR(VLOOKUP($A157,'[94]7月'!$A:$H,8,0),0)</f>
        <v>0</v>
      </c>
      <c r="AF157" s="688">
        <f>IFERROR(VLOOKUP($A157,'[94]8月'!$A:$H,8,0),0)</f>
        <v>0</v>
      </c>
      <c r="AG157" s="688">
        <f>IFERROR(VLOOKUP($A157,'[94]9月'!$A:$H,8,0),0)</f>
        <v>0</v>
      </c>
      <c r="AH157" s="688">
        <f>IFERROR(VLOOKUP($A157,'[94]10月'!$A:$H,8,0),0)</f>
        <v>0</v>
      </c>
      <c r="AI157" s="688">
        <f>IFERROR(VLOOKUP($A157,'[94]11月'!$A:$H,8,0),0)</f>
        <v>0</v>
      </c>
      <c r="AJ157" s="688">
        <f>IFERROR(VLOOKUP($A157,'[94]12月'!$A:$H,8,0),0)</f>
        <v>0</v>
      </c>
      <c r="AK157" s="688">
        <f t="shared" si="93"/>
        <v>4832.9799999999996</v>
      </c>
    </row>
    <row r="158" spans="1:37" ht="13.5" hidden="1" customHeight="1">
      <c r="A158" s="653" t="str">
        <f>'Budget-合并'!A158</f>
        <v>6603.02.01</v>
      </c>
      <c r="B158" s="653" t="str">
        <f>'Budget-合并'!B158</f>
        <v>打印机租赁</v>
      </c>
      <c r="C158" s="687">
        <f>'Budget-合并'!C158</f>
        <v>0</v>
      </c>
      <c r="D158" s="676">
        <f t="shared" si="86"/>
        <v>0</v>
      </c>
      <c r="E158" s="676" t="e">
        <f t="shared" si="87"/>
        <v>#N/A</v>
      </c>
      <c r="F158" s="676" t="e">
        <f t="shared" si="88"/>
        <v>#N/A</v>
      </c>
      <c r="G158" s="676">
        <f t="shared" ca="1" si="89"/>
        <v>0</v>
      </c>
      <c r="H158" s="676" t="e">
        <f t="shared" ca="1" si="90"/>
        <v>#N/A</v>
      </c>
      <c r="I158" s="676" t="e">
        <f t="shared" ca="1" si="91"/>
        <v>#N/A</v>
      </c>
      <c r="K158" s="676"/>
      <c r="L158" s="676"/>
      <c r="M158" s="676"/>
      <c r="N158" s="676"/>
      <c r="O158" s="676"/>
      <c r="P158" s="676"/>
      <c r="Q158" s="676"/>
      <c r="R158" s="676"/>
      <c r="S158" s="676"/>
      <c r="T158" s="676"/>
      <c r="U158" s="676"/>
      <c r="V158" s="676"/>
      <c r="W158" s="676">
        <f t="shared" si="92"/>
        <v>0</v>
      </c>
      <c r="Y158" s="688">
        <f>IFERROR(VLOOKUP($A158,'[94]1月'!$A:$H,8,0),0)</f>
        <v>0</v>
      </c>
      <c r="Z158" s="688">
        <f>IFERROR(VLOOKUP($A158,'[94]2月'!$A:$H,8,0),0)</f>
        <v>0</v>
      </c>
      <c r="AA158" s="688">
        <f>IFERROR(VLOOKUP($A158,'[94]3月'!$A:$H,8,0),0)</f>
        <v>0</v>
      </c>
      <c r="AB158" s="688">
        <f>IFERROR(VLOOKUP($A158,'[94]4月'!$A:$H,8,0),0)</f>
        <v>0</v>
      </c>
      <c r="AC158" s="688">
        <f>IFERROR(VLOOKUP($A158,'[94]5月'!$A:$H,8,0),0)</f>
        <v>0</v>
      </c>
      <c r="AD158" s="688">
        <f>IFERROR(VLOOKUP($A158,'[94]6月'!$A:$H,8,0),0)</f>
        <v>0</v>
      </c>
      <c r="AE158" s="688">
        <f>IFERROR(VLOOKUP($A158,'[94]7月'!$A:$H,8,0),0)</f>
        <v>0</v>
      </c>
      <c r="AF158" s="688">
        <f>IFERROR(VLOOKUP($A158,'[94]8月'!$A:$H,8,0),0)</f>
        <v>0</v>
      </c>
      <c r="AG158" s="688">
        <f>IFERROR(VLOOKUP($A158,'[94]9月'!$A:$H,8,0),0)</f>
        <v>0</v>
      </c>
      <c r="AH158" s="688">
        <f>IFERROR(VLOOKUP($A158,'[94]10月'!$A:$H,8,0),0)</f>
        <v>0</v>
      </c>
      <c r="AI158" s="688">
        <f>IFERROR(VLOOKUP($A158,'[94]11月'!$A:$H,8,0),0)</f>
        <v>0</v>
      </c>
      <c r="AJ158" s="688">
        <f>IFERROR(VLOOKUP($A158,'[94]12月'!$A:$H,8,0),0)</f>
        <v>0</v>
      </c>
      <c r="AK158" s="688">
        <f t="shared" si="93"/>
        <v>0</v>
      </c>
    </row>
    <row r="159" spans="1:37" ht="13.5" hidden="1" customHeight="1">
      <c r="A159" s="653" t="str">
        <f>'Budget-合并'!A159</f>
        <v>6603.02.02</v>
      </c>
      <c r="B159" s="653" t="str">
        <f>'Budget-合并'!B159</f>
        <v>办公地址</v>
      </c>
      <c r="C159" s="687">
        <f>'Budget-合并'!C159</f>
        <v>0</v>
      </c>
      <c r="D159" s="676">
        <f t="shared" si="86"/>
        <v>0</v>
      </c>
      <c r="E159" s="676" t="e">
        <f t="shared" si="87"/>
        <v>#N/A</v>
      </c>
      <c r="F159" s="676" t="e">
        <f t="shared" si="88"/>
        <v>#N/A</v>
      </c>
      <c r="G159" s="676">
        <f t="shared" ca="1" si="89"/>
        <v>0</v>
      </c>
      <c r="H159" s="676" t="e">
        <f t="shared" ca="1" si="90"/>
        <v>#N/A</v>
      </c>
      <c r="I159" s="676" t="e">
        <f t="shared" ca="1" si="91"/>
        <v>#N/A</v>
      </c>
      <c r="K159" s="676">
        <f t="shared" ref="K159:V159" si="94">SUM(K160:K161)</f>
        <v>0</v>
      </c>
      <c r="L159" s="676">
        <f t="shared" si="94"/>
        <v>0</v>
      </c>
      <c r="M159" s="676">
        <f t="shared" si="94"/>
        <v>0</v>
      </c>
      <c r="N159" s="676">
        <f t="shared" si="94"/>
        <v>0</v>
      </c>
      <c r="O159" s="676">
        <f t="shared" si="94"/>
        <v>0</v>
      </c>
      <c r="P159" s="676">
        <f t="shared" si="94"/>
        <v>0</v>
      </c>
      <c r="Q159" s="676">
        <f t="shared" si="94"/>
        <v>0</v>
      </c>
      <c r="R159" s="676">
        <f t="shared" si="94"/>
        <v>0</v>
      </c>
      <c r="S159" s="676">
        <f t="shared" si="94"/>
        <v>0</v>
      </c>
      <c r="T159" s="676">
        <f t="shared" si="94"/>
        <v>0</v>
      </c>
      <c r="U159" s="676">
        <f t="shared" si="94"/>
        <v>0</v>
      </c>
      <c r="V159" s="676">
        <f t="shared" si="94"/>
        <v>0</v>
      </c>
      <c r="W159" s="676">
        <f t="shared" si="92"/>
        <v>0</v>
      </c>
      <c r="Y159" s="688">
        <f>IFERROR(VLOOKUP($A159,'[94]1月'!$A:$H,8,0),0)</f>
        <v>4832.9799999999996</v>
      </c>
      <c r="Z159" s="688">
        <f>IFERROR(VLOOKUP($A159,'[94]2月'!$A:$H,8,0),0)</f>
        <v>0</v>
      </c>
      <c r="AA159" s="688">
        <f>IFERROR(VLOOKUP($A159,'[94]3月'!$A:$H,8,0),0)</f>
        <v>0</v>
      </c>
      <c r="AB159" s="688">
        <f>IFERROR(VLOOKUP($A159,'[94]4月'!$A:$H,8,0),0)</f>
        <v>0</v>
      </c>
      <c r="AC159" s="688">
        <f>IFERROR(VLOOKUP($A159,'[94]5月'!$A:$H,8,0),0)</f>
        <v>0</v>
      </c>
      <c r="AD159" s="688">
        <f>IFERROR(VLOOKUP($A159,'[94]6月'!$A:$H,8,0),0)</f>
        <v>0</v>
      </c>
      <c r="AE159" s="688">
        <f>IFERROR(VLOOKUP($A159,'[94]7月'!$A:$H,8,0),0)</f>
        <v>0</v>
      </c>
      <c r="AF159" s="688">
        <f>IFERROR(VLOOKUP($A159,'[94]8月'!$A:$H,8,0),0)</f>
        <v>0</v>
      </c>
      <c r="AG159" s="688">
        <f>IFERROR(VLOOKUP($A159,'[94]9月'!$A:$H,8,0),0)</f>
        <v>0</v>
      </c>
      <c r="AH159" s="688">
        <f>IFERROR(VLOOKUP($A159,'[94]10月'!$A:$H,8,0),0)</f>
        <v>0</v>
      </c>
      <c r="AI159" s="688">
        <f>IFERROR(VLOOKUP($A159,'[94]11月'!$A:$H,8,0),0)</f>
        <v>0</v>
      </c>
      <c r="AJ159" s="688">
        <f>IFERROR(VLOOKUP($A159,'[94]12月'!$A:$H,8,0),0)</f>
        <v>0</v>
      </c>
      <c r="AK159" s="688">
        <f t="shared" si="93"/>
        <v>4832.9799999999996</v>
      </c>
    </row>
    <row r="160" spans="1:37" ht="13.5" hidden="1" customHeight="1">
      <c r="A160" s="653" t="str">
        <f>'Budget-合并'!A160</f>
        <v>6603.02.02.01</v>
      </c>
      <c r="B160" s="653" t="str">
        <f>'Budget-合并'!B160</f>
        <v>旭智咨询--鼎和大厦1606</v>
      </c>
      <c r="C160" s="687">
        <f>'Budget-合并'!C160</f>
        <v>0</v>
      </c>
      <c r="D160" s="676">
        <f t="shared" si="86"/>
        <v>0</v>
      </c>
      <c r="E160" s="676" t="e">
        <f t="shared" si="87"/>
        <v>#N/A</v>
      </c>
      <c r="F160" s="676" t="e">
        <f t="shared" si="88"/>
        <v>#N/A</v>
      </c>
      <c r="G160" s="676">
        <f t="shared" ca="1" si="89"/>
        <v>0</v>
      </c>
      <c r="H160" s="676" t="e">
        <f t="shared" ca="1" si="90"/>
        <v>#N/A</v>
      </c>
      <c r="I160" s="676" t="e">
        <f t="shared" ca="1" si="91"/>
        <v>#N/A</v>
      </c>
      <c r="K160" s="676"/>
      <c r="L160" s="676"/>
      <c r="M160" s="676"/>
      <c r="N160" s="676"/>
      <c r="O160" s="676"/>
      <c r="P160" s="676"/>
      <c r="Q160" s="676"/>
      <c r="R160" s="676"/>
      <c r="S160" s="676"/>
      <c r="T160" s="676"/>
      <c r="U160" s="676"/>
      <c r="V160" s="676"/>
      <c r="W160" s="676">
        <f t="shared" si="92"/>
        <v>0</v>
      </c>
      <c r="Y160" s="688">
        <f>IFERROR(VLOOKUP($A160,'[94]1月'!$A:$H,8,0),0)</f>
        <v>4832.9799999999996</v>
      </c>
      <c r="Z160" s="688">
        <f>IFERROR(VLOOKUP($A160,'[94]2月'!$A:$H,8,0),0)</f>
        <v>0</v>
      </c>
      <c r="AA160" s="688">
        <f>IFERROR(VLOOKUP($A160,'[94]3月'!$A:$H,8,0),0)</f>
        <v>0</v>
      </c>
      <c r="AB160" s="688">
        <f>IFERROR(VLOOKUP($A160,'[94]4月'!$A:$H,8,0),0)</f>
        <v>0</v>
      </c>
      <c r="AC160" s="688">
        <f>IFERROR(VLOOKUP($A160,'[94]5月'!$A:$H,8,0),0)</f>
        <v>0</v>
      </c>
      <c r="AD160" s="688">
        <f>IFERROR(VLOOKUP($A160,'[94]6月'!$A:$H,8,0),0)</f>
        <v>0</v>
      </c>
      <c r="AE160" s="688">
        <f>IFERROR(VLOOKUP($A160,'[94]7月'!$A:$H,8,0),0)</f>
        <v>0</v>
      </c>
      <c r="AF160" s="688">
        <f>IFERROR(VLOOKUP($A160,'[94]8月'!$A:$H,8,0),0)</f>
        <v>0</v>
      </c>
      <c r="AG160" s="688">
        <f>IFERROR(VLOOKUP($A160,'[94]9月'!$A:$H,8,0),0)</f>
        <v>0</v>
      </c>
      <c r="AH160" s="688">
        <f>IFERROR(VLOOKUP($A160,'[94]10月'!$A:$H,8,0),0)</f>
        <v>0</v>
      </c>
      <c r="AI160" s="688">
        <f>IFERROR(VLOOKUP($A160,'[94]11月'!$A:$H,8,0),0)</f>
        <v>0</v>
      </c>
      <c r="AJ160" s="688">
        <f>IFERROR(VLOOKUP($A160,'[94]12月'!$A:$H,8,0),0)</f>
        <v>0</v>
      </c>
      <c r="AK160" s="688">
        <f t="shared" si="93"/>
        <v>4832.9799999999996</v>
      </c>
    </row>
    <row r="161" spans="1:37" ht="13.5" hidden="1" customHeight="1">
      <c r="A161" s="653" t="str">
        <f>'Budget-合并'!A161</f>
        <v>6603.02.02.02</v>
      </c>
      <c r="B161" s="653" t="str">
        <f>'Budget-合并'!B161</f>
        <v>旭智资本（香港）--冯氏大厦</v>
      </c>
      <c r="C161" s="687" t="str">
        <f>'Budget-合并'!C161</f>
        <v>Interest Expense Lease</v>
      </c>
      <c r="D161" s="676">
        <f t="shared" si="86"/>
        <v>0</v>
      </c>
      <c r="E161" s="676" t="e">
        <f t="shared" si="87"/>
        <v>#N/A</v>
      </c>
      <c r="F161" s="676" t="e">
        <f t="shared" si="88"/>
        <v>#N/A</v>
      </c>
      <c r="G161" s="676">
        <f t="shared" ca="1" si="89"/>
        <v>0</v>
      </c>
      <c r="H161" s="676" t="e">
        <f t="shared" ca="1" si="90"/>
        <v>#N/A</v>
      </c>
      <c r="I161" s="676" t="e">
        <f t="shared" ca="1" si="91"/>
        <v>#N/A</v>
      </c>
      <c r="K161" s="676"/>
      <c r="L161" s="676"/>
      <c r="M161" s="676"/>
      <c r="N161" s="676"/>
      <c r="O161" s="676"/>
      <c r="P161" s="676"/>
      <c r="Q161" s="676"/>
      <c r="R161" s="676"/>
      <c r="S161" s="676"/>
      <c r="T161" s="676"/>
      <c r="U161" s="676"/>
      <c r="V161" s="676"/>
      <c r="W161" s="676">
        <f t="shared" si="92"/>
        <v>0</v>
      </c>
      <c r="Y161" s="688">
        <f>IFERROR(VLOOKUP($A161,'[94]1月'!$A:$H,8,0),0)</f>
        <v>0</v>
      </c>
      <c r="Z161" s="688">
        <f>IFERROR(VLOOKUP($A161,'[94]2月'!$A:$H,8,0),0)</f>
        <v>0</v>
      </c>
      <c r="AA161" s="688">
        <f>IFERROR(VLOOKUP($A161,'[94]3月'!$A:$H,8,0),0)</f>
        <v>0</v>
      </c>
      <c r="AB161" s="688">
        <f>IFERROR(VLOOKUP($A161,'[94]4月'!$A:$H,8,0),0)</f>
        <v>0</v>
      </c>
      <c r="AC161" s="688">
        <f>IFERROR(VLOOKUP($A161,'[94]5月'!$A:$H,8,0),0)</f>
        <v>0</v>
      </c>
      <c r="AD161" s="688">
        <f>IFERROR(VLOOKUP($A161,'[94]6月'!$A:$H,8,0),0)</f>
        <v>0</v>
      </c>
      <c r="AE161" s="688">
        <f>IFERROR(VLOOKUP($A161,'[94]7月'!$A:$H,8,0),0)</f>
        <v>0</v>
      </c>
      <c r="AF161" s="688">
        <f>IFERROR(VLOOKUP($A161,'[94]8月'!$A:$H,8,0),0)</f>
        <v>0</v>
      </c>
      <c r="AG161" s="688">
        <f>IFERROR(VLOOKUP($A161,'[94]9月'!$A:$H,8,0),0)</f>
        <v>0</v>
      </c>
      <c r="AH161" s="688">
        <f>IFERROR(VLOOKUP($A161,'[94]10月'!$A:$H,8,0),0)</f>
        <v>0</v>
      </c>
      <c r="AI161" s="688">
        <f>IFERROR(VLOOKUP($A161,'[94]11月'!$A:$H,8,0),0)</f>
        <v>0</v>
      </c>
      <c r="AJ161" s="688">
        <f>IFERROR(VLOOKUP($A161,'[94]12月'!$A:$H,8,0),0)</f>
        <v>0</v>
      </c>
      <c r="AK161" s="688">
        <f t="shared" si="93"/>
        <v>0</v>
      </c>
    </row>
    <row r="162" spans="1:37" ht="13.5" hidden="1" customHeight="1">
      <c r="A162" s="653" t="str">
        <f>'Budget-合并'!A162</f>
        <v>6603.02.03</v>
      </c>
      <c r="B162" s="653" t="str">
        <f>'Budget-合并'!B162</f>
        <v>注册地址</v>
      </c>
      <c r="C162" s="687">
        <f>'Budget-合并'!C162</f>
        <v>0</v>
      </c>
      <c r="D162" s="676">
        <f t="shared" si="86"/>
        <v>0</v>
      </c>
      <c r="E162" s="676" t="e">
        <f t="shared" si="87"/>
        <v>#N/A</v>
      </c>
      <c r="F162" s="676" t="e">
        <f t="shared" si="88"/>
        <v>#N/A</v>
      </c>
      <c r="G162" s="676">
        <f t="shared" ca="1" si="89"/>
        <v>0</v>
      </c>
      <c r="H162" s="676" t="e">
        <f t="shared" ca="1" si="90"/>
        <v>#N/A</v>
      </c>
      <c r="I162" s="676" t="e">
        <f t="shared" ca="1" si="91"/>
        <v>#N/A</v>
      </c>
      <c r="K162" s="676">
        <f t="shared" ref="K162:V162" si="95">SUM(K163:K164)</f>
        <v>0</v>
      </c>
      <c r="L162" s="676">
        <f t="shared" si="95"/>
        <v>0</v>
      </c>
      <c r="M162" s="676">
        <f t="shared" si="95"/>
        <v>0</v>
      </c>
      <c r="N162" s="676">
        <f t="shared" si="95"/>
        <v>0</v>
      </c>
      <c r="O162" s="676">
        <f t="shared" si="95"/>
        <v>0</v>
      </c>
      <c r="P162" s="676">
        <f t="shared" si="95"/>
        <v>0</v>
      </c>
      <c r="Q162" s="676">
        <f t="shared" si="95"/>
        <v>0</v>
      </c>
      <c r="R162" s="676">
        <f t="shared" si="95"/>
        <v>0</v>
      </c>
      <c r="S162" s="676">
        <f t="shared" si="95"/>
        <v>0</v>
      </c>
      <c r="T162" s="676">
        <f t="shared" si="95"/>
        <v>0</v>
      </c>
      <c r="U162" s="676">
        <f t="shared" si="95"/>
        <v>0</v>
      </c>
      <c r="V162" s="676">
        <f t="shared" si="95"/>
        <v>0</v>
      </c>
      <c r="W162" s="676">
        <f t="shared" si="92"/>
        <v>0</v>
      </c>
      <c r="Y162" s="688">
        <f>IFERROR(VLOOKUP($A162,'[94]1月'!$A:$H,8,0),0)</f>
        <v>0</v>
      </c>
      <c r="Z162" s="688">
        <f>IFERROR(VLOOKUP($A162,'[94]2月'!$A:$H,8,0),0)</f>
        <v>0</v>
      </c>
      <c r="AA162" s="688">
        <f>IFERROR(VLOOKUP($A162,'[94]3月'!$A:$H,8,0),0)</f>
        <v>0</v>
      </c>
      <c r="AB162" s="688">
        <f>IFERROR(VLOOKUP($A162,'[94]4月'!$A:$H,8,0),0)</f>
        <v>0</v>
      </c>
      <c r="AC162" s="688">
        <f>IFERROR(VLOOKUP($A162,'[94]5月'!$A:$H,8,0),0)</f>
        <v>0</v>
      </c>
      <c r="AD162" s="688">
        <f>IFERROR(VLOOKUP($A162,'[94]6月'!$A:$H,8,0),0)</f>
        <v>0</v>
      </c>
      <c r="AE162" s="688">
        <f>IFERROR(VLOOKUP($A162,'[94]7月'!$A:$H,8,0),0)</f>
        <v>0</v>
      </c>
      <c r="AF162" s="688">
        <f>IFERROR(VLOOKUP($A162,'[94]8月'!$A:$H,8,0),0)</f>
        <v>0</v>
      </c>
      <c r="AG162" s="688">
        <f>IFERROR(VLOOKUP($A162,'[94]9月'!$A:$H,8,0),0)</f>
        <v>0</v>
      </c>
      <c r="AH162" s="688">
        <f>IFERROR(VLOOKUP($A162,'[94]10月'!$A:$H,8,0),0)</f>
        <v>0</v>
      </c>
      <c r="AI162" s="688">
        <f>IFERROR(VLOOKUP($A162,'[94]11月'!$A:$H,8,0),0)</f>
        <v>0</v>
      </c>
      <c r="AJ162" s="688">
        <f>IFERROR(VLOOKUP($A162,'[94]12月'!$A:$H,8,0),0)</f>
        <v>0</v>
      </c>
      <c r="AK162" s="688">
        <f t="shared" si="93"/>
        <v>0</v>
      </c>
    </row>
    <row r="163" spans="1:37" ht="13.5" hidden="1" customHeight="1">
      <c r="A163" s="653" t="str">
        <f>'Budget-合并'!A163</f>
        <v>6603.02.03.01</v>
      </c>
      <c r="B163" s="653" t="str">
        <f>'Budget-合并'!B163</f>
        <v>旭智私募--前海壹号B座701E</v>
      </c>
      <c r="C163" s="687">
        <f>'Budget-合并'!C163</f>
        <v>0</v>
      </c>
      <c r="D163" s="676">
        <f t="shared" si="86"/>
        <v>0</v>
      </c>
      <c r="E163" s="676" t="e">
        <f t="shared" si="87"/>
        <v>#N/A</v>
      </c>
      <c r="F163" s="676" t="e">
        <f t="shared" si="88"/>
        <v>#N/A</v>
      </c>
      <c r="G163" s="676">
        <f t="shared" ca="1" si="89"/>
        <v>0</v>
      </c>
      <c r="H163" s="676" t="e">
        <f t="shared" ca="1" si="90"/>
        <v>#N/A</v>
      </c>
      <c r="I163" s="676" t="e">
        <f t="shared" ca="1" si="91"/>
        <v>#N/A</v>
      </c>
      <c r="K163" s="676"/>
      <c r="L163" s="676"/>
      <c r="M163" s="676"/>
      <c r="N163" s="676"/>
      <c r="O163" s="676"/>
      <c r="P163" s="676"/>
      <c r="Q163" s="676"/>
      <c r="R163" s="676"/>
      <c r="S163" s="676"/>
      <c r="T163" s="676"/>
      <c r="U163" s="676"/>
      <c r="V163" s="676"/>
      <c r="W163" s="676">
        <f t="shared" si="92"/>
        <v>0</v>
      </c>
      <c r="Y163" s="688">
        <f>IFERROR(VLOOKUP($A163,'[94]1月'!$A:$H,8,0),0)</f>
        <v>0</v>
      </c>
      <c r="Z163" s="688">
        <f>IFERROR(VLOOKUP($A163,'[94]2月'!$A:$H,8,0),0)</f>
        <v>0</v>
      </c>
      <c r="AA163" s="688">
        <f>IFERROR(VLOOKUP($A163,'[94]3月'!$A:$H,8,0),0)</f>
        <v>0</v>
      </c>
      <c r="AB163" s="688">
        <f>IFERROR(VLOOKUP($A163,'[94]4月'!$A:$H,8,0),0)</f>
        <v>0</v>
      </c>
      <c r="AC163" s="688">
        <f>IFERROR(VLOOKUP($A163,'[94]5月'!$A:$H,8,0),0)</f>
        <v>0</v>
      </c>
      <c r="AD163" s="688">
        <f>IFERROR(VLOOKUP($A163,'[94]6月'!$A:$H,8,0),0)</f>
        <v>0</v>
      </c>
      <c r="AE163" s="688">
        <f>IFERROR(VLOOKUP($A163,'[94]7月'!$A:$H,8,0),0)</f>
        <v>0</v>
      </c>
      <c r="AF163" s="688">
        <f>IFERROR(VLOOKUP($A163,'[94]8月'!$A:$H,8,0),0)</f>
        <v>0</v>
      </c>
      <c r="AG163" s="688">
        <f>IFERROR(VLOOKUP($A163,'[94]9月'!$A:$H,8,0),0)</f>
        <v>0</v>
      </c>
      <c r="AH163" s="688">
        <f>IFERROR(VLOOKUP($A163,'[94]10月'!$A:$H,8,0),0)</f>
        <v>0</v>
      </c>
      <c r="AI163" s="688">
        <f>IFERROR(VLOOKUP($A163,'[94]11月'!$A:$H,8,0),0)</f>
        <v>0</v>
      </c>
      <c r="AJ163" s="688">
        <f>IFERROR(VLOOKUP($A163,'[94]12月'!$A:$H,8,0),0)</f>
        <v>0</v>
      </c>
      <c r="AK163" s="688">
        <f t="shared" si="93"/>
        <v>0</v>
      </c>
    </row>
    <row r="164" spans="1:37" ht="13.5" hidden="1" customHeight="1">
      <c r="A164" s="653" t="str">
        <f>'Budget-合并'!A164</f>
        <v>6603.02.03.02</v>
      </c>
      <c r="B164" s="653" t="str">
        <f>'Budget-合并'!B164</f>
        <v>广州旭智--802房F028</v>
      </c>
      <c r="C164" s="687">
        <f>'Budget-合并'!C164</f>
        <v>0</v>
      </c>
      <c r="D164" s="676">
        <f t="shared" si="86"/>
        <v>0</v>
      </c>
      <c r="E164" s="676" t="e">
        <f t="shared" si="87"/>
        <v>#N/A</v>
      </c>
      <c r="F164" s="676" t="e">
        <f t="shared" si="88"/>
        <v>#N/A</v>
      </c>
      <c r="G164" s="676">
        <f t="shared" ca="1" si="89"/>
        <v>0</v>
      </c>
      <c r="H164" s="676" t="e">
        <f t="shared" ca="1" si="90"/>
        <v>#N/A</v>
      </c>
      <c r="I164" s="676" t="e">
        <f t="shared" ca="1" si="91"/>
        <v>#N/A</v>
      </c>
      <c r="K164" s="676"/>
      <c r="L164" s="676"/>
      <c r="M164" s="676"/>
      <c r="N164" s="676"/>
      <c r="O164" s="676"/>
      <c r="P164" s="676"/>
      <c r="Q164" s="676"/>
      <c r="R164" s="676"/>
      <c r="S164" s="676"/>
      <c r="T164" s="676"/>
      <c r="U164" s="676"/>
      <c r="V164" s="676"/>
      <c r="W164" s="676">
        <f t="shared" si="92"/>
        <v>0</v>
      </c>
      <c r="Y164" s="688">
        <f>IFERROR(VLOOKUP($A164,'[94]1月'!$A:$H,8,0),0)</f>
        <v>0</v>
      </c>
      <c r="Z164" s="688">
        <f>IFERROR(VLOOKUP($A164,'[94]2月'!$A:$H,8,0),0)</f>
        <v>0</v>
      </c>
      <c r="AA164" s="688">
        <f>IFERROR(VLOOKUP($A164,'[94]3月'!$A:$H,8,0),0)</f>
        <v>0</v>
      </c>
      <c r="AB164" s="688">
        <f>IFERROR(VLOOKUP($A164,'[94]4月'!$A:$H,8,0),0)</f>
        <v>0</v>
      </c>
      <c r="AC164" s="688">
        <f>IFERROR(VLOOKUP($A164,'[94]5月'!$A:$H,8,0),0)</f>
        <v>0</v>
      </c>
      <c r="AD164" s="688">
        <f>IFERROR(VLOOKUP($A164,'[94]6月'!$A:$H,8,0),0)</f>
        <v>0</v>
      </c>
      <c r="AE164" s="688">
        <f>IFERROR(VLOOKUP($A164,'[94]7月'!$A:$H,8,0),0)</f>
        <v>0</v>
      </c>
      <c r="AF164" s="688">
        <f>IFERROR(VLOOKUP($A164,'[94]8月'!$A:$H,8,0),0)</f>
        <v>0</v>
      </c>
      <c r="AG164" s="688">
        <f>IFERROR(VLOOKUP($A164,'[94]9月'!$A:$H,8,0),0)</f>
        <v>0</v>
      </c>
      <c r="AH164" s="688">
        <f>IFERROR(VLOOKUP($A164,'[94]10月'!$A:$H,8,0),0)</f>
        <v>0</v>
      </c>
      <c r="AI164" s="688">
        <f>IFERROR(VLOOKUP($A164,'[94]11月'!$A:$H,8,0),0)</f>
        <v>0</v>
      </c>
      <c r="AJ164" s="688">
        <f>IFERROR(VLOOKUP($A164,'[94]12月'!$A:$H,8,0),0)</f>
        <v>0</v>
      </c>
      <c r="AK164" s="688">
        <f t="shared" si="93"/>
        <v>0</v>
      </c>
    </row>
    <row r="165" spans="1:37" ht="13.5" customHeight="1">
      <c r="A165" s="653" t="str">
        <f>'Budget-合并'!A165</f>
        <v>6603.03</v>
      </c>
      <c r="B165" s="653" t="str">
        <f>'Budget-合并'!B165</f>
        <v>银行手续费</v>
      </c>
      <c r="C165" s="687" t="str">
        <f>'Budget-合并'!C165</f>
        <v>Bank Charges</v>
      </c>
      <c r="D165" s="676">
        <f t="shared" si="86"/>
        <v>83.333333333333329</v>
      </c>
      <c r="E165" s="676" t="e">
        <f t="shared" si="87"/>
        <v>#N/A</v>
      </c>
      <c r="F165" s="676" t="e">
        <f t="shared" si="88"/>
        <v>#N/A</v>
      </c>
      <c r="G165" s="676">
        <f t="shared" ca="1" si="89"/>
        <v>83.333333333333329</v>
      </c>
      <c r="H165" s="676" t="e">
        <f t="shared" ca="1" si="90"/>
        <v>#N/A</v>
      </c>
      <c r="I165" s="676" t="e">
        <f t="shared" ca="1" si="91"/>
        <v>#N/A</v>
      </c>
      <c r="K165" s="676">
        <f>SUMIFS('Other Exp'!AG$3:AG$196,'Other Exp'!$B$3:$B$196,$D$1,'Other Exp'!$C$3:$C$196,$A165)</f>
        <v>83.333333333333329</v>
      </c>
      <c r="L165" s="676">
        <f>SUMIFS('Other Exp'!AH$3:AH$196,'Other Exp'!$B$3:$B$196,$D$1,'Other Exp'!$C$3:$C$196,$A165)</f>
        <v>83.333333333333329</v>
      </c>
      <c r="M165" s="676">
        <f>SUMIFS('Other Exp'!AI$3:AI$196,'Other Exp'!$B$3:$B$196,$D$1,'Other Exp'!$C$3:$C$196,$A165)</f>
        <v>83.333333333333329</v>
      </c>
      <c r="N165" s="676">
        <f>SUMIFS('Other Exp'!AJ$3:AJ$196,'Other Exp'!$B$3:$B$196,$D$1,'Other Exp'!$C$3:$C$196,$A165)</f>
        <v>83.333333333333329</v>
      </c>
      <c r="O165" s="676">
        <f>SUMIFS('Other Exp'!AK$3:AK$196,'Other Exp'!$B$3:$B$196,$D$1,'Other Exp'!$C$3:$C$196,$A165)</f>
        <v>83.333333333333329</v>
      </c>
      <c r="P165" s="676">
        <f>SUMIFS('Other Exp'!AL$3:AL$196,'Other Exp'!$B$3:$B$196,$D$1,'Other Exp'!$C$3:$C$196,$A165)</f>
        <v>83.333333333333329</v>
      </c>
      <c r="Q165" s="676">
        <f>SUMIFS('Other Exp'!AM$3:AM$196,'Other Exp'!$B$3:$B$196,$D$1,'Other Exp'!$C$3:$C$196,$A165)</f>
        <v>83.333333333333329</v>
      </c>
      <c r="R165" s="676">
        <f>SUMIFS('Other Exp'!AN$3:AN$196,'Other Exp'!$B$3:$B$196,$D$1,'Other Exp'!$C$3:$C$196,$A165)</f>
        <v>83.333333333333329</v>
      </c>
      <c r="S165" s="676">
        <f>SUMIFS('Other Exp'!AO$3:AO$196,'Other Exp'!$B$3:$B$196,$D$1,'Other Exp'!$C$3:$C$196,$A165)</f>
        <v>83.333333333333329</v>
      </c>
      <c r="T165" s="676">
        <f>SUMIFS('Other Exp'!AP$3:AP$196,'Other Exp'!$B$3:$B$196,$D$1,'Other Exp'!$C$3:$C$196,$A165)</f>
        <v>83.333333333333329</v>
      </c>
      <c r="U165" s="676">
        <f>SUMIFS('Other Exp'!AQ$3:AQ$196,'Other Exp'!$B$3:$B$196,$D$1,'Other Exp'!$C$3:$C$196,$A165)</f>
        <v>83.333333333333329</v>
      </c>
      <c r="V165" s="676">
        <f>SUMIFS('Other Exp'!AR$3:AR$196,'Other Exp'!$B$3:$B$196,$D$1,'Other Exp'!$C$3:$C$196,$A165)</f>
        <v>83.333333333333329</v>
      </c>
      <c r="W165" s="676">
        <f t="shared" si="92"/>
        <v>1000.0000000000001</v>
      </c>
      <c r="Y165" s="688">
        <f>IFERROR(VLOOKUP($A165,'[94]1月'!$A:$H,8,0),0)</f>
        <v>182.58</v>
      </c>
      <c r="Z165" s="688">
        <f>IFERROR(VLOOKUP($A165,'[94]2月'!$A:$H,8,0),0)</f>
        <v>90.65</v>
      </c>
      <c r="AA165" s="688">
        <f>IFERROR(VLOOKUP($A165,'[94]3月'!$A:$H,8,0),0)</f>
        <v>-225.36</v>
      </c>
      <c r="AB165" s="688">
        <f>IFERROR(VLOOKUP($A165,'[94]4月'!$A:$H,8,0),0)</f>
        <v>59.4</v>
      </c>
      <c r="AC165" s="688">
        <f>IFERROR(VLOOKUP($A165,'[94]5月'!$A:$H,8,0),0)</f>
        <v>142.63999999999999</v>
      </c>
      <c r="AD165" s="688">
        <f>IFERROR(VLOOKUP($A165,'[94]6月'!$A:$H,8,0),0)</f>
        <v>30.96</v>
      </c>
      <c r="AE165" s="688">
        <f>IFERROR(VLOOKUP($A165,'[94]7月'!$A:$H,8,0),0)</f>
        <v>118.92</v>
      </c>
      <c r="AF165" s="688">
        <f>IFERROR(VLOOKUP($A165,'[94]8月'!$A:$H,8,0),0)</f>
        <v>140.54</v>
      </c>
      <c r="AG165" s="688">
        <f>IFERROR(VLOOKUP($A165,'[94]9月'!$A:$H,8,0),0)</f>
        <v>106.82</v>
      </c>
      <c r="AH165" s="688">
        <f>IFERROR(VLOOKUP($A165,'[94]10月'!$A:$H,8,0),0)</f>
        <v>91.57</v>
      </c>
      <c r="AI165" s="688">
        <f>IFERROR(VLOOKUP($A165,'[94]11月'!$A:$H,8,0),0)</f>
        <v>172.43</v>
      </c>
      <c r="AJ165" s="688">
        <f>IFERROR(VLOOKUP($A165,'[94]12月'!$A:$H,8,0),0)</f>
        <v>99.89</v>
      </c>
      <c r="AK165" s="688">
        <f t="shared" si="93"/>
        <v>1011.0400000000001</v>
      </c>
    </row>
    <row r="166" spans="1:37" ht="13.5" hidden="1" customHeight="1">
      <c r="A166" s="653" t="str">
        <f>'Budget-合并'!A166</f>
        <v>6603.04</v>
      </c>
      <c r="B166" s="653" t="str">
        <f>'Budget-合并'!B166</f>
        <v>利息收入</v>
      </c>
      <c r="C166" s="687" t="str">
        <f>'Budget-合并'!C166</f>
        <v>Bank Interest Income</v>
      </c>
      <c r="D166" s="676">
        <f t="shared" si="86"/>
        <v>0</v>
      </c>
      <c r="E166" s="676" t="e">
        <f t="shared" si="87"/>
        <v>#N/A</v>
      </c>
      <c r="F166" s="676" t="e">
        <f t="shared" si="88"/>
        <v>#N/A</v>
      </c>
      <c r="G166" s="676">
        <f t="shared" ca="1" si="89"/>
        <v>0</v>
      </c>
      <c r="H166" s="676" t="e">
        <f t="shared" ca="1" si="90"/>
        <v>#N/A</v>
      </c>
      <c r="I166" s="676" t="e">
        <f t="shared" ca="1" si="91"/>
        <v>#N/A</v>
      </c>
      <c r="K166" s="676"/>
      <c r="L166" s="676"/>
      <c r="M166" s="676"/>
      <c r="N166" s="676"/>
      <c r="O166" s="676"/>
      <c r="P166" s="676"/>
      <c r="Q166" s="676"/>
      <c r="R166" s="676"/>
      <c r="S166" s="676"/>
      <c r="T166" s="676"/>
      <c r="U166" s="676"/>
      <c r="V166" s="676"/>
      <c r="W166" s="676">
        <f t="shared" si="92"/>
        <v>0</v>
      </c>
      <c r="Y166" s="688">
        <f>IFERROR(VLOOKUP($A166,'[94]1月'!$A:$H,8,0),0)</f>
        <v>0</v>
      </c>
      <c r="Z166" s="688">
        <f>IFERROR(VLOOKUP($A166,'[94]2月'!$A:$H,8,0),0)</f>
        <v>0</v>
      </c>
      <c r="AA166" s="688">
        <f>IFERROR(VLOOKUP($A166,'[94]3月'!$A:$H,8,0),0)</f>
        <v>-3274.17</v>
      </c>
      <c r="AB166" s="688">
        <f>IFERROR(VLOOKUP($A166,'[94]4月'!$A:$H,8,0),0)</f>
        <v>0</v>
      </c>
      <c r="AC166" s="688">
        <f>IFERROR(VLOOKUP($A166,'[94]5月'!$A:$H,8,0),0)</f>
        <v>0</v>
      </c>
      <c r="AD166" s="688">
        <f>IFERROR(VLOOKUP($A166,'[94]6月'!$A:$H,8,0),0)</f>
        <v>-2492.58</v>
      </c>
      <c r="AE166" s="688">
        <f>IFERROR(VLOOKUP($A166,'[94]7月'!$A:$H,8,0),0)</f>
        <v>0</v>
      </c>
      <c r="AF166" s="688">
        <f>IFERROR(VLOOKUP($A166,'[94]8月'!$A:$H,8,0),0)</f>
        <v>0</v>
      </c>
      <c r="AG166" s="688">
        <f>IFERROR(VLOOKUP($A166,'[94]9月'!$A:$H,8,0),0)</f>
        <v>-1249.19</v>
      </c>
      <c r="AH166" s="688">
        <f>IFERROR(VLOOKUP($A166,'[94]10月'!$A:$H,8,0),0)</f>
        <v>0</v>
      </c>
      <c r="AI166" s="688">
        <f>IFERROR(VLOOKUP($A166,'[94]11月'!$A:$H,8,0),0)</f>
        <v>-376.52</v>
      </c>
      <c r="AJ166" s="688">
        <f>IFERROR(VLOOKUP($A166,'[94]12月'!$A:$H,8,0),0)</f>
        <v>-11.27</v>
      </c>
      <c r="AK166" s="688">
        <f t="shared" si="93"/>
        <v>-7403.7300000000014</v>
      </c>
    </row>
    <row r="167" spans="1:37" ht="13.5" hidden="1" customHeight="1">
      <c r="A167" s="663" t="str">
        <f>'Budget-合并'!A167</f>
        <v>6603.05</v>
      </c>
      <c r="B167" s="663" t="str">
        <f>'Budget-合并'!B167</f>
        <v>利息支出</v>
      </c>
      <c r="C167" s="687">
        <f>'Budget-合并'!C167</f>
        <v>0</v>
      </c>
      <c r="D167" s="676">
        <f t="shared" si="86"/>
        <v>0</v>
      </c>
      <c r="E167" s="676" t="e">
        <f t="shared" si="87"/>
        <v>#N/A</v>
      </c>
      <c r="F167" s="676" t="e">
        <f t="shared" si="88"/>
        <v>#N/A</v>
      </c>
      <c r="G167" s="676">
        <f t="shared" ca="1" si="89"/>
        <v>0</v>
      </c>
      <c r="H167" s="676" t="e">
        <f t="shared" ca="1" si="90"/>
        <v>#N/A</v>
      </c>
      <c r="I167" s="676" t="e">
        <f t="shared" ca="1" si="91"/>
        <v>#N/A</v>
      </c>
      <c r="K167" s="676">
        <f>SUM(K168:K170)</f>
        <v>0</v>
      </c>
      <c r="L167" s="676">
        <f t="shared" ref="L167:V167" si="96">SUM(L168:L170)</f>
        <v>0</v>
      </c>
      <c r="M167" s="676">
        <f t="shared" si="96"/>
        <v>0</v>
      </c>
      <c r="N167" s="676">
        <f t="shared" si="96"/>
        <v>0</v>
      </c>
      <c r="O167" s="676">
        <f t="shared" si="96"/>
        <v>0</v>
      </c>
      <c r="P167" s="676">
        <f t="shared" si="96"/>
        <v>0</v>
      </c>
      <c r="Q167" s="676">
        <f t="shared" si="96"/>
        <v>0</v>
      </c>
      <c r="R167" s="676">
        <f t="shared" si="96"/>
        <v>0</v>
      </c>
      <c r="S167" s="676">
        <f t="shared" si="96"/>
        <v>0</v>
      </c>
      <c r="T167" s="676">
        <f t="shared" si="96"/>
        <v>0</v>
      </c>
      <c r="U167" s="676">
        <f t="shared" si="96"/>
        <v>0</v>
      </c>
      <c r="V167" s="676">
        <f t="shared" si="96"/>
        <v>0</v>
      </c>
      <c r="W167" s="676">
        <f t="shared" si="92"/>
        <v>0</v>
      </c>
      <c r="Y167" s="688">
        <f>IFERROR(VLOOKUP($A167,'[94]1月'!$A:$H,8,0),0)</f>
        <v>0</v>
      </c>
      <c r="Z167" s="688">
        <f>IFERROR(VLOOKUP($A167,'[94]2月'!$A:$H,8,0),0)</f>
        <v>0</v>
      </c>
      <c r="AA167" s="688">
        <f>IFERROR(VLOOKUP($A167,'[94]3月'!$A:$H,8,0),0)</f>
        <v>0</v>
      </c>
      <c r="AB167" s="688">
        <f>IFERROR(VLOOKUP($A167,'[94]4月'!$A:$H,8,0),0)</f>
        <v>0</v>
      </c>
      <c r="AC167" s="688">
        <f>IFERROR(VLOOKUP($A167,'[94]5月'!$A:$H,8,0),0)</f>
        <v>0</v>
      </c>
      <c r="AD167" s="688">
        <f>IFERROR(VLOOKUP($A167,'[94]6月'!$A:$H,8,0),0)</f>
        <v>0</v>
      </c>
      <c r="AE167" s="688">
        <f>IFERROR(VLOOKUP($A167,'[94]7月'!$A:$H,8,0),0)</f>
        <v>0</v>
      </c>
      <c r="AF167" s="688">
        <f>IFERROR(VLOOKUP($A167,'[94]8月'!$A:$H,8,0),0)</f>
        <v>0</v>
      </c>
      <c r="AG167" s="688">
        <f>IFERROR(VLOOKUP($A167,'[94]9月'!$A:$H,8,0),0)</f>
        <v>0</v>
      </c>
      <c r="AH167" s="688">
        <f>IFERROR(VLOOKUP($A167,'[94]10月'!$A:$H,8,0),0)</f>
        <v>0</v>
      </c>
      <c r="AI167" s="688">
        <f>IFERROR(VLOOKUP($A167,'[94]11月'!$A:$H,8,0),0)</f>
        <v>0</v>
      </c>
      <c r="AJ167" s="688">
        <f>IFERROR(VLOOKUP($A167,'[94]12月'!$A:$H,8,0),0)</f>
        <v>0</v>
      </c>
      <c r="AK167" s="688">
        <f t="shared" si="93"/>
        <v>0</v>
      </c>
    </row>
    <row r="168" spans="1:37" ht="13.5" hidden="1" customHeight="1">
      <c r="A168" s="653" t="str">
        <f>'Budget-合并'!A168</f>
        <v>6603.05.01</v>
      </c>
      <c r="B168" s="653" t="str">
        <f>'Budget-合并'!B168</f>
        <v>兴业金融租赁有限责任公司</v>
      </c>
      <c r="C168" s="687">
        <f>'Budget-合并'!C168</f>
        <v>0</v>
      </c>
      <c r="D168" s="676">
        <f t="shared" si="86"/>
        <v>0</v>
      </c>
      <c r="E168" s="676" t="e">
        <f t="shared" si="87"/>
        <v>#N/A</v>
      </c>
      <c r="F168" s="676" t="e">
        <f t="shared" si="88"/>
        <v>#N/A</v>
      </c>
      <c r="G168" s="676">
        <f t="shared" ca="1" si="89"/>
        <v>0</v>
      </c>
      <c r="H168" s="676" t="e">
        <f t="shared" ca="1" si="90"/>
        <v>#N/A</v>
      </c>
      <c r="I168" s="676" t="e">
        <f t="shared" ca="1" si="91"/>
        <v>#N/A</v>
      </c>
      <c r="K168" s="676"/>
      <c r="L168" s="676"/>
      <c r="M168" s="676"/>
      <c r="N168" s="676"/>
      <c r="O168" s="676"/>
      <c r="P168" s="676"/>
      <c r="Q168" s="676"/>
      <c r="R168" s="676"/>
      <c r="S168" s="676"/>
      <c r="T168" s="676"/>
      <c r="U168" s="676"/>
      <c r="V168" s="676"/>
      <c r="W168" s="676">
        <f t="shared" si="92"/>
        <v>0</v>
      </c>
      <c r="Y168" s="688">
        <f>IFERROR(VLOOKUP($A168,'[94]1月'!$A:$H,8,0),0)</f>
        <v>0</v>
      </c>
      <c r="Z168" s="688">
        <f>IFERROR(VLOOKUP($A168,'[94]2月'!$A:$H,8,0),0)</f>
        <v>0</v>
      </c>
      <c r="AA168" s="688">
        <f>IFERROR(VLOOKUP($A168,'[94]3月'!$A:$H,8,0),0)</f>
        <v>0</v>
      </c>
      <c r="AB168" s="688">
        <f>IFERROR(VLOOKUP($A168,'[94]4月'!$A:$H,8,0),0)</f>
        <v>0</v>
      </c>
      <c r="AC168" s="688">
        <f>IFERROR(VLOOKUP($A168,'[94]5月'!$A:$H,8,0),0)</f>
        <v>0</v>
      </c>
      <c r="AD168" s="688">
        <f>IFERROR(VLOOKUP($A168,'[94]6月'!$A:$H,8,0),0)</f>
        <v>0</v>
      </c>
      <c r="AE168" s="688">
        <f>IFERROR(VLOOKUP($A168,'[94]7月'!$A:$H,8,0),0)</f>
        <v>0</v>
      </c>
      <c r="AF168" s="688">
        <f>IFERROR(VLOOKUP($A168,'[94]8月'!$A:$H,8,0),0)</f>
        <v>0</v>
      </c>
      <c r="AG168" s="688">
        <f>IFERROR(VLOOKUP($A168,'[94]9月'!$A:$H,8,0),0)</f>
        <v>0</v>
      </c>
      <c r="AH168" s="688">
        <f>IFERROR(VLOOKUP($A168,'[94]10月'!$A:$H,8,0),0)</f>
        <v>0</v>
      </c>
      <c r="AI168" s="688">
        <f>IFERROR(VLOOKUP($A168,'[94]11月'!$A:$H,8,0),0)</f>
        <v>0</v>
      </c>
      <c r="AJ168" s="688">
        <f>IFERROR(VLOOKUP($A168,'[94]12月'!$A:$H,8,0),0)</f>
        <v>0</v>
      </c>
      <c r="AK168" s="688">
        <f t="shared" si="93"/>
        <v>0</v>
      </c>
    </row>
    <row r="169" spans="1:37" ht="13.5" hidden="1" customHeight="1">
      <c r="A169" s="653" t="str">
        <f>'Budget-合并'!A169</f>
        <v>6603.05.02</v>
      </c>
      <c r="B169" s="653" t="str">
        <f>'Budget-合并'!B169</f>
        <v>湖南三一智慧新能源设计有限公司</v>
      </c>
      <c r="C169" s="687">
        <f>'Budget-合并'!C169</f>
        <v>0</v>
      </c>
      <c r="D169" s="676">
        <f t="shared" si="86"/>
        <v>0</v>
      </c>
      <c r="E169" s="676" t="e">
        <f t="shared" si="87"/>
        <v>#N/A</v>
      </c>
      <c r="F169" s="676" t="e">
        <f t="shared" si="88"/>
        <v>#N/A</v>
      </c>
      <c r="G169" s="676">
        <f t="shared" ca="1" si="89"/>
        <v>0</v>
      </c>
      <c r="H169" s="676" t="e">
        <f t="shared" ca="1" si="90"/>
        <v>#N/A</v>
      </c>
      <c r="I169" s="676" t="e">
        <f t="shared" ca="1" si="91"/>
        <v>#N/A</v>
      </c>
      <c r="K169" s="676"/>
      <c r="L169" s="676"/>
      <c r="M169" s="676"/>
      <c r="N169" s="676"/>
      <c r="O169" s="676"/>
      <c r="P169" s="676"/>
      <c r="Q169" s="676"/>
      <c r="R169" s="676"/>
      <c r="S169" s="676"/>
      <c r="T169" s="676"/>
      <c r="U169" s="676"/>
      <c r="V169" s="676"/>
      <c r="W169" s="676">
        <f t="shared" si="92"/>
        <v>0</v>
      </c>
      <c r="Y169" s="688">
        <f>IFERROR(VLOOKUP($A169,'[94]1月'!$A:$H,8,0),0)</f>
        <v>0</v>
      </c>
      <c r="Z169" s="688">
        <f>IFERROR(VLOOKUP($A169,'[94]2月'!$A:$H,8,0),0)</f>
        <v>0</v>
      </c>
      <c r="AA169" s="688">
        <f>IFERROR(VLOOKUP($A169,'[94]3月'!$A:$H,8,0),0)</f>
        <v>0</v>
      </c>
      <c r="AB169" s="688">
        <f>IFERROR(VLOOKUP($A169,'[94]4月'!$A:$H,8,0),0)</f>
        <v>0</v>
      </c>
      <c r="AC169" s="688">
        <f>IFERROR(VLOOKUP($A169,'[94]5月'!$A:$H,8,0),0)</f>
        <v>0</v>
      </c>
      <c r="AD169" s="688">
        <f>IFERROR(VLOOKUP($A169,'[94]6月'!$A:$H,8,0),0)</f>
        <v>0</v>
      </c>
      <c r="AE169" s="688">
        <f>IFERROR(VLOOKUP($A169,'[94]7月'!$A:$H,8,0),0)</f>
        <v>0</v>
      </c>
      <c r="AF169" s="688">
        <f>IFERROR(VLOOKUP($A169,'[94]8月'!$A:$H,8,0),0)</f>
        <v>0</v>
      </c>
      <c r="AG169" s="688">
        <f>IFERROR(VLOOKUP($A169,'[94]9月'!$A:$H,8,0),0)</f>
        <v>0</v>
      </c>
      <c r="AH169" s="688">
        <f>IFERROR(VLOOKUP($A169,'[94]10月'!$A:$H,8,0),0)</f>
        <v>0</v>
      </c>
      <c r="AI169" s="688">
        <f>IFERROR(VLOOKUP($A169,'[94]11月'!$A:$H,8,0),0)</f>
        <v>0</v>
      </c>
      <c r="AJ169" s="688">
        <f>IFERROR(VLOOKUP($A169,'[94]12月'!$A:$H,8,0),0)</f>
        <v>0</v>
      </c>
      <c r="AK169" s="688">
        <f t="shared" si="93"/>
        <v>0</v>
      </c>
    </row>
    <row r="170" spans="1:37" ht="13.5" customHeight="1">
      <c r="A170" s="653" t="str">
        <f>'Budget-合并'!A170</f>
        <v>6603.05.03</v>
      </c>
      <c r="B170" s="653" t="str">
        <f>'Budget-合并'!B170</f>
        <v>和谐天明投资管理(北京)有限公司</v>
      </c>
      <c r="C170" s="687"/>
      <c r="D170" s="676"/>
      <c r="E170" s="676" t="e">
        <f t="shared" si="87"/>
        <v>#N/A</v>
      </c>
      <c r="F170" s="676" t="e">
        <f t="shared" si="88"/>
        <v>#N/A</v>
      </c>
      <c r="G170" s="676"/>
      <c r="H170" s="676" t="e">
        <f t="shared" ca="1" si="90"/>
        <v>#N/A</v>
      </c>
      <c r="I170" s="676" t="e">
        <f t="shared" ca="1" si="91"/>
        <v>#N/A</v>
      </c>
      <c r="K170" s="676"/>
      <c r="L170" s="676"/>
      <c r="M170" s="676"/>
      <c r="N170" s="676"/>
      <c r="O170" s="676"/>
      <c r="P170" s="676"/>
      <c r="Q170" s="676"/>
      <c r="R170" s="676"/>
      <c r="S170" s="676"/>
      <c r="T170" s="676"/>
      <c r="U170" s="676"/>
      <c r="V170" s="676"/>
      <c r="W170" s="676"/>
      <c r="Y170" s="688">
        <f>IFERROR(VLOOKUP($A170,'[94]1月'!$A:$H,8,0),0)</f>
        <v>0</v>
      </c>
      <c r="Z170" s="688">
        <f>IFERROR(VLOOKUP($A170,'[94]2月'!$A:$H,8,0),0)</f>
        <v>0</v>
      </c>
      <c r="AA170" s="688">
        <f>IFERROR(VLOOKUP($A170,'[94]3月'!$A:$H,8,0),0)</f>
        <v>0</v>
      </c>
      <c r="AB170" s="688">
        <f>IFERROR(VLOOKUP($A170,'[94]4月'!$A:$H,8,0),0)</f>
        <v>0</v>
      </c>
      <c r="AC170" s="688">
        <f>IFERROR(VLOOKUP($A170,'[94]5月'!$A:$H,8,0),0)</f>
        <v>0</v>
      </c>
      <c r="AD170" s="688">
        <f>IFERROR(VLOOKUP($A170,'[94]6月'!$A:$H,8,0),0)</f>
        <v>0</v>
      </c>
      <c r="AE170" s="688">
        <f>IFERROR(VLOOKUP($A170,'[94]7月'!$A:$H,8,0),0)</f>
        <v>0</v>
      </c>
      <c r="AF170" s="688">
        <f>IFERROR(VLOOKUP($A170,'[94]8月'!$A:$H,8,0),0)</f>
        <v>0</v>
      </c>
      <c r="AG170" s="688">
        <f>IFERROR(VLOOKUP($A170,'[94]9月'!$A:$H,8,0),0)</f>
        <v>0</v>
      </c>
      <c r="AH170" s="688">
        <f>IFERROR(VLOOKUP($A170,'[94]10月'!$A:$H,8,0),0)</f>
        <v>0</v>
      </c>
      <c r="AI170" s="688">
        <f>IFERROR(VLOOKUP($A170,'[94]11月'!$A:$H,8,0),0)</f>
        <v>0</v>
      </c>
      <c r="AJ170" s="688">
        <f>IFERROR(VLOOKUP($A170,'[94]12月'!$A:$H,8,0),0)</f>
        <v>0</v>
      </c>
      <c r="AK170" s="688">
        <f t="shared" si="93"/>
        <v>0</v>
      </c>
    </row>
    <row r="171" spans="1:37" ht="13.5" hidden="1" customHeight="1">
      <c r="A171" s="653" t="str">
        <f>'Budget-合并'!A171</f>
        <v>6603.99</v>
      </c>
      <c r="B171" s="653" t="str">
        <f>'Budget-合并'!B171</f>
        <v>其他</v>
      </c>
      <c r="C171" s="687">
        <f>'Budget-合并'!C171</f>
        <v>0</v>
      </c>
      <c r="D171" s="676">
        <f>INDEX($K171:$V171,1,MATCH($D$6,$K$6:$V$6))</f>
        <v>0</v>
      </c>
      <c r="E171" s="676" t="e">
        <f t="shared" si="87"/>
        <v>#N/A</v>
      </c>
      <c r="F171" s="676" t="e">
        <f t="shared" si="88"/>
        <v>#N/A</v>
      </c>
      <c r="G171" s="676">
        <f ca="1">SUM($K171:OFFSET($K171,0,MATCH(G$6,$K$6:$V$6)-1))</f>
        <v>0</v>
      </c>
      <c r="H171" s="676" t="e">
        <f t="shared" ca="1" si="90"/>
        <v>#N/A</v>
      </c>
      <c r="I171" s="676" t="e">
        <f t="shared" ca="1" si="91"/>
        <v>#N/A</v>
      </c>
      <c r="K171" s="676">
        <f t="shared" ref="K171:V171" si="97">SUM(K161:K164,K168,K169)</f>
        <v>0</v>
      </c>
      <c r="L171" s="676">
        <f t="shared" si="97"/>
        <v>0</v>
      </c>
      <c r="M171" s="676">
        <f t="shared" si="97"/>
        <v>0</v>
      </c>
      <c r="N171" s="676">
        <f t="shared" si="97"/>
        <v>0</v>
      </c>
      <c r="O171" s="676">
        <f t="shared" si="97"/>
        <v>0</v>
      </c>
      <c r="P171" s="676">
        <f t="shared" si="97"/>
        <v>0</v>
      </c>
      <c r="Q171" s="676">
        <f t="shared" si="97"/>
        <v>0</v>
      </c>
      <c r="R171" s="676">
        <f t="shared" si="97"/>
        <v>0</v>
      </c>
      <c r="S171" s="676">
        <f t="shared" si="97"/>
        <v>0</v>
      </c>
      <c r="T171" s="676">
        <f t="shared" si="97"/>
        <v>0</v>
      </c>
      <c r="U171" s="676">
        <f t="shared" si="97"/>
        <v>0</v>
      </c>
      <c r="V171" s="676">
        <f t="shared" si="97"/>
        <v>0</v>
      </c>
      <c r="W171" s="676">
        <f>SUM(K171:V171)</f>
        <v>0</v>
      </c>
      <c r="Y171" s="688">
        <f>IFERROR(VLOOKUP($A171,'[94]1月'!$A:$H,8,0),0)</f>
        <v>0</v>
      </c>
      <c r="Z171" s="688">
        <f>IFERROR(VLOOKUP($A171,'[94]2月'!$A:$H,8,0),0)</f>
        <v>0</v>
      </c>
      <c r="AA171" s="688">
        <f>IFERROR(VLOOKUP($A171,'[94]3月'!$A:$H,8,0),0)</f>
        <v>0</v>
      </c>
      <c r="AB171" s="688">
        <f>IFERROR(VLOOKUP($A171,'[94]4月'!$A:$H,8,0),0)</f>
        <v>0</v>
      </c>
      <c r="AC171" s="688">
        <f>IFERROR(VLOOKUP($A171,'[94]5月'!$A:$H,8,0),0)</f>
        <v>0</v>
      </c>
      <c r="AD171" s="688">
        <f>IFERROR(VLOOKUP($A171,'[94]6月'!$A:$H,8,0),0)</f>
        <v>0</v>
      </c>
      <c r="AE171" s="688">
        <f>IFERROR(VLOOKUP($A171,'[94]7月'!$A:$H,8,0),0)</f>
        <v>0</v>
      </c>
      <c r="AF171" s="688">
        <f>IFERROR(VLOOKUP($A171,'[94]8月'!$A:$H,8,0),0)</f>
        <v>0</v>
      </c>
      <c r="AG171" s="688">
        <f>IFERROR(VLOOKUP($A171,'[94]9月'!$A:$H,8,0),0)</f>
        <v>0</v>
      </c>
      <c r="AH171" s="688">
        <f>IFERROR(VLOOKUP($A171,'[94]10月'!$A:$H,8,0),0)</f>
        <v>0</v>
      </c>
      <c r="AI171" s="688">
        <f>IFERROR(VLOOKUP($A171,'[94]11月'!$A:$H,8,0),0)</f>
        <v>0</v>
      </c>
      <c r="AJ171" s="688">
        <f>IFERROR(VLOOKUP($A171,'[94]12月'!$A:$H,8,0),0)</f>
        <v>0</v>
      </c>
      <c r="AK171" s="688">
        <f t="shared" si="93"/>
        <v>0</v>
      </c>
    </row>
    <row r="172" spans="1:37" ht="13.5" customHeight="1">
      <c r="A172" s="686">
        <f>'Budget-合并'!A172</f>
        <v>0</v>
      </c>
      <c r="B172" s="686" t="str">
        <f>'Budget-合并'!B172</f>
        <v>财务费用合计</v>
      </c>
      <c r="C172" s="687">
        <f>'Budget-合并'!C172</f>
        <v>0</v>
      </c>
      <c r="D172" s="677">
        <f>INDEX($K172:$V172,1,MATCH($D$6,$K$6:$V$6))</f>
        <v>83.333333333333329</v>
      </c>
      <c r="E172" s="677" t="e">
        <f t="shared" si="87"/>
        <v>#N/A</v>
      </c>
      <c r="F172" s="677" t="e">
        <f t="shared" si="88"/>
        <v>#N/A</v>
      </c>
      <c r="G172" s="677">
        <f ca="1">SUM($K172:OFFSET($K172,0,MATCH(G$6,$K$6:$V$6)-1))</f>
        <v>83.333333333333329</v>
      </c>
      <c r="H172" s="677" t="e">
        <f t="shared" ca="1" si="90"/>
        <v>#N/A</v>
      </c>
      <c r="I172" s="677" t="e">
        <f t="shared" ca="1" si="91"/>
        <v>#N/A</v>
      </c>
      <c r="K172" s="677">
        <f t="shared" ref="K172:W172" si="98">SUM(K156,K157,K165:K167,K171)</f>
        <v>83.333333333333329</v>
      </c>
      <c r="L172" s="677">
        <f t="shared" si="98"/>
        <v>83.333333333333329</v>
      </c>
      <c r="M172" s="677">
        <f t="shared" si="98"/>
        <v>83.333333333333329</v>
      </c>
      <c r="N172" s="677">
        <f t="shared" si="98"/>
        <v>83.333333333333329</v>
      </c>
      <c r="O172" s="677">
        <f t="shared" si="98"/>
        <v>83.333333333333329</v>
      </c>
      <c r="P172" s="677">
        <f t="shared" si="98"/>
        <v>83.333333333333329</v>
      </c>
      <c r="Q172" s="677">
        <f t="shared" si="98"/>
        <v>83.333333333333329</v>
      </c>
      <c r="R172" s="677">
        <f t="shared" si="98"/>
        <v>83.333333333333329</v>
      </c>
      <c r="S172" s="677">
        <f t="shared" si="98"/>
        <v>83.333333333333329</v>
      </c>
      <c r="T172" s="677">
        <f t="shared" si="98"/>
        <v>83.333333333333329</v>
      </c>
      <c r="U172" s="677">
        <f t="shared" si="98"/>
        <v>83.333333333333329</v>
      </c>
      <c r="V172" s="677">
        <f t="shared" si="98"/>
        <v>83.333333333333329</v>
      </c>
      <c r="W172" s="677">
        <f t="shared" si="98"/>
        <v>1000.0000000000001</v>
      </c>
      <c r="Y172" s="677">
        <f t="shared" ref="Y172:AK172" si="99">SUM(Y156,Y157,Y165:Y167,Y171)</f>
        <v>4566.7099999999991</v>
      </c>
      <c r="Z172" s="677">
        <f t="shared" si="99"/>
        <v>410.81000000000006</v>
      </c>
      <c r="AA172" s="677">
        <f t="shared" si="99"/>
        <v>-3708.35</v>
      </c>
      <c r="AB172" s="677">
        <f t="shared" si="99"/>
        <v>112.43</v>
      </c>
      <c r="AC172" s="677">
        <f t="shared" si="99"/>
        <v>-511.85</v>
      </c>
      <c r="AD172" s="677">
        <f t="shared" si="99"/>
        <v>-2703.67</v>
      </c>
      <c r="AE172" s="677">
        <f t="shared" si="99"/>
        <v>318.14999999999998</v>
      </c>
      <c r="AF172" s="677">
        <f t="shared" si="99"/>
        <v>-457.16000000000008</v>
      </c>
      <c r="AG172" s="677">
        <f t="shared" si="99"/>
        <v>-1239.19</v>
      </c>
      <c r="AH172" s="677">
        <f t="shared" si="99"/>
        <v>-1.5300000000000011</v>
      </c>
      <c r="AI172" s="677">
        <f t="shared" si="99"/>
        <v>-487.11999999999995</v>
      </c>
      <c r="AJ172" s="677">
        <f t="shared" si="99"/>
        <v>-685.03</v>
      </c>
      <c r="AK172" s="677">
        <f t="shared" si="99"/>
        <v>-4385.8000000000011</v>
      </c>
    </row>
    <row r="173" spans="1:37" ht="13.5" customHeight="1">
      <c r="A173" s="653">
        <f>'Budget-合并'!A173</f>
        <v>0</v>
      </c>
      <c r="B173" s="653">
        <f>'Budget-合并'!B173</f>
        <v>0</v>
      </c>
      <c r="C173" s="687">
        <f>'Budget-合并'!C173</f>
        <v>0</v>
      </c>
    </row>
    <row r="174" spans="1:37" ht="13.5" hidden="1" customHeight="1">
      <c r="A174" s="653" t="str">
        <f>'Budget-合并'!A174</f>
        <v>6051</v>
      </c>
      <c r="B174" s="653" t="str">
        <f>'Budget-合并'!B174</f>
        <v>其他业务收入</v>
      </c>
      <c r="C174" s="687">
        <f>'Budget-合并'!C174</f>
        <v>0</v>
      </c>
      <c r="D174" s="676">
        <f t="shared" ref="D174:D183" si="100">INDEX($K174:$V174,1,MATCH($D$6,$K$6:$V$6))</f>
        <v>0</v>
      </c>
      <c r="E174" s="676" t="e">
        <f t="shared" ref="E174:E183" si="101">INDEX($Y174:$AJ174,1,MATCH($E$6,$Y$6:$AJ$6))</f>
        <v>#N/A</v>
      </c>
      <c r="F174" s="676" t="e">
        <f t="shared" ref="F174:F183" si="102">D174-E174</f>
        <v>#N/A</v>
      </c>
      <c r="G174" s="676">
        <f t="shared" ref="G174:G183" ca="1" si="103">SUM($K174:OFFSET($K174,0,MATCH(G$6,$K$6:$V$6)-1))</f>
        <v>0</v>
      </c>
      <c r="H174" s="676" t="e">
        <f t="shared" ref="H174:H183" ca="1" si="104">SUM($Y174:OFFSET($Y174,0,MATCH(H$6,$Y$6:$AJ$6)-1))</f>
        <v>#N/A</v>
      </c>
      <c r="I174" s="676" t="e">
        <f t="shared" ref="I174:I183" ca="1" si="105">G174-H174</f>
        <v>#N/A</v>
      </c>
      <c r="K174" s="676"/>
      <c r="L174" s="676"/>
      <c r="M174" s="676"/>
      <c r="N174" s="676"/>
      <c r="O174" s="676"/>
      <c r="P174" s="676"/>
      <c r="Q174" s="676"/>
      <c r="R174" s="676"/>
      <c r="S174" s="676"/>
      <c r="T174" s="676"/>
      <c r="U174" s="676"/>
      <c r="V174" s="676"/>
      <c r="W174" s="676">
        <f t="shared" ref="W174:W182" si="106">SUM(K174:V174)</f>
        <v>0</v>
      </c>
      <c r="Y174" s="688">
        <f>IFERROR(VLOOKUP($A174,'[94]1月'!$A:$H,8,0),0)</f>
        <v>0</v>
      </c>
      <c r="Z174" s="688">
        <f>IFERROR(VLOOKUP($A174,'[94]2月'!$A:$H,8,0),0)</f>
        <v>0</v>
      </c>
      <c r="AA174" s="688">
        <f>IFERROR(VLOOKUP($A174,'[94]3月'!$A:$H,8,0),0)</f>
        <v>0</v>
      </c>
      <c r="AB174" s="688">
        <f>IFERROR(VLOOKUP($A174,'[94]4月'!$A:$H,8,0),0)</f>
        <v>0</v>
      </c>
      <c r="AC174" s="688">
        <f>IFERROR(VLOOKUP($A174,'[94]5月'!$A:$H,8,0),0)</f>
        <v>0</v>
      </c>
      <c r="AD174" s="688">
        <f>IFERROR(VLOOKUP($A174,'[94]6月'!$A:$H,8,0),0)</f>
        <v>0</v>
      </c>
      <c r="AE174" s="688">
        <f>IFERROR(VLOOKUP($A174,'[94]7月'!$A:$H,8,0),0)</f>
        <v>0</v>
      </c>
      <c r="AF174" s="688">
        <f>IFERROR(VLOOKUP($A174,'[94]8月'!$A:$H,8,0),0)</f>
        <v>0</v>
      </c>
      <c r="AG174" s="688">
        <f>IFERROR(VLOOKUP($A174,'[94]9月'!$A:$H,8,0),0)</f>
        <v>0</v>
      </c>
      <c r="AH174" s="688">
        <f>IFERROR(VLOOKUP($A174,'[94]10月'!$A:$H,8,0),0)</f>
        <v>0</v>
      </c>
      <c r="AI174" s="688">
        <f>IFERROR(VLOOKUP($A174,'[94]11月'!$A:$H,8,0),0)</f>
        <v>0</v>
      </c>
      <c r="AJ174" s="688">
        <f>IFERROR(VLOOKUP($A174,'[94]12月'!$A:$H,8,0),0)</f>
        <v>0</v>
      </c>
      <c r="AK174" s="688">
        <f t="shared" ref="AK174:AK182" si="107">SUM(Y174:AJ174)</f>
        <v>0</v>
      </c>
    </row>
    <row r="175" spans="1:37" ht="13.5" hidden="1" customHeight="1">
      <c r="A175" s="653" t="str">
        <f>'Budget-合并'!A175</f>
        <v>6101</v>
      </c>
      <c r="B175" s="653" t="str">
        <f>'Budget-合并'!B175</f>
        <v>公允价值变动损益</v>
      </c>
      <c r="C175" s="687">
        <f>'Budget-合并'!C175</f>
        <v>0</v>
      </c>
      <c r="D175" s="676">
        <f t="shared" si="100"/>
        <v>0</v>
      </c>
      <c r="E175" s="676" t="e">
        <f t="shared" si="101"/>
        <v>#N/A</v>
      </c>
      <c r="F175" s="676" t="e">
        <f t="shared" si="102"/>
        <v>#N/A</v>
      </c>
      <c r="G175" s="676">
        <f t="shared" ca="1" si="103"/>
        <v>0</v>
      </c>
      <c r="H175" s="676" t="e">
        <f t="shared" ca="1" si="104"/>
        <v>#N/A</v>
      </c>
      <c r="I175" s="676" t="e">
        <f t="shared" ca="1" si="105"/>
        <v>#N/A</v>
      </c>
      <c r="K175" s="676"/>
      <c r="L175" s="676"/>
      <c r="M175" s="676"/>
      <c r="N175" s="676"/>
      <c r="O175" s="676"/>
      <c r="P175" s="676"/>
      <c r="Q175" s="676"/>
      <c r="R175" s="676"/>
      <c r="S175" s="676"/>
      <c r="T175" s="676"/>
      <c r="U175" s="676"/>
      <c r="V175" s="676"/>
      <c r="W175" s="676">
        <f t="shared" si="106"/>
        <v>0</v>
      </c>
      <c r="Y175" s="688">
        <f>IFERROR(VLOOKUP($A175,'[94]1月'!$A:$H,8,0),0)</f>
        <v>0</v>
      </c>
      <c r="Z175" s="688">
        <f>IFERROR(VLOOKUP($A175,'[94]2月'!$A:$H,8,0),0)</f>
        <v>0</v>
      </c>
      <c r="AA175" s="688">
        <f>IFERROR(VLOOKUP($A175,'[94]3月'!$A:$H,8,0),0)</f>
        <v>0</v>
      </c>
      <c r="AB175" s="688">
        <f>IFERROR(VLOOKUP($A175,'[94]4月'!$A:$H,8,0),0)</f>
        <v>0</v>
      </c>
      <c r="AC175" s="688">
        <f>IFERROR(VLOOKUP($A175,'[94]5月'!$A:$H,8,0),0)</f>
        <v>0</v>
      </c>
      <c r="AD175" s="688">
        <f>IFERROR(VLOOKUP($A175,'[94]6月'!$A:$H,8,0),0)</f>
        <v>0</v>
      </c>
      <c r="AE175" s="688">
        <f>IFERROR(VLOOKUP($A175,'[94]7月'!$A:$H,8,0),0)</f>
        <v>0</v>
      </c>
      <c r="AF175" s="688">
        <f>IFERROR(VLOOKUP($A175,'[94]8月'!$A:$H,8,0),0)</f>
        <v>0</v>
      </c>
      <c r="AG175" s="688">
        <f>IFERROR(VLOOKUP($A175,'[94]9月'!$A:$H,8,0),0)</f>
        <v>0</v>
      </c>
      <c r="AH175" s="688">
        <f>IFERROR(VLOOKUP($A175,'[94]10月'!$A:$H,8,0),0)</f>
        <v>0</v>
      </c>
      <c r="AI175" s="688">
        <f>IFERROR(VLOOKUP($A175,'[94]11月'!$A:$H,8,0),0)</f>
        <v>0</v>
      </c>
      <c r="AJ175" s="688">
        <f>IFERROR(VLOOKUP($A175,'[94]12月'!$A:$H,8,0),0)</f>
        <v>0</v>
      </c>
      <c r="AK175" s="688">
        <f t="shared" si="107"/>
        <v>0</v>
      </c>
    </row>
    <row r="176" spans="1:37" ht="13.5" hidden="1" customHeight="1">
      <c r="A176" s="653" t="str">
        <f>'Budget-合并'!A176</f>
        <v>6111</v>
      </c>
      <c r="B176" s="653" t="str">
        <f>'Budget-合并'!B176</f>
        <v>投资收益</v>
      </c>
      <c r="C176" s="687" t="str">
        <f>'Budget-合并'!C176</f>
        <v>Gain on investment</v>
      </c>
      <c r="D176" s="676">
        <f t="shared" si="100"/>
        <v>0</v>
      </c>
      <c r="E176" s="676" t="e">
        <f t="shared" si="101"/>
        <v>#N/A</v>
      </c>
      <c r="F176" s="676" t="e">
        <f t="shared" si="102"/>
        <v>#N/A</v>
      </c>
      <c r="G176" s="676">
        <f t="shared" ca="1" si="103"/>
        <v>0</v>
      </c>
      <c r="H176" s="676" t="e">
        <f t="shared" ca="1" si="104"/>
        <v>#N/A</v>
      </c>
      <c r="I176" s="676" t="e">
        <f t="shared" ca="1" si="105"/>
        <v>#N/A</v>
      </c>
      <c r="K176" s="676"/>
      <c r="L176" s="676"/>
      <c r="M176" s="676"/>
      <c r="N176" s="676"/>
      <c r="O176" s="676"/>
      <c r="P176" s="676"/>
      <c r="Q176" s="676"/>
      <c r="R176" s="676"/>
      <c r="S176" s="676"/>
      <c r="T176" s="676"/>
      <c r="U176" s="676"/>
      <c r="V176" s="676"/>
      <c r="W176" s="676">
        <f t="shared" si="106"/>
        <v>0</v>
      </c>
      <c r="Y176" s="688">
        <f>IFERROR(VLOOKUP($A176,'[94]1月'!$A:$H,8,0),0)</f>
        <v>0</v>
      </c>
      <c r="Z176" s="688">
        <f>IFERROR(VLOOKUP($A176,'[94]2月'!$A:$H,8,0),0)</f>
        <v>0</v>
      </c>
      <c r="AA176" s="688">
        <f>IFERROR(VLOOKUP($A176,'[94]3月'!$A:$H,8,0),0)</f>
        <v>0</v>
      </c>
      <c r="AB176" s="688">
        <f>IFERROR(VLOOKUP($A176,'[94]4月'!$A:$H,8,0),0)</f>
        <v>0</v>
      </c>
      <c r="AC176" s="688">
        <f>IFERROR(VLOOKUP($A176,'[94]5月'!$A:$H,8,0),0)</f>
        <v>0</v>
      </c>
      <c r="AD176" s="688">
        <f>IFERROR(VLOOKUP($A176,'[94]6月'!$A:$H,8,0),0)</f>
        <v>0</v>
      </c>
      <c r="AE176" s="688">
        <f>IFERROR(VLOOKUP($A176,'[94]7月'!$A:$H,8,0),0)</f>
        <v>0</v>
      </c>
      <c r="AF176" s="688">
        <f>IFERROR(VLOOKUP($A176,'[94]8月'!$A:$H,8,0),0)</f>
        <v>0</v>
      </c>
      <c r="AG176" s="688">
        <f>IFERROR(VLOOKUP($A176,'[94]9月'!$A:$H,8,0),0)</f>
        <v>0</v>
      </c>
      <c r="AH176" s="688">
        <f>IFERROR(VLOOKUP($A176,'[94]10月'!$A:$H,8,0),0)</f>
        <v>0</v>
      </c>
      <c r="AI176" s="688">
        <f>IFERROR(VLOOKUP($A176,'[94]11月'!$A:$H,8,0),0)</f>
        <v>0</v>
      </c>
      <c r="AJ176" s="688">
        <f>IFERROR(VLOOKUP($A176,'[94]12月'!$A:$H,8,0),0)</f>
        <v>0</v>
      </c>
      <c r="AK176" s="688">
        <f t="shared" si="107"/>
        <v>0</v>
      </c>
    </row>
    <row r="177" spans="1:37" ht="13.5" customHeight="1">
      <c r="A177" s="663" t="str">
        <f>'Budget-合并'!A177</f>
        <v>6115</v>
      </c>
      <c r="B177" s="663" t="str">
        <f>'Budget-合并'!B177</f>
        <v>其他收益</v>
      </c>
      <c r="C177" s="687" t="str">
        <f>'Budget-合并'!C177</f>
        <v>Other income</v>
      </c>
      <c r="D177" s="676">
        <f t="shared" si="100"/>
        <v>0</v>
      </c>
      <c r="E177" s="676" t="e">
        <f t="shared" si="101"/>
        <v>#N/A</v>
      </c>
      <c r="F177" s="676" t="e">
        <f t="shared" si="102"/>
        <v>#N/A</v>
      </c>
      <c r="G177" s="676">
        <f t="shared" ca="1" si="103"/>
        <v>0</v>
      </c>
      <c r="H177" s="676" t="e">
        <f t="shared" ca="1" si="104"/>
        <v>#N/A</v>
      </c>
      <c r="I177" s="676" t="e">
        <f t="shared" ca="1" si="105"/>
        <v>#N/A</v>
      </c>
      <c r="K177" s="676">
        <f t="shared" ref="K177:V177" si="108">SUM(K178:K180)</f>
        <v>0</v>
      </c>
      <c r="L177" s="676">
        <f t="shared" si="108"/>
        <v>0</v>
      </c>
      <c r="M177" s="676">
        <f t="shared" si="108"/>
        <v>6860</v>
      </c>
      <c r="N177" s="676">
        <f t="shared" si="108"/>
        <v>0</v>
      </c>
      <c r="O177" s="676">
        <f t="shared" si="108"/>
        <v>0</v>
      </c>
      <c r="P177" s="676">
        <f t="shared" si="108"/>
        <v>0</v>
      </c>
      <c r="Q177" s="676">
        <f t="shared" si="108"/>
        <v>0</v>
      </c>
      <c r="R177" s="676">
        <f t="shared" si="108"/>
        <v>0</v>
      </c>
      <c r="S177" s="676">
        <f t="shared" si="108"/>
        <v>0</v>
      </c>
      <c r="T177" s="676">
        <f t="shared" si="108"/>
        <v>0</v>
      </c>
      <c r="U177" s="676">
        <f t="shared" si="108"/>
        <v>0</v>
      </c>
      <c r="V177" s="676">
        <f t="shared" si="108"/>
        <v>0</v>
      </c>
      <c r="W177" s="676">
        <f t="shared" si="106"/>
        <v>6860</v>
      </c>
      <c r="Y177" s="688">
        <f>IFERROR(VLOOKUP($A177,'[94]1月'!$A:$H,8,0),0)</f>
        <v>0</v>
      </c>
      <c r="Z177" s="688">
        <f>IFERROR(VLOOKUP($A177,'[94]2月'!$A:$H,8,0),0)</f>
        <v>3346.32</v>
      </c>
      <c r="AA177" s="688">
        <f>IFERROR(VLOOKUP($A177,'[94]3月'!$A:$H,8,0),0)</f>
        <v>0</v>
      </c>
      <c r="AB177" s="688">
        <f>IFERROR(VLOOKUP($A177,'[94]4月'!$A:$H,8,0),0)</f>
        <v>0</v>
      </c>
      <c r="AC177" s="688">
        <f>IFERROR(VLOOKUP($A177,'[94]5月'!$A:$H,8,0),0)</f>
        <v>0</v>
      </c>
      <c r="AD177" s="688">
        <f>IFERROR(VLOOKUP($A177,'[94]6月'!$A:$H,8,0),0)</f>
        <v>0</v>
      </c>
      <c r="AE177" s="688">
        <f>IFERROR(VLOOKUP($A177,'[94]7月'!$A:$H,8,0),0)</f>
        <v>0</v>
      </c>
      <c r="AF177" s="688">
        <f>IFERROR(VLOOKUP($A177,'[94]8月'!$A:$H,8,0),0)</f>
        <v>0</v>
      </c>
      <c r="AG177" s="688">
        <f>IFERROR(VLOOKUP($A177,'[94]9月'!$A:$H,8,0),0)</f>
        <v>0</v>
      </c>
      <c r="AH177" s="688">
        <f>IFERROR(VLOOKUP($A177,'[94]10月'!$A:$H,8,0),0)</f>
        <v>0</v>
      </c>
      <c r="AI177" s="688">
        <f>IFERROR(VLOOKUP($A177,'[94]11月'!$A:$H,8,0),0)</f>
        <v>0</v>
      </c>
      <c r="AJ177" s="688">
        <f>IFERROR(VLOOKUP($A177,'[94]12月'!$A:$H,8,0),0)</f>
        <v>0</v>
      </c>
      <c r="AK177" s="688">
        <f t="shared" si="107"/>
        <v>3346.32</v>
      </c>
    </row>
    <row r="178" spans="1:37" ht="13.5" hidden="1" customHeight="1">
      <c r="A178" s="653" t="str">
        <f>'Budget-合并'!A178</f>
        <v>6115.01</v>
      </c>
      <c r="B178" s="653" t="str">
        <f>'Budget-合并'!B178</f>
        <v>政府补助</v>
      </c>
      <c r="C178" s="687">
        <f>'Budget-合并'!C178</f>
        <v>0</v>
      </c>
      <c r="D178" s="676">
        <f t="shared" si="100"/>
        <v>0</v>
      </c>
      <c r="E178" s="676" t="e">
        <f t="shared" si="101"/>
        <v>#N/A</v>
      </c>
      <c r="F178" s="676" t="e">
        <f t="shared" si="102"/>
        <v>#N/A</v>
      </c>
      <c r="G178" s="676">
        <f t="shared" ca="1" si="103"/>
        <v>0</v>
      </c>
      <c r="H178" s="676" t="e">
        <f t="shared" ca="1" si="104"/>
        <v>#N/A</v>
      </c>
      <c r="I178" s="676" t="e">
        <f t="shared" ca="1" si="105"/>
        <v>#N/A</v>
      </c>
      <c r="K178" s="676"/>
      <c r="L178" s="676"/>
      <c r="M178" s="676"/>
      <c r="N178" s="676"/>
      <c r="O178" s="676"/>
      <c r="P178" s="676"/>
      <c r="Q178" s="676"/>
      <c r="R178" s="676"/>
      <c r="S178" s="676"/>
      <c r="T178" s="676"/>
      <c r="U178" s="676"/>
      <c r="V178" s="676"/>
      <c r="W178" s="676">
        <f t="shared" si="106"/>
        <v>0</v>
      </c>
      <c r="Y178" s="688">
        <f>IFERROR(VLOOKUP($A178,'[94]1月'!$A:$H,8,0),0)</f>
        <v>0</v>
      </c>
      <c r="Z178" s="688">
        <f>IFERROR(VLOOKUP($A178,'[94]2月'!$A:$H,8,0),0)</f>
        <v>0</v>
      </c>
      <c r="AA178" s="688">
        <f>IFERROR(VLOOKUP($A178,'[94]3月'!$A:$H,8,0),0)</f>
        <v>0</v>
      </c>
      <c r="AB178" s="688">
        <f>IFERROR(VLOOKUP($A178,'[94]4月'!$A:$H,8,0),0)</f>
        <v>0</v>
      </c>
      <c r="AC178" s="688">
        <f>IFERROR(VLOOKUP($A178,'[94]5月'!$A:$H,8,0),0)</f>
        <v>0</v>
      </c>
      <c r="AD178" s="688">
        <f>IFERROR(VLOOKUP($A178,'[94]6月'!$A:$H,8,0),0)</f>
        <v>0</v>
      </c>
      <c r="AE178" s="688">
        <f>IFERROR(VLOOKUP($A178,'[94]7月'!$A:$H,8,0),0)</f>
        <v>0</v>
      </c>
      <c r="AF178" s="688">
        <f>IFERROR(VLOOKUP($A178,'[94]8月'!$A:$H,8,0),0)</f>
        <v>0</v>
      </c>
      <c r="AG178" s="688">
        <f>IFERROR(VLOOKUP($A178,'[94]9月'!$A:$H,8,0),0)</f>
        <v>0</v>
      </c>
      <c r="AH178" s="688">
        <f>IFERROR(VLOOKUP($A178,'[94]10月'!$A:$H,8,0),0)</f>
        <v>0</v>
      </c>
      <c r="AI178" s="688">
        <f>IFERROR(VLOOKUP($A178,'[94]11月'!$A:$H,8,0),0)</f>
        <v>0</v>
      </c>
      <c r="AJ178" s="688">
        <f>IFERROR(VLOOKUP($A178,'[94]12月'!$A:$H,8,0),0)</f>
        <v>0</v>
      </c>
      <c r="AK178" s="688">
        <f t="shared" si="107"/>
        <v>0</v>
      </c>
    </row>
    <row r="179" spans="1:37" ht="13.5" customHeight="1">
      <c r="A179" s="653" t="str">
        <f>'Budget-合并'!A179</f>
        <v>6115.02</v>
      </c>
      <c r="B179" s="653" t="str">
        <f>'Budget-合并'!B179</f>
        <v>个税手续费返还</v>
      </c>
      <c r="C179" s="687">
        <f>'Budget-合并'!C179</f>
        <v>0</v>
      </c>
      <c r="D179" s="676">
        <f t="shared" si="100"/>
        <v>0</v>
      </c>
      <c r="E179" s="676" t="e">
        <f t="shared" si="101"/>
        <v>#N/A</v>
      </c>
      <c r="F179" s="676" t="e">
        <f t="shared" si="102"/>
        <v>#N/A</v>
      </c>
      <c r="G179" s="676">
        <f t="shared" ca="1" si="103"/>
        <v>0</v>
      </c>
      <c r="H179" s="676" t="e">
        <f t="shared" ca="1" si="104"/>
        <v>#N/A</v>
      </c>
      <c r="I179" s="676" t="e">
        <f t="shared" ca="1" si="105"/>
        <v>#N/A</v>
      </c>
      <c r="K179" s="676"/>
      <c r="L179" s="676"/>
      <c r="M179" s="676">
        <f>ROUND((270000+73000)*2%,2)</f>
        <v>6860</v>
      </c>
      <c r="N179" s="676"/>
      <c r="O179" s="676"/>
      <c r="P179" s="676"/>
      <c r="Q179" s="676"/>
      <c r="R179" s="676"/>
      <c r="S179" s="676"/>
      <c r="T179" s="676"/>
      <c r="U179" s="676"/>
      <c r="V179" s="676"/>
      <c r="W179" s="676">
        <f t="shared" si="106"/>
        <v>6860</v>
      </c>
      <c r="Y179" s="688">
        <f>IFERROR(VLOOKUP($A179,'[94]1月'!$A:$H,8,0),0)</f>
        <v>0</v>
      </c>
      <c r="Z179" s="688">
        <f>IFERROR(VLOOKUP($A179,'[94]2月'!$A:$H,8,0),0)</f>
        <v>3346.32</v>
      </c>
      <c r="AA179" s="688">
        <f>IFERROR(VLOOKUP($A179,'[94]3月'!$A:$H,8,0),0)</f>
        <v>0</v>
      </c>
      <c r="AB179" s="688">
        <f>IFERROR(VLOOKUP($A179,'[94]4月'!$A:$H,8,0),0)</f>
        <v>0</v>
      </c>
      <c r="AC179" s="688">
        <f>IFERROR(VLOOKUP($A179,'[94]5月'!$A:$H,8,0),0)</f>
        <v>0</v>
      </c>
      <c r="AD179" s="688">
        <f>IFERROR(VLOOKUP($A179,'[94]6月'!$A:$H,8,0),0)</f>
        <v>0</v>
      </c>
      <c r="AE179" s="688">
        <f>IFERROR(VLOOKUP($A179,'[94]7月'!$A:$H,8,0),0)</f>
        <v>0</v>
      </c>
      <c r="AF179" s="688">
        <f>IFERROR(VLOOKUP($A179,'[94]8月'!$A:$H,8,0),0)</f>
        <v>0</v>
      </c>
      <c r="AG179" s="688">
        <f>IFERROR(VLOOKUP($A179,'[94]9月'!$A:$H,8,0),0)</f>
        <v>0</v>
      </c>
      <c r="AH179" s="688">
        <f>IFERROR(VLOOKUP($A179,'[94]10月'!$A:$H,8,0),0)</f>
        <v>0</v>
      </c>
      <c r="AI179" s="688">
        <f>IFERROR(VLOOKUP($A179,'[94]11月'!$A:$H,8,0),0)</f>
        <v>0</v>
      </c>
      <c r="AJ179" s="688">
        <f>IFERROR(VLOOKUP($A179,'[94]12月'!$A:$H,8,0),0)</f>
        <v>0</v>
      </c>
      <c r="AK179" s="688">
        <f t="shared" si="107"/>
        <v>3346.32</v>
      </c>
    </row>
    <row r="180" spans="1:37" ht="13.5" hidden="1" customHeight="1">
      <c r="A180" s="653" t="str">
        <f>'Budget-合并'!A180</f>
        <v>6115.99</v>
      </c>
      <c r="B180" s="653" t="str">
        <f>'Budget-合并'!B180</f>
        <v>其他</v>
      </c>
      <c r="C180" s="687">
        <f>'Budget-合并'!C180</f>
        <v>0</v>
      </c>
      <c r="D180" s="676">
        <f t="shared" si="100"/>
        <v>0</v>
      </c>
      <c r="E180" s="676" t="e">
        <f t="shared" si="101"/>
        <v>#N/A</v>
      </c>
      <c r="F180" s="676" t="e">
        <f t="shared" si="102"/>
        <v>#N/A</v>
      </c>
      <c r="G180" s="676">
        <f t="shared" ca="1" si="103"/>
        <v>0</v>
      </c>
      <c r="H180" s="676" t="e">
        <f t="shared" ca="1" si="104"/>
        <v>#N/A</v>
      </c>
      <c r="I180" s="676" t="e">
        <f t="shared" ca="1" si="105"/>
        <v>#N/A</v>
      </c>
      <c r="K180" s="676"/>
      <c r="L180" s="676"/>
      <c r="M180" s="676"/>
      <c r="N180" s="676"/>
      <c r="O180" s="676"/>
      <c r="P180" s="676"/>
      <c r="Q180" s="676"/>
      <c r="R180" s="676"/>
      <c r="S180" s="676"/>
      <c r="T180" s="676"/>
      <c r="U180" s="676"/>
      <c r="V180" s="676"/>
      <c r="W180" s="676">
        <f t="shared" si="106"/>
        <v>0</v>
      </c>
      <c r="Y180" s="688">
        <f>IFERROR(VLOOKUP($A180,'[94]1月'!$A:$H,8,0),0)</f>
        <v>0</v>
      </c>
      <c r="Z180" s="688">
        <f>IFERROR(VLOOKUP($A180,'[94]2月'!$A:$H,8,0),0)</f>
        <v>0</v>
      </c>
      <c r="AA180" s="688">
        <f>IFERROR(VLOOKUP($A180,'[94]3月'!$A:$H,8,0),0)</f>
        <v>0</v>
      </c>
      <c r="AB180" s="688">
        <f>IFERROR(VLOOKUP($A180,'[94]4月'!$A:$H,8,0),0)</f>
        <v>0</v>
      </c>
      <c r="AC180" s="688">
        <f>IFERROR(VLOOKUP($A180,'[94]5月'!$A:$H,8,0),0)</f>
        <v>0</v>
      </c>
      <c r="AD180" s="688">
        <f>IFERROR(VLOOKUP($A180,'[94]6月'!$A:$H,8,0),0)</f>
        <v>0</v>
      </c>
      <c r="AE180" s="688">
        <f>IFERROR(VLOOKUP($A180,'[94]7月'!$A:$H,8,0),0)</f>
        <v>0</v>
      </c>
      <c r="AF180" s="688">
        <f>IFERROR(VLOOKUP($A180,'[94]8月'!$A:$H,8,0),0)</f>
        <v>0</v>
      </c>
      <c r="AG180" s="688">
        <f>IFERROR(VLOOKUP($A180,'[94]9月'!$A:$H,8,0),0)</f>
        <v>0</v>
      </c>
      <c r="AH180" s="688">
        <f>IFERROR(VLOOKUP($A180,'[94]10月'!$A:$H,8,0),0)</f>
        <v>0</v>
      </c>
      <c r="AI180" s="688">
        <f>IFERROR(VLOOKUP($A180,'[94]11月'!$A:$H,8,0),0)</f>
        <v>0</v>
      </c>
      <c r="AJ180" s="688">
        <f>IFERROR(VLOOKUP($A180,'[94]12月'!$A:$H,8,0),0)</f>
        <v>0</v>
      </c>
      <c r="AK180" s="688">
        <f t="shared" si="107"/>
        <v>0</v>
      </c>
    </row>
    <row r="181" spans="1:37" ht="13.5" hidden="1" customHeight="1">
      <c r="A181" s="653" t="str">
        <f>'Budget-合并'!A181</f>
        <v>6117</v>
      </c>
      <c r="B181" s="653" t="str">
        <f>'Budget-合并'!B181</f>
        <v>资产处置损益</v>
      </c>
      <c r="C181" s="687">
        <f>'Budget-合并'!C181</f>
        <v>0</v>
      </c>
      <c r="D181" s="676">
        <f t="shared" si="100"/>
        <v>0</v>
      </c>
      <c r="E181" s="676" t="e">
        <f t="shared" si="101"/>
        <v>#N/A</v>
      </c>
      <c r="F181" s="676" t="e">
        <f t="shared" si="102"/>
        <v>#N/A</v>
      </c>
      <c r="G181" s="676">
        <f t="shared" ca="1" si="103"/>
        <v>0</v>
      </c>
      <c r="H181" s="676" t="e">
        <f t="shared" ca="1" si="104"/>
        <v>#N/A</v>
      </c>
      <c r="I181" s="676" t="e">
        <f t="shared" ca="1" si="105"/>
        <v>#N/A</v>
      </c>
      <c r="K181" s="676"/>
      <c r="L181" s="676"/>
      <c r="M181" s="676"/>
      <c r="N181" s="676"/>
      <c r="O181" s="676"/>
      <c r="P181" s="676"/>
      <c r="Q181" s="676"/>
      <c r="R181" s="676"/>
      <c r="S181" s="676"/>
      <c r="T181" s="676"/>
      <c r="U181" s="676"/>
      <c r="V181" s="676"/>
      <c r="W181" s="676">
        <f t="shared" si="106"/>
        <v>0</v>
      </c>
      <c r="Y181" s="688">
        <f>IFERROR(VLOOKUP($A181,'[94]1月'!$A:$H,8,0),0)</f>
        <v>224697.56</v>
      </c>
      <c r="Z181" s="688">
        <f>IFERROR(VLOOKUP($A181,'[94]2月'!$A:$H,8,0),0)</f>
        <v>0</v>
      </c>
      <c r="AA181" s="688">
        <f>IFERROR(VLOOKUP($A181,'[94]3月'!$A:$H,8,0),0)</f>
        <v>0</v>
      </c>
      <c r="AB181" s="688">
        <f>IFERROR(VLOOKUP($A181,'[94]4月'!$A:$H,8,0),0)</f>
        <v>0</v>
      </c>
      <c r="AC181" s="688">
        <f>IFERROR(VLOOKUP($A181,'[94]5月'!$A:$H,8,0),0)</f>
        <v>0</v>
      </c>
      <c r="AD181" s="688">
        <f>IFERROR(VLOOKUP($A181,'[94]6月'!$A:$H,8,0),0)</f>
        <v>0</v>
      </c>
      <c r="AE181" s="688">
        <f>IFERROR(VLOOKUP($A181,'[94]7月'!$A:$H,8,0),0)</f>
        <v>0</v>
      </c>
      <c r="AF181" s="688">
        <f>IFERROR(VLOOKUP($A181,'[94]8月'!$A:$H,8,0),0)</f>
        <v>0</v>
      </c>
      <c r="AG181" s="688">
        <f>IFERROR(VLOOKUP($A181,'[94]9月'!$A:$H,8,0),0)</f>
        <v>0</v>
      </c>
      <c r="AH181" s="688">
        <f>IFERROR(VLOOKUP($A181,'[94]10月'!$A:$H,8,0),0)</f>
        <v>0</v>
      </c>
      <c r="AI181" s="688">
        <f>IFERROR(VLOOKUP($A181,'[94]11月'!$A:$H,8,0),0)</f>
        <v>0</v>
      </c>
      <c r="AJ181" s="688">
        <f>IFERROR(VLOOKUP($A181,'[94]12月'!$A:$H,8,0),0)</f>
        <v>0</v>
      </c>
      <c r="AK181" s="688">
        <f t="shared" si="107"/>
        <v>224697.56</v>
      </c>
    </row>
    <row r="182" spans="1:37" ht="13.5" hidden="1" customHeight="1">
      <c r="A182" s="653" t="str">
        <f>'Budget-合并'!A182</f>
        <v>6118</v>
      </c>
      <c r="B182" s="653" t="str">
        <f>'Budget-合并'!B182</f>
        <v>净敞口套期损益</v>
      </c>
      <c r="C182" s="687">
        <f>'Budget-合并'!C182</f>
        <v>0</v>
      </c>
      <c r="D182" s="676">
        <f t="shared" si="100"/>
        <v>0</v>
      </c>
      <c r="E182" s="676" t="e">
        <f t="shared" si="101"/>
        <v>#N/A</v>
      </c>
      <c r="F182" s="676" t="e">
        <f t="shared" si="102"/>
        <v>#N/A</v>
      </c>
      <c r="G182" s="676">
        <f t="shared" ca="1" si="103"/>
        <v>0</v>
      </c>
      <c r="H182" s="676" t="e">
        <f t="shared" ca="1" si="104"/>
        <v>#N/A</v>
      </c>
      <c r="I182" s="676" t="e">
        <f t="shared" ca="1" si="105"/>
        <v>#N/A</v>
      </c>
      <c r="K182" s="676"/>
      <c r="L182" s="676"/>
      <c r="M182" s="676"/>
      <c r="N182" s="676"/>
      <c r="O182" s="676"/>
      <c r="P182" s="676"/>
      <c r="Q182" s="676"/>
      <c r="R182" s="676"/>
      <c r="S182" s="676"/>
      <c r="T182" s="676"/>
      <c r="U182" s="676"/>
      <c r="V182" s="676"/>
      <c r="W182" s="676">
        <f t="shared" si="106"/>
        <v>0</v>
      </c>
      <c r="Y182" s="688">
        <f>IFERROR(VLOOKUP($A182,'[94]1月'!$A:$H,8,0),0)</f>
        <v>0</v>
      </c>
      <c r="Z182" s="688">
        <f>IFERROR(VLOOKUP($A182,'[94]2月'!$A:$H,8,0),0)</f>
        <v>0</v>
      </c>
      <c r="AA182" s="688">
        <f>IFERROR(VLOOKUP($A182,'[94]3月'!$A:$H,8,0),0)</f>
        <v>0</v>
      </c>
      <c r="AB182" s="688">
        <f>IFERROR(VLOOKUP($A182,'[94]4月'!$A:$H,8,0),0)</f>
        <v>0</v>
      </c>
      <c r="AC182" s="688">
        <f>IFERROR(VLOOKUP($A182,'[94]5月'!$A:$H,8,0),0)</f>
        <v>0</v>
      </c>
      <c r="AD182" s="688">
        <f>IFERROR(VLOOKUP($A182,'[94]6月'!$A:$H,8,0),0)</f>
        <v>0</v>
      </c>
      <c r="AE182" s="688">
        <f>IFERROR(VLOOKUP($A182,'[94]7月'!$A:$H,8,0),0)</f>
        <v>0</v>
      </c>
      <c r="AF182" s="688">
        <f>IFERROR(VLOOKUP($A182,'[94]8月'!$A:$H,8,0),0)</f>
        <v>0</v>
      </c>
      <c r="AG182" s="688">
        <f>IFERROR(VLOOKUP($A182,'[94]9月'!$A:$H,8,0),0)</f>
        <v>0</v>
      </c>
      <c r="AH182" s="688">
        <f>IFERROR(VLOOKUP($A182,'[94]10月'!$A:$H,8,0),0)</f>
        <v>0</v>
      </c>
      <c r="AI182" s="688">
        <f>IFERROR(VLOOKUP($A182,'[94]11月'!$A:$H,8,0),0)</f>
        <v>0</v>
      </c>
      <c r="AJ182" s="688">
        <f>IFERROR(VLOOKUP($A182,'[94]12月'!$A:$H,8,0),0)</f>
        <v>0</v>
      </c>
      <c r="AK182" s="688">
        <f t="shared" si="107"/>
        <v>0</v>
      </c>
    </row>
    <row r="183" spans="1:37" ht="13.5" customHeight="1">
      <c r="A183" s="686">
        <f>'Budget-合并'!A183</f>
        <v>0</v>
      </c>
      <c r="B183" s="686" t="str">
        <f>'Budget-合并'!B183</f>
        <v>其他收益合计</v>
      </c>
      <c r="C183" s="687">
        <f>'Budget-合并'!C183</f>
        <v>0</v>
      </c>
      <c r="D183" s="677">
        <f t="shared" si="100"/>
        <v>0</v>
      </c>
      <c r="E183" s="677" t="e">
        <f t="shared" si="101"/>
        <v>#N/A</v>
      </c>
      <c r="F183" s="677" t="e">
        <f t="shared" si="102"/>
        <v>#N/A</v>
      </c>
      <c r="G183" s="677">
        <f t="shared" ca="1" si="103"/>
        <v>0</v>
      </c>
      <c r="H183" s="677" t="e">
        <f t="shared" ca="1" si="104"/>
        <v>#N/A</v>
      </c>
      <c r="I183" s="677" t="e">
        <f t="shared" ca="1" si="105"/>
        <v>#N/A</v>
      </c>
      <c r="K183" s="677">
        <f>SUM(K174,K174:K177,K181:K182)</f>
        <v>0</v>
      </c>
      <c r="L183" s="677">
        <f t="shared" ref="L183:W183" si="109">SUM(L174,L174:L177,L181:L182)</f>
        <v>0</v>
      </c>
      <c r="M183" s="677">
        <f t="shared" si="109"/>
        <v>6860</v>
      </c>
      <c r="N183" s="677">
        <f t="shared" si="109"/>
        <v>0</v>
      </c>
      <c r="O183" s="677">
        <f t="shared" si="109"/>
        <v>0</v>
      </c>
      <c r="P183" s="677">
        <f t="shared" si="109"/>
        <v>0</v>
      </c>
      <c r="Q183" s="677">
        <f t="shared" si="109"/>
        <v>0</v>
      </c>
      <c r="R183" s="677">
        <f t="shared" si="109"/>
        <v>0</v>
      </c>
      <c r="S183" s="677">
        <f t="shared" si="109"/>
        <v>0</v>
      </c>
      <c r="T183" s="677">
        <f t="shared" si="109"/>
        <v>0</v>
      </c>
      <c r="U183" s="677">
        <f t="shared" si="109"/>
        <v>0</v>
      </c>
      <c r="V183" s="677">
        <f t="shared" si="109"/>
        <v>0</v>
      </c>
      <c r="W183" s="677">
        <f t="shared" si="109"/>
        <v>6860</v>
      </c>
      <c r="Y183" s="677">
        <f t="shared" ref="Y183:AK183" si="110">SUM(Y174,Y174:Y177,Y181:Y182)</f>
        <v>224697.56</v>
      </c>
      <c r="Z183" s="677">
        <f t="shared" si="110"/>
        <v>3346.32</v>
      </c>
      <c r="AA183" s="677">
        <f t="shared" si="110"/>
        <v>0</v>
      </c>
      <c r="AB183" s="677">
        <f t="shared" si="110"/>
        <v>0</v>
      </c>
      <c r="AC183" s="677">
        <f t="shared" si="110"/>
        <v>0</v>
      </c>
      <c r="AD183" s="677">
        <f t="shared" si="110"/>
        <v>0</v>
      </c>
      <c r="AE183" s="677">
        <f t="shared" si="110"/>
        <v>0</v>
      </c>
      <c r="AF183" s="677">
        <f t="shared" si="110"/>
        <v>0</v>
      </c>
      <c r="AG183" s="677">
        <f t="shared" si="110"/>
        <v>0</v>
      </c>
      <c r="AH183" s="677">
        <f t="shared" si="110"/>
        <v>0</v>
      </c>
      <c r="AI183" s="677">
        <f t="shared" si="110"/>
        <v>0</v>
      </c>
      <c r="AJ183" s="677">
        <f t="shared" si="110"/>
        <v>0</v>
      </c>
      <c r="AK183" s="677">
        <f t="shared" si="110"/>
        <v>228043.88</v>
      </c>
    </row>
    <row r="184" spans="1:37" ht="13.5" hidden="1" customHeight="1">
      <c r="A184" s="653">
        <f>'Budget-合并'!A184</f>
        <v>0</v>
      </c>
      <c r="B184" s="653">
        <f>'Budget-合并'!B184</f>
        <v>0</v>
      </c>
      <c r="C184" s="687">
        <f>'Budget-合并'!C184</f>
        <v>0</v>
      </c>
      <c r="E184" s="677"/>
      <c r="H184" s="677"/>
      <c r="W184" s="652">
        <f t="shared" ref="W184:W198" si="111">SUM(K184:V184)</f>
        <v>0</v>
      </c>
    </row>
    <row r="185" spans="1:37" ht="13.5" customHeight="1">
      <c r="A185" s="686">
        <f>'Budget-合并'!A185</f>
        <v>0</v>
      </c>
      <c r="B185" s="686" t="str">
        <f>'Budget-合并'!B185</f>
        <v>营业利润</v>
      </c>
      <c r="C185" s="687">
        <f>'Budget-合并'!C185</f>
        <v>0</v>
      </c>
      <c r="D185" s="677">
        <f ca="1">INDEX($K185:$V185,1,MATCH($D$6,$K$6:$V$6))</f>
        <v>-564196.97688888898</v>
      </c>
      <c r="E185" s="677" t="e">
        <f t="shared" ref="E185:E199" si="112">INDEX($Y185:$AJ185,1,MATCH($E$6,$Y$6:$AJ$6))</f>
        <v>#N/A</v>
      </c>
      <c r="F185" s="677" t="e">
        <f t="shared" ref="F185:F199" ca="1" si="113">D185-E185</f>
        <v>#N/A</v>
      </c>
      <c r="G185" s="677">
        <f t="shared" ref="G185:G199" ca="1" si="114">SUM($K185:OFFSET($K185,0,MATCH(G$6,$K$6:$V$6)-1))</f>
        <v>-564196.97688888898</v>
      </c>
      <c r="H185" s="677" t="e">
        <f t="shared" ref="H185:H199" ca="1" si="115">SUM($Y185:OFFSET($Y185,0,MATCH(H$6,$Y$6:$AJ$6)-1))</f>
        <v>#N/A</v>
      </c>
      <c r="I185" s="677" t="e">
        <f t="shared" ref="I185:I199" ca="1" si="116">G185-H185</f>
        <v>#N/A</v>
      </c>
      <c r="K185" s="677">
        <f ca="1">K12-K19-K42-K153-K172+K183</f>
        <v>-564196.97688888898</v>
      </c>
      <c r="L185" s="677">
        <f t="shared" ref="L185:V185" ca="1" si="117">L12-L19-L42-L153-L172+L183</f>
        <v>-699131.30688888894</v>
      </c>
      <c r="M185" s="677">
        <f t="shared" ca="1" si="117"/>
        <v>-578753.19688888895</v>
      </c>
      <c r="N185" s="677">
        <f t="shared" ca="1" si="117"/>
        <v>-768271.73503913521</v>
      </c>
      <c r="O185" s="677">
        <f t="shared" ca="1" si="117"/>
        <v>1911385.3054016384</v>
      </c>
      <c r="P185" s="677">
        <f t="shared" ca="1" si="117"/>
        <v>-873888.05017005152</v>
      </c>
      <c r="Q185" s="677">
        <f t="shared" ca="1" si="117"/>
        <v>345282.9509719364</v>
      </c>
      <c r="R185" s="677">
        <f t="shared" ca="1" si="117"/>
        <v>-925117.48388888896</v>
      </c>
      <c r="S185" s="677">
        <f t="shared" ca="1" si="117"/>
        <v>-1070917.483888889</v>
      </c>
      <c r="T185" s="677">
        <f t="shared" ca="1" si="117"/>
        <v>1779157.1819939169</v>
      </c>
      <c r="U185" s="677">
        <f t="shared" ca="1" si="117"/>
        <v>-920917.48388888896</v>
      </c>
      <c r="V185" s="677">
        <f t="shared" ca="1" si="117"/>
        <v>-2549534.1880955803</v>
      </c>
      <c r="W185" s="677">
        <f t="shared" ca="1" si="111"/>
        <v>-4914902.467270609</v>
      </c>
      <c r="Y185" s="677">
        <f t="shared" ref="Y185:AK185" si="118">Y12-Y19-Y42-Y153-Y172+Y183</f>
        <v>329867.39000000013</v>
      </c>
      <c r="Z185" s="677">
        <f t="shared" si="118"/>
        <v>197566.19999999995</v>
      </c>
      <c r="AA185" s="677">
        <f t="shared" si="118"/>
        <v>-412765.34000000014</v>
      </c>
      <c r="AB185" s="677">
        <f t="shared" si="118"/>
        <v>481110.52999999997</v>
      </c>
      <c r="AC185" s="677">
        <f t="shared" si="118"/>
        <v>405388.62000000005</v>
      </c>
      <c r="AD185" s="677">
        <f t="shared" si="118"/>
        <v>-1242934.4200000002</v>
      </c>
      <c r="AE185" s="677">
        <f t="shared" si="118"/>
        <v>-237145.51</v>
      </c>
      <c r="AF185" s="677">
        <f t="shared" si="118"/>
        <v>-375056.69</v>
      </c>
      <c r="AG185" s="677">
        <f t="shared" si="118"/>
        <v>-516013.22999999992</v>
      </c>
      <c r="AH185" s="677">
        <f t="shared" si="118"/>
        <v>41333.459999999992</v>
      </c>
      <c r="AI185" s="677">
        <f t="shared" si="118"/>
        <v>-489253.45</v>
      </c>
      <c r="AJ185" s="677">
        <f t="shared" si="118"/>
        <v>-636294.19999999995</v>
      </c>
      <c r="AK185" s="677">
        <f t="shared" si="118"/>
        <v>-2454196.6400000006</v>
      </c>
    </row>
    <row r="186" spans="1:37" ht="13.5" customHeight="1">
      <c r="A186" s="653">
        <f>'Budget-合并'!A186</f>
        <v>0</v>
      </c>
      <c r="B186" s="653">
        <f>'Budget-合并'!B186</f>
        <v>0</v>
      </c>
      <c r="C186" s="687">
        <f>'Budget-合并'!C186</f>
        <v>0</v>
      </c>
    </row>
    <row r="187" spans="1:37" ht="13.5" hidden="1" customHeight="1">
      <c r="A187" s="653" t="str">
        <f>'Budget-合并'!A187</f>
        <v>6301</v>
      </c>
      <c r="B187" s="653" t="str">
        <f>'Budget-合并'!B187</f>
        <v>营业外收入</v>
      </c>
      <c r="C187" s="687">
        <f>'Budget-合并'!C187</f>
        <v>0</v>
      </c>
      <c r="D187" s="676">
        <f t="shared" ref="D187:D199" si="119">INDEX($K187:$V187,1,MATCH($D$6,$K$6:$V$6))</f>
        <v>0</v>
      </c>
      <c r="E187" s="676" t="e">
        <f t="shared" si="112"/>
        <v>#N/A</v>
      </c>
      <c r="F187" s="676" t="e">
        <f t="shared" si="113"/>
        <v>#N/A</v>
      </c>
      <c r="G187" s="676">
        <f t="shared" ca="1" si="114"/>
        <v>0</v>
      </c>
      <c r="H187" s="676" t="e">
        <f t="shared" ca="1" si="115"/>
        <v>#N/A</v>
      </c>
      <c r="I187" s="676" t="e">
        <f t="shared" ca="1" si="116"/>
        <v>#N/A</v>
      </c>
      <c r="K187" s="676">
        <f t="shared" ref="K187:V187" si="120">SUM(K188:K192)</f>
        <v>0</v>
      </c>
      <c r="L187" s="676">
        <f t="shared" si="120"/>
        <v>0</v>
      </c>
      <c r="M187" s="676">
        <f t="shared" si="120"/>
        <v>0</v>
      </c>
      <c r="N187" s="676">
        <f t="shared" si="120"/>
        <v>0</v>
      </c>
      <c r="O187" s="676">
        <f t="shared" si="120"/>
        <v>0</v>
      </c>
      <c r="P187" s="676">
        <f t="shared" si="120"/>
        <v>0</v>
      </c>
      <c r="Q187" s="676">
        <f t="shared" si="120"/>
        <v>0</v>
      </c>
      <c r="R187" s="676">
        <f t="shared" si="120"/>
        <v>0</v>
      </c>
      <c r="S187" s="676">
        <f t="shared" si="120"/>
        <v>0</v>
      </c>
      <c r="T187" s="676">
        <f t="shared" si="120"/>
        <v>0</v>
      </c>
      <c r="U187" s="676">
        <f t="shared" si="120"/>
        <v>0</v>
      </c>
      <c r="V187" s="676">
        <f t="shared" si="120"/>
        <v>0</v>
      </c>
      <c r="W187" s="676">
        <f t="shared" si="111"/>
        <v>0</v>
      </c>
      <c r="Y187" s="688">
        <f>IFERROR(VLOOKUP($A187,'[94]1月'!$A:$H,8,0),0)</f>
        <v>0</v>
      </c>
      <c r="Z187" s="688">
        <f>IFERROR(VLOOKUP($A187,'[94]2月'!$A:$H,8,0),0)</f>
        <v>0</v>
      </c>
      <c r="AA187" s="688">
        <f>IFERROR(VLOOKUP($A187,'[94]3月'!$A:$H,8,0),0)</f>
        <v>0</v>
      </c>
      <c r="AB187" s="688">
        <f>IFERROR(VLOOKUP($A187,'[94]4月'!$A:$H,8,0),0)</f>
        <v>0</v>
      </c>
      <c r="AC187" s="688">
        <f>IFERROR(VLOOKUP($A187,'[94]5月'!$A:$H,8,0),0)</f>
        <v>0</v>
      </c>
      <c r="AD187" s="688">
        <f>IFERROR(VLOOKUP($A187,'[94]6月'!$A:$H,8,0),0)</f>
        <v>0</v>
      </c>
      <c r="AE187" s="688">
        <f>IFERROR(VLOOKUP($A187,'[94]7月'!$A:$H,8,0),0)</f>
        <v>0</v>
      </c>
      <c r="AF187" s="688">
        <f>IFERROR(VLOOKUP($A187,'[94]8月'!$A:$H,8,0),0)</f>
        <v>0</v>
      </c>
      <c r="AG187" s="688">
        <f>IFERROR(VLOOKUP($A187,'[94]9月'!$A:$H,8,0),0)</f>
        <v>0</v>
      </c>
      <c r="AH187" s="688">
        <f>IFERROR(VLOOKUP($A187,'[94]10月'!$A:$H,8,0),0)</f>
        <v>0</v>
      </c>
      <c r="AI187" s="688">
        <f>IFERROR(VLOOKUP($A187,'[94]11月'!$A:$H,8,0),0)</f>
        <v>0</v>
      </c>
      <c r="AJ187" s="688">
        <f>IFERROR(VLOOKUP($A187,'[94]12月'!$A:$H,8,0),0)</f>
        <v>0</v>
      </c>
      <c r="AK187" s="688">
        <f t="shared" ref="AK187:AK198" si="121">SUM(Y187:AJ187)</f>
        <v>0</v>
      </c>
    </row>
    <row r="188" spans="1:37" ht="13.5" hidden="1" customHeight="1">
      <c r="A188" s="653" t="str">
        <f>'Budget-合并'!A188</f>
        <v>6301.01</v>
      </c>
      <c r="B188" s="653" t="str">
        <f>'Budget-合并'!B188</f>
        <v>非流动资产处置利得</v>
      </c>
      <c r="C188" s="687">
        <f>'Budget-合并'!C188</f>
        <v>0</v>
      </c>
      <c r="D188" s="676">
        <f t="shared" si="119"/>
        <v>0</v>
      </c>
      <c r="E188" s="676" t="e">
        <f t="shared" si="112"/>
        <v>#N/A</v>
      </c>
      <c r="F188" s="676" t="e">
        <f t="shared" si="113"/>
        <v>#N/A</v>
      </c>
      <c r="G188" s="676">
        <f t="shared" ca="1" si="114"/>
        <v>0</v>
      </c>
      <c r="H188" s="676" t="e">
        <f t="shared" ca="1" si="115"/>
        <v>#N/A</v>
      </c>
      <c r="I188" s="676" t="e">
        <f t="shared" ca="1" si="116"/>
        <v>#N/A</v>
      </c>
      <c r="K188" s="676"/>
      <c r="L188" s="676"/>
      <c r="M188" s="676"/>
      <c r="N188" s="676"/>
      <c r="O188" s="676"/>
      <c r="P188" s="676"/>
      <c r="Q188" s="676"/>
      <c r="R188" s="676"/>
      <c r="S188" s="676"/>
      <c r="T188" s="676"/>
      <c r="U188" s="676"/>
      <c r="V188" s="676"/>
      <c r="W188" s="676">
        <f t="shared" si="111"/>
        <v>0</v>
      </c>
      <c r="Y188" s="688">
        <f>IFERROR(VLOOKUP($A188,'[94]1月'!$A:$H,8,0),0)</f>
        <v>0</v>
      </c>
      <c r="Z188" s="688">
        <f>IFERROR(VLOOKUP($A188,'[94]2月'!$A:$H,8,0),0)</f>
        <v>0</v>
      </c>
      <c r="AA188" s="688">
        <f>IFERROR(VLOOKUP($A188,'[94]3月'!$A:$H,8,0),0)</f>
        <v>0</v>
      </c>
      <c r="AB188" s="688">
        <f>IFERROR(VLOOKUP($A188,'[94]4月'!$A:$H,8,0),0)</f>
        <v>0</v>
      </c>
      <c r="AC188" s="688">
        <f>IFERROR(VLOOKUP($A188,'[94]5月'!$A:$H,8,0),0)</f>
        <v>0</v>
      </c>
      <c r="AD188" s="688">
        <f>IFERROR(VLOOKUP($A188,'[94]6月'!$A:$H,8,0),0)</f>
        <v>0</v>
      </c>
      <c r="AE188" s="688">
        <f>IFERROR(VLOOKUP($A188,'[94]7月'!$A:$H,8,0),0)</f>
        <v>0</v>
      </c>
      <c r="AF188" s="688">
        <f>IFERROR(VLOOKUP($A188,'[94]8月'!$A:$H,8,0),0)</f>
        <v>0</v>
      </c>
      <c r="AG188" s="688">
        <f>IFERROR(VLOOKUP($A188,'[94]9月'!$A:$H,8,0),0)</f>
        <v>0</v>
      </c>
      <c r="AH188" s="688">
        <f>IFERROR(VLOOKUP($A188,'[94]10月'!$A:$H,8,0),0)</f>
        <v>0</v>
      </c>
      <c r="AI188" s="688">
        <f>IFERROR(VLOOKUP($A188,'[94]11月'!$A:$H,8,0),0)</f>
        <v>0</v>
      </c>
      <c r="AJ188" s="688">
        <f>IFERROR(VLOOKUP($A188,'[94]12月'!$A:$H,8,0),0)</f>
        <v>0</v>
      </c>
      <c r="AK188" s="688">
        <f t="shared" si="121"/>
        <v>0</v>
      </c>
    </row>
    <row r="189" spans="1:37" ht="13.5" customHeight="1">
      <c r="A189" s="653" t="str">
        <f>'Budget-合并'!A189</f>
        <v>6301.02</v>
      </c>
      <c r="B189" s="653" t="str">
        <f>'Budget-合并'!B189</f>
        <v>债务重组利得</v>
      </c>
      <c r="C189" s="687">
        <f>'Budget-合并'!C189</f>
        <v>0</v>
      </c>
      <c r="D189" s="676">
        <f t="shared" si="119"/>
        <v>0</v>
      </c>
      <c r="E189" s="676" t="e">
        <f t="shared" si="112"/>
        <v>#N/A</v>
      </c>
      <c r="F189" s="676" t="e">
        <f t="shared" si="113"/>
        <v>#N/A</v>
      </c>
      <c r="G189" s="676">
        <f t="shared" ca="1" si="114"/>
        <v>0</v>
      </c>
      <c r="H189" s="676" t="e">
        <f t="shared" ca="1" si="115"/>
        <v>#N/A</v>
      </c>
      <c r="I189" s="676" t="e">
        <f t="shared" ca="1" si="116"/>
        <v>#N/A</v>
      </c>
      <c r="K189" s="676"/>
      <c r="L189" s="676"/>
      <c r="M189" s="676"/>
      <c r="N189" s="676"/>
      <c r="O189" s="676"/>
      <c r="P189" s="676"/>
      <c r="Q189" s="676"/>
      <c r="R189" s="676"/>
      <c r="S189" s="676"/>
      <c r="T189" s="676"/>
      <c r="U189" s="676"/>
      <c r="V189" s="676"/>
      <c r="W189" s="676"/>
      <c r="Y189" s="688">
        <f>IFERROR(VLOOKUP($A189,'[94]1月'!$A:$H,8,0),0)</f>
        <v>0</v>
      </c>
      <c r="Z189" s="688">
        <f>IFERROR(VLOOKUP($A189,'[94]2月'!$A:$H,8,0),0)</f>
        <v>0</v>
      </c>
      <c r="AA189" s="688">
        <f>IFERROR(VLOOKUP($A189,'[94]3月'!$A:$H,8,0),0)</f>
        <v>0</v>
      </c>
      <c r="AB189" s="688">
        <f>IFERROR(VLOOKUP($A189,'[94]4月'!$A:$H,8,0),0)</f>
        <v>0</v>
      </c>
      <c r="AC189" s="688">
        <f>IFERROR(VLOOKUP($A189,'[94]5月'!$A:$H,8,0),0)</f>
        <v>0</v>
      </c>
      <c r="AD189" s="688">
        <f>IFERROR(VLOOKUP($A189,'[94]6月'!$A:$H,8,0),0)</f>
        <v>0</v>
      </c>
      <c r="AE189" s="688">
        <f>IFERROR(VLOOKUP($A189,'[94]7月'!$A:$H,8,0),0)</f>
        <v>0</v>
      </c>
      <c r="AF189" s="688">
        <f>IFERROR(VLOOKUP($A189,'[94]8月'!$A:$H,8,0),0)</f>
        <v>0</v>
      </c>
      <c r="AG189" s="688">
        <f>IFERROR(VLOOKUP($A189,'[94]9月'!$A:$H,8,0),0)</f>
        <v>0</v>
      </c>
      <c r="AH189" s="688">
        <f>IFERROR(VLOOKUP($A189,'[94]10月'!$A:$H,8,0),0)</f>
        <v>0</v>
      </c>
      <c r="AI189" s="688">
        <f>IFERROR(VLOOKUP($A189,'[94]11月'!$A:$H,8,0),0)</f>
        <v>0</v>
      </c>
      <c r="AJ189" s="688">
        <f>IFERROR(VLOOKUP($A189,'[94]12月'!$A:$H,8,0),0)</f>
        <v>0</v>
      </c>
      <c r="AK189" s="688">
        <f t="shared" si="121"/>
        <v>0</v>
      </c>
    </row>
    <row r="190" spans="1:37" ht="13.5" hidden="1" customHeight="1">
      <c r="A190" s="653" t="str">
        <f>'Budget-合并'!A190</f>
        <v>6301.03</v>
      </c>
      <c r="B190" s="653" t="str">
        <f>'Budget-合并'!B190</f>
        <v>盘盈利得</v>
      </c>
      <c r="C190" s="687">
        <f>'Budget-合并'!C190</f>
        <v>0</v>
      </c>
      <c r="D190" s="676">
        <f t="shared" si="119"/>
        <v>0</v>
      </c>
      <c r="E190" s="676" t="e">
        <f t="shared" si="112"/>
        <v>#N/A</v>
      </c>
      <c r="F190" s="676" t="e">
        <f t="shared" si="113"/>
        <v>#N/A</v>
      </c>
      <c r="G190" s="676">
        <f t="shared" ca="1" si="114"/>
        <v>0</v>
      </c>
      <c r="H190" s="676" t="e">
        <f t="shared" ca="1" si="115"/>
        <v>#N/A</v>
      </c>
      <c r="I190" s="676" t="e">
        <f t="shared" ca="1" si="116"/>
        <v>#N/A</v>
      </c>
      <c r="K190" s="676"/>
      <c r="L190" s="676"/>
      <c r="M190" s="676"/>
      <c r="N190" s="676"/>
      <c r="O190" s="676"/>
      <c r="P190" s="676"/>
      <c r="Q190" s="676"/>
      <c r="R190" s="676"/>
      <c r="S190" s="676"/>
      <c r="T190" s="676"/>
      <c r="U190" s="676"/>
      <c r="V190" s="676"/>
      <c r="W190" s="676">
        <f t="shared" si="111"/>
        <v>0</v>
      </c>
      <c r="Y190" s="688">
        <f>IFERROR(VLOOKUP($A190,'[94]1月'!$A:$H,8,0),0)</f>
        <v>0</v>
      </c>
      <c r="Z190" s="688">
        <f>IFERROR(VLOOKUP($A190,'[94]2月'!$A:$H,8,0),0)</f>
        <v>0</v>
      </c>
      <c r="AA190" s="688">
        <f>IFERROR(VLOOKUP($A190,'[94]3月'!$A:$H,8,0),0)</f>
        <v>0</v>
      </c>
      <c r="AB190" s="688">
        <f>IFERROR(VLOOKUP($A190,'[94]4月'!$A:$H,8,0),0)</f>
        <v>0</v>
      </c>
      <c r="AC190" s="688">
        <f>IFERROR(VLOOKUP($A190,'[94]5月'!$A:$H,8,0),0)</f>
        <v>0</v>
      </c>
      <c r="AD190" s="688">
        <f>IFERROR(VLOOKUP($A190,'[94]6月'!$A:$H,8,0),0)</f>
        <v>0</v>
      </c>
      <c r="AE190" s="688">
        <f>IFERROR(VLOOKUP($A190,'[94]7月'!$A:$H,8,0),0)</f>
        <v>0</v>
      </c>
      <c r="AF190" s="688">
        <f>IFERROR(VLOOKUP($A190,'[94]8月'!$A:$H,8,0),0)</f>
        <v>0</v>
      </c>
      <c r="AG190" s="688">
        <f>IFERROR(VLOOKUP($A190,'[94]9月'!$A:$H,8,0),0)</f>
        <v>0</v>
      </c>
      <c r="AH190" s="688">
        <f>IFERROR(VLOOKUP($A190,'[94]10月'!$A:$H,8,0),0)</f>
        <v>0</v>
      </c>
      <c r="AI190" s="688">
        <f>IFERROR(VLOOKUP($A190,'[94]11月'!$A:$H,8,0),0)</f>
        <v>0</v>
      </c>
      <c r="AJ190" s="688">
        <f>IFERROR(VLOOKUP($A190,'[94]12月'!$A:$H,8,0),0)</f>
        <v>0</v>
      </c>
      <c r="AK190" s="688">
        <f t="shared" si="121"/>
        <v>0</v>
      </c>
    </row>
    <row r="191" spans="1:37" ht="13.5" hidden="1" customHeight="1">
      <c r="A191" s="653" t="str">
        <f>'Budget-合并'!A191</f>
        <v>6301.04</v>
      </c>
      <c r="B191" s="653" t="str">
        <f>'Budget-合并'!B191</f>
        <v>捐赠利得</v>
      </c>
      <c r="C191" s="687">
        <f>'Budget-合并'!C191</f>
        <v>0</v>
      </c>
      <c r="D191" s="676">
        <f t="shared" si="119"/>
        <v>0</v>
      </c>
      <c r="E191" s="676" t="e">
        <f t="shared" si="112"/>
        <v>#N/A</v>
      </c>
      <c r="F191" s="676" t="e">
        <f t="shared" si="113"/>
        <v>#N/A</v>
      </c>
      <c r="G191" s="676">
        <f t="shared" ca="1" si="114"/>
        <v>0</v>
      </c>
      <c r="H191" s="676" t="e">
        <f t="shared" ca="1" si="115"/>
        <v>#N/A</v>
      </c>
      <c r="I191" s="676" t="e">
        <f t="shared" ca="1" si="116"/>
        <v>#N/A</v>
      </c>
      <c r="K191" s="676"/>
      <c r="L191" s="676"/>
      <c r="M191" s="676"/>
      <c r="N191" s="676"/>
      <c r="O191" s="676"/>
      <c r="P191" s="676"/>
      <c r="Q191" s="676"/>
      <c r="R191" s="676"/>
      <c r="S191" s="676"/>
      <c r="T191" s="676"/>
      <c r="U191" s="676"/>
      <c r="V191" s="676"/>
      <c r="W191" s="676">
        <f t="shared" si="111"/>
        <v>0</v>
      </c>
      <c r="Y191" s="688">
        <f>IFERROR(VLOOKUP($A191,'[94]1月'!$A:$H,8,0),0)</f>
        <v>0</v>
      </c>
      <c r="Z191" s="688">
        <f>IFERROR(VLOOKUP($A191,'[94]2月'!$A:$H,8,0),0)</f>
        <v>0</v>
      </c>
      <c r="AA191" s="688">
        <f>IFERROR(VLOOKUP($A191,'[94]3月'!$A:$H,8,0),0)</f>
        <v>0</v>
      </c>
      <c r="AB191" s="688">
        <f>IFERROR(VLOOKUP($A191,'[94]4月'!$A:$H,8,0),0)</f>
        <v>0</v>
      </c>
      <c r="AC191" s="688">
        <f>IFERROR(VLOOKUP($A191,'[94]5月'!$A:$H,8,0),0)</f>
        <v>0</v>
      </c>
      <c r="AD191" s="688">
        <f>IFERROR(VLOOKUP($A191,'[94]6月'!$A:$H,8,0),0)</f>
        <v>0</v>
      </c>
      <c r="AE191" s="688">
        <f>IFERROR(VLOOKUP($A191,'[94]7月'!$A:$H,8,0),0)</f>
        <v>0</v>
      </c>
      <c r="AF191" s="688">
        <f>IFERROR(VLOOKUP($A191,'[94]8月'!$A:$H,8,0),0)</f>
        <v>0</v>
      </c>
      <c r="AG191" s="688">
        <f>IFERROR(VLOOKUP($A191,'[94]9月'!$A:$H,8,0),0)</f>
        <v>0</v>
      </c>
      <c r="AH191" s="688">
        <f>IFERROR(VLOOKUP($A191,'[94]10月'!$A:$H,8,0),0)</f>
        <v>0</v>
      </c>
      <c r="AI191" s="688">
        <f>IFERROR(VLOOKUP($A191,'[94]11月'!$A:$H,8,0),0)</f>
        <v>0</v>
      </c>
      <c r="AJ191" s="688">
        <f>IFERROR(VLOOKUP($A191,'[94]12月'!$A:$H,8,0),0)</f>
        <v>0</v>
      </c>
      <c r="AK191" s="688">
        <f t="shared" si="121"/>
        <v>0</v>
      </c>
    </row>
    <row r="192" spans="1:37" ht="13.5" hidden="1" customHeight="1">
      <c r="A192" s="653" t="str">
        <f>'Budget-合并'!A192</f>
        <v>6301.99</v>
      </c>
      <c r="B192" s="653" t="str">
        <f>'Budget-合并'!B192</f>
        <v>其他</v>
      </c>
      <c r="C192" s="687">
        <f>'Budget-合并'!C192</f>
        <v>0</v>
      </c>
      <c r="D192" s="676">
        <f t="shared" si="119"/>
        <v>0</v>
      </c>
      <c r="E192" s="676" t="e">
        <f t="shared" si="112"/>
        <v>#N/A</v>
      </c>
      <c r="F192" s="676" t="e">
        <f t="shared" si="113"/>
        <v>#N/A</v>
      </c>
      <c r="G192" s="676">
        <f t="shared" ca="1" si="114"/>
        <v>0</v>
      </c>
      <c r="H192" s="676" t="e">
        <f t="shared" ca="1" si="115"/>
        <v>#N/A</v>
      </c>
      <c r="I192" s="676" t="e">
        <f t="shared" ca="1" si="116"/>
        <v>#N/A</v>
      </c>
      <c r="K192" s="676"/>
      <c r="L192" s="676"/>
      <c r="M192" s="676"/>
      <c r="N192" s="676"/>
      <c r="O192" s="676"/>
      <c r="P192" s="676"/>
      <c r="Q192" s="676"/>
      <c r="R192" s="676"/>
      <c r="S192" s="676"/>
      <c r="T192" s="676"/>
      <c r="U192" s="676"/>
      <c r="V192" s="676"/>
      <c r="W192" s="676">
        <f t="shared" si="111"/>
        <v>0</v>
      </c>
      <c r="Y192" s="688">
        <f>IFERROR(VLOOKUP($A192,'[94]1月'!$A:$H,8,0),0)</f>
        <v>0</v>
      </c>
      <c r="Z192" s="688">
        <f>IFERROR(VLOOKUP($A192,'[94]2月'!$A:$H,8,0),0)</f>
        <v>0</v>
      </c>
      <c r="AA192" s="688">
        <f>IFERROR(VLOOKUP($A192,'[94]3月'!$A:$H,8,0),0)</f>
        <v>0</v>
      </c>
      <c r="AB192" s="688">
        <f>IFERROR(VLOOKUP($A192,'[94]4月'!$A:$H,8,0),0)</f>
        <v>0</v>
      </c>
      <c r="AC192" s="688">
        <f>IFERROR(VLOOKUP($A192,'[94]5月'!$A:$H,8,0),0)</f>
        <v>0</v>
      </c>
      <c r="AD192" s="688">
        <f>IFERROR(VLOOKUP($A192,'[94]6月'!$A:$H,8,0),0)</f>
        <v>0</v>
      </c>
      <c r="AE192" s="688">
        <f>IFERROR(VLOOKUP($A192,'[94]7月'!$A:$H,8,0),0)</f>
        <v>0</v>
      </c>
      <c r="AF192" s="688">
        <f>IFERROR(VLOOKUP($A192,'[94]8月'!$A:$H,8,0),0)</f>
        <v>0</v>
      </c>
      <c r="AG192" s="688">
        <f>IFERROR(VLOOKUP($A192,'[94]9月'!$A:$H,8,0),0)</f>
        <v>0</v>
      </c>
      <c r="AH192" s="688">
        <f>IFERROR(VLOOKUP($A192,'[94]10月'!$A:$H,8,0),0)</f>
        <v>0</v>
      </c>
      <c r="AI192" s="688">
        <f>IFERROR(VLOOKUP($A192,'[94]11月'!$A:$H,8,0),0)</f>
        <v>0</v>
      </c>
      <c r="AJ192" s="688">
        <f>IFERROR(VLOOKUP($A192,'[94]12月'!$A:$H,8,0),0)</f>
        <v>0</v>
      </c>
      <c r="AK192" s="688">
        <f t="shared" si="121"/>
        <v>0</v>
      </c>
    </row>
    <row r="193" spans="1:37" ht="13.5" hidden="1" customHeight="1">
      <c r="A193" s="653" t="str">
        <f>'Budget-合并'!A193</f>
        <v>6402</v>
      </c>
      <c r="B193" s="653" t="str">
        <f>'Budget-合并'!B193</f>
        <v>其他业务成本</v>
      </c>
      <c r="C193" s="687">
        <f>'Budget-合并'!C193</f>
        <v>0</v>
      </c>
      <c r="D193" s="676">
        <f t="shared" si="119"/>
        <v>0</v>
      </c>
      <c r="E193" s="676" t="e">
        <f t="shared" si="112"/>
        <v>#N/A</v>
      </c>
      <c r="F193" s="676" t="e">
        <f t="shared" si="113"/>
        <v>#N/A</v>
      </c>
      <c r="G193" s="676">
        <f t="shared" ca="1" si="114"/>
        <v>0</v>
      </c>
      <c r="H193" s="676" t="e">
        <f t="shared" ca="1" si="115"/>
        <v>#N/A</v>
      </c>
      <c r="I193" s="676" t="e">
        <f t="shared" ca="1" si="116"/>
        <v>#N/A</v>
      </c>
      <c r="K193" s="676"/>
      <c r="L193" s="676"/>
      <c r="M193" s="676"/>
      <c r="N193" s="676"/>
      <c r="O193" s="676"/>
      <c r="P193" s="676"/>
      <c r="Q193" s="676"/>
      <c r="R193" s="676"/>
      <c r="S193" s="676"/>
      <c r="T193" s="676"/>
      <c r="U193" s="676"/>
      <c r="V193" s="676"/>
      <c r="W193" s="676">
        <f t="shared" si="111"/>
        <v>0</v>
      </c>
      <c r="Y193" s="688">
        <f>IFERROR(VLOOKUP($A193,'[94]1月'!$A:$H,8,0),0)</f>
        <v>0</v>
      </c>
      <c r="Z193" s="688">
        <f>IFERROR(VLOOKUP($A193,'[94]2月'!$A:$H,8,0),0)</f>
        <v>0</v>
      </c>
      <c r="AA193" s="688">
        <f>IFERROR(VLOOKUP($A193,'[94]3月'!$A:$H,8,0),0)</f>
        <v>0</v>
      </c>
      <c r="AB193" s="688">
        <f>IFERROR(VLOOKUP($A193,'[94]4月'!$A:$H,8,0),0)</f>
        <v>0</v>
      </c>
      <c r="AC193" s="688">
        <f>IFERROR(VLOOKUP($A193,'[94]5月'!$A:$H,8,0),0)</f>
        <v>0</v>
      </c>
      <c r="AD193" s="688">
        <f>IFERROR(VLOOKUP($A193,'[94]6月'!$A:$H,8,0),0)</f>
        <v>0</v>
      </c>
      <c r="AE193" s="688">
        <f>IFERROR(VLOOKUP($A193,'[94]7月'!$A:$H,8,0),0)</f>
        <v>0</v>
      </c>
      <c r="AF193" s="688">
        <f>IFERROR(VLOOKUP($A193,'[94]8月'!$A:$H,8,0),0)</f>
        <v>0</v>
      </c>
      <c r="AG193" s="688">
        <f>IFERROR(VLOOKUP($A193,'[94]9月'!$A:$H,8,0),0)</f>
        <v>0</v>
      </c>
      <c r="AH193" s="688">
        <f>IFERROR(VLOOKUP($A193,'[94]10月'!$A:$H,8,0),0)</f>
        <v>0</v>
      </c>
      <c r="AI193" s="688">
        <f>IFERROR(VLOOKUP($A193,'[94]11月'!$A:$H,8,0),0)</f>
        <v>0</v>
      </c>
      <c r="AJ193" s="688">
        <f>IFERROR(VLOOKUP($A193,'[94]12月'!$A:$H,8,0),0)</f>
        <v>0</v>
      </c>
      <c r="AK193" s="688">
        <f t="shared" si="121"/>
        <v>0</v>
      </c>
    </row>
    <row r="194" spans="1:37" ht="13.5" hidden="1" customHeight="1">
      <c r="A194" s="653" t="str">
        <f>'Budget-合并'!A194</f>
        <v>6701</v>
      </c>
      <c r="B194" s="653" t="str">
        <f>'Budget-合并'!B194</f>
        <v>资产减值损失</v>
      </c>
      <c r="C194" s="687" t="str">
        <f>'Budget-合并'!C194</f>
        <v>Impairment loss</v>
      </c>
      <c r="D194" s="676">
        <f t="shared" si="119"/>
        <v>0</v>
      </c>
      <c r="E194" s="676" t="e">
        <f t="shared" si="112"/>
        <v>#N/A</v>
      </c>
      <c r="F194" s="676" t="e">
        <f t="shared" si="113"/>
        <v>#N/A</v>
      </c>
      <c r="G194" s="676">
        <f t="shared" ca="1" si="114"/>
        <v>0</v>
      </c>
      <c r="H194" s="676" t="e">
        <f t="shared" ca="1" si="115"/>
        <v>#N/A</v>
      </c>
      <c r="I194" s="676" t="e">
        <f t="shared" ca="1" si="116"/>
        <v>#N/A</v>
      </c>
      <c r="K194" s="676"/>
      <c r="L194" s="676"/>
      <c r="M194" s="676"/>
      <c r="N194" s="676"/>
      <c r="O194" s="676"/>
      <c r="P194" s="676"/>
      <c r="Q194" s="676"/>
      <c r="R194" s="676"/>
      <c r="S194" s="676"/>
      <c r="T194" s="676"/>
      <c r="U194" s="676"/>
      <c r="V194" s="676"/>
      <c r="W194" s="676">
        <f t="shared" si="111"/>
        <v>0</v>
      </c>
      <c r="Y194" s="688">
        <f>IFERROR(VLOOKUP($A194,'[94]1月'!$A:$H,8,0),0)</f>
        <v>0</v>
      </c>
      <c r="Z194" s="688">
        <f>IFERROR(VLOOKUP($A194,'[94]2月'!$A:$H,8,0),0)</f>
        <v>0</v>
      </c>
      <c r="AA194" s="688">
        <f>IFERROR(VLOOKUP($A194,'[94]3月'!$A:$H,8,0),0)</f>
        <v>0</v>
      </c>
      <c r="AB194" s="688">
        <f>IFERROR(VLOOKUP($A194,'[94]4月'!$A:$H,8,0),0)</f>
        <v>0</v>
      </c>
      <c r="AC194" s="688">
        <f>IFERROR(VLOOKUP($A194,'[94]5月'!$A:$H,8,0),0)</f>
        <v>0</v>
      </c>
      <c r="AD194" s="688">
        <f>IFERROR(VLOOKUP($A194,'[94]6月'!$A:$H,8,0),0)</f>
        <v>0</v>
      </c>
      <c r="AE194" s="688">
        <f>IFERROR(VLOOKUP($A194,'[94]7月'!$A:$H,8,0),0)</f>
        <v>0</v>
      </c>
      <c r="AF194" s="688">
        <f>IFERROR(VLOOKUP($A194,'[94]8月'!$A:$H,8,0),0)</f>
        <v>0</v>
      </c>
      <c r="AG194" s="688">
        <f>IFERROR(VLOOKUP($A194,'[94]9月'!$A:$H,8,0),0)</f>
        <v>0</v>
      </c>
      <c r="AH194" s="688">
        <f>IFERROR(VLOOKUP($A194,'[94]10月'!$A:$H,8,0),0)</f>
        <v>0</v>
      </c>
      <c r="AI194" s="688">
        <f>IFERROR(VLOOKUP($A194,'[94]11月'!$A:$H,8,0),0)</f>
        <v>0</v>
      </c>
      <c r="AJ194" s="688">
        <f>IFERROR(VLOOKUP($A194,'[94]12月'!$A:$H,8,0),0)</f>
        <v>0</v>
      </c>
      <c r="AK194" s="688">
        <f t="shared" si="121"/>
        <v>0</v>
      </c>
    </row>
    <row r="195" spans="1:37" s="649" customFormat="1" ht="13.5" hidden="1" customHeight="1">
      <c r="A195" s="653" t="str">
        <f>'Budget-合并'!A195</f>
        <v>6711</v>
      </c>
      <c r="B195" s="653" t="str">
        <f>'Budget-合并'!B195</f>
        <v>营业外支出</v>
      </c>
      <c r="C195" s="687">
        <f>'Budget-合并'!C195</f>
        <v>0</v>
      </c>
      <c r="D195" s="676">
        <f t="shared" si="119"/>
        <v>0</v>
      </c>
      <c r="E195" s="676" t="e">
        <f t="shared" si="112"/>
        <v>#N/A</v>
      </c>
      <c r="F195" s="676" t="e">
        <f t="shared" si="113"/>
        <v>#N/A</v>
      </c>
      <c r="G195" s="676">
        <f t="shared" ca="1" si="114"/>
        <v>0</v>
      </c>
      <c r="H195" s="676" t="e">
        <f t="shared" ca="1" si="115"/>
        <v>#N/A</v>
      </c>
      <c r="I195" s="676" t="e">
        <f t="shared" ca="1" si="116"/>
        <v>#N/A</v>
      </c>
      <c r="J195" s="654"/>
      <c r="K195" s="676">
        <f t="shared" ref="K195:V195" si="122">SUM(K196:K197)</f>
        <v>0</v>
      </c>
      <c r="L195" s="676">
        <f t="shared" si="122"/>
        <v>0</v>
      </c>
      <c r="M195" s="676">
        <f t="shared" si="122"/>
        <v>0</v>
      </c>
      <c r="N195" s="676">
        <f t="shared" si="122"/>
        <v>0</v>
      </c>
      <c r="O195" s="676">
        <f t="shared" si="122"/>
        <v>0</v>
      </c>
      <c r="P195" s="676">
        <f t="shared" si="122"/>
        <v>0</v>
      </c>
      <c r="Q195" s="676">
        <f t="shared" si="122"/>
        <v>0</v>
      </c>
      <c r="R195" s="676">
        <f t="shared" si="122"/>
        <v>0</v>
      </c>
      <c r="S195" s="676">
        <f t="shared" si="122"/>
        <v>0</v>
      </c>
      <c r="T195" s="676">
        <f t="shared" si="122"/>
        <v>0</v>
      </c>
      <c r="U195" s="676">
        <f t="shared" si="122"/>
        <v>0</v>
      </c>
      <c r="V195" s="676">
        <f t="shared" si="122"/>
        <v>0</v>
      </c>
      <c r="W195" s="676">
        <f t="shared" si="111"/>
        <v>0</v>
      </c>
      <c r="Y195" s="688">
        <f>IFERROR(VLOOKUP($A195,'[94]1月'!$A:$H,8,0),0)</f>
        <v>0</v>
      </c>
      <c r="Z195" s="688">
        <f>IFERROR(VLOOKUP($A195,'[94]2月'!$A:$H,8,0),0)</f>
        <v>36486</v>
      </c>
      <c r="AA195" s="688">
        <f>IFERROR(VLOOKUP($A195,'[94]3月'!$A:$H,8,0),0)</f>
        <v>0</v>
      </c>
      <c r="AB195" s="688">
        <f>IFERROR(VLOOKUP($A195,'[94]4月'!$A:$H,8,0),0)</f>
        <v>0</v>
      </c>
      <c r="AC195" s="688">
        <f>IFERROR(VLOOKUP($A195,'[94]5月'!$A:$H,8,0),0)</f>
        <v>0</v>
      </c>
      <c r="AD195" s="688">
        <f>IFERROR(VLOOKUP($A195,'[94]6月'!$A:$H,8,0),0)</f>
        <v>0</v>
      </c>
      <c r="AE195" s="688">
        <f>IFERROR(VLOOKUP($A195,'[94]7月'!$A:$H,8,0),0)</f>
        <v>0</v>
      </c>
      <c r="AF195" s="688">
        <f>IFERROR(VLOOKUP($A195,'[94]8月'!$A:$H,8,0),0)</f>
        <v>0</v>
      </c>
      <c r="AG195" s="688">
        <f>IFERROR(VLOOKUP($A195,'[94]9月'!$A:$H,8,0),0)</f>
        <v>0</v>
      </c>
      <c r="AH195" s="688">
        <f>IFERROR(VLOOKUP($A195,'[94]10月'!$A:$H,8,0),0)</f>
        <v>0</v>
      </c>
      <c r="AI195" s="688">
        <f>IFERROR(VLOOKUP($A195,'[94]11月'!$A:$H,8,0),0)</f>
        <v>0</v>
      </c>
      <c r="AJ195" s="688">
        <f>IFERROR(VLOOKUP($A195,'[94]12月'!$A:$H,8,0),0)</f>
        <v>0</v>
      </c>
      <c r="AK195" s="688">
        <f t="shared" si="121"/>
        <v>36486</v>
      </c>
    </row>
    <row r="196" spans="1:37" ht="13.5" hidden="1" customHeight="1">
      <c r="A196" s="653" t="str">
        <f>'Budget-合并'!A196</f>
        <v>6711.01</v>
      </c>
      <c r="B196" s="653" t="str">
        <f>'Budget-合并'!B196</f>
        <v>滞纳金</v>
      </c>
      <c r="C196" s="687">
        <f>'Budget-合并'!C196</f>
        <v>0</v>
      </c>
      <c r="D196" s="676">
        <f t="shared" si="119"/>
        <v>0</v>
      </c>
      <c r="E196" s="676" t="e">
        <f t="shared" si="112"/>
        <v>#N/A</v>
      </c>
      <c r="F196" s="676" t="e">
        <f t="shared" si="113"/>
        <v>#N/A</v>
      </c>
      <c r="G196" s="676">
        <f t="shared" ca="1" si="114"/>
        <v>0</v>
      </c>
      <c r="H196" s="676" t="e">
        <f t="shared" ca="1" si="115"/>
        <v>#N/A</v>
      </c>
      <c r="I196" s="676" t="e">
        <f t="shared" ca="1" si="116"/>
        <v>#N/A</v>
      </c>
      <c r="K196" s="676"/>
      <c r="L196" s="676"/>
      <c r="M196" s="676"/>
      <c r="N196" s="676"/>
      <c r="O196" s="676"/>
      <c r="P196" s="676"/>
      <c r="Q196" s="676"/>
      <c r="R196" s="676"/>
      <c r="S196" s="676"/>
      <c r="T196" s="676"/>
      <c r="U196" s="676"/>
      <c r="V196" s="676"/>
      <c r="W196" s="676">
        <f t="shared" si="111"/>
        <v>0</v>
      </c>
      <c r="Y196" s="688">
        <f>IFERROR(VLOOKUP($A196,'[94]1月'!$A:$H,8,0),0)</f>
        <v>0</v>
      </c>
      <c r="Z196" s="688">
        <f>IFERROR(VLOOKUP($A196,'[94]2月'!$A:$H,8,0),0)</f>
        <v>0</v>
      </c>
      <c r="AA196" s="688">
        <f>IFERROR(VLOOKUP($A196,'[94]3月'!$A:$H,8,0),0)</f>
        <v>0</v>
      </c>
      <c r="AB196" s="688">
        <f>IFERROR(VLOOKUP($A196,'[94]4月'!$A:$H,8,0),0)</f>
        <v>0</v>
      </c>
      <c r="AC196" s="688">
        <f>IFERROR(VLOOKUP($A196,'[94]5月'!$A:$H,8,0),0)</f>
        <v>0</v>
      </c>
      <c r="AD196" s="688">
        <f>IFERROR(VLOOKUP($A196,'[94]6月'!$A:$H,8,0),0)</f>
        <v>0</v>
      </c>
      <c r="AE196" s="688">
        <f>IFERROR(VLOOKUP($A196,'[94]7月'!$A:$H,8,0),0)</f>
        <v>0</v>
      </c>
      <c r="AF196" s="688">
        <f>IFERROR(VLOOKUP($A196,'[94]8月'!$A:$H,8,0),0)</f>
        <v>0</v>
      </c>
      <c r="AG196" s="688">
        <f>IFERROR(VLOOKUP($A196,'[94]9月'!$A:$H,8,0),0)</f>
        <v>0</v>
      </c>
      <c r="AH196" s="688">
        <f>IFERROR(VLOOKUP($A196,'[94]10月'!$A:$H,8,0),0)</f>
        <v>0</v>
      </c>
      <c r="AI196" s="688">
        <f>IFERROR(VLOOKUP($A196,'[94]11月'!$A:$H,8,0),0)</f>
        <v>0</v>
      </c>
      <c r="AJ196" s="688">
        <f>IFERROR(VLOOKUP($A196,'[94]12月'!$A:$H,8,0),0)</f>
        <v>0</v>
      </c>
      <c r="AK196" s="688">
        <f t="shared" si="121"/>
        <v>0</v>
      </c>
    </row>
    <row r="197" spans="1:37" ht="13.5" hidden="1" customHeight="1">
      <c r="A197" s="653" t="str">
        <f>'Budget-合并'!A197</f>
        <v>6711.02</v>
      </c>
      <c r="B197" s="653" t="str">
        <f>'Budget-合并'!B197</f>
        <v>非流动资产处置损失</v>
      </c>
      <c r="C197" s="687">
        <f>'Budget-合并'!C197</f>
        <v>0</v>
      </c>
      <c r="D197" s="676">
        <f t="shared" si="119"/>
        <v>0</v>
      </c>
      <c r="E197" s="676" t="e">
        <f t="shared" si="112"/>
        <v>#N/A</v>
      </c>
      <c r="F197" s="676" t="e">
        <f t="shared" si="113"/>
        <v>#N/A</v>
      </c>
      <c r="G197" s="676">
        <f t="shared" ca="1" si="114"/>
        <v>0</v>
      </c>
      <c r="H197" s="676" t="e">
        <f t="shared" ca="1" si="115"/>
        <v>#N/A</v>
      </c>
      <c r="I197" s="676" t="e">
        <f t="shared" ca="1" si="116"/>
        <v>#N/A</v>
      </c>
      <c r="K197" s="676"/>
      <c r="L197" s="676"/>
      <c r="M197" s="676"/>
      <c r="N197" s="676"/>
      <c r="O197" s="676"/>
      <c r="P197" s="676"/>
      <c r="Q197" s="676"/>
      <c r="R197" s="676"/>
      <c r="S197" s="676"/>
      <c r="T197" s="676"/>
      <c r="U197" s="676"/>
      <c r="V197" s="676"/>
      <c r="W197" s="676">
        <f t="shared" si="111"/>
        <v>0</v>
      </c>
      <c r="Y197" s="688">
        <f>IFERROR(VLOOKUP($A197,'[94]1月'!$A:$H,8,0),0)</f>
        <v>0</v>
      </c>
      <c r="Z197" s="688">
        <f>IFERROR(VLOOKUP($A197,'[94]2月'!$A:$H,8,0),0)</f>
        <v>36486</v>
      </c>
      <c r="AA197" s="688">
        <f>IFERROR(VLOOKUP($A197,'[94]3月'!$A:$H,8,0),0)</f>
        <v>0</v>
      </c>
      <c r="AB197" s="688">
        <f>IFERROR(VLOOKUP($A197,'[94]4月'!$A:$H,8,0),0)</f>
        <v>0</v>
      </c>
      <c r="AC197" s="688">
        <f>IFERROR(VLOOKUP($A197,'[94]5月'!$A:$H,8,0),0)</f>
        <v>0</v>
      </c>
      <c r="AD197" s="688">
        <f>IFERROR(VLOOKUP($A197,'[94]6月'!$A:$H,8,0),0)</f>
        <v>0</v>
      </c>
      <c r="AE197" s="688">
        <f>IFERROR(VLOOKUP($A197,'[94]7月'!$A:$H,8,0),0)</f>
        <v>0</v>
      </c>
      <c r="AF197" s="688">
        <f>IFERROR(VLOOKUP($A197,'[94]8月'!$A:$H,8,0),0)</f>
        <v>0</v>
      </c>
      <c r="AG197" s="688">
        <f>IFERROR(VLOOKUP($A197,'[94]9月'!$A:$H,8,0),0)</f>
        <v>0</v>
      </c>
      <c r="AH197" s="688">
        <f>IFERROR(VLOOKUP($A197,'[94]10月'!$A:$H,8,0),0)</f>
        <v>0</v>
      </c>
      <c r="AI197" s="688">
        <f>IFERROR(VLOOKUP($A197,'[94]11月'!$A:$H,8,0),0)</f>
        <v>0</v>
      </c>
      <c r="AJ197" s="688">
        <f>IFERROR(VLOOKUP($A197,'[94]12月'!$A:$H,8,0),0)</f>
        <v>0</v>
      </c>
      <c r="AK197" s="688">
        <f t="shared" si="121"/>
        <v>36486</v>
      </c>
    </row>
    <row r="198" spans="1:37" ht="13.5" hidden="1" customHeight="1">
      <c r="A198" s="653" t="str">
        <f>'Budget-合并'!A198</f>
        <v>6901</v>
      </c>
      <c r="B198" s="653" t="str">
        <f>'Budget-合并'!B198</f>
        <v>以前年度损益调整</v>
      </c>
      <c r="C198" s="687">
        <f>'Budget-合并'!C198</f>
        <v>0</v>
      </c>
      <c r="D198" s="676">
        <f t="shared" si="119"/>
        <v>0</v>
      </c>
      <c r="E198" s="676" t="e">
        <f t="shared" si="112"/>
        <v>#N/A</v>
      </c>
      <c r="F198" s="676" t="e">
        <f t="shared" si="113"/>
        <v>#N/A</v>
      </c>
      <c r="G198" s="676">
        <f t="shared" ca="1" si="114"/>
        <v>0</v>
      </c>
      <c r="H198" s="676" t="e">
        <f t="shared" ca="1" si="115"/>
        <v>#N/A</v>
      </c>
      <c r="I198" s="676" t="e">
        <f t="shared" ca="1" si="116"/>
        <v>#N/A</v>
      </c>
      <c r="K198" s="676"/>
      <c r="L198" s="676"/>
      <c r="M198" s="676"/>
      <c r="N198" s="676"/>
      <c r="O198" s="676"/>
      <c r="P198" s="676"/>
      <c r="Q198" s="676"/>
      <c r="R198" s="676"/>
      <c r="S198" s="676"/>
      <c r="T198" s="676"/>
      <c r="U198" s="676"/>
      <c r="V198" s="676"/>
      <c r="W198" s="676">
        <f t="shared" si="111"/>
        <v>0</v>
      </c>
      <c r="Y198" s="688">
        <f>IFERROR(VLOOKUP($A198,'[94]1月'!$A:$H,8,0),0)</f>
        <v>0</v>
      </c>
      <c r="Z198" s="688">
        <f>IFERROR(VLOOKUP($A198,'[94]2月'!$A:$H,8,0),0)</f>
        <v>0</v>
      </c>
      <c r="AA198" s="688">
        <f>IFERROR(VLOOKUP($A198,'[94]3月'!$A:$H,8,0),0)</f>
        <v>0</v>
      </c>
      <c r="AB198" s="688">
        <f>IFERROR(VLOOKUP($A198,'[94]4月'!$A:$H,8,0),0)</f>
        <v>0</v>
      </c>
      <c r="AC198" s="688">
        <f>IFERROR(VLOOKUP($A198,'[94]5月'!$A:$H,8,0),0)</f>
        <v>0</v>
      </c>
      <c r="AD198" s="688">
        <f>IFERROR(VLOOKUP($A198,'[94]6月'!$A:$H,8,0),0)</f>
        <v>0</v>
      </c>
      <c r="AE198" s="688">
        <f>IFERROR(VLOOKUP($A198,'[94]7月'!$A:$H,8,0),0)</f>
        <v>0</v>
      </c>
      <c r="AF198" s="688">
        <f>IFERROR(VLOOKUP($A198,'[94]8月'!$A:$H,8,0),0)</f>
        <v>0</v>
      </c>
      <c r="AG198" s="688">
        <f>IFERROR(VLOOKUP($A198,'[94]9月'!$A:$H,8,0),0)</f>
        <v>0</v>
      </c>
      <c r="AH198" s="688">
        <f>IFERROR(VLOOKUP($A198,'[94]10月'!$A:$H,8,0),0)</f>
        <v>0</v>
      </c>
      <c r="AI198" s="688">
        <f>IFERROR(VLOOKUP($A198,'[94]11月'!$A:$H,8,0),0)</f>
        <v>0</v>
      </c>
      <c r="AJ198" s="688">
        <f>IFERROR(VLOOKUP($A198,'[94]12月'!$A:$H,8,0),0)</f>
        <v>0</v>
      </c>
      <c r="AK198" s="688">
        <f t="shared" si="121"/>
        <v>0</v>
      </c>
    </row>
    <row r="199" spans="1:37" ht="13.5" hidden="1" customHeight="1">
      <c r="A199" s="686">
        <f>'Budget-合并'!A199</f>
        <v>0</v>
      </c>
      <c r="B199" s="686" t="str">
        <f>'Budget-合并'!B199</f>
        <v>营业外收入 (支-, 收+):</v>
      </c>
      <c r="C199" s="687">
        <f>'Budget-合并'!C199</f>
        <v>0</v>
      </c>
      <c r="D199" s="677">
        <f t="shared" si="119"/>
        <v>0</v>
      </c>
      <c r="E199" s="677" t="e">
        <f t="shared" si="112"/>
        <v>#N/A</v>
      </c>
      <c r="F199" s="677" t="e">
        <f t="shared" si="113"/>
        <v>#N/A</v>
      </c>
      <c r="G199" s="677">
        <f t="shared" ca="1" si="114"/>
        <v>0</v>
      </c>
      <c r="H199" s="677" t="e">
        <f t="shared" ca="1" si="115"/>
        <v>#N/A</v>
      </c>
      <c r="I199" s="677" t="e">
        <f t="shared" ca="1" si="116"/>
        <v>#N/A</v>
      </c>
      <c r="K199" s="677">
        <f t="shared" ref="K199:W199" si="123">K187-K193-K194-K195+K198</f>
        <v>0</v>
      </c>
      <c r="L199" s="677">
        <f t="shared" si="123"/>
        <v>0</v>
      </c>
      <c r="M199" s="677">
        <f t="shared" si="123"/>
        <v>0</v>
      </c>
      <c r="N199" s="677">
        <f t="shared" si="123"/>
        <v>0</v>
      </c>
      <c r="O199" s="677">
        <f t="shared" si="123"/>
        <v>0</v>
      </c>
      <c r="P199" s="677">
        <f t="shared" si="123"/>
        <v>0</v>
      </c>
      <c r="Q199" s="677">
        <f t="shared" si="123"/>
        <v>0</v>
      </c>
      <c r="R199" s="677">
        <f t="shared" si="123"/>
        <v>0</v>
      </c>
      <c r="S199" s="677">
        <f t="shared" si="123"/>
        <v>0</v>
      </c>
      <c r="T199" s="677">
        <f t="shared" si="123"/>
        <v>0</v>
      </c>
      <c r="U199" s="677">
        <f t="shared" si="123"/>
        <v>0</v>
      </c>
      <c r="V199" s="677">
        <f t="shared" si="123"/>
        <v>0</v>
      </c>
      <c r="W199" s="677">
        <f t="shared" si="123"/>
        <v>0</v>
      </c>
      <c r="Y199" s="677">
        <f t="shared" ref="Y199:AK199" si="124">Y187-Y193-Y194-Y195-Y198</f>
        <v>0</v>
      </c>
      <c r="Z199" s="677">
        <f t="shared" si="124"/>
        <v>-36486</v>
      </c>
      <c r="AA199" s="677">
        <f t="shared" si="124"/>
        <v>0</v>
      </c>
      <c r="AB199" s="677">
        <f t="shared" si="124"/>
        <v>0</v>
      </c>
      <c r="AC199" s="677">
        <f t="shared" si="124"/>
        <v>0</v>
      </c>
      <c r="AD199" s="677">
        <f t="shared" si="124"/>
        <v>0</v>
      </c>
      <c r="AE199" s="677">
        <f t="shared" si="124"/>
        <v>0</v>
      </c>
      <c r="AF199" s="677">
        <f t="shared" si="124"/>
        <v>0</v>
      </c>
      <c r="AG199" s="677">
        <f t="shared" si="124"/>
        <v>0</v>
      </c>
      <c r="AH199" s="677">
        <f t="shared" si="124"/>
        <v>0</v>
      </c>
      <c r="AI199" s="677">
        <f t="shared" si="124"/>
        <v>0</v>
      </c>
      <c r="AJ199" s="677">
        <f t="shared" si="124"/>
        <v>0</v>
      </c>
      <c r="AK199" s="677">
        <f t="shared" si="124"/>
        <v>-36486</v>
      </c>
    </row>
    <row r="200" spans="1:37" ht="13.5" customHeight="1">
      <c r="A200" s="653">
        <f>'Budget-合并'!A200</f>
        <v>0</v>
      </c>
      <c r="B200" s="653">
        <f>'Budget-合并'!B200</f>
        <v>0</v>
      </c>
      <c r="C200" s="687">
        <f>'Budget-合并'!C200</f>
        <v>0</v>
      </c>
      <c r="D200" s="677"/>
      <c r="E200" s="677"/>
      <c r="F200" s="677"/>
    </row>
    <row r="201" spans="1:37" ht="13.5" customHeight="1">
      <c r="A201" s="686">
        <f>'Budget-合并'!A201</f>
        <v>0</v>
      </c>
      <c r="B201" s="686" t="str">
        <f>'Budget-合并'!B201</f>
        <v>利润总额 (税前利润)</v>
      </c>
      <c r="C201" s="687">
        <f>'Budget-合并'!C201</f>
        <v>0</v>
      </c>
      <c r="D201" s="677">
        <f ca="1">INDEX($K201:$V201,1,MATCH($D$6,$K$6:$V$6))</f>
        <v>-564196.97688888898</v>
      </c>
      <c r="E201" s="677" t="e">
        <f t="shared" ref="E201:E205" si="125">INDEX($Y201:$AJ201,1,MATCH($E$6,$Y$6:$AJ$6))</f>
        <v>#N/A</v>
      </c>
      <c r="F201" s="677" t="e">
        <f t="shared" ref="F201:F205" ca="1" si="126">D201-E201</f>
        <v>#N/A</v>
      </c>
      <c r="G201" s="677">
        <f t="shared" ref="G201:G205" ca="1" si="127">SUM($K201:OFFSET($K201,0,MATCH(G$6,$K$6:$V$6)-1))</f>
        <v>-564196.97688888898</v>
      </c>
      <c r="H201" s="677" t="e">
        <f t="shared" ref="H201:H205" ca="1" si="128">SUM($Y201:OFFSET($Y201,0,MATCH(H$6,$Y$6:$AJ$6)-1))</f>
        <v>#N/A</v>
      </c>
      <c r="I201" s="677" t="e">
        <f t="shared" ref="I201:I205" ca="1" si="129">G201-H201</f>
        <v>#N/A</v>
      </c>
      <c r="K201" s="677">
        <f ca="1">K185+K199</f>
        <v>-564196.97688888898</v>
      </c>
      <c r="L201" s="677">
        <f t="shared" ref="L201:W201" ca="1" si="130">L185+L199</f>
        <v>-699131.30688888894</v>
      </c>
      <c r="M201" s="677">
        <f t="shared" ca="1" si="130"/>
        <v>-578753.19688888895</v>
      </c>
      <c r="N201" s="677">
        <f t="shared" ca="1" si="130"/>
        <v>-768271.73503913521</v>
      </c>
      <c r="O201" s="677">
        <f t="shared" ca="1" si="130"/>
        <v>1911385.3054016384</v>
      </c>
      <c r="P201" s="677">
        <f t="shared" ca="1" si="130"/>
        <v>-873888.05017005152</v>
      </c>
      <c r="Q201" s="677">
        <f t="shared" ca="1" si="130"/>
        <v>345282.9509719364</v>
      </c>
      <c r="R201" s="677">
        <f t="shared" ca="1" si="130"/>
        <v>-925117.48388888896</v>
      </c>
      <c r="S201" s="677">
        <f t="shared" ca="1" si="130"/>
        <v>-1070917.483888889</v>
      </c>
      <c r="T201" s="677">
        <f t="shared" ca="1" si="130"/>
        <v>1779157.1819939169</v>
      </c>
      <c r="U201" s="677">
        <f t="shared" ca="1" si="130"/>
        <v>-920917.48388888896</v>
      </c>
      <c r="V201" s="677">
        <f t="shared" ca="1" si="130"/>
        <v>-2549534.1880955803</v>
      </c>
      <c r="W201" s="677">
        <f t="shared" ca="1" si="130"/>
        <v>-4914902.467270609</v>
      </c>
      <c r="Y201" s="677">
        <f t="shared" ref="Y201:AK201" si="131">Y185+Y199</f>
        <v>329867.39000000013</v>
      </c>
      <c r="Z201" s="677">
        <f t="shared" si="131"/>
        <v>161080.19999999995</v>
      </c>
      <c r="AA201" s="677">
        <f t="shared" si="131"/>
        <v>-412765.34000000014</v>
      </c>
      <c r="AB201" s="677">
        <f t="shared" si="131"/>
        <v>481110.52999999997</v>
      </c>
      <c r="AC201" s="677">
        <f t="shared" si="131"/>
        <v>405388.62000000005</v>
      </c>
      <c r="AD201" s="677">
        <f t="shared" si="131"/>
        <v>-1242934.4200000002</v>
      </c>
      <c r="AE201" s="677">
        <f t="shared" si="131"/>
        <v>-237145.51</v>
      </c>
      <c r="AF201" s="677">
        <f t="shared" si="131"/>
        <v>-375056.69</v>
      </c>
      <c r="AG201" s="677">
        <f t="shared" si="131"/>
        <v>-516013.22999999992</v>
      </c>
      <c r="AH201" s="677">
        <f t="shared" si="131"/>
        <v>41333.459999999992</v>
      </c>
      <c r="AI201" s="677">
        <f t="shared" si="131"/>
        <v>-489253.45</v>
      </c>
      <c r="AJ201" s="677">
        <f t="shared" si="131"/>
        <v>-636294.19999999995</v>
      </c>
      <c r="AK201" s="677">
        <f t="shared" si="131"/>
        <v>-2490682.6400000006</v>
      </c>
    </row>
    <row r="202" spans="1:37" ht="13.5" customHeight="1">
      <c r="A202" s="653">
        <f>'Budget-合并'!A202</f>
        <v>0</v>
      </c>
      <c r="B202" s="653">
        <f>'Budget-合并'!B202</f>
        <v>0</v>
      </c>
      <c r="C202" s="687">
        <f>'Budget-合并'!C202</f>
        <v>0</v>
      </c>
    </row>
    <row r="203" spans="1:37" ht="13.5" hidden="1" customHeight="1">
      <c r="A203" s="653" t="str">
        <f>'Budget-合并'!A203</f>
        <v>6801.01</v>
      </c>
      <c r="B203" s="653" t="str">
        <f>'Budget-合并'!B203</f>
        <v>当期所得税费用</v>
      </c>
      <c r="C203" s="687" t="str">
        <f>'Budget-合并'!C203</f>
        <v>Enterprise Income Tax</v>
      </c>
      <c r="D203" s="676">
        <f t="shared" ref="D203:D205" si="132">INDEX($K203:$V203,1,MATCH($D$6,$K$6:$V$6))</f>
        <v>0</v>
      </c>
      <c r="E203" s="676" t="e">
        <f t="shared" si="125"/>
        <v>#N/A</v>
      </c>
      <c r="F203" s="676" t="e">
        <f t="shared" si="126"/>
        <v>#N/A</v>
      </c>
      <c r="G203" s="676">
        <f t="shared" ca="1" si="127"/>
        <v>0</v>
      </c>
      <c r="H203" s="676" t="e">
        <f t="shared" ca="1" si="128"/>
        <v>#N/A</v>
      </c>
      <c r="I203" s="676" t="e">
        <f t="shared" ca="1" si="129"/>
        <v>#N/A</v>
      </c>
      <c r="K203" s="676"/>
      <c r="L203" s="676"/>
      <c r="M203" s="676"/>
      <c r="N203" s="676"/>
      <c r="O203" s="676"/>
      <c r="P203" s="676"/>
      <c r="Q203" s="676"/>
      <c r="R203" s="676"/>
      <c r="S203" s="676"/>
      <c r="T203" s="676"/>
      <c r="U203" s="676"/>
      <c r="V203" s="676"/>
      <c r="W203" s="676">
        <f t="shared" ref="W203:W205" si="133">SUM(K203:V203)</f>
        <v>0</v>
      </c>
      <c r="Y203" s="688">
        <f>IFERROR(VLOOKUP($A203,'[94]1月'!$A:$H,8,0),0)</f>
        <v>0</v>
      </c>
      <c r="Z203" s="688">
        <f>IFERROR(VLOOKUP($A203,'[94]2月'!$A:$H,8,0),0)</f>
        <v>0</v>
      </c>
      <c r="AA203" s="688">
        <f>IFERROR(VLOOKUP($A203,'[94]3月'!$A:$H,8,0),0)</f>
        <v>3909.12</v>
      </c>
      <c r="AB203" s="688">
        <f>IFERROR(VLOOKUP($A203,'[94]4月'!$A:$H,8,0),0)</f>
        <v>0</v>
      </c>
      <c r="AC203" s="688">
        <f>IFERROR(VLOOKUP($A203,'[94]5月'!$A:$H,8,0),0)</f>
        <v>0</v>
      </c>
      <c r="AD203" s="688">
        <f>IFERROR(VLOOKUP($A203,'[94]6月'!$A:$H,8,0),0)</f>
        <v>0</v>
      </c>
      <c r="AE203" s="688">
        <f>IFERROR(VLOOKUP($A203,'[94]7月'!$A:$H,8,0),0)</f>
        <v>0</v>
      </c>
      <c r="AF203" s="688">
        <f>IFERROR(VLOOKUP($A203,'[94]8月'!$A:$H,8,0),0)</f>
        <v>0</v>
      </c>
      <c r="AG203" s="688">
        <f>IFERROR(VLOOKUP($A203,'[94]9月'!$A:$H,8,0),0)</f>
        <v>0</v>
      </c>
      <c r="AH203" s="688">
        <f>IFERROR(VLOOKUP($A203,'[94]10月'!$A:$H,8,0),0)</f>
        <v>0</v>
      </c>
      <c r="AI203" s="688">
        <f>IFERROR(VLOOKUP($A203,'[94]11月'!$A:$H,8,0),0)</f>
        <v>0</v>
      </c>
      <c r="AJ203" s="688">
        <f>IFERROR(VLOOKUP($A203,'[94]12月'!$A:$H,8,0),0)</f>
        <v>0</v>
      </c>
      <c r="AK203" s="688">
        <f t="shared" ref="AK203:AK205" si="134">SUM(Y203:AJ203)</f>
        <v>3909.12</v>
      </c>
    </row>
    <row r="204" spans="1:37" ht="13.5" hidden="1" customHeight="1">
      <c r="A204" s="653" t="str">
        <f>'Budget-合并'!A204</f>
        <v>6801.02</v>
      </c>
      <c r="B204" s="653" t="str">
        <f>'Budget-合并'!B204</f>
        <v>递延所得税费用</v>
      </c>
      <c r="C204" s="687">
        <f>'Budget-合并'!C204</f>
        <v>0</v>
      </c>
      <c r="D204" s="676">
        <f t="shared" si="132"/>
        <v>0</v>
      </c>
      <c r="E204" s="676" t="e">
        <f t="shared" si="125"/>
        <v>#N/A</v>
      </c>
      <c r="F204" s="676" t="e">
        <f t="shared" si="126"/>
        <v>#N/A</v>
      </c>
      <c r="G204" s="676">
        <f t="shared" ca="1" si="127"/>
        <v>0</v>
      </c>
      <c r="H204" s="676" t="e">
        <f t="shared" ca="1" si="128"/>
        <v>#N/A</v>
      </c>
      <c r="I204" s="676" t="e">
        <f t="shared" ca="1" si="129"/>
        <v>#N/A</v>
      </c>
      <c r="K204" s="676"/>
      <c r="L204" s="676"/>
      <c r="M204" s="676"/>
      <c r="N204" s="676"/>
      <c r="O204" s="676"/>
      <c r="P204" s="676"/>
      <c r="Q204" s="676"/>
      <c r="R204" s="676"/>
      <c r="S204" s="676"/>
      <c r="T204" s="676"/>
      <c r="U204" s="676"/>
      <c r="V204" s="676"/>
      <c r="W204" s="676">
        <f t="shared" si="133"/>
        <v>0</v>
      </c>
      <c r="Y204" s="688">
        <f>IFERROR(VLOOKUP($A204,'[94]1月'!$A:$H,8,0),0)</f>
        <v>0</v>
      </c>
      <c r="Z204" s="688">
        <f>IFERROR(VLOOKUP($A204,'[94]2月'!$A:$H,8,0),0)</f>
        <v>0</v>
      </c>
      <c r="AA204" s="688">
        <f>IFERROR(VLOOKUP($A204,'[94]3月'!$A:$H,8,0),0)</f>
        <v>0</v>
      </c>
      <c r="AB204" s="688">
        <f>IFERROR(VLOOKUP($A204,'[94]4月'!$A:$H,8,0),0)</f>
        <v>0</v>
      </c>
      <c r="AC204" s="688">
        <f>IFERROR(VLOOKUP($A204,'[94]5月'!$A:$H,8,0),0)</f>
        <v>0</v>
      </c>
      <c r="AD204" s="688">
        <f>IFERROR(VLOOKUP($A204,'[94]6月'!$A:$H,8,0),0)</f>
        <v>0</v>
      </c>
      <c r="AE204" s="688">
        <f>IFERROR(VLOOKUP($A204,'[94]7月'!$A:$H,8,0),0)</f>
        <v>0</v>
      </c>
      <c r="AF204" s="688">
        <f>IFERROR(VLOOKUP($A204,'[94]8月'!$A:$H,8,0),0)</f>
        <v>0</v>
      </c>
      <c r="AG204" s="688">
        <f>IFERROR(VLOOKUP($A204,'[94]9月'!$A:$H,8,0),0)</f>
        <v>0</v>
      </c>
      <c r="AH204" s="688">
        <f>IFERROR(VLOOKUP($A204,'[94]10月'!$A:$H,8,0),0)</f>
        <v>0</v>
      </c>
      <c r="AI204" s="688">
        <f>IFERROR(VLOOKUP($A204,'[94]11月'!$A:$H,8,0),0)</f>
        <v>0</v>
      </c>
      <c r="AJ204" s="688">
        <f>IFERROR(VLOOKUP($A204,'[94]12月'!$A:$H,8,0),0)</f>
        <v>0</v>
      </c>
      <c r="AK204" s="688">
        <f t="shared" si="134"/>
        <v>0</v>
      </c>
    </row>
    <row r="205" spans="1:37" ht="13.5" hidden="1" customHeight="1">
      <c r="A205" s="653" t="str">
        <f>'Budget-合并'!A205</f>
        <v>6801.03</v>
      </c>
      <c r="B205" s="653" t="str">
        <f>'Budget-合并'!B205</f>
        <v>以前年度所得税费用</v>
      </c>
      <c r="C205" s="687">
        <f>'Budget-合并'!C205</f>
        <v>0</v>
      </c>
      <c r="D205" s="676">
        <f t="shared" si="132"/>
        <v>0</v>
      </c>
      <c r="E205" s="676" t="e">
        <f t="shared" si="125"/>
        <v>#N/A</v>
      </c>
      <c r="F205" s="676" t="e">
        <f t="shared" si="126"/>
        <v>#N/A</v>
      </c>
      <c r="G205" s="676">
        <f t="shared" ca="1" si="127"/>
        <v>0</v>
      </c>
      <c r="H205" s="676" t="e">
        <f t="shared" ca="1" si="128"/>
        <v>#N/A</v>
      </c>
      <c r="I205" s="676" t="e">
        <f t="shared" ca="1" si="129"/>
        <v>#N/A</v>
      </c>
      <c r="K205" s="676"/>
      <c r="L205" s="676"/>
      <c r="M205" s="676"/>
      <c r="N205" s="676"/>
      <c r="O205" s="676"/>
      <c r="P205" s="676"/>
      <c r="Q205" s="676"/>
      <c r="R205" s="676"/>
      <c r="S205" s="676"/>
      <c r="T205" s="676"/>
      <c r="U205" s="676"/>
      <c r="V205" s="676"/>
      <c r="W205" s="676">
        <f t="shared" si="133"/>
        <v>0</v>
      </c>
      <c r="Y205" s="688">
        <f>IFERROR(VLOOKUP($A205,'[94]1月'!$A:$H,8,0),0)</f>
        <v>0</v>
      </c>
      <c r="Z205" s="688">
        <f>IFERROR(VLOOKUP($A205,'[94]2月'!$A:$H,8,0),0)</f>
        <v>0</v>
      </c>
      <c r="AA205" s="688">
        <f>IFERROR(VLOOKUP($A205,'[94]3月'!$A:$H,8,0),0)</f>
        <v>0</v>
      </c>
      <c r="AB205" s="688">
        <f>IFERROR(VLOOKUP($A205,'[94]4月'!$A:$H,8,0),0)</f>
        <v>0</v>
      </c>
      <c r="AC205" s="688">
        <f>IFERROR(VLOOKUP($A205,'[94]5月'!$A:$H,8,0),0)</f>
        <v>2000</v>
      </c>
      <c r="AD205" s="688">
        <f>IFERROR(VLOOKUP($A205,'[94]6月'!$A:$H,8,0),0)</f>
        <v>0</v>
      </c>
      <c r="AE205" s="688">
        <f>IFERROR(VLOOKUP($A205,'[94]7月'!$A:$H,8,0),0)</f>
        <v>0</v>
      </c>
      <c r="AF205" s="688">
        <f>IFERROR(VLOOKUP($A205,'[94]8月'!$A:$H,8,0),0)</f>
        <v>0</v>
      </c>
      <c r="AG205" s="688">
        <f>IFERROR(VLOOKUP($A205,'[94]9月'!$A:$H,8,0),0)</f>
        <v>0</v>
      </c>
      <c r="AH205" s="688">
        <f>IFERROR(VLOOKUP($A205,'[94]10月'!$A:$H,8,0),0)</f>
        <v>0</v>
      </c>
      <c r="AI205" s="688">
        <f>IFERROR(VLOOKUP($A205,'[94]11月'!$A:$H,8,0),0)</f>
        <v>0</v>
      </c>
      <c r="AJ205" s="688">
        <f>IFERROR(VLOOKUP($A205,'[94]12月'!$A:$H,8,0),0)</f>
        <v>0</v>
      </c>
      <c r="AK205" s="688">
        <f t="shared" si="134"/>
        <v>2000</v>
      </c>
    </row>
    <row r="206" spans="1:37" ht="13.5" customHeight="1">
      <c r="A206" s="653">
        <f>'Budget-合并'!A206</f>
        <v>0</v>
      </c>
      <c r="B206" s="653">
        <f>'Budget-合并'!B206</f>
        <v>0</v>
      </c>
      <c r="C206" s="687">
        <f>'Budget-合并'!C206</f>
        <v>0</v>
      </c>
    </row>
    <row r="207" spans="1:37" ht="13.5" customHeight="1">
      <c r="A207" s="686">
        <f>'Budget-合并'!A207</f>
        <v>0</v>
      </c>
      <c r="B207" s="686" t="str">
        <f>'Budget-合并'!B207</f>
        <v>五  税后利润</v>
      </c>
      <c r="C207" s="687">
        <f>'Budget-合并'!C207</f>
        <v>0</v>
      </c>
      <c r="D207" s="677">
        <f ca="1">INDEX($K207:$V207,1,MATCH($D$6,$K$6:$V$6))</f>
        <v>-564196.97688888898</v>
      </c>
      <c r="E207" s="677" t="e">
        <f>INDEX($Y207:$AJ207,1,MATCH($E$6,$Y$6:$AJ$6))</f>
        <v>#N/A</v>
      </c>
      <c r="F207" s="677" t="e">
        <f ca="1">D207-E207</f>
        <v>#N/A</v>
      </c>
      <c r="G207" s="677">
        <f ca="1">SUM($K207:OFFSET($K207,0,MATCH(G$6,$K$6:$V$6)-1))</f>
        <v>-564196.97688888898</v>
      </c>
      <c r="H207" s="677" t="e">
        <f ca="1">SUM($Y207:OFFSET($Y207,0,MATCH(H$6,$Y$6:$AJ$6)-1))</f>
        <v>#N/A</v>
      </c>
      <c r="I207" s="677" t="e">
        <f ca="1">G207-H207</f>
        <v>#N/A</v>
      </c>
      <c r="K207" s="677">
        <f ca="1">K201-K203-K204-K205</f>
        <v>-564196.97688888898</v>
      </c>
      <c r="L207" s="677">
        <f t="shared" ref="L207:W207" ca="1" si="135">L201-L203-L204-L205</f>
        <v>-699131.30688888894</v>
      </c>
      <c r="M207" s="677">
        <f t="shared" ca="1" si="135"/>
        <v>-578753.19688888895</v>
      </c>
      <c r="N207" s="677">
        <f t="shared" ca="1" si="135"/>
        <v>-768271.73503913521</v>
      </c>
      <c r="O207" s="677">
        <f t="shared" ca="1" si="135"/>
        <v>1911385.3054016384</v>
      </c>
      <c r="P207" s="677">
        <f t="shared" ca="1" si="135"/>
        <v>-873888.05017005152</v>
      </c>
      <c r="Q207" s="677">
        <f t="shared" ca="1" si="135"/>
        <v>345282.9509719364</v>
      </c>
      <c r="R207" s="677">
        <f t="shared" ca="1" si="135"/>
        <v>-925117.48388888896</v>
      </c>
      <c r="S207" s="677">
        <f t="shared" ca="1" si="135"/>
        <v>-1070917.483888889</v>
      </c>
      <c r="T207" s="677">
        <f t="shared" ca="1" si="135"/>
        <v>1779157.1819939169</v>
      </c>
      <c r="U207" s="677">
        <f t="shared" ca="1" si="135"/>
        <v>-920917.48388888896</v>
      </c>
      <c r="V207" s="677">
        <f t="shared" ca="1" si="135"/>
        <v>-2549534.1880955803</v>
      </c>
      <c r="W207" s="677">
        <f t="shared" ca="1" si="135"/>
        <v>-4914902.467270609</v>
      </c>
      <c r="Y207" s="677">
        <f t="shared" ref="Y207:AK207" si="136">Y201-Y203-Y204-Y205</f>
        <v>329867.39000000013</v>
      </c>
      <c r="Z207" s="677">
        <f t="shared" si="136"/>
        <v>161080.19999999995</v>
      </c>
      <c r="AA207" s="677">
        <f t="shared" si="136"/>
        <v>-416674.46000000014</v>
      </c>
      <c r="AB207" s="677">
        <f t="shared" si="136"/>
        <v>481110.52999999997</v>
      </c>
      <c r="AC207" s="677">
        <f t="shared" si="136"/>
        <v>403388.62000000005</v>
      </c>
      <c r="AD207" s="677">
        <f t="shared" si="136"/>
        <v>-1242934.4200000002</v>
      </c>
      <c r="AE207" s="677">
        <f t="shared" si="136"/>
        <v>-237145.51</v>
      </c>
      <c r="AF207" s="677">
        <f t="shared" si="136"/>
        <v>-375056.69</v>
      </c>
      <c r="AG207" s="677">
        <f t="shared" si="136"/>
        <v>-516013.22999999992</v>
      </c>
      <c r="AH207" s="677">
        <f t="shared" si="136"/>
        <v>41333.459999999992</v>
      </c>
      <c r="AI207" s="677">
        <f t="shared" si="136"/>
        <v>-489253.45</v>
      </c>
      <c r="AJ207" s="677">
        <f t="shared" si="136"/>
        <v>-636294.19999999995</v>
      </c>
      <c r="AK207" s="677">
        <f t="shared" si="136"/>
        <v>-2496591.7600000007</v>
      </c>
    </row>
    <row r="208" spans="1:37" ht="13.5" customHeight="1">
      <c r="A208" s="653">
        <f>'Budget-合并'!A208</f>
        <v>0</v>
      </c>
      <c r="C208" s="687">
        <f>'Budget-合并'!C208</f>
        <v>0</v>
      </c>
      <c r="H208" s="677"/>
    </row>
    <row r="209" spans="1:1" ht="13.5" customHeight="1">
      <c r="A209" s="653">
        <f>'Budget-合并'!A209</f>
        <v>0</v>
      </c>
    </row>
    <row r="210" spans="1:1" ht="13.5" customHeight="1">
      <c r="A210" s="653">
        <f>'Budget-合并'!A210</f>
        <v>0</v>
      </c>
    </row>
    <row r="211" spans="1:1" ht="13.5" customHeight="1">
      <c r="A211" s="653">
        <f>'Budget-合并'!A211</f>
        <v>0</v>
      </c>
    </row>
    <row r="212" spans="1:1" ht="13.5" customHeight="1">
      <c r="A212" s="653">
        <f>'Budget-合并'!A212</f>
        <v>0</v>
      </c>
    </row>
    <row r="213" spans="1:1" ht="13.5" customHeight="1">
      <c r="A213" s="653">
        <f>'Budget-合并'!A213</f>
        <v>0</v>
      </c>
    </row>
    <row r="214" spans="1:1" ht="13.5" customHeight="1">
      <c r="A214" s="653">
        <f>'Budget-合并'!A214</f>
        <v>0</v>
      </c>
    </row>
    <row r="215" spans="1:1" ht="13.5" customHeight="1">
      <c r="A215" s="653">
        <f>'Budget-合并'!A215</f>
        <v>0</v>
      </c>
    </row>
    <row r="216" spans="1:1" ht="13.5" customHeight="1">
      <c r="A216" s="653">
        <f>'Budget-合并'!A216</f>
        <v>0</v>
      </c>
    </row>
    <row r="217" spans="1:1" ht="13.5" customHeight="1">
      <c r="A217" s="653">
        <f>'Budget-合并'!A217</f>
        <v>0</v>
      </c>
    </row>
    <row r="218" spans="1:1" ht="13.5" customHeight="1">
      <c r="A218" s="653">
        <f>'Budget-合并'!A218</f>
        <v>0</v>
      </c>
    </row>
    <row r="219" spans="1:1" ht="13.5" customHeight="1">
      <c r="A219" s="653">
        <f>'Budget-合并'!A219</f>
        <v>0</v>
      </c>
    </row>
  </sheetData>
  <autoFilter ref="A6:X219" xr:uid="{00000000-0009-0000-0000-00000C000000}">
    <filterColumn colId="22">
      <filters blank="1">
        <filter val="(8,985,996)"/>
        <filter val="1,000"/>
        <filter val="1,283,114"/>
        <filter val="1,378"/>
        <filter val="1,425,152"/>
        <filter val="1,627,929"/>
        <filter val="10,000"/>
        <filter val="10,500"/>
        <filter val="10,680"/>
        <filter val="100,000"/>
        <filter val="117,000"/>
        <filter val="14,730"/>
        <filter val="15,000"/>
        <filter val="15,561"/>
        <filter val="150,000"/>
        <filter val="16,680"/>
        <filter val="165,000"/>
        <filter val="20,000"/>
        <filter val="202,920"/>
        <filter val="213,600"/>
        <filter val="26,174"/>
        <filter val="26,675"/>
        <filter val="26,790"/>
        <filter val="27,552"/>
        <filter val="279,870"/>
        <filter val="283,916"/>
        <filter val="294,600"/>
        <filter val="3,321,531"/>
        <filter val="3,420,977"/>
        <filter val="3,600"/>
        <filter val="3,704,893"/>
        <filter val="31,794"/>
        <filter val="316,920"/>
        <filter val="333,600"/>
        <filter val="362,250"/>
        <filter val="4,446"/>
        <filter val="40,800"/>
        <filter val="43,583"/>
        <filter val="433,770"/>
        <filter val="46,555"/>
        <filter val="464,734"/>
        <filter val="509,010"/>
        <filter val="535,800"/>
        <filter val="54,692"/>
        <filter val="6,669"/>
        <filter val="6,720"/>
        <filter val="6,860"/>
        <filter val="61,215"/>
        <filter val="7,350"/>
        <filter val="7,538,179"/>
        <filter val="7,560"/>
        <filter val="7,900,429"/>
        <filter val="8,137"/>
        <filter val="810,444"/>
        <filter val="818,381"/>
        <filter val="9,348,543"/>
        <filter val="97,037"/>
      </filters>
    </filterColumn>
  </autoFilter>
  <conditionalFormatting sqref="K5:W5">
    <cfRule type="cellIs" dxfId="120" priority="4" stopIfTrue="1" operator="equal">
      <formula>"Actual"</formula>
    </cfRule>
    <cfRule type="cellIs" dxfId="119" priority="5" stopIfTrue="1" operator="equal">
      <formula>"Forecast"</formula>
    </cfRule>
    <cfRule type="cellIs" dxfId="118" priority="6" stopIfTrue="1" operator="equal">
      <formula>"Budget"</formula>
    </cfRule>
  </conditionalFormatting>
  <conditionalFormatting sqref="Y5:AK5">
    <cfRule type="cellIs" dxfId="117" priority="1" stopIfTrue="1" operator="equal">
      <formula>"Actual"</formula>
    </cfRule>
    <cfRule type="cellIs" dxfId="116" priority="2" stopIfTrue="1" operator="equal">
      <formula>"Forecast"</formula>
    </cfRule>
    <cfRule type="cellIs" dxfId="115" priority="3" stopIfTrue="1" operator="equal">
      <formula>"Budget"</formula>
    </cfRule>
  </conditionalFormatting>
  <dataValidations count="1">
    <dataValidation type="list" allowBlank="1" showInputMessage="1" showErrorMessage="1" sqref="K5:W5 Y5:AK5" xr:uid="{00000000-0002-0000-0C00-000000000000}">
      <formula1>"Actual,Forecast,Budget"</formula1>
    </dataValidation>
  </dataValidations>
  <printOptions horizontalCentered="1" headings="1" gridLines="1"/>
  <pageMargins left="0.39" right="0.35" top="0.59" bottom="0.59" header="0.31" footer="0.31"/>
  <pageSetup paperSize="8" scale="45" orientation="landscape" cellComments="asDisplayed" r:id="rId1"/>
  <headerFooter scaleWithDoc="0" alignWithMargins="0">
    <oddFooter>&amp;L&amp;"Arial,Regular"&amp;8&amp;Z
&amp;F  
&amp;A&amp;CPage &amp;P of &amp;N
&amp;R&amp;"Times New Roman,Regular"&amp;8&amp;D
&amp;T</oddFoot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pageSetUpPr fitToPage="1"/>
  </sheetPr>
  <dimension ref="A1:AK219"/>
  <sheetViews>
    <sheetView zoomScale="70" zoomScaleNormal="70" workbookViewId="0">
      <pane xSplit="2" ySplit="6" topLeftCell="P7" activePane="bottomRight" state="frozen"/>
      <selection pane="topRight" activeCell="C1" sqref="C1"/>
      <selection pane="bottomLeft" activeCell="A7" sqref="A7"/>
      <selection pane="bottomRight" activeCell="Y7" sqref="Y7"/>
    </sheetView>
  </sheetViews>
  <sheetFormatPr defaultColWidth="8.75" defaultRowHeight="13.5" customHeight="1"/>
  <cols>
    <col min="1" max="1" width="12.375" style="652" customWidth="1"/>
    <col min="2" max="2" width="28.25" style="653" customWidth="1"/>
    <col min="3" max="3" width="15.875" style="652" customWidth="1"/>
    <col min="4" max="9" width="12.25" style="654" customWidth="1"/>
    <col min="10" max="10" width="2.625" style="654" customWidth="1"/>
    <col min="11" max="22" width="10.375" style="652" customWidth="1"/>
    <col min="23" max="23" width="8.5" style="652" customWidth="1"/>
    <col min="24" max="25" width="8.75" style="652" customWidth="1"/>
    <col min="26" max="16384" width="8.75" style="652"/>
  </cols>
  <sheetData>
    <row r="1" spans="1:37" ht="16.5" customHeight="1">
      <c r="B1" s="681" t="s">
        <v>2482</v>
      </c>
      <c r="C1" s="5"/>
      <c r="D1" s="612" t="s">
        <v>2113</v>
      </c>
      <c r="E1" s="612"/>
      <c r="F1" s="612"/>
    </row>
    <row r="2" spans="1:37" ht="16.5" customHeight="1"/>
    <row r="3" spans="1:37" ht="16.5" customHeight="1">
      <c r="B3" s="663" t="s">
        <v>2484</v>
      </c>
      <c r="C3" s="682"/>
      <c r="D3" s="5" t="s">
        <v>2046</v>
      </c>
      <c r="E3" s="5"/>
      <c r="F3" s="5"/>
    </row>
    <row r="4" spans="1:37" ht="16.5" customHeight="1">
      <c r="K4" s="662"/>
    </row>
    <row r="5" spans="1:37" ht="13.5" customHeight="1">
      <c r="B5" s="663"/>
      <c r="D5" s="664" t="s">
        <v>2495</v>
      </c>
      <c r="E5" s="664" t="s">
        <v>2496</v>
      </c>
      <c r="F5" s="664" t="s">
        <v>2497</v>
      </c>
      <c r="G5" s="664" t="s">
        <v>2498</v>
      </c>
      <c r="H5" s="664" t="s">
        <v>2499</v>
      </c>
      <c r="I5" s="664" t="s">
        <v>2500</v>
      </c>
      <c r="J5" s="665"/>
      <c r="K5" s="666" t="s">
        <v>2501</v>
      </c>
      <c r="L5" s="666" t="s">
        <v>2501</v>
      </c>
      <c r="M5" s="666" t="s">
        <v>2501</v>
      </c>
      <c r="N5" s="666" t="s">
        <v>2501</v>
      </c>
      <c r="O5" s="666" t="s">
        <v>2501</v>
      </c>
      <c r="P5" s="666" t="s">
        <v>2501</v>
      </c>
      <c r="Q5" s="666" t="s">
        <v>2501</v>
      </c>
      <c r="R5" s="666" t="s">
        <v>2501</v>
      </c>
      <c r="S5" s="666" t="s">
        <v>2501</v>
      </c>
      <c r="T5" s="666" t="s">
        <v>2501</v>
      </c>
      <c r="U5" s="666" t="s">
        <v>2501</v>
      </c>
      <c r="V5" s="666" t="s">
        <v>2501</v>
      </c>
      <c r="W5" s="666" t="s">
        <v>2501</v>
      </c>
      <c r="Y5" s="666" t="s">
        <v>2502</v>
      </c>
      <c r="Z5" s="666" t="s">
        <v>2502</v>
      </c>
      <c r="AA5" s="666" t="s">
        <v>2502</v>
      </c>
      <c r="AB5" s="666" t="s">
        <v>2502</v>
      </c>
      <c r="AC5" s="666" t="s">
        <v>2502</v>
      </c>
      <c r="AD5" s="666" t="s">
        <v>2502</v>
      </c>
      <c r="AE5" s="666" t="s">
        <v>2502</v>
      </c>
      <c r="AF5" s="666" t="s">
        <v>2502</v>
      </c>
      <c r="AG5" s="666" t="s">
        <v>2502</v>
      </c>
      <c r="AH5" s="666" t="s">
        <v>2502</v>
      </c>
      <c r="AI5" s="666" t="s">
        <v>2502</v>
      </c>
      <c r="AJ5" s="666" t="s">
        <v>2502</v>
      </c>
      <c r="AK5" s="666" t="s">
        <v>2502</v>
      </c>
    </row>
    <row r="6" spans="1:37" s="648" customFormat="1" ht="13.5" customHeight="1">
      <c r="A6" s="649" t="s">
        <v>2488</v>
      </c>
      <c r="B6" s="667"/>
      <c r="D6" s="668">
        <f>'Flash Report'!$C$2</f>
        <v>46023</v>
      </c>
      <c r="E6" s="668">
        <f>D6-365</f>
        <v>45658</v>
      </c>
      <c r="F6" s="683" t="s">
        <v>2503</v>
      </c>
      <c r="G6" s="684">
        <f>D6</f>
        <v>46023</v>
      </c>
      <c r="H6" s="684">
        <f>E6</f>
        <v>45658</v>
      </c>
      <c r="I6" s="685" t="s">
        <v>2503</v>
      </c>
      <c r="J6" s="669"/>
      <c r="K6" s="670">
        <v>46023</v>
      </c>
      <c r="L6" s="670">
        <v>46054</v>
      </c>
      <c r="M6" s="670">
        <v>46082</v>
      </c>
      <c r="N6" s="670">
        <v>46113</v>
      </c>
      <c r="O6" s="670">
        <v>46143</v>
      </c>
      <c r="P6" s="670">
        <v>46174</v>
      </c>
      <c r="Q6" s="670">
        <v>46204</v>
      </c>
      <c r="R6" s="670">
        <v>46235</v>
      </c>
      <c r="S6" s="670">
        <v>46266</v>
      </c>
      <c r="T6" s="670">
        <v>46296</v>
      </c>
      <c r="U6" s="670">
        <v>46327</v>
      </c>
      <c r="V6" s="670">
        <v>46357</v>
      </c>
      <c r="W6" s="671" t="s">
        <v>2504</v>
      </c>
      <c r="Y6" s="670">
        <f>'Budget-ACPLSZ'!Y6</f>
        <v>46388</v>
      </c>
      <c r="Z6" s="670">
        <f>'Budget-ACPLSZ'!Z6</f>
        <v>46419</v>
      </c>
      <c r="AA6" s="670">
        <f>'Budget-ACPLSZ'!AA6</f>
        <v>46447</v>
      </c>
      <c r="AB6" s="670">
        <f>'Budget-ACPLSZ'!AB6</f>
        <v>46478</v>
      </c>
      <c r="AC6" s="670">
        <f>'Budget-ACPLSZ'!AC6</f>
        <v>46508</v>
      </c>
      <c r="AD6" s="670">
        <f>'Budget-ACPLSZ'!AD6</f>
        <v>46539</v>
      </c>
      <c r="AE6" s="670">
        <f>'Budget-ACPLSZ'!AE6</f>
        <v>46569</v>
      </c>
      <c r="AF6" s="670">
        <f>'Budget-ACPLSZ'!AF6</f>
        <v>46600</v>
      </c>
      <c r="AG6" s="670">
        <f>'Budget-ACPLSZ'!AG6</f>
        <v>46631</v>
      </c>
      <c r="AH6" s="670">
        <f>'Budget-ACPLSZ'!AH6</f>
        <v>46661</v>
      </c>
      <c r="AI6" s="670">
        <f>'Budget-ACPLSZ'!AI6</f>
        <v>46692</v>
      </c>
      <c r="AJ6" s="670">
        <f>'Budget-ACPLSZ'!AJ6</f>
        <v>46722</v>
      </c>
      <c r="AK6" s="671" t="str">
        <f>'Budget-ACPLSZ'!AK6</f>
        <v>2027 Total</v>
      </c>
    </row>
    <row r="7" spans="1:37" s="649" customFormat="1" ht="13.5" customHeight="1">
      <c r="A7" s="653" t="str">
        <f>'Budget-合并'!A7</f>
        <v>6001</v>
      </c>
      <c r="B7" s="686" t="str">
        <f>'Budget-合并'!B7</f>
        <v>营业收入</v>
      </c>
      <c r="C7" s="687">
        <f>VLOOKUP(A7,Account!A:F,4,0)</f>
        <v>0</v>
      </c>
      <c r="D7" s="674"/>
      <c r="E7" s="674"/>
      <c r="F7" s="674"/>
      <c r="G7" s="674"/>
      <c r="H7" s="674"/>
      <c r="I7" s="674"/>
      <c r="J7" s="674"/>
      <c r="K7" s="674"/>
      <c r="L7" s="674"/>
      <c r="M7" s="674"/>
      <c r="N7" s="674"/>
      <c r="O7" s="674"/>
      <c r="P7" s="674"/>
      <c r="Q7" s="674"/>
      <c r="R7" s="674"/>
      <c r="S7" s="674"/>
      <c r="T7" s="674"/>
      <c r="U7" s="674"/>
      <c r="V7" s="674"/>
      <c r="W7" s="674"/>
    </row>
    <row r="8" spans="1:37" ht="13.5" customHeight="1">
      <c r="A8" s="653" t="str">
        <f>'Budget-合并'!A8</f>
        <v>6001.01</v>
      </c>
      <c r="B8" s="653" t="str">
        <f>'Budget-合并'!B8</f>
        <v>基金管理费收入</v>
      </c>
      <c r="C8" s="687" t="str">
        <f>'Budget-合并'!C8</f>
        <v>Fund Management Fee</v>
      </c>
      <c r="D8" s="676">
        <f>INDEX($K8:$V8,1,MATCH($D$6,$K$6:$V$6))</f>
        <v>0</v>
      </c>
      <c r="E8" s="676" t="e">
        <f>INDEX($Y8:$AJ8,1,MATCH($E$6,$Y$6:$AJ$6))</f>
        <v>#N/A</v>
      </c>
      <c r="F8" s="676" t="e">
        <f>D8-E8</f>
        <v>#N/A</v>
      </c>
      <c r="G8" s="676">
        <f t="shared" ref="G8:G12" ca="1" si="0">SUM($K8:OFFSET($K8,0,MATCH(G$6,$K$6:$V$6)-1))</f>
        <v>0</v>
      </c>
      <c r="H8" s="676" t="e">
        <f t="shared" ref="H8:H12" ca="1" si="1">SUM($Y8:OFFSET($Y8,0,MATCH(H$6,$Y$6:$AJ$6)-1))</f>
        <v>#N/A</v>
      </c>
      <c r="I8" s="676" t="e">
        <f ca="1">G8-H8</f>
        <v>#N/A</v>
      </c>
      <c r="K8" s="676"/>
      <c r="L8" s="676"/>
      <c r="M8" s="676"/>
      <c r="N8" s="676"/>
      <c r="O8" s="676"/>
      <c r="P8" s="676"/>
      <c r="Q8" s="676"/>
      <c r="R8" s="676"/>
      <c r="S8" s="676"/>
      <c r="T8" s="676"/>
      <c r="U8" s="676"/>
      <c r="V8" s="676"/>
      <c r="W8" s="676">
        <f t="shared" ref="W8:W11" si="2">SUM(K8:V8)</f>
        <v>0</v>
      </c>
      <c r="Y8" s="688">
        <f>IFERROR(VLOOKUP($A8,'[95]1月'!$A:$H,8,0),0)</f>
        <v>0</v>
      </c>
      <c r="Z8" s="688">
        <f>IFERROR(VLOOKUP($A8,'[95]2月'!$A:$H,8,0),0)</f>
        <v>0</v>
      </c>
      <c r="AA8" s="688">
        <f>IFERROR(VLOOKUP($A8,'[95]3月'!$A:$H,8,0),0)</f>
        <v>0</v>
      </c>
      <c r="AB8" s="688">
        <f>IFERROR(VLOOKUP($A8,'[95]4月'!$A:$H,8,0),0)</f>
        <v>0</v>
      </c>
      <c r="AC8" s="688">
        <f>IFERROR(VLOOKUP($A8,'[95]5月'!$A:$H,8,0),0)</f>
        <v>0</v>
      </c>
      <c r="AD8" s="688">
        <f>IFERROR(VLOOKUP($A8,'[95]6月'!$A:$H,8,0),0)</f>
        <v>0</v>
      </c>
      <c r="AE8" s="688">
        <f>IFERROR(VLOOKUP($A8,'[95]7月'!$A:$H,8,0),0)</f>
        <v>0</v>
      </c>
      <c r="AF8" s="688">
        <f>IFERROR(VLOOKUP($A8,'[95]8月'!$A:$H,8,0),0)</f>
        <v>0</v>
      </c>
      <c r="AG8" s="688">
        <f>IFERROR(VLOOKUP($A8,'[95]9月'!$A:$H,8,0),0)</f>
        <v>0</v>
      </c>
      <c r="AH8" s="688">
        <f>IFERROR(VLOOKUP($A8,'[95]10月'!$A:$H,8,0),0)</f>
        <v>0</v>
      </c>
      <c r="AI8" s="688">
        <f>IFERROR(VLOOKUP($A8,'[95]11月'!$A:$H,8,0),0)</f>
        <v>0</v>
      </c>
      <c r="AJ8" s="688">
        <f>IFERROR(VLOOKUP($A8,'[95]12月'!$A:$H,8,0),0)</f>
        <v>0</v>
      </c>
      <c r="AK8" s="688">
        <f t="shared" ref="AK8:AK11" si="3">SUM(Y8:AJ8)</f>
        <v>0</v>
      </c>
    </row>
    <row r="9" spans="1:37" ht="13.5" customHeight="1">
      <c r="A9" s="653" t="str">
        <f>'Budget-合并'!A9</f>
        <v>6001.02</v>
      </c>
      <c r="B9" s="653" t="str">
        <f>'Budget-合并'!B9</f>
        <v>咨询服务费收入</v>
      </c>
      <c r="C9" s="687" t="str">
        <f>'Budget-合并'!C9</f>
        <v>Advisory Fee Income</v>
      </c>
      <c r="D9" s="676">
        <f t="shared" ref="D9:D19" si="4">INDEX($K9:$V9,1,MATCH($D$6,$K$6:$V$6))</f>
        <v>0</v>
      </c>
      <c r="E9" s="676" t="e">
        <f t="shared" ref="E9:E19" si="5">INDEX($Y9:$AJ9,1,MATCH($E$6,$Y$6:$AJ$6))</f>
        <v>#N/A</v>
      </c>
      <c r="F9" s="676" t="e">
        <f t="shared" ref="F9:F19" si="6">D9-E9</f>
        <v>#N/A</v>
      </c>
      <c r="G9" s="676">
        <f t="shared" ca="1" si="0"/>
        <v>0</v>
      </c>
      <c r="H9" s="676" t="e">
        <f t="shared" ca="1" si="1"/>
        <v>#N/A</v>
      </c>
      <c r="I9" s="676" t="e">
        <f t="shared" ref="I9:I19" ca="1" si="7">G9-H9</f>
        <v>#N/A</v>
      </c>
      <c r="K9" s="676">
        <f t="shared" ref="K9:V9" si="8">SUM(K10:K11)</f>
        <v>0</v>
      </c>
      <c r="L9" s="676">
        <f t="shared" si="8"/>
        <v>0</v>
      </c>
      <c r="M9" s="676">
        <f t="shared" si="8"/>
        <v>0</v>
      </c>
      <c r="N9" s="676">
        <f t="shared" si="8"/>
        <v>0</v>
      </c>
      <c r="O9" s="676">
        <f t="shared" si="8"/>
        <v>0</v>
      </c>
      <c r="P9" s="676">
        <f t="shared" si="8"/>
        <v>0</v>
      </c>
      <c r="Q9" s="676">
        <f t="shared" si="8"/>
        <v>0</v>
      </c>
      <c r="R9" s="676">
        <f t="shared" si="8"/>
        <v>0</v>
      </c>
      <c r="S9" s="676">
        <f t="shared" si="8"/>
        <v>0</v>
      </c>
      <c r="T9" s="676">
        <f t="shared" si="8"/>
        <v>0</v>
      </c>
      <c r="U9" s="676">
        <f t="shared" si="8"/>
        <v>0</v>
      </c>
      <c r="V9" s="676">
        <f t="shared" si="8"/>
        <v>0</v>
      </c>
      <c r="W9" s="676">
        <f t="shared" si="2"/>
        <v>0</v>
      </c>
      <c r="Y9" s="688">
        <f>IFERROR(VLOOKUP($A9,'[95]1月'!$A:$H,8,0),0)</f>
        <v>0</v>
      </c>
      <c r="Z9" s="688">
        <f>IFERROR(VLOOKUP($A9,'[95]2月'!$A:$H,8,0),0)</f>
        <v>0</v>
      </c>
      <c r="AA9" s="688">
        <f>IFERROR(VLOOKUP($A9,'[95]3月'!$A:$H,8,0),0)</f>
        <v>0</v>
      </c>
      <c r="AB9" s="688">
        <f>IFERROR(VLOOKUP($A9,'[95]4月'!$A:$H,8,0),0)</f>
        <v>0</v>
      </c>
      <c r="AC9" s="688">
        <f>IFERROR(VLOOKUP($A9,'[95]5月'!$A:$H,8,0),0)</f>
        <v>0</v>
      </c>
      <c r="AD9" s="688">
        <f>IFERROR(VLOOKUP($A9,'[95]6月'!$A:$H,8,0),0)</f>
        <v>0</v>
      </c>
      <c r="AE9" s="688">
        <f>IFERROR(VLOOKUP($A9,'[95]7月'!$A:$H,8,0),0)</f>
        <v>0</v>
      </c>
      <c r="AF9" s="688">
        <f>IFERROR(VLOOKUP($A9,'[95]8月'!$A:$H,8,0),0)</f>
        <v>0</v>
      </c>
      <c r="AG9" s="688">
        <f>IFERROR(VLOOKUP($A9,'[95]9月'!$A:$H,8,0),0)</f>
        <v>0</v>
      </c>
      <c r="AH9" s="688">
        <f>IFERROR(VLOOKUP($A9,'[95]10月'!$A:$H,8,0),0)</f>
        <v>0</v>
      </c>
      <c r="AI9" s="688">
        <f>IFERROR(VLOOKUP($A9,'[95]11月'!$A:$H,8,0),0)</f>
        <v>0</v>
      </c>
      <c r="AJ9" s="688">
        <f>IFERROR(VLOOKUP($A9,'[95]12月'!$A:$H,8,0),0)</f>
        <v>0</v>
      </c>
      <c r="AK9" s="688">
        <f t="shared" si="3"/>
        <v>0</v>
      </c>
    </row>
    <row r="10" spans="1:37" ht="13.5" customHeight="1">
      <c r="A10" s="653">
        <f>'Budget-合并'!A10</f>
        <v>0</v>
      </c>
      <c r="B10" s="653" t="str">
        <f>'Budget-合并'!B10</f>
        <v xml:space="preserve">   辉飏咨询服务费</v>
      </c>
      <c r="C10" s="687" t="str">
        <f>'Budget-合并'!C10</f>
        <v xml:space="preserve">  HYNE</v>
      </c>
      <c r="D10" s="676">
        <f t="shared" si="4"/>
        <v>0</v>
      </c>
      <c r="E10" s="676" t="e">
        <f t="shared" si="5"/>
        <v>#N/A</v>
      </c>
      <c r="F10" s="654" t="e">
        <f t="shared" si="6"/>
        <v>#N/A</v>
      </c>
      <c r="G10" s="676">
        <f t="shared" ca="1" si="0"/>
        <v>0</v>
      </c>
      <c r="H10" s="676" t="e">
        <f t="shared" ca="1" si="1"/>
        <v>#N/A</v>
      </c>
      <c r="I10" s="676" t="e">
        <f t="shared" ca="1" si="7"/>
        <v>#N/A</v>
      </c>
      <c r="K10" s="676"/>
      <c r="L10" s="676"/>
      <c r="M10" s="676"/>
      <c r="N10" s="676"/>
      <c r="O10" s="676"/>
      <c r="P10" s="676"/>
      <c r="Q10" s="676"/>
      <c r="R10" s="676"/>
      <c r="S10" s="676"/>
      <c r="T10" s="676"/>
      <c r="U10" s="676"/>
      <c r="V10" s="676"/>
      <c r="W10" s="676">
        <f t="shared" si="2"/>
        <v>0</v>
      </c>
      <c r="Y10" s="688">
        <f>IFERROR(VLOOKUP($A10,'[95]1月'!$A:$H,8,0),0)</f>
        <v>0</v>
      </c>
      <c r="Z10" s="688">
        <f>IFERROR(VLOOKUP($A10,'[95]2月'!$A:$H,8,0),0)</f>
        <v>0</v>
      </c>
      <c r="AA10" s="688">
        <f>IFERROR(VLOOKUP($A10,'[95]3月'!$A:$H,8,0),0)</f>
        <v>0</v>
      </c>
      <c r="AB10" s="688">
        <f>IFERROR(VLOOKUP($A10,'[95]4月'!$A:$H,8,0),0)</f>
        <v>0</v>
      </c>
      <c r="AC10" s="688">
        <f>IFERROR(VLOOKUP($A10,'[95]5月'!$A:$H,8,0),0)</f>
        <v>0</v>
      </c>
      <c r="AD10" s="688">
        <f>IFERROR(VLOOKUP($A10,'[95]6月'!$A:$H,8,0),0)</f>
        <v>0</v>
      </c>
      <c r="AE10" s="688">
        <f>IFERROR(VLOOKUP($A10,'[95]7月'!$A:$H,8,0),0)</f>
        <v>0</v>
      </c>
      <c r="AF10" s="688">
        <f>IFERROR(VLOOKUP($A10,'[95]8月'!$A:$H,8,0),0)</f>
        <v>0</v>
      </c>
      <c r="AG10" s="688">
        <f>IFERROR(VLOOKUP($A10,'[95]9月'!$A:$H,8,0),0)</f>
        <v>0</v>
      </c>
      <c r="AH10" s="688">
        <f>IFERROR(VLOOKUP($A10,'[95]10月'!$A:$H,8,0),0)</f>
        <v>0</v>
      </c>
      <c r="AI10" s="688">
        <f>IFERROR(VLOOKUP($A10,'[95]11月'!$A:$H,8,0),0)</f>
        <v>0</v>
      </c>
      <c r="AJ10" s="688">
        <f>IFERROR(VLOOKUP($A10,'[95]12月'!$A:$H,8,0),0)</f>
        <v>0</v>
      </c>
      <c r="AK10" s="688">
        <f t="shared" si="3"/>
        <v>0</v>
      </c>
    </row>
    <row r="11" spans="1:37" ht="13.5" customHeight="1">
      <c r="A11" s="653">
        <f>'Budget-合并'!A11</f>
        <v>0</v>
      </c>
      <c r="B11" s="653" t="str">
        <f>'Budget-合并'!B11</f>
        <v xml:space="preserve">      MAA咨询管理费</v>
      </c>
      <c r="C11" s="687" t="str">
        <f>'Budget-合并'!C11</f>
        <v xml:space="preserve">  MAA</v>
      </c>
      <c r="D11" s="676">
        <f t="shared" si="4"/>
        <v>0</v>
      </c>
      <c r="E11" s="676" t="e">
        <f t="shared" si="5"/>
        <v>#N/A</v>
      </c>
      <c r="F11" s="676" t="e">
        <f t="shared" si="6"/>
        <v>#N/A</v>
      </c>
      <c r="G11" s="676">
        <f t="shared" ca="1" si="0"/>
        <v>0</v>
      </c>
      <c r="H11" s="676" t="e">
        <f t="shared" ca="1" si="1"/>
        <v>#N/A</v>
      </c>
      <c r="I11" s="676" t="e">
        <f t="shared" ca="1" si="7"/>
        <v>#N/A</v>
      </c>
      <c r="K11" s="676"/>
      <c r="L11" s="676"/>
      <c r="M11" s="676"/>
      <c r="N11" s="676"/>
      <c r="O11" s="676"/>
      <c r="P11" s="676"/>
      <c r="Q11" s="676"/>
      <c r="R11" s="676"/>
      <c r="S11" s="676"/>
      <c r="T11" s="676"/>
      <c r="U11" s="676"/>
      <c r="V11" s="676"/>
      <c r="W11" s="676">
        <f t="shared" si="2"/>
        <v>0</v>
      </c>
      <c r="Y11" s="688">
        <f>IFERROR(VLOOKUP($A11,'[95]1月'!$A:$H,8,0),0)</f>
        <v>0</v>
      </c>
      <c r="Z11" s="688">
        <f>IFERROR(VLOOKUP($A11,'[95]2月'!$A:$H,8,0),0)</f>
        <v>0</v>
      </c>
      <c r="AA11" s="688">
        <f>IFERROR(VLOOKUP($A11,'[95]3月'!$A:$H,8,0),0)</f>
        <v>0</v>
      </c>
      <c r="AB11" s="688">
        <f>IFERROR(VLOOKUP($A11,'[95]4月'!$A:$H,8,0),0)</f>
        <v>0</v>
      </c>
      <c r="AC11" s="688">
        <f>IFERROR(VLOOKUP($A11,'[95]5月'!$A:$H,8,0),0)</f>
        <v>0</v>
      </c>
      <c r="AD11" s="688">
        <f>IFERROR(VLOOKUP($A11,'[95]6月'!$A:$H,8,0),0)</f>
        <v>0</v>
      </c>
      <c r="AE11" s="688">
        <f>IFERROR(VLOOKUP($A11,'[95]7月'!$A:$H,8,0),0)</f>
        <v>0</v>
      </c>
      <c r="AF11" s="688">
        <f>IFERROR(VLOOKUP($A11,'[95]8月'!$A:$H,8,0),0)</f>
        <v>0</v>
      </c>
      <c r="AG11" s="688">
        <f>IFERROR(VLOOKUP($A11,'[95]9月'!$A:$H,8,0),0)</f>
        <v>0</v>
      </c>
      <c r="AH11" s="688">
        <f>IFERROR(VLOOKUP($A11,'[95]10月'!$A:$H,8,0),0)</f>
        <v>0</v>
      </c>
      <c r="AI11" s="688">
        <f>IFERROR(VLOOKUP($A11,'[95]11月'!$A:$H,8,0),0)</f>
        <v>0</v>
      </c>
      <c r="AJ11" s="688">
        <f>IFERROR(VLOOKUP($A11,'[95]12月'!$A:$H,8,0),0)</f>
        <v>0</v>
      </c>
      <c r="AK11" s="688">
        <f t="shared" si="3"/>
        <v>0</v>
      </c>
    </row>
    <row r="12" spans="1:37" s="680" customFormat="1" ht="13.5" customHeight="1">
      <c r="A12" s="653">
        <f>'Budget-合并'!A12</f>
        <v>0</v>
      </c>
      <c r="B12" s="686" t="str">
        <f>'Budget-合并'!B12</f>
        <v>营业收入合计</v>
      </c>
      <c r="C12" s="687">
        <f>'Budget-合并'!C12</f>
        <v>0</v>
      </c>
      <c r="D12" s="654">
        <f t="shared" si="4"/>
        <v>0</v>
      </c>
      <c r="E12" s="654" t="e">
        <f t="shared" si="5"/>
        <v>#N/A</v>
      </c>
      <c r="F12" s="654" t="e">
        <f t="shared" si="6"/>
        <v>#N/A</v>
      </c>
      <c r="G12" s="654">
        <f t="shared" ca="1" si="0"/>
        <v>0</v>
      </c>
      <c r="H12" s="654" t="e">
        <f t="shared" ca="1" si="1"/>
        <v>#N/A</v>
      </c>
      <c r="I12" s="654" t="e">
        <f t="shared" ca="1" si="7"/>
        <v>#N/A</v>
      </c>
      <c r="J12" s="654"/>
      <c r="K12" s="654">
        <f t="shared" ref="K12:W12" si="9">SUM(K8,K9)</f>
        <v>0</v>
      </c>
      <c r="L12" s="654">
        <f t="shared" si="9"/>
        <v>0</v>
      </c>
      <c r="M12" s="654">
        <f t="shared" si="9"/>
        <v>0</v>
      </c>
      <c r="N12" s="654">
        <f t="shared" si="9"/>
        <v>0</v>
      </c>
      <c r="O12" s="654">
        <f t="shared" si="9"/>
        <v>0</v>
      </c>
      <c r="P12" s="654">
        <f t="shared" si="9"/>
        <v>0</v>
      </c>
      <c r="Q12" s="654">
        <f t="shared" si="9"/>
        <v>0</v>
      </c>
      <c r="R12" s="654">
        <f t="shared" si="9"/>
        <v>0</v>
      </c>
      <c r="S12" s="654">
        <f t="shared" si="9"/>
        <v>0</v>
      </c>
      <c r="T12" s="654">
        <f t="shared" si="9"/>
        <v>0</v>
      </c>
      <c r="U12" s="654">
        <f t="shared" si="9"/>
        <v>0</v>
      </c>
      <c r="V12" s="654">
        <f t="shared" si="9"/>
        <v>0</v>
      </c>
      <c r="W12" s="654">
        <f t="shared" si="9"/>
        <v>0</v>
      </c>
      <c r="Y12" s="654">
        <f t="shared" ref="Y12:AK12" si="10">SUM(Y8,Y9)</f>
        <v>0</v>
      </c>
      <c r="Z12" s="654">
        <f t="shared" si="10"/>
        <v>0</v>
      </c>
      <c r="AA12" s="654">
        <f t="shared" si="10"/>
        <v>0</v>
      </c>
      <c r="AB12" s="654">
        <f t="shared" si="10"/>
        <v>0</v>
      </c>
      <c r="AC12" s="654">
        <f t="shared" si="10"/>
        <v>0</v>
      </c>
      <c r="AD12" s="654">
        <f t="shared" si="10"/>
        <v>0</v>
      </c>
      <c r="AE12" s="654">
        <f t="shared" si="10"/>
        <v>0</v>
      </c>
      <c r="AF12" s="654">
        <f t="shared" si="10"/>
        <v>0</v>
      </c>
      <c r="AG12" s="654">
        <f t="shared" si="10"/>
        <v>0</v>
      </c>
      <c r="AH12" s="654">
        <f t="shared" si="10"/>
        <v>0</v>
      </c>
      <c r="AI12" s="654">
        <f t="shared" si="10"/>
        <v>0</v>
      </c>
      <c r="AJ12" s="654">
        <f t="shared" si="10"/>
        <v>0</v>
      </c>
      <c r="AK12" s="654">
        <f t="shared" si="10"/>
        <v>0</v>
      </c>
    </row>
    <row r="13" spans="1:37" ht="13.5" customHeight="1">
      <c r="A13" s="653">
        <f>'Budget-合并'!A13</f>
        <v>0</v>
      </c>
      <c r="B13" s="653">
        <f>'Budget-合并'!B13</f>
        <v>0</v>
      </c>
      <c r="C13" s="687">
        <f>'Budget-合并'!C13</f>
        <v>0</v>
      </c>
      <c r="K13" s="654"/>
      <c r="L13" s="654"/>
      <c r="M13" s="654"/>
      <c r="N13" s="654"/>
      <c r="O13" s="654"/>
      <c r="P13" s="654"/>
      <c r="Q13" s="654"/>
      <c r="R13" s="654"/>
      <c r="S13" s="654"/>
      <c r="T13" s="654"/>
      <c r="U13" s="654"/>
      <c r="V13" s="654"/>
      <c r="W13" s="654"/>
    </row>
    <row r="14" spans="1:37" ht="13.5" customHeight="1">
      <c r="A14" s="653" t="str">
        <f>'Budget-合并'!A14</f>
        <v>6405.01</v>
      </c>
      <c r="B14" s="653" t="str">
        <f>'Budget-合并'!B14</f>
        <v>印花税</v>
      </c>
      <c r="C14" s="687" t="str">
        <f>'Budget-合并'!C14</f>
        <v>Stamp Duty</v>
      </c>
      <c r="D14" s="676">
        <f t="shared" si="4"/>
        <v>0</v>
      </c>
      <c r="E14" s="676" t="e">
        <f t="shared" si="5"/>
        <v>#N/A</v>
      </c>
      <c r="F14" s="676" t="e">
        <f t="shared" si="6"/>
        <v>#N/A</v>
      </c>
      <c r="G14" s="676">
        <f t="shared" ref="G14:G19" ca="1" si="11">SUM($K14:OFFSET($K14,0,MATCH(G$6,$K$6:$V$6)-1))</f>
        <v>0</v>
      </c>
      <c r="H14" s="676" t="e">
        <f t="shared" ref="H14:H19" ca="1" si="12">SUM($Y14:OFFSET($Y14,0,MATCH(H$6,$Y$6:$AJ$6)-1))</f>
        <v>#N/A</v>
      </c>
      <c r="I14" s="676" t="e">
        <f t="shared" ca="1" si="7"/>
        <v>#N/A</v>
      </c>
      <c r="K14" s="676"/>
      <c r="L14" s="676"/>
      <c r="M14" s="676"/>
      <c r="N14" s="676"/>
      <c r="O14" s="676"/>
      <c r="P14" s="676"/>
      <c r="Q14" s="676"/>
      <c r="R14" s="676"/>
      <c r="S14" s="676"/>
      <c r="T14" s="676"/>
      <c r="U14" s="676"/>
      <c r="V14" s="676"/>
      <c r="W14" s="676">
        <f t="shared" ref="W14:W18" si="13">SUM(K14:V14)</f>
        <v>0</v>
      </c>
      <c r="Y14" s="688">
        <f>IFERROR(VLOOKUP($A14,'[95]1月'!$A:$H,8,0),0)</f>
        <v>0</v>
      </c>
      <c r="Z14" s="688">
        <f>IFERROR(VLOOKUP($A14,'[95]2月'!$A:$H,8,0),0)</f>
        <v>0</v>
      </c>
      <c r="AA14" s="688">
        <f>IFERROR(VLOOKUP($A14,'[95]3月'!$A:$H,8,0),0)</f>
        <v>0</v>
      </c>
      <c r="AB14" s="688">
        <f>IFERROR(VLOOKUP($A14,'[95]4月'!$A:$H,8,0),0)</f>
        <v>2.5</v>
      </c>
      <c r="AC14" s="688">
        <f>IFERROR(VLOOKUP($A14,'[95]5月'!$A:$H,8,0),0)</f>
        <v>0</v>
      </c>
      <c r="AD14" s="688">
        <f>IFERROR(VLOOKUP($A14,'[95]6月'!$A:$H,8,0),0)</f>
        <v>0</v>
      </c>
      <c r="AE14" s="688">
        <f>IFERROR(VLOOKUP($A14,'[95]7月'!$A:$H,8,0),0)</f>
        <v>0</v>
      </c>
      <c r="AF14" s="688">
        <f>IFERROR(VLOOKUP($A14,'[95]8月'!$A:$H,8,0),0)</f>
        <v>0</v>
      </c>
      <c r="AG14" s="688">
        <f>IFERROR(VLOOKUP($A14,'[95]9月'!$A:$H,8,0),0)</f>
        <v>0</v>
      </c>
      <c r="AH14" s="688">
        <f>IFERROR(VLOOKUP($A14,'[95]10月'!$A:$H,8,0),0)</f>
        <v>0</v>
      </c>
      <c r="AI14" s="688">
        <f>IFERROR(VLOOKUP($A14,'[95]11月'!$A:$H,8,0),0)</f>
        <v>0</v>
      </c>
      <c r="AJ14" s="688">
        <f>IFERROR(VLOOKUP($A14,'[95]12月'!$A:$H,8,0),0)</f>
        <v>0</v>
      </c>
      <c r="AK14" s="688">
        <f t="shared" ref="AK14:AK18" si="14">SUM(Y14:AJ14)</f>
        <v>2.5</v>
      </c>
    </row>
    <row r="15" spans="1:37" ht="13.5" customHeight="1">
      <c r="A15" s="653" t="str">
        <f>'Budget-合并'!A15</f>
        <v>6405.02</v>
      </c>
      <c r="B15" s="653" t="str">
        <f>'Budget-合并'!B15</f>
        <v>城市维护建设税</v>
      </c>
      <c r="C15" s="687" t="str">
        <f>'Budget-合并'!C15</f>
        <v>VAT surcharge</v>
      </c>
      <c r="D15" s="676">
        <f t="shared" si="4"/>
        <v>0</v>
      </c>
      <c r="E15" s="676" t="e">
        <f t="shared" si="5"/>
        <v>#N/A</v>
      </c>
      <c r="F15" s="676" t="e">
        <f t="shared" si="6"/>
        <v>#N/A</v>
      </c>
      <c r="G15" s="676">
        <f t="shared" ca="1" si="11"/>
        <v>0</v>
      </c>
      <c r="H15" s="676" t="e">
        <f t="shared" ca="1" si="12"/>
        <v>#N/A</v>
      </c>
      <c r="I15" s="676" t="e">
        <f t="shared" ca="1" si="7"/>
        <v>#N/A</v>
      </c>
      <c r="K15" s="676"/>
      <c r="L15" s="676"/>
      <c r="M15" s="676"/>
      <c r="N15" s="676"/>
      <c r="O15" s="676"/>
      <c r="P15" s="676"/>
      <c r="Q15" s="676"/>
      <c r="R15" s="676"/>
      <c r="S15" s="676"/>
      <c r="T15" s="676"/>
      <c r="U15" s="676"/>
      <c r="V15" s="676"/>
      <c r="W15" s="676">
        <f t="shared" si="13"/>
        <v>0</v>
      </c>
      <c r="Y15" s="688">
        <f>IFERROR(VLOOKUP($A15,'[95]1月'!$A:$H,8,0),0)</f>
        <v>0</v>
      </c>
      <c r="Z15" s="688">
        <f>IFERROR(VLOOKUP($A15,'[95]2月'!$A:$H,8,0),0)</f>
        <v>0</v>
      </c>
      <c r="AA15" s="688">
        <f>IFERROR(VLOOKUP($A15,'[95]3月'!$A:$H,8,0),0)</f>
        <v>0</v>
      </c>
      <c r="AB15" s="688">
        <f>IFERROR(VLOOKUP($A15,'[95]4月'!$A:$H,8,0),0)</f>
        <v>0</v>
      </c>
      <c r="AC15" s="688">
        <f>IFERROR(VLOOKUP($A15,'[95]5月'!$A:$H,8,0),0)</f>
        <v>0</v>
      </c>
      <c r="AD15" s="688">
        <f>IFERROR(VLOOKUP($A15,'[95]6月'!$A:$H,8,0),0)</f>
        <v>0</v>
      </c>
      <c r="AE15" s="688">
        <f>IFERROR(VLOOKUP($A15,'[95]7月'!$A:$H,8,0),0)</f>
        <v>0</v>
      </c>
      <c r="AF15" s="688">
        <f>IFERROR(VLOOKUP($A15,'[95]8月'!$A:$H,8,0),0)</f>
        <v>0</v>
      </c>
      <c r="AG15" s="688">
        <f>IFERROR(VLOOKUP($A15,'[95]9月'!$A:$H,8,0),0)</f>
        <v>0</v>
      </c>
      <c r="AH15" s="688">
        <f>IFERROR(VLOOKUP($A15,'[95]10月'!$A:$H,8,0),0)</f>
        <v>0</v>
      </c>
      <c r="AI15" s="688">
        <f>IFERROR(VLOOKUP($A15,'[95]11月'!$A:$H,8,0),0)</f>
        <v>0</v>
      </c>
      <c r="AJ15" s="688">
        <f>IFERROR(VLOOKUP($A15,'[95]12月'!$A:$H,8,0),0)</f>
        <v>0</v>
      </c>
      <c r="AK15" s="688">
        <f t="shared" si="14"/>
        <v>0</v>
      </c>
    </row>
    <row r="16" spans="1:37" ht="13.5" customHeight="1">
      <c r="A16" s="653" t="str">
        <f>'Budget-合并'!A16</f>
        <v>6405.03</v>
      </c>
      <c r="B16" s="653" t="str">
        <f>'Budget-合并'!B16</f>
        <v>教育费附加</v>
      </c>
      <c r="C16" s="687" t="str">
        <f>'Budget-合并'!C16</f>
        <v>VAT surcharge</v>
      </c>
      <c r="D16" s="676">
        <f t="shared" si="4"/>
        <v>0</v>
      </c>
      <c r="E16" s="676" t="e">
        <f t="shared" si="5"/>
        <v>#N/A</v>
      </c>
      <c r="F16" s="676" t="e">
        <f t="shared" si="6"/>
        <v>#N/A</v>
      </c>
      <c r="G16" s="676">
        <f t="shared" ca="1" si="11"/>
        <v>0</v>
      </c>
      <c r="H16" s="676" t="e">
        <f t="shared" ca="1" si="12"/>
        <v>#N/A</v>
      </c>
      <c r="I16" s="676" t="e">
        <f t="shared" ca="1" si="7"/>
        <v>#N/A</v>
      </c>
      <c r="K16" s="676"/>
      <c r="L16" s="676"/>
      <c r="M16" s="676"/>
      <c r="N16" s="676"/>
      <c r="O16" s="676"/>
      <c r="P16" s="676"/>
      <c r="Q16" s="676"/>
      <c r="R16" s="676"/>
      <c r="S16" s="676"/>
      <c r="T16" s="676"/>
      <c r="U16" s="676"/>
      <c r="V16" s="676"/>
      <c r="W16" s="676">
        <f t="shared" si="13"/>
        <v>0</v>
      </c>
      <c r="Y16" s="688">
        <f>IFERROR(VLOOKUP($A16,'[95]1月'!$A:$H,8,0),0)</f>
        <v>0</v>
      </c>
      <c r="Z16" s="688">
        <f>IFERROR(VLOOKUP($A16,'[95]2月'!$A:$H,8,0),0)</f>
        <v>0</v>
      </c>
      <c r="AA16" s="688">
        <f>IFERROR(VLOOKUP($A16,'[95]3月'!$A:$H,8,0),0)</f>
        <v>0</v>
      </c>
      <c r="AB16" s="688">
        <f>IFERROR(VLOOKUP($A16,'[95]4月'!$A:$H,8,0),0)</f>
        <v>0</v>
      </c>
      <c r="AC16" s="688">
        <f>IFERROR(VLOOKUP($A16,'[95]5月'!$A:$H,8,0),0)</f>
        <v>0</v>
      </c>
      <c r="AD16" s="688">
        <f>IFERROR(VLOOKUP($A16,'[95]6月'!$A:$H,8,0),0)</f>
        <v>0</v>
      </c>
      <c r="AE16" s="688">
        <f>IFERROR(VLOOKUP($A16,'[95]7月'!$A:$H,8,0),0)</f>
        <v>0</v>
      </c>
      <c r="AF16" s="688">
        <f>IFERROR(VLOOKUP($A16,'[95]8月'!$A:$H,8,0),0)</f>
        <v>0</v>
      </c>
      <c r="AG16" s="688">
        <f>IFERROR(VLOOKUP($A16,'[95]9月'!$A:$H,8,0),0)</f>
        <v>0</v>
      </c>
      <c r="AH16" s="688">
        <f>IFERROR(VLOOKUP($A16,'[95]10月'!$A:$H,8,0),0)</f>
        <v>0</v>
      </c>
      <c r="AI16" s="688">
        <f>IFERROR(VLOOKUP($A16,'[95]11月'!$A:$H,8,0),0)</f>
        <v>0</v>
      </c>
      <c r="AJ16" s="688">
        <f>IFERROR(VLOOKUP($A16,'[95]12月'!$A:$H,8,0),0)</f>
        <v>0</v>
      </c>
      <c r="AK16" s="688">
        <f t="shared" si="14"/>
        <v>0</v>
      </c>
    </row>
    <row r="17" spans="1:37" ht="13.5" customHeight="1">
      <c r="A17" s="653" t="str">
        <f>'Budget-合并'!A17</f>
        <v>6405.04</v>
      </c>
      <c r="B17" s="653" t="str">
        <f>'Budget-合并'!B17</f>
        <v>地方教育附加</v>
      </c>
      <c r="C17" s="687" t="str">
        <f>'Budget-合并'!C17</f>
        <v>VAT surcharge</v>
      </c>
      <c r="D17" s="676">
        <f t="shared" si="4"/>
        <v>0</v>
      </c>
      <c r="E17" s="676" t="e">
        <f t="shared" si="5"/>
        <v>#N/A</v>
      </c>
      <c r="F17" s="676" t="e">
        <f t="shared" si="6"/>
        <v>#N/A</v>
      </c>
      <c r="G17" s="676">
        <f t="shared" ca="1" si="11"/>
        <v>0</v>
      </c>
      <c r="H17" s="676" t="e">
        <f t="shared" ca="1" si="12"/>
        <v>#N/A</v>
      </c>
      <c r="I17" s="676" t="e">
        <f t="shared" ca="1" si="7"/>
        <v>#N/A</v>
      </c>
      <c r="K17" s="676"/>
      <c r="L17" s="676"/>
      <c r="M17" s="676"/>
      <c r="N17" s="676"/>
      <c r="O17" s="676"/>
      <c r="P17" s="676"/>
      <c r="Q17" s="676"/>
      <c r="R17" s="676"/>
      <c r="S17" s="676"/>
      <c r="T17" s="676"/>
      <c r="U17" s="676"/>
      <c r="V17" s="676"/>
      <c r="W17" s="676">
        <f t="shared" si="13"/>
        <v>0</v>
      </c>
      <c r="Y17" s="688">
        <f>IFERROR(VLOOKUP($A17,'[95]1月'!$A:$H,8,0),0)</f>
        <v>0</v>
      </c>
      <c r="Z17" s="688">
        <f>IFERROR(VLOOKUP($A17,'[95]2月'!$A:$H,8,0),0)</f>
        <v>0</v>
      </c>
      <c r="AA17" s="688">
        <f>IFERROR(VLOOKUP($A17,'[95]3月'!$A:$H,8,0),0)</f>
        <v>0</v>
      </c>
      <c r="AB17" s="688">
        <f>IFERROR(VLOOKUP($A17,'[95]4月'!$A:$H,8,0),0)</f>
        <v>0</v>
      </c>
      <c r="AC17" s="688">
        <f>IFERROR(VLOOKUP($A17,'[95]5月'!$A:$H,8,0),0)</f>
        <v>0</v>
      </c>
      <c r="AD17" s="688">
        <f>IFERROR(VLOOKUP($A17,'[95]6月'!$A:$H,8,0),0)</f>
        <v>0</v>
      </c>
      <c r="AE17" s="688">
        <f>IFERROR(VLOOKUP($A17,'[95]7月'!$A:$H,8,0),0)</f>
        <v>0</v>
      </c>
      <c r="AF17" s="688">
        <f>IFERROR(VLOOKUP($A17,'[95]8月'!$A:$H,8,0),0)</f>
        <v>0</v>
      </c>
      <c r="AG17" s="688">
        <f>IFERROR(VLOOKUP($A17,'[95]9月'!$A:$H,8,0),0)</f>
        <v>0</v>
      </c>
      <c r="AH17" s="688">
        <f>IFERROR(VLOOKUP($A17,'[95]10月'!$A:$H,8,0),0)</f>
        <v>0</v>
      </c>
      <c r="AI17" s="688">
        <f>IFERROR(VLOOKUP($A17,'[95]11月'!$A:$H,8,0),0)</f>
        <v>0</v>
      </c>
      <c r="AJ17" s="688">
        <f>IFERROR(VLOOKUP($A17,'[95]12月'!$A:$H,8,0),0)</f>
        <v>0</v>
      </c>
      <c r="AK17" s="688">
        <f t="shared" si="14"/>
        <v>0</v>
      </c>
    </row>
    <row r="18" spans="1:37" ht="13.5" customHeight="1">
      <c r="A18" s="653" t="str">
        <f>'Budget-合并'!A18</f>
        <v>6405.05</v>
      </c>
      <c r="B18" s="653" t="str">
        <f>'Budget-合并'!B18</f>
        <v>水利建设基金</v>
      </c>
      <c r="C18" s="687">
        <f>'Budget-合并'!C18</f>
        <v>0</v>
      </c>
      <c r="D18" s="676">
        <f t="shared" si="4"/>
        <v>0</v>
      </c>
      <c r="E18" s="676" t="e">
        <f t="shared" si="5"/>
        <v>#N/A</v>
      </c>
      <c r="F18" s="676" t="e">
        <f t="shared" si="6"/>
        <v>#N/A</v>
      </c>
      <c r="G18" s="676">
        <f t="shared" ca="1" si="11"/>
        <v>0</v>
      </c>
      <c r="H18" s="676" t="e">
        <f t="shared" ca="1" si="12"/>
        <v>#N/A</v>
      </c>
      <c r="I18" s="676" t="e">
        <f t="shared" ca="1" si="7"/>
        <v>#N/A</v>
      </c>
      <c r="K18" s="676"/>
      <c r="L18" s="676"/>
      <c r="M18" s="676"/>
      <c r="N18" s="676"/>
      <c r="O18" s="676"/>
      <c r="P18" s="676"/>
      <c r="Q18" s="676"/>
      <c r="R18" s="676"/>
      <c r="S18" s="676"/>
      <c r="T18" s="676"/>
      <c r="U18" s="676"/>
      <c r="V18" s="676"/>
      <c r="W18" s="676">
        <f t="shared" si="13"/>
        <v>0</v>
      </c>
      <c r="Y18" s="688">
        <f>IFERROR(VLOOKUP($A18,'[95]1月'!$A:$H,8,0),0)</f>
        <v>0</v>
      </c>
      <c r="Z18" s="688">
        <f>IFERROR(VLOOKUP($A18,'[95]2月'!$A:$H,8,0),0)</f>
        <v>0</v>
      </c>
      <c r="AA18" s="688">
        <f>IFERROR(VLOOKUP($A18,'[95]3月'!$A:$H,8,0),0)</f>
        <v>0</v>
      </c>
      <c r="AB18" s="688">
        <f>IFERROR(VLOOKUP($A18,'[95]4月'!$A:$H,8,0),0)</f>
        <v>0</v>
      </c>
      <c r="AC18" s="688">
        <f>IFERROR(VLOOKUP($A18,'[95]5月'!$A:$H,8,0),0)</f>
        <v>0</v>
      </c>
      <c r="AD18" s="688">
        <f>IFERROR(VLOOKUP($A18,'[95]6月'!$A:$H,8,0),0)</f>
        <v>0</v>
      </c>
      <c r="AE18" s="688">
        <f>IFERROR(VLOOKUP($A18,'[95]7月'!$A:$H,8,0),0)</f>
        <v>0</v>
      </c>
      <c r="AF18" s="688">
        <f>IFERROR(VLOOKUP($A18,'[95]8月'!$A:$H,8,0),0)</f>
        <v>0</v>
      </c>
      <c r="AG18" s="688">
        <f>IFERROR(VLOOKUP($A18,'[95]9月'!$A:$H,8,0),0)</f>
        <v>0</v>
      </c>
      <c r="AH18" s="688">
        <f>IFERROR(VLOOKUP($A18,'[95]10月'!$A:$H,8,0),0)</f>
        <v>0</v>
      </c>
      <c r="AI18" s="688">
        <f>IFERROR(VLOOKUP($A18,'[95]11月'!$A:$H,8,0),0)</f>
        <v>0</v>
      </c>
      <c r="AJ18" s="688">
        <f>IFERROR(VLOOKUP($A18,'[95]12月'!$A:$H,8,0),0)</f>
        <v>0</v>
      </c>
      <c r="AK18" s="688">
        <f t="shared" si="14"/>
        <v>0</v>
      </c>
    </row>
    <row r="19" spans="1:37" s="680" customFormat="1" ht="13.5" customHeight="1">
      <c r="A19" s="686">
        <f>'Budget-合并'!A19</f>
        <v>6401</v>
      </c>
      <c r="B19" s="686" t="str">
        <f>'Budget-合并'!B19</f>
        <v>税金及附加小计</v>
      </c>
      <c r="C19" s="687">
        <f>'Budget-合并'!C19</f>
        <v>0</v>
      </c>
      <c r="D19" s="654">
        <f t="shared" si="4"/>
        <v>0</v>
      </c>
      <c r="E19" s="654" t="e">
        <f t="shared" si="5"/>
        <v>#N/A</v>
      </c>
      <c r="F19" s="654" t="e">
        <f t="shared" si="6"/>
        <v>#N/A</v>
      </c>
      <c r="G19" s="654">
        <f t="shared" ca="1" si="11"/>
        <v>0</v>
      </c>
      <c r="H19" s="654" t="e">
        <f t="shared" ca="1" si="12"/>
        <v>#N/A</v>
      </c>
      <c r="I19" s="654" t="e">
        <f t="shared" ca="1" si="7"/>
        <v>#N/A</v>
      </c>
      <c r="J19" s="654"/>
      <c r="K19" s="654">
        <f t="shared" ref="K19:W19" si="15">SUM(K14:K18)</f>
        <v>0</v>
      </c>
      <c r="L19" s="654">
        <f t="shared" si="15"/>
        <v>0</v>
      </c>
      <c r="M19" s="654">
        <f t="shared" si="15"/>
        <v>0</v>
      </c>
      <c r="N19" s="654">
        <f t="shared" si="15"/>
        <v>0</v>
      </c>
      <c r="O19" s="654">
        <f t="shared" si="15"/>
        <v>0</v>
      </c>
      <c r="P19" s="654">
        <f t="shared" si="15"/>
        <v>0</v>
      </c>
      <c r="Q19" s="654">
        <f t="shared" si="15"/>
        <v>0</v>
      </c>
      <c r="R19" s="654">
        <f t="shared" si="15"/>
        <v>0</v>
      </c>
      <c r="S19" s="654">
        <f t="shared" si="15"/>
        <v>0</v>
      </c>
      <c r="T19" s="654">
        <f t="shared" si="15"/>
        <v>0</v>
      </c>
      <c r="U19" s="654">
        <f t="shared" si="15"/>
        <v>0</v>
      </c>
      <c r="V19" s="654">
        <f t="shared" si="15"/>
        <v>0</v>
      </c>
      <c r="W19" s="654">
        <f t="shared" si="15"/>
        <v>0</v>
      </c>
      <c r="Y19" s="654">
        <f t="shared" ref="Y19:AK19" si="16">SUM(Y14:Y18)</f>
        <v>0</v>
      </c>
      <c r="Z19" s="654">
        <f t="shared" si="16"/>
        <v>0</v>
      </c>
      <c r="AA19" s="654">
        <f t="shared" si="16"/>
        <v>0</v>
      </c>
      <c r="AB19" s="654">
        <f t="shared" si="16"/>
        <v>2.5</v>
      </c>
      <c r="AC19" s="654">
        <f t="shared" si="16"/>
        <v>0</v>
      </c>
      <c r="AD19" s="654">
        <f t="shared" si="16"/>
        <v>0</v>
      </c>
      <c r="AE19" s="654">
        <f t="shared" si="16"/>
        <v>0</v>
      </c>
      <c r="AF19" s="654">
        <f t="shared" si="16"/>
        <v>0</v>
      </c>
      <c r="AG19" s="654">
        <f t="shared" si="16"/>
        <v>0</v>
      </c>
      <c r="AH19" s="654">
        <f t="shared" si="16"/>
        <v>0</v>
      </c>
      <c r="AI19" s="654">
        <f t="shared" si="16"/>
        <v>0</v>
      </c>
      <c r="AJ19" s="654">
        <f t="shared" si="16"/>
        <v>0</v>
      </c>
      <c r="AK19" s="654">
        <f t="shared" si="16"/>
        <v>2.5</v>
      </c>
    </row>
    <row r="20" spans="1:37" ht="13.5" customHeight="1">
      <c r="A20" s="653">
        <f>'Budget-合并'!A20</f>
        <v>0</v>
      </c>
      <c r="B20" s="653">
        <f>'Budget-合并'!B20</f>
        <v>0</v>
      </c>
      <c r="C20" s="687">
        <f>'Budget-合并'!C20</f>
        <v>0</v>
      </c>
      <c r="K20" s="654"/>
      <c r="L20" s="654"/>
      <c r="M20" s="654"/>
      <c r="N20" s="654"/>
      <c r="O20" s="654"/>
      <c r="P20" s="654"/>
      <c r="Q20" s="654"/>
      <c r="R20" s="654"/>
      <c r="S20" s="654"/>
      <c r="T20" s="654"/>
      <c r="U20" s="654"/>
      <c r="V20" s="654"/>
      <c r="W20" s="654"/>
    </row>
    <row r="21" spans="1:37" ht="13.5" customHeight="1">
      <c r="A21" s="653">
        <f>'Budget-合并'!A21</f>
        <v>0</v>
      </c>
      <c r="B21" s="653">
        <f>'Budget-合并'!B21</f>
        <v>0</v>
      </c>
      <c r="C21" s="687">
        <f>'Budget-合并'!C21</f>
        <v>0</v>
      </c>
      <c r="D21" s="677"/>
      <c r="E21" s="677"/>
      <c r="F21" s="677"/>
      <c r="G21" s="677"/>
      <c r="H21" s="677"/>
      <c r="I21" s="677"/>
      <c r="K21" s="677"/>
      <c r="L21" s="677"/>
      <c r="M21" s="677"/>
      <c r="N21" s="677"/>
      <c r="O21" s="677"/>
      <c r="P21" s="677"/>
      <c r="Q21" s="677"/>
      <c r="R21" s="677"/>
      <c r="S21" s="677"/>
      <c r="T21" s="677"/>
      <c r="U21" s="677"/>
      <c r="V21" s="677"/>
      <c r="W21" s="677"/>
    </row>
    <row r="22" spans="1:37" ht="13.5" customHeight="1">
      <c r="A22" s="686" t="str">
        <f>'Budget-合并'!A22</f>
        <v>6602</v>
      </c>
      <c r="B22" s="686" t="str">
        <f>'Budget-合并'!B22</f>
        <v>管理费用</v>
      </c>
      <c r="C22" s="687">
        <f>'Budget-合并'!C22</f>
        <v>0</v>
      </c>
      <c r="D22" s="677"/>
      <c r="E22" s="677"/>
      <c r="F22" s="677"/>
      <c r="G22" s="677"/>
      <c r="H22" s="677"/>
      <c r="I22" s="677"/>
      <c r="K22" s="677"/>
      <c r="L22" s="677"/>
      <c r="M22" s="677"/>
      <c r="N22" s="677"/>
      <c r="O22" s="677"/>
      <c r="P22" s="677"/>
      <c r="Q22" s="677"/>
      <c r="R22" s="677"/>
      <c r="S22" s="677"/>
      <c r="T22" s="677"/>
      <c r="U22" s="677"/>
      <c r="V22" s="677"/>
      <c r="W22" s="677"/>
    </row>
    <row r="23" spans="1:37" ht="13.5" customHeight="1">
      <c r="A23" s="663" t="str">
        <f>'Budget-合并'!A23</f>
        <v>6602.01</v>
      </c>
      <c r="B23" s="663" t="str">
        <f>'Budget-合并'!B23</f>
        <v>工资薪金</v>
      </c>
      <c r="C23" s="687">
        <f>'Budget-合并'!C23</f>
        <v>0</v>
      </c>
      <c r="D23" s="676">
        <f t="shared" ref="D23:D42" si="17">INDEX($K23:$V23,1,MATCH($D$6,$K$6:$V$6))</f>
        <v>0</v>
      </c>
      <c r="E23" s="676" t="e">
        <f t="shared" ref="E23:E42" si="18">INDEX($Y23:$AJ23,1,MATCH($E$6,$Y$6:$AJ$6))</f>
        <v>#N/A</v>
      </c>
      <c r="F23" s="676" t="e">
        <f t="shared" ref="F23:F42" si="19">D23-E23</f>
        <v>#N/A</v>
      </c>
      <c r="G23" s="676">
        <f t="shared" ref="G23:G42" ca="1" si="20">SUM($K23:OFFSET($K23,0,MATCH(G$6,$K$6:$V$6)-1))</f>
        <v>0</v>
      </c>
      <c r="H23" s="676" t="e">
        <f t="shared" ref="H23:H42" ca="1" si="21">SUM($Y23:OFFSET($Y23,0,MATCH(H$6,$Y$6:$AJ$6)-1))</f>
        <v>#N/A</v>
      </c>
      <c r="I23" s="676" t="e">
        <f t="shared" ref="I23:I42" ca="1" si="22">G23-H23</f>
        <v>#N/A</v>
      </c>
      <c r="K23" s="676">
        <f>SUM(K24:K32)</f>
        <v>0</v>
      </c>
      <c r="L23" s="676">
        <f t="shared" ref="L23:V23" si="23">SUM(L24:L32)</f>
        <v>0</v>
      </c>
      <c r="M23" s="676">
        <f t="shared" si="23"/>
        <v>0</v>
      </c>
      <c r="N23" s="676">
        <f t="shared" si="23"/>
        <v>0</v>
      </c>
      <c r="O23" s="676">
        <f t="shared" si="23"/>
        <v>0</v>
      </c>
      <c r="P23" s="676">
        <f t="shared" si="23"/>
        <v>0</v>
      </c>
      <c r="Q23" s="676">
        <f t="shared" si="23"/>
        <v>0</v>
      </c>
      <c r="R23" s="676">
        <f t="shared" si="23"/>
        <v>0</v>
      </c>
      <c r="S23" s="676">
        <f t="shared" si="23"/>
        <v>0</v>
      </c>
      <c r="T23" s="676">
        <f t="shared" si="23"/>
        <v>0</v>
      </c>
      <c r="U23" s="676">
        <f t="shared" si="23"/>
        <v>0</v>
      </c>
      <c r="V23" s="676">
        <f t="shared" si="23"/>
        <v>0</v>
      </c>
      <c r="W23" s="676">
        <f t="shared" ref="W23:W86" si="24">SUM(K23:V23)</f>
        <v>0</v>
      </c>
      <c r="Y23" s="688">
        <f>IFERROR(VLOOKUP($A23,'[95]1月'!$A:$H,8,0),0)</f>
        <v>0</v>
      </c>
      <c r="Z23" s="688">
        <f>IFERROR(VLOOKUP($A23,'[95]2月'!$A:$H,8,0),0)</f>
        <v>0</v>
      </c>
      <c r="AA23" s="688">
        <f>IFERROR(VLOOKUP($A23,'[95]3月'!$A:$H,8,0),0)</f>
        <v>0</v>
      </c>
      <c r="AB23" s="688">
        <f>IFERROR(VLOOKUP($A23,'[95]4月'!$A:$H,8,0),0)</f>
        <v>0</v>
      </c>
      <c r="AC23" s="688">
        <f>IFERROR(VLOOKUP($A23,'[95]5月'!$A:$H,8,0),0)</f>
        <v>0</v>
      </c>
      <c r="AD23" s="688">
        <f>IFERROR(VLOOKUP($A23,'[95]6月'!$A:$H,8,0),0)</f>
        <v>0</v>
      </c>
      <c r="AE23" s="688">
        <f>IFERROR(VLOOKUP($A23,'[95]7月'!$A:$H,8,0),0)</f>
        <v>0</v>
      </c>
      <c r="AF23" s="688">
        <f>IFERROR(VLOOKUP($A23,'[95]8月'!$A:$H,8,0),0)</f>
        <v>0</v>
      </c>
      <c r="AG23" s="688">
        <f>IFERROR(VLOOKUP($A23,'[95]9月'!$A:$H,8,0),0)</f>
        <v>0</v>
      </c>
      <c r="AH23" s="688">
        <f>IFERROR(VLOOKUP($A23,'[95]10月'!$A:$H,8,0),0)</f>
        <v>0</v>
      </c>
      <c r="AI23" s="688">
        <f>IFERROR(VLOOKUP($A23,'[95]11月'!$A:$H,8,0),0)</f>
        <v>0</v>
      </c>
      <c r="AJ23" s="688">
        <f>IFERROR(VLOOKUP($A23,'[95]12月'!$A:$H,8,0),0)</f>
        <v>0</v>
      </c>
      <c r="AK23" s="688">
        <f t="shared" ref="AK23:AK41" si="25">SUM(Y23:AJ23)</f>
        <v>0</v>
      </c>
    </row>
    <row r="24" spans="1:37" ht="13.5" customHeight="1">
      <c r="A24" s="653" t="str">
        <f>'Budget-合并'!A24</f>
        <v>6602.01.01</v>
      </c>
      <c r="B24" s="653" t="str">
        <f>'Budget-合并'!B24</f>
        <v>基本工资（专业）</v>
      </c>
      <c r="C24" s="687" t="str">
        <f>'Budget-合并'!C24</f>
        <v>Salary Professional</v>
      </c>
      <c r="D24" s="676">
        <f t="shared" si="17"/>
        <v>0</v>
      </c>
      <c r="E24" s="676" t="e">
        <f t="shared" si="18"/>
        <v>#N/A</v>
      </c>
      <c r="F24" s="676" t="e">
        <f t="shared" si="19"/>
        <v>#N/A</v>
      </c>
      <c r="G24" s="676">
        <f t="shared" ca="1" si="20"/>
        <v>0</v>
      </c>
      <c r="H24" s="676" t="e">
        <f t="shared" ca="1" si="21"/>
        <v>#N/A</v>
      </c>
      <c r="I24" s="676" t="e">
        <f t="shared" ca="1" si="22"/>
        <v>#N/A</v>
      </c>
      <c r="K24" s="676"/>
      <c r="L24" s="676"/>
      <c r="M24" s="676"/>
      <c r="N24" s="676"/>
      <c r="O24" s="676"/>
      <c r="P24" s="676"/>
      <c r="Q24" s="676"/>
      <c r="R24" s="676"/>
      <c r="S24" s="676"/>
      <c r="T24" s="676"/>
      <c r="U24" s="676"/>
      <c r="V24" s="676"/>
      <c r="W24" s="676">
        <f t="shared" si="24"/>
        <v>0</v>
      </c>
      <c r="Y24" s="688">
        <f>IFERROR(VLOOKUP($A24,'[95]1月'!$A:$H,8,0),0)</f>
        <v>0</v>
      </c>
      <c r="Z24" s="688">
        <f>IFERROR(VLOOKUP($A24,'[95]2月'!$A:$H,8,0),0)</f>
        <v>0</v>
      </c>
      <c r="AA24" s="688">
        <f>IFERROR(VLOOKUP($A24,'[95]3月'!$A:$H,8,0),0)</f>
        <v>0</v>
      </c>
      <c r="AB24" s="688">
        <f>IFERROR(VLOOKUP($A24,'[95]4月'!$A:$H,8,0),0)</f>
        <v>0</v>
      </c>
      <c r="AC24" s="688">
        <f>IFERROR(VLOOKUP($A24,'[95]5月'!$A:$H,8,0),0)</f>
        <v>0</v>
      </c>
      <c r="AD24" s="688">
        <f>IFERROR(VLOOKUP($A24,'[95]6月'!$A:$H,8,0),0)</f>
        <v>0</v>
      </c>
      <c r="AE24" s="688">
        <f>IFERROR(VLOOKUP($A24,'[95]7月'!$A:$H,8,0),0)</f>
        <v>0</v>
      </c>
      <c r="AF24" s="688">
        <f>IFERROR(VLOOKUP($A24,'[95]8月'!$A:$H,8,0),0)</f>
        <v>0</v>
      </c>
      <c r="AG24" s="688">
        <f>IFERROR(VLOOKUP($A24,'[95]9月'!$A:$H,8,0),0)</f>
        <v>0</v>
      </c>
      <c r="AH24" s="688">
        <f>IFERROR(VLOOKUP($A24,'[95]10月'!$A:$H,8,0),0)</f>
        <v>0</v>
      </c>
      <c r="AI24" s="688">
        <f>IFERROR(VLOOKUP($A24,'[95]11月'!$A:$H,8,0),0)</f>
        <v>0</v>
      </c>
      <c r="AJ24" s="688">
        <f>IFERROR(VLOOKUP($A24,'[95]12月'!$A:$H,8,0),0)</f>
        <v>0</v>
      </c>
      <c r="AK24" s="688">
        <f t="shared" si="25"/>
        <v>0</v>
      </c>
    </row>
    <row r="25" spans="1:37" ht="13.5" customHeight="1">
      <c r="A25" s="653" t="str">
        <f>'Budget-合并'!A25</f>
        <v>6602.01.02</v>
      </c>
      <c r="B25" s="653" t="str">
        <f>'Budget-合并'!B25</f>
        <v>加班费</v>
      </c>
      <c r="C25" s="687">
        <f>'Budget-合并'!C25</f>
        <v>0</v>
      </c>
      <c r="D25" s="676">
        <f t="shared" si="17"/>
        <v>0</v>
      </c>
      <c r="E25" s="676" t="e">
        <f t="shared" si="18"/>
        <v>#N/A</v>
      </c>
      <c r="F25" s="676" t="e">
        <f t="shared" si="19"/>
        <v>#N/A</v>
      </c>
      <c r="G25" s="676">
        <f t="shared" ca="1" si="20"/>
        <v>0</v>
      </c>
      <c r="H25" s="676" t="e">
        <f t="shared" ca="1" si="21"/>
        <v>#N/A</v>
      </c>
      <c r="I25" s="676" t="e">
        <f t="shared" ca="1" si="22"/>
        <v>#N/A</v>
      </c>
      <c r="K25" s="676"/>
      <c r="L25" s="676"/>
      <c r="M25" s="676"/>
      <c r="N25" s="676"/>
      <c r="O25" s="676"/>
      <c r="P25" s="676"/>
      <c r="Q25" s="676"/>
      <c r="R25" s="676"/>
      <c r="S25" s="676"/>
      <c r="T25" s="676"/>
      <c r="U25" s="676"/>
      <c r="V25" s="676"/>
      <c r="W25" s="676">
        <f t="shared" si="24"/>
        <v>0</v>
      </c>
      <c r="Y25" s="688">
        <f>IFERROR(VLOOKUP($A25,'[95]1月'!$A:$H,8,0),0)</f>
        <v>0</v>
      </c>
      <c r="Z25" s="688">
        <f>IFERROR(VLOOKUP($A25,'[95]2月'!$A:$H,8,0),0)</f>
        <v>0</v>
      </c>
      <c r="AA25" s="688">
        <f>IFERROR(VLOOKUP($A25,'[95]3月'!$A:$H,8,0),0)</f>
        <v>0</v>
      </c>
      <c r="AB25" s="688">
        <f>IFERROR(VLOOKUP($A25,'[95]4月'!$A:$H,8,0),0)</f>
        <v>0</v>
      </c>
      <c r="AC25" s="688">
        <f>IFERROR(VLOOKUP($A25,'[95]5月'!$A:$H,8,0),0)</f>
        <v>0</v>
      </c>
      <c r="AD25" s="688">
        <f>IFERROR(VLOOKUP($A25,'[95]6月'!$A:$H,8,0),0)</f>
        <v>0</v>
      </c>
      <c r="AE25" s="688">
        <f>IFERROR(VLOOKUP($A25,'[95]7月'!$A:$H,8,0),0)</f>
        <v>0</v>
      </c>
      <c r="AF25" s="688">
        <f>IFERROR(VLOOKUP($A25,'[95]8月'!$A:$H,8,0),0)</f>
        <v>0</v>
      </c>
      <c r="AG25" s="688">
        <f>IFERROR(VLOOKUP($A25,'[95]9月'!$A:$H,8,0),0)</f>
        <v>0</v>
      </c>
      <c r="AH25" s="688">
        <f>IFERROR(VLOOKUP($A25,'[95]10月'!$A:$H,8,0),0)</f>
        <v>0</v>
      </c>
      <c r="AI25" s="688">
        <f>IFERROR(VLOOKUP($A25,'[95]11月'!$A:$H,8,0),0)</f>
        <v>0</v>
      </c>
      <c r="AJ25" s="688">
        <f>IFERROR(VLOOKUP($A25,'[95]12月'!$A:$H,8,0),0)</f>
        <v>0</v>
      </c>
      <c r="AK25" s="688">
        <f t="shared" si="25"/>
        <v>0</v>
      </c>
    </row>
    <row r="26" spans="1:37" ht="13.5" customHeight="1">
      <c r="A26" s="653" t="str">
        <f>'Budget-合并'!A26</f>
        <v>6602.01.03</v>
      </c>
      <c r="B26" s="653" t="str">
        <f>'Budget-合并'!B26</f>
        <v>员工奖金（专业）</v>
      </c>
      <c r="C26" s="687" t="str">
        <f>'Budget-合并'!C26</f>
        <v>Bonus Expense - Professional</v>
      </c>
      <c r="D26" s="676">
        <f t="shared" si="17"/>
        <v>0</v>
      </c>
      <c r="E26" s="676" t="e">
        <f t="shared" si="18"/>
        <v>#N/A</v>
      </c>
      <c r="F26" s="676" t="e">
        <f t="shared" si="19"/>
        <v>#N/A</v>
      </c>
      <c r="G26" s="676">
        <f t="shared" ca="1" si="20"/>
        <v>0</v>
      </c>
      <c r="H26" s="676" t="e">
        <f t="shared" ca="1" si="21"/>
        <v>#N/A</v>
      </c>
      <c r="I26" s="676" t="e">
        <f t="shared" ca="1" si="22"/>
        <v>#N/A</v>
      </c>
      <c r="K26" s="676"/>
      <c r="L26" s="676"/>
      <c r="M26" s="676"/>
      <c r="N26" s="676"/>
      <c r="O26" s="676"/>
      <c r="P26" s="676"/>
      <c r="Q26" s="676"/>
      <c r="R26" s="676"/>
      <c r="S26" s="676"/>
      <c r="T26" s="676"/>
      <c r="U26" s="676"/>
      <c r="V26" s="676"/>
      <c r="W26" s="676">
        <f t="shared" si="24"/>
        <v>0</v>
      </c>
      <c r="Y26" s="688">
        <f>IFERROR(VLOOKUP($A26,'[95]1月'!$A:$H,8,0),0)</f>
        <v>0</v>
      </c>
      <c r="Z26" s="688">
        <f>IFERROR(VLOOKUP($A26,'[95]2月'!$A:$H,8,0),0)</f>
        <v>0</v>
      </c>
      <c r="AA26" s="688">
        <f>IFERROR(VLOOKUP($A26,'[95]3月'!$A:$H,8,0),0)</f>
        <v>0</v>
      </c>
      <c r="AB26" s="688">
        <f>IFERROR(VLOOKUP($A26,'[95]4月'!$A:$H,8,0),0)</f>
        <v>0</v>
      </c>
      <c r="AC26" s="688">
        <f>IFERROR(VLOOKUP($A26,'[95]5月'!$A:$H,8,0),0)</f>
        <v>0</v>
      </c>
      <c r="AD26" s="688">
        <f>IFERROR(VLOOKUP($A26,'[95]6月'!$A:$H,8,0),0)</f>
        <v>0</v>
      </c>
      <c r="AE26" s="688">
        <f>IFERROR(VLOOKUP($A26,'[95]7月'!$A:$H,8,0),0)</f>
        <v>0</v>
      </c>
      <c r="AF26" s="688">
        <f>IFERROR(VLOOKUP($A26,'[95]8月'!$A:$H,8,0),0)</f>
        <v>0</v>
      </c>
      <c r="AG26" s="688">
        <f>IFERROR(VLOOKUP($A26,'[95]9月'!$A:$H,8,0),0)</f>
        <v>0</v>
      </c>
      <c r="AH26" s="688">
        <f>IFERROR(VLOOKUP($A26,'[95]10月'!$A:$H,8,0),0)</f>
        <v>0</v>
      </c>
      <c r="AI26" s="688">
        <f>IFERROR(VLOOKUP($A26,'[95]11月'!$A:$H,8,0),0)</f>
        <v>0</v>
      </c>
      <c r="AJ26" s="688">
        <f>IFERROR(VLOOKUP($A26,'[95]12月'!$A:$H,8,0),0)</f>
        <v>0</v>
      </c>
      <c r="AK26" s="688">
        <f t="shared" si="25"/>
        <v>0</v>
      </c>
    </row>
    <row r="27" spans="1:37" ht="13.5" customHeight="1">
      <c r="A27" s="653" t="str">
        <f>'Budget-合并'!A27</f>
        <v>6602.01.04</v>
      </c>
      <c r="B27" s="653" t="str">
        <f>'Budget-合并'!B27</f>
        <v>员工遣散费</v>
      </c>
      <c r="C27" s="687">
        <f>'Budget-合并'!C27</f>
        <v>0</v>
      </c>
      <c r="D27" s="676">
        <f t="shared" si="17"/>
        <v>0</v>
      </c>
      <c r="E27" s="676" t="e">
        <f t="shared" si="18"/>
        <v>#N/A</v>
      </c>
      <c r="F27" s="676" t="e">
        <f t="shared" si="19"/>
        <v>#N/A</v>
      </c>
      <c r="G27" s="676">
        <f t="shared" ca="1" si="20"/>
        <v>0</v>
      </c>
      <c r="H27" s="676" t="e">
        <f t="shared" ca="1" si="21"/>
        <v>#N/A</v>
      </c>
      <c r="I27" s="676" t="e">
        <f t="shared" ca="1" si="22"/>
        <v>#N/A</v>
      </c>
      <c r="K27" s="676"/>
      <c r="L27" s="676"/>
      <c r="M27" s="676"/>
      <c r="N27" s="676"/>
      <c r="O27" s="676"/>
      <c r="P27" s="676"/>
      <c r="Q27" s="676"/>
      <c r="R27" s="676"/>
      <c r="S27" s="676"/>
      <c r="T27" s="676"/>
      <c r="U27" s="676"/>
      <c r="V27" s="676"/>
      <c r="W27" s="676">
        <f t="shared" si="24"/>
        <v>0</v>
      </c>
      <c r="Y27" s="688">
        <f>IFERROR(VLOOKUP($A27,'[95]1月'!$A:$H,8,0),0)</f>
        <v>0</v>
      </c>
      <c r="Z27" s="688">
        <f>IFERROR(VLOOKUP($A27,'[95]2月'!$A:$H,8,0),0)</f>
        <v>0</v>
      </c>
      <c r="AA27" s="688">
        <f>IFERROR(VLOOKUP($A27,'[95]3月'!$A:$H,8,0),0)</f>
        <v>0</v>
      </c>
      <c r="AB27" s="688">
        <f>IFERROR(VLOOKUP($A27,'[95]4月'!$A:$H,8,0),0)</f>
        <v>0</v>
      </c>
      <c r="AC27" s="688">
        <f>IFERROR(VLOOKUP($A27,'[95]5月'!$A:$H,8,0),0)</f>
        <v>0</v>
      </c>
      <c r="AD27" s="688">
        <f>IFERROR(VLOOKUP($A27,'[95]6月'!$A:$H,8,0),0)</f>
        <v>0</v>
      </c>
      <c r="AE27" s="688">
        <f>IFERROR(VLOOKUP($A27,'[95]7月'!$A:$H,8,0),0)</f>
        <v>0</v>
      </c>
      <c r="AF27" s="688">
        <f>IFERROR(VLOOKUP($A27,'[95]8月'!$A:$H,8,0),0)</f>
        <v>0</v>
      </c>
      <c r="AG27" s="688">
        <f>IFERROR(VLOOKUP($A27,'[95]9月'!$A:$H,8,0),0)</f>
        <v>0</v>
      </c>
      <c r="AH27" s="688">
        <f>IFERROR(VLOOKUP($A27,'[95]10月'!$A:$H,8,0),0)</f>
        <v>0</v>
      </c>
      <c r="AI27" s="688">
        <f>IFERROR(VLOOKUP($A27,'[95]11月'!$A:$H,8,0),0)</f>
        <v>0</v>
      </c>
      <c r="AJ27" s="688">
        <f>IFERROR(VLOOKUP($A27,'[95]12月'!$A:$H,8,0),0)</f>
        <v>0</v>
      </c>
      <c r="AK27" s="688">
        <f t="shared" si="25"/>
        <v>0</v>
      </c>
    </row>
    <row r="28" spans="1:37" ht="13.5" customHeight="1">
      <c r="A28" s="653" t="str">
        <f>'Budget-合并'!A28</f>
        <v>6602.01.05</v>
      </c>
      <c r="B28" s="653" t="str">
        <f>'Budget-合并'!B28</f>
        <v>员工假期</v>
      </c>
      <c r="C28" s="687" t="str">
        <f>'Budget-合并'!C28</f>
        <v>Unused Leave Expense</v>
      </c>
      <c r="D28" s="676">
        <f t="shared" si="17"/>
        <v>0</v>
      </c>
      <c r="E28" s="676" t="e">
        <f t="shared" si="18"/>
        <v>#N/A</v>
      </c>
      <c r="F28" s="676" t="e">
        <f t="shared" si="19"/>
        <v>#N/A</v>
      </c>
      <c r="G28" s="676">
        <f t="shared" ca="1" si="20"/>
        <v>0</v>
      </c>
      <c r="H28" s="676" t="e">
        <f t="shared" ca="1" si="21"/>
        <v>#N/A</v>
      </c>
      <c r="I28" s="676" t="e">
        <f t="shared" ca="1" si="22"/>
        <v>#N/A</v>
      </c>
      <c r="K28" s="676"/>
      <c r="L28" s="676"/>
      <c r="M28" s="676"/>
      <c r="N28" s="676"/>
      <c r="O28" s="676"/>
      <c r="P28" s="676"/>
      <c r="Q28" s="676"/>
      <c r="R28" s="676"/>
      <c r="S28" s="676"/>
      <c r="T28" s="676"/>
      <c r="U28" s="676"/>
      <c r="V28" s="676"/>
      <c r="W28" s="676">
        <f t="shared" si="24"/>
        <v>0</v>
      </c>
      <c r="Y28" s="688">
        <f>IFERROR(VLOOKUP($A28,'[95]1月'!$A:$H,8,0),0)</f>
        <v>0</v>
      </c>
      <c r="Z28" s="688">
        <f>IFERROR(VLOOKUP($A28,'[95]2月'!$A:$H,8,0),0)</f>
        <v>0</v>
      </c>
      <c r="AA28" s="688">
        <f>IFERROR(VLOOKUP($A28,'[95]3月'!$A:$H,8,0),0)</f>
        <v>0</v>
      </c>
      <c r="AB28" s="688">
        <f>IFERROR(VLOOKUP($A28,'[95]4月'!$A:$H,8,0),0)</f>
        <v>0</v>
      </c>
      <c r="AC28" s="688">
        <f>IFERROR(VLOOKUP($A28,'[95]5月'!$A:$H,8,0),0)</f>
        <v>0</v>
      </c>
      <c r="AD28" s="688">
        <f>IFERROR(VLOOKUP($A28,'[95]6月'!$A:$H,8,0),0)</f>
        <v>0</v>
      </c>
      <c r="AE28" s="688">
        <f>IFERROR(VLOOKUP($A28,'[95]7月'!$A:$H,8,0),0)</f>
        <v>0</v>
      </c>
      <c r="AF28" s="688">
        <f>IFERROR(VLOOKUP($A28,'[95]8月'!$A:$H,8,0),0)</f>
        <v>0</v>
      </c>
      <c r="AG28" s="688">
        <f>IFERROR(VLOOKUP($A28,'[95]9月'!$A:$H,8,0),0)</f>
        <v>0</v>
      </c>
      <c r="AH28" s="688">
        <f>IFERROR(VLOOKUP($A28,'[95]10月'!$A:$H,8,0),0)</f>
        <v>0</v>
      </c>
      <c r="AI28" s="688">
        <f>IFERROR(VLOOKUP($A28,'[95]11月'!$A:$H,8,0),0)</f>
        <v>0</v>
      </c>
      <c r="AJ28" s="688">
        <f>IFERROR(VLOOKUP($A28,'[95]12月'!$A:$H,8,0),0)</f>
        <v>0</v>
      </c>
      <c r="AK28" s="688">
        <f t="shared" si="25"/>
        <v>0</v>
      </c>
    </row>
    <row r="29" spans="1:37" ht="13.5" customHeight="1">
      <c r="A29" s="653" t="str">
        <f>'Budget-合并'!A29</f>
        <v>6602.01.06</v>
      </c>
      <c r="B29" s="653" t="str">
        <f>'Budget-合并'!B29</f>
        <v>劳务报酬</v>
      </c>
      <c r="C29" s="687">
        <f>'Budget-合并'!C29</f>
        <v>0</v>
      </c>
      <c r="D29" s="676">
        <f t="shared" si="17"/>
        <v>0</v>
      </c>
      <c r="E29" s="676" t="e">
        <f t="shared" si="18"/>
        <v>#N/A</v>
      </c>
      <c r="F29" s="676" t="e">
        <f t="shared" si="19"/>
        <v>#N/A</v>
      </c>
      <c r="G29" s="676">
        <f t="shared" ca="1" si="20"/>
        <v>0</v>
      </c>
      <c r="H29" s="676" t="e">
        <f t="shared" ca="1" si="21"/>
        <v>#N/A</v>
      </c>
      <c r="I29" s="676" t="e">
        <f t="shared" ca="1" si="22"/>
        <v>#N/A</v>
      </c>
      <c r="K29" s="676"/>
      <c r="L29" s="676"/>
      <c r="M29" s="676"/>
      <c r="N29" s="676"/>
      <c r="O29" s="676"/>
      <c r="P29" s="676"/>
      <c r="Q29" s="676"/>
      <c r="R29" s="676"/>
      <c r="S29" s="676"/>
      <c r="T29" s="676"/>
      <c r="U29" s="676"/>
      <c r="V29" s="676"/>
      <c r="W29" s="676">
        <f t="shared" si="24"/>
        <v>0</v>
      </c>
      <c r="Y29" s="688">
        <f>IFERROR(VLOOKUP($A29,'[95]1月'!$A:$H,8,0),0)</f>
        <v>0</v>
      </c>
      <c r="Z29" s="688">
        <f>IFERROR(VLOOKUP($A29,'[95]2月'!$A:$H,8,0),0)</f>
        <v>0</v>
      </c>
      <c r="AA29" s="688">
        <f>IFERROR(VLOOKUP($A29,'[95]3月'!$A:$H,8,0),0)</f>
        <v>0</v>
      </c>
      <c r="AB29" s="688">
        <f>IFERROR(VLOOKUP($A29,'[95]4月'!$A:$H,8,0),0)</f>
        <v>0</v>
      </c>
      <c r="AC29" s="688">
        <f>IFERROR(VLOOKUP($A29,'[95]5月'!$A:$H,8,0),0)</f>
        <v>0</v>
      </c>
      <c r="AD29" s="688">
        <f>IFERROR(VLOOKUP($A29,'[95]6月'!$A:$H,8,0),0)</f>
        <v>0</v>
      </c>
      <c r="AE29" s="688">
        <f>IFERROR(VLOOKUP($A29,'[95]7月'!$A:$H,8,0),0)</f>
        <v>0</v>
      </c>
      <c r="AF29" s="688">
        <f>IFERROR(VLOOKUP($A29,'[95]8月'!$A:$H,8,0),0)</f>
        <v>0</v>
      </c>
      <c r="AG29" s="688">
        <f>IFERROR(VLOOKUP($A29,'[95]9月'!$A:$H,8,0),0)</f>
        <v>0</v>
      </c>
      <c r="AH29" s="688">
        <f>IFERROR(VLOOKUP($A29,'[95]10月'!$A:$H,8,0),0)</f>
        <v>0</v>
      </c>
      <c r="AI29" s="688">
        <f>IFERROR(VLOOKUP($A29,'[95]11月'!$A:$H,8,0),0)</f>
        <v>0</v>
      </c>
      <c r="AJ29" s="688">
        <f>IFERROR(VLOOKUP($A29,'[95]12月'!$A:$H,8,0),0)</f>
        <v>0</v>
      </c>
      <c r="AK29" s="688">
        <f t="shared" si="25"/>
        <v>0</v>
      </c>
    </row>
    <row r="30" spans="1:37" ht="13.5" customHeight="1">
      <c r="A30" s="653" t="str">
        <f>'Budget-合并'!A30</f>
        <v>6602.01.07</v>
      </c>
      <c r="B30" s="653" t="str">
        <f>'Budget-合并'!B30</f>
        <v>集团内分摊</v>
      </c>
      <c r="C30" s="687" t="str">
        <f>'Budget-合并'!C30</f>
        <v>Mantime X Charge</v>
      </c>
      <c r="D30" s="676">
        <f t="shared" si="17"/>
        <v>0</v>
      </c>
      <c r="E30" s="676" t="e">
        <f t="shared" si="18"/>
        <v>#N/A</v>
      </c>
      <c r="F30" s="676" t="e">
        <f t="shared" si="19"/>
        <v>#N/A</v>
      </c>
      <c r="G30" s="676">
        <f t="shared" ca="1" si="20"/>
        <v>0</v>
      </c>
      <c r="H30" s="676" t="e">
        <f t="shared" ca="1" si="21"/>
        <v>#N/A</v>
      </c>
      <c r="I30" s="676" t="e">
        <f t="shared" ca="1" si="22"/>
        <v>#N/A</v>
      </c>
      <c r="K30" s="676"/>
      <c r="L30" s="676"/>
      <c r="M30" s="676"/>
      <c r="N30" s="676"/>
      <c r="O30" s="676"/>
      <c r="P30" s="676"/>
      <c r="Q30" s="676"/>
      <c r="R30" s="676"/>
      <c r="S30" s="676"/>
      <c r="T30" s="676"/>
      <c r="U30" s="676"/>
      <c r="V30" s="676"/>
      <c r="W30" s="676">
        <f t="shared" si="24"/>
        <v>0</v>
      </c>
      <c r="Y30" s="688">
        <f>IFERROR(VLOOKUP($A30,'[95]1月'!$A:$H,8,0),0)</f>
        <v>0</v>
      </c>
      <c r="Z30" s="688">
        <f>IFERROR(VLOOKUP($A30,'[95]2月'!$A:$H,8,0),0)</f>
        <v>0</v>
      </c>
      <c r="AA30" s="688">
        <f>IFERROR(VLOOKUP($A30,'[95]3月'!$A:$H,8,0),0)</f>
        <v>0</v>
      </c>
      <c r="AB30" s="688">
        <f>IFERROR(VLOOKUP($A30,'[95]4月'!$A:$H,8,0),0)</f>
        <v>0</v>
      </c>
      <c r="AC30" s="688">
        <f>IFERROR(VLOOKUP($A30,'[95]5月'!$A:$H,8,0),0)</f>
        <v>0</v>
      </c>
      <c r="AD30" s="688">
        <f>IFERROR(VLOOKUP($A30,'[95]6月'!$A:$H,8,0),0)</f>
        <v>0</v>
      </c>
      <c r="AE30" s="688">
        <f>IFERROR(VLOOKUP($A30,'[95]7月'!$A:$H,8,0),0)</f>
        <v>0</v>
      </c>
      <c r="AF30" s="688">
        <f>IFERROR(VLOOKUP($A30,'[95]8月'!$A:$H,8,0),0)</f>
        <v>0</v>
      </c>
      <c r="AG30" s="688">
        <f>IFERROR(VLOOKUP($A30,'[95]9月'!$A:$H,8,0),0)</f>
        <v>0</v>
      </c>
      <c r="AH30" s="688">
        <f>IFERROR(VLOOKUP($A30,'[95]10月'!$A:$H,8,0),0)</f>
        <v>0</v>
      </c>
      <c r="AI30" s="688">
        <f>IFERROR(VLOOKUP($A30,'[95]11月'!$A:$H,8,0),0)</f>
        <v>0</v>
      </c>
      <c r="AJ30" s="688">
        <f>IFERROR(VLOOKUP($A30,'[95]12月'!$A:$H,8,0),0)</f>
        <v>0</v>
      </c>
      <c r="AK30" s="688">
        <f t="shared" si="25"/>
        <v>0</v>
      </c>
    </row>
    <row r="31" spans="1:37" ht="13.5" customHeight="1">
      <c r="A31" s="653" t="str">
        <f>'Budget-合并'!A31</f>
        <v>6602.01.08</v>
      </c>
      <c r="B31" s="653" t="str">
        <f>'Budget-合并'!B31</f>
        <v>基本工资（管理）</v>
      </c>
      <c r="C31" s="687" t="str">
        <f>'Budget-合并'!C31</f>
        <v>Salary Management</v>
      </c>
      <c r="D31" s="676">
        <f t="shared" si="17"/>
        <v>0</v>
      </c>
      <c r="E31" s="676" t="e">
        <f t="shared" si="18"/>
        <v>#N/A</v>
      </c>
      <c r="F31" s="676" t="e">
        <f t="shared" si="19"/>
        <v>#N/A</v>
      </c>
      <c r="G31" s="676">
        <f t="shared" ca="1" si="20"/>
        <v>0</v>
      </c>
      <c r="H31" s="676" t="e">
        <f t="shared" ca="1" si="21"/>
        <v>#N/A</v>
      </c>
      <c r="I31" s="676" t="e">
        <f t="shared" ca="1" si="22"/>
        <v>#N/A</v>
      </c>
      <c r="K31" s="676"/>
      <c r="L31" s="676"/>
      <c r="M31" s="676"/>
      <c r="N31" s="676"/>
      <c r="O31" s="676"/>
      <c r="P31" s="676"/>
      <c r="Q31" s="676"/>
      <c r="R31" s="676"/>
      <c r="S31" s="676"/>
      <c r="T31" s="676"/>
      <c r="U31" s="676"/>
      <c r="V31" s="676"/>
      <c r="W31" s="676">
        <f t="shared" si="24"/>
        <v>0</v>
      </c>
      <c r="Y31" s="688">
        <f>IFERROR(VLOOKUP($A31,'[95]1月'!$A:$H,8,0),0)</f>
        <v>0</v>
      </c>
      <c r="Z31" s="688">
        <f>IFERROR(VLOOKUP($A31,'[95]2月'!$A:$H,8,0),0)</f>
        <v>0</v>
      </c>
      <c r="AA31" s="688">
        <f>IFERROR(VLOOKUP($A31,'[95]3月'!$A:$H,8,0),0)</f>
        <v>0</v>
      </c>
      <c r="AB31" s="688">
        <f>IFERROR(VLOOKUP($A31,'[95]4月'!$A:$H,8,0),0)</f>
        <v>0</v>
      </c>
      <c r="AC31" s="688">
        <f>IFERROR(VLOOKUP($A31,'[95]5月'!$A:$H,8,0),0)</f>
        <v>0</v>
      </c>
      <c r="AD31" s="688">
        <f>IFERROR(VLOOKUP($A31,'[95]6月'!$A:$H,8,0),0)</f>
        <v>0</v>
      </c>
      <c r="AE31" s="688">
        <f>IFERROR(VLOOKUP($A31,'[95]7月'!$A:$H,8,0),0)</f>
        <v>0</v>
      </c>
      <c r="AF31" s="688">
        <f>IFERROR(VLOOKUP($A31,'[95]8月'!$A:$H,8,0),0)</f>
        <v>0</v>
      </c>
      <c r="AG31" s="688">
        <f>IFERROR(VLOOKUP($A31,'[95]9月'!$A:$H,8,0),0)</f>
        <v>0</v>
      </c>
      <c r="AH31" s="688">
        <f>IFERROR(VLOOKUP($A31,'[95]10月'!$A:$H,8,0),0)</f>
        <v>0</v>
      </c>
      <c r="AI31" s="688">
        <f>IFERROR(VLOOKUP($A31,'[95]11月'!$A:$H,8,0),0)</f>
        <v>0</v>
      </c>
      <c r="AJ31" s="688">
        <f>IFERROR(VLOOKUP($A31,'[95]12月'!$A:$H,8,0),0)</f>
        <v>0</v>
      </c>
      <c r="AK31" s="688">
        <f t="shared" si="25"/>
        <v>0</v>
      </c>
    </row>
    <row r="32" spans="1:37" ht="13.5" customHeight="1">
      <c r="A32" s="653" t="str">
        <f>'Budget-合并'!A32</f>
        <v>6602.01.09</v>
      </c>
      <c r="B32" s="653" t="str">
        <f>'Budget-合并'!B32</f>
        <v>员工奖金（管理）</v>
      </c>
      <c r="C32" s="687" t="str">
        <f>'Budget-合并'!C32</f>
        <v>Bonus Expense - Management</v>
      </c>
      <c r="D32" s="676">
        <f t="shared" si="17"/>
        <v>0</v>
      </c>
      <c r="E32" s="676" t="e">
        <f t="shared" si="18"/>
        <v>#N/A</v>
      </c>
      <c r="F32" s="676" t="e">
        <f t="shared" si="19"/>
        <v>#N/A</v>
      </c>
      <c r="G32" s="676">
        <f t="shared" ca="1" si="20"/>
        <v>0</v>
      </c>
      <c r="H32" s="676" t="e">
        <f t="shared" ca="1" si="21"/>
        <v>#N/A</v>
      </c>
      <c r="I32" s="676" t="e">
        <f t="shared" ca="1" si="22"/>
        <v>#N/A</v>
      </c>
      <c r="K32" s="676"/>
      <c r="L32" s="676"/>
      <c r="M32" s="676"/>
      <c r="N32" s="676"/>
      <c r="O32" s="676"/>
      <c r="P32" s="676"/>
      <c r="Q32" s="676"/>
      <c r="R32" s="676"/>
      <c r="S32" s="676"/>
      <c r="T32" s="676"/>
      <c r="U32" s="676"/>
      <c r="V32" s="676"/>
      <c r="W32" s="676">
        <f t="shared" si="24"/>
        <v>0</v>
      </c>
      <c r="Y32" s="688">
        <f>IFERROR(VLOOKUP($A32,'[95]1月'!$A:$H,8,0),0)</f>
        <v>0</v>
      </c>
      <c r="Z32" s="688">
        <f>IFERROR(VLOOKUP($A32,'[95]2月'!$A:$H,8,0),0)</f>
        <v>0</v>
      </c>
      <c r="AA32" s="688">
        <f>IFERROR(VLOOKUP($A32,'[95]3月'!$A:$H,8,0),0)</f>
        <v>0</v>
      </c>
      <c r="AB32" s="688">
        <f>IFERROR(VLOOKUP($A32,'[95]4月'!$A:$H,8,0),0)</f>
        <v>0</v>
      </c>
      <c r="AC32" s="688">
        <f>IFERROR(VLOOKUP($A32,'[95]5月'!$A:$H,8,0),0)</f>
        <v>0</v>
      </c>
      <c r="AD32" s="688">
        <f>IFERROR(VLOOKUP($A32,'[95]6月'!$A:$H,8,0),0)</f>
        <v>0</v>
      </c>
      <c r="AE32" s="688">
        <f>IFERROR(VLOOKUP($A32,'[95]7月'!$A:$H,8,0),0)</f>
        <v>0</v>
      </c>
      <c r="AF32" s="688">
        <f>IFERROR(VLOOKUP($A32,'[95]8月'!$A:$H,8,0),0)</f>
        <v>0</v>
      </c>
      <c r="AG32" s="688">
        <f>IFERROR(VLOOKUP($A32,'[95]9月'!$A:$H,8,0),0)</f>
        <v>0</v>
      </c>
      <c r="AH32" s="688">
        <f>IFERROR(VLOOKUP($A32,'[95]10月'!$A:$H,8,0),0)</f>
        <v>0</v>
      </c>
      <c r="AI32" s="688">
        <f>IFERROR(VLOOKUP($A32,'[95]11月'!$A:$H,8,0),0)</f>
        <v>0</v>
      </c>
      <c r="AJ32" s="688">
        <f>IFERROR(VLOOKUP($A32,'[95]12月'!$A:$H,8,0),0)</f>
        <v>0</v>
      </c>
      <c r="AK32" s="688">
        <f t="shared" si="25"/>
        <v>0</v>
      </c>
    </row>
    <row r="33" spans="1:37" ht="13.5" customHeight="1">
      <c r="A33" s="663" t="str">
        <f>'Budget-合并'!A33</f>
        <v>6602.02</v>
      </c>
      <c r="B33" s="663" t="str">
        <f>'Budget-合并'!B33</f>
        <v>职工福利</v>
      </c>
      <c r="C33" s="687">
        <f>'Budget-合并'!C33</f>
        <v>0</v>
      </c>
      <c r="D33" s="676">
        <f t="shared" si="17"/>
        <v>0</v>
      </c>
      <c r="E33" s="676" t="e">
        <f t="shared" si="18"/>
        <v>#N/A</v>
      </c>
      <c r="F33" s="676" t="e">
        <f t="shared" si="19"/>
        <v>#N/A</v>
      </c>
      <c r="G33" s="676">
        <f t="shared" ca="1" si="20"/>
        <v>0</v>
      </c>
      <c r="H33" s="676" t="e">
        <f t="shared" ca="1" si="21"/>
        <v>#N/A</v>
      </c>
      <c r="I33" s="676" t="e">
        <f t="shared" ca="1" si="22"/>
        <v>#N/A</v>
      </c>
      <c r="K33" s="679">
        <f t="shared" ref="K33:V33" si="26">SUM(K34:K37)</f>
        <v>0</v>
      </c>
      <c r="L33" s="679">
        <f t="shared" si="26"/>
        <v>0</v>
      </c>
      <c r="M33" s="679">
        <f t="shared" si="26"/>
        <v>0</v>
      </c>
      <c r="N33" s="679">
        <f t="shared" si="26"/>
        <v>0</v>
      </c>
      <c r="O33" s="679">
        <f t="shared" si="26"/>
        <v>0</v>
      </c>
      <c r="P33" s="679">
        <f t="shared" si="26"/>
        <v>0</v>
      </c>
      <c r="Q33" s="679">
        <f t="shared" si="26"/>
        <v>0</v>
      </c>
      <c r="R33" s="679">
        <f t="shared" si="26"/>
        <v>0</v>
      </c>
      <c r="S33" s="679">
        <f t="shared" si="26"/>
        <v>0</v>
      </c>
      <c r="T33" s="679">
        <f t="shared" si="26"/>
        <v>0</v>
      </c>
      <c r="U33" s="679">
        <f t="shared" si="26"/>
        <v>0</v>
      </c>
      <c r="V33" s="679">
        <f t="shared" si="26"/>
        <v>0</v>
      </c>
      <c r="W33" s="676">
        <f t="shared" si="24"/>
        <v>0</v>
      </c>
      <c r="Y33" s="688">
        <f>IFERROR(VLOOKUP($A33,'[95]1月'!$A:$H,8,0),0)</f>
        <v>0</v>
      </c>
      <c r="Z33" s="688">
        <f>IFERROR(VLOOKUP($A33,'[95]2月'!$A:$H,8,0),0)</f>
        <v>0</v>
      </c>
      <c r="AA33" s="688">
        <f>IFERROR(VLOOKUP($A33,'[95]3月'!$A:$H,8,0),0)</f>
        <v>0</v>
      </c>
      <c r="AB33" s="688">
        <f>IFERROR(VLOOKUP($A33,'[95]4月'!$A:$H,8,0),0)</f>
        <v>0</v>
      </c>
      <c r="AC33" s="688">
        <f>IFERROR(VLOOKUP($A33,'[95]5月'!$A:$H,8,0),0)</f>
        <v>0</v>
      </c>
      <c r="AD33" s="688">
        <f>IFERROR(VLOOKUP($A33,'[95]6月'!$A:$H,8,0),0)</f>
        <v>0</v>
      </c>
      <c r="AE33" s="688">
        <f>IFERROR(VLOOKUP($A33,'[95]7月'!$A:$H,8,0),0)</f>
        <v>0</v>
      </c>
      <c r="AF33" s="688">
        <f>IFERROR(VLOOKUP($A33,'[95]8月'!$A:$H,8,0),0)</f>
        <v>0</v>
      </c>
      <c r="AG33" s="688">
        <f>IFERROR(VLOOKUP($A33,'[95]9月'!$A:$H,8,0),0)</f>
        <v>0</v>
      </c>
      <c r="AH33" s="688">
        <f>IFERROR(VLOOKUP($A33,'[95]10月'!$A:$H,8,0),0)</f>
        <v>0</v>
      </c>
      <c r="AI33" s="688">
        <f>IFERROR(VLOOKUP($A33,'[95]11月'!$A:$H,8,0),0)</f>
        <v>0</v>
      </c>
      <c r="AJ33" s="688">
        <f>IFERROR(VLOOKUP($A33,'[95]12月'!$A:$H,8,0),0)</f>
        <v>0</v>
      </c>
      <c r="AK33" s="688">
        <f t="shared" si="25"/>
        <v>0</v>
      </c>
    </row>
    <row r="34" spans="1:37" ht="13.5" customHeight="1">
      <c r="A34" s="653" t="str">
        <f>'Budget-合并'!A34</f>
        <v>6602.02.01</v>
      </c>
      <c r="B34" s="653" t="str">
        <f>'Budget-合并'!B34</f>
        <v>员工福利</v>
      </c>
      <c r="C34" s="687" t="str">
        <f>'Budget-合并'!C34</f>
        <v>Fringe Other</v>
      </c>
      <c r="D34" s="676">
        <f t="shared" si="17"/>
        <v>0</v>
      </c>
      <c r="E34" s="676" t="e">
        <f t="shared" si="18"/>
        <v>#N/A</v>
      </c>
      <c r="F34" s="676" t="e">
        <f t="shared" si="19"/>
        <v>#N/A</v>
      </c>
      <c r="G34" s="676">
        <f t="shared" ca="1" si="20"/>
        <v>0</v>
      </c>
      <c r="H34" s="676" t="e">
        <f t="shared" ca="1" si="21"/>
        <v>#N/A</v>
      </c>
      <c r="I34" s="676" t="e">
        <f t="shared" ca="1" si="22"/>
        <v>#N/A</v>
      </c>
      <c r="K34" s="676"/>
      <c r="L34" s="676"/>
      <c r="M34" s="676"/>
      <c r="N34" s="676"/>
      <c r="O34" s="676"/>
      <c r="P34" s="676"/>
      <c r="Q34" s="676"/>
      <c r="R34" s="676"/>
      <c r="S34" s="676"/>
      <c r="T34" s="676"/>
      <c r="U34" s="676"/>
      <c r="V34" s="676"/>
      <c r="W34" s="676">
        <f t="shared" si="24"/>
        <v>0</v>
      </c>
      <c r="Y34" s="688">
        <f>IFERROR(VLOOKUP($A34,'[95]1月'!$A:$H,8,0),0)</f>
        <v>0</v>
      </c>
      <c r="Z34" s="688">
        <f>IFERROR(VLOOKUP($A34,'[95]2月'!$A:$H,8,0),0)</f>
        <v>0</v>
      </c>
      <c r="AA34" s="688">
        <f>IFERROR(VLOOKUP($A34,'[95]3月'!$A:$H,8,0),0)</f>
        <v>0</v>
      </c>
      <c r="AB34" s="688">
        <f>IFERROR(VLOOKUP($A34,'[95]4月'!$A:$H,8,0),0)</f>
        <v>0</v>
      </c>
      <c r="AC34" s="688">
        <f>IFERROR(VLOOKUP($A34,'[95]5月'!$A:$H,8,0),0)</f>
        <v>0</v>
      </c>
      <c r="AD34" s="688">
        <f>IFERROR(VLOOKUP($A34,'[95]6月'!$A:$H,8,0),0)</f>
        <v>0</v>
      </c>
      <c r="AE34" s="688">
        <f>IFERROR(VLOOKUP($A34,'[95]7月'!$A:$H,8,0),0)</f>
        <v>0</v>
      </c>
      <c r="AF34" s="688">
        <f>IFERROR(VLOOKUP($A34,'[95]8月'!$A:$H,8,0),0)</f>
        <v>0</v>
      </c>
      <c r="AG34" s="688">
        <f>IFERROR(VLOOKUP($A34,'[95]9月'!$A:$H,8,0),0)</f>
        <v>0</v>
      </c>
      <c r="AH34" s="688">
        <f>IFERROR(VLOOKUP($A34,'[95]10月'!$A:$H,8,0),0)</f>
        <v>0</v>
      </c>
      <c r="AI34" s="688">
        <f>IFERROR(VLOOKUP($A34,'[95]11月'!$A:$H,8,0),0)</f>
        <v>0</v>
      </c>
      <c r="AJ34" s="688">
        <f>IFERROR(VLOOKUP($A34,'[95]12月'!$A:$H,8,0),0)</f>
        <v>0</v>
      </c>
      <c r="AK34" s="688">
        <f t="shared" si="25"/>
        <v>0</v>
      </c>
    </row>
    <row r="35" spans="1:37" ht="13.5" customHeight="1">
      <c r="A35" s="653" t="str">
        <f>'Budget-合并'!A35</f>
        <v>6602.02.02</v>
      </c>
      <c r="B35" s="653" t="str">
        <f>'Budget-合并'!B35</f>
        <v>团建活动</v>
      </c>
      <c r="C35" s="687" t="str">
        <f>'Budget-合并'!C35</f>
        <v>EE Morale Expense</v>
      </c>
      <c r="D35" s="676">
        <f t="shared" si="17"/>
        <v>0</v>
      </c>
      <c r="E35" s="676" t="e">
        <f t="shared" si="18"/>
        <v>#N/A</v>
      </c>
      <c r="F35" s="676" t="e">
        <f t="shared" si="19"/>
        <v>#N/A</v>
      </c>
      <c r="G35" s="676">
        <f t="shared" ca="1" si="20"/>
        <v>0</v>
      </c>
      <c r="H35" s="676" t="e">
        <f t="shared" ca="1" si="21"/>
        <v>#N/A</v>
      </c>
      <c r="I35" s="676" t="e">
        <f t="shared" ca="1" si="22"/>
        <v>#N/A</v>
      </c>
      <c r="K35" s="676">
        <f t="shared" ref="K35:V35" si="27">SUM(K36:K37)</f>
        <v>0</v>
      </c>
      <c r="L35" s="676">
        <f t="shared" si="27"/>
        <v>0</v>
      </c>
      <c r="M35" s="676">
        <f t="shared" si="27"/>
        <v>0</v>
      </c>
      <c r="N35" s="676">
        <f t="shared" si="27"/>
        <v>0</v>
      </c>
      <c r="O35" s="676">
        <f t="shared" si="27"/>
        <v>0</v>
      </c>
      <c r="P35" s="676">
        <f t="shared" si="27"/>
        <v>0</v>
      </c>
      <c r="Q35" s="676">
        <f t="shared" si="27"/>
        <v>0</v>
      </c>
      <c r="R35" s="676">
        <f t="shared" si="27"/>
        <v>0</v>
      </c>
      <c r="S35" s="676">
        <f t="shared" si="27"/>
        <v>0</v>
      </c>
      <c r="T35" s="676">
        <f t="shared" si="27"/>
        <v>0</v>
      </c>
      <c r="U35" s="676">
        <f t="shared" si="27"/>
        <v>0</v>
      </c>
      <c r="V35" s="676">
        <f t="shared" si="27"/>
        <v>0</v>
      </c>
      <c r="W35" s="676">
        <f t="shared" si="24"/>
        <v>0</v>
      </c>
      <c r="Y35" s="688">
        <f>IFERROR(VLOOKUP($A35,'[95]1月'!$A:$H,8,0),0)</f>
        <v>0</v>
      </c>
      <c r="Z35" s="688">
        <f>IFERROR(VLOOKUP($A35,'[95]2月'!$A:$H,8,0),0)</f>
        <v>0</v>
      </c>
      <c r="AA35" s="688">
        <f>IFERROR(VLOOKUP($A35,'[95]3月'!$A:$H,8,0),0)</f>
        <v>0</v>
      </c>
      <c r="AB35" s="688">
        <f>IFERROR(VLOOKUP($A35,'[95]4月'!$A:$H,8,0),0)</f>
        <v>0</v>
      </c>
      <c r="AC35" s="688">
        <f>IFERROR(VLOOKUP($A35,'[95]5月'!$A:$H,8,0),0)</f>
        <v>0</v>
      </c>
      <c r="AD35" s="688">
        <f>IFERROR(VLOOKUP($A35,'[95]6月'!$A:$H,8,0),0)</f>
        <v>0</v>
      </c>
      <c r="AE35" s="688">
        <f>IFERROR(VLOOKUP($A35,'[95]7月'!$A:$H,8,0),0)</f>
        <v>0</v>
      </c>
      <c r="AF35" s="688">
        <f>IFERROR(VLOOKUP($A35,'[95]8月'!$A:$H,8,0),0)</f>
        <v>0</v>
      </c>
      <c r="AG35" s="688">
        <f>IFERROR(VLOOKUP($A35,'[95]9月'!$A:$H,8,0),0)</f>
        <v>0</v>
      </c>
      <c r="AH35" s="688">
        <f>IFERROR(VLOOKUP($A35,'[95]10月'!$A:$H,8,0),0)</f>
        <v>0</v>
      </c>
      <c r="AI35" s="688">
        <f>IFERROR(VLOOKUP($A35,'[95]11月'!$A:$H,8,0),0)</f>
        <v>0</v>
      </c>
      <c r="AJ35" s="688">
        <f>IFERROR(VLOOKUP($A35,'[95]12月'!$A:$H,8,0),0)</f>
        <v>0</v>
      </c>
      <c r="AK35" s="688">
        <f t="shared" si="25"/>
        <v>0</v>
      </c>
    </row>
    <row r="36" spans="1:37" ht="13.5" customHeight="1">
      <c r="A36" s="653" t="str">
        <f>'Budget-合并'!A36</f>
        <v>6602.02.03</v>
      </c>
      <c r="B36" s="653" t="str">
        <f>'Budget-合并'!B36</f>
        <v>体检费</v>
      </c>
      <c r="C36" s="687">
        <f>'Budget-合并'!C36</f>
        <v>0</v>
      </c>
      <c r="D36" s="676">
        <f t="shared" si="17"/>
        <v>0</v>
      </c>
      <c r="E36" s="676" t="e">
        <f t="shared" si="18"/>
        <v>#N/A</v>
      </c>
      <c r="F36" s="676" t="e">
        <f t="shared" si="19"/>
        <v>#N/A</v>
      </c>
      <c r="G36" s="676">
        <f t="shared" ca="1" si="20"/>
        <v>0</v>
      </c>
      <c r="H36" s="676" t="e">
        <f t="shared" ca="1" si="21"/>
        <v>#N/A</v>
      </c>
      <c r="I36" s="676" t="e">
        <f t="shared" ca="1" si="22"/>
        <v>#N/A</v>
      </c>
      <c r="K36" s="676"/>
      <c r="L36" s="676"/>
      <c r="M36" s="676"/>
      <c r="N36" s="676"/>
      <c r="O36" s="676"/>
      <c r="P36" s="676"/>
      <c r="Q36" s="676"/>
      <c r="R36" s="676"/>
      <c r="S36" s="676"/>
      <c r="T36" s="676"/>
      <c r="U36" s="676"/>
      <c r="V36" s="676"/>
      <c r="W36" s="676">
        <f t="shared" si="24"/>
        <v>0</v>
      </c>
      <c r="Y36" s="688">
        <f>IFERROR(VLOOKUP($A36,'[95]1月'!$A:$H,8,0),0)</f>
        <v>0</v>
      </c>
      <c r="Z36" s="688">
        <f>IFERROR(VLOOKUP($A36,'[95]2月'!$A:$H,8,0),0)</f>
        <v>0</v>
      </c>
      <c r="AA36" s="688">
        <f>IFERROR(VLOOKUP($A36,'[95]3月'!$A:$H,8,0),0)</f>
        <v>0</v>
      </c>
      <c r="AB36" s="688">
        <f>IFERROR(VLOOKUP($A36,'[95]4月'!$A:$H,8,0),0)</f>
        <v>0</v>
      </c>
      <c r="AC36" s="688">
        <f>IFERROR(VLOOKUP($A36,'[95]5月'!$A:$H,8,0),0)</f>
        <v>0</v>
      </c>
      <c r="AD36" s="688">
        <f>IFERROR(VLOOKUP($A36,'[95]6月'!$A:$H,8,0),0)</f>
        <v>0</v>
      </c>
      <c r="AE36" s="688">
        <f>IFERROR(VLOOKUP($A36,'[95]7月'!$A:$H,8,0),0)</f>
        <v>0</v>
      </c>
      <c r="AF36" s="688">
        <f>IFERROR(VLOOKUP($A36,'[95]8月'!$A:$H,8,0),0)</f>
        <v>0</v>
      </c>
      <c r="AG36" s="688">
        <f>IFERROR(VLOOKUP($A36,'[95]9月'!$A:$H,8,0),0)</f>
        <v>0</v>
      </c>
      <c r="AH36" s="688">
        <f>IFERROR(VLOOKUP($A36,'[95]10月'!$A:$H,8,0),0)</f>
        <v>0</v>
      </c>
      <c r="AI36" s="688">
        <f>IFERROR(VLOOKUP($A36,'[95]11月'!$A:$H,8,0),0)</f>
        <v>0</v>
      </c>
      <c r="AJ36" s="688">
        <f>IFERROR(VLOOKUP($A36,'[95]12月'!$A:$H,8,0),0)</f>
        <v>0</v>
      </c>
      <c r="AK36" s="688">
        <f t="shared" si="25"/>
        <v>0</v>
      </c>
    </row>
    <row r="37" spans="1:37" ht="13.5" customHeight="1">
      <c r="A37" s="653" t="str">
        <f>'Budget-合并'!A37</f>
        <v>6602.02.04</v>
      </c>
      <c r="B37" s="653" t="str">
        <f>'Budget-合并'!B37</f>
        <v>商业保险 - 医疗</v>
      </c>
      <c r="C37" s="687">
        <f>'Budget-合并'!C37</f>
        <v>0</v>
      </c>
      <c r="D37" s="676">
        <f t="shared" si="17"/>
        <v>0</v>
      </c>
      <c r="E37" s="676" t="e">
        <f t="shared" si="18"/>
        <v>#N/A</v>
      </c>
      <c r="F37" s="676" t="e">
        <f t="shared" si="19"/>
        <v>#N/A</v>
      </c>
      <c r="G37" s="676">
        <f t="shared" ca="1" si="20"/>
        <v>0</v>
      </c>
      <c r="H37" s="676" t="e">
        <f t="shared" ca="1" si="21"/>
        <v>#N/A</v>
      </c>
      <c r="I37" s="676" t="e">
        <f t="shared" ca="1" si="22"/>
        <v>#N/A</v>
      </c>
      <c r="K37" s="676"/>
      <c r="L37" s="676"/>
      <c r="M37" s="676"/>
      <c r="N37" s="676"/>
      <c r="O37" s="676"/>
      <c r="P37" s="676"/>
      <c r="Q37" s="676"/>
      <c r="R37" s="676"/>
      <c r="S37" s="676"/>
      <c r="T37" s="676"/>
      <c r="U37" s="676"/>
      <c r="V37" s="676"/>
      <c r="W37" s="676">
        <f t="shared" si="24"/>
        <v>0</v>
      </c>
      <c r="Y37" s="688">
        <f>IFERROR(VLOOKUP($A37,'[95]1月'!$A:$H,8,0),0)</f>
        <v>0</v>
      </c>
      <c r="Z37" s="688">
        <f>IFERROR(VLOOKUP($A37,'[95]2月'!$A:$H,8,0),0)</f>
        <v>0</v>
      </c>
      <c r="AA37" s="688">
        <f>IFERROR(VLOOKUP($A37,'[95]3月'!$A:$H,8,0),0)</f>
        <v>0</v>
      </c>
      <c r="AB37" s="688">
        <f>IFERROR(VLOOKUP($A37,'[95]4月'!$A:$H,8,0),0)</f>
        <v>0</v>
      </c>
      <c r="AC37" s="688">
        <f>IFERROR(VLOOKUP($A37,'[95]5月'!$A:$H,8,0),0)</f>
        <v>0</v>
      </c>
      <c r="AD37" s="688">
        <f>IFERROR(VLOOKUP($A37,'[95]6月'!$A:$H,8,0),0)</f>
        <v>0</v>
      </c>
      <c r="AE37" s="688">
        <f>IFERROR(VLOOKUP($A37,'[95]7月'!$A:$H,8,0),0)</f>
        <v>0</v>
      </c>
      <c r="AF37" s="688">
        <f>IFERROR(VLOOKUP($A37,'[95]8月'!$A:$H,8,0),0)</f>
        <v>0</v>
      </c>
      <c r="AG37" s="688">
        <f>IFERROR(VLOOKUP($A37,'[95]9月'!$A:$H,8,0),0)</f>
        <v>0</v>
      </c>
      <c r="AH37" s="688">
        <f>IFERROR(VLOOKUP($A37,'[95]10月'!$A:$H,8,0),0)</f>
        <v>0</v>
      </c>
      <c r="AI37" s="688">
        <f>IFERROR(VLOOKUP($A37,'[95]11月'!$A:$H,8,0),0)</f>
        <v>0</v>
      </c>
      <c r="AJ37" s="688">
        <f>IFERROR(VLOOKUP($A37,'[95]12月'!$A:$H,8,0),0)</f>
        <v>0</v>
      </c>
      <c r="AK37" s="688">
        <f t="shared" si="25"/>
        <v>0</v>
      </c>
    </row>
    <row r="38" spans="1:37" ht="13.5" customHeight="1">
      <c r="A38" s="663" t="str">
        <f>'Budget-合并'!A38</f>
        <v>6602.03</v>
      </c>
      <c r="B38" s="663" t="str">
        <f>'Budget-合并'!B38</f>
        <v>社保公积金</v>
      </c>
      <c r="C38" s="687">
        <f>'Budget-合并'!C38</f>
        <v>0</v>
      </c>
      <c r="D38" s="676">
        <f t="shared" si="17"/>
        <v>0</v>
      </c>
      <c r="E38" s="676" t="e">
        <f t="shared" si="18"/>
        <v>#N/A</v>
      </c>
      <c r="F38" s="676" t="e">
        <f t="shared" si="19"/>
        <v>#N/A</v>
      </c>
      <c r="G38" s="676">
        <f t="shared" ca="1" si="20"/>
        <v>0</v>
      </c>
      <c r="H38" s="676" t="e">
        <f t="shared" ca="1" si="21"/>
        <v>#N/A</v>
      </c>
      <c r="I38" s="676" t="e">
        <f t="shared" ca="1" si="22"/>
        <v>#N/A</v>
      </c>
      <c r="K38" s="679">
        <f t="shared" ref="K38:V38" si="28">SUM(K39:K41)</f>
        <v>0</v>
      </c>
      <c r="L38" s="679">
        <f t="shared" si="28"/>
        <v>0</v>
      </c>
      <c r="M38" s="679">
        <f t="shared" si="28"/>
        <v>0</v>
      </c>
      <c r="N38" s="679">
        <f t="shared" si="28"/>
        <v>0</v>
      </c>
      <c r="O38" s="679">
        <f t="shared" si="28"/>
        <v>0</v>
      </c>
      <c r="P38" s="679">
        <f t="shared" si="28"/>
        <v>0</v>
      </c>
      <c r="Q38" s="679">
        <f t="shared" si="28"/>
        <v>0</v>
      </c>
      <c r="R38" s="679">
        <f t="shared" si="28"/>
        <v>0</v>
      </c>
      <c r="S38" s="679">
        <f t="shared" si="28"/>
        <v>0</v>
      </c>
      <c r="T38" s="679">
        <f t="shared" si="28"/>
        <v>0</v>
      </c>
      <c r="U38" s="679">
        <f t="shared" si="28"/>
        <v>0</v>
      </c>
      <c r="V38" s="679">
        <f t="shared" si="28"/>
        <v>0</v>
      </c>
      <c r="W38" s="676">
        <f t="shared" si="24"/>
        <v>0</v>
      </c>
      <c r="Y38" s="688">
        <f>IFERROR(VLOOKUP($A38,'[95]1月'!$A:$H,8,0),0)</f>
        <v>0</v>
      </c>
      <c r="Z38" s="688">
        <f>IFERROR(VLOOKUP($A38,'[95]2月'!$A:$H,8,0),0)</f>
        <v>0</v>
      </c>
      <c r="AA38" s="688">
        <f>IFERROR(VLOOKUP($A38,'[95]3月'!$A:$H,8,0),0)</f>
        <v>0</v>
      </c>
      <c r="AB38" s="688">
        <f>IFERROR(VLOOKUP($A38,'[95]4月'!$A:$H,8,0),0)</f>
        <v>0</v>
      </c>
      <c r="AC38" s="688">
        <f>IFERROR(VLOOKUP($A38,'[95]5月'!$A:$H,8,0),0)</f>
        <v>0</v>
      </c>
      <c r="AD38" s="688">
        <f>IFERROR(VLOOKUP($A38,'[95]6月'!$A:$H,8,0),0)</f>
        <v>0</v>
      </c>
      <c r="AE38" s="688">
        <f>IFERROR(VLOOKUP($A38,'[95]7月'!$A:$H,8,0),0)</f>
        <v>0</v>
      </c>
      <c r="AF38" s="688">
        <f>IFERROR(VLOOKUP($A38,'[95]8月'!$A:$H,8,0),0)</f>
        <v>0</v>
      </c>
      <c r="AG38" s="688">
        <f>IFERROR(VLOOKUP($A38,'[95]9月'!$A:$H,8,0),0)</f>
        <v>0</v>
      </c>
      <c r="AH38" s="688">
        <f>IFERROR(VLOOKUP($A38,'[95]10月'!$A:$H,8,0),0)</f>
        <v>0</v>
      </c>
      <c r="AI38" s="688">
        <f>IFERROR(VLOOKUP($A38,'[95]11月'!$A:$H,8,0),0)</f>
        <v>0</v>
      </c>
      <c r="AJ38" s="688">
        <f>IFERROR(VLOOKUP($A38,'[95]12月'!$A:$H,8,0),0)</f>
        <v>0</v>
      </c>
      <c r="AK38" s="688">
        <f t="shared" si="25"/>
        <v>0</v>
      </c>
    </row>
    <row r="39" spans="1:37" ht="13.5" customHeight="1">
      <c r="A39" s="653" t="str">
        <f>'Budget-合并'!A39</f>
        <v>6602.03.01</v>
      </c>
      <c r="B39" s="653" t="str">
        <f>'Budget-合并'!B39</f>
        <v>员工社保福利</v>
      </c>
      <c r="C39" s="687" t="str">
        <f>'Budget-合并'!C39</f>
        <v>Employee Insurance</v>
      </c>
      <c r="D39" s="676">
        <f t="shared" si="17"/>
        <v>0</v>
      </c>
      <c r="E39" s="676" t="e">
        <f t="shared" si="18"/>
        <v>#N/A</v>
      </c>
      <c r="F39" s="676" t="e">
        <f t="shared" si="19"/>
        <v>#N/A</v>
      </c>
      <c r="G39" s="676">
        <f t="shared" ca="1" si="20"/>
        <v>0</v>
      </c>
      <c r="H39" s="676" t="e">
        <f t="shared" ca="1" si="21"/>
        <v>#N/A</v>
      </c>
      <c r="I39" s="676" t="e">
        <f t="shared" ca="1" si="22"/>
        <v>#N/A</v>
      </c>
      <c r="K39" s="676"/>
      <c r="L39" s="676"/>
      <c r="M39" s="676"/>
      <c r="N39" s="676"/>
      <c r="O39" s="676"/>
      <c r="P39" s="676"/>
      <c r="Q39" s="676"/>
      <c r="R39" s="676"/>
      <c r="S39" s="676"/>
      <c r="T39" s="676"/>
      <c r="U39" s="676"/>
      <c r="V39" s="676"/>
      <c r="W39" s="676">
        <f t="shared" si="24"/>
        <v>0</v>
      </c>
      <c r="Y39" s="688">
        <f>IFERROR(VLOOKUP($A39,'[95]1月'!$A:$H,8,0),0)</f>
        <v>0</v>
      </c>
      <c r="Z39" s="688">
        <f>IFERROR(VLOOKUP($A39,'[95]2月'!$A:$H,8,0),0)</f>
        <v>0</v>
      </c>
      <c r="AA39" s="688">
        <f>IFERROR(VLOOKUP($A39,'[95]3月'!$A:$H,8,0),0)</f>
        <v>0</v>
      </c>
      <c r="AB39" s="688">
        <f>IFERROR(VLOOKUP($A39,'[95]4月'!$A:$H,8,0),0)</f>
        <v>0</v>
      </c>
      <c r="AC39" s="688">
        <f>IFERROR(VLOOKUP($A39,'[95]5月'!$A:$H,8,0),0)</f>
        <v>0</v>
      </c>
      <c r="AD39" s="688">
        <f>IFERROR(VLOOKUP($A39,'[95]6月'!$A:$H,8,0),0)</f>
        <v>0</v>
      </c>
      <c r="AE39" s="688">
        <f>IFERROR(VLOOKUP($A39,'[95]7月'!$A:$H,8,0),0)</f>
        <v>0</v>
      </c>
      <c r="AF39" s="688">
        <f>IFERROR(VLOOKUP($A39,'[95]8月'!$A:$H,8,0),0)</f>
        <v>0</v>
      </c>
      <c r="AG39" s="688">
        <f>IFERROR(VLOOKUP($A39,'[95]9月'!$A:$H,8,0),0)</f>
        <v>0</v>
      </c>
      <c r="AH39" s="688">
        <f>IFERROR(VLOOKUP($A39,'[95]10月'!$A:$H,8,0),0)</f>
        <v>0</v>
      </c>
      <c r="AI39" s="688">
        <f>IFERROR(VLOOKUP($A39,'[95]11月'!$A:$H,8,0),0)</f>
        <v>0</v>
      </c>
      <c r="AJ39" s="688">
        <f>IFERROR(VLOOKUP($A39,'[95]12月'!$A:$H,8,0),0)</f>
        <v>0</v>
      </c>
      <c r="AK39" s="688">
        <f t="shared" si="25"/>
        <v>0</v>
      </c>
    </row>
    <row r="40" spans="1:37" ht="13.5" customHeight="1">
      <c r="A40" s="653" t="str">
        <f>'Budget-合并'!A40</f>
        <v>6602.03.02</v>
      </c>
      <c r="B40" s="653" t="str">
        <f>'Budget-合并'!B40</f>
        <v>员工公积金福利</v>
      </c>
      <c r="C40" s="687">
        <f>'Budget-合并'!C40</f>
        <v>0</v>
      </c>
      <c r="D40" s="676">
        <f t="shared" si="17"/>
        <v>0</v>
      </c>
      <c r="E40" s="676" t="e">
        <f t="shared" si="18"/>
        <v>#N/A</v>
      </c>
      <c r="F40" s="676" t="e">
        <f t="shared" si="19"/>
        <v>#N/A</v>
      </c>
      <c r="G40" s="676">
        <f t="shared" ca="1" si="20"/>
        <v>0</v>
      </c>
      <c r="H40" s="676" t="e">
        <f t="shared" ca="1" si="21"/>
        <v>#N/A</v>
      </c>
      <c r="I40" s="676" t="e">
        <f t="shared" ca="1" si="22"/>
        <v>#N/A</v>
      </c>
      <c r="K40" s="676"/>
      <c r="L40" s="676"/>
      <c r="M40" s="676"/>
      <c r="N40" s="676"/>
      <c r="O40" s="676"/>
      <c r="P40" s="676"/>
      <c r="Q40" s="676"/>
      <c r="R40" s="676"/>
      <c r="S40" s="676"/>
      <c r="T40" s="676"/>
      <c r="U40" s="676"/>
      <c r="V40" s="676"/>
      <c r="W40" s="676">
        <f t="shared" si="24"/>
        <v>0</v>
      </c>
      <c r="Y40" s="688">
        <f>IFERROR(VLOOKUP($A40,'[95]1月'!$A:$H,8,0),0)</f>
        <v>0</v>
      </c>
      <c r="Z40" s="688">
        <f>IFERROR(VLOOKUP($A40,'[95]2月'!$A:$H,8,0),0)</f>
        <v>0</v>
      </c>
      <c r="AA40" s="688">
        <f>IFERROR(VLOOKUP($A40,'[95]3月'!$A:$H,8,0),0)</f>
        <v>0</v>
      </c>
      <c r="AB40" s="688">
        <f>IFERROR(VLOOKUP($A40,'[95]4月'!$A:$H,8,0),0)</f>
        <v>0</v>
      </c>
      <c r="AC40" s="688">
        <f>IFERROR(VLOOKUP($A40,'[95]5月'!$A:$H,8,0),0)</f>
        <v>0</v>
      </c>
      <c r="AD40" s="688">
        <f>IFERROR(VLOOKUP($A40,'[95]6月'!$A:$H,8,0),0)</f>
        <v>0</v>
      </c>
      <c r="AE40" s="688">
        <f>IFERROR(VLOOKUP($A40,'[95]7月'!$A:$H,8,0),0)</f>
        <v>0</v>
      </c>
      <c r="AF40" s="688">
        <f>IFERROR(VLOOKUP($A40,'[95]8月'!$A:$H,8,0),0)</f>
        <v>0</v>
      </c>
      <c r="AG40" s="688">
        <f>IFERROR(VLOOKUP($A40,'[95]9月'!$A:$H,8,0),0)</f>
        <v>0</v>
      </c>
      <c r="AH40" s="688">
        <f>IFERROR(VLOOKUP($A40,'[95]10月'!$A:$H,8,0),0)</f>
        <v>0</v>
      </c>
      <c r="AI40" s="688">
        <f>IFERROR(VLOOKUP($A40,'[95]11月'!$A:$H,8,0),0)</f>
        <v>0</v>
      </c>
      <c r="AJ40" s="688">
        <f>IFERROR(VLOOKUP($A40,'[95]12月'!$A:$H,8,0),0)</f>
        <v>0</v>
      </c>
      <c r="AK40" s="688">
        <f t="shared" si="25"/>
        <v>0</v>
      </c>
    </row>
    <row r="41" spans="1:37" ht="13.5" customHeight="1">
      <c r="A41" s="653" t="str">
        <f>'Budget-合并'!A41</f>
        <v>6602.03.03</v>
      </c>
      <c r="B41" s="653" t="str">
        <f>'Budget-合并'!B41</f>
        <v>员工强制性公积金福利</v>
      </c>
      <c r="C41" s="687" t="str">
        <f>'Budget-合并'!C41</f>
        <v>Pension Local/MPF</v>
      </c>
      <c r="D41" s="676">
        <f t="shared" si="17"/>
        <v>0</v>
      </c>
      <c r="E41" s="676" t="e">
        <f t="shared" si="18"/>
        <v>#N/A</v>
      </c>
      <c r="F41" s="676" t="e">
        <f t="shared" si="19"/>
        <v>#N/A</v>
      </c>
      <c r="G41" s="676">
        <f t="shared" ca="1" si="20"/>
        <v>0</v>
      </c>
      <c r="H41" s="676" t="e">
        <f t="shared" ca="1" si="21"/>
        <v>#N/A</v>
      </c>
      <c r="I41" s="676" t="e">
        <f t="shared" ca="1" si="22"/>
        <v>#N/A</v>
      </c>
      <c r="K41" s="676"/>
      <c r="L41" s="676"/>
      <c r="M41" s="676"/>
      <c r="N41" s="676"/>
      <c r="O41" s="676"/>
      <c r="P41" s="676"/>
      <c r="Q41" s="676"/>
      <c r="R41" s="676"/>
      <c r="S41" s="676"/>
      <c r="T41" s="676"/>
      <c r="U41" s="676"/>
      <c r="V41" s="676"/>
      <c r="W41" s="676">
        <f t="shared" si="24"/>
        <v>0</v>
      </c>
      <c r="Y41" s="688">
        <f>IFERROR(VLOOKUP($A41,'[95]1月'!$A:$H,8,0),0)</f>
        <v>0</v>
      </c>
      <c r="Z41" s="688">
        <f>IFERROR(VLOOKUP($A41,'[95]2月'!$A:$H,8,0),0)</f>
        <v>0</v>
      </c>
      <c r="AA41" s="688">
        <f>IFERROR(VLOOKUP($A41,'[95]3月'!$A:$H,8,0),0)</f>
        <v>0</v>
      </c>
      <c r="AB41" s="688">
        <f>IFERROR(VLOOKUP($A41,'[95]4月'!$A:$H,8,0),0)</f>
        <v>0</v>
      </c>
      <c r="AC41" s="688">
        <f>IFERROR(VLOOKUP($A41,'[95]5月'!$A:$H,8,0),0)</f>
        <v>0</v>
      </c>
      <c r="AD41" s="688">
        <f>IFERROR(VLOOKUP($A41,'[95]6月'!$A:$H,8,0),0)</f>
        <v>0</v>
      </c>
      <c r="AE41" s="688">
        <f>IFERROR(VLOOKUP($A41,'[95]7月'!$A:$H,8,0),0)</f>
        <v>0</v>
      </c>
      <c r="AF41" s="688">
        <f>IFERROR(VLOOKUP($A41,'[95]8月'!$A:$H,8,0),0)</f>
        <v>0</v>
      </c>
      <c r="AG41" s="688">
        <f>IFERROR(VLOOKUP($A41,'[95]9月'!$A:$H,8,0),0)</f>
        <v>0</v>
      </c>
      <c r="AH41" s="688">
        <f>IFERROR(VLOOKUP($A41,'[95]10月'!$A:$H,8,0),0)</f>
        <v>0</v>
      </c>
      <c r="AI41" s="688">
        <f>IFERROR(VLOOKUP($A41,'[95]11月'!$A:$H,8,0),0)</f>
        <v>0</v>
      </c>
      <c r="AJ41" s="688">
        <f>IFERROR(VLOOKUP($A41,'[95]12月'!$A:$H,8,0),0)</f>
        <v>0</v>
      </c>
      <c r="AK41" s="688">
        <f t="shared" si="25"/>
        <v>0</v>
      </c>
    </row>
    <row r="42" spans="1:37" ht="13.5" customHeight="1">
      <c r="A42" s="686">
        <f>'Budget-合并'!A42</f>
        <v>0</v>
      </c>
      <c r="B42" s="686" t="str">
        <f>'Budget-合并'!B42</f>
        <v>管理人工费用小计</v>
      </c>
      <c r="C42" s="687">
        <f>'Budget-合并'!C42</f>
        <v>0</v>
      </c>
      <c r="D42" s="654">
        <f t="shared" si="17"/>
        <v>0</v>
      </c>
      <c r="E42" s="654" t="e">
        <f t="shared" si="18"/>
        <v>#N/A</v>
      </c>
      <c r="F42" s="654" t="e">
        <f t="shared" si="19"/>
        <v>#N/A</v>
      </c>
      <c r="G42" s="677">
        <f t="shared" ca="1" si="20"/>
        <v>0</v>
      </c>
      <c r="H42" s="677" t="e">
        <f t="shared" ca="1" si="21"/>
        <v>#N/A</v>
      </c>
      <c r="I42" s="677" t="e">
        <f t="shared" ca="1" si="22"/>
        <v>#N/A</v>
      </c>
      <c r="K42" s="677">
        <f t="shared" ref="K42:V42" si="29">SUM(K23,K33,K38)</f>
        <v>0</v>
      </c>
      <c r="L42" s="677">
        <f t="shared" si="29"/>
        <v>0</v>
      </c>
      <c r="M42" s="677">
        <f t="shared" si="29"/>
        <v>0</v>
      </c>
      <c r="N42" s="677">
        <f t="shared" si="29"/>
        <v>0</v>
      </c>
      <c r="O42" s="677">
        <f t="shared" si="29"/>
        <v>0</v>
      </c>
      <c r="P42" s="677">
        <f t="shared" si="29"/>
        <v>0</v>
      </c>
      <c r="Q42" s="677">
        <f t="shared" si="29"/>
        <v>0</v>
      </c>
      <c r="R42" s="677">
        <f t="shared" si="29"/>
        <v>0</v>
      </c>
      <c r="S42" s="677">
        <f t="shared" si="29"/>
        <v>0</v>
      </c>
      <c r="T42" s="677">
        <f t="shared" si="29"/>
        <v>0</v>
      </c>
      <c r="U42" s="677">
        <f t="shared" si="29"/>
        <v>0</v>
      </c>
      <c r="V42" s="677">
        <f t="shared" si="29"/>
        <v>0</v>
      </c>
      <c r="W42" s="677">
        <f t="shared" si="24"/>
        <v>0</v>
      </c>
      <c r="Y42" s="677">
        <f t="shared" ref="Y42:AK42" si="30">SUM(Y23,Y33,Y38)</f>
        <v>0</v>
      </c>
      <c r="Z42" s="677">
        <f t="shared" si="30"/>
        <v>0</v>
      </c>
      <c r="AA42" s="677">
        <f t="shared" si="30"/>
        <v>0</v>
      </c>
      <c r="AB42" s="677">
        <f t="shared" si="30"/>
        <v>0</v>
      </c>
      <c r="AC42" s="677">
        <f t="shared" si="30"/>
        <v>0</v>
      </c>
      <c r="AD42" s="677">
        <f t="shared" si="30"/>
        <v>0</v>
      </c>
      <c r="AE42" s="677">
        <f t="shared" si="30"/>
        <v>0</v>
      </c>
      <c r="AF42" s="677">
        <f t="shared" si="30"/>
        <v>0</v>
      </c>
      <c r="AG42" s="677">
        <f t="shared" si="30"/>
        <v>0</v>
      </c>
      <c r="AH42" s="677">
        <f t="shared" si="30"/>
        <v>0</v>
      </c>
      <c r="AI42" s="677">
        <f t="shared" si="30"/>
        <v>0</v>
      </c>
      <c r="AJ42" s="677">
        <f t="shared" si="30"/>
        <v>0</v>
      </c>
      <c r="AK42" s="677">
        <f t="shared" si="30"/>
        <v>0</v>
      </c>
    </row>
    <row r="43" spans="1:37" ht="13.5" customHeight="1">
      <c r="A43" s="653">
        <f>'Budget-合并'!A43</f>
        <v>0</v>
      </c>
      <c r="B43" s="653">
        <f>'Budget-合并'!B43</f>
        <v>0</v>
      </c>
      <c r="C43" s="687">
        <f>'Budget-合并'!C43</f>
        <v>0</v>
      </c>
    </row>
    <row r="44" spans="1:37" ht="13.5" customHeight="1">
      <c r="A44" s="663" t="str">
        <f>'Budget-合并'!A44</f>
        <v>6602.04</v>
      </c>
      <c r="B44" s="663" t="str">
        <f>'Budget-合并'!B44</f>
        <v>咨询及专业服务费</v>
      </c>
      <c r="C44" s="687">
        <f>'Budget-合并'!C44</f>
        <v>0</v>
      </c>
      <c r="D44" s="676">
        <f t="shared" ref="D44:D107" si="31">INDEX($K44:$V44,1,MATCH($D$6,$K$6:$V$6))</f>
        <v>0</v>
      </c>
      <c r="E44" s="676" t="e">
        <f t="shared" ref="E44:E107" si="32">INDEX($Y44:$AJ44,1,MATCH($E$6,$Y$6:$AJ$6))</f>
        <v>#N/A</v>
      </c>
      <c r="F44" s="676" t="e">
        <f t="shared" ref="F44:F107" si="33">D44-E44</f>
        <v>#N/A</v>
      </c>
      <c r="G44" s="676">
        <f t="shared" ref="G44:G107" ca="1" si="34">SUM($K44:OFFSET($K44,0,MATCH(G$6,$K$6:$V$6)-1))</f>
        <v>0</v>
      </c>
      <c r="H44" s="676" t="e">
        <f t="shared" ref="H44:H107" ca="1" si="35">SUM($Y44:OFFSET($Y44,0,MATCH(H$6,$Y$6:$AJ$6)-1))</f>
        <v>#N/A</v>
      </c>
      <c r="I44" s="676" t="e">
        <f t="shared" ref="I44:I107" ca="1" si="36">G44-H44</f>
        <v>#N/A</v>
      </c>
      <c r="K44" s="676">
        <f t="shared" ref="K44:V44" si="37">SUM(K45,K46,K47,K51:K61)</f>
        <v>0</v>
      </c>
      <c r="L44" s="676">
        <f t="shared" si="37"/>
        <v>0</v>
      </c>
      <c r="M44" s="676">
        <f t="shared" si="37"/>
        <v>0</v>
      </c>
      <c r="N44" s="676">
        <f t="shared" si="37"/>
        <v>0</v>
      </c>
      <c r="O44" s="676">
        <f t="shared" si="37"/>
        <v>0</v>
      </c>
      <c r="P44" s="676">
        <f t="shared" si="37"/>
        <v>51870</v>
      </c>
      <c r="Q44" s="676">
        <f t="shared" si="37"/>
        <v>0</v>
      </c>
      <c r="R44" s="676">
        <f t="shared" si="37"/>
        <v>0</v>
      </c>
      <c r="S44" s="676">
        <f t="shared" si="37"/>
        <v>0</v>
      </c>
      <c r="T44" s="676">
        <f t="shared" si="37"/>
        <v>0</v>
      </c>
      <c r="U44" s="676">
        <f t="shared" si="37"/>
        <v>0</v>
      </c>
      <c r="V44" s="676">
        <f t="shared" si="37"/>
        <v>0</v>
      </c>
      <c r="W44" s="676">
        <f t="shared" si="24"/>
        <v>51870</v>
      </c>
      <c r="Y44" s="688">
        <f>IFERROR(VLOOKUP($A44,'[95]1月'!$A:$H,8,0),0)</f>
        <v>5339</v>
      </c>
      <c r="Z44" s="688">
        <f>IFERROR(VLOOKUP($A44,'[95]2月'!$A:$H,8,0),0)</f>
        <v>5338</v>
      </c>
      <c r="AA44" s="688">
        <f>IFERROR(VLOOKUP($A44,'[95]3月'!$A:$H,8,0),0)</f>
        <v>25339</v>
      </c>
      <c r="AB44" s="688">
        <f>IFERROR(VLOOKUP($A44,'[95]4月'!$A:$H,8,0),0)</f>
        <v>5339</v>
      </c>
      <c r="AC44" s="688">
        <f>IFERROR(VLOOKUP($A44,'[95]5月'!$A:$H,8,0),0)</f>
        <v>3585.37</v>
      </c>
      <c r="AD44" s="688">
        <f>IFERROR(VLOOKUP($A44,'[95]6月'!$A:$H,8,0),0)</f>
        <v>5339</v>
      </c>
      <c r="AE44" s="688">
        <f>IFERROR(VLOOKUP($A44,'[95]7月'!$A:$H,8,0),0)</f>
        <v>0</v>
      </c>
      <c r="AF44" s="688">
        <f>IFERROR(VLOOKUP($A44,'[95]8月'!$A:$H,8,0),0)</f>
        <v>-822.66</v>
      </c>
      <c r="AG44" s="688">
        <f>IFERROR(VLOOKUP($A44,'[95]9月'!$A:$H,8,0),0)</f>
        <v>0</v>
      </c>
      <c r="AH44" s="688">
        <f>IFERROR(VLOOKUP($A44,'[95]10月'!$A:$H,8,0),0)</f>
        <v>0</v>
      </c>
      <c r="AI44" s="688">
        <f>IFERROR(VLOOKUP($A44,'[95]11月'!$A:$H,8,0),0)</f>
        <v>0</v>
      </c>
      <c r="AJ44" s="688">
        <f>IFERROR(VLOOKUP($A44,'[95]12月'!$A:$H,8,0),0)</f>
        <v>20000</v>
      </c>
      <c r="AK44" s="688">
        <f t="shared" ref="AK44:AK107" si="38">SUM(Y44:AJ44)</f>
        <v>69456.709999999992</v>
      </c>
    </row>
    <row r="45" spans="1:37" ht="13.5" customHeight="1">
      <c r="A45" s="653" t="str">
        <f>'Budget-合并'!A45</f>
        <v>6602.04.01</v>
      </c>
      <c r="B45" s="653" t="str">
        <f>'Budget-合并'!B45</f>
        <v>会计服务费</v>
      </c>
      <c r="C45" s="687" t="str">
        <f>'Budget-合并'!C45</f>
        <v>Accounting/Payment Services</v>
      </c>
      <c r="D45" s="676">
        <f t="shared" si="31"/>
        <v>0</v>
      </c>
      <c r="E45" s="676" t="e">
        <f t="shared" si="32"/>
        <v>#N/A</v>
      </c>
      <c r="F45" s="676" t="e">
        <f t="shared" si="33"/>
        <v>#N/A</v>
      </c>
      <c r="G45" s="676">
        <f t="shared" ca="1" si="34"/>
        <v>0</v>
      </c>
      <c r="H45" s="676" t="e">
        <f t="shared" ca="1" si="35"/>
        <v>#N/A</v>
      </c>
      <c r="I45" s="676" t="e">
        <f t="shared" ca="1" si="36"/>
        <v>#N/A</v>
      </c>
      <c r="K45" s="676">
        <f>SUMIFS('Prof. Fee'!AF$3:AF$150,'Prof. Fee'!$B$3:$B$150,$D$1,'Prof. Fee'!$D$3:$D$150,$A45)</f>
        <v>0</v>
      </c>
      <c r="L45" s="676">
        <f>SUMIFS('Prof. Fee'!AG$3:AG$150,'Prof. Fee'!$B$3:$B$150,$D$1,'Prof. Fee'!$D$3:$D$150,$A45)</f>
        <v>0</v>
      </c>
      <c r="M45" s="676">
        <f>SUMIFS('Prof. Fee'!AH$3:AH$150,'Prof. Fee'!$B$3:$B$150,$D$1,'Prof. Fee'!$D$3:$D$150,$A45)</f>
        <v>0</v>
      </c>
      <c r="N45" s="676">
        <f>SUMIFS('Prof. Fee'!AI$3:AI$150,'Prof. Fee'!$B$3:$B$150,$D$1,'Prof. Fee'!$D$3:$D$150,$A45)</f>
        <v>0</v>
      </c>
      <c r="O45" s="676">
        <f>SUMIFS('Prof. Fee'!AJ$3:AJ$150,'Prof. Fee'!$B$3:$B$150,$D$1,'Prof. Fee'!$D$3:$D$150,$A45)</f>
        <v>0</v>
      </c>
      <c r="P45" s="676">
        <f>SUMIFS('Prof. Fee'!AK$3:AK$150,'Prof. Fee'!$B$3:$B$150,$D$1,'Prof. Fee'!$D$3:$D$150,$A45)</f>
        <v>0</v>
      </c>
      <c r="Q45" s="676">
        <f>SUMIFS('Prof. Fee'!AL$3:AL$150,'Prof. Fee'!$B$3:$B$150,$D$1,'Prof. Fee'!$D$3:$D$150,$A45)</f>
        <v>0</v>
      </c>
      <c r="R45" s="676">
        <f>SUMIFS('Prof. Fee'!AM$3:AM$150,'Prof. Fee'!$B$3:$B$150,$D$1,'Prof. Fee'!$D$3:$D$150,$A45)</f>
        <v>0</v>
      </c>
      <c r="S45" s="676">
        <f>SUMIFS('Prof. Fee'!AN$3:AN$150,'Prof. Fee'!$B$3:$B$150,$D$1,'Prof. Fee'!$D$3:$D$150,$A45)</f>
        <v>0</v>
      </c>
      <c r="T45" s="676">
        <f>SUMIFS('Prof. Fee'!AO$3:AO$150,'Prof. Fee'!$B$3:$B$150,$D$1,'Prof. Fee'!$D$3:$D$150,$A45)</f>
        <v>0</v>
      </c>
      <c r="U45" s="676">
        <f>SUMIFS('Prof. Fee'!AP$3:AP$150,'Prof. Fee'!$B$3:$B$150,$D$1,'Prof. Fee'!$D$3:$D$150,$A45)</f>
        <v>0</v>
      </c>
      <c r="V45" s="676">
        <f>SUMIFS('Prof. Fee'!AQ$3:AQ$150,'Prof. Fee'!$B$3:$B$150,$D$1,'Prof. Fee'!$D$3:$D$150,$A45)</f>
        <v>0</v>
      </c>
      <c r="W45" s="676">
        <f t="shared" si="24"/>
        <v>0</v>
      </c>
      <c r="Y45" s="688">
        <f>IFERROR(VLOOKUP($A45,'[95]1月'!$A:$H,8,0),0)</f>
        <v>5339</v>
      </c>
      <c r="Z45" s="688">
        <f>IFERROR(VLOOKUP($A45,'[95]2月'!$A:$H,8,0),0)</f>
        <v>5338</v>
      </c>
      <c r="AA45" s="688">
        <f>IFERROR(VLOOKUP($A45,'[95]3月'!$A:$H,8,0),0)</f>
        <v>5339</v>
      </c>
      <c r="AB45" s="688">
        <f>IFERROR(VLOOKUP($A45,'[95]4月'!$A:$H,8,0),0)</f>
        <v>5339</v>
      </c>
      <c r="AC45" s="688">
        <f>IFERROR(VLOOKUP($A45,'[95]5月'!$A:$H,8,0),0)</f>
        <v>2690.94</v>
      </c>
      <c r="AD45" s="688">
        <f>IFERROR(VLOOKUP($A45,'[95]6月'!$A:$H,8,0),0)</f>
        <v>5339</v>
      </c>
      <c r="AE45" s="688">
        <f>IFERROR(VLOOKUP($A45,'[95]7月'!$A:$H,8,0),0)</f>
        <v>0</v>
      </c>
      <c r="AF45" s="688">
        <f>IFERROR(VLOOKUP($A45,'[95]8月'!$A:$H,8,0),0)</f>
        <v>-822.66</v>
      </c>
      <c r="AG45" s="688">
        <f>IFERROR(VLOOKUP($A45,'[95]9月'!$A:$H,8,0),0)</f>
        <v>0</v>
      </c>
      <c r="AH45" s="688">
        <f>IFERROR(VLOOKUP($A45,'[95]10月'!$A:$H,8,0),0)</f>
        <v>0</v>
      </c>
      <c r="AI45" s="688">
        <f>IFERROR(VLOOKUP($A45,'[95]11月'!$A:$H,8,0),0)</f>
        <v>0</v>
      </c>
      <c r="AJ45" s="688">
        <f>IFERROR(VLOOKUP($A45,'[95]12月'!$A:$H,8,0),0)</f>
        <v>0</v>
      </c>
      <c r="AK45" s="688">
        <f t="shared" si="38"/>
        <v>28562.28</v>
      </c>
    </row>
    <row r="46" spans="1:37" ht="13.5" customHeight="1">
      <c r="A46" s="653" t="str">
        <f>'Budget-合并'!A46</f>
        <v>6602.04.02</v>
      </c>
      <c r="B46" s="653" t="str">
        <f>'Budget-合并'!B46</f>
        <v>审计服务费</v>
      </c>
      <c r="C46" s="687" t="str">
        <f>'Budget-合并'!C46</f>
        <v>Audit Fees</v>
      </c>
      <c r="D46" s="676">
        <f t="shared" si="31"/>
        <v>0</v>
      </c>
      <c r="E46" s="676" t="e">
        <f t="shared" si="32"/>
        <v>#N/A</v>
      </c>
      <c r="F46" s="676" t="e">
        <f t="shared" si="33"/>
        <v>#N/A</v>
      </c>
      <c r="G46" s="676">
        <f t="shared" ca="1" si="34"/>
        <v>0</v>
      </c>
      <c r="H46" s="676" t="e">
        <f t="shared" ca="1" si="35"/>
        <v>#N/A</v>
      </c>
      <c r="I46" s="676" t="e">
        <f t="shared" ca="1" si="36"/>
        <v>#N/A</v>
      </c>
      <c r="K46" s="676">
        <f>SUMIFS('Prof. Fee'!AF$3:AF$150,'Prof. Fee'!$B$3:$B$150,$D$1,'Prof. Fee'!$D$3:$D$150,$A46)</f>
        <v>0</v>
      </c>
      <c r="L46" s="676">
        <f>SUMIFS('Prof. Fee'!AG$3:AG$150,'Prof. Fee'!$B$3:$B$150,$D$1,'Prof. Fee'!$D$3:$D$150,$A46)</f>
        <v>0</v>
      </c>
      <c r="M46" s="676">
        <f>SUMIFS('Prof. Fee'!AH$3:AH$150,'Prof. Fee'!$B$3:$B$150,$D$1,'Prof. Fee'!$D$3:$D$150,$A46)</f>
        <v>0</v>
      </c>
      <c r="N46" s="676">
        <f>SUMIFS('Prof. Fee'!AI$3:AI$150,'Prof. Fee'!$B$3:$B$150,$D$1,'Prof. Fee'!$D$3:$D$150,$A46)</f>
        <v>0</v>
      </c>
      <c r="O46" s="676">
        <f>SUMIFS('Prof. Fee'!AJ$3:AJ$150,'Prof. Fee'!$B$3:$B$150,$D$1,'Prof. Fee'!$D$3:$D$150,$A46)</f>
        <v>0</v>
      </c>
      <c r="P46" s="676">
        <f>SUMIFS('Prof. Fee'!AK$3:AK$150,'Prof. Fee'!$B$3:$B$150,$D$1,'Prof. Fee'!$D$3:$D$150,$A46)</f>
        <v>44520</v>
      </c>
      <c r="Q46" s="676">
        <f>SUMIFS('Prof. Fee'!AL$3:AL$150,'Prof. Fee'!$B$3:$B$150,$D$1,'Prof. Fee'!$D$3:$D$150,$A46)</f>
        <v>0</v>
      </c>
      <c r="R46" s="676">
        <f>SUMIFS('Prof. Fee'!AM$3:AM$150,'Prof. Fee'!$B$3:$B$150,$D$1,'Prof. Fee'!$D$3:$D$150,$A46)</f>
        <v>0</v>
      </c>
      <c r="S46" s="676">
        <f>SUMIFS('Prof. Fee'!AN$3:AN$150,'Prof. Fee'!$B$3:$B$150,$D$1,'Prof. Fee'!$D$3:$D$150,$A46)</f>
        <v>0</v>
      </c>
      <c r="T46" s="676">
        <f>SUMIFS('Prof. Fee'!AO$3:AO$150,'Prof. Fee'!$B$3:$B$150,$D$1,'Prof. Fee'!$D$3:$D$150,$A46)</f>
        <v>0</v>
      </c>
      <c r="U46" s="676">
        <f>SUMIFS('Prof. Fee'!AP$3:AP$150,'Prof. Fee'!$B$3:$B$150,$D$1,'Prof. Fee'!$D$3:$D$150,$A46)</f>
        <v>0</v>
      </c>
      <c r="V46" s="676">
        <f>SUMIFS('Prof. Fee'!AQ$3:AQ$150,'Prof. Fee'!$B$3:$B$150,$D$1,'Prof. Fee'!$D$3:$D$150,$A46)</f>
        <v>0</v>
      </c>
      <c r="W46" s="676">
        <f t="shared" si="24"/>
        <v>44520</v>
      </c>
      <c r="Y46" s="688">
        <f>IFERROR(VLOOKUP($A46,'[95]1月'!$A:$H,8,0),0)</f>
        <v>0</v>
      </c>
      <c r="Z46" s="688">
        <f>IFERROR(VLOOKUP($A46,'[95]2月'!$A:$H,8,0),0)</f>
        <v>0</v>
      </c>
      <c r="AA46" s="688">
        <f>IFERROR(VLOOKUP($A46,'[95]3月'!$A:$H,8,0),0)</f>
        <v>20000</v>
      </c>
      <c r="AB46" s="688">
        <f>IFERROR(VLOOKUP($A46,'[95]4月'!$A:$H,8,0),0)</f>
        <v>0</v>
      </c>
      <c r="AC46" s="688">
        <f>IFERROR(VLOOKUP($A46,'[95]5月'!$A:$H,8,0),0)</f>
        <v>894.43</v>
      </c>
      <c r="AD46" s="688">
        <f>IFERROR(VLOOKUP($A46,'[95]6月'!$A:$H,8,0),0)</f>
        <v>0</v>
      </c>
      <c r="AE46" s="688">
        <f>IFERROR(VLOOKUP($A46,'[95]7月'!$A:$H,8,0),0)</f>
        <v>0</v>
      </c>
      <c r="AF46" s="688">
        <f>IFERROR(VLOOKUP($A46,'[95]8月'!$A:$H,8,0),0)</f>
        <v>0</v>
      </c>
      <c r="AG46" s="688">
        <f>IFERROR(VLOOKUP($A46,'[95]9月'!$A:$H,8,0),0)</f>
        <v>0</v>
      </c>
      <c r="AH46" s="688">
        <f>IFERROR(VLOOKUP($A46,'[95]10月'!$A:$H,8,0),0)</f>
        <v>0</v>
      </c>
      <c r="AI46" s="688">
        <f>IFERROR(VLOOKUP($A46,'[95]11月'!$A:$H,8,0),0)</f>
        <v>0</v>
      </c>
      <c r="AJ46" s="688">
        <f>IFERROR(VLOOKUP($A46,'[95]12月'!$A:$H,8,0),0)</f>
        <v>20000</v>
      </c>
      <c r="AK46" s="688">
        <f t="shared" si="38"/>
        <v>40894.43</v>
      </c>
    </row>
    <row r="47" spans="1:37" ht="13.5" customHeight="1">
      <c r="A47" s="653" t="str">
        <f>'Budget-合并'!A47</f>
        <v>6602.04.03</v>
      </c>
      <c r="B47" s="653" t="str">
        <f>'Budget-合并'!B47</f>
        <v>顾问费</v>
      </c>
      <c r="C47" s="687" t="str">
        <f>'Budget-合并'!C47</f>
        <v>Advisory fee</v>
      </c>
      <c r="D47" s="676">
        <f t="shared" si="31"/>
        <v>0</v>
      </c>
      <c r="E47" s="676" t="e">
        <f t="shared" si="32"/>
        <v>#N/A</v>
      </c>
      <c r="F47" s="676" t="e">
        <f t="shared" si="33"/>
        <v>#N/A</v>
      </c>
      <c r="G47" s="676">
        <f t="shared" ca="1" si="34"/>
        <v>0</v>
      </c>
      <c r="H47" s="676" t="e">
        <f t="shared" ca="1" si="35"/>
        <v>#N/A</v>
      </c>
      <c r="I47" s="676" t="e">
        <f t="shared" ca="1" si="36"/>
        <v>#N/A</v>
      </c>
      <c r="K47" s="676">
        <f>SUMIFS('Prof. Fee'!AF$3:AF$150,'Prof. Fee'!$B$3:$B$150,$D$1,'Prof. Fee'!$D$3:$D$150,$A47)</f>
        <v>0</v>
      </c>
      <c r="L47" s="676">
        <f>SUMIFS('Prof. Fee'!AG$3:AG$150,'Prof. Fee'!$B$3:$B$150,$D$1,'Prof. Fee'!$D$3:$D$150,$A47)</f>
        <v>0</v>
      </c>
      <c r="M47" s="676">
        <f>SUMIFS('Prof. Fee'!AH$3:AH$150,'Prof. Fee'!$B$3:$B$150,$D$1,'Prof. Fee'!$D$3:$D$150,$A47)</f>
        <v>0</v>
      </c>
      <c r="N47" s="676">
        <f>SUMIFS('Prof. Fee'!AI$3:AI$150,'Prof. Fee'!$B$3:$B$150,$D$1,'Prof. Fee'!$D$3:$D$150,$A47)</f>
        <v>0</v>
      </c>
      <c r="O47" s="676">
        <f>SUMIFS('Prof. Fee'!AJ$3:AJ$150,'Prof. Fee'!$B$3:$B$150,$D$1,'Prof. Fee'!$D$3:$D$150,$A47)</f>
        <v>0</v>
      </c>
      <c r="P47" s="676">
        <f>SUMIFS('Prof. Fee'!AK$3:AK$150,'Prof. Fee'!$B$3:$B$150,$D$1,'Prof. Fee'!$D$3:$D$150,$A47)</f>
        <v>0</v>
      </c>
      <c r="Q47" s="676">
        <f>SUMIFS('Prof. Fee'!AL$3:AL$150,'Prof. Fee'!$B$3:$B$150,$D$1,'Prof. Fee'!$D$3:$D$150,$A47)</f>
        <v>0</v>
      </c>
      <c r="R47" s="676">
        <f>SUMIFS('Prof. Fee'!AM$3:AM$150,'Prof. Fee'!$B$3:$B$150,$D$1,'Prof. Fee'!$D$3:$D$150,$A47)</f>
        <v>0</v>
      </c>
      <c r="S47" s="676">
        <f>SUMIFS('Prof. Fee'!AN$3:AN$150,'Prof. Fee'!$B$3:$B$150,$D$1,'Prof. Fee'!$D$3:$D$150,$A47)</f>
        <v>0</v>
      </c>
      <c r="T47" s="676">
        <f>SUMIFS('Prof. Fee'!AO$3:AO$150,'Prof. Fee'!$B$3:$B$150,$D$1,'Prof. Fee'!$D$3:$D$150,$A47)</f>
        <v>0</v>
      </c>
      <c r="U47" s="676">
        <f>SUMIFS('Prof. Fee'!AP$3:AP$150,'Prof. Fee'!$B$3:$B$150,$D$1,'Prof. Fee'!$D$3:$D$150,$A47)</f>
        <v>0</v>
      </c>
      <c r="V47" s="676">
        <f>SUMIFS('Prof. Fee'!AQ$3:AQ$150,'Prof. Fee'!$B$3:$B$150,$D$1,'Prof. Fee'!$D$3:$D$150,$A47)</f>
        <v>0</v>
      </c>
      <c r="W47" s="676">
        <f t="shared" si="24"/>
        <v>0</v>
      </c>
      <c r="Y47" s="688">
        <f>IFERROR(VLOOKUP($A47,'[95]1月'!$A:$H,8,0),0)</f>
        <v>0</v>
      </c>
      <c r="Z47" s="688">
        <f>IFERROR(VLOOKUP($A47,'[95]2月'!$A:$H,8,0),0)</f>
        <v>0</v>
      </c>
      <c r="AA47" s="688">
        <f>IFERROR(VLOOKUP($A47,'[95]3月'!$A:$H,8,0),0)</f>
        <v>0</v>
      </c>
      <c r="AB47" s="688">
        <f>IFERROR(VLOOKUP($A47,'[95]4月'!$A:$H,8,0),0)</f>
        <v>0</v>
      </c>
      <c r="AC47" s="688">
        <f>IFERROR(VLOOKUP($A47,'[95]5月'!$A:$H,8,0),0)</f>
        <v>0</v>
      </c>
      <c r="AD47" s="688">
        <f>IFERROR(VLOOKUP($A47,'[95]6月'!$A:$H,8,0),0)</f>
        <v>0</v>
      </c>
      <c r="AE47" s="688">
        <f>IFERROR(VLOOKUP($A47,'[95]7月'!$A:$H,8,0),0)</f>
        <v>0</v>
      </c>
      <c r="AF47" s="688">
        <f>IFERROR(VLOOKUP($A47,'[95]8月'!$A:$H,8,0),0)</f>
        <v>0</v>
      </c>
      <c r="AG47" s="688">
        <f>IFERROR(VLOOKUP($A47,'[95]9月'!$A:$H,8,0),0)</f>
        <v>0</v>
      </c>
      <c r="AH47" s="688">
        <f>IFERROR(VLOOKUP($A47,'[95]10月'!$A:$H,8,0),0)</f>
        <v>0</v>
      </c>
      <c r="AI47" s="688">
        <f>IFERROR(VLOOKUP($A47,'[95]11月'!$A:$H,8,0),0)</f>
        <v>0</v>
      </c>
      <c r="AJ47" s="688">
        <f>IFERROR(VLOOKUP($A47,'[95]12月'!$A:$H,8,0),0)</f>
        <v>0</v>
      </c>
      <c r="AK47" s="688">
        <f t="shared" si="38"/>
        <v>0</v>
      </c>
    </row>
    <row r="48" spans="1:37" ht="13.5" customHeight="1">
      <c r="A48" s="653">
        <f>'Budget-合并'!A48</f>
        <v>0</v>
      </c>
      <c r="B48" s="653" t="str">
        <f>'Budget-合并'!B48</f>
        <v xml:space="preserve">    公司主体01</v>
      </c>
      <c r="C48" s="687" t="str">
        <f>'Budget-合并'!C48</f>
        <v xml:space="preserve">   Entity</v>
      </c>
      <c r="D48" s="676">
        <f t="shared" si="31"/>
        <v>0</v>
      </c>
      <c r="E48" s="676" t="e">
        <f t="shared" si="32"/>
        <v>#N/A</v>
      </c>
      <c r="F48" s="676" t="e">
        <f t="shared" si="33"/>
        <v>#N/A</v>
      </c>
      <c r="G48" s="676">
        <f t="shared" ca="1" si="34"/>
        <v>0</v>
      </c>
      <c r="H48" s="676" t="e">
        <f t="shared" ca="1" si="35"/>
        <v>#N/A</v>
      </c>
      <c r="I48" s="676" t="e">
        <f t="shared" ca="1" si="36"/>
        <v>#N/A</v>
      </c>
      <c r="K48" s="676"/>
      <c r="L48" s="676"/>
      <c r="M48" s="676"/>
      <c r="N48" s="676"/>
      <c r="O48" s="676"/>
      <c r="P48" s="676"/>
      <c r="Q48" s="676"/>
      <c r="R48" s="676"/>
      <c r="S48" s="676"/>
      <c r="T48" s="676"/>
      <c r="U48" s="676"/>
      <c r="V48" s="676"/>
      <c r="W48" s="676">
        <f t="shared" si="24"/>
        <v>0</v>
      </c>
      <c r="Y48" s="688">
        <f>IFERROR(VLOOKUP($A48,'[95]1月'!$A:$H,8,0),0)</f>
        <v>0</v>
      </c>
      <c r="Z48" s="688">
        <f>IFERROR(VLOOKUP($A48,'[95]2月'!$A:$H,8,0),0)</f>
        <v>0</v>
      </c>
      <c r="AA48" s="688">
        <f>IFERROR(VLOOKUP($A48,'[95]3月'!$A:$H,8,0),0)</f>
        <v>0</v>
      </c>
      <c r="AB48" s="688">
        <f>IFERROR(VLOOKUP($A48,'[95]4月'!$A:$H,8,0),0)</f>
        <v>0</v>
      </c>
      <c r="AC48" s="688">
        <f>IFERROR(VLOOKUP($A48,'[95]5月'!$A:$H,8,0),0)</f>
        <v>0</v>
      </c>
      <c r="AD48" s="688">
        <f>IFERROR(VLOOKUP($A48,'[95]6月'!$A:$H,8,0),0)</f>
        <v>0</v>
      </c>
      <c r="AE48" s="688">
        <f>IFERROR(VLOOKUP($A48,'[95]7月'!$A:$H,8,0),0)</f>
        <v>0</v>
      </c>
      <c r="AF48" s="688">
        <f>IFERROR(VLOOKUP($A48,'[95]8月'!$A:$H,8,0),0)</f>
        <v>0</v>
      </c>
      <c r="AG48" s="688">
        <f>IFERROR(VLOOKUP($A48,'[95]9月'!$A:$H,8,0),0)</f>
        <v>0</v>
      </c>
      <c r="AH48" s="688">
        <f>IFERROR(VLOOKUP($A48,'[95]10月'!$A:$H,8,0),0)</f>
        <v>0</v>
      </c>
      <c r="AI48" s="688">
        <f>IFERROR(VLOOKUP($A48,'[95]11月'!$A:$H,8,0),0)</f>
        <v>0</v>
      </c>
      <c r="AJ48" s="688">
        <f>IFERROR(VLOOKUP($A48,'[95]12月'!$A:$H,8,0),0)</f>
        <v>0</v>
      </c>
      <c r="AK48" s="688">
        <f t="shared" si="38"/>
        <v>0</v>
      </c>
    </row>
    <row r="49" spans="1:37" ht="13.5" customHeight="1">
      <c r="A49" s="653">
        <f>'Budget-合并'!A49</f>
        <v>0</v>
      </c>
      <c r="B49" s="653" t="str">
        <f>'Budget-合并'!B49</f>
        <v xml:space="preserve">    旭智富能01</v>
      </c>
      <c r="C49" s="687" t="str">
        <f>'Budget-合并'!C49</f>
        <v xml:space="preserve">   Foxpower</v>
      </c>
      <c r="D49" s="676">
        <f t="shared" si="31"/>
        <v>0</v>
      </c>
      <c r="E49" s="676" t="e">
        <f t="shared" si="32"/>
        <v>#N/A</v>
      </c>
      <c r="F49" s="676" t="e">
        <f t="shared" si="33"/>
        <v>#N/A</v>
      </c>
      <c r="G49" s="676">
        <f t="shared" ca="1" si="34"/>
        <v>0</v>
      </c>
      <c r="H49" s="676" t="e">
        <f t="shared" ca="1" si="35"/>
        <v>#N/A</v>
      </c>
      <c r="I49" s="676" t="e">
        <f t="shared" ca="1" si="36"/>
        <v>#N/A</v>
      </c>
      <c r="K49" s="676"/>
      <c r="L49" s="676"/>
      <c r="M49" s="676"/>
      <c r="N49" s="676"/>
      <c r="O49" s="676"/>
      <c r="P49" s="676"/>
      <c r="Q49" s="676"/>
      <c r="R49" s="676"/>
      <c r="S49" s="676"/>
      <c r="T49" s="676"/>
      <c r="U49" s="676"/>
      <c r="V49" s="676"/>
      <c r="W49" s="676">
        <f t="shared" si="24"/>
        <v>0</v>
      </c>
      <c r="Y49" s="688">
        <f>IFERROR(VLOOKUP($A49,'[95]1月'!$A:$H,8,0),0)</f>
        <v>0</v>
      </c>
      <c r="Z49" s="688">
        <f>IFERROR(VLOOKUP($A49,'[95]2月'!$A:$H,8,0),0)</f>
        <v>0</v>
      </c>
      <c r="AA49" s="688">
        <f>IFERROR(VLOOKUP($A49,'[95]3月'!$A:$H,8,0),0)</f>
        <v>0</v>
      </c>
      <c r="AB49" s="688">
        <f>IFERROR(VLOOKUP($A49,'[95]4月'!$A:$H,8,0),0)</f>
        <v>0</v>
      </c>
      <c r="AC49" s="688">
        <f>IFERROR(VLOOKUP($A49,'[95]5月'!$A:$H,8,0),0)</f>
        <v>0</v>
      </c>
      <c r="AD49" s="688">
        <f>IFERROR(VLOOKUP($A49,'[95]6月'!$A:$H,8,0),0)</f>
        <v>0</v>
      </c>
      <c r="AE49" s="688">
        <f>IFERROR(VLOOKUP($A49,'[95]7月'!$A:$H,8,0),0)</f>
        <v>0</v>
      </c>
      <c r="AF49" s="688">
        <f>IFERROR(VLOOKUP($A49,'[95]8月'!$A:$H,8,0),0)</f>
        <v>0</v>
      </c>
      <c r="AG49" s="688">
        <f>IFERROR(VLOOKUP($A49,'[95]9月'!$A:$H,8,0),0)</f>
        <v>0</v>
      </c>
      <c r="AH49" s="688">
        <f>IFERROR(VLOOKUP($A49,'[95]10月'!$A:$H,8,0),0)</f>
        <v>0</v>
      </c>
      <c r="AI49" s="688">
        <f>IFERROR(VLOOKUP($A49,'[95]11月'!$A:$H,8,0),0)</f>
        <v>0</v>
      </c>
      <c r="AJ49" s="688">
        <f>IFERROR(VLOOKUP($A49,'[95]12月'!$A:$H,8,0),0)</f>
        <v>0</v>
      </c>
      <c r="AK49" s="688">
        <f t="shared" si="38"/>
        <v>0</v>
      </c>
    </row>
    <row r="50" spans="1:37" ht="13.5" customHeight="1">
      <c r="A50" s="653">
        <f>'Budget-合并'!A50</f>
        <v>0</v>
      </c>
      <c r="B50" s="653" t="str">
        <f>'Budget-合并'!B50</f>
        <v xml:space="preserve">    其他项目01</v>
      </c>
      <c r="C50" s="687" t="str">
        <f>'Budget-合并'!C50</f>
        <v xml:space="preserve">   Other project</v>
      </c>
      <c r="D50" s="676">
        <f t="shared" si="31"/>
        <v>0</v>
      </c>
      <c r="E50" s="676" t="e">
        <f t="shared" si="32"/>
        <v>#N/A</v>
      </c>
      <c r="F50" s="676" t="e">
        <f t="shared" si="33"/>
        <v>#N/A</v>
      </c>
      <c r="G50" s="676">
        <f t="shared" ca="1" si="34"/>
        <v>0</v>
      </c>
      <c r="H50" s="676" t="e">
        <f t="shared" ca="1" si="35"/>
        <v>#N/A</v>
      </c>
      <c r="I50" s="676" t="e">
        <f t="shared" ca="1" si="36"/>
        <v>#N/A</v>
      </c>
      <c r="K50" s="676"/>
      <c r="L50" s="676"/>
      <c r="M50" s="676"/>
      <c r="N50" s="676"/>
      <c r="O50" s="676"/>
      <c r="P50" s="676"/>
      <c r="Q50" s="676"/>
      <c r="R50" s="676"/>
      <c r="S50" s="676"/>
      <c r="T50" s="676"/>
      <c r="U50" s="676"/>
      <c r="V50" s="676"/>
      <c r="W50" s="676">
        <f t="shared" si="24"/>
        <v>0</v>
      </c>
      <c r="Y50" s="688">
        <f>IFERROR(VLOOKUP($A50,'[95]1月'!$A:$H,8,0),0)</f>
        <v>0</v>
      </c>
      <c r="Z50" s="688">
        <f>IFERROR(VLOOKUP($A50,'[95]2月'!$A:$H,8,0),0)</f>
        <v>0</v>
      </c>
      <c r="AA50" s="688">
        <f>IFERROR(VLOOKUP($A50,'[95]3月'!$A:$H,8,0),0)</f>
        <v>0</v>
      </c>
      <c r="AB50" s="688">
        <f>IFERROR(VLOOKUP($A50,'[95]4月'!$A:$H,8,0),0)</f>
        <v>0</v>
      </c>
      <c r="AC50" s="688">
        <f>IFERROR(VLOOKUP($A50,'[95]5月'!$A:$H,8,0),0)</f>
        <v>0</v>
      </c>
      <c r="AD50" s="688">
        <f>IFERROR(VLOOKUP($A50,'[95]6月'!$A:$H,8,0),0)</f>
        <v>0</v>
      </c>
      <c r="AE50" s="688">
        <f>IFERROR(VLOOKUP($A50,'[95]7月'!$A:$H,8,0),0)</f>
        <v>0</v>
      </c>
      <c r="AF50" s="688">
        <f>IFERROR(VLOOKUP($A50,'[95]8月'!$A:$H,8,0),0)</f>
        <v>0</v>
      </c>
      <c r="AG50" s="688">
        <f>IFERROR(VLOOKUP($A50,'[95]9月'!$A:$H,8,0),0)</f>
        <v>0</v>
      </c>
      <c r="AH50" s="688">
        <f>IFERROR(VLOOKUP($A50,'[95]10月'!$A:$H,8,0),0)</f>
        <v>0</v>
      </c>
      <c r="AI50" s="688">
        <f>IFERROR(VLOOKUP($A50,'[95]11月'!$A:$H,8,0),0)</f>
        <v>0</v>
      </c>
      <c r="AJ50" s="688">
        <f>IFERROR(VLOOKUP($A50,'[95]12月'!$A:$H,8,0),0)</f>
        <v>0</v>
      </c>
      <c r="AK50" s="688">
        <f t="shared" si="38"/>
        <v>0</v>
      </c>
    </row>
    <row r="51" spans="1:37" ht="13.5" customHeight="1">
      <c r="A51" s="653" t="str">
        <f>'Budget-合并'!A51</f>
        <v>6602.04.04</v>
      </c>
      <c r="B51" s="653" t="str">
        <f>'Budget-合并'!B51</f>
        <v>税务服务费</v>
      </c>
      <c r="C51" s="687">
        <f>'Budget-合并'!C51</f>
        <v>0</v>
      </c>
      <c r="D51" s="676">
        <f t="shared" si="31"/>
        <v>0</v>
      </c>
      <c r="E51" s="676" t="e">
        <f t="shared" si="32"/>
        <v>#N/A</v>
      </c>
      <c r="F51" s="676" t="e">
        <f t="shared" si="33"/>
        <v>#N/A</v>
      </c>
      <c r="G51" s="676">
        <f t="shared" ca="1" si="34"/>
        <v>0</v>
      </c>
      <c r="H51" s="676" t="e">
        <f t="shared" ca="1" si="35"/>
        <v>#N/A</v>
      </c>
      <c r="I51" s="676" t="e">
        <f t="shared" ca="1" si="36"/>
        <v>#N/A</v>
      </c>
      <c r="K51" s="676">
        <f>SUMIFS('Prof. Fee'!AF$3:AF$150,'Prof. Fee'!$B$3:$B$150,$D$1,'Prof. Fee'!$D$3:$D$150,$A51)</f>
        <v>0</v>
      </c>
      <c r="L51" s="676">
        <f>SUMIFS('Prof. Fee'!AG$3:AG$150,'Prof. Fee'!$B$3:$B$150,$D$1,'Prof. Fee'!$D$3:$D$150,$A51)</f>
        <v>0</v>
      </c>
      <c r="M51" s="676">
        <f>SUMIFS('Prof. Fee'!AH$3:AH$150,'Prof. Fee'!$B$3:$B$150,$D$1,'Prof. Fee'!$D$3:$D$150,$A51)</f>
        <v>0</v>
      </c>
      <c r="N51" s="676">
        <f>SUMIFS('Prof. Fee'!AI$3:AI$150,'Prof. Fee'!$B$3:$B$150,$D$1,'Prof. Fee'!$D$3:$D$150,$A51)</f>
        <v>0</v>
      </c>
      <c r="O51" s="676">
        <f>SUMIFS('Prof. Fee'!AJ$3:AJ$150,'Prof. Fee'!$B$3:$B$150,$D$1,'Prof. Fee'!$D$3:$D$150,$A51)</f>
        <v>0</v>
      </c>
      <c r="P51" s="676">
        <f>SUMIFS('Prof. Fee'!AK$3:AK$150,'Prof. Fee'!$B$3:$B$150,$D$1,'Prof. Fee'!$D$3:$D$150,$A51)</f>
        <v>7350</v>
      </c>
      <c r="Q51" s="676">
        <f>SUMIFS('Prof. Fee'!AL$3:AL$150,'Prof. Fee'!$B$3:$B$150,$D$1,'Prof. Fee'!$D$3:$D$150,$A51)</f>
        <v>0</v>
      </c>
      <c r="R51" s="676">
        <f>SUMIFS('Prof. Fee'!AM$3:AM$150,'Prof. Fee'!$B$3:$B$150,$D$1,'Prof. Fee'!$D$3:$D$150,$A51)</f>
        <v>0</v>
      </c>
      <c r="S51" s="676">
        <f>SUMIFS('Prof. Fee'!AN$3:AN$150,'Prof. Fee'!$B$3:$B$150,$D$1,'Prof. Fee'!$D$3:$D$150,$A51)</f>
        <v>0</v>
      </c>
      <c r="T51" s="676">
        <f>SUMIFS('Prof. Fee'!AO$3:AO$150,'Prof. Fee'!$B$3:$B$150,$D$1,'Prof. Fee'!$D$3:$D$150,$A51)</f>
        <v>0</v>
      </c>
      <c r="U51" s="676">
        <f>SUMIFS('Prof. Fee'!AP$3:AP$150,'Prof. Fee'!$B$3:$B$150,$D$1,'Prof. Fee'!$D$3:$D$150,$A51)</f>
        <v>0</v>
      </c>
      <c r="V51" s="676">
        <f>SUMIFS('Prof. Fee'!AQ$3:AQ$150,'Prof. Fee'!$B$3:$B$150,$D$1,'Prof. Fee'!$D$3:$D$150,$A51)</f>
        <v>0</v>
      </c>
      <c r="W51" s="676">
        <f t="shared" si="24"/>
        <v>7350</v>
      </c>
      <c r="Y51" s="688">
        <f>IFERROR(VLOOKUP($A51,'[95]1月'!$A:$H,8,0),0)</f>
        <v>0</v>
      </c>
      <c r="Z51" s="688">
        <f>IFERROR(VLOOKUP($A51,'[95]2月'!$A:$H,8,0),0)</f>
        <v>0</v>
      </c>
      <c r="AA51" s="688">
        <f>IFERROR(VLOOKUP($A51,'[95]3月'!$A:$H,8,0),0)</f>
        <v>0</v>
      </c>
      <c r="AB51" s="688">
        <f>IFERROR(VLOOKUP($A51,'[95]4月'!$A:$H,8,0),0)</f>
        <v>0</v>
      </c>
      <c r="AC51" s="688">
        <f>IFERROR(VLOOKUP($A51,'[95]5月'!$A:$H,8,0),0)</f>
        <v>0</v>
      </c>
      <c r="AD51" s="688">
        <f>IFERROR(VLOOKUP($A51,'[95]6月'!$A:$H,8,0),0)</f>
        <v>0</v>
      </c>
      <c r="AE51" s="688">
        <f>IFERROR(VLOOKUP($A51,'[95]7月'!$A:$H,8,0),0)</f>
        <v>0</v>
      </c>
      <c r="AF51" s="688">
        <f>IFERROR(VLOOKUP($A51,'[95]8月'!$A:$H,8,0),0)</f>
        <v>0</v>
      </c>
      <c r="AG51" s="688">
        <f>IFERROR(VLOOKUP($A51,'[95]9月'!$A:$H,8,0),0)</f>
        <v>0</v>
      </c>
      <c r="AH51" s="688">
        <f>IFERROR(VLOOKUP($A51,'[95]10月'!$A:$H,8,0),0)</f>
        <v>0</v>
      </c>
      <c r="AI51" s="688">
        <f>IFERROR(VLOOKUP($A51,'[95]11月'!$A:$H,8,0),0)</f>
        <v>0</v>
      </c>
      <c r="AJ51" s="688">
        <f>IFERROR(VLOOKUP($A51,'[95]12月'!$A:$H,8,0),0)</f>
        <v>0</v>
      </c>
      <c r="AK51" s="688">
        <f t="shared" si="38"/>
        <v>0</v>
      </c>
    </row>
    <row r="52" spans="1:37" ht="13.5" customHeight="1">
      <c r="A52" s="653" t="str">
        <f>'Budget-合并'!A52</f>
        <v>6602.04.05</v>
      </c>
      <c r="B52" s="653" t="str">
        <f>'Budget-合并'!B52</f>
        <v>招聘服务费</v>
      </c>
      <c r="C52" s="687" t="str">
        <f>'Budget-合并'!C52</f>
        <v>Employment Agency Fee</v>
      </c>
      <c r="D52" s="676">
        <f t="shared" si="31"/>
        <v>0</v>
      </c>
      <c r="E52" s="676" t="e">
        <f t="shared" si="32"/>
        <v>#N/A</v>
      </c>
      <c r="F52" s="676" t="e">
        <f t="shared" si="33"/>
        <v>#N/A</v>
      </c>
      <c r="G52" s="676">
        <f t="shared" ca="1" si="34"/>
        <v>0</v>
      </c>
      <c r="H52" s="676" t="e">
        <f t="shared" ca="1" si="35"/>
        <v>#N/A</v>
      </c>
      <c r="I52" s="676" t="e">
        <f t="shared" ca="1" si="36"/>
        <v>#N/A</v>
      </c>
      <c r="K52" s="676">
        <f>SUMIFS('Prof. Fee'!AF$3:AF$150,'Prof. Fee'!$B$3:$B$150,$D$1,'Prof. Fee'!$D$3:$D$150,$A52)</f>
        <v>0</v>
      </c>
      <c r="L52" s="676">
        <f>SUMIFS('Prof. Fee'!AG$3:AG$150,'Prof. Fee'!$B$3:$B$150,$D$1,'Prof. Fee'!$D$3:$D$150,$A52)</f>
        <v>0</v>
      </c>
      <c r="M52" s="676">
        <f>SUMIFS('Prof. Fee'!AH$3:AH$150,'Prof. Fee'!$B$3:$B$150,$D$1,'Prof. Fee'!$D$3:$D$150,$A52)</f>
        <v>0</v>
      </c>
      <c r="N52" s="676">
        <f>SUMIFS('Prof. Fee'!AI$3:AI$150,'Prof. Fee'!$B$3:$B$150,$D$1,'Prof. Fee'!$D$3:$D$150,$A52)</f>
        <v>0</v>
      </c>
      <c r="O52" s="676">
        <f>SUMIFS('Prof. Fee'!AJ$3:AJ$150,'Prof. Fee'!$B$3:$B$150,$D$1,'Prof. Fee'!$D$3:$D$150,$A52)</f>
        <v>0</v>
      </c>
      <c r="P52" s="676">
        <f>SUMIFS('Prof. Fee'!AK$3:AK$150,'Prof. Fee'!$B$3:$B$150,$D$1,'Prof. Fee'!$D$3:$D$150,$A52)</f>
        <v>0</v>
      </c>
      <c r="Q52" s="676">
        <f>SUMIFS('Prof. Fee'!AL$3:AL$150,'Prof. Fee'!$B$3:$B$150,$D$1,'Prof. Fee'!$D$3:$D$150,$A52)</f>
        <v>0</v>
      </c>
      <c r="R52" s="676">
        <f>SUMIFS('Prof. Fee'!AM$3:AM$150,'Prof. Fee'!$B$3:$B$150,$D$1,'Prof. Fee'!$D$3:$D$150,$A52)</f>
        <v>0</v>
      </c>
      <c r="S52" s="676">
        <f>SUMIFS('Prof. Fee'!AN$3:AN$150,'Prof. Fee'!$B$3:$B$150,$D$1,'Prof. Fee'!$D$3:$D$150,$A52)</f>
        <v>0</v>
      </c>
      <c r="T52" s="676">
        <f>SUMIFS('Prof. Fee'!AO$3:AO$150,'Prof. Fee'!$B$3:$B$150,$D$1,'Prof. Fee'!$D$3:$D$150,$A52)</f>
        <v>0</v>
      </c>
      <c r="U52" s="676">
        <f>SUMIFS('Prof. Fee'!AP$3:AP$150,'Prof. Fee'!$B$3:$B$150,$D$1,'Prof. Fee'!$D$3:$D$150,$A52)</f>
        <v>0</v>
      </c>
      <c r="V52" s="676">
        <f>SUMIFS('Prof. Fee'!AQ$3:AQ$150,'Prof. Fee'!$B$3:$B$150,$D$1,'Prof. Fee'!$D$3:$D$150,$A52)</f>
        <v>0</v>
      </c>
      <c r="W52" s="676">
        <f t="shared" si="24"/>
        <v>0</v>
      </c>
      <c r="Y52" s="688">
        <f>IFERROR(VLOOKUP($A52,'[95]1月'!$A:$H,8,0),0)</f>
        <v>0</v>
      </c>
      <c r="Z52" s="688">
        <f>IFERROR(VLOOKUP($A52,'[95]2月'!$A:$H,8,0),0)</f>
        <v>0</v>
      </c>
      <c r="AA52" s="688">
        <f>IFERROR(VLOOKUP($A52,'[95]3月'!$A:$H,8,0),0)</f>
        <v>0</v>
      </c>
      <c r="AB52" s="688">
        <f>IFERROR(VLOOKUP($A52,'[95]4月'!$A:$H,8,0),0)</f>
        <v>0</v>
      </c>
      <c r="AC52" s="688">
        <f>IFERROR(VLOOKUP($A52,'[95]5月'!$A:$H,8,0),0)</f>
        <v>0</v>
      </c>
      <c r="AD52" s="688">
        <f>IFERROR(VLOOKUP($A52,'[95]6月'!$A:$H,8,0),0)</f>
        <v>0</v>
      </c>
      <c r="AE52" s="688">
        <f>IFERROR(VLOOKUP($A52,'[95]7月'!$A:$H,8,0),0)</f>
        <v>0</v>
      </c>
      <c r="AF52" s="688">
        <f>IFERROR(VLOOKUP($A52,'[95]8月'!$A:$H,8,0),0)</f>
        <v>0</v>
      </c>
      <c r="AG52" s="688">
        <f>IFERROR(VLOOKUP($A52,'[95]9月'!$A:$H,8,0),0)</f>
        <v>0</v>
      </c>
      <c r="AH52" s="688">
        <f>IFERROR(VLOOKUP($A52,'[95]10月'!$A:$H,8,0),0)</f>
        <v>0</v>
      </c>
      <c r="AI52" s="688">
        <f>IFERROR(VLOOKUP($A52,'[95]11月'!$A:$H,8,0),0)</f>
        <v>0</v>
      </c>
      <c r="AJ52" s="688">
        <f>IFERROR(VLOOKUP($A52,'[95]12月'!$A:$H,8,0),0)</f>
        <v>0</v>
      </c>
      <c r="AK52" s="688">
        <f t="shared" si="38"/>
        <v>0</v>
      </c>
    </row>
    <row r="53" spans="1:37" ht="13.5" customHeight="1">
      <c r="A53" s="653" t="str">
        <f>'Budget-合并'!A53</f>
        <v>6602.04.06</v>
      </c>
      <c r="B53" s="653" t="str">
        <f>'Budget-合并'!B53</f>
        <v>法律服务费</v>
      </c>
      <c r="C53" s="687" t="str">
        <f>'Budget-合并'!C53</f>
        <v>Legal Fees</v>
      </c>
      <c r="D53" s="676">
        <f t="shared" si="31"/>
        <v>0</v>
      </c>
      <c r="E53" s="676" t="e">
        <f t="shared" si="32"/>
        <v>#N/A</v>
      </c>
      <c r="F53" s="676" t="e">
        <f t="shared" si="33"/>
        <v>#N/A</v>
      </c>
      <c r="G53" s="676">
        <f t="shared" ca="1" si="34"/>
        <v>0</v>
      </c>
      <c r="H53" s="676" t="e">
        <f t="shared" ca="1" si="35"/>
        <v>#N/A</v>
      </c>
      <c r="I53" s="676" t="e">
        <f t="shared" ca="1" si="36"/>
        <v>#N/A</v>
      </c>
      <c r="K53" s="676">
        <f>SUMIFS('Prof. Fee'!AF$3:AF$150,'Prof. Fee'!$B$3:$B$150,$D$1,'Prof. Fee'!$D$3:$D$150,$A53)</f>
        <v>0</v>
      </c>
      <c r="L53" s="676">
        <f>SUMIFS('Prof. Fee'!AG$3:AG$150,'Prof. Fee'!$B$3:$B$150,$D$1,'Prof. Fee'!$D$3:$D$150,$A53)</f>
        <v>0</v>
      </c>
      <c r="M53" s="676">
        <f>SUMIFS('Prof. Fee'!AH$3:AH$150,'Prof. Fee'!$B$3:$B$150,$D$1,'Prof. Fee'!$D$3:$D$150,$A53)</f>
        <v>0</v>
      </c>
      <c r="N53" s="676">
        <f>SUMIFS('Prof. Fee'!AI$3:AI$150,'Prof. Fee'!$B$3:$B$150,$D$1,'Prof. Fee'!$D$3:$D$150,$A53)</f>
        <v>0</v>
      </c>
      <c r="O53" s="676">
        <f>SUMIFS('Prof. Fee'!AJ$3:AJ$150,'Prof. Fee'!$B$3:$B$150,$D$1,'Prof. Fee'!$D$3:$D$150,$A53)</f>
        <v>0</v>
      </c>
      <c r="P53" s="676">
        <f>SUMIFS('Prof. Fee'!AK$3:AK$150,'Prof. Fee'!$B$3:$B$150,$D$1,'Prof. Fee'!$D$3:$D$150,$A53)</f>
        <v>0</v>
      </c>
      <c r="Q53" s="676">
        <f>SUMIFS('Prof. Fee'!AL$3:AL$150,'Prof. Fee'!$B$3:$B$150,$D$1,'Prof. Fee'!$D$3:$D$150,$A53)</f>
        <v>0</v>
      </c>
      <c r="R53" s="676">
        <f>SUMIFS('Prof. Fee'!AM$3:AM$150,'Prof. Fee'!$B$3:$B$150,$D$1,'Prof. Fee'!$D$3:$D$150,$A53)</f>
        <v>0</v>
      </c>
      <c r="S53" s="676">
        <f>SUMIFS('Prof. Fee'!AN$3:AN$150,'Prof. Fee'!$B$3:$B$150,$D$1,'Prof. Fee'!$D$3:$D$150,$A53)</f>
        <v>0</v>
      </c>
      <c r="T53" s="676">
        <f>SUMIFS('Prof. Fee'!AO$3:AO$150,'Prof. Fee'!$B$3:$B$150,$D$1,'Prof. Fee'!$D$3:$D$150,$A53)</f>
        <v>0</v>
      </c>
      <c r="U53" s="676">
        <f>SUMIFS('Prof. Fee'!AP$3:AP$150,'Prof. Fee'!$B$3:$B$150,$D$1,'Prof. Fee'!$D$3:$D$150,$A53)</f>
        <v>0</v>
      </c>
      <c r="V53" s="676">
        <f>SUMIFS('Prof. Fee'!AQ$3:AQ$150,'Prof. Fee'!$B$3:$B$150,$D$1,'Prof. Fee'!$D$3:$D$150,$A53)</f>
        <v>0</v>
      </c>
      <c r="W53" s="676">
        <f t="shared" si="24"/>
        <v>0</v>
      </c>
      <c r="Y53" s="688">
        <f>IFERROR(VLOOKUP($A53,'[95]1月'!$A:$H,8,0),0)</f>
        <v>0</v>
      </c>
      <c r="Z53" s="688">
        <f>IFERROR(VLOOKUP($A53,'[95]2月'!$A:$H,8,0),0)</f>
        <v>0</v>
      </c>
      <c r="AA53" s="688">
        <f>IFERROR(VLOOKUP($A53,'[95]3月'!$A:$H,8,0),0)</f>
        <v>0</v>
      </c>
      <c r="AB53" s="688">
        <f>IFERROR(VLOOKUP($A53,'[95]4月'!$A:$H,8,0),0)</f>
        <v>0</v>
      </c>
      <c r="AC53" s="688">
        <f>IFERROR(VLOOKUP($A53,'[95]5月'!$A:$H,8,0),0)</f>
        <v>0</v>
      </c>
      <c r="AD53" s="688">
        <f>IFERROR(VLOOKUP($A53,'[95]6月'!$A:$H,8,0),0)</f>
        <v>0</v>
      </c>
      <c r="AE53" s="688">
        <f>IFERROR(VLOOKUP($A53,'[95]7月'!$A:$H,8,0),0)</f>
        <v>0</v>
      </c>
      <c r="AF53" s="688">
        <f>IFERROR(VLOOKUP($A53,'[95]8月'!$A:$H,8,0),0)</f>
        <v>0</v>
      </c>
      <c r="AG53" s="688">
        <f>IFERROR(VLOOKUP($A53,'[95]9月'!$A:$H,8,0),0)</f>
        <v>0</v>
      </c>
      <c r="AH53" s="688">
        <f>IFERROR(VLOOKUP($A53,'[95]10月'!$A:$H,8,0),0)</f>
        <v>0</v>
      </c>
      <c r="AI53" s="688">
        <f>IFERROR(VLOOKUP($A53,'[95]11月'!$A:$H,8,0),0)</f>
        <v>0</v>
      </c>
      <c r="AJ53" s="688">
        <f>IFERROR(VLOOKUP($A53,'[95]12月'!$A:$H,8,0),0)</f>
        <v>0</v>
      </c>
      <c r="AK53" s="688">
        <f t="shared" si="38"/>
        <v>0</v>
      </c>
    </row>
    <row r="54" spans="1:37" ht="13.5" customHeight="1">
      <c r="A54" s="653" t="str">
        <f>'Budget-合并'!A54</f>
        <v>6602.04.07</v>
      </c>
      <c r="B54" s="653" t="str">
        <f>'Budget-合并'!B54</f>
        <v>人力资源服务费</v>
      </c>
      <c r="C54" s="687" t="str">
        <f>'Budget-合并'!C54</f>
        <v>Payroll Services</v>
      </c>
      <c r="D54" s="676">
        <f t="shared" si="31"/>
        <v>0</v>
      </c>
      <c r="E54" s="676" t="e">
        <f t="shared" si="32"/>
        <v>#N/A</v>
      </c>
      <c r="F54" s="676" t="e">
        <f t="shared" si="33"/>
        <v>#N/A</v>
      </c>
      <c r="G54" s="676">
        <f t="shared" ca="1" si="34"/>
        <v>0</v>
      </c>
      <c r="H54" s="676" t="e">
        <f t="shared" ca="1" si="35"/>
        <v>#N/A</v>
      </c>
      <c r="I54" s="676" t="e">
        <f t="shared" ca="1" si="36"/>
        <v>#N/A</v>
      </c>
      <c r="K54" s="676">
        <f>SUMIFS('Prof. Fee'!AF$3:AF$150,'Prof. Fee'!$B$3:$B$150,$D$1,'Prof. Fee'!$D$3:$D$150,$A54)</f>
        <v>0</v>
      </c>
      <c r="L54" s="676">
        <f>SUMIFS('Prof. Fee'!AG$3:AG$150,'Prof. Fee'!$B$3:$B$150,$D$1,'Prof. Fee'!$D$3:$D$150,$A54)</f>
        <v>0</v>
      </c>
      <c r="M54" s="676">
        <f>SUMIFS('Prof. Fee'!AH$3:AH$150,'Prof. Fee'!$B$3:$B$150,$D$1,'Prof. Fee'!$D$3:$D$150,$A54)</f>
        <v>0</v>
      </c>
      <c r="N54" s="676">
        <f>SUMIFS('Prof. Fee'!AI$3:AI$150,'Prof. Fee'!$B$3:$B$150,$D$1,'Prof. Fee'!$D$3:$D$150,$A54)</f>
        <v>0</v>
      </c>
      <c r="O54" s="676">
        <f>SUMIFS('Prof. Fee'!AJ$3:AJ$150,'Prof. Fee'!$B$3:$B$150,$D$1,'Prof. Fee'!$D$3:$D$150,$A54)</f>
        <v>0</v>
      </c>
      <c r="P54" s="676">
        <f>SUMIFS('Prof. Fee'!AK$3:AK$150,'Prof. Fee'!$B$3:$B$150,$D$1,'Prof. Fee'!$D$3:$D$150,$A54)</f>
        <v>0</v>
      </c>
      <c r="Q54" s="676">
        <f>SUMIFS('Prof. Fee'!AL$3:AL$150,'Prof. Fee'!$B$3:$B$150,$D$1,'Prof. Fee'!$D$3:$D$150,$A54)</f>
        <v>0</v>
      </c>
      <c r="R54" s="676">
        <f>SUMIFS('Prof. Fee'!AM$3:AM$150,'Prof. Fee'!$B$3:$B$150,$D$1,'Prof. Fee'!$D$3:$D$150,$A54)</f>
        <v>0</v>
      </c>
      <c r="S54" s="676">
        <f>SUMIFS('Prof. Fee'!AN$3:AN$150,'Prof. Fee'!$B$3:$B$150,$D$1,'Prof. Fee'!$D$3:$D$150,$A54)</f>
        <v>0</v>
      </c>
      <c r="T54" s="676">
        <f>SUMIFS('Prof. Fee'!AO$3:AO$150,'Prof. Fee'!$B$3:$B$150,$D$1,'Prof. Fee'!$D$3:$D$150,$A54)</f>
        <v>0</v>
      </c>
      <c r="U54" s="676">
        <f>SUMIFS('Prof. Fee'!AP$3:AP$150,'Prof. Fee'!$B$3:$B$150,$D$1,'Prof. Fee'!$D$3:$D$150,$A54)</f>
        <v>0</v>
      </c>
      <c r="V54" s="676">
        <f>SUMIFS('Prof. Fee'!AQ$3:AQ$150,'Prof. Fee'!$B$3:$B$150,$D$1,'Prof. Fee'!$D$3:$D$150,$A54)</f>
        <v>0</v>
      </c>
      <c r="W54" s="676">
        <f t="shared" si="24"/>
        <v>0</v>
      </c>
      <c r="Y54" s="688">
        <f>IFERROR(VLOOKUP($A54,'[95]1月'!$A:$H,8,0),0)</f>
        <v>0</v>
      </c>
      <c r="Z54" s="688">
        <f>IFERROR(VLOOKUP($A54,'[95]2月'!$A:$H,8,0),0)</f>
        <v>0</v>
      </c>
      <c r="AA54" s="688">
        <f>IFERROR(VLOOKUP($A54,'[95]3月'!$A:$H,8,0),0)</f>
        <v>0</v>
      </c>
      <c r="AB54" s="688">
        <f>IFERROR(VLOOKUP($A54,'[95]4月'!$A:$H,8,0),0)</f>
        <v>0</v>
      </c>
      <c r="AC54" s="688">
        <f>IFERROR(VLOOKUP($A54,'[95]5月'!$A:$H,8,0),0)</f>
        <v>0</v>
      </c>
      <c r="AD54" s="688">
        <f>IFERROR(VLOOKUP($A54,'[95]6月'!$A:$H,8,0),0)</f>
        <v>0</v>
      </c>
      <c r="AE54" s="688">
        <f>IFERROR(VLOOKUP($A54,'[95]7月'!$A:$H,8,0),0)</f>
        <v>0</v>
      </c>
      <c r="AF54" s="688">
        <f>IFERROR(VLOOKUP($A54,'[95]8月'!$A:$H,8,0),0)</f>
        <v>0</v>
      </c>
      <c r="AG54" s="688">
        <f>IFERROR(VLOOKUP($A54,'[95]9月'!$A:$H,8,0),0)</f>
        <v>0</v>
      </c>
      <c r="AH54" s="688">
        <f>IFERROR(VLOOKUP($A54,'[95]10月'!$A:$H,8,0),0)</f>
        <v>0</v>
      </c>
      <c r="AI54" s="688">
        <f>IFERROR(VLOOKUP($A54,'[95]11月'!$A:$H,8,0),0)</f>
        <v>0</v>
      </c>
      <c r="AJ54" s="688">
        <f>IFERROR(VLOOKUP($A54,'[95]12月'!$A:$H,8,0),0)</f>
        <v>0</v>
      </c>
      <c r="AK54" s="688">
        <f t="shared" si="38"/>
        <v>0</v>
      </c>
    </row>
    <row r="55" spans="1:37" ht="13.5" customHeight="1">
      <c r="A55" s="653" t="str">
        <f>'Budget-合并'!A55</f>
        <v>6602.04.08</v>
      </c>
      <c r="B55" s="653" t="str">
        <f>'Budget-合并'!B55</f>
        <v>背景调查费</v>
      </c>
      <c r="C55" s="687" t="str">
        <f>'Budget-合并'!C55</f>
        <v>Employee Background Check</v>
      </c>
      <c r="D55" s="676">
        <f t="shared" si="31"/>
        <v>0</v>
      </c>
      <c r="E55" s="676" t="e">
        <f t="shared" si="32"/>
        <v>#N/A</v>
      </c>
      <c r="F55" s="676" t="e">
        <f t="shared" si="33"/>
        <v>#N/A</v>
      </c>
      <c r="G55" s="676">
        <f t="shared" ca="1" si="34"/>
        <v>0</v>
      </c>
      <c r="H55" s="676" t="e">
        <f t="shared" ca="1" si="35"/>
        <v>#N/A</v>
      </c>
      <c r="I55" s="676" t="e">
        <f t="shared" ca="1" si="36"/>
        <v>#N/A</v>
      </c>
      <c r="K55" s="676">
        <f>SUMIFS('Other Exp'!AG$3:AG$196,'Other Exp'!$B$3:$B$196,$D$1,'Other Exp'!$C$3:$C$196,$A55)</f>
        <v>0</v>
      </c>
      <c r="L55" s="676">
        <f>SUMIFS('Other Exp'!AH$3:AH$196,'Other Exp'!$B$3:$B$196,$D$1,'Other Exp'!$C$3:$C$196,$A55)</f>
        <v>0</v>
      </c>
      <c r="M55" s="676">
        <f>SUMIFS('Other Exp'!AI$3:AI$196,'Other Exp'!$B$3:$B$196,$D$1,'Other Exp'!$C$3:$C$196,$A55)</f>
        <v>0</v>
      </c>
      <c r="N55" s="676">
        <f>SUMIFS('Other Exp'!AJ$3:AJ$196,'Other Exp'!$B$3:$B$196,$D$1,'Other Exp'!$C$3:$C$196,$A55)</f>
        <v>0</v>
      </c>
      <c r="O55" s="676">
        <f>SUMIFS('Other Exp'!AK$3:AK$196,'Other Exp'!$B$3:$B$196,$D$1,'Other Exp'!$C$3:$C$196,$A55)</f>
        <v>0</v>
      </c>
      <c r="P55" s="676">
        <f>SUMIFS('Other Exp'!AL$3:AL$196,'Other Exp'!$B$3:$B$196,$D$1,'Other Exp'!$C$3:$C$196,$A55)</f>
        <v>0</v>
      </c>
      <c r="Q55" s="676">
        <f>SUMIFS('Other Exp'!AM$3:AM$196,'Other Exp'!$B$3:$B$196,$D$1,'Other Exp'!$C$3:$C$196,$A55)</f>
        <v>0</v>
      </c>
      <c r="R55" s="676">
        <f>SUMIFS('Other Exp'!AN$3:AN$196,'Other Exp'!$B$3:$B$196,$D$1,'Other Exp'!$C$3:$C$196,$A55)</f>
        <v>0</v>
      </c>
      <c r="S55" s="676">
        <f>SUMIFS('Other Exp'!AO$3:AO$196,'Other Exp'!$B$3:$B$196,$D$1,'Other Exp'!$C$3:$C$196,$A55)</f>
        <v>0</v>
      </c>
      <c r="T55" s="676">
        <f>SUMIFS('Other Exp'!AP$3:AP$196,'Other Exp'!$B$3:$B$196,$D$1,'Other Exp'!$C$3:$C$196,$A55)</f>
        <v>0</v>
      </c>
      <c r="U55" s="676">
        <f>SUMIFS('Other Exp'!AQ$3:AQ$196,'Other Exp'!$B$3:$B$196,$D$1,'Other Exp'!$C$3:$C$196,$A55)</f>
        <v>0</v>
      </c>
      <c r="V55" s="676">
        <f>SUMIFS('Other Exp'!AR$3:AR$196,'Other Exp'!$B$3:$B$196,$D$1,'Other Exp'!$C$3:$C$196,$A55)</f>
        <v>0</v>
      </c>
      <c r="W55" s="676">
        <f t="shared" si="24"/>
        <v>0</v>
      </c>
      <c r="Y55" s="688">
        <f>IFERROR(VLOOKUP($A55,'[95]1月'!$A:$H,8,0),0)</f>
        <v>0</v>
      </c>
      <c r="Z55" s="688">
        <f>IFERROR(VLOOKUP($A55,'[95]2月'!$A:$H,8,0),0)</f>
        <v>0</v>
      </c>
      <c r="AA55" s="688">
        <f>IFERROR(VLOOKUP($A55,'[95]3月'!$A:$H,8,0),0)</f>
        <v>0</v>
      </c>
      <c r="AB55" s="688">
        <f>IFERROR(VLOOKUP($A55,'[95]4月'!$A:$H,8,0),0)</f>
        <v>0</v>
      </c>
      <c r="AC55" s="688">
        <f>IFERROR(VLOOKUP($A55,'[95]5月'!$A:$H,8,0),0)</f>
        <v>0</v>
      </c>
      <c r="AD55" s="688">
        <f>IFERROR(VLOOKUP($A55,'[95]6月'!$A:$H,8,0),0)</f>
        <v>0</v>
      </c>
      <c r="AE55" s="688">
        <f>IFERROR(VLOOKUP($A55,'[95]7月'!$A:$H,8,0),0)</f>
        <v>0</v>
      </c>
      <c r="AF55" s="688">
        <f>IFERROR(VLOOKUP($A55,'[95]8月'!$A:$H,8,0),0)</f>
        <v>0</v>
      </c>
      <c r="AG55" s="688">
        <f>IFERROR(VLOOKUP($A55,'[95]9月'!$A:$H,8,0),0)</f>
        <v>0</v>
      </c>
      <c r="AH55" s="688">
        <f>IFERROR(VLOOKUP($A55,'[95]10月'!$A:$H,8,0),0)</f>
        <v>0</v>
      </c>
      <c r="AI55" s="688">
        <f>IFERROR(VLOOKUP($A55,'[95]11月'!$A:$H,8,0),0)</f>
        <v>0</v>
      </c>
      <c r="AJ55" s="688">
        <f>IFERROR(VLOOKUP($A55,'[95]12月'!$A:$H,8,0),0)</f>
        <v>0</v>
      </c>
      <c r="AK55" s="688">
        <f t="shared" si="38"/>
        <v>0</v>
      </c>
    </row>
    <row r="56" spans="1:37" ht="13.5" customHeight="1">
      <c r="A56" s="653" t="str">
        <f>'Budget-合并'!A56</f>
        <v>6602.04.09</v>
      </c>
      <c r="B56" s="653" t="str">
        <f>'Budget-合并'!B56</f>
        <v>翻译服务费</v>
      </c>
      <c r="C56" s="687">
        <f>'Budget-合并'!C56</f>
        <v>0</v>
      </c>
      <c r="D56" s="676">
        <f t="shared" si="31"/>
        <v>0</v>
      </c>
      <c r="E56" s="676" t="e">
        <f t="shared" si="32"/>
        <v>#N/A</v>
      </c>
      <c r="F56" s="676" t="e">
        <f t="shared" si="33"/>
        <v>#N/A</v>
      </c>
      <c r="G56" s="676">
        <f t="shared" ca="1" si="34"/>
        <v>0</v>
      </c>
      <c r="H56" s="676" t="e">
        <f t="shared" ca="1" si="35"/>
        <v>#N/A</v>
      </c>
      <c r="I56" s="676" t="e">
        <f t="shared" ca="1" si="36"/>
        <v>#N/A</v>
      </c>
      <c r="K56" s="676">
        <f>SUMIFS('Prof. Fee'!AF$3:AF$150,'Prof. Fee'!$B$3:$B$150,$D$1,'Prof. Fee'!$D$3:$D$150,$A56)</f>
        <v>0</v>
      </c>
      <c r="L56" s="676">
        <f>SUMIFS('Prof. Fee'!AG$3:AG$150,'Prof. Fee'!$B$3:$B$150,$D$1,'Prof. Fee'!$D$3:$D$150,$A56)</f>
        <v>0</v>
      </c>
      <c r="M56" s="676">
        <f>SUMIFS('Prof. Fee'!AH$3:AH$150,'Prof. Fee'!$B$3:$B$150,$D$1,'Prof. Fee'!$D$3:$D$150,$A56)</f>
        <v>0</v>
      </c>
      <c r="N56" s="676">
        <f>SUMIFS('Prof. Fee'!AI$3:AI$150,'Prof. Fee'!$B$3:$B$150,$D$1,'Prof. Fee'!$D$3:$D$150,$A56)</f>
        <v>0</v>
      </c>
      <c r="O56" s="676">
        <f>SUMIFS('Prof. Fee'!AJ$3:AJ$150,'Prof. Fee'!$B$3:$B$150,$D$1,'Prof. Fee'!$D$3:$D$150,$A56)</f>
        <v>0</v>
      </c>
      <c r="P56" s="676">
        <f>SUMIFS('Prof. Fee'!AK$3:AK$150,'Prof. Fee'!$B$3:$B$150,$D$1,'Prof. Fee'!$D$3:$D$150,$A56)</f>
        <v>0</v>
      </c>
      <c r="Q56" s="676">
        <f>SUMIFS('Prof. Fee'!AL$3:AL$150,'Prof. Fee'!$B$3:$B$150,$D$1,'Prof. Fee'!$D$3:$D$150,$A56)</f>
        <v>0</v>
      </c>
      <c r="R56" s="676">
        <f>SUMIFS('Prof. Fee'!AM$3:AM$150,'Prof. Fee'!$B$3:$B$150,$D$1,'Prof. Fee'!$D$3:$D$150,$A56)</f>
        <v>0</v>
      </c>
      <c r="S56" s="676">
        <f>SUMIFS('Prof. Fee'!AN$3:AN$150,'Prof. Fee'!$B$3:$B$150,$D$1,'Prof. Fee'!$D$3:$D$150,$A56)</f>
        <v>0</v>
      </c>
      <c r="T56" s="676">
        <f>SUMIFS('Prof. Fee'!AO$3:AO$150,'Prof. Fee'!$B$3:$B$150,$D$1,'Prof. Fee'!$D$3:$D$150,$A56)</f>
        <v>0</v>
      </c>
      <c r="U56" s="676">
        <f>SUMIFS('Prof. Fee'!AP$3:AP$150,'Prof. Fee'!$B$3:$B$150,$D$1,'Prof. Fee'!$D$3:$D$150,$A56)</f>
        <v>0</v>
      </c>
      <c r="V56" s="676">
        <f>SUMIFS('Prof. Fee'!AQ$3:AQ$150,'Prof. Fee'!$B$3:$B$150,$D$1,'Prof. Fee'!$D$3:$D$150,$A56)</f>
        <v>0</v>
      </c>
      <c r="W56" s="676">
        <f t="shared" si="24"/>
        <v>0</v>
      </c>
      <c r="Y56" s="688">
        <f>IFERROR(VLOOKUP($A56,'[95]1月'!$A:$H,8,0),0)</f>
        <v>0</v>
      </c>
      <c r="Z56" s="688">
        <f>IFERROR(VLOOKUP($A56,'[95]2月'!$A:$H,8,0),0)</f>
        <v>0</v>
      </c>
      <c r="AA56" s="688">
        <f>IFERROR(VLOOKUP($A56,'[95]3月'!$A:$H,8,0),0)</f>
        <v>0</v>
      </c>
      <c r="AB56" s="688">
        <f>IFERROR(VLOOKUP($A56,'[95]4月'!$A:$H,8,0),0)</f>
        <v>0</v>
      </c>
      <c r="AC56" s="688">
        <f>IFERROR(VLOOKUP($A56,'[95]5月'!$A:$H,8,0),0)</f>
        <v>0</v>
      </c>
      <c r="AD56" s="688">
        <f>IFERROR(VLOOKUP($A56,'[95]6月'!$A:$H,8,0),0)</f>
        <v>0</v>
      </c>
      <c r="AE56" s="688">
        <f>IFERROR(VLOOKUP($A56,'[95]7月'!$A:$H,8,0),0)</f>
        <v>0</v>
      </c>
      <c r="AF56" s="688">
        <f>IFERROR(VLOOKUP($A56,'[95]8月'!$A:$H,8,0),0)</f>
        <v>0</v>
      </c>
      <c r="AG56" s="688">
        <f>IFERROR(VLOOKUP($A56,'[95]9月'!$A:$H,8,0),0)</f>
        <v>0</v>
      </c>
      <c r="AH56" s="688">
        <f>IFERROR(VLOOKUP($A56,'[95]10月'!$A:$H,8,0),0)</f>
        <v>0</v>
      </c>
      <c r="AI56" s="688">
        <f>IFERROR(VLOOKUP($A56,'[95]11月'!$A:$H,8,0),0)</f>
        <v>0</v>
      </c>
      <c r="AJ56" s="688">
        <f>IFERROR(VLOOKUP($A56,'[95]12月'!$A:$H,8,0),0)</f>
        <v>0</v>
      </c>
      <c r="AK56" s="688">
        <f t="shared" si="38"/>
        <v>0</v>
      </c>
    </row>
    <row r="57" spans="1:37" ht="13.5" customHeight="1">
      <c r="A57" s="653" t="str">
        <f>'Budget-合并'!A57</f>
        <v>6602.04.10</v>
      </c>
      <c r="B57" s="653" t="str">
        <f>'Budget-合并'!B57</f>
        <v>评估费</v>
      </c>
      <c r="C57" s="687">
        <f>'Budget-合并'!C57</f>
        <v>0</v>
      </c>
      <c r="D57" s="676">
        <f t="shared" si="31"/>
        <v>0</v>
      </c>
      <c r="E57" s="676" t="e">
        <f t="shared" si="32"/>
        <v>#N/A</v>
      </c>
      <c r="F57" s="676" t="e">
        <f t="shared" si="33"/>
        <v>#N/A</v>
      </c>
      <c r="G57" s="676">
        <f t="shared" ca="1" si="34"/>
        <v>0</v>
      </c>
      <c r="H57" s="676" t="e">
        <f t="shared" ca="1" si="35"/>
        <v>#N/A</v>
      </c>
      <c r="I57" s="676" t="e">
        <f t="shared" ca="1" si="36"/>
        <v>#N/A</v>
      </c>
      <c r="K57" s="676">
        <f>SUMIFS('Prof. Fee'!AF$3:AF$150,'Prof. Fee'!$B$3:$B$150,$D$1,'Prof. Fee'!$D$3:$D$150,$A57)</f>
        <v>0</v>
      </c>
      <c r="L57" s="676">
        <f>SUMIFS('Prof. Fee'!AG$3:AG$150,'Prof. Fee'!$B$3:$B$150,$D$1,'Prof. Fee'!$D$3:$D$150,$A57)</f>
        <v>0</v>
      </c>
      <c r="M57" s="676">
        <f>SUMIFS('Prof. Fee'!AH$3:AH$150,'Prof. Fee'!$B$3:$B$150,$D$1,'Prof. Fee'!$D$3:$D$150,$A57)</f>
        <v>0</v>
      </c>
      <c r="N57" s="676">
        <f>SUMIFS('Prof. Fee'!AI$3:AI$150,'Prof. Fee'!$B$3:$B$150,$D$1,'Prof. Fee'!$D$3:$D$150,$A57)</f>
        <v>0</v>
      </c>
      <c r="O57" s="676">
        <f>SUMIFS('Prof. Fee'!AJ$3:AJ$150,'Prof. Fee'!$B$3:$B$150,$D$1,'Prof. Fee'!$D$3:$D$150,$A57)</f>
        <v>0</v>
      </c>
      <c r="P57" s="676">
        <f>SUMIFS('Prof. Fee'!AK$3:AK$150,'Prof. Fee'!$B$3:$B$150,$D$1,'Prof. Fee'!$D$3:$D$150,$A57)</f>
        <v>0</v>
      </c>
      <c r="Q57" s="676">
        <f>SUMIFS('Prof. Fee'!AL$3:AL$150,'Prof. Fee'!$B$3:$B$150,$D$1,'Prof. Fee'!$D$3:$D$150,$A57)</f>
        <v>0</v>
      </c>
      <c r="R57" s="676">
        <f>SUMIFS('Prof. Fee'!AM$3:AM$150,'Prof. Fee'!$B$3:$B$150,$D$1,'Prof. Fee'!$D$3:$D$150,$A57)</f>
        <v>0</v>
      </c>
      <c r="S57" s="676">
        <f>SUMIFS('Prof. Fee'!AN$3:AN$150,'Prof. Fee'!$B$3:$B$150,$D$1,'Prof. Fee'!$D$3:$D$150,$A57)</f>
        <v>0</v>
      </c>
      <c r="T57" s="676">
        <f>SUMIFS('Prof. Fee'!AO$3:AO$150,'Prof. Fee'!$B$3:$B$150,$D$1,'Prof. Fee'!$D$3:$D$150,$A57)</f>
        <v>0</v>
      </c>
      <c r="U57" s="676">
        <f>SUMIFS('Prof. Fee'!AP$3:AP$150,'Prof. Fee'!$B$3:$B$150,$D$1,'Prof. Fee'!$D$3:$D$150,$A57)</f>
        <v>0</v>
      </c>
      <c r="V57" s="676">
        <f>SUMIFS('Prof. Fee'!AQ$3:AQ$150,'Prof. Fee'!$B$3:$B$150,$D$1,'Prof. Fee'!$D$3:$D$150,$A57)</f>
        <v>0</v>
      </c>
      <c r="W57" s="676">
        <f t="shared" si="24"/>
        <v>0</v>
      </c>
      <c r="Y57" s="688">
        <f>IFERROR(VLOOKUP($A57,'[95]1月'!$A:$H,8,0),0)</f>
        <v>0</v>
      </c>
      <c r="Z57" s="688">
        <f>IFERROR(VLOOKUP($A57,'[95]2月'!$A:$H,8,0),0)</f>
        <v>0</v>
      </c>
      <c r="AA57" s="688">
        <f>IFERROR(VLOOKUP($A57,'[95]3月'!$A:$H,8,0),0)</f>
        <v>0</v>
      </c>
      <c r="AB57" s="688">
        <f>IFERROR(VLOOKUP($A57,'[95]4月'!$A:$H,8,0),0)</f>
        <v>0</v>
      </c>
      <c r="AC57" s="688">
        <f>IFERROR(VLOOKUP($A57,'[95]5月'!$A:$H,8,0),0)</f>
        <v>0</v>
      </c>
      <c r="AD57" s="688">
        <f>IFERROR(VLOOKUP($A57,'[95]6月'!$A:$H,8,0),0)</f>
        <v>0</v>
      </c>
      <c r="AE57" s="688">
        <f>IFERROR(VLOOKUP($A57,'[95]7月'!$A:$H,8,0),0)</f>
        <v>0</v>
      </c>
      <c r="AF57" s="688">
        <f>IFERROR(VLOOKUP($A57,'[95]8月'!$A:$H,8,0),0)</f>
        <v>0</v>
      </c>
      <c r="AG57" s="688">
        <f>IFERROR(VLOOKUP($A57,'[95]9月'!$A:$H,8,0),0)</f>
        <v>0</v>
      </c>
      <c r="AH57" s="688">
        <f>IFERROR(VLOOKUP($A57,'[95]10月'!$A:$H,8,0),0)</f>
        <v>0</v>
      </c>
      <c r="AI57" s="688">
        <f>IFERROR(VLOOKUP($A57,'[95]11月'!$A:$H,8,0),0)</f>
        <v>0</v>
      </c>
      <c r="AJ57" s="688">
        <f>IFERROR(VLOOKUP($A57,'[95]12月'!$A:$H,8,0),0)</f>
        <v>0</v>
      </c>
      <c r="AK57" s="688">
        <f t="shared" si="38"/>
        <v>0</v>
      </c>
    </row>
    <row r="58" spans="1:37" ht="13.5" customHeight="1">
      <c r="A58" s="653" t="str">
        <f>'Budget-合并'!A58</f>
        <v>6602.04.11</v>
      </c>
      <c r="B58" s="653" t="str">
        <f>'Budget-合并'!B58</f>
        <v>技术服务费</v>
      </c>
      <c r="C58" s="687">
        <f>'Budget-合并'!C58</f>
        <v>0</v>
      </c>
      <c r="D58" s="676">
        <f t="shared" si="31"/>
        <v>0</v>
      </c>
      <c r="E58" s="676" t="e">
        <f t="shared" si="32"/>
        <v>#N/A</v>
      </c>
      <c r="F58" s="676" t="e">
        <f t="shared" si="33"/>
        <v>#N/A</v>
      </c>
      <c r="G58" s="676">
        <f t="shared" ca="1" si="34"/>
        <v>0</v>
      </c>
      <c r="H58" s="676" t="e">
        <f t="shared" ca="1" si="35"/>
        <v>#N/A</v>
      </c>
      <c r="I58" s="676" t="e">
        <f t="shared" ca="1" si="36"/>
        <v>#N/A</v>
      </c>
      <c r="K58" s="676">
        <f>SUMIFS('Prof. Fee'!AF$3:AF$150,'Prof. Fee'!$B$3:$B$150,$D$1,'Prof. Fee'!$D$3:$D$150,$A58)</f>
        <v>0</v>
      </c>
      <c r="L58" s="676">
        <f>SUMIFS('Prof. Fee'!AG$3:AG$150,'Prof. Fee'!$B$3:$B$150,$D$1,'Prof. Fee'!$D$3:$D$150,$A58)</f>
        <v>0</v>
      </c>
      <c r="M58" s="676">
        <f>SUMIFS('Prof. Fee'!AH$3:AH$150,'Prof. Fee'!$B$3:$B$150,$D$1,'Prof. Fee'!$D$3:$D$150,$A58)</f>
        <v>0</v>
      </c>
      <c r="N58" s="676">
        <f>SUMIFS('Prof. Fee'!AI$3:AI$150,'Prof. Fee'!$B$3:$B$150,$D$1,'Prof. Fee'!$D$3:$D$150,$A58)</f>
        <v>0</v>
      </c>
      <c r="O58" s="676">
        <f>SUMIFS('Prof. Fee'!AJ$3:AJ$150,'Prof. Fee'!$B$3:$B$150,$D$1,'Prof. Fee'!$D$3:$D$150,$A58)</f>
        <v>0</v>
      </c>
      <c r="P58" s="676">
        <f>SUMIFS('Prof. Fee'!AK$3:AK$150,'Prof. Fee'!$B$3:$B$150,$D$1,'Prof. Fee'!$D$3:$D$150,$A58)</f>
        <v>0</v>
      </c>
      <c r="Q58" s="676">
        <f>SUMIFS('Prof. Fee'!AL$3:AL$150,'Prof. Fee'!$B$3:$B$150,$D$1,'Prof. Fee'!$D$3:$D$150,$A58)</f>
        <v>0</v>
      </c>
      <c r="R58" s="676">
        <f>SUMIFS('Prof. Fee'!AM$3:AM$150,'Prof. Fee'!$B$3:$B$150,$D$1,'Prof. Fee'!$D$3:$D$150,$A58)</f>
        <v>0</v>
      </c>
      <c r="S58" s="676">
        <f>SUMIFS('Prof. Fee'!AN$3:AN$150,'Prof. Fee'!$B$3:$B$150,$D$1,'Prof. Fee'!$D$3:$D$150,$A58)</f>
        <v>0</v>
      </c>
      <c r="T58" s="676">
        <f>SUMIFS('Prof. Fee'!AO$3:AO$150,'Prof. Fee'!$B$3:$B$150,$D$1,'Prof. Fee'!$D$3:$D$150,$A58)</f>
        <v>0</v>
      </c>
      <c r="U58" s="676">
        <f>SUMIFS('Prof. Fee'!AP$3:AP$150,'Prof. Fee'!$B$3:$B$150,$D$1,'Prof. Fee'!$D$3:$D$150,$A58)</f>
        <v>0</v>
      </c>
      <c r="V58" s="676">
        <f>SUMIFS('Prof. Fee'!AQ$3:AQ$150,'Prof. Fee'!$B$3:$B$150,$D$1,'Prof. Fee'!$D$3:$D$150,$A58)</f>
        <v>0</v>
      </c>
      <c r="W58" s="676">
        <f t="shared" si="24"/>
        <v>0</v>
      </c>
      <c r="Y58" s="688">
        <f>IFERROR(VLOOKUP($A58,'[95]1月'!$A:$H,8,0),0)</f>
        <v>0</v>
      </c>
      <c r="Z58" s="688">
        <f>IFERROR(VLOOKUP($A58,'[95]2月'!$A:$H,8,0),0)</f>
        <v>0</v>
      </c>
      <c r="AA58" s="688">
        <f>IFERROR(VLOOKUP($A58,'[95]3月'!$A:$H,8,0),0)</f>
        <v>0</v>
      </c>
      <c r="AB58" s="688">
        <f>IFERROR(VLOOKUP($A58,'[95]4月'!$A:$H,8,0),0)</f>
        <v>0</v>
      </c>
      <c r="AC58" s="688">
        <f>IFERROR(VLOOKUP($A58,'[95]5月'!$A:$H,8,0),0)</f>
        <v>0</v>
      </c>
      <c r="AD58" s="688">
        <f>IFERROR(VLOOKUP($A58,'[95]6月'!$A:$H,8,0),0)</f>
        <v>0</v>
      </c>
      <c r="AE58" s="688">
        <f>IFERROR(VLOOKUP($A58,'[95]7月'!$A:$H,8,0),0)</f>
        <v>0</v>
      </c>
      <c r="AF58" s="688">
        <f>IFERROR(VLOOKUP($A58,'[95]8月'!$A:$H,8,0),0)</f>
        <v>0</v>
      </c>
      <c r="AG58" s="688">
        <f>IFERROR(VLOOKUP($A58,'[95]9月'!$A:$H,8,0),0)</f>
        <v>0</v>
      </c>
      <c r="AH58" s="688">
        <f>IFERROR(VLOOKUP($A58,'[95]10月'!$A:$H,8,0),0)</f>
        <v>0</v>
      </c>
      <c r="AI58" s="688">
        <f>IFERROR(VLOOKUP($A58,'[95]11月'!$A:$H,8,0),0)</f>
        <v>0</v>
      </c>
      <c r="AJ58" s="688">
        <f>IFERROR(VLOOKUP($A58,'[95]12月'!$A:$H,8,0),0)</f>
        <v>0</v>
      </c>
      <c r="AK58" s="688">
        <f t="shared" si="38"/>
        <v>0</v>
      </c>
    </row>
    <row r="59" spans="1:37" ht="13.5" customHeight="1">
      <c r="A59" s="653" t="str">
        <f>'Budget-合并'!A59</f>
        <v>6602.04.12</v>
      </c>
      <c r="B59" s="653" t="str">
        <f>'Budget-合并'!B59</f>
        <v>合规支持服务</v>
      </c>
      <c r="C59" s="687" t="str">
        <f>'Budget-合并'!C59</f>
        <v xml:space="preserve">Compliance Support Services </v>
      </c>
      <c r="D59" s="676">
        <f t="shared" si="31"/>
        <v>0</v>
      </c>
      <c r="E59" s="676" t="e">
        <f t="shared" si="32"/>
        <v>#N/A</v>
      </c>
      <c r="F59" s="676" t="e">
        <f t="shared" si="33"/>
        <v>#N/A</v>
      </c>
      <c r="G59" s="676">
        <f t="shared" ca="1" si="34"/>
        <v>0</v>
      </c>
      <c r="H59" s="676" t="e">
        <f t="shared" ca="1" si="35"/>
        <v>#N/A</v>
      </c>
      <c r="I59" s="676" t="e">
        <f t="shared" ca="1" si="36"/>
        <v>#N/A</v>
      </c>
      <c r="K59" s="676">
        <f>SUMIFS('Prof. Fee'!AF$3:AF$150,'Prof. Fee'!$B$3:$B$150,$D$1,'Prof. Fee'!$D$3:$D$150,$A59)</f>
        <v>0</v>
      </c>
      <c r="L59" s="676">
        <f>SUMIFS('Prof. Fee'!AG$3:AG$150,'Prof. Fee'!$B$3:$B$150,$D$1,'Prof. Fee'!$D$3:$D$150,$A59)</f>
        <v>0</v>
      </c>
      <c r="M59" s="676">
        <f>SUMIFS('Prof. Fee'!AH$3:AH$150,'Prof. Fee'!$B$3:$B$150,$D$1,'Prof. Fee'!$D$3:$D$150,$A59)</f>
        <v>0</v>
      </c>
      <c r="N59" s="676">
        <f>SUMIFS('Prof. Fee'!AI$3:AI$150,'Prof. Fee'!$B$3:$B$150,$D$1,'Prof. Fee'!$D$3:$D$150,$A59)</f>
        <v>0</v>
      </c>
      <c r="O59" s="676">
        <f>SUMIFS('Prof. Fee'!AJ$3:AJ$150,'Prof. Fee'!$B$3:$B$150,$D$1,'Prof. Fee'!$D$3:$D$150,$A59)</f>
        <v>0</v>
      </c>
      <c r="P59" s="676">
        <f>SUMIFS('Prof. Fee'!AK$3:AK$150,'Prof. Fee'!$B$3:$B$150,$D$1,'Prof. Fee'!$D$3:$D$150,$A59)</f>
        <v>0</v>
      </c>
      <c r="Q59" s="676">
        <f>SUMIFS('Prof. Fee'!AL$3:AL$150,'Prof. Fee'!$B$3:$B$150,$D$1,'Prof. Fee'!$D$3:$D$150,$A59)</f>
        <v>0</v>
      </c>
      <c r="R59" s="676">
        <f>SUMIFS('Prof. Fee'!AM$3:AM$150,'Prof. Fee'!$B$3:$B$150,$D$1,'Prof. Fee'!$D$3:$D$150,$A59)</f>
        <v>0</v>
      </c>
      <c r="S59" s="676">
        <f>SUMIFS('Prof. Fee'!AN$3:AN$150,'Prof. Fee'!$B$3:$B$150,$D$1,'Prof. Fee'!$D$3:$D$150,$A59)</f>
        <v>0</v>
      </c>
      <c r="T59" s="676">
        <f>SUMIFS('Prof. Fee'!AO$3:AO$150,'Prof. Fee'!$B$3:$B$150,$D$1,'Prof. Fee'!$D$3:$D$150,$A59)</f>
        <v>0</v>
      </c>
      <c r="U59" s="676">
        <f>SUMIFS('Prof. Fee'!AP$3:AP$150,'Prof. Fee'!$B$3:$B$150,$D$1,'Prof. Fee'!$D$3:$D$150,$A59)</f>
        <v>0</v>
      </c>
      <c r="V59" s="676">
        <f>SUMIFS('Prof. Fee'!AQ$3:AQ$150,'Prof. Fee'!$B$3:$B$150,$D$1,'Prof. Fee'!$D$3:$D$150,$A59)</f>
        <v>0</v>
      </c>
      <c r="W59" s="676">
        <f t="shared" si="24"/>
        <v>0</v>
      </c>
      <c r="Y59" s="688">
        <f>IFERROR(VLOOKUP($A59,'[95]1月'!$A:$H,8,0),0)</f>
        <v>0</v>
      </c>
      <c r="Z59" s="688">
        <f>IFERROR(VLOOKUP($A59,'[95]2月'!$A:$H,8,0),0)</f>
        <v>0</v>
      </c>
      <c r="AA59" s="688">
        <f>IFERROR(VLOOKUP($A59,'[95]3月'!$A:$H,8,0),0)</f>
        <v>0</v>
      </c>
      <c r="AB59" s="688">
        <f>IFERROR(VLOOKUP($A59,'[95]4月'!$A:$H,8,0),0)</f>
        <v>0</v>
      </c>
      <c r="AC59" s="688">
        <f>IFERROR(VLOOKUP($A59,'[95]5月'!$A:$H,8,0),0)</f>
        <v>0</v>
      </c>
      <c r="AD59" s="688">
        <f>IFERROR(VLOOKUP($A59,'[95]6月'!$A:$H,8,0),0)</f>
        <v>0</v>
      </c>
      <c r="AE59" s="688">
        <f>IFERROR(VLOOKUP($A59,'[95]7月'!$A:$H,8,0),0)</f>
        <v>0</v>
      </c>
      <c r="AF59" s="688">
        <f>IFERROR(VLOOKUP($A59,'[95]8月'!$A:$H,8,0),0)</f>
        <v>0</v>
      </c>
      <c r="AG59" s="688">
        <f>IFERROR(VLOOKUP($A59,'[95]9月'!$A:$H,8,0),0)</f>
        <v>0</v>
      </c>
      <c r="AH59" s="688">
        <f>IFERROR(VLOOKUP($A59,'[95]10月'!$A:$H,8,0),0)</f>
        <v>0</v>
      </c>
      <c r="AI59" s="688">
        <f>IFERROR(VLOOKUP($A59,'[95]11月'!$A:$H,8,0),0)</f>
        <v>0</v>
      </c>
      <c r="AJ59" s="688">
        <f>IFERROR(VLOOKUP($A59,'[95]12月'!$A:$H,8,0),0)</f>
        <v>0</v>
      </c>
      <c r="AK59" s="688">
        <f t="shared" si="38"/>
        <v>0</v>
      </c>
    </row>
    <row r="60" spans="1:37" ht="13.5" customHeight="1">
      <c r="A60" s="653" t="str">
        <f>'Budget-合并'!A60</f>
        <v>6602.04.13</v>
      </c>
      <c r="B60" s="653" t="str">
        <f>'Budget-合并'!B60</f>
        <v>咨询费</v>
      </c>
      <c r="C60" s="687" t="str">
        <f>'Budget-合并'!C60</f>
        <v>Consulting fee</v>
      </c>
      <c r="D60" s="676">
        <f t="shared" si="31"/>
        <v>0</v>
      </c>
      <c r="E60" s="676" t="e">
        <f t="shared" si="32"/>
        <v>#N/A</v>
      </c>
      <c r="F60" s="676" t="e">
        <f t="shared" si="33"/>
        <v>#N/A</v>
      </c>
      <c r="G60" s="676">
        <f t="shared" ca="1" si="34"/>
        <v>0</v>
      </c>
      <c r="H60" s="676" t="e">
        <f t="shared" ca="1" si="35"/>
        <v>#N/A</v>
      </c>
      <c r="I60" s="676" t="e">
        <f t="shared" ca="1" si="36"/>
        <v>#N/A</v>
      </c>
      <c r="K60" s="676">
        <f>SUMIFS('Prof. Fee'!AF$3:AF$150,'Prof. Fee'!$B$3:$B$150,$D$1,'Prof. Fee'!$D$3:$D$150,$A60)</f>
        <v>0</v>
      </c>
      <c r="L60" s="676">
        <f>SUMIFS('Prof. Fee'!AG$3:AG$150,'Prof. Fee'!$B$3:$B$150,$D$1,'Prof. Fee'!$D$3:$D$150,$A60)</f>
        <v>0</v>
      </c>
      <c r="M60" s="676">
        <f>SUMIFS('Prof. Fee'!AH$3:AH$150,'Prof. Fee'!$B$3:$B$150,$D$1,'Prof. Fee'!$D$3:$D$150,$A60)</f>
        <v>0</v>
      </c>
      <c r="N60" s="676">
        <f>SUMIFS('Prof. Fee'!AI$3:AI$150,'Prof. Fee'!$B$3:$B$150,$D$1,'Prof. Fee'!$D$3:$D$150,$A60)</f>
        <v>0</v>
      </c>
      <c r="O60" s="676">
        <f>SUMIFS('Prof. Fee'!AJ$3:AJ$150,'Prof. Fee'!$B$3:$B$150,$D$1,'Prof. Fee'!$D$3:$D$150,$A60)</f>
        <v>0</v>
      </c>
      <c r="P60" s="676">
        <f>SUMIFS('Prof. Fee'!AK$3:AK$150,'Prof. Fee'!$B$3:$B$150,$D$1,'Prof. Fee'!$D$3:$D$150,$A60)</f>
        <v>0</v>
      </c>
      <c r="Q60" s="676">
        <f>SUMIFS('Prof. Fee'!AL$3:AL$150,'Prof. Fee'!$B$3:$B$150,$D$1,'Prof. Fee'!$D$3:$D$150,$A60)</f>
        <v>0</v>
      </c>
      <c r="R60" s="676">
        <f>SUMIFS('Prof. Fee'!AM$3:AM$150,'Prof. Fee'!$B$3:$B$150,$D$1,'Prof. Fee'!$D$3:$D$150,$A60)</f>
        <v>0</v>
      </c>
      <c r="S60" s="676">
        <f>SUMIFS('Prof. Fee'!AN$3:AN$150,'Prof. Fee'!$B$3:$B$150,$D$1,'Prof. Fee'!$D$3:$D$150,$A60)</f>
        <v>0</v>
      </c>
      <c r="T60" s="676">
        <f>SUMIFS('Prof. Fee'!AO$3:AO$150,'Prof. Fee'!$B$3:$B$150,$D$1,'Prof. Fee'!$D$3:$D$150,$A60)</f>
        <v>0</v>
      </c>
      <c r="U60" s="676">
        <f>SUMIFS('Prof. Fee'!AP$3:AP$150,'Prof. Fee'!$B$3:$B$150,$D$1,'Prof. Fee'!$D$3:$D$150,$A60)</f>
        <v>0</v>
      </c>
      <c r="V60" s="676">
        <f>SUMIFS('Prof. Fee'!AQ$3:AQ$150,'Prof. Fee'!$B$3:$B$150,$D$1,'Prof. Fee'!$D$3:$D$150,$A60)</f>
        <v>0</v>
      </c>
      <c r="W60" s="676">
        <f t="shared" si="24"/>
        <v>0</v>
      </c>
      <c r="Y60" s="688">
        <f>IFERROR(VLOOKUP($A60,'[95]1月'!$A:$H,8,0),0)</f>
        <v>0</v>
      </c>
      <c r="Z60" s="688">
        <f>IFERROR(VLOOKUP($A60,'[95]2月'!$A:$H,8,0),0)</f>
        <v>0</v>
      </c>
      <c r="AA60" s="688">
        <f>IFERROR(VLOOKUP($A60,'[95]3月'!$A:$H,8,0),0)</f>
        <v>0</v>
      </c>
      <c r="AB60" s="688">
        <f>IFERROR(VLOOKUP($A60,'[95]4月'!$A:$H,8,0),0)</f>
        <v>0</v>
      </c>
      <c r="AC60" s="688">
        <f>IFERROR(VLOOKUP($A60,'[95]5月'!$A:$H,8,0),0)</f>
        <v>0</v>
      </c>
      <c r="AD60" s="688">
        <f>IFERROR(VLOOKUP($A60,'[95]6月'!$A:$H,8,0),0)</f>
        <v>0</v>
      </c>
      <c r="AE60" s="688">
        <f>IFERROR(VLOOKUP($A60,'[95]7月'!$A:$H,8,0),0)</f>
        <v>0</v>
      </c>
      <c r="AF60" s="688">
        <f>IFERROR(VLOOKUP($A60,'[95]8月'!$A:$H,8,0),0)</f>
        <v>0</v>
      </c>
      <c r="AG60" s="688">
        <f>IFERROR(VLOOKUP($A60,'[95]9月'!$A:$H,8,0),0)</f>
        <v>0</v>
      </c>
      <c r="AH60" s="688">
        <f>IFERROR(VLOOKUP($A60,'[95]10月'!$A:$H,8,0),0)</f>
        <v>0</v>
      </c>
      <c r="AI60" s="688">
        <f>IFERROR(VLOOKUP($A60,'[95]11月'!$A:$H,8,0),0)</f>
        <v>0</v>
      </c>
      <c r="AJ60" s="688">
        <f>IFERROR(VLOOKUP($A60,'[95]12月'!$A:$H,8,0),0)</f>
        <v>0</v>
      </c>
      <c r="AK60" s="688">
        <f t="shared" si="38"/>
        <v>0</v>
      </c>
    </row>
    <row r="61" spans="1:37" ht="13.5" customHeight="1">
      <c r="A61" s="653" t="str">
        <f>'Budget-合并'!A61</f>
        <v>6602.04.99</v>
      </c>
      <c r="B61" s="653" t="str">
        <f>'Budget-合并'!B61</f>
        <v>其他</v>
      </c>
      <c r="C61" s="687">
        <f>'Budget-合并'!C61</f>
        <v>0</v>
      </c>
      <c r="D61" s="676">
        <f t="shared" si="31"/>
        <v>0</v>
      </c>
      <c r="E61" s="676" t="e">
        <f t="shared" si="32"/>
        <v>#N/A</v>
      </c>
      <c r="F61" s="676" t="e">
        <f t="shared" si="33"/>
        <v>#N/A</v>
      </c>
      <c r="G61" s="676">
        <f t="shared" ca="1" si="34"/>
        <v>0</v>
      </c>
      <c r="H61" s="676" t="e">
        <f t="shared" ca="1" si="35"/>
        <v>#N/A</v>
      </c>
      <c r="I61" s="676" t="e">
        <f t="shared" ca="1" si="36"/>
        <v>#N/A</v>
      </c>
      <c r="K61" s="676">
        <f>SUMIFS('Prof. Fee'!AF$3:AF$150,'Prof. Fee'!$B$3:$B$150,$D$1,'Prof. Fee'!$D$3:$D$150,$A61)</f>
        <v>0</v>
      </c>
      <c r="L61" s="676">
        <f>SUMIFS('Prof. Fee'!AG$3:AG$150,'Prof. Fee'!$B$3:$B$150,$D$1,'Prof. Fee'!$D$3:$D$150,$A61)</f>
        <v>0</v>
      </c>
      <c r="M61" s="676">
        <f>SUMIFS('Prof. Fee'!AH$3:AH$150,'Prof. Fee'!$B$3:$B$150,$D$1,'Prof. Fee'!$D$3:$D$150,$A61)</f>
        <v>0</v>
      </c>
      <c r="N61" s="676">
        <f>SUMIFS('Prof. Fee'!AI$3:AI$150,'Prof. Fee'!$B$3:$B$150,$D$1,'Prof. Fee'!$D$3:$D$150,$A61)</f>
        <v>0</v>
      </c>
      <c r="O61" s="676">
        <f>SUMIFS('Prof. Fee'!AJ$3:AJ$150,'Prof. Fee'!$B$3:$B$150,$D$1,'Prof. Fee'!$D$3:$D$150,$A61)</f>
        <v>0</v>
      </c>
      <c r="P61" s="676">
        <f>SUMIFS('Prof. Fee'!AK$3:AK$150,'Prof. Fee'!$B$3:$B$150,$D$1,'Prof. Fee'!$D$3:$D$150,$A61)</f>
        <v>0</v>
      </c>
      <c r="Q61" s="676">
        <f>SUMIFS('Prof. Fee'!AL$3:AL$150,'Prof. Fee'!$B$3:$B$150,$D$1,'Prof. Fee'!$D$3:$D$150,$A61)</f>
        <v>0</v>
      </c>
      <c r="R61" s="676">
        <f>SUMIFS('Prof. Fee'!AM$3:AM$150,'Prof. Fee'!$B$3:$B$150,$D$1,'Prof. Fee'!$D$3:$D$150,$A61)</f>
        <v>0</v>
      </c>
      <c r="S61" s="676">
        <f>SUMIFS('Prof. Fee'!AN$3:AN$150,'Prof. Fee'!$B$3:$B$150,$D$1,'Prof. Fee'!$D$3:$D$150,$A61)</f>
        <v>0</v>
      </c>
      <c r="T61" s="676">
        <f>SUMIFS('Prof. Fee'!AO$3:AO$150,'Prof. Fee'!$B$3:$B$150,$D$1,'Prof. Fee'!$D$3:$D$150,$A61)</f>
        <v>0</v>
      </c>
      <c r="U61" s="676">
        <f>SUMIFS('Prof. Fee'!AP$3:AP$150,'Prof. Fee'!$B$3:$B$150,$D$1,'Prof. Fee'!$D$3:$D$150,$A61)</f>
        <v>0</v>
      </c>
      <c r="V61" s="676">
        <f>SUMIFS('Prof. Fee'!AQ$3:AQ$150,'Prof. Fee'!$B$3:$B$150,$D$1,'Prof. Fee'!$D$3:$D$150,$A61)</f>
        <v>0</v>
      </c>
      <c r="W61" s="676">
        <f t="shared" si="24"/>
        <v>0</v>
      </c>
      <c r="Y61" s="688">
        <f>IFERROR(VLOOKUP($A61,'[95]1月'!$A:$H,8,0),0)</f>
        <v>0</v>
      </c>
      <c r="Z61" s="688">
        <f>IFERROR(VLOOKUP($A61,'[95]2月'!$A:$H,8,0),0)</f>
        <v>0</v>
      </c>
      <c r="AA61" s="688">
        <f>IFERROR(VLOOKUP($A61,'[95]3月'!$A:$H,8,0),0)</f>
        <v>0</v>
      </c>
      <c r="AB61" s="688">
        <f>IFERROR(VLOOKUP($A61,'[95]4月'!$A:$H,8,0),0)</f>
        <v>0</v>
      </c>
      <c r="AC61" s="688">
        <f>IFERROR(VLOOKUP($A61,'[95]5月'!$A:$H,8,0),0)</f>
        <v>0</v>
      </c>
      <c r="AD61" s="688">
        <f>IFERROR(VLOOKUP($A61,'[95]6月'!$A:$H,8,0),0)</f>
        <v>0</v>
      </c>
      <c r="AE61" s="688">
        <f>IFERROR(VLOOKUP($A61,'[95]7月'!$A:$H,8,0),0)</f>
        <v>0</v>
      </c>
      <c r="AF61" s="688">
        <f>IFERROR(VLOOKUP($A61,'[95]8月'!$A:$H,8,0),0)</f>
        <v>0</v>
      </c>
      <c r="AG61" s="688">
        <f>IFERROR(VLOOKUP($A61,'[95]9月'!$A:$H,8,0),0)</f>
        <v>0</v>
      </c>
      <c r="AH61" s="688">
        <f>IFERROR(VLOOKUP($A61,'[95]10月'!$A:$H,8,0),0)</f>
        <v>0</v>
      </c>
      <c r="AI61" s="688">
        <f>IFERROR(VLOOKUP($A61,'[95]11月'!$A:$H,8,0),0)</f>
        <v>0</v>
      </c>
      <c r="AJ61" s="688">
        <f>IFERROR(VLOOKUP($A61,'[95]12月'!$A:$H,8,0),0)</f>
        <v>0</v>
      </c>
      <c r="AK61" s="688">
        <f t="shared" si="38"/>
        <v>0</v>
      </c>
    </row>
    <row r="62" spans="1:37" ht="13.5" customHeight="1">
      <c r="A62" s="663" t="str">
        <f>'Budget-合并'!A62</f>
        <v>6602.05</v>
      </c>
      <c r="B62" s="663" t="str">
        <f>'Budget-合并'!B62</f>
        <v>占用费</v>
      </c>
      <c r="C62" s="687">
        <f>'Budget-合并'!C62</f>
        <v>0</v>
      </c>
      <c r="D62" s="676">
        <f t="shared" si="31"/>
        <v>0</v>
      </c>
      <c r="E62" s="676" t="e">
        <f t="shared" si="32"/>
        <v>#N/A</v>
      </c>
      <c r="F62" s="676" t="e">
        <f t="shared" si="33"/>
        <v>#N/A</v>
      </c>
      <c r="G62" s="676">
        <f t="shared" ca="1" si="34"/>
        <v>0</v>
      </c>
      <c r="H62" s="676" t="e">
        <f t="shared" ca="1" si="35"/>
        <v>#N/A</v>
      </c>
      <c r="I62" s="676" t="e">
        <f t="shared" ca="1" si="36"/>
        <v>#N/A</v>
      </c>
      <c r="K62" s="676">
        <f t="shared" ref="K62:V62" si="39">SUM(K63,K67:K74)</f>
        <v>0</v>
      </c>
      <c r="L62" s="676">
        <f t="shared" si="39"/>
        <v>0</v>
      </c>
      <c r="M62" s="676">
        <f t="shared" si="39"/>
        <v>0</v>
      </c>
      <c r="N62" s="676">
        <f t="shared" si="39"/>
        <v>0</v>
      </c>
      <c r="O62" s="676">
        <f t="shared" si="39"/>
        <v>0</v>
      </c>
      <c r="P62" s="676">
        <f t="shared" si="39"/>
        <v>0</v>
      </c>
      <c r="Q62" s="676">
        <f t="shared" si="39"/>
        <v>0</v>
      </c>
      <c r="R62" s="676">
        <f t="shared" si="39"/>
        <v>0</v>
      </c>
      <c r="S62" s="676">
        <f t="shared" si="39"/>
        <v>0</v>
      </c>
      <c r="T62" s="676">
        <f t="shared" si="39"/>
        <v>0</v>
      </c>
      <c r="U62" s="676">
        <f t="shared" si="39"/>
        <v>0</v>
      </c>
      <c r="V62" s="676">
        <f t="shared" si="39"/>
        <v>0</v>
      </c>
      <c r="W62" s="676">
        <f t="shared" si="24"/>
        <v>0</v>
      </c>
      <c r="Y62" s="688">
        <f>IFERROR(VLOOKUP($A62,'[95]1月'!$A:$H,8,0),0)</f>
        <v>0</v>
      </c>
      <c r="Z62" s="688">
        <f>IFERROR(VLOOKUP($A62,'[95]2月'!$A:$H,8,0),0)</f>
        <v>0</v>
      </c>
      <c r="AA62" s="688">
        <f>IFERROR(VLOOKUP($A62,'[95]3月'!$A:$H,8,0),0)</f>
        <v>0</v>
      </c>
      <c r="AB62" s="688">
        <f>IFERROR(VLOOKUP($A62,'[95]4月'!$A:$H,8,0),0)</f>
        <v>0</v>
      </c>
      <c r="AC62" s="688">
        <f>IFERROR(VLOOKUP($A62,'[95]5月'!$A:$H,8,0),0)</f>
        <v>-122.93</v>
      </c>
      <c r="AD62" s="688">
        <f>IFERROR(VLOOKUP($A62,'[95]6月'!$A:$H,8,0),0)</f>
        <v>0</v>
      </c>
      <c r="AE62" s="688">
        <f>IFERROR(VLOOKUP($A62,'[95]7月'!$A:$H,8,0),0)</f>
        <v>0</v>
      </c>
      <c r="AF62" s="688">
        <f>IFERROR(VLOOKUP($A62,'[95]8月'!$A:$H,8,0),0)</f>
        <v>0</v>
      </c>
      <c r="AG62" s="688">
        <f>IFERROR(VLOOKUP($A62,'[95]9月'!$A:$H,8,0),0)</f>
        <v>0</v>
      </c>
      <c r="AH62" s="688">
        <f>IFERROR(VLOOKUP($A62,'[95]10月'!$A:$H,8,0),0)</f>
        <v>0</v>
      </c>
      <c r="AI62" s="688">
        <f>IFERROR(VLOOKUP($A62,'[95]11月'!$A:$H,8,0),0)</f>
        <v>0</v>
      </c>
      <c r="AJ62" s="688">
        <f>IFERROR(VLOOKUP($A62,'[95]12月'!$A:$H,8,0),0)</f>
        <v>0</v>
      </c>
      <c r="AK62" s="688">
        <f t="shared" si="38"/>
        <v>-122.93</v>
      </c>
    </row>
    <row r="63" spans="1:37" ht="13.5" customHeight="1">
      <c r="A63" s="653" t="str">
        <f>'Budget-合并'!A63</f>
        <v>6602.05.01</v>
      </c>
      <c r="B63" s="653" t="str">
        <f>'Budget-合并'!B63</f>
        <v>办公室租赁费</v>
      </c>
      <c r="C63" s="687">
        <f>'Budget-合并'!C63</f>
        <v>0</v>
      </c>
      <c r="D63" s="676">
        <f t="shared" si="31"/>
        <v>0</v>
      </c>
      <c r="E63" s="676" t="e">
        <f t="shared" si="32"/>
        <v>#N/A</v>
      </c>
      <c r="F63" s="676" t="e">
        <f t="shared" si="33"/>
        <v>#N/A</v>
      </c>
      <c r="G63" s="676">
        <f t="shared" ca="1" si="34"/>
        <v>0</v>
      </c>
      <c r="H63" s="676" t="e">
        <f t="shared" ca="1" si="35"/>
        <v>#N/A</v>
      </c>
      <c r="I63" s="676" t="e">
        <f t="shared" ca="1" si="36"/>
        <v>#N/A</v>
      </c>
      <c r="K63" s="676">
        <f t="shared" ref="K63:V63" si="40">SUM(K64:K66)</f>
        <v>0</v>
      </c>
      <c r="L63" s="676">
        <f t="shared" si="40"/>
        <v>0</v>
      </c>
      <c r="M63" s="676">
        <f t="shared" si="40"/>
        <v>0</v>
      </c>
      <c r="N63" s="676">
        <f t="shared" si="40"/>
        <v>0</v>
      </c>
      <c r="O63" s="676">
        <f t="shared" si="40"/>
        <v>0</v>
      </c>
      <c r="P63" s="676">
        <f t="shared" si="40"/>
        <v>0</v>
      </c>
      <c r="Q63" s="676">
        <f t="shared" si="40"/>
        <v>0</v>
      </c>
      <c r="R63" s="676">
        <f t="shared" si="40"/>
        <v>0</v>
      </c>
      <c r="S63" s="676">
        <f t="shared" si="40"/>
        <v>0</v>
      </c>
      <c r="T63" s="676">
        <f t="shared" si="40"/>
        <v>0</v>
      </c>
      <c r="U63" s="676">
        <f t="shared" si="40"/>
        <v>0</v>
      </c>
      <c r="V63" s="676">
        <f t="shared" si="40"/>
        <v>0</v>
      </c>
      <c r="W63" s="676">
        <f t="shared" si="24"/>
        <v>0</v>
      </c>
      <c r="Y63" s="688">
        <f>IFERROR(VLOOKUP($A63,'[95]1月'!$A:$H,8,0),0)</f>
        <v>0</v>
      </c>
      <c r="Z63" s="688">
        <f>IFERROR(VLOOKUP($A63,'[95]2月'!$A:$H,8,0),0)</f>
        <v>0</v>
      </c>
      <c r="AA63" s="688">
        <f>IFERROR(VLOOKUP($A63,'[95]3月'!$A:$H,8,0),0)</f>
        <v>0</v>
      </c>
      <c r="AB63" s="688">
        <f>IFERROR(VLOOKUP($A63,'[95]4月'!$A:$H,8,0),0)</f>
        <v>0</v>
      </c>
      <c r="AC63" s="688">
        <f>IFERROR(VLOOKUP($A63,'[95]5月'!$A:$H,8,0),0)</f>
        <v>0</v>
      </c>
      <c r="AD63" s="688">
        <f>IFERROR(VLOOKUP($A63,'[95]6月'!$A:$H,8,0),0)</f>
        <v>0</v>
      </c>
      <c r="AE63" s="688">
        <f>IFERROR(VLOOKUP($A63,'[95]7月'!$A:$H,8,0),0)</f>
        <v>0</v>
      </c>
      <c r="AF63" s="688">
        <f>IFERROR(VLOOKUP($A63,'[95]8月'!$A:$H,8,0),0)</f>
        <v>0</v>
      </c>
      <c r="AG63" s="688">
        <f>IFERROR(VLOOKUP($A63,'[95]9月'!$A:$H,8,0),0)</f>
        <v>0</v>
      </c>
      <c r="AH63" s="688">
        <f>IFERROR(VLOOKUP($A63,'[95]10月'!$A:$H,8,0),0)</f>
        <v>0</v>
      </c>
      <c r="AI63" s="688">
        <f>IFERROR(VLOOKUP($A63,'[95]11月'!$A:$H,8,0),0)</f>
        <v>0</v>
      </c>
      <c r="AJ63" s="688">
        <f>IFERROR(VLOOKUP($A63,'[95]12月'!$A:$H,8,0),0)</f>
        <v>0</v>
      </c>
      <c r="AK63" s="688">
        <f t="shared" si="38"/>
        <v>0</v>
      </c>
    </row>
    <row r="64" spans="1:37" ht="13.5" customHeight="1">
      <c r="A64" s="653" t="str">
        <f>'Budget-合并'!A64</f>
        <v>6602.05.01.01</v>
      </c>
      <c r="B64" s="653" t="str">
        <f>'Budget-合并'!B64</f>
        <v>旭智咨询--鼎和大厦1606</v>
      </c>
      <c r="C64" s="687">
        <f>'Budget-合并'!C64</f>
        <v>0</v>
      </c>
      <c r="D64" s="676">
        <f t="shared" si="31"/>
        <v>0</v>
      </c>
      <c r="E64" s="676" t="e">
        <f t="shared" si="32"/>
        <v>#N/A</v>
      </c>
      <c r="F64" s="676" t="e">
        <f t="shared" si="33"/>
        <v>#N/A</v>
      </c>
      <c r="G64" s="676">
        <f t="shared" ca="1" si="34"/>
        <v>0</v>
      </c>
      <c r="H64" s="676" t="e">
        <f t="shared" ca="1" si="35"/>
        <v>#N/A</v>
      </c>
      <c r="I64" s="676" t="e">
        <f t="shared" ca="1" si="36"/>
        <v>#N/A</v>
      </c>
      <c r="K64" s="676"/>
      <c r="L64" s="676"/>
      <c r="M64" s="676"/>
      <c r="N64" s="676"/>
      <c r="O64" s="676"/>
      <c r="P64" s="676"/>
      <c r="Q64" s="676"/>
      <c r="R64" s="676"/>
      <c r="S64" s="676"/>
      <c r="T64" s="676"/>
      <c r="U64" s="676"/>
      <c r="V64" s="676"/>
      <c r="W64" s="676">
        <f t="shared" si="24"/>
        <v>0</v>
      </c>
      <c r="Y64" s="688">
        <f>IFERROR(VLOOKUP($A64,'[95]1月'!$A:$H,8,0),0)</f>
        <v>0</v>
      </c>
      <c r="Z64" s="688">
        <f>IFERROR(VLOOKUP($A64,'[95]2月'!$A:$H,8,0),0)</f>
        <v>0</v>
      </c>
      <c r="AA64" s="688">
        <f>IFERROR(VLOOKUP($A64,'[95]3月'!$A:$H,8,0),0)</f>
        <v>0</v>
      </c>
      <c r="AB64" s="688">
        <f>IFERROR(VLOOKUP($A64,'[95]4月'!$A:$H,8,0),0)</f>
        <v>0</v>
      </c>
      <c r="AC64" s="688">
        <f>IFERROR(VLOOKUP($A64,'[95]5月'!$A:$H,8,0),0)</f>
        <v>0</v>
      </c>
      <c r="AD64" s="688">
        <f>IFERROR(VLOOKUP($A64,'[95]6月'!$A:$H,8,0),0)</f>
        <v>0</v>
      </c>
      <c r="AE64" s="688">
        <f>IFERROR(VLOOKUP($A64,'[95]7月'!$A:$H,8,0),0)</f>
        <v>0</v>
      </c>
      <c r="AF64" s="688">
        <f>IFERROR(VLOOKUP($A64,'[95]8月'!$A:$H,8,0),0)</f>
        <v>0</v>
      </c>
      <c r="AG64" s="688">
        <f>IFERROR(VLOOKUP($A64,'[95]9月'!$A:$H,8,0),0)</f>
        <v>0</v>
      </c>
      <c r="AH64" s="688">
        <f>IFERROR(VLOOKUP($A64,'[95]10月'!$A:$H,8,0),0)</f>
        <v>0</v>
      </c>
      <c r="AI64" s="688">
        <f>IFERROR(VLOOKUP($A64,'[95]11月'!$A:$H,8,0),0)</f>
        <v>0</v>
      </c>
      <c r="AJ64" s="688">
        <f>IFERROR(VLOOKUP($A64,'[95]12月'!$A:$H,8,0),0)</f>
        <v>0</v>
      </c>
      <c r="AK64" s="688">
        <f t="shared" si="38"/>
        <v>0</v>
      </c>
    </row>
    <row r="65" spans="1:37" ht="13.5" customHeight="1">
      <c r="A65" s="653" t="str">
        <f>'Budget-合并'!A65</f>
        <v>6602.05.01.02</v>
      </c>
      <c r="B65" s="653" t="str">
        <f>'Budget-合并'!B65</f>
        <v>广州注册地址403房J015</v>
      </c>
      <c r="C65" s="687">
        <f>'Budget-合并'!C65</f>
        <v>0</v>
      </c>
      <c r="D65" s="676">
        <f t="shared" si="31"/>
        <v>0</v>
      </c>
      <c r="E65" s="676" t="e">
        <f t="shared" si="32"/>
        <v>#N/A</v>
      </c>
      <c r="F65" s="676" t="e">
        <f t="shared" si="33"/>
        <v>#N/A</v>
      </c>
      <c r="G65" s="676">
        <f t="shared" ca="1" si="34"/>
        <v>0</v>
      </c>
      <c r="H65" s="676" t="e">
        <f t="shared" ca="1" si="35"/>
        <v>#N/A</v>
      </c>
      <c r="I65" s="676" t="e">
        <f t="shared" ca="1" si="36"/>
        <v>#N/A</v>
      </c>
      <c r="K65" s="676"/>
      <c r="L65" s="676"/>
      <c r="M65" s="676"/>
      <c r="N65" s="676"/>
      <c r="O65" s="676"/>
      <c r="P65" s="676"/>
      <c r="Q65" s="676"/>
      <c r="R65" s="676"/>
      <c r="S65" s="676"/>
      <c r="T65" s="676"/>
      <c r="U65" s="676"/>
      <c r="V65" s="676"/>
      <c r="W65" s="676">
        <f t="shared" si="24"/>
        <v>0</v>
      </c>
      <c r="Y65" s="688">
        <f>IFERROR(VLOOKUP($A65,'[95]1月'!$A:$H,8,0),0)</f>
        <v>0</v>
      </c>
      <c r="Z65" s="688">
        <f>IFERROR(VLOOKUP($A65,'[95]2月'!$A:$H,8,0),0)</f>
        <v>0</v>
      </c>
      <c r="AA65" s="688">
        <f>IFERROR(VLOOKUP($A65,'[95]3月'!$A:$H,8,0),0)</f>
        <v>0</v>
      </c>
      <c r="AB65" s="688">
        <f>IFERROR(VLOOKUP($A65,'[95]4月'!$A:$H,8,0),0)</f>
        <v>0</v>
      </c>
      <c r="AC65" s="688">
        <f>IFERROR(VLOOKUP($A65,'[95]5月'!$A:$H,8,0),0)</f>
        <v>0</v>
      </c>
      <c r="AD65" s="688">
        <f>IFERROR(VLOOKUP($A65,'[95]6月'!$A:$H,8,0),0)</f>
        <v>0</v>
      </c>
      <c r="AE65" s="688">
        <f>IFERROR(VLOOKUP($A65,'[95]7月'!$A:$H,8,0),0)</f>
        <v>0</v>
      </c>
      <c r="AF65" s="688">
        <f>IFERROR(VLOOKUP($A65,'[95]8月'!$A:$H,8,0),0)</f>
        <v>0</v>
      </c>
      <c r="AG65" s="688">
        <f>IFERROR(VLOOKUP($A65,'[95]9月'!$A:$H,8,0),0)</f>
        <v>0</v>
      </c>
      <c r="AH65" s="688">
        <f>IFERROR(VLOOKUP($A65,'[95]10月'!$A:$H,8,0),0)</f>
        <v>0</v>
      </c>
      <c r="AI65" s="688">
        <f>IFERROR(VLOOKUP($A65,'[95]11月'!$A:$H,8,0),0)</f>
        <v>0</v>
      </c>
      <c r="AJ65" s="688">
        <f>IFERROR(VLOOKUP($A65,'[95]12月'!$A:$H,8,0),0)</f>
        <v>0</v>
      </c>
      <c r="AK65" s="688">
        <f t="shared" si="38"/>
        <v>0</v>
      </c>
    </row>
    <row r="66" spans="1:37" ht="13.5" customHeight="1">
      <c r="A66" s="653" t="str">
        <f>'Budget-合并'!A66</f>
        <v>6602.05.01.03</v>
      </c>
      <c r="B66" s="653" t="str">
        <f>'Budget-合并'!B66</f>
        <v>广州注册地址403房J016</v>
      </c>
      <c r="C66" s="687">
        <f>'Budget-合并'!C66</f>
        <v>0</v>
      </c>
      <c r="D66" s="676">
        <f t="shared" si="31"/>
        <v>0</v>
      </c>
      <c r="E66" s="676" t="e">
        <f t="shared" si="32"/>
        <v>#N/A</v>
      </c>
      <c r="F66" s="676" t="e">
        <f t="shared" si="33"/>
        <v>#N/A</v>
      </c>
      <c r="G66" s="676">
        <f t="shared" ca="1" si="34"/>
        <v>0</v>
      </c>
      <c r="H66" s="676" t="e">
        <f t="shared" ca="1" si="35"/>
        <v>#N/A</v>
      </c>
      <c r="I66" s="676" t="e">
        <f t="shared" ca="1" si="36"/>
        <v>#N/A</v>
      </c>
      <c r="K66" s="676"/>
      <c r="L66" s="676"/>
      <c r="M66" s="676"/>
      <c r="N66" s="676"/>
      <c r="O66" s="676"/>
      <c r="P66" s="676"/>
      <c r="Q66" s="676"/>
      <c r="R66" s="676"/>
      <c r="S66" s="676"/>
      <c r="T66" s="676"/>
      <c r="U66" s="676"/>
      <c r="V66" s="676"/>
      <c r="W66" s="676">
        <f t="shared" si="24"/>
        <v>0</v>
      </c>
      <c r="Y66" s="688">
        <f>IFERROR(VLOOKUP($A66,'[95]1月'!$A:$H,8,0),0)</f>
        <v>0</v>
      </c>
      <c r="Z66" s="688">
        <f>IFERROR(VLOOKUP($A66,'[95]2月'!$A:$H,8,0),0)</f>
        <v>0</v>
      </c>
      <c r="AA66" s="688">
        <f>IFERROR(VLOOKUP($A66,'[95]3月'!$A:$H,8,0),0)</f>
        <v>0</v>
      </c>
      <c r="AB66" s="688">
        <f>IFERROR(VLOOKUP($A66,'[95]4月'!$A:$H,8,0),0)</f>
        <v>0</v>
      </c>
      <c r="AC66" s="688">
        <f>IFERROR(VLOOKUP($A66,'[95]5月'!$A:$H,8,0),0)</f>
        <v>0</v>
      </c>
      <c r="AD66" s="688">
        <f>IFERROR(VLOOKUP($A66,'[95]6月'!$A:$H,8,0),0)</f>
        <v>0</v>
      </c>
      <c r="AE66" s="688">
        <f>IFERROR(VLOOKUP($A66,'[95]7月'!$A:$H,8,0),0)</f>
        <v>0</v>
      </c>
      <c r="AF66" s="688">
        <f>IFERROR(VLOOKUP($A66,'[95]8月'!$A:$H,8,0),0)</f>
        <v>0</v>
      </c>
      <c r="AG66" s="688">
        <f>IFERROR(VLOOKUP($A66,'[95]9月'!$A:$H,8,0),0)</f>
        <v>0</v>
      </c>
      <c r="AH66" s="688">
        <f>IFERROR(VLOOKUP($A66,'[95]10月'!$A:$H,8,0),0)</f>
        <v>0</v>
      </c>
      <c r="AI66" s="688">
        <f>IFERROR(VLOOKUP($A66,'[95]11月'!$A:$H,8,0),0)</f>
        <v>0</v>
      </c>
      <c r="AJ66" s="688">
        <f>IFERROR(VLOOKUP($A66,'[95]12月'!$A:$H,8,0),0)</f>
        <v>0</v>
      </c>
      <c r="AK66" s="688">
        <f t="shared" si="38"/>
        <v>0</v>
      </c>
    </row>
    <row r="67" spans="1:37" ht="13.5" customHeight="1">
      <c r="A67" s="653" t="str">
        <f>'Budget-合并'!A67</f>
        <v>6602.05.02</v>
      </c>
      <c r="B67" s="653" t="str">
        <f>'Budget-合并'!B67</f>
        <v>管理费</v>
      </c>
      <c r="C67" s="687" t="str">
        <f>'Budget-合并'!C67</f>
        <v>Management fees</v>
      </c>
      <c r="D67" s="676">
        <f t="shared" si="31"/>
        <v>0</v>
      </c>
      <c r="E67" s="676" t="e">
        <f t="shared" si="32"/>
        <v>#N/A</v>
      </c>
      <c r="F67" s="676" t="e">
        <f t="shared" si="33"/>
        <v>#N/A</v>
      </c>
      <c r="G67" s="676">
        <f t="shared" ca="1" si="34"/>
        <v>0</v>
      </c>
      <c r="H67" s="676" t="e">
        <f t="shared" ca="1" si="35"/>
        <v>#N/A</v>
      </c>
      <c r="I67" s="676" t="e">
        <f t="shared" ca="1" si="36"/>
        <v>#N/A</v>
      </c>
      <c r="K67" s="676">
        <f>SUMIFS(SPACE!O$3:O$106,SPACE!$A$3:$A$106,$D$1,SPACE!$C$3:$C$106,$A67)</f>
        <v>0</v>
      </c>
      <c r="L67" s="676">
        <f>SUMIFS(SPACE!P$3:P$106,SPACE!$A$3:$A$106,$D$1,SPACE!$C$3:$C$106,$A67)</f>
        <v>0</v>
      </c>
      <c r="M67" s="676">
        <f>SUMIFS(SPACE!Q$3:Q$106,SPACE!$A$3:$A$106,$D$1,SPACE!$C$3:$C$106,$A67)</f>
        <v>0</v>
      </c>
      <c r="N67" s="676">
        <f>SUMIFS(SPACE!R$3:R$106,SPACE!$A$3:$A$106,$D$1,SPACE!$C$3:$C$106,$A67)</f>
        <v>0</v>
      </c>
      <c r="O67" s="676">
        <f>SUMIFS(SPACE!S$3:S$106,SPACE!$A$3:$A$106,$D$1,SPACE!$C$3:$C$106,$A67)</f>
        <v>0</v>
      </c>
      <c r="P67" s="676">
        <f>SUMIFS(SPACE!T$3:T$106,SPACE!$A$3:$A$106,$D$1,SPACE!$C$3:$C$106,$A67)</f>
        <v>0</v>
      </c>
      <c r="Q67" s="676">
        <f>SUMIFS(SPACE!U$3:U$106,SPACE!$A$3:$A$106,$D$1,SPACE!$C$3:$C$106,$A67)</f>
        <v>0</v>
      </c>
      <c r="R67" s="676">
        <f>SUMIFS(SPACE!V$3:V$106,SPACE!$A$3:$A$106,$D$1,SPACE!$C$3:$C$106,$A67)</f>
        <v>0</v>
      </c>
      <c r="S67" s="676">
        <f>SUMIFS(SPACE!W$3:W$106,SPACE!$A$3:$A$106,$D$1,SPACE!$C$3:$C$106,$A67)</f>
        <v>0</v>
      </c>
      <c r="T67" s="676">
        <f>SUMIFS(SPACE!X$3:X$106,SPACE!$A$3:$A$106,$D$1,SPACE!$C$3:$C$106,$A67)</f>
        <v>0</v>
      </c>
      <c r="U67" s="676">
        <f>SUMIFS(SPACE!Y$3:Y$106,SPACE!$A$3:$A$106,$D$1,SPACE!$C$3:$C$106,$A67)</f>
        <v>0</v>
      </c>
      <c r="V67" s="676">
        <f>SUMIFS(SPACE!Z$3:Z$106,SPACE!$A$3:$A$106,$D$1,SPACE!$C$3:$C$106,$A67)</f>
        <v>0</v>
      </c>
      <c r="W67" s="676">
        <f t="shared" si="24"/>
        <v>0</v>
      </c>
      <c r="Y67" s="688">
        <f>IFERROR(VLOOKUP($A67,'[95]1月'!$A:$H,8,0),0)</f>
        <v>0</v>
      </c>
      <c r="Z67" s="688">
        <f>IFERROR(VLOOKUP($A67,'[95]2月'!$A:$H,8,0),0)</f>
        <v>0</v>
      </c>
      <c r="AA67" s="688">
        <f>IFERROR(VLOOKUP($A67,'[95]3月'!$A:$H,8,0),0)</f>
        <v>0</v>
      </c>
      <c r="AB67" s="688">
        <f>IFERROR(VLOOKUP($A67,'[95]4月'!$A:$H,8,0),0)</f>
        <v>0</v>
      </c>
      <c r="AC67" s="688">
        <f>IFERROR(VLOOKUP($A67,'[95]5月'!$A:$H,8,0),0)</f>
        <v>0</v>
      </c>
      <c r="AD67" s="688">
        <f>IFERROR(VLOOKUP($A67,'[95]6月'!$A:$H,8,0),0)</f>
        <v>0</v>
      </c>
      <c r="AE67" s="688">
        <f>IFERROR(VLOOKUP($A67,'[95]7月'!$A:$H,8,0),0)</f>
        <v>0</v>
      </c>
      <c r="AF67" s="688">
        <f>IFERROR(VLOOKUP($A67,'[95]8月'!$A:$H,8,0),0)</f>
        <v>0</v>
      </c>
      <c r="AG67" s="688">
        <f>IFERROR(VLOOKUP($A67,'[95]9月'!$A:$H,8,0),0)</f>
        <v>0</v>
      </c>
      <c r="AH67" s="688">
        <f>IFERROR(VLOOKUP($A67,'[95]10月'!$A:$H,8,0),0)</f>
        <v>0</v>
      </c>
      <c r="AI67" s="688">
        <f>IFERROR(VLOOKUP($A67,'[95]11月'!$A:$H,8,0),0)</f>
        <v>0</v>
      </c>
      <c r="AJ67" s="688">
        <f>IFERROR(VLOOKUP($A67,'[95]12月'!$A:$H,8,0),0)</f>
        <v>0</v>
      </c>
      <c r="AK67" s="688">
        <f t="shared" si="38"/>
        <v>0</v>
      </c>
    </row>
    <row r="68" spans="1:37" ht="13.5" customHeight="1">
      <c r="A68" s="653" t="str">
        <f>'Budget-合并'!A68</f>
        <v>6602.05.03</v>
      </c>
      <c r="B68" s="653" t="str">
        <f>'Budget-合并'!B68</f>
        <v>电费</v>
      </c>
      <c r="C68" s="687" t="str">
        <f>'Budget-合并'!C68</f>
        <v>Utilities Electric</v>
      </c>
      <c r="D68" s="676">
        <f t="shared" si="31"/>
        <v>0</v>
      </c>
      <c r="E68" s="676" t="e">
        <f t="shared" si="32"/>
        <v>#N/A</v>
      </c>
      <c r="F68" s="676" t="e">
        <f t="shared" si="33"/>
        <v>#N/A</v>
      </c>
      <c r="G68" s="676">
        <f t="shared" ca="1" si="34"/>
        <v>0</v>
      </c>
      <c r="H68" s="676" t="e">
        <f t="shared" ca="1" si="35"/>
        <v>#N/A</v>
      </c>
      <c r="I68" s="676" t="e">
        <f t="shared" ca="1" si="36"/>
        <v>#N/A</v>
      </c>
      <c r="K68" s="676">
        <f>SUMIFS(SPACE!O$3:O$106,SPACE!$A$3:$A$106,$D$1,SPACE!$C$3:$C$106,$A68)</f>
        <v>0</v>
      </c>
      <c r="L68" s="676">
        <f>SUMIFS(SPACE!P$3:P$106,SPACE!$A$3:$A$106,$D$1,SPACE!$C$3:$C$106,$A68)</f>
        <v>0</v>
      </c>
      <c r="M68" s="676">
        <f>SUMIFS(SPACE!Q$3:Q$106,SPACE!$A$3:$A$106,$D$1,SPACE!$C$3:$C$106,$A68)</f>
        <v>0</v>
      </c>
      <c r="N68" s="676">
        <f>SUMIFS(SPACE!R$3:R$106,SPACE!$A$3:$A$106,$D$1,SPACE!$C$3:$C$106,$A68)</f>
        <v>0</v>
      </c>
      <c r="O68" s="676">
        <f>SUMIFS(SPACE!S$3:S$106,SPACE!$A$3:$A$106,$D$1,SPACE!$C$3:$C$106,$A68)</f>
        <v>0</v>
      </c>
      <c r="P68" s="676">
        <f>SUMIFS(SPACE!T$3:T$106,SPACE!$A$3:$A$106,$D$1,SPACE!$C$3:$C$106,$A68)</f>
        <v>0</v>
      </c>
      <c r="Q68" s="676">
        <f>SUMIFS(SPACE!U$3:U$106,SPACE!$A$3:$A$106,$D$1,SPACE!$C$3:$C$106,$A68)</f>
        <v>0</v>
      </c>
      <c r="R68" s="676">
        <f>SUMIFS(SPACE!V$3:V$106,SPACE!$A$3:$A$106,$D$1,SPACE!$C$3:$C$106,$A68)</f>
        <v>0</v>
      </c>
      <c r="S68" s="676">
        <f>SUMIFS(SPACE!W$3:W$106,SPACE!$A$3:$A$106,$D$1,SPACE!$C$3:$C$106,$A68)</f>
        <v>0</v>
      </c>
      <c r="T68" s="676">
        <f>SUMIFS(SPACE!X$3:X$106,SPACE!$A$3:$A$106,$D$1,SPACE!$C$3:$C$106,$A68)</f>
        <v>0</v>
      </c>
      <c r="U68" s="676">
        <f>SUMIFS(SPACE!Y$3:Y$106,SPACE!$A$3:$A$106,$D$1,SPACE!$C$3:$C$106,$A68)</f>
        <v>0</v>
      </c>
      <c r="V68" s="676">
        <f>SUMIFS(SPACE!Z$3:Z$106,SPACE!$A$3:$A$106,$D$1,SPACE!$C$3:$C$106,$A68)</f>
        <v>0</v>
      </c>
      <c r="W68" s="676">
        <f t="shared" si="24"/>
        <v>0</v>
      </c>
      <c r="Y68" s="688">
        <f>IFERROR(VLOOKUP($A68,'[95]1月'!$A:$H,8,0),0)</f>
        <v>0</v>
      </c>
      <c r="Z68" s="688">
        <f>IFERROR(VLOOKUP($A68,'[95]2月'!$A:$H,8,0),0)</f>
        <v>0</v>
      </c>
      <c r="AA68" s="688">
        <f>IFERROR(VLOOKUP($A68,'[95]3月'!$A:$H,8,0),0)</f>
        <v>0</v>
      </c>
      <c r="AB68" s="688">
        <f>IFERROR(VLOOKUP($A68,'[95]4月'!$A:$H,8,0),0)</f>
        <v>0</v>
      </c>
      <c r="AC68" s="688">
        <f>IFERROR(VLOOKUP($A68,'[95]5月'!$A:$H,8,0),0)</f>
        <v>0</v>
      </c>
      <c r="AD68" s="688">
        <f>IFERROR(VLOOKUP($A68,'[95]6月'!$A:$H,8,0),0)</f>
        <v>0</v>
      </c>
      <c r="AE68" s="688">
        <f>IFERROR(VLOOKUP($A68,'[95]7月'!$A:$H,8,0),0)</f>
        <v>0</v>
      </c>
      <c r="AF68" s="688">
        <f>IFERROR(VLOOKUP($A68,'[95]8月'!$A:$H,8,0),0)</f>
        <v>0</v>
      </c>
      <c r="AG68" s="688">
        <f>IFERROR(VLOOKUP($A68,'[95]9月'!$A:$H,8,0),0)</f>
        <v>0</v>
      </c>
      <c r="AH68" s="688">
        <f>IFERROR(VLOOKUP($A68,'[95]10月'!$A:$H,8,0),0)</f>
        <v>0</v>
      </c>
      <c r="AI68" s="688">
        <f>IFERROR(VLOOKUP($A68,'[95]11月'!$A:$H,8,0),0)</f>
        <v>0</v>
      </c>
      <c r="AJ68" s="688">
        <f>IFERROR(VLOOKUP($A68,'[95]12月'!$A:$H,8,0),0)</f>
        <v>0</v>
      </c>
      <c r="AK68" s="688">
        <f t="shared" si="38"/>
        <v>0</v>
      </c>
    </row>
    <row r="69" spans="1:37" ht="13.5" customHeight="1">
      <c r="A69" s="653" t="str">
        <f>'Budget-合并'!A69</f>
        <v>6602.05.04</v>
      </c>
      <c r="B69" s="653" t="str">
        <f>'Budget-合并'!B69</f>
        <v>水费</v>
      </c>
      <c r="C69" s="687">
        <f>'Budget-合并'!C69</f>
        <v>0</v>
      </c>
      <c r="D69" s="676">
        <f t="shared" si="31"/>
        <v>0</v>
      </c>
      <c r="E69" s="676" t="e">
        <f t="shared" si="32"/>
        <v>#N/A</v>
      </c>
      <c r="F69" s="676" t="e">
        <f t="shared" si="33"/>
        <v>#N/A</v>
      </c>
      <c r="G69" s="676">
        <f t="shared" ca="1" si="34"/>
        <v>0</v>
      </c>
      <c r="H69" s="676" t="e">
        <f t="shared" ca="1" si="35"/>
        <v>#N/A</v>
      </c>
      <c r="I69" s="676" t="e">
        <f t="shared" ca="1" si="36"/>
        <v>#N/A</v>
      </c>
      <c r="K69" s="676">
        <f>SUMIFS(SPACE!O$3:O$106,SPACE!$A$3:$A$106,$D$1,SPACE!$C$3:$C$106,$A69)</f>
        <v>0</v>
      </c>
      <c r="L69" s="676">
        <f>SUMIFS(SPACE!P$3:P$106,SPACE!$A$3:$A$106,$D$1,SPACE!$C$3:$C$106,$A69)</f>
        <v>0</v>
      </c>
      <c r="M69" s="676">
        <f>SUMIFS(SPACE!Q$3:Q$106,SPACE!$A$3:$A$106,$D$1,SPACE!$C$3:$C$106,$A69)</f>
        <v>0</v>
      </c>
      <c r="N69" s="676">
        <f>SUMIFS(SPACE!R$3:R$106,SPACE!$A$3:$A$106,$D$1,SPACE!$C$3:$C$106,$A69)</f>
        <v>0</v>
      </c>
      <c r="O69" s="676">
        <f>SUMIFS(SPACE!S$3:S$106,SPACE!$A$3:$A$106,$D$1,SPACE!$C$3:$C$106,$A69)</f>
        <v>0</v>
      </c>
      <c r="P69" s="676">
        <f>SUMIFS(SPACE!T$3:T$106,SPACE!$A$3:$A$106,$D$1,SPACE!$C$3:$C$106,$A69)</f>
        <v>0</v>
      </c>
      <c r="Q69" s="676">
        <f>SUMIFS(SPACE!U$3:U$106,SPACE!$A$3:$A$106,$D$1,SPACE!$C$3:$C$106,$A69)</f>
        <v>0</v>
      </c>
      <c r="R69" s="676">
        <f>SUMIFS(SPACE!V$3:V$106,SPACE!$A$3:$A$106,$D$1,SPACE!$C$3:$C$106,$A69)</f>
        <v>0</v>
      </c>
      <c r="S69" s="676">
        <f>SUMIFS(SPACE!W$3:W$106,SPACE!$A$3:$A$106,$D$1,SPACE!$C$3:$C$106,$A69)</f>
        <v>0</v>
      </c>
      <c r="T69" s="676">
        <f>SUMIFS(SPACE!X$3:X$106,SPACE!$A$3:$A$106,$D$1,SPACE!$C$3:$C$106,$A69)</f>
        <v>0</v>
      </c>
      <c r="U69" s="676">
        <f>SUMIFS(SPACE!Y$3:Y$106,SPACE!$A$3:$A$106,$D$1,SPACE!$C$3:$C$106,$A69)</f>
        <v>0</v>
      </c>
      <c r="V69" s="676">
        <f>SUMIFS(SPACE!Z$3:Z$106,SPACE!$A$3:$A$106,$D$1,SPACE!$C$3:$C$106,$A69)</f>
        <v>0</v>
      </c>
      <c r="W69" s="676">
        <f t="shared" si="24"/>
        <v>0</v>
      </c>
      <c r="Y69" s="688">
        <f>IFERROR(VLOOKUP($A69,'[95]1月'!$A:$H,8,0),0)</f>
        <v>0</v>
      </c>
      <c r="Z69" s="688">
        <f>IFERROR(VLOOKUP($A69,'[95]2月'!$A:$H,8,0),0)</f>
        <v>0</v>
      </c>
      <c r="AA69" s="688">
        <f>IFERROR(VLOOKUP($A69,'[95]3月'!$A:$H,8,0),0)</f>
        <v>0</v>
      </c>
      <c r="AB69" s="688">
        <f>IFERROR(VLOOKUP($A69,'[95]4月'!$A:$H,8,0),0)</f>
        <v>0</v>
      </c>
      <c r="AC69" s="688">
        <f>IFERROR(VLOOKUP($A69,'[95]5月'!$A:$H,8,0),0)</f>
        <v>0</v>
      </c>
      <c r="AD69" s="688">
        <f>IFERROR(VLOOKUP($A69,'[95]6月'!$A:$H,8,0),0)</f>
        <v>0</v>
      </c>
      <c r="AE69" s="688">
        <f>IFERROR(VLOOKUP($A69,'[95]7月'!$A:$H,8,0),0)</f>
        <v>0</v>
      </c>
      <c r="AF69" s="688">
        <f>IFERROR(VLOOKUP($A69,'[95]8月'!$A:$H,8,0),0)</f>
        <v>0</v>
      </c>
      <c r="AG69" s="688">
        <f>IFERROR(VLOOKUP($A69,'[95]9月'!$A:$H,8,0),0)</f>
        <v>0</v>
      </c>
      <c r="AH69" s="688">
        <f>IFERROR(VLOOKUP($A69,'[95]10月'!$A:$H,8,0),0)</f>
        <v>0</v>
      </c>
      <c r="AI69" s="688">
        <f>IFERROR(VLOOKUP($A69,'[95]11月'!$A:$H,8,0),0)</f>
        <v>0</v>
      </c>
      <c r="AJ69" s="688">
        <f>IFERROR(VLOOKUP($A69,'[95]12月'!$A:$H,8,0),0)</f>
        <v>0</v>
      </c>
      <c r="AK69" s="688">
        <f t="shared" si="38"/>
        <v>0</v>
      </c>
    </row>
    <row r="70" spans="1:37" ht="13.5" customHeight="1">
      <c r="A70" s="653" t="str">
        <f>'Budget-合并'!A70</f>
        <v>6602.05.05</v>
      </c>
      <c r="B70" s="653" t="str">
        <f>'Budget-合并'!B70</f>
        <v>维修费</v>
      </c>
      <c r="C70" s="687" t="str">
        <f>'Budget-合并'!C70</f>
        <v>Office Maintenance &amp; Repair</v>
      </c>
      <c r="D70" s="676">
        <f t="shared" si="31"/>
        <v>0</v>
      </c>
      <c r="E70" s="676" t="e">
        <f t="shared" si="32"/>
        <v>#N/A</v>
      </c>
      <c r="F70" s="676" t="e">
        <f t="shared" si="33"/>
        <v>#N/A</v>
      </c>
      <c r="G70" s="676">
        <f t="shared" ca="1" si="34"/>
        <v>0</v>
      </c>
      <c r="H70" s="676" t="e">
        <f t="shared" ca="1" si="35"/>
        <v>#N/A</v>
      </c>
      <c r="I70" s="676" t="e">
        <f t="shared" ca="1" si="36"/>
        <v>#N/A</v>
      </c>
      <c r="K70" s="676">
        <f>SUMIFS(SPACE!O$3:O$106,SPACE!$A$3:$A$106,$D$1,SPACE!$C$3:$C$106,$A70)</f>
        <v>0</v>
      </c>
      <c r="L70" s="676">
        <f>SUMIFS(SPACE!P$3:P$106,SPACE!$A$3:$A$106,$D$1,SPACE!$C$3:$C$106,$A70)</f>
        <v>0</v>
      </c>
      <c r="M70" s="676">
        <f>SUMIFS(SPACE!Q$3:Q$106,SPACE!$A$3:$A$106,$D$1,SPACE!$C$3:$C$106,$A70)</f>
        <v>0</v>
      </c>
      <c r="N70" s="676">
        <f>SUMIFS(SPACE!R$3:R$106,SPACE!$A$3:$A$106,$D$1,SPACE!$C$3:$C$106,$A70)</f>
        <v>0</v>
      </c>
      <c r="O70" s="676">
        <f>SUMIFS(SPACE!S$3:S$106,SPACE!$A$3:$A$106,$D$1,SPACE!$C$3:$C$106,$A70)</f>
        <v>0</v>
      </c>
      <c r="P70" s="676">
        <f>SUMIFS(SPACE!T$3:T$106,SPACE!$A$3:$A$106,$D$1,SPACE!$C$3:$C$106,$A70)</f>
        <v>0</v>
      </c>
      <c r="Q70" s="676">
        <f>SUMIFS(SPACE!U$3:U$106,SPACE!$A$3:$A$106,$D$1,SPACE!$C$3:$C$106,$A70)</f>
        <v>0</v>
      </c>
      <c r="R70" s="676">
        <f>SUMIFS(SPACE!V$3:V$106,SPACE!$A$3:$A$106,$D$1,SPACE!$C$3:$C$106,$A70)</f>
        <v>0</v>
      </c>
      <c r="S70" s="676">
        <f>SUMIFS(SPACE!W$3:W$106,SPACE!$A$3:$A$106,$D$1,SPACE!$C$3:$C$106,$A70)</f>
        <v>0</v>
      </c>
      <c r="T70" s="676">
        <f>SUMIFS(SPACE!X$3:X$106,SPACE!$A$3:$A$106,$D$1,SPACE!$C$3:$C$106,$A70)</f>
        <v>0</v>
      </c>
      <c r="U70" s="676">
        <f>SUMIFS(SPACE!Y$3:Y$106,SPACE!$A$3:$A$106,$D$1,SPACE!$C$3:$C$106,$A70)</f>
        <v>0</v>
      </c>
      <c r="V70" s="676">
        <f>SUMIFS(SPACE!Z$3:Z$106,SPACE!$A$3:$A$106,$D$1,SPACE!$C$3:$C$106,$A70)</f>
        <v>0</v>
      </c>
      <c r="W70" s="676">
        <f t="shared" si="24"/>
        <v>0</v>
      </c>
      <c r="Y70" s="688">
        <f>IFERROR(VLOOKUP($A70,'[95]1月'!$A:$H,8,0),0)</f>
        <v>0</v>
      </c>
      <c r="Z70" s="688">
        <f>IFERROR(VLOOKUP($A70,'[95]2月'!$A:$H,8,0),0)</f>
        <v>0</v>
      </c>
      <c r="AA70" s="688">
        <f>IFERROR(VLOOKUP($A70,'[95]3月'!$A:$H,8,0),0)</f>
        <v>0</v>
      </c>
      <c r="AB70" s="688">
        <f>IFERROR(VLOOKUP($A70,'[95]4月'!$A:$H,8,0),0)</f>
        <v>0</v>
      </c>
      <c r="AC70" s="688">
        <f>IFERROR(VLOOKUP($A70,'[95]5月'!$A:$H,8,0),0)</f>
        <v>0</v>
      </c>
      <c r="AD70" s="688">
        <f>IFERROR(VLOOKUP($A70,'[95]6月'!$A:$H,8,0),0)</f>
        <v>0</v>
      </c>
      <c r="AE70" s="688">
        <f>IFERROR(VLOOKUP($A70,'[95]7月'!$A:$H,8,0),0)</f>
        <v>0</v>
      </c>
      <c r="AF70" s="688">
        <f>IFERROR(VLOOKUP($A70,'[95]8月'!$A:$H,8,0),0)</f>
        <v>0</v>
      </c>
      <c r="AG70" s="688">
        <f>IFERROR(VLOOKUP($A70,'[95]9月'!$A:$H,8,0),0)</f>
        <v>0</v>
      </c>
      <c r="AH70" s="688">
        <f>IFERROR(VLOOKUP($A70,'[95]10月'!$A:$H,8,0),0)</f>
        <v>0</v>
      </c>
      <c r="AI70" s="688">
        <f>IFERROR(VLOOKUP($A70,'[95]11月'!$A:$H,8,0),0)</f>
        <v>0</v>
      </c>
      <c r="AJ70" s="688">
        <f>IFERROR(VLOOKUP($A70,'[95]12月'!$A:$H,8,0),0)</f>
        <v>0</v>
      </c>
      <c r="AK70" s="688">
        <f t="shared" si="38"/>
        <v>0</v>
      </c>
    </row>
    <row r="71" spans="1:37" ht="13.5" customHeight="1">
      <c r="A71" s="653" t="str">
        <f>'Budget-合并'!A71</f>
        <v>6602.05.06</v>
      </c>
      <c r="B71" s="653" t="str">
        <f>'Budget-合并'!B71</f>
        <v>装修费</v>
      </c>
      <c r="C71" s="687" t="str">
        <f>'Budget-合并'!C71</f>
        <v>Depreciation_Leasehold Improvement</v>
      </c>
      <c r="D71" s="676">
        <f t="shared" si="31"/>
        <v>0</v>
      </c>
      <c r="E71" s="676" t="e">
        <f t="shared" si="32"/>
        <v>#N/A</v>
      </c>
      <c r="F71" s="676" t="e">
        <f t="shared" si="33"/>
        <v>#N/A</v>
      </c>
      <c r="G71" s="676">
        <f t="shared" ca="1" si="34"/>
        <v>0</v>
      </c>
      <c r="H71" s="676" t="e">
        <f t="shared" ca="1" si="35"/>
        <v>#N/A</v>
      </c>
      <c r="I71" s="676" t="e">
        <f t="shared" ca="1" si="36"/>
        <v>#N/A</v>
      </c>
      <c r="K71" s="676">
        <f>SUMIFS(SPACE!O$3:O$106,SPACE!$A$3:$A$106,$D$1,SPACE!$C$3:$C$106,$A71)</f>
        <v>0</v>
      </c>
      <c r="L71" s="676">
        <f>SUMIFS(SPACE!P$3:P$106,SPACE!$A$3:$A$106,$D$1,SPACE!$C$3:$C$106,$A71)</f>
        <v>0</v>
      </c>
      <c r="M71" s="676">
        <f>SUMIFS(SPACE!Q$3:Q$106,SPACE!$A$3:$A$106,$D$1,SPACE!$C$3:$C$106,$A71)</f>
        <v>0</v>
      </c>
      <c r="N71" s="676">
        <f>SUMIFS(SPACE!R$3:R$106,SPACE!$A$3:$A$106,$D$1,SPACE!$C$3:$C$106,$A71)</f>
        <v>0</v>
      </c>
      <c r="O71" s="676">
        <f>SUMIFS(SPACE!S$3:S$106,SPACE!$A$3:$A$106,$D$1,SPACE!$C$3:$C$106,$A71)</f>
        <v>0</v>
      </c>
      <c r="P71" s="676">
        <f>SUMIFS(SPACE!T$3:T$106,SPACE!$A$3:$A$106,$D$1,SPACE!$C$3:$C$106,$A71)</f>
        <v>0</v>
      </c>
      <c r="Q71" s="676">
        <f>SUMIFS(SPACE!U$3:U$106,SPACE!$A$3:$A$106,$D$1,SPACE!$C$3:$C$106,$A71)</f>
        <v>0</v>
      </c>
      <c r="R71" s="676">
        <f>SUMIFS(SPACE!V$3:V$106,SPACE!$A$3:$A$106,$D$1,SPACE!$C$3:$C$106,$A71)</f>
        <v>0</v>
      </c>
      <c r="S71" s="676">
        <f>SUMIFS(SPACE!W$3:W$106,SPACE!$A$3:$A$106,$D$1,SPACE!$C$3:$C$106,$A71)</f>
        <v>0</v>
      </c>
      <c r="T71" s="676">
        <f>SUMIFS(SPACE!X$3:X$106,SPACE!$A$3:$A$106,$D$1,SPACE!$C$3:$C$106,$A71)</f>
        <v>0</v>
      </c>
      <c r="U71" s="676">
        <f>SUMIFS(SPACE!Y$3:Y$106,SPACE!$A$3:$A$106,$D$1,SPACE!$C$3:$C$106,$A71)</f>
        <v>0</v>
      </c>
      <c r="V71" s="676">
        <f>SUMIFS(SPACE!Z$3:Z$106,SPACE!$A$3:$A$106,$D$1,SPACE!$C$3:$C$106,$A71)</f>
        <v>0</v>
      </c>
      <c r="W71" s="676">
        <f t="shared" si="24"/>
        <v>0</v>
      </c>
      <c r="Y71" s="688">
        <f>IFERROR(VLOOKUP($A71,'[95]1月'!$A:$H,8,0),0)</f>
        <v>0</v>
      </c>
      <c r="Z71" s="688">
        <f>IFERROR(VLOOKUP($A71,'[95]2月'!$A:$H,8,0),0)</f>
        <v>0</v>
      </c>
      <c r="AA71" s="688">
        <f>IFERROR(VLOOKUP($A71,'[95]3月'!$A:$H,8,0),0)</f>
        <v>0</v>
      </c>
      <c r="AB71" s="688">
        <f>IFERROR(VLOOKUP($A71,'[95]4月'!$A:$H,8,0),0)</f>
        <v>0</v>
      </c>
      <c r="AC71" s="688">
        <f>IFERROR(VLOOKUP($A71,'[95]5月'!$A:$H,8,0),0)</f>
        <v>0</v>
      </c>
      <c r="AD71" s="688">
        <f>IFERROR(VLOOKUP($A71,'[95]6月'!$A:$H,8,0),0)</f>
        <v>0</v>
      </c>
      <c r="AE71" s="688">
        <f>IFERROR(VLOOKUP($A71,'[95]7月'!$A:$H,8,0),0)</f>
        <v>0</v>
      </c>
      <c r="AF71" s="688">
        <f>IFERROR(VLOOKUP($A71,'[95]8月'!$A:$H,8,0),0)</f>
        <v>0</v>
      </c>
      <c r="AG71" s="688">
        <f>IFERROR(VLOOKUP($A71,'[95]9月'!$A:$H,8,0),0)</f>
        <v>0</v>
      </c>
      <c r="AH71" s="688">
        <f>IFERROR(VLOOKUP($A71,'[95]10月'!$A:$H,8,0),0)</f>
        <v>0</v>
      </c>
      <c r="AI71" s="688">
        <f>IFERROR(VLOOKUP($A71,'[95]11月'!$A:$H,8,0),0)</f>
        <v>0</v>
      </c>
      <c r="AJ71" s="688">
        <f>IFERROR(VLOOKUP($A71,'[95]12月'!$A:$H,8,0),0)</f>
        <v>0</v>
      </c>
      <c r="AK71" s="688">
        <f t="shared" si="38"/>
        <v>0</v>
      </c>
    </row>
    <row r="72" spans="1:37" ht="13.5" customHeight="1">
      <c r="A72" s="653" t="str">
        <f>'Budget-合并'!A72</f>
        <v>6602.05.07</v>
      </c>
      <c r="B72" s="653" t="str">
        <f>'Budget-合并'!B72</f>
        <v>租金及物业费</v>
      </c>
      <c r="C72" s="687">
        <f>'Budget-合并'!C72</f>
        <v>0</v>
      </c>
      <c r="D72" s="676">
        <f t="shared" si="31"/>
        <v>0</v>
      </c>
      <c r="E72" s="676" t="e">
        <f t="shared" si="32"/>
        <v>#N/A</v>
      </c>
      <c r="F72" s="676" t="e">
        <f t="shared" si="33"/>
        <v>#N/A</v>
      </c>
      <c r="G72" s="676">
        <f t="shared" ca="1" si="34"/>
        <v>0</v>
      </c>
      <c r="H72" s="676" t="e">
        <f t="shared" ca="1" si="35"/>
        <v>#N/A</v>
      </c>
      <c r="I72" s="676" t="e">
        <f t="shared" ca="1" si="36"/>
        <v>#N/A</v>
      </c>
      <c r="K72" s="676">
        <f>SUMIFS(SPACE!O$3:O$106,SPACE!$A$3:$A$106,$D$1,SPACE!$C$3:$C$106,$A72)</f>
        <v>0</v>
      </c>
      <c r="L72" s="676">
        <f>SUMIFS(SPACE!P$3:P$106,SPACE!$A$3:$A$106,$D$1,SPACE!$C$3:$C$106,$A72)</f>
        <v>0</v>
      </c>
      <c r="M72" s="676">
        <f>SUMIFS(SPACE!Q$3:Q$106,SPACE!$A$3:$A$106,$D$1,SPACE!$C$3:$C$106,$A72)</f>
        <v>0</v>
      </c>
      <c r="N72" s="676">
        <f>SUMIFS(SPACE!R$3:R$106,SPACE!$A$3:$A$106,$D$1,SPACE!$C$3:$C$106,$A72)</f>
        <v>0</v>
      </c>
      <c r="O72" s="676">
        <f>SUMIFS(SPACE!S$3:S$106,SPACE!$A$3:$A$106,$D$1,SPACE!$C$3:$C$106,$A72)</f>
        <v>0</v>
      </c>
      <c r="P72" s="676">
        <f>SUMIFS(SPACE!T$3:T$106,SPACE!$A$3:$A$106,$D$1,SPACE!$C$3:$C$106,$A72)</f>
        <v>0</v>
      </c>
      <c r="Q72" s="676">
        <f>SUMIFS(SPACE!U$3:U$106,SPACE!$A$3:$A$106,$D$1,SPACE!$C$3:$C$106,$A72)</f>
        <v>0</v>
      </c>
      <c r="R72" s="676">
        <f>SUMIFS(SPACE!V$3:V$106,SPACE!$A$3:$A$106,$D$1,SPACE!$C$3:$C$106,$A72)</f>
        <v>0</v>
      </c>
      <c r="S72" s="676">
        <f>SUMIFS(SPACE!W$3:W$106,SPACE!$A$3:$A$106,$D$1,SPACE!$C$3:$C$106,$A72)</f>
        <v>0</v>
      </c>
      <c r="T72" s="676">
        <f>SUMIFS(SPACE!X$3:X$106,SPACE!$A$3:$A$106,$D$1,SPACE!$C$3:$C$106,$A72)</f>
        <v>0</v>
      </c>
      <c r="U72" s="676">
        <f>SUMIFS(SPACE!Y$3:Y$106,SPACE!$A$3:$A$106,$D$1,SPACE!$C$3:$C$106,$A72)</f>
        <v>0</v>
      </c>
      <c r="V72" s="676">
        <f>SUMIFS(SPACE!Z$3:Z$106,SPACE!$A$3:$A$106,$D$1,SPACE!$C$3:$C$106,$A72)</f>
        <v>0</v>
      </c>
      <c r="W72" s="676">
        <f t="shared" si="24"/>
        <v>0</v>
      </c>
      <c r="Y72" s="688">
        <f>IFERROR(VLOOKUP($A72,'[95]1月'!$A:$H,8,0),0)</f>
        <v>0</v>
      </c>
      <c r="Z72" s="688">
        <f>IFERROR(VLOOKUP($A72,'[95]2月'!$A:$H,8,0),0)</f>
        <v>0</v>
      </c>
      <c r="AA72" s="688">
        <f>IFERROR(VLOOKUP($A72,'[95]3月'!$A:$H,8,0),0)</f>
        <v>0</v>
      </c>
      <c r="AB72" s="688">
        <f>IFERROR(VLOOKUP($A72,'[95]4月'!$A:$H,8,0),0)</f>
        <v>0</v>
      </c>
      <c r="AC72" s="688">
        <f>IFERROR(VLOOKUP($A72,'[95]5月'!$A:$H,8,0),0)</f>
        <v>-122.93</v>
      </c>
      <c r="AD72" s="688">
        <f>IFERROR(VLOOKUP($A72,'[95]6月'!$A:$H,8,0),0)</f>
        <v>0</v>
      </c>
      <c r="AE72" s="688">
        <f>IFERROR(VLOOKUP($A72,'[95]7月'!$A:$H,8,0),0)</f>
        <v>0</v>
      </c>
      <c r="AF72" s="688">
        <f>IFERROR(VLOOKUP($A72,'[95]8月'!$A:$H,8,0),0)</f>
        <v>0</v>
      </c>
      <c r="AG72" s="688">
        <f>IFERROR(VLOOKUP($A72,'[95]9月'!$A:$H,8,0),0)</f>
        <v>0</v>
      </c>
      <c r="AH72" s="688">
        <f>IFERROR(VLOOKUP($A72,'[95]10月'!$A:$H,8,0),0)</f>
        <v>0</v>
      </c>
      <c r="AI72" s="688">
        <f>IFERROR(VLOOKUP($A72,'[95]11月'!$A:$H,8,0),0)</f>
        <v>0</v>
      </c>
      <c r="AJ72" s="688">
        <f>IFERROR(VLOOKUP($A72,'[95]12月'!$A:$H,8,0),0)</f>
        <v>0</v>
      </c>
      <c r="AK72" s="688">
        <f t="shared" si="38"/>
        <v>-122.93</v>
      </c>
    </row>
    <row r="73" spans="1:37" ht="11.1" customHeight="1">
      <c r="A73" s="653" t="str">
        <f>'Budget-合并'!A73</f>
        <v>6602.05.08</v>
      </c>
      <c r="B73" s="653" t="str">
        <f>'Budget-合并'!B73</f>
        <v>集团内分摊</v>
      </c>
      <c r="C73" s="687" t="str">
        <f>'Budget-合并'!C73</f>
        <v>Space Rel X Charge</v>
      </c>
      <c r="D73" s="676">
        <f t="shared" si="31"/>
        <v>0</v>
      </c>
      <c r="E73" s="676" t="e">
        <f t="shared" si="32"/>
        <v>#N/A</v>
      </c>
      <c r="F73" s="676" t="e">
        <f t="shared" si="33"/>
        <v>#N/A</v>
      </c>
      <c r="G73" s="676">
        <f t="shared" ca="1" si="34"/>
        <v>0</v>
      </c>
      <c r="H73" s="676" t="e">
        <f t="shared" ca="1" si="35"/>
        <v>#N/A</v>
      </c>
      <c r="I73" s="676" t="e">
        <f t="shared" ca="1" si="36"/>
        <v>#N/A</v>
      </c>
      <c r="K73" s="676">
        <f>SUMIFS(SPACE!O$3:O$106,SPACE!$A$3:$A$106,$D$1,SPACE!$C$3:$C$106,$A73)</f>
        <v>0</v>
      </c>
      <c r="L73" s="676">
        <f>SUMIFS(SPACE!P$3:P$106,SPACE!$A$3:$A$106,$D$1,SPACE!$C$3:$C$106,$A73)</f>
        <v>0</v>
      </c>
      <c r="M73" s="676">
        <f>SUMIFS(SPACE!Q$3:Q$106,SPACE!$A$3:$A$106,$D$1,SPACE!$C$3:$C$106,$A73)</f>
        <v>0</v>
      </c>
      <c r="N73" s="676">
        <f>SUMIFS(SPACE!R$3:R$106,SPACE!$A$3:$A$106,$D$1,SPACE!$C$3:$C$106,$A73)</f>
        <v>0</v>
      </c>
      <c r="O73" s="676">
        <f>SUMIFS(SPACE!S$3:S$106,SPACE!$A$3:$A$106,$D$1,SPACE!$C$3:$C$106,$A73)</f>
        <v>0</v>
      </c>
      <c r="P73" s="676">
        <f>SUMIFS(SPACE!T$3:T$106,SPACE!$A$3:$A$106,$D$1,SPACE!$C$3:$C$106,$A73)</f>
        <v>0</v>
      </c>
      <c r="Q73" s="676">
        <f>SUMIFS(SPACE!U$3:U$106,SPACE!$A$3:$A$106,$D$1,SPACE!$C$3:$C$106,$A73)</f>
        <v>0</v>
      </c>
      <c r="R73" s="676">
        <f>SUMIFS(SPACE!V$3:V$106,SPACE!$A$3:$A$106,$D$1,SPACE!$C$3:$C$106,$A73)</f>
        <v>0</v>
      </c>
      <c r="S73" s="676">
        <f>SUMIFS(SPACE!W$3:W$106,SPACE!$A$3:$A$106,$D$1,SPACE!$C$3:$C$106,$A73)</f>
        <v>0</v>
      </c>
      <c r="T73" s="676">
        <f>SUMIFS(SPACE!X$3:X$106,SPACE!$A$3:$A$106,$D$1,SPACE!$C$3:$C$106,$A73)</f>
        <v>0</v>
      </c>
      <c r="U73" s="676">
        <f>SUMIFS(SPACE!Y$3:Y$106,SPACE!$A$3:$A$106,$D$1,SPACE!$C$3:$C$106,$A73)</f>
        <v>0</v>
      </c>
      <c r="V73" s="676">
        <f>SUMIFS(SPACE!Z$3:Z$106,SPACE!$A$3:$A$106,$D$1,SPACE!$C$3:$C$106,$A73)</f>
        <v>0</v>
      </c>
      <c r="W73" s="676">
        <f t="shared" si="24"/>
        <v>0</v>
      </c>
      <c r="Y73" s="688">
        <f>IFERROR(VLOOKUP($A73,'[95]1月'!$A:$H,8,0),0)</f>
        <v>0</v>
      </c>
      <c r="Z73" s="688">
        <f>IFERROR(VLOOKUP($A73,'[95]2月'!$A:$H,8,0),0)</f>
        <v>0</v>
      </c>
      <c r="AA73" s="688">
        <f>IFERROR(VLOOKUP($A73,'[95]3月'!$A:$H,8,0),0)</f>
        <v>0</v>
      </c>
      <c r="AB73" s="688">
        <f>IFERROR(VLOOKUP($A73,'[95]4月'!$A:$H,8,0),0)</f>
        <v>0</v>
      </c>
      <c r="AC73" s="688">
        <f>IFERROR(VLOOKUP($A73,'[95]5月'!$A:$H,8,0),0)</f>
        <v>0</v>
      </c>
      <c r="AD73" s="688">
        <f>IFERROR(VLOOKUP($A73,'[95]6月'!$A:$H,8,0),0)</f>
        <v>0</v>
      </c>
      <c r="AE73" s="688">
        <f>IFERROR(VLOOKUP($A73,'[95]7月'!$A:$H,8,0),0)</f>
        <v>0</v>
      </c>
      <c r="AF73" s="688">
        <f>IFERROR(VLOOKUP($A73,'[95]8月'!$A:$H,8,0),0)</f>
        <v>0</v>
      </c>
      <c r="AG73" s="688">
        <f>IFERROR(VLOOKUP($A73,'[95]9月'!$A:$H,8,0),0)</f>
        <v>0</v>
      </c>
      <c r="AH73" s="688">
        <f>IFERROR(VLOOKUP($A73,'[95]10月'!$A:$H,8,0),0)</f>
        <v>0</v>
      </c>
      <c r="AI73" s="688">
        <f>IFERROR(VLOOKUP($A73,'[95]11月'!$A:$H,8,0),0)</f>
        <v>0</v>
      </c>
      <c r="AJ73" s="688">
        <f>IFERROR(VLOOKUP($A73,'[95]12月'!$A:$H,8,0),0)</f>
        <v>0</v>
      </c>
      <c r="AK73" s="688">
        <f t="shared" si="38"/>
        <v>0</v>
      </c>
    </row>
    <row r="74" spans="1:37" ht="11.1" customHeight="1">
      <c r="A74" s="653" t="str">
        <f>'Budget-合并'!A74</f>
        <v>6602.05.99</v>
      </c>
      <c r="B74" s="653" t="str">
        <f>'Budget-合并'!B74</f>
        <v>其他</v>
      </c>
      <c r="C74" s="687">
        <f>'Budget-合并'!C74</f>
        <v>0</v>
      </c>
      <c r="D74" s="676">
        <f t="shared" si="31"/>
        <v>0</v>
      </c>
      <c r="E74" s="676" t="e">
        <f t="shared" si="32"/>
        <v>#N/A</v>
      </c>
      <c r="F74" s="676" t="e">
        <f t="shared" si="33"/>
        <v>#N/A</v>
      </c>
      <c r="G74" s="676">
        <f t="shared" ca="1" si="34"/>
        <v>0</v>
      </c>
      <c r="H74" s="676" t="e">
        <f t="shared" ca="1" si="35"/>
        <v>#N/A</v>
      </c>
      <c r="I74" s="676" t="e">
        <f t="shared" ca="1" si="36"/>
        <v>#N/A</v>
      </c>
      <c r="K74" s="676">
        <f>SUMIFS(SPACE!O$3:O$106,SPACE!$A$3:$A$106,$D$1,SPACE!$C$3:$C$106,$A74)</f>
        <v>0</v>
      </c>
      <c r="L74" s="676">
        <f>SUMIFS(SPACE!P$3:P$106,SPACE!$A$3:$A$106,$D$1,SPACE!$C$3:$C$106,$A74)</f>
        <v>0</v>
      </c>
      <c r="M74" s="676">
        <f>SUMIFS(SPACE!Q$3:Q$106,SPACE!$A$3:$A$106,$D$1,SPACE!$C$3:$C$106,$A74)</f>
        <v>0</v>
      </c>
      <c r="N74" s="676">
        <f>SUMIFS(SPACE!R$3:R$106,SPACE!$A$3:$A$106,$D$1,SPACE!$C$3:$C$106,$A74)</f>
        <v>0</v>
      </c>
      <c r="O74" s="676">
        <f>SUMIFS(SPACE!S$3:S$106,SPACE!$A$3:$A$106,$D$1,SPACE!$C$3:$C$106,$A74)</f>
        <v>0</v>
      </c>
      <c r="P74" s="676">
        <f>SUMIFS(SPACE!T$3:T$106,SPACE!$A$3:$A$106,$D$1,SPACE!$C$3:$C$106,$A74)</f>
        <v>0</v>
      </c>
      <c r="Q74" s="676">
        <f>SUMIFS(SPACE!U$3:U$106,SPACE!$A$3:$A$106,$D$1,SPACE!$C$3:$C$106,$A74)</f>
        <v>0</v>
      </c>
      <c r="R74" s="676">
        <f>SUMIFS(SPACE!V$3:V$106,SPACE!$A$3:$A$106,$D$1,SPACE!$C$3:$C$106,$A74)</f>
        <v>0</v>
      </c>
      <c r="S74" s="676">
        <f>SUMIFS(SPACE!W$3:W$106,SPACE!$A$3:$A$106,$D$1,SPACE!$C$3:$C$106,$A74)</f>
        <v>0</v>
      </c>
      <c r="T74" s="676">
        <f>SUMIFS(SPACE!X$3:X$106,SPACE!$A$3:$A$106,$D$1,SPACE!$C$3:$C$106,$A74)</f>
        <v>0</v>
      </c>
      <c r="U74" s="676">
        <f>SUMIFS(SPACE!Y$3:Y$106,SPACE!$A$3:$A$106,$D$1,SPACE!$C$3:$C$106,$A74)</f>
        <v>0</v>
      </c>
      <c r="V74" s="676">
        <f>SUMIFS(SPACE!Z$3:Z$106,SPACE!$A$3:$A$106,$D$1,SPACE!$C$3:$C$106,$A74)</f>
        <v>0</v>
      </c>
      <c r="W74" s="676">
        <f t="shared" si="24"/>
        <v>0</v>
      </c>
      <c r="Y74" s="688">
        <f>IFERROR(VLOOKUP($A74,'[95]1月'!$A:$H,8,0),0)</f>
        <v>0</v>
      </c>
      <c r="Z74" s="688">
        <f>IFERROR(VLOOKUP($A74,'[95]2月'!$A:$H,8,0),0)</f>
        <v>0</v>
      </c>
      <c r="AA74" s="688">
        <f>IFERROR(VLOOKUP($A74,'[95]3月'!$A:$H,8,0),0)</f>
        <v>0</v>
      </c>
      <c r="AB74" s="688">
        <f>IFERROR(VLOOKUP($A74,'[95]4月'!$A:$H,8,0),0)</f>
        <v>0</v>
      </c>
      <c r="AC74" s="688">
        <f>IFERROR(VLOOKUP($A74,'[95]5月'!$A:$H,8,0),0)</f>
        <v>0</v>
      </c>
      <c r="AD74" s="688">
        <f>IFERROR(VLOOKUP($A74,'[95]6月'!$A:$H,8,0),0)</f>
        <v>0</v>
      </c>
      <c r="AE74" s="688">
        <f>IFERROR(VLOOKUP($A74,'[95]7月'!$A:$H,8,0),0)</f>
        <v>0</v>
      </c>
      <c r="AF74" s="688">
        <f>IFERROR(VLOOKUP($A74,'[95]8月'!$A:$H,8,0),0)</f>
        <v>0</v>
      </c>
      <c r="AG74" s="688">
        <f>IFERROR(VLOOKUP($A74,'[95]9月'!$A:$H,8,0),0)</f>
        <v>0</v>
      </c>
      <c r="AH74" s="688">
        <f>IFERROR(VLOOKUP($A74,'[95]10月'!$A:$H,8,0),0)</f>
        <v>0</v>
      </c>
      <c r="AI74" s="688">
        <f>IFERROR(VLOOKUP($A74,'[95]11月'!$A:$H,8,0),0)</f>
        <v>0</v>
      </c>
      <c r="AJ74" s="688">
        <f>IFERROR(VLOOKUP($A74,'[95]12月'!$A:$H,8,0),0)</f>
        <v>0</v>
      </c>
      <c r="AK74" s="688">
        <f t="shared" si="38"/>
        <v>0</v>
      </c>
    </row>
    <row r="75" spans="1:37" ht="11.1" customHeight="1">
      <c r="A75" s="663" t="str">
        <f>'Budget-合并'!A75</f>
        <v>6602.06</v>
      </c>
      <c r="B75" s="663" t="str">
        <f>'Budget-合并'!B75</f>
        <v>业务招待费</v>
      </c>
      <c r="C75" s="687" t="str">
        <f>'Budget-合并'!C75</f>
        <v>Client Entertainment</v>
      </c>
      <c r="D75" s="676">
        <f t="shared" si="31"/>
        <v>0</v>
      </c>
      <c r="E75" s="676" t="e">
        <f t="shared" si="32"/>
        <v>#N/A</v>
      </c>
      <c r="F75" s="676" t="e">
        <f t="shared" si="33"/>
        <v>#N/A</v>
      </c>
      <c r="G75" s="676">
        <f t="shared" ca="1" si="34"/>
        <v>0</v>
      </c>
      <c r="H75" s="676" t="e">
        <f t="shared" ca="1" si="35"/>
        <v>#N/A</v>
      </c>
      <c r="I75" s="676" t="e">
        <f t="shared" ca="1" si="36"/>
        <v>#N/A</v>
      </c>
      <c r="K75" s="676">
        <f t="shared" ref="K75:V75" si="41">SUM(K76:K78)</f>
        <v>0</v>
      </c>
      <c r="L75" s="676">
        <f t="shared" si="41"/>
        <v>0</v>
      </c>
      <c r="M75" s="676">
        <f t="shared" si="41"/>
        <v>0</v>
      </c>
      <c r="N75" s="676">
        <f t="shared" si="41"/>
        <v>0</v>
      </c>
      <c r="O75" s="676">
        <f t="shared" si="41"/>
        <v>0</v>
      </c>
      <c r="P75" s="676">
        <f t="shared" si="41"/>
        <v>0</v>
      </c>
      <c r="Q75" s="676">
        <f t="shared" si="41"/>
        <v>0</v>
      </c>
      <c r="R75" s="676">
        <f t="shared" si="41"/>
        <v>0</v>
      </c>
      <c r="S75" s="676">
        <f t="shared" si="41"/>
        <v>0</v>
      </c>
      <c r="T75" s="676">
        <f t="shared" si="41"/>
        <v>0</v>
      </c>
      <c r="U75" s="676">
        <f t="shared" si="41"/>
        <v>0</v>
      </c>
      <c r="V75" s="676">
        <f t="shared" si="41"/>
        <v>0</v>
      </c>
      <c r="W75" s="676">
        <f t="shared" si="24"/>
        <v>0</v>
      </c>
      <c r="Y75" s="688">
        <f>IFERROR(VLOOKUP($A75,'[95]1月'!$A:$H,8,0),0)</f>
        <v>0</v>
      </c>
      <c r="Z75" s="688">
        <f>IFERROR(VLOOKUP($A75,'[95]2月'!$A:$H,8,0),0)</f>
        <v>0</v>
      </c>
      <c r="AA75" s="688">
        <f>IFERROR(VLOOKUP($A75,'[95]3月'!$A:$H,8,0),0)</f>
        <v>0</v>
      </c>
      <c r="AB75" s="688">
        <f>IFERROR(VLOOKUP($A75,'[95]4月'!$A:$H,8,0),0)</f>
        <v>0</v>
      </c>
      <c r="AC75" s="688">
        <f>IFERROR(VLOOKUP($A75,'[95]5月'!$A:$H,8,0),0)</f>
        <v>0</v>
      </c>
      <c r="AD75" s="688">
        <f>IFERROR(VLOOKUP($A75,'[95]6月'!$A:$H,8,0),0)</f>
        <v>0</v>
      </c>
      <c r="AE75" s="688">
        <f>IFERROR(VLOOKUP($A75,'[95]7月'!$A:$H,8,0),0)</f>
        <v>0</v>
      </c>
      <c r="AF75" s="688">
        <f>IFERROR(VLOOKUP($A75,'[95]8月'!$A:$H,8,0),0)</f>
        <v>0</v>
      </c>
      <c r="AG75" s="688">
        <f>IFERROR(VLOOKUP($A75,'[95]9月'!$A:$H,8,0),0)</f>
        <v>0</v>
      </c>
      <c r="AH75" s="688">
        <f>IFERROR(VLOOKUP($A75,'[95]10月'!$A:$H,8,0),0)</f>
        <v>0</v>
      </c>
      <c r="AI75" s="688">
        <f>IFERROR(VLOOKUP($A75,'[95]11月'!$A:$H,8,0),0)</f>
        <v>0</v>
      </c>
      <c r="AJ75" s="688">
        <f>IFERROR(VLOOKUP($A75,'[95]12月'!$A:$H,8,0),0)</f>
        <v>0</v>
      </c>
      <c r="AK75" s="688">
        <f t="shared" si="38"/>
        <v>0</v>
      </c>
    </row>
    <row r="76" spans="1:37" ht="11.1" customHeight="1">
      <c r="A76" s="653">
        <f>'Budget-合并'!A76</f>
        <v>0</v>
      </c>
      <c r="B76" s="653" t="str">
        <f>'Budget-合并'!B76</f>
        <v xml:space="preserve">    公司主体02</v>
      </c>
      <c r="C76" s="687" t="str">
        <f>'Budget-合并'!C76</f>
        <v xml:space="preserve">   Entity</v>
      </c>
      <c r="D76" s="676">
        <f t="shared" si="31"/>
        <v>0</v>
      </c>
      <c r="E76" s="676" t="e">
        <f t="shared" si="32"/>
        <v>#N/A</v>
      </c>
      <c r="F76" s="676" t="e">
        <f t="shared" si="33"/>
        <v>#N/A</v>
      </c>
      <c r="G76" s="676">
        <f t="shared" ca="1" si="34"/>
        <v>0</v>
      </c>
      <c r="H76" s="676" t="e">
        <f t="shared" ca="1" si="35"/>
        <v>#N/A</v>
      </c>
      <c r="I76" s="676" t="e">
        <f t="shared" ca="1" si="36"/>
        <v>#N/A</v>
      </c>
      <c r="K76" s="676"/>
      <c r="L76" s="676"/>
      <c r="M76" s="676"/>
      <c r="N76" s="676"/>
      <c r="O76" s="676"/>
      <c r="P76" s="676"/>
      <c r="Q76" s="676"/>
      <c r="R76" s="676"/>
      <c r="S76" s="676"/>
      <c r="T76" s="676"/>
      <c r="U76" s="676"/>
      <c r="V76" s="676"/>
      <c r="W76" s="676">
        <f t="shared" si="24"/>
        <v>0</v>
      </c>
      <c r="Y76" s="688">
        <f>IFERROR(VLOOKUP($A76,'[95]1月'!$A:$H,8,0),0)</f>
        <v>0</v>
      </c>
      <c r="Z76" s="688">
        <f>IFERROR(VLOOKUP($A76,'[95]2月'!$A:$H,8,0),0)</f>
        <v>0</v>
      </c>
      <c r="AA76" s="688">
        <f>IFERROR(VLOOKUP($A76,'[95]3月'!$A:$H,8,0),0)</f>
        <v>0</v>
      </c>
      <c r="AB76" s="688">
        <f>IFERROR(VLOOKUP($A76,'[95]4月'!$A:$H,8,0),0)</f>
        <v>0</v>
      </c>
      <c r="AC76" s="688">
        <f>IFERROR(VLOOKUP($A76,'[95]5月'!$A:$H,8,0),0)</f>
        <v>0</v>
      </c>
      <c r="AD76" s="688">
        <f>IFERROR(VLOOKUP($A76,'[95]6月'!$A:$H,8,0),0)</f>
        <v>0</v>
      </c>
      <c r="AE76" s="688">
        <f>IFERROR(VLOOKUP($A76,'[95]7月'!$A:$H,8,0),0)</f>
        <v>0</v>
      </c>
      <c r="AF76" s="688">
        <f>IFERROR(VLOOKUP($A76,'[95]8月'!$A:$H,8,0),0)</f>
        <v>0</v>
      </c>
      <c r="AG76" s="688">
        <f>IFERROR(VLOOKUP($A76,'[95]9月'!$A:$H,8,0),0)</f>
        <v>0</v>
      </c>
      <c r="AH76" s="688">
        <f>IFERROR(VLOOKUP($A76,'[95]10月'!$A:$H,8,0),0)</f>
        <v>0</v>
      </c>
      <c r="AI76" s="688">
        <f>IFERROR(VLOOKUP($A76,'[95]11月'!$A:$H,8,0),0)</f>
        <v>0</v>
      </c>
      <c r="AJ76" s="688">
        <f>IFERROR(VLOOKUP($A76,'[95]12月'!$A:$H,8,0),0)</f>
        <v>0</v>
      </c>
      <c r="AK76" s="688">
        <f t="shared" si="38"/>
        <v>0</v>
      </c>
    </row>
    <row r="77" spans="1:37" ht="11.1" customHeight="1">
      <c r="A77" s="653">
        <f>'Budget-合并'!A77</f>
        <v>0</v>
      </c>
      <c r="B77" s="653" t="str">
        <f>'Budget-合并'!B77</f>
        <v xml:space="preserve">    旭智富能02</v>
      </c>
      <c r="C77" s="687" t="str">
        <f>'Budget-合并'!C77</f>
        <v xml:space="preserve">   Foxpower</v>
      </c>
      <c r="D77" s="676">
        <f t="shared" si="31"/>
        <v>0</v>
      </c>
      <c r="E77" s="676" t="e">
        <f t="shared" si="32"/>
        <v>#N/A</v>
      </c>
      <c r="F77" s="676" t="e">
        <f t="shared" si="33"/>
        <v>#N/A</v>
      </c>
      <c r="G77" s="676">
        <f t="shared" ca="1" si="34"/>
        <v>0</v>
      </c>
      <c r="H77" s="676" t="e">
        <f t="shared" ca="1" si="35"/>
        <v>#N/A</v>
      </c>
      <c r="I77" s="676" t="e">
        <f t="shared" ca="1" si="36"/>
        <v>#N/A</v>
      </c>
      <c r="K77" s="676"/>
      <c r="L77" s="676"/>
      <c r="M77" s="676"/>
      <c r="N77" s="676"/>
      <c r="O77" s="676"/>
      <c r="P77" s="676"/>
      <c r="Q77" s="676"/>
      <c r="R77" s="676"/>
      <c r="S77" s="676"/>
      <c r="T77" s="676"/>
      <c r="U77" s="676"/>
      <c r="V77" s="676"/>
      <c r="W77" s="676">
        <f t="shared" si="24"/>
        <v>0</v>
      </c>
      <c r="Y77" s="688">
        <f>IFERROR(VLOOKUP($A77,'[95]1月'!$A:$H,8,0),0)</f>
        <v>0</v>
      </c>
      <c r="Z77" s="688">
        <f>IFERROR(VLOOKUP($A77,'[95]2月'!$A:$H,8,0),0)</f>
        <v>0</v>
      </c>
      <c r="AA77" s="688">
        <f>IFERROR(VLOOKUP($A77,'[95]3月'!$A:$H,8,0),0)</f>
        <v>0</v>
      </c>
      <c r="AB77" s="688">
        <f>IFERROR(VLOOKUP($A77,'[95]4月'!$A:$H,8,0),0)</f>
        <v>0</v>
      </c>
      <c r="AC77" s="688">
        <f>IFERROR(VLOOKUP($A77,'[95]5月'!$A:$H,8,0),0)</f>
        <v>0</v>
      </c>
      <c r="AD77" s="688">
        <f>IFERROR(VLOOKUP($A77,'[95]6月'!$A:$H,8,0),0)</f>
        <v>0</v>
      </c>
      <c r="AE77" s="688">
        <f>IFERROR(VLOOKUP($A77,'[95]7月'!$A:$H,8,0),0)</f>
        <v>0</v>
      </c>
      <c r="AF77" s="688">
        <f>IFERROR(VLOOKUP($A77,'[95]8月'!$A:$H,8,0),0)</f>
        <v>0</v>
      </c>
      <c r="AG77" s="688">
        <f>IFERROR(VLOOKUP($A77,'[95]9月'!$A:$H,8,0),0)</f>
        <v>0</v>
      </c>
      <c r="AH77" s="688">
        <f>IFERROR(VLOOKUP($A77,'[95]10月'!$A:$H,8,0),0)</f>
        <v>0</v>
      </c>
      <c r="AI77" s="688">
        <f>IFERROR(VLOOKUP($A77,'[95]11月'!$A:$H,8,0),0)</f>
        <v>0</v>
      </c>
      <c r="AJ77" s="688">
        <f>IFERROR(VLOOKUP($A77,'[95]12月'!$A:$H,8,0),0)</f>
        <v>0</v>
      </c>
      <c r="AK77" s="688">
        <f t="shared" si="38"/>
        <v>0</v>
      </c>
    </row>
    <row r="78" spans="1:37" ht="11.1" customHeight="1">
      <c r="A78" s="653">
        <f>'Budget-合并'!A78</f>
        <v>0</v>
      </c>
      <c r="B78" s="653" t="str">
        <f>'Budget-合并'!B78</f>
        <v xml:space="preserve">    其他项目02</v>
      </c>
      <c r="C78" s="687" t="str">
        <f>'Budget-合并'!C78</f>
        <v xml:space="preserve">   Other project</v>
      </c>
      <c r="D78" s="676">
        <f t="shared" si="31"/>
        <v>0</v>
      </c>
      <c r="E78" s="676" t="e">
        <f t="shared" si="32"/>
        <v>#N/A</v>
      </c>
      <c r="F78" s="676" t="e">
        <f t="shared" si="33"/>
        <v>#N/A</v>
      </c>
      <c r="G78" s="676">
        <f t="shared" ca="1" si="34"/>
        <v>0</v>
      </c>
      <c r="H78" s="676" t="e">
        <f t="shared" ca="1" si="35"/>
        <v>#N/A</v>
      </c>
      <c r="I78" s="676" t="e">
        <f t="shared" ca="1" si="36"/>
        <v>#N/A</v>
      </c>
      <c r="K78" s="676"/>
      <c r="L78" s="676"/>
      <c r="M78" s="676"/>
      <c r="N78" s="676"/>
      <c r="O78" s="676"/>
      <c r="P78" s="676"/>
      <c r="Q78" s="676"/>
      <c r="R78" s="676"/>
      <c r="S78" s="676"/>
      <c r="T78" s="676"/>
      <c r="U78" s="676"/>
      <c r="V78" s="676"/>
      <c r="W78" s="676">
        <f t="shared" si="24"/>
        <v>0</v>
      </c>
      <c r="Y78" s="688">
        <f>IFERROR(VLOOKUP($A78,'[95]1月'!$A:$H,8,0),0)</f>
        <v>0</v>
      </c>
      <c r="Z78" s="688">
        <f>IFERROR(VLOOKUP($A78,'[95]2月'!$A:$H,8,0),0)</f>
        <v>0</v>
      </c>
      <c r="AA78" s="688">
        <f>IFERROR(VLOOKUP($A78,'[95]3月'!$A:$H,8,0),0)</f>
        <v>0</v>
      </c>
      <c r="AB78" s="688">
        <f>IFERROR(VLOOKUP($A78,'[95]4月'!$A:$H,8,0),0)</f>
        <v>0</v>
      </c>
      <c r="AC78" s="688">
        <f>IFERROR(VLOOKUP($A78,'[95]5月'!$A:$H,8,0),0)</f>
        <v>0</v>
      </c>
      <c r="AD78" s="688">
        <f>IFERROR(VLOOKUP($A78,'[95]6月'!$A:$H,8,0),0)</f>
        <v>0</v>
      </c>
      <c r="AE78" s="688">
        <f>IFERROR(VLOOKUP($A78,'[95]7月'!$A:$H,8,0),0)</f>
        <v>0</v>
      </c>
      <c r="AF78" s="688">
        <f>IFERROR(VLOOKUP($A78,'[95]8月'!$A:$H,8,0),0)</f>
        <v>0</v>
      </c>
      <c r="AG78" s="688">
        <f>IFERROR(VLOOKUP($A78,'[95]9月'!$A:$H,8,0),0)</f>
        <v>0</v>
      </c>
      <c r="AH78" s="688">
        <f>IFERROR(VLOOKUP($A78,'[95]10月'!$A:$H,8,0),0)</f>
        <v>0</v>
      </c>
      <c r="AI78" s="688">
        <f>IFERROR(VLOOKUP($A78,'[95]11月'!$A:$H,8,0),0)</f>
        <v>0</v>
      </c>
      <c r="AJ78" s="688">
        <f>IFERROR(VLOOKUP($A78,'[95]12月'!$A:$H,8,0),0)</f>
        <v>0</v>
      </c>
      <c r="AK78" s="688">
        <f t="shared" si="38"/>
        <v>0</v>
      </c>
    </row>
    <row r="79" spans="1:37" ht="11.1" customHeight="1">
      <c r="A79" s="653" t="str">
        <f>'Budget-合并'!A79</f>
        <v>6602.07</v>
      </c>
      <c r="B79" s="653" t="str">
        <f>'Budget-合并'!B79</f>
        <v>广告费和业务宣传费</v>
      </c>
      <c r="C79" s="687">
        <f>'Budget-合并'!C79</f>
        <v>0</v>
      </c>
      <c r="D79" s="676">
        <f t="shared" si="31"/>
        <v>0</v>
      </c>
      <c r="E79" s="676" t="e">
        <f t="shared" si="32"/>
        <v>#N/A</v>
      </c>
      <c r="F79" s="676" t="e">
        <f t="shared" si="33"/>
        <v>#N/A</v>
      </c>
      <c r="G79" s="676">
        <f t="shared" ca="1" si="34"/>
        <v>0</v>
      </c>
      <c r="H79" s="676" t="e">
        <f t="shared" ca="1" si="35"/>
        <v>#N/A</v>
      </c>
      <c r="I79" s="676" t="e">
        <f t="shared" ca="1" si="36"/>
        <v>#N/A</v>
      </c>
      <c r="K79" s="676"/>
      <c r="L79" s="676"/>
      <c r="M79" s="676"/>
      <c r="N79" s="676"/>
      <c r="O79" s="676"/>
      <c r="P79" s="676"/>
      <c r="Q79" s="676"/>
      <c r="R79" s="676"/>
      <c r="S79" s="676"/>
      <c r="T79" s="676"/>
      <c r="U79" s="676"/>
      <c r="V79" s="676"/>
      <c r="W79" s="676">
        <f t="shared" si="24"/>
        <v>0</v>
      </c>
      <c r="Y79" s="688">
        <f>IFERROR(VLOOKUP($A79,'[95]1月'!$A:$H,8,0),0)</f>
        <v>0</v>
      </c>
      <c r="Z79" s="688">
        <f>IFERROR(VLOOKUP($A79,'[95]2月'!$A:$H,8,0),0)</f>
        <v>0</v>
      </c>
      <c r="AA79" s="688">
        <f>IFERROR(VLOOKUP($A79,'[95]3月'!$A:$H,8,0),0)</f>
        <v>0</v>
      </c>
      <c r="AB79" s="688">
        <f>IFERROR(VLOOKUP($A79,'[95]4月'!$A:$H,8,0),0)</f>
        <v>0</v>
      </c>
      <c r="AC79" s="688">
        <f>IFERROR(VLOOKUP($A79,'[95]5月'!$A:$H,8,0),0)</f>
        <v>0</v>
      </c>
      <c r="AD79" s="688">
        <f>IFERROR(VLOOKUP($A79,'[95]6月'!$A:$H,8,0),0)</f>
        <v>0</v>
      </c>
      <c r="AE79" s="688">
        <f>IFERROR(VLOOKUP($A79,'[95]7月'!$A:$H,8,0),0)</f>
        <v>0</v>
      </c>
      <c r="AF79" s="688">
        <f>IFERROR(VLOOKUP($A79,'[95]8月'!$A:$H,8,0),0)</f>
        <v>0</v>
      </c>
      <c r="AG79" s="688">
        <f>IFERROR(VLOOKUP($A79,'[95]9月'!$A:$H,8,0),0)</f>
        <v>0</v>
      </c>
      <c r="AH79" s="688">
        <f>IFERROR(VLOOKUP($A79,'[95]10月'!$A:$H,8,0),0)</f>
        <v>0</v>
      </c>
      <c r="AI79" s="688">
        <f>IFERROR(VLOOKUP($A79,'[95]11月'!$A:$H,8,0),0)</f>
        <v>0</v>
      </c>
      <c r="AJ79" s="688">
        <f>IFERROR(VLOOKUP($A79,'[95]12月'!$A:$H,8,0),0)</f>
        <v>0</v>
      </c>
      <c r="AK79" s="688">
        <f t="shared" si="38"/>
        <v>0</v>
      </c>
    </row>
    <row r="80" spans="1:37" ht="11.1" customHeight="1">
      <c r="A80" s="663" t="str">
        <f>'Budget-合并'!A80</f>
        <v>6602.08</v>
      </c>
      <c r="B80" s="663" t="str">
        <f>'Budget-合并'!B80</f>
        <v>事务费用</v>
      </c>
      <c r="C80" s="687">
        <f>'Budget-合并'!C80</f>
        <v>0</v>
      </c>
      <c r="D80" s="676">
        <f t="shared" si="31"/>
        <v>0</v>
      </c>
      <c r="E80" s="676" t="e">
        <f t="shared" si="32"/>
        <v>#N/A</v>
      </c>
      <c r="F80" s="676" t="e">
        <f t="shared" si="33"/>
        <v>#N/A</v>
      </c>
      <c r="G80" s="676">
        <f t="shared" ca="1" si="34"/>
        <v>0</v>
      </c>
      <c r="H80" s="676" t="e">
        <f t="shared" ca="1" si="35"/>
        <v>#N/A</v>
      </c>
      <c r="I80" s="676" t="e">
        <f t="shared" ca="1" si="36"/>
        <v>#N/A</v>
      </c>
      <c r="K80" s="676">
        <f t="shared" ref="K80:V80" si="42">SUM(K81:K91)</f>
        <v>0</v>
      </c>
      <c r="L80" s="676">
        <f t="shared" si="42"/>
        <v>0</v>
      </c>
      <c r="M80" s="676">
        <f t="shared" si="42"/>
        <v>0</v>
      </c>
      <c r="N80" s="676">
        <f t="shared" si="42"/>
        <v>0</v>
      </c>
      <c r="O80" s="676">
        <f t="shared" si="42"/>
        <v>0</v>
      </c>
      <c r="P80" s="676">
        <f t="shared" si="42"/>
        <v>0</v>
      </c>
      <c r="Q80" s="676">
        <f t="shared" si="42"/>
        <v>0</v>
      </c>
      <c r="R80" s="676">
        <f t="shared" si="42"/>
        <v>0</v>
      </c>
      <c r="S80" s="676">
        <f t="shared" si="42"/>
        <v>0</v>
      </c>
      <c r="T80" s="676">
        <f t="shared" si="42"/>
        <v>0</v>
      </c>
      <c r="U80" s="676">
        <f t="shared" si="42"/>
        <v>0</v>
      </c>
      <c r="V80" s="676">
        <f t="shared" si="42"/>
        <v>0</v>
      </c>
      <c r="W80" s="676">
        <f t="shared" si="24"/>
        <v>0</v>
      </c>
      <c r="Y80" s="688">
        <f>IFERROR(VLOOKUP($A80,'[95]1月'!$A:$H,8,0),0)</f>
        <v>0</v>
      </c>
      <c r="Z80" s="688">
        <f>IFERROR(VLOOKUP($A80,'[95]2月'!$A:$H,8,0),0)</f>
        <v>7</v>
      </c>
      <c r="AA80" s="688">
        <f>IFERROR(VLOOKUP($A80,'[95]3月'!$A:$H,8,0),0)</f>
        <v>0</v>
      </c>
      <c r="AB80" s="688">
        <f>IFERROR(VLOOKUP($A80,'[95]4月'!$A:$H,8,0),0)</f>
        <v>0</v>
      </c>
      <c r="AC80" s="688">
        <f>IFERROR(VLOOKUP($A80,'[95]5月'!$A:$H,8,0),0)</f>
        <v>28.3</v>
      </c>
      <c r="AD80" s="688">
        <f>IFERROR(VLOOKUP($A80,'[95]6月'!$A:$H,8,0),0)</f>
        <v>0</v>
      </c>
      <c r="AE80" s="688">
        <f>IFERROR(VLOOKUP($A80,'[95]7月'!$A:$H,8,0),0)</f>
        <v>0</v>
      </c>
      <c r="AF80" s="688">
        <f>IFERROR(VLOOKUP($A80,'[95]8月'!$A:$H,8,0),0)</f>
        <v>0</v>
      </c>
      <c r="AG80" s="688">
        <f>IFERROR(VLOOKUP($A80,'[95]9月'!$A:$H,8,0),0)</f>
        <v>0</v>
      </c>
      <c r="AH80" s="688">
        <f>IFERROR(VLOOKUP($A80,'[95]10月'!$A:$H,8,0),0)</f>
        <v>0</v>
      </c>
      <c r="AI80" s="688">
        <f>IFERROR(VLOOKUP($A80,'[95]11月'!$A:$H,8,0),0)</f>
        <v>0</v>
      </c>
      <c r="AJ80" s="688">
        <f>IFERROR(VLOOKUP($A80,'[95]12月'!$A:$H,8,0),0)</f>
        <v>0</v>
      </c>
      <c r="AK80" s="688">
        <f t="shared" si="38"/>
        <v>35.299999999999997</v>
      </c>
    </row>
    <row r="81" spans="1:37" ht="11.1" customHeight="1">
      <c r="A81" s="653" t="str">
        <f>'Budget-合并'!A81</f>
        <v>6602.08.01</v>
      </c>
      <c r="B81" s="653" t="str">
        <f>'Budget-合并'!B81</f>
        <v>通信费</v>
      </c>
      <c r="C81" s="687" t="str">
        <f>'Budget-合并'!C81</f>
        <v>Telephone Monthly/Base Charge</v>
      </c>
      <c r="D81" s="676">
        <f t="shared" si="31"/>
        <v>0</v>
      </c>
      <c r="E81" s="676" t="e">
        <f t="shared" si="32"/>
        <v>#N/A</v>
      </c>
      <c r="F81" s="676" t="e">
        <f t="shared" si="33"/>
        <v>#N/A</v>
      </c>
      <c r="G81" s="676">
        <f t="shared" ca="1" si="34"/>
        <v>0</v>
      </c>
      <c r="H81" s="676" t="e">
        <f t="shared" ca="1" si="35"/>
        <v>#N/A</v>
      </c>
      <c r="I81" s="676" t="e">
        <f t="shared" ca="1" si="36"/>
        <v>#N/A</v>
      </c>
      <c r="K81" s="676">
        <f>SUMIFS(SPACE!O$3:O$106,SPACE!$A$3:$A$106,$D$1,SPACE!$C$3:$C$106,$A81)</f>
        <v>0</v>
      </c>
      <c r="L81" s="676">
        <f>SUMIFS(SPACE!P$3:P$106,SPACE!$A$3:$A$106,$D$1,SPACE!$C$3:$C$106,$A81)</f>
        <v>0</v>
      </c>
      <c r="M81" s="676">
        <f>SUMIFS(SPACE!Q$3:Q$106,SPACE!$A$3:$A$106,$D$1,SPACE!$C$3:$C$106,$A81)</f>
        <v>0</v>
      </c>
      <c r="N81" s="676">
        <f>SUMIFS(SPACE!R$3:R$106,SPACE!$A$3:$A$106,$D$1,SPACE!$C$3:$C$106,$A81)</f>
        <v>0</v>
      </c>
      <c r="O81" s="676">
        <f>SUMIFS(SPACE!S$3:S$106,SPACE!$A$3:$A$106,$D$1,SPACE!$C$3:$C$106,$A81)</f>
        <v>0</v>
      </c>
      <c r="P81" s="676">
        <f>SUMIFS(SPACE!T$3:T$106,SPACE!$A$3:$A$106,$D$1,SPACE!$C$3:$C$106,$A81)</f>
        <v>0</v>
      </c>
      <c r="Q81" s="676">
        <f>SUMIFS(SPACE!U$3:U$106,SPACE!$A$3:$A$106,$D$1,SPACE!$C$3:$C$106,$A81)</f>
        <v>0</v>
      </c>
      <c r="R81" s="676">
        <f>SUMIFS(SPACE!V$3:V$106,SPACE!$A$3:$A$106,$D$1,SPACE!$C$3:$C$106,$A81)</f>
        <v>0</v>
      </c>
      <c r="S81" s="676">
        <f>SUMIFS(SPACE!W$3:W$106,SPACE!$A$3:$A$106,$D$1,SPACE!$C$3:$C$106,$A81)</f>
        <v>0</v>
      </c>
      <c r="T81" s="676">
        <f>SUMIFS(SPACE!X$3:X$106,SPACE!$A$3:$A$106,$D$1,SPACE!$C$3:$C$106,$A81)</f>
        <v>0</v>
      </c>
      <c r="U81" s="676">
        <f>SUMIFS(SPACE!Y$3:Y$106,SPACE!$A$3:$A$106,$D$1,SPACE!$C$3:$C$106,$A81)</f>
        <v>0</v>
      </c>
      <c r="V81" s="676">
        <f>SUMIFS(SPACE!Z$3:Z$106,SPACE!$A$3:$A$106,$D$1,SPACE!$C$3:$C$106,$A81)</f>
        <v>0</v>
      </c>
      <c r="W81" s="676">
        <f t="shared" si="24"/>
        <v>0</v>
      </c>
      <c r="Y81" s="688">
        <f>IFERROR(VLOOKUP($A81,'[95]1月'!$A:$H,8,0),0)</f>
        <v>0</v>
      </c>
      <c r="Z81" s="688">
        <f>IFERROR(VLOOKUP($A81,'[95]2月'!$A:$H,8,0),0)</f>
        <v>0</v>
      </c>
      <c r="AA81" s="688">
        <f>IFERROR(VLOOKUP($A81,'[95]3月'!$A:$H,8,0),0)</f>
        <v>0</v>
      </c>
      <c r="AB81" s="688">
        <f>IFERROR(VLOOKUP($A81,'[95]4月'!$A:$H,8,0),0)</f>
        <v>0</v>
      </c>
      <c r="AC81" s="688">
        <f>IFERROR(VLOOKUP($A81,'[95]5月'!$A:$H,8,0),0)</f>
        <v>0</v>
      </c>
      <c r="AD81" s="688">
        <f>IFERROR(VLOOKUP($A81,'[95]6月'!$A:$H,8,0),0)</f>
        <v>0</v>
      </c>
      <c r="AE81" s="688">
        <f>IFERROR(VLOOKUP($A81,'[95]7月'!$A:$H,8,0),0)</f>
        <v>0</v>
      </c>
      <c r="AF81" s="688">
        <f>IFERROR(VLOOKUP($A81,'[95]8月'!$A:$H,8,0),0)</f>
        <v>0</v>
      </c>
      <c r="AG81" s="688">
        <f>IFERROR(VLOOKUP($A81,'[95]9月'!$A:$H,8,0),0)</f>
        <v>0</v>
      </c>
      <c r="AH81" s="688">
        <f>IFERROR(VLOOKUP($A81,'[95]10月'!$A:$H,8,0),0)</f>
        <v>0</v>
      </c>
      <c r="AI81" s="688">
        <f>IFERROR(VLOOKUP($A81,'[95]11月'!$A:$H,8,0),0)</f>
        <v>0</v>
      </c>
      <c r="AJ81" s="688">
        <f>IFERROR(VLOOKUP($A81,'[95]12月'!$A:$H,8,0),0)</f>
        <v>0</v>
      </c>
      <c r="AK81" s="688">
        <f t="shared" si="38"/>
        <v>0</v>
      </c>
    </row>
    <row r="82" spans="1:37" ht="11.1" customHeight="1">
      <c r="A82" s="653" t="str">
        <f>'Budget-合并'!A82</f>
        <v>6602.08.02</v>
      </c>
      <c r="B82" s="653" t="str">
        <f>'Budget-合并'!B82</f>
        <v>电脑软件费</v>
      </c>
      <c r="C82" s="687" t="str">
        <f>'Budget-合并'!C82</f>
        <v xml:space="preserve">PC Software </v>
      </c>
      <c r="D82" s="676">
        <f t="shared" si="31"/>
        <v>0</v>
      </c>
      <c r="E82" s="676" t="e">
        <f t="shared" si="32"/>
        <v>#N/A</v>
      </c>
      <c r="F82" s="676" t="e">
        <f t="shared" si="33"/>
        <v>#N/A</v>
      </c>
      <c r="G82" s="676">
        <f t="shared" ca="1" si="34"/>
        <v>0</v>
      </c>
      <c r="H82" s="676" t="e">
        <f t="shared" ca="1" si="35"/>
        <v>#N/A</v>
      </c>
      <c r="I82" s="676" t="e">
        <f t="shared" ca="1" si="36"/>
        <v>#N/A</v>
      </c>
      <c r="K82" s="676"/>
      <c r="L82" s="676"/>
      <c r="M82" s="676"/>
      <c r="N82" s="676"/>
      <c r="O82" s="676"/>
      <c r="P82" s="676"/>
      <c r="Q82" s="676"/>
      <c r="R82" s="676"/>
      <c r="S82" s="676"/>
      <c r="T82" s="676"/>
      <c r="U82" s="676"/>
      <c r="V82" s="676"/>
      <c r="W82" s="676">
        <f t="shared" si="24"/>
        <v>0</v>
      </c>
      <c r="Y82" s="688">
        <f>IFERROR(VLOOKUP($A82,'[95]1月'!$A:$H,8,0),0)</f>
        <v>0</v>
      </c>
      <c r="Z82" s="688">
        <f>IFERROR(VLOOKUP($A82,'[95]2月'!$A:$H,8,0),0)</f>
        <v>0</v>
      </c>
      <c r="AA82" s="688">
        <f>IFERROR(VLOOKUP($A82,'[95]3月'!$A:$H,8,0),0)</f>
        <v>0</v>
      </c>
      <c r="AB82" s="688">
        <f>IFERROR(VLOOKUP($A82,'[95]4月'!$A:$H,8,0),0)</f>
        <v>0</v>
      </c>
      <c r="AC82" s="688">
        <f>IFERROR(VLOOKUP($A82,'[95]5月'!$A:$H,8,0),0)</f>
        <v>0</v>
      </c>
      <c r="AD82" s="688">
        <f>IFERROR(VLOOKUP($A82,'[95]6月'!$A:$H,8,0),0)</f>
        <v>0</v>
      </c>
      <c r="AE82" s="688">
        <f>IFERROR(VLOOKUP($A82,'[95]7月'!$A:$H,8,0),0)</f>
        <v>0</v>
      </c>
      <c r="AF82" s="688">
        <f>IFERROR(VLOOKUP($A82,'[95]8月'!$A:$H,8,0),0)</f>
        <v>0</v>
      </c>
      <c r="AG82" s="688">
        <f>IFERROR(VLOOKUP($A82,'[95]9月'!$A:$H,8,0),0)</f>
        <v>0</v>
      </c>
      <c r="AH82" s="688">
        <f>IFERROR(VLOOKUP($A82,'[95]10月'!$A:$H,8,0),0)</f>
        <v>0</v>
      </c>
      <c r="AI82" s="688">
        <f>IFERROR(VLOOKUP($A82,'[95]11月'!$A:$H,8,0),0)</f>
        <v>0</v>
      </c>
      <c r="AJ82" s="688">
        <f>IFERROR(VLOOKUP($A82,'[95]12月'!$A:$H,8,0),0)</f>
        <v>0</v>
      </c>
      <c r="AK82" s="688">
        <f t="shared" si="38"/>
        <v>0</v>
      </c>
    </row>
    <row r="83" spans="1:37" ht="12.95" customHeight="1">
      <c r="A83" s="653" t="str">
        <f>'Budget-合并'!A83</f>
        <v>6602.08.03</v>
      </c>
      <c r="B83" s="653" t="str">
        <f>'Budget-合并'!B83</f>
        <v>办公用品</v>
      </c>
      <c r="C83" s="687" t="str">
        <f>'Budget-合并'!C83</f>
        <v xml:space="preserve">Office Supplies </v>
      </c>
      <c r="D83" s="676">
        <f t="shared" si="31"/>
        <v>0</v>
      </c>
      <c r="E83" s="676" t="e">
        <f t="shared" si="32"/>
        <v>#N/A</v>
      </c>
      <c r="F83" s="676" t="e">
        <f t="shared" si="33"/>
        <v>#N/A</v>
      </c>
      <c r="G83" s="676">
        <f t="shared" ca="1" si="34"/>
        <v>0</v>
      </c>
      <c r="H83" s="676" t="e">
        <f t="shared" ca="1" si="35"/>
        <v>#N/A</v>
      </c>
      <c r="I83" s="676" t="e">
        <f t="shared" ca="1" si="36"/>
        <v>#N/A</v>
      </c>
      <c r="K83" s="676">
        <f>SUMIFS('Other Exp'!AG$3:AG$196,'Other Exp'!$B$3:$B$196,$D$1,'Other Exp'!$C$3:$C$196,$A83)</f>
        <v>0</v>
      </c>
      <c r="L83" s="676">
        <f>SUMIFS('Other Exp'!AH$3:AH$196,'Other Exp'!$B$3:$B$196,$D$1,'Other Exp'!$C$3:$C$196,$A83)</f>
        <v>0</v>
      </c>
      <c r="M83" s="676">
        <f>SUMIFS('Other Exp'!AI$3:AI$196,'Other Exp'!$B$3:$B$196,$D$1,'Other Exp'!$C$3:$C$196,$A83)</f>
        <v>0</v>
      </c>
      <c r="N83" s="676">
        <f>SUMIFS('Other Exp'!AJ$3:AJ$196,'Other Exp'!$B$3:$B$196,$D$1,'Other Exp'!$C$3:$C$196,$A83)</f>
        <v>0</v>
      </c>
      <c r="O83" s="676">
        <f>SUMIFS('Other Exp'!AK$3:AK$196,'Other Exp'!$B$3:$B$196,$D$1,'Other Exp'!$C$3:$C$196,$A83)</f>
        <v>0</v>
      </c>
      <c r="P83" s="676">
        <f>SUMIFS('Other Exp'!AL$3:AL$196,'Other Exp'!$B$3:$B$196,$D$1,'Other Exp'!$C$3:$C$196,$A83)</f>
        <v>0</v>
      </c>
      <c r="Q83" s="676">
        <f>SUMIFS('Other Exp'!AM$3:AM$196,'Other Exp'!$B$3:$B$196,$D$1,'Other Exp'!$C$3:$C$196,$A83)</f>
        <v>0</v>
      </c>
      <c r="R83" s="676">
        <f>SUMIFS('Other Exp'!AN$3:AN$196,'Other Exp'!$B$3:$B$196,$D$1,'Other Exp'!$C$3:$C$196,$A83)</f>
        <v>0</v>
      </c>
      <c r="S83" s="676">
        <f>SUMIFS('Other Exp'!AO$3:AO$196,'Other Exp'!$B$3:$B$196,$D$1,'Other Exp'!$C$3:$C$196,$A83)</f>
        <v>0</v>
      </c>
      <c r="T83" s="676">
        <f>SUMIFS('Other Exp'!AP$3:AP$196,'Other Exp'!$B$3:$B$196,$D$1,'Other Exp'!$C$3:$C$196,$A83)</f>
        <v>0</v>
      </c>
      <c r="U83" s="676">
        <f>SUMIFS('Other Exp'!AQ$3:AQ$196,'Other Exp'!$B$3:$B$196,$D$1,'Other Exp'!$C$3:$C$196,$A83)</f>
        <v>0</v>
      </c>
      <c r="V83" s="676">
        <f>SUMIFS('Other Exp'!AR$3:AR$196,'Other Exp'!$B$3:$B$196,$D$1,'Other Exp'!$C$3:$C$196,$A83)</f>
        <v>0</v>
      </c>
      <c r="W83" s="676">
        <f t="shared" si="24"/>
        <v>0</v>
      </c>
      <c r="Y83" s="688">
        <f>IFERROR(VLOOKUP($A83,'[95]1月'!$A:$H,8,0),0)</f>
        <v>0</v>
      </c>
      <c r="Z83" s="688">
        <f>IFERROR(VLOOKUP($A83,'[95]2月'!$A:$H,8,0),0)</f>
        <v>0</v>
      </c>
      <c r="AA83" s="688">
        <f>IFERROR(VLOOKUP($A83,'[95]3月'!$A:$H,8,0),0)</f>
        <v>0</v>
      </c>
      <c r="AB83" s="688">
        <f>IFERROR(VLOOKUP($A83,'[95]4月'!$A:$H,8,0),0)</f>
        <v>0</v>
      </c>
      <c r="AC83" s="688">
        <f>IFERROR(VLOOKUP($A83,'[95]5月'!$A:$H,8,0),0)</f>
        <v>0</v>
      </c>
      <c r="AD83" s="688">
        <f>IFERROR(VLOOKUP($A83,'[95]6月'!$A:$H,8,0),0)</f>
        <v>0</v>
      </c>
      <c r="AE83" s="688">
        <f>IFERROR(VLOOKUP($A83,'[95]7月'!$A:$H,8,0),0)</f>
        <v>0</v>
      </c>
      <c r="AF83" s="688">
        <f>IFERROR(VLOOKUP($A83,'[95]8月'!$A:$H,8,0),0)</f>
        <v>0</v>
      </c>
      <c r="AG83" s="688">
        <f>IFERROR(VLOOKUP($A83,'[95]9月'!$A:$H,8,0),0)</f>
        <v>0</v>
      </c>
      <c r="AH83" s="688">
        <f>IFERROR(VLOOKUP($A83,'[95]10月'!$A:$H,8,0),0)</f>
        <v>0</v>
      </c>
      <c r="AI83" s="688">
        <f>IFERROR(VLOOKUP($A83,'[95]11月'!$A:$H,8,0),0)</f>
        <v>0</v>
      </c>
      <c r="AJ83" s="688">
        <f>IFERROR(VLOOKUP($A83,'[95]12月'!$A:$H,8,0),0)</f>
        <v>0</v>
      </c>
      <c r="AK83" s="688">
        <f t="shared" si="38"/>
        <v>0</v>
      </c>
    </row>
    <row r="84" spans="1:37" ht="11.1" customHeight="1">
      <c r="A84" s="653" t="str">
        <f>'Budget-合并'!A84</f>
        <v>6602.08.04</v>
      </c>
      <c r="B84" s="653" t="str">
        <f>'Budget-合并'!B84</f>
        <v>事务保金</v>
      </c>
      <c r="C84" s="687" t="str">
        <f>'Budget-合并'!C84</f>
        <v>Other Insurance</v>
      </c>
      <c r="D84" s="676">
        <f t="shared" si="31"/>
        <v>0</v>
      </c>
      <c r="E84" s="676" t="e">
        <f t="shared" si="32"/>
        <v>#N/A</v>
      </c>
      <c r="F84" s="676" t="e">
        <f t="shared" si="33"/>
        <v>#N/A</v>
      </c>
      <c r="G84" s="676">
        <f t="shared" ca="1" si="34"/>
        <v>0</v>
      </c>
      <c r="H84" s="676" t="e">
        <f t="shared" ca="1" si="35"/>
        <v>#N/A</v>
      </c>
      <c r="I84" s="676" t="e">
        <f t="shared" ca="1" si="36"/>
        <v>#N/A</v>
      </c>
      <c r="K84" s="676">
        <f>SUMIFS('Other Exp'!AG$3:AG$196,'Other Exp'!$B$3:$B$196,$D$1,'Other Exp'!$C$3:$C$196,$A84)</f>
        <v>0</v>
      </c>
      <c r="L84" s="676">
        <f>SUMIFS('Other Exp'!AH$3:AH$196,'Other Exp'!$B$3:$B$196,$D$1,'Other Exp'!$C$3:$C$196,$A84)</f>
        <v>0</v>
      </c>
      <c r="M84" s="676">
        <f>SUMIFS('Other Exp'!AI$3:AI$196,'Other Exp'!$B$3:$B$196,$D$1,'Other Exp'!$C$3:$C$196,$A84)</f>
        <v>0</v>
      </c>
      <c r="N84" s="676">
        <f>SUMIFS('Other Exp'!AJ$3:AJ$196,'Other Exp'!$B$3:$B$196,$D$1,'Other Exp'!$C$3:$C$196,$A84)</f>
        <v>0</v>
      </c>
      <c r="O84" s="676">
        <f>SUMIFS('Other Exp'!AK$3:AK$196,'Other Exp'!$B$3:$B$196,$D$1,'Other Exp'!$C$3:$C$196,$A84)</f>
        <v>0</v>
      </c>
      <c r="P84" s="676">
        <f>SUMIFS('Other Exp'!AL$3:AL$196,'Other Exp'!$B$3:$B$196,$D$1,'Other Exp'!$C$3:$C$196,$A84)</f>
        <v>0</v>
      </c>
      <c r="Q84" s="676">
        <f>SUMIFS('Other Exp'!AM$3:AM$196,'Other Exp'!$B$3:$B$196,$D$1,'Other Exp'!$C$3:$C$196,$A84)</f>
        <v>0</v>
      </c>
      <c r="R84" s="676">
        <f>SUMIFS('Other Exp'!AN$3:AN$196,'Other Exp'!$B$3:$B$196,$D$1,'Other Exp'!$C$3:$C$196,$A84)</f>
        <v>0</v>
      </c>
      <c r="S84" s="676">
        <f>SUMIFS('Other Exp'!AO$3:AO$196,'Other Exp'!$B$3:$B$196,$D$1,'Other Exp'!$C$3:$C$196,$A84)</f>
        <v>0</v>
      </c>
      <c r="T84" s="676">
        <f>SUMIFS('Other Exp'!AP$3:AP$196,'Other Exp'!$B$3:$B$196,$D$1,'Other Exp'!$C$3:$C$196,$A84)</f>
        <v>0</v>
      </c>
      <c r="U84" s="676">
        <f>SUMIFS('Other Exp'!AQ$3:AQ$196,'Other Exp'!$B$3:$B$196,$D$1,'Other Exp'!$C$3:$C$196,$A84)</f>
        <v>0</v>
      </c>
      <c r="V84" s="676">
        <f>SUMIFS('Other Exp'!AR$3:AR$196,'Other Exp'!$B$3:$B$196,$D$1,'Other Exp'!$C$3:$C$196,$A84)</f>
        <v>0</v>
      </c>
      <c r="W84" s="676">
        <f t="shared" si="24"/>
        <v>0</v>
      </c>
      <c r="Y84" s="688">
        <f>IFERROR(VLOOKUP($A84,'[95]1月'!$A:$H,8,0),0)</f>
        <v>0</v>
      </c>
      <c r="Z84" s="688">
        <f>IFERROR(VLOOKUP($A84,'[95]2月'!$A:$H,8,0),0)</f>
        <v>0</v>
      </c>
      <c r="AA84" s="688">
        <f>IFERROR(VLOOKUP($A84,'[95]3月'!$A:$H,8,0),0)</f>
        <v>0</v>
      </c>
      <c r="AB84" s="688">
        <f>IFERROR(VLOOKUP($A84,'[95]4月'!$A:$H,8,0),0)</f>
        <v>0</v>
      </c>
      <c r="AC84" s="688">
        <f>IFERROR(VLOOKUP($A84,'[95]5月'!$A:$H,8,0),0)</f>
        <v>0</v>
      </c>
      <c r="AD84" s="688">
        <f>IFERROR(VLOOKUP($A84,'[95]6月'!$A:$H,8,0),0)</f>
        <v>0</v>
      </c>
      <c r="AE84" s="688">
        <f>IFERROR(VLOOKUP($A84,'[95]7月'!$A:$H,8,0),0)</f>
        <v>0</v>
      </c>
      <c r="AF84" s="688">
        <f>IFERROR(VLOOKUP($A84,'[95]8月'!$A:$H,8,0),0)</f>
        <v>0</v>
      </c>
      <c r="AG84" s="688">
        <f>IFERROR(VLOOKUP($A84,'[95]9月'!$A:$H,8,0),0)</f>
        <v>0</v>
      </c>
      <c r="AH84" s="688">
        <f>IFERROR(VLOOKUP($A84,'[95]10月'!$A:$H,8,0),0)</f>
        <v>0</v>
      </c>
      <c r="AI84" s="688">
        <f>IFERROR(VLOOKUP($A84,'[95]11月'!$A:$H,8,0),0)</f>
        <v>0</v>
      </c>
      <c r="AJ84" s="688">
        <f>IFERROR(VLOOKUP($A84,'[95]12月'!$A:$H,8,0),0)</f>
        <v>0</v>
      </c>
      <c r="AK84" s="688">
        <f t="shared" si="38"/>
        <v>0</v>
      </c>
    </row>
    <row r="85" spans="1:37" ht="11.1" customHeight="1">
      <c r="A85" s="653" t="str">
        <f>'Budget-合并'!A85</f>
        <v>6602.08.05</v>
      </c>
      <c r="B85" s="653" t="str">
        <f>'Budget-合并'!B85</f>
        <v>邮费/邮递费</v>
      </c>
      <c r="C85" s="687" t="str">
        <f>'Budget-合并'!C85</f>
        <v>Postage / Freight / Delivery</v>
      </c>
      <c r="D85" s="676">
        <f t="shared" si="31"/>
        <v>0</v>
      </c>
      <c r="E85" s="676" t="e">
        <f t="shared" si="32"/>
        <v>#N/A</v>
      </c>
      <c r="F85" s="676" t="e">
        <f t="shared" si="33"/>
        <v>#N/A</v>
      </c>
      <c r="G85" s="676">
        <f t="shared" ca="1" si="34"/>
        <v>0</v>
      </c>
      <c r="H85" s="676" t="e">
        <f t="shared" ca="1" si="35"/>
        <v>#N/A</v>
      </c>
      <c r="I85" s="676" t="e">
        <f t="shared" ca="1" si="36"/>
        <v>#N/A</v>
      </c>
      <c r="K85" s="676">
        <f>SUMIFS('Other Exp'!AG$3:AG$196,'Other Exp'!$B$3:$B$196,$D$1,'Other Exp'!$C$3:$C$196,$A85)</f>
        <v>0</v>
      </c>
      <c r="L85" s="676">
        <f>SUMIFS('Other Exp'!AH$3:AH$196,'Other Exp'!$B$3:$B$196,$D$1,'Other Exp'!$C$3:$C$196,$A85)</f>
        <v>0</v>
      </c>
      <c r="M85" s="676">
        <f>SUMIFS('Other Exp'!AI$3:AI$196,'Other Exp'!$B$3:$B$196,$D$1,'Other Exp'!$C$3:$C$196,$A85)</f>
        <v>0</v>
      </c>
      <c r="N85" s="676">
        <f>SUMIFS('Other Exp'!AJ$3:AJ$196,'Other Exp'!$B$3:$B$196,$D$1,'Other Exp'!$C$3:$C$196,$A85)</f>
        <v>0</v>
      </c>
      <c r="O85" s="676">
        <f>SUMIFS('Other Exp'!AK$3:AK$196,'Other Exp'!$B$3:$B$196,$D$1,'Other Exp'!$C$3:$C$196,$A85)</f>
        <v>0</v>
      </c>
      <c r="P85" s="676">
        <f>SUMIFS('Other Exp'!AL$3:AL$196,'Other Exp'!$B$3:$B$196,$D$1,'Other Exp'!$C$3:$C$196,$A85)</f>
        <v>0</v>
      </c>
      <c r="Q85" s="676">
        <f>SUMIFS('Other Exp'!AM$3:AM$196,'Other Exp'!$B$3:$B$196,$D$1,'Other Exp'!$C$3:$C$196,$A85)</f>
        <v>0</v>
      </c>
      <c r="R85" s="676">
        <f>SUMIFS('Other Exp'!AN$3:AN$196,'Other Exp'!$B$3:$B$196,$D$1,'Other Exp'!$C$3:$C$196,$A85)</f>
        <v>0</v>
      </c>
      <c r="S85" s="676">
        <f>SUMIFS('Other Exp'!AO$3:AO$196,'Other Exp'!$B$3:$B$196,$D$1,'Other Exp'!$C$3:$C$196,$A85)</f>
        <v>0</v>
      </c>
      <c r="T85" s="676">
        <f>SUMIFS('Other Exp'!AP$3:AP$196,'Other Exp'!$B$3:$B$196,$D$1,'Other Exp'!$C$3:$C$196,$A85)</f>
        <v>0</v>
      </c>
      <c r="U85" s="676">
        <f>SUMIFS('Other Exp'!AQ$3:AQ$196,'Other Exp'!$B$3:$B$196,$D$1,'Other Exp'!$C$3:$C$196,$A85)</f>
        <v>0</v>
      </c>
      <c r="V85" s="676">
        <f>SUMIFS('Other Exp'!AR$3:AR$196,'Other Exp'!$B$3:$B$196,$D$1,'Other Exp'!$C$3:$C$196,$A85)</f>
        <v>0</v>
      </c>
      <c r="W85" s="676">
        <f t="shared" si="24"/>
        <v>0</v>
      </c>
      <c r="Y85" s="688">
        <f>IFERROR(VLOOKUP($A85,'[95]1月'!$A:$H,8,0),0)</f>
        <v>0</v>
      </c>
      <c r="Z85" s="688">
        <f>IFERROR(VLOOKUP($A85,'[95]2月'!$A:$H,8,0),0)</f>
        <v>7</v>
      </c>
      <c r="AA85" s="688">
        <f>IFERROR(VLOOKUP($A85,'[95]3月'!$A:$H,8,0),0)</f>
        <v>0</v>
      </c>
      <c r="AB85" s="688">
        <f>IFERROR(VLOOKUP($A85,'[95]4月'!$A:$H,8,0),0)</f>
        <v>0</v>
      </c>
      <c r="AC85" s="688">
        <f>IFERROR(VLOOKUP($A85,'[95]5月'!$A:$H,8,0),0)</f>
        <v>28.3</v>
      </c>
      <c r="AD85" s="688">
        <f>IFERROR(VLOOKUP($A85,'[95]6月'!$A:$H,8,0),0)</f>
        <v>0</v>
      </c>
      <c r="AE85" s="688">
        <f>IFERROR(VLOOKUP($A85,'[95]7月'!$A:$H,8,0),0)</f>
        <v>0</v>
      </c>
      <c r="AF85" s="688">
        <f>IFERROR(VLOOKUP($A85,'[95]8月'!$A:$H,8,0),0)</f>
        <v>0</v>
      </c>
      <c r="AG85" s="688">
        <f>IFERROR(VLOOKUP($A85,'[95]9月'!$A:$H,8,0),0)</f>
        <v>0</v>
      </c>
      <c r="AH85" s="688">
        <f>IFERROR(VLOOKUP($A85,'[95]10月'!$A:$H,8,0),0)</f>
        <v>0</v>
      </c>
      <c r="AI85" s="688">
        <f>IFERROR(VLOOKUP($A85,'[95]11月'!$A:$H,8,0),0)</f>
        <v>0</v>
      </c>
      <c r="AJ85" s="688">
        <f>IFERROR(VLOOKUP($A85,'[95]12月'!$A:$H,8,0),0)</f>
        <v>0</v>
      </c>
      <c r="AK85" s="688">
        <f t="shared" si="38"/>
        <v>35.299999999999997</v>
      </c>
    </row>
    <row r="86" spans="1:37" ht="11.1" customHeight="1">
      <c r="A86" s="653" t="str">
        <f>'Budget-合并'!A86</f>
        <v>6602.08.06</v>
      </c>
      <c r="B86" s="653" t="str">
        <f>'Budget-合并'!B86</f>
        <v>IT专业人士及微软服务</v>
      </c>
      <c r="C86" s="687" t="str">
        <f>'Budget-合并'!C86</f>
        <v xml:space="preserve">IT Professional &amp; MS Services </v>
      </c>
      <c r="D86" s="676">
        <f t="shared" si="31"/>
        <v>0</v>
      </c>
      <c r="E86" s="676" t="e">
        <f t="shared" si="32"/>
        <v>#N/A</v>
      </c>
      <c r="F86" s="676" t="e">
        <f t="shared" si="33"/>
        <v>#N/A</v>
      </c>
      <c r="G86" s="676">
        <f t="shared" ca="1" si="34"/>
        <v>0</v>
      </c>
      <c r="H86" s="676" t="e">
        <f t="shared" ca="1" si="35"/>
        <v>#N/A</v>
      </c>
      <c r="I86" s="676" t="e">
        <f t="shared" ca="1" si="36"/>
        <v>#N/A</v>
      </c>
      <c r="K86" s="676"/>
      <c r="L86" s="676"/>
      <c r="M86" s="676"/>
      <c r="N86" s="676"/>
      <c r="O86" s="676"/>
      <c r="P86" s="676"/>
      <c r="Q86" s="676"/>
      <c r="R86" s="676"/>
      <c r="S86" s="676"/>
      <c r="T86" s="676"/>
      <c r="U86" s="676"/>
      <c r="V86" s="676"/>
      <c r="W86" s="676">
        <f t="shared" si="24"/>
        <v>0</v>
      </c>
      <c r="Y86" s="688">
        <f>IFERROR(VLOOKUP($A86,'[95]1月'!$A:$H,8,0),0)</f>
        <v>0</v>
      </c>
      <c r="Z86" s="688">
        <f>IFERROR(VLOOKUP($A86,'[95]2月'!$A:$H,8,0),0)</f>
        <v>0</v>
      </c>
      <c r="AA86" s="688">
        <f>IFERROR(VLOOKUP($A86,'[95]3月'!$A:$H,8,0),0)</f>
        <v>0</v>
      </c>
      <c r="AB86" s="688">
        <f>IFERROR(VLOOKUP($A86,'[95]4月'!$A:$H,8,0),0)</f>
        <v>0</v>
      </c>
      <c r="AC86" s="688">
        <f>IFERROR(VLOOKUP($A86,'[95]5月'!$A:$H,8,0),0)</f>
        <v>0</v>
      </c>
      <c r="AD86" s="688">
        <f>IFERROR(VLOOKUP($A86,'[95]6月'!$A:$H,8,0),0)</f>
        <v>0</v>
      </c>
      <c r="AE86" s="688">
        <f>IFERROR(VLOOKUP($A86,'[95]7月'!$A:$H,8,0),0)</f>
        <v>0</v>
      </c>
      <c r="AF86" s="688">
        <f>IFERROR(VLOOKUP($A86,'[95]8月'!$A:$H,8,0),0)</f>
        <v>0</v>
      </c>
      <c r="AG86" s="688">
        <f>IFERROR(VLOOKUP($A86,'[95]9月'!$A:$H,8,0),0)</f>
        <v>0</v>
      </c>
      <c r="AH86" s="688">
        <f>IFERROR(VLOOKUP($A86,'[95]10月'!$A:$H,8,0),0)</f>
        <v>0</v>
      </c>
      <c r="AI86" s="688">
        <f>IFERROR(VLOOKUP($A86,'[95]11月'!$A:$H,8,0),0)</f>
        <v>0</v>
      </c>
      <c r="AJ86" s="688">
        <f>IFERROR(VLOOKUP($A86,'[95]12月'!$A:$H,8,0),0)</f>
        <v>0</v>
      </c>
      <c r="AK86" s="688">
        <f t="shared" si="38"/>
        <v>0</v>
      </c>
    </row>
    <row r="87" spans="1:37" ht="11.1" customHeight="1">
      <c r="A87" s="653" t="str">
        <f>'Budget-合并'!A87</f>
        <v>6602.08.07</v>
      </c>
      <c r="B87" s="653" t="str">
        <f>'Budget-合并'!B87</f>
        <v>软件许可证费用</v>
      </c>
      <c r="C87" s="687" t="str">
        <f>'Budget-合并'!C87</f>
        <v xml:space="preserve">Software Licence Fee Exp </v>
      </c>
      <c r="D87" s="676">
        <f t="shared" si="31"/>
        <v>0</v>
      </c>
      <c r="E87" s="676" t="e">
        <f t="shared" si="32"/>
        <v>#N/A</v>
      </c>
      <c r="F87" s="676" t="e">
        <f t="shared" si="33"/>
        <v>#N/A</v>
      </c>
      <c r="G87" s="676">
        <f t="shared" ca="1" si="34"/>
        <v>0</v>
      </c>
      <c r="H87" s="676" t="e">
        <f t="shared" ca="1" si="35"/>
        <v>#N/A</v>
      </c>
      <c r="I87" s="676" t="e">
        <f t="shared" ca="1" si="36"/>
        <v>#N/A</v>
      </c>
      <c r="K87" s="676"/>
      <c r="L87" s="676"/>
      <c r="M87" s="676"/>
      <c r="N87" s="676"/>
      <c r="O87" s="676"/>
      <c r="P87" s="676"/>
      <c r="Q87" s="676"/>
      <c r="R87" s="676"/>
      <c r="S87" s="676"/>
      <c r="T87" s="676"/>
      <c r="U87" s="676"/>
      <c r="V87" s="676"/>
      <c r="W87" s="676">
        <f t="shared" ref="W87:W150" si="43">SUM(K87:V87)</f>
        <v>0</v>
      </c>
      <c r="Y87" s="688">
        <f>IFERROR(VLOOKUP($A87,'[95]1月'!$A:$H,8,0),0)</f>
        <v>0</v>
      </c>
      <c r="Z87" s="688">
        <f>IFERROR(VLOOKUP($A87,'[95]2月'!$A:$H,8,0),0)</f>
        <v>0</v>
      </c>
      <c r="AA87" s="688">
        <f>IFERROR(VLOOKUP($A87,'[95]3月'!$A:$H,8,0),0)</f>
        <v>0</v>
      </c>
      <c r="AB87" s="688">
        <f>IFERROR(VLOOKUP($A87,'[95]4月'!$A:$H,8,0),0)</f>
        <v>0</v>
      </c>
      <c r="AC87" s="688">
        <f>IFERROR(VLOOKUP($A87,'[95]5月'!$A:$H,8,0),0)</f>
        <v>0</v>
      </c>
      <c r="AD87" s="688">
        <f>IFERROR(VLOOKUP($A87,'[95]6月'!$A:$H,8,0),0)</f>
        <v>0</v>
      </c>
      <c r="AE87" s="688">
        <f>IFERROR(VLOOKUP($A87,'[95]7月'!$A:$H,8,0),0)</f>
        <v>0</v>
      </c>
      <c r="AF87" s="688">
        <f>IFERROR(VLOOKUP($A87,'[95]8月'!$A:$H,8,0),0)</f>
        <v>0</v>
      </c>
      <c r="AG87" s="688">
        <f>IFERROR(VLOOKUP($A87,'[95]9月'!$A:$H,8,0),0)</f>
        <v>0</v>
      </c>
      <c r="AH87" s="688">
        <f>IFERROR(VLOOKUP($A87,'[95]10月'!$A:$H,8,0),0)</f>
        <v>0</v>
      </c>
      <c r="AI87" s="688">
        <f>IFERROR(VLOOKUP($A87,'[95]11月'!$A:$H,8,0),0)</f>
        <v>0</v>
      </c>
      <c r="AJ87" s="688">
        <f>IFERROR(VLOOKUP($A87,'[95]12月'!$A:$H,8,0),0)</f>
        <v>0</v>
      </c>
      <c r="AK87" s="688">
        <f t="shared" si="38"/>
        <v>0</v>
      </c>
    </row>
    <row r="88" spans="1:37" ht="11.1" customHeight="1">
      <c r="A88" s="653" t="str">
        <f>'Budget-合并'!A88</f>
        <v>6602.08.08</v>
      </c>
      <c r="B88" s="653" t="str">
        <f>'Budget-合并'!B88</f>
        <v>软件使用费</v>
      </c>
      <c r="C88" s="687">
        <f>'Budget-合并'!C88</f>
        <v>0</v>
      </c>
      <c r="D88" s="676">
        <f t="shared" si="31"/>
        <v>0</v>
      </c>
      <c r="E88" s="676" t="e">
        <f t="shared" si="32"/>
        <v>#N/A</v>
      </c>
      <c r="F88" s="676" t="e">
        <f t="shared" si="33"/>
        <v>#N/A</v>
      </c>
      <c r="G88" s="676">
        <f t="shared" ca="1" si="34"/>
        <v>0</v>
      </c>
      <c r="H88" s="676" t="e">
        <f t="shared" ca="1" si="35"/>
        <v>#N/A</v>
      </c>
      <c r="I88" s="676" t="e">
        <f t="shared" ca="1" si="36"/>
        <v>#N/A</v>
      </c>
      <c r="K88" s="676"/>
      <c r="L88" s="676"/>
      <c r="M88" s="676"/>
      <c r="N88" s="676"/>
      <c r="O88" s="676"/>
      <c r="P88" s="676"/>
      <c r="Q88" s="676"/>
      <c r="R88" s="676"/>
      <c r="S88" s="676"/>
      <c r="T88" s="676"/>
      <c r="U88" s="676"/>
      <c r="V88" s="676"/>
      <c r="W88" s="676">
        <f t="shared" si="43"/>
        <v>0</v>
      </c>
      <c r="Y88" s="688">
        <f>IFERROR(VLOOKUP($A88,'[95]1月'!$A:$H,8,0),0)</f>
        <v>0</v>
      </c>
      <c r="Z88" s="688">
        <f>IFERROR(VLOOKUP($A88,'[95]2月'!$A:$H,8,0),0)</f>
        <v>0</v>
      </c>
      <c r="AA88" s="688">
        <f>IFERROR(VLOOKUP($A88,'[95]3月'!$A:$H,8,0),0)</f>
        <v>0</v>
      </c>
      <c r="AB88" s="688">
        <f>IFERROR(VLOOKUP($A88,'[95]4月'!$A:$H,8,0),0)</f>
        <v>0</v>
      </c>
      <c r="AC88" s="688">
        <f>IFERROR(VLOOKUP($A88,'[95]5月'!$A:$H,8,0),0)</f>
        <v>0</v>
      </c>
      <c r="AD88" s="688">
        <f>IFERROR(VLOOKUP($A88,'[95]6月'!$A:$H,8,0),0)</f>
        <v>0</v>
      </c>
      <c r="AE88" s="688">
        <f>IFERROR(VLOOKUP($A88,'[95]7月'!$A:$H,8,0),0)</f>
        <v>0</v>
      </c>
      <c r="AF88" s="688">
        <f>IFERROR(VLOOKUP($A88,'[95]8月'!$A:$H,8,0),0)</f>
        <v>0</v>
      </c>
      <c r="AG88" s="688">
        <f>IFERROR(VLOOKUP($A88,'[95]9月'!$A:$H,8,0),0)</f>
        <v>0</v>
      </c>
      <c r="AH88" s="688">
        <f>IFERROR(VLOOKUP($A88,'[95]10月'!$A:$H,8,0),0)</f>
        <v>0</v>
      </c>
      <c r="AI88" s="688">
        <f>IFERROR(VLOOKUP($A88,'[95]11月'!$A:$H,8,0),0)</f>
        <v>0</v>
      </c>
      <c r="AJ88" s="688">
        <f>IFERROR(VLOOKUP($A88,'[95]12月'!$A:$H,8,0),0)</f>
        <v>0</v>
      </c>
      <c r="AK88" s="688">
        <f t="shared" si="38"/>
        <v>0</v>
      </c>
    </row>
    <row r="89" spans="1:37" ht="11.1" customHeight="1">
      <c r="A89" s="653" t="str">
        <f>'Budget-合并'!A89</f>
        <v>6602.08.09</v>
      </c>
      <c r="B89" s="653" t="str">
        <f>'Budget-合并'!B89</f>
        <v>清洁服务</v>
      </c>
      <c r="C89" s="687">
        <f>'Budget-合并'!C89</f>
        <v>0</v>
      </c>
      <c r="D89" s="676">
        <f t="shared" si="31"/>
        <v>0</v>
      </c>
      <c r="E89" s="676" t="e">
        <f t="shared" si="32"/>
        <v>#N/A</v>
      </c>
      <c r="F89" s="676" t="e">
        <f t="shared" si="33"/>
        <v>#N/A</v>
      </c>
      <c r="G89" s="676">
        <f t="shared" ca="1" si="34"/>
        <v>0</v>
      </c>
      <c r="H89" s="676" t="e">
        <f t="shared" ca="1" si="35"/>
        <v>#N/A</v>
      </c>
      <c r="I89" s="676" t="e">
        <f t="shared" ca="1" si="36"/>
        <v>#N/A</v>
      </c>
      <c r="K89" s="676"/>
      <c r="L89" s="676"/>
      <c r="M89" s="676"/>
      <c r="N89" s="676"/>
      <c r="O89" s="676"/>
      <c r="P89" s="676"/>
      <c r="Q89" s="676"/>
      <c r="R89" s="676"/>
      <c r="S89" s="676"/>
      <c r="T89" s="676"/>
      <c r="U89" s="676"/>
      <c r="V89" s="676"/>
      <c r="W89" s="676">
        <f t="shared" si="43"/>
        <v>0</v>
      </c>
      <c r="Y89" s="688">
        <f>IFERROR(VLOOKUP($A89,'[95]1月'!$A:$H,8,0),0)</f>
        <v>0</v>
      </c>
      <c r="Z89" s="688">
        <f>IFERROR(VLOOKUP($A89,'[95]2月'!$A:$H,8,0),0)</f>
        <v>0</v>
      </c>
      <c r="AA89" s="688">
        <f>IFERROR(VLOOKUP($A89,'[95]3月'!$A:$H,8,0),0)</f>
        <v>0</v>
      </c>
      <c r="AB89" s="688">
        <f>IFERROR(VLOOKUP($A89,'[95]4月'!$A:$H,8,0),0)</f>
        <v>0</v>
      </c>
      <c r="AC89" s="688">
        <f>IFERROR(VLOOKUP($A89,'[95]5月'!$A:$H,8,0),0)</f>
        <v>0</v>
      </c>
      <c r="AD89" s="688">
        <f>IFERROR(VLOOKUP($A89,'[95]6月'!$A:$H,8,0),0)</f>
        <v>0</v>
      </c>
      <c r="AE89" s="688">
        <f>IFERROR(VLOOKUP($A89,'[95]7月'!$A:$H,8,0),0)</f>
        <v>0</v>
      </c>
      <c r="AF89" s="688">
        <f>IFERROR(VLOOKUP($A89,'[95]8月'!$A:$H,8,0),0)</f>
        <v>0</v>
      </c>
      <c r="AG89" s="688">
        <f>IFERROR(VLOOKUP($A89,'[95]9月'!$A:$H,8,0),0)</f>
        <v>0</v>
      </c>
      <c r="AH89" s="688">
        <f>IFERROR(VLOOKUP($A89,'[95]10月'!$A:$H,8,0),0)</f>
        <v>0</v>
      </c>
      <c r="AI89" s="688">
        <f>IFERROR(VLOOKUP($A89,'[95]11月'!$A:$H,8,0),0)</f>
        <v>0</v>
      </c>
      <c r="AJ89" s="688">
        <f>IFERROR(VLOOKUP($A89,'[95]12月'!$A:$H,8,0),0)</f>
        <v>0</v>
      </c>
      <c r="AK89" s="688">
        <f t="shared" si="38"/>
        <v>0</v>
      </c>
    </row>
    <row r="90" spans="1:37" ht="11.1" customHeight="1">
      <c r="A90" s="653" t="str">
        <f>'Budget-合并'!A90</f>
        <v>6602.08.10</v>
      </c>
      <c r="B90" s="653" t="str">
        <f>'Budget-合并'!B90</f>
        <v>电话国际直拨/电话会议收费</v>
      </c>
      <c r="C90" s="687" t="str">
        <f>'Budget-合并'!C90</f>
        <v>Telephone IDD/Teleconf Charge</v>
      </c>
      <c r="D90" s="676">
        <f t="shared" si="31"/>
        <v>0</v>
      </c>
      <c r="E90" s="676" t="e">
        <f t="shared" si="32"/>
        <v>#N/A</v>
      </c>
      <c r="F90" s="676" t="e">
        <f t="shared" si="33"/>
        <v>#N/A</v>
      </c>
      <c r="G90" s="676">
        <f t="shared" ca="1" si="34"/>
        <v>0</v>
      </c>
      <c r="H90" s="676" t="e">
        <f t="shared" ca="1" si="35"/>
        <v>#N/A</v>
      </c>
      <c r="I90" s="676" t="e">
        <f t="shared" ca="1" si="36"/>
        <v>#N/A</v>
      </c>
      <c r="K90" s="676">
        <f>SUMIFS(SPACE!O$3:O$106,SPACE!$A$3:$A$106,$D$1,SPACE!$C$3:$C$106,$A90)</f>
        <v>0</v>
      </c>
      <c r="L90" s="676">
        <f>SUMIFS(SPACE!P$3:P$106,SPACE!$A$3:$A$106,$D$1,SPACE!$C$3:$C$106,$A90)</f>
        <v>0</v>
      </c>
      <c r="M90" s="676">
        <f>SUMIFS(SPACE!Q$3:Q$106,SPACE!$A$3:$A$106,$D$1,SPACE!$C$3:$C$106,$A90)</f>
        <v>0</v>
      </c>
      <c r="N90" s="676">
        <f>SUMIFS(SPACE!R$3:R$106,SPACE!$A$3:$A$106,$D$1,SPACE!$C$3:$C$106,$A90)</f>
        <v>0</v>
      </c>
      <c r="O90" s="676">
        <f>SUMIFS(SPACE!S$3:S$106,SPACE!$A$3:$A$106,$D$1,SPACE!$C$3:$C$106,$A90)</f>
        <v>0</v>
      </c>
      <c r="P90" s="676">
        <f>SUMIFS(SPACE!T$3:T$106,SPACE!$A$3:$A$106,$D$1,SPACE!$C$3:$C$106,$A90)</f>
        <v>0</v>
      </c>
      <c r="Q90" s="676">
        <f>SUMIFS(SPACE!U$3:U$106,SPACE!$A$3:$A$106,$D$1,SPACE!$C$3:$C$106,$A90)</f>
        <v>0</v>
      </c>
      <c r="R90" s="676">
        <f>SUMIFS(SPACE!V$3:V$106,SPACE!$A$3:$A$106,$D$1,SPACE!$C$3:$C$106,$A90)</f>
        <v>0</v>
      </c>
      <c r="S90" s="676">
        <f>SUMIFS(SPACE!W$3:W$106,SPACE!$A$3:$A$106,$D$1,SPACE!$C$3:$C$106,$A90)</f>
        <v>0</v>
      </c>
      <c r="T90" s="676">
        <f>SUMIFS(SPACE!X$3:X$106,SPACE!$A$3:$A$106,$D$1,SPACE!$C$3:$C$106,$A90)</f>
        <v>0</v>
      </c>
      <c r="U90" s="676">
        <f>SUMIFS(SPACE!Y$3:Y$106,SPACE!$A$3:$A$106,$D$1,SPACE!$C$3:$C$106,$A90)</f>
        <v>0</v>
      </c>
      <c r="V90" s="676">
        <f>SUMIFS(SPACE!Z$3:Z$106,SPACE!$A$3:$A$106,$D$1,SPACE!$C$3:$C$106,$A90)</f>
        <v>0</v>
      </c>
      <c r="W90" s="676">
        <f t="shared" si="43"/>
        <v>0</v>
      </c>
      <c r="Y90" s="688">
        <f>IFERROR(VLOOKUP($A90,'[95]1月'!$A:$H,8,0),0)</f>
        <v>0</v>
      </c>
      <c r="Z90" s="688">
        <f>IFERROR(VLOOKUP($A90,'[95]2月'!$A:$H,8,0),0)</f>
        <v>0</v>
      </c>
      <c r="AA90" s="688">
        <f>IFERROR(VLOOKUP($A90,'[95]3月'!$A:$H,8,0),0)</f>
        <v>0</v>
      </c>
      <c r="AB90" s="688">
        <f>IFERROR(VLOOKUP($A90,'[95]4月'!$A:$H,8,0),0)</f>
        <v>0</v>
      </c>
      <c r="AC90" s="688">
        <f>IFERROR(VLOOKUP($A90,'[95]5月'!$A:$H,8,0),0)</f>
        <v>0</v>
      </c>
      <c r="AD90" s="688">
        <f>IFERROR(VLOOKUP($A90,'[95]6月'!$A:$H,8,0),0)</f>
        <v>0</v>
      </c>
      <c r="AE90" s="688">
        <f>IFERROR(VLOOKUP($A90,'[95]7月'!$A:$H,8,0),0)</f>
        <v>0</v>
      </c>
      <c r="AF90" s="688">
        <f>IFERROR(VLOOKUP($A90,'[95]8月'!$A:$H,8,0),0)</f>
        <v>0</v>
      </c>
      <c r="AG90" s="688">
        <f>IFERROR(VLOOKUP($A90,'[95]9月'!$A:$H,8,0),0)</f>
        <v>0</v>
      </c>
      <c r="AH90" s="688">
        <f>IFERROR(VLOOKUP($A90,'[95]10月'!$A:$H,8,0),0)</f>
        <v>0</v>
      </c>
      <c r="AI90" s="688">
        <f>IFERROR(VLOOKUP($A90,'[95]11月'!$A:$H,8,0),0)</f>
        <v>0</v>
      </c>
      <c r="AJ90" s="688">
        <f>IFERROR(VLOOKUP($A90,'[95]12月'!$A:$H,8,0),0)</f>
        <v>0</v>
      </c>
      <c r="AK90" s="688">
        <f t="shared" si="38"/>
        <v>0</v>
      </c>
    </row>
    <row r="91" spans="1:37" ht="11.1" customHeight="1">
      <c r="A91" s="653" t="str">
        <f>'Budget-合并'!A91</f>
        <v>6602.08.99</v>
      </c>
      <c r="B91" s="653" t="str">
        <f>'Budget-合并'!B91</f>
        <v>其他</v>
      </c>
      <c r="C91" s="687">
        <f>'Budget-合并'!C91</f>
        <v>0</v>
      </c>
      <c r="D91" s="676">
        <f t="shared" si="31"/>
        <v>0</v>
      </c>
      <c r="E91" s="676" t="e">
        <f t="shared" si="32"/>
        <v>#N/A</v>
      </c>
      <c r="F91" s="676" t="e">
        <f t="shared" si="33"/>
        <v>#N/A</v>
      </c>
      <c r="G91" s="676">
        <f t="shared" ca="1" si="34"/>
        <v>0</v>
      </c>
      <c r="H91" s="676" t="e">
        <f t="shared" ca="1" si="35"/>
        <v>#N/A</v>
      </c>
      <c r="I91" s="676" t="e">
        <f t="shared" ca="1" si="36"/>
        <v>#N/A</v>
      </c>
      <c r="K91" s="676">
        <f>SUMIFS('Other Exp'!AG$3:AG$196,'Other Exp'!$B$3:$B$196,$D$1,'Other Exp'!$C$3:$C$196,$A91)</f>
        <v>0</v>
      </c>
      <c r="L91" s="676">
        <f>SUMIFS('Other Exp'!AH$3:AH$196,'Other Exp'!$B$3:$B$196,$D$1,'Other Exp'!$C$3:$C$196,$A91)</f>
        <v>0</v>
      </c>
      <c r="M91" s="676">
        <f>SUMIFS('Other Exp'!AI$3:AI$196,'Other Exp'!$B$3:$B$196,$D$1,'Other Exp'!$C$3:$C$196,$A91)</f>
        <v>0</v>
      </c>
      <c r="N91" s="676">
        <f>SUMIFS('Other Exp'!AJ$3:AJ$196,'Other Exp'!$B$3:$B$196,$D$1,'Other Exp'!$C$3:$C$196,$A91)</f>
        <v>0</v>
      </c>
      <c r="O91" s="676">
        <f>SUMIFS('Other Exp'!AK$3:AK$196,'Other Exp'!$B$3:$B$196,$D$1,'Other Exp'!$C$3:$C$196,$A91)</f>
        <v>0</v>
      </c>
      <c r="P91" s="676">
        <f>SUMIFS('Other Exp'!AL$3:AL$196,'Other Exp'!$B$3:$B$196,$D$1,'Other Exp'!$C$3:$C$196,$A91)</f>
        <v>0</v>
      </c>
      <c r="Q91" s="676">
        <f>SUMIFS('Other Exp'!AM$3:AM$196,'Other Exp'!$B$3:$B$196,$D$1,'Other Exp'!$C$3:$C$196,$A91)</f>
        <v>0</v>
      </c>
      <c r="R91" s="676">
        <f>SUMIFS('Other Exp'!AN$3:AN$196,'Other Exp'!$B$3:$B$196,$D$1,'Other Exp'!$C$3:$C$196,$A91)</f>
        <v>0</v>
      </c>
      <c r="S91" s="676">
        <f>SUMIFS('Other Exp'!AO$3:AO$196,'Other Exp'!$B$3:$B$196,$D$1,'Other Exp'!$C$3:$C$196,$A91)</f>
        <v>0</v>
      </c>
      <c r="T91" s="676">
        <f>SUMIFS('Other Exp'!AP$3:AP$196,'Other Exp'!$B$3:$B$196,$D$1,'Other Exp'!$C$3:$C$196,$A91)</f>
        <v>0</v>
      </c>
      <c r="U91" s="676">
        <f>SUMIFS('Other Exp'!AQ$3:AQ$196,'Other Exp'!$B$3:$B$196,$D$1,'Other Exp'!$C$3:$C$196,$A91)</f>
        <v>0</v>
      </c>
      <c r="V91" s="676">
        <f>SUMIFS('Other Exp'!AR$3:AR$196,'Other Exp'!$B$3:$B$196,$D$1,'Other Exp'!$C$3:$C$196,$A91)</f>
        <v>0</v>
      </c>
      <c r="W91" s="676">
        <f t="shared" si="43"/>
        <v>0</v>
      </c>
      <c r="Y91" s="688">
        <f>IFERROR(VLOOKUP($A91,'[95]1月'!$A:$H,8,0),0)</f>
        <v>0</v>
      </c>
      <c r="Z91" s="688">
        <f>IFERROR(VLOOKUP($A91,'[95]2月'!$A:$H,8,0),0)</f>
        <v>0</v>
      </c>
      <c r="AA91" s="688">
        <f>IFERROR(VLOOKUP($A91,'[95]3月'!$A:$H,8,0),0)</f>
        <v>0</v>
      </c>
      <c r="AB91" s="688">
        <f>IFERROR(VLOOKUP($A91,'[95]4月'!$A:$H,8,0),0)</f>
        <v>0</v>
      </c>
      <c r="AC91" s="688">
        <f>IFERROR(VLOOKUP($A91,'[95]5月'!$A:$H,8,0),0)</f>
        <v>0</v>
      </c>
      <c r="AD91" s="688">
        <f>IFERROR(VLOOKUP($A91,'[95]6月'!$A:$H,8,0),0)</f>
        <v>0</v>
      </c>
      <c r="AE91" s="688">
        <f>IFERROR(VLOOKUP($A91,'[95]7月'!$A:$H,8,0),0)</f>
        <v>0</v>
      </c>
      <c r="AF91" s="688">
        <f>IFERROR(VLOOKUP($A91,'[95]8月'!$A:$H,8,0),0)</f>
        <v>0</v>
      </c>
      <c r="AG91" s="688">
        <f>IFERROR(VLOOKUP($A91,'[95]9月'!$A:$H,8,0),0)</f>
        <v>0</v>
      </c>
      <c r="AH91" s="688">
        <f>IFERROR(VLOOKUP($A91,'[95]10月'!$A:$H,8,0),0)</f>
        <v>0</v>
      </c>
      <c r="AI91" s="688">
        <f>IFERROR(VLOOKUP($A91,'[95]11月'!$A:$H,8,0),0)</f>
        <v>0</v>
      </c>
      <c r="AJ91" s="688">
        <f>IFERROR(VLOOKUP($A91,'[95]12月'!$A:$H,8,0),0)</f>
        <v>0</v>
      </c>
      <c r="AK91" s="688">
        <f t="shared" si="38"/>
        <v>0</v>
      </c>
    </row>
    <row r="92" spans="1:37" ht="11.1" customHeight="1">
      <c r="A92" s="663" t="str">
        <f>'Budget-合并'!A92</f>
        <v>6602.09</v>
      </c>
      <c r="B92" s="663" t="str">
        <f>'Budget-合并'!B92</f>
        <v>差旅费</v>
      </c>
      <c r="C92" s="687">
        <f>'Budget-合并'!C92</f>
        <v>0</v>
      </c>
      <c r="D92" s="676">
        <f t="shared" si="31"/>
        <v>225</v>
      </c>
      <c r="E92" s="676" t="e">
        <f t="shared" si="32"/>
        <v>#N/A</v>
      </c>
      <c r="F92" s="676" t="e">
        <f t="shared" si="33"/>
        <v>#N/A</v>
      </c>
      <c r="G92" s="676">
        <f t="shared" ca="1" si="34"/>
        <v>225</v>
      </c>
      <c r="H92" s="676" t="e">
        <f t="shared" ca="1" si="35"/>
        <v>#N/A</v>
      </c>
      <c r="I92" s="676" t="e">
        <f t="shared" ca="1" si="36"/>
        <v>#N/A</v>
      </c>
      <c r="K92" s="676">
        <f t="shared" ref="K92:V92" si="44">SUM(K93,K97,K101,K105,K109,K113,K117,K118,K122,K126)</f>
        <v>225</v>
      </c>
      <c r="L92" s="676">
        <f t="shared" si="44"/>
        <v>225</v>
      </c>
      <c r="M92" s="676">
        <f t="shared" si="44"/>
        <v>225</v>
      </c>
      <c r="N92" s="676">
        <f t="shared" si="44"/>
        <v>225</v>
      </c>
      <c r="O92" s="676">
        <f t="shared" si="44"/>
        <v>225</v>
      </c>
      <c r="P92" s="676">
        <f t="shared" si="44"/>
        <v>225</v>
      </c>
      <c r="Q92" s="676">
        <f t="shared" si="44"/>
        <v>225</v>
      </c>
      <c r="R92" s="676">
        <f t="shared" si="44"/>
        <v>225</v>
      </c>
      <c r="S92" s="676">
        <f t="shared" si="44"/>
        <v>225</v>
      </c>
      <c r="T92" s="676">
        <f t="shared" si="44"/>
        <v>225</v>
      </c>
      <c r="U92" s="676">
        <f t="shared" si="44"/>
        <v>225</v>
      </c>
      <c r="V92" s="676">
        <f t="shared" si="44"/>
        <v>225</v>
      </c>
      <c r="W92" s="676">
        <f t="shared" si="43"/>
        <v>2700</v>
      </c>
      <c r="Y92" s="688">
        <f>IFERROR(VLOOKUP($A92,'[95]1月'!$A:$H,8,0),0)</f>
        <v>0</v>
      </c>
      <c r="Z92" s="688">
        <f>IFERROR(VLOOKUP($A92,'[95]2月'!$A:$H,8,0),0)</f>
        <v>0</v>
      </c>
      <c r="AA92" s="688">
        <f>IFERROR(VLOOKUP($A92,'[95]3月'!$A:$H,8,0),0)</f>
        <v>0</v>
      </c>
      <c r="AB92" s="688">
        <f>IFERROR(VLOOKUP($A92,'[95]4月'!$A:$H,8,0),0)</f>
        <v>0</v>
      </c>
      <c r="AC92" s="688">
        <f>IFERROR(VLOOKUP($A92,'[95]5月'!$A:$H,8,0),0)</f>
        <v>330.22</v>
      </c>
      <c r="AD92" s="688">
        <f>IFERROR(VLOOKUP($A92,'[95]6月'!$A:$H,8,0),0)</f>
        <v>0</v>
      </c>
      <c r="AE92" s="688">
        <f>IFERROR(VLOOKUP($A92,'[95]7月'!$A:$H,8,0),0)</f>
        <v>511.86</v>
      </c>
      <c r="AF92" s="688">
        <f>IFERROR(VLOOKUP($A92,'[95]8月'!$A:$H,8,0),0)</f>
        <v>571.34</v>
      </c>
      <c r="AG92" s="688">
        <f>IFERROR(VLOOKUP($A92,'[95]9月'!$A:$H,8,0),0)</f>
        <v>0</v>
      </c>
      <c r="AH92" s="688">
        <f>IFERROR(VLOOKUP($A92,'[95]10月'!$A:$H,8,0),0)</f>
        <v>0</v>
      </c>
      <c r="AI92" s="688">
        <f>IFERROR(VLOOKUP($A92,'[95]11月'!$A:$H,8,0),0)</f>
        <v>0</v>
      </c>
      <c r="AJ92" s="688">
        <f>IFERROR(VLOOKUP($A92,'[95]12月'!$A:$H,8,0),0)</f>
        <v>0</v>
      </c>
      <c r="AK92" s="688">
        <f t="shared" si="38"/>
        <v>1413.42</v>
      </c>
    </row>
    <row r="93" spans="1:37" ht="11.1" customHeight="1">
      <c r="A93" s="653" t="str">
        <f>'Budget-合并'!A93</f>
        <v>6602.09.01</v>
      </c>
      <c r="B93" s="653" t="str">
        <f>'Budget-合并'!B93</f>
        <v>住宿费</v>
      </c>
      <c r="C93" s="687" t="str">
        <f>'Budget-合并'!C93</f>
        <v>Travel Lodging</v>
      </c>
      <c r="D93" s="676">
        <f t="shared" si="31"/>
        <v>0</v>
      </c>
      <c r="E93" s="676" t="e">
        <f t="shared" si="32"/>
        <v>#N/A</v>
      </c>
      <c r="F93" s="676" t="e">
        <f t="shared" si="33"/>
        <v>#N/A</v>
      </c>
      <c r="G93" s="676">
        <f t="shared" ca="1" si="34"/>
        <v>0</v>
      </c>
      <c r="H93" s="676" t="e">
        <f t="shared" ca="1" si="35"/>
        <v>#N/A</v>
      </c>
      <c r="I93" s="676" t="e">
        <f t="shared" ca="1" si="36"/>
        <v>#N/A</v>
      </c>
      <c r="K93" s="676">
        <f t="shared" ref="K93:V93" si="45">SUM(K94:K96)</f>
        <v>0</v>
      </c>
      <c r="L93" s="676">
        <f t="shared" si="45"/>
        <v>0</v>
      </c>
      <c r="M93" s="676">
        <f t="shared" si="45"/>
        <v>0</v>
      </c>
      <c r="N93" s="676">
        <f t="shared" si="45"/>
        <v>0</v>
      </c>
      <c r="O93" s="676">
        <f t="shared" si="45"/>
        <v>0</v>
      </c>
      <c r="P93" s="676">
        <f t="shared" si="45"/>
        <v>0</v>
      </c>
      <c r="Q93" s="676">
        <f t="shared" si="45"/>
        <v>0</v>
      </c>
      <c r="R93" s="676">
        <f t="shared" si="45"/>
        <v>0</v>
      </c>
      <c r="S93" s="676">
        <f t="shared" si="45"/>
        <v>0</v>
      </c>
      <c r="T93" s="676">
        <f t="shared" si="45"/>
        <v>0</v>
      </c>
      <c r="U93" s="676">
        <f t="shared" si="45"/>
        <v>0</v>
      </c>
      <c r="V93" s="676">
        <f t="shared" si="45"/>
        <v>0</v>
      </c>
      <c r="W93" s="676">
        <f t="shared" si="43"/>
        <v>0</v>
      </c>
      <c r="Y93" s="688">
        <f>IFERROR(VLOOKUP($A93,'[95]1月'!$A:$H,8,0),0)</f>
        <v>0</v>
      </c>
      <c r="Z93" s="688">
        <f>IFERROR(VLOOKUP($A93,'[95]2月'!$A:$H,8,0),0)</f>
        <v>0</v>
      </c>
      <c r="AA93" s="688">
        <f>IFERROR(VLOOKUP($A93,'[95]3月'!$A:$H,8,0),0)</f>
        <v>0</v>
      </c>
      <c r="AB93" s="688">
        <f>IFERROR(VLOOKUP($A93,'[95]4月'!$A:$H,8,0),0)</f>
        <v>0</v>
      </c>
      <c r="AC93" s="688">
        <f>IFERROR(VLOOKUP($A93,'[95]5月'!$A:$H,8,0),0)</f>
        <v>0</v>
      </c>
      <c r="AD93" s="688">
        <f>IFERROR(VLOOKUP($A93,'[95]6月'!$A:$H,8,0),0)</f>
        <v>0</v>
      </c>
      <c r="AE93" s="688">
        <f>IFERROR(VLOOKUP($A93,'[95]7月'!$A:$H,8,0),0)</f>
        <v>0</v>
      </c>
      <c r="AF93" s="688">
        <f>IFERROR(VLOOKUP($A93,'[95]8月'!$A:$H,8,0),0)</f>
        <v>0</v>
      </c>
      <c r="AG93" s="688">
        <f>IFERROR(VLOOKUP($A93,'[95]9月'!$A:$H,8,0),0)</f>
        <v>0</v>
      </c>
      <c r="AH93" s="688">
        <f>IFERROR(VLOOKUP($A93,'[95]10月'!$A:$H,8,0),0)</f>
        <v>0</v>
      </c>
      <c r="AI93" s="688">
        <f>IFERROR(VLOOKUP($A93,'[95]11月'!$A:$H,8,0),0)</f>
        <v>0</v>
      </c>
      <c r="AJ93" s="688">
        <f>IFERROR(VLOOKUP($A93,'[95]12月'!$A:$H,8,0),0)</f>
        <v>0</v>
      </c>
      <c r="AK93" s="688">
        <f t="shared" si="38"/>
        <v>0</v>
      </c>
    </row>
    <row r="94" spans="1:37" ht="11.1" customHeight="1">
      <c r="A94" s="653">
        <f>'Budget-合并'!A94</f>
        <v>0</v>
      </c>
      <c r="B94" s="653" t="str">
        <f>'Budget-合并'!B94</f>
        <v xml:space="preserve">    公司主体03</v>
      </c>
      <c r="C94" s="687" t="str">
        <f>'Budget-合并'!C94</f>
        <v xml:space="preserve">   Entity</v>
      </c>
      <c r="D94" s="676">
        <f t="shared" si="31"/>
        <v>0</v>
      </c>
      <c r="E94" s="676" t="e">
        <f t="shared" si="32"/>
        <v>#N/A</v>
      </c>
      <c r="F94" s="676" t="e">
        <f t="shared" si="33"/>
        <v>#N/A</v>
      </c>
      <c r="G94" s="676">
        <f t="shared" ca="1" si="34"/>
        <v>0</v>
      </c>
      <c r="H94" s="676" t="e">
        <f t="shared" ca="1" si="35"/>
        <v>#N/A</v>
      </c>
      <c r="I94" s="676" t="e">
        <f t="shared" ca="1" si="36"/>
        <v>#N/A</v>
      </c>
      <c r="K94" s="676"/>
      <c r="L94" s="676"/>
      <c r="M94" s="676"/>
      <c r="N94" s="676"/>
      <c r="O94" s="676"/>
      <c r="P94" s="676"/>
      <c r="Q94" s="676"/>
      <c r="R94" s="676"/>
      <c r="S94" s="676"/>
      <c r="T94" s="676"/>
      <c r="U94" s="676"/>
      <c r="V94" s="676"/>
      <c r="W94" s="676">
        <f t="shared" si="43"/>
        <v>0</v>
      </c>
      <c r="Y94" s="688">
        <f>IFERROR(VLOOKUP($A94,'[95]1月'!$A:$H,8,0),0)</f>
        <v>0</v>
      </c>
      <c r="Z94" s="688">
        <f>IFERROR(VLOOKUP($A94,'[95]2月'!$A:$H,8,0),0)</f>
        <v>0</v>
      </c>
      <c r="AA94" s="688">
        <f>IFERROR(VLOOKUP($A94,'[95]3月'!$A:$H,8,0),0)</f>
        <v>0</v>
      </c>
      <c r="AB94" s="688">
        <f>IFERROR(VLOOKUP($A94,'[95]4月'!$A:$H,8,0),0)</f>
        <v>0</v>
      </c>
      <c r="AC94" s="688">
        <f>IFERROR(VLOOKUP($A94,'[95]5月'!$A:$H,8,0),0)</f>
        <v>0</v>
      </c>
      <c r="AD94" s="688">
        <f>IFERROR(VLOOKUP($A94,'[95]6月'!$A:$H,8,0),0)</f>
        <v>0</v>
      </c>
      <c r="AE94" s="688">
        <f>IFERROR(VLOOKUP($A94,'[95]7月'!$A:$H,8,0),0)</f>
        <v>0</v>
      </c>
      <c r="AF94" s="688">
        <f>IFERROR(VLOOKUP($A94,'[95]8月'!$A:$H,8,0),0)</f>
        <v>0</v>
      </c>
      <c r="AG94" s="688">
        <f>IFERROR(VLOOKUP($A94,'[95]9月'!$A:$H,8,0),0)</f>
        <v>0</v>
      </c>
      <c r="AH94" s="688">
        <f>IFERROR(VLOOKUP($A94,'[95]10月'!$A:$H,8,0),0)</f>
        <v>0</v>
      </c>
      <c r="AI94" s="688">
        <f>IFERROR(VLOOKUP($A94,'[95]11月'!$A:$H,8,0),0)</f>
        <v>0</v>
      </c>
      <c r="AJ94" s="688">
        <f>IFERROR(VLOOKUP($A94,'[95]12月'!$A:$H,8,0),0)</f>
        <v>0</v>
      </c>
      <c r="AK94" s="688">
        <f t="shared" si="38"/>
        <v>0</v>
      </c>
    </row>
    <row r="95" spans="1:37" ht="11.1" customHeight="1">
      <c r="A95" s="653">
        <f>'Budget-合并'!A95</f>
        <v>0</v>
      </c>
      <c r="B95" s="653" t="str">
        <f>'Budget-合并'!B95</f>
        <v xml:space="preserve">    旭智富能03</v>
      </c>
      <c r="C95" s="687" t="str">
        <f>'Budget-合并'!C95</f>
        <v xml:space="preserve">   Foxpower</v>
      </c>
      <c r="D95" s="676">
        <f t="shared" si="31"/>
        <v>0</v>
      </c>
      <c r="E95" s="676" t="e">
        <f t="shared" si="32"/>
        <v>#N/A</v>
      </c>
      <c r="F95" s="676" t="e">
        <f t="shared" si="33"/>
        <v>#N/A</v>
      </c>
      <c r="G95" s="676">
        <f t="shared" ca="1" si="34"/>
        <v>0</v>
      </c>
      <c r="H95" s="676" t="e">
        <f t="shared" ca="1" si="35"/>
        <v>#N/A</v>
      </c>
      <c r="I95" s="676" t="e">
        <f t="shared" ca="1" si="36"/>
        <v>#N/A</v>
      </c>
      <c r="K95" s="676"/>
      <c r="L95" s="676"/>
      <c r="M95" s="676"/>
      <c r="N95" s="676"/>
      <c r="O95" s="676"/>
      <c r="P95" s="676"/>
      <c r="Q95" s="676"/>
      <c r="R95" s="676"/>
      <c r="S95" s="676"/>
      <c r="T95" s="676"/>
      <c r="U95" s="676"/>
      <c r="V95" s="676"/>
      <c r="W95" s="676">
        <f t="shared" si="43"/>
        <v>0</v>
      </c>
      <c r="Y95" s="688">
        <f>IFERROR(VLOOKUP($A95,'[95]1月'!$A:$H,8,0),0)</f>
        <v>0</v>
      </c>
      <c r="Z95" s="688">
        <f>IFERROR(VLOOKUP($A95,'[95]2月'!$A:$H,8,0),0)</f>
        <v>0</v>
      </c>
      <c r="AA95" s="688">
        <f>IFERROR(VLOOKUP($A95,'[95]3月'!$A:$H,8,0),0)</f>
        <v>0</v>
      </c>
      <c r="AB95" s="688">
        <f>IFERROR(VLOOKUP($A95,'[95]4月'!$A:$H,8,0),0)</f>
        <v>0</v>
      </c>
      <c r="AC95" s="688">
        <f>IFERROR(VLOOKUP($A95,'[95]5月'!$A:$H,8,0),0)</f>
        <v>0</v>
      </c>
      <c r="AD95" s="688">
        <f>IFERROR(VLOOKUP($A95,'[95]6月'!$A:$H,8,0),0)</f>
        <v>0</v>
      </c>
      <c r="AE95" s="688">
        <f>IFERROR(VLOOKUP($A95,'[95]7月'!$A:$H,8,0),0)</f>
        <v>0</v>
      </c>
      <c r="AF95" s="688">
        <f>IFERROR(VLOOKUP($A95,'[95]8月'!$A:$H,8,0),0)</f>
        <v>0</v>
      </c>
      <c r="AG95" s="688">
        <f>IFERROR(VLOOKUP($A95,'[95]9月'!$A:$H,8,0),0)</f>
        <v>0</v>
      </c>
      <c r="AH95" s="688">
        <f>IFERROR(VLOOKUP($A95,'[95]10月'!$A:$H,8,0),0)</f>
        <v>0</v>
      </c>
      <c r="AI95" s="688">
        <f>IFERROR(VLOOKUP($A95,'[95]11月'!$A:$H,8,0),0)</f>
        <v>0</v>
      </c>
      <c r="AJ95" s="688">
        <f>IFERROR(VLOOKUP($A95,'[95]12月'!$A:$H,8,0),0)</f>
        <v>0</v>
      </c>
      <c r="AK95" s="688">
        <f t="shared" si="38"/>
        <v>0</v>
      </c>
    </row>
    <row r="96" spans="1:37" ht="11.1" customHeight="1">
      <c r="A96" s="653">
        <f>'Budget-合并'!A96</f>
        <v>0</v>
      </c>
      <c r="B96" s="653" t="str">
        <f>'Budget-合并'!B96</f>
        <v xml:space="preserve">    其他项目03</v>
      </c>
      <c r="C96" s="687" t="str">
        <f>'Budget-合并'!C96</f>
        <v xml:space="preserve">   Other project</v>
      </c>
      <c r="D96" s="676">
        <f t="shared" si="31"/>
        <v>0</v>
      </c>
      <c r="E96" s="676" t="e">
        <f t="shared" si="32"/>
        <v>#N/A</v>
      </c>
      <c r="F96" s="676" t="e">
        <f t="shared" si="33"/>
        <v>#N/A</v>
      </c>
      <c r="G96" s="676">
        <f t="shared" ca="1" si="34"/>
        <v>0</v>
      </c>
      <c r="H96" s="676" t="e">
        <f t="shared" ca="1" si="35"/>
        <v>#N/A</v>
      </c>
      <c r="I96" s="676" t="e">
        <f t="shared" ca="1" si="36"/>
        <v>#N/A</v>
      </c>
      <c r="K96" s="676"/>
      <c r="L96" s="676"/>
      <c r="M96" s="676"/>
      <c r="N96" s="676"/>
      <c r="O96" s="676"/>
      <c r="P96" s="676"/>
      <c r="Q96" s="676"/>
      <c r="R96" s="676"/>
      <c r="S96" s="676"/>
      <c r="T96" s="676"/>
      <c r="U96" s="676"/>
      <c r="V96" s="676"/>
      <c r="W96" s="676">
        <f t="shared" si="43"/>
        <v>0</v>
      </c>
      <c r="Y96" s="688">
        <f>IFERROR(VLOOKUP($A96,'[95]1月'!$A:$H,8,0),0)</f>
        <v>0</v>
      </c>
      <c r="Z96" s="688">
        <f>IFERROR(VLOOKUP($A96,'[95]2月'!$A:$H,8,0),0)</f>
        <v>0</v>
      </c>
      <c r="AA96" s="688">
        <f>IFERROR(VLOOKUP($A96,'[95]3月'!$A:$H,8,0),0)</f>
        <v>0</v>
      </c>
      <c r="AB96" s="688">
        <f>IFERROR(VLOOKUP($A96,'[95]4月'!$A:$H,8,0),0)</f>
        <v>0</v>
      </c>
      <c r="AC96" s="688">
        <f>IFERROR(VLOOKUP($A96,'[95]5月'!$A:$H,8,0),0)</f>
        <v>0</v>
      </c>
      <c r="AD96" s="688">
        <f>IFERROR(VLOOKUP($A96,'[95]6月'!$A:$H,8,0),0)</f>
        <v>0</v>
      </c>
      <c r="AE96" s="688">
        <f>IFERROR(VLOOKUP($A96,'[95]7月'!$A:$H,8,0),0)</f>
        <v>0</v>
      </c>
      <c r="AF96" s="688">
        <f>IFERROR(VLOOKUP($A96,'[95]8月'!$A:$H,8,0),0)</f>
        <v>0</v>
      </c>
      <c r="AG96" s="688">
        <f>IFERROR(VLOOKUP($A96,'[95]9月'!$A:$H,8,0),0)</f>
        <v>0</v>
      </c>
      <c r="AH96" s="688">
        <f>IFERROR(VLOOKUP($A96,'[95]10月'!$A:$H,8,0),0)</f>
        <v>0</v>
      </c>
      <c r="AI96" s="688">
        <f>IFERROR(VLOOKUP($A96,'[95]11月'!$A:$H,8,0),0)</f>
        <v>0</v>
      </c>
      <c r="AJ96" s="688">
        <f>IFERROR(VLOOKUP($A96,'[95]12月'!$A:$H,8,0),0)</f>
        <v>0</v>
      </c>
      <c r="AK96" s="688">
        <f t="shared" si="38"/>
        <v>0</v>
      </c>
    </row>
    <row r="97" spans="1:37" ht="11.1" customHeight="1">
      <c r="A97" s="653" t="str">
        <f>'Budget-合并'!A97</f>
        <v>6602.09.02</v>
      </c>
      <c r="B97" s="653" t="str">
        <f>'Budget-合并'!B97</f>
        <v>伙食费</v>
      </c>
      <c r="C97" s="687">
        <f>'Budget-合并'!C97</f>
        <v>0</v>
      </c>
      <c r="D97" s="676">
        <f t="shared" si="31"/>
        <v>75</v>
      </c>
      <c r="E97" s="676" t="e">
        <f t="shared" si="32"/>
        <v>#N/A</v>
      </c>
      <c r="F97" s="676" t="e">
        <f t="shared" si="33"/>
        <v>#N/A</v>
      </c>
      <c r="G97" s="676">
        <f t="shared" ca="1" si="34"/>
        <v>75</v>
      </c>
      <c r="H97" s="676" t="e">
        <f t="shared" ca="1" si="35"/>
        <v>#N/A</v>
      </c>
      <c r="I97" s="676" t="e">
        <f t="shared" ca="1" si="36"/>
        <v>#N/A</v>
      </c>
      <c r="K97" s="676">
        <f t="shared" ref="K97:V97" si="46">SUM(K98:K100)</f>
        <v>75</v>
      </c>
      <c r="L97" s="676">
        <f t="shared" si="46"/>
        <v>75</v>
      </c>
      <c r="M97" s="676">
        <f t="shared" si="46"/>
        <v>75</v>
      </c>
      <c r="N97" s="676">
        <f t="shared" si="46"/>
        <v>75</v>
      </c>
      <c r="O97" s="676">
        <f t="shared" si="46"/>
        <v>75</v>
      </c>
      <c r="P97" s="676">
        <f t="shared" si="46"/>
        <v>75</v>
      </c>
      <c r="Q97" s="676">
        <f t="shared" si="46"/>
        <v>75</v>
      </c>
      <c r="R97" s="676">
        <f t="shared" si="46"/>
        <v>75</v>
      </c>
      <c r="S97" s="676">
        <f t="shared" si="46"/>
        <v>75</v>
      </c>
      <c r="T97" s="676">
        <f t="shared" si="46"/>
        <v>75</v>
      </c>
      <c r="U97" s="676">
        <f t="shared" si="46"/>
        <v>75</v>
      </c>
      <c r="V97" s="676">
        <f t="shared" si="46"/>
        <v>75</v>
      </c>
      <c r="W97" s="676">
        <f t="shared" si="43"/>
        <v>900</v>
      </c>
      <c r="Y97" s="688">
        <f>IFERROR(VLOOKUP($A97,'[95]1月'!$A:$H,8,0),0)</f>
        <v>0</v>
      </c>
      <c r="Z97" s="688">
        <f>IFERROR(VLOOKUP($A97,'[95]2月'!$A:$H,8,0),0)</f>
        <v>0</v>
      </c>
      <c r="AA97" s="688">
        <f>IFERROR(VLOOKUP($A97,'[95]3月'!$A:$H,8,0),0)</f>
        <v>0</v>
      </c>
      <c r="AB97" s="688">
        <f>IFERROR(VLOOKUP($A97,'[95]4月'!$A:$H,8,0),0)</f>
        <v>0</v>
      </c>
      <c r="AC97" s="688">
        <f>IFERROR(VLOOKUP($A97,'[95]5月'!$A:$H,8,0),0)</f>
        <v>46</v>
      </c>
      <c r="AD97" s="688">
        <f>IFERROR(VLOOKUP($A97,'[95]6月'!$A:$H,8,0),0)</f>
        <v>0</v>
      </c>
      <c r="AE97" s="688">
        <f>IFERROR(VLOOKUP($A97,'[95]7月'!$A:$H,8,0),0)</f>
        <v>112.32</v>
      </c>
      <c r="AF97" s="688">
        <f>IFERROR(VLOOKUP($A97,'[95]8月'!$A:$H,8,0),0)</f>
        <v>111</v>
      </c>
      <c r="AG97" s="688">
        <f>IFERROR(VLOOKUP($A97,'[95]9月'!$A:$H,8,0),0)</f>
        <v>0</v>
      </c>
      <c r="AH97" s="688">
        <f>IFERROR(VLOOKUP($A97,'[95]10月'!$A:$H,8,0),0)</f>
        <v>0</v>
      </c>
      <c r="AI97" s="688">
        <f>IFERROR(VLOOKUP($A97,'[95]11月'!$A:$H,8,0),0)</f>
        <v>0</v>
      </c>
      <c r="AJ97" s="688">
        <f>IFERROR(VLOOKUP($A97,'[95]12月'!$A:$H,8,0),0)</f>
        <v>0</v>
      </c>
      <c r="AK97" s="688">
        <f t="shared" si="38"/>
        <v>269.32</v>
      </c>
    </row>
    <row r="98" spans="1:37" ht="11.1" customHeight="1">
      <c r="A98" s="653">
        <f>'Budget-合并'!A98</f>
        <v>0</v>
      </c>
      <c r="B98" s="653" t="str">
        <f>'Budget-合并'!B98</f>
        <v xml:space="preserve">    公司主体04</v>
      </c>
      <c r="C98" s="687" t="str">
        <f>'Budget-合并'!C98</f>
        <v xml:space="preserve">   Entity</v>
      </c>
      <c r="D98" s="676">
        <f t="shared" si="31"/>
        <v>75</v>
      </c>
      <c r="E98" s="676" t="e">
        <f t="shared" si="32"/>
        <v>#N/A</v>
      </c>
      <c r="F98" s="676" t="e">
        <f t="shared" si="33"/>
        <v>#N/A</v>
      </c>
      <c r="G98" s="676">
        <f t="shared" ca="1" si="34"/>
        <v>75</v>
      </c>
      <c r="H98" s="676" t="e">
        <f t="shared" ca="1" si="35"/>
        <v>#N/A</v>
      </c>
      <c r="I98" s="676" t="e">
        <f t="shared" ca="1" si="36"/>
        <v>#N/A</v>
      </c>
      <c r="K98" s="676">
        <f>SUMIFS('T&amp;E'!N$79:N$88,'T&amp;E'!$B$79:$B$88,$D$1,'T&amp;E'!$C$79:$C$88,$A$97)</f>
        <v>75</v>
      </c>
      <c r="L98" s="676">
        <f>SUMIFS('T&amp;E'!O$79:O$88,'T&amp;E'!$B$79:$B$88,$D$1,'T&amp;E'!$C$79:$C$88,$A$97)</f>
        <v>75</v>
      </c>
      <c r="M98" s="676">
        <f>SUMIFS('T&amp;E'!P$79:P$88,'T&amp;E'!$B$79:$B$88,$D$1,'T&amp;E'!$C$79:$C$88,$A$97)</f>
        <v>75</v>
      </c>
      <c r="N98" s="676">
        <f>SUMIFS('T&amp;E'!Q$79:Q$88,'T&amp;E'!$B$79:$B$88,$D$1,'T&amp;E'!$C$79:$C$88,$A$97)</f>
        <v>75</v>
      </c>
      <c r="O98" s="676">
        <f>SUMIFS('T&amp;E'!R$79:R$88,'T&amp;E'!$B$79:$B$88,$D$1,'T&amp;E'!$C$79:$C$88,$A$97)</f>
        <v>75</v>
      </c>
      <c r="P98" s="676">
        <f>SUMIFS('T&amp;E'!S$79:S$88,'T&amp;E'!$B$79:$B$88,$D$1,'T&amp;E'!$C$79:$C$88,$A$97)</f>
        <v>75</v>
      </c>
      <c r="Q98" s="676">
        <f>SUMIFS('T&amp;E'!T$79:T$88,'T&amp;E'!$B$79:$B$88,$D$1,'T&amp;E'!$C$79:$C$88,$A$97)</f>
        <v>75</v>
      </c>
      <c r="R98" s="676">
        <f>SUMIFS('T&amp;E'!U$79:U$88,'T&amp;E'!$B$79:$B$88,$D$1,'T&amp;E'!$C$79:$C$88,$A$97)</f>
        <v>75</v>
      </c>
      <c r="S98" s="676">
        <f>SUMIFS('T&amp;E'!V$79:V$88,'T&amp;E'!$B$79:$B$88,$D$1,'T&amp;E'!$C$79:$C$88,$A$97)</f>
        <v>75</v>
      </c>
      <c r="T98" s="676">
        <f>SUMIFS('T&amp;E'!W$79:W$88,'T&amp;E'!$B$79:$B$88,$D$1,'T&amp;E'!$C$79:$C$88,$A$97)</f>
        <v>75</v>
      </c>
      <c r="U98" s="676">
        <f>SUMIFS('T&amp;E'!X$79:X$88,'T&amp;E'!$B$79:$B$88,$D$1,'T&amp;E'!$C$79:$C$88,$A$97)</f>
        <v>75</v>
      </c>
      <c r="V98" s="676">
        <f>SUMIFS('T&amp;E'!Y$79:Y$88,'T&amp;E'!$B$79:$B$88,$D$1,'T&amp;E'!$C$79:$C$88,$A$97)</f>
        <v>75</v>
      </c>
      <c r="W98" s="676">
        <f t="shared" si="43"/>
        <v>900</v>
      </c>
      <c r="Y98" s="688">
        <f>IFERROR(VLOOKUP($A98,'[95]1月'!$A:$H,8,0),0)</f>
        <v>0</v>
      </c>
      <c r="Z98" s="688">
        <f>IFERROR(VLOOKUP($A98,'[95]2月'!$A:$H,8,0),0)</f>
        <v>0</v>
      </c>
      <c r="AA98" s="688">
        <f>IFERROR(VLOOKUP($A98,'[95]3月'!$A:$H,8,0),0)</f>
        <v>0</v>
      </c>
      <c r="AB98" s="688">
        <f>IFERROR(VLOOKUP($A98,'[95]4月'!$A:$H,8,0),0)</f>
        <v>0</v>
      </c>
      <c r="AC98" s="688">
        <v>46</v>
      </c>
      <c r="AD98" s="688">
        <f>IFERROR(VLOOKUP($A98,'[95]6月'!$A:$H,8,0),0)</f>
        <v>0</v>
      </c>
      <c r="AE98" s="688">
        <v>112</v>
      </c>
      <c r="AF98" s="688">
        <v>111</v>
      </c>
      <c r="AG98" s="688">
        <f>IFERROR(VLOOKUP($A98,'[95]9月'!$A:$H,8,0),0)</f>
        <v>0</v>
      </c>
      <c r="AH98" s="688">
        <f>IFERROR(VLOOKUP($A98,'[95]10月'!$A:$H,8,0),0)</f>
        <v>0</v>
      </c>
      <c r="AI98" s="688">
        <f>IFERROR(VLOOKUP($A98,'[95]11月'!$A:$H,8,0),0)</f>
        <v>0</v>
      </c>
      <c r="AJ98" s="688">
        <f>IFERROR(VLOOKUP($A98,'[95]12月'!$A:$H,8,0),0)</f>
        <v>0</v>
      </c>
      <c r="AK98" s="688">
        <f t="shared" si="38"/>
        <v>269</v>
      </c>
    </row>
    <row r="99" spans="1:37" ht="11.1" customHeight="1">
      <c r="A99" s="653">
        <f>'Budget-合并'!A99</f>
        <v>0</v>
      </c>
      <c r="B99" s="653" t="str">
        <f>'Budget-合并'!B99</f>
        <v xml:space="preserve">    旭智富能04</v>
      </c>
      <c r="C99" s="687" t="str">
        <f>'Budget-合并'!C99</f>
        <v xml:space="preserve">   Foxpower</v>
      </c>
      <c r="D99" s="676">
        <f t="shared" si="31"/>
        <v>0</v>
      </c>
      <c r="E99" s="676" t="e">
        <f t="shared" si="32"/>
        <v>#N/A</v>
      </c>
      <c r="F99" s="676" t="e">
        <f t="shared" si="33"/>
        <v>#N/A</v>
      </c>
      <c r="G99" s="676">
        <f t="shared" ca="1" si="34"/>
        <v>0</v>
      </c>
      <c r="H99" s="676" t="e">
        <f t="shared" ca="1" si="35"/>
        <v>#N/A</v>
      </c>
      <c r="I99" s="676" t="e">
        <f t="shared" ca="1" si="36"/>
        <v>#N/A</v>
      </c>
      <c r="K99" s="676"/>
      <c r="L99" s="676"/>
      <c r="M99" s="676"/>
      <c r="N99" s="676"/>
      <c r="O99" s="676"/>
      <c r="P99" s="676"/>
      <c r="Q99" s="676"/>
      <c r="R99" s="676"/>
      <c r="S99" s="676"/>
      <c r="T99" s="676"/>
      <c r="U99" s="676"/>
      <c r="V99" s="676"/>
      <c r="W99" s="676">
        <f t="shared" si="43"/>
        <v>0</v>
      </c>
      <c r="Y99" s="688">
        <f>IFERROR(VLOOKUP($A99,'[95]1月'!$A:$H,8,0),0)</f>
        <v>0</v>
      </c>
      <c r="Z99" s="688">
        <f>IFERROR(VLOOKUP($A99,'[95]2月'!$A:$H,8,0),0)</f>
        <v>0</v>
      </c>
      <c r="AA99" s="688">
        <f>IFERROR(VLOOKUP($A99,'[95]3月'!$A:$H,8,0),0)</f>
        <v>0</v>
      </c>
      <c r="AB99" s="688">
        <f>IFERROR(VLOOKUP($A99,'[95]4月'!$A:$H,8,0),0)</f>
        <v>0</v>
      </c>
      <c r="AC99" s="688">
        <f>IFERROR(VLOOKUP($A99,'[95]5月'!$A:$H,8,0),0)</f>
        <v>0</v>
      </c>
      <c r="AD99" s="688">
        <f>IFERROR(VLOOKUP($A99,'[95]6月'!$A:$H,8,0),0)</f>
        <v>0</v>
      </c>
      <c r="AE99" s="688">
        <f>IFERROR(VLOOKUP($A99,'[95]7月'!$A:$H,8,0),0)</f>
        <v>0</v>
      </c>
      <c r="AF99" s="688">
        <f>IFERROR(VLOOKUP($A99,'[95]8月'!$A:$H,8,0),0)</f>
        <v>0</v>
      </c>
      <c r="AG99" s="688">
        <f>IFERROR(VLOOKUP($A99,'[95]9月'!$A:$H,8,0),0)</f>
        <v>0</v>
      </c>
      <c r="AH99" s="688">
        <f>IFERROR(VLOOKUP($A99,'[95]10月'!$A:$H,8,0),0)</f>
        <v>0</v>
      </c>
      <c r="AI99" s="688">
        <f>IFERROR(VLOOKUP($A99,'[95]11月'!$A:$H,8,0),0)</f>
        <v>0</v>
      </c>
      <c r="AJ99" s="688">
        <f>IFERROR(VLOOKUP($A99,'[95]12月'!$A:$H,8,0),0)</f>
        <v>0</v>
      </c>
      <c r="AK99" s="688">
        <f t="shared" si="38"/>
        <v>0</v>
      </c>
    </row>
    <row r="100" spans="1:37" ht="11.1" customHeight="1">
      <c r="A100" s="653">
        <f>'Budget-合并'!A100</f>
        <v>0</v>
      </c>
      <c r="B100" s="653" t="str">
        <f>'Budget-合并'!B100</f>
        <v xml:space="preserve">    其他项目04</v>
      </c>
      <c r="C100" s="687" t="str">
        <f>'Budget-合并'!C100</f>
        <v xml:space="preserve">   Other project</v>
      </c>
      <c r="D100" s="676">
        <f t="shared" si="31"/>
        <v>0</v>
      </c>
      <c r="E100" s="676" t="e">
        <f t="shared" si="32"/>
        <v>#N/A</v>
      </c>
      <c r="F100" s="676" t="e">
        <f t="shared" si="33"/>
        <v>#N/A</v>
      </c>
      <c r="G100" s="676">
        <f t="shared" ca="1" si="34"/>
        <v>0</v>
      </c>
      <c r="H100" s="676" t="e">
        <f t="shared" ca="1" si="35"/>
        <v>#N/A</v>
      </c>
      <c r="I100" s="676" t="e">
        <f t="shared" ca="1" si="36"/>
        <v>#N/A</v>
      </c>
      <c r="K100" s="676"/>
      <c r="L100" s="676"/>
      <c r="M100" s="676"/>
      <c r="N100" s="676"/>
      <c r="O100" s="676"/>
      <c r="P100" s="676"/>
      <c r="Q100" s="676"/>
      <c r="R100" s="676"/>
      <c r="S100" s="676"/>
      <c r="T100" s="676"/>
      <c r="U100" s="676"/>
      <c r="V100" s="676"/>
      <c r="W100" s="676">
        <f t="shared" si="43"/>
        <v>0</v>
      </c>
      <c r="Y100" s="688">
        <f>IFERROR(VLOOKUP($A100,'[95]1月'!$A:$H,8,0),0)</f>
        <v>0</v>
      </c>
      <c r="Z100" s="688">
        <f>IFERROR(VLOOKUP($A100,'[95]2月'!$A:$H,8,0),0)</f>
        <v>0</v>
      </c>
      <c r="AA100" s="688">
        <f>IFERROR(VLOOKUP($A100,'[95]3月'!$A:$H,8,0),0)</f>
        <v>0</v>
      </c>
      <c r="AB100" s="688">
        <f>IFERROR(VLOOKUP($A100,'[95]4月'!$A:$H,8,0),0)</f>
        <v>0</v>
      </c>
      <c r="AC100" s="688">
        <f>IFERROR(VLOOKUP($A100,'[95]5月'!$A:$H,8,0),0)</f>
        <v>0</v>
      </c>
      <c r="AD100" s="688">
        <f>IFERROR(VLOOKUP($A100,'[95]6月'!$A:$H,8,0),0)</f>
        <v>0</v>
      </c>
      <c r="AE100" s="688">
        <f>IFERROR(VLOOKUP($A100,'[95]7月'!$A:$H,8,0),0)</f>
        <v>0</v>
      </c>
      <c r="AF100" s="688">
        <f>IFERROR(VLOOKUP($A100,'[95]8月'!$A:$H,8,0),0)</f>
        <v>0</v>
      </c>
      <c r="AG100" s="688">
        <f>IFERROR(VLOOKUP($A100,'[95]9月'!$A:$H,8,0),0)</f>
        <v>0</v>
      </c>
      <c r="AH100" s="688">
        <f>IFERROR(VLOOKUP($A100,'[95]10月'!$A:$H,8,0),0)</f>
        <v>0</v>
      </c>
      <c r="AI100" s="688">
        <f>IFERROR(VLOOKUP($A100,'[95]11月'!$A:$H,8,0),0)</f>
        <v>0</v>
      </c>
      <c r="AJ100" s="688">
        <f>IFERROR(VLOOKUP($A100,'[95]12月'!$A:$H,8,0),0)</f>
        <v>0</v>
      </c>
      <c r="AK100" s="688">
        <f t="shared" si="38"/>
        <v>0</v>
      </c>
    </row>
    <row r="101" spans="1:37" ht="11.1" customHeight="1">
      <c r="A101" s="653" t="str">
        <f>'Budget-合并'!A101</f>
        <v>6602.09.03</v>
      </c>
      <c r="B101" s="653" t="str">
        <f>'Budget-合并'!B101</f>
        <v>地面交通费</v>
      </c>
      <c r="C101" s="687" t="str">
        <f>'Budget-合并'!C101</f>
        <v>Travel Ground Transport - Outstation</v>
      </c>
      <c r="D101" s="676">
        <f t="shared" si="31"/>
        <v>150</v>
      </c>
      <c r="E101" s="676" t="e">
        <f t="shared" si="32"/>
        <v>#N/A</v>
      </c>
      <c r="F101" s="676" t="e">
        <f t="shared" si="33"/>
        <v>#N/A</v>
      </c>
      <c r="G101" s="676">
        <f t="shared" ca="1" si="34"/>
        <v>150</v>
      </c>
      <c r="H101" s="676" t="e">
        <f t="shared" ca="1" si="35"/>
        <v>#N/A</v>
      </c>
      <c r="I101" s="676" t="e">
        <f t="shared" ca="1" si="36"/>
        <v>#N/A</v>
      </c>
      <c r="K101" s="676">
        <f t="shared" ref="K101:V101" si="47">SUM(K102:K104)</f>
        <v>150</v>
      </c>
      <c r="L101" s="676">
        <f t="shared" si="47"/>
        <v>150</v>
      </c>
      <c r="M101" s="676">
        <f t="shared" si="47"/>
        <v>150</v>
      </c>
      <c r="N101" s="676">
        <f t="shared" si="47"/>
        <v>150</v>
      </c>
      <c r="O101" s="676">
        <f t="shared" si="47"/>
        <v>150</v>
      </c>
      <c r="P101" s="676">
        <f t="shared" si="47"/>
        <v>150</v>
      </c>
      <c r="Q101" s="676">
        <f t="shared" si="47"/>
        <v>150</v>
      </c>
      <c r="R101" s="676">
        <f t="shared" si="47"/>
        <v>150</v>
      </c>
      <c r="S101" s="676">
        <f t="shared" si="47"/>
        <v>150</v>
      </c>
      <c r="T101" s="676">
        <f t="shared" si="47"/>
        <v>150</v>
      </c>
      <c r="U101" s="676">
        <f t="shared" si="47"/>
        <v>150</v>
      </c>
      <c r="V101" s="676">
        <f t="shared" si="47"/>
        <v>150</v>
      </c>
      <c r="W101" s="676">
        <f t="shared" si="43"/>
        <v>1800</v>
      </c>
      <c r="Y101" s="688">
        <f>IFERROR(VLOOKUP($A101,'[95]1月'!$A:$H,8,0),0)</f>
        <v>0</v>
      </c>
      <c r="Z101" s="688">
        <f>IFERROR(VLOOKUP($A101,'[95]2月'!$A:$H,8,0),0)</f>
        <v>0</v>
      </c>
      <c r="AA101" s="688">
        <f>IFERROR(VLOOKUP($A101,'[95]3月'!$A:$H,8,0),0)</f>
        <v>0</v>
      </c>
      <c r="AB101" s="688">
        <f>IFERROR(VLOOKUP($A101,'[95]4月'!$A:$H,8,0),0)</f>
        <v>0</v>
      </c>
      <c r="AC101" s="688">
        <f>IFERROR(VLOOKUP($A101,'[95]5月'!$A:$H,8,0),0)</f>
        <v>284.22000000000003</v>
      </c>
      <c r="AD101" s="688">
        <f>IFERROR(VLOOKUP($A101,'[95]6月'!$A:$H,8,0),0)</f>
        <v>0</v>
      </c>
      <c r="AE101" s="688">
        <f>IFERROR(VLOOKUP($A101,'[95]7月'!$A:$H,8,0),0)</f>
        <v>399.54</v>
      </c>
      <c r="AF101" s="688">
        <f>IFERROR(VLOOKUP($A101,'[95]8月'!$A:$H,8,0),0)</f>
        <v>430.62</v>
      </c>
      <c r="AG101" s="688">
        <f>IFERROR(VLOOKUP($A101,'[95]9月'!$A:$H,8,0),0)</f>
        <v>0</v>
      </c>
      <c r="AH101" s="688">
        <f>IFERROR(VLOOKUP($A101,'[95]10月'!$A:$H,8,0),0)</f>
        <v>0</v>
      </c>
      <c r="AI101" s="688">
        <f>IFERROR(VLOOKUP($A101,'[95]11月'!$A:$H,8,0),0)</f>
        <v>0</v>
      </c>
      <c r="AJ101" s="688">
        <f>IFERROR(VLOOKUP($A101,'[95]12月'!$A:$H,8,0),0)</f>
        <v>0</v>
      </c>
      <c r="AK101" s="688">
        <f t="shared" si="38"/>
        <v>1114.3800000000001</v>
      </c>
    </row>
    <row r="102" spans="1:37" ht="11.1" customHeight="1">
      <c r="A102" s="653">
        <f>'Budget-合并'!A102</f>
        <v>0</v>
      </c>
      <c r="B102" s="653" t="str">
        <f>'Budget-合并'!B102</f>
        <v xml:space="preserve">    公司主体05</v>
      </c>
      <c r="C102" s="687" t="str">
        <f>'Budget-合并'!C102</f>
        <v xml:space="preserve">   Entity</v>
      </c>
      <c r="D102" s="676">
        <f t="shared" si="31"/>
        <v>150</v>
      </c>
      <c r="E102" s="676" t="e">
        <f t="shared" si="32"/>
        <v>#N/A</v>
      </c>
      <c r="F102" s="676" t="e">
        <f t="shared" si="33"/>
        <v>#N/A</v>
      </c>
      <c r="G102" s="676">
        <f t="shared" ca="1" si="34"/>
        <v>150</v>
      </c>
      <c r="H102" s="676" t="e">
        <f t="shared" ca="1" si="35"/>
        <v>#N/A</v>
      </c>
      <c r="I102" s="676" t="e">
        <f t="shared" ca="1" si="36"/>
        <v>#N/A</v>
      </c>
      <c r="K102" s="676">
        <f>SUMIFS('T&amp;E'!N$79:N$88,'T&amp;E'!$B$79:$B$88,$D$1,'T&amp;E'!$C$79:$C$88,$A$101)</f>
        <v>150</v>
      </c>
      <c r="L102" s="676">
        <f>SUMIFS('T&amp;E'!O$79:O$88,'T&amp;E'!$B$79:$B$88,$D$1,'T&amp;E'!$C$79:$C$88,$A$101)</f>
        <v>150</v>
      </c>
      <c r="M102" s="676">
        <f>SUMIFS('T&amp;E'!P$79:P$88,'T&amp;E'!$B$79:$B$88,$D$1,'T&amp;E'!$C$79:$C$88,$A$101)</f>
        <v>150</v>
      </c>
      <c r="N102" s="676">
        <f>SUMIFS('T&amp;E'!Q$79:Q$88,'T&amp;E'!$B$79:$B$88,$D$1,'T&amp;E'!$C$79:$C$88,$A$101)</f>
        <v>150</v>
      </c>
      <c r="O102" s="676">
        <f>SUMIFS('T&amp;E'!R$79:R$88,'T&amp;E'!$B$79:$B$88,$D$1,'T&amp;E'!$C$79:$C$88,$A$101)</f>
        <v>150</v>
      </c>
      <c r="P102" s="676">
        <f>SUMIFS('T&amp;E'!S$79:S$88,'T&amp;E'!$B$79:$B$88,$D$1,'T&amp;E'!$C$79:$C$88,$A$101)</f>
        <v>150</v>
      </c>
      <c r="Q102" s="676">
        <f>SUMIFS('T&amp;E'!T$79:T$88,'T&amp;E'!$B$79:$B$88,$D$1,'T&amp;E'!$C$79:$C$88,$A$101)</f>
        <v>150</v>
      </c>
      <c r="R102" s="676">
        <f>SUMIFS('T&amp;E'!U$79:U$88,'T&amp;E'!$B$79:$B$88,$D$1,'T&amp;E'!$C$79:$C$88,$A$101)</f>
        <v>150</v>
      </c>
      <c r="S102" s="676">
        <f>SUMIFS('T&amp;E'!V$79:V$88,'T&amp;E'!$B$79:$B$88,$D$1,'T&amp;E'!$C$79:$C$88,$A$101)</f>
        <v>150</v>
      </c>
      <c r="T102" s="676">
        <f>SUMIFS('T&amp;E'!W$79:W$88,'T&amp;E'!$B$79:$B$88,$D$1,'T&amp;E'!$C$79:$C$88,$A$101)</f>
        <v>150</v>
      </c>
      <c r="U102" s="676">
        <f>SUMIFS('T&amp;E'!X$79:X$88,'T&amp;E'!$B$79:$B$88,$D$1,'T&amp;E'!$C$79:$C$88,$A$101)</f>
        <v>150</v>
      </c>
      <c r="V102" s="676">
        <f>SUMIFS('T&amp;E'!Y$79:Y$88,'T&amp;E'!$B$79:$B$88,$D$1,'T&amp;E'!$C$79:$C$88,$A$101)</f>
        <v>150</v>
      </c>
      <c r="W102" s="676">
        <f t="shared" si="43"/>
        <v>1800</v>
      </c>
      <c r="Y102" s="688">
        <f>IFERROR(VLOOKUP($A102,'[95]1月'!$A:$H,8,0),0)</f>
        <v>0</v>
      </c>
      <c r="Z102" s="688">
        <f>IFERROR(VLOOKUP($A102,'[95]2月'!$A:$H,8,0),0)</f>
        <v>0</v>
      </c>
      <c r="AA102" s="688">
        <f>IFERROR(VLOOKUP($A102,'[95]3月'!$A:$H,8,0),0)</f>
        <v>0</v>
      </c>
      <c r="AB102" s="688">
        <f>IFERROR(VLOOKUP($A102,'[95]4月'!$A:$H,8,0),0)</f>
        <v>0</v>
      </c>
      <c r="AC102" s="688">
        <v>284</v>
      </c>
      <c r="AD102" s="688">
        <f>IFERROR(VLOOKUP($A102,'[95]6月'!$A:$H,8,0),0)</f>
        <v>0</v>
      </c>
      <c r="AE102" s="688">
        <v>400</v>
      </c>
      <c r="AF102" s="688">
        <v>431</v>
      </c>
      <c r="AG102" s="688">
        <f>IFERROR(VLOOKUP($A102,'[95]9月'!$A:$H,8,0),0)</f>
        <v>0</v>
      </c>
      <c r="AH102" s="688">
        <f>IFERROR(VLOOKUP($A102,'[95]10月'!$A:$H,8,0),0)</f>
        <v>0</v>
      </c>
      <c r="AI102" s="688">
        <f>IFERROR(VLOOKUP($A102,'[95]11月'!$A:$H,8,0),0)</f>
        <v>0</v>
      </c>
      <c r="AJ102" s="688">
        <f>IFERROR(VLOOKUP($A102,'[95]12月'!$A:$H,8,0),0)</f>
        <v>0</v>
      </c>
      <c r="AK102" s="688">
        <f t="shared" si="38"/>
        <v>1115</v>
      </c>
    </row>
    <row r="103" spans="1:37" ht="11.1" customHeight="1">
      <c r="A103" s="653">
        <f>'Budget-合并'!A103</f>
        <v>0</v>
      </c>
      <c r="B103" s="653" t="str">
        <f>'Budget-合并'!B103</f>
        <v xml:space="preserve">    旭智富能05</v>
      </c>
      <c r="C103" s="687" t="str">
        <f>'Budget-合并'!C103</f>
        <v xml:space="preserve">   Foxpower</v>
      </c>
      <c r="D103" s="676">
        <f t="shared" si="31"/>
        <v>0</v>
      </c>
      <c r="E103" s="676" t="e">
        <f t="shared" si="32"/>
        <v>#N/A</v>
      </c>
      <c r="F103" s="676" t="e">
        <f t="shared" si="33"/>
        <v>#N/A</v>
      </c>
      <c r="G103" s="676">
        <f t="shared" ca="1" si="34"/>
        <v>0</v>
      </c>
      <c r="H103" s="676" t="e">
        <f t="shared" ca="1" si="35"/>
        <v>#N/A</v>
      </c>
      <c r="I103" s="676" t="e">
        <f t="shared" ca="1" si="36"/>
        <v>#N/A</v>
      </c>
      <c r="K103" s="676"/>
      <c r="L103" s="676"/>
      <c r="M103" s="676"/>
      <c r="N103" s="676"/>
      <c r="O103" s="676"/>
      <c r="P103" s="676"/>
      <c r="Q103" s="676"/>
      <c r="R103" s="676"/>
      <c r="S103" s="676"/>
      <c r="T103" s="676"/>
      <c r="U103" s="676"/>
      <c r="V103" s="676"/>
      <c r="W103" s="676">
        <f t="shared" si="43"/>
        <v>0</v>
      </c>
      <c r="Y103" s="688">
        <f>IFERROR(VLOOKUP($A103,'[95]1月'!$A:$H,8,0),0)</f>
        <v>0</v>
      </c>
      <c r="Z103" s="688">
        <f>IFERROR(VLOOKUP($A103,'[95]2月'!$A:$H,8,0),0)</f>
        <v>0</v>
      </c>
      <c r="AA103" s="688">
        <f>IFERROR(VLOOKUP($A103,'[95]3月'!$A:$H,8,0),0)</f>
        <v>0</v>
      </c>
      <c r="AB103" s="688">
        <f>IFERROR(VLOOKUP($A103,'[95]4月'!$A:$H,8,0),0)</f>
        <v>0</v>
      </c>
      <c r="AC103" s="688">
        <f>IFERROR(VLOOKUP($A103,'[95]5月'!$A:$H,8,0),0)</f>
        <v>0</v>
      </c>
      <c r="AD103" s="688">
        <f>IFERROR(VLOOKUP($A103,'[95]6月'!$A:$H,8,0),0)</f>
        <v>0</v>
      </c>
      <c r="AE103" s="688">
        <f>IFERROR(VLOOKUP($A103,'[95]7月'!$A:$H,8,0),0)</f>
        <v>0</v>
      </c>
      <c r="AF103" s="688">
        <f>IFERROR(VLOOKUP($A103,'[95]8月'!$A:$H,8,0),0)</f>
        <v>0</v>
      </c>
      <c r="AG103" s="688">
        <f>IFERROR(VLOOKUP($A103,'[95]9月'!$A:$H,8,0),0)</f>
        <v>0</v>
      </c>
      <c r="AH103" s="688">
        <f>IFERROR(VLOOKUP($A103,'[95]10月'!$A:$H,8,0),0)</f>
        <v>0</v>
      </c>
      <c r="AI103" s="688">
        <f>IFERROR(VLOOKUP($A103,'[95]11月'!$A:$H,8,0),0)</f>
        <v>0</v>
      </c>
      <c r="AJ103" s="688">
        <f>IFERROR(VLOOKUP($A103,'[95]12月'!$A:$H,8,0),0)</f>
        <v>0</v>
      </c>
      <c r="AK103" s="688">
        <f t="shared" si="38"/>
        <v>0</v>
      </c>
    </row>
    <row r="104" spans="1:37" ht="11.1" customHeight="1">
      <c r="A104" s="653">
        <f>'Budget-合并'!A104</f>
        <v>0</v>
      </c>
      <c r="B104" s="653" t="str">
        <f>'Budget-合并'!B104</f>
        <v xml:space="preserve">    其他项目05</v>
      </c>
      <c r="C104" s="687" t="str">
        <f>'Budget-合并'!C104</f>
        <v xml:space="preserve">   Other project</v>
      </c>
      <c r="D104" s="676">
        <f t="shared" si="31"/>
        <v>0</v>
      </c>
      <c r="E104" s="676" t="e">
        <f t="shared" si="32"/>
        <v>#N/A</v>
      </c>
      <c r="F104" s="676" t="e">
        <f t="shared" si="33"/>
        <v>#N/A</v>
      </c>
      <c r="G104" s="676">
        <f t="shared" ca="1" si="34"/>
        <v>0</v>
      </c>
      <c r="H104" s="676" t="e">
        <f t="shared" ca="1" si="35"/>
        <v>#N/A</v>
      </c>
      <c r="I104" s="676" t="e">
        <f t="shared" ca="1" si="36"/>
        <v>#N/A</v>
      </c>
      <c r="K104" s="676"/>
      <c r="L104" s="676"/>
      <c r="M104" s="676"/>
      <c r="N104" s="676"/>
      <c r="O104" s="676"/>
      <c r="P104" s="676"/>
      <c r="Q104" s="676"/>
      <c r="R104" s="676"/>
      <c r="S104" s="676"/>
      <c r="T104" s="676"/>
      <c r="U104" s="676"/>
      <c r="V104" s="676"/>
      <c r="W104" s="676">
        <f t="shared" si="43"/>
        <v>0</v>
      </c>
      <c r="Y104" s="688">
        <f>IFERROR(VLOOKUP($A104,'[95]1月'!$A:$H,8,0),0)</f>
        <v>0</v>
      </c>
      <c r="Z104" s="688">
        <f>IFERROR(VLOOKUP($A104,'[95]2月'!$A:$H,8,0),0)</f>
        <v>0</v>
      </c>
      <c r="AA104" s="688">
        <f>IFERROR(VLOOKUP($A104,'[95]3月'!$A:$H,8,0),0)</f>
        <v>0</v>
      </c>
      <c r="AB104" s="688">
        <f>IFERROR(VLOOKUP($A104,'[95]4月'!$A:$H,8,0),0)</f>
        <v>0</v>
      </c>
      <c r="AC104" s="688">
        <f>IFERROR(VLOOKUP($A104,'[95]5月'!$A:$H,8,0),0)</f>
        <v>0</v>
      </c>
      <c r="AD104" s="688">
        <f>IFERROR(VLOOKUP($A104,'[95]6月'!$A:$H,8,0),0)</f>
        <v>0</v>
      </c>
      <c r="AE104" s="688">
        <f>IFERROR(VLOOKUP($A104,'[95]7月'!$A:$H,8,0),0)</f>
        <v>0</v>
      </c>
      <c r="AF104" s="688">
        <f>IFERROR(VLOOKUP($A104,'[95]8月'!$A:$H,8,0),0)</f>
        <v>0</v>
      </c>
      <c r="AG104" s="688">
        <f>IFERROR(VLOOKUP($A104,'[95]9月'!$A:$H,8,0),0)</f>
        <v>0</v>
      </c>
      <c r="AH104" s="688">
        <f>IFERROR(VLOOKUP($A104,'[95]10月'!$A:$H,8,0),0)</f>
        <v>0</v>
      </c>
      <c r="AI104" s="688">
        <f>IFERROR(VLOOKUP($A104,'[95]11月'!$A:$H,8,0),0)</f>
        <v>0</v>
      </c>
      <c r="AJ104" s="688">
        <f>IFERROR(VLOOKUP($A104,'[95]12月'!$A:$H,8,0),0)</f>
        <v>0</v>
      </c>
      <c r="AK104" s="688">
        <f t="shared" si="38"/>
        <v>0</v>
      </c>
    </row>
    <row r="105" spans="1:37" ht="11.1" customHeight="1">
      <c r="A105" s="653" t="str">
        <f>'Budget-合并'!A105</f>
        <v>6602.09.04</v>
      </c>
      <c r="B105" s="653" t="str">
        <f>'Budget-合并'!B105</f>
        <v>空中交通费</v>
      </c>
      <c r="C105" s="687" t="str">
        <f>'Budget-合并'!C105</f>
        <v>Travel Air Transport</v>
      </c>
      <c r="D105" s="676">
        <f t="shared" si="31"/>
        <v>0</v>
      </c>
      <c r="E105" s="676" t="e">
        <f t="shared" si="32"/>
        <v>#N/A</v>
      </c>
      <c r="F105" s="676" t="e">
        <f t="shared" si="33"/>
        <v>#N/A</v>
      </c>
      <c r="G105" s="676">
        <f t="shared" ca="1" si="34"/>
        <v>0</v>
      </c>
      <c r="H105" s="676" t="e">
        <f t="shared" ca="1" si="35"/>
        <v>#N/A</v>
      </c>
      <c r="I105" s="676" t="e">
        <f t="shared" ca="1" si="36"/>
        <v>#N/A</v>
      </c>
      <c r="K105" s="676">
        <f t="shared" ref="K105:V105" si="48">SUM(K106:K108)</f>
        <v>0</v>
      </c>
      <c r="L105" s="676">
        <f t="shared" si="48"/>
        <v>0</v>
      </c>
      <c r="M105" s="676">
        <f t="shared" si="48"/>
        <v>0</v>
      </c>
      <c r="N105" s="676">
        <f t="shared" si="48"/>
        <v>0</v>
      </c>
      <c r="O105" s="676">
        <f t="shared" si="48"/>
        <v>0</v>
      </c>
      <c r="P105" s="676">
        <f t="shared" si="48"/>
        <v>0</v>
      </c>
      <c r="Q105" s="676">
        <f t="shared" si="48"/>
        <v>0</v>
      </c>
      <c r="R105" s="676">
        <f t="shared" si="48"/>
        <v>0</v>
      </c>
      <c r="S105" s="676">
        <f t="shared" si="48"/>
        <v>0</v>
      </c>
      <c r="T105" s="676">
        <f t="shared" si="48"/>
        <v>0</v>
      </c>
      <c r="U105" s="676">
        <f t="shared" si="48"/>
        <v>0</v>
      </c>
      <c r="V105" s="676">
        <f t="shared" si="48"/>
        <v>0</v>
      </c>
      <c r="W105" s="676">
        <f t="shared" si="43"/>
        <v>0</v>
      </c>
      <c r="Y105" s="688">
        <f>IFERROR(VLOOKUP($A105,'[95]1月'!$A:$H,8,0),0)</f>
        <v>0</v>
      </c>
      <c r="Z105" s="688">
        <f>IFERROR(VLOOKUP($A105,'[95]2月'!$A:$H,8,0),0)</f>
        <v>0</v>
      </c>
      <c r="AA105" s="688">
        <f>IFERROR(VLOOKUP($A105,'[95]3月'!$A:$H,8,0),0)</f>
        <v>0</v>
      </c>
      <c r="AB105" s="688">
        <f>IFERROR(VLOOKUP($A105,'[95]4月'!$A:$H,8,0),0)</f>
        <v>0</v>
      </c>
      <c r="AC105" s="688">
        <f>IFERROR(VLOOKUP($A105,'[95]5月'!$A:$H,8,0),0)</f>
        <v>0</v>
      </c>
      <c r="AD105" s="688">
        <f>IFERROR(VLOOKUP($A105,'[95]6月'!$A:$H,8,0),0)</f>
        <v>0</v>
      </c>
      <c r="AE105" s="688">
        <f>IFERROR(VLOOKUP($A105,'[95]7月'!$A:$H,8,0),0)</f>
        <v>0</v>
      </c>
      <c r="AF105" s="688">
        <f>IFERROR(VLOOKUP($A105,'[95]8月'!$A:$H,8,0),0)</f>
        <v>0</v>
      </c>
      <c r="AG105" s="688">
        <f>IFERROR(VLOOKUP($A105,'[95]9月'!$A:$H,8,0),0)</f>
        <v>0</v>
      </c>
      <c r="AH105" s="688">
        <f>IFERROR(VLOOKUP($A105,'[95]10月'!$A:$H,8,0),0)</f>
        <v>0</v>
      </c>
      <c r="AI105" s="688">
        <f>IFERROR(VLOOKUP($A105,'[95]11月'!$A:$H,8,0),0)</f>
        <v>0</v>
      </c>
      <c r="AJ105" s="688">
        <f>IFERROR(VLOOKUP($A105,'[95]12月'!$A:$H,8,0),0)</f>
        <v>0</v>
      </c>
      <c r="AK105" s="688">
        <f t="shared" si="38"/>
        <v>0</v>
      </c>
    </row>
    <row r="106" spans="1:37" ht="11.1" customHeight="1">
      <c r="A106" s="653">
        <f>'Budget-合并'!A106</f>
        <v>0</v>
      </c>
      <c r="B106" s="653" t="str">
        <f>'Budget-合并'!B106</f>
        <v xml:space="preserve">    公司主体06</v>
      </c>
      <c r="C106" s="687" t="str">
        <f>'Budget-合并'!C106</f>
        <v xml:space="preserve">   Entity</v>
      </c>
      <c r="D106" s="676">
        <f t="shared" si="31"/>
        <v>0</v>
      </c>
      <c r="E106" s="676" t="e">
        <f t="shared" si="32"/>
        <v>#N/A</v>
      </c>
      <c r="F106" s="676" t="e">
        <f t="shared" si="33"/>
        <v>#N/A</v>
      </c>
      <c r="G106" s="676">
        <f t="shared" ca="1" si="34"/>
        <v>0</v>
      </c>
      <c r="H106" s="676" t="e">
        <f t="shared" ca="1" si="35"/>
        <v>#N/A</v>
      </c>
      <c r="I106" s="676" t="e">
        <f t="shared" ca="1" si="36"/>
        <v>#N/A</v>
      </c>
      <c r="K106" s="676"/>
      <c r="L106" s="676"/>
      <c r="M106" s="676"/>
      <c r="N106" s="676"/>
      <c r="O106" s="676"/>
      <c r="P106" s="676"/>
      <c r="Q106" s="676"/>
      <c r="R106" s="676"/>
      <c r="S106" s="676"/>
      <c r="T106" s="676"/>
      <c r="U106" s="676"/>
      <c r="V106" s="676"/>
      <c r="W106" s="676">
        <f t="shared" si="43"/>
        <v>0</v>
      </c>
      <c r="Y106" s="688">
        <f>IFERROR(VLOOKUP($A106,'[95]1月'!$A:$H,8,0),0)</f>
        <v>0</v>
      </c>
      <c r="Z106" s="688">
        <f>IFERROR(VLOOKUP($A106,'[95]2月'!$A:$H,8,0),0)</f>
        <v>0</v>
      </c>
      <c r="AA106" s="688">
        <f>IFERROR(VLOOKUP($A106,'[95]3月'!$A:$H,8,0),0)</f>
        <v>0</v>
      </c>
      <c r="AB106" s="688">
        <f>IFERROR(VLOOKUP($A106,'[95]4月'!$A:$H,8,0),0)</f>
        <v>0</v>
      </c>
      <c r="AC106" s="688">
        <f>IFERROR(VLOOKUP($A106,'[95]5月'!$A:$H,8,0),0)</f>
        <v>0</v>
      </c>
      <c r="AD106" s="688">
        <f>IFERROR(VLOOKUP($A106,'[95]6月'!$A:$H,8,0),0)</f>
        <v>0</v>
      </c>
      <c r="AE106" s="688">
        <f>IFERROR(VLOOKUP($A106,'[95]7月'!$A:$H,8,0),0)</f>
        <v>0</v>
      </c>
      <c r="AF106" s="688">
        <f>IFERROR(VLOOKUP($A106,'[95]8月'!$A:$H,8,0),0)</f>
        <v>0</v>
      </c>
      <c r="AG106" s="688">
        <f>IFERROR(VLOOKUP($A106,'[95]9月'!$A:$H,8,0),0)</f>
        <v>0</v>
      </c>
      <c r="AH106" s="688">
        <f>IFERROR(VLOOKUP($A106,'[95]10月'!$A:$H,8,0),0)</f>
        <v>0</v>
      </c>
      <c r="AI106" s="688">
        <f>IFERROR(VLOOKUP($A106,'[95]11月'!$A:$H,8,0),0)</f>
        <v>0</v>
      </c>
      <c r="AJ106" s="688">
        <f>IFERROR(VLOOKUP($A106,'[95]12月'!$A:$H,8,0),0)</f>
        <v>0</v>
      </c>
      <c r="AK106" s="688">
        <f t="shared" si="38"/>
        <v>0</v>
      </c>
    </row>
    <row r="107" spans="1:37" ht="11.1" customHeight="1">
      <c r="A107" s="653">
        <f>'Budget-合并'!A107</f>
        <v>0</v>
      </c>
      <c r="B107" s="653" t="str">
        <f>'Budget-合并'!B107</f>
        <v xml:space="preserve">    旭智富能06</v>
      </c>
      <c r="C107" s="687" t="str">
        <f>'Budget-合并'!C107</f>
        <v xml:space="preserve">   Foxpower</v>
      </c>
      <c r="D107" s="676">
        <f t="shared" si="31"/>
        <v>0</v>
      </c>
      <c r="E107" s="676" t="e">
        <f t="shared" si="32"/>
        <v>#N/A</v>
      </c>
      <c r="F107" s="676" t="e">
        <f t="shared" si="33"/>
        <v>#N/A</v>
      </c>
      <c r="G107" s="676">
        <f t="shared" ca="1" si="34"/>
        <v>0</v>
      </c>
      <c r="H107" s="676" t="e">
        <f t="shared" ca="1" si="35"/>
        <v>#N/A</v>
      </c>
      <c r="I107" s="676" t="e">
        <f t="shared" ca="1" si="36"/>
        <v>#N/A</v>
      </c>
      <c r="K107" s="676"/>
      <c r="L107" s="676"/>
      <c r="M107" s="676"/>
      <c r="N107" s="676"/>
      <c r="O107" s="676"/>
      <c r="P107" s="676"/>
      <c r="Q107" s="676"/>
      <c r="R107" s="676"/>
      <c r="S107" s="676"/>
      <c r="T107" s="676"/>
      <c r="U107" s="676"/>
      <c r="V107" s="676"/>
      <c r="W107" s="676">
        <f t="shared" si="43"/>
        <v>0</v>
      </c>
      <c r="Y107" s="688">
        <f>IFERROR(VLOOKUP($A107,'[95]1月'!$A:$H,8,0),0)</f>
        <v>0</v>
      </c>
      <c r="Z107" s="688">
        <f>IFERROR(VLOOKUP($A107,'[95]2月'!$A:$H,8,0),0)</f>
        <v>0</v>
      </c>
      <c r="AA107" s="688">
        <f>IFERROR(VLOOKUP($A107,'[95]3月'!$A:$H,8,0),0)</f>
        <v>0</v>
      </c>
      <c r="AB107" s="688">
        <f>IFERROR(VLOOKUP($A107,'[95]4月'!$A:$H,8,0),0)</f>
        <v>0</v>
      </c>
      <c r="AC107" s="688">
        <f>IFERROR(VLOOKUP($A107,'[95]5月'!$A:$H,8,0),0)</f>
        <v>0</v>
      </c>
      <c r="AD107" s="688">
        <f>IFERROR(VLOOKUP($A107,'[95]6月'!$A:$H,8,0),0)</f>
        <v>0</v>
      </c>
      <c r="AE107" s="688">
        <f>IFERROR(VLOOKUP($A107,'[95]7月'!$A:$H,8,0),0)</f>
        <v>0</v>
      </c>
      <c r="AF107" s="688">
        <f>IFERROR(VLOOKUP($A107,'[95]8月'!$A:$H,8,0),0)</f>
        <v>0</v>
      </c>
      <c r="AG107" s="688">
        <f>IFERROR(VLOOKUP($A107,'[95]9月'!$A:$H,8,0),0)</f>
        <v>0</v>
      </c>
      <c r="AH107" s="688">
        <f>IFERROR(VLOOKUP($A107,'[95]10月'!$A:$H,8,0),0)</f>
        <v>0</v>
      </c>
      <c r="AI107" s="688">
        <f>IFERROR(VLOOKUP($A107,'[95]11月'!$A:$H,8,0),0)</f>
        <v>0</v>
      </c>
      <c r="AJ107" s="688">
        <f>IFERROR(VLOOKUP($A107,'[95]12月'!$A:$H,8,0),0)</f>
        <v>0</v>
      </c>
      <c r="AK107" s="688">
        <f t="shared" si="38"/>
        <v>0</v>
      </c>
    </row>
    <row r="108" spans="1:37" ht="11.1" customHeight="1">
      <c r="A108" s="653">
        <f>'Budget-合并'!A108</f>
        <v>0</v>
      </c>
      <c r="B108" s="653" t="str">
        <f>'Budget-合并'!B108</f>
        <v xml:space="preserve">    其他项目06</v>
      </c>
      <c r="C108" s="687" t="str">
        <f>'Budget-合并'!C108</f>
        <v xml:space="preserve">   Other project</v>
      </c>
      <c r="D108" s="676">
        <f t="shared" ref="D108:D153" si="49">INDEX($K108:$V108,1,MATCH($D$6,$K$6:$V$6))</f>
        <v>0</v>
      </c>
      <c r="E108" s="676" t="e">
        <f t="shared" ref="E108:E153" si="50">INDEX($Y108:$AJ108,1,MATCH($E$6,$Y$6:$AJ$6))</f>
        <v>#N/A</v>
      </c>
      <c r="F108" s="676" t="e">
        <f t="shared" ref="F108:F153" si="51">D108-E108</f>
        <v>#N/A</v>
      </c>
      <c r="G108" s="676">
        <f t="shared" ref="G108:G153" ca="1" si="52">SUM($K108:OFFSET($K108,0,MATCH(G$6,$K$6:$V$6)-1))</f>
        <v>0</v>
      </c>
      <c r="H108" s="676" t="e">
        <f t="shared" ref="H108:H153" ca="1" si="53">SUM($Y108:OFFSET($Y108,0,MATCH(H$6,$Y$6:$AJ$6)-1))</f>
        <v>#N/A</v>
      </c>
      <c r="I108" s="676" t="e">
        <f t="shared" ref="I108:I153" ca="1" si="54">G108-H108</f>
        <v>#N/A</v>
      </c>
      <c r="K108" s="676"/>
      <c r="L108" s="676"/>
      <c r="M108" s="676"/>
      <c r="N108" s="676"/>
      <c r="O108" s="676"/>
      <c r="P108" s="676"/>
      <c r="Q108" s="676"/>
      <c r="R108" s="676"/>
      <c r="S108" s="676"/>
      <c r="T108" s="676"/>
      <c r="U108" s="676"/>
      <c r="V108" s="676"/>
      <c r="W108" s="676">
        <f t="shared" si="43"/>
        <v>0</v>
      </c>
      <c r="Y108" s="688">
        <f>IFERROR(VLOOKUP($A108,'[95]1月'!$A:$H,8,0),0)</f>
        <v>0</v>
      </c>
      <c r="Z108" s="688">
        <f>IFERROR(VLOOKUP($A108,'[95]2月'!$A:$H,8,0),0)</f>
        <v>0</v>
      </c>
      <c r="AA108" s="688">
        <f>IFERROR(VLOOKUP($A108,'[95]3月'!$A:$H,8,0),0)</f>
        <v>0</v>
      </c>
      <c r="AB108" s="688">
        <f>IFERROR(VLOOKUP($A108,'[95]4月'!$A:$H,8,0),0)</f>
        <v>0</v>
      </c>
      <c r="AC108" s="688">
        <f>IFERROR(VLOOKUP($A108,'[95]5月'!$A:$H,8,0),0)</f>
        <v>0</v>
      </c>
      <c r="AD108" s="688">
        <f>IFERROR(VLOOKUP($A108,'[95]6月'!$A:$H,8,0),0)</f>
        <v>0</v>
      </c>
      <c r="AE108" s="688">
        <f>IFERROR(VLOOKUP($A108,'[95]7月'!$A:$H,8,0),0)</f>
        <v>0</v>
      </c>
      <c r="AF108" s="688">
        <f>IFERROR(VLOOKUP($A108,'[95]8月'!$A:$H,8,0),0)</f>
        <v>0</v>
      </c>
      <c r="AG108" s="688">
        <f>IFERROR(VLOOKUP($A108,'[95]9月'!$A:$H,8,0),0)</f>
        <v>0</v>
      </c>
      <c r="AH108" s="688">
        <f>IFERROR(VLOOKUP($A108,'[95]10月'!$A:$H,8,0),0)</f>
        <v>0</v>
      </c>
      <c r="AI108" s="688">
        <f>IFERROR(VLOOKUP($A108,'[95]11月'!$A:$H,8,0),0)</f>
        <v>0</v>
      </c>
      <c r="AJ108" s="688">
        <f>IFERROR(VLOOKUP($A108,'[95]12月'!$A:$H,8,0),0)</f>
        <v>0</v>
      </c>
      <c r="AK108" s="688">
        <f t="shared" ref="AK108:AK152" si="55">SUM(Y108:AJ108)</f>
        <v>0</v>
      </c>
    </row>
    <row r="109" spans="1:37" ht="11.1" customHeight="1">
      <c r="A109" s="653" t="str">
        <f>'Budget-合并'!A109</f>
        <v>6602.09.05</v>
      </c>
      <c r="B109" s="653" t="str">
        <f>'Budget-合并'!B109</f>
        <v>租车</v>
      </c>
      <c r="C109" s="687">
        <f>'Budget-合并'!C109</f>
        <v>0</v>
      </c>
      <c r="D109" s="676">
        <f t="shared" si="49"/>
        <v>0</v>
      </c>
      <c r="E109" s="676" t="e">
        <f t="shared" si="50"/>
        <v>#N/A</v>
      </c>
      <c r="F109" s="676" t="e">
        <f t="shared" si="51"/>
        <v>#N/A</v>
      </c>
      <c r="G109" s="676">
        <f t="shared" ca="1" si="52"/>
        <v>0</v>
      </c>
      <c r="H109" s="676" t="e">
        <f t="shared" ca="1" si="53"/>
        <v>#N/A</v>
      </c>
      <c r="I109" s="676" t="e">
        <f t="shared" ca="1" si="54"/>
        <v>#N/A</v>
      </c>
      <c r="K109" s="676">
        <f t="shared" ref="K109:V109" si="56">SUM(K110:K112)</f>
        <v>0</v>
      </c>
      <c r="L109" s="676">
        <f t="shared" si="56"/>
        <v>0</v>
      </c>
      <c r="M109" s="676">
        <f t="shared" si="56"/>
        <v>0</v>
      </c>
      <c r="N109" s="676">
        <f t="shared" si="56"/>
        <v>0</v>
      </c>
      <c r="O109" s="676">
        <f t="shared" si="56"/>
        <v>0</v>
      </c>
      <c r="P109" s="676">
        <f t="shared" si="56"/>
        <v>0</v>
      </c>
      <c r="Q109" s="676">
        <f t="shared" si="56"/>
        <v>0</v>
      </c>
      <c r="R109" s="676">
        <f t="shared" si="56"/>
        <v>0</v>
      </c>
      <c r="S109" s="676">
        <f t="shared" si="56"/>
        <v>0</v>
      </c>
      <c r="T109" s="676">
        <f t="shared" si="56"/>
        <v>0</v>
      </c>
      <c r="U109" s="676">
        <f t="shared" si="56"/>
        <v>0</v>
      </c>
      <c r="V109" s="676">
        <f t="shared" si="56"/>
        <v>0</v>
      </c>
      <c r="W109" s="676">
        <f t="shared" si="43"/>
        <v>0</v>
      </c>
      <c r="Y109" s="688">
        <f>IFERROR(VLOOKUP($A109,'[95]1月'!$A:$H,8,0),0)</f>
        <v>0</v>
      </c>
      <c r="Z109" s="688">
        <f>IFERROR(VLOOKUP($A109,'[95]2月'!$A:$H,8,0),0)</f>
        <v>0</v>
      </c>
      <c r="AA109" s="688">
        <f>IFERROR(VLOOKUP($A109,'[95]3月'!$A:$H,8,0),0)</f>
        <v>0</v>
      </c>
      <c r="AB109" s="688">
        <f>IFERROR(VLOOKUP($A109,'[95]4月'!$A:$H,8,0),0)</f>
        <v>0</v>
      </c>
      <c r="AC109" s="688">
        <f>IFERROR(VLOOKUP($A109,'[95]5月'!$A:$H,8,0),0)</f>
        <v>0</v>
      </c>
      <c r="AD109" s="688">
        <f>IFERROR(VLOOKUP($A109,'[95]6月'!$A:$H,8,0),0)</f>
        <v>0</v>
      </c>
      <c r="AE109" s="688">
        <f>IFERROR(VLOOKUP($A109,'[95]7月'!$A:$H,8,0),0)</f>
        <v>0</v>
      </c>
      <c r="AF109" s="688">
        <f>IFERROR(VLOOKUP($A109,'[95]8月'!$A:$H,8,0),0)</f>
        <v>0</v>
      </c>
      <c r="AG109" s="688">
        <f>IFERROR(VLOOKUP($A109,'[95]9月'!$A:$H,8,0),0)</f>
        <v>0</v>
      </c>
      <c r="AH109" s="688">
        <f>IFERROR(VLOOKUP($A109,'[95]10月'!$A:$H,8,0),0)</f>
        <v>0</v>
      </c>
      <c r="AI109" s="688">
        <f>IFERROR(VLOOKUP($A109,'[95]11月'!$A:$H,8,0),0)</f>
        <v>0</v>
      </c>
      <c r="AJ109" s="688">
        <f>IFERROR(VLOOKUP($A109,'[95]12月'!$A:$H,8,0),0)</f>
        <v>0</v>
      </c>
      <c r="AK109" s="688">
        <f t="shared" si="55"/>
        <v>0</v>
      </c>
    </row>
    <row r="110" spans="1:37" ht="11.1" customHeight="1">
      <c r="A110" s="653">
        <f>'Budget-合并'!A110</f>
        <v>0</v>
      </c>
      <c r="B110" s="653" t="str">
        <f>'Budget-合并'!B110</f>
        <v xml:space="preserve">    公司主体07</v>
      </c>
      <c r="C110" s="687" t="str">
        <f>'Budget-合并'!C110</f>
        <v xml:space="preserve">   Entity</v>
      </c>
      <c r="D110" s="676">
        <f t="shared" si="49"/>
        <v>0</v>
      </c>
      <c r="E110" s="676" t="e">
        <f t="shared" si="50"/>
        <v>#N/A</v>
      </c>
      <c r="F110" s="676" t="e">
        <f t="shared" si="51"/>
        <v>#N/A</v>
      </c>
      <c r="G110" s="676">
        <f t="shared" ca="1" si="52"/>
        <v>0</v>
      </c>
      <c r="H110" s="676" t="e">
        <f t="shared" ca="1" si="53"/>
        <v>#N/A</v>
      </c>
      <c r="I110" s="676" t="e">
        <f t="shared" ca="1" si="54"/>
        <v>#N/A</v>
      </c>
      <c r="K110" s="676"/>
      <c r="L110" s="676"/>
      <c r="M110" s="676"/>
      <c r="N110" s="676"/>
      <c r="O110" s="676"/>
      <c r="P110" s="676"/>
      <c r="Q110" s="676"/>
      <c r="R110" s="676"/>
      <c r="S110" s="676"/>
      <c r="T110" s="676"/>
      <c r="U110" s="676"/>
      <c r="V110" s="676"/>
      <c r="W110" s="676">
        <f t="shared" si="43"/>
        <v>0</v>
      </c>
      <c r="Y110" s="688">
        <f>IFERROR(VLOOKUP($A110,'[95]1月'!$A:$H,8,0),0)</f>
        <v>0</v>
      </c>
      <c r="Z110" s="688">
        <f>IFERROR(VLOOKUP($A110,'[95]2月'!$A:$H,8,0),0)</f>
        <v>0</v>
      </c>
      <c r="AA110" s="688">
        <f>IFERROR(VLOOKUP($A110,'[95]3月'!$A:$H,8,0),0)</f>
        <v>0</v>
      </c>
      <c r="AB110" s="688">
        <f>IFERROR(VLOOKUP($A110,'[95]4月'!$A:$H,8,0),0)</f>
        <v>0</v>
      </c>
      <c r="AC110" s="688">
        <f>IFERROR(VLOOKUP($A110,'[95]5月'!$A:$H,8,0),0)</f>
        <v>0</v>
      </c>
      <c r="AD110" s="688">
        <f>IFERROR(VLOOKUP($A110,'[95]6月'!$A:$H,8,0),0)</f>
        <v>0</v>
      </c>
      <c r="AE110" s="688">
        <f>IFERROR(VLOOKUP($A110,'[95]7月'!$A:$H,8,0),0)</f>
        <v>0</v>
      </c>
      <c r="AF110" s="688">
        <f>IFERROR(VLOOKUP($A110,'[95]8月'!$A:$H,8,0),0)</f>
        <v>0</v>
      </c>
      <c r="AG110" s="688">
        <f>IFERROR(VLOOKUP($A110,'[95]9月'!$A:$H,8,0),0)</f>
        <v>0</v>
      </c>
      <c r="AH110" s="688">
        <f>IFERROR(VLOOKUP($A110,'[95]10月'!$A:$H,8,0),0)</f>
        <v>0</v>
      </c>
      <c r="AI110" s="688">
        <f>IFERROR(VLOOKUP($A110,'[95]11月'!$A:$H,8,0),0)</f>
        <v>0</v>
      </c>
      <c r="AJ110" s="688">
        <f>IFERROR(VLOOKUP($A110,'[95]12月'!$A:$H,8,0),0)</f>
        <v>0</v>
      </c>
      <c r="AK110" s="688">
        <f t="shared" si="55"/>
        <v>0</v>
      </c>
    </row>
    <row r="111" spans="1:37" ht="11.1" customHeight="1">
      <c r="A111" s="653">
        <f>'Budget-合并'!A111</f>
        <v>0</v>
      </c>
      <c r="B111" s="653" t="str">
        <f>'Budget-合并'!B111</f>
        <v xml:space="preserve">    旭智富能07</v>
      </c>
      <c r="C111" s="687" t="str">
        <f>'Budget-合并'!C111</f>
        <v xml:space="preserve">   Foxpower</v>
      </c>
      <c r="D111" s="676">
        <f t="shared" si="49"/>
        <v>0</v>
      </c>
      <c r="E111" s="676" t="e">
        <f t="shared" si="50"/>
        <v>#N/A</v>
      </c>
      <c r="F111" s="676" t="e">
        <f t="shared" si="51"/>
        <v>#N/A</v>
      </c>
      <c r="G111" s="676">
        <f t="shared" ca="1" si="52"/>
        <v>0</v>
      </c>
      <c r="H111" s="676" t="e">
        <f t="shared" ca="1" si="53"/>
        <v>#N/A</v>
      </c>
      <c r="I111" s="676" t="e">
        <f t="shared" ca="1" si="54"/>
        <v>#N/A</v>
      </c>
      <c r="K111" s="676"/>
      <c r="L111" s="676"/>
      <c r="M111" s="676"/>
      <c r="N111" s="676"/>
      <c r="O111" s="676"/>
      <c r="P111" s="676"/>
      <c r="Q111" s="676"/>
      <c r="R111" s="676"/>
      <c r="S111" s="676"/>
      <c r="T111" s="676"/>
      <c r="U111" s="676"/>
      <c r="V111" s="676"/>
      <c r="W111" s="676">
        <f t="shared" si="43"/>
        <v>0</v>
      </c>
      <c r="Y111" s="688">
        <f>IFERROR(VLOOKUP($A111,'[95]1月'!$A:$H,8,0),0)</f>
        <v>0</v>
      </c>
      <c r="Z111" s="688">
        <f>IFERROR(VLOOKUP($A111,'[95]2月'!$A:$H,8,0),0)</f>
        <v>0</v>
      </c>
      <c r="AA111" s="688">
        <f>IFERROR(VLOOKUP($A111,'[95]3月'!$A:$H,8,0),0)</f>
        <v>0</v>
      </c>
      <c r="AB111" s="688">
        <f>IFERROR(VLOOKUP($A111,'[95]4月'!$A:$H,8,0),0)</f>
        <v>0</v>
      </c>
      <c r="AC111" s="688">
        <f>IFERROR(VLOOKUP($A111,'[95]5月'!$A:$H,8,0),0)</f>
        <v>0</v>
      </c>
      <c r="AD111" s="688">
        <f>IFERROR(VLOOKUP($A111,'[95]6月'!$A:$H,8,0),0)</f>
        <v>0</v>
      </c>
      <c r="AE111" s="688">
        <f>IFERROR(VLOOKUP($A111,'[95]7月'!$A:$H,8,0),0)</f>
        <v>0</v>
      </c>
      <c r="AF111" s="688">
        <f>IFERROR(VLOOKUP($A111,'[95]8月'!$A:$H,8,0),0)</f>
        <v>0</v>
      </c>
      <c r="AG111" s="688">
        <f>IFERROR(VLOOKUP($A111,'[95]9月'!$A:$H,8,0),0)</f>
        <v>0</v>
      </c>
      <c r="AH111" s="688">
        <f>IFERROR(VLOOKUP($A111,'[95]10月'!$A:$H,8,0),0)</f>
        <v>0</v>
      </c>
      <c r="AI111" s="688">
        <f>IFERROR(VLOOKUP($A111,'[95]11月'!$A:$H,8,0),0)</f>
        <v>0</v>
      </c>
      <c r="AJ111" s="688">
        <f>IFERROR(VLOOKUP($A111,'[95]12月'!$A:$H,8,0),0)</f>
        <v>0</v>
      </c>
      <c r="AK111" s="688">
        <f t="shared" si="55"/>
        <v>0</v>
      </c>
    </row>
    <row r="112" spans="1:37" ht="11.1" customHeight="1">
      <c r="A112" s="653">
        <f>'Budget-合并'!A112</f>
        <v>0</v>
      </c>
      <c r="B112" s="653" t="str">
        <f>'Budget-合并'!B112</f>
        <v xml:space="preserve">    其他项目07</v>
      </c>
      <c r="C112" s="687" t="str">
        <f>'Budget-合并'!C112</f>
        <v xml:space="preserve">   Other project</v>
      </c>
      <c r="D112" s="676">
        <f t="shared" si="49"/>
        <v>0</v>
      </c>
      <c r="E112" s="676" t="e">
        <f t="shared" si="50"/>
        <v>#N/A</v>
      </c>
      <c r="F112" s="676" t="e">
        <f t="shared" si="51"/>
        <v>#N/A</v>
      </c>
      <c r="G112" s="676">
        <f t="shared" ca="1" si="52"/>
        <v>0</v>
      </c>
      <c r="H112" s="676" t="e">
        <f t="shared" ca="1" si="53"/>
        <v>#N/A</v>
      </c>
      <c r="I112" s="676" t="e">
        <f t="shared" ca="1" si="54"/>
        <v>#N/A</v>
      </c>
      <c r="K112" s="676"/>
      <c r="L112" s="676"/>
      <c r="M112" s="676"/>
      <c r="N112" s="676"/>
      <c r="O112" s="676"/>
      <c r="P112" s="676"/>
      <c r="Q112" s="676"/>
      <c r="R112" s="676"/>
      <c r="S112" s="676"/>
      <c r="T112" s="676"/>
      <c r="U112" s="676"/>
      <c r="V112" s="676"/>
      <c r="W112" s="676">
        <f t="shared" si="43"/>
        <v>0</v>
      </c>
      <c r="Y112" s="688">
        <f>IFERROR(VLOOKUP($A112,'[95]1月'!$A:$H,8,0),0)</f>
        <v>0</v>
      </c>
      <c r="Z112" s="688">
        <f>IFERROR(VLOOKUP($A112,'[95]2月'!$A:$H,8,0),0)</f>
        <v>0</v>
      </c>
      <c r="AA112" s="688">
        <f>IFERROR(VLOOKUP($A112,'[95]3月'!$A:$H,8,0),0)</f>
        <v>0</v>
      </c>
      <c r="AB112" s="688">
        <f>IFERROR(VLOOKUP($A112,'[95]4月'!$A:$H,8,0),0)</f>
        <v>0</v>
      </c>
      <c r="AC112" s="688">
        <f>IFERROR(VLOOKUP($A112,'[95]5月'!$A:$H,8,0),0)</f>
        <v>0</v>
      </c>
      <c r="AD112" s="688">
        <f>IFERROR(VLOOKUP($A112,'[95]6月'!$A:$H,8,0),0)</f>
        <v>0</v>
      </c>
      <c r="AE112" s="688">
        <f>IFERROR(VLOOKUP($A112,'[95]7月'!$A:$H,8,0),0)</f>
        <v>0</v>
      </c>
      <c r="AF112" s="688">
        <f>IFERROR(VLOOKUP($A112,'[95]8月'!$A:$H,8,0),0)</f>
        <v>0</v>
      </c>
      <c r="AG112" s="688">
        <f>IFERROR(VLOOKUP($A112,'[95]9月'!$A:$H,8,0),0)</f>
        <v>0</v>
      </c>
      <c r="AH112" s="688">
        <f>IFERROR(VLOOKUP($A112,'[95]10月'!$A:$H,8,0),0)</f>
        <v>0</v>
      </c>
      <c r="AI112" s="688">
        <f>IFERROR(VLOOKUP($A112,'[95]11月'!$A:$H,8,0),0)</f>
        <v>0</v>
      </c>
      <c r="AJ112" s="688">
        <f>IFERROR(VLOOKUP($A112,'[95]12月'!$A:$H,8,0),0)</f>
        <v>0</v>
      </c>
      <c r="AK112" s="688">
        <f t="shared" si="55"/>
        <v>0</v>
      </c>
    </row>
    <row r="113" spans="1:37" ht="11.1" customHeight="1">
      <c r="A113" s="653" t="str">
        <f>'Budget-合并'!A113</f>
        <v>6602.09.06</v>
      </c>
      <c r="B113" s="653" t="str">
        <f>'Budget-合并'!B113</f>
        <v>其他汽车费用</v>
      </c>
      <c r="C113" s="687">
        <f>'Budget-合并'!C113</f>
        <v>0</v>
      </c>
      <c r="D113" s="676">
        <f t="shared" si="49"/>
        <v>0</v>
      </c>
      <c r="E113" s="676" t="e">
        <f t="shared" si="50"/>
        <v>#N/A</v>
      </c>
      <c r="F113" s="676" t="e">
        <f t="shared" si="51"/>
        <v>#N/A</v>
      </c>
      <c r="G113" s="676">
        <f t="shared" ca="1" si="52"/>
        <v>0</v>
      </c>
      <c r="H113" s="676" t="e">
        <f t="shared" ca="1" si="53"/>
        <v>#N/A</v>
      </c>
      <c r="I113" s="676" t="e">
        <f t="shared" ca="1" si="54"/>
        <v>#N/A</v>
      </c>
      <c r="K113" s="676">
        <f t="shared" ref="K113:V113" si="57">SUM(K114:K116)</f>
        <v>0</v>
      </c>
      <c r="L113" s="676">
        <f t="shared" si="57"/>
        <v>0</v>
      </c>
      <c r="M113" s="676">
        <f t="shared" si="57"/>
        <v>0</v>
      </c>
      <c r="N113" s="676">
        <f t="shared" si="57"/>
        <v>0</v>
      </c>
      <c r="O113" s="676">
        <f t="shared" si="57"/>
        <v>0</v>
      </c>
      <c r="P113" s="676">
        <f t="shared" si="57"/>
        <v>0</v>
      </c>
      <c r="Q113" s="676">
        <f t="shared" si="57"/>
        <v>0</v>
      </c>
      <c r="R113" s="676">
        <f t="shared" si="57"/>
        <v>0</v>
      </c>
      <c r="S113" s="676">
        <f t="shared" si="57"/>
        <v>0</v>
      </c>
      <c r="T113" s="676">
        <f t="shared" si="57"/>
        <v>0</v>
      </c>
      <c r="U113" s="676">
        <f t="shared" si="57"/>
        <v>0</v>
      </c>
      <c r="V113" s="676">
        <f t="shared" si="57"/>
        <v>0</v>
      </c>
      <c r="W113" s="676">
        <f t="shared" si="43"/>
        <v>0</v>
      </c>
      <c r="Y113" s="688">
        <f>IFERROR(VLOOKUP($A113,'[95]1月'!$A:$H,8,0),0)</f>
        <v>0</v>
      </c>
      <c r="Z113" s="688">
        <f>IFERROR(VLOOKUP($A113,'[95]2月'!$A:$H,8,0),0)</f>
        <v>0</v>
      </c>
      <c r="AA113" s="688">
        <f>IFERROR(VLOOKUP($A113,'[95]3月'!$A:$H,8,0),0)</f>
        <v>0</v>
      </c>
      <c r="AB113" s="688">
        <f>IFERROR(VLOOKUP($A113,'[95]4月'!$A:$H,8,0),0)</f>
        <v>0</v>
      </c>
      <c r="AC113" s="688">
        <f>IFERROR(VLOOKUP($A113,'[95]5月'!$A:$H,8,0),0)</f>
        <v>0</v>
      </c>
      <c r="AD113" s="688">
        <f>IFERROR(VLOOKUP($A113,'[95]6月'!$A:$H,8,0),0)</f>
        <v>0</v>
      </c>
      <c r="AE113" s="688">
        <f>IFERROR(VLOOKUP($A113,'[95]7月'!$A:$H,8,0),0)</f>
        <v>0</v>
      </c>
      <c r="AF113" s="688">
        <f>IFERROR(VLOOKUP($A113,'[95]8月'!$A:$H,8,0),0)</f>
        <v>0</v>
      </c>
      <c r="AG113" s="688">
        <f>IFERROR(VLOOKUP($A113,'[95]9月'!$A:$H,8,0),0)</f>
        <v>0</v>
      </c>
      <c r="AH113" s="688">
        <f>IFERROR(VLOOKUP($A113,'[95]10月'!$A:$H,8,0),0)</f>
        <v>0</v>
      </c>
      <c r="AI113" s="688">
        <f>IFERROR(VLOOKUP($A113,'[95]11月'!$A:$H,8,0),0)</f>
        <v>0</v>
      </c>
      <c r="AJ113" s="688">
        <f>IFERROR(VLOOKUP($A113,'[95]12月'!$A:$H,8,0),0)</f>
        <v>0</v>
      </c>
      <c r="AK113" s="688">
        <f t="shared" si="55"/>
        <v>0</v>
      </c>
    </row>
    <row r="114" spans="1:37" ht="11.1" customHeight="1">
      <c r="A114" s="653">
        <f>'Budget-合并'!A114</f>
        <v>0</v>
      </c>
      <c r="B114" s="653" t="str">
        <f>'Budget-合并'!B114</f>
        <v xml:space="preserve">    公司主体08</v>
      </c>
      <c r="C114" s="687" t="str">
        <f>'Budget-合并'!C114</f>
        <v xml:space="preserve">   Entity</v>
      </c>
      <c r="D114" s="676">
        <f t="shared" si="49"/>
        <v>0</v>
      </c>
      <c r="E114" s="676" t="e">
        <f t="shared" si="50"/>
        <v>#N/A</v>
      </c>
      <c r="F114" s="676" t="e">
        <f t="shared" si="51"/>
        <v>#N/A</v>
      </c>
      <c r="G114" s="676">
        <f t="shared" ca="1" si="52"/>
        <v>0</v>
      </c>
      <c r="H114" s="676" t="e">
        <f t="shared" ca="1" si="53"/>
        <v>#N/A</v>
      </c>
      <c r="I114" s="676" t="e">
        <f t="shared" ca="1" si="54"/>
        <v>#N/A</v>
      </c>
      <c r="K114" s="676"/>
      <c r="L114" s="676"/>
      <c r="M114" s="676"/>
      <c r="N114" s="676"/>
      <c r="O114" s="676"/>
      <c r="P114" s="676"/>
      <c r="Q114" s="676"/>
      <c r="R114" s="676"/>
      <c r="S114" s="676"/>
      <c r="T114" s="676"/>
      <c r="U114" s="676"/>
      <c r="V114" s="676"/>
      <c r="W114" s="676">
        <f t="shared" si="43"/>
        <v>0</v>
      </c>
      <c r="Y114" s="688">
        <f>IFERROR(VLOOKUP($A114,'[95]1月'!$A:$H,8,0),0)</f>
        <v>0</v>
      </c>
      <c r="Z114" s="688">
        <f>IFERROR(VLOOKUP($A114,'[95]2月'!$A:$H,8,0),0)</f>
        <v>0</v>
      </c>
      <c r="AA114" s="688">
        <f>IFERROR(VLOOKUP($A114,'[95]3月'!$A:$H,8,0),0)</f>
        <v>0</v>
      </c>
      <c r="AB114" s="688">
        <f>IFERROR(VLOOKUP($A114,'[95]4月'!$A:$H,8,0),0)</f>
        <v>0</v>
      </c>
      <c r="AC114" s="688">
        <f>IFERROR(VLOOKUP($A114,'[95]5月'!$A:$H,8,0),0)</f>
        <v>0</v>
      </c>
      <c r="AD114" s="688">
        <f>IFERROR(VLOOKUP($A114,'[95]6月'!$A:$H,8,0),0)</f>
        <v>0</v>
      </c>
      <c r="AE114" s="688">
        <f>IFERROR(VLOOKUP($A114,'[95]7月'!$A:$H,8,0),0)</f>
        <v>0</v>
      </c>
      <c r="AF114" s="688">
        <f>IFERROR(VLOOKUP($A114,'[95]8月'!$A:$H,8,0),0)</f>
        <v>0</v>
      </c>
      <c r="AG114" s="688">
        <f>IFERROR(VLOOKUP($A114,'[95]9月'!$A:$H,8,0),0)</f>
        <v>0</v>
      </c>
      <c r="AH114" s="688">
        <f>IFERROR(VLOOKUP($A114,'[95]10月'!$A:$H,8,0),0)</f>
        <v>0</v>
      </c>
      <c r="AI114" s="688">
        <f>IFERROR(VLOOKUP($A114,'[95]11月'!$A:$H,8,0),0)</f>
        <v>0</v>
      </c>
      <c r="AJ114" s="688">
        <f>IFERROR(VLOOKUP($A114,'[95]12月'!$A:$H,8,0),0)</f>
        <v>0</v>
      </c>
      <c r="AK114" s="688">
        <f t="shared" si="55"/>
        <v>0</v>
      </c>
    </row>
    <row r="115" spans="1:37" ht="11.1" customHeight="1">
      <c r="A115" s="653">
        <f>'Budget-合并'!A115</f>
        <v>0</v>
      </c>
      <c r="B115" s="653" t="str">
        <f>'Budget-合并'!B115</f>
        <v xml:space="preserve">    旭智富能08</v>
      </c>
      <c r="C115" s="687" t="str">
        <f>'Budget-合并'!C115</f>
        <v xml:space="preserve">   Foxpower</v>
      </c>
      <c r="D115" s="676">
        <f t="shared" si="49"/>
        <v>0</v>
      </c>
      <c r="E115" s="676" t="e">
        <f t="shared" si="50"/>
        <v>#N/A</v>
      </c>
      <c r="F115" s="676" t="e">
        <f t="shared" si="51"/>
        <v>#N/A</v>
      </c>
      <c r="G115" s="676">
        <f t="shared" ca="1" si="52"/>
        <v>0</v>
      </c>
      <c r="H115" s="676" t="e">
        <f t="shared" ca="1" si="53"/>
        <v>#N/A</v>
      </c>
      <c r="I115" s="676" t="e">
        <f t="shared" ca="1" si="54"/>
        <v>#N/A</v>
      </c>
      <c r="K115" s="676"/>
      <c r="L115" s="676"/>
      <c r="M115" s="676"/>
      <c r="N115" s="676"/>
      <c r="O115" s="676"/>
      <c r="P115" s="676"/>
      <c r="Q115" s="676"/>
      <c r="R115" s="676"/>
      <c r="S115" s="676"/>
      <c r="T115" s="676"/>
      <c r="U115" s="676"/>
      <c r="V115" s="676"/>
      <c r="W115" s="676">
        <f t="shared" si="43"/>
        <v>0</v>
      </c>
      <c r="Y115" s="688">
        <f>IFERROR(VLOOKUP($A115,'[95]1月'!$A:$H,8,0),0)</f>
        <v>0</v>
      </c>
      <c r="Z115" s="688">
        <f>IFERROR(VLOOKUP($A115,'[95]2月'!$A:$H,8,0),0)</f>
        <v>0</v>
      </c>
      <c r="AA115" s="688">
        <f>IFERROR(VLOOKUP($A115,'[95]3月'!$A:$H,8,0),0)</f>
        <v>0</v>
      </c>
      <c r="AB115" s="688">
        <f>IFERROR(VLOOKUP($A115,'[95]4月'!$A:$H,8,0),0)</f>
        <v>0</v>
      </c>
      <c r="AC115" s="688">
        <f>IFERROR(VLOOKUP($A115,'[95]5月'!$A:$H,8,0),0)</f>
        <v>0</v>
      </c>
      <c r="AD115" s="688">
        <f>IFERROR(VLOOKUP($A115,'[95]6月'!$A:$H,8,0),0)</f>
        <v>0</v>
      </c>
      <c r="AE115" s="688">
        <f>IFERROR(VLOOKUP($A115,'[95]7月'!$A:$H,8,0),0)</f>
        <v>0</v>
      </c>
      <c r="AF115" s="688">
        <f>IFERROR(VLOOKUP($A115,'[95]8月'!$A:$H,8,0),0)</f>
        <v>0</v>
      </c>
      <c r="AG115" s="688">
        <f>IFERROR(VLOOKUP($A115,'[95]9月'!$A:$H,8,0),0)</f>
        <v>0</v>
      </c>
      <c r="AH115" s="688">
        <f>IFERROR(VLOOKUP($A115,'[95]10月'!$A:$H,8,0),0)</f>
        <v>0</v>
      </c>
      <c r="AI115" s="688">
        <f>IFERROR(VLOOKUP($A115,'[95]11月'!$A:$H,8,0),0)</f>
        <v>0</v>
      </c>
      <c r="AJ115" s="688">
        <f>IFERROR(VLOOKUP($A115,'[95]12月'!$A:$H,8,0),0)</f>
        <v>0</v>
      </c>
      <c r="AK115" s="688">
        <f t="shared" si="55"/>
        <v>0</v>
      </c>
    </row>
    <row r="116" spans="1:37" ht="11.1" customHeight="1">
      <c r="A116" s="653">
        <f>'Budget-合并'!A116</f>
        <v>0</v>
      </c>
      <c r="B116" s="653" t="str">
        <f>'Budget-合并'!B116</f>
        <v xml:space="preserve">    其他项目08</v>
      </c>
      <c r="C116" s="687" t="str">
        <f>'Budget-合并'!C116</f>
        <v xml:space="preserve">   Other project</v>
      </c>
      <c r="D116" s="676">
        <f t="shared" si="49"/>
        <v>0</v>
      </c>
      <c r="E116" s="676" t="e">
        <f t="shared" si="50"/>
        <v>#N/A</v>
      </c>
      <c r="F116" s="676" t="e">
        <f t="shared" si="51"/>
        <v>#N/A</v>
      </c>
      <c r="G116" s="676">
        <f t="shared" ca="1" si="52"/>
        <v>0</v>
      </c>
      <c r="H116" s="676" t="e">
        <f t="shared" ca="1" si="53"/>
        <v>#N/A</v>
      </c>
      <c r="I116" s="676" t="e">
        <f t="shared" ca="1" si="54"/>
        <v>#N/A</v>
      </c>
      <c r="K116" s="676"/>
      <c r="L116" s="676"/>
      <c r="M116" s="676"/>
      <c r="N116" s="676"/>
      <c r="O116" s="676"/>
      <c r="P116" s="676"/>
      <c r="Q116" s="676"/>
      <c r="R116" s="676"/>
      <c r="S116" s="676"/>
      <c r="T116" s="676"/>
      <c r="U116" s="676"/>
      <c r="V116" s="676"/>
      <c r="W116" s="676">
        <f t="shared" si="43"/>
        <v>0</v>
      </c>
      <c r="Y116" s="688">
        <f>IFERROR(VLOOKUP($A116,'[95]1月'!$A:$H,8,0),0)</f>
        <v>0</v>
      </c>
      <c r="Z116" s="688">
        <f>IFERROR(VLOOKUP($A116,'[95]2月'!$A:$H,8,0),0)</f>
        <v>0</v>
      </c>
      <c r="AA116" s="688">
        <f>IFERROR(VLOOKUP($A116,'[95]3月'!$A:$H,8,0),0)</f>
        <v>0</v>
      </c>
      <c r="AB116" s="688">
        <f>IFERROR(VLOOKUP($A116,'[95]4月'!$A:$H,8,0),0)</f>
        <v>0</v>
      </c>
      <c r="AC116" s="688">
        <f>IFERROR(VLOOKUP($A116,'[95]5月'!$A:$H,8,0),0)</f>
        <v>0</v>
      </c>
      <c r="AD116" s="688">
        <f>IFERROR(VLOOKUP($A116,'[95]6月'!$A:$H,8,0),0)</f>
        <v>0</v>
      </c>
      <c r="AE116" s="688">
        <f>IFERROR(VLOOKUP($A116,'[95]7月'!$A:$H,8,0),0)</f>
        <v>0</v>
      </c>
      <c r="AF116" s="688">
        <f>IFERROR(VLOOKUP($A116,'[95]8月'!$A:$H,8,0),0)</f>
        <v>0</v>
      </c>
      <c r="AG116" s="688">
        <f>IFERROR(VLOOKUP($A116,'[95]9月'!$A:$H,8,0),0)</f>
        <v>0</v>
      </c>
      <c r="AH116" s="688">
        <f>IFERROR(VLOOKUP($A116,'[95]10月'!$A:$H,8,0),0)</f>
        <v>0</v>
      </c>
      <c r="AI116" s="688">
        <f>IFERROR(VLOOKUP($A116,'[95]11月'!$A:$H,8,0),0)</f>
        <v>0</v>
      </c>
      <c r="AJ116" s="688">
        <f>IFERROR(VLOOKUP($A116,'[95]12月'!$A:$H,8,0),0)</f>
        <v>0</v>
      </c>
      <c r="AK116" s="688">
        <f t="shared" si="55"/>
        <v>0</v>
      </c>
    </row>
    <row r="117" spans="1:37" ht="11.1" customHeight="1">
      <c r="A117" s="653" t="str">
        <f>'Budget-合并'!A117</f>
        <v>6602.09.07</v>
      </c>
      <c r="B117" s="653" t="str">
        <f>'Budget-合并'!B117</f>
        <v>检测费</v>
      </c>
      <c r="C117" s="687">
        <f>'Budget-合并'!C117</f>
        <v>0</v>
      </c>
      <c r="D117" s="676">
        <f t="shared" si="49"/>
        <v>0</v>
      </c>
      <c r="E117" s="676" t="e">
        <f t="shared" si="50"/>
        <v>#N/A</v>
      </c>
      <c r="F117" s="676" t="e">
        <f t="shared" si="51"/>
        <v>#N/A</v>
      </c>
      <c r="G117" s="676">
        <f t="shared" ca="1" si="52"/>
        <v>0</v>
      </c>
      <c r="H117" s="676" t="e">
        <f t="shared" ca="1" si="53"/>
        <v>#N/A</v>
      </c>
      <c r="I117" s="676" t="e">
        <f t="shared" ca="1" si="54"/>
        <v>#N/A</v>
      </c>
      <c r="K117" s="676"/>
      <c r="L117" s="676"/>
      <c r="M117" s="676"/>
      <c r="N117" s="676"/>
      <c r="O117" s="676"/>
      <c r="P117" s="676"/>
      <c r="Q117" s="676"/>
      <c r="R117" s="676"/>
      <c r="S117" s="676"/>
      <c r="T117" s="676"/>
      <c r="U117" s="676"/>
      <c r="V117" s="676"/>
      <c r="W117" s="676">
        <f t="shared" si="43"/>
        <v>0</v>
      </c>
      <c r="Y117" s="688">
        <f>IFERROR(VLOOKUP($A117,'[95]1月'!$A:$H,8,0),0)</f>
        <v>0</v>
      </c>
      <c r="Z117" s="688">
        <f>IFERROR(VLOOKUP($A117,'[95]2月'!$A:$H,8,0),0)</f>
        <v>0</v>
      </c>
      <c r="AA117" s="688">
        <f>IFERROR(VLOOKUP($A117,'[95]3月'!$A:$H,8,0),0)</f>
        <v>0</v>
      </c>
      <c r="AB117" s="688">
        <f>IFERROR(VLOOKUP($A117,'[95]4月'!$A:$H,8,0),0)</f>
        <v>0</v>
      </c>
      <c r="AC117" s="688">
        <f>IFERROR(VLOOKUP($A117,'[95]5月'!$A:$H,8,0),0)</f>
        <v>0</v>
      </c>
      <c r="AD117" s="688">
        <f>IFERROR(VLOOKUP($A117,'[95]6月'!$A:$H,8,0),0)</f>
        <v>0</v>
      </c>
      <c r="AE117" s="688">
        <f>IFERROR(VLOOKUP($A117,'[95]7月'!$A:$H,8,0),0)</f>
        <v>0</v>
      </c>
      <c r="AF117" s="688">
        <f>IFERROR(VLOOKUP($A117,'[95]8月'!$A:$H,8,0),0)</f>
        <v>0</v>
      </c>
      <c r="AG117" s="688">
        <f>IFERROR(VLOOKUP($A117,'[95]9月'!$A:$H,8,0),0)</f>
        <v>0</v>
      </c>
      <c r="AH117" s="688">
        <f>IFERROR(VLOOKUP($A117,'[95]10月'!$A:$H,8,0),0)</f>
        <v>0</v>
      </c>
      <c r="AI117" s="688">
        <f>IFERROR(VLOOKUP($A117,'[95]11月'!$A:$H,8,0),0)</f>
        <v>0</v>
      </c>
      <c r="AJ117" s="688">
        <f>IFERROR(VLOOKUP($A117,'[95]12月'!$A:$H,8,0),0)</f>
        <v>0</v>
      </c>
      <c r="AK117" s="688">
        <f t="shared" si="55"/>
        <v>0</v>
      </c>
    </row>
    <row r="118" spans="1:37" ht="11.1" customHeight="1">
      <c r="A118" s="653" t="str">
        <f>'Budget-合并'!A118</f>
        <v>6602.09.08</v>
      </c>
      <c r="B118" s="653" t="str">
        <f>'Budget-合并'!B118</f>
        <v>退改费用（机票/火车等）</v>
      </c>
      <c r="C118" s="687">
        <f>'Budget-合并'!C118</f>
        <v>0</v>
      </c>
      <c r="D118" s="676">
        <f t="shared" si="49"/>
        <v>0</v>
      </c>
      <c r="E118" s="676" t="e">
        <f t="shared" si="50"/>
        <v>#N/A</v>
      </c>
      <c r="F118" s="676" t="e">
        <f t="shared" si="51"/>
        <v>#N/A</v>
      </c>
      <c r="G118" s="676">
        <f t="shared" ca="1" si="52"/>
        <v>0</v>
      </c>
      <c r="H118" s="676" t="e">
        <f t="shared" ca="1" si="53"/>
        <v>#N/A</v>
      </c>
      <c r="I118" s="676" t="e">
        <f t="shared" ca="1" si="54"/>
        <v>#N/A</v>
      </c>
      <c r="K118" s="676">
        <f t="shared" ref="K118:V118" si="58">SUM(K119:K121)</f>
        <v>0</v>
      </c>
      <c r="L118" s="676">
        <f t="shared" si="58"/>
        <v>0</v>
      </c>
      <c r="M118" s="676">
        <f t="shared" si="58"/>
        <v>0</v>
      </c>
      <c r="N118" s="676">
        <f t="shared" si="58"/>
        <v>0</v>
      </c>
      <c r="O118" s="676">
        <f t="shared" si="58"/>
        <v>0</v>
      </c>
      <c r="P118" s="676">
        <f t="shared" si="58"/>
        <v>0</v>
      </c>
      <c r="Q118" s="676">
        <f t="shared" si="58"/>
        <v>0</v>
      </c>
      <c r="R118" s="676">
        <f t="shared" si="58"/>
        <v>0</v>
      </c>
      <c r="S118" s="676">
        <f t="shared" si="58"/>
        <v>0</v>
      </c>
      <c r="T118" s="676">
        <f t="shared" si="58"/>
        <v>0</v>
      </c>
      <c r="U118" s="676">
        <f t="shared" si="58"/>
        <v>0</v>
      </c>
      <c r="V118" s="676">
        <f t="shared" si="58"/>
        <v>0</v>
      </c>
      <c r="W118" s="676">
        <f t="shared" si="43"/>
        <v>0</v>
      </c>
      <c r="Y118" s="688">
        <f>IFERROR(VLOOKUP($A118,'[95]1月'!$A:$H,8,0),0)</f>
        <v>0</v>
      </c>
      <c r="Z118" s="688">
        <f>IFERROR(VLOOKUP($A118,'[95]2月'!$A:$H,8,0),0)</f>
        <v>0</v>
      </c>
      <c r="AA118" s="688">
        <f>IFERROR(VLOOKUP($A118,'[95]3月'!$A:$H,8,0),0)</f>
        <v>0</v>
      </c>
      <c r="AB118" s="688">
        <f>IFERROR(VLOOKUP($A118,'[95]4月'!$A:$H,8,0),0)</f>
        <v>0</v>
      </c>
      <c r="AC118" s="688">
        <f>IFERROR(VLOOKUP($A118,'[95]5月'!$A:$H,8,0),0)</f>
        <v>0</v>
      </c>
      <c r="AD118" s="688">
        <f>IFERROR(VLOOKUP($A118,'[95]6月'!$A:$H,8,0),0)</f>
        <v>0</v>
      </c>
      <c r="AE118" s="688">
        <f>IFERROR(VLOOKUP($A118,'[95]7月'!$A:$H,8,0),0)</f>
        <v>0</v>
      </c>
      <c r="AF118" s="688">
        <f>IFERROR(VLOOKUP($A118,'[95]8月'!$A:$H,8,0),0)</f>
        <v>29.72</v>
      </c>
      <c r="AG118" s="688">
        <f>IFERROR(VLOOKUP($A118,'[95]9月'!$A:$H,8,0),0)</f>
        <v>0</v>
      </c>
      <c r="AH118" s="688">
        <f>IFERROR(VLOOKUP($A118,'[95]10月'!$A:$H,8,0),0)</f>
        <v>0</v>
      </c>
      <c r="AI118" s="688">
        <f>IFERROR(VLOOKUP($A118,'[95]11月'!$A:$H,8,0),0)</f>
        <v>0</v>
      </c>
      <c r="AJ118" s="688">
        <f>IFERROR(VLOOKUP($A118,'[95]12月'!$A:$H,8,0),0)</f>
        <v>0</v>
      </c>
      <c r="AK118" s="688">
        <f t="shared" si="55"/>
        <v>29.72</v>
      </c>
    </row>
    <row r="119" spans="1:37" ht="11.1" customHeight="1">
      <c r="A119" s="653">
        <f>'Budget-合并'!A119</f>
        <v>0</v>
      </c>
      <c r="B119" s="653" t="str">
        <f>'Budget-合并'!B119</f>
        <v xml:space="preserve">    公司主体09</v>
      </c>
      <c r="C119" s="687" t="str">
        <f>'Budget-合并'!C119</f>
        <v xml:space="preserve">   Entity</v>
      </c>
      <c r="D119" s="676">
        <f t="shared" si="49"/>
        <v>0</v>
      </c>
      <c r="E119" s="676" t="e">
        <f t="shared" si="50"/>
        <v>#N/A</v>
      </c>
      <c r="F119" s="676" t="e">
        <f t="shared" si="51"/>
        <v>#N/A</v>
      </c>
      <c r="G119" s="676">
        <f t="shared" ca="1" si="52"/>
        <v>0</v>
      </c>
      <c r="H119" s="676" t="e">
        <f t="shared" ca="1" si="53"/>
        <v>#N/A</v>
      </c>
      <c r="I119" s="676" t="e">
        <f t="shared" ca="1" si="54"/>
        <v>#N/A</v>
      </c>
      <c r="K119" s="676"/>
      <c r="L119" s="676"/>
      <c r="M119" s="676"/>
      <c r="N119" s="676"/>
      <c r="O119" s="676"/>
      <c r="P119" s="676"/>
      <c r="Q119" s="676"/>
      <c r="R119" s="676"/>
      <c r="S119" s="676"/>
      <c r="T119" s="676"/>
      <c r="U119" s="676"/>
      <c r="V119" s="676"/>
      <c r="W119" s="676">
        <f t="shared" si="43"/>
        <v>0</v>
      </c>
      <c r="Y119" s="688">
        <f>IFERROR(VLOOKUP($A119,'[95]1月'!$A:$H,8,0),0)</f>
        <v>0</v>
      </c>
      <c r="Z119" s="688">
        <f>IFERROR(VLOOKUP($A119,'[95]2月'!$A:$H,8,0),0)</f>
        <v>0</v>
      </c>
      <c r="AA119" s="688">
        <f>IFERROR(VLOOKUP($A119,'[95]3月'!$A:$H,8,0),0)</f>
        <v>0</v>
      </c>
      <c r="AB119" s="688">
        <f>IFERROR(VLOOKUP($A119,'[95]4月'!$A:$H,8,0),0)</f>
        <v>0</v>
      </c>
      <c r="AC119" s="688">
        <f>IFERROR(VLOOKUP($A119,'[95]5月'!$A:$H,8,0),0)</f>
        <v>0</v>
      </c>
      <c r="AD119" s="688">
        <f>IFERROR(VLOOKUP($A119,'[95]6月'!$A:$H,8,0),0)</f>
        <v>0</v>
      </c>
      <c r="AE119" s="688">
        <f>IFERROR(VLOOKUP($A119,'[95]7月'!$A:$H,8,0),0)</f>
        <v>0</v>
      </c>
      <c r="AF119" s="688">
        <v>30</v>
      </c>
      <c r="AG119" s="688">
        <f>IFERROR(VLOOKUP($A119,'[95]9月'!$A:$H,8,0),0)</f>
        <v>0</v>
      </c>
      <c r="AH119" s="688">
        <f>IFERROR(VLOOKUP($A119,'[95]10月'!$A:$H,8,0),0)</f>
        <v>0</v>
      </c>
      <c r="AI119" s="688">
        <f>IFERROR(VLOOKUP($A119,'[95]11月'!$A:$H,8,0),0)</f>
        <v>0</v>
      </c>
      <c r="AJ119" s="688">
        <f>IFERROR(VLOOKUP($A119,'[95]12月'!$A:$H,8,0),0)</f>
        <v>0</v>
      </c>
      <c r="AK119" s="688">
        <f t="shared" si="55"/>
        <v>30</v>
      </c>
    </row>
    <row r="120" spans="1:37" ht="11.1" customHeight="1">
      <c r="A120" s="653">
        <f>'Budget-合并'!A120</f>
        <v>0</v>
      </c>
      <c r="B120" s="653" t="str">
        <f>'Budget-合并'!B120</f>
        <v xml:space="preserve">    旭智富能09</v>
      </c>
      <c r="C120" s="687" t="str">
        <f>'Budget-合并'!C120</f>
        <v xml:space="preserve">   Foxpower</v>
      </c>
      <c r="D120" s="676">
        <f t="shared" si="49"/>
        <v>0</v>
      </c>
      <c r="E120" s="676" t="e">
        <f t="shared" si="50"/>
        <v>#N/A</v>
      </c>
      <c r="F120" s="676" t="e">
        <f t="shared" si="51"/>
        <v>#N/A</v>
      </c>
      <c r="G120" s="676">
        <f t="shared" ca="1" si="52"/>
        <v>0</v>
      </c>
      <c r="H120" s="676" t="e">
        <f t="shared" ca="1" si="53"/>
        <v>#N/A</v>
      </c>
      <c r="I120" s="676" t="e">
        <f t="shared" ca="1" si="54"/>
        <v>#N/A</v>
      </c>
      <c r="K120" s="676"/>
      <c r="L120" s="676"/>
      <c r="M120" s="676"/>
      <c r="N120" s="676"/>
      <c r="O120" s="676"/>
      <c r="P120" s="676"/>
      <c r="Q120" s="676"/>
      <c r="R120" s="676"/>
      <c r="S120" s="676"/>
      <c r="T120" s="676"/>
      <c r="U120" s="676"/>
      <c r="V120" s="676"/>
      <c r="W120" s="676">
        <f t="shared" si="43"/>
        <v>0</v>
      </c>
      <c r="Y120" s="688">
        <f>IFERROR(VLOOKUP($A120,'[95]1月'!$A:$H,8,0),0)</f>
        <v>0</v>
      </c>
      <c r="Z120" s="688">
        <f>IFERROR(VLOOKUP($A120,'[95]2月'!$A:$H,8,0),0)</f>
        <v>0</v>
      </c>
      <c r="AA120" s="688">
        <f>IFERROR(VLOOKUP($A120,'[95]3月'!$A:$H,8,0),0)</f>
        <v>0</v>
      </c>
      <c r="AB120" s="688">
        <f>IFERROR(VLOOKUP($A120,'[95]4月'!$A:$H,8,0),0)</f>
        <v>0</v>
      </c>
      <c r="AC120" s="688">
        <f>IFERROR(VLOOKUP($A120,'[95]5月'!$A:$H,8,0),0)</f>
        <v>0</v>
      </c>
      <c r="AD120" s="688">
        <f>IFERROR(VLOOKUP($A120,'[95]6月'!$A:$H,8,0),0)</f>
        <v>0</v>
      </c>
      <c r="AE120" s="688">
        <f>IFERROR(VLOOKUP($A120,'[95]7月'!$A:$H,8,0),0)</f>
        <v>0</v>
      </c>
      <c r="AF120" s="688">
        <f>IFERROR(VLOOKUP($A120,'[95]8月'!$A:$H,8,0),0)</f>
        <v>0</v>
      </c>
      <c r="AG120" s="688">
        <f>IFERROR(VLOOKUP($A120,'[95]9月'!$A:$H,8,0),0)</f>
        <v>0</v>
      </c>
      <c r="AH120" s="688">
        <f>IFERROR(VLOOKUP($A120,'[95]10月'!$A:$H,8,0),0)</f>
        <v>0</v>
      </c>
      <c r="AI120" s="688">
        <f>IFERROR(VLOOKUP($A120,'[95]11月'!$A:$H,8,0),0)</f>
        <v>0</v>
      </c>
      <c r="AJ120" s="688">
        <f>IFERROR(VLOOKUP($A120,'[95]12月'!$A:$H,8,0),0)</f>
        <v>0</v>
      </c>
      <c r="AK120" s="688">
        <f t="shared" si="55"/>
        <v>0</v>
      </c>
    </row>
    <row r="121" spans="1:37" ht="11.1" customHeight="1">
      <c r="A121" s="653">
        <f>'Budget-合并'!A121</f>
        <v>0</v>
      </c>
      <c r="B121" s="653" t="str">
        <f>'Budget-合并'!B121</f>
        <v xml:space="preserve">    其他项目09</v>
      </c>
      <c r="C121" s="687" t="str">
        <f>'Budget-合并'!C121</f>
        <v xml:space="preserve">   Other project</v>
      </c>
      <c r="D121" s="676">
        <f t="shared" si="49"/>
        <v>0</v>
      </c>
      <c r="E121" s="676" t="e">
        <f t="shared" si="50"/>
        <v>#N/A</v>
      </c>
      <c r="F121" s="676" t="e">
        <f t="shared" si="51"/>
        <v>#N/A</v>
      </c>
      <c r="G121" s="676">
        <f t="shared" ca="1" si="52"/>
        <v>0</v>
      </c>
      <c r="H121" s="676" t="e">
        <f t="shared" ca="1" si="53"/>
        <v>#N/A</v>
      </c>
      <c r="I121" s="676" t="e">
        <f t="shared" ca="1" si="54"/>
        <v>#N/A</v>
      </c>
      <c r="K121" s="676"/>
      <c r="L121" s="676"/>
      <c r="M121" s="676"/>
      <c r="N121" s="676"/>
      <c r="O121" s="676"/>
      <c r="P121" s="676"/>
      <c r="Q121" s="676"/>
      <c r="R121" s="676"/>
      <c r="S121" s="676"/>
      <c r="T121" s="676"/>
      <c r="U121" s="676"/>
      <c r="V121" s="676"/>
      <c r="W121" s="676">
        <f t="shared" si="43"/>
        <v>0</v>
      </c>
      <c r="Y121" s="688">
        <f>IFERROR(VLOOKUP($A121,'[95]1月'!$A:$H,8,0),0)</f>
        <v>0</v>
      </c>
      <c r="Z121" s="688">
        <f>IFERROR(VLOOKUP($A121,'[95]2月'!$A:$H,8,0),0)</f>
        <v>0</v>
      </c>
      <c r="AA121" s="688">
        <f>IFERROR(VLOOKUP($A121,'[95]3月'!$A:$H,8,0),0)</f>
        <v>0</v>
      </c>
      <c r="AB121" s="688">
        <f>IFERROR(VLOOKUP($A121,'[95]4月'!$A:$H,8,0),0)</f>
        <v>0</v>
      </c>
      <c r="AC121" s="688">
        <f>IFERROR(VLOOKUP($A121,'[95]5月'!$A:$H,8,0),0)</f>
        <v>0</v>
      </c>
      <c r="AD121" s="688">
        <f>IFERROR(VLOOKUP($A121,'[95]6月'!$A:$H,8,0),0)</f>
        <v>0</v>
      </c>
      <c r="AE121" s="688">
        <f>IFERROR(VLOOKUP($A121,'[95]7月'!$A:$H,8,0),0)</f>
        <v>0</v>
      </c>
      <c r="AF121" s="688">
        <f>IFERROR(VLOOKUP($A121,'[95]8月'!$A:$H,8,0),0)</f>
        <v>0</v>
      </c>
      <c r="AG121" s="688">
        <f>IFERROR(VLOOKUP($A121,'[95]9月'!$A:$H,8,0),0)</f>
        <v>0</v>
      </c>
      <c r="AH121" s="688">
        <f>IFERROR(VLOOKUP($A121,'[95]10月'!$A:$H,8,0),0)</f>
        <v>0</v>
      </c>
      <c r="AI121" s="688">
        <f>IFERROR(VLOOKUP($A121,'[95]11月'!$A:$H,8,0),0)</f>
        <v>0</v>
      </c>
      <c r="AJ121" s="688">
        <f>IFERROR(VLOOKUP($A121,'[95]12月'!$A:$H,8,0),0)</f>
        <v>0</v>
      </c>
      <c r="AK121" s="688">
        <f t="shared" si="55"/>
        <v>0</v>
      </c>
    </row>
    <row r="122" spans="1:37" ht="11.1" customHeight="1">
      <c r="A122" s="653" t="str">
        <f>'Budget-合并'!A122</f>
        <v>6602.09.09</v>
      </c>
      <c r="B122" s="653" t="str">
        <f>'Budget-合并'!B122</f>
        <v>携程服务费</v>
      </c>
      <c r="C122" s="687">
        <f>'Budget-合并'!C122</f>
        <v>0</v>
      </c>
      <c r="D122" s="676">
        <f t="shared" si="49"/>
        <v>0</v>
      </c>
      <c r="E122" s="676" t="e">
        <f t="shared" si="50"/>
        <v>#N/A</v>
      </c>
      <c r="F122" s="676" t="e">
        <f t="shared" si="51"/>
        <v>#N/A</v>
      </c>
      <c r="G122" s="676">
        <f t="shared" ca="1" si="52"/>
        <v>0</v>
      </c>
      <c r="H122" s="676" t="e">
        <f t="shared" ca="1" si="53"/>
        <v>#N/A</v>
      </c>
      <c r="I122" s="676" t="e">
        <f t="shared" ca="1" si="54"/>
        <v>#N/A</v>
      </c>
      <c r="K122" s="676">
        <f t="shared" ref="K122:V122" si="59">SUM(K123:K125)</f>
        <v>0</v>
      </c>
      <c r="L122" s="676">
        <f t="shared" si="59"/>
        <v>0</v>
      </c>
      <c r="M122" s="676">
        <f t="shared" si="59"/>
        <v>0</v>
      </c>
      <c r="N122" s="676">
        <f t="shared" si="59"/>
        <v>0</v>
      </c>
      <c r="O122" s="676">
        <f t="shared" si="59"/>
        <v>0</v>
      </c>
      <c r="P122" s="676">
        <f t="shared" si="59"/>
        <v>0</v>
      </c>
      <c r="Q122" s="676">
        <f t="shared" si="59"/>
        <v>0</v>
      </c>
      <c r="R122" s="676">
        <f t="shared" si="59"/>
        <v>0</v>
      </c>
      <c r="S122" s="676">
        <f t="shared" si="59"/>
        <v>0</v>
      </c>
      <c r="T122" s="676">
        <f t="shared" si="59"/>
        <v>0</v>
      </c>
      <c r="U122" s="676">
        <f t="shared" si="59"/>
        <v>0</v>
      </c>
      <c r="V122" s="676">
        <f t="shared" si="59"/>
        <v>0</v>
      </c>
      <c r="W122" s="676">
        <f t="shared" si="43"/>
        <v>0</v>
      </c>
      <c r="Y122" s="688">
        <f>IFERROR(VLOOKUP($A122,'[95]1月'!$A:$H,8,0),0)</f>
        <v>0</v>
      </c>
      <c r="Z122" s="688">
        <f>IFERROR(VLOOKUP($A122,'[95]2月'!$A:$H,8,0),0)</f>
        <v>0</v>
      </c>
      <c r="AA122" s="688">
        <f>IFERROR(VLOOKUP($A122,'[95]3月'!$A:$H,8,0),0)</f>
        <v>0</v>
      </c>
      <c r="AB122" s="688">
        <f>IFERROR(VLOOKUP($A122,'[95]4月'!$A:$H,8,0),0)</f>
        <v>0</v>
      </c>
      <c r="AC122" s="688">
        <f>IFERROR(VLOOKUP($A122,'[95]5月'!$A:$H,8,0),0)</f>
        <v>0</v>
      </c>
      <c r="AD122" s="688">
        <f>IFERROR(VLOOKUP($A122,'[95]6月'!$A:$H,8,0),0)</f>
        <v>0</v>
      </c>
      <c r="AE122" s="688">
        <f>IFERROR(VLOOKUP($A122,'[95]7月'!$A:$H,8,0),0)</f>
        <v>0</v>
      </c>
      <c r="AF122" s="688">
        <f>IFERROR(VLOOKUP($A122,'[95]8月'!$A:$H,8,0),0)</f>
        <v>0</v>
      </c>
      <c r="AG122" s="688">
        <f>IFERROR(VLOOKUP($A122,'[95]9月'!$A:$H,8,0),0)</f>
        <v>0</v>
      </c>
      <c r="AH122" s="688">
        <f>IFERROR(VLOOKUP($A122,'[95]10月'!$A:$H,8,0),0)</f>
        <v>0</v>
      </c>
      <c r="AI122" s="688">
        <f>IFERROR(VLOOKUP($A122,'[95]11月'!$A:$H,8,0),0)</f>
        <v>0</v>
      </c>
      <c r="AJ122" s="688">
        <f>IFERROR(VLOOKUP($A122,'[95]12月'!$A:$H,8,0),0)</f>
        <v>0</v>
      </c>
      <c r="AK122" s="688">
        <f t="shared" si="55"/>
        <v>0</v>
      </c>
    </row>
    <row r="123" spans="1:37" ht="11.1" customHeight="1">
      <c r="A123" s="653">
        <f>'Budget-合并'!A123</f>
        <v>0</v>
      </c>
      <c r="B123" s="653" t="str">
        <f>'Budget-合并'!B123</f>
        <v xml:space="preserve">    公司主体10</v>
      </c>
      <c r="C123" s="687" t="str">
        <f>'Budget-合并'!C123</f>
        <v xml:space="preserve">   Entity</v>
      </c>
      <c r="D123" s="676">
        <f t="shared" si="49"/>
        <v>0</v>
      </c>
      <c r="E123" s="676" t="e">
        <f t="shared" si="50"/>
        <v>#N/A</v>
      </c>
      <c r="F123" s="676" t="e">
        <f t="shared" si="51"/>
        <v>#N/A</v>
      </c>
      <c r="G123" s="676">
        <f t="shared" ca="1" si="52"/>
        <v>0</v>
      </c>
      <c r="H123" s="676" t="e">
        <f t="shared" ca="1" si="53"/>
        <v>#N/A</v>
      </c>
      <c r="I123" s="676" t="e">
        <f t="shared" ca="1" si="54"/>
        <v>#N/A</v>
      </c>
      <c r="K123" s="676"/>
      <c r="L123" s="676"/>
      <c r="M123" s="676"/>
      <c r="N123" s="676"/>
      <c r="O123" s="676"/>
      <c r="P123" s="676"/>
      <c r="Q123" s="676"/>
      <c r="R123" s="676"/>
      <c r="S123" s="676"/>
      <c r="T123" s="676"/>
      <c r="U123" s="676"/>
      <c r="V123" s="676"/>
      <c r="W123" s="676">
        <f t="shared" si="43"/>
        <v>0</v>
      </c>
      <c r="Y123" s="688">
        <f>IFERROR(VLOOKUP($A123,'[95]1月'!$A:$H,8,0),0)</f>
        <v>0</v>
      </c>
      <c r="Z123" s="688">
        <f>IFERROR(VLOOKUP($A123,'[95]2月'!$A:$H,8,0),0)</f>
        <v>0</v>
      </c>
      <c r="AA123" s="688">
        <f>IFERROR(VLOOKUP($A123,'[95]3月'!$A:$H,8,0),0)</f>
        <v>0</v>
      </c>
      <c r="AB123" s="688">
        <f>IFERROR(VLOOKUP($A123,'[95]4月'!$A:$H,8,0),0)</f>
        <v>0</v>
      </c>
      <c r="AC123" s="688">
        <f>IFERROR(VLOOKUP($A123,'[95]5月'!$A:$H,8,0),0)</f>
        <v>0</v>
      </c>
      <c r="AD123" s="688">
        <f>IFERROR(VLOOKUP($A123,'[95]6月'!$A:$H,8,0),0)</f>
        <v>0</v>
      </c>
      <c r="AE123" s="688">
        <f>IFERROR(VLOOKUP($A123,'[95]7月'!$A:$H,8,0),0)</f>
        <v>0</v>
      </c>
      <c r="AF123" s="688">
        <f>IFERROR(VLOOKUP($A123,'[95]8月'!$A:$H,8,0),0)</f>
        <v>0</v>
      </c>
      <c r="AG123" s="688">
        <f>IFERROR(VLOOKUP($A123,'[95]9月'!$A:$H,8,0),0)</f>
        <v>0</v>
      </c>
      <c r="AH123" s="688">
        <f>IFERROR(VLOOKUP($A123,'[95]10月'!$A:$H,8,0),0)</f>
        <v>0</v>
      </c>
      <c r="AI123" s="688">
        <f>IFERROR(VLOOKUP($A123,'[95]11月'!$A:$H,8,0),0)</f>
        <v>0</v>
      </c>
      <c r="AJ123" s="688">
        <f>IFERROR(VLOOKUP($A123,'[95]12月'!$A:$H,8,0),0)</f>
        <v>0</v>
      </c>
      <c r="AK123" s="688">
        <f t="shared" si="55"/>
        <v>0</v>
      </c>
    </row>
    <row r="124" spans="1:37" ht="11.1" customHeight="1">
      <c r="A124" s="653">
        <f>'Budget-合并'!A124</f>
        <v>0</v>
      </c>
      <c r="B124" s="653" t="str">
        <f>'Budget-合并'!B124</f>
        <v xml:space="preserve">    旭智富能10</v>
      </c>
      <c r="C124" s="687" t="str">
        <f>'Budget-合并'!C124</f>
        <v xml:space="preserve">   Foxpower</v>
      </c>
      <c r="D124" s="676">
        <f t="shared" si="49"/>
        <v>0</v>
      </c>
      <c r="E124" s="676" t="e">
        <f t="shared" si="50"/>
        <v>#N/A</v>
      </c>
      <c r="F124" s="676" t="e">
        <f t="shared" si="51"/>
        <v>#N/A</v>
      </c>
      <c r="G124" s="676">
        <f t="shared" ca="1" si="52"/>
        <v>0</v>
      </c>
      <c r="H124" s="676" t="e">
        <f t="shared" ca="1" si="53"/>
        <v>#N/A</v>
      </c>
      <c r="I124" s="676" t="e">
        <f t="shared" ca="1" si="54"/>
        <v>#N/A</v>
      </c>
      <c r="K124" s="676"/>
      <c r="L124" s="676"/>
      <c r="M124" s="676"/>
      <c r="N124" s="676"/>
      <c r="O124" s="676"/>
      <c r="P124" s="676"/>
      <c r="Q124" s="676"/>
      <c r="R124" s="676"/>
      <c r="S124" s="676"/>
      <c r="T124" s="676"/>
      <c r="U124" s="676"/>
      <c r="V124" s="676"/>
      <c r="W124" s="676">
        <f t="shared" si="43"/>
        <v>0</v>
      </c>
      <c r="Y124" s="688">
        <f>IFERROR(VLOOKUP($A124,'[95]1月'!$A:$H,8,0),0)</f>
        <v>0</v>
      </c>
      <c r="Z124" s="688">
        <f>IFERROR(VLOOKUP($A124,'[95]2月'!$A:$H,8,0),0)</f>
        <v>0</v>
      </c>
      <c r="AA124" s="688">
        <f>IFERROR(VLOOKUP($A124,'[95]3月'!$A:$H,8,0),0)</f>
        <v>0</v>
      </c>
      <c r="AB124" s="688">
        <f>IFERROR(VLOOKUP($A124,'[95]4月'!$A:$H,8,0),0)</f>
        <v>0</v>
      </c>
      <c r="AC124" s="688">
        <f>IFERROR(VLOOKUP($A124,'[95]5月'!$A:$H,8,0),0)</f>
        <v>0</v>
      </c>
      <c r="AD124" s="688">
        <f>IFERROR(VLOOKUP($A124,'[95]6月'!$A:$H,8,0),0)</f>
        <v>0</v>
      </c>
      <c r="AE124" s="688">
        <f>IFERROR(VLOOKUP($A124,'[95]7月'!$A:$H,8,0),0)</f>
        <v>0</v>
      </c>
      <c r="AF124" s="688">
        <f>IFERROR(VLOOKUP($A124,'[95]8月'!$A:$H,8,0),0)</f>
        <v>0</v>
      </c>
      <c r="AG124" s="688">
        <f>IFERROR(VLOOKUP($A124,'[95]9月'!$A:$H,8,0),0)</f>
        <v>0</v>
      </c>
      <c r="AH124" s="688">
        <f>IFERROR(VLOOKUP($A124,'[95]10月'!$A:$H,8,0),0)</f>
        <v>0</v>
      </c>
      <c r="AI124" s="688">
        <f>IFERROR(VLOOKUP($A124,'[95]11月'!$A:$H,8,0),0)</f>
        <v>0</v>
      </c>
      <c r="AJ124" s="688">
        <f>IFERROR(VLOOKUP($A124,'[95]12月'!$A:$H,8,0),0)</f>
        <v>0</v>
      </c>
      <c r="AK124" s="688">
        <f t="shared" si="55"/>
        <v>0</v>
      </c>
    </row>
    <row r="125" spans="1:37" ht="11.1" customHeight="1">
      <c r="A125" s="653">
        <f>'Budget-合并'!A125</f>
        <v>0</v>
      </c>
      <c r="B125" s="653" t="str">
        <f>'Budget-合并'!B125</f>
        <v xml:space="preserve">    其他项目10</v>
      </c>
      <c r="C125" s="687" t="str">
        <f>'Budget-合并'!C125</f>
        <v xml:space="preserve">   Other project</v>
      </c>
      <c r="D125" s="676">
        <f t="shared" si="49"/>
        <v>0</v>
      </c>
      <c r="E125" s="676" t="e">
        <f t="shared" si="50"/>
        <v>#N/A</v>
      </c>
      <c r="F125" s="676" t="e">
        <f t="shared" si="51"/>
        <v>#N/A</v>
      </c>
      <c r="G125" s="676">
        <f t="shared" ca="1" si="52"/>
        <v>0</v>
      </c>
      <c r="H125" s="676" t="e">
        <f t="shared" ca="1" si="53"/>
        <v>#N/A</v>
      </c>
      <c r="I125" s="676" t="e">
        <f t="shared" ca="1" si="54"/>
        <v>#N/A</v>
      </c>
      <c r="K125" s="676"/>
      <c r="L125" s="676"/>
      <c r="M125" s="676"/>
      <c r="N125" s="676"/>
      <c r="O125" s="676"/>
      <c r="P125" s="676"/>
      <c r="Q125" s="676"/>
      <c r="R125" s="676"/>
      <c r="S125" s="676"/>
      <c r="T125" s="676"/>
      <c r="U125" s="676"/>
      <c r="V125" s="676"/>
      <c r="W125" s="676">
        <f t="shared" si="43"/>
        <v>0</v>
      </c>
      <c r="Y125" s="688">
        <f>IFERROR(VLOOKUP($A125,'[95]1月'!$A:$H,8,0),0)</f>
        <v>0</v>
      </c>
      <c r="Z125" s="688">
        <f>IFERROR(VLOOKUP($A125,'[95]2月'!$A:$H,8,0),0)</f>
        <v>0</v>
      </c>
      <c r="AA125" s="688">
        <f>IFERROR(VLOOKUP($A125,'[95]3月'!$A:$H,8,0),0)</f>
        <v>0</v>
      </c>
      <c r="AB125" s="688">
        <f>IFERROR(VLOOKUP($A125,'[95]4月'!$A:$H,8,0),0)</f>
        <v>0</v>
      </c>
      <c r="AC125" s="688">
        <f>IFERROR(VLOOKUP($A125,'[95]5月'!$A:$H,8,0),0)</f>
        <v>0</v>
      </c>
      <c r="AD125" s="688">
        <f>IFERROR(VLOOKUP($A125,'[95]6月'!$A:$H,8,0),0)</f>
        <v>0</v>
      </c>
      <c r="AE125" s="688">
        <f>IFERROR(VLOOKUP($A125,'[95]7月'!$A:$H,8,0),0)</f>
        <v>0</v>
      </c>
      <c r="AF125" s="688">
        <f>IFERROR(VLOOKUP($A125,'[95]8月'!$A:$H,8,0),0)</f>
        <v>0</v>
      </c>
      <c r="AG125" s="688">
        <f>IFERROR(VLOOKUP($A125,'[95]9月'!$A:$H,8,0),0)</f>
        <v>0</v>
      </c>
      <c r="AH125" s="688">
        <f>IFERROR(VLOOKUP($A125,'[95]10月'!$A:$H,8,0),0)</f>
        <v>0</v>
      </c>
      <c r="AI125" s="688">
        <f>IFERROR(VLOOKUP($A125,'[95]11月'!$A:$H,8,0),0)</f>
        <v>0</v>
      </c>
      <c r="AJ125" s="688">
        <f>IFERROR(VLOOKUP($A125,'[95]12月'!$A:$H,8,0),0)</f>
        <v>0</v>
      </c>
      <c r="AK125" s="688">
        <f t="shared" si="55"/>
        <v>0</v>
      </c>
    </row>
    <row r="126" spans="1:37" ht="11.1" customHeight="1">
      <c r="A126" s="653" t="str">
        <f>'Budget-合并'!A126</f>
        <v>6602.09.99</v>
      </c>
      <c r="B126" s="653" t="str">
        <f>'Budget-合并'!B126</f>
        <v>其他</v>
      </c>
      <c r="C126" s="687" t="str">
        <f>'Budget-合并'!C126</f>
        <v>Travel Other</v>
      </c>
      <c r="D126" s="676">
        <f t="shared" si="49"/>
        <v>0</v>
      </c>
      <c r="E126" s="676" t="e">
        <f t="shared" si="50"/>
        <v>#N/A</v>
      </c>
      <c r="F126" s="676" t="e">
        <f t="shared" si="51"/>
        <v>#N/A</v>
      </c>
      <c r="G126" s="676">
        <f t="shared" ca="1" si="52"/>
        <v>0</v>
      </c>
      <c r="H126" s="676" t="e">
        <f t="shared" ca="1" si="53"/>
        <v>#N/A</v>
      </c>
      <c r="I126" s="676" t="e">
        <f t="shared" ca="1" si="54"/>
        <v>#N/A</v>
      </c>
      <c r="K126" s="676"/>
      <c r="L126" s="676"/>
      <c r="M126" s="676"/>
      <c r="N126" s="676"/>
      <c r="O126" s="676"/>
      <c r="P126" s="676"/>
      <c r="Q126" s="676"/>
      <c r="R126" s="676"/>
      <c r="S126" s="676"/>
      <c r="T126" s="676"/>
      <c r="U126" s="676"/>
      <c r="V126" s="676"/>
      <c r="W126" s="676">
        <f t="shared" si="43"/>
        <v>0</v>
      </c>
      <c r="Y126" s="688">
        <f>IFERROR(VLOOKUP($A126,'[95]1月'!$A:$H,8,0),0)</f>
        <v>0</v>
      </c>
      <c r="Z126" s="688">
        <f>IFERROR(VLOOKUP($A126,'[95]2月'!$A:$H,8,0),0)</f>
        <v>0</v>
      </c>
      <c r="AA126" s="688">
        <f>IFERROR(VLOOKUP($A126,'[95]3月'!$A:$H,8,0),0)</f>
        <v>0</v>
      </c>
      <c r="AB126" s="688">
        <f>IFERROR(VLOOKUP($A126,'[95]4月'!$A:$H,8,0),0)</f>
        <v>0</v>
      </c>
      <c r="AC126" s="688">
        <f>IFERROR(VLOOKUP($A126,'[95]5月'!$A:$H,8,0),0)</f>
        <v>0</v>
      </c>
      <c r="AD126" s="688">
        <f>IFERROR(VLOOKUP($A126,'[95]6月'!$A:$H,8,0),0)</f>
        <v>0</v>
      </c>
      <c r="AE126" s="688">
        <f>IFERROR(VLOOKUP($A126,'[95]7月'!$A:$H,8,0),0)</f>
        <v>0</v>
      </c>
      <c r="AF126" s="688">
        <f>IFERROR(VLOOKUP($A126,'[95]8月'!$A:$H,8,0),0)</f>
        <v>0</v>
      </c>
      <c r="AG126" s="688">
        <f>IFERROR(VLOOKUP($A126,'[95]9月'!$A:$H,8,0),0)</f>
        <v>0</v>
      </c>
      <c r="AH126" s="688">
        <f>IFERROR(VLOOKUP($A126,'[95]10月'!$A:$H,8,0),0)</f>
        <v>0</v>
      </c>
      <c r="AI126" s="688">
        <f>IFERROR(VLOOKUP($A126,'[95]11月'!$A:$H,8,0),0)</f>
        <v>0</v>
      </c>
      <c r="AJ126" s="688">
        <f>IFERROR(VLOOKUP($A126,'[95]12月'!$A:$H,8,0),0)</f>
        <v>0</v>
      </c>
      <c r="AK126" s="688">
        <f t="shared" si="55"/>
        <v>0</v>
      </c>
    </row>
    <row r="127" spans="1:37" ht="11.1" customHeight="1">
      <c r="A127" s="663" t="str">
        <f>'Budget-合并'!A127</f>
        <v>6602.10</v>
      </c>
      <c r="B127" s="663" t="str">
        <f>'Budget-合并'!B127</f>
        <v>折旧费</v>
      </c>
      <c r="C127" s="687">
        <f>'Budget-合并'!C127</f>
        <v>0</v>
      </c>
      <c r="D127" s="676">
        <f t="shared" si="49"/>
        <v>0</v>
      </c>
      <c r="E127" s="676" t="e">
        <f t="shared" si="50"/>
        <v>#N/A</v>
      </c>
      <c r="F127" s="676" t="e">
        <f t="shared" si="51"/>
        <v>#N/A</v>
      </c>
      <c r="G127" s="676">
        <f t="shared" ca="1" si="52"/>
        <v>0</v>
      </c>
      <c r="H127" s="676" t="e">
        <f t="shared" ca="1" si="53"/>
        <v>#N/A</v>
      </c>
      <c r="I127" s="676" t="e">
        <f t="shared" ca="1" si="54"/>
        <v>#N/A</v>
      </c>
      <c r="K127" s="676">
        <f t="shared" ref="K127:V127" si="60">SUM(K128:K131)</f>
        <v>0</v>
      </c>
      <c r="L127" s="676">
        <f t="shared" si="60"/>
        <v>0</v>
      </c>
      <c r="M127" s="676">
        <f t="shared" si="60"/>
        <v>0</v>
      </c>
      <c r="N127" s="676">
        <f t="shared" si="60"/>
        <v>0</v>
      </c>
      <c r="O127" s="676">
        <f t="shared" si="60"/>
        <v>0</v>
      </c>
      <c r="P127" s="676">
        <f t="shared" si="60"/>
        <v>0</v>
      </c>
      <c r="Q127" s="676">
        <f t="shared" si="60"/>
        <v>0</v>
      </c>
      <c r="R127" s="676">
        <f t="shared" si="60"/>
        <v>0</v>
      </c>
      <c r="S127" s="676">
        <f t="shared" si="60"/>
        <v>0</v>
      </c>
      <c r="T127" s="676">
        <f t="shared" si="60"/>
        <v>0</v>
      </c>
      <c r="U127" s="676">
        <f t="shared" si="60"/>
        <v>0</v>
      </c>
      <c r="V127" s="676">
        <f t="shared" si="60"/>
        <v>0</v>
      </c>
      <c r="W127" s="676">
        <f t="shared" si="43"/>
        <v>0</v>
      </c>
      <c r="Y127" s="688">
        <f>IFERROR(VLOOKUP($A127,'[95]1月'!$A:$H,8,0),0)</f>
        <v>0</v>
      </c>
      <c r="Z127" s="688">
        <f>IFERROR(VLOOKUP($A127,'[95]2月'!$A:$H,8,0),0)</f>
        <v>0</v>
      </c>
      <c r="AA127" s="688">
        <f>IFERROR(VLOOKUP($A127,'[95]3月'!$A:$H,8,0),0)</f>
        <v>0</v>
      </c>
      <c r="AB127" s="688">
        <f>IFERROR(VLOOKUP($A127,'[95]4月'!$A:$H,8,0),0)</f>
        <v>0</v>
      </c>
      <c r="AC127" s="688">
        <f>IFERROR(VLOOKUP($A127,'[95]5月'!$A:$H,8,0),0)</f>
        <v>0</v>
      </c>
      <c r="AD127" s="688">
        <f>IFERROR(VLOOKUP($A127,'[95]6月'!$A:$H,8,0),0)</f>
        <v>0</v>
      </c>
      <c r="AE127" s="688">
        <f>IFERROR(VLOOKUP($A127,'[95]7月'!$A:$H,8,0),0)</f>
        <v>0</v>
      </c>
      <c r="AF127" s="688">
        <f>IFERROR(VLOOKUP($A127,'[95]8月'!$A:$H,8,0),0)</f>
        <v>0</v>
      </c>
      <c r="AG127" s="688">
        <f>IFERROR(VLOOKUP($A127,'[95]9月'!$A:$H,8,0),0)</f>
        <v>0</v>
      </c>
      <c r="AH127" s="688">
        <f>IFERROR(VLOOKUP($A127,'[95]10月'!$A:$H,8,0),0)</f>
        <v>0</v>
      </c>
      <c r="AI127" s="688">
        <f>IFERROR(VLOOKUP($A127,'[95]11月'!$A:$H,8,0),0)</f>
        <v>0</v>
      </c>
      <c r="AJ127" s="688">
        <f>IFERROR(VLOOKUP($A127,'[95]12月'!$A:$H,8,0),0)</f>
        <v>0</v>
      </c>
      <c r="AK127" s="688">
        <f t="shared" si="55"/>
        <v>0</v>
      </c>
    </row>
    <row r="128" spans="1:37" ht="11.1" customHeight="1">
      <c r="A128" s="653" t="str">
        <f>'Budget-合并'!A128</f>
        <v>6602.10.01</v>
      </c>
      <c r="B128" s="653" t="str">
        <f>'Budget-合并'!B128</f>
        <v>电子设备</v>
      </c>
      <c r="C128" s="687" t="str">
        <f>'Budget-合并'!C128</f>
        <v>Dep Exp  Computer Equip</v>
      </c>
      <c r="D128" s="676">
        <f t="shared" si="49"/>
        <v>0</v>
      </c>
      <c r="E128" s="676" t="e">
        <f t="shared" si="50"/>
        <v>#N/A</v>
      </c>
      <c r="F128" s="676" t="e">
        <f t="shared" si="51"/>
        <v>#N/A</v>
      </c>
      <c r="G128" s="676">
        <f t="shared" ca="1" si="52"/>
        <v>0</v>
      </c>
      <c r="H128" s="676" t="e">
        <f t="shared" ca="1" si="53"/>
        <v>#N/A</v>
      </c>
      <c r="I128" s="676" t="e">
        <f t="shared" ca="1" si="54"/>
        <v>#N/A</v>
      </c>
      <c r="K128" s="676"/>
      <c r="L128" s="676"/>
      <c r="M128" s="676"/>
      <c r="N128" s="676"/>
      <c r="O128" s="676"/>
      <c r="P128" s="676"/>
      <c r="Q128" s="676"/>
      <c r="R128" s="676"/>
      <c r="S128" s="676"/>
      <c r="T128" s="676"/>
      <c r="U128" s="676"/>
      <c r="V128" s="676"/>
      <c r="W128" s="676">
        <f t="shared" si="43"/>
        <v>0</v>
      </c>
      <c r="Y128" s="688">
        <f>IFERROR(VLOOKUP($A128,'[95]1月'!$A:$H,8,0),0)</f>
        <v>0</v>
      </c>
      <c r="Z128" s="688">
        <f>IFERROR(VLOOKUP($A128,'[95]2月'!$A:$H,8,0),0)</f>
        <v>0</v>
      </c>
      <c r="AA128" s="688">
        <f>IFERROR(VLOOKUP($A128,'[95]3月'!$A:$H,8,0),0)</f>
        <v>0</v>
      </c>
      <c r="AB128" s="688">
        <f>IFERROR(VLOOKUP($A128,'[95]4月'!$A:$H,8,0),0)</f>
        <v>0</v>
      </c>
      <c r="AC128" s="688">
        <f>IFERROR(VLOOKUP($A128,'[95]5月'!$A:$H,8,0),0)</f>
        <v>0</v>
      </c>
      <c r="AD128" s="688">
        <f>IFERROR(VLOOKUP($A128,'[95]6月'!$A:$H,8,0),0)</f>
        <v>0</v>
      </c>
      <c r="AE128" s="688">
        <f>IFERROR(VLOOKUP($A128,'[95]7月'!$A:$H,8,0),0)</f>
        <v>0</v>
      </c>
      <c r="AF128" s="688">
        <f>IFERROR(VLOOKUP($A128,'[95]8月'!$A:$H,8,0),0)</f>
        <v>0</v>
      </c>
      <c r="AG128" s="688">
        <f>IFERROR(VLOOKUP($A128,'[95]9月'!$A:$H,8,0),0)</f>
        <v>0</v>
      </c>
      <c r="AH128" s="688">
        <f>IFERROR(VLOOKUP($A128,'[95]10月'!$A:$H,8,0),0)</f>
        <v>0</v>
      </c>
      <c r="AI128" s="688">
        <f>IFERROR(VLOOKUP($A128,'[95]11月'!$A:$H,8,0),0)</f>
        <v>0</v>
      </c>
      <c r="AJ128" s="688">
        <f>IFERROR(VLOOKUP($A128,'[95]12月'!$A:$H,8,0),0)</f>
        <v>0</v>
      </c>
      <c r="AK128" s="688">
        <f t="shared" si="55"/>
        <v>0</v>
      </c>
    </row>
    <row r="129" spans="1:37" ht="11.1" customHeight="1">
      <c r="A129" s="653" t="str">
        <f>'Budget-合并'!A129</f>
        <v>6602.10.02</v>
      </c>
      <c r="B129" s="653" t="str">
        <f>'Budget-合并'!B129</f>
        <v>房屋建筑物</v>
      </c>
      <c r="C129" s="687">
        <f>'Budget-合并'!C129</f>
        <v>0</v>
      </c>
      <c r="D129" s="676">
        <f t="shared" si="49"/>
        <v>0</v>
      </c>
      <c r="E129" s="676" t="e">
        <f t="shared" si="50"/>
        <v>#N/A</v>
      </c>
      <c r="F129" s="676" t="e">
        <f t="shared" si="51"/>
        <v>#N/A</v>
      </c>
      <c r="G129" s="676">
        <f t="shared" ca="1" si="52"/>
        <v>0</v>
      </c>
      <c r="H129" s="676" t="e">
        <f t="shared" ca="1" si="53"/>
        <v>#N/A</v>
      </c>
      <c r="I129" s="676" t="e">
        <f t="shared" ca="1" si="54"/>
        <v>#N/A</v>
      </c>
      <c r="K129" s="676"/>
      <c r="L129" s="676"/>
      <c r="M129" s="676"/>
      <c r="N129" s="676"/>
      <c r="O129" s="676"/>
      <c r="P129" s="676"/>
      <c r="Q129" s="676"/>
      <c r="R129" s="676"/>
      <c r="S129" s="676"/>
      <c r="T129" s="676"/>
      <c r="U129" s="676"/>
      <c r="V129" s="676"/>
      <c r="W129" s="676">
        <f t="shared" si="43"/>
        <v>0</v>
      </c>
      <c r="Y129" s="688">
        <f>IFERROR(VLOOKUP($A129,'[95]1月'!$A:$H,8,0),0)</f>
        <v>0</v>
      </c>
      <c r="Z129" s="688">
        <f>IFERROR(VLOOKUP($A129,'[95]2月'!$A:$H,8,0),0)</f>
        <v>0</v>
      </c>
      <c r="AA129" s="688">
        <f>IFERROR(VLOOKUP($A129,'[95]3月'!$A:$H,8,0),0)</f>
        <v>0</v>
      </c>
      <c r="AB129" s="688">
        <f>IFERROR(VLOOKUP($A129,'[95]4月'!$A:$H,8,0),0)</f>
        <v>0</v>
      </c>
      <c r="AC129" s="688">
        <f>IFERROR(VLOOKUP($A129,'[95]5月'!$A:$H,8,0),0)</f>
        <v>0</v>
      </c>
      <c r="AD129" s="688">
        <f>IFERROR(VLOOKUP($A129,'[95]6月'!$A:$H,8,0),0)</f>
        <v>0</v>
      </c>
      <c r="AE129" s="688">
        <f>IFERROR(VLOOKUP($A129,'[95]7月'!$A:$H,8,0),0)</f>
        <v>0</v>
      </c>
      <c r="AF129" s="688">
        <f>IFERROR(VLOOKUP($A129,'[95]8月'!$A:$H,8,0),0)</f>
        <v>0</v>
      </c>
      <c r="AG129" s="688">
        <f>IFERROR(VLOOKUP($A129,'[95]9月'!$A:$H,8,0),0)</f>
        <v>0</v>
      </c>
      <c r="AH129" s="688">
        <f>IFERROR(VLOOKUP($A129,'[95]10月'!$A:$H,8,0),0)</f>
        <v>0</v>
      </c>
      <c r="AI129" s="688">
        <f>IFERROR(VLOOKUP($A129,'[95]11月'!$A:$H,8,0),0)</f>
        <v>0</v>
      </c>
      <c r="AJ129" s="688">
        <f>IFERROR(VLOOKUP($A129,'[95]12月'!$A:$H,8,0),0)</f>
        <v>0</v>
      </c>
      <c r="AK129" s="688">
        <f t="shared" si="55"/>
        <v>0</v>
      </c>
    </row>
    <row r="130" spans="1:37" ht="11.1" customHeight="1">
      <c r="A130" s="653" t="str">
        <f>'Budget-合并'!A130</f>
        <v>6602.10.03</v>
      </c>
      <c r="B130" s="653" t="str">
        <f>'Budget-合并'!B130</f>
        <v>机器设备</v>
      </c>
      <c r="C130" s="687">
        <f>'Budget-合并'!C130</f>
        <v>0</v>
      </c>
      <c r="D130" s="676">
        <f t="shared" si="49"/>
        <v>0</v>
      </c>
      <c r="E130" s="676" t="e">
        <f t="shared" si="50"/>
        <v>#N/A</v>
      </c>
      <c r="F130" s="676" t="e">
        <f t="shared" si="51"/>
        <v>#N/A</v>
      </c>
      <c r="G130" s="676">
        <f t="shared" ca="1" si="52"/>
        <v>0</v>
      </c>
      <c r="H130" s="676" t="e">
        <f t="shared" ca="1" si="53"/>
        <v>#N/A</v>
      </c>
      <c r="I130" s="676" t="e">
        <f t="shared" ca="1" si="54"/>
        <v>#N/A</v>
      </c>
      <c r="K130" s="676"/>
      <c r="L130" s="676"/>
      <c r="M130" s="676"/>
      <c r="N130" s="676"/>
      <c r="O130" s="676"/>
      <c r="P130" s="676"/>
      <c r="Q130" s="676"/>
      <c r="R130" s="676"/>
      <c r="S130" s="676"/>
      <c r="T130" s="676"/>
      <c r="U130" s="676"/>
      <c r="V130" s="676"/>
      <c r="W130" s="676">
        <f t="shared" si="43"/>
        <v>0</v>
      </c>
      <c r="Y130" s="688">
        <f>IFERROR(VLOOKUP($A130,'[95]1月'!$A:$H,8,0),0)</f>
        <v>0</v>
      </c>
      <c r="Z130" s="688">
        <f>IFERROR(VLOOKUP($A130,'[95]2月'!$A:$H,8,0),0)</f>
        <v>0</v>
      </c>
      <c r="AA130" s="688">
        <f>IFERROR(VLOOKUP($A130,'[95]3月'!$A:$H,8,0),0)</f>
        <v>0</v>
      </c>
      <c r="AB130" s="688">
        <f>IFERROR(VLOOKUP($A130,'[95]4月'!$A:$H,8,0),0)</f>
        <v>0</v>
      </c>
      <c r="AC130" s="688">
        <f>IFERROR(VLOOKUP($A130,'[95]5月'!$A:$H,8,0),0)</f>
        <v>0</v>
      </c>
      <c r="AD130" s="688">
        <f>IFERROR(VLOOKUP($A130,'[95]6月'!$A:$H,8,0),0)</f>
        <v>0</v>
      </c>
      <c r="AE130" s="688">
        <f>IFERROR(VLOOKUP($A130,'[95]7月'!$A:$H,8,0),0)</f>
        <v>0</v>
      </c>
      <c r="AF130" s="688">
        <f>IFERROR(VLOOKUP($A130,'[95]8月'!$A:$H,8,0),0)</f>
        <v>0</v>
      </c>
      <c r="AG130" s="688">
        <f>IFERROR(VLOOKUP($A130,'[95]9月'!$A:$H,8,0),0)</f>
        <v>0</v>
      </c>
      <c r="AH130" s="688">
        <f>IFERROR(VLOOKUP($A130,'[95]10月'!$A:$H,8,0),0)</f>
        <v>0</v>
      </c>
      <c r="AI130" s="688">
        <f>IFERROR(VLOOKUP($A130,'[95]11月'!$A:$H,8,0),0)</f>
        <v>0</v>
      </c>
      <c r="AJ130" s="688">
        <f>IFERROR(VLOOKUP($A130,'[95]12月'!$A:$H,8,0),0)</f>
        <v>0</v>
      </c>
      <c r="AK130" s="688">
        <f t="shared" si="55"/>
        <v>0</v>
      </c>
    </row>
    <row r="131" spans="1:37" ht="11.1" customHeight="1">
      <c r="A131" s="653" t="str">
        <f>'Budget-合并'!A131</f>
        <v>6602.10.04</v>
      </c>
      <c r="B131" s="653" t="str">
        <f>'Budget-合并'!B131</f>
        <v>家具设备</v>
      </c>
      <c r="C131" s="687" t="str">
        <f>'Budget-合并'!C131</f>
        <v xml:space="preserve">Dep Exp - Other EQ &amp; Furn </v>
      </c>
      <c r="D131" s="676">
        <f t="shared" si="49"/>
        <v>0</v>
      </c>
      <c r="E131" s="676" t="e">
        <f t="shared" si="50"/>
        <v>#N/A</v>
      </c>
      <c r="F131" s="676" t="e">
        <f t="shared" si="51"/>
        <v>#N/A</v>
      </c>
      <c r="G131" s="676">
        <f t="shared" ca="1" si="52"/>
        <v>0</v>
      </c>
      <c r="H131" s="676" t="e">
        <f t="shared" ca="1" si="53"/>
        <v>#N/A</v>
      </c>
      <c r="I131" s="676" t="e">
        <f t="shared" ca="1" si="54"/>
        <v>#N/A</v>
      </c>
      <c r="K131" s="676"/>
      <c r="L131" s="676"/>
      <c r="M131" s="676"/>
      <c r="N131" s="676"/>
      <c r="O131" s="676"/>
      <c r="P131" s="676"/>
      <c r="Q131" s="676"/>
      <c r="R131" s="676"/>
      <c r="S131" s="676"/>
      <c r="T131" s="676"/>
      <c r="U131" s="676"/>
      <c r="V131" s="676"/>
      <c r="W131" s="676">
        <f t="shared" si="43"/>
        <v>0</v>
      </c>
      <c r="Y131" s="688">
        <f>IFERROR(VLOOKUP($A131,'[95]1月'!$A:$H,8,0),0)</f>
        <v>0</v>
      </c>
      <c r="Z131" s="688">
        <f>IFERROR(VLOOKUP($A131,'[95]2月'!$A:$H,8,0),0)</f>
        <v>0</v>
      </c>
      <c r="AA131" s="688">
        <f>IFERROR(VLOOKUP($A131,'[95]3月'!$A:$H,8,0),0)</f>
        <v>0</v>
      </c>
      <c r="AB131" s="688">
        <f>IFERROR(VLOOKUP($A131,'[95]4月'!$A:$H,8,0),0)</f>
        <v>0</v>
      </c>
      <c r="AC131" s="688">
        <f>IFERROR(VLOOKUP($A131,'[95]5月'!$A:$H,8,0),0)</f>
        <v>0</v>
      </c>
      <c r="AD131" s="688">
        <f>IFERROR(VLOOKUP($A131,'[95]6月'!$A:$H,8,0),0)</f>
        <v>0</v>
      </c>
      <c r="AE131" s="688">
        <f>IFERROR(VLOOKUP($A131,'[95]7月'!$A:$H,8,0),0)</f>
        <v>0</v>
      </c>
      <c r="AF131" s="688">
        <f>IFERROR(VLOOKUP($A131,'[95]8月'!$A:$H,8,0),0)</f>
        <v>0</v>
      </c>
      <c r="AG131" s="688">
        <f>IFERROR(VLOOKUP($A131,'[95]9月'!$A:$H,8,0),0)</f>
        <v>0</v>
      </c>
      <c r="AH131" s="688">
        <f>IFERROR(VLOOKUP($A131,'[95]10月'!$A:$H,8,0),0)</f>
        <v>0</v>
      </c>
      <c r="AI131" s="688">
        <f>IFERROR(VLOOKUP($A131,'[95]11月'!$A:$H,8,0),0)</f>
        <v>0</v>
      </c>
      <c r="AJ131" s="688">
        <f>IFERROR(VLOOKUP($A131,'[95]12月'!$A:$H,8,0),0)</f>
        <v>0</v>
      </c>
      <c r="AK131" s="688">
        <f t="shared" si="55"/>
        <v>0</v>
      </c>
    </row>
    <row r="132" spans="1:37" ht="11.1" customHeight="1">
      <c r="A132" s="663" t="str">
        <f>'Budget-合并'!A132</f>
        <v>6602.12</v>
      </c>
      <c r="B132" s="663" t="str">
        <f>'Budget-合并'!B132</f>
        <v>使用权资产折旧</v>
      </c>
      <c r="C132" s="687" t="str">
        <f>'Budget-合并'!C132</f>
        <v>Dep Exp - Right of Use Asset</v>
      </c>
      <c r="D132" s="676">
        <f t="shared" si="49"/>
        <v>416.66666666666669</v>
      </c>
      <c r="E132" s="676" t="e">
        <f t="shared" si="50"/>
        <v>#N/A</v>
      </c>
      <c r="F132" s="676" t="e">
        <f t="shared" si="51"/>
        <v>#N/A</v>
      </c>
      <c r="G132" s="676">
        <f t="shared" ca="1" si="52"/>
        <v>416.66666666666669</v>
      </c>
      <c r="H132" s="676" t="e">
        <f t="shared" ca="1" si="53"/>
        <v>#N/A</v>
      </c>
      <c r="I132" s="676" t="e">
        <f t="shared" ca="1" si="54"/>
        <v>#N/A</v>
      </c>
      <c r="K132" s="676">
        <f t="shared" ref="K132:V132" si="61">SUM(K133,K134,K137)</f>
        <v>416.66666666666669</v>
      </c>
      <c r="L132" s="676">
        <f t="shared" si="61"/>
        <v>416.66666666666669</v>
      </c>
      <c r="M132" s="676">
        <f t="shared" si="61"/>
        <v>416.66666666666669</v>
      </c>
      <c r="N132" s="676">
        <f t="shared" si="61"/>
        <v>416.66666666666669</v>
      </c>
      <c r="O132" s="676">
        <f t="shared" si="61"/>
        <v>416.66666666666669</v>
      </c>
      <c r="P132" s="676">
        <f t="shared" si="61"/>
        <v>416.66666666666669</v>
      </c>
      <c r="Q132" s="676">
        <f t="shared" si="61"/>
        <v>416.66666666666669</v>
      </c>
      <c r="R132" s="676">
        <f t="shared" si="61"/>
        <v>416.66666666666669</v>
      </c>
      <c r="S132" s="676">
        <f t="shared" si="61"/>
        <v>416.66666666666669</v>
      </c>
      <c r="T132" s="676">
        <f t="shared" si="61"/>
        <v>416.66666666666669</v>
      </c>
      <c r="U132" s="676">
        <f t="shared" si="61"/>
        <v>416.66666666666669</v>
      </c>
      <c r="V132" s="676">
        <f t="shared" si="61"/>
        <v>416.66666666666669</v>
      </c>
      <c r="W132" s="676">
        <f t="shared" si="43"/>
        <v>5000</v>
      </c>
      <c r="Y132" s="688">
        <f>IFERROR(VLOOKUP($A132,'[95]1月'!$A:$H,8,0),0)</f>
        <v>397.03</v>
      </c>
      <c r="Z132" s="688">
        <f>IFERROR(VLOOKUP($A132,'[95]2月'!$A:$H,8,0),0)</f>
        <v>397.03</v>
      </c>
      <c r="AA132" s="688">
        <f>IFERROR(VLOOKUP($A132,'[95]3月'!$A:$H,8,0),0)</f>
        <v>397.03</v>
      </c>
      <c r="AB132" s="688">
        <f>IFERROR(VLOOKUP($A132,'[95]4月'!$A:$H,8,0),0)</f>
        <v>397.07</v>
      </c>
      <c r="AC132" s="688">
        <f>IFERROR(VLOOKUP($A132,'[95]5月'!$A:$H,8,0),0)</f>
        <v>153.11000000000001</v>
      </c>
      <c r="AD132" s="688">
        <f>IFERROR(VLOOKUP($A132,'[95]6月'!$A:$H,8,0),0)</f>
        <v>416.67</v>
      </c>
      <c r="AE132" s="688">
        <f>IFERROR(VLOOKUP($A132,'[95]7月'!$A:$H,8,0),0)</f>
        <v>416.67</v>
      </c>
      <c r="AF132" s="688">
        <f>IFERROR(VLOOKUP($A132,'[95]8月'!$A:$H,8,0),0)</f>
        <v>416.67</v>
      </c>
      <c r="AG132" s="688">
        <f>IFERROR(VLOOKUP($A132,'[95]9月'!$A:$H,8,0),0)</f>
        <v>416.67</v>
      </c>
      <c r="AH132" s="688">
        <f>IFERROR(VLOOKUP($A132,'[95]10月'!$A:$H,8,0),0)</f>
        <v>416.67</v>
      </c>
      <c r="AI132" s="688">
        <f>IFERROR(VLOOKUP($A132,'[95]11月'!$A:$H,8,0),0)</f>
        <v>416.67</v>
      </c>
      <c r="AJ132" s="688">
        <f>IFERROR(VLOOKUP($A132,'[95]12月'!$A:$H,8,0),0)</f>
        <v>416.67</v>
      </c>
      <c r="AK132" s="688">
        <f t="shared" si="55"/>
        <v>4657.96</v>
      </c>
    </row>
    <row r="133" spans="1:37" ht="11.1" customHeight="1">
      <c r="A133" s="653" t="str">
        <f>'Budget-合并'!A133</f>
        <v>6602.12.01</v>
      </c>
      <c r="B133" s="653" t="str">
        <f>'Budget-合并'!B133</f>
        <v>打印机租赁</v>
      </c>
      <c r="C133" s="687">
        <f>'Budget-合并'!C133</f>
        <v>0</v>
      </c>
      <c r="D133" s="676">
        <f t="shared" si="49"/>
        <v>0</v>
      </c>
      <c r="E133" s="676" t="e">
        <f t="shared" si="50"/>
        <v>#N/A</v>
      </c>
      <c r="F133" s="676" t="e">
        <f t="shared" si="51"/>
        <v>#N/A</v>
      </c>
      <c r="G133" s="676">
        <f t="shared" ca="1" si="52"/>
        <v>0</v>
      </c>
      <c r="H133" s="676" t="e">
        <f t="shared" ca="1" si="53"/>
        <v>#N/A</v>
      </c>
      <c r="I133" s="676" t="e">
        <f t="shared" ca="1" si="54"/>
        <v>#N/A</v>
      </c>
      <c r="K133" s="676"/>
      <c r="L133" s="676"/>
      <c r="M133" s="676"/>
      <c r="N133" s="676"/>
      <c r="O133" s="676"/>
      <c r="P133" s="676"/>
      <c r="Q133" s="676"/>
      <c r="R133" s="676"/>
      <c r="S133" s="676"/>
      <c r="T133" s="676"/>
      <c r="U133" s="676"/>
      <c r="V133" s="676"/>
      <c r="W133" s="676">
        <f t="shared" si="43"/>
        <v>0</v>
      </c>
      <c r="Y133" s="688">
        <f>IFERROR(VLOOKUP($A133,'[95]1月'!$A:$H,8,0),0)</f>
        <v>0</v>
      </c>
      <c r="Z133" s="688">
        <f>IFERROR(VLOOKUP($A133,'[95]2月'!$A:$H,8,0),0)</f>
        <v>0</v>
      </c>
      <c r="AA133" s="688">
        <f>IFERROR(VLOOKUP($A133,'[95]3月'!$A:$H,8,0),0)</f>
        <v>0</v>
      </c>
      <c r="AB133" s="688">
        <f>IFERROR(VLOOKUP($A133,'[95]4月'!$A:$H,8,0),0)</f>
        <v>0</v>
      </c>
      <c r="AC133" s="688">
        <f>IFERROR(VLOOKUP($A133,'[95]5月'!$A:$H,8,0),0)</f>
        <v>0</v>
      </c>
      <c r="AD133" s="688">
        <f>IFERROR(VLOOKUP($A133,'[95]6月'!$A:$H,8,0),0)</f>
        <v>0</v>
      </c>
      <c r="AE133" s="688">
        <f>IFERROR(VLOOKUP($A133,'[95]7月'!$A:$H,8,0),0)</f>
        <v>0</v>
      </c>
      <c r="AF133" s="688">
        <f>IFERROR(VLOOKUP($A133,'[95]8月'!$A:$H,8,0),0)</f>
        <v>0</v>
      </c>
      <c r="AG133" s="688">
        <f>IFERROR(VLOOKUP($A133,'[95]9月'!$A:$H,8,0),0)</f>
        <v>0</v>
      </c>
      <c r="AH133" s="688">
        <f>IFERROR(VLOOKUP($A133,'[95]10月'!$A:$H,8,0),0)</f>
        <v>0</v>
      </c>
      <c r="AI133" s="688">
        <f>IFERROR(VLOOKUP($A133,'[95]11月'!$A:$H,8,0),0)</f>
        <v>0</v>
      </c>
      <c r="AJ133" s="688">
        <f>IFERROR(VLOOKUP($A133,'[95]12月'!$A:$H,8,0),0)</f>
        <v>0</v>
      </c>
      <c r="AK133" s="688">
        <f t="shared" si="55"/>
        <v>0</v>
      </c>
    </row>
    <row r="134" spans="1:37" ht="11.1" customHeight="1">
      <c r="A134" s="653" t="str">
        <f>'Budget-合并'!A134</f>
        <v>6602.12.02</v>
      </c>
      <c r="B134" s="653" t="str">
        <f>'Budget-合并'!B134</f>
        <v>办公地址</v>
      </c>
      <c r="C134" s="687">
        <f>'Budget-合并'!C134</f>
        <v>0</v>
      </c>
      <c r="D134" s="676">
        <f t="shared" si="49"/>
        <v>0</v>
      </c>
      <c r="E134" s="676" t="e">
        <f t="shared" si="50"/>
        <v>#N/A</v>
      </c>
      <c r="F134" s="676" t="e">
        <f t="shared" si="51"/>
        <v>#N/A</v>
      </c>
      <c r="G134" s="676">
        <f t="shared" ca="1" si="52"/>
        <v>0</v>
      </c>
      <c r="H134" s="676" t="e">
        <f t="shared" ca="1" si="53"/>
        <v>#N/A</v>
      </c>
      <c r="I134" s="676" t="e">
        <f t="shared" ca="1" si="54"/>
        <v>#N/A</v>
      </c>
      <c r="K134" s="676">
        <f t="shared" ref="K134:V134" si="62">SUM(K135:K136)</f>
        <v>0</v>
      </c>
      <c r="L134" s="676">
        <f t="shared" si="62"/>
        <v>0</v>
      </c>
      <c r="M134" s="676">
        <f t="shared" si="62"/>
        <v>0</v>
      </c>
      <c r="N134" s="676">
        <f t="shared" si="62"/>
        <v>0</v>
      </c>
      <c r="O134" s="676">
        <f t="shared" si="62"/>
        <v>0</v>
      </c>
      <c r="P134" s="676">
        <f t="shared" si="62"/>
        <v>0</v>
      </c>
      <c r="Q134" s="676">
        <f t="shared" si="62"/>
        <v>0</v>
      </c>
      <c r="R134" s="676">
        <f t="shared" si="62"/>
        <v>0</v>
      </c>
      <c r="S134" s="676">
        <f t="shared" si="62"/>
        <v>0</v>
      </c>
      <c r="T134" s="676">
        <f t="shared" si="62"/>
        <v>0</v>
      </c>
      <c r="U134" s="676">
        <f t="shared" si="62"/>
        <v>0</v>
      </c>
      <c r="V134" s="676">
        <f t="shared" si="62"/>
        <v>0</v>
      </c>
      <c r="W134" s="676">
        <f t="shared" si="43"/>
        <v>0</v>
      </c>
      <c r="Y134" s="688">
        <f>IFERROR(VLOOKUP($A134,'[95]1月'!$A:$H,8,0),0)</f>
        <v>0</v>
      </c>
      <c r="Z134" s="688">
        <f>IFERROR(VLOOKUP($A134,'[95]2月'!$A:$H,8,0),0)</f>
        <v>0</v>
      </c>
      <c r="AA134" s="688">
        <f>IFERROR(VLOOKUP($A134,'[95]3月'!$A:$H,8,0),0)</f>
        <v>0</v>
      </c>
      <c r="AB134" s="688">
        <f>IFERROR(VLOOKUP($A134,'[95]4月'!$A:$H,8,0),0)</f>
        <v>0</v>
      </c>
      <c r="AC134" s="688">
        <f>IFERROR(VLOOKUP($A134,'[95]5月'!$A:$H,8,0),0)</f>
        <v>0</v>
      </c>
      <c r="AD134" s="688">
        <f>IFERROR(VLOOKUP($A134,'[95]6月'!$A:$H,8,0),0)</f>
        <v>0</v>
      </c>
      <c r="AE134" s="688">
        <f>IFERROR(VLOOKUP($A134,'[95]7月'!$A:$H,8,0),0)</f>
        <v>0</v>
      </c>
      <c r="AF134" s="688">
        <f>IFERROR(VLOOKUP($A134,'[95]8月'!$A:$H,8,0),0)</f>
        <v>0</v>
      </c>
      <c r="AG134" s="688">
        <f>IFERROR(VLOOKUP($A134,'[95]9月'!$A:$H,8,0),0)</f>
        <v>0</v>
      </c>
      <c r="AH134" s="688">
        <f>IFERROR(VLOOKUP($A134,'[95]10月'!$A:$H,8,0),0)</f>
        <v>0</v>
      </c>
      <c r="AI134" s="688">
        <f>IFERROR(VLOOKUP($A134,'[95]11月'!$A:$H,8,0),0)</f>
        <v>0</v>
      </c>
      <c r="AJ134" s="688">
        <f>IFERROR(VLOOKUP($A134,'[95]12月'!$A:$H,8,0),0)</f>
        <v>0</v>
      </c>
      <c r="AK134" s="688">
        <f t="shared" si="55"/>
        <v>0</v>
      </c>
    </row>
    <row r="135" spans="1:37" ht="11.1" customHeight="1">
      <c r="A135" s="653" t="str">
        <f>'Budget-合并'!A135</f>
        <v>6602.12.02.01</v>
      </c>
      <c r="B135" s="653" t="str">
        <f>'Budget-合并'!B135</f>
        <v>旭智咨询--鼎和大厦1606</v>
      </c>
      <c r="C135" s="687">
        <f>'Budget-合并'!C135</f>
        <v>0</v>
      </c>
      <c r="D135" s="676">
        <f t="shared" si="49"/>
        <v>0</v>
      </c>
      <c r="E135" s="676" t="e">
        <f t="shared" si="50"/>
        <v>#N/A</v>
      </c>
      <c r="F135" s="676" t="e">
        <f t="shared" si="51"/>
        <v>#N/A</v>
      </c>
      <c r="G135" s="676">
        <f t="shared" ca="1" si="52"/>
        <v>0</v>
      </c>
      <c r="H135" s="676" t="e">
        <f t="shared" ca="1" si="53"/>
        <v>#N/A</v>
      </c>
      <c r="I135" s="676" t="e">
        <f t="shared" ca="1" si="54"/>
        <v>#N/A</v>
      </c>
      <c r="K135" s="676"/>
      <c r="L135" s="676"/>
      <c r="M135" s="676"/>
      <c r="N135" s="676"/>
      <c r="O135" s="676"/>
      <c r="P135" s="676"/>
      <c r="Q135" s="676"/>
      <c r="R135" s="676"/>
      <c r="S135" s="676"/>
      <c r="T135" s="676"/>
      <c r="U135" s="676"/>
      <c r="V135" s="676"/>
      <c r="W135" s="676">
        <f t="shared" si="43"/>
        <v>0</v>
      </c>
      <c r="Y135" s="688">
        <f>IFERROR(VLOOKUP($A135,'[95]1月'!$A:$H,8,0),0)</f>
        <v>0</v>
      </c>
      <c r="Z135" s="688">
        <f>IFERROR(VLOOKUP($A135,'[95]2月'!$A:$H,8,0),0)</f>
        <v>0</v>
      </c>
      <c r="AA135" s="688">
        <f>IFERROR(VLOOKUP($A135,'[95]3月'!$A:$H,8,0),0)</f>
        <v>0</v>
      </c>
      <c r="AB135" s="688">
        <f>IFERROR(VLOOKUP($A135,'[95]4月'!$A:$H,8,0),0)</f>
        <v>0</v>
      </c>
      <c r="AC135" s="688">
        <f>IFERROR(VLOOKUP($A135,'[95]5月'!$A:$H,8,0),0)</f>
        <v>0</v>
      </c>
      <c r="AD135" s="688">
        <f>IFERROR(VLOOKUP($A135,'[95]6月'!$A:$H,8,0),0)</f>
        <v>0</v>
      </c>
      <c r="AE135" s="688">
        <f>IFERROR(VLOOKUP($A135,'[95]7月'!$A:$H,8,0),0)</f>
        <v>0</v>
      </c>
      <c r="AF135" s="688">
        <f>IFERROR(VLOOKUP($A135,'[95]8月'!$A:$H,8,0),0)</f>
        <v>0</v>
      </c>
      <c r="AG135" s="688">
        <f>IFERROR(VLOOKUP($A135,'[95]9月'!$A:$H,8,0),0)</f>
        <v>0</v>
      </c>
      <c r="AH135" s="688">
        <f>IFERROR(VLOOKUP($A135,'[95]10月'!$A:$H,8,0),0)</f>
        <v>0</v>
      </c>
      <c r="AI135" s="688">
        <f>IFERROR(VLOOKUP($A135,'[95]11月'!$A:$H,8,0),0)</f>
        <v>0</v>
      </c>
      <c r="AJ135" s="688">
        <f>IFERROR(VLOOKUP($A135,'[95]12月'!$A:$H,8,0),0)</f>
        <v>0</v>
      </c>
      <c r="AK135" s="688">
        <f t="shared" si="55"/>
        <v>0</v>
      </c>
    </row>
    <row r="136" spans="1:37" ht="11.1" customHeight="1">
      <c r="A136" s="653" t="str">
        <f>'Budget-合并'!A136</f>
        <v>6602.12.02.02</v>
      </c>
      <c r="B136" s="653" t="str">
        <f>'Budget-合并'!B136</f>
        <v>旭智资本（香港）--冯氏大厦</v>
      </c>
      <c r="C136" s="687">
        <f>'Budget-合并'!C136</f>
        <v>0</v>
      </c>
      <c r="D136" s="676">
        <f t="shared" si="49"/>
        <v>0</v>
      </c>
      <c r="E136" s="676" t="e">
        <f t="shared" si="50"/>
        <v>#N/A</v>
      </c>
      <c r="F136" s="676" t="e">
        <f t="shared" si="51"/>
        <v>#N/A</v>
      </c>
      <c r="G136" s="676">
        <f t="shared" ca="1" si="52"/>
        <v>0</v>
      </c>
      <c r="H136" s="676" t="e">
        <f t="shared" ca="1" si="53"/>
        <v>#N/A</v>
      </c>
      <c r="I136" s="676" t="e">
        <f t="shared" ca="1" si="54"/>
        <v>#N/A</v>
      </c>
      <c r="K136" s="676"/>
      <c r="L136" s="676"/>
      <c r="M136" s="676"/>
      <c r="N136" s="676"/>
      <c r="O136" s="676"/>
      <c r="P136" s="676"/>
      <c r="Q136" s="676"/>
      <c r="R136" s="676"/>
      <c r="S136" s="676"/>
      <c r="T136" s="676"/>
      <c r="U136" s="676"/>
      <c r="V136" s="676"/>
      <c r="W136" s="676">
        <f t="shared" si="43"/>
        <v>0</v>
      </c>
      <c r="Y136" s="688">
        <f>IFERROR(VLOOKUP($A136,'[95]1月'!$A:$H,8,0),0)</f>
        <v>0</v>
      </c>
      <c r="Z136" s="688">
        <f>IFERROR(VLOOKUP($A136,'[95]2月'!$A:$H,8,0),0)</f>
        <v>0</v>
      </c>
      <c r="AA136" s="688">
        <f>IFERROR(VLOOKUP($A136,'[95]3月'!$A:$H,8,0),0)</f>
        <v>0</v>
      </c>
      <c r="AB136" s="688">
        <f>IFERROR(VLOOKUP($A136,'[95]4月'!$A:$H,8,0),0)</f>
        <v>0</v>
      </c>
      <c r="AC136" s="688">
        <f>IFERROR(VLOOKUP($A136,'[95]5月'!$A:$H,8,0),0)</f>
        <v>0</v>
      </c>
      <c r="AD136" s="688">
        <f>IFERROR(VLOOKUP($A136,'[95]6月'!$A:$H,8,0),0)</f>
        <v>0</v>
      </c>
      <c r="AE136" s="688">
        <f>IFERROR(VLOOKUP($A136,'[95]7月'!$A:$H,8,0),0)</f>
        <v>0</v>
      </c>
      <c r="AF136" s="688">
        <f>IFERROR(VLOOKUP($A136,'[95]8月'!$A:$H,8,0),0)</f>
        <v>0</v>
      </c>
      <c r="AG136" s="688">
        <f>IFERROR(VLOOKUP($A136,'[95]9月'!$A:$H,8,0),0)</f>
        <v>0</v>
      </c>
      <c r="AH136" s="688">
        <f>IFERROR(VLOOKUP($A136,'[95]10月'!$A:$H,8,0),0)</f>
        <v>0</v>
      </c>
      <c r="AI136" s="688">
        <f>IFERROR(VLOOKUP($A136,'[95]11月'!$A:$H,8,0),0)</f>
        <v>0</v>
      </c>
      <c r="AJ136" s="688">
        <f>IFERROR(VLOOKUP($A136,'[95]12月'!$A:$H,8,0),0)</f>
        <v>0</v>
      </c>
      <c r="AK136" s="688">
        <f t="shared" si="55"/>
        <v>0</v>
      </c>
    </row>
    <row r="137" spans="1:37" ht="11.1" customHeight="1">
      <c r="A137" s="653" t="str">
        <f>'Budget-合并'!A137</f>
        <v>6602.12.03</v>
      </c>
      <c r="B137" s="653" t="str">
        <f>'Budget-合并'!B137</f>
        <v>注册地址</v>
      </c>
      <c r="C137" s="687">
        <f>'Budget-合并'!C137</f>
        <v>0</v>
      </c>
      <c r="D137" s="676">
        <f t="shared" si="49"/>
        <v>416.66666666666669</v>
      </c>
      <c r="E137" s="676" t="e">
        <f t="shared" si="50"/>
        <v>#N/A</v>
      </c>
      <c r="F137" s="676" t="e">
        <f t="shared" si="51"/>
        <v>#N/A</v>
      </c>
      <c r="G137" s="676">
        <f t="shared" ca="1" si="52"/>
        <v>416.66666666666669</v>
      </c>
      <c r="H137" s="676" t="e">
        <f t="shared" ca="1" si="53"/>
        <v>#N/A</v>
      </c>
      <c r="I137" s="676" t="e">
        <f t="shared" ca="1" si="54"/>
        <v>#N/A</v>
      </c>
      <c r="K137" s="676">
        <f t="shared" ref="K137:V137" si="63">SUM(K138:K139)</f>
        <v>416.66666666666669</v>
      </c>
      <c r="L137" s="676">
        <f t="shared" si="63"/>
        <v>416.66666666666669</v>
      </c>
      <c r="M137" s="676">
        <f t="shared" si="63"/>
        <v>416.66666666666669</v>
      </c>
      <c r="N137" s="676">
        <f t="shared" si="63"/>
        <v>416.66666666666669</v>
      </c>
      <c r="O137" s="676">
        <f t="shared" si="63"/>
        <v>416.66666666666669</v>
      </c>
      <c r="P137" s="676">
        <f t="shared" si="63"/>
        <v>416.66666666666669</v>
      </c>
      <c r="Q137" s="676">
        <f t="shared" si="63"/>
        <v>416.66666666666669</v>
      </c>
      <c r="R137" s="676">
        <f t="shared" si="63"/>
        <v>416.66666666666669</v>
      </c>
      <c r="S137" s="676">
        <f t="shared" si="63"/>
        <v>416.66666666666669</v>
      </c>
      <c r="T137" s="676">
        <f t="shared" si="63"/>
        <v>416.66666666666669</v>
      </c>
      <c r="U137" s="676">
        <f t="shared" si="63"/>
        <v>416.66666666666669</v>
      </c>
      <c r="V137" s="676">
        <f t="shared" si="63"/>
        <v>416.66666666666669</v>
      </c>
      <c r="W137" s="676">
        <f t="shared" si="43"/>
        <v>5000</v>
      </c>
      <c r="Y137" s="688">
        <f>IFERROR(VLOOKUP($A137,'[95]1月'!$A:$H,8,0),0)</f>
        <v>397.03</v>
      </c>
      <c r="Z137" s="688">
        <f>IFERROR(VLOOKUP($A137,'[95]2月'!$A:$H,8,0),0)</f>
        <v>397.03</v>
      </c>
      <c r="AA137" s="688">
        <f>IFERROR(VLOOKUP($A137,'[95]3月'!$A:$H,8,0),0)</f>
        <v>397.03</v>
      </c>
      <c r="AB137" s="688">
        <f>IFERROR(VLOOKUP($A137,'[95]4月'!$A:$H,8,0),0)</f>
        <v>397.07</v>
      </c>
      <c r="AC137" s="688">
        <f>IFERROR(VLOOKUP($A137,'[95]5月'!$A:$H,8,0),0)</f>
        <v>153.11000000000001</v>
      </c>
      <c r="AD137" s="688">
        <f>IFERROR(VLOOKUP($A137,'[95]6月'!$A:$H,8,0),0)</f>
        <v>416.67</v>
      </c>
      <c r="AE137" s="688">
        <f>IFERROR(VLOOKUP($A137,'[95]7月'!$A:$H,8,0),0)</f>
        <v>416.67</v>
      </c>
      <c r="AF137" s="688">
        <f>IFERROR(VLOOKUP($A137,'[95]8月'!$A:$H,8,0),0)</f>
        <v>416.67</v>
      </c>
      <c r="AG137" s="688">
        <f>IFERROR(VLOOKUP($A137,'[95]9月'!$A:$H,8,0),0)</f>
        <v>416.67</v>
      </c>
      <c r="AH137" s="688">
        <f>IFERROR(VLOOKUP($A137,'[95]10月'!$A:$H,8,0),0)</f>
        <v>416.67</v>
      </c>
      <c r="AI137" s="688">
        <f>IFERROR(VLOOKUP($A137,'[95]11月'!$A:$H,8,0),0)</f>
        <v>416.67</v>
      </c>
      <c r="AJ137" s="688">
        <f>IFERROR(VLOOKUP($A137,'[95]12月'!$A:$H,8,0),0)</f>
        <v>416.67</v>
      </c>
      <c r="AK137" s="688">
        <f t="shared" si="55"/>
        <v>4657.96</v>
      </c>
    </row>
    <row r="138" spans="1:37" ht="11.1" customHeight="1">
      <c r="A138" s="653" t="str">
        <f>'Budget-合并'!A138</f>
        <v>6602.12.03.01</v>
      </c>
      <c r="B138" s="653" t="str">
        <f>'Budget-合并'!B138</f>
        <v>旭智私募--前海壹号B座701E</v>
      </c>
      <c r="C138" s="687">
        <f>'Budget-合并'!C138</f>
        <v>0</v>
      </c>
      <c r="D138" s="676">
        <f t="shared" si="49"/>
        <v>0</v>
      </c>
      <c r="E138" s="676" t="e">
        <f t="shared" si="50"/>
        <v>#N/A</v>
      </c>
      <c r="F138" s="676" t="e">
        <f t="shared" si="51"/>
        <v>#N/A</v>
      </c>
      <c r="G138" s="676">
        <f t="shared" ca="1" si="52"/>
        <v>0</v>
      </c>
      <c r="H138" s="676" t="e">
        <f t="shared" ca="1" si="53"/>
        <v>#N/A</v>
      </c>
      <c r="I138" s="676" t="e">
        <f t="shared" ca="1" si="54"/>
        <v>#N/A</v>
      </c>
      <c r="K138" s="676"/>
      <c r="L138" s="676"/>
      <c r="M138" s="676"/>
      <c r="N138" s="676"/>
      <c r="O138" s="676"/>
      <c r="P138" s="676"/>
      <c r="Q138" s="676"/>
      <c r="R138" s="676"/>
      <c r="S138" s="676"/>
      <c r="T138" s="676"/>
      <c r="U138" s="676"/>
      <c r="V138" s="676"/>
      <c r="W138" s="676">
        <f t="shared" si="43"/>
        <v>0</v>
      </c>
      <c r="Y138" s="688">
        <f>IFERROR(VLOOKUP($A138,'[95]1月'!$A:$H,8,0),0)</f>
        <v>0</v>
      </c>
      <c r="Z138" s="688">
        <f>IFERROR(VLOOKUP($A138,'[95]2月'!$A:$H,8,0),0)</f>
        <v>0</v>
      </c>
      <c r="AA138" s="688">
        <f>IFERROR(VLOOKUP($A138,'[95]3月'!$A:$H,8,0),0)</f>
        <v>0</v>
      </c>
      <c r="AB138" s="688">
        <f>IFERROR(VLOOKUP($A138,'[95]4月'!$A:$H,8,0),0)</f>
        <v>0</v>
      </c>
      <c r="AC138" s="688">
        <f>IFERROR(VLOOKUP($A138,'[95]5月'!$A:$H,8,0),0)</f>
        <v>0</v>
      </c>
      <c r="AD138" s="688">
        <f>IFERROR(VLOOKUP($A138,'[95]6月'!$A:$H,8,0),0)</f>
        <v>0</v>
      </c>
      <c r="AE138" s="688">
        <f>IFERROR(VLOOKUP($A138,'[95]7月'!$A:$H,8,0),0)</f>
        <v>0</v>
      </c>
      <c r="AF138" s="688">
        <f>IFERROR(VLOOKUP($A138,'[95]8月'!$A:$H,8,0),0)</f>
        <v>0</v>
      </c>
      <c r="AG138" s="688">
        <f>IFERROR(VLOOKUP($A138,'[95]9月'!$A:$H,8,0),0)</f>
        <v>0</v>
      </c>
      <c r="AH138" s="688">
        <f>IFERROR(VLOOKUP($A138,'[95]10月'!$A:$H,8,0),0)</f>
        <v>0</v>
      </c>
      <c r="AI138" s="688">
        <f>IFERROR(VLOOKUP($A138,'[95]11月'!$A:$H,8,0),0)</f>
        <v>0</v>
      </c>
      <c r="AJ138" s="688">
        <f>IFERROR(VLOOKUP($A138,'[95]12月'!$A:$H,8,0),0)</f>
        <v>0</v>
      </c>
      <c r="AK138" s="688">
        <f t="shared" si="55"/>
        <v>0</v>
      </c>
    </row>
    <row r="139" spans="1:37" ht="11.1" customHeight="1">
      <c r="A139" s="653" t="str">
        <f>'Budget-合并'!A139</f>
        <v>6602.12.03.02</v>
      </c>
      <c r="B139" s="653" t="str">
        <f>'Budget-合并'!B139</f>
        <v>广州旭智--802房F028</v>
      </c>
      <c r="C139" s="687">
        <f>'Budget-合并'!C139</f>
        <v>0</v>
      </c>
      <c r="D139" s="676">
        <f t="shared" si="49"/>
        <v>416.66666666666669</v>
      </c>
      <c r="E139" s="676" t="e">
        <f t="shared" si="50"/>
        <v>#N/A</v>
      </c>
      <c r="F139" s="676" t="e">
        <f t="shared" si="51"/>
        <v>#N/A</v>
      </c>
      <c r="G139" s="676">
        <f t="shared" ca="1" si="52"/>
        <v>416.66666666666669</v>
      </c>
      <c r="H139" s="676" t="e">
        <f t="shared" ca="1" si="53"/>
        <v>#N/A</v>
      </c>
      <c r="I139" s="676" t="e">
        <f t="shared" ca="1" si="54"/>
        <v>#N/A</v>
      </c>
      <c r="K139" s="676">
        <f>SPACE!$K$62/12</f>
        <v>416.66666666666669</v>
      </c>
      <c r="L139" s="676">
        <f>SPACE!$K$62/12</f>
        <v>416.66666666666669</v>
      </c>
      <c r="M139" s="676">
        <f>SPACE!$K$62/12</f>
        <v>416.66666666666669</v>
      </c>
      <c r="N139" s="676">
        <f>SPACE!$K$62/12</f>
        <v>416.66666666666669</v>
      </c>
      <c r="O139" s="676">
        <f>SPACE!$K$62/12</f>
        <v>416.66666666666669</v>
      </c>
      <c r="P139" s="676">
        <f>SPACE!$K$62/12</f>
        <v>416.66666666666669</v>
      </c>
      <c r="Q139" s="676">
        <f>SPACE!$K$62/12</f>
        <v>416.66666666666669</v>
      </c>
      <c r="R139" s="676">
        <f>SPACE!$K$62/12</f>
        <v>416.66666666666669</v>
      </c>
      <c r="S139" s="676">
        <f>SPACE!$K$62/12</f>
        <v>416.66666666666669</v>
      </c>
      <c r="T139" s="676">
        <f>SPACE!$K$62/12</f>
        <v>416.66666666666669</v>
      </c>
      <c r="U139" s="676">
        <f>SPACE!$K$62/12</f>
        <v>416.66666666666669</v>
      </c>
      <c r="V139" s="676">
        <f>SPACE!$K$62/12</f>
        <v>416.66666666666669</v>
      </c>
      <c r="W139" s="676">
        <f t="shared" si="43"/>
        <v>5000</v>
      </c>
      <c r="Y139" s="688">
        <f>IFERROR(VLOOKUP($A139,'[95]1月'!$A:$H,8,0),0)</f>
        <v>397.03</v>
      </c>
      <c r="Z139" s="688">
        <f>IFERROR(VLOOKUP($A139,'[95]2月'!$A:$H,8,0),0)</f>
        <v>397.03</v>
      </c>
      <c r="AA139" s="688">
        <f>IFERROR(VLOOKUP($A139,'[95]3月'!$A:$H,8,0),0)</f>
        <v>397.03</v>
      </c>
      <c r="AB139" s="688">
        <f>IFERROR(VLOOKUP($A139,'[95]4月'!$A:$H,8,0),0)</f>
        <v>397.07</v>
      </c>
      <c r="AC139" s="688">
        <f>IFERROR(VLOOKUP($A139,'[95]5月'!$A:$H,8,0),0)</f>
        <v>416.67</v>
      </c>
      <c r="AD139" s="688">
        <f>IFERROR(VLOOKUP($A139,'[95]6月'!$A:$H,8,0),0)</f>
        <v>416.67</v>
      </c>
      <c r="AE139" s="688">
        <f>IFERROR(VLOOKUP($A139,'[95]7月'!$A:$H,8,0),0)</f>
        <v>416.67</v>
      </c>
      <c r="AF139" s="688">
        <f>IFERROR(VLOOKUP($A139,'[95]8月'!$A:$H,8,0),0)</f>
        <v>416.67</v>
      </c>
      <c r="AG139" s="688">
        <f>IFERROR(VLOOKUP($A139,'[95]9月'!$A:$H,8,0),0)</f>
        <v>416.67</v>
      </c>
      <c r="AH139" s="688">
        <f>IFERROR(VLOOKUP($A139,'[95]10月'!$A:$H,8,0),0)</f>
        <v>416.67</v>
      </c>
      <c r="AI139" s="688">
        <f>IFERROR(VLOOKUP($A139,'[95]11月'!$A:$H,8,0),0)</f>
        <v>416.67</v>
      </c>
      <c r="AJ139" s="688">
        <f>IFERROR(VLOOKUP($A139,'[95]12月'!$A:$H,8,0),0)</f>
        <v>416.67</v>
      </c>
      <c r="AK139" s="688">
        <f t="shared" si="55"/>
        <v>4921.5200000000004</v>
      </c>
    </row>
    <row r="140" spans="1:37" ht="13.5" customHeight="1">
      <c r="A140" s="653" t="str">
        <f>'Budget-合并'!A140</f>
        <v>6602.13</v>
      </c>
      <c r="B140" s="653" t="str">
        <f>'Budget-合并'!B140</f>
        <v>物业管理费</v>
      </c>
      <c r="C140" s="687">
        <f>'Budget-合并'!C140</f>
        <v>0</v>
      </c>
      <c r="D140" s="676">
        <f t="shared" si="49"/>
        <v>0</v>
      </c>
      <c r="E140" s="676" t="e">
        <f t="shared" si="50"/>
        <v>#N/A</v>
      </c>
      <c r="F140" s="676" t="e">
        <f t="shared" si="51"/>
        <v>#N/A</v>
      </c>
      <c r="G140" s="676">
        <f t="shared" ca="1" si="52"/>
        <v>0</v>
      </c>
      <c r="H140" s="676" t="e">
        <f t="shared" ca="1" si="53"/>
        <v>#N/A</v>
      </c>
      <c r="I140" s="676" t="e">
        <f t="shared" ca="1" si="54"/>
        <v>#N/A</v>
      </c>
      <c r="K140" s="676"/>
      <c r="L140" s="676"/>
      <c r="M140" s="676"/>
      <c r="N140" s="676"/>
      <c r="O140" s="676"/>
      <c r="P140" s="676"/>
      <c r="Q140" s="676"/>
      <c r="R140" s="676"/>
      <c r="S140" s="676"/>
      <c r="T140" s="676"/>
      <c r="U140" s="676"/>
      <c r="V140" s="676"/>
      <c r="W140" s="676">
        <f t="shared" si="43"/>
        <v>0</v>
      </c>
      <c r="Y140" s="688">
        <f>IFERROR(VLOOKUP($A140,'[95]1月'!$A:$H,8,0),0)</f>
        <v>0</v>
      </c>
      <c r="Z140" s="688">
        <f>IFERROR(VLOOKUP($A140,'[95]2月'!$A:$H,8,0),0)</f>
        <v>0</v>
      </c>
      <c r="AA140" s="688">
        <f>IFERROR(VLOOKUP($A140,'[95]3月'!$A:$H,8,0),0)</f>
        <v>0</v>
      </c>
      <c r="AB140" s="688">
        <f>IFERROR(VLOOKUP($A140,'[95]4月'!$A:$H,8,0),0)</f>
        <v>0</v>
      </c>
      <c r="AC140" s="688">
        <f>IFERROR(VLOOKUP($A140,'[95]5月'!$A:$H,8,0),0)</f>
        <v>0</v>
      </c>
      <c r="AD140" s="688">
        <f>IFERROR(VLOOKUP($A140,'[95]6月'!$A:$H,8,0),0)</f>
        <v>0</v>
      </c>
      <c r="AE140" s="688">
        <f>IFERROR(VLOOKUP($A140,'[95]7月'!$A:$H,8,0),0)</f>
        <v>0</v>
      </c>
      <c r="AF140" s="688">
        <f>IFERROR(VLOOKUP($A140,'[95]8月'!$A:$H,8,0),0)</f>
        <v>0</v>
      </c>
      <c r="AG140" s="688">
        <f>IFERROR(VLOOKUP($A140,'[95]9月'!$A:$H,8,0),0)</f>
        <v>0</v>
      </c>
      <c r="AH140" s="688">
        <f>IFERROR(VLOOKUP($A140,'[95]10月'!$A:$H,8,0),0)</f>
        <v>0</v>
      </c>
      <c r="AI140" s="688">
        <f>IFERROR(VLOOKUP($A140,'[95]11月'!$A:$H,8,0),0)</f>
        <v>0</v>
      </c>
      <c r="AJ140" s="688">
        <f>IFERROR(VLOOKUP($A140,'[95]12月'!$A:$H,8,0),0)</f>
        <v>0</v>
      </c>
      <c r="AK140" s="688">
        <f t="shared" si="55"/>
        <v>0</v>
      </c>
    </row>
    <row r="141" spans="1:37" ht="13.5" customHeight="1">
      <c r="A141" s="653" t="str">
        <f>'Budget-合并'!A141</f>
        <v>6602.14</v>
      </c>
      <c r="B141" s="653" t="str">
        <f>'Budget-合并'!B141</f>
        <v>修理费</v>
      </c>
      <c r="C141" s="687">
        <f>'Budget-合并'!C141</f>
        <v>0</v>
      </c>
      <c r="D141" s="676">
        <f t="shared" si="49"/>
        <v>0</v>
      </c>
      <c r="E141" s="676" t="e">
        <f t="shared" si="50"/>
        <v>#N/A</v>
      </c>
      <c r="F141" s="676" t="e">
        <f t="shared" si="51"/>
        <v>#N/A</v>
      </c>
      <c r="G141" s="676">
        <f t="shared" ca="1" si="52"/>
        <v>0</v>
      </c>
      <c r="H141" s="676" t="e">
        <f t="shared" ca="1" si="53"/>
        <v>#N/A</v>
      </c>
      <c r="I141" s="676" t="e">
        <f t="shared" ca="1" si="54"/>
        <v>#N/A</v>
      </c>
      <c r="K141" s="676"/>
      <c r="L141" s="676"/>
      <c r="M141" s="676"/>
      <c r="N141" s="676"/>
      <c r="O141" s="676"/>
      <c r="P141" s="676"/>
      <c r="Q141" s="676"/>
      <c r="R141" s="676"/>
      <c r="S141" s="676"/>
      <c r="T141" s="676"/>
      <c r="U141" s="676"/>
      <c r="V141" s="676"/>
      <c r="W141" s="676">
        <f t="shared" si="43"/>
        <v>0</v>
      </c>
      <c r="Y141" s="688">
        <f>IFERROR(VLOOKUP($A141,'[95]1月'!$A:$H,8,0),0)</f>
        <v>0</v>
      </c>
      <c r="Z141" s="688">
        <f>IFERROR(VLOOKUP($A141,'[95]2月'!$A:$H,8,0),0)</f>
        <v>0</v>
      </c>
      <c r="AA141" s="688">
        <f>IFERROR(VLOOKUP($A141,'[95]3月'!$A:$H,8,0),0)</f>
        <v>0</v>
      </c>
      <c r="AB141" s="688">
        <f>IFERROR(VLOOKUP($A141,'[95]4月'!$A:$H,8,0),0)</f>
        <v>0</v>
      </c>
      <c r="AC141" s="688">
        <f>IFERROR(VLOOKUP($A141,'[95]5月'!$A:$H,8,0),0)</f>
        <v>0</v>
      </c>
      <c r="AD141" s="688">
        <f>IFERROR(VLOOKUP($A141,'[95]6月'!$A:$H,8,0),0)</f>
        <v>0</v>
      </c>
      <c r="AE141" s="688">
        <f>IFERROR(VLOOKUP($A141,'[95]7月'!$A:$H,8,0),0)</f>
        <v>0</v>
      </c>
      <c r="AF141" s="688">
        <f>IFERROR(VLOOKUP($A141,'[95]8月'!$A:$H,8,0),0)</f>
        <v>0</v>
      </c>
      <c r="AG141" s="688">
        <f>IFERROR(VLOOKUP($A141,'[95]9月'!$A:$H,8,0),0)</f>
        <v>0</v>
      </c>
      <c r="AH141" s="688">
        <f>IFERROR(VLOOKUP($A141,'[95]10月'!$A:$H,8,0),0)</f>
        <v>0</v>
      </c>
      <c r="AI141" s="688">
        <f>IFERROR(VLOOKUP($A141,'[95]11月'!$A:$H,8,0),0)</f>
        <v>0</v>
      </c>
      <c r="AJ141" s="688">
        <f>IFERROR(VLOOKUP($A141,'[95]12月'!$A:$H,8,0),0)</f>
        <v>0</v>
      </c>
      <c r="AK141" s="688">
        <f t="shared" si="55"/>
        <v>0</v>
      </c>
    </row>
    <row r="142" spans="1:37" ht="13.5" customHeight="1">
      <c r="A142" s="653" t="str">
        <f>'Budget-合并'!A142</f>
        <v>6602.15</v>
      </c>
      <c r="B142" s="653" t="str">
        <f>'Budget-合并'!B142</f>
        <v>服务费</v>
      </c>
      <c r="C142" s="687" t="str">
        <f>'Budget-合并'!C142</f>
        <v>Professional Fee</v>
      </c>
      <c r="D142" s="676">
        <f t="shared" si="49"/>
        <v>0</v>
      </c>
      <c r="E142" s="676" t="e">
        <f t="shared" si="50"/>
        <v>#N/A</v>
      </c>
      <c r="F142" s="676" t="e">
        <f t="shared" si="51"/>
        <v>#N/A</v>
      </c>
      <c r="G142" s="676">
        <f t="shared" ca="1" si="52"/>
        <v>0</v>
      </c>
      <c r="H142" s="676" t="e">
        <f t="shared" ca="1" si="53"/>
        <v>#N/A</v>
      </c>
      <c r="I142" s="676" t="e">
        <f t="shared" ca="1" si="54"/>
        <v>#N/A</v>
      </c>
      <c r="K142" s="676">
        <f>SUMIFS('Prof. Fee'!AF$3:AF$150,'Prof. Fee'!$B$3:$B$150,$D$1,'Prof. Fee'!$D$3:$D$150,$A142)+SUMIFS('Other Exp'!AG$3:AG$196,'Other Exp'!$B$3:$B$196,$D$1,'Other Exp'!$C$3:$C$196,$A142)</f>
        <v>0</v>
      </c>
      <c r="L142" s="676">
        <f>SUMIFS('Prof. Fee'!AG$3:AG$150,'Prof. Fee'!$B$3:$B$150,$D$1,'Prof. Fee'!$D$3:$D$150,$A142)+SUMIFS('Other Exp'!AH$3:AH$196,'Other Exp'!$B$3:$B$196,$D$1,'Other Exp'!$C$3:$C$196,$A142)</f>
        <v>0</v>
      </c>
      <c r="M142" s="676">
        <f>SUMIFS('Prof. Fee'!AH$3:AH$150,'Prof. Fee'!$B$3:$B$150,$D$1,'Prof. Fee'!$D$3:$D$150,$A142)+SUMIFS('Other Exp'!AI$3:AI$196,'Other Exp'!$B$3:$B$196,$D$1,'Other Exp'!$C$3:$C$196,$A142)</f>
        <v>0</v>
      </c>
      <c r="N142" s="676">
        <f>SUMIFS('Prof. Fee'!AI$3:AI$150,'Prof. Fee'!$B$3:$B$150,$D$1,'Prof. Fee'!$D$3:$D$150,$A142)+SUMIFS('Other Exp'!AJ$3:AJ$196,'Other Exp'!$B$3:$B$196,$D$1,'Other Exp'!$C$3:$C$196,$A142)</f>
        <v>0</v>
      </c>
      <c r="O142" s="676">
        <f>SUMIFS('Prof. Fee'!AJ$3:AJ$150,'Prof. Fee'!$B$3:$B$150,$D$1,'Prof. Fee'!$D$3:$D$150,$A142)+SUMIFS('Other Exp'!AK$3:AK$196,'Other Exp'!$B$3:$B$196,$D$1,'Other Exp'!$C$3:$C$196,$A142)</f>
        <v>0</v>
      </c>
      <c r="P142" s="676">
        <f>SUMIFS('Prof. Fee'!AK$3:AK$150,'Prof. Fee'!$B$3:$B$150,$D$1,'Prof. Fee'!$D$3:$D$150,$A142)+SUMIFS('Other Exp'!AL$3:AL$196,'Other Exp'!$B$3:$B$196,$D$1,'Other Exp'!$C$3:$C$196,$A142)</f>
        <v>0</v>
      </c>
      <c r="Q142" s="676">
        <f>SUMIFS('Prof. Fee'!AL$3:AL$150,'Prof. Fee'!$B$3:$B$150,$D$1,'Prof. Fee'!$D$3:$D$150,$A142)+SUMIFS('Other Exp'!AM$3:AM$196,'Other Exp'!$B$3:$B$196,$D$1,'Other Exp'!$C$3:$C$196,$A142)</f>
        <v>0</v>
      </c>
      <c r="R142" s="676">
        <f>SUMIFS('Prof. Fee'!AM$3:AM$150,'Prof. Fee'!$B$3:$B$150,$D$1,'Prof. Fee'!$D$3:$D$150,$A142)+SUMIFS('Other Exp'!AN$3:AN$196,'Other Exp'!$B$3:$B$196,$D$1,'Other Exp'!$C$3:$C$196,$A142)</f>
        <v>0</v>
      </c>
      <c r="S142" s="676">
        <f>SUMIFS('Prof. Fee'!AN$3:AN$150,'Prof. Fee'!$B$3:$B$150,$D$1,'Prof. Fee'!$D$3:$D$150,$A142)+SUMIFS('Other Exp'!AO$3:AO$196,'Other Exp'!$B$3:$B$196,$D$1,'Other Exp'!$C$3:$C$196,$A142)</f>
        <v>0</v>
      </c>
      <c r="T142" s="676">
        <f>SUMIFS('Prof. Fee'!AO$3:AO$150,'Prof. Fee'!$B$3:$B$150,$D$1,'Prof. Fee'!$D$3:$D$150,$A142)+SUMIFS('Other Exp'!AP$3:AP$196,'Other Exp'!$B$3:$B$196,$D$1,'Other Exp'!$C$3:$C$196,$A142)</f>
        <v>0</v>
      </c>
      <c r="U142" s="676">
        <f>SUMIFS('Prof. Fee'!AP$3:AP$150,'Prof. Fee'!$B$3:$B$150,$D$1,'Prof. Fee'!$D$3:$D$150,$A142)+SUMIFS('Other Exp'!AQ$3:AQ$196,'Other Exp'!$B$3:$B$196,$D$1,'Other Exp'!$C$3:$C$196,$A142)</f>
        <v>0</v>
      </c>
      <c r="V142" s="676">
        <f>SUMIFS('Prof. Fee'!AQ$3:AQ$150,'Prof. Fee'!$B$3:$B$150,$D$1,'Prof. Fee'!$D$3:$D$150,$A142)+SUMIFS('Other Exp'!AR$3:AR$196,'Other Exp'!$B$3:$B$196,$D$1,'Other Exp'!$C$3:$C$196,$A142)</f>
        <v>50000</v>
      </c>
      <c r="W142" s="676">
        <f t="shared" si="43"/>
        <v>50000</v>
      </c>
      <c r="Y142" s="688">
        <f>IFERROR(VLOOKUP($A142,'[95]1月'!$A:$H,8,0),0)</f>
        <v>0</v>
      </c>
      <c r="Z142" s="688">
        <f>IFERROR(VLOOKUP($A142,'[95]2月'!$A:$H,8,0),0)</f>
        <v>0</v>
      </c>
      <c r="AA142" s="688">
        <f>IFERROR(VLOOKUP($A142,'[95]3月'!$A:$H,8,0),0)</f>
        <v>0</v>
      </c>
      <c r="AB142" s="688">
        <f>IFERROR(VLOOKUP($A142,'[95]4月'!$A:$H,8,0),0)</f>
        <v>0</v>
      </c>
      <c r="AC142" s="688">
        <f>IFERROR(VLOOKUP($A142,'[95]5月'!$A:$H,8,0),0)</f>
        <v>0</v>
      </c>
      <c r="AD142" s="688">
        <f>IFERROR(VLOOKUP($A142,'[95]6月'!$A:$H,8,0),0)</f>
        <v>0</v>
      </c>
      <c r="AE142" s="688">
        <f>IFERROR(VLOOKUP($A142,'[95]7月'!$A:$H,8,0),0)</f>
        <v>1782.18</v>
      </c>
      <c r="AF142" s="688">
        <f>IFERROR(VLOOKUP($A142,'[95]8月'!$A:$H,8,0),0)</f>
        <v>0</v>
      </c>
      <c r="AG142" s="688">
        <f>IFERROR(VLOOKUP($A142,'[95]9月'!$A:$H,8,0),0)</f>
        <v>0</v>
      </c>
      <c r="AH142" s="688">
        <f>IFERROR(VLOOKUP($A142,'[95]10月'!$A:$H,8,0),0)</f>
        <v>0</v>
      </c>
      <c r="AI142" s="688">
        <f>IFERROR(VLOOKUP($A142,'[95]11月'!$A:$H,8,0),0)</f>
        <v>0</v>
      </c>
      <c r="AJ142" s="688">
        <f>IFERROR(VLOOKUP($A142,'[95]12月'!$A:$H,8,0),0)</f>
        <v>0</v>
      </c>
      <c r="AK142" s="688">
        <f t="shared" si="55"/>
        <v>1782.18</v>
      </c>
    </row>
    <row r="143" spans="1:37" ht="13.5" customHeight="1">
      <c r="A143" s="653" t="str">
        <f>'Budget-合并'!A143</f>
        <v>6602.16</v>
      </c>
      <c r="B143" s="653" t="str">
        <f>'Budget-合并'!B143</f>
        <v>董事会费</v>
      </c>
      <c r="C143" s="687" t="str">
        <f>'Budget-合并'!C143</f>
        <v>Internal ACP Meeting</v>
      </c>
      <c r="D143" s="676">
        <f t="shared" si="49"/>
        <v>0</v>
      </c>
      <c r="E143" s="676" t="e">
        <f t="shared" si="50"/>
        <v>#N/A</v>
      </c>
      <c r="F143" s="676" t="e">
        <f t="shared" si="51"/>
        <v>#N/A</v>
      </c>
      <c r="G143" s="676">
        <f t="shared" ca="1" si="52"/>
        <v>0</v>
      </c>
      <c r="H143" s="676" t="e">
        <f t="shared" ca="1" si="53"/>
        <v>#N/A</v>
      </c>
      <c r="I143" s="676" t="e">
        <f t="shared" ca="1" si="54"/>
        <v>#N/A</v>
      </c>
      <c r="K143" s="676"/>
      <c r="L143" s="676"/>
      <c r="M143" s="676"/>
      <c r="N143" s="676"/>
      <c r="O143" s="676"/>
      <c r="P143" s="676"/>
      <c r="Q143" s="676"/>
      <c r="R143" s="676"/>
      <c r="S143" s="676"/>
      <c r="T143" s="676"/>
      <c r="U143" s="676"/>
      <c r="V143" s="676"/>
      <c r="W143" s="676">
        <f t="shared" si="43"/>
        <v>0</v>
      </c>
      <c r="Y143" s="688">
        <f>IFERROR(VLOOKUP($A143,'[95]1月'!$A:$H,8,0),0)</f>
        <v>0</v>
      </c>
      <c r="Z143" s="688">
        <f>IFERROR(VLOOKUP($A143,'[95]2月'!$A:$H,8,0),0)</f>
        <v>0</v>
      </c>
      <c r="AA143" s="688">
        <f>IFERROR(VLOOKUP($A143,'[95]3月'!$A:$H,8,0),0)</f>
        <v>0</v>
      </c>
      <c r="AB143" s="688">
        <f>IFERROR(VLOOKUP($A143,'[95]4月'!$A:$H,8,0),0)</f>
        <v>0</v>
      </c>
      <c r="AC143" s="688">
        <f>IFERROR(VLOOKUP($A143,'[95]5月'!$A:$H,8,0),0)</f>
        <v>0</v>
      </c>
      <c r="AD143" s="688">
        <f>IFERROR(VLOOKUP($A143,'[95]6月'!$A:$H,8,0),0)</f>
        <v>0</v>
      </c>
      <c r="AE143" s="688">
        <f>IFERROR(VLOOKUP($A143,'[95]7月'!$A:$H,8,0),0)</f>
        <v>0</v>
      </c>
      <c r="AF143" s="688">
        <f>IFERROR(VLOOKUP($A143,'[95]8月'!$A:$H,8,0),0)</f>
        <v>0</v>
      </c>
      <c r="AG143" s="688">
        <f>IFERROR(VLOOKUP($A143,'[95]9月'!$A:$H,8,0),0)</f>
        <v>0</v>
      </c>
      <c r="AH143" s="688">
        <f>IFERROR(VLOOKUP($A143,'[95]10月'!$A:$H,8,0),0)</f>
        <v>0</v>
      </c>
      <c r="AI143" s="688">
        <f>IFERROR(VLOOKUP($A143,'[95]11月'!$A:$H,8,0),0)</f>
        <v>0</v>
      </c>
      <c r="AJ143" s="688">
        <f>IFERROR(VLOOKUP($A143,'[95]12月'!$A:$H,8,0),0)</f>
        <v>0</v>
      </c>
      <c r="AK143" s="688">
        <f t="shared" si="55"/>
        <v>0</v>
      </c>
    </row>
    <row r="144" spans="1:37" ht="13.5" customHeight="1">
      <c r="A144" s="653" t="str">
        <f>'Budget-合并'!A144</f>
        <v>6602.17</v>
      </c>
      <c r="B144" s="653" t="str">
        <f>'Budget-合并'!B144</f>
        <v>聘请中介机构费</v>
      </c>
      <c r="C144" s="687">
        <f>'Budget-合并'!C144</f>
        <v>0</v>
      </c>
      <c r="D144" s="676">
        <f t="shared" si="49"/>
        <v>0</v>
      </c>
      <c r="E144" s="676" t="e">
        <f t="shared" si="50"/>
        <v>#N/A</v>
      </c>
      <c r="F144" s="676" t="e">
        <f t="shared" si="51"/>
        <v>#N/A</v>
      </c>
      <c r="G144" s="676">
        <f t="shared" ca="1" si="52"/>
        <v>0</v>
      </c>
      <c r="H144" s="676" t="e">
        <f t="shared" ca="1" si="53"/>
        <v>#N/A</v>
      </c>
      <c r="I144" s="676" t="e">
        <f t="shared" ca="1" si="54"/>
        <v>#N/A</v>
      </c>
      <c r="K144" s="676"/>
      <c r="L144" s="676"/>
      <c r="M144" s="676"/>
      <c r="N144" s="676"/>
      <c r="O144" s="676"/>
      <c r="P144" s="676"/>
      <c r="Q144" s="676"/>
      <c r="R144" s="676"/>
      <c r="S144" s="676"/>
      <c r="T144" s="676"/>
      <c r="U144" s="676"/>
      <c r="V144" s="676"/>
      <c r="W144" s="676">
        <f t="shared" si="43"/>
        <v>0</v>
      </c>
      <c r="Y144" s="688">
        <f>IFERROR(VLOOKUP($A144,'[95]1月'!$A:$H,8,0),0)</f>
        <v>0</v>
      </c>
      <c r="Z144" s="688">
        <f>IFERROR(VLOOKUP($A144,'[95]2月'!$A:$H,8,0),0)</f>
        <v>0</v>
      </c>
      <c r="AA144" s="688">
        <f>IFERROR(VLOOKUP($A144,'[95]3月'!$A:$H,8,0),0)</f>
        <v>0</v>
      </c>
      <c r="AB144" s="688">
        <f>IFERROR(VLOOKUP($A144,'[95]4月'!$A:$H,8,0),0)</f>
        <v>0</v>
      </c>
      <c r="AC144" s="688">
        <f>IFERROR(VLOOKUP($A144,'[95]5月'!$A:$H,8,0),0)</f>
        <v>0</v>
      </c>
      <c r="AD144" s="688">
        <f>IFERROR(VLOOKUP($A144,'[95]6月'!$A:$H,8,0),0)</f>
        <v>0</v>
      </c>
      <c r="AE144" s="688">
        <f>IFERROR(VLOOKUP($A144,'[95]7月'!$A:$H,8,0),0)</f>
        <v>0</v>
      </c>
      <c r="AF144" s="688">
        <f>IFERROR(VLOOKUP($A144,'[95]8月'!$A:$H,8,0),0)</f>
        <v>0</v>
      </c>
      <c r="AG144" s="688">
        <f>IFERROR(VLOOKUP($A144,'[95]9月'!$A:$H,8,0),0)</f>
        <v>0</v>
      </c>
      <c r="AH144" s="688">
        <f>IFERROR(VLOOKUP($A144,'[95]10月'!$A:$H,8,0),0)</f>
        <v>0</v>
      </c>
      <c r="AI144" s="688">
        <f>IFERROR(VLOOKUP($A144,'[95]11月'!$A:$H,8,0),0)</f>
        <v>0</v>
      </c>
      <c r="AJ144" s="688">
        <f>IFERROR(VLOOKUP($A144,'[95]12月'!$A:$H,8,0),0)</f>
        <v>0</v>
      </c>
      <c r="AK144" s="688">
        <f t="shared" si="55"/>
        <v>0</v>
      </c>
    </row>
    <row r="145" spans="1:37" ht="13.5" customHeight="1">
      <c r="A145" s="653" t="str">
        <f>'Budget-合并'!A145</f>
        <v>6602.18</v>
      </c>
      <c r="B145" s="653" t="str">
        <f>'Budget-合并'!B145</f>
        <v>存货盘亏或盘盈</v>
      </c>
      <c r="C145" s="687">
        <f>'Budget-合并'!C145</f>
        <v>0</v>
      </c>
      <c r="D145" s="676">
        <f t="shared" si="49"/>
        <v>0</v>
      </c>
      <c r="E145" s="676" t="e">
        <f t="shared" si="50"/>
        <v>#N/A</v>
      </c>
      <c r="F145" s="676" t="e">
        <f t="shared" si="51"/>
        <v>#N/A</v>
      </c>
      <c r="G145" s="676">
        <f t="shared" ca="1" si="52"/>
        <v>0</v>
      </c>
      <c r="H145" s="676" t="e">
        <f t="shared" ca="1" si="53"/>
        <v>#N/A</v>
      </c>
      <c r="I145" s="676" t="e">
        <f t="shared" ca="1" si="54"/>
        <v>#N/A</v>
      </c>
      <c r="K145" s="676"/>
      <c r="L145" s="676"/>
      <c r="M145" s="676"/>
      <c r="N145" s="676"/>
      <c r="O145" s="676"/>
      <c r="P145" s="676"/>
      <c r="Q145" s="676"/>
      <c r="R145" s="676"/>
      <c r="S145" s="676"/>
      <c r="T145" s="676"/>
      <c r="U145" s="676"/>
      <c r="V145" s="676"/>
      <c r="W145" s="676">
        <f t="shared" si="43"/>
        <v>0</v>
      </c>
      <c r="Y145" s="688">
        <f>IFERROR(VLOOKUP($A145,'[95]1月'!$A:$H,8,0),0)</f>
        <v>0</v>
      </c>
      <c r="Z145" s="688">
        <f>IFERROR(VLOOKUP($A145,'[95]2月'!$A:$H,8,0),0)</f>
        <v>0</v>
      </c>
      <c r="AA145" s="688">
        <f>IFERROR(VLOOKUP($A145,'[95]3月'!$A:$H,8,0),0)</f>
        <v>0</v>
      </c>
      <c r="AB145" s="688">
        <f>IFERROR(VLOOKUP($A145,'[95]4月'!$A:$H,8,0),0)</f>
        <v>0</v>
      </c>
      <c r="AC145" s="688">
        <f>IFERROR(VLOOKUP($A145,'[95]5月'!$A:$H,8,0),0)</f>
        <v>0</v>
      </c>
      <c r="AD145" s="688">
        <f>IFERROR(VLOOKUP($A145,'[95]6月'!$A:$H,8,0),0)</f>
        <v>0</v>
      </c>
      <c r="AE145" s="688">
        <f>IFERROR(VLOOKUP($A145,'[95]7月'!$A:$H,8,0),0)</f>
        <v>0</v>
      </c>
      <c r="AF145" s="688">
        <f>IFERROR(VLOOKUP($A145,'[95]8月'!$A:$H,8,0),0)</f>
        <v>0</v>
      </c>
      <c r="AG145" s="688">
        <f>IFERROR(VLOOKUP($A145,'[95]9月'!$A:$H,8,0),0)</f>
        <v>0</v>
      </c>
      <c r="AH145" s="688">
        <f>IFERROR(VLOOKUP($A145,'[95]10月'!$A:$H,8,0),0)</f>
        <v>0</v>
      </c>
      <c r="AI145" s="688">
        <f>IFERROR(VLOOKUP($A145,'[95]11月'!$A:$H,8,0),0)</f>
        <v>0</v>
      </c>
      <c r="AJ145" s="688">
        <f>IFERROR(VLOOKUP($A145,'[95]12月'!$A:$H,8,0),0)</f>
        <v>0</v>
      </c>
      <c r="AK145" s="688">
        <f t="shared" si="55"/>
        <v>0</v>
      </c>
    </row>
    <row r="146" spans="1:37" ht="13.5" customHeight="1">
      <c r="A146" s="653" t="str">
        <f>'Budget-合并'!A146</f>
        <v>6602.19</v>
      </c>
      <c r="B146" s="653" t="str">
        <f>'Budget-合并'!B146</f>
        <v>会费（公司）</v>
      </c>
      <c r="C146" s="687" t="str">
        <f>'Budget-合并'!C146</f>
        <v>Membership Fee</v>
      </c>
      <c r="D146" s="676">
        <f t="shared" si="49"/>
        <v>0</v>
      </c>
      <c r="E146" s="676" t="e">
        <f t="shared" si="50"/>
        <v>#N/A</v>
      </c>
      <c r="F146" s="676" t="e">
        <f t="shared" si="51"/>
        <v>#N/A</v>
      </c>
      <c r="G146" s="676">
        <f t="shared" ca="1" si="52"/>
        <v>0</v>
      </c>
      <c r="H146" s="676" t="e">
        <f t="shared" ca="1" si="53"/>
        <v>#N/A</v>
      </c>
      <c r="I146" s="676" t="e">
        <f t="shared" ca="1" si="54"/>
        <v>#N/A</v>
      </c>
      <c r="K146" s="676">
        <f>SUMIFS('Other Exp'!AG$3:AG$196,'Other Exp'!$B$3:$B$196,$D$1,'Other Exp'!$C$3:$C$196,$A146)</f>
        <v>0</v>
      </c>
      <c r="L146" s="676">
        <f>SUMIFS('Other Exp'!AH$3:AH$196,'Other Exp'!$B$3:$B$196,$D$1,'Other Exp'!$C$3:$C$196,$A146)</f>
        <v>0</v>
      </c>
      <c r="M146" s="676">
        <f>SUMIFS('Other Exp'!AI$3:AI$196,'Other Exp'!$B$3:$B$196,$D$1,'Other Exp'!$C$3:$C$196,$A146)</f>
        <v>0</v>
      </c>
      <c r="N146" s="676">
        <f>SUMIFS('Other Exp'!AJ$3:AJ$196,'Other Exp'!$B$3:$B$196,$D$1,'Other Exp'!$C$3:$C$196,$A146)</f>
        <v>0</v>
      </c>
      <c r="O146" s="676">
        <f>SUMIFS('Other Exp'!AK$3:AK$196,'Other Exp'!$B$3:$B$196,$D$1,'Other Exp'!$C$3:$C$196,$A146)</f>
        <v>0</v>
      </c>
      <c r="P146" s="676">
        <f>SUMIFS('Other Exp'!AL$3:AL$196,'Other Exp'!$B$3:$B$196,$D$1,'Other Exp'!$C$3:$C$196,$A146)</f>
        <v>0</v>
      </c>
      <c r="Q146" s="676">
        <f>SUMIFS('Other Exp'!AM$3:AM$196,'Other Exp'!$B$3:$B$196,$D$1,'Other Exp'!$C$3:$C$196,$A146)</f>
        <v>0</v>
      </c>
      <c r="R146" s="676">
        <f>SUMIFS('Other Exp'!AN$3:AN$196,'Other Exp'!$B$3:$B$196,$D$1,'Other Exp'!$C$3:$C$196,$A146)</f>
        <v>0</v>
      </c>
      <c r="S146" s="676">
        <f>SUMIFS('Other Exp'!AO$3:AO$196,'Other Exp'!$B$3:$B$196,$D$1,'Other Exp'!$C$3:$C$196,$A146)</f>
        <v>0</v>
      </c>
      <c r="T146" s="676">
        <f>SUMIFS('Other Exp'!AP$3:AP$196,'Other Exp'!$B$3:$B$196,$D$1,'Other Exp'!$C$3:$C$196,$A146)</f>
        <v>0</v>
      </c>
      <c r="U146" s="676">
        <f>SUMIFS('Other Exp'!AQ$3:AQ$196,'Other Exp'!$B$3:$B$196,$D$1,'Other Exp'!$C$3:$C$196,$A146)</f>
        <v>0</v>
      </c>
      <c r="V146" s="676">
        <f>SUMIFS('Other Exp'!AR$3:AR$196,'Other Exp'!$B$3:$B$196,$D$1,'Other Exp'!$C$3:$C$196,$A146)</f>
        <v>0</v>
      </c>
      <c r="W146" s="676">
        <f t="shared" si="43"/>
        <v>0</v>
      </c>
      <c r="Y146" s="688">
        <f>IFERROR(VLOOKUP($A146,'[95]1月'!$A:$H,8,0),0)</f>
        <v>0</v>
      </c>
      <c r="Z146" s="688">
        <f>IFERROR(VLOOKUP($A146,'[95]2月'!$A:$H,8,0),0)</f>
        <v>0</v>
      </c>
      <c r="AA146" s="688">
        <f>IFERROR(VLOOKUP($A146,'[95]3月'!$A:$H,8,0),0)</f>
        <v>0</v>
      </c>
      <c r="AB146" s="688">
        <f>IFERROR(VLOOKUP($A146,'[95]4月'!$A:$H,8,0),0)</f>
        <v>0</v>
      </c>
      <c r="AC146" s="688">
        <f>IFERROR(VLOOKUP($A146,'[95]5月'!$A:$H,8,0),0)</f>
        <v>0</v>
      </c>
      <c r="AD146" s="688">
        <f>IFERROR(VLOOKUP($A146,'[95]6月'!$A:$H,8,0),0)</f>
        <v>0</v>
      </c>
      <c r="AE146" s="688">
        <f>IFERROR(VLOOKUP($A146,'[95]7月'!$A:$H,8,0),0)</f>
        <v>0</v>
      </c>
      <c r="AF146" s="688">
        <f>IFERROR(VLOOKUP($A146,'[95]8月'!$A:$H,8,0),0)</f>
        <v>0</v>
      </c>
      <c r="AG146" s="688">
        <f>IFERROR(VLOOKUP($A146,'[95]9月'!$A:$H,8,0),0)</f>
        <v>0</v>
      </c>
      <c r="AH146" s="688">
        <f>IFERROR(VLOOKUP($A146,'[95]10月'!$A:$H,8,0),0)</f>
        <v>0</v>
      </c>
      <c r="AI146" s="688">
        <f>IFERROR(VLOOKUP($A146,'[95]11月'!$A:$H,8,0),0)</f>
        <v>0</v>
      </c>
      <c r="AJ146" s="688">
        <f>IFERROR(VLOOKUP($A146,'[95]12月'!$A:$H,8,0),0)</f>
        <v>0</v>
      </c>
      <c r="AK146" s="688">
        <f t="shared" si="55"/>
        <v>0</v>
      </c>
    </row>
    <row r="147" spans="1:37" ht="13.5" customHeight="1">
      <c r="A147" s="653" t="str">
        <f>'Budget-合并'!A147</f>
        <v>6602.20</v>
      </c>
      <c r="B147" s="653" t="str">
        <f>'Budget-合并'!B147</f>
        <v>职工教育经费</v>
      </c>
      <c r="C147" s="687" t="str">
        <f>'Budget-合并'!C147</f>
        <v>Education Assistance</v>
      </c>
      <c r="D147" s="676">
        <f t="shared" si="49"/>
        <v>0</v>
      </c>
      <c r="E147" s="676" t="e">
        <f t="shared" si="50"/>
        <v>#N/A</v>
      </c>
      <c r="F147" s="676" t="e">
        <f t="shared" si="51"/>
        <v>#N/A</v>
      </c>
      <c r="G147" s="676">
        <f t="shared" ca="1" si="52"/>
        <v>0</v>
      </c>
      <c r="H147" s="676" t="e">
        <f t="shared" ca="1" si="53"/>
        <v>#N/A</v>
      </c>
      <c r="I147" s="676" t="e">
        <f t="shared" ca="1" si="54"/>
        <v>#N/A</v>
      </c>
      <c r="K147" s="676"/>
      <c r="L147" s="676"/>
      <c r="M147" s="676"/>
      <c r="N147" s="676"/>
      <c r="O147" s="676"/>
      <c r="P147" s="676"/>
      <c r="Q147" s="676"/>
      <c r="R147" s="676"/>
      <c r="S147" s="676"/>
      <c r="T147" s="676"/>
      <c r="U147" s="676"/>
      <c r="V147" s="676"/>
      <c r="W147" s="676">
        <f t="shared" si="43"/>
        <v>0</v>
      </c>
      <c r="Y147" s="688">
        <f>IFERROR(VLOOKUP($A147,'[95]1月'!$A:$H,8,0),0)</f>
        <v>0</v>
      </c>
      <c r="Z147" s="688">
        <f>IFERROR(VLOOKUP($A147,'[95]2月'!$A:$H,8,0),0)</f>
        <v>0</v>
      </c>
      <c r="AA147" s="688">
        <f>IFERROR(VLOOKUP($A147,'[95]3月'!$A:$H,8,0),0)</f>
        <v>0</v>
      </c>
      <c r="AB147" s="688">
        <f>IFERROR(VLOOKUP($A147,'[95]4月'!$A:$H,8,0),0)</f>
        <v>0</v>
      </c>
      <c r="AC147" s="688">
        <f>IFERROR(VLOOKUP($A147,'[95]5月'!$A:$H,8,0),0)</f>
        <v>0</v>
      </c>
      <c r="AD147" s="688">
        <f>IFERROR(VLOOKUP($A147,'[95]6月'!$A:$H,8,0),0)</f>
        <v>0</v>
      </c>
      <c r="AE147" s="688">
        <f>IFERROR(VLOOKUP($A147,'[95]7月'!$A:$H,8,0),0)</f>
        <v>0</v>
      </c>
      <c r="AF147" s="688">
        <f>IFERROR(VLOOKUP($A147,'[95]8月'!$A:$H,8,0),0)</f>
        <v>0</v>
      </c>
      <c r="AG147" s="688">
        <f>IFERROR(VLOOKUP($A147,'[95]9月'!$A:$H,8,0),0)</f>
        <v>0</v>
      </c>
      <c r="AH147" s="688">
        <f>IFERROR(VLOOKUP($A147,'[95]10月'!$A:$H,8,0),0)</f>
        <v>0</v>
      </c>
      <c r="AI147" s="688">
        <f>IFERROR(VLOOKUP($A147,'[95]11月'!$A:$H,8,0),0)</f>
        <v>0</v>
      </c>
      <c r="AJ147" s="688">
        <f>IFERROR(VLOOKUP($A147,'[95]12月'!$A:$H,8,0),0)</f>
        <v>0</v>
      </c>
      <c r="AK147" s="688">
        <f t="shared" si="55"/>
        <v>0</v>
      </c>
    </row>
    <row r="148" spans="1:37" ht="13.5" customHeight="1">
      <c r="A148" s="653" t="str">
        <f>'Budget-合并'!A148</f>
        <v>6602.21</v>
      </c>
      <c r="B148" s="653" t="str">
        <f>'Budget-合并'!B148</f>
        <v>公司秘书费</v>
      </c>
      <c r="C148" s="687" t="str">
        <f>'Budget-合并'!C148</f>
        <v>Corporate Secretarial Fees</v>
      </c>
      <c r="D148" s="676">
        <f t="shared" si="49"/>
        <v>0</v>
      </c>
      <c r="E148" s="676" t="e">
        <f t="shared" si="50"/>
        <v>#N/A</v>
      </c>
      <c r="F148" s="676" t="e">
        <f t="shared" si="51"/>
        <v>#N/A</v>
      </c>
      <c r="G148" s="676">
        <f t="shared" ca="1" si="52"/>
        <v>0</v>
      </c>
      <c r="H148" s="676" t="e">
        <f t="shared" ca="1" si="53"/>
        <v>#N/A</v>
      </c>
      <c r="I148" s="676" t="e">
        <f t="shared" ca="1" si="54"/>
        <v>#N/A</v>
      </c>
      <c r="K148" s="676"/>
      <c r="L148" s="676"/>
      <c r="M148" s="676"/>
      <c r="N148" s="676"/>
      <c r="O148" s="676"/>
      <c r="P148" s="676"/>
      <c r="Q148" s="676"/>
      <c r="R148" s="676"/>
      <c r="S148" s="676"/>
      <c r="T148" s="676"/>
      <c r="U148" s="676"/>
      <c r="V148" s="676"/>
      <c r="W148" s="676">
        <f t="shared" si="43"/>
        <v>0</v>
      </c>
      <c r="Y148" s="688">
        <f>IFERROR(VLOOKUP($A148,'[95]1月'!$A:$H,8,0),0)</f>
        <v>0</v>
      </c>
      <c r="Z148" s="688">
        <f>IFERROR(VLOOKUP($A148,'[95]2月'!$A:$H,8,0),0)</f>
        <v>0</v>
      </c>
      <c r="AA148" s="688">
        <f>IFERROR(VLOOKUP($A148,'[95]3月'!$A:$H,8,0),0)</f>
        <v>0</v>
      </c>
      <c r="AB148" s="688">
        <f>IFERROR(VLOOKUP($A148,'[95]4月'!$A:$H,8,0),0)</f>
        <v>0</v>
      </c>
      <c r="AC148" s="688">
        <f>IFERROR(VLOOKUP($A148,'[95]5月'!$A:$H,8,0),0)</f>
        <v>0</v>
      </c>
      <c r="AD148" s="688">
        <f>IFERROR(VLOOKUP($A148,'[95]6月'!$A:$H,8,0),0)</f>
        <v>0</v>
      </c>
      <c r="AE148" s="688">
        <f>IFERROR(VLOOKUP($A148,'[95]7月'!$A:$H,8,0),0)</f>
        <v>0</v>
      </c>
      <c r="AF148" s="688">
        <f>IFERROR(VLOOKUP($A148,'[95]8月'!$A:$H,8,0),0)</f>
        <v>0</v>
      </c>
      <c r="AG148" s="688">
        <f>IFERROR(VLOOKUP($A148,'[95]9月'!$A:$H,8,0),0)</f>
        <v>0</v>
      </c>
      <c r="AH148" s="688">
        <f>IFERROR(VLOOKUP($A148,'[95]10月'!$A:$H,8,0),0)</f>
        <v>0</v>
      </c>
      <c r="AI148" s="688">
        <f>IFERROR(VLOOKUP($A148,'[95]11月'!$A:$H,8,0),0)</f>
        <v>0</v>
      </c>
      <c r="AJ148" s="688">
        <f>IFERROR(VLOOKUP($A148,'[95]12月'!$A:$H,8,0),0)</f>
        <v>0</v>
      </c>
      <c r="AK148" s="688">
        <f t="shared" si="55"/>
        <v>0</v>
      </c>
    </row>
    <row r="149" spans="1:37" ht="13.5" customHeight="1">
      <c r="A149" s="653" t="str">
        <f>'Budget-合并'!A149</f>
        <v>6602.22</v>
      </c>
      <c r="B149" s="653" t="str">
        <f>'Budget-合并'!B149</f>
        <v>工会经费</v>
      </c>
      <c r="C149" s="687">
        <f>'Budget-合并'!C149</f>
        <v>0</v>
      </c>
      <c r="D149" s="676">
        <f t="shared" si="49"/>
        <v>0</v>
      </c>
      <c r="E149" s="676" t="e">
        <f t="shared" si="50"/>
        <v>#N/A</v>
      </c>
      <c r="F149" s="676" t="e">
        <f t="shared" si="51"/>
        <v>#N/A</v>
      </c>
      <c r="G149" s="676">
        <f t="shared" ca="1" si="52"/>
        <v>0</v>
      </c>
      <c r="H149" s="676" t="e">
        <f t="shared" ca="1" si="53"/>
        <v>#N/A</v>
      </c>
      <c r="I149" s="676" t="e">
        <f t="shared" ca="1" si="54"/>
        <v>#N/A</v>
      </c>
      <c r="K149" s="676"/>
      <c r="L149" s="676"/>
      <c r="M149" s="676"/>
      <c r="N149" s="676"/>
      <c r="O149" s="676"/>
      <c r="P149" s="676"/>
      <c r="Q149" s="676"/>
      <c r="R149" s="676"/>
      <c r="S149" s="676"/>
      <c r="T149" s="676"/>
      <c r="U149" s="676"/>
      <c r="V149" s="676"/>
      <c r="W149" s="676">
        <f t="shared" si="43"/>
        <v>0</v>
      </c>
      <c r="Y149" s="688">
        <f>IFERROR(VLOOKUP($A149,'[95]1月'!$A:$H,8,0),0)</f>
        <v>0</v>
      </c>
      <c r="Z149" s="688">
        <f>IFERROR(VLOOKUP($A149,'[95]2月'!$A:$H,8,0),0)</f>
        <v>0</v>
      </c>
      <c r="AA149" s="688">
        <f>IFERROR(VLOOKUP($A149,'[95]3月'!$A:$H,8,0),0)</f>
        <v>0</v>
      </c>
      <c r="AB149" s="688">
        <f>IFERROR(VLOOKUP($A149,'[95]4月'!$A:$H,8,0),0)</f>
        <v>0</v>
      </c>
      <c r="AC149" s="688">
        <f>IFERROR(VLOOKUP($A149,'[95]5月'!$A:$H,8,0),0)</f>
        <v>0</v>
      </c>
      <c r="AD149" s="688">
        <f>IFERROR(VLOOKUP($A149,'[95]6月'!$A:$H,8,0),0)</f>
        <v>0</v>
      </c>
      <c r="AE149" s="688">
        <f>IFERROR(VLOOKUP($A149,'[95]7月'!$A:$H,8,0),0)</f>
        <v>0</v>
      </c>
      <c r="AF149" s="688">
        <f>IFERROR(VLOOKUP($A149,'[95]8月'!$A:$H,8,0),0)</f>
        <v>0</v>
      </c>
      <c r="AG149" s="688">
        <f>IFERROR(VLOOKUP($A149,'[95]9月'!$A:$H,8,0),0)</f>
        <v>0</v>
      </c>
      <c r="AH149" s="688">
        <f>IFERROR(VLOOKUP($A149,'[95]10月'!$A:$H,8,0),0)</f>
        <v>0</v>
      </c>
      <c r="AI149" s="688">
        <f>IFERROR(VLOOKUP($A149,'[95]11月'!$A:$H,8,0),0)</f>
        <v>0</v>
      </c>
      <c r="AJ149" s="688">
        <f>IFERROR(VLOOKUP($A149,'[95]12月'!$A:$H,8,0),0)</f>
        <v>0</v>
      </c>
      <c r="AK149" s="688">
        <f t="shared" si="55"/>
        <v>0</v>
      </c>
    </row>
    <row r="150" spans="1:37" ht="13.5" customHeight="1">
      <c r="A150" s="653" t="str">
        <f>'Budget-合并'!A150</f>
        <v>6602.23</v>
      </c>
      <c r="B150" s="653" t="str">
        <f>'Budget-合并'!B150</f>
        <v>无形资产摊销</v>
      </c>
      <c r="C150" s="687" t="str">
        <f>'Budget-合并'!C150</f>
        <v>Contract Intangibles - Amortization</v>
      </c>
      <c r="D150" s="676">
        <f t="shared" si="49"/>
        <v>0</v>
      </c>
      <c r="E150" s="676" t="e">
        <f t="shared" si="50"/>
        <v>#N/A</v>
      </c>
      <c r="F150" s="676" t="e">
        <f t="shared" si="51"/>
        <v>#N/A</v>
      </c>
      <c r="G150" s="676">
        <f t="shared" ca="1" si="52"/>
        <v>0</v>
      </c>
      <c r="H150" s="676" t="e">
        <f t="shared" ca="1" si="53"/>
        <v>#N/A</v>
      </c>
      <c r="I150" s="676" t="e">
        <f t="shared" ca="1" si="54"/>
        <v>#N/A</v>
      </c>
      <c r="K150" s="676"/>
      <c r="L150" s="676"/>
      <c r="M150" s="676"/>
      <c r="N150" s="676"/>
      <c r="O150" s="676"/>
      <c r="P150" s="676"/>
      <c r="Q150" s="676"/>
      <c r="R150" s="676"/>
      <c r="S150" s="676"/>
      <c r="T150" s="676"/>
      <c r="U150" s="676"/>
      <c r="V150" s="676"/>
      <c r="W150" s="676">
        <f t="shared" si="43"/>
        <v>0</v>
      </c>
      <c r="Y150" s="688">
        <f>IFERROR(VLOOKUP($A150,'[95]1月'!$A:$H,8,0),0)</f>
        <v>0</v>
      </c>
      <c r="Z150" s="688">
        <f>IFERROR(VLOOKUP($A150,'[95]2月'!$A:$H,8,0),0)</f>
        <v>0</v>
      </c>
      <c r="AA150" s="688">
        <f>IFERROR(VLOOKUP($A150,'[95]3月'!$A:$H,8,0),0)</f>
        <v>0</v>
      </c>
      <c r="AB150" s="688">
        <f>IFERROR(VLOOKUP($A150,'[95]4月'!$A:$H,8,0),0)</f>
        <v>0</v>
      </c>
      <c r="AC150" s="688">
        <f>IFERROR(VLOOKUP($A150,'[95]5月'!$A:$H,8,0),0)</f>
        <v>0</v>
      </c>
      <c r="AD150" s="688">
        <f>IFERROR(VLOOKUP($A150,'[95]6月'!$A:$H,8,0),0)</f>
        <v>0</v>
      </c>
      <c r="AE150" s="688">
        <f>IFERROR(VLOOKUP($A150,'[95]7月'!$A:$H,8,0),0)</f>
        <v>0</v>
      </c>
      <c r="AF150" s="688">
        <f>IFERROR(VLOOKUP($A150,'[95]8月'!$A:$H,8,0),0)</f>
        <v>0</v>
      </c>
      <c r="AG150" s="688">
        <f>IFERROR(VLOOKUP($A150,'[95]9月'!$A:$H,8,0),0)</f>
        <v>0</v>
      </c>
      <c r="AH150" s="688">
        <f>IFERROR(VLOOKUP($A150,'[95]10月'!$A:$H,8,0),0)</f>
        <v>0</v>
      </c>
      <c r="AI150" s="688">
        <f>IFERROR(VLOOKUP($A150,'[95]11月'!$A:$H,8,0),0)</f>
        <v>0</v>
      </c>
      <c r="AJ150" s="688">
        <f>IFERROR(VLOOKUP($A150,'[95]12月'!$A:$H,8,0),0)</f>
        <v>0</v>
      </c>
      <c r="AK150" s="688">
        <f t="shared" si="55"/>
        <v>0</v>
      </c>
    </row>
    <row r="151" spans="1:37" ht="13.5" customHeight="1">
      <c r="A151" s="653" t="str">
        <f>'Budget-合并'!A151</f>
        <v>6602.24</v>
      </c>
      <c r="B151" s="653" t="str">
        <f>'Budget-合并'!B151</f>
        <v>监管费用</v>
      </c>
      <c r="C151" s="687" t="str">
        <f>'Budget-合并'!C151</f>
        <v xml:space="preserve">Regulatory fees </v>
      </c>
      <c r="D151" s="676">
        <f t="shared" si="49"/>
        <v>0</v>
      </c>
      <c r="E151" s="676" t="e">
        <f t="shared" si="50"/>
        <v>#N/A</v>
      </c>
      <c r="F151" s="676" t="e">
        <f t="shared" si="51"/>
        <v>#N/A</v>
      </c>
      <c r="G151" s="676">
        <f t="shared" ca="1" si="52"/>
        <v>0</v>
      </c>
      <c r="H151" s="676" t="e">
        <f t="shared" ca="1" si="53"/>
        <v>#N/A</v>
      </c>
      <c r="I151" s="676" t="e">
        <f t="shared" ca="1" si="54"/>
        <v>#N/A</v>
      </c>
      <c r="K151" s="676"/>
      <c r="L151" s="676"/>
      <c r="M151" s="676"/>
      <c r="N151" s="676"/>
      <c r="O151" s="676"/>
      <c r="P151" s="676"/>
      <c r="Q151" s="676"/>
      <c r="R151" s="676"/>
      <c r="S151" s="676"/>
      <c r="T151" s="676"/>
      <c r="U151" s="676"/>
      <c r="V151" s="676"/>
      <c r="W151" s="676">
        <f t="shared" ref="W151:W154" si="64">SUM(K151:V151)</f>
        <v>0</v>
      </c>
      <c r="Y151" s="688">
        <f>IFERROR(VLOOKUP($A151,'[95]1月'!$A:$H,8,0),0)</f>
        <v>0</v>
      </c>
      <c r="Z151" s="688">
        <f>IFERROR(VLOOKUP($A151,'[95]2月'!$A:$H,8,0),0)</f>
        <v>0</v>
      </c>
      <c r="AA151" s="688">
        <f>IFERROR(VLOOKUP($A151,'[95]3月'!$A:$H,8,0),0)</f>
        <v>0</v>
      </c>
      <c r="AB151" s="688">
        <f>IFERROR(VLOOKUP($A151,'[95]4月'!$A:$H,8,0),0)</f>
        <v>0</v>
      </c>
      <c r="AC151" s="688">
        <f>IFERROR(VLOOKUP($A151,'[95]5月'!$A:$H,8,0),0)</f>
        <v>0</v>
      </c>
      <c r="AD151" s="688">
        <f>IFERROR(VLOOKUP($A151,'[95]6月'!$A:$H,8,0),0)</f>
        <v>0</v>
      </c>
      <c r="AE151" s="688">
        <f>IFERROR(VLOOKUP($A151,'[95]7月'!$A:$H,8,0),0)</f>
        <v>0</v>
      </c>
      <c r="AF151" s="688">
        <f>IFERROR(VLOOKUP($A151,'[95]8月'!$A:$H,8,0),0)</f>
        <v>0</v>
      </c>
      <c r="AG151" s="688">
        <f>IFERROR(VLOOKUP($A151,'[95]9月'!$A:$H,8,0),0)</f>
        <v>0</v>
      </c>
      <c r="AH151" s="688">
        <f>IFERROR(VLOOKUP($A151,'[95]10月'!$A:$H,8,0),0)</f>
        <v>0</v>
      </c>
      <c r="AI151" s="688">
        <f>IFERROR(VLOOKUP($A151,'[95]11月'!$A:$H,8,0),0)</f>
        <v>0</v>
      </c>
      <c r="AJ151" s="688">
        <f>IFERROR(VLOOKUP($A151,'[95]12月'!$A:$H,8,0),0)</f>
        <v>0</v>
      </c>
      <c r="AK151" s="688">
        <f t="shared" si="55"/>
        <v>0</v>
      </c>
    </row>
    <row r="152" spans="1:37" ht="13.5" customHeight="1">
      <c r="A152" s="653" t="str">
        <f>'Budget-合并'!A152</f>
        <v>6602.99</v>
      </c>
      <c r="B152" s="653" t="str">
        <f>'Budget-合并'!B152</f>
        <v>其他</v>
      </c>
      <c r="C152" s="687" t="str">
        <f>'Budget-合并'!C152</f>
        <v>Admin Other</v>
      </c>
      <c r="D152" s="676">
        <f t="shared" si="49"/>
        <v>0</v>
      </c>
      <c r="E152" s="676" t="e">
        <f t="shared" si="50"/>
        <v>#N/A</v>
      </c>
      <c r="F152" s="676" t="e">
        <f t="shared" si="51"/>
        <v>#N/A</v>
      </c>
      <c r="G152" s="676">
        <f t="shared" ca="1" si="52"/>
        <v>0</v>
      </c>
      <c r="H152" s="676" t="e">
        <f t="shared" ca="1" si="53"/>
        <v>#N/A</v>
      </c>
      <c r="I152" s="676" t="e">
        <f t="shared" ca="1" si="54"/>
        <v>#N/A</v>
      </c>
      <c r="K152" s="676">
        <f>SUMIFS('Prof. Fee'!AF$3:AF$150,'Prof. Fee'!$B$3:$B$150,$D$1,'Prof. Fee'!$D$3:$D$150,$A152)+SUMIFS('Other Exp'!AG$3:AG$196,'Other Exp'!$B$3:$B$196,$D$1,'Other Exp'!$C$3:$C$196,$A152)</f>
        <v>0</v>
      </c>
      <c r="L152" s="676">
        <f>SUMIFS('Prof. Fee'!AG$3:AG$150,'Prof. Fee'!$B$3:$B$150,$D$1,'Prof. Fee'!$D$3:$D$150,$A152)+SUMIFS('Other Exp'!AH$3:AH$196,'Other Exp'!$B$3:$B$196,$D$1,'Other Exp'!$C$3:$C$196,$A152)</f>
        <v>0</v>
      </c>
      <c r="M152" s="676">
        <f>SUMIFS('Prof. Fee'!AH$3:AH$150,'Prof. Fee'!$B$3:$B$150,$D$1,'Prof. Fee'!$D$3:$D$150,$A152)+SUMIFS('Other Exp'!AI$3:AI$196,'Other Exp'!$B$3:$B$196,$D$1,'Other Exp'!$C$3:$C$196,$A152)</f>
        <v>0</v>
      </c>
      <c r="N152" s="676">
        <f>SUMIFS('Prof. Fee'!AI$3:AI$150,'Prof. Fee'!$B$3:$B$150,$D$1,'Prof. Fee'!$D$3:$D$150,$A152)+SUMIFS('Other Exp'!AJ$3:AJ$196,'Other Exp'!$B$3:$B$196,$D$1,'Other Exp'!$C$3:$C$196,$A152)</f>
        <v>0</v>
      </c>
      <c r="O152" s="676">
        <f>SUMIFS('Prof. Fee'!AJ$3:AJ$150,'Prof. Fee'!$B$3:$B$150,$D$1,'Prof. Fee'!$D$3:$D$150,$A152)+SUMIFS('Other Exp'!AK$3:AK$196,'Other Exp'!$B$3:$B$196,$D$1,'Other Exp'!$C$3:$C$196,$A152)</f>
        <v>0</v>
      </c>
      <c r="P152" s="676">
        <f>SUMIFS('Prof. Fee'!AK$3:AK$150,'Prof. Fee'!$B$3:$B$150,$D$1,'Prof. Fee'!$D$3:$D$150,$A152)+SUMIFS('Other Exp'!AL$3:AL$196,'Other Exp'!$B$3:$B$196,$D$1,'Other Exp'!$C$3:$C$196,$A152)</f>
        <v>0</v>
      </c>
      <c r="Q152" s="676">
        <f>SUMIFS('Prof. Fee'!AL$3:AL$150,'Prof. Fee'!$B$3:$B$150,$D$1,'Prof. Fee'!$D$3:$D$150,$A152)+SUMIFS('Other Exp'!AM$3:AM$196,'Other Exp'!$B$3:$B$196,$D$1,'Other Exp'!$C$3:$C$196,$A152)</f>
        <v>0</v>
      </c>
      <c r="R152" s="676">
        <f>SUMIFS('Prof. Fee'!AM$3:AM$150,'Prof. Fee'!$B$3:$B$150,$D$1,'Prof. Fee'!$D$3:$D$150,$A152)+SUMIFS('Other Exp'!AN$3:AN$196,'Other Exp'!$B$3:$B$196,$D$1,'Other Exp'!$C$3:$C$196,$A152)</f>
        <v>0</v>
      </c>
      <c r="S152" s="676">
        <f>SUMIFS('Prof. Fee'!AN$3:AN$150,'Prof. Fee'!$B$3:$B$150,$D$1,'Prof. Fee'!$D$3:$D$150,$A152)+SUMIFS('Other Exp'!AO$3:AO$196,'Other Exp'!$B$3:$B$196,$D$1,'Other Exp'!$C$3:$C$196,$A152)</f>
        <v>0</v>
      </c>
      <c r="T152" s="676">
        <f>SUMIFS('Prof. Fee'!AO$3:AO$150,'Prof. Fee'!$B$3:$B$150,$D$1,'Prof. Fee'!$D$3:$D$150,$A152)+SUMIFS('Other Exp'!AP$3:AP$196,'Other Exp'!$B$3:$B$196,$D$1,'Other Exp'!$C$3:$C$196,$A152)</f>
        <v>0</v>
      </c>
      <c r="U152" s="676">
        <f>SUMIFS('Prof. Fee'!AP$3:AP$150,'Prof. Fee'!$B$3:$B$150,$D$1,'Prof. Fee'!$D$3:$D$150,$A152)+SUMIFS('Other Exp'!AQ$3:AQ$196,'Other Exp'!$B$3:$B$196,$D$1,'Other Exp'!$C$3:$C$196,$A152)</f>
        <v>0</v>
      </c>
      <c r="V152" s="676">
        <f>SUMIFS('Prof. Fee'!AQ$3:AQ$150,'Prof. Fee'!$B$3:$B$150,$D$1,'Prof. Fee'!$D$3:$D$150,$A152)+SUMIFS('Other Exp'!AR$3:AR$196,'Other Exp'!$B$3:$B$196,$D$1,'Other Exp'!$C$3:$C$196,$A152)</f>
        <v>0</v>
      </c>
      <c r="W152" s="676">
        <f t="shared" si="64"/>
        <v>0</v>
      </c>
      <c r="Y152" s="688">
        <f>IFERROR(VLOOKUP($A152,'[95]1月'!$A:$H,8,0),0)</f>
        <v>0</v>
      </c>
      <c r="Z152" s="688">
        <f>IFERROR(VLOOKUP($A152,'[95]2月'!$A:$H,8,0),0)</f>
        <v>0</v>
      </c>
      <c r="AA152" s="688">
        <f>IFERROR(VLOOKUP($A152,'[95]3月'!$A:$H,8,0),0)</f>
        <v>0</v>
      </c>
      <c r="AB152" s="688">
        <f>IFERROR(VLOOKUP($A152,'[95]4月'!$A:$H,8,0),0)</f>
        <v>0</v>
      </c>
      <c r="AC152" s="688">
        <f>IFERROR(VLOOKUP($A152,'[95]5月'!$A:$H,8,0),0)</f>
        <v>0</v>
      </c>
      <c r="AD152" s="688">
        <f>IFERROR(VLOOKUP($A152,'[95]6月'!$A:$H,8,0),0)</f>
        <v>0</v>
      </c>
      <c r="AE152" s="688">
        <f>IFERROR(VLOOKUP($A152,'[95]7月'!$A:$H,8,0),0)</f>
        <v>0</v>
      </c>
      <c r="AF152" s="688">
        <f>IFERROR(VLOOKUP($A152,'[95]8月'!$A:$H,8,0),0)</f>
        <v>0</v>
      </c>
      <c r="AG152" s="688">
        <f>IFERROR(VLOOKUP($A152,'[95]9月'!$A:$H,8,0),0)</f>
        <v>0</v>
      </c>
      <c r="AH152" s="688">
        <f>IFERROR(VLOOKUP($A152,'[95]10月'!$A:$H,8,0),0)</f>
        <v>0</v>
      </c>
      <c r="AI152" s="688">
        <f>IFERROR(VLOOKUP($A152,'[95]11月'!$A:$H,8,0),0)</f>
        <v>0</v>
      </c>
      <c r="AJ152" s="688">
        <f>IFERROR(VLOOKUP($A152,'[95]12月'!$A:$H,8,0),0)</f>
        <v>0</v>
      </c>
      <c r="AK152" s="688">
        <f t="shared" si="55"/>
        <v>0</v>
      </c>
    </row>
    <row r="153" spans="1:37" ht="13.5" customHeight="1">
      <c r="A153" s="686">
        <f>'Budget-合并'!A153</f>
        <v>0</v>
      </c>
      <c r="B153" s="686" t="str">
        <f>'Budget-合并'!B153</f>
        <v>管理费用合计</v>
      </c>
      <c r="C153" s="687">
        <f>'Budget-合并'!C153</f>
        <v>0</v>
      </c>
      <c r="D153" s="677">
        <f t="shared" si="49"/>
        <v>641.66666666666674</v>
      </c>
      <c r="E153" s="677" t="e">
        <f t="shared" si="50"/>
        <v>#N/A</v>
      </c>
      <c r="F153" s="677" t="e">
        <f t="shared" si="51"/>
        <v>#N/A</v>
      </c>
      <c r="G153" s="677">
        <f t="shared" ca="1" si="52"/>
        <v>641.66666666666674</v>
      </c>
      <c r="H153" s="677" t="e">
        <f t="shared" ca="1" si="53"/>
        <v>#N/A</v>
      </c>
      <c r="I153" s="677" t="e">
        <f t="shared" ca="1" si="54"/>
        <v>#N/A</v>
      </c>
      <c r="K153" s="677">
        <f t="shared" ref="K153:V153" si="65">SUM(K44,K62,K75,K79,K80,K92,K127,K132,K140:K152)</f>
        <v>641.66666666666674</v>
      </c>
      <c r="L153" s="677">
        <f t="shared" si="65"/>
        <v>641.66666666666674</v>
      </c>
      <c r="M153" s="677">
        <f t="shared" si="65"/>
        <v>641.66666666666674</v>
      </c>
      <c r="N153" s="677">
        <f t="shared" si="65"/>
        <v>641.66666666666674</v>
      </c>
      <c r="O153" s="677">
        <f t="shared" si="65"/>
        <v>641.66666666666674</v>
      </c>
      <c r="P153" s="677">
        <f t="shared" si="65"/>
        <v>52511.666666666664</v>
      </c>
      <c r="Q153" s="677">
        <f t="shared" si="65"/>
        <v>641.66666666666674</v>
      </c>
      <c r="R153" s="677">
        <f t="shared" si="65"/>
        <v>641.66666666666674</v>
      </c>
      <c r="S153" s="677">
        <f t="shared" si="65"/>
        <v>641.66666666666674</v>
      </c>
      <c r="T153" s="677">
        <f t="shared" si="65"/>
        <v>641.66666666666674</v>
      </c>
      <c r="U153" s="677">
        <f t="shared" si="65"/>
        <v>641.66666666666674</v>
      </c>
      <c r="V153" s="677">
        <f t="shared" si="65"/>
        <v>50641.666666666664</v>
      </c>
      <c r="W153" s="677">
        <f t="shared" si="64"/>
        <v>109569.99999999999</v>
      </c>
      <c r="Y153" s="677">
        <f t="shared" ref="Y153:AK153" si="66">SUM(Y44,Y62,Y75,Y79,Y80,Y92,Y127,Y132,Y140:Y152)</f>
        <v>5736.03</v>
      </c>
      <c r="Z153" s="677">
        <f t="shared" si="66"/>
        <v>5742.03</v>
      </c>
      <c r="AA153" s="677">
        <f t="shared" si="66"/>
        <v>25736.03</v>
      </c>
      <c r="AB153" s="677">
        <f t="shared" si="66"/>
        <v>5736.07</v>
      </c>
      <c r="AC153" s="677">
        <f t="shared" si="66"/>
        <v>3974.07</v>
      </c>
      <c r="AD153" s="677">
        <f t="shared" si="66"/>
        <v>5755.67</v>
      </c>
      <c r="AE153" s="677">
        <f t="shared" si="66"/>
        <v>2710.71</v>
      </c>
      <c r="AF153" s="677">
        <f t="shared" si="66"/>
        <v>165.35000000000008</v>
      </c>
      <c r="AG153" s="677">
        <f t="shared" si="66"/>
        <v>416.67</v>
      </c>
      <c r="AH153" s="677">
        <f t="shared" si="66"/>
        <v>416.67</v>
      </c>
      <c r="AI153" s="677">
        <f t="shared" si="66"/>
        <v>416.67</v>
      </c>
      <c r="AJ153" s="677">
        <f t="shared" si="66"/>
        <v>20416.669999999998</v>
      </c>
      <c r="AK153" s="677">
        <f t="shared" si="66"/>
        <v>77222.64</v>
      </c>
    </row>
    <row r="154" spans="1:37" ht="13.5" customHeight="1">
      <c r="A154" s="653">
        <f>'Budget-合并'!A154</f>
        <v>0</v>
      </c>
      <c r="B154" s="653">
        <f>'Budget-合并'!B154</f>
        <v>0</v>
      </c>
      <c r="C154" s="687">
        <f>'Budget-合并'!C154</f>
        <v>0</v>
      </c>
      <c r="W154" s="652">
        <f t="shared" si="64"/>
        <v>0</v>
      </c>
    </row>
    <row r="155" spans="1:37" ht="13.5" customHeight="1">
      <c r="A155" s="686" t="str">
        <f>'Budget-合并'!A155</f>
        <v>6603</v>
      </c>
      <c r="B155" s="686" t="str">
        <f>'Budget-合并'!B155</f>
        <v>财务费用</v>
      </c>
      <c r="C155" s="687">
        <f>'Budget-合并'!C155</f>
        <v>0</v>
      </c>
      <c r="D155" s="677"/>
      <c r="E155" s="677"/>
      <c r="F155" s="677"/>
      <c r="G155" s="677"/>
      <c r="H155" s="677"/>
      <c r="I155" s="677"/>
      <c r="K155" s="677"/>
      <c r="L155" s="677"/>
      <c r="M155" s="677"/>
      <c r="N155" s="677"/>
      <c r="O155" s="677"/>
      <c r="P155" s="677"/>
      <c r="Q155" s="677"/>
      <c r="R155" s="677"/>
      <c r="S155" s="677"/>
      <c r="T155" s="677"/>
      <c r="U155" s="677"/>
      <c r="V155" s="677"/>
      <c r="W155" s="677"/>
    </row>
    <row r="156" spans="1:37" ht="13.5" customHeight="1">
      <c r="A156" s="653" t="str">
        <f>'Budget-合并'!A156</f>
        <v>6603.01</v>
      </c>
      <c r="B156" s="653" t="str">
        <f>'Budget-合并'!B156</f>
        <v>汇兑损益</v>
      </c>
      <c r="C156" s="687" t="str">
        <f>'Budget-合并'!C156</f>
        <v>FX Gain/Loss Net</v>
      </c>
      <c r="D156" s="676">
        <f t="shared" ref="D156:D169" si="67">INDEX($K156:$V156,1,MATCH($D$6,$K$6:$V$6))</f>
        <v>0</v>
      </c>
      <c r="E156" s="676" t="e">
        <f t="shared" ref="E156:E172" si="68">INDEX($Y156:$AJ156,1,MATCH($E$6,$Y$6:$AJ$6))</f>
        <v>#N/A</v>
      </c>
      <c r="F156" s="676" t="e">
        <f t="shared" ref="F156:F172" si="69">D156-E156</f>
        <v>#N/A</v>
      </c>
      <c r="G156" s="676">
        <f t="shared" ref="G156:G169" ca="1" si="70">SUM($K156:OFFSET($K156,0,MATCH(G$6,$K$6:$V$6)-1))</f>
        <v>0</v>
      </c>
      <c r="H156" s="676" t="e">
        <f t="shared" ref="H156:H172" ca="1" si="71">SUM($Y156:OFFSET($Y156,0,MATCH(H$6,$Y$6:$AJ$6)-1))</f>
        <v>#N/A</v>
      </c>
      <c r="I156" s="676" t="e">
        <f t="shared" ref="I156:I172" ca="1" si="72">G156-H156</f>
        <v>#N/A</v>
      </c>
      <c r="K156" s="676">
        <f>SUMIFS('Other Exp'!AG$3:AG$196,'Other Exp'!$B$3:$B$196,$D$1,'Other Exp'!$C$3:$C$196,$A156)</f>
        <v>0</v>
      </c>
      <c r="L156" s="676">
        <f>SUMIFS('Other Exp'!AH$3:AH$196,'Other Exp'!$B$3:$B$196,$D$1,'Other Exp'!$C$3:$C$196,$A156)</f>
        <v>0</v>
      </c>
      <c r="M156" s="676">
        <f>SUMIFS('Other Exp'!AI$3:AI$196,'Other Exp'!$B$3:$B$196,$D$1,'Other Exp'!$C$3:$C$196,$A156)</f>
        <v>0</v>
      </c>
      <c r="N156" s="676">
        <f>SUMIFS('Other Exp'!AJ$3:AJ$196,'Other Exp'!$B$3:$B$196,$D$1,'Other Exp'!$C$3:$C$196,$A156)</f>
        <v>0</v>
      </c>
      <c r="O156" s="676">
        <f>SUMIFS('Other Exp'!AK$3:AK$196,'Other Exp'!$B$3:$B$196,$D$1,'Other Exp'!$C$3:$C$196,$A156)</f>
        <v>0</v>
      </c>
      <c r="P156" s="676">
        <f>SUMIFS('Other Exp'!AL$3:AL$196,'Other Exp'!$B$3:$B$196,$D$1,'Other Exp'!$C$3:$C$196,$A156)</f>
        <v>0</v>
      </c>
      <c r="Q156" s="676">
        <f>SUMIFS('Other Exp'!AM$3:AM$196,'Other Exp'!$B$3:$B$196,$D$1,'Other Exp'!$C$3:$C$196,$A156)</f>
        <v>0</v>
      </c>
      <c r="R156" s="676">
        <f>SUMIFS('Other Exp'!AN$3:AN$196,'Other Exp'!$B$3:$B$196,$D$1,'Other Exp'!$C$3:$C$196,$A156)</f>
        <v>0</v>
      </c>
      <c r="S156" s="676">
        <f>SUMIFS('Other Exp'!AO$3:AO$196,'Other Exp'!$B$3:$B$196,$D$1,'Other Exp'!$C$3:$C$196,$A156)</f>
        <v>0</v>
      </c>
      <c r="T156" s="676">
        <f>SUMIFS('Other Exp'!AP$3:AP$196,'Other Exp'!$B$3:$B$196,$D$1,'Other Exp'!$C$3:$C$196,$A156)</f>
        <v>0</v>
      </c>
      <c r="U156" s="676">
        <f>SUMIFS('Other Exp'!AQ$3:AQ$196,'Other Exp'!$B$3:$B$196,$D$1,'Other Exp'!$C$3:$C$196,$A156)</f>
        <v>0</v>
      </c>
      <c r="V156" s="676">
        <f>SUMIFS('Other Exp'!AR$3:AR$196,'Other Exp'!$B$3:$B$196,$D$1,'Other Exp'!$C$3:$C$196,$A156)</f>
        <v>0</v>
      </c>
      <c r="W156" s="676">
        <f t="shared" ref="W156:W169" si="73">SUM(K156:V156)</f>
        <v>0</v>
      </c>
      <c r="Y156" s="688">
        <f>IFERROR(VLOOKUP($A156,'[95]1月'!$A:$H,8,0),0)</f>
        <v>-81588.45</v>
      </c>
      <c r="Z156" s="688">
        <f>IFERROR(VLOOKUP($A156,'[95]2月'!$A:$H,8,0),0)</f>
        <v>26088.91</v>
      </c>
      <c r="AA156" s="688">
        <f>IFERROR(VLOOKUP($A156,'[95]3月'!$A:$H,8,0),0)</f>
        <v>30168.77</v>
      </c>
      <c r="AB156" s="688">
        <f>IFERROR(VLOOKUP($A156,'[95]4月'!$A:$H,8,0),0)</f>
        <v>111207.5</v>
      </c>
      <c r="AC156" s="688">
        <f>IFERROR(VLOOKUP($A156,'[95]5月'!$A:$H,8,0),0)</f>
        <v>-119835.09</v>
      </c>
      <c r="AD156" s="688">
        <f>IFERROR(VLOOKUP($A156,'[95]6月'!$A:$H,8,0),0)</f>
        <v>-181230.7</v>
      </c>
      <c r="AE156" s="688">
        <f>IFERROR(VLOOKUP($A156,'[95]7月'!$A:$H,8,0),0)</f>
        <v>-60797.69</v>
      </c>
      <c r="AF156" s="688">
        <f>IFERROR(VLOOKUP($A156,'[95]8月'!$A:$H,8,0),0)</f>
        <v>-152095.10999999999</v>
      </c>
      <c r="AG156" s="688">
        <f>IFERROR(VLOOKUP($A156,'[95]9月'!$A:$H,8,0),0)</f>
        <v>14953.16</v>
      </c>
      <c r="AH156" s="688">
        <f>IFERROR(VLOOKUP($A156,'[95]10月'!$A:$H,8,0),0)</f>
        <v>-112803.77</v>
      </c>
      <c r="AI156" s="688">
        <f>IFERROR(VLOOKUP($A156,'[95]11月'!$A:$H,8,0),0)</f>
        <v>-61411.47</v>
      </c>
      <c r="AJ156" s="688">
        <f>IFERROR(VLOOKUP($A156,'[95]12月'!$A:$H,8,0),0)</f>
        <v>-327570.51</v>
      </c>
      <c r="AK156" s="688">
        <f t="shared" ref="AK156:AK171" si="74">SUM(Y156:AJ156)</f>
        <v>-914914.45</v>
      </c>
    </row>
    <row r="157" spans="1:37" ht="13.5" customHeight="1">
      <c r="A157" s="663" t="str">
        <f>'Budget-合并'!A157</f>
        <v>6603.02</v>
      </c>
      <c r="B157" s="663" t="str">
        <f>'Budget-合并'!B157</f>
        <v>利息费用</v>
      </c>
      <c r="C157" s="687">
        <f>'Budget-合并'!C157</f>
        <v>0</v>
      </c>
      <c r="D157" s="676">
        <f t="shared" si="67"/>
        <v>0</v>
      </c>
      <c r="E157" s="676" t="e">
        <f t="shared" si="68"/>
        <v>#N/A</v>
      </c>
      <c r="F157" s="676" t="e">
        <f t="shared" si="69"/>
        <v>#N/A</v>
      </c>
      <c r="G157" s="676">
        <f t="shared" ca="1" si="70"/>
        <v>0</v>
      </c>
      <c r="H157" s="676" t="e">
        <f t="shared" ca="1" si="71"/>
        <v>#N/A</v>
      </c>
      <c r="I157" s="676" t="e">
        <f t="shared" ca="1" si="72"/>
        <v>#N/A</v>
      </c>
      <c r="K157" s="676"/>
      <c r="L157" s="676"/>
      <c r="M157" s="676"/>
      <c r="N157" s="676"/>
      <c r="O157" s="676"/>
      <c r="P157" s="676"/>
      <c r="Q157" s="676"/>
      <c r="R157" s="676"/>
      <c r="S157" s="676"/>
      <c r="T157" s="676"/>
      <c r="U157" s="676"/>
      <c r="V157" s="676"/>
      <c r="W157" s="676">
        <f t="shared" si="73"/>
        <v>0</v>
      </c>
      <c r="Y157" s="688">
        <f>IFERROR(VLOOKUP($A157,'[95]1月'!$A:$H,8,0),0)</f>
        <v>0</v>
      </c>
      <c r="Z157" s="688">
        <f>IFERROR(VLOOKUP($A157,'[95]2月'!$A:$H,8,0),0)</f>
        <v>0</v>
      </c>
      <c r="AA157" s="688">
        <f>IFERROR(VLOOKUP($A157,'[95]3月'!$A:$H,8,0),0)</f>
        <v>0</v>
      </c>
      <c r="AB157" s="688">
        <f>IFERROR(VLOOKUP($A157,'[95]4月'!$A:$H,8,0),0)</f>
        <v>0</v>
      </c>
      <c r="AC157" s="688">
        <f>IFERROR(VLOOKUP($A157,'[95]5月'!$A:$H,8,0),0)</f>
        <v>0</v>
      </c>
      <c r="AD157" s="688">
        <f>IFERROR(VLOOKUP($A157,'[95]6月'!$A:$H,8,0),0)</f>
        <v>0</v>
      </c>
      <c r="AE157" s="688">
        <f>IFERROR(VLOOKUP($A157,'[95]7月'!$A:$H,8,0),0)</f>
        <v>0</v>
      </c>
      <c r="AF157" s="688">
        <f>IFERROR(VLOOKUP($A157,'[95]8月'!$A:$H,8,0),0)</f>
        <v>0</v>
      </c>
      <c r="AG157" s="688">
        <f>IFERROR(VLOOKUP($A157,'[95]9月'!$A:$H,8,0),0)</f>
        <v>0</v>
      </c>
      <c r="AH157" s="688">
        <f>IFERROR(VLOOKUP($A157,'[95]10月'!$A:$H,8,0),0)</f>
        <v>0</v>
      </c>
      <c r="AI157" s="688">
        <f>IFERROR(VLOOKUP($A157,'[95]11月'!$A:$H,8,0),0)</f>
        <v>0</v>
      </c>
      <c r="AJ157" s="688">
        <f>IFERROR(VLOOKUP($A157,'[95]12月'!$A:$H,8,0),0)</f>
        <v>0</v>
      </c>
      <c r="AK157" s="688">
        <f t="shared" si="74"/>
        <v>0</v>
      </c>
    </row>
    <row r="158" spans="1:37" ht="13.5" customHeight="1">
      <c r="A158" s="653" t="str">
        <f>'Budget-合并'!A158</f>
        <v>6603.02.01</v>
      </c>
      <c r="B158" s="653" t="str">
        <f>'Budget-合并'!B158</f>
        <v>打印机租赁</v>
      </c>
      <c r="C158" s="687">
        <f>'Budget-合并'!C158</f>
        <v>0</v>
      </c>
      <c r="D158" s="676">
        <f t="shared" si="67"/>
        <v>0</v>
      </c>
      <c r="E158" s="676" t="e">
        <f t="shared" si="68"/>
        <v>#N/A</v>
      </c>
      <c r="F158" s="676" t="e">
        <f t="shared" si="69"/>
        <v>#N/A</v>
      </c>
      <c r="G158" s="676">
        <f t="shared" ca="1" si="70"/>
        <v>0</v>
      </c>
      <c r="H158" s="676" t="e">
        <f t="shared" ca="1" si="71"/>
        <v>#N/A</v>
      </c>
      <c r="I158" s="676" t="e">
        <f t="shared" ca="1" si="72"/>
        <v>#N/A</v>
      </c>
      <c r="K158" s="676"/>
      <c r="L158" s="676"/>
      <c r="M158" s="676"/>
      <c r="N158" s="676"/>
      <c r="O158" s="676"/>
      <c r="P158" s="676"/>
      <c r="Q158" s="676"/>
      <c r="R158" s="676"/>
      <c r="S158" s="676"/>
      <c r="T158" s="676"/>
      <c r="U158" s="676"/>
      <c r="V158" s="676"/>
      <c r="W158" s="676">
        <f t="shared" si="73"/>
        <v>0</v>
      </c>
      <c r="Y158" s="688">
        <f>IFERROR(VLOOKUP($A158,'[95]1月'!$A:$H,8,0),0)</f>
        <v>0</v>
      </c>
      <c r="Z158" s="688">
        <f>IFERROR(VLOOKUP($A158,'[95]2月'!$A:$H,8,0),0)</f>
        <v>0</v>
      </c>
      <c r="AA158" s="688">
        <f>IFERROR(VLOOKUP($A158,'[95]3月'!$A:$H,8,0),0)</f>
        <v>0</v>
      </c>
      <c r="AB158" s="688">
        <f>IFERROR(VLOOKUP($A158,'[95]4月'!$A:$H,8,0),0)</f>
        <v>0</v>
      </c>
      <c r="AC158" s="688">
        <f>IFERROR(VLOOKUP($A158,'[95]5月'!$A:$H,8,0),0)</f>
        <v>0</v>
      </c>
      <c r="AD158" s="688">
        <f>IFERROR(VLOOKUP($A158,'[95]6月'!$A:$H,8,0),0)</f>
        <v>0</v>
      </c>
      <c r="AE158" s="688">
        <f>IFERROR(VLOOKUP($A158,'[95]7月'!$A:$H,8,0),0)</f>
        <v>0</v>
      </c>
      <c r="AF158" s="688">
        <f>IFERROR(VLOOKUP($A158,'[95]8月'!$A:$H,8,0),0)</f>
        <v>0</v>
      </c>
      <c r="AG158" s="688">
        <f>IFERROR(VLOOKUP($A158,'[95]9月'!$A:$H,8,0),0)</f>
        <v>0</v>
      </c>
      <c r="AH158" s="688">
        <f>IFERROR(VLOOKUP($A158,'[95]10月'!$A:$H,8,0),0)</f>
        <v>0</v>
      </c>
      <c r="AI158" s="688">
        <f>IFERROR(VLOOKUP($A158,'[95]11月'!$A:$H,8,0),0)</f>
        <v>0</v>
      </c>
      <c r="AJ158" s="688">
        <f>IFERROR(VLOOKUP($A158,'[95]12月'!$A:$H,8,0),0)</f>
        <v>0</v>
      </c>
      <c r="AK158" s="688">
        <f t="shared" si="74"/>
        <v>0</v>
      </c>
    </row>
    <row r="159" spans="1:37" ht="13.5" customHeight="1">
      <c r="A159" s="653" t="str">
        <f>'Budget-合并'!A159</f>
        <v>6603.02.02</v>
      </c>
      <c r="B159" s="653" t="str">
        <f>'Budget-合并'!B159</f>
        <v>办公地址</v>
      </c>
      <c r="C159" s="687">
        <f>'Budget-合并'!C159</f>
        <v>0</v>
      </c>
      <c r="D159" s="676">
        <f t="shared" si="67"/>
        <v>0</v>
      </c>
      <c r="E159" s="676" t="e">
        <f t="shared" si="68"/>
        <v>#N/A</v>
      </c>
      <c r="F159" s="676" t="e">
        <f t="shared" si="69"/>
        <v>#N/A</v>
      </c>
      <c r="G159" s="676">
        <f t="shared" ca="1" si="70"/>
        <v>0</v>
      </c>
      <c r="H159" s="676" t="e">
        <f t="shared" ca="1" si="71"/>
        <v>#N/A</v>
      </c>
      <c r="I159" s="676" t="e">
        <f t="shared" ca="1" si="72"/>
        <v>#N/A</v>
      </c>
      <c r="K159" s="676">
        <f t="shared" ref="K159:V159" si="75">SUM(K160:K161)</f>
        <v>0</v>
      </c>
      <c r="L159" s="676">
        <f t="shared" si="75"/>
        <v>0</v>
      </c>
      <c r="M159" s="676">
        <f t="shared" si="75"/>
        <v>0</v>
      </c>
      <c r="N159" s="676">
        <f t="shared" si="75"/>
        <v>0</v>
      </c>
      <c r="O159" s="676">
        <f t="shared" si="75"/>
        <v>0</v>
      </c>
      <c r="P159" s="676">
        <f t="shared" si="75"/>
        <v>0</v>
      </c>
      <c r="Q159" s="676">
        <f t="shared" si="75"/>
        <v>0</v>
      </c>
      <c r="R159" s="676">
        <f t="shared" si="75"/>
        <v>0</v>
      </c>
      <c r="S159" s="676">
        <f t="shared" si="75"/>
        <v>0</v>
      </c>
      <c r="T159" s="676">
        <f t="shared" si="75"/>
        <v>0</v>
      </c>
      <c r="U159" s="676">
        <f t="shared" si="75"/>
        <v>0</v>
      </c>
      <c r="V159" s="676">
        <f t="shared" si="75"/>
        <v>0</v>
      </c>
      <c r="W159" s="676">
        <f t="shared" si="73"/>
        <v>0</v>
      </c>
      <c r="Y159" s="688">
        <f>IFERROR(VLOOKUP($A159,'[95]1月'!$A:$H,8,0),0)</f>
        <v>0</v>
      </c>
      <c r="Z159" s="688">
        <f>IFERROR(VLOOKUP($A159,'[95]2月'!$A:$H,8,0),0)</f>
        <v>0</v>
      </c>
      <c r="AA159" s="688">
        <f>IFERROR(VLOOKUP($A159,'[95]3月'!$A:$H,8,0),0)</f>
        <v>0</v>
      </c>
      <c r="AB159" s="688">
        <f>IFERROR(VLOOKUP($A159,'[95]4月'!$A:$H,8,0),0)</f>
        <v>0</v>
      </c>
      <c r="AC159" s="688">
        <f>IFERROR(VLOOKUP($A159,'[95]5月'!$A:$H,8,0),0)</f>
        <v>0</v>
      </c>
      <c r="AD159" s="688">
        <f>IFERROR(VLOOKUP($A159,'[95]6月'!$A:$H,8,0),0)</f>
        <v>0</v>
      </c>
      <c r="AE159" s="688">
        <f>IFERROR(VLOOKUP($A159,'[95]7月'!$A:$H,8,0),0)</f>
        <v>0</v>
      </c>
      <c r="AF159" s="688">
        <f>IFERROR(VLOOKUP($A159,'[95]8月'!$A:$H,8,0),0)</f>
        <v>0</v>
      </c>
      <c r="AG159" s="688">
        <f>IFERROR(VLOOKUP($A159,'[95]9月'!$A:$H,8,0),0)</f>
        <v>0</v>
      </c>
      <c r="AH159" s="688">
        <f>IFERROR(VLOOKUP($A159,'[95]10月'!$A:$H,8,0),0)</f>
        <v>0</v>
      </c>
      <c r="AI159" s="688">
        <f>IFERROR(VLOOKUP($A159,'[95]11月'!$A:$H,8,0),0)</f>
        <v>0</v>
      </c>
      <c r="AJ159" s="688">
        <f>IFERROR(VLOOKUP($A159,'[95]12月'!$A:$H,8,0),0)</f>
        <v>0</v>
      </c>
      <c r="AK159" s="688">
        <f t="shared" si="74"/>
        <v>0</v>
      </c>
    </row>
    <row r="160" spans="1:37" ht="13.5" customHeight="1">
      <c r="A160" s="653" t="str">
        <f>'Budget-合并'!A160</f>
        <v>6603.02.02.01</v>
      </c>
      <c r="B160" s="653" t="str">
        <f>'Budget-合并'!B160</f>
        <v>旭智咨询--鼎和大厦1606</v>
      </c>
      <c r="C160" s="687">
        <f>'Budget-合并'!C160</f>
        <v>0</v>
      </c>
      <c r="D160" s="676">
        <f t="shared" si="67"/>
        <v>0</v>
      </c>
      <c r="E160" s="676" t="e">
        <f t="shared" si="68"/>
        <v>#N/A</v>
      </c>
      <c r="F160" s="676" t="e">
        <f t="shared" si="69"/>
        <v>#N/A</v>
      </c>
      <c r="G160" s="676">
        <f t="shared" ca="1" si="70"/>
        <v>0</v>
      </c>
      <c r="H160" s="676" t="e">
        <f t="shared" ca="1" si="71"/>
        <v>#N/A</v>
      </c>
      <c r="I160" s="676" t="e">
        <f t="shared" ca="1" si="72"/>
        <v>#N/A</v>
      </c>
      <c r="K160" s="676"/>
      <c r="L160" s="676"/>
      <c r="M160" s="676"/>
      <c r="N160" s="676"/>
      <c r="O160" s="676"/>
      <c r="P160" s="676"/>
      <c r="Q160" s="676"/>
      <c r="R160" s="676"/>
      <c r="S160" s="676"/>
      <c r="T160" s="676"/>
      <c r="U160" s="676"/>
      <c r="V160" s="676"/>
      <c r="W160" s="676">
        <f t="shared" si="73"/>
        <v>0</v>
      </c>
      <c r="Y160" s="688">
        <f>IFERROR(VLOOKUP($A160,'[95]1月'!$A:$H,8,0),0)</f>
        <v>0</v>
      </c>
      <c r="Z160" s="688">
        <f>IFERROR(VLOOKUP($A160,'[95]2月'!$A:$H,8,0),0)</f>
        <v>0</v>
      </c>
      <c r="AA160" s="688">
        <f>IFERROR(VLOOKUP($A160,'[95]3月'!$A:$H,8,0),0)</f>
        <v>0</v>
      </c>
      <c r="AB160" s="688">
        <f>IFERROR(VLOOKUP($A160,'[95]4月'!$A:$H,8,0),0)</f>
        <v>0</v>
      </c>
      <c r="AC160" s="688">
        <f>IFERROR(VLOOKUP($A160,'[95]5月'!$A:$H,8,0),0)</f>
        <v>0</v>
      </c>
      <c r="AD160" s="688">
        <f>IFERROR(VLOOKUP($A160,'[95]6月'!$A:$H,8,0),0)</f>
        <v>0</v>
      </c>
      <c r="AE160" s="688">
        <f>IFERROR(VLOOKUP($A160,'[95]7月'!$A:$H,8,0),0)</f>
        <v>0</v>
      </c>
      <c r="AF160" s="688">
        <f>IFERROR(VLOOKUP($A160,'[95]8月'!$A:$H,8,0),0)</f>
        <v>0</v>
      </c>
      <c r="AG160" s="688">
        <f>IFERROR(VLOOKUP($A160,'[95]9月'!$A:$H,8,0),0)</f>
        <v>0</v>
      </c>
      <c r="AH160" s="688">
        <f>IFERROR(VLOOKUP($A160,'[95]10月'!$A:$H,8,0),0)</f>
        <v>0</v>
      </c>
      <c r="AI160" s="688">
        <f>IFERROR(VLOOKUP($A160,'[95]11月'!$A:$H,8,0),0)</f>
        <v>0</v>
      </c>
      <c r="AJ160" s="688">
        <f>IFERROR(VLOOKUP($A160,'[95]12月'!$A:$H,8,0),0)</f>
        <v>0</v>
      </c>
      <c r="AK160" s="688">
        <f t="shared" si="74"/>
        <v>0</v>
      </c>
    </row>
    <row r="161" spans="1:37" ht="13.5" customHeight="1">
      <c r="A161" s="653" t="str">
        <f>'Budget-合并'!A161</f>
        <v>6603.02.02.02</v>
      </c>
      <c r="B161" s="653" t="str">
        <f>'Budget-合并'!B161</f>
        <v>旭智资本（香港）--冯氏大厦</v>
      </c>
      <c r="C161" s="687" t="str">
        <f>'Budget-合并'!C161</f>
        <v>Interest Expense Lease</v>
      </c>
      <c r="D161" s="676">
        <f t="shared" si="67"/>
        <v>0</v>
      </c>
      <c r="E161" s="676" t="e">
        <f t="shared" si="68"/>
        <v>#N/A</v>
      </c>
      <c r="F161" s="676" t="e">
        <f t="shared" si="69"/>
        <v>#N/A</v>
      </c>
      <c r="G161" s="676">
        <f t="shared" ca="1" si="70"/>
        <v>0</v>
      </c>
      <c r="H161" s="676" t="e">
        <f t="shared" ca="1" si="71"/>
        <v>#N/A</v>
      </c>
      <c r="I161" s="676" t="e">
        <f t="shared" ca="1" si="72"/>
        <v>#N/A</v>
      </c>
      <c r="K161" s="676"/>
      <c r="L161" s="676"/>
      <c r="M161" s="676"/>
      <c r="N161" s="676"/>
      <c r="O161" s="676"/>
      <c r="P161" s="676"/>
      <c r="Q161" s="676"/>
      <c r="R161" s="676"/>
      <c r="S161" s="676"/>
      <c r="T161" s="676"/>
      <c r="U161" s="676"/>
      <c r="V161" s="676"/>
      <c r="W161" s="676">
        <f t="shared" si="73"/>
        <v>0</v>
      </c>
      <c r="Y161" s="688">
        <f>IFERROR(VLOOKUP($A161,'[95]1月'!$A:$H,8,0),0)</f>
        <v>0</v>
      </c>
      <c r="Z161" s="688">
        <f>IFERROR(VLOOKUP($A161,'[95]2月'!$A:$H,8,0),0)</f>
        <v>0</v>
      </c>
      <c r="AA161" s="688">
        <f>IFERROR(VLOOKUP($A161,'[95]3月'!$A:$H,8,0),0)</f>
        <v>0</v>
      </c>
      <c r="AB161" s="688">
        <f>IFERROR(VLOOKUP($A161,'[95]4月'!$A:$H,8,0),0)</f>
        <v>0</v>
      </c>
      <c r="AC161" s="688">
        <f>IFERROR(VLOOKUP($A161,'[95]5月'!$A:$H,8,0),0)</f>
        <v>0</v>
      </c>
      <c r="AD161" s="688">
        <f>IFERROR(VLOOKUP($A161,'[95]6月'!$A:$H,8,0),0)</f>
        <v>0</v>
      </c>
      <c r="AE161" s="688">
        <f>IFERROR(VLOOKUP($A161,'[95]7月'!$A:$H,8,0),0)</f>
        <v>0</v>
      </c>
      <c r="AF161" s="688">
        <f>IFERROR(VLOOKUP($A161,'[95]8月'!$A:$H,8,0),0)</f>
        <v>0</v>
      </c>
      <c r="AG161" s="688">
        <f>IFERROR(VLOOKUP($A161,'[95]9月'!$A:$H,8,0),0)</f>
        <v>0</v>
      </c>
      <c r="AH161" s="688">
        <f>IFERROR(VLOOKUP($A161,'[95]10月'!$A:$H,8,0),0)</f>
        <v>0</v>
      </c>
      <c r="AI161" s="688">
        <f>IFERROR(VLOOKUP($A161,'[95]11月'!$A:$H,8,0),0)</f>
        <v>0</v>
      </c>
      <c r="AJ161" s="688">
        <f>IFERROR(VLOOKUP($A161,'[95]12月'!$A:$H,8,0),0)</f>
        <v>0</v>
      </c>
      <c r="AK161" s="688">
        <f t="shared" si="74"/>
        <v>0</v>
      </c>
    </row>
    <row r="162" spans="1:37" ht="13.5" customHeight="1">
      <c r="A162" s="653" t="str">
        <f>'Budget-合并'!A162</f>
        <v>6603.02.03</v>
      </c>
      <c r="B162" s="653" t="str">
        <f>'Budget-合并'!B162</f>
        <v>注册地址</v>
      </c>
      <c r="C162" s="687">
        <f>'Budget-合并'!C162</f>
        <v>0</v>
      </c>
      <c r="D162" s="676">
        <f t="shared" si="67"/>
        <v>0</v>
      </c>
      <c r="E162" s="676" t="e">
        <f t="shared" si="68"/>
        <v>#N/A</v>
      </c>
      <c r="F162" s="676" t="e">
        <f t="shared" si="69"/>
        <v>#N/A</v>
      </c>
      <c r="G162" s="676">
        <f t="shared" ca="1" si="70"/>
        <v>0</v>
      </c>
      <c r="H162" s="676" t="e">
        <f t="shared" ca="1" si="71"/>
        <v>#N/A</v>
      </c>
      <c r="I162" s="676" t="e">
        <f t="shared" ca="1" si="72"/>
        <v>#N/A</v>
      </c>
      <c r="K162" s="676">
        <f t="shared" ref="K162:V162" si="76">SUM(K163:K164)</f>
        <v>0</v>
      </c>
      <c r="L162" s="676">
        <f t="shared" si="76"/>
        <v>0</v>
      </c>
      <c r="M162" s="676">
        <f t="shared" si="76"/>
        <v>0</v>
      </c>
      <c r="N162" s="676">
        <f t="shared" si="76"/>
        <v>0</v>
      </c>
      <c r="O162" s="676">
        <f t="shared" si="76"/>
        <v>0</v>
      </c>
      <c r="P162" s="676">
        <f t="shared" si="76"/>
        <v>0</v>
      </c>
      <c r="Q162" s="676">
        <f t="shared" si="76"/>
        <v>0</v>
      </c>
      <c r="R162" s="676">
        <f t="shared" si="76"/>
        <v>0</v>
      </c>
      <c r="S162" s="676">
        <f t="shared" si="76"/>
        <v>0</v>
      </c>
      <c r="T162" s="676">
        <f t="shared" si="76"/>
        <v>0</v>
      </c>
      <c r="U162" s="676">
        <f t="shared" si="76"/>
        <v>0</v>
      </c>
      <c r="V162" s="676">
        <f t="shared" si="76"/>
        <v>0</v>
      </c>
      <c r="W162" s="676">
        <f t="shared" si="73"/>
        <v>0</v>
      </c>
      <c r="Y162" s="688">
        <f>IFERROR(VLOOKUP($A162,'[95]1月'!$A:$H,8,0),0)</f>
        <v>0</v>
      </c>
      <c r="Z162" s="688">
        <f>IFERROR(VLOOKUP($A162,'[95]2月'!$A:$H,8,0),0)</f>
        <v>0</v>
      </c>
      <c r="AA162" s="688">
        <f>IFERROR(VLOOKUP($A162,'[95]3月'!$A:$H,8,0),0)</f>
        <v>0</v>
      </c>
      <c r="AB162" s="688">
        <f>IFERROR(VLOOKUP($A162,'[95]4月'!$A:$H,8,0),0)</f>
        <v>0</v>
      </c>
      <c r="AC162" s="688">
        <f>IFERROR(VLOOKUP($A162,'[95]5月'!$A:$H,8,0),0)</f>
        <v>0</v>
      </c>
      <c r="AD162" s="688">
        <f>IFERROR(VLOOKUP($A162,'[95]6月'!$A:$H,8,0),0)</f>
        <v>0</v>
      </c>
      <c r="AE162" s="688">
        <f>IFERROR(VLOOKUP($A162,'[95]7月'!$A:$H,8,0),0)</f>
        <v>0</v>
      </c>
      <c r="AF162" s="688">
        <f>IFERROR(VLOOKUP($A162,'[95]8月'!$A:$H,8,0),0)</f>
        <v>0</v>
      </c>
      <c r="AG162" s="688">
        <f>IFERROR(VLOOKUP($A162,'[95]9月'!$A:$H,8,0),0)</f>
        <v>0</v>
      </c>
      <c r="AH162" s="688">
        <f>IFERROR(VLOOKUP($A162,'[95]10月'!$A:$H,8,0),0)</f>
        <v>0</v>
      </c>
      <c r="AI162" s="688">
        <f>IFERROR(VLOOKUP($A162,'[95]11月'!$A:$H,8,0),0)</f>
        <v>0</v>
      </c>
      <c r="AJ162" s="688">
        <f>IFERROR(VLOOKUP($A162,'[95]12月'!$A:$H,8,0),0)</f>
        <v>0</v>
      </c>
      <c r="AK162" s="688">
        <f t="shared" si="74"/>
        <v>0</v>
      </c>
    </row>
    <row r="163" spans="1:37" ht="13.5" customHeight="1">
      <c r="A163" s="653" t="str">
        <f>'Budget-合并'!A163</f>
        <v>6603.02.03.01</v>
      </c>
      <c r="B163" s="653" t="str">
        <f>'Budget-合并'!B163</f>
        <v>旭智私募--前海壹号B座701E</v>
      </c>
      <c r="C163" s="687">
        <f>'Budget-合并'!C163</f>
        <v>0</v>
      </c>
      <c r="D163" s="676">
        <f t="shared" si="67"/>
        <v>0</v>
      </c>
      <c r="E163" s="676" t="e">
        <f t="shared" si="68"/>
        <v>#N/A</v>
      </c>
      <c r="F163" s="676" t="e">
        <f t="shared" si="69"/>
        <v>#N/A</v>
      </c>
      <c r="G163" s="676">
        <f t="shared" ca="1" si="70"/>
        <v>0</v>
      </c>
      <c r="H163" s="676" t="e">
        <f t="shared" ca="1" si="71"/>
        <v>#N/A</v>
      </c>
      <c r="I163" s="676" t="e">
        <f t="shared" ca="1" si="72"/>
        <v>#N/A</v>
      </c>
      <c r="K163" s="676"/>
      <c r="L163" s="676"/>
      <c r="M163" s="676"/>
      <c r="N163" s="676"/>
      <c r="O163" s="676"/>
      <c r="P163" s="676"/>
      <c r="Q163" s="676"/>
      <c r="R163" s="676"/>
      <c r="S163" s="676"/>
      <c r="T163" s="676"/>
      <c r="U163" s="676"/>
      <c r="V163" s="676"/>
      <c r="W163" s="676">
        <f t="shared" si="73"/>
        <v>0</v>
      </c>
      <c r="Y163" s="688">
        <f>IFERROR(VLOOKUP($A163,'[95]1月'!$A:$H,8,0),0)</f>
        <v>0</v>
      </c>
      <c r="Z163" s="688">
        <f>IFERROR(VLOOKUP($A163,'[95]2月'!$A:$H,8,0),0)</f>
        <v>0</v>
      </c>
      <c r="AA163" s="688">
        <f>IFERROR(VLOOKUP($A163,'[95]3月'!$A:$H,8,0),0)</f>
        <v>0</v>
      </c>
      <c r="AB163" s="688">
        <f>IFERROR(VLOOKUP($A163,'[95]4月'!$A:$H,8,0),0)</f>
        <v>0</v>
      </c>
      <c r="AC163" s="688">
        <f>IFERROR(VLOOKUP($A163,'[95]5月'!$A:$H,8,0),0)</f>
        <v>0</v>
      </c>
      <c r="AD163" s="688">
        <f>IFERROR(VLOOKUP($A163,'[95]6月'!$A:$H,8,0),0)</f>
        <v>0</v>
      </c>
      <c r="AE163" s="688">
        <f>IFERROR(VLOOKUP($A163,'[95]7月'!$A:$H,8,0),0)</f>
        <v>0</v>
      </c>
      <c r="AF163" s="688">
        <f>IFERROR(VLOOKUP($A163,'[95]8月'!$A:$H,8,0),0)</f>
        <v>0</v>
      </c>
      <c r="AG163" s="688">
        <f>IFERROR(VLOOKUP($A163,'[95]9月'!$A:$H,8,0),0)</f>
        <v>0</v>
      </c>
      <c r="AH163" s="688">
        <f>IFERROR(VLOOKUP($A163,'[95]10月'!$A:$H,8,0),0)</f>
        <v>0</v>
      </c>
      <c r="AI163" s="688">
        <f>IFERROR(VLOOKUP($A163,'[95]11月'!$A:$H,8,0),0)</f>
        <v>0</v>
      </c>
      <c r="AJ163" s="688">
        <f>IFERROR(VLOOKUP($A163,'[95]12月'!$A:$H,8,0),0)</f>
        <v>0</v>
      </c>
      <c r="AK163" s="688">
        <f t="shared" si="74"/>
        <v>0</v>
      </c>
    </row>
    <row r="164" spans="1:37" ht="13.5" customHeight="1">
      <c r="A164" s="653" t="str">
        <f>'Budget-合并'!A164</f>
        <v>6603.02.03.02</v>
      </c>
      <c r="B164" s="653" t="str">
        <f>'Budget-合并'!B164</f>
        <v>广州旭智--802房F028</v>
      </c>
      <c r="C164" s="687">
        <f>'Budget-合并'!C164</f>
        <v>0</v>
      </c>
      <c r="D164" s="676">
        <f t="shared" si="67"/>
        <v>0</v>
      </c>
      <c r="E164" s="676" t="e">
        <f t="shared" si="68"/>
        <v>#N/A</v>
      </c>
      <c r="F164" s="676" t="e">
        <f t="shared" si="69"/>
        <v>#N/A</v>
      </c>
      <c r="G164" s="676">
        <f t="shared" ca="1" si="70"/>
        <v>0</v>
      </c>
      <c r="H164" s="676" t="e">
        <f t="shared" ca="1" si="71"/>
        <v>#N/A</v>
      </c>
      <c r="I164" s="676" t="e">
        <f t="shared" ca="1" si="72"/>
        <v>#N/A</v>
      </c>
      <c r="K164" s="676"/>
      <c r="L164" s="676"/>
      <c r="M164" s="676"/>
      <c r="N164" s="676"/>
      <c r="O164" s="676"/>
      <c r="P164" s="676"/>
      <c r="Q164" s="676"/>
      <c r="R164" s="676"/>
      <c r="S164" s="676"/>
      <c r="T164" s="676"/>
      <c r="U164" s="676"/>
      <c r="V164" s="676"/>
      <c r="W164" s="676">
        <f t="shared" si="73"/>
        <v>0</v>
      </c>
      <c r="Y164" s="688">
        <f>IFERROR(VLOOKUP($A164,'[95]1月'!$A:$H,8,0),0)</f>
        <v>0</v>
      </c>
      <c r="Z164" s="688">
        <f>IFERROR(VLOOKUP($A164,'[95]2月'!$A:$H,8,0),0)</f>
        <v>0</v>
      </c>
      <c r="AA164" s="688">
        <f>IFERROR(VLOOKUP($A164,'[95]3月'!$A:$H,8,0),0)</f>
        <v>0</v>
      </c>
      <c r="AB164" s="688">
        <f>IFERROR(VLOOKUP($A164,'[95]4月'!$A:$H,8,0),0)</f>
        <v>0</v>
      </c>
      <c r="AC164" s="688">
        <f>IFERROR(VLOOKUP($A164,'[95]5月'!$A:$H,8,0),0)</f>
        <v>0</v>
      </c>
      <c r="AD164" s="688">
        <f>IFERROR(VLOOKUP($A164,'[95]6月'!$A:$H,8,0),0)</f>
        <v>0</v>
      </c>
      <c r="AE164" s="688">
        <f>IFERROR(VLOOKUP($A164,'[95]7月'!$A:$H,8,0),0)</f>
        <v>0</v>
      </c>
      <c r="AF164" s="688">
        <f>IFERROR(VLOOKUP($A164,'[95]8月'!$A:$H,8,0),0)</f>
        <v>0</v>
      </c>
      <c r="AG164" s="688">
        <f>IFERROR(VLOOKUP($A164,'[95]9月'!$A:$H,8,0),0)</f>
        <v>0</v>
      </c>
      <c r="AH164" s="688">
        <f>IFERROR(VLOOKUP($A164,'[95]10月'!$A:$H,8,0),0)</f>
        <v>0</v>
      </c>
      <c r="AI164" s="688">
        <f>IFERROR(VLOOKUP($A164,'[95]11月'!$A:$H,8,0),0)</f>
        <v>0</v>
      </c>
      <c r="AJ164" s="688">
        <f>IFERROR(VLOOKUP($A164,'[95]12月'!$A:$H,8,0),0)</f>
        <v>0</v>
      </c>
      <c r="AK164" s="688">
        <f t="shared" si="74"/>
        <v>0</v>
      </c>
    </row>
    <row r="165" spans="1:37" ht="13.5" customHeight="1">
      <c r="A165" s="653" t="str">
        <f>'Budget-合并'!A165</f>
        <v>6603.03</v>
      </c>
      <c r="B165" s="653" t="str">
        <f>'Budget-合并'!B165</f>
        <v>银行手续费</v>
      </c>
      <c r="C165" s="687" t="str">
        <f>'Budget-合并'!C165</f>
        <v>Bank Charges</v>
      </c>
      <c r="D165" s="676">
        <f t="shared" si="67"/>
        <v>250</v>
      </c>
      <c r="E165" s="676" t="e">
        <f t="shared" si="68"/>
        <v>#N/A</v>
      </c>
      <c r="F165" s="676" t="e">
        <f t="shared" si="69"/>
        <v>#N/A</v>
      </c>
      <c r="G165" s="676">
        <f t="shared" ca="1" si="70"/>
        <v>250</v>
      </c>
      <c r="H165" s="676" t="e">
        <f t="shared" ca="1" si="71"/>
        <v>#N/A</v>
      </c>
      <c r="I165" s="676" t="e">
        <f t="shared" ca="1" si="72"/>
        <v>#N/A</v>
      </c>
      <c r="K165" s="676">
        <f>SUMIFS('Other Exp'!AG$3:AG$196,'Other Exp'!$B$3:$B$196,$D$1,'Other Exp'!$C$3:$C$196,$A165)</f>
        <v>250</v>
      </c>
      <c r="L165" s="676">
        <f>SUMIFS('Other Exp'!AH$3:AH$196,'Other Exp'!$B$3:$B$196,$D$1,'Other Exp'!$C$3:$C$196,$A165)</f>
        <v>250</v>
      </c>
      <c r="M165" s="676">
        <f>SUMIFS('Other Exp'!AI$3:AI$196,'Other Exp'!$B$3:$B$196,$D$1,'Other Exp'!$C$3:$C$196,$A165)</f>
        <v>250</v>
      </c>
      <c r="N165" s="676">
        <f>SUMIFS('Other Exp'!AJ$3:AJ$196,'Other Exp'!$B$3:$B$196,$D$1,'Other Exp'!$C$3:$C$196,$A165)</f>
        <v>250</v>
      </c>
      <c r="O165" s="676">
        <f>SUMIFS('Other Exp'!AK$3:AK$196,'Other Exp'!$B$3:$B$196,$D$1,'Other Exp'!$C$3:$C$196,$A165)</f>
        <v>250</v>
      </c>
      <c r="P165" s="676">
        <f>SUMIFS('Other Exp'!AL$3:AL$196,'Other Exp'!$B$3:$B$196,$D$1,'Other Exp'!$C$3:$C$196,$A165)</f>
        <v>250</v>
      </c>
      <c r="Q165" s="676">
        <f>SUMIFS('Other Exp'!AM$3:AM$196,'Other Exp'!$B$3:$B$196,$D$1,'Other Exp'!$C$3:$C$196,$A165)</f>
        <v>250</v>
      </c>
      <c r="R165" s="676">
        <f>SUMIFS('Other Exp'!AN$3:AN$196,'Other Exp'!$B$3:$B$196,$D$1,'Other Exp'!$C$3:$C$196,$A165)</f>
        <v>250</v>
      </c>
      <c r="S165" s="676">
        <f>SUMIFS('Other Exp'!AO$3:AO$196,'Other Exp'!$B$3:$B$196,$D$1,'Other Exp'!$C$3:$C$196,$A165)</f>
        <v>250</v>
      </c>
      <c r="T165" s="676">
        <f>SUMIFS('Other Exp'!AP$3:AP$196,'Other Exp'!$B$3:$B$196,$D$1,'Other Exp'!$C$3:$C$196,$A165)</f>
        <v>250</v>
      </c>
      <c r="U165" s="676">
        <f>SUMIFS('Other Exp'!AQ$3:AQ$196,'Other Exp'!$B$3:$B$196,$D$1,'Other Exp'!$C$3:$C$196,$A165)</f>
        <v>250</v>
      </c>
      <c r="V165" s="676">
        <f>SUMIFS('Other Exp'!AR$3:AR$196,'Other Exp'!$B$3:$B$196,$D$1,'Other Exp'!$C$3:$C$196,$A165)</f>
        <v>250</v>
      </c>
      <c r="W165" s="676">
        <f t="shared" si="73"/>
        <v>3000</v>
      </c>
      <c r="Y165" s="688">
        <f>IFERROR(VLOOKUP($A165,'[95]1月'!$A:$H,8,0),0)</f>
        <v>199.98</v>
      </c>
      <c r="Z165" s="688">
        <f>IFERROR(VLOOKUP($A165,'[95]2月'!$A:$H,8,0),0)</f>
        <v>509</v>
      </c>
      <c r="AA165" s="688">
        <f>IFERROR(VLOOKUP($A165,'[95]3月'!$A:$H,8,0),0)</f>
        <v>0.3</v>
      </c>
      <c r="AB165" s="688">
        <f>IFERROR(VLOOKUP($A165,'[95]4月'!$A:$H,8,0),0)</f>
        <v>4.5</v>
      </c>
      <c r="AC165" s="688">
        <f>IFERROR(VLOOKUP($A165,'[95]5月'!$A:$H,8,0),0)</f>
        <v>18.3</v>
      </c>
      <c r="AD165" s="688">
        <f>IFERROR(VLOOKUP($A165,'[95]6月'!$A:$H,8,0),0)</f>
        <v>204.48</v>
      </c>
      <c r="AE165" s="688">
        <f>IFERROR(VLOOKUP($A165,'[95]7月'!$A:$H,8,0),0)</f>
        <v>4.8</v>
      </c>
      <c r="AF165" s="688">
        <f>IFERROR(VLOOKUP($A165,'[95]8月'!$A:$H,8,0),0)</f>
        <v>1249.3</v>
      </c>
      <c r="AG165" s="688">
        <f>IFERROR(VLOOKUP($A165,'[95]9月'!$A:$H,8,0),0)</f>
        <v>0</v>
      </c>
      <c r="AH165" s="688">
        <f>IFERROR(VLOOKUP($A165,'[95]10月'!$A:$H,8,0),0)</f>
        <v>0</v>
      </c>
      <c r="AI165" s="688">
        <f>IFERROR(VLOOKUP($A165,'[95]11月'!$A:$H,8,0),0)</f>
        <v>0</v>
      </c>
      <c r="AJ165" s="688">
        <f>IFERROR(VLOOKUP($A165,'[95]12月'!$A:$H,8,0),0)</f>
        <v>0.9</v>
      </c>
      <c r="AK165" s="688">
        <f t="shared" si="74"/>
        <v>2191.56</v>
      </c>
    </row>
    <row r="166" spans="1:37" ht="13.5" customHeight="1">
      <c r="A166" s="653" t="str">
        <f>'Budget-合并'!A166</f>
        <v>6603.04</v>
      </c>
      <c r="B166" s="653" t="str">
        <f>'Budget-合并'!B166</f>
        <v>利息收入</v>
      </c>
      <c r="C166" s="687" t="str">
        <f>'Budget-合并'!C166</f>
        <v>Bank Interest Income</v>
      </c>
      <c r="D166" s="676">
        <f t="shared" si="67"/>
        <v>0</v>
      </c>
      <c r="E166" s="676" t="e">
        <f t="shared" si="68"/>
        <v>#N/A</v>
      </c>
      <c r="F166" s="676" t="e">
        <f t="shared" si="69"/>
        <v>#N/A</v>
      </c>
      <c r="G166" s="676">
        <f t="shared" ca="1" si="70"/>
        <v>0</v>
      </c>
      <c r="H166" s="676" t="e">
        <f t="shared" ca="1" si="71"/>
        <v>#N/A</v>
      </c>
      <c r="I166" s="676" t="e">
        <f t="shared" ca="1" si="72"/>
        <v>#N/A</v>
      </c>
      <c r="K166" s="676"/>
      <c r="L166" s="676"/>
      <c r="M166" s="676"/>
      <c r="N166" s="676"/>
      <c r="O166" s="676"/>
      <c r="P166" s="676"/>
      <c r="Q166" s="676"/>
      <c r="R166" s="676"/>
      <c r="S166" s="676"/>
      <c r="T166" s="676"/>
      <c r="U166" s="676"/>
      <c r="V166" s="676"/>
      <c r="W166" s="676">
        <f t="shared" si="73"/>
        <v>0</v>
      </c>
      <c r="Y166" s="688">
        <f>IFERROR(VLOOKUP($A166,'[95]1月'!$A:$H,8,0),0)</f>
        <v>0</v>
      </c>
      <c r="Z166" s="688">
        <f>IFERROR(VLOOKUP($A166,'[95]2月'!$A:$H,8,0),0)</f>
        <v>0</v>
      </c>
      <c r="AA166" s="688">
        <f>IFERROR(VLOOKUP($A166,'[95]3月'!$A:$H,8,0),0)</f>
        <v>-24.45</v>
      </c>
      <c r="AB166" s="688">
        <f>IFERROR(VLOOKUP($A166,'[95]4月'!$A:$H,8,0),0)</f>
        <v>0</v>
      </c>
      <c r="AC166" s="688">
        <f>IFERROR(VLOOKUP($A166,'[95]5月'!$A:$H,8,0),0)</f>
        <v>0</v>
      </c>
      <c r="AD166" s="688">
        <f>IFERROR(VLOOKUP($A166,'[95]6月'!$A:$H,8,0),0)</f>
        <v>-16.36</v>
      </c>
      <c r="AE166" s="688">
        <f>IFERROR(VLOOKUP($A166,'[95]7月'!$A:$H,8,0),0)</f>
        <v>0</v>
      </c>
      <c r="AF166" s="688">
        <f>IFERROR(VLOOKUP($A166,'[95]8月'!$A:$H,8,0),0)</f>
        <v>0</v>
      </c>
      <c r="AG166" s="688">
        <f>IFERROR(VLOOKUP($A166,'[95]9月'!$A:$H,8,0),0)</f>
        <v>-87.73</v>
      </c>
      <c r="AH166" s="688">
        <f>IFERROR(VLOOKUP($A166,'[95]10月'!$A:$H,8,0),0)</f>
        <v>0</v>
      </c>
      <c r="AI166" s="688">
        <f>IFERROR(VLOOKUP($A166,'[95]11月'!$A:$H,8,0),0)</f>
        <v>0</v>
      </c>
      <c r="AJ166" s="688">
        <f>IFERROR(VLOOKUP($A166,'[95]12月'!$A:$H,8,0),0)</f>
        <v>-0.45</v>
      </c>
      <c r="AK166" s="688">
        <f t="shared" si="74"/>
        <v>-128.99</v>
      </c>
    </row>
    <row r="167" spans="1:37" ht="13.5" customHeight="1">
      <c r="A167" s="663" t="str">
        <f>'Budget-合并'!A167</f>
        <v>6603.05</v>
      </c>
      <c r="B167" s="663" t="str">
        <f>'Budget-合并'!B167</f>
        <v>利息支出</v>
      </c>
      <c r="C167" s="687">
        <f>'Budget-合并'!C167</f>
        <v>0</v>
      </c>
      <c r="D167" s="676">
        <f t="shared" si="67"/>
        <v>0</v>
      </c>
      <c r="E167" s="676" t="e">
        <f t="shared" si="68"/>
        <v>#N/A</v>
      </c>
      <c r="F167" s="676" t="e">
        <f t="shared" si="69"/>
        <v>#N/A</v>
      </c>
      <c r="G167" s="676">
        <f t="shared" ca="1" si="70"/>
        <v>0</v>
      </c>
      <c r="H167" s="676" t="e">
        <f t="shared" ca="1" si="71"/>
        <v>#N/A</v>
      </c>
      <c r="I167" s="676" t="e">
        <f t="shared" ca="1" si="72"/>
        <v>#N/A</v>
      </c>
      <c r="K167" s="676">
        <f>SUM(K168:K170)</f>
        <v>0</v>
      </c>
      <c r="L167" s="676">
        <f t="shared" ref="L167:V167" si="77">SUM(L168:L170)</f>
        <v>0</v>
      </c>
      <c r="M167" s="676">
        <f t="shared" si="77"/>
        <v>0</v>
      </c>
      <c r="N167" s="676">
        <f t="shared" si="77"/>
        <v>0</v>
      </c>
      <c r="O167" s="676">
        <f t="shared" si="77"/>
        <v>0</v>
      </c>
      <c r="P167" s="676">
        <f t="shared" si="77"/>
        <v>0</v>
      </c>
      <c r="Q167" s="676">
        <f t="shared" si="77"/>
        <v>0</v>
      </c>
      <c r="R167" s="676">
        <f t="shared" si="77"/>
        <v>0</v>
      </c>
      <c r="S167" s="676">
        <f t="shared" si="77"/>
        <v>0</v>
      </c>
      <c r="T167" s="676">
        <f t="shared" si="77"/>
        <v>0</v>
      </c>
      <c r="U167" s="676">
        <f t="shared" si="77"/>
        <v>0</v>
      </c>
      <c r="V167" s="676">
        <f t="shared" si="77"/>
        <v>0</v>
      </c>
      <c r="W167" s="676">
        <f t="shared" si="73"/>
        <v>0</v>
      </c>
      <c r="Y167" s="688">
        <f>IFERROR(VLOOKUP($A167,'[95]1月'!$A:$H,8,0),0)</f>
        <v>0</v>
      </c>
      <c r="Z167" s="688">
        <f>IFERROR(VLOOKUP($A167,'[95]2月'!$A:$H,8,0),0)</f>
        <v>0</v>
      </c>
      <c r="AA167" s="688">
        <f>IFERROR(VLOOKUP($A167,'[95]3月'!$A:$H,8,0),0)</f>
        <v>0</v>
      </c>
      <c r="AB167" s="688">
        <f>IFERROR(VLOOKUP($A167,'[95]4月'!$A:$H,8,0),0)</f>
        <v>0</v>
      </c>
      <c r="AC167" s="688">
        <f>IFERROR(VLOOKUP($A167,'[95]5月'!$A:$H,8,0),0)</f>
        <v>0</v>
      </c>
      <c r="AD167" s="688">
        <f>IFERROR(VLOOKUP($A167,'[95]6月'!$A:$H,8,0),0)</f>
        <v>0</v>
      </c>
      <c r="AE167" s="688">
        <f>IFERROR(VLOOKUP($A167,'[95]7月'!$A:$H,8,0),0)</f>
        <v>0</v>
      </c>
      <c r="AF167" s="688">
        <f>IFERROR(VLOOKUP($A167,'[95]8月'!$A:$H,8,0),0)</f>
        <v>0</v>
      </c>
      <c r="AG167" s="688">
        <f>IFERROR(VLOOKUP($A167,'[95]9月'!$A:$H,8,0),0)</f>
        <v>0</v>
      </c>
      <c r="AH167" s="688">
        <f>IFERROR(VLOOKUP($A167,'[95]10月'!$A:$H,8,0),0)</f>
        <v>0</v>
      </c>
      <c r="AI167" s="688">
        <f>IFERROR(VLOOKUP($A167,'[95]11月'!$A:$H,8,0),0)</f>
        <v>0</v>
      </c>
      <c r="AJ167" s="688">
        <f>IFERROR(VLOOKUP($A167,'[95]12月'!$A:$H,8,0),0)</f>
        <v>0</v>
      </c>
      <c r="AK167" s="688">
        <f t="shared" si="74"/>
        <v>0</v>
      </c>
    </row>
    <row r="168" spans="1:37" ht="13.5" customHeight="1">
      <c r="A168" s="653" t="str">
        <f>'Budget-合并'!A168</f>
        <v>6603.05.01</v>
      </c>
      <c r="B168" s="653" t="str">
        <f>'Budget-合并'!B168</f>
        <v>兴业金融租赁有限责任公司</v>
      </c>
      <c r="C168" s="687">
        <f>'Budget-合并'!C168</f>
        <v>0</v>
      </c>
      <c r="D168" s="676">
        <f t="shared" si="67"/>
        <v>0</v>
      </c>
      <c r="E168" s="676" t="e">
        <f t="shared" si="68"/>
        <v>#N/A</v>
      </c>
      <c r="F168" s="676" t="e">
        <f t="shared" si="69"/>
        <v>#N/A</v>
      </c>
      <c r="G168" s="676">
        <f t="shared" ca="1" si="70"/>
        <v>0</v>
      </c>
      <c r="H168" s="676" t="e">
        <f t="shared" ca="1" si="71"/>
        <v>#N/A</v>
      </c>
      <c r="I168" s="676" t="e">
        <f t="shared" ca="1" si="72"/>
        <v>#N/A</v>
      </c>
      <c r="K168" s="676"/>
      <c r="L168" s="676"/>
      <c r="M168" s="676"/>
      <c r="N168" s="676"/>
      <c r="O168" s="676"/>
      <c r="P168" s="676"/>
      <c r="Q168" s="676"/>
      <c r="R168" s="676"/>
      <c r="S168" s="676"/>
      <c r="T168" s="676"/>
      <c r="U168" s="676"/>
      <c r="V168" s="676"/>
      <c r="W168" s="676">
        <f t="shared" si="73"/>
        <v>0</v>
      </c>
      <c r="Y168" s="688">
        <f>IFERROR(VLOOKUP($A168,'[95]1月'!$A:$H,8,0),0)</f>
        <v>0</v>
      </c>
      <c r="Z168" s="688">
        <f>IFERROR(VLOOKUP($A168,'[95]2月'!$A:$H,8,0),0)</f>
        <v>0</v>
      </c>
      <c r="AA168" s="688">
        <f>IFERROR(VLOOKUP($A168,'[95]3月'!$A:$H,8,0),0)</f>
        <v>0</v>
      </c>
      <c r="AB168" s="688">
        <f>IFERROR(VLOOKUP($A168,'[95]4月'!$A:$H,8,0),0)</f>
        <v>0</v>
      </c>
      <c r="AC168" s="688">
        <f>IFERROR(VLOOKUP($A168,'[95]5月'!$A:$H,8,0),0)</f>
        <v>0</v>
      </c>
      <c r="AD168" s="688">
        <f>IFERROR(VLOOKUP($A168,'[95]6月'!$A:$H,8,0),0)</f>
        <v>0</v>
      </c>
      <c r="AE168" s="688">
        <f>IFERROR(VLOOKUP($A168,'[95]7月'!$A:$H,8,0),0)</f>
        <v>0</v>
      </c>
      <c r="AF168" s="688">
        <f>IFERROR(VLOOKUP($A168,'[95]8月'!$A:$H,8,0),0)</f>
        <v>0</v>
      </c>
      <c r="AG168" s="688">
        <f>IFERROR(VLOOKUP($A168,'[95]9月'!$A:$H,8,0),0)</f>
        <v>0</v>
      </c>
      <c r="AH168" s="688">
        <f>IFERROR(VLOOKUP($A168,'[95]10月'!$A:$H,8,0),0)</f>
        <v>0</v>
      </c>
      <c r="AI168" s="688">
        <f>IFERROR(VLOOKUP($A168,'[95]11月'!$A:$H,8,0),0)</f>
        <v>0</v>
      </c>
      <c r="AJ168" s="688">
        <f>IFERROR(VLOOKUP($A168,'[95]12月'!$A:$H,8,0),0)</f>
        <v>0</v>
      </c>
      <c r="AK168" s="688">
        <f t="shared" si="74"/>
        <v>0</v>
      </c>
    </row>
    <row r="169" spans="1:37" ht="13.5" customHeight="1">
      <c r="A169" s="653" t="str">
        <f>'Budget-合并'!A169</f>
        <v>6603.05.02</v>
      </c>
      <c r="B169" s="653" t="str">
        <f>'Budget-合并'!B169</f>
        <v>湖南三一智慧新能源设计有限公司</v>
      </c>
      <c r="C169" s="687">
        <f>'Budget-合并'!C169</f>
        <v>0</v>
      </c>
      <c r="D169" s="676">
        <f t="shared" si="67"/>
        <v>0</v>
      </c>
      <c r="E169" s="676" t="e">
        <f t="shared" si="68"/>
        <v>#N/A</v>
      </c>
      <c r="F169" s="676" t="e">
        <f t="shared" si="69"/>
        <v>#N/A</v>
      </c>
      <c r="G169" s="676">
        <f t="shared" ca="1" si="70"/>
        <v>0</v>
      </c>
      <c r="H169" s="676" t="e">
        <f t="shared" ca="1" si="71"/>
        <v>#N/A</v>
      </c>
      <c r="I169" s="676" t="e">
        <f t="shared" ca="1" si="72"/>
        <v>#N/A</v>
      </c>
      <c r="K169" s="676"/>
      <c r="L169" s="676"/>
      <c r="M169" s="676"/>
      <c r="N169" s="676"/>
      <c r="O169" s="676"/>
      <c r="P169" s="676"/>
      <c r="Q169" s="676"/>
      <c r="R169" s="676"/>
      <c r="S169" s="676"/>
      <c r="T169" s="676"/>
      <c r="U169" s="676"/>
      <c r="V169" s="676"/>
      <c r="W169" s="676">
        <f t="shared" si="73"/>
        <v>0</v>
      </c>
      <c r="Y169" s="688">
        <f>IFERROR(VLOOKUP($A169,'[95]1月'!$A:$H,8,0),0)</f>
        <v>0</v>
      </c>
      <c r="Z169" s="688">
        <f>IFERROR(VLOOKUP($A169,'[95]2月'!$A:$H,8,0),0)</f>
        <v>0</v>
      </c>
      <c r="AA169" s="688">
        <f>IFERROR(VLOOKUP($A169,'[95]3月'!$A:$H,8,0),0)</f>
        <v>0</v>
      </c>
      <c r="AB169" s="688">
        <f>IFERROR(VLOOKUP($A169,'[95]4月'!$A:$H,8,0),0)</f>
        <v>0</v>
      </c>
      <c r="AC169" s="688">
        <f>IFERROR(VLOOKUP($A169,'[95]5月'!$A:$H,8,0),0)</f>
        <v>0</v>
      </c>
      <c r="AD169" s="688">
        <f>IFERROR(VLOOKUP($A169,'[95]6月'!$A:$H,8,0),0)</f>
        <v>0</v>
      </c>
      <c r="AE169" s="688">
        <f>IFERROR(VLOOKUP($A169,'[95]7月'!$A:$H,8,0),0)</f>
        <v>0</v>
      </c>
      <c r="AF169" s="688">
        <f>IFERROR(VLOOKUP($A169,'[95]8月'!$A:$H,8,0),0)</f>
        <v>0</v>
      </c>
      <c r="AG169" s="688">
        <f>IFERROR(VLOOKUP($A169,'[95]9月'!$A:$H,8,0),0)</f>
        <v>0</v>
      </c>
      <c r="AH169" s="688">
        <f>IFERROR(VLOOKUP($A169,'[95]10月'!$A:$H,8,0),0)</f>
        <v>0</v>
      </c>
      <c r="AI169" s="688">
        <f>IFERROR(VLOOKUP($A169,'[95]11月'!$A:$H,8,0),0)</f>
        <v>0</v>
      </c>
      <c r="AJ169" s="688">
        <f>IFERROR(VLOOKUP($A169,'[95]12月'!$A:$H,8,0),0)</f>
        <v>0</v>
      </c>
      <c r="AK169" s="688">
        <f t="shared" si="74"/>
        <v>0</v>
      </c>
    </row>
    <row r="170" spans="1:37" ht="13.5" customHeight="1">
      <c r="A170" s="653" t="str">
        <f>'Budget-合并'!A170</f>
        <v>6603.05.03</v>
      </c>
      <c r="B170" s="653" t="str">
        <f>'Budget-合并'!B170</f>
        <v>和谐天明投资管理(北京)有限公司</v>
      </c>
      <c r="C170" s="687"/>
      <c r="D170" s="676"/>
      <c r="E170" s="676" t="e">
        <f t="shared" si="68"/>
        <v>#N/A</v>
      </c>
      <c r="F170" s="676" t="e">
        <f t="shared" si="69"/>
        <v>#N/A</v>
      </c>
      <c r="G170" s="676"/>
      <c r="H170" s="676" t="e">
        <f t="shared" ca="1" si="71"/>
        <v>#N/A</v>
      </c>
      <c r="I170" s="676" t="e">
        <f t="shared" ca="1" si="72"/>
        <v>#N/A</v>
      </c>
      <c r="K170" s="676"/>
      <c r="L170" s="676"/>
      <c r="M170" s="676"/>
      <c r="N170" s="676"/>
      <c r="O170" s="676"/>
      <c r="P170" s="676"/>
      <c r="Q170" s="676"/>
      <c r="R170" s="676"/>
      <c r="S170" s="676"/>
      <c r="T170" s="676"/>
      <c r="U170" s="676"/>
      <c r="V170" s="676"/>
      <c r="W170" s="676"/>
      <c r="Y170" s="688">
        <f>IFERROR(VLOOKUP($A170,'[95]1月'!$A:$H,8,0),0)</f>
        <v>0</v>
      </c>
      <c r="Z170" s="688">
        <f>IFERROR(VLOOKUP($A170,'[95]2月'!$A:$H,8,0),0)</f>
        <v>0</v>
      </c>
      <c r="AA170" s="688">
        <f>IFERROR(VLOOKUP($A170,'[95]3月'!$A:$H,8,0),0)</f>
        <v>0</v>
      </c>
      <c r="AB170" s="688">
        <f>IFERROR(VLOOKUP($A170,'[95]4月'!$A:$H,8,0),0)</f>
        <v>0</v>
      </c>
      <c r="AC170" s="688">
        <f>IFERROR(VLOOKUP($A170,'[95]5月'!$A:$H,8,0),0)</f>
        <v>0</v>
      </c>
      <c r="AD170" s="688">
        <f>IFERROR(VLOOKUP($A170,'[95]6月'!$A:$H,8,0),0)</f>
        <v>0</v>
      </c>
      <c r="AE170" s="688">
        <f>IFERROR(VLOOKUP($A170,'[95]7月'!$A:$H,8,0),0)</f>
        <v>0</v>
      </c>
      <c r="AF170" s="688">
        <f>IFERROR(VLOOKUP($A170,'[95]8月'!$A:$H,8,0),0)</f>
        <v>0</v>
      </c>
      <c r="AG170" s="688">
        <f>IFERROR(VLOOKUP($A170,'[95]9月'!$A:$H,8,0),0)</f>
        <v>0</v>
      </c>
      <c r="AH170" s="688">
        <f>IFERROR(VLOOKUP($A170,'[95]10月'!$A:$H,8,0),0)</f>
        <v>0</v>
      </c>
      <c r="AI170" s="688">
        <f>IFERROR(VLOOKUP($A170,'[95]11月'!$A:$H,8,0),0)</f>
        <v>0</v>
      </c>
      <c r="AJ170" s="688">
        <f>IFERROR(VLOOKUP($A170,'[95]12月'!$A:$H,8,0),0)</f>
        <v>0</v>
      </c>
      <c r="AK170" s="688">
        <f t="shared" si="74"/>
        <v>0</v>
      </c>
    </row>
    <row r="171" spans="1:37" ht="13.5" customHeight="1">
      <c r="A171" s="653" t="str">
        <f>'Budget-合并'!A171</f>
        <v>6603.99</v>
      </c>
      <c r="B171" s="653" t="str">
        <f>'Budget-合并'!B171</f>
        <v>其他</v>
      </c>
      <c r="C171" s="687">
        <f>'Budget-合并'!C171</f>
        <v>0</v>
      </c>
      <c r="D171" s="676">
        <f>INDEX($K171:$V171,1,MATCH($D$6,$K$6:$V$6))</f>
        <v>0</v>
      </c>
      <c r="E171" s="676" t="e">
        <f t="shared" si="68"/>
        <v>#N/A</v>
      </c>
      <c r="F171" s="676" t="e">
        <f t="shared" si="69"/>
        <v>#N/A</v>
      </c>
      <c r="G171" s="676">
        <f ca="1">SUM($K171:OFFSET($K171,0,MATCH(G$6,$K$6:$V$6)-1))</f>
        <v>0</v>
      </c>
      <c r="H171" s="676" t="e">
        <f t="shared" ca="1" si="71"/>
        <v>#N/A</v>
      </c>
      <c r="I171" s="676" t="e">
        <f t="shared" ca="1" si="72"/>
        <v>#N/A</v>
      </c>
      <c r="K171" s="676">
        <f t="shared" ref="K171:V171" si="78">SUM(K161:K164,K168,K169)</f>
        <v>0</v>
      </c>
      <c r="L171" s="676">
        <f t="shared" si="78"/>
        <v>0</v>
      </c>
      <c r="M171" s="676">
        <f t="shared" si="78"/>
        <v>0</v>
      </c>
      <c r="N171" s="676">
        <f t="shared" si="78"/>
        <v>0</v>
      </c>
      <c r="O171" s="676">
        <f t="shared" si="78"/>
        <v>0</v>
      </c>
      <c r="P171" s="676">
        <f t="shared" si="78"/>
        <v>0</v>
      </c>
      <c r="Q171" s="676">
        <f t="shared" si="78"/>
        <v>0</v>
      </c>
      <c r="R171" s="676">
        <f t="shared" si="78"/>
        <v>0</v>
      </c>
      <c r="S171" s="676">
        <f t="shared" si="78"/>
        <v>0</v>
      </c>
      <c r="T171" s="676">
        <f t="shared" si="78"/>
        <v>0</v>
      </c>
      <c r="U171" s="676">
        <f t="shared" si="78"/>
        <v>0</v>
      </c>
      <c r="V171" s="676">
        <f t="shared" si="78"/>
        <v>0</v>
      </c>
      <c r="W171" s="676">
        <f>SUM(K171:V171)</f>
        <v>0</v>
      </c>
      <c r="Y171" s="688">
        <f>IFERROR(VLOOKUP($A171,'[95]1月'!$A:$H,8,0),0)</f>
        <v>0</v>
      </c>
      <c r="Z171" s="688">
        <f>IFERROR(VLOOKUP($A171,'[95]2月'!$A:$H,8,0),0)</f>
        <v>0</v>
      </c>
      <c r="AA171" s="688">
        <f>IFERROR(VLOOKUP($A171,'[95]3月'!$A:$H,8,0),0)</f>
        <v>0</v>
      </c>
      <c r="AB171" s="688">
        <f>IFERROR(VLOOKUP($A171,'[95]4月'!$A:$H,8,0),0)</f>
        <v>0</v>
      </c>
      <c r="AC171" s="688">
        <f>IFERROR(VLOOKUP($A171,'[95]5月'!$A:$H,8,0),0)</f>
        <v>0</v>
      </c>
      <c r="AD171" s="688">
        <f>IFERROR(VLOOKUP($A171,'[95]6月'!$A:$H,8,0),0)</f>
        <v>0</v>
      </c>
      <c r="AE171" s="688">
        <f>IFERROR(VLOOKUP($A171,'[95]7月'!$A:$H,8,0),0)</f>
        <v>0</v>
      </c>
      <c r="AF171" s="688">
        <f>IFERROR(VLOOKUP($A171,'[95]8月'!$A:$H,8,0),0)</f>
        <v>0</v>
      </c>
      <c r="AG171" s="688">
        <f>IFERROR(VLOOKUP($A171,'[95]9月'!$A:$H,8,0),0)</f>
        <v>0</v>
      </c>
      <c r="AH171" s="688">
        <f>IFERROR(VLOOKUP($A171,'[95]10月'!$A:$H,8,0),0)</f>
        <v>0</v>
      </c>
      <c r="AI171" s="688">
        <f>IFERROR(VLOOKUP($A171,'[95]11月'!$A:$H,8,0),0)</f>
        <v>0</v>
      </c>
      <c r="AJ171" s="688">
        <f>IFERROR(VLOOKUP($A171,'[95]12月'!$A:$H,8,0),0)</f>
        <v>0</v>
      </c>
      <c r="AK171" s="688">
        <f t="shared" si="74"/>
        <v>0</v>
      </c>
    </row>
    <row r="172" spans="1:37" ht="13.5" customHeight="1">
      <c r="A172" s="686">
        <f>'Budget-合并'!A172</f>
        <v>0</v>
      </c>
      <c r="B172" s="686" t="str">
        <f>'Budget-合并'!B172</f>
        <v>财务费用合计</v>
      </c>
      <c r="C172" s="687">
        <f>'Budget-合并'!C172</f>
        <v>0</v>
      </c>
      <c r="D172" s="677">
        <f>INDEX($K172:$V172,1,MATCH($D$6,$K$6:$V$6))</f>
        <v>250</v>
      </c>
      <c r="E172" s="677" t="e">
        <f t="shared" si="68"/>
        <v>#N/A</v>
      </c>
      <c r="F172" s="677" t="e">
        <f t="shared" si="69"/>
        <v>#N/A</v>
      </c>
      <c r="G172" s="677">
        <f ca="1">SUM($K172:OFFSET($K172,0,MATCH(G$6,$K$6:$V$6)-1))</f>
        <v>250</v>
      </c>
      <c r="H172" s="677" t="e">
        <f t="shared" ca="1" si="71"/>
        <v>#N/A</v>
      </c>
      <c r="I172" s="677" t="e">
        <f t="shared" ca="1" si="72"/>
        <v>#N/A</v>
      </c>
      <c r="K172" s="677">
        <f t="shared" ref="K172:W172" si="79">SUM(K156,K157,K165:K167,K171)</f>
        <v>250</v>
      </c>
      <c r="L172" s="677">
        <f t="shared" si="79"/>
        <v>250</v>
      </c>
      <c r="M172" s="677">
        <f t="shared" si="79"/>
        <v>250</v>
      </c>
      <c r="N172" s="677">
        <f t="shared" si="79"/>
        <v>250</v>
      </c>
      <c r="O172" s="677">
        <f t="shared" si="79"/>
        <v>250</v>
      </c>
      <c r="P172" s="677">
        <f t="shared" si="79"/>
        <v>250</v>
      </c>
      <c r="Q172" s="677">
        <f t="shared" si="79"/>
        <v>250</v>
      </c>
      <c r="R172" s="677">
        <f t="shared" si="79"/>
        <v>250</v>
      </c>
      <c r="S172" s="677">
        <f t="shared" si="79"/>
        <v>250</v>
      </c>
      <c r="T172" s="677">
        <f t="shared" si="79"/>
        <v>250</v>
      </c>
      <c r="U172" s="677">
        <f t="shared" si="79"/>
        <v>250</v>
      </c>
      <c r="V172" s="677">
        <f t="shared" si="79"/>
        <v>250</v>
      </c>
      <c r="W172" s="677">
        <f t="shared" si="79"/>
        <v>3000</v>
      </c>
      <c r="Y172" s="677">
        <f t="shared" ref="Y172:AK172" si="80">SUM(Y156,Y157,Y165:Y167,Y171)</f>
        <v>-81388.47</v>
      </c>
      <c r="Z172" s="677">
        <f t="shared" si="80"/>
        <v>26597.91</v>
      </c>
      <c r="AA172" s="677">
        <f t="shared" si="80"/>
        <v>30144.62</v>
      </c>
      <c r="AB172" s="677">
        <f t="shared" si="80"/>
        <v>111212</v>
      </c>
      <c r="AC172" s="677">
        <f t="shared" si="80"/>
        <v>-119816.79</v>
      </c>
      <c r="AD172" s="677">
        <f t="shared" si="80"/>
        <v>-181042.58</v>
      </c>
      <c r="AE172" s="677">
        <f t="shared" si="80"/>
        <v>-60792.89</v>
      </c>
      <c r="AF172" s="677">
        <f t="shared" si="80"/>
        <v>-150845.81</v>
      </c>
      <c r="AG172" s="677">
        <f t="shared" si="80"/>
        <v>14865.43</v>
      </c>
      <c r="AH172" s="677">
        <f t="shared" si="80"/>
        <v>-112803.77</v>
      </c>
      <c r="AI172" s="677">
        <f t="shared" si="80"/>
        <v>-61411.47</v>
      </c>
      <c r="AJ172" s="677">
        <f t="shared" si="80"/>
        <v>-327570.06</v>
      </c>
      <c r="AK172" s="677">
        <f t="shared" si="80"/>
        <v>-912851.87999999989</v>
      </c>
    </row>
    <row r="173" spans="1:37" ht="13.5" customHeight="1">
      <c r="A173" s="653">
        <f>'Budget-合并'!A173</f>
        <v>0</v>
      </c>
      <c r="B173" s="653">
        <f>'Budget-合并'!B173</f>
        <v>0</v>
      </c>
      <c r="C173" s="687">
        <f>'Budget-合并'!C173</f>
        <v>0</v>
      </c>
      <c r="K173" s="652">
        <f t="shared" ref="K173:W173" si="81">K12-K19-K141-K159+K171</f>
        <v>0</v>
      </c>
      <c r="L173" s="652">
        <f t="shared" si="81"/>
        <v>0</v>
      </c>
      <c r="M173" s="652">
        <f t="shared" si="81"/>
        <v>0</v>
      </c>
      <c r="N173" s="652">
        <f t="shared" si="81"/>
        <v>0</v>
      </c>
      <c r="O173" s="652">
        <f t="shared" si="81"/>
        <v>0</v>
      </c>
      <c r="P173" s="652">
        <f t="shared" si="81"/>
        <v>0</v>
      </c>
      <c r="Q173" s="652">
        <f t="shared" si="81"/>
        <v>0</v>
      </c>
      <c r="R173" s="652">
        <f t="shared" si="81"/>
        <v>0</v>
      </c>
      <c r="S173" s="652">
        <f t="shared" si="81"/>
        <v>0</v>
      </c>
      <c r="T173" s="652">
        <f t="shared" si="81"/>
        <v>0</v>
      </c>
      <c r="U173" s="652">
        <f t="shared" si="81"/>
        <v>0</v>
      </c>
      <c r="V173" s="652">
        <f t="shared" si="81"/>
        <v>0</v>
      </c>
      <c r="W173" s="652">
        <f t="shared" si="81"/>
        <v>0</v>
      </c>
    </row>
    <row r="174" spans="1:37" ht="13.5" customHeight="1">
      <c r="A174" s="653" t="str">
        <f>'Budget-合并'!A174</f>
        <v>6051</v>
      </c>
      <c r="B174" s="653" t="str">
        <f>'Budget-合并'!B174</f>
        <v>其他业务收入</v>
      </c>
      <c r="C174" s="687">
        <f>'Budget-合并'!C174</f>
        <v>0</v>
      </c>
      <c r="D174" s="676">
        <f t="shared" ref="D174:D183" si="82">INDEX($K174:$V174,1,MATCH($D$6,$K$6:$V$6))</f>
        <v>0</v>
      </c>
      <c r="E174" s="676" t="e">
        <f t="shared" ref="E174:E183" si="83">INDEX($Y174:$AJ174,1,MATCH($E$6,$Y$6:$AJ$6))</f>
        <v>#N/A</v>
      </c>
      <c r="F174" s="676" t="e">
        <f t="shared" ref="F174:F183" si="84">D174-E174</f>
        <v>#N/A</v>
      </c>
      <c r="G174" s="676">
        <f t="shared" ref="G174:G183" ca="1" si="85">SUM($K174:OFFSET($K174,0,MATCH(G$6,$K$6:$V$6)-1))</f>
        <v>0</v>
      </c>
      <c r="H174" s="676" t="e">
        <f t="shared" ref="H174:H183" ca="1" si="86">SUM($Y174:OFFSET($Y174,0,MATCH(H$6,$Y$6:$AJ$6)-1))</f>
        <v>#N/A</v>
      </c>
      <c r="I174" s="676" t="e">
        <f t="shared" ref="I174:I183" ca="1" si="87">G174-H174</f>
        <v>#N/A</v>
      </c>
      <c r="K174" s="676"/>
      <c r="L174" s="676"/>
      <c r="M174" s="676"/>
      <c r="N174" s="676"/>
      <c r="O174" s="676"/>
      <c r="P174" s="676"/>
      <c r="Q174" s="676"/>
      <c r="R174" s="676"/>
      <c r="S174" s="676"/>
      <c r="T174" s="676"/>
      <c r="U174" s="676"/>
      <c r="V174" s="676"/>
      <c r="W174" s="676">
        <f t="shared" ref="W174:W182" si="88">SUM(K174:V174)</f>
        <v>0</v>
      </c>
      <c r="Y174" s="688">
        <f>IFERROR(VLOOKUP($A174,'[95]1月'!$A:$H,8,0),0)</f>
        <v>0</v>
      </c>
      <c r="Z174" s="688">
        <f>IFERROR(VLOOKUP($A174,'[95]2月'!$A:$H,8,0),0)</f>
        <v>0</v>
      </c>
      <c r="AA174" s="688">
        <f>IFERROR(VLOOKUP($A174,'[95]3月'!$A:$H,8,0),0)</f>
        <v>0</v>
      </c>
      <c r="AB174" s="688">
        <f>IFERROR(VLOOKUP($A174,'[95]4月'!$A:$H,8,0),0)</f>
        <v>0</v>
      </c>
      <c r="AC174" s="688">
        <f>IFERROR(VLOOKUP($A174,'[95]5月'!$A:$H,8,0),0)</f>
        <v>0</v>
      </c>
      <c r="AD174" s="688">
        <f>IFERROR(VLOOKUP($A174,'[95]6月'!$A:$H,8,0),0)</f>
        <v>0</v>
      </c>
      <c r="AE174" s="688">
        <f>IFERROR(VLOOKUP($A174,'[95]7月'!$A:$H,8,0),0)</f>
        <v>0</v>
      </c>
      <c r="AF174" s="688">
        <f>IFERROR(VLOOKUP($A174,'[95]8月'!$A:$H,8,0),0)</f>
        <v>0</v>
      </c>
      <c r="AG174" s="688">
        <f>IFERROR(VLOOKUP($A174,'[95]9月'!$A:$H,8,0),0)</f>
        <v>0</v>
      </c>
      <c r="AH174" s="688">
        <f>IFERROR(VLOOKUP($A174,'[95]10月'!$A:$H,8,0),0)</f>
        <v>0</v>
      </c>
      <c r="AI174" s="688">
        <f>IFERROR(VLOOKUP($A174,'[95]11月'!$A:$H,8,0),0)</f>
        <v>0</v>
      </c>
      <c r="AJ174" s="688">
        <f>IFERROR(VLOOKUP($A174,'[95]12月'!$A:$H,8,0),0)</f>
        <v>0</v>
      </c>
      <c r="AK174" s="688">
        <f t="shared" ref="AK174:AK182" si="89">SUM(Y174:AJ174)</f>
        <v>0</v>
      </c>
    </row>
    <row r="175" spans="1:37" ht="13.5" customHeight="1">
      <c r="A175" s="653" t="str">
        <f>'Budget-合并'!A175</f>
        <v>6101</v>
      </c>
      <c r="B175" s="653" t="str">
        <f>'Budget-合并'!B175</f>
        <v>公允价值变动损益</v>
      </c>
      <c r="C175" s="687">
        <f>'Budget-合并'!C175</f>
        <v>0</v>
      </c>
      <c r="D175" s="676">
        <f t="shared" si="82"/>
        <v>0</v>
      </c>
      <c r="E175" s="676" t="e">
        <f t="shared" si="83"/>
        <v>#N/A</v>
      </c>
      <c r="F175" s="676" t="e">
        <f t="shared" si="84"/>
        <v>#N/A</v>
      </c>
      <c r="G175" s="676">
        <f t="shared" ca="1" si="85"/>
        <v>0</v>
      </c>
      <c r="H175" s="676" t="e">
        <f t="shared" ca="1" si="86"/>
        <v>#N/A</v>
      </c>
      <c r="I175" s="676" t="e">
        <f t="shared" ca="1" si="87"/>
        <v>#N/A</v>
      </c>
      <c r="K175" s="676"/>
      <c r="L175" s="676"/>
      <c r="M175" s="676"/>
      <c r="N175" s="676"/>
      <c r="O175" s="676"/>
      <c r="P175" s="676"/>
      <c r="Q175" s="676"/>
      <c r="R175" s="676"/>
      <c r="S175" s="676"/>
      <c r="T175" s="676"/>
      <c r="U175" s="676"/>
      <c r="V175" s="676"/>
      <c r="W175" s="676">
        <f t="shared" si="88"/>
        <v>0</v>
      </c>
      <c r="Y175" s="688">
        <f>IFERROR(VLOOKUP($A175,'[95]1月'!$A:$H,8,0),0)</f>
        <v>0</v>
      </c>
      <c r="Z175" s="688">
        <f>IFERROR(VLOOKUP($A175,'[95]2月'!$A:$H,8,0),0)</f>
        <v>0</v>
      </c>
      <c r="AA175" s="688">
        <f>IFERROR(VLOOKUP($A175,'[95]3月'!$A:$H,8,0),0)</f>
        <v>0</v>
      </c>
      <c r="AB175" s="688">
        <f>IFERROR(VLOOKUP($A175,'[95]4月'!$A:$H,8,0),0)</f>
        <v>0</v>
      </c>
      <c r="AC175" s="688">
        <f>IFERROR(VLOOKUP($A175,'[95]5月'!$A:$H,8,0),0)</f>
        <v>0</v>
      </c>
      <c r="AD175" s="688">
        <f>IFERROR(VLOOKUP($A175,'[95]6月'!$A:$H,8,0),0)</f>
        <v>0</v>
      </c>
      <c r="AE175" s="688">
        <f>IFERROR(VLOOKUP($A175,'[95]7月'!$A:$H,8,0),0)</f>
        <v>0</v>
      </c>
      <c r="AF175" s="688">
        <f>IFERROR(VLOOKUP($A175,'[95]8月'!$A:$H,8,0),0)</f>
        <v>0</v>
      </c>
      <c r="AG175" s="688">
        <f>IFERROR(VLOOKUP($A175,'[95]9月'!$A:$H,8,0),0)</f>
        <v>0</v>
      </c>
      <c r="AH175" s="688">
        <f>IFERROR(VLOOKUP($A175,'[95]10月'!$A:$H,8,0),0)</f>
        <v>0</v>
      </c>
      <c r="AI175" s="688">
        <f>IFERROR(VLOOKUP($A175,'[95]11月'!$A:$H,8,0),0)</f>
        <v>0</v>
      </c>
      <c r="AJ175" s="688">
        <f>IFERROR(VLOOKUP($A175,'[95]12月'!$A:$H,8,0),0)</f>
        <v>0</v>
      </c>
      <c r="AK175" s="688">
        <f t="shared" si="89"/>
        <v>0</v>
      </c>
    </row>
    <row r="176" spans="1:37" ht="13.5" customHeight="1">
      <c r="A176" s="653" t="str">
        <f>'Budget-合并'!A176</f>
        <v>6111</v>
      </c>
      <c r="B176" s="653" t="str">
        <f>'Budget-合并'!B176</f>
        <v>投资收益</v>
      </c>
      <c r="C176" s="687" t="str">
        <f>'Budget-合并'!C176</f>
        <v>Gain on investment</v>
      </c>
      <c r="D176" s="676">
        <f t="shared" si="82"/>
        <v>0</v>
      </c>
      <c r="E176" s="676" t="e">
        <f t="shared" si="83"/>
        <v>#N/A</v>
      </c>
      <c r="F176" s="676" t="e">
        <f t="shared" si="84"/>
        <v>#N/A</v>
      </c>
      <c r="G176" s="676">
        <f t="shared" ca="1" si="85"/>
        <v>0</v>
      </c>
      <c r="H176" s="676" t="e">
        <f t="shared" ca="1" si="86"/>
        <v>#N/A</v>
      </c>
      <c r="I176" s="676" t="e">
        <f t="shared" ca="1" si="87"/>
        <v>#N/A</v>
      </c>
      <c r="K176" s="676"/>
      <c r="L176" s="676"/>
      <c r="M176" s="676"/>
      <c r="N176" s="676"/>
      <c r="O176" s="676"/>
      <c r="P176" s="676"/>
      <c r="Q176" s="676"/>
      <c r="R176" s="676"/>
      <c r="S176" s="676"/>
      <c r="T176" s="676"/>
      <c r="U176" s="676"/>
      <c r="V176" s="676"/>
      <c r="W176" s="676">
        <f t="shared" si="88"/>
        <v>0</v>
      </c>
      <c r="Y176" s="688">
        <f>IFERROR(VLOOKUP($A176,'[95]1月'!$A:$H,8,0),0)</f>
        <v>0</v>
      </c>
      <c r="Z176" s="688">
        <f>IFERROR(VLOOKUP($A176,'[95]2月'!$A:$H,8,0),0)</f>
        <v>0</v>
      </c>
      <c r="AA176" s="688">
        <f>IFERROR(VLOOKUP($A176,'[95]3月'!$A:$H,8,0),0)</f>
        <v>0</v>
      </c>
      <c r="AB176" s="688">
        <f>IFERROR(VLOOKUP($A176,'[95]4月'!$A:$H,8,0),0)</f>
        <v>0</v>
      </c>
      <c r="AC176" s="688">
        <f>IFERROR(VLOOKUP($A176,'[95]5月'!$A:$H,8,0),0)</f>
        <v>0</v>
      </c>
      <c r="AD176" s="688">
        <f>IFERROR(VLOOKUP($A176,'[95]6月'!$A:$H,8,0),0)</f>
        <v>0</v>
      </c>
      <c r="AE176" s="688">
        <f>IFERROR(VLOOKUP($A176,'[95]7月'!$A:$H,8,0),0)</f>
        <v>0</v>
      </c>
      <c r="AF176" s="688">
        <f>IFERROR(VLOOKUP($A176,'[95]8月'!$A:$H,8,0),0)</f>
        <v>0</v>
      </c>
      <c r="AG176" s="688">
        <f>IFERROR(VLOOKUP($A176,'[95]9月'!$A:$H,8,0),0)</f>
        <v>0</v>
      </c>
      <c r="AH176" s="688">
        <f>IFERROR(VLOOKUP($A176,'[95]10月'!$A:$H,8,0),0)</f>
        <v>0</v>
      </c>
      <c r="AI176" s="688">
        <f>IFERROR(VLOOKUP($A176,'[95]11月'!$A:$H,8,0),0)</f>
        <v>0</v>
      </c>
      <c r="AJ176" s="688">
        <f>IFERROR(VLOOKUP($A176,'[95]12月'!$A:$H,8,0),0)</f>
        <v>41018</v>
      </c>
      <c r="AK176" s="688">
        <f t="shared" si="89"/>
        <v>41018</v>
      </c>
    </row>
    <row r="177" spans="1:37" ht="13.5" customHeight="1">
      <c r="A177" s="663" t="str">
        <f>'Budget-合并'!A177</f>
        <v>6115</v>
      </c>
      <c r="B177" s="663" t="str">
        <f>'Budget-合并'!B177</f>
        <v>其他收益</v>
      </c>
      <c r="C177" s="687" t="str">
        <f>'Budget-合并'!C177</f>
        <v>Other income</v>
      </c>
      <c r="D177" s="676">
        <f t="shared" si="82"/>
        <v>0</v>
      </c>
      <c r="E177" s="676" t="e">
        <f t="shared" si="83"/>
        <v>#N/A</v>
      </c>
      <c r="F177" s="676" t="e">
        <f t="shared" si="84"/>
        <v>#N/A</v>
      </c>
      <c r="G177" s="676">
        <f t="shared" ca="1" si="85"/>
        <v>0</v>
      </c>
      <c r="H177" s="676" t="e">
        <f t="shared" ca="1" si="86"/>
        <v>#N/A</v>
      </c>
      <c r="I177" s="676" t="e">
        <f t="shared" ca="1" si="87"/>
        <v>#N/A</v>
      </c>
      <c r="K177" s="676">
        <f t="shared" ref="K177:V177" si="90">SUM(K178:K180)</f>
        <v>0</v>
      </c>
      <c r="L177" s="676">
        <f t="shared" si="90"/>
        <v>0</v>
      </c>
      <c r="M177" s="676">
        <f t="shared" si="90"/>
        <v>0</v>
      </c>
      <c r="N177" s="676">
        <f t="shared" si="90"/>
        <v>0</v>
      </c>
      <c r="O177" s="676">
        <f t="shared" si="90"/>
        <v>0</v>
      </c>
      <c r="P177" s="676">
        <f t="shared" si="90"/>
        <v>0</v>
      </c>
      <c r="Q177" s="676">
        <f t="shared" si="90"/>
        <v>0</v>
      </c>
      <c r="R177" s="676">
        <f t="shared" si="90"/>
        <v>0</v>
      </c>
      <c r="S177" s="676">
        <f t="shared" si="90"/>
        <v>0</v>
      </c>
      <c r="T177" s="676">
        <f t="shared" si="90"/>
        <v>0</v>
      </c>
      <c r="U177" s="676">
        <f t="shared" si="90"/>
        <v>0</v>
      </c>
      <c r="V177" s="676">
        <f t="shared" si="90"/>
        <v>0</v>
      </c>
      <c r="W177" s="676">
        <f t="shared" si="88"/>
        <v>0</v>
      </c>
      <c r="Y177" s="688">
        <f>IFERROR(VLOOKUP($A177,'[95]1月'!$A:$H,8,0),0)</f>
        <v>0</v>
      </c>
      <c r="Z177" s="688">
        <f>IFERROR(VLOOKUP($A177,'[95]2月'!$A:$H,8,0),0)</f>
        <v>3454.28</v>
      </c>
      <c r="AA177" s="688">
        <f>IFERROR(VLOOKUP($A177,'[95]3月'!$A:$H,8,0),0)</f>
        <v>0</v>
      </c>
      <c r="AB177" s="688">
        <f>IFERROR(VLOOKUP($A177,'[95]4月'!$A:$H,8,0),0)</f>
        <v>0</v>
      </c>
      <c r="AC177" s="688">
        <f>IFERROR(VLOOKUP($A177,'[95]5月'!$A:$H,8,0),0)</f>
        <v>0</v>
      </c>
      <c r="AD177" s="688">
        <f>IFERROR(VLOOKUP($A177,'[95]6月'!$A:$H,8,0),0)</f>
        <v>0</v>
      </c>
      <c r="AE177" s="688">
        <f>IFERROR(VLOOKUP($A177,'[95]7月'!$A:$H,8,0),0)</f>
        <v>0</v>
      </c>
      <c r="AF177" s="688">
        <f>IFERROR(VLOOKUP($A177,'[95]8月'!$A:$H,8,0),0)</f>
        <v>0</v>
      </c>
      <c r="AG177" s="688">
        <f>IFERROR(VLOOKUP($A177,'[95]9月'!$A:$H,8,0),0)</f>
        <v>0</v>
      </c>
      <c r="AH177" s="688">
        <f>IFERROR(VLOOKUP($A177,'[95]10月'!$A:$H,8,0),0)</f>
        <v>0</v>
      </c>
      <c r="AI177" s="688">
        <f>IFERROR(VLOOKUP($A177,'[95]11月'!$A:$H,8,0),0)</f>
        <v>0</v>
      </c>
      <c r="AJ177" s="688">
        <f>IFERROR(VLOOKUP($A177,'[95]12月'!$A:$H,8,0),0)</f>
        <v>0</v>
      </c>
      <c r="AK177" s="688">
        <f t="shared" si="89"/>
        <v>3454.28</v>
      </c>
    </row>
    <row r="178" spans="1:37" ht="13.5" customHeight="1">
      <c r="A178" s="653" t="str">
        <f>'Budget-合并'!A178</f>
        <v>6115.01</v>
      </c>
      <c r="B178" s="653" t="str">
        <f>'Budget-合并'!B178</f>
        <v>政府补助</v>
      </c>
      <c r="C178" s="687">
        <f>'Budget-合并'!C178</f>
        <v>0</v>
      </c>
      <c r="D178" s="676">
        <f t="shared" si="82"/>
        <v>0</v>
      </c>
      <c r="E178" s="676" t="e">
        <f t="shared" si="83"/>
        <v>#N/A</v>
      </c>
      <c r="F178" s="676" t="e">
        <f t="shared" si="84"/>
        <v>#N/A</v>
      </c>
      <c r="G178" s="676">
        <f t="shared" ca="1" si="85"/>
        <v>0</v>
      </c>
      <c r="H178" s="676" t="e">
        <f t="shared" ca="1" si="86"/>
        <v>#N/A</v>
      </c>
      <c r="I178" s="676" t="e">
        <f t="shared" ca="1" si="87"/>
        <v>#N/A</v>
      </c>
      <c r="K178" s="676"/>
      <c r="L178" s="676"/>
      <c r="M178" s="676"/>
      <c r="N178" s="676"/>
      <c r="O178" s="676"/>
      <c r="P178" s="676"/>
      <c r="Q178" s="676"/>
      <c r="R178" s="676"/>
      <c r="S178" s="676"/>
      <c r="T178" s="676"/>
      <c r="U178" s="676"/>
      <c r="V178" s="676"/>
      <c r="W178" s="676">
        <f t="shared" si="88"/>
        <v>0</v>
      </c>
      <c r="Y178" s="688">
        <f>IFERROR(VLOOKUP($A178,'[95]1月'!$A:$H,8,0),0)</f>
        <v>0</v>
      </c>
      <c r="Z178" s="688">
        <f>IFERROR(VLOOKUP($A178,'[95]2月'!$A:$H,8,0),0)</f>
        <v>0</v>
      </c>
      <c r="AA178" s="688">
        <f>IFERROR(VLOOKUP($A178,'[95]3月'!$A:$H,8,0),0)</f>
        <v>0</v>
      </c>
      <c r="AB178" s="688">
        <f>IFERROR(VLOOKUP($A178,'[95]4月'!$A:$H,8,0),0)</f>
        <v>0</v>
      </c>
      <c r="AC178" s="688">
        <f>IFERROR(VLOOKUP($A178,'[95]5月'!$A:$H,8,0),0)</f>
        <v>0</v>
      </c>
      <c r="AD178" s="688">
        <f>IFERROR(VLOOKUP($A178,'[95]6月'!$A:$H,8,0),0)</f>
        <v>0</v>
      </c>
      <c r="AE178" s="688">
        <f>IFERROR(VLOOKUP($A178,'[95]7月'!$A:$H,8,0),0)</f>
        <v>0</v>
      </c>
      <c r="AF178" s="688">
        <f>IFERROR(VLOOKUP($A178,'[95]8月'!$A:$H,8,0),0)</f>
        <v>0</v>
      </c>
      <c r="AG178" s="688">
        <f>IFERROR(VLOOKUP($A178,'[95]9月'!$A:$H,8,0),0)</f>
        <v>0</v>
      </c>
      <c r="AH178" s="688">
        <f>IFERROR(VLOOKUP($A178,'[95]10月'!$A:$H,8,0),0)</f>
        <v>0</v>
      </c>
      <c r="AI178" s="688">
        <f>IFERROR(VLOOKUP($A178,'[95]11月'!$A:$H,8,0),0)</f>
        <v>0</v>
      </c>
      <c r="AJ178" s="688">
        <f>IFERROR(VLOOKUP($A178,'[95]12月'!$A:$H,8,0),0)</f>
        <v>0</v>
      </c>
      <c r="AK178" s="688">
        <f t="shared" si="89"/>
        <v>0</v>
      </c>
    </row>
    <row r="179" spans="1:37" ht="13.5" customHeight="1">
      <c r="A179" s="653" t="str">
        <f>'Budget-合并'!A179</f>
        <v>6115.02</v>
      </c>
      <c r="B179" s="653" t="str">
        <f>'Budget-合并'!B179</f>
        <v>个税手续费返还</v>
      </c>
      <c r="C179" s="687">
        <f>'Budget-合并'!C179</f>
        <v>0</v>
      </c>
      <c r="D179" s="676">
        <f t="shared" si="82"/>
        <v>0</v>
      </c>
      <c r="E179" s="676" t="e">
        <f t="shared" si="83"/>
        <v>#N/A</v>
      </c>
      <c r="F179" s="676" t="e">
        <f t="shared" si="84"/>
        <v>#N/A</v>
      </c>
      <c r="G179" s="676">
        <f t="shared" ca="1" si="85"/>
        <v>0</v>
      </c>
      <c r="H179" s="676" t="e">
        <f t="shared" ca="1" si="86"/>
        <v>#N/A</v>
      </c>
      <c r="I179" s="676" t="e">
        <f t="shared" ca="1" si="87"/>
        <v>#N/A</v>
      </c>
      <c r="K179" s="676"/>
      <c r="L179" s="676"/>
      <c r="M179" s="676"/>
      <c r="N179" s="676"/>
      <c r="O179" s="676"/>
      <c r="P179" s="676"/>
      <c r="Q179" s="676"/>
      <c r="R179" s="676"/>
      <c r="S179" s="676"/>
      <c r="T179" s="676"/>
      <c r="U179" s="676"/>
      <c r="V179" s="676"/>
      <c r="W179" s="676">
        <f t="shared" si="88"/>
        <v>0</v>
      </c>
      <c r="Y179" s="688">
        <f>IFERROR(VLOOKUP($A179,'[95]1月'!$A:$H,8,0),0)</f>
        <v>0</v>
      </c>
      <c r="Z179" s="688">
        <f>IFERROR(VLOOKUP($A179,'[95]2月'!$A:$H,8,0),0)</f>
        <v>3454.28</v>
      </c>
      <c r="AA179" s="688">
        <f>IFERROR(VLOOKUP($A179,'[95]3月'!$A:$H,8,0),0)</f>
        <v>0</v>
      </c>
      <c r="AB179" s="688">
        <f>IFERROR(VLOOKUP($A179,'[95]4月'!$A:$H,8,0),0)</f>
        <v>0</v>
      </c>
      <c r="AC179" s="688">
        <f>IFERROR(VLOOKUP($A179,'[95]5月'!$A:$H,8,0),0)</f>
        <v>0</v>
      </c>
      <c r="AD179" s="688">
        <f>IFERROR(VLOOKUP($A179,'[95]6月'!$A:$H,8,0),0)</f>
        <v>0</v>
      </c>
      <c r="AE179" s="688">
        <f>IFERROR(VLOOKUP($A179,'[95]7月'!$A:$H,8,0),0)</f>
        <v>0</v>
      </c>
      <c r="AF179" s="688">
        <f>IFERROR(VLOOKUP($A179,'[95]8月'!$A:$H,8,0),0)</f>
        <v>0</v>
      </c>
      <c r="AG179" s="688">
        <f>IFERROR(VLOOKUP($A179,'[95]9月'!$A:$H,8,0),0)</f>
        <v>0</v>
      </c>
      <c r="AH179" s="688">
        <f>IFERROR(VLOOKUP($A179,'[95]10月'!$A:$H,8,0),0)</f>
        <v>0</v>
      </c>
      <c r="AI179" s="688">
        <f>IFERROR(VLOOKUP($A179,'[95]11月'!$A:$H,8,0),0)</f>
        <v>0</v>
      </c>
      <c r="AJ179" s="688">
        <f>IFERROR(VLOOKUP($A179,'[95]12月'!$A:$H,8,0),0)</f>
        <v>0</v>
      </c>
      <c r="AK179" s="688">
        <f t="shared" si="89"/>
        <v>3454.28</v>
      </c>
    </row>
    <row r="180" spans="1:37" ht="13.5" customHeight="1">
      <c r="A180" s="653" t="str">
        <f>'Budget-合并'!A180</f>
        <v>6115.99</v>
      </c>
      <c r="B180" s="653" t="str">
        <f>'Budget-合并'!B180</f>
        <v>其他</v>
      </c>
      <c r="C180" s="687">
        <f>'Budget-合并'!C180</f>
        <v>0</v>
      </c>
      <c r="D180" s="676">
        <f t="shared" si="82"/>
        <v>0</v>
      </c>
      <c r="E180" s="676" t="e">
        <f t="shared" si="83"/>
        <v>#N/A</v>
      </c>
      <c r="F180" s="676" t="e">
        <f t="shared" si="84"/>
        <v>#N/A</v>
      </c>
      <c r="G180" s="676">
        <f t="shared" ca="1" si="85"/>
        <v>0</v>
      </c>
      <c r="H180" s="676" t="e">
        <f t="shared" ca="1" si="86"/>
        <v>#N/A</v>
      </c>
      <c r="I180" s="676" t="e">
        <f t="shared" ca="1" si="87"/>
        <v>#N/A</v>
      </c>
      <c r="K180" s="676"/>
      <c r="L180" s="676"/>
      <c r="M180" s="676"/>
      <c r="N180" s="676"/>
      <c r="O180" s="676"/>
      <c r="P180" s="676"/>
      <c r="Q180" s="676"/>
      <c r="R180" s="676"/>
      <c r="S180" s="676"/>
      <c r="T180" s="676"/>
      <c r="U180" s="676"/>
      <c r="V180" s="676"/>
      <c r="W180" s="676">
        <f t="shared" si="88"/>
        <v>0</v>
      </c>
      <c r="Y180" s="688">
        <f>IFERROR(VLOOKUP($A180,'[95]1月'!$A:$H,8,0),0)</f>
        <v>0</v>
      </c>
      <c r="Z180" s="688">
        <f>IFERROR(VLOOKUP($A180,'[95]2月'!$A:$H,8,0),0)</f>
        <v>0</v>
      </c>
      <c r="AA180" s="688">
        <f>IFERROR(VLOOKUP($A180,'[95]3月'!$A:$H,8,0),0)</f>
        <v>0</v>
      </c>
      <c r="AB180" s="688">
        <f>IFERROR(VLOOKUP($A180,'[95]4月'!$A:$H,8,0),0)</f>
        <v>0</v>
      </c>
      <c r="AC180" s="688">
        <f>IFERROR(VLOOKUP($A180,'[95]5月'!$A:$H,8,0),0)</f>
        <v>0</v>
      </c>
      <c r="AD180" s="688">
        <f>IFERROR(VLOOKUP($A180,'[95]6月'!$A:$H,8,0),0)</f>
        <v>0</v>
      </c>
      <c r="AE180" s="688">
        <f>IFERROR(VLOOKUP($A180,'[95]7月'!$A:$H,8,0),0)</f>
        <v>0</v>
      </c>
      <c r="AF180" s="688">
        <f>IFERROR(VLOOKUP($A180,'[95]8月'!$A:$H,8,0),0)</f>
        <v>0</v>
      </c>
      <c r="AG180" s="688">
        <f>IFERROR(VLOOKUP($A180,'[95]9月'!$A:$H,8,0),0)</f>
        <v>0</v>
      </c>
      <c r="AH180" s="688">
        <f>IFERROR(VLOOKUP($A180,'[95]10月'!$A:$H,8,0),0)</f>
        <v>0</v>
      </c>
      <c r="AI180" s="688">
        <f>IFERROR(VLOOKUP($A180,'[95]11月'!$A:$H,8,0),0)</f>
        <v>0</v>
      </c>
      <c r="AJ180" s="688">
        <f>IFERROR(VLOOKUP($A180,'[95]12月'!$A:$H,8,0),0)</f>
        <v>0</v>
      </c>
      <c r="AK180" s="688">
        <f t="shared" si="89"/>
        <v>0</v>
      </c>
    </row>
    <row r="181" spans="1:37" ht="13.5" customHeight="1">
      <c r="A181" s="653" t="str">
        <f>'Budget-合并'!A181</f>
        <v>6117</v>
      </c>
      <c r="B181" s="653" t="str">
        <f>'Budget-合并'!B181</f>
        <v>资产处置损益</v>
      </c>
      <c r="C181" s="687">
        <f>'Budget-合并'!C181</f>
        <v>0</v>
      </c>
      <c r="D181" s="676">
        <f t="shared" si="82"/>
        <v>0</v>
      </c>
      <c r="E181" s="676" t="e">
        <f t="shared" si="83"/>
        <v>#N/A</v>
      </c>
      <c r="F181" s="676" t="e">
        <f t="shared" si="84"/>
        <v>#N/A</v>
      </c>
      <c r="G181" s="676">
        <f t="shared" ca="1" si="85"/>
        <v>0</v>
      </c>
      <c r="H181" s="676" t="e">
        <f t="shared" ca="1" si="86"/>
        <v>#N/A</v>
      </c>
      <c r="I181" s="676" t="e">
        <f t="shared" ca="1" si="87"/>
        <v>#N/A</v>
      </c>
      <c r="K181" s="676"/>
      <c r="L181" s="676"/>
      <c r="M181" s="676"/>
      <c r="N181" s="676"/>
      <c r="O181" s="676"/>
      <c r="P181" s="676"/>
      <c r="Q181" s="676"/>
      <c r="R181" s="676"/>
      <c r="S181" s="676"/>
      <c r="T181" s="676"/>
      <c r="U181" s="676"/>
      <c r="V181" s="676"/>
      <c r="W181" s="676">
        <f t="shared" si="88"/>
        <v>0</v>
      </c>
      <c r="Y181" s="688">
        <f>IFERROR(VLOOKUP($A181,'[95]1月'!$A:$H,8,0),0)</f>
        <v>0</v>
      </c>
      <c r="Z181" s="688">
        <f>IFERROR(VLOOKUP($A181,'[95]2月'!$A:$H,8,0),0)</f>
        <v>0</v>
      </c>
      <c r="AA181" s="688">
        <f>IFERROR(VLOOKUP($A181,'[95]3月'!$A:$H,8,0),0)</f>
        <v>0</v>
      </c>
      <c r="AB181" s="688">
        <f>IFERROR(VLOOKUP($A181,'[95]4月'!$A:$H,8,0),0)</f>
        <v>0</v>
      </c>
      <c r="AC181" s="688">
        <f>IFERROR(VLOOKUP($A181,'[95]5月'!$A:$H,8,0),0)</f>
        <v>0</v>
      </c>
      <c r="AD181" s="688">
        <f>IFERROR(VLOOKUP($A181,'[95]6月'!$A:$H,8,0),0)</f>
        <v>0</v>
      </c>
      <c r="AE181" s="688">
        <f>IFERROR(VLOOKUP($A181,'[95]7月'!$A:$H,8,0),0)</f>
        <v>0</v>
      </c>
      <c r="AF181" s="688">
        <f>IFERROR(VLOOKUP($A181,'[95]8月'!$A:$H,8,0),0)</f>
        <v>0</v>
      </c>
      <c r="AG181" s="688">
        <f>IFERROR(VLOOKUP($A181,'[95]9月'!$A:$H,8,0),0)</f>
        <v>0</v>
      </c>
      <c r="AH181" s="688">
        <f>IFERROR(VLOOKUP($A181,'[95]10月'!$A:$H,8,0),0)</f>
        <v>0</v>
      </c>
      <c r="AI181" s="688">
        <f>IFERROR(VLOOKUP($A181,'[95]11月'!$A:$H,8,0),0)</f>
        <v>0</v>
      </c>
      <c r="AJ181" s="688">
        <f>IFERROR(VLOOKUP($A181,'[95]12月'!$A:$H,8,0),0)</f>
        <v>0</v>
      </c>
      <c r="AK181" s="688">
        <f t="shared" si="89"/>
        <v>0</v>
      </c>
    </row>
    <row r="182" spans="1:37" ht="13.5" customHeight="1">
      <c r="A182" s="653" t="str">
        <f>'Budget-合并'!A182</f>
        <v>6118</v>
      </c>
      <c r="B182" s="653" t="str">
        <f>'Budget-合并'!B182</f>
        <v>净敞口套期损益</v>
      </c>
      <c r="C182" s="687">
        <f>'Budget-合并'!C182</f>
        <v>0</v>
      </c>
      <c r="D182" s="676">
        <f t="shared" si="82"/>
        <v>0</v>
      </c>
      <c r="E182" s="676" t="e">
        <f t="shared" si="83"/>
        <v>#N/A</v>
      </c>
      <c r="F182" s="676" t="e">
        <f t="shared" si="84"/>
        <v>#N/A</v>
      </c>
      <c r="G182" s="676">
        <f t="shared" ca="1" si="85"/>
        <v>0</v>
      </c>
      <c r="H182" s="676" t="e">
        <f t="shared" ca="1" si="86"/>
        <v>#N/A</v>
      </c>
      <c r="I182" s="676" t="e">
        <f t="shared" ca="1" si="87"/>
        <v>#N/A</v>
      </c>
      <c r="K182" s="676"/>
      <c r="L182" s="676"/>
      <c r="M182" s="676"/>
      <c r="N182" s="676"/>
      <c r="O182" s="676"/>
      <c r="P182" s="676"/>
      <c r="Q182" s="676"/>
      <c r="R182" s="676"/>
      <c r="S182" s="676"/>
      <c r="T182" s="676"/>
      <c r="U182" s="676"/>
      <c r="V182" s="676"/>
      <c r="W182" s="676">
        <f t="shared" si="88"/>
        <v>0</v>
      </c>
      <c r="Y182" s="688">
        <f>IFERROR(VLOOKUP($A182,'[95]1月'!$A:$H,8,0),0)</f>
        <v>0</v>
      </c>
      <c r="Z182" s="688">
        <f>IFERROR(VLOOKUP($A182,'[95]2月'!$A:$H,8,0),0)</f>
        <v>0</v>
      </c>
      <c r="AA182" s="688">
        <f>IFERROR(VLOOKUP($A182,'[95]3月'!$A:$H,8,0),0)</f>
        <v>0</v>
      </c>
      <c r="AB182" s="688">
        <f>IFERROR(VLOOKUP($A182,'[95]4月'!$A:$H,8,0),0)</f>
        <v>0</v>
      </c>
      <c r="AC182" s="688">
        <f>IFERROR(VLOOKUP($A182,'[95]5月'!$A:$H,8,0),0)</f>
        <v>0</v>
      </c>
      <c r="AD182" s="688">
        <f>IFERROR(VLOOKUP($A182,'[95]6月'!$A:$H,8,0),0)</f>
        <v>0</v>
      </c>
      <c r="AE182" s="688">
        <f>IFERROR(VLOOKUP($A182,'[95]7月'!$A:$H,8,0),0)</f>
        <v>0</v>
      </c>
      <c r="AF182" s="688">
        <f>IFERROR(VLOOKUP($A182,'[95]8月'!$A:$H,8,0),0)</f>
        <v>0</v>
      </c>
      <c r="AG182" s="688">
        <f>IFERROR(VLOOKUP($A182,'[95]9月'!$A:$H,8,0),0)</f>
        <v>0</v>
      </c>
      <c r="AH182" s="688">
        <f>IFERROR(VLOOKUP($A182,'[95]10月'!$A:$H,8,0),0)</f>
        <v>0</v>
      </c>
      <c r="AI182" s="688">
        <f>IFERROR(VLOOKUP($A182,'[95]11月'!$A:$H,8,0),0)</f>
        <v>0</v>
      </c>
      <c r="AJ182" s="688">
        <f>IFERROR(VLOOKUP($A182,'[95]12月'!$A:$H,8,0),0)</f>
        <v>0</v>
      </c>
      <c r="AK182" s="688">
        <f t="shared" si="89"/>
        <v>0</v>
      </c>
    </row>
    <row r="183" spans="1:37" ht="13.5" customHeight="1">
      <c r="A183" s="686">
        <f>'Budget-合并'!A183</f>
        <v>0</v>
      </c>
      <c r="B183" s="686" t="str">
        <f>'Budget-合并'!B183</f>
        <v>其他收益合计</v>
      </c>
      <c r="C183" s="687">
        <f>'Budget-合并'!C183</f>
        <v>0</v>
      </c>
      <c r="D183" s="677">
        <f t="shared" si="82"/>
        <v>0</v>
      </c>
      <c r="E183" s="677" t="e">
        <f t="shared" si="83"/>
        <v>#N/A</v>
      </c>
      <c r="F183" s="677" t="e">
        <f t="shared" si="84"/>
        <v>#N/A</v>
      </c>
      <c r="G183" s="677">
        <f t="shared" ca="1" si="85"/>
        <v>0</v>
      </c>
      <c r="H183" s="677" t="e">
        <f t="shared" ca="1" si="86"/>
        <v>#N/A</v>
      </c>
      <c r="I183" s="677" t="e">
        <f t="shared" ca="1" si="87"/>
        <v>#N/A</v>
      </c>
      <c r="K183" s="677">
        <f t="shared" ref="K183:W183" si="91">SUM(K174,K174:K177,K181:K182)</f>
        <v>0</v>
      </c>
      <c r="L183" s="677">
        <f t="shared" si="91"/>
        <v>0</v>
      </c>
      <c r="M183" s="677">
        <f t="shared" si="91"/>
        <v>0</v>
      </c>
      <c r="N183" s="677">
        <f t="shared" si="91"/>
        <v>0</v>
      </c>
      <c r="O183" s="677">
        <f t="shared" si="91"/>
        <v>0</v>
      </c>
      <c r="P183" s="677">
        <f t="shared" si="91"/>
        <v>0</v>
      </c>
      <c r="Q183" s="677">
        <f t="shared" si="91"/>
        <v>0</v>
      </c>
      <c r="R183" s="677">
        <f t="shared" si="91"/>
        <v>0</v>
      </c>
      <c r="S183" s="677">
        <f t="shared" si="91"/>
        <v>0</v>
      </c>
      <c r="T183" s="677">
        <f t="shared" si="91"/>
        <v>0</v>
      </c>
      <c r="U183" s="677">
        <f t="shared" si="91"/>
        <v>0</v>
      </c>
      <c r="V183" s="677">
        <f t="shared" si="91"/>
        <v>0</v>
      </c>
      <c r="W183" s="677">
        <f t="shared" si="91"/>
        <v>0</v>
      </c>
      <c r="Y183" s="677">
        <f t="shared" ref="Y183:AK183" si="92">SUM(Y174,Y174:Y177,Y181:Y182)</f>
        <v>0</v>
      </c>
      <c r="Z183" s="677">
        <f t="shared" si="92"/>
        <v>3454.28</v>
      </c>
      <c r="AA183" s="677">
        <f t="shared" si="92"/>
        <v>0</v>
      </c>
      <c r="AB183" s="677">
        <f t="shared" si="92"/>
        <v>0</v>
      </c>
      <c r="AC183" s="677">
        <f t="shared" si="92"/>
        <v>0</v>
      </c>
      <c r="AD183" s="677">
        <f t="shared" si="92"/>
        <v>0</v>
      </c>
      <c r="AE183" s="677">
        <f t="shared" si="92"/>
        <v>0</v>
      </c>
      <c r="AF183" s="677">
        <f t="shared" si="92"/>
        <v>0</v>
      </c>
      <c r="AG183" s="677">
        <f t="shared" si="92"/>
        <v>0</v>
      </c>
      <c r="AH183" s="677">
        <f t="shared" si="92"/>
        <v>0</v>
      </c>
      <c r="AI183" s="677">
        <f t="shared" si="92"/>
        <v>0</v>
      </c>
      <c r="AJ183" s="677">
        <f t="shared" si="92"/>
        <v>41018</v>
      </c>
      <c r="AK183" s="677">
        <f t="shared" si="92"/>
        <v>44472.28</v>
      </c>
    </row>
    <row r="184" spans="1:37" ht="13.5" customHeight="1">
      <c r="A184" s="653">
        <f>'Budget-合并'!A184</f>
        <v>0</v>
      </c>
      <c r="B184" s="653">
        <f>'Budget-合并'!B184</f>
        <v>0</v>
      </c>
      <c r="C184" s="687">
        <f>'Budget-合并'!C184</f>
        <v>0</v>
      </c>
      <c r="W184" s="652">
        <f t="shared" ref="W184:W198" si="93">SUM(K184:V184)</f>
        <v>0</v>
      </c>
    </row>
    <row r="185" spans="1:37" ht="13.5" customHeight="1">
      <c r="A185" s="686">
        <f>'Budget-合并'!A185</f>
        <v>0</v>
      </c>
      <c r="B185" s="686" t="str">
        <f>'Budget-合并'!B185</f>
        <v>营业利润</v>
      </c>
      <c r="C185" s="687">
        <f>'Budget-合并'!C185</f>
        <v>0</v>
      </c>
      <c r="D185" s="677">
        <f>INDEX($K185:$V185,1,MATCH($D$6,$K$6:$V$6))</f>
        <v>-891.66666666666674</v>
      </c>
      <c r="E185" s="677" t="e">
        <f t="shared" ref="E185:E198" si="94">INDEX($Y185:$AJ185,1,MATCH($E$6,$Y$6:$AJ$6))</f>
        <v>#N/A</v>
      </c>
      <c r="F185" s="677" t="e">
        <f t="shared" ref="F185:F199" si="95">D185-E185</f>
        <v>#N/A</v>
      </c>
      <c r="G185" s="677">
        <f t="shared" ref="G185:G199" ca="1" si="96">SUM($K185:OFFSET($K185,0,MATCH(G$6,$K$6:$V$6)-1))</f>
        <v>-891.66666666666674</v>
      </c>
      <c r="H185" s="677" t="e">
        <f t="shared" ref="H185:H199" ca="1" si="97">SUM($Y185:OFFSET($Y185,0,MATCH(H$6,$Y$6:$AJ$6)-1))</f>
        <v>#N/A</v>
      </c>
      <c r="I185" s="677" t="e">
        <f t="shared" ref="I185:I198" ca="1" si="98">G185-H185</f>
        <v>#N/A</v>
      </c>
      <c r="K185" s="677">
        <f t="shared" ref="K185:V185" si="99">K12-K19-K42-K153-K172+K183</f>
        <v>-891.66666666666674</v>
      </c>
      <c r="L185" s="677">
        <f t="shared" si="99"/>
        <v>-891.66666666666674</v>
      </c>
      <c r="M185" s="677">
        <f t="shared" si="99"/>
        <v>-891.66666666666674</v>
      </c>
      <c r="N185" s="677">
        <f t="shared" si="99"/>
        <v>-891.66666666666674</v>
      </c>
      <c r="O185" s="677">
        <f t="shared" si="99"/>
        <v>-891.66666666666674</v>
      </c>
      <c r="P185" s="677">
        <f t="shared" si="99"/>
        <v>-52761.666666666664</v>
      </c>
      <c r="Q185" s="677">
        <f t="shared" si="99"/>
        <v>-891.66666666666674</v>
      </c>
      <c r="R185" s="677">
        <f t="shared" si="99"/>
        <v>-891.66666666666674</v>
      </c>
      <c r="S185" s="677">
        <f t="shared" si="99"/>
        <v>-891.66666666666674</v>
      </c>
      <c r="T185" s="677">
        <f t="shared" si="99"/>
        <v>-891.66666666666674</v>
      </c>
      <c r="U185" s="677">
        <f t="shared" si="99"/>
        <v>-891.66666666666674</v>
      </c>
      <c r="V185" s="677">
        <f t="shared" si="99"/>
        <v>-50891.666666666664</v>
      </c>
      <c r="W185" s="5">
        <f t="shared" si="93"/>
        <v>-112569.99999999999</v>
      </c>
      <c r="Y185" s="677">
        <f t="shared" ref="Y185:AK185" si="100">Y12-Y19-Y42-Y153-Y172+Y183</f>
        <v>75652.44</v>
      </c>
      <c r="Z185" s="677">
        <f t="shared" si="100"/>
        <v>-28885.66</v>
      </c>
      <c r="AA185" s="677">
        <f t="shared" si="100"/>
        <v>-55880.649999999994</v>
      </c>
      <c r="AB185" s="677">
        <f t="shared" si="100"/>
        <v>-116950.57</v>
      </c>
      <c r="AC185" s="677">
        <f t="shared" si="100"/>
        <v>115842.71999999999</v>
      </c>
      <c r="AD185" s="677">
        <f t="shared" si="100"/>
        <v>175286.90999999997</v>
      </c>
      <c r="AE185" s="677">
        <f t="shared" si="100"/>
        <v>58082.18</v>
      </c>
      <c r="AF185" s="677">
        <f t="shared" si="100"/>
        <v>150680.46</v>
      </c>
      <c r="AG185" s="677">
        <f t="shared" si="100"/>
        <v>-15282.1</v>
      </c>
      <c r="AH185" s="677">
        <f t="shared" si="100"/>
        <v>112387.1</v>
      </c>
      <c r="AI185" s="677">
        <f t="shared" si="100"/>
        <v>60994.8</v>
      </c>
      <c r="AJ185" s="677">
        <f t="shared" si="100"/>
        <v>348171.39</v>
      </c>
      <c r="AK185" s="677">
        <f t="shared" si="100"/>
        <v>880099.0199999999</v>
      </c>
    </row>
    <row r="186" spans="1:37" ht="13.5" customHeight="1">
      <c r="A186" s="653">
        <f>'Budget-合并'!A186</f>
        <v>0</v>
      </c>
      <c r="B186" s="653">
        <f>'Budget-合并'!B186</f>
        <v>0</v>
      </c>
      <c r="C186" s="687">
        <f>'Budget-合并'!C186</f>
        <v>0</v>
      </c>
    </row>
    <row r="187" spans="1:37" ht="13.5" customHeight="1">
      <c r="A187" s="653" t="str">
        <f>'Budget-合并'!A187</f>
        <v>6301</v>
      </c>
      <c r="B187" s="653" t="str">
        <f>'Budget-合并'!B187</f>
        <v>营业外收入</v>
      </c>
      <c r="C187" s="687">
        <f>'Budget-合并'!C187</f>
        <v>0</v>
      </c>
      <c r="D187" s="676">
        <f t="shared" ref="D187:D199" si="101">INDEX($K187:$V187,1,MATCH($D$6,$K$6:$V$6))</f>
        <v>0</v>
      </c>
      <c r="E187" s="676" t="e">
        <f t="shared" si="94"/>
        <v>#N/A</v>
      </c>
      <c r="F187" s="676" t="e">
        <f t="shared" si="95"/>
        <v>#N/A</v>
      </c>
      <c r="G187" s="676">
        <f t="shared" ca="1" si="96"/>
        <v>0</v>
      </c>
      <c r="H187" s="676" t="e">
        <f t="shared" ca="1" si="97"/>
        <v>#N/A</v>
      </c>
      <c r="I187" s="676" t="e">
        <f t="shared" ca="1" si="98"/>
        <v>#N/A</v>
      </c>
      <c r="K187" s="676">
        <f t="shared" ref="K187:V187" si="102">SUM(K188:K192)</f>
        <v>0</v>
      </c>
      <c r="L187" s="676">
        <f t="shared" si="102"/>
        <v>0</v>
      </c>
      <c r="M187" s="676">
        <f t="shared" si="102"/>
        <v>0</v>
      </c>
      <c r="N187" s="676">
        <f t="shared" si="102"/>
        <v>0</v>
      </c>
      <c r="O187" s="676">
        <f t="shared" si="102"/>
        <v>0</v>
      </c>
      <c r="P187" s="676">
        <f t="shared" si="102"/>
        <v>0</v>
      </c>
      <c r="Q187" s="676">
        <f t="shared" si="102"/>
        <v>0</v>
      </c>
      <c r="R187" s="676">
        <f t="shared" si="102"/>
        <v>0</v>
      </c>
      <c r="S187" s="676">
        <f t="shared" si="102"/>
        <v>0</v>
      </c>
      <c r="T187" s="676">
        <f t="shared" si="102"/>
        <v>0</v>
      </c>
      <c r="U187" s="676">
        <f t="shared" si="102"/>
        <v>0</v>
      </c>
      <c r="V187" s="676">
        <f t="shared" si="102"/>
        <v>0</v>
      </c>
      <c r="W187" s="676">
        <f t="shared" si="93"/>
        <v>0</v>
      </c>
      <c r="Y187" s="688">
        <f>IFERROR(VLOOKUP($A187,'[95]1月'!$A:$H,8,0),0)</f>
        <v>1131.28</v>
      </c>
      <c r="Z187" s="688">
        <f>IFERROR(VLOOKUP($A187,'[95]2月'!$A:$H,8,0),0)</f>
        <v>0</v>
      </c>
      <c r="AA187" s="688">
        <f>IFERROR(VLOOKUP($A187,'[95]3月'!$A:$H,8,0),0)</f>
        <v>0</v>
      </c>
      <c r="AB187" s="688">
        <f>IFERROR(VLOOKUP($A187,'[95]4月'!$A:$H,8,0),0)</f>
        <v>0</v>
      </c>
      <c r="AC187" s="688">
        <f>IFERROR(VLOOKUP($A187,'[95]5月'!$A:$H,8,0),0)</f>
        <v>0</v>
      </c>
      <c r="AD187" s="688">
        <f>IFERROR(VLOOKUP($A187,'[95]6月'!$A:$H,8,0),0)</f>
        <v>0</v>
      </c>
      <c r="AE187" s="688">
        <f>IFERROR(VLOOKUP($A187,'[95]7月'!$A:$H,8,0),0)</f>
        <v>0</v>
      </c>
      <c r="AF187" s="688">
        <f>IFERROR(VLOOKUP($A187,'[95]8月'!$A:$H,8,0),0)</f>
        <v>0</v>
      </c>
      <c r="AG187" s="688">
        <f>IFERROR(VLOOKUP($A187,'[95]9月'!$A:$H,8,0),0)</f>
        <v>0</v>
      </c>
      <c r="AH187" s="688">
        <f>IFERROR(VLOOKUP($A187,'[95]10月'!$A:$H,8,0),0)</f>
        <v>0</v>
      </c>
      <c r="AI187" s="688">
        <f>IFERROR(VLOOKUP($A187,'[95]11月'!$A:$H,8,0),0)</f>
        <v>0</v>
      </c>
      <c r="AJ187" s="688">
        <f>IFERROR(VLOOKUP($A187,'[95]12月'!$A:$H,8,0),0)</f>
        <v>0</v>
      </c>
      <c r="AK187" s="688">
        <f t="shared" ref="AK187:AK198" si="103">SUM(Y187:AJ187)</f>
        <v>1131.28</v>
      </c>
    </row>
    <row r="188" spans="1:37" ht="13.5" customHeight="1">
      <c r="A188" s="653" t="str">
        <f>'Budget-合并'!A188</f>
        <v>6301.01</v>
      </c>
      <c r="B188" s="653" t="str">
        <f>'Budget-合并'!B188</f>
        <v>非流动资产处置利得</v>
      </c>
      <c r="C188" s="687">
        <f>'Budget-合并'!C188</f>
        <v>0</v>
      </c>
      <c r="D188" s="676">
        <f t="shared" si="101"/>
        <v>0</v>
      </c>
      <c r="E188" s="676" t="e">
        <f t="shared" si="94"/>
        <v>#N/A</v>
      </c>
      <c r="F188" s="676" t="e">
        <f t="shared" si="95"/>
        <v>#N/A</v>
      </c>
      <c r="G188" s="676">
        <f t="shared" ca="1" si="96"/>
        <v>0</v>
      </c>
      <c r="H188" s="676" t="e">
        <f t="shared" ca="1" si="97"/>
        <v>#N/A</v>
      </c>
      <c r="I188" s="676" t="e">
        <f t="shared" ca="1" si="98"/>
        <v>#N/A</v>
      </c>
      <c r="K188" s="676"/>
      <c r="L188" s="676"/>
      <c r="M188" s="676"/>
      <c r="N188" s="676"/>
      <c r="O188" s="676"/>
      <c r="P188" s="676"/>
      <c r="Q188" s="676"/>
      <c r="R188" s="676"/>
      <c r="S188" s="676"/>
      <c r="T188" s="676"/>
      <c r="U188" s="676"/>
      <c r="V188" s="676"/>
      <c r="W188" s="676">
        <f t="shared" si="93"/>
        <v>0</v>
      </c>
      <c r="Y188" s="688">
        <f>IFERROR(VLOOKUP($A188,'[95]1月'!$A:$H,8,0),0)</f>
        <v>0</v>
      </c>
      <c r="Z188" s="688">
        <f>IFERROR(VLOOKUP($A188,'[95]2月'!$A:$H,8,0),0)</f>
        <v>0</v>
      </c>
      <c r="AA188" s="688">
        <f>IFERROR(VLOOKUP($A188,'[95]3月'!$A:$H,8,0),0)</f>
        <v>0</v>
      </c>
      <c r="AB188" s="688">
        <f>IFERROR(VLOOKUP($A188,'[95]4月'!$A:$H,8,0),0)</f>
        <v>0</v>
      </c>
      <c r="AC188" s="688">
        <f>IFERROR(VLOOKUP($A188,'[95]5月'!$A:$H,8,0),0)</f>
        <v>0</v>
      </c>
      <c r="AD188" s="688">
        <f>IFERROR(VLOOKUP($A188,'[95]6月'!$A:$H,8,0),0)</f>
        <v>0</v>
      </c>
      <c r="AE188" s="688">
        <f>IFERROR(VLOOKUP($A188,'[95]7月'!$A:$H,8,0),0)</f>
        <v>0</v>
      </c>
      <c r="AF188" s="688">
        <f>IFERROR(VLOOKUP($A188,'[95]8月'!$A:$H,8,0),0)</f>
        <v>0</v>
      </c>
      <c r="AG188" s="688">
        <f>IFERROR(VLOOKUP($A188,'[95]9月'!$A:$H,8,0),0)</f>
        <v>0</v>
      </c>
      <c r="AH188" s="688">
        <f>IFERROR(VLOOKUP($A188,'[95]10月'!$A:$H,8,0),0)</f>
        <v>0</v>
      </c>
      <c r="AI188" s="688">
        <f>IFERROR(VLOOKUP($A188,'[95]11月'!$A:$H,8,0),0)</f>
        <v>0</v>
      </c>
      <c r="AJ188" s="688">
        <f>IFERROR(VLOOKUP($A188,'[95]12月'!$A:$H,8,0),0)</f>
        <v>0</v>
      </c>
      <c r="AK188" s="688">
        <f t="shared" si="103"/>
        <v>0</v>
      </c>
    </row>
    <row r="189" spans="1:37" ht="13.5" customHeight="1">
      <c r="A189" s="653" t="str">
        <f>'Budget-合并'!A189</f>
        <v>6301.02</v>
      </c>
      <c r="B189" s="653" t="str">
        <f>'Budget-合并'!B189</f>
        <v>债务重组利得</v>
      </c>
      <c r="C189" s="687">
        <f>'Budget-合并'!C189</f>
        <v>0</v>
      </c>
      <c r="D189" s="676">
        <f t="shared" si="101"/>
        <v>0</v>
      </c>
      <c r="E189" s="676" t="e">
        <f t="shared" si="94"/>
        <v>#N/A</v>
      </c>
      <c r="F189" s="676" t="e">
        <f t="shared" si="95"/>
        <v>#N/A</v>
      </c>
      <c r="G189" s="676">
        <f t="shared" ca="1" si="96"/>
        <v>0</v>
      </c>
      <c r="H189" s="676" t="e">
        <f t="shared" ca="1" si="97"/>
        <v>#N/A</v>
      </c>
      <c r="I189" s="676" t="e">
        <f t="shared" ca="1" si="98"/>
        <v>#N/A</v>
      </c>
      <c r="K189" s="676"/>
      <c r="L189" s="676"/>
      <c r="M189" s="676"/>
      <c r="N189" s="676"/>
      <c r="O189" s="676"/>
      <c r="P189" s="676"/>
      <c r="Q189" s="676"/>
      <c r="R189" s="676"/>
      <c r="S189" s="676"/>
      <c r="T189" s="676"/>
      <c r="U189" s="676"/>
      <c r="V189" s="676"/>
      <c r="W189" s="676">
        <f t="shared" si="93"/>
        <v>0</v>
      </c>
      <c r="Y189" s="688">
        <f>IFERROR(VLOOKUP($A189,'[95]1月'!$A:$H,8,0),0)</f>
        <v>0</v>
      </c>
      <c r="Z189" s="688">
        <f>IFERROR(VLOOKUP($A189,'[95]2月'!$A:$H,8,0),0)</f>
        <v>0</v>
      </c>
      <c r="AA189" s="688">
        <f>IFERROR(VLOOKUP($A189,'[95]3月'!$A:$H,8,0),0)</f>
        <v>0</v>
      </c>
      <c r="AB189" s="688">
        <f>IFERROR(VLOOKUP($A189,'[95]4月'!$A:$H,8,0),0)</f>
        <v>0</v>
      </c>
      <c r="AC189" s="688">
        <f>IFERROR(VLOOKUP($A189,'[95]5月'!$A:$H,8,0),0)</f>
        <v>0</v>
      </c>
      <c r="AD189" s="688">
        <f>IFERROR(VLOOKUP($A189,'[95]6月'!$A:$H,8,0),0)</f>
        <v>0</v>
      </c>
      <c r="AE189" s="688">
        <f>IFERROR(VLOOKUP($A189,'[95]7月'!$A:$H,8,0),0)</f>
        <v>0</v>
      </c>
      <c r="AF189" s="688">
        <f>IFERROR(VLOOKUP($A189,'[95]8月'!$A:$H,8,0),0)</f>
        <v>0</v>
      </c>
      <c r="AG189" s="688">
        <f>IFERROR(VLOOKUP($A189,'[95]9月'!$A:$H,8,0),0)</f>
        <v>0</v>
      </c>
      <c r="AH189" s="688">
        <f>IFERROR(VLOOKUP($A189,'[95]10月'!$A:$H,8,0),0)</f>
        <v>0</v>
      </c>
      <c r="AI189" s="688">
        <f>IFERROR(VLOOKUP($A189,'[95]11月'!$A:$H,8,0),0)</f>
        <v>0</v>
      </c>
      <c r="AJ189" s="688">
        <f>IFERROR(VLOOKUP($A189,'[95]12月'!$A:$H,8,0),0)</f>
        <v>0</v>
      </c>
      <c r="AK189" s="688">
        <f t="shared" si="103"/>
        <v>0</v>
      </c>
    </row>
    <row r="190" spans="1:37" ht="13.5" customHeight="1">
      <c r="A190" s="653" t="str">
        <f>'Budget-合并'!A190</f>
        <v>6301.03</v>
      </c>
      <c r="B190" s="653" t="str">
        <f>'Budget-合并'!B190</f>
        <v>盘盈利得</v>
      </c>
      <c r="C190" s="687">
        <f>'Budget-合并'!C190</f>
        <v>0</v>
      </c>
      <c r="D190" s="676">
        <f t="shared" si="101"/>
        <v>0</v>
      </c>
      <c r="E190" s="676" t="e">
        <f t="shared" si="94"/>
        <v>#N/A</v>
      </c>
      <c r="F190" s="676" t="e">
        <f t="shared" si="95"/>
        <v>#N/A</v>
      </c>
      <c r="G190" s="676">
        <f t="shared" ca="1" si="96"/>
        <v>0</v>
      </c>
      <c r="H190" s="676" t="e">
        <f t="shared" ca="1" si="97"/>
        <v>#N/A</v>
      </c>
      <c r="I190" s="676" t="e">
        <f t="shared" ca="1" si="98"/>
        <v>#N/A</v>
      </c>
      <c r="K190" s="676"/>
      <c r="L190" s="676"/>
      <c r="M190" s="676"/>
      <c r="N190" s="676"/>
      <c r="O190" s="676"/>
      <c r="P190" s="676"/>
      <c r="Q190" s="676"/>
      <c r="R190" s="676"/>
      <c r="S190" s="676"/>
      <c r="T190" s="676"/>
      <c r="U190" s="676"/>
      <c r="V190" s="676"/>
      <c r="W190" s="676">
        <f t="shared" si="93"/>
        <v>0</v>
      </c>
      <c r="Y190" s="688">
        <f>IFERROR(VLOOKUP($A190,'[95]1月'!$A:$H,8,0),0)</f>
        <v>0</v>
      </c>
      <c r="Z190" s="688">
        <f>IFERROR(VLOOKUP($A190,'[95]2月'!$A:$H,8,0),0)</f>
        <v>0</v>
      </c>
      <c r="AA190" s="688">
        <f>IFERROR(VLOOKUP($A190,'[95]3月'!$A:$H,8,0),0)</f>
        <v>0</v>
      </c>
      <c r="AB190" s="688">
        <f>IFERROR(VLOOKUP($A190,'[95]4月'!$A:$H,8,0),0)</f>
        <v>0</v>
      </c>
      <c r="AC190" s="688">
        <f>IFERROR(VLOOKUP($A190,'[95]5月'!$A:$H,8,0),0)</f>
        <v>0</v>
      </c>
      <c r="AD190" s="688">
        <f>IFERROR(VLOOKUP($A190,'[95]6月'!$A:$H,8,0),0)</f>
        <v>0</v>
      </c>
      <c r="AE190" s="688">
        <f>IFERROR(VLOOKUP($A190,'[95]7月'!$A:$H,8,0),0)</f>
        <v>0</v>
      </c>
      <c r="AF190" s="688">
        <f>IFERROR(VLOOKUP($A190,'[95]8月'!$A:$H,8,0),0)</f>
        <v>0</v>
      </c>
      <c r="AG190" s="688">
        <f>IFERROR(VLOOKUP($A190,'[95]9月'!$A:$H,8,0),0)</f>
        <v>0</v>
      </c>
      <c r="AH190" s="688">
        <f>IFERROR(VLOOKUP($A190,'[95]10月'!$A:$H,8,0),0)</f>
        <v>0</v>
      </c>
      <c r="AI190" s="688">
        <f>IFERROR(VLOOKUP($A190,'[95]11月'!$A:$H,8,0),0)</f>
        <v>0</v>
      </c>
      <c r="AJ190" s="688">
        <f>IFERROR(VLOOKUP($A190,'[95]12月'!$A:$H,8,0),0)</f>
        <v>0</v>
      </c>
      <c r="AK190" s="688">
        <f t="shared" si="103"/>
        <v>0</v>
      </c>
    </row>
    <row r="191" spans="1:37" ht="13.5" customHeight="1">
      <c r="A191" s="653" t="str">
        <f>'Budget-合并'!A191</f>
        <v>6301.04</v>
      </c>
      <c r="B191" s="653" t="str">
        <f>'Budget-合并'!B191</f>
        <v>捐赠利得</v>
      </c>
      <c r="C191" s="687">
        <f>'Budget-合并'!C191</f>
        <v>0</v>
      </c>
      <c r="D191" s="676">
        <f t="shared" si="101"/>
        <v>0</v>
      </c>
      <c r="E191" s="676" t="e">
        <f t="shared" si="94"/>
        <v>#N/A</v>
      </c>
      <c r="F191" s="676" t="e">
        <f t="shared" si="95"/>
        <v>#N/A</v>
      </c>
      <c r="G191" s="676">
        <f t="shared" ca="1" si="96"/>
        <v>0</v>
      </c>
      <c r="H191" s="676" t="e">
        <f t="shared" ca="1" si="97"/>
        <v>#N/A</v>
      </c>
      <c r="I191" s="676" t="e">
        <f t="shared" ca="1" si="98"/>
        <v>#N/A</v>
      </c>
      <c r="K191" s="676"/>
      <c r="L191" s="676"/>
      <c r="M191" s="676"/>
      <c r="N191" s="676"/>
      <c r="O191" s="676"/>
      <c r="P191" s="676"/>
      <c r="Q191" s="676"/>
      <c r="R191" s="676"/>
      <c r="S191" s="676"/>
      <c r="T191" s="676"/>
      <c r="U191" s="676"/>
      <c r="V191" s="676"/>
      <c r="W191" s="676">
        <f t="shared" si="93"/>
        <v>0</v>
      </c>
      <c r="Y191" s="688">
        <f>IFERROR(VLOOKUP($A191,'[95]1月'!$A:$H,8,0),0)</f>
        <v>0</v>
      </c>
      <c r="Z191" s="688">
        <f>IFERROR(VLOOKUP($A191,'[95]2月'!$A:$H,8,0),0)</f>
        <v>0</v>
      </c>
      <c r="AA191" s="688">
        <f>IFERROR(VLOOKUP($A191,'[95]3月'!$A:$H,8,0),0)</f>
        <v>0</v>
      </c>
      <c r="AB191" s="688">
        <f>IFERROR(VLOOKUP($A191,'[95]4月'!$A:$H,8,0),0)</f>
        <v>0</v>
      </c>
      <c r="AC191" s="688">
        <f>IFERROR(VLOOKUP($A191,'[95]5月'!$A:$H,8,0),0)</f>
        <v>0</v>
      </c>
      <c r="AD191" s="688">
        <f>IFERROR(VLOOKUP($A191,'[95]6月'!$A:$H,8,0),0)</f>
        <v>0</v>
      </c>
      <c r="AE191" s="688">
        <f>IFERROR(VLOOKUP($A191,'[95]7月'!$A:$H,8,0),0)</f>
        <v>0</v>
      </c>
      <c r="AF191" s="688">
        <f>IFERROR(VLOOKUP($A191,'[95]8月'!$A:$H,8,0),0)</f>
        <v>0</v>
      </c>
      <c r="AG191" s="688">
        <f>IFERROR(VLOOKUP($A191,'[95]9月'!$A:$H,8,0),0)</f>
        <v>0</v>
      </c>
      <c r="AH191" s="688">
        <f>IFERROR(VLOOKUP($A191,'[95]10月'!$A:$H,8,0),0)</f>
        <v>0</v>
      </c>
      <c r="AI191" s="688">
        <f>IFERROR(VLOOKUP($A191,'[95]11月'!$A:$H,8,0),0)</f>
        <v>0</v>
      </c>
      <c r="AJ191" s="688">
        <f>IFERROR(VLOOKUP($A191,'[95]12月'!$A:$H,8,0),0)</f>
        <v>0</v>
      </c>
      <c r="AK191" s="688">
        <f t="shared" si="103"/>
        <v>0</v>
      </c>
    </row>
    <row r="192" spans="1:37" ht="13.5" customHeight="1">
      <c r="A192" s="653" t="str">
        <f>'Budget-合并'!A192</f>
        <v>6301.99</v>
      </c>
      <c r="B192" s="653" t="str">
        <f>'Budget-合并'!B192</f>
        <v>其他</v>
      </c>
      <c r="C192" s="687">
        <f>'Budget-合并'!C192</f>
        <v>0</v>
      </c>
      <c r="D192" s="676">
        <f t="shared" si="101"/>
        <v>0</v>
      </c>
      <c r="E192" s="676" t="e">
        <f t="shared" si="94"/>
        <v>#N/A</v>
      </c>
      <c r="F192" s="676" t="e">
        <f t="shared" si="95"/>
        <v>#N/A</v>
      </c>
      <c r="G192" s="676">
        <f t="shared" ca="1" si="96"/>
        <v>0</v>
      </c>
      <c r="H192" s="676" t="e">
        <f t="shared" ca="1" si="97"/>
        <v>#N/A</v>
      </c>
      <c r="I192" s="676" t="e">
        <f t="shared" ca="1" si="98"/>
        <v>#N/A</v>
      </c>
      <c r="K192" s="676"/>
      <c r="L192" s="676"/>
      <c r="M192" s="676"/>
      <c r="N192" s="676"/>
      <c r="O192" s="676"/>
      <c r="P192" s="676"/>
      <c r="Q192" s="676"/>
      <c r="R192" s="676"/>
      <c r="S192" s="676"/>
      <c r="T192" s="676"/>
      <c r="U192" s="676"/>
      <c r="V192" s="676"/>
      <c r="W192" s="676">
        <f t="shared" si="93"/>
        <v>0</v>
      </c>
      <c r="Y192" s="688">
        <f>IFERROR(VLOOKUP($A192,'[95]1月'!$A:$H,8,0),0)</f>
        <v>1131.28</v>
      </c>
      <c r="Z192" s="688">
        <f>IFERROR(VLOOKUP($A192,'[95]2月'!$A:$H,8,0),0)</f>
        <v>0</v>
      </c>
      <c r="AA192" s="688">
        <f>IFERROR(VLOOKUP($A192,'[95]3月'!$A:$H,8,0),0)</f>
        <v>0</v>
      </c>
      <c r="AB192" s="688">
        <f>IFERROR(VLOOKUP($A192,'[95]4月'!$A:$H,8,0),0)</f>
        <v>0</v>
      </c>
      <c r="AC192" s="688">
        <f>IFERROR(VLOOKUP($A192,'[95]5月'!$A:$H,8,0),0)</f>
        <v>0</v>
      </c>
      <c r="AD192" s="688">
        <f>IFERROR(VLOOKUP($A192,'[95]6月'!$A:$H,8,0),0)</f>
        <v>0</v>
      </c>
      <c r="AE192" s="688">
        <f>IFERROR(VLOOKUP($A192,'[95]7月'!$A:$H,8,0),0)</f>
        <v>0</v>
      </c>
      <c r="AF192" s="688">
        <f>IFERROR(VLOOKUP($A192,'[95]8月'!$A:$H,8,0),0)</f>
        <v>0</v>
      </c>
      <c r="AG192" s="688">
        <f>IFERROR(VLOOKUP($A192,'[95]9月'!$A:$H,8,0),0)</f>
        <v>0</v>
      </c>
      <c r="AH192" s="688">
        <f>IFERROR(VLOOKUP($A192,'[95]10月'!$A:$H,8,0),0)</f>
        <v>0</v>
      </c>
      <c r="AI192" s="688">
        <f>IFERROR(VLOOKUP($A192,'[95]11月'!$A:$H,8,0),0)</f>
        <v>0</v>
      </c>
      <c r="AJ192" s="688">
        <f>IFERROR(VLOOKUP($A192,'[95]12月'!$A:$H,8,0),0)</f>
        <v>0</v>
      </c>
      <c r="AK192" s="688">
        <f t="shared" si="103"/>
        <v>1131.28</v>
      </c>
    </row>
    <row r="193" spans="1:37" ht="13.5" customHeight="1">
      <c r="A193" s="653" t="str">
        <f>'Budget-合并'!A193</f>
        <v>6402</v>
      </c>
      <c r="B193" s="653" t="str">
        <f>'Budget-合并'!B193</f>
        <v>其他业务成本</v>
      </c>
      <c r="C193" s="687">
        <f>'Budget-合并'!C193</f>
        <v>0</v>
      </c>
      <c r="D193" s="676">
        <f t="shared" si="101"/>
        <v>0</v>
      </c>
      <c r="E193" s="676" t="e">
        <f t="shared" si="94"/>
        <v>#N/A</v>
      </c>
      <c r="F193" s="676" t="e">
        <f t="shared" si="95"/>
        <v>#N/A</v>
      </c>
      <c r="G193" s="676">
        <f t="shared" ca="1" si="96"/>
        <v>0</v>
      </c>
      <c r="H193" s="676" t="e">
        <f t="shared" ca="1" si="97"/>
        <v>#N/A</v>
      </c>
      <c r="I193" s="676" t="e">
        <f t="shared" ca="1" si="98"/>
        <v>#N/A</v>
      </c>
      <c r="K193" s="676"/>
      <c r="L193" s="676"/>
      <c r="M193" s="676"/>
      <c r="N193" s="676"/>
      <c r="O193" s="676"/>
      <c r="P193" s="676"/>
      <c r="Q193" s="676"/>
      <c r="R193" s="676"/>
      <c r="S193" s="676"/>
      <c r="T193" s="676"/>
      <c r="U193" s="676"/>
      <c r="V193" s="676"/>
      <c r="W193" s="676">
        <f t="shared" si="93"/>
        <v>0</v>
      </c>
      <c r="Y193" s="688">
        <f>IFERROR(VLOOKUP($A193,'[95]1月'!$A:$H,8,0),0)</f>
        <v>0</v>
      </c>
      <c r="Z193" s="688">
        <f>IFERROR(VLOOKUP($A193,'[95]2月'!$A:$H,8,0),0)</f>
        <v>0</v>
      </c>
      <c r="AA193" s="688">
        <f>IFERROR(VLOOKUP($A193,'[95]3月'!$A:$H,8,0),0)</f>
        <v>0</v>
      </c>
      <c r="AB193" s="688">
        <f>IFERROR(VLOOKUP($A193,'[95]4月'!$A:$H,8,0),0)</f>
        <v>0</v>
      </c>
      <c r="AC193" s="688">
        <f>IFERROR(VLOOKUP($A193,'[95]5月'!$A:$H,8,0),0)</f>
        <v>0</v>
      </c>
      <c r="AD193" s="688">
        <f>IFERROR(VLOOKUP($A193,'[95]6月'!$A:$H,8,0),0)</f>
        <v>0</v>
      </c>
      <c r="AE193" s="688">
        <f>IFERROR(VLOOKUP($A193,'[95]7月'!$A:$H,8,0),0)</f>
        <v>0</v>
      </c>
      <c r="AF193" s="688">
        <f>IFERROR(VLOOKUP($A193,'[95]8月'!$A:$H,8,0),0)</f>
        <v>0</v>
      </c>
      <c r="AG193" s="688">
        <f>IFERROR(VLOOKUP($A193,'[95]9月'!$A:$H,8,0),0)</f>
        <v>0</v>
      </c>
      <c r="AH193" s="688">
        <f>IFERROR(VLOOKUP($A193,'[95]10月'!$A:$H,8,0),0)</f>
        <v>0</v>
      </c>
      <c r="AI193" s="688">
        <f>IFERROR(VLOOKUP($A193,'[95]11月'!$A:$H,8,0),0)</f>
        <v>0</v>
      </c>
      <c r="AJ193" s="688">
        <f>IFERROR(VLOOKUP($A193,'[95]12月'!$A:$H,8,0),0)</f>
        <v>0</v>
      </c>
      <c r="AK193" s="688">
        <f t="shared" si="103"/>
        <v>0</v>
      </c>
    </row>
    <row r="194" spans="1:37" ht="13.5" customHeight="1">
      <c r="A194" s="653" t="str">
        <f>'Budget-合并'!A194</f>
        <v>6701</v>
      </c>
      <c r="B194" s="653" t="str">
        <f>'Budget-合并'!B194</f>
        <v>资产减值损失</v>
      </c>
      <c r="C194" s="687" t="str">
        <f>'Budget-合并'!C194</f>
        <v>Impairment loss</v>
      </c>
      <c r="D194" s="676">
        <f t="shared" si="101"/>
        <v>0</v>
      </c>
      <c r="E194" s="676" t="e">
        <f t="shared" si="94"/>
        <v>#N/A</v>
      </c>
      <c r="F194" s="676" t="e">
        <f t="shared" si="95"/>
        <v>#N/A</v>
      </c>
      <c r="G194" s="676">
        <f t="shared" ca="1" si="96"/>
        <v>0</v>
      </c>
      <c r="H194" s="676" t="e">
        <f t="shared" ca="1" si="97"/>
        <v>#N/A</v>
      </c>
      <c r="I194" s="676" t="e">
        <f t="shared" ca="1" si="98"/>
        <v>#N/A</v>
      </c>
      <c r="K194" s="676"/>
      <c r="L194" s="676"/>
      <c r="M194" s="676"/>
      <c r="N194" s="676"/>
      <c r="O194" s="676"/>
      <c r="P194" s="676"/>
      <c r="Q194" s="676"/>
      <c r="R194" s="676"/>
      <c r="S194" s="676"/>
      <c r="T194" s="676"/>
      <c r="U194" s="676"/>
      <c r="V194" s="676"/>
      <c r="W194" s="676">
        <f t="shared" si="93"/>
        <v>0</v>
      </c>
      <c r="Y194" s="688">
        <f>IFERROR(VLOOKUP($A194,'[95]1月'!$A:$H,8,0),0)</f>
        <v>0</v>
      </c>
      <c r="Z194" s="688">
        <f>IFERROR(VLOOKUP($A194,'[95]2月'!$A:$H,8,0),0)</f>
        <v>0</v>
      </c>
      <c r="AA194" s="688">
        <f>IFERROR(VLOOKUP($A194,'[95]3月'!$A:$H,8,0),0)</f>
        <v>0</v>
      </c>
      <c r="AB194" s="688">
        <f>IFERROR(VLOOKUP($A194,'[95]4月'!$A:$H,8,0),0)</f>
        <v>0</v>
      </c>
      <c r="AC194" s="688">
        <f>IFERROR(VLOOKUP($A194,'[95]5月'!$A:$H,8,0),0)</f>
        <v>0</v>
      </c>
      <c r="AD194" s="688">
        <f>IFERROR(VLOOKUP($A194,'[95]6月'!$A:$H,8,0),0)</f>
        <v>0</v>
      </c>
      <c r="AE194" s="688">
        <f>IFERROR(VLOOKUP($A194,'[95]7月'!$A:$H,8,0),0)</f>
        <v>0</v>
      </c>
      <c r="AF194" s="688">
        <f>IFERROR(VLOOKUP($A194,'[95]8月'!$A:$H,8,0),0)</f>
        <v>0</v>
      </c>
      <c r="AG194" s="688">
        <f>IFERROR(VLOOKUP($A194,'[95]9月'!$A:$H,8,0),0)</f>
        <v>0</v>
      </c>
      <c r="AH194" s="688">
        <f>IFERROR(VLOOKUP($A194,'[95]10月'!$A:$H,8,0),0)</f>
        <v>0</v>
      </c>
      <c r="AI194" s="688">
        <f>IFERROR(VLOOKUP($A194,'[95]11月'!$A:$H,8,0),0)</f>
        <v>0</v>
      </c>
      <c r="AJ194" s="688">
        <f>IFERROR(VLOOKUP($A194,'[95]12月'!$A:$H,8,0),0)</f>
        <v>0</v>
      </c>
      <c r="AK194" s="688">
        <f t="shared" si="103"/>
        <v>0</v>
      </c>
    </row>
    <row r="195" spans="1:37" s="649" customFormat="1" ht="13.5" customHeight="1">
      <c r="A195" s="653" t="str">
        <f>'Budget-合并'!A195</f>
        <v>6711</v>
      </c>
      <c r="B195" s="653" t="str">
        <f>'Budget-合并'!B195</f>
        <v>营业外支出</v>
      </c>
      <c r="C195" s="687">
        <f>'Budget-合并'!C195</f>
        <v>0</v>
      </c>
      <c r="D195" s="676">
        <f t="shared" si="101"/>
        <v>0</v>
      </c>
      <c r="E195" s="676" t="e">
        <f t="shared" si="94"/>
        <v>#N/A</v>
      </c>
      <c r="F195" s="676" t="e">
        <f t="shared" si="95"/>
        <v>#N/A</v>
      </c>
      <c r="G195" s="676">
        <f t="shared" ca="1" si="96"/>
        <v>0</v>
      </c>
      <c r="H195" s="676" t="e">
        <f t="shared" ca="1" si="97"/>
        <v>#N/A</v>
      </c>
      <c r="I195" s="676" t="e">
        <f t="shared" ca="1" si="98"/>
        <v>#N/A</v>
      </c>
      <c r="J195" s="654"/>
      <c r="K195" s="676">
        <f t="shared" ref="K195:V195" si="104">SUM(K196:K197)</f>
        <v>0</v>
      </c>
      <c r="L195" s="676">
        <f t="shared" si="104"/>
        <v>0</v>
      </c>
      <c r="M195" s="676">
        <f t="shared" si="104"/>
        <v>0</v>
      </c>
      <c r="N195" s="676">
        <f t="shared" si="104"/>
        <v>0</v>
      </c>
      <c r="O195" s="676">
        <f t="shared" si="104"/>
        <v>0</v>
      </c>
      <c r="P195" s="676">
        <f t="shared" si="104"/>
        <v>0</v>
      </c>
      <c r="Q195" s="676">
        <f t="shared" si="104"/>
        <v>0</v>
      </c>
      <c r="R195" s="676">
        <f t="shared" si="104"/>
        <v>0</v>
      </c>
      <c r="S195" s="676">
        <f t="shared" si="104"/>
        <v>0</v>
      </c>
      <c r="T195" s="676">
        <f t="shared" si="104"/>
        <v>0</v>
      </c>
      <c r="U195" s="676">
        <f t="shared" si="104"/>
        <v>0</v>
      </c>
      <c r="V195" s="676">
        <f t="shared" si="104"/>
        <v>0</v>
      </c>
      <c r="W195" s="676">
        <f t="shared" si="93"/>
        <v>0</v>
      </c>
      <c r="Y195" s="688">
        <f>IFERROR(VLOOKUP($A195,'[95]1月'!$A:$H,8,0),0)</f>
        <v>0</v>
      </c>
      <c r="Z195" s="688">
        <f>IFERROR(VLOOKUP($A195,'[95]2月'!$A:$H,8,0),0)</f>
        <v>0</v>
      </c>
      <c r="AA195" s="688">
        <f>IFERROR(VLOOKUP($A195,'[95]3月'!$A:$H,8,0),0)</f>
        <v>0</v>
      </c>
      <c r="AB195" s="688">
        <f>IFERROR(VLOOKUP($A195,'[95]4月'!$A:$H,8,0),0)</f>
        <v>0</v>
      </c>
      <c r="AC195" s="688">
        <f>IFERROR(VLOOKUP($A195,'[95]5月'!$A:$H,8,0),0)</f>
        <v>0</v>
      </c>
      <c r="AD195" s="688">
        <f>IFERROR(VLOOKUP($A195,'[95]6月'!$A:$H,8,0),0)</f>
        <v>0</v>
      </c>
      <c r="AE195" s="688">
        <f>IFERROR(VLOOKUP($A195,'[95]7月'!$A:$H,8,0),0)</f>
        <v>0</v>
      </c>
      <c r="AF195" s="688">
        <f>IFERROR(VLOOKUP($A195,'[95]8月'!$A:$H,8,0),0)</f>
        <v>0</v>
      </c>
      <c r="AG195" s="688">
        <f>IFERROR(VLOOKUP($A195,'[95]9月'!$A:$H,8,0),0)</f>
        <v>0</v>
      </c>
      <c r="AH195" s="688">
        <f>IFERROR(VLOOKUP($A195,'[95]10月'!$A:$H,8,0),0)</f>
        <v>0</v>
      </c>
      <c r="AI195" s="688">
        <f>IFERROR(VLOOKUP($A195,'[95]11月'!$A:$H,8,0),0)</f>
        <v>0</v>
      </c>
      <c r="AJ195" s="688">
        <f>IFERROR(VLOOKUP($A195,'[95]12月'!$A:$H,8,0),0)</f>
        <v>0</v>
      </c>
      <c r="AK195" s="688">
        <f t="shared" si="103"/>
        <v>0</v>
      </c>
    </row>
    <row r="196" spans="1:37" ht="13.5" customHeight="1">
      <c r="A196" s="653" t="str">
        <f>'Budget-合并'!A196</f>
        <v>6711.01</v>
      </c>
      <c r="B196" s="653" t="str">
        <f>'Budget-合并'!B196</f>
        <v>滞纳金</v>
      </c>
      <c r="C196" s="687">
        <f>'Budget-合并'!C196</f>
        <v>0</v>
      </c>
      <c r="D196" s="676">
        <f t="shared" si="101"/>
        <v>0</v>
      </c>
      <c r="E196" s="676" t="e">
        <f t="shared" si="94"/>
        <v>#N/A</v>
      </c>
      <c r="F196" s="676" t="e">
        <f t="shared" si="95"/>
        <v>#N/A</v>
      </c>
      <c r="G196" s="676">
        <f t="shared" ca="1" si="96"/>
        <v>0</v>
      </c>
      <c r="H196" s="676" t="e">
        <f t="shared" ca="1" si="97"/>
        <v>#N/A</v>
      </c>
      <c r="I196" s="676" t="e">
        <f t="shared" ca="1" si="98"/>
        <v>#N/A</v>
      </c>
      <c r="K196" s="676"/>
      <c r="L196" s="676"/>
      <c r="M196" s="676"/>
      <c r="N196" s="676"/>
      <c r="O196" s="676"/>
      <c r="P196" s="676"/>
      <c r="Q196" s="676"/>
      <c r="R196" s="676"/>
      <c r="S196" s="676"/>
      <c r="T196" s="676"/>
      <c r="U196" s="676"/>
      <c r="V196" s="676"/>
      <c r="W196" s="676">
        <f t="shared" si="93"/>
        <v>0</v>
      </c>
      <c r="Y196" s="688">
        <f>IFERROR(VLOOKUP($A196,'[95]1月'!$A:$H,8,0),0)</f>
        <v>0</v>
      </c>
      <c r="Z196" s="688">
        <f>IFERROR(VLOOKUP($A196,'[95]2月'!$A:$H,8,0),0)</f>
        <v>0</v>
      </c>
      <c r="AA196" s="688">
        <f>IFERROR(VLOOKUP($A196,'[95]3月'!$A:$H,8,0),0)</f>
        <v>0</v>
      </c>
      <c r="AB196" s="688">
        <f>IFERROR(VLOOKUP($A196,'[95]4月'!$A:$H,8,0),0)</f>
        <v>0</v>
      </c>
      <c r="AC196" s="688">
        <f>IFERROR(VLOOKUP($A196,'[95]5月'!$A:$H,8,0),0)</f>
        <v>0</v>
      </c>
      <c r="AD196" s="688">
        <f>IFERROR(VLOOKUP($A196,'[95]6月'!$A:$H,8,0),0)</f>
        <v>0</v>
      </c>
      <c r="AE196" s="688">
        <f>IFERROR(VLOOKUP($A196,'[95]7月'!$A:$H,8,0),0)</f>
        <v>0</v>
      </c>
      <c r="AF196" s="688">
        <f>IFERROR(VLOOKUP($A196,'[95]8月'!$A:$H,8,0),0)</f>
        <v>0</v>
      </c>
      <c r="AG196" s="688">
        <f>IFERROR(VLOOKUP($A196,'[95]9月'!$A:$H,8,0),0)</f>
        <v>0</v>
      </c>
      <c r="AH196" s="688">
        <f>IFERROR(VLOOKUP($A196,'[95]10月'!$A:$H,8,0),0)</f>
        <v>0</v>
      </c>
      <c r="AI196" s="688">
        <f>IFERROR(VLOOKUP($A196,'[95]11月'!$A:$H,8,0),0)</f>
        <v>0</v>
      </c>
      <c r="AJ196" s="688">
        <f>IFERROR(VLOOKUP($A196,'[95]12月'!$A:$H,8,0),0)</f>
        <v>0</v>
      </c>
      <c r="AK196" s="688">
        <f t="shared" si="103"/>
        <v>0</v>
      </c>
    </row>
    <row r="197" spans="1:37" ht="13.5" customHeight="1">
      <c r="A197" s="653" t="str">
        <f>'Budget-合并'!A197</f>
        <v>6711.02</v>
      </c>
      <c r="B197" s="653" t="str">
        <f>'Budget-合并'!B197</f>
        <v>非流动资产处置损失</v>
      </c>
      <c r="C197" s="687">
        <f>'Budget-合并'!C197</f>
        <v>0</v>
      </c>
      <c r="D197" s="676">
        <f t="shared" si="101"/>
        <v>0</v>
      </c>
      <c r="E197" s="676" t="e">
        <f t="shared" si="94"/>
        <v>#N/A</v>
      </c>
      <c r="F197" s="676" t="e">
        <f t="shared" si="95"/>
        <v>#N/A</v>
      </c>
      <c r="G197" s="676">
        <f t="shared" ca="1" si="96"/>
        <v>0</v>
      </c>
      <c r="H197" s="676" t="e">
        <f t="shared" ca="1" si="97"/>
        <v>#N/A</v>
      </c>
      <c r="I197" s="676" t="e">
        <f t="shared" ca="1" si="98"/>
        <v>#N/A</v>
      </c>
      <c r="K197" s="676"/>
      <c r="L197" s="676"/>
      <c r="M197" s="676"/>
      <c r="N197" s="676"/>
      <c r="O197" s="676"/>
      <c r="P197" s="676"/>
      <c r="Q197" s="676"/>
      <c r="R197" s="676"/>
      <c r="S197" s="676"/>
      <c r="T197" s="676"/>
      <c r="U197" s="676"/>
      <c r="V197" s="676"/>
      <c r="W197" s="676">
        <f t="shared" si="93"/>
        <v>0</v>
      </c>
      <c r="Y197" s="688">
        <f>IFERROR(VLOOKUP($A197,'[95]1月'!$A:$H,8,0),0)</f>
        <v>0</v>
      </c>
      <c r="Z197" s="688">
        <f>IFERROR(VLOOKUP($A197,'[95]2月'!$A:$H,8,0),0)</f>
        <v>0</v>
      </c>
      <c r="AA197" s="688">
        <f>IFERROR(VLOOKUP($A197,'[95]3月'!$A:$H,8,0),0)</f>
        <v>0</v>
      </c>
      <c r="AB197" s="688">
        <f>IFERROR(VLOOKUP($A197,'[95]4月'!$A:$H,8,0),0)</f>
        <v>0</v>
      </c>
      <c r="AC197" s="688">
        <f>IFERROR(VLOOKUP($A197,'[95]5月'!$A:$H,8,0),0)</f>
        <v>0</v>
      </c>
      <c r="AD197" s="688">
        <f>IFERROR(VLOOKUP($A197,'[95]6月'!$A:$H,8,0),0)</f>
        <v>0</v>
      </c>
      <c r="AE197" s="688">
        <f>IFERROR(VLOOKUP($A197,'[95]7月'!$A:$H,8,0),0)</f>
        <v>0</v>
      </c>
      <c r="AF197" s="688">
        <f>IFERROR(VLOOKUP($A197,'[95]8月'!$A:$H,8,0),0)</f>
        <v>0</v>
      </c>
      <c r="AG197" s="688">
        <f>IFERROR(VLOOKUP($A197,'[95]9月'!$A:$H,8,0),0)</f>
        <v>0</v>
      </c>
      <c r="AH197" s="688">
        <f>IFERROR(VLOOKUP($A197,'[95]10月'!$A:$H,8,0),0)</f>
        <v>0</v>
      </c>
      <c r="AI197" s="688">
        <f>IFERROR(VLOOKUP($A197,'[95]11月'!$A:$H,8,0),0)</f>
        <v>0</v>
      </c>
      <c r="AJ197" s="688">
        <f>IFERROR(VLOOKUP($A197,'[95]12月'!$A:$H,8,0),0)</f>
        <v>0</v>
      </c>
      <c r="AK197" s="688">
        <f t="shared" si="103"/>
        <v>0</v>
      </c>
    </row>
    <row r="198" spans="1:37" ht="13.5" customHeight="1">
      <c r="A198" s="653" t="str">
        <f>'Budget-合并'!A198</f>
        <v>6901</v>
      </c>
      <c r="B198" s="653" t="str">
        <f>'Budget-合并'!B198</f>
        <v>以前年度损益调整</v>
      </c>
      <c r="C198" s="687">
        <f>'Budget-合并'!C198</f>
        <v>0</v>
      </c>
      <c r="D198" s="676">
        <f t="shared" si="101"/>
        <v>0</v>
      </c>
      <c r="E198" s="676" t="e">
        <f t="shared" si="94"/>
        <v>#N/A</v>
      </c>
      <c r="F198" s="676" t="e">
        <f t="shared" si="95"/>
        <v>#N/A</v>
      </c>
      <c r="G198" s="676">
        <f t="shared" ca="1" si="96"/>
        <v>0</v>
      </c>
      <c r="H198" s="676" t="e">
        <f t="shared" ca="1" si="97"/>
        <v>#N/A</v>
      </c>
      <c r="I198" s="676" t="e">
        <f t="shared" ca="1" si="98"/>
        <v>#N/A</v>
      </c>
      <c r="K198" s="676"/>
      <c r="L198" s="676"/>
      <c r="M198" s="676"/>
      <c r="N198" s="676"/>
      <c r="O198" s="676"/>
      <c r="P198" s="676"/>
      <c r="Q198" s="676"/>
      <c r="R198" s="676"/>
      <c r="S198" s="676"/>
      <c r="T198" s="676"/>
      <c r="U198" s="676"/>
      <c r="V198" s="676"/>
      <c r="W198" s="676">
        <f t="shared" si="93"/>
        <v>0</v>
      </c>
      <c r="Y198" s="688">
        <f>IFERROR(VLOOKUP($A198,'[95]1月'!$A:$H,8,0),0)</f>
        <v>0</v>
      </c>
      <c r="Z198" s="688">
        <f>IFERROR(VLOOKUP($A198,'[95]2月'!$A:$H,8,0),0)</f>
        <v>0</v>
      </c>
      <c r="AA198" s="688">
        <f>IFERROR(VLOOKUP($A198,'[95]3月'!$A:$H,8,0),0)</f>
        <v>0</v>
      </c>
      <c r="AB198" s="688">
        <f>IFERROR(VLOOKUP($A198,'[95]4月'!$A:$H,8,0),0)</f>
        <v>0</v>
      </c>
      <c r="AC198" s="688">
        <f>IFERROR(VLOOKUP($A198,'[95]5月'!$A:$H,8,0),0)</f>
        <v>0</v>
      </c>
      <c r="AD198" s="688">
        <f>IFERROR(VLOOKUP($A198,'[95]6月'!$A:$H,8,0),0)</f>
        <v>0</v>
      </c>
      <c r="AE198" s="688">
        <f>IFERROR(VLOOKUP($A198,'[95]7月'!$A:$H,8,0),0)</f>
        <v>0</v>
      </c>
      <c r="AF198" s="688">
        <f>IFERROR(VLOOKUP($A198,'[95]8月'!$A:$H,8,0),0)</f>
        <v>0</v>
      </c>
      <c r="AG198" s="688">
        <f>IFERROR(VLOOKUP($A198,'[95]9月'!$A:$H,8,0),0)</f>
        <v>0</v>
      </c>
      <c r="AH198" s="688">
        <f>IFERROR(VLOOKUP($A198,'[95]10月'!$A:$H,8,0),0)</f>
        <v>0</v>
      </c>
      <c r="AI198" s="688">
        <f>IFERROR(VLOOKUP($A198,'[95]11月'!$A:$H,8,0),0)</f>
        <v>0</v>
      </c>
      <c r="AJ198" s="688">
        <f>IFERROR(VLOOKUP($A198,'[95]12月'!$A:$H,8,0),0)</f>
        <v>0</v>
      </c>
      <c r="AK198" s="688">
        <f t="shared" si="103"/>
        <v>0</v>
      </c>
    </row>
    <row r="199" spans="1:37" ht="13.5" customHeight="1">
      <c r="A199" s="686">
        <f>'Budget-合并'!A199</f>
        <v>0</v>
      </c>
      <c r="B199" s="686" t="str">
        <f>'Budget-合并'!B199</f>
        <v>营业外收入 (支-, 收+):</v>
      </c>
      <c r="C199" s="687">
        <f>'Budget-合并'!C199</f>
        <v>0</v>
      </c>
      <c r="D199" s="677">
        <f t="shared" si="101"/>
        <v>0</v>
      </c>
      <c r="E199" s="677" t="e">
        <f t="shared" ref="E199:E205" si="105">INDEX($Y199:$AJ199,1,MATCH($E$6,$Y$6:$AJ$6))</f>
        <v>#N/A</v>
      </c>
      <c r="F199" s="677" t="e">
        <f t="shared" si="95"/>
        <v>#N/A</v>
      </c>
      <c r="G199" s="677">
        <f t="shared" ca="1" si="96"/>
        <v>0</v>
      </c>
      <c r="H199" s="677" t="e">
        <f t="shared" ca="1" si="97"/>
        <v>#N/A</v>
      </c>
      <c r="I199" s="677" t="e">
        <f t="shared" ref="I199:I205" ca="1" si="106">G199-H199</f>
        <v>#N/A</v>
      </c>
      <c r="K199" s="677">
        <f t="shared" ref="K199:W199" si="107">K187-K193-K194-K195+K198</f>
        <v>0</v>
      </c>
      <c r="L199" s="677">
        <f t="shared" si="107"/>
        <v>0</v>
      </c>
      <c r="M199" s="677">
        <f t="shared" si="107"/>
        <v>0</v>
      </c>
      <c r="N199" s="677">
        <f t="shared" si="107"/>
        <v>0</v>
      </c>
      <c r="O199" s="677">
        <f t="shared" si="107"/>
        <v>0</v>
      </c>
      <c r="P199" s="677">
        <f t="shared" si="107"/>
        <v>0</v>
      </c>
      <c r="Q199" s="677">
        <f t="shared" si="107"/>
        <v>0</v>
      </c>
      <c r="R199" s="677">
        <f t="shared" si="107"/>
        <v>0</v>
      </c>
      <c r="S199" s="677">
        <f t="shared" si="107"/>
        <v>0</v>
      </c>
      <c r="T199" s="677">
        <f t="shared" si="107"/>
        <v>0</v>
      </c>
      <c r="U199" s="677">
        <f t="shared" si="107"/>
        <v>0</v>
      </c>
      <c r="V199" s="677">
        <f t="shared" si="107"/>
        <v>0</v>
      </c>
      <c r="W199" s="677">
        <f t="shared" si="107"/>
        <v>0</v>
      </c>
      <c r="Y199" s="677">
        <f t="shared" ref="Y199:AK199" si="108">Y187-Y193-Y194-Y195-Y198</f>
        <v>1131.28</v>
      </c>
      <c r="Z199" s="677">
        <f t="shared" si="108"/>
        <v>0</v>
      </c>
      <c r="AA199" s="677">
        <f t="shared" si="108"/>
        <v>0</v>
      </c>
      <c r="AB199" s="677">
        <f t="shared" si="108"/>
        <v>0</v>
      </c>
      <c r="AC199" s="677">
        <f t="shared" si="108"/>
        <v>0</v>
      </c>
      <c r="AD199" s="677">
        <f t="shared" si="108"/>
        <v>0</v>
      </c>
      <c r="AE199" s="677">
        <f t="shared" si="108"/>
        <v>0</v>
      </c>
      <c r="AF199" s="677">
        <f t="shared" si="108"/>
        <v>0</v>
      </c>
      <c r="AG199" s="677">
        <f t="shared" si="108"/>
        <v>0</v>
      </c>
      <c r="AH199" s="677">
        <f t="shared" si="108"/>
        <v>0</v>
      </c>
      <c r="AI199" s="677">
        <f t="shared" si="108"/>
        <v>0</v>
      </c>
      <c r="AJ199" s="677">
        <f t="shared" si="108"/>
        <v>0</v>
      </c>
      <c r="AK199" s="677">
        <f t="shared" si="108"/>
        <v>1131.28</v>
      </c>
    </row>
    <row r="200" spans="1:37" ht="13.5" customHeight="1">
      <c r="A200" s="653">
        <f>'Budget-合并'!A200</f>
        <v>0</v>
      </c>
      <c r="B200" s="653">
        <f>'Budget-合并'!B200</f>
        <v>0</v>
      </c>
      <c r="C200" s="687">
        <f>'Budget-合并'!C200</f>
        <v>0</v>
      </c>
    </row>
    <row r="201" spans="1:37" ht="13.5" customHeight="1">
      <c r="A201" s="686">
        <f>'Budget-合并'!A201</f>
        <v>0</v>
      </c>
      <c r="B201" s="686" t="str">
        <f>'Budget-合并'!B201</f>
        <v>利润总额 (税前利润)</v>
      </c>
      <c r="C201" s="687">
        <f>'Budget-合并'!C201</f>
        <v>0</v>
      </c>
      <c r="D201" s="677">
        <f>INDEX($K201:$V201,1,MATCH($D$6,$K$6:$V$6))</f>
        <v>-891.66666666666674</v>
      </c>
      <c r="E201" s="677" t="e">
        <f t="shared" si="105"/>
        <v>#N/A</v>
      </c>
      <c r="F201" s="677" t="e">
        <f t="shared" ref="F201:F205" si="109">D201-E201</f>
        <v>#N/A</v>
      </c>
      <c r="G201" s="677">
        <f t="shared" ref="G201:G205" ca="1" si="110">SUM($K201:OFFSET($K201,0,MATCH(G$6,$K$6:$V$6)-1))</f>
        <v>-891.66666666666674</v>
      </c>
      <c r="H201" s="677" t="e">
        <f t="shared" ref="H201:H205" ca="1" si="111">SUM($Y201:OFFSET($Y201,0,MATCH(H$6,$Y$6:$AJ$6)-1))</f>
        <v>#N/A</v>
      </c>
      <c r="I201" s="677" t="e">
        <f t="shared" ca="1" si="106"/>
        <v>#N/A</v>
      </c>
      <c r="K201" s="677">
        <f t="shared" ref="K201:W201" si="112">K185+K199</f>
        <v>-891.66666666666674</v>
      </c>
      <c r="L201" s="677">
        <f t="shared" si="112"/>
        <v>-891.66666666666674</v>
      </c>
      <c r="M201" s="677">
        <f t="shared" si="112"/>
        <v>-891.66666666666674</v>
      </c>
      <c r="N201" s="677">
        <f t="shared" si="112"/>
        <v>-891.66666666666674</v>
      </c>
      <c r="O201" s="677">
        <f t="shared" si="112"/>
        <v>-891.66666666666674</v>
      </c>
      <c r="P201" s="677">
        <f t="shared" si="112"/>
        <v>-52761.666666666664</v>
      </c>
      <c r="Q201" s="677">
        <f t="shared" si="112"/>
        <v>-891.66666666666674</v>
      </c>
      <c r="R201" s="677">
        <f t="shared" si="112"/>
        <v>-891.66666666666674</v>
      </c>
      <c r="S201" s="677">
        <f t="shared" si="112"/>
        <v>-891.66666666666674</v>
      </c>
      <c r="T201" s="677">
        <f t="shared" si="112"/>
        <v>-891.66666666666674</v>
      </c>
      <c r="U201" s="677">
        <f t="shared" si="112"/>
        <v>-891.66666666666674</v>
      </c>
      <c r="V201" s="677">
        <f t="shared" si="112"/>
        <v>-50891.666666666664</v>
      </c>
      <c r="W201" s="677">
        <f t="shared" si="112"/>
        <v>-112569.99999999999</v>
      </c>
      <c r="Y201" s="677">
        <f t="shared" ref="Y201:AK201" si="113">Y185+Y199</f>
        <v>76783.72</v>
      </c>
      <c r="Z201" s="677">
        <f t="shared" si="113"/>
        <v>-28885.66</v>
      </c>
      <c r="AA201" s="677">
        <f t="shared" si="113"/>
        <v>-55880.649999999994</v>
      </c>
      <c r="AB201" s="677">
        <f t="shared" si="113"/>
        <v>-116950.57</v>
      </c>
      <c r="AC201" s="677">
        <f t="shared" si="113"/>
        <v>115842.71999999999</v>
      </c>
      <c r="AD201" s="677">
        <f t="shared" si="113"/>
        <v>175286.90999999997</v>
      </c>
      <c r="AE201" s="677">
        <f t="shared" si="113"/>
        <v>58082.18</v>
      </c>
      <c r="AF201" s="677">
        <f t="shared" si="113"/>
        <v>150680.46</v>
      </c>
      <c r="AG201" s="677">
        <f t="shared" si="113"/>
        <v>-15282.1</v>
      </c>
      <c r="AH201" s="677">
        <f t="shared" si="113"/>
        <v>112387.1</v>
      </c>
      <c r="AI201" s="677">
        <f t="shared" si="113"/>
        <v>60994.8</v>
      </c>
      <c r="AJ201" s="677">
        <f t="shared" si="113"/>
        <v>348171.39</v>
      </c>
      <c r="AK201" s="677">
        <f t="shared" si="113"/>
        <v>881230.29999999993</v>
      </c>
    </row>
    <row r="202" spans="1:37" ht="13.5" customHeight="1">
      <c r="A202" s="653">
        <f>'Budget-合并'!A202</f>
        <v>0</v>
      </c>
      <c r="B202" s="653">
        <f>'Budget-合并'!B202</f>
        <v>0</v>
      </c>
      <c r="C202" s="687">
        <f>'Budget-合并'!C202</f>
        <v>0</v>
      </c>
    </row>
    <row r="203" spans="1:37" ht="13.5" customHeight="1">
      <c r="A203" s="653" t="str">
        <f>'Budget-合并'!A203</f>
        <v>6801.01</v>
      </c>
      <c r="B203" s="653" t="str">
        <f>'Budget-合并'!B203</f>
        <v>当期所得税费用</v>
      </c>
      <c r="C203" s="687" t="str">
        <f>'Budget-合并'!C203</f>
        <v>Enterprise Income Tax</v>
      </c>
      <c r="D203" s="676">
        <f t="shared" ref="D203:D205" si="114">INDEX($K203:$V203,1,MATCH($D$6,$K$6:$V$6))</f>
        <v>0</v>
      </c>
      <c r="E203" s="676" t="e">
        <f t="shared" si="105"/>
        <v>#N/A</v>
      </c>
      <c r="F203" s="676" t="e">
        <f t="shared" si="109"/>
        <v>#N/A</v>
      </c>
      <c r="G203" s="676">
        <f t="shared" ca="1" si="110"/>
        <v>0</v>
      </c>
      <c r="H203" s="676" t="e">
        <f t="shared" ca="1" si="111"/>
        <v>#N/A</v>
      </c>
      <c r="I203" s="676" t="e">
        <f t="shared" ca="1" si="106"/>
        <v>#N/A</v>
      </c>
      <c r="K203" s="676"/>
      <c r="L203" s="676"/>
      <c r="M203" s="676"/>
      <c r="N203" s="676"/>
      <c r="O203" s="676"/>
      <c r="P203" s="676"/>
      <c r="Q203" s="676"/>
      <c r="R203" s="676"/>
      <c r="S203" s="676"/>
      <c r="T203" s="676"/>
      <c r="U203" s="676"/>
      <c r="V203" s="676"/>
      <c r="W203" s="676">
        <f t="shared" ref="W203:W205" si="115">SUM(K203:V203)</f>
        <v>0</v>
      </c>
      <c r="Y203" s="688">
        <f>IFERROR(VLOOKUP($A203,'[95]1月'!$A:$H,8,0),0)</f>
        <v>0</v>
      </c>
      <c r="Z203" s="688">
        <f>IFERROR(VLOOKUP($A203,'[95]2月'!$A:$H,8,0),0)</f>
        <v>0</v>
      </c>
      <c r="AA203" s="688">
        <f>IFERROR(VLOOKUP($A203,'[95]3月'!$A:$H,8,0),0)</f>
        <v>0</v>
      </c>
      <c r="AB203" s="688">
        <f>IFERROR(VLOOKUP($A203,'[95]4月'!$A:$H,8,0),0)</f>
        <v>0</v>
      </c>
      <c r="AC203" s="688">
        <f>IFERROR(VLOOKUP($A203,'[95]5月'!$A:$H,8,0),0)</f>
        <v>0</v>
      </c>
      <c r="AD203" s="688">
        <f>IFERROR(VLOOKUP($A203,'[95]6月'!$A:$H,8,0),0)</f>
        <v>0</v>
      </c>
      <c r="AE203" s="688">
        <f>IFERROR(VLOOKUP($A203,'[95]7月'!$A:$H,8,0),0)</f>
        <v>0</v>
      </c>
      <c r="AF203" s="688">
        <f>IFERROR(VLOOKUP($A203,'[95]8月'!$A:$H,8,0),0)</f>
        <v>0</v>
      </c>
      <c r="AG203" s="688">
        <f>IFERROR(VLOOKUP($A203,'[95]9月'!$A:$H,8,0),0)</f>
        <v>0</v>
      </c>
      <c r="AH203" s="688">
        <f>IFERROR(VLOOKUP($A203,'[95]10月'!$A:$H,8,0),0)</f>
        <v>0</v>
      </c>
      <c r="AI203" s="688">
        <f>IFERROR(VLOOKUP($A203,'[95]11月'!$A:$H,8,0),0)</f>
        <v>0</v>
      </c>
      <c r="AJ203" s="688">
        <f>IFERROR(VLOOKUP($A203,'[95]12月'!$A:$H,8,0),0)</f>
        <v>0</v>
      </c>
      <c r="AK203" s="688">
        <f t="shared" ref="AK203:AK205" si="116">SUM(Y203:AJ203)</f>
        <v>0</v>
      </c>
    </row>
    <row r="204" spans="1:37" ht="13.5" customHeight="1">
      <c r="A204" s="653" t="str">
        <f>'Budget-合并'!A204</f>
        <v>6801.02</v>
      </c>
      <c r="B204" s="653" t="str">
        <f>'Budget-合并'!B204</f>
        <v>递延所得税费用</v>
      </c>
      <c r="C204" s="687">
        <f>'Budget-合并'!C204</f>
        <v>0</v>
      </c>
      <c r="D204" s="676">
        <f t="shared" si="114"/>
        <v>0</v>
      </c>
      <c r="E204" s="676" t="e">
        <f t="shared" si="105"/>
        <v>#N/A</v>
      </c>
      <c r="F204" s="676" t="e">
        <f t="shared" si="109"/>
        <v>#N/A</v>
      </c>
      <c r="G204" s="676">
        <f t="shared" ca="1" si="110"/>
        <v>0</v>
      </c>
      <c r="H204" s="676" t="e">
        <f t="shared" ca="1" si="111"/>
        <v>#N/A</v>
      </c>
      <c r="I204" s="676" t="e">
        <f t="shared" ca="1" si="106"/>
        <v>#N/A</v>
      </c>
      <c r="K204" s="676"/>
      <c r="L204" s="676"/>
      <c r="M204" s="676"/>
      <c r="N204" s="676"/>
      <c r="O204" s="676"/>
      <c r="P204" s="676"/>
      <c r="Q204" s="676"/>
      <c r="R204" s="676"/>
      <c r="S204" s="676"/>
      <c r="T204" s="676"/>
      <c r="U204" s="676"/>
      <c r="V204" s="676"/>
      <c r="W204" s="676">
        <f t="shared" si="115"/>
        <v>0</v>
      </c>
      <c r="Y204" s="688">
        <f>IFERROR(VLOOKUP($A204,'[95]1月'!$A:$H,8,0),0)</f>
        <v>0</v>
      </c>
      <c r="Z204" s="688">
        <f>IFERROR(VLOOKUP($A204,'[95]2月'!$A:$H,8,0),0)</f>
        <v>0</v>
      </c>
      <c r="AA204" s="688">
        <f>IFERROR(VLOOKUP($A204,'[95]3月'!$A:$H,8,0),0)</f>
        <v>0</v>
      </c>
      <c r="AB204" s="688">
        <f>IFERROR(VLOOKUP($A204,'[95]4月'!$A:$H,8,0),0)</f>
        <v>0</v>
      </c>
      <c r="AC204" s="688">
        <f>IFERROR(VLOOKUP($A204,'[95]5月'!$A:$H,8,0),0)</f>
        <v>0</v>
      </c>
      <c r="AD204" s="688">
        <f>IFERROR(VLOOKUP($A204,'[95]6月'!$A:$H,8,0),0)</f>
        <v>0</v>
      </c>
      <c r="AE204" s="688">
        <f>IFERROR(VLOOKUP($A204,'[95]7月'!$A:$H,8,0),0)</f>
        <v>0</v>
      </c>
      <c r="AF204" s="688">
        <f>IFERROR(VLOOKUP($A204,'[95]8月'!$A:$H,8,0),0)</f>
        <v>0</v>
      </c>
      <c r="AG204" s="688">
        <f>IFERROR(VLOOKUP($A204,'[95]9月'!$A:$H,8,0),0)</f>
        <v>0</v>
      </c>
      <c r="AH204" s="688">
        <f>IFERROR(VLOOKUP($A204,'[95]10月'!$A:$H,8,0),0)</f>
        <v>0</v>
      </c>
      <c r="AI204" s="688">
        <f>IFERROR(VLOOKUP($A204,'[95]11月'!$A:$H,8,0),0)</f>
        <v>0</v>
      </c>
      <c r="AJ204" s="688">
        <f>IFERROR(VLOOKUP($A204,'[95]12月'!$A:$H,8,0),0)</f>
        <v>0</v>
      </c>
      <c r="AK204" s="688">
        <f t="shared" si="116"/>
        <v>0</v>
      </c>
    </row>
    <row r="205" spans="1:37" ht="13.5" customHeight="1">
      <c r="A205" s="653" t="str">
        <f>'Budget-合并'!A205</f>
        <v>6801.03</v>
      </c>
      <c r="B205" s="653" t="str">
        <f>'Budget-合并'!B205</f>
        <v>以前年度所得税费用</v>
      </c>
      <c r="C205" s="687">
        <f>'Budget-合并'!C205</f>
        <v>0</v>
      </c>
      <c r="D205" s="676">
        <f t="shared" si="114"/>
        <v>0</v>
      </c>
      <c r="E205" s="676" t="e">
        <f t="shared" si="105"/>
        <v>#N/A</v>
      </c>
      <c r="F205" s="676" t="e">
        <f t="shared" si="109"/>
        <v>#N/A</v>
      </c>
      <c r="G205" s="676">
        <f t="shared" ca="1" si="110"/>
        <v>0</v>
      </c>
      <c r="H205" s="676" t="e">
        <f t="shared" ca="1" si="111"/>
        <v>#N/A</v>
      </c>
      <c r="I205" s="676" t="e">
        <f t="shared" ca="1" si="106"/>
        <v>#N/A</v>
      </c>
      <c r="K205" s="676"/>
      <c r="L205" s="676"/>
      <c r="M205" s="676"/>
      <c r="N205" s="676"/>
      <c r="O205" s="676"/>
      <c r="P205" s="676"/>
      <c r="Q205" s="676"/>
      <c r="R205" s="676"/>
      <c r="S205" s="676"/>
      <c r="T205" s="676"/>
      <c r="U205" s="676"/>
      <c r="V205" s="676"/>
      <c r="W205" s="676">
        <f t="shared" si="115"/>
        <v>0</v>
      </c>
      <c r="Y205" s="688">
        <f>IFERROR(VLOOKUP($A205,'[95]1月'!$A:$H,8,0),0)</f>
        <v>0</v>
      </c>
      <c r="Z205" s="688">
        <f>IFERROR(VLOOKUP($A205,'[95]2月'!$A:$H,8,0),0)</f>
        <v>0</v>
      </c>
      <c r="AA205" s="688">
        <f>IFERROR(VLOOKUP($A205,'[95]3月'!$A:$H,8,0),0)</f>
        <v>0</v>
      </c>
      <c r="AB205" s="688">
        <f>IFERROR(VLOOKUP($A205,'[95]4月'!$A:$H,8,0),0)</f>
        <v>0</v>
      </c>
      <c r="AC205" s="688">
        <f>IFERROR(VLOOKUP($A205,'[95]5月'!$A:$H,8,0),0)</f>
        <v>0</v>
      </c>
      <c r="AD205" s="688">
        <f>IFERROR(VLOOKUP($A205,'[95]6月'!$A:$H,8,0),0)</f>
        <v>0</v>
      </c>
      <c r="AE205" s="688">
        <f>IFERROR(VLOOKUP($A205,'[95]7月'!$A:$H,8,0),0)</f>
        <v>0</v>
      </c>
      <c r="AF205" s="688">
        <f>IFERROR(VLOOKUP($A205,'[95]8月'!$A:$H,8,0),0)</f>
        <v>0</v>
      </c>
      <c r="AG205" s="688">
        <f>IFERROR(VLOOKUP($A205,'[95]9月'!$A:$H,8,0),0)</f>
        <v>0</v>
      </c>
      <c r="AH205" s="688">
        <f>IFERROR(VLOOKUP($A205,'[95]10月'!$A:$H,8,0),0)</f>
        <v>0</v>
      </c>
      <c r="AI205" s="688">
        <f>IFERROR(VLOOKUP($A205,'[95]11月'!$A:$H,8,0),0)</f>
        <v>0</v>
      </c>
      <c r="AJ205" s="688">
        <f>IFERROR(VLOOKUP($A205,'[95]12月'!$A:$H,8,0),0)</f>
        <v>0</v>
      </c>
      <c r="AK205" s="688">
        <f t="shared" si="116"/>
        <v>0</v>
      </c>
    </row>
    <row r="206" spans="1:37" ht="13.5" customHeight="1">
      <c r="A206" s="653">
        <f>'Budget-合并'!A206</f>
        <v>0</v>
      </c>
      <c r="B206" s="653">
        <f>'Budget-合并'!B206</f>
        <v>0</v>
      </c>
      <c r="C206" s="687">
        <f>'Budget-合并'!C206</f>
        <v>0</v>
      </c>
    </row>
    <row r="207" spans="1:37" ht="13.5" customHeight="1">
      <c r="A207" s="686">
        <f>'Budget-合并'!A207</f>
        <v>0</v>
      </c>
      <c r="B207" s="686" t="str">
        <f>'Budget-合并'!B207</f>
        <v>五  税后利润</v>
      </c>
      <c r="C207" s="687">
        <f>'Budget-合并'!C207</f>
        <v>0</v>
      </c>
      <c r="D207" s="677">
        <f>INDEX($K207:$V207,1,MATCH($D$6,$K$6:$V$6))</f>
        <v>-891.66666666666674</v>
      </c>
      <c r="E207" s="677" t="e">
        <f>INDEX($Y207:$AJ207,1,MATCH($E$6,$Y$6:$AJ$6))</f>
        <v>#N/A</v>
      </c>
      <c r="F207" s="677" t="e">
        <f>D207-E207</f>
        <v>#N/A</v>
      </c>
      <c r="G207" s="677">
        <f ca="1">SUM($K207:OFFSET($K207,0,MATCH(G$6,$K$6:$V$6)-1))</f>
        <v>-891.66666666666674</v>
      </c>
      <c r="H207" s="677" t="e">
        <f ca="1">SUM($Y207:OFFSET($Y207,0,MATCH(H$6,$Y$6:$AJ$6)-1))</f>
        <v>#N/A</v>
      </c>
      <c r="I207" s="677" t="e">
        <f ca="1">G207-H207</f>
        <v>#N/A</v>
      </c>
      <c r="K207" s="677">
        <f t="shared" ref="K207:W207" si="117">K201-K203-K204-K205</f>
        <v>-891.66666666666674</v>
      </c>
      <c r="L207" s="677">
        <f t="shared" si="117"/>
        <v>-891.66666666666674</v>
      </c>
      <c r="M207" s="677">
        <f t="shared" si="117"/>
        <v>-891.66666666666674</v>
      </c>
      <c r="N207" s="677">
        <f t="shared" si="117"/>
        <v>-891.66666666666674</v>
      </c>
      <c r="O207" s="677">
        <f t="shared" si="117"/>
        <v>-891.66666666666674</v>
      </c>
      <c r="P207" s="677">
        <f t="shared" si="117"/>
        <v>-52761.666666666664</v>
      </c>
      <c r="Q207" s="677">
        <f t="shared" si="117"/>
        <v>-891.66666666666674</v>
      </c>
      <c r="R207" s="677">
        <f t="shared" si="117"/>
        <v>-891.66666666666674</v>
      </c>
      <c r="S207" s="677">
        <f t="shared" si="117"/>
        <v>-891.66666666666674</v>
      </c>
      <c r="T207" s="677">
        <f t="shared" si="117"/>
        <v>-891.66666666666674</v>
      </c>
      <c r="U207" s="677">
        <f t="shared" si="117"/>
        <v>-891.66666666666674</v>
      </c>
      <c r="V207" s="677">
        <f t="shared" si="117"/>
        <v>-50891.666666666664</v>
      </c>
      <c r="W207" s="677">
        <f t="shared" si="117"/>
        <v>-112569.99999999999</v>
      </c>
      <c r="Y207" s="677">
        <f t="shared" ref="Y207:AK207" si="118">Y201-Y203-Y204-Y205</f>
        <v>76783.72</v>
      </c>
      <c r="Z207" s="677">
        <f t="shared" si="118"/>
        <v>-28885.66</v>
      </c>
      <c r="AA207" s="677">
        <f t="shared" si="118"/>
        <v>-55880.649999999994</v>
      </c>
      <c r="AB207" s="677">
        <f t="shared" si="118"/>
        <v>-116950.57</v>
      </c>
      <c r="AC207" s="677">
        <f t="shared" si="118"/>
        <v>115842.71999999999</v>
      </c>
      <c r="AD207" s="677">
        <f t="shared" si="118"/>
        <v>175286.90999999997</v>
      </c>
      <c r="AE207" s="677">
        <f t="shared" si="118"/>
        <v>58082.18</v>
      </c>
      <c r="AF207" s="677">
        <f t="shared" si="118"/>
        <v>150680.46</v>
      </c>
      <c r="AG207" s="677">
        <f t="shared" si="118"/>
        <v>-15282.1</v>
      </c>
      <c r="AH207" s="677">
        <f t="shared" si="118"/>
        <v>112387.1</v>
      </c>
      <c r="AI207" s="677">
        <f t="shared" si="118"/>
        <v>60994.8</v>
      </c>
      <c r="AJ207" s="677">
        <f t="shared" si="118"/>
        <v>348171.39</v>
      </c>
      <c r="AK207" s="677">
        <f t="shared" si="118"/>
        <v>881230.29999999993</v>
      </c>
    </row>
    <row r="208" spans="1:37" ht="13.5" customHeight="1">
      <c r="A208" s="653">
        <f>'Budget-合并'!A208</f>
        <v>0</v>
      </c>
      <c r="C208" s="687">
        <f>'Budget-合并'!C208</f>
        <v>0</v>
      </c>
    </row>
    <row r="209" spans="1:1" ht="13.5" customHeight="1">
      <c r="A209" s="653">
        <f>'Budget-合并'!A209</f>
        <v>0</v>
      </c>
    </row>
    <row r="210" spans="1:1" ht="13.5" customHeight="1">
      <c r="A210" s="653">
        <f>'Budget-合并'!A210</f>
        <v>0</v>
      </c>
    </row>
    <row r="211" spans="1:1" ht="13.5" customHeight="1">
      <c r="A211" s="653">
        <f>'Budget-合并'!A211</f>
        <v>0</v>
      </c>
    </row>
    <row r="212" spans="1:1" ht="13.5" customHeight="1">
      <c r="A212" s="653">
        <f>'Budget-合并'!A212</f>
        <v>0</v>
      </c>
    </row>
    <row r="213" spans="1:1" ht="13.5" customHeight="1">
      <c r="A213" s="653">
        <f>'Budget-合并'!A213</f>
        <v>0</v>
      </c>
    </row>
    <row r="214" spans="1:1" ht="13.5" customHeight="1">
      <c r="A214" s="653">
        <f>'Budget-合并'!A214</f>
        <v>0</v>
      </c>
    </row>
    <row r="215" spans="1:1" ht="13.5" customHeight="1">
      <c r="A215" s="653">
        <f>'Budget-合并'!A215</f>
        <v>0</v>
      </c>
    </row>
    <row r="216" spans="1:1" ht="13.5" customHeight="1">
      <c r="A216" s="653">
        <f>'Budget-合并'!A216</f>
        <v>0</v>
      </c>
    </row>
    <row r="217" spans="1:1" ht="13.5" customHeight="1">
      <c r="A217" s="653">
        <f>'Budget-合并'!A217</f>
        <v>0</v>
      </c>
    </row>
    <row r="218" spans="1:1" ht="13.5" customHeight="1">
      <c r="A218" s="653">
        <f>'Budget-合并'!A218</f>
        <v>0</v>
      </c>
    </row>
    <row r="219" spans="1:1" ht="13.5" customHeight="1">
      <c r="A219" s="653">
        <f>'Budget-合并'!A219</f>
        <v>0</v>
      </c>
    </row>
  </sheetData>
  <autoFilter ref="A6:W219" xr:uid="{00000000-0009-0000-0000-00000D000000}"/>
  <conditionalFormatting sqref="K5:W5">
    <cfRule type="cellIs" dxfId="114" priority="4" stopIfTrue="1" operator="equal">
      <formula>"Actual"</formula>
    </cfRule>
    <cfRule type="cellIs" dxfId="113" priority="5" stopIfTrue="1" operator="equal">
      <formula>"Forecast"</formula>
    </cfRule>
    <cfRule type="cellIs" dxfId="112" priority="6" stopIfTrue="1" operator="equal">
      <formula>"Budget"</formula>
    </cfRule>
  </conditionalFormatting>
  <conditionalFormatting sqref="Y5:AK5">
    <cfRule type="cellIs" dxfId="111" priority="1" stopIfTrue="1" operator="equal">
      <formula>"Actual"</formula>
    </cfRule>
    <cfRule type="cellIs" dxfId="110" priority="2" stopIfTrue="1" operator="equal">
      <formula>"Forecast"</formula>
    </cfRule>
    <cfRule type="cellIs" dxfId="109" priority="3" stopIfTrue="1" operator="equal">
      <formula>"Budget"</formula>
    </cfRule>
  </conditionalFormatting>
  <dataValidations count="1">
    <dataValidation type="list" allowBlank="1" showInputMessage="1" showErrorMessage="1" sqref="K5:W5 Y5:AK5" xr:uid="{00000000-0002-0000-0D00-000000000000}">
      <formula1>"Actual,Forecast,Budget"</formula1>
    </dataValidation>
  </dataValidations>
  <printOptions horizontalCentered="1" headings="1" gridLines="1"/>
  <pageMargins left="0.39" right="0.35" top="0.59" bottom="0.59" header="0.31" footer="0.31"/>
  <pageSetup paperSize="8" scale="26" orientation="landscape" cellComments="asDisplayed" r:id="rId1"/>
  <headerFooter scaleWithDoc="0" alignWithMargins="0">
    <oddFooter>&amp;L&amp;"Arial,Regular"&amp;8&amp;Z
&amp;F  
&amp;A&amp;CPage &amp;P of &amp;N
&amp;R&amp;"Times New Roman,Regular"&amp;8&amp;D
&amp;T</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pageSetUpPr fitToPage="1"/>
  </sheetPr>
  <dimension ref="A1:AK219"/>
  <sheetViews>
    <sheetView workbookViewId="0">
      <pane xSplit="2" ySplit="6" topLeftCell="R205" activePane="bottomRight" state="frozen"/>
      <selection pane="topRight" activeCell="C1" sqref="C1"/>
      <selection pane="bottomLeft" activeCell="A7" sqref="A7"/>
      <selection pane="bottomRight" activeCell="AB206" sqref="AB206"/>
    </sheetView>
  </sheetViews>
  <sheetFormatPr defaultColWidth="8.75" defaultRowHeight="13.5" customHeight="1"/>
  <cols>
    <col min="1" max="1" width="12.375" style="652" customWidth="1"/>
    <col min="2" max="2" width="28.25" style="653" customWidth="1"/>
    <col min="3" max="3" width="21.5" style="652" customWidth="1"/>
    <col min="4" max="9" width="12.25" style="654" customWidth="1"/>
    <col min="10" max="10" width="2.625" style="654" customWidth="1"/>
    <col min="11" max="22" width="10.375" style="652" customWidth="1"/>
    <col min="23" max="23" width="8.5" style="652" customWidth="1"/>
    <col min="24" max="25" width="8.75" style="652" customWidth="1"/>
    <col min="26" max="28" width="8.75" style="652"/>
    <col min="29" max="30" width="9" style="652"/>
    <col min="31" max="31" width="8.75" style="652"/>
    <col min="32" max="32" width="9" style="652"/>
    <col min="33" max="33" width="8.75" style="652"/>
    <col min="34" max="34" width="9" style="652"/>
    <col min="35" max="16384" width="8.75" style="652"/>
  </cols>
  <sheetData>
    <row r="1" spans="1:37" ht="16.5" customHeight="1">
      <c r="B1" s="681" t="s">
        <v>2482</v>
      </c>
      <c r="C1" s="5"/>
      <c r="D1" s="612" t="s">
        <v>2553</v>
      </c>
      <c r="E1" s="612"/>
      <c r="F1" s="612"/>
    </row>
    <row r="2" spans="1:37" ht="16.5" customHeight="1"/>
    <row r="3" spans="1:37" ht="16.5" customHeight="1">
      <c r="B3" s="663" t="s">
        <v>2484</v>
      </c>
      <c r="C3" s="682"/>
      <c r="D3" s="5" t="s">
        <v>2046</v>
      </c>
      <c r="E3" s="5"/>
      <c r="F3" s="5"/>
    </row>
    <row r="4" spans="1:37" ht="16.5" customHeight="1">
      <c r="K4" s="662"/>
    </row>
    <row r="5" spans="1:37" ht="13.5" customHeight="1">
      <c r="B5" s="663"/>
      <c r="D5" s="664" t="s">
        <v>2495</v>
      </c>
      <c r="E5" s="664" t="s">
        <v>2496</v>
      </c>
      <c r="F5" s="664" t="s">
        <v>2497</v>
      </c>
      <c r="G5" s="664" t="s">
        <v>2498</v>
      </c>
      <c r="H5" s="664" t="s">
        <v>2499</v>
      </c>
      <c r="I5" s="664" t="s">
        <v>2500</v>
      </c>
      <c r="J5" s="665"/>
      <c r="K5" s="666" t="s">
        <v>2501</v>
      </c>
      <c r="L5" s="666" t="s">
        <v>2501</v>
      </c>
      <c r="M5" s="666" t="s">
        <v>2501</v>
      </c>
      <c r="N5" s="666" t="s">
        <v>2501</v>
      </c>
      <c r="O5" s="666" t="s">
        <v>2501</v>
      </c>
      <c r="P5" s="666" t="s">
        <v>2501</v>
      </c>
      <c r="Q5" s="666" t="s">
        <v>2501</v>
      </c>
      <c r="R5" s="666" t="s">
        <v>2501</v>
      </c>
      <c r="S5" s="666" t="s">
        <v>2501</v>
      </c>
      <c r="T5" s="666" t="s">
        <v>2501</v>
      </c>
      <c r="U5" s="666" t="s">
        <v>2501</v>
      </c>
      <c r="V5" s="666" t="s">
        <v>2501</v>
      </c>
      <c r="W5" s="666" t="s">
        <v>2501</v>
      </c>
      <c r="Y5" s="666" t="s">
        <v>2502</v>
      </c>
      <c r="Z5" s="666" t="s">
        <v>2502</v>
      </c>
      <c r="AA5" s="666" t="s">
        <v>2502</v>
      </c>
      <c r="AB5" s="666" t="s">
        <v>2502</v>
      </c>
      <c r="AC5" s="666" t="s">
        <v>2502</v>
      </c>
      <c r="AD5" s="666" t="s">
        <v>2502</v>
      </c>
      <c r="AE5" s="666" t="s">
        <v>2502</v>
      </c>
      <c r="AF5" s="666" t="s">
        <v>2502</v>
      </c>
      <c r="AG5" s="666" t="s">
        <v>2502</v>
      </c>
      <c r="AH5" s="666" t="s">
        <v>2502</v>
      </c>
      <c r="AI5" s="666" t="s">
        <v>2502</v>
      </c>
      <c r="AJ5" s="666" t="s">
        <v>2502</v>
      </c>
      <c r="AK5" s="666" t="s">
        <v>2502</v>
      </c>
    </row>
    <row r="6" spans="1:37" s="648" customFormat="1" ht="13.5" customHeight="1">
      <c r="A6" s="649" t="s">
        <v>2488</v>
      </c>
      <c r="B6" s="667"/>
      <c r="D6" s="668">
        <f>'Flash Report'!$C$2</f>
        <v>46023</v>
      </c>
      <c r="E6" s="668">
        <f>D6-365</f>
        <v>45658</v>
      </c>
      <c r="F6" s="683" t="s">
        <v>2503</v>
      </c>
      <c r="G6" s="684">
        <f>D6</f>
        <v>46023</v>
      </c>
      <c r="H6" s="684">
        <f>E6</f>
        <v>45658</v>
      </c>
      <c r="I6" s="685" t="s">
        <v>2503</v>
      </c>
      <c r="J6" s="669"/>
      <c r="K6" s="670">
        <v>46023</v>
      </c>
      <c r="L6" s="670">
        <v>46054</v>
      </c>
      <c r="M6" s="670">
        <v>46082</v>
      </c>
      <c r="N6" s="670">
        <v>46113</v>
      </c>
      <c r="O6" s="670">
        <v>46143</v>
      </c>
      <c r="P6" s="670">
        <v>46174</v>
      </c>
      <c r="Q6" s="670">
        <v>46204</v>
      </c>
      <c r="R6" s="670">
        <v>46235</v>
      </c>
      <c r="S6" s="670">
        <v>46266</v>
      </c>
      <c r="T6" s="670">
        <v>46296</v>
      </c>
      <c r="U6" s="670">
        <v>46327</v>
      </c>
      <c r="V6" s="670">
        <v>46357</v>
      </c>
      <c r="W6" s="671" t="s">
        <v>2504</v>
      </c>
      <c r="Y6" s="670">
        <v>45658</v>
      </c>
      <c r="Z6" s="670">
        <v>45689</v>
      </c>
      <c r="AA6" s="670">
        <v>45717</v>
      </c>
      <c r="AB6" s="670">
        <v>45748</v>
      </c>
      <c r="AC6" s="670">
        <v>45778</v>
      </c>
      <c r="AD6" s="670">
        <v>45809</v>
      </c>
      <c r="AE6" s="670">
        <v>45839</v>
      </c>
      <c r="AF6" s="670">
        <v>45870</v>
      </c>
      <c r="AG6" s="670">
        <v>45901</v>
      </c>
      <c r="AH6" s="670">
        <v>45931</v>
      </c>
      <c r="AI6" s="670">
        <v>45962</v>
      </c>
      <c r="AJ6" s="670">
        <v>45992</v>
      </c>
      <c r="AK6" s="671" t="s">
        <v>2505</v>
      </c>
    </row>
    <row r="7" spans="1:37" s="649" customFormat="1" ht="13.5" customHeight="1">
      <c r="A7" s="653" t="str">
        <f>'Budget-合并'!A7</f>
        <v>6001</v>
      </c>
      <c r="B7" s="686" t="str">
        <f>'Budget-合并'!B7</f>
        <v>营业收入</v>
      </c>
      <c r="C7" s="687">
        <f>VLOOKUP(A7,Account!A:F,4,0)</f>
        <v>0</v>
      </c>
      <c r="D7" s="674"/>
      <c r="E7" s="674"/>
      <c r="F7" s="674"/>
      <c r="G7" s="674"/>
      <c r="H7" s="674"/>
      <c r="I7" s="674"/>
      <c r="J7" s="674"/>
      <c r="K7" s="674"/>
      <c r="L7" s="674"/>
      <c r="M7" s="674"/>
      <c r="N7" s="674"/>
      <c r="O7" s="674"/>
      <c r="P7" s="674"/>
      <c r="Q7" s="674"/>
      <c r="R7" s="674"/>
      <c r="S7" s="674"/>
      <c r="T7" s="674"/>
      <c r="U7" s="674"/>
      <c r="V7" s="674"/>
      <c r="W7" s="674"/>
    </row>
    <row r="8" spans="1:37" ht="13.5" customHeight="1">
      <c r="A8" s="653" t="str">
        <f>'Budget-合并'!A8</f>
        <v>6001.01</v>
      </c>
      <c r="B8" s="653" t="str">
        <f>'Budget-合并'!B8</f>
        <v>基金管理费收入</v>
      </c>
      <c r="C8" s="687" t="str">
        <f>'Budget-合并'!C8</f>
        <v>Fund Management Fee</v>
      </c>
      <c r="D8" s="676">
        <f t="shared" ref="D8:D12" si="0">INDEX($K8:$V8,1,MATCH($D$6,$K$6:$V$6))</f>
        <v>0</v>
      </c>
      <c r="E8" s="676">
        <f>INDEX($Y8:$AJ8,1,MATCH($E$6,$Y$6:$AJ$6))</f>
        <v>0</v>
      </c>
      <c r="F8" s="676">
        <f>D8-E8</f>
        <v>0</v>
      </c>
      <c r="G8" s="676">
        <f t="shared" ref="G8:G12" ca="1" si="1">SUM($K8:OFFSET($K8,0,MATCH(G$6,$K$6:$V$6)-1))</f>
        <v>0</v>
      </c>
      <c r="H8" s="676">
        <f t="shared" ref="H8:H12" ca="1" si="2">SUM($Y8:OFFSET($Y8,0,MATCH(H$6,$Y$6:$AJ$6)-1))</f>
        <v>0</v>
      </c>
      <c r="I8" s="676">
        <f ca="1">G8-H8</f>
        <v>0</v>
      </c>
      <c r="K8" s="676"/>
      <c r="L8" s="676"/>
      <c r="M8" s="676"/>
      <c r="N8" s="676"/>
      <c r="O8" s="676"/>
      <c r="P8" s="676"/>
      <c r="Q8" s="676"/>
      <c r="R8" s="676"/>
      <c r="S8" s="676"/>
      <c r="T8" s="676"/>
      <c r="U8" s="676"/>
      <c r="V8" s="676"/>
      <c r="W8" s="676">
        <f t="shared" ref="W8:W11" si="3">SUM(K8:V8)</f>
        <v>0</v>
      </c>
      <c r="Y8" s="688">
        <f>IFERROR(VLOOKUP($A8,'[96]1月'!$A:$H,8,0),0)</f>
        <v>0</v>
      </c>
      <c r="Z8" s="688">
        <f>IFERROR(VLOOKUP($A8,'[96]2月'!$A:$H,8,0),0)</f>
        <v>0</v>
      </c>
      <c r="AA8" s="688">
        <f>IFERROR(VLOOKUP($A8,'[96]3月'!$A:$H,8,0),0)</f>
        <v>0</v>
      </c>
      <c r="AB8" s="688">
        <f>IFERROR(VLOOKUP($A8,'[96]4月'!$A:$H,8,0),0)</f>
        <v>0</v>
      </c>
      <c r="AC8" s="688">
        <f>IFERROR(VLOOKUP($A8,'[96]5月'!$A:$H,8,0),0)</f>
        <v>0</v>
      </c>
      <c r="AD8" s="688">
        <f>IFERROR(VLOOKUP($A8,'[96]6月'!$A:$H,8,0),0)</f>
        <v>0</v>
      </c>
      <c r="AE8" s="688">
        <f>IFERROR(VLOOKUP($A8,'[96]7月'!$A:$H,8,0),0)</f>
        <v>0</v>
      </c>
      <c r="AF8" s="688">
        <f>IFERROR(VLOOKUP($A8,'[96]8月'!$A:$H,8,0),0)</f>
        <v>0</v>
      </c>
      <c r="AG8" s="688">
        <f>IFERROR(VLOOKUP($A8,'[96]9月'!$A:$H,8,0),0)</f>
        <v>0</v>
      </c>
      <c r="AH8" s="688">
        <f>IFERROR(VLOOKUP($A8,'[96]10月'!$A:$H,8,0),0)</f>
        <v>0</v>
      </c>
      <c r="AI8" s="688">
        <f>IFERROR(VLOOKUP($A8,'[96]11月'!$A:$H,8,0),0)</f>
        <v>0</v>
      </c>
      <c r="AJ8" s="688">
        <f>IFERROR(VLOOKUP($A8,'[96]12月'!$A:$H,8,0),0)</f>
        <v>0</v>
      </c>
      <c r="AK8" s="688">
        <f t="shared" ref="AK8:AK11" si="4">SUM(Y8:AJ8)</f>
        <v>0</v>
      </c>
    </row>
    <row r="9" spans="1:37" ht="13.5" customHeight="1">
      <c r="A9" s="653" t="str">
        <f>'Budget-合并'!A9</f>
        <v>6001.02</v>
      </c>
      <c r="B9" s="653" t="str">
        <f>'Budget-合并'!B9</f>
        <v>咨询服务费收入</v>
      </c>
      <c r="C9" s="687" t="str">
        <f>'Budget-合并'!C9</f>
        <v>Advisory Fee Income</v>
      </c>
      <c r="D9" s="676">
        <f t="shared" si="0"/>
        <v>0</v>
      </c>
      <c r="E9" s="676">
        <f t="shared" ref="E9:E19" si="5">INDEX($Y9:$AJ9,1,MATCH($E$6,$Y$6:$AJ$6))</f>
        <v>0</v>
      </c>
      <c r="F9" s="676">
        <f t="shared" ref="F9:F19" si="6">D9-E9</f>
        <v>0</v>
      </c>
      <c r="G9" s="676">
        <f t="shared" ca="1" si="1"/>
        <v>0</v>
      </c>
      <c r="H9" s="676">
        <f t="shared" ca="1" si="2"/>
        <v>0</v>
      </c>
      <c r="I9" s="676">
        <f t="shared" ref="I9:I19" ca="1" si="7">G9-H9</f>
        <v>0</v>
      </c>
      <c r="K9" s="676">
        <f t="shared" ref="K9:V9" si="8">SUM(K10:K11)</f>
        <v>0</v>
      </c>
      <c r="L9" s="676">
        <f t="shared" si="8"/>
        <v>0</v>
      </c>
      <c r="M9" s="676">
        <f t="shared" si="8"/>
        <v>0</v>
      </c>
      <c r="N9" s="676">
        <f t="shared" si="8"/>
        <v>0</v>
      </c>
      <c r="O9" s="676">
        <f t="shared" si="8"/>
        <v>0</v>
      </c>
      <c r="P9" s="676">
        <f t="shared" si="8"/>
        <v>0</v>
      </c>
      <c r="Q9" s="676">
        <f t="shared" si="8"/>
        <v>0</v>
      </c>
      <c r="R9" s="676">
        <f t="shared" si="8"/>
        <v>0</v>
      </c>
      <c r="S9" s="676">
        <f t="shared" si="8"/>
        <v>0</v>
      </c>
      <c r="T9" s="676">
        <f t="shared" si="8"/>
        <v>0</v>
      </c>
      <c r="U9" s="676">
        <f t="shared" si="8"/>
        <v>0</v>
      </c>
      <c r="V9" s="676">
        <f t="shared" si="8"/>
        <v>0</v>
      </c>
      <c r="W9" s="676">
        <f t="shared" si="3"/>
        <v>0</v>
      </c>
      <c r="Y9" s="688">
        <f>IFERROR(VLOOKUP($A9,'[96]1月'!$A:$H,8,0),0)</f>
        <v>0</v>
      </c>
      <c r="Z9" s="688">
        <f>IFERROR(VLOOKUP($A9,'[96]2月'!$A:$H,8,0),0)</f>
        <v>0</v>
      </c>
      <c r="AA9" s="688">
        <f>IFERROR(VLOOKUP($A9,'[96]3月'!$A:$H,8,0),0)</f>
        <v>0</v>
      </c>
      <c r="AB9" s="688">
        <f>IFERROR(VLOOKUP($A9,'[96]4月'!$A:$H,8,0),0)</f>
        <v>0</v>
      </c>
      <c r="AC9" s="688">
        <f>IFERROR(VLOOKUP($A9,'[96]5月'!$A:$H,8,0),0)</f>
        <v>0</v>
      </c>
      <c r="AD9" s="688">
        <f>IFERROR(VLOOKUP($A9,'[96]6月'!$A:$H,8,0),0)</f>
        <v>0</v>
      </c>
      <c r="AE9" s="688">
        <f>IFERROR(VLOOKUP($A9,'[96]7月'!$A:$H,8,0),0)</f>
        <v>0</v>
      </c>
      <c r="AF9" s="688">
        <f>IFERROR(VLOOKUP($A9,'[96]8月'!$A:$H,8,0),0)</f>
        <v>0</v>
      </c>
      <c r="AG9" s="688">
        <f>IFERROR(VLOOKUP($A9,'[96]9月'!$A:$H,8,0),0)</f>
        <v>0</v>
      </c>
      <c r="AH9" s="688">
        <f>IFERROR(VLOOKUP($A9,'[96]10月'!$A:$H,8,0),0)</f>
        <v>0</v>
      </c>
      <c r="AI9" s="688">
        <f>IFERROR(VLOOKUP($A9,'[96]11月'!$A:$H,8,0),0)</f>
        <v>0</v>
      </c>
      <c r="AJ9" s="688">
        <f>IFERROR(VLOOKUP($A9,'[96]12月'!$A:$H,8,0),0)</f>
        <v>0</v>
      </c>
      <c r="AK9" s="688">
        <f t="shared" si="4"/>
        <v>0</v>
      </c>
    </row>
    <row r="10" spans="1:37" ht="13.5" customHeight="1">
      <c r="A10" s="653">
        <f>'Budget-合并'!A10</f>
        <v>0</v>
      </c>
      <c r="B10" s="653" t="str">
        <f>'Budget-合并'!B10</f>
        <v xml:space="preserve">   辉飏咨询服务费</v>
      </c>
      <c r="C10" s="687" t="str">
        <f>'Budget-合并'!C10</f>
        <v xml:space="preserve">  HYNE</v>
      </c>
      <c r="D10" s="676">
        <f t="shared" si="0"/>
        <v>0</v>
      </c>
      <c r="E10" s="676">
        <f t="shared" si="5"/>
        <v>0</v>
      </c>
      <c r="F10" s="676">
        <f t="shared" si="6"/>
        <v>0</v>
      </c>
      <c r="G10" s="676">
        <f t="shared" ca="1" si="1"/>
        <v>0</v>
      </c>
      <c r="H10" s="676">
        <f t="shared" ca="1" si="2"/>
        <v>0</v>
      </c>
      <c r="I10" s="676">
        <f t="shared" ca="1" si="7"/>
        <v>0</v>
      </c>
      <c r="K10" s="676"/>
      <c r="L10" s="676"/>
      <c r="M10" s="676"/>
      <c r="N10" s="676"/>
      <c r="O10" s="676"/>
      <c r="P10" s="676"/>
      <c r="Q10" s="676"/>
      <c r="R10" s="676"/>
      <c r="S10" s="676"/>
      <c r="T10" s="676"/>
      <c r="U10" s="676"/>
      <c r="V10" s="676"/>
      <c r="W10" s="676">
        <f t="shared" si="3"/>
        <v>0</v>
      </c>
      <c r="Y10" s="688">
        <f>IFERROR(VLOOKUP($A10,'[96]1月'!$A:$H,8,0),0)</f>
        <v>0</v>
      </c>
      <c r="Z10" s="688">
        <f>IFERROR(VLOOKUP($A10,'[96]2月'!$A:$H,8,0),0)</f>
        <v>0</v>
      </c>
      <c r="AA10" s="688">
        <f>IFERROR(VLOOKUP($A10,'[96]3月'!$A:$H,8,0),0)</f>
        <v>0</v>
      </c>
      <c r="AB10" s="688">
        <f>IFERROR(VLOOKUP($A10,'[96]4月'!$A:$H,8,0),0)</f>
        <v>0</v>
      </c>
      <c r="AC10" s="688">
        <f>IFERROR(VLOOKUP($A10,'[96]5月'!$A:$H,8,0),0)</f>
        <v>0</v>
      </c>
      <c r="AD10" s="688">
        <f>IFERROR(VLOOKUP($A10,'[96]6月'!$A:$H,8,0),0)</f>
        <v>0</v>
      </c>
      <c r="AE10" s="688">
        <f>IFERROR(VLOOKUP($A10,'[96]7月'!$A:$H,8,0),0)</f>
        <v>0</v>
      </c>
      <c r="AF10" s="688">
        <f>IFERROR(VLOOKUP($A10,'[96]8月'!$A:$H,8,0),0)</f>
        <v>0</v>
      </c>
      <c r="AG10" s="688">
        <f>IFERROR(VLOOKUP($A10,'[96]9月'!$A:$H,8,0),0)</f>
        <v>0</v>
      </c>
      <c r="AH10" s="688">
        <f>IFERROR(VLOOKUP($A10,'[96]10月'!$A:$H,8,0),0)</f>
        <v>0</v>
      </c>
      <c r="AI10" s="688">
        <f>IFERROR(VLOOKUP($A10,'[96]11月'!$A:$H,8,0),0)</f>
        <v>0</v>
      </c>
      <c r="AJ10" s="688">
        <f>IFERROR(VLOOKUP($A10,'[96]12月'!$A:$H,8,0),0)</f>
        <v>0</v>
      </c>
      <c r="AK10" s="688">
        <f t="shared" si="4"/>
        <v>0</v>
      </c>
    </row>
    <row r="11" spans="1:37" ht="13.5" customHeight="1">
      <c r="A11" s="653">
        <f>'Budget-合并'!A11</f>
        <v>0</v>
      </c>
      <c r="B11" s="653" t="str">
        <f>'Budget-合并'!B11</f>
        <v xml:space="preserve">      MAA咨询管理费</v>
      </c>
      <c r="C11" s="687" t="str">
        <f>'Budget-合并'!C11</f>
        <v xml:space="preserve">  MAA</v>
      </c>
      <c r="D11" s="676">
        <f t="shared" si="0"/>
        <v>0</v>
      </c>
      <c r="E11" s="676">
        <f t="shared" si="5"/>
        <v>0</v>
      </c>
      <c r="F11" s="676">
        <f t="shared" si="6"/>
        <v>0</v>
      </c>
      <c r="G11" s="676">
        <f t="shared" ca="1" si="1"/>
        <v>0</v>
      </c>
      <c r="H11" s="676">
        <f t="shared" ca="1" si="2"/>
        <v>0</v>
      </c>
      <c r="I11" s="676">
        <f t="shared" ca="1" si="7"/>
        <v>0</v>
      </c>
      <c r="K11" s="676"/>
      <c r="L11" s="676"/>
      <c r="M11" s="676"/>
      <c r="N11" s="676"/>
      <c r="O11" s="676"/>
      <c r="P11" s="676"/>
      <c r="Q11" s="676"/>
      <c r="R11" s="676"/>
      <c r="S11" s="676"/>
      <c r="T11" s="676"/>
      <c r="U11" s="676"/>
      <c r="V11" s="676"/>
      <c r="W11" s="676">
        <f t="shared" si="3"/>
        <v>0</v>
      </c>
      <c r="Y11" s="688">
        <f>IFERROR(VLOOKUP($A11,'[96]1月'!$A:$H,8,0),0)</f>
        <v>0</v>
      </c>
      <c r="Z11" s="688">
        <f>IFERROR(VLOOKUP($A11,'[96]2月'!$A:$H,8,0),0)</f>
        <v>0</v>
      </c>
      <c r="AA11" s="688">
        <f>IFERROR(VLOOKUP($A11,'[96]3月'!$A:$H,8,0),0)</f>
        <v>0</v>
      </c>
      <c r="AB11" s="688">
        <f>IFERROR(VLOOKUP($A11,'[96]4月'!$A:$H,8,0),0)</f>
        <v>0</v>
      </c>
      <c r="AC11" s="688">
        <f>IFERROR(VLOOKUP($A11,'[96]5月'!$A:$H,8,0),0)</f>
        <v>0</v>
      </c>
      <c r="AD11" s="688">
        <f>IFERROR(VLOOKUP($A11,'[96]6月'!$A:$H,8,0),0)</f>
        <v>0</v>
      </c>
      <c r="AE11" s="688">
        <f>IFERROR(VLOOKUP($A11,'[96]7月'!$A:$H,8,0),0)</f>
        <v>0</v>
      </c>
      <c r="AF11" s="688">
        <f>IFERROR(VLOOKUP($A11,'[96]8月'!$A:$H,8,0),0)</f>
        <v>0</v>
      </c>
      <c r="AG11" s="688">
        <f>IFERROR(VLOOKUP($A11,'[96]9月'!$A:$H,8,0),0)</f>
        <v>0</v>
      </c>
      <c r="AH11" s="688">
        <f>IFERROR(VLOOKUP($A11,'[96]10月'!$A:$H,8,0),0)</f>
        <v>0</v>
      </c>
      <c r="AI11" s="688">
        <f>IFERROR(VLOOKUP($A11,'[96]11月'!$A:$H,8,0),0)</f>
        <v>0</v>
      </c>
      <c r="AJ11" s="688">
        <f>IFERROR(VLOOKUP($A11,'[96]12月'!$A:$H,8,0),0)</f>
        <v>0</v>
      </c>
      <c r="AK11" s="688">
        <f t="shared" si="4"/>
        <v>0</v>
      </c>
    </row>
    <row r="12" spans="1:37" s="680" customFormat="1" ht="13.5" customHeight="1">
      <c r="A12" s="653">
        <f>'Budget-合并'!A12</f>
        <v>0</v>
      </c>
      <c r="B12" s="686" t="str">
        <f>'Budget-合并'!B12</f>
        <v>营业收入合计</v>
      </c>
      <c r="C12" s="687">
        <f>'Budget-合并'!C12</f>
        <v>0</v>
      </c>
      <c r="D12" s="654">
        <f t="shared" si="0"/>
        <v>0</v>
      </c>
      <c r="E12" s="654">
        <f t="shared" si="5"/>
        <v>0</v>
      </c>
      <c r="F12" s="654">
        <f t="shared" si="6"/>
        <v>0</v>
      </c>
      <c r="G12" s="654">
        <f t="shared" ca="1" si="1"/>
        <v>0</v>
      </c>
      <c r="H12" s="654">
        <f t="shared" ca="1" si="2"/>
        <v>0</v>
      </c>
      <c r="I12" s="654">
        <f t="shared" ca="1" si="7"/>
        <v>0</v>
      </c>
      <c r="J12" s="654"/>
      <c r="K12" s="654">
        <f t="shared" ref="K12:W12" si="9">SUM(K8,K9)</f>
        <v>0</v>
      </c>
      <c r="L12" s="654">
        <f t="shared" si="9"/>
        <v>0</v>
      </c>
      <c r="M12" s="654">
        <f t="shared" si="9"/>
        <v>0</v>
      </c>
      <c r="N12" s="654">
        <f t="shared" si="9"/>
        <v>0</v>
      </c>
      <c r="O12" s="654">
        <f t="shared" si="9"/>
        <v>0</v>
      </c>
      <c r="P12" s="654">
        <f t="shared" si="9"/>
        <v>0</v>
      </c>
      <c r="Q12" s="654">
        <f t="shared" si="9"/>
        <v>0</v>
      </c>
      <c r="R12" s="654">
        <f t="shared" si="9"/>
        <v>0</v>
      </c>
      <c r="S12" s="654">
        <f t="shared" si="9"/>
        <v>0</v>
      </c>
      <c r="T12" s="654">
        <f t="shared" si="9"/>
        <v>0</v>
      </c>
      <c r="U12" s="654">
        <f t="shared" si="9"/>
        <v>0</v>
      </c>
      <c r="V12" s="654">
        <f t="shared" si="9"/>
        <v>0</v>
      </c>
      <c r="W12" s="654">
        <f t="shared" si="9"/>
        <v>0</v>
      </c>
      <c r="Y12" s="654">
        <f t="shared" ref="Y12:AK12" si="10">SUM(Y8,Y9)</f>
        <v>0</v>
      </c>
      <c r="Z12" s="654">
        <f t="shared" si="10"/>
        <v>0</v>
      </c>
      <c r="AA12" s="654">
        <f t="shared" si="10"/>
        <v>0</v>
      </c>
      <c r="AB12" s="654">
        <f t="shared" si="10"/>
        <v>0</v>
      </c>
      <c r="AC12" s="654">
        <f t="shared" si="10"/>
        <v>0</v>
      </c>
      <c r="AD12" s="654">
        <f t="shared" si="10"/>
        <v>0</v>
      </c>
      <c r="AE12" s="654">
        <f t="shared" si="10"/>
        <v>0</v>
      </c>
      <c r="AF12" s="654">
        <f t="shared" si="10"/>
        <v>0</v>
      </c>
      <c r="AG12" s="654">
        <f t="shared" si="10"/>
        <v>0</v>
      </c>
      <c r="AH12" s="654">
        <f t="shared" si="10"/>
        <v>0</v>
      </c>
      <c r="AI12" s="654">
        <f t="shared" si="10"/>
        <v>0</v>
      </c>
      <c r="AJ12" s="654">
        <f t="shared" si="10"/>
        <v>0</v>
      </c>
      <c r="AK12" s="654">
        <f t="shared" si="10"/>
        <v>0</v>
      </c>
    </row>
    <row r="13" spans="1:37" ht="13.5" customHeight="1">
      <c r="A13" s="653">
        <f>'Budget-合并'!A13</f>
        <v>0</v>
      </c>
      <c r="B13" s="653">
        <f>'Budget-合并'!B13</f>
        <v>0</v>
      </c>
      <c r="C13" s="687">
        <f>'Budget-合并'!C13</f>
        <v>0</v>
      </c>
      <c r="K13" s="654"/>
      <c r="L13" s="654"/>
      <c r="M13" s="654"/>
      <c r="N13" s="654"/>
      <c r="O13" s="654"/>
      <c r="P13" s="654"/>
      <c r="Q13" s="654"/>
      <c r="R13" s="654"/>
      <c r="S13" s="654"/>
      <c r="T13" s="654"/>
      <c r="U13" s="654"/>
      <c r="V13" s="654"/>
      <c r="W13" s="654"/>
    </row>
    <row r="14" spans="1:37" ht="13.5" customHeight="1">
      <c r="A14" s="653" t="str">
        <f>'Budget-合并'!A14</f>
        <v>6405.01</v>
      </c>
      <c r="B14" s="653" t="str">
        <f>'Budget-合并'!B14</f>
        <v>印花税</v>
      </c>
      <c r="C14" s="687" t="str">
        <f>'Budget-合并'!C14</f>
        <v>Stamp Duty</v>
      </c>
      <c r="D14" s="676">
        <f t="shared" ref="D14:D19" si="11">INDEX($K14:$V14,1,MATCH($D$6,$K$6:$V$6))</f>
        <v>0</v>
      </c>
      <c r="E14" s="676">
        <f t="shared" si="5"/>
        <v>0</v>
      </c>
      <c r="F14" s="676">
        <f t="shared" si="6"/>
        <v>0</v>
      </c>
      <c r="G14" s="676">
        <f t="shared" ref="G14:G19" ca="1" si="12">SUM($K14:OFFSET($K14,0,MATCH(G$6,$K$6:$V$6)-1))</f>
        <v>0</v>
      </c>
      <c r="H14" s="676">
        <f t="shared" ref="H14:H19" ca="1" si="13">SUM($Y14:OFFSET($Y14,0,MATCH(H$6,$Y$6:$AJ$6)-1))</f>
        <v>0</v>
      </c>
      <c r="I14" s="676">
        <f t="shared" ca="1" si="7"/>
        <v>0</v>
      </c>
      <c r="K14" s="676"/>
      <c r="L14" s="676"/>
      <c r="M14" s="676"/>
      <c r="N14" s="676"/>
      <c r="O14" s="676"/>
      <c r="P14" s="676"/>
      <c r="Q14" s="676"/>
      <c r="R14" s="676"/>
      <c r="S14" s="676"/>
      <c r="T14" s="676"/>
      <c r="U14" s="676"/>
      <c r="V14" s="676"/>
      <c r="W14" s="676">
        <f t="shared" ref="W14:W18" si="14">SUM(K14:V14)</f>
        <v>0</v>
      </c>
      <c r="Y14" s="688">
        <f>IFERROR(VLOOKUP($A14,'[96]1月'!$A:$H,8,0),0)</f>
        <v>0</v>
      </c>
      <c r="Z14" s="688">
        <f>IFERROR(VLOOKUP($A14,'[96]2月'!$A:$H,8,0),0)</f>
        <v>0</v>
      </c>
      <c r="AA14" s="688">
        <f>IFERROR(VLOOKUP($A14,'[96]3月'!$A:$H,8,0),0)</f>
        <v>0</v>
      </c>
      <c r="AB14" s="688">
        <f>IFERROR(VLOOKUP($A14,'[96]4月'!$A:$H,8,0),0)</f>
        <v>0</v>
      </c>
      <c r="AC14" s="688">
        <f>IFERROR(VLOOKUP($A14,'[96]5月'!$A:$H,8,0),0)</f>
        <v>0</v>
      </c>
      <c r="AD14" s="688">
        <f>IFERROR(VLOOKUP($A14,'[96]6月'!$A:$H,8,0),0)</f>
        <v>0</v>
      </c>
      <c r="AE14" s="688">
        <f>IFERROR(VLOOKUP($A14,'[96]7月'!$A:$H,8,0),0)</f>
        <v>0</v>
      </c>
      <c r="AF14" s="688">
        <f>IFERROR(VLOOKUP($A14,'[96]8月'!$A:$H,8,0),0)</f>
        <v>0</v>
      </c>
      <c r="AG14" s="688">
        <f>IFERROR(VLOOKUP($A14,'[96]9月'!$A:$H,8,0),0)</f>
        <v>0</v>
      </c>
      <c r="AH14" s="688">
        <f>IFERROR(VLOOKUP($A14,'[96]10月'!$A:$H,8,0),0)</f>
        <v>0</v>
      </c>
      <c r="AI14" s="688">
        <f>IFERROR(VLOOKUP($A14,'[96]11月'!$A:$H,8,0),0)</f>
        <v>0</v>
      </c>
      <c r="AJ14" s="688">
        <f>IFERROR(VLOOKUP($A14,'[96]12月'!$A:$H,8,0),0)</f>
        <v>0</v>
      </c>
      <c r="AK14" s="688">
        <f t="shared" ref="AK14:AK18" si="15">SUM(Y14:AJ14)</f>
        <v>0</v>
      </c>
    </row>
    <row r="15" spans="1:37" ht="13.5" customHeight="1">
      <c r="A15" s="653" t="str">
        <f>'Budget-合并'!A15</f>
        <v>6405.02</v>
      </c>
      <c r="B15" s="653" t="str">
        <f>'Budget-合并'!B15</f>
        <v>城市维护建设税</v>
      </c>
      <c r="C15" s="687" t="str">
        <f>'Budget-合并'!C15</f>
        <v>VAT surcharge</v>
      </c>
      <c r="D15" s="676">
        <f t="shared" si="11"/>
        <v>0</v>
      </c>
      <c r="E15" s="676">
        <f t="shared" si="5"/>
        <v>0</v>
      </c>
      <c r="F15" s="676">
        <f t="shared" si="6"/>
        <v>0</v>
      </c>
      <c r="G15" s="676">
        <f t="shared" ca="1" si="12"/>
        <v>0</v>
      </c>
      <c r="H15" s="676">
        <f t="shared" ca="1" si="13"/>
        <v>0</v>
      </c>
      <c r="I15" s="676">
        <f t="shared" ca="1" si="7"/>
        <v>0</v>
      </c>
      <c r="K15" s="676"/>
      <c r="L15" s="676"/>
      <c r="M15" s="676"/>
      <c r="N15" s="676"/>
      <c r="O15" s="676"/>
      <c r="P15" s="676"/>
      <c r="Q15" s="676"/>
      <c r="R15" s="676"/>
      <c r="S15" s="676"/>
      <c r="T15" s="676"/>
      <c r="U15" s="676"/>
      <c r="V15" s="676"/>
      <c r="W15" s="676">
        <f t="shared" si="14"/>
        <v>0</v>
      </c>
      <c r="Y15" s="688">
        <f>IFERROR(VLOOKUP($A15,'[96]1月'!$A:$H,8,0),0)</f>
        <v>0</v>
      </c>
      <c r="Z15" s="688">
        <f>IFERROR(VLOOKUP($A15,'[96]2月'!$A:$H,8,0),0)</f>
        <v>0</v>
      </c>
      <c r="AA15" s="688">
        <f>IFERROR(VLOOKUP($A15,'[96]3月'!$A:$H,8,0),0)</f>
        <v>0</v>
      </c>
      <c r="AB15" s="688">
        <f>IFERROR(VLOOKUP($A15,'[96]4月'!$A:$H,8,0),0)</f>
        <v>0</v>
      </c>
      <c r="AC15" s="688">
        <f>IFERROR(VLOOKUP($A15,'[96]5月'!$A:$H,8,0),0)</f>
        <v>0</v>
      </c>
      <c r="AD15" s="688">
        <f>IFERROR(VLOOKUP($A15,'[96]6月'!$A:$H,8,0),0)</f>
        <v>0</v>
      </c>
      <c r="AE15" s="688">
        <f>IFERROR(VLOOKUP($A15,'[96]7月'!$A:$H,8,0),0)</f>
        <v>0</v>
      </c>
      <c r="AF15" s="688">
        <f>IFERROR(VLOOKUP($A15,'[96]8月'!$A:$H,8,0),0)</f>
        <v>0</v>
      </c>
      <c r="AG15" s="688">
        <f>IFERROR(VLOOKUP($A15,'[96]9月'!$A:$H,8,0),0)</f>
        <v>0</v>
      </c>
      <c r="AH15" s="688">
        <f>IFERROR(VLOOKUP($A15,'[96]10月'!$A:$H,8,0),0)</f>
        <v>0</v>
      </c>
      <c r="AI15" s="688">
        <f>IFERROR(VLOOKUP($A15,'[96]11月'!$A:$H,8,0),0)</f>
        <v>0</v>
      </c>
      <c r="AJ15" s="688">
        <f>IFERROR(VLOOKUP($A15,'[96]12月'!$A:$H,8,0),0)</f>
        <v>0</v>
      </c>
      <c r="AK15" s="688">
        <f t="shared" si="15"/>
        <v>0</v>
      </c>
    </row>
    <row r="16" spans="1:37" ht="13.5" customHeight="1">
      <c r="A16" s="653" t="str">
        <f>'Budget-合并'!A16</f>
        <v>6405.03</v>
      </c>
      <c r="B16" s="653" t="str">
        <f>'Budget-合并'!B16</f>
        <v>教育费附加</v>
      </c>
      <c r="C16" s="687" t="str">
        <f>'Budget-合并'!C16</f>
        <v>VAT surcharge</v>
      </c>
      <c r="D16" s="676">
        <f t="shared" si="11"/>
        <v>0</v>
      </c>
      <c r="E16" s="676">
        <f t="shared" si="5"/>
        <v>0</v>
      </c>
      <c r="F16" s="676">
        <f t="shared" si="6"/>
        <v>0</v>
      </c>
      <c r="G16" s="676">
        <f t="shared" ca="1" si="12"/>
        <v>0</v>
      </c>
      <c r="H16" s="676">
        <f t="shared" ca="1" si="13"/>
        <v>0</v>
      </c>
      <c r="I16" s="676">
        <f t="shared" ca="1" si="7"/>
        <v>0</v>
      </c>
      <c r="K16" s="676"/>
      <c r="L16" s="676"/>
      <c r="M16" s="676"/>
      <c r="N16" s="676"/>
      <c r="O16" s="676"/>
      <c r="P16" s="676"/>
      <c r="Q16" s="676"/>
      <c r="R16" s="676"/>
      <c r="S16" s="676"/>
      <c r="T16" s="676"/>
      <c r="U16" s="676"/>
      <c r="V16" s="676"/>
      <c r="W16" s="676">
        <f t="shared" si="14"/>
        <v>0</v>
      </c>
      <c r="Y16" s="688">
        <f>IFERROR(VLOOKUP($A16,'[96]1月'!$A:$H,8,0),0)</f>
        <v>0</v>
      </c>
      <c r="Z16" s="688">
        <f>IFERROR(VLOOKUP($A16,'[96]2月'!$A:$H,8,0),0)</f>
        <v>0</v>
      </c>
      <c r="AA16" s="688">
        <f>IFERROR(VLOOKUP($A16,'[96]3月'!$A:$H,8,0),0)</f>
        <v>0</v>
      </c>
      <c r="AB16" s="688">
        <f>IFERROR(VLOOKUP($A16,'[96]4月'!$A:$H,8,0),0)</f>
        <v>0</v>
      </c>
      <c r="AC16" s="688">
        <f>IFERROR(VLOOKUP($A16,'[96]5月'!$A:$H,8,0),0)</f>
        <v>0</v>
      </c>
      <c r="AD16" s="688">
        <f>IFERROR(VLOOKUP($A16,'[96]6月'!$A:$H,8,0),0)</f>
        <v>0</v>
      </c>
      <c r="AE16" s="688">
        <f>IFERROR(VLOOKUP($A16,'[96]7月'!$A:$H,8,0),0)</f>
        <v>0</v>
      </c>
      <c r="AF16" s="688">
        <f>IFERROR(VLOOKUP($A16,'[96]8月'!$A:$H,8,0),0)</f>
        <v>0</v>
      </c>
      <c r="AG16" s="688">
        <f>IFERROR(VLOOKUP($A16,'[96]9月'!$A:$H,8,0),0)</f>
        <v>0</v>
      </c>
      <c r="AH16" s="688">
        <f>IFERROR(VLOOKUP($A16,'[96]10月'!$A:$H,8,0),0)</f>
        <v>0</v>
      </c>
      <c r="AI16" s="688">
        <f>IFERROR(VLOOKUP($A16,'[96]11月'!$A:$H,8,0),0)</f>
        <v>0</v>
      </c>
      <c r="AJ16" s="688">
        <f>IFERROR(VLOOKUP($A16,'[96]12月'!$A:$H,8,0),0)</f>
        <v>0</v>
      </c>
      <c r="AK16" s="688">
        <f t="shared" si="15"/>
        <v>0</v>
      </c>
    </row>
    <row r="17" spans="1:37" ht="13.5" customHeight="1">
      <c r="A17" s="653" t="str">
        <f>'Budget-合并'!A17</f>
        <v>6405.04</v>
      </c>
      <c r="B17" s="653" t="str">
        <f>'Budget-合并'!B17</f>
        <v>地方教育附加</v>
      </c>
      <c r="C17" s="687" t="str">
        <f>'Budget-合并'!C17</f>
        <v>VAT surcharge</v>
      </c>
      <c r="D17" s="676">
        <f t="shared" si="11"/>
        <v>0</v>
      </c>
      <c r="E17" s="676">
        <f t="shared" si="5"/>
        <v>0</v>
      </c>
      <c r="F17" s="676">
        <f t="shared" si="6"/>
        <v>0</v>
      </c>
      <c r="G17" s="676">
        <f t="shared" ca="1" si="12"/>
        <v>0</v>
      </c>
      <c r="H17" s="676">
        <f t="shared" ca="1" si="13"/>
        <v>0</v>
      </c>
      <c r="I17" s="676">
        <f t="shared" ca="1" si="7"/>
        <v>0</v>
      </c>
      <c r="K17" s="676"/>
      <c r="L17" s="676"/>
      <c r="M17" s="676"/>
      <c r="N17" s="676"/>
      <c r="O17" s="676"/>
      <c r="P17" s="676"/>
      <c r="Q17" s="676"/>
      <c r="R17" s="676"/>
      <c r="S17" s="676"/>
      <c r="T17" s="676"/>
      <c r="U17" s="676"/>
      <c r="V17" s="676"/>
      <c r="W17" s="676">
        <f t="shared" si="14"/>
        <v>0</v>
      </c>
      <c r="Y17" s="688">
        <f>IFERROR(VLOOKUP($A17,'[96]1月'!$A:$H,8,0),0)</f>
        <v>0</v>
      </c>
      <c r="Z17" s="688">
        <f>IFERROR(VLOOKUP($A17,'[96]2月'!$A:$H,8,0),0)</f>
        <v>0</v>
      </c>
      <c r="AA17" s="688">
        <f>IFERROR(VLOOKUP($A17,'[96]3月'!$A:$H,8,0),0)</f>
        <v>0</v>
      </c>
      <c r="AB17" s="688">
        <f>IFERROR(VLOOKUP($A17,'[96]4月'!$A:$H,8,0),0)</f>
        <v>0</v>
      </c>
      <c r="AC17" s="688">
        <f>IFERROR(VLOOKUP($A17,'[96]5月'!$A:$H,8,0),0)</f>
        <v>0</v>
      </c>
      <c r="AD17" s="688">
        <f>IFERROR(VLOOKUP($A17,'[96]6月'!$A:$H,8,0),0)</f>
        <v>0</v>
      </c>
      <c r="AE17" s="688">
        <f>IFERROR(VLOOKUP($A17,'[96]7月'!$A:$H,8,0),0)</f>
        <v>0</v>
      </c>
      <c r="AF17" s="688">
        <f>IFERROR(VLOOKUP($A17,'[96]8月'!$A:$H,8,0),0)</f>
        <v>0</v>
      </c>
      <c r="AG17" s="688">
        <f>IFERROR(VLOOKUP($A17,'[96]9月'!$A:$H,8,0),0)</f>
        <v>0</v>
      </c>
      <c r="AH17" s="688">
        <f>IFERROR(VLOOKUP($A17,'[96]10月'!$A:$H,8,0),0)</f>
        <v>0</v>
      </c>
      <c r="AI17" s="688">
        <f>IFERROR(VLOOKUP($A17,'[96]11月'!$A:$H,8,0),0)</f>
        <v>0</v>
      </c>
      <c r="AJ17" s="688">
        <f>IFERROR(VLOOKUP($A17,'[96]12月'!$A:$H,8,0),0)</f>
        <v>0</v>
      </c>
      <c r="AK17" s="688">
        <f t="shared" si="15"/>
        <v>0</v>
      </c>
    </row>
    <row r="18" spans="1:37" ht="13.5" customHeight="1">
      <c r="A18" s="653" t="str">
        <f>'Budget-合并'!A18</f>
        <v>6405.05</v>
      </c>
      <c r="B18" s="653" t="str">
        <f>'Budget-合并'!B18</f>
        <v>水利建设基金</v>
      </c>
      <c r="C18" s="687">
        <f>'Budget-合并'!C18</f>
        <v>0</v>
      </c>
      <c r="D18" s="676">
        <f t="shared" si="11"/>
        <v>0</v>
      </c>
      <c r="E18" s="676">
        <f t="shared" si="5"/>
        <v>0</v>
      </c>
      <c r="F18" s="676">
        <f t="shared" si="6"/>
        <v>0</v>
      </c>
      <c r="G18" s="676">
        <f t="shared" ca="1" si="12"/>
        <v>0</v>
      </c>
      <c r="H18" s="676">
        <f t="shared" ca="1" si="13"/>
        <v>0</v>
      </c>
      <c r="I18" s="676">
        <f t="shared" ca="1" si="7"/>
        <v>0</v>
      </c>
      <c r="K18" s="676"/>
      <c r="L18" s="676"/>
      <c r="M18" s="676"/>
      <c r="N18" s="676"/>
      <c r="O18" s="676"/>
      <c r="P18" s="676"/>
      <c r="Q18" s="676"/>
      <c r="R18" s="676"/>
      <c r="S18" s="676"/>
      <c r="T18" s="676"/>
      <c r="U18" s="676"/>
      <c r="V18" s="676"/>
      <c r="W18" s="676">
        <f t="shared" si="14"/>
        <v>0</v>
      </c>
      <c r="Y18" s="688">
        <f>IFERROR(VLOOKUP($A18,'[96]1月'!$A:$H,8,0),0)</f>
        <v>0</v>
      </c>
      <c r="Z18" s="688">
        <f>IFERROR(VLOOKUP($A18,'[96]2月'!$A:$H,8,0),0)</f>
        <v>0</v>
      </c>
      <c r="AA18" s="688">
        <f>IFERROR(VLOOKUP($A18,'[96]3月'!$A:$H,8,0),0)</f>
        <v>0</v>
      </c>
      <c r="AB18" s="688">
        <f>IFERROR(VLOOKUP($A18,'[96]4月'!$A:$H,8,0),0)</f>
        <v>0</v>
      </c>
      <c r="AC18" s="688">
        <f>IFERROR(VLOOKUP($A18,'[96]5月'!$A:$H,8,0),0)</f>
        <v>0</v>
      </c>
      <c r="AD18" s="688">
        <f>IFERROR(VLOOKUP($A18,'[96]6月'!$A:$H,8,0),0)</f>
        <v>0</v>
      </c>
      <c r="AE18" s="688">
        <f>IFERROR(VLOOKUP($A18,'[96]7月'!$A:$H,8,0),0)</f>
        <v>0</v>
      </c>
      <c r="AF18" s="688">
        <f>IFERROR(VLOOKUP($A18,'[96]8月'!$A:$H,8,0),0)</f>
        <v>0</v>
      </c>
      <c r="AG18" s="688">
        <f>IFERROR(VLOOKUP($A18,'[96]9月'!$A:$H,8,0),0)</f>
        <v>0</v>
      </c>
      <c r="AH18" s="688">
        <f>IFERROR(VLOOKUP($A18,'[96]10月'!$A:$H,8,0),0)</f>
        <v>0</v>
      </c>
      <c r="AI18" s="688">
        <f>IFERROR(VLOOKUP($A18,'[96]11月'!$A:$H,8,0),0)</f>
        <v>0</v>
      </c>
      <c r="AJ18" s="688">
        <f>IFERROR(VLOOKUP($A18,'[96]12月'!$A:$H,8,0),0)</f>
        <v>0</v>
      </c>
      <c r="AK18" s="688">
        <f t="shared" si="15"/>
        <v>0</v>
      </c>
    </row>
    <row r="19" spans="1:37" s="680" customFormat="1" ht="13.5" customHeight="1">
      <c r="A19" s="686">
        <f>'Budget-合并'!A19</f>
        <v>6401</v>
      </c>
      <c r="B19" s="686" t="str">
        <f>'Budget-合并'!B19</f>
        <v>税金及附加小计</v>
      </c>
      <c r="C19" s="687">
        <f>'Budget-合并'!C19</f>
        <v>0</v>
      </c>
      <c r="D19" s="654">
        <f t="shared" si="11"/>
        <v>0</v>
      </c>
      <c r="E19" s="654">
        <f t="shared" si="5"/>
        <v>0</v>
      </c>
      <c r="F19" s="654">
        <f t="shared" si="6"/>
        <v>0</v>
      </c>
      <c r="G19" s="654">
        <f t="shared" ca="1" si="12"/>
        <v>0</v>
      </c>
      <c r="H19" s="654">
        <f t="shared" ca="1" si="13"/>
        <v>0</v>
      </c>
      <c r="I19" s="654">
        <f t="shared" ca="1" si="7"/>
        <v>0</v>
      </c>
      <c r="J19" s="654"/>
      <c r="K19" s="654">
        <f t="shared" ref="K19:W19" si="16">SUM(K14:K18)</f>
        <v>0</v>
      </c>
      <c r="L19" s="654">
        <f t="shared" si="16"/>
        <v>0</v>
      </c>
      <c r="M19" s="654">
        <f t="shared" si="16"/>
        <v>0</v>
      </c>
      <c r="N19" s="654">
        <f t="shared" si="16"/>
        <v>0</v>
      </c>
      <c r="O19" s="654">
        <f t="shared" si="16"/>
        <v>0</v>
      </c>
      <c r="P19" s="654">
        <f t="shared" si="16"/>
        <v>0</v>
      </c>
      <c r="Q19" s="654">
        <f t="shared" si="16"/>
        <v>0</v>
      </c>
      <c r="R19" s="654">
        <f t="shared" si="16"/>
        <v>0</v>
      </c>
      <c r="S19" s="654">
        <f t="shared" si="16"/>
        <v>0</v>
      </c>
      <c r="T19" s="654">
        <f t="shared" si="16"/>
        <v>0</v>
      </c>
      <c r="U19" s="654">
        <f t="shared" si="16"/>
        <v>0</v>
      </c>
      <c r="V19" s="654">
        <f t="shared" si="16"/>
        <v>0</v>
      </c>
      <c r="W19" s="654">
        <f t="shared" si="16"/>
        <v>0</v>
      </c>
      <c r="Y19" s="654">
        <f t="shared" ref="Y19:AK19" si="17">SUM(Y14:Y18)</f>
        <v>0</v>
      </c>
      <c r="Z19" s="654">
        <f t="shared" si="17"/>
        <v>0</v>
      </c>
      <c r="AA19" s="654">
        <f t="shared" si="17"/>
        <v>0</v>
      </c>
      <c r="AB19" s="654">
        <f t="shared" si="17"/>
        <v>0</v>
      </c>
      <c r="AC19" s="654">
        <f t="shared" si="17"/>
        <v>0</v>
      </c>
      <c r="AD19" s="654">
        <f t="shared" si="17"/>
        <v>0</v>
      </c>
      <c r="AE19" s="654">
        <f t="shared" si="17"/>
        <v>0</v>
      </c>
      <c r="AF19" s="654">
        <f t="shared" si="17"/>
        <v>0</v>
      </c>
      <c r="AG19" s="654">
        <f t="shared" si="17"/>
        <v>0</v>
      </c>
      <c r="AH19" s="654">
        <f t="shared" si="17"/>
        <v>0</v>
      </c>
      <c r="AI19" s="654">
        <f t="shared" si="17"/>
        <v>0</v>
      </c>
      <c r="AJ19" s="654">
        <f t="shared" si="17"/>
        <v>0</v>
      </c>
      <c r="AK19" s="654">
        <f t="shared" si="17"/>
        <v>0</v>
      </c>
    </row>
    <row r="20" spans="1:37" ht="13.5" customHeight="1">
      <c r="A20" s="653">
        <f>'Budget-合并'!A20</f>
        <v>0</v>
      </c>
      <c r="B20" s="653">
        <f>'Budget-合并'!B20</f>
        <v>0</v>
      </c>
      <c r="C20" s="687">
        <f>'Budget-合并'!C20</f>
        <v>0</v>
      </c>
      <c r="K20" s="654"/>
      <c r="L20" s="654"/>
      <c r="M20" s="654"/>
      <c r="N20" s="654"/>
      <c r="O20" s="654"/>
      <c r="P20" s="654"/>
      <c r="Q20" s="654"/>
      <c r="R20" s="654"/>
      <c r="S20" s="654"/>
      <c r="T20" s="654"/>
      <c r="U20" s="654"/>
      <c r="V20" s="654"/>
      <c r="W20" s="654"/>
    </row>
    <row r="21" spans="1:37" ht="13.5" customHeight="1">
      <c r="A21" s="653">
        <f>'Budget-合并'!A21</f>
        <v>0</v>
      </c>
      <c r="B21" s="653">
        <f>'Budget-合并'!B21</f>
        <v>0</v>
      </c>
      <c r="C21" s="687">
        <f>'Budget-合并'!C21</f>
        <v>0</v>
      </c>
      <c r="D21" s="677"/>
      <c r="E21" s="677"/>
      <c r="F21" s="677"/>
      <c r="G21" s="677"/>
      <c r="H21" s="677"/>
      <c r="I21" s="677"/>
      <c r="K21" s="677"/>
      <c r="L21" s="677"/>
      <c r="M21" s="677"/>
      <c r="N21" s="677"/>
      <c r="O21" s="677"/>
      <c r="P21" s="677"/>
      <c r="Q21" s="677"/>
      <c r="R21" s="677"/>
      <c r="S21" s="677"/>
      <c r="T21" s="677"/>
      <c r="U21" s="677"/>
      <c r="V21" s="677"/>
      <c r="W21" s="677"/>
    </row>
    <row r="22" spans="1:37" ht="13.5" customHeight="1">
      <c r="A22" s="686" t="str">
        <f>'Budget-合并'!A22</f>
        <v>6602</v>
      </c>
      <c r="B22" s="686" t="str">
        <f>'Budget-合并'!B22</f>
        <v>管理费用</v>
      </c>
      <c r="C22" s="687">
        <f>'Budget-合并'!C22</f>
        <v>0</v>
      </c>
      <c r="D22" s="677"/>
      <c r="E22" s="677"/>
      <c r="F22" s="677"/>
      <c r="G22" s="677"/>
      <c r="H22" s="677"/>
      <c r="I22" s="677"/>
      <c r="K22" s="677"/>
      <c r="L22" s="677"/>
      <c r="M22" s="677"/>
      <c r="N22" s="677"/>
      <c r="O22" s="677"/>
      <c r="P22" s="677"/>
      <c r="Q22" s="677"/>
      <c r="R22" s="677"/>
      <c r="S22" s="677"/>
      <c r="T22" s="677"/>
      <c r="U22" s="677"/>
      <c r="V22" s="677"/>
      <c r="W22" s="677"/>
    </row>
    <row r="23" spans="1:37" ht="13.5" customHeight="1">
      <c r="A23" s="663" t="str">
        <f>'Budget-合并'!A23</f>
        <v>6602.01</v>
      </c>
      <c r="B23" s="663" t="str">
        <f>'Budget-合并'!B23</f>
        <v>工资薪金</v>
      </c>
      <c r="C23" s="687">
        <f>'Budget-合并'!C23</f>
        <v>0</v>
      </c>
      <c r="D23" s="676">
        <f t="shared" ref="D23:D42" si="18">INDEX($K23:$V23,1,MATCH($D$6,$K$6:$V$6))</f>
        <v>0</v>
      </c>
      <c r="E23" s="676">
        <f t="shared" ref="E23:E42" si="19">INDEX($Y23:$AJ23,1,MATCH($E$6,$Y$6:$AJ$6))</f>
        <v>0</v>
      </c>
      <c r="F23" s="676">
        <f t="shared" ref="F23:F42" si="20">D23-E23</f>
        <v>0</v>
      </c>
      <c r="G23" s="676">
        <f t="shared" ref="G23:G42" ca="1" si="21">SUM($K23:OFFSET($K23,0,MATCH(G$6,$K$6:$V$6)-1))</f>
        <v>0</v>
      </c>
      <c r="H23" s="676">
        <f t="shared" ref="H23:H41" ca="1" si="22">SUM($Y23:OFFSET($Y23,0,MATCH(H$6,$Y$6:$AJ$6)-1))</f>
        <v>0</v>
      </c>
      <c r="I23" s="676">
        <f t="shared" ref="I23:I42" ca="1" si="23">G23-H23</f>
        <v>0</v>
      </c>
      <c r="K23" s="676">
        <f>SUM(K24:K32)</f>
        <v>0</v>
      </c>
      <c r="L23" s="676">
        <f t="shared" ref="L23:V23" si="24">SUM(L24:L32)</f>
        <v>0</v>
      </c>
      <c r="M23" s="676">
        <f t="shared" si="24"/>
        <v>0</v>
      </c>
      <c r="N23" s="676">
        <f t="shared" si="24"/>
        <v>0</v>
      </c>
      <c r="O23" s="676">
        <f t="shared" si="24"/>
        <v>0</v>
      </c>
      <c r="P23" s="676">
        <f t="shared" si="24"/>
        <v>0</v>
      </c>
      <c r="Q23" s="676">
        <f t="shared" si="24"/>
        <v>0</v>
      </c>
      <c r="R23" s="676">
        <f t="shared" si="24"/>
        <v>0</v>
      </c>
      <c r="S23" s="676">
        <f t="shared" si="24"/>
        <v>0</v>
      </c>
      <c r="T23" s="676">
        <f t="shared" si="24"/>
        <v>0</v>
      </c>
      <c r="U23" s="676">
        <f t="shared" si="24"/>
        <v>0</v>
      </c>
      <c r="V23" s="676">
        <f t="shared" si="24"/>
        <v>0</v>
      </c>
      <c r="W23" s="676">
        <f t="shared" ref="W23:W86" si="25">SUM(K23:V23)</f>
        <v>0</v>
      </c>
      <c r="Y23" s="688">
        <f>IFERROR(VLOOKUP($A23,'[96]1月'!$A:$H,8,0),0)</f>
        <v>0</v>
      </c>
      <c r="Z23" s="688">
        <f>IFERROR(VLOOKUP($A23,'[96]2月'!$A:$H,8,0),0)</f>
        <v>0</v>
      </c>
      <c r="AA23" s="688">
        <f>IFERROR(VLOOKUP($A23,'[96]3月'!$A:$H,8,0),0)</f>
        <v>0</v>
      </c>
      <c r="AB23" s="688">
        <f>IFERROR(VLOOKUP($A23,'[96]4月'!$A:$H,8,0),0)</f>
        <v>0</v>
      </c>
      <c r="AC23" s="688">
        <f>IFERROR(VLOOKUP($A23,'[96]5月'!$A:$H,8,0),0)</f>
        <v>0</v>
      </c>
      <c r="AD23" s="688">
        <f>IFERROR(VLOOKUP($A23,'[96]6月'!$A:$H,8,0),0)</f>
        <v>0</v>
      </c>
      <c r="AE23" s="688">
        <f>IFERROR(VLOOKUP($A23,'[96]7月'!$A:$H,8,0),0)</f>
        <v>0</v>
      </c>
      <c r="AF23" s="688">
        <f>IFERROR(VLOOKUP($A23,'[96]8月'!$A:$H,8,0),0)</f>
        <v>0</v>
      </c>
      <c r="AG23" s="688">
        <f>IFERROR(VLOOKUP($A23,'[96]9月'!$A:$H,8,0),0)</f>
        <v>0</v>
      </c>
      <c r="AH23" s="688">
        <f>IFERROR(VLOOKUP($A23,'[96]10月'!$A:$H,8,0),0)</f>
        <v>0</v>
      </c>
      <c r="AI23" s="688">
        <f>IFERROR(VLOOKUP($A23,'[96]11月'!$A:$H,8,0),0)</f>
        <v>0</v>
      </c>
      <c r="AJ23" s="688">
        <f>IFERROR(VLOOKUP($A23,'[96]12月'!$A:$H,8,0),0)</f>
        <v>0</v>
      </c>
      <c r="AK23" s="688">
        <f t="shared" ref="AK23:AK41" si="26">SUM(Y23:AJ23)</f>
        <v>0</v>
      </c>
    </row>
    <row r="24" spans="1:37" ht="13.5" customHeight="1">
      <c r="A24" s="653" t="str">
        <f>'Budget-合并'!A24</f>
        <v>6602.01.01</v>
      </c>
      <c r="B24" s="653" t="str">
        <f>'Budget-合并'!B24</f>
        <v>基本工资（专业）</v>
      </c>
      <c r="C24" s="687" t="str">
        <f>'Budget-合并'!C24</f>
        <v>Salary Professional</v>
      </c>
      <c r="D24" s="676">
        <f t="shared" si="18"/>
        <v>0</v>
      </c>
      <c r="E24" s="676">
        <f t="shared" si="19"/>
        <v>0</v>
      </c>
      <c r="F24" s="676">
        <f t="shared" si="20"/>
        <v>0</v>
      </c>
      <c r="G24" s="676">
        <f t="shared" ca="1" si="21"/>
        <v>0</v>
      </c>
      <c r="H24" s="676">
        <f t="shared" ca="1" si="22"/>
        <v>0</v>
      </c>
      <c r="I24" s="676">
        <f t="shared" ca="1" si="23"/>
        <v>0</v>
      </c>
      <c r="K24" s="676"/>
      <c r="L24" s="676"/>
      <c r="M24" s="676"/>
      <c r="N24" s="676"/>
      <c r="O24" s="676"/>
      <c r="P24" s="676"/>
      <c r="Q24" s="676"/>
      <c r="R24" s="676"/>
      <c r="S24" s="676"/>
      <c r="T24" s="676"/>
      <c r="U24" s="676"/>
      <c r="V24" s="676"/>
      <c r="W24" s="676">
        <f t="shared" si="25"/>
        <v>0</v>
      </c>
      <c r="Y24" s="688">
        <f>IFERROR(VLOOKUP($A24,'[96]1月'!$A:$H,8,0),0)</f>
        <v>0</v>
      </c>
      <c r="Z24" s="688">
        <f>IFERROR(VLOOKUP($A24,'[96]2月'!$A:$H,8,0),0)</f>
        <v>0</v>
      </c>
      <c r="AA24" s="688">
        <f>IFERROR(VLOOKUP($A24,'[96]3月'!$A:$H,8,0),0)</f>
        <v>0</v>
      </c>
      <c r="AB24" s="688">
        <f>IFERROR(VLOOKUP($A24,'[96]4月'!$A:$H,8,0),0)</f>
        <v>0</v>
      </c>
      <c r="AC24" s="688">
        <f>IFERROR(VLOOKUP($A24,'[96]5月'!$A:$H,8,0),0)</f>
        <v>0</v>
      </c>
      <c r="AD24" s="688">
        <f>IFERROR(VLOOKUP($A24,'[96]6月'!$A:$H,8,0),0)</f>
        <v>0</v>
      </c>
      <c r="AE24" s="688">
        <f>IFERROR(VLOOKUP($A24,'[96]7月'!$A:$H,8,0),0)</f>
        <v>0</v>
      </c>
      <c r="AF24" s="688">
        <f>IFERROR(VLOOKUP($A24,'[96]8月'!$A:$H,8,0),0)</f>
        <v>0</v>
      </c>
      <c r="AG24" s="688">
        <f>IFERROR(VLOOKUP($A24,'[96]9月'!$A:$H,8,0),0)</f>
        <v>0</v>
      </c>
      <c r="AH24" s="688">
        <f>IFERROR(VLOOKUP($A24,'[96]10月'!$A:$H,8,0),0)</f>
        <v>0</v>
      </c>
      <c r="AI24" s="688">
        <f>IFERROR(VLOOKUP($A24,'[96]11月'!$A:$H,8,0),0)</f>
        <v>0</v>
      </c>
      <c r="AJ24" s="688">
        <f>IFERROR(VLOOKUP($A24,'[96]12月'!$A:$H,8,0),0)</f>
        <v>0</v>
      </c>
      <c r="AK24" s="688">
        <f t="shared" si="26"/>
        <v>0</v>
      </c>
    </row>
    <row r="25" spans="1:37" ht="13.5" customHeight="1">
      <c r="A25" s="653" t="str">
        <f>'Budget-合并'!A25</f>
        <v>6602.01.02</v>
      </c>
      <c r="B25" s="653" t="str">
        <f>'Budget-合并'!B25</f>
        <v>加班费</v>
      </c>
      <c r="C25" s="687">
        <f>'Budget-合并'!C25</f>
        <v>0</v>
      </c>
      <c r="D25" s="676">
        <f t="shared" si="18"/>
        <v>0</v>
      </c>
      <c r="E25" s="676">
        <f t="shared" si="19"/>
        <v>0</v>
      </c>
      <c r="F25" s="676">
        <f t="shared" si="20"/>
        <v>0</v>
      </c>
      <c r="G25" s="676">
        <f t="shared" ca="1" si="21"/>
        <v>0</v>
      </c>
      <c r="H25" s="676">
        <f t="shared" ca="1" si="22"/>
        <v>0</v>
      </c>
      <c r="I25" s="676">
        <f t="shared" ca="1" si="23"/>
        <v>0</v>
      </c>
      <c r="K25" s="676"/>
      <c r="L25" s="676"/>
      <c r="M25" s="676"/>
      <c r="N25" s="676"/>
      <c r="O25" s="676"/>
      <c r="P25" s="676"/>
      <c r="Q25" s="676"/>
      <c r="R25" s="676"/>
      <c r="S25" s="676"/>
      <c r="T25" s="676"/>
      <c r="U25" s="676"/>
      <c r="V25" s="676"/>
      <c r="W25" s="676">
        <f t="shared" si="25"/>
        <v>0</v>
      </c>
      <c r="Y25" s="688">
        <f>IFERROR(VLOOKUP($A25,'[96]1月'!$A:$H,8,0),0)</f>
        <v>0</v>
      </c>
      <c r="Z25" s="688">
        <f>IFERROR(VLOOKUP($A25,'[96]2月'!$A:$H,8,0),0)</f>
        <v>0</v>
      </c>
      <c r="AA25" s="688">
        <f>IFERROR(VLOOKUP($A25,'[96]3月'!$A:$H,8,0),0)</f>
        <v>0</v>
      </c>
      <c r="AB25" s="688">
        <f>IFERROR(VLOOKUP($A25,'[96]4月'!$A:$H,8,0),0)</f>
        <v>0</v>
      </c>
      <c r="AC25" s="688">
        <f>IFERROR(VLOOKUP($A25,'[96]5月'!$A:$H,8,0),0)</f>
        <v>0</v>
      </c>
      <c r="AD25" s="688">
        <f>IFERROR(VLOOKUP($A25,'[96]6月'!$A:$H,8,0),0)</f>
        <v>0</v>
      </c>
      <c r="AE25" s="688">
        <f>IFERROR(VLOOKUP($A25,'[96]7月'!$A:$H,8,0),0)</f>
        <v>0</v>
      </c>
      <c r="AF25" s="688">
        <f>IFERROR(VLOOKUP($A25,'[96]8月'!$A:$H,8,0),0)</f>
        <v>0</v>
      </c>
      <c r="AG25" s="688">
        <f>IFERROR(VLOOKUP($A25,'[96]9月'!$A:$H,8,0),0)</f>
        <v>0</v>
      </c>
      <c r="AH25" s="688">
        <f>IFERROR(VLOOKUP($A25,'[96]10月'!$A:$H,8,0),0)</f>
        <v>0</v>
      </c>
      <c r="AI25" s="688">
        <f>IFERROR(VLOOKUP($A25,'[96]11月'!$A:$H,8,0),0)</f>
        <v>0</v>
      </c>
      <c r="AJ25" s="688">
        <f>IFERROR(VLOOKUP($A25,'[96]12月'!$A:$H,8,0),0)</f>
        <v>0</v>
      </c>
      <c r="AK25" s="688">
        <f t="shared" si="26"/>
        <v>0</v>
      </c>
    </row>
    <row r="26" spans="1:37" ht="13.5" customHeight="1">
      <c r="A26" s="653" t="str">
        <f>'Budget-合并'!A26</f>
        <v>6602.01.03</v>
      </c>
      <c r="B26" s="653" t="str">
        <f>'Budget-合并'!B26</f>
        <v>员工奖金（专业）</v>
      </c>
      <c r="C26" s="687" t="str">
        <f>'Budget-合并'!C26</f>
        <v>Bonus Expense - Professional</v>
      </c>
      <c r="D26" s="676">
        <f t="shared" si="18"/>
        <v>0</v>
      </c>
      <c r="E26" s="676">
        <f t="shared" si="19"/>
        <v>0</v>
      </c>
      <c r="F26" s="676">
        <f t="shared" si="20"/>
        <v>0</v>
      </c>
      <c r="G26" s="676">
        <f t="shared" ca="1" si="21"/>
        <v>0</v>
      </c>
      <c r="H26" s="676">
        <f t="shared" ca="1" si="22"/>
        <v>0</v>
      </c>
      <c r="I26" s="676">
        <f t="shared" ca="1" si="23"/>
        <v>0</v>
      </c>
      <c r="K26" s="676"/>
      <c r="L26" s="676"/>
      <c r="M26" s="676"/>
      <c r="N26" s="676"/>
      <c r="O26" s="676"/>
      <c r="P26" s="676"/>
      <c r="Q26" s="676"/>
      <c r="R26" s="676"/>
      <c r="S26" s="676"/>
      <c r="T26" s="676"/>
      <c r="U26" s="676"/>
      <c r="V26" s="676"/>
      <c r="W26" s="676">
        <f t="shared" si="25"/>
        <v>0</v>
      </c>
      <c r="Y26" s="688">
        <f>IFERROR(VLOOKUP($A26,'[96]1月'!$A:$H,8,0),0)</f>
        <v>0</v>
      </c>
      <c r="Z26" s="688">
        <f>IFERROR(VLOOKUP($A26,'[96]2月'!$A:$H,8,0),0)</f>
        <v>0</v>
      </c>
      <c r="AA26" s="688">
        <f>IFERROR(VLOOKUP($A26,'[96]3月'!$A:$H,8,0),0)</f>
        <v>0</v>
      </c>
      <c r="AB26" s="688">
        <f>IFERROR(VLOOKUP($A26,'[96]4月'!$A:$H,8,0),0)</f>
        <v>0</v>
      </c>
      <c r="AC26" s="688">
        <f>IFERROR(VLOOKUP($A26,'[96]5月'!$A:$H,8,0),0)</f>
        <v>0</v>
      </c>
      <c r="AD26" s="688">
        <f>IFERROR(VLOOKUP($A26,'[96]6月'!$A:$H,8,0),0)</f>
        <v>0</v>
      </c>
      <c r="AE26" s="688">
        <f>IFERROR(VLOOKUP($A26,'[96]7月'!$A:$H,8,0),0)</f>
        <v>0</v>
      </c>
      <c r="AF26" s="688">
        <f>IFERROR(VLOOKUP($A26,'[96]8月'!$A:$H,8,0),0)</f>
        <v>0</v>
      </c>
      <c r="AG26" s="688">
        <f>IFERROR(VLOOKUP($A26,'[96]9月'!$A:$H,8,0),0)</f>
        <v>0</v>
      </c>
      <c r="AH26" s="688">
        <f>IFERROR(VLOOKUP($A26,'[96]10月'!$A:$H,8,0),0)</f>
        <v>0</v>
      </c>
      <c r="AI26" s="688">
        <f>IFERROR(VLOOKUP($A26,'[96]11月'!$A:$H,8,0),0)</f>
        <v>0</v>
      </c>
      <c r="AJ26" s="688">
        <f>IFERROR(VLOOKUP($A26,'[96]12月'!$A:$H,8,0),0)</f>
        <v>0</v>
      </c>
      <c r="AK26" s="688">
        <f t="shared" si="26"/>
        <v>0</v>
      </c>
    </row>
    <row r="27" spans="1:37" ht="13.5" customHeight="1">
      <c r="A27" s="653" t="str">
        <f>'Budget-合并'!A27</f>
        <v>6602.01.04</v>
      </c>
      <c r="B27" s="653" t="str">
        <f>'Budget-合并'!B27</f>
        <v>员工遣散费</v>
      </c>
      <c r="C27" s="687">
        <f>'Budget-合并'!C27</f>
        <v>0</v>
      </c>
      <c r="D27" s="676">
        <f t="shared" si="18"/>
        <v>0</v>
      </c>
      <c r="E27" s="676">
        <f t="shared" si="19"/>
        <v>0</v>
      </c>
      <c r="F27" s="676">
        <f t="shared" si="20"/>
        <v>0</v>
      </c>
      <c r="G27" s="676">
        <f t="shared" ca="1" si="21"/>
        <v>0</v>
      </c>
      <c r="H27" s="676">
        <f t="shared" ca="1" si="22"/>
        <v>0</v>
      </c>
      <c r="I27" s="676">
        <f t="shared" ca="1" si="23"/>
        <v>0</v>
      </c>
      <c r="K27" s="676"/>
      <c r="L27" s="676"/>
      <c r="M27" s="676"/>
      <c r="N27" s="676"/>
      <c r="O27" s="676"/>
      <c r="P27" s="676"/>
      <c r="Q27" s="676"/>
      <c r="R27" s="676"/>
      <c r="S27" s="676"/>
      <c r="T27" s="676"/>
      <c r="U27" s="676"/>
      <c r="V27" s="676"/>
      <c r="W27" s="676">
        <f t="shared" si="25"/>
        <v>0</v>
      </c>
      <c r="Y27" s="688">
        <f>IFERROR(VLOOKUP($A27,'[96]1月'!$A:$H,8,0),0)</f>
        <v>0</v>
      </c>
      <c r="Z27" s="688">
        <f>IFERROR(VLOOKUP($A27,'[96]2月'!$A:$H,8,0),0)</f>
        <v>0</v>
      </c>
      <c r="AA27" s="688">
        <f>IFERROR(VLOOKUP($A27,'[96]3月'!$A:$H,8,0),0)</f>
        <v>0</v>
      </c>
      <c r="AB27" s="688">
        <f>IFERROR(VLOOKUP($A27,'[96]4月'!$A:$H,8,0),0)</f>
        <v>0</v>
      </c>
      <c r="AC27" s="688">
        <f>IFERROR(VLOOKUP($A27,'[96]5月'!$A:$H,8,0),0)</f>
        <v>0</v>
      </c>
      <c r="AD27" s="688">
        <f>IFERROR(VLOOKUP($A27,'[96]6月'!$A:$H,8,0),0)</f>
        <v>0</v>
      </c>
      <c r="AE27" s="688">
        <f>IFERROR(VLOOKUP($A27,'[96]7月'!$A:$H,8,0),0)</f>
        <v>0</v>
      </c>
      <c r="AF27" s="688">
        <f>IFERROR(VLOOKUP($A27,'[96]8月'!$A:$H,8,0),0)</f>
        <v>0</v>
      </c>
      <c r="AG27" s="688">
        <f>IFERROR(VLOOKUP($A27,'[96]9月'!$A:$H,8,0),0)</f>
        <v>0</v>
      </c>
      <c r="AH27" s="688">
        <f>IFERROR(VLOOKUP($A27,'[96]10月'!$A:$H,8,0),0)</f>
        <v>0</v>
      </c>
      <c r="AI27" s="688">
        <f>IFERROR(VLOOKUP($A27,'[96]11月'!$A:$H,8,0),0)</f>
        <v>0</v>
      </c>
      <c r="AJ27" s="688">
        <f>IFERROR(VLOOKUP($A27,'[96]12月'!$A:$H,8,0),0)</f>
        <v>0</v>
      </c>
      <c r="AK27" s="688">
        <f t="shared" si="26"/>
        <v>0</v>
      </c>
    </row>
    <row r="28" spans="1:37" ht="13.5" customHeight="1">
      <c r="A28" s="653" t="str">
        <f>'Budget-合并'!A28</f>
        <v>6602.01.05</v>
      </c>
      <c r="B28" s="653" t="str">
        <f>'Budget-合并'!B28</f>
        <v>员工假期</v>
      </c>
      <c r="C28" s="687" t="str">
        <f>'Budget-合并'!C28</f>
        <v>Unused Leave Expense</v>
      </c>
      <c r="D28" s="676">
        <f t="shared" si="18"/>
        <v>0</v>
      </c>
      <c r="E28" s="676">
        <f t="shared" si="19"/>
        <v>0</v>
      </c>
      <c r="F28" s="676">
        <f t="shared" si="20"/>
        <v>0</v>
      </c>
      <c r="G28" s="676">
        <f t="shared" ca="1" si="21"/>
        <v>0</v>
      </c>
      <c r="H28" s="676">
        <f t="shared" ca="1" si="22"/>
        <v>0</v>
      </c>
      <c r="I28" s="676">
        <f t="shared" ca="1" si="23"/>
        <v>0</v>
      </c>
      <c r="K28" s="676"/>
      <c r="L28" s="676"/>
      <c r="M28" s="676"/>
      <c r="N28" s="676"/>
      <c r="O28" s="676"/>
      <c r="P28" s="676"/>
      <c r="Q28" s="676"/>
      <c r="R28" s="676"/>
      <c r="S28" s="676"/>
      <c r="T28" s="676"/>
      <c r="U28" s="676"/>
      <c r="V28" s="676"/>
      <c r="W28" s="676">
        <f t="shared" si="25"/>
        <v>0</v>
      </c>
      <c r="Y28" s="688">
        <f>IFERROR(VLOOKUP($A28,'[96]1月'!$A:$H,8,0),0)</f>
        <v>0</v>
      </c>
      <c r="Z28" s="688">
        <f>IFERROR(VLOOKUP($A28,'[96]2月'!$A:$H,8,0),0)</f>
        <v>0</v>
      </c>
      <c r="AA28" s="688">
        <f>IFERROR(VLOOKUP($A28,'[96]3月'!$A:$H,8,0),0)</f>
        <v>0</v>
      </c>
      <c r="AB28" s="688">
        <f>IFERROR(VLOOKUP($A28,'[96]4月'!$A:$H,8,0),0)</f>
        <v>0</v>
      </c>
      <c r="AC28" s="688">
        <f>IFERROR(VLOOKUP($A28,'[96]5月'!$A:$H,8,0),0)</f>
        <v>0</v>
      </c>
      <c r="AD28" s="688">
        <f>IFERROR(VLOOKUP($A28,'[96]6月'!$A:$H,8,0),0)</f>
        <v>0</v>
      </c>
      <c r="AE28" s="688">
        <f>IFERROR(VLOOKUP($A28,'[96]7月'!$A:$H,8,0),0)</f>
        <v>0</v>
      </c>
      <c r="AF28" s="688">
        <f>IFERROR(VLOOKUP($A28,'[96]8月'!$A:$H,8,0),0)</f>
        <v>0</v>
      </c>
      <c r="AG28" s="688">
        <f>IFERROR(VLOOKUP($A28,'[96]9月'!$A:$H,8,0),0)</f>
        <v>0</v>
      </c>
      <c r="AH28" s="688">
        <f>IFERROR(VLOOKUP($A28,'[96]10月'!$A:$H,8,0),0)</f>
        <v>0</v>
      </c>
      <c r="AI28" s="688">
        <f>IFERROR(VLOOKUP($A28,'[96]11月'!$A:$H,8,0),0)</f>
        <v>0</v>
      </c>
      <c r="AJ28" s="688">
        <f>IFERROR(VLOOKUP($A28,'[96]12月'!$A:$H,8,0),0)</f>
        <v>0</v>
      </c>
      <c r="AK28" s="688">
        <f t="shared" si="26"/>
        <v>0</v>
      </c>
    </row>
    <row r="29" spans="1:37" ht="13.5" customHeight="1">
      <c r="A29" s="653" t="str">
        <f>'Budget-合并'!A29</f>
        <v>6602.01.06</v>
      </c>
      <c r="B29" s="653" t="str">
        <f>'Budget-合并'!B29</f>
        <v>劳务报酬</v>
      </c>
      <c r="C29" s="687">
        <f>'Budget-合并'!C29</f>
        <v>0</v>
      </c>
      <c r="D29" s="676">
        <f t="shared" si="18"/>
        <v>0</v>
      </c>
      <c r="E29" s="676">
        <f t="shared" si="19"/>
        <v>0</v>
      </c>
      <c r="F29" s="676">
        <f t="shared" si="20"/>
        <v>0</v>
      </c>
      <c r="G29" s="676">
        <f t="shared" ca="1" si="21"/>
        <v>0</v>
      </c>
      <c r="H29" s="676">
        <f t="shared" ca="1" si="22"/>
        <v>0</v>
      </c>
      <c r="I29" s="676">
        <f t="shared" ca="1" si="23"/>
        <v>0</v>
      </c>
      <c r="K29" s="676"/>
      <c r="L29" s="676"/>
      <c r="M29" s="676"/>
      <c r="N29" s="676"/>
      <c r="O29" s="676"/>
      <c r="P29" s="676"/>
      <c r="Q29" s="676"/>
      <c r="R29" s="676"/>
      <c r="S29" s="676"/>
      <c r="T29" s="676"/>
      <c r="U29" s="676"/>
      <c r="V29" s="676"/>
      <c r="W29" s="676">
        <f t="shared" si="25"/>
        <v>0</v>
      </c>
      <c r="Y29" s="688">
        <f>IFERROR(VLOOKUP($A29,'[96]1月'!$A:$H,8,0),0)</f>
        <v>0</v>
      </c>
      <c r="Z29" s="688">
        <f>IFERROR(VLOOKUP($A29,'[96]2月'!$A:$H,8,0),0)</f>
        <v>0</v>
      </c>
      <c r="AA29" s="688">
        <f>IFERROR(VLOOKUP($A29,'[96]3月'!$A:$H,8,0),0)</f>
        <v>0</v>
      </c>
      <c r="AB29" s="688">
        <f>IFERROR(VLOOKUP($A29,'[96]4月'!$A:$H,8,0),0)</f>
        <v>0</v>
      </c>
      <c r="AC29" s="688">
        <f>IFERROR(VLOOKUP($A29,'[96]5月'!$A:$H,8,0),0)</f>
        <v>0</v>
      </c>
      <c r="AD29" s="688">
        <f>IFERROR(VLOOKUP($A29,'[96]6月'!$A:$H,8,0),0)</f>
        <v>0</v>
      </c>
      <c r="AE29" s="688">
        <f>IFERROR(VLOOKUP($A29,'[96]7月'!$A:$H,8,0),0)</f>
        <v>0</v>
      </c>
      <c r="AF29" s="688">
        <f>IFERROR(VLOOKUP($A29,'[96]8月'!$A:$H,8,0),0)</f>
        <v>0</v>
      </c>
      <c r="AG29" s="688">
        <f>IFERROR(VLOOKUP($A29,'[96]9月'!$A:$H,8,0),0)</f>
        <v>0</v>
      </c>
      <c r="AH29" s="688">
        <f>IFERROR(VLOOKUP($A29,'[96]10月'!$A:$H,8,0),0)</f>
        <v>0</v>
      </c>
      <c r="AI29" s="688">
        <f>IFERROR(VLOOKUP($A29,'[96]11月'!$A:$H,8,0),0)</f>
        <v>0</v>
      </c>
      <c r="AJ29" s="688">
        <f>IFERROR(VLOOKUP($A29,'[96]12月'!$A:$H,8,0),0)</f>
        <v>0</v>
      </c>
      <c r="AK29" s="688">
        <f t="shared" si="26"/>
        <v>0</v>
      </c>
    </row>
    <row r="30" spans="1:37" ht="13.5" customHeight="1">
      <c r="A30" s="653" t="str">
        <f>'Budget-合并'!A30</f>
        <v>6602.01.07</v>
      </c>
      <c r="B30" s="653" t="str">
        <f>'Budget-合并'!B30</f>
        <v>集团内分摊</v>
      </c>
      <c r="C30" s="687" t="str">
        <f>'Budget-合并'!C30</f>
        <v>Mantime X Charge</v>
      </c>
      <c r="D30" s="676">
        <f t="shared" si="18"/>
        <v>0</v>
      </c>
      <c r="E30" s="676">
        <f t="shared" si="19"/>
        <v>0</v>
      </c>
      <c r="F30" s="676">
        <f t="shared" si="20"/>
        <v>0</v>
      </c>
      <c r="G30" s="676">
        <f t="shared" ca="1" si="21"/>
        <v>0</v>
      </c>
      <c r="H30" s="676">
        <f t="shared" ca="1" si="22"/>
        <v>0</v>
      </c>
      <c r="I30" s="676">
        <f t="shared" ca="1" si="23"/>
        <v>0</v>
      </c>
      <c r="K30" s="676"/>
      <c r="L30" s="676"/>
      <c r="M30" s="676"/>
      <c r="N30" s="676"/>
      <c r="O30" s="676"/>
      <c r="P30" s="676"/>
      <c r="Q30" s="676"/>
      <c r="R30" s="676"/>
      <c r="S30" s="676"/>
      <c r="T30" s="676"/>
      <c r="U30" s="676"/>
      <c r="V30" s="676"/>
      <c r="W30" s="676">
        <f t="shared" si="25"/>
        <v>0</v>
      </c>
      <c r="Y30" s="688">
        <f>IFERROR(VLOOKUP($A30,'[96]1月'!$A:$H,8,0),0)</f>
        <v>0</v>
      </c>
      <c r="Z30" s="688">
        <f>IFERROR(VLOOKUP($A30,'[96]2月'!$A:$H,8,0),0)</f>
        <v>0</v>
      </c>
      <c r="AA30" s="688">
        <f>IFERROR(VLOOKUP($A30,'[96]3月'!$A:$H,8,0),0)</f>
        <v>0</v>
      </c>
      <c r="AB30" s="688">
        <f>IFERROR(VLOOKUP($A30,'[96]4月'!$A:$H,8,0),0)</f>
        <v>0</v>
      </c>
      <c r="AC30" s="688">
        <f>IFERROR(VLOOKUP($A30,'[96]5月'!$A:$H,8,0),0)</f>
        <v>0</v>
      </c>
      <c r="AD30" s="688">
        <f>IFERROR(VLOOKUP($A30,'[96]6月'!$A:$H,8,0),0)</f>
        <v>0</v>
      </c>
      <c r="AE30" s="688">
        <f>IFERROR(VLOOKUP($A30,'[96]7月'!$A:$H,8,0),0)</f>
        <v>0</v>
      </c>
      <c r="AF30" s="688">
        <f>IFERROR(VLOOKUP($A30,'[96]8月'!$A:$H,8,0),0)</f>
        <v>0</v>
      </c>
      <c r="AG30" s="688">
        <f>IFERROR(VLOOKUP($A30,'[96]9月'!$A:$H,8,0),0)</f>
        <v>0</v>
      </c>
      <c r="AH30" s="688">
        <f>IFERROR(VLOOKUP($A30,'[96]10月'!$A:$H,8,0),0)</f>
        <v>0</v>
      </c>
      <c r="AI30" s="688">
        <f>IFERROR(VLOOKUP($A30,'[96]11月'!$A:$H,8,0),0)</f>
        <v>0</v>
      </c>
      <c r="AJ30" s="688">
        <f>IFERROR(VLOOKUP($A30,'[96]12月'!$A:$H,8,0),0)</f>
        <v>0</v>
      </c>
      <c r="AK30" s="688">
        <f t="shared" si="26"/>
        <v>0</v>
      </c>
    </row>
    <row r="31" spans="1:37" ht="13.5" customHeight="1">
      <c r="A31" s="653" t="str">
        <f>'Budget-合并'!A31</f>
        <v>6602.01.08</v>
      </c>
      <c r="B31" s="653" t="str">
        <f>'Budget-合并'!B31</f>
        <v>基本工资（管理）</v>
      </c>
      <c r="C31" s="687" t="str">
        <f>'Budget-合并'!C31</f>
        <v>Salary Management</v>
      </c>
      <c r="D31" s="676">
        <f t="shared" si="18"/>
        <v>0</v>
      </c>
      <c r="E31" s="676">
        <f t="shared" si="19"/>
        <v>0</v>
      </c>
      <c r="F31" s="676">
        <f t="shared" si="20"/>
        <v>0</v>
      </c>
      <c r="G31" s="676">
        <f t="shared" ca="1" si="21"/>
        <v>0</v>
      </c>
      <c r="H31" s="676">
        <f t="shared" ca="1" si="22"/>
        <v>0</v>
      </c>
      <c r="I31" s="676">
        <f t="shared" ca="1" si="23"/>
        <v>0</v>
      </c>
      <c r="K31" s="676"/>
      <c r="L31" s="676"/>
      <c r="M31" s="676"/>
      <c r="N31" s="676"/>
      <c r="O31" s="676"/>
      <c r="P31" s="676"/>
      <c r="Q31" s="676"/>
      <c r="R31" s="676"/>
      <c r="S31" s="676"/>
      <c r="T31" s="676"/>
      <c r="U31" s="676"/>
      <c r="V31" s="676"/>
      <c r="W31" s="676">
        <f t="shared" si="25"/>
        <v>0</v>
      </c>
      <c r="Y31" s="688">
        <f>IFERROR(VLOOKUP($A31,'[96]1月'!$A:$H,8,0),0)</f>
        <v>0</v>
      </c>
      <c r="Z31" s="688">
        <f>IFERROR(VLOOKUP($A31,'[96]2月'!$A:$H,8,0),0)</f>
        <v>0</v>
      </c>
      <c r="AA31" s="688">
        <f>IFERROR(VLOOKUP($A31,'[96]3月'!$A:$H,8,0),0)</f>
        <v>0</v>
      </c>
      <c r="AB31" s="688">
        <f>IFERROR(VLOOKUP($A31,'[96]4月'!$A:$H,8,0),0)</f>
        <v>0</v>
      </c>
      <c r="AC31" s="688">
        <f>IFERROR(VLOOKUP($A31,'[96]5月'!$A:$H,8,0),0)</f>
        <v>0</v>
      </c>
      <c r="AD31" s="688">
        <f>IFERROR(VLOOKUP($A31,'[96]6月'!$A:$H,8,0),0)</f>
        <v>0</v>
      </c>
      <c r="AE31" s="688">
        <f>IFERROR(VLOOKUP($A31,'[96]7月'!$A:$H,8,0),0)</f>
        <v>0</v>
      </c>
      <c r="AF31" s="688">
        <f>IFERROR(VLOOKUP($A31,'[96]8月'!$A:$H,8,0),0)</f>
        <v>0</v>
      </c>
      <c r="AG31" s="688">
        <f>IFERROR(VLOOKUP($A31,'[96]9月'!$A:$H,8,0),0)</f>
        <v>0</v>
      </c>
      <c r="AH31" s="688">
        <f>IFERROR(VLOOKUP($A31,'[96]10月'!$A:$H,8,0),0)</f>
        <v>0</v>
      </c>
      <c r="AI31" s="688">
        <f>IFERROR(VLOOKUP($A31,'[96]11月'!$A:$H,8,0),0)</f>
        <v>0</v>
      </c>
      <c r="AJ31" s="688">
        <f>IFERROR(VLOOKUP($A31,'[96]12月'!$A:$H,8,0),0)</f>
        <v>0</v>
      </c>
      <c r="AK31" s="688">
        <f t="shared" si="26"/>
        <v>0</v>
      </c>
    </row>
    <row r="32" spans="1:37" ht="13.5" customHeight="1">
      <c r="A32" s="653" t="str">
        <f>'Budget-合并'!A32</f>
        <v>6602.01.09</v>
      </c>
      <c r="B32" s="653" t="str">
        <f>'Budget-合并'!B32</f>
        <v>员工奖金（管理）</v>
      </c>
      <c r="C32" s="687" t="str">
        <f>'Budget-合并'!C32</f>
        <v>Bonus Expense - Management</v>
      </c>
      <c r="D32" s="676">
        <f t="shared" si="18"/>
        <v>0</v>
      </c>
      <c r="E32" s="676">
        <f t="shared" si="19"/>
        <v>0</v>
      </c>
      <c r="F32" s="676">
        <f t="shared" si="20"/>
        <v>0</v>
      </c>
      <c r="G32" s="676">
        <f t="shared" ca="1" si="21"/>
        <v>0</v>
      </c>
      <c r="H32" s="676">
        <f t="shared" ca="1" si="22"/>
        <v>0</v>
      </c>
      <c r="I32" s="676">
        <f t="shared" ca="1" si="23"/>
        <v>0</v>
      </c>
      <c r="K32" s="676"/>
      <c r="L32" s="676"/>
      <c r="M32" s="676"/>
      <c r="N32" s="676"/>
      <c r="O32" s="676"/>
      <c r="P32" s="676"/>
      <c r="Q32" s="676"/>
      <c r="R32" s="676"/>
      <c r="S32" s="676"/>
      <c r="T32" s="676"/>
      <c r="U32" s="676"/>
      <c r="V32" s="676"/>
      <c r="W32" s="676">
        <f t="shared" si="25"/>
        <v>0</v>
      </c>
      <c r="Y32" s="688">
        <f>IFERROR(VLOOKUP($A32,'[96]1月'!$A:$H,8,0),0)</f>
        <v>0</v>
      </c>
      <c r="Z32" s="688">
        <f>IFERROR(VLOOKUP($A32,'[96]2月'!$A:$H,8,0),0)</f>
        <v>0</v>
      </c>
      <c r="AA32" s="688">
        <f>IFERROR(VLOOKUP($A32,'[96]3月'!$A:$H,8,0),0)</f>
        <v>0</v>
      </c>
      <c r="AB32" s="688">
        <f>IFERROR(VLOOKUP($A32,'[96]4月'!$A:$H,8,0),0)</f>
        <v>0</v>
      </c>
      <c r="AC32" s="688">
        <f>IFERROR(VLOOKUP($A32,'[96]5月'!$A:$H,8,0),0)</f>
        <v>0</v>
      </c>
      <c r="AD32" s="688">
        <f>IFERROR(VLOOKUP($A32,'[96]6月'!$A:$H,8,0),0)</f>
        <v>0</v>
      </c>
      <c r="AE32" s="688">
        <f>IFERROR(VLOOKUP($A32,'[96]7月'!$A:$H,8,0),0)</f>
        <v>0</v>
      </c>
      <c r="AF32" s="688">
        <f>IFERROR(VLOOKUP($A32,'[96]8月'!$A:$H,8,0),0)</f>
        <v>0</v>
      </c>
      <c r="AG32" s="688">
        <f>IFERROR(VLOOKUP($A32,'[96]9月'!$A:$H,8,0),0)</f>
        <v>0</v>
      </c>
      <c r="AH32" s="688">
        <f>IFERROR(VLOOKUP($A32,'[96]10月'!$A:$H,8,0),0)</f>
        <v>0</v>
      </c>
      <c r="AI32" s="688">
        <f>IFERROR(VLOOKUP($A32,'[96]11月'!$A:$H,8,0),0)</f>
        <v>0</v>
      </c>
      <c r="AJ32" s="688">
        <f>IFERROR(VLOOKUP($A32,'[96]12月'!$A:$H,8,0),0)</f>
        <v>0</v>
      </c>
      <c r="AK32" s="688">
        <f t="shared" si="26"/>
        <v>0</v>
      </c>
    </row>
    <row r="33" spans="1:37" ht="13.5" customHeight="1">
      <c r="A33" s="663" t="str">
        <f>'Budget-合并'!A33</f>
        <v>6602.02</v>
      </c>
      <c r="B33" s="663" t="str">
        <f>'Budget-合并'!B33</f>
        <v>职工福利</v>
      </c>
      <c r="C33" s="687">
        <f>'Budget-合并'!C33</f>
        <v>0</v>
      </c>
      <c r="D33" s="676">
        <f t="shared" si="18"/>
        <v>0</v>
      </c>
      <c r="E33" s="676">
        <f t="shared" si="19"/>
        <v>0</v>
      </c>
      <c r="F33" s="676">
        <f t="shared" si="20"/>
        <v>0</v>
      </c>
      <c r="G33" s="676">
        <f t="shared" ca="1" si="21"/>
        <v>0</v>
      </c>
      <c r="H33" s="676">
        <f t="shared" ca="1" si="22"/>
        <v>0</v>
      </c>
      <c r="I33" s="676">
        <f t="shared" ca="1" si="23"/>
        <v>0</v>
      </c>
      <c r="K33" s="679">
        <f t="shared" ref="K33:V33" si="27">SUM(K34:K37)</f>
        <v>0</v>
      </c>
      <c r="L33" s="679">
        <f t="shared" si="27"/>
        <v>0</v>
      </c>
      <c r="M33" s="679">
        <f t="shared" si="27"/>
        <v>0</v>
      </c>
      <c r="N33" s="679">
        <f t="shared" si="27"/>
        <v>0</v>
      </c>
      <c r="O33" s="679">
        <f t="shared" si="27"/>
        <v>0</v>
      </c>
      <c r="P33" s="679">
        <f t="shared" si="27"/>
        <v>0</v>
      </c>
      <c r="Q33" s="679">
        <f t="shared" si="27"/>
        <v>0</v>
      </c>
      <c r="R33" s="679">
        <f t="shared" si="27"/>
        <v>0</v>
      </c>
      <c r="S33" s="679">
        <f t="shared" si="27"/>
        <v>0</v>
      </c>
      <c r="T33" s="679">
        <f t="shared" si="27"/>
        <v>0</v>
      </c>
      <c r="U33" s="679">
        <f t="shared" si="27"/>
        <v>0</v>
      </c>
      <c r="V33" s="679">
        <f t="shared" si="27"/>
        <v>0</v>
      </c>
      <c r="W33" s="676">
        <f t="shared" si="25"/>
        <v>0</v>
      </c>
      <c r="Y33" s="688">
        <f>IFERROR(VLOOKUP($A33,'[96]1月'!$A:$H,8,0),0)</f>
        <v>0</v>
      </c>
      <c r="Z33" s="688">
        <f>IFERROR(VLOOKUP($A33,'[96]2月'!$A:$H,8,0),0)</f>
        <v>0</v>
      </c>
      <c r="AA33" s="688">
        <f>IFERROR(VLOOKUP($A33,'[96]3月'!$A:$H,8,0),0)</f>
        <v>0</v>
      </c>
      <c r="AB33" s="688">
        <f>IFERROR(VLOOKUP($A33,'[96]4月'!$A:$H,8,0),0)</f>
        <v>0</v>
      </c>
      <c r="AC33" s="688">
        <f>IFERROR(VLOOKUP($A33,'[96]5月'!$A:$H,8,0),0)</f>
        <v>0</v>
      </c>
      <c r="AD33" s="688">
        <f>IFERROR(VLOOKUP($A33,'[96]6月'!$A:$H,8,0),0)</f>
        <v>0</v>
      </c>
      <c r="AE33" s="688">
        <f>IFERROR(VLOOKUP($A33,'[96]7月'!$A:$H,8,0),0)</f>
        <v>0</v>
      </c>
      <c r="AF33" s="688">
        <f>IFERROR(VLOOKUP($A33,'[96]8月'!$A:$H,8,0),0)</f>
        <v>0</v>
      </c>
      <c r="AG33" s="688">
        <f>IFERROR(VLOOKUP($A33,'[96]9月'!$A:$H,8,0),0)</f>
        <v>0</v>
      </c>
      <c r="AH33" s="688">
        <f>IFERROR(VLOOKUP($A33,'[96]10月'!$A:$H,8,0),0)</f>
        <v>0</v>
      </c>
      <c r="AI33" s="688">
        <f>IFERROR(VLOOKUP($A33,'[96]11月'!$A:$H,8,0),0)</f>
        <v>0</v>
      </c>
      <c r="AJ33" s="688">
        <f>IFERROR(VLOOKUP($A33,'[96]12月'!$A:$H,8,0),0)</f>
        <v>0</v>
      </c>
      <c r="AK33" s="688">
        <f t="shared" si="26"/>
        <v>0</v>
      </c>
    </row>
    <row r="34" spans="1:37" ht="13.5" customHeight="1">
      <c r="A34" s="653" t="str">
        <f>'Budget-合并'!A34</f>
        <v>6602.02.01</v>
      </c>
      <c r="B34" s="653" t="str">
        <f>'Budget-合并'!B34</f>
        <v>员工福利</v>
      </c>
      <c r="C34" s="687" t="str">
        <f>'Budget-合并'!C34</f>
        <v>Fringe Other</v>
      </c>
      <c r="D34" s="676">
        <f t="shared" si="18"/>
        <v>0</v>
      </c>
      <c r="E34" s="676">
        <f t="shared" si="19"/>
        <v>0</v>
      </c>
      <c r="F34" s="676">
        <f t="shared" si="20"/>
        <v>0</v>
      </c>
      <c r="G34" s="676">
        <f t="shared" ca="1" si="21"/>
        <v>0</v>
      </c>
      <c r="H34" s="676">
        <f t="shared" ca="1" si="22"/>
        <v>0</v>
      </c>
      <c r="I34" s="676">
        <f t="shared" ca="1" si="23"/>
        <v>0</v>
      </c>
      <c r="K34" s="676"/>
      <c r="L34" s="676"/>
      <c r="M34" s="676"/>
      <c r="N34" s="676"/>
      <c r="O34" s="676"/>
      <c r="P34" s="676"/>
      <c r="Q34" s="676"/>
      <c r="R34" s="676"/>
      <c r="S34" s="676"/>
      <c r="T34" s="676"/>
      <c r="U34" s="676"/>
      <c r="V34" s="676"/>
      <c r="W34" s="676">
        <f t="shared" si="25"/>
        <v>0</v>
      </c>
      <c r="Y34" s="688">
        <f>IFERROR(VLOOKUP($A34,'[96]1月'!$A:$H,8,0),0)</f>
        <v>0</v>
      </c>
      <c r="Z34" s="688">
        <f>IFERROR(VLOOKUP($A34,'[96]2月'!$A:$H,8,0),0)</f>
        <v>0</v>
      </c>
      <c r="AA34" s="688">
        <f>IFERROR(VLOOKUP($A34,'[96]3月'!$A:$H,8,0),0)</f>
        <v>0</v>
      </c>
      <c r="AB34" s="688">
        <f>IFERROR(VLOOKUP($A34,'[96]4月'!$A:$H,8,0),0)</f>
        <v>0</v>
      </c>
      <c r="AC34" s="688">
        <f>IFERROR(VLOOKUP($A34,'[96]5月'!$A:$H,8,0),0)</f>
        <v>0</v>
      </c>
      <c r="AD34" s="688">
        <f>IFERROR(VLOOKUP($A34,'[96]6月'!$A:$H,8,0),0)</f>
        <v>0</v>
      </c>
      <c r="AE34" s="688">
        <f>IFERROR(VLOOKUP($A34,'[96]7月'!$A:$H,8,0),0)</f>
        <v>0</v>
      </c>
      <c r="AF34" s="688">
        <f>IFERROR(VLOOKUP($A34,'[96]8月'!$A:$H,8,0),0)</f>
        <v>0</v>
      </c>
      <c r="AG34" s="688">
        <f>IFERROR(VLOOKUP($A34,'[96]9月'!$A:$H,8,0),0)</f>
        <v>0</v>
      </c>
      <c r="AH34" s="688">
        <f>IFERROR(VLOOKUP($A34,'[96]10月'!$A:$H,8,0),0)</f>
        <v>0</v>
      </c>
      <c r="AI34" s="688">
        <f>IFERROR(VLOOKUP($A34,'[96]11月'!$A:$H,8,0),0)</f>
        <v>0</v>
      </c>
      <c r="AJ34" s="688">
        <f>IFERROR(VLOOKUP($A34,'[96]12月'!$A:$H,8,0),0)</f>
        <v>0</v>
      </c>
      <c r="AK34" s="688">
        <f t="shared" si="26"/>
        <v>0</v>
      </c>
    </row>
    <row r="35" spans="1:37" ht="13.5" customHeight="1">
      <c r="A35" s="653" t="str">
        <f>'Budget-合并'!A35</f>
        <v>6602.02.02</v>
      </c>
      <c r="B35" s="653" t="str">
        <f>'Budget-合并'!B35</f>
        <v>团建活动</v>
      </c>
      <c r="C35" s="687" t="str">
        <f>'Budget-合并'!C35</f>
        <v>EE Morale Expense</v>
      </c>
      <c r="D35" s="676">
        <f t="shared" si="18"/>
        <v>0</v>
      </c>
      <c r="E35" s="676">
        <f t="shared" si="19"/>
        <v>0</v>
      </c>
      <c r="F35" s="676">
        <f t="shared" si="20"/>
        <v>0</v>
      </c>
      <c r="G35" s="676">
        <f t="shared" ca="1" si="21"/>
        <v>0</v>
      </c>
      <c r="H35" s="676">
        <f t="shared" ca="1" si="22"/>
        <v>0</v>
      </c>
      <c r="I35" s="676">
        <f t="shared" ca="1" si="23"/>
        <v>0</v>
      </c>
      <c r="K35" s="676">
        <f t="shared" ref="K35:V35" si="28">SUM(K36:K37)</f>
        <v>0</v>
      </c>
      <c r="L35" s="676">
        <f t="shared" si="28"/>
        <v>0</v>
      </c>
      <c r="M35" s="676">
        <f t="shared" si="28"/>
        <v>0</v>
      </c>
      <c r="N35" s="676">
        <f t="shared" si="28"/>
        <v>0</v>
      </c>
      <c r="O35" s="676">
        <f t="shared" si="28"/>
        <v>0</v>
      </c>
      <c r="P35" s="676">
        <f t="shared" si="28"/>
        <v>0</v>
      </c>
      <c r="Q35" s="676">
        <f t="shared" si="28"/>
        <v>0</v>
      </c>
      <c r="R35" s="676">
        <f t="shared" si="28"/>
        <v>0</v>
      </c>
      <c r="S35" s="676">
        <f t="shared" si="28"/>
        <v>0</v>
      </c>
      <c r="T35" s="676">
        <f t="shared" si="28"/>
        <v>0</v>
      </c>
      <c r="U35" s="676">
        <f t="shared" si="28"/>
        <v>0</v>
      </c>
      <c r="V35" s="676">
        <f t="shared" si="28"/>
        <v>0</v>
      </c>
      <c r="W35" s="676">
        <f t="shared" si="25"/>
        <v>0</v>
      </c>
      <c r="Y35" s="688">
        <f>IFERROR(VLOOKUP($A35,'[96]1月'!$A:$H,8,0),0)</f>
        <v>0</v>
      </c>
      <c r="Z35" s="688">
        <f>IFERROR(VLOOKUP($A35,'[96]2月'!$A:$H,8,0),0)</f>
        <v>0</v>
      </c>
      <c r="AA35" s="688">
        <f>IFERROR(VLOOKUP($A35,'[96]3月'!$A:$H,8,0),0)</f>
        <v>0</v>
      </c>
      <c r="AB35" s="688">
        <f>IFERROR(VLOOKUP($A35,'[96]4月'!$A:$H,8,0),0)</f>
        <v>0</v>
      </c>
      <c r="AC35" s="688">
        <f>IFERROR(VLOOKUP($A35,'[96]5月'!$A:$H,8,0),0)</f>
        <v>0</v>
      </c>
      <c r="AD35" s="688">
        <f>IFERROR(VLOOKUP($A35,'[96]6月'!$A:$H,8,0),0)</f>
        <v>0</v>
      </c>
      <c r="AE35" s="688">
        <f>IFERROR(VLOOKUP($A35,'[96]7月'!$A:$H,8,0),0)</f>
        <v>0</v>
      </c>
      <c r="AF35" s="688">
        <f>IFERROR(VLOOKUP($A35,'[96]8月'!$A:$H,8,0),0)</f>
        <v>0</v>
      </c>
      <c r="AG35" s="688">
        <f>IFERROR(VLOOKUP($A35,'[96]9月'!$A:$H,8,0),0)</f>
        <v>0</v>
      </c>
      <c r="AH35" s="688">
        <f>IFERROR(VLOOKUP($A35,'[96]10月'!$A:$H,8,0),0)</f>
        <v>0</v>
      </c>
      <c r="AI35" s="688">
        <f>IFERROR(VLOOKUP($A35,'[96]11月'!$A:$H,8,0),0)</f>
        <v>0</v>
      </c>
      <c r="AJ35" s="688">
        <f>IFERROR(VLOOKUP($A35,'[96]12月'!$A:$H,8,0),0)</f>
        <v>0</v>
      </c>
      <c r="AK35" s="688">
        <f t="shared" si="26"/>
        <v>0</v>
      </c>
    </row>
    <row r="36" spans="1:37" ht="13.5" customHeight="1">
      <c r="A36" s="653" t="str">
        <f>'Budget-合并'!A36</f>
        <v>6602.02.03</v>
      </c>
      <c r="B36" s="653" t="str">
        <f>'Budget-合并'!B36</f>
        <v>体检费</v>
      </c>
      <c r="C36" s="687">
        <f>'Budget-合并'!C36</f>
        <v>0</v>
      </c>
      <c r="D36" s="676">
        <f t="shared" si="18"/>
        <v>0</v>
      </c>
      <c r="E36" s="676">
        <f t="shared" si="19"/>
        <v>0</v>
      </c>
      <c r="F36" s="676">
        <f t="shared" si="20"/>
        <v>0</v>
      </c>
      <c r="G36" s="676">
        <f t="shared" ca="1" si="21"/>
        <v>0</v>
      </c>
      <c r="H36" s="676">
        <f t="shared" ca="1" si="22"/>
        <v>0</v>
      </c>
      <c r="I36" s="676">
        <f t="shared" ca="1" si="23"/>
        <v>0</v>
      </c>
      <c r="K36" s="676"/>
      <c r="L36" s="676"/>
      <c r="M36" s="676"/>
      <c r="N36" s="676"/>
      <c r="O36" s="676"/>
      <c r="P36" s="676"/>
      <c r="Q36" s="676"/>
      <c r="R36" s="676"/>
      <c r="S36" s="676"/>
      <c r="T36" s="676"/>
      <c r="U36" s="676"/>
      <c r="V36" s="676"/>
      <c r="W36" s="676">
        <f t="shared" si="25"/>
        <v>0</v>
      </c>
      <c r="Y36" s="688">
        <f>IFERROR(VLOOKUP($A36,'[96]1月'!$A:$H,8,0),0)</f>
        <v>0</v>
      </c>
      <c r="Z36" s="688">
        <f>IFERROR(VLOOKUP($A36,'[96]2月'!$A:$H,8,0),0)</f>
        <v>0</v>
      </c>
      <c r="AA36" s="688">
        <f>IFERROR(VLOOKUP($A36,'[96]3月'!$A:$H,8,0),0)</f>
        <v>0</v>
      </c>
      <c r="AB36" s="688">
        <f>IFERROR(VLOOKUP($A36,'[96]4月'!$A:$H,8,0),0)</f>
        <v>0</v>
      </c>
      <c r="AC36" s="688">
        <f>IFERROR(VLOOKUP($A36,'[96]5月'!$A:$H,8,0),0)</f>
        <v>0</v>
      </c>
      <c r="AD36" s="688">
        <f>IFERROR(VLOOKUP($A36,'[96]6月'!$A:$H,8,0),0)</f>
        <v>0</v>
      </c>
      <c r="AE36" s="688">
        <f>IFERROR(VLOOKUP($A36,'[96]7月'!$A:$H,8,0),0)</f>
        <v>0</v>
      </c>
      <c r="AF36" s="688">
        <f>IFERROR(VLOOKUP($A36,'[96]8月'!$A:$H,8,0),0)</f>
        <v>0</v>
      </c>
      <c r="AG36" s="688">
        <f>IFERROR(VLOOKUP($A36,'[96]9月'!$A:$H,8,0),0)</f>
        <v>0</v>
      </c>
      <c r="AH36" s="688">
        <f>IFERROR(VLOOKUP($A36,'[96]10月'!$A:$H,8,0),0)</f>
        <v>0</v>
      </c>
      <c r="AI36" s="688">
        <f>IFERROR(VLOOKUP($A36,'[96]11月'!$A:$H,8,0),0)</f>
        <v>0</v>
      </c>
      <c r="AJ36" s="688">
        <f>IFERROR(VLOOKUP($A36,'[96]12月'!$A:$H,8,0),0)</f>
        <v>0</v>
      </c>
      <c r="AK36" s="688">
        <f t="shared" si="26"/>
        <v>0</v>
      </c>
    </row>
    <row r="37" spans="1:37" ht="13.5" customHeight="1">
      <c r="A37" s="653" t="str">
        <f>'Budget-合并'!A37</f>
        <v>6602.02.04</v>
      </c>
      <c r="B37" s="653" t="str">
        <f>'Budget-合并'!B37</f>
        <v>商业保险 - 医疗</v>
      </c>
      <c r="C37" s="687">
        <f>'Budget-合并'!C37</f>
        <v>0</v>
      </c>
      <c r="D37" s="676">
        <f t="shared" si="18"/>
        <v>0</v>
      </c>
      <c r="E37" s="676">
        <f t="shared" si="19"/>
        <v>0</v>
      </c>
      <c r="F37" s="676">
        <f t="shared" si="20"/>
        <v>0</v>
      </c>
      <c r="G37" s="676">
        <f t="shared" ca="1" si="21"/>
        <v>0</v>
      </c>
      <c r="H37" s="676">
        <f t="shared" ca="1" si="22"/>
        <v>0</v>
      </c>
      <c r="I37" s="676">
        <f t="shared" ca="1" si="23"/>
        <v>0</v>
      </c>
      <c r="K37" s="676"/>
      <c r="L37" s="676"/>
      <c r="M37" s="676"/>
      <c r="N37" s="676"/>
      <c r="O37" s="676"/>
      <c r="P37" s="676"/>
      <c r="Q37" s="676"/>
      <c r="R37" s="676"/>
      <c r="S37" s="676"/>
      <c r="T37" s="676"/>
      <c r="U37" s="676"/>
      <c r="V37" s="676"/>
      <c r="W37" s="676">
        <f t="shared" si="25"/>
        <v>0</v>
      </c>
      <c r="Y37" s="688">
        <f>IFERROR(VLOOKUP($A37,'[96]1月'!$A:$H,8,0),0)</f>
        <v>0</v>
      </c>
      <c r="Z37" s="688">
        <f>IFERROR(VLOOKUP($A37,'[96]2月'!$A:$H,8,0),0)</f>
        <v>0</v>
      </c>
      <c r="AA37" s="688">
        <f>IFERROR(VLOOKUP($A37,'[96]3月'!$A:$H,8,0),0)</f>
        <v>0</v>
      </c>
      <c r="AB37" s="688">
        <f>IFERROR(VLOOKUP($A37,'[96]4月'!$A:$H,8,0),0)</f>
        <v>0</v>
      </c>
      <c r="AC37" s="688">
        <f>IFERROR(VLOOKUP($A37,'[96]5月'!$A:$H,8,0),0)</f>
        <v>0</v>
      </c>
      <c r="AD37" s="688">
        <f>IFERROR(VLOOKUP($A37,'[96]6月'!$A:$H,8,0),0)</f>
        <v>0</v>
      </c>
      <c r="AE37" s="688">
        <f>IFERROR(VLOOKUP($A37,'[96]7月'!$A:$H,8,0),0)</f>
        <v>0</v>
      </c>
      <c r="AF37" s="688">
        <f>IFERROR(VLOOKUP($A37,'[96]8月'!$A:$H,8,0),0)</f>
        <v>0</v>
      </c>
      <c r="AG37" s="688">
        <f>IFERROR(VLOOKUP($A37,'[96]9月'!$A:$H,8,0),0)</f>
        <v>0</v>
      </c>
      <c r="AH37" s="688">
        <f>IFERROR(VLOOKUP($A37,'[96]10月'!$A:$H,8,0),0)</f>
        <v>0</v>
      </c>
      <c r="AI37" s="688">
        <f>IFERROR(VLOOKUP($A37,'[96]11月'!$A:$H,8,0),0)</f>
        <v>0</v>
      </c>
      <c r="AJ37" s="688">
        <f>IFERROR(VLOOKUP($A37,'[96]12月'!$A:$H,8,0),0)</f>
        <v>0</v>
      </c>
      <c r="AK37" s="688">
        <f t="shared" si="26"/>
        <v>0</v>
      </c>
    </row>
    <row r="38" spans="1:37" ht="13.5" customHeight="1">
      <c r="A38" s="663" t="str">
        <f>'Budget-合并'!A38</f>
        <v>6602.03</v>
      </c>
      <c r="B38" s="663" t="str">
        <f>'Budget-合并'!B38</f>
        <v>社保公积金</v>
      </c>
      <c r="C38" s="687">
        <f>'Budget-合并'!C38</f>
        <v>0</v>
      </c>
      <c r="D38" s="676">
        <f t="shared" si="18"/>
        <v>0</v>
      </c>
      <c r="E38" s="676">
        <f t="shared" si="19"/>
        <v>0</v>
      </c>
      <c r="F38" s="676">
        <f t="shared" si="20"/>
        <v>0</v>
      </c>
      <c r="G38" s="676">
        <f t="shared" ca="1" si="21"/>
        <v>0</v>
      </c>
      <c r="H38" s="676">
        <f t="shared" ca="1" si="22"/>
        <v>0</v>
      </c>
      <c r="I38" s="676">
        <f t="shared" ca="1" si="23"/>
        <v>0</v>
      </c>
      <c r="K38" s="679">
        <f t="shared" ref="K38:V38" si="29">SUM(K39:K41)</f>
        <v>0</v>
      </c>
      <c r="L38" s="679">
        <f t="shared" si="29"/>
        <v>0</v>
      </c>
      <c r="M38" s="679">
        <f t="shared" si="29"/>
        <v>0</v>
      </c>
      <c r="N38" s="679">
        <f t="shared" si="29"/>
        <v>0</v>
      </c>
      <c r="O38" s="679">
        <f t="shared" si="29"/>
        <v>0</v>
      </c>
      <c r="P38" s="679">
        <f t="shared" si="29"/>
        <v>0</v>
      </c>
      <c r="Q38" s="679">
        <f t="shared" si="29"/>
        <v>0</v>
      </c>
      <c r="R38" s="679">
        <f t="shared" si="29"/>
        <v>0</v>
      </c>
      <c r="S38" s="679">
        <f t="shared" si="29"/>
        <v>0</v>
      </c>
      <c r="T38" s="679">
        <f t="shared" si="29"/>
        <v>0</v>
      </c>
      <c r="U38" s="679">
        <f t="shared" si="29"/>
        <v>0</v>
      </c>
      <c r="V38" s="679">
        <f t="shared" si="29"/>
        <v>0</v>
      </c>
      <c r="W38" s="676">
        <f t="shared" si="25"/>
        <v>0</v>
      </c>
      <c r="Y38" s="688">
        <f>IFERROR(VLOOKUP($A38,'[96]1月'!$A:$H,8,0),0)</f>
        <v>0</v>
      </c>
      <c r="Z38" s="688">
        <f>IFERROR(VLOOKUP($A38,'[96]2月'!$A:$H,8,0),0)</f>
        <v>0</v>
      </c>
      <c r="AA38" s="688">
        <f>IFERROR(VLOOKUP($A38,'[96]3月'!$A:$H,8,0),0)</f>
        <v>0</v>
      </c>
      <c r="AB38" s="688">
        <f>IFERROR(VLOOKUP($A38,'[96]4月'!$A:$H,8,0),0)</f>
        <v>0</v>
      </c>
      <c r="AC38" s="688">
        <f>IFERROR(VLOOKUP($A38,'[96]5月'!$A:$H,8,0),0)</f>
        <v>0</v>
      </c>
      <c r="AD38" s="688">
        <f>IFERROR(VLOOKUP($A38,'[96]6月'!$A:$H,8,0),0)</f>
        <v>0</v>
      </c>
      <c r="AE38" s="688">
        <f>IFERROR(VLOOKUP($A38,'[96]7月'!$A:$H,8,0),0)</f>
        <v>0</v>
      </c>
      <c r="AF38" s="688">
        <f>IFERROR(VLOOKUP($A38,'[96]8月'!$A:$H,8,0),0)</f>
        <v>0</v>
      </c>
      <c r="AG38" s="688">
        <f>IFERROR(VLOOKUP($A38,'[96]9月'!$A:$H,8,0),0)</f>
        <v>0</v>
      </c>
      <c r="AH38" s="688">
        <f>IFERROR(VLOOKUP($A38,'[96]10月'!$A:$H,8,0),0)</f>
        <v>0</v>
      </c>
      <c r="AI38" s="688">
        <f>IFERROR(VLOOKUP($A38,'[96]11月'!$A:$H,8,0),0)</f>
        <v>0</v>
      </c>
      <c r="AJ38" s="688">
        <f>IFERROR(VLOOKUP($A38,'[96]12月'!$A:$H,8,0),0)</f>
        <v>0</v>
      </c>
      <c r="AK38" s="688">
        <f t="shared" si="26"/>
        <v>0</v>
      </c>
    </row>
    <row r="39" spans="1:37" ht="13.5" customHeight="1">
      <c r="A39" s="653" t="str">
        <f>'Budget-合并'!A39</f>
        <v>6602.03.01</v>
      </c>
      <c r="B39" s="653" t="str">
        <f>'Budget-合并'!B39</f>
        <v>员工社保福利</v>
      </c>
      <c r="C39" s="687" t="str">
        <f>'Budget-合并'!C39</f>
        <v>Employee Insurance</v>
      </c>
      <c r="D39" s="676">
        <f t="shared" si="18"/>
        <v>0</v>
      </c>
      <c r="E39" s="676">
        <f t="shared" si="19"/>
        <v>0</v>
      </c>
      <c r="F39" s="676">
        <f t="shared" si="20"/>
        <v>0</v>
      </c>
      <c r="G39" s="676">
        <f t="shared" ca="1" si="21"/>
        <v>0</v>
      </c>
      <c r="H39" s="676">
        <f t="shared" ca="1" si="22"/>
        <v>0</v>
      </c>
      <c r="I39" s="676">
        <f t="shared" ca="1" si="23"/>
        <v>0</v>
      </c>
      <c r="K39" s="676"/>
      <c r="L39" s="676"/>
      <c r="M39" s="676"/>
      <c r="N39" s="676"/>
      <c r="O39" s="676"/>
      <c r="P39" s="676"/>
      <c r="Q39" s="676"/>
      <c r="R39" s="676"/>
      <c r="S39" s="676"/>
      <c r="T39" s="676"/>
      <c r="U39" s="676"/>
      <c r="V39" s="676"/>
      <c r="W39" s="676">
        <f t="shared" si="25"/>
        <v>0</v>
      </c>
      <c r="Y39" s="688">
        <f>IFERROR(VLOOKUP($A39,'[96]1月'!$A:$H,8,0),0)</f>
        <v>0</v>
      </c>
      <c r="Z39" s="688">
        <f>IFERROR(VLOOKUP($A39,'[96]2月'!$A:$H,8,0),0)</f>
        <v>0</v>
      </c>
      <c r="AA39" s="688">
        <f>IFERROR(VLOOKUP($A39,'[96]3月'!$A:$H,8,0),0)</f>
        <v>0</v>
      </c>
      <c r="AB39" s="688">
        <f>IFERROR(VLOOKUP($A39,'[96]4月'!$A:$H,8,0),0)</f>
        <v>0</v>
      </c>
      <c r="AC39" s="688">
        <f>IFERROR(VLOOKUP($A39,'[96]5月'!$A:$H,8,0),0)</f>
        <v>0</v>
      </c>
      <c r="AD39" s="688">
        <f>IFERROR(VLOOKUP($A39,'[96]6月'!$A:$H,8,0),0)</f>
        <v>0</v>
      </c>
      <c r="AE39" s="688">
        <f>IFERROR(VLOOKUP($A39,'[96]7月'!$A:$H,8,0),0)</f>
        <v>0</v>
      </c>
      <c r="AF39" s="688">
        <f>IFERROR(VLOOKUP($A39,'[96]8月'!$A:$H,8,0),0)</f>
        <v>0</v>
      </c>
      <c r="AG39" s="688">
        <f>IFERROR(VLOOKUP($A39,'[96]9月'!$A:$H,8,0),0)</f>
        <v>0</v>
      </c>
      <c r="AH39" s="688">
        <f>IFERROR(VLOOKUP($A39,'[96]10月'!$A:$H,8,0),0)</f>
        <v>0</v>
      </c>
      <c r="AI39" s="688">
        <f>IFERROR(VLOOKUP($A39,'[96]11月'!$A:$H,8,0),0)</f>
        <v>0</v>
      </c>
      <c r="AJ39" s="688">
        <f>IFERROR(VLOOKUP($A39,'[96]12月'!$A:$H,8,0),0)</f>
        <v>0</v>
      </c>
      <c r="AK39" s="688">
        <f t="shared" si="26"/>
        <v>0</v>
      </c>
    </row>
    <row r="40" spans="1:37" ht="13.5" customHeight="1">
      <c r="A40" s="653" t="str">
        <f>'Budget-合并'!A40</f>
        <v>6602.03.02</v>
      </c>
      <c r="B40" s="653" t="str">
        <f>'Budget-合并'!B40</f>
        <v>员工公积金福利</v>
      </c>
      <c r="C40" s="687">
        <f>'Budget-合并'!C40</f>
        <v>0</v>
      </c>
      <c r="D40" s="676">
        <f t="shared" si="18"/>
        <v>0</v>
      </c>
      <c r="E40" s="676">
        <f t="shared" si="19"/>
        <v>0</v>
      </c>
      <c r="F40" s="676">
        <f t="shared" si="20"/>
        <v>0</v>
      </c>
      <c r="G40" s="676">
        <f t="shared" ca="1" si="21"/>
        <v>0</v>
      </c>
      <c r="H40" s="676">
        <f t="shared" ca="1" si="22"/>
        <v>0</v>
      </c>
      <c r="I40" s="676">
        <f t="shared" ca="1" si="23"/>
        <v>0</v>
      </c>
      <c r="K40" s="676"/>
      <c r="L40" s="676"/>
      <c r="M40" s="676"/>
      <c r="N40" s="676"/>
      <c r="O40" s="676"/>
      <c r="P40" s="676"/>
      <c r="Q40" s="676"/>
      <c r="R40" s="676"/>
      <c r="S40" s="676"/>
      <c r="T40" s="676"/>
      <c r="U40" s="676"/>
      <c r="V40" s="676"/>
      <c r="W40" s="676">
        <f t="shared" si="25"/>
        <v>0</v>
      </c>
      <c r="Y40" s="688">
        <f>IFERROR(VLOOKUP($A40,'[96]1月'!$A:$H,8,0),0)</f>
        <v>0</v>
      </c>
      <c r="Z40" s="688">
        <f>IFERROR(VLOOKUP($A40,'[96]2月'!$A:$H,8,0),0)</f>
        <v>0</v>
      </c>
      <c r="AA40" s="688">
        <f>IFERROR(VLOOKUP($A40,'[96]3月'!$A:$H,8,0),0)</f>
        <v>0</v>
      </c>
      <c r="AB40" s="688">
        <f>IFERROR(VLOOKUP($A40,'[96]4月'!$A:$H,8,0),0)</f>
        <v>0</v>
      </c>
      <c r="AC40" s="688">
        <f>IFERROR(VLOOKUP($A40,'[96]5月'!$A:$H,8,0),0)</f>
        <v>0</v>
      </c>
      <c r="AD40" s="688">
        <f>IFERROR(VLOOKUP($A40,'[96]6月'!$A:$H,8,0),0)</f>
        <v>0</v>
      </c>
      <c r="AE40" s="688">
        <f>IFERROR(VLOOKUP($A40,'[96]7月'!$A:$H,8,0),0)</f>
        <v>0</v>
      </c>
      <c r="AF40" s="688">
        <f>IFERROR(VLOOKUP($A40,'[96]8月'!$A:$H,8,0),0)</f>
        <v>0</v>
      </c>
      <c r="AG40" s="688">
        <f>IFERROR(VLOOKUP($A40,'[96]9月'!$A:$H,8,0),0)</f>
        <v>0</v>
      </c>
      <c r="AH40" s="688">
        <f>IFERROR(VLOOKUP($A40,'[96]10月'!$A:$H,8,0),0)</f>
        <v>0</v>
      </c>
      <c r="AI40" s="688">
        <f>IFERROR(VLOOKUP($A40,'[96]11月'!$A:$H,8,0),0)</f>
        <v>0</v>
      </c>
      <c r="AJ40" s="688">
        <f>IFERROR(VLOOKUP($A40,'[96]12月'!$A:$H,8,0),0)</f>
        <v>0</v>
      </c>
      <c r="AK40" s="688">
        <f t="shared" si="26"/>
        <v>0</v>
      </c>
    </row>
    <row r="41" spans="1:37" ht="13.5" customHeight="1">
      <c r="A41" s="653" t="str">
        <f>'Budget-合并'!A41</f>
        <v>6602.03.03</v>
      </c>
      <c r="B41" s="653" t="str">
        <f>'Budget-合并'!B41</f>
        <v>员工强制性公积金福利</v>
      </c>
      <c r="C41" s="687" t="str">
        <f>'Budget-合并'!C41</f>
        <v>Pension Local/MPF</v>
      </c>
      <c r="D41" s="676">
        <f t="shared" si="18"/>
        <v>0</v>
      </c>
      <c r="E41" s="676">
        <f t="shared" si="19"/>
        <v>0</v>
      </c>
      <c r="F41" s="676">
        <f t="shared" si="20"/>
        <v>0</v>
      </c>
      <c r="G41" s="676">
        <f t="shared" ca="1" si="21"/>
        <v>0</v>
      </c>
      <c r="H41" s="676">
        <f t="shared" ca="1" si="22"/>
        <v>0</v>
      </c>
      <c r="I41" s="676">
        <f t="shared" ca="1" si="23"/>
        <v>0</v>
      </c>
      <c r="K41" s="676"/>
      <c r="L41" s="676"/>
      <c r="M41" s="676"/>
      <c r="N41" s="676"/>
      <c r="O41" s="676"/>
      <c r="P41" s="676"/>
      <c r="Q41" s="676"/>
      <c r="R41" s="676"/>
      <c r="S41" s="676"/>
      <c r="T41" s="676"/>
      <c r="U41" s="676"/>
      <c r="V41" s="676"/>
      <c r="W41" s="676">
        <f t="shared" si="25"/>
        <v>0</v>
      </c>
      <c r="Y41" s="688">
        <f>IFERROR(VLOOKUP($A41,'[96]1月'!$A:$H,8,0),0)</f>
        <v>0</v>
      </c>
      <c r="Z41" s="688">
        <f>IFERROR(VLOOKUP($A41,'[96]2月'!$A:$H,8,0),0)</f>
        <v>0</v>
      </c>
      <c r="AA41" s="688">
        <f>IFERROR(VLOOKUP($A41,'[96]3月'!$A:$H,8,0),0)</f>
        <v>0</v>
      </c>
      <c r="AB41" s="688">
        <f>IFERROR(VLOOKUP($A41,'[96]4月'!$A:$H,8,0),0)</f>
        <v>0</v>
      </c>
      <c r="AC41" s="688">
        <f>IFERROR(VLOOKUP($A41,'[96]5月'!$A:$H,8,0),0)</f>
        <v>0</v>
      </c>
      <c r="AD41" s="688">
        <f>IFERROR(VLOOKUP($A41,'[96]6月'!$A:$H,8,0),0)</f>
        <v>0</v>
      </c>
      <c r="AE41" s="688">
        <f>IFERROR(VLOOKUP($A41,'[96]7月'!$A:$H,8,0),0)</f>
        <v>0</v>
      </c>
      <c r="AF41" s="688">
        <f>IFERROR(VLOOKUP($A41,'[96]8月'!$A:$H,8,0),0)</f>
        <v>0</v>
      </c>
      <c r="AG41" s="688">
        <f>IFERROR(VLOOKUP($A41,'[96]9月'!$A:$H,8,0),0)</f>
        <v>0</v>
      </c>
      <c r="AH41" s="688">
        <f>IFERROR(VLOOKUP($A41,'[96]10月'!$A:$H,8,0),0)</f>
        <v>0</v>
      </c>
      <c r="AI41" s="688">
        <f>IFERROR(VLOOKUP($A41,'[96]11月'!$A:$H,8,0),0)</f>
        <v>0</v>
      </c>
      <c r="AJ41" s="688">
        <f>IFERROR(VLOOKUP($A41,'[96]12月'!$A:$H,8,0),0)</f>
        <v>0</v>
      </c>
      <c r="AK41" s="688">
        <f t="shared" si="26"/>
        <v>0</v>
      </c>
    </row>
    <row r="42" spans="1:37" ht="13.5" customHeight="1">
      <c r="A42" s="686">
        <f>'Budget-合并'!A42</f>
        <v>0</v>
      </c>
      <c r="B42" s="686" t="str">
        <f>'Budget-合并'!B42</f>
        <v>管理人工费用小计</v>
      </c>
      <c r="C42" s="687">
        <f>'Budget-合并'!C42</f>
        <v>0</v>
      </c>
      <c r="D42" s="654">
        <f t="shared" si="18"/>
        <v>0</v>
      </c>
      <c r="E42" s="654">
        <f t="shared" si="19"/>
        <v>0</v>
      </c>
      <c r="F42" s="654">
        <f t="shared" si="20"/>
        <v>0</v>
      </c>
      <c r="G42" s="677">
        <f t="shared" ca="1" si="21"/>
        <v>0</v>
      </c>
      <c r="H42" s="677">
        <f t="shared" ref="H42:H106" ca="1" si="30">SUM($Y42:OFFSET($Y42,0,MATCH(H$6,$Y$6:$AJ$6)-1))</f>
        <v>0</v>
      </c>
      <c r="I42" s="677">
        <f t="shared" ca="1" si="23"/>
        <v>0</v>
      </c>
      <c r="K42" s="677">
        <f t="shared" ref="K42:V42" si="31">SUM(K23,K33,K38)</f>
        <v>0</v>
      </c>
      <c r="L42" s="677">
        <f t="shared" si="31"/>
        <v>0</v>
      </c>
      <c r="M42" s="677">
        <f t="shared" si="31"/>
        <v>0</v>
      </c>
      <c r="N42" s="677">
        <f t="shared" si="31"/>
        <v>0</v>
      </c>
      <c r="O42" s="677">
        <f t="shared" si="31"/>
        <v>0</v>
      </c>
      <c r="P42" s="677">
        <f t="shared" si="31"/>
        <v>0</v>
      </c>
      <c r="Q42" s="677">
        <f t="shared" si="31"/>
        <v>0</v>
      </c>
      <c r="R42" s="677">
        <f t="shared" si="31"/>
        <v>0</v>
      </c>
      <c r="S42" s="677">
        <f t="shared" si="31"/>
        <v>0</v>
      </c>
      <c r="T42" s="677">
        <f t="shared" si="31"/>
        <v>0</v>
      </c>
      <c r="U42" s="677">
        <f t="shared" si="31"/>
        <v>0</v>
      </c>
      <c r="V42" s="677">
        <f t="shared" si="31"/>
        <v>0</v>
      </c>
      <c r="W42" s="677">
        <f t="shared" si="25"/>
        <v>0</v>
      </c>
      <c r="Y42" s="677">
        <f t="shared" ref="Y42:AK42" si="32">SUM(Y23,Y33,Y38)</f>
        <v>0</v>
      </c>
      <c r="Z42" s="677">
        <f t="shared" si="32"/>
        <v>0</v>
      </c>
      <c r="AA42" s="677">
        <f t="shared" si="32"/>
        <v>0</v>
      </c>
      <c r="AB42" s="677">
        <f t="shared" si="32"/>
        <v>0</v>
      </c>
      <c r="AC42" s="677">
        <f t="shared" si="32"/>
        <v>0</v>
      </c>
      <c r="AD42" s="677">
        <f t="shared" si="32"/>
        <v>0</v>
      </c>
      <c r="AE42" s="677">
        <f t="shared" si="32"/>
        <v>0</v>
      </c>
      <c r="AF42" s="677">
        <f t="shared" si="32"/>
        <v>0</v>
      </c>
      <c r="AG42" s="677">
        <f t="shared" si="32"/>
        <v>0</v>
      </c>
      <c r="AH42" s="677">
        <f t="shared" si="32"/>
        <v>0</v>
      </c>
      <c r="AI42" s="677">
        <f t="shared" si="32"/>
        <v>0</v>
      </c>
      <c r="AJ42" s="677">
        <f t="shared" si="32"/>
        <v>0</v>
      </c>
      <c r="AK42" s="677">
        <f t="shared" si="32"/>
        <v>0</v>
      </c>
    </row>
    <row r="43" spans="1:37" ht="13.5" customHeight="1">
      <c r="A43" s="653">
        <f>'Budget-合并'!A43</f>
        <v>0</v>
      </c>
      <c r="B43" s="653">
        <f>'Budget-合并'!B43</f>
        <v>0</v>
      </c>
      <c r="C43" s="687">
        <f>'Budget-合并'!C43</f>
        <v>0</v>
      </c>
    </row>
    <row r="44" spans="1:37" ht="13.5" customHeight="1">
      <c r="A44" s="663" t="str">
        <f>'Budget-合并'!A44</f>
        <v>6602.04</v>
      </c>
      <c r="B44" s="663" t="str">
        <f>'Budget-合并'!B44</f>
        <v>咨询及专业服务费</v>
      </c>
      <c r="C44" s="687">
        <f>'Budget-合并'!C44</f>
        <v>0</v>
      </c>
      <c r="D44" s="676">
        <f t="shared" ref="D44:D107" si="33">INDEX($K44:$V44,1,MATCH($D$6,$K$6:$V$6))</f>
        <v>0</v>
      </c>
      <c r="E44" s="676">
        <f t="shared" ref="E44:E107" si="34">INDEX($Y44:$AJ44,1,MATCH($E$6,$Y$6:$AJ$6))</f>
        <v>0</v>
      </c>
      <c r="F44" s="676">
        <f t="shared" ref="F44:F107" si="35">D44-E44</f>
        <v>0</v>
      </c>
      <c r="G44" s="676">
        <f t="shared" ref="G44:G107" ca="1" si="36">SUM($K44:OFFSET($K44,0,MATCH(G$6,$K$6:$V$6)-1))</f>
        <v>0</v>
      </c>
      <c r="H44" s="676">
        <f t="shared" ca="1" si="30"/>
        <v>0</v>
      </c>
      <c r="I44" s="676">
        <f t="shared" ref="I44:I107" ca="1" si="37">G44-H44</f>
        <v>0</v>
      </c>
      <c r="K44" s="676">
        <f t="shared" ref="K44:V44" si="38">SUM(K45,K46,K47,K51:K61)</f>
        <v>0</v>
      </c>
      <c r="L44" s="676">
        <f t="shared" si="38"/>
        <v>0</v>
      </c>
      <c r="M44" s="676">
        <f t="shared" si="38"/>
        <v>0</v>
      </c>
      <c r="N44" s="676">
        <f t="shared" si="38"/>
        <v>0</v>
      </c>
      <c r="O44" s="676">
        <f t="shared" si="38"/>
        <v>0</v>
      </c>
      <c r="P44" s="676">
        <f t="shared" si="38"/>
        <v>17000</v>
      </c>
      <c r="Q44" s="676">
        <f t="shared" si="38"/>
        <v>0</v>
      </c>
      <c r="R44" s="676">
        <f t="shared" si="38"/>
        <v>0</v>
      </c>
      <c r="S44" s="676">
        <f t="shared" si="38"/>
        <v>0</v>
      </c>
      <c r="T44" s="676">
        <f t="shared" si="38"/>
        <v>0</v>
      </c>
      <c r="U44" s="676">
        <f t="shared" si="38"/>
        <v>0</v>
      </c>
      <c r="V44" s="676">
        <f t="shared" si="38"/>
        <v>0</v>
      </c>
      <c r="W44" s="676">
        <f t="shared" si="25"/>
        <v>17000</v>
      </c>
      <c r="Y44" s="688">
        <f>IFERROR(VLOOKUP($A44,'[96]1月'!$A:$H,8,0),0)</f>
        <v>0</v>
      </c>
      <c r="Z44" s="688">
        <f>IFERROR(VLOOKUP($A44,'[96]2月'!$A:$H,8,0),0)</f>
        <v>0</v>
      </c>
      <c r="AA44" s="688">
        <f>IFERROR(VLOOKUP($A44,'[96]3月'!$A:$H,8,0),0)</f>
        <v>0</v>
      </c>
      <c r="AB44" s="688">
        <f>IFERROR(VLOOKUP($A44,'[96]4月'!$A:$H,8,0),0)</f>
        <v>0</v>
      </c>
      <c r="AC44" s="688">
        <f>IFERROR(VLOOKUP($A44,'[96]5月'!$A:$H,8,0),0)</f>
        <v>0</v>
      </c>
      <c r="AD44" s="688">
        <f>IFERROR(VLOOKUP($A44,'[96]6月'!$A:$H,8,0),0)</f>
        <v>0</v>
      </c>
      <c r="AE44" s="688">
        <f>IFERROR(VLOOKUP($A44,'[96]7月'!$A:$H,8,0),0)</f>
        <v>0</v>
      </c>
      <c r="AF44" s="688">
        <f>IFERROR(VLOOKUP($A44,'[96]8月'!$A:$H,8,0),0)</f>
        <v>0</v>
      </c>
      <c r="AG44" s="688">
        <f>IFERROR(VLOOKUP($A44,'[96]9月'!$A:$H,8,0),0)</f>
        <v>0</v>
      </c>
      <c r="AH44" s="688">
        <f>IFERROR(VLOOKUP($A44,'[96]10月'!$A:$H,8,0),0)</f>
        <v>0</v>
      </c>
      <c r="AI44" s="688">
        <f>IFERROR(VLOOKUP($A44,'[96]11月'!$A:$H,8,0),0)</f>
        <v>0</v>
      </c>
      <c r="AJ44" s="688">
        <f>IFERROR(VLOOKUP($A44,'[96]12月'!$A:$H,8,0),0)</f>
        <v>0</v>
      </c>
      <c r="AK44" s="688">
        <f t="shared" ref="AK44:AK107" si="39">SUM(Y44:AJ44)</f>
        <v>0</v>
      </c>
    </row>
    <row r="45" spans="1:37" ht="13.5" customHeight="1">
      <c r="A45" s="653" t="str">
        <f>'Budget-合并'!A45</f>
        <v>6602.04.01</v>
      </c>
      <c r="B45" s="653" t="str">
        <f>'Budget-合并'!B45</f>
        <v>会计服务费</v>
      </c>
      <c r="C45" s="687" t="str">
        <f>'Budget-合并'!C45</f>
        <v>Accounting/Payment Services</v>
      </c>
      <c r="D45" s="676">
        <f t="shared" si="33"/>
        <v>0</v>
      </c>
      <c r="E45" s="676">
        <f t="shared" si="34"/>
        <v>0</v>
      </c>
      <c r="F45" s="676">
        <f t="shared" si="35"/>
        <v>0</v>
      </c>
      <c r="G45" s="676">
        <f t="shared" ca="1" si="36"/>
        <v>0</v>
      </c>
      <c r="H45" s="676">
        <f t="shared" ca="1" si="30"/>
        <v>0</v>
      </c>
      <c r="I45" s="676">
        <f t="shared" ca="1" si="37"/>
        <v>0</v>
      </c>
      <c r="K45" s="676">
        <f>SUMIFS('Prof. Fee'!AF$3:AF$150,'Prof. Fee'!$B$3:$B$150,$D$1,'Prof. Fee'!$D$3:$D$150,$A45)</f>
        <v>0</v>
      </c>
      <c r="L45" s="676">
        <f>SUMIFS('Prof. Fee'!AG$3:AG$150,'Prof. Fee'!$B$3:$B$150,$D$1,'Prof. Fee'!$D$3:$D$150,$A45)</f>
        <v>0</v>
      </c>
      <c r="M45" s="676">
        <f>SUMIFS('Prof. Fee'!AH$3:AH$150,'Prof. Fee'!$B$3:$B$150,$D$1,'Prof. Fee'!$D$3:$D$150,$A45)</f>
        <v>0</v>
      </c>
      <c r="N45" s="676">
        <f>SUMIFS('Prof. Fee'!AI$3:AI$150,'Prof. Fee'!$B$3:$B$150,$D$1,'Prof. Fee'!$D$3:$D$150,$A45)</f>
        <v>0</v>
      </c>
      <c r="O45" s="676">
        <f>SUMIFS('Prof. Fee'!AJ$3:AJ$150,'Prof. Fee'!$B$3:$B$150,$D$1,'Prof. Fee'!$D$3:$D$150,$A45)</f>
        <v>0</v>
      </c>
      <c r="P45" s="676">
        <f>SUMIFS('Prof. Fee'!AK$3:AK$150,'Prof. Fee'!$B$3:$B$150,$D$1,'Prof. Fee'!$D$3:$D$150,$A45)</f>
        <v>0</v>
      </c>
      <c r="Q45" s="676">
        <f>SUMIFS('Prof. Fee'!AL$3:AL$150,'Prof. Fee'!$B$3:$B$150,$D$1,'Prof. Fee'!$D$3:$D$150,$A45)</f>
        <v>0</v>
      </c>
      <c r="R45" s="676">
        <f>SUMIFS('Prof. Fee'!AM$3:AM$150,'Prof. Fee'!$B$3:$B$150,$D$1,'Prof. Fee'!$D$3:$D$150,$A45)</f>
        <v>0</v>
      </c>
      <c r="S45" s="676">
        <f>SUMIFS('Prof. Fee'!AN$3:AN$150,'Prof. Fee'!$B$3:$B$150,$D$1,'Prof. Fee'!$D$3:$D$150,$A45)</f>
        <v>0</v>
      </c>
      <c r="T45" s="676">
        <f>SUMIFS('Prof. Fee'!AO$3:AO$150,'Prof. Fee'!$B$3:$B$150,$D$1,'Prof. Fee'!$D$3:$D$150,$A45)</f>
        <v>0</v>
      </c>
      <c r="U45" s="676">
        <f>SUMIFS('Prof. Fee'!AP$3:AP$150,'Prof. Fee'!$B$3:$B$150,$D$1,'Prof. Fee'!$D$3:$D$150,$A45)</f>
        <v>0</v>
      </c>
      <c r="V45" s="676">
        <f>SUMIFS('Prof. Fee'!AQ$3:AQ$150,'Prof. Fee'!$B$3:$B$150,$D$1,'Prof. Fee'!$D$3:$D$150,$A45)</f>
        <v>0</v>
      </c>
      <c r="W45" s="676">
        <f t="shared" si="25"/>
        <v>0</v>
      </c>
      <c r="Y45" s="688">
        <f>IFERROR(VLOOKUP($A45,'[96]1月'!$A:$H,8,0),0)</f>
        <v>0</v>
      </c>
      <c r="Z45" s="688">
        <f>IFERROR(VLOOKUP($A45,'[96]2月'!$A:$H,8,0),0)</f>
        <v>0</v>
      </c>
      <c r="AA45" s="688">
        <f>IFERROR(VLOOKUP($A45,'[96]3月'!$A:$H,8,0),0)</f>
        <v>0</v>
      </c>
      <c r="AB45" s="688">
        <f>IFERROR(VLOOKUP($A45,'[96]4月'!$A:$H,8,0),0)</f>
        <v>0</v>
      </c>
      <c r="AC45" s="688">
        <f>IFERROR(VLOOKUP($A45,'[96]5月'!$A:$H,8,0),0)</f>
        <v>0</v>
      </c>
      <c r="AD45" s="688">
        <f>IFERROR(VLOOKUP($A45,'[96]6月'!$A:$H,8,0),0)</f>
        <v>0</v>
      </c>
      <c r="AE45" s="688">
        <f>IFERROR(VLOOKUP($A45,'[96]7月'!$A:$H,8,0),0)</f>
        <v>0</v>
      </c>
      <c r="AF45" s="688">
        <f>IFERROR(VLOOKUP($A45,'[96]8月'!$A:$H,8,0),0)</f>
        <v>0</v>
      </c>
      <c r="AG45" s="688">
        <f>IFERROR(VLOOKUP($A45,'[96]9月'!$A:$H,8,0),0)</f>
        <v>0</v>
      </c>
      <c r="AH45" s="688">
        <f>IFERROR(VLOOKUP($A45,'[96]10月'!$A:$H,8,0),0)</f>
        <v>0</v>
      </c>
      <c r="AI45" s="688">
        <f>IFERROR(VLOOKUP($A45,'[96]11月'!$A:$H,8,0),0)</f>
        <v>0</v>
      </c>
      <c r="AJ45" s="688">
        <f>IFERROR(VLOOKUP($A45,'[96]12月'!$A:$H,8,0),0)</f>
        <v>0</v>
      </c>
      <c r="AK45" s="688">
        <f t="shared" si="39"/>
        <v>0</v>
      </c>
    </row>
    <row r="46" spans="1:37" ht="13.5" customHeight="1">
      <c r="A46" s="653" t="str">
        <f>'Budget-合并'!A46</f>
        <v>6602.04.02</v>
      </c>
      <c r="B46" s="653" t="str">
        <f>'Budget-合并'!B46</f>
        <v>审计服务费</v>
      </c>
      <c r="C46" s="687" t="str">
        <f>'Budget-合并'!C46</f>
        <v>Audit Fees</v>
      </c>
      <c r="D46" s="676">
        <f t="shared" si="33"/>
        <v>0</v>
      </c>
      <c r="E46" s="676">
        <f t="shared" si="34"/>
        <v>0</v>
      </c>
      <c r="F46" s="676">
        <f t="shared" si="35"/>
        <v>0</v>
      </c>
      <c r="G46" s="676">
        <f t="shared" ca="1" si="36"/>
        <v>0</v>
      </c>
      <c r="H46" s="676">
        <f t="shared" ca="1" si="30"/>
        <v>0</v>
      </c>
      <c r="I46" s="676">
        <f t="shared" ca="1" si="37"/>
        <v>0</v>
      </c>
      <c r="K46" s="676">
        <f>SUMIFS('Prof. Fee'!AF$3:AF$150,'Prof. Fee'!$B$3:$B$150,$D$1,'Prof. Fee'!$D$3:$D$150,$A46)</f>
        <v>0</v>
      </c>
      <c r="L46" s="676">
        <f>SUMIFS('Prof. Fee'!AG$3:AG$150,'Prof. Fee'!$B$3:$B$150,$D$1,'Prof. Fee'!$D$3:$D$150,$A46)</f>
        <v>0</v>
      </c>
      <c r="M46" s="676">
        <f>SUMIFS('Prof. Fee'!AH$3:AH$150,'Prof. Fee'!$B$3:$B$150,$D$1,'Prof. Fee'!$D$3:$D$150,$A46)</f>
        <v>0</v>
      </c>
      <c r="N46" s="676">
        <f>SUMIFS('Prof. Fee'!AI$3:AI$150,'Prof. Fee'!$B$3:$B$150,$D$1,'Prof. Fee'!$D$3:$D$150,$A46)</f>
        <v>0</v>
      </c>
      <c r="O46" s="676">
        <f>SUMIFS('Prof. Fee'!AJ$3:AJ$150,'Prof. Fee'!$B$3:$B$150,$D$1,'Prof. Fee'!$D$3:$D$150,$A46)</f>
        <v>0</v>
      </c>
      <c r="P46" s="676">
        <f>SUMIFS('Prof. Fee'!AK$3:AK$150,'Prof. Fee'!$B$3:$B$150,$D$1,'Prof. Fee'!$D$3:$D$150,$A46)</f>
        <v>10000</v>
      </c>
      <c r="Q46" s="676">
        <f>SUMIFS('Prof. Fee'!AL$3:AL$150,'Prof. Fee'!$B$3:$B$150,$D$1,'Prof. Fee'!$D$3:$D$150,$A46)</f>
        <v>0</v>
      </c>
      <c r="R46" s="676">
        <f>SUMIFS('Prof. Fee'!AM$3:AM$150,'Prof. Fee'!$B$3:$B$150,$D$1,'Prof. Fee'!$D$3:$D$150,$A46)</f>
        <v>0</v>
      </c>
      <c r="S46" s="676">
        <f>SUMIFS('Prof. Fee'!AN$3:AN$150,'Prof. Fee'!$B$3:$B$150,$D$1,'Prof. Fee'!$D$3:$D$150,$A46)</f>
        <v>0</v>
      </c>
      <c r="T46" s="676">
        <f>SUMIFS('Prof. Fee'!AO$3:AO$150,'Prof. Fee'!$B$3:$B$150,$D$1,'Prof. Fee'!$D$3:$D$150,$A46)</f>
        <v>0</v>
      </c>
      <c r="U46" s="676">
        <f>SUMIFS('Prof. Fee'!AP$3:AP$150,'Prof. Fee'!$B$3:$B$150,$D$1,'Prof. Fee'!$D$3:$D$150,$A46)</f>
        <v>0</v>
      </c>
      <c r="V46" s="676">
        <f>SUMIFS('Prof. Fee'!AQ$3:AQ$150,'Prof. Fee'!$B$3:$B$150,$D$1,'Prof. Fee'!$D$3:$D$150,$A46)</f>
        <v>0</v>
      </c>
      <c r="W46" s="676">
        <f t="shared" si="25"/>
        <v>10000</v>
      </c>
      <c r="Y46" s="688">
        <f>IFERROR(VLOOKUP($A46,'[96]1月'!$A:$H,8,0),0)</f>
        <v>0</v>
      </c>
      <c r="Z46" s="688">
        <f>IFERROR(VLOOKUP($A46,'[96]2月'!$A:$H,8,0),0)</f>
        <v>0</v>
      </c>
      <c r="AA46" s="688">
        <f>IFERROR(VLOOKUP($A46,'[96]3月'!$A:$H,8,0),0)</f>
        <v>0</v>
      </c>
      <c r="AB46" s="688">
        <f>IFERROR(VLOOKUP($A46,'[96]4月'!$A:$H,8,0),0)</f>
        <v>0</v>
      </c>
      <c r="AC46" s="688">
        <f>IFERROR(VLOOKUP($A46,'[96]5月'!$A:$H,8,0),0)</f>
        <v>0</v>
      </c>
      <c r="AD46" s="688">
        <f>IFERROR(VLOOKUP($A46,'[96]6月'!$A:$H,8,0),0)</f>
        <v>0</v>
      </c>
      <c r="AE46" s="688">
        <f>IFERROR(VLOOKUP($A46,'[96]7月'!$A:$H,8,0),0)</f>
        <v>0</v>
      </c>
      <c r="AF46" s="688">
        <f>IFERROR(VLOOKUP($A46,'[96]8月'!$A:$H,8,0),0)</f>
        <v>0</v>
      </c>
      <c r="AG46" s="688">
        <f>IFERROR(VLOOKUP($A46,'[96]9月'!$A:$H,8,0),0)</f>
        <v>0</v>
      </c>
      <c r="AH46" s="688">
        <f>IFERROR(VLOOKUP($A46,'[96]10月'!$A:$H,8,0),0)</f>
        <v>0</v>
      </c>
      <c r="AI46" s="688">
        <f>IFERROR(VLOOKUP($A46,'[96]11月'!$A:$H,8,0),0)</f>
        <v>0</v>
      </c>
      <c r="AJ46" s="688">
        <f>IFERROR(VLOOKUP($A46,'[96]12月'!$A:$H,8,0),0)</f>
        <v>0</v>
      </c>
      <c r="AK46" s="688">
        <f t="shared" si="39"/>
        <v>0</v>
      </c>
    </row>
    <row r="47" spans="1:37" ht="13.5" customHeight="1">
      <c r="A47" s="653" t="str">
        <f>'Budget-合并'!A47</f>
        <v>6602.04.03</v>
      </c>
      <c r="B47" s="653" t="str">
        <f>'Budget-合并'!B47</f>
        <v>顾问费</v>
      </c>
      <c r="C47" s="687" t="str">
        <f>'Budget-合并'!C47</f>
        <v>Advisory fee</v>
      </c>
      <c r="D47" s="676">
        <f t="shared" si="33"/>
        <v>0</v>
      </c>
      <c r="E47" s="676">
        <f t="shared" si="34"/>
        <v>0</v>
      </c>
      <c r="F47" s="676">
        <f t="shared" si="35"/>
        <v>0</v>
      </c>
      <c r="G47" s="676">
        <f t="shared" ca="1" si="36"/>
        <v>0</v>
      </c>
      <c r="H47" s="676">
        <f t="shared" ca="1" si="30"/>
        <v>0</v>
      </c>
      <c r="I47" s="676">
        <f t="shared" ca="1" si="37"/>
        <v>0</v>
      </c>
      <c r="K47" s="676">
        <f t="shared" ref="K47:V47" si="40">SUM(K48:K50)</f>
        <v>0</v>
      </c>
      <c r="L47" s="676">
        <f t="shared" si="40"/>
        <v>0</v>
      </c>
      <c r="M47" s="676">
        <f t="shared" si="40"/>
        <v>0</v>
      </c>
      <c r="N47" s="676">
        <f t="shared" si="40"/>
        <v>0</v>
      </c>
      <c r="O47" s="676">
        <f t="shared" si="40"/>
        <v>0</v>
      </c>
      <c r="P47" s="676">
        <f t="shared" si="40"/>
        <v>0</v>
      </c>
      <c r="Q47" s="676">
        <f t="shared" si="40"/>
        <v>0</v>
      </c>
      <c r="R47" s="676">
        <f t="shared" si="40"/>
        <v>0</v>
      </c>
      <c r="S47" s="676">
        <f t="shared" si="40"/>
        <v>0</v>
      </c>
      <c r="T47" s="676">
        <f t="shared" si="40"/>
        <v>0</v>
      </c>
      <c r="U47" s="676">
        <f t="shared" si="40"/>
        <v>0</v>
      </c>
      <c r="V47" s="676">
        <f t="shared" si="40"/>
        <v>0</v>
      </c>
      <c r="W47" s="676">
        <f t="shared" si="25"/>
        <v>0</v>
      </c>
      <c r="Y47" s="688">
        <f>IFERROR(VLOOKUP($A47,'[96]1月'!$A:$H,8,0),0)</f>
        <v>0</v>
      </c>
      <c r="Z47" s="688">
        <f>IFERROR(VLOOKUP($A47,'[96]2月'!$A:$H,8,0),0)</f>
        <v>0</v>
      </c>
      <c r="AA47" s="688">
        <f>IFERROR(VLOOKUP($A47,'[96]3月'!$A:$H,8,0),0)</f>
        <v>0</v>
      </c>
      <c r="AB47" s="688">
        <f>IFERROR(VLOOKUP($A47,'[96]4月'!$A:$H,8,0),0)</f>
        <v>0</v>
      </c>
      <c r="AC47" s="688">
        <f>IFERROR(VLOOKUP($A47,'[96]5月'!$A:$H,8,0),0)</f>
        <v>0</v>
      </c>
      <c r="AD47" s="688">
        <f>IFERROR(VLOOKUP($A47,'[96]6月'!$A:$H,8,0),0)</f>
        <v>0</v>
      </c>
      <c r="AE47" s="688">
        <f>IFERROR(VLOOKUP($A47,'[96]7月'!$A:$H,8,0),0)</f>
        <v>0</v>
      </c>
      <c r="AF47" s="688">
        <f>IFERROR(VLOOKUP($A47,'[96]8月'!$A:$H,8,0),0)</f>
        <v>0</v>
      </c>
      <c r="AG47" s="688">
        <f>IFERROR(VLOOKUP($A47,'[96]9月'!$A:$H,8,0),0)</f>
        <v>0</v>
      </c>
      <c r="AH47" s="688">
        <f>IFERROR(VLOOKUP($A47,'[96]10月'!$A:$H,8,0),0)</f>
        <v>0</v>
      </c>
      <c r="AI47" s="688">
        <f>IFERROR(VLOOKUP($A47,'[96]11月'!$A:$H,8,0),0)</f>
        <v>0</v>
      </c>
      <c r="AJ47" s="688">
        <f>IFERROR(VLOOKUP($A47,'[96]12月'!$A:$H,8,0),0)</f>
        <v>0</v>
      </c>
      <c r="AK47" s="688">
        <f t="shared" si="39"/>
        <v>0</v>
      </c>
    </row>
    <row r="48" spans="1:37" ht="13.5" customHeight="1">
      <c r="A48" s="653">
        <f>'Budget-合并'!A48</f>
        <v>0</v>
      </c>
      <c r="B48" s="653" t="str">
        <f>'Budget-合并'!B48</f>
        <v xml:space="preserve">    公司主体01</v>
      </c>
      <c r="C48" s="687" t="str">
        <f>'Budget-合并'!C48</f>
        <v xml:space="preserve">   Entity</v>
      </c>
      <c r="D48" s="676">
        <f t="shared" si="33"/>
        <v>0</v>
      </c>
      <c r="E48" s="676">
        <f t="shared" si="34"/>
        <v>0</v>
      </c>
      <c r="F48" s="676">
        <f t="shared" si="35"/>
        <v>0</v>
      </c>
      <c r="G48" s="676">
        <f t="shared" ca="1" si="36"/>
        <v>0</v>
      </c>
      <c r="H48" s="676">
        <f t="shared" ca="1" si="30"/>
        <v>0</v>
      </c>
      <c r="I48" s="676">
        <f t="shared" ca="1" si="37"/>
        <v>0</v>
      </c>
      <c r="K48" s="676"/>
      <c r="L48" s="676"/>
      <c r="M48" s="676"/>
      <c r="N48" s="676"/>
      <c r="O48" s="676"/>
      <c r="P48" s="676"/>
      <c r="Q48" s="676"/>
      <c r="R48" s="676"/>
      <c r="S48" s="676"/>
      <c r="T48" s="676"/>
      <c r="U48" s="676"/>
      <c r="V48" s="676"/>
      <c r="W48" s="676">
        <f t="shared" si="25"/>
        <v>0</v>
      </c>
      <c r="Y48" s="688">
        <f>IFERROR(VLOOKUP($A48,'[96]1月'!$A:$H,8,0),0)</f>
        <v>0</v>
      </c>
      <c r="Z48" s="688">
        <f>IFERROR(VLOOKUP($A48,'[96]2月'!$A:$H,8,0),0)</f>
        <v>0</v>
      </c>
      <c r="AA48" s="688">
        <f>IFERROR(VLOOKUP($A48,'[96]3月'!$A:$H,8,0),0)</f>
        <v>0</v>
      </c>
      <c r="AB48" s="688">
        <f>IFERROR(VLOOKUP($A48,'[96]4月'!$A:$H,8,0),0)</f>
        <v>0</v>
      </c>
      <c r="AC48" s="688">
        <f>IFERROR(VLOOKUP($A48,'[96]5月'!$A:$H,8,0),0)</f>
        <v>0</v>
      </c>
      <c r="AD48" s="688">
        <f>IFERROR(VLOOKUP($A48,'[96]6月'!$A:$H,8,0),0)</f>
        <v>0</v>
      </c>
      <c r="AE48" s="688">
        <f>IFERROR(VLOOKUP($A48,'[96]7月'!$A:$H,8,0),0)</f>
        <v>0</v>
      </c>
      <c r="AF48" s="688">
        <f>IFERROR(VLOOKUP($A48,'[96]8月'!$A:$H,8,0),0)</f>
        <v>0</v>
      </c>
      <c r="AG48" s="688">
        <f>IFERROR(VLOOKUP($A48,'[96]9月'!$A:$H,8,0),0)</f>
        <v>0</v>
      </c>
      <c r="AH48" s="688">
        <f>IFERROR(VLOOKUP($A48,'[96]10月'!$A:$H,8,0),0)</f>
        <v>0</v>
      </c>
      <c r="AI48" s="688">
        <f>IFERROR(VLOOKUP($A48,'[96]11月'!$A:$H,8,0),0)</f>
        <v>0</v>
      </c>
      <c r="AJ48" s="688">
        <f>IFERROR(VLOOKUP($A48,'[96]12月'!$A:$H,8,0),0)</f>
        <v>0</v>
      </c>
      <c r="AK48" s="688">
        <f t="shared" si="39"/>
        <v>0</v>
      </c>
    </row>
    <row r="49" spans="1:37" ht="13.5" customHeight="1">
      <c r="A49" s="653">
        <f>'Budget-合并'!A49</f>
        <v>0</v>
      </c>
      <c r="B49" s="653" t="str">
        <f>'Budget-合并'!B49</f>
        <v xml:space="preserve">    旭智富能01</v>
      </c>
      <c r="C49" s="687" t="str">
        <f>'Budget-合并'!C49</f>
        <v xml:space="preserve">   Foxpower</v>
      </c>
      <c r="D49" s="676">
        <f t="shared" si="33"/>
        <v>0</v>
      </c>
      <c r="E49" s="676">
        <f t="shared" si="34"/>
        <v>0</v>
      </c>
      <c r="F49" s="676">
        <f t="shared" si="35"/>
        <v>0</v>
      </c>
      <c r="G49" s="676">
        <f t="shared" ca="1" si="36"/>
        <v>0</v>
      </c>
      <c r="H49" s="676">
        <f t="shared" ca="1" si="30"/>
        <v>0</v>
      </c>
      <c r="I49" s="676">
        <f t="shared" ca="1" si="37"/>
        <v>0</v>
      </c>
      <c r="K49" s="676"/>
      <c r="L49" s="676"/>
      <c r="M49" s="676"/>
      <c r="N49" s="676"/>
      <c r="O49" s="676"/>
      <c r="P49" s="676"/>
      <c r="Q49" s="676"/>
      <c r="R49" s="676"/>
      <c r="S49" s="676"/>
      <c r="T49" s="676"/>
      <c r="U49" s="676"/>
      <c r="V49" s="676"/>
      <c r="W49" s="676">
        <f t="shared" si="25"/>
        <v>0</v>
      </c>
      <c r="Y49" s="688">
        <f>IFERROR(VLOOKUP($A49,'[96]1月'!$A:$H,8,0),0)</f>
        <v>0</v>
      </c>
      <c r="Z49" s="688">
        <f>IFERROR(VLOOKUP($A49,'[96]2月'!$A:$H,8,0),0)</f>
        <v>0</v>
      </c>
      <c r="AA49" s="688">
        <f>IFERROR(VLOOKUP($A49,'[96]3月'!$A:$H,8,0),0)</f>
        <v>0</v>
      </c>
      <c r="AB49" s="688">
        <f>IFERROR(VLOOKUP($A49,'[96]4月'!$A:$H,8,0),0)</f>
        <v>0</v>
      </c>
      <c r="AC49" s="688">
        <f>IFERROR(VLOOKUP($A49,'[96]5月'!$A:$H,8,0),0)</f>
        <v>0</v>
      </c>
      <c r="AD49" s="688">
        <f>IFERROR(VLOOKUP($A49,'[96]6月'!$A:$H,8,0),0)</f>
        <v>0</v>
      </c>
      <c r="AE49" s="688">
        <f>IFERROR(VLOOKUP($A49,'[96]7月'!$A:$H,8,0),0)</f>
        <v>0</v>
      </c>
      <c r="AF49" s="688">
        <f>IFERROR(VLOOKUP($A49,'[96]8月'!$A:$H,8,0),0)</f>
        <v>0</v>
      </c>
      <c r="AG49" s="688">
        <f>IFERROR(VLOOKUP($A49,'[96]9月'!$A:$H,8,0),0)</f>
        <v>0</v>
      </c>
      <c r="AH49" s="688">
        <f>IFERROR(VLOOKUP($A49,'[96]10月'!$A:$H,8,0),0)</f>
        <v>0</v>
      </c>
      <c r="AI49" s="688">
        <f>IFERROR(VLOOKUP($A49,'[96]11月'!$A:$H,8,0),0)</f>
        <v>0</v>
      </c>
      <c r="AJ49" s="688">
        <f>IFERROR(VLOOKUP($A49,'[96]12月'!$A:$H,8,0),0)</f>
        <v>0</v>
      </c>
      <c r="AK49" s="688">
        <f t="shared" si="39"/>
        <v>0</v>
      </c>
    </row>
    <row r="50" spans="1:37" ht="13.5" customHeight="1">
      <c r="A50" s="653">
        <f>'Budget-合并'!A50</f>
        <v>0</v>
      </c>
      <c r="B50" s="653" t="str">
        <f>'Budget-合并'!B50</f>
        <v xml:space="preserve">    其他项目01</v>
      </c>
      <c r="C50" s="687" t="str">
        <f>'Budget-合并'!C50</f>
        <v xml:space="preserve">   Other project</v>
      </c>
      <c r="D50" s="676">
        <f t="shared" si="33"/>
        <v>0</v>
      </c>
      <c r="E50" s="676">
        <f t="shared" si="34"/>
        <v>0</v>
      </c>
      <c r="F50" s="676">
        <f t="shared" si="35"/>
        <v>0</v>
      </c>
      <c r="G50" s="676">
        <f t="shared" ca="1" si="36"/>
        <v>0</v>
      </c>
      <c r="H50" s="676">
        <f t="shared" ca="1" si="30"/>
        <v>0</v>
      </c>
      <c r="I50" s="676">
        <f t="shared" ca="1" si="37"/>
        <v>0</v>
      </c>
      <c r="K50" s="676"/>
      <c r="L50" s="676"/>
      <c r="M50" s="676"/>
      <c r="N50" s="676"/>
      <c r="O50" s="676"/>
      <c r="P50" s="676"/>
      <c r="Q50" s="676"/>
      <c r="R50" s="676"/>
      <c r="S50" s="676"/>
      <c r="T50" s="676"/>
      <c r="U50" s="676"/>
      <c r="V50" s="676"/>
      <c r="W50" s="676">
        <f t="shared" si="25"/>
        <v>0</v>
      </c>
      <c r="Y50" s="688">
        <f>IFERROR(VLOOKUP($A50,'[96]1月'!$A:$H,8,0),0)</f>
        <v>0</v>
      </c>
      <c r="Z50" s="688">
        <f>IFERROR(VLOOKUP($A50,'[96]2月'!$A:$H,8,0),0)</f>
        <v>0</v>
      </c>
      <c r="AA50" s="688">
        <f>IFERROR(VLOOKUP($A50,'[96]3月'!$A:$H,8,0),0)</f>
        <v>0</v>
      </c>
      <c r="AB50" s="688">
        <f>IFERROR(VLOOKUP($A50,'[96]4月'!$A:$H,8,0),0)</f>
        <v>0</v>
      </c>
      <c r="AC50" s="688">
        <f>IFERROR(VLOOKUP($A50,'[96]5月'!$A:$H,8,0),0)</f>
        <v>0</v>
      </c>
      <c r="AD50" s="688">
        <f>IFERROR(VLOOKUP($A50,'[96]6月'!$A:$H,8,0),0)</f>
        <v>0</v>
      </c>
      <c r="AE50" s="688">
        <f>IFERROR(VLOOKUP($A50,'[96]7月'!$A:$H,8,0),0)</f>
        <v>0</v>
      </c>
      <c r="AF50" s="688">
        <f>IFERROR(VLOOKUP($A50,'[96]8月'!$A:$H,8,0),0)</f>
        <v>0</v>
      </c>
      <c r="AG50" s="688">
        <f>IFERROR(VLOOKUP($A50,'[96]9月'!$A:$H,8,0),0)</f>
        <v>0</v>
      </c>
      <c r="AH50" s="688">
        <f>IFERROR(VLOOKUP($A50,'[96]10月'!$A:$H,8,0),0)</f>
        <v>0</v>
      </c>
      <c r="AI50" s="688">
        <f>IFERROR(VLOOKUP($A50,'[96]11月'!$A:$H,8,0),0)</f>
        <v>0</v>
      </c>
      <c r="AJ50" s="688">
        <f>IFERROR(VLOOKUP($A50,'[96]12月'!$A:$H,8,0),0)</f>
        <v>0</v>
      </c>
      <c r="AK50" s="688">
        <f t="shared" si="39"/>
        <v>0</v>
      </c>
    </row>
    <row r="51" spans="1:37" ht="13.5" customHeight="1">
      <c r="A51" s="653" t="str">
        <f>'Budget-合并'!A51</f>
        <v>6602.04.04</v>
      </c>
      <c r="B51" s="653" t="str">
        <f>'Budget-合并'!B51</f>
        <v>税务服务费</v>
      </c>
      <c r="C51" s="687">
        <f>'Budget-合并'!C51</f>
        <v>0</v>
      </c>
      <c r="D51" s="676">
        <f t="shared" si="33"/>
        <v>0</v>
      </c>
      <c r="E51" s="676">
        <f t="shared" si="34"/>
        <v>0</v>
      </c>
      <c r="F51" s="676">
        <f t="shared" si="35"/>
        <v>0</v>
      </c>
      <c r="G51" s="676">
        <f t="shared" ca="1" si="36"/>
        <v>0</v>
      </c>
      <c r="H51" s="676">
        <f t="shared" ca="1" si="30"/>
        <v>0</v>
      </c>
      <c r="I51" s="676">
        <f t="shared" ca="1" si="37"/>
        <v>0</v>
      </c>
      <c r="K51" s="676">
        <f>SUMIFS('Prof. Fee'!AF$3:AF$150,'Prof. Fee'!$B$3:$B$150,$D$1,'Prof. Fee'!$D$3:$D$150,$A51)</f>
        <v>0</v>
      </c>
      <c r="L51" s="676">
        <f>SUMIFS('Prof. Fee'!AG$3:AG$150,'Prof. Fee'!$B$3:$B$150,$D$1,'Prof. Fee'!$D$3:$D$150,$A51)</f>
        <v>0</v>
      </c>
      <c r="M51" s="676">
        <f>SUMIFS('Prof. Fee'!AH$3:AH$150,'Prof. Fee'!$B$3:$B$150,$D$1,'Prof. Fee'!$D$3:$D$150,$A51)</f>
        <v>0</v>
      </c>
      <c r="N51" s="676">
        <f>SUMIFS('Prof. Fee'!AI$3:AI$150,'Prof. Fee'!$B$3:$B$150,$D$1,'Prof. Fee'!$D$3:$D$150,$A51)</f>
        <v>0</v>
      </c>
      <c r="O51" s="676">
        <f>SUMIFS('Prof. Fee'!AJ$3:AJ$150,'Prof. Fee'!$B$3:$B$150,$D$1,'Prof. Fee'!$D$3:$D$150,$A51)</f>
        <v>0</v>
      </c>
      <c r="P51" s="676">
        <f>SUMIFS('Prof. Fee'!AK$3:AK$150,'Prof. Fee'!$B$3:$B$150,$D$1,'Prof. Fee'!$D$3:$D$150,$A51)</f>
        <v>7000</v>
      </c>
      <c r="Q51" s="676">
        <f>SUMIFS('Prof. Fee'!AL$3:AL$150,'Prof. Fee'!$B$3:$B$150,$D$1,'Prof. Fee'!$D$3:$D$150,$A51)</f>
        <v>0</v>
      </c>
      <c r="R51" s="676">
        <f>SUMIFS('Prof. Fee'!AM$3:AM$150,'Prof. Fee'!$B$3:$B$150,$D$1,'Prof. Fee'!$D$3:$D$150,$A51)</f>
        <v>0</v>
      </c>
      <c r="S51" s="676">
        <f>SUMIFS('Prof. Fee'!AN$3:AN$150,'Prof. Fee'!$B$3:$B$150,$D$1,'Prof. Fee'!$D$3:$D$150,$A51)</f>
        <v>0</v>
      </c>
      <c r="T51" s="676">
        <f>SUMIFS('Prof. Fee'!AO$3:AO$150,'Prof. Fee'!$B$3:$B$150,$D$1,'Prof. Fee'!$D$3:$D$150,$A51)</f>
        <v>0</v>
      </c>
      <c r="U51" s="676">
        <f>SUMIFS('Prof. Fee'!AP$3:AP$150,'Prof. Fee'!$B$3:$B$150,$D$1,'Prof. Fee'!$D$3:$D$150,$A51)</f>
        <v>0</v>
      </c>
      <c r="V51" s="676">
        <f>SUMIFS('Prof. Fee'!AQ$3:AQ$150,'Prof. Fee'!$B$3:$B$150,$D$1,'Prof. Fee'!$D$3:$D$150,$A51)</f>
        <v>0</v>
      </c>
      <c r="W51" s="676">
        <f t="shared" si="25"/>
        <v>7000</v>
      </c>
      <c r="Y51" s="688">
        <f>IFERROR(VLOOKUP($A51,'[96]1月'!$A:$H,8,0),0)</f>
        <v>0</v>
      </c>
      <c r="Z51" s="688">
        <f>IFERROR(VLOOKUP($A51,'[96]2月'!$A:$H,8,0),0)</f>
        <v>0</v>
      </c>
      <c r="AA51" s="688">
        <f>IFERROR(VLOOKUP($A51,'[96]3月'!$A:$H,8,0),0)</f>
        <v>0</v>
      </c>
      <c r="AB51" s="688">
        <f>IFERROR(VLOOKUP($A51,'[96]4月'!$A:$H,8,0),0)</f>
        <v>0</v>
      </c>
      <c r="AC51" s="688">
        <f>IFERROR(VLOOKUP($A51,'[96]5月'!$A:$H,8,0),0)</f>
        <v>0</v>
      </c>
      <c r="AD51" s="688">
        <f>IFERROR(VLOOKUP($A51,'[96]6月'!$A:$H,8,0),0)</f>
        <v>0</v>
      </c>
      <c r="AE51" s="688">
        <f>IFERROR(VLOOKUP($A51,'[96]7月'!$A:$H,8,0),0)</f>
        <v>0</v>
      </c>
      <c r="AF51" s="688">
        <f>IFERROR(VLOOKUP($A51,'[96]8月'!$A:$H,8,0),0)</f>
        <v>0</v>
      </c>
      <c r="AG51" s="688">
        <f>IFERROR(VLOOKUP($A51,'[96]9月'!$A:$H,8,0),0)</f>
        <v>0</v>
      </c>
      <c r="AH51" s="688">
        <f>IFERROR(VLOOKUP($A51,'[96]10月'!$A:$H,8,0),0)</f>
        <v>0</v>
      </c>
      <c r="AI51" s="688">
        <f>IFERROR(VLOOKUP($A51,'[96]11月'!$A:$H,8,0),0)</f>
        <v>0</v>
      </c>
      <c r="AJ51" s="688">
        <f>IFERROR(VLOOKUP($A51,'[96]12月'!$A:$H,8,0),0)</f>
        <v>0</v>
      </c>
      <c r="AK51" s="688">
        <f t="shared" si="39"/>
        <v>0</v>
      </c>
    </row>
    <row r="52" spans="1:37" ht="13.5" customHeight="1">
      <c r="A52" s="653" t="str">
        <f>'Budget-合并'!A52</f>
        <v>6602.04.05</v>
      </c>
      <c r="B52" s="653" t="str">
        <f>'Budget-合并'!B52</f>
        <v>招聘服务费</v>
      </c>
      <c r="C52" s="687" t="str">
        <f>'Budget-合并'!C52</f>
        <v>Employment Agency Fee</v>
      </c>
      <c r="D52" s="676">
        <f t="shared" si="33"/>
        <v>0</v>
      </c>
      <c r="E52" s="676">
        <f t="shared" si="34"/>
        <v>0</v>
      </c>
      <c r="F52" s="676">
        <f t="shared" si="35"/>
        <v>0</v>
      </c>
      <c r="G52" s="676">
        <f t="shared" ca="1" si="36"/>
        <v>0</v>
      </c>
      <c r="H52" s="676">
        <f t="shared" ca="1" si="30"/>
        <v>0</v>
      </c>
      <c r="I52" s="676">
        <f t="shared" ca="1" si="37"/>
        <v>0</v>
      </c>
      <c r="K52" s="676">
        <f>SUMIFS('Prof. Fee'!AF$3:AF$150,'Prof. Fee'!$B$3:$B$150,$D$1,'Prof. Fee'!$D$3:$D$150,$A52)</f>
        <v>0</v>
      </c>
      <c r="L52" s="676">
        <f>SUMIFS('Prof. Fee'!AG$3:AG$150,'Prof. Fee'!$B$3:$B$150,$D$1,'Prof. Fee'!$D$3:$D$150,$A52)</f>
        <v>0</v>
      </c>
      <c r="M52" s="676">
        <f>SUMIFS('Prof. Fee'!AH$3:AH$150,'Prof. Fee'!$B$3:$B$150,$D$1,'Prof. Fee'!$D$3:$D$150,$A52)</f>
        <v>0</v>
      </c>
      <c r="N52" s="676">
        <f>SUMIFS('Prof. Fee'!AI$3:AI$150,'Prof. Fee'!$B$3:$B$150,$D$1,'Prof. Fee'!$D$3:$D$150,$A52)</f>
        <v>0</v>
      </c>
      <c r="O52" s="676">
        <f>SUMIFS('Prof. Fee'!AJ$3:AJ$150,'Prof. Fee'!$B$3:$B$150,$D$1,'Prof. Fee'!$D$3:$D$150,$A52)</f>
        <v>0</v>
      </c>
      <c r="P52" s="676">
        <f>SUMIFS('Prof. Fee'!AK$3:AK$150,'Prof. Fee'!$B$3:$B$150,$D$1,'Prof. Fee'!$D$3:$D$150,$A52)</f>
        <v>0</v>
      </c>
      <c r="Q52" s="676">
        <f>SUMIFS('Prof. Fee'!AL$3:AL$150,'Prof. Fee'!$B$3:$B$150,$D$1,'Prof. Fee'!$D$3:$D$150,$A52)</f>
        <v>0</v>
      </c>
      <c r="R52" s="676">
        <f>SUMIFS('Prof. Fee'!AM$3:AM$150,'Prof. Fee'!$B$3:$B$150,$D$1,'Prof. Fee'!$D$3:$D$150,$A52)</f>
        <v>0</v>
      </c>
      <c r="S52" s="676">
        <f>SUMIFS('Prof. Fee'!AN$3:AN$150,'Prof. Fee'!$B$3:$B$150,$D$1,'Prof. Fee'!$D$3:$D$150,$A52)</f>
        <v>0</v>
      </c>
      <c r="T52" s="676">
        <f>SUMIFS('Prof. Fee'!AO$3:AO$150,'Prof. Fee'!$B$3:$B$150,$D$1,'Prof. Fee'!$D$3:$D$150,$A52)</f>
        <v>0</v>
      </c>
      <c r="U52" s="676">
        <f>SUMIFS('Prof. Fee'!AP$3:AP$150,'Prof. Fee'!$B$3:$B$150,$D$1,'Prof. Fee'!$D$3:$D$150,$A52)</f>
        <v>0</v>
      </c>
      <c r="V52" s="676">
        <f>SUMIFS('Prof. Fee'!AQ$3:AQ$150,'Prof. Fee'!$B$3:$B$150,$D$1,'Prof. Fee'!$D$3:$D$150,$A52)</f>
        <v>0</v>
      </c>
      <c r="W52" s="676">
        <f t="shared" si="25"/>
        <v>0</v>
      </c>
      <c r="Y52" s="688">
        <f>IFERROR(VLOOKUP($A52,'[96]1月'!$A:$H,8,0),0)</f>
        <v>0</v>
      </c>
      <c r="Z52" s="688">
        <f>IFERROR(VLOOKUP($A52,'[96]2月'!$A:$H,8,0),0)</f>
        <v>0</v>
      </c>
      <c r="AA52" s="688">
        <f>IFERROR(VLOOKUP($A52,'[96]3月'!$A:$H,8,0),0)</f>
        <v>0</v>
      </c>
      <c r="AB52" s="688">
        <f>IFERROR(VLOOKUP($A52,'[96]4月'!$A:$H,8,0),0)</f>
        <v>0</v>
      </c>
      <c r="AC52" s="688">
        <f>IFERROR(VLOOKUP($A52,'[96]5月'!$A:$H,8,0),0)</f>
        <v>0</v>
      </c>
      <c r="AD52" s="688">
        <f>IFERROR(VLOOKUP($A52,'[96]6月'!$A:$H,8,0),0)</f>
        <v>0</v>
      </c>
      <c r="AE52" s="688">
        <f>IFERROR(VLOOKUP($A52,'[96]7月'!$A:$H,8,0),0)</f>
        <v>0</v>
      </c>
      <c r="AF52" s="688">
        <f>IFERROR(VLOOKUP($A52,'[96]8月'!$A:$H,8,0),0)</f>
        <v>0</v>
      </c>
      <c r="AG52" s="688">
        <f>IFERROR(VLOOKUP($A52,'[96]9月'!$A:$H,8,0),0)</f>
        <v>0</v>
      </c>
      <c r="AH52" s="688">
        <f>IFERROR(VLOOKUP($A52,'[96]10月'!$A:$H,8,0),0)</f>
        <v>0</v>
      </c>
      <c r="AI52" s="688">
        <f>IFERROR(VLOOKUP($A52,'[96]11月'!$A:$H,8,0),0)</f>
        <v>0</v>
      </c>
      <c r="AJ52" s="688">
        <f>IFERROR(VLOOKUP($A52,'[96]12月'!$A:$H,8,0),0)</f>
        <v>0</v>
      </c>
      <c r="AK52" s="688">
        <f t="shared" si="39"/>
        <v>0</v>
      </c>
    </row>
    <row r="53" spans="1:37" ht="13.5" customHeight="1">
      <c r="A53" s="653" t="str">
        <f>'Budget-合并'!A53</f>
        <v>6602.04.06</v>
      </c>
      <c r="B53" s="653" t="str">
        <f>'Budget-合并'!B53</f>
        <v>法律服务费</v>
      </c>
      <c r="C53" s="687" t="str">
        <f>'Budget-合并'!C53</f>
        <v>Legal Fees</v>
      </c>
      <c r="D53" s="676">
        <f t="shared" si="33"/>
        <v>0</v>
      </c>
      <c r="E53" s="676">
        <f t="shared" si="34"/>
        <v>0</v>
      </c>
      <c r="F53" s="676">
        <f t="shared" si="35"/>
        <v>0</v>
      </c>
      <c r="G53" s="676">
        <f t="shared" ca="1" si="36"/>
        <v>0</v>
      </c>
      <c r="H53" s="676">
        <f t="shared" ca="1" si="30"/>
        <v>0</v>
      </c>
      <c r="I53" s="676">
        <f t="shared" ca="1" si="37"/>
        <v>0</v>
      </c>
      <c r="K53" s="676">
        <f>SUMIFS('Prof. Fee'!AF$3:AF$150,'Prof. Fee'!$B$3:$B$150,$D$1,'Prof. Fee'!$D$3:$D$150,$A53)</f>
        <v>0</v>
      </c>
      <c r="L53" s="676">
        <f>SUMIFS('Prof. Fee'!AG$3:AG$150,'Prof. Fee'!$B$3:$B$150,$D$1,'Prof. Fee'!$D$3:$D$150,$A53)</f>
        <v>0</v>
      </c>
      <c r="M53" s="676">
        <f>SUMIFS('Prof. Fee'!AH$3:AH$150,'Prof. Fee'!$B$3:$B$150,$D$1,'Prof. Fee'!$D$3:$D$150,$A53)</f>
        <v>0</v>
      </c>
      <c r="N53" s="676">
        <f>SUMIFS('Prof. Fee'!AI$3:AI$150,'Prof. Fee'!$B$3:$B$150,$D$1,'Prof. Fee'!$D$3:$D$150,$A53)</f>
        <v>0</v>
      </c>
      <c r="O53" s="676">
        <f>SUMIFS('Prof. Fee'!AJ$3:AJ$150,'Prof. Fee'!$B$3:$B$150,$D$1,'Prof. Fee'!$D$3:$D$150,$A53)</f>
        <v>0</v>
      </c>
      <c r="P53" s="676">
        <f>SUMIFS('Prof. Fee'!AK$3:AK$150,'Prof. Fee'!$B$3:$B$150,$D$1,'Prof. Fee'!$D$3:$D$150,$A53)</f>
        <v>0</v>
      </c>
      <c r="Q53" s="676">
        <f>SUMIFS('Prof. Fee'!AL$3:AL$150,'Prof. Fee'!$B$3:$B$150,$D$1,'Prof. Fee'!$D$3:$D$150,$A53)</f>
        <v>0</v>
      </c>
      <c r="R53" s="676">
        <f>SUMIFS('Prof. Fee'!AM$3:AM$150,'Prof. Fee'!$B$3:$B$150,$D$1,'Prof. Fee'!$D$3:$D$150,$A53)</f>
        <v>0</v>
      </c>
      <c r="S53" s="676">
        <f>SUMIFS('Prof. Fee'!AN$3:AN$150,'Prof. Fee'!$B$3:$B$150,$D$1,'Prof. Fee'!$D$3:$D$150,$A53)</f>
        <v>0</v>
      </c>
      <c r="T53" s="676">
        <f>SUMIFS('Prof. Fee'!AO$3:AO$150,'Prof. Fee'!$B$3:$B$150,$D$1,'Prof. Fee'!$D$3:$D$150,$A53)</f>
        <v>0</v>
      </c>
      <c r="U53" s="676">
        <f>SUMIFS('Prof. Fee'!AP$3:AP$150,'Prof. Fee'!$B$3:$B$150,$D$1,'Prof. Fee'!$D$3:$D$150,$A53)</f>
        <v>0</v>
      </c>
      <c r="V53" s="676">
        <f>SUMIFS('Prof. Fee'!AQ$3:AQ$150,'Prof. Fee'!$B$3:$B$150,$D$1,'Prof. Fee'!$D$3:$D$150,$A53)</f>
        <v>0</v>
      </c>
      <c r="W53" s="676">
        <f t="shared" si="25"/>
        <v>0</v>
      </c>
      <c r="Y53" s="688">
        <f>IFERROR(VLOOKUP($A53,'[96]1月'!$A:$H,8,0),0)</f>
        <v>0</v>
      </c>
      <c r="Z53" s="688">
        <f>IFERROR(VLOOKUP($A53,'[96]2月'!$A:$H,8,0),0)</f>
        <v>0</v>
      </c>
      <c r="AA53" s="688">
        <f>IFERROR(VLOOKUP($A53,'[96]3月'!$A:$H,8,0),0)</f>
        <v>0</v>
      </c>
      <c r="AB53" s="688">
        <f>IFERROR(VLOOKUP($A53,'[96]4月'!$A:$H,8,0),0)</f>
        <v>0</v>
      </c>
      <c r="AC53" s="688">
        <f>IFERROR(VLOOKUP($A53,'[96]5月'!$A:$H,8,0),0)</f>
        <v>0</v>
      </c>
      <c r="AD53" s="688">
        <f>IFERROR(VLOOKUP($A53,'[96]6月'!$A:$H,8,0),0)</f>
        <v>0</v>
      </c>
      <c r="AE53" s="688">
        <f>IFERROR(VLOOKUP($A53,'[96]7月'!$A:$H,8,0),0)</f>
        <v>0</v>
      </c>
      <c r="AF53" s="688">
        <f>IFERROR(VLOOKUP($A53,'[96]8月'!$A:$H,8,0),0)</f>
        <v>0</v>
      </c>
      <c r="AG53" s="688">
        <f>IFERROR(VLOOKUP($A53,'[96]9月'!$A:$H,8,0),0)</f>
        <v>0</v>
      </c>
      <c r="AH53" s="688">
        <f>IFERROR(VLOOKUP($A53,'[96]10月'!$A:$H,8,0),0)</f>
        <v>0</v>
      </c>
      <c r="AI53" s="688">
        <f>IFERROR(VLOOKUP($A53,'[96]11月'!$A:$H,8,0),0)</f>
        <v>0</v>
      </c>
      <c r="AJ53" s="688">
        <f>IFERROR(VLOOKUP($A53,'[96]12月'!$A:$H,8,0),0)</f>
        <v>0</v>
      </c>
      <c r="AK53" s="688">
        <f t="shared" si="39"/>
        <v>0</v>
      </c>
    </row>
    <row r="54" spans="1:37" ht="13.5" customHeight="1">
      <c r="A54" s="653" t="str">
        <f>'Budget-合并'!A54</f>
        <v>6602.04.07</v>
      </c>
      <c r="B54" s="653" t="str">
        <f>'Budget-合并'!B54</f>
        <v>人力资源服务费</v>
      </c>
      <c r="C54" s="687" t="str">
        <f>'Budget-合并'!C54</f>
        <v>Payroll Services</v>
      </c>
      <c r="D54" s="676">
        <f t="shared" si="33"/>
        <v>0</v>
      </c>
      <c r="E54" s="676">
        <f t="shared" si="34"/>
        <v>0</v>
      </c>
      <c r="F54" s="676">
        <f t="shared" si="35"/>
        <v>0</v>
      </c>
      <c r="G54" s="676">
        <f t="shared" ca="1" si="36"/>
        <v>0</v>
      </c>
      <c r="H54" s="676">
        <f t="shared" ca="1" si="30"/>
        <v>0</v>
      </c>
      <c r="I54" s="676">
        <f t="shared" ca="1" si="37"/>
        <v>0</v>
      </c>
      <c r="K54" s="676">
        <f>SUMIFS('Prof. Fee'!AF$3:AF$150,'Prof. Fee'!$B$3:$B$150,$D$1,'Prof. Fee'!$D$3:$D$150,$A54)</f>
        <v>0</v>
      </c>
      <c r="L54" s="676">
        <f>SUMIFS('Prof. Fee'!AG$3:AG$150,'Prof. Fee'!$B$3:$B$150,$D$1,'Prof. Fee'!$D$3:$D$150,$A54)</f>
        <v>0</v>
      </c>
      <c r="M54" s="676">
        <f>SUMIFS('Prof. Fee'!AH$3:AH$150,'Prof. Fee'!$B$3:$B$150,$D$1,'Prof. Fee'!$D$3:$D$150,$A54)</f>
        <v>0</v>
      </c>
      <c r="N54" s="676">
        <f>SUMIFS('Prof. Fee'!AI$3:AI$150,'Prof. Fee'!$B$3:$B$150,$D$1,'Prof. Fee'!$D$3:$D$150,$A54)</f>
        <v>0</v>
      </c>
      <c r="O54" s="676">
        <f>SUMIFS('Prof. Fee'!AJ$3:AJ$150,'Prof. Fee'!$B$3:$B$150,$D$1,'Prof. Fee'!$D$3:$D$150,$A54)</f>
        <v>0</v>
      </c>
      <c r="P54" s="676">
        <f>SUMIFS('Prof. Fee'!AK$3:AK$150,'Prof. Fee'!$B$3:$B$150,$D$1,'Prof. Fee'!$D$3:$D$150,$A54)</f>
        <v>0</v>
      </c>
      <c r="Q54" s="676">
        <f>SUMIFS('Prof. Fee'!AL$3:AL$150,'Prof. Fee'!$B$3:$B$150,$D$1,'Prof. Fee'!$D$3:$D$150,$A54)</f>
        <v>0</v>
      </c>
      <c r="R54" s="676">
        <f>SUMIFS('Prof. Fee'!AM$3:AM$150,'Prof. Fee'!$B$3:$B$150,$D$1,'Prof. Fee'!$D$3:$D$150,$A54)</f>
        <v>0</v>
      </c>
      <c r="S54" s="676">
        <f>SUMIFS('Prof. Fee'!AN$3:AN$150,'Prof. Fee'!$B$3:$B$150,$D$1,'Prof. Fee'!$D$3:$D$150,$A54)</f>
        <v>0</v>
      </c>
      <c r="T54" s="676">
        <f>SUMIFS('Prof. Fee'!AO$3:AO$150,'Prof. Fee'!$B$3:$B$150,$D$1,'Prof. Fee'!$D$3:$D$150,$A54)</f>
        <v>0</v>
      </c>
      <c r="U54" s="676">
        <f>SUMIFS('Prof. Fee'!AP$3:AP$150,'Prof. Fee'!$B$3:$B$150,$D$1,'Prof. Fee'!$D$3:$D$150,$A54)</f>
        <v>0</v>
      </c>
      <c r="V54" s="676">
        <f>SUMIFS('Prof. Fee'!AQ$3:AQ$150,'Prof. Fee'!$B$3:$B$150,$D$1,'Prof. Fee'!$D$3:$D$150,$A54)</f>
        <v>0</v>
      </c>
      <c r="W54" s="676">
        <f t="shared" si="25"/>
        <v>0</v>
      </c>
      <c r="Y54" s="688">
        <f>IFERROR(VLOOKUP($A54,'[96]1月'!$A:$H,8,0),0)</f>
        <v>0</v>
      </c>
      <c r="Z54" s="688">
        <f>IFERROR(VLOOKUP($A54,'[96]2月'!$A:$H,8,0),0)</f>
        <v>0</v>
      </c>
      <c r="AA54" s="688">
        <f>IFERROR(VLOOKUP($A54,'[96]3月'!$A:$H,8,0),0)</f>
        <v>0</v>
      </c>
      <c r="AB54" s="688">
        <f>IFERROR(VLOOKUP($A54,'[96]4月'!$A:$H,8,0),0)</f>
        <v>0</v>
      </c>
      <c r="AC54" s="688">
        <f>IFERROR(VLOOKUP($A54,'[96]5月'!$A:$H,8,0),0)</f>
        <v>0</v>
      </c>
      <c r="AD54" s="688">
        <f>IFERROR(VLOOKUP($A54,'[96]6月'!$A:$H,8,0),0)</f>
        <v>0</v>
      </c>
      <c r="AE54" s="688">
        <f>IFERROR(VLOOKUP($A54,'[96]7月'!$A:$H,8,0),0)</f>
        <v>0</v>
      </c>
      <c r="AF54" s="688">
        <f>IFERROR(VLOOKUP($A54,'[96]8月'!$A:$H,8,0),0)</f>
        <v>0</v>
      </c>
      <c r="AG54" s="688">
        <f>IFERROR(VLOOKUP($A54,'[96]9月'!$A:$H,8,0),0)</f>
        <v>0</v>
      </c>
      <c r="AH54" s="688">
        <f>IFERROR(VLOOKUP($A54,'[96]10月'!$A:$H,8,0),0)</f>
        <v>0</v>
      </c>
      <c r="AI54" s="688">
        <f>IFERROR(VLOOKUP($A54,'[96]11月'!$A:$H,8,0),0)</f>
        <v>0</v>
      </c>
      <c r="AJ54" s="688">
        <f>IFERROR(VLOOKUP($A54,'[96]12月'!$A:$H,8,0),0)</f>
        <v>0</v>
      </c>
      <c r="AK54" s="688">
        <f t="shared" si="39"/>
        <v>0</v>
      </c>
    </row>
    <row r="55" spans="1:37" ht="13.5" customHeight="1">
      <c r="A55" s="653" t="str">
        <f>'Budget-合并'!A55</f>
        <v>6602.04.08</v>
      </c>
      <c r="B55" s="653" t="str">
        <f>'Budget-合并'!B55</f>
        <v>背景调查费</v>
      </c>
      <c r="C55" s="687" t="str">
        <f>'Budget-合并'!C55</f>
        <v>Employee Background Check</v>
      </c>
      <c r="D55" s="676">
        <f t="shared" si="33"/>
        <v>0</v>
      </c>
      <c r="E55" s="676">
        <f t="shared" si="34"/>
        <v>0</v>
      </c>
      <c r="F55" s="676">
        <f t="shared" si="35"/>
        <v>0</v>
      </c>
      <c r="G55" s="676">
        <f t="shared" ca="1" si="36"/>
        <v>0</v>
      </c>
      <c r="H55" s="676">
        <f t="shared" ca="1" si="30"/>
        <v>0</v>
      </c>
      <c r="I55" s="676">
        <f t="shared" ca="1" si="37"/>
        <v>0</v>
      </c>
      <c r="K55" s="676">
        <f>SUMIFS('Other Exp'!AG$3:AG$196,'Other Exp'!$B$3:$B$196,$D$1,'Other Exp'!$C$3:$C$196,$A55)</f>
        <v>0</v>
      </c>
      <c r="L55" s="676">
        <f>SUMIFS('Other Exp'!AH$3:AH$196,'Other Exp'!$B$3:$B$196,$D$1,'Other Exp'!$C$3:$C$196,$A55)</f>
        <v>0</v>
      </c>
      <c r="M55" s="676">
        <f>SUMIFS('Other Exp'!AI$3:AI$196,'Other Exp'!$B$3:$B$196,$D$1,'Other Exp'!$C$3:$C$196,$A55)</f>
        <v>0</v>
      </c>
      <c r="N55" s="676">
        <f>SUMIFS('Other Exp'!AJ$3:AJ$196,'Other Exp'!$B$3:$B$196,$D$1,'Other Exp'!$C$3:$C$196,$A55)</f>
        <v>0</v>
      </c>
      <c r="O55" s="676">
        <f>SUMIFS('Other Exp'!AK$3:AK$196,'Other Exp'!$B$3:$B$196,$D$1,'Other Exp'!$C$3:$C$196,$A55)</f>
        <v>0</v>
      </c>
      <c r="P55" s="676">
        <f>SUMIFS('Other Exp'!AL$3:AL$196,'Other Exp'!$B$3:$B$196,$D$1,'Other Exp'!$C$3:$C$196,$A55)</f>
        <v>0</v>
      </c>
      <c r="Q55" s="676">
        <f>SUMIFS('Other Exp'!AM$3:AM$196,'Other Exp'!$B$3:$B$196,$D$1,'Other Exp'!$C$3:$C$196,$A55)</f>
        <v>0</v>
      </c>
      <c r="R55" s="676">
        <f>SUMIFS('Other Exp'!AN$3:AN$196,'Other Exp'!$B$3:$B$196,$D$1,'Other Exp'!$C$3:$C$196,$A55)</f>
        <v>0</v>
      </c>
      <c r="S55" s="676">
        <f>SUMIFS('Other Exp'!AO$3:AO$196,'Other Exp'!$B$3:$B$196,$D$1,'Other Exp'!$C$3:$C$196,$A55)</f>
        <v>0</v>
      </c>
      <c r="T55" s="676">
        <f>SUMIFS('Other Exp'!AP$3:AP$196,'Other Exp'!$B$3:$B$196,$D$1,'Other Exp'!$C$3:$C$196,$A55)</f>
        <v>0</v>
      </c>
      <c r="U55" s="676">
        <f>SUMIFS('Other Exp'!AQ$3:AQ$196,'Other Exp'!$B$3:$B$196,$D$1,'Other Exp'!$C$3:$C$196,$A55)</f>
        <v>0</v>
      </c>
      <c r="V55" s="676">
        <f>SUMIFS('Other Exp'!AR$3:AR$196,'Other Exp'!$B$3:$B$196,$D$1,'Other Exp'!$C$3:$C$196,$A55)</f>
        <v>0</v>
      </c>
      <c r="W55" s="676">
        <f t="shared" si="25"/>
        <v>0</v>
      </c>
      <c r="Y55" s="688">
        <f>IFERROR(VLOOKUP($A55,'[96]1月'!$A:$H,8,0),0)</f>
        <v>0</v>
      </c>
      <c r="Z55" s="688">
        <f>IFERROR(VLOOKUP($A55,'[96]2月'!$A:$H,8,0),0)</f>
        <v>0</v>
      </c>
      <c r="AA55" s="688">
        <f>IFERROR(VLOOKUP($A55,'[96]3月'!$A:$H,8,0),0)</f>
        <v>0</v>
      </c>
      <c r="AB55" s="688">
        <f>IFERROR(VLOOKUP($A55,'[96]4月'!$A:$H,8,0),0)</f>
        <v>0</v>
      </c>
      <c r="AC55" s="688">
        <f>IFERROR(VLOOKUP($A55,'[96]5月'!$A:$H,8,0),0)</f>
        <v>0</v>
      </c>
      <c r="AD55" s="688">
        <f>IFERROR(VLOOKUP($A55,'[96]6月'!$A:$H,8,0),0)</f>
        <v>0</v>
      </c>
      <c r="AE55" s="688">
        <f>IFERROR(VLOOKUP($A55,'[96]7月'!$A:$H,8,0),0)</f>
        <v>0</v>
      </c>
      <c r="AF55" s="688">
        <f>IFERROR(VLOOKUP($A55,'[96]8月'!$A:$H,8,0),0)</f>
        <v>0</v>
      </c>
      <c r="AG55" s="688">
        <f>IFERROR(VLOOKUP($A55,'[96]9月'!$A:$H,8,0),0)</f>
        <v>0</v>
      </c>
      <c r="AH55" s="688">
        <f>IFERROR(VLOOKUP($A55,'[96]10月'!$A:$H,8,0),0)</f>
        <v>0</v>
      </c>
      <c r="AI55" s="688">
        <f>IFERROR(VLOOKUP($A55,'[96]11月'!$A:$H,8,0),0)</f>
        <v>0</v>
      </c>
      <c r="AJ55" s="688">
        <f>IFERROR(VLOOKUP($A55,'[96]12月'!$A:$H,8,0),0)</f>
        <v>0</v>
      </c>
      <c r="AK55" s="688">
        <f t="shared" si="39"/>
        <v>0</v>
      </c>
    </row>
    <row r="56" spans="1:37" ht="13.5" customHeight="1">
      <c r="A56" s="653" t="str">
        <f>'Budget-合并'!A56</f>
        <v>6602.04.09</v>
      </c>
      <c r="B56" s="653" t="str">
        <f>'Budget-合并'!B56</f>
        <v>翻译服务费</v>
      </c>
      <c r="C56" s="687">
        <f>'Budget-合并'!C56</f>
        <v>0</v>
      </c>
      <c r="D56" s="676">
        <f t="shared" si="33"/>
        <v>0</v>
      </c>
      <c r="E56" s="676">
        <f t="shared" si="34"/>
        <v>0</v>
      </c>
      <c r="F56" s="676">
        <f t="shared" si="35"/>
        <v>0</v>
      </c>
      <c r="G56" s="676">
        <f t="shared" ca="1" si="36"/>
        <v>0</v>
      </c>
      <c r="H56" s="676">
        <f t="shared" ca="1" si="30"/>
        <v>0</v>
      </c>
      <c r="I56" s="676">
        <f t="shared" ca="1" si="37"/>
        <v>0</v>
      </c>
      <c r="K56" s="676">
        <f>SUMIFS('Prof. Fee'!AF$3:AF$150,'Prof. Fee'!$B$3:$B$150,$D$1,'Prof. Fee'!$D$3:$D$150,$A56)</f>
        <v>0</v>
      </c>
      <c r="L56" s="676">
        <f>SUMIFS('Prof. Fee'!AG$3:AG$150,'Prof. Fee'!$B$3:$B$150,$D$1,'Prof. Fee'!$D$3:$D$150,$A56)</f>
        <v>0</v>
      </c>
      <c r="M56" s="676">
        <f>SUMIFS('Prof. Fee'!AH$3:AH$150,'Prof. Fee'!$B$3:$B$150,$D$1,'Prof. Fee'!$D$3:$D$150,$A56)</f>
        <v>0</v>
      </c>
      <c r="N56" s="676">
        <f>SUMIFS('Prof. Fee'!AI$3:AI$150,'Prof. Fee'!$B$3:$B$150,$D$1,'Prof. Fee'!$D$3:$D$150,$A56)</f>
        <v>0</v>
      </c>
      <c r="O56" s="676">
        <f>SUMIFS('Prof. Fee'!AJ$3:AJ$150,'Prof. Fee'!$B$3:$B$150,$D$1,'Prof. Fee'!$D$3:$D$150,$A56)</f>
        <v>0</v>
      </c>
      <c r="P56" s="676">
        <f>SUMIFS('Prof. Fee'!AK$3:AK$150,'Prof. Fee'!$B$3:$B$150,$D$1,'Prof. Fee'!$D$3:$D$150,$A56)</f>
        <v>0</v>
      </c>
      <c r="Q56" s="676">
        <f>SUMIFS('Prof. Fee'!AL$3:AL$150,'Prof. Fee'!$B$3:$B$150,$D$1,'Prof. Fee'!$D$3:$D$150,$A56)</f>
        <v>0</v>
      </c>
      <c r="R56" s="676">
        <f>SUMIFS('Prof. Fee'!AM$3:AM$150,'Prof. Fee'!$B$3:$B$150,$D$1,'Prof. Fee'!$D$3:$D$150,$A56)</f>
        <v>0</v>
      </c>
      <c r="S56" s="676">
        <f>SUMIFS('Prof. Fee'!AN$3:AN$150,'Prof. Fee'!$B$3:$B$150,$D$1,'Prof. Fee'!$D$3:$D$150,$A56)</f>
        <v>0</v>
      </c>
      <c r="T56" s="676">
        <f>SUMIFS('Prof. Fee'!AO$3:AO$150,'Prof. Fee'!$B$3:$B$150,$D$1,'Prof. Fee'!$D$3:$D$150,$A56)</f>
        <v>0</v>
      </c>
      <c r="U56" s="676">
        <f>SUMIFS('Prof. Fee'!AP$3:AP$150,'Prof. Fee'!$B$3:$B$150,$D$1,'Prof. Fee'!$D$3:$D$150,$A56)</f>
        <v>0</v>
      </c>
      <c r="V56" s="676">
        <f>SUMIFS('Prof. Fee'!AQ$3:AQ$150,'Prof. Fee'!$B$3:$B$150,$D$1,'Prof. Fee'!$D$3:$D$150,$A56)</f>
        <v>0</v>
      </c>
      <c r="W56" s="676">
        <f t="shared" si="25"/>
        <v>0</v>
      </c>
      <c r="Y56" s="688">
        <f>IFERROR(VLOOKUP($A56,'[96]1月'!$A:$H,8,0),0)</f>
        <v>0</v>
      </c>
      <c r="Z56" s="688">
        <f>IFERROR(VLOOKUP($A56,'[96]2月'!$A:$H,8,0),0)</f>
        <v>0</v>
      </c>
      <c r="AA56" s="688">
        <f>IFERROR(VLOOKUP($A56,'[96]3月'!$A:$H,8,0),0)</f>
        <v>0</v>
      </c>
      <c r="AB56" s="688">
        <f>IFERROR(VLOOKUP($A56,'[96]4月'!$A:$H,8,0),0)</f>
        <v>0</v>
      </c>
      <c r="AC56" s="688">
        <f>IFERROR(VLOOKUP($A56,'[96]5月'!$A:$H,8,0),0)</f>
        <v>0</v>
      </c>
      <c r="AD56" s="688">
        <f>IFERROR(VLOOKUP($A56,'[96]6月'!$A:$H,8,0),0)</f>
        <v>0</v>
      </c>
      <c r="AE56" s="688">
        <f>IFERROR(VLOOKUP($A56,'[96]7月'!$A:$H,8,0),0)</f>
        <v>0</v>
      </c>
      <c r="AF56" s="688">
        <f>IFERROR(VLOOKUP($A56,'[96]8月'!$A:$H,8,0),0)</f>
        <v>0</v>
      </c>
      <c r="AG56" s="688">
        <f>IFERROR(VLOOKUP($A56,'[96]9月'!$A:$H,8,0),0)</f>
        <v>0</v>
      </c>
      <c r="AH56" s="688">
        <f>IFERROR(VLOOKUP($A56,'[96]10月'!$A:$H,8,0),0)</f>
        <v>0</v>
      </c>
      <c r="AI56" s="688">
        <f>IFERROR(VLOOKUP($A56,'[96]11月'!$A:$H,8,0),0)</f>
        <v>0</v>
      </c>
      <c r="AJ56" s="688">
        <f>IFERROR(VLOOKUP($A56,'[96]12月'!$A:$H,8,0),0)</f>
        <v>0</v>
      </c>
      <c r="AK56" s="688">
        <f t="shared" si="39"/>
        <v>0</v>
      </c>
    </row>
    <row r="57" spans="1:37" ht="13.5" customHeight="1">
      <c r="A57" s="653" t="str">
        <f>'Budget-合并'!A57</f>
        <v>6602.04.10</v>
      </c>
      <c r="B57" s="653" t="str">
        <f>'Budget-合并'!B57</f>
        <v>评估费</v>
      </c>
      <c r="C57" s="687">
        <f>'Budget-合并'!C57</f>
        <v>0</v>
      </c>
      <c r="D57" s="676">
        <f t="shared" si="33"/>
        <v>0</v>
      </c>
      <c r="E57" s="676">
        <f t="shared" si="34"/>
        <v>0</v>
      </c>
      <c r="F57" s="676">
        <f t="shared" si="35"/>
        <v>0</v>
      </c>
      <c r="G57" s="676">
        <f t="shared" ca="1" si="36"/>
        <v>0</v>
      </c>
      <c r="H57" s="676">
        <f t="shared" ca="1" si="30"/>
        <v>0</v>
      </c>
      <c r="I57" s="676">
        <f t="shared" ca="1" si="37"/>
        <v>0</v>
      </c>
      <c r="K57" s="676">
        <f>SUMIFS('Prof. Fee'!AF$3:AF$150,'Prof. Fee'!$B$3:$B$150,$D$1,'Prof. Fee'!$D$3:$D$150,$A57)</f>
        <v>0</v>
      </c>
      <c r="L57" s="676">
        <f>SUMIFS('Prof. Fee'!AG$3:AG$150,'Prof. Fee'!$B$3:$B$150,$D$1,'Prof. Fee'!$D$3:$D$150,$A57)</f>
        <v>0</v>
      </c>
      <c r="M57" s="676">
        <f>SUMIFS('Prof. Fee'!AH$3:AH$150,'Prof. Fee'!$B$3:$B$150,$D$1,'Prof. Fee'!$D$3:$D$150,$A57)</f>
        <v>0</v>
      </c>
      <c r="N57" s="676">
        <f>SUMIFS('Prof. Fee'!AI$3:AI$150,'Prof. Fee'!$B$3:$B$150,$D$1,'Prof. Fee'!$D$3:$D$150,$A57)</f>
        <v>0</v>
      </c>
      <c r="O57" s="676">
        <f>SUMIFS('Prof. Fee'!AJ$3:AJ$150,'Prof. Fee'!$B$3:$B$150,$D$1,'Prof. Fee'!$D$3:$D$150,$A57)</f>
        <v>0</v>
      </c>
      <c r="P57" s="676">
        <f>SUMIFS('Prof. Fee'!AK$3:AK$150,'Prof. Fee'!$B$3:$B$150,$D$1,'Prof. Fee'!$D$3:$D$150,$A57)</f>
        <v>0</v>
      </c>
      <c r="Q57" s="676">
        <f>SUMIFS('Prof. Fee'!AL$3:AL$150,'Prof. Fee'!$B$3:$B$150,$D$1,'Prof. Fee'!$D$3:$D$150,$A57)</f>
        <v>0</v>
      </c>
      <c r="R57" s="676">
        <f>SUMIFS('Prof. Fee'!AM$3:AM$150,'Prof. Fee'!$B$3:$B$150,$D$1,'Prof. Fee'!$D$3:$D$150,$A57)</f>
        <v>0</v>
      </c>
      <c r="S57" s="676">
        <f>SUMIFS('Prof. Fee'!AN$3:AN$150,'Prof. Fee'!$B$3:$B$150,$D$1,'Prof. Fee'!$D$3:$D$150,$A57)</f>
        <v>0</v>
      </c>
      <c r="T57" s="676">
        <f>SUMIFS('Prof. Fee'!AO$3:AO$150,'Prof. Fee'!$B$3:$B$150,$D$1,'Prof. Fee'!$D$3:$D$150,$A57)</f>
        <v>0</v>
      </c>
      <c r="U57" s="676">
        <f>SUMIFS('Prof. Fee'!AP$3:AP$150,'Prof. Fee'!$B$3:$B$150,$D$1,'Prof. Fee'!$D$3:$D$150,$A57)</f>
        <v>0</v>
      </c>
      <c r="V57" s="676">
        <f>SUMIFS('Prof. Fee'!AQ$3:AQ$150,'Prof. Fee'!$B$3:$B$150,$D$1,'Prof. Fee'!$D$3:$D$150,$A57)</f>
        <v>0</v>
      </c>
      <c r="W57" s="676">
        <f t="shared" si="25"/>
        <v>0</v>
      </c>
      <c r="Y57" s="688">
        <f>IFERROR(VLOOKUP($A57,'[96]1月'!$A:$H,8,0),0)</f>
        <v>0</v>
      </c>
      <c r="Z57" s="688">
        <f>IFERROR(VLOOKUP($A57,'[96]2月'!$A:$H,8,0),0)</f>
        <v>0</v>
      </c>
      <c r="AA57" s="688">
        <f>IFERROR(VLOOKUP($A57,'[96]3月'!$A:$H,8,0),0)</f>
        <v>0</v>
      </c>
      <c r="AB57" s="688">
        <f>IFERROR(VLOOKUP($A57,'[96]4月'!$A:$H,8,0),0)</f>
        <v>0</v>
      </c>
      <c r="AC57" s="688">
        <f>IFERROR(VLOOKUP($A57,'[96]5月'!$A:$H,8,0),0)</f>
        <v>0</v>
      </c>
      <c r="AD57" s="688">
        <f>IFERROR(VLOOKUP($A57,'[96]6月'!$A:$H,8,0),0)</f>
        <v>0</v>
      </c>
      <c r="AE57" s="688">
        <f>IFERROR(VLOOKUP($A57,'[96]7月'!$A:$H,8,0),0)</f>
        <v>0</v>
      </c>
      <c r="AF57" s="688">
        <f>IFERROR(VLOOKUP($A57,'[96]8月'!$A:$H,8,0),0)</f>
        <v>0</v>
      </c>
      <c r="AG57" s="688">
        <f>IFERROR(VLOOKUP($A57,'[96]9月'!$A:$H,8,0),0)</f>
        <v>0</v>
      </c>
      <c r="AH57" s="688">
        <f>IFERROR(VLOOKUP($A57,'[96]10月'!$A:$H,8,0),0)</f>
        <v>0</v>
      </c>
      <c r="AI57" s="688">
        <f>IFERROR(VLOOKUP($A57,'[96]11月'!$A:$H,8,0),0)</f>
        <v>0</v>
      </c>
      <c r="AJ57" s="688">
        <f>IFERROR(VLOOKUP($A57,'[96]12月'!$A:$H,8,0),0)</f>
        <v>0</v>
      </c>
      <c r="AK57" s="688">
        <f t="shared" si="39"/>
        <v>0</v>
      </c>
    </row>
    <row r="58" spans="1:37" ht="13.5" customHeight="1">
      <c r="A58" s="653" t="str">
        <f>'Budget-合并'!A58</f>
        <v>6602.04.11</v>
      </c>
      <c r="B58" s="653" t="str">
        <f>'Budget-合并'!B58</f>
        <v>技术服务费</v>
      </c>
      <c r="C58" s="687">
        <f>'Budget-合并'!C58</f>
        <v>0</v>
      </c>
      <c r="D58" s="676">
        <f t="shared" si="33"/>
        <v>0</v>
      </c>
      <c r="E58" s="676">
        <f t="shared" si="34"/>
        <v>0</v>
      </c>
      <c r="F58" s="676">
        <f t="shared" si="35"/>
        <v>0</v>
      </c>
      <c r="G58" s="676">
        <f t="shared" ca="1" si="36"/>
        <v>0</v>
      </c>
      <c r="H58" s="676">
        <f t="shared" ca="1" si="30"/>
        <v>0</v>
      </c>
      <c r="I58" s="676">
        <f t="shared" ca="1" si="37"/>
        <v>0</v>
      </c>
      <c r="K58" s="676">
        <f>SUMIFS('Prof. Fee'!AF$3:AF$150,'Prof. Fee'!$B$3:$B$150,$D$1,'Prof. Fee'!$D$3:$D$150,$A58)</f>
        <v>0</v>
      </c>
      <c r="L58" s="676">
        <f>SUMIFS('Prof. Fee'!AG$3:AG$150,'Prof. Fee'!$B$3:$B$150,$D$1,'Prof. Fee'!$D$3:$D$150,$A58)</f>
        <v>0</v>
      </c>
      <c r="M58" s="676">
        <f>SUMIFS('Prof. Fee'!AH$3:AH$150,'Prof. Fee'!$B$3:$B$150,$D$1,'Prof. Fee'!$D$3:$D$150,$A58)</f>
        <v>0</v>
      </c>
      <c r="N58" s="676">
        <f>SUMIFS('Prof. Fee'!AI$3:AI$150,'Prof. Fee'!$B$3:$B$150,$D$1,'Prof. Fee'!$D$3:$D$150,$A58)</f>
        <v>0</v>
      </c>
      <c r="O58" s="676">
        <f>SUMIFS('Prof. Fee'!AJ$3:AJ$150,'Prof. Fee'!$B$3:$B$150,$D$1,'Prof. Fee'!$D$3:$D$150,$A58)</f>
        <v>0</v>
      </c>
      <c r="P58" s="676">
        <f>SUMIFS('Prof. Fee'!AK$3:AK$150,'Prof. Fee'!$B$3:$B$150,$D$1,'Prof. Fee'!$D$3:$D$150,$A58)</f>
        <v>0</v>
      </c>
      <c r="Q58" s="676">
        <f>SUMIFS('Prof. Fee'!AL$3:AL$150,'Prof. Fee'!$B$3:$B$150,$D$1,'Prof. Fee'!$D$3:$D$150,$A58)</f>
        <v>0</v>
      </c>
      <c r="R58" s="676">
        <f>SUMIFS('Prof. Fee'!AM$3:AM$150,'Prof. Fee'!$B$3:$B$150,$D$1,'Prof. Fee'!$D$3:$D$150,$A58)</f>
        <v>0</v>
      </c>
      <c r="S58" s="676">
        <f>SUMIFS('Prof. Fee'!AN$3:AN$150,'Prof. Fee'!$B$3:$B$150,$D$1,'Prof. Fee'!$D$3:$D$150,$A58)</f>
        <v>0</v>
      </c>
      <c r="T58" s="676">
        <f>SUMIFS('Prof. Fee'!AO$3:AO$150,'Prof. Fee'!$B$3:$B$150,$D$1,'Prof. Fee'!$D$3:$D$150,$A58)</f>
        <v>0</v>
      </c>
      <c r="U58" s="676">
        <f>SUMIFS('Prof. Fee'!AP$3:AP$150,'Prof. Fee'!$B$3:$B$150,$D$1,'Prof. Fee'!$D$3:$D$150,$A58)</f>
        <v>0</v>
      </c>
      <c r="V58" s="676">
        <f>SUMIFS('Prof. Fee'!AQ$3:AQ$150,'Prof. Fee'!$B$3:$B$150,$D$1,'Prof. Fee'!$D$3:$D$150,$A58)</f>
        <v>0</v>
      </c>
      <c r="W58" s="676">
        <f t="shared" si="25"/>
        <v>0</v>
      </c>
      <c r="Y58" s="688">
        <f>IFERROR(VLOOKUP($A58,'[96]1月'!$A:$H,8,0),0)</f>
        <v>0</v>
      </c>
      <c r="Z58" s="688">
        <f>IFERROR(VLOOKUP($A58,'[96]2月'!$A:$H,8,0),0)</f>
        <v>0</v>
      </c>
      <c r="AA58" s="688">
        <f>IFERROR(VLOOKUP($A58,'[96]3月'!$A:$H,8,0),0)</f>
        <v>0</v>
      </c>
      <c r="AB58" s="688">
        <f>IFERROR(VLOOKUP($A58,'[96]4月'!$A:$H,8,0),0)</f>
        <v>0</v>
      </c>
      <c r="AC58" s="688">
        <f>IFERROR(VLOOKUP($A58,'[96]5月'!$A:$H,8,0),0)</f>
        <v>0</v>
      </c>
      <c r="AD58" s="688">
        <f>IFERROR(VLOOKUP($A58,'[96]6月'!$A:$H,8,0),0)</f>
        <v>0</v>
      </c>
      <c r="AE58" s="688">
        <f>IFERROR(VLOOKUP($A58,'[96]7月'!$A:$H,8,0),0)</f>
        <v>0</v>
      </c>
      <c r="AF58" s="688">
        <f>IFERROR(VLOOKUP($A58,'[96]8月'!$A:$H,8,0),0)</f>
        <v>0</v>
      </c>
      <c r="AG58" s="688">
        <f>IFERROR(VLOOKUP($A58,'[96]9月'!$A:$H,8,0),0)</f>
        <v>0</v>
      </c>
      <c r="AH58" s="688">
        <f>IFERROR(VLOOKUP($A58,'[96]10月'!$A:$H,8,0),0)</f>
        <v>0</v>
      </c>
      <c r="AI58" s="688">
        <f>IFERROR(VLOOKUP($A58,'[96]11月'!$A:$H,8,0),0)</f>
        <v>0</v>
      </c>
      <c r="AJ58" s="688">
        <f>IFERROR(VLOOKUP($A58,'[96]12月'!$A:$H,8,0),0)</f>
        <v>0</v>
      </c>
      <c r="AK58" s="688">
        <f t="shared" si="39"/>
        <v>0</v>
      </c>
    </row>
    <row r="59" spans="1:37" ht="13.5" customHeight="1">
      <c r="A59" s="653" t="str">
        <f>'Budget-合并'!A59</f>
        <v>6602.04.12</v>
      </c>
      <c r="B59" s="653" t="str">
        <f>'Budget-合并'!B59</f>
        <v>合规支持服务</v>
      </c>
      <c r="C59" s="687" t="str">
        <f>'Budget-合并'!C59</f>
        <v xml:space="preserve">Compliance Support Services </v>
      </c>
      <c r="D59" s="676">
        <f t="shared" si="33"/>
        <v>0</v>
      </c>
      <c r="E59" s="676">
        <f t="shared" si="34"/>
        <v>0</v>
      </c>
      <c r="F59" s="676">
        <f t="shared" si="35"/>
        <v>0</v>
      </c>
      <c r="G59" s="676">
        <f t="shared" ca="1" si="36"/>
        <v>0</v>
      </c>
      <c r="H59" s="676">
        <f t="shared" ca="1" si="30"/>
        <v>0</v>
      </c>
      <c r="I59" s="676">
        <f t="shared" ca="1" si="37"/>
        <v>0</v>
      </c>
      <c r="K59" s="676">
        <f>SUMIFS('Prof. Fee'!AF$3:AF$150,'Prof. Fee'!$B$3:$B$150,$D$1,'Prof. Fee'!$D$3:$D$150,$A59)</f>
        <v>0</v>
      </c>
      <c r="L59" s="676">
        <f>SUMIFS('Prof. Fee'!AG$3:AG$150,'Prof. Fee'!$B$3:$B$150,$D$1,'Prof. Fee'!$D$3:$D$150,$A59)</f>
        <v>0</v>
      </c>
      <c r="M59" s="676">
        <f>SUMIFS('Prof. Fee'!AH$3:AH$150,'Prof. Fee'!$B$3:$B$150,$D$1,'Prof. Fee'!$D$3:$D$150,$A59)</f>
        <v>0</v>
      </c>
      <c r="N59" s="676">
        <f>SUMIFS('Prof. Fee'!AI$3:AI$150,'Prof. Fee'!$B$3:$B$150,$D$1,'Prof. Fee'!$D$3:$D$150,$A59)</f>
        <v>0</v>
      </c>
      <c r="O59" s="676">
        <f>SUMIFS('Prof. Fee'!AJ$3:AJ$150,'Prof. Fee'!$B$3:$B$150,$D$1,'Prof. Fee'!$D$3:$D$150,$A59)</f>
        <v>0</v>
      </c>
      <c r="P59" s="676">
        <f>SUMIFS('Prof. Fee'!AK$3:AK$150,'Prof. Fee'!$B$3:$B$150,$D$1,'Prof. Fee'!$D$3:$D$150,$A59)</f>
        <v>0</v>
      </c>
      <c r="Q59" s="676">
        <f>SUMIFS('Prof. Fee'!AL$3:AL$150,'Prof. Fee'!$B$3:$B$150,$D$1,'Prof. Fee'!$D$3:$D$150,$A59)</f>
        <v>0</v>
      </c>
      <c r="R59" s="676">
        <f>SUMIFS('Prof. Fee'!AM$3:AM$150,'Prof. Fee'!$B$3:$B$150,$D$1,'Prof. Fee'!$D$3:$D$150,$A59)</f>
        <v>0</v>
      </c>
      <c r="S59" s="676">
        <f>SUMIFS('Prof. Fee'!AN$3:AN$150,'Prof. Fee'!$B$3:$B$150,$D$1,'Prof. Fee'!$D$3:$D$150,$A59)</f>
        <v>0</v>
      </c>
      <c r="T59" s="676">
        <f>SUMIFS('Prof. Fee'!AO$3:AO$150,'Prof. Fee'!$B$3:$B$150,$D$1,'Prof. Fee'!$D$3:$D$150,$A59)</f>
        <v>0</v>
      </c>
      <c r="U59" s="676">
        <f>SUMIFS('Prof. Fee'!AP$3:AP$150,'Prof. Fee'!$B$3:$B$150,$D$1,'Prof. Fee'!$D$3:$D$150,$A59)</f>
        <v>0</v>
      </c>
      <c r="V59" s="676">
        <f>SUMIFS('Prof. Fee'!AQ$3:AQ$150,'Prof. Fee'!$B$3:$B$150,$D$1,'Prof. Fee'!$D$3:$D$150,$A59)</f>
        <v>0</v>
      </c>
      <c r="W59" s="676">
        <f t="shared" si="25"/>
        <v>0</v>
      </c>
      <c r="Y59" s="688">
        <f>IFERROR(VLOOKUP($A59,'[96]1月'!$A:$H,8,0),0)</f>
        <v>0</v>
      </c>
      <c r="Z59" s="688">
        <f>IFERROR(VLOOKUP($A59,'[96]2月'!$A:$H,8,0),0)</f>
        <v>0</v>
      </c>
      <c r="AA59" s="688">
        <f>IFERROR(VLOOKUP($A59,'[96]3月'!$A:$H,8,0),0)</f>
        <v>0</v>
      </c>
      <c r="AB59" s="688">
        <f>IFERROR(VLOOKUP($A59,'[96]4月'!$A:$H,8,0),0)</f>
        <v>0</v>
      </c>
      <c r="AC59" s="688">
        <f>IFERROR(VLOOKUP($A59,'[96]5月'!$A:$H,8,0),0)</f>
        <v>0</v>
      </c>
      <c r="AD59" s="688">
        <f>IFERROR(VLOOKUP($A59,'[96]6月'!$A:$H,8,0),0)</f>
        <v>0</v>
      </c>
      <c r="AE59" s="688">
        <f>IFERROR(VLOOKUP($A59,'[96]7月'!$A:$H,8,0),0)</f>
        <v>0</v>
      </c>
      <c r="AF59" s="688">
        <f>IFERROR(VLOOKUP($A59,'[96]8月'!$A:$H,8,0),0)</f>
        <v>0</v>
      </c>
      <c r="AG59" s="688">
        <f>IFERROR(VLOOKUP($A59,'[96]9月'!$A:$H,8,0),0)</f>
        <v>0</v>
      </c>
      <c r="AH59" s="688">
        <f>IFERROR(VLOOKUP($A59,'[96]10月'!$A:$H,8,0),0)</f>
        <v>0</v>
      </c>
      <c r="AI59" s="688">
        <f>IFERROR(VLOOKUP($A59,'[96]11月'!$A:$H,8,0),0)</f>
        <v>0</v>
      </c>
      <c r="AJ59" s="688">
        <f>IFERROR(VLOOKUP($A59,'[96]12月'!$A:$H,8,0),0)</f>
        <v>0</v>
      </c>
      <c r="AK59" s="688">
        <f t="shared" si="39"/>
        <v>0</v>
      </c>
    </row>
    <row r="60" spans="1:37" ht="13.5" customHeight="1">
      <c r="A60" s="653" t="str">
        <f>'Budget-合并'!A60</f>
        <v>6602.04.13</v>
      </c>
      <c r="B60" s="653" t="str">
        <f>'Budget-合并'!B60</f>
        <v>咨询费</v>
      </c>
      <c r="C60" s="687" t="str">
        <f>'Budget-合并'!C60</f>
        <v>Consulting fee</v>
      </c>
      <c r="D60" s="676">
        <f t="shared" si="33"/>
        <v>0</v>
      </c>
      <c r="E60" s="676">
        <f t="shared" si="34"/>
        <v>0</v>
      </c>
      <c r="F60" s="676">
        <f t="shared" si="35"/>
        <v>0</v>
      </c>
      <c r="G60" s="676">
        <f t="shared" ca="1" si="36"/>
        <v>0</v>
      </c>
      <c r="H60" s="676">
        <f t="shared" ca="1" si="30"/>
        <v>0</v>
      </c>
      <c r="I60" s="676">
        <f t="shared" ca="1" si="37"/>
        <v>0</v>
      </c>
      <c r="K60" s="676">
        <f>SUMIFS('Prof. Fee'!AF$3:AF$150,'Prof. Fee'!$B$3:$B$150,$D$1,'Prof. Fee'!$D$3:$D$150,$A60)</f>
        <v>0</v>
      </c>
      <c r="L60" s="676">
        <f>SUMIFS('Prof. Fee'!AG$3:AG$150,'Prof. Fee'!$B$3:$B$150,$D$1,'Prof. Fee'!$D$3:$D$150,$A60)</f>
        <v>0</v>
      </c>
      <c r="M60" s="676">
        <f>SUMIFS('Prof. Fee'!AH$3:AH$150,'Prof. Fee'!$B$3:$B$150,$D$1,'Prof. Fee'!$D$3:$D$150,$A60)</f>
        <v>0</v>
      </c>
      <c r="N60" s="676">
        <f>SUMIFS('Prof. Fee'!AI$3:AI$150,'Prof. Fee'!$B$3:$B$150,$D$1,'Prof. Fee'!$D$3:$D$150,$A60)</f>
        <v>0</v>
      </c>
      <c r="O60" s="676">
        <f>SUMIFS('Prof. Fee'!AJ$3:AJ$150,'Prof. Fee'!$B$3:$B$150,$D$1,'Prof. Fee'!$D$3:$D$150,$A60)</f>
        <v>0</v>
      </c>
      <c r="P60" s="676">
        <f>SUMIFS('Prof. Fee'!AK$3:AK$150,'Prof. Fee'!$B$3:$B$150,$D$1,'Prof. Fee'!$D$3:$D$150,$A60)</f>
        <v>0</v>
      </c>
      <c r="Q60" s="676">
        <f>SUMIFS('Prof. Fee'!AL$3:AL$150,'Prof. Fee'!$B$3:$B$150,$D$1,'Prof. Fee'!$D$3:$D$150,$A60)</f>
        <v>0</v>
      </c>
      <c r="R60" s="676">
        <f>SUMIFS('Prof. Fee'!AM$3:AM$150,'Prof. Fee'!$B$3:$B$150,$D$1,'Prof. Fee'!$D$3:$D$150,$A60)</f>
        <v>0</v>
      </c>
      <c r="S60" s="676">
        <f>SUMIFS('Prof. Fee'!AN$3:AN$150,'Prof. Fee'!$B$3:$B$150,$D$1,'Prof. Fee'!$D$3:$D$150,$A60)</f>
        <v>0</v>
      </c>
      <c r="T60" s="676">
        <f>SUMIFS('Prof. Fee'!AO$3:AO$150,'Prof. Fee'!$B$3:$B$150,$D$1,'Prof. Fee'!$D$3:$D$150,$A60)</f>
        <v>0</v>
      </c>
      <c r="U60" s="676">
        <f>SUMIFS('Prof. Fee'!AP$3:AP$150,'Prof. Fee'!$B$3:$B$150,$D$1,'Prof. Fee'!$D$3:$D$150,$A60)</f>
        <v>0</v>
      </c>
      <c r="V60" s="676">
        <f>SUMIFS('Prof. Fee'!AQ$3:AQ$150,'Prof. Fee'!$B$3:$B$150,$D$1,'Prof. Fee'!$D$3:$D$150,$A60)</f>
        <v>0</v>
      </c>
      <c r="W60" s="676">
        <f t="shared" si="25"/>
        <v>0</v>
      </c>
      <c r="Y60" s="688">
        <f>IFERROR(VLOOKUP($A60,'[96]1月'!$A:$H,8,0),0)</f>
        <v>0</v>
      </c>
      <c r="Z60" s="688">
        <f>IFERROR(VLOOKUP($A60,'[96]2月'!$A:$H,8,0),0)</f>
        <v>0</v>
      </c>
      <c r="AA60" s="688">
        <f>IFERROR(VLOOKUP($A60,'[96]3月'!$A:$H,8,0),0)</f>
        <v>0</v>
      </c>
      <c r="AB60" s="688">
        <f>IFERROR(VLOOKUP($A60,'[96]4月'!$A:$H,8,0),0)</f>
        <v>0</v>
      </c>
      <c r="AC60" s="688">
        <f>IFERROR(VLOOKUP($A60,'[96]5月'!$A:$H,8,0),0)</f>
        <v>0</v>
      </c>
      <c r="AD60" s="688">
        <f>IFERROR(VLOOKUP($A60,'[96]6月'!$A:$H,8,0),0)</f>
        <v>0</v>
      </c>
      <c r="AE60" s="688">
        <f>IFERROR(VLOOKUP($A60,'[96]7月'!$A:$H,8,0),0)</f>
        <v>0</v>
      </c>
      <c r="AF60" s="688">
        <f>IFERROR(VLOOKUP($A60,'[96]8月'!$A:$H,8,0),0)</f>
        <v>0</v>
      </c>
      <c r="AG60" s="688">
        <f>IFERROR(VLOOKUP($A60,'[96]9月'!$A:$H,8,0),0)</f>
        <v>0</v>
      </c>
      <c r="AH60" s="688">
        <f>IFERROR(VLOOKUP($A60,'[96]10月'!$A:$H,8,0),0)</f>
        <v>0</v>
      </c>
      <c r="AI60" s="688">
        <f>IFERROR(VLOOKUP($A60,'[96]11月'!$A:$H,8,0),0)</f>
        <v>0</v>
      </c>
      <c r="AJ60" s="688">
        <f>IFERROR(VLOOKUP($A60,'[96]12月'!$A:$H,8,0),0)</f>
        <v>0</v>
      </c>
      <c r="AK60" s="688">
        <f t="shared" si="39"/>
        <v>0</v>
      </c>
    </row>
    <row r="61" spans="1:37" ht="13.5" customHeight="1">
      <c r="A61" s="653" t="str">
        <f>'Budget-合并'!A61</f>
        <v>6602.04.99</v>
      </c>
      <c r="B61" s="653" t="str">
        <f>'Budget-合并'!B61</f>
        <v>其他</v>
      </c>
      <c r="C61" s="687">
        <f>'Budget-合并'!C61</f>
        <v>0</v>
      </c>
      <c r="D61" s="676">
        <f t="shared" si="33"/>
        <v>0</v>
      </c>
      <c r="E61" s="676">
        <f t="shared" si="34"/>
        <v>0</v>
      </c>
      <c r="F61" s="676">
        <f t="shared" si="35"/>
        <v>0</v>
      </c>
      <c r="G61" s="676">
        <f t="shared" ca="1" si="36"/>
        <v>0</v>
      </c>
      <c r="H61" s="676">
        <f t="shared" ca="1" si="30"/>
        <v>0</v>
      </c>
      <c r="I61" s="676">
        <f t="shared" ca="1" si="37"/>
        <v>0</v>
      </c>
      <c r="K61" s="676">
        <f>SUMIFS('Prof. Fee'!AF$3:AF$150,'Prof. Fee'!$B$3:$B$150,$D$1,'Prof. Fee'!$D$3:$D$150,$A61)</f>
        <v>0</v>
      </c>
      <c r="L61" s="676">
        <f>SUMIFS('Prof. Fee'!AG$3:AG$150,'Prof. Fee'!$B$3:$B$150,$D$1,'Prof. Fee'!$D$3:$D$150,$A61)</f>
        <v>0</v>
      </c>
      <c r="M61" s="676">
        <f>SUMIFS('Prof. Fee'!AH$3:AH$150,'Prof. Fee'!$B$3:$B$150,$D$1,'Prof. Fee'!$D$3:$D$150,$A61)</f>
        <v>0</v>
      </c>
      <c r="N61" s="676">
        <f>SUMIFS('Prof. Fee'!AI$3:AI$150,'Prof. Fee'!$B$3:$B$150,$D$1,'Prof. Fee'!$D$3:$D$150,$A61)</f>
        <v>0</v>
      </c>
      <c r="O61" s="676">
        <f>SUMIFS('Prof. Fee'!AJ$3:AJ$150,'Prof. Fee'!$B$3:$B$150,$D$1,'Prof. Fee'!$D$3:$D$150,$A61)</f>
        <v>0</v>
      </c>
      <c r="P61" s="676">
        <f>SUMIFS('Prof. Fee'!AK$3:AK$150,'Prof. Fee'!$B$3:$B$150,$D$1,'Prof. Fee'!$D$3:$D$150,$A61)</f>
        <v>0</v>
      </c>
      <c r="Q61" s="676">
        <f>SUMIFS('Prof. Fee'!AL$3:AL$150,'Prof. Fee'!$B$3:$B$150,$D$1,'Prof. Fee'!$D$3:$D$150,$A61)</f>
        <v>0</v>
      </c>
      <c r="R61" s="676">
        <f>SUMIFS('Prof. Fee'!AM$3:AM$150,'Prof. Fee'!$B$3:$B$150,$D$1,'Prof. Fee'!$D$3:$D$150,$A61)</f>
        <v>0</v>
      </c>
      <c r="S61" s="676">
        <f>SUMIFS('Prof. Fee'!AN$3:AN$150,'Prof. Fee'!$B$3:$B$150,$D$1,'Prof. Fee'!$D$3:$D$150,$A61)</f>
        <v>0</v>
      </c>
      <c r="T61" s="676">
        <f>SUMIFS('Prof. Fee'!AO$3:AO$150,'Prof. Fee'!$B$3:$B$150,$D$1,'Prof. Fee'!$D$3:$D$150,$A61)</f>
        <v>0</v>
      </c>
      <c r="U61" s="676">
        <f>SUMIFS('Prof. Fee'!AP$3:AP$150,'Prof. Fee'!$B$3:$B$150,$D$1,'Prof. Fee'!$D$3:$D$150,$A61)</f>
        <v>0</v>
      </c>
      <c r="V61" s="676">
        <f>SUMIFS('Prof. Fee'!AQ$3:AQ$150,'Prof. Fee'!$B$3:$B$150,$D$1,'Prof. Fee'!$D$3:$D$150,$A61)</f>
        <v>0</v>
      </c>
      <c r="W61" s="676">
        <f t="shared" si="25"/>
        <v>0</v>
      </c>
      <c r="Y61" s="688">
        <f>IFERROR(VLOOKUP($A61,'[96]1月'!$A:$H,8,0),0)</f>
        <v>0</v>
      </c>
      <c r="Z61" s="688">
        <f>IFERROR(VLOOKUP($A61,'[96]2月'!$A:$H,8,0),0)</f>
        <v>0</v>
      </c>
      <c r="AA61" s="688">
        <f>IFERROR(VLOOKUP($A61,'[96]3月'!$A:$H,8,0),0)</f>
        <v>0</v>
      </c>
      <c r="AB61" s="688">
        <f>IFERROR(VLOOKUP($A61,'[96]4月'!$A:$H,8,0),0)</f>
        <v>0</v>
      </c>
      <c r="AC61" s="688">
        <f>IFERROR(VLOOKUP($A61,'[96]5月'!$A:$H,8,0),0)</f>
        <v>0</v>
      </c>
      <c r="AD61" s="688">
        <f>IFERROR(VLOOKUP($A61,'[96]6月'!$A:$H,8,0),0)</f>
        <v>0</v>
      </c>
      <c r="AE61" s="688">
        <f>IFERROR(VLOOKUP($A61,'[96]7月'!$A:$H,8,0),0)</f>
        <v>0</v>
      </c>
      <c r="AF61" s="688">
        <f>IFERROR(VLOOKUP($A61,'[96]8月'!$A:$H,8,0),0)</f>
        <v>0</v>
      </c>
      <c r="AG61" s="688">
        <f>IFERROR(VLOOKUP($A61,'[96]9月'!$A:$H,8,0),0)</f>
        <v>0</v>
      </c>
      <c r="AH61" s="688">
        <f>IFERROR(VLOOKUP($A61,'[96]10月'!$A:$H,8,0),0)</f>
        <v>0</v>
      </c>
      <c r="AI61" s="688">
        <f>IFERROR(VLOOKUP($A61,'[96]11月'!$A:$H,8,0),0)</f>
        <v>0</v>
      </c>
      <c r="AJ61" s="688">
        <f>IFERROR(VLOOKUP($A61,'[96]12月'!$A:$H,8,0),0)</f>
        <v>0</v>
      </c>
      <c r="AK61" s="688">
        <f t="shared" si="39"/>
        <v>0</v>
      </c>
    </row>
    <row r="62" spans="1:37" ht="13.5" customHeight="1">
      <c r="A62" s="663" t="str">
        <f>'Budget-合并'!A62</f>
        <v>6602.05</v>
      </c>
      <c r="B62" s="663" t="str">
        <f>'Budget-合并'!B62</f>
        <v>占用费</v>
      </c>
      <c r="C62" s="687">
        <f>'Budget-合并'!C62</f>
        <v>0</v>
      </c>
      <c r="D62" s="676">
        <f t="shared" si="33"/>
        <v>0</v>
      </c>
      <c r="E62" s="676">
        <f t="shared" si="34"/>
        <v>0</v>
      </c>
      <c r="F62" s="676">
        <f t="shared" si="35"/>
        <v>0</v>
      </c>
      <c r="G62" s="676">
        <f t="shared" ca="1" si="36"/>
        <v>0</v>
      </c>
      <c r="H62" s="676">
        <f t="shared" ca="1" si="30"/>
        <v>0</v>
      </c>
      <c r="I62" s="676">
        <f t="shared" ca="1" si="37"/>
        <v>0</v>
      </c>
      <c r="K62" s="676">
        <f t="shared" ref="K62:V62" si="41">SUM(K63,K67:K74)</f>
        <v>0</v>
      </c>
      <c r="L62" s="676">
        <f t="shared" si="41"/>
        <v>0</v>
      </c>
      <c r="M62" s="676">
        <f t="shared" si="41"/>
        <v>0</v>
      </c>
      <c r="N62" s="676">
        <f t="shared" si="41"/>
        <v>0</v>
      </c>
      <c r="O62" s="676">
        <f t="shared" si="41"/>
        <v>0</v>
      </c>
      <c r="P62" s="676">
        <f t="shared" si="41"/>
        <v>0</v>
      </c>
      <c r="Q62" s="676">
        <f t="shared" si="41"/>
        <v>0</v>
      </c>
      <c r="R62" s="676">
        <f t="shared" si="41"/>
        <v>0</v>
      </c>
      <c r="S62" s="676">
        <f t="shared" si="41"/>
        <v>0</v>
      </c>
      <c r="T62" s="676">
        <f t="shared" si="41"/>
        <v>0</v>
      </c>
      <c r="U62" s="676">
        <f t="shared" si="41"/>
        <v>0</v>
      </c>
      <c r="V62" s="676">
        <f t="shared" si="41"/>
        <v>0</v>
      </c>
      <c r="W62" s="676">
        <f t="shared" si="25"/>
        <v>0</v>
      </c>
      <c r="Y62" s="688">
        <f>IFERROR(VLOOKUP($A62,'[96]1月'!$A:$H,8,0),0)</f>
        <v>0</v>
      </c>
      <c r="Z62" s="688">
        <f>IFERROR(VLOOKUP($A62,'[96]2月'!$A:$H,8,0),0)</f>
        <v>0</v>
      </c>
      <c r="AA62" s="688">
        <f>IFERROR(VLOOKUP($A62,'[96]3月'!$A:$H,8,0),0)</f>
        <v>0</v>
      </c>
      <c r="AB62" s="688">
        <f>IFERROR(VLOOKUP($A62,'[96]4月'!$A:$H,8,0),0)</f>
        <v>0</v>
      </c>
      <c r="AC62" s="688">
        <f>IFERROR(VLOOKUP($A62,'[96]5月'!$A:$H,8,0),0)</f>
        <v>0</v>
      </c>
      <c r="AD62" s="688">
        <f>IFERROR(VLOOKUP($A62,'[96]6月'!$A:$H,8,0),0)</f>
        <v>0</v>
      </c>
      <c r="AE62" s="688">
        <f>IFERROR(VLOOKUP($A62,'[96]7月'!$A:$H,8,0),0)</f>
        <v>0</v>
      </c>
      <c r="AF62" s="688">
        <f>IFERROR(VLOOKUP($A62,'[96]8月'!$A:$H,8,0),0)</f>
        <v>0</v>
      </c>
      <c r="AG62" s="688">
        <f>IFERROR(VLOOKUP($A62,'[96]9月'!$A:$H,8,0),0)</f>
        <v>0</v>
      </c>
      <c r="AH62" s="688">
        <f>IFERROR(VLOOKUP($A62,'[96]10月'!$A:$H,8,0),0)</f>
        <v>0</v>
      </c>
      <c r="AI62" s="688">
        <f>IFERROR(VLOOKUP($A62,'[96]11月'!$A:$H,8,0),0)</f>
        <v>0</v>
      </c>
      <c r="AJ62" s="688">
        <f>IFERROR(VLOOKUP($A62,'[96]12月'!$A:$H,8,0),0)</f>
        <v>0</v>
      </c>
      <c r="AK62" s="688">
        <f t="shared" si="39"/>
        <v>0</v>
      </c>
    </row>
    <row r="63" spans="1:37" ht="13.5" customHeight="1">
      <c r="A63" s="653" t="str">
        <f>'Budget-合并'!A63</f>
        <v>6602.05.01</v>
      </c>
      <c r="B63" s="653" t="str">
        <f>'Budget-合并'!B63</f>
        <v>办公室租赁费</v>
      </c>
      <c r="C63" s="687">
        <f>'Budget-合并'!C63</f>
        <v>0</v>
      </c>
      <c r="D63" s="676">
        <f t="shared" si="33"/>
        <v>0</v>
      </c>
      <c r="E63" s="676">
        <f t="shared" si="34"/>
        <v>0</v>
      </c>
      <c r="F63" s="676">
        <f t="shared" si="35"/>
        <v>0</v>
      </c>
      <c r="G63" s="676">
        <f t="shared" ca="1" si="36"/>
        <v>0</v>
      </c>
      <c r="H63" s="676">
        <f t="shared" ca="1" si="30"/>
        <v>0</v>
      </c>
      <c r="I63" s="676">
        <f t="shared" ca="1" si="37"/>
        <v>0</v>
      </c>
      <c r="K63" s="676">
        <f t="shared" ref="K63:V63" si="42">SUM(K64:K66)</f>
        <v>0</v>
      </c>
      <c r="L63" s="676">
        <f t="shared" si="42"/>
        <v>0</v>
      </c>
      <c r="M63" s="676">
        <f t="shared" si="42"/>
        <v>0</v>
      </c>
      <c r="N63" s="676">
        <f t="shared" si="42"/>
        <v>0</v>
      </c>
      <c r="O63" s="676">
        <f t="shared" si="42"/>
        <v>0</v>
      </c>
      <c r="P63" s="676">
        <f t="shared" si="42"/>
        <v>0</v>
      </c>
      <c r="Q63" s="676">
        <f t="shared" si="42"/>
        <v>0</v>
      </c>
      <c r="R63" s="676">
        <f t="shared" si="42"/>
        <v>0</v>
      </c>
      <c r="S63" s="676">
        <f t="shared" si="42"/>
        <v>0</v>
      </c>
      <c r="T63" s="676">
        <f t="shared" si="42"/>
        <v>0</v>
      </c>
      <c r="U63" s="676">
        <f t="shared" si="42"/>
        <v>0</v>
      </c>
      <c r="V63" s="676">
        <f t="shared" si="42"/>
        <v>0</v>
      </c>
      <c r="W63" s="676">
        <f t="shared" si="25"/>
        <v>0</v>
      </c>
      <c r="Y63" s="688">
        <f>IFERROR(VLOOKUP($A63,'[96]1月'!$A:$H,8,0),0)</f>
        <v>0</v>
      </c>
      <c r="Z63" s="688">
        <f>IFERROR(VLOOKUP($A63,'[96]2月'!$A:$H,8,0),0)</f>
        <v>0</v>
      </c>
      <c r="AA63" s="688">
        <f>IFERROR(VLOOKUP($A63,'[96]3月'!$A:$H,8,0),0)</f>
        <v>0</v>
      </c>
      <c r="AB63" s="688">
        <f>IFERROR(VLOOKUP($A63,'[96]4月'!$A:$H,8,0),0)</f>
        <v>0</v>
      </c>
      <c r="AC63" s="688">
        <f>IFERROR(VLOOKUP($A63,'[96]5月'!$A:$H,8,0),0)</f>
        <v>0</v>
      </c>
      <c r="AD63" s="688">
        <f>IFERROR(VLOOKUP($A63,'[96]6月'!$A:$H,8,0),0)</f>
        <v>0</v>
      </c>
      <c r="AE63" s="688">
        <f>IFERROR(VLOOKUP($A63,'[96]7月'!$A:$H,8,0),0)</f>
        <v>0</v>
      </c>
      <c r="AF63" s="688">
        <f>IFERROR(VLOOKUP($A63,'[96]8月'!$A:$H,8,0),0)</f>
        <v>0</v>
      </c>
      <c r="AG63" s="688">
        <f>IFERROR(VLOOKUP($A63,'[96]9月'!$A:$H,8,0),0)</f>
        <v>0</v>
      </c>
      <c r="AH63" s="688">
        <f>IFERROR(VLOOKUP($A63,'[96]10月'!$A:$H,8,0),0)</f>
        <v>0</v>
      </c>
      <c r="AI63" s="688">
        <f>IFERROR(VLOOKUP($A63,'[96]11月'!$A:$H,8,0),0)</f>
        <v>0</v>
      </c>
      <c r="AJ63" s="688">
        <f>IFERROR(VLOOKUP($A63,'[96]12月'!$A:$H,8,0),0)</f>
        <v>0</v>
      </c>
      <c r="AK63" s="688">
        <f t="shared" si="39"/>
        <v>0</v>
      </c>
    </row>
    <row r="64" spans="1:37" ht="13.5" customHeight="1">
      <c r="A64" s="653" t="str">
        <f>'Budget-合并'!A64</f>
        <v>6602.05.01.01</v>
      </c>
      <c r="B64" s="653" t="str">
        <f>'Budget-合并'!B64</f>
        <v>旭智咨询--鼎和大厦1606</v>
      </c>
      <c r="C64" s="687">
        <f>'Budget-合并'!C64</f>
        <v>0</v>
      </c>
      <c r="D64" s="676">
        <f t="shared" si="33"/>
        <v>0</v>
      </c>
      <c r="E64" s="676">
        <f t="shared" si="34"/>
        <v>0</v>
      </c>
      <c r="F64" s="676">
        <f t="shared" si="35"/>
        <v>0</v>
      </c>
      <c r="G64" s="676">
        <f t="shared" ca="1" si="36"/>
        <v>0</v>
      </c>
      <c r="H64" s="676">
        <f t="shared" ca="1" si="30"/>
        <v>0</v>
      </c>
      <c r="I64" s="676">
        <f t="shared" ca="1" si="37"/>
        <v>0</v>
      </c>
      <c r="K64" s="676"/>
      <c r="L64" s="676"/>
      <c r="M64" s="676"/>
      <c r="N64" s="676"/>
      <c r="O64" s="676"/>
      <c r="P64" s="676"/>
      <c r="Q64" s="676"/>
      <c r="R64" s="676"/>
      <c r="S64" s="676"/>
      <c r="T64" s="676"/>
      <c r="U64" s="676"/>
      <c r="V64" s="676"/>
      <c r="W64" s="676">
        <f t="shared" si="25"/>
        <v>0</v>
      </c>
      <c r="Y64" s="688">
        <f>IFERROR(VLOOKUP($A64,'[96]1月'!$A:$H,8,0),0)</f>
        <v>0</v>
      </c>
      <c r="Z64" s="688">
        <f>IFERROR(VLOOKUP($A64,'[96]2月'!$A:$H,8,0),0)</f>
        <v>0</v>
      </c>
      <c r="AA64" s="688">
        <f>IFERROR(VLOOKUP($A64,'[96]3月'!$A:$H,8,0),0)</f>
        <v>0</v>
      </c>
      <c r="AB64" s="688">
        <f>IFERROR(VLOOKUP($A64,'[96]4月'!$A:$H,8,0),0)</f>
        <v>0</v>
      </c>
      <c r="AC64" s="688">
        <f>IFERROR(VLOOKUP($A64,'[96]5月'!$A:$H,8,0),0)</f>
        <v>0</v>
      </c>
      <c r="AD64" s="688">
        <f>IFERROR(VLOOKUP($A64,'[96]6月'!$A:$H,8,0),0)</f>
        <v>0</v>
      </c>
      <c r="AE64" s="688">
        <f>IFERROR(VLOOKUP($A64,'[96]7月'!$A:$H,8,0),0)</f>
        <v>0</v>
      </c>
      <c r="AF64" s="688">
        <f>IFERROR(VLOOKUP($A64,'[96]8月'!$A:$H,8,0),0)</f>
        <v>0</v>
      </c>
      <c r="AG64" s="688">
        <f>IFERROR(VLOOKUP($A64,'[96]9月'!$A:$H,8,0),0)</f>
        <v>0</v>
      </c>
      <c r="AH64" s="688">
        <f>IFERROR(VLOOKUP($A64,'[96]10月'!$A:$H,8,0),0)</f>
        <v>0</v>
      </c>
      <c r="AI64" s="688">
        <f>IFERROR(VLOOKUP($A64,'[96]11月'!$A:$H,8,0),0)</f>
        <v>0</v>
      </c>
      <c r="AJ64" s="688">
        <f>IFERROR(VLOOKUP($A64,'[96]12月'!$A:$H,8,0),0)</f>
        <v>0</v>
      </c>
      <c r="AK64" s="688">
        <f t="shared" si="39"/>
        <v>0</v>
      </c>
    </row>
    <row r="65" spans="1:37" ht="13.5" customHeight="1">
      <c r="A65" s="653" t="str">
        <f>'Budget-合并'!A65</f>
        <v>6602.05.01.02</v>
      </c>
      <c r="B65" s="653" t="str">
        <f>'Budget-合并'!B65</f>
        <v>广州注册地址403房J015</v>
      </c>
      <c r="C65" s="687">
        <f>'Budget-合并'!C65</f>
        <v>0</v>
      </c>
      <c r="D65" s="676">
        <f t="shared" si="33"/>
        <v>0</v>
      </c>
      <c r="E65" s="676">
        <f t="shared" si="34"/>
        <v>0</v>
      </c>
      <c r="F65" s="676">
        <f t="shared" si="35"/>
        <v>0</v>
      </c>
      <c r="G65" s="676">
        <f t="shared" ca="1" si="36"/>
        <v>0</v>
      </c>
      <c r="H65" s="676">
        <f t="shared" ca="1" si="30"/>
        <v>0</v>
      </c>
      <c r="I65" s="676">
        <f t="shared" ca="1" si="37"/>
        <v>0</v>
      </c>
      <c r="K65" s="676"/>
      <c r="L65" s="676"/>
      <c r="M65" s="676"/>
      <c r="N65" s="676"/>
      <c r="O65" s="676"/>
      <c r="P65" s="676"/>
      <c r="Q65" s="676"/>
      <c r="R65" s="676"/>
      <c r="S65" s="676"/>
      <c r="T65" s="676"/>
      <c r="U65" s="676"/>
      <c r="V65" s="676"/>
      <c r="W65" s="676">
        <f t="shared" si="25"/>
        <v>0</v>
      </c>
      <c r="Y65" s="688">
        <f>IFERROR(VLOOKUP($A65,'[96]1月'!$A:$H,8,0),0)</f>
        <v>0</v>
      </c>
      <c r="Z65" s="688">
        <f>IFERROR(VLOOKUP($A65,'[96]2月'!$A:$H,8,0),0)</f>
        <v>0</v>
      </c>
      <c r="AA65" s="688">
        <f>IFERROR(VLOOKUP($A65,'[96]3月'!$A:$H,8,0),0)</f>
        <v>0</v>
      </c>
      <c r="AB65" s="688">
        <f>IFERROR(VLOOKUP($A65,'[96]4月'!$A:$H,8,0),0)</f>
        <v>0</v>
      </c>
      <c r="AC65" s="688">
        <f>IFERROR(VLOOKUP($A65,'[96]5月'!$A:$H,8,0),0)</f>
        <v>0</v>
      </c>
      <c r="AD65" s="688">
        <f>IFERROR(VLOOKUP($A65,'[96]6月'!$A:$H,8,0),0)</f>
        <v>0</v>
      </c>
      <c r="AE65" s="688">
        <f>IFERROR(VLOOKUP($A65,'[96]7月'!$A:$H,8,0),0)</f>
        <v>0</v>
      </c>
      <c r="AF65" s="688">
        <f>IFERROR(VLOOKUP($A65,'[96]8月'!$A:$H,8,0),0)</f>
        <v>0</v>
      </c>
      <c r="AG65" s="688">
        <f>IFERROR(VLOOKUP($A65,'[96]9月'!$A:$H,8,0),0)</f>
        <v>0</v>
      </c>
      <c r="AH65" s="688">
        <f>IFERROR(VLOOKUP($A65,'[96]10月'!$A:$H,8,0),0)</f>
        <v>0</v>
      </c>
      <c r="AI65" s="688">
        <f>IFERROR(VLOOKUP($A65,'[96]11月'!$A:$H,8,0),0)</f>
        <v>0</v>
      </c>
      <c r="AJ65" s="688">
        <f>IFERROR(VLOOKUP($A65,'[96]12月'!$A:$H,8,0),0)</f>
        <v>0</v>
      </c>
      <c r="AK65" s="688">
        <f t="shared" si="39"/>
        <v>0</v>
      </c>
    </row>
    <row r="66" spans="1:37" ht="13.5" customHeight="1">
      <c r="A66" s="653" t="str">
        <f>'Budget-合并'!A66</f>
        <v>6602.05.01.03</v>
      </c>
      <c r="B66" s="653" t="str">
        <f>'Budget-合并'!B66</f>
        <v>广州注册地址403房J016</v>
      </c>
      <c r="C66" s="687">
        <f>'Budget-合并'!C66</f>
        <v>0</v>
      </c>
      <c r="D66" s="676">
        <f t="shared" si="33"/>
        <v>0</v>
      </c>
      <c r="E66" s="676">
        <f t="shared" si="34"/>
        <v>0</v>
      </c>
      <c r="F66" s="676">
        <f t="shared" si="35"/>
        <v>0</v>
      </c>
      <c r="G66" s="676">
        <f t="shared" ca="1" si="36"/>
        <v>0</v>
      </c>
      <c r="H66" s="676">
        <f t="shared" ca="1" si="30"/>
        <v>0</v>
      </c>
      <c r="I66" s="676">
        <f t="shared" ca="1" si="37"/>
        <v>0</v>
      </c>
      <c r="K66" s="676"/>
      <c r="L66" s="676"/>
      <c r="M66" s="676"/>
      <c r="N66" s="676"/>
      <c r="O66" s="676"/>
      <c r="P66" s="676"/>
      <c r="Q66" s="676"/>
      <c r="R66" s="676"/>
      <c r="S66" s="676"/>
      <c r="T66" s="676"/>
      <c r="U66" s="676"/>
      <c r="V66" s="676"/>
      <c r="W66" s="676">
        <f t="shared" si="25"/>
        <v>0</v>
      </c>
      <c r="Y66" s="688">
        <f>IFERROR(VLOOKUP($A66,'[96]1月'!$A:$H,8,0),0)</f>
        <v>0</v>
      </c>
      <c r="Z66" s="688">
        <f>IFERROR(VLOOKUP($A66,'[96]2月'!$A:$H,8,0),0)</f>
        <v>0</v>
      </c>
      <c r="AA66" s="688">
        <f>IFERROR(VLOOKUP($A66,'[96]3月'!$A:$H,8,0),0)</f>
        <v>0</v>
      </c>
      <c r="AB66" s="688">
        <f>IFERROR(VLOOKUP($A66,'[96]4月'!$A:$H,8,0),0)</f>
        <v>0</v>
      </c>
      <c r="AC66" s="688">
        <f>IFERROR(VLOOKUP($A66,'[96]5月'!$A:$H,8,0),0)</f>
        <v>0</v>
      </c>
      <c r="AD66" s="688">
        <f>IFERROR(VLOOKUP($A66,'[96]6月'!$A:$H,8,0),0)</f>
        <v>0</v>
      </c>
      <c r="AE66" s="688">
        <f>IFERROR(VLOOKUP($A66,'[96]7月'!$A:$H,8,0),0)</f>
        <v>0</v>
      </c>
      <c r="AF66" s="688">
        <f>IFERROR(VLOOKUP($A66,'[96]8月'!$A:$H,8,0),0)</f>
        <v>0</v>
      </c>
      <c r="AG66" s="688">
        <f>IFERROR(VLOOKUP($A66,'[96]9月'!$A:$H,8,0),0)</f>
        <v>0</v>
      </c>
      <c r="AH66" s="688">
        <f>IFERROR(VLOOKUP($A66,'[96]10月'!$A:$H,8,0),0)</f>
        <v>0</v>
      </c>
      <c r="AI66" s="688">
        <f>IFERROR(VLOOKUP($A66,'[96]11月'!$A:$H,8,0),0)</f>
        <v>0</v>
      </c>
      <c r="AJ66" s="688">
        <f>IFERROR(VLOOKUP($A66,'[96]12月'!$A:$H,8,0),0)</f>
        <v>0</v>
      </c>
      <c r="AK66" s="688">
        <f t="shared" si="39"/>
        <v>0</v>
      </c>
    </row>
    <row r="67" spans="1:37" ht="13.5" customHeight="1">
      <c r="A67" s="653" t="str">
        <f>'Budget-合并'!A67</f>
        <v>6602.05.02</v>
      </c>
      <c r="B67" s="653" t="str">
        <f>'Budget-合并'!B67</f>
        <v>管理费</v>
      </c>
      <c r="C67" s="687" t="str">
        <f>'Budget-合并'!C67</f>
        <v>Management fees</v>
      </c>
      <c r="D67" s="676">
        <f t="shared" si="33"/>
        <v>0</v>
      </c>
      <c r="E67" s="676">
        <f t="shared" si="34"/>
        <v>0</v>
      </c>
      <c r="F67" s="676">
        <f t="shared" si="35"/>
        <v>0</v>
      </c>
      <c r="G67" s="676">
        <f t="shared" ca="1" si="36"/>
        <v>0</v>
      </c>
      <c r="H67" s="676">
        <f t="shared" ca="1" si="30"/>
        <v>0</v>
      </c>
      <c r="I67" s="676">
        <f t="shared" ca="1" si="37"/>
        <v>0</v>
      </c>
      <c r="K67" s="676"/>
      <c r="L67" s="676"/>
      <c r="M67" s="676"/>
      <c r="N67" s="676"/>
      <c r="O67" s="676"/>
      <c r="P67" s="676"/>
      <c r="Q67" s="676"/>
      <c r="R67" s="676"/>
      <c r="S67" s="676"/>
      <c r="T67" s="676"/>
      <c r="U67" s="676"/>
      <c r="V67" s="676"/>
      <c r="W67" s="676">
        <f t="shared" si="25"/>
        <v>0</v>
      </c>
      <c r="Y67" s="688">
        <f>IFERROR(VLOOKUP($A67,'[96]1月'!$A:$H,8,0),0)</f>
        <v>0</v>
      </c>
      <c r="Z67" s="688">
        <f>IFERROR(VLOOKUP($A67,'[96]2月'!$A:$H,8,0),0)</f>
        <v>0</v>
      </c>
      <c r="AA67" s="688">
        <f>IFERROR(VLOOKUP($A67,'[96]3月'!$A:$H,8,0),0)</f>
        <v>0</v>
      </c>
      <c r="AB67" s="688">
        <f>IFERROR(VLOOKUP($A67,'[96]4月'!$A:$H,8,0),0)</f>
        <v>0</v>
      </c>
      <c r="AC67" s="688">
        <f>IFERROR(VLOOKUP($A67,'[96]5月'!$A:$H,8,0),0)</f>
        <v>0</v>
      </c>
      <c r="AD67" s="688">
        <f>IFERROR(VLOOKUP($A67,'[96]6月'!$A:$H,8,0),0)</f>
        <v>0</v>
      </c>
      <c r="AE67" s="688">
        <f>IFERROR(VLOOKUP($A67,'[96]7月'!$A:$H,8,0),0)</f>
        <v>0</v>
      </c>
      <c r="AF67" s="688">
        <f>IFERROR(VLOOKUP($A67,'[96]8月'!$A:$H,8,0),0)</f>
        <v>0</v>
      </c>
      <c r="AG67" s="688">
        <f>IFERROR(VLOOKUP($A67,'[96]9月'!$A:$H,8,0),0)</f>
        <v>0</v>
      </c>
      <c r="AH67" s="688">
        <f>IFERROR(VLOOKUP($A67,'[96]10月'!$A:$H,8,0),0)</f>
        <v>0</v>
      </c>
      <c r="AI67" s="688">
        <f>IFERROR(VLOOKUP($A67,'[96]11月'!$A:$H,8,0),0)</f>
        <v>0</v>
      </c>
      <c r="AJ67" s="688">
        <f>IFERROR(VLOOKUP($A67,'[96]12月'!$A:$H,8,0),0)</f>
        <v>0</v>
      </c>
      <c r="AK67" s="688">
        <f t="shared" si="39"/>
        <v>0</v>
      </c>
    </row>
    <row r="68" spans="1:37" ht="13.5" customHeight="1">
      <c r="A68" s="653" t="str">
        <f>'Budget-合并'!A68</f>
        <v>6602.05.03</v>
      </c>
      <c r="B68" s="653" t="str">
        <f>'Budget-合并'!B68</f>
        <v>电费</v>
      </c>
      <c r="C68" s="687" t="str">
        <f>'Budget-合并'!C68</f>
        <v>Utilities Electric</v>
      </c>
      <c r="D68" s="676">
        <f t="shared" si="33"/>
        <v>0</v>
      </c>
      <c r="E68" s="676">
        <f t="shared" si="34"/>
        <v>0</v>
      </c>
      <c r="F68" s="676">
        <f t="shared" si="35"/>
        <v>0</v>
      </c>
      <c r="G68" s="676">
        <f t="shared" ca="1" si="36"/>
        <v>0</v>
      </c>
      <c r="H68" s="676">
        <f t="shared" ca="1" si="30"/>
        <v>0</v>
      </c>
      <c r="I68" s="676">
        <f t="shared" ca="1" si="37"/>
        <v>0</v>
      </c>
      <c r="K68" s="676"/>
      <c r="L68" s="676"/>
      <c r="M68" s="676"/>
      <c r="N68" s="676"/>
      <c r="O68" s="676"/>
      <c r="P68" s="676"/>
      <c r="Q68" s="676"/>
      <c r="R68" s="676"/>
      <c r="S68" s="676"/>
      <c r="T68" s="676"/>
      <c r="U68" s="676"/>
      <c r="V68" s="676"/>
      <c r="W68" s="676">
        <f t="shared" si="25"/>
        <v>0</v>
      </c>
      <c r="Y68" s="688">
        <f>IFERROR(VLOOKUP($A68,'[96]1月'!$A:$H,8,0),0)</f>
        <v>0</v>
      </c>
      <c r="Z68" s="688">
        <f>IFERROR(VLOOKUP($A68,'[96]2月'!$A:$H,8,0),0)</f>
        <v>0</v>
      </c>
      <c r="AA68" s="688">
        <f>IFERROR(VLOOKUP($A68,'[96]3月'!$A:$H,8,0),0)</f>
        <v>0</v>
      </c>
      <c r="AB68" s="688">
        <f>IFERROR(VLOOKUP($A68,'[96]4月'!$A:$H,8,0),0)</f>
        <v>0</v>
      </c>
      <c r="AC68" s="688">
        <f>IFERROR(VLOOKUP($A68,'[96]5月'!$A:$H,8,0),0)</f>
        <v>0</v>
      </c>
      <c r="AD68" s="688">
        <f>IFERROR(VLOOKUP($A68,'[96]6月'!$A:$H,8,0),0)</f>
        <v>0</v>
      </c>
      <c r="AE68" s="688">
        <f>IFERROR(VLOOKUP($A68,'[96]7月'!$A:$H,8,0),0)</f>
        <v>0</v>
      </c>
      <c r="AF68" s="688">
        <f>IFERROR(VLOOKUP($A68,'[96]8月'!$A:$H,8,0),0)</f>
        <v>0</v>
      </c>
      <c r="AG68" s="688">
        <f>IFERROR(VLOOKUP($A68,'[96]9月'!$A:$H,8,0),0)</f>
        <v>0</v>
      </c>
      <c r="AH68" s="688">
        <f>IFERROR(VLOOKUP($A68,'[96]10月'!$A:$H,8,0),0)</f>
        <v>0</v>
      </c>
      <c r="AI68" s="688">
        <f>IFERROR(VLOOKUP($A68,'[96]11月'!$A:$H,8,0),0)</f>
        <v>0</v>
      </c>
      <c r="AJ68" s="688">
        <f>IFERROR(VLOOKUP($A68,'[96]12月'!$A:$H,8,0),0)</f>
        <v>0</v>
      </c>
      <c r="AK68" s="688">
        <f t="shared" si="39"/>
        <v>0</v>
      </c>
    </row>
    <row r="69" spans="1:37" ht="13.5" customHeight="1">
      <c r="A69" s="653" t="str">
        <f>'Budget-合并'!A69</f>
        <v>6602.05.04</v>
      </c>
      <c r="B69" s="653" t="str">
        <f>'Budget-合并'!B69</f>
        <v>水费</v>
      </c>
      <c r="C69" s="687">
        <f>'Budget-合并'!C69</f>
        <v>0</v>
      </c>
      <c r="D69" s="676">
        <f t="shared" si="33"/>
        <v>0</v>
      </c>
      <c r="E69" s="676">
        <f t="shared" si="34"/>
        <v>0</v>
      </c>
      <c r="F69" s="676">
        <f t="shared" si="35"/>
        <v>0</v>
      </c>
      <c r="G69" s="676">
        <f t="shared" ca="1" si="36"/>
        <v>0</v>
      </c>
      <c r="H69" s="676">
        <f t="shared" ca="1" si="30"/>
        <v>0</v>
      </c>
      <c r="I69" s="676">
        <f t="shared" ca="1" si="37"/>
        <v>0</v>
      </c>
      <c r="K69" s="676"/>
      <c r="L69" s="676"/>
      <c r="M69" s="676"/>
      <c r="N69" s="676"/>
      <c r="O69" s="676"/>
      <c r="P69" s="676"/>
      <c r="Q69" s="676"/>
      <c r="R69" s="676"/>
      <c r="S69" s="676"/>
      <c r="T69" s="676"/>
      <c r="U69" s="676"/>
      <c r="V69" s="676"/>
      <c r="W69" s="676">
        <f t="shared" si="25"/>
        <v>0</v>
      </c>
      <c r="Y69" s="688">
        <f>IFERROR(VLOOKUP($A69,'[96]1月'!$A:$H,8,0),0)</f>
        <v>0</v>
      </c>
      <c r="Z69" s="688">
        <f>IFERROR(VLOOKUP($A69,'[96]2月'!$A:$H,8,0),0)</f>
        <v>0</v>
      </c>
      <c r="AA69" s="688">
        <f>IFERROR(VLOOKUP($A69,'[96]3月'!$A:$H,8,0),0)</f>
        <v>0</v>
      </c>
      <c r="AB69" s="688">
        <f>IFERROR(VLOOKUP($A69,'[96]4月'!$A:$H,8,0),0)</f>
        <v>0</v>
      </c>
      <c r="AC69" s="688">
        <f>IFERROR(VLOOKUP($A69,'[96]5月'!$A:$H,8,0),0)</f>
        <v>0</v>
      </c>
      <c r="AD69" s="688">
        <f>IFERROR(VLOOKUP($A69,'[96]6月'!$A:$H,8,0),0)</f>
        <v>0</v>
      </c>
      <c r="AE69" s="688">
        <f>IFERROR(VLOOKUP($A69,'[96]7月'!$A:$H,8,0),0)</f>
        <v>0</v>
      </c>
      <c r="AF69" s="688">
        <f>IFERROR(VLOOKUP($A69,'[96]8月'!$A:$H,8,0),0)</f>
        <v>0</v>
      </c>
      <c r="AG69" s="688">
        <f>IFERROR(VLOOKUP($A69,'[96]9月'!$A:$H,8,0),0)</f>
        <v>0</v>
      </c>
      <c r="AH69" s="688">
        <f>IFERROR(VLOOKUP($A69,'[96]10月'!$A:$H,8,0),0)</f>
        <v>0</v>
      </c>
      <c r="AI69" s="688">
        <f>IFERROR(VLOOKUP($A69,'[96]11月'!$A:$H,8,0),0)</f>
        <v>0</v>
      </c>
      <c r="AJ69" s="688">
        <f>IFERROR(VLOOKUP($A69,'[96]12月'!$A:$H,8,0),0)</f>
        <v>0</v>
      </c>
      <c r="AK69" s="688">
        <f t="shared" si="39"/>
        <v>0</v>
      </c>
    </row>
    <row r="70" spans="1:37" ht="13.5" customHeight="1">
      <c r="A70" s="653" t="str">
        <f>'Budget-合并'!A70</f>
        <v>6602.05.05</v>
      </c>
      <c r="B70" s="653" t="str">
        <f>'Budget-合并'!B70</f>
        <v>维修费</v>
      </c>
      <c r="C70" s="687" t="str">
        <f>'Budget-合并'!C70</f>
        <v>Office Maintenance &amp; Repair</v>
      </c>
      <c r="D70" s="676">
        <f t="shared" si="33"/>
        <v>0</v>
      </c>
      <c r="E70" s="676">
        <f t="shared" si="34"/>
        <v>0</v>
      </c>
      <c r="F70" s="676">
        <f t="shared" si="35"/>
        <v>0</v>
      </c>
      <c r="G70" s="676">
        <f t="shared" ca="1" si="36"/>
        <v>0</v>
      </c>
      <c r="H70" s="676">
        <f t="shared" ca="1" si="30"/>
        <v>0</v>
      </c>
      <c r="I70" s="676">
        <f t="shared" ca="1" si="37"/>
        <v>0</v>
      </c>
      <c r="K70" s="676"/>
      <c r="L70" s="676"/>
      <c r="M70" s="676"/>
      <c r="N70" s="676"/>
      <c r="O70" s="676"/>
      <c r="P70" s="676"/>
      <c r="Q70" s="676"/>
      <c r="R70" s="676"/>
      <c r="S70" s="676"/>
      <c r="T70" s="676"/>
      <c r="U70" s="676"/>
      <c r="V70" s="676"/>
      <c r="W70" s="676">
        <f t="shared" si="25"/>
        <v>0</v>
      </c>
      <c r="Y70" s="688">
        <f>IFERROR(VLOOKUP($A70,'[96]1月'!$A:$H,8,0),0)</f>
        <v>0</v>
      </c>
      <c r="Z70" s="688">
        <f>IFERROR(VLOOKUP($A70,'[96]2月'!$A:$H,8,0),0)</f>
        <v>0</v>
      </c>
      <c r="AA70" s="688">
        <f>IFERROR(VLOOKUP($A70,'[96]3月'!$A:$H,8,0),0)</f>
        <v>0</v>
      </c>
      <c r="AB70" s="688">
        <f>IFERROR(VLOOKUP($A70,'[96]4月'!$A:$H,8,0),0)</f>
        <v>0</v>
      </c>
      <c r="AC70" s="688">
        <f>IFERROR(VLOOKUP($A70,'[96]5月'!$A:$H,8,0),0)</f>
        <v>0</v>
      </c>
      <c r="AD70" s="688">
        <f>IFERROR(VLOOKUP($A70,'[96]6月'!$A:$H,8,0),0)</f>
        <v>0</v>
      </c>
      <c r="AE70" s="688">
        <f>IFERROR(VLOOKUP($A70,'[96]7月'!$A:$H,8,0),0)</f>
        <v>0</v>
      </c>
      <c r="AF70" s="688">
        <f>IFERROR(VLOOKUP($A70,'[96]8月'!$A:$H,8,0),0)</f>
        <v>0</v>
      </c>
      <c r="AG70" s="688">
        <f>IFERROR(VLOOKUP($A70,'[96]9月'!$A:$H,8,0),0)</f>
        <v>0</v>
      </c>
      <c r="AH70" s="688">
        <f>IFERROR(VLOOKUP($A70,'[96]10月'!$A:$H,8,0),0)</f>
        <v>0</v>
      </c>
      <c r="AI70" s="688">
        <f>IFERROR(VLOOKUP($A70,'[96]11月'!$A:$H,8,0),0)</f>
        <v>0</v>
      </c>
      <c r="AJ70" s="688">
        <f>IFERROR(VLOOKUP($A70,'[96]12月'!$A:$H,8,0),0)</f>
        <v>0</v>
      </c>
      <c r="AK70" s="688">
        <f t="shared" si="39"/>
        <v>0</v>
      </c>
    </row>
    <row r="71" spans="1:37" ht="13.5" customHeight="1">
      <c r="A71" s="653" t="str">
        <f>'Budget-合并'!A71</f>
        <v>6602.05.06</v>
      </c>
      <c r="B71" s="653" t="str">
        <f>'Budget-合并'!B71</f>
        <v>装修费</v>
      </c>
      <c r="C71" s="687" t="str">
        <f>'Budget-合并'!C71</f>
        <v>Depreciation_Leasehold Improvement</v>
      </c>
      <c r="D71" s="676">
        <f t="shared" si="33"/>
        <v>0</v>
      </c>
      <c r="E71" s="676">
        <f t="shared" si="34"/>
        <v>0</v>
      </c>
      <c r="F71" s="676">
        <f t="shared" si="35"/>
        <v>0</v>
      </c>
      <c r="G71" s="676">
        <f t="shared" ca="1" si="36"/>
        <v>0</v>
      </c>
      <c r="H71" s="676">
        <f t="shared" ca="1" si="30"/>
        <v>0</v>
      </c>
      <c r="I71" s="676">
        <f t="shared" ca="1" si="37"/>
        <v>0</v>
      </c>
      <c r="K71" s="676"/>
      <c r="L71" s="676"/>
      <c r="M71" s="676"/>
      <c r="N71" s="676"/>
      <c r="O71" s="676"/>
      <c r="P71" s="676"/>
      <c r="Q71" s="676"/>
      <c r="R71" s="676"/>
      <c r="S71" s="676"/>
      <c r="T71" s="676"/>
      <c r="U71" s="676"/>
      <c r="V71" s="676"/>
      <c r="W71" s="676">
        <f t="shared" si="25"/>
        <v>0</v>
      </c>
      <c r="Y71" s="688">
        <f>IFERROR(VLOOKUP($A71,'[96]1月'!$A:$H,8,0),0)</f>
        <v>0</v>
      </c>
      <c r="Z71" s="688">
        <f>IFERROR(VLOOKUP($A71,'[96]2月'!$A:$H,8,0),0)</f>
        <v>0</v>
      </c>
      <c r="AA71" s="688">
        <f>IFERROR(VLOOKUP($A71,'[96]3月'!$A:$H,8,0),0)</f>
        <v>0</v>
      </c>
      <c r="AB71" s="688">
        <f>IFERROR(VLOOKUP($A71,'[96]4月'!$A:$H,8,0),0)</f>
        <v>0</v>
      </c>
      <c r="AC71" s="688">
        <f>IFERROR(VLOOKUP($A71,'[96]5月'!$A:$H,8,0),0)</f>
        <v>0</v>
      </c>
      <c r="AD71" s="688">
        <f>IFERROR(VLOOKUP($A71,'[96]6月'!$A:$H,8,0),0)</f>
        <v>0</v>
      </c>
      <c r="AE71" s="688">
        <f>IFERROR(VLOOKUP($A71,'[96]7月'!$A:$H,8,0),0)</f>
        <v>0</v>
      </c>
      <c r="AF71" s="688">
        <f>IFERROR(VLOOKUP($A71,'[96]8月'!$A:$H,8,0),0)</f>
        <v>0</v>
      </c>
      <c r="AG71" s="688">
        <f>IFERROR(VLOOKUP($A71,'[96]9月'!$A:$H,8,0),0)</f>
        <v>0</v>
      </c>
      <c r="AH71" s="688">
        <f>IFERROR(VLOOKUP($A71,'[96]10月'!$A:$H,8,0),0)</f>
        <v>0</v>
      </c>
      <c r="AI71" s="688">
        <f>IFERROR(VLOOKUP($A71,'[96]11月'!$A:$H,8,0),0)</f>
        <v>0</v>
      </c>
      <c r="AJ71" s="688">
        <f>IFERROR(VLOOKUP($A71,'[96]12月'!$A:$H,8,0),0)</f>
        <v>0</v>
      </c>
      <c r="AK71" s="688">
        <f t="shared" si="39"/>
        <v>0</v>
      </c>
    </row>
    <row r="72" spans="1:37" ht="13.5" customHeight="1">
      <c r="A72" s="653" t="str">
        <f>'Budget-合并'!A72</f>
        <v>6602.05.07</v>
      </c>
      <c r="B72" s="653" t="str">
        <f>'Budget-合并'!B72</f>
        <v>租金及物业费</v>
      </c>
      <c r="C72" s="687">
        <f>'Budget-合并'!C72</f>
        <v>0</v>
      </c>
      <c r="D72" s="676">
        <f t="shared" si="33"/>
        <v>0</v>
      </c>
      <c r="E72" s="676">
        <f t="shared" si="34"/>
        <v>0</v>
      </c>
      <c r="F72" s="676">
        <f t="shared" si="35"/>
        <v>0</v>
      </c>
      <c r="G72" s="676">
        <f t="shared" ca="1" si="36"/>
        <v>0</v>
      </c>
      <c r="H72" s="676">
        <f t="shared" ca="1" si="30"/>
        <v>0</v>
      </c>
      <c r="I72" s="676">
        <f t="shared" ca="1" si="37"/>
        <v>0</v>
      </c>
      <c r="K72" s="676"/>
      <c r="L72" s="676"/>
      <c r="M72" s="676"/>
      <c r="N72" s="676"/>
      <c r="O72" s="676"/>
      <c r="P72" s="676"/>
      <c r="Q72" s="676"/>
      <c r="R72" s="676"/>
      <c r="S72" s="676"/>
      <c r="T72" s="676"/>
      <c r="U72" s="676"/>
      <c r="V72" s="676"/>
      <c r="W72" s="676">
        <f t="shared" si="25"/>
        <v>0</v>
      </c>
      <c r="Y72" s="688">
        <f>IFERROR(VLOOKUP($A72,'[96]1月'!$A:$H,8,0),0)</f>
        <v>0</v>
      </c>
      <c r="Z72" s="688">
        <f>IFERROR(VLOOKUP($A72,'[96]2月'!$A:$H,8,0),0)</f>
        <v>0</v>
      </c>
      <c r="AA72" s="688">
        <f>IFERROR(VLOOKUP($A72,'[96]3月'!$A:$H,8,0),0)</f>
        <v>0</v>
      </c>
      <c r="AB72" s="688">
        <f>IFERROR(VLOOKUP($A72,'[96]4月'!$A:$H,8,0),0)</f>
        <v>0</v>
      </c>
      <c r="AC72" s="688">
        <f>IFERROR(VLOOKUP($A72,'[96]5月'!$A:$H,8,0),0)</f>
        <v>0</v>
      </c>
      <c r="AD72" s="688">
        <f>IFERROR(VLOOKUP($A72,'[96]6月'!$A:$H,8,0),0)</f>
        <v>0</v>
      </c>
      <c r="AE72" s="688">
        <f>IFERROR(VLOOKUP($A72,'[96]7月'!$A:$H,8,0),0)</f>
        <v>0</v>
      </c>
      <c r="AF72" s="688">
        <f>IFERROR(VLOOKUP($A72,'[96]8月'!$A:$H,8,0),0)</f>
        <v>0</v>
      </c>
      <c r="AG72" s="688">
        <f>IFERROR(VLOOKUP($A72,'[96]9月'!$A:$H,8,0),0)</f>
        <v>0</v>
      </c>
      <c r="AH72" s="688">
        <f>IFERROR(VLOOKUP($A72,'[96]10月'!$A:$H,8,0),0)</f>
        <v>0</v>
      </c>
      <c r="AI72" s="688">
        <f>IFERROR(VLOOKUP($A72,'[96]11月'!$A:$H,8,0),0)</f>
        <v>0</v>
      </c>
      <c r="AJ72" s="688">
        <f>IFERROR(VLOOKUP($A72,'[96]12月'!$A:$H,8,0),0)</f>
        <v>0</v>
      </c>
      <c r="AK72" s="688">
        <f t="shared" si="39"/>
        <v>0</v>
      </c>
    </row>
    <row r="73" spans="1:37" ht="11.1" customHeight="1">
      <c r="A73" s="653" t="str">
        <f>'Budget-合并'!A73</f>
        <v>6602.05.08</v>
      </c>
      <c r="B73" s="653" t="str">
        <f>'Budget-合并'!B73</f>
        <v>集团内分摊</v>
      </c>
      <c r="C73" s="687" t="str">
        <f>'Budget-合并'!C73</f>
        <v>Space Rel X Charge</v>
      </c>
      <c r="D73" s="676">
        <f t="shared" si="33"/>
        <v>0</v>
      </c>
      <c r="E73" s="676">
        <f t="shared" si="34"/>
        <v>0</v>
      </c>
      <c r="F73" s="676">
        <f t="shared" si="35"/>
        <v>0</v>
      </c>
      <c r="G73" s="676">
        <f t="shared" ca="1" si="36"/>
        <v>0</v>
      </c>
      <c r="H73" s="676">
        <f t="shared" ca="1" si="30"/>
        <v>0</v>
      </c>
      <c r="I73" s="676">
        <f t="shared" ca="1" si="37"/>
        <v>0</v>
      </c>
      <c r="K73" s="676"/>
      <c r="L73" s="676"/>
      <c r="M73" s="676"/>
      <c r="N73" s="676"/>
      <c r="O73" s="676"/>
      <c r="P73" s="676"/>
      <c r="Q73" s="676"/>
      <c r="R73" s="676"/>
      <c r="S73" s="676"/>
      <c r="T73" s="676"/>
      <c r="U73" s="676"/>
      <c r="V73" s="676"/>
      <c r="W73" s="676">
        <f t="shared" si="25"/>
        <v>0</v>
      </c>
      <c r="Y73" s="688">
        <f>IFERROR(VLOOKUP($A73,'[96]1月'!$A:$H,8,0),0)</f>
        <v>0</v>
      </c>
      <c r="Z73" s="688">
        <f>IFERROR(VLOOKUP($A73,'[96]2月'!$A:$H,8,0),0)</f>
        <v>0</v>
      </c>
      <c r="AA73" s="688">
        <f>IFERROR(VLOOKUP($A73,'[96]3月'!$A:$H,8,0),0)</f>
        <v>0</v>
      </c>
      <c r="AB73" s="688">
        <f>IFERROR(VLOOKUP($A73,'[96]4月'!$A:$H,8,0),0)</f>
        <v>0</v>
      </c>
      <c r="AC73" s="688">
        <f>IFERROR(VLOOKUP($A73,'[96]5月'!$A:$H,8,0),0)</f>
        <v>0</v>
      </c>
      <c r="AD73" s="688">
        <f>IFERROR(VLOOKUP($A73,'[96]6月'!$A:$H,8,0),0)</f>
        <v>0</v>
      </c>
      <c r="AE73" s="688">
        <f>IFERROR(VLOOKUP($A73,'[96]7月'!$A:$H,8,0),0)</f>
        <v>0</v>
      </c>
      <c r="AF73" s="688">
        <f>IFERROR(VLOOKUP($A73,'[96]8月'!$A:$H,8,0),0)</f>
        <v>0</v>
      </c>
      <c r="AG73" s="688">
        <f>IFERROR(VLOOKUP($A73,'[96]9月'!$A:$H,8,0),0)</f>
        <v>0</v>
      </c>
      <c r="AH73" s="688">
        <f>IFERROR(VLOOKUP($A73,'[96]10月'!$A:$H,8,0),0)</f>
        <v>0</v>
      </c>
      <c r="AI73" s="688">
        <f>IFERROR(VLOOKUP($A73,'[96]11月'!$A:$H,8,0),0)</f>
        <v>0</v>
      </c>
      <c r="AJ73" s="688">
        <f>IFERROR(VLOOKUP($A73,'[96]12月'!$A:$H,8,0),0)</f>
        <v>0</v>
      </c>
      <c r="AK73" s="688">
        <f t="shared" si="39"/>
        <v>0</v>
      </c>
    </row>
    <row r="74" spans="1:37" ht="11.1" customHeight="1">
      <c r="A74" s="653" t="str">
        <f>'Budget-合并'!A74</f>
        <v>6602.05.99</v>
      </c>
      <c r="B74" s="653" t="str">
        <f>'Budget-合并'!B74</f>
        <v>其他</v>
      </c>
      <c r="C74" s="687">
        <f>'Budget-合并'!C74</f>
        <v>0</v>
      </c>
      <c r="D74" s="676">
        <f t="shared" si="33"/>
        <v>0</v>
      </c>
      <c r="E74" s="676">
        <f t="shared" si="34"/>
        <v>0</v>
      </c>
      <c r="F74" s="676">
        <f t="shared" si="35"/>
        <v>0</v>
      </c>
      <c r="G74" s="676">
        <f t="shared" ca="1" si="36"/>
        <v>0</v>
      </c>
      <c r="H74" s="676">
        <f t="shared" ca="1" si="30"/>
        <v>0</v>
      </c>
      <c r="I74" s="676">
        <f t="shared" ca="1" si="37"/>
        <v>0</v>
      </c>
      <c r="K74" s="676"/>
      <c r="L74" s="676"/>
      <c r="M74" s="676"/>
      <c r="N74" s="676"/>
      <c r="O74" s="676"/>
      <c r="P74" s="676"/>
      <c r="Q74" s="676"/>
      <c r="R74" s="676"/>
      <c r="S74" s="676"/>
      <c r="T74" s="676"/>
      <c r="U74" s="676"/>
      <c r="V74" s="676"/>
      <c r="W74" s="676">
        <f t="shared" si="25"/>
        <v>0</v>
      </c>
      <c r="Y74" s="688">
        <f>IFERROR(VLOOKUP($A74,'[96]1月'!$A:$H,8,0),0)</f>
        <v>0</v>
      </c>
      <c r="Z74" s="688">
        <f>IFERROR(VLOOKUP($A74,'[96]2月'!$A:$H,8,0),0)</f>
        <v>0</v>
      </c>
      <c r="AA74" s="688">
        <f>IFERROR(VLOOKUP($A74,'[96]3月'!$A:$H,8,0),0)</f>
        <v>0</v>
      </c>
      <c r="AB74" s="688">
        <f>IFERROR(VLOOKUP($A74,'[96]4月'!$A:$H,8,0),0)</f>
        <v>0</v>
      </c>
      <c r="AC74" s="688">
        <f>IFERROR(VLOOKUP($A74,'[96]5月'!$A:$H,8,0),0)</f>
        <v>0</v>
      </c>
      <c r="AD74" s="688">
        <f>IFERROR(VLOOKUP($A74,'[96]6月'!$A:$H,8,0),0)</f>
        <v>0</v>
      </c>
      <c r="AE74" s="688">
        <f>IFERROR(VLOOKUP($A74,'[96]7月'!$A:$H,8,0),0)</f>
        <v>0</v>
      </c>
      <c r="AF74" s="688">
        <f>IFERROR(VLOOKUP($A74,'[96]8月'!$A:$H,8,0),0)</f>
        <v>0</v>
      </c>
      <c r="AG74" s="688">
        <f>IFERROR(VLOOKUP($A74,'[96]9月'!$A:$H,8,0),0)</f>
        <v>0</v>
      </c>
      <c r="AH74" s="688">
        <f>IFERROR(VLOOKUP($A74,'[96]10月'!$A:$H,8,0),0)</f>
        <v>0</v>
      </c>
      <c r="AI74" s="688">
        <f>IFERROR(VLOOKUP($A74,'[96]11月'!$A:$H,8,0),0)</f>
        <v>0</v>
      </c>
      <c r="AJ74" s="688">
        <f>IFERROR(VLOOKUP($A74,'[96]12月'!$A:$H,8,0),0)</f>
        <v>0</v>
      </c>
      <c r="AK74" s="688">
        <f t="shared" si="39"/>
        <v>0</v>
      </c>
    </row>
    <row r="75" spans="1:37" ht="11.1" customHeight="1">
      <c r="A75" s="663" t="str">
        <f>'Budget-合并'!A75</f>
        <v>6602.06</v>
      </c>
      <c r="B75" s="663" t="str">
        <f>'Budget-合并'!B75</f>
        <v>业务招待费</v>
      </c>
      <c r="C75" s="687" t="str">
        <f>'Budget-合并'!C75</f>
        <v>Client Entertainment</v>
      </c>
      <c r="D75" s="676">
        <f t="shared" si="33"/>
        <v>0</v>
      </c>
      <c r="E75" s="676">
        <f t="shared" si="34"/>
        <v>0</v>
      </c>
      <c r="F75" s="676">
        <f t="shared" si="35"/>
        <v>0</v>
      </c>
      <c r="G75" s="676">
        <f t="shared" ca="1" si="36"/>
        <v>0</v>
      </c>
      <c r="H75" s="676">
        <f t="shared" ca="1" si="30"/>
        <v>0</v>
      </c>
      <c r="I75" s="676">
        <f t="shared" ca="1" si="37"/>
        <v>0</v>
      </c>
      <c r="K75" s="676">
        <f t="shared" ref="K75:V75" si="43">SUM(K76:K78)</f>
        <v>0</v>
      </c>
      <c r="L75" s="676">
        <f t="shared" si="43"/>
        <v>0</v>
      </c>
      <c r="M75" s="676">
        <f t="shared" si="43"/>
        <v>0</v>
      </c>
      <c r="N75" s="676">
        <f t="shared" si="43"/>
        <v>0</v>
      </c>
      <c r="O75" s="676">
        <f t="shared" si="43"/>
        <v>0</v>
      </c>
      <c r="P75" s="676">
        <f t="shared" si="43"/>
        <v>0</v>
      </c>
      <c r="Q75" s="676">
        <f t="shared" si="43"/>
        <v>0</v>
      </c>
      <c r="R75" s="676">
        <f t="shared" si="43"/>
        <v>0</v>
      </c>
      <c r="S75" s="676">
        <f t="shared" si="43"/>
        <v>0</v>
      </c>
      <c r="T75" s="676">
        <f t="shared" si="43"/>
        <v>0</v>
      </c>
      <c r="U75" s="676">
        <f t="shared" si="43"/>
        <v>0</v>
      </c>
      <c r="V75" s="676">
        <f t="shared" si="43"/>
        <v>0</v>
      </c>
      <c r="W75" s="676">
        <f t="shared" si="25"/>
        <v>0</v>
      </c>
      <c r="Y75" s="688">
        <f>IFERROR(VLOOKUP($A75,'[96]1月'!$A:$H,8,0),0)</f>
        <v>0</v>
      </c>
      <c r="Z75" s="688">
        <f>IFERROR(VLOOKUP($A75,'[96]2月'!$A:$H,8,0),0)</f>
        <v>0</v>
      </c>
      <c r="AA75" s="688">
        <f>IFERROR(VLOOKUP($A75,'[96]3月'!$A:$H,8,0),0)</f>
        <v>0</v>
      </c>
      <c r="AB75" s="688">
        <f>IFERROR(VLOOKUP($A75,'[96]4月'!$A:$H,8,0),0)</f>
        <v>0</v>
      </c>
      <c r="AC75" s="688">
        <f>IFERROR(VLOOKUP($A75,'[96]5月'!$A:$H,8,0),0)</f>
        <v>0</v>
      </c>
      <c r="AD75" s="688">
        <f>IFERROR(VLOOKUP($A75,'[96]6月'!$A:$H,8,0),0)</f>
        <v>0</v>
      </c>
      <c r="AE75" s="688">
        <f>IFERROR(VLOOKUP($A75,'[96]7月'!$A:$H,8,0),0)</f>
        <v>0</v>
      </c>
      <c r="AF75" s="688">
        <f>IFERROR(VLOOKUP($A75,'[96]8月'!$A:$H,8,0),0)</f>
        <v>0</v>
      </c>
      <c r="AG75" s="688">
        <f>IFERROR(VLOOKUP($A75,'[96]9月'!$A:$H,8,0),0)</f>
        <v>0</v>
      </c>
      <c r="AH75" s="688">
        <f>IFERROR(VLOOKUP($A75,'[96]10月'!$A:$H,8,0),0)</f>
        <v>0</v>
      </c>
      <c r="AI75" s="688">
        <f>IFERROR(VLOOKUP($A75,'[96]11月'!$A:$H,8,0),0)</f>
        <v>0</v>
      </c>
      <c r="AJ75" s="688">
        <f>IFERROR(VLOOKUP($A75,'[96]12月'!$A:$H,8,0),0)</f>
        <v>0</v>
      </c>
      <c r="AK75" s="688">
        <f t="shared" si="39"/>
        <v>0</v>
      </c>
    </row>
    <row r="76" spans="1:37" ht="11.1" customHeight="1">
      <c r="A76" s="653">
        <f>'Budget-合并'!A76</f>
        <v>0</v>
      </c>
      <c r="B76" s="653" t="str">
        <f>'Budget-合并'!B76</f>
        <v xml:space="preserve">    公司主体02</v>
      </c>
      <c r="C76" s="687" t="str">
        <f>'Budget-合并'!C76</f>
        <v xml:space="preserve">   Entity</v>
      </c>
      <c r="D76" s="676">
        <f t="shared" si="33"/>
        <v>0</v>
      </c>
      <c r="E76" s="676">
        <f t="shared" si="34"/>
        <v>0</v>
      </c>
      <c r="F76" s="676">
        <f t="shared" si="35"/>
        <v>0</v>
      </c>
      <c r="G76" s="676">
        <f t="shared" ca="1" si="36"/>
        <v>0</v>
      </c>
      <c r="H76" s="676">
        <f t="shared" ca="1" si="30"/>
        <v>0</v>
      </c>
      <c r="I76" s="676">
        <f t="shared" ca="1" si="37"/>
        <v>0</v>
      </c>
      <c r="K76" s="676"/>
      <c r="L76" s="676"/>
      <c r="M76" s="676"/>
      <c r="N76" s="676"/>
      <c r="O76" s="676"/>
      <c r="P76" s="676"/>
      <c r="Q76" s="676"/>
      <c r="R76" s="676"/>
      <c r="S76" s="676"/>
      <c r="T76" s="676"/>
      <c r="U76" s="676"/>
      <c r="V76" s="676"/>
      <c r="W76" s="676">
        <f t="shared" si="25"/>
        <v>0</v>
      </c>
      <c r="Y76" s="688">
        <f>IFERROR(VLOOKUP($A76,'[96]1月'!$A:$H,8,0),0)</f>
        <v>0</v>
      </c>
      <c r="Z76" s="688">
        <f>IFERROR(VLOOKUP($A76,'[96]2月'!$A:$H,8,0),0)</f>
        <v>0</v>
      </c>
      <c r="AA76" s="688">
        <f>IFERROR(VLOOKUP($A76,'[96]3月'!$A:$H,8,0),0)</f>
        <v>0</v>
      </c>
      <c r="AB76" s="688">
        <f>IFERROR(VLOOKUP($A76,'[96]4月'!$A:$H,8,0),0)</f>
        <v>0</v>
      </c>
      <c r="AC76" s="688">
        <f>IFERROR(VLOOKUP($A76,'[96]5月'!$A:$H,8,0),0)</f>
        <v>0</v>
      </c>
      <c r="AD76" s="688">
        <f>IFERROR(VLOOKUP($A76,'[96]6月'!$A:$H,8,0),0)</f>
        <v>0</v>
      </c>
      <c r="AE76" s="688">
        <f>IFERROR(VLOOKUP($A76,'[96]7月'!$A:$H,8,0),0)</f>
        <v>0</v>
      </c>
      <c r="AF76" s="688">
        <f>IFERROR(VLOOKUP($A76,'[96]8月'!$A:$H,8,0),0)</f>
        <v>0</v>
      </c>
      <c r="AG76" s="688">
        <f>IFERROR(VLOOKUP($A76,'[96]9月'!$A:$H,8,0),0)</f>
        <v>0</v>
      </c>
      <c r="AH76" s="688">
        <f>IFERROR(VLOOKUP($A76,'[96]10月'!$A:$H,8,0),0)</f>
        <v>0</v>
      </c>
      <c r="AI76" s="688">
        <f>IFERROR(VLOOKUP($A76,'[96]11月'!$A:$H,8,0),0)</f>
        <v>0</v>
      </c>
      <c r="AJ76" s="688">
        <f>IFERROR(VLOOKUP($A76,'[96]12月'!$A:$H,8,0),0)</f>
        <v>0</v>
      </c>
      <c r="AK76" s="688">
        <f t="shared" si="39"/>
        <v>0</v>
      </c>
    </row>
    <row r="77" spans="1:37" ht="11.1" customHeight="1">
      <c r="A77" s="653">
        <f>'Budget-合并'!A77</f>
        <v>0</v>
      </c>
      <c r="B77" s="653" t="str">
        <f>'Budget-合并'!B77</f>
        <v xml:space="preserve">    旭智富能02</v>
      </c>
      <c r="C77" s="687" t="str">
        <f>'Budget-合并'!C77</f>
        <v xml:space="preserve">   Foxpower</v>
      </c>
      <c r="D77" s="676">
        <f t="shared" si="33"/>
        <v>0</v>
      </c>
      <c r="E77" s="676">
        <f t="shared" si="34"/>
        <v>0</v>
      </c>
      <c r="F77" s="676">
        <f t="shared" si="35"/>
        <v>0</v>
      </c>
      <c r="G77" s="676">
        <f t="shared" ca="1" si="36"/>
        <v>0</v>
      </c>
      <c r="H77" s="676">
        <f t="shared" ca="1" si="30"/>
        <v>0</v>
      </c>
      <c r="I77" s="676">
        <f t="shared" ca="1" si="37"/>
        <v>0</v>
      </c>
      <c r="K77" s="676"/>
      <c r="L77" s="676"/>
      <c r="M77" s="676"/>
      <c r="N77" s="676"/>
      <c r="O77" s="676"/>
      <c r="P77" s="676"/>
      <c r="Q77" s="676"/>
      <c r="R77" s="676"/>
      <c r="S77" s="676"/>
      <c r="T77" s="676"/>
      <c r="U77" s="676"/>
      <c r="V77" s="676"/>
      <c r="W77" s="676">
        <f t="shared" si="25"/>
        <v>0</v>
      </c>
      <c r="Y77" s="688">
        <f>IFERROR(VLOOKUP($A77,'[96]1月'!$A:$H,8,0),0)</f>
        <v>0</v>
      </c>
      <c r="Z77" s="688">
        <f>IFERROR(VLOOKUP($A77,'[96]2月'!$A:$H,8,0),0)</f>
        <v>0</v>
      </c>
      <c r="AA77" s="688">
        <f>IFERROR(VLOOKUP($A77,'[96]3月'!$A:$H,8,0),0)</f>
        <v>0</v>
      </c>
      <c r="AB77" s="688">
        <f>IFERROR(VLOOKUP($A77,'[96]4月'!$A:$H,8,0),0)</f>
        <v>0</v>
      </c>
      <c r="AC77" s="688">
        <f>IFERROR(VLOOKUP($A77,'[96]5月'!$A:$H,8,0),0)</f>
        <v>0</v>
      </c>
      <c r="AD77" s="688">
        <f>IFERROR(VLOOKUP($A77,'[96]6月'!$A:$H,8,0),0)</f>
        <v>0</v>
      </c>
      <c r="AE77" s="688">
        <f>IFERROR(VLOOKUP($A77,'[96]7月'!$A:$H,8,0),0)</f>
        <v>0</v>
      </c>
      <c r="AF77" s="688">
        <f>IFERROR(VLOOKUP($A77,'[96]8月'!$A:$H,8,0),0)</f>
        <v>0</v>
      </c>
      <c r="AG77" s="688">
        <f>IFERROR(VLOOKUP($A77,'[96]9月'!$A:$H,8,0),0)</f>
        <v>0</v>
      </c>
      <c r="AH77" s="688">
        <f>IFERROR(VLOOKUP($A77,'[96]10月'!$A:$H,8,0),0)</f>
        <v>0</v>
      </c>
      <c r="AI77" s="688">
        <f>IFERROR(VLOOKUP($A77,'[96]11月'!$A:$H,8,0),0)</f>
        <v>0</v>
      </c>
      <c r="AJ77" s="688">
        <f>IFERROR(VLOOKUP($A77,'[96]12月'!$A:$H,8,0),0)</f>
        <v>0</v>
      </c>
      <c r="AK77" s="688">
        <f t="shared" si="39"/>
        <v>0</v>
      </c>
    </row>
    <row r="78" spans="1:37" ht="11.1" customHeight="1">
      <c r="A78" s="653">
        <f>'Budget-合并'!A78</f>
        <v>0</v>
      </c>
      <c r="B78" s="653" t="str">
        <f>'Budget-合并'!B78</f>
        <v xml:space="preserve">    其他项目02</v>
      </c>
      <c r="C78" s="687" t="str">
        <f>'Budget-合并'!C78</f>
        <v xml:space="preserve">   Other project</v>
      </c>
      <c r="D78" s="676">
        <f t="shared" si="33"/>
        <v>0</v>
      </c>
      <c r="E78" s="676">
        <f t="shared" si="34"/>
        <v>0</v>
      </c>
      <c r="F78" s="676">
        <f t="shared" si="35"/>
        <v>0</v>
      </c>
      <c r="G78" s="676">
        <f t="shared" ca="1" si="36"/>
        <v>0</v>
      </c>
      <c r="H78" s="676">
        <f t="shared" ca="1" si="30"/>
        <v>0</v>
      </c>
      <c r="I78" s="676">
        <f t="shared" ca="1" si="37"/>
        <v>0</v>
      </c>
      <c r="K78" s="676"/>
      <c r="L78" s="676"/>
      <c r="M78" s="676"/>
      <c r="N78" s="676"/>
      <c r="O78" s="676"/>
      <c r="P78" s="676"/>
      <c r="Q78" s="676"/>
      <c r="R78" s="676"/>
      <c r="S78" s="676"/>
      <c r="T78" s="676"/>
      <c r="U78" s="676"/>
      <c r="V78" s="676"/>
      <c r="W78" s="676">
        <f t="shared" si="25"/>
        <v>0</v>
      </c>
      <c r="Y78" s="688">
        <f>IFERROR(VLOOKUP($A78,'[96]1月'!$A:$H,8,0),0)</f>
        <v>0</v>
      </c>
      <c r="Z78" s="688">
        <f>IFERROR(VLOOKUP($A78,'[96]2月'!$A:$H,8,0),0)</f>
        <v>0</v>
      </c>
      <c r="AA78" s="688">
        <f>IFERROR(VLOOKUP($A78,'[96]3月'!$A:$H,8,0),0)</f>
        <v>0</v>
      </c>
      <c r="AB78" s="688">
        <f>IFERROR(VLOOKUP($A78,'[96]4月'!$A:$H,8,0),0)</f>
        <v>0</v>
      </c>
      <c r="AC78" s="688">
        <f>IFERROR(VLOOKUP($A78,'[96]5月'!$A:$H,8,0),0)</f>
        <v>0</v>
      </c>
      <c r="AD78" s="688">
        <f>IFERROR(VLOOKUP($A78,'[96]6月'!$A:$H,8,0),0)</f>
        <v>0</v>
      </c>
      <c r="AE78" s="688">
        <f>IFERROR(VLOOKUP($A78,'[96]7月'!$A:$H,8,0),0)</f>
        <v>0</v>
      </c>
      <c r="AF78" s="688">
        <f>IFERROR(VLOOKUP($A78,'[96]8月'!$A:$H,8,0),0)</f>
        <v>0</v>
      </c>
      <c r="AG78" s="688">
        <f>IFERROR(VLOOKUP($A78,'[96]9月'!$A:$H,8,0),0)</f>
        <v>0</v>
      </c>
      <c r="AH78" s="688">
        <f>IFERROR(VLOOKUP($A78,'[96]10月'!$A:$H,8,0),0)</f>
        <v>0</v>
      </c>
      <c r="AI78" s="688">
        <f>IFERROR(VLOOKUP($A78,'[96]11月'!$A:$H,8,0),0)</f>
        <v>0</v>
      </c>
      <c r="AJ78" s="688">
        <f>IFERROR(VLOOKUP($A78,'[96]12月'!$A:$H,8,0),0)</f>
        <v>0</v>
      </c>
      <c r="AK78" s="688">
        <f t="shared" si="39"/>
        <v>0</v>
      </c>
    </row>
    <row r="79" spans="1:37" ht="11.1" customHeight="1">
      <c r="A79" s="653" t="str">
        <f>'Budget-合并'!A79</f>
        <v>6602.07</v>
      </c>
      <c r="B79" s="653" t="str">
        <f>'Budget-合并'!B79</f>
        <v>广告费和业务宣传费</v>
      </c>
      <c r="C79" s="687">
        <f>'Budget-合并'!C79</f>
        <v>0</v>
      </c>
      <c r="D79" s="676">
        <f t="shared" si="33"/>
        <v>0</v>
      </c>
      <c r="E79" s="676">
        <f t="shared" si="34"/>
        <v>0</v>
      </c>
      <c r="F79" s="676">
        <f t="shared" si="35"/>
        <v>0</v>
      </c>
      <c r="G79" s="676">
        <f t="shared" ca="1" si="36"/>
        <v>0</v>
      </c>
      <c r="H79" s="676">
        <f t="shared" ca="1" si="30"/>
        <v>0</v>
      </c>
      <c r="I79" s="676">
        <f t="shared" ca="1" si="37"/>
        <v>0</v>
      </c>
      <c r="K79" s="676"/>
      <c r="L79" s="676"/>
      <c r="M79" s="676"/>
      <c r="N79" s="676"/>
      <c r="O79" s="676"/>
      <c r="P79" s="676"/>
      <c r="Q79" s="676"/>
      <c r="R79" s="676"/>
      <c r="S79" s="676"/>
      <c r="T79" s="676"/>
      <c r="U79" s="676"/>
      <c r="V79" s="676"/>
      <c r="W79" s="676">
        <f t="shared" si="25"/>
        <v>0</v>
      </c>
      <c r="Y79" s="688">
        <f>IFERROR(VLOOKUP($A79,'[96]1月'!$A:$H,8,0),0)</f>
        <v>0</v>
      </c>
      <c r="Z79" s="688">
        <f>IFERROR(VLOOKUP($A79,'[96]2月'!$A:$H,8,0),0)</f>
        <v>0</v>
      </c>
      <c r="AA79" s="688">
        <f>IFERROR(VLOOKUP($A79,'[96]3月'!$A:$H,8,0),0)</f>
        <v>0</v>
      </c>
      <c r="AB79" s="688">
        <f>IFERROR(VLOOKUP($A79,'[96]4月'!$A:$H,8,0),0)</f>
        <v>0</v>
      </c>
      <c r="AC79" s="688">
        <f>IFERROR(VLOOKUP($A79,'[96]5月'!$A:$H,8,0),0)</f>
        <v>0</v>
      </c>
      <c r="AD79" s="688">
        <f>IFERROR(VLOOKUP($A79,'[96]6月'!$A:$H,8,0),0)</f>
        <v>0</v>
      </c>
      <c r="AE79" s="688">
        <f>IFERROR(VLOOKUP($A79,'[96]7月'!$A:$H,8,0),0)</f>
        <v>0</v>
      </c>
      <c r="AF79" s="688">
        <f>IFERROR(VLOOKUP($A79,'[96]8月'!$A:$H,8,0),0)</f>
        <v>0</v>
      </c>
      <c r="AG79" s="688">
        <f>IFERROR(VLOOKUP($A79,'[96]9月'!$A:$H,8,0),0)</f>
        <v>0</v>
      </c>
      <c r="AH79" s="688">
        <f>IFERROR(VLOOKUP($A79,'[96]10月'!$A:$H,8,0),0)</f>
        <v>0</v>
      </c>
      <c r="AI79" s="688">
        <f>IFERROR(VLOOKUP($A79,'[96]11月'!$A:$H,8,0),0)</f>
        <v>0</v>
      </c>
      <c r="AJ79" s="688">
        <f>IFERROR(VLOOKUP($A79,'[96]12月'!$A:$H,8,0),0)</f>
        <v>0</v>
      </c>
      <c r="AK79" s="688">
        <f t="shared" si="39"/>
        <v>0</v>
      </c>
    </row>
    <row r="80" spans="1:37" ht="11.1" customHeight="1">
      <c r="A80" s="663" t="str">
        <f>'Budget-合并'!A80</f>
        <v>6602.08</v>
      </c>
      <c r="B80" s="663" t="str">
        <f>'Budget-合并'!B80</f>
        <v>事务费用</v>
      </c>
      <c r="C80" s="687">
        <f>'Budget-合并'!C80</f>
        <v>0</v>
      </c>
      <c r="D80" s="676">
        <f t="shared" si="33"/>
        <v>0</v>
      </c>
      <c r="E80" s="676">
        <f t="shared" si="34"/>
        <v>0</v>
      </c>
      <c r="F80" s="676">
        <f t="shared" si="35"/>
        <v>0</v>
      </c>
      <c r="G80" s="676">
        <f t="shared" ca="1" si="36"/>
        <v>0</v>
      </c>
      <c r="H80" s="676">
        <f t="shared" ca="1" si="30"/>
        <v>0</v>
      </c>
      <c r="I80" s="676">
        <f t="shared" ca="1" si="37"/>
        <v>0</v>
      </c>
      <c r="K80" s="676">
        <f t="shared" ref="K80:V80" si="44">SUM(K81:K91)</f>
        <v>0</v>
      </c>
      <c r="L80" s="676">
        <f t="shared" si="44"/>
        <v>0</v>
      </c>
      <c r="M80" s="676">
        <f t="shared" si="44"/>
        <v>0</v>
      </c>
      <c r="N80" s="676">
        <f t="shared" si="44"/>
        <v>0</v>
      </c>
      <c r="O80" s="676">
        <f t="shared" si="44"/>
        <v>0</v>
      </c>
      <c r="P80" s="676">
        <f t="shared" si="44"/>
        <v>0</v>
      </c>
      <c r="Q80" s="676">
        <f t="shared" si="44"/>
        <v>0</v>
      </c>
      <c r="R80" s="676">
        <f t="shared" si="44"/>
        <v>0</v>
      </c>
      <c r="S80" s="676">
        <f t="shared" si="44"/>
        <v>0</v>
      </c>
      <c r="T80" s="676">
        <f t="shared" si="44"/>
        <v>0</v>
      </c>
      <c r="U80" s="676">
        <f t="shared" si="44"/>
        <v>0</v>
      </c>
      <c r="V80" s="676">
        <f t="shared" si="44"/>
        <v>0</v>
      </c>
      <c r="W80" s="676">
        <f t="shared" si="25"/>
        <v>0</v>
      </c>
      <c r="Y80" s="688">
        <f>IFERROR(VLOOKUP($A80,'[96]1月'!$A:$H,8,0),0)</f>
        <v>0</v>
      </c>
      <c r="Z80" s="688">
        <f>IFERROR(VLOOKUP($A80,'[96]2月'!$A:$H,8,0),0)</f>
        <v>0</v>
      </c>
      <c r="AA80" s="688">
        <f>IFERROR(VLOOKUP($A80,'[96]3月'!$A:$H,8,0),0)</f>
        <v>0</v>
      </c>
      <c r="AB80" s="688">
        <f>IFERROR(VLOOKUP($A80,'[96]4月'!$A:$H,8,0),0)</f>
        <v>0</v>
      </c>
      <c r="AC80" s="688">
        <f>IFERROR(VLOOKUP($A80,'[96]5月'!$A:$H,8,0),0)</f>
        <v>0</v>
      </c>
      <c r="AD80" s="688">
        <f>IFERROR(VLOOKUP($A80,'[96]6月'!$A:$H,8,0),0)</f>
        <v>0</v>
      </c>
      <c r="AE80" s="688">
        <f>IFERROR(VLOOKUP($A80,'[96]7月'!$A:$H,8,0),0)</f>
        <v>0</v>
      </c>
      <c r="AF80" s="688">
        <f>IFERROR(VLOOKUP($A80,'[96]8月'!$A:$H,8,0),0)</f>
        <v>0</v>
      </c>
      <c r="AG80" s="688">
        <f>IFERROR(VLOOKUP($A80,'[96]9月'!$A:$H,8,0),0)</f>
        <v>0</v>
      </c>
      <c r="AH80" s="688">
        <f>IFERROR(VLOOKUP($A80,'[96]10月'!$A:$H,8,0),0)</f>
        <v>0</v>
      </c>
      <c r="AI80" s="688">
        <f>IFERROR(VLOOKUP($A80,'[96]11月'!$A:$H,8,0),0)</f>
        <v>0</v>
      </c>
      <c r="AJ80" s="688">
        <f>IFERROR(VLOOKUP($A80,'[96]12月'!$A:$H,8,0),0)</f>
        <v>0</v>
      </c>
      <c r="AK80" s="688">
        <f t="shared" si="39"/>
        <v>0</v>
      </c>
    </row>
    <row r="81" spans="1:37" ht="11.1" customHeight="1">
      <c r="A81" s="653" t="str">
        <f>'Budget-合并'!A81</f>
        <v>6602.08.01</v>
      </c>
      <c r="B81" s="653" t="str">
        <f>'Budget-合并'!B81</f>
        <v>通信费</v>
      </c>
      <c r="C81" s="687" t="str">
        <f>'Budget-合并'!C81</f>
        <v>Telephone Monthly/Base Charge</v>
      </c>
      <c r="D81" s="676">
        <f t="shared" si="33"/>
        <v>0</v>
      </c>
      <c r="E81" s="676">
        <f t="shared" si="34"/>
        <v>0</v>
      </c>
      <c r="F81" s="676">
        <f t="shared" si="35"/>
        <v>0</v>
      </c>
      <c r="G81" s="676">
        <f t="shared" ca="1" si="36"/>
        <v>0</v>
      </c>
      <c r="H81" s="676">
        <f t="shared" ca="1" si="30"/>
        <v>0</v>
      </c>
      <c r="I81" s="676">
        <f t="shared" ca="1" si="37"/>
        <v>0</v>
      </c>
      <c r="K81" s="676"/>
      <c r="L81" s="676"/>
      <c r="M81" s="676"/>
      <c r="N81" s="676"/>
      <c r="O81" s="676"/>
      <c r="P81" s="676"/>
      <c r="Q81" s="676"/>
      <c r="R81" s="676"/>
      <c r="S81" s="676"/>
      <c r="T81" s="676"/>
      <c r="U81" s="676"/>
      <c r="V81" s="676"/>
      <c r="W81" s="676">
        <f t="shared" si="25"/>
        <v>0</v>
      </c>
      <c r="Y81" s="688">
        <f>IFERROR(VLOOKUP($A81,'[96]1月'!$A:$H,8,0),0)</f>
        <v>0</v>
      </c>
      <c r="Z81" s="688">
        <f>IFERROR(VLOOKUP($A81,'[96]2月'!$A:$H,8,0),0)</f>
        <v>0</v>
      </c>
      <c r="AA81" s="688">
        <f>IFERROR(VLOOKUP($A81,'[96]3月'!$A:$H,8,0),0)</f>
        <v>0</v>
      </c>
      <c r="AB81" s="688">
        <f>IFERROR(VLOOKUP($A81,'[96]4月'!$A:$H,8,0),0)</f>
        <v>0</v>
      </c>
      <c r="AC81" s="688">
        <f>IFERROR(VLOOKUP($A81,'[96]5月'!$A:$H,8,0),0)</f>
        <v>0</v>
      </c>
      <c r="AD81" s="688">
        <f>IFERROR(VLOOKUP($A81,'[96]6月'!$A:$H,8,0),0)</f>
        <v>0</v>
      </c>
      <c r="AE81" s="688">
        <f>IFERROR(VLOOKUP($A81,'[96]7月'!$A:$H,8,0),0)</f>
        <v>0</v>
      </c>
      <c r="AF81" s="688">
        <f>IFERROR(VLOOKUP($A81,'[96]8月'!$A:$H,8,0),0)</f>
        <v>0</v>
      </c>
      <c r="AG81" s="688">
        <f>IFERROR(VLOOKUP($A81,'[96]9月'!$A:$H,8,0),0)</f>
        <v>0</v>
      </c>
      <c r="AH81" s="688">
        <f>IFERROR(VLOOKUP($A81,'[96]10月'!$A:$H,8,0),0)</f>
        <v>0</v>
      </c>
      <c r="AI81" s="688">
        <f>IFERROR(VLOOKUP($A81,'[96]11月'!$A:$H,8,0),0)</f>
        <v>0</v>
      </c>
      <c r="AJ81" s="688">
        <f>IFERROR(VLOOKUP($A81,'[96]12月'!$A:$H,8,0),0)</f>
        <v>0</v>
      </c>
      <c r="AK81" s="688">
        <f t="shared" si="39"/>
        <v>0</v>
      </c>
    </row>
    <row r="82" spans="1:37" ht="11.1" customHeight="1">
      <c r="A82" s="653" t="str">
        <f>'Budget-合并'!A82</f>
        <v>6602.08.02</v>
      </c>
      <c r="B82" s="653" t="str">
        <f>'Budget-合并'!B82</f>
        <v>电脑软件费</v>
      </c>
      <c r="C82" s="687" t="str">
        <f>'Budget-合并'!C82</f>
        <v xml:space="preserve">PC Software </v>
      </c>
      <c r="D82" s="676">
        <f t="shared" si="33"/>
        <v>0</v>
      </c>
      <c r="E82" s="676">
        <f t="shared" si="34"/>
        <v>0</v>
      </c>
      <c r="F82" s="676">
        <f t="shared" si="35"/>
        <v>0</v>
      </c>
      <c r="G82" s="676">
        <f t="shared" ca="1" si="36"/>
        <v>0</v>
      </c>
      <c r="H82" s="676">
        <f t="shared" ca="1" si="30"/>
        <v>0</v>
      </c>
      <c r="I82" s="676">
        <f t="shared" ca="1" si="37"/>
        <v>0</v>
      </c>
      <c r="K82" s="676"/>
      <c r="L82" s="676"/>
      <c r="M82" s="676"/>
      <c r="N82" s="676"/>
      <c r="O82" s="676"/>
      <c r="P82" s="676"/>
      <c r="Q82" s="676"/>
      <c r="R82" s="676"/>
      <c r="S82" s="676"/>
      <c r="T82" s="676"/>
      <c r="U82" s="676"/>
      <c r="V82" s="676"/>
      <c r="W82" s="676">
        <f t="shared" si="25"/>
        <v>0</v>
      </c>
      <c r="Y82" s="688">
        <f>IFERROR(VLOOKUP($A82,'[96]1月'!$A:$H,8,0),0)</f>
        <v>0</v>
      </c>
      <c r="Z82" s="688">
        <f>IFERROR(VLOOKUP($A82,'[96]2月'!$A:$H,8,0),0)</f>
        <v>0</v>
      </c>
      <c r="AA82" s="688">
        <f>IFERROR(VLOOKUP($A82,'[96]3月'!$A:$H,8,0),0)</f>
        <v>0</v>
      </c>
      <c r="AB82" s="688">
        <f>IFERROR(VLOOKUP($A82,'[96]4月'!$A:$H,8,0),0)</f>
        <v>0</v>
      </c>
      <c r="AC82" s="688">
        <f>IFERROR(VLOOKUP($A82,'[96]5月'!$A:$H,8,0),0)</f>
        <v>0</v>
      </c>
      <c r="AD82" s="688">
        <f>IFERROR(VLOOKUP($A82,'[96]6月'!$A:$H,8,0),0)</f>
        <v>0</v>
      </c>
      <c r="AE82" s="688">
        <f>IFERROR(VLOOKUP($A82,'[96]7月'!$A:$H,8,0),0)</f>
        <v>0</v>
      </c>
      <c r="AF82" s="688">
        <f>IFERROR(VLOOKUP($A82,'[96]8月'!$A:$H,8,0),0)</f>
        <v>0</v>
      </c>
      <c r="AG82" s="688">
        <f>IFERROR(VLOOKUP($A82,'[96]9月'!$A:$H,8,0),0)</f>
        <v>0</v>
      </c>
      <c r="AH82" s="688">
        <f>IFERROR(VLOOKUP($A82,'[96]10月'!$A:$H,8,0),0)</f>
        <v>0</v>
      </c>
      <c r="AI82" s="688">
        <f>IFERROR(VLOOKUP($A82,'[96]11月'!$A:$H,8,0),0)</f>
        <v>0</v>
      </c>
      <c r="AJ82" s="688">
        <f>IFERROR(VLOOKUP($A82,'[96]12月'!$A:$H,8,0),0)</f>
        <v>0</v>
      </c>
      <c r="AK82" s="688">
        <f t="shared" si="39"/>
        <v>0</v>
      </c>
    </row>
    <row r="83" spans="1:37" ht="12.95" customHeight="1">
      <c r="A83" s="653" t="str">
        <f>'Budget-合并'!A83</f>
        <v>6602.08.03</v>
      </c>
      <c r="B83" s="653" t="str">
        <f>'Budget-合并'!B83</f>
        <v>办公用品</v>
      </c>
      <c r="C83" s="687" t="str">
        <f>'Budget-合并'!C83</f>
        <v xml:space="preserve">Office Supplies </v>
      </c>
      <c r="D83" s="676">
        <f t="shared" si="33"/>
        <v>0</v>
      </c>
      <c r="E83" s="676">
        <f t="shared" si="34"/>
        <v>0</v>
      </c>
      <c r="F83" s="676">
        <f t="shared" si="35"/>
        <v>0</v>
      </c>
      <c r="G83" s="676">
        <f t="shared" ca="1" si="36"/>
        <v>0</v>
      </c>
      <c r="H83" s="676">
        <f t="shared" ca="1" si="30"/>
        <v>0</v>
      </c>
      <c r="I83" s="676">
        <f t="shared" ca="1" si="37"/>
        <v>0</v>
      </c>
      <c r="K83" s="676">
        <f>SUMIFS('Other Exp'!AG$3:AG$196,'Other Exp'!$B$3:$B$196,$D$1,'Other Exp'!$C$3:$C$196,$A83)</f>
        <v>0</v>
      </c>
      <c r="L83" s="676">
        <f>SUMIFS('Other Exp'!AH$3:AH$196,'Other Exp'!$B$3:$B$196,$D$1,'Other Exp'!$C$3:$C$196,$A83)</f>
        <v>0</v>
      </c>
      <c r="M83" s="676">
        <f>SUMIFS('Other Exp'!AI$3:AI$196,'Other Exp'!$B$3:$B$196,$D$1,'Other Exp'!$C$3:$C$196,$A83)</f>
        <v>0</v>
      </c>
      <c r="N83" s="676">
        <f>SUMIFS('Other Exp'!AJ$3:AJ$196,'Other Exp'!$B$3:$B$196,$D$1,'Other Exp'!$C$3:$C$196,$A83)</f>
        <v>0</v>
      </c>
      <c r="O83" s="676">
        <f>SUMIFS('Other Exp'!AK$3:AK$196,'Other Exp'!$B$3:$B$196,$D$1,'Other Exp'!$C$3:$C$196,$A83)</f>
        <v>0</v>
      </c>
      <c r="P83" s="676">
        <f>SUMIFS('Other Exp'!AL$3:AL$196,'Other Exp'!$B$3:$B$196,$D$1,'Other Exp'!$C$3:$C$196,$A83)</f>
        <v>0</v>
      </c>
      <c r="Q83" s="676">
        <f>SUMIFS('Other Exp'!AM$3:AM$196,'Other Exp'!$B$3:$B$196,$D$1,'Other Exp'!$C$3:$C$196,$A83)</f>
        <v>0</v>
      </c>
      <c r="R83" s="676">
        <f>SUMIFS('Other Exp'!AN$3:AN$196,'Other Exp'!$B$3:$B$196,$D$1,'Other Exp'!$C$3:$C$196,$A83)</f>
        <v>0</v>
      </c>
      <c r="S83" s="676">
        <f>SUMIFS('Other Exp'!AO$3:AO$196,'Other Exp'!$B$3:$B$196,$D$1,'Other Exp'!$C$3:$C$196,$A83)</f>
        <v>0</v>
      </c>
      <c r="T83" s="676">
        <f>SUMIFS('Other Exp'!AP$3:AP$196,'Other Exp'!$B$3:$B$196,$D$1,'Other Exp'!$C$3:$C$196,$A83)</f>
        <v>0</v>
      </c>
      <c r="U83" s="676">
        <f>SUMIFS('Other Exp'!AQ$3:AQ$196,'Other Exp'!$B$3:$B$196,$D$1,'Other Exp'!$C$3:$C$196,$A83)</f>
        <v>0</v>
      </c>
      <c r="V83" s="676">
        <f>SUMIFS('Other Exp'!AR$3:AR$196,'Other Exp'!$B$3:$B$196,$D$1,'Other Exp'!$C$3:$C$196,$A83)</f>
        <v>0</v>
      </c>
      <c r="W83" s="676">
        <f t="shared" si="25"/>
        <v>0</v>
      </c>
      <c r="Y83" s="688">
        <f>IFERROR(VLOOKUP($A83,'[96]1月'!$A:$H,8,0),0)</f>
        <v>0</v>
      </c>
      <c r="Z83" s="688">
        <f>IFERROR(VLOOKUP($A83,'[96]2月'!$A:$H,8,0),0)</f>
        <v>0</v>
      </c>
      <c r="AA83" s="688">
        <f>IFERROR(VLOOKUP($A83,'[96]3月'!$A:$H,8,0),0)</f>
        <v>0</v>
      </c>
      <c r="AB83" s="688">
        <f>IFERROR(VLOOKUP($A83,'[96]4月'!$A:$H,8,0),0)</f>
        <v>0</v>
      </c>
      <c r="AC83" s="688">
        <f>IFERROR(VLOOKUP($A83,'[96]5月'!$A:$H,8,0),0)</f>
        <v>0</v>
      </c>
      <c r="AD83" s="688">
        <f>IFERROR(VLOOKUP($A83,'[96]6月'!$A:$H,8,0),0)</f>
        <v>0</v>
      </c>
      <c r="AE83" s="688">
        <f>IFERROR(VLOOKUP($A83,'[96]7月'!$A:$H,8,0),0)</f>
        <v>0</v>
      </c>
      <c r="AF83" s="688">
        <f>IFERROR(VLOOKUP($A83,'[96]8月'!$A:$H,8,0),0)</f>
        <v>0</v>
      </c>
      <c r="AG83" s="688">
        <f>IFERROR(VLOOKUP($A83,'[96]9月'!$A:$H,8,0),0)</f>
        <v>0</v>
      </c>
      <c r="AH83" s="688">
        <f>IFERROR(VLOOKUP($A83,'[96]10月'!$A:$H,8,0),0)</f>
        <v>0</v>
      </c>
      <c r="AI83" s="688">
        <f>IFERROR(VLOOKUP($A83,'[96]11月'!$A:$H,8,0),0)</f>
        <v>0</v>
      </c>
      <c r="AJ83" s="688">
        <f>IFERROR(VLOOKUP($A83,'[96]12月'!$A:$H,8,0),0)</f>
        <v>0</v>
      </c>
      <c r="AK83" s="688">
        <f t="shared" si="39"/>
        <v>0</v>
      </c>
    </row>
    <row r="84" spans="1:37" ht="11.1" customHeight="1">
      <c r="A84" s="653" t="str">
        <f>'Budget-合并'!A84</f>
        <v>6602.08.04</v>
      </c>
      <c r="B84" s="653" t="str">
        <f>'Budget-合并'!B84</f>
        <v>事务保金</v>
      </c>
      <c r="C84" s="687" t="str">
        <f>'Budget-合并'!C84</f>
        <v>Other Insurance</v>
      </c>
      <c r="D84" s="676">
        <f t="shared" si="33"/>
        <v>0</v>
      </c>
      <c r="E84" s="676">
        <f t="shared" si="34"/>
        <v>0</v>
      </c>
      <c r="F84" s="676">
        <f t="shared" si="35"/>
        <v>0</v>
      </c>
      <c r="G84" s="676">
        <f t="shared" ca="1" si="36"/>
        <v>0</v>
      </c>
      <c r="H84" s="676">
        <f t="shared" ca="1" si="30"/>
        <v>0</v>
      </c>
      <c r="I84" s="676">
        <f t="shared" ca="1" si="37"/>
        <v>0</v>
      </c>
      <c r="K84" s="676">
        <f>SUMIFS('Other Exp'!AG$3:AG$196,'Other Exp'!$B$3:$B$196,$D$1,'Other Exp'!$C$3:$C$196,$A84)</f>
        <v>0</v>
      </c>
      <c r="L84" s="676">
        <f>SUMIFS('Other Exp'!AH$3:AH$196,'Other Exp'!$B$3:$B$196,$D$1,'Other Exp'!$C$3:$C$196,$A84)</f>
        <v>0</v>
      </c>
      <c r="M84" s="676">
        <f>SUMIFS('Other Exp'!AI$3:AI$196,'Other Exp'!$B$3:$B$196,$D$1,'Other Exp'!$C$3:$C$196,$A84)</f>
        <v>0</v>
      </c>
      <c r="N84" s="676">
        <f>SUMIFS('Other Exp'!AJ$3:AJ$196,'Other Exp'!$B$3:$B$196,$D$1,'Other Exp'!$C$3:$C$196,$A84)</f>
        <v>0</v>
      </c>
      <c r="O84" s="676">
        <f>SUMIFS('Other Exp'!AK$3:AK$196,'Other Exp'!$B$3:$B$196,$D$1,'Other Exp'!$C$3:$C$196,$A84)</f>
        <v>0</v>
      </c>
      <c r="P84" s="676">
        <f>SUMIFS('Other Exp'!AL$3:AL$196,'Other Exp'!$B$3:$B$196,$D$1,'Other Exp'!$C$3:$C$196,$A84)</f>
        <v>0</v>
      </c>
      <c r="Q84" s="676">
        <f>SUMIFS('Other Exp'!AM$3:AM$196,'Other Exp'!$B$3:$B$196,$D$1,'Other Exp'!$C$3:$C$196,$A84)</f>
        <v>0</v>
      </c>
      <c r="R84" s="676">
        <f>SUMIFS('Other Exp'!AN$3:AN$196,'Other Exp'!$B$3:$B$196,$D$1,'Other Exp'!$C$3:$C$196,$A84)</f>
        <v>0</v>
      </c>
      <c r="S84" s="676">
        <f>SUMIFS('Other Exp'!AO$3:AO$196,'Other Exp'!$B$3:$B$196,$D$1,'Other Exp'!$C$3:$C$196,$A84)</f>
        <v>0</v>
      </c>
      <c r="T84" s="676">
        <f>SUMIFS('Other Exp'!AP$3:AP$196,'Other Exp'!$B$3:$B$196,$D$1,'Other Exp'!$C$3:$C$196,$A84)</f>
        <v>0</v>
      </c>
      <c r="U84" s="676">
        <f>SUMIFS('Other Exp'!AQ$3:AQ$196,'Other Exp'!$B$3:$B$196,$D$1,'Other Exp'!$C$3:$C$196,$A84)</f>
        <v>0</v>
      </c>
      <c r="V84" s="676">
        <f>SUMIFS('Other Exp'!AR$3:AR$196,'Other Exp'!$B$3:$B$196,$D$1,'Other Exp'!$C$3:$C$196,$A84)</f>
        <v>0</v>
      </c>
      <c r="W84" s="676">
        <f t="shared" si="25"/>
        <v>0</v>
      </c>
      <c r="Y84" s="688">
        <f>IFERROR(VLOOKUP($A84,'[96]1月'!$A:$H,8,0),0)</f>
        <v>0</v>
      </c>
      <c r="Z84" s="688">
        <f>IFERROR(VLOOKUP($A84,'[96]2月'!$A:$H,8,0),0)</f>
        <v>0</v>
      </c>
      <c r="AA84" s="688">
        <f>IFERROR(VLOOKUP($A84,'[96]3月'!$A:$H,8,0),0)</f>
        <v>0</v>
      </c>
      <c r="AB84" s="688">
        <f>IFERROR(VLOOKUP($A84,'[96]4月'!$A:$H,8,0),0)</f>
        <v>0</v>
      </c>
      <c r="AC84" s="688">
        <f>IFERROR(VLOOKUP($A84,'[96]5月'!$A:$H,8,0),0)</f>
        <v>0</v>
      </c>
      <c r="AD84" s="688">
        <f>IFERROR(VLOOKUP($A84,'[96]6月'!$A:$H,8,0),0)</f>
        <v>0</v>
      </c>
      <c r="AE84" s="688">
        <f>IFERROR(VLOOKUP($A84,'[96]7月'!$A:$H,8,0),0)</f>
        <v>0</v>
      </c>
      <c r="AF84" s="688">
        <f>IFERROR(VLOOKUP($A84,'[96]8月'!$A:$H,8,0),0)</f>
        <v>0</v>
      </c>
      <c r="AG84" s="688">
        <f>IFERROR(VLOOKUP($A84,'[96]9月'!$A:$H,8,0),0)</f>
        <v>0</v>
      </c>
      <c r="AH84" s="688">
        <f>IFERROR(VLOOKUP($A84,'[96]10月'!$A:$H,8,0),0)</f>
        <v>0</v>
      </c>
      <c r="AI84" s="688">
        <f>IFERROR(VLOOKUP($A84,'[96]11月'!$A:$H,8,0),0)</f>
        <v>0</v>
      </c>
      <c r="AJ84" s="688">
        <f>IFERROR(VLOOKUP($A84,'[96]12月'!$A:$H,8,0),0)</f>
        <v>0</v>
      </c>
      <c r="AK84" s="688">
        <f t="shared" si="39"/>
        <v>0</v>
      </c>
    </row>
    <row r="85" spans="1:37" ht="11.1" customHeight="1">
      <c r="A85" s="653" t="str">
        <f>'Budget-合并'!A85</f>
        <v>6602.08.05</v>
      </c>
      <c r="B85" s="653" t="str">
        <f>'Budget-合并'!B85</f>
        <v>邮费/邮递费</v>
      </c>
      <c r="C85" s="687" t="str">
        <f>'Budget-合并'!C85</f>
        <v>Postage / Freight / Delivery</v>
      </c>
      <c r="D85" s="676">
        <f t="shared" si="33"/>
        <v>0</v>
      </c>
      <c r="E85" s="676">
        <f t="shared" si="34"/>
        <v>0</v>
      </c>
      <c r="F85" s="676">
        <f t="shared" si="35"/>
        <v>0</v>
      </c>
      <c r="G85" s="676">
        <f t="shared" ca="1" si="36"/>
        <v>0</v>
      </c>
      <c r="H85" s="676">
        <f t="shared" ca="1" si="30"/>
        <v>0</v>
      </c>
      <c r="I85" s="676">
        <f t="shared" ca="1" si="37"/>
        <v>0</v>
      </c>
      <c r="K85" s="676">
        <f>SUMIFS('Other Exp'!AG$3:AG$196,'Other Exp'!$B$3:$B$196,$D$1,'Other Exp'!$C$3:$C$196,$A85)</f>
        <v>0</v>
      </c>
      <c r="L85" s="676">
        <f>SUMIFS('Other Exp'!AH$3:AH$196,'Other Exp'!$B$3:$B$196,$D$1,'Other Exp'!$C$3:$C$196,$A85)</f>
        <v>0</v>
      </c>
      <c r="M85" s="676">
        <f>SUMIFS('Other Exp'!AI$3:AI$196,'Other Exp'!$B$3:$B$196,$D$1,'Other Exp'!$C$3:$C$196,$A85)</f>
        <v>0</v>
      </c>
      <c r="N85" s="676">
        <f>SUMIFS('Other Exp'!AJ$3:AJ$196,'Other Exp'!$B$3:$B$196,$D$1,'Other Exp'!$C$3:$C$196,$A85)</f>
        <v>0</v>
      </c>
      <c r="O85" s="676">
        <f>SUMIFS('Other Exp'!AK$3:AK$196,'Other Exp'!$B$3:$B$196,$D$1,'Other Exp'!$C$3:$C$196,$A85)</f>
        <v>0</v>
      </c>
      <c r="P85" s="676">
        <f>SUMIFS('Other Exp'!AL$3:AL$196,'Other Exp'!$B$3:$B$196,$D$1,'Other Exp'!$C$3:$C$196,$A85)</f>
        <v>0</v>
      </c>
      <c r="Q85" s="676">
        <f>SUMIFS('Other Exp'!AM$3:AM$196,'Other Exp'!$B$3:$B$196,$D$1,'Other Exp'!$C$3:$C$196,$A85)</f>
        <v>0</v>
      </c>
      <c r="R85" s="676">
        <f>SUMIFS('Other Exp'!AN$3:AN$196,'Other Exp'!$B$3:$B$196,$D$1,'Other Exp'!$C$3:$C$196,$A85)</f>
        <v>0</v>
      </c>
      <c r="S85" s="676">
        <f>SUMIFS('Other Exp'!AO$3:AO$196,'Other Exp'!$B$3:$B$196,$D$1,'Other Exp'!$C$3:$C$196,$A85)</f>
        <v>0</v>
      </c>
      <c r="T85" s="676">
        <f>SUMIFS('Other Exp'!AP$3:AP$196,'Other Exp'!$B$3:$B$196,$D$1,'Other Exp'!$C$3:$C$196,$A85)</f>
        <v>0</v>
      </c>
      <c r="U85" s="676">
        <f>SUMIFS('Other Exp'!AQ$3:AQ$196,'Other Exp'!$B$3:$B$196,$D$1,'Other Exp'!$C$3:$C$196,$A85)</f>
        <v>0</v>
      </c>
      <c r="V85" s="676">
        <f>SUMIFS('Other Exp'!AR$3:AR$196,'Other Exp'!$B$3:$B$196,$D$1,'Other Exp'!$C$3:$C$196,$A85)</f>
        <v>0</v>
      </c>
      <c r="W85" s="676">
        <f t="shared" si="25"/>
        <v>0</v>
      </c>
      <c r="Y85" s="688">
        <f>IFERROR(VLOOKUP($A85,'[96]1月'!$A:$H,8,0),0)</f>
        <v>0</v>
      </c>
      <c r="Z85" s="688">
        <f>IFERROR(VLOOKUP($A85,'[96]2月'!$A:$H,8,0),0)</f>
        <v>0</v>
      </c>
      <c r="AA85" s="688">
        <f>IFERROR(VLOOKUP($A85,'[96]3月'!$A:$H,8,0),0)</f>
        <v>0</v>
      </c>
      <c r="AB85" s="688">
        <f>IFERROR(VLOOKUP($A85,'[96]4月'!$A:$H,8,0),0)</f>
        <v>0</v>
      </c>
      <c r="AC85" s="688">
        <f>IFERROR(VLOOKUP($A85,'[96]5月'!$A:$H,8,0),0)</f>
        <v>0</v>
      </c>
      <c r="AD85" s="688">
        <f>IFERROR(VLOOKUP($A85,'[96]6月'!$A:$H,8,0),0)</f>
        <v>0</v>
      </c>
      <c r="AE85" s="688">
        <f>IFERROR(VLOOKUP($A85,'[96]7月'!$A:$H,8,0),0)</f>
        <v>0</v>
      </c>
      <c r="AF85" s="688">
        <f>IFERROR(VLOOKUP($A85,'[96]8月'!$A:$H,8,0),0)</f>
        <v>0</v>
      </c>
      <c r="AG85" s="688">
        <f>IFERROR(VLOOKUP($A85,'[96]9月'!$A:$H,8,0),0)</f>
        <v>0</v>
      </c>
      <c r="AH85" s="688">
        <f>IFERROR(VLOOKUP($A85,'[96]10月'!$A:$H,8,0),0)</f>
        <v>0</v>
      </c>
      <c r="AI85" s="688">
        <f>IFERROR(VLOOKUP($A85,'[96]11月'!$A:$H,8,0),0)</f>
        <v>0</v>
      </c>
      <c r="AJ85" s="688">
        <f>IFERROR(VLOOKUP($A85,'[96]12月'!$A:$H,8,0),0)</f>
        <v>0</v>
      </c>
      <c r="AK85" s="688">
        <f t="shared" si="39"/>
        <v>0</v>
      </c>
    </row>
    <row r="86" spans="1:37" ht="11.1" customHeight="1">
      <c r="A86" s="653" t="str">
        <f>'Budget-合并'!A86</f>
        <v>6602.08.06</v>
      </c>
      <c r="B86" s="653" t="str">
        <f>'Budget-合并'!B86</f>
        <v>IT专业人士及微软服务</v>
      </c>
      <c r="C86" s="687" t="str">
        <f>'Budget-合并'!C86</f>
        <v xml:space="preserve">IT Professional &amp; MS Services </v>
      </c>
      <c r="D86" s="676">
        <f t="shared" si="33"/>
        <v>0</v>
      </c>
      <c r="E86" s="676">
        <f t="shared" si="34"/>
        <v>0</v>
      </c>
      <c r="F86" s="676">
        <f t="shared" si="35"/>
        <v>0</v>
      </c>
      <c r="G86" s="676">
        <f t="shared" ca="1" si="36"/>
        <v>0</v>
      </c>
      <c r="H86" s="676">
        <f t="shared" ca="1" si="30"/>
        <v>0</v>
      </c>
      <c r="I86" s="676">
        <f t="shared" ca="1" si="37"/>
        <v>0</v>
      </c>
      <c r="K86" s="676"/>
      <c r="L86" s="676"/>
      <c r="M86" s="676"/>
      <c r="N86" s="676"/>
      <c r="O86" s="676"/>
      <c r="P86" s="676"/>
      <c r="Q86" s="676"/>
      <c r="R86" s="676"/>
      <c r="S86" s="676"/>
      <c r="T86" s="676"/>
      <c r="U86" s="676"/>
      <c r="V86" s="676"/>
      <c r="W86" s="676">
        <f t="shared" si="25"/>
        <v>0</v>
      </c>
      <c r="Y86" s="688">
        <f>IFERROR(VLOOKUP($A86,'[96]1月'!$A:$H,8,0),0)</f>
        <v>0</v>
      </c>
      <c r="Z86" s="688">
        <f>IFERROR(VLOOKUP($A86,'[96]2月'!$A:$H,8,0),0)</f>
        <v>0</v>
      </c>
      <c r="AA86" s="688">
        <f>IFERROR(VLOOKUP($A86,'[96]3月'!$A:$H,8,0),0)</f>
        <v>0</v>
      </c>
      <c r="AB86" s="688">
        <f>IFERROR(VLOOKUP($A86,'[96]4月'!$A:$H,8,0),0)</f>
        <v>0</v>
      </c>
      <c r="AC86" s="688">
        <f>IFERROR(VLOOKUP($A86,'[96]5月'!$A:$H,8,0),0)</f>
        <v>0</v>
      </c>
      <c r="AD86" s="688">
        <f>IFERROR(VLOOKUP($A86,'[96]6月'!$A:$H,8,0),0)</f>
        <v>0</v>
      </c>
      <c r="AE86" s="688">
        <f>IFERROR(VLOOKUP($A86,'[96]7月'!$A:$H,8,0),0)</f>
        <v>0</v>
      </c>
      <c r="AF86" s="688">
        <f>IFERROR(VLOOKUP($A86,'[96]8月'!$A:$H,8,0),0)</f>
        <v>0</v>
      </c>
      <c r="AG86" s="688">
        <f>IFERROR(VLOOKUP($A86,'[96]9月'!$A:$H,8,0),0)</f>
        <v>0</v>
      </c>
      <c r="AH86" s="688">
        <f>IFERROR(VLOOKUP($A86,'[96]10月'!$A:$H,8,0),0)</f>
        <v>0</v>
      </c>
      <c r="AI86" s="688">
        <f>IFERROR(VLOOKUP($A86,'[96]11月'!$A:$H,8,0),0)</f>
        <v>0</v>
      </c>
      <c r="AJ86" s="688">
        <f>IFERROR(VLOOKUP($A86,'[96]12月'!$A:$H,8,0),0)</f>
        <v>0</v>
      </c>
      <c r="AK86" s="688">
        <f t="shared" si="39"/>
        <v>0</v>
      </c>
    </row>
    <row r="87" spans="1:37" ht="11.1" customHeight="1">
      <c r="A87" s="653" t="str">
        <f>'Budget-合并'!A87</f>
        <v>6602.08.07</v>
      </c>
      <c r="B87" s="653" t="str">
        <f>'Budget-合并'!B87</f>
        <v>软件许可证费用</v>
      </c>
      <c r="C87" s="687" t="str">
        <f>'Budget-合并'!C87</f>
        <v xml:space="preserve">Software Licence Fee Exp </v>
      </c>
      <c r="D87" s="676">
        <f t="shared" si="33"/>
        <v>0</v>
      </c>
      <c r="E87" s="676">
        <f t="shared" si="34"/>
        <v>0</v>
      </c>
      <c r="F87" s="676">
        <f t="shared" si="35"/>
        <v>0</v>
      </c>
      <c r="G87" s="676">
        <f t="shared" ca="1" si="36"/>
        <v>0</v>
      </c>
      <c r="H87" s="676">
        <f t="shared" ca="1" si="30"/>
        <v>0</v>
      </c>
      <c r="I87" s="676">
        <f t="shared" ca="1" si="37"/>
        <v>0</v>
      </c>
      <c r="K87" s="676"/>
      <c r="L87" s="676"/>
      <c r="M87" s="676"/>
      <c r="N87" s="676"/>
      <c r="O87" s="676"/>
      <c r="P87" s="676"/>
      <c r="Q87" s="676"/>
      <c r="R87" s="676"/>
      <c r="S87" s="676"/>
      <c r="T87" s="676"/>
      <c r="U87" s="676"/>
      <c r="V87" s="676"/>
      <c r="W87" s="676">
        <f t="shared" ref="W87:W150" si="45">SUM(K87:V87)</f>
        <v>0</v>
      </c>
      <c r="Y87" s="688">
        <f>IFERROR(VLOOKUP($A87,'[96]1月'!$A:$H,8,0),0)</f>
        <v>0</v>
      </c>
      <c r="Z87" s="688">
        <f>IFERROR(VLOOKUP($A87,'[96]2月'!$A:$H,8,0),0)</f>
        <v>0</v>
      </c>
      <c r="AA87" s="688">
        <f>IFERROR(VLOOKUP($A87,'[96]3月'!$A:$H,8,0),0)</f>
        <v>0</v>
      </c>
      <c r="AB87" s="688">
        <f>IFERROR(VLOOKUP($A87,'[96]4月'!$A:$H,8,0),0)</f>
        <v>0</v>
      </c>
      <c r="AC87" s="688">
        <f>IFERROR(VLOOKUP($A87,'[96]5月'!$A:$H,8,0),0)</f>
        <v>0</v>
      </c>
      <c r="AD87" s="688">
        <f>IFERROR(VLOOKUP($A87,'[96]6月'!$A:$H,8,0),0)</f>
        <v>0</v>
      </c>
      <c r="AE87" s="688">
        <f>IFERROR(VLOOKUP($A87,'[96]7月'!$A:$H,8,0),0)</f>
        <v>0</v>
      </c>
      <c r="AF87" s="688">
        <f>IFERROR(VLOOKUP($A87,'[96]8月'!$A:$H,8,0),0)</f>
        <v>0</v>
      </c>
      <c r="AG87" s="688">
        <f>IFERROR(VLOOKUP($A87,'[96]9月'!$A:$H,8,0),0)</f>
        <v>0</v>
      </c>
      <c r="AH87" s="688">
        <f>IFERROR(VLOOKUP($A87,'[96]10月'!$A:$H,8,0),0)</f>
        <v>0</v>
      </c>
      <c r="AI87" s="688">
        <f>IFERROR(VLOOKUP($A87,'[96]11月'!$A:$H,8,0),0)</f>
        <v>0</v>
      </c>
      <c r="AJ87" s="688">
        <f>IFERROR(VLOOKUP($A87,'[96]12月'!$A:$H,8,0),0)</f>
        <v>0</v>
      </c>
      <c r="AK87" s="688">
        <f t="shared" si="39"/>
        <v>0</v>
      </c>
    </row>
    <row r="88" spans="1:37" ht="11.1" customHeight="1">
      <c r="A88" s="653" t="str">
        <f>'Budget-合并'!A88</f>
        <v>6602.08.08</v>
      </c>
      <c r="B88" s="653" t="str">
        <f>'Budget-合并'!B88</f>
        <v>软件使用费</v>
      </c>
      <c r="C88" s="687">
        <f>'Budget-合并'!C88</f>
        <v>0</v>
      </c>
      <c r="D88" s="676">
        <f t="shared" si="33"/>
        <v>0</v>
      </c>
      <c r="E88" s="676">
        <f t="shared" si="34"/>
        <v>0</v>
      </c>
      <c r="F88" s="676">
        <f t="shared" si="35"/>
        <v>0</v>
      </c>
      <c r="G88" s="676">
        <f t="shared" ca="1" si="36"/>
        <v>0</v>
      </c>
      <c r="H88" s="676">
        <f t="shared" ca="1" si="30"/>
        <v>0</v>
      </c>
      <c r="I88" s="676">
        <f t="shared" ca="1" si="37"/>
        <v>0</v>
      </c>
      <c r="K88" s="676"/>
      <c r="L88" s="676"/>
      <c r="M88" s="676"/>
      <c r="N88" s="676"/>
      <c r="O88" s="676"/>
      <c r="P88" s="676"/>
      <c r="Q88" s="676"/>
      <c r="R88" s="676"/>
      <c r="S88" s="676"/>
      <c r="T88" s="676"/>
      <c r="U88" s="676"/>
      <c r="V88" s="676"/>
      <c r="W88" s="676">
        <f t="shared" si="45"/>
        <v>0</v>
      </c>
      <c r="Y88" s="688">
        <f>IFERROR(VLOOKUP($A88,'[96]1月'!$A:$H,8,0),0)</f>
        <v>0</v>
      </c>
      <c r="Z88" s="688">
        <f>IFERROR(VLOOKUP($A88,'[96]2月'!$A:$H,8,0),0)</f>
        <v>0</v>
      </c>
      <c r="AA88" s="688">
        <f>IFERROR(VLOOKUP($A88,'[96]3月'!$A:$H,8,0),0)</f>
        <v>0</v>
      </c>
      <c r="AB88" s="688">
        <f>IFERROR(VLOOKUP($A88,'[96]4月'!$A:$H,8,0),0)</f>
        <v>0</v>
      </c>
      <c r="AC88" s="688">
        <f>IFERROR(VLOOKUP($A88,'[96]5月'!$A:$H,8,0),0)</f>
        <v>0</v>
      </c>
      <c r="AD88" s="688">
        <f>IFERROR(VLOOKUP($A88,'[96]6月'!$A:$H,8,0),0)</f>
        <v>0</v>
      </c>
      <c r="AE88" s="688">
        <f>IFERROR(VLOOKUP($A88,'[96]7月'!$A:$H,8,0),0)</f>
        <v>0</v>
      </c>
      <c r="AF88" s="688">
        <f>IFERROR(VLOOKUP($A88,'[96]8月'!$A:$H,8,0),0)</f>
        <v>0</v>
      </c>
      <c r="AG88" s="688">
        <f>IFERROR(VLOOKUP($A88,'[96]9月'!$A:$H,8,0),0)</f>
        <v>0</v>
      </c>
      <c r="AH88" s="688">
        <f>IFERROR(VLOOKUP($A88,'[96]10月'!$A:$H,8,0),0)</f>
        <v>0</v>
      </c>
      <c r="AI88" s="688">
        <f>IFERROR(VLOOKUP($A88,'[96]11月'!$A:$H,8,0),0)</f>
        <v>0</v>
      </c>
      <c r="AJ88" s="688">
        <f>IFERROR(VLOOKUP($A88,'[96]12月'!$A:$H,8,0),0)</f>
        <v>0</v>
      </c>
      <c r="AK88" s="688">
        <f t="shared" si="39"/>
        <v>0</v>
      </c>
    </row>
    <row r="89" spans="1:37" ht="11.1" customHeight="1">
      <c r="A89" s="653" t="str">
        <f>'Budget-合并'!A89</f>
        <v>6602.08.09</v>
      </c>
      <c r="B89" s="653" t="str">
        <f>'Budget-合并'!B89</f>
        <v>清洁服务</v>
      </c>
      <c r="C89" s="687">
        <f>'Budget-合并'!C89</f>
        <v>0</v>
      </c>
      <c r="D89" s="676">
        <f t="shared" si="33"/>
        <v>0</v>
      </c>
      <c r="E89" s="676">
        <f t="shared" si="34"/>
        <v>0</v>
      </c>
      <c r="F89" s="676">
        <f t="shared" si="35"/>
        <v>0</v>
      </c>
      <c r="G89" s="676">
        <f t="shared" ca="1" si="36"/>
        <v>0</v>
      </c>
      <c r="H89" s="676">
        <f t="shared" ca="1" si="30"/>
        <v>0</v>
      </c>
      <c r="I89" s="676">
        <f t="shared" ca="1" si="37"/>
        <v>0</v>
      </c>
      <c r="K89" s="676">
        <f>SUMIFS('Other Exp'!AG$3:AG$196,'Other Exp'!$B$3:$B$196,$D$1,'Other Exp'!$C$3:$C$196,$A89)</f>
        <v>0</v>
      </c>
      <c r="L89" s="676">
        <f>SUMIFS('Other Exp'!AH$3:AH$196,'Other Exp'!$B$3:$B$196,$D$1,'Other Exp'!$C$3:$C$196,$A89)</f>
        <v>0</v>
      </c>
      <c r="M89" s="676">
        <f>SUMIFS('Other Exp'!AI$3:AI$196,'Other Exp'!$B$3:$B$196,$D$1,'Other Exp'!$C$3:$C$196,$A89)</f>
        <v>0</v>
      </c>
      <c r="N89" s="676">
        <f>SUMIFS('Other Exp'!AJ$3:AJ$196,'Other Exp'!$B$3:$B$196,$D$1,'Other Exp'!$C$3:$C$196,$A89)</f>
        <v>0</v>
      </c>
      <c r="O89" s="676">
        <f>SUMIFS('Other Exp'!AK$3:AK$196,'Other Exp'!$B$3:$B$196,$D$1,'Other Exp'!$C$3:$C$196,$A89)</f>
        <v>0</v>
      </c>
      <c r="P89" s="676">
        <f>SUMIFS('Other Exp'!AL$3:AL$196,'Other Exp'!$B$3:$B$196,$D$1,'Other Exp'!$C$3:$C$196,$A89)</f>
        <v>0</v>
      </c>
      <c r="Q89" s="676">
        <f>SUMIFS('Other Exp'!AM$3:AM$196,'Other Exp'!$B$3:$B$196,$D$1,'Other Exp'!$C$3:$C$196,$A89)</f>
        <v>0</v>
      </c>
      <c r="R89" s="676">
        <f>SUMIFS('Other Exp'!AN$3:AN$196,'Other Exp'!$B$3:$B$196,$D$1,'Other Exp'!$C$3:$C$196,$A89)</f>
        <v>0</v>
      </c>
      <c r="S89" s="676">
        <f>SUMIFS('Other Exp'!AO$3:AO$196,'Other Exp'!$B$3:$B$196,$D$1,'Other Exp'!$C$3:$C$196,$A89)</f>
        <v>0</v>
      </c>
      <c r="T89" s="676">
        <f>SUMIFS('Other Exp'!AP$3:AP$196,'Other Exp'!$B$3:$B$196,$D$1,'Other Exp'!$C$3:$C$196,$A89)</f>
        <v>0</v>
      </c>
      <c r="U89" s="676">
        <f>SUMIFS('Other Exp'!AQ$3:AQ$196,'Other Exp'!$B$3:$B$196,$D$1,'Other Exp'!$C$3:$C$196,$A89)</f>
        <v>0</v>
      </c>
      <c r="V89" s="676">
        <f>SUMIFS('Other Exp'!AR$3:AR$196,'Other Exp'!$B$3:$B$196,$D$1,'Other Exp'!$C$3:$C$196,$A89)</f>
        <v>0</v>
      </c>
      <c r="W89" s="676">
        <f t="shared" si="45"/>
        <v>0</v>
      </c>
      <c r="Y89" s="688">
        <f>IFERROR(VLOOKUP($A89,'[96]1月'!$A:$H,8,0),0)</f>
        <v>0</v>
      </c>
      <c r="Z89" s="688">
        <f>IFERROR(VLOOKUP($A89,'[96]2月'!$A:$H,8,0),0)</f>
        <v>0</v>
      </c>
      <c r="AA89" s="688">
        <f>IFERROR(VLOOKUP($A89,'[96]3月'!$A:$H,8,0),0)</f>
        <v>0</v>
      </c>
      <c r="AB89" s="688">
        <f>IFERROR(VLOOKUP($A89,'[96]4月'!$A:$H,8,0),0)</f>
        <v>0</v>
      </c>
      <c r="AC89" s="688">
        <f>IFERROR(VLOOKUP($A89,'[96]5月'!$A:$H,8,0),0)</f>
        <v>0</v>
      </c>
      <c r="AD89" s="688">
        <f>IFERROR(VLOOKUP($A89,'[96]6月'!$A:$H,8,0),0)</f>
        <v>0</v>
      </c>
      <c r="AE89" s="688">
        <f>IFERROR(VLOOKUP($A89,'[96]7月'!$A:$H,8,0),0)</f>
        <v>0</v>
      </c>
      <c r="AF89" s="688">
        <f>IFERROR(VLOOKUP($A89,'[96]8月'!$A:$H,8,0),0)</f>
        <v>0</v>
      </c>
      <c r="AG89" s="688">
        <f>IFERROR(VLOOKUP($A89,'[96]9月'!$A:$H,8,0),0)</f>
        <v>0</v>
      </c>
      <c r="AH89" s="688">
        <f>IFERROR(VLOOKUP($A89,'[96]10月'!$A:$H,8,0),0)</f>
        <v>0</v>
      </c>
      <c r="AI89" s="688">
        <f>IFERROR(VLOOKUP($A89,'[96]11月'!$A:$H,8,0),0)</f>
        <v>0</v>
      </c>
      <c r="AJ89" s="688">
        <f>IFERROR(VLOOKUP($A89,'[96]12月'!$A:$H,8,0),0)</f>
        <v>0</v>
      </c>
      <c r="AK89" s="688">
        <f t="shared" si="39"/>
        <v>0</v>
      </c>
    </row>
    <row r="90" spans="1:37" ht="11.1" customHeight="1">
      <c r="A90" s="653" t="str">
        <f>'Budget-合并'!A90</f>
        <v>6602.08.10</v>
      </c>
      <c r="B90" s="653" t="str">
        <f>'Budget-合并'!B90</f>
        <v>电话国际直拨/电话会议收费</v>
      </c>
      <c r="C90" s="687" t="str">
        <f>'Budget-合并'!C90</f>
        <v>Telephone IDD/Teleconf Charge</v>
      </c>
      <c r="D90" s="676">
        <f t="shared" si="33"/>
        <v>0</v>
      </c>
      <c r="E90" s="676">
        <f t="shared" si="34"/>
        <v>0</v>
      </c>
      <c r="F90" s="676">
        <f t="shared" si="35"/>
        <v>0</v>
      </c>
      <c r="G90" s="676">
        <f t="shared" ca="1" si="36"/>
        <v>0</v>
      </c>
      <c r="H90" s="676">
        <f t="shared" ca="1" si="30"/>
        <v>0</v>
      </c>
      <c r="I90" s="676">
        <f t="shared" ca="1" si="37"/>
        <v>0</v>
      </c>
      <c r="K90" s="676"/>
      <c r="L90" s="676"/>
      <c r="M90" s="676"/>
      <c r="N90" s="676"/>
      <c r="O90" s="676"/>
      <c r="P90" s="676"/>
      <c r="Q90" s="676"/>
      <c r="R90" s="676"/>
      <c r="S90" s="676"/>
      <c r="T90" s="676"/>
      <c r="U90" s="676"/>
      <c r="V90" s="676"/>
      <c r="W90" s="676">
        <f t="shared" si="45"/>
        <v>0</v>
      </c>
      <c r="Y90" s="688">
        <f>IFERROR(VLOOKUP($A90,'[96]1月'!$A:$H,8,0),0)</f>
        <v>0</v>
      </c>
      <c r="Z90" s="688">
        <f>IFERROR(VLOOKUP($A90,'[96]2月'!$A:$H,8,0),0)</f>
        <v>0</v>
      </c>
      <c r="AA90" s="688">
        <f>IFERROR(VLOOKUP($A90,'[96]3月'!$A:$H,8,0),0)</f>
        <v>0</v>
      </c>
      <c r="AB90" s="688">
        <f>IFERROR(VLOOKUP($A90,'[96]4月'!$A:$H,8,0),0)</f>
        <v>0</v>
      </c>
      <c r="AC90" s="688">
        <f>IFERROR(VLOOKUP($A90,'[96]5月'!$A:$H,8,0),0)</f>
        <v>0</v>
      </c>
      <c r="AD90" s="688">
        <f>IFERROR(VLOOKUP($A90,'[96]6月'!$A:$H,8,0),0)</f>
        <v>0</v>
      </c>
      <c r="AE90" s="688">
        <f>IFERROR(VLOOKUP($A90,'[96]7月'!$A:$H,8,0),0)</f>
        <v>0</v>
      </c>
      <c r="AF90" s="688">
        <f>IFERROR(VLOOKUP($A90,'[96]8月'!$A:$H,8,0),0)</f>
        <v>0</v>
      </c>
      <c r="AG90" s="688">
        <f>IFERROR(VLOOKUP($A90,'[96]9月'!$A:$H,8,0),0)</f>
        <v>0</v>
      </c>
      <c r="AH90" s="688">
        <f>IFERROR(VLOOKUP($A90,'[96]10月'!$A:$H,8,0),0)</f>
        <v>0</v>
      </c>
      <c r="AI90" s="688">
        <f>IFERROR(VLOOKUP($A90,'[96]11月'!$A:$H,8,0),0)</f>
        <v>0</v>
      </c>
      <c r="AJ90" s="688">
        <f>IFERROR(VLOOKUP($A90,'[96]12月'!$A:$H,8,0),0)</f>
        <v>0</v>
      </c>
      <c r="AK90" s="688">
        <f t="shared" si="39"/>
        <v>0</v>
      </c>
    </row>
    <row r="91" spans="1:37" ht="11.1" customHeight="1">
      <c r="A91" s="653" t="str">
        <f>'Budget-合并'!A91</f>
        <v>6602.08.99</v>
      </c>
      <c r="B91" s="653" t="str">
        <f>'Budget-合并'!B91</f>
        <v>其他</v>
      </c>
      <c r="C91" s="687">
        <f>'Budget-合并'!C91</f>
        <v>0</v>
      </c>
      <c r="D91" s="676">
        <f t="shared" si="33"/>
        <v>0</v>
      </c>
      <c r="E91" s="676">
        <f t="shared" si="34"/>
        <v>0</v>
      </c>
      <c r="F91" s="676">
        <f t="shared" si="35"/>
        <v>0</v>
      </c>
      <c r="G91" s="676">
        <f t="shared" ca="1" si="36"/>
        <v>0</v>
      </c>
      <c r="H91" s="676">
        <f t="shared" ca="1" si="30"/>
        <v>0</v>
      </c>
      <c r="I91" s="676">
        <f t="shared" ca="1" si="37"/>
        <v>0</v>
      </c>
      <c r="K91" s="676">
        <f>SUMIFS('Other Exp'!AG$3:AG$196,'Other Exp'!$B$3:$B$196,$D$1,'Other Exp'!$C$3:$C$196,$A91)</f>
        <v>0</v>
      </c>
      <c r="L91" s="676">
        <f>SUMIFS('Other Exp'!AH$3:AH$196,'Other Exp'!$B$3:$B$196,$D$1,'Other Exp'!$C$3:$C$196,$A91)</f>
        <v>0</v>
      </c>
      <c r="M91" s="676">
        <f>SUMIFS('Other Exp'!AI$3:AI$196,'Other Exp'!$B$3:$B$196,$D$1,'Other Exp'!$C$3:$C$196,$A91)</f>
        <v>0</v>
      </c>
      <c r="N91" s="676">
        <f>SUMIFS('Other Exp'!AJ$3:AJ$196,'Other Exp'!$B$3:$B$196,$D$1,'Other Exp'!$C$3:$C$196,$A91)</f>
        <v>0</v>
      </c>
      <c r="O91" s="676">
        <f>SUMIFS('Other Exp'!AK$3:AK$196,'Other Exp'!$B$3:$B$196,$D$1,'Other Exp'!$C$3:$C$196,$A91)</f>
        <v>0</v>
      </c>
      <c r="P91" s="676">
        <f>SUMIFS('Other Exp'!AL$3:AL$196,'Other Exp'!$B$3:$B$196,$D$1,'Other Exp'!$C$3:$C$196,$A91)</f>
        <v>0</v>
      </c>
      <c r="Q91" s="676">
        <f>SUMIFS('Other Exp'!AM$3:AM$196,'Other Exp'!$B$3:$B$196,$D$1,'Other Exp'!$C$3:$C$196,$A91)</f>
        <v>0</v>
      </c>
      <c r="R91" s="676">
        <f>SUMIFS('Other Exp'!AN$3:AN$196,'Other Exp'!$B$3:$B$196,$D$1,'Other Exp'!$C$3:$C$196,$A91)</f>
        <v>0</v>
      </c>
      <c r="S91" s="676">
        <f>SUMIFS('Other Exp'!AO$3:AO$196,'Other Exp'!$B$3:$B$196,$D$1,'Other Exp'!$C$3:$C$196,$A91)</f>
        <v>0</v>
      </c>
      <c r="T91" s="676">
        <f>SUMIFS('Other Exp'!AP$3:AP$196,'Other Exp'!$B$3:$B$196,$D$1,'Other Exp'!$C$3:$C$196,$A91)</f>
        <v>0</v>
      </c>
      <c r="U91" s="676">
        <f>SUMIFS('Other Exp'!AQ$3:AQ$196,'Other Exp'!$B$3:$B$196,$D$1,'Other Exp'!$C$3:$C$196,$A91)</f>
        <v>0</v>
      </c>
      <c r="V91" s="676">
        <f>SUMIFS('Other Exp'!AR$3:AR$196,'Other Exp'!$B$3:$B$196,$D$1,'Other Exp'!$C$3:$C$196,$A91)</f>
        <v>0</v>
      </c>
      <c r="W91" s="676">
        <f t="shared" si="45"/>
        <v>0</v>
      </c>
      <c r="Y91" s="688">
        <f>IFERROR(VLOOKUP($A91,'[96]1月'!$A:$H,8,0),0)</f>
        <v>0</v>
      </c>
      <c r="Z91" s="688">
        <f>IFERROR(VLOOKUP($A91,'[96]2月'!$A:$H,8,0),0)</f>
        <v>0</v>
      </c>
      <c r="AA91" s="688">
        <f>IFERROR(VLOOKUP($A91,'[96]3月'!$A:$H,8,0),0)</f>
        <v>0</v>
      </c>
      <c r="AB91" s="688">
        <f>IFERROR(VLOOKUP($A91,'[96]4月'!$A:$H,8,0),0)</f>
        <v>0</v>
      </c>
      <c r="AC91" s="688">
        <f>IFERROR(VLOOKUP($A91,'[96]5月'!$A:$H,8,0),0)</f>
        <v>0</v>
      </c>
      <c r="AD91" s="688">
        <f>IFERROR(VLOOKUP($A91,'[96]6月'!$A:$H,8,0),0)</f>
        <v>0</v>
      </c>
      <c r="AE91" s="688">
        <f>IFERROR(VLOOKUP($A91,'[96]7月'!$A:$H,8,0),0)</f>
        <v>0</v>
      </c>
      <c r="AF91" s="688">
        <f>IFERROR(VLOOKUP($A91,'[96]8月'!$A:$H,8,0),0)</f>
        <v>0</v>
      </c>
      <c r="AG91" s="688">
        <f>IFERROR(VLOOKUP($A91,'[96]9月'!$A:$H,8,0),0)</f>
        <v>0</v>
      </c>
      <c r="AH91" s="688">
        <f>IFERROR(VLOOKUP($A91,'[96]10月'!$A:$H,8,0),0)</f>
        <v>0</v>
      </c>
      <c r="AI91" s="688">
        <f>IFERROR(VLOOKUP($A91,'[96]11月'!$A:$H,8,0),0)</f>
        <v>0</v>
      </c>
      <c r="AJ91" s="688">
        <f>IFERROR(VLOOKUP($A91,'[96]12月'!$A:$H,8,0),0)</f>
        <v>0</v>
      </c>
      <c r="AK91" s="688">
        <f t="shared" si="39"/>
        <v>0</v>
      </c>
    </row>
    <row r="92" spans="1:37" ht="11.1" customHeight="1">
      <c r="A92" s="663" t="str">
        <f>'Budget-合并'!A92</f>
        <v>6602.09</v>
      </c>
      <c r="B92" s="663" t="str">
        <f>'Budget-合并'!B92</f>
        <v>差旅费</v>
      </c>
      <c r="C92" s="687">
        <f>'Budget-合并'!C92</f>
        <v>0</v>
      </c>
      <c r="D92" s="676">
        <f t="shared" si="33"/>
        <v>0</v>
      </c>
      <c r="E92" s="676">
        <f t="shared" si="34"/>
        <v>0</v>
      </c>
      <c r="F92" s="676">
        <f t="shared" si="35"/>
        <v>0</v>
      </c>
      <c r="G92" s="676">
        <f t="shared" ca="1" si="36"/>
        <v>0</v>
      </c>
      <c r="H92" s="676">
        <f t="shared" ca="1" si="30"/>
        <v>0</v>
      </c>
      <c r="I92" s="676">
        <f t="shared" ca="1" si="37"/>
        <v>0</v>
      </c>
      <c r="K92" s="676">
        <f t="shared" ref="K92:V92" si="46">SUM(K93,K97,K101,K105,K109,K113,K117,K118,K122,K126)</f>
        <v>0</v>
      </c>
      <c r="L92" s="676">
        <f t="shared" si="46"/>
        <v>0</v>
      </c>
      <c r="M92" s="676">
        <f t="shared" si="46"/>
        <v>0</v>
      </c>
      <c r="N92" s="676">
        <f t="shared" si="46"/>
        <v>0</v>
      </c>
      <c r="O92" s="676">
        <f t="shared" si="46"/>
        <v>0</v>
      </c>
      <c r="P92" s="676">
        <f t="shared" si="46"/>
        <v>0</v>
      </c>
      <c r="Q92" s="676">
        <f t="shared" si="46"/>
        <v>0</v>
      </c>
      <c r="R92" s="676">
        <f t="shared" si="46"/>
        <v>0</v>
      </c>
      <c r="S92" s="676">
        <f t="shared" si="46"/>
        <v>0</v>
      </c>
      <c r="T92" s="676">
        <f t="shared" si="46"/>
        <v>0</v>
      </c>
      <c r="U92" s="676">
        <f t="shared" si="46"/>
        <v>0</v>
      </c>
      <c r="V92" s="676">
        <f t="shared" si="46"/>
        <v>0</v>
      </c>
      <c r="W92" s="676">
        <f t="shared" si="45"/>
        <v>0</v>
      </c>
      <c r="Y92" s="688">
        <f>IFERROR(VLOOKUP($A92,'[96]1月'!$A:$H,8,0),0)</f>
        <v>0</v>
      </c>
      <c r="Z92" s="688">
        <f>IFERROR(VLOOKUP($A92,'[96]2月'!$A:$H,8,0),0)</f>
        <v>0</v>
      </c>
      <c r="AA92" s="688">
        <f>IFERROR(VLOOKUP($A92,'[96]3月'!$A:$H,8,0),0)</f>
        <v>0</v>
      </c>
      <c r="AB92" s="688">
        <f>IFERROR(VLOOKUP($A92,'[96]4月'!$A:$H,8,0),0)</f>
        <v>0</v>
      </c>
      <c r="AC92" s="688">
        <f>IFERROR(VLOOKUP($A92,'[96]5月'!$A:$H,8,0),0)</f>
        <v>0</v>
      </c>
      <c r="AD92" s="688">
        <f>IFERROR(VLOOKUP($A92,'[96]6月'!$A:$H,8,0),0)</f>
        <v>0</v>
      </c>
      <c r="AE92" s="688">
        <f>IFERROR(VLOOKUP($A92,'[96]7月'!$A:$H,8,0),0)</f>
        <v>0</v>
      </c>
      <c r="AF92" s="688">
        <f>IFERROR(VLOOKUP($A92,'[96]8月'!$A:$H,8,0),0)</f>
        <v>0</v>
      </c>
      <c r="AG92" s="688">
        <f>IFERROR(VLOOKUP($A92,'[96]9月'!$A:$H,8,0),0)</f>
        <v>0</v>
      </c>
      <c r="AH92" s="688">
        <f>IFERROR(VLOOKUP($A92,'[96]10月'!$A:$H,8,0),0)</f>
        <v>0</v>
      </c>
      <c r="AI92" s="688">
        <f>IFERROR(VLOOKUP($A92,'[96]11月'!$A:$H,8,0),0)</f>
        <v>0</v>
      </c>
      <c r="AJ92" s="688">
        <f>IFERROR(VLOOKUP($A92,'[96]12月'!$A:$H,8,0),0)</f>
        <v>0</v>
      </c>
      <c r="AK92" s="688">
        <f t="shared" si="39"/>
        <v>0</v>
      </c>
    </row>
    <row r="93" spans="1:37" ht="11.1" customHeight="1">
      <c r="A93" s="653" t="str">
        <f>'Budget-合并'!A93</f>
        <v>6602.09.01</v>
      </c>
      <c r="B93" s="653" t="str">
        <f>'Budget-合并'!B93</f>
        <v>住宿费</v>
      </c>
      <c r="C93" s="687" t="str">
        <f>'Budget-合并'!C93</f>
        <v>Travel Lodging</v>
      </c>
      <c r="D93" s="676">
        <f t="shared" si="33"/>
        <v>0</v>
      </c>
      <c r="E93" s="676">
        <f t="shared" si="34"/>
        <v>0</v>
      </c>
      <c r="F93" s="676">
        <f t="shared" si="35"/>
        <v>0</v>
      </c>
      <c r="G93" s="676">
        <f t="shared" ca="1" si="36"/>
        <v>0</v>
      </c>
      <c r="H93" s="676">
        <f t="shared" ca="1" si="30"/>
        <v>0</v>
      </c>
      <c r="I93" s="676">
        <f t="shared" ca="1" si="37"/>
        <v>0</v>
      </c>
      <c r="K93" s="676">
        <f t="shared" ref="K93:V93" si="47">SUM(K94:K96)</f>
        <v>0</v>
      </c>
      <c r="L93" s="676">
        <f t="shared" si="47"/>
        <v>0</v>
      </c>
      <c r="M93" s="676">
        <f t="shared" si="47"/>
        <v>0</v>
      </c>
      <c r="N93" s="676">
        <f t="shared" si="47"/>
        <v>0</v>
      </c>
      <c r="O93" s="676">
        <f t="shared" si="47"/>
        <v>0</v>
      </c>
      <c r="P93" s="676">
        <f t="shared" si="47"/>
        <v>0</v>
      </c>
      <c r="Q93" s="676">
        <f t="shared" si="47"/>
        <v>0</v>
      </c>
      <c r="R93" s="676">
        <f t="shared" si="47"/>
        <v>0</v>
      </c>
      <c r="S93" s="676">
        <f t="shared" si="47"/>
        <v>0</v>
      </c>
      <c r="T93" s="676">
        <f t="shared" si="47"/>
        <v>0</v>
      </c>
      <c r="U93" s="676">
        <f t="shared" si="47"/>
        <v>0</v>
      </c>
      <c r="V93" s="676">
        <f t="shared" si="47"/>
        <v>0</v>
      </c>
      <c r="W93" s="676">
        <f t="shared" si="45"/>
        <v>0</v>
      </c>
      <c r="Y93" s="688">
        <f>IFERROR(VLOOKUP($A93,'[96]1月'!$A:$H,8,0),0)</f>
        <v>0</v>
      </c>
      <c r="Z93" s="688">
        <f>IFERROR(VLOOKUP($A93,'[96]2月'!$A:$H,8,0),0)</f>
        <v>0</v>
      </c>
      <c r="AA93" s="688">
        <f>IFERROR(VLOOKUP($A93,'[96]3月'!$A:$H,8,0),0)</f>
        <v>0</v>
      </c>
      <c r="AB93" s="688">
        <f>IFERROR(VLOOKUP($A93,'[96]4月'!$A:$H,8,0),0)</f>
        <v>0</v>
      </c>
      <c r="AC93" s="688">
        <f>IFERROR(VLOOKUP($A93,'[96]5月'!$A:$H,8,0),0)</f>
        <v>0</v>
      </c>
      <c r="AD93" s="688">
        <f>IFERROR(VLOOKUP($A93,'[96]6月'!$A:$H,8,0),0)</f>
        <v>0</v>
      </c>
      <c r="AE93" s="688">
        <f>IFERROR(VLOOKUP($A93,'[96]7月'!$A:$H,8,0),0)</f>
        <v>0</v>
      </c>
      <c r="AF93" s="688">
        <f>IFERROR(VLOOKUP($A93,'[96]8月'!$A:$H,8,0),0)</f>
        <v>0</v>
      </c>
      <c r="AG93" s="688">
        <f>IFERROR(VLOOKUP($A93,'[96]9月'!$A:$H,8,0),0)</f>
        <v>0</v>
      </c>
      <c r="AH93" s="688">
        <f>IFERROR(VLOOKUP($A93,'[96]10月'!$A:$H,8,0),0)</f>
        <v>0</v>
      </c>
      <c r="AI93" s="688">
        <f>IFERROR(VLOOKUP($A93,'[96]11月'!$A:$H,8,0),0)</f>
        <v>0</v>
      </c>
      <c r="AJ93" s="688">
        <f>IFERROR(VLOOKUP($A93,'[96]12月'!$A:$H,8,0),0)</f>
        <v>0</v>
      </c>
      <c r="AK93" s="688">
        <f t="shared" si="39"/>
        <v>0</v>
      </c>
    </row>
    <row r="94" spans="1:37" ht="11.1" customHeight="1">
      <c r="A94" s="653">
        <f>'Budget-合并'!A94</f>
        <v>0</v>
      </c>
      <c r="B94" s="653" t="str">
        <f>'Budget-合并'!B94</f>
        <v xml:space="preserve">    公司主体03</v>
      </c>
      <c r="C94" s="687" t="str">
        <f>'Budget-合并'!C94</f>
        <v xml:space="preserve">   Entity</v>
      </c>
      <c r="D94" s="676">
        <f t="shared" si="33"/>
        <v>0</v>
      </c>
      <c r="E94" s="676">
        <f t="shared" si="34"/>
        <v>0</v>
      </c>
      <c r="F94" s="676">
        <f t="shared" si="35"/>
        <v>0</v>
      </c>
      <c r="G94" s="676">
        <f t="shared" ca="1" si="36"/>
        <v>0</v>
      </c>
      <c r="H94" s="676">
        <f t="shared" ca="1" si="30"/>
        <v>0</v>
      </c>
      <c r="I94" s="676">
        <f t="shared" ca="1" si="37"/>
        <v>0</v>
      </c>
      <c r="K94" s="676"/>
      <c r="L94" s="676"/>
      <c r="M94" s="676"/>
      <c r="N94" s="676"/>
      <c r="O94" s="676"/>
      <c r="P94" s="676"/>
      <c r="Q94" s="676"/>
      <c r="R94" s="676"/>
      <c r="S94" s="676"/>
      <c r="T94" s="676"/>
      <c r="U94" s="676"/>
      <c r="V94" s="676"/>
      <c r="W94" s="676">
        <f t="shared" si="45"/>
        <v>0</v>
      </c>
      <c r="Y94" s="688">
        <f>IFERROR(VLOOKUP($A94,'[96]1月'!$A:$H,8,0),0)</f>
        <v>0</v>
      </c>
      <c r="Z94" s="688">
        <f>IFERROR(VLOOKUP($A94,'[96]2月'!$A:$H,8,0),0)</f>
        <v>0</v>
      </c>
      <c r="AA94" s="688">
        <f>IFERROR(VLOOKUP($A94,'[96]3月'!$A:$H,8,0),0)</f>
        <v>0</v>
      </c>
      <c r="AB94" s="688">
        <f>IFERROR(VLOOKUP($A94,'[96]4月'!$A:$H,8,0),0)</f>
        <v>0</v>
      </c>
      <c r="AC94" s="688">
        <f>IFERROR(VLOOKUP($A94,'[96]5月'!$A:$H,8,0),0)</f>
        <v>0</v>
      </c>
      <c r="AD94" s="688">
        <f>IFERROR(VLOOKUP($A94,'[96]6月'!$A:$H,8,0),0)</f>
        <v>0</v>
      </c>
      <c r="AE94" s="688">
        <f>IFERROR(VLOOKUP($A94,'[96]7月'!$A:$H,8,0),0)</f>
        <v>0</v>
      </c>
      <c r="AF94" s="688">
        <f>IFERROR(VLOOKUP($A94,'[96]8月'!$A:$H,8,0),0)</f>
        <v>0</v>
      </c>
      <c r="AG94" s="688">
        <f>IFERROR(VLOOKUP($A94,'[96]9月'!$A:$H,8,0),0)</f>
        <v>0</v>
      </c>
      <c r="AH94" s="688">
        <f>IFERROR(VLOOKUP($A94,'[96]10月'!$A:$H,8,0),0)</f>
        <v>0</v>
      </c>
      <c r="AI94" s="688">
        <f>IFERROR(VLOOKUP($A94,'[96]11月'!$A:$H,8,0),0)</f>
        <v>0</v>
      </c>
      <c r="AJ94" s="688">
        <f>IFERROR(VLOOKUP($A94,'[96]12月'!$A:$H,8,0),0)</f>
        <v>0</v>
      </c>
      <c r="AK94" s="688">
        <f t="shared" si="39"/>
        <v>0</v>
      </c>
    </row>
    <row r="95" spans="1:37" ht="11.1" customHeight="1">
      <c r="A95" s="653">
        <f>'Budget-合并'!A95</f>
        <v>0</v>
      </c>
      <c r="B95" s="653" t="str">
        <f>'Budget-合并'!B95</f>
        <v xml:space="preserve">    旭智富能03</v>
      </c>
      <c r="C95" s="687" t="str">
        <f>'Budget-合并'!C95</f>
        <v xml:space="preserve">   Foxpower</v>
      </c>
      <c r="D95" s="676">
        <f t="shared" si="33"/>
        <v>0</v>
      </c>
      <c r="E95" s="676">
        <f t="shared" si="34"/>
        <v>0</v>
      </c>
      <c r="F95" s="676">
        <f t="shared" si="35"/>
        <v>0</v>
      </c>
      <c r="G95" s="676">
        <f t="shared" ca="1" si="36"/>
        <v>0</v>
      </c>
      <c r="H95" s="676">
        <f t="shared" ca="1" si="30"/>
        <v>0</v>
      </c>
      <c r="I95" s="676">
        <f t="shared" ca="1" si="37"/>
        <v>0</v>
      </c>
      <c r="K95" s="676"/>
      <c r="L95" s="676"/>
      <c r="M95" s="676"/>
      <c r="N95" s="676"/>
      <c r="O95" s="676"/>
      <c r="P95" s="676"/>
      <c r="Q95" s="676"/>
      <c r="R95" s="676"/>
      <c r="S95" s="676"/>
      <c r="T95" s="676"/>
      <c r="U95" s="676"/>
      <c r="V95" s="676"/>
      <c r="W95" s="676">
        <f t="shared" si="45"/>
        <v>0</v>
      </c>
      <c r="Y95" s="688">
        <f>IFERROR(VLOOKUP($A95,'[96]1月'!$A:$H,8,0),0)</f>
        <v>0</v>
      </c>
      <c r="Z95" s="688">
        <f>IFERROR(VLOOKUP($A95,'[96]2月'!$A:$H,8,0),0)</f>
        <v>0</v>
      </c>
      <c r="AA95" s="688">
        <f>IFERROR(VLOOKUP($A95,'[96]3月'!$A:$H,8,0),0)</f>
        <v>0</v>
      </c>
      <c r="AB95" s="688">
        <f>IFERROR(VLOOKUP($A95,'[96]4月'!$A:$H,8,0),0)</f>
        <v>0</v>
      </c>
      <c r="AC95" s="688">
        <f>IFERROR(VLOOKUP($A95,'[96]5月'!$A:$H,8,0),0)</f>
        <v>0</v>
      </c>
      <c r="AD95" s="688">
        <f>IFERROR(VLOOKUP($A95,'[96]6月'!$A:$H,8,0),0)</f>
        <v>0</v>
      </c>
      <c r="AE95" s="688">
        <f>IFERROR(VLOOKUP($A95,'[96]7月'!$A:$H,8,0),0)</f>
        <v>0</v>
      </c>
      <c r="AF95" s="688">
        <f>IFERROR(VLOOKUP($A95,'[96]8月'!$A:$H,8,0),0)</f>
        <v>0</v>
      </c>
      <c r="AG95" s="688">
        <f>IFERROR(VLOOKUP($A95,'[96]9月'!$A:$H,8,0),0)</f>
        <v>0</v>
      </c>
      <c r="AH95" s="688">
        <f>IFERROR(VLOOKUP($A95,'[96]10月'!$A:$H,8,0),0)</f>
        <v>0</v>
      </c>
      <c r="AI95" s="688">
        <f>IFERROR(VLOOKUP($A95,'[96]11月'!$A:$H,8,0),0)</f>
        <v>0</v>
      </c>
      <c r="AJ95" s="688">
        <f>IFERROR(VLOOKUP($A95,'[96]12月'!$A:$H,8,0),0)</f>
        <v>0</v>
      </c>
      <c r="AK95" s="688">
        <f t="shared" si="39"/>
        <v>0</v>
      </c>
    </row>
    <row r="96" spans="1:37" ht="11.1" customHeight="1">
      <c r="A96" s="653">
        <f>'Budget-合并'!A96</f>
        <v>0</v>
      </c>
      <c r="B96" s="653" t="str">
        <f>'Budget-合并'!B96</f>
        <v xml:space="preserve">    其他项目03</v>
      </c>
      <c r="C96" s="687" t="str">
        <f>'Budget-合并'!C96</f>
        <v xml:space="preserve">   Other project</v>
      </c>
      <c r="D96" s="676">
        <f t="shared" si="33"/>
        <v>0</v>
      </c>
      <c r="E96" s="676">
        <f t="shared" si="34"/>
        <v>0</v>
      </c>
      <c r="F96" s="676">
        <f t="shared" si="35"/>
        <v>0</v>
      </c>
      <c r="G96" s="676">
        <f t="shared" ca="1" si="36"/>
        <v>0</v>
      </c>
      <c r="H96" s="676">
        <f t="shared" ca="1" si="30"/>
        <v>0</v>
      </c>
      <c r="I96" s="676">
        <f t="shared" ca="1" si="37"/>
        <v>0</v>
      </c>
      <c r="K96" s="676"/>
      <c r="L96" s="676"/>
      <c r="M96" s="676"/>
      <c r="N96" s="676"/>
      <c r="O96" s="676"/>
      <c r="P96" s="676"/>
      <c r="Q96" s="676"/>
      <c r="R96" s="676"/>
      <c r="S96" s="676"/>
      <c r="T96" s="676"/>
      <c r="U96" s="676"/>
      <c r="V96" s="676"/>
      <c r="W96" s="676">
        <f t="shared" si="45"/>
        <v>0</v>
      </c>
      <c r="Y96" s="688">
        <f>IFERROR(VLOOKUP($A96,'[96]1月'!$A:$H,8,0),0)</f>
        <v>0</v>
      </c>
      <c r="Z96" s="688">
        <f>IFERROR(VLOOKUP($A96,'[96]2月'!$A:$H,8,0),0)</f>
        <v>0</v>
      </c>
      <c r="AA96" s="688">
        <f>IFERROR(VLOOKUP($A96,'[96]3月'!$A:$H,8,0),0)</f>
        <v>0</v>
      </c>
      <c r="AB96" s="688">
        <f>IFERROR(VLOOKUP($A96,'[96]4月'!$A:$H,8,0),0)</f>
        <v>0</v>
      </c>
      <c r="AC96" s="688">
        <f>IFERROR(VLOOKUP($A96,'[96]5月'!$A:$H,8,0),0)</f>
        <v>0</v>
      </c>
      <c r="AD96" s="688">
        <f>IFERROR(VLOOKUP($A96,'[96]6月'!$A:$H,8,0),0)</f>
        <v>0</v>
      </c>
      <c r="AE96" s="688">
        <f>IFERROR(VLOOKUP($A96,'[96]7月'!$A:$H,8,0),0)</f>
        <v>0</v>
      </c>
      <c r="AF96" s="688">
        <f>IFERROR(VLOOKUP($A96,'[96]8月'!$A:$H,8,0),0)</f>
        <v>0</v>
      </c>
      <c r="AG96" s="688">
        <f>IFERROR(VLOOKUP($A96,'[96]9月'!$A:$H,8,0),0)</f>
        <v>0</v>
      </c>
      <c r="AH96" s="688">
        <f>IFERROR(VLOOKUP($A96,'[96]10月'!$A:$H,8,0),0)</f>
        <v>0</v>
      </c>
      <c r="AI96" s="688">
        <f>IFERROR(VLOOKUP($A96,'[96]11月'!$A:$H,8,0),0)</f>
        <v>0</v>
      </c>
      <c r="AJ96" s="688">
        <f>IFERROR(VLOOKUP($A96,'[96]12月'!$A:$H,8,0),0)</f>
        <v>0</v>
      </c>
      <c r="AK96" s="688">
        <f t="shared" si="39"/>
        <v>0</v>
      </c>
    </row>
    <row r="97" spans="1:37" ht="11.1" customHeight="1">
      <c r="A97" s="653" t="str">
        <f>'Budget-合并'!A97</f>
        <v>6602.09.02</v>
      </c>
      <c r="B97" s="653" t="str">
        <f>'Budget-合并'!B97</f>
        <v>伙食费</v>
      </c>
      <c r="C97" s="687">
        <f>'Budget-合并'!C97</f>
        <v>0</v>
      </c>
      <c r="D97" s="676">
        <f t="shared" si="33"/>
        <v>0</v>
      </c>
      <c r="E97" s="676">
        <f t="shared" si="34"/>
        <v>0</v>
      </c>
      <c r="F97" s="676">
        <f t="shared" si="35"/>
        <v>0</v>
      </c>
      <c r="G97" s="676">
        <f t="shared" ca="1" si="36"/>
        <v>0</v>
      </c>
      <c r="H97" s="676">
        <f t="shared" ca="1" si="30"/>
        <v>0</v>
      </c>
      <c r="I97" s="676">
        <f t="shared" ca="1" si="37"/>
        <v>0</v>
      </c>
      <c r="K97" s="676">
        <f t="shared" ref="K97:V97" si="48">SUM(K98:K100)</f>
        <v>0</v>
      </c>
      <c r="L97" s="676">
        <f t="shared" si="48"/>
        <v>0</v>
      </c>
      <c r="M97" s="676">
        <f t="shared" si="48"/>
        <v>0</v>
      </c>
      <c r="N97" s="676">
        <f t="shared" si="48"/>
        <v>0</v>
      </c>
      <c r="O97" s="676">
        <f t="shared" si="48"/>
        <v>0</v>
      </c>
      <c r="P97" s="676">
        <f t="shared" si="48"/>
        <v>0</v>
      </c>
      <c r="Q97" s="676">
        <f t="shared" si="48"/>
        <v>0</v>
      </c>
      <c r="R97" s="676">
        <f t="shared" si="48"/>
        <v>0</v>
      </c>
      <c r="S97" s="676">
        <f t="shared" si="48"/>
        <v>0</v>
      </c>
      <c r="T97" s="676">
        <f t="shared" si="48"/>
        <v>0</v>
      </c>
      <c r="U97" s="676">
        <f t="shared" si="48"/>
        <v>0</v>
      </c>
      <c r="V97" s="676">
        <f t="shared" si="48"/>
        <v>0</v>
      </c>
      <c r="W97" s="676">
        <f t="shared" si="45"/>
        <v>0</v>
      </c>
      <c r="Y97" s="688">
        <f>IFERROR(VLOOKUP($A97,'[96]1月'!$A:$H,8,0),0)</f>
        <v>0</v>
      </c>
      <c r="Z97" s="688">
        <f>IFERROR(VLOOKUP($A97,'[96]2月'!$A:$H,8,0),0)</f>
        <v>0</v>
      </c>
      <c r="AA97" s="688">
        <f>IFERROR(VLOOKUP($A97,'[96]3月'!$A:$H,8,0),0)</f>
        <v>0</v>
      </c>
      <c r="AB97" s="688">
        <f>IFERROR(VLOOKUP($A97,'[96]4月'!$A:$H,8,0),0)</f>
        <v>0</v>
      </c>
      <c r="AC97" s="688">
        <f>IFERROR(VLOOKUP($A97,'[96]5月'!$A:$H,8,0),0)</f>
        <v>0</v>
      </c>
      <c r="AD97" s="688">
        <f>IFERROR(VLOOKUP($A97,'[96]6月'!$A:$H,8,0),0)</f>
        <v>0</v>
      </c>
      <c r="AE97" s="688">
        <f>IFERROR(VLOOKUP($A97,'[96]7月'!$A:$H,8,0),0)</f>
        <v>0</v>
      </c>
      <c r="AF97" s="688">
        <f>IFERROR(VLOOKUP($A97,'[96]8月'!$A:$H,8,0),0)</f>
        <v>0</v>
      </c>
      <c r="AG97" s="688">
        <f>IFERROR(VLOOKUP($A97,'[96]9月'!$A:$H,8,0),0)</f>
        <v>0</v>
      </c>
      <c r="AH97" s="688">
        <f>IFERROR(VLOOKUP($A97,'[96]10月'!$A:$H,8,0),0)</f>
        <v>0</v>
      </c>
      <c r="AI97" s="688">
        <f>IFERROR(VLOOKUP($A97,'[96]11月'!$A:$H,8,0),0)</f>
        <v>0</v>
      </c>
      <c r="AJ97" s="688">
        <f>IFERROR(VLOOKUP($A97,'[96]12月'!$A:$H,8,0),0)</f>
        <v>0</v>
      </c>
      <c r="AK97" s="688">
        <f t="shared" si="39"/>
        <v>0</v>
      </c>
    </row>
    <row r="98" spans="1:37" ht="11.1" customHeight="1">
      <c r="A98" s="653">
        <f>'Budget-合并'!A98</f>
        <v>0</v>
      </c>
      <c r="B98" s="653" t="str">
        <f>'Budget-合并'!B98</f>
        <v xml:space="preserve">    公司主体04</v>
      </c>
      <c r="C98" s="687" t="str">
        <f>'Budget-合并'!C98</f>
        <v xml:space="preserve">   Entity</v>
      </c>
      <c r="D98" s="676">
        <f t="shared" si="33"/>
        <v>0</v>
      </c>
      <c r="E98" s="676">
        <f t="shared" si="34"/>
        <v>0</v>
      </c>
      <c r="F98" s="676">
        <f t="shared" si="35"/>
        <v>0</v>
      </c>
      <c r="G98" s="676">
        <f t="shared" ca="1" si="36"/>
        <v>0</v>
      </c>
      <c r="H98" s="676">
        <f t="shared" ca="1" si="30"/>
        <v>0</v>
      </c>
      <c r="I98" s="676">
        <f t="shared" ca="1" si="37"/>
        <v>0</v>
      </c>
      <c r="K98" s="676"/>
      <c r="L98" s="676"/>
      <c r="M98" s="676"/>
      <c r="N98" s="676"/>
      <c r="O98" s="676"/>
      <c r="P98" s="676"/>
      <c r="Q98" s="676"/>
      <c r="R98" s="676"/>
      <c r="S98" s="676"/>
      <c r="T98" s="676"/>
      <c r="U98" s="676"/>
      <c r="V98" s="676"/>
      <c r="W98" s="676">
        <f t="shared" si="45"/>
        <v>0</v>
      </c>
      <c r="Y98" s="688">
        <f>IFERROR(VLOOKUP($A98,'[96]1月'!$A:$H,8,0),0)</f>
        <v>0</v>
      </c>
      <c r="Z98" s="688">
        <f>IFERROR(VLOOKUP($A98,'[96]2月'!$A:$H,8,0),0)</f>
        <v>0</v>
      </c>
      <c r="AA98" s="688">
        <f>IFERROR(VLOOKUP($A98,'[96]3月'!$A:$H,8,0),0)</f>
        <v>0</v>
      </c>
      <c r="AB98" s="688">
        <f>IFERROR(VLOOKUP($A98,'[96]4月'!$A:$H,8,0),0)</f>
        <v>0</v>
      </c>
      <c r="AC98" s="688">
        <f>IFERROR(VLOOKUP($A98,'[96]5月'!$A:$H,8,0),0)</f>
        <v>0</v>
      </c>
      <c r="AD98" s="688">
        <f>IFERROR(VLOOKUP($A98,'[96]6月'!$A:$H,8,0),0)</f>
        <v>0</v>
      </c>
      <c r="AE98" s="688">
        <f>IFERROR(VLOOKUP($A98,'[96]7月'!$A:$H,8,0),0)</f>
        <v>0</v>
      </c>
      <c r="AF98" s="688">
        <f>IFERROR(VLOOKUP($A98,'[96]8月'!$A:$H,8,0),0)</f>
        <v>0</v>
      </c>
      <c r="AG98" s="688">
        <f>IFERROR(VLOOKUP($A98,'[96]9月'!$A:$H,8,0),0)</f>
        <v>0</v>
      </c>
      <c r="AH98" s="688">
        <f>IFERROR(VLOOKUP($A98,'[96]10月'!$A:$H,8,0),0)</f>
        <v>0</v>
      </c>
      <c r="AI98" s="688">
        <f>IFERROR(VLOOKUP($A98,'[96]11月'!$A:$H,8,0),0)</f>
        <v>0</v>
      </c>
      <c r="AJ98" s="688">
        <f>IFERROR(VLOOKUP($A98,'[96]12月'!$A:$H,8,0),0)</f>
        <v>0</v>
      </c>
      <c r="AK98" s="688">
        <f t="shared" si="39"/>
        <v>0</v>
      </c>
    </row>
    <row r="99" spans="1:37" ht="11.1" customHeight="1">
      <c r="A99" s="653">
        <f>'Budget-合并'!A99</f>
        <v>0</v>
      </c>
      <c r="B99" s="653" t="str">
        <f>'Budget-合并'!B99</f>
        <v xml:space="preserve">    旭智富能04</v>
      </c>
      <c r="C99" s="687" t="str">
        <f>'Budget-合并'!C99</f>
        <v xml:space="preserve">   Foxpower</v>
      </c>
      <c r="D99" s="676">
        <f t="shared" si="33"/>
        <v>0</v>
      </c>
      <c r="E99" s="676">
        <f t="shared" si="34"/>
        <v>0</v>
      </c>
      <c r="F99" s="676">
        <f t="shared" si="35"/>
        <v>0</v>
      </c>
      <c r="G99" s="676">
        <f t="shared" ca="1" si="36"/>
        <v>0</v>
      </c>
      <c r="H99" s="676">
        <f t="shared" ca="1" si="30"/>
        <v>0</v>
      </c>
      <c r="I99" s="676">
        <f t="shared" ca="1" si="37"/>
        <v>0</v>
      </c>
      <c r="K99" s="676"/>
      <c r="L99" s="676"/>
      <c r="M99" s="676"/>
      <c r="N99" s="676"/>
      <c r="O99" s="676"/>
      <c r="P99" s="676"/>
      <c r="Q99" s="676"/>
      <c r="R99" s="676"/>
      <c r="S99" s="676"/>
      <c r="T99" s="676"/>
      <c r="U99" s="676"/>
      <c r="V99" s="676"/>
      <c r="W99" s="676">
        <f t="shared" si="45"/>
        <v>0</v>
      </c>
      <c r="Y99" s="688">
        <f>IFERROR(VLOOKUP($A99,'[96]1月'!$A:$H,8,0),0)</f>
        <v>0</v>
      </c>
      <c r="Z99" s="688">
        <f>IFERROR(VLOOKUP($A99,'[96]2月'!$A:$H,8,0),0)</f>
        <v>0</v>
      </c>
      <c r="AA99" s="688">
        <f>IFERROR(VLOOKUP($A99,'[96]3月'!$A:$H,8,0),0)</f>
        <v>0</v>
      </c>
      <c r="AB99" s="688">
        <f>IFERROR(VLOOKUP($A99,'[96]4月'!$A:$H,8,0),0)</f>
        <v>0</v>
      </c>
      <c r="AC99" s="688">
        <f>IFERROR(VLOOKUP($A99,'[96]5月'!$A:$H,8,0),0)</f>
        <v>0</v>
      </c>
      <c r="AD99" s="688">
        <f>IFERROR(VLOOKUP($A99,'[96]6月'!$A:$H,8,0),0)</f>
        <v>0</v>
      </c>
      <c r="AE99" s="688">
        <f>IFERROR(VLOOKUP($A99,'[96]7月'!$A:$H,8,0),0)</f>
        <v>0</v>
      </c>
      <c r="AF99" s="688">
        <f>IFERROR(VLOOKUP($A99,'[96]8月'!$A:$H,8,0),0)</f>
        <v>0</v>
      </c>
      <c r="AG99" s="688">
        <f>IFERROR(VLOOKUP($A99,'[96]9月'!$A:$H,8,0),0)</f>
        <v>0</v>
      </c>
      <c r="AH99" s="688">
        <f>IFERROR(VLOOKUP($A99,'[96]10月'!$A:$H,8,0),0)</f>
        <v>0</v>
      </c>
      <c r="AI99" s="688">
        <f>IFERROR(VLOOKUP($A99,'[96]11月'!$A:$H,8,0),0)</f>
        <v>0</v>
      </c>
      <c r="AJ99" s="688">
        <f>IFERROR(VLOOKUP($A99,'[96]12月'!$A:$H,8,0),0)</f>
        <v>0</v>
      </c>
      <c r="AK99" s="688">
        <f t="shared" si="39"/>
        <v>0</v>
      </c>
    </row>
    <row r="100" spans="1:37" ht="11.1" customHeight="1">
      <c r="A100" s="653">
        <f>'Budget-合并'!A100</f>
        <v>0</v>
      </c>
      <c r="B100" s="653" t="str">
        <f>'Budget-合并'!B100</f>
        <v xml:space="preserve">    其他项目04</v>
      </c>
      <c r="C100" s="687" t="str">
        <f>'Budget-合并'!C100</f>
        <v xml:space="preserve">   Other project</v>
      </c>
      <c r="D100" s="676">
        <f t="shared" si="33"/>
        <v>0</v>
      </c>
      <c r="E100" s="676">
        <f t="shared" si="34"/>
        <v>0</v>
      </c>
      <c r="F100" s="676">
        <f t="shared" si="35"/>
        <v>0</v>
      </c>
      <c r="G100" s="676">
        <f t="shared" ca="1" si="36"/>
        <v>0</v>
      </c>
      <c r="H100" s="676">
        <f t="shared" ca="1" si="30"/>
        <v>0</v>
      </c>
      <c r="I100" s="676">
        <f t="shared" ca="1" si="37"/>
        <v>0</v>
      </c>
      <c r="K100" s="676">
        <f t="shared" ref="K100:V100" si="49">SUM(K101:K103)</f>
        <v>0</v>
      </c>
      <c r="L100" s="676">
        <f t="shared" si="49"/>
        <v>0</v>
      </c>
      <c r="M100" s="676">
        <f t="shared" si="49"/>
        <v>0</v>
      </c>
      <c r="N100" s="676">
        <f t="shared" si="49"/>
        <v>0</v>
      </c>
      <c r="O100" s="676">
        <f t="shared" si="49"/>
        <v>0</v>
      </c>
      <c r="P100" s="676">
        <f t="shared" si="49"/>
        <v>0</v>
      </c>
      <c r="Q100" s="676">
        <f t="shared" si="49"/>
        <v>0</v>
      </c>
      <c r="R100" s="676">
        <f t="shared" si="49"/>
        <v>0</v>
      </c>
      <c r="S100" s="676">
        <f t="shared" si="49"/>
        <v>0</v>
      </c>
      <c r="T100" s="676">
        <f t="shared" si="49"/>
        <v>0</v>
      </c>
      <c r="U100" s="676">
        <f t="shared" si="49"/>
        <v>0</v>
      </c>
      <c r="V100" s="676">
        <f t="shared" si="49"/>
        <v>0</v>
      </c>
      <c r="W100" s="676">
        <f t="shared" si="45"/>
        <v>0</v>
      </c>
      <c r="Y100" s="688">
        <f>IFERROR(VLOOKUP($A100,'[96]1月'!$A:$H,8,0),0)</f>
        <v>0</v>
      </c>
      <c r="Z100" s="688">
        <f>IFERROR(VLOOKUP($A100,'[96]2月'!$A:$H,8,0),0)</f>
        <v>0</v>
      </c>
      <c r="AA100" s="688">
        <f>IFERROR(VLOOKUP($A100,'[96]3月'!$A:$H,8,0),0)</f>
        <v>0</v>
      </c>
      <c r="AB100" s="688">
        <f>IFERROR(VLOOKUP($A100,'[96]4月'!$A:$H,8,0),0)</f>
        <v>0</v>
      </c>
      <c r="AC100" s="688">
        <f>IFERROR(VLOOKUP($A100,'[96]5月'!$A:$H,8,0),0)</f>
        <v>0</v>
      </c>
      <c r="AD100" s="688">
        <f>IFERROR(VLOOKUP($A100,'[96]6月'!$A:$H,8,0),0)</f>
        <v>0</v>
      </c>
      <c r="AE100" s="688">
        <f>IFERROR(VLOOKUP($A100,'[96]7月'!$A:$H,8,0),0)</f>
        <v>0</v>
      </c>
      <c r="AF100" s="688">
        <f>IFERROR(VLOOKUP($A100,'[96]8月'!$A:$H,8,0),0)</f>
        <v>0</v>
      </c>
      <c r="AG100" s="688">
        <f>IFERROR(VLOOKUP($A100,'[96]9月'!$A:$H,8,0),0)</f>
        <v>0</v>
      </c>
      <c r="AH100" s="688">
        <f>IFERROR(VLOOKUP($A100,'[96]10月'!$A:$H,8,0),0)</f>
        <v>0</v>
      </c>
      <c r="AI100" s="688">
        <f>IFERROR(VLOOKUP($A100,'[96]11月'!$A:$H,8,0),0)</f>
        <v>0</v>
      </c>
      <c r="AJ100" s="688">
        <f>IFERROR(VLOOKUP($A100,'[96]12月'!$A:$H,8,0),0)</f>
        <v>0</v>
      </c>
      <c r="AK100" s="688">
        <f t="shared" si="39"/>
        <v>0</v>
      </c>
    </row>
    <row r="101" spans="1:37" ht="11.1" customHeight="1">
      <c r="A101" s="653" t="str">
        <f>'Budget-合并'!A101</f>
        <v>6602.09.03</v>
      </c>
      <c r="B101" s="653" t="str">
        <f>'Budget-合并'!B101</f>
        <v>地面交通费</v>
      </c>
      <c r="C101" s="687" t="str">
        <f>'Budget-合并'!C101</f>
        <v>Travel Ground Transport - Outstation</v>
      </c>
      <c r="D101" s="676">
        <f t="shared" si="33"/>
        <v>0</v>
      </c>
      <c r="E101" s="676">
        <f t="shared" si="34"/>
        <v>0</v>
      </c>
      <c r="F101" s="676">
        <f t="shared" si="35"/>
        <v>0</v>
      </c>
      <c r="G101" s="676">
        <f t="shared" ca="1" si="36"/>
        <v>0</v>
      </c>
      <c r="H101" s="676">
        <f t="shared" ca="1" si="30"/>
        <v>0</v>
      </c>
      <c r="I101" s="676">
        <f t="shared" ca="1" si="37"/>
        <v>0</v>
      </c>
      <c r="K101" s="676">
        <f t="shared" ref="K101:V101" si="50">SUM(K102:K104)</f>
        <v>0</v>
      </c>
      <c r="L101" s="676">
        <f t="shared" si="50"/>
        <v>0</v>
      </c>
      <c r="M101" s="676">
        <f t="shared" si="50"/>
        <v>0</v>
      </c>
      <c r="N101" s="676">
        <f t="shared" si="50"/>
        <v>0</v>
      </c>
      <c r="O101" s="676">
        <f t="shared" si="50"/>
        <v>0</v>
      </c>
      <c r="P101" s="676">
        <f t="shared" si="50"/>
        <v>0</v>
      </c>
      <c r="Q101" s="676">
        <f t="shared" si="50"/>
        <v>0</v>
      </c>
      <c r="R101" s="676">
        <f t="shared" si="50"/>
        <v>0</v>
      </c>
      <c r="S101" s="676">
        <f t="shared" si="50"/>
        <v>0</v>
      </c>
      <c r="T101" s="676">
        <f t="shared" si="50"/>
        <v>0</v>
      </c>
      <c r="U101" s="676">
        <f t="shared" si="50"/>
        <v>0</v>
      </c>
      <c r="V101" s="676">
        <f t="shared" si="50"/>
        <v>0</v>
      </c>
      <c r="W101" s="676">
        <f t="shared" si="45"/>
        <v>0</v>
      </c>
      <c r="Y101" s="688">
        <f>IFERROR(VLOOKUP($A101,'[96]1月'!$A:$H,8,0),0)</f>
        <v>0</v>
      </c>
      <c r="Z101" s="688">
        <f>IFERROR(VLOOKUP($A101,'[96]2月'!$A:$H,8,0),0)</f>
        <v>0</v>
      </c>
      <c r="AA101" s="688">
        <f>IFERROR(VLOOKUP($A101,'[96]3月'!$A:$H,8,0),0)</f>
        <v>0</v>
      </c>
      <c r="AB101" s="688">
        <f>IFERROR(VLOOKUP($A101,'[96]4月'!$A:$H,8,0),0)</f>
        <v>0</v>
      </c>
      <c r="AC101" s="688">
        <f>IFERROR(VLOOKUP($A101,'[96]5月'!$A:$H,8,0),0)</f>
        <v>0</v>
      </c>
      <c r="AD101" s="688">
        <f>IFERROR(VLOOKUP($A101,'[96]6月'!$A:$H,8,0),0)</f>
        <v>0</v>
      </c>
      <c r="AE101" s="688">
        <f>IFERROR(VLOOKUP($A101,'[96]7月'!$A:$H,8,0),0)</f>
        <v>0</v>
      </c>
      <c r="AF101" s="688">
        <f>IFERROR(VLOOKUP($A101,'[96]8月'!$A:$H,8,0),0)</f>
        <v>0</v>
      </c>
      <c r="AG101" s="688">
        <f>IFERROR(VLOOKUP($A101,'[96]9月'!$A:$H,8,0),0)</f>
        <v>0</v>
      </c>
      <c r="AH101" s="688">
        <f>IFERROR(VLOOKUP($A101,'[96]10月'!$A:$H,8,0),0)</f>
        <v>0</v>
      </c>
      <c r="AI101" s="688">
        <f>IFERROR(VLOOKUP($A101,'[96]11月'!$A:$H,8,0),0)</f>
        <v>0</v>
      </c>
      <c r="AJ101" s="688">
        <f>IFERROR(VLOOKUP($A101,'[96]12月'!$A:$H,8,0),0)</f>
        <v>0</v>
      </c>
      <c r="AK101" s="688">
        <f t="shared" si="39"/>
        <v>0</v>
      </c>
    </row>
    <row r="102" spans="1:37" ht="11.1" customHeight="1">
      <c r="A102" s="653">
        <f>'Budget-合并'!A102</f>
        <v>0</v>
      </c>
      <c r="B102" s="653" t="str">
        <f>'Budget-合并'!B102</f>
        <v xml:space="preserve">    公司主体05</v>
      </c>
      <c r="C102" s="687" t="str">
        <f>'Budget-合并'!C102</f>
        <v xml:space="preserve">   Entity</v>
      </c>
      <c r="D102" s="676">
        <f t="shared" si="33"/>
        <v>0</v>
      </c>
      <c r="E102" s="676">
        <f t="shared" si="34"/>
        <v>0</v>
      </c>
      <c r="F102" s="676">
        <f t="shared" si="35"/>
        <v>0</v>
      </c>
      <c r="G102" s="676">
        <f t="shared" ca="1" si="36"/>
        <v>0</v>
      </c>
      <c r="H102" s="676">
        <f t="shared" ca="1" si="30"/>
        <v>0</v>
      </c>
      <c r="I102" s="676">
        <f t="shared" ca="1" si="37"/>
        <v>0</v>
      </c>
      <c r="K102" s="676"/>
      <c r="L102" s="676"/>
      <c r="M102" s="676"/>
      <c r="N102" s="676"/>
      <c r="O102" s="676"/>
      <c r="P102" s="676"/>
      <c r="Q102" s="676"/>
      <c r="R102" s="676"/>
      <c r="S102" s="676"/>
      <c r="T102" s="676"/>
      <c r="U102" s="676"/>
      <c r="V102" s="676"/>
      <c r="W102" s="676">
        <f t="shared" si="45"/>
        <v>0</v>
      </c>
      <c r="Y102" s="688">
        <f>IFERROR(VLOOKUP($A102,'[96]1月'!$A:$H,8,0),0)</f>
        <v>0</v>
      </c>
      <c r="Z102" s="688">
        <f>IFERROR(VLOOKUP($A102,'[96]2月'!$A:$H,8,0),0)</f>
        <v>0</v>
      </c>
      <c r="AA102" s="688">
        <f>IFERROR(VLOOKUP($A102,'[96]3月'!$A:$H,8,0),0)</f>
        <v>0</v>
      </c>
      <c r="AB102" s="688">
        <f>IFERROR(VLOOKUP($A102,'[96]4月'!$A:$H,8,0),0)</f>
        <v>0</v>
      </c>
      <c r="AC102" s="688">
        <f>IFERROR(VLOOKUP($A102,'[96]5月'!$A:$H,8,0),0)</f>
        <v>0</v>
      </c>
      <c r="AD102" s="688">
        <f>IFERROR(VLOOKUP($A102,'[96]6月'!$A:$H,8,0),0)</f>
        <v>0</v>
      </c>
      <c r="AE102" s="688">
        <f>IFERROR(VLOOKUP($A102,'[96]7月'!$A:$H,8,0),0)</f>
        <v>0</v>
      </c>
      <c r="AF102" s="688">
        <f>IFERROR(VLOOKUP($A102,'[96]8月'!$A:$H,8,0),0)</f>
        <v>0</v>
      </c>
      <c r="AG102" s="688">
        <f>IFERROR(VLOOKUP($A102,'[96]9月'!$A:$H,8,0),0)</f>
        <v>0</v>
      </c>
      <c r="AH102" s="688">
        <f>IFERROR(VLOOKUP($A102,'[96]10月'!$A:$H,8,0),0)</f>
        <v>0</v>
      </c>
      <c r="AI102" s="688">
        <f>IFERROR(VLOOKUP($A102,'[96]11月'!$A:$H,8,0),0)</f>
        <v>0</v>
      </c>
      <c r="AJ102" s="688">
        <f>IFERROR(VLOOKUP($A102,'[96]12月'!$A:$H,8,0),0)</f>
        <v>0</v>
      </c>
      <c r="AK102" s="688">
        <f t="shared" si="39"/>
        <v>0</v>
      </c>
    </row>
    <row r="103" spans="1:37" ht="11.1" customHeight="1">
      <c r="A103" s="653">
        <f>'Budget-合并'!A103</f>
        <v>0</v>
      </c>
      <c r="B103" s="653" t="str">
        <f>'Budget-合并'!B103</f>
        <v xml:space="preserve">    旭智富能05</v>
      </c>
      <c r="C103" s="687" t="str">
        <f>'Budget-合并'!C103</f>
        <v xml:space="preserve">   Foxpower</v>
      </c>
      <c r="D103" s="676">
        <f t="shared" si="33"/>
        <v>0</v>
      </c>
      <c r="E103" s="676">
        <f t="shared" si="34"/>
        <v>0</v>
      </c>
      <c r="F103" s="676">
        <f t="shared" si="35"/>
        <v>0</v>
      </c>
      <c r="G103" s="676">
        <f t="shared" ca="1" si="36"/>
        <v>0</v>
      </c>
      <c r="H103" s="676">
        <f t="shared" ca="1" si="30"/>
        <v>0</v>
      </c>
      <c r="I103" s="676">
        <f t="shared" ca="1" si="37"/>
        <v>0</v>
      </c>
      <c r="K103" s="676"/>
      <c r="L103" s="676"/>
      <c r="M103" s="676"/>
      <c r="N103" s="676"/>
      <c r="O103" s="676"/>
      <c r="P103" s="676"/>
      <c r="Q103" s="676"/>
      <c r="R103" s="676"/>
      <c r="S103" s="676"/>
      <c r="T103" s="676"/>
      <c r="U103" s="676"/>
      <c r="V103" s="676"/>
      <c r="W103" s="676">
        <f t="shared" si="45"/>
        <v>0</v>
      </c>
      <c r="Y103" s="688">
        <f>IFERROR(VLOOKUP($A103,'[96]1月'!$A:$H,8,0),0)</f>
        <v>0</v>
      </c>
      <c r="Z103" s="688">
        <f>IFERROR(VLOOKUP($A103,'[96]2月'!$A:$H,8,0),0)</f>
        <v>0</v>
      </c>
      <c r="AA103" s="688">
        <f>IFERROR(VLOOKUP($A103,'[96]3月'!$A:$H,8,0),0)</f>
        <v>0</v>
      </c>
      <c r="AB103" s="688">
        <f>IFERROR(VLOOKUP($A103,'[96]4月'!$A:$H,8,0),0)</f>
        <v>0</v>
      </c>
      <c r="AC103" s="688">
        <f>IFERROR(VLOOKUP($A103,'[96]5月'!$A:$H,8,0),0)</f>
        <v>0</v>
      </c>
      <c r="AD103" s="688">
        <f>IFERROR(VLOOKUP($A103,'[96]6月'!$A:$H,8,0),0)</f>
        <v>0</v>
      </c>
      <c r="AE103" s="688">
        <f>IFERROR(VLOOKUP($A103,'[96]7月'!$A:$H,8,0),0)</f>
        <v>0</v>
      </c>
      <c r="AF103" s="688">
        <f>IFERROR(VLOOKUP($A103,'[96]8月'!$A:$H,8,0),0)</f>
        <v>0</v>
      </c>
      <c r="AG103" s="688">
        <f>IFERROR(VLOOKUP($A103,'[96]9月'!$A:$H,8,0),0)</f>
        <v>0</v>
      </c>
      <c r="AH103" s="688">
        <f>IFERROR(VLOOKUP($A103,'[96]10月'!$A:$H,8,0),0)</f>
        <v>0</v>
      </c>
      <c r="AI103" s="688">
        <f>IFERROR(VLOOKUP($A103,'[96]11月'!$A:$H,8,0),0)</f>
        <v>0</v>
      </c>
      <c r="AJ103" s="688">
        <f>IFERROR(VLOOKUP($A103,'[96]12月'!$A:$H,8,0),0)</f>
        <v>0</v>
      </c>
      <c r="AK103" s="688">
        <f t="shared" si="39"/>
        <v>0</v>
      </c>
    </row>
    <row r="104" spans="1:37" ht="11.1" customHeight="1">
      <c r="A104" s="653">
        <f>'Budget-合并'!A104</f>
        <v>0</v>
      </c>
      <c r="B104" s="653" t="str">
        <f>'Budget-合并'!B104</f>
        <v xml:space="preserve">    其他项目05</v>
      </c>
      <c r="C104" s="687" t="str">
        <f>'Budget-合并'!C104</f>
        <v xml:space="preserve">   Other project</v>
      </c>
      <c r="D104" s="676">
        <f t="shared" si="33"/>
        <v>0</v>
      </c>
      <c r="E104" s="676">
        <f t="shared" si="34"/>
        <v>0</v>
      </c>
      <c r="F104" s="676">
        <f t="shared" si="35"/>
        <v>0</v>
      </c>
      <c r="G104" s="676">
        <f t="shared" ca="1" si="36"/>
        <v>0</v>
      </c>
      <c r="H104" s="676">
        <f t="shared" ca="1" si="30"/>
        <v>0</v>
      </c>
      <c r="I104" s="676">
        <f t="shared" ca="1" si="37"/>
        <v>0</v>
      </c>
      <c r="K104" s="676"/>
      <c r="L104" s="676"/>
      <c r="M104" s="676"/>
      <c r="N104" s="676"/>
      <c r="O104" s="676"/>
      <c r="P104" s="676"/>
      <c r="Q104" s="676"/>
      <c r="R104" s="676"/>
      <c r="S104" s="676"/>
      <c r="T104" s="676"/>
      <c r="U104" s="676"/>
      <c r="V104" s="676"/>
      <c r="W104" s="676">
        <f t="shared" si="45"/>
        <v>0</v>
      </c>
      <c r="Y104" s="688">
        <f>IFERROR(VLOOKUP($A104,'[96]1月'!$A:$H,8,0),0)</f>
        <v>0</v>
      </c>
      <c r="Z104" s="688">
        <f>IFERROR(VLOOKUP($A104,'[96]2月'!$A:$H,8,0),0)</f>
        <v>0</v>
      </c>
      <c r="AA104" s="688">
        <f>IFERROR(VLOOKUP($A104,'[96]3月'!$A:$H,8,0),0)</f>
        <v>0</v>
      </c>
      <c r="AB104" s="688">
        <f>IFERROR(VLOOKUP($A104,'[96]4月'!$A:$H,8,0),0)</f>
        <v>0</v>
      </c>
      <c r="AC104" s="688">
        <f>IFERROR(VLOOKUP($A104,'[96]5月'!$A:$H,8,0),0)</f>
        <v>0</v>
      </c>
      <c r="AD104" s="688">
        <f>IFERROR(VLOOKUP($A104,'[96]6月'!$A:$H,8,0),0)</f>
        <v>0</v>
      </c>
      <c r="AE104" s="688">
        <f>IFERROR(VLOOKUP($A104,'[96]7月'!$A:$H,8,0),0)</f>
        <v>0</v>
      </c>
      <c r="AF104" s="688">
        <f>IFERROR(VLOOKUP($A104,'[96]8月'!$A:$H,8,0),0)</f>
        <v>0</v>
      </c>
      <c r="AG104" s="688">
        <f>IFERROR(VLOOKUP($A104,'[96]9月'!$A:$H,8,0),0)</f>
        <v>0</v>
      </c>
      <c r="AH104" s="688">
        <f>IFERROR(VLOOKUP($A104,'[96]10月'!$A:$H,8,0),0)</f>
        <v>0</v>
      </c>
      <c r="AI104" s="688">
        <f>IFERROR(VLOOKUP($A104,'[96]11月'!$A:$H,8,0),0)</f>
        <v>0</v>
      </c>
      <c r="AJ104" s="688">
        <f>IFERROR(VLOOKUP($A104,'[96]12月'!$A:$H,8,0),0)</f>
        <v>0</v>
      </c>
      <c r="AK104" s="688">
        <f t="shared" si="39"/>
        <v>0</v>
      </c>
    </row>
    <row r="105" spans="1:37" ht="11.1" customHeight="1">
      <c r="A105" s="653" t="str">
        <f>'Budget-合并'!A105</f>
        <v>6602.09.04</v>
      </c>
      <c r="B105" s="653" t="str">
        <f>'Budget-合并'!B105</f>
        <v>空中交通费</v>
      </c>
      <c r="C105" s="687" t="str">
        <f>'Budget-合并'!C105</f>
        <v>Travel Air Transport</v>
      </c>
      <c r="D105" s="676">
        <f t="shared" si="33"/>
        <v>0</v>
      </c>
      <c r="E105" s="676">
        <f t="shared" si="34"/>
        <v>0</v>
      </c>
      <c r="F105" s="676">
        <f t="shared" si="35"/>
        <v>0</v>
      </c>
      <c r="G105" s="676">
        <f t="shared" ca="1" si="36"/>
        <v>0</v>
      </c>
      <c r="H105" s="676">
        <f t="shared" ca="1" si="30"/>
        <v>0</v>
      </c>
      <c r="I105" s="676">
        <f t="shared" ca="1" si="37"/>
        <v>0</v>
      </c>
      <c r="K105" s="676">
        <f t="shared" ref="K105:V105" si="51">SUM(K106:K108)</f>
        <v>0</v>
      </c>
      <c r="L105" s="676">
        <f t="shared" si="51"/>
        <v>0</v>
      </c>
      <c r="M105" s="676">
        <f t="shared" si="51"/>
        <v>0</v>
      </c>
      <c r="N105" s="676">
        <f t="shared" si="51"/>
        <v>0</v>
      </c>
      <c r="O105" s="676">
        <f t="shared" si="51"/>
        <v>0</v>
      </c>
      <c r="P105" s="676">
        <f t="shared" si="51"/>
        <v>0</v>
      </c>
      <c r="Q105" s="676">
        <f t="shared" si="51"/>
        <v>0</v>
      </c>
      <c r="R105" s="676">
        <f t="shared" si="51"/>
        <v>0</v>
      </c>
      <c r="S105" s="676">
        <f t="shared" si="51"/>
        <v>0</v>
      </c>
      <c r="T105" s="676">
        <f t="shared" si="51"/>
        <v>0</v>
      </c>
      <c r="U105" s="676">
        <f t="shared" si="51"/>
        <v>0</v>
      </c>
      <c r="V105" s="676">
        <f t="shared" si="51"/>
        <v>0</v>
      </c>
      <c r="W105" s="676">
        <f t="shared" si="45"/>
        <v>0</v>
      </c>
      <c r="Y105" s="688">
        <f>IFERROR(VLOOKUP($A105,'[96]1月'!$A:$H,8,0),0)</f>
        <v>0</v>
      </c>
      <c r="Z105" s="688">
        <f>IFERROR(VLOOKUP($A105,'[96]2月'!$A:$H,8,0),0)</f>
        <v>0</v>
      </c>
      <c r="AA105" s="688">
        <f>IFERROR(VLOOKUP($A105,'[96]3月'!$A:$H,8,0),0)</f>
        <v>0</v>
      </c>
      <c r="AB105" s="688">
        <f>IFERROR(VLOOKUP($A105,'[96]4月'!$A:$H,8,0),0)</f>
        <v>0</v>
      </c>
      <c r="AC105" s="688">
        <f>IFERROR(VLOOKUP($A105,'[96]5月'!$A:$H,8,0),0)</f>
        <v>0</v>
      </c>
      <c r="AD105" s="688">
        <f>IFERROR(VLOOKUP($A105,'[96]6月'!$A:$H,8,0),0)</f>
        <v>0</v>
      </c>
      <c r="AE105" s="688">
        <f>IFERROR(VLOOKUP($A105,'[96]7月'!$A:$H,8,0),0)</f>
        <v>0</v>
      </c>
      <c r="AF105" s="688">
        <f>IFERROR(VLOOKUP($A105,'[96]8月'!$A:$H,8,0),0)</f>
        <v>0</v>
      </c>
      <c r="AG105" s="688">
        <f>IFERROR(VLOOKUP($A105,'[96]9月'!$A:$H,8,0),0)</f>
        <v>0</v>
      </c>
      <c r="AH105" s="688">
        <f>IFERROR(VLOOKUP($A105,'[96]10月'!$A:$H,8,0),0)</f>
        <v>0</v>
      </c>
      <c r="AI105" s="688">
        <f>IFERROR(VLOOKUP($A105,'[96]11月'!$A:$H,8,0),0)</f>
        <v>0</v>
      </c>
      <c r="AJ105" s="688">
        <f>IFERROR(VLOOKUP($A105,'[96]12月'!$A:$H,8,0),0)</f>
        <v>0</v>
      </c>
      <c r="AK105" s="688">
        <f t="shared" si="39"/>
        <v>0</v>
      </c>
    </row>
    <row r="106" spans="1:37" ht="11.1" customHeight="1">
      <c r="A106" s="653">
        <f>'Budget-合并'!A106</f>
        <v>0</v>
      </c>
      <c r="B106" s="653" t="str">
        <f>'Budget-合并'!B106</f>
        <v xml:space="preserve">    公司主体06</v>
      </c>
      <c r="C106" s="687" t="str">
        <f>'Budget-合并'!C106</f>
        <v xml:space="preserve">   Entity</v>
      </c>
      <c r="D106" s="676">
        <f t="shared" si="33"/>
        <v>0</v>
      </c>
      <c r="E106" s="676">
        <f t="shared" si="34"/>
        <v>0</v>
      </c>
      <c r="F106" s="676">
        <f t="shared" si="35"/>
        <v>0</v>
      </c>
      <c r="G106" s="676">
        <f t="shared" ca="1" si="36"/>
        <v>0</v>
      </c>
      <c r="H106" s="676">
        <f t="shared" ca="1" si="30"/>
        <v>0</v>
      </c>
      <c r="I106" s="676">
        <f t="shared" ca="1" si="37"/>
        <v>0</v>
      </c>
      <c r="K106" s="676"/>
      <c r="L106" s="676"/>
      <c r="M106" s="676"/>
      <c r="N106" s="676"/>
      <c r="O106" s="676"/>
      <c r="P106" s="676"/>
      <c r="Q106" s="676"/>
      <c r="R106" s="676"/>
      <c r="S106" s="676"/>
      <c r="T106" s="676"/>
      <c r="U106" s="676"/>
      <c r="V106" s="676"/>
      <c r="W106" s="676">
        <f t="shared" si="45"/>
        <v>0</v>
      </c>
      <c r="Y106" s="688">
        <f>IFERROR(VLOOKUP($A106,'[96]1月'!$A:$H,8,0),0)</f>
        <v>0</v>
      </c>
      <c r="Z106" s="688">
        <f>IFERROR(VLOOKUP($A106,'[96]2月'!$A:$H,8,0),0)</f>
        <v>0</v>
      </c>
      <c r="AA106" s="688">
        <f>IFERROR(VLOOKUP($A106,'[96]3月'!$A:$H,8,0),0)</f>
        <v>0</v>
      </c>
      <c r="AB106" s="688">
        <f>IFERROR(VLOOKUP($A106,'[96]4月'!$A:$H,8,0),0)</f>
        <v>0</v>
      </c>
      <c r="AC106" s="688">
        <f>IFERROR(VLOOKUP($A106,'[96]5月'!$A:$H,8,0),0)</f>
        <v>0</v>
      </c>
      <c r="AD106" s="688">
        <f>IFERROR(VLOOKUP($A106,'[96]6月'!$A:$H,8,0),0)</f>
        <v>0</v>
      </c>
      <c r="AE106" s="688">
        <f>IFERROR(VLOOKUP($A106,'[96]7月'!$A:$H,8,0),0)</f>
        <v>0</v>
      </c>
      <c r="AF106" s="688">
        <f>IFERROR(VLOOKUP($A106,'[96]8月'!$A:$H,8,0),0)</f>
        <v>0</v>
      </c>
      <c r="AG106" s="688">
        <f>IFERROR(VLOOKUP($A106,'[96]9月'!$A:$H,8,0),0)</f>
        <v>0</v>
      </c>
      <c r="AH106" s="688">
        <f>IFERROR(VLOOKUP($A106,'[96]10月'!$A:$H,8,0),0)</f>
        <v>0</v>
      </c>
      <c r="AI106" s="688">
        <f>IFERROR(VLOOKUP($A106,'[96]11月'!$A:$H,8,0),0)</f>
        <v>0</v>
      </c>
      <c r="AJ106" s="688">
        <f>IFERROR(VLOOKUP($A106,'[96]12月'!$A:$H,8,0),0)</f>
        <v>0</v>
      </c>
      <c r="AK106" s="688">
        <f t="shared" si="39"/>
        <v>0</v>
      </c>
    </row>
    <row r="107" spans="1:37" ht="11.1" customHeight="1">
      <c r="A107" s="653">
        <f>'Budget-合并'!A107</f>
        <v>0</v>
      </c>
      <c r="B107" s="653" t="str">
        <f>'Budget-合并'!B107</f>
        <v xml:space="preserve">    旭智富能06</v>
      </c>
      <c r="C107" s="687" t="str">
        <f>'Budget-合并'!C107</f>
        <v xml:space="preserve">   Foxpower</v>
      </c>
      <c r="D107" s="676">
        <f t="shared" si="33"/>
        <v>0</v>
      </c>
      <c r="E107" s="676">
        <f t="shared" si="34"/>
        <v>0</v>
      </c>
      <c r="F107" s="676">
        <f t="shared" si="35"/>
        <v>0</v>
      </c>
      <c r="G107" s="676">
        <f t="shared" ca="1" si="36"/>
        <v>0</v>
      </c>
      <c r="H107" s="676">
        <f t="shared" ref="H107:H153" ca="1" si="52">SUM($Y107:OFFSET($Y107,0,MATCH(H$6,$Y$6:$AJ$6)-1))</f>
        <v>0</v>
      </c>
      <c r="I107" s="676">
        <f t="shared" ca="1" si="37"/>
        <v>0</v>
      </c>
      <c r="K107" s="676"/>
      <c r="L107" s="676"/>
      <c r="M107" s="676"/>
      <c r="N107" s="676"/>
      <c r="O107" s="676"/>
      <c r="P107" s="676"/>
      <c r="Q107" s="676"/>
      <c r="R107" s="676"/>
      <c r="S107" s="676"/>
      <c r="T107" s="676"/>
      <c r="U107" s="676"/>
      <c r="V107" s="676"/>
      <c r="W107" s="676">
        <f t="shared" si="45"/>
        <v>0</v>
      </c>
      <c r="Y107" s="688">
        <f>IFERROR(VLOOKUP($A107,'[96]1月'!$A:$H,8,0),0)</f>
        <v>0</v>
      </c>
      <c r="Z107" s="688">
        <f>IFERROR(VLOOKUP($A107,'[96]2月'!$A:$H,8,0),0)</f>
        <v>0</v>
      </c>
      <c r="AA107" s="688">
        <f>IFERROR(VLOOKUP($A107,'[96]3月'!$A:$H,8,0),0)</f>
        <v>0</v>
      </c>
      <c r="AB107" s="688">
        <f>IFERROR(VLOOKUP($A107,'[96]4月'!$A:$H,8,0),0)</f>
        <v>0</v>
      </c>
      <c r="AC107" s="688">
        <f>IFERROR(VLOOKUP($A107,'[96]5月'!$A:$H,8,0),0)</f>
        <v>0</v>
      </c>
      <c r="AD107" s="688">
        <f>IFERROR(VLOOKUP($A107,'[96]6月'!$A:$H,8,0),0)</f>
        <v>0</v>
      </c>
      <c r="AE107" s="688">
        <f>IFERROR(VLOOKUP($A107,'[96]7月'!$A:$H,8,0),0)</f>
        <v>0</v>
      </c>
      <c r="AF107" s="688">
        <f>IFERROR(VLOOKUP($A107,'[96]8月'!$A:$H,8,0),0)</f>
        <v>0</v>
      </c>
      <c r="AG107" s="688">
        <f>IFERROR(VLOOKUP($A107,'[96]9月'!$A:$H,8,0),0)</f>
        <v>0</v>
      </c>
      <c r="AH107" s="688">
        <f>IFERROR(VLOOKUP($A107,'[96]10月'!$A:$H,8,0),0)</f>
        <v>0</v>
      </c>
      <c r="AI107" s="688">
        <f>IFERROR(VLOOKUP($A107,'[96]11月'!$A:$H,8,0),0)</f>
        <v>0</v>
      </c>
      <c r="AJ107" s="688">
        <f>IFERROR(VLOOKUP($A107,'[96]12月'!$A:$H,8,0),0)</f>
        <v>0</v>
      </c>
      <c r="AK107" s="688">
        <f t="shared" si="39"/>
        <v>0</v>
      </c>
    </row>
    <row r="108" spans="1:37" ht="11.1" customHeight="1">
      <c r="A108" s="653">
        <f>'Budget-合并'!A108</f>
        <v>0</v>
      </c>
      <c r="B108" s="653" t="str">
        <f>'Budget-合并'!B108</f>
        <v xml:space="preserve">    其他项目06</v>
      </c>
      <c r="C108" s="687" t="str">
        <f>'Budget-合并'!C108</f>
        <v xml:space="preserve">   Other project</v>
      </c>
      <c r="D108" s="676">
        <f t="shared" ref="D108:D153" si="53">INDEX($K108:$V108,1,MATCH($D$6,$K$6:$V$6))</f>
        <v>0</v>
      </c>
      <c r="E108" s="676">
        <f t="shared" ref="E108:E153" si="54">INDEX($Y108:$AJ108,1,MATCH($E$6,$Y$6:$AJ$6))</f>
        <v>0</v>
      </c>
      <c r="F108" s="676">
        <f t="shared" ref="F108:F153" si="55">D108-E108</f>
        <v>0</v>
      </c>
      <c r="G108" s="676">
        <f t="shared" ref="G108:G153" ca="1" si="56">SUM($K108:OFFSET($K108,0,MATCH(G$6,$K$6:$V$6)-1))</f>
        <v>0</v>
      </c>
      <c r="H108" s="676">
        <f t="shared" ca="1" si="52"/>
        <v>0</v>
      </c>
      <c r="I108" s="676">
        <f t="shared" ref="I108:I153" ca="1" si="57">G108-H108</f>
        <v>0</v>
      </c>
      <c r="K108" s="676"/>
      <c r="L108" s="676"/>
      <c r="M108" s="676"/>
      <c r="N108" s="676"/>
      <c r="O108" s="676"/>
      <c r="P108" s="676"/>
      <c r="Q108" s="676"/>
      <c r="R108" s="676"/>
      <c r="S108" s="676"/>
      <c r="T108" s="676"/>
      <c r="U108" s="676"/>
      <c r="V108" s="676"/>
      <c r="W108" s="676">
        <f t="shared" si="45"/>
        <v>0</v>
      </c>
      <c r="Y108" s="688">
        <f>IFERROR(VLOOKUP($A108,'[96]1月'!$A:$H,8,0),0)</f>
        <v>0</v>
      </c>
      <c r="Z108" s="688">
        <f>IFERROR(VLOOKUP($A108,'[96]2月'!$A:$H,8,0),0)</f>
        <v>0</v>
      </c>
      <c r="AA108" s="688">
        <f>IFERROR(VLOOKUP($A108,'[96]3月'!$A:$H,8,0),0)</f>
        <v>0</v>
      </c>
      <c r="AB108" s="688">
        <f>IFERROR(VLOOKUP($A108,'[96]4月'!$A:$H,8,0),0)</f>
        <v>0</v>
      </c>
      <c r="AC108" s="688">
        <f>IFERROR(VLOOKUP($A108,'[96]5月'!$A:$H,8,0),0)</f>
        <v>0</v>
      </c>
      <c r="AD108" s="688">
        <f>IFERROR(VLOOKUP($A108,'[96]6月'!$A:$H,8,0),0)</f>
        <v>0</v>
      </c>
      <c r="AE108" s="688">
        <f>IFERROR(VLOOKUP($A108,'[96]7月'!$A:$H,8,0),0)</f>
        <v>0</v>
      </c>
      <c r="AF108" s="688">
        <f>IFERROR(VLOOKUP($A108,'[96]8月'!$A:$H,8,0),0)</f>
        <v>0</v>
      </c>
      <c r="AG108" s="688">
        <f>IFERROR(VLOOKUP($A108,'[96]9月'!$A:$H,8,0),0)</f>
        <v>0</v>
      </c>
      <c r="AH108" s="688">
        <f>IFERROR(VLOOKUP($A108,'[96]10月'!$A:$H,8,0),0)</f>
        <v>0</v>
      </c>
      <c r="AI108" s="688">
        <f>IFERROR(VLOOKUP($A108,'[96]11月'!$A:$H,8,0),0)</f>
        <v>0</v>
      </c>
      <c r="AJ108" s="688">
        <f>IFERROR(VLOOKUP($A108,'[96]12月'!$A:$H,8,0),0)</f>
        <v>0</v>
      </c>
      <c r="AK108" s="688">
        <f t="shared" ref="AK108:AK152" si="58">SUM(Y108:AJ108)</f>
        <v>0</v>
      </c>
    </row>
    <row r="109" spans="1:37" ht="11.1" customHeight="1">
      <c r="A109" s="653" t="str">
        <f>'Budget-合并'!A109</f>
        <v>6602.09.05</v>
      </c>
      <c r="B109" s="653" t="str">
        <f>'Budget-合并'!B109</f>
        <v>租车</v>
      </c>
      <c r="C109" s="687">
        <f>'Budget-合并'!C109</f>
        <v>0</v>
      </c>
      <c r="D109" s="676">
        <f t="shared" si="53"/>
        <v>0</v>
      </c>
      <c r="E109" s="676">
        <f t="shared" si="54"/>
        <v>0</v>
      </c>
      <c r="F109" s="676">
        <f t="shared" si="55"/>
        <v>0</v>
      </c>
      <c r="G109" s="676">
        <f t="shared" ca="1" si="56"/>
        <v>0</v>
      </c>
      <c r="H109" s="676">
        <f t="shared" ca="1" si="52"/>
        <v>0</v>
      </c>
      <c r="I109" s="676">
        <f t="shared" ca="1" si="57"/>
        <v>0</v>
      </c>
      <c r="K109" s="676">
        <f t="shared" ref="K109:V109" si="59">SUM(K110:K112)</f>
        <v>0</v>
      </c>
      <c r="L109" s="676">
        <f t="shared" si="59"/>
        <v>0</v>
      </c>
      <c r="M109" s="676">
        <f t="shared" si="59"/>
        <v>0</v>
      </c>
      <c r="N109" s="676">
        <f t="shared" si="59"/>
        <v>0</v>
      </c>
      <c r="O109" s="676">
        <f t="shared" si="59"/>
        <v>0</v>
      </c>
      <c r="P109" s="676">
        <f t="shared" si="59"/>
        <v>0</v>
      </c>
      <c r="Q109" s="676">
        <f t="shared" si="59"/>
        <v>0</v>
      </c>
      <c r="R109" s="676">
        <f t="shared" si="59"/>
        <v>0</v>
      </c>
      <c r="S109" s="676">
        <f t="shared" si="59"/>
        <v>0</v>
      </c>
      <c r="T109" s="676">
        <f t="shared" si="59"/>
        <v>0</v>
      </c>
      <c r="U109" s="676">
        <f t="shared" si="59"/>
        <v>0</v>
      </c>
      <c r="V109" s="676">
        <f t="shared" si="59"/>
        <v>0</v>
      </c>
      <c r="W109" s="676">
        <f t="shared" si="45"/>
        <v>0</v>
      </c>
      <c r="Y109" s="688">
        <f>IFERROR(VLOOKUP($A109,'[96]1月'!$A:$H,8,0),0)</f>
        <v>0</v>
      </c>
      <c r="Z109" s="688">
        <f>IFERROR(VLOOKUP($A109,'[96]2月'!$A:$H,8,0),0)</f>
        <v>0</v>
      </c>
      <c r="AA109" s="688">
        <f>IFERROR(VLOOKUP($A109,'[96]3月'!$A:$H,8,0),0)</f>
        <v>0</v>
      </c>
      <c r="AB109" s="688">
        <f>IFERROR(VLOOKUP($A109,'[96]4月'!$A:$H,8,0),0)</f>
        <v>0</v>
      </c>
      <c r="AC109" s="688">
        <f>IFERROR(VLOOKUP($A109,'[96]5月'!$A:$H,8,0),0)</f>
        <v>0</v>
      </c>
      <c r="AD109" s="688">
        <f>IFERROR(VLOOKUP($A109,'[96]6月'!$A:$H,8,0),0)</f>
        <v>0</v>
      </c>
      <c r="AE109" s="688">
        <f>IFERROR(VLOOKUP($A109,'[96]7月'!$A:$H,8,0),0)</f>
        <v>0</v>
      </c>
      <c r="AF109" s="688">
        <f>IFERROR(VLOOKUP($A109,'[96]8月'!$A:$H,8,0),0)</f>
        <v>0</v>
      </c>
      <c r="AG109" s="688">
        <f>IFERROR(VLOOKUP($A109,'[96]9月'!$A:$H,8,0),0)</f>
        <v>0</v>
      </c>
      <c r="AH109" s="688">
        <f>IFERROR(VLOOKUP($A109,'[96]10月'!$A:$H,8,0),0)</f>
        <v>0</v>
      </c>
      <c r="AI109" s="688">
        <f>IFERROR(VLOOKUP($A109,'[96]11月'!$A:$H,8,0),0)</f>
        <v>0</v>
      </c>
      <c r="AJ109" s="688">
        <f>IFERROR(VLOOKUP($A109,'[96]12月'!$A:$H,8,0),0)</f>
        <v>0</v>
      </c>
      <c r="AK109" s="688">
        <f t="shared" si="58"/>
        <v>0</v>
      </c>
    </row>
    <row r="110" spans="1:37" ht="11.1" customHeight="1">
      <c r="A110" s="653">
        <f>'Budget-合并'!A110</f>
        <v>0</v>
      </c>
      <c r="B110" s="653" t="str">
        <f>'Budget-合并'!B110</f>
        <v xml:space="preserve">    公司主体07</v>
      </c>
      <c r="C110" s="687" t="str">
        <f>'Budget-合并'!C110</f>
        <v xml:space="preserve">   Entity</v>
      </c>
      <c r="D110" s="676">
        <f t="shared" si="53"/>
        <v>0</v>
      </c>
      <c r="E110" s="676">
        <f t="shared" si="54"/>
        <v>0</v>
      </c>
      <c r="F110" s="676">
        <f t="shared" si="55"/>
        <v>0</v>
      </c>
      <c r="G110" s="676">
        <f t="shared" ca="1" si="56"/>
        <v>0</v>
      </c>
      <c r="H110" s="676">
        <f t="shared" ca="1" si="52"/>
        <v>0</v>
      </c>
      <c r="I110" s="676">
        <f t="shared" ca="1" si="57"/>
        <v>0</v>
      </c>
      <c r="K110" s="676"/>
      <c r="L110" s="676"/>
      <c r="M110" s="676"/>
      <c r="N110" s="676"/>
      <c r="O110" s="676"/>
      <c r="P110" s="676"/>
      <c r="Q110" s="676"/>
      <c r="R110" s="676"/>
      <c r="S110" s="676"/>
      <c r="T110" s="676"/>
      <c r="U110" s="676"/>
      <c r="V110" s="676"/>
      <c r="W110" s="676">
        <f t="shared" si="45"/>
        <v>0</v>
      </c>
      <c r="Y110" s="688">
        <f>IFERROR(VLOOKUP($A110,'[96]1月'!$A:$H,8,0),0)</f>
        <v>0</v>
      </c>
      <c r="Z110" s="688">
        <f>IFERROR(VLOOKUP($A110,'[96]2月'!$A:$H,8,0),0)</f>
        <v>0</v>
      </c>
      <c r="AA110" s="688">
        <f>IFERROR(VLOOKUP($A110,'[96]3月'!$A:$H,8,0),0)</f>
        <v>0</v>
      </c>
      <c r="AB110" s="688">
        <f>IFERROR(VLOOKUP($A110,'[96]4月'!$A:$H,8,0),0)</f>
        <v>0</v>
      </c>
      <c r="AC110" s="688">
        <f>IFERROR(VLOOKUP($A110,'[96]5月'!$A:$H,8,0),0)</f>
        <v>0</v>
      </c>
      <c r="AD110" s="688">
        <f>IFERROR(VLOOKUP($A110,'[96]6月'!$A:$H,8,0),0)</f>
        <v>0</v>
      </c>
      <c r="AE110" s="688">
        <f>IFERROR(VLOOKUP($A110,'[96]7月'!$A:$H,8,0),0)</f>
        <v>0</v>
      </c>
      <c r="AF110" s="688">
        <f>IFERROR(VLOOKUP($A110,'[96]8月'!$A:$H,8,0),0)</f>
        <v>0</v>
      </c>
      <c r="AG110" s="688">
        <f>IFERROR(VLOOKUP($A110,'[96]9月'!$A:$H,8,0),0)</f>
        <v>0</v>
      </c>
      <c r="AH110" s="688">
        <f>IFERROR(VLOOKUP($A110,'[96]10月'!$A:$H,8,0),0)</f>
        <v>0</v>
      </c>
      <c r="AI110" s="688">
        <f>IFERROR(VLOOKUP($A110,'[96]11月'!$A:$H,8,0),0)</f>
        <v>0</v>
      </c>
      <c r="AJ110" s="688">
        <f>IFERROR(VLOOKUP($A110,'[96]12月'!$A:$H,8,0),0)</f>
        <v>0</v>
      </c>
      <c r="AK110" s="688">
        <f t="shared" si="58"/>
        <v>0</v>
      </c>
    </row>
    <row r="111" spans="1:37" ht="11.1" customHeight="1">
      <c r="A111" s="653">
        <f>'Budget-合并'!A111</f>
        <v>0</v>
      </c>
      <c r="B111" s="653" t="str">
        <f>'Budget-合并'!B111</f>
        <v xml:space="preserve">    旭智富能07</v>
      </c>
      <c r="C111" s="687" t="str">
        <f>'Budget-合并'!C111</f>
        <v xml:space="preserve">   Foxpower</v>
      </c>
      <c r="D111" s="676">
        <f t="shared" si="53"/>
        <v>0</v>
      </c>
      <c r="E111" s="676">
        <f t="shared" si="54"/>
        <v>0</v>
      </c>
      <c r="F111" s="676">
        <f t="shared" si="55"/>
        <v>0</v>
      </c>
      <c r="G111" s="676">
        <f t="shared" ca="1" si="56"/>
        <v>0</v>
      </c>
      <c r="H111" s="676">
        <f t="shared" ca="1" si="52"/>
        <v>0</v>
      </c>
      <c r="I111" s="676">
        <f t="shared" ca="1" si="57"/>
        <v>0</v>
      </c>
      <c r="K111" s="676"/>
      <c r="L111" s="676"/>
      <c r="M111" s="676"/>
      <c r="N111" s="676"/>
      <c r="O111" s="676"/>
      <c r="P111" s="676"/>
      <c r="Q111" s="676"/>
      <c r="R111" s="676"/>
      <c r="S111" s="676"/>
      <c r="T111" s="676"/>
      <c r="U111" s="676"/>
      <c r="V111" s="676"/>
      <c r="W111" s="676">
        <f t="shared" si="45"/>
        <v>0</v>
      </c>
      <c r="Y111" s="688">
        <f>IFERROR(VLOOKUP($A111,'[96]1月'!$A:$H,8,0),0)</f>
        <v>0</v>
      </c>
      <c r="Z111" s="688">
        <f>IFERROR(VLOOKUP($A111,'[96]2月'!$A:$H,8,0),0)</f>
        <v>0</v>
      </c>
      <c r="AA111" s="688">
        <f>IFERROR(VLOOKUP($A111,'[96]3月'!$A:$H,8,0),0)</f>
        <v>0</v>
      </c>
      <c r="AB111" s="688">
        <f>IFERROR(VLOOKUP($A111,'[96]4月'!$A:$H,8,0),0)</f>
        <v>0</v>
      </c>
      <c r="AC111" s="688">
        <f>IFERROR(VLOOKUP($A111,'[96]5月'!$A:$H,8,0),0)</f>
        <v>0</v>
      </c>
      <c r="AD111" s="688">
        <f>IFERROR(VLOOKUP($A111,'[96]6月'!$A:$H,8,0),0)</f>
        <v>0</v>
      </c>
      <c r="AE111" s="688">
        <f>IFERROR(VLOOKUP($A111,'[96]7月'!$A:$H,8,0),0)</f>
        <v>0</v>
      </c>
      <c r="AF111" s="688">
        <f>IFERROR(VLOOKUP($A111,'[96]8月'!$A:$H,8,0),0)</f>
        <v>0</v>
      </c>
      <c r="AG111" s="688">
        <f>IFERROR(VLOOKUP($A111,'[96]9月'!$A:$H,8,0),0)</f>
        <v>0</v>
      </c>
      <c r="AH111" s="688">
        <f>IFERROR(VLOOKUP($A111,'[96]10月'!$A:$H,8,0),0)</f>
        <v>0</v>
      </c>
      <c r="AI111" s="688">
        <f>IFERROR(VLOOKUP($A111,'[96]11月'!$A:$H,8,0),0)</f>
        <v>0</v>
      </c>
      <c r="AJ111" s="688">
        <f>IFERROR(VLOOKUP($A111,'[96]12月'!$A:$H,8,0),0)</f>
        <v>0</v>
      </c>
      <c r="AK111" s="688">
        <f t="shared" si="58"/>
        <v>0</v>
      </c>
    </row>
    <row r="112" spans="1:37" ht="11.1" customHeight="1">
      <c r="A112" s="653">
        <f>'Budget-合并'!A112</f>
        <v>0</v>
      </c>
      <c r="B112" s="653" t="str">
        <f>'Budget-合并'!B112</f>
        <v xml:space="preserve">    其他项目07</v>
      </c>
      <c r="C112" s="687" t="str">
        <f>'Budget-合并'!C112</f>
        <v xml:space="preserve">   Other project</v>
      </c>
      <c r="D112" s="676">
        <f t="shared" si="53"/>
        <v>0</v>
      </c>
      <c r="E112" s="676">
        <f t="shared" si="54"/>
        <v>0</v>
      </c>
      <c r="F112" s="676">
        <f t="shared" si="55"/>
        <v>0</v>
      </c>
      <c r="G112" s="676">
        <f t="shared" ca="1" si="56"/>
        <v>0</v>
      </c>
      <c r="H112" s="676">
        <f t="shared" ca="1" si="52"/>
        <v>0</v>
      </c>
      <c r="I112" s="676">
        <f t="shared" ca="1" si="57"/>
        <v>0</v>
      </c>
      <c r="K112" s="676"/>
      <c r="L112" s="676"/>
      <c r="M112" s="676"/>
      <c r="N112" s="676"/>
      <c r="O112" s="676"/>
      <c r="P112" s="676"/>
      <c r="Q112" s="676"/>
      <c r="R112" s="676"/>
      <c r="S112" s="676"/>
      <c r="T112" s="676"/>
      <c r="U112" s="676"/>
      <c r="V112" s="676"/>
      <c r="W112" s="676">
        <f t="shared" si="45"/>
        <v>0</v>
      </c>
      <c r="Y112" s="688">
        <f>IFERROR(VLOOKUP($A112,'[96]1月'!$A:$H,8,0),0)</f>
        <v>0</v>
      </c>
      <c r="Z112" s="688">
        <f>IFERROR(VLOOKUP($A112,'[96]2月'!$A:$H,8,0),0)</f>
        <v>0</v>
      </c>
      <c r="AA112" s="688">
        <f>IFERROR(VLOOKUP($A112,'[96]3月'!$A:$H,8,0),0)</f>
        <v>0</v>
      </c>
      <c r="AB112" s="688">
        <f>IFERROR(VLOOKUP($A112,'[96]4月'!$A:$H,8,0),0)</f>
        <v>0</v>
      </c>
      <c r="AC112" s="688">
        <f>IFERROR(VLOOKUP($A112,'[96]5月'!$A:$H,8,0),0)</f>
        <v>0</v>
      </c>
      <c r="AD112" s="688">
        <f>IFERROR(VLOOKUP($A112,'[96]6月'!$A:$H,8,0),0)</f>
        <v>0</v>
      </c>
      <c r="AE112" s="688">
        <f>IFERROR(VLOOKUP($A112,'[96]7月'!$A:$H,8,0),0)</f>
        <v>0</v>
      </c>
      <c r="AF112" s="688">
        <f>IFERROR(VLOOKUP($A112,'[96]8月'!$A:$H,8,0),0)</f>
        <v>0</v>
      </c>
      <c r="AG112" s="688">
        <f>IFERROR(VLOOKUP($A112,'[96]9月'!$A:$H,8,0),0)</f>
        <v>0</v>
      </c>
      <c r="AH112" s="688">
        <f>IFERROR(VLOOKUP($A112,'[96]10月'!$A:$H,8,0),0)</f>
        <v>0</v>
      </c>
      <c r="AI112" s="688">
        <f>IFERROR(VLOOKUP($A112,'[96]11月'!$A:$H,8,0),0)</f>
        <v>0</v>
      </c>
      <c r="AJ112" s="688">
        <f>IFERROR(VLOOKUP($A112,'[96]12月'!$A:$H,8,0),0)</f>
        <v>0</v>
      </c>
      <c r="AK112" s="688">
        <f t="shared" si="58"/>
        <v>0</v>
      </c>
    </row>
    <row r="113" spans="1:37" ht="11.1" customHeight="1">
      <c r="A113" s="653" t="str">
        <f>'Budget-合并'!A113</f>
        <v>6602.09.06</v>
      </c>
      <c r="B113" s="653" t="str">
        <f>'Budget-合并'!B113</f>
        <v>其他汽车费用</v>
      </c>
      <c r="C113" s="687">
        <f>'Budget-合并'!C113</f>
        <v>0</v>
      </c>
      <c r="D113" s="676">
        <f t="shared" si="53"/>
        <v>0</v>
      </c>
      <c r="E113" s="676">
        <f t="shared" si="54"/>
        <v>0</v>
      </c>
      <c r="F113" s="676">
        <f t="shared" si="55"/>
        <v>0</v>
      </c>
      <c r="G113" s="676">
        <f t="shared" ca="1" si="56"/>
        <v>0</v>
      </c>
      <c r="H113" s="676">
        <f t="shared" ca="1" si="52"/>
        <v>0</v>
      </c>
      <c r="I113" s="676">
        <f t="shared" ca="1" si="57"/>
        <v>0</v>
      </c>
      <c r="K113" s="676">
        <f t="shared" ref="K113:V113" si="60">SUM(K114:K116)</f>
        <v>0</v>
      </c>
      <c r="L113" s="676">
        <f t="shared" si="60"/>
        <v>0</v>
      </c>
      <c r="M113" s="676">
        <f t="shared" si="60"/>
        <v>0</v>
      </c>
      <c r="N113" s="676">
        <f t="shared" si="60"/>
        <v>0</v>
      </c>
      <c r="O113" s="676">
        <f t="shared" si="60"/>
        <v>0</v>
      </c>
      <c r="P113" s="676">
        <f t="shared" si="60"/>
        <v>0</v>
      </c>
      <c r="Q113" s="676">
        <f t="shared" si="60"/>
        <v>0</v>
      </c>
      <c r="R113" s="676">
        <f t="shared" si="60"/>
        <v>0</v>
      </c>
      <c r="S113" s="676">
        <f t="shared" si="60"/>
        <v>0</v>
      </c>
      <c r="T113" s="676">
        <f t="shared" si="60"/>
        <v>0</v>
      </c>
      <c r="U113" s="676">
        <f t="shared" si="60"/>
        <v>0</v>
      </c>
      <c r="V113" s="676">
        <f t="shared" si="60"/>
        <v>0</v>
      </c>
      <c r="W113" s="676">
        <f t="shared" si="45"/>
        <v>0</v>
      </c>
      <c r="Y113" s="688">
        <f>IFERROR(VLOOKUP($A113,'[96]1月'!$A:$H,8,0),0)</f>
        <v>0</v>
      </c>
      <c r="Z113" s="688">
        <f>IFERROR(VLOOKUP($A113,'[96]2月'!$A:$H,8,0),0)</f>
        <v>0</v>
      </c>
      <c r="AA113" s="688">
        <f>IFERROR(VLOOKUP($A113,'[96]3月'!$A:$H,8,0),0)</f>
        <v>0</v>
      </c>
      <c r="AB113" s="688">
        <f>IFERROR(VLOOKUP($A113,'[96]4月'!$A:$H,8,0),0)</f>
        <v>0</v>
      </c>
      <c r="AC113" s="688">
        <f>IFERROR(VLOOKUP($A113,'[96]5月'!$A:$H,8,0),0)</f>
        <v>0</v>
      </c>
      <c r="AD113" s="688">
        <f>IFERROR(VLOOKUP($A113,'[96]6月'!$A:$H,8,0),0)</f>
        <v>0</v>
      </c>
      <c r="AE113" s="688">
        <f>IFERROR(VLOOKUP($A113,'[96]7月'!$A:$H,8,0),0)</f>
        <v>0</v>
      </c>
      <c r="AF113" s="688">
        <f>IFERROR(VLOOKUP($A113,'[96]8月'!$A:$H,8,0),0)</f>
        <v>0</v>
      </c>
      <c r="AG113" s="688">
        <f>IFERROR(VLOOKUP($A113,'[96]9月'!$A:$H,8,0),0)</f>
        <v>0</v>
      </c>
      <c r="AH113" s="688">
        <f>IFERROR(VLOOKUP($A113,'[96]10月'!$A:$H,8,0),0)</f>
        <v>0</v>
      </c>
      <c r="AI113" s="688">
        <f>IFERROR(VLOOKUP($A113,'[96]11月'!$A:$H,8,0),0)</f>
        <v>0</v>
      </c>
      <c r="AJ113" s="688">
        <f>IFERROR(VLOOKUP($A113,'[96]12月'!$A:$H,8,0),0)</f>
        <v>0</v>
      </c>
      <c r="AK113" s="688">
        <f t="shared" si="58"/>
        <v>0</v>
      </c>
    </row>
    <row r="114" spans="1:37" ht="11.1" customHeight="1">
      <c r="A114" s="653">
        <f>'Budget-合并'!A114</f>
        <v>0</v>
      </c>
      <c r="B114" s="653" t="str">
        <f>'Budget-合并'!B114</f>
        <v xml:space="preserve">    公司主体08</v>
      </c>
      <c r="C114" s="687" t="str">
        <f>'Budget-合并'!C114</f>
        <v xml:space="preserve">   Entity</v>
      </c>
      <c r="D114" s="676">
        <f t="shared" si="53"/>
        <v>0</v>
      </c>
      <c r="E114" s="676">
        <f t="shared" si="54"/>
        <v>0</v>
      </c>
      <c r="F114" s="676">
        <f t="shared" si="55"/>
        <v>0</v>
      </c>
      <c r="G114" s="676">
        <f t="shared" ca="1" si="56"/>
        <v>0</v>
      </c>
      <c r="H114" s="676">
        <f t="shared" ca="1" si="52"/>
        <v>0</v>
      </c>
      <c r="I114" s="676">
        <f t="shared" ca="1" si="57"/>
        <v>0</v>
      </c>
      <c r="K114" s="676"/>
      <c r="L114" s="676"/>
      <c r="M114" s="676"/>
      <c r="N114" s="676"/>
      <c r="O114" s="676"/>
      <c r="P114" s="676"/>
      <c r="Q114" s="676"/>
      <c r="R114" s="676"/>
      <c r="S114" s="676"/>
      <c r="T114" s="676"/>
      <c r="U114" s="676"/>
      <c r="V114" s="676"/>
      <c r="W114" s="676">
        <f t="shared" si="45"/>
        <v>0</v>
      </c>
      <c r="Y114" s="688">
        <f>IFERROR(VLOOKUP($A114,'[96]1月'!$A:$H,8,0),0)</f>
        <v>0</v>
      </c>
      <c r="Z114" s="688">
        <f>IFERROR(VLOOKUP($A114,'[96]2月'!$A:$H,8,0),0)</f>
        <v>0</v>
      </c>
      <c r="AA114" s="688">
        <f>IFERROR(VLOOKUP($A114,'[96]3月'!$A:$H,8,0),0)</f>
        <v>0</v>
      </c>
      <c r="AB114" s="688">
        <f>IFERROR(VLOOKUP($A114,'[96]4月'!$A:$H,8,0),0)</f>
        <v>0</v>
      </c>
      <c r="AC114" s="688">
        <f>IFERROR(VLOOKUP($A114,'[96]5月'!$A:$H,8,0),0)</f>
        <v>0</v>
      </c>
      <c r="AD114" s="688">
        <f>IFERROR(VLOOKUP($A114,'[96]6月'!$A:$H,8,0),0)</f>
        <v>0</v>
      </c>
      <c r="AE114" s="688">
        <f>IFERROR(VLOOKUP($A114,'[96]7月'!$A:$H,8,0),0)</f>
        <v>0</v>
      </c>
      <c r="AF114" s="688">
        <f>IFERROR(VLOOKUP($A114,'[96]8月'!$A:$H,8,0),0)</f>
        <v>0</v>
      </c>
      <c r="AG114" s="688">
        <f>IFERROR(VLOOKUP($A114,'[96]9月'!$A:$H,8,0),0)</f>
        <v>0</v>
      </c>
      <c r="AH114" s="688">
        <f>IFERROR(VLOOKUP($A114,'[96]10月'!$A:$H,8,0),0)</f>
        <v>0</v>
      </c>
      <c r="AI114" s="688">
        <f>IFERROR(VLOOKUP($A114,'[96]11月'!$A:$H,8,0),0)</f>
        <v>0</v>
      </c>
      <c r="AJ114" s="688">
        <f>IFERROR(VLOOKUP($A114,'[96]12月'!$A:$H,8,0),0)</f>
        <v>0</v>
      </c>
      <c r="AK114" s="688">
        <f t="shared" si="58"/>
        <v>0</v>
      </c>
    </row>
    <row r="115" spans="1:37" ht="11.1" customHeight="1">
      <c r="A115" s="653">
        <f>'Budget-合并'!A115</f>
        <v>0</v>
      </c>
      <c r="B115" s="653" t="str">
        <f>'Budget-合并'!B115</f>
        <v xml:space="preserve">    旭智富能08</v>
      </c>
      <c r="C115" s="687" t="str">
        <f>'Budget-合并'!C115</f>
        <v xml:space="preserve">   Foxpower</v>
      </c>
      <c r="D115" s="676">
        <f t="shared" si="53"/>
        <v>0</v>
      </c>
      <c r="E115" s="676">
        <f t="shared" si="54"/>
        <v>0</v>
      </c>
      <c r="F115" s="676">
        <f t="shared" si="55"/>
        <v>0</v>
      </c>
      <c r="G115" s="676">
        <f t="shared" ca="1" si="56"/>
        <v>0</v>
      </c>
      <c r="H115" s="676">
        <f t="shared" ca="1" si="52"/>
        <v>0</v>
      </c>
      <c r="I115" s="676">
        <f t="shared" ca="1" si="57"/>
        <v>0</v>
      </c>
      <c r="K115" s="676"/>
      <c r="L115" s="676"/>
      <c r="M115" s="676"/>
      <c r="N115" s="676"/>
      <c r="O115" s="676"/>
      <c r="P115" s="676"/>
      <c r="Q115" s="676"/>
      <c r="R115" s="676"/>
      <c r="S115" s="676"/>
      <c r="T115" s="676"/>
      <c r="U115" s="676"/>
      <c r="V115" s="676"/>
      <c r="W115" s="676">
        <f t="shared" si="45"/>
        <v>0</v>
      </c>
      <c r="Y115" s="688">
        <f>IFERROR(VLOOKUP($A115,'[96]1月'!$A:$H,8,0),0)</f>
        <v>0</v>
      </c>
      <c r="Z115" s="688">
        <f>IFERROR(VLOOKUP($A115,'[96]2月'!$A:$H,8,0),0)</f>
        <v>0</v>
      </c>
      <c r="AA115" s="688">
        <f>IFERROR(VLOOKUP($A115,'[96]3月'!$A:$H,8,0),0)</f>
        <v>0</v>
      </c>
      <c r="AB115" s="688">
        <f>IFERROR(VLOOKUP($A115,'[96]4月'!$A:$H,8,0),0)</f>
        <v>0</v>
      </c>
      <c r="AC115" s="688">
        <f>IFERROR(VLOOKUP($A115,'[96]5月'!$A:$H,8,0),0)</f>
        <v>0</v>
      </c>
      <c r="AD115" s="688">
        <f>IFERROR(VLOOKUP($A115,'[96]6月'!$A:$H,8,0),0)</f>
        <v>0</v>
      </c>
      <c r="AE115" s="688">
        <f>IFERROR(VLOOKUP($A115,'[96]7月'!$A:$H,8,0),0)</f>
        <v>0</v>
      </c>
      <c r="AF115" s="688">
        <f>IFERROR(VLOOKUP($A115,'[96]8月'!$A:$H,8,0),0)</f>
        <v>0</v>
      </c>
      <c r="AG115" s="688">
        <f>IFERROR(VLOOKUP($A115,'[96]9月'!$A:$H,8,0),0)</f>
        <v>0</v>
      </c>
      <c r="AH115" s="688">
        <f>IFERROR(VLOOKUP($A115,'[96]10月'!$A:$H,8,0),0)</f>
        <v>0</v>
      </c>
      <c r="AI115" s="688">
        <f>IFERROR(VLOOKUP($A115,'[96]11月'!$A:$H,8,0),0)</f>
        <v>0</v>
      </c>
      <c r="AJ115" s="688">
        <f>IFERROR(VLOOKUP($A115,'[96]12月'!$A:$H,8,0),0)</f>
        <v>0</v>
      </c>
      <c r="AK115" s="688">
        <f t="shared" si="58"/>
        <v>0</v>
      </c>
    </row>
    <row r="116" spans="1:37" ht="11.1" customHeight="1">
      <c r="A116" s="653">
        <f>'Budget-合并'!A116</f>
        <v>0</v>
      </c>
      <c r="B116" s="653" t="str">
        <f>'Budget-合并'!B116</f>
        <v xml:space="preserve">    其他项目08</v>
      </c>
      <c r="C116" s="687" t="str">
        <f>'Budget-合并'!C116</f>
        <v xml:space="preserve">   Other project</v>
      </c>
      <c r="D116" s="676">
        <f t="shared" si="53"/>
        <v>0</v>
      </c>
      <c r="E116" s="676">
        <f t="shared" si="54"/>
        <v>0</v>
      </c>
      <c r="F116" s="676">
        <f t="shared" si="55"/>
        <v>0</v>
      </c>
      <c r="G116" s="676">
        <f t="shared" ca="1" si="56"/>
        <v>0</v>
      </c>
      <c r="H116" s="676">
        <f t="shared" ca="1" si="52"/>
        <v>0</v>
      </c>
      <c r="I116" s="676">
        <f t="shared" ca="1" si="57"/>
        <v>0</v>
      </c>
      <c r="K116" s="676"/>
      <c r="L116" s="676"/>
      <c r="M116" s="676"/>
      <c r="N116" s="676"/>
      <c r="O116" s="676"/>
      <c r="P116" s="676"/>
      <c r="Q116" s="676"/>
      <c r="R116" s="676"/>
      <c r="S116" s="676"/>
      <c r="T116" s="676"/>
      <c r="U116" s="676"/>
      <c r="V116" s="676"/>
      <c r="W116" s="676">
        <f t="shared" si="45"/>
        <v>0</v>
      </c>
      <c r="Y116" s="688">
        <f>IFERROR(VLOOKUP($A116,'[96]1月'!$A:$H,8,0),0)</f>
        <v>0</v>
      </c>
      <c r="Z116" s="688">
        <f>IFERROR(VLOOKUP($A116,'[96]2月'!$A:$H,8,0),0)</f>
        <v>0</v>
      </c>
      <c r="AA116" s="688">
        <f>IFERROR(VLOOKUP($A116,'[96]3月'!$A:$H,8,0),0)</f>
        <v>0</v>
      </c>
      <c r="AB116" s="688">
        <f>IFERROR(VLOOKUP($A116,'[96]4月'!$A:$H,8,0),0)</f>
        <v>0</v>
      </c>
      <c r="AC116" s="688">
        <f>IFERROR(VLOOKUP($A116,'[96]5月'!$A:$H,8,0),0)</f>
        <v>0</v>
      </c>
      <c r="AD116" s="688">
        <f>IFERROR(VLOOKUP($A116,'[96]6月'!$A:$H,8,0),0)</f>
        <v>0</v>
      </c>
      <c r="AE116" s="688">
        <f>IFERROR(VLOOKUP($A116,'[96]7月'!$A:$H,8,0),0)</f>
        <v>0</v>
      </c>
      <c r="AF116" s="688">
        <f>IFERROR(VLOOKUP($A116,'[96]8月'!$A:$H,8,0),0)</f>
        <v>0</v>
      </c>
      <c r="AG116" s="688">
        <f>IFERROR(VLOOKUP($A116,'[96]9月'!$A:$H,8,0),0)</f>
        <v>0</v>
      </c>
      <c r="AH116" s="688">
        <f>IFERROR(VLOOKUP($A116,'[96]10月'!$A:$H,8,0),0)</f>
        <v>0</v>
      </c>
      <c r="AI116" s="688">
        <f>IFERROR(VLOOKUP($A116,'[96]11月'!$A:$H,8,0),0)</f>
        <v>0</v>
      </c>
      <c r="AJ116" s="688">
        <f>IFERROR(VLOOKUP($A116,'[96]12月'!$A:$H,8,0),0)</f>
        <v>0</v>
      </c>
      <c r="AK116" s="688">
        <f t="shared" si="58"/>
        <v>0</v>
      </c>
    </row>
    <row r="117" spans="1:37" ht="11.1" customHeight="1">
      <c r="A117" s="653" t="str">
        <f>'Budget-合并'!A117</f>
        <v>6602.09.07</v>
      </c>
      <c r="B117" s="653" t="str">
        <f>'Budget-合并'!B117</f>
        <v>检测费</v>
      </c>
      <c r="C117" s="687">
        <f>'Budget-合并'!C117</f>
        <v>0</v>
      </c>
      <c r="D117" s="676">
        <f t="shared" si="53"/>
        <v>0</v>
      </c>
      <c r="E117" s="676">
        <f t="shared" si="54"/>
        <v>0</v>
      </c>
      <c r="F117" s="676">
        <f t="shared" si="55"/>
        <v>0</v>
      </c>
      <c r="G117" s="676">
        <f t="shared" ca="1" si="56"/>
        <v>0</v>
      </c>
      <c r="H117" s="676">
        <f t="shared" ca="1" si="52"/>
        <v>0</v>
      </c>
      <c r="I117" s="676">
        <f t="shared" ca="1" si="57"/>
        <v>0</v>
      </c>
      <c r="K117" s="676"/>
      <c r="L117" s="676"/>
      <c r="M117" s="676"/>
      <c r="N117" s="676"/>
      <c r="O117" s="676"/>
      <c r="P117" s="676"/>
      <c r="Q117" s="676"/>
      <c r="R117" s="676"/>
      <c r="S117" s="676"/>
      <c r="T117" s="676"/>
      <c r="U117" s="676"/>
      <c r="V117" s="676"/>
      <c r="W117" s="676">
        <f t="shared" si="45"/>
        <v>0</v>
      </c>
      <c r="Y117" s="688">
        <f>IFERROR(VLOOKUP($A117,'[96]1月'!$A:$H,8,0),0)</f>
        <v>0</v>
      </c>
      <c r="Z117" s="688">
        <f>IFERROR(VLOOKUP($A117,'[96]2月'!$A:$H,8,0),0)</f>
        <v>0</v>
      </c>
      <c r="AA117" s="688">
        <f>IFERROR(VLOOKUP($A117,'[96]3月'!$A:$H,8,0),0)</f>
        <v>0</v>
      </c>
      <c r="AB117" s="688">
        <f>IFERROR(VLOOKUP($A117,'[96]4月'!$A:$H,8,0),0)</f>
        <v>0</v>
      </c>
      <c r="AC117" s="688">
        <f>IFERROR(VLOOKUP($A117,'[96]5月'!$A:$H,8,0),0)</f>
        <v>0</v>
      </c>
      <c r="AD117" s="688">
        <f>IFERROR(VLOOKUP($A117,'[96]6月'!$A:$H,8,0),0)</f>
        <v>0</v>
      </c>
      <c r="AE117" s="688">
        <f>IFERROR(VLOOKUP($A117,'[96]7月'!$A:$H,8,0),0)</f>
        <v>0</v>
      </c>
      <c r="AF117" s="688">
        <f>IFERROR(VLOOKUP($A117,'[96]8月'!$A:$H,8,0),0)</f>
        <v>0</v>
      </c>
      <c r="AG117" s="688">
        <f>IFERROR(VLOOKUP($A117,'[96]9月'!$A:$H,8,0),0)</f>
        <v>0</v>
      </c>
      <c r="AH117" s="688">
        <f>IFERROR(VLOOKUP($A117,'[96]10月'!$A:$H,8,0),0)</f>
        <v>0</v>
      </c>
      <c r="AI117" s="688">
        <f>IFERROR(VLOOKUP($A117,'[96]11月'!$A:$H,8,0),0)</f>
        <v>0</v>
      </c>
      <c r="AJ117" s="688">
        <f>IFERROR(VLOOKUP($A117,'[96]12月'!$A:$H,8,0),0)</f>
        <v>0</v>
      </c>
      <c r="AK117" s="688">
        <f t="shared" si="58"/>
        <v>0</v>
      </c>
    </row>
    <row r="118" spans="1:37" ht="11.1" customHeight="1">
      <c r="A118" s="653" t="str">
        <f>'Budget-合并'!A118</f>
        <v>6602.09.08</v>
      </c>
      <c r="B118" s="653" t="str">
        <f>'Budget-合并'!B118</f>
        <v>退改费用（机票/火车等）</v>
      </c>
      <c r="C118" s="687">
        <f>'Budget-合并'!C118</f>
        <v>0</v>
      </c>
      <c r="D118" s="676">
        <f t="shared" si="53"/>
        <v>0</v>
      </c>
      <c r="E118" s="676">
        <f t="shared" si="54"/>
        <v>0</v>
      </c>
      <c r="F118" s="676">
        <f t="shared" si="55"/>
        <v>0</v>
      </c>
      <c r="G118" s="676">
        <f t="shared" ca="1" si="56"/>
        <v>0</v>
      </c>
      <c r="H118" s="676">
        <f t="shared" ca="1" si="52"/>
        <v>0</v>
      </c>
      <c r="I118" s="676">
        <f t="shared" ca="1" si="57"/>
        <v>0</v>
      </c>
      <c r="K118" s="676">
        <f t="shared" ref="K118:V118" si="61">SUM(K119:K121)</f>
        <v>0</v>
      </c>
      <c r="L118" s="676">
        <f t="shared" si="61"/>
        <v>0</v>
      </c>
      <c r="M118" s="676">
        <f t="shared" si="61"/>
        <v>0</v>
      </c>
      <c r="N118" s="676">
        <f t="shared" si="61"/>
        <v>0</v>
      </c>
      <c r="O118" s="676">
        <f t="shared" si="61"/>
        <v>0</v>
      </c>
      <c r="P118" s="676">
        <f t="shared" si="61"/>
        <v>0</v>
      </c>
      <c r="Q118" s="676">
        <f t="shared" si="61"/>
        <v>0</v>
      </c>
      <c r="R118" s="676">
        <f t="shared" si="61"/>
        <v>0</v>
      </c>
      <c r="S118" s="676">
        <f t="shared" si="61"/>
        <v>0</v>
      </c>
      <c r="T118" s="676">
        <f t="shared" si="61"/>
        <v>0</v>
      </c>
      <c r="U118" s="676">
        <f t="shared" si="61"/>
        <v>0</v>
      </c>
      <c r="V118" s="676">
        <f t="shared" si="61"/>
        <v>0</v>
      </c>
      <c r="W118" s="676">
        <f t="shared" si="45"/>
        <v>0</v>
      </c>
      <c r="Y118" s="688">
        <f>IFERROR(VLOOKUP($A118,'[96]1月'!$A:$H,8,0),0)</f>
        <v>0</v>
      </c>
      <c r="Z118" s="688">
        <f>IFERROR(VLOOKUP($A118,'[96]2月'!$A:$H,8,0),0)</f>
        <v>0</v>
      </c>
      <c r="AA118" s="688">
        <f>IFERROR(VLOOKUP($A118,'[96]3月'!$A:$H,8,0),0)</f>
        <v>0</v>
      </c>
      <c r="AB118" s="688">
        <f>IFERROR(VLOOKUP($A118,'[96]4月'!$A:$H,8,0),0)</f>
        <v>0</v>
      </c>
      <c r="AC118" s="688">
        <f>IFERROR(VLOOKUP($A118,'[96]5月'!$A:$H,8,0),0)</f>
        <v>0</v>
      </c>
      <c r="AD118" s="688">
        <f>IFERROR(VLOOKUP($A118,'[96]6月'!$A:$H,8,0),0)</f>
        <v>0</v>
      </c>
      <c r="AE118" s="688">
        <f>IFERROR(VLOOKUP($A118,'[96]7月'!$A:$H,8,0),0)</f>
        <v>0</v>
      </c>
      <c r="AF118" s="688">
        <f>IFERROR(VLOOKUP($A118,'[96]8月'!$A:$H,8,0),0)</f>
        <v>0</v>
      </c>
      <c r="AG118" s="688">
        <f>IFERROR(VLOOKUP($A118,'[96]9月'!$A:$H,8,0),0)</f>
        <v>0</v>
      </c>
      <c r="AH118" s="688">
        <f>IFERROR(VLOOKUP($A118,'[96]10月'!$A:$H,8,0),0)</f>
        <v>0</v>
      </c>
      <c r="AI118" s="688">
        <f>IFERROR(VLOOKUP($A118,'[96]11月'!$A:$H,8,0),0)</f>
        <v>0</v>
      </c>
      <c r="AJ118" s="688">
        <f>IFERROR(VLOOKUP($A118,'[96]12月'!$A:$H,8,0),0)</f>
        <v>0</v>
      </c>
      <c r="AK118" s="688">
        <f t="shared" si="58"/>
        <v>0</v>
      </c>
    </row>
    <row r="119" spans="1:37" ht="11.1" customHeight="1">
      <c r="A119" s="653">
        <f>'Budget-合并'!A119</f>
        <v>0</v>
      </c>
      <c r="B119" s="653" t="str">
        <f>'Budget-合并'!B119</f>
        <v xml:space="preserve">    公司主体09</v>
      </c>
      <c r="C119" s="687" t="str">
        <f>'Budget-合并'!C119</f>
        <v xml:space="preserve">   Entity</v>
      </c>
      <c r="D119" s="676">
        <f t="shared" si="53"/>
        <v>0</v>
      </c>
      <c r="E119" s="676">
        <f t="shared" si="54"/>
        <v>0</v>
      </c>
      <c r="F119" s="676">
        <f t="shared" si="55"/>
        <v>0</v>
      </c>
      <c r="G119" s="676">
        <f t="shared" ca="1" si="56"/>
        <v>0</v>
      </c>
      <c r="H119" s="676">
        <f t="shared" ca="1" si="52"/>
        <v>0</v>
      </c>
      <c r="I119" s="676">
        <f t="shared" ca="1" si="57"/>
        <v>0</v>
      </c>
      <c r="K119" s="676"/>
      <c r="L119" s="676"/>
      <c r="M119" s="676"/>
      <c r="N119" s="676"/>
      <c r="O119" s="676"/>
      <c r="P119" s="676"/>
      <c r="Q119" s="676"/>
      <c r="R119" s="676"/>
      <c r="S119" s="676"/>
      <c r="T119" s="676"/>
      <c r="U119" s="676"/>
      <c r="V119" s="676"/>
      <c r="W119" s="676">
        <f t="shared" si="45"/>
        <v>0</v>
      </c>
      <c r="Y119" s="688">
        <f>IFERROR(VLOOKUP($A119,'[96]1月'!$A:$H,8,0),0)</f>
        <v>0</v>
      </c>
      <c r="Z119" s="688">
        <f>IFERROR(VLOOKUP($A119,'[96]2月'!$A:$H,8,0),0)</f>
        <v>0</v>
      </c>
      <c r="AA119" s="688">
        <f>IFERROR(VLOOKUP($A119,'[96]3月'!$A:$H,8,0),0)</f>
        <v>0</v>
      </c>
      <c r="AB119" s="688">
        <f>IFERROR(VLOOKUP($A119,'[96]4月'!$A:$H,8,0),0)</f>
        <v>0</v>
      </c>
      <c r="AC119" s="688">
        <f>IFERROR(VLOOKUP($A119,'[96]5月'!$A:$H,8,0),0)</f>
        <v>0</v>
      </c>
      <c r="AD119" s="688">
        <f>IFERROR(VLOOKUP($A119,'[96]6月'!$A:$H,8,0),0)</f>
        <v>0</v>
      </c>
      <c r="AE119" s="688">
        <f>IFERROR(VLOOKUP($A119,'[96]7月'!$A:$H,8,0),0)</f>
        <v>0</v>
      </c>
      <c r="AF119" s="688">
        <f>IFERROR(VLOOKUP($A119,'[96]8月'!$A:$H,8,0),0)</f>
        <v>0</v>
      </c>
      <c r="AG119" s="688">
        <f>IFERROR(VLOOKUP($A119,'[96]9月'!$A:$H,8,0),0)</f>
        <v>0</v>
      </c>
      <c r="AH119" s="688">
        <f>IFERROR(VLOOKUP($A119,'[96]10月'!$A:$H,8,0),0)</f>
        <v>0</v>
      </c>
      <c r="AI119" s="688">
        <f>IFERROR(VLOOKUP($A119,'[96]11月'!$A:$H,8,0),0)</f>
        <v>0</v>
      </c>
      <c r="AJ119" s="688">
        <f>IFERROR(VLOOKUP($A119,'[96]12月'!$A:$H,8,0),0)</f>
        <v>0</v>
      </c>
      <c r="AK119" s="688">
        <f t="shared" si="58"/>
        <v>0</v>
      </c>
    </row>
    <row r="120" spans="1:37" ht="11.1" customHeight="1">
      <c r="A120" s="653">
        <f>'Budget-合并'!A120</f>
        <v>0</v>
      </c>
      <c r="B120" s="653" t="str">
        <f>'Budget-合并'!B120</f>
        <v xml:space="preserve">    旭智富能09</v>
      </c>
      <c r="C120" s="687" t="str">
        <f>'Budget-合并'!C120</f>
        <v xml:space="preserve">   Foxpower</v>
      </c>
      <c r="D120" s="676">
        <f t="shared" si="53"/>
        <v>0</v>
      </c>
      <c r="E120" s="676">
        <f t="shared" si="54"/>
        <v>0</v>
      </c>
      <c r="F120" s="676">
        <f t="shared" si="55"/>
        <v>0</v>
      </c>
      <c r="G120" s="676">
        <f t="shared" ca="1" si="56"/>
        <v>0</v>
      </c>
      <c r="H120" s="676">
        <f t="shared" ca="1" si="52"/>
        <v>0</v>
      </c>
      <c r="I120" s="676">
        <f t="shared" ca="1" si="57"/>
        <v>0</v>
      </c>
      <c r="K120" s="676"/>
      <c r="L120" s="676"/>
      <c r="M120" s="676"/>
      <c r="N120" s="676"/>
      <c r="O120" s="676"/>
      <c r="P120" s="676"/>
      <c r="Q120" s="676"/>
      <c r="R120" s="676"/>
      <c r="S120" s="676"/>
      <c r="T120" s="676"/>
      <c r="U120" s="676"/>
      <c r="V120" s="676"/>
      <c r="W120" s="676">
        <f t="shared" si="45"/>
        <v>0</v>
      </c>
      <c r="Y120" s="688">
        <f>IFERROR(VLOOKUP($A120,'[96]1月'!$A:$H,8,0),0)</f>
        <v>0</v>
      </c>
      <c r="Z120" s="688">
        <f>IFERROR(VLOOKUP($A120,'[96]2月'!$A:$H,8,0),0)</f>
        <v>0</v>
      </c>
      <c r="AA120" s="688">
        <f>IFERROR(VLOOKUP($A120,'[96]3月'!$A:$H,8,0),0)</f>
        <v>0</v>
      </c>
      <c r="AB120" s="688">
        <f>IFERROR(VLOOKUP($A120,'[96]4月'!$A:$H,8,0),0)</f>
        <v>0</v>
      </c>
      <c r="AC120" s="688">
        <f>IFERROR(VLOOKUP($A120,'[96]5月'!$A:$H,8,0),0)</f>
        <v>0</v>
      </c>
      <c r="AD120" s="688">
        <f>IFERROR(VLOOKUP($A120,'[96]6月'!$A:$H,8,0),0)</f>
        <v>0</v>
      </c>
      <c r="AE120" s="688">
        <f>IFERROR(VLOOKUP($A120,'[96]7月'!$A:$H,8,0),0)</f>
        <v>0</v>
      </c>
      <c r="AF120" s="688">
        <f>IFERROR(VLOOKUP($A120,'[96]8月'!$A:$H,8,0),0)</f>
        <v>0</v>
      </c>
      <c r="AG120" s="688">
        <f>IFERROR(VLOOKUP($A120,'[96]9月'!$A:$H,8,0),0)</f>
        <v>0</v>
      </c>
      <c r="AH120" s="688">
        <f>IFERROR(VLOOKUP($A120,'[96]10月'!$A:$H,8,0),0)</f>
        <v>0</v>
      </c>
      <c r="AI120" s="688">
        <f>IFERROR(VLOOKUP($A120,'[96]11月'!$A:$H,8,0),0)</f>
        <v>0</v>
      </c>
      <c r="AJ120" s="688">
        <f>IFERROR(VLOOKUP($A120,'[96]12月'!$A:$H,8,0),0)</f>
        <v>0</v>
      </c>
      <c r="AK120" s="688">
        <f t="shared" si="58"/>
        <v>0</v>
      </c>
    </row>
    <row r="121" spans="1:37" ht="11.1" customHeight="1">
      <c r="A121" s="653">
        <f>'Budget-合并'!A121</f>
        <v>0</v>
      </c>
      <c r="B121" s="653" t="str">
        <f>'Budget-合并'!B121</f>
        <v xml:space="preserve">    其他项目09</v>
      </c>
      <c r="C121" s="687" t="str">
        <f>'Budget-合并'!C121</f>
        <v xml:space="preserve">   Other project</v>
      </c>
      <c r="D121" s="676">
        <f t="shared" si="53"/>
        <v>0</v>
      </c>
      <c r="E121" s="676">
        <f t="shared" si="54"/>
        <v>0</v>
      </c>
      <c r="F121" s="676">
        <f t="shared" si="55"/>
        <v>0</v>
      </c>
      <c r="G121" s="676">
        <f t="shared" ca="1" si="56"/>
        <v>0</v>
      </c>
      <c r="H121" s="676">
        <f t="shared" ca="1" si="52"/>
        <v>0</v>
      </c>
      <c r="I121" s="676">
        <f t="shared" ca="1" si="57"/>
        <v>0</v>
      </c>
      <c r="K121" s="676"/>
      <c r="L121" s="676"/>
      <c r="M121" s="676"/>
      <c r="N121" s="676"/>
      <c r="O121" s="676"/>
      <c r="P121" s="676"/>
      <c r="Q121" s="676"/>
      <c r="R121" s="676"/>
      <c r="S121" s="676"/>
      <c r="T121" s="676"/>
      <c r="U121" s="676"/>
      <c r="V121" s="676"/>
      <c r="W121" s="676">
        <f t="shared" si="45"/>
        <v>0</v>
      </c>
      <c r="Y121" s="688">
        <f>IFERROR(VLOOKUP($A121,'[96]1月'!$A:$H,8,0),0)</f>
        <v>0</v>
      </c>
      <c r="Z121" s="688">
        <f>IFERROR(VLOOKUP($A121,'[96]2月'!$A:$H,8,0),0)</f>
        <v>0</v>
      </c>
      <c r="AA121" s="688">
        <f>IFERROR(VLOOKUP($A121,'[96]3月'!$A:$H,8,0),0)</f>
        <v>0</v>
      </c>
      <c r="AB121" s="688">
        <f>IFERROR(VLOOKUP($A121,'[96]4月'!$A:$H,8,0),0)</f>
        <v>0</v>
      </c>
      <c r="AC121" s="688">
        <f>IFERROR(VLOOKUP($A121,'[96]5月'!$A:$H,8,0),0)</f>
        <v>0</v>
      </c>
      <c r="AD121" s="688">
        <f>IFERROR(VLOOKUP($A121,'[96]6月'!$A:$H,8,0),0)</f>
        <v>0</v>
      </c>
      <c r="AE121" s="688">
        <f>IFERROR(VLOOKUP($A121,'[96]7月'!$A:$H,8,0),0)</f>
        <v>0</v>
      </c>
      <c r="AF121" s="688">
        <f>IFERROR(VLOOKUP($A121,'[96]8月'!$A:$H,8,0),0)</f>
        <v>0</v>
      </c>
      <c r="AG121" s="688">
        <f>IFERROR(VLOOKUP($A121,'[96]9月'!$A:$H,8,0),0)</f>
        <v>0</v>
      </c>
      <c r="AH121" s="688">
        <f>IFERROR(VLOOKUP($A121,'[96]10月'!$A:$H,8,0),0)</f>
        <v>0</v>
      </c>
      <c r="AI121" s="688">
        <f>IFERROR(VLOOKUP($A121,'[96]11月'!$A:$H,8,0),0)</f>
        <v>0</v>
      </c>
      <c r="AJ121" s="688">
        <f>IFERROR(VLOOKUP($A121,'[96]12月'!$A:$H,8,0),0)</f>
        <v>0</v>
      </c>
      <c r="AK121" s="688">
        <f t="shared" si="58"/>
        <v>0</v>
      </c>
    </row>
    <row r="122" spans="1:37" ht="11.1" customHeight="1">
      <c r="A122" s="653" t="str">
        <f>'Budget-合并'!A122</f>
        <v>6602.09.09</v>
      </c>
      <c r="B122" s="653" t="str">
        <f>'Budget-合并'!B122</f>
        <v>携程服务费</v>
      </c>
      <c r="C122" s="687">
        <f>'Budget-合并'!C122</f>
        <v>0</v>
      </c>
      <c r="D122" s="676">
        <f t="shared" si="53"/>
        <v>0</v>
      </c>
      <c r="E122" s="676">
        <f t="shared" si="54"/>
        <v>0</v>
      </c>
      <c r="F122" s="676">
        <f t="shared" si="55"/>
        <v>0</v>
      </c>
      <c r="G122" s="676">
        <f t="shared" ca="1" si="56"/>
        <v>0</v>
      </c>
      <c r="H122" s="676">
        <f t="shared" ca="1" si="52"/>
        <v>0</v>
      </c>
      <c r="I122" s="676">
        <f t="shared" ca="1" si="57"/>
        <v>0</v>
      </c>
      <c r="K122" s="676">
        <f t="shared" ref="K122:V122" si="62">SUM(K123:K125)</f>
        <v>0</v>
      </c>
      <c r="L122" s="676">
        <f t="shared" si="62"/>
        <v>0</v>
      </c>
      <c r="M122" s="676">
        <f t="shared" si="62"/>
        <v>0</v>
      </c>
      <c r="N122" s="676">
        <f t="shared" si="62"/>
        <v>0</v>
      </c>
      <c r="O122" s="676">
        <f t="shared" si="62"/>
        <v>0</v>
      </c>
      <c r="P122" s="676">
        <f t="shared" si="62"/>
        <v>0</v>
      </c>
      <c r="Q122" s="676">
        <f t="shared" si="62"/>
        <v>0</v>
      </c>
      <c r="R122" s="676">
        <f t="shared" si="62"/>
        <v>0</v>
      </c>
      <c r="S122" s="676">
        <f t="shared" si="62"/>
        <v>0</v>
      </c>
      <c r="T122" s="676">
        <f t="shared" si="62"/>
        <v>0</v>
      </c>
      <c r="U122" s="676">
        <f t="shared" si="62"/>
        <v>0</v>
      </c>
      <c r="V122" s="676">
        <f t="shared" si="62"/>
        <v>0</v>
      </c>
      <c r="W122" s="676">
        <f t="shared" si="45"/>
        <v>0</v>
      </c>
      <c r="Y122" s="688">
        <f>IFERROR(VLOOKUP($A122,'[96]1月'!$A:$H,8,0),0)</f>
        <v>0</v>
      </c>
      <c r="Z122" s="688">
        <f>IFERROR(VLOOKUP($A122,'[96]2月'!$A:$H,8,0),0)</f>
        <v>0</v>
      </c>
      <c r="AA122" s="688">
        <f>IFERROR(VLOOKUP($A122,'[96]3月'!$A:$H,8,0),0)</f>
        <v>0</v>
      </c>
      <c r="AB122" s="688">
        <f>IFERROR(VLOOKUP($A122,'[96]4月'!$A:$H,8,0),0)</f>
        <v>0</v>
      </c>
      <c r="AC122" s="688">
        <f>IFERROR(VLOOKUP($A122,'[96]5月'!$A:$H,8,0),0)</f>
        <v>0</v>
      </c>
      <c r="AD122" s="688">
        <f>IFERROR(VLOOKUP($A122,'[96]6月'!$A:$H,8,0),0)</f>
        <v>0</v>
      </c>
      <c r="AE122" s="688">
        <f>IFERROR(VLOOKUP($A122,'[96]7月'!$A:$H,8,0),0)</f>
        <v>0</v>
      </c>
      <c r="AF122" s="688">
        <f>IFERROR(VLOOKUP($A122,'[96]8月'!$A:$H,8,0),0)</f>
        <v>0</v>
      </c>
      <c r="AG122" s="688">
        <f>IFERROR(VLOOKUP($A122,'[96]9月'!$A:$H,8,0),0)</f>
        <v>0</v>
      </c>
      <c r="AH122" s="688">
        <f>IFERROR(VLOOKUP($A122,'[96]10月'!$A:$H,8,0),0)</f>
        <v>0</v>
      </c>
      <c r="AI122" s="688">
        <f>IFERROR(VLOOKUP($A122,'[96]11月'!$A:$H,8,0),0)</f>
        <v>0</v>
      </c>
      <c r="AJ122" s="688">
        <f>IFERROR(VLOOKUP($A122,'[96]12月'!$A:$H,8,0),0)</f>
        <v>0</v>
      </c>
      <c r="AK122" s="688">
        <f t="shared" si="58"/>
        <v>0</v>
      </c>
    </row>
    <row r="123" spans="1:37" ht="11.1" customHeight="1">
      <c r="A123" s="653">
        <f>'Budget-合并'!A123</f>
        <v>0</v>
      </c>
      <c r="B123" s="653" t="str">
        <f>'Budget-合并'!B123</f>
        <v xml:space="preserve">    公司主体10</v>
      </c>
      <c r="C123" s="687" t="str">
        <f>'Budget-合并'!C123</f>
        <v xml:space="preserve">   Entity</v>
      </c>
      <c r="D123" s="676">
        <f t="shared" si="53"/>
        <v>0</v>
      </c>
      <c r="E123" s="676">
        <f t="shared" si="54"/>
        <v>0</v>
      </c>
      <c r="F123" s="676">
        <f t="shared" si="55"/>
        <v>0</v>
      </c>
      <c r="G123" s="676">
        <f t="shared" ca="1" si="56"/>
        <v>0</v>
      </c>
      <c r="H123" s="676">
        <f t="shared" ca="1" si="52"/>
        <v>0</v>
      </c>
      <c r="I123" s="676">
        <f t="shared" ca="1" si="57"/>
        <v>0</v>
      </c>
      <c r="K123" s="676"/>
      <c r="L123" s="676"/>
      <c r="M123" s="676"/>
      <c r="N123" s="676"/>
      <c r="O123" s="676"/>
      <c r="P123" s="676"/>
      <c r="Q123" s="676"/>
      <c r="R123" s="676"/>
      <c r="S123" s="676"/>
      <c r="T123" s="676"/>
      <c r="U123" s="676"/>
      <c r="V123" s="676"/>
      <c r="W123" s="676">
        <f t="shared" si="45"/>
        <v>0</v>
      </c>
      <c r="Y123" s="688">
        <f>IFERROR(VLOOKUP($A123,'[96]1月'!$A:$H,8,0),0)</f>
        <v>0</v>
      </c>
      <c r="Z123" s="688">
        <f>IFERROR(VLOOKUP($A123,'[96]2月'!$A:$H,8,0),0)</f>
        <v>0</v>
      </c>
      <c r="AA123" s="688">
        <f>IFERROR(VLOOKUP($A123,'[96]3月'!$A:$H,8,0),0)</f>
        <v>0</v>
      </c>
      <c r="AB123" s="688">
        <f>IFERROR(VLOOKUP($A123,'[96]4月'!$A:$H,8,0),0)</f>
        <v>0</v>
      </c>
      <c r="AC123" s="688">
        <f>IFERROR(VLOOKUP($A123,'[96]5月'!$A:$H,8,0),0)</f>
        <v>0</v>
      </c>
      <c r="AD123" s="688">
        <f>IFERROR(VLOOKUP($A123,'[96]6月'!$A:$H,8,0),0)</f>
        <v>0</v>
      </c>
      <c r="AE123" s="688">
        <f>IFERROR(VLOOKUP($A123,'[96]7月'!$A:$H,8,0),0)</f>
        <v>0</v>
      </c>
      <c r="AF123" s="688">
        <f>IFERROR(VLOOKUP($A123,'[96]8月'!$A:$H,8,0),0)</f>
        <v>0</v>
      </c>
      <c r="AG123" s="688">
        <f>IFERROR(VLOOKUP($A123,'[96]9月'!$A:$H,8,0),0)</f>
        <v>0</v>
      </c>
      <c r="AH123" s="688">
        <f>IFERROR(VLOOKUP($A123,'[96]10月'!$A:$H,8,0),0)</f>
        <v>0</v>
      </c>
      <c r="AI123" s="688">
        <f>IFERROR(VLOOKUP($A123,'[96]11月'!$A:$H,8,0),0)</f>
        <v>0</v>
      </c>
      <c r="AJ123" s="688">
        <f>IFERROR(VLOOKUP($A123,'[96]12月'!$A:$H,8,0),0)</f>
        <v>0</v>
      </c>
      <c r="AK123" s="688">
        <f t="shared" si="58"/>
        <v>0</v>
      </c>
    </row>
    <row r="124" spans="1:37" ht="11.1" customHeight="1">
      <c r="A124" s="653">
        <f>'Budget-合并'!A124</f>
        <v>0</v>
      </c>
      <c r="B124" s="653" t="str">
        <f>'Budget-合并'!B124</f>
        <v xml:space="preserve">    旭智富能10</v>
      </c>
      <c r="C124" s="687" t="str">
        <f>'Budget-合并'!C124</f>
        <v xml:space="preserve">   Foxpower</v>
      </c>
      <c r="D124" s="676">
        <f t="shared" si="53"/>
        <v>0</v>
      </c>
      <c r="E124" s="676">
        <f t="shared" si="54"/>
        <v>0</v>
      </c>
      <c r="F124" s="676">
        <f t="shared" si="55"/>
        <v>0</v>
      </c>
      <c r="G124" s="676">
        <f t="shared" ca="1" si="56"/>
        <v>0</v>
      </c>
      <c r="H124" s="676">
        <f t="shared" ca="1" si="52"/>
        <v>0</v>
      </c>
      <c r="I124" s="676">
        <f t="shared" ca="1" si="57"/>
        <v>0</v>
      </c>
      <c r="K124" s="676"/>
      <c r="L124" s="676"/>
      <c r="M124" s="676"/>
      <c r="N124" s="676"/>
      <c r="O124" s="676"/>
      <c r="P124" s="676"/>
      <c r="Q124" s="676"/>
      <c r="R124" s="676"/>
      <c r="S124" s="676"/>
      <c r="T124" s="676"/>
      <c r="U124" s="676"/>
      <c r="V124" s="676"/>
      <c r="W124" s="676">
        <f t="shared" si="45"/>
        <v>0</v>
      </c>
      <c r="Y124" s="688">
        <f>IFERROR(VLOOKUP($A124,'[96]1月'!$A:$H,8,0),0)</f>
        <v>0</v>
      </c>
      <c r="Z124" s="688">
        <f>IFERROR(VLOOKUP($A124,'[96]2月'!$A:$H,8,0),0)</f>
        <v>0</v>
      </c>
      <c r="AA124" s="688">
        <f>IFERROR(VLOOKUP($A124,'[96]3月'!$A:$H,8,0),0)</f>
        <v>0</v>
      </c>
      <c r="AB124" s="688">
        <f>IFERROR(VLOOKUP($A124,'[96]4月'!$A:$H,8,0),0)</f>
        <v>0</v>
      </c>
      <c r="AC124" s="688">
        <f>IFERROR(VLOOKUP($A124,'[96]5月'!$A:$H,8,0),0)</f>
        <v>0</v>
      </c>
      <c r="AD124" s="688">
        <f>IFERROR(VLOOKUP($A124,'[96]6月'!$A:$H,8,0),0)</f>
        <v>0</v>
      </c>
      <c r="AE124" s="688">
        <f>IFERROR(VLOOKUP($A124,'[96]7月'!$A:$H,8,0),0)</f>
        <v>0</v>
      </c>
      <c r="AF124" s="688">
        <f>IFERROR(VLOOKUP($A124,'[96]8月'!$A:$H,8,0),0)</f>
        <v>0</v>
      </c>
      <c r="AG124" s="688">
        <f>IFERROR(VLOOKUP($A124,'[96]9月'!$A:$H,8,0),0)</f>
        <v>0</v>
      </c>
      <c r="AH124" s="688">
        <f>IFERROR(VLOOKUP($A124,'[96]10月'!$A:$H,8,0),0)</f>
        <v>0</v>
      </c>
      <c r="AI124" s="688">
        <f>IFERROR(VLOOKUP($A124,'[96]11月'!$A:$H,8,0),0)</f>
        <v>0</v>
      </c>
      <c r="AJ124" s="688">
        <f>IFERROR(VLOOKUP($A124,'[96]12月'!$A:$H,8,0),0)</f>
        <v>0</v>
      </c>
      <c r="AK124" s="688">
        <f t="shared" si="58"/>
        <v>0</v>
      </c>
    </row>
    <row r="125" spans="1:37" ht="11.1" customHeight="1">
      <c r="A125" s="653">
        <f>'Budget-合并'!A125</f>
        <v>0</v>
      </c>
      <c r="B125" s="653" t="str">
        <f>'Budget-合并'!B125</f>
        <v xml:space="preserve">    其他项目10</v>
      </c>
      <c r="C125" s="687" t="str">
        <f>'Budget-合并'!C125</f>
        <v xml:space="preserve">   Other project</v>
      </c>
      <c r="D125" s="676">
        <f t="shared" si="53"/>
        <v>0</v>
      </c>
      <c r="E125" s="676">
        <f t="shared" si="54"/>
        <v>0</v>
      </c>
      <c r="F125" s="676">
        <f t="shared" si="55"/>
        <v>0</v>
      </c>
      <c r="G125" s="676">
        <f t="shared" ca="1" si="56"/>
        <v>0</v>
      </c>
      <c r="H125" s="676">
        <f t="shared" ca="1" si="52"/>
        <v>0</v>
      </c>
      <c r="I125" s="676">
        <f t="shared" ca="1" si="57"/>
        <v>0</v>
      </c>
      <c r="K125" s="676"/>
      <c r="L125" s="676"/>
      <c r="M125" s="676"/>
      <c r="N125" s="676"/>
      <c r="O125" s="676"/>
      <c r="P125" s="676"/>
      <c r="Q125" s="676"/>
      <c r="R125" s="676"/>
      <c r="S125" s="676"/>
      <c r="T125" s="676"/>
      <c r="U125" s="676"/>
      <c r="V125" s="676"/>
      <c r="W125" s="676">
        <f t="shared" si="45"/>
        <v>0</v>
      </c>
      <c r="Y125" s="688">
        <f>IFERROR(VLOOKUP($A125,'[96]1月'!$A:$H,8,0),0)</f>
        <v>0</v>
      </c>
      <c r="Z125" s="688">
        <f>IFERROR(VLOOKUP($A125,'[96]2月'!$A:$H,8,0),0)</f>
        <v>0</v>
      </c>
      <c r="AA125" s="688">
        <f>IFERROR(VLOOKUP($A125,'[96]3月'!$A:$H,8,0),0)</f>
        <v>0</v>
      </c>
      <c r="AB125" s="688">
        <f>IFERROR(VLOOKUP($A125,'[96]4月'!$A:$H,8,0),0)</f>
        <v>0</v>
      </c>
      <c r="AC125" s="688">
        <f>IFERROR(VLOOKUP($A125,'[96]5月'!$A:$H,8,0),0)</f>
        <v>0</v>
      </c>
      <c r="AD125" s="688">
        <f>IFERROR(VLOOKUP($A125,'[96]6月'!$A:$H,8,0),0)</f>
        <v>0</v>
      </c>
      <c r="AE125" s="688">
        <f>IFERROR(VLOOKUP($A125,'[96]7月'!$A:$H,8,0),0)</f>
        <v>0</v>
      </c>
      <c r="AF125" s="688">
        <f>IFERROR(VLOOKUP($A125,'[96]8月'!$A:$H,8,0),0)</f>
        <v>0</v>
      </c>
      <c r="AG125" s="688">
        <f>IFERROR(VLOOKUP($A125,'[96]9月'!$A:$H,8,0),0)</f>
        <v>0</v>
      </c>
      <c r="AH125" s="688">
        <f>IFERROR(VLOOKUP($A125,'[96]10月'!$A:$H,8,0),0)</f>
        <v>0</v>
      </c>
      <c r="AI125" s="688">
        <f>IFERROR(VLOOKUP($A125,'[96]11月'!$A:$H,8,0),0)</f>
        <v>0</v>
      </c>
      <c r="AJ125" s="688">
        <f>IFERROR(VLOOKUP($A125,'[96]12月'!$A:$H,8,0),0)</f>
        <v>0</v>
      </c>
      <c r="AK125" s="688">
        <f t="shared" si="58"/>
        <v>0</v>
      </c>
    </row>
    <row r="126" spans="1:37" ht="11.1" customHeight="1">
      <c r="A126" s="653" t="str">
        <f>'Budget-合并'!A126</f>
        <v>6602.09.99</v>
      </c>
      <c r="B126" s="653" t="str">
        <f>'Budget-合并'!B126</f>
        <v>其他</v>
      </c>
      <c r="C126" s="687" t="str">
        <f>'Budget-合并'!C126</f>
        <v>Travel Other</v>
      </c>
      <c r="D126" s="676">
        <f t="shared" si="53"/>
        <v>0</v>
      </c>
      <c r="E126" s="676">
        <f t="shared" si="54"/>
        <v>0</v>
      </c>
      <c r="F126" s="676">
        <f t="shared" si="55"/>
        <v>0</v>
      </c>
      <c r="G126" s="676">
        <f t="shared" ca="1" si="56"/>
        <v>0</v>
      </c>
      <c r="H126" s="676">
        <f t="shared" ca="1" si="52"/>
        <v>0</v>
      </c>
      <c r="I126" s="676">
        <f t="shared" ca="1" si="57"/>
        <v>0</v>
      </c>
      <c r="K126" s="676"/>
      <c r="L126" s="676"/>
      <c r="M126" s="676"/>
      <c r="N126" s="676"/>
      <c r="O126" s="676"/>
      <c r="P126" s="676"/>
      <c r="Q126" s="676"/>
      <c r="R126" s="676"/>
      <c r="S126" s="676"/>
      <c r="T126" s="676"/>
      <c r="U126" s="676"/>
      <c r="V126" s="676"/>
      <c r="W126" s="676">
        <f t="shared" si="45"/>
        <v>0</v>
      </c>
      <c r="Y126" s="688">
        <f>IFERROR(VLOOKUP($A126,'[96]1月'!$A:$H,8,0),0)</f>
        <v>0</v>
      </c>
      <c r="Z126" s="688">
        <f>IFERROR(VLOOKUP($A126,'[96]2月'!$A:$H,8,0),0)</f>
        <v>0</v>
      </c>
      <c r="AA126" s="688">
        <f>IFERROR(VLOOKUP($A126,'[96]3月'!$A:$H,8,0),0)</f>
        <v>0</v>
      </c>
      <c r="AB126" s="688">
        <f>IFERROR(VLOOKUP($A126,'[96]4月'!$A:$H,8,0),0)</f>
        <v>0</v>
      </c>
      <c r="AC126" s="688">
        <f>IFERROR(VLOOKUP($A126,'[96]5月'!$A:$H,8,0),0)</f>
        <v>0</v>
      </c>
      <c r="AD126" s="688">
        <f>IFERROR(VLOOKUP($A126,'[96]6月'!$A:$H,8,0),0)</f>
        <v>0</v>
      </c>
      <c r="AE126" s="688">
        <f>IFERROR(VLOOKUP($A126,'[96]7月'!$A:$H,8,0),0)</f>
        <v>0</v>
      </c>
      <c r="AF126" s="688">
        <f>IFERROR(VLOOKUP($A126,'[96]8月'!$A:$H,8,0),0)</f>
        <v>0</v>
      </c>
      <c r="AG126" s="688">
        <f>IFERROR(VLOOKUP($A126,'[96]9月'!$A:$H,8,0),0)</f>
        <v>0</v>
      </c>
      <c r="AH126" s="688">
        <f>IFERROR(VLOOKUP($A126,'[96]10月'!$A:$H,8,0),0)</f>
        <v>0</v>
      </c>
      <c r="AI126" s="688">
        <f>IFERROR(VLOOKUP($A126,'[96]11月'!$A:$H,8,0),0)</f>
        <v>0</v>
      </c>
      <c r="AJ126" s="688">
        <f>IFERROR(VLOOKUP($A126,'[96]12月'!$A:$H,8,0),0)</f>
        <v>0</v>
      </c>
      <c r="AK126" s="688">
        <f t="shared" si="58"/>
        <v>0</v>
      </c>
    </row>
    <row r="127" spans="1:37" ht="11.1" customHeight="1">
      <c r="A127" s="663" t="str">
        <f>'Budget-合并'!A127</f>
        <v>6602.10</v>
      </c>
      <c r="B127" s="663" t="str">
        <f>'Budget-合并'!B127</f>
        <v>折旧费</v>
      </c>
      <c r="C127" s="687">
        <f>'Budget-合并'!C127</f>
        <v>0</v>
      </c>
      <c r="D127" s="676">
        <f t="shared" si="53"/>
        <v>0</v>
      </c>
      <c r="E127" s="676">
        <f t="shared" si="54"/>
        <v>0</v>
      </c>
      <c r="F127" s="676">
        <f t="shared" si="55"/>
        <v>0</v>
      </c>
      <c r="G127" s="676">
        <f t="shared" ca="1" si="56"/>
        <v>0</v>
      </c>
      <c r="H127" s="676">
        <f t="shared" ca="1" si="52"/>
        <v>0</v>
      </c>
      <c r="I127" s="676">
        <f t="shared" ca="1" si="57"/>
        <v>0</v>
      </c>
      <c r="K127" s="676">
        <f t="shared" ref="K127:V127" si="63">SUM(K128:K131)</f>
        <v>0</v>
      </c>
      <c r="L127" s="676">
        <f t="shared" si="63"/>
        <v>0</v>
      </c>
      <c r="M127" s="676">
        <f t="shared" si="63"/>
        <v>0</v>
      </c>
      <c r="N127" s="676">
        <f t="shared" si="63"/>
        <v>0</v>
      </c>
      <c r="O127" s="676">
        <f t="shared" si="63"/>
        <v>0</v>
      </c>
      <c r="P127" s="676">
        <f t="shared" si="63"/>
        <v>0</v>
      </c>
      <c r="Q127" s="676">
        <f t="shared" si="63"/>
        <v>0</v>
      </c>
      <c r="R127" s="676">
        <f t="shared" si="63"/>
        <v>0</v>
      </c>
      <c r="S127" s="676">
        <f t="shared" si="63"/>
        <v>0</v>
      </c>
      <c r="T127" s="676">
        <f t="shared" si="63"/>
        <v>0</v>
      </c>
      <c r="U127" s="676">
        <f t="shared" si="63"/>
        <v>0</v>
      </c>
      <c r="V127" s="676">
        <f t="shared" si="63"/>
        <v>0</v>
      </c>
      <c r="W127" s="676">
        <f t="shared" si="45"/>
        <v>0</v>
      </c>
      <c r="Y127" s="688">
        <f>IFERROR(VLOOKUP($A127,'[96]1月'!$A:$H,8,0),0)</f>
        <v>0</v>
      </c>
      <c r="Z127" s="688">
        <f>IFERROR(VLOOKUP($A127,'[96]2月'!$A:$H,8,0),0)</f>
        <v>0</v>
      </c>
      <c r="AA127" s="688">
        <f>IFERROR(VLOOKUP($A127,'[96]3月'!$A:$H,8,0),0)</f>
        <v>0</v>
      </c>
      <c r="AB127" s="688">
        <f>IFERROR(VLOOKUP($A127,'[96]4月'!$A:$H,8,0),0)</f>
        <v>0</v>
      </c>
      <c r="AC127" s="688">
        <f>IFERROR(VLOOKUP($A127,'[96]5月'!$A:$H,8,0),0)</f>
        <v>0</v>
      </c>
      <c r="AD127" s="688">
        <f>IFERROR(VLOOKUP($A127,'[96]6月'!$A:$H,8,0),0)</f>
        <v>0</v>
      </c>
      <c r="AE127" s="688">
        <f>IFERROR(VLOOKUP($A127,'[96]7月'!$A:$H,8,0),0)</f>
        <v>0</v>
      </c>
      <c r="AF127" s="688">
        <f>IFERROR(VLOOKUP($A127,'[96]8月'!$A:$H,8,0),0)</f>
        <v>0</v>
      </c>
      <c r="AG127" s="688">
        <f>IFERROR(VLOOKUP($A127,'[96]9月'!$A:$H,8,0),0)</f>
        <v>0</v>
      </c>
      <c r="AH127" s="688">
        <f>IFERROR(VLOOKUP($A127,'[96]10月'!$A:$H,8,0),0)</f>
        <v>0</v>
      </c>
      <c r="AI127" s="688">
        <f>IFERROR(VLOOKUP($A127,'[96]11月'!$A:$H,8,0),0)</f>
        <v>0</v>
      </c>
      <c r="AJ127" s="688">
        <f>IFERROR(VLOOKUP($A127,'[96]12月'!$A:$H,8,0),0)</f>
        <v>0</v>
      </c>
      <c r="AK127" s="688">
        <f t="shared" si="58"/>
        <v>0</v>
      </c>
    </row>
    <row r="128" spans="1:37" ht="11.1" customHeight="1">
      <c r="A128" s="653" t="str">
        <f>'Budget-合并'!A128</f>
        <v>6602.10.01</v>
      </c>
      <c r="B128" s="653" t="str">
        <f>'Budget-合并'!B128</f>
        <v>电子设备</v>
      </c>
      <c r="C128" s="687" t="str">
        <f>'Budget-合并'!C128</f>
        <v>Dep Exp  Computer Equip</v>
      </c>
      <c r="D128" s="676">
        <f t="shared" si="53"/>
        <v>0</v>
      </c>
      <c r="E128" s="676">
        <f t="shared" si="54"/>
        <v>0</v>
      </c>
      <c r="F128" s="676">
        <f t="shared" si="55"/>
        <v>0</v>
      </c>
      <c r="G128" s="676">
        <f t="shared" ca="1" si="56"/>
        <v>0</v>
      </c>
      <c r="H128" s="676">
        <f t="shared" ca="1" si="52"/>
        <v>0</v>
      </c>
      <c r="I128" s="676">
        <f t="shared" ca="1" si="57"/>
        <v>0</v>
      </c>
      <c r="K128" s="676"/>
      <c r="L128" s="676"/>
      <c r="M128" s="676"/>
      <c r="N128" s="676"/>
      <c r="O128" s="676"/>
      <c r="P128" s="676"/>
      <c r="Q128" s="676"/>
      <c r="R128" s="676"/>
      <c r="S128" s="676"/>
      <c r="T128" s="676"/>
      <c r="U128" s="676"/>
      <c r="V128" s="676"/>
      <c r="W128" s="676">
        <f t="shared" si="45"/>
        <v>0</v>
      </c>
      <c r="Y128" s="688">
        <f>IFERROR(VLOOKUP($A128,'[96]1月'!$A:$H,8,0),0)</f>
        <v>0</v>
      </c>
      <c r="Z128" s="688">
        <f>IFERROR(VLOOKUP($A128,'[96]2月'!$A:$H,8,0),0)</f>
        <v>0</v>
      </c>
      <c r="AA128" s="688">
        <f>IFERROR(VLOOKUP($A128,'[96]3月'!$A:$H,8,0),0)</f>
        <v>0</v>
      </c>
      <c r="AB128" s="688">
        <f>IFERROR(VLOOKUP($A128,'[96]4月'!$A:$H,8,0),0)</f>
        <v>0</v>
      </c>
      <c r="AC128" s="688">
        <f>IFERROR(VLOOKUP($A128,'[96]5月'!$A:$H,8,0),0)</f>
        <v>0</v>
      </c>
      <c r="AD128" s="688">
        <f>IFERROR(VLOOKUP($A128,'[96]6月'!$A:$H,8,0),0)</f>
        <v>0</v>
      </c>
      <c r="AE128" s="688">
        <f>IFERROR(VLOOKUP($A128,'[96]7月'!$A:$H,8,0),0)</f>
        <v>0</v>
      </c>
      <c r="AF128" s="688">
        <f>IFERROR(VLOOKUP($A128,'[96]8月'!$A:$H,8,0),0)</f>
        <v>0</v>
      </c>
      <c r="AG128" s="688">
        <f>IFERROR(VLOOKUP($A128,'[96]9月'!$A:$H,8,0),0)</f>
        <v>0</v>
      </c>
      <c r="AH128" s="688">
        <f>IFERROR(VLOOKUP($A128,'[96]10月'!$A:$H,8,0),0)</f>
        <v>0</v>
      </c>
      <c r="AI128" s="688">
        <f>IFERROR(VLOOKUP($A128,'[96]11月'!$A:$H,8,0),0)</f>
        <v>0</v>
      </c>
      <c r="AJ128" s="688">
        <f>IFERROR(VLOOKUP($A128,'[96]12月'!$A:$H,8,0),0)</f>
        <v>0</v>
      </c>
      <c r="AK128" s="688">
        <f t="shared" si="58"/>
        <v>0</v>
      </c>
    </row>
    <row r="129" spans="1:37" ht="11.1" customHeight="1">
      <c r="A129" s="653" t="str">
        <f>'Budget-合并'!A129</f>
        <v>6602.10.02</v>
      </c>
      <c r="B129" s="653" t="str">
        <f>'Budget-合并'!B129</f>
        <v>房屋建筑物</v>
      </c>
      <c r="C129" s="687">
        <f>'Budget-合并'!C129</f>
        <v>0</v>
      </c>
      <c r="D129" s="676">
        <f t="shared" si="53"/>
        <v>0</v>
      </c>
      <c r="E129" s="676">
        <f t="shared" si="54"/>
        <v>0</v>
      </c>
      <c r="F129" s="676">
        <f t="shared" si="55"/>
        <v>0</v>
      </c>
      <c r="G129" s="676">
        <f t="shared" ca="1" si="56"/>
        <v>0</v>
      </c>
      <c r="H129" s="676">
        <f t="shared" ca="1" si="52"/>
        <v>0</v>
      </c>
      <c r="I129" s="676">
        <f t="shared" ca="1" si="57"/>
        <v>0</v>
      </c>
      <c r="K129" s="676"/>
      <c r="L129" s="676"/>
      <c r="M129" s="676"/>
      <c r="N129" s="676"/>
      <c r="O129" s="676"/>
      <c r="P129" s="676"/>
      <c r="Q129" s="676"/>
      <c r="R129" s="676"/>
      <c r="S129" s="676"/>
      <c r="T129" s="676"/>
      <c r="U129" s="676"/>
      <c r="V129" s="676"/>
      <c r="W129" s="676">
        <f t="shared" si="45"/>
        <v>0</v>
      </c>
      <c r="Y129" s="688">
        <f>IFERROR(VLOOKUP($A129,'[96]1月'!$A:$H,8,0),0)</f>
        <v>0</v>
      </c>
      <c r="Z129" s="688">
        <f>IFERROR(VLOOKUP($A129,'[96]2月'!$A:$H,8,0),0)</f>
        <v>0</v>
      </c>
      <c r="AA129" s="688">
        <f>IFERROR(VLOOKUP($A129,'[96]3月'!$A:$H,8,0),0)</f>
        <v>0</v>
      </c>
      <c r="AB129" s="688">
        <f>IFERROR(VLOOKUP($A129,'[96]4月'!$A:$H,8,0),0)</f>
        <v>0</v>
      </c>
      <c r="AC129" s="688">
        <f>IFERROR(VLOOKUP($A129,'[96]5月'!$A:$H,8,0),0)</f>
        <v>0</v>
      </c>
      <c r="AD129" s="688">
        <f>IFERROR(VLOOKUP($A129,'[96]6月'!$A:$H,8,0),0)</f>
        <v>0</v>
      </c>
      <c r="AE129" s="688">
        <f>IFERROR(VLOOKUP($A129,'[96]7月'!$A:$H,8,0),0)</f>
        <v>0</v>
      </c>
      <c r="AF129" s="688">
        <f>IFERROR(VLOOKUP($A129,'[96]8月'!$A:$H,8,0),0)</f>
        <v>0</v>
      </c>
      <c r="AG129" s="688">
        <f>IFERROR(VLOOKUP($A129,'[96]9月'!$A:$H,8,0),0)</f>
        <v>0</v>
      </c>
      <c r="AH129" s="688">
        <f>IFERROR(VLOOKUP($A129,'[96]10月'!$A:$H,8,0),0)</f>
        <v>0</v>
      </c>
      <c r="AI129" s="688">
        <f>IFERROR(VLOOKUP($A129,'[96]11月'!$A:$H,8,0),0)</f>
        <v>0</v>
      </c>
      <c r="AJ129" s="688">
        <f>IFERROR(VLOOKUP($A129,'[96]12月'!$A:$H,8,0),0)</f>
        <v>0</v>
      </c>
      <c r="AK129" s="688">
        <f t="shared" si="58"/>
        <v>0</v>
      </c>
    </row>
    <row r="130" spans="1:37" ht="11.1" customHeight="1">
      <c r="A130" s="653" t="str">
        <f>'Budget-合并'!A130</f>
        <v>6602.10.03</v>
      </c>
      <c r="B130" s="653" t="str">
        <f>'Budget-合并'!B130</f>
        <v>机器设备</v>
      </c>
      <c r="C130" s="687">
        <f>'Budget-合并'!C130</f>
        <v>0</v>
      </c>
      <c r="D130" s="676">
        <f t="shared" si="53"/>
        <v>0</v>
      </c>
      <c r="E130" s="676">
        <f t="shared" si="54"/>
        <v>0</v>
      </c>
      <c r="F130" s="676">
        <f t="shared" si="55"/>
        <v>0</v>
      </c>
      <c r="G130" s="676">
        <f t="shared" ca="1" si="56"/>
        <v>0</v>
      </c>
      <c r="H130" s="676">
        <f t="shared" ca="1" si="52"/>
        <v>0</v>
      </c>
      <c r="I130" s="676">
        <f t="shared" ca="1" si="57"/>
        <v>0</v>
      </c>
      <c r="K130" s="676"/>
      <c r="L130" s="676"/>
      <c r="M130" s="676"/>
      <c r="N130" s="676"/>
      <c r="O130" s="676"/>
      <c r="P130" s="676"/>
      <c r="Q130" s="676"/>
      <c r="R130" s="676"/>
      <c r="S130" s="676"/>
      <c r="T130" s="676"/>
      <c r="U130" s="676"/>
      <c r="V130" s="676"/>
      <c r="W130" s="676">
        <f t="shared" si="45"/>
        <v>0</v>
      </c>
      <c r="Y130" s="688">
        <f>IFERROR(VLOOKUP($A130,'[96]1月'!$A:$H,8,0),0)</f>
        <v>0</v>
      </c>
      <c r="Z130" s="688">
        <f>IFERROR(VLOOKUP($A130,'[96]2月'!$A:$H,8,0),0)</f>
        <v>0</v>
      </c>
      <c r="AA130" s="688">
        <f>IFERROR(VLOOKUP($A130,'[96]3月'!$A:$H,8,0),0)</f>
        <v>0</v>
      </c>
      <c r="AB130" s="688">
        <f>IFERROR(VLOOKUP($A130,'[96]4月'!$A:$H,8,0),0)</f>
        <v>0</v>
      </c>
      <c r="AC130" s="688">
        <f>IFERROR(VLOOKUP($A130,'[96]5月'!$A:$H,8,0),0)</f>
        <v>0</v>
      </c>
      <c r="AD130" s="688">
        <f>IFERROR(VLOOKUP($A130,'[96]6月'!$A:$H,8,0),0)</f>
        <v>0</v>
      </c>
      <c r="AE130" s="688">
        <f>IFERROR(VLOOKUP($A130,'[96]7月'!$A:$H,8,0),0)</f>
        <v>0</v>
      </c>
      <c r="AF130" s="688">
        <f>IFERROR(VLOOKUP($A130,'[96]8月'!$A:$H,8,0),0)</f>
        <v>0</v>
      </c>
      <c r="AG130" s="688">
        <f>IFERROR(VLOOKUP($A130,'[96]9月'!$A:$H,8,0),0)</f>
        <v>0</v>
      </c>
      <c r="AH130" s="688">
        <f>IFERROR(VLOOKUP($A130,'[96]10月'!$A:$H,8,0),0)</f>
        <v>0</v>
      </c>
      <c r="AI130" s="688">
        <f>IFERROR(VLOOKUP($A130,'[96]11月'!$A:$H,8,0),0)</f>
        <v>0</v>
      </c>
      <c r="AJ130" s="688">
        <f>IFERROR(VLOOKUP($A130,'[96]12月'!$A:$H,8,0),0)</f>
        <v>0</v>
      </c>
      <c r="AK130" s="688">
        <f t="shared" si="58"/>
        <v>0</v>
      </c>
    </row>
    <row r="131" spans="1:37" ht="11.1" customHeight="1">
      <c r="A131" s="653" t="str">
        <f>'Budget-合并'!A131</f>
        <v>6602.10.04</v>
      </c>
      <c r="B131" s="653" t="str">
        <f>'Budget-合并'!B131</f>
        <v>家具设备</v>
      </c>
      <c r="C131" s="687" t="str">
        <f>'Budget-合并'!C131</f>
        <v xml:space="preserve">Dep Exp - Other EQ &amp; Furn </v>
      </c>
      <c r="D131" s="676">
        <f t="shared" si="53"/>
        <v>0</v>
      </c>
      <c r="E131" s="676">
        <f t="shared" si="54"/>
        <v>0</v>
      </c>
      <c r="F131" s="676">
        <f t="shared" si="55"/>
        <v>0</v>
      </c>
      <c r="G131" s="676">
        <f t="shared" ca="1" si="56"/>
        <v>0</v>
      </c>
      <c r="H131" s="676">
        <f t="shared" ca="1" si="52"/>
        <v>0</v>
      </c>
      <c r="I131" s="676">
        <f t="shared" ca="1" si="57"/>
        <v>0</v>
      </c>
      <c r="K131" s="676"/>
      <c r="L131" s="676"/>
      <c r="M131" s="676"/>
      <c r="N131" s="676"/>
      <c r="O131" s="676"/>
      <c r="P131" s="676"/>
      <c r="Q131" s="676"/>
      <c r="R131" s="676"/>
      <c r="S131" s="676"/>
      <c r="T131" s="676"/>
      <c r="U131" s="676"/>
      <c r="V131" s="676"/>
      <c r="W131" s="676">
        <f t="shared" si="45"/>
        <v>0</v>
      </c>
      <c r="Y131" s="688">
        <f>IFERROR(VLOOKUP($A131,'[96]1月'!$A:$H,8,0),0)</f>
        <v>0</v>
      </c>
      <c r="Z131" s="688">
        <f>IFERROR(VLOOKUP($A131,'[96]2月'!$A:$H,8,0),0)</f>
        <v>0</v>
      </c>
      <c r="AA131" s="688">
        <f>IFERROR(VLOOKUP($A131,'[96]3月'!$A:$H,8,0),0)</f>
        <v>0</v>
      </c>
      <c r="AB131" s="688">
        <f>IFERROR(VLOOKUP($A131,'[96]4月'!$A:$H,8,0),0)</f>
        <v>0</v>
      </c>
      <c r="AC131" s="688">
        <f>IFERROR(VLOOKUP($A131,'[96]5月'!$A:$H,8,0),0)</f>
        <v>0</v>
      </c>
      <c r="AD131" s="688">
        <f>IFERROR(VLOOKUP($A131,'[96]6月'!$A:$H,8,0),0)</f>
        <v>0</v>
      </c>
      <c r="AE131" s="688">
        <f>IFERROR(VLOOKUP($A131,'[96]7月'!$A:$H,8,0),0)</f>
        <v>0</v>
      </c>
      <c r="AF131" s="688">
        <f>IFERROR(VLOOKUP($A131,'[96]8月'!$A:$H,8,0),0)</f>
        <v>0</v>
      </c>
      <c r="AG131" s="688">
        <f>IFERROR(VLOOKUP($A131,'[96]9月'!$A:$H,8,0),0)</f>
        <v>0</v>
      </c>
      <c r="AH131" s="688">
        <f>IFERROR(VLOOKUP($A131,'[96]10月'!$A:$H,8,0),0)</f>
        <v>0</v>
      </c>
      <c r="AI131" s="688">
        <f>IFERROR(VLOOKUP($A131,'[96]11月'!$A:$H,8,0),0)</f>
        <v>0</v>
      </c>
      <c r="AJ131" s="688">
        <f>IFERROR(VLOOKUP($A131,'[96]12月'!$A:$H,8,0),0)</f>
        <v>0</v>
      </c>
      <c r="AK131" s="688">
        <f t="shared" si="58"/>
        <v>0</v>
      </c>
    </row>
    <row r="132" spans="1:37" ht="11.1" customHeight="1">
      <c r="A132" s="663" t="str">
        <f>'Budget-合并'!A132</f>
        <v>6602.12</v>
      </c>
      <c r="B132" s="663" t="str">
        <f>'Budget-合并'!B132</f>
        <v>使用权资产折旧</v>
      </c>
      <c r="C132" s="687" t="str">
        <f>'Budget-合并'!C132</f>
        <v>Dep Exp - Right of Use Asset</v>
      </c>
      <c r="D132" s="676">
        <f t="shared" si="53"/>
        <v>0</v>
      </c>
      <c r="E132" s="676">
        <f t="shared" si="54"/>
        <v>0</v>
      </c>
      <c r="F132" s="676">
        <f t="shared" si="55"/>
        <v>0</v>
      </c>
      <c r="G132" s="676">
        <f t="shared" ca="1" si="56"/>
        <v>0</v>
      </c>
      <c r="H132" s="676">
        <f t="shared" ca="1" si="52"/>
        <v>0</v>
      </c>
      <c r="I132" s="676">
        <f t="shared" ca="1" si="57"/>
        <v>0</v>
      </c>
      <c r="K132" s="676">
        <f t="shared" ref="K132:V132" si="64">SUM(K133,K134,K137)</f>
        <v>0</v>
      </c>
      <c r="L132" s="676">
        <f t="shared" si="64"/>
        <v>0</v>
      </c>
      <c r="M132" s="676">
        <f t="shared" si="64"/>
        <v>0</v>
      </c>
      <c r="N132" s="676">
        <f t="shared" si="64"/>
        <v>0</v>
      </c>
      <c r="O132" s="676">
        <f t="shared" si="64"/>
        <v>0</v>
      </c>
      <c r="P132" s="676">
        <f t="shared" si="64"/>
        <v>0</v>
      </c>
      <c r="Q132" s="676">
        <f t="shared" si="64"/>
        <v>0</v>
      </c>
      <c r="R132" s="676">
        <f t="shared" si="64"/>
        <v>0</v>
      </c>
      <c r="S132" s="676">
        <f t="shared" si="64"/>
        <v>0</v>
      </c>
      <c r="T132" s="676">
        <f t="shared" si="64"/>
        <v>0</v>
      </c>
      <c r="U132" s="676">
        <f t="shared" si="64"/>
        <v>0</v>
      </c>
      <c r="V132" s="676">
        <f t="shared" si="64"/>
        <v>0</v>
      </c>
      <c r="W132" s="676">
        <f t="shared" si="45"/>
        <v>0</v>
      </c>
      <c r="Y132" s="688">
        <f>IFERROR(VLOOKUP($A132,'[96]1月'!$A:$H,8,0),0)</f>
        <v>0</v>
      </c>
      <c r="Z132" s="688">
        <f>IFERROR(VLOOKUP($A132,'[96]2月'!$A:$H,8,0),0)</f>
        <v>0</v>
      </c>
      <c r="AA132" s="688">
        <f>IFERROR(VLOOKUP($A132,'[96]3月'!$A:$H,8,0),0)</f>
        <v>0</v>
      </c>
      <c r="AB132" s="688">
        <f>IFERROR(VLOOKUP($A132,'[96]4月'!$A:$H,8,0),0)</f>
        <v>0</v>
      </c>
      <c r="AC132" s="688">
        <f>IFERROR(VLOOKUP($A132,'[96]5月'!$A:$H,8,0),0)</f>
        <v>0</v>
      </c>
      <c r="AD132" s="688">
        <f>IFERROR(VLOOKUP($A132,'[96]6月'!$A:$H,8,0),0)</f>
        <v>0</v>
      </c>
      <c r="AE132" s="688">
        <f>IFERROR(VLOOKUP($A132,'[96]7月'!$A:$H,8,0),0)</f>
        <v>0</v>
      </c>
      <c r="AF132" s="688">
        <f>IFERROR(VLOOKUP($A132,'[96]8月'!$A:$H,8,0),0)</f>
        <v>0</v>
      </c>
      <c r="AG132" s="688">
        <f>IFERROR(VLOOKUP($A132,'[96]9月'!$A:$H,8,0),0)</f>
        <v>0</v>
      </c>
      <c r="AH132" s="688">
        <f>IFERROR(VLOOKUP($A132,'[96]10月'!$A:$H,8,0),0)</f>
        <v>0</v>
      </c>
      <c r="AI132" s="688">
        <f>IFERROR(VLOOKUP($A132,'[96]11月'!$A:$H,8,0),0)</f>
        <v>0</v>
      </c>
      <c r="AJ132" s="688">
        <f>IFERROR(VLOOKUP($A132,'[96]12月'!$A:$H,8,0),0)</f>
        <v>0</v>
      </c>
      <c r="AK132" s="688">
        <f t="shared" si="58"/>
        <v>0</v>
      </c>
    </row>
    <row r="133" spans="1:37" ht="11.1" customHeight="1">
      <c r="A133" s="653" t="str">
        <f>'Budget-合并'!A133</f>
        <v>6602.12.01</v>
      </c>
      <c r="B133" s="653" t="str">
        <f>'Budget-合并'!B133</f>
        <v>打印机租赁</v>
      </c>
      <c r="C133" s="687">
        <f>'Budget-合并'!C133</f>
        <v>0</v>
      </c>
      <c r="D133" s="676">
        <f t="shared" si="53"/>
        <v>0</v>
      </c>
      <c r="E133" s="676">
        <f t="shared" si="54"/>
        <v>0</v>
      </c>
      <c r="F133" s="676">
        <f t="shared" si="55"/>
        <v>0</v>
      </c>
      <c r="G133" s="676">
        <f t="shared" ca="1" si="56"/>
        <v>0</v>
      </c>
      <c r="H133" s="676">
        <f t="shared" ca="1" si="52"/>
        <v>0</v>
      </c>
      <c r="I133" s="676">
        <f t="shared" ca="1" si="57"/>
        <v>0</v>
      </c>
      <c r="K133" s="676"/>
      <c r="L133" s="676"/>
      <c r="M133" s="676"/>
      <c r="N133" s="676"/>
      <c r="O133" s="676"/>
      <c r="P133" s="676"/>
      <c r="Q133" s="676"/>
      <c r="R133" s="676"/>
      <c r="S133" s="676"/>
      <c r="T133" s="676"/>
      <c r="U133" s="676"/>
      <c r="V133" s="676"/>
      <c r="W133" s="676">
        <f t="shared" si="45"/>
        <v>0</v>
      </c>
      <c r="Y133" s="688">
        <f>IFERROR(VLOOKUP($A133,'[96]1月'!$A:$H,8,0),0)</f>
        <v>0</v>
      </c>
      <c r="Z133" s="688">
        <f>IFERROR(VLOOKUP($A133,'[96]2月'!$A:$H,8,0),0)</f>
        <v>0</v>
      </c>
      <c r="AA133" s="688">
        <f>IFERROR(VLOOKUP($A133,'[96]3月'!$A:$H,8,0),0)</f>
        <v>0</v>
      </c>
      <c r="AB133" s="688">
        <f>IFERROR(VLOOKUP($A133,'[96]4月'!$A:$H,8,0),0)</f>
        <v>0</v>
      </c>
      <c r="AC133" s="688">
        <f>IFERROR(VLOOKUP($A133,'[96]5月'!$A:$H,8,0),0)</f>
        <v>0</v>
      </c>
      <c r="AD133" s="688">
        <f>IFERROR(VLOOKUP($A133,'[96]6月'!$A:$H,8,0),0)</f>
        <v>0</v>
      </c>
      <c r="AE133" s="688">
        <f>IFERROR(VLOOKUP($A133,'[96]7月'!$A:$H,8,0),0)</f>
        <v>0</v>
      </c>
      <c r="AF133" s="688">
        <f>IFERROR(VLOOKUP($A133,'[96]8月'!$A:$H,8,0),0)</f>
        <v>0</v>
      </c>
      <c r="AG133" s="688">
        <f>IFERROR(VLOOKUP($A133,'[96]9月'!$A:$H,8,0),0)</f>
        <v>0</v>
      </c>
      <c r="AH133" s="688">
        <f>IFERROR(VLOOKUP($A133,'[96]10月'!$A:$H,8,0),0)</f>
        <v>0</v>
      </c>
      <c r="AI133" s="688">
        <f>IFERROR(VLOOKUP($A133,'[96]11月'!$A:$H,8,0),0)</f>
        <v>0</v>
      </c>
      <c r="AJ133" s="688">
        <f>IFERROR(VLOOKUP($A133,'[96]12月'!$A:$H,8,0),0)</f>
        <v>0</v>
      </c>
      <c r="AK133" s="688">
        <f t="shared" si="58"/>
        <v>0</v>
      </c>
    </row>
    <row r="134" spans="1:37" ht="11.1" customHeight="1">
      <c r="A134" s="653" t="str">
        <f>'Budget-合并'!A134</f>
        <v>6602.12.02</v>
      </c>
      <c r="B134" s="653" t="str">
        <f>'Budget-合并'!B134</f>
        <v>办公地址</v>
      </c>
      <c r="C134" s="687">
        <f>'Budget-合并'!C134</f>
        <v>0</v>
      </c>
      <c r="D134" s="676">
        <f t="shared" si="53"/>
        <v>0</v>
      </c>
      <c r="E134" s="676">
        <f t="shared" si="54"/>
        <v>0</v>
      </c>
      <c r="F134" s="676">
        <f t="shared" si="55"/>
        <v>0</v>
      </c>
      <c r="G134" s="676">
        <f t="shared" ca="1" si="56"/>
        <v>0</v>
      </c>
      <c r="H134" s="676">
        <f t="shared" ca="1" si="52"/>
        <v>0</v>
      </c>
      <c r="I134" s="676">
        <f t="shared" ca="1" si="57"/>
        <v>0</v>
      </c>
      <c r="K134" s="676">
        <f t="shared" ref="K134:V134" si="65">SUM(K135:K136)</f>
        <v>0</v>
      </c>
      <c r="L134" s="676">
        <f t="shared" si="65"/>
        <v>0</v>
      </c>
      <c r="M134" s="676">
        <f t="shared" si="65"/>
        <v>0</v>
      </c>
      <c r="N134" s="676">
        <f t="shared" si="65"/>
        <v>0</v>
      </c>
      <c r="O134" s="676">
        <f t="shared" si="65"/>
        <v>0</v>
      </c>
      <c r="P134" s="676">
        <f t="shared" si="65"/>
        <v>0</v>
      </c>
      <c r="Q134" s="676">
        <f t="shared" si="65"/>
        <v>0</v>
      </c>
      <c r="R134" s="676">
        <f t="shared" si="65"/>
        <v>0</v>
      </c>
      <c r="S134" s="676">
        <f t="shared" si="65"/>
        <v>0</v>
      </c>
      <c r="T134" s="676">
        <f t="shared" si="65"/>
        <v>0</v>
      </c>
      <c r="U134" s="676">
        <f t="shared" si="65"/>
        <v>0</v>
      </c>
      <c r="V134" s="676">
        <f t="shared" si="65"/>
        <v>0</v>
      </c>
      <c r="W134" s="676">
        <f t="shared" si="45"/>
        <v>0</v>
      </c>
      <c r="Y134" s="688">
        <f>IFERROR(VLOOKUP($A134,'[96]1月'!$A:$H,8,0),0)</f>
        <v>0</v>
      </c>
      <c r="Z134" s="688">
        <f>IFERROR(VLOOKUP($A134,'[96]2月'!$A:$H,8,0),0)</f>
        <v>0</v>
      </c>
      <c r="AA134" s="688">
        <f>IFERROR(VLOOKUP($A134,'[96]3月'!$A:$H,8,0),0)</f>
        <v>0</v>
      </c>
      <c r="AB134" s="688">
        <f>IFERROR(VLOOKUP($A134,'[96]4月'!$A:$H,8,0),0)</f>
        <v>0</v>
      </c>
      <c r="AC134" s="688">
        <f>IFERROR(VLOOKUP($A134,'[96]5月'!$A:$H,8,0),0)</f>
        <v>0</v>
      </c>
      <c r="AD134" s="688">
        <f>IFERROR(VLOOKUP($A134,'[96]6月'!$A:$H,8,0),0)</f>
        <v>0</v>
      </c>
      <c r="AE134" s="688">
        <f>IFERROR(VLOOKUP($A134,'[96]7月'!$A:$H,8,0),0)</f>
        <v>0</v>
      </c>
      <c r="AF134" s="688">
        <f>IFERROR(VLOOKUP($A134,'[96]8月'!$A:$H,8,0),0)</f>
        <v>0</v>
      </c>
      <c r="AG134" s="688">
        <f>IFERROR(VLOOKUP($A134,'[96]9月'!$A:$H,8,0),0)</f>
        <v>0</v>
      </c>
      <c r="AH134" s="688">
        <f>IFERROR(VLOOKUP($A134,'[96]10月'!$A:$H,8,0),0)</f>
        <v>0</v>
      </c>
      <c r="AI134" s="688">
        <f>IFERROR(VLOOKUP($A134,'[96]11月'!$A:$H,8,0),0)</f>
        <v>0</v>
      </c>
      <c r="AJ134" s="688">
        <f>IFERROR(VLOOKUP($A134,'[96]12月'!$A:$H,8,0),0)</f>
        <v>0</v>
      </c>
      <c r="AK134" s="688">
        <f t="shared" si="58"/>
        <v>0</v>
      </c>
    </row>
    <row r="135" spans="1:37" ht="11.1" customHeight="1">
      <c r="A135" s="653" t="str">
        <f>'Budget-合并'!A135</f>
        <v>6602.12.02.01</v>
      </c>
      <c r="B135" s="653" t="str">
        <f>'Budget-合并'!B135</f>
        <v>旭智咨询--鼎和大厦1606</v>
      </c>
      <c r="C135" s="687">
        <f>'Budget-合并'!C135</f>
        <v>0</v>
      </c>
      <c r="D135" s="676">
        <f t="shared" si="53"/>
        <v>0</v>
      </c>
      <c r="E135" s="676">
        <f t="shared" si="54"/>
        <v>0</v>
      </c>
      <c r="F135" s="676">
        <f t="shared" si="55"/>
        <v>0</v>
      </c>
      <c r="G135" s="676">
        <f t="shared" ca="1" si="56"/>
        <v>0</v>
      </c>
      <c r="H135" s="676">
        <f t="shared" ca="1" si="52"/>
        <v>0</v>
      </c>
      <c r="I135" s="676">
        <f t="shared" ca="1" si="57"/>
        <v>0</v>
      </c>
      <c r="K135" s="676"/>
      <c r="L135" s="676"/>
      <c r="M135" s="676"/>
      <c r="N135" s="676"/>
      <c r="O135" s="676"/>
      <c r="P135" s="676"/>
      <c r="Q135" s="676"/>
      <c r="R135" s="676"/>
      <c r="S135" s="676"/>
      <c r="T135" s="676"/>
      <c r="U135" s="676"/>
      <c r="V135" s="676"/>
      <c r="W135" s="676">
        <f t="shared" si="45"/>
        <v>0</v>
      </c>
      <c r="Y135" s="688">
        <f>IFERROR(VLOOKUP($A135,'[96]1月'!$A:$H,8,0),0)</f>
        <v>0</v>
      </c>
      <c r="Z135" s="688">
        <f>IFERROR(VLOOKUP($A135,'[96]2月'!$A:$H,8,0),0)</f>
        <v>0</v>
      </c>
      <c r="AA135" s="688">
        <f>IFERROR(VLOOKUP($A135,'[96]3月'!$A:$H,8,0),0)</f>
        <v>0</v>
      </c>
      <c r="AB135" s="688">
        <f>IFERROR(VLOOKUP($A135,'[96]4月'!$A:$H,8,0),0)</f>
        <v>0</v>
      </c>
      <c r="AC135" s="688">
        <f>IFERROR(VLOOKUP($A135,'[96]5月'!$A:$H,8,0),0)</f>
        <v>0</v>
      </c>
      <c r="AD135" s="688">
        <f>IFERROR(VLOOKUP($A135,'[96]6月'!$A:$H,8,0),0)</f>
        <v>0</v>
      </c>
      <c r="AE135" s="688">
        <f>IFERROR(VLOOKUP($A135,'[96]7月'!$A:$H,8,0),0)</f>
        <v>0</v>
      </c>
      <c r="AF135" s="688">
        <f>IFERROR(VLOOKUP($A135,'[96]8月'!$A:$H,8,0),0)</f>
        <v>0</v>
      </c>
      <c r="AG135" s="688">
        <f>IFERROR(VLOOKUP($A135,'[96]9月'!$A:$H,8,0),0)</f>
        <v>0</v>
      </c>
      <c r="AH135" s="688">
        <f>IFERROR(VLOOKUP($A135,'[96]10月'!$A:$H,8,0),0)</f>
        <v>0</v>
      </c>
      <c r="AI135" s="688">
        <f>IFERROR(VLOOKUP($A135,'[96]11月'!$A:$H,8,0),0)</f>
        <v>0</v>
      </c>
      <c r="AJ135" s="688">
        <f>IFERROR(VLOOKUP($A135,'[96]12月'!$A:$H,8,0),0)</f>
        <v>0</v>
      </c>
      <c r="AK135" s="688">
        <f t="shared" si="58"/>
        <v>0</v>
      </c>
    </row>
    <row r="136" spans="1:37" ht="11.1" customHeight="1">
      <c r="A136" s="653" t="str">
        <f>'Budget-合并'!A136</f>
        <v>6602.12.02.02</v>
      </c>
      <c r="B136" s="653" t="str">
        <f>'Budget-合并'!B136</f>
        <v>旭智资本（香港）--冯氏大厦</v>
      </c>
      <c r="C136" s="687">
        <f>'Budget-合并'!C136</f>
        <v>0</v>
      </c>
      <c r="D136" s="676">
        <f t="shared" si="53"/>
        <v>0</v>
      </c>
      <c r="E136" s="676">
        <f t="shared" si="54"/>
        <v>0</v>
      </c>
      <c r="F136" s="676">
        <f t="shared" si="55"/>
        <v>0</v>
      </c>
      <c r="G136" s="676">
        <f t="shared" ca="1" si="56"/>
        <v>0</v>
      </c>
      <c r="H136" s="676">
        <f t="shared" ca="1" si="52"/>
        <v>0</v>
      </c>
      <c r="I136" s="676">
        <f t="shared" ca="1" si="57"/>
        <v>0</v>
      </c>
      <c r="K136" s="676"/>
      <c r="L136" s="676"/>
      <c r="M136" s="676"/>
      <c r="N136" s="676"/>
      <c r="O136" s="676"/>
      <c r="P136" s="676"/>
      <c r="Q136" s="676"/>
      <c r="R136" s="676"/>
      <c r="S136" s="676"/>
      <c r="T136" s="676"/>
      <c r="U136" s="676"/>
      <c r="V136" s="676"/>
      <c r="W136" s="676">
        <f t="shared" si="45"/>
        <v>0</v>
      </c>
      <c r="Y136" s="688">
        <f>IFERROR(VLOOKUP($A136,'[96]1月'!$A:$H,8,0),0)</f>
        <v>0</v>
      </c>
      <c r="Z136" s="688">
        <f>IFERROR(VLOOKUP($A136,'[96]2月'!$A:$H,8,0),0)</f>
        <v>0</v>
      </c>
      <c r="AA136" s="688">
        <f>IFERROR(VLOOKUP($A136,'[96]3月'!$A:$H,8,0),0)</f>
        <v>0</v>
      </c>
      <c r="AB136" s="688">
        <f>IFERROR(VLOOKUP($A136,'[96]4月'!$A:$H,8,0),0)</f>
        <v>0</v>
      </c>
      <c r="AC136" s="688">
        <f>IFERROR(VLOOKUP($A136,'[96]5月'!$A:$H,8,0),0)</f>
        <v>0</v>
      </c>
      <c r="AD136" s="688">
        <f>IFERROR(VLOOKUP($A136,'[96]6月'!$A:$H,8,0),0)</f>
        <v>0</v>
      </c>
      <c r="AE136" s="688">
        <f>IFERROR(VLOOKUP($A136,'[96]7月'!$A:$H,8,0),0)</f>
        <v>0</v>
      </c>
      <c r="AF136" s="688">
        <f>IFERROR(VLOOKUP($A136,'[96]8月'!$A:$H,8,0),0)</f>
        <v>0</v>
      </c>
      <c r="AG136" s="688">
        <f>IFERROR(VLOOKUP($A136,'[96]9月'!$A:$H,8,0),0)</f>
        <v>0</v>
      </c>
      <c r="AH136" s="688">
        <f>IFERROR(VLOOKUP($A136,'[96]10月'!$A:$H,8,0),0)</f>
        <v>0</v>
      </c>
      <c r="AI136" s="688">
        <f>IFERROR(VLOOKUP($A136,'[96]11月'!$A:$H,8,0),0)</f>
        <v>0</v>
      </c>
      <c r="AJ136" s="688">
        <f>IFERROR(VLOOKUP($A136,'[96]12月'!$A:$H,8,0),0)</f>
        <v>0</v>
      </c>
      <c r="AK136" s="688">
        <f t="shared" si="58"/>
        <v>0</v>
      </c>
    </row>
    <row r="137" spans="1:37" ht="11.1" customHeight="1">
      <c r="A137" s="653" t="str">
        <f>'Budget-合并'!A137</f>
        <v>6602.12.03</v>
      </c>
      <c r="B137" s="653" t="str">
        <f>'Budget-合并'!B137</f>
        <v>注册地址</v>
      </c>
      <c r="C137" s="687">
        <f>'Budget-合并'!C137</f>
        <v>0</v>
      </c>
      <c r="D137" s="676">
        <f t="shared" si="53"/>
        <v>0</v>
      </c>
      <c r="E137" s="676">
        <f t="shared" si="54"/>
        <v>0</v>
      </c>
      <c r="F137" s="676">
        <f t="shared" si="55"/>
        <v>0</v>
      </c>
      <c r="G137" s="676">
        <f t="shared" ca="1" si="56"/>
        <v>0</v>
      </c>
      <c r="H137" s="676">
        <f t="shared" ca="1" si="52"/>
        <v>0</v>
      </c>
      <c r="I137" s="676">
        <f t="shared" ca="1" si="57"/>
        <v>0</v>
      </c>
      <c r="K137" s="676">
        <f t="shared" ref="K137:V137" si="66">SUM(K138:K139)</f>
        <v>0</v>
      </c>
      <c r="L137" s="676">
        <f t="shared" si="66"/>
        <v>0</v>
      </c>
      <c r="M137" s="676">
        <f t="shared" si="66"/>
        <v>0</v>
      </c>
      <c r="N137" s="676">
        <f t="shared" si="66"/>
        <v>0</v>
      </c>
      <c r="O137" s="676">
        <f t="shared" si="66"/>
        <v>0</v>
      </c>
      <c r="P137" s="676">
        <f t="shared" si="66"/>
        <v>0</v>
      </c>
      <c r="Q137" s="676">
        <f t="shared" si="66"/>
        <v>0</v>
      </c>
      <c r="R137" s="676">
        <f t="shared" si="66"/>
        <v>0</v>
      </c>
      <c r="S137" s="676">
        <f t="shared" si="66"/>
        <v>0</v>
      </c>
      <c r="T137" s="676">
        <f t="shared" si="66"/>
        <v>0</v>
      </c>
      <c r="U137" s="676">
        <f t="shared" si="66"/>
        <v>0</v>
      </c>
      <c r="V137" s="676">
        <f t="shared" si="66"/>
        <v>0</v>
      </c>
      <c r="W137" s="676">
        <f t="shared" si="45"/>
        <v>0</v>
      </c>
      <c r="Y137" s="688">
        <f>IFERROR(VLOOKUP($A137,'[96]1月'!$A:$H,8,0),0)</f>
        <v>0</v>
      </c>
      <c r="Z137" s="688">
        <f>IFERROR(VLOOKUP($A137,'[96]2月'!$A:$H,8,0),0)</f>
        <v>0</v>
      </c>
      <c r="AA137" s="688">
        <f>IFERROR(VLOOKUP($A137,'[96]3月'!$A:$H,8,0),0)</f>
        <v>0</v>
      </c>
      <c r="AB137" s="688">
        <f>IFERROR(VLOOKUP($A137,'[96]4月'!$A:$H,8,0),0)</f>
        <v>0</v>
      </c>
      <c r="AC137" s="688">
        <f>IFERROR(VLOOKUP($A137,'[96]5月'!$A:$H,8,0),0)</f>
        <v>0</v>
      </c>
      <c r="AD137" s="688">
        <f>IFERROR(VLOOKUP($A137,'[96]6月'!$A:$H,8,0),0)</f>
        <v>0</v>
      </c>
      <c r="AE137" s="688">
        <f>IFERROR(VLOOKUP($A137,'[96]7月'!$A:$H,8,0),0)</f>
        <v>0</v>
      </c>
      <c r="AF137" s="688">
        <f>IFERROR(VLOOKUP($A137,'[96]8月'!$A:$H,8,0),0)</f>
        <v>0</v>
      </c>
      <c r="AG137" s="688">
        <f>IFERROR(VLOOKUP($A137,'[96]9月'!$A:$H,8,0),0)</f>
        <v>0</v>
      </c>
      <c r="AH137" s="688">
        <f>IFERROR(VLOOKUP($A137,'[96]10月'!$A:$H,8,0),0)</f>
        <v>0</v>
      </c>
      <c r="AI137" s="688">
        <f>IFERROR(VLOOKUP($A137,'[96]11月'!$A:$H,8,0),0)</f>
        <v>0</v>
      </c>
      <c r="AJ137" s="688">
        <f>IFERROR(VLOOKUP($A137,'[96]12月'!$A:$H,8,0),0)</f>
        <v>0</v>
      </c>
      <c r="AK137" s="688">
        <f t="shared" si="58"/>
        <v>0</v>
      </c>
    </row>
    <row r="138" spans="1:37" ht="11.1" customHeight="1">
      <c r="A138" s="653" t="str">
        <f>'Budget-合并'!A138</f>
        <v>6602.12.03.01</v>
      </c>
      <c r="B138" s="653" t="str">
        <f>'Budget-合并'!B138</f>
        <v>旭智私募--前海壹号B座701E</v>
      </c>
      <c r="C138" s="687">
        <f>'Budget-合并'!C138</f>
        <v>0</v>
      </c>
      <c r="D138" s="676">
        <f t="shared" si="53"/>
        <v>0</v>
      </c>
      <c r="E138" s="676">
        <f t="shared" si="54"/>
        <v>0</v>
      </c>
      <c r="F138" s="676">
        <f t="shared" si="55"/>
        <v>0</v>
      </c>
      <c r="G138" s="676">
        <f t="shared" ca="1" si="56"/>
        <v>0</v>
      </c>
      <c r="H138" s="676">
        <f t="shared" ca="1" si="52"/>
        <v>0</v>
      </c>
      <c r="I138" s="676">
        <f t="shared" ca="1" si="57"/>
        <v>0</v>
      </c>
      <c r="K138" s="676"/>
      <c r="L138" s="676"/>
      <c r="M138" s="676"/>
      <c r="N138" s="676"/>
      <c r="O138" s="676"/>
      <c r="P138" s="676"/>
      <c r="Q138" s="676"/>
      <c r="R138" s="676"/>
      <c r="S138" s="676"/>
      <c r="T138" s="676"/>
      <c r="U138" s="676"/>
      <c r="V138" s="676"/>
      <c r="W138" s="676">
        <f t="shared" si="45"/>
        <v>0</v>
      </c>
      <c r="Y138" s="688">
        <f>IFERROR(VLOOKUP($A138,'[96]1月'!$A:$H,8,0),0)</f>
        <v>0</v>
      </c>
      <c r="Z138" s="688">
        <f>IFERROR(VLOOKUP($A138,'[96]2月'!$A:$H,8,0),0)</f>
        <v>0</v>
      </c>
      <c r="AA138" s="688">
        <f>IFERROR(VLOOKUP($A138,'[96]3月'!$A:$H,8,0),0)</f>
        <v>0</v>
      </c>
      <c r="AB138" s="688">
        <f>IFERROR(VLOOKUP($A138,'[96]4月'!$A:$H,8,0),0)</f>
        <v>0</v>
      </c>
      <c r="AC138" s="688">
        <f>IFERROR(VLOOKUP($A138,'[96]5月'!$A:$H,8,0),0)</f>
        <v>0</v>
      </c>
      <c r="AD138" s="688">
        <f>IFERROR(VLOOKUP($A138,'[96]6月'!$A:$H,8,0),0)</f>
        <v>0</v>
      </c>
      <c r="AE138" s="688">
        <f>IFERROR(VLOOKUP($A138,'[96]7月'!$A:$H,8,0),0)</f>
        <v>0</v>
      </c>
      <c r="AF138" s="688">
        <f>IFERROR(VLOOKUP($A138,'[96]8月'!$A:$H,8,0),0)</f>
        <v>0</v>
      </c>
      <c r="AG138" s="688">
        <f>IFERROR(VLOOKUP($A138,'[96]9月'!$A:$H,8,0),0)</f>
        <v>0</v>
      </c>
      <c r="AH138" s="688">
        <f>IFERROR(VLOOKUP($A138,'[96]10月'!$A:$H,8,0),0)</f>
        <v>0</v>
      </c>
      <c r="AI138" s="688">
        <f>IFERROR(VLOOKUP($A138,'[96]11月'!$A:$H,8,0),0)</f>
        <v>0</v>
      </c>
      <c r="AJ138" s="688">
        <f>IFERROR(VLOOKUP($A138,'[96]12月'!$A:$H,8,0),0)</f>
        <v>0</v>
      </c>
      <c r="AK138" s="688">
        <f t="shared" si="58"/>
        <v>0</v>
      </c>
    </row>
    <row r="139" spans="1:37" ht="11.1" customHeight="1">
      <c r="A139" s="653" t="str">
        <f>'Budget-合并'!A139</f>
        <v>6602.12.03.02</v>
      </c>
      <c r="B139" s="653" t="str">
        <f>'Budget-合并'!B139</f>
        <v>广州旭智--802房F028</v>
      </c>
      <c r="C139" s="687">
        <f>'Budget-合并'!C139</f>
        <v>0</v>
      </c>
      <c r="D139" s="676">
        <f t="shared" si="53"/>
        <v>0</v>
      </c>
      <c r="E139" s="676">
        <f t="shared" si="54"/>
        <v>0</v>
      </c>
      <c r="F139" s="676">
        <f t="shared" si="55"/>
        <v>0</v>
      </c>
      <c r="G139" s="676">
        <f t="shared" ca="1" si="56"/>
        <v>0</v>
      </c>
      <c r="H139" s="676">
        <f t="shared" ca="1" si="52"/>
        <v>0</v>
      </c>
      <c r="I139" s="676">
        <f t="shared" ca="1" si="57"/>
        <v>0</v>
      </c>
      <c r="K139" s="676"/>
      <c r="L139" s="676"/>
      <c r="M139" s="676"/>
      <c r="N139" s="676"/>
      <c r="O139" s="676"/>
      <c r="P139" s="676"/>
      <c r="Q139" s="676"/>
      <c r="R139" s="676"/>
      <c r="S139" s="676"/>
      <c r="T139" s="676"/>
      <c r="U139" s="676"/>
      <c r="V139" s="676"/>
      <c r="W139" s="676">
        <f t="shared" si="45"/>
        <v>0</v>
      </c>
      <c r="Y139" s="688">
        <f>IFERROR(VLOOKUP($A139,'[96]1月'!$A:$H,8,0),0)</f>
        <v>0</v>
      </c>
      <c r="Z139" s="688">
        <f>IFERROR(VLOOKUP($A139,'[96]2月'!$A:$H,8,0),0)</f>
        <v>0</v>
      </c>
      <c r="AA139" s="688">
        <f>IFERROR(VLOOKUP($A139,'[96]3月'!$A:$H,8,0),0)</f>
        <v>0</v>
      </c>
      <c r="AB139" s="688">
        <f>IFERROR(VLOOKUP($A139,'[96]4月'!$A:$H,8,0),0)</f>
        <v>0</v>
      </c>
      <c r="AC139" s="688">
        <f>IFERROR(VLOOKUP($A139,'[96]5月'!$A:$H,8,0),0)</f>
        <v>0</v>
      </c>
      <c r="AD139" s="688">
        <f>IFERROR(VLOOKUP($A139,'[96]6月'!$A:$H,8,0),0)</f>
        <v>0</v>
      </c>
      <c r="AE139" s="688">
        <f>IFERROR(VLOOKUP($A139,'[96]7月'!$A:$H,8,0),0)</f>
        <v>0</v>
      </c>
      <c r="AF139" s="688">
        <f>IFERROR(VLOOKUP($A139,'[96]8月'!$A:$H,8,0),0)</f>
        <v>0</v>
      </c>
      <c r="AG139" s="688">
        <f>IFERROR(VLOOKUP($A139,'[96]9月'!$A:$H,8,0),0)</f>
        <v>0</v>
      </c>
      <c r="AH139" s="688">
        <f>IFERROR(VLOOKUP($A139,'[96]10月'!$A:$H,8,0),0)</f>
        <v>0</v>
      </c>
      <c r="AI139" s="688">
        <f>IFERROR(VLOOKUP($A139,'[96]11月'!$A:$H,8,0),0)</f>
        <v>0</v>
      </c>
      <c r="AJ139" s="688">
        <f>IFERROR(VLOOKUP($A139,'[96]12月'!$A:$H,8,0),0)</f>
        <v>0</v>
      </c>
      <c r="AK139" s="688">
        <f t="shared" si="58"/>
        <v>0</v>
      </c>
    </row>
    <row r="140" spans="1:37" ht="13.5" customHeight="1">
      <c r="A140" s="653" t="str">
        <f>'Budget-合并'!A140</f>
        <v>6602.13</v>
      </c>
      <c r="B140" s="653" t="str">
        <f>'Budget-合并'!B140</f>
        <v>物业管理费</v>
      </c>
      <c r="C140" s="687">
        <f>'Budget-合并'!C140</f>
        <v>0</v>
      </c>
      <c r="D140" s="676">
        <f t="shared" si="53"/>
        <v>0</v>
      </c>
      <c r="E140" s="676">
        <f t="shared" si="54"/>
        <v>0</v>
      </c>
      <c r="F140" s="676">
        <f t="shared" si="55"/>
        <v>0</v>
      </c>
      <c r="G140" s="676">
        <f t="shared" ca="1" si="56"/>
        <v>0</v>
      </c>
      <c r="H140" s="676">
        <f t="shared" ca="1" si="52"/>
        <v>0</v>
      </c>
      <c r="I140" s="676">
        <f t="shared" ca="1" si="57"/>
        <v>0</v>
      </c>
      <c r="K140" s="676"/>
      <c r="L140" s="676"/>
      <c r="M140" s="676"/>
      <c r="N140" s="676"/>
      <c r="O140" s="676"/>
      <c r="P140" s="676"/>
      <c r="Q140" s="676"/>
      <c r="R140" s="676"/>
      <c r="S140" s="676"/>
      <c r="T140" s="676"/>
      <c r="U140" s="676"/>
      <c r="V140" s="676"/>
      <c r="W140" s="676">
        <f t="shared" si="45"/>
        <v>0</v>
      </c>
      <c r="Y140" s="688">
        <f>IFERROR(VLOOKUP($A140,'[96]1月'!$A:$H,8,0),0)</f>
        <v>0</v>
      </c>
      <c r="Z140" s="688">
        <f>IFERROR(VLOOKUP($A140,'[96]2月'!$A:$H,8,0),0)</f>
        <v>0</v>
      </c>
      <c r="AA140" s="688">
        <f>IFERROR(VLOOKUP($A140,'[96]3月'!$A:$H,8,0),0)</f>
        <v>0</v>
      </c>
      <c r="AB140" s="688">
        <f>IFERROR(VLOOKUP($A140,'[96]4月'!$A:$H,8,0),0)</f>
        <v>0</v>
      </c>
      <c r="AC140" s="688">
        <f>IFERROR(VLOOKUP($A140,'[96]5月'!$A:$H,8,0),0)</f>
        <v>0</v>
      </c>
      <c r="AD140" s="688">
        <f>IFERROR(VLOOKUP($A140,'[96]6月'!$A:$H,8,0),0)</f>
        <v>0</v>
      </c>
      <c r="AE140" s="688">
        <f>IFERROR(VLOOKUP($A140,'[96]7月'!$A:$H,8,0),0)</f>
        <v>0</v>
      </c>
      <c r="AF140" s="688">
        <f>IFERROR(VLOOKUP($A140,'[96]8月'!$A:$H,8,0),0)</f>
        <v>0</v>
      </c>
      <c r="AG140" s="688">
        <f>IFERROR(VLOOKUP($A140,'[96]9月'!$A:$H,8,0),0)</f>
        <v>0</v>
      </c>
      <c r="AH140" s="688">
        <f>IFERROR(VLOOKUP($A140,'[96]10月'!$A:$H,8,0),0)</f>
        <v>0</v>
      </c>
      <c r="AI140" s="688">
        <f>IFERROR(VLOOKUP($A140,'[96]11月'!$A:$H,8,0),0)</f>
        <v>0</v>
      </c>
      <c r="AJ140" s="688">
        <f>IFERROR(VLOOKUP($A140,'[96]12月'!$A:$H,8,0),0)</f>
        <v>0</v>
      </c>
      <c r="AK140" s="688">
        <f t="shared" si="58"/>
        <v>0</v>
      </c>
    </row>
    <row r="141" spans="1:37" ht="13.5" customHeight="1">
      <c r="A141" s="653" t="str">
        <f>'Budget-合并'!A141</f>
        <v>6602.14</v>
      </c>
      <c r="B141" s="653" t="str">
        <f>'Budget-合并'!B141</f>
        <v>修理费</v>
      </c>
      <c r="C141" s="687">
        <f>'Budget-合并'!C141</f>
        <v>0</v>
      </c>
      <c r="D141" s="676">
        <f t="shared" si="53"/>
        <v>0</v>
      </c>
      <c r="E141" s="676">
        <f t="shared" si="54"/>
        <v>0</v>
      </c>
      <c r="F141" s="676">
        <f t="shared" si="55"/>
        <v>0</v>
      </c>
      <c r="G141" s="676">
        <f t="shared" ca="1" si="56"/>
        <v>0</v>
      </c>
      <c r="H141" s="676">
        <f t="shared" ca="1" si="52"/>
        <v>0</v>
      </c>
      <c r="I141" s="676">
        <f t="shared" ca="1" si="57"/>
        <v>0</v>
      </c>
      <c r="K141" s="676"/>
      <c r="L141" s="676"/>
      <c r="M141" s="676"/>
      <c r="N141" s="676"/>
      <c r="O141" s="676"/>
      <c r="P141" s="676"/>
      <c r="Q141" s="676"/>
      <c r="R141" s="676"/>
      <c r="S141" s="676"/>
      <c r="T141" s="676"/>
      <c r="U141" s="676"/>
      <c r="V141" s="676"/>
      <c r="W141" s="676">
        <f t="shared" si="45"/>
        <v>0</v>
      </c>
      <c r="Y141" s="688">
        <f>IFERROR(VLOOKUP($A141,'[96]1月'!$A:$H,8,0),0)</f>
        <v>0</v>
      </c>
      <c r="Z141" s="688">
        <f>IFERROR(VLOOKUP($A141,'[96]2月'!$A:$H,8,0),0)</f>
        <v>0</v>
      </c>
      <c r="AA141" s="688">
        <f>IFERROR(VLOOKUP($A141,'[96]3月'!$A:$H,8,0),0)</f>
        <v>0</v>
      </c>
      <c r="AB141" s="688">
        <f>IFERROR(VLOOKUP($A141,'[96]4月'!$A:$H,8,0),0)</f>
        <v>0</v>
      </c>
      <c r="AC141" s="688">
        <f>IFERROR(VLOOKUP($A141,'[96]5月'!$A:$H,8,0),0)</f>
        <v>0</v>
      </c>
      <c r="AD141" s="688">
        <f>IFERROR(VLOOKUP($A141,'[96]6月'!$A:$H,8,0),0)</f>
        <v>0</v>
      </c>
      <c r="AE141" s="688">
        <f>IFERROR(VLOOKUP($A141,'[96]7月'!$A:$H,8,0),0)</f>
        <v>0</v>
      </c>
      <c r="AF141" s="688">
        <f>IFERROR(VLOOKUP($A141,'[96]8月'!$A:$H,8,0),0)</f>
        <v>0</v>
      </c>
      <c r="AG141" s="688">
        <f>IFERROR(VLOOKUP($A141,'[96]9月'!$A:$H,8,0),0)</f>
        <v>0</v>
      </c>
      <c r="AH141" s="688">
        <f>IFERROR(VLOOKUP($A141,'[96]10月'!$A:$H,8,0),0)</f>
        <v>0</v>
      </c>
      <c r="AI141" s="688">
        <f>IFERROR(VLOOKUP($A141,'[96]11月'!$A:$H,8,0),0)</f>
        <v>0</v>
      </c>
      <c r="AJ141" s="688">
        <f>IFERROR(VLOOKUP($A141,'[96]12月'!$A:$H,8,0),0)</f>
        <v>0</v>
      </c>
      <c r="AK141" s="688">
        <f t="shared" si="58"/>
        <v>0</v>
      </c>
    </row>
    <row r="142" spans="1:37" ht="13.5" customHeight="1">
      <c r="A142" s="653" t="str">
        <f>'Budget-合并'!A142</f>
        <v>6602.15</v>
      </c>
      <c r="B142" s="653" t="str">
        <f>'Budget-合并'!B142</f>
        <v>服务费</v>
      </c>
      <c r="C142" s="687" t="str">
        <f>'Budget-合并'!C142</f>
        <v>Professional Fee</v>
      </c>
      <c r="D142" s="676">
        <f t="shared" si="53"/>
        <v>0</v>
      </c>
      <c r="E142" s="676">
        <f t="shared" si="54"/>
        <v>0</v>
      </c>
      <c r="F142" s="676">
        <f t="shared" si="55"/>
        <v>0</v>
      </c>
      <c r="G142" s="676">
        <f t="shared" ca="1" si="56"/>
        <v>0</v>
      </c>
      <c r="H142" s="676">
        <f t="shared" ca="1" si="52"/>
        <v>0</v>
      </c>
      <c r="I142" s="676">
        <f t="shared" ca="1" si="57"/>
        <v>0</v>
      </c>
      <c r="K142" s="676">
        <f>SUMIFS('Prof. Fee'!AF$3:AF$150,'Prof. Fee'!$B$3:$B$150,$D$1,'Prof. Fee'!$D$3:$D$150,$A142)+SUMIFS('Other Exp'!AG$3:AG$196,'Other Exp'!$B$3:$B$196,$D$1,'Other Exp'!$C$3:$C$196,$A142)</f>
        <v>0</v>
      </c>
      <c r="L142" s="676">
        <f>SUMIFS('Prof. Fee'!AG$3:AG$150,'Prof. Fee'!$B$3:$B$150,$D$1,'Prof. Fee'!$D$3:$D$150,$A142)+SUMIFS('Other Exp'!AH$3:AH$196,'Other Exp'!$B$3:$B$196,$D$1,'Other Exp'!$C$3:$C$196,$A142)</f>
        <v>0</v>
      </c>
      <c r="M142" s="676">
        <f>SUMIFS('Prof. Fee'!AH$3:AH$150,'Prof. Fee'!$B$3:$B$150,$D$1,'Prof. Fee'!$D$3:$D$150,$A142)+SUMIFS('Other Exp'!AI$3:AI$196,'Other Exp'!$B$3:$B$196,$D$1,'Other Exp'!$C$3:$C$196,$A142)</f>
        <v>0</v>
      </c>
      <c r="N142" s="676">
        <f>SUMIFS('Prof. Fee'!AI$3:AI$150,'Prof. Fee'!$B$3:$B$150,$D$1,'Prof. Fee'!$D$3:$D$150,$A142)+SUMIFS('Other Exp'!AJ$3:AJ$196,'Other Exp'!$B$3:$B$196,$D$1,'Other Exp'!$C$3:$C$196,$A142)</f>
        <v>0</v>
      </c>
      <c r="O142" s="676">
        <f>SUMIFS('Prof. Fee'!AJ$3:AJ$150,'Prof. Fee'!$B$3:$B$150,$D$1,'Prof. Fee'!$D$3:$D$150,$A142)+SUMIFS('Other Exp'!AK$3:AK$196,'Other Exp'!$B$3:$B$196,$D$1,'Other Exp'!$C$3:$C$196,$A142)</f>
        <v>0</v>
      </c>
      <c r="P142" s="676">
        <f>SUMIFS('Prof. Fee'!AK$3:AK$150,'Prof. Fee'!$B$3:$B$150,$D$1,'Prof. Fee'!$D$3:$D$150,$A142)+SUMIFS('Other Exp'!AL$3:AL$196,'Other Exp'!$B$3:$B$196,$D$1,'Other Exp'!$C$3:$C$196,$A142)</f>
        <v>0</v>
      </c>
      <c r="Q142" s="676">
        <f>SUMIFS('Prof. Fee'!AL$3:AL$150,'Prof. Fee'!$B$3:$B$150,$D$1,'Prof. Fee'!$D$3:$D$150,$A142)+SUMIFS('Other Exp'!AM$3:AM$196,'Other Exp'!$B$3:$B$196,$D$1,'Other Exp'!$C$3:$C$196,$A142)</f>
        <v>0</v>
      </c>
      <c r="R142" s="676">
        <f>SUMIFS('Prof. Fee'!AM$3:AM$150,'Prof. Fee'!$B$3:$B$150,$D$1,'Prof. Fee'!$D$3:$D$150,$A142)+SUMIFS('Other Exp'!AN$3:AN$196,'Other Exp'!$B$3:$B$196,$D$1,'Other Exp'!$C$3:$C$196,$A142)</f>
        <v>0</v>
      </c>
      <c r="S142" s="676">
        <f>SUMIFS('Prof. Fee'!AN$3:AN$150,'Prof. Fee'!$B$3:$B$150,$D$1,'Prof. Fee'!$D$3:$D$150,$A142)+SUMIFS('Other Exp'!AO$3:AO$196,'Other Exp'!$B$3:$B$196,$D$1,'Other Exp'!$C$3:$C$196,$A142)</f>
        <v>0</v>
      </c>
      <c r="T142" s="676">
        <f>SUMIFS('Prof. Fee'!AO$3:AO$150,'Prof. Fee'!$B$3:$B$150,$D$1,'Prof. Fee'!$D$3:$D$150,$A142)+SUMIFS('Other Exp'!AP$3:AP$196,'Other Exp'!$B$3:$B$196,$D$1,'Other Exp'!$C$3:$C$196,$A142)</f>
        <v>0</v>
      </c>
      <c r="U142" s="676">
        <f>SUMIFS('Prof. Fee'!AP$3:AP$150,'Prof. Fee'!$B$3:$B$150,$D$1,'Prof. Fee'!$D$3:$D$150,$A142)+SUMIFS('Other Exp'!AQ$3:AQ$196,'Other Exp'!$B$3:$B$196,$D$1,'Other Exp'!$C$3:$C$196,$A142)</f>
        <v>0</v>
      </c>
      <c r="V142" s="676">
        <f>SUMIFS('Prof. Fee'!AQ$3:AQ$150,'Prof. Fee'!$B$3:$B$150,$D$1,'Prof. Fee'!$D$3:$D$150,$A142)+SUMIFS('Other Exp'!AR$3:AR$196,'Other Exp'!$B$3:$B$196,$D$1,'Other Exp'!$C$3:$C$196,$A142)</f>
        <v>3000</v>
      </c>
      <c r="W142" s="676">
        <f t="shared" si="45"/>
        <v>3000</v>
      </c>
      <c r="Y142" s="688">
        <f>IFERROR(VLOOKUP($A142,'[96]1月'!$A:$H,8,0),0)</f>
        <v>0</v>
      </c>
      <c r="Z142" s="688">
        <f>IFERROR(VLOOKUP($A142,'[96]2月'!$A:$H,8,0),0)</f>
        <v>0</v>
      </c>
      <c r="AA142" s="688">
        <f>IFERROR(VLOOKUP($A142,'[96]3月'!$A:$H,8,0),0)</f>
        <v>0</v>
      </c>
      <c r="AB142" s="688">
        <f>IFERROR(VLOOKUP($A142,'[96]4月'!$A:$H,8,0),0)</f>
        <v>0</v>
      </c>
      <c r="AC142" s="688">
        <f>IFERROR(VLOOKUP($A142,'[96]5月'!$A:$H,8,0),0)</f>
        <v>0</v>
      </c>
      <c r="AD142" s="688">
        <f>IFERROR(VLOOKUP($A142,'[96]6月'!$A:$H,8,0),0)</f>
        <v>0</v>
      </c>
      <c r="AE142" s="688">
        <f>IFERROR(VLOOKUP($A142,'[96]7月'!$A:$H,8,0),0)</f>
        <v>0</v>
      </c>
      <c r="AF142" s="688">
        <f>IFERROR(VLOOKUP($A142,'[96]8月'!$A:$H,8,0),0)</f>
        <v>0</v>
      </c>
      <c r="AG142" s="688">
        <f>IFERROR(VLOOKUP($A142,'[96]9月'!$A:$H,8,0),0)</f>
        <v>0</v>
      </c>
      <c r="AH142" s="688">
        <f>IFERROR(VLOOKUP($A142,'[96]10月'!$A:$H,8,0),0)</f>
        <v>0</v>
      </c>
      <c r="AI142" s="688">
        <f>IFERROR(VLOOKUP($A142,'[96]11月'!$A:$H,8,0),0)</f>
        <v>0</v>
      </c>
      <c r="AJ142" s="688">
        <f>IFERROR(VLOOKUP($A142,'[96]12月'!$A:$H,8,0),0)</f>
        <v>0</v>
      </c>
      <c r="AK142" s="688">
        <f t="shared" si="58"/>
        <v>0</v>
      </c>
    </row>
    <row r="143" spans="1:37" ht="13.5" customHeight="1">
      <c r="A143" s="653" t="str">
        <f>'Budget-合并'!A143</f>
        <v>6602.16</v>
      </c>
      <c r="B143" s="653" t="str">
        <f>'Budget-合并'!B143</f>
        <v>董事会费</v>
      </c>
      <c r="C143" s="687" t="str">
        <f>'Budget-合并'!C143</f>
        <v>Internal ACP Meeting</v>
      </c>
      <c r="D143" s="676">
        <f t="shared" si="53"/>
        <v>0</v>
      </c>
      <c r="E143" s="676">
        <f t="shared" si="54"/>
        <v>0</v>
      </c>
      <c r="F143" s="676">
        <f t="shared" si="55"/>
        <v>0</v>
      </c>
      <c r="G143" s="676">
        <f t="shared" ca="1" si="56"/>
        <v>0</v>
      </c>
      <c r="H143" s="676">
        <f t="shared" ca="1" si="52"/>
        <v>0</v>
      </c>
      <c r="I143" s="676">
        <f t="shared" ca="1" si="57"/>
        <v>0</v>
      </c>
      <c r="K143" s="676"/>
      <c r="L143" s="676"/>
      <c r="M143" s="676"/>
      <c r="N143" s="676"/>
      <c r="O143" s="676"/>
      <c r="P143" s="676"/>
      <c r="Q143" s="676"/>
      <c r="R143" s="676"/>
      <c r="S143" s="676"/>
      <c r="T143" s="676"/>
      <c r="U143" s="676"/>
      <c r="V143" s="676"/>
      <c r="W143" s="676">
        <f t="shared" si="45"/>
        <v>0</v>
      </c>
      <c r="Y143" s="688">
        <f>IFERROR(VLOOKUP($A143,'[96]1月'!$A:$H,8,0),0)</f>
        <v>0</v>
      </c>
      <c r="Z143" s="688">
        <f>IFERROR(VLOOKUP($A143,'[96]2月'!$A:$H,8,0),0)</f>
        <v>0</v>
      </c>
      <c r="AA143" s="688">
        <f>IFERROR(VLOOKUP($A143,'[96]3月'!$A:$H,8,0),0)</f>
        <v>0</v>
      </c>
      <c r="AB143" s="688">
        <f>IFERROR(VLOOKUP($A143,'[96]4月'!$A:$H,8,0),0)</f>
        <v>0</v>
      </c>
      <c r="AC143" s="688">
        <f>IFERROR(VLOOKUP($A143,'[96]5月'!$A:$H,8,0),0)</f>
        <v>0</v>
      </c>
      <c r="AD143" s="688">
        <f>IFERROR(VLOOKUP($A143,'[96]6月'!$A:$H,8,0),0)</f>
        <v>0</v>
      </c>
      <c r="AE143" s="688">
        <f>IFERROR(VLOOKUP($A143,'[96]7月'!$A:$H,8,0),0)</f>
        <v>0</v>
      </c>
      <c r="AF143" s="688">
        <f>IFERROR(VLOOKUP($A143,'[96]8月'!$A:$H,8,0),0)</f>
        <v>0</v>
      </c>
      <c r="AG143" s="688">
        <f>IFERROR(VLOOKUP($A143,'[96]9月'!$A:$H,8,0),0)</f>
        <v>0</v>
      </c>
      <c r="AH143" s="688">
        <f>IFERROR(VLOOKUP($A143,'[96]10月'!$A:$H,8,0),0)</f>
        <v>0</v>
      </c>
      <c r="AI143" s="688">
        <f>IFERROR(VLOOKUP($A143,'[96]11月'!$A:$H,8,0),0)</f>
        <v>0</v>
      </c>
      <c r="AJ143" s="688">
        <f>IFERROR(VLOOKUP($A143,'[96]12月'!$A:$H,8,0),0)</f>
        <v>0</v>
      </c>
      <c r="AK143" s="688">
        <f t="shared" si="58"/>
        <v>0</v>
      </c>
    </row>
    <row r="144" spans="1:37" ht="13.5" customHeight="1">
      <c r="A144" s="653" t="str">
        <f>'Budget-合并'!A144</f>
        <v>6602.17</v>
      </c>
      <c r="B144" s="653" t="str">
        <f>'Budget-合并'!B144</f>
        <v>聘请中介机构费</v>
      </c>
      <c r="C144" s="687">
        <f>'Budget-合并'!C144</f>
        <v>0</v>
      </c>
      <c r="D144" s="676">
        <f t="shared" si="53"/>
        <v>0</v>
      </c>
      <c r="E144" s="676">
        <f t="shared" si="54"/>
        <v>0</v>
      </c>
      <c r="F144" s="676">
        <f t="shared" si="55"/>
        <v>0</v>
      </c>
      <c r="G144" s="676">
        <f t="shared" ca="1" si="56"/>
        <v>0</v>
      </c>
      <c r="H144" s="676">
        <f t="shared" ca="1" si="52"/>
        <v>0</v>
      </c>
      <c r="I144" s="676">
        <f t="shared" ca="1" si="57"/>
        <v>0</v>
      </c>
      <c r="K144" s="676"/>
      <c r="L144" s="676"/>
      <c r="M144" s="676"/>
      <c r="N144" s="676"/>
      <c r="O144" s="676"/>
      <c r="P144" s="676"/>
      <c r="Q144" s="676"/>
      <c r="R144" s="676"/>
      <c r="S144" s="676"/>
      <c r="T144" s="676"/>
      <c r="U144" s="676"/>
      <c r="V144" s="676"/>
      <c r="W144" s="676">
        <f t="shared" si="45"/>
        <v>0</v>
      </c>
      <c r="Y144" s="688">
        <f>IFERROR(VLOOKUP($A144,'[96]1月'!$A:$H,8,0),0)</f>
        <v>0</v>
      </c>
      <c r="Z144" s="688">
        <f>IFERROR(VLOOKUP($A144,'[96]2月'!$A:$H,8,0),0)</f>
        <v>0</v>
      </c>
      <c r="AA144" s="688">
        <f>IFERROR(VLOOKUP($A144,'[96]3月'!$A:$H,8,0),0)</f>
        <v>0</v>
      </c>
      <c r="AB144" s="688">
        <f>IFERROR(VLOOKUP($A144,'[96]4月'!$A:$H,8,0),0)</f>
        <v>0</v>
      </c>
      <c r="AC144" s="688">
        <f>IFERROR(VLOOKUP($A144,'[96]5月'!$A:$H,8,0),0)</f>
        <v>0</v>
      </c>
      <c r="AD144" s="688">
        <f>IFERROR(VLOOKUP($A144,'[96]6月'!$A:$H,8,0),0)</f>
        <v>0</v>
      </c>
      <c r="AE144" s="688">
        <f>IFERROR(VLOOKUP($A144,'[96]7月'!$A:$H,8,0),0)</f>
        <v>0</v>
      </c>
      <c r="AF144" s="688">
        <f>IFERROR(VLOOKUP($A144,'[96]8月'!$A:$H,8,0),0)</f>
        <v>0</v>
      </c>
      <c r="AG144" s="688">
        <f>IFERROR(VLOOKUP($A144,'[96]9月'!$A:$H,8,0),0)</f>
        <v>0</v>
      </c>
      <c r="AH144" s="688">
        <f>IFERROR(VLOOKUP($A144,'[96]10月'!$A:$H,8,0),0)</f>
        <v>0</v>
      </c>
      <c r="AI144" s="688">
        <f>IFERROR(VLOOKUP($A144,'[96]11月'!$A:$H,8,0),0)</f>
        <v>0</v>
      </c>
      <c r="AJ144" s="688">
        <f>IFERROR(VLOOKUP($A144,'[96]12月'!$A:$H,8,0),0)</f>
        <v>0</v>
      </c>
      <c r="AK144" s="688">
        <f t="shared" si="58"/>
        <v>0</v>
      </c>
    </row>
    <row r="145" spans="1:37" ht="13.5" customHeight="1">
      <c r="A145" s="653" t="str">
        <f>'Budget-合并'!A145</f>
        <v>6602.18</v>
      </c>
      <c r="B145" s="653" t="str">
        <f>'Budget-合并'!B145</f>
        <v>存货盘亏或盘盈</v>
      </c>
      <c r="C145" s="687">
        <f>'Budget-合并'!C145</f>
        <v>0</v>
      </c>
      <c r="D145" s="676">
        <f t="shared" si="53"/>
        <v>0</v>
      </c>
      <c r="E145" s="676">
        <f t="shared" si="54"/>
        <v>0</v>
      </c>
      <c r="F145" s="676">
        <f t="shared" si="55"/>
        <v>0</v>
      </c>
      <c r="G145" s="676">
        <f t="shared" ca="1" si="56"/>
        <v>0</v>
      </c>
      <c r="H145" s="676">
        <f t="shared" ca="1" si="52"/>
        <v>0</v>
      </c>
      <c r="I145" s="676">
        <f t="shared" ca="1" si="57"/>
        <v>0</v>
      </c>
      <c r="K145" s="676"/>
      <c r="L145" s="676"/>
      <c r="M145" s="676"/>
      <c r="N145" s="676"/>
      <c r="O145" s="676"/>
      <c r="P145" s="676"/>
      <c r="Q145" s="676"/>
      <c r="R145" s="676"/>
      <c r="S145" s="676"/>
      <c r="T145" s="676"/>
      <c r="U145" s="676"/>
      <c r="V145" s="676"/>
      <c r="W145" s="676">
        <f t="shared" si="45"/>
        <v>0</v>
      </c>
      <c r="Y145" s="688">
        <f>IFERROR(VLOOKUP($A145,'[96]1月'!$A:$H,8,0),0)</f>
        <v>0</v>
      </c>
      <c r="Z145" s="688">
        <f>IFERROR(VLOOKUP($A145,'[96]2月'!$A:$H,8,0),0)</f>
        <v>0</v>
      </c>
      <c r="AA145" s="688">
        <f>IFERROR(VLOOKUP($A145,'[96]3月'!$A:$H,8,0),0)</f>
        <v>0</v>
      </c>
      <c r="AB145" s="688">
        <f>IFERROR(VLOOKUP($A145,'[96]4月'!$A:$H,8,0),0)</f>
        <v>0</v>
      </c>
      <c r="AC145" s="688">
        <f>IFERROR(VLOOKUP($A145,'[96]5月'!$A:$H,8,0),0)</f>
        <v>0</v>
      </c>
      <c r="AD145" s="688">
        <f>IFERROR(VLOOKUP($A145,'[96]6月'!$A:$H,8,0),0)</f>
        <v>0</v>
      </c>
      <c r="AE145" s="688">
        <f>IFERROR(VLOOKUP($A145,'[96]7月'!$A:$H,8,0),0)</f>
        <v>0</v>
      </c>
      <c r="AF145" s="688">
        <f>IFERROR(VLOOKUP($A145,'[96]8月'!$A:$H,8,0),0)</f>
        <v>0</v>
      </c>
      <c r="AG145" s="688">
        <f>IFERROR(VLOOKUP($A145,'[96]9月'!$A:$H,8,0),0)</f>
        <v>0</v>
      </c>
      <c r="AH145" s="688">
        <f>IFERROR(VLOOKUP($A145,'[96]10月'!$A:$H,8,0),0)</f>
        <v>0</v>
      </c>
      <c r="AI145" s="688">
        <f>IFERROR(VLOOKUP($A145,'[96]11月'!$A:$H,8,0),0)</f>
        <v>0</v>
      </c>
      <c r="AJ145" s="688">
        <f>IFERROR(VLOOKUP($A145,'[96]12月'!$A:$H,8,0),0)</f>
        <v>0</v>
      </c>
      <c r="AK145" s="688">
        <f t="shared" si="58"/>
        <v>0</v>
      </c>
    </row>
    <row r="146" spans="1:37" ht="13.5" customHeight="1">
      <c r="A146" s="653" t="str">
        <f>'Budget-合并'!A146</f>
        <v>6602.19</v>
      </c>
      <c r="B146" s="653" t="str">
        <f>'Budget-合并'!B146</f>
        <v>会费（公司）</v>
      </c>
      <c r="C146" s="687" t="str">
        <f>'Budget-合并'!C146</f>
        <v>Membership Fee</v>
      </c>
      <c r="D146" s="676">
        <f t="shared" si="53"/>
        <v>0</v>
      </c>
      <c r="E146" s="676">
        <f t="shared" si="54"/>
        <v>0</v>
      </c>
      <c r="F146" s="676">
        <f t="shared" si="55"/>
        <v>0</v>
      </c>
      <c r="G146" s="676">
        <f t="shared" ca="1" si="56"/>
        <v>0</v>
      </c>
      <c r="H146" s="676">
        <f t="shared" ca="1" si="52"/>
        <v>0</v>
      </c>
      <c r="I146" s="676">
        <f t="shared" ca="1" si="57"/>
        <v>0</v>
      </c>
      <c r="K146" s="676"/>
      <c r="L146" s="676"/>
      <c r="M146" s="676"/>
      <c r="N146" s="676"/>
      <c r="O146" s="676"/>
      <c r="P146" s="676"/>
      <c r="Q146" s="676"/>
      <c r="R146" s="676"/>
      <c r="S146" s="676"/>
      <c r="T146" s="676"/>
      <c r="U146" s="676"/>
      <c r="V146" s="676"/>
      <c r="W146" s="676">
        <f t="shared" si="45"/>
        <v>0</v>
      </c>
      <c r="Y146" s="688">
        <f>IFERROR(VLOOKUP($A146,'[96]1月'!$A:$H,8,0),0)</f>
        <v>0</v>
      </c>
      <c r="Z146" s="688">
        <f>IFERROR(VLOOKUP($A146,'[96]2月'!$A:$H,8,0),0)</f>
        <v>0</v>
      </c>
      <c r="AA146" s="688">
        <f>IFERROR(VLOOKUP($A146,'[96]3月'!$A:$H,8,0),0)</f>
        <v>0</v>
      </c>
      <c r="AB146" s="688">
        <f>IFERROR(VLOOKUP($A146,'[96]4月'!$A:$H,8,0),0)</f>
        <v>0</v>
      </c>
      <c r="AC146" s="688">
        <f>IFERROR(VLOOKUP($A146,'[96]5月'!$A:$H,8,0),0)</f>
        <v>0</v>
      </c>
      <c r="AD146" s="688">
        <f>IFERROR(VLOOKUP($A146,'[96]6月'!$A:$H,8,0),0)</f>
        <v>0</v>
      </c>
      <c r="AE146" s="688">
        <f>IFERROR(VLOOKUP($A146,'[96]7月'!$A:$H,8,0),0)</f>
        <v>0</v>
      </c>
      <c r="AF146" s="688">
        <f>IFERROR(VLOOKUP($A146,'[96]8月'!$A:$H,8,0),0)</f>
        <v>0</v>
      </c>
      <c r="AG146" s="688">
        <f>IFERROR(VLOOKUP($A146,'[96]9月'!$A:$H,8,0),0)</f>
        <v>0</v>
      </c>
      <c r="AH146" s="688">
        <f>IFERROR(VLOOKUP($A146,'[96]10月'!$A:$H,8,0),0)</f>
        <v>0</v>
      </c>
      <c r="AI146" s="688">
        <f>IFERROR(VLOOKUP($A146,'[96]11月'!$A:$H,8,0),0)</f>
        <v>0</v>
      </c>
      <c r="AJ146" s="688">
        <f>IFERROR(VLOOKUP($A146,'[96]12月'!$A:$H,8,0),0)</f>
        <v>0</v>
      </c>
      <c r="AK146" s="688">
        <f t="shared" si="58"/>
        <v>0</v>
      </c>
    </row>
    <row r="147" spans="1:37" ht="13.5" customHeight="1">
      <c r="A147" s="653" t="str">
        <f>'Budget-合并'!A147</f>
        <v>6602.20</v>
      </c>
      <c r="B147" s="653" t="str">
        <f>'Budget-合并'!B147</f>
        <v>职工教育经费</v>
      </c>
      <c r="C147" s="687" t="str">
        <f>'Budget-合并'!C147</f>
        <v>Education Assistance</v>
      </c>
      <c r="D147" s="676">
        <f t="shared" si="53"/>
        <v>0</v>
      </c>
      <c r="E147" s="676">
        <f t="shared" si="54"/>
        <v>0</v>
      </c>
      <c r="F147" s="676">
        <f t="shared" si="55"/>
        <v>0</v>
      </c>
      <c r="G147" s="676">
        <f t="shared" ca="1" si="56"/>
        <v>0</v>
      </c>
      <c r="H147" s="676">
        <f t="shared" ca="1" si="52"/>
        <v>0</v>
      </c>
      <c r="I147" s="676">
        <f t="shared" ca="1" si="57"/>
        <v>0</v>
      </c>
      <c r="K147" s="676"/>
      <c r="L147" s="676"/>
      <c r="M147" s="676"/>
      <c r="N147" s="676"/>
      <c r="O147" s="676"/>
      <c r="P147" s="676"/>
      <c r="Q147" s="676"/>
      <c r="R147" s="676"/>
      <c r="S147" s="676"/>
      <c r="T147" s="676"/>
      <c r="U147" s="676"/>
      <c r="V147" s="676"/>
      <c r="W147" s="676">
        <f t="shared" si="45"/>
        <v>0</v>
      </c>
      <c r="Y147" s="688">
        <f>IFERROR(VLOOKUP($A147,'[96]1月'!$A:$H,8,0),0)</f>
        <v>0</v>
      </c>
      <c r="Z147" s="688">
        <f>IFERROR(VLOOKUP($A147,'[96]2月'!$A:$H,8,0),0)</f>
        <v>0</v>
      </c>
      <c r="AA147" s="688">
        <f>IFERROR(VLOOKUP($A147,'[96]3月'!$A:$H,8,0),0)</f>
        <v>0</v>
      </c>
      <c r="AB147" s="688">
        <f>IFERROR(VLOOKUP($A147,'[96]4月'!$A:$H,8,0),0)</f>
        <v>0</v>
      </c>
      <c r="AC147" s="688">
        <f>IFERROR(VLOOKUP($A147,'[96]5月'!$A:$H,8,0),0)</f>
        <v>0</v>
      </c>
      <c r="AD147" s="688">
        <f>IFERROR(VLOOKUP($A147,'[96]6月'!$A:$H,8,0),0)</f>
        <v>0</v>
      </c>
      <c r="AE147" s="688">
        <f>IFERROR(VLOOKUP($A147,'[96]7月'!$A:$H,8,0),0)</f>
        <v>0</v>
      </c>
      <c r="AF147" s="688">
        <f>IFERROR(VLOOKUP($A147,'[96]8月'!$A:$H,8,0),0)</f>
        <v>0</v>
      </c>
      <c r="AG147" s="688">
        <f>IFERROR(VLOOKUP($A147,'[96]9月'!$A:$H,8,0),0)</f>
        <v>0</v>
      </c>
      <c r="AH147" s="688">
        <f>IFERROR(VLOOKUP($A147,'[96]10月'!$A:$H,8,0),0)</f>
        <v>0</v>
      </c>
      <c r="AI147" s="688">
        <f>IFERROR(VLOOKUP($A147,'[96]11月'!$A:$H,8,0),0)</f>
        <v>0</v>
      </c>
      <c r="AJ147" s="688">
        <f>IFERROR(VLOOKUP($A147,'[96]12月'!$A:$H,8,0),0)</f>
        <v>0</v>
      </c>
      <c r="AK147" s="688">
        <f t="shared" si="58"/>
        <v>0</v>
      </c>
    </row>
    <row r="148" spans="1:37" ht="13.5" customHeight="1">
      <c r="A148" s="653" t="str">
        <f>'Budget-合并'!A148</f>
        <v>6602.21</v>
      </c>
      <c r="B148" s="653" t="str">
        <f>'Budget-合并'!B148</f>
        <v>公司秘书费</v>
      </c>
      <c r="C148" s="687" t="str">
        <f>'Budget-合并'!C148</f>
        <v>Corporate Secretarial Fees</v>
      </c>
      <c r="D148" s="676">
        <f t="shared" si="53"/>
        <v>0</v>
      </c>
      <c r="E148" s="676">
        <f t="shared" si="54"/>
        <v>0</v>
      </c>
      <c r="F148" s="676">
        <f t="shared" si="55"/>
        <v>0</v>
      </c>
      <c r="G148" s="676">
        <f t="shared" ca="1" si="56"/>
        <v>0</v>
      </c>
      <c r="H148" s="676">
        <f t="shared" ca="1" si="52"/>
        <v>0</v>
      </c>
      <c r="I148" s="676">
        <f t="shared" ca="1" si="57"/>
        <v>0</v>
      </c>
      <c r="K148" s="676"/>
      <c r="L148" s="676"/>
      <c r="M148" s="676"/>
      <c r="N148" s="676"/>
      <c r="O148" s="676"/>
      <c r="P148" s="676"/>
      <c r="Q148" s="676"/>
      <c r="R148" s="676"/>
      <c r="S148" s="676"/>
      <c r="T148" s="676"/>
      <c r="U148" s="676"/>
      <c r="V148" s="676"/>
      <c r="W148" s="676">
        <f t="shared" si="45"/>
        <v>0</v>
      </c>
      <c r="Y148" s="688">
        <f>IFERROR(VLOOKUP($A148,'[96]1月'!$A:$H,8,0),0)</f>
        <v>0</v>
      </c>
      <c r="Z148" s="688">
        <f>IFERROR(VLOOKUP($A148,'[96]2月'!$A:$H,8,0),0)</f>
        <v>0</v>
      </c>
      <c r="AA148" s="688">
        <f>IFERROR(VLOOKUP($A148,'[96]3月'!$A:$H,8,0),0)</f>
        <v>0</v>
      </c>
      <c r="AB148" s="688">
        <f>IFERROR(VLOOKUP($A148,'[96]4月'!$A:$H,8,0),0)</f>
        <v>0</v>
      </c>
      <c r="AC148" s="688">
        <f>IFERROR(VLOOKUP($A148,'[96]5月'!$A:$H,8,0),0)</f>
        <v>0</v>
      </c>
      <c r="AD148" s="688">
        <f>IFERROR(VLOOKUP($A148,'[96]6月'!$A:$H,8,0),0)</f>
        <v>0</v>
      </c>
      <c r="AE148" s="688">
        <f>IFERROR(VLOOKUP($A148,'[96]7月'!$A:$H,8,0),0)</f>
        <v>0</v>
      </c>
      <c r="AF148" s="688">
        <f>IFERROR(VLOOKUP($A148,'[96]8月'!$A:$H,8,0),0)</f>
        <v>0</v>
      </c>
      <c r="AG148" s="688">
        <f>IFERROR(VLOOKUP($A148,'[96]9月'!$A:$H,8,0),0)</f>
        <v>0</v>
      </c>
      <c r="AH148" s="688">
        <f>IFERROR(VLOOKUP($A148,'[96]10月'!$A:$H,8,0),0)</f>
        <v>0</v>
      </c>
      <c r="AI148" s="688">
        <f>IFERROR(VLOOKUP($A148,'[96]11月'!$A:$H,8,0),0)</f>
        <v>0</v>
      </c>
      <c r="AJ148" s="688">
        <f>IFERROR(VLOOKUP($A148,'[96]12月'!$A:$H,8,0),0)</f>
        <v>0</v>
      </c>
      <c r="AK148" s="688">
        <f t="shared" si="58"/>
        <v>0</v>
      </c>
    </row>
    <row r="149" spans="1:37" ht="13.5" customHeight="1">
      <c r="A149" s="653" t="str">
        <f>'Budget-合并'!A149</f>
        <v>6602.22</v>
      </c>
      <c r="B149" s="653" t="str">
        <f>'Budget-合并'!B149</f>
        <v>工会经费</v>
      </c>
      <c r="C149" s="687">
        <f>'Budget-合并'!C149</f>
        <v>0</v>
      </c>
      <c r="D149" s="676">
        <f t="shared" si="53"/>
        <v>0</v>
      </c>
      <c r="E149" s="676">
        <f t="shared" si="54"/>
        <v>0</v>
      </c>
      <c r="F149" s="676">
        <f t="shared" si="55"/>
        <v>0</v>
      </c>
      <c r="G149" s="676">
        <f t="shared" ca="1" si="56"/>
        <v>0</v>
      </c>
      <c r="H149" s="676">
        <f t="shared" ca="1" si="52"/>
        <v>0</v>
      </c>
      <c r="I149" s="676">
        <f t="shared" ca="1" si="57"/>
        <v>0</v>
      </c>
      <c r="K149" s="676"/>
      <c r="L149" s="676"/>
      <c r="M149" s="676"/>
      <c r="N149" s="676"/>
      <c r="O149" s="676"/>
      <c r="P149" s="676"/>
      <c r="Q149" s="676"/>
      <c r="R149" s="676"/>
      <c r="S149" s="676"/>
      <c r="T149" s="676"/>
      <c r="U149" s="676"/>
      <c r="V149" s="676"/>
      <c r="W149" s="676">
        <f t="shared" si="45"/>
        <v>0</v>
      </c>
      <c r="Y149" s="688">
        <f>IFERROR(VLOOKUP($A149,'[96]1月'!$A:$H,8,0),0)</f>
        <v>0</v>
      </c>
      <c r="Z149" s="688">
        <f>IFERROR(VLOOKUP($A149,'[96]2月'!$A:$H,8,0),0)</f>
        <v>0</v>
      </c>
      <c r="AA149" s="688">
        <f>IFERROR(VLOOKUP($A149,'[96]3月'!$A:$H,8,0),0)</f>
        <v>0</v>
      </c>
      <c r="AB149" s="688">
        <f>IFERROR(VLOOKUP($A149,'[96]4月'!$A:$H,8,0),0)</f>
        <v>0</v>
      </c>
      <c r="AC149" s="688">
        <f>IFERROR(VLOOKUP($A149,'[96]5月'!$A:$H,8,0),0)</f>
        <v>0</v>
      </c>
      <c r="AD149" s="688">
        <f>IFERROR(VLOOKUP($A149,'[96]6月'!$A:$H,8,0),0)</f>
        <v>0</v>
      </c>
      <c r="AE149" s="688">
        <f>IFERROR(VLOOKUP($A149,'[96]7月'!$A:$H,8,0),0)</f>
        <v>0</v>
      </c>
      <c r="AF149" s="688">
        <f>IFERROR(VLOOKUP($A149,'[96]8月'!$A:$H,8,0),0)</f>
        <v>0</v>
      </c>
      <c r="AG149" s="688">
        <f>IFERROR(VLOOKUP($A149,'[96]9月'!$A:$H,8,0),0)</f>
        <v>0</v>
      </c>
      <c r="AH149" s="688">
        <f>IFERROR(VLOOKUP($A149,'[96]10月'!$A:$H,8,0),0)</f>
        <v>0</v>
      </c>
      <c r="AI149" s="688">
        <f>IFERROR(VLOOKUP($A149,'[96]11月'!$A:$H,8,0),0)</f>
        <v>0</v>
      </c>
      <c r="AJ149" s="688">
        <f>IFERROR(VLOOKUP($A149,'[96]12月'!$A:$H,8,0),0)</f>
        <v>0</v>
      </c>
      <c r="AK149" s="688">
        <f t="shared" si="58"/>
        <v>0</v>
      </c>
    </row>
    <row r="150" spans="1:37" ht="13.5" customHeight="1">
      <c r="A150" s="653" t="str">
        <f>'Budget-合并'!A150</f>
        <v>6602.23</v>
      </c>
      <c r="B150" s="653" t="str">
        <f>'Budget-合并'!B150</f>
        <v>无形资产摊销</v>
      </c>
      <c r="C150" s="687" t="str">
        <f>'Budget-合并'!C150</f>
        <v>Contract Intangibles - Amortization</v>
      </c>
      <c r="D150" s="676">
        <f t="shared" si="53"/>
        <v>0</v>
      </c>
      <c r="E150" s="676">
        <f t="shared" si="54"/>
        <v>0</v>
      </c>
      <c r="F150" s="676">
        <f t="shared" si="55"/>
        <v>0</v>
      </c>
      <c r="G150" s="676">
        <f t="shared" ca="1" si="56"/>
        <v>0</v>
      </c>
      <c r="H150" s="676">
        <f t="shared" ca="1" si="52"/>
        <v>0</v>
      </c>
      <c r="I150" s="676">
        <f t="shared" ca="1" si="57"/>
        <v>0</v>
      </c>
      <c r="K150" s="676"/>
      <c r="L150" s="676"/>
      <c r="M150" s="676"/>
      <c r="N150" s="676"/>
      <c r="O150" s="676"/>
      <c r="P150" s="676"/>
      <c r="Q150" s="676"/>
      <c r="R150" s="676"/>
      <c r="S150" s="676"/>
      <c r="T150" s="676"/>
      <c r="U150" s="676"/>
      <c r="V150" s="676"/>
      <c r="W150" s="676">
        <f t="shared" si="45"/>
        <v>0</v>
      </c>
      <c r="Y150" s="688">
        <f>IFERROR(VLOOKUP($A150,'[96]1月'!$A:$H,8,0),0)</f>
        <v>0</v>
      </c>
      <c r="Z150" s="688">
        <f>IFERROR(VLOOKUP($A150,'[96]2月'!$A:$H,8,0),0)</f>
        <v>0</v>
      </c>
      <c r="AA150" s="688">
        <f>IFERROR(VLOOKUP($A150,'[96]3月'!$A:$H,8,0),0)</f>
        <v>0</v>
      </c>
      <c r="AB150" s="688">
        <f>IFERROR(VLOOKUP($A150,'[96]4月'!$A:$H,8,0),0)</f>
        <v>0</v>
      </c>
      <c r="AC150" s="688">
        <f>IFERROR(VLOOKUP($A150,'[96]5月'!$A:$H,8,0),0)</f>
        <v>0</v>
      </c>
      <c r="AD150" s="688">
        <f>IFERROR(VLOOKUP($A150,'[96]6月'!$A:$H,8,0),0)</f>
        <v>0</v>
      </c>
      <c r="AE150" s="688">
        <f>IFERROR(VLOOKUP($A150,'[96]7月'!$A:$H,8,0),0)</f>
        <v>0</v>
      </c>
      <c r="AF150" s="688">
        <f>IFERROR(VLOOKUP($A150,'[96]8月'!$A:$H,8,0),0)</f>
        <v>0</v>
      </c>
      <c r="AG150" s="688">
        <f>IFERROR(VLOOKUP($A150,'[96]9月'!$A:$H,8,0),0)</f>
        <v>0</v>
      </c>
      <c r="AH150" s="688">
        <f>IFERROR(VLOOKUP($A150,'[96]10月'!$A:$H,8,0),0)</f>
        <v>0</v>
      </c>
      <c r="AI150" s="688">
        <f>IFERROR(VLOOKUP($A150,'[96]11月'!$A:$H,8,0),0)</f>
        <v>0</v>
      </c>
      <c r="AJ150" s="688">
        <f>IFERROR(VLOOKUP($A150,'[96]12月'!$A:$H,8,0),0)</f>
        <v>0</v>
      </c>
      <c r="AK150" s="688">
        <f t="shared" si="58"/>
        <v>0</v>
      </c>
    </row>
    <row r="151" spans="1:37" ht="13.5" customHeight="1">
      <c r="A151" s="653" t="str">
        <f>'Budget-合并'!A151</f>
        <v>6602.24</v>
      </c>
      <c r="B151" s="653" t="str">
        <f>'Budget-合并'!B151</f>
        <v>监管费用</v>
      </c>
      <c r="C151" s="687" t="str">
        <f>'Budget-合并'!C151</f>
        <v xml:space="preserve">Regulatory fees </v>
      </c>
      <c r="D151" s="676">
        <f t="shared" si="53"/>
        <v>0</v>
      </c>
      <c r="E151" s="676">
        <f t="shared" si="54"/>
        <v>0</v>
      </c>
      <c r="F151" s="676">
        <f t="shared" si="55"/>
        <v>0</v>
      </c>
      <c r="G151" s="676">
        <f t="shared" ca="1" si="56"/>
        <v>0</v>
      </c>
      <c r="H151" s="676">
        <f t="shared" ca="1" si="52"/>
        <v>0</v>
      </c>
      <c r="I151" s="676">
        <f t="shared" ca="1" si="57"/>
        <v>0</v>
      </c>
      <c r="K151" s="676"/>
      <c r="L151" s="676"/>
      <c r="M151" s="676"/>
      <c r="N151" s="676"/>
      <c r="O151" s="676"/>
      <c r="P151" s="676"/>
      <c r="Q151" s="676"/>
      <c r="R151" s="676"/>
      <c r="S151" s="676"/>
      <c r="T151" s="676"/>
      <c r="U151" s="676"/>
      <c r="V151" s="676"/>
      <c r="W151" s="676">
        <f t="shared" ref="W151:W154" si="67">SUM(K151:V151)</f>
        <v>0</v>
      </c>
      <c r="Y151" s="688">
        <f>IFERROR(VLOOKUP($A151,'[96]1月'!$A:$H,8,0),0)</f>
        <v>0</v>
      </c>
      <c r="Z151" s="688">
        <f>IFERROR(VLOOKUP($A151,'[96]2月'!$A:$H,8,0),0)</f>
        <v>0</v>
      </c>
      <c r="AA151" s="688">
        <f>IFERROR(VLOOKUP($A151,'[96]3月'!$A:$H,8,0),0)</f>
        <v>0</v>
      </c>
      <c r="AB151" s="688">
        <f>IFERROR(VLOOKUP($A151,'[96]4月'!$A:$H,8,0),0)</f>
        <v>0</v>
      </c>
      <c r="AC151" s="688">
        <f>IFERROR(VLOOKUP($A151,'[96]5月'!$A:$H,8,0),0)</f>
        <v>0</v>
      </c>
      <c r="AD151" s="688">
        <f>IFERROR(VLOOKUP($A151,'[96]6月'!$A:$H,8,0),0)</f>
        <v>0</v>
      </c>
      <c r="AE151" s="688">
        <f>IFERROR(VLOOKUP($A151,'[96]7月'!$A:$H,8,0),0)</f>
        <v>0</v>
      </c>
      <c r="AF151" s="688">
        <f>IFERROR(VLOOKUP($A151,'[96]8月'!$A:$H,8,0),0)</f>
        <v>0</v>
      </c>
      <c r="AG151" s="688">
        <f>IFERROR(VLOOKUP($A151,'[96]9月'!$A:$H,8,0),0)</f>
        <v>0</v>
      </c>
      <c r="AH151" s="688">
        <f>IFERROR(VLOOKUP($A151,'[96]10月'!$A:$H,8,0),0)</f>
        <v>0</v>
      </c>
      <c r="AI151" s="688">
        <f>IFERROR(VLOOKUP($A151,'[96]11月'!$A:$H,8,0),0)</f>
        <v>0</v>
      </c>
      <c r="AJ151" s="688">
        <f>IFERROR(VLOOKUP($A151,'[96]12月'!$A:$H,8,0),0)</f>
        <v>0</v>
      </c>
      <c r="AK151" s="688">
        <f t="shared" si="58"/>
        <v>0</v>
      </c>
    </row>
    <row r="152" spans="1:37" ht="13.5" customHeight="1">
      <c r="A152" s="653" t="str">
        <f>'Budget-合并'!A152</f>
        <v>6602.99</v>
      </c>
      <c r="B152" s="653" t="str">
        <f>'Budget-合并'!B152</f>
        <v>其他</v>
      </c>
      <c r="C152" s="687" t="str">
        <f>'Budget-合并'!C152</f>
        <v>Admin Other</v>
      </c>
      <c r="D152" s="676">
        <f t="shared" si="53"/>
        <v>0</v>
      </c>
      <c r="E152" s="676">
        <f t="shared" si="54"/>
        <v>0</v>
      </c>
      <c r="F152" s="676">
        <f t="shared" si="55"/>
        <v>0</v>
      </c>
      <c r="G152" s="676">
        <f t="shared" ca="1" si="56"/>
        <v>0</v>
      </c>
      <c r="H152" s="676">
        <f t="shared" ca="1" si="52"/>
        <v>0</v>
      </c>
      <c r="I152" s="676">
        <f t="shared" ca="1" si="57"/>
        <v>0</v>
      </c>
      <c r="K152" s="676">
        <f>SUMIFS('Prof. Fee'!AF$3:AF$150,'Prof. Fee'!$B$3:$B$150,$D$1,'Prof. Fee'!$D$3:$D$150,$A152)+SUMIFS('Other Exp'!AG$3:AG$196,'Other Exp'!$B$3:$B$196,$D$1,'Other Exp'!$C$3:$C$196,$A152)</f>
        <v>0</v>
      </c>
      <c r="L152" s="676">
        <f>SUMIFS('Prof. Fee'!AG$3:AG$150,'Prof. Fee'!$B$3:$B$150,$D$1,'Prof. Fee'!$D$3:$D$150,$A152)+SUMIFS('Other Exp'!AH$3:AH$196,'Other Exp'!$B$3:$B$196,$D$1,'Other Exp'!$C$3:$C$196,$A152)</f>
        <v>0</v>
      </c>
      <c r="M152" s="676">
        <f>SUMIFS('Prof. Fee'!AH$3:AH$150,'Prof. Fee'!$B$3:$B$150,$D$1,'Prof. Fee'!$D$3:$D$150,$A152)+SUMIFS('Other Exp'!AI$3:AI$196,'Other Exp'!$B$3:$B$196,$D$1,'Other Exp'!$C$3:$C$196,$A152)</f>
        <v>0</v>
      </c>
      <c r="N152" s="676">
        <f>SUMIFS('Prof. Fee'!AI$3:AI$150,'Prof. Fee'!$B$3:$B$150,$D$1,'Prof. Fee'!$D$3:$D$150,$A152)+SUMIFS('Other Exp'!AJ$3:AJ$196,'Other Exp'!$B$3:$B$196,$D$1,'Other Exp'!$C$3:$C$196,$A152)</f>
        <v>0</v>
      </c>
      <c r="O152" s="676">
        <f>SUMIFS('Prof. Fee'!AJ$3:AJ$150,'Prof. Fee'!$B$3:$B$150,$D$1,'Prof. Fee'!$D$3:$D$150,$A152)+SUMIFS('Other Exp'!AK$3:AK$196,'Other Exp'!$B$3:$B$196,$D$1,'Other Exp'!$C$3:$C$196,$A152)</f>
        <v>0</v>
      </c>
      <c r="P152" s="676">
        <f>SUMIFS('Prof. Fee'!AK$3:AK$150,'Prof. Fee'!$B$3:$B$150,$D$1,'Prof. Fee'!$D$3:$D$150,$A152)+SUMIFS('Other Exp'!AL$3:AL$196,'Other Exp'!$B$3:$B$196,$D$1,'Other Exp'!$C$3:$C$196,$A152)</f>
        <v>0</v>
      </c>
      <c r="Q152" s="676">
        <f>SUMIFS('Prof. Fee'!AL$3:AL$150,'Prof. Fee'!$B$3:$B$150,$D$1,'Prof. Fee'!$D$3:$D$150,$A152)+SUMIFS('Other Exp'!AM$3:AM$196,'Other Exp'!$B$3:$B$196,$D$1,'Other Exp'!$C$3:$C$196,$A152)</f>
        <v>0</v>
      </c>
      <c r="R152" s="676">
        <f>SUMIFS('Prof. Fee'!AM$3:AM$150,'Prof. Fee'!$B$3:$B$150,$D$1,'Prof. Fee'!$D$3:$D$150,$A152)+SUMIFS('Other Exp'!AN$3:AN$196,'Other Exp'!$B$3:$B$196,$D$1,'Other Exp'!$C$3:$C$196,$A152)</f>
        <v>0</v>
      </c>
      <c r="S152" s="676">
        <f>SUMIFS('Prof. Fee'!AN$3:AN$150,'Prof. Fee'!$B$3:$B$150,$D$1,'Prof. Fee'!$D$3:$D$150,$A152)+SUMIFS('Other Exp'!AO$3:AO$196,'Other Exp'!$B$3:$B$196,$D$1,'Other Exp'!$C$3:$C$196,$A152)</f>
        <v>0</v>
      </c>
      <c r="T152" s="676">
        <f>SUMIFS('Prof. Fee'!AO$3:AO$150,'Prof. Fee'!$B$3:$B$150,$D$1,'Prof. Fee'!$D$3:$D$150,$A152)+SUMIFS('Other Exp'!AP$3:AP$196,'Other Exp'!$B$3:$B$196,$D$1,'Other Exp'!$C$3:$C$196,$A152)</f>
        <v>0</v>
      </c>
      <c r="U152" s="676">
        <f>SUMIFS('Prof. Fee'!AP$3:AP$150,'Prof. Fee'!$B$3:$B$150,$D$1,'Prof. Fee'!$D$3:$D$150,$A152)+SUMIFS('Other Exp'!AQ$3:AQ$196,'Other Exp'!$B$3:$B$196,$D$1,'Other Exp'!$C$3:$C$196,$A152)</f>
        <v>0</v>
      </c>
      <c r="V152" s="676">
        <f>SUMIFS('Prof. Fee'!AQ$3:AQ$150,'Prof. Fee'!$B$3:$B$150,$D$1,'Prof. Fee'!$D$3:$D$150,$A152)+SUMIFS('Other Exp'!AR$3:AR$196,'Other Exp'!$B$3:$B$196,$D$1,'Other Exp'!$C$3:$C$196,$A152)</f>
        <v>0</v>
      </c>
      <c r="W152" s="676">
        <f t="shared" si="67"/>
        <v>0</v>
      </c>
      <c r="Y152" s="688">
        <f>IFERROR(VLOOKUP($A152,'[96]1月'!$A:$H,8,0),0)</f>
        <v>0</v>
      </c>
      <c r="Z152" s="688">
        <f>IFERROR(VLOOKUP($A152,'[96]2月'!$A:$H,8,0),0)</f>
        <v>0</v>
      </c>
      <c r="AA152" s="688">
        <f>IFERROR(VLOOKUP($A152,'[96]3月'!$A:$H,8,0),0)</f>
        <v>0</v>
      </c>
      <c r="AB152" s="688">
        <f>IFERROR(VLOOKUP($A152,'[96]4月'!$A:$H,8,0),0)</f>
        <v>0</v>
      </c>
      <c r="AC152" s="688">
        <f>IFERROR(VLOOKUP($A152,'[96]5月'!$A:$H,8,0),0)</f>
        <v>0</v>
      </c>
      <c r="AD152" s="688">
        <f>IFERROR(VLOOKUP($A152,'[96]6月'!$A:$H,8,0),0)</f>
        <v>0</v>
      </c>
      <c r="AE152" s="688">
        <f>IFERROR(VLOOKUP($A152,'[96]7月'!$A:$H,8,0),0)</f>
        <v>0</v>
      </c>
      <c r="AF152" s="688">
        <f>IFERROR(VLOOKUP($A152,'[96]8月'!$A:$H,8,0),0)</f>
        <v>0</v>
      </c>
      <c r="AG152" s="688">
        <f>IFERROR(VLOOKUP($A152,'[96]9月'!$A:$H,8,0),0)</f>
        <v>0</v>
      </c>
      <c r="AH152" s="688">
        <f>IFERROR(VLOOKUP($A152,'[96]10月'!$A:$H,8,0),0)</f>
        <v>0</v>
      </c>
      <c r="AI152" s="688">
        <f>IFERROR(VLOOKUP($A152,'[96]11月'!$A:$H,8,0),0)</f>
        <v>0</v>
      </c>
      <c r="AJ152" s="688">
        <f>IFERROR(VLOOKUP($A152,'[96]12月'!$A:$H,8,0),0)</f>
        <v>0</v>
      </c>
      <c r="AK152" s="688">
        <f t="shared" si="58"/>
        <v>0</v>
      </c>
    </row>
    <row r="153" spans="1:37" ht="13.5" customHeight="1">
      <c r="A153" s="686">
        <f>'Budget-合并'!A153</f>
        <v>0</v>
      </c>
      <c r="B153" s="686" t="str">
        <f>'Budget-合并'!B153</f>
        <v>管理费用合计</v>
      </c>
      <c r="C153" s="687">
        <f>'Budget-合并'!C153</f>
        <v>0</v>
      </c>
      <c r="D153" s="654">
        <f t="shared" si="53"/>
        <v>0</v>
      </c>
      <c r="E153" s="654">
        <f t="shared" si="54"/>
        <v>0</v>
      </c>
      <c r="F153" s="654">
        <f t="shared" si="55"/>
        <v>0</v>
      </c>
      <c r="G153" s="677">
        <f t="shared" ca="1" si="56"/>
        <v>0</v>
      </c>
      <c r="H153" s="677">
        <f t="shared" ca="1" si="52"/>
        <v>0</v>
      </c>
      <c r="I153" s="677">
        <f t="shared" ca="1" si="57"/>
        <v>0</v>
      </c>
      <c r="K153" s="677">
        <f t="shared" ref="K153:V153" si="68">SUM(K44,K62,K75,K79,K80,K92,K127,K132,K140:K152)</f>
        <v>0</v>
      </c>
      <c r="L153" s="677">
        <f t="shared" si="68"/>
        <v>0</v>
      </c>
      <c r="M153" s="677">
        <f t="shared" si="68"/>
        <v>0</v>
      </c>
      <c r="N153" s="677">
        <f t="shared" si="68"/>
        <v>0</v>
      </c>
      <c r="O153" s="677">
        <f t="shared" si="68"/>
        <v>0</v>
      </c>
      <c r="P153" s="677">
        <f t="shared" si="68"/>
        <v>17000</v>
      </c>
      <c r="Q153" s="677">
        <f t="shared" si="68"/>
        <v>0</v>
      </c>
      <c r="R153" s="677">
        <f t="shared" si="68"/>
        <v>0</v>
      </c>
      <c r="S153" s="677">
        <f t="shared" si="68"/>
        <v>0</v>
      </c>
      <c r="T153" s="677">
        <f t="shared" si="68"/>
        <v>0</v>
      </c>
      <c r="U153" s="677">
        <f t="shared" si="68"/>
        <v>0</v>
      </c>
      <c r="V153" s="677">
        <f t="shared" si="68"/>
        <v>3000</v>
      </c>
      <c r="W153" s="677">
        <f t="shared" si="67"/>
        <v>20000</v>
      </c>
      <c r="Y153" s="677">
        <f t="shared" ref="Y153:AK153" si="69">SUM(Y44,Y62,Y75,Y79,Y80,Y92,Y127,Y132,Y140:Y152)</f>
        <v>0</v>
      </c>
      <c r="Z153" s="677">
        <f t="shared" si="69"/>
        <v>0</v>
      </c>
      <c r="AA153" s="677">
        <f t="shared" si="69"/>
        <v>0</v>
      </c>
      <c r="AB153" s="677">
        <f t="shared" si="69"/>
        <v>0</v>
      </c>
      <c r="AC153" s="677">
        <f t="shared" si="69"/>
        <v>0</v>
      </c>
      <c r="AD153" s="677">
        <f t="shared" si="69"/>
        <v>0</v>
      </c>
      <c r="AE153" s="677">
        <f t="shared" si="69"/>
        <v>0</v>
      </c>
      <c r="AF153" s="677">
        <f t="shared" si="69"/>
        <v>0</v>
      </c>
      <c r="AG153" s="677">
        <f t="shared" si="69"/>
        <v>0</v>
      </c>
      <c r="AH153" s="677">
        <f t="shared" si="69"/>
        <v>0</v>
      </c>
      <c r="AI153" s="677">
        <f t="shared" si="69"/>
        <v>0</v>
      </c>
      <c r="AJ153" s="677">
        <f t="shared" si="69"/>
        <v>0</v>
      </c>
      <c r="AK153" s="677">
        <f t="shared" si="69"/>
        <v>0</v>
      </c>
    </row>
    <row r="154" spans="1:37" ht="13.5" customHeight="1">
      <c r="A154" s="653">
        <f>'Budget-合并'!A154</f>
        <v>0</v>
      </c>
      <c r="B154" s="653">
        <f>'Budget-合并'!B154</f>
        <v>0</v>
      </c>
      <c r="C154" s="687">
        <f>'Budget-合并'!C154</f>
        <v>0</v>
      </c>
      <c r="W154" s="652">
        <f t="shared" si="67"/>
        <v>0</v>
      </c>
    </row>
    <row r="155" spans="1:37" ht="13.5" customHeight="1">
      <c r="A155" s="686" t="str">
        <f>'Budget-合并'!A155</f>
        <v>6603</v>
      </c>
      <c r="B155" s="686" t="str">
        <f>'Budget-合并'!B155</f>
        <v>财务费用</v>
      </c>
      <c r="C155" s="687">
        <f>'Budget-合并'!C155</f>
        <v>0</v>
      </c>
      <c r="D155" s="677"/>
      <c r="E155" s="677"/>
      <c r="F155" s="677"/>
      <c r="G155" s="677"/>
      <c r="H155" s="677"/>
      <c r="I155" s="677"/>
      <c r="K155" s="677"/>
      <c r="L155" s="677"/>
      <c r="M155" s="677"/>
      <c r="N155" s="677"/>
      <c r="O155" s="677"/>
      <c r="P155" s="677"/>
      <c r="Q155" s="677"/>
      <c r="R155" s="677"/>
      <c r="S155" s="677"/>
      <c r="T155" s="677"/>
      <c r="U155" s="677"/>
      <c r="V155" s="677"/>
      <c r="W155" s="677"/>
    </row>
    <row r="156" spans="1:37" ht="13.5" customHeight="1">
      <c r="A156" s="653" t="str">
        <f>'Budget-合并'!A156</f>
        <v>6603.01</v>
      </c>
      <c r="B156" s="653" t="str">
        <f>'Budget-合并'!B156</f>
        <v>汇兑损益</v>
      </c>
      <c r="C156" s="687" t="str">
        <f>'Budget-合并'!C156</f>
        <v>FX Gain/Loss Net</v>
      </c>
      <c r="D156" s="676">
        <f t="shared" ref="D156:D172" si="70">INDEX($K156:$V156,1,MATCH($D$6,$K$6:$V$6))</f>
        <v>0</v>
      </c>
      <c r="E156" s="676">
        <f t="shared" ref="E156:E172" si="71">INDEX($Y156:$AJ156,1,MATCH($E$6,$Y$6:$AJ$6))</f>
        <v>0</v>
      </c>
      <c r="F156" s="676">
        <f t="shared" ref="F156:F172" si="72">D156-E156</f>
        <v>0</v>
      </c>
      <c r="G156" s="676">
        <f t="shared" ref="G156:G172" ca="1" si="73">SUM($K156:OFFSET($K156,0,MATCH(G$6,$K$6:$V$6)-1))</f>
        <v>0</v>
      </c>
      <c r="H156" s="676">
        <f t="shared" ref="H156:H172" ca="1" si="74">SUM($Y156:OFFSET($Y156,0,MATCH(H$6,$Y$6:$AJ$6)-1))</f>
        <v>0</v>
      </c>
      <c r="I156" s="676">
        <f t="shared" ref="I156:I172" ca="1" si="75">G156-H156</f>
        <v>0</v>
      </c>
      <c r="K156" s="676"/>
      <c r="L156" s="676"/>
      <c r="M156" s="676"/>
      <c r="N156" s="676"/>
      <c r="O156" s="676"/>
      <c r="P156" s="676"/>
      <c r="Q156" s="676"/>
      <c r="R156" s="676"/>
      <c r="S156" s="676"/>
      <c r="T156" s="676"/>
      <c r="U156" s="676"/>
      <c r="V156" s="676"/>
      <c r="W156" s="676">
        <f t="shared" ref="W156:W171" si="76">SUM(K156:V156)</f>
        <v>0</v>
      </c>
      <c r="Y156" s="688">
        <f>IFERROR(VLOOKUP($A156,'[96]1月'!$A:$H,8,0),0)</f>
        <v>0</v>
      </c>
      <c r="Z156" s="688">
        <f>IFERROR(VLOOKUP($A156,'[96]2月'!$A:$H,8,0),0)</f>
        <v>0</v>
      </c>
      <c r="AA156" s="688">
        <f>IFERROR(VLOOKUP($A156,'[96]3月'!$A:$H,8,0),0)</f>
        <v>0</v>
      </c>
      <c r="AB156" s="688">
        <f>IFERROR(VLOOKUP($A156,'[96]4月'!$A:$H,8,0),0)</f>
        <v>0</v>
      </c>
      <c r="AC156" s="688">
        <f>IFERROR(VLOOKUP($A156,'[96]5月'!$A:$H,8,0),0)</f>
        <v>0</v>
      </c>
      <c r="AD156" s="688">
        <f>IFERROR(VLOOKUP($A156,'[96]6月'!$A:$H,8,0),0)</f>
        <v>0</v>
      </c>
      <c r="AE156" s="688">
        <f>IFERROR(VLOOKUP($A156,'[96]7月'!$A:$H,8,0),0)</f>
        <v>0</v>
      </c>
      <c r="AF156" s="688">
        <f>IFERROR(VLOOKUP($A156,'[96]8月'!$A:$H,8,0),0)</f>
        <v>0</v>
      </c>
      <c r="AG156" s="688">
        <f>IFERROR(VLOOKUP($A156,'[96]9月'!$A:$H,8,0),0)</f>
        <v>0</v>
      </c>
      <c r="AH156" s="688">
        <f>IFERROR(VLOOKUP($A156,'[96]10月'!$A:$H,8,0),0)</f>
        <v>0</v>
      </c>
      <c r="AI156" s="688">
        <f>IFERROR(VLOOKUP($A156,'[96]11月'!$A:$H,8,0),0)</f>
        <v>0</v>
      </c>
      <c r="AJ156" s="688">
        <f>IFERROR(VLOOKUP($A156,'[96]12月'!$A:$H,8,0),0)</f>
        <v>0</v>
      </c>
      <c r="AK156" s="688">
        <f t="shared" ref="AK156:AK171" si="77">SUM(Y156:AJ156)</f>
        <v>0</v>
      </c>
    </row>
    <row r="157" spans="1:37" ht="13.5" customHeight="1">
      <c r="A157" s="663" t="str">
        <f>'Budget-合并'!A157</f>
        <v>6603.02</v>
      </c>
      <c r="B157" s="663" t="str">
        <f>'Budget-合并'!B157</f>
        <v>利息费用</v>
      </c>
      <c r="C157" s="687">
        <f>'Budget-合并'!C157</f>
        <v>0</v>
      </c>
      <c r="D157" s="676">
        <f t="shared" si="70"/>
        <v>0</v>
      </c>
      <c r="E157" s="676">
        <f t="shared" si="71"/>
        <v>0</v>
      </c>
      <c r="F157" s="676">
        <f t="shared" si="72"/>
        <v>0</v>
      </c>
      <c r="G157" s="676">
        <f t="shared" ca="1" si="73"/>
        <v>0</v>
      </c>
      <c r="H157" s="676">
        <f t="shared" ca="1" si="74"/>
        <v>0</v>
      </c>
      <c r="I157" s="676">
        <f t="shared" ca="1" si="75"/>
        <v>0</v>
      </c>
      <c r="K157" s="676"/>
      <c r="L157" s="676"/>
      <c r="M157" s="676"/>
      <c r="N157" s="676"/>
      <c r="O157" s="676"/>
      <c r="P157" s="676"/>
      <c r="Q157" s="676"/>
      <c r="R157" s="676"/>
      <c r="S157" s="676"/>
      <c r="T157" s="676"/>
      <c r="U157" s="676"/>
      <c r="V157" s="676"/>
      <c r="W157" s="676">
        <f t="shared" si="76"/>
        <v>0</v>
      </c>
      <c r="Y157" s="688">
        <f>IFERROR(VLOOKUP($A157,'[96]1月'!$A:$H,8,0),0)</f>
        <v>0</v>
      </c>
      <c r="Z157" s="688">
        <f>IFERROR(VLOOKUP($A157,'[96]2月'!$A:$H,8,0),0)</f>
        <v>0</v>
      </c>
      <c r="AA157" s="688">
        <f>IFERROR(VLOOKUP($A157,'[96]3月'!$A:$H,8,0),0)</f>
        <v>0</v>
      </c>
      <c r="AB157" s="688">
        <f>IFERROR(VLOOKUP($A157,'[96]4月'!$A:$H,8,0),0)</f>
        <v>0</v>
      </c>
      <c r="AC157" s="688">
        <f>IFERROR(VLOOKUP($A157,'[96]5月'!$A:$H,8,0),0)</f>
        <v>0</v>
      </c>
      <c r="AD157" s="688">
        <f>IFERROR(VLOOKUP($A157,'[96]6月'!$A:$H,8,0),0)</f>
        <v>0</v>
      </c>
      <c r="AE157" s="688">
        <f>IFERROR(VLOOKUP($A157,'[96]7月'!$A:$H,8,0),0)</f>
        <v>0</v>
      </c>
      <c r="AF157" s="688">
        <f>IFERROR(VLOOKUP($A157,'[96]8月'!$A:$H,8,0),0)</f>
        <v>0</v>
      </c>
      <c r="AG157" s="688">
        <f>IFERROR(VLOOKUP($A157,'[96]9月'!$A:$H,8,0),0)</f>
        <v>0</v>
      </c>
      <c r="AH157" s="688">
        <f>IFERROR(VLOOKUP($A157,'[96]10月'!$A:$H,8,0),0)</f>
        <v>0</v>
      </c>
      <c r="AI157" s="688">
        <f>IFERROR(VLOOKUP($A157,'[96]11月'!$A:$H,8,0),0)</f>
        <v>0</v>
      </c>
      <c r="AJ157" s="688">
        <f>IFERROR(VLOOKUP($A157,'[96]12月'!$A:$H,8,0),0)</f>
        <v>0</v>
      </c>
      <c r="AK157" s="688">
        <f t="shared" si="77"/>
        <v>0</v>
      </c>
    </row>
    <row r="158" spans="1:37" ht="13.5" customHeight="1">
      <c r="A158" s="653" t="str">
        <f>'Budget-合并'!A158</f>
        <v>6603.02.01</v>
      </c>
      <c r="B158" s="653" t="str">
        <f>'Budget-合并'!B158</f>
        <v>打印机租赁</v>
      </c>
      <c r="C158" s="687">
        <f>'Budget-合并'!C158</f>
        <v>0</v>
      </c>
      <c r="D158" s="676">
        <f t="shared" si="70"/>
        <v>0</v>
      </c>
      <c r="E158" s="676">
        <f t="shared" si="71"/>
        <v>0</v>
      </c>
      <c r="F158" s="676">
        <f t="shared" si="72"/>
        <v>0</v>
      </c>
      <c r="G158" s="676">
        <f t="shared" ca="1" si="73"/>
        <v>0</v>
      </c>
      <c r="H158" s="676">
        <f t="shared" ca="1" si="74"/>
        <v>0</v>
      </c>
      <c r="I158" s="676">
        <f t="shared" ca="1" si="75"/>
        <v>0</v>
      </c>
      <c r="K158" s="676"/>
      <c r="L158" s="676"/>
      <c r="M158" s="676"/>
      <c r="N158" s="676"/>
      <c r="O158" s="676"/>
      <c r="P158" s="676"/>
      <c r="Q158" s="676"/>
      <c r="R158" s="676"/>
      <c r="S158" s="676"/>
      <c r="T158" s="676"/>
      <c r="U158" s="676"/>
      <c r="V158" s="676"/>
      <c r="W158" s="676">
        <f t="shared" si="76"/>
        <v>0</v>
      </c>
      <c r="Y158" s="688">
        <f>IFERROR(VLOOKUP($A158,'[96]1月'!$A:$H,8,0),0)</f>
        <v>0</v>
      </c>
      <c r="Z158" s="688">
        <f>IFERROR(VLOOKUP($A158,'[96]2月'!$A:$H,8,0),0)</f>
        <v>0</v>
      </c>
      <c r="AA158" s="688">
        <f>IFERROR(VLOOKUP($A158,'[96]3月'!$A:$H,8,0),0)</f>
        <v>0</v>
      </c>
      <c r="AB158" s="688">
        <f>IFERROR(VLOOKUP($A158,'[96]4月'!$A:$H,8,0),0)</f>
        <v>0</v>
      </c>
      <c r="AC158" s="688">
        <f>IFERROR(VLOOKUP($A158,'[96]5月'!$A:$H,8,0),0)</f>
        <v>0</v>
      </c>
      <c r="AD158" s="688">
        <f>IFERROR(VLOOKUP($A158,'[96]6月'!$A:$H,8,0),0)</f>
        <v>0</v>
      </c>
      <c r="AE158" s="688">
        <f>IFERROR(VLOOKUP($A158,'[96]7月'!$A:$H,8,0),0)</f>
        <v>0</v>
      </c>
      <c r="AF158" s="688">
        <f>IFERROR(VLOOKUP($A158,'[96]8月'!$A:$H,8,0),0)</f>
        <v>0</v>
      </c>
      <c r="AG158" s="688">
        <f>IFERROR(VLOOKUP($A158,'[96]9月'!$A:$H,8,0),0)</f>
        <v>0</v>
      </c>
      <c r="AH158" s="688">
        <f>IFERROR(VLOOKUP($A158,'[96]10月'!$A:$H,8,0),0)</f>
        <v>0</v>
      </c>
      <c r="AI158" s="688">
        <f>IFERROR(VLOOKUP($A158,'[96]11月'!$A:$H,8,0),0)</f>
        <v>0</v>
      </c>
      <c r="AJ158" s="688">
        <f>IFERROR(VLOOKUP($A158,'[96]12月'!$A:$H,8,0),0)</f>
        <v>0</v>
      </c>
      <c r="AK158" s="688">
        <f t="shared" si="77"/>
        <v>0</v>
      </c>
    </row>
    <row r="159" spans="1:37" ht="13.5" customHeight="1">
      <c r="A159" s="653" t="str">
        <f>'Budget-合并'!A159</f>
        <v>6603.02.02</v>
      </c>
      <c r="B159" s="653" t="str">
        <f>'Budget-合并'!B159</f>
        <v>办公地址</v>
      </c>
      <c r="C159" s="687">
        <f>'Budget-合并'!C159</f>
        <v>0</v>
      </c>
      <c r="D159" s="676">
        <f t="shared" si="70"/>
        <v>0</v>
      </c>
      <c r="E159" s="676">
        <f t="shared" si="71"/>
        <v>0</v>
      </c>
      <c r="F159" s="676">
        <f t="shared" si="72"/>
        <v>0</v>
      </c>
      <c r="G159" s="676">
        <f t="shared" ca="1" si="73"/>
        <v>0</v>
      </c>
      <c r="H159" s="676">
        <f t="shared" ca="1" si="74"/>
        <v>0</v>
      </c>
      <c r="I159" s="676">
        <f t="shared" ca="1" si="75"/>
        <v>0</v>
      </c>
      <c r="K159" s="676">
        <f t="shared" ref="K159:V159" si="78">SUM(K160:K161)</f>
        <v>0</v>
      </c>
      <c r="L159" s="676">
        <f t="shared" si="78"/>
        <v>0</v>
      </c>
      <c r="M159" s="676">
        <f t="shared" si="78"/>
        <v>0</v>
      </c>
      <c r="N159" s="676">
        <f t="shared" si="78"/>
        <v>0</v>
      </c>
      <c r="O159" s="676">
        <f t="shared" si="78"/>
        <v>0</v>
      </c>
      <c r="P159" s="676">
        <f t="shared" si="78"/>
        <v>0</v>
      </c>
      <c r="Q159" s="676">
        <f t="shared" si="78"/>
        <v>0</v>
      </c>
      <c r="R159" s="676">
        <f t="shared" si="78"/>
        <v>0</v>
      </c>
      <c r="S159" s="676">
        <f t="shared" si="78"/>
        <v>0</v>
      </c>
      <c r="T159" s="676">
        <f t="shared" si="78"/>
        <v>0</v>
      </c>
      <c r="U159" s="676">
        <f t="shared" si="78"/>
        <v>0</v>
      </c>
      <c r="V159" s="676">
        <f t="shared" si="78"/>
        <v>0</v>
      </c>
      <c r="W159" s="676">
        <f t="shared" si="76"/>
        <v>0</v>
      </c>
      <c r="Y159" s="688">
        <f>IFERROR(VLOOKUP($A159,'[96]1月'!$A:$H,8,0),0)</f>
        <v>0</v>
      </c>
      <c r="Z159" s="688">
        <f>IFERROR(VLOOKUP($A159,'[96]2月'!$A:$H,8,0),0)</f>
        <v>0</v>
      </c>
      <c r="AA159" s="688">
        <f>IFERROR(VLOOKUP($A159,'[96]3月'!$A:$H,8,0),0)</f>
        <v>0</v>
      </c>
      <c r="AB159" s="688">
        <f>IFERROR(VLOOKUP($A159,'[96]4月'!$A:$H,8,0),0)</f>
        <v>0</v>
      </c>
      <c r="AC159" s="688">
        <f>IFERROR(VLOOKUP($A159,'[96]5月'!$A:$H,8,0),0)</f>
        <v>0</v>
      </c>
      <c r="AD159" s="688">
        <f>IFERROR(VLOOKUP($A159,'[96]6月'!$A:$H,8,0),0)</f>
        <v>0</v>
      </c>
      <c r="AE159" s="688">
        <f>IFERROR(VLOOKUP($A159,'[96]7月'!$A:$H,8,0),0)</f>
        <v>0</v>
      </c>
      <c r="AF159" s="688">
        <f>IFERROR(VLOOKUP($A159,'[96]8月'!$A:$H,8,0),0)</f>
        <v>0</v>
      </c>
      <c r="AG159" s="688">
        <f>IFERROR(VLOOKUP($A159,'[96]9月'!$A:$H,8,0),0)</f>
        <v>0</v>
      </c>
      <c r="AH159" s="688">
        <f>IFERROR(VLOOKUP($A159,'[96]10月'!$A:$H,8,0),0)</f>
        <v>0</v>
      </c>
      <c r="AI159" s="688">
        <f>IFERROR(VLOOKUP($A159,'[96]11月'!$A:$H,8,0),0)</f>
        <v>0</v>
      </c>
      <c r="AJ159" s="688">
        <f>IFERROR(VLOOKUP($A159,'[96]12月'!$A:$H,8,0),0)</f>
        <v>0</v>
      </c>
      <c r="AK159" s="688">
        <f t="shared" si="77"/>
        <v>0</v>
      </c>
    </row>
    <row r="160" spans="1:37" ht="13.5" customHeight="1">
      <c r="A160" s="653" t="str">
        <f>'Budget-合并'!A160</f>
        <v>6603.02.02.01</v>
      </c>
      <c r="B160" s="653" t="str">
        <f>'Budget-合并'!B160</f>
        <v>旭智咨询--鼎和大厦1606</v>
      </c>
      <c r="C160" s="687">
        <f>'Budget-合并'!C160</f>
        <v>0</v>
      </c>
      <c r="D160" s="676">
        <f t="shared" si="70"/>
        <v>0</v>
      </c>
      <c r="E160" s="676">
        <f t="shared" si="71"/>
        <v>0</v>
      </c>
      <c r="F160" s="676">
        <f t="shared" si="72"/>
        <v>0</v>
      </c>
      <c r="G160" s="676">
        <f t="shared" ca="1" si="73"/>
        <v>0</v>
      </c>
      <c r="H160" s="676">
        <f t="shared" ca="1" si="74"/>
        <v>0</v>
      </c>
      <c r="I160" s="676">
        <f t="shared" ca="1" si="75"/>
        <v>0</v>
      </c>
      <c r="K160" s="676"/>
      <c r="L160" s="676"/>
      <c r="M160" s="676"/>
      <c r="N160" s="676"/>
      <c r="O160" s="676"/>
      <c r="P160" s="676"/>
      <c r="Q160" s="676"/>
      <c r="R160" s="676"/>
      <c r="S160" s="676"/>
      <c r="T160" s="676"/>
      <c r="U160" s="676"/>
      <c r="V160" s="676"/>
      <c r="W160" s="676">
        <f t="shared" si="76"/>
        <v>0</v>
      </c>
      <c r="Y160" s="688">
        <f>IFERROR(VLOOKUP($A160,'[96]1月'!$A:$H,8,0),0)</f>
        <v>0</v>
      </c>
      <c r="Z160" s="688">
        <f>IFERROR(VLOOKUP($A160,'[96]2月'!$A:$H,8,0),0)</f>
        <v>0</v>
      </c>
      <c r="AA160" s="688">
        <f>IFERROR(VLOOKUP($A160,'[96]3月'!$A:$H,8,0),0)</f>
        <v>0</v>
      </c>
      <c r="AB160" s="688">
        <f>IFERROR(VLOOKUP($A160,'[96]4月'!$A:$H,8,0),0)</f>
        <v>0</v>
      </c>
      <c r="AC160" s="688">
        <f>IFERROR(VLOOKUP($A160,'[96]5月'!$A:$H,8,0),0)</f>
        <v>0</v>
      </c>
      <c r="AD160" s="688">
        <f>IFERROR(VLOOKUP($A160,'[96]6月'!$A:$H,8,0),0)</f>
        <v>0</v>
      </c>
      <c r="AE160" s="688">
        <f>IFERROR(VLOOKUP($A160,'[96]7月'!$A:$H,8,0),0)</f>
        <v>0</v>
      </c>
      <c r="AF160" s="688">
        <f>IFERROR(VLOOKUP($A160,'[96]8月'!$A:$H,8,0),0)</f>
        <v>0</v>
      </c>
      <c r="AG160" s="688">
        <f>IFERROR(VLOOKUP($A160,'[96]9月'!$A:$H,8,0),0)</f>
        <v>0</v>
      </c>
      <c r="AH160" s="688">
        <f>IFERROR(VLOOKUP($A160,'[96]10月'!$A:$H,8,0),0)</f>
        <v>0</v>
      </c>
      <c r="AI160" s="688">
        <f>IFERROR(VLOOKUP($A160,'[96]11月'!$A:$H,8,0),0)</f>
        <v>0</v>
      </c>
      <c r="AJ160" s="688">
        <f>IFERROR(VLOOKUP($A160,'[96]12月'!$A:$H,8,0),0)</f>
        <v>0</v>
      </c>
      <c r="AK160" s="688">
        <f t="shared" si="77"/>
        <v>0</v>
      </c>
    </row>
    <row r="161" spans="1:37" ht="13.5" customHeight="1">
      <c r="A161" s="653" t="str">
        <f>'Budget-合并'!A161</f>
        <v>6603.02.02.02</v>
      </c>
      <c r="B161" s="653" t="str">
        <f>'Budget-合并'!B161</f>
        <v>旭智资本（香港）--冯氏大厦</v>
      </c>
      <c r="C161" s="687" t="str">
        <f>'Budget-合并'!C161</f>
        <v>Interest Expense Lease</v>
      </c>
      <c r="D161" s="676">
        <f t="shared" si="70"/>
        <v>0</v>
      </c>
      <c r="E161" s="676">
        <f t="shared" si="71"/>
        <v>0</v>
      </c>
      <c r="F161" s="676">
        <f t="shared" si="72"/>
        <v>0</v>
      </c>
      <c r="G161" s="676">
        <f t="shared" ca="1" si="73"/>
        <v>0</v>
      </c>
      <c r="H161" s="676">
        <f t="shared" ca="1" si="74"/>
        <v>0</v>
      </c>
      <c r="I161" s="676">
        <f t="shared" ca="1" si="75"/>
        <v>0</v>
      </c>
      <c r="K161" s="676"/>
      <c r="L161" s="676"/>
      <c r="M161" s="676"/>
      <c r="N161" s="676"/>
      <c r="O161" s="676"/>
      <c r="P161" s="676"/>
      <c r="Q161" s="676"/>
      <c r="R161" s="676"/>
      <c r="S161" s="676"/>
      <c r="T161" s="676"/>
      <c r="U161" s="676"/>
      <c r="V161" s="676"/>
      <c r="W161" s="676">
        <f t="shared" si="76"/>
        <v>0</v>
      </c>
      <c r="Y161" s="688">
        <f>IFERROR(VLOOKUP($A161,'[96]1月'!$A:$H,8,0),0)</f>
        <v>0</v>
      </c>
      <c r="Z161" s="688">
        <f>IFERROR(VLOOKUP($A161,'[96]2月'!$A:$H,8,0),0)</f>
        <v>0</v>
      </c>
      <c r="AA161" s="688">
        <f>IFERROR(VLOOKUP($A161,'[96]3月'!$A:$H,8,0),0)</f>
        <v>0</v>
      </c>
      <c r="AB161" s="688">
        <f>IFERROR(VLOOKUP($A161,'[96]4月'!$A:$H,8,0),0)</f>
        <v>0</v>
      </c>
      <c r="AC161" s="688">
        <f>IFERROR(VLOOKUP($A161,'[96]5月'!$A:$H,8,0),0)</f>
        <v>0</v>
      </c>
      <c r="AD161" s="688">
        <f>IFERROR(VLOOKUP($A161,'[96]6月'!$A:$H,8,0),0)</f>
        <v>0</v>
      </c>
      <c r="AE161" s="688">
        <f>IFERROR(VLOOKUP($A161,'[96]7月'!$A:$H,8,0),0)</f>
        <v>0</v>
      </c>
      <c r="AF161" s="688">
        <f>IFERROR(VLOOKUP($A161,'[96]8月'!$A:$H,8,0),0)</f>
        <v>0</v>
      </c>
      <c r="AG161" s="688">
        <f>IFERROR(VLOOKUP($A161,'[96]9月'!$A:$H,8,0),0)</f>
        <v>0</v>
      </c>
      <c r="AH161" s="688">
        <f>IFERROR(VLOOKUP($A161,'[96]10月'!$A:$H,8,0),0)</f>
        <v>0</v>
      </c>
      <c r="AI161" s="688">
        <f>IFERROR(VLOOKUP($A161,'[96]11月'!$A:$H,8,0),0)</f>
        <v>0</v>
      </c>
      <c r="AJ161" s="688">
        <f>IFERROR(VLOOKUP($A161,'[96]12月'!$A:$H,8,0),0)</f>
        <v>0</v>
      </c>
      <c r="AK161" s="688">
        <f t="shared" si="77"/>
        <v>0</v>
      </c>
    </row>
    <row r="162" spans="1:37" ht="13.5" customHeight="1">
      <c r="A162" s="653" t="str">
        <f>'Budget-合并'!A162</f>
        <v>6603.02.03</v>
      </c>
      <c r="B162" s="653" t="str">
        <f>'Budget-合并'!B162</f>
        <v>注册地址</v>
      </c>
      <c r="C162" s="687">
        <f>'Budget-合并'!C162</f>
        <v>0</v>
      </c>
      <c r="D162" s="676">
        <f t="shared" si="70"/>
        <v>0</v>
      </c>
      <c r="E162" s="676">
        <f t="shared" si="71"/>
        <v>0</v>
      </c>
      <c r="F162" s="676">
        <f t="shared" si="72"/>
        <v>0</v>
      </c>
      <c r="G162" s="676">
        <f t="shared" ca="1" si="73"/>
        <v>0</v>
      </c>
      <c r="H162" s="676">
        <f t="shared" ca="1" si="74"/>
        <v>0</v>
      </c>
      <c r="I162" s="676">
        <f t="shared" ca="1" si="75"/>
        <v>0</v>
      </c>
      <c r="K162" s="676">
        <f>SUM(K163:K164)</f>
        <v>0</v>
      </c>
      <c r="L162" s="676">
        <f t="shared" ref="L162:V162" si="79">SUM(L163:L164)</f>
        <v>0</v>
      </c>
      <c r="M162" s="676">
        <f t="shared" si="79"/>
        <v>0</v>
      </c>
      <c r="N162" s="676">
        <f t="shared" si="79"/>
        <v>0</v>
      </c>
      <c r="O162" s="676">
        <f t="shared" si="79"/>
        <v>0</v>
      </c>
      <c r="P162" s="676">
        <f t="shared" si="79"/>
        <v>0</v>
      </c>
      <c r="Q162" s="676">
        <f t="shared" si="79"/>
        <v>0</v>
      </c>
      <c r="R162" s="676">
        <f t="shared" si="79"/>
        <v>0</v>
      </c>
      <c r="S162" s="676">
        <f t="shared" si="79"/>
        <v>0</v>
      </c>
      <c r="T162" s="676">
        <f t="shared" si="79"/>
        <v>0</v>
      </c>
      <c r="U162" s="676">
        <f t="shared" si="79"/>
        <v>0</v>
      </c>
      <c r="V162" s="676">
        <f t="shared" si="79"/>
        <v>0</v>
      </c>
      <c r="W162" s="676">
        <f t="shared" si="76"/>
        <v>0</v>
      </c>
      <c r="Y162" s="688">
        <f>IFERROR(VLOOKUP($A162,'[96]1月'!$A:$H,8,0),0)</f>
        <v>0</v>
      </c>
      <c r="Z162" s="688">
        <f>IFERROR(VLOOKUP($A162,'[96]2月'!$A:$H,8,0),0)</f>
        <v>0</v>
      </c>
      <c r="AA162" s="688">
        <f>IFERROR(VLOOKUP($A162,'[96]3月'!$A:$H,8,0),0)</f>
        <v>0</v>
      </c>
      <c r="AB162" s="688">
        <f>IFERROR(VLOOKUP($A162,'[96]4月'!$A:$H,8,0),0)</f>
        <v>0</v>
      </c>
      <c r="AC162" s="688">
        <f>IFERROR(VLOOKUP($A162,'[96]5月'!$A:$H,8,0),0)</f>
        <v>0</v>
      </c>
      <c r="AD162" s="688">
        <f>IFERROR(VLOOKUP($A162,'[96]6月'!$A:$H,8,0),0)</f>
        <v>0</v>
      </c>
      <c r="AE162" s="688">
        <f>IFERROR(VLOOKUP($A162,'[96]7月'!$A:$H,8,0),0)</f>
        <v>0</v>
      </c>
      <c r="AF162" s="688">
        <f>IFERROR(VLOOKUP($A162,'[96]8月'!$A:$H,8,0),0)</f>
        <v>0</v>
      </c>
      <c r="AG162" s="688">
        <f>IFERROR(VLOOKUP($A162,'[96]9月'!$A:$H,8,0),0)</f>
        <v>0</v>
      </c>
      <c r="AH162" s="688">
        <f>IFERROR(VLOOKUP($A162,'[96]10月'!$A:$H,8,0),0)</f>
        <v>0</v>
      </c>
      <c r="AI162" s="688">
        <f>IFERROR(VLOOKUP($A162,'[96]11月'!$A:$H,8,0),0)</f>
        <v>0</v>
      </c>
      <c r="AJ162" s="688">
        <f>IFERROR(VLOOKUP($A162,'[96]12月'!$A:$H,8,0),0)</f>
        <v>0</v>
      </c>
      <c r="AK162" s="688">
        <f t="shared" si="77"/>
        <v>0</v>
      </c>
    </row>
    <row r="163" spans="1:37" ht="13.5" customHeight="1">
      <c r="A163" s="653" t="str">
        <f>'Budget-合并'!A163</f>
        <v>6603.02.03.01</v>
      </c>
      <c r="B163" s="653" t="str">
        <f>'Budget-合并'!B163</f>
        <v>旭智私募--前海壹号B座701E</v>
      </c>
      <c r="C163" s="687">
        <f>'Budget-合并'!C163</f>
        <v>0</v>
      </c>
      <c r="D163" s="676">
        <f t="shared" si="70"/>
        <v>0</v>
      </c>
      <c r="E163" s="676">
        <f t="shared" si="71"/>
        <v>0</v>
      </c>
      <c r="F163" s="676">
        <f t="shared" si="72"/>
        <v>0</v>
      </c>
      <c r="G163" s="676">
        <f t="shared" ca="1" si="73"/>
        <v>0</v>
      </c>
      <c r="H163" s="676">
        <f t="shared" ca="1" si="74"/>
        <v>0</v>
      </c>
      <c r="I163" s="676">
        <f t="shared" ca="1" si="75"/>
        <v>0</v>
      </c>
      <c r="K163" s="676"/>
      <c r="L163" s="676"/>
      <c r="M163" s="676"/>
      <c r="N163" s="676"/>
      <c r="O163" s="676"/>
      <c r="P163" s="676"/>
      <c r="Q163" s="676"/>
      <c r="R163" s="676"/>
      <c r="S163" s="676"/>
      <c r="T163" s="676"/>
      <c r="U163" s="676"/>
      <c r="V163" s="676"/>
      <c r="W163" s="676">
        <f t="shared" si="76"/>
        <v>0</v>
      </c>
      <c r="Y163" s="688">
        <f>IFERROR(VLOOKUP($A163,'[96]1月'!$A:$H,8,0),0)</f>
        <v>0</v>
      </c>
      <c r="Z163" s="688">
        <f>IFERROR(VLOOKUP($A163,'[96]2月'!$A:$H,8,0),0)</f>
        <v>0</v>
      </c>
      <c r="AA163" s="688">
        <f>IFERROR(VLOOKUP($A163,'[96]3月'!$A:$H,8,0),0)</f>
        <v>0</v>
      </c>
      <c r="AB163" s="688">
        <f>IFERROR(VLOOKUP($A163,'[96]4月'!$A:$H,8,0),0)</f>
        <v>0</v>
      </c>
      <c r="AC163" s="688">
        <f>IFERROR(VLOOKUP($A163,'[96]5月'!$A:$H,8,0),0)</f>
        <v>0</v>
      </c>
      <c r="AD163" s="688">
        <f>IFERROR(VLOOKUP($A163,'[96]6月'!$A:$H,8,0),0)</f>
        <v>0</v>
      </c>
      <c r="AE163" s="688">
        <f>IFERROR(VLOOKUP($A163,'[96]7月'!$A:$H,8,0),0)</f>
        <v>0</v>
      </c>
      <c r="AF163" s="688">
        <f>IFERROR(VLOOKUP($A163,'[96]8月'!$A:$H,8,0),0)</f>
        <v>0</v>
      </c>
      <c r="AG163" s="688">
        <f>IFERROR(VLOOKUP($A163,'[96]9月'!$A:$H,8,0),0)</f>
        <v>0</v>
      </c>
      <c r="AH163" s="688">
        <f>IFERROR(VLOOKUP($A163,'[96]10月'!$A:$H,8,0),0)</f>
        <v>0</v>
      </c>
      <c r="AI163" s="688">
        <f>IFERROR(VLOOKUP($A163,'[96]11月'!$A:$H,8,0),0)</f>
        <v>0</v>
      </c>
      <c r="AJ163" s="688">
        <f>IFERROR(VLOOKUP($A163,'[96]12月'!$A:$H,8,0),0)</f>
        <v>0</v>
      </c>
      <c r="AK163" s="688">
        <f t="shared" si="77"/>
        <v>0</v>
      </c>
    </row>
    <row r="164" spans="1:37" ht="13.5" customHeight="1">
      <c r="A164" s="653" t="str">
        <f>'Budget-合并'!A164</f>
        <v>6603.02.03.02</v>
      </c>
      <c r="B164" s="653" t="str">
        <f>'Budget-合并'!B164</f>
        <v>广州旭智--802房F028</v>
      </c>
      <c r="C164" s="687">
        <f>'Budget-合并'!C164</f>
        <v>0</v>
      </c>
      <c r="D164" s="676">
        <f t="shared" si="70"/>
        <v>0</v>
      </c>
      <c r="E164" s="676">
        <f t="shared" si="71"/>
        <v>0</v>
      </c>
      <c r="F164" s="676">
        <f t="shared" si="72"/>
        <v>0</v>
      </c>
      <c r="G164" s="676">
        <f t="shared" ca="1" si="73"/>
        <v>0</v>
      </c>
      <c r="H164" s="676">
        <f t="shared" ca="1" si="74"/>
        <v>0</v>
      </c>
      <c r="I164" s="676">
        <f t="shared" ca="1" si="75"/>
        <v>0</v>
      </c>
      <c r="K164" s="676"/>
      <c r="L164" s="676"/>
      <c r="M164" s="676"/>
      <c r="N164" s="676"/>
      <c r="O164" s="676"/>
      <c r="P164" s="676"/>
      <c r="Q164" s="676"/>
      <c r="R164" s="676"/>
      <c r="S164" s="676"/>
      <c r="T164" s="676"/>
      <c r="U164" s="676"/>
      <c r="V164" s="676"/>
      <c r="W164" s="676">
        <f t="shared" si="76"/>
        <v>0</v>
      </c>
      <c r="Y164" s="688">
        <f>IFERROR(VLOOKUP($A164,'[96]1月'!$A:$H,8,0),0)</f>
        <v>0</v>
      </c>
      <c r="Z164" s="688">
        <f>IFERROR(VLOOKUP($A164,'[96]2月'!$A:$H,8,0),0)</f>
        <v>0</v>
      </c>
      <c r="AA164" s="688">
        <f>IFERROR(VLOOKUP($A164,'[96]3月'!$A:$H,8,0),0)</f>
        <v>0</v>
      </c>
      <c r="AB164" s="688">
        <f>IFERROR(VLOOKUP($A164,'[96]4月'!$A:$H,8,0),0)</f>
        <v>0</v>
      </c>
      <c r="AC164" s="688">
        <f>IFERROR(VLOOKUP($A164,'[96]5月'!$A:$H,8,0),0)</f>
        <v>0</v>
      </c>
      <c r="AD164" s="688">
        <f>IFERROR(VLOOKUP($A164,'[96]6月'!$A:$H,8,0),0)</f>
        <v>0</v>
      </c>
      <c r="AE164" s="688">
        <f>IFERROR(VLOOKUP($A164,'[96]7月'!$A:$H,8,0),0)</f>
        <v>0</v>
      </c>
      <c r="AF164" s="688">
        <f>IFERROR(VLOOKUP($A164,'[96]8月'!$A:$H,8,0),0)</f>
        <v>0</v>
      </c>
      <c r="AG164" s="688">
        <f>IFERROR(VLOOKUP($A164,'[96]9月'!$A:$H,8,0),0)</f>
        <v>0</v>
      </c>
      <c r="AH164" s="688">
        <f>IFERROR(VLOOKUP($A164,'[96]10月'!$A:$H,8,0),0)</f>
        <v>0</v>
      </c>
      <c r="AI164" s="688">
        <f>IFERROR(VLOOKUP($A164,'[96]11月'!$A:$H,8,0),0)</f>
        <v>0</v>
      </c>
      <c r="AJ164" s="688">
        <f>IFERROR(VLOOKUP($A164,'[96]12月'!$A:$H,8,0),0)</f>
        <v>0</v>
      </c>
      <c r="AK164" s="688">
        <f t="shared" si="77"/>
        <v>0</v>
      </c>
    </row>
    <row r="165" spans="1:37" ht="13.5" customHeight="1">
      <c r="A165" s="653" t="str">
        <f>'Budget-合并'!A165</f>
        <v>6603.03</v>
      </c>
      <c r="B165" s="653" t="str">
        <f>'Budget-合并'!B165</f>
        <v>银行手续费</v>
      </c>
      <c r="C165" s="687" t="str">
        <f>'Budget-合并'!C165</f>
        <v>Bank Charges</v>
      </c>
      <c r="D165" s="676">
        <f t="shared" si="70"/>
        <v>83.333333333333329</v>
      </c>
      <c r="E165" s="676">
        <f t="shared" si="71"/>
        <v>195.83</v>
      </c>
      <c r="F165" s="676">
        <f t="shared" si="72"/>
        <v>-112.49666666666668</v>
      </c>
      <c r="G165" s="676">
        <f t="shared" ca="1" si="73"/>
        <v>83.333333333333329</v>
      </c>
      <c r="H165" s="676">
        <f t="shared" ca="1" si="74"/>
        <v>195.83</v>
      </c>
      <c r="I165" s="676">
        <f t="shared" ca="1" si="75"/>
        <v>-112.49666666666668</v>
      </c>
      <c r="K165" s="676">
        <f>SUMIFS('Other Exp'!AG$3:AG$196,'Other Exp'!$B$3:$B$196,$D$1,'Other Exp'!$C$3:$C$196,$A165)</f>
        <v>83.333333333333329</v>
      </c>
      <c r="L165" s="676">
        <f>SUMIFS('Other Exp'!AH$3:AH$196,'Other Exp'!$B$3:$B$196,$D$1,'Other Exp'!$C$3:$C$196,$A165)</f>
        <v>83.333333333333329</v>
      </c>
      <c r="M165" s="676">
        <f>SUMIFS('Other Exp'!AI$3:AI$196,'Other Exp'!$B$3:$B$196,$D$1,'Other Exp'!$C$3:$C$196,$A165)</f>
        <v>83.333333333333329</v>
      </c>
      <c r="N165" s="676">
        <f>SUMIFS('Other Exp'!AJ$3:AJ$196,'Other Exp'!$B$3:$B$196,$D$1,'Other Exp'!$C$3:$C$196,$A165)</f>
        <v>83.333333333333329</v>
      </c>
      <c r="O165" s="676">
        <f>SUMIFS('Other Exp'!AK$3:AK$196,'Other Exp'!$B$3:$B$196,$D$1,'Other Exp'!$C$3:$C$196,$A165)</f>
        <v>83.333333333333329</v>
      </c>
      <c r="P165" s="676">
        <f>SUMIFS('Other Exp'!AL$3:AL$196,'Other Exp'!$B$3:$B$196,$D$1,'Other Exp'!$C$3:$C$196,$A165)</f>
        <v>83.333333333333329</v>
      </c>
      <c r="Q165" s="676">
        <f>SUMIFS('Other Exp'!AM$3:AM$196,'Other Exp'!$B$3:$B$196,$D$1,'Other Exp'!$C$3:$C$196,$A165)</f>
        <v>83.333333333333329</v>
      </c>
      <c r="R165" s="676">
        <f>SUMIFS('Other Exp'!AN$3:AN$196,'Other Exp'!$B$3:$B$196,$D$1,'Other Exp'!$C$3:$C$196,$A165)</f>
        <v>83.333333333333329</v>
      </c>
      <c r="S165" s="676">
        <f>SUMIFS('Other Exp'!AO$3:AO$196,'Other Exp'!$B$3:$B$196,$D$1,'Other Exp'!$C$3:$C$196,$A165)</f>
        <v>83.333333333333329</v>
      </c>
      <c r="T165" s="676">
        <f>SUMIFS('Other Exp'!AP$3:AP$196,'Other Exp'!$B$3:$B$196,$D$1,'Other Exp'!$C$3:$C$196,$A165)</f>
        <v>83.333333333333329</v>
      </c>
      <c r="U165" s="676">
        <f>SUMIFS('Other Exp'!AQ$3:AQ$196,'Other Exp'!$B$3:$B$196,$D$1,'Other Exp'!$C$3:$C$196,$A165)</f>
        <v>83.333333333333329</v>
      </c>
      <c r="V165" s="676">
        <f>SUMIFS('Other Exp'!AR$3:AR$196,'Other Exp'!$B$3:$B$196,$D$1,'Other Exp'!$C$3:$C$196,$A165)</f>
        <v>83.333333333333329</v>
      </c>
      <c r="W165" s="676">
        <f t="shared" si="76"/>
        <v>1000.0000000000001</v>
      </c>
      <c r="Y165" s="688">
        <f>IFERROR(VLOOKUP($A165,'[96]1月'!$A:$H,8,0),0)</f>
        <v>195.83</v>
      </c>
      <c r="Z165" s="688">
        <f>IFERROR(VLOOKUP($A165,'[96]2月'!$A:$H,8,0),0)</f>
        <v>25</v>
      </c>
      <c r="AA165" s="688">
        <f>IFERROR(VLOOKUP($A165,'[96]3月'!$A:$H,8,0),0)</f>
        <v>25</v>
      </c>
      <c r="AB165" s="688">
        <f>IFERROR(VLOOKUP($A165,'[96]4月'!$A:$H,8,0),0)</f>
        <v>25</v>
      </c>
      <c r="AC165" s="688">
        <f>IFERROR(VLOOKUP($A165,'[96]5月'!$A:$H,8,0),0)</f>
        <v>25</v>
      </c>
      <c r="AD165" s="688">
        <f>IFERROR(VLOOKUP($A165,'[96]6月'!$A:$H,8,0),0)</f>
        <v>25</v>
      </c>
      <c r="AE165" s="688">
        <f>IFERROR(VLOOKUP($A165,'[96]7月'!$A:$H,8,0),0)</f>
        <v>25</v>
      </c>
      <c r="AF165" s="688">
        <f>IFERROR(VLOOKUP($A165,'[96]8月'!$A:$H,8,0),0)</f>
        <v>25</v>
      </c>
      <c r="AG165" s="688">
        <f>IFERROR(VLOOKUP($A165,'[96]9月'!$A:$H,8,0),0)</f>
        <v>99.58</v>
      </c>
      <c r="AH165" s="688">
        <f>IFERROR(VLOOKUP($A165,'[96]10月'!$A:$H,8,0),0)</f>
        <v>25</v>
      </c>
      <c r="AI165" s="688">
        <f>IFERROR(VLOOKUP($A165,'[96]11月'!$A:$H,8,0),0)</f>
        <v>25</v>
      </c>
      <c r="AJ165" s="688">
        <f>IFERROR(VLOOKUP($A165,'[96]12月'!$A:$H,8,0),0)</f>
        <v>25</v>
      </c>
      <c r="AK165" s="688">
        <f t="shared" si="77"/>
        <v>545.41000000000008</v>
      </c>
    </row>
    <row r="166" spans="1:37" ht="13.5" customHeight="1">
      <c r="A166" s="653" t="str">
        <f>'Budget-合并'!A166</f>
        <v>6603.04</v>
      </c>
      <c r="B166" s="653" t="str">
        <f>'Budget-合并'!B166</f>
        <v>利息收入</v>
      </c>
      <c r="C166" s="687" t="str">
        <f>'Budget-合并'!C166</f>
        <v>Bank Interest Income</v>
      </c>
      <c r="D166" s="676">
        <f t="shared" si="70"/>
        <v>0</v>
      </c>
      <c r="E166" s="676">
        <f t="shared" si="71"/>
        <v>0</v>
      </c>
      <c r="F166" s="676">
        <f t="shared" si="72"/>
        <v>0</v>
      </c>
      <c r="G166" s="676">
        <f t="shared" ca="1" si="73"/>
        <v>0</v>
      </c>
      <c r="H166" s="676">
        <f t="shared" ca="1" si="74"/>
        <v>0</v>
      </c>
      <c r="I166" s="676">
        <f t="shared" ca="1" si="75"/>
        <v>0</v>
      </c>
      <c r="K166" s="676"/>
      <c r="L166" s="676"/>
      <c r="M166" s="676"/>
      <c r="N166" s="676"/>
      <c r="O166" s="676"/>
      <c r="P166" s="676"/>
      <c r="Q166" s="676"/>
      <c r="R166" s="676"/>
      <c r="S166" s="676"/>
      <c r="T166" s="676"/>
      <c r="U166" s="676"/>
      <c r="V166" s="676"/>
      <c r="W166" s="676">
        <f t="shared" si="76"/>
        <v>0</v>
      </c>
      <c r="Y166" s="688">
        <f>IFERROR(VLOOKUP($A166,'[96]1月'!$A:$H,8,0),0)</f>
        <v>0</v>
      </c>
      <c r="Z166" s="688">
        <f>IFERROR(VLOOKUP($A166,'[96]2月'!$A:$H,8,0),0)</f>
        <v>0</v>
      </c>
      <c r="AA166" s="688">
        <f>IFERROR(VLOOKUP($A166,'[96]3月'!$A:$H,8,0),0)</f>
        <v>-14.51</v>
      </c>
      <c r="AB166" s="688">
        <f>IFERROR(VLOOKUP($A166,'[96]4月'!$A:$H,8,0),0)</f>
        <v>0</v>
      </c>
      <c r="AC166" s="688">
        <f>IFERROR(VLOOKUP($A166,'[96]5月'!$A:$H,8,0),0)</f>
        <v>0</v>
      </c>
      <c r="AD166" s="688">
        <f>IFERROR(VLOOKUP($A166,'[96]6月'!$A:$H,8,0),0)</f>
        <v>-12.17</v>
      </c>
      <c r="AE166" s="688">
        <f>IFERROR(VLOOKUP($A166,'[96]7月'!$A:$H,8,0),0)</f>
        <v>0</v>
      </c>
      <c r="AF166" s="688">
        <f>IFERROR(VLOOKUP($A166,'[96]8月'!$A:$H,8,0),0)</f>
        <v>0</v>
      </c>
      <c r="AG166" s="688">
        <f>IFERROR(VLOOKUP($A166,'[96]9月'!$A:$H,8,0),0)</f>
        <v>-7.36</v>
      </c>
      <c r="AH166" s="688">
        <f>IFERROR(VLOOKUP($A166,'[96]10月'!$A:$H,8,0),0)</f>
        <v>0</v>
      </c>
      <c r="AI166" s="688">
        <f>IFERROR(VLOOKUP($A166,'[96]11月'!$A:$H,8,0),0)</f>
        <v>0</v>
      </c>
      <c r="AJ166" s="688">
        <f>IFERROR(VLOOKUP($A166,'[96]12月'!$A:$H,8,0),0)</f>
        <v>-7.26</v>
      </c>
      <c r="AK166" s="688">
        <f t="shared" si="77"/>
        <v>-41.3</v>
      </c>
    </row>
    <row r="167" spans="1:37" ht="13.5" customHeight="1">
      <c r="A167" s="663" t="str">
        <f>'Budget-合并'!A167</f>
        <v>6603.05</v>
      </c>
      <c r="B167" s="663" t="str">
        <f>'Budget-合并'!B167</f>
        <v>利息支出</v>
      </c>
      <c r="C167" s="687">
        <f>'Budget-合并'!C167</f>
        <v>0</v>
      </c>
      <c r="D167" s="676">
        <f t="shared" si="70"/>
        <v>47350.68</v>
      </c>
      <c r="E167" s="676">
        <f t="shared" si="71"/>
        <v>0</v>
      </c>
      <c r="F167" s="676">
        <f t="shared" si="72"/>
        <v>47350.68</v>
      </c>
      <c r="G167" s="676">
        <f t="shared" ca="1" si="73"/>
        <v>47350.68</v>
      </c>
      <c r="H167" s="676">
        <f t="shared" ca="1" si="74"/>
        <v>0</v>
      </c>
      <c r="I167" s="676">
        <f t="shared" ca="1" si="75"/>
        <v>47350.68</v>
      </c>
      <c r="K167" s="676">
        <f>SUM(K168:K170)</f>
        <v>47350.68</v>
      </c>
      <c r="L167" s="676">
        <f t="shared" ref="L167:V167" si="80">SUM(L168:L170)</f>
        <v>44589.04</v>
      </c>
      <c r="M167" s="676">
        <f t="shared" si="80"/>
        <v>44589.04</v>
      </c>
      <c r="N167" s="676">
        <f t="shared" si="80"/>
        <v>0</v>
      </c>
      <c r="O167" s="676">
        <f t="shared" si="80"/>
        <v>0</v>
      </c>
      <c r="P167" s="676">
        <f t="shared" si="80"/>
        <v>0</v>
      </c>
      <c r="Q167" s="676">
        <f t="shared" si="80"/>
        <v>0</v>
      </c>
      <c r="R167" s="676">
        <f t="shared" si="80"/>
        <v>0</v>
      </c>
      <c r="S167" s="676">
        <f t="shared" si="80"/>
        <v>0</v>
      </c>
      <c r="T167" s="676">
        <f t="shared" si="80"/>
        <v>0</v>
      </c>
      <c r="U167" s="676">
        <f t="shared" si="80"/>
        <v>0</v>
      </c>
      <c r="V167" s="676">
        <f t="shared" si="80"/>
        <v>0</v>
      </c>
      <c r="W167" s="676">
        <f t="shared" si="76"/>
        <v>136528.76</v>
      </c>
      <c r="Y167" s="688">
        <f>IFERROR(VLOOKUP($A167,'[96]1月'!$A:$H,8,0),0)</f>
        <v>0</v>
      </c>
      <c r="Z167" s="688">
        <f>IFERROR(VLOOKUP($A167,'[96]2月'!$A:$H,8,0),0)</f>
        <v>0</v>
      </c>
      <c r="AA167" s="688">
        <f>IFERROR(VLOOKUP($A167,'[96]3月'!$A:$H,8,0),0)</f>
        <v>0</v>
      </c>
      <c r="AB167" s="688">
        <f>IFERROR(VLOOKUP($A167,'[96]4月'!$A:$H,8,0),0)</f>
        <v>0</v>
      </c>
      <c r="AC167" s="688">
        <f>IFERROR(VLOOKUP($A167,'[96]5月'!$A:$H,8,0),0)</f>
        <v>0</v>
      </c>
      <c r="AD167" s="688">
        <f>IFERROR(VLOOKUP($A167,'[96]6月'!$A:$H,8,0),0)</f>
        <v>0</v>
      </c>
      <c r="AE167" s="688">
        <f>IFERROR(VLOOKUP($A167,'[96]7月'!$A:$H,8,0),0)</f>
        <v>0</v>
      </c>
      <c r="AF167" s="688">
        <f>IFERROR(VLOOKUP($A167,'[96]8月'!$A:$H,8,0),0)</f>
        <v>4832.88</v>
      </c>
      <c r="AG167" s="688">
        <f>IFERROR(VLOOKUP($A167,'[96]9月'!$A:$H,8,0),0)</f>
        <v>10356.16</v>
      </c>
      <c r="AH167" s="688">
        <f>IFERROR(VLOOKUP($A167,'[96]10月'!$A:$H,8,0),0)</f>
        <v>10701.37</v>
      </c>
      <c r="AI167" s="688">
        <f>IFERROR(VLOOKUP($A167,'[96]11月'!$A:$H,8,0),0)</f>
        <v>10356.16</v>
      </c>
      <c r="AJ167" s="688">
        <f>IFERROR(VLOOKUP($A167,'[96]12月'!$A:$H,8,0),0)</f>
        <v>10701.37</v>
      </c>
      <c r="AK167" s="688">
        <f t="shared" si="77"/>
        <v>46947.94000000001</v>
      </c>
    </row>
    <row r="168" spans="1:37" ht="13.5" customHeight="1">
      <c r="A168" s="653" t="str">
        <f>'Budget-合并'!A168</f>
        <v>6603.05.01</v>
      </c>
      <c r="B168" s="653" t="str">
        <f>'Budget-合并'!B168</f>
        <v>兴业金融租赁有限责任公司</v>
      </c>
      <c r="C168" s="687">
        <f>'Budget-合并'!C168</f>
        <v>0</v>
      </c>
      <c r="D168" s="676">
        <f t="shared" si="70"/>
        <v>0</v>
      </c>
      <c r="E168" s="676">
        <f t="shared" si="71"/>
        <v>0</v>
      </c>
      <c r="F168" s="676">
        <f t="shared" si="72"/>
        <v>0</v>
      </c>
      <c r="G168" s="676">
        <f t="shared" ca="1" si="73"/>
        <v>0</v>
      </c>
      <c r="H168" s="676">
        <f t="shared" ca="1" si="74"/>
        <v>0</v>
      </c>
      <c r="I168" s="676">
        <f t="shared" ca="1" si="75"/>
        <v>0</v>
      </c>
      <c r="K168" s="676"/>
      <c r="L168" s="676"/>
      <c r="M168" s="676"/>
      <c r="N168" s="676"/>
      <c r="O168" s="676"/>
      <c r="P168" s="676"/>
      <c r="Q168" s="676"/>
      <c r="R168" s="676"/>
      <c r="S168" s="676"/>
      <c r="T168" s="676"/>
      <c r="U168" s="676"/>
      <c r="V168" s="676"/>
      <c r="W168" s="676">
        <f t="shared" si="76"/>
        <v>0</v>
      </c>
      <c r="Y168" s="688">
        <f>IFERROR(VLOOKUP($A168,'[96]1月'!$A:$H,8,0),0)</f>
        <v>0</v>
      </c>
      <c r="Z168" s="688">
        <f>IFERROR(VLOOKUP($A168,'[96]2月'!$A:$H,8,0),0)</f>
        <v>0</v>
      </c>
      <c r="AA168" s="688">
        <f>IFERROR(VLOOKUP($A168,'[96]3月'!$A:$H,8,0),0)</f>
        <v>0</v>
      </c>
      <c r="AB168" s="688">
        <f>IFERROR(VLOOKUP($A168,'[96]4月'!$A:$H,8,0),0)</f>
        <v>0</v>
      </c>
      <c r="AC168" s="688">
        <f>IFERROR(VLOOKUP($A168,'[96]5月'!$A:$H,8,0),0)</f>
        <v>0</v>
      </c>
      <c r="AD168" s="688">
        <f>IFERROR(VLOOKUP($A168,'[96]6月'!$A:$H,8,0),0)</f>
        <v>0</v>
      </c>
      <c r="AE168" s="688">
        <f>IFERROR(VLOOKUP($A168,'[96]7月'!$A:$H,8,0),0)</f>
        <v>0</v>
      </c>
      <c r="AF168" s="688">
        <f>IFERROR(VLOOKUP($A168,'[96]8月'!$A:$H,8,0),0)</f>
        <v>0</v>
      </c>
      <c r="AG168" s="688">
        <f>IFERROR(VLOOKUP($A168,'[96]9月'!$A:$H,8,0),0)</f>
        <v>0</v>
      </c>
      <c r="AH168" s="688">
        <f>IFERROR(VLOOKUP($A168,'[96]10月'!$A:$H,8,0),0)</f>
        <v>0</v>
      </c>
      <c r="AI168" s="688">
        <f>IFERROR(VLOOKUP($A168,'[96]11月'!$A:$H,8,0),0)</f>
        <v>0</v>
      </c>
      <c r="AJ168" s="688">
        <f>IFERROR(VLOOKUP($A168,'[96]12月'!$A:$H,8,0),0)</f>
        <v>0</v>
      </c>
      <c r="AK168" s="688">
        <f t="shared" si="77"/>
        <v>0</v>
      </c>
    </row>
    <row r="169" spans="1:37" ht="13.5" customHeight="1">
      <c r="A169" s="653" t="str">
        <f>'Budget-合并'!A169</f>
        <v>6603.05.02</v>
      </c>
      <c r="B169" s="653" t="str">
        <f>'Budget-合并'!B169</f>
        <v>湖南三一智慧新能源设计有限公司</v>
      </c>
      <c r="C169" s="687">
        <f>'Budget-合并'!C169</f>
        <v>0</v>
      </c>
      <c r="D169" s="676">
        <f t="shared" si="70"/>
        <v>0</v>
      </c>
      <c r="E169" s="676">
        <f t="shared" si="71"/>
        <v>0</v>
      </c>
      <c r="F169" s="676">
        <f t="shared" si="72"/>
        <v>0</v>
      </c>
      <c r="G169" s="676">
        <f t="shared" ca="1" si="73"/>
        <v>0</v>
      </c>
      <c r="H169" s="676">
        <f t="shared" ca="1" si="74"/>
        <v>0</v>
      </c>
      <c r="I169" s="676">
        <f t="shared" ca="1" si="75"/>
        <v>0</v>
      </c>
      <c r="K169" s="676"/>
      <c r="L169" s="676"/>
      <c r="M169" s="676"/>
      <c r="N169" s="676"/>
      <c r="O169" s="676"/>
      <c r="P169" s="676"/>
      <c r="Q169" s="676"/>
      <c r="R169" s="676"/>
      <c r="S169" s="676"/>
      <c r="T169" s="676"/>
      <c r="U169" s="676"/>
      <c r="V169" s="676"/>
      <c r="W169" s="676">
        <f t="shared" si="76"/>
        <v>0</v>
      </c>
      <c r="Y169" s="688">
        <f>IFERROR(VLOOKUP($A169,'[96]1月'!$A:$H,8,0),0)</f>
        <v>0</v>
      </c>
      <c r="Z169" s="688">
        <f>IFERROR(VLOOKUP($A169,'[96]2月'!$A:$H,8,0),0)</f>
        <v>0</v>
      </c>
      <c r="AA169" s="688">
        <f>IFERROR(VLOOKUP($A169,'[96]3月'!$A:$H,8,0),0)</f>
        <v>0</v>
      </c>
      <c r="AB169" s="688">
        <f>IFERROR(VLOOKUP($A169,'[96]4月'!$A:$H,8,0),0)</f>
        <v>0</v>
      </c>
      <c r="AC169" s="688">
        <f>IFERROR(VLOOKUP($A169,'[96]5月'!$A:$H,8,0),0)</f>
        <v>0</v>
      </c>
      <c r="AD169" s="688">
        <f>IFERROR(VLOOKUP($A169,'[96]6月'!$A:$H,8,0),0)</f>
        <v>0</v>
      </c>
      <c r="AE169" s="688">
        <f>IFERROR(VLOOKUP($A169,'[96]7月'!$A:$H,8,0),0)</f>
        <v>0</v>
      </c>
      <c r="AF169" s="688">
        <f>IFERROR(VLOOKUP($A169,'[96]8月'!$A:$H,8,0),0)</f>
        <v>0</v>
      </c>
      <c r="AG169" s="688">
        <f>IFERROR(VLOOKUP($A169,'[96]9月'!$A:$H,8,0),0)</f>
        <v>0</v>
      </c>
      <c r="AH169" s="688">
        <f>IFERROR(VLOOKUP($A169,'[96]10月'!$A:$H,8,0),0)</f>
        <v>0</v>
      </c>
      <c r="AI169" s="688">
        <f>IFERROR(VLOOKUP($A169,'[96]11月'!$A:$H,8,0),0)</f>
        <v>0</v>
      </c>
      <c r="AJ169" s="688">
        <f>IFERROR(VLOOKUP($A169,'[96]12月'!$A:$H,8,0),0)</f>
        <v>0</v>
      </c>
      <c r="AK169" s="688">
        <f t="shared" si="77"/>
        <v>0</v>
      </c>
    </row>
    <row r="170" spans="1:37" ht="13.5" customHeight="1">
      <c r="A170" s="653" t="str">
        <f>'Budget-合并'!A170</f>
        <v>6603.05.03</v>
      </c>
      <c r="B170" s="653" t="str">
        <f>'Budget-合并'!B170</f>
        <v>和谐天明投资管理(北京)有限公司</v>
      </c>
      <c r="C170" s="687"/>
      <c r="D170" s="676">
        <f t="shared" si="70"/>
        <v>47350.68</v>
      </c>
      <c r="E170" s="676">
        <f t="shared" si="71"/>
        <v>0</v>
      </c>
      <c r="F170" s="676">
        <f t="shared" si="72"/>
        <v>47350.68</v>
      </c>
      <c r="G170" s="676">
        <f t="shared" ca="1" si="73"/>
        <v>47350.68</v>
      </c>
      <c r="H170" s="676">
        <f t="shared" ca="1" si="74"/>
        <v>0</v>
      </c>
      <c r="I170" s="676">
        <f t="shared" ca="1" si="75"/>
        <v>47350.68</v>
      </c>
      <c r="K170" s="676">
        <f>ROUND(3600000*3.5%/365*8+15000000*3.5%/365*31,2)</f>
        <v>47350.68</v>
      </c>
      <c r="L170" s="676">
        <f>ROUND(15000000*3.5%/365*31,2)</f>
        <v>44589.04</v>
      </c>
      <c r="M170" s="676">
        <f>ROUND(15000000*3.5%/365*31,2)</f>
        <v>44589.04</v>
      </c>
      <c r="N170" s="676"/>
      <c r="O170" s="676"/>
      <c r="P170" s="676"/>
      <c r="Q170" s="676"/>
      <c r="R170" s="676"/>
      <c r="S170" s="676"/>
      <c r="T170" s="676"/>
      <c r="U170" s="676"/>
      <c r="V170" s="676"/>
      <c r="W170" s="676">
        <f t="shared" si="76"/>
        <v>136528.76</v>
      </c>
      <c r="Y170" s="688">
        <f>IFERROR(VLOOKUP($A170,'[96]1月'!$A:$H,8,0),0)</f>
        <v>0</v>
      </c>
      <c r="Z170" s="688">
        <f>IFERROR(VLOOKUP($A170,'[96]2月'!$A:$H,8,0),0)</f>
        <v>0</v>
      </c>
      <c r="AA170" s="688">
        <f>IFERROR(VLOOKUP($A170,'[96]3月'!$A:$H,8,0),0)</f>
        <v>0</v>
      </c>
      <c r="AB170" s="688">
        <f>IFERROR(VLOOKUP($A170,'[96]4月'!$A:$H,8,0),0)</f>
        <v>0</v>
      </c>
      <c r="AC170" s="688">
        <f>IFERROR(VLOOKUP($A170,'[96]5月'!$A:$H,8,0),0)</f>
        <v>0</v>
      </c>
      <c r="AD170" s="688">
        <f>IFERROR(VLOOKUP($A170,'[96]6月'!$A:$H,8,0),0)</f>
        <v>0</v>
      </c>
      <c r="AE170" s="688">
        <f>IFERROR(VLOOKUP($A170,'[96]7月'!$A:$H,8,0),0)</f>
        <v>0</v>
      </c>
      <c r="AF170" s="688">
        <f>IFERROR(VLOOKUP($A170,'[96]8月'!$A:$H,8,0),0)</f>
        <v>4832.88</v>
      </c>
      <c r="AG170" s="688">
        <f>IFERROR(VLOOKUP($A170,'[96]9月'!$A:$H,8,0),0)</f>
        <v>10356.16</v>
      </c>
      <c r="AH170" s="688">
        <f>IFERROR(VLOOKUP($A170,'[96]10月'!$A:$H,8,0),0)</f>
        <v>10701.37</v>
      </c>
      <c r="AI170" s="688">
        <f>IFERROR(VLOOKUP($A170,'[96]11月'!$A:$H,8,0),0)</f>
        <v>10356.16</v>
      </c>
      <c r="AJ170" s="688">
        <f>IFERROR(VLOOKUP($A170,'[96]12月'!$A:$H,8,0),0)</f>
        <v>10701.37</v>
      </c>
      <c r="AK170" s="688">
        <f t="shared" si="77"/>
        <v>46947.94000000001</v>
      </c>
    </row>
    <row r="171" spans="1:37" ht="13.5" customHeight="1">
      <c r="A171" s="653" t="str">
        <f>'Budget-合并'!A171</f>
        <v>6603.99</v>
      </c>
      <c r="B171" s="653" t="str">
        <f>'Budget-合并'!B171</f>
        <v>其他</v>
      </c>
      <c r="C171" s="687">
        <f>'Budget-合并'!C171</f>
        <v>0</v>
      </c>
      <c r="D171" s="676">
        <f t="shared" si="70"/>
        <v>0</v>
      </c>
      <c r="E171" s="676">
        <f t="shared" si="71"/>
        <v>0</v>
      </c>
      <c r="F171" s="676">
        <f t="shared" si="72"/>
        <v>0</v>
      </c>
      <c r="G171" s="676">
        <f t="shared" ca="1" si="73"/>
        <v>0</v>
      </c>
      <c r="H171" s="676">
        <f t="shared" ca="1" si="74"/>
        <v>0</v>
      </c>
      <c r="I171" s="676">
        <f t="shared" ca="1" si="75"/>
        <v>0</v>
      </c>
      <c r="K171" s="676">
        <f t="shared" ref="K171:V171" si="81">SUM(K161:K164,K168,K169)</f>
        <v>0</v>
      </c>
      <c r="L171" s="676">
        <f t="shared" si="81"/>
        <v>0</v>
      </c>
      <c r="M171" s="676">
        <f t="shared" si="81"/>
        <v>0</v>
      </c>
      <c r="N171" s="676">
        <f t="shared" si="81"/>
        <v>0</v>
      </c>
      <c r="O171" s="676">
        <f t="shared" si="81"/>
        <v>0</v>
      </c>
      <c r="P171" s="676">
        <f t="shared" si="81"/>
        <v>0</v>
      </c>
      <c r="Q171" s="676">
        <f t="shared" si="81"/>
        <v>0</v>
      </c>
      <c r="R171" s="676">
        <f t="shared" si="81"/>
        <v>0</v>
      </c>
      <c r="S171" s="676">
        <f t="shared" si="81"/>
        <v>0</v>
      </c>
      <c r="T171" s="676">
        <f t="shared" si="81"/>
        <v>0</v>
      </c>
      <c r="U171" s="676">
        <f t="shared" si="81"/>
        <v>0</v>
      </c>
      <c r="V171" s="676">
        <f t="shared" si="81"/>
        <v>0</v>
      </c>
      <c r="W171" s="676">
        <f t="shared" si="76"/>
        <v>0</v>
      </c>
      <c r="Y171" s="688">
        <f>IFERROR(VLOOKUP($A171,'[96]1月'!$A:$H,8,0),0)</f>
        <v>0</v>
      </c>
      <c r="Z171" s="688">
        <f>IFERROR(VLOOKUP($A171,'[96]2月'!$A:$H,8,0),0)</f>
        <v>0</v>
      </c>
      <c r="AA171" s="688">
        <f>IFERROR(VLOOKUP($A171,'[96]3月'!$A:$H,8,0),0)</f>
        <v>0</v>
      </c>
      <c r="AB171" s="688">
        <f>IFERROR(VLOOKUP($A171,'[96]4月'!$A:$H,8,0),0)</f>
        <v>0</v>
      </c>
      <c r="AC171" s="688">
        <f>IFERROR(VLOOKUP($A171,'[96]5月'!$A:$H,8,0),0)</f>
        <v>0</v>
      </c>
      <c r="AD171" s="688">
        <f>IFERROR(VLOOKUP($A171,'[96]6月'!$A:$H,8,0),0)</f>
        <v>0</v>
      </c>
      <c r="AE171" s="688">
        <f>IFERROR(VLOOKUP($A171,'[96]7月'!$A:$H,8,0),0)</f>
        <v>0</v>
      </c>
      <c r="AF171" s="688">
        <f>IFERROR(VLOOKUP($A171,'[96]8月'!$A:$H,8,0),0)</f>
        <v>0</v>
      </c>
      <c r="AG171" s="688">
        <f>IFERROR(VLOOKUP($A171,'[96]9月'!$A:$H,8,0),0)</f>
        <v>0</v>
      </c>
      <c r="AH171" s="688">
        <f>IFERROR(VLOOKUP($A171,'[96]10月'!$A:$H,8,0),0)</f>
        <v>0</v>
      </c>
      <c r="AI171" s="688">
        <f>IFERROR(VLOOKUP($A171,'[96]11月'!$A:$H,8,0),0)</f>
        <v>0</v>
      </c>
      <c r="AJ171" s="688">
        <f>IFERROR(VLOOKUP($A171,'[96]12月'!$A:$H,8,0),0)</f>
        <v>0</v>
      </c>
      <c r="AK171" s="688">
        <f t="shared" si="77"/>
        <v>0</v>
      </c>
    </row>
    <row r="172" spans="1:37" ht="13.5" customHeight="1">
      <c r="A172" s="686">
        <f>'Budget-合并'!A172</f>
        <v>0</v>
      </c>
      <c r="B172" s="686" t="str">
        <f>'Budget-合并'!B172</f>
        <v>财务费用合计</v>
      </c>
      <c r="C172" s="687">
        <f>'Budget-合并'!C172</f>
        <v>0</v>
      </c>
      <c r="D172" s="677">
        <f t="shared" si="70"/>
        <v>47434.013333333336</v>
      </c>
      <c r="E172" s="677">
        <f t="shared" si="71"/>
        <v>195.83</v>
      </c>
      <c r="F172" s="677">
        <f t="shared" si="72"/>
        <v>47238.183333333334</v>
      </c>
      <c r="G172" s="677">
        <f t="shared" ca="1" si="73"/>
        <v>47434.013333333336</v>
      </c>
      <c r="H172" s="677">
        <f t="shared" ca="1" si="74"/>
        <v>195.83</v>
      </c>
      <c r="I172" s="677">
        <f t="shared" ca="1" si="75"/>
        <v>47238.183333333334</v>
      </c>
      <c r="K172" s="677">
        <f t="shared" ref="K172:W172" si="82">SUM(K156,K157,K165:K167,K171)</f>
        <v>47434.013333333336</v>
      </c>
      <c r="L172" s="677">
        <f t="shared" si="82"/>
        <v>44672.373333333337</v>
      </c>
      <c r="M172" s="677">
        <f t="shared" si="82"/>
        <v>44672.373333333337</v>
      </c>
      <c r="N172" s="677">
        <f t="shared" si="82"/>
        <v>83.333333333333329</v>
      </c>
      <c r="O172" s="677">
        <f t="shared" si="82"/>
        <v>83.333333333333329</v>
      </c>
      <c r="P172" s="677">
        <f t="shared" si="82"/>
        <v>83.333333333333329</v>
      </c>
      <c r="Q172" s="677">
        <f t="shared" si="82"/>
        <v>83.333333333333329</v>
      </c>
      <c r="R172" s="677">
        <f t="shared" si="82"/>
        <v>83.333333333333329</v>
      </c>
      <c r="S172" s="677">
        <f t="shared" si="82"/>
        <v>83.333333333333329</v>
      </c>
      <c r="T172" s="677">
        <f t="shared" si="82"/>
        <v>83.333333333333329</v>
      </c>
      <c r="U172" s="677">
        <f t="shared" si="82"/>
        <v>83.333333333333329</v>
      </c>
      <c r="V172" s="677">
        <f t="shared" si="82"/>
        <v>83.333333333333329</v>
      </c>
      <c r="W172" s="677">
        <f t="shared" si="82"/>
        <v>137528.76</v>
      </c>
      <c r="Y172" s="677">
        <f t="shared" ref="Y172:AK172" si="83">SUM(Y156,Y157,Y165:Y167,Y171)</f>
        <v>195.83</v>
      </c>
      <c r="Z172" s="677">
        <f t="shared" si="83"/>
        <v>25</v>
      </c>
      <c r="AA172" s="677">
        <f t="shared" si="83"/>
        <v>10.49</v>
      </c>
      <c r="AB172" s="677">
        <f t="shared" si="83"/>
        <v>25</v>
      </c>
      <c r="AC172" s="677">
        <f t="shared" si="83"/>
        <v>25</v>
      </c>
      <c r="AD172" s="677">
        <f t="shared" si="83"/>
        <v>12.83</v>
      </c>
      <c r="AE172" s="677">
        <f t="shared" si="83"/>
        <v>25</v>
      </c>
      <c r="AF172" s="677">
        <f t="shared" si="83"/>
        <v>4857.88</v>
      </c>
      <c r="AG172" s="677">
        <f t="shared" si="83"/>
        <v>10448.379999999999</v>
      </c>
      <c r="AH172" s="677">
        <f t="shared" si="83"/>
        <v>10726.37</v>
      </c>
      <c r="AI172" s="677">
        <f t="shared" si="83"/>
        <v>10381.16</v>
      </c>
      <c r="AJ172" s="677">
        <f t="shared" si="83"/>
        <v>10719.11</v>
      </c>
      <c r="AK172" s="677">
        <f t="shared" si="83"/>
        <v>47452.05000000001</v>
      </c>
    </row>
    <row r="173" spans="1:37" ht="13.5" customHeight="1">
      <c r="A173" s="653">
        <f>'Budget-合并'!A173</f>
        <v>0</v>
      </c>
      <c r="B173" s="653">
        <f>'Budget-合并'!B173</f>
        <v>0</v>
      </c>
      <c r="C173" s="687">
        <f>'Budget-合并'!C173</f>
        <v>0</v>
      </c>
      <c r="W173" s="652">
        <f>W12-W19-W141-W159+W171</f>
        <v>0</v>
      </c>
    </row>
    <row r="174" spans="1:37" ht="13.5" customHeight="1">
      <c r="A174" s="653" t="str">
        <f>'Budget-合并'!A174</f>
        <v>6051</v>
      </c>
      <c r="B174" s="653" t="str">
        <f>'Budget-合并'!B174</f>
        <v>其他业务收入</v>
      </c>
      <c r="C174" s="687">
        <f>'Budget-合并'!C174</f>
        <v>0</v>
      </c>
      <c r="D174" s="676">
        <f t="shared" ref="D174:D183" si="84">INDEX($K174:$V174,1,MATCH($D$6,$K$6:$V$6))</f>
        <v>0</v>
      </c>
      <c r="E174" s="676">
        <f t="shared" ref="E174:E183" si="85">INDEX($Y174:$AJ174,1,MATCH($E$6,$Y$6:$AJ$6))</f>
        <v>0</v>
      </c>
      <c r="F174" s="676">
        <f t="shared" ref="F174:F183" si="86">D174-E174</f>
        <v>0</v>
      </c>
      <c r="G174" s="676">
        <f t="shared" ref="G174:G183" ca="1" si="87">SUM($K174:OFFSET($K174,0,MATCH(G$6,$K$6:$V$6)-1))</f>
        <v>0</v>
      </c>
      <c r="H174" s="676">
        <f t="shared" ref="H174:H183" ca="1" si="88">SUM($Y174:OFFSET($Y174,0,MATCH(H$6,$Y$6:$AJ$6)-1))</f>
        <v>0</v>
      </c>
      <c r="I174" s="676">
        <f t="shared" ref="I174:I183" ca="1" si="89">G174-H174</f>
        <v>0</v>
      </c>
      <c r="K174" s="676"/>
      <c r="L174" s="676"/>
      <c r="M174" s="676"/>
      <c r="N174" s="676"/>
      <c r="O174" s="676"/>
      <c r="P174" s="676"/>
      <c r="Q174" s="676"/>
      <c r="R174" s="676"/>
      <c r="S174" s="676"/>
      <c r="T174" s="676"/>
      <c r="U174" s="676"/>
      <c r="V174" s="676"/>
      <c r="W174" s="676">
        <f t="shared" ref="W174:W182" si="90">SUM(K174:V174)</f>
        <v>0</v>
      </c>
      <c r="Y174" s="688">
        <f>IFERROR(VLOOKUP($A174,'[96]1月'!$A:$H,8,0),0)</f>
        <v>0</v>
      </c>
      <c r="Z174" s="688">
        <f>IFERROR(VLOOKUP($A174,'[96]2月'!$A:$H,8,0),0)</f>
        <v>0</v>
      </c>
      <c r="AA174" s="688">
        <f>IFERROR(VLOOKUP($A174,'[96]3月'!$A:$H,8,0),0)</f>
        <v>0</v>
      </c>
      <c r="AB174" s="688">
        <f>IFERROR(VLOOKUP($A174,'[96]4月'!$A:$H,8,0),0)</f>
        <v>0</v>
      </c>
      <c r="AC174" s="688">
        <f>IFERROR(VLOOKUP($A174,'[96]5月'!$A:$H,8,0),0)</f>
        <v>0</v>
      </c>
      <c r="AD174" s="688">
        <f>IFERROR(VLOOKUP($A174,'[96]6月'!$A:$H,8,0),0)</f>
        <v>0</v>
      </c>
      <c r="AE174" s="688">
        <f>IFERROR(VLOOKUP($A174,'[96]7月'!$A:$H,8,0),0)</f>
        <v>0</v>
      </c>
      <c r="AF174" s="688">
        <f>IFERROR(VLOOKUP($A174,'[96]8月'!$A:$H,8,0),0)</f>
        <v>0</v>
      </c>
      <c r="AG174" s="688">
        <f>IFERROR(VLOOKUP($A174,'[96]9月'!$A:$H,8,0),0)</f>
        <v>0</v>
      </c>
      <c r="AH174" s="688">
        <f>IFERROR(VLOOKUP($A174,'[96]10月'!$A:$H,8,0),0)</f>
        <v>0</v>
      </c>
      <c r="AI174" s="688">
        <f>IFERROR(VLOOKUP($A174,'[96]11月'!$A:$H,8,0),0)</f>
        <v>0</v>
      </c>
      <c r="AJ174" s="688">
        <f>IFERROR(VLOOKUP($A174,'[96]12月'!$A:$H,8,0),0)</f>
        <v>0</v>
      </c>
      <c r="AK174" s="688">
        <f t="shared" ref="AK174:AK182" si="91">SUM(Y174:AJ174)</f>
        <v>0</v>
      </c>
    </row>
    <row r="175" spans="1:37" ht="13.5" customHeight="1">
      <c r="A175" s="653" t="str">
        <f>'Budget-合并'!A175</f>
        <v>6101</v>
      </c>
      <c r="B175" s="653" t="str">
        <f>'Budget-合并'!B175</f>
        <v>公允价值变动损益</v>
      </c>
      <c r="C175" s="687">
        <f>'Budget-合并'!C175</f>
        <v>0</v>
      </c>
      <c r="D175" s="676">
        <f t="shared" si="84"/>
        <v>0</v>
      </c>
      <c r="E175" s="676">
        <f t="shared" si="85"/>
        <v>0</v>
      </c>
      <c r="F175" s="676">
        <f t="shared" si="86"/>
        <v>0</v>
      </c>
      <c r="G175" s="676">
        <f t="shared" ca="1" si="87"/>
        <v>0</v>
      </c>
      <c r="H175" s="676">
        <f t="shared" ca="1" si="88"/>
        <v>0</v>
      </c>
      <c r="I175" s="676">
        <f t="shared" ca="1" si="89"/>
        <v>0</v>
      </c>
      <c r="K175" s="676"/>
      <c r="L175" s="676"/>
      <c r="M175" s="676"/>
      <c r="N175" s="676"/>
      <c r="O175" s="676"/>
      <c r="P175" s="676"/>
      <c r="Q175" s="676"/>
      <c r="R175" s="676"/>
      <c r="S175" s="676"/>
      <c r="T175" s="676"/>
      <c r="U175" s="676"/>
      <c r="V175" s="676"/>
      <c r="W175" s="676">
        <f t="shared" si="90"/>
        <v>0</v>
      </c>
      <c r="Y175" s="688">
        <f>IFERROR(VLOOKUP($A175,'[96]1月'!$A:$H,8,0),0)</f>
        <v>0</v>
      </c>
      <c r="Z175" s="688">
        <f>IFERROR(VLOOKUP($A175,'[96]2月'!$A:$H,8,0),0)</f>
        <v>0</v>
      </c>
      <c r="AA175" s="688">
        <f>IFERROR(VLOOKUP($A175,'[96]3月'!$A:$H,8,0),0)</f>
        <v>0</v>
      </c>
      <c r="AB175" s="688">
        <f>IFERROR(VLOOKUP($A175,'[96]4月'!$A:$H,8,0),0)</f>
        <v>0</v>
      </c>
      <c r="AC175" s="688">
        <f>IFERROR(VLOOKUP($A175,'[96]5月'!$A:$H,8,0),0)</f>
        <v>0</v>
      </c>
      <c r="AD175" s="688">
        <f>IFERROR(VLOOKUP($A175,'[96]6月'!$A:$H,8,0),0)</f>
        <v>0</v>
      </c>
      <c r="AE175" s="688">
        <f>IFERROR(VLOOKUP($A175,'[96]7月'!$A:$H,8,0),0)</f>
        <v>0</v>
      </c>
      <c r="AF175" s="688">
        <f>IFERROR(VLOOKUP($A175,'[96]8月'!$A:$H,8,0),0)</f>
        <v>0</v>
      </c>
      <c r="AG175" s="688">
        <f>IFERROR(VLOOKUP($A175,'[96]9月'!$A:$H,8,0),0)</f>
        <v>0</v>
      </c>
      <c r="AH175" s="688">
        <f>IFERROR(VLOOKUP($A175,'[96]10月'!$A:$H,8,0),0)</f>
        <v>0</v>
      </c>
      <c r="AI175" s="688">
        <f>IFERROR(VLOOKUP($A175,'[96]11月'!$A:$H,8,0),0)</f>
        <v>0</v>
      </c>
      <c r="AJ175" s="688">
        <f>IFERROR(VLOOKUP($A175,'[96]12月'!$A:$H,8,0),0)</f>
        <v>0</v>
      </c>
      <c r="AK175" s="688">
        <f t="shared" si="91"/>
        <v>0</v>
      </c>
    </row>
    <row r="176" spans="1:37" ht="13.5" customHeight="1">
      <c r="A176" s="653" t="str">
        <f>'Budget-合并'!A176</f>
        <v>6111</v>
      </c>
      <c r="B176" s="653" t="str">
        <f>'Budget-合并'!B176</f>
        <v>投资收益</v>
      </c>
      <c r="C176" s="687" t="str">
        <f>'Budget-合并'!C176</f>
        <v>Gain on investment</v>
      </c>
      <c r="D176" s="676">
        <f t="shared" si="84"/>
        <v>0</v>
      </c>
      <c r="E176" s="676">
        <f t="shared" si="85"/>
        <v>0</v>
      </c>
      <c r="F176" s="676">
        <f t="shared" si="86"/>
        <v>0</v>
      </c>
      <c r="G176" s="676">
        <f t="shared" ca="1" si="87"/>
        <v>0</v>
      </c>
      <c r="H176" s="676">
        <f t="shared" ca="1" si="88"/>
        <v>0</v>
      </c>
      <c r="I176" s="676">
        <f t="shared" ca="1" si="89"/>
        <v>0</v>
      </c>
      <c r="K176" s="676"/>
      <c r="L176" s="676"/>
      <c r="M176" s="676"/>
      <c r="N176" s="676"/>
      <c r="O176" s="676"/>
      <c r="P176" s="676"/>
      <c r="Q176" s="676"/>
      <c r="R176" s="676"/>
      <c r="S176" s="676"/>
      <c r="T176" s="676"/>
      <c r="U176" s="676"/>
      <c r="V176" s="676"/>
      <c r="W176" s="676">
        <f t="shared" si="90"/>
        <v>0</v>
      </c>
      <c r="Y176" s="688">
        <f>IFERROR(VLOOKUP($A176,'[96]1月'!$A:$H,8,0),0)</f>
        <v>0</v>
      </c>
      <c r="Z176" s="688">
        <f>IFERROR(VLOOKUP($A176,'[96]2月'!$A:$H,8,0),0)</f>
        <v>0</v>
      </c>
      <c r="AA176" s="688">
        <f>IFERROR(VLOOKUP($A176,'[96]3月'!$A:$H,8,0),0)</f>
        <v>0</v>
      </c>
      <c r="AB176" s="688">
        <f>IFERROR(VLOOKUP($A176,'[96]4月'!$A:$H,8,0),0)</f>
        <v>0</v>
      </c>
      <c r="AC176" s="688">
        <f>IFERROR(VLOOKUP($A176,'[96]5月'!$A:$H,8,0),0)</f>
        <v>0</v>
      </c>
      <c r="AD176" s="688">
        <f>IFERROR(VLOOKUP($A176,'[96]6月'!$A:$H,8,0),0)</f>
        <v>0</v>
      </c>
      <c r="AE176" s="688">
        <f>IFERROR(VLOOKUP($A176,'[96]7月'!$A:$H,8,0),0)</f>
        <v>0</v>
      </c>
      <c r="AF176" s="688">
        <f>IFERROR(VLOOKUP($A176,'[96]8月'!$A:$H,8,0),0)</f>
        <v>0</v>
      </c>
      <c r="AG176" s="688">
        <f>IFERROR(VLOOKUP($A176,'[96]9月'!$A:$H,8,0),0)</f>
        <v>0</v>
      </c>
      <c r="AH176" s="688">
        <f>IFERROR(VLOOKUP($A176,'[96]10月'!$A:$H,8,0),0)</f>
        <v>0</v>
      </c>
      <c r="AI176" s="688">
        <f>IFERROR(VLOOKUP($A176,'[96]11月'!$A:$H,8,0),0)</f>
        <v>0</v>
      </c>
      <c r="AJ176" s="688">
        <f>IFERROR(VLOOKUP($A176,'[96]12月'!$A:$H,8,0),0)</f>
        <v>0</v>
      </c>
      <c r="AK176" s="688">
        <f t="shared" si="91"/>
        <v>0</v>
      </c>
    </row>
    <row r="177" spans="1:37" ht="13.5" customHeight="1">
      <c r="A177" s="663" t="str">
        <f>'Budget-合并'!A177</f>
        <v>6115</v>
      </c>
      <c r="B177" s="663" t="str">
        <f>'Budget-合并'!B177</f>
        <v>其他收益</v>
      </c>
      <c r="C177" s="687" t="str">
        <f>'Budget-合并'!C177</f>
        <v>Other income</v>
      </c>
      <c r="D177" s="676">
        <f t="shared" si="84"/>
        <v>0</v>
      </c>
      <c r="E177" s="676">
        <f t="shared" si="85"/>
        <v>0</v>
      </c>
      <c r="F177" s="676">
        <f t="shared" si="86"/>
        <v>0</v>
      </c>
      <c r="G177" s="676">
        <f t="shared" ca="1" si="87"/>
        <v>0</v>
      </c>
      <c r="H177" s="676">
        <f t="shared" ca="1" si="88"/>
        <v>0</v>
      </c>
      <c r="I177" s="676">
        <f t="shared" ca="1" si="89"/>
        <v>0</v>
      </c>
      <c r="K177" s="676">
        <f t="shared" ref="K177:V177" si="92">SUM(K178:K180)</f>
        <v>0</v>
      </c>
      <c r="L177" s="676">
        <f t="shared" si="92"/>
        <v>0</v>
      </c>
      <c r="M177" s="676">
        <f t="shared" si="92"/>
        <v>0</v>
      </c>
      <c r="N177" s="676">
        <f t="shared" si="92"/>
        <v>0</v>
      </c>
      <c r="O177" s="676">
        <f t="shared" si="92"/>
        <v>0</v>
      </c>
      <c r="P177" s="676">
        <f t="shared" si="92"/>
        <v>0</v>
      </c>
      <c r="Q177" s="676">
        <f t="shared" si="92"/>
        <v>0</v>
      </c>
      <c r="R177" s="676">
        <f t="shared" si="92"/>
        <v>0</v>
      </c>
      <c r="S177" s="676">
        <f t="shared" si="92"/>
        <v>0</v>
      </c>
      <c r="T177" s="676">
        <f t="shared" si="92"/>
        <v>0</v>
      </c>
      <c r="U177" s="676">
        <f t="shared" si="92"/>
        <v>0</v>
      </c>
      <c r="V177" s="676">
        <f t="shared" si="92"/>
        <v>0</v>
      </c>
      <c r="W177" s="676">
        <f t="shared" si="90"/>
        <v>0</v>
      </c>
      <c r="Y177" s="688">
        <f>IFERROR(VLOOKUP($A177,'[96]1月'!$A:$H,8,0),0)</f>
        <v>0</v>
      </c>
      <c r="Z177" s="688">
        <f>IFERROR(VLOOKUP($A177,'[96]2月'!$A:$H,8,0),0)</f>
        <v>0</v>
      </c>
      <c r="AA177" s="688">
        <f>IFERROR(VLOOKUP($A177,'[96]3月'!$A:$H,8,0),0)</f>
        <v>0</v>
      </c>
      <c r="AB177" s="688">
        <f>IFERROR(VLOOKUP($A177,'[96]4月'!$A:$H,8,0),0)</f>
        <v>0</v>
      </c>
      <c r="AC177" s="688">
        <f>IFERROR(VLOOKUP($A177,'[96]5月'!$A:$H,8,0),0)</f>
        <v>0</v>
      </c>
      <c r="AD177" s="688">
        <f>IFERROR(VLOOKUP($A177,'[96]6月'!$A:$H,8,0),0)</f>
        <v>0</v>
      </c>
      <c r="AE177" s="688">
        <f>IFERROR(VLOOKUP($A177,'[96]7月'!$A:$H,8,0),0)</f>
        <v>0</v>
      </c>
      <c r="AF177" s="688">
        <f>IFERROR(VLOOKUP($A177,'[96]8月'!$A:$H,8,0),0)</f>
        <v>0</v>
      </c>
      <c r="AG177" s="688">
        <f>IFERROR(VLOOKUP($A177,'[96]9月'!$A:$H,8,0),0)</f>
        <v>0</v>
      </c>
      <c r="AH177" s="688">
        <f>IFERROR(VLOOKUP($A177,'[96]10月'!$A:$H,8,0),0)</f>
        <v>0</v>
      </c>
      <c r="AI177" s="688">
        <f>IFERROR(VLOOKUP($A177,'[96]11月'!$A:$H,8,0),0)</f>
        <v>0</v>
      </c>
      <c r="AJ177" s="688">
        <f>IFERROR(VLOOKUP($A177,'[96]12月'!$A:$H,8,0),0)</f>
        <v>0</v>
      </c>
      <c r="AK177" s="688">
        <f t="shared" si="91"/>
        <v>0</v>
      </c>
    </row>
    <row r="178" spans="1:37" ht="13.5" customHeight="1">
      <c r="A178" s="653" t="str">
        <f>'Budget-合并'!A178</f>
        <v>6115.01</v>
      </c>
      <c r="B178" s="653" t="str">
        <f>'Budget-合并'!B178</f>
        <v>政府补助</v>
      </c>
      <c r="C178" s="687">
        <f>'Budget-合并'!C178</f>
        <v>0</v>
      </c>
      <c r="D178" s="676">
        <f t="shared" si="84"/>
        <v>0</v>
      </c>
      <c r="E178" s="676">
        <f t="shared" si="85"/>
        <v>0</v>
      </c>
      <c r="F178" s="676">
        <f t="shared" si="86"/>
        <v>0</v>
      </c>
      <c r="G178" s="676">
        <f t="shared" ca="1" si="87"/>
        <v>0</v>
      </c>
      <c r="H178" s="676">
        <f t="shared" ca="1" si="88"/>
        <v>0</v>
      </c>
      <c r="I178" s="676">
        <f t="shared" ca="1" si="89"/>
        <v>0</v>
      </c>
      <c r="K178" s="676"/>
      <c r="L178" s="676"/>
      <c r="M178" s="676"/>
      <c r="N178" s="676"/>
      <c r="O178" s="676"/>
      <c r="P178" s="676"/>
      <c r="Q178" s="676"/>
      <c r="R178" s="676"/>
      <c r="S178" s="676"/>
      <c r="T178" s="676"/>
      <c r="U178" s="676"/>
      <c r="V178" s="676"/>
      <c r="W178" s="676">
        <f t="shared" si="90"/>
        <v>0</v>
      </c>
      <c r="Y178" s="688">
        <f>IFERROR(VLOOKUP($A178,'[96]1月'!$A:$H,8,0),0)</f>
        <v>0</v>
      </c>
      <c r="Z178" s="688">
        <f>IFERROR(VLOOKUP($A178,'[96]2月'!$A:$H,8,0),0)</f>
        <v>0</v>
      </c>
      <c r="AA178" s="688">
        <f>IFERROR(VLOOKUP($A178,'[96]3月'!$A:$H,8,0),0)</f>
        <v>0</v>
      </c>
      <c r="AB178" s="688">
        <f>IFERROR(VLOOKUP($A178,'[96]4月'!$A:$H,8,0),0)</f>
        <v>0</v>
      </c>
      <c r="AC178" s="688">
        <f>IFERROR(VLOOKUP($A178,'[96]5月'!$A:$H,8,0),0)</f>
        <v>0</v>
      </c>
      <c r="AD178" s="688">
        <f>IFERROR(VLOOKUP($A178,'[96]6月'!$A:$H,8,0),0)</f>
        <v>0</v>
      </c>
      <c r="AE178" s="688">
        <f>IFERROR(VLOOKUP($A178,'[96]7月'!$A:$H,8,0),0)</f>
        <v>0</v>
      </c>
      <c r="AF178" s="688">
        <f>IFERROR(VLOOKUP($A178,'[96]8月'!$A:$H,8,0),0)</f>
        <v>0</v>
      </c>
      <c r="AG178" s="688">
        <f>IFERROR(VLOOKUP($A178,'[96]9月'!$A:$H,8,0),0)</f>
        <v>0</v>
      </c>
      <c r="AH178" s="688">
        <f>IFERROR(VLOOKUP($A178,'[96]10月'!$A:$H,8,0),0)</f>
        <v>0</v>
      </c>
      <c r="AI178" s="688">
        <f>IFERROR(VLOOKUP($A178,'[96]11月'!$A:$H,8,0),0)</f>
        <v>0</v>
      </c>
      <c r="AJ178" s="688">
        <f>IFERROR(VLOOKUP($A178,'[96]12月'!$A:$H,8,0),0)</f>
        <v>0</v>
      </c>
      <c r="AK178" s="688">
        <f t="shared" si="91"/>
        <v>0</v>
      </c>
    </row>
    <row r="179" spans="1:37" ht="13.5" customHeight="1">
      <c r="A179" s="653" t="str">
        <f>'Budget-合并'!A179</f>
        <v>6115.02</v>
      </c>
      <c r="B179" s="653" t="str">
        <f>'Budget-合并'!B179</f>
        <v>个税手续费返还</v>
      </c>
      <c r="C179" s="687">
        <f>'Budget-合并'!C179</f>
        <v>0</v>
      </c>
      <c r="D179" s="676">
        <f t="shared" si="84"/>
        <v>0</v>
      </c>
      <c r="E179" s="676">
        <f t="shared" si="85"/>
        <v>0</v>
      </c>
      <c r="F179" s="676">
        <f t="shared" si="86"/>
        <v>0</v>
      </c>
      <c r="G179" s="676">
        <f t="shared" ca="1" si="87"/>
        <v>0</v>
      </c>
      <c r="H179" s="676">
        <f t="shared" ca="1" si="88"/>
        <v>0</v>
      </c>
      <c r="I179" s="676">
        <f t="shared" ca="1" si="89"/>
        <v>0</v>
      </c>
      <c r="K179" s="676"/>
      <c r="L179" s="676"/>
      <c r="M179" s="676"/>
      <c r="N179" s="676"/>
      <c r="O179" s="676"/>
      <c r="P179" s="676"/>
      <c r="Q179" s="676"/>
      <c r="R179" s="676"/>
      <c r="S179" s="676"/>
      <c r="T179" s="676"/>
      <c r="U179" s="676"/>
      <c r="V179" s="676"/>
      <c r="W179" s="676">
        <f t="shared" si="90"/>
        <v>0</v>
      </c>
      <c r="Y179" s="688">
        <f>IFERROR(VLOOKUP($A179,'[96]1月'!$A:$H,8,0),0)</f>
        <v>0</v>
      </c>
      <c r="Z179" s="688">
        <f>IFERROR(VLOOKUP($A179,'[96]2月'!$A:$H,8,0),0)</f>
        <v>0</v>
      </c>
      <c r="AA179" s="688">
        <f>IFERROR(VLOOKUP($A179,'[96]3月'!$A:$H,8,0),0)</f>
        <v>0</v>
      </c>
      <c r="AB179" s="688">
        <f>IFERROR(VLOOKUP($A179,'[96]4月'!$A:$H,8,0),0)</f>
        <v>0</v>
      </c>
      <c r="AC179" s="688">
        <f>IFERROR(VLOOKUP($A179,'[96]5月'!$A:$H,8,0),0)</f>
        <v>0</v>
      </c>
      <c r="AD179" s="688">
        <f>IFERROR(VLOOKUP($A179,'[96]6月'!$A:$H,8,0),0)</f>
        <v>0</v>
      </c>
      <c r="AE179" s="688">
        <f>IFERROR(VLOOKUP($A179,'[96]7月'!$A:$H,8,0),0)</f>
        <v>0</v>
      </c>
      <c r="AF179" s="688">
        <f>IFERROR(VLOOKUP($A179,'[96]8月'!$A:$H,8,0),0)</f>
        <v>0</v>
      </c>
      <c r="AG179" s="688">
        <f>IFERROR(VLOOKUP($A179,'[96]9月'!$A:$H,8,0),0)</f>
        <v>0</v>
      </c>
      <c r="AH179" s="688">
        <f>IFERROR(VLOOKUP($A179,'[96]10月'!$A:$H,8,0),0)</f>
        <v>0</v>
      </c>
      <c r="AI179" s="688">
        <f>IFERROR(VLOOKUP($A179,'[96]11月'!$A:$H,8,0),0)</f>
        <v>0</v>
      </c>
      <c r="AJ179" s="688">
        <f>IFERROR(VLOOKUP($A179,'[96]12月'!$A:$H,8,0),0)</f>
        <v>0</v>
      </c>
      <c r="AK179" s="688">
        <f t="shared" si="91"/>
        <v>0</v>
      </c>
    </row>
    <row r="180" spans="1:37" ht="13.5" customHeight="1">
      <c r="A180" s="653" t="str">
        <f>'Budget-合并'!A180</f>
        <v>6115.99</v>
      </c>
      <c r="B180" s="653" t="str">
        <f>'Budget-合并'!B180</f>
        <v>其他</v>
      </c>
      <c r="C180" s="687">
        <f>'Budget-合并'!C180</f>
        <v>0</v>
      </c>
      <c r="D180" s="676">
        <f t="shared" si="84"/>
        <v>0</v>
      </c>
      <c r="E180" s="676">
        <f t="shared" si="85"/>
        <v>0</v>
      </c>
      <c r="F180" s="676">
        <f t="shared" si="86"/>
        <v>0</v>
      </c>
      <c r="G180" s="676">
        <f t="shared" ca="1" si="87"/>
        <v>0</v>
      </c>
      <c r="H180" s="676">
        <f t="shared" ca="1" si="88"/>
        <v>0</v>
      </c>
      <c r="I180" s="676">
        <f t="shared" ca="1" si="89"/>
        <v>0</v>
      </c>
      <c r="K180" s="676"/>
      <c r="L180" s="676"/>
      <c r="M180" s="676"/>
      <c r="N180" s="676"/>
      <c r="O180" s="676"/>
      <c r="P180" s="676"/>
      <c r="Q180" s="676"/>
      <c r="R180" s="676"/>
      <c r="S180" s="676"/>
      <c r="T180" s="676"/>
      <c r="U180" s="676"/>
      <c r="V180" s="676"/>
      <c r="W180" s="676">
        <f t="shared" si="90"/>
        <v>0</v>
      </c>
      <c r="Y180" s="688">
        <f>IFERROR(VLOOKUP($A180,'[96]1月'!$A:$H,8,0),0)</f>
        <v>0</v>
      </c>
      <c r="Z180" s="688">
        <f>IFERROR(VLOOKUP($A180,'[96]2月'!$A:$H,8,0),0)</f>
        <v>0</v>
      </c>
      <c r="AA180" s="688">
        <f>IFERROR(VLOOKUP($A180,'[96]3月'!$A:$H,8,0),0)</f>
        <v>0</v>
      </c>
      <c r="AB180" s="688">
        <f>IFERROR(VLOOKUP($A180,'[96]4月'!$A:$H,8,0),0)</f>
        <v>0</v>
      </c>
      <c r="AC180" s="688">
        <f>IFERROR(VLOOKUP($A180,'[96]5月'!$A:$H,8,0),0)</f>
        <v>0</v>
      </c>
      <c r="AD180" s="688">
        <f>IFERROR(VLOOKUP($A180,'[96]6月'!$A:$H,8,0),0)</f>
        <v>0</v>
      </c>
      <c r="AE180" s="688">
        <f>IFERROR(VLOOKUP($A180,'[96]7月'!$A:$H,8,0),0)</f>
        <v>0</v>
      </c>
      <c r="AF180" s="688">
        <f>IFERROR(VLOOKUP($A180,'[96]8月'!$A:$H,8,0),0)</f>
        <v>0</v>
      </c>
      <c r="AG180" s="688">
        <f>IFERROR(VLOOKUP($A180,'[96]9月'!$A:$H,8,0),0)</f>
        <v>0</v>
      </c>
      <c r="AH180" s="688">
        <f>IFERROR(VLOOKUP($A180,'[96]10月'!$A:$H,8,0),0)</f>
        <v>0</v>
      </c>
      <c r="AI180" s="688">
        <f>IFERROR(VLOOKUP($A180,'[96]11月'!$A:$H,8,0),0)</f>
        <v>0</v>
      </c>
      <c r="AJ180" s="688">
        <f>IFERROR(VLOOKUP($A180,'[96]12月'!$A:$H,8,0),0)</f>
        <v>0</v>
      </c>
      <c r="AK180" s="688">
        <f t="shared" si="91"/>
        <v>0</v>
      </c>
    </row>
    <row r="181" spans="1:37" ht="13.5" customHeight="1">
      <c r="A181" s="653" t="str">
        <f>'Budget-合并'!A181</f>
        <v>6117</v>
      </c>
      <c r="B181" s="653" t="str">
        <f>'Budget-合并'!B181</f>
        <v>资产处置损益</v>
      </c>
      <c r="C181" s="687">
        <f>'Budget-合并'!C181</f>
        <v>0</v>
      </c>
      <c r="D181" s="676">
        <f t="shared" si="84"/>
        <v>0</v>
      </c>
      <c r="E181" s="676">
        <f t="shared" si="85"/>
        <v>0</v>
      </c>
      <c r="F181" s="676">
        <f t="shared" si="86"/>
        <v>0</v>
      </c>
      <c r="G181" s="676">
        <f t="shared" ca="1" si="87"/>
        <v>0</v>
      </c>
      <c r="H181" s="676">
        <f t="shared" ca="1" si="88"/>
        <v>0</v>
      </c>
      <c r="I181" s="676">
        <f t="shared" ca="1" si="89"/>
        <v>0</v>
      </c>
      <c r="K181" s="676"/>
      <c r="L181" s="676"/>
      <c r="M181" s="676"/>
      <c r="N181" s="676"/>
      <c r="O181" s="676"/>
      <c r="P181" s="676"/>
      <c r="Q181" s="676"/>
      <c r="R181" s="676"/>
      <c r="S181" s="676"/>
      <c r="T181" s="676"/>
      <c r="U181" s="676"/>
      <c r="V181" s="676"/>
      <c r="W181" s="676">
        <f t="shared" si="90"/>
        <v>0</v>
      </c>
      <c r="Y181" s="688">
        <f>IFERROR(VLOOKUP($A181,'[96]1月'!$A:$H,8,0),0)</f>
        <v>0</v>
      </c>
      <c r="Z181" s="688">
        <f>IFERROR(VLOOKUP($A181,'[96]2月'!$A:$H,8,0),0)</f>
        <v>0</v>
      </c>
      <c r="AA181" s="688">
        <f>IFERROR(VLOOKUP($A181,'[96]3月'!$A:$H,8,0),0)</f>
        <v>0</v>
      </c>
      <c r="AB181" s="688">
        <f>IFERROR(VLOOKUP($A181,'[96]4月'!$A:$H,8,0),0)</f>
        <v>0</v>
      </c>
      <c r="AC181" s="688">
        <f>IFERROR(VLOOKUP($A181,'[96]5月'!$A:$H,8,0),0)</f>
        <v>0</v>
      </c>
      <c r="AD181" s="688">
        <f>IFERROR(VLOOKUP($A181,'[96]6月'!$A:$H,8,0),0)</f>
        <v>0</v>
      </c>
      <c r="AE181" s="688">
        <f>IFERROR(VLOOKUP($A181,'[96]7月'!$A:$H,8,0),0)</f>
        <v>0</v>
      </c>
      <c r="AF181" s="688">
        <f>IFERROR(VLOOKUP($A181,'[96]8月'!$A:$H,8,0),0)</f>
        <v>0</v>
      </c>
      <c r="AG181" s="688">
        <f>IFERROR(VLOOKUP($A181,'[96]9月'!$A:$H,8,0),0)</f>
        <v>0</v>
      </c>
      <c r="AH181" s="688">
        <f>IFERROR(VLOOKUP($A181,'[96]10月'!$A:$H,8,0),0)</f>
        <v>0</v>
      </c>
      <c r="AI181" s="688">
        <f>IFERROR(VLOOKUP($A181,'[96]11月'!$A:$H,8,0),0)</f>
        <v>0</v>
      </c>
      <c r="AJ181" s="688">
        <f>IFERROR(VLOOKUP($A181,'[96]12月'!$A:$H,8,0),0)</f>
        <v>0</v>
      </c>
      <c r="AK181" s="688">
        <f t="shared" si="91"/>
        <v>0</v>
      </c>
    </row>
    <row r="182" spans="1:37" ht="13.5" customHeight="1">
      <c r="A182" s="653" t="str">
        <f>'Budget-合并'!A182</f>
        <v>6118</v>
      </c>
      <c r="B182" s="653" t="str">
        <f>'Budget-合并'!B182</f>
        <v>净敞口套期损益</v>
      </c>
      <c r="C182" s="687">
        <f>'Budget-合并'!C182</f>
        <v>0</v>
      </c>
      <c r="D182" s="676">
        <f t="shared" si="84"/>
        <v>0</v>
      </c>
      <c r="E182" s="676">
        <f t="shared" si="85"/>
        <v>0</v>
      </c>
      <c r="F182" s="676">
        <f t="shared" si="86"/>
        <v>0</v>
      </c>
      <c r="G182" s="676">
        <f t="shared" ca="1" si="87"/>
        <v>0</v>
      </c>
      <c r="H182" s="676">
        <f t="shared" ca="1" si="88"/>
        <v>0</v>
      </c>
      <c r="I182" s="676">
        <f t="shared" ca="1" si="89"/>
        <v>0</v>
      </c>
      <c r="K182" s="676"/>
      <c r="L182" s="676"/>
      <c r="M182" s="676"/>
      <c r="N182" s="676"/>
      <c r="O182" s="676"/>
      <c r="P182" s="676"/>
      <c r="Q182" s="676"/>
      <c r="R182" s="676"/>
      <c r="S182" s="676"/>
      <c r="T182" s="676"/>
      <c r="U182" s="676"/>
      <c r="V182" s="676"/>
      <c r="W182" s="676">
        <f t="shared" si="90"/>
        <v>0</v>
      </c>
      <c r="Y182" s="688">
        <f>IFERROR(VLOOKUP($A182,'[96]1月'!$A:$H,8,0),0)</f>
        <v>0</v>
      </c>
      <c r="Z182" s="688">
        <f>IFERROR(VLOOKUP($A182,'[96]2月'!$A:$H,8,0),0)</f>
        <v>0</v>
      </c>
      <c r="AA182" s="688">
        <f>IFERROR(VLOOKUP($A182,'[96]3月'!$A:$H,8,0),0)</f>
        <v>0</v>
      </c>
      <c r="AB182" s="688">
        <f>IFERROR(VLOOKUP($A182,'[96]4月'!$A:$H,8,0),0)</f>
        <v>0</v>
      </c>
      <c r="AC182" s="688">
        <f>IFERROR(VLOOKUP($A182,'[96]5月'!$A:$H,8,0),0)</f>
        <v>0</v>
      </c>
      <c r="AD182" s="688">
        <f>IFERROR(VLOOKUP($A182,'[96]6月'!$A:$H,8,0),0)</f>
        <v>0</v>
      </c>
      <c r="AE182" s="688">
        <f>IFERROR(VLOOKUP($A182,'[96]7月'!$A:$H,8,0),0)</f>
        <v>0</v>
      </c>
      <c r="AF182" s="688">
        <f>IFERROR(VLOOKUP($A182,'[96]8月'!$A:$H,8,0),0)</f>
        <v>0</v>
      </c>
      <c r="AG182" s="688">
        <f>IFERROR(VLOOKUP($A182,'[96]9月'!$A:$H,8,0),0)</f>
        <v>0</v>
      </c>
      <c r="AH182" s="688">
        <f>IFERROR(VLOOKUP($A182,'[96]10月'!$A:$H,8,0),0)</f>
        <v>0</v>
      </c>
      <c r="AI182" s="688">
        <f>IFERROR(VLOOKUP($A182,'[96]11月'!$A:$H,8,0),0)</f>
        <v>0</v>
      </c>
      <c r="AJ182" s="688">
        <f>IFERROR(VLOOKUP($A182,'[96]12月'!$A:$H,8,0),0)</f>
        <v>0</v>
      </c>
      <c r="AK182" s="688">
        <f t="shared" si="91"/>
        <v>0</v>
      </c>
    </row>
    <row r="183" spans="1:37" ht="13.5" customHeight="1">
      <c r="A183" s="686">
        <f>'Budget-合并'!A183</f>
        <v>0</v>
      </c>
      <c r="B183" s="686" t="str">
        <f>'Budget-合并'!B183</f>
        <v>其他收益合计</v>
      </c>
      <c r="C183" s="687">
        <f>'Budget-合并'!C183</f>
        <v>0</v>
      </c>
      <c r="D183" s="677">
        <f t="shared" si="84"/>
        <v>0</v>
      </c>
      <c r="E183" s="677">
        <f t="shared" si="85"/>
        <v>0</v>
      </c>
      <c r="F183" s="677">
        <f t="shared" si="86"/>
        <v>0</v>
      </c>
      <c r="G183" s="677">
        <f t="shared" ca="1" si="87"/>
        <v>0</v>
      </c>
      <c r="H183" s="677">
        <f t="shared" ca="1" si="88"/>
        <v>0</v>
      </c>
      <c r="I183" s="677">
        <f t="shared" ca="1" si="89"/>
        <v>0</v>
      </c>
      <c r="K183" s="677">
        <f t="shared" ref="K183:W183" si="93">SUM(K174,K174:K177,K181:K182)</f>
        <v>0</v>
      </c>
      <c r="L183" s="677">
        <f t="shared" si="93"/>
        <v>0</v>
      </c>
      <c r="M183" s="677">
        <f t="shared" si="93"/>
        <v>0</v>
      </c>
      <c r="N183" s="677">
        <f t="shared" si="93"/>
        <v>0</v>
      </c>
      <c r="O183" s="677">
        <f t="shared" si="93"/>
        <v>0</v>
      </c>
      <c r="P183" s="677">
        <f t="shared" si="93"/>
        <v>0</v>
      </c>
      <c r="Q183" s="677">
        <f t="shared" si="93"/>
        <v>0</v>
      </c>
      <c r="R183" s="677">
        <f t="shared" si="93"/>
        <v>0</v>
      </c>
      <c r="S183" s="677">
        <f t="shared" si="93"/>
        <v>0</v>
      </c>
      <c r="T183" s="677">
        <f t="shared" si="93"/>
        <v>0</v>
      </c>
      <c r="U183" s="677">
        <f t="shared" si="93"/>
        <v>0</v>
      </c>
      <c r="V183" s="677">
        <f t="shared" si="93"/>
        <v>0</v>
      </c>
      <c r="W183" s="677">
        <f t="shared" si="93"/>
        <v>0</v>
      </c>
      <c r="Y183" s="677">
        <f t="shared" ref="Y183:AK183" si="94">SUM(Y174,Y174:Y177,Y181:Y182)</f>
        <v>0</v>
      </c>
      <c r="Z183" s="677">
        <f t="shared" si="94"/>
        <v>0</v>
      </c>
      <c r="AA183" s="677">
        <f t="shared" si="94"/>
        <v>0</v>
      </c>
      <c r="AB183" s="677">
        <f t="shared" si="94"/>
        <v>0</v>
      </c>
      <c r="AC183" s="677">
        <f t="shared" si="94"/>
        <v>0</v>
      </c>
      <c r="AD183" s="677">
        <f t="shared" si="94"/>
        <v>0</v>
      </c>
      <c r="AE183" s="677">
        <f t="shared" si="94"/>
        <v>0</v>
      </c>
      <c r="AF183" s="677">
        <f t="shared" si="94"/>
        <v>0</v>
      </c>
      <c r="AG183" s="677">
        <f t="shared" si="94"/>
        <v>0</v>
      </c>
      <c r="AH183" s="677">
        <f t="shared" si="94"/>
        <v>0</v>
      </c>
      <c r="AI183" s="677">
        <f t="shared" si="94"/>
        <v>0</v>
      </c>
      <c r="AJ183" s="677">
        <f t="shared" si="94"/>
        <v>0</v>
      </c>
      <c r="AK183" s="677">
        <f t="shared" si="94"/>
        <v>0</v>
      </c>
    </row>
    <row r="184" spans="1:37" ht="13.5" customHeight="1">
      <c r="A184" s="653">
        <f>'Budget-合并'!A184</f>
        <v>0</v>
      </c>
      <c r="B184" s="653">
        <f>'Budget-合并'!B184</f>
        <v>0</v>
      </c>
      <c r="C184" s="687">
        <f>'Budget-合并'!C184</f>
        <v>0</v>
      </c>
      <c r="W184" s="652">
        <f t="shared" ref="W184:W198" si="95">SUM(K184:V184)</f>
        <v>0</v>
      </c>
    </row>
    <row r="185" spans="1:37" ht="13.5" customHeight="1">
      <c r="A185" s="686">
        <f>'Budget-合并'!A185</f>
        <v>0</v>
      </c>
      <c r="B185" s="686" t="str">
        <f>'Budget-合并'!B185</f>
        <v>营业利润</v>
      </c>
      <c r="C185" s="687">
        <f>'Budget-合并'!C185</f>
        <v>0</v>
      </c>
      <c r="D185" s="677">
        <f ca="1">SUM($K185:OFFSET($K185,0,MATCH(D$6,$K$6:$V$6)-1))</f>
        <v>-47434.013333333336</v>
      </c>
      <c r="E185" s="677">
        <f t="shared" ref="E185:E198" si="96">INDEX($Y185:$AJ185,1,MATCH($E$6,$Y$6:$AJ$6))</f>
        <v>-195.83</v>
      </c>
      <c r="F185" s="677">
        <f ca="1">D185-E185</f>
        <v>-47238.183333333334</v>
      </c>
      <c r="G185" s="677">
        <f t="shared" ref="G185:G199" ca="1" si="97">SUM($K185:OFFSET($K185,0,MATCH(G$6,$K$6:$V$6)-1))</f>
        <v>-47434.013333333336</v>
      </c>
      <c r="H185" s="677">
        <f t="shared" ref="H185:H198" ca="1" si="98">SUM($Y185:OFFSET($Y185,0,MATCH(H$6,$Y$6:$AJ$6)-1))</f>
        <v>-195.83</v>
      </c>
      <c r="I185" s="677">
        <f ca="1">G185-H185</f>
        <v>-47238.183333333334</v>
      </c>
      <c r="K185" s="677">
        <f t="shared" ref="K185:V185" si="99">K12-K19-K42-K153-K172+K183</f>
        <v>-47434.013333333336</v>
      </c>
      <c r="L185" s="677">
        <f t="shared" si="99"/>
        <v>-44672.373333333337</v>
      </c>
      <c r="M185" s="677">
        <f t="shared" si="99"/>
        <v>-44672.373333333337</v>
      </c>
      <c r="N185" s="677">
        <f t="shared" si="99"/>
        <v>-83.333333333333329</v>
      </c>
      <c r="O185" s="677">
        <f t="shared" si="99"/>
        <v>-83.333333333333329</v>
      </c>
      <c r="P185" s="677">
        <f t="shared" si="99"/>
        <v>-17083.333333333332</v>
      </c>
      <c r="Q185" s="677">
        <f t="shared" si="99"/>
        <v>-83.333333333333329</v>
      </c>
      <c r="R185" s="677">
        <f t="shared" si="99"/>
        <v>-83.333333333333329</v>
      </c>
      <c r="S185" s="677">
        <f t="shared" si="99"/>
        <v>-83.333333333333329</v>
      </c>
      <c r="T185" s="677">
        <f t="shared" si="99"/>
        <v>-83.333333333333329</v>
      </c>
      <c r="U185" s="677">
        <f t="shared" si="99"/>
        <v>-83.333333333333329</v>
      </c>
      <c r="V185" s="677">
        <f t="shared" si="99"/>
        <v>-3083.3333333333335</v>
      </c>
      <c r="W185" s="5">
        <f t="shared" si="95"/>
        <v>-157528.7600000001</v>
      </c>
      <c r="Y185" s="677">
        <f t="shared" ref="Y185:AK185" si="100">Y12-Y19-Y42-Y153-Y172+Y183</f>
        <v>-195.83</v>
      </c>
      <c r="Z185" s="677">
        <f t="shared" si="100"/>
        <v>-25</v>
      </c>
      <c r="AA185" s="677">
        <f t="shared" si="100"/>
        <v>-10.49</v>
      </c>
      <c r="AB185" s="677">
        <f t="shared" si="100"/>
        <v>-25</v>
      </c>
      <c r="AC185" s="677">
        <f t="shared" si="100"/>
        <v>-25</v>
      </c>
      <c r="AD185" s="677">
        <f t="shared" si="100"/>
        <v>-12.83</v>
      </c>
      <c r="AE185" s="677">
        <f t="shared" si="100"/>
        <v>-25</v>
      </c>
      <c r="AF185" s="677">
        <f t="shared" si="100"/>
        <v>-4857.88</v>
      </c>
      <c r="AG185" s="677">
        <f t="shared" si="100"/>
        <v>-10448.379999999999</v>
      </c>
      <c r="AH185" s="677">
        <f t="shared" si="100"/>
        <v>-10726.37</v>
      </c>
      <c r="AI185" s="677">
        <f t="shared" si="100"/>
        <v>-10381.16</v>
      </c>
      <c r="AJ185" s="677">
        <f t="shared" si="100"/>
        <v>-10719.11</v>
      </c>
      <c r="AK185" s="677">
        <f t="shared" si="100"/>
        <v>-47452.05000000001</v>
      </c>
    </row>
    <row r="186" spans="1:37" ht="13.5" customHeight="1">
      <c r="A186" s="653">
        <f>'Budget-合并'!A186</f>
        <v>0</v>
      </c>
      <c r="B186" s="653">
        <f>'Budget-合并'!B186</f>
        <v>0</v>
      </c>
      <c r="C186" s="687">
        <f>'Budget-合并'!C186</f>
        <v>0</v>
      </c>
    </row>
    <row r="187" spans="1:37" ht="13.5" customHeight="1">
      <c r="A187" s="653" t="str">
        <f>'Budget-合并'!A187</f>
        <v>6301</v>
      </c>
      <c r="B187" s="653" t="str">
        <f>'Budget-合并'!B187</f>
        <v>营业外收入</v>
      </c>
      <c r="C187" s="687">
        <f>'Budget-合并'!C187</f>
        <v>0</v>
      </c>
      <c r="D187" s="676">
        <f t="shared" ref="D187:D198" si="101">INDEX($K187:$V187,1,MATCH($D$6,$K$6:$V$6))</f>
        <v>0</v>
      </c>
      <c r="E187" s="676">
        <f t="shared" si="96"/>
        <v>0</v>
      </c>
      <c r="F187" s="676">
        <f t="shared" ref="F187:F199" si="102">D187-E187</f>
        <v>0</v>
      </c>
      <c r="G187" s="676">
        <f t="shared" ca="1" si="97"/>
        <v>0</v>
      </c>
      <c r="H187" s="676">
        <f t="shared" ca="1" si="98"/>
        <v>0</v>
      </c>
      <c r="I187" s="676">
        <f t="shared" ref="I187:I199" ca="1" si="103">G187-H187</f>
        <v>0</v>
      </c>
      <c r="K187" s="676">
        <f t="shared" ref="K187:V187" si="104">SUM(K188:K192)</f>
        <v>0</v>
      </c>
      <c r="L187" s="676">
        <f t="shared" si="104"/>
        <v>0</v>
      </c>
      <c r="M187" s="676">
        <f t="shared" si="104"/>
        <v>0</v>
      </c>
      <c r="N187" s="676">
        <f t="shared" si="104"/>
        <v>0</v>
      </c>
      <c r="O187" s="676">
        <f t="shared" si="104"/>
        <v>0</v>
      </c>
      <c r="P187" s="676">
        <f t="shared" si="104"/>
        <v>0</v>
      </c>
      <c r="Q187" s="676">
        <f t="shared" si="104"/>
        <v>0</v>
      </c>
      <c r="R187" s="676">
        <f t="shared" si="104"/>
        <v>0</v>
      </c>
      <c r="S187" s="676">
        <f t="shared" si="104"/>
        <v>0</v>
      </c>
      <c r="T187" s="676">
        <f t="shared" si="104"/>
        <v>0</v>
      </c>
      <c r="U187" s="676">
        <f t="shared" si="104"/>
        <v>0</v>
      </c>
      <c r="V187" s="676">
        <f t="shared" si="104"/>
        <v>0</v>
      </c>
      <c r="W187" s="676">
        <f t="shared" si="95"/>
        <v>0</v>
      </c>
      <c r="Y187" s="688">
        <f>IFERROR(VLOOKUP($A187,'[96]1月'!$A:$H,8,0),0)</f>
        <v>0</v>
      </c>
      <c r="Z187" s="688">
        <f>IFERROR(VLOOKUP($A187,'[96]2月'!$A:$H,8,0),0)</f>
        <v>0</v>
      </c>
      <c r="AA187" s="688">
        <f>IFERROR(VLOOKUP($A187,'[96]3月'!$A:$H,8,0),0)</f>
        <v>0</v>
      </c>
      <c r="AB187" s="688">
        <f>IFERROR(VLOOKUP($A187,'[96]4月'!$A:$H,8,0),0)</f>
        <v>0</v>
      </c>
      <c r="AC187" s="688">
        <f>IFERROR(VLOOKUP($A187,'[96]5月'!$A:$H,8,0),0)</f>
        <v>0</v>
      </c>
      <c r="AD187" s="688">
        <f>IFERROR(VLOOKUP($A187,'[96]6月'!$A:$H,8,0),0)</f>
        <v>0</v>
      </c>
      <c r="AE187" s="688">
        <f>IFERROR(VLOOKUP($A187,'[96]7月'!$A:$H,8,0),0)</f>
        <v>0</v>
      </c>
      <c r="AF187" s="688">
        <f>IFERROR(VLOOKUP($A187,'[96]8月'!$A:$H,8,0),0)</f>
        <v>0</v>
      </c>
      <c r="AG187" s="688">
        <f>IFERROR(VLOOKUP($A187,'[96]9月'!$A:$H,8,0),0)</f>
        <v>0</v>
      </c>
      <c r="AH187" s="688">
        <f>IFERROR(VLOOKUP($A187,'[96]10月'!$A:$H,8,0),0)</f>
        <v>0</v>
      </c>
      <c r="AI187" s="688">
        <f>IFERROR(VLOOKUP($A187,'[96]11月'!$A:$H,8,0),0)</f>
        <v>0</v>
      </c>
      <c r="AJ187" s="688">
        <f>IFERROR(VLOOKUP($A187,'[96]12月'!$A:$H,8,0),0)</f>
        <v>0</v>
      </c>
      <c r="AK187" s="688">
        <f t="shared" ref="AK187:AK198" si="105">SUM(Y187:AJ187)</f>
        <v>0</v>
      </c>
    </row>
    <row r="188" spans="1:37" ht="13.5" customHeight="1">
      <c r="A188" s="653" t="str">
        <f>'Budget-合并'!A188</f>
        <v>6301.01</v>
      </c>
      <c r="B188" s="653" t="str">
        <f>'Budget-合并'!B188</f>
        <v>非流动资产处置利得</v>
      </c>
      <c r="C188" s="687">
        <f>'Budget-合并'!C188</f>
        <v>0</v>
      </c>
      <c r="D188" s="676">
        <f t="shared" si="101"/>
        <v>0</v>
      </c>
      <c r="E188" s="676">
        <f t="shared" si="96"/>
        <v>0</v>
      </c>
      <c r="F188" s="676">
        <f t="shared" si="102"/>
        <v>0</v>
      </c>
      <c r="G188" s="676">
        <f t="shared" ca="1" si="97"/>
        <v>0</v>
      </c>
      <c r="H188" s="676">
        <f t="shared" ca="1" si="98"/>
        <v>0</v>
      </c>
      <c r="I188" s="676">
        <f t="shared" ca="1" si="103"/>
        <v>0</v>
      </c>
      <c r="K188" s="676"/>
      <c r="L188" s="676"/>
      <c r="M188" s="676"/>
      <c r="N188" s="676"/>
      <c r="O188" s="676"/>
      <c r="P188" s="676"/>
      <c r="Q188" s="676"/>
      <c r="R188" s="676"/>
      <c r="S188" s="676"/>
      <c r="T188" s="676"/>
      <c r="U188" s="676"/>
      <c r="V188" s="676"/>
      <c r="W188" s="676">
        <f t="shared" si="95"/>
        <v>0</v>
      </c>
      <c r="Y188" s="688">
        <f>IFERROR(VLOOKUP($A188,'[96]1月'!$A:$H,8,0),0)</f>
        <v>0</v>
      </c>
      <c r="Z188" s="688">
        <f>IFERROR(VLOOKUP($A188,'[96]2月'!$A:$H,8,0),0)</f>
        <v>0</v>
      </c>
      <c r="AA188" s="688">
        <f>IFERROR(VLOOKUP($A188,'[96]3月'!$A:$H,8,0),0)</f>
        <v>0</v>
      </c>
      <c r="AB188" s="688">
        <f>IFERROR(VLOOKUP($A188,'[96]4月'!$A:$H,8,0),0)</f>
        <v>0</v>
      </c>
      <c r="AC188" s="688">
        <f>IFERROR(VLOOKUP($A188,'[96]5月'!$A:$H,8,0),0)</f>
        <v>0</v>
      </c>
      <c r="AD188" s="688">
        <f>IFERROR(VLOOKUP($A188,'[96]6月'!$A:$H,8,0),0)</f>
        <v>0</v>
      </c>
      <c r="AE188" s="688">
        <f>IFERROR(VLOOKUP($A188,'[96]7月'!$A:$H,8,0),0)</f>
        <v>0</v>
      </c>
      <c r="AF188" s="688">
        <f>IFERROR(VLOOKUP($A188,'[96]8月'!$A:$H,8,0),0)</f>
        <v>0</v>
      </c>
      <c r="AG188" s="688">
        <f>IFERROR(VLOOKUP($A188,'[96]9月'!$A:$H,8,0),0)</f>
        <v>0</v>
      </c>
      <c r="AH188" s="688">
        <f>IFERROR(VLOOKUP($A188,'[96]10月'!$A:$H,8,0),0)</f>
        <v>0</v>
      </c>
      <c r="AI188" s="688">
        <f>IFERROR(VLOOKUP($A188,'[96]11月'!$A:$H,8,0),0)</f>
        <v>0</v>
      </c>
      <c r="AJ188" s="688">
        <f>IFERROR(VLOOKUP($A188,'[96]12月'!$A:$H,8,0),0)</f>
        <v>0</v>
      </c>
      <c r="AK188" s="688">
        <f t="shared" si="105"/>
        <v>0</v>
      </c>
    </row>
    <row r="189" spans="1:37" ht="13.5" customHeight="1">
      <c r="A189" s="653" t="str">
        <f>'Budget-合并'!A189</f>
        <v>6301.02</v>
      </c>
      <c r="B189" s="653" t="str">
        <f>'Budget-合并'!B189</f>
        <v>债务重组利得</v>
      </c>
      <c r="C189" s="687">
        <f>'Budget-合并'!C189</f>
        <v>0</v>
      </c>
      <c r="D189" s="676">
        <f t="shared" si="101"/>
        <v>0</v>
      </c>
      <c r="E189" s="676">
        <f t="shared" si="96"/>
        <v>0</v>
      </c>
      <c r="F189" s="676">
        <f t="shared" si="102"/>
        <v>0</v>
      </c>
      <c r="G189" s="676">
        <f t="shared" ca="1" si="97"/>
        <v>0</v>
      </c>
      <c r="H189" s="676">
        <f t="shared" ca="1" si="98"/>
        <v>0</v>
      </c>
      <c r="I189" s="676">
        <f t="shared" ca="1" si="103"/>
        <v>0</v>
      </c>
      <c r="K189" s="676"/>
      <c r="L189" s="676"/>
      <c r="M189" s="676"/>
      <c r="N189" s="676"/>
      <c r="O189" s="676"/>
      <c r="P189" s="676"/>
      <c r="Q189" s="676"/>
      <c r="R189" s="676"/>
      <c r="S189" s="676"/>
      <c r="T189" s="676"/>
      <c r="U189" s="676"/>
      <c r="V189" s="676"/>
      <c r="W189" s="676">
        <f t="shared" si="95"/>
        <v>0</v>
      </c>
      <c r="Y189" s="688">
        <f>IFERROR(VLOOKUP($A189,'[96]1月'!$A:$H,8,0),0)</f>
        <v>0</v>
      </c>
      <c r="Z189" s="688">
        <f>IFERROR(VLOOKUP($A189,'[96]2月'!$A:$H,8,0),0)</f>
        <v>0</v>
      </c>
      <c r="AA189" s="688">
        <f>IFERROR(VLOOKUP($A189,'[96]3月'!$A:$H,8,0),0)</f>
        <v>0</v>
      </c>
      <c r="AB189" s="688">
        <f>IFERROR(VLOOKUP($A189,'[96]4月'!$A:$H,8,0),0)</f>
        <v>0</v>
      </c>
      <c r="AC189" s="688">
        <f>IFERROR(VLOOKUP($A189,'[96]5月'!$A:$H,8,0),0)</f>
        <v>0</v>
      </c>
      <c r="AD189" s="688">
        <f>IFERROR(VLOOKUP($A189,'[96]6月'!$A:$H,8,0),0)</f>
        <v>0</v>
      </c>
      <c r="AE189" s="688">
        <f>IFERROR(VLOOKUP($A189,'[96]7月'!$A:$H,8,0),0)</f>
        <v>0</v>
      </c>
      <c r="AF189" s="688">
        <f>IFERROR(VLOOKUP($A189,'[96]8月'!$A:$H,8,0),0)</f>
        <v>0</v>
      </c>
      <c r="AG189" s="688">
        <f>IFERROR(VLOOKUP($A189,'[96]9月'!$A:$H,8,0),0)</f>
        <v>0</v>
      </c>
      <c r="AH189" s="688">
        <f>IFERROR(VLOOKUP($A189,'[96]10月'!$A:$H,8,0),0)</f>
        <v>0</v>
      </c>
      <c r="AI189" s="688">
        <f>IFERROR(VLOOKUP($A189,'[96]11月'!$A:$H,8,0),0)</f>
        <v>0</v>
      </c>
      <c r="AJ189" s="688">
        <f>IFERROR(VLOOKUP($A189,'[96]12月'!$A:$H,8,0),0)</f>
        <v>0</v>
      </c>
      <c r="AK189" s="688">
        <f t="shared" si="105"/>
        <v>0</v>
      </c>
    </row>
    <row r="190" spans="1:37" ht="13.5" customHeight="1">
      <c r="A190" s="653" t="str">
        <f>'Budget-合并'!A190</f>
        <v>6301.03</v>
      </c>
      <c r="B190" s="653" t="str">
        <f>'Budget-合并'!B190</f>
        <v>盘盈利得</v>
      </c>
      <c r="C190" s="687">
        <f>'Budget-合并'!C190</f>
        <v>0</v>
      </c>
      <c r="D190" s="676">
        <f t="shared" si="101"/>
        <v>0</v>
      </c>
      <c r="E190" s="676">
        <f t="shared" si="96"/>
        <v>0</v>
      </c>
      <c r="F190" s="676">
        <f t="shared" si="102"/>
        <v>0</v>
      </c>
      <c r="G190" s="676">
        <f t="shared" ca="1" si="97"/>
        <v>0</v>
      </c>
      <c r="H190" s="676">
        <f t="shared" ca="1" si="98"/>
        <v>0</v>
      </c>
      <c r="I190" s="676">
        <f t="shared" ca="1" si="103"/>
        <v>0</v>
      </c>
      <c r="K190" s="676"/>
      <c r="L190" s="676"/>
      <c r="M190" s="676"/>
      <c r="N190" s="676"/>
      <c r="O190" s="676"/>
      <c r="P190" s="676"/>
      <c r="Q190" s="676"/>
      <c r="R190" s="676"/>
      <c r="S190" s="676"/>
      <c r="T190" s="676"/>
      <c r="U190" s="676"/>
      <c r="V190" s="676"/>
      <c r="W190" s="676">
        <f t="shared" si="95"/>
        <v>0</v>
      </c>
      <c r="Y190" s="688">
        <f>IFERROR(VLOOKUP($A190,'[96]1月'!$A:$H,8,0),0)</f>
        <v>0</v>
      </c>
      <c r="Z190" s="688">
        <f>IFERROR(VLOOKUP($A190,'[96]2月'!$A:$H,8,0),0)</f>
        <v>0</v>
      </c>
      <c r="AA190" s="688">
        <f>IFERROR(VLOOKUP($A190,'[96]3月'!$A:$H,8,0),0)</f>
        <v>0</v>
      </c>
      <c r="AB190" s="688">
        <f>IFERROR(VLOOKUP($A190,'[96]4月'!$A:$H,8,0),0)</f>
        <v>0</v>
      </c>
      <c r="AC190" s="688">
        <f>IFERROR(VLOOKUP($A190,'[96]5月'!$A:$H,8,0),0)</f>
        <v>0</v>
      </c>
      <c r="AD190" s="688">
        <f>IFERROR(VLOOKUP($A190,'[96]6月'!$A:$H,8,0),0)</f>
        <v>0</v>
      </c>
      <c r="AE190" s="688">
        <f>IFERROR(VLOOKUP($A190,'[96]7月'!$A:$H,8,0),0)</f>
        <v>0</v>
      </c>
      <c r="AF190" s="688">
        <f>IFERROR(VLOOKUP($A190,'[96]8月'!$A:$H,8,0),0)</f>
        <v>0</v>
      </c>
      <c r="AG190" s="688">
        <f>IFERROR(VLOOKUP($A190,'[96]9月'!$A:$H,8,0),0)</f>
        <v>0</v>
      </c>
      <c r="AH190" s="688">
        <f>IFERROR(VLOOKUP($A190,'[96]10月'!$A:$H,8,0),0)</f>
        <v>0</v>
      </c>
      <c r="AI190" s="688">
        <f>IFERROR(VLOOKUP($A190,'[96]11月'!$A:$H,8,0),0)</f>
        <v>0</v>
      </c>
      <c r="AJ190" s="688">
        <f>IFERROR(VLOOKUP($A190,'[96]12月'!$A:$H,8,0),0)</f>
        <v>0</v>
      </c>
      <c r="AK190" s="688">
        <f t="shared" si="105"/>
        <v>0</v>
      </c>
    </row>
    <row r="191" spans="1:37" ht="13.5" customHeight="1">
      <c r="A191" s="653" t="str">
        <f>'Budget-合并'!A191</f>
        <v>6301.04</v>
      </c>
      <c r="B191" s="653" t="str">
        <f>'Budget-合并'!B191</f>
        <v>捐赠利得</v>
      </c>
      <c r="C191" s="687">
        <f>'Budget-合并'!C191</f>
        <v>0</v>
      </c>
      <c r="D191" s="676">
        <f t="shared" si="101"/>
        <v>0</v>
      </c>
      <c r="E191" s="676">
        <f t="shared" si="96"/>
        <v>0</v>
      </c>
      <c r="F191" s="676">
        <f t="shared" si="102"/>
        <v>0</v>
      </c>
      <c r="G191" s="676">
        <f t="shared" ca="1" si="97"/>
        <v>0</v>
      </c>
      <c r="H191" s="676">
        <f t="shared" ca="1" si="98"/>
        <v>0</v>
      </c>
      <c r="I191" s="676">
        <f t="shared" ca="1" si="103"/>
        <v>0</v>
      </c>
      <c r="K191" s="676"/>
      <c r="L191" s="676"/>
      <c r="M191" s="676"/>
      <c r="N191" s="676"/>
      <c r="O191" s="676"/>
      <c r="P191" s="676"/>
      <c r="Q191" s="676"/>
      <c r="R191" s="676"/>
      <c r="S191" s="676"/>
      <c r="T191" s="676"/>
      <c r="U191" s="676"/>
      <c r="V191" s="676"/>
      <c r="W191" s="676">
        <f t="shared" si="95"/>
        <v>0</v>
      </c>
      <c r="Y191" s="688">
        <f>IFERROR(VLOOKUP($A191,'[96]1月'!$A:$H,8,0),0)</f>
        <v>0</v>
      </c>
      <c r="Z191" s="688">
        <f>IFERROR(VLOOKUP($A191,'[96]2月'!$A:$H,8,0),0)</f>
        <v>0</v>
      </c>
      <c r="AA191" s="688">
        <f>IFERROR(VLOOKUP($A191,'[96]3月'!$A:$H,8,0),0)</f>
        <v>0</v>
      </c>
      <c r="AB191" s="688">
        <f>IFERROR(VLOOKUP($A191,'[96]4月'!$A:$H,8,0),0)</f>
        <v>0</v>
      </c>
      <c r="AC191" s="688">
        <f>IFERROR(VLOOKUP($A191,'[96]5月'!$A:$H,8,0),0)</f>
        <v>0</v>
      </c>
      <c r="AD191" s="688">
        <f>IFERROR(VLOOKUP($A191,'[96]6月'!$A:$H,8,0),0)</f>
        <v>0</v>
      </c>
      <c r="AE191" s="688">
        <f>IFERROR(VLOOKUP($A191,'[96]7月'!$A:$H,8,0),0)</f>
        <v>0</v>
      </c>
      <c r="AF191" s="688">
        <f>IFERROR(VLOOKUP($A191,'[96]8月'!$A:$H,8,0),0)</f>
        <v>0</v>
      </c>
      <c r="AG191" s="688">
        <f>IFERROR(VLOOKUP($A191,'[96]9月'!$A:$H,8,0),0)</f>
        <v>0</v>
      </c>
      <c r="AH191" s="688">
        <f>IFERROR(VLOOKUP($A191,'[96]10月'!$A:$H,8,0),0)</f>
        <v>0</v>
      </c>
      <c r="AI191" s="688">
        <f>IFERROR(VLOOKUP($A191,'[96]11月'!$A:$H,8,0),0)</f>
        <v>0</v>
      </c>
      <c r="AJ191" s="688">
        <f>IFERROR(VLOOKUP($A191,'[96]12月'!$A:$H,8,0),0)</f>
        <v>0</v>
      </c>
      <c r="AK191" s="688">
        <f t="shared" si="105"/>
        <v>0</v>
      </c>
    </row>
    <row r="192" spans="1:37" ht="13.5" customHeight="1">
      <c r="A192" s="653" t="str">
        <f>'Budget-合并'!A192</f>
        <v>6301.99</v>
      </c>
      <c r="B192" s="653" t="str">
        <f>'Budget-合并'!B192</f>
        <v>其他</v>
      </c>
      <c r="C192" s="687">
        <f>'Budget-合并'!C192</f>
        <v>0</v>
      </c>
      <c r="D192" s="676">
        <f t="shared" si="101"/>
        <v>0</v>
      </c>
      <c r="E192" s="676">
        <f t="shared" si="96"/>
        <v>0</v>
      </c>
      <c r="F192" s="676">
        <f t="shared" si="102"/>
        <v>0</v>
      </c>
      <c r="G192" s="676">
        <f t="shared" ca="1" si="97"/>
        <v>0</v>
      </c>
      <c r="H192" s="676">
        <f t="shared" ca="1" si="98"/>
        <v>0</v>
      </c>
      <c r="I192" s="676">
        <f t="shared" ca="1" si="103"/>
        <v>0</v>
      </c>
      <c r="K192" s="676"/>
      <c r="L192" s="676"/>
      <c r="M192" s="676"/>
      <c r="N192" s="676"/>
      <c r="O192" s="676"/>
      <c r="P192" s="676"/>
      <c r="Q192" s="676"/>
      <c r="R192" s="676"/>
      <c r="S192" s="676"/>
      <c r="T192" s="676"/>
      <c r="U192" s="676"/>
      <c r="V192" s="676"/>
      <c r="W192" s="676">
        <f t="shared" si="95"/>
        <v>0</v>
      </c>
      <c r="Y192" s="688">
        <f>IFERROR(VLOOKUP($A192,'[96]1月'!$A:$H,8,0),0)</f>
        <v>0</v>
      </c>
      <c r="Z192" s="688">
        <f>IFERROR(VLOOKUP($A192,'[96]2月'!$A:$H,8,0),0)</f>
        <v>0</v>
      </c>
      <c r="AA192" s="688">
        <f>IFERROR(VLOOKUP($A192,'[96]3月'!$A:$H,8,0),0)</f>
        <v>0</v>
      </c>
      <c r="AB192" s="688">
        <f>IFERROR(VLOOKUP($A192,'[96]4月'!$A:$H,8,0),0)</f>
        <v>0</v>
      </c>
      <c r="AC192" s="688">
        <f>IFERROR(VLOOKUP($A192,'[96]5月'!$A:$H,8,0),0)</f>
        <v>0</v>
      </c>
      <c r="AD192" s="688">
        <f>IFERROR(VLOOKUP($A192,'[96]6月'!$A:$H,8,0),0)</f>
        <v>0</v>
      </c>
      <c r="AE192" s="688">
        <f>IFERROR(VLOOKUP($A192,'[96]7月'!$A:$H,8,0),0)</f>
        <v>0</v>
      </c>
      <c r="AF192" s="688">
        <f>IFERROR(VLOOKUP($A192,'[96]8月'!$A:$H,8,0),0)</f>
        <v>0</v>
      </c>
      <c r="AG192" s="688">
        <f>IFERROR(VLOOKUP($A192,'[96]9月'!$A:$H,8,0),0)</f>
        <v>0</v>
      </c>
      <c r="AH192" s="688">
        <f>IFERROR(VLOOKUP($A192,'[96]10月'!$A:$H,8,0),0)</f>
        <v>0</v>
      </c>
      <c r="AI192" s="688">
        <f>IFERROR(VLOOKUP($A192,'[96]11月'!$A:$H,8,0),0)</f>
        <v>0</v>
      </c>
      <c r="AJ192" s="688">
        <f>IFERROR(VLOOKUP($A192,'[96]12月'!$A:$H,8,0),0)</f>
        <v>0</v>
      </c>
      <c r="AK192" s="688">
        <f t="shared" si="105"/>
        <v>0</v>
      </c>
    </row>
    <row r="193" spans="1:37" ht="13.5" customHeight="1">
      <c r="A193" s="653" t="str">
        <f>'Budget-合并'!A193</f>
        <v>6402</v>
      </c>
      <c r="B193" s="653" t="str">
        <f>'Budget-合并'!B193</f>
        <v>其他业务成本</v>
      </c>
      <c r="C193" s="687">
        <f>'Budget-合并'!C193</f>
        <v>0</v>
      </c>
      <c r="D193" s="676">
        <f t="shared" si="101"/>
        <v>0</v>
      </c>
      <c r="E193" s="676">
        <f t="shared" si="96"/>
        <v>0</v>
      </c>
      <c r="F193" s="676">
        <f t="shared" si="102"/>
        <v>0</v>
      </c>
      <c r="G193" s="676">
        <f t="shared" ca="1" si="97"/>
        <v>0</v>
      </c>
      <c r="H193" s="676">
        <f t="shared" ca="1" si="98"/>
        <v>0</v>
      </c>
      <c r="I193" s="676">
        <f t="shared" ca="1" si="103"/>
        <v>0</v>
      </c>
      <c r="K193" s="676"/>
      <c r="L193" s="676"/>
      <c r="M193" s="676"/>
      <c r="N193" s="676"/>
      <c r="O193" s="676"/>
      <c r="P193" s="676"/>
      <c r="Q193" s="676"/>
      <c r="R193" s="676"/>
      <c r="S193" s="676"/>
      <c r="T193" s="676"/>
      <c r="U193" s="676"/>
      <c r="V193" s="676"/>
      <c r="W193" s="676">
        <f t="shared" si="95"/>
        <v>0</v>
      </c>
      <c r="Y193" s="688">
        <f>IFERROR(VLOOKUP($A193,'[96]1月'!$A:$H,8,0),0)</f>
        <v>0</v>
      </c>
      <c r="Z193" s="688">
        <f>IFERROR(VLOOKUP($A193,'[96]2月'!$A:$H,8,0),0)</f>
        <v>0</v>
      </c>
      <c r="AA193" s="688">
        <f>IFERROR(VLOOKUP($A193,'[96]3月'!$A:$H,8,0),0)</f>
        <v>0</v>
      </c>
      <c r="AB193" s="688">
        <f>IFERROR(VLOOKUP($A193,'[96]4月'!$A:$H,8,0),0)</f>
        <v>0</v>
      </c>
      <c r="AC193" s="688">
        <f>IFERROR(VLOOKUP($A193,'[96]5月'!$A:$H,8,0),0)</f>
        <v>0</v>
      </c>
      <c r="AD193" s="688">
        <f>IFERROR(VLOOKUP($A193,'[96]6月'!$A:$H,8,0),0)</f>
        <v>0</v>
      </c>
      <c r="AE193" s="688">
        <f>IFERROR(VLOOKUP($A193,'[96]7月'!$A:$H,8,0),0)</f>
        <v>0</v>
      </c>
      <c r="AF193" s="688">
        <f>IFERROR(VLOOKUP($A193,'[96]8月'!$A:$H,8,0),0)</f>
        <v>0</v>
      </c>
      <c r="AG193" s="688">
        <f>IFERROR(VLOOKUP($A193,'[96]9月'!$A:$H,8,0),0)</f>
        <v>0</v>
      </c>
      <c r="AH193" s="688">
        <f>IFERROR(VLOOKUP($A193,'[96]10月'!$A:$H,8,0),0)</f>
        <v>0</v>
      </c>
      <c r="AI193" s="688">
        <f>IFERROR(VLOOKUP($A193,'[96]11月'!$A:$H,8,0),0)</f>
        <v>0</v>
      </c>
      <c r="AJ193" s="688">
        <f>IFERROR(VLOOKUP($A193,'[96]12月'!$A:$H,8,0),0)</f>
        <v>0</v>
      </c>
      <c r="AK193" s="688">
        <f t="shared" si="105"/>
        <v>0</v>
      </c>
    </row>
    <row r="194" spans="1:37" ht="13.5" customHeight="1">
      <c r="A194" s="653" t="str">
        <f>'Budget-合并'!A194</f>
        <v>6701</v>
      </c>
      <c r="B194" s="653" t="str">
        <f>'Budget-合并'!B194</f>
        <v>资产减值损失</v>
      </c>
      <c r="C194" s="687" t="str">
        <f>'Budget-合并'!C194</f>
        <v>Impairment loss</v>
      </c>
      <c r="D194" s="676">
        <f t="shared" si="101"/>
        <v>0</v>
      </c>
      <c r="E194" s="676">
        <f t="shared" si="96"/>
        <v>0</v>
      </c>
      <c r="F194" s="676">
        <f t="shared" si="102"/>
        <v>0</v>
      </c>
      <c r="G194" s="676">
        <f t="shared" ca="1" si="97"/>
        <v>0</v>
      </c>
      <c r="H194" s="676">
        <f t="shared" ca="1" si="98"/>
        <v>0</v>
      </c>
      <c r="I194" s="676">
        <f t="shared" ca="1" si="103"/>
        <v>0</v>
      </c>
      <c r="K194" s="676"/>
      <c r="L194" s="676"/>
      <c r="M194" s="676"/>
      <c r="N194" s="676"/>
      <c r="O194" s="676"/>
      <c r="P194" s="676"/>
      <c r="Q194" s="676"/>
      <c r="R194" s="676"/>
      <c r="S194" s="676"/>
      <c r="T194" s="676"/>
      <c r="U194" s="676"/>
      <c r="V194" s="676"/>
      <c r="W194" s="676">
        <f t="shared" si="95"/>
        <v>0</v>
      </c>
      <c r="Y194" s="688">
        <f>IFERROR(VLOOKUP($A194,'[96]1月'!$A:$H,8,0),0)</f>
        <v>0</v>
      </c>
      <c r="Z194" s="688">
        <f>IFERROR(VLOOKUP($A194,'[96]2月'!$A:$H,8,0),0)</f>
        <v>0</v>
      </c>
      <c r="AA194" s="688">
        <f>IFERROR(VLOOKUP($A194,'[96]3月'!$A:$H,8,0),0)</f>
        <v>0</v>
      </c>
      <c r="AB194" s="688">
        <f>IFERROR(VLOOKUP($A194,'[96]4月'!$A:$H,8,0),0)</f>
        <v>0</v>
      </c>
      <c r="AC194" s="688">
        <f>IFERROR(VLOOKUP($A194,'[96]5月'!$A:$H,8,0),0)</f>
        <v>0</v>
      </c>
      <c r="AD194" s="688">
        <f>IFERROR(VLOOKUP($A194,'[96]6月'!$A:$H,8,0),0)</f>
        <v>0</v>
      </c>
      <c r="AE194" s="688">
        <f>IFERROR(VLOOKUP($A194,'[96]7月'!$A:$H,8,0),0)</f>
        <v>0</v>
      </c>
      <c r="AF194" s="688">
        <f>IFERROR(VLOOKUP($A194,'[96]8月'!$A:$H,8,0),0)</f>
        <v>0</v>
      </c>
      <c r="AG194" s="688">
        <f>IFERROR(VLOOKUP($A194,'[96]9月'!$A:$H,8,0),0)</f>
        <v>0</v>
      </c>
      <c r="AH194" s="688">
        <f>IFERROR(VLOOKUP($A194,'[96]10月'!$A:$H,8,0),0)</f>
        <v>0</v>
      </c>
      <c r="AI194" s="688">
        <f>IFERROR(VLOOKUP($A194,'[96]11月'!$A:$H,8,0),0)</f>
        <v>0</v>
      </c>
      <c r="AJ194" s="688">
        <f>IFERROR(VLOOKUP($A194,'[96]12月'!$A:$H,8,0),0)</f>
        <v>0</v>
      </c>
      <c r="AK194" s="688">
        <f t="shared" si="105"/>
        <v>0</v>
      </c>
    </row>
    <row r="195" spans="1:37" s="649" customFormat="1" ht="13.5" customHeight="1">
      <c r="A195" s="653" t="str">
        <f>'Budget-合并'!A195</f>
        <v>6711</v>
      </c>
      <c r="B195" s="653" t="str">
        <f>'Budget-合并'!B195</f>
        <v>营业外支出</v>
      </c>
      <c r="C195" s="687">
        <f>'Budget-合并'!C195</f>
        <v>0</v>
      </c>
      <c r="D195" s="676">
        <f t="shared" si="101"/>
        <v>0</v>
      </c>
      <c r="E195" s="676">
        <f t="shared" si="96"/>
        <v>0</v>
      </c>
      <c r="F195" s="676">
        <f t="shared" si="102"/>
        <v>0</v>
      </c>
      <c r="G195" s="676">
        <f t="shared" ca="1" si="97"/>
        <v>0</v>
      </c>
      <c r="H195" s="676">
        <f t="shared" ca="1" si="98"/>
        <v>0</v>
      </c>
      <c r="I195" s="676">
        <f t="shared" ca="1" si="103"/>
        <v>0</v>
      </c>
      <c r="J195" s="654"/>
      <c r="K195" s="676">
        <f t="shared" ref="K195:V195" si="106">SUM(K196:K197)</f>
        <v>0</v>
      </c>
      <c r="L195" s="676">
        <f t="shared" si="106"/>
        <v>0</v>
      </c>
      <c r="M195" s="676">
        <f t="shared" si="106"/>
        <v>0</v>
      </c>
      <c r="N195" s="676">
        <f t="shared" si="106"/>
        <v>0</v>
      </c>
      <c r="O195" s="676">
        <f t="shared" si="106"/>
        <v>0</v>
      </c>
      <c r="P195" s="676">
        <f t="shared" si="106"/>
        <v>0</v>
      </c>
      <c r="Q195" s="676">
        <f t="shared" si="106"/>
        <v>0</v>
      </c>
      <c r="R195" s="676">
        <f t="shared" si="106"/>
        <v>0</v>
      </c>
      <c r="S195" s="676">
        <f t="shared" si="106"/>
        <v>0</v>
      </c>
      <c r="T195" s="676">
        <f t="shared" si="106"/>
        <v>0</v>
      </c>
      <c r="U195" s="676">
        <f t="shared" si="106"/>
        <v>0</v>
      </c>
      <c r="V195" s="676">
        <f t="shared" si="106"/>
        <v>0</v>
      </c>
      <c r="W195" s="676">
        <f t="shared" si="95"/>
        <v>0</v>
      </c>
      <c r="Y195" s="688">
        <f>IFERROR(VLOOKUP($A195,'[96]1月'!$A:$H,8,0),0)</f>
        <v>0</v>
      </c>
      <c r="Z195" s="688">
        <f>IFERROR(VLOOKUP($A195,'[96]2月'!$A:$H,8,0),0)</f>
        <v>0</v>
      </c>
      <c r="AA195" s="688">
        <f>IFERROR(VLOOKUP($A195,'[96]3月'!$A:$H,8,0),0)</f>
        <v>0</v>
      </c>
      <c r="AB195" s="688">
        <f>IFERROR(VLOOKUP($A195,'[96]4月'!$A:$H,8,0),0)</f>
        <v>0</v>
      </c>
      <c r="AC195" s="688">
        <f>IFERROR(VLOOKUP($A195,'[96]5月'!$A:$H,8,0),0)</f>
        <v>0</v>
      </c>
      <c r="AD195" s="688">
        <f>IFERROR(VLOOKUP($A195,'[96]6月'!$A:$H,8,0),0)</f>
        <v>0</v>
      </c>
      <c r="AE195" s="688">
        <f>IFERROR(VLOOKUP($A195,'[96]7月'!$A:$H,8,0),0)</f>
        <v>0</v>
      </c>
      <c r="AF195" s="688">
        <f>IFERROR(VLOOKUP($A195,'[96]8月'!$A:$H,8,0),0)</f>
        <v>0</v>
      </c>
      <c r="AG195" s="688">
        <f>IFERROR(VLOOKUP($A195,'[96]9月'!$A:$H,8,0),0)</f>
        <v>0</v>
      </c>
      <c r="AH195" s="688">
        <f>IFERROR(VLOOKUP($A195,'[96]10月'!$A:$H,8,0),0)</f>
        <v>0</v>
      </c>
      <c r="AI195" s="688">
        <f>IFERROR(VLOOKUP($A195,'[96]11月'!$A:$H,8,0),0)</f>
        <v>0</v>
      </c>
      <c r="AJ195" s="688">
        <f>IFERROR(VLOOKUP($A195,'[96]12月'!$A:$H,8,0),0)</f>
        <v>0</v>
      </c>
      <c r="AK195" s="688">
        <f t="shared" si="105"/>
        <v>0</v>
      </c>
    </row>
    <row r="196" spans="1:37" ht="13.5" customHeight="1">
      <c r="A196" s="653" t="str">
        <f>'Budget-合并'!A196</f>
        <v>6711.01</v>
      </c>
      <c r="B196" s="653" t="str">
        <f>'Budget-合并'!B196</f>
        <v>滞纳金</v>
      </c>
      <c r="C196" s="687">
        <f>'Budget-合并'!C196</f>
        <v>0</v>
      </c>
      <c r="D196" s="676">
        <f t="shared" si="101"/>
        <v>0</v>
      </c>
      <c r="E196" s="676">
        <f t="shared" si="96"/>
        <v>0</v>
      </c>
      <c r="F196" s="676">
        <f t="shared" si="102"/>
        <v>0</v>
      </c>
      <c r="G196" s="676">
        <f t="shared" ca="1" si="97"/>
        <v>0</v>
      </c>
      <c r="H196" s="676">
        <f t="shared" ca="1" si="98"/>
        <v>0</v>
      </c>
      <c r="I196" s="676">
        <f t="shared" ca="1" si="103"/>
        <v>0</v>
      </c>
      <c r="K196" s="676"/>
      <c r="L196" s="676"/>
      <c r="M196" s="676"/>
      <c r="N196" s="676"/>
      <c r="O196" s="676"/>
      <c r="P196" s="676"/>
      <c r="Q196" s="676"/>
      <c r="R196" s="676"/>
      <c r="S196" s="676"/>
      <c r="T196" s="676"/>
      <c r="U196" s="676"/>
      <c r="V196" s="676"/>
      <c r="W196" s="676">
        <f t="shared" si="95"/>
        <v>0</v>
      </c>
      <c r="Y196" s="688">
        <f>IFERROR(VLOOKUP($A196,'[96]1月'!$A:$H,8,0),0)</f>
        <v>0</v>
      </c>
      <c r="Z196" s="688">
        <f>IFERROR(VLOOKUP($A196,'[96]2月'!$A:$H,8,0),0)</f>
        <v>0</v>
      </c>
      <c r="AA196" s="688">
        <f>IFERROR(VLOOKUP($A196,'[96]3月'!$A:$H,8,0),0)</f>
        <v>0</v>
      </c>
      <c r="AB196" s="688">
        <f>IFERROR(VLOOKUP($A196,'[96]4月'!$A:$H,8,0),0)</f>
        <v>0</v>
      </c>
      <c r="AC196" s="688">
        <f>IFERROR(VLOOKUP($A196,'[96]5月'!$A:$H,8,0),0)</f>
        <v>0</v>
      </c>
      <c r="AD196" s="688">
        <f>IFERROR(VLOOKUP($A196,'[96]6月'!$A:$H,8,0),0)</f>
        <v>0</v>
      </c>
      <c r="AE196" s="688">
        <f>IFERROR(VLOOKUP($A196,'[96]7月'!$A:$H,8,0),0)</f>
        <v>0</v>
      </c>
      <c r="AF196" s="688">
        <f>IFERROR(VLOOKUP($A196,'[96]8月'!$A:$H,8,0),0)</f>
        <v>0</v>
      </c>
      <c r="AG196" s="688">
        <f>IFERROR(VLOOKUP($A196,'[96]9月'!$A:$H,8,0),0)</f>
        <v>0</v>
      </c>
      <c r="AH196" s="688">
        <f>IFERROR(VLOOKUP($A196,'[96]10月'!$A:$H,8,0),0)</f>
        <v>0</v>
      </c>
      <c r="AI196" s="688">
        <f>IFERROR(VLOOKUP($A196,'[96]11月'!$A:$H,8,0),0)</f>
        <v>0</v>
      </c>
      <c r="AJ196" s="688">
        <f>IFERROR(VLOOKUP($A196,'[96]12月'!$A:$H,8,0),0)</f>
        <v>0</v>
      </c>
      <c r="AK196" s="688">
        <f t="shared" si="105"/>
        <v>0</v>
      </c>
    </row>
    <row r="197" spans="1:37" ht="13.5" customHeight="1">
      <c r="A197" s="653" t="str">
        <f>'Budget-合并'!A197</f>
        <v>6711.02</v>
      </c>
      <c r="B197" s="653" t="str">
        <f>'Budget-合并'!B197</f>
        <v>非流动资产处置损失</v>
      </c>
      <c r="C197" s="687">
        <f>'Budget-合并'!C197</f>
        <v>0</v>
      </c>
      <c r="D197" s="676">
        <f t="shared" si="101"/>
        <v>0</v>
      </c>
      <c r="E197" s="676">
        <f t="shared" si="96"/>
        <v>0</v>
      </c>
      <c r="F197" s="676">
        <f t="shared" si="102"/>
        <v>0</v>
      </c>
      <c r="G197" s="676">
        <f t="shared" ca="1" si="97"/>
        <v>0</v>
      </c>
      <c r="H197" s="676">
        <f t="shared" ca="1" si="98"/>
        <v>0</v>
      </c>
      <c r="I197" s="676">
        <f t="shared" ca="1" si="103"/>
        <v>0</v>
      </c>
      <c r="K197" s="676"/>
      <c r="L197" s="676"/>
      <c r="M197" s="676"/>
      <c r="N197" s="676"/>
      <c r="O197" s="676"/>
      <c r="P197" s="676"/>
      <c r="Q197" s="676"/>
      <c r="R197" s="676"/>
      <c r="S197" s="676"/>
      <c r="T197" s="676"/>
      <c r="U197" s="676"/>
      <c r="V197" s="676"/>
      <c r="W197" s="676">
        <f t="shared" si="95"/>
        <v>0</v>
      </c>
      <c r="Y197" s="688">
        <f>IFERROR(VLOOKUP($A197,'[96]1月'!$A:$H,8,0),0)</f>
        <v>0</v>
      </c>
      <c r="Z197" s="688">
        <f>IFERROR(VLOOKUP($A197,'[96]2月'!$A:$H,8,0),0)</f>
        <v>0</v>
      </c>
      <c r="AA197" s="688">
        <f>IFERROR(VLOOKUP($A197,'[96]3月'!$A:$H,8,0),0)</f>
        <v>0</v>
      </c>
      <c r="AB197" s="688">
        <f>IFERROR(VLOOKUP($A197,'[96]4月'!$A:$H,8,0),0)</f>
        <v>0</v>
      </c>
      <c r="AC197" s="688">
        <f>IFERROR(VLOOKUP($A197,'[96]5月'!$A:$H,8,0),0)</f>
        <v>0</v>
      </c>
      <c r="AD197" s="688">
        <f>IFERROR(VLOOKUP($A197,'[96]6月'!$A:$H,8,0),0)</f>
        <v>0</v>
      </c>
      <c r="AE197" s="688">
        <f>IFERROR(VLOOKUP($A197,'[96]7月'!$A:$H,8,0),0)</f>
        <v>0</v>
      </c>
      <c r="AF197" s="688">
        <f>IFERROR(VLOOKUP($A197,'[96]8月'!$A:$H,8,0),0)</f>
        <v>0</v>
      </c>
      <c r="AG197" s="688">
        <f>IFERROR(VLOOKUP($A197,'[96]9月'!$A:$H,8,0),0)</f>
        <v>0</v>
      </c>
      <c r="AH197" s="688">
        <f>IFERROR(VLOOKUP($A197,'[96]10月'!$A:$H,8,0),0)</f>
        <v>0</v>
      </c>
      <c r="AI197" s="688">
        <f>IFERROR(VLOOKUP($A197,'[96]11月'!$A:$H,8,0),0)</f>
        <v>0</v>
      </c>
      <c r="AJ197" s="688">
        <f>IFERROR(VLOOKUP($A197,'[96]12月'!$A:$H,8,0),0)</f>
        <v>0</v>
      </c>
      <c r="AK197" s="688">
        <f t="shared" si="105"/>
        <v>0</v>
      </c>
    </row>
    <row r="198" spans="1:37" ht="13.5" customHeight="1">
      <c r="A198" s="653" t="str">
        <f>'Budget-合并'!A198</f>
        <v>6901</v>
      </c>
      <c r="B198" s="653" t="str">
        <f>'Budget-合并'!B198</f>
        <v>以前年度损益调整</v>
      </c>
      <c r="C198" s="687">
        <f>'Budget-合并'!C198</f>
        <v>0</v>
      </c>
      <c r="D198" s="676">
        <f t="shared" si="101"/>
        <v>0</v>
      </c>
      <c r="E198" s="676">
        <f t="shared" si="96"/>
        <v>0</v>
      </c>
      <c r="F198" s="676">
        <f t="shared" si="102"/>
        <v>0</v>
      </c>
      <c r="G198" s="676">
        <f t="shared" ca="1" si="97"/>
        <v>0</v>
      </c>
      <c r="H198" s="676">
        <f t="shared" ca="1" si="98"/>
        <v>0</v>
      </c>
      <c r="I198" s="676">
        <f t="shared" ca="1" si="103"/>
        <v>0</v>
      </c>
      <c r="K198" s="676"/>
      <c r="L198" s="676"/>
      <c r="M198" s="676"/>
      <c r="N198" s="676"/>
      <c r="O198" s="676"/>
      <c r="P198" s="676"/>
      <c r="Q198" s="676"/>
      <c r="R198" s="676"/>
      <c r="S198" s="676"/>
      <c r="T198" s="676"/>
      <c r="U198" s="676"/>
      <c r="V198" s="676"/>
      <c r="W198" s="676">
        <f t="shared" si="95"/>
        <v>0</v>
      </c>
      <c r="Y198" s="688">
        <f>IFERROR(VLOOKUP($A198,'[96]1月'!$A:$H,8,0),0)</f>
        <v>0</v>
      </c>
      <c r="Z198" s="688">
        <f>IFERROR(VLOOKUP($A198,'[96]2月'!$A:$H,8,0),0)</f>
        <v>0</v>
      </c>
      <c r="AA198" s="688">
        <f>IFERROR(VLOOKUP($A198,'[96]3月'!$A:$H,8,0),0)</f>
        <v>0</v>
      </c>
      <c r="AB198" s="688">
        <f>IFERROR(VLOOKUP($A198,'[96]4月'!$A:$H,8,0),0)</f>
        <v>0</v>
      </c>
      <c r="AC198" s="688">
        <f>IFERROR(VLOOKUP($A198,'[96]5月'!$A:$H,8,0),0)</f>
        <v>0</v>
      </c>
      <c r="AD198" s="688">
        <f>IFERROR(VLOOKUP($A198,'[96]6月'!$A:$H,8,0),0)</f>
        <v>0</v>
      </c>
      <c r="AE198" s="688">
        <f>IFERROR(VLOOKUP($A198,'[96]7月'!$A:$H,8,0),0)</f>
        <v>0</v>
      </c>
      <c r="AF198" s="688">
        <f>IFERROR(VLOOKUP($A198,'[96]8月'!$A:$H,8,0),0)</f>
        <v>0</v>
      </c>
      <c r="AG198" s="688">
        <f>IFERROR(VLOOKUP($A198,'[96]9月'!$A:$H,8,0),0)</f>
        <v>0</v>
      </c>
      <c r="AH198" s="688">
        <f>IFERROR(VLOOKUP($A198,'[96]10月'!$A:$H,8,0),0)</f>
        <v>0</v>
      </c>
      <c r="AI198" s="688">
        <f>IFERROR(VLOOKUP($A198,'[96]11月'!$A:$H,8,0),0)</f>
        <v>0</v>
      </c>
      <c r="AJ198" s="688">
        <f>IFERROR(VLOOKUP($A198,'[96]12月'!$A:$H,8,0),0)</f>
        <v>0</v>
      </c>
      <c r="AK198" s="688">
        <f t="shared" si="105"/>
        <v>0</v>
      </c>
    </row>
    <row r="199" spans="1:37" ht="13.5" customHeight="1">
      <c r="A199" s="686">
        <f>'Budget-合并'!A199</f>
        <v>0</v>
      </c>
      <c r="B199" s="686" t="str">
        <f>'Budget-合并'!B199</f>
        <v>营业外收入 (支-, 收+):</v>
      </c>
      <c r="C199" s="687">
        <f>'Budget-合并'!C199</f>
        <v>0</v>
      </c>
      <c r="D199" s="677">
        <f>INDEX($K$8:$V$8,1,MATCH($D$6,$K$6:$V$6))</f>
        <v>0</v>
      </c>
      <c r="E199" s="677">
        <f t="shared" ref="E199:E205" si="107">INDEX($Y199:$AJ199,1,MATCH($E$6,$Y$6:$AJ$6))</f>
        <v>0</v>
      </c>
      <c r="F199" s="677">
        <f t="shared" si="102"/>
        <v>0</v>
      </c>
      <c r="G199" s="677">
        <f t="shared" ca="1" si="97"/>
        <v>0</v>
      </c>
      <c r="H199" s="677">
        <f t="shared" ref="H199:H205" ca="1" si="108">SUM($Y199:OFFSET($Y199,0,MATCH(H$6,$Y$6:$AJ$6)-1))</f>
        <v>0</v>
      </c>
      <c r="I199" s="677">
        <f t="shared" ca="1" si="103"/>
        <v>0</v>
      </c>
      <c r="K199" s="677">
        <f t="shared" ref="K199:W199" si="109">K187-K193-K194-K195+K198</f>
        <v>0</v>
      </c>
      <c r="L199" s="677">
        <f t="shared" si="109"/>
        <v>0</v>
      </c>
      <c r="M199" s="677">
        <f t="shared" si="109"/>
        <v>0</v>
      </c>
      <c r="N199" s="677">
        <f t="shared" si="109"/>
        <v>0</v>
      </c>
      <c r="O199" s="677">
        <f t="shared" si="109"/>
        <v>0</v>
      </c>
      <c r="P199" s="677">
        <f t="shared" si="109"/>
        <v>0</v>
      </c>
      <c r="Q199" s="677">
        <f t="shared" si="109"/>
        <v>0</v>
      </c>
      <c r="R199" s="677">
        <f t="shared" si="109"/>
        <v>0</v>
      </c>
      <c r="S199" s="677">
        <f t="shared" si="109"/>
        <v>0</v>
      </c>
      <c r="T199" s="677">
        <f t="shared" si="109"/>
        <v>0</v>
      </c>
      <c r="U199" s="677">
        <f t="shared" si="109"/>
        <v>0</v>
      </c>
      <c r="V199" s="677">
        <f t="shared" si="109"/>
        <v>0</v>
      </c>
      <c r="W199" s="677">
        <f t="shared" si="109"/>
        <v>0</v>
      </c>
      <c r="Y199" s="677">
        <f t="shared" ref="Y199:AK199" si="110">Y187-Y193-Y194-Y195-Y198</f>
        <v>0</v>
      </c>
      <c r="Z199" s="677">
        <f t="shared" si="110"/>
        <v>0</v>
      </c>
      <c r="AA199" s="677">
        <f t="shared" si="110"/>
        <v>0</v>
      </c>
      <c r="AB199" s="677">
        <f t="shared" si="110"/>
        <v>0</v>
      </c>
      <c r="AC199" s="677">
        <f t="shared" si="110"/>
        <v>0</v>
      </c>
      <c r="AD199" s="677">
        <f t="shared" si="110"/>
        <v>0</v>
      </c>
      <c r="AE199" s="677">
        <f t="shared" si="110"/>
        <v>0</v>
      </c>
      <c r="AF199" s="677">
        <f t="shared" si="110"/>
        <v>0</v>
      </c>
      <c r="AG199" s="677">
        <f t="shared" si="110"/>
        <v>0</v>
      </c>
      <c r="AH199" s="677">
        <f t="shared" si="110"/>
        <v>0</v>
      </c>
      <c r="AI199" s="677">
        <f t="shared" si="110"/>
        <v>0</v>
      </c>
      <c r="AJ199" s="677">
        <f t="shared" si="110"/>
        <v>0</v>
      </c>
      <c r="AK199" s="677">
        <f t="shared" si="110"/>
        <v>0</v>
      </c>
    </row>
    <row r="200" spans="1:37" ht="13.5" customHeight="1">
      <c r="A200" s="653">
        <f>'Budget-合并'!A200</f>
        <v>0</v>
      </c>
      <c r="B200" s="653">
        <f>'Budget-合并'!B200</f>
        <v>0</v>
      </c>
      <c r="C200" s="687">
        <f>'Budget-合并'!C200</f>
        <v>0</v>
      </c>
    </row>
    <row r="201" spans="1:37" ht="13.5" customHeight="1">
      <c r="A201" s="686">
        <f>'Budget-合并'!A201</f>
        <v>0</v>
      </c>
      <c r="B201" s="686" t="str">
        <f>'Budget-合并'!B201</f>
        <v>利润总额 (税前利润)</v>
      </c>
      <c r="C201" s="687">
        <f>'Budget-合并'!C201</f>
        <v>0</v>
      </c>
      <c r="D201" s="677">
        <f ca="1">SUM($K201:OFFSET($K201,0,MATCH(D$6,$K$6:$V$6)-1))</f>
        <v>-47434.013333333336</v>
      </c>
      <c r="E201" s="677">
        <f t="shared" si="107"/>
        <v>-195.83</v>
      </c>
      <c r="F201" s="677">
        <f ca="1">D201-E201</f>
        <v>-47238.183333333334</v>
      </c>
      <c r="G201" s="677">
        <f t="shared" ref="G201:G205" ca="1" si="111">SUM($K201:OFFSET($K201,0,MATCH(G$6,$K$6:$V$6)-1))</f>
        <v>-47434.013333333336</v>
      </c>
      <c r="H201" s="677">
        <f t="shared" ca="1" si="108"/>
        <v>-195.83</v>
      </c>
      <c r="I201" s="677">
        <f t="shared" ref="I201:I205" ca="1" si="112">G201-H201</f>
        <v>-47238.183333333334</v>
      </c>
      <c r="K201" s="677">
        <f t="shared" ref="K201:W201" si="113">K185+K199</f>
        <v>-47434.013333333336</v>
      </c>
      <c r="L201" s="677">
        <f t="shared" si="113"/>
        <v>-44672.373333333337</v>
      </c>
      <c r="M201" s="677">
        <f t="shared" si="113"/>
        <v>-44672.373333333337</v>
      </c>
      <c r="N201" s="677">
        <f t="shared" si="113"/>
        <v>-83.333333333333329</v>
      </c>
      <c r="O201" s="677">
        <f t="shared" si="113"/>
        <v>-83.333333333333329</v>
      </c>
      <c r="P201" s="677">
        <f t="shared" si="113"/>
        <v>-17083.333333333332</v>
      </c>
      <c r="Q201" s="677">
        <f t="shared" si="113"/>
        <v>-83.333333333333329</v>
      </c>
      <c r="R201" s="677">
        <f t="shared" si="113"/>
        <v>-83.333333333333329</v>
      </c>
      <c r="S201" s="677">
        <f t="shared" si="113"/>
        <v>-83.333333333333329</v>
      </c>
      <c r="T201" s="677">
        <f t="shared" si="113"/>
        <v>-83.333333333333329</v>
      </c>
      <c r="U201" s="677">
        <f t="shared" si="113"/>
        <v>-83.333333333333329</v>
      </c>
      <c r="V201" s="677">
        <f t="shared" si="113"/>
        <v>-3083.3333333333335</v>
      </c>
      <c r="W201" s="677">
        <f t="shared" si="113"/>
        <v>-157528.7600000001</v>
      </c>
      <c r="Y201" s="677">
        <f t="shared" ref="Y201:AK201" si="114">Y185+Y199</f>
        <v>-195.83</v>
      </c>
      <c r="Z201" s="677">
        <f t="shared" si="114"/>
        <v>-25</v>
      </c>
      <c r="AA201" s="677">
        <f t="shared" si="114"/>
        <v>-10.49</v>
      </c>
      <c r="AB201" s="677">
        <f t="shared" si="114"/>
        <v>-25</v>
      </c>
      <c r="AC201" s="677">
        <f t="shared" si="114"/>
        <v>-25</v>
      </c>
      <c r="AD201" s="677">
        <f t="shared" si="114"/>
        <v>-12.83</v>
      </c>
      <c r="AE201" s="677">
        <f t="shared" si="114"/>
        <v>-25</v>
      </c>
      <c r="AF201" s="677">
        <f t="shared" si="114"/>
        <v>-4857.88</v>
      </c>
      <c r="AG201" s="677">
        <f t="shared" si="114"/>
        <v>-10448.379999999999</v>
      </c>
      <c r="AH201" s="677">
        <f t="shared" si="114"/>
        <v>-10726.37</v>
      </c>
      <c r="AI201" s="677">
        <f t="shared" si="114"/>
        <v>-10381.16</v>
      </c>
      <c r="AJ201" s="677">
        <f t="shared" si="114"/>
        <v>-10719.11</v>
      </c>
      <c r="AK201" s="677">
        <f t="shared" si="114"/>
        <v>-47452.05000000001</v>
      </c>
    </row>
    <row r="202" spans="1:37" ht="13.5" customHeight="1">
      <c r="A202" s="653">
        <f>'Budget-合并'!A202</f>
        <v>0</v>
      </c>
      <c r="B202" s="653">
        <f>'Budget-合并'!B202</f>
        <v>0</v>
      </c>
      <c r="C202" s="687">
        <f>'Budget-合并'!C202</f>
        <v>0</v>
      </c>
    </row>
    <row r="203" spans="1:37" ht="13.5" customHeight="1">
      <c r="A203" s="653" t="str">
        <f>'Budget-合并'!A203</f>
        <v>6801.01</v>
      </c>
      <c r="B203" s="653" t="str">
        <f>'Budget-合并'!B203</f>
        <v>当期所得税费用</v>
      </c>
      <c r="C203" s="687" t="str">
        <f>'Budget-合并'!C203</f>
        <v>Enterprise Income Tax</v>
      </c>
      <c r="D203" s="676">
        <f t="shared" ref="D203:D205" si="115">INDEX($K$8:$V$8,1,MATCH($D$6,$K$6:$V$6))</f>
        <v>0</v>
      </c>
      <c r="E203" s="676">
        <f t="shared" si="107"/>
        <v>0</v>
      </c>
      <c r="F203" s="676">
        <f t="shared" ref="F203:F205" si="116">D203-E203</f>
        <v>0</v>
      </c>
      <c r="G203" s="676">
        <f t="shared" ca="1" si="111"/>
        <v>0</v>
      </c>
      <c r="H203" s="676">
        <f t="shared" ca="1" si="108"/>
        <v>0</v>
      </c>
      <c r="I203" s="676">
        <f t="shared" ca="1" si="112"/>
        <v>0</v>
      </c>
      <c r="K203" s="676"/>
      <c r="L203" s="676"/>
      <c r="M203" s="676"/>
      <c r="N203" s="676"/>
      <c r="O203" s="676"/>
      <c r="P203" s="676"/>
      <c r="Q203" s="676"/>
      <c r="R203" s="676"/>
      <c r="S203" s="676"/>
      <c r="T203" s="676"/>
      <c r="U203" s="676"/>
      <c r="V203" s="676"/>
      <c r="W203" s="676">
        <f t="shared" ref="W203:W205" si="117">SUM(K203:V203)</f>
        <v>0</v>
      </c>
      <c r="Y203" s="688">
        <f>IFERROR(VLOOKUP($A203,'[96]1月'!$A:$H,8,0),0)</f>
        <v>0</v>
      </c>
      <c r="Z203" s="688">
        <f>IFERROR(VLOOKUP($A203,'[96]2月'!$A:$H,8,0),0)</f>
        <v>0</v>
      </c>
      <c r="AA203" s="688">
        <f>IFERROR(VLOOKUP($A203,'[96]3月'!$A:$H,8,0),0)</f>
        <v>0</v>
      </c>
      <c r="AB203" s="688">
        <f>IFERROR(VLOOKUP($A203,'[96]4月'!$A:$H,8,0),0)</f>
        <v>0</v>
      </c>
      <c r="AC203" s="688">
        <f>IFERROR(VLOOKUP($A203,'[96]5月'!$A:$H,8,0),0)</f>
        <v>0</v>
      </c>
      <c r="AD203" s="688">
        <f>IFERROR(VLOOKUP($A203,'[96]6月'!$A:$H,8,0),0)</f>
        <v>0</v>
      </c>
      <c r="AE203" s="688">
        <f>IFERROR(VLOOKUP($A203,'[96]7月'!$A:$H,8,0),0)</f>
        <v>0</v>
      </c>
      <c r="AF203" s="688">
        <f>IFERROR(VLOOKUP($A203,'[96]8月'!$A:$H,8,0),0)</f>
        <v>0</v>
      </c>
      <c r="AG203" s="688">
        <f>IFERROR(VLOOKUP($A203,'[96]9月'!$A:$H,8,0),0)</f>
        <v>0</v>
      </c>
      <c r="AH203" s="688">
        <f>IFERROR(VLOOKUP($A203,'[96]10月'!$A:$H,8,0),0)</f>
        <v>0</v>
      </c>
      <c r="AI203" s="688">
        <f>IFERROR(VLOOKUP($A203,'[96]11月'!$A:$H,8,0),0)</f>
        <v>0</v>
      </c>
      <c r="AJ203" s="688">
        <f>IFERROR(VLOOKUP($A203,'[96]12月'!$A:$H,8,0),0)</f>
        <v>0</v>
      </c>
      <c r="AK203" s="688">
        <f t="shared" ref="AK203:AK205" si="118">SUM(Y203:AJ203)</f>
        <v>0</v>
      </c>
    </row>
    <row r="204" spans="1:37" ht="13.5" customHeight="1">
      <c r="A204" s="653" t="str">
        <f>'Budget-合并'!A204</f>
        <v>6801.02</v>
      </c>
      <c r="B204" s="653" t="str">
        <f>'Budget-合并'!B204</f>
        <v>递延所得税费用</v>
      </c>
      <c r="C204" s="687">
        <f>'Budget-合并'!C204</f>
        <v>0</v>
      </c>
      <c r="D204" s="676">
        <f t="shared" si="115"/>
        <v>0</v>
      </c>
      <c r="E204" s="676">
        <f t="shared" si="107"/>
        <v>0</v>
      </c>
      <c r="F204" s="676">
        <f t="shared" si="116"/>
        <v>0</v>
      </c>
      <c r="G204" s="676">
        <f t="shared" ca="1" si="111"/>
        <v>0</v>
      </c>
      <c r="H204" s="676">
        <f t="shared" ca="1" si="108"/>
        <v>0</v>
      </c>
      <c r="I204" s="676">
        <f t="shared" ca="1" si="112"/>
        <v>0</v>
      </c>
      <c r="K204" s="676"/>
      <c r="L204" s="676"/>
      <c r="M204" s="676"/>
      <c r="N204" s="676"/>
      <c r="O204" s="676"/>
      <c r="P204" s="676"/>
      <c r="Q204" s="676"/>
      <c r="R204" s="676"/>
      <c r="S204" s="676"/>
      <c r="T204" s="676"/>
      <c r="U204" s="676"/>
      <c r="V204" s="676"/>
      <c r="W204" s="676">
        <f t="shared" si="117"/>
        <v>0</v>
      </c>
      <c r="Y204" s="688">
        <f>IFERROR(VLOOKUP($A204,'[96]1月'!$A:$H,8,0),0)</f>
        <v>0</v>
      </c>
      <c r="Z204" s="688">
        <f>IFERROR(VLOOKUP($A204,'[96]2月'!$A:$H,8,0),0)</f>
        <v>0</v>
      </c>
      <c r="AA204" s="688">
        <f>IFERROR(VLOOKUP($A204,'[96]3月'!$A:$H,8,0),0)</f>
        <v>0</v>
      </c>
      <c r="AB204" s="688">
        <f>IFERROR(VLOOKUP($A204,'[96]4月'!$A:$H,8,0),0)</f>
        <v>0</v>
      </c>
      <c r="AC204" s="688">
        <f>IFERROR(VLOOKUP($A204,'[96]5月'!$A:$H,8,0),0)</f>
        <v>0</v>
      </c>
      <c r="AD204" s="688">
        <f>IFERROR(VLOOKUP($A204,'[96]6月'!$A:$H,8,0),0)</f>
        <v>0</v>
      </c>
      <c r="AE204" s="688">
        <f>IFERROR(VLOOKUP($A204,'[96]7月'!$A:$H,8,0),0)</f>
        <v>0</v>
      </c>
      <c r="AF204" s="688">
        <f>IFERROR(VLOOKUP($A204,'[96]8月'!$A:$H,8,0),0)</f>
        <v>0</v>
      </c>
      <c r="AG204" s="688">
        <f>IFERROR(VLOOKUP($A204,'[96]9月'!$A:$H,8,0),0)</f>
        <v>0</v>
      </c>
      <c r="AH204" s="688">
        <f>IFERROR(VLOOKUP($A204,'[96]10月'!$A:$H,8,0),0)</f>
        <v>0</v>
      </c>
      <c r="AI204" s="688">
        <f>IFERROR(VLOOKUP($A204,'[96]11月'!$A:$H,8,0),0)</f>
        <v>0</v>
      </c>
      <c r="AJ204" s="688">
        <f>IFERROR(VLOOKUP($A204,'[96]12月'!$A:$H,8,0),0)</f>
        <v>0</v>
      </c>
      <c r="AK204" s="688">
        <f t="shared" si="118"/>
        <v>0</v>
      </c>
    </row>
    <row r="205" spans="1:37" ht="13.5" customHeight="1">
      <c r="A205" s="653" t="str">
        <f>'Budget-合并'!A205</f>
        <v>6801.03</v>
      </c>
      <c r="B205" s="653" t="str">
        <f>'Budget-合并'!B205</f>
        <v>以前年度所得税费用</v>
      </c>
      <c r="C205" s="687">
        <f>'Budget-合并'!C205</f>
        <v>0</v>
      </c>
      <c r="D205" s="676">
        <f t="shared" si="115"/>
        <v>0</v>
      </c>
      <c r="E205" s="676">
        <f t="shared" si="107"/>
        <v>0</v>
      </c>
      <c r="F205" s="676">
        <f t="shared" si="116"/>
        <v>0</v>
      </c>
      <c r="G205" s="676">
        <f t="shared" ca="1" si="111"/>
        <v>0</v>
      </c>
      <c r="H205" s="676">
        <f t="shared" ca="1" si="108"/>
        <v>0</v>
      </c>
      <c r="I205" s="676">
        <f t="shared" ca="1" si="112"/>
        <v>0</v>
      </c>
      <c r="K205" s="676"/>
      <c r="L205" s="676"/>
      <c r="M205" s="676"/>
      <c r="N205" s="676"/>
      <c r="O205" s="676"/>
      <c r="P205" s="676"/>
      <c r="Q205" s="676"/>
      <c r="R205" s="676"/>
      <c r="S205" s="676"/>
      <c r="T205" s="676"/>
      <c r="U205" s="676"/>
      <c r="V205" s="676"/>
      <c r="W205" s="676">
        <f t="shared" si="117"/>
        <v>0</v>
      </c>
      <c r="Y205" s="688">
        <f>IFERROR(VLOOKUP($A205,'[96]1月'!$A:$H,8,0),0)</f>
        <v>0</v>
      </c>
      <c r="Z205" s="688">
        <f>IFERROR(VLOOKUP($A205,'[96]2月'!$A:$H,8,0),0)</f>
        <v>0</v>
      </c>
      <c r="AA205" s="688">
        <f>IFERROR(VLOOKUP($A205,'[96]3月'!$A:$H,8,0),0)</f>
        <v>0</v>
      </c>
      <c r="AB205" s="688">
        <f>IFERROR(VLOOKUP($A205,'[96]4月'!$A:$H,8,0),0)</f>
        <v>0</v>
      </c>
      <c r="AC205" s="688">
        <f>IFERROR(VLOOKUP($A205,'[96]5月'!$A:$H,8,0),0)</f>
        <v>0</v>
      </c>
      <c r="AD205" s="688">
        <f>IFERROR(VLOOKUP($A205,'[96]6月'!$A:$H,8,0),0)</f>
        <v>0</v>
      </c>
      <c r="AE205" s="688">
        <f>IFERROR(VLOOKUP($A205,'[96]7月'!$A:$H,8,0),0)</f>
        <v>0</v>
      </c>
      <c r="AF205" s="688">
        <f>IFERROR(VLOOKUP($A205,'[96]8月'!$A:$H,8,0),0)</f>
        <v>0</v>
      </c>
      <c r="AG205" s="688">
        <f>IFERROR(VLOOKUP($A205,'[96]9月'!$A:$H,8,0),0)</f>
        <v>0</v>
      </c>
      <c r="AH205" s="688">
        <f>IFERROR(VLOOKUP($A205,'[96]10月'!$A:$H,8,0),0)</f>
        <v>0</v>
      </c>
      <c r="AI205" s="688">
        <f>IFERROR(VLOOKUP($A205,'[96]11月'!$A:$H,8,0),0)</f>
        <v>0</v>
      </c>
      <c r="AJ205" s="688">
        <f>IFERROR(VLOOKUP($A205,'[96]12月'!$A:$H,8,0),0)</f>
        <v>0</v>
      </c>
      <c r="AK205" s="688">
        <f t="shared" si="118"/>
        <v>0</v>
      </c>
    </row>
    <row r="206" spans="1:37" ht="13.5" customHeight="1">
      <c r="A206" s="653">
        <f>'Budget-合并'!A206</f>
        <v>0</v>
      </c>
      <c r="B206" s="653">
        <f>'Budget-合并'!B206</f>
        <v>0</v>
      </c>
      <c r="C206" s="687">
        <f>'Budget-合并'!C206</f>
        <v>0</v>
      </c>
    </row>
    <row r="207" spans="1:37" ht="13.5" customHeight="1">
      <c r="A207" s="686">
        <f>'Budget-合并'!A207</f>
        <v>0</v>
      </c>
      <c r="B207" s="686" t="str">
        <f>'Budget-合并'!B207</f>
        <v>五  税后利润</v>
      </c>
      <c r="C207" s="687">
        <f>'Budget-合并'!C207</f>
        <v>0</v>
      </c>
      <c r="D207" s="677">
        <f ca="1">SUM($K207:OFFSET($K207,0,MATCH(D$6,$K$6:$V$6)-1))</f>
        <v>-47434.013333333336</v>
      </c>
      <c r="E207" s="677">
        <f>INDEX($Y207:$AJ207,1,MATCH($E$6,$Y$6:$AJ$6))</f>
        <v>-195.83</v>
      </c>
      <c r="F207" s="677">
        <f ca="1">D207-E207</f>
        <v>-47238.183333333334</v>
      </c>
      <c r="G207" s="677">
        <f ca="1">SUM($K207:OFFSET($K207,0,MATCH(G$6,$K$6:$V$6)-1))</f>
        <v>-47434.013333333336</v>
      </c>
      <c r="H207" s="677">
        <f ca="1">SUM($Y207:OFFSET($Y207,0,MATCH(H$6,$Y$6:$AJ$6)-1))</f>
        <v>-195.83</v>
      </c>
      <c r="I207" s="677">
        <f ca="1">G207-H207</f>
        <v>-47238.183333333334</v>
      </c>
      <c r="K207" s="677">
        <f t="shared" ref="K207:W207" si="119">K201-K203-K204-K205</f>
        <v>-47434.013333333336</v>
      </c>
      <c r="L207" s="677">
        <f t="shared" si="119"/>
        <v>-44672.373333333337</v>
      </c>
      <c r="M207" s="677">
        <f t="shared" si="119"/>
        <v>-44672.373333333337</v>
      </c>
      <c r="N207" s="677">
        <f t="shared" si="119"/>
        <v>-83.333333333333329</v>
      </c>
      <c r="O207" s="677">
        <f t="shared" si="119"/>
        <v>-83.333333333333329</v>
      </c>
      <c r="P207" s="677">
        <f t="shared" si="119"/>
        <v>-17083.333333333332</v>
      </c>
      <c r="Q207" s="677">
        <f t="shared" si="119"/>
        <v>-83.333333333333329</v>
      </c>
      <c r="R207" s="677">
        <f t="shared" si="119"/>
        <v>-83.333333333333329</v>
      </c>
      <c r="S207" s="677">
        <f t="shared" si="119"/>
        <v>-83.333333333333329</v>
      </c>
      <c r="T207" s="677">
        <f t="shared" si="119"/>
        <v>-83.333333333333329</v>
      </c>
      <c r="U207" s="677">
        <f t="shared" si="119"/>
        <v>-83.333333333333329</v>
      </c>
      <c r="V207" s="677">
        <f t="shared" si="119"/>
        <v>-3083.3333333333335</v>
      </c>
      <c r="W207" s="677">
        <f t="shared" si="119"/>
        <v>-157528.7600000001</v>
      </c>
      <c r="Y207" s="677">
        <f t="shared" ref="Y207:AK207" si="120">Y201-Y203-Y204-Y205</f>
        <v>-195.83</v>
      </c>
      <c r="Z207" s="677">
        <f t="shared" si="120"/>
        <v>-25</v>
      </c>
      <c r="AA207" s="677">
        <f t="shared" si="120"/>
        <v>-10.49</v>
      </c>
      <c r="AB207" s="677">
        <f t="shared" si="120"/>
        <v>-25</v>
      </c>
      <c r="AC207" s="677">
        <f t="shared" si="120"/>
        <v>-25</v>
      </c>
      <c r="AD207" s="677">
        <f t="shared" si="120"/>
        <v>-12.83</v>
      </c>
      <c r="AE207" s="677">
        <f t="shared" si="120"/>
        <v>-25</v>
      </c>
      <c r="AF207" s="677">
        <f t="shared" si="120"/>
        <v>-4857.88</v>
      </c>
      <c r="AG207" s="677">
        <f t="shared" si="120"/>
        <v>-10448.379999999999</v>
      </c>
      <c r="AH207" s="677">
        <f t="shared" si="120"/>
        <v>-10726.37</v>
      </c>
      <c r="AI207" s="677">
        <f t="shared" si="120"/>
        <v>-10381.16</v>
      </c>
      <c r="AJ207" s="677">
        <f t="shared" si="120"/>
        <v>-10719.11</v>
      </c>
      <c r="AK207" s="677">
        <f t="shared" si="120"/>
        <v>-47452.05000000001</v>
      </c>
    </row>
    <row r="208" spans="1:37" ht="13.5" customHeight="1">
      <c r="A208" s="653">
        <f>'Budget-合并'!A208</f>
        <v>0</v>
      </c>
      <c r="C208" s="687">
        <f>'Budget-合并'!C208</f>
        <v>0</v>
      </c>
    </row>
    <row r="209" spans="1:1" ht="13.5" customHeight="1">
      <c r="A209" s="653">
        <f>'Budget-合并'!A209</f>
        <v>0</v>
      </c>
    </row>
    <row r="210" spans="1:1" ht="13.5" customHeight="1">
      <c r="A210" s="653">
        <f>'Budget-合并'!A210</f>
        <v>0</v>
      </c>
    </row>
    <row r="211" spans="1:1" ht="13.5" customHeight="1">
      <c r="A211" s="653">
        <f>'Budget-合并'!A211</f>
        <v>0</v>
      </c>
    </row>
    <row r="212" spans="1:1" ht="13.5" customHeight="1">
      <c r="A212" s="653">
        <f>'Budget-合并'!A212</f>
        <v>0</v>
      </c>
    </row>
    <row r="213" spans="1:1" ht="13.5" customHeight="1">
      <c r="A213" s="653">
        <f>'Budget-合并'!A213</f>
        <v>0</v>
      </c>
    </row>
    <row r="214" spans="1:1" ht="13.5" customHeight="1">
      <c r="A214" s="653">
        <f>'Budget-合并'!A214</f>
        <v>0</v>
      </c>
    </row>
    <row r="215" spans="1:1" ht="13.5" customHeight="1">
      <c r="A215" s="653">
        <f>'Budget-合并'!A215</f>
        <v>0</v>
      </c>
    </row>
    <row r="216" spans="1:1" ht="13.5" customHeight="1">
      <c r="A216" s="653">
        <f>'Budget-合并'!A216</f>
        <v>0</v>
      </c>
    </row>
    <row r="217" spans="1:1" ht="13.5" customHeight="1">
      <c r="A217" s="653">
        <f>'Budget-合并'!A217</f>
        <v>0</v>
      </c>
    </row>
    <row r="218" spans="1:1" ht="13.5" customHeight="1">
      <c r="A218" s="653">
        <f>'Budget-合并'!A218</f>
        <v>0</v>
      </c>
    </row>
    <row r="219" spans="1:1" ht="13.5" customHeight="1">
      <c r="A219" s="653">
        <f>'Budget-合并'!A219</f>
        <v>0</v>
      </c>
    </row>
  </sheetData>
  <autoFilter ref="A6:W219" xr:uid="{00000000-0009-0000-0000-00000E000000}"/>
  <conditionalFormatting sqref="K5:W5">
    <cfRule type="cellIs" dxfId="108" priority="4" stopIfTrue="1" operator="equal">
      <formula>"Actual"</formula>
    </cfRule>
    <cfRule type="cellIs" dxfId="107" priority="5" stopIfTrue="1" operator="equal">
      <formula>"Forecast"</formula>
    </cfRule>
    <cfRule type="cellIs" dxfId="106" priority="6" stopIfTrue="1" operator="equal">
      <formula>"Budget"</formula>
    </cfRule>
  </conditionalFormatting>
  <conditionalFormatting sqref="Y5:AK5">
    <cfRule type="cellIs" dxfId="105" priority="1" stopIfTrue="1" operator="equal">
      <formula>"Actual"</formula>
    </cfRule>
    <cfRule type="cellIs" dxfId="104" priority="2" stopIfTrue="1" operator="equal">
      <formula>"Forecast"</formula>
    </cfRule>
    <cfRule type="cellIs" dxfId="103" priority="3" stopIfTrue="1" operator="equal">
      <formula>"Budget"</formula>
    </cfRule>
  </conditionalFormatting>
  <dataValidations count="1">
    <dataValidation type="list" allowBlank="1" showInputMessage="1" showErrorMessage="1" sqref="K5:W5 Y5:AK5" xr:uid="{00000000-0002-0000-0E00-000000000000}">
      <formula1>"Actual,Forecast,Budget"</formula1>
    </dataValidation>
  </dataValidations>
  <printOptions horizontalCentered="1" headings="1" gridLines="1"/>
  <pageMargins left="0.39" right="0.35" top="0.59" bottom="0.59" header="0.31" footer="0.31"/>
  <pageSetup paperSize="8" scale="26" orientation="landscape" cellComments="asDisplayed" r:id="rId1"/>
  <headerFooter scaleWithDoc="0" alignWithMargins="0">
    <oddFooter>&amp;L&amp;"Arial,Regular"&amp;8&amp;Z
&amp;F  
&amp;A&amp;CPage &amp;P of &amp;N
&amp;R&amp;"Times New Roman,Regular"&amp;8&amp;D
&amp;T</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pageSetUpPr fitToPage="1"/>
  </sheetPr>
  <dimension ref="A1:T219"/>
  <sheetViews>
    <sheetView workbookViewId="0"/>
  </sheetViews>
  <sheetFormatPr defaultColWidth="8.75" defaultRowHeight="13.5" customHeight="1"/>
  <cols>
    <col min="1" max="1" width="12.375" style="652" customWidth="1"/>
    <col min="2" max="2" width="17.75" style="653" customWidth="1"/>
    <col min="3" max="3" width="15.875" style="652" customWidth="1"/>
    <col min="4" max="4" width="12.25" style="654" customWidth="1"/>
    <col min="5" max="5" width="2.625" style="654" customWidth="1"/>
    <col min="6" max="6" width="12.25" style="654" customWidth="1"/>
    <col min="7" max="7" width="2.625" style="654" customWidth="1"/>
    <col min="8" max="19" width="10.375" style="652" customWidth="1"/>
    <col min="20" max="20" width="8.5" style="652" customWidth="1"/>
    <col min="21" max="22" width="8.75" style="652" customWidth="1"/>
    <col min="23" max="16384" width="8.75" style="652"/>
  </cols>
  <sheetData>
    <row r="1" spans="1:20" s="647" customFormat="1" ht="16.5" customHeight="1">
      <c r="B1" s="655" t="s">
        <v>2482</v>
      </c>
      <c r="C1" s="656"/>
      <c r="D1" s="657" t="s">
        <v>2110</v>
      </c>
      <c r="E1" s="658"/>
      <c r="F1" s="658"/>
      <c r="G1" s="658"/>
    </row>
    <row r="2" spans="1:20" s="647" customFormat="1" ht="16.5" customHeight="1">
      <c r="B2" s="659"/>
      <c r="D2" s="658"/>
      <c r="E2" s="658"/>
      <c r="F2" s="658"/>
      <c r="G2" s="658"/>
    </row>
    <row r="3" spans="1:20" s="647" customFormat="1" ht="16.5" customHeight="1">
      <c r="B3" s="660" t="s">
        <v>2484</v>
      </c>
      <c r="C3" s="661"/>
      <c r="D3" s="658"/>
      <c r="E3" s="658"/>
      <c r="F3" s="658"/>
      <c r="G3" s="658"/>
    </row>
    <row r="4" spans="1:20" ht="16.5" customHeight="1">
      <c r="H4" s="662"/>
    </row>
    <row r="5" spans="1:20" ht="13.5" customHeight="1">
      <c r="B5" s="663"/>
      <c r="D5" s="664" t="s">
        <v>2497</v>
      </c>
      <c r="F5" s="664" t="s">
        <v>2500</v>
      </c>
      <c r="G5" s="665"/>
      <c r="H5" s="666" t="s">
        <v>2502</v>
      </c>
      <c r="I5" s="666" t="s">
        <v>2502</v>
      </c>
      <c r="J5" s="666" t="s">
        <v>2502</v>
      </c>
      <c r="K5" s="666" t="s">
        <v>2502</v>
      </c>
      <c r="L5" s="666" t="s">
        <v>2502</v>
      </c>
      <c r="M5" s="666" t="s">
        <v>2502</v>
      </c>
      <c r="N5" s="666" t="s">
        <v>2502</v>
      </c>
      <c r="O5" s="666" t="s">
        <v>2502</v>
      </c>
      <c r="P5" s="666" t="s">
        <v>2502</v>
      </c>
      <c r="Q5" s="666" t="s">
        <v>2502</v>
      </c>
      <c r="R5" s="666" t="s">
        <v>2502</v>
      </c>
      <c r="S5" s="666" t="s">
        <v>2502</v>
      </c>
      <c r="T5" s="666" t="s">
        <v>2502</v>
      </c>
    </row>
    <row r="6" spans="1:20" s="648" customFormat="1" ht="13.5" customHeight="1">
      <c r="A6" s="649" t="s">
        <v>2488</v>
      </c>
      <c r="B6" s="667"/>
      <c r="D6" s="668">
        <f>'Flash Report'!$C$2</f>
        <v>46023</v>
      </c>
      <c r="E6" s="654"/>
      <c r="F6" s="668">
        <f>D6</f>
        <v>46023</v>
      </c>
      <c r="G6" s="669"/>
      <c r="H6" s="670">
        <v>46023</v>
      </c>
      <c r="I6" s="670">
        <v>46054</v>
      </c>
      <c r="J6" s="670">
        <v>46082</v>
      </c>
      <c r="K6" s="670">
        <v>46113</v>
      </c>
      <c r="L6" s="670">
        <v>46143</v>
      </c>
      <c r="M6" s="670">
        <v>46174</v>
      </c>
      <c r="N6" s="670">
        <v>46204</v>
      </c>
      <c r="O6" s="670">
        <v>46235</v>
      </c>
      <c r="P6" s="670">
        <v>46266</v>
      </c>
      <c r="Q6" s="670">
        <v>46296</v>
      </c>
      <c r="R6" s="670">
        <v>46327</v>
      </c>
      <c r="S6" s="670">
        <v>46357</v>
      </c>
      <c r="T6" s="671" t="s">
        <v>2504</v>
      </c>
    </row>
    <row r="7" spans="1:20" s="649" customFormat="1" ht="13.5" customHeight="1">
      <c r="A7" s="653" t="str">
        <f>'Budget-合并'!A7</f>
        <v>6001</v>
      </c>
      <c r="B7" s="672" t="str">
        <f>'Budget-合并'!B7</f>
        <v>营业收入</v>
      </c>
      <c r="C7" s="673">
        <f>VLOOKUP(A7,Account!A:F,4,0)</f>
        <v>0</v>
      </c>
      <c r="D7" s="674"/>
      <c r="E7" s="674"/>
      <c r="F7" s="674"/>
      <c r="G7" s="674"/>
      <c r="H7" s="674"/>
      <c r="I7" s="674"/>
      <c r="J7" s="674"/>
      <c r="K7" s="674"/>
      <c r="L7" s="674"/>
      <c r="M7" s="674"/>
      <c r="N7" s="674"/>
      <c r="O7" s="674"/>
      <c r="P7" s="674"/>
      <c r="Q7" s="674"/>
      <c r="R7" s="674"/>
      <c r="S7" s="674"/>
      <c r="T7" s="674"/>
    </row>
    <row r="8" spans="1:20" ht="13.5" customHeight="1">
      <c r="A8" s="653" t="str">
        <f>'Budget-合并'!A8</f>
        <v>6001.01</v>
      </c>
      <c r="B8" s="675" t="str">
        <f>'Budget-合并'!B8</f>
        <v>基金管理费收入</v>
      </c>
      <c r="C8" s="673" t="str">
        <f>'Budget-合并'!C8</f>
        <v>Fund Management Fee</v>
      </c>
      <c r="D8" s="676">
        <f t="shared" ref="D8:D12" si="0">INDEX($H$8:$S$8,1,MATCH($D$6,$H$6:$S$6))</f>
        <v>0</v>
      </c>
      <c r="F8" s="676">
        <f t="shared" ref="F8:F12" ca="1" si="1">SUM($H8:OFFSET($H8,0,MATCH(F$6,$H$6:$S$6)-1))</f>
        <v>0</v>
      </c>
      <c r="H8" s="676"/>
      <c r="I8" s="676"/>
      <c r="J8" s="676"/>
      <c r="K8" s="676"/>
      <c r="L8" s="676"/>
      <c r="M8" s="676"/>
      <c r="N8" s="676"/>
      <c r="O8" s="676"/>
      <c r="P8" s="676"/>
      <c r="Q8" s="676"/>
      <c r="R8" s="676"/>
      <c r="S8" s="676"/>
      <c r="T8" s="676">
        <f t="shared" ref="T8:T11" si="2">SUM(H8:S8)</f>
        <v>0</v>
      </c>
    </row>
    <row r="9" spans="1:20" ht="13.5" customHeight="1">
      <c r="A9" s="653" t="str">
        <f>'Budget-合并'!A9</f>
        <v>6001.02</v>
      </c>
      <c r="B9" s="675" t="str">
        <f>'Budget-合并'!B9</f>
        <v>咨询服务费收入</v>
      </c>
      <c r="C9" s="673" t="str">
        <f>'Budget-合并'!C9</f>
        <v>Advisory Fee Income</v>
      </c>
      <c r="D9" s="676">
        <f t="shared" si="0"/>
        <v>0</v>
      </c>
      <c r="F9" s="676">
        <f t="shared" ca="1" si="1"/>
        <v>0</v>
      </c>
      <c r="H9" s="676">
        <f t="shared" ref="H9:S9" si="3">SUM(H10:H11)</f>
        <v>0</v>
      </c>
      <c r="I9" s="676">
        <f t="shared" si="3"/>
        <v>0</v>
      </c>
      <c r="J9" s="676">
        <f t="shared" si="3"/>
        <v>0</v>
      </c>
      <c r="K9" s="676">
        <f t="shared" si="3"/>
        <v>0</v>
      </c>
      <c r="L9" s="676">
        <f t="shared" si="3"/>
        <v>0</v>
      </c>
      <c r="M9" s="676">
        <f t="shared" si="3"/>
        <v>0</v>
      </c>
      <c r="N9" s="676">
        <f t="shared" si="3"/>
        <v>0</v>
      </c>
      <c r="O9" s="676">
        <f t="shared" si="3"/>
        <v>0</v>
      </c>
      <c r="P9" s="676">
        <f t="shared" si="3"/>
        <v>0</v>
      </c>
      <c r="Q9" s="676">
        <f t="shared" si="3"/>
        <v>0</v>
      </c>
      <c r="R9" s="676">
        <f t="shared" si="3"/>
        <v>0</v>
      </c>
      <c r="S9" s="676">
        <f t="shared" si="3"/>
        <v>0</v>
      </c>
      <c r="T9" s="676">
        <f t="shared" si="2"/>
        <v>0</v>
      </c>
    </row>
    <row r="10" spans="1:20" ht="13.5" customHeight="1">
      <c r="A10" s="653">
        <f>'Budget-合并'!A10</f>
        <v>0</v>
      </c>
      <c r="B10" s="675" t="str">
        <f>'Budget-合并'!B10</f>
        <v xml:space="preserve">   辉飏咨询服务费</v>
      </c>
      <c r="C10" s="673" t="str">
        <f>'Budget-合并'!C10</f>
        <v xml:space="preserve">  HYNE</v>
      </c>
      <c r="D10" s="676">
        <f t="shared" si="0"/>
        <v>0</v>
      </c>
      <c r="F10" s="676">
        <f t="shared" ca="1" si="1"/>
        <v>0</v>
      </c>
      <c r="H10" s="676"/>
      <c r="I10" s="676"/>
      <c r="J10" s="676"/>
      <c r="K10" s="676"/>
      <c r="L10" s="676"/>
      <c r="M10" s="676"/>
      <c r="N10" s="676"/>
      <c r="O10" s="676"/>
      <c r="P10" s="676"/>
      <c r="Q10" s="676"/>
      <c r="R10" s="676"/>
      <c r="S10" s="676"/>
      <c r="T10" s="676">
        <f t="shared" si="2"/>
        <v>0</v>
      </c>
    </row>
    <row r="11" spans="1:20" ht="13.5" customHeight="1">
      <c r="A11" s="653">
        <f>'Budget-合并'!A11</f>
        <v>0</v>
      </c>
      <c r="B11" s="675" t="str">
        <f>'Budget-合并'!B11</f>
        <v xml:space="preserve">      MAA咨询管理费</v>
      </c>
      <c r="C11" s="673" t="str">
        <f>'Budget-合并'!C11</f>
        <v xml:space="preserve">  MAA</v>
      </c>
      <c r="D11" s="676">
        <f t="shared" si="0"/>
        <v>0</v>
      </c>
      <c r="F11" s="676">
        <f t="shared" ca="1" si="1"/>
        <v>0</v>
      </c>
      <c r="H11" s="676"/>
      <c r="I11" s="676"/>
      <c r="J11" s="676"/>
      <c r="K11" s="676"/>
      <c r="L11" s="676"/>
      <c r="M11" s="676"/>
      <c r="N11" s="676"/>
      <c r="O11" s="676"/>
      <c r="P11" s="676"/>
      <c r="Q11" s="676"/>
      <c r="R11" s="676"/>
      <c r="S11" s="676"/>
      <c r="T11" s="676">
        <f t="shared" si="2"/>
        <v>0</v>
      </c>
    </row>
    <row r="12" spans="1:20" s="650" customFormat="1" ht="13.5" customHeight="1">
      <c r="A12" s="653">
        <f>'Budget-合并'!A12</f>
        <v>0</v>
      </c>
      <c r="B12" s="672" t="str">
        <f>'Budget-合并'!B12</f>
        <v>营业收入合计</v>
      </c>
      <c r="C12" s="673">
        <f>'Budget-合并'!C12</f>
        <v>0</v>
      </c>
      <c r="D12" s="654">
        <f t="shared" si="0"/>
        <v>0</v>
      </c>
      <c r="E12" s="654"/>
      <c r="F12" s="654">
        <f t="shared" ca="1" si="1"/>
        <v>0</v>
      </c>
      <c r="G12" s="654"/>
      <c r="H12" s="654">
        <f t="shared" ref="H12:T12" si="4">SUM(H8,H9)</f>
        <v>0</v>
      </c>
      <c r="I12" s="654">
        <f t="shared" si="4"/>
        <v>0</v>
      </c>
      <c r="J12" s="654">
        <f t="shared" si="4"/>
        <v>0</v>
      </c>
      <c r="K12" s="654">
        <f t="shared" si="4"/>
        <v>0</v>
      </c>
      <c r="L12" s="654">
        <f t="shared" si="4"/>
        <v>0</v>
      </c>
      <c r="M12" s="654">
        <f t="shared" si="4"/>
        <v>0</v>
      </c>
      <c r="N12" s="654">
        <f t="shared" si="4"/>
        <v>0</v>
      </c>
      <c r="O12" s="654">
        <f t="shared" si="4"/>
        <v>0</v>
      </c>
      <c r="P12" s="654">
        <f t="shared" si="4"/>
        <v>0</v>
      </c>
      <c r="Q12" s="654">
        <f t="shared" si="4"/>
        <v>0</v>
      </c>
      <c r="R12" s="654">
        <f t="shared" si="4"/>
        <v>0</v>
      </c>
      <c r="S12" s="654">
        <f t="shared" si="4"/>
        <v>0</v>
      </c>
      <c r="T12" s="654">
        <f t="shared" si="4"/>
        <v>0</v>
      </c>
    </row>
    <row r="13" spans="1:20" ht="13.5" customHeight="1">
      <c r="A13" s="653">
        <f>'Budget-合并'!A13</f>
        <v>0</v>
      </c>
      <c r="B13" s="653">
        <f>'Budget-合并'!B13</f>
        <v>0</v>
      </c>
      <c r="C13" s="673">
        <f>'Budget-合并'!C13</f>
        <v>0</v>
      </c>
      <c r="H13" s="654"/>
      <c r="I13" s="654"/>
      <c r="J13" s="654"/>
      <c r="K13" s="654"/>
      <c r="L13" s="654"/>
      <c r="M13" s="654"/>
      <c r="N13" s="654"/>
      <c r="O13" s="654"/>
      <c r="P13" s="654"/>
      <c r="Q13" s="654"/>
      <c r="R13" s="654"/>
      <c r="S13" s="654"/>
      <c r="T13" s="654"/>
    </row>
    <row r="14" spans="1:20" ht="13.5" customHeight="1">
      <c r="A14" s="653" t="str">
        <f>'Budget-合并'!A14</f>
        <v>6405.01</v>
      </c>
      <c r="B14" s="653" t="str">
        <f>'Budget-合并'!B14</f>
        <v>印花税</v>
      </c>
      <c r="C14" s="673" t="str">
        <f>'Budget-合并'!C14</f>
        <v>Stamp Duty</v>
      </c>
      <c r="D14" s="676">
        <f t="shared" ref="D14:D19" si="5">INDEX($H$8:$S$8,1,MATCH($D$6,$H$6:$S$6))</f>
        <v>0</v>
      </c>
      <c r="F14" s="676">
        <f t="shared" ref="F14:F19" ca="1" si="6">SUM($H14:OFFSET($H14,0,MATCH(F$6,$H$6:$S$6)-1))</f>
        <v>0</v>
      </c>
      <c r="H14" s="676"/>
      <c r="I14" s="676"/>
      <c r="J14" s="676"/>
      <c r="K14" s="676"/>
      <c r="L14" s="676"/>
      <c r="M14" s="676"/>
      <c r="N14" s="676"/>
      <c r="O14" s="676"/>
      <c r="P14" s="676"/>
      <c r="Q14" s="676"/>
      <c r="R14" s="676"/>
      <c r="S14" s="676"/>
      <c r="T14" s="676">
        <f t="shared" ref="T14:T18" si="7">SUM(H14:S14)</f>
        <v>0</v>
      </c>
    </row>
    <row r="15" spans="1:20" ht="13.5" customHeight="1">
      <c r="A15" s="653" t="str">
        <f>'Budget-合并'!A15</f>
        <v>6405.02</v>
      </c>
      <c r="B15" s="653" t="str">
        <f>'Budget-合并'!B15</f>
        <v>城市维护建设税</v>
      </c>
      <c r="C15" s="673" t="str">
        <f>'Budget-合并'!C15</f>
        <v>VAT surcharge</v>
      </c>
      <c r="D15" s="676">
        <f t="shared" si="5"/>
        <v>0</v>
      </c>
      <c r="F15" s="676">
        <f t="shared" ca="1" si="6"/>
        <v>0</v>
      </c>
      <c r="H15" s="676"/>
      <c r="I15" s="676"/>
      <c r="J15" s="676"/>
      <c r="K15" s="676"/>
      <c r="L15" s="676"/>
      <c r="M15" s="676"/>
      <c r="N15" s="676"/>
      <c r="O15" s="676"/>
      <c r="P15" s="676"/>
      <c r="Q15" s="676"/>
      <c r="R15" s="676"/>
      <c r="S15" s="676"/>
      <c r="T15" s="676">
        <f t="shared" si="7"/>
        <v>0</v>
      </c>
    </row>
    <row r="16" spans="1:20" ht="13.5" customHeight="1">
      <c r="A16" s="653" t="str">
        <f>'Budget-合并'!A16</f>
        <v>6405.03</v>
      </c>
      <c r="B16" s="653" t="str">
        <f>'Budget-合并'!B16</f>
        <v>教育费附加</v>
      </c>
      <c r="C16" s="673" t="str">
        <f>'Budget-合并'!C16</f>
        <v>VAT surcharge</v>
      </c>
      <c r="D16" s="676">
        <f t="shared" si="5"/>
        <v>0</v>
      </c>
      <c r="F16" s="676">
        <f t="shared" ca="1" si="6"/>
        <v>0</v>
      </c>
      <c r="H16" s="676"/>
      <c r="I16" s="676"/>
      <c r="J16" s="676"/>
      <c r="K16" s="676"/>
      <c r="L16" s="676"/>
      <c r="M16" s="676"/>
      <c r="N16" s="676"/>
      <c r="O16" s="676"/>
      <c r="P16" s="676"/>
      <c r="Q16" s="676"/>
      <c r="R16" s="676"/>
      <c r="S16" s="676"/>
      <c r="T16" s="676">
        <f t="shared" si="7"/>
        <v>0</v>
      </c>
    </row>
    <row r="17" spans="1:20" ht="13.5" customHeight="1">
      <c r="A17" s="653" t="str">
        <f>'Budget-合并'!A17</f>
        <v>6405.04</v>
      </c>
      <c r="B17" s="653" t="str">
        <f>'Budget-合并'!B17</f>
        <v>地方教育附加</v>
      </c>
      <c r="C17" s="673" t="str">
        <f>'Budget-合并'!C17</f>
        <v>VAT surcharge</v>
      </c>
      <c r="D17" s="676">
        <f t="shared" si="5"/>
        <v>0</v>
      </c>
      <c r="F17" s="676">
        <f t="shared" ca="1" si="6"/>
        <v>0</v>
      </c>
      <c r="H17" s="676"/>
      <c r="I17" s="676"/>
      <c r="J17" s="676"/>
      <c r="K17" s="676"/>
      <c r="L17" s="676"/>
      <c r="M17" s="676"/>
      <c r="N17" s="676"/>
      <c r="O17" s="676"/>
      <c r="P17" s="676"/>
      <c r="Q17" s="676"/>
      <c r="R17" s="676"/>
      <c r="S17" s="676"/>
      <c r="T17" s="676">
        <f t="shared" si="7"/>
        <v>0</v>
      </c>
    </row>
    <row r="18" spans="1:20" ht="13.5" customHeight="1">
      <c r="A18" s="653" t="str">
        <f>'Budget-合并'!A18</f>
        <v>6405.05</v>
      </c>
      <c r="B18" s="653" t="str">
        <f>'Budget-合并'!B18</f>
        <v>水利建设基金</v>
      </c>
      <c r="C18" s="673">
        <f>'Budget-合并'!C18</f>
        <v>0</v>
      </c>
      <c r="D18" s="676">
        <f t="shared" si="5"/>
        <v>0</v>
      </c>
      <c r="F18" s="676">
        <f t="shared" ca="1" si="6"/>
        <v>0</v>
      </c>
      <c r="H18" s="676"/>
      <c r="I18" s="676"/>
      <c r="J18" s="676"/>
      <c r="K18" s="676"/>
      <c r="L18" s="676"/>
      <c r="M18" s="676"/>
      <c r="N18" s="676"/>
      <c r="O18" s="676"/>
      <c r="P18" s="676"/>
      <c r="Q18" s="676"/>
      <c r="R18" s="676"/>
      <c r="S18" s="676"/>
      <c r="T18" s="676">
        <f t="shared" si="7"/>
        <v>0</v>
      </c>
    </row>
    <row r="19" spans="1:20" s="650" customFormat="1" ht="13.5" customHeight="1">
      <c r="A19" s="672">
        <f>'Budget-合并'!A19</f>
        <v>6401</v>
      </c>
      <c r="B19" s="672" t="str">
        <f>'Budget-合并'!B19</f>
        <v>税金及附加小计</v>
      </c>
      <c r="C19" s="673">
        <f>'Budget-合并'!C19</f>
        <v>0</v>
      </c>
      <c r="D19" s="654">
        <f t="shared" si="5"/>
        <v>0</v>
      </c>
      <c r="E19" s="654"/>
      <c r="F19" s="654">
        <f t="shared" ca="1" si="6"/>
        <v>0</v>
      </c>
      <c r="G19" s="654"/>
      <c r="H19" s="654">
        <f t="shared" ref="H19:T19" si="8">SUM(H14:H18)</f>
        <v>0</v>
      </c>
      <c r="I19" s="654">
        <f t="shared" si="8"/>
        <v>0</v>
      </c>
      <c r="J19" s="654">
        <f t="shared" si="8"/>
        <v>0</v>
      </c>
      <c r="K19" s="654">
        <f t="shared" si="8"/>
        <v>0</v>
      </c>
      <c r="L19" s="654">
        <f t="shared" si="8"/>
        <v>0</v>
      </c>
      <c r="M19" s="654">
        <f t="shared" si="8"/>
        <v>0</v>
      </c>
      <c r="N19" s="654">
        <f t="shared" si="8"/>
        <v>0</v>
      </c>
      <c r="O19" s="654">
        <f t="shared" si="8"/>
        <v>0</v>
      </c>
      <c r="P19" s="654">
        <f t="shared" si="8"/>
        <v>0</v>
      </c>
      <c r="Q19" s="654">
        <f t="shared" si="8"/>
        <v>0</v>
      </c>
      <c r="R19" s="654">
        <f t="shared" si="8"/>
        <v>0</v>
      </c>
      <c r="S19" s="654">
        <f t="shared" si="8"/>
        <v>0</v>
      </c>
      <c r="T19" s="654">
        <f t="shared" si="8"/>
        <v>0</v>
      </c>
    </row>
    <row r="20" spans="1:20" ht="13.5" customHeight="1">
      <c r="A20" s="653">
        <f>'Budget-合并'!A20</f>
        <v>0</v>
      </c>
      <c r="B20" s="653">
        <f>'Budget-合并'!B20</f>
        <v>0</v>
      </c>
      <c r="C20" s="673">
        <f>'Budget-合并'!C20</f>
        <v>0</v>
      </c>
      <c r="H20" s="654"/>
      <c r="I20" s="654"/>
      <c r="J20" s="654"/>
      <c r="K20" s="654"/>
      <c r="L20" s="654"/>
      <c r="M20" s="654"/>
      <c r="N20" s="654"/>
      <c r="O20" s="654"/>
      <c r="P20" s="654"/>
      <c r="Q20" s="654"/>
      <c r="R20" s="654"/>
      <c r="S20" s="654"/>
      <c r="T20" s="654"/>
    </row>
    <row r="21" spans="1:20" ht="13.5" customHeight="1">
      <c r="A21" s="653">
        <f>'Budget-合并'!A21</f>
        <v>0</v>
      </c>
      <c r="B21" s="653">
        <f>'Budget-合并'!B21</f>
        <v>0</v>
      </c>
      <c r="C21" s="673">
        <f>'Budget-合并'!C21</f>
        <v>0</v>
      </c>
      <c r="D21" s="677"/>
      <c r="F21" s="677"/>
      <c r="H21" s="677"/>
      <c r="I21" s="677"/>
      <c r="J21" s="677"/>
      <c r="K21" s="677"/>
      <c r="L21" s="677"/>
      <c r="M21" s="677"/>
      <c r="N21" s="677"/>
      <c r="O21" s="677"/>
      <c r="P21" s="677"/>
      <c r="Q21" s="677"/>
      <c r="R21" s="677"/>
      <c r="S21" s="677"/>
      <c r="T21" s="677"/>
    </row>
    <row r="22" spans="1:20" ht="13.5" customHeight="1">
      <c r="A22" s="672" t="str">
        <f>'Budget-合并'!A22</f>
        <v>6602</v>
      </c>
      <c r="B22" s="672" t="str">
        <f>'Budget-合并'!B22</f>
        <v>管理费用</v>
      </c>
      <c r="C22" s="673">
        <f>'Budget-合并'!C22</f>
        <v>0</v>
      </c>
      <c r="D22" s="677"/>
      <c r="F22" s="677"/>
      <c r="H22" s="677"/>
      <c r="I22" s="677"/>
      <c r="J22" s="677"/>
      <c r="K22" s="677"/>
      <c r="L22" s="677"/>
      <c r="M22" s="677"/>
      <c r="N22" s="677"/>
      <c r="O22" s="677"/>
      <c r="P22" s="677"/>
      <c r="Q22" s="677"/>
      <c r="R22" s="677"/>
      <c r="S22" s="677"/>
      <c r="T22" s="677"/>
    </row>
    <row r="23" spans="1:20" ht="13.5" customHeight="1">
      <c r="A23" s="663" t="str">
        <f>'Budget-合并'!A23</f>
        <v>6602.01</v>
      </c>
      <c r="B23" s="678" t="str">
        <f>'Budget-合并'!B23</f>
        <v>工资薪金</v>
      </c>
      <c r="C23" s="673">
        <f>'Budget-合并'!C23</f>
        <v>0</v>
      </c>
      <c r="D23" s="676">
        <f t="shared" ref="D23:D42" si="9">INDEX($H$8:$S$8,1,MATCH($D$6,$H$6:$S$6))</f>
        <v>0</v>
      </c>
      <c r="F23" s="676">
        <f t="shared" ref="F23:F42" ca="1" si="10">SUM($H23:OFFSET($H23,0,MATCH(F$6,$H$6:$S$6)-1))</f>
        <v>0</v>
      </c>
      <c r="H23" s="676">
        <f t="shared" ref="H23:S23" si="11">SUM(H24:H32)</f>
        <v>0</v>
      </c>
      <c r="I23" s="676">
        <f t="shared" si="11"/>
        <v>0</v>
      </c>
      <c r="J23" s="676">
        <f t="shared" si="11"/>
        <v>0</v>
      </c>
      <c r="K23" s="676">
        <f t="shared" si="11"/>
        <v>0</v>
      </c>
      <c r="L23" s="676">
        <f t="shared" si="11"/>
        <v>0</v>
      </c>
      <c r="M23" s="676">
        <f t="shared" si="11"/>
        <v>0</v>
      </c>
      <c r="N23" s="676">
        <f t="shared" si="11"/>
        <v>0</v>
      </c>
      <c r="O23" s="676">
        <f t="shared" si="11"/>
        <v>0</v>
      </c>
      <c r="P23" s="676">
        <f t="shared" si="11"/>
        <v>0</v>
      </c>
      <c r="Q23" s="676">
        <f t="shared" si="11"/>
        <v>0</v>
      </c>
      <c r="R23" s="676">
        <f t="shared" si="11"/>
        <v>0</v>
      </c>
      <c r="S23" s="676">
        <f t="shared" si="11"/>
        <v>0</v>
      </c>
      <c r="T23" s="676">
        <f t="shared" ref="T23:T86" si="12">SUM(H23:S23)</f>
        <v>0</v>
      </c>
    </row>
    <row r="24" spans="1:20" ht="13.5" customHeight="1">
      <c r="A24" s="653" t="str">
        <f>'Budget-合并'!A24</f>
        <v>6602.01.01</v>
      </c>
      <c r="B24" s="653" t="str">
        <f>'Budget-合并'!B24</f>
        <v>基本工资（专业）</v>
      </c>
      <c r="C24" s="673" t="str">
        <f>'Budget-合并'!C24</f>
        <v>Salary Professional</v>
      </c>
      <c r="D24" s="676">
        <f t="shared" si="9"/>
        <v>0</v>
      </c>
      <c r="F24" s="676">
        <f t="shared" ca="1" si="10"/>
        <v>0</v>
      </c>
      <c r="H24" s="676"/>
      <c r="I24" s="676"/>
      <c r="J24" s="676"/>
      <c r="K24" s="676"/>
      <c r="L24" s="676"/>
      <c r="M24" s="676"/>
      <c r="N24" s="676"/>
      <c r="O24" s="676"/>
      <c r="P24" s="676"/>
      <c r="Q24" s="676"/>
      <c r="R24" s="676"/>
      <c r="S24" s="676"/>
      <c r="T24" s="676">
        <f t="shared" si="12"/>
        <v>0</v>
      </c>
    </row>
    <row r="25" spans="1:20" ht="13.5" customHeight="1">
      <c r="A25" s="653" t="str">
        <f>'Budget-合并'!A25</f>
        <v>6602.01.02</v>
      </c>
      <c r="B25" s="653" t="str">
        <f>'Budget-合并'!B25</f>
        <v>加班费</v>
      </c>
      <c r="C25" s="673">
        <f>'Budget-合并'!C25</f>
        <v>0</v>
      </c>
      <c r="D25" s="676">
        <f t="shared" si="9"/>
        <v>0</v>
      </c>
      <c r="F25" s="676">
        <f t="shared" ca="1" si="10"/>
        <v>0</v>
      </c>
      <c r="H25" s="676"/>
      <c r="I25" s="676"/>
      <c r="J25" s="676"/>
      <c r="K25" s="676"/>
      <c r="L25" s="676"/>
      <c r="M25" s="676"/>
      <c r="N25" s="676"/>
      <c r="O25" s="676"/>
      <c r="P25" s="676"/>
      <c r="Q25" s="676"/>
      <c r="R25" s="676"/>
      <c r="S25" s="676"/>
      <c r="T25" s="676">
        <f t="shared" si="12"/>
        <v>0</v>
      </c>
    </row>
    <row r="26" spans="1:20" ht="13.5" customHeight="1">
      <c r="A26" s="653" t="str">
        <f>'Budget-合并'!A26</f>
        <v>6602.01.03</v>
      </c>
      <c r="B26" s="653" t="str">
        <f>'Budget-合并'!B26</f>
        <v>员工奖金（专业）</v>
      </c>
      <c r="C26" s="673" t="str">
        <f>'Budget-合并'!C26</f>
        <v>Bonus Expense - Professional</v>
      </c>
      <c r="D26" s="676">
        <f t="shared" si="9"/>
        <v>0</v>
      </c>
      <c r="F26" s="676">
        <f t="shared" ca="1" si="10"/>
        <v>0</v>
      </c>
      <c r="H26" s="676"/>
      <c r="I26" s="676"/>
      <c r="J26" s="676"/>
      <c r="K26" s="676"/>
      <c r="L26" s="676"/>
      <c r="M26" s="676"/>
      <c r="N26" s="676"/>
      <c r="O26" s="676"/>
      <c r="P26" s="676"/>
      <c r="Q26" s="676"/>
      <c r="R26" s="676"/>
      <c r="S26" s="676"/>
      <c r="T26" s="676">
        <f t="shared" si="12"/>
        <v>0</v>
      </c>
    </row>
    <row r="27" spans="1:20" ht="13.5" customHeight="1">
      <c r="A27" s="653" t="str">
        <f>'Budget-合并'!A27</f>
        <v>6602.01.04</v>
      </c>
      <c r="B27" s="653" t="str">
        <f>'Budget-合并'!B27</f>
        <v>员工遣散费</v>
      </c>
      <c r="C27" s="673">
        <f>'Budget-合并'!C27</f>
        <v>0</v>
      </c>
      <c r="D27" s="676">
        <f t="shared" si="9"/>
        <v>0</v>
      </c>
      <c r="F27" s="676">
        <f t="shared" ca="1" si="10"/>
        <v>0</v>
      </c>
      <c r="H27" s="676"/>
      <c r="I27" s="676"/>
      <c r="J27" s="676"/>
      <c r="K27" s="676"/>
      <c r="L27" s="676"/>
      <c r="M27" s="676"/>
      <c r="N27" s="676"/>
      <c r="O27" s="676"/>
      <c r="P27" s="676"/>
      <c r="Q27" s="676"/>
      <c r="R27" s="676"/>
      <c r="S27" s="676"/>
      <c r="T27" s="676">
        <f t="shared" si="12"/>
        <v>0</v>
      </c>
    </row>
    <row r="28" spans="1:20" ht="13.5" customHeight="1">
      <c r="A28" s="653" t="str">
        <f>'Budget-合并'!A28</f>
        <v>6602.01.05</v>
      </c>
      <c r="B28" s="653" t="str">
        <f>'Budget-合并'!B28</f>
        <v>员工假期</v>
      </c>
      <c r="C28" s="673" t="str">
        <f>'Budget-合并'!C28</f>
        <v>Unused Leave Expense</v>
      </c>
      <c r="D28" s="676">
        <f t="shared" si="9"/>
        <v>0</v>
      </c>
      <c r="F28" s="676">
        <f t="shared" ca="1" si="10"/>
        <v>0</v>
      </c>
      <c r="H28" s="676"/>
      <c r="I28" s="676"/>
      <c r="J28" s="676"/>
      <c r="K28" s="676"/>
      <c r="L28" s="676"/>
      <c r="M28" s="676"/>
      <c r="N28" s="676"/>
      <c r="O28" s="676"/>
      <c r="P28" s="676"/>
      <c r="Q28" s="676"/>
      <c r="R28" s="676"/>
      <c r="S28" s="676"/>
      <c r="T28" s="676">
        <f t="shared" si="12"/>
        <v>0</v>
      </c>
    </row>
    <row r="29" spans="1:20" ht="13.5" customHeight="1">
      <c r="A29" s="653" t="str">
        <f>'Budget-合并'!A29</f>
        <v>6602.01.06</v>
      </c>
      <c r="B29" s="653" t="str">
        <f>'Budget-合并'!B29</f>
        <v>劳务报酬</v>
      </c>
      <c r="C29" s="673">
        <f>'Budget-合并'!C29</f>
        <v>0</v>
      </c>
      <c r="D29" s="676">
        <f t="shared" si="9"/>
        <v>0</v>
      </c>
      <c r="F29" s="676">
        <f t="shared" ca="1" si="10"/>
        <v>0</v>
      </c>
      <c r="H29" s="676"/>
      <c r="I29" s="676"/>
      <c r="J29" s="676"/>
      <c r="K29" s="676"/>
      <c r="L29" s="676"/>
      <c r="M29" s="676"/>
      <c r="N29" s="676"/>
      <c r="O29" s="676"/>
      <c r="P29" s="676"/>
      <c r="Q29" s="676"/>
      <c r="R29" s="676"/>
      <c r="S29" s="676"/>
      <c r="T29" s="676">
        <f t="shared" si="12"/>
        <v>0</v>
      </c>
    </row>
    <row r="30" spans="1:20" ht="13.5" customHeight="1">
      <c r="A30" s="653" t="str">
        <f>'Budget-合并'!A30</f>
        <v>6602.01.07</v>
      </c>
      <c r="B30" s="653" t="str">
        <f>'Budget-合并'!B30</f>
        <v>集团内分摊</v>
      </c>
      <c r="C30" s="673" t="str">
        <f>'Budget-合并'!C30</f>
        <v>Mantime X Charge</v>
      </c>
      <c r="D30" s="676">
        <f t="shared" si="9"/>
        <v>0</v>
      </c>
      <c r="F30" s="676">
        <f t="shared" ca="1" si="10"/>
        <v>0</v>
      </c>
      <c r="H30" s="676"/>
      <c r="I30" s="676"/>
      <c r="J30" s="676"/>
      <c r="K30" s="676"/>
      <c r="L30" s="676"/>
      <c r="M30" s="676"/>
      <c r="N30" s="676"/>
      <c r="O30" s="676"/>
      <c r="P30" s="676"/>
      <c r="Q30" s="676"/>
      <c r="R30" s="676"/>
      <c r="S30" s="676"/>
      <c r="T30" s="676">
        <f t="shared" si="12"/>
        <v>0</v>
      </c>
    </row>
    <row r="31" spans="1:20" ht="13.5" customHeight="1">
      <c r="A31" s="653" t="str">
        <f>'Budget-合并'!A31</f>
        <v>6602.01.08</v>
      </c>
      <c r="B31" s="653" t="str">
        <f>'Budget-合并'!B31</f>
        <v>基本工资（管理）</v>
      </c>
      <c r="C31" s="673" t="str">
        <f>'Budget-合并'!C31</f>
        <v>Salary Management</v>
      </c>
      <c r="D31" s="676">
        <f t="shared" si="9"/>
        <v>0</v>
      </c>
      <c r="F31" s="676">
        <f t="shared" ca="1" si="10"/>
        <v>0</v>
      </c>
      <c r="H31" s="676"/>
      <c r="I31" s="676"/>
      <c r="J31" s="676"/>
      <c r="K31" s="676"/>
      <c r="L31" s="676"/>
      <c r="M31" s="676"/>
      <c r="N31" s="676"/>
      <c r="O31" s="676"/>
      <c r="P31" s="676"/>
      <c r="Q31" s="676"/>
      <c r="R31" s="676"/>
      <c r="S31" s="676"/>
      <c r="T31" s="676">
        <f t="shared" si="12"/>
        <v>0</v>
      </c>
    </row>
    <row r="32" spans="1:20" ht="13.5" customHeight="1">
      <c r="A32" s="653" t="str">
        <f>'Budget-合并'!A32</f>
        <v>6602.01.09</v>
      </c>
      <c r="B32" s="653" t="str">
        <f>'Budget-合并'!B32</f>
        <v>员工奖金（管理）</v>
      </c>
      <c r="C32" s="673" t="str">
        <f>'Budget-合并'!C32</f>
        <v>Bonus Expense - Management</v>
      </c>
      <c r="D32" s="676">
        <f t="shared" si="9"/>
        <v>0</v>
      </c>
      <c r="F32" s="676">
        <f t="shared" ca="1" si="10"/>
        <v>0</v>
      </c>
      <c r="H32" s="676"/>
      <c r="I32" s="676"/>
      <c r="J32" s="676"/>
      <c r="K32" s="676"/>
      <c r="L32" s="676"/>
      <c r="M32" s="676"/>
      <c r="N32" s="676"/>
      <c r="O32" s="676"/>
      <c r="P32" s="676"/>
      <c r="Q32" s="676"/>
      <c r="R32" s="676"/>
      <c r="S32" s="676"/>
      <c r="T32" s="676">
        <f t="shared" si="12"/>
        <v>0</v>
      </c>
    </row>
    <row r="33" spans="1:20" ht="13.5" customHeight="1">
      <c r="A33" s="663" t="str">
        <f>'Budget-合并'!A33</f>
        <v>6602.02</v>
      </c>
      <c r="B33" s="678" t="str">
        <f>'Budget-合并'!B33</f>
        <v>职工福利</v>
      </c>
      <c r="C33" s="673">
        <f>'Budget-合并'!C33</f>
        <v>0</v>
      </c>
      <c r="D33" s="676">
        <f t="shared" si="9"/>
        <v>0</v>
      </c>
      <c r="F33" s="676">
        <f t="shared" ca="1" si="10"/>
        <v>0</v>
      </c>
      <c r="H33" s="679">
        <f t="shared" ref="H33:S33" si="13">SUM(H34:H37)</f>
        <v>0</v>
      </c>
      <c r="I33" s="679">
        <f t="shared" si="13"/>
        <v>0</v>
      </c>
      <c r="J33" s="679">
        <f t="shared" si="13"/>
        <v>0</v>
      </c>
      <c r="K33" s="679">
        <f t="shared" si="13"/>
        <v>0</v>
      </c>
      <c r="L33" s="679">
        <f t="shared" si="13"/>
        <v>0</v>
      </c>
      <c r="M33" s="679">
        <f t="shared" si="13"/>
        <v>0</v>
      </c>
      <c r="N33" s="679">
        <f t="shared" si="13"/>
        <v>0</v>
      </c>
      <c r="O33" s="679">
        <f t="shared" si="13"/>
        <v>0</v>
      </c>
      <c r="P33" s="679">
        <f t="shared" si="13"/>
        <v>0</v>
      </c>
      <c r="Q33" s="679">
        <f t="shared" si="13"/>
        <v>0</v>
      </c>
      <c r="R33" s="679">
        <f t="shared" si="13"/>
        <v>0</v>
      </c>
      <c r="S33" s="679">
        <f t="shared" si="13"/>
        <v>0</v>
      </c>
      <c r="T33" s="676">
        <f t="shared" si="12"/>
        <v>0</v>
      </c>
    </row>
    <row r="34" spans="1:20" ht="13.5" customHeight="1">
      <c r="A34" s="653" t="str">
        <f>'Budget-合并'!A34</f>
        <v>6602.02.01</v>
      </c>
      <c r="B34" s="653" t="str">
        <f>'Budget-合并'!B34</f>
        <v>员工福利</v>
      </c>
      <c r="C34" s="673" t="str">
        <f>'Budget-合并'!C34</f>
        <v>Fringe Other</v>
      </c>
      <c r="D34" s="676">
        <f t="shared" si="9"/>
        <v>0</v>
      </c>
      <c r="F34" s="676">
        <f t="shared" ca="1" si="10"/>
        <v>0</v>
      </c>
      <c r="H34" s="676"/>
      <c r="I34" s="676"/>
      <c r="J34" s="676"/>
      <c r="K34" s="676"/>
      <c r="L34" s="676"/>
      <c r="M34" s="676"/>
      <c r="N34" s="676"/>
      <c r="O34" s="676"/>
      <c r="P34" s="676"/>
      <c r="Q34" s="676"/>
      <c r="R34" s="676"/>
      <c r="S34" s="676"/>
      <c r="T34" s="676">
        <f t="shared" si="12"/>
        <v>0</v>
      </c>
    </row>
    <row r="35" spans="1:20" ht="13.5" customHeight="1">
      <c r="A35" s="653" t="str">
        <f>'Budget-合并'!A35</f>
        <v>6602.02.02</v>
      </c>
      <c r="B35" s="653" t="str">
        <f>'Budget-合并'!B35</f>
        <v>团建活动</v>
      </c>
      <c r="C35" s="673" t="str">
        <f>'Budget-合并'!C35</f>
        <v>EE Morale Expense</v>
      </c>
      <c r="D35" s="676">
        <f t="shared" si="9"/>
        <v>0</v>
      </c>
      <c r="F35" s="676">
        <f t="shared" ca="1" si="10"/>
        <v>0</v>
      </c>
      <c r="H35" s="676">
        <f t="shared" ref="H35:S35" si="14">SUM(H36:H37)</f>
        <v>0</v>
      </c>
      <c r="I35" s="676">
        <f t="shared" si="14"/>
        <v>0</v>
      </c>
      <c r="J35" s="676">
        <f t="shared" si="14"/>
        <v>0</v>
      </c>
      <c r="K35" s="676">
        <f t="shared" si="14"/>
        <v>0</v>
      </c>
      <c r="L35" s="676">
        <f t="shared" si="14"/>
        <v>0</v>
      </c>
      <c r="M35" s="676">
        <f t="shared" si="14"/>
        <v>0</v>
      </c>
      <c r="N35" s="676">
        <f t="shared" si="14"/>
        <v>0</v>
      </c>
      <c r="O35" s="676">
        <f t="shared" si="14"/>
        <v>0</v>
      </c>
      <c r="P35" s="676">
        <f t="shared" si="14"/>
        <v>0</v>
      </c>
      <c r="Q35" s="676">
        <f t="shared" si="14"/>
        <v>0</v>
      </c>
      <c r="R35" s="676">
        <f t="shared" si="14"/>
        <v>0</v>
      </c>
      <c r="S35" s="676">
        <f t="shared" si="14"/>
        <v>0</v>
      </c>
      <c r="T35" s="676">
        <f t="shared" si="12"/>
        <v>0</v>
      </c>
    </row>
    <row r="36" spans="1:20" ht="13.5" customHeight="1">
      <c r="A36" s="653" t="str">
        <f>'Budget-合并'!A36</f>
        <v>6602.02.03</v>
      </c>
      <c r="B36" s="653" t="str">
        <f>'Budget-合并'!B36</f>
        <v>体检费</v>
      </c>
      <c r="C36" s="673">
        <f>'Budget-合并'!C36</f>
        <v>0</v>
      </c>
      <c r="D36" s="676">
        <f t="shared" si="9"/>
        <v>0</v>
      </c>
      <c r="F36" s="676">
        <f t="shared" ca="1" si="10"/>
        <v>0</v>
      </c>
      <c r="H36" s="676"/>
      <c r="I36" s="676"/>
      <c r="J36" s="676"/>
      <c r="K36" s="676"/>
      <c r="L36" s="676"/>
      <c r="M36" s="676"/>
      <c r="N36" s="676"/>
      <c r="O36" s="676"/>
      <c r="P36" s="676"/>
      <c r="Q36" s="676"/>
      <c r="R36" s="676"/>
      <c r="S36" s="676"/>
      <c r="T36" s="676">
        <f t="shared" si="12"/>
        <v>0</v>
      </c>
    </row>
    <row r="37" spans="1:20" ht="13.5" customHeight="1">
      <c r="A37" s="653" t="str">
        <f>'Budget-合并'!A37</f>
        <v>6602.02.04</v>
      </c>
      <c r="B37" s="653" t="str">
        <f>'Budget-合并'!B37</f>
        <v>商业保险 - 医疗</v>
      </c>
      <c r="C37" s="673">
        <f>'Budget-合并'!C37</f>
        <v>0</v>
      </c>
      <c r="D37" s="676">
        <f t="shared" si="9"/>
        <v>0</v>
      </c>
      <c r="F37" s="676">
        <f t="shared" ca="1" si="10"/>
        <v>0</v>
      </c>
      <c r="H37" s="676"/>
      <c r="I37" s="676"/>
      <c r="J37" s="676"/>
      <c r="K37" s="676"/>
      <c r="L37" s="676"/>
      <c r="M37" s="676"/>
      <c r="N37" s="676"/>
      <c r="O37" s="676"/>
      <c r="P37" s="676"/>
      <c r="Q37" s="676"/>
      <c r="R37" s="676"/>
      <c r="S37" s="676"/>
      <c r="T37" s="676">
        <f t="shared" si="12"/>
        <v>0</v>
      </c>
    </row>
    <row r="38" spans="1:20" ht="13.5" customHeight="1">
      <c r="A38" s="663" t="str">
        <f>'Budget-合并'!A38</f>
        <v>6602.03</v>
      </c>
      <c r="B38" s="678" t="str">
        <f>'Budget-合并'!B38</f>
        <v>社保公积金</v>
      </c>
      <c r="C38" s="673">
        <f>'Budget-合并'!C38</f>
        <v>0</v>
      </c>
      <c r="D38" s="676">
        <f t="shared" si="9"/>
        <v>0</v>
      </c>
      <c r="F38" s="676">
        <f t="shared" ca="1" si="10"/>
        <v>0</v>
      </c>
      <c r="H38" s="679">
        <f t="shared" ref="H38:S38" si="15">SUM(H39:H41)</f>
        <v>0</v>
      </c>
      <c r="I38" s="679">
        <f t="shared" si="15"/>
        <v>0</v>
      </c>
      <c r="J38" s="679">
        <f t="shared" si="15"/>
        <v>0</v>
      </c>
      <c r="K38" s="679">
        <f t="shared" si="15"/>
        <v>0</v>
      </c>
      <c r="L38" s="679">
        <f t="shared" si="15"/>
        <v>0</v>
      </c>
      <c r="M38" s="679">
        <f t="shared" si="15"/>
        <v>0</v>
      </c>
      <c r="N38" s="679">
        <f t="shared" si="15"/>
        <v>0</v>
      </c>
      <c r="O38" s="679">
        <f t="shared" si="15"/>
        <v>0</v>
      </c>
      <c r="P38" s="679">
        <f t="shared" si="15"/>
        <v>0</v>
      </c>
      <c r="Q38" s="679">
        <f t="shared" si="15"/>
        <v>0</v>
      </c>
      <c r="R38" s="679">
        <f t="shared" si="15"/>
        <v>0</v>
      </c>
      <c r="S38" s="679">
        <f t="shared" si="15"/>
        <v>0</v>
      </c>
      <c r="T38" s="676">
        <f t="shared" si="12"/>
        <v>0</v>
      </c>
    </row>
    <row r="39" spans="1:20" ht="13.5" customHeight="1">
      <c r="A39" s="653" t="str">
        <f>'Budget-合并'!A39</f>
        <v>6602.03.01</v>
      </c>
      <c r="B39" s="653" t="str">
        <f>'Budget-合并'!B39</f>
        <v>员工社保福利</v>
      </c>
      <c r="C39" s="673" t="str">
        <f>'Budget-合并'!C39</f>
        <v>Employee Insurance</v>
      </c>
      <c r="D39" s="676">
        <f t="shared" si="9"/>
        <v>0</v>
      </c>
      <c r="F39" s="676">
        <f t="shared" ca="1" si="10"/>
        <v>0</v>
      </c>
      <c r="H39" s="676"/>
      <c r="I39" s="676"/>
      <c r="J39" s="676"/>
      <c r="K39" s="676"/>
      <c r="L39" s="676"/>
      <c r="M39" s="676"/>
      <c r="N39" s="676"/>
      <c r="O39" s="676"/>
      <c r="P39" s="676"/>
      <c r="Q39" s="676"/>
      <c r="R39" s="676"/>
      <c r="S39" s="676"/>
      <c r="T39" s="676">
        <f t="shared" si="12"/>
        <v>0</v>
      </c>
    </row>
    <row r="40" spans="1:20" ht="13.5" customHeight="1">
      <c r="A40" s="653" t="str">
        <f>'Budget-合并'!A40</f>
        <v>6602.03.02</v>
      </c>
      <c r="B40" s="653" t="str">
        <f>'Budget-合并'!B40</f>
        <v>员工公积金福利</v>
      </c>
      <c r="C40" s="673">
        <f>'Budget-合并'!C40</f>
        <v>0</v>
      </c>
      <c r="D40" s="676">
        <f t="shared" si="9"/>
        <v>0</v>
      </c>
      <c r="F40" s="676">
        <f t="shared" ca="1" si="10"/>
        <v>0</v>
      </c>
      <c r="H40" s="676"/>
      <c r="I40" s="676"/>
      <c r="J40" s="676"/>
      <c r="K40" s="676"/>
      <c r="L40" s="676"/>
      <c r="M40" s="676"/>
      <c r="N40" s="676"/>
      <c r="O40" s="676"/>
      <c r="P40" s="676"/>
      <c r="Q40" s="676"/>
      <c r="R40" s="676"/>
      <c r="S40" s="676"/>
      <c r="T40" s="676">
        <f t="shared" si="12"/>
        <v>0</v>
      </c>
    </row>
    <row r="41" spans="1:20" ht="13.5" customHeight="1">
      <c r="A41" s="653" t="str">
        <f>'Budget-合并'!A41</f>
        <v>6602.03.03</v>
      </c>
      <c r="B41" s="653" t="str">
        <f>'Budget-合并'!B41</f>
        <v>员工强制性公积金福利</v>
      </c>
      <c r="C41" s="673" t="str">
        <f>'Budget-合并'!C41</f>
        <v>Pension Local/MPF</v>
      </c>
      <c r="D41" s="676">
        <f t="shared" si="9"/>
        <v>0</v>
      </c>
      <c r="F41" s="676">
        <f t="shared" ca="1" si="10"/>
        <v>0</v>
      </c>
      <c r="H41" s="676"/>
      <c r="I41" s="676"/>
      <c r="J41" s="676"/>
      <c r="K41" s="676"/>
      <c r="L41" s="676"/>
      <c r="M41" s="676"/>
      <c r="N41" s="676"/>
      <c r="O41" s="676"/>
      <c r="P41" s="676"/>
      <c r="Q41" s="676"/>
      <c r="R41" s="676"/>
      <c r="S41" s="676"/>
      <c r="T41" s="676">
        <f t="shared" si="12"/>
        <v>0</v>
      </c>
    </row>
    <row r="42" spans="1:20" ht="13.5" customHeight="1">
      <c r="A42" s="672">
        <f>'Budget-合并'!A42</f>
        <v>0</v>
      </c>
      <c r="B42" s="672" t="str">
        <f>'Budget-合并'!B42</f>
        <v>管理人工费用小计</v>
      </c>
      <c r="C42" s="673">
        <f>'Budget-合并'!C42</f>
        <v>0</v>
      </c>
      <c r="D42" s="654">
        <f t="shared" si="9"/>
        <v>0</v>
      </c>
      <c r="F42" s="677">
        <f t="shared" ca="1" si="10"/>
        <v>0</v>
      </c>
      <c r="H42" s="677">
        <f t="shared" ref="H42:S42" si="16">SUM(H23,H33,H38)</f>
        <v>0</v>
      </c>
      <c r="I42" s="677">
        <f t="shared" si="16"/>
        <v>0</v>
      </c>
      <c r="J42" s="677">
        <f t="shared" si="16"/>
        <v>0</v>
      </c>
      <c r="K42" s="677">
        <f t="shared" si="16"/>
        <v>0</v>
      </c>
      <c r="L42" s="677">
        <f t="shared" si="16"/>
        <v>0</v>
      </c>
      <c r="M42" s="677">
        <f t="shared" si="16"/>
        <v>0</v>
      </c>
      <c r="N42" s="677">
        <f t="shared" si="16"/>
        <v>0</v>
      </c>
      <c r="O42" s="677">
        <f t="shared" si="16"/>
        <v>0</v>
      </c>
      <c r="P42" s="677">
        <f t="shared" si="16"/>
        <v>0</v>
      </c>
      <c r="Q42" s="677">
        <f t="shared" si="16"/>
        <v>0</v>
      </c>
      <c r="R42" s="677">
        <f t="shared" si="16"/>
        <v>0</v>
      </c>
      <c r="S42" s="677">
        <f t="shared" si="16"/>
        <v>0</v>
      </c>
      <c r="T42" s="677">
        <f t="shared" si="12"/>
        <v>0</v>
      </c>
    </row>
    <row r="43" spans="1:20" ht="13.5" customHeight="1">
      <c r="A43" s="653">
        <f>'Budget-合并'!A43</f>
        <v>0</v>
      </c>
      <c r="B43" s="653">
        <f>'Budget-合并'!B43</f>
        <v>0</v>
      </c>
      <c r="C43" s="673">
        <f>'Budget-合并'!C43</f>
        <v>0</v>
      </c>
    </row>
    <row r="44" spans="1:20" ht="13.5" customHeight="1">
      <c r="A44" s="663" t="str">
        <f>'Budget-合并'!A44</f>
        <v>6602.04</v>
      </c>
      <c r="B44" s="678" t="str">
        <f>'Budget-合并'!B44</f>
        <v>咨询及专业服务费</v>
      </c>
      <c r="C44" s="673">
        <f>'Budget-合并'!C44</f>
        <v>0</v>
      </c>
      <c r="D44" s="676">
        <f t="shared" ref="D44:D107" si="17">INDEX($H$8:$S$8,1,MATCH($D$6,$H$6:$S$6))</f>
        <v>0</v>
      </c>
      <c r="F44" s="676">
        <f t="shared" ref="F44:F107" ca="1" si="18">SUM($H44:OFFSET($H44,0,MATCH(F$6,$H$6:$S$6)-1))</f>
        <v>0</v>
      </c>
      <c r="H44" s="676">
        <f t="shared" ref="H44:S44" si="19">SUM(H45,H46,H47,H51:H61)</f>
        <v>0</v>
      </c>
      <c r="I44" s="676">
        <f t="shared" si="19"/>
        <v>0</v>
      </c>
      <c r="J44" s="676">
        <f t="shared" si="19"/>
        <v>0</v>
      </c>
      <c r="K44" s="676">
        <f t="shared" si="19"/>
        <v>0</v>
      </c>
      <c r="L44" s="676">
        <f t="shared" si="19"/>
        <v>0</v>
      </c>
      <c r="M44" s="676">
        <f t="shared" si="19"/>
        <v>0</v>
      </c>
      <c r="N44" s="676">
        <f t="shared" si="19"/>
        <v>0</v>
      </c>
      <c r="O44" s="676">
        <f t="shared" si="19"/>
        <v>0</v>
      </c>
      <c r="P44" s="676">
        <f t="shared" si="19"/>
        <v>0</v>
      </c>
      <c r="Q44" s="676">
        <f t="shared" si="19"/>
        <v>0</v>
      </c>
      <c r="R44" s="676">
        <f t="shared" si="19"/>
        <v>0</v>
      </c>
      <c r="S44" s="676">
        <f t="shared" si="19"/>
        <v>0</v>
      </c>
      <c r="T44" s="676">
        <f t="shared" si="12"/>
        <v>0</v>
      </c>
    </row>
    <row r="45" spans="1:20" ht="13.5" customHeight="1">
      <c r="A45" s="653" t="str">
        <f>'Budget-合并'!A45</f>
        <v>6602.04.01</v>
      </c>
      <c r="B45" s="653" t="str">
        <f>'Budget-合并'!B45</f>
        <v>会计服务费</v>
      </c>
      <c r="C45" s="673" t="str">
        <f>'Budget-合并'!C45</f>
        <v>Accounting/Payment Services</v>
      </c>
      <c r="D45" s="676">
        <f t="shared" si="17"/>
        <v>0</v>
      </c>
      <c r="F45" s="676">
        <f t="shared" ca="1" si="18"/>
        <v>0</v>
      </c>
      <c r="H45" s="676"/>
      <c r="I45" s="676"/>
      <c r="J45" s="676"/>
      <c r="K45" s="676"/>
      <c r="L45" s="676"/>
      <c r="M45" s="676"/>
      <c r="N45" s="676"/>
      <c r="O45" s="676"/>
      <c r="P45" s="676"/>
      <c r="Q45" s="676"/>
      <c r="R45" s="676"/>
      <c r="S45" s="676"/>
      <c r="T45" s="676">
        <f t="shared" si="12"/>
        <v>0</v>
      </c>
    </row>
    <row r="46" spans="1:20" ht="13.5" customHeight="1">
      <c r="A46" s="653" t="str">
        <f>'Budget-合并'!A46</f>
        <v>6602.04.02</v>
      </c>
      <c r="B46" s="653" t="str">
        <f>'Budget-合并'!B46</f>
        <v>审计服务费</v>
      </c>
      <c r="C46" s="673" t="str">
        <f>'Budget-合并'!C46</f>
        <v>Audit Fees</v>
      </c>
      <c r="D46" s="676">
        <f t="shared" si="17"/>
        <v>0</v>
      </c>
      <c r="F46" s="676">
        <f t="shared" ca="1" si="18"/>
        <v>0</v>
      </c>
      <c r="H46" s="676"/>
      <c r="I46" s="676"/>
      <c r="J46" s="676"/>
      <c r="K46" s="676"/>
      <c r="L46" s="676"/>
      <c r="M46" s="676"/>
      <c r="N46" s="676"/>
      <c r="O46" s="676"/>
      <c r="P46" s="676"/>
      <c r="Q46" s="676"/>
      <c r="R46" s="676"/>
      <c r="S46" s="676"/>
      <c r="T46" s="676">
        <f t="shared" si="12"/>
        <v>0</v>
      </c>
    </row>
    <row r="47" spans="1:20" ht="13.5" customHeight="1">
      <c r="A47" s="653" t="str">
        <f>'Budget-合并'!A47</f>
        <v>6602.04.03</v>
      </c>
      <c r="B47" s="653" t="str">
        <f>'Budget-合并'!B47</f>
        <v>顾问费</v>
      </c>
      <c r="C47" s="673" t="str">
        <f>'Budget-合并'!C47</f>
        <v>Advisory fee</v>
      </c>
      <c r="D47" s="676">
        <f t="shared" si="17"/>
        <v>0</v>
      </c>
      <c r="F47" s="676">
        <f t="shared" ca="1" si="18"/>
        <v>0</v>
      </c>
      <c r="H47" s="676">
        <f t="shared" ref="H47:S47" si="20">SUM(H48:H50)</f>
        <v>0</v>
      </c>
      <c r="I47" s="676">
        <f t="shared" si="20"/>
        <v>0</v>
      </c>
      <c r="J47" s="676">
        <f t="shared" si="20"/>
        <v>0</v>
      </c>
      <c r="K47" s="676">
        <f t="shared" si="20"/>
        <v>0</v>
      </c>
      <c r="L47" s="676">
        <f t="shared" si="20"/>
        <v>0</v>
      </c>
      <c r="M47" s="676">
        <f t="shared" si="20"/>
        <v>0</v>
      </c>
      <c r="N47" s="676">
        <f t="shared" si="20"/>
        <v>0</v>
      </c>
      <c r="O47" s="676">
        <f t="shared" si="20"/>
        <v>0</v>
      </c>
      <c r="P47" s="676">
        <f t="shared" si="20"/>
        <v>0</v>
      </c>
      <c r="Q47" s="676">
        <f t="shared" si="20"/>
        <v>0</v>
      </c>
      <c r="R47" s="676">
        <f t="shared" si="20"/>
        <v>0</v>
      </c>
      <c r="S47" s="676">
        <f t="shared" si="20"/>
        <v>0</v>
      </c>
      <c r="T47" s="676">
        <f t="shared" si="12"/>
        <v>0</v>
      </c>
    </row>
    <row r="48" spans="1:20" ht="13.5" customHeight="1">
      <c r="A48" s="653">
        <f>'Budget-合并'!A48</f>
        <v>0</v>
      </c>
      <c r="B48" s="653" t="str">
        <f>'Budget-合并'!B48</f>
        <v xml:space="preserve">    公司主体01</v>
      </c>
      <c r="C48" s="673" t="str">
        <f>'Budget-合并'!C48</f>
        <v xml:space="preserve">   Entity</v>
      </c>
      <c r="D48" s="676">
        <f t="shared" si="17"/>
        <v>0</v>
      </c>
      <c r="F48" s="676">
        <f t="shared" ca="1" si="18"/>
        <v>0</v>
      </c>
      <c r="H48" s="676"/>
      <c r="I48" s="676"/>
      <c r="J48" s="676"/>
      <c r="K48" s="676"/>
      <c r="L48" s="676"/>
      <c r="M48" s="676"/>
      <c r="N48" s="676"/>
      <c r="O48" s="676"/>
      <c r="P48" s="676"/>
      <c r="Q48" s="676"/>
      <c r="R48" s="676"/>
      <c r="S48" s="676"/>
      <c r="T48" s="676">
        <f t="shared" si="12"/>
        <v>0</v>
      </c>
    </row>
    <row r="49" spans="1:20" ht="13.5" customHeight="1">
      <c r="A49" s="653">
        <f>'Budget-合并'!A49</f>
        <v>0</v>
      </c>
      <c r="B49" s="653" t="str">
        <f>'Budget-合并'!B49</f>
        <v xml:space="preserve">    旭智富能01</v>
      </c>
      <c r="C49" s="673" t="str">
        <f>'Budget-合并'!C49</f>
        <v xml:space="preserve">   Foxpower</v>
      </c>
      <c r="D49" s="676">
        <f t="shared" si="17"/>
        <v>0</v>
      </c>
      <c r="F49" s="676">
        <f t="shared" ca="1" si="18"/>
        <v>0</v>
      </c>
      <c r="H49" s="676"/>
      <c r="I49" s="676"/>
      <c r="J49" s="676"/>
      <c r="K49" s="676"/>
      <c r="L49" s="676"/>
      <c r="M49" s="676"/>
      <c r="N49" s="676"/>
      <c r="O49" s="676"/>
      <c r="P49" s="676"/>
      <c r="Q49" s="676"/>
      <c r="R49" s="676"/>
      <c r="S49" s="676"/>
      <c r="T49" s="676">
        <f t="shared" si="12"/>
        <v>0</v>
      </c>
    </row>
    <row r="50" spans="1:20" ht="13.5" customHeight="1">
      <c r="A50" s="653">
        <f>'Budget-合并'!A50</f>
        <v>0</v>
      </c>
      <c r="B50" s="653" t="str">
        <f>'Budget-合并'!B50</f>
        <v xml:space="preserve">    其他项目01</v>
      </c>
      <c r="C50" s="673" t="str">
        <f>'Budget-合并'!C50</f>
        <v xml:space="preserve">   Other project</v>
      </c>
      <c r="D50" s="676">
        <f t="shared" si="17"/>
        <v>0</v>
      </c>
      <c r="F50" s="676">
        <f t="shared" ca="1" si="18"/>
        <v>0</v>
      </c>
      <c r="H50" s="676"/>
      <c r="I50" s="676"/>
      <c r="J50" s="676"/>
      <c r="K50" s="676"/>
      <c r="L50" s="676"/>
      <c r="M50" s="676"/>
      <c r="N50" s="676"/>
      <c r="O50" s="676"/>
      <c r="P50" s="676"/>
      <c r="Q50" s="676"/>
      <c r="R50" s="676"/>
      <c r="S50" s="676"/>
      <c r="T50" s="676">
        <f t="shared" si="12"/>
        <v>0</v>
      </c>
    </row>
    <row r="51" spans="1:20" ht="13.5" customHeight="1">
      <c r="A51" s="653" t="str">
        <f>'Budget-合并'!A51</f>
        <v>6602.04.04</v>
      </c>
      <c r="B51" s="653" t="str">
        <f>'Budget-合并'!B51</f>
        <v>税务服务费</v>
      </c>
      <c r="C51" s="673">
        <f>'Budget-合并'!C51</f>
        <v>0</v>
      </c>
      <c r="D51" s="676">
        <f t="shared" si="17"/>
        <v>0</v>
      </c>
      <c r="F51" s="676">
        <f t="shared" ca="1" si="18"/>
        <v>0</v>
      </c>
      <c r="H51" s="676"/>
      <c r="I51" s="676"/>
      <c r="J51" s="676"/>
      <c r="K51" s="676"/>
      <c r="L51" s="676"/>
      <c r="M51" s="676"/>
      <c r="N51" s="676"/>
      <c r="O51" s="676"/>
      <c r="P51" s="676"/>
      <c r="Q51" s="676"/>
      <c r="R51" s="676"/>
      <c r="S51" s="676"/>
      <c r="T51" s="676">
        <f t="shared" si="12"/>
        <v>0</v>
      </c>
    </row>
    <row r="52" spans="1:20" ht="13.5" customHeight="1">
      <c r="A52" s="653" t="str">
        <f>'Budget-合并'!A52</f>
        <v>6602.04.05</v>
      </c>
      <c r="B52" s="653" t="str">
        <f>'Budget-合并'!B52</f>
        <v>招聘服务费</v>
      </c>
      <c r="C52" s="673" t="str">
        <f>'Budget-合并'!C52</f>
        <v>Employment Agency Fee</v>
      </c>
      <c r="D52" s="676">
        <f t="shared" si="17"/>
        <v>0</v>
      </c>
      <c r="F52" s="676">
        <f t="shared" ca="1" si="18"/>
        <v>0</v>
      </c>
      <c r="H52" s="676"/>
      <c r="I52" s="676"/>
      <c r="J52" s="676"/>
      <c r="K52" s="676"/>
      <c r="L52" s="676"/>
      <c r="M52" s="676"/>
      <c r="N52" s="676"/>
      <c r="O52" s="676"/>
      <c r="P52" s="676"/>
      <c r="Q52" s="676"/>
      <c r="R52" s="676"/>
      <c r="S52" s="676"/>
      <c r="T52" s="676">
        <f t="shared" si="12"/>
        <v>0</v>
      </c>
    </row>
    <row r="53" spans="1:20" ht="13.5" customHeight="1">
      <c r="A53" s="653" t="str">
        <f>'Budget-合并'!A53</f>
        <v>6602.04.06</v>
      </c>
      <c r="B53" s="653" t="str">
        <f>'Budget-合并'!B53</f>
        <v>法律服务费</v>
      </c>
      <c r="C53" s="673" t="str">
        <f>'Budget-合并'!C53</f>
        <v>Legal Fees</v>
      </c>
      <c r="D53" s="676">
        <f t="shared" si="17"/>
        <v>0</v>
      </c>
      <c r="F53" s="676">
        <f t="shared" ca="1" si="18"/>
        <v>0</v>
      </c>
      <c r="H53" s="676"/>
      <c r="I53" s="676"/>
      <c r="J53" s="676"/>
      <c r="K53" s="676"/>
      <c r="L53" s="676"/>
      <c r="M53" s="676"/>
      <c r="N53" s="676"/>
      <c r="O53" s="676"/>
      <c r="P53" s="676"/>
      <c r="Q53" s="676"/>
      <c r="R53" s="676"/>
      <c r="S53" s="676"/>
      <c r="T53" s="676">
        <f t="shared" si="12"/>
        <v>0</v>
      </c>
    </row>
    <row r="54" spans="1:20" ht="13.5" customHeight="1">
      <c r="A54" s="653" t="str">
        <f>'Budget-合并'!A54</f>
        <v>6602.04.07</v>
      </c>
      <c r="B54" s="653" t="str">
        <f>'Budget-合并'!B54</f>
        <v>人力资源服务费</v>
      </c>
      <c r="C54" s="673" t="str">
        <f>'Budget-合并'!C54</f>
        <v>Payroll Services</v>
      </c>
      <c r="D54" s="676">
        <f t="shared" si="17"/>
        <v>0</v>
      </c>
      <c r="F54" s="676">
        <f t="shared" ca="1" si="18"/>
        <v>0</v>
      </c>
      <c r="H54" s="676"/>
      <c r="I54" s="676"/>
      <c r="J54" s="676"/>
      <c r="K54" s="676"/>
      <c r="L54" s="676"/>
      <c r="M54" s="676"/>
      <c r="N54" s="676"/>
      <c r="O54" s="676"/>
      <c r="P54" s="676"/>
      <c r="Q54" s="676"/>
      <c r="R54" s="676"/>
      <c r="S54" s="676"/>
      <c r="T54" s="676">
        <f t="shared" si="12"/>
        <v>0</v>
      </c>
    </row>
    <row r="55" spans="1:20" ht="13.5" customHeight="1">
      <c r="A55" s="653" t="str">
        <f>'Budget-合并'!A55</f>
        <v>6602.04.08</v>
      </c>
      <c r="B55" s="653" t="str">
        <f>'Budget-合并'!B55</f>
        <v>背景调查费</v>
      </c>
      <c r="C55" s="673" t="str">
        <f>'Budget-合并'!C55</f>
        <v>Employee Background Check</v>
      </c>
      <c r="D55" s="676">
        <f t="shared" si="17"/>
        <v>0</v>
      </c>
      <c r="F55" s="676">
        <f t="shared" ca="1" si="18"/>
        <v>0</v>
      </c>
      <c r="H55" s="676">
        <f t="shared" ref="H55:S55" si="21">SUM(H56,H60:H66)</f>
        <v>0</v>
      </c>
      <c r="I55" s="676">
        <f t="shared" si="21"/>
        <v>0</v>
      </c>
      <c r="J55" s="676">
        <f t="shared" si="21"/>
        <v>0</v>
      </c>
      <c r="K55" s="676">
        <f t="shared" si="21"/>
        <v>0</v>
      </c>
      <c r="L55" s="676">
        <f t="shared" si="21"/>
        <v>0</v>
      </c>
      <c r="M55" s="676">
        <f t="shared" si="21"/>
        <v>0</v>
      </c>
      <c r="N55" s="676">
        <f t="shared" si="21"/>
        <v>0</v>
      </c>
      <c r="O55" s="676">
        <f t="shared" si="21"/>
        <v>0</v>
      </c>
      <c r="P55" s="676">
        <f t="shared" si="21"/>
        <v>0</v>
      </c>
      <c r="Q55" s="676">
        <f t="shared" si="21"/>
        <v>0</v>
      </c>
      <c r="R55" s="676">
        <f t="shared" si="21"/>
        <v>0</v>
      </c>
      <c r="S55" s="676">
        <f t="shared" si="21"/>
        <v>0</v>
      </c>
      <c r="T55" s="676">
        <f t="shared" si="12"/>
        <v>0</v>
      </c>
    </row>
    <row r="56" spans="1:20" ht="13.5" customHeight="1">
      <c r="A56" s="653" t="str">
        <f>'Budget-合并'!A56</f>
        <v>6602.04.09</v>
      </c>
      <c r="B56" s="653" t="str">
        <f>'Budget-合并'!B56</f>
        <v>翻译服务费</v>
      </c>
      <c r="C56" s="673">
        <f>'Budget-合并'!C56</f>
        <v>0</v>
      </c>
      <c r="D56" s="676">
        <f t="shared" si="17"/>
        <v>0</v>
      </c>
      <c r="F56" s="676">
        <f t="shared" ca="1" si="18"/>
        <v>0</v>
      </c>
      <c r="H56" s="676">
        <f t="shared" ref="H56:S56" si="22">SUM(H57:H59)</f>
        <v>0</v>
      </c>
      <c r="I56" s="676">
        <f t="shared" si="22"/>
        <v>0</v>
      </c>
      <c r="J56" s="676">
        <f t="shared" si="22"/>
        <v>0</v>
      </c>
      <c r="K56" s="676">
        <f t="shared" si="22"/>
        <v>0</v>
      </c>
      <c r="L56" s="676">
        <f t="shared" si="22"/>
        <v>0</v>
      </c>
      <c r="M56" s="676">
        <f t="shared" si="22"/>
        <v>0</v>
      </c>
      <c r="N56" s="676">
        <f t="shared" si="22"/>
        <v>0</v>
      </c>
      <c r="O56" s="676">
        <f t="shared" si="22"/>
        <v>0</v>
      </c>
      <c r="P56" s="676">
        <f t="shared" si="22"/>
        <v>0</v>
      </c>
      <c r="Q56" s="676">
        <f t="shared" si="22"/>
        <v>0</v>
      </c>
      <c r="R56" s="676">
        <f t="shared" si="22"/>
        <v>0</v>
      </c>
      <c r="S56" s="676">
        <f t="shared" si="22"/>
        <v>0</v>
      </c>
      <c r="T56" s="676">
        <f t="shared" si="12"/>
        <v>0</v>
      </c>
    </row>
    <row r="57" spans="1:20" ht="13.5" customHeight="1">
      <c r="A57" s="653" t="str">
        <f>'Budget-合并'!A57</f>
        <v>6602.04.10</v>
      </c>
      <c r="B57" s="653" t="str">
        <f>'Budget-合并'!B57</f>
        <v>评估费</v>
      </c>
      <c r="C57" s="673">
        <f>'Budget-合并'!C57</f>
        <v>0</v>
      </c>
      <c r="D57" s="676">
        <f t="shared" si="17"/>
        <v>0</v>
      </c>
      <c r="F57" s="676">
        <f t="shared" ca="1" si="18"/>
        <v>0</v>
      </c>
      <c r="H57" s="676"/>
      <c r="I57" s="676"/>
      <c r="J57" s="676"/>
      <c r="K57" s="676"/>
      <c r="L57" s="676"/>
      <c r="M57" s="676"/>
      <c r="N57" s="676"/>
      <c r="O57" s="676"/>
      <c r="P57" s="676"/>
      <c r="Q57" s="676"/>
      <c r="R57" s="676"/>
      <c r="S57" s="676"/>
      <c r="T57" s="676">
        <f t="shared" si="12"/>
        <v>0</v>
      </c>
    </row>
    <row r="58" spans="1:20" ht="13.5" customHeight="1">
      <c r="A58" s="653" t="str">
        <f>'Budget-合并'!A58</f>
        <v>6602.04.11</v>
      </c>
      <c r="B58" s="653" t="str">
        <f>'Budget-合并'!B58</f>
        <v>技术服务费</v>
      </c>
      <c r="C58" s="673">
        <f>'Budget-合并'!C58</f>
        <v>0</v>
      </c>
      <c r="D58" s="676">
        <f t="shared" si="17"/>
        <v>0</v>
      </c>
      <c r="F58" s="676">
        <f t="shared" ca="1" si="18"/>
        <v>0</v>
      </c>
      <c r="H58" s="676"/>
      <c r="I58" s="676"/>
      <c r="J58" s="676"/>
      <c r="K58" s="676"/>
      <c r="L58" s="676"/>
      <c r="M58" s="676"/>
      <c r="N58" s="676"/>
      <c r="O58" s="676"/>
      <c r="P58" s="676"/>
      <c r="Q58" s="676"/>
      <c r="R58" s="676"/>
      <c r="S58" s="676"/>
      <c r="T58" s="676">
        <f t="shared" si="12"/>
        <v>0</v>
      </c>
    </row>
    <row r="59" spans="1:20" ht="13.5" customHeight="1">
      <c r="A59" s="653" t="str">
        <f>'Budget-合并'!A59</f>
        <v>6602.04.12</v>
      </c>
      <c r="B59" s="653" t="str">
        <f>'Budget-合并'!B59</f>
        <v>合规支持服务</v>
      </c>
      <c r="C59" s="673" t="str">
        <f>'Budget-合并'!C59</f>
        <v xml:space="preserve">Compliance Support Services </v>
      </c>
      <c r="D59" s="676">
        <f t="shared" si="17"/>
        <v>0</v>
      </c>
      <c r="F59" s="676">
        <f t="shared" ca="1" si="18"/>
        <v>0</v>
      </c>
      <c r="H59" s="676"/>
      <c r="I59" s="676"/>
      <c r="J59" s="676"/>
      <c r="K59" s="676"/>
      <c r="L59" s="676"/>
      <c r="M59" s="676"/>
      <c r="N59" s="676"/>
      <c r="O59" s="676"/>
      <c r="P59" s="676"/>
      <c r="Q59" s="676"/>
      <c r="R59" s="676"/>
      <c r="S59" s="676"/>
      <c r="T59" s="676">
        <f t="shared" si="12"/>
        <v>0</v>
      </c>
    </row>
    <row r="60" spans="1:20" ht="13.5" customHeight="1">
      <c r="A60" s="653" t="str">
        <f>'Budget-合并'!A60</f>
        <v>6602.04.13</v>
      </c>
      <c r="B60" s="653" t="str">
        <f>'Budget-合并'!B60</f>
        <v>咨询费</v>
      </c>
      <c r="C60" s="673" t="str">
        <f>'Budget-合并'!C60</f>
        <v>Consulting fee</v>
      </c>
      <c r="D60" s="676">
        <f t="shared" si="17"/>
        <v>0</v>
      </c>
      <c r="F60" s="676">
        <f t="shared" ca="1" si="18"/>
        <v>0</v>
      </c>
      <c r="H60" s="676"/>
      <c r="I60" s="676"/>
      <c r="J60" s="676"/>
      <c r="K60" s="676"/>
      <c r="L60" s="676"/>
      <c r="M60" s="676"/>
      <c r="N60" s="676"/>
      <c r="O60" s="676"/>
      <c r="P60" s="676"/>
      <c r="Q60" s="676"/>
      <c r="R60" s="676"/>
      <c r="S60" s="676"/>
      <c r="T60" s="676">
        <f t="shared" si="12"/>
        <v>0</v>
      </c>
    </row>
    <row r="61" spans="1:20" ht="13.5" customHeight="1">
      <c r="A61" s="653" t="str">
        <f>'Budget-合并'!A61</f>
        <v>6602.04.99</v>
      </c>
      <c r="B61" s="653" t="str">
        <f>'Budget-合并'!B61</f>
        <v>其他</v>
      </c>
      <c r="C61" s="673">
        <f>'Budget-合并'!C61</f>
        <v>0</v>
      </c>
      <c r="D61" s="676">
        <f t="shared" si="17"/>
        <v>0</v>
      </c>
      <c r="F61" s="676">
        <f t="shared" ca="1" si="18"/>
        <v>0</v>
      </c>
      <c r="H61" s="676"/>
      <c r="I61" s="676"/>
      <c r="J61" s="676"/>
      <c r="K61" s="676"/>
      <c r="L61" s="676"/>
      <c r="M61" s="676"/>
      <c r="N61" s="676"/>
      <c r="O61" s="676"/>
      <c r="P61" s="676"/>
      <c r="Q61" s="676"/>
      <c r="R61" s="676"/>
      <c r="S61" s="676"/>
      <c r="T61" s="676">
        <f t="shared" si="12"/>
        <v>0</v>
      </c>
    </row>
    <row r="62" spans="1:20" ht="13.5" customHeight="1">
      <c r="A62" s="663" t="str">
        <f>'Budget-合并'!A62</f>
        <v>6602.05</v>
      </c>
      <c r="B62" s="678" t="str">
        <f>'Budget-合并'!B62</f>
        <v>占用费</v>
      </c>
      <c r="C62" s="673">
        <f>'Budget-合并'!C62</f>
        <v>0</v>
      </c>
      <c r="D62" s="676">
        <f t="shared" si="17"/>
        <v>0</v>
      </c>
      <c r="F62" s="676">
        <f t="shared" ca="1" si="18"/>
        <v>0</v>
      </c>
      <c r="H62" s="676">
        <f t="shared" ref="H62:S62" si="23">SUM(H63,H67:H74)</f>
        <v>0</v>
      </c>
      <c r="I62" s="676">
        <f t="shared" si="23"/>
        <v>0</v>
      </c>
      <c r="J62" s="676">
        <f t="shared" si="23"/>
        <v>0</v>
      </c>
      <c r="K62" s="676">
        <f t="shared" si="23"/>
        <v>0</v>
      </c>
      <c r="L62" s="676">
        <f t="shared" si="23"/>
        <v>0</v>
      </c>
      <c r="M62" s="676">
        <f t="shared" si="23"/>
        <v>0</v>
      </c>
      <c r="N62" s="676">
        <f t="shared" si="23"/>
        <v>0</v>
      </c>
      <c r="O62" s="676">
        <f t="shared" si="23"/>
        <v>0</v>
      </c>
      <c r="P62" s="676">
        <f t="shared" si="23"/>
        <v>0</v>
      </c>
      <c r="Q62" s="676">
        <f t="shared" si="23"/>
        <v>0</v>
      </c>
      <c r="R62" s="676">
        <f t="shared" si="23"/>
        <v>0</v>
      </c>
      <c r="S62" s="676">
        <f t="shared" si="23"/>
        <v>0</v>
      </c>
      <c r="T62" s="676">
        <f t="shared" si="12"/>
        <v>0</v>
      </c>
    </row>
    <row r="63" spans="1:20" ht="13.5" customHeight="1">
      <c r="A63" s="653" t="str">
        <f>'Budget-合并'!A63</f>
        <v>6602.05.01</v>
      </c>
      <c r="B63" s="653" t="str">
        <f>'Budget-合并'!B63</f>
        <v>办公室租赁费</v>
      </c>
      <c r="C63" s="673">
        <f>'Budget-合并'!C63</f>
        <v>0</v>
      </c>
      <c r="D63" s="676">
        <f t="shared" si="17"/>
        <v>0</v>
      </c>
      <c r="F63" s="676">
        <f t="shared" ca="1" si="18"/>
        <v>0</v>
      </c>
      <c r="H63" s="676">
        <f t="shared" ref="H63:S63" si="24">SUM(H64:H66)</f>
        <v>0</v>
      </c>
      <c r="I63" s="676">
        <f t="shared" si="24"/>
        <v>0</v>
      </c>
      <c r="J63" s="676">
        <f t="shared" si="24"/>
        <v>0</v>
      </c>
      <c r="K63" s="676">
        <f t="shared" si="24"/>
        <v>0</v>
      </c>
      <c r="L63" s="676">
        <f t="shared" si="24"/>
        <v>0</v>
      </c>
      <c r="M63" s="676">
        <f t="shared" si="24"/>
        <v>0</v>
      </c>
      <c r="N63" s="676">
        <f t="shared" si="24"/>
        <v>0</v>
      </c>
      <c r="O63" s="676">
        <f t="shared" si="24"/>
        <v>0</v>
      </c>
      <c r="P63" s="676">
        <f t="shared" si="24"/>
        <v>0</v>
      </c>
      <c r="Q63" s="676">
        <f t="shared" si="24"/>
        <v>0</v>
      </c>
      <c r="R63" s="676">
        <f t="shared" si="24"/>
        <v>0</v>
      </c>
      <c r="S63" s="676">
        <f t="shared" si="24"/>
        <v>0</v>
      </c>
      <c r="T63" s="676">
        <f t="shared" si="12"/>
        <v>0</v>
      </c>
    </row>
    <row r="64" spans="1:20" ht="13.5" customHeight="1">
      <c r="A64" s="653" t="str">
        <f>'Budget-合并'!A64</f>
        <v>6602.05.01.01</v>
      </c>
      <c r="B64" s="653" t="str">
        <f>'Budget-合并'!B64</f>
        <v>旭智咨询--鼎和大厦1606</v>
      </c>
      <c r="C64" s="673">
        <f>'Budget-合并'!C64</f>
        <v>0</v>
      </c>
      <c r="D64" s="676">
        <f t="shared" si="17"/>
        <v>0</v>
      </c>
      <c r="F64" s="676">
        <f t="shared" ca="1" si="18"/>
        <v>0</v>
      </c>
      <c r="H64" s="676"/>
      <c r="I64" s="676"/>
      <c r="J64" s="676"/>
      <c r="K64" s="676"/>
      <c r="L64" s="676"/>
      <c r="M64" s="676"/>
      <c r="N64" s="676"/>
      <c r="O64" s="676"/>
      <c r="P64" s="676"/>
      <c r="Q64" s="676"/>
      <c r="R64" s="676"/>
      <c r="S64" s="676"/>
      <c r="T64" s="676">
        <f t="shared" si="12"/>
        <v>0</v>
      </c>
    </row>
    <row r="65" spans="1:20" ht="13.5" customHeight="1">
      <c r="A65" s="653" t="str">
        <f>'Budget-合并'!A65</f>
        <v>6602.05.01.02</v>
      </c>
      <c r="B65" s="653" t="str">
        <f>'Budget-合并'!B65</f>
        <v>广州注册地址403房J015</v>
      </c>
      <c r="C65" s="673">
        <f>'Budget-合并'!C65</f>
        <v>0</v>
      </c>
      <c r="D65" s="676">
        <f t="shared" si="17"/>
        <v>0</v>
      </c>
      <c r="F65" s="676">
        <f t="shared" ca="1" si="18"/>
        <v>0</v>
      </c>
      <c r="H65" s="676"/>
      <c r="I65" s="676"/>
      <c r="J65" s="676"/>
      <c r="K65" s="676"/>
      <c r="L65" s="676"/>
      <c r="M65" s="676"/>
      <c r="N65" s="676"/>
      <c r="O65" s="676"/>
      <c r="P65" s="676"/>
      <c r="Q65" s="676"/>
      <c r="R65" s="676"/>
      <c r="S65" s="676"/>
      <c r="T65" s="676">
        <f t="shared" si="12"/>
        <v>0</v>
      </c>
    </row>
    <row r="66" spans="1:20" ht="13.5" customHeight="1">
      <c r="A66" s="653" t="str">
        <f>'Budget-合并'!A66</f>
        <v>6602.05.01.03</v>
      </c>
      <c r="B66" s="653" t="str">
        <f>'Budget-合并'!B66</f>
        <v>广州注册地址403房J016</v>
      </c>
      <c r="C66" s="673">
        <f>'Budget-合并'!C66</f>
        <v>0</v>
      </c>
      <c r="D66" s="676">
        <f t="shared" si="17"/>
        <v>0</v>
      </c>
      <c r="F66" s="676">
        <f t="shared" ca="1" si="18"/>
        <v>0</v>
      </c>
      <c r="H66" s="676"/>
      <c r="I66" s="676"/>
      <c r="J66" s="676"/>
      <c r="K66" s="676"/>
      <c r="L66" s="676"/>
      <c r="M66" s="676"/>
      <c r="N66" s="676"/>
      <c r="O66" s="676"/>
      <c r="P66" s="676"/>
      <c r="Q66" s="676"/>
      <c r="R66" s="676"/>
      <c r="S66" s="676"/>
      <c r="T66" s="676">
        <f t="shared" si="12"/>
        <v>0</v>
      </c>
    </row>
    <row r="67" spans="1:20" ht="13.5" customHeight="1">
      <c r="A67" s="653" t="str">
        <f>'Budget-合并'!A67</f>
        <v>6602.05.02</v>
      </c>
      <c r="B67" s="653" t="str">
        <f>'Budget-合并'!B67</f>
        <v>管理费</v>
      </c>
      <c r="C67" s="673" t="str">
        <f>'Budget-合并'!C67</f>
        <v>Management fees</v>
      </c>
      <c r="D67" s="676">
        <f t="shared" si="17"/>
        <v>0</v>
      </c>
      <c r="F67" s="676">
        <f t="shared" ca="1" si="18"/>
        <v>0</v>
      </c>
      <c r="H67" s="676"/>
      <c r="I67" s="676"/>
      <c r="J67" s="676"/>
      <c r="K67" s="676"/>
      <c r="L67" s="676"/>
      <c r="M67" s="676"/>
      <c r="N67" s="676"/>
      <c r="O67" s="676"/>
      <c r="P67" s="676"/>
      <c r="Q67" s="676"/>
      <c r="R67" s="676"/>
      <c r="S67" s="676"/>
      <c r="T67" s="676">
        <f t="shared" si="12"/>
        <v>0</v>
      </c>
    </row>
    <row r="68" spans="1:20" ht="13.5" customHeight="1">
      <c r="A68" s="653" t="str">
        <f>'Budget-合并'!A68</f>
        <v>6602.05.03</v>
      </c>
      <c r="B68" s="653" t="str">
        <f>'Budget-合并'!B68</f>
        <v>电费</v>
      </c>
      <c r="C68" s="673" t="str">
        <f>'Budget-合并'!C68</f>
        <v>Utilities Electric</v>
      </c>
      <c r="D68" s="676">
        <f t="shared" si="17"/>
        <v>0</v>
      </c>
      <c r="F68" s="676">
        <f t="shared" ca="1" si="18"/>
        <v>0</v>
      </c>
      <c r="H68" s="676"/>
      <c r="I68" s="676"/>
      <c r="J68" s="676"/>
      <c r="K68" s="676"/>
      <c r="L68" s="676"/>
      <c r="M68" s="676"/>
      <c r="N68" s="676"/>
      <c r="O68" s="676"/>
      <c r="P68" s="676"/>
      <c r="Q68" s="676"/>
      <c r="R68" s="676"/>
      <c r="S68" s="676"/>
      <c r="T68" s="676">
        <f t="shared" si="12"/>
        <v>0</v>
      </c>
    </row>
    <row r="69" spans="1:20" ht="13.5" customHeight="1">
      <c r="A69" s="653" t="str">
        <f>'Budget-合并'!A69</f>
        <v>6602.05.04</v>
      </c>
      <c r="B69" s="653" t="str">
        <f>'Budget-合并'!B69</f>
        <v>水费</v>
      </c>
      <c r="C69" s="673">
        <f>'Budget-合并'!C69</f>
        <v>0</v>
      </c>
      <c r="D69" s="676">
        <f t="shared" si="17"/>
        <v>0</v>
      </c>
      <c r="F69" s="676">
        <f t="shared" ca="1" si="18"/>
        <v>0</v>
      </c>
      <c r="H69" s="676"/>
      <c r="I69" s="676"/>
      <c r="J69" s="676"/>
      <c r="K69" s="676"/>
      <c r="L69" s="676"/>
      <c r="M69" s="676"/>
      <c r="N69" s="676"/>
      <c r="O69" s="676"/>
      <c r="P69" s="676"/>
      <c r="Q69" s="676"/>
      <c r="R69" s="676"/>
      <c r="S69" s="676"/>
      <c r="T69" s="676">
        <f t="shared" si="12"/>
        <v>0</v>
      </c>
    </row>
    <row r="70" spans="1:20" ht="13.5" customHeight="1">
      <c r="A70" s="653" t="str">
        <f>'Budget-合并'!A70</f>
        <v>6602.05.05</v>
      </c>
      <c r="B70" s="653" t="str">
        <f>'Budget-合并'!B70</f>
        <v>维修费</v>
      </c>
      <c r="C70" s="673" t="str">
        <f>'Budget-合并'!C70</f>
        <v>Office Maintenance &amp; Repair</v>
      </c>
      <c r="D70" s="676">
        <f t="shared" si="17"/>
        <v>0</v>
      </c>
      <c r="F70" s="676">
        <f t="shared" ca="1" si="18"/>
        <v>0</v>
      </c>
      <c r="H70" s="676"/>
      <c r="I70" s="676"/>
      <c r="J70" s="676"/>
      <c r="K70" s="676"/>
      <c r="L70" s="676"/>
      <c r="M70" s="676"/>
      <c r="N70" s="676"/>
      <c r="O70" s="676"/>
      <c r="P70" s="676"/>
      <c r="Q70" s="676"/>
      <c r="R70" s="676"/>
      <c r="S70" s="676"/>
      <c r="T70" s="676">
        <f t="shared" si="12"/>
        <v>0</v>
      </c>
    </row>
    <row r="71" spans="1:20" ht="13.5" customHeight="1">
      <c r="A71" s="653" t="str">
        <f>'Budget-合并'!A71</f>
        <v>6602.05.06</v>
      </c>
      <c r="B71" s="653" t="str">
        <f>'Budget-合并'!B71</f>
        <v>装修费</v>
      </c>
      <c r="C71" s="673" t="str">
        <f>'Budget-合并'!C71</f>
        <v>Depreciation_Leasehold Improvement</v>
      </c>
      <c r="D71" s="676">
        <f t="shared" si="17"/>
        <v>0</v>
      </c>
      <c r="F71" s="676">
        <f t="shared" ca="1" si="18"/>
        <v>0</v>
      </c>
      <c r="H71" s="676"/>
      <c r="I71" s="676"/>
      <c r="J71" s="676"/>
      <c r="K71" s="676"/>
      <c r="L71" s="676"/>
      <c r="M71" s="676"/>
      <c r="N71" s="676"/>
      <c r="O71" s="676"/>
      <c r="P71" s="676"/>
      <c r="Q71" s="676"/>
      <c r="R71" s="676"/>
      <c r="S71" s="676"/>
      <c r="T71" s="676">
        <f t="shared" si="12"/>
        <v>0</v>
      </c>
    </row>
    <row r="72" spans="1:20" ht="13.5" customHeight="1">
      <c r="A72" s="653" t="str">
        <f>'Budget-合并'!A72</f>
        <v>6602.05.07</v>
      </c>
      <c r="B72" s="653" t="str">
        <f>'Budget-合并'!B72</f>
        <v>租金及物业费</v>
      </c>
      <c r="C72" s="673">
        <f>'Budget-合并'!C72</f>
        <v>0</v>
      </c>
      <c r="D72" s="676">
        <f t="shared" si="17"/>
        <v>0</v>
      </c>
      <c r="F72" s="676">
        <f t="shared" ca="1" si="18"/>
        <v>0</v>
      </c>
      <c r="H72" s="676"/>
      <c r="I72" s="676"/>
      <c r="J72" s="676"/>
      <c r="K72" s="676"/>
      <c r="L72" s="676"/>
      <c r="M72" s="676"/>
      <c r="N72" s="676"/>
      <c r="O72" s="676"/>
      <c r="P72" s="676"/>
      <c r="Q72" s="676"/>
      <c r="R72" s="676"/>
      <c r="S72" s="676"/>
      <c r="T72" s="676">
        <f t="shared" si="12"/>
        <v>0</v>
      </c>
    </row>
    <row r="73" spans="1:20" ht="11.1" customHeight="1">
      <c r="A73" s="653" t="str">
        <f>'Budget-合并'!A73</f>
        <v>6602.05.08</v>
      </c>
      <c r="B73" s="653" t="str">
        <f>'Budget-合并'!B73</f>
        <v>集团内分摊</v>
      </c>
      <c r="C73" s="673" t="str">
        <f>'Budget-合并'!C73</f>
        <v>Space Rel X Charge</v>
      </c>
      <c r="D73" s="676">
        <f t="shared" si="17"/>
        <v>0</v>
      </c>
      <c r="F73" s="676">
        <f t="shared" ca="1" si="18"/>
        <v>0</v>
      </c>
      <c r="H73" s="676"/>
      <c r="I73" s="676"/>
      <c r="J73" s="676"/>
      <c r="K73" s="676"/>
      <c r="L73" s="676"/>
      <c r="M73" s="676"/>
      <c r="N73" s="676"/>
      <c r="O73" s="676"/>
      <c r="P73" s="676"/>
      <c r="Q73" s="676"/>
      <c r="R73" s="676"/>
      <c r="S73" s="676"/>
      <c r="T73" s="676">
        <f t="shared" si="12"/>
        <v>0</v>
      </c>
    </row>
    <row r="74" spans="1:20" ht="11.1" customHeight="1">
      <c r="A74" s="653" t="str">
        <f>'Budget-合并'!A74</f>
        <v>6602.05.99</v>
      </c>
      <c r="B74" s="653" t="str">
        <f>'Budget-合并'!B74</f>
        <v>其他</v>
      </c>
      <c r="C74" s="673">
        <f>'Budget-合并'!C74</f>
        <v>0</v>
      </c>
      <c r="D74" s="676">
        <f t="shared" si="17"/>
        <v>0</v>
      </c>
      <c r="F74" s="676">
        <f t="shared" ca="1" si="18"/>
        <v>0</v>
      </c>
      <c r="H74" s="676"/>
      <c r="I74" s="676"/>
      <c r="J74" s="676"/>
      <c r="K74" s="676"/>
      <c r="L74" s="676"/>
      <c r="M74" s="676"/>
      <c r="N74" s="676"/>
      <c r="O74" s="676"/>
      <c r="P74" s="676"/>
      <c r="Q74" s="676"/>
      <c r="R74" s="676"/>
      <c r="S74" s="676"/>
      <c r="T74" s="676">
        <f t="shared" si="12"/>
        <v>0</v>
      </c>
    </row>
    <row r="75" spans="1:20" ht="11.1" customHeight="1">
      <c r="A75" s="663" t="str">
        <f>'Budget-合并'!A75</f>
        <v>6602.06</v>
      </c>
      <c r="B75" s="678" t="str">
        <f>'Budget-合并'!B75</f>
        <v>业务招待费</v>
      </c>
      <c r="C75" s="673" t="str">
        <f>'Budget-合并'!C75</f>
        <v>Client Entertainment</v>
      </c>
      <c r="D75" s="676">
        <f t="shared" si="17"/>
        <v>0</v>
      </c>
      <c r="F75" s="676">
        <f t="shared" ca="1" si="18"/>
        <v>0</v>
      </c>
      <c r="H75" s="676">
        <f t="shared" ref="H75:S75" si="25">SUM(H76:H78)</f>
        <v>0</v>
      </c>
      <c r="I75" s="676">
        <f t="shared" si="25"/>
        <v>0</v>
      </c>
      <c r="J75" s="676">
        <f t="shared" si="25"/>
        <v>0</v>
      </c>
      <c r="K75" s="676">
        <f t="shared" si="25"/>
        <v>0</v>
      </c>
      <c r="L75" s="676">
        <f t="shared" si="25"/>
        <v>0</v>
      </c>
      <c r="M75" s="676">
        <f t="shared" si="25"/>
        <v>0</v>
      </c>
      <c r="N75" s="676">
        <f t="shared" si="25"/>
        <v>0</v>
      </c>
      <c r="O75" s="676">
        <f t="shared" si="25"/>
        <v>0</v>
      </c>
      <c r="P75" s="676">
        <f t="shared" si="25"/>
        <v>0</v>
      </c>
      <c r="Q75" s="676">
        <f t="shared" si="25"/>
        <v>0</v>
      </c>
      <c r="R75" s="676">
        <f t="shared" si="25"/>
        <v>0</v>
      </c>
      <c r="S75" s="676">
        <f t="shared" si="25"/>
        <v>0</v>
      </c>
      <c r="T75" s="676">
        <f t="shared" si="12"/>
        <v>0</v>
      </c>
    </row>
    <row r="76" spans="1:20" ht="11.1" customHeight="1">
      <c r="A76" s="653">
        <f>'Budget-合并'!A76</f>
        <v>0</v>
      </c>
      <c r="B76" s="653" t="str">
        <f>'Budget-合并'!B76</f>
        <v xml:space="preserve">    公司主体02</v>
      </c>
      <c r="C76" s="673" t="str">
        <f>'Budget-合并'!C76</f>
        <v xml:space="preserve">   Entity</v>
      </c>
      <c r="D76" s="676">
        <f t="shared" si="17"/>
        <v>0</v>
      </c>
      <c r="F76" s="676">
        <f t="shared" ca="1" si="18"/>
        <v>0</v>
      </c>
      <c r="H76" s="676"/>
      <c r="I76" s="676"/>
      <c r="J76" s="676"/>
      <c r="K76" s="676"/>
      <c r="L76" s="676"/>
      <c r="M76" s="676"/>
      <c r="N76" s="676"/>
      <c r="O76" s="676"/>
      <c r="P76" s="676"/>
      <c r="Q76" s="676"/>
      <c r="R76" s="676"/>
      <c r="S76" s="676"/>
      <c r="T76" s="676">
        <f t="shared" si="12"/>
        <v>0</v>
      </c>
    </row>
    <row r="77" spans="1:20" ht="11.1" customHeight="1">
      <c r="A77" s="653">
        <f>'Budget-合并'!A77</f>
        <v>0</v>
      </c>
      <c r="B77" s="653" t="str">
        <f>'Budget-合并'!B77</f>
        <v xml:space="preserve">    旭智富能02</v>
      </c>
      <c r="C77" s="673" t="str">
        <f>'Budget-合并'!C77</f>
        <v xml:space="preserve">   Foxpower</v>
      </c>
      <c r="D77" s="676">
        <f t="shared" si="17"/>
        <v>0</v>
      </c>
      <c r="F77" s="676">
        <f t="shared" ca="1" si="18"/>
        <v>0</v>
      </c>
      <c r="H77" s="676"/>
      <c r="I77" s="676"/>
      <c r="J77" s="676"/>
      <c r="K77" s="676"/>
      <c r="L77" s="676"/>
      <c r="M77" s="676"/>
      <c r="N77" s="676"/>
      <c r="O77" s="676"/>
      <c r="P77" s="676"/>
      <c r="Q77" s="676"/>
      <c r="R77" s="676"/>
      <c r="S77" s="676"/>
      <c r="T77" s="676">
        <f t="shared" si="12"/>
        <v>0</v>
      </c>
    </row>
    <row r="78" spans="1:20" ht="11.1" customHeight="1">
      <c r="A78" s="653">
        <f>'Budget-合并'!A78</f>
        <v>0</v>
      </c>
      <c r="B78" s="653" t="str">
        <f>'Budget-合并'!B78</f>
        <v xml:space="preserve">    其他项目02</v>
      </c>
      <c r="C78" s="673" t="str">
        <f>'Budget-合并'!C78</f>
        <v xml:space="preserve">   Other project</v>
      </c>
      <c r="D78" s="676">
        <f t="shared" si="17"/>
        <v>0</v>
      </c>
      <c r="F78" s="676">
        <f t="shared" ca="1" si="18"/>
        <v>0</v>
      </c>
      <c r="H78" s="676"/>
      <c r="I78" s="676"/>
      <c r="J78" s="676"/>
      <c r="K78" s="676"/>
      <c r="L78" s="676"/>
      <c r="M78" s="676"/>
      <c r="N78" s="676"/>
      <c r="O78" s="676"/>
      <c r="P78" s="676"/>
      <c r="Q78" s="676"/>
      <c r="R78" s="676"/>
      <c r="S78" s="676"/>
      <c r="T78" s="676">
        <f t="shared" si="12"/>
        <v>0</v>
      </c>
    </row>
    <row r="79" spans="1:20" ht="11.1" customHeight="1">
      <c r="A79" s="653" t="str">
        <f>'Budget-合并'!A79</f>
        <v>6602.07</v>
      </c>
      <c r="B79" s="653" t="str">
        <f>'Budget-合并'!B79</f>
        <v>广告费和业务宣传费</v>
      </c>
      <c r="C79" s="673">
        <f>'Budget-合并'!C79</f>
        <v>0</v>
      </c>
      <c r="D79" s="676">
        <f t="shared" si="17"/>
        <v>0</v>
      </c>
      <c r="F79" s="676">
        <f t="shared" ca="1" si="18"/>
        <v>0</v>
      </c>
      <c r="H79" s="676"/>
      <c r="I79" s="676"/>
      <c r="J79" s="676"/>
      <c r="K79" s="676"/>
      <c r="L79" s="676"/>
      <c r="M79" s="676"/>
      <c r="N79" s="676"/>
      <c r="O79" s="676"/>
      <c r="P79" s="676"/>
      <c r="Q79" s="676"/>
      <c r="R79" s="676"/>
      <c r="S79" s="676"/>
      <c r="T79" s="676">
        <f t="shared" si="12"/>
        <v>0</v>
      </c>
    </row>
    <row r="80" spans="1:20" ht="11.1" customHeight="1">
      <c r="A80" s="663" t="str">
        <f>'Budget-合并'!A80</f>
        <v>6602.08</v>
      </c>
      <c r="B80" s="678" t="str">
        <f>'Budget-合并'!B80</f>
        <v>事务费用</v>
      </c>
      <c r="C80" s="673">
        <f>'Budget-合并'!C80</f>
        <v>0</v>
      </c>
      <c r="D80" s="676">
        <f t="shared" si="17"/>
        <v>0</v>
      </c>
      <c r="F80" s="676">
        <f t="shared" ca="1" si="18"/>
        <v>0</v>
      </c>
      <c r="H80" s="676">
        <f>SUM(H81:H91)</f>
        <v>0</v>
      </c>
      <c r="I80" s="676">
        <f t="shared" ref="I80:S80" si="26">SUM(I81:I91)</f>
        <v>0</v>
      </c>
      <c r="J80" s="676">
        <f t="shared" si="26"/>
        <v>0</v>
      </c>
      <c r="K80" s="676">
        <f t="shared" si="26"/>
        <v>0</v>
      </c>
      <c r="L80" s="676">
        <f t="shared" si="26"/>
        <v>0</v>
      </c>
      <c r="M80" s="676">
        <f t="shared" si="26"/>
        <v>0</v>
      </c>
      <c r="N80" s="676">
        <f t="shared" si="26"/>
        <v>0</v>
      </c>
      <c r="O80" s="676">
        <f t="shared" si="26"/>
        <v>0</v>
      </c>
      <c r="P80" s="676">
        <f t="shared" si="26"/>
        <v>0</v>
      </c>
      <c r="Q80" s="676">
        <f t="shared" si="26"/>
        <v>0</v>
      </c>
      <c r="R80" s="676">
        <f t="shared" si="26"/>
        <v>0</v>
      </c>
      <c r="S80" s="676">
        <f t="shared" si="26"/>
        <v>0</v>
      </c>
      <c r="T80" s="676">
        <f t="shared" si="12"/>
        <v>0</v>
      </c>
    </row>
    <row r="81" spans="1:20" ht="11.1" customHeight="1">
      <c r="A81" s="653" t="str">
        <f>'Budget-合并'!A81</f>
        <v>6602.08.01</v>
      </c>
      <c r="B81" s="653" t="str">
        <f>'Budget-合并'!B81</f>
        <v>通信费</v>
      </c>
      <c r="C81" s="673" t="str">
        <f>'Budget-合并'!C81</f>
        <v>Telephone Monthly/Base Charge</v>
      </c>
      <c r="D81" s="676">
        <f t="shared" si="17"/>
        <v>0</v>
      </c>
      <c r="F81" s="676">
        <f t="shared" ca="1" si="18"/>
        <v>0</v>
      </c>
      <c r="H81" s="676"/>
      <c r="I81" s="676"/>
      <c r="J81" s="676"/>
      <c r="K81" s="676"/>
      <c r="L81" s="676"/>
      <c r="M81" s="676"/>
      <c r="N81" s="676"/>
      <c r="O81" s="676"/>
      <c r="P81" s="676"/>
      <c r="Q81" s="676"/>
      <c r="R81" s="676"/>
      <c r="S81" s="676"/>
      <c r="T81" s="676">
        <f t="shared" si="12"/>
        <v>0</v>
      </c>
    </row>
    <row r="82" spans="1:20" ht="11.1" customHeight="1">
      <c r="A82" s="653" t="str">
        <f>'Budget-合并'!A82</f>
        <v>6602.08.02</v>
      </c>
      <c r="B82" s="653" t="str">
        <f>'Budget-合并'!B82</f>
        <v>电脑软件费</v>
      </c>
      <c r="C82" s="673" t="str">
        <f>'Budget-合并'!C82</f>
        <v xml:space="preserve">PC Software </v>
      </c>
      <c r="D82" s="676">
        <f t="shared" si="17"/>
        <v>0</v>
      </c>
      <c r="F82" s="676">
        <f t="shared" ca="1" si="18"/>
        <v>0</v>
      </c>
      <c r="H82" s="676"/>
      <c r="I82" s="676"/>
      <c r="J82" s="676"/>
      <c r="K82" s="676"/>
      <c r="L82" s="676"/>
      <c r="M82" s="676"/>
      <c r="N82" s="676"/>
      <c r="O82" s="676"/>
      <c r="P82" s="676"/>
      <c r="Q82" s="676"/>
      <c r="R82" s="676"/>
      <c r="S82" s="676"/>
      <c r="T82" s="676">
        <f t="shared" si="12"/>
        <v>0</v>
      </c>
    </row>
    <row r="83" spans="1:20" ht="12.95" customHeight="1">
      <c r="A83" s="653" t="str">
        <f>'Budget-合并'!A83</f>
        <v>6602.08.03</v>
      </c>
      <c r="B83" s="653" t="str">
        <f>'Budget-合并'!B83</f>
        <v>办公用品</v>
      </c>
      <c r="C83" s="673" t="str">
        <f>'Budget-合并'!C83</f>
        <v xml:space="preserve">Office Supplies </v>
      </c>
      <c r="D83" s="676">
        <f t="shared" si="17"/>
        <v>0</v>
      </c>
      <c r="F83" s="676">
        <f t="shared" ca="1" si="18"/>
        <v>0</v>
      </c>
      <c r="H83" s="676"/>
      <c r="I83" s="676"/>
      <c r="J83" s="676"/>
      <c r="K83" s="676"/>
      <c r="L83" s="676"/>
      <c r="M83" s="676"/>
      <c r="N83" s="676"/>
      <c r="O83" s="676"/>
      <c r="P83" s="676"/>
      <c r="Q83" s="676"/>
      <c r="R83" s="676"/>
      <c r="S83" s="676"/>
      <c r="T83" s="676">
        <f t="shared" si="12"/>
        <v>0</v>
      </c>
    </row>
    <row r="84" spans="1:20" ht="11.1" customHeight="1">
      <c r="A84" s="653" t="str">
        <f>'Budget-合并'!A84</f>
        <v>6602.08.04</v>
      </c>
      <c r="B84" s="653" t="str">
        <f>'Budget-合并'!B84</f>
        <v>事务保金</v>
      </c>
      <c r="C84" s="673" t="str">
        <f>'Budget-合并'!C84</f>
        <v>Other Insurance</v>
      </c>
      <c r="D84" s="676">
        <f t="shared" si="17"/>
        <v>0</v>
      </c>
      <c r="F84" s="676">
        <f t="shared" ca="1" si="18"/>
        <v>0</v>
      </c>
      <c r="H84" s="676"/>
      <c r="I84" s="676"/>
      <c r="J84" s="676"/>
      <c r="K84" s="676"/>
      <c r="L84" s="676"/>
      <c r="M84" s="676"/>
      <c r="N84" s="676"/>
      <c r="O84" s="676"/>
      <c r="P84" s="676"/>
      <c r="Q84" s="676"/>
      <c r="R84" s="676"/>
      <c r="S84" s="676"/>
      <c r="T84" s="676">
        <f t="shared" si="12"/>
        <v>0</v>
      </c>
    </row>
    <row r="85" spans="1:20" ht="11.1" customHeight="1">
      <c r="A85" s="653" t="str">
        <f>'Budget-合并'!A85</f>
        <v>6602.08.05</v>
      </c>
      <c r="B85" s="653" t="str">
        <f>'Budget-合并'!B85</f>
        <v>邮费/邮递费</v>
      </c>
      <c r="C85" s="673" t="str">
        <f>'Budget-合并'!C85</f>
        <v>Postage / Freight / Delivery</v>
      </c>
      <c r="D85" s="676">
        <f t="shared" si="17"/>
        <v>0</v>
      </c>
      <c r="F85" s="676">
        <f t="shared" ca="1" si="18"/>
        <v>0</v>
      </c>
      <c r="H85" s="676"/>
      <c r="I85" s="676"/>
      <c r="J85" s="676"/>
      <c r="K85" s="676"/>
      <c r="L85" s="676"/>
      <c r="M85" s="676"/>
      <c r="N85" s="676"/>
      <c r="O85" s="676"/>
      <c r="P85" s="676"/>
      <c r="Q85" s="676"/>
      <c r="R85" s="676"/>
      <c r="S85" s="676"/>
      <c r="T85" s="676">
        <f t="shared" si="12"/>
        <v>0</v>
      </c>
    </row>
    <row r="86" spans="1:20" ht="11.1" customHeight="1">
      <c r="A86" s="653" t="str">
        <f>'Budget-合并'!A86</f>
        <v>6602.08.06</v>
      </c>
      <c r="B86" s="653" t="str">
        <f>'Budget-合并'!B86</f>
        <v>IT专业人士及微软服务</v>
      </c>
      <c r="C86" s="673" t="str">
        <f>'Budget-合并'!C86</f>
        <v xml:space="preserve">IT Professional &amp; MS Services </v>
      </c>
      <c r="D86" s="676">
        <f t="shared" si="17"/>
        <v>0</v>
      </c>
      <c r="F86" s="676">
        <f t="shared" ca="1" si="18"/>
        <v>0</v>
      </c>
      <c r="H86" s="676"/>
      <c r="I86" s="676"/>
      <c r="J86" s="676"/>
      <c r="K86" s="676"/>
      <c r="L86" s="676"/>
      <c r="M86" s="676"/>
      <c r="N86" s="676"/>
      <c r="O86" s="676"/>
      <c r="P86" s="676"/>
      <c r="Q86" s="676"/>
      <c r="R86" s="676"/>
      <c r="S86" s="676"/>
      <c r="T86" s="676">
        <f t="shared" si="12"/>
        <v>0</v>
      </c>
    </row>
    <row r="87" spans="1:20" ht="11.1" customHeight="1">
      <c r="A87" s="653" t="str">
        <f>'Budget-合并'!A87</f>
        <v>6602.08.07</v>
      </c>
      <c r="B87" s="653" t="str">
        <f>'Budget-合并'!B87</f>
        <v>软件许可证费用</v>
      </c>
      <c r="C87" s="673" t="str">
        <f>'Budget-合并'!C87</f>
        <v xml:space="preserve">Software Licence Fee Exp </v>
      </c>
      <c r="D87" s="676">
        <f t="shared" si="17"/>
        <v>0</v>
      </c>
      <c r="F87" s="676">
        <f t="shared" ca="1" si="18"/>
        <v>0</v>
      </c>
      <c r="H87" s="676"/>
      <c r="I87" s="676"/>
      <c r="J87" s="676"/>
      <c r="K87" s="676"/>
      <c r="L87" s="676"/>
      <c r="M87" s="676"/>
      <c r="N87" s="676"/>
      <c r="O87" s="676"/>
      <c r="P87" s="676"/>
      <c r="Q87" s="676"/>
      <c r="R87" s="676"/>
      <c r="S87" s="676"/>
      <c r="T87" s="676">
        <f t="shared" ref="T87:T150" si="27">SUM(H87:S87)</f>
        <v>0</v>
      </c>
    </row>
    <row r="88" spans="1:20" ht="11.1" customHeight="1">
      <c r="A88" s="653" t="str">
        <f>'Budget-合并'!A88</f>
        <v>6602.08.08</v>
      </c>
      <c r="B88" s="653" t="str">
        <f>'Budget-合并'!B88</f>
        <v>软件使用费</v>
      </c>
      <c r="C88" s="673">
        <f>'Budget-合并'!C88</f>
        <v>0</v>
      </c>
      <c r="D88" s="676">
        <f t="shared" si="17"/>
        <v>0</v>
      </c>
      <c r="F88" s="676">
        <f t="shared" ca="1" si="18"/>
        <v>0</v>
      </c>
      <c r="H88" s="676"/>
      <c r="I88" s="676"/>
      <c r="J88" s="676"/>
      <c r="K88" s="676"/>
      <c r="L88" s="676"/>
      <c r="M88" s="676"/>
      <c r="N88" s="676"/>
      <c r="O88" s="676"/>
      <c r="P88" s="676"/>
      <c r="Q88" s="676"/>
      <c r="R88" s="676"/>
      <c r="S88" s="676"/>
      <c r="T88" s="676">
        <f t="shared" si="27"/>
        <v>0</v>
      </c>
    </row>
    <row r="89" spans="1:20" ht="11.1" customHeight="1">
      <c r="A89" s="653" t="str">
        <f>'Budget-合并'!A89</f>
        <v>6602.08.09</v>
      </c>
      <c r="B89" s="653" t="str">
        <f>'Budget-合并'!B89</f>
        <v>清洁服务</v>
      </c>
      <c r="C89" s="673">
        <f>'Budget-合并'!C89</f>
        <v>0</v>
      </c>
      <c r="D89" s="676">
        <f t="shared" si="17"/>
        <v>0</v>
      </c>
      <c r="F89" s="676">
        <f t="shared" ca="1" si="18"/>
        <v>0</v>
      </c>
      <c r="H89" s="676"/>
      <c r="I89" s="676"/>
      <c r="J89" s="676"/>
      <c r="K89" s="676"/>
      <c r="L89" s="676"/>
      <c r="M89" s="676"/>
      <c r="N89" s="676"/>
      <c r="O89" s="676"/>
      <c r="P89" s="676"/>
      <c r="Q89" s="676"/>
      <c r="R89" s="676"/>
      <c r="S89" s="676"/>
      <c r="T89" s="676">
        <f t="shared" si="27"/>
        <v>0</v>
      </c>
    </row>
    <row r="90" spans="1:20" ht="11.1" customHeight="1">
      <c r="A90" s="653" t="str">
        <f>'Budget-合并'!A90</f>
        <v>6602.08.10</v>
      </c>
      <c r="B90" s="653" t="str">
        <f>'Budget-合并'!B90</f>
        <v>电话国际直拨/电话会议收费</v>
      </c>
      <c r="C90" s="673" t="str">
        <f>'Budget-合并'!C90</f>
        <v>Telephone IDD/Teleconf Charge</v>
      </c>
      <c r="D90" s="676">
        <f t="shared" si="17"/>
        <v>0</v>
      </c>
      <c r="F90" s="676">
        <f t="shared" ca="1" si="18"/>
        <v>0</v>
      </c>
      <c r="H90" s="676"/>
      <c r="I90" s="676"/>
      <c r="J90" s="676"/>
      <c r="K90" s="676"/>
      <c r="L90" s="676"/>
      <c r="M90" s="676"/>
      <c r="N90" s="676"/>
      <c r="O90" s="676"/>
      <c r="P90" s="676"/>
      <c r="Q90" s="676"/>
      <c r="R90" s="676"/>
      <c r="S90" s="676"/>
      <c r="T90" s="676">
        <f t="shared" si="27"/>
        <v>0</v>
      </c>
    </row>
    <row r="91" spans="1:20" ht="11.1" customHeight="1">
      <c r="A91" s="653" t="str">
        <f>'Budget-合并'!A91</f>
        <v>6602.08.99</v>
      </c>
      <c r="B91" s="653" t="str">
        <f>'Budget-合并'!B91</f>
        <v>其他</v>
      </c>
      <c r="C91" s="673">
        <f>'Budget-合并'!C91</f>
        <v>0</v>
      </c>
      <c r="D91" s="676">
        <f t="shared" si="17"/>
        <v>0</v>
      </c>
      <c r="F91" s="676">
        <f t="shared" ca="1" si="18"/>
        <v>0</v>
      </c>
      <c r="H91" s="676"/>
      <c r="I91" s="676"/>
      <c r="J91" s="676"/>
      <c r="K91" s="676"/>
      <c r="L91" s="676"/>
      <c r="M91" s="676"/>
      <c r="N91" s="676"/>
      <c r="O91" s="676"/>
      <c r="P91" s="676"/>
      <c r="Q91" s="676"/>
      <c r="R91" s="676"/>
      <c r="S91" s="676"/>
      <c r="T91" s="676">
        <f t="shared" si="27"/>
        <v>0</v>
      </c>
    </row>
    <row r="92" spans="1:20" ht="11.1" customHeight="1">
      <c r="A92" s="663" t="str">
        <f>'Budget-合并'!A92</f>
        <v>6602.09</v>
      </c>
      <c r="B92" s="678" t="str">
        <f>'Budget-合并'!B92</f>
        <v>差旅费</v>
      </c>
      <c r="C92" s="673">
        <f>'Budget-合并'!C92</f>
        <v>0</v>
      </c>
      <c r="D92" s="676">
        <f t="shared" si="17"/>
        <v>0</v>
      </c>
      <c r="F92" s="676">
        <f t="shared" ca="1" si="18"/>
        <v>0</v>
      </c>
      <c r="H92" s="676">
        <f t="shared" ref="H92:S92" si="28">SUM(H93,H97,H101,H105,H109,H113,H117,H118,H122,H126)</f>
        <v>0</v>
      </c>
      <c r="I92" s="676">
        <f t="shared" si="28"/>
        <v>0</v>
      </c>
      <c r="J92" s="676">
        <f t="shared" si="28"/>
        <v>0</v>
      </c>
      <c r="K92" s="676">
        <f t="shared" si="28"/>
        <v>0</v>
      </c>
      <c r="L92" s="676">
        <f t="shared" si="28"/>
        <v>0</v>
      </c>
      <c r="M92" s="676">
        <f t="shared" si="28"/>
        <v>0</v>
      </c>
      <c r="N92" s="676">
        <f t="shared" si="28"/>
        <v>0</v>
      </c>
      <c r="O92" s="676">
        <f t="shared" si="28"/>
        <v>0</v>
      </c>
      <c r="P92" s="676">
        <f t="shared" si="28"/>
        <v>0</v>
      </c>
      <c r="Q92" s="676">
        <f t="shared" si="28"/>
        <v>0</v>
      </c>
      <c r="R92" s="676">
        <f t="shared" si="28"/>
        <v>0</v>
      </c>
      <c r="S92" s="676">
        <f t="shared" si="28"/>
        <v>0</v>
      </c>
      <c r="T92" s="676">
        <f t="shared" si="27"/>
        <v>0</v>
      </c>
    </row>
    <row r="93" spans="1:20" ht="11.1" customHeight="1">
      <c r="A93" s="653" t="str">
        <f>'Budget-合并'!A93</f>
        <v>6602.09.01</v>
      </c>
      <c r="B93" s="653" t="str">
        <f>'Budget-合并'!B93</f>
        <v>住宿费</v>
      </c>
      <c r="C93" s="673" t="str">
        <f>'Budget-合并'!C93</f>
        <v>Travel Lodging</v>
      </c>
      <c r="D93" s="676">
        <f t="shared" si="17"/>
        <v>0</v>
      </c>
      <c r="F93" s="676">
        <f t="shared" ca="1" si="18"/>
        <v>0</v>
      </c>
      <c r="H93" s="676">
        <f t="shared" ref="H93:S93" si="29">SUM(H94:H96)</f>
        <v>0</v>
      </c>
      <c r="I93" s="676">
        <f t="shared" si="29"/>
        <v>0</v>
      </c>
      <c r="J93" s="676">
        <f t="shared" si="29"/>
        <v>0</v>
      </c>
      <c r="K93" s="676">
        <f t="shared" si="29"/>
        <v>0</v>
      </c>
      <c r="L93" s="676">
        <f t="shared" si="29"/>
        <v>0</v>
      </c>
      <c r="M93" s="676">
        <f t="shared" si="29"/>
        <v>0</v>
      </c>
      <c r="N93" s="676">
        <f t="shared" si="29"/>
        <v>0</v>
      </c>
      <c r="O93" s="676">
        <f t="shared" si="29"/>
        <v>0</v>
      </c>
      <c r="P93" s="676">
        <f t="shared" si="29"/>
        <v>0</v>
      </c>
      <c r="Q93" s="676">
        <f t="shared" si="29"/>
        <v>0</v>
      </c>
      <c r="R93" s="676">
        <f t="shared" si="29"/>
        <v>0</v>
      </c>
      <c r="S93" s="676">
        <f t="shared" si="29"/>
        <v>0</v>
      </c>
      <c r="T93" s="676">
        <f t="shared" si="27"/>
        <v>0</v>
      </c>
    </row>
    <row r="94" spans="1:20" ht="11.1" customHeight="1">
      <c r="A94" s="653">
        <f>'Budget-合并'!A94</f>
        <v>0</v>
      </c>
      <c r="B94" s="653" t="str">
        <f>'Budget-合并'!B94</f>
        <v xml:space="preserve">    公司主体03</v>
      </c>
      <c r="C94" s="673" t="str">
        <f>'Budget-合并'!C94</f>
        <v xml:space="preserve">   Entity</v>
      </c>
      <c r="D94" s="676">
        <f t="shared" si="17"/>
        <v>0</v>
      </c>
      <c r="F94" s="676">
        <f t="shared" ca="1" si="18"/>
        <v>0</v>
      </c>
      <c r="H94" s="676"/>
      <c r="I94" s="676"/>
      <c r="J94" s="676"/>
      <c r="K94" s="676"/>
      <c r="L94" s="676"/>
      <c r="M94" s="676"/>
      <c r="N94" s="676"/>
      <c r="O94" s="676"/>
      <c r="P94" s="676"/>
      <c r="Q94" s="676"/>
      <c r="R94" s="676"/>
      <c r="S94" s="676"/>
      <c r="T94" s="676">
        <f t="shared" si="27"/>
        <v>0</v>
      </c>
    </row>
    <row r="95" spans="1:20" ht="11.1" customHeight="1">
      <c r="A95" s="653">
        <f>'Budget-合并'!A95</f>
        <v>0</v>
      </c>
      <c r="B95" s="653" t="str">
        <f>'Budget-合并'!B95</f>
        <v xml:space="preserve">    旭智富能03</v>
      </c>
      <c r="C95" s="673" t="str">
        <f>'Budget-合并'!C95</f>
        <v xml:space="preserve">   Foxpower</v>
      </c>
      <c r="D95" s="676">
        <f t="shared" si="17"/>
        <v>0</v>
      </c>
      <c r="F95" s="676">
        <f t="shared" ca="1" si="18"/>
        <v>0</v>
      </c>
      <c r="H95" s="676"/>
      <c r="I95" s="676"/>
      <c r="J95" s="676"/>
      <c r="K95" s="676"/>
      <c r="L95" s="676"/>
      <c r="M95" s="676"/>
      <c r="N95" s="676"/>
      <c r="O95" s="676"/>
      <c r="P95" s="676"/>
      <c r="Q95" s="676"/>
      <c r="R95" s="676"/>
      <c r="S95" s="676"/>
      <c r="T95" s="676">
        <f t="shared" si="27"/>
        <v>0</v>
      </c>
    </row>
    <row r="96" spans="1:20" ht="11.1" customHeight="1">
      <c r="A96" s="653">
        <f>'Budget-合并'!A96</f>
        <v>0</v>
      </c>
      <c r="B96" s="653" t="str">
        <f>'Budget-合并'!B96</f>
        <v xml:space="preserve">    其他项目03</v>
      </c>
      <c r="C96" s="673" t="str">
        <f>'Budget-合并'!C96</f>
        <v xml:space="preserve">   Other project</v>
      </c>
      <c r="D96" s="676">
        <f t="shared" si="17"/>
        <v>0</v>
      </c>
      <c r="F96" s="676">
        <f t="shared" ca="1" si="18"/>
        <v>0</v>
      </c>
      <c r="H96" s="676"/>
      <c r="I96" s="676"/>
      <c r="J96" s="676"/>
      <c r="K96" s="676"/>
      <c r="L96" s="676"/>
      <c r="M96" s="676"/>
      <c r="N96" s="676"/>
      <c r="O96" s="676"/>
      <c r="P96" s="676"/>
      <c r="Q96" s="676"/>
      <c r="R96" s="676"/>
      <c r="S96" s="676"/>
      <c r="T96" s="676">
        <f t="shared" si="27"/>
        <v>0</v>
      </c>
    </row>
    <row r="97" spans="1:20" ht="11.1" customHeight="1">
      <c r="A97" s="653" t="str">
        <f>'Budget-合并'!A97</f>
        <v>6602.09.02</v>
      </c>
      <c r="B97" s="653" t="str">
        <f>'Budget-合并'!B97</f>
        <v>伙食费</v>
      </c>
      <c r="C97" s="673">
        <f>'Budget-合并'!C97</f>
        <v>0</v>
      </c>
      <c r="D97" s="676">
        <f t="shared" si="17"/>
        <v>0</v>
      </c>
      <c r="F97" s="676">
        <f t="shared" ca="1" si="18"/>
        <v>0</v>
      </c>
      <c r="H97" s="676">
        <f t="shared" ref="H97:S97" si="30">SUM(H98:H100)</f>
        <v>0</v>
      </c>
      <c r="I97" s="676">
        <f t="shared" si="30"/>
        <v>0</v>
      </c>
      <c r="J97" s="676">
        <f t="shared" si="30"/>
        <v>0</v>
      </c>
      <c r="K97" s="676">
        <f t="shared" si="30"/>
        <v>0</v>
      </c>
      <c r="L97" s="676">
        <f t="shared" si="30"/>
        <v>0</v>
      </c>
      <c r="M97" s="676">
        <f t="shared" si="30"/>
        <v>0</v>
      </c>
      <c r="N97" s="676">
        <f t="shared" si="30"/>
        <v>0</v>
      </c>
      <c r="O97" s="676">
        <f t="shared" si="30"/>
        <v>0</v>
      </c>
      <c r="P97" s="676">
        <f t="shared" si="30"/>
        <v>0</v>
      </c>
      <c r="Q97" s="676">
        <f t="shared" si="30"/>
        <v>0</v>
      </c>
      <c r="R97" s="676">
        <f t="shared" si="30"/>
        <v>0</v>
      </c>
      <c r="S97" s="676">
        <f t="shared" si="30"/>
        <v>0</v>
      </c>
      <c r="T97" s="676">
        <f t="shared" si="27"/>
        <v>0</v>
      </c>
    </row>
    <row r="98" spans="1:20" ht="11.1" customHeight="1">
      <c r="A98" s="653">
        <f>'Budget-合并'!A98</f>
        <v>0</v>
      </c>
      <c r="B98" s="653" t="str">
        <f>'Budget-合并'!B98</f>
        <v xml:space="preserve">    公司主体04</v>
      </c>
      <c r="C98" s="673" t="str">
        <f>'Budget-合并'!C98</f>
        <v xml:space="preserve">   Entity</v>
      </c>
      <c r="D98" s="676">
        <f t="shared" si="17"/>
        <v>0</v>
      </c>
      <c r="F98" s="676">
        <f t="shared" ca="1" si="18"/>
        <v>0</v>
      </c>
      <c r="H98" s="676"/>
      <c r="I98" s="676"/>
      <c r="J98" s="676"/>
      <c r="K98" s="676"/>
      <c r="L98" s="676"/>
      <c r="M98" s="676"/>
      <c r="N98" s="676"/>
      <c r="O98" s="676"/>
      <c r="P98" s="676"/>
      <c r="Q98" s="676"/>
      <c r="R98" s="676"/>
      <c r="S98" s="676"/>
      <c r="T98" s="676">
        <f t="shared" si="27"/>
        <v>0</v>
      </c>
    </row>
    <row r="99" spans="1:20" ht="11.1" customHeight="1">
      <c r="A99" s="653">
        <f>'Budget-合并'!A99</f>
        <v>0</v>
      </c>
      <c r="B99" s="653" t="str">
        <f>'Budget-合并'!B99</f>
        <v xml:space="preserve">    旭智富能04</v>
      </c>
      <c r="C99" s="673" t="str">
        <f>'Budget-合并'!C99</f>
        <v xml:space="preserve">   Foxpower</v>
      </c>
      <c r="D99" s="676">
        <f t="shared" si="17"/>
        <v>0</v>
      </c>
      <c r="F99" s="676">
        <f t="shared" ca="1" si="18"/>
        <v>0</v>
      </c>
      <c r="H99" s="676"/>
      <c r="I99" s="676"/>
      <c r="J99" s="676"/>
      <c r="K99" s="676"/>
      <c r="L99" s="676"/>
      <c r="M99" s="676"/>
      <c r="N99" s="676"/>
      <c r="O99" s="676"/>
      <c r="P99" s="676"/>
      <c r="Q99" s="676"/>
      <c r="R99" s="676"/>
      <c r="S99" s="676"/>
      <c r="T99" s="676">
        <f t="shared" si="27"/>
        <v>0</v>
      </c>
    </row>
    <row r="100" spans="1:20" ht="11.1" customHeight="1">
      <c r="A100" s="653">
        <f>'Budget-合并'!A100</f>
        <v>0</v>
      </c>
      <c r="B100" s="653" t="str">
        <f>'Budget-合并'!B100</f>
        <v xml:space="preserve">    其他项目04</v>
      </c>
      <c r="C100" s="673" t="str">
        <f>'Budget-合并'!C100</f>
        <v xml:space="preserve">   Other project</v>
      </c>
      <c r="D100" s="676">
        <f t="shared" si="17"/>
        <v>0</v>
      </c>
      <c r="F100" s="676">
        <f t="shared" ca="1" si="18"/>
        <v>0</v>
      </c>
      <c r="H100" s="676"/>
      <c r="I100" s="676"/>
      <c r="J100" s="676"/>
      <c r="K100" s="676"/>
      <c r="L100" s="676"/>
      <c r="M100" s="676"/>
      <c r="N100" s="676"/>
      <c r="O100" s="676"/>
      <c r="P100" s="676"/>
      <c r="Q100" s="676"/>
      <c r="R100" s="676"/>
      <c r="S100" s="676"/>
      <c r="T100" s="676">
        <f t="shared" si="27"/>
        <v>0</v>
      </c>
    </row>
    <row r="101" spans="1:20" ht="11.1" customHeight="1">
      <c r="A101" s="653" t="str">
        <f>'Budget-合并'!A101</f>
        <v>6602.09.03</v>
      </c>
      <c r="B101" s="653" t="str">
        <f>'Budget-合并'!B101</f>
        <v>地面交通费</v>
      </c>
      <c r="C101" s="673" t="str">
        <f>'Budget-合并'!C101</f>
        <v>Travel Ground Transport - Outstation</v>
      </c>
      <c r="D101" s="676">
        <f t="shared" si="17"/>
        <v>0</v>
      </c>
      <c r="F101" s="676">
        <f t="shared" ca="1" si="18"/>
        <v>0</v>
      </c>
      <c r="H101" s="676">
        <f t="shared" ref="H101:S101" si="31">SUM(H102:H104)</f>
        <v>0</v>
      </c>
      <c r="I101" s="676">
        <f t="shared" si="31"/>
        <v>0</v>
      </c>
      <c r="J101" s="676">
        <f t="shared" si="31"/>
        <v>0</v>
      </c>
      <c r="K101" s="676">
        <f t="shared" si="31"/>
        <v>0</v>
      </c>
      <c r="L101" s="676">
        <f t="shared" si="31"/>
        <v>0</v>
      </c>
      <c r="M101" s="676">
        <f t="shared" si="31"/>
        <v>0</v>
      </c>
      <c r="N101" s="676">
        <f t="shared" si="31"/>
        <v>0</v>
      </c>
      <c r="O101" s="676">
        <f t="shared" si="31"/>
        <v>0</v>
      </c>
      <c r="P101" s="676">
        <f t="shared" si="31"/>
        <v>0</v>
      </c>
      <c r="Q101" s="676">
        <f t="shared" si="31"/>
        <v>0</v>
      </c>
      <c r="R101" s="676">
        <f t="shared" si="31"/>
        <v>0</v>
      </c>
      <c r="S101" s="676">
        <f t="shared" si="31"/>
        <v>0</v>
      </c>
      <c r="T101" s="676">
        <f t="shared" si="27"/>
        <v>0</v>
      </c>
    </row>
    <row r="102" spans="1:20" ht="11.1" customHeight="1">
      <c r="A102" s="653">
        <f>'Budget-合并'!A102</f>
        <v>0</v>
      </c>
      <c r="B102" s="653" t="str">
        <f>'Budget-合并'!B102</f>
        <v xml:space="preserve">    公司主体05</v>
      </c>
      <c r="C102" s="673" t="str">
        <f>'Budget-合并'!C102</f>
        <v xml:space="preserve">   Entity</v>
      </c>
      <c r="D102" s="676">
        <f t="shared" si="17"/>
        <v>0</v>
      </c>
      <c r="F102" s="676">
        <f t="shared" ca="1" si="18"/>
        <v>0</v>
      </c>
      <c r="H102" s="676"/>
      <c r="I102" s="676"/>
      <c r="J102" s="676"/>
      <c r="K102" s="676"/>
      <c r="L102" s="676"/>
      <c r="M102" s="676"/>
      <c r="N102" s="676"/>
      <c r="O102" s="676"/>
      <c r="P102" s="676"/>
      <c r="Q102" s="676"/>
      <c r="R102" s="676"/>
      <c r="S102" s="676"/>
      <c r="T102" s="676">
        <f t="shared" si="27"/>
        <v>0</v>
      </c>
    </row>
    <row r="103" spans="1:20" ht="11.1" customHeight="1">
      <c r="A103" s="653">
        <f>'Budget-合并'!A103</f>
        <v>0</v>
      </c>
      <c r="B103" s="653" t="str">
        <f>'Budget-合并'!B103</f>
        <v xml:space="preserve">    旭智富能05</v>
      </c>
      <c r="C103" s="673" t="str">
        <f>'Budget-合并'!C103</f>
        <v xml:space="preserve">   Foxpower</v>
      </c>
      <c r="D103" s="676">
        <f t="shared" si="17"/>
        <v>0</v>
      </c>
      <c r="F103" s="676">
        <f t="shared" ca="1" si="18"/>
        <v>0</v>
      </c>
      <c r="H103" s="676"/>
      <c r="I103" s="676"/>
      <c r="J103" s="676"/>
      <c r="K103" s="676"/>
      <c r="L103" s="676"/>
      <c r="M103" s="676"/>
      <c r="N103" s="676"/>
      <c r="O103" s="676"/>
      <c r="P103" s="676"/>
      <c r="Q103" s="676"/>
      <c r="R103" s="676"/>
      <c r="S103" s="676"/>
      <c r="T103" s="676">
        <f t="shared" si="27"/>
        <v>0</v>
      </c>
    </row>
    <row r="104" spans="1:20" ht="11.1" customHeight="1">
      <c r="A104" s="653">
        <f>'Budget-合并'!A104</f>
        <v>0</v>
      </c>
      <c r="B104" s="653" t="str">
        <f>'Budget-合并'!B104</f>
        <v xml:space="preserve">    其他项目05</v>
      </c>
      <c r="C104" s="673" t="str">
        <f>'Budget-合并'!C104</f>
        <v xml:space="preserve">   Other project</v>
      </c>
      <c r="D104" s="676">
        <f t="shared" si="17"/>
        <v>0</v>
      </c>
      <c r="F104" s="676">
        <f t="shared" ca="1" si="18"/>
        <v>0</v>
      </c>
      <c r="H104" s="676"/>
      <c r="I104" s="676"/>
      <c r="J104" s="676"/>
      <c r="K104" s="676"/>
      <c r="L104" s="676"/>
      <c r="M104" s="676"/>
      <c r="N104" s="676"/>
      <c r="O104" s="676"/>
      <c r="P104" s="676"/>
      <c r="Q104" s="676"/>
      <c r="R104" s="676"/>
      <c r="S104" s="676"/>
      <c r="T104" s="676">
        <f t="shared" si="27"/>
        <v>0</v>
      </c>
    </row>
    <row r="105" spans="1:20" ht="11.1" customHeight="1">
      <c r="A105" s="653" t="str">
        <f>'Budget-合并'!A105</f>
        <v>6602.09.04</v>
      </c>
      <c r="B105" s="653" t="str">
        <f>'Budget-合并'!B105</f>
        <v>空中交通费</v>
      </c>
      <c r="C105" s="673" t="str">
        <f>'Budget-合并'!C105</f>
        <v>Travel Air Transport</v>
      </c>
      <c r="D105" s="676">
        <f t="shared" si="17"/>
        <v>0</v>
      </c>
      <c r="F105" s="676">
        <f t="shared" ca="1" si="18"/>
        <v>0</v>
      </c>
      <c r="H105" s="676">
        <f t="shared" ref="H105:S105" si="32">SUM(H106:H108)</f>
        <v>0</v>
      </c>
      <c r="I105" s="676">
        <f t="shared" si="32"/>
        <v>0</v>
      </c>
      <c r="J105" s="676">
        <f t="shared" si="32"/>
        <v>0</v>
      </c>
      <c r="K105" s="676">
        <f t="shared" si="32"/>
        <v>0</v>
      </c>
      <c r="L105" s="676">
        <f t="shared" si="32"/>
        <v>0</v>
      </c>
      <c r="M105" s="676">
        <f t="shared" si="32"/>
        <v>0</v>
      </c>
      <c r="N105" s="676">
        <f t="shared" si="32"/>
        <v>0</v>
      </c>
      <c r="O105" s="676">
        <f t="shared" si="32"/>
        <v>0</v>
      </c>
      <c r="P105" s="676">
        <f t="shared" si="32"/>
        <v>0</v>
      </c>
      <c r="Q105" s="676">
        <f t="shared" si="32"/>
        <v>0</v>
      </c>
      <c r="R105" s="676">
        <f t="shared" si="32"/>
        <v>0</v>
      </c>
      <c r="S105" s="676">
        <f t="shared" si="32"/>
        <v>0</v>
      </c>
      <c r="T105" s="676">
        <f t="shared" si="27"/>
        <v>0</v>
      </c>
    </row>
    <row r="106" spans="1:20" ht="11.1" customHeight="1">
      <c r="A106" s="653">
        <f>'Budget-合并'!A106</f>
        <v>0</v>
      </c>
      <c r="B106" s="653" t="str">
        <f>'Budget-合并'!B106</f>
        <v xml:space="preserve">    公司主体06</v>
      </c>
      <c r="C106" s="673" t="str">
        <f>'Budget-合并'!C106</f>
        <v xml:space="preserve">   Entity</v>
      </c>
      <c r="D106" s="676">
        <f t="shared" si="17"/>
        <v>0</v>
      </c>
      <c r="F106" s="676">
        <f t="shared" ca="1" si="18"/>
        <v>0</v>
      </c>
      <c r="H106" s="676"/>
      <c r="I106" s="676"/>
      <c r="J106" s="676"/>
      <c r="K106" s="676"/>
      <c r="L106" s="676"/>
      <c r="M106" s="676"/>
      <c r="N106" s="676"/>
      <c r="O106" s="676"/>
      <c r="P106" s="676"/>
      <c r="Q106" s="676"/>
      <c r="R106" s="676"/>
      <c r="S106" s="676"/>
      <c r="T106" s="676">
        <f t="shared" si="27"/>
        <v>0</v>
      </c>
    </row>
    <row r="107" spans="1:20" ht="11.1" customHeight="1">
      <c r="A107" s="653">
        <f>'Budget-合并'!A107</f>
        <v>0</v>
      </c>
      <c r="B107" s="653" t="str">
        <f>'Budget-合并'!B107</f>
        <v xml:space="preserve">    旭智富能06</v>
      </c>
      <c r="C107" s="673" t="str">
        <f>'Budget-合并'!C107</f>
        <v xml:space="preserve">   Foxpower</v>
      </c>
      <c r="D107" s="676">
        <f t="shared" si="17"/>
        <v>0</v>
      </c>
      <c r="F107" s="676">
        <f t="shared" ca="1" si="18"/>
        <v>0</v>
      </c>
      <c r="H107" s="676"/>
      <c r="I107" s="676"/>
      <c r="J107" s="676"/>
      <c r="K107" s="676"/>
      <c r="L107" s="676"/>
      <c r="M107" s="676"/>
      <c r="N107" s="676"/>
      <c r="O107" s="676"/>
      <c r="P107" s="676"/>
      <c r="Q107" s="676"/>
      <c r="R107" s="676"/>
      <c r="S107" s="676"/>
      <c r="T107" s="676">
        <f t="shared" si="27"/>
        <v>0</v>
      </c>
    </row>
    <row r="108" spans="1:20" ht="11.1" customHeight="1">
      <c r="A108" s="653">
        <f>'Budget-合并'!A108</f>
        <v>0</v>
      </c>
      <c r="B108" s="653" t="str">
        <f>'Budget-合并'!B108</f>
        <v xml:space="preserve">    其他项目06</v>
      </c>
      <c r="C108" s="673" t="str">
        <f>'Budget-合并'!C108</f>
        <v xml:space="preserve">   Other project</v>
      </c>
      <c r="D108" s="676">
        <f t="shared" ref="D108:D153" si="33">INDEX($H$8:$S$8,1,MATCH($D$6,$H$6:$S$6))</f>
        <v>0</v>
      </c>
      <c r="F108" s="676">
        <f t="shared" ref="F108:F153" ca="1" si="34">SUM($H108:OFFSET($H108,0,MATCH(F$6,$H$6:$S$6)-1))</f>
        <v>0</v>
      </c>
      <c r="H108" s="676"/>
      <c r="I108" s="676"/>
      <c r="J108" s="676"/>
      <c r="K108" s="676"/>
      <c r="L108" s="676"/>
      <c r="M108" s="676"/>
      <c r="N108" s="676"/>
      <c r="O108" s="676"/>
      <c r="P108" s="676"/>
      <c r="Q108" s="676"/>
      <c r="R108" s="676"/>
      <c r="S108" s="676"/>
      <c r="T108" s="676">
        <f t="shared" si="27"/>
        <v>0</v>
      </c>
    </row>
    <row r="109" spans="1:20" ht="11.1" customHeight="1">
      <c r="A109" s="653" t="str">
        <f>'Budget-合并'!A109</f>
        <v>6602.09.05</v>
      </c>
      <c r="B109" s="653" t="str">
        <f>'Budget-合并'!B109</f>
        <v>租车</v>
      </c>
      <c r="C109" s="673">
        <f>'Budget-合并'!C109</f>
        <v>0</v>
      </c>
      <c r="D109" s="676">
        <f t="shared" si="33"/>
        <v>0</v>
      </c>
      <c r="F109" s="676">
        <f t="shared" ca="1" si="34"/>
        <v>0</v>
      </c>
      <c r="H109" s="676">
        <f t="shared" ref="H109:S109" si="35">SUM(H110:H112)</f>
        <v>0</v>
      </c>
      <c r="I109" s="676">
        <f t="shared" si="35"/>
        <v>0</v>
      </c>
      <c r="J109" s="676">
        <f t="shared" si="35"/>
        <v>0</v>
      </c>
      <c r="K109" s="676">
        <f t="shared" si="35"/>
        <v>0</v>
      </c>
      <c r="L109" s="676">
        <f t="shared" si="35"/>
        <v>0</v>
      </c>
      <c r="M109" s="676">
        <f t="shared" si="35"/>
        <v>0</v>
      </c>
      <c r="N109" s="676">
        <f t="shared" si="35"/>
        <v>0</v>
      </c>
      <c r="O109" s="676">
        <f t="shared" si="35"/>
        <v>0</v>
      </c>
      <c r="P109" s="676">
        <f t="shared" si="35"/>
        <v>0</v>
      </c>
      <c r="Q109" s="676">
        <f t="shared" si="35"/>
        <v>0</v>
      </c>
      <c r="R109" s="676">
        <f t="shared" si="35"/>
        <v>0</v>
      </c>
      <c r="S109" s="676">
        <f t="shared" si="35"/>
        <v>0</v>
      </c>
      <c r="T109" s="676">
        <f t="shared" si="27"/>
        <v>0</v>
      </c>
    </row>
    <row r="110" spans="1:20" ht="11.1" customHeight="1">
      <c r="A110" s="653">
        <f>'Budget-合并'!A110</f>
        <v>0</v>
      </c>
      <c r="B110" s="653" t="str">
        <f>'Budget-合并'!B110</f>
        <v xml:space="preserve">    公司主体07</v>
      </c>
      <c r="C110" s="673" t="str">
        <f>'Budget-合并'!C110</f>
        <v xml:space="preserve">   Entity</v>
      </c>
      <c r="D110" s="676">
        <f t="shared" si="33"/>
        <v>0</v>
      </c>
      <c r="F110" s="676">
        <f t="shared" ca="1" si="34"/>
        <v>0</v>
      </c>
      <c r="H110" s="676"/>
      <c r="I110" s="676"/>
      <c r="J110" s="676"/>
      <c r="K110" s="676"/>
      <c r="L110" s="676"/>
      <c r="M110" s="676"/>
      <c r="N110" s="676"/>
      <c r="O110" s="676"/>
      <c r="P110" s="676"/>
      <c r="Q110" s="676"/>
      <c r="R110" s="676"/>
      <c r="S110" s="676"/>
      <c r="T110" s="676">
        <f t="shared" si="27"/>
        <v>0</v>
      </c>
    </row>
    <row r="111" spans="1:20" ht="11.1" customHeight="1">
      <c r="A111" s="653">
        <f>'Budget-合并'!A111</f>
        <v>0</v>
      </c>
      <c r="B111" s="653" t="str">
        <f>'Budget-合并'!B111</f>
        <v xml:space="preserve">    旭智富能07</v>
      </c>
      <c r="C111" s="673" t="str">
        <f>'Budget-合并'!C111</f>
        <v xml:space="preserve">   Foxpower</v>
      </c>
      <c r="D111" s="676">
        <f t="shared" si="33"/>
        <v>0</v>
      </c>
      <c r="F111" s="676">
        <f t="shared" ca="1" si="34"/>
        <v>0</v>
      </c>
      <c r="H111" s="676"/>
      <c r="I111" s="676"/>
      <c r="J111" s="676"/>
      <c r="K111" s="676"/>
      <c r="L111" s="676"/>
      <c r="M111" s="676"/>
      <c r="N111" s="676"/>
      <c r="O111" s="676"/>
      <c r="P111" s="676"/>
      <c r="Q111" s="676"/>
      <c r="R111" s="676"/>
      <c r="S111" s="676"/>
      <c r="T111" s="676">
        <f t="shared" si="27"/>
        <v>0</v>
      </c>
    </row>
    <row r="112" spans="1:20" ht="11.1" customHeight="1">
      <c r="A112" s="653">
        <f>'Budget-合并'!A112</f>
        <v>0</v>
      </c>
      <c r="B112" s="653" t="str">
        <f>'Budget-合并'!B112</f>
        <v xml:space="preserve">    其他项目07</v>
      </c>
      <c r="C112" s="673" t="str">
        <f>'Budget-合并'!C112</f>
        <v xml:space="preserve">   Other project</v>
      </c>
      <c r="D112" s="676">
        <f t="shared" si="33"/>
        <v>0</v>
      </c>
      <c r="F112" s="676">
        <f t="shared" ca="1" si="34"/>
        <v>0</v>
      </c>
      <c r="H112" s="676"/>
      <c r="I112" s="676"/>
      <c r="J112" s="676"/>
      <c r="K112" s="676"/>
      <c r="L112" s="676"/>
      <c r="M112" s="676"/>
      <c r="N112" s="676"/>
      <c r="O112" s="676"/>
      <c r="P112" s="676"/>
      <c r="Q112" s="676"/>
      <c r="R112" s="676"/>
      <c r="S112" s="676"/>
      <c r="T112" s="676">
        <f t="shared" si="27"/>
        <v>0</v>
      </c>
    </row>
    <row r="113" spans="1:20" ht="11.1" customHeight="1">
      <c r="A113" s="653" t="str">
        <f>'Budget-合并'!A113</f>
        <v>6602.09.06</v>
      </c>
      <c r="B113" s="653" t="str">
        <f>'Budget-合并'!B113</f>
        <v>其他汽车费用</v>
      </c>
      <c r="C113" s="673">
        <f>'Budget-合并'!C113</f>
        <v>0</v>
      </c>
      <c r="D113" s="676">
        <f t="shared" si="33"/>
        <v>0</v>
      </c>
      <c r="F113" s="676">
        <f t="shared" ca="1" si="34"/>
        <v>0</v>
      </c>
      <c r="H113" s="676">
        <f t="shared" ref="H113:S113" si="36">SUM(H114:H116)</f>
        <v>0</v>
      </c>
      <c r="I113" s="676">
        <f t="shared" si="36"/>
        <v>0</v>
      </c>
      <c r="J113" s="676">
        <f t="shared" si="36"/>
        <v>0</v>
      </c>
      <c r="K113" s="676">
        <f t="shared" si="36"/>
        <v>0</v>
      </c>
      <c r="L113" s="676">
        <f t="shared" si="36"/>
        <v>0</v>
      </c>
      <c r="M113" s="676">
        <f t="shared" si="36"/>
        <v>0</v>
      </c>
      <c r="N113" s="676">
        <f t="shared" si="36"/>
        <v>0</v>
      </c>
      <c r="O113" s="676">
        <f t="shared" si="36"/>
        <v>0</v>
      </c>
      <c r="P113" s="676">
        <f t="shared" si="36"/>
        <v>0</v>
      </c>
      <c r="Q113" s="676">
        <f t="shared" si="36"/>
        <v>0</v>
      </c>
      <c r="R113" s="676">
        <f t="shared" si="36"/>
        <v>0</v>
      </c>
      <c r="S113" s="676">
        <f t="shared" si="36"/>
        <v>0</v>
      </c>
      <c r="T113" s="676">
        <f t="shared" si="27"/>
        <v>0</v>
      </c>
    </row>
    <row r="114" spans="1:20" ht="11.1" customHeight="1">
      <c r="A114" s="653">
        <f>'Budget-合并'!A114</f>
        <v>0</v>
      </c>
      <c r="B114" s="653" t="str">
        <f>'Budget-合并'!B114</f>
        <v xml:space="preserve">    公司主体08</v>
      </c>
      <c r="C114" s="673" t="str">
        <f>'Budget-合并'!C114</f>
        <v xml:space="preserve">   Entity</v>
      </c>
      <c r="D114" s="676">
        <f t="shared" si="33"/>
        <v>0</v>
      </c>
      <c r="F114" s="676">
        <f t="shared" ca="1" si="34"/>
        <v>0</v>
      </c>
      <c r="H114" s="676"/>
      <c r="I114" s="676"/>
      <c r="J114" s="676"/>
      <c r="K114" s="676"/>
      <c r="L114" s="676"/>
      <c r="M114" s="676"/>
      <c r="N114" s="676"/>
      <c r="O114" s="676"/>
      <c r="P114" s="676"/>
      <c r="Q114" s="676"/>
      <c r="R114" s="676"/>
      <c r="S114" s="676"/>
      <c r="T114" s="676">
        <f t="shared" si="27"/>
        <v>0</v>
      </c>
    </row>
    <row r="115" spans="1:20" ht="11.1" customHeight="1">
      <c r="A115" s="653">
        <f>'Budget-合并'!A115</f>
        <v>0</v>
      </c>
      <c r="B115" s="653" t="str">
        <f>'Budget-合并'!B115</f>
        <v xml:space="preserve">    旭智富能08</v>
      </c>
      <c r="C115" s="673" t="str">
        <f>'Budget-合并'!C115</f>
        <v xml:space="preserve">   Foxpower</v>
      </c>
      <c r="D115" s="676">
        <f t="shared" si="33"/>
        <v>0</v>
      </c>
      <c r="F115" s="676">
        <f t="shared" ca="1" si="34"/>
        <v>0</v>
      </c>
      <c r="H115" s="676"/>
      <c r="I115" s="676"/>
      <c r="J115" s="676"/>
      <c r="K115" s="676"/>
      <c r="L115" s="676"/>
      <c r="M115" s="676"/>
      <c r="N115" s="676"/>
      <c r="O115" s="676"/>
      <c r="P115" s="676"/>
      <c r="Q115" s="676"/>
      <c r="R115" s="676"/>
      <c r="S115" s="676"/>
      <c r="T115" s="676">
        <f t="shared" si="27"/>
        <v>0</v>
      </c>
    </row>
    <row r="116" spans="1:20" ht="11.1" customHeight="1">
      <c r="A116" s="653">
        <f>'Budget-合并'!A116</f>
        <v>0</v>
      </c>
      <c r="B116" s="653" t="str">
        <f>'Budget-合并'!B116</f>
        <v xml:space="preserve">    其他项目08</v>
      </c>
      <c r="C116" s="673" t="str">
        <f>'Budget-合并'!C116</f>
        <v xml:space="preserve">   Other project</v>
      </c>
      <c r="D116" s="676">
        <f t="shared" si="33"/>
        <v>0</v>
      </c>
      <c r="F116" s="676">
        <f t="shared" ca="1" si="34"/>
        <v>0</v>
      </c>
      <c r="H116" s="676"/>
      <c r="I116" s="676"/>
      <c r="J116" s="676"/>
      <c r="K116" s="676"/>
      <c r="L116" s="676"/>
      <c r="M116" s="676"/>
      <c r="N116" s="676"/>
      <c r="O116" s="676"/>
      <c r="P116" s="676"/>
      <c r="Q116" s="676"/>
      <c r="R116" s="676"/>
      <c r="S116" s="676"/>
      <c r="T116" s="676">
        <f t="shared" si="27"/>
        <v>0</v>
      </c>
    </row>
    <row r="117" spans="1:20" ht="11.1" customHeight="1">
      <c r="A117" s="653" t="str">
        <f>'Budget-合并'!A117</f>
        <v>6602.09.07</v>
      </c>
      <c r="B117" s="653" t="str">
        <f>'Budget-合并'!B117</f>
        <v>检测费</v>
      </c>
      <c r="C117" s="673">
        <f>'Budget-合并'!C117</f>
        <v>0</v>
      </c>
      <c r="D117" s="676">
        <f t="shared" si="33"/>
        <v>0</v>
      </c>
      <c r="F117" s="676">
        <f t="shared" ca="1" si="34"/>
        <v>0</v>
      </c>
      <c r="H117" s="676"/>
      <c r="I117" s="676"/>
      <c r="J117" s="676"/>
      <c r="K117" s="676"/>
      <c r="L117" s="676"/>
      <c r="M117" s="676"/>
      <c r="N117" s="676"/>
      <c r="O117" s="676"/>
      <c r="P117" s="676"/>
      <c r="Q117" s="676"/>
      <c r="R117" s="676"/>
      <c r="S117" s="676"/>
      <c r="T117" s="676">
        <f t="shared" si="27"/>
        <v>0</v>
      </c>
    </row>
    <row r="118" spans="1:20" ht="11.1" customHeight="1">
      <c r="A118" s="653" t="str">
        <f>'Budget-合并'!A118</f>
        <v>6602.09.08</v>
      </c>
      <c r="B118" s="653" t="str">
        <f>'Budget-合并'!B118</f>
        <v>退改费用（机票/火车等）</v>
      </c>
      <c r="C118" s="673">
        <f>'Budget-合并'!C118</f>
        <v>0</v>
      </c>
      <c r="D118" s="676">
        <f t="shared" si="33"/>
        <v>0</v>
      </c>
      <c r="F118" s="676">
        <f t="shared" ca="1" si="34"/>
        <v>0</v>
      </c>
      <c r="H118" s="676">
        <f t="shared" ref="H118:S118" si="37">SUM(H119:H121)</f>
        <v>0</v>
      </c>
      <c r="I118" s="676">
        <f t="shared" si="37"/>
        <v>0</v>
      </c>
      <c r="J118" s="676">
        <f t="shared" si="37"/>
        <v>0</v>
      </c>
      <c r="K118" s="676">
        <f t="shared" si="37"/>
        <v>0</v>
      </c>
      <c r="L118" s="676">
        <f t="shared" si="37"/>
        <v>0</v>
      </c>
      <c r="M118" s="676">
        <f t="shared" si="37"/>
        <v>0</v>
      </c>
      <c r="N118" s="676">
        <f t="shared" si="37"/>
        <v>0</v>
      </c>
      <c r="O118" s="676">
        <f t="shared" si="37"/>
        <v>0</v>
      </c>
      <c r="P118" s="676">
        <f t="shared" si="37"/>
        <v>0</v>
      </c>
      <c r="Q118" s="676">
        <f t="shared" si="37"/>
        <v>0</v>
      </c>
      <c r="R118" s="676">
        <f t="shared" si="37"/>
        <v>0</v>
      </c>
      <c r="S118" s="676">
        <f t="shared" si="37"/>
        <v>0</v>
      </c>
      <c r="T118" s="676">
        <f t="shared" si="27"/>
        <v>0</v>
      </c>
    </row>
    <row r="119" spans="1:20" ht="11.1" customHeight="1">
      <c r="A119" s="653">
        <f>'Budget-合并'!A119</f>
        <v>0</v>
      </c>
      <c r="B119" s="653" t="str">
        <f>'Budget-合并'!B119</f>
        <v xml:space="preserve">    公司主体09</v>
      </c>
      <c r="C119" s="673" t="str">
        <f>'Budget-合并'!C119</f>
        <v xml:space="preserve">   Entity</v>
      </c>
      <c r="D119" s="676">
        <f t="shared" si="33"/>
        <v>0</v>
      </c>
      <c r="F119" s="676">
        <f t="shared" ca="1" si="34"/>
        <v>0</v>
      </c>
      <c r="H119" s="676"/>
      <c r="I119" s="676"/>
      <c r="J119" s="676"/>
      <c r="K119" s="676"/>
      <c r="L119" s="676"/>
      <c r="M119" s="676"/>
      <c r="N119" s="676"/>
      <c r="O119" s="676"/>
      <c r="P119" s="676"/>
      <c r="Q119" s="676"/>
      <c r="R119" s="676"/>
      <c r="S119" s="676"/>
      <c r="T119" s="676">
        <f t="shared" si="27"/>
        <v>0</v>
      </c>
    </row>
    <row r="120" spans="1:20" ht="11.1" customHeight="1">
      <c r="A120" s="653">
        <f>'Budget-合并'!A120</f>
        <v>0</v>
      </c>
      <c r="B120" s="653" t="str">
        <f>'Budget-合并'!B120</f>
        <v xml:space="preserve">    旭智富能09</v>
      </c>
      <c r="C120" s="673" t="str">
        <f>'Budget-合并'!C120</f>
        <v xml:space="preserve">   Foxpower</v>
      </c>
      <c r="D120" s="676">
        <f t="shared" si="33"/>
        <v>0</v>
      </c>
      <c r="F120" s="676">
        <f t="shared" ca="1" si="34"/>
        <v>0</v>
      </c>
      <c r="H120" s="676"/>
      <c r="I120" s="676"/>
      <c r="J120" s="676"/>
      <c r="K120" s="676"/>
      <c r="L120" s="676"/>
      <c r="M120" s="676"/>
      <c r="N120" s="676"/>
      <c r="O120" s="676"/>
      <c r="P120" s="676"/>
      <c r="Q120" s="676"/>
      <c r="R120" s="676"/>
      <c r="S120" s="676"/>
      <c r="T120" s="676">
        <f t="shared" si="27"/>
        <v>0</v>
      </c>
    </row>
    <row r="121" spans="1:20" ht="11.1" customHeight="1">
      <c r="A121" s="653">
        <f>'Budget-合并'!A121</f>
        <v>0</v>
      </c>
      <c r="B121" s="653" t="str">
        <f>'Budget-合并'!B121</f>
        <v xml:space="preserve">    其他项目09</v>
      </c>
      <c r="C121" s="673" t="str">
        <f>'Budget-合并'!C121</f>
        <v xml:space="preserve">   Other project</v>
      </c>
      <c r="D121" s="676">
        <f t="shared" si="33"/>
        <v>0</v>
      </c>
      <c r="F121" s="676">
        <f t="shared" ca="1" si="34"/>
        <v>0</v>
      </c>
      <c r="H121" s="676"/>
      <c r="I121" s="676"/>
      <c r="J121" s="676"/>
      <c r="K121" s="676"/>
      <c r="L121" s="676"/>
      <c r="M121" s="676"/>
      <c r="N121" s="676"/>
      <c r="O121" s="676"/>
      <c r="P121" s="676"/>
      <c r="Q121" s="676"/>
      <c r="R121" s="676"/>
      <c r="S121" s="676"/>
      <c r="T121" s="676">
        <f t="shared" si="27"/>
        <v>0</v>
      </c>
    </row>
    <row r="122" spans="1:20" ht="11.1" customHeight="1">
      <c r="A122" s="653" t="str">
        <f>'Budget-合并'!A122</f>
        <v>6602.09.09</v>
      </c>
      <c r="B122" s="653" t="str">
        <f>'Budget-合并'!B122</f>
        <v>携程服务费</v>
      </c>
      <c r="C122" s="673">
        <f>'Budget-合并'!C122</f>
        <v>0</v>
      </c>
      <c r="D122" s="676">
        <f t="shared" si="33"/>
        <v>0</v>
      </c>
      <c r="F122" s="676">
        <f t="shared" ca="1" si="34"/>
        <v>0</v>
      </c>
      <c r="H122" s="676">
        <f t="shared" ref="H122:S122" si="38">SUM(H123:H125)</f>
        <v>0</v>
      </c>
      <c r="I122" s="676">
        <f t="shared" si="38"/>
        <v>0</v>
      </c>
      <c r="J122" s="676">
        <f t="shared" si="38"/>
        <v>0</v>
      </c>
      <c r="K122" s="676">
        <f t="shared" si="38"/>
        <v>0</v>
      </c>
      <c r="L122" s="676">
        <f t="shared" si="38"/>
        <v>0</v>
      </c>
      <c r="M122" s="676">
        <f t="shared" si="38"/>
        <v>0</v>
      </c>
      <c r="N122" s="676">
        <f t="shared" si="38"/>
        <v>0</v>
      </c>
      <c r="O122" s="676">
        <f t="shared" si="38"/>
        <v>0</v>
      </c>
      <c r="P122" s="676">
        <f t="shared" si="38"/>
        <v>0</v>
      </c>
      <c r="Q122" s="676">
        <f t="shared" si="38"/>
        <v>0</v>
      </c>
      <c r="R122" s="676">
        <f t="shared" si="38"/>
        <v>0</v>
      </c>
      <c r="S122" s="676">
        <f t="shared" si="38"/>
        <v>0</v>
      </c>
      <c r="T122" s="676">
        <f t="shared" si="27"/>
        <v>0</v>
      </c>
    </row>
    <row r="123" spans="1:20" ht="11.1" customHeight="1">
      <c r="A123" s="653">
        <f>'Budget-合并'!A123</f>
        <v>0</v>
      </c>
      <c r="B123" s="653" t="str">
        <f>'Budget-合并'!B123</f>
        <v xml:space="preserve">    公司主体10</v>
      </c>
      <c r="C123" s="673" t="str">
        <f>'Budget-合并'!C123</f>
        <v xml:space="preserve">   Entity</v>
      </c>
      <c r="D123" s="676">
        <f t="shared" si="33"/>
        <v>0</v>
      </c>
      <c r="F123" s="676">
        <f t="shared" ca="1" si="34"/>
        <v>0</v>
      </c>
      <c r="H123" s="676"/>
      <c r="I123" s="676"/>
      <c r="J123" s="676"/>
      <c r="K123" s="676"/>
      <c r="L123" s="676"/>
      <c r="M123" s="676"/>
      <c r="N123" s="676"/>
      <c r="O123" s="676"/>
      <c r="P123" s="676"/>
      <c r="Q123" s="676"/>
      <c r="R123" s="676"/>
      <c r="S123" s="676"/>
      <c r="T123" s="676">
        <f t="shared" si="27"/>
        <v>0</v>
      </c>
    </row>
    <row r="124" spans="1:20" ht="11.1" customHeight="1">
      <c r="A124" s="653">
        <f>'Budget-合并'!A124</f>
        <v>0</v>
      </c>
      <c r="B124" s="653" t="str">
        <f>'Budget-合并'!B124</f>
        <v xml:space="preserve">    旭智富能10</v>
      </c>
      <c r="C124" s="673" t="str">
        <f>'Budget-合并'!C124</f>
        <v xml:space="preserve">   Foxpower</v>
      </c>
      <c r="D124" s="676">
        <f t="shared" si="33"/>
        <v>0</v>
      </c>
      <c r="F124" s="676">
        <f t="shared" ca="1" si="34"/>
        <v>0</v>
      </c>
      <c r="H124" s="676"/>
      <c r="I124" s="676"/>
      <c r="J124" s="676"/>
      <c r="K124" s="676"/>
      <c r="L124" s="676"/>
      <c r="M124" s="676"/>
      <c r="N124" s="676"/>
      <c r="O124" s="676"/>
      <c r="P124" s="676"/>
      <c r="Q124" s="676"/>
      <c r="R124" s="676"/>
      <c r="S124" s="676"/>
      <c r="T124" s="676">
        <f t="shared" si="27"/>
        <v>0</v>
      </c>
    </row>
    <row r="125" spans="1:20" ht="11.1" customHeight="1">
      <c r="A125" s="653">
        <f>'Budget-合并'!A125</f>
        <v>0</v>
      </c>
      <c r="B125" s="653" t="str">
        <f>'Budget-合并'!B125</f>
        <v xml:space="preserve">    其他项目10</v>
      </c>
      <c r="C125" s="673" t="str">
        <f>'Budget-合并'!C125</f>
        <v xml:space="preserve">   Other project</v>
      </c>
      <c r="D125" s="676">
        <f t="shared" si="33"/>
        <v>0</v>
      </c>
      <c r="F125" s="676">
        <f t="shared" ca="1" si="34"/>
        <v>0</v>
      </c>
      <c r="H125" s="676"/>
      <c r="I125" s="676"/>
      <c r="J125" s="676"/>
      <c r="K125" s="676"/>
      <c r="L125" s="676"/>
      <c r="M125" s="676"/>
      <c r="N125" s="676"/>
      <c r="O125" s="676"/>
      <c r="P125" s="676"/>
      <c r="Q125" s="676"/>
      <c r="R125" s="676"/>
      <c r="S125" s="676"/>
      <c r="T125" s="676">
        <f t="shared" si="27"/>
        <v>0</v>
      </c>
    </row>
    <row r="126" spans="1:20" ht="11.1" customHeight="1">
      <c r="A126" s="653" t="str">
        <f>'Budget-合并'!A126</f>
        <v>6602.09.99</v>
      </c>
      <c r="B126" s="653" t="str">
        <f>'Budget-合并'!B126</f>
        <v>其他</v>
      </c>
      <c r="C126" s="673" t="str">
        <f>'Budget-合并'!C126</f>
        <v>Travel Other</v>
      </c>
      <c r="D126" s="676">
        <f t="shared" si="33"/>
        <v>0</v>
      </c>
      <c r="F126" s="676">
        <f t="shared" ca="1" si="34"/>
        <v>0</v>
      </c>
      <c r="H126" s="676"/>
      <c r="I126" s="676"/>
      <c r="J126" s="676"/>
      <c r="K126" s="676"/>
      <c r="L126" s="676"/>
      <c r="M126" s="676"/>
      <c r="N126" s="676"/>
      <c r="O126" s="676"/>
      <c r="P126" s="676"/>
      <c r="Q126" s="676"/>
      <c r="R126" s="676"/>
      <c r="S126" s="676"/>
      <c r="T126" s="676">
        <f t="shared" si="27"/>
        <v>0</v>
      </c>
    </row>
    <row r="127" spans="1:20" ht="11.1" customHeight="1">
      <c r="A127" s="663" t="str">
        <f>'Budget-合并'!A127</f>
        <v>6602.10</v>
      </c>
      <c r="B127" s="678" t="str">
        <f>'Budget-合并'!B127</f>
        <v>折旧费</v>
      </c>
      <c r="C127" s="673">
        <f>'Budget-合并'!C127</f>
        <v>0</v>
      </c>
      <c r="D127" s="676">
        <f t="shared" si="33"/>
        <v>0</v>
      </c>
      <c r="F127" s="676">
        <f t="shared" ca="1" si="34"/>
        <v>0</v>
      </c>
      <c r="H127" s="676">
        <f t="shared" ref="H127:S127" si="39">SUM(H128:H131)</f>
        <v>0</v>
      </c>
      <c r="I127" s="676">
        <f t="shared" si="39"/>
        <v>0</v>
      </c>
      <c r="J127" s="676">
        <f t="shared" si="39"/>
        <v>0</v>
      </c>
      <c r="K127" s="676">
        <f t="shared" si="39"/>
        <v>0</v>
      </c>
      <c r="L127" s="676">
        <f t="shared" si="39"/>
        <v>0</v>
      </c>
      <c r="M127" s="676">
        <f t="shared" si="39"/>
        <v>0</v>
      </c>
      <c r="N127" s="676">
        <f t="shared" si="39"/>
        <v>0</v>
      </c>
      <c r="O127" s="676">
        <f t="shared" si="39"/>
        <v>0</v>
      </c>
      <c r="P127" s="676">
        <f t="shared" si="39"/>
        <v>0</v>
      </c>
      <c r="Q127" s="676">
        <f t="shared" si="39"/>
        <v>0</v>
      </c>
      <c r="R127" s="676">
        <f t="shared" si="39"/>
        <v>0</v>
      </c>
      <c r="S127" s="676">
        <f t="shared" si="39"/>
        <v>0</v>
      </c>
      <c r="T127" s="676">
        <f t="shared" si="27"/>
        <v>0</v>
      </c>
    </row>
    <row r="128" spans="1:20" ht="11.1" customHeight="1">
      <c r="A128" s="653" t="str">
        <f>'Budget-合并'!A128</f>
        <v>6602.10.01</v>
      </c>
      <c r="B128" s="653" t="str">
        <f>'Budget-合并'!B128</f>
        <v>电子设备</v>
      </c>
      <c r="C128" s="673" t="str">
        <f>'Budget-合并'!C128</f>
        <v>Dep Exp  Computer Equip</v>
      </c>
      <c r="D128" s="676">
        <f t="shared" si="33"/>
        <v>0</v>
      </c>
      <c r="F128" s="676">
        <f t="shared" ca="1" si="34"/>
        <v>0</v>
      </c>
      <c r="H128" s="676"/>
      <c r="I128" s="676"/>
      <c r="J128" s="676"/>
      <c r="K128" s="676"/>
      <c r="L128" s="676"/>
      <c r="M128" s="676"/>
      <c r="N128" s="676"/>
      <c r="O128" s="676"/>
      <c r="P128" s="676"/>
      <c r="Q128" s="676"/>
      <c r="R128" s="676"/>
      <c r="S128" s="676"/>
      <c r="T128" s="676">
        <f t="shared" si="27"/>
        <v>0</v>
      </c>
    </row>
    <row r="129" spans="1:20" ht="11.1" customHeight="1">
      <c r="A129" s="653" t="str">
        <f>'Budget-合并'!A129</f>
        <v>6602.10.02</v>
      </c>
      <c r="B129" s="653" t="str">
        <f>'Budget-合并'!B129</f>
        <v>房屋建筑物</v>
      </c>
      <c r="C129" s="673">
        <f>'Budget-合并'!C129</f>
        <v>0</v>
      </c>
      <c r="D129" s="676">
        <f t="shared" si="33"/>
        <v>0</v>
      </c>
      <c r="F129" s="676">
        <f t="shared" ca="1" si="34"/>
        <v>0</v>
      </c>
      <c r="H129" s="676"/>
      <c r="I129" s="676"/>
      <c r="J129" s="676"/>
      <c r="K129" s="676"/>
      <c r="L129" s="676"/>
      <c r="M129" s="676"/>
      <c r="N129" s="676"/>
      <c r="O129" s="676"/>
      <c r="P129" s="676"/>
      <c r="Q129" s="676"/>
      <c r="R129" s="676"/>
      <c r="S129" s="676"/>
      <c r="T129" s="676">
        <f t="shared" si="27"/>
        <v>0</v>
      </c>
    </row>
    <row r="130" spans="1:20" ht="11.1" customHeight="1">
      <c r="A130" s="653" t="str">
        <f>'Budget-合并'!A130</f>
        <v>6602.10.03</v>
      </c>
      <c r="B130" s="653" t="str">
        <f>'Budget-合并'!B130</f>
        <v>机器设备</v>
      </c>
      <c r="C130" s="673">
        <f>'Budget-合并'!C130</f>
        <v>0</v>
      </c>
      <c r="D130" s="676">
        <f t="shared" si="33"/>
        <v>0</v>
      </c>
      <c r="F130" s="676">
        <f t="shared" ca="1" si="34"/>
        <v>0</v>
      </c>
      <c r="H130" s="676"/>
      <c r="I130" s="676"/>
      <c r="J130" s="676"/>
      <c r="K130" s="676"/>
      <c r="L130" s="676"/>
      <c r="M130" s="676"/>
      <c r="N130" s="676"/>
      <c r="O130" s="676"/>
      <c r="P130" s="676"/>
      <c r="Q130" s="676"/>
      <c r="R130" s="676"/>
      <c r="S130" s="676"/>
      <c r="T130" s="676">
        <f t="shared" si="27"/>
        <v>0</v>
      </c>
    </row>
    <row r="131" spans="1:20" ht="11.1" customHeight="1">
      <c r="A131" s="653" t="str">
        <f>'Budget-合并'!A131</f>
        <v>6602.10.04</v>
      </c>
      <c r="B131" s="653" t="str">
        <f>'Budget-合并'!B131</f>
        <v>家具设备</v>
      </c>
      <c r="C131" s="673" t="str">
        <f>'Budget-合并'!C131</f>
        <v xml:space="preserve">Dep Exp - Other EQ &amp; Furn </v>
      </c>
      <c r="D131" s="676">
        <f t="shared" si="33"/>
        <v>0</v>
      </c>
      <c r="F131" s="676">
        <f t="shared" ca="1" si="34"/>
        <v>0</v>
      </c>
      <c r="H131" s="676"/>
      <c r="I131" s="676"/>
      <c r="J131" s="676"/>
      <c r="K131" s="676"/>
      <c r="L131" s="676"/>
      <c r="M131" s="676"/>
      <c r="N131" s="676"/>
      <c r="O131" s="676"/>
      <c r="P131" s="676"/>
      <c r="Q131" s="676"/>
      <c r="R131" s="676"/>
      <c r="S131" s="676"/>
      <c r="T131" s="676">
        <f t="shared" si="27"/>
        <v>0</v>
      </c>
    </row>
    <row r="132" spans="1:20" ht="11.1" customHeight="1">
      <c r="A132" s="663" t="str">
        <f>'Budget-合并'!A132</f>
        <v>6602.12</v>
      </c>
      <c r="B132" s="678" t="str">
        <f>'Budget-合并'!B132</f>
        <v>使用权资产折旧</v>
      </c>
      <c r="C132" s="673" t="str">
        <f>'Budget-合并'!C132</f>
        <v>Dep Exp - Right of Use Asset</v>
      </c>
      <c r="D132" s="676">
        <f t="shared" si="33"/>
        <v>0</v>
      </c>
      <c r="F132" s="676">
        <f t="shared" ca="1" si="34"/>
        <v>0</v>
      </c>
      <c r="H132" s="676">
        <f t="shared" ref="H132:S132" si="40">SUM(H133,H134,H137)</f>
        <v>0</v>
      </c>
      <c r="I132" s="676">
        <f t="shared" si="40"/>
        <v>0</v>
      </c>
      <c r="J132" s="676">
        <f t="shared" si="40"/>
        <v>0</v>
      </c>
      <c r="K132" s="676">
        <f t="shared" si="40"/>
        <v>0</v>
      </c>
      <c r="L132" s="676">
        <f t="shared" si="40"/>
        <v>0</v>
      </c>
      <c r="M132" s="676">
        <f t="shared" si="40"/>
        <v>0</v>
      </c>
      <c r="N132" s="676">
        <f t="shared" si="40"/>
        <v>0</v>
      </c>
      <c r="O132" s="676">
        <f t="shared" si="40"/>
        <v>0</v>
      </c>
      <c r="P132" s="676">
        <f t="shared" si="40"/>
        <v>0</v>
      </c>
      <c r="Q132" s="676">
        <f t="shared" si="40"/>
        <v>0</v>
      </c>
      <c r="R132" s="676">
        <f t="shared" si="40"/>
        <v>0</v>
      </c>
      <c r="S132" s="676">
        <f t="shared" si="40"/>
        <v>0</v>
      </c>
      <c r="T132" s="676">
        <f t="shared" si="27"/>
        <v>0</v>
      </c>
    </row>
    <row r="133" spans="1:20" ht="11.1" customHeight="1">
      <c r="A133" s="653" t="str">
        <f>'Budget-合并'!A133</f>
        <v>6602.12.01</v>
      </c>
      <c r="B133" s="653" t="str">
        <f>'Budget-合并'!B133</f>
        <v>打印机租赁</v>
      </c>
      <c r="C133" s="673">
        <f>'Budget-合并'!C133</f>
        <v>0</v>
      </c>
      <c r="D133" s="676">
        <f t="shared" si="33"/>
        <v>0</v>
      </c>
      <c r="F133" s="676">
        <f t="shared" ca="1" si="34"/>
        <v>0</v>
      </c>
      <c r="H133" s="676"/>
      <c r="I133" s="676"/>
      <c r="J133" s="676"/>
      <c r="K133" s="676"/>
      <c r="L133" s="676"/>
      <c r="M133" s="676"/>
      <c r="N133" s="676"/>
      <c r="O133" s="676"/>
      <c r="P133" s="676"/>
      <c r="Q133" s="676"/>
      <c r="R133" s="676"/>
      <c r="S133" s="676"/>
      <c r="T133" s="676">
        <f t="shared" si="27"/>
        <v>0</v>
      </c>
    </row>
    <row r="134" spans="1:20" ht="11.1" customHeight="1">
      <c r="A134" s="653" t="str">
        <f>'Budget-合并'!A134</f>
        <v>6602.12.02</v>
      </c>
      <c r="B134" s="653" t="str">
        <f>'Budget-合并'!B134</f>
        <v>办公地址</v>
      </c>
      <c r="C134" s="673">
        <f>'Budget-合并'!C134</f>
        <v>0</v>
      </c>
      <c r="D134" s="676">
        <f t="shared" si="33"/>
        <v>0</v>
      </c>
      <c r="F134" s="676">
        <f t="shared" ca="1" si="34"/>
        <v>0</v>
      </c>
      <c r="H134" s="676">
        <f t="shared" ref="H134:S134" si="41">SUM(H135:H136)</f>
        <v>0</v>
      </c>
      <c r="I134" s="676">
        <f t="shared" si="41"/>
        <v>0</v>
      </c>
      <c r="J134" s="676">
        <f t="shared" si="41"/>
        <v>0</v>
      </c>
      <c r="K134" s="676">
        <f t="shared" si="41"/>
        <v>0</v>
      </c>
      <c r="L134" s="676">
        <f t="shared" si="41"/>
        <v>0</v>
      </c>
      <c r="M134" s="676">
        <f t="shared" si="41"/>
        <v>0</v>
      </c>
      <c r="N134" s="676">
        <f t="shared" si="41"/>
        <v>0</v>
      </c>
      <c r="O134" s="676">
        <f t="shared" si="41"/>
        <v>0</v>
      </c>
      <c r="P134" s="676">
        <f t="shared" si="41"/>
        <v>0</v>
      </c>
      <c r="Q134" s="676">
        <f t="shared" si="41"/>
        <v>0</v>
      </c>
      <c r="R134" s="676">
        <f t="shared" si="41"/>
        <v>0</v>
      </c>
      <c r="S134" s="676">
        <f t="shared" si="41"/>
        <v>0</v>
      </c>
      <c r="T134" s="676">
        <f t="shared" si="27"/>
        <v>0</v>
      </c>
    </row>
    <row r="135" spans="1:20" ht="11.1" customHeight="1">
      <c r="A135" s="653" t="str">
        <f>'Budget-合并'!A135</f>
        <v>6602.12.02.01</v>
      </c>
      <c r="B135" s="653" t="str">
        <f>'Budget-合并'!B135</f>
        <v>旭智咨询--鼎和大厦1606</v>
      </c>
      <c r="C135" s="673">
        <f>'Budget-合并'!C135</f>
        <v>0</v>
      </c>
      <c r="D135" s="676">
        <f t="shared" si="33"/>
        <v>0</v>
      </c>
      <c r="F135" s="676">
        <f t="shared" ca="1" si="34"/>
        <v>0</v>
      </c>
      <c r="H135" s="676"/>
      <c r="I135" s="676"/>
      <c r="J135" s="676"/>
      <c r="K135" s="676"/>
      <c r="L135" s="676"/>
      <c r="M135" s="676"/>
      <c r="N135" s="676"/>
      <c r="O135" s="676"/>
      <c r="P135" s="676"/>
      <c r="Q135" s="676"/>
      <c r="R135" s="676"/>
      <c r="S135" s="676"/>
      <c r="T135" s="676">
        <f t="shared" si="27"/>
        <v>0</v>
      </c>
    </row>
    <row r="136" spans="1:20" ht="11.1" customHeight="1">
      <c r="A136" s="653" t="str">
        <f>'Budget-合并'!A136</f>
        <v>6602.12.02.02</v>
      </c>
      <c r="B136" s="653" t="str">
        <f>'Budget-合并'!B136</f>
        <v>旭智资本（香港）--冯氏大厦</v>
      </c>
      <c r="C136" s="673">
        <f>'Budget-合并'!C136</f>
        <v>0</v>
      </c>
      <c r="D136" s="676">
        <f t="shared" si="33"/>
        <v>0</v>
      </c>
      <c r="F136" s="676">
        <f t="shared" ca="1" si="34"/>
        <v>0</v>
      </c>
      <c r="H136" s="676"/>
      <c r="I136" s="676"/>
      <c r="J136" s="676"/>
      <c r="K136" s="676"/>
      <c r="L136" s="676"/>
      <c r="M136" s="676"/>
      <c r="N136" s="676"/>
      <c r="O136" s="676"/>
      <c r="P136" s="676"/>
      <c r="Q136" s="676"/>
      <c r="R136" s="676"/>
      <c r="S136" s="676"/>
      <c r="T136" s="676">
        <f t="shared" si="27"/>
        <v>0</v>
      </c>
    </row>
    <row r="137" spans="1:20" ht="11.1" customHeight="1">
      <c r="A137" s="653" t="str">
        <f>'Budget-合并'!A137</f>
        <v>6602.12.03</v>
      </c>
      <c r="B137" s="653" t="str">
        <f>'Budget-合并'!B137</f>
        <v>注册地址</v>
      </c>
      <c r="C137" s="673">
        <f>'Budget-合并'!C137</f>
        <v>0</v>
      </c>
      <c r="D137" s="676">
        <f t="shared" si="33"/>
        <v>0</v>
      </c>
      <c r="F137" s="676">
        <f t="shared" ca="1" si="34"/>
        <v>0</v>
      </c>
      <c r="H137" s="676">
        <f t="shared" ref="H137:S137" si="42">SUM(H138:H139)</f>
        <v>0</v>
      </c>
      <c r="I137" s="676">
        <f t="shared" si="42"/>
        <v>0</v>
      </c>
      <c r="J137" s="676">
        <f t="shared" si="42"/>
        <v>0</v>
      </c>
      <c r="K137" s="676">
        <f t="shared" si="42"/>
        <v>0</v>
      </c>
      <c r="L137" s="676">
        <f t="shared" si="42"/>
        <v>0</v>
      </c>
      <c r="M137" s="676">
        <f t="shared" si="42"/>
        <v>0</v>
      </c>
      <c r="N137" s="676">
        <f t="shared" si="42"/>
        <v>0</v>
      </c>
      <c r="O137" s="676">
        <f t="shared" si="42"/>
        <v>0</v>
      </c>
      <c r="P137" s="676">
        <f t="shared" si="42"/>
        <v>0</v>
      </c>
      <c r="Q137" s="676">
        <f t="shared" si="42"/>
        <v>0</v>
      </c>
      <c r="R137" s="676">
        <f t="shared" si="42"/>
        <v>0</v>
      </c>
      <c r="S137" s="676">
        <f t="shared" si="42"/>
        <v>0</v>
      </c>
      <c r="T137" s="676">
        <f t="shared" si="27"/>
        <v>0</v>
      </c>
    </row>
    <row r="138" spans="1:20" ht="11.1" customHeight="1">
      <c r="A138" s="653" t="str">
        <f>'Budget-合并'!A138</f>
        <v>6602.12.03.01</v>
      </c>
      <c r="B138" s="653" t="str">
        <f>'Budget-合并'!B138</f>
        <v>旭智私募--前海壹号B座701E</v>
      </c>
      <c r="C138" s="673">
        <f>'Budget-合并'!C138</f>
        <v>0</v>
      </c>
      <c r="D138" s="676">
        <f t="shared" si="33"/>
        <v>0</v>
      </c>
      <c r="F138" s="676">
        <f t="shared" ca="1" si="34"/>
        <v>0</v>
      </c>
      <c r="H138" s="676"/>
      <c r="I138" s="676"/>
      <c r="J138" s="676"/>
      <c r="K138" s="676"/>
      <c r="L138" s="676"/>
      <c r="M138" s="676"/>
      <c r="N138" s="676"/>
      <c r="O138" s="676"/>
      <c r="P138" s="676"/>
      <c r="Q138" s="676"/>
      <c r="R138" s="676"/>
      <c r="S138" s="676"/>
      <c r="T138" s="676">
        <f t="shared" si="27"/>
        <v>0</v>
      </c>
    </row>
    <row r="139" spans="1:20" ht="11.1" customHeight="1">
      <c r="A139" s="653" t="str">
        <f>'Budget-合并'!A139</f>
        <v>6602.12.03.02</v>
      </c>
      <c r="B139" s="653" t="str">
        <f>'Budget-合并'!B139</f>
        <v>广州旭智--802房F028</v>
      </c>
      <c r="C139" s="673">
        <f>'Budget-合并'!C139</f>
        <v>0</v>
      </c>
      <c r="D139" s="676">
        <f t="shared" si="33"/>
        <v>0</v>
      </c>
      <c r="F139" s="676">
        <f t="shared" ca="1" si="34"/>
        <v>0</v>
      </c>
      <c r="H139" s="676"/>
      <c r="I139" s="676"/>
      <c r="J139" s="676"/>
      <c r="K139" s="676"/>
      <c r="L139" s="676"/>
      <c r="M139" s="676"/>
      <c r="N139" s="676"/>
      <c r="O139" s="676"/>
      <c r="P139" s="676"/>
      <c r="Q139" s="676"/>
      <c r="R139" s="676"/>
      <c r="S139" s="676"/>
      <c r="T139" s="676">
        <f t="shared" si="27"/>
        <v>0</v>
      </c>
    </row>
    <row r="140" spans="1:20" ht="13.5" customHeight="1">
      <c r="A140" s="653" t="str">
        <f>'Budget-合并'!A140</f>
        <v>6602.13</v>
      </c>
      <c r="B140" s="653" t="str">
        <f>'Budget-合并'!B140</f>
        <v>物业管理费</v>
      </c>
      <c r="C140" s="673">
        <f>'Budget-合并'!C140</f>
        <v>0</v>
      </c>
      <c r="D140" s="676">
        <f t="shared" si="33"/>
        <v>0</v>
      </c>
      <c r="F140" s="676">
        <f t="shared" ca="1" si="34"/>
        <v>0</v>
      </c>
      <c r="H140" s="676"/>
      <c r="I140" s="676"/>
      <c r="J140" s="676"/>
      <c r="K140" s="676"/>
      <c r="L140" s="676"/>
      <c r="M140" s="676"/>
      <c r="N140" s="676"/>
      <c r="O140" s="676"/>
      <c r="P140" s="676"/>
      <c r="Q140" s="676"/>
      <c r="R140" s="676"/>
      <c r="S140" s="676"/>
      <c r="T140" s="676">
        <f t="shared" si="27"/>
        <v>0</v>
      </c>
    </row>
    <row r="141" spans="1:20" ht="13.5" customHeight="1">
      <c r="A141" s="653" t="str">
        <f>'Budget-合并'!A141</f>
        <v>6602.14</v>
      </c>
      <c r="B141" s="653" t="str">
        <f>'Budget-合并'!B141</f>
        <v>修理费</v>
      </c>
      <c r="C141" s="673">
        <f>'Budget-合并'!C141</f>
        <v>0</v>
      </c>
      <c r="D141" s="676">
        <f t="shared" si="33"/>
        <v>0</v>
      </c>
      <c r="F141" s="676">
        <f t="shared" ca="1" si="34"/>
        <v>0</v>
      </c>
      <c r="H141" s="676"/>
      <c r="I141" s="676"/>
      <c r="J141" s="676"/>
      <c r="K141" s="676"/>
      <c r="L141" s="676"/>
      <c r="M141" s="676"/>
      <c r="N141" s="676"/>
      <c r="O141" s="676"/>
      <c r="P141" s="676"/>
      <c r="Q141" s="676"/>
      <c r="R141" s="676"/>
      <c r="S141" s="676"/>
      <c r="T141" s="676">
        <f t="shared" si="27"/>
        <v>0</v>
      </c>
    </row>
    <row r="142" spans="1:20" ht="13.5" customHeight="1">
      <c r="A142" s="653" t="str">
        <f>'Budget-合并'!A142</f>
        <v>6602.15</v>
      </c>
      <c r="B142" s="653" t="str">
        <f>'Budget-合并'!B142</f>
        <v>服务费</v>
      </c>
      <c r="C142" s="673" t="str">
        <f>'Budget-合并'!C142</f>
        <v>Professional Fee</v>
      </c>
      <c r="D142" s="676">
        <f t="shared" si="33"/>
        <v>0</v>
      </c>
      <c r="F142" s="676">
        <f t="shared" ca="1" si="34"/>
        <v>0</v>
      </c>
      <c r="H142" s="676"/>
      <c r="I142" s="676"/>
      <c r="J142" s="676"/>
      <c r="K142" s="676"/>
      <c r="L142" s="676"/>
      <c r="M142" s="676"/>
      <c r="N142" s="676"/>
      <c r="O142" s="676"/>
      <c r="P142" s="676"/>
      <c r="Q142" s="676"/>
      <c r="R142" s="676"/>
      <c r="S142" s="676"/>
      <c r="T142" s="676">
        <f t="shared" si="27"/>
        <v>0</v>
      </c>
    </row>
    <row r="143" spans="1:20" ht="13.5" customHeight="1">
      <c r="A143" s="653" t="str">
        <f>'Budget-合并'!A143</f>
        <v>6602.16</v>
      </c>
      <c r="B143" s="653" t="str">
        <f>'Budget-合并'!B143</f>
        <v>董事会费</v>
      </c>
      <c r="C143" s="673" t="str">
        <f>'Budget-合并'!C143</f>
        <v>Internal ACP Meeting</v>
      </c>
      <c r="D143" s="676">
        <f t="shared" si="33"/>
        <v>0</v>
      </c>
      <c r="F143" s="676">
        <f t="shared" ca="1" si="34"/>
        <v>0</v>
      </c>
      <c r="H143" s="676"/>
      <c r="I143" s="676"/>
      <c r="J143" s="676"/>
      <c r="K143" s="676"/>
      <c r="L143" s="676"/>
      <c r="M143" s="676"/>
      <c r="N143" s="676"/>
      <c r="O143" s="676"/>
      <c r="P143" s="676"/>
      <c r="Q143" s="676"/>
      <c r="R143" s="676"/>
      <c r="S143" s="676"/>
      <c r="T143" s="676">
        <f t="shared" si="27"/>
        <v>0</v>
      </c>
    </row>
    <row r="144" spans="1:20" ht="13.5" customHeight="1">
      <c r="A144" s="653" t="str">
        <f>'Budget-合并'!A144</f>
        <v>6602.17</v>
      </c>
      <c r="B144" s="653" t="str">
        <f>'Budget-合并'!B144</f>
        <v>聘请中介机构费</v>
      </c>
      <c r="C144" s="673">
        <f>'Budget-合并'!C144</f>
        <v>0</v>
      </c>
      <c r="D144" s="676">
        <f t="shared" si="33"/>
        <v>0</v>
      </c>
      <c r="F144" s="676">
        <f t="shared" ca="1" si="34"/>
        <v>0</v>
      </c>
      <c r="H144" s="676"/>
      <c r="I144" s="676"/>
      <c r="J144" s="676"/>
      <c r="K144" s="676"/>
      <c r="L144" s="676"/>
      <c r="M144" s="676"/>
      <c r="N144" s="676"/>
      <c r="O144" s="676"/>
      <c r="P144" s="676"/>
      <c r="Q144" s="676"/>
      <c r="R144" s="676"/>
      <c r="S144" s="676"/>
      <c r="T144" s="676">
        <f t="shared" si="27"/>
        <v>0</v>
      </c>
    </row>
    <row r="145" spans="1:20" ht="13.5" customHeight="1">
      <c r="A145" s="653" t="str">
        <f>'Budget-合并'!A145</f>
        <v>6602.18</v>
      </c>
      <c r="B145" s="653" t="str">
        <f>'Budget-合并'!B145</f>
        <v>存货盘亏或盘盈</v>
      </c>
      <c r="C145" s="673">
        <f>'Budget-合并'!C145</f>
        <v>0</v>
      </c>
      <c r="D145" s="676">
        <f t="shared" si="33"/>
        <v>0</v>
      </c>
      <c r="F145" s="676">
        <f t="shared" ca="1" si="34"/>
        <v>0</v>
      </c>
      <c r="H145" s="676"/>
      <c r="I145" s="676"/>
      <c r="J145" s="676"/>
      <c r="K145" s="676"/>
      <c r="L145" s="676"/>
      <c r="M145" s="676"/>
      <c r="N145" s="676"/>
      <c r="O145" s="676"/>
      <c r="P145" s="676"/>
      <c r="Q145" s="676"/>
      <c r="R145" s="676"/>
      <c r="S145" s="676"/>
      <c r="T145" s="676">
        <f t="shared" si="27"/>
        <v>0</v>
      </c>
    </row>
    <row r="146" spans="1:20" ht="13.5" customHeight="1">
      <c r="A146" s="653" t="str">
        <f>'Budget-合并'!A146</f>
        <v>6602.19</v>
      </c>
      <c r="B146" s="653" t="str">
        <f>'Budget-合并'!B146</f>
        <v>会费（公司）</v>
      </c>
      <c r="C146" s="673" t="str">
        <f>'Budget-合并'!C146</f>
        <v>Membership Fee</v>
      </c>
      <c r="D146" s="676">
        <f t="shared" si="33"/>
        <v>0</v>
      </c>
      <c r="F146" s="676">
        <f t="shared" ca="1" si="34"/>
        <v>0</v>
      </c>
      <c r="H146" s="676"/>
      <c r="I146" s="676"/>
      <c r="J146" s="676"/>
      <c r="K146" s="676"/>
      <c r="L146" s="676"/>
      <c r="M146" s="676"/>
      <c r="N146" s="676"/>
      <c r="O146" s="676"/>
      <c r="P146" s="676"/>
      <c r="Q146" s="676"/>
      <c r="R146" s="676"/>
      <c r="S146" s="676"/>
      <c r="T146" s="676">
        <f t="shared" si="27"/>
        <v>0</v>
      </c>
    </row>
    <row r="147" spans="1:20" ht="13.5" customHeight="1">
      <c r="A147" s="653" t="str">
        <f>'Budget-合并'!A147</f>
        <v>6602.20</v>
      </c>
      <c r="B147" s="653" t="str">
        <f>'Budget-合并'!B147</f>
        <v>职工教育经费</v>
      </c>
      <c r="C147" s="673" t="str">
        <f>'Budget-合并'!C147</f>
        <v>Education Assistance</v>
      </c>
      <c r="D147" s="676">
        <f t="shared" si="33"/>
        <v>0</v>
      </c>
      <c r="F147" s="676">
        <f t="shared" ca="1" si="34"/>
        <v>0</v>
      </c>
      <c r="H147" s="676"/>
      <c r="I147" s="676"/>
      <c r="J147" s="676"/>
      <c r="K147" s="676"/>
      <c r="L147" s="676"/>
      <c r="M147" s="676"/>
      <c r="N147" s="676"/>
      <c r="O147" s="676"/>
      <c r="P147" s="676"/>
      <c r="Q147" s="676"/>
      <c r="R147" s="676"/>
      <c r="S147" s="676"/>
      <c r="T147" s="676">
        <f t="shared" si="27"/>
        <v>0</v>
      </c>
    </row>
    <row r="148" spans="1:20" ht="13.5" customHeight="1">
      <c r="A148" s="653" t="str">
        <f>'Budget-合并'!A148</f>
        <v>6602.21</v>
      </c>
      <c r="B148" s="653" t="str">
        <f>'Budget-合并'!B148</f>
        <v>公司秘书费</v>
      </c>
      <c r="C148" s="673" t="str">
        <f>'Budget-合并'!C148</f>
        <v>Corporate Secretarial Fees</v>
      </c>
      <c r="D148" s="676">
        <f t="shared" si="33"/>
        <v>0</v>
      </c>
      <c r="F148" s="676">
        <f t="shared" ca="1" si="34"/>
        <v>0</v>
      </c>
      <c r="H148" s="676"/>
      <c r="I148" s="676"/>
      <c r="J148" s="676"/>
      <c r="K148" s="676"/>
      <c r="L148" s="676"/>
      <c r="M148" s="676"/>
      <c r="N148" s="676"/>
      <c r="O148" s="676"/>
      <c r="P148" s="676"/>
      <c r="Q148" s="676"/>
      <c r="R148" s="676"/>
      <c r="S148" s="676"/>
      <c r="T148" s="676">
        <f t="shared" si="27"/>
        <v>0</v>
      </c>
    </row>
    <row r="149" spans="1:20" ht="13.5" customHeight="1">
      <c r="A149" s="653" t="str">
        <f>'Budget-合并'!A149</f>
        <v>6602.22</v>
      </c>
      <c r="B149" s="653" t="str">
        <f>'Budget-合并'!B149</f>
        <v>工会经费</v>
      </c>
      <c r="C149" s="673">
        <f>'Budget-合并'!C149</f>
        <v>0</v>
      </c>
      <c r="D149" s="676">
        <f t="shared" si="33"/>
        <v>0</v>
      </c>
      <c r="F149" s="676">
        <f t="shared" ca="1" si="34"/>
        <v>0</v>
      </c>
      <c r="H149" s="676"/>
      <c r="I149" s="676"/>
      <c r="J149" s="676"/>
      <c r="K149" s="676"/>
      <c r="L149" s="676"/>
      <c r="M149" s="676"/>
      <c r="N149" s="676"/>
      <c r="O149" s="676"/>
      <c r="P149" s="676"/>
      <c r="Q149" s="676"/>
      <c r="R149" s="676"/>
      <c r="S149" s="676"/>
      <c r="T149" s="676">
        <f t="shared" si="27"/>
        <v>0</v>
      </c>
    </row>
    <row r="150" spans="1:20" ht="13.5" customHeight="1">
      <c r="A150" s="653" t="str">
        <f>'Budget-合并'!A150</f>
        <v>6602.23</v>
      </c>
      <c r="B150" s="653" t="str">
        <f>'Budget-合并'!B150</f>
        <v>无形资产摊销</v>
      </c>
      <c r="C150" s="673" t="str">
        <f>'Budget-合并'!C150</f>
        <v>Contract Intangibles - Amortization</v>
      </c>
      <c r="D150" s="676">
        <f t="shared" si="33"/>
        <v>0</v>
      </c>
      <c r="F150" s="676">
        <f t="shared" ca="1" si="34"/>
        <v>0</v>
      </c>
      <c r="H150" s="676"/>
      <c r="I150" s="676"/>
      <c r="J150" s="676"/>
      <c r="K150" s="676"/>
      <c r="L150" s="676"/>
      <c r="M150" s="676"/>
      <c r="N150" s="676"/>
      <c r="O150" s="676"/>
      <c r="P150" s="676"/>
      <c r="Q150" s="676"/>
      <c r="R150" s="676"/>
      <c r="S150" s="676"/>
      <c r="T150" s="676">
        <f t="shared" si="27"/>
        <v>0</v>
      </c>
    </row>
    <row r="151" spans="1:20" ht="13.5" customHeight="1">
      <c r="A151" s="653" t="str">
        <f>'Budget-合并'!A151</f>
        <v>6602.24</v>
      </c>
      <c r="B151" s="653" t="str">
        <f>'Budget-合并'!B151</f>
        <v>监管费用</v>
      </c>
      <c r="C151" s="673" t="str">
        <f>'Budget-合并'!C151</f>
        <v xml:space="preserve">Regulatory fees </v>
      </c>
      <c r="D151" s="676">
        <f t="shared" si="33"/>
        <v>0</v>
      </c>
      <c r="F151" s="676">
        <f t="shared" ca="1" si="34"/>
        <v>0</v>
      </c>
      <c r="H151" s="676"/>
      <c r="I151" s="676"/>
      <c r="J151" s="676"/>
      <c r="K151" s="676"/>
      <c r="L151" s="676"/>
      <c r="M151" s="676"/>
      <c r="N151" s="676"/>
      <c r="O151" s="676"/>
      <c r="P151" s="676"/>
      <c r="Q151" s="676"/>
      <c r="R151" s="676"/>
      <c r="S151" s="676"/>
      <c r="T151" s="676">
        <f t="shared" ref="T151:T154" si="43">SUM(H151:S151)</f>
        <v>0</v>
      </c>
    </row>
    <row r="152" spans="1:20" ht="13.5" customHeight="1">
      <c r="A152" s="653" t="str">
        <f>'Budget-合并'!A152</f>
        <v>6602.99</v>
      </c>
      <c r="B152" s="653" t="str">
        <f>'Budget-合并'!B152</f>
        <v>其他</v>
      </c>
      <c r="C152" s="673" t="str">
        <f>'Budget-合并'!C152</f>
        <v>Admin Other</v>
      </c>
      <c r="D152" s="676">
        <f t="shared" si="33"/>
        <v>0</v>
      </c>
      <c r="F152" s="676">
        <f t="shared" ca="1" si="34"/>
        <v>0</v>
      </c>
      <c r="H152" s="676"/>
      <c r="I152" s="676"/>
      <c r="J152" s="676"/>
      <c r="K152" s="676"/>
      <c r="L152" s="676"/>
      <c r="M152" s="676"/>
      <c r="N152" s="676"/>
      <c r="O152" s="676"/>
      <c r="P152" s="676"/>
      <c r="Q152" s="676"/>
      <c r="R152" s="676"/>
      <c r="S152" s="676"/>
      <c r="T152" s="676">
        <f t="shared" si="43"/>
        <v>0</v>
      </c>
    </row>
    <row r="153" spans="1:20" ht="13.5" customHeight="1">
      <c r="A153" s="672">
        <f>'Budget-合并'!A153</f>
        <v>0</v>
      </c>
      <c r="B153" s="672" t="str">
        <f>'Budget-合并'!B153</f>
        <v>管理费用合计</v>
      </c>
      <c r="C153" s="673">
        <f>'Budget-合并'!C153</f>
        <v>0</v>
      </c>
      <c r="D153" s="677">
        <f t="shared" si="33"/>
        <v>0</v>
      </c>
      <c r="F153" s="677">
        <f t="shared" ca="1" si="34"/>
        <v>0</v>
      </c>
      <c r="H153" s="677">
        <f t="shared" ref="H153:S153" si="44">SUM(H44,H62,H75,H79,H80,H92,H127,H132,H140:H152)</f>
        <v>0</v>
      </c>
      <c r="I153" s="677">
        <f t="shared" si="44"/>
        <v>0</v>
      </c>
      <c r="J153" s="677">
        <f t="shared" si="44"/>
        <v>0</v>
      </c>
      <c r="K153" s="677">
        <f t="shared" si="44"/>
        <v>0</v>
      </c>
      <c r="L153" s="677">
        <f t="shared" si="44"/>
        <v>0</v>
      </c>
      <c r="M153" s="677">
        <f t="shared" si="44"/>
        <v>0</v>
      </c>
      <c r="N153" s="677">
        <f t="shared" si="44"/>
        <v>0</v>
      </c>
      <c r="O153" s="677">
        <f t="shared" si="44"/>
        <v>0</v>
      </c>
      <c r="P153" s="677">
        <f t="shared" si="44"/>
        <v>0</v>
      </c>
      <c r="Q153" s="677">
        <f t="shared" si="44"/>
        <v>0</v>
      </c>
      <c r="R153" s="677">
        <f t="shared" si="44"/>
        <v>0</v>
      </c>
      <c r="S153" s="677">
        <f t="shared" si="44"/>
        <v>0</v>
      </c>
      <c r="T153" s="677">
        <f t="shared" si="43"/>
        <v>0</v>
      </c>
    </row>
    <row r="154" spans="1:20" ht="13.5" customHeight="1">
      <c r="A154" s="653">
        <f>'Budget-合并'!A154</f>
        <v>0</v>
      </c>
      <c r="B154" s="653">
        <f>'Budget-合并'!B154</f>
        <v>0</v>
      </c>
      <c r="C154" s="673">
        <f>'Budget-合并'!C154</f>
        <v>0</v>
      </c>
      <c r="T154" s="652">
        <f t="shared" si="43"/>
        <v>0</v>
      </c>
    </row>
    <row r="155" spans="1:20" ht="13.5" customHeight="1">
      <c r="A155" s="672" t="str">
        <f>'Budget-合并'!A155</f>
        <v>6603</v>
      </c>
      <c r="B155" s="672" t="str">
        <f>'Budget-合并'!B155</f>
        <v>财务费用</v>
      </c>
      <c r="C155" s="673">
        <f>'Budget-合并'!C155</f>
        <v>0</v>
      </c>
      <c r="D155" s="677"/>
      <c r="F155" s="677"/>
      <c r="H155" s="677"/>
      <c r="I155" s="677"/>
      <c r="J155" s="677"/>
      <c r="K155" s="677"/>
      <c r="L155" s="677"/>
      <c r="M155" s="677"/>
      <c r="N155" s="677"/>
      <c r="O155" s="677"/>
      <c r="P155" s="677"/>
      <c r="Q155" s="677"/>
      <c r="R155" s="677"/>
      <c r="S155" s="677"/>
      <c r="T155" s="677"/>
    </row>
    <row r="156" spans="1:20" ht="13.5" customHeight="1">
      <c r="A156" s="653" t="str">
        <f>'Budget-合并'!A156</f>
        <v>6603.01</v>
      </c>
      <c r="B156" s="653" t="str">
        <f>'Budget-合并'!B156</f>
        <v>汇兑损益</v>
      </c>
      <c r="C156" s="673" t="str">
        <f>'Budget-合并'!C156</f>
        <v>FX Gain/Loss Net</v>
      </c>
      <c r="D156" s="676">
        <f t="shared" ref="D156:D172" si="45">INDEX($H$8:$S$8,1,MATCH($D$6,$H$6:$S$6))</f>
        <v>0</v>
      </c>
      <c r="F156" s="676">
        <f t="shared" ref="F156:F172" ca="1" si="46">SUM($H156:OFFSET($H156,0,MATCH(F$6,$H$6:$S$6)-1))</f>
        <v>0</v>
      </c>
      <c r="H156" s="676"/>
      <c r="I156" s="676"/>
      <c r="J156" s="676"/>
      <c r="K156" s="676"/>
      <c r="L156" s="676"/>
      <c r="M156" s="676"/>
      <c r="N156" s="676"/>
      <c r="O156" s="676"/>
      <c r="P156" s="676"/>
      <c r="Q156" s="676"/>
      <c r="R156" s="676"/>
      <c r="S156" s="676"/>
      <c r="T156" s="676">
        <f t="shared" ref="T156:T169" si="47">SUM(H156:S156)</f>
        <v>0</v>
      </c>
    </row>
    <row r="157" spans="1:20" ht="13.5" customHeight="1">
      <c r="A157" s="663" t="str">
        <f>'Budget-合并'!A157</f>
        <v>6603.02</v>
      </c>
      <c r="B157" s="678" t="str">
        <f>'Budget-合并'!B157</f>
        <v>利息费用</v>
      </c>
      <c r="C157" s="673">
        <f>'Budget-合并'!C157</f>
        <v>0</v>
      </c>
      <c r="D157" s="676">
        <f t="shared" si="45"/>
        <v>0</v>
      </c>
      <c r="F157" s="676">
        <f t="shared" ca="1" si="46"/>
        <v>0</v>
      </c>
      <c r="H157" s="676"/>
      <c r="I157" s="676"/>
      <c r="J157" s="676"/>
      <c r="K157" s="676"/>
      <c r="L157" s="676"/>
      <c r="M157" s="676"/>
      <c r="N157" s="676"/>
      <c r="O157" s="676"/>
      <c r="P157" s="676"/>
      <c r="Q157" s="676"/>
      <c r="R157" s="676"/>
      <c r="S157" s="676"/>
      <c r="T157" s="676">
        <f t="shared" si="47"/>
        <v>0</v>
      </c>
    </row>
    <row r="158" spans="1:20" ht="13.5" customHeight="1">
      <c r="A158" s="653" t="str">
        <f>'Budget-合并'!A158</f>
        <v>6603.02.01</v>
      </c>
      <c r="B158" s="653" t="str">
        <f>'Budget-合并'!B158</f>
        <v>打印机租赁</v>
      </c>
      <c r="C158" s="673">
        <f>'Budget-合并'!C158</f>
        <v>0</v>
      </c>
      <c r="D158" s="676">
        <f t="shared" si="45"/>
        <v>0</v>
      </c>
      <c r="F158" s="676">
        <f t="shared" ca="1" si="46"/>
        <v>0</v>
      </c>
      <c r="H158" s="676"/>
      <c r="I158" s="676"/>
      <c r="J158" s="676"/>
      <c r="K158" s="676"/>
      <c r="L158" s="676"/>
      <c r="M158" s="676"/>
      <c r="N158" s="676"/>
      <c r="O158" s="676"/>
      <c r="P158" s="676"/>
      <c r="Q158" s="676"/>
      <c r="R158" s="676"/>
      <c r="S158" s="676"/>
      <c r="T158" s="676">
        <f t="shared" si="47"/>
        <v>0</v>
      </c>
    </row>
    <row r="159" spans="1:20" ht="13.5" customHeight="1">
      <c r="A159" s="653" t="str">
        <f>'Budget-合并'!A159</f>
        <v>6603.02.02</v>
      </c>
      <c r="B159" s="653" t="str">
        <f>'Budget-合并'!B159</f>
        <v>办公地址</v>
      </c>
      <c r="C159" s="673">
        <f>'Budget-合并'!C159</f>
        <v>0</v>
      </c>
      <c r="D159" s="676">
        <f t="shared" si="45"/>
        <v>0</v>
      </c>
      <c r="F159" s="676">
        <f t="shared" ca="1" si="46"/>
        <v>0</v>
      </c>
      <c r="H159" s="676">
        <f t="shared" ref="H159:S159" si="48">SUM(H160:H161)</f>
        <v>0</v>
      </c>
      <c r="I159" s="676">
        <f t="shared" si="48"/>
        <v>0</v>
      </c>
      <c r="J159" s="676">
        <f t="shared" si="48"/>
        <v>0</v>
      </c>
      <c r="K159" s="676">
        <f t="shared" si="48"/>
        <v>0</v>
      </c>
      <c r="L159" s="676">
        <f t="shared" si="48"/>
        <v>0</v>
      </c>
      <c r="M159" s="676">
        <f t="shared" si="48"/>
        <v>0</v>
      </c>
      <c r="N159" s="676">
        <f t="shared" si="48"/>
        <v>0</v>
      </c>
      <c r="O159" s="676">
        <f t="shared" si="48"/>
        <v>0</v>
      </c>
      <c r="P159" s="676">
        <f t="shared" si="48"/>
        <v>0</v>
      </c>
      <c r="Q159" s="676">
        <f t="shared" si="48"/>
        <v>0</v>
      </c>
      <c r="R159" s="676">
        <f t="shared" si="48"/>
        <v>0</v>
      </c>
      <c r="S159" s="676">
        <f t="shared" si="48"/>
        <v>0</v>
      </c>
      <c r="T159" s="676">
        <f t="shared" si="47"/>
        <v>0</v>
      </c>
    </row>
    <row r="160" spans="1:20" ht="13.5" customHeight="1">
      <c r="A160" s="653" t="str">
        <f>'Budget-合并'!A160</f>
        <v>6603.02.02.01</v>
      </c>
      <c r="B160" s="653" t="str">
        <f>'Budget-合并'!B160</f>
        <v>旭智咨询--鼎和大厦1606</v>
      </c>
      <c r="C160" s="673">
        <f>'Budget-合并'!C160</f>
        <v>0</v>
      </c>
      <c r="D160" s="676">
        <f t="shared" si="45"/>
        <v>0</v>
      </c>
      <c r="F160" s="676">
        <f t="shared" ca="1" si="46"/>
        <v>0</v>
      </c>
      <c r="H160" s="676"/>
      <c r="I160" s="676"/>
      <c r="J160" s="676"/>
      <c r="K160" s="676"/>
      <c r="L160" s="676"/>
      <c r="M160" s="676"/>
      <c r="N160" s="676"/>
      <c r="O160" s="676"/>
      <c r="P160" s="676"/>
      <c r="Q160" s="676"/>
      <c r="R160" s="676"/>
      <c r="S160" s="676"/>
      <c r="T160" s="676">
        <f t="shared" si="47"/>
        <v>0</v>
      </c>
    </row>
    <row r="161" spans="1:20" ht="13.5" customHeight="1">
      <c r="A161" s="653" t="str">
        <f>'Budget-合并'!A161</f>
        <v>6603.02.02.02</v>
      </c>
      <c r="B161" s="653" t="str">
        <f>'Budget-合并'!B161</f>
        <v>旭智资本（香港）--冯氏大厦</v>
      </c>
      <c r="C161" s="673" t="str">
        <f>'Budget-合并'!C161</f>
        <v>Interest Expense Lease</v>
      </c>
      <c r="D161" s="676">
        <f t="shared" si="45"/>
        <v>0</v>
      </c>
      <c r="F161" s="676">
        <f t="shared" ca="1" si="46"/>
        <v>0</v>
      </c>
      <c r="H161" s="676"/>
      <c r="I161" s="676"/>
      <c r="J161" s="676"/>
      <c r="K161" s="676"/>
      <c r="L161" s="676"/>
      <c r="M161" s="676"/>
      <c r="N161" s="676"/>
      <c r="O161" s="676"/>
      <c r="P161" s="676"/>
      <c r="Q161" s="676"/>
      <c r="R161" s="676"/>
      <c r="S161" s="676"/>
      <c r="T161" s="676">
        <f t="shared" si="47"/>
        <v>0</v>
      </c>
    </row>
    <row r="162" spans="1:20" ht="13.5" customHeight="1">
      <c r="A162" s="653" t="str">
        <f>'Budget-合并'!A162</f>
        <v>6603.02.03</v>
      </c>
      <c r="B162" s="653" t="str">
        <f>'Budget-合并'!B162</f>
        <v>注册地址</v>
      </c>
      <c r="C162" s="673">
        <f>'Budget-合并'!C162</f>
        <v>0</v>
      </c>
      <c r="D162" s="676">
        <f t="shared" si="45"/>
        <v>0</v>
      </c>
      <c r="F162" s="676">
        <f t="shared" ca="1" si="46"/>
        <v>0</v>
      </c>
      <c r="H162" s="676">
        <f t="shared" ref="H162:S162" si="49">SUM(H163:H164)</f>
        <v>0</v>
      </c>
      <c r="I162" s="676">
        <f t="shared" si="49"/>
        <v>0</v>
      </c>
      <c r="J162" s="676">
        <f t="shared" si="49"/>
        <v>0</v>
      </c>
      <c r="K162" s="676">
        <f t="shared" si="49"/>
        <v>0</v>
      </c>
      <c r="L162" s="676">
        <f t="shared" si="49"/>
        <v>0</v>
      </c>
      <c r="M162" s="676">
        <f t="shared" si="49"/>
        <v>0</v>
      </c>
      <c r="N162" s="676">
        <f t="shared" si="49"/>
        <v>0</v>
      </c>
      <c r="O162" s="676">
        <f t="shared" si="49"/>
        <v>0</v>
      </c>
      <c r="P162" s="676">
        <f t="shared" si="49"/>
        <v>0</v>
      </c>
      <c r="Q162" s="676">
        <f t="shared" si="49"/>
        <v>0</v>
      </c>
      <c r="R162" s="676">
        <f t="shared" si="49"/>
        <v>0</v>
      </c>
      <c r="S162" s="676">
        <f t="shared" si="49"/>
        <v>0</v>
      </c>
      <c r="T162" s="676">
        <f t="shared" si="47"/>
        <v>0</v>
      </c>
    </row>
    <row r="163" spans="1:20" ht="13.5" customHeight="1">
      <c r="A163" s="653" t="str">
        <f>'Budget-合并'!A163</f>
        <v>6603.02.03.01</v>
      </c>
      <c r="B163" s="653" t="str">
        <f>'Budget-合并'!B163</f>
        <v>旭智私募--前海壹号B座701E</v>
      </c>
      <c r="C163" s="673">
        <f>'Budget-合并'!C163</f>
        <v>0</v>
      </c>
      <c r="D163" s="676">
        <f t="shared" si="45"/>
        <v>0</v>
      </c>
      <c r="F163" s="676">
        <f t="shared" ca="1" si="46"/>
        <v>0</v>
      </c>
      <c r="H163" s="676"/>
      <c r="I163" s="676"/>
      <c r="J163" s="676"/>
      <c r="K163" s="676"/>
      <c r="L163" s="676"/>
      <c r="M163" s="676"/>
      <c r="N163" s="676"/>
      <c r="O163" s="676"/>
      <c r="P163" s="676"/>
      <c r="Q163" s="676"/>
      <c r="R163" s="676"/>
      <c r="S163" s="676"/>
      <c r="T163" s="676">
        <f t="shared" si="47"/>
        <v>0</v>
      </c>
    </row>
    <row r="164" spans="1:20" ht="13.5" customHeight="1">
      <c r="A164" s="653" t="str">
        <f>'Budget-合并'!A164</f>
        <v>6603.02.03.02</v>
      </c>
      <c r="B164" s="653" t="str">
        <f>'Budget-合并'!B164</f>
        <v>广州旭智--802房F028</v>
      </c>
      <c r="C164" s="673">
        <f>'Budget-合并'!C164</f>
        <v>0</v>
      </c>
      <c r="D164" s="676">
        <f t="shared" si="45"/>
        <v>0</v>
      </c>
      <c r="F164" s="676">
        <f t="shared" ca="1" si="46"/>
        <v>0</v>
      </c>
      <c r="H164" s="676"/>
      <c r="I164" s="676"/>
      <c r="J164" s="676"/>
      <c r="K164" s="676"/>
      <c r="L164" s="676"/>
      <c r="M164" s="676"/>
      <c r="N164" s="676"/>
      <c r="O164" s="676"/>
      <c r="P164" s="676"/>
      <c r="Q164" s="676"/>
      <c r="R164" s="676"/>
      <c r="S164" s="676"/>
      <c r="T164" s="676">
        <f t="shared" si="47"/>
        <v>0</v>
      </c>
    </row>
    <row r="165" spans="1:20" ht="13.5" customHeight="1">
      <c r="A165" s="653" t="str">
        <f>'Budget-合并'!A165</f>
        <v>6603.03</v>
      </c>
      <c r="B165" s="653" t="str">
        <f>'Budget-合并'!B165</f>
        <v>银行手续费</v>
      </c>
      <c r="C165" s="673" t="str">
        <f>'Budget-合并'!C165</f>
        <v>Bank Charges</v>
      </c>
      <c r="D165" s="676">
        <f t="shared" si="45"/>
        <v>0</v>
      </c>
      <c r="F165" s="676">
        <f t="shared" ca="1" si="46"/>
        <v>0</v>
      </c>
      <c r="H165" s="676"/>
      <c r="I165" s="676"/>
      <c r="J165" s="676"/>
      <c r="K165" s="676"/>
      <c r="L165" s="676"/>
      <c r="M165" s="676"/>
      <c r="N165" s="676"/>
      <c r="O165" s="676"/>
      <c r="P165" s="676"/>
      <c r="Q165" s="676"/>
      <c r="R165" s="676"/>
      <c r="S165" s="676"/>
      <c r="T165" s="676">
        <f t="shared" si="47"/>
        <v>0</v>
      </c>
    </row>
    <row r="166" spans="1:20" ht="13.5" customHeight="1">
      <c r="A166" s="653" t="str">
        <f>'Budget-合并'!A166</f>
        <v>6603.04</v>
      </c>
      <c r="B166" s="653" t="str">
        <f>'Budget-合并'!B166</f>
        <v>利息收入</v>
      </c>
      <c r="C166" s="673" t="str">
        <f>'Budget-合并'!C166</f>
        <v>Bank Interest Income</v>
      </c>
      <c r="D166" s="676">
        <f t="shared" si="45"/>
        <v>0</v>
      </c>
      <c r="F166" s="676">
        <f t="shared" ca="1" si="46"/>
        <v>0</v>
      </c>
      <c r="H166" s="676"/>
      <c r="I166" s="676"/>
      <c r="J166" s="676"/>
      <c r="K166" s="676"/>
      <c r="L166" s="676"/>
      <c r="M166" s="676"/>
      <c r="N166" s="676"/>
      <c r="O166" s="676"/>
      <c r="P166" s="676"/>
      <c r="Q166" s="676"/>
      <c r="R166" s="676"/>
      <c r="S166" s="676"/>
      <c r="T166" s="676">
        <f t="shared" si="47"/>
        <v>0</v>
      </c>
    </row>
    <row r="167" spans="1:20" ht="13.5" customHeight="1">
      <c r="A167" s="663" t="str">
        <f>'Budget-合并'!A167</f>
        <v>6603.05</v>
      </c>
      <c r="B167" s="678" t="str">
        <f>'Budget-合并'!B167</f>
        <v>利息支出</v>
      </c>
      <c r="C167" s="673">
        <f>'Budget-合并'!C167</f>
        <v>0</v>
      </c>
      <c r="D167" s="676">
        <f t="shared" si="45"/>
        <v>0</v>
      </c>
      <c r="F167" s="676">
        <f t="shared" ca="1" si="46"/>
        <v>0</v>
      </c>
      <c r="H167" s="676">
        <f>SUM(H168:H170)</f>
        <v>0</v>
      </c>
      <c r="I167" s="676">
        <f t="shared" ref="I167:S167" si="50">SUM(I168:I170)</f>
        <v>0</v>
      </c>
      <c r="J167" s="676">
        <f t="shared" si="50"/>
        <v>0</v>
      </c>
      <c r="K167" s="676">
        <f t="shared" si="50"/>
        <v>0</v>
      </c>
      <c r="L167" s="676">
        <f t="shared" si="50"/>
        <v>0</v>
      </c>
      <c r="M167" s="676">
        <f t="shared" si="50"/>
        <v>0</v>
      </c>
      <c r="N167" s="676">
        <f t="shared" si="50"/>
        <v>0</v>
      </c>
      <c r="O167" s="676">
        <f t="shared" si="50"/>
        <v>0</v>
      </c>
      <c r="P167" s="676">
        <f t="shared" si="50"/>
        <v>0</v>
      </c>
      <c r="Q167" s="676">
        <f t="shared" si="50"/>
        <v>0</v>
      </c>
      <c r="R167" s="676">
        <f t="shared" si="50"/>
        <v>0</v>
      </c>
      <c r="S167" s="676">
        <f t="shared" si="50"/>
        <v>0</v>
      </c>
      <c r="T167" s="676">
        <f t="shared" si="47"/>
        <v>0</v>
      </c>
    </row>
    <row r="168" spans="1:20" ht="13.5" customHeight="1">
      <c r="A168" s="653" t="str">
        <f>'Budget-合并'!A168</f>
        <v>6603.05.01</v>
      </c>
      <c r="B168" s="653" t="str">
        <f>'Budget-合并'!B168</f>
        <v>兴业金融租赁有限责任公司</v>
      </c>
      <c r="C168" s="673">
        <f>'Budget-合并'!C168</f>
        <v>0</v>
      </c>
      <c r="D168" s="676">
        <f t="shared" si="45"/>
        <v>0</v>
      </c>
      <c r="F168" s="676">
        <f t="shared" ca="1" si="46"/>
        <v>0</v>
      </c>
      <c r="H168" s="676"/>
      <c r="I168" s="676"/>
      <c r="J168" s="676"/>
      <c r="K168" s="676"/>
      <c r="L168" s="676"/>
      <c r="M168" s="676"/>
      <c r="N168" s="676"/>
      <c r="O168" s="676"/>
      <c r="P168" s="676"/>
      <c r="Q168" s="676"/>
      <c r="R168" s="676"/>
      <c r="S168" s="676"/>
      <c r="T168" s="676">
        <f t="shared" si="47"/>
        <v>0</v>
      </c>
    </row>
    <row r="169" spans="1:20" ht="13.5" customHeight="1">
      <c r="A169" s="653" t="str">
        <f>'Budget-合并'!A169</f>
        <v>6603.05.02</v>
      </c>
      <c r="B169" s="653" t="str">
        <f>'Budget-合并'!B169</f>
        <v>湖南三一智慧新能源设计有限公司</v>
      </c>
      <c r="C169" s="673">
        <f>'Budget-合并'!C169</f>
        <v>0</v>
      </c>
      <c r="D169" s="676">
        <f t="shared" si="45"/>
        <v>0</v>
      </c>
      <c r="F169" s="676">
        <f t="shared" ca="1" si="46"/>
        <v>0</v>
      </c>
      <c r="H169" s="676"/>
      <c r="I169" s="676"/>
      <c r="J169" s="676"/>
      <c r="K169" s="676"/>
      <c r="L169" s="676"/>
      <c r="M169" s="676"/>
      <c r="N169" s="676"/>
      <c r="O169" s="676"/>
      <c r="P169" s="676"/>
      <c r="Q169" s="676"/>
      <c r="R169" s="676"/>
      <c r="S169" s="676"/>
      <c r="T169" s="676">
        <f t="shared" si="47"/>
        <v>0</v>
      </c>
    </row>
    <row r="170" spans="1:20" ht="13.5" customHeight="1">
      <c r="A170" s="653" t="str">
        <f>'Budget-合并'!A170</f>
        <v>6603.05.03</v>
      </c>
      <c r="B170" s="653" t="str">
        <f>'Budget-合并'!B170</f>
        <v>和谐天明投资管理(北京)有限公司</v>
      </c>
      <c r="C170" s="673"/>
      <c r="D170" s="676">
        <f t="shared" si="45"/>
        <v>0</v>
      </c>
      <c r="F170" s="676">
        <f t="shared" ca="1" si="46"/>
        <v>0</v>
      </c>
      <c r="H170" s="676"/>
      <c r="I170" s="676"/>
      <c r="J170" s="676"/>
      <c r="K170" s="676"/>
      <c r="L170" s="676"/>
      <c r="M170" s="676"/>
      <c r="N170" s="676"/>
      <c r="O170" s="676"/>
      <c r="P170" s="676"/>
      <c r="Q170" s="676"/>
      <c r="R170" s="676"/>
      <c r="S170" s="676"/>
      <c r="T170" s="676"/>
    </row>
    <row r="171" spans="1:20" ht="13.5" customHeight="1">
      <c r="A171" s="653" t="str">
        <f>'Budget-合并'!A171</f>
        <v>6603.99</v>
      </c>
      <c r="B171" s="653" t="str">
        <f>'Budget-合并'!B171</f>
        <v>其他</v>
      </c>
      <c r="C171" s="673">
        <f>'Budget-合并'!C171</f>
        <v>0</v>
      </c>
      <c r="D171" s="676">
        <f t="shared" si="45"/>
        <v>0</v>
      </c>
      <c r="F171" s="676">
        <f t="shared" ca="1" si="46"/>
        <v>0</v>
      </c>
      <c r="H171" s="676">
        <f t="shared" ref="H171:S171" si="51">SUM(H161:H164,H168,H169)</f>
        <v>0</v>
      </c>
      <c r="I171" s="676">
        <f t="shared" si="51"/>
        <v>0</v>
      </c>
      <c r="J171" s="676">
        <f t="shared" si="51"/>
        <v>0</v>
      </c>
      <c r="K171" s="676">
        <f t="shared" si="51"/>
        <v>0</v>
      </c>
      <c r="L171" s="676">
        <f t="shared" si="51"/>
        <v>0</v>
      </c>
      <c r="M171" s="676">
        <f t="shared" si="51"/>
        <v>0</v>
      </c>
      <c r="N171" s="676">
        <f t="shared" si="51"/>
        <v>0</v>
      </c>
      <c r="O171" s="676">
        <f t="shared" si="51"/>
        <v>0</v>
      </c>
      <c r="P171" s="676">
        <f t="shared" si="51"/>
        <v>0</v>
      </c>
      <c r="Q171" s="676">
        <f t="shared" si="51"/>
        <v>0</v>
      </c>
      <c r="R171" s="676">
        <f t="shared" si="51"/>
        <v>0</v>
      </c>
      <c r="S171" s="676">
        <f t="shared" si="51"/>
        <v>0</v>
      </c>
      <c r="T171" s="676">
        <f t="shared" ref="T171:T182" si="52">SUM(H171:S171)</f>
        <v>0</v>
      </c>
    </row>
    <row r="172" spans="1:20" ht="13.5" customHeight="1">
      <c r="A172" s="672">
        <f>'Budget-合并'!A172</f>
        <v>0</v>
      </c>
      <c r="B172" s="672" t="str">
        <f>'Budget-合并'!B172</f>
        <v>财务费用合计</v>
      </c>
      <c r="C172" s="673">
        <f>'Budget-合并'!C172</f>
        <v>0</v>
      </c>
      <c r="D172" s="677">
        <f t="shared" si="45"/>
        <v>0</v>
      </c>
      <c r="F172" s="677">
        <f t="shared" ca="1" si="46"/>
        <v>0</v>
      </c>
      <c r="H172" s="677">
        <f t="shared" ref="H172:T172" si="53">SUM(H156,H157,H165:H167,H171)</f>
        <v>0</v>
      </c>
      <c r="I172" s="677">
        <f t="shared" si="53"/>
        <v>0</v>
      </c>
      <c r="J172" s="677">
        <f t="shared" si="53"/>
        <v>0</v>
      </c>
      <c r="K172" s="677">
        <f t="shared" si="53"/>
        <v>0</v>
      </c>
      <c r="L172" s="677">
        <f t="shared" si="53"/>
        <v>0</v>
      </c>
      <c r="M172" s="677">
        <f t="shared" si="53"/>
        <v>0</v>
      </c>
      <c r="N172" s="677">
        <f t="shared" si="53"/>
        <v>0</v>
      </c>
      <c r="O172" s="677">
        <f t="shared" si="53"/>
        <v>0</v>
      </c>
      <c r="P172" s="677">
        <f t="shared" si="53"/>
        <v>0</v>
      </c>
      <c r="Q172" s="677">
        <f t="shared" si="53"/>
        <v>0</v>
      </c>
      <c r="R172" s="677">
        <f t="shared" si="53"/>
        <v>0</v>
      </c>
      <c r="S172" s="677">
        <f t="shared" si="53"/>
        <v>0</v>
      </c>
      <c r="T172" s="677">
        <f t="shared" si="53"/>
        <v>0</v>
      </c>
    </row>
    <row r="173" spans="1:20" ht="13.5" customHeight="1">
      <c r="A173" s="653">
        <f>'Budget-合并'!A173</f>
        <v>0</v>
      </c>
      <c r="B173" s="653">
        <f>'Budget-合并'!B173</f>
        <v>0</v>
      </c>
      <c r="C173" s="673">
        <f>'Budget-合并'!C173</f>
        <v>0</v>
      </c>
      <c r="T173" s="652">
        <f>T12-T19-T141-T159+T171</f>
        <v>0</v>
      </c>
    </row>
    <row r="174" spans="1:20" ht="13.5" customHeight="1">
      <c r="A174" s="653" t="str">
        <f>'Budget-合并'!A174</f>
        <v>6051</v>
      </c>
      <c r="B174" s="653" t="str">
        <f>'Budget-合并'!B174</f>
        <v>其他业务收入</v>
      </c>
      <c r="C174" s="673">
        <f>'Budget-合并'!C174</f>
        <v>0</v>
      </c>
      <c r="D174" s="676">
        <f t="shared" ref="D174:D183" si="54">INDEX($H$8:$S$8,1,MATCH($D$6,$H$6:$S$6))</f>
        <v>0</v>
      </c>
      <c r="F174" s="676">
        <f t="shared" ref="F174:F183" ca="1" si="55">SUM($H174:OFFSET($H174,0,MATCH(F$6,$H$6:$S$6)-1))</f>
        <v>0</v>
      </c>
      <c r="H174" s="676"/>
      <c r="I174" s="676"/>
      <c r="J174" s="676"/>
      <c r="K174" s="676"/>
      <c r="L174" s="676"/>
      <c r="M174" s="676"/>
      <c r="N174" s="676"/>
      <c r="O174" s="676"/>
      <c r="P174" s="676"/>
      <c r="Q174" s="676"/>
      <c r="R174" s="676"/>
      <c r="S174" s="676"/>
      <c r="T174" s="676">
        <f t="shared" si="52"/>
        <v>0</v>
      </c>
    </row>
    <row r="175" spans="1:20" ht="13.5" customHeight="1">
      <c r="A175" s="653" t="str">
        <f>'Budget-合并'!A175</f>
        <v>6101</v>
      </c>
      <c r="B175" s="653" t="str">
        <f>'Budget-合并'!B175</f>
        <v>公允价值变动损益</v>
      </c>
      <c r="C175" s="673">
        <f>'Budget-合并'!C175</f>
        <v>0</v>
      </c>
      <c r="D175" s="676">
        <f t="shared" si="54"/>
        <v>0</v>
      </c>
      <c r="F175" s="676">
        <f t="shared" ca="1" si="55"/>
        <v>0</v>
      </c>
      <c r="H175" s="676"/>
      <c r="I175" s="676"/>
      <c r="J175" s="676"/>
      <c r="K175" s="676"/>
      <c r="L175" s="676"/>
      <c r="M175" s="676"/>
      <c r="N175" s="676"/>
      <c r="O175" s="676"/>
      <c r="P175" s="676"/>
      <c r="Q175" s="676"/>
      <c r="R175" s="676"/>
      <c r="S175" s="676"/>
      <c r="T175" s="676">
        <f t="shared" si="52"/>
        <v>0</v>
      </c>
    </row>
    <row r="176" spans="1:20" ht="13.5" customHeight="1">
      <c r="A176" s="653" t="str">
        <f>'Budget-合并'!A176</f>
        <v>6111</v>
      </c>
      <c r="B176" s="653" t="str">
        <f>'Budget-合并'!B176</f>
        <v>投资收益</v>
      </c>
      <c r="C176" s="673" t="str">
        <f>'Budget-合并'!C176</f>
        <v>Gain on investment</v>
      </c>
      <c r="D176" s="676">
        <f t="shared" si="54"/>
        <v>0</v>
      </c>
      <c r="F176" s="676">
        <f t="shared" ca="1" si="55"/>
        <v>0</v>
      </c>
      <c r="H176" s="676"/>
      <c r="I176" s="676"/>
      <c r="J176" s="676"/>
      <c r="K176" s="676"/>
      <c r="L176" s="676"/>
      <c r="M176" s="676"/>
      <c r="N176" s="676"/>
      <c r="O176" s="676"/>
      <c r="P176" s="676"/>
      <c r="Q176" s="676"/>
      <c r="R176" s="676"/>
      <c r="S176" s="676"/>
      <c r="T176" s="676">
        <f t="shared" si="52"/>
        <v>0</v>
      </c>
    </row>
    <row r="177" spans="1:20" ht="13.5" customHeight="1">
      <c r="A177" s="663" t="str">
        <f>'Budget-合并'!A177</f>
        <v>6115</v>
      </c>
      <c r="B177" s="678" t="str">
        <f>'Budget-合并'!B177</f>
        <v>其他收益</v>
      </c>
      <c r="C177" s="673" t="str">
        <f>'Budget-合并'!C177</f>
        <v>Other income</v>
      </c>
      <c r="D177" s="676">
        <f t="shared" si="54"/>
        <v>0</v>
      </c>
      <c r="F177" s="676">
        <f t="shared" ca="1" si="55"/>
        <v>0</v>
      </c>
      <c r="H177" s="676">
        <f t="shared" ref="H177:S177" si="56">SUM(H178:H180)</f>
        <v>0</v>
      </c>
      <c r="I177" s="676">
        <f t="shared" si="56"/>
        <v>0</v>
      </c>
      <c r="J177" s="676">
        <f t="shared" si="56"/>
        <v>0</v>
      </c>
      <c r="K177" s="676">
        <f t="shared" si="56"/>
        <v>0</v>
      </c>
      <c r="L177" s="676">
        <f t="shared" si="56"/>
        <v>0</v>
      </c>
      <c r="M177" s="676">
        <f t="shared" si="56"/>
        <v>0</v>
      </c>
      <c r="N177" s="676">
        <f t="shared" si="56"/>
        <v>0</v>
      </c>
      <c r="O177" s="676">
        <f t="shared" si="56"/>
        <v>0</v>
      </c>
      <c r="P177" s="676">
        <f t="shared" si="56"/>
        <v>0</v>
      </c>
      <c r="Q177" s="676">
        <f t="shared" si="56"/>
        <v>0</v>
      </c>
      <c r="R177" s="676">
        <f t="shared" si="56"/>
        <v>0</v>
      </c>
      <c r="S177" s="676">
        <f t="shared" si="56"/>
        <v>0</v>
      </c>
      <c r="T177" s="676">
        <f t="shared" si="52"/>
        <v>0</v>
      </c>
    </row>
    <row r="178" spans="1:20" ht="13.5" customHeight="1">
      <c r="A178" s="653" t="str">
        <f>'Budget-合并'!A178</f>
        <v>6115.01</v>
      </c>
      <c r="B178" s="653" t="str">
        <f>'Budget-合并'!B178</f>
        <v>政府补助</v>
      </c>
      <c r="C178" s="673">
        <f>'Budget-合并'!C178</f>
        <v>0</v>
      </c>
      <c r="D178" s="676">
        <f t="shared" si="54"/>
        <v>0</v>
      </c>
      <c r="F178" s="676">
        <f t="shared" ca="1" si="55"/>
        <v>0</v>
      </c>
      <c r="H178" s="676"/>
      <c r="I178" s="676"/>
      <c r="J178" s="676"/>
      <c r="K178" s="676"/>
      <c r="L178" s="676"/>
      <c r="M178" s="676"/>
      <c r="N178" s="676"/>
      <c r="O178" s="676"/>
      <c r="P178" s="676"/>
      <c r="Q178" s="676"/>
      <c r="R178" s="676"/>
      <c r="S178" s="676"/>
      <c r="T178" s="676">
        <f t="shared" si="52"/>
        <v>0</v>
      </c>
    </row>
    <row r="179" spans="1:20" ht="13.5" customHeight="1">
      <c r="A179" s="653" t="str">
        <f>'Budget-合并'!A179</f>
        <v>6115.02</v>
      </c>
      <c r="B179" s="653" t="str">
        <f>'Budget-合并'!B179</f>
        <v>个税手续费返还</v>
      </c>
      <c r="C179" s="673">
        <f>'Budget-合并'!C179</f>
        <v>0</v>
      </c>
      <c r="D179" s="676">
        <f t="shared" si="54"/>
        <v>0</v>
      </c>
      <c r="F179" s="676">
        <f t="shared" ca="1" si="55"/>
        <v>0</v>
      </c>
      <c r="H179" s="676"/>
      <c r="I179" s="676"/>
      <c r="J179" s="676"/>
      <c r="K179" s="676"/>
      <c r="L179" s="676"/>
      <c r="M179" s="676"/>
      <c r="N179" s="676"/>
      <c r="O179" s="676"/>
      <c r="P179" s="676"/>
      <c r="Q179" s="676"/>
      <c r="R179" s="676"/>
      <c r="S179" s="676"/>
      <c r="T179" s="676">
        <f t="shared" si="52"/>
        <v>0</v>
      </c>
    </row>
    <row r="180" spans="1:20" ht="13.5" customHeight="1">
      <c r="A180" s="653" t="str">
        <f>'Budget-合并'!A180</f>
        <v>6115.99</v>
      </c>
      <c r="B180" s="653" t="str">
        <f>'Budget-合并'!B180</f>
        <v>其他</v>
      </c>
      <c r="C180" s="673">
        <f>'Budget-合并'!C180</f>
        <v>0</v>
      </c>
      <c r="D180" s="676">
        <f t="shared" si="54"/>
        <v>0</v>
      </c>
      <c r="F180" s="676">
        <f t="shared" ca="1" si="55"/>
        <v>0</v>
      </c>
      <c r="H180" s="676"/>
      <c r="I180" s="676"/>
      <c r="J180" s="676"/>
      <c r="K180" s="676"/>
      <c r="L180" s="676"/>
      <c r="M180" s="676"/>
      <c r="N180" s="676"/>
      <c r="O180" s="676"/>
      <c r="P180" s="676"/>
      <c r="Q180" s="676"/>
      <c r="R180" s="676"/>
      <c r="S180" s="676"/>
      <c r="T180" s="676">
        <f t="shared" si="52"/>
        <v>0</v>
      </c>
    </row>
    <row r="181" spans="1:20" ht="13.5" customHeight="1">
      <c r="A181" s="653" t="str">
        <f>'Budget-合并'!A181</f>
        <v>6117</v>
      </c>
      <c r="B181" s="653" t="str">
        <f>'Budget-合并'!B181</f>
        <v>资产处置损益</v>
      </c>
      <c r="C181" s="673">
        <f>'Budget-合并'!C181</f>
        <v>0</v>
      </c>
      <c r="D181" s="676">
        <f t="shared" si="54"/>
        <v>0</v>
      </c>
      <c r="F181" s="676">
        <f t="shared" ca="1" si="55"/>
        <v>0</v>
      </c>
      <c r="H181" s="676"/>
      <c r="I181" s="676"/>
      <c r="J181" s="676"/>
      <c r="K181" s="676"/>
      <c r="L181" s="676"/>
      <c r="M181" s="676"/>
      <c r="N181" s="676"/>
      <c r="O181" s="676"/>
      <c r="P181" s="676"/>
      <c r="Q181" s="676"/>
      <c r="R181" s="676"/>
      <c r="S181" s="676"/>
      <c r="T181" s="676">
        <f t="shared" si="52"/>
        <v>0</v>
      </c>
    </row>
    <row r="182" spans="1:20" ht="13.5" customHeight="1">
      <c r="A182" s="653" t="str">
        <f>'Budget-合并'!A182</f>
        <v>6118</v>
      </c>
      <c r="B182" s="653" t="str">
        <f>'Budget-合并'!B182</f>
        <v>净敞口套期损益</v>
      </c>
      <c r="C182" s="673">
        <f>'Budget-合并'!C182</f>
        <v>0</v>
      </c>
      <c r="D182" s="676">
        <f t="shared" si="54"/>
        <v>0</v>
      </c>
      <c r="F182" s="676">
        <f t="shared" ca="1" si="55"/>
        <v>0</v>
      </c>
      <c r="H182" s="676"/>
      <c r="I182" s="676"/>
      <c r="J182" s="676"/>
      <c r="K182" s="676"/>
      <c r="L182" s="676"/>
      <c r="M182" s="676"/>
      <c r="N182" s="676"/>
      <c r="O182" s="676"/>
      <c r="P182" s="676"/>
      <c r="Q182" s="676"/>
      <c r="R182" s="676"/>
      <c r="S182" s="676"/>
      <c r="T182" s="676">
        <f t="shared" si="52"/>
        <v>0</v>
      </c>
    </row>
    <row r="183" spans="1:20" ht="13.5" customHeight="1">
      <c r="A183" s="672">
        <f>'Budget-合并'!A183</f>
        <v>0</v>
      </c>
      <c r="B183" s="672" t="str">
        <f>'Budget-合并'!B183</f>
        <v>其他收益合计</v>
      </c>
      <c r="C183" s="673">
        <f>'Budget-合并'!C183</f>
        <v>0</v>
      </c>
      <c r="D183" s="677">
        <f t="shared" si="54"/>
        <v>0</v>
      </c>
      <c r="F183" s="677">
        <f t="shared" ca="1" si="55"/>
        <v>0</v>
      </c>
      <c r="H183" s="677">
        <f t="shared" ref="H183:T183" si="57">SUM(H174,H174:H177,H181:H182)</f>
        <v>0</v>
      </c>
      <c r="I183" s="677">
        <f t="shared" si="57"/>
        <v>0</v>
      </c>
      <c r="J183" s="677">
        <f t="shared" si="57"/>
        <v>0</v>
      </c>
      <c r="K183" s="677">
        <f t="shared" si="57"/>
        <v>0</v>
      </c>
      <c r="L183" s="677">
        <f t="shared" si="57"/>
        <v>0</v>
      </c>
      <c r="M183" s="677">
        <f t="shared" si="57"/>
        <v>0</v>
      </c>
      <c r="N183" s="677">
        <f t="shared" si="57"/>
        <v>0</v>
      </c>
      <c r="O183" s="677">
        <f t="shared" si="57"/>
        <v>0</v>
      </c>
      <c r="P183" s="677">
        <f t="shared" si="57"/>
        <v>0</v>
      </c>
      <c r="Q183" s="677">
        <f t="shared" si="57"/>
        <v>0</v>
      </c>
      <c r="R183" s="677">
        <f t="shared" si="57"/>
        <v>0</v>
      </c>
      <c r="S183" s="677">
        <f t="shared" si="57"/>
        <v>0</v>
      </c>
      <c r="T183" s="677">
        <f t="shared" si="57"/>
        <v>0</v>
      </c>
    </row>
    <row r="184" spans="1:20" ht="13.5" customHeight="1">
      <c r="A184" s="653">
        <f>'Budget-合并'!A184</f>
        <v>0</v>
      </c>
      <c r="B184" s="653">
        <f>'Budget-合并'!B184</f>
        <v>0</v>
      </c>
      <c r="C184" s="673">
        <f>'Budget-合并'!C184</f>
        <v>0</v>
      </c>
      <c r="T184" s="652">
        <f t="shared" ref="T184:T198" si="58">SUM(H184:S184)</f>
        <v>0</v>
      </c>
    </row>
    <row r="185" spans="1:20" ht="13.5" customHeight="1">
      <c r="A185" s="672">
        <f>'Budget-合并'!A185</f>
        <v>0</v>
      </c>
      <c r="B185" s="672" t="str">
        <f>'Budget-合并'!B185</f>
        <v>营业利润</v>
      </c>
      <c r="C185" s="673">
        <f>'Budget-合并'!C185</f>
        <v>0</v>
      </c>
      <c r="D185" s="677">
        <f t="shared" ref="D185:D199" si="59">INDEX($H$8:$S$8,1,MATCH($D$6,$H$6:$S$6))</f>
        <v>0</v>
      </c>
      <c r="F185" s="677">
        <f t="shared" ref="F185:F199" ca="1" si="60">SUM($H185:OFFSET($H185,0,MATCH(F$6,$H$6:$S$6)-1))</f>
        <v>0</v>
      </c>
      <c r="H185" s="677">
        <f t="shared" ref="H185:S185" si="61">H12-H19-H42-H153-H172+H183</f>
        <v>0</v>
      </c>
      <c r="I185" s="677">
        <f t="shared" si="61"/>
        <v>0</v>
      </c>
      <c r="J185" s="677">
        <f t="shared" si="61"/>
        <v>0</v>
      </c>
      <c r="K185" s="677">
        <f t="shared" si="61"/>
        <v>0</v>
      </c>
      <c r="L185" s="677">
        <f t="shared" si="61"/>
        <v>0</v>
      </c>
      <c r="M185" s="677">
        <f t="shared" si="61"/>
        <v>0</v>
      </c>
      <c r="N185" s="677">
        <f t="shared" si="61"/>
        <v>0</v>
      </c>
      <c r="O185" s="677">
        <f t="shared" si="61"/>
        <v>0</v>
      </c>
      <c r="P185" s="677">
        <f t="shared" si="61"/>
        <v>0</v>
      </c>
      <c r="Q185" s="677">
        <f t="shared" si="61"/>
        <v>0</v>
      </c>
      <c r="R185" s="677">
        <f t="shared" si="61"/>
        <v>0</v>
      </c>
      <c r="S185" s="677">
        <f t="shared" si="61"/>
        <v>0</v>
      </c>
      <c r="T185" s="654">
        <f t="shared" si="58"/>
        <v>0</v>
      </c>
    </row>
    <row r="186" spans="1:20" ht="13.5" customHeight="1">
      <c r="A186" s="653">
        <f>'Budget-合并'!A186</f>
        <v>0</v>
      </c>
      <c r="B186" s="653">
        <f>'Budget-合并'!B186</f>
        <v>0</v>
      </c>
      <c r="C186" s="673">
        <f>'Budget-合并'!C186</f>
        <v>0</v>
      </c>
    </row>
    <row r="187" spans="1:20" ht="13.5" customHeight="1">
      <c r="A187" s="653" t="str">
        <f>'Budget-合并'!A187</f>
        <v>6301</v>
      </c>
      <c r="B187" s="653" t="str">
        <f>'Budget-合并'!B187</f>
        <v>营业外收入</v>
      </c>
      <c r="C187" s="673">
        <f>'Budget-合并'!C187</f>
        <v>0</v>
      </c>
      <c r="D187" s="676">
        <f t="shared" si="59"/>
        <v>0</v>
      </c>
      <c r="F187" s="676">
        <f t="shared" ca="1" si="60"/>
        <v>0</v>
      </c>
      <c r="H187" s="676">
        <f t="shared" ref="H187:S187" si="62">SUM(H188:H192)</f>
        <v>0</v>
      </c>
      <c r="I187" s="676">
        <f t="shared" si="62"/>
        <v>0</v>
      </c>
      <c r="J187" s="676">
        <f t="shared" si="62"/>
        <v>0</v>
      </c>
      <c r="K187" s="676">
        <f t="shared" si="62"/>
        <v>0</v>
      </c>
      <c r="L187" s="676">
        <f t="shared" si="62"/>
        <v>0</v>
      </c>
      <c r="M187" s="676">
        <f t="shared" si="62"/>
        <v>0</v>
      </c>
      <c r="N187" s="676">
        <f t="shared" si="62"/>
        <v>0</v>
      </c>
      <c r="O187" s="676">
        <f t="shared" si="62"/>
        <v>0</v>
      </c>
      <c r="P187" s="676">
        <f t="shared" si="62"/>
        <v>0</v>
      </c>
      <c r="Q187" s="676">
        <f t="shared" si="62"/>
        <v>0</v>
      </c>
      <c r="R187" s="676">
        <f t="shared" si="62"/>
        <v>0</v>
      </c>
      <c r="S187" s="676">
        <f t="shared" si="62"/>
        <v>0</v>
      </c>
      <c r="T187" s="676">
        <f t="shared" si="58"/>
        <v>0</v>
      </c>
    </row>
    <row r="188" spans="1:20" ht="13.5" customHeight="1">
      <c r="A188" s="653" t="str">
        <f>'Budget-合并'!A188</f>
        <v>6301.01</v>
      </c>
      <c r="B188" s="653" t="str">
        <f>'Budget-合并'!B188</f>
        <v>非流动资产处置利得</v>
      </c>
      <c r="C188" s="673">
        <f>'Budget-合并'!C188</f>
        <v>0</v>
      </c>
      <c r="D188" s="676">
        <f t="shared" si="59"/>
        <v>0</v>
      </c>
      <c r="F188" s="676">
        <f t="shared" ca="1" si="60"/>
        <v>0</v>
      </c>
      <c r="H188" s="676"/>
      <c r="I188" s="676"/>
      <c r="J188" s="676"/>
      <c r="K188" s="676"/>
      <c r="L188" s="676"/>
      <c r="M188" s="676"/>
      <c r="N188" s="676"/>
      <c r="O188" s="676"/>
      <c r="P188" s="676"/>
      <c r="Q188" s="676"/>
      <c r="R188" s="676"/>
      <c r="S188" s="676"/>
      <c r="T188" s="676">
        <f t="shared" si="58"/>
        <v>0</v>
      </c>
    </row>
    <row r="189" spans="1:20" ht="13.5" customHeight="1">
      <c r="A189" s="653" t="str">
        <f>'Budget-合并'!A189</f>
        <v>6301.02</v>
      </c>
      <c r="B189" s="653" t="str">
        <f>'Budget-合并'!B189</f>
        <v>债务重组利得</v>
      </c>
      <c r="C189" s="673">
        <f>'Budget-合并'!C189</f>
        <v>0</v>
      </c>
      <c r="D189" s="676">
        <f t="shared" si="59"/>
        <v>0</v>
      </c>
      <c r="F189" s="676">
        <f t="shared" ca="1" si="60"/>
        <v>0</v>
      </c>
      <c r="H189" s="676"/>
      <c r="I189" s="676"/>
      <c r="J189" s="676"/>
      <c r="K189" s="676"/>
      <c r="L189" s="676"/>
      <c r="M189" s="676"/>
      <c r="N189" s="676"/>
      <c r="O189" s="676"/>
      <c r="P189" s="676"/>
      <c r="Q189" s="676"/>
      <c r="R189" s="676"/>
      <c r="S189" s="676"/>
      <c r="T189" s="676">
        <f t="shared" si="58"/>
        <v>0</v>
      </c>
    </row>
    <row r="190" spans="1:20" ht="13.5" customHeight="1">
      <c r="A190" s="653" t="str">
        <f>'Budget-合并'!A190</f>
        <v>6301.03</v>
      </c>
      <c r="B190" s="653" t="str">
        <f>'Budget-合并'!B190</f>
        <v>盘盈利得</v>
      </c>
      <c r="C190" s="673">
        <f>'Budget-合并'!C190</f>
        <v>0</v>
      </c>
      <c r="D190" s="676">
        <f t="shared" si="59"/>
        <v>0</v>
      </c>
      <c r="F190" s="676">
        <f t="shared" ca="1" si="60"/>
        <v>0</v>
      </c>
      <c r="H190" s="676"/>
      <c r="I190" s="676"/>
      <c r="J190" s="676"/>
      <c r="K190" s="676"/>
      <c r="L190" s="676"/>
      <c r="M190" s="676"/>
      <c r="N190" s="676"/>
      <c r="O190" s="676"/>
      <c r="P190" s="676"/>
      <c r="Q190" s="676"/>
      <c r="R190" s="676"/>
      <c r="S190" s="676"/>
      <c r="T190" s="676">
        <f t="shared" si="58"/>
        <v>0</v>
      </c>
    </row>
    <row r="191" spans="1:20" ht="13.5" customHeight="1">
      <c r="A191" s="653" t="str">
        <f>'Budget-合并'!A191</f>
        <v>6301.04</v>
      </c>
      <c r="B191" s="653" t="str">
        <f>'Budget-合并'!B191</f>
        <v>捐赠利得</v>
      </c>
      <c r="C191" s="673">
        <f>'Budget-合并'!C191</f>
        <v>0</v>
      </c>
      <c r="D191" s="676">
        <f t="shared" si="59"/>
        <v>0</v>
      </c>
      <c r="F191" s="676">
        <f t="shared" ca="1" si="60"/>
        <v>0</v>
      </c>
      <c r="H191" s="676"/>
      <c r="I191" s="676"/>
      <c r="J191" s="676"/>
      <c r="K191" s="676"/>
      <c r="L191" s="676"/>
      <c r="M191" s="676"/>
      <c r="N191" s="676"/>
      <c r="O191" s="676"/>
      <c r="P191" s="676"/>
      <c r="Q191" s="676"/>
      <c r="R191" s="676"/>
      <c r="S191" s="676"/>
      <c r="T191" s="676">
        <f t="shared" si="58"/>
        <v>0</v>
      </c>
    </row>
    <row r="192" spans="1:20" ht="13.5" customHeight="1">
      <c r="A192" s="653" t="str">
        <f>'Budget-合并'!A192</f>
        <v>6301.99</v>
      </c>
      <c r="B192" s="653" t="str">
        <f>'Budget-合并'!B192</f>
        <v>其他</v>
      </c>
      <c r="C192" s="673">
        <f>'Budget-合并'!C192</f>
        <v>0</v>
      </c>
      <c r="D192" s="676">
        <f t="shared" si="59"/>
        <v>0</v>
      </c>
      <c r="F192" s="676">
        <f t="shared" ca="1" si="60"/>
        <v>0</v>
      </c>
      <c r="H192" s="676"/>
      <c r="I192" s="676"/>
      <c r="J192" s="676"/>
      <c r="K192" s="676"/>
      <c r="L192" s="676"/>
      <c r="M192" s="676"/>
      <c r="N192" s="676"/>
      <c r="O192" s="676"/>
      <c r="P192" s="676"/>
      <c r="Q192" s="676"/>
      <c r="R192" s="676"/>
      <c r="S192" s="676"/>
      <c r="T192" s="676">
        <f t="shared" si="58"/>
        <v>0</v>
      </c>
    </row>
    <row r="193" spans="1:20" ht="13.5" customHeight="1">
      <c r="A193" s="653" t="str">
        <f>'Budget-合并'!A193</f>
        <v>6402</v>
      </c>
      <c r="B193" s="653" t="str">
        <f>'Budget-合并'!B193</f>
        <v>其他业务成本</v>
      </c>
      <c r="C193" s="673">
        <f>'Budget-合并'!C193</f>
        <v>0</v>
      </c>
      <c r="D193" s="676">
        <f t="shared" si="59"/>
        <v>0</v>
      </c>
      <c r="F193" s="676">
        <f t="shared" ca="1" si="60"/>
        <v>0</v>
      </c>
      <c r="H193" s="676"/>
      <c r="I193" s="676"/>
      <c r="J193" s="676"/>
      <c r="K193" s="676"/>
      <c r="L193" s="676"/>
      <c r="M193" s="676"/>
      <c r="N193" s="676"/>
      <c r="O193" s="676"/>
      <c r="P193" s="676"/>
      <c r="Q193" s="676"/>
      <c r="R193" s="676"/>
      <c r="S193" s="676"/>
      <c r="T193" s="676">
        <f t="shared" si="58"/>
        <v>0</v>
      </c>
    </row>
    <row r="194" spans="1:20" ht="13.5" customHeight="1">
      <c r="A194" s="653" t="str">
        <f>'Budget-合并'!A194</f>
        <v>6701</v>
      </c>
      <c r="B194" s="653" t="str">
        <f>'Budget-合并'!B194</f>
        <v>资产减值损失</v>
      </c>
      <c r="C194" s="673" t="str">
        <f>'Budget-合并'!C194</f>
        <v>Impairment loss</v>
      </c>
      <c r="D194" s="676">
        <f t="shared" si="59"/>
        <v>0</v>
      </c>
      <c r="F194" s="676">
        <f t="shared" ca="1" si="60"/>
        <v>0</v>
      </c>
      <c r="H194" s="676"/>
      <c r="I194" s="676"/>
      <c r="J194" s="676"/>
      <c r="K194" s="676"/>
      <c r="L194" s="676"/>
      <c r="M194" s="676"/>
      <c r="N194" s="676"/>
      <c r="O194" s="676"/>
      <c r="P194" s="676"/>
      <c r="Q194" s="676"/>
      <c r="R194" s="676"/>
      <c r="S194" s="676"/>
      <c r="T194" s="676">
        <f t="shared" si="58"/>
        <v>0</v>
      </c>
    </row>
    <row r="195" spans="1:20" s="651" customFormat="1" ht="13.5" customHeight="1">
      <c r="A195" s="653" t="str">
        <f>'Budget-合并'!A195</f>
        <v>6711</v>
      </c>
      <c r="B195" s="653" t="str">
        <f>'Budget-合并'!B195</f>
        <v>营业外支出</v>
      </c>
      <c r="C195" s="673">
        <f>'Budget-合并'!C195</f>
        <v>0</v>
      </c>
      <c r="D195" s="676">
        <f t="shared" si="59"/>
        <v>0</v>
      </c>
      <c r="E195" s="654"/>
      <c r="F195" s="676">
        <f t="shared" ca="1" si="60"/>
        <v>0</v>
      </c>
      <c r="G195" s="654"/>
      <c r="H195" s="676">
        <f t="shared" ref="H195:S195" si="63">SUM(H196:H197)</f>
        <v>0</v>
      </c>
      <c r="I195" s="676">
        <f t="shared" si="63"/>
        <v>0</v>
      </c>
      <c r="J195" s="676">
        <f t="shared" si="63"/>
        <v>0</v>
      </c>
      <c r="K195" s="676">
        <f t="shared" si="63"/>
        <v>0</v>
      </c>
      <c r="L195" s="676">
        <f t="shared" si="63"/>
        <v>0</v>
      </c>
      <c r="M195" s="676">
        <f t="shared" si="63"/>
        <v>0</v>
      </c>
      <c r="N195" s="676">
        <f t="shared" si="63"/>
        <v>0</v>
      </c>
      <c r="O195" s="676">
        <f t="shared" si="63"/>
        <v>0</v>
      </c>
      <c r="P195" s="676">
        <f t="shared" si="63"/>
        <v>0</v>
      </c>
      <c r="Q195" s="676">
        <f t="shared" si="63"/>
        <v>0</v>
      </c>
      <c r="R195" s="676">
        <f t="shared" si="63"/>
        <v>0</v>
      </c>
      <c r="S195" s="676">
        <f t="shared" si="63"/>
        <v>0</v>
      </c>
      <c r="T195" s="676">
        <f t="shared" si="58"/>
        <v>0</v>
      </c>
    </row>
    <row r="196" spans="1:20" ht="13.5" customHeight="1">
      <c r="A196" s="653" t="str">
        <f>'Budget-合并'!A196</f>
        <v>6711.01</v>
      </c>
      <c r="B196" s="653" t="str">
        <f>'Budget-合并'!B196</f>
        <v>滞纳金</v>
      </c>
      <c r="C196" s="673">
        <f>'Budget-合并'!C196</f>
        <v>0</v>
      </c>
      <c r="D196" s="676">
        <f t="shared" si="59"/>
        <v>0</v>
      </c>
      <c r="F196" s="676">
        <f t="shared" ca="1" si="60"/>
        <v>0</v>
      </c>
      <c r="H196" s="676"/>
      <c r="I196" s="676"/>
      <c r="J196" s="676"/>
      <c r="K196" s="676"/>
      <c r="L196" s="676"/>
      <c r="M196" s="676"/>
      <c r="N196" s="676"/>
      <c r="O196" s="676"/>
      <c r="P196" s="676"/>
      <c r="Q196" s="676"/>
      <c r="R196" s="676"/>
      <c r="S196" s="676"/>
      <c r="T196" s="676">
        <f t="shared" si="58"/>
        <v>0</v>
      </c>
    </row>
    <row r="197" spans="1:20" ht="13.5" customHeight="1">
      <c r="A197" s="653" t="str">
        <f>'Budget-合并'!A197</f>
        <v>6711.02</v>
      </c>
      <c r="B197" s="653" t="str">
        <f>'Budget-合并'!B197</f>
        <v>非流动资产处置损失</v>
      </c>
      <c r="C197" s="673">
        <f>'Budget-合并'!C197</f>
        <v>0</v>
      </c>
      <c r="D197" s="676">
        <f t="shared" si="59"/>
        <v>0</v>
      </c>
      <c r="F197" s="676">
        <f t="shared" ca="1" si="60"/>
        <v>0</v>
      </c>
      <c r="H197" s="676"/>
      <c r="I197" s="676"/>
      <c r="J197" s="676"/>
      <c r="K197" s="676"/>
      <c r="L197" s="676"/>
      <c r="M197" s="676"/>
      <c r="N197" s="676"/>
      <c r="O197" s="676"/>
      <c r="P197" s="676"/>
      <c r="Q197" s="676"/>
      <c r="R197" s="676"/>
      <c r="S197" s="676"/>
      <c r="T197" s="676">
        <f t="shared" si="58"/>
        <v>0</v>
      </c>
    </row>
    <row r="198" spans="1:20" ht="13.5" customHeight="1">
      <c r="A198" s="653" t="str">
        <f>'Budget-合并'!A198</f>
        <v>6901</v>
      </c>
      <c r="B198" s="653" t="str">
        <f>'Budget-合并'!B198</f>
        <v>以前年度损益调整</v>
      </c>
      <c r="C198" s="673">
        <f>'Budget-合并'!C198</f>
        <v>0</v>
      </c>
      <c r="D198" s="676">
        <f t="shared" si="59"/>
        <v>0</v>
      </c>
      <c r="F198" s="676">
        <f t="shared" ca="1" si="60"/>
        <v>0</v>
      </c>
      <c r="H198" s="676"/>
      <c r="I198" s="676"/>
      <c r="J198" s="676"/>
      <c r="K198" s="676"/>
      <c r="L198" s="676"/>
      <c r="M198" s="676"/>
      <c r="N198" s="676"/>
      <c r="O198" s="676"/>
      <c r="P198" s="676"/>
      <c r="Q198" s="676"/>
      <c r="R198" s="676"/>
      <c r="S198" s="676"/>
      <c r="T198" s="676">
        <f t="shared" si="58"/>
        <v>0</v>
      </c>
    </row>
    <row r="199" spans="1:20" ht="13.5" customHeight="1">
      <c r="A199" s="672">
        <f>'Budget-合并'!A199</f>
        <v>0</v>
      </c>
      <c r="B199" s="672" t="str">
        <f>'Budget-合并'!B199</f>
        <v>营业外收入 (支-, 收+):</v>
      </c>
      <c r="C199" s="673">
        <f>'Budget-合并'!C199</f>
        <v>0</v>
      </c>
      <c r="D199" s="677">
        <f t="shared" si="59"/>
        <v>0</v>
      </c>
      <c r="F199" s="677">
        <f t="shared" ca="1" si="60"/>
        <v>0</v>
      </c>
      <c r="H199" s="677">
        <f t="shared" ref="H199:T199" si="64">H187-H193-H194-H195+H198</f>
        <v>0</v>
      </c>
      <c r="I199" s="677">
        <f t="shared" si="64"/>
        <v>0</v>
      </c>
      <c r="J199" s="677">
        <f t="shared" si="64"/>
        <v>0</v>
      </c>
      <c r="K199" s="677">
        <f t="shared" si="64"/>
        <v>0</v>
      </c>
      <c r="L199" s="677">
        <f t="shared" si="64"/>
        <v>0</v>
      </c>
      <c r="M199" s="677">
        <f t="shared" si="64"/>
        <v>0</v>
      </c>
      <c r="N199" s="677">
        <f t="shared" si="64"/>
        <v>0</v>
      </c>
      <c r="O199" s="677">
        <f t="shared" si="64"/>
        <v>0</v>
      </c>
      <c r="P199" s="677">
        <f t="shared" si="64"/>
        <v>0</v>
      </c>
      <c r="Q199" s="677">
        <f t="shared" si="64"/>
        <v>0</v>
      </c>
      <c r="R199" s="677">
        <f t="shared" si="64"/>
        <v>0</v>
      </c>
      <c r="S199" s="677">
        <f t="shared" si="64"/>
        <v>0</v>
      </c>
      <c r="T199" s="677">
        <f t="shared" si="64"/>
        <v>0</v>
      </c>
    </row>
    <row r="200" spans="1:20" ht="13.5" customHeight="1">
      <c r="A200" s="653">
        <f>'Budget-合并'!A200</f>
        <v>0</v>
      </c>
      <c r="B200" s="653">
        <f>'Budget-合并'!B200</f>
        <v>0</v>
      </c>
      <c r="C200" s="673">
        <f>'Budget-合并'!C200</f>
        <v>0</v>
      </c>
    </row>
    <row r="201" spans="1:20" ht="13.5" customHeight="1">
      <c r="A201" s="672">
        <f>'Budget-合并'!A201</f>
        <v>0</v>
      </c>
      <c r="B201" s="672" t="str">
        <f>'Budget-合并'!B201</f>
        <v>利润总额 (税前利润)</v>
      </c>
      <c r="C201" s="673">
        <f>'Budget-合并'!C201</f>
        <v>0</v>
      </c>
      <c r="D201" s="677">
        <f t="shared" ref="D201:D205" si="65">INDEX($H$8:$S$8,1,MATCH($D$6,$H$6:$S$6))</f>
        <v>0</v>
      </c>
      <c r="F201" s="677">
        <f t="shared" ref="F201:F205" ca="1" si="66">SUM($H201:OFFSET($H201,0,MATCH(F$6,$H$6:$S$6)-1))</f>
        <v>0</v>
      </c>
      <c r="H201" s="677">
        <f>H185+H199</f>
        <v>0</v>
      </c>
      <c r="I201" s="677">
        <f t="shared" ref="I201:T201" si="67">I185+I199</f>
        <v>0</v>
      </c>
      <c r="J201" s="677">
        <f t="shared" si="67"/>
        <v>0</v>
      </c>
      <c r="K201" s="677">
        <f t="shared" si="67"/>
        <v>0</v>
      </c>
      <c r="L201" s="677">
        <f t="shared" si="67"/>
        <v>0</v>
      </c>
      <c r="M201" s="677">
        <f t="shared" si="67"/>
        <v>0</v>
      </c>
      <c r="N201" s="677">
        <f t="shared" si="67"/>
        <v>0</v>
      </c>
      <c r="O201" s="677">
        <f t="shared" si="67"/>
        <v>0</v>
      </c>
      <c r="P201" s="677">
        <f t="shared" si="67"/>
        <v>0</v>
      </c>
      <c r="Q201" s="677">
        <f t="shared" si="67"/>
        <v>0</v>
      </c>
      <c r="R201" s="677">
        <f t="shared" si="67"/>
        <v>0</v>
      </c>
      <c r="S201" s="677">
        <f t="shared" si="67"/>
        <v>0</v>
      </c>
      <c r="T201" s="677">
        <f t="shared" si="67"/>
        <v>0</v>
      </c>
    </row>
    <row r="202" spans="1:20" ht="13.5" customHeight="1">
      <c r="A202" s="653">
        <f>'Budget-合并'!A202</f>
        <v>0</v>
      </c>
      <c r="B202" s="653">
        <f>'Budget-合并'!B202</f>
        <v>0</v>
      </c>
      <c r="C202" s="673">
        <f>'Budget-合并'!C202</f>
        <v>0</v>
      </c>
    </row>
    <row r="203" spans="1:20" ht="13.5" customHeight="1">
      <c r="A203" s="653" t="str">
        <f>'Budget-合并'!A203</f>
        <v>6801.01</v>
      </c>
      <c r="B203" s="653" t="str">
        <f>'Budget-合并'!B203</f>
        <v>当期所得税费用</v>
      </c>
      <c r="C203" s="673" t="str">
        <f>'Budget-合并'!C203</f>
        <v>Enterprise Income Tax</v>
      </c>
      <c r="D203" s="676">
        <f t="shared" si="65"/>
        <v>0</v>
      </c>
      <c r="F203" s="676">
        <f t="shared" ca="1" si="66"/>
        <v>0</v>
      </c>
      <c r="H203" s="676"/>
      <c r="I203" s="676"/>
      <c r="J203" s="676"/>
      <c r="K203" s="676"/>
      <c r="L203" s="676"/>
      <c r="M203" s="676"/>
      <c r="N203" s="676"/>
      <c r="O203" s="676"/>
      <c r="P203" s="676"/>
      <c r="Q203" s="676"/>
      <c r="R203" s="676"/>
      <c r="S203" s="676"/>
      <c r="T203" s="676">
        <f t="shared" ref="T203:T205" si="68">SUM(H203:S203)</f>
        <v>0</v>
      </c>
    </row>
    <row r="204" spans="1:20" ht="13.5" customHeight="1">
      <c r="A204" s="653" t="str">
        <f>'Budget-合并'!A204</f>
        <v>6801.02</v>
      </c>
      <c r="B204" s="653" t="str">
        <f>'Budget-合并'!B204</f>
        <v>递延所得税费用</v>
      </c>
      <c r="C204" s="673">
        <f>'Budget-合并'!C204</f>
        <v>0</v>
      </c>
      <c r="D204" s="676">
        <f t="shared" si="65"/>
        <v>0</v>
      </c>
      <c r="F204" s="676">
        <f t="shared" ca="1" si="66"/>
        <v>0</v>
      </c>
      <c r="H204" s="676"/>
      <c r="I204" s="676"/>
      <c r="J204" s="676"/>
      <c r="K204" s="676"/>
      <c r="L204" s="676"/>
      <c r="M204" s="676"/>
      <c r="N204" s="676"/>
      <c r="O204" s="676"/>
      <c r="P204" s="676"/>
      <c r="Q204" s="676"/>
      <c r="R204" s="676"/>
      <c r="S204" s="676"/>
      <c r="T204" s="676">
        <f t="shared" si="68"/>
        <v>0</v>
      </c>
    </row>
    <row r="205" spans="1:20" ht="13.5" customHeight="1">
      <c r="A205" s="653" t="str">
        <f>'Budget-合并'!A205</f>
        <v>6801.03</v>
      </c>
      <c r="B205" s="653" t="str">
        <f>'Budget-合并'!B205</f>
        <v>以前年度所得税费用</v>
      </c>
      <c r="C205" s="673">
        <f>'Budget-合并'!C205</f>
        <v>0</v>
      </c>
      <c r="D205" s="676">
        <f t="shared" si="65"/>
        <v>0</v>
      </c>
      <c r="F205" s="676">
        <f t="shared" ca="1" si="66"/>
        <v>0</v>
      </c>
      <c r="H205" s="676"/>
      <c r="I205" s="676"/>
      <c r="J205" s="676"/>
      <c r="K205" s="676"/>
      <c r="L205" s="676"/>
      <c r="M205" s="676"/>
      <c r="N205" s="676"/>
      <c r="O205" s="676"/>
      <c r="P205" s="676"/>
      <c r="Q205" s="676"/>
      <c r="R205" s="676"/>
      <c r="S205" s="676"/>
      <c r="T205" s="676">
        <f t="shared" si="68"/>
        <v>0</v>
      </c>
    </row>
    <row r="206" spans="1:20" ht="13.5" customHeight="1">
      <c r="A206" s="653">
        <f>'Budget-合并'!A206</f>
        <v>0</v>
      </c>
      <c r="B206" s="653">
        <f>'Budget-合并'!B206</f>
        <v>0</v>
      </c>
      <c r="C206" s="673">
        <f>'Budget-合并'!C206</f>
        <v>0</v>
      </c>
    </row>
    <row r="207" spans="1:20" ht="13.5" customHeight="1">
      <c r="A207" s="672">
        <f>'Budget-合并'!A207</f>
        <v>0</v>
      </c>
      <c r="B207" s="672" t="str">
        <f>'Budget-合并'!B207</f>
        <v>五  税后利润</v>
      </c>
      <c r="C207" s="673">
        <f>'Budget-合并'!C207</f>
        <v>0</v>
      </c>
      <c r="D207" s="677">
        <f>INDEX($H$8:$S$8,1,MATCH($D$6,$H$6:$S$6))</f>
        <v>0</v>
      </c>
      <c r="F207" s="677">
        <f ca="1">SUM($H207:OFFSET($H207,0,MATCH(F$6,$H$6:$S$6)-1))</f>
        <v>0</v>
      </c>
      <c r="H207" s="677">
        <f t="shared" ref="H207:T207" si="69">H201-H203-H204-H205</f>
        <v>0</v>
      </c>
      <c r="I207" s="677">
        <f t="shared" si="69"/>
        <v>0</v>
      </c>
      <c r="J207" s="677">
        <f t="shared" si="69"/>
        <v>0</v>
      </c>
      <c r="K207" s="677">
        <f t="shared" si="69"/>
        <v>0</v>
      </c>
      <c r="L207" s="677">
        <f t="shared" si="69"/>
        <v>0</v>
      </c>
      <c r="M207" s="677">
        <f t="shared" si="69"/>
        <v>0</v>
      </c>
      <c r="N207" s="677">
        <f t="shared" si="69"/>
        <v>0</v>
      </c>
      <c r="O207" s="677">
        <f t="shared" si="69"/>
        <v>0</v>
      </c>
      <c r="P207" s="677">
        <f t="shared" si="69"/>
        <v>0</v>
      </c>
      <c r="Q207" s="677">
        <f t="shared" si="69"/>
        <v>0</v>
      </c>
      <c r="R207" s="677">
        <f t="shared" si="69"/>
        <v>0</v>
      </c>
      <c r="S207" s="677">
        <f t="shared" si="69"/>
        <v>0</v>
      </c>
      <c r="T207" s="677">
        <f t="shared" si="69"/>
        <v>0</v>
      </c>
    </row>
    <row r="208" spans="1:20" ht="13.5" customHeight="1">
      <c r="A208" s="653">
        <f>'Budget-合并'!A208</f>
        <v>0</v>
      </c>
      <c r="C208" s="673">
        <f>'Budget-合并'!C208</f>
        <v>0</v>
      </c>
    </row>
    <row r="209" spans="1:1" ht="13.5" customHeight="1">
      <c r="A209" s="653">
        <f>'Budget-合并'!A209</f>
        <v>0</v>
      </c>
    </row>
    <row r="210" spans="1:1" ht="13.5" customHeight="1">
      <c r="A210" s="653">
        <f>'Budget-合并'!A210</f>
        <v>0</v>
      </c>
    </row>
    <row r="211" spans="1:1" ht="13.5" customHeight="1">
      <c r="A211" s="653">
        <f>'Budget-合并'!A211</f>
        <v>0</v>
      </c>
    </row>
    <row r="212" spans="1:1" ht="13.5" customHeight="1">
      <c r="A212" s="653">
        <f>'Budget-合并'!A212</f>
        <v>0</v>
      </c>
    </row>
    <row r="213" spans="1:1" ht="13.5" customHeight="1">
      <c r="A213" s="653">
        <f>'Budget-合并'!A213</f>
        <v>0</v>
      </c>
    </row>
    <row r="214" spans="1:1" ht="13.5" customHeight="1">
      <c r="A214" s="653">
        <f>'Budget-合并'!A214</f>
        <v>0</v>
      </c>
    </row>
    <row r="215" spans="1:1" ht="13.5" customHeight="1">
      <c r="A215" s="653">
        <f>'Budget-合并'!A215</f>
        <v>0</v>
      </c>
    </row>
    <row r="216" spans="1:1" ht="13.5" customHeight="1">
      <c r="A216" s="653">
        <f>'Budget-合并'!A216</f>
        <v>0</v>
      </c>
    </row>
    <row r="217" spans="1:1" ht="13.5" customHeight="1">
      <c r="A217" s="653">
        <f>'Budget-合并'!A217</f>
        <v>0</v>
      </c>
    </row>
    <row r="218" spans="1:1" ht="13.5" customHeight="1">
      <c r="A218" s="653">
        <f>'Budget-合并'!A218</f>
        <v>0</v>
      </c>
    </row>
    <row r="219" spans="1:1" ht="13.5" customHeight="1">
      <c r="A219" s="653">
        <f>'Budget-合并'!A219</f>
        <v>0</v>
      </c>
    </row>
  </sheetData>
  <conditionalFormatting sqref="H5:T5">
    <cfRule type="cellIs" dxfId="102" priority="1" stopIfTrue="1" operator="equal">
      <formula>"Actual"</formula>
    </cfRule>
    <cfRule type="cellIs" dxfId="101" priority="2" stopIfTrue="1" operator="equal">
      <formula>"Forecast"</formula>
    </cfRule>
    <cfRule type="cellIs" dxfId="100" priority="3" stopIfTrue="1" operator="equal">
      <formula>"Budget"</formula>
    </cfRule>
  </conditionalFormatting>
  <dataValidations count="1">
    <dataValidation type="list" allowBlank="1" showInputMessage="1" showErrorMessage="1" sqref="H5:T5" xr:uid="{00000000-0002-0000-0F00-000000000000}">
      <formula1>"Actual,Forecast,Budget"</formula1>
    </dataValidation>
  </dataValidations>
  <printOptions horizontalCentered="1" headings="1" gridLines="1"/>
  <pageMargins left="0.39" right="0.35" top="0.59" bottom="0.59" header="0.31" footer="0.31"/>
  <pageSetup paperSize="8" scale="26" orientation="landscape" cellComments="asDisplayed" r:id="rId1"/>
  <headerFooter scaleWithDoc="0" alignWithMargins="0">
    <oddFooter>&amp;L&amp;"Arial,Regular"&amp;8&amp;Z
&amp;F  
&amp;A&amp;CPage &amp;P of &amp;N
&amp;R&amp;"Times New Roman,Regular"&amp;8&amp;D
&amp;T</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pageSetUpPr fitToPage="1"/>
  </sheetPr>
  <dimension ref="A1:T219"/>
  <sheetViews>
    <sheetView workbookViewId="0"/>
  </sheetViews>
  <sheetFormatPr defaultColWidth="8.75" defaultRowHeight="13.5" customHeight="1"/>
  <cols>
    <col min="1" max="1" width="12.375" style="652" customWidth="1"/>
    <col min="2" max="2" width="17.75" style="653" customWidth="1"/>
    <col min="3" max="3" width="15.875" style="652" customWidth="1"/>
    <col min="4" max="4" width="12.25" style="654" customWidth="1"/>
    <col min="5" max="5" width="2.625" style="654" customWidth="1"/>
    <col min="6" max="6" width="12.25" style="654" customWidth="1"/>
    <col min="7" max="7" width="2.625" style="654" customWidth="1"/>
    <col min="8" max="19" width="10.375" style="652" customWidth="1"/>
    <col min="20" max="20" width="8.5" style="652" customWidth="1"/>
    <col min="21" max="22" width="8.75" style="652" customWidth="1"/>
    <col min="23" max="16384" width="8.75" style="652"/>
  </cols>
  <sheetData>
    <row r="1" spans="1:20" s="647" customFormat="1" ht="16.5" customHeight="1">
      <c r="B1" s="655" t="s">
        <v>2482</v>
      </c>
      <c r="C1" s="656"/>
      <c r="D1" s="657" t="s">
        <v>2109</v>
      </c>
      <c r="E1" s="658"/>
      <c r="F1" s="658"/>
      <c r="G1" s="658"/>
    </row>
    <row r="2" spans="1:20" s="647" customFormat="1" ht="16.5" customHeight="1">
      <c r="B2" s="659"/>
      <c r="D2" s="658"/>
      <c r="E2" s="658"/>
      <c r="F2" s="658"/>
      <c r="G2" s="658"/>
    </row>
    <row r="3" spans="1:20" s="647" customFormat="1" ht="16.5" customHeight="1">
      <c r="B3" s="660" t="s">
        <v>2484</v>
      </c>
      <c r="C3" s="661"/>
      <c r="D3" s="658"/>
      <c r="E3" s="658"/>
      <c r="F3" s="658"/>
      <c r="G3" s="658"/>
    </row>
    <row r="4" spans="1:20" ht="16.5" customHeight="1">
      <c r="H4" s="662"/>
    </row>
    <row r="5" spans="1:20" ht="13.5" customHeight="1">
      <c r="B5" s="663"/>
      <c r="D5" s="664" t="s">
        <v>2497</v>
      </c>
      <c r="F5" s="664" t="s">
        <v>2500</v>
      </c>
      <c r="G5" s="665"/>
      <c r="H5" s="666" t="s">
        <v>2502</v>
      </c>
      <c r="I5" s="666" t="s">
        <v>2502</v>
      </c>
      <c r="J5" s="666" t="s">
        <v>2502</v>
      </c>
      <c r="K5" s="666" t="s">
        <v>2502</v>
      </c>
      <c r="L5" s="666" t="s">
        <v>2502</v>
      </c>
      <c r="M5" s="666" t="s">
        <v>2502</v>
      </c>
      <c r="N5" s="666" t="s">
        <v>2502</v>
      </c>
      <c r="O5" s="666" t="s">
        <v>2502</v>
      </c>
      <c r="P5" s="666" t="s">
        <v>2502</v>
      </c>
      <c r="Q5" s="666" t="s">
        <v>2502</v>
      </c>
      <c r="R5" s="666" t="s">
        <v>2502</v>
      </c>
      <c r="S5" s="666" t="s">
        <v>2502</v>
      </c>
      <c r="T5" s="666" t="s">
        <v>2502</v>
      </c>
    </row>
    <row r="6" spans="1:20" s="648" customFormat="1" ht="13.5" customHeight="1">
      <c r="A6" s="649" t="s">
        <v>2488</v>
      </c>
      <c r="B6" s="667"/>
      <c r="D6" s="668">
        <f>'Flash Report'!$C$2</f>
        <v>46023</v>
      </c>
      <c r="E6" s="654"/>
      <c r="F6" s="668">
        <f>D6</f>
        <v>46023</v>
      </c>
      <c r="G6" s="669"/>
      <c r="H6" s="670">
        <v>46023</v>
      </c>
      <c r="I6" s="670">
        <v>46054</v>
      </c>
      <c r="J6" s="670">
        <v>46082</v>
      </c>
      <c r="K6" s="670">
        <v>46113</v>
      </c>
      <c r="L6" s="670">
        <v>46143</v>
      </c>
      <c r="M6" s="670">
        <v>46174</v>
      </c>
      <c r="N6" s="670">
        <v>46204</v>
      </c>
      <c r="O6" s="670">
        <v>46235</v>
      </c>
      <c r="P6" s="670">
        <v>46266</v>
      </c>
      <c r="Q6" s="670">
        <v>46296</v>
      </c>
      <c r="R6" s="670">
        <v>46327</v>
      </c>
      <c r="S6" s="670">
        <v>46357</v>
      </c>
      <c r="T6" s="671" t="s">
        <v>2504</v>
      </c>
    </row>
    <row r="7" spans="1:20" s="649" customFormat="1" ht="13.5" customHeight="1">
      <c r="A7" s="653" t="str">
        <f>'Budget-合并'!A7</f>
        <v>6001</v>
      </c>
      <c r="B7" s="672" t="str">
        <f>'Budget-合并'!B7</f>
        <v>营业收入</v>
      </c>
      <c r="C7" s="673">
        <f>VLOOKUP(A7,Account!A:F,4,0)</f>
        <v>0</v>
      </c>
      <c r="D7" s="674"/>
      <c r="E7" s="674"/>
      <c r="F7" s="674"/>
      <c r="G7" s="674"/>
      <c r="H7" s="674"/>
      <c r="I7" s="674"/>
      <c r="J7" s="674"/>
      <c r="K7" s="674"/>
      <c r="L7" s="674"/>
      <c r="M7" s="674"/>
      <c r="N7" s="674"/>
      <c r="O7" s="674"/>
      <c r="P7" s="674"/>
      <c r="Q7" s="674"/>
      <c r="R7" s="674"/>
      <c r="S7" s="674"/>
      <c r="T7" s="674"/>
    </row>
    <row r="8" spans="1:20" ht="13.5" customHeight="1">
      <c r="A8" s="653" t="str">
        <f>'Budget-合并'!A8</f>
        <v>6001.01</v>
      </c>
      <c r="B8" s="675" t="str">
        <f>'Budget-合并'!B8</f>
        <v>基金管理费收入</v>
      </c>
      <c r="C8" s="673" t="str">
        <f>'Budget-合并'!C8</f>
        <v>Fund Management Fee</v>
      </c>
      <c r="D8" s="676">
        <f t="shared" ref="D8:D12" si="0">INDEX($H$8:$S$8,1,MATCH($D$6,$H$6:$S$6))</f>
        <v>0</v>
      </c>
      <c r="F8" s="676">
        <f t="shared" ref="F8:F12" ca="1" si="1">SUM($H8:OFFSET($H8,0,MATCH(F$6,$H$6:$S$6)-1))</f>
        <v>0</v>
      </c>
      <c r="H8" s="676"/>
      <c r="I8" s="676"/>
      <c r="J8" s="676"/>
      <c r="K8" s="676"/>
      <c r="L8" s="676"/>
      <c r="M8" s="676"/>
      <c r="N8" s="676"/>
      <c r="O8" s="676"/>
      <c r="P8" s="676"/>
      <c r="Q8" s="676"/>
      <c r="R8" s="676"/>
      <c r="S8" s="676"/>
      <c r="T8" s="676">
        <f t="shared" ref="T8:T11" si="2">SUM(H8:S8)</f>
        <v>0</v>
      </c>
    </row>
    <row r="9" spans="1:20" ht="13.5" customHeight="1">
      <c r="A9" s="653" t="str">
        <f>'Budget-合并'!A9</f>
        <v>6001.02</v>
      </c>
      <c r="B9" s="675" t="str">
        <f>'Budget-合并'!B9</f>
        <v>咨询服务费收入</v>
      </c>
      <c r="C9" s="673" t="str">
        <f>'Budget-合并'!C9</f>
        <v>Advisory Fee Income</v>
      </c>
      <c r="D9" s="676">
        <f t="shared" si="0"/>
        <v>0</v>
      </c>
      <c r="F9" s="676">
        <f t="shared" ca="1" si="1"/>
        <v>0</v>
      </c>
      <c r="H9" s="676">
        <f t="shared" ref="H9:S9" si="3">SUM(H10:H11)</f>
        <v>0</v>
      </c>
      <c r="I9" s="676">
        <f t="shared" si="3"/>
        <v>0</v>
      </c>
      <c r="J9" s="676">
        <f t="shared" si="3"/>
        <v>0</v>
      </c>
      <c r="K9" s="676">
        <f t="shared" si="3"/>
        <v>0</v>
      </c>
      <c r="L9" s="676">
        <f t="shared" si="3"/>
        <v>0</v>
      </c>
      <c r="M9" s="676">
        <f t="shared" si="3"/>
        <v>0</v>
      </c>
      <c r="N9" s="676">
        <f t="shared" si="3"/>
        <v>0</v>
      </c>
      <c r="O9" s="676">
        <f t="shared" si="3"/>
        <v>0</v>
      </c>
      <c r="P9" s="676">
        <f t="shared" si="3"/>
        <v>0</v>
      </c>
      <c r="Q9" s="676">
        <f t="shared" si="3"/>
        <v>0</v>
      </c>
      <c r="R9" s="676">
        <f t="shared" si="3"/>
        <v>0</v>
      </c>
      <c r="S9" s="676">
        <f t="shared" si="3"/>
        <v>0</v>
      </c>
      <c r="T9" s="676">
        <f t="shared" si="2"/>
        <v>0</v>
      </c>
    </row>
    <row r="10" spans="1:20" ht="13.5" customHeight="1">
      <c r="A10" s="653">
        <f>'Budget-合并'!A10</f>
        <v>0</v>
      </c>
      <c r="B10" s="675" t="str">
        <f>'Budget-合并'!B10</f>
        <v xml:space="preserve">   辉飏咨询服务费</v>
      </c>
      <c r="C10" s="673" t="str">
        <f>'Budget-合并'!C10</f>
        <v xml:space="preserve">  HYNE</v>
      </c>
      <c r="D10" s="676">
        <f t="shared" si="0"/>
        <v>0</v>
      </c>
      <c r="F10" s="676">
        <f t="shared" ca="1" si="1"/>
        <v>0</v>
      </c>
      <c r="H10" s="676"/>
      <c r="I10" s="676"/>
      <c r="J10" s="676"/>
      <c r="K10" s="676"/>
      <c r="L10" s="676"/>
      <c r="M10" s="676"/>
      <c r="N10" s="676"/>
      <c r="O10" s="676"/>
      <c r="P10" s="676"/>
      <c r="Q10" s="676"/>
      <c r="R10" s="676"/>
      <c r="S10" s="676"/>
      <c r="T10" s="676">
        <f t="shared" si="2"/>
        <v>0</v>
      </c>
    </row>
    <row r="11" spans="1:20" ht="13.5" customHeight="1">
      <c r="A11" s="653">
        <f>'Budget-合并'!A11</f>
        <v>0</v>
      </c>
      <c r="B11" s="675" t="str">
        <f>'Budget-合并'!B11</f>
        <v xml:space="preserve">      MAA咨询管理费</v>
      </c>
      <c r="C11" s="673" t="str">
        <f>'Budget-合并'!C11</f>
        <v xml:space="preserve">  MAA</v>
      </c>
      <c r="D11" s="676">
        <f t="shared" si="0"/>
        <v>0</v>
      </c>
      <c r="F11" s="676">
        <f t="shared" ca="1" si="1"/>
        <v>0</v>
      </c>
      <c r="H11" s="676"/>
      <c r="I11" s="676"/>
      <c r="J11" s="676"/>
      <c r="K11" s="676"/>
      <c r="L11" s="676"/>
      <c r="M11" s="676"/>
      <c r="N11" s="676"/>
      <c r="O11" s="676"/>
      <c r="P11" s="676"/>
      <c r="Q11" s="676"/>
      <c r="R11" s="676"/>
      <c r="S11" s="676"/>
      <c r="T11" s="676">
        <f t="shared" si="2"/>
        <v>0</v>
      </c>
    </row>
    <row r="12" spans="1:20" s="650" customFormat="1" ht="13.5" customHeight="1">
      <c r="A12" s="653">
        <f>'Budget-合并'!A12</f>
        <v>0</v>
      </c>
      <c r="B12" s="672" t="str">
        <f>'Budget-合并'!B12</f>
        <v>营业收入合计</v>
      </c>
      <c r="C12" s="673">
        <f>'Budget-合并'!C12</f>
        <v>0</v>
      </c>
      <c r="D12" s="654">
        <f t="shared" si="0"/>
        <v>0</v>
      </c>
      <c r="E12" s="654"/>
      <c r="F12" s="654">
        <f t="shared" ca="1" si="1"/>
        <v>0</v>
      </c>
      <c r="G12" s="654"/>
      <c r="H12" s="654">
        <f t="shared" ref="H12:T12" si="4">SUM(H8,H9)</f>
        <v>0</v>
      </c>
      <c r="I12" s="654">
        <f t="shared" si="4"/>
        <v>0</v>
      </c>
      <c r="J12" s="654">
        <f t="shared" si="4"/>
        <v>0</v>
      </c>
      <c r="K12" s="654">
        <f t="shared" si="4"/>
        <v>0</v>
      </c>
      <c r="L12" s="654">
        <f t="shared" si="4"/>
        <v>0</v>
      </c>
      <c r="M12" s="654">
        <f t="shared" si="4"/>
        <v>0</v>
      </c>
      <c r="N12" s="654">
        <f t="shared" si="4"/>
        <v>0</v>
      </c>
      <c r="O12" s="654">
        <f t="shared" si="4"/>
        <v>0</v>
      </c>
      <c r="P12" s="654">
        <f t="shared" si="4"/>
        <v>0</v>
      </c>
      <c r="Q12" s="654">
        <f t="shared" si="4"/>
        <v>0</v>
      </c>
      <c r="R12" s="654">
        <f t="shared" si="4"/>
        <v>0</v>
      </c>
      <c r="S12" s="654">
        <f t="shared" si="4"/>
        <v>0</v>
      </c>
      <c r="T12" s="654">
        <f t="shared" si="4"/>
        <v>0</v>
      </c>
    </row>
    <row r="13" spans="1:20" ht="13.5" customHeight="1">
      <c r="A13" s="653">
        <f>'Budget-合并'!A13</f>
        <v>0</v>
      </c>
      <c r="B13" s="653">
        <f>'Budget-合并'!B13</f>
        <v>0</v>
      </c>
      <c r="C13" s="673">
        <f>'Budget-合并'!C13</f>
        <v>0</v>
      </c>
      <c r="H13" s="654"/>
      <c r="I13" s="654"/>
      <c r="J13" s="654"/>
      <c r="K13" s="654"/>
      <c r="L13" s="654"/>
      <c r="M13" s="654"/>
      <c r="N13" s="654"/>
      <c r="O13" s="654"/>
      <c r="P13" s="654"/>
      <c r="Q13" s="654"/>
      <c r="R13" s="654"/>
      <c r="S13" s="654"/>
      <c r="T13" s="654"/>
    </row>
    <row r="14" spans="1:20" ht="13.5" customHeight="1">
      <c r="A14" s="653" t="str">
        <f>'Budget-合并'!A14</f>
        <v>6405.01</v>
      </c>
      <c r="B14" s="653" t="str">
        <f>'Budget-合并'!B14</f>
        <v>印花税</v>
      </c>
      <c r="C14" s="673" t="str">
        <f>'Budget-合并'!C14</f>
        <v>Stamp Duty</v>
      </c>
      <c r="D14" s="676">
        <f t="shared" ref="D14:D19" si="5">INDEX($H$8:$S$8,1,MATCH($D$6,$H$6:$S$6))</f>
        <v>0</v>
      </c>
      <c r="F14" s="676">
        <f t="shared" ref="F14:F19" ca="1" si="6">SUM($H14:OFFSET($H14,0,MATCH(F$6,$H$6:$S$6)-1))</f>
        <v>0</v>
      </c>
      <c r="H14" s="676"/>
      <c r="I14" s="676"/>
      <c r="J14" s="676"/>
      <c r="K14" s="676"/>
      <c r="L14" s="676"/>
      <c r="M14" s="676"/>
      <c r="N14" s="676"/>
      <c r="O14" s="676"/>
      <c r="P14" s="676"/>
      <c r="Q14" s="676"/>
      <c r="R14" s="676"/>
      <c r="S14" s="676"/>
      <c r="T14" s="676">
        <f t="shared" ref="T14:T18" si="7">SUM(H14:S14)</f>
        <v>0</v>
      </c>
    </row>
    <row r="15" spans="1:20" ht="13.5" customHeight="1">
      <c r="A15" s="653" t="str">
        <f>'Budget-合并'!A15</f>
        <v>6405.02</v>
      </c>
      <c r="B15" s="653" t="str">
        <f>'Budget-合并'!B15</f>
        <v>城市维护建设税</v>
      </c>
      <c r="C15" s="673" t="str">
        <f>'Budget-合并'!C15</f>
        <v>VAT surcharge</v>
      </c>
      <c r="D15" s="676">
        <f t="shared" si="5"/>
        <v>0</v>
      </c>
      <c r="F15" s="676">
        <f t="shared" ca="1" si="6"/>
        <v>0</v>
      </c>
      <c r="H15" s="676"/>
      <c r="I15" s="676"/>
      <c r="J15" s="676"/>
      <c r="K15" s="676"/>
      <c r="L15" s="676"/>
      <c r="M15" s="676"/>
      <c r="N15" s="676"/>
      <c r="O15" s="676"/>
      <c r="P15" s="676"/>
      <c r="Q15" s="676"/>
      <c r="R15" s="676"/>
      <c r="S15" s="676"/>
      <c r="T15" s="676">
        <f t="shared" si="7"/>
        <v>0</v>
      </c>
    </row>
    <row r="16" spans="1:20" ht="13.5" customHeight="1">
      <c r="A16" s="653" t="str">
        <f>'Budget-合并'!A16</f>
        <v>6405.03</v>
      </c>
      <c r="B16" s="653" t="str">
        <f>'Budget-合并'!B16</f>
        <v>教育费附加</v>
      </c>
      <c r="C16" s="673" t="str">
        <f>'Budget-合并'!C16</f>
        <v>VAT surcharge</v>
      </c>
      <c r="D16" s="676">
        <f t="shared" si="5"/>
        <v>0</v>
      </c>
      <c r="F16" s="676">
        <f t="shared" ca="1" si="6"/>
        <v>0</v>
      </c>
      <c r="H16" s="676"/>
      <c r="I16" s="676"/>
      <c r="J16" s="676"/>
      <c r="K16" s="676"/>
      <c r="L16" s="676"/>
      <c r="M16" s="676"/>
      <c r="N16" s="676"/>
      <c r="O16" s="676"/>
      <c r="P16" s="676"/>
      <c r="Q16" s="676"/>
      <c r="R16" s="676"/>
      <c r="S16" s="676"/>
      <c r="T16" s="676">
        <f t="shared" si="7"/>
        <v>0</v>
      </c>
    </row>
    <row r="17" spans="1:20" ht="13.5" customHeight="1">
      <c r="A17" s="653" t="str">
        <f>'Budget-合并'!A17</f>
        <v>6405.04</v>
      </c>
      <c r="B17" s="653" t="str">
        <f>'Budget-合并'!B17</f>
        <v>地方教育附加</v>
      </c>
      <c r="C17" s="673" t="str">
        <f>'Budget-合并'!C17</f>
        <v>VAT surcharge</v>
      </c>
      <c r="D17" s="676">
        <f t="shared" si="5"/>
        <v>0</v>
      </c>
      <c r="F17" s="676">
        <f t="shared" ca="1" si="6"/>
        <v>0</v>
      </c>
      <c r="H17" s="676"/>
      <c r="I17" s="676"/>
      <c r="J17" s="676"/>
      <c r="K17" s="676"/>
      <c r="L17" s="676"/>
      <c r="M17" s="676"/>
      <c r="N17" s="676"/>
      <c r="O17" s="676"/>
      <c r="P17" s="676"/>
      <c r="Q17" s="676"/>
      <c r="R17" s="676"/>
      <c r="S17" s="676"/>
      <c r="T17" s="676">
        <f t="shared" si="7"/>
        <v>0</v>
      </c>
    </row>
    <row r="18" spans="1:20" ht="13.5" customHeight="1">
      <c r="A18" s="653" t="str">
        <f>'Budget-合并'!A18</f>
        <v>6405.05</v>
      </c>
      <c r="B18" s="653" t="str">
        <f>'Budget-合并'!B18</f>
        <v>水利建设基金</v>
      </c>
      <c r="C18" s="673">
        <f>'Budget-合并'!C18</f>
        <v>0</v>
      </c>
      <c r="D18" s="676">
        <f t="shared" si="5"/>
        <v>0</v>
      </c>
      <c r="F18" s="676">
        <f t="shared" ca="1" si="6"/>
        <v>0</v>
      </c>
      <c r="H18" s="676"/>
      <c r="I18" s="676"/>
      <c r="J18" s="676"/>
      <c r="K18" s="676"/>
      <c r="L18" s="676"/>
      <c r="M18" s="676"/>
      <c r="N18" s="676"/>
      <c r="O18" s="676"/>
      <c r="P18" s="676"/>
      <c r="Q18" s="676"/>
      <c r="R18" s="676"/>
      <c r="S18" s="676"/>
      <c r="T18" s="676">
        <f t="shared" si="7"/>
        <v>0</v>
      </c>
    </row>
    <row r="19" spans="1:20" s="650" customFormat="1" ht="13.5" customHeight="1">
      <c r="A19" s="672">
        <f>'Budget-合并'!A19</f>
        <v>6401</v>
      </c>
      <c r="B19" s="672" t="str">
        <f>'Budget-合并'!B19</f>
        <v>税金及附加小计</v>
      </c>
      <c r="C19" s="673">
        <f>'Budget-合并'!C19</f>
        <v>0</v>
      </c>
      <c r="D19" s="654">
        <f t="shared" si="5"/>
        <v>0</v>
      </c>
      <c r="E19" s="654"/>
      <c r="F19" s="654">
        <f t="shared" ca="1" si="6"/>
        <v>0</v>
      </c>
      <c r="G19" s="654"/>
      <c r="H19" s="654">
        <f t="shared" ref="H19:T19" si="8">SUM(H14:H18)</f>
        <v>0</v>
      </c>
      <c r="I19" s="654">
        <f t="shared" si="8"/>
        <v>0</v>
      </c>
      <c r="J19" s="654">
        <f t="shared" si="8"/>
        <v>0</v>
      </c>
      <c r="K19" s="654">
        <f t="shared" si="8"/>
        <v>0</v>
      </c>
      <c r="L19" s="654">
        <f t="shared" si="8"/>
        <v>0</v>
      </c>
      <c r="M19" s="654">
        <f t="shared" si="8"/>
        <v>0</v>
      </c>
      <c r="N19" s="654">
        <f t="shared" si="8"/>
        <v>0</v>
      </c>
      <c r="O19" s="654">
        <f t="shared" si="8"/>
        <v>0</v>
      </c>
      <c r="P19" s="654">
        <f t="shared" si="8"/>
        <v>0</v>
      </c>
      <c r="Q19" s="654">
        <f t="shared" si="8"/>
        <v>0</v>
      </c>
      <c r="R19" s="654">
        <f t="shared" si="8"/>
        <v>0</v>
      </c>
      <c r="S19" s="654">
        <f t="shared" si="8"/>
        <v>0</v>
      </c>
      <c r="T19" s="654">
        <f t="shared" si="8"/>
        <v>0</v>
      </c>
    </row>
    <row r="20" spans="1:20" ht="13.5" customHeight="1">
      <c r="A20" s="653">
        <f>'Budget-合并'!A20</f>
        <v>0</v>
      </c>
      <c r="B20" s="653">
        <f>'Budget-合并'!B20</f>
        <v>0</v>
      </c>
      <c r="C20" s="673">
        <f>'Budget-合并'!C20</f>
        <v>0</v>
      </c>
      <c r="H20" s="654"/>
      <c r="I20" s="654"/>
      <c r="J20" s="654"/>
      <c r="K20" s="654"/>
      <c r="L20" s="654"/>
      <c r="M20" s="654"/>
      <c r="N20" s="654"/>
      <c r="O20" s="654"/>
      <c r="P20" s="654"/>
      <c r="Q20" s="654"/>
      <c r="R20" s="654"/>
      <c r="S20" s="654"/>
      <c r="T20" s="654"/>
    </row>
    <row r="21" spans="1:20" ht="13.5" customHeight="1">
      <c r="A21" s="653">
        <f>'Budget-合并'!A21</f>
        <v>0</v>
      </c>
      <c r="B21" s="653">
        <f>'Budget-合并'!B21</f>
        <v>0</v>
      </c>
      <c r="C21" s="673">
        <f>'Budget-合并'!C21</f>
        <v>0</v>
      </c>
      <c r="D21" s="677"/>
      <c r="F21" s="677"/>
      <c r="H21" s="677"/>
      <c r="I21" s="677"/>
      <c r="J21" s="677"/>
      <c r="K21" s="677"/>
      <c r="L21" s="677"/>
      <c r="M21" s="677"/>
      <c r="N21" s="677"/>
      <c r="O21" s="677"/>
      <c r="P21" s="677"/>
      <c r="Q21" s="677"/>
      <c r="R21" s="677"/>
      <c r="S21" s="677"/>
      <c r="T21" s="677"/>
    </row>
    <row r="22" spans="1:20" ht="13.5" customHeight="1">
      <c r="A22" s="672" t="str">
        <f>'Budget-合并'!A22</f>
        <v>6602</v>
      </c>
      <c r="B22" s="672" t="str">
        <f>'Budget-合并'!B22</f>
        <v>管理费用</v>
      </c>
      <c r="C22" s="673">
        <f>'Budget-合并'!C22</f>
        <v>0</v>
      </c>
      <c r="D22" s="677"/>
      <c r="F22" s="677"/>
      <c r="H22" s="677"/>
      <c r="I22" s="677"/>
      <c r="J22" s="677"/>
      <c r="K22" s="677"/>
      <c r="L22" s="677"/>
      <c r="M22" s="677"/>
      <c r="N22" s="677"/>
      <c r="O22" s="677"/>
      <c r="P22" s="677"/>
      <c r="Q22" s="677"/>
      <c r="R22" s="677"/>
      <c r="S22" s="677"/>
      <c r="T22" s="677"/>
    </row>
    <row r="23" spans="1:20" ht="13.5" customHeight="1">
      <c r="A23" s="663" t="str">
        <f>'Budget-合并'!A23</f>
        <v>6602.01</v>
      </c>
      <c r="B23" s="678" t="str">
        <f>'Budget-合并'!B23</f>
        <v>工资薪金</v>
      </c>
      <c r="C23" s="673">
        <f>'Budget-合并'!C23</f>
        <v>0</v>
      </c>
      <c r="D23" s="676">
        <f t="shared" ref="D23:D42" si="9">INDEX($H$8:$S$8,1,MATCH($D$6,$H$6:$S$6))</f>
        <v>0</v>
      </c>
      <c r="F23" s="676">
        <f t="shared" ref="F23:F42" ca="1" si="10">SUM($H23:OFFSET($H23,0,MATCH(F$6,$H$6:$S$6)-1))</f>
        <v>0</v>
      </c>
      <c r="H23" s="676">
        <f t="shared" ref="H23:S23" si="11">SUM(H24:H32)</f>
        <v>0</v>
      </c>
      <c r="I23" s="676">
        <f t="shared" si="11"/>
        <v>0</v>
      </c>
      <c r="J23" s="676">
        <f t="shared" si="11"/>
        <v>0</v>
      </c>
      <c r="K23" s="676">
        <f t="shared" si="11"/>
        <v>0</v>
      </c>
      <c r="L23" s="676">
        <f t="shared" si="11"/>
        <v>0</v>
      </c>
      <c r="M23" s="676">
        <f t="shared" si="11"/>
        <v>0</v>
      </c>
      <c r="N23" s="676">
        <f t="shared" si="11"/>
        <v>0</v>
      </c>
      <c r="O23" s="676">
        <f t="shared" si="11"/>
        <v>0</v>
      </c>
      <c r="P23" s="676">
        <f t="shared" si="11"/>
        <v>0</v>
      </c>
      <c r="Q23" s="676">
        <f t="shared" si="11"/>
        <v>0</v>
      </c>
      <c r="R23" s="676">
        <f t="shared" si="11"/>
        <v>0</v>
      </c>
      <c r="S23" s="676">
        <f t="shared" si="11"/>
        <v>0</v>
      </c>
      <c r="T23" s="676">
        <f t="shared" ref="T23:T86" si="12">SUM(H23:S23)</f>
        <v>0</v>
      </c>
    </row>
    <row r="24" spans="1:20" ht="13.5" customHeight="1">
      <c r="A24" s="653" t="str">
        <f>'Budget-合并'!A24</f>
        <v>6602.01.01</v>
      </c>
      <c r="B24" s="653" t="str">
        <f>'Budget-合并'!B24</f>
        <v>基本工资（专业）</v>
      </c>
      <c r="C24" s="673" t="str">
        <f>'Budget-合并'!C24</f>
        <v>Salary Professional</v>
      </c>
      <c r="D24" s="676">
        <f t="shared" si="9"/>
        <v>0</v>
      </c>
      <c r="F24" s="676">
        <f t="shared" ca="1" si="10"/>
        <v>0</v>
      </c>
      <c r="H24" s="676"/>
      <c r="I24" s="676"/>
      <c r="J24" s="676"/>
      <c r="K24" s="676"/>
      <c r="L24" s="676"/>
      <c r="M24" s="676"/>
      <c r="N24" s="676"/>
      <c r="O24" s="676"/>
      <c r="P24" s="676"/>
      <c r="Q24" s="676"/>
      <c r="R24" s="676"/>
      <c r="S24" s="676"/>
      <c r="T24" s="676">
        <f t="shared" si="12"/>
        <v>0</v>
      </c>
    </row>
    <row r="25" spans="1:20" ht="13.5" customHeight="1">
      <c r="A25" s="653" t="str">
        <f>'Budget-合并'!A25</f>
        <v>6602.01.02</v>
      </c>
      <c r="B25" s="653" t="str">
        <f>'Budget-合并'!B25</f>
        <v>加班费</v>
      </c>
      <c r="C25" s="673">
        <f>'Budget-合并'!C25</f>
        <v>0</v>
      </c>
      <c r="D25" s="676">
        <f t="shared" si="9"/>
        <v>0</v>
      </c>
      <c r="F25" s="676">
        <f t="shared" ca="1" si="10"/>
        <v>0</v>
      </c>
      <c r="H25" s="676"/>
      <c r="I25" s="676"/>
      <c r="J25" s="676"/>
      <c r="K25" s="676"/>
      <c r="L25" s="676"/>
      <c r="M25" s="676"/>
      <c r="N25" s="676"/>
      <c r="O25" s="676"/>
      <c r="P25" s="676"/>
      <c r="Q25" s="676"/>
      <c r="R25" s="676"/>
      <c r="S25" s="676"/>
      <c r="T25" s="676">
        <f t="shared" si="12"/>
        <v>0</v>
      </c>
    </row>
    <row r="26" spans="1:20" ht="13.5" customHeight="1">
      <c r="A26" s="653" t="str">
        <f>'Budget-合并'!A26</f>
        <v>6602.01.03</v>
      </c>
      <c r="B26" s="653" t="str">
        <f>'Budget-合并'!B26</f>
        <v>员工奖金（专业）</v>
      </c>
      <c r="C26" s="673" t="str">
        <f>'Budget-合并'!C26</f>
        <v>Bonus Expense - Professional</v>
      </c>
      <c r="D26" s="676">
        <f t="shared" si="9"/>
        <v>0</v>
      </c>
      <c r="F26" s="676">
        <f t="shared" ca="1" si="10"/>
        <v>0</v>
      </c>
      <c r="H26" s="676"/>
      <c r="I26" s="676"/>
      <c r="J26" s="676"/>
      <c r="K26" s="676"/>
      <c r="L26" s="676"/>
      <c r="M26" s="676"/>
      <c r="N26" s="676"/>
      <c r="O26" s="676"/>
      <c r="P26" s="676"/>
      <c r="Q26" s="676"/>
      <c r="R26" s="676"/>
      <c r="S26" s="676"/>
      <c r="T26" s="676">
        <f t="shared" si="12"/>
        <v>0</v>
      </c>
    </row>
    <row r="27" spans="1:20" ht="13.5" customHeight="1">
      <c r="A27" s="653" t="str">
        <f>'Budget-合并'!A27</f>
        <v>6602.01.04</v>
      </c>
      <c r="B27" s="653" t="str">
        <f>'Budget-合并'!B27</f>
        <v>员工遣散费</v>
      </c>
      <c r="C27" s="673">
        <f>'Budget-合并'!C27</f>
        <v>0</v>
      </c>
      <c r="D27" s="676">
        <f t="shared" si="9"/>
        <v>0</v>
      </c>
      <c r="F27" s="676">
        <f t="shared" ca="1" si="10"/>
        <v>0</v>
      </c>
      <c r="H27" s="676"/>
      <c r="I27" s="676"/>
      <c r="J27" s="676"/>
      <c r="K27" s="676"/>
      <c r="L27" s="676"/>
      <c r="M27" s="676"/>
      <c r="N27" s="676"/>
      <c r="O27" s="676"/>
      <c r="P27" s="676"/>
      <c r="Q27" s="676"/>
      <c r="R27" s="676"/>
      <c r="S27" s="676"/>
      <c r="T27" s="676">
        <f t="shared" si="12"/>
        <v>0</v>
      </c>
    </row>
    <row r="28" spans="1:20" ht="13.5" customHeight="1">
      <c r="A28" s="653" t="str">
        <f>'Budget-合并'!A28</f>
        <v>6602.01.05</v>
      </c>
      <c r="B28" s="653" t="str">
        <f>'Budget-合并'!B28</f>
        <v>员工假期</v>
      </c>
      <c r="C28" s="673" t="str">
        <f>'Budget-合并'!C28</f>
        <v>Unused Leave Expense</v>
      </c>
      <c r="D28" s="676">
        <f t="shared" si="9"/>
        <v>0</v>
      </c>
      <c r="F28" s="676">
        <f t="shared" ca="1" si="10"/>
        <v>0</v>
      </c>
      <c r="H28" s="676"/>
      <c r="I28" s="676"/>
      <c r="J28" s="676"/>
      <c r="K28" s="676"/>
      <c r="L28" s="676"/>
      <c r="M28" s="676"/>
      <c r="N28" s="676"/>
      <c r="O28" s="676"/>
      <c r="P28" s="676"/>
      <c r="Q28" s="676"/>
      <c r="R28" s="676"/>
      <c r="S28" s="676"/>
      <c r="T28" s="676">
        <f t="shared" si="12"/>
        <v>0</v>
      </c>
    </row>
    <row r="29" spans="1:20" ht="13.5" customHeight="1">
      <c r="A29" s="653" t="str">
        <f>'Budget-合并'!A29</f>
        <v>6602.01.06</v>
      </c>
      <c r="B29" s="653" t="str">
        <f>'Budget-合并'!B29</f>
        <v>劳务报酬</v>
      </c>
      <c r="C29" s="673">
        <f>'Budget-合并'!C29</f>
        <v>0</v>
      </c>
      <c r="D29" s="676">
        <f t="shared" si="9"/>
        <v>0</v>
      </c>
      <c r="F29" s="676">
        <f t="shared" ca="1" si="10"/>
        <v>0</v>
      </c>
      <c r="H29" s="676"/>
      <c r="I29" s="676"/>
      <c r="J29" s="676"/>
      <c r="K29" s="676"/>
      <c r="L29" s="676"/>
      <c r="M29" s="676"/>
      <c r="N29" s="676"/>
      <c r="O29" s="676"/>
      <c r="P29" s="676"/>
      <c r="Q29" s="676"/>
      <c r="R29" s="676"/>
      <c r="S29" s="676"/>
      <c r="T29" s="676">
        <f t="shared" si="12"/>
        <v>0</v>
      </c>
    </row>
    <row r="30" spans="1:20" ht="13.5" customHeight="1">
      <c r="A30" s="653" t="str">
        <f>'Budget-合并'!A30</f>
        <v>6602.01.07</v>
      </c>
      <c r="B30" s="653" t="str">
        <f>'Budget-合并'!B30</f>
        <v>集团内分摊</v>
      </c>
      <c r="C30" s="673" t="str">
        <f>'Budget-合并'!C30</f>
        <v>Mantime X Charge</v>
      </c>
      <c r="D30" s="676">
        <f t="shared" si="9"/>
        <v>0</v>
      </c>
      <c r="F30" s="676">
        <f t="shared" ca="1" si="10"/>
        <v>0</v>
      </c>
      <c r="H30" s="676"/>
      <c r="I30" s="676"/>
      <c r="J30" s="676"/>
      <c r="K30" s="676"/>
      <c r="L30" s="676"/>
      <c r="M30" s="676"/>
      <c r="N30" s="676"/>
      <c r="O30" s="676"/>
      <c r="P30" s="676"/>
      <c r="Q30" s="676"/>
      <c r="R30" s="676"/>
      <c r="S30" s="676"/>
      <c r="T30" s="676">
        <f t="shared" si="12"/>
        <v>0</v>
      </c>
    </row>
    <row r="31" spans="1:20" ht="13.5" customHeight="1">
      <c r="A31" s="653" t="str">
        <f>'Budget-合并'!A31</f>
        <v>6602.01.08</v>
      </c>
      <c r="B31" s="653" t="str">
        <f>'Budget-合并'!B31</f>
        <v>基本工资（管理）</v>
      </c>
      <c r="C31" s="673" t="str">
        <f>'Budget-合并'!C31</f>
        <v>Salary Management</v>
      </c>
      <c r="D31" s="676">
        <f t="shared" si="9"/>
        <v>0</v>
      </c>
      <c r="F31" s="676">
        <f t="shared" ca="1" si="10"/>
        <v>0</v>
      </c>
      <c r="H31" s="676"/>
      <c r="I31" s="676"/>
      <c r="J31" s="676"/>
      <c r="K31" s="676"/>
      <c r="L31" s="676"/>
      <c r="M31" s="676"/>
      <c r="N31" s="676"/>
      <c r="O31" s="676"/>
      <c r="P31" s="676"/>
      <c r="Q31" s="676"/>
      <c r="R31" s="676"/>
      <c r="S31" s="676"/>
      <c r="T31" s="676">
        <f t="shared" si="12"/>
        <v>0</v>
      </c>
    </row>
    <row r="32" spans="1:20" ht="13.5" customHeight="1">
      <c r="A32" s="653" t="str">
        <f>'Budget-合并'!A32</f>
        <v>6602.01.09</v>
      </c>
      <c r="B32" s="653" t="str">
        <f>'Budget-合并'!B32</f>
        <v>员工奖金（管理）</v>
      </c>
      <c r="C32" s="673" t="str">
        <f>'Budget-合并'!C32</f>
        <v>Bonus Expense - Management</v>
      </c>
      <c r="D32" s="676">
        <f t="shared" si="9"/>
        <v>0</v>
      </c>
      <c r="F32" s="676">
        <f t="shared" ca="1" si="10"/>
        <v>0</v>
      </c>
      <c r="H32" s="676"/>
      <c r="I32" s="676"/>
      <c r="J32" s="676"/>
      <c r="K32" s="676"/>
      <c r="L32" s="676"/>
      <c r="M32" s="676"/>
      <c r="N32" s="676"/>
      <c r="O32" s="676"/>
      <c r="P32" s="676"/>
      <c r="Q32" s="676"/>
      <c r="R32" s="676"/>
      <c r="S32" s="676"/>
      <c r="T32" s="676">
        <f t="shared" si="12"/>
        <v>0</v>
      </c>
    </row>
    <row r="33" spans="1:20" ht="13.5" customHeight="1">
      <c r="A33" s="663" t="str">
        <f>'Budget-合并'!A33</f>
        <v>6602.02</v>
      </c>
      <c r="B33" s="678" t="str">
        <f>'Budget-合并'!B33</f>
        <v>职工福利</v>
      </c>
      <c r="C33" s="673">
        <f>'Budget-合并'!C33</f>
        <v>0</v>
      </c>
      <c r="D33" s="676">
        <f t="shared" si="9"/>
        <v>0</v>
      </c>
      <c r="F33" s="676">
        <f t="shared" ca="1" si="10"/>
        <v>0</v>
      </c>
      <c r="H33" s="679">
        <f t="shared" ref="H33:S33" si="13">SUM(H34:H37)</f>
        <v>0</v>
      </c>
      <c r="I33" s="679">
        <f t="shared" si="13"/>
        <v>0</v>
      </c>
      <c r="J33" s="679">
        <f t="shared" si="13"/>
        <v>0</v>
      </c>
      <c r="K33" s="679">
        <f t="shared" si="13"/>
        <v>0</v>
      </c>
      <c r="L33" s="679">
        <f t="shared" si="13"/>
        <v>0</v>
      </c>
      <c r="M33" s="679">
        <f t="shared" si="13"/>
        <v>0</v>
      </c>
      <c r="N33" s="679">
        <f t="shared" si="13"/>
        <v>0</v>
      </c>
      <c r="O33" s="679">
        <f t="shared" si="13"/>
        <v>0</v>
      </c>
      <c r="P33" s="679">
        <f t="shared" si="13"/>
        <v>0</v>
      </c>
      <c r="Q33" s="679">
        <f t="shared" si="13"/>
        <v>0</v>
      </c>
      <c r="R33" s="679">
        <f t="shared" si="13"/>
        <v>0</v>
      </c>
      <c r="S33" s="679">
        <f t="shared" si="13"/>
        <v>0</v>
      </c>
      <c r="T33" s="676">
        <f t="shared" si="12"/>
        <v>0</v>
      </c>
    </row>
    <row r="34" spans="1:20" ht="13.5" customHeight="1">
      <c r="A34" s="653" t="str">
        <f>'Budget-合并'!A34</f>
        <v>6602.02.01</v>
      </c>
      <c r="B34" s="653" t="str">
        <f>'Budget-合并'!B34</f>
        <v>员工福利</v>
      </c>
      <c r="C34" s="673" t="str">
        <f>'Budget-合并'!C34</f>
        <v>Fringe Other</v>
      </c>
      <c r="D34" s="676">
        <f t="shared" si="9"/>
        <v>0</v>
      </c>
      <c r="F34" s="676">
        <f t="shared" ca="1" si="10"/>
        <v>0</v>
      </c>
      <c r="H34" s="676"/>
      <c r="I34" s="676"/>
      <c r="J34" s="676"/>
      <c r="K34" s="676"/>
      <c r="L34" s="676"/>
      <c r="M34" s="676"/>
      <c r="N34" s="676"/>
      <c r="O34" s="676"/>
      <c r="P34" s="676"/>
      <c r="Q34" s="676"/>
      <c r="R34" s="676"/>
      <c r="S34" s="676"/>
      <c r="T34" s="676">
        <f t="shared" si="12"/>
        <v>0</v>
      </c>
    </row>
    <row r="35" spans="1:20" ht="13.5" customHeight="1">
      <c r="A35" s="653" t="str">
        <f>'Budget-合并'!A35</f>
        <v>6602.02.02</v>
      </c>
      <c r="B35" s="653" t="str">
        <f>'Budget-合并'!B35</f>
        <v>团建活动</v>
      </c>
      <c r="C35" s="673" t="str">
        <f>'Budget-合并'!C35</f>
        <v>EE Morale Expense</v>
      </c>
      <c r="D35" s="676">
        <f t="shared" si="9"/>
        <v>0</v>
      </c>
      <c r="F35" s="676">
        <f t="shared" ca="1" si="10"/>
        <v>0</v>
      </c>
      <c r="H35" s="676">
        <f t="shared" ref="H35:S35" si="14">SUM(H36:H37)</f>
        <v>0</v>
      </c>
      <c r="I35" s="676">
        <f t="shared" si="14"/>
        <v>0</v>
      </c>
      <c r="J35" s="676">
        <f t="shared" si="14"/>
        <v>0</v>
      </c>
      <c r="K35" s="676">
        <f t="shared" si="14"/>
        <v>0</v>
      </c>
      <c r="L35" s="676">
        <f t="shared" si="14"/>
        <v>0</v>
      </c>
      <c r="M35" s="676">
        <f t="shared" si="14"/>
        <v>0</v>
      </c>
      <c r="N35" s="676">
        <f t="shared" si="14"/>
        <v>0</v>
      </c>
      <c r="O35" s="676">
        <f t="shared" si="14"/>
        <v>0</v>
      </c>
      <c r="P35" s="676">
        <f t="shared" si="14"/>
        <v>0</v>
      </c>
      <c r="Q35" s="676">
        <f t="shared" si="14"/>
        <v>0</v>
      </c>
      <c r="R35" s="676">
        <f t="shared" si="14"/>
        <v>0</v>
      </c>
      <c r="S35" s="676">
        <f t="shared" si="14"/>
        <v>0</v>
      </c>
      <c r="T35" s="676">
        <f t="shared" si="12"/>
        <v>0</v>
      </c>
    </row>
    <row r="36" spans="1:20" ht="13.5" customHeight="1">
      <c r="A36" s="653" t="str">
        <f>'Budget-合并'!A36</f>
        <v>6602.02.03</v>
      </c>
      <c r="B36" s="653" t="str">
        <f>'Budget-合并'!B36</f>
        <v>体检费</v>
      </c>
      <c r="C36" s="673">
        <f>'Budget-合并'!C36</f>
        <v>0</v>
      </c>
      <c r="D36" s="676">
        <f t="shared" si="9"/>
        <v>0</v>
      </c>
      <c r="F36" s="676">
        <f t="shared" ca="1" si="10"/>
        <v>0</v>
      </c>
      <c r="H36" s="676"/>
      <c r="I36" s="676"/>
      <c r="J36" s="676"/>
      <c r="K36" s="676"/>
      <c r="L36" s="676"/>
      <c r="M36" s="676"/>
      <c r="N36" s="676"/>
      <c r="O36" s="676"/>
      <c r="P36" s="676"/>
      <c r="Q36" s="676"/>
      <c r="R36" s="676"/>
      <c r="S36" s="676"/>
      <c r="T36" s="676">
        <f t="shared" si="12"/>
        <v>0</v>
      </c>
    </row>
    <row r="37" spans="1:20" ht="13.5" customHeight="1">
      <c r="A37" s="653" t="str">
        <f>'Budget-合并'!A37</f>
        <v>6602.02.04</v>
      </c>
      <c r="B37" s="653" t="str">
        <f>'Budget-合并'!B37</f>
        <v>商业保险 - 医疗</v>
      </c>
      <c r="C37" s="673">
        <f>'Budget-合并'!C37</f>
        <v>0</v>
      </c>
      <c r="D37" s="676">
        <f t="shared" si="9"/>
        <v>0</v>
      </c>
      <c r="F37" s="676">
        <f t="shared" ca="1" si="10"/>
        <v>0</v>
      </c>
      <c r="H37" s="676"/>
      <c r="I37" s="676"/>
      <c r="J37" s="676"/>
      <c r="K37" s="676"/>
      <c r="L37" s="676"/>
      <c r="M37" s="676"/>
      <c r="N37" s="676"/>
      <c r="O37" s="676"/>
      <c r="P37" s="676"/>
      <c r="Q37" s="676"/>
      <c r="R37" s="676"/>
      <c r="S37" s="676"/>
      <c r="T37" s="676">
        <f t="shared" si="12"/>
        <v>0</v>
      </c>
    </row>
    <row r="38" spans="1:20" ht="13.5" customHeight="1">
      <c r="A38" s="663" t="str">
        <f>'Budget-合并'!A38</f>
        <v>6602.03</v>
      </c>
      <c r="B38" s="678" t="str">
        <f>'Budget-合并'!B38</f>
        <v>社保公积金</v>
      </c>
      <c r="C38" s="673">
        <f>'Budget-合并'!C38</f>
        <v>0</v>
      </c>
      <c r="D38" s="676">
        <f t="shared" si="9"/>
        <v>0</v>
      </c>
      <c r="F38" s="676">
        <f t="shared" ca="1" si="10"/>
        <v>0</v>
      </c>
      <c r="H38" s="679">
        <f t="shared" ref="H38:S38" si="15">SUM(H39:H41)</f>
        <v>0</v>
      </c>
      <c r="I38" s="679">
        <f t="shared" si="15"/>
        <v>0</v>
      </c>
      <c r="J38" s="679">
        <f t="shared" si="15"/>
        <v>0</v>
      </c>
      <c r="K38" s="679">
        <f t="shared" si="15"/>
        <v>0</v>
      </c>
      <c r="L38" s="679">
        <f t="shared" si="15"/>
        <v>0</v>
      </c>
      <c r="M38" s="679">
        <f t="shared" si="15"/>
        <v>0</v>
      </c>
      <c r="N38" s="679">
        <f t="shared" si="15"/>
        <v>0</v>
      </c>
      <c r="O38" s="679">
        <f t="shared" si="15"/>
        <v>0</v>
      </c>
      <c r="P38" s="679">
        <f t="shared" si="15"/>
        <v>0</v>
      </c>
      <c r="Q38" s="679">
        <f t="shared" si="15"/>
        <v>0</v>
      </c>
      <c r="R38" s="679">
        <f t="shared" si="15"/>
        <v>0</v>
      </c>
      <c r="S38" s="679">
        <f t="shared" si="15"/>
        <v>0</v>
      </c>
      <c r="T38" s="676">
        <f t="shared" si="12"/>
        <v>0</v>
      </c>
    </row>
    <row r="39" spans="1:20" ht="13.5" customHeight="1">
      <c r="A39" s="653" t="str">
        <f>'Budget-合并'!A39</f>
        <v>6602.03.01</v>
      </c>
      <c r="B39" s="653" t="str">
        <f>'Budget-合并'!B39</f>
        <v>员工社保福利</v>
      </c>
      <c r="C39" s="673" t="str">
        <f>'Budget-合并'!C39</f>
        <v>Employee Insurance</v>
      </c>
      <c r="D39" s="676">
        <f t="shared" si="9"/>
        <v>0</v>
      </c>
      <c r="F39" s="676">
        <f t="shared" ca="1" si="10"/>
        <v>0</v>
      </c>
      <c r="H39" s="676"/>
      <c r="I39" s="676"/>
      <c r="J39" s="676"/>
      <c r="K39" s="676"/>
      <c r="L39" s="676"/>
      <c r="M39" s="676"/>
      <c r="N39" s="676"/>
      <c r="O39" s="676"/>
      <c r="P39" s="676"/>
      <c r="Q39" s="676"/>
      <c r="R39" s="676"/>
      <c r="S39" s="676"/>
      <c r="T39" s="676">
        <f t="shared" si="12"/>
        <v>0</v>
      </c>
    </row>
    <row r="40" spans="1:20" ht="13.5" customHeight="1">
      <c r="A40" s="653" t="str">
        <f>'Budget-合并'!A40</f>
        <v>6602.03.02</v>
      </c>
      <c r="B40" s="653" t="str">
        <f>'Budget-合并'!B40</f>
        <v>员工公积金福利</v>
      </c>
      <c r="C40" s="673">
        <f>'Budget-合并'!C40</f>
        <v>0</v>
      </c>
      <c r="D40" s="676">
        <f t="shared" si="9"/>
        <v>0</v>
      </c>
      <c r="F40" s="676">
        <f t="shared" ca="1" si="10"/>
        <v>0</v>
      </c>
      <c r="H40" s="676"/>
      <c r="I40" s="676"/>
      <c r="J40" s="676"/>
      <c r="K40" s="676"/>
      <c r="L40" s="676"/>
      <c r="M40" s="676"/>
      <c r="N40" s="676"/>
      <c r="O40" s="676"/>
      <c r="P40" s="676"/>
      <c r="Q40" s="676"/>
      <c r="R40" s="676"/>
      <c r="S40" s="676"/>
      <c r="T40" s="676">
        <f t="shared" si="12"/>
        <v>0</v>
      </c>
    </row>
    <row r="41" spans="1:20" ht="13.5" customHeight="1">
      <c r="A41" s="653" t="str">
        <f>'Budget-合并'!A41</f>
        <v>6602.03.03</v>
      </c>
      <c r="B41" s="653" t="str">
        <f>'Budget-合并'!B41</f>
        <v>员工强制性公积金福利</v>
      </c>
      <c r="C41" s="673" t="str">
        <f>'Budget-合并'!C41</f>
        <v>Pension Local/MPF</v>
      </c>
      <c r="D41" s="676">
        <f t="shared" si="9"/>
        <v>0</v>
      </c>
      <c r="F41" s="676">
        <f t="shared" ca="1" si="10"/>
        <v>0</v>
      </c>
      <c r="H41" s="676"/>
      <c r="I41" s="676"/>
      <c r="J41" s="676"/>
      <c r="K41" s="676"/>
      <c r="L41" s="676"/>
      <c r="M41" s="676"/>
      <c r="N41" s="676"/>
      <c r="O41" s="676"/>
      <c r="P41" s="676"/>
      <c r="Q41" s="676"/>
      <c r="R41" s="676"/>
      <c r="S41" s="676"/>
      <c r="T41" s="676">
        <f t="shared" si="12"/>
        <v>0</v>
      </c>
    </row>
    <row r="42" spans="1:20" ht="13.5" customHeight="1">
      <c r="A42" s="672">
        <f>'Budget-合并'!A42</f>
        <v>0</v>
      </c>
      <c r="B42" s="672" t="str">
        <f>'Budget-合并'!B42</f>
        <v>管理人工费用小计</v>
      </c>
      <c r="C42" s="673">
        <f>'Budget-合并'!C42</f>
        <v>0</v>
      </c>
      <c r="D42" s="654">
        <f t="shared" si="9"/>
        <v>0</v>
      </c>
      <c r="F42" s="677">
        <f t="shared" ca="1" si="10"/>
        <v>0</v>
      </c>
      <c r="H42" s="677">
        <f t="shared" ref="H42:S42" si="16">SUM(H23,H33,H38)</f>
        <v>0</v>
      </c>
      <c r="I42" s="677">
        <f t="shared" si="16"/>
        <v>0</v>
      </c>
      <c r="J42" s="677">
        <f t="shared" si="16"/>
        <v>0</v>
      </c>
      <c r="K42" s="677">
        <f t="shared" si="16"/>
        <v>0</v>
      </c>
      <c r="L42" s="677">
        <f t="shared" si="16"/>
        <v>0</v>
      </c>
      <c r="M42" s="677">
        <f t="shared" si="16"/>
        <v>0</v>
      </c>
      <c r="N42" s="677">
        <f t="shared" si="16"/>
        <v>0</v>
      </c>
      <c r="O42" s="677">
        <f t="shared" si="16"/>
        <v>0</v>
      </c>
      <c r="P42" s="677">
        <f t="shared" si="16"/>
        <v>0</v>
      </c>
      <c r="Q42" s="677">
        <f t="shared" si="16"/>
        <v>0</v>
      </c>
      <c r="R42" s="677">
        <f t="shared" si="16"/>
        <v>0</v>
      </c>
      <c r="S42" s="677">
        <f t="shared" si="16"/>
        <v>0</v>
      </c>
      <c r="T42" s="677">
        <f t="shared" si="12"/>
        <v>0</v>
      </c>
    </row>
    <row r="43" spans="1:20" ht="13.5" customHeight="1">
      <c r="A43" s="653">
        <f>'Budget-合并'!A43</f>
        <v>0</v>
      </c>
      <c r="B43" s="653">
        <f>'Budget-合并'!B43</f>
        <v>0</v>
      </c>
      <c r="C43" s="673">
        <f>'Budget-合并'!C43</f>
        <v>0</v>
      </c>
      <c r="H43" s="652">
        <f t="shared" ref="H43:S43" si="17">SUM(H44:H46)</f>
        <v>0</v>
      </c>
      <c r="I43" s="652">
        <f t="shared" si="17"/>
        <v>0</v>
      </c>
      <c r="J43" s="652">
        <f t="shared" si="17"/>
        <v>0</v>
      </c>
      <c r="K43" s="652">
        <f t="shared" si="17"/>
        <v>0</v>
      </c>
      <c r="L43" s="652">
        <f t="shared" si="17"/>
        <v>0</v>
      </c>
      <c r="M43" s="652">
        <f t="shared" si="17"/>
        <v>0</v>
      </c>
      <c r="N43" s="652">
        <f t="shared" si="17"/>
        <v>0</v>
      </c>
      <c r="O43" s="652">
        <f t="shared" si="17"/>
        <v>0</v>
      </c>
      <c r="P43" s="652">
        <f t="shared" si="17"/>
        <v>0</v>
      </c>
      <c r="Q43" s="652">
        <f t="shared" si="17"/>
        <v>0</v>
      </c>
      <c r="R43" s="652">
        <f t="shared" si="17"/>
        <v>0</v>
      </c>
      <c r="S43" s="652">
        <f t="shared" si="17"/>
        <v>0</v>
      </c>
      <c r="T43" s="652">
        <f t="shared" si="12"/>
        <v>0</v>
      </c>
    </row>
    <row r="44" spans="1:20" ht="13.5" customHeight="1">
      <c r="A44" s="663" t="str">
        <f>'Budget-合并'!A44</f>
        <v>6602.04</v>
      </c>
      <c r="B44" s="678" t="str">
        <f>'Budget-合并'!B44</f>
        <v>咨询及专业服务费</v>
      </c>
      <c r="C44" s="673">
        <f>'Budget-合并'!C44</f>
        <v>0</v>
      </c>
      <c r="D44" s="676">
        <f t="shared" ref="D44:D107" si="18">INDEX($H$8:$S$8,1,MATCH($D$6,$H$6:$S$6))</f>
        <v>0</v>
      </c>
      <c r="F44" s="676">
        <f t="shared" ref="F44:F107" ca="1" si="19">SUM($H44:OFFSET($H44,0,MATCH(F$6,$H$6:$S$6)-1))</f>
        <v>0</v>
      </c>
      <c r="H44" s="676">
        <f t="shared" ref="H44:S44" si="20">SUM(H45,H46,H47,H51:H61)</f>
        <v>0</v>
      </c>
      <c r="I44" s="676">
        <f t="shared" si="20"/>
        <v>0</v>
      </c>
      <c r="J44" s="676">
        <f t="shared" si="20"/>
        <v>0</v>
      </c>
      <c r="K44" s="676">
        <f t="shared" si="20"/>
        <v>0</v>
      </c>
      <c r="L44" s="676">
        <f t="shared" si="20"/>
        <v>0</v>
      </c>
      <c r="M44" s="676">
        <f t="shared" si="20"/>
        <v>0</v>
      </c>
      <c r="N44" s="676">
        <f t="shared" si="20"/>
        <v>0</v>
      </c>
      <c r="O44" s="676">
        <f t="shared" si="20"/>
        <v>0</v>
      </c>
      <c r="P44" s="676">
        <f t="shared" si="20"/>
        <v>0</v>
      </c>
      <c r="Q44" s="676">
        <f t="shared" si="20"/>
        <v>0</v>
      </c>
      <c r="R44" s="676">
        <f t="shared" si="20"/>
        <v>0</v>
      </c>
      <c r="S44" s="676">
        <f t="shared" si="20"/>
        <v>0</v>
      </c>
      <c r="T44" s="676">
        <f t="shared" si="12"/>
        <v>0</v>
      </c>
    </row>
    <row r="45" spans="1:20" ht="13.5" customHeight="1">
      <c r="A45" s="653" t="str">
        <f>'Budget-合并'!A45</f>
        <v>6602.04.01</v>
      </c>
      <c r="B45" s="653" t="str">
        <f>'Budget-合并'!B45</f>
        <v>会计服务费</v>
      </c>
      <c r="C45" s="673" t="str">
        <f>'Budget-合并'!C45</f>
        <v>Accounting/Payment Services</v>
      </c>
      <c r="D45" s="676">
        <f t="shared" si="18"/>
        <v>0</v>
      </c>
      <c r="F45" s="676">
        <f t="shared" ca="1" si="19"/>
        <v>0</v>
      </c>
      <c r="H45" s="676"/>
      <c r="I45" s="676"/>
      <c r="J45" s="676"/>
      <c r="K45" s="676"/>
      <c r="L45" s="676"/>
      <c r="M45" s="676"/>
      <c r="N45" s="676"/>
      <c r="O45" s="676"/>
      <c r="P45" s="676"/>
      <c r="Q45" s="676"/>
      <c r="R45" s="676"/>
      <c r="S45" s="676"/>
      <c r="T45" s="676">
        <f t="shared" si="12"/>
        <v>0</v>
      </c>
    </row>
    <row r="46" spans="1:20" ht="13.5" customHeight="1">
      <c r="A46" s="653" t="str">
        <f>'Budget-合并'!A46</f>
        <v>6602.04.02</v>
      </c>
      <c r="B46" s="653" t="str">
        <f>'Budget-合并'!B46</f>
        <v>审计服务费</v>
      </c>
      <c r="C46" s="673" t="str">
        <f>'Budget-合并'!C46</f>
        <v>Audit Fees</v>
      </c>
      <c r="D46" s="676">
        <f t="shared" si="18"/>
        <v>0</v>
      </c>
      <c r="F46" s="676">
        <f t="shared" ca="1" si="19"/>
        <v>0</v>
      </c>
      <c r="H46" s="676"/>
      <c r="I46" s="676"/>
      <c r="J46" s="676"/>
      <c r="K46" s="676"/>
      <c r="L46" s="676"/>
      <c r="M46" s="676"/>
      <c r="N46" s="676"/>
      <c r="O46" s="676"/>
      <c r="P46" s="676"/>
      <c r="Q46" s="676"/>
      <c r="R46" s="676"/>
      <c r="S46" s="676"/>
      <c r="T46" s="676">
        <f t="shared" si="12"/>
        <v>0</v>
      </c>
    </row>
    <row r="47" spans="1:20" ht="13.5" customHeight="1">
      <c r="A47" s="653" t="str">
        <f>'Budget-合并'!A47</f>
        <v>6602.04.03</v>
      </c>
      <c r="B47" s="653" t="str">
        <f>'Budget-合并'!B47</f>
        <v>顾问费</v>
      </c>
      <c r="C47" s="673" t="str">
        <f>'Budget-合并'!C47</f>
        <v>Advisory fee</v>
      </c>
      <c r="D47" s="676">
        <f t="shared" si="18"/>
        <v>0</v>
      </c>
      <c r="F47" s="676">
        <f t="shared" ca="1" si="19"/>
        <v>0</v>
      </c>
      <c r="H47" s="676">
        <f t="shared" ref="H47:S47" si="21">SUM(H48:H50)</f>
        <v>0</v>
      </c>
      <c r="I47" s="676">
        <f t="shared" si="21"/>
        <v>0</v>
      </c>
      <c r="J47" s="676">
        <f t="shared" si="21"/>
        <v>0</v>
      </c>
      <c r="K47" s="676">
        <f t="shared" si="21"/>
        <v>0</v>
      </c>
      <c r="L47" s="676">
        <f t="shared" si="21"/>
        <v>0</v>
      </c>
      <c r="M47" s="676">
        <f t="shared" si="21"/>
        <v>0</v>
      </c>
      <c r="N47" s="676">
        <f t="shared" si="21"/>
        <v>0</v>
      </c>
      <c r="O47" s="676">
        <f t="shared" si="21"/>
        <v>0</v>
      </c>
      <c r="P47" s="676">
        <f t="shared" si="21"/>
        <v>0</v>
      </c>
      <c r="Q47" s="676">
        <f t="shared" si="21"/>
        <v>0</v>
      </c>
      <c r="R47" s="676">
        <f t="shared" si="21"/>
        <v>0</v>
      </c>
      <c r="S47" s="676">
        <f t="shared" si="21"/>
        <v>0</v>
      </c>
      <c r="T47" s="676">
        <f t="shared" si="12"/>
        <v>0</v>
      </c>
    </row>
    <row r="48" spans="1:20" ht="13.5" customHeight="1">
      <c r="A48" s="653">
        <f>'Budget-合并'!A48</f>
        <v>0</v>
      </c>
      <c r="B48" s="653" t="str">
        <f>'Budget-合并'!B48</f>
        <v xml:space="preserve">    公司主体01</v>
      </c>
      <c r="C48" s="673" t="str">
        <f>'Budget-合并'!C48</f>
        <v xml:space="preserve">   Entity</v>
      </c>
      <c r="D48" s="676">
        <f t="shared" si="18"/>
        <v>0</v>
      </c>
      <c r="F48" s="676">
        <f t="shared" ca="1" si="19"/>
        <v>0</v>
      </c>
      <c r="H48" s="676"/>
      <c r="I48" s="676"/>
      <c r="J48" s="676"/>
      <c r="K48" s="676"/>
      <c r="L48" s="676"/>
      <c r="M48" s="676"/>
      <c r="N48" s="676"/>
      <c r="O48" s="676"/>
      <c r="P48" s="676"/>
      <c r="Q48" s="676"/>
      <c r="R48" s="676"/>
      <c r="S48" s="676"/>
      <c r="T48" s="676">
        <f t="shared" si="12"/>
        <v>0</v>
      </c>
    </row>
    <row r="49" spans="1:20" ht="13.5" customHeight="1">
      <c r="A49" s="653">
        <f>'Budget-合并'!A49</f>
        <v>0</v>
      </c>
      <c r="B49" s="653" t="str">
        <f>'Budget-合并'!B49</f>
        <v xml:space="preserve">    旭智富能01</v>
      </c>
      <c r="C49" s="673" t="str">
        <f>'Budget-合并'!C49</f>
        <v xml:space="preserve">   Foxpower</v>
      </c>
      <c r="D49" s="676">
        <f t="shared" si="18"/>
        <v>0</v>
      </c>
      <c r="F49" s="676">
        <f t="shared" ca="1" si="19"/>
        <v>0</v>
      </c>
      <c r="H49" s="676"/>
      <c r="I49" s="676"/>
      <c r="J49" s="676"/>
      <c r="K49" s="676"/>
      <c r="L49" s="676"/>
      <c r="M49" s="676"/>
      <c r="N49" s="676"/>
      <c r="O49" s="676"/>
      <c r="P49" s="676"/>
      <c r="Q49" s="676"/>
      <c r="R49" s="676"/>
      <c r="S49" s="676"/>
      <c r="T49" s="676">
        <f t="shared" si="12"/>
        <v>0</v>
      </c>
    </row>
    <row r="50" spans="1:20" ht="13.5" customHeight="1">
      <c r="A50" s="653">
        <f>'Budget-合并'!A50</f>
        <v>0</v>
      </c>
      <c r="B50" s="653" t="str">
        <f>'Budget-合并'!B50</f>
        <v xml:space="preserve">    其他项目01</v>
      </c>
      <c r="C50" s="673" t="str">
        <f>'Budget-合并'!C50</f>
        <v xml:space="preserve">   Other project</v>
      </c>
      <c r="D50" s="676">
        <f t="shared" si="18"/>
        <v>0</v>
      </c>
      <c r="F50" s="676">
        <f t="shared" ca="1" si="19"/>
        <v>0</v>
      </c>
      <c r="H50" s="676"/>
      <c r="I50" s="676"/>
      <c r="J50" s="676"/>
      <c r="K50" s="676"/>
      <c r="L50" s="676"/>
      <c r="M50" s="676"/>
      <c r="N50" s="676"/>
      <c r="O50" s="676"/>
      <c r="P50" s="676"/>
      <c r="Q50" s="676"/>
      <c r="R50" s="676"/>
      <c r="S50" s="676"/>
      <c r="T50" s="676">
        <f t="shared" si="12"/>
        <v>0</v>
      </c>
    </row>
    <row r="51" spans="1:20" ht="13.5" customHeight="1">
      <c r="A51" s="653" t="str">
        <f>'Budget-合并'!A51</f>
        <v>6602.04.04</v>
      </c>
      <c r="B51" s="653" t="str">
        <f>'Budget-合并'!B51</f>
        <v>税务服务费</v>
      </c>
      <c r="C51" s="673">
        <f>'Budget-合并'!C51</f>
        <v>0</v>
      </c>
      <c r="D51" s="676">
        <f t="shared" si="18"/>
        <v>0</v>
      </c>
      <c r="F51" s="676">
        <f t="shared" ca="1" si="19"/>
        <v>0</v>
      </c>
      <c r="H51" s="676"/>
      <c r="I51" s="676"/>
      <c r="J51" s="676"/>
      <c r="K51" s="676"/>
      <c r="L51" s="676"/>
      <c r="M51" s="676"/>
      <c r="N51" s="676"/>
      <c r="O51" s="676"/>
      <c r="P51" s="676"/>
      <c r="Q51" s="676"/>
      <c r="R51" s="676"/>
      <c r="S51" s="676"/>
      <c r="T51" s="676">
        <f t="shared" si="12"/>
        <v>0</v>
      </c>
    </row>
    <row r="52" spans="1:20" ht="13.5" customHeight="1">
      <c r="A52" s="653" t="str">
        <f>'Budget-合并'!A52</f>
        <v>6602.04.05</v>
      </c>
      <c r="B52" s="653" t="str">
        <f>'Budget-合并'!B52</f>
        <v>招聘服务费</v>
      </c>
      <c r="C52" s="673" t="str">
        <f>'Budget-合并'!C52</f>
        <v>Employment Agency Fee</v>
      </c>
      <c r="D52" s="676">
        <f t="shared" si="18"/>
        <v>0</v>
      </c>
      <c r="F52" s="676">
        <f t="shared" ca="1" si="19"/>
        <v>0</v>
      </c>
      <c r="H52" s="676"/>
      <c r="I52" s="676"/>
      <c r="J52" s="676"/>
      <c r="K52" s="676"/>
      <c r="L52" s="676"/>
      <c r="M52" s="676"/>
      <c r="N52" s="676"/>
      <c r="O52" s="676"/>
      <c r="P52" s="676"/>
      <c r="Q52" s="676"/>
      <c r="R52" s="676"/>
      <c r="S52" s="676"/>
      <c r="T52" s="676">
        <f t="shared" si="12"/>
        <v>0</v>
      </c>
    </row>
    <row r="53" spans="1:20" ht="13.5" customHeight="1">
      <c r="A53" s="653" t="str">
        <f>'Budget-合并'!A53</f>
        <v>6602.04.06</v>
      </c>
      <c r="B53" s="653" t="str">
        <f>'Budget-合并'!B53</f>
        <v>法律服务费</v>
      </c>
      <c r="C53" s="673" t="str">
        <f>'Budget-合并'!C53</f>
        <v>Legal Fees</v>
      </c>
      <c r="D53" s="676">
        <f t="shared" si="18"/>
        <v>0</v>
      </c>
      <c r="F53" s="676">
        <f t="shared" ca="1" si="19"/>
        <v>0</v>
      </c>
      <c r="H53" s="676"/>
      <c r="I53" s="676"/>
      <c r="J53" s="676"/>
      <c r="K53" s="676"/>
      <c r="L53" s="676"/>
      <c r="M53" s="676"/>
      <c r="N53" s="676"/>
      <c r="O53" s="676"/>
      <c r="P53" s="676"/>
      <c r="Q53" s="676"/>
      <c r="R53" s="676"/>
      <c r="S53" s="676"/>
      <c r="T53" s="676">
        <f t="shared" si="12"/>
        <v>0</v>
      </c>
    </row>
    <row r="54" spans="1:20" ht="13.5" customHeight="1">
      <c r="A54" s="653" t="str">
        <f>'Budget-合并'!A54</f>
        <v>6602.04.07</v>
      </c>
      <c r="B54" s="653" t="str">
        <f>'Budget-合并'!B54</f>
        <v>人力资源服务费</v>
      </c>
      <c r="C54" s="673" t="str">
        <f>'Budget-合并'!C54</f>
        <v>Payroll Services</v>
      </c>
      <c r="D54" s="676">
        <f t="shared" si="18"/>
        <v>0</v>
      </c>
      <c r="F54" s="676">
        <f t="shared" ca="1" si="19"/>
        <v>0</v>
      </c>
      <c r="H54" s="676"/>
      <c r="I54" s="676"/>
      <c r="J54" s="676"/>
      <c r="K54" s="676"/>
      <c r="L54" s="676"/>
      <c r="M54" s="676"/>
      <c r="N54" s="676"/>
      <c r="O54" s="676"/>
      <c r="P54" s="676"/>
      <c r="Q54" s="676"/>
      <c r="R54" s="676"/>
      <c r="S54" s="676"/>
      <c r="T54" s="676">
        <f t="shared" si="12"/>
        <v>0</v>
      </c>
    </row>
    <row r="55" spans="1:20" ht="13.5" customHeight="1">
      <c r="A55" s="653" t="str">
        <f>'Budget-合并'!A55</f>
        <v>6602.04.08</v>
      </c>
      <c r="B55" s="653" t="str">
        <f>'Budget-合并'!B55</f>
        <v>背景调查费</v>
      </c>
      <c r="C55" s="673" t="str">
        <f>'Budget-合并'!C55</f>
        <v>Employee Background Check</v>
      </c>
      <c r="D55" s="676">
        <f t="shared" si="18"/>
        <v>0</v>
      </c>
      <c r="F55" s="676">
        <f t="shared" ca="1" si="19"/>
        <v>0</v>
      </c>
      <c r="H55" s="676">
        <f t="shared" ref="H55:S55" si="22">SUM(H56,H60:H66)</f>
        <v>0</v>
      </c>
      <c r="I55" s="676">
        <f t="shared" si="22"/>
        <v>0</v>
      </c>
      <c r="J55" s="676">
        <f t="shared" si="22"/>
        <v>0</v>
      </c>
      <c r="K55" s="676">
        <f t="shared" si="22"/>
        <v>0</v>
      </c>
      <c r="L55" s="676">
        <f t="shared" si="22"/>
        <v>0</v>
      </c>
      <c r="M55" s="676">
        <f t="shared" si="22"/>
        <v>0</v>
      </c>
      <c r="N55" s="676">
        <f t="shared" si="22"/>
        <v>0</v>
      </c>
      <c r="O55" s="676">
        <f t="shared" si="22"/>
        <v>0</v>
      </c>
      <c r="P55" s="676">
        <f t="shared" si="22"/>
        <v>0</v>
      </c>
      <c r="Q55" s="676">
        <f t="shared" si="22"/>
        <v>0</v>
      </c>
      <c r="R55" s="676">
        <f t="shared" si="22"/>
        <v>0</v>
      </c>
      <c r="S55" s="676">
        <f t="shared" si="22"/>
        <v>0</v>
      </c>
      <c r="T55" s="676">
        <f t="shared" si="12"/>
        <v>0</v>
      </c>
    </row>
    <row r="56" spans="1:20" ht="13.5" customHeight="1">
      <c r="A56" s="653" t="str">
        <f>'Budget-合并'!A56</f>
        <v>6602.04.09</v>
      </c>
      <c r="B56" s="653" t="str">
        <f>'Budget-合并'!B56</f>
        <v>翻译服务费</v>
      </c>
      <c r="C56" s="673">
        <f>'Budget-合并'!C56</f>
        <v>0</v>
      </c>
      <c r="D56" s="676">
        <f t="shared" si="18"/>
        <v>0</v>
      </c>
      <c r="F56" s="676">
        <f t="shared" ca="1" si="19"/>
        <v>0</v>
      </c>
      <c r="H56" s="676">
        <f t="shared" ref="H56:S56" si="23">SUM(H57:H59)</f>
        <v>0</v>
      </c>
      <c r="I56" s="676">
        <f t="shared" si="23"/>
        <v>0</v>
      </c>
      <c r="J56" s="676">
        <f t="shared" si="23"/>
        <v>0</v>
      </c>
      <c r="K56" s="676">
        <f t="shared" si="23"/>
        <v>0</v>
      </c>
      <c r="L56" s="676">
        <f t="shared" si="23"/>
        <v>0</v>
      </c>
      <c r="M56" s="676">
        <f t="shared" si="23"/>
        <v>0</v>
      </c>
      <c r="N56" s="676">
        <f t="shared" si="23"/>
        <v>0</v>
      </c>
      <c r="O56" s="676">
        <f t="shared" si="23"/>
        <v>0</v>
      </c>
      <c r="P56" s="676">
        <f t="shared" si="23"/>
        <v>0</v>
      </c>
      <c r="Q56" s="676">
        <f t="shared" si="23"/>
        <v>0</v>
      </c>
      <c r="R56" s="676">
        <f t="shared" si="23"/>
        <v>0</v>
      </c>
      <c r="S56" s="676">
        <f t="shared" si="23"/>
        <v>0</v>
      </c>
      <c r="T56" s="676">
        <f t="shared" si="12"/>
        <v>0</v>
      </c>
    </row>
    <row r="57" spans="1:20" ht="13.5" customHeight="1">
      <c r="A57" s="653" t="str">
        <f>'Budget-合并'!A57</f>
        <v>6602.04.10</v>
      </c>
      <c r="B57" s="653" t="str">
        <f>'Budget-合并'!B57</f>
        <v>评估费</v>
      </c>
      <c r="C57" s="673">
        <f>'Budget-合并'!C57</f>
        <v>0</v>
      </c>
      <c r="D57" s="676">
        <f t="shared" si="18"/>
        <v>0</v>
      </c>
      <c r="F57" s="676">
        <f t="shared" ca="1" si="19"/>
        <v>0</v>
      </c>
      <c r="H57" s="676"/>
      <c r="I57" s="676"/>
      <c r="J57" s="676"/>
      <c r="K57" s="676"/>
      <c r="L57" s="676"/>
      <c r="M57" s="676"/>
      <c r="N57" s="676"/>
      <c r="O57" s="676"/>
      <c r="P57" s="676"/>
      <c r="Q57" s="676"/>
      <c r="R57" s="676"/>
      <c r="S57" s="676"/>
      <c r="T57" s="676">
        <f t="shared" si="12"/>
        <v>0</v>
      </c>
    </row>
    <row r="58" spans="1:20" ht="13.5" customHeight="1">
      <c r="A58" s="653" t="str">
        <f>'Budget-合并'!A58</f>
        <v>6602.04.11</v>
      </c>
      <c r="B58" s="653" t="str">
        <f>'Budget-合并'!B58</f>
        <v>技术服务费</v>
      </c>
      <c r="C58" s="673">
        <f>'Budget-合并'!C58</f>
        <v>0</v>
      </c>
      <c r="D58" s="676">
        <f t="shared" si="18"/>
        <v>0</v>
      </c>
      <c r="F58" s="676">
        <f t="shared" ca="1" si="19"/>
        <v>0</v>
      </c>
      <c r="H58" s="676"/>
      <c r="I58" s="676"/>
      <c r="J58" s="676"/>
      <c r="K58" s="676"/>
      <c r="L58" s="676"/>
      <c r="M58" s="676"/>
      <c r="N58" s="676"/>
      <c r="O58" s="676"/>
      <c r="P58" s="676"/>
      <c r="Q58" s="676"/>
      <c r="R58" s="676"/>
      <c r="S58" s="676"/>
      <c r="T58" s="676">
        <f t="shared" si="12"/>
        <v>0</v>
      </c>
    </row>
    <row r="59" spans="1:20" ht="13.5" customHeight="1">
      <c r="A59" s="653" t="str">
        <f>'Budget-合并'!A59</f>
        <v>6602.04.12</v>
      </c>
      <c r="B59" s="653" t="str">
        <f>'Budget-合并'!B59</f>
        <v>合规支持服务</v>
      </c>
      <c r="C59" s="673" t="str">
        <f>'Budget-合并'!C59</f>
        <v xml:space="preserve">Compliance Support Services </v>
      </c>
      <c r="D59" s="676">
        <f t="shared" si="18"/>
        <v>0</v>
      </c>
      <c r="F59" s="676">
        <f t="shared" ca="1" si="19"/>
        <v>0</v>
      </c>
      <c r="H59" s="676"/>
      <c r="I59" s="676"/>
      <c r="J59" s="676"/>
      <c r="K59" s="676"/>
      <c r="L59" s="676"/>
      <c r="M59" s="676"/>
      <c r="N59" s="676"/>
      <c r="O59" s="676"/>
      <c r="P59" s="676"/>
      <c r="Q59" s="676"/>
      <c r="R59" s="676"/>
      <c r="S59" s="676"/>
      <c r="T59" s="676">
        <f t="shared" si="12"/>
        <v>0</v>
      </c>
    </row>
    <row r="60" spans="1:20" ht="13.5" customHeight="1">
      <c r="A60" s="653" t="str">
        <f>'Budget-合并'!A60</f>
        <v>6602.04.13</v>
      </c>
      <c r="B60" s="653" t="str">
        <f>'Budget-合并'!B60</f>
        <v>咨询费</v>
      </c>
      <c r="C60" s="673" t="str">
        <f>'Budget-合并'!C60</f>
        <v>Consulting fee</v>
      </c>
      <c r="D60" s="676">
        <f t="shared" si="18"/>
        <v>0</v>
      </c>
      <c r="F60" s="676">
        <f t="shared" ca="1" si="19"/>
        <v>0</v>
      </c>
      <c r="H60" s="676"/>
      <c r="I60" s="676"/>
      <c r="J60" s="676"/>
      <c r="K60" s="676"/>
      <c r="L60" s="676"/>
      <c r="M60" s="676"/>
      <c r="N60" s="676"/>
      <c r="O60" s="676"/>
      <c r="P60" s="676"/>
      <c r="Q60" s="676"/>
      <c r="R60" s="676"/>
      <c r="S60" s="676"/>
      <c r="T60" s="676">
        <f t="shared" si="12"/>
        <v>0</v>
      </c>
    </row>
    <row r="61" spans="1:20" ht="13.5" customHeight="1">
      <c r="A61" s="653" t="str">
        <f>'Budget-合并'!A61</f>
        <v>6602.04.99</v>
      </c>
      <c r="B61" s="653" t="str">
        <f>'Budget-合并'!B61</f>
        <v>其他</v>
      </c>
      <c r="C61" s="673">
        <f>'Budget-合并'!C61</f>
        <v>0</v>
      </c>
      <c r="D61" s="676">
        <f t="shared" si="18"/>
        <v>0</v>
      </c>
      <c r="F61" s="676">
        <f t="shared" ca="1" si="19"/>
        <v>0</v>
      </c>
      <c r="H61" s="676"/>
      <c r="I61" s="676"/>
      <c r="J61" s="676"/>
      <c r="K61" s="676"/>
      <c r="L61" s="676"/>
      <c r="M61" s="676"/>
      <c r="N61" s="676"/>
      <c r="O61" s="676"/>
      <c r="P61" s="676"/>
      <c r="Q61" s="676"/>
      <c r="R61" s="676"/>
      <c r="S61" s="676"/>
      <c r="T61" s="676">
        <f t="shared" si="12"/>
        <v>0</v>
      </c>
    </row>
    <row r="62" spans="1:20" ht="13.5" customHeight="1">
      <c r="A62" s="663" t="str">
        <f>'Budget-合并'!A62</f>
        <v>6602.05</v>
      </c>
      <c r="B62" s="678" t="str">
        <f>'Budget-合并'!B62</f>
        <v>占用费</v>
      </c>
      <c r="C62" s="673">
        <f>'Budget-合并'!C62</f>
        <v>0</v>
      </c>
      <c r="D62" s="676">
        <f t="shared" si="18"/>
        <v>0</v>
      </c>
      <c r="F62" s="676">
        <f t="shared" ca="1" si="19"/>
        <v>0</v>
      </c>
      <c r="H62" s="676">
        <f t="shared" ref="H62:S62" si="24">SUM(H63,H67:H74)</f>
        <v>0</v>
      </c>
      <c r="I62" s="676">
        <f t="shared" si="24"/>
        <v>0</v>
      </c>
      <c r="J62" s="676">
        <f t="shared" si="24"/>
        <v>0</v>
      </c>
      <c r="K62" s="676">
        <f t="shared" si="24"/>
        <v>0</v>
      </c>
      <c r="L62" s="676">
        <f t="shared" si="24"/>
        <v>0</v>
      </c>
      <c r="M62" s="676">
        <f t="shared" si="24"/>
        <v>0</v>
      </c>
      <c r="N62" s="676">
        <f t="shared" si="24"/>
        <v>0</v>
      </c>
      <c r="O62" s="676">
        <f t="shared" si="24"/>
        <v>0</v>
      </c>
      <c r="P62" s="676">
        <f t="shared" si="24"/>
        <v>0</v>
      </c>
      <c r="Q62" s="676">
        <f t="shared" si="24"/>
        <v>0</v>
      </c>
      <c r="R62" s="676">
        <f t="shared" si="24"/>
        <v>0</v>
      </c>
      <c r="S62" s="676">
        <f t="shared" si="24"/>
        <v>0</v>
      </c>
      <c r="T62" s="676">
        <f t="shared" si="12"/>
        <v>0</v>
      </c>
    </row>
    <row r="63" spans="1:20" ht="13.5" customHeight="1">
      <c r="A63" s="653" t="str">
        <f>'Budget-合并'!A63</f>
        <v>6602.05.01</v>
      </c>
      <c r="B63" s="653" t="str">
        <f>'Budget-合并'!B63</f>
        <v>办公室租赁费</v>
      </c>
      <c r="C63" s="673">
        <f>'Budget-合并'!C63</f>
        <v>0</v>
      </c>
      <c r="D63" s="676">
        <f t="shared" si="18"/>
        <v>0</v>
      </c>
      <c r="F63" s="676">
        <f t="shared" ca="1" si="19"/>
        <v>0</v>
      </c>
      <c r="H63" s="676">
        <f t="shared" ref="H63:S63" si="25">SUM(H64:H66)</f>
        <v>0</v>
      </c>
      <c r="I63" s="676">
        <f t="shared" si="25"/>
        <v>0</v>
      </c>
      <c r="J63" s="676">
        <f t="shared" si="25"/>
        <v>0</v>
      </c>
      <c r="K63" s="676">
        <f t="shared" si="25"/>
        <v>0</v>
      </c>
      <c r="L63" s="676">
        <f t="shared" si="25"/>
        <v>0</v>
      </c>
      <c r="M63" s="676">
        <f t="shared" si="25"/>
        <v>0</v>
      </c>
      <c r="N63" s="676">
        <f t="shared" si="25"/>
        <v>0</v>
      </c>
      <c r="O63" s="676">
        <f t="shared" si="25"/>
        <v>0</v>
      </c>
      <c r="P63" s="676">
        <f t="shared" si="25"/>
        <v>0</v>
      </c>
      <c r="Q63" s="676">
        <f t="shared" si="25"/>
        <v>0</v>
      </c>
      <c r="R63" s="676">
        <f t="shared" si="25"/>
        <v>0</v>
      </c>
      <c r="S63" s="676">
        <f t="shared" si="25"/>
        <v>0</v>
      </c>
      <c r="T63" s="676">
        <f t="shared" si="12"/>
        <v>0</v>
      </c>
    </row>
    <row r="64" spans="1:20" ht="13.5" customHeight="1">
      <c r="A64" s="653" t="str">
        <f>'Budget-合并'!A64</f>
        <v>6602.05.01.01</v>
      </c>
      <c r="B64" s="653" t="str">
        <f>'Budget-合并'!B64</f>
        <v>旭智咨询--鼎和大厦1606</v>
      </c>
      <c r="C64" s="673">
        <f>'Budget-合并'!C64</f>
        <v>0</v>
      </c>
      <c r="D64" s="676">
        <f t="shared" si="18"/>
        <v>0</v>
      </c>
      <c r="F64" s="676">
        <f t="shared" ca="1" si="19"/>
        <v>0</v>
      </c>
      <c r="H64" s="676"/>
      <c r="I64" s="676"/>
      <c r="J64" s="676"/>
      <c r="K64" s="676"/>
      <c r="L64" s="676"/>
      <c r="M64" s="676"/>
      <c r="N64" s="676"/>
      <c r="O64" s="676"/>
      <c r="P64" s="676"/>
      <c r="Q64" s="676"/>
      <c r="R64" s="676"/>
      <c r="S64" s="676"/>
      <c r="T64" s="676">
        <f t="shared" si="12"/>
        <v>0</v>
      </c>
    </row>
    <row r="65" spans="1:20" ht="13.5" customHeight="1">
      <c r="A65" s="653" t="str">
        <f>'Budget-合并'!A65</f>
        <v>6602.05.01.02</v>
      </c>
      <c r="B65" s="653" t="str">
        <f>'Budget-合并'!B65</f>
        <v>广州注册地址403房J015</v>
      </c>
      <c r="C65" s="673">
        <f>'Budget-合并'!C65</f>
        <v>0</v>
      </c>
      <c r="D65" s="676">
        <f t="shared" si="18"/>
        <v>0</v>
      </c>
      <c r="F65" s="676">
        <f t="shared" ca="1" si="19"/>
        <v>0</v>
      </c>
      <c r="H65" s="676"/>
      <c r="I65" s="676"/>
      <c r="J65" s="676"/>
      <c r="K65" s="676"/>
      <c r="L65" s="676"/>
      <c r="M65" s="676"/>
      <c r="N65" s="676"/>
      <c r="O65" s="676"/>
      <c r="P65" s="676"/>
      <c r="Q65" s="676"/>
      <c r="R65" s="676"/>
      <c r="S65" s="676"/>
      <c r="T65" s="676">
        <f t="shared" si="12"/>
        <v>0</v>
      </c>
    </row>
    <row r="66" spans="1:20" ht="13.5" customHeight="1">
      <c r="A66" s="653" t="str">
        <f>'Budget-合并'!A66</f>
        <v>6602.05.01.03</v>
      </c>
      <c r="B66" s="653" t="str">
        <f>'Budget-合并'!B66</f>
        <v>广州注册地址403房J016</v>
      </c>
      <c r="C66" s="673">
        <f>'Budget-合并'!C66</f>
        <v>0</v>
      </c>
      <c r="D66" s="676">
        <f t="shared" si="18"/>
        <v>0</v>
      </c>
      <c r="F66" s="676">
        <f t="shared" ca="1" si="19"/>
        <v>0</v>
      </c>
      <c r="H66" s="676"/>
      <c r="I66" s="676"/>
      <c r="J66" s="676"/>
      <c r="K66" s="676"/>
      <c r="L66" s="676"/>
      <c r="M66" s="676"/>
      <c r="N66" s="676"/>
      <c r="O66" s="676"/>
      <c r="P66" s="676"/>
      <c r="Q66" s="676"/>
      <c r="R66" s="676"/>
      <c r="S66" s="676"/>
      <c r="T66" s="676">
        <f t="shared" si="12"/>
        <v>0</v>
      </c>
    </row>
    <row r="67" spans="1:20" ht="13.5" customHeight="1">
      <c r="A67" s="653" t="str">
        <f>'Budget-合并'!A67</f>
        <v>6602.05.02</v>
      </c>
      <c r="B67" s="653" t="str">
        <f>'Budget-合并'!B67</f>
        <v>管理费</v>
      </c>
      <c r="C67" s="673" t="str">
        <f>'Budget-合并'!C67</f>
        <v>Management fees</v>
      </c>
      <c r="D67" s="676">
        <f t="shared" si="18"/>
        <v>0</v>
      </c>
      <c r="F67" s="676">
        <f t="shared" ca="1" si="19"/>
        <v>0</v>
      </c>
      <c r="H67" s="676"/>
      <c r="I67" s="676"/>
      <c r="J67" s="676"/>
      <c r="K67" s="676"/>
      <c r="L67" s="676"/>
      <c r="M67" s="676"/>
      <c r="N67" s="676"/>
      <c r="O67" s="676"/>
      <c r="P67" s="676"/>
      <c r="Q67" s="676"/>
      <c r="R67" s="676"/>
      <c r="S67" s="676"/>
      <c r="T67" s="676">
        <f t="shared" si="12"/>
        <v>0</v>
      </c>
    </row>
    <row r="68" spans="1:20" ht="13.5" customHeight="1">
      <c r="A68" s="653" t="str">
        <f>'Budget-合并'!A68</f>
        <v>6602.05.03</v>
      </c>
      <c r="B68" s="653" t="str">
        <f>'Budget-合并'!B68</f>
        <v>电费</v>
      </c>
      <c r="C68" s="673" t="str">
        <f>'Budget-合并'!C68</f>
        <v>Utilities Electric</v>
      </c>
      <c r="D68" s="676">
        <f t="shared" si="18"/>
        <v>0</v>
      </c>
      <c r="F68" s="676">
        <f t="shared" ca="1" si="19"/>
        <v>0</v>
      </c>
      <c r="H68" s="676"/>
      <c r="I68" s="676"/>
      <c r="J68" s="676"/>
      <c r="K68" s="676"/>
      <c r="L68" s="676"/>
      <c r="M68" s="676"/>
      <c r="N68" s="676"/>
      <c r="O68" s="676"/>
      <c r="P68" s="676"/>
      <c r="Q68" s="676"/>
      <c r="R68" s="676"/>
      <c r="S68" s="676"/>
      <c r="T68" s="676">
        <f t="shared" si="12"/>
        <v>0</v>
      </c>
    </row>
    <row r="69" spans="1:20" ht="13.5" customHeight="1">
      <c r="A69" s="653" t="str">
        <f>'Budget-合并'!A69</f>
        <v>6602.05.04</v>
      </c>
      <c r="B69" s="653" t="str">
        <f>'Budget-合并'!B69</f>
        <v>水费</v>
      </c>
      <c r="C69" s="673">
        <f>'Budget-合并'!C69</f>
        <v>0</v>
      </c>
      <c r="D69" s="676">
        <f t="shared" si="18"/>
        <v>0</v>
      </c>
      <c r="F69" s="676">
        <f t="shared" ca="1" si="19"/>
        <v>0</v>
      </c>
      <c r="H69" s="676"/>
      <c r="I69" s="676"/>
      <c r="J69" s="676"/>
      <c r="K69" s="676"/>
      <c r="L69" s="676"/>
      <c r="M69" s="676"/>
      <c r="N69" s="676"/>
      <c r="O69" s="676"/>
      <c r="P69" s="676"/>
      <c r="Q69" s="676"/>
      <c r="R69" s="676"/>
      <c r="S69" s="676"/>
      <c r="T69" s="676">
        <f t="shared" si="12"/>
        <v>0</v>
      </c>
    </row>
    <row r="70" spans="1:20" ht="13.5" customHeight="1">
      <c r="A70" s="653" t="str">
        <f>'Budget-合并'!A70</f>
        <v>6602.05.05</v>
      </c>
      <c r="B70" s="653" t="str">
        <f>'Budget-合并'!B70</f>
        <v>维修费</v>
      </c>
      <c r="C70" s="673" t="str">
        <f>'Budget-合并'!C70</f>
        <v>Office Maintenance &amp; Repair</v>
      </c>
      <c r="D70" s="676">
        <f t="shared" si="18"/>
        <v>0</v>
      </c>
      <c r="F70" s="676">
        <f t="shared" ca="1" si="19"/>
        <v>0</v>
      </c>
      <c r="H70" s="676"/>
      <c r="I70" s="676"/>
      <c r="J70" s="676"/>
      <c r="K70" s="676"/>
      <c r="L70" s="676"/>
      <c r="M70" s="676"/>
      <c r="N70" s="676"/>
      <c r="O70" s="676"/>
      <c r="P70" s="676"/>
      <c r="Q70" s="676"/>
      <c r="R70" s="676"/>
      <c r="S70" s="676"/>
      <c r="T70" s="676">
        <f t="shared" si="12"/>
        <v>0</v>
      </c>
    </row>
    <row r="71" spans="1:20" ht="13.5" customHeight="1">
      <c r="A71" s="653" t="str">
        <f>'Budget-合并'!A71</f>
        <v>6602.05.06</v>
      </c>
      <c r="B71" s="653" t="str">
        <f>'Budget-合并'!B71</f>
        <v>装修费</v>
      </c>
      <c r="C71" s="673" t="str">
        <f>'Budget-合并'!C71</f>
        <v>Depreciation_Leasehold Improvement</v>
      </c>
      <c r="D71" s="676">
        <f t="shared" si="18"/>
        <v>0</v>
      </c>
      <c r="F71" s="676">
        <f t="shared" ca="1" si="19"/>
        <v>0</v>
      </c>
      <c r="H71" s="676"/>
      <c r="I71" s="676"/>
      <c r="J71" s="676"/>
      <c r="K71" s="676"/>
      <c r="L71" s="676"/>
      <c r="M71" s="676"/>
      <c r="N71" s="676"/>
      <c r="O71" s="676"/>
      <c r="P71" s="676"/>
      <c r="Q71" s="676"/>
      <c r="R71" s="676"/>
      <c r="S71" s="676"/>
      <c r="T71" s="676">
        <f t="shared" si="12"/>
        <v>0</v>
      </c>
    </row>
    <row r="72" spans="1:20" ht="13.5" customHeight="1">
      <c r="A72" s="653" t="str">
        <f>'Budget-合并'!A72</f>
        <v>6602.05.07</v>
      </c>
      <c r="B72" s="653" t="str">
        <f>'Budget-合并'!B72</f>
        <v>租金及物业费</v>
      </c>
      <c r="C72" s="673">
        <f>'Budget-合并'!C72</f>
        <v>0</v>
      </c>
      <c r="D72" s="676">
        <f t="shared" si="18"/>
        <v>0</v>
      </c>
      <c r="F72" s="676">
        <f t="shared" ca="1" si="19"/>
        <v>0</v>
      </c>
      <c r="H72" s="676"/>
      <c r="I72" s="676"/>
      <c r="J72" s="676"/>
      <c r="K72" s="676"/>
      <c r="L72" s="676"/>
      <c r="M72" s="676"/>
      <c r="N72" s="676"/>
      <c r="O72" s="676"/>
      <c r="P72" s="676"/>
      <c r="Q72" s="676"/>
      <c r="R72" s="676"/>
      <c r="S72" s="676"/>
      <c r="T72" s="676">
        <f t="shared" si="12"/>
        <v>0</v>
      </c>
    </row>
    <row r="73" spans="1:20" ht="11.1" customHeight="1">
      <c r="A73" s="653" t="str">
        <f>'Budget-合并'!A73</f>
        <v>6602.05.08</v>
      </c>
      <c r="B73" s="653" t="str">
        <f>'Budget-合并'!B73</f>
        <v>集团内分摊</v>
      </c>
      <c r="C73" s="673" t="str">
        <f>'Budget-合并'!C73</f>
        <v>Space Rel X Charge</v>
      </c>
      <c r="D73" s="676">
        <f t="shared" si="18"/>
        <v>0</v>
      </c>
      <c r="F73" s="676">
        <f t="shared" ca="1" si="19"/>
        <v>0</v>
      </c>
      <c r="H73" s="676"/>
      <c r="I73" s="676"/>
      <c r="J73" s="676"/>
      <c r="K73" s="676"/>
      <c r="L73" s="676"/>
      <c r="M73" s="676"/>
      <c r="N73" s="676"/>
      <c r="O73" s="676"/>
      <c r="P73" s="676"/>
      <c r="Q73" s="676"/>
      <c r="R73" s="676"/>
      <c r="S73" s="676"/>
      <c r="T73" s="676">
        <f t="shared" si="12"/>
        <v>0</v>
      </c>
    </row>
    <row r="74" spans="1:20" ht="11.1" customHeight="1">
      <c r="A74" s="653" t="str">
        <f>'Budget-合并'!A74</f>
        <v>6602.05.99</v>
      </c>
      <c r="B74" s="653" t="str">
        <f>'Budget-合并'!B74</f>
        <v>其他</v>
      </c>
      <c r="C74" s="673">
        <f>'Budget-合并'!C74</f>
        <v>0</v>
      </c>
      <c r="D74" s="676">
        <f t="shared" si="18"/>
        <v>0</v>
      </c>
      <c r="F74" s="676">
        <f t="shared" ca="1" si="19"/>
        <v>0</v>
      </c>
      <c r="H74" s="676"/>
      <c r="I74" s="676"/>
      <c r="J74" s="676"/>
      <c r="K74" s="676"/>
      <c r="L74" s="676"/>
      <c r="M74" s="676"/>
      <c r="N74" s="676"/>
      <c r="O74" s="676"/>
      <c r="P74" s="676"/>
      <c r="Q74" s="676"/>
      <c r="R74" s="676"/>
      <c r="S74" s="676"/>
      <c r="T74" s="676">
        <f t="shared" si="12"/>
        <v>0</v>
      </c>
    </row>
    <row r="75" spans="1:20" ht="11.1" customHeight="1">
      <c r="A75" s="663" t="str">
        <f>'Budget-合并'!A75</f>
        <v>6602.06</v>
      </c>
      <c r="B75" s="678" t="str">
        <f>'Budget-合并'!B75</f>
        <v>业务招待费</v>
      </c>
      <c r="C75" s="673" t="str">
        <f>'Budget-合并'!C75</f>
        <v>Client Entertainment</v>
      </c>
      <c r="D75" s="676">
        <f t="shared" si="18"/>
        <v>0</v>
      </c>
      <c r="F75" s="676">
        <f t="shared" ca="1" si="19"/>
        <v>0</v>
      </c>
      <c r="H75" s="676">
        <f t="shared" ref="H75:S75" si="26">SUM(H76:H78)</f>
        <v>0</v>
      </c>
      <c r="I75" s="676">
        <f t="shared" si="26"/>
        <v>0</v>
      </c>
      <c r="J75" s="676">
        <f t="shared" si="26"/>
        <v>0</v>
      </c>
      <c r="K75" s="676">
        <f t="shared" si="26"/>
        <v>0</v>
      </c>
      <c r="L75" s="676">
        <f t="shared" si="26"/>
        <v>0</v>
      </c>
      <c r="M75" s="676">
        <f t="shared" si="26"/>
        <v>0</v>
      </c>
      <c r="N75" s="676">
        <f t="shared" si="26"/>
        <v>0</v>
      </c>
      <c r="O75" s="676">
        <f t="shared" si="26"/>
        <v>0</v>
      </c>
      <c r="P75" s="676">
        <f t="shared" si="26"/>
        <v>0</v>
      </c>
      <c r="Q75" s="676">
        <f t="shared" si="26"/>
        <v>0</v>
      </c>
      <c r="R75" s="676">
        <f t="shared" si="26"/>
        <v>0</v>
      </c>
      <c r="S75" s="676">
        <f t="shared" si="26"/>
        <v>0</v>
      </c>
      <c r="T75" s="676">
        <f t="shared" si="12"/>
        <v>0</v>
      </c>
    </row>
    <row r="76" spans="1:20" ht="11.1" customHeight="1">
      <c r="A76" s="653">
        <f>'Budget-合并'!A76</f>
        <v>0</v>
      </c>
      <c r="B76" s="653" t="str">
        <f>'Budget-合并'!B76</f>
        <v xml:space="preserve">    公司主体02</v>
      </c>
      <c r="C76" s="673" t="str">
        <f>'Budget-合并'!C76</f>
        <v xml:space="preserve">   Entity</v>
      </c>
      <c r="D76" s="676">
        <f t="shared" si="18"/>
        <v>0</v>
      </c>
      <c r="F76" s="676">
        <f t="shared" ca="1" si="19"/>
        <v>0</v>
      </c>
      <c r="H76" s="676"/>
      <c r="I76" s="676"/>
      <c r="J76" s="676"/>
      <c r="K76" s="676"/>
      <c r="L76" s="676"/>
      <c r="M76" s="676"/>
      <c r="N76" s="676"/>
      <c r="O76" s="676"/>
      <c r="P76" s="676"/>
      <c r="Q76" s="676"/>
      <c r="R76" s="676"/>
      <c r="S76" s="676"/>
      <c r="T76" s="676">
        <f t="shared" si="12"/>
        <v>0</v>
      </c>
    </row>
    <row r="77" spans="1:20" ht="11.1" customHeight="1">
      <c r="A77" s="653">
        <f>'Budget-合并'!A77</f>
        <v>0</v>
      </c>
      <c r="B77" s="653" t="str">
        <f>'Budget-合并'!B77</f>
        <v xml:space="preserve">    旭智富能02</v>
      </c>
      <c r="C77" s="673" t="str">
        <f>'Budget-合并'!C77</f>
        <v xml:space="preserve">   Foxpower</v>
      </c>
      <c r="D77" s="676">
        <f t="shared" si="18"/>
        <v>0</v>
      </c>
      <c r="F77" s="676">
        <f t="shared" ca="1" si="19"/>
        <v>0</v>
      </c>
      <c r="H77" s="676"/>
      <c r="I77" s="676"/>
      <c r="J77" s="676"/>
      <c r="K77" s="676"/>
      <c r="L77" s="676"/>
      <c r="M77" s="676"/>
      <c r="N77" s="676"/>
      <c r="O77" s="676"/>
      <c r="P77" s="676"/>
      <c r="Q77" s="676"/>
      <c r="R77" s="676"/>
      <c r="S77" s="676"/>
      <c r="T77" s="676">
        <f t="shared" si="12"/>
        <v>0</v>
      </c>
    </row>
    <row r="78" spans="1:20" ht="11.1" customHeight="1">
      <c r="A78" s="653">
        <f>'Budget-合并'!A78</f>
        <v>0</v>
      </c>
      <c r="B78" s="653" t="str">
        <f>'Budget-合并'!B78</f>
        <v xml:space="preserve">    其他项目02</v>
      </c>
      <c r="C78" s="673" t="str">
        <f>'Budget-合并'!C78</f>
        <v xml:space="preserve">   Other project</v>
      </c>
      <c r="D78" s="676">
        <f t="shared" si="18"/>
        <v>0</v>
      </c>
      <c r="F78" s="676">
        <f t="shared" ca="1" si="19"/>
        <v>0</v>
      </c>
      <c r="H78" s="676"/>
      <c r="I78" s="676"/>
      <c r="J78" s="676"/>
      <c r="K78" s="676"/>
      <c r="L78" s="676"/>
      <c r="M78" s="676"/>
      <c r="N78" s="676"/>
      <c r="O78" s="676"/>
      <c r="P78" s="676"/>
      <c r="Q78" s="676"/>
      <c r="R78" s="676"/>
      <c r="S78" s="676"/>
      <c r="T78" s="676">
        <f t="shared" si="12"/>
        <v>0</v>
      </c>
    </row>
    <row r="79" spans="1:20" ht="11.1" customHeight="1">
      <c r="A79" s="653" t="str">
        <f>'Budget-合并'!A79</f>
        <v>6602.07</v>
      </c>
      <c r="B79" s="653" t="str">
        <f>'Budget-合并'!B79</f>
        <v>广告费和业务宣传费</v>
      </c>
      <c r="C79" s="673">
        <f>'Budget-合并'!C79</f>
        <v>0</v>
      </c>
      <c r="D79" s="676">
        <f t="shared" si="18"/>
        <v>0</v>
      </c>
      <c r="F79" s="676">
        <f t="shared" ca="1" si="19"/>
        <v>0</v>
      </c>
      <c r="H79" s="676"/>
      <c r="I79" s="676"/>
      <c r="J79" s="676"/>
      <c r="K79" s="676"/>
      <c r="L79" s="676"/>
      <c r="M79" s="676"/>
      <c r="N79" s="676"/>
      <c r="O79" s="676"/>
      <c r="P79" s="676"/>
      <c r="Q79" s="676"/>
      <c r="R79" s="676"/>
      <c r="S79" s="676"/>
      <c r="T79" s="676">
        <f t="shared" si="12"/>
        <v>0</v>
      </c>
    </row>
    <row r="80" spans="1:20" ht="11.1" customHeight="1">
      <c r="A80" s="663" t="str">
        <f>'Budget-合并'!A80</f>
        <v>6602.08</v>
      </c>
      <c r="B80" s="678" t="str">
        <f>'Budget-合并'!B80</f>
        <v>事务费用</v>
      </c>
      <c r="C80" s="673">
        <f>'Budget-合并'!C80</f>
        <v>0</v>
      </c>
      <c r="D80" s="676">
        <f t="shared" si="18"/>
        <v>0</v>
      </c>
      <c r="F80" s="676">
        <f t="shared" ca="1" si="19"/>
        <v>0</v>
      </c>
      <c r="H80" s="676">
        <f t="shared" ref="H80:S80" si="27">SUM(H81:H91)</f>
        <v>0</v>
      </c>
      <c r="I80" s="676">
        <f t="shared" si="27"/>
        <v>0</v>
      </c>
      <c r="J80" s="676">
        <f t="shared" si="27"/>
        <v>0</v>
      </c>
      <c r="K80" s="676">
        <f t="shared" si="27"/>
        <v>0</v>
      </c>
      <c r="L80" s="676">
        <f t="shared" si="27"/>
        <v>0</v>
      </c>
      <c r="M80" s="676">
        <f t="shared" si="27"/>
        <v>0</v>
      </c>
      <c r="N80" s="676">
        <f t="shared" si="27"/>
        <v>0</v>
      </c>
      <c r="O80" s="676">
        <f t="shared" si="27"/>
        <v>0</v>
      </c>
      <c r="P80" s="676">
        <f t="shared" si="27"/>
        <v>0</v>
      </c>
      <c r="Q80" s="676">
        <f t="shared" si="27"/>
        <v>0</v>
      </c>
      <c r="R80" s="676">
        <f t="shared" si="27"/>
        <v>0</v>
      </c>
      <c r="S80" s="676">
        <f t="shared" si="27"/>
        <v>0</v>
      </c>
      <c r="T80" s="676">
        <f t="shared" si="12"/>
        <v>0</v>
      </c>
    </row>
    <row r="81" spans="1:20" ht="11.1" customHeight="1">
      <c r="A81" s="653" t="str">
        <f>'Budget-合并'!A81</f>
        <v>6602.08.01</v>
      </c>
      <c r="B81" s="653" t="str">
        <f>'Budget-合并'!B81</f>
        <v>通信费</v>
      </c>
      <c r="C81" s="673" t="str">
        <f>'Budget-合并'!C81</f>
        <v>Telephone Monthly/Base Charge</v>
      </c>
      <c r="D81" s="676">
        <f t="shared" si="18"/>
        <v>0</v>
      </c>
      <c r="F81" s="676">
        <f t="shared" ca="1" si="19"/>
        <v>0</v>
      </c>
      <c r="H81" s="676"/>
      <c r="I81" s="676"/>
      <c r="J81" s="676"/>
      <c r="K81" s="676"/>
      <c r="L81" s="676"/>
      <c r="M81" s="676"/>
      <c r="N81" s="676"/>
      <c r="O81" s="676"/>
      <c r="P81" s="676"/>
      <c r="Q81" s="676"/>
      <c r="R81" s="676"/>
      <c r="S81" s="676"/>
      <c r="T81" s="676">
        <f t="shared" si="12"/>
        <v>0</v>
      </c>
    </row>
    <row r="82" spans="1:20" ht="11.1" customHeight="1">
      <c r="A82" s="653" t="str">
        <f>'Budget-合并'!A82</f>
        <v>6602.08.02</v>
      </c>
      <c r="B82" s="653" t="str">
        <f>'Budget-合并'!B82</f>
        <v>电脑软件费</v>
      </c>
      <c r="C82" s="673" t="str">
        <f>'Budget-合并'!C82</f>
        <v xml:space="preserve">PC Software </v>
      </c>
      <c r="D82" s="676">
        <f t="shared" si="18"/>
        <v>0</v>
      </c>
      <c r="F82" s="676">
        <f t="shared" ca="1" si="19"/>
        <v>0</v>
      </c>
      <c r="H82" s="676"/>
      <c r="I82" s="676"/>
      <c r="J82" s="676"/>
      <c r="K82" s="676"/>
      <c r="L82" s="676"/>
      <c r="M82" s="676"/>
      <c r="N82" s="676"/>
      <c r="O82" s="676"/>
      <c r="P82" s="676"/>
      <c r="Q82" s="676"/>
      <c r="R82" s="676"/>
      <c r="S82" s="676"/>
      <c r="T82" s="676">
        <f t="shared" si="12"/>
        <v>0</v>
      </c>
    </row>
    <row r="83" spans="1:20" ht="12.95" customHeight="1">
      <c r="A83" s="653" t="str">
        <f>'Budget-合并'!A83</f>
        <v>6602.08.03</v>
      </c>
      <c r="B83" s="653" t="str">
        <f>'Budget-合并'!B83</f>
        <v>办公用品</v>
      </c>
      <c r="C83" s="673" t="str">
        <f>'Budget-合并'!C83</f>
        <v xml:space="preserve">Office Supplies </v>
      </c>
      <c r="D83" s="676">
        <f t="shared" si="18"/>
        <v>0</v>
      </c>
      <c r="F83" s="676">
        <f t="shared" ca="1" si="19"/>
        <v>0</v>
      </c>
      <c r="H83" s="676"/>
      <c r="I83" s="676"/>
      <c r="J83" s="676"/>
      <c r="K83" s="676"/>
      <c r="L83" s="676"/>
      <c r="M83" s="676"/>
      <c r="N83" s="676"/>
      <c r="O83" s="676"/>
      <c r="P83" s="676"/>
      <c r="Q83" s="676"/>
      <c r="R83" s="676"/>
      <c r="S83" s="676"/>
      <c r="T83" s="676">
        <f t="shared" si="12"/>
        <v>0</v>
      </c>
    </row>
    <row r="84" spans="1:20" ht="11.1" customHeight="1">
      <c r="A84" s="653" t="str">
        <f>'Budget-合并'!A84</f>
        <v>6602.08.04</v>
      </c>
      <c r="B84" s="653" t="str">
        <f>'Budget-合并'!B84</f>
        <v>事务保金</v>
      </c>
      <c r="C84" s="673" t="str">
        <f>'Budget-合并'!C84</f>
        <v>Other Insurance</v>
      </c>
      <c r="D84" s="676">
        <f t="shared" si="18"/>
        <v>0</v>
      </c>
      <c r="F84" s="676">
        <f t="shared" ca="1" si="19"/>
        <v>0</v>
      </c>
      <c r="H84" s="676"/>
      <c r="I84" s="676"/>
      <c r="J84" s="676"/>
      <c r="K84" s="676"/>
      <c r="L84" s="676"/>
      <c r="M84" s="676"/>
      <c r="N84" s="676"/>
      <c r="O84" s="676"/>
      <c r="P84" s="676"/>
      <c r="Q84" s="676"/>
      <c r="R84" s="676"/>
      <c r="S84" s="676"/>
      <c r="T84" s="676">
        <f t="shared" si="12"/>
        <v>0</v>
      </c>
    </row>
    <row r="85" spans="1:20" ht="11.1" customHeight="1">
      <c r="A85" s="653" t="str">
        <f>'Budget-合并'!A85</f>
        <v>6602.08.05</v>
      </c>
      <c r="B85" s="653" t="str">
        <f>'Budget-合并'!B85</f>
        <v>邮费/邮递费</v>
      </c>
      <c r="C85" s="673" t="str">
        <f>'Budget-合并'!C85</f>
        <v>Postage / Freight / Delivery</v>
      </c>
      <c r="D85" s="676">
        <f t="shared" si="18"/>
        <v>0</v>
      </c>
      <c r="F85" s="676">
        <f t="shared" ca="1" si="19"/>
        <v>0</v>
      </c>
      <c r="H85" s="676"/>
      <c r="I85" s="676"/>
      <c r="J85" s="676"/>
      <c r="K85" s="676"/>
      <c r="L85" s="676"/>
      <c r="M85" s="676"/>
      <c r="N85" s="676"/>
      <c r="O85" s="676"/>
      <c r="P85" s="676"/>
      <c r="Q85" s="676"/>
      <c r="R85" s="676"/>
      <c r="S85" s="676"/>
      <c r="T85" s="676">
        <f t="shared" si="12"/>
        <v>0</v>
      </c>
    </row>
    <row r="86" spans="1:20" ht="11.1" customHeight="1">
      <c r="A86" s="653" t="str">
        <f>'Budget-合并'!A86</f>
        <v>6602.08.06</v>
      </c>
      <c r="B86" s="653" t="str">
        <f>'Budget-合并'!B86</f>
        <v>IT专业人士及微软服务</v>
      </c>
      <c r="C86" s="673" t="str">
        <f>'Budget-合并'!C86</f>
        <v xml:space="preserve">IT Professional &amp; MS Services </v>
      </c>
      <c r="D86" s="676">
        <f t="shared" si="18"/>
        <v>0</v>
      </c>
      <c r="F86" s="676">
        <f t="shared" ca="1" si="19"/>
        <v>0</v>
      </c>
      <c r="H86" s="676"/>
      <c r="I86" s="676"/>
      <c r="J86" s="676"/>
      <c r="K86" s="676"/>
      <c r="L86" s="676"/>
      <c r="M86" s="676"/>
      <c r="N86" s="676"/>
      <c r="O86" s="676"/>
      <c r="P86" s="676"/>
      <c r="Q86" s="676"/>
      <c r="R86" s="676"/>
      <c r="S86" s="676"/>
      <c r="T86" s="676">
        <f t="shared" si="12"/>
        <v>0</v>
      </c>
    </row>
    <row r="87" spans="1:20" ht="11.1" customHeight="1">
      <c r="A87" s="653" t="str">
        <f>'Budget-合并'!A87</f>
        <v>6602.08.07</v>
      </c>
      <c r="B87" s="653" t="str">
        <f>'Budget-合并'!B87</f>
        <v>软件许可证费用</v>
      </c>
      <c r="C87" s="673" t="str">
        <f>'Budget-合并'!C87</f>
        <v xml:space="preserve">Software Licence Fee Exp </v>
      </c>
      <c r="D87" s="676">
        <f t="shared" si="18"/>
        <v>0</v>
      </c>
      <c r="F87" s="676">
        <f t="shared" ca="1" si="19"/>
        <v>0</v>
      </c>
      <c r="H87" s="676"/>
      <c r="I87" s="676"/>
      <c r="J87" s="676"/>
      <c r="K87" s="676"/>
      <c r="L87" s="676"/>
      <c r="M87" s="676"/>
      <c r="N87" s="676"/>
      <c r="O87" s="676"/>
      <c r="P87" s="676"/>
      <c r="Q87" s="676"/>
      <c r="R87" s="676"/>
      <c r="S87" s="676"/>
      <c r="T87" s="676">
        <f t="shared" ref="T87:T150" si="28">SUM(H87:S87)</f>
        <v>0</v>
      </c>
    </row>
    <row r="88" spans="1:20" ht="11.1" customHeight="1">
      <c r="A88" s="653" t="str">
        <f>'Budget-合并'!A88</f>
        <v>6602.08.08</v>
      </c>
      <c r="B88" s="653" t="str">
        <f>'Budget-合并'!B88</f>
        <v>软件使用费</v>
      </c>
      <c r="C88" s="673">
        <f>'Budget-合并'!C88</f>
        <v>0</v>
      </c>
      <c r="D88" s="676">
        <f t="shared" si="18"/>
        <v>0</v>
      </c>
      <c r="F88" s="676">
        <f t="shared" ca="1" si="19"/>
        <v>0</v>
      </c>
      <c r="H88" s="676"/>
      <c r="I88" s="676"/>
      <c r="J88" s="676"/>
      <c r="K88" s="676"/>
      <c r="L88" s="676"/>
      <c r="M88" s="676"/>
      <c r="N88" s="676"/>
      <c r="O88" s="676"/>
      <c r="P88" s="676"/>
      <c r="Q88" s="676"/>
      <c r="R88" s="676"/>
      <c r="S88" s="676"/>
      <c r="T88" s="676">
        <f t="shared" si="28"/>
        <v>0</v>
      </c>
    </row>
    <row r="89" spans="1:20" ht="11.1" customHeight="1">
      <c r="A89" s="653" t="str">
        <f>'Budget-合并'!A89</f>
        <v>6602.08.09</v>
      </c>
      <c r="B89" s="653" t="str">
        <f>'Budget-合并'!B89</f>
        <v>清洁服务</v>
      </c>
      <c r="C89" s="673">
        <f>'Budget-合并'!C89</f>
        <v>0</v>
      </c>
      <c r="D89" s="676">
        <f t="shared" si="18"/>
        <v>0</v>
      </c>
      <c r="F89" s="676">
        <f t="shared" ca="1" si="19"/>
        <v>0</v>
      </c>
      <c r="H89" s="676"/>
      <c r="I89" s="676"/>
      <c r="J89" s="676"/>
      <c r="K89" s="676"/>
      <c r="L89" s="676"/>
      <c r="M89" s="676"/>
      <c r="N89" s="676"/>
      <c r="O89" s="676"/>
      <c r="P89" s="676"/>
      <c r="Q89" s="676"/>
      <c r="R89" s="676"/>
      <c r="S89" s="676"/>
      <c r="T89" s="676">
        <f t="shared" si="28"/>
        <v>0</v>
      </c>
    </row>
    <row r="90" spans="1:20" ht="11.1" customHeight="1">
      <c r="A90" s="653" t="str">
        <f>'Budget-合并'!A90</f>
        <v>6602.08.10</v>
      </c>
      <c r="B90" s="653" t="str">
        <f>'Budget-合并'!B90</f>
        <v>电话国际直拨/电话会议收费</v>
      </c>
      <c r="C90" s="673" t="str">
        <f>'Budget-合并'!C90</f>
        <v>Telephone IDD/Teleconf Charge</v>
      </c>
      <c r="D90" s="676">
        <f t="shared" si="18"/>
        <v>0</v>
      </c>
      <c r="F90" s="676">
        <f t="shared" ca="1" si="19"/>
        <v>0</v>
      </c>
      <c r="H90" s="676"/>
      <c r="I90" s="676"/>
      <c r="J90" s="676"/>
      <c r="K90" s="676"/>
      <c r="L90" s="676"/>
      <c r="M90" s="676"/>
      <c r="N90" s="676"/>
      <c r="O90" s="676"/>
      <c r="P90" s="676"/>
      <c r="Q90" s="676"/>
      <c r="R90" s="676"/>
      <c r="S90" s="676"/>
      <c r="T90" s="676">
        <f t="shared" si="28"/>
        <v>0</v>
      </c>
    </row>
    <row r="91" spans="1:20" ht="11.1" customHeight="1">
      <c r="A91" s="653" t="str">
        <f>'Budget-合并'!A91</f>
        <v>6602.08.99</v>
      </c>
      <c r="B91" s="653" t="str">
        <f>'Budget-合并'!B91</f>
        <v>其他</v>
      </c>
      <c r="C91" s="673">
        <f>'Budget-合并'!C91</f>
        <v>0</v>
      </c>
      <c r="D91" s="676">
        <f t="shared" si="18"/>
        <v>0</v>
      </c>
      <c r="F91" s="676">
        <f t="shared" ca="1" si="19"/>
        <v>0</v>
      </c>
      <c r="H91" s="676"/>
      <c r="I91" s="676"/>
      <c r="J91" s="676"/>
      <c r="K91" s="676"/>
      <c r="L91" s="676"/>
      <c r="M91" s="676"/>
      <c r="N91" s="676"/>
      <c r="O91" s="676"/>
      <c r="P91" s="676"/>
      <c r="Q91" s="676"/>
      <c r="R91" s="676"/>
      <c r="S91" s="676"/>
      <c r="T91" s="676">
        <f t="shared" si="28"/>
        <v>0</v>
      </c>
    </row>
    <row r="92" spans="1:20" ht="11.1" customHeight="1">
      <c r="A92" s="663" t="str">
        <f>'Budget-合并'!A92</f>
        <v>6602.09</v>
      </c>
      <c r="B92" s="678" t="str">
        <f>'Budget-合并'!B92</f>
        <v>差旅费</v>
      </c>
      <c r="C92" s="673">
        <f>'Budget-合并'!C92</f>
        <v>0</v>
      </c>
      <c r="D92" s="676">
        <f t="shared" si="18"/>
        <v>0</v>
      </c>
      <c r="F92" s="676">
        <f t="shared" ca="1" si="19"/>
        <v>0</v>
      </c>
      <c r="H92" s="676">
        <f t="shared" ref="H92:S92" si="29">SUM(H93,H97,H101,H105,H109,H113,H117,H118,H122,H126)</f>
        <v>0</v>
      </c>
      <c r="I92" s="676">
        <f t="shared" si="29"/>
        <v>0</v>
      </c>
      <c r="J92" s="676">
        <f t="shared" si="29"/>
        <v>0</v>
      </c>
      <c r="K92" s="676">
        <f t="shared" si="29"/>
        <v>0</v>
      </c>
      <c r="L92" s="676">
        <f t="shared" si="29"/>
        <v>0</v>
      </c>
      <c r="M92" s="676">
        <f t="shared" si="29"/>
        <v>0</v>
      </c>
      <c r="N92" s="676">
        <f t="shared" si="29"/>
        <v>0</v>
      </c>
      <c r="O92" s="676">
        <f t="shared" si="29"/>
        <v>0</v>
      </c>
      <c r="P92" s="676">
        <f t="shared" si="29"/>
        <v>0</v>
      </c>
      <c r="Q92" s="676">
        <f t="shared" si="29"/>
        <v>0</v>
      </c>
      <c r="R92" s="676">
        <f t="shared" si="29"/>
        <v>0</v>
      </c>
      <c r="S92" s="676">
        <f t="shared" si="29"/>
        <v>0</v>
      </c>
      <c r="T92" s="676">
        <f t="shared" si="28"/>
        <v>0</v>
      </c>
    </row>
    <row r="93" spans="1:20" ht="11.1" customHeight="1">
      <c r="A93" s="653" t="str">
        <f>'Budget-合并'!A93</f>
        <v>6602.09.01</v>
      </c>
      <c r="B93" s="653" t="str">
        <f>'Budget-合并'!B93</f>
        <v>住宿费</v>
      </c>
      <c r="C93" s="673" t="str">
        <f>'Budget-合并'!C93</f>
        <v>Travel Lodging</v>
      </c>
      <c r="D93" s="676">
        <f t="shared" si="18"/>
        <v>0</v>
      </c>
      <c r="F93" s="676">
        <f t="shared" ca="1" si="19"/>
        <v>0</v>
      </c>
      <c r="H93" s="676">
        <f t="shared" ref="H93:S93" si="30">SUM(H94:H96)</f>
        <v>0</v>
      </c>
      <c r="I93" s="676">
        <f t="shared" si="30"/>
        <v>0</v>
      </c>
      <c r="J93" s="676">
        <f t="shared" si="30"/>
        <v>0</v>
      </c>
      <c r="K93" s="676">
        <f t="shared" si="30"/>
        <v>0</v>
      </c>
      <c r="L93" s="676">
        <f t="shared" si="30"/>
        <v>0</v>
      </c>
      <c r="M93" s="676">
        <f t="shared" si="30"/>
        <v>0</v>
      </c>
      <c r="N93" s="676">
        <f t="shared" si="30"/>
        <v>0</v>
      </c>
      <c r="O93" s="676">
        <f t="shared" si="30"/>
        <v>0</v>
      </c>
      <c r="P93" s="676">
        <f t="shared" si="30"/>
        <v>0</v>
      </c>
      <c r="Q93" s="676">
        <f t="shared" si="30"/>
        <v>0</v>
      </c>
      <c r="R93" s="676">
        <f t="shared" si="30"/>
        <v>0</v>
      </c>
      <c r="S93" s="676">
        <f t="shared" si="30"/>
        <v>0</v>
      </c>
      <c r="T93" s="676">
        <f t="shared" si="28"/>
        <v>0</v>
      </c>
    </row>
    <row r="94" spans="1:20" ht="11.1" customHeight="1">
      <c r="A94" s="653">
        <f>'Budget-合并'!A94</f>
        <v>0</v>
      </c>
      <c r="B94" s="653" t="str">
        <f>'Budget-合并'!B94</f>
        <v xml:space="preserve">    公司主体03</v>
      </c>
      <c r="C94" s="673" t="str">
        <f>'Budget-合并'!C94</f>
        <v xml:space="preserve">   Entity</v>
      </c>
      <c r="D94" s="676">
        <f t="shared" si="18"/>
        <v>0</v>
      </c>
      <c r="F94" s="676">
        <f t="shared" ca="1" si="19"/>
        <v>0</v>
      </c>
      <c r="H94" s="676"/>
      <c r="I94" s="676"/>
      <c r="J94" s="676"/>
      <c r="K94" s="676"/>
      <c r="L94" s="676"/>
      <c r="M94" s="676"/>
      <c r="N94" s="676"/>
      <c r="O94" s="676"/>
      <c r="P94" s="676"/>
      <c r="Q94" s="676"/>
      <c r="R94" s="676"/>
      <c r="S94" s="676"/>
      <c r="T94" s="676">
        <f t="shared" si="28"/>
        <v>0</v>
      </c>
    </row>
    <row r="95" spans="1:20" ht="11.1" customHeight="1">
      <c r="A95" s="653">
        <f>'Budget-合并'!A95</f>
        <v>0</v>
      </c>
      <c r="B95" s="653" t="str">
        <f>'Budget-合并'!B95</f>
        <v xml:space="preserve">    旭智富能03</v>
      </c>
      <c r="C95" s="673" t="str">
        <f>'Budget-合并'!C95</f>
        <v xml:space="preserve">   Foxpower</v>
      </c>
      <c r="D95" s="676">
        <f t="shared" si="18"/>
        <v>0</v>
      </c>
      <c r="F95" s="676">
        <f t="shared" ca="1" si="19"/>
        <v>0</v>
      </c>
      <c r="H95" s="676"/>
      <c r="I95" s="676"/>
      <c r="J95" s="676"/>
      <c r="K95" s="676"/>
      <c r="L95" s="676"/>
      <c r="M95" s="676"/>
      <c r="N95" s="676"/>
      <c r="O95" s="676"/>
      <c r="P95" s="676"/>
      <c r="Q95" s="676"/>
      <c r="R95" s="676"/>
      <c r="S95" s="676"/>
      <c r="T95" s="676">
        <f t="shared" si="28"/>
        <v>0</v>
      </c>
    </row>
    <row r="96" spans="1:20" ht="11.1" customHeight="1">
      <c r="A96" s="653">
        <f>'Budget-合并'!A96</f>
        <v>0</v>
      </c>
      <c r="B96" s="653" t="str">
        <f>'Budget-合并'!B96</f>
        <v xml:space="preserve">    其他项目03</v>
      </c>
      <c r="C96" s="673" t="str">
        <f>'Budget-合并'!C96</f>
        <v xml:space="preserve">   Other project</v>
      </c>
      <c r="D96" s="676">
        <f t="shared" si="18"/>
        <v>0</v>
      </c>
      <c r="F96" s="676">
        <f t="shared" ca="1" si="19"/>
        <v>0</v>
      </c>
      <c r="H96" s="676"/>
      <c r="I96" s="676"/>
      <c r="J96" s="676"/>
      <c r="K96" s="676"/>
      <c r="L96" s="676"/>
      <c r="M96" s="676"/>
      <c r="N96" s="676"/>
      <c r="O96" s="676"/>
      <c r="P96" s="676"/>
      <c r="Q96" s="676"/>
      <c r="R96" s="676"/>
      <c r="S96" s="676"/>
      <c r="T96" s="676">
        <f t="shared" si="28"/>
        <v>0</v>
      </c>
    </row>
    <row r="97" spans="1:20" ht="11.1" customHeight="1">
      <c r="A97" s="653" t="str">
        <f>'Budget-合并'!A97</f>
        <v>6602.09.02</v>
      </c>
      <c r="B97" s="653" t="str">
        <f>'Budget-合并'!B97</f>
        <v>伙食费</v>
      </c>
      <c r="C97" s="673">
        <f>'Budget-合并'!C97</f>
        <v>0</v>
      </c>
      <c r="D97" s="676">
        <f t="shared" si="18"/>
        <v>0</v>
      </c>
      <c r="F97" s="676">
        <f t="shared" ca="1" si="19"/>
        <v>0</v>
      </c>
      <c r="H97" s="676">
        <f t="shared" ref="H97:S97" si="31">SUM(H98:H100)</f>
        <v>0</v>
      </c>
      <c r="I97" s="676">
        <f t="shared" si="31"/>
        <v>0</v>
      </c>
      <c r="J97" s="676">
        <f t="shared" si="31"/>
        <v>0</v>
      </c>
      <c r="K97" s="676">
        <f t="shared" si="31"/>
        <v>0</v>
      </c>
      <c r="L97" s="676">
        <f t="shared" si="31"/>
        <v>0</v>
      </c>
      <c r="M97" s="676">
        <f t="shared" si="31"/>
        <v>0</v>
      </c>
      <c r="N97" s="676">
        <f t="shared" si="31"/>
        <v>0</v>
      </c>
      <c r="O97" s="676">
        <f t="shared" si="31"/>
        <v>0</v>
      </c>
      <c r="P97" s="676">
        <f t="shared" si="31"/>
        <v>0</v>
      </c>
      <c r="Q97" s="676">
        <f t="shared" si="31"/>
        <v>0</v>
      </c>
      <c r="R97" s="676">
        <f t="shared" si="31"/>
        <v>0</v>
      </c>
      <c r="S97" s="676">
        <f t="shared" si="31"/>
        <v>0</v>
      </c>
      <c r="T97" s="676">
        <f t="shared" si="28"/>
        <v>0</v>
      </c>
    </row>
    <row r="98" spans="1:20" ht="11.1" customHeight="1">
      <c r="A98" s="653">
        <f>'Budget-合并'!A98</f>
        <v>0</v>
      </c>
      <c r="B98" s="653" t="str">
        <f>'Budget-合并'!B98</f>
        <v xml:space="preserve">    公司主体04</v>
      </c>
      <c r="C98" s="673" t="str">
        <f>'Budget-合并'!C98</f>
        <v xml:space="preserve">   Entity</v>
      </c>
      <c r="D98" s="676">
        <f t="shared" si="18"/>
        <v>0</v>
      </c>
      <c r="F98" s="676">
        <f t="shared" ca="1" si="19"/>
        <v>0</v>
      </c>
      <c r="H98" s="676"/>
      <c r="I98" s="676"/>
      <c r="J98" s="676"/>
      <c r="K98" s="676"/>
      <c r="L98" s="676"/>
      <c r="M98" s="676"/>
      <c r="N98" s="676"/>
      <c r="O98" s="676"/>
      <c r="P98" s="676"/>
      <c r="Q98" s="676"/>
      <c r="R98" s="676"/>
      <c r="S98" s="676"/>
      <c r="T98" s="676">
        <f t="shared" si="28"/>
        <v>0</v>
      </c>
    </row>
    <row r="99" spans="1:20" ht="11.1" customHeight="1">
      <c r="A99" s="653">
        <f>'Budget-合并'!A99</f>
        <v>0</v>
      </c>
      <c r="B99" s="653" t="str">
        <f>'Budget-合并'!B99</f>
        <v xml:space="preserve">    旭智富能04</v>
      </c>
      <c r="C99" s="673" t="str">
        <f>'Budget-合并'!C99</f>
        <v xml:space="preserve">   Foxpower</v>
      </c>
      <c r="D99" s="676">
        <f t="shared" si="18"/>
        <v>0</v>
      </c>
      <c r="F99" s="676">
        <f t="shared" ca="1" si="19"/>
        <v>0</v>
      </c>
      <c r="H99" s="676"/>
      <c r="I99" s="676"/>
      <c r="J99" s="676"/>
      <c r="K99" s="676"/>
      <c r="L99" s="676"/>
      <c r="M99" s="676"/>
      <c r="N99" s="676"/>
      <c r="O99" s="676"/>
      <c r="P99" s="676"/>
      <c r="Q99" s="676"/>
      <c r="R99" s="676"/>
      <c r="S99" s="676"/>
      <c r="T99" s="676">
        <f t="shared" si="28"/>
        <v>0</v>
      </c>
    </row>
    <row r="100" spans="1:20" ht="11.1" customHeight="1">
      <c r="A100" s="653">
        <f>'Budget-合并'!A100</f>
        <v>0</v>
      </c>
      <c r="B100" s="653" t="str">
        <f>'Budget-合并'!B100</f>
        <v xml:space="preserve">    其他项目04</v>
      </c>
      <c r="C100" s="673" t="str">
        <f>'Budget-合并'!C100</f>
        <v xml:space="preserve">   Other project</v>
      </c>
      <c r="D100" s="676">
        <f t="shared" si="18"/>
        <v>0</v>
      </c>
      <c r="F100" s="676">
        <f t="shared" ca="1" si="19"/>
        <v>0</v>
      </c>
      <c r="H100" s="676"/>
      <c r="I100" s="676"/>
      <c r="J100" s="676"/>
      <c r="K100" s="676"/>
      <c r="L100" s="676"/>
      <c r="M100" s="676"/>
      <c r="N100" s="676"/>
      <c r="O100" s="676"/>
      <c r="P100" s="676"/>
      <c r="Q100" s="676"/>
      <c r="R100" s="676"/>
      <c r="S100" s="676"/>
      <c r="T100" s="676">
        <f t="shared" si="28"/>
        <v>0</v>
      </c>
    </row>
    <row r="101" spans="1:20" ht="11.1" customHeight="1">
      <c r="A101" s="653" t="str">
        <f>'Budget-合并'!A101</f>
        <v>6602.09.03</v>
      </c>
      <c r="B101" s="653" t="str">
        <f>'Budget-合并'!B101</f>
        <v>地面交通费</v>
      </c>
      <c r="C101" s="673" t="str">
        <f>'Budget-合并'!C101</f>
        <v>Travel Ground Transport - Outstation</v>
      </c>
      <c r="D101" s="676">
        <f t="shared" si="18"/>
        <v>0</v>
      </c>
      <c r="F101" s="676">
        <f t="shared" ca="1" si="19"/>
        <v>0</v>
      </c>
      <c r="H101" s="676">
        <f t="shared" ref="H101:S101" si="32">SUM(H102:H104)</f>
        <v>0</v>
      </c>
      <c r="I101" s="676">
        <f t="shared" si="32"/>
        <v>0</v>
      </c>
      <c r="J101" s="676">
        <f t="shared" si="32"/>
        <v>0</v>
      </c>
      <c r="K101" s="676">
        <f t="shared" si="32"/>
        <v>0</v>
      </c>
      <c r="L101" s="676">
        <f t="shared" si="32"/>
        <v>0</v>
      </c>
      <c r="M101" s="676">
        <f t="shared" si="32"/>
        <v>0</v>
      </c>
      <c r="N101" s="676">
        <f t="shared" si="32"/>
        <v>0</v>
      </c>
      <c r="O101" s="676">
        <f t="shared" si="32"/>
        <v>0</v>
      </c>
      <c r="P101" s="676">
        <f t="shared" si="32"/>
        <v>0</v>
      </c>
      <c r="Q101" s="676">
        <f t="shared" si="32"/>
        <v>0</v>
      </c>
      <c r="R101" s="676">
        <f t="shared" si="32"/>
        <v>0</v>
      </c>
      <c r="S101" s="676">
        <f t="shared" si="32"/>
        <v>0</v>
      </c>
      <c r="T101" s="676">
        <f t="shared" si="28"/>
        <v>0</v>
      </c>
    </row>
    <row r="102" spans="1:20" ht="11.1" customHeight="1">
      <c r="A102" s="653">
        <f>'Budget-合并'!A102</f>
        <v>0</v>
      </c>
      <c r="B102" s="653" t="str">
        <f>'Budget-合并'!B102</f>
        <v xml:space="preserve">    公司主体05</v>
      </c>
      <c r="C102" s="673" t="str">
        <f>'Budget-合并'!C102</f>
        <v xml:space="preserve">   Entity</v>
      </c>
      <c r="D102" s="676">
        <f t="shared" si="18"/>
        <v>0</v>
      </c>
      <c r="F102" s="676">
        <f t="shared" ca="1" si="19"/>
        <v>0</v>
      </c>
      <c r="H102" s="676"/>
      <c r="I102" s="676"/>
      <c r="J102" s="676"/>
      <c r="K102" s="676"/>
      <c r="L102" s="676"/>
      <c r="M102" s="676"/>
      <c r="N102" s="676"/>
      <c r="O102" s="676"/>
      <c r="P102" s="676"/>
      <c r="Q102" s="676"/>
      <c r="R102" s="676"/>
      <c r="S102" s="676"/>
      <c r="T102" s="676">
        <f t="shared" si="28"/>
        <v>0</v>
      </c>
    </row>
    <row r="103" spans="1:20" ht="11.1" customHeight="1">
      <c r="A103" s="653">
        <f>'Budget-合并'!A103</f>
        <v>0</v>
      </c>
      <c r="B103" s="653" t="str">
        <f>'Budget-合并'!B103</f>
        <v xml:space="preserve">    旭智富能05</v>
      </c>
      <c r="C103" s="673" t="str">
        <f>'Budget-合并'!C103</f>
        <v xml:space="preserve">   Foxpower</v>
      </c>
      <c r="D103" s="676">
        <f t="shared" si="18"/>
        <v>0</v>
      </c>
      <c r="F103" s="676">
        <f t="shared" ca="1" si="19"/>
        <v>0</v>
      </c>
      <c r="H103" s="676"/>
      <c r="I103" s="676"/>
      <c r="J103" s="676"/>
      <c r="K103" s="676"/>
      <c r="L103" s="676"/>
      <c r="M103" s="676"/>
      <c r="N103" s="676"/>
      <c r="O103" s="676"/>
      <c r="P103" s="676"/>
      <c r="Q103" s="676"/>
      <c r="R103" s="676"/>
      <c r="S103" s="676"/>
      <c r="T103" s="676">
        <f t="shared" si="28"/>
        <v>0</v>
      </c>
    </row>
    <row r="104" spans="1:20" ht="11.1" customHeight="1">
      <c r="A104" s="653">
        <f>'Budget-合并'!A104</f>
        <v>0</v>
      </c>
      <c r="B104" s="653" t="str">
        <f>'Budget-合并'!B104</f>
        <v xml:space="preserve">    其他项目05</v>
      </c>
      <c r="C104" s="673" t="str">
        <f>'Budget-合并'!C104</f>
        <v xml:space="preserve">   Other project</v>
      </c>
      <c r="D104" s="676">
        <f t="shared" si="18"/>
        <v>0</v>
      </c>
      <c r="F104" s="676">
        <f t="shared" ca="1" si="19"/>
        <v>0</v>
      </c>
      <c r="H104" s="676"/>
      <c r="I104" s="676"/>
      <c r="J104" s="676"/>
      <c r="K104" s="676"/>
      <c r="L104" s="676"/>
      <c r="M104" s="676"/>
      <c r="N104" s="676"/>
      <c r="O104" s="676"/>
      <c r="P104" s="676"/>
      <c r="Q104" s="676"/>
      <c r="R104" s="676"/>
      <c r="S104" s="676"/>
      <c r="T104" s="676">
        <f t="shared" si="28"/>
        <v>0</v>
      </c>
    </row>
    <row r="105" spans="1:20" ht="11.1" customHeight="1">
      <c r="A105" s="653" t="str">
        <f>'Budget-合并'!A105</f>
        <v>6602.09.04</v>
      </c>
      <c r="B105" s="653" t="str">
        <f>'Budget-合并'!B105</f>
        <v>空中交通费</v>
      </c>
      <c r="C105" s="673" t="str">
        <f>'Budget-合并'!C105</f>
        <v>Travel Air Transport</v>
      </c>
      <c r="D105" s="676">
        <f t="shared" si="18"/>
        <v>0</v>
      </c>
      <c r="F105" s="676">
        <f t="shared" ca="1" si="19"/>
        <v>0</v>
      </c>
      <c r="H105" s="676">
        <f t="shared" ref="H105:S105" si="33">SUM(H106:H108)</f>
        <v>0</v>
      </c>
      <c r="I105" s="676">
        <f t="shared" si="33"/>
        <v>0</v>
      </c>
      <c r="J105" s="676">
        <f t="shared" si="33"/>
        <v>0</v>
      </c>
      <c r="K105" s="676">
        <f t="shared" si="33"/>
        <v>0</v>
      </c>
      <c r="L105" s="676">
        <f t="shared" si="33"/>
        <v>0</v>
      </c>
      <c r="M105" s="676">
        <f t="shared" si="33"/>
        <v>0</v>
      </c>
      <c r="N105" s="676">
        <f t="shared" si="33"/>
        <v>0</v>
      </c>
      <c r="O105" s="676">
        <f t="shared" si="33"/>
        <v>0</v>
      </c>
      <c r="P105" s="676">
        <f t="shared" si="33"/>
        <v>0</v>
      </c>
      <c r="Q105" s="676">
        <f t="shared" si="33"/>
        <v>0</v>
      </c>
      <c r="R105" s="676">
        <f t="shared" si="33"/>
        <v>0</v>
      </c>
      <c r="S105" s="676">
        <f t="shared" si="33"/>
        <v>0</v>
      </c>
      <c r="T105" s="676">
        <f t="shared" si="28"/>
        <v>0</v>
      </c>
    </row>
    <row r="106" spans="1:20" ht="11.1" customHeight="1">
      <c r="A106" s="653">
        <f>'Budget-合并'!A106</f>
        <v>0</v>
      </c>
      <c r="B106" s="653" t="str">
        <f>'Budget-合并'!B106</f>
        <v xml:space="preserve">    公司主体06</v>
      </c>
      <c r="C106" s="673" t="str">
        <f>'Budget-合并'!C106</f>
        <v xml:space="preserve">   Entity</v>
      </c>
      <c r="D106" s="676">
        <f t="shared" si="18"/>
        <v>0</v>
      </c>
      <c r="F106" s="676">
        <f t="shared" ca="1" si="19"/>
        <v>0</v>
      </c>
      <c r="H106" s="676"/>
      <c r="I106" s="676"/>
      <c r="J106" s="676"/>
      <c r="K106" s="676"/>
      <c r="L106" s="676"/>
      <c r="M106" s="676"/>
      <c r="N106" s="676"/>
      <c r="O106" s="676"/>
      <c r="P106" s="676"/>
      <c r="Q106" s="676"/>
      <c r="R106" s="676"/>
      <c r="S106" s="676"/>
      <c r="T106" s="676">
        <f t="shared" si="28"/>
        <v>0</v>
      </c>
    </row>
    <row r="107" spans="1:20" ht="11.1" customHeight="1">
      <c r="A107" s="653">
        <f>'Budget-合并'!A107</f>
        <v>0</v>
      </c>
      <c r="B107" s="653" t="str">
        <f>'Budget-合并'!B107</f>
        <v xml:space="preserve">    旭智富能06</v>
      </c>
      <c r="C107" s="673" t="str">
        <f>'Budget-合并'!C107</f>
        <v xml:space="preserve">   Foxpower</v>
      </c>
      <c r="D107" s="676">
        <f t="shared" si="18"/>
        <v>0</v>
      </c>
      <c r="F107" s="676">
        <f t="shared" ca="1" si="19"/>
        <v>0</v>
      </c>
      <c r="H107" s="676"/>
      <c r="I107" s="676"/>
      <c r="J107" s="676"/>
      <c r="K107" s="676"/>
      <c r="L107" s="676"/>
      <c r="M107" s="676"/>
      <c r="N107" s="676"/>
      <c r="O107" s="676"/>
      <c r="P107" s="676"/>
      <c r="Q107" s="676"/>
      <c r="R107" s="676"/>
      <c r="S107" s="676"/>
      <c r="T107" s="676">
        <f t="shared" si="28"/>
        <v>0</v>
      </c>
    </row>
    <row r="108" spans="1:20" ht="11.1" customHeight="1">
      <c r="A108" s="653">
        <f>'Budget-合并'!A108</f>
        <v>0</v>
      </c>
      <c r="B108" s="653" t="str">
        <f>'Budget-合并'!B108</f>
        <v xml:space="preserve">    其他项目06</v>
      </c>
      <c r="C108" s="673" t="str">
        <f>'Budget-合并'!C108</f>
        <v xml:space="preserve">   Other project</v>
      </c>
      <c r="D108" s="676">
        <f t="shared" ref="D108:D153" si="34">INDEX($H$8:$S$8,1,MATCH($D$6,$H$6:$S$6))</f>
        <v>0</v>
      </c>
      <c r="F108" s="676">
        <f t="shared" ref="F108:F153" ca="1" si="35">SUM($H108:OFFSET($H108,0,MATCH(F$6,$H$6:$S$6)-1))</f>
        <v>0</v>
      </c>
      <c r="H108" s="676"/>
      <c r="I108" s="676"/>
      <c r="J108" s="676"/>
      <c r="K108" s="676"/>
      <c r="L108" s="676"/>
      <c r="M108" s="676"/>
      <c r="N108" s="676"/>
      <c r="O108" s="676"/>
      <c r="P108" s="676"/>
      <c r="Q108" s="676"/>
      <c r="R108" s="676"/>
      <c r="S108" s="676"/>
      <c r="T108" s="676">
        <f t="shared" si="28"/>
        <v>0</v>
      </c>
    </row>
    <row r="109" spans="1:20" ht="11.1" customHeight="1">
      <c r="A109" s="653" t="str">
        <f>'Budget-合并'!A109</f>
        <v>6602.09.05</v>
      </c>
      <c r="B109" s="653" t="str">
        <f>'Budget-合并'!B109</f>
        <v>租车</v>
      </c>
      <c r="C109" s="673">
        <f>'Budget-合并'!C109</f>
        <v>0</v>
      </c>
      <c r="D109" s="676">
        <f t="shared" si="34"/>
        <v>0</v>
      </c>
      <c r="F109" s="676">
        <f t="shared" ca="1" si="35"/>
        <v>0</v>
      </c>
      <c r="H109" s="676">
        <f t="shared" ref="H109:S109" si="36">SUM(H110:H112)</f>
        <v>0</v>
      </c>
      <c r="I109" s="676">
        <f t="shared" si="36"/>
        <v>0</v>
      </c>
      <c r="J109" s="676">
        <f t="shared" si="36"/>
        <v>0</v>
      </c>
      <c r="K109" s="676">
        <f t="shared" si="36"/>
        <v>0</v>
      </c>
      <c r="L109" s="676">
        <f t="shared" si="36"/>
        <v>0</v>
      </c>
      <c r="M109" s="676">
        <f t="shared" si="36"/>
        <v>0</v>
      </c>
      <c r="N109" s="676">
        <f t="shared" si="36"/>
        <v>0</v>
      </c>
      <c r="O109" s="676">
        <f t="shared" si="36"/>
        <v>0</v>
      </c>
      <c r="P109" s="676">
        <f t="shared" si="36"/>
        <v>0</v>
      </c>
      <c r="Q109" s="676">
        <f t="shared" si="36"/>
        <v>0</v>
      </c>
      <c r="R109" s="676">
        <f t="shared" si="36"/>
        <v>0</v>
      </c>
      <c r="S109" s="676">
        <f t="shared" si="36"/>
        <v>0</v>
      </c>
      <c r="T109" s="676">
        <f t="shared" si="28"/>
        <v>0</v>
      </c>
    </row>
    <row r="110" spans="1:20" ht="11.1" customHeight="1">
      <c r="A110" s="653">
        <f>'Budget-合并'!A110</f>
        <v>0</v>
      </c>
      <c r="B110" s="653" t="str">
        <f>'Budget-合并'!B110</f>
        <v xml:space="preserve">    公司主体07</v>
      </c>
      <c r="C110" s="673" t="str">
        <f>'Budget-合并'!C110</f>
        <v xml:space="preserve">   Entity</v>
      </c>
      <c r="D110" s="676">
        <f t="shared" si="34"/>
        <v>0</v>
      </c>
      <c r="F110" s="676">
        <f t="shared" ca="1" si="35"/>
        <v>0</v>
      </c>
      <c r="H110" s="676"/>
      <c r="I110" s="676"/>
      <c r="J110" s="676"/>
      <c r="K110" s="676"/>
      <c r="L110" s="676"/>
      <c r="M110" s="676"/>
      <c r="N110" s="676"/>
      <c r="O110" s="676"/>
      <c r="P110" s="676"/>
      <c r="Q110" s="676"/>
      <c r="R110" s="676"/>
      <c r="S110" s="676"/>
      <c r="T110" s="676">
        <f t="shared" si="28"/>
        <v>0</v>
      </c>
    </row>
    <row r="111" spans="1:20" ht="11.1" customHeight="1">
      <c r="A111" s="653">
        <f>'Budget-合并'!A111</f>
        <v>0</v>
      </c>
      <c r="B111" s="653" t="str">
        <f>'Budget-合并'!B111</f>
        <v xml:space="preserve">    旭智富能07</v>
      </c>
      <c r="C111" s="673" t="str">
        <f>'Budget-合并'!C111</f>
        <v xml:space="preserve">   Foxpower</v>
      </c>
      <c r="D111" s="676">
        <f t="shared" si="34"/>
        <v>0</v>
      </c>
      <c r="F111" s="676">
        <f t="shared" ca="1" si="35"/>
        <v>0</v>
      </c>
      <c r="H111" s="676"/>
      <c r="I111" s="676"/>
      <c r="J111" s="676"/>
      <c r="K111" s="676"/>
      <c r="L111" s="676"/>
      <c r="M111" s="676"/>
      <c r="N111" s="676"/>
      <c r="O111" s="676"/>
      <c r="P111" s="676"/>
      <c r="Q111" s="676"/>
      <c r="R111" s="676"/>
      <c r="S111" s="676"/>
      <c r="T111" s="676">
        <f t="shared" si="28"/>
        <v>0</v>
      </c>
    </row>
    <row r="112" spans="1:20" ht="11.1" customHeight="1">
      <c r="A112" s="653">
        <f>'Budget-合并'!A112</f>
        <v>0</v>
      </c>
      <c r="B112" s="653" t="str">
        <f>'Budget-合并'!B112</f>
        <v xml:space="preserve">    其他项目07</v>
      </c>
      <c r="C112" s="673" t="str">
        <f>'Budget-合并'!C112</f>
        <v xml:space="preserve">   Other project</v>
      </c>
      <c r="D112" s="676">
        <f t="shared" si="34"/>
        <v>0</v>
      </c>
      <c r="F112" s="676">
        <f t="shared" ca="1" si="35"/>
        <v>0</v>
      </c>
      <c r="H112" s="676"/>
      <c r="I112" s="676"/>
      <c r="J112" s="676"/>
      <c r="K112" s="676"/>
      <c r="L112" s="676"/>
      <c r="M112" s="676"/>
      <c r="N112" s="676"/>
      <c r="O112" s="676"/>
      <c r="P112" s="676"/>
      <c r="Q112" s="676"/>
      <c r="R112" s="676"/>
      <c r="S112" s="676"/>
      <c r="T112" s="676">
        <f t="shared" si="28"/>
        <v>0</v>
      </c>
    </row>
    <row r="113" spans="1:20" ht="11.1" customHeight="1">
      <c r="A113" s="653" t="str">
        <f>'Budget-合并'!A113</f>
        <v>6602.09.06</v>
      </c>
      <c r="B113" s="653" t="str">
        <f>'Budget-合并'!B113</f>
        <v>其他汽车费用</v>
      </c>
      <c r="C113" s="673">
        <f>'Budget-合并'!C113</f>
        <v>0</v>
      </c>
      <c r="D113" s="676">
        <f t="shared" si="34"/>
        <v>0</v>
      </c>
      <c r="F113" s="676">
        <f t="shared" ca="1" si="35"/>
        <v>0</v>
      </c>
      <c r="H113" s="676">
        <f t="shared" ref="H113:S113" si="37">SUM(H114:H116)</f>
        <v>0</v>
      </c>
      <c r="I113" s="676">
        <f t="shared" si="37"/>
        <v>0</v>
      </c>
      <c r="J113" s="676">
        <f t="shared" si="37"/>
        <v>0</v>
      </c>
      <c r="K113" s="676">
        <f t="shared" si="37"/>
        <v>0</v>
      </c>
      <c r="L113" s="676">
        <f t="shared" si="37"/>
        <v>0</v>
      </c>
      <c r="M113" s="676">
        <f t="shared" si="37"/>
        <v>0</v>
      </c>
      <c r="N113" s="676">
        <f t="shared" si="37"/>
        <v>0</v>
      </c>
      <c r="O113" s="676">
        <f t="shared" si="37"/>
        <v>0</v>
      </c>
      <c r="P113" s="676">
        <f t="shared" si="37"/>
        <v>0</v>
      </c>
      <c r="Q113" s="676">
        <f t="shared" si="37"/>
        <v>0</v>
      </c>
      <c r="R113" s="676">
        <f t="shared" si="37"/>
        <v>0</v>
      </c>
      <c r="S113" s="676">
        <f t="shared" si="37"/>
        <v>0</v>
      </c>
      <c r="T113" s="676">
        <f t="shared" si="28"/>
        <v>0</v>
      </c>
    </row>
    <row r="114" spans="1:20" ht="11.1" customHeight="1">
      <c r="A114" s="653">
        <f>'Budget-合并'!A114</f>
        <v>0</v>
      </c>
      <c r="B114" s="653" t="str">
        <f>'Budget-合并'!B114</f>
        <v xml:space="preserve">    公司主体08</v>
      </c>
      <c r="C114" s="673" t="str">
        <f>'Budget-合并'!C114</f>
        <v xml:space="preserve">   Entity</v>
      </c>
      <c r="D114" s="676">
        <f t="shared" si="34"/>
        <v>0</v>
      </c>
      <c r="F114" s="676">
        <f t="shared" ca="1" si="35"/>
        <v>0</v>
      </c>
      <c r="H114" s="676"/>
      <c r="I114" s="676"/>
      <c r="J114" s="676"/>
      <c r="K114" s="676"/>
      <c r="L114" s="676"/>
      <c r="M114" s="676"/>
      <c r="N114" s="676"/>
      <c r="O114" s="676"/>
      <c r="P114" s="676"/>
      <c r="Q114" s="676"/>
      <c r="R114" s="676"/>
      <c r="S114" s="676"/>
      <c r="T114" s="676">
        <f t="shared" si="28"/>
        <v>0</v>
      </c>
    </row>
    <row r="115" spans="1:20" ht="11.1" customHeight="1">
      <c r="A115" s="653">
        <f>'Budget-合并'!A115</f>
        <v>0</v>
      </c>
      <c r="B115" s="653" t="str">
        <f>'Budget-合并'!B115</f>
        <v xml:space="preserve">    旭智富能08</v>
      </c>
      <c r="C115" s="673" t="str">
        <f>'Budget-合并'!C115</f>
        <v xml:space="preserve">   Foxpower</v>
      </c>
      <c r="D115" s="676">
        <f t="shared" si="34"/>
        <v>0</v>
      </c>
      <c r="F115" s="676">
        <f t="shared" ca="1" si="35"/>
        <v>0</v>
      </c>
      <c r="H115" s="676"/>
      <c r="I115" s="676"/>
      <c r="J115" s="676"/>
      <c r="K115" s="676"/>
      <c r="L115" s="676"/>
      <c r="M115" s="676"/>
      <c r="N115" s="676"/>
      <c r="O115" s="676"/>
      <c r="P115" s="676"/>
      <c r="Q115" s="676"/>
      <c r="R115" s="676"/>
      <c r="S115" s="676"/>
      <c r="T115" s="676">
        <f t="shared" si="28"/>
        <v>0</v>
      </c>
    </row>
    <row r="116" spans="1:20" ht="11.1" customHeight="1">
      <c r="A116" s="653">
        <f>'Budget-合并'!A116</f>
        <v>0</v>
      </c>
      <c r="B116" s="653" t="str">
        <f>'Budget-合并'!B116</f>
        <v xml:space="preserve">    其他项目08</v>
      </c>
      <c r="C116" s="673" t="str">
        <f>'Budget-合并'!C116</f>
        <v xml:space="preserve">   Other project</v>
      </c>
      <c r="D116" s="676">
        <f t="shared" si="34"/>
        <v>0</v>
      </c>
      <c r="F116" s="676">
        <f t="shared" ca="1" si="35"/>
        <v>0</v>
      </c>
      <c r="H116" s="676"/>
      <c r="I116" s="676"/>
      <c r="J116" s="676"/>
      <c r="K116" s="676"/>
      <c r="L116" s="676"/>
      <c r="M116" s="676"/>
      <c r="N116" s="676"/>
      <c r="O116" s="676"/>
      <c r="P116" s="676"/>
      <c r="Q116" s="676"/>
      <c r="R116" s="676"/>
      <c r="S116" s="676"/>
      <c r="T116" s="676">
        <f t="shared" si="28"/>
        <v>0</v>
      </c>
    </row>
    <row r="117" spans="1:20" ht="11.1" customHeight="1">
      <c r="A117" s="653" t="str">
        <f>'Budget-合并'!A117</f>
        <v>6602.09.07</v>
      </c>
      <c r="B117" s="653" t="str">
        <f>'Budget-合并'!B117</f>
        <v>检测费</v>
      </c>
      <c r="C117" s="673">
        <f>'Budget-合并'!C117</f>
        <v>0</v>
      </c>
      <c r="D117" s="676">
        <f t="shared" si="34"/>
        <v>0</v>
      </c>
      <c r="F117" s="676">
        <f t="shared" ca="1" si="35"/>
        <v>0</v>
      </c>
      <c r="H117" s="676"/>
      <c r="I117" s="676"/>
      <c r="J117" s="676"/>
      <c r="K117" s="676"/>
      <c r="L117" s="676"/>
      <c r="M117" s="676"/>
      <c r="N117" s="676"/>
      <c r="O117" s="676"/>
      <c r="P117" s="676"/>
      <c r="Q117" s="676"/>
      <c r="R117" s="676"/>
      <c r="S117" s="676"/>
      <c r="T117" s="676">
        <f t="shared" si="28"/>
        <v>0</v>
      </c>
    </row>
    <row r="118" spans="1:20" ht="11.1" customHeight="1">
      <c r="A118" s="653" t="str">
        <f>'Budget-合并'!A118</f>
        <v>6602.09.08</v>
      </c>
      <c r="B118" s="653" t="str">
        <f>'Budget-合并'!B118</f>
        <v>退改费用（机票/火车等）</v>
      </c>
      <c r="C118" s="673">
        <f>'Budget-合并'!C118</f>
        <v>0</v>
      </c>
      <c r="D118" s="676">
        <f t="shared" si="34"/>
        <v>0</v>
      </c>
      <c r="F118" s="676">
        <f t="shared" ca="1" si="35"/>
        <v>0</v>
      </c>
      <c r="H118" s="676">
        <f t="shared" ref="H118:S118" si="38">SUM(H119:H121)</f>
        <v>0</v>
      </c>
      <c r="I118" s="676">
        <f t="shared" si="38"/>
        <v>0</v>
      </c>
      <c r="J118" s="676">
        <f t="shared" si="38"/>
        <v>0</v>
      </c>
      <c r="K118" s="676">
        <f t="shared" si="38"/>
        <v>0</v>
      </c>
      <c r="L118" s="676">
        <f t="shared" si="38"/>
        <v>0</v>
      </c>
      <c r="M118" s="676">
        <f t="shared" si="38"/>
        <v>0</v>
      </c>
      <c r="N118" s="676">
        <f t="shared" si="38"/>
        <v>0</v>
      </c>
      <c r="O118" s="676">
        <f t="shared" si="38"/>
        <v>0</v>
      </c>
      <c r="P118" s="676">
        <f t="shared" si="38"/>
        <v>0</v>
      </c>
      <c r="Q118" s="676">
        <f t="shared" si="38"/>
        <v>0</v>
      </c>
      <c r="R118" s="676">
        <f t="shared" si="38"/>
        <v>0</v>
      </c>
      <c r="S118" s="676">
        <f t="shared" si="38"/>
        <v>0</v>
      </c>
      <c r="T118" s="676">
        <f t="shared" si="28"/>
        <v>0</v>
      </c>
    </row>
    <row r="119" spans="1:20" ht="11.1" customHeight="1">
      <c r="A119" s="653">
        <f>'Budget-合并'!A119</f>
        <v>0</v>
      </c>
      <c r="B119" s="653" t="str">
        <f>'Budget-合并'!B119</f>
        <v xml:space="preserve">    公司主体09</v>
      </c>
      <c r="C119" s="673" t="str">
        <f>'Budget-合并'!C119</f>
        <v xml:space="preserve">   Entity</v>
      </c>
      <c r="D119" s="676">
        <f t="shared" si="34"/>
        <v>0</v>
      </c>
      <c r="F119" s="676">
        <f t="shared" ca="1" si="35"/>
        <v>0</v>
      </c>
      <c r="H119" s="676"/>
      <c r="I119" s="676"/>
      <c r="J119" s="676"/>
      <c r="K119" s="676"/>
      <c r="L119" s="676"/>
      <c r="M119" s="676"/>
      <c r="N119" s="676"/>
      <c r="O119" s="676"/>
      <c r="P119" s="676"/>
      <c r="Q119" s="676"/>
      <c r="R119" s="676"/>
      <c r="S119" s="676"/>
      <c r="T119" s="676">
        <f t="shared" si="28"/>
        <v>0</v>
      </c>
    </row>
    <row r="120" spans="1:20" ht="11.1" customHeight="1">
      <c r="A120" s="653">
        <f>'Budget-合并'!A120</f>
        <v>0</v>
      </c>
      <c r="B120" s="653" t="str">
        <f>'Budget-合并'!B120</f>
        <v xml:space="preserve">    旭智富能09</v>
      </c>
      <c r="C120" s="673" t="str">
        <f>'Budget-合并'!C120</f>
        <v xml:space="preserve">   Foxpower</v>
      </c>
      <c r="D120" s="676">
        <f t="shared" si="34"/>
        <v>0</v>
      </c>
      <c r="F120" s="676">
        <f t="shared" ca="1" si="35"/>
        <v>0</v>
      </c>
      <c r="H120" s="676"/>
      <c r="I120" s="676"/>
      <c r="J120" s="676"/>
      <c r="K120" s="676"/>
      <c r="L120" s="676"/>
      <c r="M120" s="676"/>
      <c r="N120" s="676"/>
      <c r="O120" s="676"/>
      <c r="P120" s="676"/>
      <c r="Q120" s="676"/>
      <c r="R120" s="676"/>
      <c r="S120" s="676"/>
      <c r="T120" s="676">
        <f t="shared" si="28"/>
        <v>0</v>
      </c>
    </row>
    <row r="121" spans="1:20" ht="11.1" customHeight="1">
      <c r="A121" s="653">
        <f>'Budget-合并'!A121</f>
        <v>0</v>
      </c>
      <c r="B121" s="653" t="str">
        <f>'Budget-合并'!B121</f>
        <v xml:space="preserve">    其他项目09</v>
      </c>
      <c r="C121" s="673" t="str">
        <f>'Budget-合并'!C121</f>
        <v xml:space="preserve">   Other project</v>
      </c>
      <c r="D121" s="676">
        <f t="shared" si="34"/>
        <v>0</v>
      </c>
      <c r="F121" s="676">
        <f t="shared" ca="1" si="35"/>
        <v>0</v>
      </c>
      <c r="H121" s="676"/>
      <c r="I121" s="676"/>
      <c r="J121" s="676"/>
      <c r="K121" s="676"/>
      <c r="L121" s="676"/>
      <c r="M121" s="676"/>
      <c r="N121" s="676"/>
      <c r="O121" s="676"/>
      <c r="P121" s="676"/>
      <c r="Q121" s="676"/>
      <c r="R121" s="676"/>
      <c r="S121" s="676"/>
      <c r="T121" s="676">
        <f t="shared" si="28"/>
        <v>0</v>
      </c>
    </row>
    <row r="122" spans="1:20" ht="11.1" customHeight="1">
      <c r="A122" s="653" t="str">
        <f>'Budget-合并'!A122</f>
        <v>6602.09.09</v>
      </c>
      <c r="B122" s="653" t="str">
        <f>'Budget-合并'!B122</f>
        <v>携程服务费</v>
      </c>
      <c r="C122" s="673">
        <f>'Budget-合并'!C122</f>
        <v>0</v>
      </c>
      <c r="D122" s="676">
        <f t="shared" si="34"/>
        <v>0</v>
      </c>
      <c r="F122" s="676">
        <f t="shared" ca="1" si="35"/>
        <v>0</v>
      </c>
      <c r="H122" s="676">
        <f t="shared" ref="H122:S122" si="39">SUM(H123:H125)</f>
        <v>0</v>
      </c>
      <c r="I122" s="676">
        <f t="shared" si="39"/>
        <v>0</v>
      </c>
      <c r="J122" s="676">
        <f t="shared" si="39"/>
        <v>0</v>
      </c>
      <c r="K122" s="676">
        <f t="shared" si="39"/>
        <v>0</v>
      </c>
      <c r="L122" s="676">
        <f t="shared" si="39"/>
        <v>0</v>
      </c>
      <c r="M122" s="676">
        <f t="shared" si="39"/>
        <v>0</v>
      </c>
      <c r="N122" s="676">
        <f t="shared" si="39"/>
        <v>0</v>
      </c>
      <c r="O122" s="676">
        <f t="shared" si="39"/>
        <v>0</v>
      </c>
      <c r="P122" s="676">
        <f t="shared" si="39"/>
        <v>0</v>
      </c>
      <c r="Q122" s="676">
        <f t="shared" si="39"/>
        <v>0</v>
      </c>
      <c r="R122" s="676">
        <f t="shared" si="39"/>
        <v>0</v>
      </c>
      <c r="S122" s="676">
        <f t="shared" si="39"/>
        <v>0</v>
      </c>
      <c r="T122" s="676">
        <f t="shared" si="28"/>
        <v>0</v>
      </c>
    </row>
    <row r="123" spans="1:20" ht="11.1" customHeight="1">
      <c r="A123" s="653">
        <f>'Budget-合并'!A123</f>
        <v>0</v>
      </c>
      <c r="B123" s="653" t="str">
        <f>'Budget-合并'!B123</f>
        <v xml:space="preserve">    公司主体10</v>
      </c>
      <c r="C123" s="673" t="str">
        <f>'Budget-合并'!C123</f>
        <v xml:space="preserve">   Entity</v>
      </c>
      <c r="D123" s="676">
        <f t="shared" si="34"/>
        <v>0</v>
      </c>
      <c r="F123" s="676">
        <f t="shared" ca="1" si="35"/>
        <v>0</v>
      </c>
      <c r="H123" s="676"/>
      <c r="I123" s="676"/>
      <c r="J123" s="676"/>
      <c r="K123" s="676"/>
      <c r="L123" s="676"/>
      <c r="M123" s="676"/>
      <c r="N123" s="676"/>
      <c r="O123" s="676"/>
      <c r="P123" s="676"/>
      <c r="Q123" s="676"/>
      <c r="R123" s="676"/>
      <c r="S123" s="676"/>
      <c r="T123" s="676">
        <f t="shared" si="28"/>
        <v>0</v>
      </c>
    </row>
    <row r="124" spans="1:20" ht="11.1" customHeight="1">
      <c r="A124" s="653">
        <f>'Budget-合并'!A124</f>
        <v>0</v>
      </c>
      <c r="B124" s="653" t="str">
        <f>'Budget-合并'!B124</f>
        <v xml:space="preserve">    旭智富能10</v>
      </c>
      <c r="C124" s="673" t="str">
        <f>'Budget-合并'!C124</f>
        <v xml:space="preserve">   Foxpower</v>
      </c>
      <c r="D124" s="676">
        <f t="shared" si="34"/>
        <v>0</v>
      </c>
      <c r="F124" s="676">
        <f t="shared" ca="1" si="35"/>
        <v>0</v>
      </c>
      <c r="H124" s="676"/>
      <c r="I124" s="676"/>
      <c r="J124" s="676"/>
      <c r="K124" s="676"/>
      <c r="L124" s="676"/>
      <c r="M124" s="676"/>
      <c r="N124" s="676"/>
      <c r="O124" s="676"/>
      <c r="P124" s="676"/>
      <c r="Q124" s="676"/>
      <c r="R124" s="676"/>
      <c r="S124" s="676"/>
      <c r="T124" s="676">
        <f t="shared" si="28"/>
        <v>0</v>
      </c>
    </row>
    <row r="125" spans="1:20" ht="11.1" customHeight="1">
      <c r="A125" s="653">
        <f>'Budget-合并'!A125</f>
        <v>0</v>
      </c>
      <c r="B125" s="653" t="str">
        <f>'Budget-合并'!B125</f>
        <v xml:space="preserve">    其他项目10</v>
      </c>
      <c r="C125" s="673" t="str">
        <f>'Budget-合并'!C125</f>
        <v xml:space="preserve">   Other project</v>
      </c>
      <c r="D125" s="676">
        <f t="shared" si="34"/>
        <v>0</v>
      </c>
      <c r="F125" s="676">
        <f t="shared" ca="1" si="35"/>
        <v>0</v>
      </c>
      <c r="H125" s="676"/>
      <c r="I125" s="676"/>
      <c r="J125" s="676"/>
      <c r="K125" s="676"/>
      <c r="L125" s="676"/>
      <c r="M125" s="676"/>
      <c r="N125" s="676"/>
      <c r="O125" s="676"/>
      <c r="P125" s="676"/>
      <c r="Q125" s="676"/>
      <c r="R125" s="676"/>
      <c r="S125" s="676"/>
      <c r="T125" s="676">
        <f t="shared" si="28"/>
        <v>0</v>
      </c>
    </row>
    <row r="126" spans="1:20" ht="11.1" customHeight="1">
      <c r="A126" s="653" t="str">
        <f>'Budget-合并'!A126</f>
        <v>6602.09.99</v>
      </c>
      <c r="B126" s="653" t="str">
        <f>'Budget-合并'!B126</f>
        <v>其他</v>
      </c>
      <c r="C126" s="673" t="str">
        <f>'Budget-合并'!C126</f>
        <v>Travel Other</v>
      </c>
      <c r="D126" s="676">
        <f t="shared" si="34"/>
        <v>0</v>
      </c>
      <c r="F126" s="676">
        <f t="shared" ca="1" si="35"/>
        <v>0</v>
      </c>
      <c r="H126" s="676"/>
      <c r="I126" s="676"/>
      <c r="J126" s="676"/>
      <c r="K126" s="676"/>
      <c r="L126" s="676"/>
      <c r="M126" s="676"/>
      <c r="N126" s="676"/>
      <c r="O126" s="676"/>
      <c r="P126" s="676"/>
      <c r="Q126" s="676"/>
      <c r="R126" s="676"/>
      <c r="S126" s="676"/>
      <c r="T126" s="676">
        <f t="shared" si="28"/>
        <v>0</v>
      </c>
    </row>
    <row r="127" spans="1:20" ht="11.1" customHeight="1">
      <c r="A127" s="663" t="str">
        <f>'Budget-合并'!A127</f>
        <v>6602.10</v>
      </c>
      <c r="B127" s="678" t="str">
        <f>'Budget-合并'!B127</f>
        <v>折旧费</v>
      </c>
      <c r="C127" s="673">
        <f>'Budget-合并'!C127</f>
        <v>0</v>
      </c>
      <c r="D127" s="676">
        <f t="shared" si="34"/>
        <v>0</v>
      </c>
      <c r="F127" s="676">
        <f t="shared" ca="1" si="35"/>
        <v>0</v>
      </c>
      <c r="H127" s="676">
        <f t="shared" ref="H127:S127" si="40">SUM(H128:H131)</f>
        <v>0</v>
      </c>
      <c r="I127" s="676">
        <f t="shared" si="40"/>
        <v>0</v>
      </c>
      <c r="J127" s="676">
        <f t="shared" si="40"/>
        <v>0</v>
      </c>
      <c r="K127" s="676">
        <f t="shared" si="40"/>
        <v>0</v>
      </c>
      <c r="L127" s="676">
        <f t="shared" si="40"/>
        <v>0</v>
      </c>
      <c r="M127" s="676">
        <f t="shared" si="40"/>
        <v>0</v>
      </c>
      <c r="N127" s="676">
        <f t="shared" si="40"/>
        <v>0</v>
      </c>
      <c r="O127" s="676">
        <f t="shared" si="40"/>
        <v>0</v>
      </c>
      <c r="P127" s="676">
        <f t="shared" si="40"/>
        <v>0</v>
      </c>
      <c r="Q127" s="676">
        <f t="shared" si="40"/>
        <v>0</v>
      </c>
      <c r="R127" s="676">
        <f t="shared" si="40"/>
        <v>0</v>
      </c>
      <c r="S127" s="676">
        <f t="shared" si="40"/>
        <v>0</v>
      </c>
      <c r="T127" s="676">
        <f t="shared" si="28"/>
        <v>0</v>
      </c>
    </row>
    <row r="128" spans="1:20" ht="11.1" customHeight="1">
      <c r="A128" s="653" t="str">
        <f>'Budget-合并'!A128</f>
        <v>6602.10.01</v>
      </c>
      <c r="B128" s="653" t="str">
        <f>'Budget-合并'!B128</f>
        <v>电子设备</v>
      </c>
      <c r="C128" s="673" t="str">
        <f>'Budget-合并'!C128</f>
        <v>Dep Exp  Computer Equip</v>
      </c>
      <c r="D128" s="676">
        <f t="shared" si="34"/>
        <v>0</v>
      </c>
      <c r="F128" s="676">
        <f t="shared" ca="1" si="35"/>
        <v>0</v>
      </c>
      <c r="H128" s="676"/>
      <c r="I128" s="676"/>
      <c r="J128" s="676"/>
      <c r="K128" s="676"/>
      <c r="L128" s="676"/>
      <c r="M128" s="676"/>
      <c r="N128" s="676"/>
      <c r="O128" s="676"/>
      <c r="P128" s="676"/>
      <c r="Q128" s="676"/>
      <c r="R128" s="676"/>
      <c r="S128" s="676"/>
      <c r="T128" s="676">
        <f t="shared" si="28"/>
        <v>0</v>
      </c>
    </row>
    <row r="129" spans="1:20" ht="11.1" customHeight="1">
      <c r="A129" s="653" t="str">
        <f>'Budget-合并'!A129</f>
        <v>6602.10.02</v>
      </c>
      <c r="B129" s="653" t="str">
        <f>'Budget-合并'!B129</f>
        <v>房屋建筑物</v>
      </c>
      <c r="C129" s="673">
        <f>'Budget-合并'!C129</f>
        <v>0</v>
      </c>
      <c r="D129" s="676">
        <f t="shared" si="34"/>
        <v>0</v>
      </c>
      <c r="F129" s="676">
        <f t="shared" ca="1" si="35"/>
        <v>0</v>
      </c>
      <c r="H129" s="676"/>
      <c r="I129" s="676"/>
      <c r="J129" s="676"/>
      <c r="K129" s="676"/>
      <c r="L129" s="676"/>
      <c r="M129" s="676"/>
      <c r="N129" s="676"/>
      <c r="O129" s="676"/>
      <c r="P129" s="676"/>
      <c r="Q129" s="676"/>
      <c r="R129" s="676"/>
      <c r="S129" s="676"/>
      <c r="T129" s="676">
        <f t="shared" si="28"/>
        <v>0</v>
      </c>
    </row>
    <row r="130" spans="1:20" ht="11.1" customHeight="1">
      <c r="A130" s="653" t="str">
        <f>'Budget-合并'!A130</f>
        <v>6602.10.03</v>
      </c>
      <c r="B130" s="653" t="str">
        <f>'Budget-合并'!B130</f>
        <v>机器设备</v>
      </c>
      <c r="C130" s="673">
        <f>'Budget-合并'!C130</f>
        <v>0</v>
      </c>
      <c r="D130" s="676">
        <f t="shared" si="34"/>
        <v>0</v>
      </c>
      <c r="F130" s="676">
        <f t="shared" ca="1" si="35"/>
        <v>0</v>
      </c>
      <c r="H130" s="676"/>
      <c r="I130" s="676"/>
      <c r="J130" s="676"/>
      <c r="K130" s="676"/>
      <c r="L130" s="676"/>
      <c r="M130" s="676"/>
      <c r="N130" s="676"/>
      <c r="O130" s="676"/>
      <c r="P130" s="676"/>
      <c r="Q130" s="676"/>
      <c r="R130" s="676"/>
      <c r="S130" s="676"/>
      <c r="T130" s="676">
        <f t="shared" si="28"/>
        <v>0</v>
      </c>
    </row>
    <row r="131" spans="1:20" ht="11.1" customHeight="1">
      <c r="A131" s="653" t="str">
        <f>'Budget-合并'!A131</f>
        <v>6602.10.04</v>
      </c>
      <c r="B131" s="653" t="str">
        <f>'Budget-合并'!B131</f>
        <v>家具设备</v>
      </c>
      <c r="C131" s="673" t="str">
        <f>'Budget-合并'!C131</f>
        <v xml:space="preserve">Dep Exp - Other EQ &amp; Furn </v>
      </c>
      <c r="D131" s="676">
        <f t="shared" si="34"/>
        <v>0</v>
      </c>
      <c r="F131" s="676">
        <f t="shared" ca="1" si="35"/>
        <v>0</v>
      </c>
      <c r="H131" s="676"/>
      <c r="I131" s="676"/>
      <c r="J131" s="676"/>
      <c r="K131" s="676"/>
      <c r="L131" s="676"/>
      <c r="M131" s="676"/>
      <c r="N131" s="676"/>
      <c r="O131" s="676"/>
      <c r="P131" s="676"/>
      <c r="Q131" s="676"/>
      <c r="R131" s="676"/>
      <c r="S131" s="676"/>
      <c r="T131" s="676">
        <f t="shared" si="28"/>
        <v>0</v>
      </c>
    </row>
    <row r="132" spans="1:20" ht="11.1" customHeight="1">
      <c r="A132" s="663" t="str">
        <f>'Budget-合并'!A132</f>
        <v>6602.12</v>
      </c>
      <c r="B132" s="678" t="str">
        <f>'Budget-合并'!B132</f>
        <v>使用权资产折旧</v>
      </c>
      <c r="C132" s="673" t="str">
        <f>'Budget-合并'!C132</f>
        <v>Dep Exp - Right of Use Asset</v>
      </c>
      <c r="D132" s="676">
        <f t="shared" si="34"/>
        <v>0</v>
      </c>
      <c r="F132" s="676">
        <f t="shared" ca="1" si="35"/>
        <v>0</v>
      </c>
      <c r="H132" s="676">
        <f t="shared" ref="H132:S132" si="41">SUM(H133,H134,H137)</f>
        <v>0</v>
      </c>
      <c r="I132" s="676">
        <f t="shared" si="41"/>
        <v>0</v>
      </c>
      <c r="J132" s="676">
        <f t="shared" si="41"/>
        <v>0</v>
      </c>
      <c r="K132" s="676">
        <f t="shared" si="41"/>
        <v>0</v>
      </c>
      <c r="L132" s="676">
        <f t="shared" si="41"/>
        <v>0</v>
      </c>
      <c r="M132" s="676">
        <f t="shared" si="41"/>
        <v>0</v>
      </c>
      <c r="N132" s="676">
        <f t="shared" si="41"/>
        <v>0</v>
      </c>
      <c r="O132" s="676">
        <f t="shared" si="41"/>
        <v>0</v>
      </c>
      <c r="P132" s="676">
        <f t="shared" si="41"/>
        <v>0</v>
      </c>
      <c r="Q132" s="676">
        <f t="shared" si="41"/>
        <v>0</v>
      </c>
      <c r="R132" s="676">
        <f t="shared" si="41"/>
        <v>0</v>
      </c>
      <c r="S132" s="676">
        <f t="shared" si="41"/>
        <v>0</v>
      </c>
      <c r="T132" s="676">
        <f t="shared" si="28"/>
        <v>0</v>
      </c>
    </row>
    <row r="133" spans="1:20" ht="11.1" customHeight="1">
      <c r="A133" s="653" t="str">
        <f>'Budget-合并'!A133</f>
        <v>6602.12.01</v>
      </c>
      <c r="B133" s="653" t="str">
        <f>'Budget-合并'!B133</f>
        <v>打印机租赁</v>
      </c>
      <c r="C133" s="673">
        <f>'Budget-合并'!C133</f>
        <v>0</v>
      </c>
      <c r="D133" s="676">
        <f t="shared" si="34"/>
        <v>0</v>
      </c>
      <c r="F133" s="676">
        <f t="shared" ca="1" si="35"/>
        <v>0</v>
      </c>
      <c r="H133" s="676"/>
      <c r="I133" s="676"/>
      <c r="J133" s="676"/>
      <c r="K133" s="676"/>
      <c r="L133" s="676"/>
      <c r="M133" s="676"/>
      <c r="N133" s="676"/>
      <c r="O133" s="676"/>
      <c r="P133" s="676"/>
      <c r="Q133" s="676"/>
      <c r="R133" s="676"/>
      <c r="S133" s="676"/>
      <c r="T133" s="676">
        <f t="shared" si="28"/>
        <v>0</v>
      </c>
    </row>
    <row r="134" spans="1:20" ht="11.1" customHeight="1">
      <c r="A134" s="653" t="str">
        <f>'Budget-合并'!A134</f>
        <v>6602.12.02</v>
      </c>
      <c r="B134" s="653" t="str">
        <f>'Budget-合并'!B134</f>
        <v>办公地址</v>
      </c>
      <c r="C134" s="673">
        <f>'Budget-合并'!C134</f>
        <v>0</v>
      </c>
      <c r="D134" s="676">
        <f t="shared" si="34"/>
        <v>0</v>
      </c>
      <c r="F134" s="676">
        <f t="shared" ca="1" si="35"/>
        <v>0</v>
      </c>
      <c r="H134" s="676">
        <f t="shared" ref="H134:S134" si="42">SUM(H135:H136)</f>
        <v>0</v>
      </c>
      <c r="I134" s="676">
        <f t="shared" si="42"/>
        <v>0</v>
      </c>
      <c r="J134" s="676">
        <f t="shared" si="42"/>
        <v>0</v>
      </c>
      <c r="K134" s="676">
        <f t="shared" si="42"/>
        <v>0</v>
      </c>
      <c r="L134" s="676">
        <f t="shared" si="42"/>
        <v>0</v>
      </c>
      <c r="M134" s="676">
        <f t="shared" si="42"/>
        <v>0</v>
      </c>
      <c r="N134" s="676">
        <f t="shared" si="42"/>
        <v>0</v>
      </c>
      <c r="O134" s="676">
        <f t="shared" si="42"/>
        <v>0</v>
      </c>
      <c r="P134" s="676">
        <f t="shared" si="42"/>
        <v>0</v>
      </c>
      <c r="Q134" s="676">
        <f t="shared" si="42"/>
        <v>0</v>
      </c>
      <c r="R134" s="676">
        <f t="shared" si="42"/>
        <v>0</v>
      </c>
      <c r="S134" s="676">
        <f t="shared" si="42"/>
        <v>0</v>
      </c>
      <c r="T134" s="676">
        <f t="shared" si="28"/>
        <v>0</v>
      </c>
    </row>
    <row r="135" spans="1:20" ht="11.1" customHeight="1">
      <c r="A135" s="653" t="str">
        <f>'Budget-合并'!A135</f>
        <v>6602.12.02.01</v>
      </c>
      <c r="B135" s="653" t="str">
        <f>'Budget-合并'!B135</f>
        <v>旭智咨询--鼎和大厦1606</v>
      </c>
      <c r="C135" s="673">
        <f>'Budget-合并'!C135</f>
        <v>0</v>
      </c>
      <c r="D135" s="676">
        <f t="shared" si="34"/>
        <v>0</v>
      </c>
      <c r="F135" s="676">
        <f t="shared" ca="1" si="35"/>
        <v>0</v>
      </c>
      <c r="H135" s="676"/>
      <c r="I135" s="676"/>
      <c r="J135" s="676"/>
      <c r="K135" s="676"/>
      <c r="L135" s="676"/>
      <c r="M135" s="676"/>
      <c r="N135" s="676"/>
      <c r="O135" s="676"/>
      <c r="P135" s="676"/>
      <c r="Q135" s="676"/>
      <c r="R135" s="676"/>
      <c r="S135" s="676"/>
      <c r="T135" s="676">
        <f t="shared" si="28"/>
        <v>0</v>
      </c>
    </row>
    <row r="136" spans="1:20" ht="11.1" customHeight="1">
      <c r="A136" s="653" t="str">
        <f>'Budget-合并'!A136</f>
        <v>6602.12.02.02</v>
      </c>
      <c r="B136" s="653" t="str">
        <f>'Budget-合并'!B136</f>
        <v>旭智资本（香港）--冯氏大厦</v>
      </c>
      <c r="C136" s="673">
        <f>'Budget-合并'!C136</f>
        <v>0</v>
      </c>
      <c r="D136" s="676">
        <f t="shared" si="34"/>
        <v>0</v>
      </c>
      <c r="F136" s="676">
        <f t="shared" ca="1" si="35"/>
        <v>0</v>
      </c>
      <c r="H136" s="676"/>
      <c r="I136" s="676"/>
      <c r="J136" s="676"/>
      <c r="K136" s="676"/>
      <c r="L136" s="676"/>
      <c r="M136" s="676"/>
      <c r="N136" s="676"/>
      <c r="O136" s="676"/>
      <c r="P136" s="676"/>
      <c r="Q136" s="676"/>
      <c r="R136" s="676"/>
      <c r="S136" s="676"/>
      <c r="T136" s="676">
        <f t="shared" si="28"/>
        <v>0</v>
      </c>
    </row>
    <row r="137" spans="1:20" ht="11.1" customHeight="1">
      <c r="A137" s="653" t="str">
        <f>'Budget-合并'!A137</f>
        <v>6602.12.03</v>
      </c>
      <c r="B137" s="653" t="str">
        <f>'Budget-合并'!B137</f>
        <v>注册地址</v>
      </c>
      <c r="C137" s="673">
        <f>'Budget-合并'!C137</f>
        <v>0</v>
      </c>
      <c r="D137" s="676">
        <f t="shared" si="34"/>
        <v>0</v>
      </c>
      <c r="F137" s="676">
        <f t="shared" ca="1" si="35"/>
        <v>0</v>
      </c>
      <c r="H137" s="676">
        <f t="shared" ref="H137:S137" si="43">SUM(H138:H139)</f>
        <v>0</v>
      </c>
      <c r="I137" s="676">
        <f t="shared" si="43"/>
        <v>0</v>
      </c>
      <c r="J137" s="676">
        <f t="shared" si="43"/>
        <v>0</v>
      </c>
      <c r="K137" s="676">
        <f t="shared" si="43"/>
        <v>0</v>
      </c>
      <c r="L137" s="676">
        <f t="shared" si="43"/>
        <v>0</v>
      </c>
      <c r="M137" s="676">
        <f t="shared" si="43"/>
        <v>0</v>
      </c>
      <c r="N137" s="676">
        <f t="shared" si="43"/>
        <v>0</v>
      </c>
      <c r="O137" s="676">
        <f t="shared" si="43"/>
        <v>0</v>
      </c>
      <c r="P137" s="676">
        <f t="shared" si="43"/>
        <v>0</v>
      </c>
      <c r="Q137" s="676">
        <f t="shared" si="43"/>
        <v>0</v>
      </c>
      <c r="R137" s="676">
        <f t="shared" si="43"/>
        <v>0</v>
      </c>
      <c r="S137" s="676">
        <f t="shared" si="43"/>
        <v>0</v>
      </c>
      <c r="T137" s="676">
        <f t="shared" si="28"/>
        <v>0</v>
      </c>
    </row>
    <row r="138" spans="1:20" ht="11.1" customHeight="1">
      <c r="A138" s="653" t="str">
        <f>'Budget-合并'!A138</f>
        <v>6602.12.03.01</v>
      </c>
      <c r="B138" s="653" t="str">
        <f>'Budget-合并'!B138</f>
        <v>旭智私募--前海壹号B座701E</v>
      </c>
      <c r="C138" s="673">
        <f>'Budget-合并'!C138</f>
        <v>0</v>
      </c>
      <c r="D138" s="676">
        <f t="shared" si="34"/>
        <v>0</v>
      </c>
      <c r="F138" s="676">
        <f t="shared" ca="1" si="35"/>
        <v>0</v>
      </c>
      <c r="H138" s="676"/>
      <c r="I138" s="676"/>
      <c r="J138" s="676"/>
      <c r="K138" s="676"/>
      <c r="L138" s="676"/>
      <c r="M138" s="676"/>
      <c r="N138" s="676"/>
      <c r="O138" s="676"/>
      <c r="P138" s="676"/>
      <c r="Q138" s="676"/>
      <c r="R138" s="676"/>
      <c r="S138" s="676"/>
      <c r="T138" s="676">
        <f t="shared" si="28"/>
        <v>0</v>
      </c>
    </row>
    <row r="139" spans="1:20" ht="11.1" customHeight="1">
      <c r="A139" s="653" t="str">
        <f>'Budget-合并'!A139</f>
        <v>6602.12.03.02</v>
      </c>
      <c r="B139" s="653" t="str">
        <f>'Budget-合并'!B139</f>
        <v>广州旭智--802房F028</v>
      </c>
      <c r="C139" s="673">
        <f>'Budget-合并'!C139</f>
        <v>0</v>
      </c>
      <c r="D139" s="676">
        <f t="shared" si="34"/>
        <v>0</v>
      </c>
      <c r="F139" s="676">
        <f t="shared" ca="1" si="35"/>
        <v>0</v>
      </c>
      <c r="H139" s="676"/>
      <c r="I139" s="676"/>
      <c r="J139" s="676"/>
      <c r="K139" s="676"/>
      <c r="L139" s="676"/>
      <c r="M139" s="676"/>
      <c r="N139" s="676"/>
      <c r="O139" s="676"/>
      <c r="P139" s="676"/>
      <c r="Q139" s="676"/>
      <c r="R139" s="676"/>
      <c r="S139" s="676"/>
      <c r="T139" s="676">
        <f t="shared" si="28"/>
        <v>0</v>
      </c>
    </row>
    <row r="140" spans="1:20" ht="13.5" customHeight="1">
      <c r="A140" s="653" t="str">
        <f>'Budget-合并'!A140</f>
        <v>6602.13</v>
      </c>
      <c r="B140" s="653" t="str">
        <f>'Budget-合并'!B140</f>
        <v>物业管理费</v>
      </c>
      <c r="C140" s="673">
        <f>'Budget-合并'!C140</f>
        <v>0</v>
      </c>
      <c r="D140" s="676">
        <f t="shared" si="34"/>
        <v>0</v>
      </c>
      <c r="F140" s="676">
        <f t="shared" ca="1" si="35"/>
        <v>0</v>
      </c>
      <c r="H140" s="676"/>
      <c r="I140" s="676"/>
      <c r="J140" s="676"/>
      <c r="K140" s="676"/>
      <c r="L140" s="676"/>
      <c r="M140" s="676"/>
      <c r="N140" s="676"/>
      <c r="O140" s="676"/>
      <c r="P140" s="676"/>
      <c r="Q140" s="676"/>
      <c r="R140" s="676"/>
      <c r="S140" s="676"/>
      <c r="T140" s="676">
        <f t="shared" si="28"/>
        <v>0</v>
      </c>
    </row>
    <row r="141" spans="1:20" ht="13.5" customHeight="1">
      <c r="A141" s="653" t="str">
        <f>'Budget-合并'!A141</f>
        <v>6602.14</v>
      </c>
      <c r="B141" s="653" t="str">
        <f>'Budget-合并'!B141</f>
        <v>修理费</v>
      </c>
      <c r="C141" s="673">
        <f>'Budget-合并'!C141</f>
        <v>0</v>
      </c>
      <c r="D141" s="676">
        <f t="shared" si="34"/>
        <v>0</v>
      </c>
      <c r="F141" s="676">
        <f t="shared" ca="1" si="35"/>
        <v>0</v>
      </c>
      <c r="H141" s="676"/>
      <c r="I141" s="676"/>
      <c r="J141" s="676"/>
      <c r="K141" s="676"/>
      <c r="L141" s="676"/>
      <c r="M141" s="676"/>
      <c r="N141" s="676"/>
      <c r="O141" s="676"/>
      <c r="P141" s="676"/>
      <c r="Q141" s="676"/>
      <c r="R141" s="676"/>
      <c r="S141" s="676"/>
      <c r="T141" s="676">
        <f t="shared" si="28"/>
        <v>0</v>
      </c>
    </row>
    <row r="142" spans="1:20" ht="13.5" customHeight="1">
      <c r="A142" s="653" t="str">
        <f>'Budget-合并'!A142</f>
        <v>6602.15</v>
      </c>
      <c r="B142" s="653" t="str">
        <f>'Budget-合并'!B142</f>
        <v>服务费</v>
      </c>
      <c r="C142" s="673" t="str">
        <f>'Budget-合并'!C142</f>
        <v>Professional Fee</v>
      </c>
      <c r="D142" s="676">
        <f t="shared" si="34"/>
        <v>0</v>
      </c>
      <c r="F142" s="676">
        <f t="shared" ca="1" si="35"/>
        <v>0</v>
      </c>
      <c r="H142" s="676"/>
      <c r="I142" s="676"/>
      <c r="J142" s="676"/>
      <c r="K142" s="676"/>
      <c r="L142" s="676"/>
      <c r="M142" s="676"/>
      <c r="N142" s="676"/>
      <c r="O142" s="676"/>
      <c r="P142" s="676"/>
      <c r="Q142" s="676"/>
      <c r="R142" s="676"/>
      <c r="S142" s="676"/>
      <c r="T142" s="676">
        <f t="shared" si="28"/>
        <v>0</v>
      </c>
    </row>
    <row r="143" spans="1:20" ht="13.5" customHeight="1">
      <c r="A143" s="653" t="str">
        <f>'Budget-合并'!A143</f>
        <v>6602.16</v>
      </c>
      <c r="B143" s="653" t="str">
        <f>'Budget-合并'!B143</f>
        <v>董事会费</v>
      </c>
      <c r="C143" s="673" t="str">
        <f>'Budget-合并'!C143</f>
        <v>Internal ACP Meeting</v>
      </c>
      <c r="D143" s="676">
        <f t="shared" si="34"/>
        <v>0</v>
      </c>
      <c r="F143" s="676">
        <f t="shared" ca="1" si="35"/>
        <v>0</v>
      </c>
      <c r="H143" s="676"/>
      <c r="I143" s="676"/>
      <c r="J143" s="676"/>
      <c r="K143" s="676"/>
      <c r="L143" s="676"/>
      <c r="M143" s="676"/>
      <c r="N143" s="676"/>
      <c r="O143" s="676"/>
      <c r="P143" s="676"/>
      <c r="Q143" s="676"/>
      <c r="R143" s="676"/>
      <c r="S143" s="676"/>
      <c r="T143" s="676">
        <f t="shared" si="28"/>
        <v>0</v>
      </c>
    </row>
    <row r="144" spans="1:20" ht="13.5" customHeight="1">
      <c r="A144" s="653" t="str">
        <f>'Budget-合并'!A144</f>
        <v>6602.17</v>
      </c>
      <c r="B144" s="653" t="str">
        <f>'Budget-合并'!B144</f>
        <v>聘请中介机构费</v>
      </c>
      <c r="C144" s="673">
        <f>'Budget-合并'!C144</f>
        <v>0</v>
      </c>
      <c r="D144" s="676">
        <f t="shared" si="34"/>
        <v>0</v>
      </c>
      <c r="F144" s="676">
        <f t="shared" ca="1" si="35"/>
        <v>0</v>
      </c>
      <c r="H144" s="676"/>
      <c r="I144" s="676"/>
      <c r="J144" s="676"/>
      <c r="K144" s="676"/>
      <c r="L144" s="676"/>
      <c r="M144" s="676"/>
      <c r="N144" s="676"/>
      <c r="O144" s="676"/>
      <c r="P144" s="676"/>
      <c r="Q144" s="676"/>
      <c r="R144" s="676"/>
      <c r="S144" s="676"/>
      <c r="T144" s="676">
        <f t="shared" si="28"/>
        <v>0</v>
      </c>
    </row>
    <row r="145" spans="1:20" ht="13.5" customHeight="1">
      <c r="A145" s="653" t="str">
        <f>'Budget-合并'!A145</f>
        <v>6602.18</v>
      </c>
      <c r="B145" s="653" t="str">
        <f>'Budget-合并'!B145</f>
        <v>存货盘亏或盘盈</v>
      </c>
      <c r="C145" s="673">
        <f>'Budget-合并'!C145</f>
        <v>0</v>
      </c>
      <c r="D145" s="676">
        <f t="shared" si="34"/>
        <v>0</v>
      </c>
      <c r="F145" s="676">
        <f t="shared" ca="1" si="35"/>
        <v>0</v>
      </c>
      <c r="H145" s="676"/>
      <c r="I145" s="676"/>
      <c r="J145" s="676"/>
      <c r="K145" s="676"/>
      <c r="L145" s="676"/>
      <c r="M145" s="676"/>
      <c r="N145" s="676"/>
      <c r="O145" s="676"/>
      <c r="P145" s="676"/>
      <c r="Q145" s="676"/>
      <c r="R145" s="676"/>
      <c r="S145" s="676"/>
      <c r="T145" s="676">
        <f t="shared" si="28"/>
        <v>0</v>
      </c>
    </row>
    <row r="146" spans="1:20" ht="13.5" customHeight="1">
      <c r="A146" s="653" t="str">
        <f>'Budget-合并'!A146</f>
        <v>6602.19</v>
      </c>
      <c r="B146" s="653" t="str">
        <f>'Budget-合并'!B146</f>
        <v>会费（公司）</v>
      </c>
      <c r="C146" s="673" t="str">
        <f>'Budget-合并'!C146</f>
        <v>Membership Fee</v>
      </c>
      <c r="D146" s="676">
        <f t="shared" si="34"/>
        <v>0</v>
      </c>
      <c r="F146" s="676">
        <f t="shared" ca="1" si="35"/>
        <v>0</v>
      </c>
      <c r="H146" s="676"/>
      <c r="I146" s="676"/>
      <c r="J146" s="676"/>
      <c r="K146" s="676"/>
      <c r="L146" s="676"/>
      <c r="M146" s="676"/>
      <c r="N146" s="676"/>
      <c r="O146" s="676"/>
      <c r="P146" s="676"/>
      <c r="Q146" s="676"/>
      <c r="R146" s="676"/>
      <c r="S146" s="676"/>
      <c r="T146" s="676">
        <f t="shared" si="28"/>
        <v>0</v>
      </c>
    </row>
    <row r="147" spans="1:20" ht="13.5" customHeight="1">
      <c r="A147" s="653" t="str">
        <f>'Budget-合并'!A147</f>
        <v>6602.20</v>
      </c>
      <c r="B147" s="653" t="str">
        <f>'Budget-合并'!B147</f>
        <v>职工教育经费</v>
      </c>
      <c r="C147" s="673" t="str">
        <f>'Budget-合并'!C147</f>
        <v>Education Assistance</v>
      </c>
      <c r="D147" s="676">
        <f t="shared" si="34"/>
        <v>0</v>
      </c>
      <c r="F147" s="676">
        <f t="shared" ca="1" si="35"/>
        <v>0</v>
      </c>
      <c r="H147" s="676"/>
      <c r="I147" s="676"/>
      <c r="J147" s="676"/>
      <c r="K147" s="676"/>
      <c r="L147" s="676"/>
      <c r="M147" s="676"/>
      <c r="N147" s="676"/>
      <c r="O147" s="676"/>
      <c r="P147" s="676"/>
      <c r="Q147" s="676"/>
      <c r="R147" s="676"/>
      <c r="S147" s="676"/>
      <c r="T147" s="676">
        <f t="shared" si="28"/>
        <v>0</v>
      </c>
    </row>
    <row r="148" spans="1:20" ht="13.5" customHeight="1">
      <c r="A148" s="653" t="str">
        <f>'Budget-合并'!A148</f>
        <v>6602.21</v>
      </c>
      <c r="B148" s="653" t="str">
        <f>'Budget-合并'!B148</f>
        <v>公司秘书费</v>
      </c>
      <c r="C148" s="673" t="str">
        <f>'Budget-合并'!C148</f>
        <v>Corporate Secretarial Fees</v>
      </c>
      <c r="D148" s="676">
        <f t="shared" si="34"/>
        <v>0</v>
      </c>
      <c r="F148" s="676">
        <f t="shared" ca="1" si="35"/>
        <v>0</v>
      </c>
      <c r="H148" s="676"/>
      <c r="I148" s="676"/>
      <c r="J148" s="676"/>
      <c r="K148" s="676"/>
      <c r="L148" s="676"/>
      <c r="M148" s="676"/>
      <c r="N148" s="676"/>
      <c r="O148" s="676"/>
      <c r="P148" s="676"/>
      <c r="Q148" s="676"/>
      <c r="R148" s="676"/>
      <c r="S148" s="676"/>
      <c r="T148" s="676">
        <f t="shared" si="28"/>
        <v>0</v>
      </c>
    </row>
    <row r="149" spans="1:20" ht="13.5" customHeight="1">
      <c r="A149" s="653" t="str">
        <f>'Budget-合并'!A149</f>
        <v>6602.22</v>
      </c>
      <c r="B149" s="653" t="str">
        <f>'Budget-合并'!B149</f>
        <v>工会经费</v>
      </c>
      <c r="C149" s="673">
        <f>'Budget-合并'!C149</f>
        <v>0</v>
      </c>
      <c r="D149" s="676">
        <f t="shared" si="34"/>
        <v>0</v>
      </c>
      <c r="F149" s="676">
        <f t="shared" ca="1" si="35"/>
        <v>0</v>
      </c>
      <c r="H149" s="676"/>
      <c r="I149" s="676"/>
      <c r="J149" s="676"/>
      <c r="K149" s="676"/>
      <c r="L149" s="676"/>
      <c r="M149" s="676"/>
      <c r="N149" s="676"/>
      <c r="O149" s="676"/>
      <c r="P149" s="676"/>
      <c r="Q149" s="676"/>
      <c r="R149" s="676"/>
      <c r="S149" s="676"/>
      <c r="T149" s="676">
        <f t="shared" si="28"/>
        <v>0</v>
      </c>
    </row>
    <row r="150" spans="1:20" ht="13.5" customHeight="1">
      <c r="A150" s="653" t="str">
        <f>'Budget-合并'!A150</f>
        <v>6602.23</v>
      </c>
      <c r="B150" s="653" t="str">
        <f>'Budget-合并'!B150</f>
        <v>无形资产摊销</v>
      </c>
      <c r="C150" s="673" t="str">
        <f>'Budget-合并'!C150</f>
        <v>Contract Intangibles - Amortization</v>
      </c>
      <c r="D150" s="676">
        <f t="shared" si="34"/>
        <v>0</v>
      </c>
      <c r="F150" s="676">
        <f t="shared" ca="1" si="35"/>
        <v>0</v>
      </c>
      <c r="H150" s="676"/>
      <c r="I150" s="676"/>
      <c r="J150" s="676"/>
      <c r="K150" s="676"/>
      <c r="L150" s="676"/>
      <c r="M150" s="676"/>
      <c r="N150" s="676"/>
      <c r="O150" s="676"/>
      <c r="P150" s="676"/>
      <c r="Q150" s="676"/>
      <c r="R150" s="676"/>
      <c r="S150" s="676"/>
      <c r="T150" s="676">
        <f t="shared" si="28"/>
        <v>0</v>
      </c>
    </row>
    <row r="151" spans="1:20" ht="13.5" customHeight="1">
      <c r="A151" s="653" t="str">
        <f>'Budget-合并'!A151</f>
        <v>6602.24</v>
      </c>
      <c r="B151" s="653" t="str">
        <f>'Budget-合并'!B151</f>
        <v>监管费用</v>
      </c>
      <c r="C151" s="673" t="str">
        <f>'Budget-合并'!C151</f>
        <v xml:space="preserve">Regulatory fees </v>
      </c>
      <c r="D151" s="676">
        <f t="shared" si="34"/>
        <v>0</v>
      </c>
      <c r="F151" s="676">
        <f t="shared" ca="1" si="35"/>
        <v>0</v>
      </c>
      <c r="H151" s="676"/>
      <c r="I151" s="676"/>
      <c r="J151" s="676"/>
      <c r="K151" s="676"/>
      <c r="L151" s="676"/>
      <c r="M151" s="676"/>
      <c r="N151" s="676"/>
      <c r="O151" s="676"/>
      <c r="P151" s="676"/>
      <c r="Q151" s="676"/>
      <c r="R151" s="676"/>
      <c r="S151" s="676"/>
      <c r="T151" s="676">
        <f t="shared" ref="T151:T154" si="44">SUM(H151:S151)</f>
        <v>0</v>
      </c>
    </row>
    <row r="152" spans="1:20" ht="13.5" customHeight="1">
      <c r="A152" s="653" t="str">
        <f>'Budget-合并'!A152</f>
        <v>6602.99</v>
      </c>
      <c r="B152" s="653" t="str">
        <f>'Budget-合并'!B152</f>
        <v>其他</v>
      </c>
      <c r="C152" s="673" t="str">
        <f>'Budget-合并'!C152</f>
        <v>Admin Other</v>
      </c>
      <c r="D152" s="676">
        <f t="shared" si="34"/>
        <v>0</v>
      </c>
      <c r="F152" s="676">
        <f t="shared" ca="1" si="35"/>
        <v>0</v>
      </c>
      <c r="H152" s="676"/>
      <c r="I152" s="676"/>
      <c r="J152" s="676"/>
      <c r="K152" s="676"/>
      <c r="L152" s="676"/>
      <c r="M152" s="676"/>
      <c r="N152" s="676"/>
      <c r="O152" s="676"/>
      <c r="P152" s="676"/>
      <c r="Q152" s="676"/>
      <c r="R152" s="676"/>
      <c r="S152" s="676"/>
      <c r="T152" s="676">
        <f t="shared" si="44"/>
        <v>0</v>
      </c>
    </row>
    <row r="153" spans="1:20" ht="13.5" customHeight="1">
      <c r="A153" s="672">
        <f>'Budget-合并'!A153</f>
        <v>0</v>
      </c>
      <c r="B153" s="672" t="str">
        <f>'Budget-合并'!B153</f>
        <v>管理费用合计</v>
      </c>
      <c r="C153" s="673">
        <f>'Budget-合并'!C153</f>
        <v>0</v>
      </c>
      <c r="D153" s="677">
        <f t="shared" si="34"/>
        <v>0</v>
      </c>
      <c r="F153" s="677">
        <f t="shared" ca="1" si="35"/>
        <v>0</v>
      </c>
      <c r="H153" s="677">
        <f t="shared" ref="H153:S153" si="45">SUM(H44,H62,H75,H79,H80,H92,H127,H132,H140:H152)</f>
        <v>0</v>
      </c>
      <c r="I153" s="677">
        <f t="shared" si="45"/>
        <v>0</v>
      </c>
      <c r="J153" s="677">
        <f t="shared" si="45"/>
        <v>0</v>
      </c>
      <c r="K153" s="677">
        <f t="shared" si="45"/>
        <v>0</v>
      </c>
      <c r="L153" s="677">
        <f t="shared" si="45"/>
        <v>0</v>
      </c>
      <c r="M153" s="677">
        <f t="shared" si="45"/>
        <v>0</v>
      </c>
      <c r="N153" s="677">
        <f t="shared" si="45"/>
        <v>0</v>
      </c>
      <c r="O153" s="677">
        <f t="shared" si="45"/>
        <v>0</v>
      </c>
      <c r="P153" s="677">
        <f t="shared" si="45"/>
        <v>0</v>
      </c>
      <c r="Q153" s="677">
        <f t="shared" si="45"/>
        <v>0</v>
      </c>
      <c r="R153" s="677">
        <f t="shared" si="45"/>
        <v>0</v>
      </c>
      <c r="S153" s="677">
        <f t="shared" si="45"/>
        <v>0</v>
      </c>
      <c r="T153" s="677">
        <f t="shared" si="44"/>
        <v>0</v>
      </c>
    </row>
    <row r="154" spans="1:20" ht="13.5" customHeight="1">
      <c r="A154" s="653">
        <f>'Budget-合并'!A154</f>
        <v>0</v>
      </c>
      <c r="B154" s="653">
        <f>'Budget-合并'!B154</f>
        <v>0</v>
      </c>
      <c r="C154" s="673">
        <f>'Budget-合并'!C154</f>
        <v>0</v>
      </c>
      <c r="T154" s="652">
        <f t="shared" si="44"/>
        <v>0</v>
      </c>
    </row>
    <row r="155" spans="1:20" ht="13.5" customHeight="1">
      <c r="A155" s="672" t="str">
        <f>'Budget-合并'!A155</f>
        <v>6603</v>
      </c>
      <c r="B155" s="672" t="str">
        <f>'Budget-合并'!B155</f>
        <v>财务费用</v>
      </c>
      <c r="C155" s="673">
        <f>'Budget-合并'!C155</f>
        <v>0</v>
      </c>
      <c r="D155" s="677"/>
      <c r="F155" s="677"/>
      <c r="H155" s="677"/>
      <c r="I155" s="677"/>
      <c r="J155" s="677"/>
      <c r="K155" s="677"/>
      <c r="L155" s="677"/>
      <c r="M155" s="677"/>
      <c r="N155" s="677"/>
      <c r="O155" s="677"/>
      <c r="P155" s="677"/>
      <c r="Q155" s="677"/>
      <c r="R155" s="677"/>
      <c r="S155" s="677"/>
      <c r="T155" s="677"/>
    </row>
    <row r="156" spans="1:20" ht="13.5" customHeight="1">
      <c r="A156" s="653" t="str">
        <f>'Budget-合并'!A156</f>
        <v>6603.01</v>
      </c>
      <c r="B156" s="653" t="str">
        <f>'Budget-合并'!B156</f>
        <v>汇兑损益</v>
      </c>
      <c r="C156" s="673" t="str">
        <f>'Budget-合并'!C156</f>
        <v>FX Gain/Loss Net</v>
      </c>
      <c r="D156" s="676">
        <f t="shared" ref="D156:D172" si="46">INDEX($H$8:$S$8,1,MATCH($D$6,$H$6:$S$6))</f>
        <v>0</v>
      </c>
      <c r="F156" s="676">
        <f t="shared" ref="F156:F172" ca="1" si="47">SUM($H156:OFFSET($H156,0,MATCH(F$6,$H$6:$S$6)-1))</f>
        <v>0</v>
      </c>
      <c r="H156" s="676"/>
      <c r="I156" s="676"/>
      <c r="J156" s="676"/>
      <c r="K156" s="676"/>
      <c r="L156" s="676"/>
      <c r="M156" s="676"/>
      <c r="N156" s="676"/>
      <c r="O156" s="676"/>
      <c r="P156" s="676"/>
      <c r="Q156" s="676"/>
      <c r="R156" s="676"/>
      <c r="S156" s="676"/>
      <c r="T156" s="676">
        <f t="shared" ref="T156:T169" si="48">SUM(H156:S156)</f>
        <v>0</v>
      </c>
    </row>
    <row r="157" spans="1:20" ht="13.5" customHeight="1">
      <c r="A157" s="663" t="str">
        <f>'Budget-合并'!A157</f>
        <v>6603.02</v>
      </c>
      <c r="B157" s="678" t="str">
        <f>'Budget-合并'!B157</f>
        <v>利息费用</v>
      </c>
      <c r="C157" s="673">
        <f>'Budget-合并'!C157</f>
        <v>0</v>
      </c>
      <c r="D157" s="676">
        <f t="shared" si="46"/>
        <v>0</v>
      </c>
      <c r="F157" s="676">
        <f t="shared" ca="1" si="47"/>
        <v>0</v>
      </c>
      <c r="H157" s="676"/>
      <c r="I157" s="676"/>
      <c r="J157" s="676"/>
      <c r="K157" s="676"/>
      <c r="L157" s="676"/>
      <c r="M157" s="676"/>
      <c r="N157" s="676"/>
      <c r="O157" s="676"/>
      <c r="P157" s="676"/>
      <c r="Q157" s="676"/>
      <c r="R157" s="676"/>
      <c r="S157" s="676"/>
      <c r="T157" s="676">
        <f t="shared" si="48"/>
        <v>0</v>
      </c>
    </row>
    <row r="158" spans="1:20" ht="13.5" customHeight="1">
      <c r="A158" s="653" t="str">
        <f>'Budget-合并'!A158</f>
        <v>6603.02.01</v>
      </c>
      <c r="B158" s="653" t="str">
        <f>'Budget-合并'!B158</f>
        <v>打印机租赁</v>
      </c>
      <c r="C158" s="673">
        <f>'Budget-合并'!C158</f>
        <v>0</v>
      </c>
      <c r="D158" s="676">
        <f t="shared" si="46"/>
        <v>0</v>
      </c>
      <c r="F158" s="676">
        <f t="shared" ca="1" si="47"/>
        <v>0</v>
      </c>
      <c r="H158" s="676"/>
      <c r="I158" s="676"/>
      <c r="J158" s="676"/>
      <c r="K158" s="676"/>
      <c r="L158" s="676"/>
      <c r="M158" s="676"/>
      <c r="N158" s="676"/>
      <c r="O158" s="676"/>
      <c r="P158" s="676"/>
      <c r="Q158" s="676"/>
      <c r="R158" s="676"/>
      <c r="S158" s="676"/>
      <c r="T158" s="676">
        <f t="shared" si="48"/>
        <v>0</v>
      </c>
    </row>
    <row r="159" spans="1:20" ht="13.5" customHeight="1">
      <c r="A159" s="653" t="str">
        <f>'Budget-合并'!A159</f>
        <v>6603.02.02</v>
      </c>
      <c r="B159" s="653" t="str">
        <f>'Budget-合并'!B159</f>
        <v>办公地址</v>
      </c>
      <c r="C159" s="673">
        <f>'Budget-合并'!C159</f>
        <v>0</v>
      </c>
      <c r="D159" s="676">
        <f t="shared" si="46"/>
        <v>0</v>
      </c>
      <c r="F159" s="676">
        <f t="shared" ca="1" si="47"/>
        <v>0</v>
      </c>
      <c r="H159" s="676">
        <f t="shared" ref="H159:S159" si="49">SUM(H160:H161)</f>
        <v>0</v>
      </c>
      <c r="I159" s="676">
        <f t="shared" si="49"/>
        <v>0</v>
      </c>
      <c r="J159" s="676">
        <f t="shared" si="49"/>
        <v>0</v>
      </c>
      <c r="K159" s="676">
        <f t="shared" si="49"/>
        <v>0</v>
      </c>
      <c r="L159" s="676">
        <f t="shared" si="49"/>
        <v>0</v>
      </c>
      <c r="M159" s="676">
        <f t="shared" si="49"/>
        <v>0</v>
      </c>
      <c r="N159" s="676">
        <f t="shared" si="49"/>
        <v>0</v>
      </c>
      <c r="O159" s="676">
        <f t="shared" si="49"/>
        <v>0</v>
      </c>
      <c r="P159" s="676">
        <f t="shared" si="49"/>
        <v>0</v>
      </c>
      <c r="Q159" s="676">
        <f t="shared" si="49"/>
        <v>0</v>
      </c>
      <c r="R159" s="676">
        <f t="shared" si="49"/>
        <v>0</v>
      </c>
      <c r="S159" s="676">
        <f t="shared" si="49"/>
        <v>0</v>
      </c>
      <c r="T159" s="676">
        <f t="shared" si="48"/>
        <v>0</v>
      </c>
    </row>
    <row r="160" spans="1:20" ht="13.5" customHeight="1">
      <c r="A160" s="653" t="str">
        <f>'Budget-合并'!A160</f>
        <v>6603.02.02.01</v>
      </c>
      <c r="B160" s="653" t="str">
        <f>'Budget-合并'!B160</f>
        <v>旭智咨询--鼎和大厦1606</v>
      </c>
      <c r="C160" s="673">
        <f>'Budget-合并'!C160</f>
        <v>0</v>
      </c>
      <c r="D160" s="676">
        <f t="shared" si="46"/>
        <v>0</v>
      </c>
      <c r="F160" s="676">
        <f t="shared" ca="1" si="47"/>
        <v>0</v>
      </c>
      <c r="H160" s="676"/>
      <c r="I160" s="676"/>
      <c r="J160" s="676"/>
      <c r="K160" s="676"/>
      <c r="L160" s="676"/>
      <c r="M160" s="676"/>
      <c r="N160" s="676"/>
      <c r="O160" s="676"/>
      <c r="P160" s="676"/>
      <c r="Q160" s="676"/>
      <c r="R160" s="676"/>
      <c r="S160" s="676"/>
      <c r="T160" s="676">
        <f t="shared" si="48"/>
        <v>0</v>
      </c>
    </row>
    <row r="161" spans="1:20" ht="13.5" customHeight="1">
      <c r="A161" s="653" t="str">
        <f>'Budget-合并'!A161</f>
        <v>6603.02.02.02</v>
      </c>
      <c r="B161" s="653" t="str">
        <f>'Budget-合并'!B161</f>
        <v>旭智资本（香港）--冯氏大厦</v>
      </c>
      <c r="C161" s="673" t="str">
        <f>'Budget-合并'!C161</f>
        <v>Interest Expense Lease</v>
      </c>
      <c r="D161" s="676">
        <f t="shared" si="46"/>
        <v>0</v>
      </c>
      <c r="F161" s="676">
        <f t="shared" ca="1" si="47"/>
        <v>0</v>
      </c>
      <c r="H161" s="676"/>
      <c r="I161" s="676"/>
      <c r="J161" s="676"/>
      <c r="K161" s="676"/>
      <c r="L161" s="676"/>
      <c r="M161" s="676"/>
      <c r="N161" s="676"/>
      <c r="O161" s="676"/>
      <c r="P161" s="676"/>
      <c r="Q161" s="676"/>
      <c r="R161" s="676"/>
      <c r="S161" s="676"/>
      <c r="T161" s="676">
        <f t="shared" si="48"/>
        <v>0</v>
      </c>
    </row>
    <row r="162" spans="1:20" ht="13.5" customHeight="1">
      <c r="A162" s="653" t="str">
        <f>'Budget-合并'!A162</f>
        <v>6603.02.03</v>
      </c>
      <c r="B162" s="653" t="str">
        <f>'Budget-合并'!B162</f>
        <v>注册地址</v>
      </c>
      <c r="C162" s="673">
        <f>'Budget-合并'!C162</f>
        <v>0</v>
      </c>
      <c r="D162" s="676">
        <f t="shared" si="46"/>
        <v>0</v>
      </c>
      <c r="F162" s="676">
        <f t="shared" ca="1" si="47"/>
        <v>0</v>
      </c>
      <c r="H162" s="676">
        <f t="shared" ref="H162:S162" si="50">SUM(H163:H164)</f>
        <v>0</v>
      </c>
      <c r="I162" s="676">
        <f t="shared" si="50"/>
        <v>0</v>
      </c>
      <c r="J162" s="676">
        <f t="shared" si="50"/>
        <v>0</v>
      </c>
      <c r="K162" s="676">
        <f t="shared" si="50"/>
        <v>0</v>
      </c>
      <c r="L162" s="676">
        <f t="shared" si="50"/>
        <v>0</v>
      </c>
      <c r="M162" s="676">
        <f t="shared" si="50"/>
        <v>0</v>
      </c>
      <c r="N162" s="676">
        <f t="shared" si="50"/>
        <v>0</v>
      </c>
      <c r="O162" s="676">
        <f t="shared" si="50"/>
        <v>0</v>
      </c>
      <c r="P162" s="676">
        <f t="shared" si="50"/>
        <v>0</v>
      </c>
      <c r="Q162" s="676">
        <f t="shared" si="50"/>
        <v>0</v>
      </c>
      <c r="R162" s="676">
        <f t="shared" si="50"/>
        <v>0</v>
      </c>
      <c r="S162" s="676">
        <f t="shared" si="50"/>
        <v>0</v>
      </c>
      <c r="T162" s="676">
        <f t="shared" si="48"/>
        <v>0</v>
      </c>
    </row>
    <row r="163" spans="1:20" ht="13.5" customHeight="1">
      <c r="A163" s="653" t="str">
        <f>'Budget-合并'!A163</f>
        <v>6603.02.03.01</v>
      </c>
      <c r="B163" s="653" t="str">
        <f>'Budget-合并'!B163</f>
        <v>旭智私募--前海壹号B座701E</v>
      </c>
      <c r="C163" s="673">
        <f>'Budget-合并'!C163</f>
        <v>0</v>
      </c>
      <c r="D163" s="676">
        <f t="shared" si="46"/>
        <v>0</v>
      </c>
      <c r="F163" s="676">
        <f t="shared" ca="1" si="47"/>
        <v>0</v>
      </c>
      <c r="H163" s="676"/>
      <c r="I163" s="676"/>
      <c r="J163" s="676"/>
      <c r="K163" s="676"/>
      <c r="L163" s="676"/>
      <c r="M163" s="676"/>
      <c r="N163" s="676"/>
      <c r="O163" s="676"/>
      <c r="P163" s="676"/>
      <c r="Q163" s="676"/>
      <c r="R163" s="676"/>
      <c r="S163" s="676"/>
      <c r="T163" s="676">
        <f t="shared" si="48"/>
        <v>0</v>
      </c>
    </row>
    <row r="164" spans="1:20" ht="13.5" customHeight="1">
      <c r="A164" s="653" t="str">
        <f>'Budget-合并'!A164</f>
        <v>6603.02.03.02</v>
      </c>
      <c r="B164" s="653" t="str">
        <f>'Budget-合并'!B164</f>
        <v>广州旭智--802房F028</v>
      </c>
      <c r="C164" s="673">
        <f>'Budget-合并'!C164</f>
        <v>0</v>
      </c>
      <c r="D164" s="676">
        <f t="shared" si="46"/>
        <v>0</v>
      </c>
      <c r="F164" s="676">
        <f t="shared" ca="1" si="47"/>
        <v>0</v>
      </c>
      <c r="H164" s="676"/>
      <c r="I164" s="676"/>
      <c r="J164" s="676"/>
      <c r="K164" s="676"/>
      <c r="L164" s="676"/>
      <c r="M164" s="676"/>
      <c r="N164" s="676"/>
      <c r="O164" s="676"/>
      <c r="P164" s="676"/>
      <c r="Q164" s="676"/>
      <c r="R164" s="676"/>
      <c r="S164" s="676"/>
      <c r="T164" s="676">
        <f t="shared" si="48"/>
        <v>0</v>
      </c>
    </row>
    <row r="165" spans="1:20" ht="13.5" customHeight="1">
      <c r="A165" s="653" t="str">
        <f>'Budget-合并'!A165</f>
        <v>6603.03</v>
      </c>
      <c r="B165" s="653" t="str">
        <f>'Budget-合并'!B165</f>
        <v>银行手续费</v>
      </c>
      <c r="C165" s="673" t="str">
        <f>'Budget-合并'!C165</f>
        <v>Bank Charges</v>
      </c>
      <c r="D165" s="676">
        <f t="shared" si="46"/>
        <v>0</v>
      </c>
      <c r="F165" s="676">
        <f t="shared" ca="1" si="47"/>
        <v>0</v>
      </c>
      <c r="H165" s="676"/>
      <c r="I165" s="676"/>
      <c r="J165" s="676"/>
      <c r="K165" s="676"/>
      <c r="L165" s="676"/>
      <c r="M165" s="676"/>
      <c r="N165" s="676"/>
      <c r="O165" s="676"/>
      <c r="P165" s="676"/>
      <c r="Q165" s="676"/>
      <c r="R165" s="676"/>
      <c r="S165" s="676"/>
      <c r="T165" s="676">
        <f t="shared" si="48"/>
        <v>0</v>
      </c>
    </row>
    <row r="166" spans="1:20" ht="13.5" customHeight="1">
      <c r="A166" s="653" t="str">
        <f>'Budget-合并'!A166</f>
        <v>6603.04</v>
      </c>
      <c r="B166" s="653" t="str">
        <f>'Budget-合并'!B166</f>
        <v>利息收入</v>
      </c>
      <c r="C166" s="673" t="str">
        <f>'Budget-合并'!C166</f>
        <v>Bank Interest Income</v>
      </c>
      <c r="D166" s="676">
        <f t="shared" si="46"/>
        <v>0</v>
      </c>
      <c r="F166" s="676">
        <f t="shared" ca="1" si="47"/>
        <v>0</v>
      </c>
      <c r="H166" s="676"/>
      <c r="I166" s="676"/>
      <c r="J166" s="676"/>
      <c r="K166" s="676"/>
      <c r="L166" s="676"/>
      <c r="M166" s="676"/>
      <c r="N166" s="676"/>
      <c r="O166" s="676"/>
      <c r="P166" s="676"/>
      <c r="Q166" s="676"/>
      <c r="R166" s="676"/>
      <c r="S166" s="676"/>
      <c r="T166" s="676">
        <f t="shared" si="48"/>
        <v>0</v>
      </c>
    </row>
    <row r="167" spans="1:20" ht="13.5" customHeight="1">
      <c r="A167" s="663" t="str">
        <f>'Budget-合并'!A167</f>
        <v>6603.05</v>
      </c>
      <c r="B167" s="678" t="str">
        <f>'Budget-合并'!B167</f>
        <v>利息支出</v>
      </c>
      <c r="C167" s="673">
        <f>'Budget-合并'!C167</f>
        <v>0</v>
      </c>
      <c r="D167" s="676">
        <f t="shared" si="46"/>
        <v>0</v>
      </c>
      <c r="F167" s="676">
        <f t="shared" ca="1" si="47"/>
        <v>0</v>
      </c>
      <c r="H167" s="676">
        <f t="shared" ref="H167:S167" si="51">SUM(H168:H170)</f>
        <v>0</v>
      </c>
      <c r="I167" s="676">
        <f t="shared" si="51"/>
        <v>0</v>
      </c>
      <c r="J167" s="676">
        <f t="shared" si="51"/>
        <v>0</v>
      </c>
      <c r="K167" s="676">
        <f t="shared" si="51"/>
        <v>0</v>
      </c>
      <c r="L167" s="676">
        <f t="shared" si="51"/>
        <v>0</v>
      </c>
      <c r="M167" s="676">
        <f t="shared" si="51"/>
        <v>0</v>
      </c>
      <c r="N167" s="676">
        <f t="shared" si="51"/>
        <v>0</v>
      </c>
      <c r="O167" s="676">
        <f t="shared" si="51"/>
        <v>0</v>
      </c>
      <c r="P167" s="676">
        <f t="shared" si="51"/>
        <v>0</v>
      </c>
      <c r="Q167" s="676">
        <f t="shared" si="51"/>
        <v>0</v>
      </c>
      <c r="R167" s="676">
        <f t="shared" si="51"/>
        <v>0</v>
      </c>
      <c r="S167" s="676">
        <f t="shared" si="51"/>
        <v>0</v>
      </c>
      <c r="T167" s="676">
        <f t="shared" si="48"/>
        <v>0</v>
      </c>
    </row>
    <row r="168" spans="1:20" ht="13.5" customHeight="1">
      <c r="A168" s="653" t="str">
        <f>'Budget-合并'!A168</f>
        <v>6603.05.01</v>
      </c>
      <c r="B168" s="653" t="str">
        <f>'Budget-合并'!B168</f>
        <v>兴业金融租赁有限责任公司</v>
      </c>
      <c r="C168" s="673">
        <f>'Budget-合并'!C168</f>
        <v>0</v>
      </c>
      <c r="D168" s="676">
        <f t="shared" si="46"/>
        <v>0</v>
      </c>
      <c r="F168" s="676">
        <f t="shared" ca="1" si="47"/>
        <v>0</v>
      </c>
      <c r="H168" s="676"/>
      <c r="I168" s="676"/>
      <c r="J168" s="676"/>
      <c r="K168" s="676"/>
      <c r="L168" s="676"/>
      <c r="M168" s="676"/>
      <c r="N168" s="676"/>
      <c r="O168" s="676"/>
      <c r="P168" s="676"/>
      <c r="Q168" s="676"/>
      <c r="R168" s="676"/>
      <c r="S168" s="676"/>
      <c r="T168" s="676">
        <f t="shared" si="48"/>
        <v>0</v>
      </c>
    </row>
    <row r="169" spans="1:20" ht="13.5" customHeight="1">
      <c r="A169" s="653" t="str">
        <f>'Budget-合并'!A169</f>
        <v>6603.05.02</v>
      </c>
      <c r="B169" s="653" t="str">
        <f>'Budget-合并'!B169</f>
        <v>湖南三一智慧新能源设计有限公司</v>
      </c>
      <c r="C169" s="673">
        <f>'Budget-合并'!C169</f>
        <v>0</v>
      </c>
      <c r="D169" s="676">
        <f t="shared" si="46"/>
        <v>0</v>
      </c>
      <c r="F169" s="676">
        <f t="shared" ca="1" si="47"/>
        <v>0</v>
      </c>
      <c r="H169" s="676"/>
      <c r="I169" s="676"/>
      <c r="J169" s="676"/>
      <c r="K169" s="676"/>
      <c r="L169" s="676"/>
      <c r="M169" s="676"/>
      <c r="N169" s="676"/>
      <c r="O169" s="676"/>
      <c r="P169" s="676"/>
      <c r="Q169" s="676"/>
      <c r="R169" s="676"/>
      <c r="S169" s="676"/>
      <c r="T169" s="676">
        <f t="shared" si="48"/>
        <v>0</v>
      </c>
    </row>
    <row r="170" spans="1:20" ht="13.5" customHeight="1">
      <c r="A170" s="653" t="str">
        <f>'Budget-合并'!A170</f>
        <v>6603.05.03</v>
      </c>
      <c r="B170" s="653" t="str">
        <f>'Budget-合并'!B170</f>
        <v>和谐天明投资管理(北京)有限公司</v>
      </c>
      <c r="C170" s="673"/>
      <c r="D170" s="676">
        <f t="shared" si="46"/>
        <v>0</v>
      </c>
      <c r="F170" s="676">
        <f t="shared" ca="1" si="47"/>
        <v>0</v>
      </c>
      <c r="H170" s="676"/>
      <c r="I170" s="676"/>
      <c r="J170" s="676"/>
      <c r="K170" s="676"/>
      <c r="L170" s="676"/>
      <c r="M170" s="676"/>
      <c r="N170" s="676"/>
      <c r="O170" s="676"/>
      <c r="P170" s="676"/>
      <c r="Q170" s="676"/>
      <c r="R170" s="676"/>
      <c r="S170" s="676"/>
      <c r="T170" s="676"/>
    </row>
    <row r="171" spans="1:20" ht="13.5" customHeight="1">
      <c r="A171" s="653" t="str">
        <f>'Budget-合并'!A171</f>
        <v>6603.99</v>
      </c>
      <c r="B171" s="653" t="str">
        <f>'Budget-合并'!B171</f>
        <v>其他</v>
      </c>
      <c r="C171" s="673">
        <f>'Budget-合并'!C171</f>
        <v>0</v>
      </c>
      <c r="D171" s="676">
        <f t="shared" si="46"/>
        <v>0</v>
      </c>
      <c r="F171" s="676">
        <f t="shared" ca="1" si="47"/>
        <v>0</v>
      </c>
      <c r="H171" s="676">
        <f t="shared" ref="H171:S171" si="52">SUM(H161:H164,H168,H169)</f>
        <v>0</v>
      </c>
      <c r="I171" s="676">
        <f t="shared" si="52"/>
        <v>0</v>
      </c>
      <c r="J171" s="676">
        <f t="shared" si="52"/>
        <v>0</v>
      </c>
      <c r="K171" s="676">
        <f t="shared" si="52"/>
        <v>0</v>
      </c>
      <c r="L171" s="676">
        <f t="shared" si="52"/>
        <v>0</v>
      </c>
      <c r="M171" s="676">
        <f t="shared" si="52"/>
        <v>0</v>
      </c>
      <c r="N171" s="676">
        <f t="shared" si="52"/>
        <v>0</v>
      </c>
      <c r="O171" s="676">
        <f t="shared" si="52"/>
        <v>0</v>
      </c>
      <c r="P171" s="676">
        <f t="shared" si="52"/>
        <v>0</v>
      </c>
      <c r="Q171" s="676">
        <f t="shared" si="52"/>
        <v>0</v>
      </c>
      <c r="R171" s="676">
        <f t="shared" si="52"/>
        <v>0</v>
      </c>
      <c r="S171" s="676">
        <f t="shared" si="52"/>
        <v>0</v>
      </c>
      <c r="T171" s="676">
        <f t="shared" ref="T171:T182" si="53">SUM(H171:S171)</f>
        <v>0</v>
      </c>
    </row>
    <row r="172" spans="1:20" ht="13.5" customHeight="1">
      <c r="A172" s="672">
        <f>'Budget-合并'!A172</f>
        <v>0</v>
      </c>
      <c r="B172" s="672" t="str">
        <f>'Budget-合并'!B172</f>
        <v>财务费用合计</v>
      </c>
      <c r="C172" s="673">
        <f>'Budget-合并'!C172</f>
        <v>0</v>
      </c>
      <c r="D172" s="677">
        <f t="shared" si="46"/>
        <v>0</v>
      </c>
      <c r="F172" s="677">
        <f t="shared" ca="1" si="47"/>
        <v>0</v>
      </c>
      <c r="H172" s="677">
        <f t="shared" ref="H172:T172" si="54">SUM(H156,H157,H165:H167,H171)</f>
        <v>0</v>
      </c>
      <c r="I172" s="677">
        <f t="shared" si="54"/>
        <v>0</v>
      </c>
      <c r="J172" s="677">
        <f t="shared" si="54"/>
        <v>0</v>
      </c>
      <c r="K172" s="677">
        <f t="shared" si="54"/>
        <v>0</v>
      </c>
      <c r="L172" s="677">
        <f t="shared" si="54"/>
        <v>0</v>
      </c>
      <c r="M172" s="677">
        <f t="shared" si="54"/>
        <v>0</v>
      </c>
      <c r="N172" s="677">
        <f t="shared" si="54"/>
        <v>0</v>
      </c>
      <c r="O172" s="677">
        <f t="shared" si="54"/>
        <v>0</v>
      </c>
      <c r="P172" s="677">
        <f t="shared" si="54"/>
        <v>0</v>
      </c>
      <c r="Q172" s="677">
        <f t="shared" si="54"/>
        <v>0</v>
      </c>
      <c r="R172" s="677">
        <f t="shared" si="54"/>
        <v>0</v>
      </c>
      <c r="S172" s="677">
        <f t="shared" si="54"/>
        <v>0</v>
      </c>
      <c r="T172" s="677">
        <f t="shared" si="54"/>
        <v>0</v>
      </c>
    </row>
    <row r="173" spans="1:20" ht="13.5" customHeight="1">
      <c r="A173" s="653">
        <f>'Budget-合并'!A173</f>
        <v>0</v>
      </c>
      <c r="B173" s="653">
        <f>'Budget-合并'!B173</f>
        <v>0</v>
      </c>
      <c r="C173" s="673">
        <f>'Budget-合并'!C173</f>
        <v>0</v>
      </c>
      <c r="T173" s="652">
        <f>T12-T19-T141-T159+T171</f>
        <v>0</v>
      </c>
    </row>
    <row r="174" spans="1:20" ht="13.5" customHeight="1">
      <c r="A174" s="653" t="str">
        <f>'Budget-合并'!A174</f>
        <v>6051</v>
      </c>
      <c r="B174" s="653" t="str">
        <f>'Budget-合并'!B174</f>
        <v>其他业务收入</v>
      </c>
      <c r="C174" s="673">
        <f>'Budget-合并'!C174</f>
        <v>0</v>
      </c>
      <c r="D174" s="676">
        <f t="shared" ref="D174:D183" si="55">INDEX($H$8:$S$8,1,MATCH($D$6,$H$6:$S$6))</f>
        <v>0</v>
      </c>
      <c r="F174" s="676">
        <f t="shared" ref="F174:F183" ca="1" si="56">SUM($H174:OFFSET($H174,0,MATCH(F$6,$H$6:$S$6)-1))</f>
        <v>0</v>
      </c>
      <c r="H174" s="676"/>
      <c r="I174" s="676"/>
      <c r="J174" s="676"/>
      <c r="K174" s="676"/>
      <c r="L174" s="676"/>
      <c r="M174" s="676"/>
      <c r="N174" s="676"/>
      <c r="O174" s="676"/>
      <c r="P174" s="676"/>
      <c r="Q174" s="676"/>
      <c r="R174" s="676"/>
      <c r="S174" s="676"/>
      <c r="T174" s="676">
        <f t="shared" si="53"/>
        <v>0</v>
      </c>
    </row>
    <row r="175" spans="1:20" ht="13.5" customHeight="1">
      <c r="A175" s="653" t="str">
        <f>'Budget-合并'!A175</f>
        <v>6101</v>
      </c>
      <c r="B175" s="653" t="str">
        <f>'Budget-合并'!B175</f>
        <v>公允价值变动损益</v>
      </c>
      <c r="C175" s="673">
        <f>'Budget-合并'!C175</f>
        <v>0</v>
      </c>
      <c r="D175" s="676">
        <f t="shared" si="55"/>
        <v>0</v>
      </c>
      <c r="F175" s="676">
        <f t="shared" ca="1" si="56"/>
        <v>0</v>
      </c>
      <c r="H175" s="676"/>
      <c r="I175" s="676"/>
      <c r="J175" s="676"/>
      <c r="K175" s="676"/>
      <c r="L175" s="676"/>
      <c r="M175" s="676"/>
      <c r="N175" s="676"/>
      <c r="O175" s="676"/>
      <c r="P175" s="676"/>
      <c r="Q175" s="676"/>
      <c r="R175" s="676"/>
      <c r="S175" s="676"/>
      <c r="T175" s="676">
        <f t="shared" si="53"/>
        <v>0</v>
      </c>
    </row>
    <row r="176" spans="1:20" ht="13.5" customHeight="1">
      <c r="A176" s="653" t="str">
        <f>'Budget-合并'!A176</f>
        <v>6111</v>
      </c>
      <c r="B176" s="653" t="str">
        <f>'Budget-合并'!B176</f>
        <v>投资收益</v>
      </c>
      <c r="C176" s="673" t="str">
        <f>'Budget-合并'!C176</f>
        <v>Gain on investment</v>
      </c>
      <c r="D176" s="676">
        <f t="shared" si="55"/>
        <v>0</v>
      </c>
      <c r="F176" s="676">
        <f t="shared" ca="1" si="56"/>
        <v>0</v>
      </c>
      <c r="H176" s="676"/>
      <c r="I176" s="676"/>
      <c r="J176" s="676"/>
      <c r="K176" s="676"/>
      <c r="L176" s="676"/>
      <c r="M176" s="676"/>
      <c r="N176" s="676"/>
      <c r="O176" s="676"/>
      <c r="P176" s="676"/>
      <c r="Q176" s="676"/>
      <c r="R176" s="676"/>
      <c r="S176" s="676"/>
      <c r="T176" s="676">
        <f t="shared" si="53"/>
        <v>0</v>
      </c>
    </row>
    <row r="177" spans="1:20" ht="13.5" customHeight="1">
      <c r="A177" s="663" t="str">
        <f>'Budget-合并'!A177</f>
        <v>6115</v>
      </c>
      <c r="B177" s="678" t="str">
        <f>'Budget-合并'!B177</f>
        <v>其他收益</v>
      </c>
      <c r="C177" s="673" t="str">
        <f>'Budget-合并'!C177</f>
        <v>Other income</v>
      </c>
      <c r="D177" s="676">
        <f t="shared" si="55"/>
        <v>0</v>
      </c>
      <c r="F177" s="676">
        <f t="shared" ca="1" si="56"/>
        <v>0</v>
      </c>
      <c r="H177" s="676">
        <f t="shared" ref="H177:S177" si="57">SUM(H178:H180)</f>
        <v>0</v>
      </c>
      <c r="I177" s="676">
        <f t="shared" si="57"/>
        <v>0</v>
      </c>
      <c r="J177" s="676">
        <f t="shared" si="57"/>
        <v>0</v>
      </c>
      <c r="K177" s="676">
        <f t="shared" si="57"/>
        <v>0</v>
      </c>
      <c r="L177" s="676">
        <f t="shared" si="57"/>
        <v>0</v>
      </c>
      <c r="M177" s="676">
        <f t="shared" si="57"/>
        <v>0</v>
      </c>
      <c r="N177" s="676">
        <f t="shared" si="57"/>
        <v>0</v>
      </c>
      <c r="O177" s="676">
        <f t="shared" si="57"/>
        <v>0</v>
      </c>
      <c r="P177" s="676">
        <f t="shared" si="57"/>
        <v>0</v>
      </c>
      <c r="Q177" s="676">
        <f t="shared" si="57"/>
        <v>0</v>
      </c>
      <c r="R177" s="676">
        <f t="shared" si="57"/>
        <v>0</v>
      </c>
      <c r="S177" s="676">
        <f t="shared" si="57"/>
        <v>0</v>
      </c>
      <c r="T177" s="676">
        <f t="shared" si="53"/>
        <v>0</v>
      </c>
    </row>
    <row r="178" spans="1:20" ht="13.5" customHeight="1">
      <c r="A178" s="653" t="str">
        <f>'Budget-合并'!A178</f>
        <v>6115.01</v>
      </c>
      <c r="B178" s="653" t="str">
        <f>'Budget-合并'!B178</f>
        <v>政府补助</v>
      </c>
      <c r="C178" s="673">
        <f>'Budget-合并'!C178</f>
        <v>0</v>
      </c>
      <c r="D178" s="676">
        <f t="shared" si="55"/>
        <v>0</v>
      </c>
      <c r="F178" s="676">
        <f t="shared" ca="1" si="56"/>
        <v>0</v>
      </c>
      <c r="H178" s="676"/>
      <c r="I178" s="676"/>
      <c r="J178" s="676"/>
      <c r="K178" s="676"/>
      <c r="L178" s="676"/>
      <c r="M178" s="676"/>
      <c r="N178" s="676"/>
      <c r="O178" s="676"/>
      <c r="P178" s="676"/>
      <c r="Q178" s="676"/>
      <c r="R178" s="676"/>
      <c r="S178" s="676"/>
      <c r="T178" s="676">
        <f t="shared" si="53"/>
        <v>0</v>
      </c>
    </row>
    <row r="179" spans="1:20" ht="13.5" customHeight="1">
      <c r="A179" s="653" t="str">
        <f>'Budget-合并'!A179</f>
        <v>6115.02</v>
      </c>
      <c r="B179" s="653" t="str">
        <f>'Budget-合并'!B179</f>
        <v>个税手续费返还</v>
      </c>
      <c r="C179" s="673">
        <f>'Budget-合并'!C179</f>
        <v>0</v>
      </c>
      <c r="D179" s="676">
        <f t="shared" si="55"/>
        <v>0</v>
      </c>
      <c r="F179" s="676">
        <f t="shared" ca="1" si="56"/>
        <v>0</v>
      </c>
      <c r="H179" s="676"/>
      <c r="I179" s="676"/>
      <c r="J179" s="676"/>
      <c r="K179" s="676"/>
      <c r="L179" s="676"/>
      <c r="M179" s="676"/>
      <c r="N179" s="676"/>
      <c r="O179" s="676"/>
      <c r="P179" s="676"/>
      <c r="Q179" s="676"/>
      <c r="R179" s="676"/>
      <c r="S179" s="676"/>
      <c r="T179" s="676">
        <f t="shared" si="53"/>
        <v>0</v>
      </c>
    </row>
    <row r="180" spans="1:20" ht="13.5" customHeight="1">
      <c r="A180" s="653" t="str">
        <f>'Budget-合并'!A180</f>
        <v>6115.99</v>
      </c>
      <c r="B180" s="653" t="str">
        <f>'Budget-合并'!B180</f>
        <v>其他</v>
      </c>
      <c r="C180" s="673">
        <f>'Budget-合并'!C180</f>
        <v>0</v>
      </c>
      <c r="D180" s="676">
        <f t="shared" si="55"/>
        <v>0</v>
      </c>
      <c r="F180" s="676">
        <f t="shared" ca="1" si="56"/>
        <v>0</v>
      </c>
      <c r="H180" s="676"/>
      <c r="I180" s="676"/>
      <c r="J180" s="676"/>
      <c r="K180" s="676"/>
      <c r="L180" s="676"/>
      <c r="M180" s="676"/>
      <c r="N180" s="676"/>
      <c r="O180" s="676"/>
      <c r="P180" s="676"/>
      <c r="Q180" s="676"/>
      <c r="R180" s="676"/>
      <c r="S180" s="676"/>
      <c r="T180" s="676">
        <f t="shared" si="53"/>
        <v>0</v>
      </c>
    </row>
    <row r="181" spans="1:20" ht="13.5" customHeight="1">
      <c r="A181" s="653" t="str">
        <f>'Budget-合并'!A181</f>
        <v>6117</v>
      </c>
      <c r="B181" s="653" t="str">
        <f>'Budget-合并'!B181</f>
        <v>资产处置损益</v>
      </c>
      <c r="C181" s="673">
        <f>'Budget-合并'!C181</f>
        <v>0</v>
      </c>
      <c r="D181" s="676">
        <f t="shared" si="55"/>
        <v>0</v>
      </c>
      <c r="F181" s="676">
        <f t="shared" ca="1" si="56"/>
        <v>0</v>
      </c>
      <c r="H181" s="676"/>
      <c r="I181" s="676"/>
      <c r="J181" s="676"/>
      <c r="K181" s="676"/>
      <c r="L181" s="676"/>
      <c r="M181" s="676"/>
      <c r="N181" s="676"/>
      <c r="O181" s="676"/>
      <c r="P181" s="676"/>
      <c r="Q181" s="676"/>
      <c r="R181" s="676"/>
      <c r="S181" s="676"/>
      <c r="T181" s="676">
        <f t="shared" si="53"/>
        <v>0</v>
      </c>
    </row>
    <row r="182" spans="1:20" ht="13.5" customHeight="1">
      <c r="A182" s="653" t="str">
        <f>'Budget-合并'!A182</f>
        <v>6118</v>
      </c>
      <c r="B182" s="653" t="str">
        <f>'Budget-合并'!B182</f>
        <v>净敞口套期损益</v>
      </c>
      <c r="C182" s="673">
        <f>'Budget-合并'!C182</f>
        <v>0</v>
      </c>
      <c r="D182" s="676">
        <f t="shared" si="55"/>
        <v>0</v>
      </c>
      <c r="F182" s="676">
        <f t="shared" ca="1" si="56"/>
        <v>0</v>
      </c>
      <c r="H182" s="676"/>
      <c r="I182" s="676"/>
      <c r="J182" s="676"/>
      <c r="K182" s="676"/>
      <c r="L182" s="676"/>
      <c r="M182" s="676"/>
      <c r="N182" s="676"/>
      <c r="O182" s="676"/>
      <c r="P182" s="676"/>
      <c r="Q182" s="676"/>
      <c r="R182" s="676"/>
      <c r="S182" s="676"/>
      <c r="T182" s="676">
        <f t="shared" si="53"/>
        <v>0</v>
      </c>
    </row>
    <row r="183" spans="1:20" ht="13.5" customHeight="1">
      <c r="A183" s="672">
        <f>'Budget-合并'!A183</f>
        <v>0</v>
      </c>
      <c r="B183" s="672" t="str">
        <f>'Budget-合并'!B183</f>
        <v>其他收益合计</v>
      </c>
      <c r="C183" s="673">
        <f>'Budget-合并'!C183</f>
        <v>0</v>
      </c>
      <c r="D183" s="677">
        <f t="shared" si="55"/>
        <v>0</v>
      </c>
      <c r="F183" s="677">
        <f t="shared" ca="1" si="56"/>
        <v>0</v>
      </c>
      <c r="H183" s="677">
        <f t="shared" ref="H183:T183" si="58">SUM(H174,H174:H177,H181:H182)</f>
        <v>0</v>
      </c>
      <c r="I183" s="677">
        <f t="shared" si="58"/>
        <v>0</v>
      </c>
      <c r="J183" s="677">
        <f t="shared" si="58"/>
        <v>0</v>
      </c>
      <c r="K183" s="677">
        <f t="shared" si="58"/>
        <v>0</v>
      </c>
      <c r="L183" s="677">
        <f t="shared" si="58"/>
        <v>0</v>
      </c>
      <c r="M183" s="677">
        <f t="shared" si="58"/>
        <v>0</v>
      </c>
      <c r="N183" s="677">
        <f t="shared" si="58"/>
        <v>0</v>
      </c>
      <c r="O183" s="677">
        <f t="shared" si="58"/>
        <v>0</v>
      </c>
      <c r="P183" s="677">
        <f t="shared" si="58"/>
        <v>0</v>
      </c>
      <c r="Q183" s="677">
        <f t="shared" si="58"/>
        <v>0</v>
      </c>
      <c r="R183" s="677">
        <f t="shared" si="58"/>
        <v>0</v>
      </c>
      <c r="S183" s="677">
        <f t="shared" si="58"/>
        <v>0</v>
      </c>
      <c r="T183" s="677">
        <f t="shared" si="58"/>
        <v>0</v>
      </c>
    </row>
    <row r="184" spans="1:20" ht="13.5" customHeight="1">
      <c r="A184" s="653">
        <f>'Budget-合并'!A184</f>
        <v>0</v>
      </c>
      <c r="B184" s="653">
        <f>'Budget-合并'!B184</f>
        <v>0</v>
      </c>
      <c r="C184" s="673">
        <f>'Budget-合并'!C184</f>
        <v>0</v>
      </c>
      <c r="T184" s="652">
        <f t="shared" ref="T184:T198" si="59">SUM(H184:S184)</f>
        <v>0</v>
      </c>
    </row>
    <row r="185" spans="1:20" ht="13.5" customHeight="1">
      <c r="A185" s="672">
        <f>'Budget-合并'!A185</f>
        <v>0</v>
      </c>
      <c r="B185" s="672" t="str">
        <f>'Budget-合并'!B185</f>
        <v>营业利润</v>
      </c>
      <c r="C185" s="673">
        <f>'Budget-合并'!C185</f>
        <v>0</v>
      </c>
      <c r="D185" s="677">
        <f t="shared" ref="D185:D199" si="60">INDEX($H$8:$S$8,1,MATCH($D$6,$H$6:$S$6))</f>
        <v>0</v>
      </c>
      <c r="F185" s="677">
        <f t="shared" ref="F185:F199" ca="1" si="61">SUM($H185:OFFSET($H185,0,MATCH(F$6,$H$6:$S$6)-1))</f>
        <v>0</v>
      </c>
      <c r="H185" s="677">
        <f t="shared" ref="H185:S185" si="62">H12-H19-H42-H153-H172+H183</f>
        <v>0</v>
      </c>
      <c r="I185" s="677">
        <f t="shared" si="62"/>
        <v>0</v>
      </c>
      <c r="J185" s="677">
        <f t="shared" si="62"/>
        <v>0</v>
      </c>
      <c r="K185" s="677">
        <f t="shared" si="62"/>
        <v>0</v>
      </c>
      <c r="L185" s="677">
        <f t="shared" si="62"/>
        <v>0</v>
      </c>
      <c r="M185" s="677">
        <f t="shared" si="62"/>
        <v>0</v>
      </c>
      <c r="N185" s="677">
        <f t="shared" si="62"/>
        <v>0</v>
      </c>
      <c r="O185" s="677">
        <f t="shared" si="62"/>
        <v>0</v>
      </c>
      <c r="P185" s="677">
        <f t="shared" si="62"/>
        <v>0</v>
      </c>
      <c r="Q185" s="677">
        <f t="shared" si="62"/>
        <v>0</v>
      </c>
      <c r="R185" s="677">
        <f t="shared" si="62"/>
        <v>0</v>
      </c>
      <c r="S185" s="677">
        <f t="shared" si="62"/>
        <v>0</v>
      </c>
      <c r="T185" s="654">
        <f t="shared" si="59"/>
        <v>0</v>
      </c>
    </row>
    <row r="186" spans="1:20" ht="13.5" customHeight="1">
      <c r="A186" s="653">
        <f>'Budget-合并'!A186</f>
        <v>0</v>
      </c>
      <c r="B186" s="653">
        <f>'Budget-合并'!B186</f>
        <v>0</v>
      </c>
      <c r="C186" s="673">
        <f>'Budget-合并'!C186</f>
        <v>0</v>
      </c>
    </row>
    <row r="187" spans="1:20" ht="13.5" customHeight="1">
      <c r="A187" s="653" t="str">
        <f>'Budget-合并'!A187</f>
        <v>6301</v>
      </c>
      <c r="B187" s="653" t="str">
        <f>'Budget-合并'!B187</f>
        <v>营业外收入</v>
      </c>
      <c r="C187" s="673">
        <f>'Budget-合并'!C187</f>
        <v>0</v>
      </c>
      <c r="D187" s="676">
        <f t="shared" si="60"/>
        <v>0</v>
      </c>
      <c r="F187" s="676">
        <f t="shared" ca="1" si="61"/>
        <v>0</v>
      </c>
      <c r="H187" s="676">
        <f t="shared" ref="H187:S187" si="63">SUM(H188:H192)</f>
        <v>0</v>
      </c>
      <c r="I187" s="676">
        <f t="shared" si="63"/>
        <v>0</v>
      </c>
      <c r="J187" s="676">
        <f t="shared" si="63"/>
        <v>0</v>
      </c>
      <c r="K187" s="676">
        <f t="shared" si="63"/>
        <v>0</v>
      </c>
      <c r="L187" s="676">
        <f t="shared" si="63"/>
        <v>0</v>
      </c>
      <c r="M187" s="676">
        <f t="shared" si="63"/>
        <v>0</v>
      </c>
      <c r="N187" s="676">
        <f t="shared" si="63"/>
        <v>0</v>
      </c>
      <c r="O187" s="676">
        <f t="shared" si="63"/>
        <v>0</v>
      </c>
      <c r="P187" s="676">
        <f t="shared" si="63"/>
        <v>0</v>
      </c>
      <c r="Q187" s="676">
        <f t="shared" si="63"/>
        <v>0</v>
      </c>
      <c r="R187" s="676">
        <f t="shared" si="63"/>
        <v>0</v>
      </c>
      <c r="S187" s="676">
        <f t="shared" si="63"/>
        <v>0</v>
      </c>
      <c r="T187" s="676">
        <f t="shared" si="59"/>
        <v>0</v>
      </c>
    </row>
    <row r="188" spans="1:20" ht="13.5" customHeight="1">
      <c r="A188" s="653" t="str">
        <f>'Budget-合并'!A188</f>
        <v>6301.01</v>
      </c>
      <c r="B188" s="653" t="str">
        <f>'Budget-合并'!B188</f>
        <v>非流动资产处置利得</v>
      </c>
      <c r="C188" s="673">
        <f>'Budget-合并'!C188</f>
        <v>0</v>
      </c>
      <c r="D188" s="676">
        <f t="shared" si="60"/>
        <v>0</v>
      </c>
      <c r="F188" s="676">
        <f t="shared" ca="1" si="61"/>
        <v>0</v>
      </c>
      <c r="H188" s="676"/>
      <c r="I188" s="676"/>
      <c r="J188" s="676"/>
      <c r="K188" s="676"/>
      <c r="L188" s="676"/>
      <c r="M188" s="676"/>
      <c r="N188" s="676"/>
      <c r="O188" s="676"/>
      <c r="P188" s="676"/>
      <c r="Q188" s="676"/>
      <c r="R188" s="676"/>
      <c r="S188" s="676"/>
      <c r="T188" s="676">
        <f t="shared" si="59"/>
        <v>0</v>
      </c>
    </row>
    <row r="189" spans="1:20" ht="13.5" customHeight="1">
      <c r="A189" s="653" t="str">
        <f>'Budget-合并'!A189</f>
        <v>6301.02</v>
      </c>
      <c r="B189" s="653" t="str">
        <f>'Budget-合并'!B189</f>
        <v>债务重组利得</v>
      </c>
      <c r="C189" s="673">
        <f>'Budget-合并'!C189</f>
        <v>0</v>
      </c>
      <c r="D189" s="676">
        <f t="shared" si="60"/>
        <v>0</v>
      </c>
      <c r="F189" s="676">
        <f t="shared" ca="1" si="61"/>
        <v>0</v>
      </c>
      <c r="H189" s="676"/>
      <c r="I189" s="676"/>
      <c r="J189" s="676"/>
      <c r="K189" s="676"/>
      <c r="L189" s="676"/>
      <c r="M189" s="676"/>
      <c r="N189" s="676"/>
      <c r="O189" s="676"/>
      <c r="P189" s="676"/>
      <c r="Q189" s="676"/>
      <c r="R189" s="676"/>
      <c r="S189" s="676"/>
      <c r="T189" s="676">
        <f t="shared" si="59"/>
        <v>0</v>
      </c>
    </row>
    <row r="190" spans="1:20" ht="13.5" customHeight="1">
      <c r="A190" s="653" t="str">
        <f>'Budget-合并'!A190</f>
        <v>6301.03</v>
      </c>
      <c r="B190" s="653" t="str">
        <f>'Budget-合并'!B190</f>
        <v>盘盈利得</v>
      </c>
      <c r="C190" s="673">
        <f>'Budget-合并'!C190</f>
        <v>0</v>
      </c>
      <c r="D190" s="676">
        <f t="shared" si="60"/>
        <v>0</v>
      </c>
      <c r="F190" s="676">
        <f t="shared" ca="1" si="61"/>
        <v>0</v>
      </c>
      <c r="H190" s="676"/>
      <c r="I190" s="676"/>
      <c r="J190" s="676"/>
      <c r="K190" s="676"/>
      <c r="L190" s="676"/>
      <c r="M190" s="676"/>
      <c r="N190" s="676"/>
      <c r="O190" s="676"/>
      <c r="P190" s="676"/>
      <c r="Q190" s="676"/>
      <c r="R190" s="676"/>
      <c r="S190" s="676"/>
      <c r="T190" s="676">
        <f t="shared" si="59"/>
        <v>0</v>
      </c>
    </row>
    <row r="191" spans="1:20" ht="13.5" customHeight="1">
      <c r="A191" s="653" t="str">
        <f>'Budget-合并'!A191</f>
        <v>6301.04</v>
      </c>
      <c r="B191" s="653" t="str">
        <f>'Budget-合并'!B191</f>
        <v>捐赠利得</v>
      </c>
      <c r="C191" s="673">
        <f>'Budget-合并'!C191</f>
        <v>0</v>
      </c>
      <c r="D191" s="676">
        <f t="shared" si="60"/>
        <v>0</v>
      </c>
      <c r="F191" s="676">
        <f t="shared" ca="1" si="61"/>
        <v>0</v>
      </c>
      <c r="H191" s="676"/>
      <c r="I191" s="676"/>
      <c r="J191" s="676"/>
      <c r="K191" s="676"/>
      <c r="L191" s="676"/>
      <c r="M191" s="676"/>
      <c r="N191" s="676"/>
      <c r="O191" s="676"/>
      <c r="P191" s="676"/>
      <c r="Q191" s="676"/>
      <c r="R191" s="676"/>
      <c r="S191" s="676"/>
      <c r="T191" s="676">
        <f t="shared" si="59"/>
        <v>0</v>
      </c>
    </row>
    <row r="192" spans="1:20" ht="13.5" customHeight="1">
      <c r="A192" s="653" t="str">
        <f>'Budget-合并'!A192</f>
        <v>6301.99</v>
      </c>
      <c r="B192" s="653" t="str">
        <f>'Budget-合并'!B192</f>
        <v>其他</v>
      </c>
      <c r="C192" s="673">
        <f>'Budget-合并'!C192</f>
        <v>0</v>
      </c>
      <c r="D192" s="676">
        <f t="shared" si="60"/>
        <v>0</v>
      </c>
      <c r="F192" s="676">
        <f t="shared" ca="1" si="61"/>
        <v>0</v>
      </c>
      <c r="H192" s="676"/>
      <c r="I192" s="676"/>
      <c r="J192" s="676"/>
      <c r="K192" s="676"/>
      <c r="L192" s="676"/>
      <c r="M192" s="676"/>
      <c r="N192" s="676"/>
      <c r="O192" s="676"/>
      <c r="P192" s="676"/>
      <c r="Q192" s="676"/>
      <c r="R192" s="676"/>
      <c r="S192" s="676"/>
      <c r="T192" s="676">
        <f t="shared" si="59"/>
        <v>0</v>
      </c>
    </row>
    <row r="193" spans="1:20" ht="13.5" customHeight="1">
      <c r="A193" s="653" t="str">
        <f>'Budget-合并'!A193</f>
        <v>6402</v>
      </c>
      <c r="B193" s="653" t="str">
        <f>'Budget-合并'!B193</f>
        <v>其他业务成本</v>
      </c>
      <c r="C193" s="673">
        <f>'Budget-合并'!C193</f>
        <v>0</v>
      </c>
      <c r="D193" s="676">
        <f t="shared" si="60"/>
        <v>0</v>
      </c>
      <c r="F193" s="676">
        <f t="shared" ca="1" si="61"/>
        <v>0</v>
      </c>
      <c r="H193" s="676"/>
      <c r="I193" s="676"/>
      <c r="J193" s="676"/>
      <c r="K193" s="676"/>
      <c r="L193" s="676"/>
      <c r="M193" s="676"/>
      <c r="N193" s="676"/>
      <c r="O193" s="676"/>
      <c r="P193" s="676"/>
      <c r="Q193" s="676"/>
      <c r="R193" s="676"/>
      <c r="S193" s="676"/>
      <c r="T193" s="676">
        <f t="shared" si="59"/>
        <v>0</v>
      </c>
    </row>
    <row r="194" spans="1:20" ht="13.5" customHeight="1">
      <c r="A194" s="653" t="str">
        <f>'Budget-合并'!A194</f>
        <v>6701</v>
      </c>
      <c r="B194" s="653" t="str">
        <f>'Budget-合并'!B194</f>
        <v>资产减值损失</v>
      </c>
      <c r="C194" s="673" t="str">
        <f>'Budget-合并'!C194</f>
        <v>Impairment loss</v>
      </c>
      <c r="D194" s="676">
        <f t="shared" si="60"/>
        <v>0</v>
      </c>
      <c r="F194" s="676">
        <f t="shared" ca="1" si="61"/>
        <v>0</v>
      </c>
      <c r="H194" s="676"/>
      <c r="I194" s="676"/>
      <c r="J194" s="676"/>
      <c r="K194" s="676"/>
      <c r="L194" s="676"/>
      <c r="M194" s="676"/>
      <c r="N194" s="676"/>
      <c r="O194" s="676"/>
      <c r="P194" s="676"/>
      <c r="Q194" s="676"/>
      <c r="R194" s="676"/>
      <c r="S194" s="676"/>
      <c r="T194" s="676">
        <f t="shared" si="59"/>
        <v>0</v>
      </c>
    </row>
    <row r="195" spans="1:20" s="651" customFormat="1" ht="13.5" customHeight="1">
      <c r="A195" s="653" t="str">
        <f>'Budget-合并'!A195</f>
        <v>6711</v>
      </c>
      <c r="B195" s="653" t="str">
        <f>'Budget-合并'!B195</f>
        <v>营业外支出</v>
      </c>
      <c r="C195" s="673">
        <f>'Budget-合并'!C195</f>
        <v>0</v>
      </c>
      <c r="D195" s="676">
        <f t="shared" si="60"/>
        <v>0</v>
      </c>
      <c r="E195" s="654"/>
      <c r="F195" s="676">
        <f t="shared" ca="1" si="61"/>
        <v>0</v>
      </c>
      <c r="G195" s="654"/>
      <c r="H195" s="676">
        <f t="shared" ref="H195:S195" si="64">SUM(H196:H197)</f>
        <v>0</v>
      </c>
      <c r="I195" s="676">
        <f t="shared" si="64"/>
        <v>0</v>
      </c>
      <c r="J195" s="676">
        <f t="shared" si="64"/>
        <v>0</v>
      </c>
      <c r="K195" s="676">
        <f t="shared" si="64"/>
        <v>0</v>
      </c>
      <c r="L195" s="676">
        <f t="shared" si="64"/>
        <v>0</v>
      </c>
      <c r="M195" s="676">
        <f t="shared" si="64"/>
        <v>0</v>
      </c>
      <c r="N195" s="676">
        <f t="shared" si="64"/>
        <v>0</v>
      </c>
      <c r="O195" s="676">
        <f t="shared" si="64"/>
        <v>0</v>
      </c>
      <c r="P195" s="676">
        <f t="shared" si="64"/>
        <v>0</v>
      </c>
      <c r="Q195" s="676">
        <f t="shared" si="64"/>
        <v>0</v>
      </c>
      <c r="R195" s="676">
        <f t="shared" si="64"/>
        <v>0</v>
      </c>
      <c r="S195" s="676">
        <f t="shared" si="64"/>
        <v>0</v>
      </c>
      <c r="T195" s="676">
        <f t="shared" si="59"/>
        <v>0</v>
      </c>
    </row>
    <row r="196" spans="1:20" ht="13.5" customHeight="1">
      <c r="A196" s="653" t="str">
        <f>'Budget-合并'!A196</f>
        <v>6711.01</v>
      </c>
      <c r="B196" s="653" t="str">
        <f>'Budget-合并'!B196</f>
        <v>滞纳金</v>
      </c>
      <c r="C196" s="673">
        <f>'Budget-合并'!C196</f>
        <v>0</v>
      </c>
      <c r="D196" s="676">
        <f t="shared" si="60"/>
        <v>0</v>
      </c>
      <c r="F196" s="676">
        <f t="shared" ca="1" si="61"/>
        <v>0</v>
      </c>
      <c r="H196" s="676"/>
      <c r="I196" s="676"/>
      <c r="J196" s="676"/>
      <c r="K196" s="676"/>
      <c r="L196" s="676"/>
      <c r="M196" s="676"/>
      <c r="N196" s="676"/>
      <c r="O196" s="676"/>
      <c r="P196" s="676"/>
      <c r="Q196" s="676"/>
      <c r="R196" s="676"/>
      <c r="S196" s="676"/>
      <c r="T196" s="676">
        <f t="shared" si="59"/>
        <v>0</v>
      </c>
    </row>
    <row r="197" spans="1:20" ht="13.5" customHeight="1">
      <c r="A197" s="653" t="str">
        <f>'Budget-合并'!A197</f>
        <v>6711.02</v>
      </c>
      <c r="B197" s="653" t="str">
        <f>'Budget-合并'!B197</f>
        <v>非流动资产处置损失</v>
      </c>
      <c r="C197" s="673">
        <f>'Budget-合并'!C197</f>
        <v>0</v>
      </c>
      <c r="D197" s="676">
        <f t="shared" si="60"/>
        <v>0</v>
      </c>
      <c r="F197" s="676">
        <f t="shared" ca="1" si="61"/>
        <v>0</v>
      </c>
      <c r="H197" s="676"/>
      <c r="I197" s="676"/>
      <c r="J197" s="676"/>
      <c r="K197" s="676"/>
      <c r="L197" s="676"/>
      <c r="M197" s="676"/>
      <c r="N197" s="676"/>
      <c r="O197" s="676"/>
      <c r="P197" s="676"/>
      <c r="Q197" s="676"/>
      <c r="R197" s="676"/>
      <c r="S197" s="676"/>
      <c r="T197" s="676">
        <f t="shared" si="59"/>
        <v>0</v>
      </c>
    </row>
    <row r="198" spans="1:20" ht="13.5" customHeight="1">
      <c r="A198" s="653" t="str">
        <f>'Budget-合并'!A198</f>
        <v>6901</v>
      </c>
      <c r="B198" s="653" t="str">
        <f>'Budget-合并'!B198</f>
        <v>以前年度损益调整</v>
      </c>
      <c r="C198" s="673">
        <f>'Budget-合并'!C198</f>
        <v>0</v>
      </c>
      <c r="D198" s="676">
        <f t="shared" si="60"/>
        <v>0</v>
      </c>
      <c r="F198" s="676">
        <f t="shared" ca="1" si="61"/>
        <v>0</v>
      </c>
      <c r="H198" s="676"/>
      <c r="I198" s="676"/>
      <c r="J198" s="676"/>
      <c r="K198" s="676"/>
      <c r="L198" s="676"/>
      <c r="M198" s="676"/>
      <c r="N198" s="676"/>
      <c r="O198" s="676"/>
      <c r="P198" s="676"/>
      <c r="Q198" s="676"/>
      <c r="R198" s="676"/>
      <c r="S198" s="676"/>
      <c r="T198" s="676">
        <f t="shared" si="59"/>
        <v>0</v>
      </c>
    </row>
    <row r="199" spans="1:20" ht="13.5" customHeight="1">
      <c r="A199" s="672">
        <f>'Budget-合并'!A199</f>
        <v>0</v>
      </c>
      <c r="B199" s="672" t="str">
        <f>'Budget-合并'!B199</f>
        <v>营业外收入 (支-, 收+):</v>
      </c>
      <c r="C199" s="673">
        <f>'Budget-合并'!C199</f>
        <v>0</v>
      </c>
      <c r="D199" s="677">
        <f t="shared" si="60"/>
        <v>0</v>
      </c>
      <c r="F199" s="677">
        <f t="shared" ca="1" si="61"/>
        <v>0</v>
      </c>
      <c r="H199" s="677">
        <f t="shared" ref="H199:T199" si="65">H187-H193-H194-H195+H198</f>
        <v>0</v>
      </c>
      <c r="I199" s="677">
        <f t="shared" si="65"/>
        <v>0</v>
      </c>
      <c r="J199" s="677">
        <f t="shared" si="65"/>
        <v>0</v>
      </c>
      <c r="K199" s="677">
        <f t="shared" si="65"/>
        <v>0</v>
      </c>
      <c r="L199" s="677">
        <f t="shared" si="65"/>
        <v>0</v>
      </c>
      <c r="M199" s="677">
        <f t="shared" si="65"/>
        <v>0</v>
      </c>
      <c r="N199" s="677">
        <f t="shared" si="65"/>
        <v>0</v>
      </c>
      <c r="O199" s="677">
        <f t="shared" si="65"/>
        <v>0</v>
      </c>
      <c r="P199" s="677">
        <f t="shared" si="65"/>
        <v>0</v>
      </c>
      <c r="Q199" s="677">
        <f t="shared" si="65"/>
        <v>0</v>
      </c>
      <c r="R199" s="677">
        <f t="shared" si="65"/>
        <v>0</v>
      </c>
      <c r="S199" s="677">
        <f t="shared" si="65"/>
        <v>0</v>
      </c>
      <c r="T199" s="677">
        <f t="shared" si="65"/>
        <v>0</v>
      </c>
    </row>
    <row r="200" spans="1:20" ht="13.5" customHeight="1">
      <c r="A200" s="653">
        <f>'Budget-合并'!A200</f>
        <v>0</v>
      </c>
      <c r="B200" s="653">
        <f>'Budget-合并'!B200</f>
        <v>0</v>
      </c>
      <c r="C200" s="673">
        <f>'Budget-合并'!C200</f>
        <v>0</v>
      </c>
    </row>
    <row r="201" spans="1:20" ht="13.5" customHeight="1">
      <c r="A201" s="672">
        <f>'Budget-合并'!A201</f>
        <v>0</v>
      </c>
      <c r="B201" s="672" t="str">
        <f>'Budget-合并'!B201</f>
        <v>利润总额 (税前利润)</v>
      </c>
      <c r="C201" s="673">
        <f>'Budget-合并'!C201</f>
        <v>0</v>
      </c>
      <c r="D201" s="677">
        <f t="shared" ref="D201:D205" si="66">INDEX($H$8:$S$8,1,MATCH($D$6,$H$6:$S$6))</f>
        <v>0</v>
      </c>
      <c r="F201" s="677">
        <f t="shared" ref="F201:F205" ca="1" si="67">SUM($H201:OFFSET($H201,0,MATCH(F$6,$H$6:$S$6)-1))</f>
        <v>0</v>
      </c>
      <c r="H201" s="677">
        <f t="shared" ref="H201:T201" si="68">H185+H199</f>
        <v>0</v>
      </c>
      <c r="I201" s="677">
        <f t="shared" si="68"/>
        <v>0</v>
      </c>
      <c r="J201" s="677">
        <f t="shared" si="68"/>
        <v>0</v>
      </c>
      <c r="K201" s="677">
        <f t="shared" si="68"/>
        <v>0</v>
      </c>
      <c r="L201" s="677">
        <f t="shared" si="68"/>
        <v>0</v>
      </c>
      <c r="M201" s="677">
        <f t="shared" si="68"/>
        <v>0</v>
      </c>
      <c r="N201" s="677">
        <f t="shared" si="68"/>
        <v>0</v>
      </c>
      <c r="O201" s="677">
        <f t="shared" si="68"/>
        <v>0</v>
      </c>
      <c r="P201" s="677">
        <f t="shared" si="68"/>
        <v>0</v>
      </c>
      <c r="Q201" s="677">
        <f t="shared" si="68"/>
        <v>0</v>
      </c>
      <c r="R201" s="677">
        <f t="shared" si="68"/>
        <v>0</v>
      </c>
      <c r="S201" s="677">
        <f t="shared" si="68"/>
        <v>0</v>
      </c>
      <c r="T201" s="677">
        <f t="shared" si="68"/>
        <v>0</v>
      </c>
    </row>
    <row r="202" spans="1:20" ht="13.5" customHeight="1">
      <c r="A202" s="653">
        <f>'Budget-合并'!A202</f>
        <v>0</v>
      </c>
      <c r="B202" s="653">
        <f>'Budget-合并'!B202</f>
        <v>0</v>
      </c>
      <c r="C202" s="673">
        <f>'Budget-合并'!C202</f>
        <v>0</v>
      </c>
    </row>
    <row r="203" spans="1:20" ht="13.5" customHeight="1">
      <c r="A203" s="653" t="str">
        <f>'Budget-合并'!A203</f>
        <v>6801.01</v>
      </c>
      <c r="B203" s="653" t="str">
        <f>'Budget-合并'!B203</f>
        <v>当期所得税费用</v>
      </c>
      <c r="C203" s="673" t="str">
        <f>'Budget-合并'!C203</f>
        <v>Enterprise Income Tax</v>
      </c>
      <c r="D203" s="676">
        <f t="shared" si="66"/>
        <v>0</v>
      </c>
      <c r="F203" s="676">
        <f t="shared" ca="1" si="67"/>
        <v>0</v>
      </c>
      <c r="H203" s="676"/>
      <c r="I203" s="676"/>
      <c r="J203" s="676"/>
      <c r="K203" s="676"/>
      <c r="L203" s="676"/>
      <c r="M203" s="676"/>
      <c r="N203" s="676"/>
      <c r="O203" s="676"/>
      <c r="P203" s="676"/>
      <c r="Q203" s="676"/>
      <c r="R203" s="676"/>
      <c r="S203" s="676"/>
      <c r="T203" s="676">
        <f t="shared" ref="T203:T205" si="69">SUM(H203:S203)</f>
        <v>0</v>
      </c>
    </row>
    <row r="204" spans="1:20" ht="13.5" customHeight="1">
      <c r="A204" s="653" t="str">
        <f>'Budget-合并'!A204</f>
        <v>6801.02</v>
      </c>
      <c r="B204" s="653" t="str">
        <f>'Budget-合并'!B204</f>
        <v>递延所得税费用</v>
      </c>
      <c r="C204" s="673">
        <f>'Budget-合并'!C204</f>
        <v>0</v>
      </c>
      <c r="D204" s="676">
        <f t="shared" si="66"/>
        <v>0</v>
      </c>
      <c r="F204" s="676">
        <f t="shared" ca="1" si="67"/>
        <v>0</v>
      </c>
      <c r="H204" s="676"/>
      <c r="I204" s="676"/>
      <c r="J204" s="676"/>
      <c r="K204" s="676"/>
      <c r="L204" s="676"/>
      <c r="M204" s="676"/>
      <c r="N204" s="676"/>
      <c r="O204" s="676"/>
      <c r="P204" s="676"/>
      <c r="Q204" s="676"/>
      <c r="R204" s="676"/>
      <c r="S204" s="676"/>
      <c r="T204" s="676">
        <f t="shared" si="69"/>
        <v>0</v>
      </c>
    </row>
    <row r="205" spans="1:20" ht="13.5" customHeight="1">
      <c r="A205" s="653" t="str">
        <f>'Budget-合并'!A205</f>
        <v>6801.03</v>
      </c>
      <c r="B205" s="653" t="str">
        <f>'Budget-合并'!B205</f>
        <v>以前年度所得税费用</v>
      </c>
      <c r="C205" s="673">
        <f>'Budget-合并'!C205</f>
        <v>0</v>
      </c>
      <c r="D205" s="676">
        <f t="shared" si="66"/>
        <v>0</v>
      </c>
      <c r="F205" s="676">
        <f t="shared" ca="1" si="67"/>
        <v>0</v>
      </c>
      <c r="H205" s="676"/>
      <c r="I205" s="676"/>
      <c r="J205" s="676"/>
      <c r="K205" s="676"/>
      <c r="L205" s="676"/>
      <c r="M205" s="676"/>
      <c r="N205" s="676"/>
      <c r="O205" s="676"/>
      <c r="P205" s="676"/>
      <c r="Q205" s="676"/>
      <c r="R205" s="676"/>
      <c r="S205" s="676"/>
      <c r="T205" s="676">
        <f t="shared" si="69"/>
        <v>0</v>
      </c>
    </row>
    <row r="206" spans="1:20" ht="13.5" customHeight="1">
      <c r="A206" s="653">
        <f>'Budget-合并'!A206</f>
        <v>0</v>
      </c>
      <c r="B206" s="653">
        <f>'Budget-合并'!B206</f>
        <v>0</v>
      </c>
      <c r="C206" s="673">
        <f>'Budget-合并'!C206</f>
        <v>0</v>
      </c>
    </row>
    <row r="207" spans="1:20" ht="13.5" customHeight="1">
      <c r="A207" s="672">
        <f>'Budget-合并'!A207</f>
        <v>0</v>
      </c>
      <c r="B207" s="672" t="str">
        <f>'Budget-合并'!B207</f>
        <v>五  税后利润</v>
      </c>
      <c r="C207" s="673">
        <f>'Budget-合并'!C207</f>
        <v>0</v>
      </c>
      <c r="D207" s="677">
        <f>INDEX($H$8:$S$8,1,MATCH($D$6,$H$6:$S$6))</f>
        <v>0</v>
      </c>
      <c r="F207" s="677">
        <f ca="1">SUM($H207:OFFSET($H207,0,MATCH(F$6,$H$6:$S$6)-1))</f>
        <v>0</v>
      </c>
      <c r="H207" s="677">
        <f t="shared" ref="H207:T207" si="70">H201-H203-H204-H205</f>
        <v>0</v>
      </c>
      <c r="I207" s="677">
        <f t="shared" si="70"/>
        <v>0</v>
      </c>
      <c r="J207" s="677">
        <f t="shared" si="70"/>
        <v>0</v>
      </c>
      <c r="K207" s="677">
        <f t="shared" si="70"/>
        <v>0</v>
      </c>
      <c r="L207" s="677">
        <f t="shared" si="70"/>
        <v>0</v>
      </c>
      <c r="M207" s="677">
        <f t="shared" si="70"/>
        <v>0</v>
      </c>
      <c r="N207" s="677">
        <f t="shared" si="70"/>
        <v>0</v>
      </c>
      <c r="O207" s="677">
        <f t="shared" si="70"/>
        <v>0</v>
      </c>
      <c r="P207" s="677">
        <f t="shared" si="70"/>
        <v>0</v>
      </c>
      <c r="Q207" s="677">
        <f t="shared" si="70"/>
        <v>0</v>
      </c>
      <c r="R207" s="677">
        <f t="shared" si="70"/>
        <v>0</v>
      </c>
      <c r="S207" s="677">
        <f t="shared" si="70"/>
        <v>0</v>
      </c>
      <c r="T207" s="677">
        <f t="shared" si="70"/>
        <v>0</v>
      </c>
    </row>
    <row r="208" spans="1:20" ht="13.5" customHeight="1">
      <c r="A208" s="653">
        <f>'Budget-合并'!A208</f>
        <v>0</v>
      </c>
      <c r="C208" s="673">
        <f>'Budget-合并'!C208</f>
        <v>0</v>
      </c>
    </row>
    <row r="209" spans="1:1" ht="13.5" customHeight="1">
      <c r="A209" s="653">
        <f>'Budget-合并'!A209</f>
        <v>0</v>
      </c>
    </row>
    <row r="210" spans="1:1" ht="13.5" customHeight="1">
      <c r="A210" s="653">
        <f>'Budget-合并'!A210</f>
        <v>0</v>
      </c>
    </row>
    <row r="211" spans="1:1" ht="13.5" customHeight="1">
      <c r="A211" s="653">
        <f>'Budget-合并'!A211</f>
        <v>0</v>
      </c>
    </row>
    <row r="212" spans="1:1" ht="13.5" customHeight="1">
      <c r="A212" s="653">
        <f>'Budget-合并'!A212</f>
        <v>0</v>
      </c>
    </row>
    <row r="213" spans="1:1" ht="13.5" customHeight="1">
      <c r="A213" s="653">
        <f>'Budget-合并'!A213</f>
        <v>0</v>
      </c>
    </row>
    <row r="214" spans="1:1" ht="13.5" customHeight="1">
      <c r="A214" s="653">
        <f>'Budget-合并'!A214</f>
        <v>0</v>
      </c>
    </row>
    <row r="215" spans="1:1" ht="13.5" customHeight="1">
      <c r="A215" s="653">
        <f>'Budget-合并'!A215</f>
        <v>0</v>
      </c>
    </row>
    <row r="216" spans="1:1" ht="13.5" customHeight="1">
      <c r="A216" s="653">
        <f>'Budget-合并'!A216</f>
        <v>0</v>
      </c>
    </row>
    <row r="217" spans="1:1" ht="13.5" customHeight="1">
      <c r="A217" s="653">
        <f>'Budget-合并'!A217</f>
        <v>0</v>
      </c>
    </row>
    <row r="218" spans="1:1" ht="13.5" customHeight="1">
      <c r="A218" s="653">
        <f>'Budget-合并'!A218</f>
        <v>0</v>
      </c>
    </row>
    <row r="219" spans="1:1" ht="13.5" customHeight="1">
      <c r="A219" s="653">
        <f>'Budget-合并'!A219</f>
        <v>0</v>
      </c>
    </row>
  </sheetData>
  <conditionalFormatting sqref="H5:T5">
    <cfRule type="cellIs" dxfId="99" priority="1" stopIfTrue="1" operator="equal">
      <formula>"Actual"</formula>
    </cfRule>
    <cfRule type="cellIs" dxfId="98" priority="2" stopIfTrue="1" operator="equal">
      <formula>"Forecast"</formula>
    </cfRule>
    <cfRule type="cellIs" dxfId="97" priority="3" stopIfTrue="1" operator="equal">
      <formula>"Budget"</formula>
    </cfRule>
  </conditionalFormatting>
  <dataValidations count="1">
    <dataValidation type="list" allowBlank="1" showInputMessage="1" showErrorMessage="1" sqref="H5:T5" xr:uid="{00000000-0002-0000-1000-000000000000}">
      <formula1>"Actual,Forecast,Budget"</formula1>
    </dataValidation>
  </dataValidations>
  <printOptions horizontalCentered="1" headings="1" gridLines="1"/>
  <pageMargins left="0.39" right="0.35" top="0.59" bottom="0.59" header="0.31" footer="0.31"/>
  <pageSetup paperSize="8" scale="26" orientation="landscape" cellComments="asDisplayed" r:id="rId1"/>
  <headerFooter scaleWithDoc="0" alignWithMargins="0">
    <oddFooter>&amp;L&amp;"Arial,Regular"&amp;8&amp;Z
&amp;F  
&amp;A&amp;CPage &amp;P of &amp;N
&amp;R&amp;"Times New Roman,Regular"&amp;8&amp;D
&amp;T</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pageSetUpPr fitToPage="1"/>
  </sheetPr>
  <dimension ref="A1:T219"/>
  <sheetViews>
    <sheetView workbookViewId="0"/>
  </sheetViews>
  <sheetFormatPr defaultColWidth="8.75" defaultRowHeight="13.5" customHeight="1"/>
  <cols>
    <col min="1" max="1" width="12.375" style="652" customWidth="1"/>
    <col min="2" max="2" width="17.75" style="653" customWidth="1"/>
    <col min="3" max="3" width="15.875" style="652" customWidth="1"/>
    <col min="4" max="4" width="12.25" style="654" customWidth="1"/>
    <col min="5" max="5" width="2.625" style="654" customWidth="1"/>
    <col min="6" max="6" width="12.25" style="654" customWidth="1"/>
    <col min="7" max="7" width="2.625" style="654" customWidth="1"/>
    <col min="8" max="19" width="10.375" style="652" customWidth="1"/>
    <col min="20" max="20" width="8.5" style="652" customWidth="1"/>
    <col min="21" max="22" width="8.75" style="652" customWidth="1"/>
    <col min="23" max="16384" width="8.75" style="652"/>
  </cols>
  <sheetData>
    <row r="1" spans="1:20" s="647" customFormat="1" ht="16.5" customHeight="1">
      <c r="B1" s="655" t="s">
        <v>2482</v>
      </c>
      <c r="C1" s="656"/>
      <c r="D1" s="657" t="s">
        <v>2242</v>
      </c>
      <c r="E1" s="658"/>
      <c r="F1" s="658"/>
      <c r="G1" s="658"/>
    </row>
    <row r="2" spans="1:20" s="647" customFormat="1" ht="16.5" customHeight="1">
      <c r="B2" s="659"/>
      <c r="D2" s="658"/>
      <c r="E2" s="658"/>
      <c r="F2" s="658"/>
      <c r="G2" s="658"/>
    </row>
    <row r="3" spans="1:20" s="647" customFormat="1" ht="16.5" customHeight="1">
      <c r="B3" s="660" t="s">
        <v>2484</v>
      </c>
      <c r="C3" s="661"/>
      <c r="D3" s="658"/>
      <c r="E3" s="658"/>
      <c r="F3" s="658"/>
      <c r="G3" s="658"/>
    </row>
    <row r="4" spans="1:20" ht="16.5" customHeight="1">
      <c r="H4" s="662"/>
    </row>
    <row r="5" spans="1:20" ht="13.5" customHeight="1">
      <c r="B5" s="663"/>
      <c r="D5" s="664" t="s">
        <v>2497</v>
      </c>
      <c r="F5" s="664" t="s">
        <v>2500</v>
      </c>
      <c r="G5" s="665"/>
      <c r="H5" s="666" t="s">
        <v>2502</v>
      </c>
      <c r="I5" s="666" t="s">
        <v>2502</v>
      </c>
      <c r="J5" s="666" t="s">
        <v>2502</v>
      </c>
      <c r="K5" s="666" t="s">
        <v>2502</v>
      </c>
      <c r="L5" s="666" t="s">
        <v>2502</v>
      </c>
      <c r="M5" s="666" t="s">
        <v>2502</v>
      </c>
      <c r="N5" s="666" t="s">
        <v>2502</v>
      </c>
      <c r="O5" s="666" t="s">
        <v>2502</v>
      </c>
      <c r="P5" s="666" t="s">
        <v>2502</v>
      </c>
      <c r="Q5" s="666" t="s">
        <v>2502</v>
      </c>
      <c r="R5" s="666" t="s">
        <v>2502</v>
      </c>
      <c r="S5" s="666" t="s">
        <v>2502</v>
      </c>
      <c r="T5" s="666" t="s">
        <v>2502</v>
      </c>
    </row>
    <row r="6" spans="1:20" s="648" customFormat="1" ht="13.5" customHeight="1">
      <c r="A6" s="649" t="s">
        <v>2488</v>
      </c>
      <c r="B6" s="667"/>
      <c r="D6" s="668">
        <f>'Flash Report'!$C$2</f>
        <v>46023</v>
      </c>
      <c r="E6" s="654"/>
      <c r="F6" s="668">
        <f>D6</f>
        <v>46023</v>
      </c>
      <c r="G6" s="669"/>
      <c r="H6" s="670">
        <v>46023</v>
      </c>
      <c r="I6" s="670">
        <v>46054</v>
      </c>
      <c r="J6" s="670">
        <v>46082</v>
      </c>
      <c r="K6" s="670">
        <v>46113</v>
      </c>
      <c r="L6" s="670">
        <v>46143</v>
      </c>
      <c r="M6" s="670">
        <v>46174</v>
      </c>
      <c r="N6" s="670">
        <v>46204</v>
      </c>
      <c r="O6" s="670">
        <v>46235</v>
      </c>
      <c r="P6" s="670">
        <v>46266</v>
      </c>
      <c r="Q6" s="670">
        <v>46296</v>
      </c>
      <c r="R6" s="670">
        <v>46327</v>
      </c>
      <c r="S6" s="670">
        <v>46357</v>
      </c>
      <c r="T6" s="671" t="s">
        <v>2504</v>
      </c>
    </row>
    <row r="7" spans="1:20" s="649" customFormat="1" ht="13.5" customHeight="1">
      <c r="A7" s="653" t="str">
        <f>'Budget-合并'!A7</f>
        <v>6001</v>
      </c>
      <c r="B7" s="672" t="str">
        <f>'Budget-合并'!B7</f>
        <v>营业收入</v>
      </c>
      <c r="C7" s="673">
        <f>VLOOKUP(A7,Account!A:F,4,0)</f>
        <v>0</v>
      </c>
      <c r="D7" s="674"/>
      <c r="E7" s="674"/>
      <c r="F7" s="674"/>
      <c r="G7" s="674"/>
      <c r="H7" s="674"/>
      <c r="I7" s="674"/>
      <c r="J7" s="674"/>
      <c r="K7" s="674"/>
      <c r="L7" s="674"/>
      <c r="M7" s="674"/>
      <c r="N7" s="674"/>
      <c r="O7" s="674"/>
      <c r="P7" s="674"/>
      <c r="Q7" s="674"/>
      <c r="R7" s="674"/>
      <c r="S7" s="674"/>
      <c r="T7" s="674"/>
    </row>
    <row r="8" spans="1:20" ht="13.5" customHeight="1">
      <c r="A8" s="653" t="str">
        <f>'Budget-合并'!A8</f>
        <v>6001.01</v>
      </c>
      <c r="B8" s="675" t="str">
        <f>'Budget-合并'!B8</f>
        <v>基金管理费收入</v>
      </c>
      <c r="C8" s="673" t="str">
        <f>'Budget-合并'!C8</f>
        <v>Fund Management Fee</v>
      </c>
      <c r="D8" s="676">
        <f t="shared" ref="D8:D12" si="0">INDEX($H$8:$S$8,1,MATCH($D$6,$H$6:$S$6))</f>
        <v>0</v>
      </c>
      <c r="F8" s="676">
        <f t="shared" ref="F8:F12" ca="1" si="1">SUM($H8:OFFSET($H8,0,MATCH(F$6,$H$6:$S$6)-1))</f>
        <v>0</v>
      </c>
      <c r="H8" s="676"/>
      <c r="I8" s="676"/>
      <c r="J8" s="676"/>
      <c r="K8" s="676"/>
      <c r="L8" s="676"/>
      <c r="M8" s="676"/>
      <c r="N8" s="676"/>
      <c r="O8" s="676"/>
      <c r="P8" s="676"/>
      <c r="Q8" s="676"/>
      <c r="R8" s="676"/>
      <c r="S8" s="676"/>
      <c r="T8" s="676">
        <f t="shared" ref="T8:T11" si="2">SUM(H8:S8)</f>
        <v>0</v>
      </c>
    </row>
    <row r="9" spans="1:20" ht="13.5" customHeight="1">
      <c r="A9" s="653" t="str">
        <f>'Budget-合并'!A9</f>
        <v>6001.02</v>
      </c>
      <c r="B9" s="675" t="str">
        <f>'Budget-合并'!B9</f>
        <v>咨询服务费收入</v>
      </c>
      <c r="C9" s="673" t="str">
        <f>'Budget-合并'!C9</f>
        <v>Advisory Fee Income</v>
      </c>
      <c r="D9" s="676">
        <f t="shared" si="0"/>
        <v>0</v>
      </c>
      <c r="F9" s="676">
        <f t="shared" ca="1" si="1"/>
        <v>0</v>
      </c>
      <c r="H9" s="676">
        <f t="shared" ref="H9:S9" si="3">SUM(H10:H11)</f>
        <v>0</v>
      </c>
      <c r="I9" s="676">
        <f t="shared" si="3"/>
        <v>0</v>
      </c>
      <c r="J9" s="676">
        <f t="shared" si="3"/>
        <v>0</v>
      </c>
      <c r="K9" s="676">
        <f t="shared" si="3"/>
        <v>0</v>
      </c>
      <c r="L9" s="676">
        <f t="shared" si="3"/>
        <v>0</v>
      </c>
      <c r="M9" s="676">
        <f t="shared" si="3"/>
        <v>0</v>
      </c>
      <c r="N9" s="676">
        <f t="shared" si="3"/>
        <v>0</v>
      </c>
      <c r="O9" s="676">
        <f t="shared" si="3"/>
        <v>0</v>
      </c>
      <c r="P9" s="676">
        <f t="shared" si="3"/>
        <v>0</v>
      </c>
      <c r="Q9" s="676">
        <f t="shared" si="3"/>
        <v>0</v>
      </c>
      <c r="R9" s="676">
        <f t="shared" si="3"/>
        <v>0</v>
      </c>
      <c r="S9" s="676">
        <f t="shared" si="3"/>
        <v>0</v>
      </c>
      <c r="T9" s="676">
        <f t="shared" si="2"/>
        <v>0</v>
      </c>
    </row>
    <row r="10" spans="1:20" ht="13.5" customHeight="1">
      <c r="A10" s="653">
        <f>'Budget-合并'!A10</f>
        <v>0</v>
      </c>
      <c r="B10" s="675" t="str">
        <f>'Budget-合并'!B10</f>
        <v xml:space="preserve">   辉飏咨询服务费</v>
      </c>
      <c r="C10" s="673" t="str">
        <f>'Budget-合并'!C10</f>
        <v xml:space="preserve">  HYNE</v>
      </c>
      <c r="D10" s="676">
        <f t="shared" si="0"/>
        <v>0</v>
      </c>
      <c r="F10" s="676">
        <f t="shared" ca="1" si="1"/>
        <v>0</v>
      </c>
      <c r="H10" s="676"/>
      <c r="I10" s="676"/>
      <c r="J10" s="676"/>
      <c r="K10" s="676"/>
      <c r="L10" s="676"/>
      <c r="M10" s="676"/>
      <c r="N10" s="676"/>
      <c r="O10" s="676"/>
      <c r="P10" s="676"/>
      <c r="Q10" s="676"/>
      <c r="R10" s="676"/>
      <c r="S10" s="676"/>
      <c r="T10" s="676">
        <f t="shared" si="2"/>
        <v>0</v>
      </c>
    </row>
    <row r="11" spans="1:20" ht="13.5" customHeight="1">
      <c r="A11" s="653">
        <f>'Budget-合并'!A11</f>
        <v>0</v>
      </c>
      <c r="B11" s="675" t="str">
        <f>'Budget-合并'!B11</f>
        <v xml:space="preserve">      MAA咨询管理费</v>
      </c>
      <c r="C11" s="673" t="str">
        <f>'Budget-合并'!C11</f>
        <v xml:space="preserve">  MAA</v>
      </c>
      <c r="D11" s="676">
        <f t="shared" si="0"/>
        <v>0</v>
      </c>
      <c r="F11" s="676">
        <f t="shared" ca="1" si="1"/>
        <v>0</v>
      </c>
      <c r="H11" s="676"/>
      <c r="I11" s="676"/>
      <c r="J11" s="676"/>
      <c r="K11" s="676"/>
      <c r="L11" s="676"/>
      <c r="M11" s="676"/>
      <c r="N11" s="676"/>
      <c r="O11" s="676"/>
      <c r="P11" s="676"/>
      <c r="Q11" s="676"/>
      <c r="R11" s="676"/>
      <c r="S11" s="676"/>
      <c r="T11" s="676">
        <f t="shared" si="2"/>
        <v>0</v>
      </c>
    </row>
    <row r="12" spans="1:20" s="650" customFormat="1" ht="13.5" customHeight="1">
      <c r="A12" s="653">
        <f>'Budget-合并'!A12</f>
        <v>0</v>
      </c>
      <c r="B12" s="672" t="str">
        <f>'Budget-合并'!B12</f>
        <v>营业收入合计</v>
      </c>
      <c r="C12" s="673">
        <f>'Budget-合并'!C12</f>
        <v>0</v>
      </c>
      <c r="D12" s="654">
        <f t="shared" si="0"/>
        <v>0</v>
      </c>
      <c r="E12" s="654"/>
      <c r="F12" s="654">
        <f t="shared" ca="1" si="1"/>
        <v>0</v>
      </c>
      <c r="G12" s="654"/>
      <c r="H12" s="654">
        <f t="shared" ref="H12:T12" si="4">SUM(H8,H9)</f>
        <v>0</v>
      </c>
      <c r="I12" s="654">
        <f t="shared" si="4"/>
        <v>0</v>
      </c>
      <c r="J12" s="654">
        <f t="shared" si="4"/>
        <v>0</v>
      </c>
      <c r="K12" s="654">
        <f t="shared" si="4"/>
        <v>0</v>
      </c>
      <c r="L12" s="654">
        <f t="shared" si="4"/>
        <v>0</v>
      </c>
      <c r="M12" s="654">
        <f t="shared" si="4"/>
        <v>0</v>
      </c>
      <c r="N12" s="654">
        <f t="shared" si="4"/>
        <v>0</v>
      </c>
      <c r="O12" s="654">
        <f t="shared" si="4"/>
        <v>0</v>
      </c>
      <c r="P12" s="654">
        <f t="shared" si="4"/>
        <v>0</v>
      </c>
      <c r="Q12" s="654">
        <f t="shared" si="4"/>
        <v>0</v>
      </c>
      <c r="R12" s="654">
        <f t="shared" si="4"/>
        <v>0</v>
      </c>
      <c r="S12" s="654">
        <f t="shared" si="4"/>
        <v>0</v>
      </c>
      <c r="T12" s="654">
        <f t="shared" si="4"/>
        <v>0</v>
      </c>
    </row>
    <row r="13" spans="1:20" ht="13.5" customHeight="1">
      <c r="A13" s="653">
        <f>'Budget-合并'!A13</f>
        <v>0</v>
      </c>
      <c r="B13" s="653">
        <f>'Budget-合并'!B13</f>
        <v>0</v>
      </c>
      <c r="C13" s="673">
        <f>'Budget-合并'!C13</f>
        <v>0</v>
      </c>
      <c r="H13" s="654"/>
      <c r="I13" s="654"/>
      <c r="J13" s="654"/>
      <c r="K13" s="654"/>
      <c r="L13" s="654"/>
      <c r="M13" s="654"/>
      <c r="N13" s="654"/>
      <c r="O13" s="654"/>
      <c r="P13" s="654"/>
      <c r="Q13" s="654"/>
      <c r="R13" s="654"/>
      <c r="S13" s="654"/>
      <c r="T13" s="654"/>
    </row>
    <row r="14" spans="1:20" ht="13.5" customHeight="1">
      <c r="A14" s="653" t="str">
        <f>'Budget-合并'!A14</f>
        <v>6405.01</v>
      </c>
      <c r="B14" s="653" t="str">
        <f>'Budget-合并'!B14</f>
        <v>印花税</v>
      </c>
      <c r="C14" s="673" t="str">
        <f>'Budget-合并'!C14</f>
        <v>Stamp Duty</v>
      </c>
      <c r="D14" s="676">
        <f t="shared" ref="D14:D19" si="5">INDEX($H$8:$S$8,1,MATCH($D$6,$H$6:$S$6))</f>
        <v>0</v>
      </c>
      <c r="F14" s="676">
        <f t="shared" ref="F14:F19" ca="1" si="6">SUM($H14:OFFSET($H14,0,MATCH(F$6,$H$6:$S$6)-1))</f>
        <v>0</v>
      </c>
      <c r="H14" s="676"/>
      <c r="I14" s="676"/>
      <c r="J14" s="676"/>
      <c r="K14" s="676"/>
      <c r="L14" s="676"/>
      <c r="M14" s="676"/>
      <c r="N14" s="676"/>
      <c r="O14" s="676"/>
      <c r="P14" s="676"/>
      <c r="Q14" s="676"/>
      <c r="R14" s="676"/>
      <c r="S14" s="676"/>
      <c r="T14" s="676">
        <f t="shared" ref="T14:T18" si="7">SUM(H14:S14)</f>
        <v>0</v>
      </c>
    </row>
    <row r="15" spans="1:20" ht="13.5" customHeight="1">
      <c r="A15" s="653" t="str">
        <f>'Budget-合并'!A15</f>
        <v>6405.02</v>
      </c>
      <c r="B15" s="653" t="str">
        <f>'Budget-合并'!B15</f>
        <v>城市维护建设税</v>
      </c>
      <c r="C15" s="673" t="str">
        <f>'Budget-合并'!C15</f>
        <v>VAT surcharge</v>
      </c>
      <c r="D15" s="676">
        <f t="shared" si="5"/>
        <v>0</v>
      </c>
      <c r="F15" s="676">
        <f t="shared" ca="1" si="6"/>
        <v>0</v>
      </c>
      <c r="H15" s="676"/>
      <c r="I15" s="676"/>
      <c r="J15" s="676"/>
      <c r="K15" s="676"/>
      <c r="L15" s="676"/>
      <c r="M15" s="676"/>
      <c r="N15" s="676"/>
      <c r="O15" s="676"/>
      <c r="P15" s="676"/>
      <c r="Q15" s="676"/>
      <c r="R15" s="676"/>
      <c r="S15" s="676"/>
      <c r="T15" s="676">
        <f t="shared" si="7"/>
        <v>0</v>
      </c>
    </row>
    <row r="16" spans="1:20" ht="13.5" customHeight="1">
      <c r="A16" s="653" t="str">
        <f>'Budget-合并'!A16</f>
        <v>6405.03</v>
      </c>
      <c r="B16" s="653" t="str">
        <f>'Budget-合并'!B16</f>
        <v>教育费附加</v>
      </c>
      <c r="C16" s="673" t="str">
        <f>'Budget-合并'!C16</f>
        <v>VAT surcharge</v>
      </c>
      <c r="D16" s="676">
        <f t="shared" si="5"/>
        <v>0</v>
      </c>
      <c r="F16" s="676">
        <f t="shared" ca="1" si="6"/>
        <v>0</v>
      </c>
      <c r="H16" s="676"/>
      <c r="I16" s="676"/>
      <c r="J16" s="676"/>
      <c r="K16" s="676"/>
      <c r="L16" s="676"/>
      <c r="M16" s="676"/>
      <c r="N16" s="676"/>
      <c r="O16" s="676"/>
      <c r="P16" s="676"/>
      <c r="Q16" s="676"/>
      <c r="R16" s="676"/>
      <c r="S16" s="676"/>
      <c r="T16" s="676">
        <f t="shared" si="7"/>
        <v>0</v>
      </c>
    </row>
    <row r="17" spans="1:20" ht="13.5" customHeight="1">
      <c r="A17" s="653" t="str">
        <f>'Budget-合并'!A17</f>
        <v>6405.04</v>
      </c>
      <c r="B17" s="653" t="str">
        <f>'Budget-合并'!B17</f>
        <v>地方教育附加</v>
      </c>
      <c r="C17" s="673" t="str">
        <f>'Budget-合并'!C17</f>
        <v>VAT surcharge</v>
      </c>
      <c r="D17" s="676">
        <f t="shared" si="5"/>
        <v>0</v>
      </c>
      <c r="F17" s="676">
        <f t="shared" ca="1" si="6"/>
        <v>0</v>
      </c>
      <c r="H17" s="676"/>
      <c r="I17" s="676"/>
      <c r="J17" s="676"/>
      <c r="K17" s="676"/>
      <c r="L17" s="676"/>
      <c r="M17" s="676"/>
      <c r="N17" s="676"/>
      <c r="O17" s="676"/>
      <c r="P17" s="676"/>
      <c r="Q17" s="676"/>
      <c r="R17" s="676"/>
      <c r="S17" s="676"/>
      <c r="T17" s="676">
        <f t="shared" si="7"/>
        <v>0</v>
      </c>
    </row>
    <row r="18" spans="1:20" ht="13.5" customHeight="1">
      <c r="A18" s="653" t="str">
        <f>'Budget-合并'!A18</f>
        <v>6405.05</v>
      </c>
      <c r="B18" s="653" t="str">
        <f>'Budget-合并'!B18</f>
        <v>水利建设基金</v>
      </c>
      <c r="C18" s="673">
        <f>'Budget-合并'!C18</f>
        <v>0</v>
      </c>
      <c r="D18" s="676">
        <f t="shared" si="5"/>
        <v>0</v>
      </c>
      <c r="F18" s="676">
        <f t="shared" ca="1" si="6"/>
        <v>0</v>
      </c>
      <c r="H18" s="676"/>
      <c r="I18" s="676"/>
      <c r="J18" s="676"/>
      <c r="K18" s="676"/>
      <c r="L18" s="676"/>
      <c r="M18" s="676"/>
      <c r="N18" s="676"/>
      <c r="O18" s="676"/>
      <c r="P18" s="676"/>
      <c r="Q18" s="676"/>
      <c r="R18" s="676"/>
      <c r="S18" s="676"/>
      <c r="T18" s="676">
        <f t="shared" si="7"/>
        <v>0</v>
      </c>
    </row>
    <row r="19" spans="1:20" s="650" customFormat="1" ht="13.5" customHeight="1">
      <c r="A19" s="672">
        <f>'Budget-合并'!A19</f>
        <v>6401</v>
      </c>
      <c r="B19" s="672" t="str">
        <f>'Budget-合并'!B19</f>
        <v>税金及附加小计</v>
      </c>
      <c r="C19" s="673">
        <f>'Budget-合并'!C19</f>
        <v>0</v>
      </c>
      <c r="D19" s="654">
        <f t="shared" si="5"/>
        <v>0</v>
      </c>
      <c r="E19" s="654"/>
      <c r="F19" s="654">
        <f t="shared" ca="1" si="6"/>
        <v>0</v>
      </c>
      <c r="G19" s="654"/>
      <c r="H19" s="654">
        <f t="shared" ref="H19:T19" si="8">SUM(H14:H18)</f>
        <v>0</v>
      </c>
      <c r="I19" s="654">
        <f t="shared" si="8"/>
        <v>0</v>
      </c>
      <c r="J19" s="654">
        <f t="shared" si="8"/>
        <v>0</v>
      </c>
      <c r="K19" s="654">
        <f t="shared" si="8"/>
        <v>0</v>
      </c>
      <c r="L19" s="654">
        <f t="shared" si="8"/>
        <v>0</v>
      </c>
      <c r="M19" s="654">
        <f t="shared" si="8"/>
        <v>0</v>
      </c>
      <c r="N19" s="654">
        <f t="shared" si="8"/>
        <v>0</v>
      </c>
      <c r="O19" s="654">
        <f t="shared" si="8"/>
        <v>0</v>
      </c>
      <c r="P19" s="654">
        <f t="shared" si="8"/>
        <v>0</v>
      </c>
      <c r="Q19" s="654">
        <f t="shared" si="8"/>
        <v>0</v>
      </c>
      <c r="R19" s="654">
        <f t="shared" si="8"/>
        <v>0</v>
      </c>
      <c r="S19" s="654">
        <f t="shared" si="8"/>
        <v>0</v>
      </c>
      <c r="T19" s="654">
        <f t="shared" si="8"/>
        <v>0</v>
      </c>
    </row>
    <row r="20" spans="1:20" ht="13.5" customHeight="1">
      <c r="A20" s="653">
        <f>'Budget-合并'!A20</f>
        <v>0</v>
      </c>
      <c r="B20" s="653">
        <f>'Budget-合并'!B20</f>
        <v>0</v>
      </c>
      <c r="C20" s="673">
        <f>'Budget-合并'!C20</f>
        <v>0</v>
      </c>
      <c r="H20" s="654"/>
      <c r="I20" s="654"/>
      <c r="J20" s="654"/>
      <c r="K20" s="654"/>
      <c r="L20" s="654"/>
      <c r="M20" s="654"/>
      <c r="N20" s="654"/>
      <c r="O20" s="654"/>
      <c r="P20" s="654"/>
      <c r="Q20" s="654"/>
      <c r="R20" s="654"/>
      <c r="S20" s="654"/>
      <c r="T20" s="654"/>
    </row>
    <row r="21" spans="1:20" ht="13.5" customHeight="1">
      <c r="A21" s="653">
        <f>'Budget-合并'!A21</f>
        <v>0</v>
      </c>
      <c r="B21" s="653">
        <f>'Budget-合并'!B21</f>
        <v>0</v>
      </c>
      <c r="C21" s="673">
        <f>'Budget-合并'!C21</f>
        <v>0</v>
      </c>
      <c r="D21" s="677"/>
      <c r="F21" s="677"/>
      <c r="H21" s="677"/>
      <c r="I21" s="677"/>
      <c r="J21" s="677"/>
      <c r="K21" s="677"/>
      <c r="L21" s="677"/>
      <c r="M21" s="677"/>
      <c r="N21" s="677"/>
      <c r="O21" s="677"/>
      <c r="P21" s="677"/>
      <c r="Q21" s="677"/>
      <c r="R21" s="677"/>
      <c r="S21" s="677"/>
      <c r="T21" s="677"/>
    </row>
    <row r="22" spans="1:20" ht="13.5" customHeight="1">
      <c r="A22" s="672" t="str">
        <f>'Budget-合并'!A22</f>
        <v>6602</v>
      </c>
      <c r="B22" s="672" t="str">
        <f>'Budget-合并'!B22</f>
        <v>管理费用</v>
      </c>
      <c r="C22" s="673">
        <f>'Budget-合并'!C22</f>
        <v>0</v>
      </c>
      <c r="D22" s="677"/>
      <c r="F22" s="677"/>
      <c r="H22" s="677"/>
      <c r="I22" s="677"/>
      <c r="J22" s="677"/>
      <c r="K22" s="677"/>
      <c r="L22" s="677"/>
      <c r="M22" s="677"/>
      <c r="N22" s="677"/>
      <c r="O22" s="677"/>
      <c r="P22" s="677"/>
      <c r="Q22" s="677"/>
      <c r="R22" s="677"/>
      <c r="S22" s="677"/>
      <c r="T22" s="677"/>
    </row>
    <row r="23" spans="1:20" ht="13.5" customHeight="1">
      <c r="A23" s="663" t="str">
        <f>'Budget-合并'!A23</f>
        <v>6602.01</v>
      </c>
      <c r="B23" s="678" t="str">
        <f>'Budget-合并'!B23</f>
        <v>工资薪金</v>
      </c>
      <c r="C23" s="673">
        <f>'Budget-合并'!C23</f>
        <v>0</v>
      </c>
      <c r="D23" s="676">
        <f t="shared" ref="D23:D42" si="9">INDEX($H$8:$S$8,1,MATCH($D$6,$H$6:$S$6))</f>
        <v>0</v>
      </c>
      <c r="F23" s="676">
        <f t="shared" ref="F23:F42" ca="1" si="10">SUM($H23:OFFSET($H23,0,MATCH(F$6,$H$6:$S$6)-1))</f>
        <v>0</v>
      </c>
      <c r="H23" s="676">
        <f t="shared" ref="H23:S23" si="11">SUM(H24:H32)</f>
        <v>0</v>
      </c>
      <c r="I23" s="676">
        <f t="shared" si="11"/>
        <v>0</v>
      </c>
      <c r="J23" s="676">
        <f t="shared" si="11"/>
        <v>0</v>
      </c>
      <c r="K23" s="676">
        <f t="shared" si="11"/>
        <v>0</v>
      </c>
      <c r="L23" s="676">
        <f t="shared" si="11"/>
        <v>0</v>
      </c>
      <c r="M23" s="676">
        <f t="shared" si="11"/>
        <v>0</v>
      </c>
      <c r="N23" s="676">
        <f t="shared" si="11"/>
        <v>0</v>
      </c>
      <c r="O23" s="676">
        <f t="shared" si="11"/>
        <v>0</v>
      </c>
      <c r="P23" s="676">
        <f t="shared" si="11"/>
        <v>0</v>
      </c>
      <c r="Q23" s="676">
        <f t="shared" si="11"/>
        <v>0</v>
      </c>
      <c r="R23" s="676">
        <f t="shared" si="11"/>
        <v>0</v>
      </c>
      <c r="S23" s="676">
        <f t="shared" si="11"/>
        <v>0</v>
      </c>
      <c r="T23" s="676">
        <f t="shared" ref="T23:T86" si="12">SUM(H23:S23)</f>
        <v>0</v>
      </c>
    </row>
    <row r="24" spans="1:20" ht="13.5" customHeight="1">
      <c r="A24" s="653" t="str">
        <f>'Budget-合并'!A24</f>
        <v>6602.01.01</v>
      </c>
      <c r="B24" s="653" t="str">
        <f>'Budget-合并'!B24</f>
        <v>基本工资（专业）</v>
      </c>
      <c r="C24" s="673" t="str">
        <f>'Budget-合并'!C24</f>
        <v>Salary Professional</v>
      </c>
      <c r="D24" s="676">
        <f t="shared" si="9"/>
        <v>0</v>
      </c>
      <c r="F24" s="676">
        <f t="shared" ca="1" si="10"/>
        <v>0</v>
      </c>
      <c r="H24" s="676"/>
      <c r="I24" s="676"/>
      <c r="J24" s="676"/>
      <c r="K24" s="676"/>
      <c r="L24" s="676"/>
      <c r="M24" s="676"/>
      <c r="N24" s="676"/>
      <c r="O24" s="676"/>
      <c r="P24" s="676"/>
      <c r="Q24" s="676"/>
      <c r="R24" s="676"/>
      <c r="S24" s="676"/>
      <c r="T24" s="676">
        <f t="shared" si="12"/>
        <v>0</v>
      </c>
    </row>
    <row r="25" spans="1:20" ht="13.5" customHeight="1">
      <c r="A25" s="653" t="str">
        <f>'Budget-合并'!A25</f>
        <v>6602.01.02</v>
      </c>
      <c r="B25" s="653" t="str">
        <f>'Budget-合并'!B25</f>
        <v>加班费</v>
      </c>
      <c r="C25" s="673">
        <f>'Budget-合并'!C25</f>
        <v>0</v>
      </c>
      <c r="D25" s="676">
        <f t="shared" si="9"/>
        <v>0</v>
      </c>
      <c r="F25" s="676">
        <f t="shared" ca="1" si="10"/>
        <v>0</v>
      </c>
      <c r="H25" s="676"/>
      <c r="I25" s="676"/>
      <c r="J25" s="676"/>
      <c r="K25" s="676"/>
      <c r="L25" s="676"/>
      <c r="M25" s="676"/>
      <c r="N25" s="676"/>
      <c r="O25" s="676"/>
      <c r="P25" s="676"/>
      <c r="Q25" s="676"/>
      <c r="R25" s="676"/>
      <c r="S25" s="676"/>
      <c r="T25" s="676">
        <f t="shared" si="12"/>
        <v>0</v>
      </c>
    </row>
    <row r="26" spans="1:20" ht="13.5" customHeight="1">
      <c r="A26" s="653" t="str">
        <f>'Budget-合并'!A26</f>
        <v>6602.01.03</v>
      </c>
      <c r="B26" s="653" t="str">
        <f>'Budget-合并'!B26</f>
        <v>员工奖金（专业）</v>
      </c>
      <c r="C26" s="673" t="str">
        <f>'Budget-合并'!C26</f>
        <v>Bonus Expense - Professional</v>
      </c>
      <c r="D26" s="676">
        <f t="shared" si="9"/>
        <v>0</v>
      </c>
      <c r="F26" s="676">
        <f t="shared" ca="1" si="10"/>
        <v>0</v>
      </c>
      <c r="H26" s="676"/>
      <c r="I26" s="676"/>
      <c r="J26" s="676"/>
      <c r="K26" s="676"/>
      <c r="L26" s="676"/>
      <c r="M26" s="676"/>
      <c r="N26" s="676"/>
      <c r="O26" s="676"/>
      <c r="P26" s="676"/>
      <c r="Q26" s="676"/>
      <c r="R26" s="676"/>
      <c r="S26" s="676"/>
      <c r="T26" s="676">
        <f t="shared" si="12"/>
        <v>0</v>
      </c>
    </row>
    <row r="27" spans="1:20" ht="13.5" customHeight="1">
      <c r="A27" s="653" t="str">
        <f>'Budget-合并'!A27</f>
        <v>6602.01.04</v>
      </c>
      <c r="B27" s="653" t="str">
        <f>'Budget-合并'!B27</f>
        <v>员工遣散费</v>
      </c>
      <c r="C27" s="673">
        <f>'Budget-合并'!C27</f>
        <v>0</v>
      </c>
      <c r="D27" s="676">
        <f t="shared" si="9"/>
        <v>0</v>
      </c>
      <c r="F27" s="676">
        <f t="shared" ca="1" si="10"/>
        <v>0</v>
      </c>
      <c r="H27" s="676"/>
      <c r="I27" s="676"/>
      <c r="J27" s="676"/>
      <c r="K27" s="676"/>
      <c r="L27" s="676"/>
      <c r="M27" s="676"/>
      <c r="N27" s="676"/>
      <c r="O27" s="676"/>
      <c r="P27" s="676"/>
      <c r="Q27" s="676"/>
      <c r="R27" s="676"/>
      <c r="S27" s="676"/>
      <c r="T27" s="676">
        <f t="shared" si="12"/>
        <v>0</v>
      </c>
    </row>
    <row r="28" spans="1:20" ht="13.5" customHeight="1">
      <c r="A28" s="653" t="str">
        <f>'Budget-合并'!A28</f>
        <v>6602.01.05</v>
      </c>
      <c r="B28" s="653" t="str">
        <f>'Budget-合并'!B28</f>
        <v>员工假期</v>
      </c>
      <c r="C28" s="673" t="str">
        <f>'Budget-合并'!C28</f>
        <v>Unused Leave Expense</v>
      </c>
      <c r="D28" s="676">
        <f t="shared" si="9"/>
        <v>0</v>
      </c>
      <c r="F28" s="676">
        <f t="shared" ca="1" si="10"/>
        <v>0</v>
      </c>
      <c r="H28" s="676"/>
      <c r="I28" s="676"/>
      <c r="J28" s="676"/>
      <c r="K28" s="676"/>
      <c r="L28" s="676"/>
      <c r="M28" s="676"/>
      <c r="N28" s="676"/>
      <c r="O28" s="676"/>
      <c r="P28" s="676"/>
      <c r="Q28" s="676"/>
      <c r="R28" s="676"/>
      <c r="S28" s="676"/>
      <c r="T28" s="676">
        <f t="shared" si="12"/>
        <v>0</v>
      </c>
    </row>
    <row r="29" spans="1:20" ht="13.5" customHeight="1">
      <c r="A29" s="653" t="str">
        <f>'Budget-合并'!A29</f>
        <v>6602.01.06</v>
      </c>
      <c r="B29" s="653" t="str">
        <f>'Budget-合并'!B29</f>
        <v>劳务报酬</v>
      </c>
      <c r="C29" s="673">
        <f>'Budget-合并'!C29</f>
        <v>0</v>
      </c>
      <c r="D29" s="676">
        <f t="shared" si="9"/>
        <v>0</v>
      </c>
      <c r="F29" s="676">
        <f t="shared" ca="1" si="10"/>
        <v>0</v>
      </c>
      <c r="H29" s="676"/>
      <c r="I29" s="676"/>
      <c r="J29" s="676"/>
      <c r="K29" s="676"/>
      <c r="L29" s="676"/>
      <c r="M29" s="676"/>
      <c r="N29" s="676"/>
      <c r="O29" s="676"/>
      <c r="P29" s="676"/>
      <c r="Q29" s="676"/>
      <c r="R29" s="676"/>
      <c r="S29" s="676"/>
      <c r="T29" s="676">
        <f t="shared" si="12"/>
        <v>0</v>
      </c>
    </row>
    <row r="30" spans="1:20" ht="13.5" customHeight="1">
      <c r="A30" s="653" t="str">
        <f>'Budget-合并'!A30</f>
        <v>6602.01.07</v>
      </c>
      <c r="B30" s="653" t="str">
        <f>'Budget-合并'!B30</f>
        <v>集团内分摊</v>
      </c>
      <c r="C30" s="673" t="str">
        <f>'Budget-合并'!C30</f>
        <v>Mantime X Charge</v>
      </c>
      <c r="D30" s="676">
        <f t="shared" si="9"/>
        <v>0</v>
      </c>
      <c r="F30" s="676">
        <f t="shared" ca="1" si="10"/>
        <v>0</v>
      </c>
      <c r="H30" s="676"/>
      <c r="I30" s="676"/>
      <c r="J30" s="676"/>
      <c r="K30" s="676"/>
      <c r="L30" s="676"/>
      <c r="M30" s="676"/>
      <c r="N30" s="676"/>
      <c r="O30" s="676"/>
      <c r="P30" s="676"/>
      <c r="Q30" s="676"/>
      <c r="R30" s="676"/>
      <c r="S30" s="676"/>
      <c r="T30" s="676">
        <f t="shared" si="12"/>
        <v>0</v>
      </c>
    </row>
    <row r="31" spans="1:20" ht="13.5" customHeight="1">
      <c r="A31" s="653" t="str">
        <f>'Budget-合并'!A31</f>
        <v>6602.01.08</v>
      </c>
      <c r="B31" s="653" t="str">
        <f>'Budget-合并'!B31</f>
        <v>基本工资（管理）</v>
      </c>
      <c r="C31" s="673" t="str">
        <f>'Budget-合并'!C31</f>
        <v>Salary Management</v>
      </c>
      <c r="D31" s="676">
        <f t="shared" si="9"/>
        <v>0</v>
      </c>
      <c r="F31" s="676">
        <f t="shared" ca="1" si="10"/>
        <v>0</v>
      </c>
      <c r="H31" s="676"/>
      <c r="I31" s="676"/>
      <c r="J31" s="676"/>
      <c r="K31" s="676"/>
      <c r="L31" s="676"/>
      <c r="M31" s="676"/>
      <c r="N31" s="676"/>
      <c r="O31" s="676"/>
      <c r="P31" s="676"/>
      <c r="Q31" s="676"/>
      <c r="R31" s="676"/>
      <c r="S31" s="676"/>
      <c r="T31" s="676">
        <f t="shared" si="12"/>
        <v>0</v>
      </c>
    </row>
    <row r="32" spans="1:20" ht="13.5" customHeight="1">
      <c r="A32" s="653" t="str">
        <f>'Budget-合并'!A32</f>
        <v>6602.01.09</v>
      </c>
      <c r="B32" s="653" t="str">
        <f>'Budget-合并'!B32</f>
        <v>员工奖金（管理）</v>
      </c>
      <c r="C32" s="673" t="str">
        <f>'Budget-合并'!C32</f>
        <v>Bonus Expense - Management</v>
      </c>
      <c r="D32" s="676">
        <f t="shared" si="9"/>
        <v>0</v>
      </c>
      <c r="F32" s="676">
        <f t="shared" ca="1" si="10"/>
        <v>0</v>
      </c>
      <c r="H32" s="676"/>
      <c r="I32" s="676"/>
      <c r="J32" s="676"/>
      <c r="K32" s="676"/>
      <c r="L32" s="676"/>
      <c r="M32" s="676"/>
      <c r="N32" s="676"/>
      <c r="O32" s="676"/>
      <c r="P32" s="676"/>
      <c r="Q32" s="676"/>
      <c r="R32" s="676"/>
      <c r="S32" s="676"/>
      <c r="T32" s="676">
        <f t="shared" si="12"/>
        <v>0</v>
      </c>
    </row>
    <row r="33" spans="1:20" ht="13.5" customHeight="1">
      <c r="A33" s="663" t="str">
        <f>'Budget-合并'!A33</f>
        <v>6602.02</v>
      </c>
      <c r="B33" s="678" t="str">
        <f>'Budget-合并'!B33</f>
        <v>职工福利</v>
      </c>
      <c r="C33" s="673">
        <f>'Budget-合并'!C33</f>
        <v>0</v>
      </c>
      <c r="D33" s="676">
        <f t="shared" si="9"/>
        <v>0</v>
      </c>
      <c r="F33" s="676">
        <f t="shared" ca="1" si="10"/>
        <v>0</v>
      </c>
      <c r="H33" s="679">
        <f t="shared" ref="H33:S33" si="13">SUM(H34:H37)</f>
        <v>0</v>
      </c>
      <c r="I33" s="679">
        <f t="shared" si="13"/>
        <v>0</v>
      </c>
      <c r="J33" s="679">
        <f t="shared" si="13"/>
        <v>0</v>
      </c>
      <c r="K33" s="679">
        <f t="shared" si="13"/>
        <v>0</v>
      </c>
      <c r="L33" s="679">
        <f t="shared" si="13"/>
        <v>0</v>
      </c>
      <c r="M33" s="679">
        <f t="shared" si="13"/>
        <v>0</v>
      </c>
      <c r="N33" s="679">
        <f t="shared" si="13"/>
        <v>0</v>
      </c>
      <c r="O33" s="679">
        <f t="shared" si="13"/>
        <v>0</v>
      </c>
      <c r="P33" s="679">
        <f t="shared" si="13"/>
        <v>0</v>
      </c>
      <c r="Q33" s="679">
        <f t="shared" si="13"/>
        <v>0</v>
      </c>
      <c r="R33" s="679">
        <f t="shared" si="13"/>
        <v>0</v>
      </c>
      <c r="S33" s="679">
        <f t="shared" si="13"/>
        <v>0</v>
      </c>
      <c r="T33" s="676">
        <f t="shared" si="12"/>
        <v>0</v>
      </c>
    </row>
    <row r="34" spans="1:20" ht="13.5" customHeight="1">
      <c r="A34" s="653" t="str">
        <f>'Budget-合并'!A34</f>
        <v>6602.02.01</v>
      </c>
      <c r="B34" s="653" t="str">
        <f>'Budget-合并'!B34</f>
        <v>员工福利</v>
      </c>
      <c r="C34" s="673" t="str">
        <f>'Budget-合并'!C34</f>
        <v>Fringe Other</v>
      </c>
      <c r="D34" s="676">
        <f t="shared" si="9"/>
        <v>0</v>
      </c>
      <c r="F34" s="676">
        <f t="shared" ca="1" si="10"/>
        <v>0</v>
      </c>
      <c r="H34" s="676"/>
      <c r="I34" s="676"/>
      <c r="J34" s="676"/>
      <c r="K34" s="676"/>
      <c r="L34" s="676"/>
      <c r="M34" s="676"/>
      <c r="N34" s="676"/>
      <c r="O34" s="676"/>
      <c r="P34" s="676"/>
      <c r="Q34" s="676"/>
      <c r="R34" s="676"/>
      <c r="S34" s="676"/>
      <c r="T34" s="676">
        <f t="shared" si="12"/>
        <v>0</v>
      </c>
    </row>
    <row r="35" spans="1:20" ht="13.5" customHeight="1">
      <c r="A35" s="653" t="str">
        <f>'Budget-合并'!A35</f>
        <v>6602.02.02</v>
      </c>
      <c r="B35" s="653" t="str">
        <f>'Budget-合并'!B35</f>
        <v>团建活动</v>
      </c>
      <c r="C35" s="673" t="str">
        <f>'Budget-合并'!C35</f>
        <v>EE Morale Expense</v>
      </c>
      <c r="D35" s="676">
        <f t="shared" si="9"/>
        <v>0</v>
      </c>
      <c r="F35" s="676">
        <f t="shared" ca="1" si="10"/>
        <v>0</v>
      </c>
      <c r="H35" s="676">
        <f t="shared" ref="H35:S35" si="14">SUM(H36:H37)</f>
        <v>0</v>
      </c>
      <c r="I35" s="676">
        <f t="shared" si="14"/>
        <v>0</v>
      </c>
      <c r="J35" s="676">
        <f t="shared" si="14"/>
        <v>0</v>
      </c>
      <c r="K35" s="676">
        <f t="shared" si="14"/>
        <v>0</v>
      </c>
      <c r="L35" s="676">
        <f t="shared" si="14"/>
        <v>0</v>
      </c>
      <c r="M35" s="676">
        <f t="shared" si="14"/>
        <v>0</v>
      </c>
      <c r="N35" s="676">
        <f t="shared" si="14"/>
        <v>0</v>
      </c>
      <c r="O35" s="676">
        <f t="shared" si="14"/>
        <v>0</v>
      </c>
      <c r="P35" s="676">
        <f t="shared" si="14"/>
        <v>0</v>
      </c>
      <c r="Q35" s="676">
        <f t="shared" si="14"/>
        <v>0</v>
      </c>
      <c r="R35" s="676">
        <f t="shared" si="14"/>
        <v>0</v>
      </c>
      <c r="S35" s="676">
        <f t="shared" si="14"/>
        <v>0</v>
      </c>
      <c r="T35" s="676">
        <f t="shared" si="12"/>
        <v>0</v>
      </c>
    </row>
    <row r="36" spans="1:20" ht="13.5" customHeight="1">
      <c r="A36" s="653" t="str">
        <f>'Budget-合并'!A36</f>
        <v>6602.02.03</v>
      </c>
      <c r="B36" s="653" t="str">
        <f>'Budget-合并'!B36</f>
        <v>体检费</v>
      </c>
      <c r="C36" s="673">
        <f>'Budget-合并'!C36</f>
        <v>0</v>
      </c>
      <c r="D36" s="676">
        <f t="shared" si="9"/>
        <v>0</v>
      </c>
      <c r="F36" s="676">
        <f t="shared" ca="1" si="10"/>
        <v>0</v>
      </c>
      <c r="H36" s="676"/>
      <c r="I36" s="676"/>
      <c r="J36" s="676"/>
      <c r="K36" s="676"/>
      <c r="L36" s="676"/>
      <c r="M36" s="676"/>
      <c r="N36" s="676"/>
      <c r="O36" s="676"/>
      <c r="P36" s="676"/>
      <c r="Q36" s="676"/>
      <c r="R36" s="676"/>
      <c r="S36" s="676"/>
      <c r="T36" s="676">
        <f t="shared" si="12"/>
        <v>0</v>
      </c>
    </row>
    <row r="37" spans="1:20" ht="13.5" customHeight="1">
      <c r="A37" s="653" t="str">
        <f>'Budget-合并'!A37</f>
        <v>6602.02.04</v>
      </c>
      <c r="B37" s="653" t="str">
        <f>'Budget-合并'!B37</f>
        <v>商业保险 - 医疗</v>
      </c>
      <c r="C37" s="673">
        <f>'Budget-合并'!C37</f>
        <v>0</v>
      </c>
      <c r="D37" s="676">
        <f t="shared" si="9"/>
        <v>0</v>
      </c>
      <c r="F37" s="676">
        <f t="shared" ca="1" si="10"/>
        <v>0</v>
      </c>
      <c r="H37" s="676"/>
      <c r="I37" s="676"/>
      <c r="J37" s="676"/>
      <c r="K37" s="676"/>
      <c r="L37" s="676"/>
      <c r="M37" s="676"/>
      <c r="N37" s="676"/>
      <c r="O37" s="676"/>
      <c r="P37" s="676"/>
      <c r="Q37" s="676"/>
      <c r="R37" s="676"/>
      <c r="S37" s="676"/>
      <c r="T37" s="676">
        <f t="shared" si="12"/>
        <v>0</v>
      </c>
    </row>
    <row r="38" spans="1:20" ht="13.5" customHeight="1">
      <c r="A38" s="663" t="str">
        <f>'Budget-合并'!A38</f>
        <v>6602.03</v>
      </c>
      <c r="B38" s="678" t="str">
        <f>'Budget-合并'!B38</f>
        <v>社保公积金</v>
      </c>
      <c r="C38" s="673">
        <f>'Budget-合并'!C38</f>
        <v>0</v>
      </c>
      <c r="D38" s="676">
        <f t="shared" si="9"/>
        <v>0</v>
      </c>
      <c r="F38" s="676">
        <f t="shared" ca="1" si="10"/>
        <v>0</v>
      </c>
      <c r="H38" s="679">
        <f t="shared" ref="H38:S38" si="15">SUM(H39:H41)</f>
        <v>0</v>
      </c>
      <c r="I38" s="679">
        <f t="shared" si="15"/>
        <v>0</v>
      </c>
      <c r="J38" s="679">
        <f t="shared" si="15"/>
        <v>0</v>
      </c>
      <c r="K38" s="679">
        <f t="shared" si="15"/>
        <v>0</v>
      </c>
      <c r="L38" s="679">
        <f t="shared" si="15"/>
        <v>0</v>
      </c>
      <c r="M38" s="679">
        <f t="shared" si="15"/>
        <v>0</v>
      </c>
      <c r="N38" s="679">
        <f t="shared" si="15"/>
        <v>0</v>
      </c>
      <c r="O38" s="679">
        <f t="shared" si="15"/>
        <v>0</v>
      </c>
      <c r="P38" s="679">
        <f t="shared" si="15"/>
        <v>0</v>
      </c>
      <c r="Q38" s="679">
        <f t="shared" si="15"/>
        <v>0</v>
      </c>
      <c r="R38" s="679">
        <f t="shared" si="15"/>
        <v>0</v>
      </c>
      <c r="S38" s="679">
        <f t="shared" si="15"/>
        <v>0</v>
      </c>
      <c r="T38" s="676">
        <f t="shared" si="12"/>
        <v>0</v>
      </c>
    </row>
    <row r="39" spans="1:20" ht="13.5" customHeight="1">
      <c r="A39" s="653" t="str">
        <f>'Budget-合并'!A39</f>
        <v>6602.03.01</v>
      </c>
      <c r="B39" s="653" t="str">
        <f>'Budget-合并'!B39</f>
        <v>员工社保福利</v>
      </c>
      <c r="C39" s="673" t="str">
        <f>'Budget-合并'!C39</f>
        <v>Employee Insurance</v>
      </c>
      <c r="D39" s="676">
        <f t="shared" si="9"/>
        <v>0</v>
      </c>
      <c r="F39" s="676">
        <f t="shared" ca="1" si="10"/>
        <v>0</v>
      </c>
      <c r="H39" s="676"/>
      <c r="I39" s="676"/>
      <c r="J39" s="676"/>
      <c r="K39" s="676"/>
      <c r="L39" s="676"/>
      <c r="M39" s="676"/>
      <c r="N39" s="676"/>
      <c r="O39" s="676"/>
      <c r="P39" s="676"/>
      <c r="Q39" s="676"/>
      <c r="R39" s="676"/>
      <c r="S39" s="676"/>
      <c r="T39" s="676">
        <f t="shared" si="12"/>
        <v>0</v>
      </c>
    </row>
    <row r="40" spans="1:20" ht="13.5" customHeight="1">
      <c r="A40" s="653" t="str">
        <f>'Budget-合并'!A40</f>
        <v>6602.03.02</v>
      </c>
      <c r="B40" s="653" t="str">
        <f>'Budget-合并'!B40</f>
        <v>员工公积金福利</v>
      </c>
      <c r="C40" s="673">
        <f>'Budget-合并'!C40</f>
        <v>0</v>
      </c>
      <c r="D40" s="676">
        <f t="shared" si="9"/>
        <v>0</v>
      </c>
      <c r="F40" s="676">
        <f t="shared" ca="1" si="10"/>
        <v>0</v>
      </c>
      <c r="H40" s="676"/>
      <c r="I40" s="676"/>
      <c r="J40" s="676"/>
      <c r="K40" s="676"/>
      <c r="L40" s="676"/>
      <c r="M40" s="676"/>
      <c r="N40" s="676"/>
      <c r="O40" s="676"/>
      <c r="P40" s="676"/>
      <c r="Q40" s="676"/>
      <c r="R40" s="676"/>
      <c r="S40" s="676"/>
      <c r="T40" s="676">
        <f t="shared" si="12"/>
        <v>0</v>
      </c>
    </row>
    <row r="41" spans="1:20" ht="13.5" customHeight="1">
      <c r="A41" s="653" t="str">
        <f>'Budget-合并'!A41</f>
        <v>6602.03.03</v>
      </c>
      <c r="B41" s="653" t="str">
        <f>'Budget-合并'!B41</f>
        <v>员工强制性公积金福利</v>
      </c>
      <c r="C41" s="673" t="str">
        <f>'Budget-合并'!C41</f>
        <v>Pension Local/MPF</v>
      </c>
      <c r="D41" s="676">
        <f t="shared" si="9"/>
        <v>0</v>
      </c>
      <c r="F41" s="676">
        <f t="shared" ca="1" si="10"/>
        <v>0</v>
      </c>
      <c r="H41" s="676"/>
      <c r="I41" s="676"/>
      <c r="J41" s="676"/>
      <c r="K41" s="676"/>
      <c r="L41" s="676"/>
      <c r="M41" s="676"/>
      <c r="N41" s="676"/>
      <c r="O41" s="676"/>
      <c r="P41" s="676"/>
      <c r="Q41" s="676"/>
      <c r="R41" s="676"/>
      <c r="S41" s="676"/>
      <c r="T41" s="676">
        <f t="shared" si="12"/>
        <v>0</v>
      </c>
    </row>
    <row r="42" spans="1:20" ht="13.5" customHeight="1">
      <c r="A42" s="672">
        <f>'Budget-合并'!A42</f>
        <v>0</v>
      </c>
      <c r="B42" s="672" t="str">
        <f>'Budget-合并'!B42</f>
        <v>管理人工费用小计</v>
      </c>
      <c r="C42" s="673">
        <f>'Budget-合并'!C42</f>
        <v>0</v>
      </c>
      <c r="D42" s="654">
        <f t="shared" si="9"/>
        <v>0</v>
      </c>
      <c r="F42" s="677">
        <f t="shared" ca="1" si="10"/>
        <v>0</v>
      </c>
      <c r="H42" s="677">
        <f t="shared" ref="H42:S42" si="16">SUM(H23,H33,H38)</f>
        <v>0</v>
      </c>
      <c r="I42" s="677">
        <f t="shared" si="16"/>
        <v>0</v>
      </c>
      <c r="J42" s="677">
        <f t="shared" si="16"/>
        <v>0</v>
      </c>
      <c r="K42" s="677">
        <f t="shared" si="16"/>
        <v>0</v>
      </c>
      <c r="L42" s="677">
        <f t="shared" si="16"/>
        <v>0</v>
      </c>
      <c r="M42" s="677">
        <f t="shared" si="16"/>
        <v>0</v>
      </c>
      <c r="N42" s="677">
        <f t="shared" si="16"/>
        <v>0</v>
      </c>
      <c r="O42" s="677">
        <f t="shared" si="16"/>
        <v>0</v>
      </c>
      <c r="P42" s="677">
        <f t="shared" si="16"/>
        <v>0</v>
      </c>
      <c r="Q42" s="677">
        <f t="shared" si="16"/>
        <v>0</v>
      </c>
      <c r="R42" s="677">
        <f t="shared" si="16"/>
        <v>0</v>
      </c>
      <c r="S42" s="677">
        <f t="shared" si="16"/>
        <v>0</v>
      </c>
      <c r="T42" s="677">
        <f t="shared" si="12"/>
        <v>0</v>
      </c>
    </row>
    <row r="43" spans="1:20" ht="13.5" customHeight="1">
      <c r="A43" s="653">
        <f>'Budget-合并'!A43</f>
        <v>0</v>
      </c>
      <c r="B43" s="653">
        <f>'Budget-合并'!B43</f>
        <v>0</v>
      </c>
      <c r="C43" s="673">
        <f>'Budget-合并'!C43</f>
        <v>0</v>
      </c>
      <c r="H43" s="652">
        <f t="shared" ref="H43:S43" si="17">SUM(H44:H46)</f>
        <v>0</v>
      </c>
      <c r="I43" s="652">
        <f t="shared" si="17"/>
        <v>0</v>
      </c>
      <c r="J43" s="652">
        <f t="shared" si="17"/>
        <v>0</v>
      </c>
      <c r="K43" s="652">
        <f t="shared" si="17"/>
        <v>0</v>
      </c>
      <c r="L43" s="652">
        <f t="shared" si="17"/>
        <v>0</v>
      </c>
      <c r="M43" s="652">
        <f t="shared" si="17"/>
        <v>0</v>
      </c>
      <c r="N43" s="652">
        <f t="shared" si="17"/>
        <v>0</v>
      </c>
      <c r="O43" s="652">
        <f t="shared" si="17"/>
        <v>0</v>
      </c>
      <c r="P43" s="652">
        <f t="shared" si="17"/>
        <v>0</v>
      </c>
      <c r="Q43" s="652">
        <f t="shared" si="17"/>
        <v>0</v>
      </c>
      <c r="R43" s="652">
        <f t="shared" si="17"/>
        <v>0</v>
      </c>
      <c r="S43" s="652">
        <f t="shared" si="17"/>
        <v>0</v>
      </c>
      <c r="T43" s="652">
        <f t="shared" si="12"/>
        <v>0</v>
      </c>
    </row>
    <row r="44" spans="1:20" ht="13.5" customHeight="1">
      <c r="A44" s="663" t="str">
        <f>'Budget-合并'!A44</f>
        <v>6602.04</v>
      </c>
      <c r="B44" s="678" t="str">
        <f>'Budget-合并'!B44</f>
        <v>咨询及专业服务费</v>
      </c>
      <c r="C44" s="673">
        <f>'Budget-合并'!C44</f>
        <v>0</v>
      </c>
      <c r="D44" s="676">
        <f t="shared" ref="D44:D107" si="18">INDEX($H$8:$S$8,1,MATCH($D$6,$H$6:$S$6))</f>
        <v>0</v>
      </c>
      <c r="F44" s="676">
        <f t="shared" ref="F44:F107" ca="1" si="19">SUM($H44:OFFSET($H44,0,MATCH(F$6,$H$6:$S$6)-1))</f>
        <v>0</v>
      </c>
      <c r="H44" s="676">
        <f t="shared" ref="H44:S44" si="20">SUM(H45,H46,H47,H51:H61)</f>
        <v>0</v>
      </c>
      <c r="I44" s="676">
        <f t="shared" si="20"/>
        <v>0</v>
      </c>
      <c r="J44" s="676">
        <f t="shared" si="20"/>
        <v>0</v>
      </c>
      <c r="K44" s="676">
        <f t="shared" si="20"/>
        <v>0</v>
      </c>
      <c r="L44" s="676">
        <f t="shared" si="20"/>
        <v>0</v>
      </c>
      <c r="M44" s="676">
        <f t="shared" si="20"/>
        <v>0</v>
      </c>
      <c r="N44" s="676">
        <f t="shared" si="20"/>
        <v>0</v>
      </c>
      <c r="O44" s="676">
        <f t="shared" si="20"/>
        <v>0</v>
      </c>
      <c r="P44" s="676">
        <f t="shared" si="20"/>
        <v>0</v>
      </c>
      <c r="Q44" s="676">
        <f t="shared" si="20"/>
        <v>0</v>
      </c>
      <c r="R44" s="676">
        <f t="shared" si="20"/>
        <v>0</v>
      </c>
      <c r="S44" s="676">
        <f t="shared" si="20"/>
        <v>0</v>
      </c>
      <c r="T44" s="676">
        <f t="shared" si="12"/>
        <v>0</v>
      </c>
    </row>
    <row r="45" spans="1:20" ht="13.5" customHeight="1">
      <c r="A45" s="653" t="str">
        <f>'Budget-合并'!A45</f>
        <v>6602.04.01</v>
      </c>
      <c r="B45" s="653" t="str">
        <f>'Budget-合并'!B45</f>
        <v>会计服务费</v>
      </c>
      <c r="C45" s="673" t="str">
        <f>'Budget-合并'!C45</f>
        <v>Accounting/Payment Services</v>
      </c>
      <c r="D45" s="676">
        <f t="shared" si="18"/>
        <v>0</v>
      </c>
      <c r="F45" s="676">
        <f t="shared" ca="1" si="19"/>
        <v>0</v>
      </c>
      <c r="H45" s="676"/>
      <c r="I45" s="676"/>
      <c r="J45" s="676"/>
      <c r="K45" s="676"/>
      <c r="L45" s="676"/>
      <c r="M45" s="676"/>
      <c r="N45" s="676"/>
      <c r="O45" s="676"/>
      <c r="P45" s="676"/>
      <c r="Q45" s="676"/>
      <c r="R45" s="676"/>
      <c r="S45" s="676"/>
      <c r="T45" s="676">
        <f t="shared" si="12"/>
        <v>0</v>
      </c>
    </row>
    <row r="46" spans="1:20" ht="13.5" customHeight="1">
      <c r="A46" s="653" t="str">
        <f>'Budget-合并'!A46</f>
        <v>6602.04.02</v>
      </c>
      <c r="B46" s="653" t="str">
        <f>'Budget-合并'!B46</f>
        <v>审计服务费</v>
      </c>
      <c r="C46" s="673" t="str">
        <f>'Budget-合并'!C46</f>
        <v>Audit Fees</v>
      </c>
      <c r="D46" s="676">
        <f t="shared" si="18"/>
        <v>0</v>
      </c>
      <c r="F46" s="676">
        <f t="shared" ca="1" si="19"/>
        <v>0</v>
      </c>
      <c r="H46" s="676"/>
      <c r="I46" s="676"/>
      <c r="J46" s="676"/>
      <c r="K46" s="676"/>
      <c r="L46" s="676"/>
      <c r="M46" s="676"/>
      <c r="N46" s="676"/>
      <c r="O46" s="676"/>
      <c r="P46" s="676"/>
      <c r="Q46" s="676"/>
      <c r="R46" s="676"/>
      <c r="S46" s="676"/>
      <c r="T46" s="676">
        <f t="shared" si="12"/>
        <v>0</v>
      </c>
    </row>
    <row r="47" spans="1:20" ht="13.5" customHeight="1">
      <c r="A47" s="653" t="str">
        <f>'Budget-合并'!A47</f>
        <v>6602.04.03</v>
      </c>
      <c r="B47" s="653" t="str">
        <f>'Budget-合并'!B47</f>
        <v>顾问费</v>
      </c>
      <c r="C47" s="673" t="str">
        <f>'Budget-合并'!C47</f>
        <v>Advisory fee</v>
      </c>
      <c r="D47" s="676">
        <f t="shared" si="18"/>
        <v>0</v>
      </c>
      <c r="F47" s="676">
        <f t="shared" ca="1" si="19"/>
        <v>0</v>
      </c>
      <c r="H47" s="676">
        <f t="shared" ref="H47:S47" si="21">SUM(H48:H50)</f>
        <v>0</v>
      </c>
      <c r="I47" s="676">
        <f t="shared" si="21"/>
        <v>0</v>
      </c>
      <c r="J47" s="676">
        <f t="shared" si="21"/>
        <v>0</v>
      </c>
      <c r="K47" s="676">
        <f t="shared" si="21"/>
        <v>0</v>
      </c>
      <c r="L47" s="676">
        <f t="shared" si="21"/>
        <v>0</v>
      </c>
      <c r="M47" s="676">
        <f t="shared" si="21"/>
        <v>0</v>
      </c>
      <c r="N47" s="676">
        <f t="shared" si="21"/>
        <v>0</v>
      </c>
      <c r="O47" s="676">
        <f t="shared" si="21"/>
        <v>0</v>
      </c>
      <c r="P47" s="676">
        <f t="shared" si="21"/>
        <v>0</v>
      </c>
      <c r="Q47" s="676">
        <f t="shared" si="21"/>
        <v>0</v>
      </c>
      <c r="R47" s="676">
        <f t="shared" si="21"/>
        <v>0</v>
      </c>
      <c r="S47" s="676">
        <f t="shared" si="21"/>
        <v>0</v>
      </c>
      <c r="T47" s="676">
        <f t="shared" si="12"/>
        <v>0</v>
      </c>
    </row>
    <row r="48" spans="1:20" ht="13.5" customHeight="1">
      <c r="A48" s="653">
        <f>'Budget-合并'!A48</f>
        <v>0</v>
      </c>
      <c r="B48" s="653" t="str">
        <f>'Budget-合并'!B48</f>
        <v xml:space="preserve">    公司主体01</v>
      </c>
      <c r="C48" s="673" t="str">
        <f>'Budget-合并'!C48</f>
        <v xml:space="preserve">   Entity</v>
      </c>
      <c r="D48" s="676">
        <f t="shared" si="18"/>
        <v>0</v>
      </c>
      <c r="F48" s="676">
        <f t="shared" ca="1" si="19"/>
        <v>0</v>
      </c>
      <c r="H48" s="676"/>
      <c r="I48" s="676"/>
      <c r="J48" s="676"/>
      <c r="K48" s="676"/>
      <c r="L48" s="676"/>
      <c r="M48" s="676"/>
      <c r="N48" s="676"/>
      <c r="O48" s="676"/>
      <c r="P48" s="676"/>
      <c r="Q48" s="676"/>
      <c r="R48" s="676"/>
      <c r="S48" s="676"/>
      <c r="T48" s="676">
        <f t="shared" si="12"/>
        <v>0</v>
      </c>
    </row>
    <row r="49" spans="1:20" ht="13.5" customHeight="1">
      <c r="A49" s="653">
        <f>'Budget-合并'!A49</f>
        <v>0</v>
      </c>
      <c r="B49" s="653" t="str">
        <f>'Budget-合并'!B49</f>
        <v xml:space="preserve">    旭智富能01</v>
      </c>
      <c r="C49" s="673" t="str">
        <f>'Budget-合并'!C49</f>
        <v xml:space="preserve">   Foxpower</v>
      </c>
      <c r="D49" s="676">
        <f t="shared" si="18"/>
        <v>0</v>
      </c>
      <c r="F49" s="676">
        <f t="shared" ca="1" si="19"/>
        <v>0</v>
      </c>
      <c r="H49" s="676"/>
      <c r="I49" s="676"/>
      <c r="J49" s="676"/>
      <c r="K49" s="676"/>
      <c r="L49" s="676"/>
      <c r="M49" s="676"/>
      <c r="N49" s="676"/>
      <c r="O49" s="676"/>
      <c r="P49" s="676"/>
      <c r="Q49" s="676"/>
      <c r="R49" s="676"/>
      <c r="S49" s="676"/>
      <c r="T49" s="676">
        <f t="shared" si="12"/>
        <v>0</v>
      </c>
    </row>
    <row r="50" spans="1:20" ht="13.5" customHeight="1">
      <c r="A50" s="653">
        <f>'Budget-合并'!A50</f>
        <v>0</v>
      </c>
      <c r="B50" s="653" t="str">
        <f>'Budget-合并'!B50</f>
        <v xml:space="preserve">    其他项目01</v>
      </c>
      <c r="C50" s="673" t="str">
        <f>'Budget-合并'!C50</f>
        <v xml:space="preserve">   Other project</v>
      </c>
      <c r="D50" s="676">
        <f t="shared" si="18"/>
        <v>0</v>
      </c>
      <c r="F50" s="676">
        <f t="shared" ca="1" si="19"/>
        <v>0</v>
      </c>
      <c r="H50" s="676"/>
      <c r="I50" s="676"/>
      <c r="J50" s="676"/>
      <c r="K50" s="676"/>
      <c r="L50" s="676"/>
      <c r="M50" s="676"/>
      <c r="N50" s="676"/>
      <c r="O50" s="676"/>
      <c r="P50" s="676"/>
      <c r="Q50" s="676"/>
      <c r="R50" s="676"/>
      <c r="S50" s="676"/>
      <c r="T50" s="676">
        <f t="shared" si="12"/>
        <v>0</v>
      </c>
    </row>
    <row r="51" spans="1:20" ht="13.5" customHeight="1">
      <c r="A51" s="653" t="str">
        <f>'Budget-合并'!A51</f>
        <v>6602.04.04</v>
      </c>
      <c r="B51" s="653" t="str">
        <f>'Budget-合并'!B51</f>
        <v>税务服务费</v>
      </c>
      <c r="C51" s="673">
        <f>'Budget-合并'!C51</f>
        <v>0</v>
      </c>
      <c r="D51" s="676">
        <f t="shared" si="18"/>
        <v>0</v>
      </c>
      <c r="F51" s="676">
        <f t="shared" ca="1" si="19"/>
        <v>0</v>
      </c>
      <c r="H51" s="676"/>
      <c r="I51" s="676"/>
      <c r="J51" s="676"/>
      <c r="K51" s="676"/>
      <c r="L51" s="676"/>
      <c r="M51" s="676"/>
      <c r="N51" s="676"/>
      <c r="O51" s="676"/>
      <c r="P51" s="676"/>
      <c r="Q51" s="676"/>
      <c r="R51" s="676"/>
      <c r="S51" s="676"/>
      <c r="T51" s="676">
        <f t="shared" si="12"/>
        <v>0</v>
      </c>
    </row>
    <row r="52" spans="1:20" ht="13.5" customHeight="1">
      <c r="A52" s="653" t="str">
        <f>'Budget-合并'!A52</f>
        <v>6602.04.05</v>
      </c>
      <c r="B52" s="653" t="str">
        <f>'Budget-合并'!B52</f>
        <v>招聘服务费</v>
      </c>
      <c r="C52" s="673" t="str">
        <f>'Budget-合并'!C52</f>
        <v>Employment Agency Fee</v>
      </c>
      <c r="D52" s="676">
        <f t="shared" si="18"/>
        <v>0</v>
      </c>
      <c r="F52" s="676">
        <f t="shared" ca="1" si="19"/>
        <v>0</v>
      </c>
      <c r="H52" s="676"/>
      <c r="I52" s="676"/>
      <c r="J52" s="676"/>
      <c r="K52" s="676"/>
      <c r="L52" s="676"/>
      <c r="M52" s="676"/>
      <c r="N52" s="676"/>
      <c r="O52" s="676"/>
      <c r="P52" s="676"/>
      <c r="Q52" s="676"/>
      <c r="R52" s="676"/>
      <c r="S52" s="676"/>
      <c r="T52" s="676">
        <f t="shared" si="12"/>
        <v>0</v>
      </c>
    </row>
    <row r="53" spans="1:20" ht="13.5" customHeight="1">
      <c r="A53" s="653" t="str">
        <f>'Budget-合并'!A53</f>
        <v>6602.04.06</v>
      </c>
      <c r="B53" s="653" t="str">
        <f>'Budget-合并'!B53</f>
        <v>法律服务费</v>
      </c>
      <c r="C53" s="673" t="str">
        <f>'Budget-合并'!C53</f>
        <v>Legal Fees</v>
      </c>
      <c r="D53" s="676">
        <f t="shared" si="18"/>
        <v>0</v>
      </c>
      <c r="F53" s="676">
        <f t="shared" ca="1" si="19"/>
        <v>0</v>
      </c>
      <c r="H53" s="676"/>
      <c r="I53" s="676"/>
      <c r="J53" s="676"/>
      <c r="K53" s="676"/>
      <c r="L53" s="676"/>
      <c r="M53" s="676"/>
      <c r="N53" s="676"/>
      <c r="O53" s="676"/>
      <c r="P53" s="676"/>
      <c r="Q53" s="676"/>
      <c r="R53" s="676"/>
      <c r="S53" s="676"/>
      <c r="T53" s="676">
        <f t="shared" si="12"/>
        <v>0</v>
      </c>
    </row>
    <row r="54" spans="1:20" ht="13.5" customHeight="1">
      <c r="A54" s="653" t="str">
        <f>'Budget-合并'!A54</f>
        <v>6602.04.07</v>
      </c>
      <c r="B54" s="653" t="str">
        <f>'Budget-合并'!B54</f>
        <v>人力资源服务费</v>
      </c>
      <c r="C54" s="673" t="str">
        <f>'Budget-合并'!C54</f>
        <v>Payroll Services</v>
      </c>
      <c r="D54" s="676">
        <f t="shared" si="18"/>
        <v>0</v>
      </c>
      <c r="F54" s="676">
        <f t="shared" ca="1" si="19"/>
        <v>0</v>
      </c>
      <c r="H54" s="676"/>
      <c r="I54" s="676"/>
      <c r="J54" s="676"/>
      <c r="K54" s="676"/>
      <c r="L54" s="676"/>
      <c r="M54" s="676"/>
      <c r="N54" s="676"/>
      <c r="O54" s="676"/>
      <c r="P54" s="676"/>
      <c r="Q54" s="676"/>
      <c r="R54" s="676"/>
      <c r="S54" s="676"/>
      <c r="T54" s="676">
        <f t="shared" si="12"/>
        <v>0</v>
      </c>
    </row>
    <row r="55" spans="1:20" ht="13.5" customHeight="1">
      <c r="A55" s="653" t="str">
        <f>'Budget-合并'!A55</f>
        <v>6602.04.08</v>
      </c>
      <c r="B55" s="653" t="str">
        <f>'Budget-合并'!B55</f>
        <v>背景调查费</v>
      </c>
      <c r="C55" s="673" t="str">
        <f>'Budget-合并'!C55</f>
        <v>Employee Background Check</v>
      </c>
      <c r="D55" s="676">
        <f t="shared" si="18"/>
        <v>0</v>
      </c>
      <c r="F55" s="676">
        <f t="shared" ca="1" si="19"/>
        <v>0</v>
      </c>
      <c r="H55" s="676">
        <f t="shared" ref="H55:S55" si="22">SUM(H56,H60:H66)</f>
        <v>0</v>
      </c>
      <c r="I55" s="676">
        <f t="shared" si="22"/>
        <v>0</v>
      </c>
      <c r="J55" s="676">
        <f t="shared" si="22"/>
        <v>0</v>
      </c>
      <c r="K55" s="676">
        <f t="shared" si="22"/>
        <v>0</v>
      </c>
      <c r="L55" s="676">
        <f t="shared" si="22"/>
        <v>0</v>
      </c>
      <c r="M55" s="676">
        <f t="shared" si="22"/>
        <v>0</v>
      </c>
      <c r="N55" s="676">
        <f t="shared" si="22"/>
        <v>0</v>
      </c>
      <c r="O55" s="676">
        <f t="shared" si="22"/>
        <v>0</v>
      </c>
      <c r="P55" s="676">
        <f t="shared" si="22"/>
        <v>0</v>
      </c>
      <c r="Q55" s="676">
        <f t="shared" si="22"/>
        <v>0</v>
      </c>
      <c r="R55" s="676">
        <f t="shared" si="22"/>
        <v>0</v>
      </c>
      <c r="S55" s="676">
        <f t="shared" si="22"/>
        <v>0</v>
      </c>
      <c r="T55" s="676">
        <f t="shared" si="12"/>
        <v>0</v>
      </c>
    </row>
    <row r="56" spans="1:20" ht="13.5" customHeight="1">
      <c r="A56" s="653" t="str">
        <f>'Budget-合并'!A56</f>
        <v>6602.04.09</v>
      </c>
      <c r="B56" s="653" t="str">
        <f>'Budget-合并'!B56</f>
        <v>翻译服务费</v>
      </c>
      <c r="C56" s="673">
        <f>'Budget-合并'!C56</f>
        <v>0</v>
      </c>
      <c r="D56" s="676">
        <f t="shared" si="18"/>
        <v>0</v>
      </c>
      <c r="F56" s="676">
        <f t="shared" ca="1" si="19"/>
        <v>0</v>
      </c>
      <c r="H56" s="676">
        <f t="shared" ref="H56:S56" si="23">SUM(H57:H59)</f>
        <v>0</v>
      </c>
      <c r="I56" s="676">
        <f t="shared" si="23"/>
        <v>0</v>
      </c>
      <c r="J56" s="676">
        <f t="shared" si="23"/>
        <v>0</v>
      </c>
      <c r="K56" s="676">
        <f t="shared" si="23"/>
        <v>0</v>
      </c>
      <c r="L56" s="676">
        <f t="shared" si="23"/>
        <v>0</v>
      </c>
      <c r="M56" s="676">
        <f t="shared" si="23"/>
        <v>0</v>
      </c>
      <c r="N56" s="676">
        <f t="shared" si="23"/>
        <v>0</v>
      </c>
      <c r="O56" s="676">
        <f t="shared" si="23"/>
        <v>0</v>
      </c>
      <c r="P56" s="676">
        <f t="shared" si="23"/>
        <v>0</v>
      </c>
      <c r="Q56" s="676">
        <f t="shared" si="23"/>
        <v>0</v>
      </c>
      <c r="R56" s="676">
        <f t="shared" si="23"/>
        <v>0</v>
      </c>
      <c r="S56" s="676">
        <f t="shared" si="23"/>
        <v>0</v>
      </c>
      <c r="T56" s="676">
        <f t="shared" si="12"/>
        <v>0</v>
      </c>
    </row>
    <row r="57" spans="1:20" ht="13.5" customHeight="1">
      <c r="A57" s="653" t="str">
        <f>'Budget-合并'!A57</f>
        <v>6602.04.10</v>
      </c>
      <c r="B57" s="653" t="str">
        <f>'Budget-合并'!B57</f>
        <v>评估费</v>
      </c>
      <c r="C57" s="673">
        <f>'Budget-合并'!C57</f>
        <v>0</v>
      </c>
      <c r="D57" s="676">
        <f t="shared" si="18"/>
        <v>0</v>
      </c>
      <c r="F57" s="676">
        <f t="shared" ca="1" si="19"/>
        <v>0</v>
      </c>
      <c r="H57" s="676"/>
      <c r="I57" s="676"/>
      <c r="J57" s="676"/>
      <c r="K57" s="676"/>
      <c r="L57" s="676"/>
      <c r="M57" s="676"/>
      <c r="N57" s="676"/>
      <c r="O57" s="676"/>
      <c r="P57" s="676"/>
      <c r="Q57" s="676"/>
      <c r="R57" s="676"/>
      <c r="S57" s="676"/>
      <c r="T57" s="676">
        <f t="shared" si="12"/>
        <v>0</v>
      </c>
    </row>
    <row r="58" spans="1:20" ht="13.5" customHeight="1">
      <c r="A58" s="653" t="str">
        <f>'Budget-合并'!A58</f>
        <v>6602.04.11</v>
      </c>
      <c r="B58" s="653" t="str">
        <f>'Budget-合并'!B58</f>
        <v>技术服务费</v>
      </c>
      <c r="C58" s="673">
        <f>'Budget-合并'!C58</f>
        <v>0</v>
      </c>
      <c r="D58" s="676">
        <f t="shared" si="18"/>
        <v>0</v>
      </c>
      <c r="F58" s="676">
        <f t="shared" ca="1" si="19"/>
        <v>0</v>
      </c>
      <c r="H58" s="676"/>
      <c r="I58" s="676"/>
      <c r="J58" s="676"/>
      <c r="K58" s="676"/>
      <c r="L58" s="676"/>
      <c r="M58" s="676"/>
      <c r="N58" s="676"/>
      <c r="O58" s="676"/>
      <c r="P58" s="676"/>
      <c r="Q58" s="676"/>
      <c r="R58" s="676"/>
      <c r="S58" s="676"/>
      <c r="T58" s="676">
        <f t="shared" si="12"/>
        <v>0</v>
      </c>
    </row>
    <row r="59" spans="1:20" ht="13.5" customHeight="1">
      <c r="A59" s="653" t="str">
        <f>'Budget-合并'!A59</f>
        <v>6602.04.12</v>
      </c>
      <c r="B59" s="653" t="str">
        <f>'Budget-合并'!B59</f>
        <v>合规支持服务</v>
      </c>
      <c r="C59" s="673" t="str">
        <f>'Budget-合并'!C59</f>
        <v xml:space="preserve">Compliance Support Services </v>
      </c>
      <c r="D59" s="676">
        <f t="shared" si="18"/>
        <v>0</v>
      </c>
      <c r="F59" s="676">
        <f t="shared" ca="1" si="19"/>
        <v>0</v>
      </c>
      <c r="H59" s="676"/>
      <c r="I59" s="676"/>
      <c r="J59" s="676"/>
      <c r="K59" s="676"/>
      <c r="L59" s="676"/>
      <c r="M59" s="676"/>
      <c r="N59" s="676"/>
      <c r="O59" s="676"/>
      <c r="P59" s="676"/>
      <c r="Q59" s="676"/>
      <c r="R59" s="676"/>
      <c r="S59" s="676"/>
      <c r="T59" s="676">
        <f t="shared" si="12"/>
        <v>0</v>
      </c>
    </row>
    <row r="60" spans="1:20" ht="13.5" customHeight="1">
      <c r="A60" s="653" t="str">
        <f>'Budget-合并'!A60</f>
        <v>6602.04.13</v>
      </c>
      <c r="B60" s="653" t="str">
        <f>'Budget-合并'!B60</f>
        <v>咨询费</v>
      </c>
      <c r="C60" s="673" t="str">
        <f>'Budget-合并'!C60</f>
        <v>Consulting fee</v>
      </c>
      <c r="D60" s="676">
        <f t="shared" si="18"/>
        <v>0</v>
      </c>
      <c r="F60" s="676">
        <f t="shared" ca="1" si="19"/>
        <v>0</v>
      </c>
      <c r="H60" s="676"/>
      <c r="I60" s="676"/>
      <c r="J60" s="676"/>
      <c r="K60" s="676"/>
      <c r="L60" s="676"/>
      <c r="M60" s="676"/>
      <c r="N60" s="676"/>
      <c r="O60" s="676"/>
      <c r="P60" s="676"/>
      <c r="Q60" s="676"/>
      <c r="R60" s="676"/>
      <c r="S60" s="676"/>
      <c r="T60" s="676">
        <f t="shared" si="12"/>
        <v>0</v>
      </c>
    </row>
    <row r="61" spans="1:20" ht="13.5" customHeight="1">
      <c r="A61" s="653" t="str">
        <f>'Budget-合并'!A61</f>
        <v>6602.04.99</v>
      </c>
      <c r="B61" s="653" t="str">
        <f>'Budget-合并'!B61</f>
        <v>其他</v>
      </c>
      <c r="C61" s="673">
        <f>'Budget-合并'!C61</f>
        <v>0</v>
      </c>
      <c r="D61" s="676">
        <f t="shared" si="18"/>
        <v>0</v>
      </c>
      <c r="F61" s="676">
        <f t="shared" ca="1" si="19"/>
        <v>0</v>
      </c>
      <c r="H61" s="676"/>
      <c r="I61" s="676"/>
      <c r="J61" s="676"/>
      <c r="K61" s="676"/>
      <c r="L61" s="676"/>
      <c r="M61" s="676"/>
      <c r="N61" s="676"/>
      <c r="O61" s="676"/>
      <c r="P61" s="676"/>
      <c r="Q61" s="676"/>
      <c r="R61" s="676"/>
      <c r="S61" s="676"/>
      <c r="T61" s="676">
        <f t="shared" si="12"/>
        <v>0</v>
      </c>
    </row>
    <row r="62" spans="1:20" ht="13.5" customHeight="1">
      <c r="A62" s="663" t="str">
        <f>'Budget-合并'!A62</f>
        <v>6602.05</v>
      </c>
      <c r="B62" s="678" t="str">
        <f>'Budget-合并'!B62</f>
        <v>占用费</v>
      </c>
      <c r="C62" s="673">
        <f>'Budget-合并'!C62</f>
        <v>0</v>
      </c>
      <c r="D62" s="676">
        <f t="shared" si="18"/>
        <v>0</v>
      </c>
      <c r="F62" s="676">
        <f t="shared" ca="1" si="19"/>
        <v>0</v>
      </c>
      <c r="H62" s="676">
        <f t="shared" ref="H62:S62" si="24">SUM(H63,H67:H74)</f>
        <v>0</v>
      </c>
      <c r="I62" s="676">
        <f t="shared" si="24"/>
        <v>0</v>
      </c>
      <c r="J62" s="676">
        <f t="shared" si="24"/>
        <v>0</v>
      </c>
      <c r="K62" s="676">
        <f t="shared" si="24"/>
        <v>0</v>
      </c>
      <c r="L62" s="676">
        <f t="shared" si="24"/>
        <v>0</v>
      </c>
      <c r="M62" s="676">
        <f t="shared" si="24"/>
        <v>0</v>
      </c>
      <c r="N62" s="676">
        <f t="shared" si="24"/>
        <v>0</v>
      </c>
      <c r="O62" s="676">
        <f t="shared" si="24"/>
        <v>0</v>
      </c>
      <c r="P62" s="676">
        <f t="shared" si="24"/>
        <v>0</v>
      </c>
      <c r="Q62" s="676">
        <f t="shared" si="24"/>
        <v>0</v>
      </c>
      <c r="R62" s="676">
        <f t="shared" si="24"/>
        <v>0</v>
      </c>
      <c r="S62" s="676">
        <f t="shared" si="24"/>
        <v>0</v>
      </c>
      <c r="T62" s="676">
        <f t="shared" si="12"/>
        <v>0</v>
      </c>
    </row>
    <row r="63" spans="1:20" ht="13.5" customHeight="1">
      <c r="A63" s="653" t="str">
        <f>'Budget-合并'!A63</f>
        <v>6602.05.01</v>
      </c>
      <c r="B63" s="653" t="str">
        <f>'Budget-合并'!B63</f>
        <v>办公室租赁费</v>
      </c>
      <c r="C63" s="673">
        <f>'Budget-合并'!C63</f>
        <v>0</v>
      </c>
      <c r="D63" s="676">
        <f t="shared" si="18"/>
        <v>0</v>
      </c>
      <c r="F63" s="676">
        <f t="shared" ca="1" si="19"/>
        <v>0</v>
      </c>
      <c r="H63" s="676">
        <f t="shared" ref="H63:S63" si="25">SUM(H64:H66)</f>
        <v>0</v>
      </c>
      <c r="I63" s="676">
        <f t="shared" si="25"/>
        <v>0</v>
      </c>
      <c r="J63" s="676">
        <f t="shared" si="25"/>
        <v>0</v>
      </c>
      <c r="K63" s="676">
        <f t="shared" si="25"/>
        <v>0</v>
      </c>
      <c r="L63" s="676">
        <f t="shared" si="25"/>
        <v>0</v>
      </c>
      <c r="M63" s="676">
        <f t="shared" si="25"/>
        <v>0</v>
      </c>
      <c r="N63" s="676">
        <f t="shared" si="25"/>
        <v>0</v>
      </c>
      <c r="O63" s="676">
        <f t="shared" si="25"/>
        <v>0</v>
      </c>
      <c r="P63" s="676">
        <f t="shared" si="25"/>
        <v>0</v>
      </c>
      <c r="Q63" s="676">
        <f t="shared" si="25"/>
        <v>0</v>
      </c>
      <c r="R63" s="676">
        <f t="shared" si="25"/>
        <v>0</v>
      </c>
      <c r="S63" s="676">
        <f t="shared" si="25"/>
        <v>0</v>
      </c>
      <c r="T63" s="676">
        <f t="shared" si="12"/>
        <v>0</v>
      </c>
    </row>
    <row r="64" spans="1:20" ht="13.5" customHeight="1">
      <c r="A64" s="653" t="str">
        <f>'Budget-合并'!A64</f>
        <v>6602.05.01.01</v>
      </c>
      <c r="B64" s="653" t="str">
        <f>'Budget-合并'!B64</f>
        <v>旭智咨询--鼎和大厦1606</v>
      </c>
      <c r="C64" s="673">
        <f>'Budget-合并'!C64</f>
        <v>0</v>
      </c>
      <c r="D64" s="676">
        <f t="shared" si="18"/>
        <v>0</v>
      </c>
      <c r="F64" s="676">
        <f t="shared" ca="1" si="19"/>
        <v>0</v>
      </c>
      <c r="H64" s="676"/>
      <c r="I64" s="676"/>
      <c r="J64" s="676"/>
      <c r="K64" s="676"/>
      <c r="L64" s="676"/>
      <c r="M64" s="676"/>
      <c r="N64" s="676"/>
      <c r="O64" s="676"/>
      <c r="P64" s="676"/>
      <c r="Q64" s="676"/>
      <c r="R64" s="676"/>
      <c r="S64" s="676"/>
      <c r="T64" s="676">
        <f t="shared" si="12"/>
        <v>0</v>
      </c>
    </row>
    <row r="65" spans="1:20" ht="13.5" customHeight="1">
      <c r="A65" s="653" t="str">
        <f>'Budget-合并'!A65</f>
        <v>6602.05.01.02</v>
      </c>
      <c r="B65" s="653" t="str">
        <f>'Budget-合并'!B65</f>
        <v>广州注册地址403房J015</v>
      </c>
      <c r="C65" s="673">
        <f>'Budget-合并'!C65</f>
        <v>0</v>
      </c>
      <c r="D65" s="676">
        <f t="shared" si="18"/>
        <v>0</v>
      </c>
      <c r="F65" s="676">
        <f t="shared" ca="1" si="19"/>
        <v>0</v>
      </c>
      <c r="H65" s="676"/>
      <c r="I65" s="676"/>
      <c r="J65" s="676"/>
      <c r="K65" s="676"/>
      <c r="L65" s="676"/>
      <c r="M65" s="676"/>
      <c r="N65" s="676"/>
      <c r="O65" s="676"/>
      <c r="P65" s="676"/>
      <c r="Q65" s="676"/>
      <c r="R65" s="676"/>
      <c r="S65" s="676"/>
      <c r="T65" s="676">
        <f t="shared" si="12"/>
        <v>0</v>
      </c>
    </row>
    <row r="66" spans="1:20" ht="13.5" customHeight="1">
      <c r="A66" s="653" t="str">
        <f>'Budget-合并'!A66</f>
        <v>6602.05.01.03</v>
      </c>
      <c r="B66" s="653" t="str">
        <f>'Budget-合并'!B66</f>
        <v>广州注册地址403房J016</v>
      </c>
      <c r="C66" s="673">
        <f>'Budget-合并'!C66</f>
        <v>0</v>
      </c>
      <c r="D66" s="676">
        <f t="shared" si="18"/>
        <v>0</v>
      </c>
      <c r="F66" s="676">
        <f t="shared" ca="1" si="19"/>
        <v>0</v>
      </c>
      <c r="H66" s="676"/>
      <c r="I66" s="676"/>
      <c r="J66" s="676"/>
      <c r="K66" s="676"/>
      <c r="L66" s="676"/>
      <c r="M66" s="676"/>
      <c r="N66" s="676"/>
      <c r="O66" s="676"/>
      <c r="P66" s="676"/>
      <c r="Q66" s="676"/>
      <c r="R66" s="676"/>
      <c r="S66" s="676"/>
      <c r="T66" s="676">
        <f t="shared" si="12"/>
        <v>0</v>
      </c>
    </row>
    <row r="67" spans="1:20" ht="13.5" customHeight="1">
      <c r="A67" s="653" t="str">
        <f>'Budget-合并'!A67</f>
        <v>6602.05.02</v>
      </c>
      <c r="B67" s="653" t="str">
        <f>'Budget-合并'!B67</f>
        <v>管理费</v>
      </c>
      <c r="C67" s="673" t="str">
        <f>'Budget-合并'!C67</f>
        <v>Management fees</v>
      </c>
      <c r="D67" s="676">
        <f t="shared" si="18"/>
        <v>0</v>
      </c>
      <c r="F67" s="676">
        <f t="shared" ca="1" si="19"/>
        <v>0</v>
      </c>
      <c r="H67" s="676"/>
      <c r="I67" s="676"/>
      <c r="J67" s="676"/>
      <c r="K67" s="676"/>
      <c r="L67" s="676"/>
      <c r="M67" s="676"/>
      <c r="N67" s="676"/>
      <c r="O67" s="676"/>
      <c r="P67" s="676"/>
      <c r="Q67" s="676"/>
      <c r="R67" s="676"/>
      <c r="S67" s="676"/>
      <c r="T67" s="676">
        <f t="shared" si="12"/>
        <v>0</v>
      </c>
    </row>
    <row r="68" spans="1:20" ht="13.5" customHeight="1">
      <c r="A68" s="653" t="str">
        <f>'Budget-合并'!A68</f>
        <v>6602.05.03</v>
      </c>
      <c r="B68" s="653" t="str">
        <f>'Budget-合并'!B68</f>
        <v>电费</v>
      </c>
      <c r="C68" s="673" t="str">
        <f>'Budget-合并'!C68</f>
        <v>Utilities Electric</v>
      </c>
      <c r="D68" s="676">
        <f t="shared" si="18"/>
        <v>0</v>
      </c>
      <c r="F68" s="676">
        <f t="shared" ca="1" si="19"/>
        <v>0</v>
      </c>
      <c r="H68" s="676"/>
      <c r="I68" s="676"/>
      <c r="J68" s="676"/>
      <c r="K68" s="676"/>
      <c r="L68" s="676"/>
      <c r="M68" s="676"/>
      <c r="N68" s="676"/>
      <c r="O68" s="676"/>
      <c r="P68" s="676"/>
      <c r="Q68" s="676"/>
      <c r="R68" s="676"/>
      <c r="S68" s="676"/>
      <c r="T68" s="676">
        <f t="shared" si="12"/>
        <v>0</v>
      </c>
    </row>
    <row r="69" spans="1:20" ht="13.5" customHeight="1">
      <c r="A69" s="653" t="str">
        <f>'Budget-合并'!A69</f>
        <v>6602.05.04</v>
      </c>
      <c r="B69" s="653" t="str">
        <f>'Budget-合并'!B69</f>
        <v>水费</v>
      </c>
      <c r="C69" s="673">
        <f>'Budget-合并'!C69</f>
        <v>0</v>
      </c>
      <c r="D69" s="676">
        <f t="shared" si="18"/>
        <v>0</v>
      </c>
      <c r="F69" s="676">
        <f t="shared" ca="1" si="19"/>
        <v>0</v>
      </c>
      <c r="H69" s="676"/>
      <c r="I69" s="676"/>
      <c r="J69" s="676"/>
      <c r="K69" s="676"/>
      <c r="L69" s="676"/>
      <c r="M69" s="676"/>
      <c r="N69" s="676"/>
      <c r="O69" s="676"/>
      <c r="P69" s="676"/>
      <c r="Q69" s="676"/>
      <c r="R69" s="676"/>
      <c r="S69" s="676"/>
      <c r="T69" s="676">
        <f t="shared" si="12"/>
        <v>0</v>
      </c>
    </row>
    <row r="70" spans="1:20" ht="13.5" customHeight="1">
      <c r="A70" s="653" t="str">
        <f>'Budget-合并'!A70</f>
        <v>6602.05.05</v>
      </c>
      <c r="B70" s="653" t="str">
        <f>'Budget-合并'!B70</f>
        <v>维修费</v>
      </c>
      <c r="C70" s="673" t="str">
        <f>'Budget-合并'!C70</f>
        <v>Office Maintenance &amp; Repair</v>
      </c>
      <c r="D70" s="676">
        <f t="shared" si="18"/>
        <v>0</v>
      </c>
      <c r="F70" s="676">
        <f t="shared" ca="1" si="19"/>
        <v>0</v>
      </c>
      <c r="H70" s="676"/>
      <c r="I70" s="676"/>
      <c r="J70" s="676"/>
      <c r="K70" s="676"/>
      <c r="L70" s="676"/>
      <c r="M70" s="676"/>
      <c r="N70" s="676"/>
      <c r="O70" s="676"/>
      <c r="P70" s="676"/>
      <c r="Q70" s="676"/>
      <c r="R70" s="676"/>
      <c r="S70" s="676"/>
      <c r="T70" s="676">
        <f t="shared" si="12"/>
        <v>0</v>
      </c>
    </row>
    <row r="71" spans="1:20" ht="13.5" customHeight="1">
      <c r="A71" s="653" t="str">
        <f>'Budget-合并'!A71</f>
        <v>6602.05.06</v>
      </c>
      <c r="B71" s="653" t="str">
        <f>'Budget-合并'!B71</f>
        <v>装修费</v>
      </c>
      <c r="C71" s="673" t="str">
        <f>'Budget-合并'!C71</f>
        <v>Depreciation_Leasehold Improvement</v>
      </c>
      <c r="D71" s="676">
        <f t="shared" si="18"/>
        <v>0</v>
      </c>
      <c r="F71" s="676">
        <f t="shared" ca="1" si="19"/>
        <v>0</v>
      </c>
      <c r="H71" s="676"/>
      <c r="I71" s="676"/>
      <c r="J71" s="676"/>
      <c r="K71" s="676"/>
      <c r="L71" s="676"/>
      <c r="M71" s="676"/>
      <c r="N71" s="676"/>
      <c r="O71" s="676"/>
      <c r="P71" s="676"/>
      <c r="Q71" s="676"/>
      <c r="R71" s="676"/>
      <c r="S71" s="676"/>
      <c r="T71" s="676">
        <f t="shared" si="12"/>
        <v>0</v>
      </c>
    </row>
    <row r="72" spans="1:20" ht="13.5" customHeight="1">
      <c r="A72" s="653" t="str">
        <f>'Budget-合并'!A72</f>
        <v>6602.05.07</v>
      </c>
      <c r="B72" s="653" t="str">
        <f>'Budget-合并'!B72</f>
        <v>租金及物业费</v>
      </c>
      <c r="C72" s="673">
        <f>'Budget-合并'!C72</f>
        <v>0</v>
      </c>
      <c r="D72" s="676">
        <f t="shared" si="18"/>
        <v>0</v>
      </c>
      <c r="F72" s="676">
        <f t="shared" ca="1" si="19"/>
        <v>0</v>
      </c>
      <c r="H72" s="676"/>
      <c r="I72" s="676"/>
      <c r="J72" s="676"/>
      <c r="K72" s="676"/>
      <c r="L72" s="676"/>
      <c r="M72" s="676"/>
      <c r="N72" s="676"/>
      <c r="O72" s="676"/>
      <c r="P72" s="676"/>
      <c r="Q72" s="676"/>
      <c r="R72" s="676"/>
      <c r="S72" s="676"/>
      <c r="T72" s="676">
        <f t="shared" si="12"/>
        <v>0</v>
      </c>
    </row>
    <row r="73" spans="1:20" ht="11.1" customHeight="1">
      <c r="A73" s="653" t="str">
        <f>'Budget-合并'!A73</f>
        <v>6602.05.08</v>
      </c>
      <c r="B73" s="653" t="str">
        <f>'Budget-合并'!B73</f>
        <v>集团内分摊</v>
      </c>
      <c r="C73" s="673" t="str">
        <f>'Budget-合并'!C73</f>
        <v>Space Rel X Charge</v>
      </c>
      <c r="D73" s="676">
        <f t="shared" si="18"/>
        <v>0</v>
      </c>
      <c r="F73" s="676">
        <f t="shared" ca="1" si="19"/>
        <v>0</v>
      </c>
      <c r="H73" s="676"/>
      <c r="I73" s="676"/>
      <c r="J73" s="676"/>
      <c r="K73" s="676"/>
      <c r="L73" s="676"/>
      <c r="M73" s="676"/>
      <c r="N73" s="676"/>
      <c r="O73" s="676"/>
      <c r="P73" s="676"/>
      <c r="Q73" s="676"/>
      <c r="R73" s="676"/>
      <c r="S73" s="676"/>
      <c r="T73" s="676">
        <f t="shared" si="12"/>
        <v>0</v>
      </c>
    </row>
    <row r="74" spans="1:20" ht="11.1" customHeight="1">
      <c r="A74" s="653" t="str">
        <f>'Budget-合并'!A74</f>
        <v>6602.05.99</v>
      </c>
      <c r="B74" s="653" t="str">
        <f>'Budget-合并'!B74</f>
        <v>其他</v>
      </c>
      <c r="C74" s="673">
        <f>'Budget-合并'!C74</f>
        <v>0</v>
      </c>
      <c r="D74" s="676">
        <f t="shared" si="18"/>
        <v>0</v>
      </c>
      <c r="F74" s="676">
        <f t="shared" ca="1" si="19"/>
        <v>0</v>
      </c>
      <c r="H74" s="676"/>
      <c r="I74" s="676"/>
      <c r="J74" s="676"/>
      <c r="K74" s="676"/>
      <c r="L74" s="676"/>
      <c r="M74" s="676"/>
      <c r="N74" s="676"/>
      <c r="O74" s="676"/>
      <c r="P74" s="676"/>
      <c r="Q74" s="676"/>
      <c r="R74" s="676"/>
      <c r="S74" s="676"/>
      <c r="T74" s="676">
        <f t="shared" si="12"/>
        <v>0</v>
      </c>
    </row>
    <row r="75" spans="1:20" ht="11.1" customHeight="1">
      <c r="A75" s="663" t="str">
        <f>'Budget-合并'!A75</f>
        <v>6602.06</v>
      </c>
      <c r="B75" s="678" t="str">
        <f>'Budget-合并'!B75</f>
        <v>业务招待费</v>
      </c>
      <c r="C75" s="673" t="str">
        <f>'Budget-合并'!C75</f>
        <v>Client Entertainment</v>
      </c>
      <c r="D75" s="676">
        <f t="shared" si="18"/>
        <v>0</v>
      </c>
      <c r="F75" s="676">
        <f t="shared" ca="1" si="19"/>
        <v>0</v>
      </c>
      <c r="H75" s="676">
        <f t="shared" ref="H75:S75" si="26">SUM(H76:H78)</f>
        <v>0</v>
      </c>
      <c r="I75" s="676">
        <f t="shared" si="26"/>
        <v>0</v>
      </c>
      <c r="J75" s="676">
        <f t="shared" si="26"/>
        <v>0</v>
      </c>
      <c r="K75" s="676">
        <f t="shared" si="26"/>
        <v>0</v>
      </c>
      <c r="L75" s="676">
        <f t="shared" si="26"/>
        <v>0</v>
      </c>
      <c r="M75" s="676">
        <f t="shared" si="26"/>
        <v>0</v>
      </c>
      <c r="N75" s="676">
        <f t="shared" si="26"/>
        <v>0</v>
      </c>
      <c r="O75" s="676">
        <f t="shared" si="26"/>
        <v>0</v>
      </c>
      <c r="P75" s="676">
        <f t="shared" si="26"/>
        <v>0</v>
      </c>
      <c r="Q75" s="676">
        <f t="shared" si="26"/>
        <v>0</v>
      </c>
      <c r="R75" s="676">
        <f t="shared" si="26"/>
        <v>0</v>
      </c>
      <c r="S75" s="676">
        <f t="shared" si="26"/>
        <v>0</v>
      </c>
      <c r="T75" s="676">
        <f t="shared" si="12"/>
        <v>0</v>
      </c>
    </row>
    <row r="76" spans="1:20" ht="11.1" customHeight="1">
      <c r="A76" s="653">
        <f>'Budget-合并'!A76</f>
        <v>0</v>
      </c>
      <c r="B76" s="653" t="str">
        <f>'Budget-合并'!B76</f>
        <v xml:space="preserve">    公司主体02</v>
      </c>
      <c r="C76" s="673" t="str">
        <f>'Budget-合并'!C76</f>
        <v xml:space="preserve">   Entity</v>
      </c>
      <c r="D76" s="676">
        <f t="shared" si="18"/>
        <v>0</v>
      </c>
      <c r="F76" s="676">
        <f t="shared" ca="1" si="19"/>
        <v>0</v>
      </c>
      <c r="H76" s="676"/>
      <c r="I76" s="676"/>
      <c r="J76" s="676"/>
      <c r="K76" s="676"/>
      <c r="L76" s="676"/>
      <c r="M76" s="676"/>
      <c r="N76" s="676"/>
      <c r="O76" s="676"/>
      <c r="P76" s="676"/>
      <c r="Q76" s="676"/>
      <c r="R76" s="676"/>
      <c r="S76" s="676"/>
      <c r="T76" s="676">
        <f t="shared" si="12"/>
        <v>0</v>
      </c>
    </row>
    <row r="77" spans="1:20" ht="11.1" customHeight="1">
      <c r="A77" s="653">
        <f>'Budget-合并'!A77</f>
        <v>0</v>
      </c>
      <c r="B77" s="653" t="str">
        <f>'Budget-合并'!B77</f>
        <v xml:space="preserve">    旭智富能02</v>
      </c>
      <c r="C77" s="673" t="str">
        <f>'Budget-合并'!C77</f>
        <v xml:space="preserve">   Foxpower</v>
      </c>
      <c r="D77" s="676">
        <f t="shared" si="18"/>
        <v>0</v>
      </c>
      <c r="F77" s="676">
        <f t="shared" ca="1" si="19"/>
        <v>0</v>
      </c>
      <c r="H77" s="676"/>
      <c r="I77" s="676"/>
      <c r="J77" s="676"/>
      <c r="K77" s="676"/>
      <c r="L77" s="676"/>
      <c r="M77" s="676"/>
      <c r="N77" s="676"/>
      <c r="O77" s="676"/>
      <c r="P77" s="676"/>
      <c r="Q77" s="676"/>
      <c r="R77" s="676"/>
      <c r="S77" s="676"/>
      <c r="T77" s="676">
        <f t="shared" si="12"/>
        <v>0</v>
      </c>
    </row>
    <row r="78" spans="1:20" ht="11.1" customHeight="1">
      <c r="A78" s="653">
        <f>'Budget-合并'!A78</f>
        <v>0</v>
      </c>
      <c r="B78" s="653" t="str">
        <f>'Budget-合并'!B78</f>
        <v xml:space="preserve">    其他项目02</v>
      </c>
      <c r="C78" s="673" t="str">
        <f>'Budget-合并'!C78</f>
        <v xml:space="preserve">   Other project</v>
      </c>
      <c r="D78" s="676">
        <f t="shared" si="18"/>
        <v>0</v>
      </c>
      <c r="F78" s="676">
        <f t="shared" ca="1" si="19"/>
        <v>0</v>
      </c>
      <c r="H78" s="676"/>
      <c r="I78" s="676"/>
      <c r="J78" s="676"/>
      <c r="K78" s="676"/>
      <c r="L78" s="676"/>
      <c r="M78" s="676"/>
      <c r="N78" s="676"/>
      <c r="O78" s="676"/>
      <c r="P78" s="676"/>
      <c r="Q78" s="676"/>
      <c r="R78" s="676"/>
      <c r="S78" s="676"/>
      <c r="T78" s="676">
        <f t="shared" si="12"/>
        <v>0</v>
      </c>
    </row>
    <row r="79" spans="1:20" ht="11.1" customHeight="1">
      <c r="A79" s="653" t="str">
        <f>'Budget-合并'!A79</f>
        <v>6602.07</v>
      </c>
      <c r="B79" s="653" t="str">
        <f>'Budget-合并'!B79</f>
        <v>广告费和业务宣传费</v>
      </c>
      <c r="C79" s="673">
        <f>'Budget-合并'!C79</f>
        <v>0</v>
      </c>
      <c r="D79" s="676">
        <f t="shared" si="18"/>
        <v>0</v>
      </c>
      <c r="F79" s="676">
        <f t="shared" ca="1" si="19"/>
        <v>0</v>
      </c>
      <c r="H79" s="676"/>
      <c r="I79" s="676"/>
      <c r="J79" s="676"/>
      <c r="K79" s="676"/>
      <c r="L79" s="676"/>
      <c r="M79" s="676"/>
      <c r="N79" s="676"/>
      <c r="O79" s="676"/>
      <c r="P79" s="676"/>
      <c r="Q79" s="676"/>
      <c r="R79" s="676"/>
      <c r="S79" s="676"/>
      <c r="T79" s="676">
        <f t="shared" si="12"/>
        <v>0</v>
      </c>
    </row>
    <row r="80" spans="1:20" ht="11.1" customHeight="1">
      <c r="A80" s="663" t="str">
        <f>'Budget-合并'!A80</f>
        <v>6602.08</v>
      </c>
      <c r="B80" s="678" t="str">
        <f>'Budget-合并'!B80</f>
        <v>事务费用</v>
      </c>
      <c r="C80" s="673">
        <f>'Budget-合并'!C80</f>
        <v>0</v>
      </c>
      <c r="D80" s="676">
        <f t="shared" si="18"/>
        <v>0</v>
      </c>
      <c r="F80" s="676">
        <f t="shared" ca="1" si="19"/>
        <v>0</v>
      </c>
      <c r="H80" s="676">
        <f t="shared" ref="H80:S80" si="27">SUM(H81:H91)</f>
        <v>0</v>
      </c>
      <c r="I80" s="676">
        <f t="shared" si="27"/>
        <v>0</v>
      </c>
      <c r="J80" s="676">
        <f t="shared" si="27"/>
        <v>0</v>
      </c>
      <c r="K80" s="676">
        <f t="shared" si="27"/>
        <v>0</v>
      </c>
      <c r="L80" s="676">
        <f t="shared" si="27"/>
        <v>0</v>
      </c>
      <c r="M80" s="676">
        <f t="shared" si="27"/>
        <v>0</v>
      </c>
      <c r="N80" s="676">
        <f t="shared" si="27"/>
        <v>0</v>
      </c>
      <c r="O80" s="676">
        <f t="shared" si="27"/>
        <v>0</v>
      </c>
      <c r="P80" s="676">
        <f t="shared" si="27"/>
        <v>0</v>
      </c>
      <c r="Q80" s="676">
        <f t="shared" si="27"/>
        <v>0</v>
      </c>
      <c r="R80" s="676">
        <f t="shared" si="27"/>
        <v>0</v>
      </c>
      <c r="S80" s="676">
        <f t="shared" si="27"/>
        <v>0</v>
      </c>
      <c r="T80" s="676">
        <f t="shared" si="12"/>
        <v>0</v>
      </c>
    </row>
    <row r="81" spans="1:20" ht="11.1" customHeight="1">
      <c r="A81" s="653" t="str">
        <f>'Budget-合并'!A81</f>
        <v>6602.08.01</v>
      </c>
      <c r="B81" s="653" t="str">
        <f>'Budget-合并'!B81</f>
        <v>通信费</v>
      </c>
      <c r="C81" s="673" t="str">
        <f>'Budget-合并'!C81</f>
        <v>Telephone Monthly/Base Charge</v>
      </c>
      <c r="D81" s="676">
        <f t="shared" si="18"/>
        <v>0</v>
      </c>
      <c r="F81" s="676">
        <f t="shared" ca="1" si="19"/>
        <v>0</v>
      </c>
      <c r="H81" s="676"/>
      <c r="I81" s="676"/>
      <c r="J81" s="676"/>
      <c r="K81" s="676"/>
      <c r="L81" s="676"/>
      <c r="M81" s="676"/>
      <c r="N81" s="676"/>
      <c r="O81" s="676"/>
      <c r="P81" s="676"/>
      <c r="Q81" s="676"/>
      <c r="R81" s="676"/>
      <c r="S81" s="676"/>
      <c r="T81" s="676">
        <f t="shared" si="12"/>
        <v>0</v>
      </c>
    </row>
    <row r="82" spans="1:20" ht="11.1" customHeight="1">
      <c r="A82" s="653" t="str">
        <f>'Budget-合并'!A82</f>
        <v>6602.08.02</v>
      </c>
      <c r="B82" s="653" t="str">
        <f>'Budget-合并'!B82</f>
        <v>电脑软件费</v>
      </c>
      <c r="C82" s="673" t="str">
        <f>'Budget-合并'!C82</f>
        <v xml:space="preserve">PC Software </v>
      </c>
      <c r="D82" s="676">
        <f t="shared" si="18"/>
        <v>0</v>
      </c>
      <c r="F82" s="676">
        <f t="shared" ca="1" si="19"/>
        <v>0</v>
      </c>
      <c r="H82" s="676"/>
      <c r="I82" s="676"/>
      <c r="J82" s="676"/>
      <c r="K82" s="676"/>
      <c r="L82" s="676"/>
      <c r="M82" s="676"/>
      <c r="N82" s="676"/>
      <c r="O82" s="676"/>
      <c r="P82" s="676"/>
      <c r="Q82" s="676"/>
      <c r="R82" s="676"/>
      <c r="S82" s="676"/>
      <c r="T82" s="676">
        <f t="shared" si="12"/>
        <v>0</v>
      </c>
    </row>
    <row r="83" spans="1:20" ht="12.95" customHeight="1">
      <c r="A83" s="653" t="str">
        <f>'Budget-合并'!A83</f>
        <v>6602.08.03</v>
      </c>
      <c r="B83" s="653" t="str">
        <f>'Budget-合并'!B83</f>
        <v>办公用品</v>
      </c>
      <c r="C83" s="673" t="str">
        <f>'Budget-合并'!C83</f>
        <v xml:space="preserve">Office Supplies </v>
      </c>
      <c r="D83" s="676">
        <f t="shared" si="18"/>
        <v>0</v>
      </c>
      <c r="F83" s="676">
        <f t="shared" ca="1" si="19"/>
        <v>0</v>
      </c>
      <c r="H83" s="676"/>
      <c r="I83" s="676"/>
      <c r="J83" s="676"/>
      <c r="K83" s="676"/>
      <c r="L83" s="676"/>
      <c r="M83" s="676"/>
      <c r="N83" s="676"/>
      <c r="O83" s="676"/>
      <c r="P83" s="676"/>
      <c r="Q83" s="676"/>
      <c r="R83" s="676"/>
      <c r="S83" s="676"/>
      <c r="T83" s="676">
        <f t="shared" si="12"/>
        <v>0</v>
      </c>
    </row>
    <row r="84" spans="1:20" ht="11.1" customHeight="1">
      <c r="A84" s="653" t="str">
        <f>'Budget-合并'!A84</f>
        <v>6602.08.04</v>
      </c>
      <c r="B84" s="653" t="str">
        <f>'Budget-合并'!B84</f>
        <v>事务保金</v>
      </c>
      <c r="C84" s="673" t="str">
        <f>'Budget-合并'!C84</f>
        <v>Other Insurance</v>
      </c>
      <c r="D84" s="676">
        <f t="shared" si="18"/>
        <v>0</v>
      </c>
      <c r="F84" s="676">
        <f t="shared" ca="1" si="19"/>
        <v>0</v>
      </c>
      <c r="H84" s="676"/>
      <c r="I84" s="676"/>
      <c r="J84" s="676"/>
      <c r="K84" s="676"/>
      <c r="L84" s="676"/>
      <c r="M84" s="676"/>
      <c r="N84" s="676"/>
      <c r="O84" s="676"/>
      <c r="P84" s="676"/>
      <c r="Q84" s="676"/>
      <c r="R84" s="676"/>
      <c r="S84" s="676"/>
      <c r="T84" s="676">
        <f t="shared" si="12"/>
        <v>0</v>
      </c>
    </row>
    <row r="85" spans="1:20" ht="11.1" customHeight="1">
      <c r="A85" s="653" t="str">
        <f>'Budget-合并'!A85</f>
        <v>6602.08.05</v>
      </c>
      <c r="B85" s="653" t="str">
        <f>'Budget-合并'!B85</f>
        <v>邮费/邮递费</v>
      </c>
      <c r="C85" s="673" t="str">
        <f>'Budget-合并'!C85</f>
        <v>Postage / Freight / Delivery</v>
      </c>
      <c r="D85" s="676">
        <f t="shared" si="18"/>
        <v>0</v>
      </c>
      <c r="F85" s="676">
        <f t="shared" ca="1" si="19"/>
        <v>0</v>
      </c>
      <c r="H85" s="676"/>
      <c r="I85" s="676"/>
      <c r="J85" s="676"/>
      <c r="K85" s="676"/>
      <c r="L85" s="676"/>
      <c r="M85" s="676"/>
      <c r="N85" s="676"/>
      <c r="O85" s="676"/>
      <c r="P85" s="676"/>
      <c r="Q85" s="676"/>
      <c r="R85" s="676"/>
      <c r="S85" s="676"/>
      <c r="T85" s="676">
        <f t="shared" si="12"/>
        <v>0</v>
      </c>
    </row>
    <row r="86" spans="1:20" ht="11.1" customHeight="1">
      <c r="A86" s="653" t="str">
        <f>'Budget-合并'!A86</f>
        <v>6602.08.06</v>
      </c>
      <c r="B86" s="653" t="str">
        <f>'Budget-合并'!B86</f>
        <v>IT专业人士及微软服务</v>
      </c>
      <c r="C86" s="673" t="str">
        <f>'Budget-合并'!C86</f>
        <v xml:space="preserve">IT Professional &amp; MS Services </v>
      </c>
      <c r="D86" s="676">
        <f t="shared" si="18"/>
        <v>0</v>
      </c>
      <c r="F86" s="676">
        <f t="shared" ca="1" si="19"/>
        <v>0</v>
      </c>
      <c r="H86" s="676"/>
      <c r="I86" s="676"/>
      <c r="J86" s="676"/>
      <c r="K86" s="676"/>
      <c r="L86" s="676"/>
      <c r="M86" s="676"/>
      <c r="N86" s="676"/>
      <c r="O86" s="676"/>
      <c r="P86" s="676"/>
      <c r="Q86" s="676"/>
      <c r="R86" s="676"/>
      <c r="S86" s="676"/>
      <c r="T86" s="676">
        <f t="shared" si="12"/>
        <v>0</v>
      </c>
    </row>
    <row r="87" spans="1:20" ht="11.1" customHeight="1">
      <c r="A87" s="653" t="str">
        <f>'Budget-合并'!A87</f>
        <v>6602.08.07</v>
      </c>
      <c r="B87" s="653" t="str">
        <f>'Budget-合并'!B87</f>
        <v>软件许可证费用</v>
      </c>
      <c r="C87" s="673" t="str">
        <f>'Budget-合并'!C87</f>
        <v xml:space="preserve">Software Licence Fee Exp </v>
      </c>
      <c r="D87" s="676">
        <f t="shared" si="18"/>
        <v>0</v>
      </c>
      <c r="F87" s="676">
        <f t="shared" ca="1" si="19"/>
        <v>0</v>
      </c>
      <c r="H87" s="676"/>
      <c r="I87" s="676"/>
      <c r="J87" s="676"/>
      <c r="K87" s="676"/>
      <c r="L87" s="676"/>
      <c r="M87" s="676"/>
      <c r="N87" s="676"/>
      <c r="O87" s="676"/>
      <c r="P87" s="676"/>
      <c r="Q87" s="676"/>
      <c r="R87" s="676"/>
      <c r="S87" s="676"/>
      <c r="T87" s="676">
        <f t="shared" ref="T87:T150" si="28">SUM(H87:S87)</f>
        <v>0</v>
      </c>
    </row>
    <row r="88" spans="1:20" ht="11.1" customHeight="1">
      <c r="A88" s="653" t="str">
        <f>'Budget-合并'!A88</f>
        <v>6602.08.08</v>
      </c>
      <c r="B88" s="653" t="str">
        <f>'Budget-合并'!B88</f>
        <v>软件使用费</v>
      </c>
      <c r="C88" s="673">
        <f>'Budget-合并'!C88</f>
        <v>0</v>
      </c>
      <c r="D88" s="676">
        <f t="shared" si="18"/>
        <v>0</v>
      </c>
      <c r="F88" s="676">
        <f t="shared" ca="1" si="19"/>
        <v>0</v>
      </c>
      <c r="H88" s="676"/>
      <c r="I88" s="676"/>
      <c r="J88" s="676"/>
      <c r="K88" s="676"/>
      <c r="L88" s="676"/>
      <c r="M88" s="676"/>
      <c r="N88" s="676"/>
      <c r="O88" s="676"/>
      <c r="P88" s="676"/>
      <c r="Q88" s="676"/>
      <c r="R88" s="676"/>
      <c r="S88" s="676"/>
      <c r="T88" s="676">
        <f t="shared" si="28"/>
        <v>0</v>
      </c>
    </row>
    <row r="89" spans="1:20" ht="11.1" customHeight="1">
      <c r="A89" s="653" t="str">
        <f>'Budget-合并'!A89</f>
        <v>6602.08.09</v>
      </c>
      <c r="B89" s="653" t="str">
        <f>'Budget-合并'!B89</f>
        <v>清洁服务</v>
      </c>
      <c r="C89" s="673">
        <f>'Budget-合并'!C89</f>
        <v>0</v>
      </c>
      <c r="D89" s="676">
        <f t="shared" si="18"/>
        <v>0</v>
      </c>
      <c r="F89" s="676">
        <f t="shared" ca="1" si="19"/>
        <v>0</v>
      </c>
      <c r="H89" s="676"/>
      <c r="I89" s="676"/>
      <c r="J89" s="676"/>
      <c r="K89" s="676"/>
      <c r="L89" s="676"/>
      <c r="M89" s="676"/>
      <c r="N89" s="676"/>
      <c r="O89" s="676"/>
      <c r="P89" s="676"/>
      <c r="Q89" s="676"/>
      <c r="R89" s="676"/>
      <c r="S89" s="676"/>
      <c r="T89" s="676">
        <f t="shared" si="28"/>
        <v>0</v>
      </c>
    </row>
    <row r="90" spans="1:20" ht="11.1" customHeight="1">
      <c r="A90" s="653" t="str">
        <f>'Budget-合并'!A90</f>
        <v>6602.08.10</v>
      </c>
      <c r="B90" s="653" t="str">
        <f>'Budget-合并'!B90</f>
        <v>电话国际直拨/电话会议收费</v>
      </c>
      <c r="C90" s="673" t="str">
        <f>'Budget-合并'!C90</f>
        <v>Telephone IDD/Teleconf Charge</v>
      </c>
      <c r="D90" s="676">
        <f t="shared" si="18"/>
        <v>0</v>
      </c>
      <c r="F90" s="676">
        <f t="shared" ca="1" si="19"/>
        <v>0</v>
      </c>
      <c r="H90" s="676"/>
      <c r="I90" s="676"/>
      <c r="J90" s="676"/>
      <c r="K90" s="676"/>
      <c r="L90" s="676"/>
      <c r="M90" s="676"/>
      <c r="N90" s="676"/>
      <c r="O90" s="676"/>
      <c r="P90" s="676"/>
      <c r="Q90" s="676"/>
      <c r="R90" s="676"/>
      <c r="S90" s="676"/>
      <c r="T90" s="676">
        <f t="shared" si="28"/>
        <v>0</v>
      </c>
    </row>
    <row r="91" spans="1:20" ht="11.1" customHeight="1">
      <c r="A91" s="653" t="str">
        <f>'Budget-合并'!A91</f>
        <v>6602.08.99</v>
      </c>
      <c r="B91" s="653" t="str">
        <f>'Budget-合并'!B91</f>
        <v>其他</v>
      </c>
      <c r="C91" s="673">
        <f>'Budget-合并'!C91</f>
        <v>0</v>
      </c>
      <c r="D91" s="676">
        <f t="shared" si="18"/>
        <v>0</v>
      </c>
      <c r="F91" s="676">
        <f t="shared" ca="1" si="19"/>
        <v>0</v>
      </c>
      <c r="H91" s="676"/>
      <c r="I91" s="676"/>
      <c r="J91" s="676"/>
      <c r="K91" s="676"/>
      <c r="L91" s="676"/>
      <c r="M91" s="676"/>
      <c r="N91" s="676"/>
      <c r="O91" s="676"/>
      <c r="P91" s="676"/>
      <c r="Q91" s="676"/>
      <c r="R91" s="676"/>
      <c r="S91" s="676"/>
      <c r="T91" s="676">
        <f t="shared" si="28"/>
        <v>0</v>
      </c>
    </row>
    <row r="92" spans="1:20" ht="11.1" customHeight="1">
      <c r="A92" s="663" t="str">
        <f>'Budget-合并'!A92</f>
        <v>6602.09</v>
      </c>
      <c r="B92" s="678" t="str">
        <f>'Budget-合并'!B92</f>
        <v>差旅费</v>
      </c>
      <c r="C92" s="673">
        <f>'Budget-合并'!C92</f>
        <v>0</v>
      </c>
      <c r="D92" s="676">
        <f t="shared" si="18"/>
        <v>0</v>
      </c>
      <c r="F92" s="676">
        <f t="shared" ca="1" si="19"/>
        <v>0</v>
      </c>
      <c r="H92" s="676">
        <f t="shared" ref="H92:S92" si="29">SUM(H93,H97,H101,H105,H109,H113,H117,H118,H122,H126)</f>
        <v>0</v>
      </c>
      <c r="I92" s="676">
        <f t="shared" si="29"/>
        <v>0</v>
      </c>
      <c r="J92" s="676">
        <f t="shared" si="29"/>
        <v>0</v>
      </c>
      <c r="K92" s="676">
        <f t="shared" si="29"/>
        <v>0</v>
      </c>
      <c r="L92" s="676">
        <f t="shared" si="29"/>
        <v>0</v>
      </c>
      <c r="M92" s="676">
        <f t="shared" si="29"/>
        <v>0</v>
      </c>
      <c r="N92" s="676">
        <f t="shared" si="29"/>
        <v>0</v>
      </c>
      <c r="O92" s="676">
        <f t="shared" si="29"/>
        <v>0</v>
      </c>
      <c r="P92" s="676">
        <f t="shared" si="29"/>
        <v>0</v>
      </c>
      <c r="Q92" s="676">
        <f t="shared" si="29"/>
        <v>0</v>
      </c>
      <c r="R92" s="676">
        <f t="shared" si="29"/>
        <v>0</v>
      </c>
      <c r="S92" s="676">
        <f t="shared" si="29"/>
        <v>0</v>
      </c>
      <c r="T92" s="676">
        <f t="shared" si="28"/>
        <v>0</v>
      </c>
    </row>
    <row r="93" spans="1:20" ht="11.1" customHeight="1">
      <c r="A93" s="653" t="str">
        <f>'Budget-合并'!A93</f>
        <v>6602.09.01</v>
      </c>
      <c r="B93" s="653" t="str">
        <f>'Budget-合并'!B93</f>
        <v>住宿费</v>
      </c>
      <c r="C93" s="673" t="str">
        <f>'Budget-合并'!C93</f>
        <v>Travel Lodging</v>
      </c>
      <c r="D93" s="676">
        <f t="shared" si="18"/>
        <v>0</v>
      </c>
      <c r="F93" s="676">
        <f t="shared" ca="1" si="19"/>
        <v>0</v>
      </c>
      <c r="H93" s="676">
        <f t="shared" ref="H93:S93" si="30">SUM(H94:H96)</f>
        <v>0</v>
      </c>
      <c r="I93" s="676">
        <f t="shared" si="30"/>
        <v>0</v>
      </c>
      <c r="J93" s="676">
        <f t="shared" si="30"/>
        <v>0</v>
      </c>
      <c r="K93" s="676">
        <f t="shared" si="30"/>
        <v>0</v>
      </c>
      <c r="L93" s="676">
        <f t="shared" si="30"/>
        <v>0</v>
      </c>
      <c r="M93" s="676">
        <f t="shared" si="30"/>
        <v>0</v>
      </c>
      <c r="N93" s="676">
        <f t="shared" si="30"/>
        <v>0</v>
      </c>
      <c r="O93" s="676">
        <f t="shared" si="30"/>
        <v>0</v>
      </c>
      <c r="P93" s="676">
        <f t="shared" si="30"/>
        <v>0</v>
      </c>
      <c r="Q93" s="676">
        <f t="shared" si="30"/>
        <v>0</v>
      </c>
      <c r="R93" s="676">
        <f t="shared" si="30"/>
        <v>0</v>
      </c>
      <c r="S93" s="676">
        <f t="shared" si="30"/>
        <v>0</v>
      </c>
      <c r="T93" s="676">
        <f t="shared" si="28"/>
        <v>0</v>
      </c>
    </row>
    <row r="94" spans="1:20" ht="11.1" customHeight="1">
      <c r="A94" s="653">
        <f>'Budget-合并'!A94</f>
        <v>0</v>
      </c>
      <c r="B94" s="653" t="str">
        <f>'Budget-合并'!B94</f>
        <v xml:space="preserve">    公司主体03</v>
      </c>
      <c r="C94" s="673" t="str">
        <f>'Budget-合并'!C94</f>
        <v xml:space="preserve">   Entity</v>
      </c>
      <c r="D94" s="676">
        <f t="shared" si="18"/>
        <v>0</v>
      </c>
      <c r="F94" s="676">
        <f t="shared" ca="1" si="19"/>
        <v>0</v>
      </c>
      <c r="H94" s="676"/>
      <c r="I94" s="676"/>
      <c r="J94" s="676"/>
      <c r="K94" s="676"/>
      <c r="L94" s="676"/>
      <c r="M94" s="676"/>
      <c r="N94" s="676"/>
      <c r="O94" s="676"/>
      <c r="P94" s="676"/>
      <c r="Q94" s="676"/>
      <c r="R94" s="676"/>
      <c r="S94" s="676"/>
      <c r="T94" s="676">
        <f t="shared" si="28"/>
        <v>0</v>
      </c>
    </row>
    <row r="95" spans="1:20" ht="11.1" customHeight="1">
      <c r="A95" s="653">
        <f>'Budget-合并'!A95</f>
        <v>0</v>
      </c>
      <c r="B95" s="653" t="str">
        <f>'Budget-合并'!B95</f>
        <v xml:space="preserve">    旭智富能03</v>
      </c>
      <c r="C95" s="673" t="str">
        <f>'Budget-合并'!C95</f>
        <v xml:space="preserve">   Foxpower</v>
      </c>
      <c r="D95" s="676">
        <f t="shared" si="18"/>
        <v>0</v>
      </c>
      <c r="F95" s="676">
        <f t="shared" ca="1" si="19"/>
        <v>0</v>
      </c>
      <c r="H95" s="676"/>
      <c r="I95" s="676"/>
      <c r="J95" s="676"/>
      <c r="K95" s="676"/>
      <c r="L95" s="676"/>
      <c r="M95" s="676"/>
      <c r="N95" s="676"/>
      <c r="O95" s="676"/>
      <c r="P95" s="676"/>
      <c r="Q95" s="676"/>
      <c r="R95" s="676"/>
      <c r="S95" s="676"/>
      <c r="T95" s="676">
        <f t="shared" si="28"/>
        <v>0</v>
      </c>
    </row>
    <row r="96" spans="1:20" ht="11.1" customHeight="1">
      <c r="A96" s="653">
        <f>'Budget-合并'!A96</f>
        <v>0</v>
      </c>
      <c r="B96" s="653" t="str">
        <f>'Budget-合并'!B96</f>
        <v xml:space="preserve">    其他项目03</v>
      </c>
      <c r="C96" s="673" t="str">
        <f>'Budget-合并'!C96</f>
        <v xml:space="preserve">   Other project</v>
      </c>
      <c r="D96" s="676">
        <f t="shared" si="18"/>
        <v>0</v>
      </c>
      <c r="F96" s="676">
        <f t="shared" ca="1" si="19"/>
        <v>0</v>
      </c>
      <c r="H96" s="676"/>
      <c r="I96" s="676"/>
      <c r="J96" s="676"/>
      <c r="K96" s="676"/>
      <c r="L96" s="676"/>
      <c r="M96" s="676"/>
      <c r="N96" s="676"/>
      <c r="O96" s="676"/>
      <c r="P96" s="676"/>
      <c r="Q96" s="676"/>
      <c r="R96" s="676"/>
      <c r="S96" s="676"/>
      <c r="T96" s="676">
        <f t="shared" si="28"/>
        <v>0</v>
      </c>
    </row>
    <row r="97" spans="1:20" ht="11.1" customHeight="1">
      <c r="A97" s="653" t="str">
        <f>'Budget-合并'!A97</f>
        <v>6602.09.02</v>
      </c>
      <c r="B97" s="653" t="str">
        <f>'Budget-合并'!B97</f>
        <v>伙食费</v>
      </c>
      <c r="C97" s="673">
        <f>'Budget-合并'!C97</f>
        <v>0</v>
      </c>
      <c r="D97" s="676">
        <f t="shared" si="18"/>
        <v>0</v>
      </c>
      <c r="F97" s="676">
        <f t="shared" ca="1" si="19"/>
        <v>0</v>
      </c>
      <c r="H97" s="676">
        <f t="shared" ref="H97:S97" si="31">SUM(H98:H100)</f>
        <v>0</v>
      </c>
      <c r="I97" s="676">
        <f t="shared" si="31"/>
        <v>0</v>
      </c>
      <c r="J97" s="676">
        <f t="shared" si="31"/>
        <v>0</v>
      </c>
      <c r="K97" s="676">
        <f t="shared" si="31"/>
        <v>0</v>
      </c>
      <c r="L97" s="676">
        <f t="shared" si="31"/>
        <v>0</v>
      </c>
      <c r="M97" s="676">
        <f t="shared" si="31"/>
        <v>0</v>
      </c>
      <c r="N97" s="676">
        <f t="shared" si="31"/>
        <v>0</v>
      </c>
      <c r="O97" s="676">
        <f t="shared" si="31"/>
        <v>0</v>
      </c>
      <c r="P97" s="676">
        <f t="shared" si="31"/>
        <v>0</v>
      </c>
      <c r="Q97" s="676">
        <f t="shared" si="31"/>
        <v>0</v>
      </c>
      <c r="R97" s="676">
        <f t="shared" si="31"/>
        <v>0</v>
      </c>
      <c r="S97" s="676">
        <f t="shared" si="31"/>
        <v>0</v>
      </c>
      <c r="T97" s="676">
        <f t="shared" si="28"/>
        <v>0</v>
      </c>
    </row>
    <row r="98" spans="1:20" ht="11.1" customHeight="1">
      <c r="A98" s="653">
        <f>'Budget-合并'!A98</f>
        <v>0</v>
      </c>
      <c r="B98" s="653" t="str">
        <f>'Budget-合并'!B98</f>
        <v xml:space="preserve">    公司主体04</v>
      </c>
      <c r="C98" s="673" t="str">
        <f>'Budget-合并'!C98</f>
        <v xml:space="preserve">   Entity</v>
      </c>
      <c r="D98" s="676">
        <f t="shared" si="18"/>
        <v>0</v>
      </c>
      <c r="F98" s="676">
        <f t="shared" ca="1" si="19"/>
        <v>0</v>
      </c>
      <c r="H98" s="676"/>
      <c r="I98" s="676"/>
      <c r="J98" s="676"/>
      <c r="K98" s="676"/>
      <c r="L98" s="676"/>
      <c r="M98" s="676"/>
      <c r="N98" s="676"/>
      <c r="O98" s="676"/>
      <c r="P98" s="676"/>
      <c r="Q98" s="676"/>
      <c r="R98" s="676"/>
      <c r="S98" s="676"/>
      <c r="T98" s="676">
        <f t="shared" si="28"/>
        <v>0</v>
      </c>
    </row>
    <row r="99" spans="1:20" ht="11.1" customHeight="1">
      <c r="A99" s="653">
        <f>'Budget-合并'!A99</f>
        <v>0</v>
      </c>
      <c r="B99" s="653" t="str">
        <f>'Budget-合并'!B99</f>
        <v xml:space="preserve">    旭智富能04</v>
      </c>
      <c r="C99" s="673" t="str">
        <f>'Budget-合并'!C99</f>
        <v xml:space="preserve">   Foxpower</v>
      </c>
      <c r="D99" s="676">
        <f t="shared" si="18"/>
        <v>0</v>
      </c>
      <c r="F99" s="676">
        <f t="shared" ca="1" si="19"/>
        <v>0</v>
      </c>
      <c r="H99" s="676"/>
      <c r="I99" s="676"/>
      <c r="J99" s="676"/>
      <c r="K99" s="676"/>
      <c r="L99" s="676"/>
      <c r="M99" s="676"/>
      <c r="N99" s="676"/>
      <c r="O99" s="676"/>
      <c r="P99" s="676"/>
      <c r="Q99" s="676"/>
      <c r="R99" s="676"/>
      <c r="S99" s="676"/>
      <c r="T99" s="676">
        <f t="shared" si="28"/>
        <v>0</v>
      </c>
    </row>
    <row r="100" spans="1:20" ht="11.1" customHeight="1">
      <c r="A100" s="653">
        <f>'Budget-合并'!A100</f>
        <v>0</v>
      </c>
      <c r="B100" s="653" t="str">
        <f>'Budget-合并'!B100</f>
        <v xml:space="preserve">    其他项目04</v>
      </c>
      <c r="C100" s="673" t="str">
        <f>'Budget-合并'!C100</f>
        <v xml:space="preserve">   Other project</v>
      </c>
      <c r="D100" s="676">
        <f t="shared" si="18"/>
        <v>0</v>
      </c>
      <c r="F100" s="676">
        <f t="shared" ca="1" si="19"/>
        <v>0</v>
      </c>
      <c r="H100" s="676"/>
      <c r="I100" s="676"/>
      <c r="J100" s="676"/>
      <c r="K100" s="676"/>
      <c r="L100" s="676"/>
      <c r="M100" s="676"/>
      <c r="N100" s="676"/>
      <c r="O100" s="676"/>
      <c r="P100" s="676"/>
      <c r="Q100" s="676"/>
      <c r="R100" s="676"/>
      <c r="S100" s="676"/>
      <c r="T100" s="676">
        <f t="shared" si="28"/>
        <v>0</v>
      </c>
    </row>
    <row r="101" spans="1:20" ht="11.1" customHeight="1">
      <c r="A101" s="653" t="str">
        <f>'Budget-合并'!A101</f>
        <v>6602.09.03</v>
      </c>
      <c r="B101" s="653" t="str">
        <f>'Budget-合并'!B101</f>
        <v>地面交通费</v>
      </c>
      <c r="C101" s="673" t="str">
        <f>'Budget-合并'!C101</f>
        <v>Travel Ground Transport - Outstation</v>
      </c>
      <c r="D101" s="676">
        <f t="shared" si="18"/>
        <v>0</v>
      </c>
      <c r="F101" s="676">
        <f t="shared" ca="1" si="19"/>
        <v>0</v>
      </c>
      <c r="H101" s="676">
        <f t="shared" ref="H101:S101" si="32">SUM(H102:H104)</f>
        <v>0</v>
      </c>
      <c r="I101" s="676">
        <f t="shared" si="32"/>
        <v>0</v>
      </c>
      <c r="J101" s="676">
        <f t="shared" si="32"/>
        <v>0</v>
      </c>
      <c r="K101" s="676">
        <f t="shared" si="32"/>
        <v>0</v>
      </c>
      <c r="L101" s="676">
        <f t="shared" si="32"/>
        <v>0</v>
      </c>
      <c r="M101" s="676">
        <f t="shared" si="32"/>
        <v>0</v>
      </c>
      <c r="N101" s="676">
        <f t="shared" si="32"/>
        <v>0</v>
      </c>
      <c r="O101" s="676">
        <f t="shared" si="32"/>
        <v>0</v>
      </c>
      <c r="P101" s="676">
        <f t="shared" si="32"/>
        <v>0</v>
      </c>
      <c r="Q101" s="676">
        <f t="shared" si="32"/>
        <v>0</v>
      </c>
      <c r="R101" s="676">
        <f t="shared" si="32"/>
        <v>0</v>
      </c>
      <c r="S101" s="676">
        <f t="shared" si="32"/>
        <v>0</v>
      </c>
      <c r="T101" s="676">
        <f t="shared" si="28"/>
        <v>0</v>
      </c>
    </row>
    <row r="102" spans="1:20" ht="11.1" customHeight="1">
      <c r="A102" s="653">
        <f>'Budget-合并'!A102</f>
        <v>0</v>
      </c>
      <c r="B102" s="653" t="str">
        <f>'Budget-合并'!B102</f>
        <v xml:space="preserve">    公司主体05</v>
      </c>
      <c r="C102" s="673" t="str">
        <f>'Budget-合并'!C102</f>
        <v xml:space="preserve">   Entity</v>
      </c>
      <c r="D102" s="676">
        <f t="shared" si="18"/>
        <v>0</v>
      </c>
      <c r="F102" s="676">
        <f t="shared" ca="1" si="19"/>
        <v>0</v>
      </c>
      <c r="H102" s="676"/>
      <c r="I102" s="676"/>
      <c r="J102" s="676"/>
      <c r="K102" s="676"/>
      <c r="L102" s="676"/>
      <c r="M102" s="676"/>
      <c r="N102" s="676"/>
      <c r="O102" s="676"/>
      <c r="P102" s="676"/>
      <c r="Q102" s="676"/>
      <c r="R102" s="676"/>
      <c r="S102" s="676"/>
      <c r="T102" s="676">
        <f t="shared" si="28"/>
        <v>0</v>
      </c>
    </row>
    <row r="103" spans="1:20" ht="11.1" customHeight="1">
      <c r="A103" s="653">
        <f>'Budget-合并'!A103</f>
        <v>0</v>
      </c>
      <c r="B103" s="653" t="str">
        <f>'Budget-合并'!B103</f>
        <v xml:space="preserve">    旭智富能05</v>
      </c>
      <c r="C103" s="673" t="str">
        <f>'Budget-合并'!C103</f>
        <v xml:space="preserve">   Foxpower</v>
      </c>
      <c r="D103" s="676">
        <f t="shared" si="18"/>
        <v>0</v>
      </c>
      <c r="F103" s="676">
        <f t="shared" ca="1" si="19"/>
        <v>0</v>
      </c>
      <c r="H103" s="676"/>
      <c r="I103" s="676"/>
      <c r="J103" s="676"/>
      <c r="K103" s="676"/>
      <c r="L103" s="676"/>
      <c r="M103" s="676"/>
      <c r="N103" s="676"/>
      <c r="O103" s="676"/>
      <c r="P103" s="676"/>
      <c r="Q103" s="676"/>
      <c r="R103" s="676"/>
      <c r="S103" s="676"/>
      <c r="T103" s="676">
        <f t="shared" si="28"/>
        <v>0</v>
      </c>
    </row>
    <row r="104" spans="1:20" ht="11.1" customHeight="1">
      <c r="A104" s="653">
        <f>'Budget-合并'!A104</f>
        <v>0</v>
      </c>
      <c r="B104" s="653" t="str">
        <f>'Budget-合并'!B104</f>
        <v xml:space="preserve">    其他项目05</v>
      </c>
      <c r="C104" s="673" t="str">
        <f>'Budget-合并'!C104</f>
        <v xml:space="preserve">   Other project</v>
      </c>
      <c r="D104" s="676">
        <f t="shared" si="18"/>
        <v>0</v>
      </c>
      <c r="F104" s="676">
        <f t="shared" ca="1" si="19"/>
        <v>0</v>
      </c>
      <c r="H104" s="676"/>
      <c r="I104" s="676"/>
      <c r="J104" s="676"/>
      <c r="K104" s="676"/>
      <c r="L104" s="676"/>
      <c r="M104" s="676"/>
      <c r="N104" s="676"/>
      <c r="O104" s="676"/>
      <c r="P104" s="676"/>
      <c r="Q104" s="676"/>
      <c r="R104" s="676"/>
      <c r="S104" s="676"/>
      <c r="T104" s="676">
        <f t="shared" si="28"/>
        <v>0</v>
      </c>
    </row>
    <row r="105" spans="1:20" ht="11.1" customHeight="1">
      <c r="A105" s="653" t="str">
        <f>'Budget-合并'!A105</f>
        <v>6602.09.04</v>
      </c>
      <c r="B105" s="653" t="str">
        <f>'Budget-合并'!B105</f>
        <v>空中交通费</v>
      </c>
      <c r="C105" s="673" t="str">
        <f>'Budget-合并'!C105</f>
        <v>Travel Air Transport</v>
      </c>
      <c r="D105" s="676">
        <f t="shared" si="18"/>
        <v>0</v>
      </c>
      <c r="F105" s="676">
        <f t="shared" ca="1" si="19"/>
        <v>0</v>
      </c>
      <c r="H105" s="676">
        <f t="shared" ref="H105:S105" si="33">SUM(H106:H108)</f>
        <v>0</v>
      </c>
      <c r="I105" s="676">
        <f t="shared" si="33"/>
        <v>0</v>
      </c>
      <c r="J105" s="676">
        <f t="shared" si="33"/>
        <v>0</v>
      </c>
      <c r="K105" s="676">
        <f t="shared" si="33"/>
        <v>0</v>
      </c>
      <c r="L105" s="676">
        <f t="shared" si="33"/>
        <v>0</v>
      </c>
      <c r="M105" s="676">
        <f t="shared" si="33"/>
        <v>0</v>
      </c>
      <c r="N105" s="676">
        <f t="shared" si="33"/>
        <v>0</v>
      </c>
      <c r="O105" s="676">
        <f t="shared" si="33"/>
        <v>0</v>
      </c>
      <c r="P105" s="676">
        <f t="shared" si="33"/>
        <v>0</v>
      </c>
      <c r="Q105" s="676">
        <f t="shared" si="33"/>
        <v>0</v>
      </c>
      <c r="R105" s="676">
        <f t="shared" si="33"/>
        <v>0</v>
      </c>
      <c r="S105" s="676">
        <f t="shared" si="33"/>
        <v>0</v>
      </c>
      <c r="T105" s="676">
        <f t="shared" si="28"/>
        <v>0</v>
      </c>
    </row>
    <row r="106" spans="1:20" ht="11.1" customHeight="1">
      <c r="A106" s="653">
        <f>'Budget-合并'!A106</f>
        <v>0</v>
      </c>
      <c r="B106" s="653" t="str">
        <f>'Budget-合并'!B106</f>
        <v xml:space="preserve">    公司主体06</v>
      </c>
      <c r="C106" s="673" t="str">
        <f>'Budget-合并'!C106</f>
        <v xml:space="preserve">   Entity</v>
      </c>
      <c r="D106" s="676">
        <f t="shared" si="18"/>
        <v>0</v>
      </c>
      <c r="F106" s="676">
        <f t="shared" ca="1" si="19"/>
        <v>0</v>
      </c>
      <c r="H106" s="676"/>
      <c r="I106" s="676"/>
      <c r="J106" s="676"/>
      <c r="K106" s="676"/>
      <c r="L106" s="676"/>
      <c r="M106" s="676"/>
      <c r="N106" s="676"/>
      <c r="O106" s="676"/>
      <c r="P106" s="676"/>
      <c r="Q106" s="676"/>
      <c r="R106" s="676"/>
      <c r="S106" s="676"/>
      <c r="T106" s="676">
        <f t="shared" si="28"/>
        <v>0</v>
      </c>
    </row>
    <row r="107" spans="1:20" ht="11.1" customHeight="1">
      <c r="A107" s="653">
        <f>'Budget-合并'!A107</f>
        <v>0</v>
      </c>
      <c r="B107" s="653" t="str">
        <f>'Budget-合并'!B107</f>
        <v xml:space="preserve">    旭智富能06</v>
      </c>
      <c r="C107" s="673" t="str">
        <f>'Budget-合并'!C107</f>
        <v xml:space="preserve">   Foxpower</v>
      </c>
      <c r="D107" s="676">
        <f t="shared" si="18"/>
        <v>0</v>
      </c>
      <c r="F107" s="676">
        <f t="shared" ca="1" si="19"/>
        <v>0</v>
      </c>
      <c r="H107" s="676"/>
      <c r="I107" s="676"/>
      <c r="J107" s="676"/>
      <c r="K107" s="676"/>
      <c r="L107" s="676"/>
      <c r="M107" s="676"/>
      <c r="N107" s="676"/>
      <c r="O107" s="676"/>
      <c r="P107" s="676"/>
      <c r="Q107" s="676"/>
      <c r="R107" s="676"/>
      <c r="S107" s="676"/>
      <c r="T107" s="676">
        <f t="shared" si="28"/>
        <v>0</v>
      </c>
    </row>
    <row r="108" spans="1:20" ht="11.1" customHeight="1">
      <c r="A108" s="653">
        <f>'Budget-合并'!A108</f>
        <v>0</v>
      </c>
      <c r="B108" s="653" t="str">
        <f>'Budget-合并'!B108</f>
        <v xml:space="preserve">    其他项目06</v>
      </c>
      <c r="C108" s="673" t="str">
        <f>'Budget-合并'!C108</f>
        <v xml:space="preserve">   Other project</v>
      </c>
      <c r="D108" s="676">
        <f t="shared" ref="D108:D153" si="34">INDEX($H$8:$S$8,1,MATCH($D$6,$H$6:$S$6))</f>
        <v>0</v>
      </c>
      <c r="F108" s="676">
        <f t="shared" ref="F108:F153" ca="1" si="35">SUM($H108:OFFSET($H108,0,MATCH(F$6,$H$6:$S$6)-1))</f>
        <v>0</v>
      </c>
      <c r="H108" s="676"/>
      <c r="I108" s="676"/>
      <c r="J108" s="676"/>
      <c r="K108" s="676"/>
      <c r="L108" s="676"/>
      <c r="M108" s="676"/>
      <c r="N108" s="676"/>
      <c r="O108" s="676"/>
      <c r="P108" s="676"/>
      <c r="Q108" s="676"/>
      <c r="R108" s="676"/>
      <c r="S108" s="676"/>
      <c r="T108" s="676">
        <f t="shared" si="28"/>
        <v>0</v>
      </c>
    </row>
    <row r="109" spans="1:20" ht="11.1" customHeight="1">
      <c r="A109" s="653" t="str">
        <f>'Budget-合并'!A109</f>
        <v>6602.09.05</v>
      </c>
      <c r="B109" s="653" t="str">
        <f>'Budget-合并'!B109</f>
        <v>租车</v>
      </c>
      <c r="C109" s="673">
        <f>'Budget-合并'!C109</f>
        <v>0</v>
      </c>
      <c r="D109" s="676">
        <f t="shared" si="34"/>
        <v>0</v>
      </c>
      <c r="F109" s="676">
        <f t="shared" ca="1" si="35"/>
        <v>0</v>
      </c>
      <c r="H109" s="676">
        <f t="shared" ref="H109:S109" si="36">SUM(H110:H112)</f>
        <v>0</v>
      </c>
      <c r="I109" s="676">
        <f t="shared" si="36"/>
        <v>0</v>
      </c>
      <c r="J109" s="676">
        <f t="shared" si="36"/>
        <v>0</v>
      </c>
      <c r="K109" s="676">
        <f t="shared" si="36"/>
        <v>0</v>
      </c>
      <c r="L109" s="676">
        <f t="shared" si="36"/>
        <v>0</v>
      </c>
      <c r="M109" s="676">
        <f t="shared" si="36"/>
        <v>0</v>
      </c>
      <c r="N109" s="676">
        <f t="shared" si="36"/>
        <v>0</v>
      </c>
      <c r="O109" s="676">
        <f t="shared" si="36"/>
        <v>0</v>
      </c>
      <c r="P109" s="676">
        <f t="shared" si="36"/>
        <v>0</v>
      </c>
      <c r="Q109" s="676">
        <f t="shared" si="36"/>
        <v>0</v>
      </c>
      <c r="R109" s="676">
        <f t="shared" si="36"/>
        <v>0</v>
      </c>
      <c r="S109" s="676">
        <f t="shared" si="36"/>
        <v>0</v>
      </c>
      <c r="T109" s="676">
        <f t="shared" si="28"/>
        <v>0</v>
      </c>
    </row>
    <row r="110" spans="1:20" ht="11.1" customHeight="1">
      <c r="A110" s="653">
        <f>'Budget-合并'!A110</f>
        <v>0</v>
      </c>
      <c r="B110" s="653" t="str">
        <f>'Budget-合并'!B110</f>
        <v xml:space="preserve">    公司主体07</v>
      </c>
      <c r="C110" s="673" t="str">
        <f>'Budget-合并'!C110</f>
        <v xml:space="preserve">   Entity</v>
      </c>
      <c r="D110" s="676">
        <f t="shared" si="34"/>
        <v>0</v>
      </c>
      <c r="F110" s="676">
        <f t="shared" ca="1" si="35"/>
        <v>0</v>
      </c>
      <c r="H110" s="676"/>
      <c r="I110" s="676"/>
      <c r="J110" s="676"/>
      <c r="K110" s="676"/>
      <c r="L110" s="676"/>
      <c r="M110" s="676"/>
      <c r="N110" s="676"/>
      <c r="O110" s="676"/>
      <c r="P110" s="676"/>
      <c r="Q110" s="676"/>
      <c r="R110" s="676"/>
      <c r="S110" s="676"/>
      <c r="T110" s="676">
        <f t="shared" si="28"/>
        <v>0</v>
      </c>
    </row>
    <row r="111" spans="1:20" ht="11.1" customHeight="1">
      <c r="A111" s="653">
        <f>'Budget-合并'!A111</f>
        <v>0</v>
      </c>
      <c r="B111" s="653" t="str">
        <f>'Budget-合并'!B111</f>
        <v xml:space="preserve">    旭智富能07</v>
      </c>
      <c r="C111" s="673" t="str">
        <f>'Budget-合并'!C111</f>
        <v xml:space="preserve">   Foxpower</v>
      </c>
      <c r="D111" s="676">
        <f t="shared" si="34"/>
        <v>0</v>
      </c>
      <c r="F111" s="676">
        <f t="shared" ca="1" si="35"/>
        <v>0</v>
      </c>
      <c r="H111" s="676"/>
      <c r="I111" s="676"/>
      <c r="J111" s="676"/>
      <c r="K111" s="676"/>
      <c r="L111" s="676"/>
      <c r="M111" s="676"/>
      <c r="N111" s="676"/>
      <c r="O111" s="676"/>
      <c r="P111" s="676"/>
      <c r="Q111" s="676"/>
      <c r="R111" s="676"/>
      <c r="S111" s="676"/>
      <c r="T111" s="676">
        <f t="shared" si="28"/>
        <v>0</v>
      </c>
    </row>
    <row r="112" spans="1:20" ht="11.1" customHeight="1">
      <c r="A112" s="653">
        <f>'Budget-合并'!A112</f>
        <v>0</v>
      </c>
      <c r="B112" s="653" t="str">
        <f>'Budget-合并'!B112</f>
        <v xml:space="preserve">    其他项目07</v>
      </c>
      <c r="C112" s="673" t="str">
        <f>'Budget-合并'!C112</f>
        <v xml:space="preserve">   Other project</v>
      </c>
      <c r="D112" s="676">
        <f t="shared" si="34"/>
        <v>0</v>
      </c>
      <c r="F112" s="676">
        <f t="shared" ca="1" si="35"/>
        <v>0</v>
      </c>
      <c r="H112" s="676"/>
      <c r="I112" s="676"/>
      <c r="J112" s="676"/>
      <c r="K112" s="676"/>
      <c r="L112" s="676"/>
      <c r="M112" s="676"/>
      <c r="N112" s="676"/>
      <c r="O112" s="676"/>
      <c r="P112" s="676"/>
      <c r="Q112" s="676"/>
      <c r="R112" s="676"/>
      <c r="S112" s="676"/>
      <c r="T112" s="676">
        <f t="shared" si="28"/>
        <v>0</v>
      </c>
    </row>
    <row r="113" spans="1:20" ht="11.1" customHeight="1">
      <c r="A113" s="653" t="str">
        <f>'Budget-合并'!A113</f>
        <v>6602.09.06</v>
      </c>
      <c r="B113" s="653" t="str">
        <f>'Budget-合并'!B113</f>
        <v>其他汽车费用</v>
      </c>
      <c r="C113" s="673">
        <f>'Budget-合并'!C113</f>
        <v>0</v>
      </c>
      <c r="D113" s="676">
        <f t="shared" si="34"/>
        <v>0</v>
      </c>
      <c r="F113" s="676">
        <f t="shared" ca="1" si="35"/>
        <v>0</v>
      </c>
      <c r="H113" s="676">
        <f t="shared" ref="H113:S113" si="37">SUM(H114:H116)</f>
        <v>0</v>
      </c>
      <c r="I113" s="676">
        <f t="shared" si="37"/>
        <v>0</v>
      </c>
      <c r="J113" s="676">
        <f t="shared" si="37"/>
        <v>0</v>
      </c>
      <c r="K113" s="676">
        <f t="shared" si="37"/>
        <v>0</v>
      </c>
      <c r="L113" s="676">
        <f t="shared" si="37"/>
        <v>0</v>
      </c>
      <c r="M113" s="676">
        <f t="shared" si="37"/>
        <v>0</v>
      </c>
      <c r="N113" s="676">
        <f t="shared" si="37"/>
        <v>0</v>
      </c>
      <c r="O113" s="676">
        <f t="shared" si="37"/>
        <v>0</v>
      </c>
      <c r="P113" s="676">
        <f t="shared" si="37"/>
        <v>0</v>
      </c>
      <c r="Q113" s="676">
        <f t="shared" si="37"/>
        <v>0</v>
      </c>
      <c r="R113" s="676">
        <f t="shared" si="37"/>
        <v>0</v>
      </c>
      <c r="S113" s="676">
        <f t="shared" si="37"/>
        <v>0</v>
      </c>
      <c r="T113" s="676">
        <f t="shared" si="28"/>
        <v>0</v>
      </c>
    </row>
    <row r="114" spans="1:20" ht="11.1" customHeight="1">
      <c r="A114" s="653">
        <f>'Budget-合并'!A114</f>
        <v>0</v>
      </c>
      <c r="B114" s="653" t="str">
        <f>'Budget-合并'!B114</f>
        <v xml:space="preserve">    公司主体08</v>
      </c>
      <c r="C114" s="673" t="str">
        <f>'Budget-合并'!C114</f>
        <v xml:space="preserve">   Entity</v>
      </c>
      <c r="D114" s="676">
        <f t="shared" si="34"/>
        <v>0</v>
      </c>
      <c r="F114" s="676">
        <f t="shared" ca="1" si="35"/>
        <v>0</v>
      </c>
      <c r="H114" s="676"/>
      <c r="I114" s="676"/>
      <c r="J114" s="676"/>
      <c r="K114" s="676"/>
      <c r="L114" s="676"/>
      <c r="M114" s="676"/>
      <c r="N114" s="676"/>
      <c r="O114" s="676"/>
      <c r="P114" s="676"/>
      <c r="Q114" s="676"/>
      <c r="R114" s="676"/>
      <c r="S114" s="676"/>
      <c r="T114" s="676">
        <f t="shared" si="28"/>
        <v>0</v>
      </c>
    </row>
    <row r="115" spans="1:20" ht="11.1" customHeight="1">
      <c r="A115" s="653">
        <f>'Budget-合并'!A115</f>
        <v>0</v>
      </c>
      <c r="B115" s="653" t="str">
        <f>'Budget-合并'!B115</f>
        <v xml:space="preserve">    旭智富能08</v>
      </c>
      <c r="C115" s="673" t="str">
        <f>'Budget-合并'!C115</f>
        <v xml:space="preserve">   Foxpower</v>
      </c>
      <c r="D115" s="676">
        <f t="shared" si="34"/>
        <v>0</v>
      </c>
      <c r="F115" s="676">
        <f t="shared" ca="1" si="35"/>
        <v>0</v>
      </c>
      <c r="H115" s="676"/>
      <c r="I115" s="676"/>
      <c r="J115" s="676"/>
      <c r="K115" s="676"/>
      <c r="L115" s="676"/>
      <c r="M115" s="676"/>
      <c r="N115" s="676"/>
      <c r="O115" s="676"/>
      <c r="P115" s="676"/>
      <c r="Q115" s="676"/>
      <c r="R115" s="676"/>
      <c r="S115" s="676"/>
      <c r="T115" s="676">
        <f t="shared" si="28"/>
        <v>0</v>
      </c>
    </row>
    <row r="116" spans="1:20" ht="11.1" customHeight="1">
      <c r="A116" s="653">
        <f>'Budget-合并'!A116</f>
        <v>0</v>
      </c>
      <c r="B116" s="653" t="str">
        <f>'Budget-合并'!B116</f>
        <v xml:space="preserve">    其他项目08</v>
      </c>
      <c r="C116" s="673" t="str">
        <f>'Budget-合并'!C116</f>
        <v xml:space="preserve">   Other project</v>
      </c>
      <c r="D116" s="676">
        <f t="shared" si="34"/>
        <v>0</v>
      </c>
      <c r="F116" s="676">
        <f t="shared" ca="1" si="35"/>
        <v>0</v>
      </c>
      <c r="H116" s="676"/>
      <c r="I116" s="676"/>
      <c r="J116" s="676"/>
      <c r="K116" s="676"/>
      <c r="L116" s="676"/>
      <c r="M116" s="676"/>
      <c r="N116" s="676"/>
      <c r="O116" s="676"/>
      <c r="P116" s="676"/>
      <c r="Q116" s="676"/>
      <c r="R116" s="676"/>
      <c r="S116" s="676"/>
      <c r="T116" s="676">
        <f t="shared" si="28"/>
        <v>0</v>
      </c>
    </row>
    <row r="117" spans="1:20" ht="11.1" customHeight="1">
      <c r="A117" s="653" t="str">
        <f>'Budget-合并'!A117</f>
        <v>6602.09.07</v>
      </c>
      <c r="B117" s="653" t="str">
        <f>'Budget-合并'!B117</f>
        <v>检测费</v>
      </c>
      <c r="C117" s="673">
        <f>'Budget-合并'!C117</f>
        <v>0</v>
      </c>
      <c r="D117" s="676">
        <f t="shared" si="34"/>
        <v>0</v>
      </c>
      <c r="F117" s="676">
        <f t="shared" ca="1" si="35"/>
        <v>0</v>
      </c>
      <c r="H117" s="676"/>
      <c r="I117" s="676"/>
      <c r="J117" s="676"/>
      <c r="K117" s="676"/>
      <c r="L117" s="676"/>
      <c r="M117" s="676"/>
      <c r="N117" s="676"/>
      <c r="O117" s="676"/>
      <c r="P117" s="676"/>
      <c r="Q117" s="676"/>
      <c r="R117" s="676"/>
      <c r="S117" s="676"/>
      <c r="T117" s="676">
        <f t="shared" si="28"/>
        <v>0</v>
      </c>
    </row>
    <row r="118" spans="1:20" ht="11.1" customHeight="1">
      <c r="A118" s="653" t="str">
        <f>'Budget-合并'!A118</f>
        <v>6602.09.08</v>
      </c>
      <c r="B118" s="653" t="str">
        <f>'Budget-合并'!B118</f>
        <v>退改费用（机票/火车等）</v>
      </c>
      <c r="C118" s="673">
        <f>'Budget-合并'!C118</f>
        <v>0</v>
      </c>
      <c r="D118" s="676">
        <f t="shared" si="34"/>
        <v>0</v>
      </c>
      <c r="F118" s="676">
        <f t="shared" ca="1" si="35"/>
        <v>0</v>
      </c>
      <c r="H118" s="676">
        <f t="shared" ref="H118:S118" si="38">SUM(H119:H121)</f>
        <v>0</v>
      </c>
      <c r="I118" s="676">
        <f t="shared" si="38"/>
        <v>0</v>
      </c>
      <c r="J118" s="676">
        <f t="shared" si="38"/>
        <v>0</v>
      </c>
      <c r="K118" s="676">
        <f t="shared" si="38"/>
        <v>0</v>
      </c>
      <c r="L118" s="676">
        <f t="shared" si="38"/>
        <v>0</v>
      </c>
      <c r="M118" s="676">
        <f t="shared" si="38"/>
        <v>0</v>
      </c>
      <c r="N118" s="676">
        <f t="shared" si="38"/>
        <v>0</v>
      </c>
      <c r="O118" s="676">
        <f t="shared" si="38"/>
        <v>0</v>
      </c>
      <c r="P118" s="676">
        <f t="shared" si="38"/>
        <v>0</v>
      </c>
      <c r="Q118" s="676">
        <f t="shared" si="38"/>
        <v>0</v>
      </c>
      <c r="R118" s="676">
        <f t="shared" si="38"/>
        <v>0</v>
      </c>
      <c r="S118" s="676">
        <f t="shared" si="38"/>
        <v>0</v>
      </c>
      <c r="T118" s="676">
        <f t="shared" si="28"/>
        <v>0</v>
      </c>
    </row>
    <row r="119" spans="1:20" ht="11.1" customHeight="1">
      <c r="A119" s="653">
        <f>'Budget-合并'!A119</f>
        <v>0</v>
      </c>
      <c r="B119" s="653" t="str">
        <f>'Budget-合并'!B119</f>
        <v xml:space="preserve">    公司主体09</v>
      </c>
      <c r="C119" s="673" t="str">
        <f>'Budget-合并'!C119</f>
        <v xml:space="preserve">   Entity</v>
      </c>
      <c r="D119" s="676">
        <f t="shared" si="34"/>
        <v>0</v>
      </c>
      <c r="F119" s="676">
        <f t="shared" ca="1" si="35"/>
        <v>0</v>
      </c>
      <c r="H119" s="676"/>
      <c r="I119" s="676"/>
      <c r="J119" s="676"/>
      <c r="K119" s="676"/>
      <c r="L119" s="676"/>
      <c r="M119" s="676"/>
      <c r="N119" s="676"/>
      <c r="O119" s="676"/>
      <c r="P119" s="676"/>
      <c r="Q119" s="676"/>
      <c r="R119" s="676"/>
      <c r="S119" s="676"/>
      <c r="T119" s="676">
        <f t="shared" si="28"/>
        <v>0</v>
      </c>
    </row>
    <row r="120" spans="1:20" ht="11.1" customHeight="1">
      <c r="A120" s="653">
        <f>'Budget-合并'!A120</f>
        <v>0</v>
      </c>
      <c r="B120" s="653" t="str">
        <f>'Budget-合并'!B120</f>
        <v xml:space="preserve">    旭智富能09</v>
      </c>
      <c r="C120" s="673" t="str">
        <f>'Budget-合并'!C120</f>
        <v xml:space="preserve">   Foxpower</v>
      </c>
      <c r="D120" s="676">
        <f t="shared" si="34"/>
        <v>0</v>
      </c>
      <c r="F120" s="676">
        <f t="shared" ca="1" si="35"/>
        <v>0</v>
      </c>
      <c r="H120" s="676"/>
      <c r="I120" s="676"/>
      <c r="J120" s="676"/>
      <c r="K120" s="676"/>
      <c r="L120" s="676"/>
      <c r="M120" s="676"/>
      <c r="N120" s="676"/>
      <c r="O120" s="676"/>
      <c r="P120" s="676"/>
      <c r="Q120" s="676"/>
      <c r="R120" s="676"/>
      <c r="S120" s="676"/>
      <c r="T120" s="676">
        <f t="shared" si="28"/>
        <v>0</v>
      </c>
    </row>
    <row r="121" spans="1:20" ht="11.1" customHeight="1">
      <c r="A121" s="653">
        <f>'Budget-合并'!A121</f>
        <v>0</v>
      </c>
      <c r="B121" s="653" t="str">
        <f>'Budget-合并'!B121</f>
        <v xml:space="preserve">    其他项目09</v>
      </c>
      <c r="C121" s="673" t="str">
        <f>'Budget-合并'!C121</f>
        <v xml:space="preserve">   Other project</v>
      </c>
      <c r="D121" s="676">
        <f t="shared" si="34"/>
        <v>0</v>
      </c>
      <c r="F121" s="676">
        <f t="shared" ca="1" si="35"/>
        <v>0</v>
      </c>
      <c r="H121" s="676"/>
      <c r="I121" s="676"/>
      <c r="J121" s="676"/>
      <c r="K121" s="676"/>
      <c r="L121" s="676"/>
      <c r="M121" s="676"/>
      <c r="N121" s="676"/>
      <c r="O121" s="676"/>
      <c r="P121" s="676"/>
      <c r="Q121" s="676"/>
      <c r="R121" s="676"/>
      <c r="S121" s="676"/>
      <c r="T121" s="676">
        <f t="shared" si="28"/>
        <v>0</v>
      </c>
    </row>
    <row r="122" spans="1:20" ht="11.1" customHeight="1">
      <c r="A122" s="653" t="str">
        <f>'Budget-合并'!A122</f>
        <v>6602.09.09</v>
      </c>
      <c r="B122" s="653" t="str">
        <f>'Budget-合并'!B122</f>
        <v>携程服务费</v>
      </c>
      <c r="C122" s="673">
        <f>'Budget-合并'!C122</f>
        <v>0</v>
      </c>
      <c r="D122" s="676">
        <f t="shared" si="34"/>
        <v>0</v>
      </c>
      <c r="F122" s="676">
        <f t="shared" ca="1" si="35"/>
        <v>0</v>
      </c>
      <c r="H122" s="676">
        <f t="shared" ref="H122:S122" si="39">SUM(H123:H125)</f>
        <v>0</v>
      </c>
      <c r="I122" s="676">
        <f t="shared" si="39"/>
        <v>0</v>
      </c>
      <c r="J122" s="676">
        <f t="shared" si="39"/>
        <v>0</v>
      </c>
      <c r="K122" s="676">
        <f t="shared" si="39"/>
        <v>0</v>
      </c>
      <c r="L122" s="676">
        <f t="shared" si="39"/>
        <v>0</v>
      </c>
      <c r="M122" s="676">
        <f t="shared" si="39"/>
        <v>0</v>
      </c>
      <c r="N122" s="676">
        <f t="shared" si="39"/>
        <v>0</v>
      </c>
      <c r="O122" s="676">
        <f t="shared" si="39"/>
        <v>0</v>
      </c>
      <c r="P122" s="676">
        <f t="shared" si="39"/>
        <v>0</v>
      </c>
      <c r="Q122" s="676">
        <f t="shared" si="39"/>
        <v>0</v>
      </c>
      <c r="R122" s="676">
        <f t="shared" si="39"/>
        <v>0</v>
      </c>
      <c r="S122" s="676">
        <f t="shared" si="39"/>
        <v>0</v>
      </c>
      <c r="T122" s="676">
        <f t="shared" si="28"/>
        <v>0</v>
      </c>
    </row>
    <row r="123" spans="1:20" ht="11.1" customHeight="1">
      <c r="A123" s="653">
        <f>'Budget-合并'!A123</f>
        <v>0</v>
      </c>
      <c r="B123" s="653" t="str">
        <f>'Budget-合并'!B123</f>
        <v xml:space="preserve">    公司主体10</v>
      </c>
      <c r="C123" s="673" t="str">
        <f>'Budget-合并'!C123</f>
        <v xml:space="preserve">   Entity</v>
      </c>
      <c r="D123" s="676">
        <f t="shared" si="34"/>
        <v>0</v>
      </c>
      <c r="F123" s="676">
        <f t="shared" ca="1" si="35"/>
        <v>0</v>
      </c>
      <c r="H123" s="676"/>
      <c r="I123" s="676"/>
      <c r="J123" s="676"/>
      <c r="K123" s="676"/>
      <c r="L123" s="676"/>
      <c r="M123" s="676"/>
      <c r="N123" s="676"/>
      <c r="O123" s="676"/>
      <c r="P123" s="676"/>
      <c r="Q123" s="676"/>
      <c r="R123" s="676"/>
      <c r="S123" s="676"/>
      <c r="T123" s="676">
        <f t="shared" si="28"/>
        <v>0</v>
      </c>
    </row>
    <row r="124" spans="1:20" ht="11.1" customHeight="1">
      <c r="A124" s="653">
        <f>'Budget-合并'!A124</f>
        <v>0</v>
      </c>
      <c r="B124" s="653" t="str">
        <f>'Budget-合并'!B124</f>
        <v xml:space="preserve">    旭智富能10</v>
      </c>
      <c r="C124" s="673" t="str">
        <f>'Budget-合并'!C124</f>
        <v xml:space="preserve">   Foxpower</v>
      </c>
      <c r="D124" s="676">
        <f t="shared" si="34"/>
        <v>0</v>
      </c>
      <c r="F124" s="676">
        <f t="shared" ca="1" si="35"/>
        <v>0</v>
      </c>
      <c r="H124" s="676"/>
      <c r="I124" s="676"/>
      <c r="J124" s="676"/>
      <c r="K124" s="676"/>
      <c r="L124" s="676"/>
      <c r="M124" s="676"/>
      <c r="N124" s="676"/>
      <c r="O124" s="676"/>
      <c r="P124" s="676"/>
      <c r="Q124" s="676"/>
      <c r="R124" s="676"/>
      <c r="S124" s="676"/>
      <c r="T124" s="676">
        <f t="shared" si="28"/>
        <v>0</v>
      </c>
    </row>
    <row r="125" spans="1:20" ht="11.1" customHeight="1">
      <c r="A125" s="653">
        <f>'Budget-合并'!A125</f>
        <v>0</v>
      </c>
      <c r="B125" s="653" t="str">
        <f>'Budget-合并'!B125</f>
        <v xml:space="preserve">    其他项目10</v>
      </c>
      <c r="C125" s="673" t="str">
        <f>'Budget-合并'!C125</f>
        <v xml:space="preserve">   Other project</v>
      </c>
      <c r="D125" s="676">
        <f t="shared" si="34"/>
        <v>0</v>
      </c>
      <c r="F125" s="676">
        <f t="shared" ca="1" si="35"/>
        <v>0</v>
      </c>
      <c r="H125" s="676"/>
      <c r="I125" s="676"/>
      <c r="J125" s="676"/>
      <c r="K125" s="676"/>
      <c r="L125" s="676"/>
      <c r="M125" s="676"/>
      <c r="N125" s="676"/>
      <c r="O125" s="676"/>
      <c r="P125" s="676"/>
      <c r="Q125" s="676"/>
      <c r="R125" s="676"/>
      <c r="S125" s="676"/>
      <c r="T125" s="676">
        <f t="shared" si="28"/>
        <v>0</v>
      </c>
    </row>
    <row r="126" spans="1:20" ht="11.1" customHeight="1">
      <c r="A126" s="653" t="str">
        <f>'Budget-合并'!A126</f>
        <v>6602.09.99</v>
      </c>
      <c r="B126" s="653" t="str">
        <f>'Budget-合并'!B126</f>
        <v>其他</v>
      </c>
      <c r="C126" s="673" t="str">
        <f>'Budget-合并'!C126</f>
        <v>Travel Other</v>
      </c>
      <c r="D126" s="676">
        <f t="shared" si="34"/>
        <v>0</v>
      </c>
      <c r="F126" s="676">
        <f t="shared" ca="1" si="35"/>
        <v>0</v>
      </c>
      <c r="H126" s="676"/>
      <c r="I126" s="676"/>
      <c r="J126" s="676"/>
      <c r="K126" s="676"/>
      <c r="L126" s="676"/>
      <c r="M126" s="676"/>
      <c r="N126" s="676"/>
      <c r="O126" s="676"/>
      <c r="P126" s="676"/>
      <c r="Q126" s="676"/>
      <c r="R126" s="676"/>
      <c r="S126" s="676"/>
      <c r="T126" s="676">
        <f t="shared" si="28"/>
        <v>0</v>
      </c>
    </row>
    <row r="127" spans="1:20" ht="11.1" customHeight="1">
      <c r="A127" s="663" t="str">
        <f>'Budget-合并'!A127</f>
        <v>6602.10</v>
      </c>
      <c r="B127" s="678" t="str">
        <f>'Budget-合并'!B127</f>
        <v>折旧费</v>
      </c>
      <c r="C127" s="673">
        <f>'Budget-合并'!C127</f>
        <v>0</v>
      </c>
      <c r="D127" s="676">
        <f t="shared" si="34"/>
        <v>0</v>
      </c>
      <c r="F127" s="676">
        <f t="shared" ca="1" si="35"/>
        <v>0</v>
      </c>
      <c r="H127" s="676">
        <f t="shared" ref="H127:S127" si="40">SUM(H128:H131)</f>
        <v>0</v>
      </c>
      <c r="I127" s="676">
        <f t="shared" si="40"/>
        <v>0</v>
      </c>
      <c r="J127" s="676">
        <f t="shared" si="40"/>
        <v>0</v>
      </c>
      <c r="K127" s="676">
        <f t="shared" si="40"/>
        <v>0</v>
      </c>
      <c r="L127" s="676">
        <f t="shared" si="40"/>
        <v>0</v>
      </c>
      <c r="M127" s="676">
        <f t="shared" si="40"/>
        <v>0</v>
      </c>
      <c r="N127" s="676">
        <f t="shared" si="40"/>
        <v>0</v>
      </c>
      <c r="O127" s="676">
        <f t="shared" si="40"/>
        <v>0</v>
      </c>
      <c r="P127" s="676">
        <f t="shared" si="40"/>
        <v>0</v>
      </c>
      <c r="Q127" s="676">
        <f t="shared" si="40"/>
        <v>0</v>
      </c>
      <c r="R127" s="676">
        <f t="shared" si="40"/>
        <v>0</v>
      </c>
      <c r="S127" s="676">
        <f t="shared" si="40"/>
        <v>0</v>
      </c>
      <c r="T127" s="676">
        <f t="shared" si="28"/>
        <v>0</v>
      </c>
    </row>
    <row r="128" spans="1:20" ht="11.1" customHeight="1">
      <c r="A128" s="653" t="str">
        <f>'Budget-合并'!A128</f>
        <v>6602.10.01</v>
      </c>
      <c r="B128" s="653" t="str">
        <f>'Budget-合并'!B128</f>
        <v>电子设备</v>
      </c>
      <c r="C128" s="673" t="str">
        <f>'Budget-合并'!C128</f>
        <v>Dep Exp  Computer Equip</v>
      </c>
      <c r="D128" s="676">
        <f t="shared" si="34"/>
        <v>0</v>
      </c>
      <c r="F128" s="676">
        <f t="shared" ca="1" si="35"/>
        <v>0</v>
      </c>
      <c r="H128" s="676"/>
      <c r="I128" s="676"/>
      <c r="J128" s="676"/>
      <c r="K128" s="676"/>
      <c r="L128" s="676"/>
      <c r="M128" s="676"/>
      <c r="N128" s="676"/>
      <c r="O128" s="676"/>
      <c r="P128" s="676"/>
      <c r="Q128" s="676"/>
      <c r="R128" s="676"/>
      <c r="S128" s="676"/>
      <c r="T128" s="676">
        <f t="shared" si="28"/>
        <v>0</v>
      </c>
    </row>
    <row r="129" spans="1:20" ht="11.1" customHeight="1">
      <c r="A129" s="653" t="str">
        <f>'Budget-合并'!A129</f>
        <v>6602.10.02</v>
      </c>
      <c r="B129" s="653" t="str">
        <f>'Budget-合并'!B129</f>
        <v>房屋建筑物</v>
      </c>
      <c r="C129" s="673">
        <f>'Budget-合并'!C129</f>
        <v>0</v>
      </c>
      <c r="D129" s="676">
        <f t="shared" si="34"/>
        <v>0</v>
      </c>
      <c r="F129" s="676">
        <f t="shared" ca="1" si="35"/>
        <v>0</v>
      </c>
      <c r="H129" s="676"/>
      <c r="I129" s="676"/>
      <c r="J129" s="676"/>
      <c r="K129" s="676"/>
      <c r="L129" s="676"/>
      <c r="M129" s="676"/>
      <c r="N129" s="676"/>
      <c r="O129" s="676"/>
      <c r="P129" s="676"/>
      <c r="Q129" s="676"/>
      <c r="R129" s="676"/>
      <c r="S129" s="676"/>
      <c r="T129" s="676">
        <f t="shared" si="28"/>
        <v>0</v>
      </c>
    </row>
    <row r="130" spans="1:20" ht="11.1" customHeight="1">
      <c r="A130" s="653" t="str">
        <f>'Budget-合并'!A130</f>
        <v>6602.10.03</v>
      </c>
      <c r="B130" s="653" t="str">
        <f>'Budget-合并'!B130</f>
        <v>机器设备</v>
      </c>
      <c r="C130" s="673">
        <f>'Budget-合并'!C130</f>
        <v>0</v>
      </c>
      <c r="D130" s="676">
        <f t="shared" si="34"/>
        <v>0</v>
      </c>
      <c r="F130" s="676">
        <f t="shared" ca="1" si="35"/>
        <v>0</v>
      </c>
      <c r="H130" s="676"/>
      <c r="I130" s="676"/>
      <c r="J130" s="676"/>
      <c r="K130" s="676"/>
      <c r="L130" s="676"/>
      <c r="M130" s="676"/>
      <c r="N130" s="676"/>
      <c r="O130" s="676"/>
      <c r="P130" s="676"/>
      <c r="Q130" s="676"/>
      <c r="R130" s="676"/>
      <c r="S130" s="676"/>
      <c r="T130" s="676">
        <f t="shared" si="28"/>
        <v>0</v>
      </c>
    </row>
    <row r="131" spans="1:20" ht="11.1" customHeight="1">
      <c r="A131" s="653" t="str">
        <f>'Budget-合并'!A131</f>
        <v>6602.10.04</v>
      </c>
      <c r="B131" s="653" t="str">
        <f>'Budget-合并'!B131</f>
        <v>家具设备</v>
      </c>
      <c r="C131" s="673" t="str">
        <f>'Budget-合并'!C131</f>
        <v xml:space="preserve">Dep Exp - Other EQ &amp; Furn </v>
      </c>
      <c r="D131" s="676">
        <f t="shared" si="34"/>
        <v>0</v>
      </c>
      <c r="F131" s="676">
        <f t="shared" ca="1" si="35"/>
        <v>0</v>
      </c>
      <c r="H131" s="676"/>
      <c r="I131" s="676"/>
      <c r="J131" s="676"/>
      <c r="K131" s="676"/>
      <c r="L131" s="676"/>
      <c r="M131" s="676"/>
      <c r="N131" s="676"/>
      <c r="O131" s="676"/>
      <c r="P131" s="676"/>
      <c r="Q131" s="676"/>
      <c r="R131" s="676"/>
      <c r="S131" s="676"/>
      <c r="T131" s="676">
        <f t="shared" si="28"/>
        <v>0</v>
      </c>
    </row>
    <row r="132" spans="1:20" ht="11.1" customHeight="1">
      <c r="A132" s="663" t="str">
        <f>'Budget-合并'!A132</f>
        <v>6602.12</v>
      </c>
      <c r="B132" s="678" t="str">
        <f>'Budget-合并'!B132</f>
        <v>使用权资产折旧</v>
      </c>
      <c r="C132" s="673" t="str">
        <f>'Budget-合并'!C132</f>
        <v>Dep Exp - Right of Use Asset</v>
      </c>
      <c r="D132" s="676">
        <f t="shared" si="34"/>
        <v>0</v>
      </c>
      <c r="F132" s="676">
        <f t="shared" ca="1" si="35"/>
        <v>0</v>
      </c>
      <c r="H132" s="676">
        <f t="shared" ref="H132:S132" si="41">SUM(H133,H134,H137)</f>
        <v>0</v>
      </c>
      <c r="I132" s="676">
        <f t="shared" si="41"/>
        <v>0</v>
      </c>
      <c r="J132" s="676">
        <f t="shared" si="41"/>
        <v>0</v>
      </c>
      <c r="K132" s="676">
        <f t="shared" si="41"/>
        <v>0</v>
      </c>
      <c r="L132" s="676">
        <f t="shared" si="41"/>
        <v>0</v>
      </c>
      <c r="M132" s="676">
        <f t="shared" si="41"/>
        <v>0</v>
      </c>
      <c r="N132" s="676">
        <f t="shared" si="41"/>
        <v>0</v>
      </c>
      <c r="O132" s="676">
        <f t="shared" si="41"/>
        <v>0</v>
      </c>
      <c r="P132" s="676">
        <f t="shared" si="41"/>
        <v>0</v>
      </c>
      <c r="Q132" s="676">
        <f t="shared" si="41"/>
        <v>0</v>
      </c>
      <c r="R132" s="676">
        <f t="shared" si="41"/>
        <v>0</v>
      </c>
      <c r="S132" s="676">
        <f t="shared" si="41"/>
        <v>0</v>
      </c>
      <c r="T132" s="676">
        <f t="shared" si="28"/>
        <v>0</v>
      </c>
    </row>
    <row r="133" spans="1:20" ht="11.1" customHeight="1">
      <c r="A133" s="653" t="str">
        <f>'Budget-合并'!A133</f>
        <v>6602.12.01</v>
      </c>
      <c r="B133" s="653" t="str">
        <f>'Budget-合并'!B133</f>
        <v>打印机租赁</v>
      </c>
      <c r="C133" s="673">
        <f>'Budget-合并'!C133</f>
        <v>0</v>
      </c>
      <c r="D133" s="676">
        <f t="shared" si="34"/>
        <v>0</v>
      </c>
      <c r="F133" s="676">
        <f t="shared" ca="1" si="35"/>
        <v>0</v>
      </c>
      <c r="H133" s="676"/>
      <c r="I133" s="676"/>
      <c r="J133" s="676"/>
      <c r="K133" s="676"/>
      <c r="L133" s="676"/>
      <c r="M133" s="676"/>
      <c r="N133" s="676"/>
      <c r="O133" s="676"/>
      <c r="P133" s="676"/>
      <c r="Q133" s="676"/>
      <c r="R133" s="676"/>
      <c r="S133" s="676"/>
      <c r="T133" s="676">
        <f t="shared" si="28"/>
        <v>0</v>
      </c>
    </row>
    <row r="134" spans="1:20" ht="11.1" customHeight="1">
      <c r="A134" s="653" t="str">
        <f>'Budget-合并'!A134</f>
        <v>6602.12.02</v>
      </c>
      <c r="B134" s="653" t="str">
        <f>'Budget-合并'!B134</f>
        <v>办公地址</v>
      </c>
      <c r="C134" s="673">
        <f>'Budget-合并'!C134</f>
        <v>0</v>
      </c>
      <c r="D134" s="676">
        <f t="shared" si="34"/>
        <v>0</v>
      </c>
      <c r="F134" s="676">
        <f t="shared" ca="1" si="35"/>
        <v>0</v>
      </c>
      <c r="H134" s="676">
        <f t="shared" ref="H134:S134" si="42">SUM(H135:H136)</f>
        <v>0</v>
      </c>
      <c r="I134" s="676">
        <f t="shared" si="42"/>
        <v>0</v>
      </c>
      <c r="J134" s="676">
        <f t="shared" si="42"/>
        <v>0</v>
      </c>
      <c r="K134" s="676">
        <f t="shared" si="42"/>
        <v>0</v>
      </c>
      <c r="L134" s="676">
        <f t="shared" si="42"/>
        <v>0</v>
      </c>
      <c r="M134" s="676">
        <f t="shared" si="42"/>
        <v>0</v>
      </c>
      <c r="N134" s="676">
        <f t="shared" si="42"/>
        <v>0</v>
      </c>
      <c r="O134" s="676">
        <f t="shared" si="42"/>
        <v>0</v>
      </c>
      <c r="P134" s="676">
        <f t="shared" si="42"/>
        <v>0</v>
      </c>
      <c r="Q134" s="676">
        <f t="shared" si="42"/>
        <v>0</v>
      </c>
      <c r="R134" s="676">
        <f t="shared" si="42"/>
        <v>0</v>
      </c>
      <c r="S134" s="676">
        <f t="shared" si="42"/>
        <v>0</v>
      </c>
      <c r="T134" s="676">
        <f t="shared" si="28"/>
        <v>0</v>
      </c>
    </row>
    <row r="135" spans="1:20" ht="11.1" customHeight="1">
      <c r="A135" s="653" t="str">
        <f>'Budget-合并'!A135</f>
        <v>6602.12.02.01</v>
      </c>
      <c r="B135" s="653" t="str">
        <f>'Budget-合并'!B135</f>
        <v>旭智咨询--鼎和大厦1606</v>
      </c>
      <c r="C135" s="673">
        <f>'Budget-合并'!C135</f>
        <v>0</v>
      </c>
      <c r="D135" s="676">
        <f t="shared" si="34"/>
        <v>0</v>
      </c>
      <c r="F135" s="676">
        <f t="shared" ca="1" si="35"/>
        <v>0</v>
      </c>
      <c r="H135" s="676"/>
      <c r="I135" s="676"/>
      <c r="J135" s="676"/>
      <c r="K135" s="676"/>
      <c r="L135" s="676"/>
      <c r="M135" s="676"/>
      <c r="N135" s="676"/>
      <c r="O135" s="676"/>
      <c r="P135" s="676"/>
      <c r="Q135" s="676"/>
      <c r="R135" s="676"/>
      <c r="S135" s="676"/>
      <c r="T135" s="676">
        <f t="shared" si="28"/>
        <v>0</v>
      </c>
    </row>
    <row r="136" spans="1:20" ht="11.1" customHeight="1">
      <c r="A136" s="653" t="str">
        <f>'Budget-合并'!A136</f>
        <v>6602.12.02.02</v>
      </c>
      <c r="B136" s="653" t="str">
        <f>'Budget-合并'!B136</f>
        <v>旭智资本（香港）--冯氏大厦</v>
      </c>
      <c r="C136" s="673">
        <f>'Budget-合并'!C136</f>
        <v>0</v>
      </c>
      <c r="D136" s="676">
        <f t="shared" si="34"/>
        <v>0</v>
      </c>
      <c r="F136" s="676">
        <f t="shared" ca="1" si="35"/>
        <v>0</v>
      </c>
      <c r="H136" s="676"/>
      <c r="I136" s="676"/>
      <c r="J136" s="676"/>
      <c r="K136" s="676"/>
      <c r="L136" s="676"/>
      <c r="M136" s="676"/>
      <c r="N136" s="676"/>
      <c r="O136" s="676"/>
      <c r="P136" s="676"/>
      <c r="Q136" s="676"/>
      <c r="R136" s="676"/>
      <c r="S136" s="676"/>
      <c r="T136" s="676">
        <f t="shared" si="28"/>
        <v>0</v>
      </c>
    </row>
    <row r="137" spans="1:20" ht="11.1" customHeight="1">
      <c r="A137" s="653" t="str">
        <f>'Budget-合并'!A137</f>
        <v>6602.12.03</v>
      </c>
      <c r="B137" s="653" t="str">
        <f>'Budget-合并'!B137</f>
        <v>注册地址</v>
      </c>
      <c r="C137" s="673">
        <f>'Budget-合并'!C137</f>
        <v>0</v>
      </c>
      <c r="D137" s="676">
        <f t="shared" si="34"/>
        <v>0</v>
      </c>
      <c r="F137" s="676">
        <f t="shared" ca="1" si="35"/>
        <v>0</v>
      </c>
      <c r="H137" s="676">
        <f t="shared" ref="H137:S137" si="43">SUM(H138:H139)</f>
        <v>0</v>
      </c>
      <c r="I137" s="676">
        <f t="shared" si="43"/>
        <v>0</v>
      </c>
      <c r="J137" s="676">
        <f t="shared" si="43"/>
        <v>0</v>
      </c>
      <c r="K137" s="676">
        <f t="shared" si="43"/>
        <v>0</v>
      </c>
      <c r="L137" s="676">
        <f t="shared" si="43"/>
        <v>0</v>
      </c>
      <c r="M137" s="676">
        <f t="shared" si="43"/>
        <v>0</v>
      </c>
      <c r="N137" s="676">
        <f t="shared" si="43"/>
        <v>0</v>
      </c>
      <c r="O137" s="676">
        <f t="shared" si="43"/>
        <v>0</v>
      </c>
      <c r="P137" s="676">
        <f t="shared" si="43"/>
        <v>0</v>
      </c>
      <c r="Q137" s="676">
        <f t="shared" si="43"/>
        <v>0</v>
      </c>
      <c r="R137" s="676">
        <f t="shared" si="43"/>
        <v>0</v>
      </c>
      <c r="S137" s="676">
        <f t="shared" si="43"/>
        <v>0</v>
      </c>
      <c r="T137" s="676">
        <f t="shared" si="28"/>
        <v>0</v>
      </c>
    </row>
    <row r="138" spans="1:20" ht="11.1" customHeight="1">
      <c r="A138" s="653" t="str">
        <f>'Budget-合并'!A138</f>
        <v>6602.12.03.01</v>
      </c>
      <c r="B138" s="653" t="str">
        <f>'Budget-合并'!B138</f>
        <v>旭智私募--前海壹号B座701E</v>
      </c>
      <c r="C138" s="673">
        <f>'Budget-合并'!C138</f>
        <v>0</v>
      </c>
      <c r="D138" s="676">
        <f t="shared" si="34"/>
        <v>0</v>
      </c>
      <c r="F138" s="676">
        <f t="shared" ca="1" si="35"/>
        <v>0</v>
      </c>
      <c r="H138" s="676"/>
      <c r="I138" s="676"/>
      <c r="J138" s="676"/>
      <c r="K138" s="676"/>
      <c r="L138" s="676"/>
      <c r="M138" s="676"/>
      <c r="N138" s="676"/>
      <c r="O138" s="676"/>
      <c r="P138" s="676"/>
      <c r="Q138" s="676"/>
      <c r="R138" s="676"/>
      <c r="S138" s="676"/>
      <c r="T138" s="676">
        <f t="shared" si="28"/>
        <v>0</v>
      </c>
    </row>
    <row r="139" spans="1:20" ht="11.1" customHeight="1">
      <c r="A139" s="653" t="str">
        <f>'Budget-合并'!A139</f>
        <v>6602.12.03.02</v>
      </c>
      <c r="B139" s="653" t="str">
        <f>'Budget-合并'!B139</f>
        <v>广州旭智--802房F028</v>
      </c>
      <c r="C139" s="673">
        <f>'Budget-合并'!C139</f>
        <v>0</v>
      </c>
      <c r="D139" s="676">
        <f t="shared" si="34"/>
        <v>0</v>
      </c>
      <c r="F139" s="676">
        <f t="shared" ca="1" si="35"/>
        <v>0</v>
      </c>
      <c r="H139" s="676"/>
      <c r="I139" s="676"/>
      <c r="J139" s="676"/>
      <c r="K139" s="676"/>
      <c r="L139" s="676"/>
      <c r="M139" s="676"/>
      <c r="N139" s="676"/>
      <c r="O139" s="676"/>
      <c r="P139" s="676"/>
      <c r="Q139" s="676"/>
      <c r="R139" s="676"/>
      <c r="S139" s="676"/>
      <c r="T139" s="676">
        <f t="shared" si="28"/>
        <v>0</v>
      </c>
    </row>
    <row r="140" spans="1:20" ht="13.5" customHeight="1">
      <c r="A140" s="653" t="str">
        <f>'Budget-合并'!A140</f>
        <v>6602.13</v>
      </c>
      <c r="B140" s="653" t="str">
        <f>'Budget-合并'!B140</f>
        <v>物业管理费</v>
      </c>
      <c r="C140" s="673">
        <f>'Budget-合并'!C140</f>
        <v>0</v>
      </c>
      <c r="D140" s="676">
        <f t="shared" si="34"/>
        <v>0</v>
      </c>
      <c r="F140" s="676">
        <f t="shared" ca="1" si="35"/>
        <v>0</v>
      </c>
      <c r="H140" s="676"/>
      <c r="I140" s="676"/>
      <c r="J140" s="676"/>
      <c r="K140" s="676"/>
      <c r="L140" s="676"/>
      <c r="M140" s="676"/>
      <c r="N140" s="676"/>
      <c r="O140" s="676"/>
      <c r="P140" s="676"/>
      <c r="Q140" s="676"/>
      <c r="R140" s="676"/>
      <c r="S140" s="676"/>
      <c r="T140" s="676">
        <f t="shared" si="28"/>
        <v>0</v>
      </c>
    </row>
    <row r="141" spans="1:20" ht="13.5" customHeight="1">
      <c r="A141" s="653" t="str">
        <f>'Budget-合并'!A141</f>
        <v>6602.14</v>
      </c>
      <c r="B141" s="653" t="str">
        <f>'Budget-合并'!B141</f>
        <v>修理费</v>
      </c>
      <c r="C141" s="673">
        <f>'Budget-合并'!C141</f>
        <v>0</v>
      </c>
      <c r="D141" s="676">
        <f t="shared" si="34"/>
        <v>0</v>
      </c>
      <c r="F141" s="676">
        <f t="shared" ca="1" si="35"/>
        <v>0</v>
      </c>
      <c r="H141" s="676"/>
      <c r="I141" s="676"/>
      <c r="J141" s="676"/>
      <c r="K141" s="676"/>
      <c r="L141" s="676"/>
      <c r="M141" s="676"/>
      <c r="N141" s="676"/>
      <c r="O141" s="676"/>
      <c r="P141" s="676"/>
      <c r="Q141" s="676"/>
      <c r="R141" s="676"/>
      <c r="S141" s="676"/>
      <c r="T141" s="676">
        <f t="shared" si="28"/>
        <v>0</v>
      </c>
    </row>
    <row r="142" spans="1:20" ht="13.5" customHeight="1">
      <c r="A142" s="653" t="str">
        <f>'Budget-合并'!A142</f>
        <v>6602.15</v>
      </c>
      <c r="B142" s="653" t="str">
        <f>'Budget-合并'!B142</f>
        <v>服务费</v>
      </c>
      <c r="C142" s="673" t="str">
        <f>'Budget-合并'!C142</f>
        <v>Professional Fee</v>
      </c>
      <c r="D142" s="676">
        <f t="shared" si="34"/>
        <v>0</v>
      </c>
      <c r="F142" s="676">
        <f t="shared" ca="1" si="35"/>
        <v>0</v>
      </c>
      <c r="H142" s="676"/>
      <c r="I142" s="676"/>
      <c r="J142" s="676"/>
      <c r="K142" s="676"/>
      <c r="L142" s="676"/>
      <c r="M142" s="676"/>
      <c r="N142" s="676"/>
      <c r="O142" s="676"/>
      <c r="P142" s="676"/>
      <c r="Q142" s="676"/>
      <c r="R142" s="676"/>
      <c r="S142" s="676"/>
      <c r="T142" s="676">
        <f t="shared" si="28"/>
        <v>0</v>
      </c>
    </row>
    <row r="143" spans="1:20" ht="13.5" customHeight="1">
      <c r="A143" s="653" t="str">
        <f>'Budget-合并'!A143</f>
        <v>6602.16</v>
      </c>
      <c r="B143" s="653" t="str">
        <f>'Budget-合并'!B143</f>
        <v>董事会费</v>
      </c>
      <c r="C143" s="673" t="str">
        <f>'Budget-合并'!C143</f>
        <v>Internal ACP Meeting</v>
      </c>
      <c r="D143" s="676">
        <f t="shared" si="34"/>
        <v>0</v>
      </c>
      <c r="F143" s="676">
        <f t="shared" ca="1" si="35"/>
        <v>0</v>
      </c>
      <c r="H143" s="676"/>
      <c r="I143" s="676"/>
      <c r="J143" s="676"/>
      <c r="K143" s="676"/>
      <c r="L143" s="676"/>
      <c r="M143" s="676"/>
      <c r="N143" s="676"/>
      <c r="O143" s="676"/>
      <c r="P143" s="676"/>
      <c r="Q143" s="676"/>
      <c r="R143" s="676"/>
      <c r="S143" s="676"/>
      <c r="T143" s="676">
        <f t="shared" si="28"/>
        <v>0</v>
      </c>
    </row>
    <row r="144" spans="1:20" ht="13.5" customHeight="1">
      <c r="A144" s="653" t="str">
        <f>'Budget-合并'!A144</f>
        <v>6602.17</v>
      </c>
      <c r="B144" s="653" t="str">
        <f>'Budget-合并'!B144</f>
        <v>聘请中介机构费</v>
      </c>
      <c r="C144" s="673">
        <f>'Budget-合并'!C144</f>
        <v>0</v>
      </c>
      <c r="D144" s="676">
        <f t="shared" si="34"/>
        <v>0</v>
      </c>
      <c r="F144" s="676">
        <f t="shared" ca="1" si="35"/>
        <v>0</v>
      </c>
      <c r="H144" s="676"/>
      <c r="I144" s="676"/>
      <c r="J144" s="676"/>
      <c r="K144" s="676"/>
      <c r="L144" s="676"/>
      <c r="M144" s="676"/>
      <c r="N144" s="676"/>
      <c r="O144" s="676"/>
      <c r="P144" s="676"/>
      <c r="Q144" s="676"/>
      <c r="R144" s="676"/>
      <c r="S144" s="676"/>
      <c r="T144" s="676">
        <f t="shared" si="28"/>
        <v>0</v>
      </c>
    </row>
    <row r="145" spans="1:20" ht="13.5" customHeight="1">
      <c r="A145" s="653" t="str">
        <f>'Budget-合并'!A145</f>
        <v>6602.18</v>
      </c>
      <c r="B145" s="653" t="str">
        <f>'Budget-合并'!B145</f>
        <v>存货盘亏或盘盈</v>
      </c>
      <c r="C145" s="673">
        <f>'Budget-合并'!C145</f>
        <v>0</v>
      </c>
      <c r="D145" s="676">
        <f t="shared" si="34"/>
        <v>0</v>
      </c>
      <c r="F145" s="676">
        <f t="shared" ca="1" si="35"/>
        <v>0</v>
      </c>
      <c r="H145" s="676"/>
      <c r="I145" s="676"/>
      <c r="J145" s="676"/>
      <c r="K145" s="676"/>
      <c r="L145" s="676"/>
      <c r="M145" s="676"/>
      <c r="N145" s="676"/>
      <c r="O145" s="676"/>
      <c r="P145" s="676"/>
      <c r="Q145" s="676"/>
      <c r="R145" s="676"/>
      <c r="S145" s="676"/>
      <c r="T145" s="676">
        <f t="shared" si="28"/>
        <v>0</v>
      </c>
    </row>
    <row r="146" spans="1:20" ht="13.5" customHeight="1">
      <c r="A146" s="653" t="str">
        <f>'Budget-合并'!A146</f>
        <v>6602.19</v>
      </c>
      <c r="B146" s="653" t="str">
        <f>'Budget-合并'!B146</f>
        <v>会费（公司）</v>
      </c>
      <c r="C146" s="673" t="str">
        <f>'Budget-合并'!C146</f>
        <v>Membership Fee</v>
      </c>
      <c r="D146" s="676">
        <f t="shared" si="34"/>
        <v>0</v>
      </c>
      <c r="F146" s="676">
        <f t="shared" ca="1" si="35"/>
        <v>0</v>
      </c>
      <c r="H146" s="676"/>
      <c r="I146" s="676"/>
      <c r="J146" s="676"/>
      <c r="K146" s="676"/>
      <c r="L146" s="676"/>
      <c r="M146" s="676"/>
      <c r="N146" s="676"/>
      <c r="O146" s="676"/>
      <c r="P146" s="676"/>
      <c r="Q146" s="676"/>
      <c r="R146" s="676"/>
      <c r="S146" s="676"/>
      <c r="T146" s="676">
        <f t="shared" si="28"/>
        <v>0</v>
      </c>
    </row>
    <row r="147" spans="1:20" ht="13.5" customHeight="1">
      <c r="A147" s="653" t="str">
        <f>'Budget-合并'!A147</f>
        <v>6602.20</v>
      </c>
      <c r="B147" s="653" t="str">
        <f>'Budget-合并'!B147</f>
        <v>职工教育经费</v>
      </c>
      <c r="C147" s="673" t="str">
        <f>'Budget-合并'!C147</f>
        <v>Education Assistance</v>
      </c>
      <c r="D147" s="676">
        <f t="shared" si="34"/>
        <v>0</v>
      </c>
      <c r="F147" s="676">
        <f t="shared" ca="1" si="35"/>
        <v>0</v>
      </c>
      <c r="H147" s="676"/>
      <c r="I147" s="676"/>
      <c r="J147" s="676"/>
      <c r="K147" s="676"/>
      <c r="L147" s="676"/>
      <c r="M147" s="676"/>
      <c r="N147" s="676"/>
      <c r="O147" s="676"/>
      <c r="P147" s="676"/>
      <c r="Q147" s="676"/>
      <c r="R147" s="676"/>
      <c r="S147" s="676"/>
      <c r="T147" s="676">
        <f t="shared" si="28"/>
        <v>0</v>
      </c>
    </row>
    <row r="148" spans="1:20" ht="13.5" customHeight="1">
      <c r="A148" s="653" t="str">
        <f>'Budget-合并'!A148</f>
        <v>6602.21</v>
      </c>
      <c r="B148" s="653" t="str">
        <f>'Budget-合并'!B148</f>
        <v>公司秘书费</v>
      </c>
      <c r="C148" s="673" t="str">
        <f>'Budget-合并'!C148</f>
        <v>Corporate Secretarial Fees</v>
      </c>
      <c r="D148" s="676">
        <f t="shared" si="34"/>
        <v>0</v>
      </c>
      <c r="F148" s="676">
        <f t="shared" ca="1" si="35"/>
        <v>0</v>
      </c>
      <c r="H148" s="676"/>
      <c r="I148" s="676"/>
      <c r="J148" s="676"/>
      <c r="K148" s="676"/>
      <c r="L148" s="676"/>
      <c r="M148" s="676"/>
      <c r="N148" s="676"/>
      <c r="O148" s="676"/>
      <c r="P148" s="676"/>
      <c r="Q148" s="676"/>
      <c r="R148" s="676"/>
      <c r="S148" s="676"/>
      <c r="T148" s="676">
        <f t="shared" si="28"/>
        <v>0</v>
      </c>
    </row>
    <row r="149" spans="1:20" ht="13.5" customHeight="1">
      <c r="A149" s="653" t="str">
        <f>'Budget-合并'!A149</f>
        <v>6602.22</v>
      </c>
      <c r="B149" s="653" t="str">
        <f>'Budget-合并'!B149</f>
        <v>工会经费</v>
      </c>
      <c r="C149" s="673">
        <f>'Budget-合并'!C149</f>
        <v>0</v>
      </c>
      <c r="D149" s="676">
        <f t="shared" si="34"/>
        <v>0</v>
      </c>
      <c r="F149" s="676">
        <f t="shared" ca="1" si="35"/>
        <v>0</v>
      </c>
      <c r="H149" s="676"/>
      <c r="I149" s="676"/>
      <c r="J149" s="676"/>
      <c r="K149" s="676"/>
      <c r="L149" s="676"/>
      <c r="M149" s="676"/>
      <c r="N149" s="676"/>
      <c r="O149" s="676"/>
      <c r="P149" s="676"/>
      <c r="Q149" s="676"/>
      <c r="R149" s="676"/>
      <c r="S149" s="676"/>
      <c r="T149" s="676">
        <f t="shared" si="28"/>
        <v>0</v>
      </c>
    </row>
    <row r="150" spans="1:20" ht="13.5" customHeight="1">
      <c r="A150" s="653" t="str">
        <f>'Budget-合并'!A150</f>
        <v>6602.23</v>
      </c>
      <c r="B150" s="653" t="str">
        <f>'Budget-合并'!B150</f>
        <v>无形资产摊销</v>
      </c>
      <c r="C150" s="673" t="str">
        <f>'Budget-合并'!C150</f>
        <v>Contract Intangibles - Amortization</v>
      </c>
      <c r="D150" s="676">
        <f t="shared" si="34"/>
        <v>0</v>
      </c>
      <c r="F150" s="676">
        <f t="shared" ca="1" si="35"/>
        <v>0</v>
      </c>
      <c r="H150" s="676"/>
      <c r="I150" s="676"/>
      <c r="J150" s="676"/>
      <c r="K150" s="676"/>
      <c r="L150" s="676"/>
      <c r="M150" s="676"/>
      <c r="N150" s="676"/>
      <c r="O150" s="676"/>
      <c r="P150" s="676"/>
      <c r="Q150" s="676"/>
      <c r="R150" s="676"/>
      <c r="S150" s="676"/>
      <c r="T150" s="676">
        <f t="shared" si="28"/>
        <v>0</v>
      </c>
    </row>
    <row r="151" spans="1:20" ht="13.5" customHeight="1">
      <c r="A151" s="653" t="str">
        <f>'Budget-合并'!A151</f>
        <v>6602.24</v>
      </c>
      <c r="B151" s="653" t="str">
        <f>'Budget-合并'!B151</f>
        <v>监管费用</v>
      </c>
      <c r="C151" s="673" t="str">
        <f>'Budget-合并'!C151</f>
        <v xml:space="preserve">Regulatory fees </v>
      </c>
      <c r="D151" s="676">
        <f t="shared" si="34"/>
        <v>0</v>
      </c>
      <c r="F151" s="676">
        <f t="shared" ca="1" si="35"/>
        <v>0</v>
      </c>
      <c r="H151" s="676"/>
      <c r="I151" s="676"/>
      <c r="J151" s="676"/>
      <c r="K151" s="676"/>
      <c r="L151" s="676"/>
      <c r="M151" s="676"/>
      <c r="N151" s="676"/>
      <c r="O151" s="676"/>
      <c r="P151" s="676"/>
      <c r="Q151" s="676"/>
      <c r="R151" s="676"/>
      <c r="S151" s="676"/>
      <c r="T151" s="676">
        <f t="shared" ref="T151:T154" si="44">SUM(H151:S151)</f>
        <v>0</v>
      </c>
    </row>
    <row r="152" spans="1:20" ht="13.5" customHeight="1">
      <c r="A152" s="653" t="str">
        <f>'Budget-合并'!A152</f>
        <v>6602.99</v>
      </c>
      <c r="B152" s="653" t="str">
        <f>'Budget-合并'!B152</f>
        <v>其他</v>
      </c>
      <c r="C152" s="673" t="str">
        <f>'Budget-合并'!C152</f>
        <v>Admin Other</v>
      </c>
      <c r="D152" s="676">
        <f t="shared" si="34"/>
        <v>0</v>
      </c>
      <c r="F152" s="676">
        <f t="shared" ca="1" si="35"/>
        <v>0</v>
      </c>
      <c r="H152" s="676"/>
      <c r="I152" s="676"/>
      <c r="J152" s="676"/>
      <c r="K152" s="676"/>
      <c r="L152" s="676"/>
      <c r="M152" s="676"/>
      <c r="N152" s="676"/>
      <c r="O152" s="676"/>
      <c r="P152" s="676"/>
      <c r="Q152" s="676"/>
      <c r="R152" s="676"/>
      <c r="S152" s="676"/>
      <c r="T152" s="676">
        <f t="shared" si="44"/>
        <v>0</v>
      </c>
    </row>
    <row r="153" spans="1:20" ht="13.5" customHeight="1">
      <c r="A153" s="672">
        <f>'Budget-合并'!A153</f>
        <v>0</v>
      </c>
      <c r="B153" s="672" t="str">
        <f>'Budget-合并'!B153</f>
        <v>管理费用合计</v>
      </c>
      <c r="C153" s="673">
        <f>'Budget-合并'!C153</f>
        <v>0</v>
      </c>
      <c r="D153" s="677">
        <f t="shared" si="34"/>
        <v>0</v>
      </c>
      <c r="F153" s="677">
        <f t="shared" ca="1" si="35"/>
        <v>0</v>
      </c>
      <c r="H153" s="677">
        <f t="shared" ref="H153:S153" si="45">SUM(H44,H62,H75,H79,H80,H92,H127,H132,H140:H152)</f>
        <v>0</v>
      </c>
      <c r="I153" s="677">
        <f t="shared" si="45"/>
        <v>0</v>
      </c>
      <c r="J153" s="677">
        <f t="shared" si="45"/>
        <v>0</v>
      </c>
      <c r="K153" s="677">
        <f t="shared" si="45"/>
        <v>0</v>
      </c>
      <c r="L153" s="677">
        <f t="shared" si="45"/>
        <v>0</v>
      </c>
      <c r="M153" s="677">
        <f t="shared" si="45"/>
        <v>0</v>
      </c>
      <c r="N153" s="677">
        <f t="shared" si="45"/>
        <v>0</v>
      </c>
      <c r="O153" s="677">
        <f t="shared" si="45"/>
        <v>0</v>
      </c>
      <c r="P153" s="677">
        <f t="shared" si="45"/>
        <v>0</v>
      </c>
      <c r="Q153" s="677">
        <f t="shared" si="45"/>
        <v>0</v>
      </c>
      <c r="R153" s="677">
        <f t="shared" si="45"/>
        <v>0</v>
      </c>
      <c r="S153" s="677">
        <f t="shared" si="45"/>
        <v>0</v>
      </c>
      <c r="T153" s="677">
        <f t="shared" si="44"/>
        <v>0</v>
      </c>
    </row>
    <row r="154" spans="1:20" ht="13.5" customHeight="1">
      <c r="A154" s="653">
        <f>'Budget-合并'!A154</f>
        <v>0</v>
      </c>
      <c r="B154" s="653">
        <f>'Budget-合并'!B154</f>
        <v>0</v>
      </c>
      <c r="C154" s="673">
        <f>'Budget-合并'!C154</f>
        <v>0</v>
      </c>
      <c r="T154" s="652">
        <f t="shared" si="44"/>
        <v>0</v>
      </c>
    </row>
    <row r="155" spans="1:20" ht="13.5" customHeight="1">
      <c r="A155" s="672" t="str">
        <f>'Budget-合并'!A155</f>
        <v>6603</v>
      </c>
      <c r="B155" s="672" t="str">
        <f>'Budget-合并'!B155</f>
        <v>财务费用</v>
      </c>
      <c r="C155" s="673">
        <f>'Budget-合并'!C155</f>
        <v>0</v>
      </c>
      <c r="D155" s="677"/>
      <c r="F155" s="677"/>
      <c r="H155" s="677"/>
      <c r="I155" s="677"/>
      <c r="J155" s="677"/>
      <c r="K155" s="677"/>
      <c r="L155" s="677"/>
      <c r="M155" s="677"/>
      <c r="N155" s="677"/>
      <c r="O155" s="677"/>
      <c r="P155" s="677"/>
      <c r="Q155" s="677"/>
      <c r="R155" s="677"/>
      <c r="S155" s="677"/>
      <c r="T155" s="677"/>
    </row>
    <row r="156" spans="1:20" ht="13.5" customHeight="1">
      <c r="A156" s="653" t="str">
        <f>'Budget-合并'!A156</f>
        <v>6603.01</v>
      </c>
      <c r="B156" s="653" t="str">
        <f>'Budget-合并'!B156</f>
        <v>汇兑损益</v>
      </c>
      <c r="C156" s="673" t="str">
        <f>'Budget-合并'!C156</f>
        <v>FX Gain/Loss Net</v>
      </c>
      <c r="D156" s="676">
        <f t="shared" ref="D156:D172" si="46">INDEX($H$8:$S$8,1,MATCH($D$6,$H$6:$S$6))</f>
        <v>0</v>
      </c>
      <c r="F156" s="676">
        <f t="shared" ref="F156:F172" ca="1" si="47">SUM($H156:OFFSET($H156,0,MATCH(F$6,$H$6:$S$6)-1))</f>
        <v>0</v>
      </c>
      <c r="H156" s="676"/>
      <c r="I156" s="676"/>
      <c r="J156" s="676"/>
      <c r="K156" s="676"/>
      <c r="L156" s="676"/>
      <c r="M156" s="676"/>
      <c r="N156" s="676"/>
      <c r="O156" s="676"/>
      <c r="P156" s="676"/>
      <c r="Q156" s="676"/>
      <c r="R156" s="676"/>
      <c r="S156" s="676"/>
      <c r="T156" s="676">
        <f t="shared" ref="T156:T169" si="48">SUM(H156:S156)</f>
        <v>0</v>
      </c>
    </row>
    <row r="157" spans="1:20" ht="13.5" customHeight="1">
      <c r="A157" s="663" t="str">
        <f>'Budget-合并'!A157</f>
        <v>6603.02</v>
      </c>
      <c r="B157" s="678" t="str">
        <f>'Budget-合并'!B157</f>
        <v>利息费用</v>
      </c>
      <c r="C157" s="673">
        <f>'Budget-合并'!C157</f>
        <v>0</v>
      </c>
      <c r="D157" s="676">
        <f t="shared" si="46"/>
        <v>0</v>
      </c>
      <c r="F157" s="676">
        <f t="shared" ca="1" si="47"/>
        <v>0</v>
      </c>
      <c r="H157" s="676"/>
      <c r="I157" s="676"/>
      <c r="J157" s="676"/>
      <c r="K157" s="676"/>
      <c r="L157" s="676"/>
      <c r="M157" s="676"/>
      <c r="N157" s="676"/>
      <c r="O157" s="676"/>
      <c r="P157" s="676"/>
      <c r="Q157" s="676"/>
      <c r="R157" s="676"/>
      <c r="S157" s="676"/>
      <c r="T157" s="676">
        <f t="shared" si="48"/>
        <v>0</v>
      </c>
    </row>
    <row r="158" spans="1:20" ht="13.5" customHeight="1">
      <c r="A158" s="653" t="str">
        <f>'Budget-合并'!A158</f>
        <v>6603.02.01</v>
      </c>
      <c r="B158" s="653" t="str">
        <f>'Budget-合并'!B158</f>
        <v>打印机租赁</v>
      </c>
      <c r="C158" s="673">
        <f>'Budget-合并'!C158</f>
        <v>0</v>
      </c>
      <c r="D158" s="676">
        <f t="shared" si="46"/>
        <v>0</v>
      </c>
      <c r="F158" s="676">
        <f t="shared" ca="1" si="47"/>
        <v>0</v>
      </c>
      <c r="H158" s="676"/>
      <c r="I158" s="676"/>
      <c r="J158" s="676"/>
      <c r="K158" s="676"/>
      <c r="L158" s="676"/>
      <c r="M158" s="676"/>
      <c r="N158" s="676"/>
      <c r="O158" s="676"/>
      <c r="P158" s="676"/>
      <c r="Q158" s="676"/>
      <c r="R158" s="676"/>
      <c r="S158" s="676"/>
      <c r="T158" s="676">
        <f t="shared" si="48"/>
        <v>0</v>
      </c>
    </row>
    <row r="159" spans="1:20" ht="13.5" customHeight="1">
      <c r="A159" s="653" t="str">
        <f>'Budget-合并'!A159</f>
        <v>6603.02.02</v>
      </c>
      <c r="B159" s="653" t="str">
        <f>'Budget-合并'!B159</f>
        <v>办公地址</v>
      </c>
      <c r="C159" s="673">
        <f>'Budget-合并'!C159</f>
        <v>0</v>
      </c>
      <c r="D159" s="676">
        <f t="shared" si="46"/>
        <v>0</v>
      </c>
      <c r="F159" s="676">
        <f t="shared" ca="1" si="47"/>
        <v>0</v>
      </c>
      <c r="H159" s="676">
        <f t="shared" ref="H159:S159" si="49">SUM(H160:H161)</f>
        <v>0</v>
      </c>
      <c r="I159" s="676">
        <f t="shared" si="49"/>
        <v>0</v>
      </c>
      <c r="J159" s="676">
        <f t="shared" si="49"/>
        <v>0</v>
      </c>
      <c r="K159" s="676">
        <f t="shared" si="49"/>
        <v>0</v>
      </c>
      <c r="L159" s="676">
        <f t="shared" si="49"/>
        <v>0</v>
      </c>
      <c r="M159" s="676">
        <f t="shared" si="49"/>
        <v>0</v>
      </c>
      <c r="N159" s="676">
        <f t="shared" si="49"/>
        <v>0</v>
      </c>
      <c r="O159" s="676">
        <f t="shared" si="49"/>
        <v>0</v>
      </c>
      <c r="P159" s="676">
        <f t="shared" si="49"/>
        <v>0</v>
      </c>
      <c r="Q159" s="676">
        <f t="shared" si="49"/>
        <v>0</v>
      </c>
      <c r="R159" s="676">
        <f t="shared" si="49"/>
        <v>0</v>
      </c>
      <c r="S159" s="676">
        <f t="shared" si="49"/>
        <v>0</v>
      </c>
      <c r="T159" s="676">
        <f t="shared" si="48"/>
        <v>0</v>
      </c>
    </row>
    <row r="160" spans="1:20" ht="13.5" customHeight="1">
      <c r="A160" s="653" t="str">
        <f>'Budget-合并'!A160</f>
        <v>6603.02.02.01</v>
      </c>
      <c r="B160" s="653" t="str">
        <f>'Budget-合并'!B160</f>
        <v>旭智咨询--鼎和大厦1606</v>
      </c>
      <c r="C160" s="673">
        <f>'Budget-合并'!C160</f>
        <v>0</v>
      </c>
      <c r="D160" s="676">
        <f t="shared" si="46"/>
        <v>0</v>
      </c>
      <c r="F160" s="676">
        <f t="shared" ca="1" si="47"/>
        <v>0</v>
      </c>
      <c r="H160" s="676"/>
      <c r="I160" s="676"/>
      <c r="J160" s="676"/>
      <c r="K160" s="676"/>
      <c r="L160" s="676"/>
      <c r="M160" s="676"/>
      <c r="N160" s="676"/>
      <c r="O160" s="676"/>
      <c r="P160" s="676"/>
      <c r="Q160" s="676"/>
      <c r="R160" s="676"/>
      <c r="S160" s="676"/>
      <c r="T160" s="676">
        <f t="shared" si="48"/>
        <v>0</v>
      </c>
    </row>
    <row r="161" spans="1:20" ht="13.5" customHeight="1">
      <c r="A161" s="653" t="str">
        <f>'Budget-合并'!A161</f>
        <v>6603.02.02.02</v>
      </c>
      <c r="B161" s="653" t="str">
        <f>'Budget-合并'!B161</f>
        <v>旭智资本（香港）--冯氏大厦</v>
      </c>
      <c r="C161" s="673" t="str">
        <f>'Budget-合并'!C161</f>
        <v>Interest Expense Lease</v>
      </c>
      <c r="D161" s="676">
        <f t="shared" si="46"/>
        <v>0</v>
      </c>
      <c r="F161" s="676">
        <f t="shared" ca="1" si="47"/>
        <v>0</v>
      </c>
      <c r="H161" s="676"/>
      <c r="I161" s="676"/>
      <c r="J161" s="676"/>
      <c r="K161" s="676"/>
      <c r="L161" s="676"/>
      <c r="M161" s="676"/>
      <c r="N161" s="676"/>
      <c r="O161" s="676"/>
      <c r="P161" s="676"/>
      <c r="Q161" s="676"/>
      <c r="R161" s="676"/>
      <c r="S161" s="676"/>
      <c r="T161" s="676">
        <f t="shared" si="48"/>
        <v>0</v>
      </c>
    </row>
    <row r="162" spans="1:20" ht="13.5" customHeight="1">
      <c r="A162" s="653" t="str">
        <f>'Budget-合并'!A162</f>
        <v>6603.02.03</v>
      </c>
      <c r="B162" s="653" t="str">
        <f>'Budget-合并'!B162</f>
        <v>注册地址</v>
      </c>
      <c r="C162" s="673">
        <f>'Budget-合并'!C162</f>
        <v>0</v>
      </c>
      <c r="D162" s="676">
        <f t="shared" si="46"/>
        <v>0</v>
      </c>
      <c r="F162" s="676">
        <f t="shared" ca="1" si="47"/>
        <v>0</v>
      </c>
      <c r="H162" s="676">
        <f t="shared" ref="H162:S162" si="50">SUM(H163:H164)</f>
        <v>0</v>
      </c>
      <c r="I162" s="676">
        <f t="shared" si="50"/>
        <v>0</v>
      </c>
      <c r="J162" s="676">
        <f t="shared" si="50"/>
        <v>0</v>
      </c>
      <c r="K162" s="676">
        <f t="shared" si="50"/>
        <v>0</v>
      </c>
      <c r="L162" s="676">
        <f t="shared" si="50"/>
        <v>0</v>
      </c>
      <c r="M162" s="676">
        <f t="shared" si="50"/>
        <v>0</v>
      </c>
      <c r="N162" s="676">
        <f t="shared" si="50"/>
        <v>0</v>
      </c>
      <c r="O162" s="676">
        <f t="shared" si="50"/>
        <v>0</v>
      </c>
      <c r="P162" s="676">
        <f t="shared" si="50"/>
        <v>0</v>
      </c>
      <c r="Q162" s="676">
        <f t="shared" si="50"/>
        <v>0</v>
      </c>
      <c r="R162" s="676">
        <f t="shared" si="50"/>
        <v>0</v>
      </c>
      <c r="S162" s="676">
        <f t="shared" si="50"/>
        <v>0</v>
      </c>
      <c r="T162" s="676">
        <f t="shared" si="48"/>
        <v>0</v>
      </c>
    </row>
    <row r="163" spans="1:20" ht="13.5" customHeight="1">
      <c r="A163" s="653" t="str">
        <f>'Budget-合并'!A163</f>
        <v>6603.02.03.01</v>
      </c>
      <c r="B163" s="653" t="str">
        <f>'Budget-合并'!B163</f>
        <v>旭智私募--前海壹号B座701E</v>
      </c>
      <c r="C163" s="673">
        <f>'Budget-合并'!C163</f>
        <v>0</v>
      </c>
      <c r="D163" s="676">
        <f t="shared" si="46"/>
        <v>0</v>
      </c>
      <c r="F163" s="676">
        <f t="shared" ca="1" si="47"/>
        <v>0</v>
      </c>
      <c r="H163" s="676"/>
      <c r="I163" s="676"/>
      <c r="J163" s="676"/>
      <c r="K163" s="676"/>
      <c r="L163" s="676"/>
      <c r="M163" s="676"/>
      <c r="N163" s="676"/>
      <c r="O163" s="676"/>
      <c r="P163" s="676"/>
      <c r="Q163" s="676"/>
      <c r="R163" s="676"/>
      <c r="S163" s="676"/>
      <c r="T163" s="676">
        <f t="shared" si="48"/>
        <v>0</v>
      </c>
    </row>
    <row r="164" spans="1:20" ht="13.5" customHeight="1">
      <c r="A164" s="653" t="str">
        <f>'Budget-合并'!A164</f>
        <v>6603.02.03.02</v>
      </c>
      <c r="B164" s="653" t="str">
        <f>'Budget-合并'!B164</f>
        <v>广州旭智--802房F028</v>
      </c>
      <c r="C164" s="673">
        <f>'Budget-合并'!C164</f>
        <v>0</v>
      </c>
      <c r="D164" s="676">
        <f t="shared" si="46"/>
        <v>0</v>
      </c>
      <c r="F164" s="676">
        <f t="shared" ca="1" si="47"/>
        <v>0</v>
      </c>
      <c r="H164" s="676"/>
      <c r="I164" s="676"/>
      <c r="J164" s="676"/>
      <c r="K164" s="676"/>
      <c r="L164" s="676"/>
      <c r="M164" s="676"/>
      <c r="N164" s="676"/>
      <c r="O164" s="676"/>
      <c r="P164" s="676"/>
      <c r="Q164" s="676"/>
      <c r="R164" s="676"/>
      <c r="S164" s="676"/>
      <c r="T164" s="676">
        <f t="shared" si="48"/>
        <v>0</v>
      </c>
    </row>
    <row r="165" spans="1:20" ht="13.5" customHeight="1">
      <c r="A165" s="653" t="str">
        <f>'Budget-合并'!A165</f>
        <v>6603.03</v>
      </c>
      <c r="B165" s="653" t="str">
        <f>'Budget-合并'!B165</f>
        <v>银行手续费</v>
      </c>
      <c r="C165" s="673" t="str">
        <f>'Budget-合并'!C165</f>
        <v>Bank Charges</v>
      </c>
      <c r="D165" s="676">
        <f t="shared" si="46"/>
        <v>0</v>
      </c>
      <c r="F165" s="676">
        <f t="shared" ca="1" si="47"/>
        <v>0</v>
      </c>
      <c r="H165" s="676"/>
      <c r="I165" s="676"/>
      <c r="J165" s="676"/>
      <c r="K165" s="676"/>
      <c r="L165" s="676"/>
      <c r="M165" s="676"/>
      <c r="N165" s="676"/>
      <c r="O165" s="676"/>
      <c r="P165" s="676"/>
      <c r="Q165" s="676"/>
      <c r="R165" s="676"/>
      <c r="S165" s="676"/>
      <c r="T165" s="676">
        <f t="shared" si="48"/>
        <v>0</v>
      </c>
    </row>
    <row r="166" spans="1:20" ht="13.5" customHeight="1">
      <c r="A166" s="653" t="str">
        <f>'Budget-合并'!A166</f>
        <v>6603.04</v>
      </c>
      <c r="B166" s="653" t="str">
        <f>'Budget-合并'!B166</f>
        <v>利息收入</v>
      </c>
      <c r="C166" s="673" t="str">
        <f>'Budget-合并'!C166</f>
        <v>Bank Interest Income</v>
      </c>
      <c r="D166" s="676">
        <f t="shared" si="46"/>
        <v>0</v>
      </c>
      <c r="F166" s="676">
        <f t="shared" ca="1" si="47"/>
        <v>0</v>
      </c>
      <c r="H166" s="676"/>
      <c r="I166" s="676"/>
      <c r="J166" s="676"/>
      <c r="K166" s="676"/>
      <c r="L166" s="676"/>
      <c r="M166" s="676"/>
      <c r="N166" s="676"/>
      <c r="O166" s="676"/>
      <c r="P166" s="676"/>
      <c r="Q166" s="676"/>
      <c r="R166" s="676"/>
      <c r="S166" s="676"/>
      <c r="T166" s="676">
        <f t="shared" si="48"/>
        <v>0</v>
      </c>
    </row>
    <row r="167" spans="1:20" ht="13.5" customHeight="1">
      <c r="A167" s="663" t="str">
        <f>'Budget-合并'!A167</f>
        <v>6603.05</v>
      </c>
      <c r="B167" s="678" t="str">
        <f>'Budget-合并'!B167</f>
        <v>利息支出</v>
      </c>
      <c r="C167" s="673">
        <f>'Budget-合并'!C167</f>
        <v>0</v>
      </c>
      <c r="D167" s="676">
        <f t="shared" si="46"/>
        <v>0</v>
      </c>
      <c r="F167" s="676">
        <f t="shared" ca="1" si="47"/>
        <v>0</v>
      </c>
      <c r="H167" s="676">
        <f t="shared" ref="H167:S167" si="51">SUM(H168:H170)</f>
        <v>0</v>
      </c>
      <c r="I167" s="676">
        <f t="shared" si="51"/>
        <v>0</v>
      </c>
      <c r="J167" s="676">
        <f t="shared" si="51"/>
        <v>0</v>
      </c>
      <c r="K167" s="676">
        <f t="shared" si="51"/>
        <v>0</v>
      </c>
      <c r="L167" s="676">
        <f t="shared" si="51"/>
        <v>0</v>
      </c>
      <c r="M167" s="676">
        <f t="shared" si="51"/>
        <v>0</v>
      </c>
      <c r="N167" s="676">
        <f t="shared" si="51"/>
        <v>0</v>
      </c>
      <c r="O167" s="676">
        <f t="shared" si="51"/>
        <v>0</v>
      </c>
      <c r="P167" s="676">
        <f t="shared" si="51"/>
        <v>0</v>
      </c>
      <c r="Q167" s="676">
        <f t="shared" si="51"/>
        <v>0</v>
      </c>
      <c r="R167" s="676">
        <f t="shared" si="51"/>
        <v>0</v>
      </c>
      <c r="S167" s="676">
        <f t="shared" si="51"/>
        <v>0</v>
      </c>
      <c r="T167" s="676">
        <f t="shared" si="48"/>
        <v>0</v>
      </c>
    </row>
    <row r="168" spans="1:20" ht="13.5" customHeight="1">
      <c r="A168" s="653" t="str">
        <f>'Budget-合并'!A168</f>
        <v>6603.05.01</v>
      </c>
      <c r="B168" s="653" t="str">
        <f>'Budget-合并'!B168</f>
        <v>兴业金融租赁有限责任公司</v>
      </c>
      <c r="C168" s="673">
        <f>'Budget-合并'!C168</f>
        <v>0</v>
      </c>
      <c r="D168" s="676">
        <f t="shared" si="46"/>
        <v>0</v>
      </c>
      <c r="F168" s="676">
        <f t="shared" ca="1" si="47"/>
        <v>0</v>
      </c>
      <c r="H168" s="676"/>
      <c r="I168" s="676"/>
      <c r="J168" s="676"/>
      <c r="K168" s="676"/>
      <c r="L168" s="676"/>
      <c r="M168" s="676"/>
      <c r="N168" s="676"/>
      <c r="O168" s="676"/>
      <c r="P168" s="676"/>
      <c r="Q168" s="676"/>
      <c r="R168" s="676"/>
      <c r="S168" s="676"/>
      <c r="T168" s="676">
        <f t="shared" si="48"/>
        <v>0</v>
      </c>
    </row>
    <row r="169" spans="1:20" ht="13.5" customHeight="1">
      <c r="A169" s="653" t="str">
        <f>'Budget-合并'!A169</f>
        <v>6603.05.02</v>
      </c>
      <c r="B169" s="653" t="str">
        <f>'Budget-合并'!B169</f>
        <v>湖南三一智慧新能源设计有限公司</v>
      </c>
      <c r="C169" s="673">
        <f>'Budget-合并'!C169</f>
        <v>0</v>
      </c>
      <c r="D169" s="676">
        <f t="shared" si="46"/>
        <v>0</v>
      </c>
      <c r="F169" s="676">
        <f t="shared" ca="1" si="47"/>
        <v>0</v>
      </c>
      <c r="H169" s="676"/>
      <c r="I169" s="676"/>
      <c r="J169" s="676"/>
      <c r="K169" s="676"/>
      <c r="L169" s="676"/>
      <c r="M169" s="676"/>
      <c r="N169" s="676"/>
      <c r="O169" s="676"/>
      <c r="P169" s="676"/>
      <c r="Q169" s="676"/>
      <c r="R169" s="676"/>
      <c r="S169" s="676"/>
      <c r="T169" s="676">
        <f t="shared" si="48"/>
        <v>0</v>
      </c>
    </row>
    <row r="170" spans="1:20" ht="13.5" customHeight="1">
      <c r="A170" s="653" t="str">
        <f>'Budget-合并'!A170</f>
        <v>6603.05.03</v>
      </c>
      <c r="B170" s="653" t="str">
        <f>'Budget-合并'!B170</f>
        <v>和谐天明投资管理(北京)有限公司</v>
      </c>
      <c r="C170" s="673"/>
      <c r="D170" s="676">
        <f t="shared" si="46"/>
        <v>0</v>
      </c>
      <c r="F170" s="676">
        <f t="shared" ca="1" si="47"/>
        <v>0</v>
      </c>
      <c r="H170" s="676"/>
      <c r="I170" s="676"/>
      <c r="J170" s="676"/>
      <c r="K170" s="676"/>
      <c r="L170" s="676"/>
      <c r="M170" s="676"/>
      <c r="N170" s="676"/>
      <c r="O170" s="676"/>
      <c r="P170" s="676"/>
      <c r="Q170" s="676"/>
      <c r="R170" s="676"/>
      <c r="S170" s="676"/>
      <c r="T170" s="676"/>
    </row>
    <row r="171" spans="1:20" ht="13.5" customHeight="1">
      <c r="A171" s="653" t="str">
        <f>'Budget-合并'!A171</f>
        <v>6603.99</v>
      </c>
      <c r="B171" s="653" t="str">
        <f>'Budget-合并'!B171</f>
        <v>其他</v>
      </c>
      <c r="C171" s="673">
        <f>'Budget-合并'!C171</f>
        <v>0</v>
      </c>
      <c r="D171" s="676">
        <f t="shared" si="46"/>
        <v>0</v>
      </c>
      <c r="F171" s="676">
        <f t="shared" ca="1" si="47"/>
        <v>0</v>
      </c>
      <c r="H171" s="676">
        <f t="shared" ref="H171:S171" si="52">SUM(H161:H164,H168,H169)</f>
        <v>0</v>
      </c>
      <c r="I171" s="676">
        <f t="shared" si="52"/>
        <v>0</v>
      </c>
      <c r="J171" s="676">
        <f t="shared" si="52"/>
        <v>0</v>
      </c>
      <c r="K171" s="676">
        <f t="shared" si="52"/>
        <v>0</v>
      </c>
      <c r="L171" s="676">
        <f t="shared" si="52"/>
        <v>0</v>
      </c>
      <c r="M171" s="676">
        <f t="shared" si="52"/>
        <v>0</v>
      </c>
      <c r="N171" s="676">
        <f t="shared" si="52"/>
        <v>0</v>
      </c>
      <c r="O171" s="676">
        <f t="shared" si="52"/>
        <v>0</v>
      </c>
      <c r="P171" s="676">
        <f t="shared" si="52"/>
        <v>0</v>
      </c>
      <c r="Q171" s="676">
        <f t="shared" si="52"/>
        <v>0</v>
      </c>
      <c r="R171" s="676">
        <f t="shared" si="52"/>
        <v>0</v>
      </c>
      <c r="S171" s="676">
        <f t="shared" si="52"/>
        <v>0</v>
      </c>
      <c r="T171" s="676">
        <f t="shared" ref="T171:T182" si="53">SUM(H171:S171)</f>
        <v>0</v>
      </c>
    </row>
    <row r="172" spans="1:20" ht="13.5" customHeight="1">
      <c r="A172" s="672">
        <f>'Budget-合并'!A172</f>
        <v>0</v>
      </c>
      <c r="B172" s="672" t="str">
        <f>'Budget-合并'!B172</f>
        <v>财务费用合计</v>
      </c>
      <c r="C172" s="673">
        <f>'Budget-合并'!C172</f>
        <v>0</v>
      </c>
      <c r="D172" s="677">
        <f t="shared" si="46"/>
        <v>0</v>
      </c>
      <c r="F172" s="677">
        <f t="shared" ca="1" si="47"/>
        <v>0</v>
      </c>
      <c r="H172" s="677">
        <f t="shared" ref="H172:T172" si="54">SUM(H156,H157,H165:H167,H171)</f>
        <v>0</v>
      </c>
      <c r="I172" s="677">
        <f t="shared" si="54"/>
        <v>0</v>
      </c>
      <c r="J172" s="677">
        <f t="shared" si="54"/>
        <v>0</v>
      </c>
      <c r="K172" s="677">
        <f t="shared" si="54"/>
        <v>0</v>
      </c>
      <c r="L172" s="677">
        <f t="shared" si="54"/>
        <v>0</v>
      </c>
      <c r="M172" s="677">
        <f t="shared" si="54"/>
        <v>0</v>
      </c>
      <c r="N172" s="677">
        <f t="shared" si="54"/>
        <v>0</v>
      </c>
      <c r="O172" s="677">
        <f t="shared" si="54"/>
        <v>0</v>
      </c>
      <c r="P172" s="677">
        <f t="shared" si="54"/>
        <v>0</v>
      </c>
      <c r="Q172" s="677">
        <f t="shared" si="54"/>
        <v>0</v>
      </c>
      <c r="R172" s="677">
        <f t="shared" si="54"/>
        <v>0</v>
      </c>
      <c r="S172" s="677">
        <f t="shared" si="54"/>
        <v>0</v>
      </c>
      <c r="T172" s="677">
        <f t="shared" si="54"/>
        <v>0</v>
      </c>
    </row>
    <row r="173" spans="1:20" ht="13.5" customHeight="1">
      <c r="A173" s="653">
        <f>'Budget-合并'!A173</f>
        <v>0</v>
      </c>
      <c r="B173" s="653">
        <f>'Budget-合并'!B173</f>
        <v>0</v>
      </c>
      <c r="C173" s="673">
        <f>'Budget-合并'!C173</f>
        <v>0</v>
      </c>
      <c r="T173" s="652">
        <f>T12-T19-T141-T159+T171</f>
        <v>0</v>
      </c>
    </row>
    <row r="174" spans="1:20" ht="13.5" customHeight="1">
      <c r="A174" s="653" t="str">
        <f>'Budget-合并'!A174</f>
        <v>6051</v>
      </c>
      <c r="B174" s="653" t="str">
        <f>'Budget-合并'!B174</f>
        <v>其他业务收入</v>
      </c>
      <c r="C174" s="673">
        <f>'Budget-合并'!C174</f>
        <v>0</v>
      </c>
      <c r="D174" s="676">
        <f t="shared" ref="D174:D183" si="55">INDEX($H$8:$S$8,1,MATCH($D$6,$H$6:$S$6))</f>
        <v>0</v>
      </c>
      <c r="F174" s="676">
        <f t="shared" ref="F174:F183" ca="1" si="56">SUM($H174:OFFSET($H174,0,MATCH(F$6,$H$6:$S$6)-1))</f>
        <v>0</v>
      </c>
      <c r="H174" s="676"/>
      <c r="I174" s="676"/>
      <c r="J174" s="676"/>
      <c r="K174" s="676"/>
      <c r="L174" s="676"/>
      <c r="M174" s="676"/>
      <c r="N174" s="676"/>
      <c r="O174" s="676"/>
      <c r="P174" s="676"/>
      <c r="Q174" s="676"/>
      <c r="R174" s="676"/>
      <c r="S174" s="676"/>
      <c r="T174" s="676">
        <f t="shared" si="53"/>
        <v>0</v>
      </c>
    </row>
    <row r="175" spans="1:20" ht="13.5" customHeight="1">
      <c r="A175" s="653" t="str">
        <f>'Budget-合并'!A175</f>
        <v>6101</v>
      </c>
      <c r="B175" s="653" t="str">
        <f>'Budget-合并'!B175</f>
        <v>公允价值变动损益</v>
      </c>
      <c r="C175" s="673">
        <f>'Budget-合并'!C175</f>
        <v>0</v>
      </c>
      <c r="D175" s="676">
        <f t="shared" si="55"/>
        <v>0</v>
      </c>
      <c r="F175" s="676">
        <f t="shared" ca="1" si="56"/>
        <v>0</v>
      </c>
      <c r="H175" s="676"/>
      <c r="I175" s="676"/>
      <c r="J175" s="676"/>
      <c r="K175" s="676"/>
      <c r="L175" s="676"/>
      <c r="M175" s="676"/>
      <c r="N175" s="676"/>
      <c r="O175" s="676"/>
      <c r="P175" s="676"/>
      <c r="Q175" s="676"/>
      <c r="R175" s="676"/>
      <c r="S175" s="676"/>
      <c r="T175" s="676">
        <f t="shared" si="53"/>
        <v>0</v>
      </c>
    </row>
    <row r="176" spans="1:20" ht="13.5" customHeight="1">
      <c r="A176" s="653" t="str">
        <f>'Budget-合并'!A176</f>
        <v>6111</v>
      </c>
      <c r="B176" s="653" t="str">
        <f>'Budget-合并'!B176</f>
        <v>投资收益</v>
      </c>
      <c r="C176" s="673" t="str">
        <f>'Budget-合并'!C176</f>
        <v>Gain on investment</v>
      </c>
      <c r="D176" s="676">
        <f t="shared" si="55"/>
        <v>0</v>
      </c>
      <c r="F176" s="676">
        <f t="shared" ca="1" si="56"/>
        <v>0</v>
      </c>
      <c r="H176" s="676"/>
      <c r="I176" s="676"/>
      <c r="J176" s="676"/>
      <c r="K176" s="676"/>
      <c r="L176" s="676"/>
      <c r="M176" s="676"/>
      <c r="N176" s="676"/>
      <c r="O176" s="676"/>
      <c r="P176" s="676"/>
      <c r="Q176" s="676"/>
      <c r="R176" s="676"/>
      <c r="S176" s="676"/>
      <c r="T176" s="676">
        <f t="shared" si="53"/>
        <v>0</v>
      </c>
    </row>
    <row r="177" spans="1:20" ht="13.5" customHeight="1">
      <c r="A177" s="663" t="str">
        <f>'Budget-合并'!A177</f>
        <v>6115</v>
      </c>
      <c r="B177" s="678" t="str">
        <f>'Budget-合并'!B177</f>
        <v>其他收益</v>
      </c>
      <c r="C177" s="673" t="str">
        <f>'Budget-合并'!C177</f>
        <v>Other income</v>
      </c>
      <c r="D177" s="676">
        <f t="shared" si="55"/>
        <v>0</v>
      </c>
      <c r="F177" s="676">
        <f t="shared" ca="1" si="56"/>
        <v>0</v>
      </c>
      <c r="H177" s="676">
        <f t="shared" ref="H177:S177" si="57">SUM(H178:H180)</f>
        <v>0</v>
      </c>
      <c r="I177" s="676">
        <f t="shared" si="57"/>
        <v>0</v>
      </c>
      <c r="J177" s="676">
        <f t="shared" si="57"/>
        <v>0</v>
      </c>
      <c r="K177" s="676">
        <f t="shared" si="57"/>
        <v>0</v>
      </c>
      <c r="L177" s="676">
        <f t="shared" si="57"/>
        <v>0</v>
      </c>
      <c r="M177" s="676">
        <f t="shared" si="57"/>
        <v>0</v>
      </c>
      <c r="N177" s="676">
        <f t="shared" si="57"/>
        <v>0</v>
      </c>
      <c r="O177" s="676">
        <f t="shared" si="57"/>
        <v>0</v>
      </c>
      <c r="P177" s="676">
        <f t="shared" si="57"/>
        <v>0</v>
      </c>
      <c r="Q177" s="676">
        <f t="shared" si="57"/>
        <v>0</v>
      </c>
      <c r="R177" s="676">
        <f t="shared" si="57"/>
        <v>0</v>
      </c>
      <c r="S177" s="676">
        <f t="shared" si="57"/>
        <v>0</v>
      </c>
      <c r="T177" s="676">
        <f t="shared" si="53"/>
        <v>0</v>
      </c>
    </row>
    <row r="178" spans="1:20" ht="13.5" customHeight="1">
      <c r="A178" s="653" t="str">
        <f>'Budget-合并'!A178</f>
        <v>6115.01</v>
      </c>
      <c r="B178" s="653" t="str">
        <f>'Budget-合并'!B178</f>
        <v>政府补助</v>
      </c>
      <c r="C178" s="673">
        <f>'Budget-合并'!C178</f>
        <v>0</v>
      </c>
      <c r="D178" s="676">
        <f t="shared" si="55"/>
        <v>0</v>
      </c>
      <c r="F178" s="676">
        <f t="shared" ca="1" si="56"/>
        <v>0</v>
      </c>
      <c r="H178" s="676"/>
      <c r="I178" s="676"/>
      <c r="J178" s="676"/>
      <c r="K178" s="676"/>
      <c r="L178" s="676"/>
      <c r="M178" s="676"/>
      <c r="N178" s="676"/>
      <c r="O178" s="676"/>
      <c r="P178" s="676"/>
      <c r="Q178" s="676"/>
      <c r="R178" s="676"/>
      <c r="S178" s="676"/>
      <c r="T178" s="676">
        <f t="shared" si="53"/>
        <v>0</v>
      </c>
    </row>
    <row r="179" spans="1:20" ht="13.5" customHeight="1">
      <c r="A179" s="653" t="str">
        <f>'Budget-合并'!A179</f>
        <v>6115.02</v>
      </c>
      <c r="B179" s="653" t="str">
        <f>'Budget-合并'!B179</f>
        <v>个税手续费返还</v>
      </c>
      <c r="C179" s="673">
        <f>'Budget-合并'!C179</f>
        <v>0</v>
      </c>
      <c r="D179" s="676">
        <f t="shared" si="55"/>
        <v>0</v>
      </c>
      <c r="F179" s="676">
        <f t="shared" ca="1" si="56"/>
        <v>0</v>
      </c>
      <c r="H179" s="676"/>
      <c r="I179" s="676"/>
      <c r="J179" s="676"/>
      <c r="K179" s="676"/>
      <c r="L179" s="676"/>
      <c r="M179" s="676"/>
      <c r="N179" s="676"/>
      <c r="O179" s="676"/>
      <c r="P179" s="676"/>
      <c r="Q179" s="676"/>
      <c r="R179" s="676"/>
      <c r="S179" s="676"/>
      <c r="T179" s="676">
        <f t="shared" si="53"/>
        <v>0</v>
      </c>
    </row>
    <row r="180" spans="1:20" ht="13.5" customHeight="1">
      <c r="A180" s="653" t="str">
        <f>'Budget-合并'!A180</f>
        <v>6115.99</v>
      </c>
      <c r="B180" s="653" t="str">
        <f>'Budget-合并'!B180</f>
        <v>其他</v>
      </c>
      <c r="C180" s="673">
        <f>'Budget-合并'!C180</f>
        <v>0</v>
      </c>
      <c r="D180" s="676">
        <f t="shared" si="55"/>
        <v>0</v>
      </c>
      <c r="F180" s="676">
        <f t="shared" ca="1" si="56"/>
        <v>0</v>
      </c>
      <c r="H180" s="676"/>
      <c r="I180" s="676"/>
      <c r="J180" s="676"/>
      <c r="K180" s="676"/>
      <c r="L180" s="676"/>
      <c r="M180" s="676"/>
      <c r="N180" s="676"/>
      <c r="O180" s="676"/>
      <c r="P180" s="676"/>
      <c r="Q180" s="676"/>
      <c r="R180" s="676"/>
      <c r="S180" s="676"/>
      <c r="T180" s="676">
        <f t="shared" si="53"/>
        <v>0</v>
      </c>
    </row>
    <row r="181" spans="1:20" ht="13.5" customHeight="1">
      <c r="A181" s="653" t="str">
        <f>'Budget-合并'!A181</f>
        <v>6117</v>
      </c>
      <c r="B181" s="653" t="str">
        <f>'Budget-合并'!B181</f>
        <v>资产处置损益</v>
      </c>
      <c r="C181" s="673">
        <f>'Budget-合并'!C181</f>
        <v>0</v>
      </c>
      <c r="D181" s="676">
        <f t="shared" si="55"/>
        <v>0</v>
      </c>
      <c r="F181" s="676">
        <f t="shared" ca="1" si="56"/>
        <v>0</v>
      </c>
      <c r="H181" s="676"/>
      <c r="I181" s="676"/>
      <c r="J181" s="676"/>
      <c r="K181" s="676"/>
      <c r="L181" s="676"/>
      <c r="M181" s="676"/>
      <c r="N181" s="676"/>
      <c r="O181" s="676"/>
      <c r="P181" s="676"/>
      <c r="Q181" s="676"/>
      <c r="R181" s="676"/>
      <c r="S181" s="676"/>
      <c r="T181" s="676">
        <f t="shared" si="53"/>
        <v>0</v>
      </c>
    </row>
    <row r="182" spans="1:20" ht="13.5" customHeight="1">
      <c r="A182" s="653" t="str">
        <f>'Budget-合并'!A182</f>
        <v>6118</v>
      </c>
      <c r="B182" s="653" t="str">
        <f>'Budget-合并'!B182</f>
        <v>净敞口套期损益</v>
      </c>
      <c r="C182" s="673">
        <f>'Budget-合并'!C182</f>
        <v>0</v>
      </c>
      <c r="D182" s="676">
        <f t="shared" si="55"/>
        <v>0</v>
      </c>
      <c r="F182" s="676">
        <f t="shared" ca="1" si="56"/>
        <v>0</v>
      </c>
      <c r="H182" s="676"/>
      <c r="I182" s="676"/>
      <c r="J182" s="676"/>
      <c r="K182" s="676"/>
      <c r="L182" s="676"/>
      <c r="M182" s="676"/>
      <c r="N182" s="676"/>
      <c r="O182" s="676"/>
      <c r="P182" s="676"/>
      <c r="Q182" s="676"/>
      <c r="R182" s="676"/>
      <c r="S182" s="676"/>
      <c r="T182" s="676">
        <f t="shared" si="53"/>
        <v>0</v>
      </c>
    </row>
    <row r="183" spans="1:20" ht="13.5" customHeight="1">
      <c r="A183" s="672">
        <f>'Budget-合并'!A183</f>
        <v>0</v>
      </c>
      <c r="B183" s="672" t="str">
        <f>'Budget-合并'!B183</f>
        <v>其他收益合计</v>
      </c>
      <c r="C183" s="673">
        <f>'Budget-合并'!C183</f>
        <v>0</v>
      </c>
      <c r="D183" s="677">
        <f t="shared" si="55"/>
        <v>0</v>
      </c>
      <c r="F183" s="677">
        <f t="shared" ca="1" si="56"/>
        <v>0</v>
      </c>
      <c r="H183" s="677">
        <f t="shared" ref="H183:T183" si="58">SUM(H174,H174:H177,H181:H182)</f>
        <v>0</v>
      </c>
      <c r="I183" s="677">
        <f t="shared" si="58"/>
        <v>0</v>
      </c>
      <c r="J183" s="677">
        <f t="shared" si="58"/>
        <v>0</v>
      </c>
      <c r="K183" s="677">
        <f t="shared" si="58"/>
        <v>0</v>
      </c>
      <c r="L183" s="677">
        <f t="shared" si="58"/>
        <v>0</v>
      </c>
      <c r="M183" s="677">
        <f t="shared" si="58"/>
        <v>0</v>
      </c>
      <c r="N183" s="677">
        <f t="shared" si="58"/>
        <v>0</v>
      </c>
      <c r="O183" s="677">
        <f t="shared" si="58"/>
        <v>0</v>
      </c>
      <c r="P183" s="677">
        <f t="shared" si="58"/>
        <v>0</v>
      </c>
      <c r="Q183" s="677">
        <f t="shared" si="58"/>
        <v>0</v>
      </c>
      <c r="R183" s="677">
        <f t="shared" si="58"/>
        <v>0</v>
      </c>
      <c r="S183" s="677">
        <f t="shared" si="58"/>
        <v>0</v>
      </c>
      <c r="T183" s="677">
        <f t="shared" si="58"/>
        <v>0</v>
      </c>
    </row>
    <row r="184" spans="1:20" ht="13.5" customHeight="1">
      <c r="A184" s="653">
        <f>'Budget-合并'!A184</f>
        <v>0</v>
      </c>
      <c r="B184" s="653">
        <f>'Budget-合并'!B184</f>
        <v>0</v>
      </c>
      <c r="C184" s="673">
        <f>'Budget-合并'!C184</f>
        <v>0</v>
      </c>
      <c r="T184" s="652">
        <f t="shared" ref="T184:T198" si="59">SUM(H184:S184)</f>
        <v>0</v>
      </c>
    </row>
    <row r="185" spans="1:20" ht="13.5" customHeight="1">
      <c r="A185" s="672">
        <f>'Budget-合并'!A185</f>
        <v>0</v>
      </c>
      <c r="B185" s="672" t="str">
        <f>'Budget-合并'!B185</f>
        <v>营业利润</v>
      </c>
      <c r="C185" s="673">
        <f>'Budget-合并'!C185</f>
        <v>0</v>
      </c>
      <c r="D185" s="677">
        <f t="shared" ref="D185:D199" si="60">INDEX($H$8:$S$8,1,MATCH($D$6,$H$6:$S$6))</f>
        <v>0</v>
      </c>
      <c r="F185" s="677">
        <f t="shared" ref="F185:F199" ca="1" si="61">SUM($H185:OFFSET($H185,0,MATCH(F$6,$H$6:$S$6)-1))</f>
        <v>0</v>
      </c>
      <c r="H185" s="677">
        <f t="shared" ref="H185:S185" si="62">H12-H19-H42-H153-H172+H183</f>
        <v>0</v>
      </c>
      <c r="I185" s="677">
        <f t="shared" si="62"/>
        <v>0</v>
      </c>
      <c r="J185" s="677">
        <f t="shared" si="62"/>
        <v>0</v>
      </c>
      <c r="K185" s="677">
        <f t="shared" si="62"/>
        <v>0</v>
      </c>
      <c r="L185" s="677">
        <f t="shared" si="62"/>
        <v>0</v>
      </c>
      <c r="M185" s="677">
        <f t="shared" si="62"/>
        <v>0</v>
      </c>
      <c r="N185" s="677">
        <f t="shared" si="62"/>
        <v>0</v>
      </c>
      <c r="O185" s="677">
        <f t="shared" si="62"/>
        <v>0</v>
      </c>
      <c r="P185" s="677">
        <f t="shared" si="62"/>
        <v>0</v>
      </c>
      <c r="Q185" s="677">
        <f t="shared" si="62"/>
        <v>0</v>
      </c>
      <c r="R185" s="677">
        <f t="shared" si="62"/>
        <v>0</v>
      </c>
      <c r="S185" s="677">
        <f t="shared" si="62"/>
        <v>0</v>
      </c>
      <c r="T185" s="654">
        <f t="shared" si="59"/>
        <v>0</v>
      </c>
    </row>
    <row r="186" spans="1:20" ht="13.5" customHeight="1">
      <c r="A186" s="653">
        <f>'Budget-合并'!A186</f>
        <v>0</v>
      </c>
      <c r="B186" s="653">
        <f>'Budget-合并'!B186</f>
        <v>0</v>
      </c>
      <c r="C186" s="673">
        <f>'Budget-合并'!C186</f>
        <v>0</v>
      </c>
    </row>
    <row r="187" spans="1:20" ht="13.5" customHeight="1">
      <c r="A187" s="653" t="str">
        <f>'Budget-合并'!A187</f>
        <v>6301</v>
      </c>
      <c r="B187" s="653" t="str">
        <f>'Budget-合并'!B187</f>
        <v>营业外收入</v>
      </c>
      <c r="C187" s="673">
        <f>'Budget-合并'!C187</f>
        <v>0</v>
      </c>
      <c r="D187" s="676">
        <f t="shared" si="60"/>
        <v>0</v>
      </c>
      <c r="F187" s="676">
        <f t="shared" ca="1" si="61"/>
        <v>0</v>
      </c>
      <c r="H187" s="676">
        <f t="shared" ref="H187:S187" si="63">SUM(H188:H192)</f>
        <v>0</v>
      </c>
      <c r="I187" s="676">
        <f t="shared" si="63"/>
        <v>0</v>
      </c>
      <c r="J187" s="676">
        <f t="shared" si="63"/>
        <v>0</v>
      </c>
      <c r="K187" s="676">
        <f t="shared" si="63"/>
        <v>0</v>
      </c>
      <c r="L187" s="676">
        <f t="shared" si="63"/>
        <v>0</v>
      </c>
      <c r="M187" s="676">
        <f t="shared" si="63"/>
        <v>0</v>
      </c>
      <c r="N187" s="676">
        <f t="shared" si="63"/>
        <v>0</v>
      </c>
      <c r="O187" s="676">
        <f t="shared" si="63"/>
        <v>0</v>
      </c>
      <c r="P187" s="676">
        <f t="shared" si="63"/>
        <v>0</v>
      </c>
      <c r="Q187" s="676">
        <f t="shared" si="63"/>
        <v>0</v>
      </c>
      <c r="R187" s="676">
        <f t="shared" si="63"/>
        <v>0</v>
      </c>
      <c r="S187" s="676">
        <f t="shared" si="63"/>
        <v>0</v>
      </c>
      <c r="T187" s="676">
        <f t="shared" si="59"/>
        <v>0</v>
      </c>
    </row>
    <row r="188" spans="1:20" ht="13.5" customHeight="1">
      <c r="A188" s="653" t="str">
        <f>'Budget-合并'!A188</f>
        <v>6301.01</v>
      </c>
      <c r="B188" s="653" t="str">
        <f>'Budget-合并'!B188</f>
        <v>非流动资产处置利得</v>
      </c>
      <c r="C188" s="673">
        <f>'Budget-合并'!C188</f>
        <v>0</v>
      </c>
      <c r="D188" s="676">
        <f t="shared" si="60"/>
        <v>0</v>
      </c>
      <c r="F188" s="676">
        <f t="shared" ca="1" si="61"/>
        <v>0</v>
      </c>
      <c r="H188" s="676"/>
      <c r="I188" s="676"/>
      <c r="J188" s="676"/>
      <c r="K188" s="676"/>
      <c r="L188" s="676"/>
      <c r="M188" s="676"/>
      <c r="N188" s="676"/>
      <c r="O188" s="676"/>
      <c r="P188" s="676"/>
      <c r="Q188" s="676"/>
      <c r="R188" s="676"/>
      <c r="S188" s="676"/>
      <c r="T188" s="676">
        <f t="shared" si="59"/>
        <v>0</v>
      </c>
    </row>
    <row r="189" spans="1:20" ht="13.5" customHeight="1">
      <c r="A189" s="653" t="str">
        <f>'Budget-合并'!A189</f>
        <v>6301.02</v>
      </c>
      <c r="B189" s="653" t="str">
        <f>'Budget-合并'!B189</f>
        <v>债务重组利得</v>
      </c>
      <c r="C189" s="673">
        <f>'Budget-合并'!C189</f>
        <v>0</v>
      </c>
      <c r="D189" s="676">
        <f t="shared" si="60"/>
        <v>0</v>
      </c>
      <c r="F189" s="676">
        <f t="shared" ca="1" si="61"/>
        <v>0</v>
      </c>
      <c r="H189" s="676"/>
      <c r="I189" s="676"/>
      <c r="J189" s="676"/>
      <c r="K189" s="676"/>
      <c r="L189" s="676"/>
      <c r="M189" s="676"/>
      <c r="N189" s="676"/>
      <c r="O189" s="676"/>
      <c r="P189" s="676"/>
      <c r="Q189" s="676"/>
      <c r="R189" s="676"/>
      <c r="S189" s="676"/>
      <c r="T189" s="676">
        <f t="shared" si="59"/>
        <v>0</v>
      </c>
    </row>
    <row r="190" spans="1:20" ht="13.5" customHeight="1">
      <c r="A190" s="653" t="str">
        <f>'Budget-合并'!A190</f>
        <v>6301.03</v>
      </c>
      <c r="B190" s="653" t="str">
        <f>'Budget-合并'!B190</f>
        <v>盘盈利得</v>
      </c>
      <c r="C190" s="673">
        <f>'Budget-合并'!C190</f>
        <v>0</v>
      </c>
      <c r="D190" s="676">
        <f t="shared" si="60"/>
        <v>0</v>
      </c>
      <c r="F190" s="676">
        <f t="shared" ca="1" si="61"/>
        <v>0</v>
      </c>
      <c r="H190" s="676"/>
      <c r="I190" s="676"/>
      <c r="J190" s="676"/>
      <c r="K190" s="676"/>
      <c r="L190" s="676"/>
      <c r="M190" s="676"/>
      <c r="N190" s="676"/>
      <c r="O190" s="676"/>
      <c r="P190" s="676"/>
      <c r="Q190" s="676"/>
      <c r="R190" s="676"/>
      <c r="S190" s="676"/>
      <c r="T190" s="676">
        <f t="shared" si="59"/>
        <v>0</v>
      </c>
    </row>
    <row r="191" spans="1:20" ht="13.5" customHeight="1">
      <c r="A191" s="653" t="str">
        <f>'Budget-合并'!A191</f>
        <v>6301.04</v>
      </c>
      <c r="B191" s="653" t="str">
        <f>'Budget-合并'!B191</f>
        <v>捐赠利得</v>
      </c>
      <c r="C191" s="673">
        <f>'Budget-合并'!C191</f>
        <v>0</v>
      </c>
      <c r="D191" s="676">
        <f t="shared" si="60"/>
        <v>0</v>
      </c>
      <c r="F191" s="676">
        <f t="shared" ca="1" si="61"/>
        <v>0</v>
      </c>
      <c r="H191" s="676"/>
      <c r="I191" s="676"/>
      <c r="J191" s="676"/>
      <c r="K191" s="676"/>
      <c r="L191" s="676"/>
      <c r="M191" s="676"/>
      <c r="N191" s="676"/>
      <c r="O191" s="676"/>
      <c r="P191" s="676"/>
      <c r="Q191" s="676"/>
      <c r="R191" s="676"/>
      <c r="S191" s="676"/>
      <c r="T191" s="676">
        <f t="shared" si="59"/>
        <v>0</v>
      </c>
    </row>
    <row r="192" spans="1:20" ht="13.5" customHeight="1">
      <c r="A192" s="653" t="str">
        <f>'Budget-合并'!A192</f>
        <v>6301.99</v>
      </c>
      <c r="B192" s="653" t="str">
        <f>'Budget-合并'!B192</f>
        <v>其他</v>
      </c>
      <c r="C192" s="673">
        <f>'Budget-合并'!C192</f>
        <v>0</v>
      </c>
      <c r="D192" s="676">
        <f t="shared" si="60"/>
        <v>0</v>
      </c>
      <c r="F192" s="676">
        <f t="shared" ca="1" si="61"/>
        <v>0</v>
      </c>
      <c r="H192" s="676"/>
      <c r="I192" s="676"/>
      <c r="J192" s="676"/>
      <c r="K192" s="676"/>
      <c r="L192" s="676"/>
      <c r="M192" s="676"/>
      <c r="N192" s="676"/>
      <c r="O192" s="676"/>
      <c r="P192" s="676"/>
      <c r="Q192" s="676"/>
      <c r="R192" s="676"/>
      <c r="S192" s="676"/>
      <c r="T192" s="676">
        <f t="shared" si="59"/>
        <v>0</v>
      </c>
    </row>
    <row r="193" spans="1:20" ht="13.5" customHeight="1">
      <c r="A193" s="653" t="str">
        <f>'Budget-合并'!A193</f>
        <v>6402</v>
      </c>
      <c r="B193" s="653" t="str">
        <f>'Budget-合并'!B193</f>
        <v>其他业务成本</v>
      </c>
      <c r="C193" s="673">
        <f>'Budget-合并'!C193</f>
        <v>0</v>
      </c>
      <c r="D193" s="676">
        <f t="shared" si="60"/>
        <v>0</v>
      </c>
      <c r="F193" s="676">
        <f t="shared" ca="1" si="61"/>
        <v>0</v>
      </c>
      <c r="H193" s="676"/>
      <c r="I193" s="676"/>
      <c r="J193" s="676"/>
      <c r="K193" s="676"/>
      <c r="L193" s="676"/>
      <c r="M193" s="676"/>
      <c r="N193" s="676"/>
      <c r="O193" s="676"/>
      <c r="P193" s="676"/>
      <c r="Q193" s="676"/>
      <c r="R193" s="676"/>
      <c r="S193" s="676"/>
      <c r="T193" s="676">
        <f t="shared" si="59"/>
        <v>0</v>
      </c>
    </row>
    <row r="194" spans="1:20" ht="13.5" customHeight="1">
      <c r="A194" s="653" t="str">
        <f>'Budget-合并'!A194</f>
        <v>6701</v>
      </c>
      <c r="B194" s="653" t="str">
        <f>'Budget-合并'!B194</f>
        <v>资产减值损失</v>
      </c>
      <c r="C194" s="673" t="str">
        <f>'Budget-合并'!C194</f>
        <v>Impairment loss</v>
      </c>
      <c r="D194" s="676">
        <f t="shared" si="60"/>
        <v>0</v>
      </c>
      <c r="F194" s="676">
        <f t="shared" ca="1" si="61"/>
        <v>0</v>
      </c>
      <c r="H194" s="676"/>
      <c r="I194" s="676"/>
      <c r="J194" s="676"/>
      <c r="K194" s="676"/>
      <c r="L194" s="676"/>
      <c r="M194" s="676"/>
      <c r="N194" s="676"/>
      <c r="O194" s="676"/>
      <c r="P194" s="676"/>
      <c r="Q194" s="676"/>
      <c r="R194" s="676"/>
      <c r="S194" s="676"/>
      <c r="T194" s="676">
        <f t="shared" si="59"/>
        <v>0</v>
      </c>
    </row>
    <row r="195" spans="1:20" s="651" customFormat="1" ht="13.5" customHeight="1">
      <c r="A195" s="653" t="str">
        <f>'Budget-合并'!A195</f>
        <v>6711</v>
      </c>
      <c r="B195" s="653" t="str">
        <f>'Budget-合并'!B195</f>
        <v>营业外支出</v>
      </c>
      <c r="C195" s="673">
        <f>'Budget-合并'!C195</f>
        <v>0</v>
      </c>
      <c r="D195" s="676">
        <f t="shared" si="60"/>
        <v>0</v>
      </c>
      <c r="E195" s="654"/>
      <c r="F195" s="676">
        <f t="shared" ca="1" si="61"/>
        <v>0</v>
      </c>
      <c r="G195" s="654"/>
      <c r="H195" s="676">
        <f t="shared" ref="H195:S195" si="64">SUM(H196:H197)</f>
        <v>0</v>
      </c>
      <c r="I195" s="676">
        <f t="shared" si="64"/>
        <v>0</v>
      </c>
      <c r="J195" s="676">
        <f t="shared" si="64"/>
        <v>0</v>
      </c>
      <c r="K195" s="676">
        <f t="shared" si="64"/>
        <v>0</v>
      </c>
      <c r="L195" s="676">
        <f t="shared" si="64"/>
        <v>0</v>
      </c>
      <c r="M195" s="676">
        <f t="shared" si="64"/>
        <v>0</v>
      </c>
      <c r="N195" s="676">
        <f t="shared" si="64"/>
        <v>0</v>
      </c>
      <c r="O195" s="676">
        <f t="shared" si="64"/>
        <v>0</v>
      </c>
      <c r="P195" s="676">
        <f t="shared" si="64"/>
        <v>0</v>
      </c>
      <c r="Q195" s="676">
        <f t="shared" si="64"/>
        <v>0</v>
      </c>
      <c r="R195" s="676">
        <f t="shared" si="64"/>
        <v>0</v>
      </c>
      <c r="S195" s="676">
        <f t="shared" si="64"/>
        <v>0</v>
      </c>
      <c r="T195" s="676">
        <f t="shared" si="59"/>
        <v>0</v>
      </c>
    </row>
    <row r="196" spans="1:20" ht="13.5" customHeight="1">
      <c r="A196" s="653" t="str">
        <f>'Budget-合并'!A196</f>
        <v>6711.01</v>
      </c>
      <c r="B196" s="653" t="str">
        <f>'Budget-合并'!B196</f>
        <v>滞纳金</v>
      </c>
      <c r="C196" s="673">
        <f>'Budget-合并'!C196</f>
        <v>0</v>
      </c>
      <c r="D196" s="676">
        <f t="shared" si="60"/>
        <v>0</v>
      </c>
      <c r="F196" s="676">
        <f t="shared" ca="1" si="61"/>
        <v>0</v>
      </c>
      <c r="H196" s="676"/>
      <c r="I196" s="676"/>
      <c r="J196" s="676"/>
      <c r="K196" s="676"/>
      <c r="L196" s="676"/>
      <c r="M196" s="676"/>
      <c r="N196" s="676"/>
      <c r="O196" s="676"/>
      <c r="P196" s="676"/>
      <c r="Q196" s="676"/>
      <c r="R196" s="676"/>
      <c r="S196" s="676"/>
      <c r="T196" s="676">
        <f t="shared" si="59"/>
        <v>0</v>
      </c>
    </row>
    <row r="197" spans="1:20" ht="13.5" customHeight="1">
      <c r="A197" s="653" t="str">
        <f>'Budget-合并'!A197</f>
        <v>6711.02</v>
      </c>
      <c r="B197" s="653" t="str">
        <f>'Budget-合并'!B197</f>
        <v>非流动资产处置损失</v>
      </c>
      <c r="C197" s="673">
        <f>'Budget-合并'!C197</f>
        <v>0</v>
      </c>
      <c r="D197" s="676">
        <f t="shared" si="60"/>
        <v>0</v>
      </c>
      <c r="F197" s="676">
        <f t="shared" ca="1" si="61"/>
        <v>0</v>
      </c>
      <c r="H197" s="676"/>
      <c r="I197" s="676"/>
      <c r="J197" s="676"/>
      <c r="K197" s="676"/>
      <c r="L197" s="676"/>
      <c r="M197" s="676"/>
      <c r="N197" s="676"/>
      <c r="O197" s="676"/>
      <c r="P197" s="676"/>
      <c r="Q197" s="676"/>
      <c r="R197" s="676"/>
      <c r="S197" s="676"/>
      <c r="T197" s="676">
        <f t="shared" si="59"/>
        <v>0</v>
      </c>
    </row>
    <row r="198" spans="1:20" ht="13.5" customHeight="1">
      <c r="A198" s="653" t="str">
        <f>'Budget-合并'!A198</f>
        <v>6901</v>
      </c>
      <c r="B198" s="653" t="str">
        <f>'Budget-合并'!B198</f>
        <v>以前年度损益调整</v>
      </c>
      <c r="C198" s="673">
        <f>'Budget-合并'!C198</f>
        <v>0</v>
      </c>
      <c r="D198" s="676">
        <f t="shared" si="60"/>
        <v>0</v>
      </c>
      <c r="F198" s="676">
        <f t="shared" ca="1" si="61"/>
        <v>0</v>
      </c>
      <c r="H198" s="676"/>
      <c r="I198" s="676"/>
      <c r="J198" s="676"/>
      <c r="K198" s="676"/>
      <c r="L198" s="676"/>
      <c r="M198" s="676"/>
      <c r="N198" s="676"/>
      <c r="O198" s="676"/>
      <c r="P198" s="676"/>
      <c r="Q198" s="676"/>
      <c r="R198" s="676"/>
      <c r="S198" s="676"/>
      <c r="T198" s="676">
        <f t="shared" si="59"/>
        <v>0</v>
      </c>
    </row>
    <row r="199" spans="1:20" ht="13.5" customHeight="1">
      <c r="A199" s="672">
        <f>'Budget-合并'!A199</f>
        <v>0</v>
      </c>
      <c r="B199" s="672" t="str">
        <f>'Budget-合并'!B199</f>
        <v>营业外收入 (支-, 收+):</v>
      </c>
      <c r="C199" s="673">
        <f>'Budget-合并'!C199</f>
        <v>0</v>
      </c>
      <c r="D199" s="677">
        <f t="shared" si="60"/>
        <v>0</v>
      </c>
      <c r="F199" s="677">
        <f t="shared" ca="1" si="61"/>
        <v>0</v>
      </c>
      <c r="H199" s="677">
        <f t="shared" ref="H199:T199" si="65">H187-H193-H194-H195+H198</f>
        <v>0</v>
      </c>
      <c r="I199" s="677">
        <f t="shared" si="65"/>
        <v>0</v>
      </c>
      <c r="J199" s="677">
        <f t="shared" si="65"/>
        <v>0</v>
      </c>
      <c r="K199" s="677">
        <f t="shared" si="65"/>
        <v>0</v>
      </c>
      <c r="L199" s="677">
        <f t="shared" si="65"/>
        <v>0</v>
      </c>
      <c r="M199" s="677">
        <f t="shared" si="65"/>
        <v>0</v>
      </c>
      <c r="N199" s="677">
        <f t="shared" si="65"/>
        <v>0</v>
      </c>
      <c r="O199" s="677">
        <f t="shared" si="65"/>
        <v>0</v>
      </c>
      <c r="P199" s="677">
        <f t="shared" si="65"/>
        <v>0</v>
      </c>
      <c r="Q199" s="677">
        <f t="shared" si="65"/>
        <v>0</v>
      </c>
      <c r="R199" s="677">
        <f t="shared" si="65"/>
        <v>0</v>
      </c>
      <c r="S199" s="677">
        <f t="shared" si="65"/>
        <v>0</v>
      </c>
      <c r="T199" s="677">
        <f t="shared" si="65"/>
        <v>0</v>
      </c>
    </row>
    <row r="200" spans="1:20" ht="13.5" customHeight="1">
      <c r="A200" s="653">
        <f>'Budget-合并'!A200</f>
        <v>0</v>
      </c>
      <c r="B200" s="653">
        <f>'Budget-合并'!B200</f>
        <v>0</v>
      </c>
      <c r="C200" s="673">
        <f>'Budget-合并'!C200</f>
        <v>0</v>
      </c>
    </row>
    <row r="201" spans="1:20" ht="13.5" customHeight="1">
      <c r="A201" s="672">
        <f>'Budget-合并'!A201</f>
        <v>0</v>
      </c>
      <c r="B201" s="672" t="str">
        <f>'Budget-合并'!B201</f>
        <v>利润总额 (税前利润)</v>
      </c>
      <c r="C201" s="673">
        <f>'Budget-合并'!C201</f>
        <v>0</v>
      </c>
      <c r="D201" s="677">
        <f t="shared" ref="D201:D205" si="66">INDEX($H$8:$S$8,1,MATCH($D$6,$H$6:$S$6))</f>
        <v>0</v>
      </c>
      <c r="F201" s="677">
        <f t="shared" ref="F201:F205" ca="1" si="67">SUM($H201:OFFSET($H201,0,MATCH(F$6,$H$6:$S$6)-1))</f>
        <v>0</v>
      </c>
      <c r="H201" s="677">
        <f t="shared" ref="H201:T201" si="68">H185+H199</f>
        <v>0</v>
      </c>
      <c r="I201" s="677">
        <f t="shared" si="68"/>
        <v>0</v>
      </c>
      <c r="J201" s="677">
        <f t="shared" si="68"/>
        <v>0</v>
      </c>
      <c r="K201" s="677">
        <f t="shared" si="68"/>
        <v>0</v>
      </c>
      <c r="L201" s="677">
        <f t="shared" si="68"/>
        <v>0</v>
      </c>
      <c r="M201" s="677">
        <f t="shared" si="68"/>
        <v>0</v>
      </c>
      <c r="N201" s="677">
        <f t="shared" si="68"/>
        <v>0</v>
      </c>
      <c r="O201" s="677">
        <f t="shared" si="68"/>
        <v>0</v>
      </c>
      <c r="P201" s="677">
        <f t="shared" si="68"/>
        <v>0</v>
      </c>
      <c r="Q201" s="677">
        <f t="shared" si="68"/>
        <v>0</v>
      </c>
      <c r="R201" s="677">
        <f t="shared" si="68"/>
        <v>0</v>
      </c>
      <c r="S201" s="677">
        <f t="shared" si="68"/>
        <v>0</v>
      </c>
      <c r="T201" s="677">
        <f t="shared" si="68"/>
        <v>0</v>
      </c>
    </row>
    <row r="202" spans="1:20" ht="13.5" customHeight="1">
      <c r="A202" s="653">
        <f>'Budget-合并'!A202</f>
        <v>0</v>
      </c>
      <c r="B202" s="653">
        <f>'Budget-合并'!B202</f>
        <v>0</v>
      </c>
      <c r="C202" s="673">
        <f>'Budget-合并'!C202</f>
        <v>0</v>
      </c>
    </row>
    <row r="203" spans="1:20" ht="13.5" customHeight="1">
      <c r="A203" s="653" t="str">
        <f>'Budget-合并'!A203</f>
        <v>6801.01</v>
      </c>
      <c r="B203" s="653" t="str">
        <f>'Budget-合并'!B203</f>
        <v>当期所得税费用</v>
      </c>
      <c r="C203" s="673" t="str">
        <f>'Budget-合并'!C203</f>
        <v>Enterprise Income Tax</v>
      </c>
      <c r="D203" s="676">
        <f t="shared" si="66"/>
        <v>0</v>
      </c>
      <c r="F203" s="676">
        <f t="shared" ca="1" si="67"/>
        <v>0</v>
      </c>
      <c r="H203" s="676"/>
      <c r="I203" s="676"/>
      <c r="J203" s="676"/>
      <c r="K203" s="676"/>
      <c r="L203" s="676"/>
      <c r="M203" s="676"/>
      <c r="N203" s="676"/>
      <c r="O203" s="676"/>
      <c r="P203" s="676"/>
      <c r="Q203" s="676"/>
      <c r="R203" s="676"/>
      <c r="S203" s="676"/>
      <c r="T203" s="676">
        <f t="shared" ref="T203:T205" si="69">SUM(H203:S203)</f>
        <v>0</v>
      </c>
    </row>
    <row r="204" spans="1:20" ht="13.5" customHeight="1">
      <c r="A204" s="653" t="str">
        <f>'Budget-合并'!A204</f>
        <v>6801.02</v>
      </c>
      <c r="B204" s="653" t="str">
        <f>'Budget-合并'!B204</f>
        <v>递延所得税费用</v>
      </c>
      <c r="C204" s="673">
        <f>'Budget-合并'!C204</f>
        <v>0</v>
      </c>
      <c r="D204" s="676">
        <f t="shared" si="66"/>
        <v>0</v>
      </c>
      <c r="F204" s="676">
        <f t="shared" ca="1" si="67"/>
        <v>0</v>
      </c>
      <c r="H204" s="676"/>
      <c r="I204" s="676"/>
      <c r="J204" s="676"/>
      <c r="K204" s="676"/>
      <c r="L204" s="676"/>
      <c r="M204" s="676"/>
      <c r="N204" s="676"/>
      <c r="O204" s="676"/>
      <c r="P204" s="676"/>
      <c r="Q204" s="676"/>
      <c r="R204" s="676"/>
      <c r="S204" s="676"/>
      <c r="T204" s="676">
        <f t="shared" si="69"/>
        <v>0</v>
      </c>
    </row>
    <row r="205" spans="1:20" ht="13.5" customHeight="1">
      <c r="A205" s="653" t="str">
        <f>'Budget-合并'!A205</f>
        <v>6801.03</v>
      </c>
      <c r="B205" s="653" t="str">
        <f>'Budget-合并'!B205</f>
        <v>以前年度所得税费用</v>
      </c>
      <c r="C205" s="673">
        <f>'Budget-合并'!C205</f>
        <v>0</v>
      </c>
      <c r="D205" s="676">
        <f t="shared" si="66"/>
        <v>0</v>
      </c>
      <c r="F205" s="676">
        <f t="shared" ca="1" si="67"/>
        <v>0</v>
      </c>
      <c r="H205" s="676"/>
      <c r="I205" s="676"/>
      <c r="J205" s="676"/>
      <c r="K205" s="676"/>
      <c r="L205" s="676"/>
      <c r="M205" s="676"/>
      <c r="N205" s="676"/>
      <c r="O205" s="676"/>
      <c r="P205" s="676"/>
      <c r="Q205" s="676"/>
      <c r="R205" s="676"/>
      <c r="S205" s="676"/>
      <c r="T205" s="676">
        <f t="shared" si="69"/>
        <v>0</v>
      </c>
    </row>
    <row r="206" spans="1:20" ht="13.5" customHeight="1">
      <c r="A206" s="653">
        <f>'Budget-合并'!A206</f>
        <v>0</v>
      </c>
      <c r="B206" s="653">
        <f>'Budget-合并'!B206</f>
        <v>0</v>
      </c>
      <c r="C206" s="673">
        <f>'Budget-合并'!C206</f>
        <v>0</v>
      </c>
    </row>
    <row r="207" spans="1:20" ht="13.5" customHeight="1">
      <c r="A207" s="672">
        <f>'Budget-合并'!A207</f>
        <v>0</v>
      </c>
      <c r="B207" s="672" t="str">
        <f>'Budget-合并'!B207</f>
        <v>五  税后利润</v>
      </c>
      <c r="C207" s="673">
        <f>'Budget-合并'!C207</f>
        <v>0</v>
      </c>
      <c r="D207" s="677">
        <f>INDEX($H$8:$S$8,1,MATCH($D$6,$H$6:$S$6))</f>
        <v>0</v>
      </c>
      <c r="F207" s="677">
        <f ca="1">SUM($H207:OFFSET($H207,0,MATCH(F$6,$H$6:$S$6)-1))</f>
        <v>0</v>
      </c>
      <c r="H207" s="677">
        <f t="shared" ref="H207:T207" si="70">H201-H203-H204-H205</f>
        <v>0</v>
      </c>
      <c r="I207" s="677">
        <f t="shared" si="70"/>
        <v>0</v>
      </c>
      <c r="J207" s="677">
        <f t="shared" si="70"/>
        <v>0</v>
      </c>
      <c r="K207" s="677">
        <f t="shared" si="70"/>
        <v>0</v>
      </c>
      <c r="L207" s="677">
        <f t="shared" si="70"/>
        <v>0</v>
      </c>
      <c r="M207" s="677">
        <f t="shared" si="70"/>
        <v>0</v>
      </c>
      <c r="N207" s="677">
        <f t="shared" si="70"/>
        <v>0</v>
      </c>
      <c r="O207" s="677">
        <f t="shared" si="70"/>
        <v>0</v>
      </c>
      <c r="P207" s="677">
        <f t="shared" si="70"/>
        <v>0</v>
      </c>
      <c r="Q207" s="677">
        <f t="shared" si="70"/>
        <v>0</v>
      </c>
      <c r="R207" s="677">
        <f t="shared" si="70"/>
        <v>0</v>
      </c>
      <c r="S207" s="677">
        <f t="shared" si="70"/>
        <v>0</v>
      </c>
      <c r="T207" s="677">
        <f t="shared" si="70"/>
        <v>0</v>
      </c>
    </row>
    <row r="208" spans="1:20" ht="13.5" customHeight="1">
      <c r="A208" s="653">
        <f>'Budget-合并'!A208</f>
        <v>0</v>
      </c>
      <c r="C208" s="673">
        <f>'Budget-合并'!C208</f>
        <v>0</v>
      </c>
    </row>
    <row r="209" spans="1:1" ht="13.5" customHeight="1">
      <c r="A209" s="653">
        <f>'Budget-合并'!A209</f>
        <v>0</v>
      </c>
    </row>
    <row r="210" spans="1:1" ht="13.5" customHeight="1">
      <c r="A210" s="653">
        <f>'Budget-合并'!A210</f>
        <v>0</v>
      </c>
    </row>
    <row r="211" spans="1:1" ht="13.5" customHeight="1">
      <c r="A211" s="653">
        <f>'Budget-合并'!A211</f>
        <v>0</v>
      </c>
    </row>
    <row r="212" spans="1:1" ht="13.5" customHeight="1">
      <c r="A212" s="653">
        <f>'Budget-合并'!A212</f>
        <v>0</v>
      </c>
    </row>
    <row r="213" spans="1:1" ht="13.5" customHeight="1">
      <c r="A213" s="653">
        <f>'Budget-合并'!A213</f>
        <v>0</v>
      </c>
    </row>
    <row r="214" spans="1:1" ht="13.5" customHeight="1">
      <c r="A214" s="653">
        <f>'Budget-合并'!A214</f>
        <v>0</v>
      </c>
    </row>
    <row r="215" spans="1:1" ht="13.5" customHeight="1">
      <c r="A215" s="653">
        <f>'Budget-合并'!A215</f>
        <v>0</v>
      </c>
    </row>
    <row r="216" spans="1:1" ht="13.5" customHeight="1">
      <c r="A216" s="653">
        <f>'Budget-合并'!A216</f>
        <v>0</v>
      </c>
    </row>
    <row r="217" spans="1:1" ht="13.5" customHeight="1">
      <c r="A217" s="653">
        <f>'Budget-合并'!A217</f>
        <v>0</v>
      </c>
    </row>
    <row r="218" spans="1:1" ht="13.5" customHeight="1">
      <c r="A218" s="653">
        <f>'Budget-合并'!A218</f>
        <v>0</v>
      </c>
    </row>
    <row r="219" spans="1:1" ht="13.5" customHeight="1">
      <c r="A219" s="653">
        <f>'Budget-合并'!A219</f>
        <v>0</v>
      </c>
    </row>
  </sheetData>
  <conditionalFormatting sqref="H5:T5">
    <cfRule type="cellIs" dxfId="96" priority="1" stopIfTrue="1" operator="equal">
      <formula>"Actual"</formula>
    </cfRule>
    <cfRule type="cellIs" dxfId="95" priority="2" stopIfTrue="1" operator="equal">
      <formula>"Forecast"</formula>
    </cfRule>
    <cfRule type="cellIs" dxfId="94" priority="3" stopIfTrue="1" operator="equal">
      <formula>"Budget"</formula>
    </cfRule>
  </conditionalFormatting>
  <dataValidations count="1">
    <dataValidation type="list" allowBlank="1" showInputMessage="1" showErrorMessage="1" sqref="H5:T5" xr:uid="{00000000-0002-0000-1100-000000000000}">
      <formula1>"Actual,Forecast,Budget"</formula1>
    </dataValidation>
  </dataValidations>
  <printOptions horizontalCentered="1" headings="1" gridLines="1"/>
  <pageMargins left="0.39" right="0.35" top="0.59" bottom="0.59" header="0.31" footer="0.31"/>
  <pageSetup paperSize="8" scale="26" orientation="landscape" cellComments="asDisplayed" r:id="rId1"/>
  <headerFooter scaleWithDoc="0" alignWithMargins="0">
    <oddFooter>&amp;L&amp;"Arial,Regular"&amp;8&amp;Z
&amp;F  
&amp;A&amp;CPage &amp;P of &amp;N
&amp;R&amp;"Times New Roman,Regular"&amp;8&amp;D
&amp;T</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pageSetUpPr fitToPage="1"/>
  </sheetPr>
  <dimension ref="A1:T219"/>
  <sheetViews>
    <sheetView workbookViewId="0"/>
  </sheetViews>
  <sheetFormatPr defaultColWidth="8.75" defaultRowHeight="13.5" customHeight="1"/>
  <cols>
    <col min="1" max="1" width="12.375" style="652" customWidth="1"/>
    <col min="2" max="2" width="17.75" style="653" customWidth="1"/>
    <col min="3" max="3" width="15.875" style="652" customWidth="1"/>
    <col min="4" max="4" width="12.25" style="654" customWidth="1"/>
    <col min="5" max="5" width="2.625" style="654" customWidth="1"/>
    <col min="6" max="6" width="12.25" style="654" customWidth="1"/>
    <col min="7" max="7" width="2.625" style="654" customWidth="1"/>
    <col min="8" max="19" width="10.375" style="652" customWidth="1"/>
    <col min="20" max="20" width="8.5" style="652" customWidth="1"/>
    <col min="21" max="22" width="8.75" style="652" customWidth="1"/>
    <col min="23" max="16384" width="8.75" style="652"/>
  </cols>
  <sheetData>
    <row r="1" spans="1:20" s="647" customFormat="1" ht="16.5" customHeight="1">
      <c r="B1" s="655" t="s">
        <v>2482</v>
      </c>
      <c r="C1" s="656"/>
      <c r="D1" s="657" t="s">
        <v>2111</v>
      </c>
      <c r="E1" s="658"/>
      <c r="F1" s="658"/>
      <c r="G1" s="658"/>
    </row>
    <row r="2" spans="1:20" s="647" customFormat="1" ht="16.5" customHeight="1">
      <c r="B2" s="659"/>
      <c r="D2" s="658"/>
      <c r="E2" s="658"/>
      <c r="F2" s="658"/>
      <c r="G2" s="658"/>
    </row>
    <row r="3" spans="1:20" s="647" customFormat="1" ht="16.5" customHeight="1">
      <c r="B3" s="660" t="s">
        <v>2484</v>
      </c>
      <c r="C3" s="661"/>
      <c r="D3" s="658"/>
      <c r="E3" s="658"/>
      <c r="F3" s="658"/>
      <c r="G3" s="658"/>
    </row>
    <row r="4" spans="1:20" ht="16.5" customHeight="1">
      <c r="H4" s="662"/>
    </row>
    <row r="5" spans="1:20" ht="13.5" customHeight="1">
      <c r="B5" s="663"/>
      <c r="D5" s="664" t="s">
        <v>2497</v>
      </c>
      <c r="F5" s="664" t="s">
        <v>2500</v>
      </c>
      <c r="G5" s="665"/>
      <c r="H5" s="666" t="s">
        <v>2502</v>
      </c>
      <c r="I5" s="666" t="s">
        <v>2502</v>
      </c>
      <c r="J5" s="666" t="s">
        <v>2502</v>
      </c>
      <c r="K5" s="666" t="s">
        <v>2502</v>
      </c>
      <c r="L5" s="666" t="s">
        <v>2502</v>
      </c>
      <c r="M5" s="666" t="s">
        <v>2502</v>
      </c>
      <c r="N5" s="666" t="s">
        <v>2502</v>
      </c>
      <c r="O5" s="666" t="s">
        <v>2502</v>
      </c>
      <c r="P5" s="666" t="s">
        <v>2502</v>
      </c>
      <c r="Q5" s="666" t="s">
        <v>2502</v>
      </c>
      <c r="R5" s="666" t="s">
        <v>2502</v>
      </c>
      <c r="S5" s="666" t="s">
        <v>2502</v>
      </c>
      <c r="T5" s="666" t="s">
        <v>2502</v>
      </c>
    </row>
    <row r="6" spans="1:20" s="648" customFormat="1" ht="13.5" customHeight="1">
      <c r="A6" s="649" t="s">
        <v>2488</v>
      </c>
      <c r="B6" s="667"/>
      <c r="D6" s="668">
        <f>'Flash Report'!$C$2</f>
        <v>46023</v>
      </c>
      <c r="E6" s="654"/>
      <c r="F6" s="668">
        <f>D6</f>
        <v>46023</v>
      </c>
      <c r="G6" s="669"/>
      <c r="H6" s="670">
        <v>46023</v>
      </c>
      <c r="I6" s="670">
        <v>46054</v>
      </c>
      <c r="J6" s="670">
        <v>46082</v>
      </c>
      <c r="K6" s="670">
        <v>46113</v>
      </c>
      <c r="L6" s="670">
        <v>46143</v>
      </c>
      <c r="M6" s="670">
        <v>46174</v>
      </c>
      <c r="N6" s="670">
        <v>46204</v>
      </c>
      <c r="O6" s="670">
        <v>46235</v>
      </c>
      <c r="P6" s="670">
        <v>46266</v>
      </c>
      <c r="Q6" s="670">
        <v>46296</v>
      </c>
      <c r="R6" s="670">
        <v>46327</v>
      </c>
      <c r="S6" s="670">
        <v>46357</v>
      </c>
      <c r="T6" s="671" t="s">
        <v>2504</v>
      </c>
    </row>
    <row r="7" spans="1:20" s="649" customFormat="1" ht="13.5" customHeight="1">
      <c r="A7" s="653" t="str">
        <f>'Budget-合并'!A7</f>
        <v>6001</v>
      </c>
      <c r="B7" s="672" t="str">
        <f>'Budget-合并'!B7</f>
        <v>营业收入</v>
      </c>
      <c r="C7" s="673">
        <f>VLOOKUP(A7,Account!A:F,4,0)</f>
        <v>0</v>
      </c>
      <c r="D7" s="674"/>
      <c r="E7" s="674"/>
      <c r="F7" s="674"/>
      <c r="G7" s="674"/>
      <c r="H7" s="674"/>
      <c r="I7" s="674"/>
      <c r="J7" s="674"/>
      <c r="K7" s="674"/>
      <c r="L7" s="674"/>
      <c r="M7" s="674"/>
      <c r="N7" s="674"/>
      <c r="O7" s="674"/>
      <c r="P7" s="674"/>
      <c r="Q7" s="674"/>
      <c r="R7" s="674"/>
      <c r="S7" s="674"/>
      <c r="T7" s="674"/>
    </row>
    <row r="8" spans="1:20" ht="13.5" customHeight="1">
      <c r="A8" s="653" t="str">
        <f>'Budget-合并'!A8</f>
        <v>6001.01</v>
      </c>
      <c r="B8" s="675" t="str">
        <f>'Budget-合并'!B8</f>
        <v>基金管理费收入</v>
      </c>
      <c r="C8" s="673" t="str">
        <f>'Budget-合并'!C8</f>
        <v>Fund Management Fee</v>
      </c>
      <c r="D8" s="676">
        <f t="shared" ref="D8:D12" si="0">INDEX($H$8:$S$8,1,MATCH($D$6,$H$6:$S$6))</f>
        <v>0</v>
      </c>
      <c r="F8" s="676">
        <f t="shared" ref="F8:F12" ca="1" si="1">SUM($H8:OFFSET($H8,0,MATCH(F$6,$H$6:$S$6)-1))</f>
        <v>0</v>
      </c>
      <c r="H8" s="676"/>
      <c r="I8" s="676"/>
      <c r="J8" s="676"/>
      <c r="K8" s="676"/>
      <c r="L8" s="676"/>
      <c r="M8" s="676"/>
      <c r="N8" s="676"/>
      <c r="O8" s="676"/>
      <c r="P8" s="676"/>
      <c r="Q8" s="676"/>
      <c r="R8" s="676"/>
      <c r="S8" s="676"/>
      <c r="T8" s="676">
        <f t="shared" ref="T8:T11" si="2">SUM(H8:S8)</f>
        <v>0</v>
      </c>
    </row>
    <row r="9" spans="1:20" ht="13.5" customHeight="1">
      <c r="A9" s="653" t="str">
        <f>'Budget-合并'!A9</f>
        <v>6001.02</v>
      </c>
      <c r="B9" s="675" t="str">
        <f>'Budget-合并'!B9</f>
        <v>咨询服务费收入</v>
      </c>
      <c r="C9" s="673" t="str">
        <f>'Budget-合并'!C9</f>
        <v>Advisory Fee Income</v>
      </c>
      <c r="D9" s="676">
        <f t="shared" si="0"/>
        <v>0</v>
      </c>
      <c r="F9" s="676">
        <f t="shared" ca="1" si="1"/>
        <v>0</v>
      </c>
      <c r="H9" s="676">
        <f t="shared" ref="H9:S9" si="3">SUM(H10:H11)</f>
        <v>0</v>
      </c>
      <c r="I9" s="676">
        <f t="shared" si="3"/>
        <v>0</v>
      </c>
      <c r="J9" s="676">
        <f t="shared" si="3"/>
        <v>0</v>
      </c>
      <c r="K9" s="676">
        <f t="shared" si="3"/>
        <v>0</v>
      </c>
      <c r="L9" s="676">
        <f t="shared" si="3"/>
        <v>0</v>
      </c>
      <c r="M9" s="676">
        <f t="shared" si="3"/>
        <v>0</v>
      </c>
      <c r="N9" s="676">
        <f t="shared" si="3"/>
        <v>0</v>
      </c>
      <c r="O9" s="676">
        <f t="shared" si="3"/>
        <v>0</v>
      </c>
      <c r="P9" s="676">
        <f t="shared" si="3"/>
        <v>0</v>
      </c>
      <c r="Q9" s="676">
        <f t="shared" si="3"/>
        <v>0</v>
      </c>
      <c r="R9" s="676">
        <f t="shared" si="3"/>
        <v>0</v>
      </c>
      <c r="S9" s="676">
        <f t="shared" si="3"/>
        <v>0</v>
      </c>
      <c r="T9" s="676">
        <f t="shared" si="2"/>
        <v>0</v>
      </c>
    </row>
    <row r="10" spans="1:20" ht="13.5" customHeight="1">
      <c r="A10" s="653">
        <f>'Budget-合并'!A10</f>
        <v>0</v>
      </c>
      <c r="B10" s="675" t="str">
        <f>'Budget-合并'!B10</f>
        <v xml:space="preserve">   辉飏咨询服务费</v>
      </c>
      <c r="C10" s="673" t="str">
        <f>'Budget-合并'!C10</f>
        <v xml:space="preserve">  HYNE</v>
      </c>
      <c r="D10" s="676">
        <f t="shared" si="0"/>
        <v>0</v>
      </c>
      <c r="F10" s="676">
        <f t="shared" ca="1" si="1"/>
        <v>0</v>
      </c>
      <c r="H10" s="676"/>
      <c r="I10" s="676"/>
      <c r="J10" s="676"/>
      <c r="K10" s="676"/>
      <c r="L10" s="676"/>
      <c r="M10" s="676"/>
      <c r="N10" s="676"/>
      <c r="O10" s="676"/>
      <c r="P10" s="676"/>
      <c r="Q10" s="676"/>
      <c r="R10" s="676"/>
      <c r="S10" s="676"/>
      <c r="T10" s="676">
        <f t="shared" si="2"/>
        <v>0</v>
      </c>
    </row>
    <row r="11" spans="1:20" ht="13.5" customHeight="1">
      <c r="A11" s="653">
        <f>'Budget-合并'!A11</f>
        <v>0</v>
      </c>
      <c r="B11" s="675" t="str">
        <f>'Budget-合并'!B11</f>
        <v xml:space="preserve">      MAA咨询管理费</v>
      </c>
      <c r="C11" s="673" t="str">
        <f>'Budget-合并'!C11</f>
        <v xml:space="preserve">  MAA</v>
      </c>
      <c r="D11" s="676">
        <f t="shared" si="0"/>
        <v>0</v>
      </c>
      <c r="F11" s="676">
        <f t="shared" ca="1" si="1"/>
        <v>0</v>
      </c>
      <c r="H11" s="676"/>
      <c r="I11" s="676"/>
      <c r="J11" s="676"/>
      <c r="K11" s="676"/>
      <c r="L11" s="676"/>
      <c r="M11" s="676"/>
      <c r="N11" s="676"/>
      <c r="O11" s="676"/>
      <c r="P11" s="676"/>
      <c r="Q11" s="676"/>
      <c r="R11" s="676"/>
      <c r="S11" s="676"/>
      <c r="T11" s="676">
        <f t="shared" si="2"/>
        <v>0</v>
      </c>
    </row>
    <row r="12" spans="1:20" s="650" customFormat="1" ht="13.5" customHeight="1">
      <c r="A12" s="653">
        <f>'Budget-合并'!A12</f>
        <v>0</v>
      </c>
      <c r="B12" s="672" t="str">
        <f>'Budget-合并'!B12</f>
        <v>营业收入合计</v>
      </c>
      <c r="C12" s="673">
        <f>'Budget-合并'!C12</f>
        <v>0</v>
      </c>
      <c r="D12" s="654">
        <f t="shared" si="0"/>
        <v>0</v>
      </c>
      <c r="E12" s="654"/>
      <c r="F12" s="654">
        <f t="shared" ca="1" si="1"/>
        <v>0</v>
      </c>
      <c r="G12" s="654"/>
      <c r="H12" s="654">
        <f t="shared" ref="H12:T12" si="4">SUM(H8,H9)</f>
        <v>0</v>
      </c>
      <c r="I12" s="654">
        <f t="shared" si="4"/>
        <v>0</v>
      </c>
      <c r="J12" s="654">
        <f t="shared" si="4"/>
        <v>0</v>
      </c>
      <c r="K12" s="654">
        <f t="shared" si="4"/>
        <v>0</v>
      </c>
      <c r="L12" s="654">
        <f t="shared" si="4"/>
        <v>0</v>
      </c>
      <c r="M12" s="654">
        <f t="shared" si="4"/>
        <v>0</v>
      </c>
      <c r="N12" s="654">
        <f t="shared" si="4"/>
        <v>0</v>
      </c>
      <c r="O12" s="654">
        <f t="shared" si="4"/>
        <v>0</v>
      </c>
      <c r="P12" s="654">
        <f t="shared" si="4"/>
        <v>0</v>
      </c>
      <c r="Q12" s="654">
        <f t="shared" si="4"/>
        <v>0</v>
      </c>
      <c r="R12" s="654">
        <f t="shared" si="4"/>
        <v>0</v>
      </c>
      <c r="S12" s="654">
        <f t="shared" si="4"/>
        <v>0</v>
      </c>
      <c r="T12" s="654">
        <f t="shared" si="4"/>
        <v>0</v>
      </c>
    </row>
    <row r="13" spans="1:20" ht="13.5" customHeight="1">
      <c r="A13" s="653">
        <f>'Budget-合并'!A13</f>
        <v>0</v>
      </c>
      <c r="B13" s="653">
        <f>'Budget-合并'!B13</f>
        <v>0</v>
      </c>
      <c r="C13" s="673">
        <f>'Budget-合并'!C13</f>
        <v>0</v>
      </c>
      <c r="H13" s="654"/>
      <c r="I13" s="654"/>
      <c r="J13" s="654"/>
      <c r="K13" s="654"/>
      <c r="L13" s="654"/>
      <c r="M13" s="654"/>
      <c r="N13" s="654"/>
      <c r="O13" s="654"/>
      <c r="P13" s="654"/>
      <c r="Q13" s="654"/>
      <c r="R13" s="654"/>
      <c r="S13" s="654"/>
      <c r="T13" s="654"/>
    </row>
    <row r="14" spans="1:20" ht="13.5" customHeight="1">
      <c r="A14" s="653" t="str">
        <f>'Budget-合并'!A14</f>
        <v>6405.01</v>
      </c>
      <c r="B14" s="653" t="str">
        <f>'Budget-合并'!B14</f>
        <v>印花税</v>
      </c>
      <c r="C14" s="673" t="str">
        <f>'Budget-合并'!C14</f>
        <v>Stamp Duty</v>
      </c>
      <c r="D14" s="676">
        <f t="shared" ref="D14:D19" si="5">INDEX($H$8:$S$8,1,MATCH($D$6,$H$6:$S$6))</f>
        <v>0</v>
      </c>
      <c r="F14" s="676">
        <f t="shared" ref="F14:F19" ca="1" si="6">SUM($H14:OFFSET($H14,0,MATCH(F$6,$H$6:$S$6)-1))</f>
        <v>0</v>
      </c>
      <c r="H14" s="676"/>
      <c r="I14" s="676"/>
      <c r="J14" s="676"/>
      <c r="K14" s="676"/>
      <c r="L14" s="676"/>
      <c r="M14" s="676"/>
      <c r="N14" s="676"/>
      <c r="O14" s="676"/>
      <c r="P14" s="676"/>
      <c r="Q14" s="676"/>
      <c r="R14" s="676"/>
      <c r="S14" s="676"/>
      <c r="T14" s="676">
        <f t="shared" ref="T14:T18" si="7">SUM(H14:S14)</f>
        <v>0</v>
      </c>
    </row>
    <row r="15" spans="1:20" ht="13.5" customHeight="1">
      <c r="A15" s="653" t="str">
        <f>'Budget-合并'!A15</f>
        <v>6405.02</v>
      </c>
      <c r="B15" s="653" t="str">
        <f>'Budget-合并'!B15</f>
        <v>城市维护建设税</v>
      </c>
      <c r="C15" s="673" t="str">
        <f>'Budget-合并'!C15</f>
        <v>VAT surcharge</v>
      </c>
      <c r="D15" s="676">
        <f t="shared" si="5"/>
        <v>0</v>
      </c>
      <c r="F15" s="676">
        <f t="shared" ca="1" si="6"/>
        <v>0</v>
      </c>
      <c r="H15" s="676"/>
      <c r="I15" s="676"/>
      <c r="J15" s="676"/>
      <c r="K15" s="676"/>
      <c r="L15" s="676"/>
      <c r="M15" s="676"/>
      <c r="N15" s="676"/>
      <c r="O15" s="676"/>
      <c r="P15" s="676"/>
      <c r="Q15" s="676"/>
      <c r="R15" s="676"/>
      <c r="S15" s="676"/>
      <c r="T15" s="676">
        <f t="shared" si="7"/>
        <v>0</v>
      </c>
    </row>
    <row r="16" spans="1:20" ht="13.5" customHeight="1">
      <c r="A16" s="653" t="str">
        <f>'Budget-合并'!A16</f>
        <v>6405.03</v>
      </c>
      <c r="B16" s="653" t="str">
        <f>'Budget-合并'!B16</f>
        <v>教育费附加</v>
      </c>
      <c r="C16" s="673" t="str">
        <f>'Budget-合并'!C16</f>
        <v>VAT surcharge</v>
      </c>
      <c r="D16" s="676">
        <f t="shared" si="5"/>
        <v>0</v>
      </c>
      <c r="F16" s="676">
        <f t="shared" ca="1" si="6"/>
        <v>0</v>
      </c>
      <c r="H16" s="676"/>
      <c r="I16" s="676"/>
      <c r="J16" s="676"/>
      <c r="K16" s="676"/>
      <c r="L16" s="676"/>
      <c r="M16" s="676"/>
      <c r="N16" s="676"/>
      <c r="O16" s="676"/>
      <c r="P16" s="676"/>
      <c r="Q16" s="676"/>
      <c r="R16" s="676"/>
      <c r="S16" s="676"/>
      <c r="T16" s="676">
        <f t="shared" si="7"/>
        <v>0</v>
      </c>
    </row>
    <row r="17" spans="1:20" ht="13.5" customHeight="1">
      <c r="A17" s="653" t="str">
        <f>'Budget-合并'!A17</f>
        <v>6405.04</v>
      </c>
      <c r="B17" s="653" t="str">
        <f>'Budget-合并'!B17</f>
        <v>地方教育附加</v>
      </c>
      <c r="C17" s="673" t="str">
        <f>'Budget-合并'!C17</f>
        <v>VAT surcharge</v>
      </c>
      <c r="D17" s="676">
        <f t="shared" si="5"/>
        <v>0</v>
      </c>
      <c r="F17" s="676">
        <f t="shared" ca="1" si="6"/>
        <v>0</v>
      </c>
      <c r="H17" s="676"/>
      <c r="I17" s="676"/>
      <c r="J17" s="676"/>
      <c r="K17" s="676"/>
      <c r="L17" s="676"/>
      <c r="M17" s="676"/>
      <c r="N17" s="676"/>
      <c r="O17" s="676"/>
      <c r="P17" s="676"/>
      <c r="Q17" s="676"/>
      <c r="R17" s="676"/>
      <c r="S17" s="676"/>
      <c r="T17" s="676">
        <f t="shared" si="7"/>
        <v>0</v>
      </c>
    </row>
    <row r="18" spans="1:20" ht="13.5" customHeight="1">
      <c r="A18" s="653" t="str">
        <f>'Budget-合并'!A18</f>
        <v>6405.05</v>
      </c>
      <c r="B18" s="653" t="str">
        <f>'Budget-合并'!B18</f>
        <v>水利建设基金</v>
      </c>
      <c r="C18" s="673">
        <f>'Budget-合并'!C18</f>
        <v>0</v>
      </c>
      <c r="D18" s="676">
        <f t="shared" si="5"/>
        <v>0</v>
      </c>
      <c r="F18" s="676">
        <f t="shared" ca="1" si="6"/>
        <v>0</v>
      </c>
      <c r="H18" s="676"/>
      <c r="I18" s="676"/>
      <c r="J18" s="676"/>
      <c r="K18" s="676"/>
      <c r="L18" s="676"/>
      <c r="M18" s="676"/>
      <c r="N18" s="676"/>
      <c r="O18" s="676"/>
      <c r="P18" s="676"/>
      <c r="Q18" s="676"/>
      <c r="R18" s="676"/>
      <c r="S18" s="676"/>
      <c r="T18" s="676">
        <f t="shared" si="7"/>
        <v>0</v>
      </c>
    </row>
    <row r="19" spans="1:20" s="650" customFormat="1" ht="13.5" customHeight="1">
      <c r="A19" s="672">
        <f>'Budget-合并'!A19</f>
        <v>6401</v>
      </c>
      <c r="B19" s="672" t="str">
        <f>'Budget-合并'!B19</f>
        <v>税金及附加小计</v>
      </c>
      <c r="C19" s="673">
        <f>'Budget-合并'!C19</f>
        <v>0</v>
      </c>
      <c r="D19" s="654">
        <f t="shared" si="5"/>
        <v>0</v>
      </c>
      <c r="E19" s="654"/>
      <c r="F19" s="654">
        <f t="shared" ca="1" si="6"/>
        <v>0</v>
      </c>
      <c r="G19" s="654"/>
      <c r="H19" s="654">
        <f t="shared" ref="H19:T19" si="8">SUM(H14:H18)</f>
        <v>0</v>
      </c>
      <c r="I19" s="654">
        <f t="shared" si="8"/>
        <v>0</v>
      </c>
      <c r="J19" s="654">
        <f t="shared" si="8"/>
        <v>0</v>
      </c>
      <c r="K19" s="654">
        <f t="shared" si="8"/>
        <v>0</v>
      </c>
      <c r="L19" s="654">
        <f t="shared" si="8"/>
        <v>0</v>
      </c>
      <c r="M19" s="654">
        <f t="shared" si="8"/>
        <v>0</v>
      </c>
      <c r="N19" s="654">
        <f t="shared" si="8"/>
        <v>0</v>
      </c>
      <c r="O19" s="654">
        <f t="shared" si="8"/>
        <v>0</v>
      </c>
      <c r="P19" s="654">
        <f t="shared" si="8"/>
        <v>0</v>
      </c>
      <c r="Q19" s="654">
        <f t="shared" si="8"/>
        <v>0</v>
      </c>
      <c r="R19" s="654">
        <f t="shared" si="8"/>
        <v>0</v>
      </c>
      <c r="S19" s="654">
        <f t="shared" si="8"/>
        <v>0</v>
      </c>
      <c r="T19" s="654">
        <f t="shared" si="8"/>
        <v>0</v>
      </c>
    </row>
    <row r="20" spans="1:20" ht="13.5" customHeight="1">
      <c r="A20" s="653">
        <f>'Budget-合并'!A20</f>
        <v>0</v>
      </c>
      <c r="B20" s="653">
        <f>'Budget-合并'!B20</f>
        <v>0</v>
      </c>
      <c r="C20" s="673">
        <f>'Budget-合并'!C20</f>
        <v>0</v>
      </c>
      <c r="H20" s="654"/>
      <c r="I20" s="654"/>
      <c r="J20" s="654"/>
      <c r="K20" s="654"/>
      <c r="L20" s="654"/>
      <c r="M20" s="654"/>
      <c r="N20" s="654"/>
      <c r="O20" s="654"/>
      <c r="P20" s="654"/>
      <c r="Q20" s="654"/>
      <c r="R20" s="654"/>
      <c r="S20" s="654"/>
      <c r="T20" s="654"/>
    </row>
    <row r="21" spans="1:20" ht="13.5" customHeight="1">
      <c r="A21" s="653">
        <f>'Budget-合并'!A21</f>
        <v>0</v>
      </c>
      <c r="B21" s="653">
        <f>'Budget-合并'!B21</f>
        <v>0</v>
      </c>
      <c r="C21" s="673">
        <f>'Budget-合并'!C21</f>
        <v>0</v>
      </c>
      <c r="D21" s="677"/>
      <c r="F21" s="677"/>
      <c r="H21" s="677"/>
      <c r="I21" s="677"/>
      <c r="J21" s="677"/>
      <c r="K21" s="677"/>
      <c r="L21" s="677"/>
      <c r="M21" s="677"/>
      <c r="N21" s="677"/>
      <c r="O21" s="677"/>
      <c r="P21" s="677"/>
      <c r="Q21" s="677"/>
      <c r="R21" s="677"/>
      <c r="S21" s="677"/>
      <c r="T21" s="677"/>
    </row>
    <row r="22" spans="1:20" ht="13.5" customHeight="1">
      <c r="A22" s="672" t="str">
        <f>'Budget-合并'!A22</f>
        <v>6602</v>
      </c>
      <c r="B22" s="672" t="str">
        <f>'Budget-合并'!B22</f>
        <v>管理费用</v>
      </c>
      <c r="C22" s="673">
        <f>'Budget-合并'!C22</f>
        <v>0</v>
      </c>
      <c r="D22" s="677"/>
      <c r="F22" s="677"/>
      <c r="H22" s="677"/>
      <c r="I22" s="677"/>
      <c r="J22" s="677"/>
      <c r="K22" s="677"/>
      <c r="L22" s="677"/>
      <c r="M22" s="677"/>
      <c r="N22" s="677"/>
      <c r="O22" s="677"/>
      <c r="P22" s="677"/>
      <c r="Q22" s="677"/>
      <c r="R22" s="677"/>
      <c r="S22" s="677"/>
      <c r="T22" s="677"/>
    </row>
    <row r="23" spans="1:20" ht="13.5" customHeight="1">
      <c r="A23" s="663" t="str">
        <f>'Budget-合并'!A23</f>
        <v>6602.01</v>
      </c>
      <c r="B23" s="678" t="str">
        <f>'Budget-合并'!B23</f>
        <v>工资薪金</v>
      </c>
      <c r="C23" s="673">
        <f>'Budget-合并'!C23</f>
        <v>0</v>
      </c>
      <c r="D23" s="676">
        <f t="shared" ref="D23:D42" si="9">INDEX($H$8:$S$8,1,MATCH($D$6,$H$6:$S$6))</f>
        <v>0</v>
      </c>
      <c r="F23" s="676">
        <f t="shared" ref="F23:F42" ca="1" si="10">SUM($H23:OFFSET($H23,0,MATCH(F$6,$H$6:$S$6)-1))</f>
        <v>0</v>
      </c>
      <c r="H23" s="676">
        <f t="shared" ref="H23:S23" si="11">SUM(H24:H32)</f>
        <v>0</v>
      </c>
      <c r="I23" s="676">
        <f t="shared" si="11"/>
        <v>0</v>
      </c>
      <c r="J23" s="676">
        <f t="shared" si="11"/>
        <v>0</v>
      </c>
      <c r="K23" s="676">
        <f t="shared" si="11"/>
        <v>0</v>
      </c>
      <c r="L23" s="676">
        <f t="shared" si="11"/>
        <v>0</v>
      </c>
      <c r="M23" s="676">
        <f t="shared" si="11"/>
        <v>0</v>
      </c>
      <c r="N23" s="676">
        <f t="shared" si="11"/>
        <v>0</v>
      </c>
      <c r="O23" s="676">
        <f t="shared" si="11"/>
        <v>0</v>
      </c>
      <c r="P23" s="676">
        <f t="shared" si="11"/>
        <v>0</v>
      </c>
      <c r="Q23" s="676">
        <f t="shared" si="11"/>
        <v>0</v>
      </c>
      <c r="R23" s="676">
        <f t="shared" si="11"/>
        <v>0</v>
      </c>
      <c r="S23" s="676">
        <f t="shared" si="11"/>
        <v>0</v>
      </c>
      <c r="T23" s="676">
        <f t="shared" ref="T23:T86" si="12">SUM(H23:S23)</f>
        <v>0</v>
      </c>
    </row>
    <row r="24" spans="1:20" ht="13.5" customHeight="1">
      <c r="A24" s="653" t="str">
        <f>'Budget-合并'!A24</f>
        <v>6602.01.01</v>
      </c>
      <c r="B24" s="653" t="str">
        <f>'Budget-合并'!B24</f>
        <v>基本工资（专业）</v>
      </c>
      <c r="C24" s="673" t="str">
        <f>'Budget-合并'!C24</f>
        <v>Salary Professional</v>
      </c>
      <c r="D24" s="676">
        <f t="shared" si="9"/>
        <v>0</v>
      </c>
      <c r="F24" s="676">
        <f t="shared" ca="1" si="10"/>
        <v>0</v>
      </c>
      <c r="H24" s="676"/>
      <c r="I24" s="676"/>
      <c r="J24" s="676"/>
      <c r="K24" s="676"/>
      <c r="L24" s="676"/>
      <c r="M24" s="676"/>
      <c r="N24" s="676"/>
      <c r="O24" s="676"/>
      <c r="P24" s="676"/>
      <c r="Q24" s="676"/>
      <c r="R24" s="676"/>
      <c r="S24" s="676"/>
      <c r="T24" s="676">
        <f t="shared" si="12"/>
        <v>0</v>
      </c>
    </row>
    <row r="25" spans="1:20" ht="13.5" customHeight="1">
      <c r="A25" s="653" t="str">
        <f>'Budget-合并'!A25</f>
        <v>6602.01.02</v>
      </c>
      <c r="B25" s="653" t="str">
        <f>'Budget-合并'!B25</f>
        <v>加班费</v>
      </c>
      <c r="C25" s="673">
        <f>'Budget-合并'!C25</f>
        <v>0</v>
      </c>
      <c r="D25" s="676">
        <f t="shared" si="9"/>
        <v>0</v>
      </c>
      <c r="F25" s="676">
        <f t="shared" ca="1" si="10"/>
        <v>0</v>
      </c>
      <c r="H25" s="676"/>
      <c r="I25" s="676"/>
      <c r="J25" s="676"/>
      <c r="K25" s="676"/>
      <c r="L25" s="676"/>
      <c r="M25" s="676"/>
      <c r="N25" s="676"/>
      <c r="O25" s="676"/>
      <c r="P25" s="676"/>
      <c r="Q25" s="676"/>
      <c r="R25" s="676"/>
      <c r="S25" s="676"/>
      <c r="T25" s="676">
        <f t="shared" si="12"/>
        <v>0</v>
      </c>
    </row>
    <row r="26" spans="1:20" ht="13.5" customHeight="1">
      <c r="A26" s="653" t="str">
        <f>'Budget-合并'!A26</f>
        <v>6602.01.03</v>
      </c>
      <c r="B26" s="653" t="str">
        <f>'Budget-合并'!B26</f>
        <v>员工奖金（专业）</v>
      </c>
      <c r="C26" s="673" t="str">
        <f>'Budget-合并'!C26</f>
        <v>Bonus Expense - Professional</v>
      </c>
      <c r="D26" s="676">
        <f t="shared" si="9"/>
        <v>0</v>
      </c>
      <c r="F26" s="676">
        <f t="shared" ca="1" si="10"/>
        <v>0</v>
      </c>
      <c r="H26" s="676"/>
      <c r="I26" s="676"/>
      <c r="J26" s="676"/>
      <c r="K26" s="676"/>
      <c r="L26" s="676"/>
      <c r="M26" s="676"/>
      <c r="N26" s="676"/>
      <c r="O26" s="676"/>
      <c r="P26" s="676"/>
      <c r="Q26" s="676"/>
      <c r="R26" s="676"/>
      <c r="S26" s="676"/>
      <c r="T26" s="676">
        <f t="shared" si="12"/>
        <v>0</v>
      </c>
    </row>
    <row r="27" spans="1:20" ht="13.5" customHeight="1">
      <c r="A27" s="653" t="str">
        <f>'Budget-合并'!A27</f>
        <v>6602.01.04</v>
      </c>
      <c r="B27" s="653" t="str">
        <f>'Budget-合并'!B27</f>
        <v>员工遣散费</v>
      </c>
      <c r="C27" s="673">
        <f>'Budget-合并'!C27</f>
        <v>0</v>
      </c>
      <c r="D27" s="676">
        <f t="shared" si="9"/>
        <v>0</v>
      </c>
      <c r="F27" s="676">
        <f t="shared" ca="1" si="10"/>
        <v>0</v>
      </c>
      <c r="H27" s="676"/>
      <c r="I27" s="676"/>
      <c r="J27" s="676"/>
      <c r="K27" s="676"/>
      <c r="L27" s="676"/>
      <c r="M27" s="676"/>
      <c r="N27" s="676"/>
      <c r="O27" s="676"/>
      <c r="P27" s="676"/>
      <c r="Q27" s="676"/>
      <c r="R27" s="676"/>
      <c r="S27" s="676"/>
      <c r="T27" s="676">
        <f t="shared" si="12"/>
        <v>0</v>
      </c>
    </row>
    <row r="28" spans="1:20" ht="13.5" customHeight="1">
      <c r="A28" s="653" t="str">
        <f>'Budget-合并'!A28</f>
        <v>6602.01.05</v>
      </c>
      <c r="B28" s="653" t="str">
        <f>'Budget-合并'!B28</f>
        <v>员工假期</v>
      </c>
      <c r="C28" s="673" t="str">
        <f>'Budget-合并'!C28</f>
        <v>Unused Leave Expense</v>
      </c>
      <c r="D28" s="676">
        <f t="shared" si="9"/>
        <v>0</v>
      </c>
      <c r="F28" s="676">
        <f t="shared" ca="1" si="10"/>
        <v>0</v>
      </c>
      <c r="H28" s="676"/>
      <c r="I28" s="676"/>
      <c r="J28" s="676"/>
      <c r="K28" s="676"/>
      <c r="L28" s="676"/>
      <c r="M28" s="676"/>
      <c r="N28" s="676"/>
      <c r="O28" s="676"/>
      <c r="P28" s="676"/>
      <c r="Q28" s="676"/>
      <c r="R28" s="676"/>
      <c r="S28" s="676"/>
      <c r="T28" s="676">
        <f t="shared" si="12"/>
        <v>0</v>
      </c>
    </row>
    <row r="29" spans="1:20" ht="13.5" customHeight="1">
      <c r="A29" s="653" t="str">
        <f>'Budget-合并'!A29</f>
        <v>6602.01.06</v>
      </c>
      <c r="B29" s="653" t="str">
        <f>'Budget-合并'!B29</f>
        <v>劳务报酬</v>
      </c>
      <c r="C29" s="673">
        <f>'Budget-合并'!C29</f>
        <v>0</v>
      </c>
      <c r="D29" s="676">
        <f t="shared" si="9"/>
        <v>0</v>
      </c>
      <c r="F29" s="676">
        <f t="shared" ca="1" si="10"/>
        <v>0</v>
      </c>
      <c r="H29" s="676"/>
      <c r="I29" s="676"/>
      <c r="J29" s="676"/>
      <c r="K29" s="676"/>
      <c r="L29" s="676"/>
      <c r="M29" s="676"/>
      <c r="N29" s="676"/>
      <c r="O29" s="676"/>
      <c r="P29" s="676"/>
      <c r="Q29" s="676"/>
      <c r="R29" s="676"/>
      <c r="S29" s="676"/>
      <c r="T29" s="676">
        <f t="shared" si="12"/>
        <v>0</v>
      </c>
    </row>
    <row r="30" spans="1:20" ht="13.5" customHeight="1">
      <c r="A30" s="653" t="str">
        <f>'Budget-合并'!A30</f>
        <v>6602.01.07</v>
      </c>
      <c r="B30" s="653" t="str">
        <f>'Budget-合并'!B30</f>
        <v>集团内分摊</v>
      </c>
      <c r="C30" s="673" t="str">
        <f>'Budget-合并'!C30</f>
        <v>Mantime X Charge</v>
      </c>
      <c r="D30" s="676">
        <f t="shared" si="9"/>
        <v>0</v>
      </c>
      <c r="F30" s="676">
        <f t="shared" ca="1" si="10"/>
        <v>0</v>
      </c>
      <c r="H30" s="676"/>
      <c r="I30" s="676"/>
      <c r="J30" s="676"/>
      <c r="K30" s="676"/>
      <c r="L30" s="676"/>
      <c r="M30" s="676"/>
      <c r="N30" s="676"/>
      <c r="O30" s="676"/>
      <c r="P30" s="676"/>
      <c r="Q30" s="676"/>
      <c r="R30" s="676"/>
      <c r="S30" s="676"/>
      <c r="T30" s="676">
        <f t="shared" si="12"/>
        <v>0</v>
      </c>
    </row>
    <row r="31" spans="1:20" ht="13.5" customHeight="1">
      <c r="A31" s="653" t="str">
        <f>'Budget-合并'!A31</f>
        <v>6602.01.08</v>
      </c>
      <c r="B31" s="653" t="str">
        <f>'Budget-合并'!B31</f>
        <v>基本工资（管理）</v>
      </c>
      <c r="C31" s="673" t="str">
        <f>'Budget-合并'!C31</f>
        <v>Salary Management</v>
      </c>
      <c r="D31" s="676">
        <f t="shared" si="9"/>
        <v>0</v>
      </c>
      <c r="F31" s="676">
        <f t="shared" ca="1" si="10"/>
        <v>0</v>
      </c>
      <c r="H31" s="676"/>
      <c r="I31" s="676"/>
      <c r="J31" s="676"/>
      <c r="K31" s="676"/>
      <c r="L31" s="676"/>
      <c r="M31" s="676"/>
      <c r="N31" s="676"/>
      <c r="O31" s="676"/>
      <c r="P31" s="676"/>
      <c r="Q31" s="676"/>
      <c r="R31" s="676"/>
      <c r="S31" s="676"/>
      <c r="T31" s="676">
        <f t="shared" si="12"/>
        <v>0</v>
      </c>
    </row>
    <row r="32" spans="1:20" ht="13.5" customHeight="1">
      <c r="A32" s="653" t="str">
        <f>'Budget-合并'!A32</f>
        <v>6602.01.09</v>
      </c>
      <c r="B32" s="653" t="str">
        <f>'Budget-合并'!B32</f>
        <v>员工奖金（管理）</v>
      </c>
      <c r="C32" s="673" t="str">
        <f>'Budget-合并'!C32</f>
        <v>Bonus Expense - Management</v>
      </c>
      <c r="D32" s="676">
        <f t="shared" si="9"/>
        <v>0</v>
      </c>
      <c r="F32" s="676">
        <f t="shared" ca="1" si="10"/>
        <v>0</v>
      </c>
      <c r="H32" s="676"/>
      <c r="I32" s="676"/>
      <c r="J32" s="676"/>
      <c r="K32" s="676"/>
      <c r="L32" s="676"/>
      <c r="M32" s="676"/>
      <c r="N32" s="676"/>
      <c r="O32" s="676"/>
      <c r="P32" s="676"/>
      <c r="Q32" s="676"/>
      <c r="R32" s="676"/>
      <c r="S32" s="676"/>
      <c r="T32" s="676">
        <f t="shared" si="12"/>
        <v>0</v>
      </c>
    </row>
    <row r="33" spans="1:20" ht="13.5" customHeight="1">
      <c r="A33" s="663" t="str">
        <f>'Budget-合并'!A33</f>
        <v>6602.02</v>
      </c>
      <c r="B33" s="678" t="str">
        <f>'Budget-合并'!B33</f>
        <v>职工福利</v>
      </c>
      <c r="C33" s="673">
        <f>'Budget-合并'!C33</f>
        <v>0</v>
      </c>
      <c r="D33" s="676">
        <f t="shared" si="9"/>
        <v>0</v>
      </c>
      <c r="F33" s="676">
        <f t="shared" ca="1" si="10"/>
        <v>0</v>
      </c>
      <c r="H33" s="679">
        <f t="shared" ref="H33:S33" si="13">SUM(H34:H37)</f>
        <v>0</v>
      </c>
      <c r="I33" s="679">
        <f t="shared" si="13"/>
        <v>0</v>
      </c>
      <c r="J33" s="679">
        <f t="shared" si="13"/>
        <v>0</v>
      </c>
      <c r="K33" s="679">
        <f t="shared" si="13"/>
        <v>0</v>
      </c>
      <c r="L33" s="679">
        <f t="shared" si="13"/>
        <v>0</v>
      </c>
      <c r="M33" s="679">
        <f t="shared" si="13"/>
        <v>0</v>
      </c>
      <c r="N33" s="679">
        <f t="shared" si="13"/>
        <v>0</v>
      </c>
      <c r="O33" s="679">
        <f t="shared" si="13"/>
        <v>0</v>
      </c>
      <c r="P33" s="679">
        <f t="shared" si="13"/>
        <v>0</v>
      </c>
      <c r="Q33" s="679">
        <f t="shared" si="13"/>
        <v>0</v>
      </c>
      <c r="R33" s="679">
        <f t="shared" si="13"/>
        <v>0</v>
      </c>
      <c r="S33" s="679">
        <f t="shared" si="13"/>
        <v>0</v>
      </c>
      <c r="T33" s="676">
        <f t="shared" si="12"/>
        <v>0</v>
      </c>
    </row>
    <row r="34" spans="1:20" ht="13.5" customHeight="1">
      <c r="A34" s="653" t="str">
        <f>'Budget-合并'!A34</f>
        <v>6602.02.01</v>
      </c>
      <c r="B34" s="653" t="str">
        <f>'Budget-合并'!B34</f>
        <v>员工福利</v>
      </c>
      <c r="C34" s="673" t="str">
        <f>'Budget-合并'!C34</f>
        <v>Fringe Other</v>
      </c>
      <c r="D34" s="676">
        <f t="shared" si="9"/>
        <v>0</v>
      </c>
      <c r="F34" s="676">
        <f t="shared" ca="1" si="10"/>
        <v>0</v>
      </c>
      <c r="H34" s="676"/>
      <c r="I34" s="676"/>
      <c r="J34" s="676"/>
      <c r="K34" s="676"/>
      <c r="L34" s="676"/>
      <c r="M34" s="676"/>
      <c r="N34" s="676"/>
      <c r="O34" s="676"/>
      <c r="P34" s="676"/>
      <c r="Q34" s="676"/>
      <c r="R34" s="676"/>
      <c r="S34" s="676"/>
      <c r="T34" s="676">
        <f t="shared" si="12"/>
        <v>0</v>
      </c>
    </row>
    <row r="35" spans="1:20" ht="13.5" customHeight="1">
      <c r="A35" s="653" t="str">
        <f>'Budget-合并'!A35</f>
        <v>6602.02.02</v>
      </c>
      <c r="B35" s="653" t="str">
        <f>'Budget-合并'!B35</f>
        <v>团建活动</v>
      </c>
      <c r="C35" s="673" t="str">
        <f>'Budget-合并'!C35</f>
        <v>EE Morale Expense</v>
      </c>
      <c r="D35" s="676">
        <f t="shared" si="9"/>
        <v>0</v>
      </c>
      <c r="F35" s="676">
        <f t="shared" ca="1" si="10"/>
        <v>0</v>
      </c>
      <c r="H35" s="676">
        <f t="shared" ref="H35:S35" si="14">SUM(H36:H37)</f>
        <v>0</v>
      </c>
      <c r="I35" s="676">
        <f t="shared" si="14"/>
        <v>0</v>
      </c>
      <c r="J35" s="676">
        <f t="shared" si="14"/>
        <v>0</v>
      </c>
      <c r="K35" s="676">
        <f t="shared" si="14"/>
        <v>0</v>
      </c>
      <c r="L35" s="676">
        <f t="shared" si="14"/>
        <v>0</v>
      </c>
      <c r="M35" s="676">
        <f t="shared" si="14"/>
        <v>0</v>
      </c>
      <c r="N35" s="676">
        <f t="shared" si="14"/>
        <v>0</v>
      </c>
      <c r="O35" s="676">
        <f t="shared" si="14"/>
        <v>0</v>
      </c>
      <c r="P35" s="676">
        <f t="shared" si="14"/>
        <v>0</v>
      </c>
      <c r="Q35" s="676">
        <f t="shared" si="14"/>
        <v>0</v>
      </c>
      <c r="R35" s="676">
        <f t="shared" si="14"/>
        <v>0</v>
      </c>
      <c r="S35" s="676">
        <f t="shared" si="14"/>
        <v>0</v>
      </c>
      <c r="T35" s="676">
        <f t="shared" si="12"/>
        <v>0</v>
      </c>
    </row>
    <row r="36" spans="1:20" ht="13.5" customHeight="1">
      <c r="A36" s="653" t="str">
        <f>'Budget-合并'!A36</f>
        <v>6602.02.03</v>
      </c>
      <c r="B36" s="653" t="str">
        <f>'Budget-合并'!B36</f>
        <v>体检费</v>
      </c>
      <c r="C36" s="673">
        <f>'Budget-合并'!C36</f>
        <v>0</v>
      </c>
      <c r="D36" s="676">
        <f t="shared" si="9"/>
        <v>0</v>
      </c>
      <c r="F36" s="676">
        <f t="shared" ca="1" si="10"/>
        <v>0</v>
      </c>
      <c r="H36" s="676"/>
      <c r="I36" s="676"/>
      <c r="J36" s="676"/>
      <c r="K36" s="676"/>
      <c r="L36" s="676"/>
      <c r="M36" s="676"/>
      <c r="N36" s="676"/>
      <c r="O36" s="676"/>
      <c r="P36" s="676"/>
      <c r="Q36" s="676"/>
      <c r="R36" s="676"/>
      <c r="S36" s="676"/>
      <c r="T36" s="676">
        <f t="shared" si="12"/>
        <v>0</v>
      </c>
    </row>
    <row r="37" spans="1:20" ht="13.5" customHeight="1">
      <c r="A37" s="653" t="str">
        <f>'Budget-合并'!A37</f>
        <v>6602.02.04</v>
      </c>
      <c r="B37" s="653" t="str">
        <f>'Budget-合并'!B37</f>
        <v>商业保险 - 医疗</v>
      </c>
      <c r="C37" s="673">
        <f>'Budget-合并'!C37</f>
        <v>0</v>
      </c>
      <c r="D37" s="676">
        <f t="shared" si="9"/>
        <v>0</v>
      </c>
      <c r="F37" s="676">
        <f t="shared" ca="1" si="10"/>
        <v>0</v>
      </c>
      <c r="H37" s="676"/>
      <c r="I37" s="676"/>
      <c r="J37" s="676"/>
      <c r="K37" s="676"/>
      <c r="L37" s="676"/>
      <c r="M37" s="676"/>
      <c r="N37" s="676"/>
      <c r="O37" s="676"/>
      <c r="P37" s="676"/>
      <c r="Q37" s="676"/>
      <c r="R37" s="676"/>
      <c r="S37" s="676"/>
      <c r="T37" s="676">
        <f t="shared" si="12"/>
        <v>0</v>
      </c>
    </row>
    <row r="38" spans="1:20" ht="13.5" customHeight="1">
      <c r="A38" s="663" t="str">
        <f>'Budget-合并'!A38</f>
        <v>6602.03</v>
      </c>
      <c r="B38" s="678" t="str">
        <f>'Budget-合并'!B38</f>
        <v>社保公积金</v>
      </c>
      <c r="C38" s="673">
        <f>'Budget-合并'!C38</f>
        <v>0</v>
      </c>
      <c r="D38" s="676">
        <f t="shared" si="9"/>
        <v>0</v>
      </c>
      <c r="F38" s="676">
        <f t="shared" ca="1" si="10"/>
        <v>0</v>
      </c>
      <c r="H38" s="679">
        <f t="shared" ref="H38:S38" si="15">SUM(H39:H41)</f>
        <v>0</v>
      </c>
      <c r="I38" s="679">
        <f t="shared" si="15"/>
        <v>0</v>
      </c>
      <c r="J38" s="679">
        <f t="shared" si="15"/>
        <v>0</v>
      </c>
      <c r="K38" s="679">
        <f t="shared" si="15"/>
        <v>0</v>
      </c>
      <c r="L38" s="679">
        <f t="shared" si="15"/>
        <v>0</v>
      </c>
      <c r="M38" s="679">
        <f t="shared" si="15"/>
        <v>0</v>
      </c>
      <c r="N38" s="679">
        <f t="shared" si="15"/>
        <v>0</v>
      </c>
      <c r="O38" s="679">
        <f t="shared" si="15"/>
        <v>0</v>
      </c>
      <c r="P38" s="679">
        <f t="shared" si="15"/>
        <v>0</v>
      </c>
      <c r="Q38" s="679">
        <f t="shared" si="15"/>
        <v>0</v>
      </c>
      <c r="R38" s="679">
        <f t="shared" si="15"/>
        <v>0</v>
      </c>
      <c r="S38" s="679">
        <f t="shared" si="15"/>
        <v>0</v>
      </c>
      <c r="T38" s="676">
        <f t="shared" si="12"/>
        <v>0</v>
      </c>
    </row>
    <row r="39" spans="1:20" ht="13.5" customHeight="1">
      <c r="A39" s="653" t="str">
        <f>'Budget-合并'!A39</f>
        <v>6602.03.01</v>
      </c>
      <c r="B39" s="653" t="str">
        <f>'Budget-合并'!B39</f>
        <v>员工社保福利</v>
      </c>
      <c r="C39" s="673" t="str">
        <f>'Budget-合并'!C39</f>
        <v>Employee Insurance</v>
      </c>
      <c r="D39" s="676">
        <f t="shared" si="9"/>
        <v>0</v>
      </c>
      <c r="F39" s="676">
        <f t="shared" ca="1" si="10"/>
        <v>0</v>
      </c>
      <c r="H39" s="676"/>
      <c r="I39" s="676"/>
      <c r="J39" s="676"/>
      <c r="K39" s="676"/>
      <c r="L39" s="676"/>
      <c r="M39" s="676"/>
      <c r="N39" s="676"/>
      <c r="O39" s="676"/>
      <c r="P39" s="676"/>
      <c r="Q39" s="676"/>
      <c r="R39" s="676"/>
      <c r="S39" s="676"/>
      <c r="T39" s="676">
        <f t="shared" si="12"/>
        <v>0</v>
      </c>
    </row>
    <row r="40" spans="1:20" ht="13.5" customHeight="1">
      <c r="A40" s="653" t="str">
        <f>'Budget-合并'!A40</f>
        <v>6602.03.02</v>
      </c>
      <c r="B40" s="653" t="str">
        <f>'Budget-合并'!B40</f>
        <v>员工公积金福利</v>
      </c>
      <c r="C40" s="673">
        <f>'Budget-合并'!C40</f>
        <v>0</v>
      </c>
      <c r="D40" s="676">
        <f t="shared" si="9"/>
        <v>0</v>
      </c>
      <c r="F40" s="676">
        <f t="shared" ca="1" si="10"/>
        <v>0</v>
      </c>
      <c r="H40" s="676"/>
      <c r="I40" s="676"/>
      <c r="J40" s="676"/>
      <c r="K40" s="676"/>
      <c r="L40" s="676"/>
      <c r="M40" s="676"/>
      <c r="N40" s="676"/>
      <c r="O40" s="676"/>
      <c r="P40" s="676"/>
      <c r="Q40" s="676"/>
      <c r="R40" s="676"/>
      <c r="S40" s="676"/>
      <c r="T40" s="676">
        <f t="shared" si="12"/>
        <v>0</v>
      </c>
    </row>
    <row r="41" spans="1:20" ht="13.5" customHeight="1">
      <c r="A41" s="653" t="str">
        <f>'Budget-合并'!A41</f>
        <v>6602.03.03</v>
      </c>
      <c r="B41" s="653" t="str">
        <f>'Budget-合并'!B41</f>
        <v>员工强制性公积金福利</v>
      </c>
      <c r="C41" s="673" t="str">
        <f>'Budget-合并'!C41</f>
        <v>Pension Local/MPF</v>
      </c>
      <c r="D41" s="676">
        <f t="shared" si="9"/>
        <v>0</v>
      </c>
      <c r="F41" s="676">
        <f t="shared" ca="1" si="10"/>
        <v>0</v>
      </c>
      <c r="H41" s="676"/>
      <c r="I41" s="676"/>
      <c r="J41" s="676"/>
      <c r="K41" s="676"/>
      <c r="L41" s="676"/>
      <c r="M41" s="676"/>
      <c r="N41" s="676"/>
      <c r="O41" s="676"/>
      <c r="P41" s="676"/>
      <c r="Q41" s="676"/>
      <c r="R41" s="676"/>
      <c r="S41" s="676"/>
      <c r="T41" s="676">
        <f t="shared" si="12"/>
        <v>0</v>
      </c>
    </row>
    <row r="42" spans="1:20" ht="13.5" customHeight="1">
      <c r="A42" s="672">
        <f>'Budget-合并'!A42</f>
        <v>0</v>
      </c>
      <c r="B42" s="672" t="str">
        <f>'Budget-合并'!B42</f>
        <v>管理人工费用小计</v>
      </c>
      <c r="C42" s="673">
        <f>'Budget-合并'!C42</f>
        <v>0</v>
      </c>
      <c r="D42" s="654">
        <f t="shared" si="9"/>
        <v>0</v>
      </c>
      <c r="F42" s="677">
        <f t="shared" ca="1" si="10"/>
        <v>0</v>
      </c>
      <c r="H42" s="677">
        <f t="shared" ref="H42:S42" si="16">SUM(H23,H33,H38)</f>
        <v>0</v>
      </c>
      <c r="I42" s="677">
        <f t="shared" si="16"/>
        <v>0</v>
      </c>
      <c r="J42" s="677">
        <f t="shared" si="16"/>
        <v>0</v>
      </c>
      <c r="K42" s="677">
        <f t="shared" si="16"/>
        <v>0</v>
      </c>
      <c r="L42" s="677">
        <f t="shared" si="16"/>
        <v>0</v>
      </c>
      <c r="M42" s="677">
        <f t="shared" si="16"/>
        <v>0</v>
      </c>
      <c r="N42" s="677">
        <f t="shared" si="16"/>
        <v>0</v>
      </c>
      <c r="O42" s="677">
        <f t="shared" si="16"/>
        <v>0</v>
      </c>
      <c r="P42" s="677">
        <f t="shared" si="16"/>
        <v>0</v>
      </c>
      <c r="Q42" s="677">
        <f t="shared" si="16"/>
        <v>0</v>
      </c>
      <c r="R42" s="677">
        <f t="shared" si="16"/>
        <v>0</v>
      </c>
      <c r="S42" s="677">
        <f t="shared" si="16"/>
        <v>0</v>
      </c>
      <c r="T42" s="677">
        <f t="shared" si="12"/>
        <v>0</v>
      </c>
    </row>
    <row r="43" spans="1:20" ht="13.5" customHeight="1">
      <c r="A43" s="653">
        <f>'Budget-合并'!A43</f>
        <v>0</v>
      </c>
      <c r="B43" s="653">
        <f>'Budget-合并'!B43</f>
        <v>0</v>
      </c>
      <c r="C43" s="673">
        <f>'Budget-合并'!C43</f>
        <v>0</v>
      </c>
      <c r="H43" s="652">
        <f t="shared" ref="H43:S43" si="17">SUM(H44:H46)</f>
        <v>0</v>
      </c>
      <c r="I43" s="652">
        <f t="shared" si="17"/>
        <v>0</v>
      </c>
      <c r="J43" s="652">
        <f t="shared" si="17"/>
        <v>0</v>
      </c>
      <c r="K43" s="652">
        <f t="shared" si="17"/>
        <v>0</v>
      </c>
      <c r="L43" s="652">
        <f t="shared" si="17"/>
        <v>0</v>
      </c>
      <c r="M43" s="652">
        <f t="shared" si="17"/>
        <v>0</v>
      </c>
      <c r="N43" s="652">
        <f t="shared" si="17"/>
        <v>0</v>
      </c>
      <c r="O43" s="652">
        <f t="shared" si="17"/>
        <v>0</v>
      </c>
      <c r="P43" s="652">
        <f t="shared" si="17"/>
        <v>0</v>
      </c>
      <c r="Q43" s="652">
        <f t="shared" si="17"/>
        <v>0</v>
      </c>
      <c r="R43" s="652">
        <f t="shared" si="17"/>
        <v>0</v>
      </c>
      <c r="S43" s="652">
        <f t="shared" si="17"/>
        <v>0</v>
      </c>
      <c r="T43" s="652">
        <f t="shared" si="12"/>
        <v>0</v>
      </c>
    </row>
    <row r="44" spans="1:20" ht="13.5" customHeight="1">
      <c r="A44" s="663" t="str">
        <f>'Budget-合并'!A44</f>
        <v>6602.04</v>
      </c>
      <c r="B44" s="678" t="str">
        <f>'Budget-合并'!B44</f>
        <v>咨询及专业服务费</v>
      </c>
      <c r="C44" s="673">
        <f>'Budget-合并'!C44</f>
        <v>0</v>
      </c>
      <c r="D44" s="676">
        <f t="shared" ref="D44:D107" si="18">INDEX($H$8:$S$8,1,MATCH($D$6,$H$6:$S$6))</f>
        <v>0</v>
      </c>
      <c r="F44" s="676">
        <f t="shared" ref="F44:F107" ca="1" si="19">SUM($H44:OFFSET($H44,0,MATCH(F$6,$H$6:$S$6)-1))</f>
        <v>0</v>
      </c>
      <c r="H44" s="676">
        <f t="shared" ref="H44:S44" si="20">SUM(H45,H46,H47,H51:H61)</f>
        <v>0</v>
      </c>
      <c r="I44" s="676">
        <f t="shared" si="20"/>
        <v>0</v>
      </c>
      <c r="J44" s="676">
        <f t="shared" si="20"/>
        <v>0</v>
      </c>
      <c r="K44" s="676">
        <f t="shared" si="20"/>
        <v>0</v>
      </c>
      <c r="L44" s="676">
        <f t="shared" si="20"/>
        <v>0</v>
      </c>
      <c r="M44" s="676">
        <f t="shared" si="20"/>
        <v>0</v>
      </c>
      <c r="N44" s="676">
        <f t="shared" si="20"/>
        <v>0</v>
      </c>
      <c r="O44" s="676">
        <f t="shared" si="20"/>
        <v>0</v>
      </c>
      <c r="P44" s="676">
        <f t="shared" si="20"/>
        <v>0</v>
      </c>
      <c r="Q44" s="676">
        <f t="shared" si="20"/>
        <v>0</v>
      </c>
      <c r="R44" s="676">
        <f t="shared" si="20"/>
        <v>0</v>
      </c>
      <c r="S44" s="676">
        <f t="shared" si="20"/>
        <v>0</v>
      </c>
      <c r="T44" s="676">
        <f t="shared" si="12"/>
        <v>0</v>
      </c>
    </row>
    <row r="45" spans="1:20" ht="13.5" customHeight="1">
      <c r="A45" s="653" t="str">
        <f>'Budget-合并'!A45</f>
        <v>6602.04.01</v>
      </c>
      <c r="B45" s="653" t="str">
        <f>'Budget-合并'!B45</f>
        <v>会计服务费</v>
      </c>
      <c r="C45" s="673" t="str">
        <f>'Budget-合并'!C45</f>
        <v>Accounting/Payment Services</v>
      </c>
      <c r="D45" s="676">
        <f t="shared" si="18"/>
        <v>0</v>
      </c>
      <c r="F45" s="676">
        <f t="shared" ca="1" si="19"/>
        <v>0</v>
      </c>
      <c r="H45" s="676"/>
      <c r="I45" s="676"/>
      <c r="J45" s="676"/>
      <c r="K45" s="676"/>
      <c r="L45" s="676"/>
      <c r="M45" s="676"/>
      <c r="N45" s="676"/>
      <c r="O45" s="676"/>
      <c r="P45" s="676"/>
      <c r="Q45" s="676"/>
      <c r="R45" s="676"/>
      <c r="S45" s="676"/>
      <c r="T45" s="676">
        <f t="shared" si="12"/>
        <v>0</v>
      </c>
    </row>
    <row r="46" spans="1:20" ht="13.5" customHeight="1">
      <c r="A46" s="653" t="str">
        <f>'Budget-合并'!A46</f>
        <v>6602.04.02</v>
      </c>
      <c r="B46" s="653" t="str">
        <f>'Budget-合并'!B46</f>
        <v>审计服务费</v>
      </c>
      <c r="C46" s="673" t="str">
        <f>'Budget-合并'!C46</f>
        <v>Audit Fees</v>
      </c>
      <c r="D46" s="676">
        <f t="shared" si="18"/>
        <v>0</v>
      </c>
      <c r="F46" s="676">
        <f t="shared" ca="1" si="19"/>
        <v>0</v>
      </c>
      <c r="H46" s="676"/>
      <c r="I46" s="676"/>
      <c r="J46" s="676"/>
      <c r="K46" s="676"/>
      <c r="L46" s="676"/>
      <c r="M46" s="676"/>
      <c r="N46" s="676"/>
      <c r="O46" s="676"/>
      <c r="P46" s="676"/>
      <c r="Q46" s="676"/>
      <c r="R46" s="676"/>
      <c r="S46" s="676"/>
      <c r="T46" s="676">
        <f t="shared" si="12"/>
        <v>0</v>
      </c>
    </row>
    <row r="47" spans="1:20" ht="13.5" customHeight="1">
      <c r="A47" s="653" t="str">
        <f>'Budget-合并'!A47</f>
        <v>6602.04.03</v>
      </c>
      <c r="B47" s="653" t="str">
        <f>'Budget-合并'!B47</f>
        <v>顾问费</v>
      </c>
      <c r="C47" s="673" t="str">
        <f>'Budget-合并'!C47</f>
        <v>Advisory fee</v>
      </c>
      <c r="D47" s="676">
        <f t="shared" si="18"/>
        <v>0</v>
      </c>
      <c r="F47" s="676">
        <f t="shared" ca="1" si="19"/>
        <v>0</v>
      </c>
      <c r="H47" s="676">
        <f t="shared" ref="H47:S47" si="21">SUM(H48:H50)</f>
        <v>0</v>
      </c>
      <c r="I47" s="676">
        <f t="shared" si="21"/>
        <v>0</v>
      </c>
      <c r="J47" s="676">
        <f t="shared" si="21"/>
        <v>0</v>
      </c>
      <c r="K47" s="676">
        <f t="shared" si="21"/>
        <v>0</v>
      </c>
      <c r="L47" s="676">
        <f t="shared" si="21"/>
        <v>0</v>
      </c>
      <c r="M47" s="676">
        <f t="shared" si="21"/>
        <v>0</v>
      </c>
      <c r="N47" s="676">
        <f t="shared" si="21"/>
        <v>0</v>
      </c>
      <c r="O47" s="676">
        <f t="shared" si="21"/>
        <v>0</v>
      </c>
      <c r="P47" s="676">
        <f t="shared" si="21"/>
        <v>0</v>
      </c>
      <c r="Q47" s="676">
        <f t="shared" si="21"/>
        <v>0</v>
      </c>
      <c r="R47" s="676">
        <f t="shared" si="21"/>
        <v>0</v>
      </c>
      <c r="S47" s="676">
        <f t="shared" si="21"/>
        <v>0</v>
      </c>
      <c r="T47" s="676">
        <f t="shared" si="12"/>
        <v>0</v>
      </c>
    </row>
    <row r="48" spans="1:20" ht="13.5" customHeight="1">
      <c r="A48" s="653">
        <f>'Budget-合并'!A48</f>
        <v>0</v>
      </c>
      <c r="B48" s="653" t="str">
        <f>'Budget-合并'!B48</f>
        <v xml:space="preserve">    公司主体01</v>
      </c>
      <c r="C48" s="673" t="str">
        <f>'Budget-合并'!C48</f>
        <v xml:space="preserve">   Entity</v>
      </c>
      <c r="D48" s="676">
        <f t="shared" si="18"/>
        <v>0</v>
      </c>
      <c r="F48" s="676">
        <f t="shared" ca="1" si="19"/>
        <v>0</v>
      </c>
      <c r="H48" s="676"/>
      <c r="I48" s="676"/>
      <c r="J48" s="676"/>
      <c r="K48" s="676"/>
      <c r="L48" s="676"/>
      <c r="M48" s="676"/>
      <c r="N48" s="676"/>
      <c r="O48" s="676"/>
      <c r="P48" s="676"/>
      <c r="Q48" s="676"/>
      <c r="R48" s="676"/>
      <c r="S48" s="676"/>
      <c r="T48" s="676">
        <f t="shared" si="12"/>
        <v>0</v>
      </c>
    </row>
    <row r="49" spans="1:20" ht="13.5" customHeight="1">
      <c r="A49" s="653">
        <f>'Budget-合并'!A49</f>
        <v>0</v>
      </c>
      <c r="B49" s="653" t="str">
        <f>'Budget-合并'!B49</f>
        <v xml:space="preserve">    旭智富能01</v>
      </c>
      <c r="C49" s="673" t="str">
        <f>'Budget-合并'!C49</f>
        <v xml:space="preserve">   Foxpower</v>
      </c>
      <c r="D49" s="676">
        <f t="shared" si="18"/>
        <v>0</v>
      </c>
      <c r="F49" s="676">
        <f t="shared" ca="1" si="19"/>
        <v>0</v>
      </c>
      <c r="H49" s="676"/>
      <c r="I49" s="676"/>
      <c r="J49" s="676"/>
      <c r="K49" s="676"/>
      <c r="L49" s="676"/>
      <c r="M49" s="676"/>
      <c r="N49" s="676"/>
      <c r="O49" s="676"/>
      <c r="P49" s="676"/>
      <c r="Q49" s="676"/>
      <c r="R49" s="676"/>
      <c r="S49" s="676"/>
      <c r="T49" s="676">
        <f t="shared" si="12"/>
        <v>0</v>
      </c>
    </row>
    <row r="50" spans="1:20" ht="13.5" customHeight="1">
      <c r="A50" s="653">
        <f>'Budget-合并'!A50</f>
        <v>0</v>
      </c>
      <c r="B50" s="653" t="str">
        <f>'Budget-合并'!B50</f>
        <v xml:space="preserve">    其他项目01</v>
      </c>
      <c r="C50" s="673" t="str">
        <f>'Budget-合并'!C50</f>
        <v xml:space="preserve">   Other project</v>
      </c>
      <c r="D50" s="676">
        <f t="shared" si="18"/>
        <v>0</v>
      </c>
      <c r="F50" s="676">
        <f t="shared" ca="1" si="19"/>
        <v>0</v>
      </c>
      <c r="H50" s="676"/>
      <c r="I50" s="676"/>
      <c r="J50" s="676"/>
      <c r="K50" s="676"/>
      <c r="L50" s="676"/>
      <c r="M50" s="676"/>
      <c r="N50" s="676"/>
      <c r="O50" s="676"/>
      <c r="P50" s="676"/>
      <c r="Q50" s="676"/>
      <c r="R50" s="676"/>
      <c r="S50" s="676"/>
      <c r="T50" s="676">
        <f t="shared" si="12"/>
        <v>0</v>
      </c>
    </row>
    <row r="51" spans="1:20" ht="13.5" customHeight="1">
      <c r="A51" s="653" t="str">
        <f>'Budget-合并'!A51</f>
        <v>6602.04.04</v>
      </c>
      <c r="B51" s="653" t="str">
        <f>'Budget-合并'!B51</f>
        <v>税务服务费</v>
      </c>
      <c r="C51" s="673">
        <f>'Budget-合并'!C51</f>
        <v>0</v>
      </c>
      <c r="D51" s="676">
        <f t="shared" si="18"/>
        <v>0</v>
      </c>
      <c r="F51" s="676">
        <f t="shared" ca="1" si="19"/>
        <v>0</v>
      </c>
      <c r="H51" s="676"/>
      <c r="I51" s="676"/>
      <c r="J51" s="676"/>
      <c r="K51" s="676"/>
      <c r="L51" s="676"/>
      <c r="M51" s="676"/>
      <c r="N51" s="676"/>
      <c r="O51" s="676"/>
      <c r="P51" s="676"/>
      <c r="Q51" s="676"/>
      <c r="R51" s="676"/>
      <c r="S51" s="676"/>
      <c r="T51" s="676">
        <f t="shared" si="12"/>
        <v>0</v>
      </c>
    </row>
    <row r="52" spans="1:20" ht="13.5" customHeight="1">
      <c r="A52" s="653" t="str">
        <f>'Budget-合并'!A52</f>
        <v>6602.04.05</v>
      </c>
      <c r="B52" s="653" t="str">
        <f>'Budget-合并'!B52</f>
        <v>招聘服务费</v>
      </c>
      <c r="C52" s="673" t="str">
        <f>'Budget-合并'!C52</f>
        <v>Employment Agency Fee</v>
      </c>
      <c r="D52" s="676">
        <f t="shared" si="18"/>
        <v>0</v>
      </c>
      <c r="F52" s="676">
        <f t="shared" ca="1" si="19"/>
        <v>0</v>
      </c>
      <c r="H52" s="676"/>
      <c r="I52" s="676"/>
      <c r="J52" s="676"/>
      <c r="K52" s="676"/>
      <c r="L52" s="676"/>
      <c r="M52" s="676"/>
      <c r="N52" s="676"/>
      <c r="O52" s="676"/>
      <c r="P52" s="676"/>
      <c r="Q52" s="676"/>
      <c r="R52" s="676"/>
      <c r="S52" s="676"/>
      <c r="T52" s="676">
        <f t="shared" si="12"/>
        <v>0</v>
      </c>
    </row>
    <row r="53" spans="1:20" ht="13.5" customHeight="1">
      <c r="A53" s="653" t="str">
        <f>'Budget-合并'!A53</f>
        <v>6602.04.06</v>
      </c>
      <c r="B53" s="653" t="str">
        <f>'Budget-合并'!B53</f>
        <v>法律服务费</v>
      </c>
      <c r="C53" s="673" t="str">
        <f>'Budget-合并'!C53</f>
        <v>Legal Fees</v>
      </c>
      <c r="D53" s="676">
        <f t="shared" si="18"/>
        <v>0</v>
      </c>
      <c r="F53" s="676">
        <f t="shared" ca="1" si="19"/>
        <v>0</v>
      </c>
      <c r="H53" s="676"/>
      <c r="I53" s="676"/>
      <c r="J53" s="676"/>
      <c r="K53" s="676"/>
      <c r="L53" s="676"/>
      <c r="M53" s="676"/>
      <c r="N53" s="676"/>
      <c r="O53" s="676"/>
      <c r="P53" s="676"/>
      <c r="Q53" s="676"/>
      <c r="R53" s="676"/>
      <c r="S53" s="676"/>
      <c r="T53" s="676">
        <f t="shared" si="12"/>
        <v>0</v>
      </c>
    </row>
    <row r="54" spans="1:20" ht="13.5" customHeight="1">
      <c r="A54" s="653" t="str">
        <f>'Budget-合并'!A54</f>
        <v>6602.04.07</v>
      </c>
      <c r="B54" s="653" t="str">
        <f>'Budget-合并'!B54</f>
        <v>人力资源服务费</v>
      </c>
      <c r="C54" s="673" t="str">
        <f>'Budget-合并'!C54</f>
        <v>Payroll Services</v>
      </c>
      <c r="D54" s="676">
        <f t="shared" si="18"/>
        <v>0</v>
      </c>
      <c r="F54" s="676">
        <f t="shared" ca="1" si="19"/>
        <v>0</v>
      </c>
      <c r="H54" s="676"/>
      <c r="I54" s="676"/>
      <c r="J54" s="676"/>
      <c r="K54" s="676"/>
      <c r="L54" s="676"/>
      <c r="M54" s="676"/>
      <c r="N54" s="676"/>
      <c r="O54" s="676"/>
      <c r="P54" s="676"/>
      <c r="Q54" s="676"/>
      <c r="R54" s="676"/>
      <c r="S54" s="676"/>
      <c r="T54" s="676">
        <f t="shared" si="12"/>
        <v>0</v>
      </c>
    </row>
    <row r="55" spans="1:20" ht="13.5" customHeight="1">
      <c r="A55" s="653" t="str">
        <f>'Budget-合并'!A55</f>
        <v>6602.04.08</v>
      </c>
      <c r="B55" s="653" t="str">
        <f>'Budget-合并'!B55</f>
        <v>背景调查费</v>
      </c>
      <c r="C55" s="673" t="str">
        <f>'Budget-合并'!C55</f>
        <v>Employee Background Check</v>
      </c>
      <c r="D55" s="676">
        <f t="shared" si="18"/>
        <v>0</v>
      </c>
      <c r="F55" s="676">
        <f t="shared" ca="1" si="19"/>
        <v>0</v>
      </c>
      <c r="H55" s="676">
        <f t="shared" ref="H55:S55" si="22">SUM(H56,H60:H66)</f>
        <v>0</v>
      </c>
      <c r="I55" s="676">
        <f t="shared" si="22"/>
        <v>0</v>
      </c>
      <c r="J55" s="676">
        <f t="shared" si="22"/>
        <v>0</v>
      </c>
      <c r="K55" s="676">
        <f t="shared" si="22"/>
        <v>0</v>
      </c>
      <c r="L55" s="676">
        <f t="shared" si="22"/>
        <v>0</v>
      </c>
      <c r="M55" s="676">
        <f t="shared" si="22"/>
        <v>0</v>
      </c>
      <c r="N55" s="676">
        <f t="shared" si="22"/>
        <v>0</v>
      </c>
      <c r="O55" s="676">
        <f t="shared" si="22"/>
        <v>0</v>
      </c>
      <c r="P55" s="676">
        <f t="shared" si="22"/>
        <v>0</v>
      </c>
      <c r="Q55" s="676">
        <f t="shared" si="22"/>
        <v>0</v>
      </c>
      <c r="R55" s="676">
        <f t="shared" si="22"/>
        <v>0</v>
      </c>
      <c r="S55" s="676">
        <f t="shared" si="22"/>
        <v>0</v>
      </c>
      <c r="T55" s="676">
        <f t="shared" si="12"/>
        <v>0</v>
      </c>
    </row>
    <row r="56" spans="1:20" ht="13.5" customHeight="1">
      <c r="A56" s="653" t="str">
        <f>'Budget-合并'!A56</f>
        <v>6602.04.09</v>
      </c>
      <c r="B56" s="653" t="str">
        <f>'Budget-合并'!B56</f>
        <v>翻译服务费</v>
      </c>
      <c r="C56" s="673">
        <f>'Budget-合并'!C56</f>
        <v>0</v>
      </c>
      <c r="D56" s="676">
        <f t="shared" si="18"/>
        <v>0</v>
      </c>
      <c r="F56" s="676">
        <f t="shared" ca="1" si="19"/>
        <v>0</v>
      </c>
      <c r="H56" s="676">
        <f t="shared" ref="H56:S56" si="23">SUM(H57:H59)</f>
        <v>0</v>
      </c>
      <c r="I56" s="676">
        <f t="shared" si="23"/>
        <v>0</v>
      </c>
      <c r="J56" s="676">
        <f t="shared" si="23"/>
        <v>0</v>
      </c>
      <c r="K56" s="676">
        <f t="shared" si="23"/>
        <v>0</v>
      </c>
      <c r="L56" s="676">
        <f t="shared" si="23"/>
        <v>0</v>
      </c>
      <c r="M56" s="676">
        <f t="shared" si="23"/>
        <v>0</v>
      </c>
      <c r="N56" s="676">
        <f t="shared" si="23"/>
        <v>0</v>
      </c>
      <c r="O56" s="676">
        <f t="shared" si="23"/>
        <v>0</v>
      </c>
      <c r="P56" s="676">
        <f t="shared" si="23"/>
        <v>0</v>
      </c>
      <c r="Q56" s="676">
        <f t="shared" si="23"/>
        <v>0</v>
      </c>
      <c r="R56" s="676">
        <f t="shared" si="23"/>
        <v>0</v>
      </c>
      <c r="S56" s="676">
        <f t="shared" si="23"/>
        <v>0</v>
      </c>
      <c r="T56" s="676">
        <f t="shared" si="12"/>
        <v>0</v>
      </c>
    </row>
    <row r="57" spans="1:20" ht="13.5" customHeight="1">
      <c r="A57" s="653" t="str">
        <f>'Budget-合并'!A57</f>
        <v>6602.04.10</v>
      </c>
      <c r="B57" s="653" t="str">
        <f>'Budget-合并'!B57</f>
        <v>评估费</v>
      </c>
      <c r="C57" s="673">
        <f>'Budget-合并'!C57</f>
        <v>0</v>
      </c>
      <c r="D57" s="676">
        <f t="shared" si="18"/>
        <v>0</v>
      </c>
      <c r="F57" s="676">
        <f t="shared" ca="1" si="19"/>
        <v>0</v>
      </c>
      <c r="H57" s="676"/>
      <c r="I57" s="676"/>
      <c r="J57" s="676"/>
      <c r="K57" s="676"/>
      <c r="L57" s="676"/>
      <c r="M57" s="676"/>
      <c r="N57" s="676"/>
      <c r="O57" s="676"/>
      <c r="P57" s="676"/>
      <c r="Q57" s="676"/>
      <c r="R57" s="676"/>
      <c r="S57" s="676"/>
      <c r="T57" s="676">
        <f t="shared" si="12"/>
        <v>0</v>
      </c>
    </row>
    <row r="58" spans="1:20" ht="13.5" customHeight="1">
      <c r="A58" s="653" t="str">
        <f>'Budget-合并'!A58</f>
        <v>6602.04.11</v>
      </c>
      <c r="B58" s="653" t="str">
        <f>'Budget-合并'!B58</f>
        <v>技术服务费</v>
      </c>
      <c r="C58" s="673">
        <f>'Budget-合并'!C58</f>
        <v>0</v>
      </c>
      <c r="D58" s="676">
        <f t="shared" si="18"/>
        <v>0</v>
      </c>
      <c r="F58" s="676">
        <f t="shared" ca="1" si="19"/>
        <v>0</v>
      </c>
      <c r="H58" s="676"/>
      <c r="I58" s="676"/>
      <c r="J58" s="676"/>
      <c r="K58" s="676"/>
      <c r="L58" s="676"/>
      <c r="M58" s="676"/>
      <c r="N58" s="676"/>
      <c r="O58" s="676"/>
      <c r="P58" s="676"/>
      <c r="Q58" s="676"/>
      <c r="R58" s="676"/>
      <c r="S58" s="676"/>
      <c r="T58" s="676">
        <f t="shared" si="12"/>
        <v>0</v>
      </c>
    </row>
    <row r="59" spans="1:20" ht="13.5" customHeight="1">
      <c r="A59" s="653" t="str">
        <f>'Budget-合并'!A59</f>
        <v>6602.04.12</v>
      </c>
      <c r="B59" s="653" t="str">
        <f>'Budget-合并'!B59</f>
        <v>合规支持服务</v>
      </c>
      <c r="C59" s="673" t="str">
        <f>'Budget-合并'!C59</f>
        <v xml:space="preserve">Compliance Support Services </v>
      </c>
      <c r="D59" s="676">
        <f t="shared" si="18"/>
        <v>0</v>
      </c>
      <c r="F59" s="676">
        <f t="shared" ca="1" si="19"/>
        <v>0</v>
      </c>
      <c r="H59" s="676"/>
      <c r="I59" s="676"/>
      <c r="J59" s="676"/>
      <c r="K59" s="676"/>
      <c r="L59" s="676"/>
      <c r="M59" s="676"/>
      <c r="N59" s="676"/>
      <c r="O59" s="676"/>
      <c r="P59" s="676"/>
      <c r="Q59" s="676"/>
      <c r="R59" s="676"/>
      <c r="S59" s="676"/>
      <c r="T59" s="676">
        <f t="shared" si="12"/>
        <v>0</v>
      </c>
    </row>
    <row r="60" spans="1:20" ht="13.5" customHeight="1">
      <c r="A60" s="653" t="str">
        <f>'Budget-合并'!A60</f>
        <v>6602.04.13</v>
      </c>
      <c r="B60" s="653" t="str">
        <f>'Budget-合并'!B60</f>
        <v>咨询费</v>
      </c>
      <c r="C60" s="673" t="str">
        <f>'Budget-合并'!C60</f>
        <v>Consulting fee</v>
      </c>
      <c r="D60" s="676">
        <f t="shared" si="18"/>
        <v>0</v>
      </c>
      <c r="F60" s="676">
        <f t="shared" ca="1" si="19"/>
        <v>0</v>
      </c>
      <c r="H60" s="676"/>
      <c r="I60" s="676"/>
      <c r="J60" s="676"/>
      <c r="K60" s="676"/>
      <c r="L60" s="676"/>
      <c r="M60" s="676"/>
      <c r="N60" s="676"/>
      <c r="O60" s="676"/>
      <c r="P60" s="676"/>
      <c r="Q60" s="676"/>
      <c r="R60" s="676"/>
      <c r="S60" s="676"/>
      <c r="T60" s="676">
        <f t="shared" si="12"/>
        <v>0</v>
      </c>
    </row>
    <row r="61" spans="1:20" ht="13.5" customHeight="1">
      <c r="A61" s="653" t="str">
        <f>'Budget-合并'!A61</f>
        <v>6602.04.99</v>
      </c>
      <c r="B61" s="653" t="str">
        <f>'Budget-合并'!B61</f>
        <v>其他</v>
      </c>
      <c r="C61" s="673">
        <f>'Budget-合并'!C61</f>
        <v>0</v>
      </c>
      <c r="D61" s="676">
        <f t="shared" si="18"/>
        <v>0</v>
      </c>
      <c r="F61" s="676">
        <f t="shared" ca="1" si="19"/>
        <v>0</v>
      </c>
      <c r="H61" s="676"/>
      <c r="I61" s="676"/>
      <c r="J61" s="676"/>
      <c r="K61" s="676"/>
      <c r="L61" s="676"/>
      <c r="M61" s="676"/>
      <c r="N61" s="676"/>
      <c r="O61" s="676"/>
      <c r="P61" s="676"/>
      <c r="Q61" s="676"/>
      <c r="R61" s="676"/>
      <c r="S61" s="676"/>
      <c r="T61" s="676">
        <f t="shared" si="12"/>
        <v>0</v>
      </c>
    </row>
    <row r="62" spans="1:20" ht="13.5" customHeight="1">
      <c r="A62" s="663" t="str">
        <f>'Budget-合并'!A62</f>
        <v>6602.05</v>
      </c>
      <c r="B62" s="678" t="str">
        <f>'Budget-合并'!B62</f>
        <v>占用费</v>
      </c>
      <c r="C62" s="673">
        <f>'Budget-合并'!C62</f>
        <v>0</v>
      </c>
      <c r="D62" s="676">
        <f t="shared" si="18"/>
        <v>0</v>
      </c>
      <c r="F62" s="676">
        <f t="shared" ca="1" si="19"/>
        <v>0</v>
      </c>
      <c r="H62" s="676">
        <f t="shared" ref="H62:S62" si="24">SUM(H63,H67:H74)</f>
        <v>0</v>
      </c>
      <c r="I62" s="676">
        <f t="shared" si="24"/>
        <v>0</v>
      </c>
      <c r="J62" s="676">
        <f t="shared" si="24"/>
        <v>0</v>
      </c>
      <c r="K62" s="676">
        <f t="shared" si="24"/>
        <v>0</v>
      </c>
      <c r="L62" s="676">
        <f t="shared" si="24"/>
        <v>0</v>
      </c>
      <c r="M62" s="676">
        <f t="shared" si="24"/>
        <v>0</v>
      </c>
      <c r="N62" s="676">
        <f t="shared" si="24"/>
        <v>0</v>
      </c>
      <c r="O62" s="676">
        <f t="shared" si="24"/>
        <v>0</v>
      </c>
      <c r="P62" s="676">
        <f t="shared" si="24"/>
        <v>0</v>
      </c>
      <c r="Q62" s="676">
        <f t="shared" si="24"/>
        <v>0</v>
      </c>
      <c r="R62" s="676">
        <f t="shared" si="24"/>
        <v>0</v>
      </c>
      <c r="S62" s="676">
        <f t="shared" si="24"/>
        <v>0</v>
      </c>
      <c r="T62" s="676">
        <f t="shared" si="12"/>
        <v>0</v>
      </c>
    </row>
    <row r="63" spans="1:20" ht="13.5" customHeight="1">
      <c r="A63" s="653" t="str">
        <f>'Budget-合并'!A63</f>
        <v>6602.05.01</v>
      </c>
      <c r="B63" s="653" t="str">
        <f>'Budget-合并'!B63</f>
        <v>办公室租赁费</v>
      </c>
      <c r="C63" s="673">
        <f>'Budget-合并'!C63</f>
        <v>0</v>
      </c>
      <c r="D63" s="676">
        <f t="shared" si="18"/>
        <v>0</v>
      </c>
      <c r="F63" s="676">
        <f t="shared" ca="1" si="19"/>
        <v>0</v>
      </c>
      <c r="H63" s="676">
        <f t="shared" ref="H63:S63" si="25">SUM(H64:H66)</f>
        <v>0</v>
      </c>
      <c r="I63" s="676">
        <f t="shared" si="25"/>
        <v>0</v>
      </c>
      <c r="J63" s="676">
        <f t="shared" si="25"/>
        <v>0</v>
      </c>
      <c r="K63" s="676">
        <f t="shared" si="25"/>
        <v>0</v>
      </c>
      <c r="L63" s="676">
        <f t="shared" si="25"/>
        <v>0</v>
      </c>
      <c r="M63" s="676">
        <f t="shared" si="25"/>
        <v>0</v>
      </c>
      <c r="N63" s="676">
        <f t="shared" si="25"/>
        <v>0</v>
      </c>
      <c r="O63" s="676">
        <f t="shared" si="25"/>
        <v>0</v>
      </c>
      <c r="P63" s="676">
        <f t="shared" si="25"/>
        <v>0</v>
      </c>
      <c r="Q63" s="676">
        <f t="shared" si="25"/>
        <v>0</v>
      </c>
      <c r="R63" s="676">
        <f t="shared" si="25"/>
        <v>0</v>
      </c>
      <c r="S63" s="676">
        <f t="shared" si="25"/>
        <v>0</v>
      </c>
      <c r="T63" s="676">
        <f t="shared" si="12"/>
        <v>0</v>
      </c>
    </row>
    <row r="64" spans="1:20" ht="13.5" customHeight="1">
      <c r="A64" s="653" t="str">
        <f>'Budget-合并'!A64</f>
        <v>6602.05.01.01</v>
      </c>
      <c r="B64" s="653" t="str">
        <f>'Budget-合并'!B64</f>
        <v>旭智咨询--鼎和大厦1606</v>
      </c>
      <c r="C64" s="673">
        <f>'Budget-合并'!C64</f>
        <v>0</v>
      </c>
      <c r="D64" s="676">
        <f t="shared" si="18"/>
        <v>0</v>
      </c>
      <c r="F64" s="676">
        <f t="shared" ca="1" si="19"/>
        <v>0</v>
      </c>
      <c r="H64" s="676"/>
      <c r="I64" s="676"/>
      <c r="J64" s="676"/>
      <c r="K64" s="676"/>
      <c r="L64" s="676"/>
      <c r="M64" s="676"/>
      <c r="N64" s="676"/>
      <c r="O64" s="676"/>
      <c r="P64" s="676"/>
      <c r="Q64" s="676"/>
      <c r="R64" s="676"/>
      <c r="S64" s="676"/>
      <c r="T64" s="676">
        <f t="shared" si="12"/>
        <v>0</v>
      </c>
    </row>
    <row r="65" spans="1:20" ht="13.5" customHeight="1">
      <c r="A65" s="653" t="str">
        <f>'Budget-合并'!A65</f>
        <v>6602.05.01.02</v>
      </c>
      <c r="B65" s="653" t="str">
        <f>'Budget-合并'!B65</f>
        <v>广州注册地址403房J015</v>
      </c>
      <c r="C65" s="673">
        <f>'Budget-合并'!C65</f>
        <v>0</v>
      </c>
      <c r="D65" s="676">
        <f t="shared" si="18"/>
        <v>0</v>
      </c>
      <c r="F65" s="676">
        <f t="shared" ca="1" si="19"/>
        <v>0</v>
      </c>
      <c r="H65" s="676"/>
      <c r="I65" s="676"/>
      <c r="J65" s="676"/>
      <c r="K65" s="676"/>
      <c r="L65" s="676"/>
      <c r="M65" s="676"/>
      <c r="N65" s="676"/>
      <c r="O65" s="676"/>
      <c r="P65" s="676"/>
      <c r="Q65" s="676"/>
      <c r="R65" s="676"/>
      <c r="S65" s="676"/>
      <c r="T65" s="676">
        <f t="shared" si="12"/>
        <v>0</v>
      </c>
    </row>
    <row r="66" spans="1:20" ht="13.5" customHeight="1">
      <c r="A66" s="653" t="str">
        <f>'Budget-合并'!A66</f>
        <v>6602.05.01.03</v>
      </c>
      <c r="B66" s="653" t="str">
        <f>'Budget-合并'!B66</f>
        <v>广州注册地址403房J016</v>
      </c>
      <c r="C66" s="673">
        <f>'Budget-合并'!C66</f>
        <v>0</v>
      </c>
      <c r="D66" s="676">
        <f t="shared" si="18"/>
        <v>0</v>
      </c>
      <c r="F66" s="676">
        <f t="shared" ca="1" si="19"/>
        <v>0</v>
      </c>
      <c r="H66" s="676"/>
      <c r="I66" s="676"/>
      <c r="J66" s="676"/>
      <c r="K66" s="676"/>
      <c r="L66" s="676"/>
      <c r="M66" s="676"/>
      <c r="N66" s="676"/>
      <c r="O66" s="676"/>
      <c r="P66" s="676"/>
      <c r="Q66" s="676"/>
      <c r="R66" s="676"/>
      <c r="S66" s="676"/>
      <c r="T66" s="676">
        <f t="shared" si="12"/>
        <v>0</v>
      </c>
    </row>
    <row r="67" spans="1:20" ht="13.5" customHeight="1">
      <c r="A67" s="653" t="str">
        <f>'Budget-合并'!A67</f>
        <v>6602.05.02</v>
      </c>
      <c r="B67" s="653" t="str">
        <f>'Budget-合并'!B67</f>
        <v>管理费</v>
      </c>
      <c r="C67" s="673" t="str">
        <f>'Budget-合并'!C67</f>
        <v>Management fees</v>
      </c>
      <c r="D67" s="676">
        <f t="shared" si="18"/>
        <v>0</v>
      </c>
      <c r="F67" s="676">
        <f t="shared" ca="1" si="19"/>
        <v>0</v>
      </c>
      <c r="H67" s="676"/>
      <c r="I67" s="676"/>
      <c r="J67" s="676"/>
      <c r="K67" s="676"/>
      <c r="L67" s="676"/>
      <c r="M67" s="676"/>
      <c r="N67" s="676"/>
      <c r="O67" s="676"/>
      <c r="P67" s="676"/>
      <c r="Q67" s="676"/>
      <c r="R67" s="676"/>
      <c r="S67" s="676"/>
      <c r="T67" s="676">
        <f t="shared" si="12"/>
        <v>0</v>
      </c>
    </row>
    <row r="68" spans="1:20" ht="13.5" customHeight="1">
      <c r="A68" s="653" t="str">
        <f>'Budget-合并'!A68</f>
        <v>6602.05.03</v>
      </c>
      <c r="B68" s="653" t="str">
        <f>'Budget-合并'!B68</f>
        <v>电费</v>
      </c>
      <c r="C68" s="673" t="str">
        <f>'Budget-合并'!C68</f>
        <v>Utilities Electric</v>
      </c>
      <c r="D68" s="676">
        <f t="shared" si="18"/>
        <v>0</v>
      </c>
      <c r="F68" s="676">
        <f t="shared" ca="1" si="19"/>
        <v>0</v>
      </c>
      <c r="H68" s="676"/>
      <c r="I68" s="676"/>
      <c r="J68" s="676"/>
      <c r="K68" s="676"/>
      <c r="L68" s="676"/>
      <c r="M68" s="676"/>
      <c r="N68" s="676"/>
      <c r="O68" s="676"/>
      <c r="P68" s="676"/>
      <c r="Q68" s="676"/>
      <c r="R68" s="676"/>
      <c r="S68" s="676"/>
      <c r="T68" s="676">
        <f t="shared" si="12"/>
        <v>0</v>
      </c>
    </row>
    <row r="69" spans="1:20" ht="13.5" customHeight="1">
      <c r="A69" s="653" t="str">
        <f>'Budget-合并'!A69</f>
        <v>6602.05.04</v>
      </c>
      <c r="B69" s="653" t="str">
        <f>'Budget-合并'!B69</f>
        <v>水费</v>
      </c>
      <c r="C69" s="673">
        <f>'Budget-合并'!C69</f>
        <v>0</v>
      </c>
      <c r="D69" s="676">
        <f t="shared" si="18"/>
        <v>0</v>
      </c>
      <c r="F69" s="676">
        <f t="shared" ca="1" si="19"/>
        <v>0</v>
      </c>
      <c r="H69" s="676"/>
      <c r="I69" s="676"/>
      <c r="J69" s="676"/>
      <c r="K69" s="676"/>
      <c r="L69" s="676"/>
      <c r="M69" s="676"/>
      <c r="N69" s="676"/>
      <c r="O69" s="676"/>
      <c r="P69" s="676"/>
      <c r="Q69" s="676"/>
      <c r="R69" s="676"/>
      <c r="S69" s="676"/>
      <c r="T69" s="676">
        <f t="shared" si="12"/>
        <v>0</v>
      </c>
    </row>
    <row r="70" spans="1:20" ht="13.5" customHeight="1">
      <c r="A70" s="653" t="str">
        <f>'Budget-合并'!A70</f>
        <v>6602.05.05</v>
      </c>
      <c r="B70" s="653" t="str">
        <f>'Budget-合并'!B70</f>
        <v>维修费</v>
      </c>
      <c r="C70" s="673" t="str">
        <f>'Budget-合并'!C70</f>
        <v>Office Maintenance &amp; Repair</v>
      </c>
      <c r="D70" s="676">
        <f t="shared" si="18"/>
        <v>0</v>
      </c>
      <c r="F70" s="676">
        <f t="shared" ca="1" si="19"/>
        <v>0</v>
      </c>
      <c r="H70" s="676"/>
      <c r="I70" s="676"/>
      <c r="J70" s="676"/>
      <c r="K70" s="676"/>
      <c r="L70" s="676"/>
      <c r="M70" s="676"/>
      <c r="N70" s="676"/>
      <c r="O70" s="676"/>
      <c r="P70" s="676"/>
      <c r="Q70" s="676"/>
      <c r="R70" s="676"/>
      <c r="S70" s="676"/>
      <c r="T70" s="676">
        <f t="shared" si="12"/>
        <v>0</v>
      </c>
    </row>
    <row r="71" spans="1:20" ht="13.5" customHeight="1">
      <c r="A71" s="653" t="str">
        <f>'Budget-合并'!A71</f>
        <v>6602.05.06</v>
      </c>
      <c r="B71" s="653" t="str">
        <f>'Budget-合并'!B71</f>
        <v>装修费</v>
      </c>
      <c r="C71" s="673" t="str">
        <f>'Budget-合并'!C71</f>
        <v>Depreciation_Leasehold Improvement</v>
      </c>
      <c r="D71" s="676">
        <f t="shared" si="18"/>
        <v>0</v>
      </c>
      <c r="F71" s="676">
        <f t="shared" ca="1" si="19"/>
        <v>0</v>
      </c>
      <c r="H71" s="676"/>
      <c r="I71" s="676"/>
      <c r="J71" s="676"/>
      <c r="K71" s="676"/>
      <c r="L71" s="676"/>
      <c r="M71" s="676"/>
      <c r="N71" s="676"/>
      <c r="O71" s="676"/>
      <c r="P71" s="676"/>
      <c r="Q71" s="676"/>
      <c r="R71" s="676"/>
      <c r="S71" s="676"/>
      <c r="T71" s="676">
        <f t="shared" si="12"/>
        <v>0</v>
      </c>
    </row>
    <row r="72" spans="1:20" ht="13.5" customHeight="1">
      <c r="A72" s="653" t="str">
        <f>'Budget-合并'!A72</f>
        <v>6602.05.07</v>
      </c>
      <c r="B72" s="653" t="str">
        <f>'Budget-合并'!B72</f>
        <v>租金及物业费</v>
      </c>
      <c r="C72" s="673">
        <f>'Budget-合并'!C72</f>
        <v>0</v>
      </c>
      <c r="D72" s="676">
        <f t="shared" si="18"/>
        <v>0</v>
      </c>
      <c r="F72" s="676">
        <f t="shared" ca="1" si="19"/>
        <v>0</v>
      </c>
      <c r="H72" s="676"/>
      <c r="I72" s="676"/>
      <c r="J72" s="676"/>
      <c r="K72" s="676"/>
      <c r="L72" s="676"/>
      <c r="M72" s="676"/>
      <c r="N72" s="676"/>
      <c r="O72" s="676"/>
      <c r="P72" s="676"/>
      <c r="Q72" s="676"/>
      <c r="R72" s="676"/>
      <c r="S72" s="676"/>
      <c r="T72" s="676">
        <f t="shared" si="12"/>
        <v>0</v>
      </c>
    </row>
    <row r="73" spans="1:20" ht="11.1" customHeight="1">
      <c r="A73" s="653" t="str">
        <f>'Budget-合并'!A73</f>
        <v>6602.05.08</v>
      </c>
      <c r="B73" s="653" t="str">
        <f>'Budget-合并'!B73</f>
        <v>集团内分摊</v>
      </c>
      <c r="C73" s="673" t="str">
        <f>'Budget-合并'!C73</f>
        <v>Space Rel X Charge</v>
      </c>
      <c r="D73" s="676">
        <f t="shared" si="18"/>
        <v>0</v>
      </c>
      <c r="F73" s="676">
        <f t="shared" ca="1" si="19"/>
        <v>0</v>
      </c>
      <c r="H73" s="676"/>
      <c r="I73" s="676"/>
      <c r="J73" s="676"/>
      <c r="K73" s="676"/>
      <c r="L73" s="676"/>
      <c r="M73" s="676"/>
      <c r="N73" s="676"/>
      <c r="O73" s="676"/>
      <c r="P73" s="676"/>
      <c r="Q73" s="676"/>
      <c r="R73" s="676"/>
      <c r="S73" s="676"/>
      <c r="T73" s="676">
        <f t="shared" si="12"/>
        <v>0</v>
      </c>
    </row>
    <row r="74" spans="1:20" ht="11.1" customHeight="1">
      <c r="A74" s="653" t="str">
        <f>'Budget-合并'!A74</f>
        <v>6602.05.99</v>
      </c>
      <c r="B74" s="653" t="str">
        <f>'Budget-合并'!B74</f>
        <v>其他</v>
      </c>
      <c r="C74" s="673">
        <f>'Budget-合并'!C74</f>
        <v>0</v>
      </c>
      <c r="D74" s="676">
        <f t="shared" si="18"/>
        <v>0</v>
      </c>
      <c r="F74" s="676">
        <f t="shared" ca="1" si="19"/>
        <v>0</v>
      </c>
      <c r="H74" s="676"/>
      <c r="I74" s="676"/>
      <c r="J74" s="676"/>
      <c r="K74" s="676"/>
      <c r="L74" s="676"/>
      <c r="M74" s="676"/>
      <c r="N74" s="676"/>
      <c r="O74" s="676"/>
      <c r="P74" s="676"/>
      <c r="Q74" s="676"/>
      <c r="R74" s="676"/>
      <c r="S74" s="676"/>
      <c r="T74" s="676">
        <f t="shared" si="12"/>
        <v>0</v>
      </c>
    </row>
    <row r="75" spans="1:20" ht="11.1" customHeight="1">
      <c r="A75" s="663" t="str">
        <f>'Budget-合并'!A75</f>
        <v>6602.06</v>
      </c>
      <c r="B75" s="678" t="str">
        <f>'Budget-合并'!B75</f>
        <v>业务招待费</v>
      </c>
      <c r="C75" s="673" t="str">
        <f>'Budget-合并'!C75</f>
        <v>Client Entertainment</v>
      </c>
      <c r="D75" s="676">
        <f t="shared" si="18"/>
        <v>0</v>
      </c>
      <c r="F75" s="676">
        <f t="shared" ca="1" si="19"/>
        <v>0</v>
      </c>
      <c r="H75" s="676">
        <f t="shared" ref="H75:S75" si="26">SUM(H76:H78)</f>
        <v>0</v>
      </c>
      <c r="I75" s="676">
        <f t="shared" si="26"/>
        <v>0</v>
      </c>
      <c r="J75" s="676">
        <f t="shared" si="26"/>
        <v>0</v>
      </c>
      <c r="K75" s="676">
        <f t="shared" si="26"/>
        <v>0</v>
      </c>
      <c r="L75" s="676">
        <f t="shared" si="26"/>
        <v>0</v>
      </c>
      <c r="M75" s="676">
        <f t="shared" si="26"/>
        <v>0</v>
      </c>
      <c r="N75" s="676">
        <f t="shared" si="26"/>
        <v>0</v>
      </c>
      <c r="O75" s="676">
        <f t="shared" si="26"/>
        <v>0</v>
      </c>
      <c r="P75" s="676">
        <f t="shared" si="26"/>
        <v>0</v>
      </c>
      <c r="Q75" s="676">
        <f t="shared" si="26"/>
        <v>0</v>
      </c>
      <c r="R75" s="676">
        <f t="shared" si="26"/>
        <v>0</v>
      </c>
      <c r="S75" s="676">
        <f t="shared" si="26"/>
        <v>0</v>
      </c>
      <c r="T75" s="676">
        <f t="shared" si="12"/>
        <v>0</v>
      </c>
    </row>
    <row r="76" spans="1:20" ht="11.1" customHeight="1">
      <c r="A76" s="653">
        <f>'Budget-合并'!A76</f>
        <v>0</v>
      </c>
      <c r="B76" s="653" t="str">
        <f>'Budget-合并'!B76</f>
        <v xml:space="preserve">    公司主体02</v>
      </c>
      <c r="C76" s="673" t="str">
        <f>'Budget-合并'!C76</f>
        <v xml:space="preserve">   Entity</v>
      </c>
      <c r="D76" s="676">
        <f t="shared" si="18"/>
        <v>0</v>
      </c>
      <c r="F76" s="676">
        <f t="shared" ca="1" si="19"/>
        <v>0</v>
      </c>
      <c r="H76" s="676"/>
      <c r="I76" s="676"/>
      <c r="J76" s="676"/>
      <c r="K76" s="676"/>
      <c r="L76" s="676"/>
      <c r="M76" s="676"/>
      <c r="N76" s="676"/>
      <c r="O76" s="676"/>
      <c r="P76" s="676"/>
      <c r="Q76" s="676"/>
      <c r="R76" s="676"/>
      <c r="S76" s="676"/>
      <c r="T76" s="676">
        <f t="shared" si="12"/>
        <v>0</v>
      </c>
    </row>
    <row r="77" spans="1:20" ht="11.1" customHeight="1">
      <c r="A77" s="653">
        <f>'Budget-合并'!A77</f>
        <v>0</v>
      </c>
      <c r="B77" s="653" t="str">
        <f>'Budget-合并'!B77</f>
        <v xml:space="preserve">    旭智富能02</v>
      </c>
      <c r="C77" s="673" t="str">
        <f>'Budget-合并'!C77</f>
        <v xml:space="preserve">   Foxpower</v>
      </c>
      <c r="D77" s="676">
        <f t="shared" si="18"/>
        <v>0</v>
      </c>
      <c r="F77" s="676">
        <f t="shared" ca="1" si="19"/>
        <v>0</v>
      </c>
      <c r="H77" s="676"/>
      <c r="I77" s="676"/>
      <c r="J77" s="676"/>
      <c r="K77" s="676"/>
      <c r="L77" s="676"/>
      <c r="M77" s="676"/>
      <c r="N77" s="676"/>
      <c r="O77" s="676"/>
      <c r="P77" s="676"/>
      <c r="Q77" s="676"/>
      <c r="R77" s="676"/>
      <c r="S77" s="676"/>
      <c r="T77" s="676">
        <f t="shared" si="12"/>
        <v>0</v>
      </c>
    </row>
    <row r="78" spans="1:20" ht="11.1" customHeight="1">
      <c r="A78" s="653">
        <f>'Budget-合并'!A78</f>
        <v>0</v>
      </c>
      <c r="B78" s="653" t="str">
        <f>'Budget-合并'!B78</f>
        <v xml:space="preserve">    其他项目02</v>
      </c>
      <c r="C78" s="673" t="str">
        <f>'Budget-合并'!C78</f>
        <v xml:space="preserve">   Other project</v>
      </c>
      <c r="D78" s="676">
        <f t="shared" si="18"/>
        <v>0</v>
      </c>
      <c r="F78" s="676">
        <f t="shared" ca="1" si="19"/>
        <v>0</v>
      </c>
      <c r="H78" s="676"/>
      <c r="I78" s="676"/>
      <c r="J78" s="676"/>
      <c r="K78" s="676"/>
      <c r="L78" s="676"/>
      <c r="M78" s="676"/>
      <c r="N78" s="676"/>
      <c r="O78" s="676"/>
      <c r="P78" s="676"/>
      <c r="Q78" s="676"/>
      <c r="R78" s="676"/>
      <c r="S78" s="676"/>
      <c r="T78" s="676">
        <f t="shared" si="12"/>
        <v>0</v>
      </c>
    </row>
    <row r="79" spans="1:20" ht="11.1" customHeight="1">
      <c r="A79" s="653" t="str">
        <f>'Budget-合并'!A79</f>
        <v>6602.07</v>
      </c>
      <c r="B79" s="653" t="str">
        <f>'Budget-合并'!B79</f>
        <v>广告费和业务宣传费</v>
      </c>
      <c r="C79" s="673">
        <f>'Budget-合并'!C79</f>
        <v>0</v>
      </c>
      <c r="D79" s="676">
        <f t="shared" si="18"/>
        <v>0</v>
      </c>
      <c r="F79" s="676">
        <f t="shared" ca="1" si="19"/>
        <v>0</v>
      </c>
      <c r="H79" s="676"/>
      <c r="I79" s="676"/>
      <c r="J79" s="676"/>
      <c r="K79" s="676"/>
      <c r="L79" s="676"/>
      <c r="M79" s="676"/>
      <c r="N79" s="676"/>
      <c r="O79" s="676"/>
      <c r="P79" s="676"/>
      <c r="Q79" s="676"/>
      <c r="R79" s="676"/>
      <c r="S79" s="676"/>
      <c r="T79" s="676">
        <f t="shared" si="12"/>
        <v>0</v>
      </c>
    </row>
    <row r="80" spans="1:20" ht="11.1" customHeight="1">
      <c r="A80" s="663" t="str">
        <f>'Budget-合并'!A80</f>
        <v>6602.08</v>
      </c>
      <c r="B80" s="678" t="str">
        <f>'Budget-合并'!B80</f>
        <v>事务费用</v>
      </c>
      <c r="C80" s="673">
        <f>'Budget-合并'!C80</f>
        <v>0</v>
      </c>
      <c r="D80" s="676">
        <f t="shared" si="18"/>
        <v>0</v>
      </c>
      <c r="F80" s="676">
        <f t="shared" ca="1" si="19"/>
        <v>0</v>
      </c>
      <c r="H80" s="676">
        <f t="shared" ref="H80:S80" si="27">SUM(H81:H91)</f>
        <v>0</v>
      </c>
      <c r="I80" s="676">
        <f t="shared" si="27"/>
        <v>0</v>
      </c>
      <c r="J80" s="676">
        <f t="shared" si="27"/>
        <v>0</v>
      </c>
      <c r="K80" s="676">
        <f t="shared" si="27"/>
        <v>0</v>
      </c>
      <c r="L80" s="676">
        <f t="shared" si="27"/>
        <v>0</v>
      </c>
      <c r="M80" s="676">
        <f t="shared" si="27"/>
        <v>0</v>
      </c>
      <c r="N80" s="676">
        <f t="shared" si="27"/>
        <v>0</v>
      </c>
      <c r="O80" s="676">
        <f t="shared" si="27"/>
        <v>0</v>
      </c>
      <c r="P80" s="676">
        <f t="shared" si="27"/>
        <v>0</v>
      </c>
      <c r="Q80" s="676">
        <f t="shared" si="27"/>
        <v>0</v>
      </c>
      <c r="R80" s="676">
        <f t="shared" si="27"/>
        <v>0</v>
      </c>
      <c r="S80" s="676">
        <f t="shared" si="27"/>
        <v>0</v>
      </c>
      <c r="T80" s="676">
        <f t="shared" si="12"/>
        <v>0</v>
      </c>
    </row>
    <row r="81" spans="1:20" ht="11.1" customHeight="1">
      <c r="A81" s="653" t="str">
        <f>'Budget-合并'!A81</f>
        <v>6602.08.01</v>
      </c>
      <c r="B81" s="653" t="str">
        <f>'Budget-合并'!B81</f>
        <v>通信费</v>
      </c>
      <c r="C81" s="673" t="str">
        <f>'Budget-合并'!C81</f>
        <v>Telephone Monthly/Base Charge</v>
      </c>
      <c r="D81" s="676">
        <f t="shared" si="18"/>
        <v>0</v>
      </c>
      <c r="F81" s="676">
        <f t="shared" ca="1" si="19"/>
        <v>0</v>
      </c>
      <c r="H81" s="676"/>
      <c r="I81" s="676"/>
      <c r="J81" s="676"/>
      <c r="K81" s="676"/>
      <c r="L81" s="676"/>
      <c r="M81" s="676"/>
      <c r="N81" s="676"/>
      <c r="O81" s="676"/>
      <c r="P81" s="676"/>
      <c r="Q81" s="676"/>
      <c r="R81" s="676"/>
      <c r="S81" s="676"/>
      <c r="T81" s="676">
        <f t="shared" si="12"/>
        <v>0</v>
      </c>
    </row>
    <row r="82" spans="1:20" ht="11.1" customHeight="1">
      <c r="A82" s="653" t="str">
        <f>'Budget-合并'!A82</f>
        <v>6602.08.02</v>
      </c>
      <c r="B82" s="653" t="str">
        <f>'Budget-合并'!B82</f>
        <v>电脑软件费</v>
      </c>
      <c r="C82" s="673" t="str">
        <f>'Budget-合并'!C82</f>
        <v xml:space="preserve">PC Software </v>
      </c>
      <c r="D82" s="676">
        <f t="shared" si="18"/>
        <v>0</v>
      </c>
      <c r="F82" s="676">
        <f t="shared" ca="1" si="19"/>
        <v>0</v>
      </c>
      <c r="H82" s="676"/>
      <c r="I82" s="676"/>
      <c r="J82" s="676"/>
      <c r="K82" s="676"/>
      <c r="L82" s="676"/>
      <c r="M82" s="676"/>
      <c r="N82" s="676"/>
      <c r="O82" s="676"/>
      <c r="P82" s="676"/>
      <c r="Q82" s="676"/>
      <c r="R82" s="676"/>
      <c r="S82" s="676"/>
      <c r="T82" s="676">
        <f t="shared" si="12"/>
        <v>0</v>
      </c>
    </row>
    <row r="83" spans="1:20" ht="12.95" customHeight="1">
      <c r="A83" s="653" t="str">
        <f>'Budget-合并'!A83</f>
        <v>6602.08.03</v>
      </c>
      <c r="B83" s="653" t="str">
        <f>'Budget-合并'!B83</f>
        <v>办公用品</v>
      </c>
      <c r="C83" s="673" t="str">
        <f>'Budget-合并'!C83</f>
        <v xml:space="preserve">Office Supplies </v>
      </c>
      <c r="D83" s="676">
        <f t="shared" si="18"/>
        <v>0</v>
      </c>
      <c r="F83" s="676">
        <f t="shared" ca="1" si="19"/>
        <v>0</v>
      </c>
      <c r="H83" s="676"/>
      <c r="I83" s="676"/>
      <c r="J83" s="676"/>
      <c r="K83" s="676"/>
      <c r="L83" s="676"/>
      <c r="M83" s="676"/>
      <c r="N83" s="676"/>
      <c r="O83" s="676"/>
      <c r="P83" s="676"/>
      <c r="Q83" s="676"/>
      <c r="R83" s="676"/>
      <c r="S83" s="676"/>
      <c r="T83" s="676">
        <f t="shared" si="12"/>
        <v>0</v>
      </c>
    </row>
    <row r="84" spans="1:20" ht="11.1" customHeight="1">
      <c r="A84" s="653" t="str">
        <f>'Budget-合并'!A84</f>
        <v>6602.08.04</v>
      </c>
      <c r="B84" s="653" t="str">
        <f>'Budget-合并'!B84</f>
        <v>事务保金</v>
      </c>
      <c r="C84" s="673" t="str">
        <f>'Budget-合并'!C84</f>
        <v>Other Insurance</v>
      </c>
      <c r="D84" s="676">
        <f t="shared" si="18"/>
        <v>0</v>
      </c>
      <c r="F84" s="676">
        <f t="shared" ca="1" si="19"/>
        <v>0</v>
      </c>
      <c r="H84" s="676"/>
      <c r="I84" s="676"/>
      <c r="J84" s="676"/>
      <c r="K84" s="676"/>
      <c r="L84" s="676"/>
      <c r="M84" s="676"/>
      <c r="N84" s="676"/>
      <c r="O84" s="676"/>
      <c r="P84" s="676"/>
      <c r="Q84" s="676"/>
      <c r="R84" s="676"/>
      <c r="S84" s="676"/>
      <c r="T84" s="676">
        <f t="shared" si="12"/>
        <v>0</v>
      </c>
    </row>
    <row r="85" spans="1:20" ht="11.1" customHeight="1">
      <c r="A85" s="653" t="str">
        <f>'Budget-合并'!A85</f>
        <v>6602.08.05</v>
      </c>
      <c r="B85" s="653" t="str">
        <f>'Budget-合并'!B85</f>
        <v>邮费/邮递费</v>
      </c>
      <c r="C85" s="673" t="str">
        <f>'Budget-合并'!C85</f>
        <v>Postage / Freight / Delivery</v>
      </c>
      <c r="D85" s="676">
        <f t="shared" si="18"/>
        <v>0</v>
      </c>
      <c r="F85" s="676">
        <f t="shared" ca="1" si="19"/>
        <v>0</v>
      </c>
      <c r="H85" s="676"/>
      <c r="I85" s="676"/>
      <c r="J85" s="676"/>
      <c r="K85" s="676"/>
      <c r="L85" s="676"/>
      <c r="M85" s="676"/>
      <c r="N85" s="676"/>
      <c r="O85" s="676"/>
      <c r="P85" s="676"/>
      <c r="Q85" s="676"/>
      <c r="R85" s="676"/>
      <c r="S85" s="676"/>
      <c r="T85" s="676">
        <f t="shared" si="12"/>
        <v>0</v>
      </c>
    </row>
    <row r="86" spans="1:20" ht="11.1" customHeight="1">
      <c r="A86" s="653" t="str">
        <f>'Budget-合并'!A86</f>
        <v>6602.08.06</v>
      </c>
      <c r="B86" s="653" t="str">
        <f>'Budget-合并'!B86</f>
        <v>IT专业人士及微软服务</v>
      </c>
      <c r="C86" s="673" t="str">
        <f>'Budget-合并'!C86</f>
        <v xml:space="preserve">IT Professional &amp; MS Services </v>
      </c>
      <c r="D86" s="676">
        <f t="shared" si="18"/>
        <v>0</v>
      </c>
      <c r="F86" s="676">
        <f t="shared" ca="1" si="19"/>
        <v>0</v>
      </c>
      <c r="H86" s="676"/>
      <c r="I86" s="676"/>
      <c r="J86" s="676"/>
      <c r="K86" s="676"/>
      <c r="L86" s="676"/>
      <c r="M86" s="676"/>
      <c r="N86" s="676"/>
      <c r="O86" s="676"/>
      <c r="P86" s="676"/>
      <c r="Q86" s="676"/>
      <c r="R86" s="676"/>
      <c r="S86" s="676"/>
      <c r="T86" s="676">
        <f t="shared" si="12"/>
        <v>0</v>
      </c>
    </row>
    <row r="87" spans="1:20" ht="11.1" customHeight="1">
      <c r="A87" s="653" t="str">
        <f>'Budget-合并'!A87</f>
        <v>6602.08.07</v>
      </c>
      <c r="B87" s="653" t="str">
        <f>'Budget-合并'!B87</f>
        <v>软件许可证费用</v>
      </c>
      <c r="C87" s="673" t="str">
        <f>'Budget-合并'!C87</f>
        <v xml:space="preserve">Software Licence Fee Exp </v>
      </c>
      <c r="D87" s="676">
        <f t="shared" si="18"/>
        <v>0</v>
      </c>
      <c r="F87" s="676">
        <f t="shared" ca="1" si="19"/>
        <v>0</v>
      </c>
      <c r="H87" s="676"/>
      <c r="I87" s="676"/>
      <c r="J87" s="676"/>
      <c r="K87" s="676"/>
      <c r="L87" s="676"/>
      <c r="M87" s="676"/>
      <c r="N87" s="676"/>
      <c r="O87" s="676"/>
      <c r="P87" s="676"/>
      <c r="Q87" s="676"/>
      <c r="R87" s="676"/>
      <c r="S87" s="676"/>
      <c r="T87" s="676">
        <f t="shared" ref="T87:T150" si="28">SUM(H87:S87)</f>
        <v>0</v>
      </c>
    </row>
    <row r="88" spans="1:20" ht="11.1" customHeight="1">
      <c r="A88" s="653" t="str">
        <f>'Budget-合并'!A88</f>
        <v>6602.08.08</v>
      </c>
      <c r="B88" s="653" t="str">
        <f>'Budget-合并'!B88</f>
        <v>软件使用费</v>
      </c>
      <c r="C88" s="673">
        <f>'Budget-合并'!C88</f>
        <v>0</v>
      </c>
      <c r="D88" s="676">
        <f t="shared" si="18"/>
        <v>0</v>
      </c>
      <c r="F88" s="676">
        <f t="shared" ca="1" si="19"/>
        <v>0</v>
      </c>
      <c r="H88" s="676"/>
      <c r="I88" s="676"/>
      <c r="J88" s="676"/>
      <c r="K88" s="676"/>
      <c r="L88" s="676"/>
      <c r="M88" s="676"/>
      <c r="N88" s="676"/>
      <c r="O88" s="676"/>
      <c r="P88" s="676"/>
      <c r="Q88" s="676"/>
      <c r="R88" s="676"/>
      <c r="S88" s="676"/>
      <c r="T88" s="676">
        <f t="shared" si="28"/>
        <v>0</v>
      </c>
    </row>
    <row r="89" spans="1:20" ht="11.1" customHeight="1">
      <c r="A89" s="653" t="str">
        <f>'Budget-合并'!A89</f>
        <v>6602.08.09</v>
      </c>
      <c r="B89" s="653" t="str">
        <f>'Budget-合并'!B89</f>
        <v>清洁服务</v>
      </c>
      <c r="C89" s="673">
        <f>'Budget-合并'!C89</f>
        <v>0</v>
      </c>
      <c r="D89" s="676">
        <f t="shared" si="18"/>
        <v>0</v>
      </c>
      <c r="F89" s="676">
        <f t="shared" ca="1" si="19"/>
        <v>0</v>
      </c>
      <c r="H89" s="676"/>
      <c r="I89" s="676"/>
      <c r="J89" s="676"/>
      <c r="K89" s="676"/>
      <c r="L89" s="676"/>
      <c r="M89" s="676"/>
      <c r="N89" s="676"/>
      <c r="O89" s="676"/>
      <c r="P89" s="676"/>
      <c r="Q89" s="676"/>
      <c r="R89" s="676"/>
      <c r="S89" s="676"/>
      <c r="T89" s="676">
        <f t="shared" si="28"/>
        <v>0</v>
      </c>
    </row>
    <row r="90" spans="1:20" ht="11.1" customHeight="1">
      <c r="A90" s="653" t="str">
        <f>'Budget-合并'!A90</f>
        <v>6602.08.10</v>
      </c>
      <c r="B90" s="653" t="str">
        <f>'Budget-合并'!B90</f>
        <v>电话国际直拨/电话会议收费</v>
      </c>
      <c r="C90" s="673" t="str">
        <f>'Budget-合并'!C90</f>
        <v>Telephone IDD/Teleconf Charge</v>
      </c>
      <c r="D90" s="676">
        <f t="shared" si="18"/>
        <v>0</v>
      </c>
      <c r="F90" s="676">
        <f t="shared" ca="1" si="19"/>
        <v>0</v>
      </c>
      <c r="H90" s="676"/>
      <c r="I90" s="676"/>
      <c r="J90" s="676"/>
      <c r="K90" s="676"/>
      <c r="L90" s="676"/>
      <c r="M90" s="676"/>
      <c r="N90" s="676"/>
      <c r="O90" s="676"/>
      <c r="P90" s="676"/>
      <c r="Q90" s="676"/>
      <c r="R90" s="676"/>
      <c r="S90" s="676"/>
      <c r="T90" s="676">
        <f t="shared" si="28"/>
        <v>0</v>
      </c>
    </row>
    <row r="91" spans="1:20" ht="11.1" customHeight="1">
      <c r="A91" s="653" t="str">
        <f>'Budget-合并'!A91</f>
        <v>6602.08.99</v>
      </c>
      <c r="B91" s="653" t="str">
        <f>'Budget-合并'!B91</f>
        <v>其他</v>
      </c>
      <c r="C91" s="673">
        <f>'Budget-合并'!C91</f>
        <v>0</v>
      </c>
      <c r="D91" s="676">
        <f t="shared" si="18"/>
        <v>0</v>
      </c>
      <c r="F91" s="676">
        <f t="shared" ca="1" si="19"/>
        <v>0</v>
      </c>
      <c r="H91" s="676"/>
      <c r="I91" s="676"/>
      <c r="J91" s="676"/>
      <c r="K91" s="676"/>
      <c r="L91" s="676"/>
      <c r="M91" s="676"/>
      <c r="N91" s="676"/>
      <c r="O91" s="676"/>
      <c r="P91" s="676"/>
      <c r="Q91" s="676"/>
      <c r="R91" s="676"/>
      <c r="S91" s="676"/>
      <c r="T91" s="676">
        <f t="shared" si="28"/>
        <v>0</v>
      </c>
    </row>
    <row r="92" spans="1:20" ht="11.1" customHeight="1">
      <c r="A92" s="663" t="str">
        <f>'Budget-合并'!A92</f>
        <v>6602.09</v>
      </c>
      <c r="B92" s="678" t="str">
        <f>'Budget-合并'!B92</f>
        <v>差旅费</v>
      </c>
      <c r="C92" s="673">
        <f>'Budget-合并'!C92</f>
        <v>0</v>
      </c>
      <c r="D92" s="676">
        <f t="shared" si="18"/>
        <v>0</v>
      </c>
      <c r="F92" s="676">
        <f t="shared" ca="1" si="19"/>
        <v>0</v>
      </c>
      <c r="H92" s="676">
        <f t="shared" ref="H92:S92" si="29">SUM(H93,H97,H101,H105,H109,H113,H117,H118,H122,H126)</f>
        <v>0</v>
      </c>
      <c r="I92" s="676">
        <f t="shared" si="29"/>
        <v>0</v>
      </c>
      <c r="J92" s="676">
        <f t="shared" si="29"/>
        <v>0</v>
      </c>
      <c r="K92" s="676">
        <f t="shared" si="29"/>
        <v>0</v>
      </c>
      <c r="L92" s="676">
        <f t="shared" si="29"/>
        <v>0</v>
      </c>
      <c r="M92" s="676">
        <f t="shared" si="29"/>
        <v>0</v>
      </c>
      <c r="N92" s="676">
        <f t="shared" si="29"/>
        <v>0</v>
      </c>
      <c r="O92" s="676">
        <f t="shared" si="29"/>
        <v>0</v>
      </c>
      <c r="P92" s="676">
        <f t="shared" si="29"/>
        <v>0</v>
      </c>
      <c r="Q92" s="676">
        <f t="shared" si="29"/>
        <v>0</v>
      </c>
      <c r="R92" s="676">
        <f t="shared" si="29"/>
        <v>0</v>
      </c>
      <c r="S92" s="676">
        <f t="shared" si="29"/>
        <v>0</v>
      </c>
      <c r="T92" s="676">
        <f t="shared" si="28"/>
        <v>0</v>
      </c>
    </row>
    <row r="93" spans="1:20" ht="11.1" customHeight="1">
      <c r="A93" s="653" t="str">
        <f>'Budget-合并'!A93</f>
        <v>6602.09.01</v>
      </c>
      <c r="B93" s="653" t="str">
        <f>'Budget-合并'!B93</f>
        <v>住宿费</v>
      </c>
      <c r="C93" s="673" t="str">
        <f>'Budget-合并'!C93</f>
        <v>Travel Lodging</v>
      </c>
      <c r="D93" s="676">
        <f t="shared" si="18"/>
        <v>0</v>
      </c>
      <c r="F93" s="676">
        <f t="shared" ca="1" si="19"/>
        <v>0</v>
      </c>
      <c r="H93" s="676">
        <f t="shared" ref="H93:S93" si="30">SUM(H94:H96)</f>
        <v>0</v>
      </c>
      <c r="I93" s="676">
        <f t="shared" si="30"/>
        <v>0</v>
      </c>
      <c r="J93" s="676">
        <f t="shared" si="30"/>
        <v>0</v>
      </c>
      <c r="K93" s="676">
        <f t="shared" si="30"/>
        <v>0</v>
      </c>
      <c r="L93" s="676">
        <f t="shared" si="30"/>
        <v>0</v>
      </c>
      <c r="M93" s="676">
        <f t="shared" si="30"/>
        <v>0</v>
      </c>
      <c r="N93" s="676">
        <f t="shared" si="30"/>
        <v>0</v>
      </c>
      <c r="O93" s="676">
        <f t="shared" si="30"/>
        <v>0</v>
      </c>
      <c r="P93" s="676">
        <f t="shared" si="30"/>
        <v>0</v>
      </c>
      <c r="Q93" s="676">
        <f t="shared" si="30"/>
        <v>0</v>
      </c>
      <c r="R93" s="676">
        <f t="shared" si="30"/>
        <v>0</v>
      </c>
      <c r="S93" s="676">
        <f t="shared" si="30"/>
        <v>0</v>
      </c>
      <c r="T93" s="676">
        <f t="shared" si="28"/>
        <v>0</v>
      </c>
    </row>
    <row r="94" spans="1:20" ht="11.1" customHeight="1">
      <c r="A94" s="653">
        <f>'Budget-合并'!A94</f>
        <v>0</v>
      </c>
      <c r="B94" s="653" t="str">
        <f>'Budget-合并'!B94</f>
        <v xml:space="preserve">    公司主体03</v>
      </c>
      <c r="C94" s="673" t="str">
        <f>'Budget-合并'!C94</f>
        <v xml:space="preserve">   Entity</v>
      </c>
      <c r="D94" s="676">
        <f t="shared" si="18"/>
        <v>0</v>
      </c>
      <c r="F94" s="676">
        <f t="shared" ca="1" si="19"/>
        <v>0</v>
      </c>
      <c r="H94" s="676"/>
      <c r="I94" s="676"/>
      <c r="J94" s="676"/>
      <c r="K94" s="676"/>
      <c r="L94" s="676"/>
      <c r="M94" s="676"/>
      <c r="N94" s="676"/>
      <c r="O94" s="676"/>
      <c r="P94" s="676"/>
      <c r="Q94" s="676"/>
      <c r="R94" s="676"/>
      <c r="S94" s="676"/>
      <c r="T94" s="676">
        <f t="shared" si="28"/>
        <v>0</v>
      </c>
    </row>
    <row r="95" spans="1:20" ht="11.1" customHeight="1">
      <c r="A95" s="653">
        <f>'Budget-合并'!A95</f>
        <v>0</v>
      </c>
      <c r="B95" s="653" t="str">
        <f>'Budget-合并'!B95</f>
        <v xml:space="preserve">    旭智富能03</v>
      </c>
      <c r="C95" s="673" t="str">
        <f>'Budget-合并'!C95</f>
        <v xml:space="preserve">   Foxpower</v>
      </c>
      <c r="D95" s="676">
        <f t="shared" si="18"/>
        <v>0</v>
      </c>
      <c r="F95" s="676">
        <f t="shared" ca="1" si="19"/>
        <v>0</v>
      </c>
      <c r="H95" s="676"/>
      <c r="I95" s="676"/>
      <c r="J95" s="676"/>
      <c r="K95" s="676"/>
      <c r="L95" s="676"/>
      <c r="M95" s="676"/>
      <c r="N95" s="676"/>
      <c r="O95" s="676"/>
      <c r="P95" s="676"/>
      <c r="Q95" s="676"/>
      <c r="R95" s="676"/>
      <c r="S95" s="676"/>
      <c r="T95" s="676">
        <f t="shared" si="28"/>
        <v>0</v>
      </c>
    </row>
    <row r="96" spans="1:20" ht="11.1" customHeight="1">
      <c r="A96" s="653">
        <f>'Budget-合并'!A96</f>
        <v>0</v>
      </c>
      <c r="B96" s="653" t="str">
        <f>'Budget-合并'!B96</f>
        <v xml:space="preserve">    其他项目03</v>
      </c>
      <c r="C96" s="673" t="str">
        <f>'Budget-合并'!C96</f>
        <v xml:space="preserve">   Other project</v>
      </c>
      <c r="D96" s="676">
        <f t="shared" si="18"/>
        <v>0</v>
      </c>
      <c r="F96" s="676">
        <f t="shared" ca="1" si="19"/>
        <v>0</v>
      </c>
      <c r="H96" s="676"/>
      <c r="I96" s="676"/>
      <c r="J96" s="676"/>
      <c r="K96" s="676"/>
      <c r="L96" s="676"/>
      <c r="M96" s="676"/>
      <c r="N96" s="676"/>
      <c r="O96" s="676"/>
      <c r="P96" s="676"/>
      <c r="Q96" s="676"/>
      <c r="R96" s="676"/>
      <c r="S96" s="676"/>
      <c r="T96" s="676">
        <f t="shared" si="28"/>
        <v>0</v>
      </c>
    </row>
    <row r="97" spans="1:20" ht="11.1" customHeight="1">
      <c r="A97" s="653" t="str">
        <f>'Budget-合并'!A97</f>
        <v>6602.09.02</v>
      </c>
      <c r="B97" s="653" t="str">
        <f>'Budget-合并'!B97</f>
        <v>伙食费</v>
      </c>
      <c r="C97" s="673">
        <f>'Budget-合并'!C97</f>
        <v>0</v>
      </c>
      <c r="D97" s="676">
        <f t="shared" si="18"/>
        <v>0</v>
      </c>
      <c r="F97" s="676">
        <f t="shared" ca="1" si="19"/>
        <v>0</v>
      </c>
      <c r="H97" s="676">
        <f t="shared" ref="H97:S97" si="31">SUM(H98:H100)</f>
        <v>0</v>
      </c>
      <c r="I97" s="676">
        <f t="shared" si="31"/>
        <v>0</v>
      </c>
      <c r="J97" s="676">
        <f t="shared" si="31"/>
        <v>0</v>
      </c>
      <c r="K97" s="676">
        <f t="shared" si="31"/>
        <v>0</v>
      </c>
      <c r="L97" s="676">
        <f t="shared" si="31"/>
        <v>0</v>
      </c>
      <c r="M97" s="676">
        <f t="shared" si="31"/>
        <v>0</v>
      </c>
      <c r="N97" s="676">
        <f t="shared" si="31"/>
        <v>0</v>
      </c>
      <c r="O97" s="676">
        <f t="shared" si="31"/>
        <v>0</v>
      </c>
      <c r="P97" s="676">
        <f t="shared" si="31"/>
        <v>0</v>
      </c>
      <c r="Q97" s="676">
        <f t="shared" si="31"/>
        <v>0</v>
      </c>
      <c r="R97" s="676">
        <f t="shared" si="31"/>
        <v>0</v>
      </c>
      <c r="S97" s="676">
        <f t="shared" si="31"/>
        <v>0</v>
      </c>
      <c r="T97" s="676">
        <f t="shared" si="28"/>
        <v>0</v>
      </c>
    </row>
    <row r="98" spans="1:20" ht="11.1" customHeight="1">
      <c r="A98" s="653">
        <f>'Budget-合并'!A98</f>
        <v>0</v>
      </c>
      <c r="B98" s="653" t="str">
        <f>'Budget-合并'!B98</f>
        <v xml:space="preserve">    公司主体04</v>
      </c>
      <c r="C98" s="673" t="str">
        <f>'Budget-合并'!C98</f>
        <v xml:space="preserve">   Entity</v>
      </c>
      <c r="D98" s="676">
        <f t="shared" si="18"/>
        <v>0</v>
      </c>
      <c r="F98" s="676">
        <f t="shared" ca="1" si="19"/>
        <v>0</v>
      </c>
      <c r="H98" s="676"/>
      <c r="I98" s="676"/>
      <c r="J98" s="676"/>
      <c r="K98" s="676"/>
      <c r="L98" s="676"/>
      <c r="M98" s="676"/>
      <c r="N98" s="676"/>
      <c r="O98" s="676"/>
      <c r="P98" s="676"/>
      <c r="Q98" s="676"/>
      <c r="R98" s="676"/>
      <c r="S98" s="676"/>
      <c r="T98" s="676">
        <f t="shared" si="28"/>
        <v>0</v>
      </c>
    </row>
    <row r="99" spans="1:20" ht="11.1" customHeight="1">
      <c r="A99" s="653">
        <f>'Budget-合并'!A99</f>
        <v>0</v>
      </c>
      <c r="B99" s="653" t="str">
        <f>'Budget-合并'!B99</f>
        <v xml:space="preserve">    旭智富能04</v>
      </c>
      <c r="C99" s="673" t="str">
        <f>'Budget-合并'!C99</f>
        <v xml:space="preserve">   Foxpower</v>
      </c>
      <c r="D99" s="676">
        <f t="shared" si="18"/>
        <v>0</v>
      </c>
      <c r="F99" s="676">
        <f t="shared" ca="1" si="19"/>
        <v>0</v>
      </c>
      <c r="H99" s="676"/>
      <c r="I99" s="676"/>
      <c r="J99" s="676"/>
      <c r="K99" s="676"/>
      <c r="L99" s="676"/>
      <c r="M99" s="676"/>
      <c r="N99" s="676"/>
      <c r="O99" s="676"/>
      <c r="P99" s="676"/>
      <c r="Q99" s="676"/>
      <c r="R99" s="676"/>
      <c r="S99" s="676"/>
      <c r="T99" s="676">
        <f t="shared" si="28"/>
        <v>0</v>
      </c>
    </row>
    <row r="100" spans="1:20" ht="11.1" customHeight="1">
      <c r="A100" s="653">
        <f>'Budget-合并'!A100</f>
        <v>0</v>
      </c>
      <c r="B100" s="653" t="str">
        <f>'Budget-合并'!B100</f>
        <v xml:space="preserve">    其他项目04</v>
      </c>
      <c r="C100" s="673" t="str">
        <f>'Budget-合并'!C100</f>
        <v xml:space="preserve">   Other project</v>
      </c>
      <c r="D100" s="676">
        <f t="shared" si="18"/>
        <v>0</v>
      </c>
      <c r="F100" s="676">
        <f t="shared" ca="1" si="19"/>
        <v>0</v>
      </c>
      <c r="H100" s="676"/>
      <c r="I100" s="676"/>
      <c r="J100" s="676"/>
      <c r="K100" s="676"/>
      <c r="L100" s="676"/>
      <c r="M100" s="676"/>
      <c r="N100" s="676"/>
      <c r="O100" s="676"/>
      <c r="P100" s="676"/>
      <c r="Q100" s="676"/>
      <c r="R100" s="676"/>
      <c r="S100" s="676"/>
      <c r="T100" s="676">
        <f t="shared" si="28"/>
        <v>0</v>
      </c>
    </row>
    <row r="101" spans="1:20" ht="11.1" customHeight="1">
      <c r="A101" s="653" t="str">
        <f>'Budget-合并'!A101</f>
        <v>6602.09.03</v>
      </c>
      <c r="B101" s="653" t="str">
        <f>'Budget-合并'!B101</f>
        <v>地面交通费</v>
      </c>
      <c r="C101" s="673" t="str">
        <f>'Budget-合并'!C101</f>
        <v>Travel Ground Transport - Outstation</v>
      </c>
      <c r="D101" s="676">
        <f t="shared" si="18"/>
        <v>0</v>
      </c>
      <c r="F101" s="676">
        <f t="shared" ca="1" si="19"/>
        <v>0</v>
      </c>
      <c r="H101" s="676">
        <f t="shared" ref="H101:S101" si="32">SUM(H102:H104)</f>
        <v>0</v>
      </c>
      <c r="I101" s="676">
        <f t="shared" si="32"/>
        <v>0</v>
      </c>
      <c r="J101" s="676">
        <f t="shared" si="32"/>
        <v>0</v>
      </c>
      <c r="K101" s="676">
        <f t="shared" si="32"/>
        <v>0</v>
      </c>
      <c r="L101" s="676">
        <f t="shared" si="32"/>
        <v>0</v>
      </c>
      <c r="M101" s="676">
        <f t="shared" si="32"/>
        <v>0</v>
      </c>
      <c r="N101" s="676">
        <f t="shared" si="32"/>
        <v>0</v>
      </c>
      <c r="O101" s="676">
        <f t="shared" si="32"/>
        <v>0</v>
      </c>
      <c r="P101" s="676">
        <f t="shared" si="32"/>
        <v>0</v>
      </c>
      <c r="Q101" s="676">
        <f t="shared" si="32"/>
        <v>0</v>
      </c>
      <c r="R101" s="676">
        <f t="shared" si="32"/>
        <v>0</v>
      </c>
      <c r="S101" s="676">
        <f t="shared" si="32"/>
        <v>0</v>
      </c>
      <c r="T101" s="676">
        <f t="shared" si="28"/>
        <v>0</v>
      </c>
    </row>
    <row r="102" spans="1:20" ht="11.1" customHeight="1">
      <c r="A102" s="653">
        <f>'Budget-合并'!A102</f>
        <v>0</v>
      </c>
      <c r="B102" s="653" t="str">
        <f>'Budget-合并'!B102</f>
        <v xml:space="preserve">    公司主体05</v>
      </c>
      <c r="C102" s="673" t="str">
        <f>'Budget-合并'!C102</f>
        <v xml:space="preserve">   Entity</v>
      </c>
      <c r="D102" s="676">
        <f t="shared" si="18"/>
        <v>0</v>
      </c>
      <c r="F102" s="676">
        <f t="shared" ca="1" si="19"/>
        <v>0</v>
      </c>
      <c r="H102" s="676"/>
      <c r="I102" s="676"/>
      <c r="J102" s="676"/>
      <c r="K102" s="676"/>
      <c r="L102" s="676"/>
      <c r="M102" s="676"/>
      <c r="N102" s="676"/>
      <c r="O102" s="676"/>
      <c r="P102" s="676"/>
      <c r="Q102" s="676"/>
      <c r="R102" s="676"/>
      <c r="S102" s="676"/>
      <c r="T102" s="676">
        <f t="shared" si="28"/>
        <v>0</v>
      </c>
    </row>
    <row r="103" spans="1:20" ht="11.1" customHeight="1">
      <c r="A103" s="653">
        <f>'Budget-合并'!A103</f>
        <v>0</v>
      </c>
      <c r="B103" s="653" t="str">
        <f>'Budget-合并'!B103</f>
        <v xml:space="preserve">    旭智富能05</v>
      </c>
      <c r="C103" s="673" t="str">
        <f>'Budget-合并'!C103</f>
        <v xml:space="preserve">   Foxpower</v>
      </c>
      <c r="D103" s="676">
        <f t="shared" si="18"/>
        <v>0</v>
      </c>
      <c r="F103" s="676">
        <f t="shared" ca="1" si="19"/>
        <v>0</v>
      </c>
      <c r="H103" s="676"/>
      <c r="I103" s="676"/>
      <c r="J103" s="676"/>
      <c r="K103" s="676"/>
      <c r="L103" s="676"/>
      <c r="M103" s="676"/>
      <c r="N103" s="676"/>
      <c r="O103" s="676"/>
      <c r="P103" s="676"/>
      <c r="Q103" s="676"/>
      <c r="R103" s="676"/>
      <c r="S103" s="676"/>
      <c r="T103" s="676">
        <f t="shared" si="28"/>
        <v>0</v>
      </c>
    </row>
    <row r="104" spans="1:20" ht="11.1" customHeight="1">
      <c r="A104" s="653">
        <f>'Budget-合并'!A104</f>
        <v>0</v>
      </c>
      <c r="B104" s="653" t="str">
        <f>'Budget-合并'!B104</f>
        <v xml:space="preserve">    其他项目05</v>
      </c>
      <c r="C104" s="673" t="str">
        <f>'Budget-合并'!C104</f>
        <v xml:space="preserve">   Other project</v>
      </c>
      <c r="D104" s="676">
        <f t="shared" si="18"/>
        <v>0</v>
      </c>
      <c r="F104" s="676">
        <f t="shared" ca="1" si="19"/>
        <v>0</v>
      </c>
      <c r="H104" s="676"/>
      <c r="I104" s="676"/>
      <c r="J104" s="676"/>
      <c r="K104" s="676"/>
      <c r="L104" s="676"/>
      <c r="M104" s="676"/>
      <c r="N104" s="676"/>
      <c r="O104" s="676"/>
      <c r="P104" s="676"/>
      <c r="Q104" s="676"/>
      <c r="R104" s="676"/>
      <c r="S104" s="676"/>
      <c r="T104" s="676">
        <f t="shared" si="28"/>
        <v>0</v>
      </c>
    </row>
    <row r="105" spans="1:20" ht="11.1" customHeight="1">
      <c r="A105" s="653" t="str">
        <f>'Budget-合并'!A105</f>
        <v>6602.09.04</v>
      </c>
      <c r="B105" s="653" t="str">
        <f>'Budget-合并'!B105</f>
        <v>空中交通费</v>
      </c>
      <c r="C105" s="673" t="str">
        <f>'Budget-合并'!C105</f>
        <v>Travel Air Transport</v>
      </c>
      <c r="D105" s="676">
        <f t="shared" si="18"/>
        <v>0</v>
      </c>
      <c r="F105" s="676">
        <f t="shared" ca="1" si="19"/>
        <v>0</v>
      </c>
      <c r="H105" s="676">
        <f t="shared" ref="H105:S105" si="33">SUM(H106:H108)</f>
        <v>0</v>
      </c>
      <c r="I105" s="676">
        <f t="shared" si="33"/>
        <v>0</v>
      </c>
      <c r="J105" s="676">
        <f t="shared" si="33"/>
        <v>0</v>
      </c>
      <c r="K105" s="676">
        <f t="shared" si="33"/>
        <v>0</v>
      </c>
      <c r="L105" s="676">
        <f t="shared" si="33"/>
        <v>0</v>
      </c>
      <c r="M105" s="676">
        <f t="shared" si="33"/>
        <v>0</v>
      </c>
      <c r="N105" s="676">
        <f t="shared" si="33"/>
        <v>0</v>
      </c>
      <c r="O105" s="676">
        <f t="shared" si="33"/>
        <v>0</v>
      </c>
      <c r="P105" s="676">
        <f t="shared" si="33"/>
        <v>0</v>
      </c>
      <c r="Q105" s="676">
        <f t="shared" si="33"/>
        <v>0</v>
      </c>
      <c r="R105" s="676">
        <f t="shared" si="33"/>
        <v>0</v>
      </c>
      <c r="S105" s="676">
        <f t="shared" si="33"/>
        <v>0</v>
      </c>
      <c r="T105" s="676">
        <f t="shared" si="28"/>
        <v>0</v>
      </c>
    </row>
    <row r="106" spans="1:20" ht="11.1" customHeight="1">
      <c r="A106" s="653">
        <f>'Budget-合并'!A106</f>
        <v>0</v>
      </c>
      <c r="B106" s="653" t="str">
        <f>'Budget-合并'!B106</f>
        <v xml:space="preserve">    公司主体06</v>
      </c>
      <c r="C106" s="673" t="str">
        <f>'Budget-合并'!C106</f>
        <v xml:space="preserve">   Entity</v>
      </c>
      <c r="D106" s="676">
        <f t="shared" si="18"/>
        <v>0</v>
      </c>
      <c r="F106" s="676">
        <f t="shared" ca="1" si="19"/>
        <v>0</v>
      </c>
      <c r="H106" s="676"/>
      <c r="I106" s="676"/>
      <c r="J106" s="676"/>
      <c r="K106" s="676"/>
      <c r="L106" s="676"/>
      <c r="M106" s="676"/>
      <c r="N106" s="676"/>
      <c r="O106" s="676"/>
      <c r="P106" s="676"/>
      <c r="Q106" s="676"/>
      <c r="R106" s="676"/>
      <c r="S106" s="676"/>
      <c r="T106" s="676">
        <f t="shared" si="28"/>
        <v>0</v>
      </c>
    </row>
    <row r="107" spans="1:20" ht="11.1" customHeight="1">
      <c r="A107" s="653">
        <f>'Budget-合并'!A107</f>
        <v>0</v>
      </c>
      <c r="B107" s="653" t="str">
        <f>'Budget-合并'!B107</f>
        <v xml:space="preserve">    旭智富能06</v>
      </c>
      <c r="C107" s="673" t="str">
        <f>'Budget-合并'!C107</f>
        <v xml:space="preserve">   Foxpower</v>
      </c>
      <c r="D107" s="676">
        <f t="shared" si="18"/>
        <v>0</v>
      </c>
      <c r="F107" s="676">
        <f t="shared" ca="1" si="19"/>
        <v>0</v>
      </c>
      <c r="H107" s="676"/>
      <c r="I107" s="676"/>
      <c r="J107" s="676"/>
      <c r="K107" s="676"/>
      <c r="L107" s="676"/>
      <c r="M107" s="676"/>
      <c r="N107" s="676"/>
      <c r="O107" s="676"/>
      <c r="P107" s="676"/>
      <c r="Q107" s="676"/>
      <c r="R107" s="676"/>
      <c r="S107" s="676"/>
      <c r="T107" s="676">
        <f t="shared" si="28"/>
        <v>0</v>
      </c>
    </row>
    <row r="108" spans="1:20" ht="11.1" customHeight="1">
      <c r="A108" s="653">
        <f>'Budget-合并'!A108</f>
        <v>0</v>
      </c>
      <c r="B108" s="653" t="str">
        <f>'Budget-合并'!B108</f>
        <v xml:space="preserve">    其他项目06</v>
      </c>
      <c r="C108" s="673" t="str">
        <f>'Budget-合并'!C108</f>
        <v xml:space="preserve">   Other project</v>
      </c>
      <c r="D108" s="676">
        <f t="shared" ref="D108:D153" si="34">INDEX($H$8:$S$8,1,MATCH($D$6,$H$6:$S$6))</f>
        <v>0</v>
      </c>
      <c r="F108" s="676">
        <f t="shared" ref="F108:F153" ca="1" si="35">SUM($H108:OFFSET($H108,0,MATCH(F$6,$H$6:$S$6)-1))</f>
        <v>0</v>
      </c>
      <c r="H108" s="676"/>
      <c r="I108" s="676"/>
      <c r="J108" s="676"/>
      <c r="K108" s="676"/>
      <c r="L108" s="676"/>
      <c r="M108" s="676"/>
      <c r="N108" s="676"/>
      <c r="O108" s="676"/>
      <c r="P108" s="676"/>
      <c r="Q108" s="676"/>
      <c r="R108" s="676"/>
      <c r="S108" s="676"/>
      <c r="T108" s="676">
        <f t="shared" si="28"/>
        <v>0</v>
      </c>
    </row>
    <row r="109" spans="1:20" ht="11.1" customHeight="1">
      <c r="A109" s="653" t="str">
        <f>'Budget-合并'!A109</f>
        <v>6602.09.05</v>
      </c>
      <c r="B109" s="653" t="str">
        <f>'Budget-合并'!B109</f>
        <v>租车</v>
      </c>
      <c r="C109" s="673">
        <f>'Budget-合并'!C109</f>
        <v>0</v>
      </c>
      <c r="D109" s="676">
        <f t="shared" si="34"/>
        <v>0</v>
      </c>
      <c r="F109" s="676">
        <f t="shared" ca="1" si="35"/>
        <v>0</v>
      </c>
      <c r="H109" s="676">
        <f t="shared" ref="H109:S109" si="36">SUM(H110:H112)</f>
        <v>0</v>
      </c>
      <c r="I109" s="676">
        <f t="shared" si="36"/>
        <v>0</v>
      </c>
      <c r="J109" s="676">
        <f t="shared" si="36"/>
        <v>0</v>
      </c>
      <c r="K109" s="676">
        <f t="shared" si="36"/>
        <v>0</v>
      </c>
      <c r="L109" s="676">
        <f t="shared" si="36"/>
        <v>0</v>
      </c>
      <c r="M109" s="676">
        <f t="shared" si="36"/>
        <v>0</v>
      </c>
      <c r="N109" s="676">
        <f t="shared" si="36"/>
        <v>0</v>
      </c>
      <c r="O109" s="676">
        <f t="shared" si="36"/>
        <v>0</v>
      </c>
      <c r="P109" s="676">
        <f t="shared" si="36"/>
        <v>0</v>
      </c>
      <c r="Q109" s="676">
        <f t="shared" si="36"/>
        <v>0</v>
      </c>
      <c r="R109" s="676">
        <f t="shared" si="36"/>
        <v>0</v>
      </c>
      <c r="S109" s="676">
        <f t="shared" si="36"/>
        <v>0</v>
      </c>
      <c r="T109" s="676">
        <f t="shared" si="28"/>
        <v>0</v>
      </c>
    </row>
    <row r="110" spans="1:20" ht="11.1" customHeight="1">
      <c r="A110" s="653">
        <f>'Budget-合并'!A110</f>
        <v>0</v>
      </c>
      <c r="B110" s="653" t="str">
        <f>'Budget-合并'!B110</f>
        <v xml:space="preserve">    公司主体07</v>
      </c>
      <c r="C110" s="673" t="str">
        <f>'Budget-合并'!C110</f>
        <v xml:space="preserve">   Entity</v>
      </c>
      <c r="D110" s="676">
        <f t="shared" si="34"/>
        <v>0</v>
      </c>
      <c r="F110" s="676">
        <f t="shared" ca="1" si="35"/>
        <v>0</v>
      </c>
      <c r="H110" s="676"/>
      <c r="I110" s="676"/>
      <c r="J110" s="676"/>
      <c r="K110" s="676"/>
      <c r="L110" s="676"/>
      <c r="M110" s="676"/>
      <c r="N110" s="676"/>
      <c r="O110" s="676"/>
      <c r="P110" s="676"/>
      <c r="Q110" s="676"/>
      <c r="R110" s="676"/>
      <c r="S110" s="676"/>
      <c r="T110" s="676">
        <f t="shared" si="28"/>
        <v>0</v>
      </c>
    </row>
    <row r="111" spans="1:20" ht="11.1" customHeight="1">
      <c r="A111" s="653">
        <f>'Budget-合并'!A111</f>
        <v>0</v>
      </c>
      <c r="B111" s="653" t="str">
        <f>'Budget-合并'!B111</f>
        <v xml:space="preserve">    旭智富能07</v>
      </c>
      <c r="C111" s="673" t="str">
        <f>'Budget-合并'!C111</f>
        <v xml:space="preserve">   Foxpower</v>
      </c>
      <c r="D111" s="676">
        <f t="shared" si="34"/>
        <v>0</v>
      </c>
      <c r="F111" s="676">
        <f t="shared" ca="1" si="35"/>
        <v>0</v>
      </c>
      <c r="H111" s="676"/>
      <c r="I111" s="676"/>
      <c r="J111" s="676"/>
      <c r="K111" s="676"/>
      <c r="L111" s="676"/>
      <c r="M111" s="676"/>
      <c r="N111" s="676"/>
      <c r="O111" s="676"/>
      <c r="P111" s="676"/>
      <c r="Q111" s="676"/>
      <c r="R111" s="676"/>
      <c r="S111" s="676"/>
      <c r="T111" s="676">
        <f t="shared" si="28"/>
        <v>0</v>
      </c>
    </row>
    <row r="112" spans="1:20" ht="11.1" customHeight="1">
      <c r="A112" s="653">
        <f>'Budget-合并'!A112</f>
        <v>0</v>
      </c>
      <c r="B112" s="653" t="str">
        <f>'Budget-合并'!B112</f>
        <v xml:space="preserve">    其他项目07</v>
      </c>
      <c r="C112" s="673" t="str">
        <f>'Budget-合并'!C112</f>
        <v xml:space="preserve">   Other project</v>
      </c>
      <c r="D112" s="676">
        <f t="shared" si="34"/>
        <v>0</v>
      </c>
      <c r="F112" s="676">
        <f t="shared" ca="1" si="35"/>
        <v>0</v>
      </c>
      <c r="H112" s="676"/>
      <c r="I112" s="676"/>
      <c r="J112" s="676"/>
      <c r="K112" s="676"/>
      <c r="L112" s="676"/>
      <c r="M112" s="676"/>
      <c r="N112" s="676"/>
      <c r="O112" s="676"/>
      <c r="P112" s="676"/>
      <c r="Q112" s="676"/>
      <c r="R112" s="676"/>
      <c r="S112" s="676"/>
      <c r="T112" s="676">
        <f t="shared" si="28"/>
        <v>0</v>
      </c>
    </row>
    <row r="113" spans="1:20" ht="11.1" customHeight="1">
      <c r="A113" s="653" t="str">
        <f>'Budget-合并'!A113</f>
        <v>6602.09.06</v>
      </c>
      <c r="B113" s="653" t="str">
        <f>'Budget-合并'!B113</f>
        <v>其他汽车费用</v>
      </c>
      <c r="C113" s="673">
        <f>'Budget-合并'!C113</f>
        <v>0</v>
      </c>
      <c r="D113" s="676">
        <f t="shared" si="34"/>
        <v>0</v>
      </c>
      <c r="F113" s="676">
        <f t="shared" ca="1" si="35"/>
        <v>0</v>
      </c>
      <c r="H113" s="676">
        <f t="shared" ref="H113:S113" si="37">SUM(H114:H116)</f>
        <v>0</v>
      </c>
      <c r="I113" s="676">
        <f t="shared" si="37"/>
        <v>0</v>
      </c>
      <c r="J113" s="676">
        <f t="shared" si="37"/>
        <v>0</v>
      </c>
      <c r="K113" s="676">
        <f t="shared" si="37"/>
        <v>0</v>
      </c>
      <c r="L113" s="676">
        <f t="shared" si="37"/>
        <v>0</v>
      </c>
      <c r="M113" s="676">
        <f t="shared" si="37"/>
        <v>0</v>
      </c>
      <c r="N113" s="676">
        <f t="shared" si="37"/>
        <v>0</v>
      </c>
      <c r="O113" s="676">
        <f t="shared" si="37"/>
        <v>0</v>
      </c>
      <c r="P113" s="676">
        <f t="shared" si="37"/>
        <v>0</v>
      </c>
      <c r="Q113" s="676">
        <f t="shared" si="37"/>
        <v>0</v>
      </c>
      <c r="R113" s="676">
        <f t="shared" si="37"/>
        <v>0</v>
      </c>
      <c r="S113" s="676">
        <f t="shared" si="37"/>
        <v>0</v>
      </c>
      <c r="T113" s="676">
        <f t="shared" si="28"/>
        <v>0</v>
      </c>
    </row>
    <row r="114" spans="1:20" ht="11.1" customHeight="1">
      <c r="A114" s="653">
        <f>'Budget-合并'!A114</f>
        <v>0</v>
      </c>
      <c r="B114" s="653" t="str">
        <f>'Budget-合并'!B114</f>
        <v xml:space="preserve">    公司主体08</v>
      </c>
      <c r="C114" s="673" t="str">
        <f>'Budget-合并'!C114</f>
        <v xml:space="preserve">   Entity</v>
      </c>
      <c r="D114" s="676">
        <f t="shared" si="34"/>
        <v>0</v>
      </c>
      <c r="F114" s="676">
        <f t="shared" ca="1" si="35"/>
        <v>0</v>
      </c>
      <c r="H114" s="676"/>
      <c r="I114" s="676"/>
      <c r="J114" s="676"/>
      <c r="K114" s="676"/>
      <c r="L114" s="676"/>
      <c r="M114" s="676"/>
      <c r="N114" s="676"/>
      <c r="O114" s="676"/>
      <c r="P114" s="676"/>
      <c r="Q114" s="676"/>
      <c r="R114" s="676"/>
      <c r="S114" s="676"/>
      <c r="T114" s="676">
        <f t="shared" si="28"/>
        <v>0</v>
      </c>
    </row>
    <row r="115" spans="1:20" ht="11.1" customHeight="1">
      <c r="A115" s="653">
        <f>'Budget-合并'!A115</f>
        <v>0</v>
      </c>
      <c r="B115" s="653" t="str">
        <f>'Budget-合并'!B115</f>
        <v xml:space="preserve">    旭智富能08</v>
      </c>
      <c r="C115" s="673" t="str">
        <f>'Budget-合并'!C115</f>
        <v xml:space="preserve">   Foxpower</v>
      </c>
      <c r="D115" s="676">
        <f t="shared" si="34"/>
        <v>0</v>
      </c>
      <c r="F115" s="676">
        <f t="shared" ca="1" si="35"/>
        <v>0</v>
      </c>
      <c r="H115" s="676"/>
      <c r="I115" s="676"/>
      <c r="J115" s="676"/>
      <c r="K115" s="676"/>
      <c r="L115" s="676"/>
      <c r="M115" s="676"/>
      <c r="N115" s="676"/>
      <c r="O115" s="676"/>
      <c r="P115" s="676"/>
      <c r="Q115" s="676"/>
      <c r="R115" s="676"/>
      <c r="S115" s="676"/>
      <c r="T115" s="676">
        <f t="shared" si="28"/>
        <v>0</v>
      </c>
    </row>
    <row r="116" spans="1:20" ht="11.1" customHeight="1">
      <c r="A116" s="653">
        <f>'Budget-合并'!A116</f>
        <v>0</v>
      </c>
      <c r="B116" s="653" t="str">
        <f>'Budget-合并'!B116</f>
        <v xml:space="preserve">    其他项目08</v>
      </c>
      <c r="C116" s="673" t="str">
        <f>'Budget-合并'!C116</f>
        <v xml:space="preserve">   Other project</v>
      </c>
      <c r="D116" s="676">
        <f t="shared" si="34"/>
        <v>0</v>
      </c>
      <c r="F116" s="676">
        <f t="shared" ca="1" si="35"/>
        <v>0</v>
      </c>
      <c r="H116" s="676"/>
      <c r="I116" s="676"/>
      <c r="J116" s="676"/>
      <c r="K116" s="676"/>
      <c r="L116" s="676"/>
      <c r="M116" s="676"/>
      <c r="N116" s="676"/>
      <c r="O116" s="676"/>
      <c r="P116" s="676"/>
      <c r="Q116" s="676"/>
      <c r="R116" s="676"/>
      <c r="S116" s="676"/>
      <c r="T116" s="676">
        <f t="shared" si="28"/>
        <v>0</v>
      </c>
    </row>
    <row r="117" spans="1:20" ht="11.1" customHeight="1">
      <c r="A117" s="653" t="str">
        <f>'Budget-合并'!A117</f>
        <v>6602.09.07</v>
      </c>
      <c r="B117" s="653" t="str">
        <f>'Budget-合并'!B117</f>
        <v>检测费</v>
      </c>
      <c r="C117" s="673">
        <f>'Budget-合并'!C117</f>
        <v>0</v>
      </c>
      <c r="D117" s="676">
        <f t="shared" si="34"/>
        <v>0</v>
      </c>
      <c r="F117" s="676">
        <f t="shared" ca="1" si="35"/>
        <v>0</v>
      </c>
      <c r="H117" s="676"/>
      <c r="I117" s="676"/>
      <c r="J117" s="676"/>
      <c r="K117" s="676"/>
      <c r="L117" s="676"/>
      <c r="M117" s="676"/>
      <c r="N117" s="676"/>
      <c r="O117" s="676"/>
      <c r="P117" s="676"/>
      <c r="Q117" s="676"/>
      <c r="R117" s="676"/>
      <c r="S117" s="676"/>
      <c r="T117" s="676">
        <f t="shared" si="28"/>
        <v>0</v>
      </c>
    </row>
    <row r="118" spans="1:20" ht="11.1" customHeight="1">
      <c r="A118" s="653" t="str">
        <f>'Budget-合并'!A118</f>
        <v>6602.09.08</v>
      </c>
      <c r="B118" s="653" t="str">
        <f>'Budget-合并'!B118</f>
        <v>退改费用（机票/火车等）</v>
      </c>
      <c r="C118" s="673">
        <f>'Budget-合并'!C118</f>
        <v>0</v>
      </c>
      <c r="D118" s="676">
        <f t="shared" si="34"/>
        <v>0</v>
      </c>
      <c r="F118" s="676">
        <f t="shared" ca="1" si="35"/>
        <v>0</v>
      </c>
      <c r="H118" s="676">
        <f t="shared" ref="H118:S118" si="38">SUM(H119:H121)</f>
        <v>0</v>
      </c>
      <c r="I118" s="676">
        <f t="shared" si="38"/>
        <v>0</v>
      </c>
      <c r="J118" s="676">
        <f t="shared" si="38"/>
        <v>0</v>
      </c>
      <c r="K118" s="676">
        <f t="shared" si="38"/>
        <v>0</v>
      </c>
      <c r="L118" s="676">
        <f t="shared" si="38"/>
        <v>0</v>
      </c>
      <c r="M118" s="676">
        <f t="shared" si="38"/>
        <v>0</v>
      </c>
      <c r="N118" s="676">
        <f t="shared" si="38"/>
        <v>0</v>
      </c>
      <c r="O118" s="676">
        <f t="shared" si="38"/>
        <v>0</v>
      </c>
      <c r="P118" s="676">
        <f t="shared" si="38"/>
        <v>0</v>
      </c>
      <c r="Q118" s="676">
        <f t="shared" si="38"/>
        <v>0</v>
      </c>
      <c r="R118" s="676">
        <f t="shared" si="38"/>
        <v>0</v>
      </c>
      <c r="S118" s="676">
        <f t="shared" si="38"/>
        <v>0</v>
      </c>
      <c r="T118" s="676">
        <f t="shared" si="28"/>
        <v>0</v>
      </c>
    </row>
    <row r="119" spans="1:20" ht="11.1" customHeight="1">
      <c r="A119" s="653">
        <f>'Budget-合并'!A119</f>
        <v>0</v>
      </c>
      <c r="B119" s="653" t="str">
        <f>'Budget-合并'!B119</f>
        <v xml:space="preserve">    公司主体09</v>
      </c>
      <c r="C119" s="673" t="str">
        <f>'Budget-合并'!C119</f>
        <v xml:space="preserve">   Entity</v>
      </c>
      <c r="D119" s="676">
        <f t="shared" si="34"/>
        <v>0</v>
      </c>
      <c r="F119" s="676">
        <f t="shared" ca="1" si="35"/>
        <v>0</v>
      </c>
      <c r="H119" s="676"/>
      <c r="I119" s="676"/>
      <c r="J119" s="676"/>
      <c r="K119" s="676"/>
      <c r="L119" s="676"/>
      <c r="M119" s="676"/>
      <c r="N119" s="676"/>
      <c r="O119" s="676"/>
      <c r="P119" s="676"/>
      <c r="Q119" s="676"/>
      <c r="R119" s="676"/>
      <c r="S119" s="676"/>
      <c r="T119" s="676">
        <f t="shared" si="28"/>
        <v>0</v>
      </c>
    </row>
    <row r="120" spans="1:20" ht="11.1" customHeight="1">
      <c r="A120" s="653">
        <f>'Budget-合并'!A120</f>
        <v>0</v>
      </c>
      <c r="B120" s="653" t="str">
        <f>'Budget-合并'!B120</f>
        <v xml:space="preserve">    旭智富能09</v>
      </c>
      <c r="C120" s="673" t="str">
        <f>'Budget-合并'!C120</f>
        <v xml:space="preserve">   Foxpower</v>
      </c>
      <c r="D120" s="676">
        <f t="shared" si="34"/>
        <v>0</v>
      </c>
      <c r="F120" s="676">
        <f t="shared" ca="1" si="35"/>
        <v>0</v>
      </c>
      <c r="H120" s="676"/>
      <c r="I120" s="676"/>
      <c r="J120" s="676"/>
      <c r="K120" s="676"/>
      <c r="L120" s="676"/>
      <c r="M120" s="676"/>
      <c r="N120" s="676"/>
      <c r="O120" s="676"/>
      <c r="P120" s="676"/>
      <c r="Q120" s="676"/>
      <c r="R120" s="676"/>
      <c r="S120" s="676"/>
      <c r="T120" s="676">
        <f t="shared" si="28"/>
        <v>0</v>
      </c>
    </row>
    <row r="121" spans="1:20" ht="11.1" customHeight="1">
      <c r="A121" s="653">
        <f>'Budget-合并'!A121</f>
        <v>0</v>
      </c>
      <c r="B121" s="653" t="str">
        <f>'Budget-合并'!B121</f>
        <v xml:space="preserve">    其他项目09</v>
      </c>
      <c r="C121" s="673" t="str">
        <f>'Budget-合并'!C121</f>
        <v xml:space="preserve">   Other project</v>
      </c>
      <c r="D121" s="676">
        <f t="shared" si="34"/>
        <v>0</v>
      </c>
      <c r="F121" s="676">
        <f t="shared" ca="1" si="35"/>
        <v>0</v>
      </c>
      <c r="H121" s="676"/>
      <c r="I121" s="676"/>
      <c r="J121" s="676"/>
      <c r="K121" s="676"/>
      <c r="L121" s="676"/>
      <c r="M121" s="676"/>
      <c r="N121" s="676"/>
      <c r="O121" s="676"/>
      <c r="P121" s="676"/>
      <c r="Q121" s="676"/>
      <c r="R121" s="676"/>
      <c r="S121" s="676"/>
      <c r="T121" s="676">
        <f t="shared" si="28"/>
        <v>0</v>
      </c>
    </row>
    <row r="122" spans="1:20" ht="11.1" customHeight="1">
      <c r="A122" s="653" t="str">
        <f>'Budget-合并'!A122</f>
        <v>6602.09.09</v>
      </c>
      <c r="B122" s="653" t="str">
        <f>'Budget-合并'!B122</f>
        <v>携程服务费</v>
      </c>
      <c r="C122" s="673">
        <f>'Budget-合并'!C122</f>
        <v>0</v>
      </c>
      <c r="D122" s="676">
        <f t="shared" si="34"/>
        <v>0</v>
      </c>
      <c r="F122" s="676">
        <f t="shared" ca="1" si="35"/>
        <v>0</v>
      </c>
      <c r="H122" s="676">
        <f t="shared" ref="H122:S122" si="39">SUM(H123:H125)</f>
        <v>0</v>
      </c>
      <c r="I122" s="676">
        <f t="shared" si="39"/>
        <v>0</v>
      </c>
      <c r="J122" s="676">
        <f t="shared" si="39"/>
        <v>0</v>
      </c>
      <c r="K122" s="676">
        <f t="shared" si="39"/>
        <v>0</v>
      </c>
      <c r="L122" s="676">
        <f t="shared" si="39"/>
        <v>0</v>
      </c>
      <c r="M122" s="676">
        <f t="shared" si="39"/>
        <v>0</v>
      </c>
      <c r="N122" s="676">
        <f t="shared" si="39"/>
        <v>0</v>
      </c>
      <c r="O122" s="676">
        <f t="shared" si="39"/>
        <v>0</v>
      </c>
      <c r="P122" s="676">
        <f t="shared" si="39"/>
        <v>0</v>
      </c>
      <c r="Q122" s="676">
        <f t="shared" si="39"/>
        <v>0</v>
      </c>
      <c r="R122" s="676">
        <f t="shared" si="39"/>
        <v>0</v>
      </c>
      <c r="S122" s="676">
        <f t="shared" si="39"/>
        <v>0</v>
      </c>
      <c r="T122" s="676">
        <f t="shared" si="28"/>
        <v>0</v>
      </c>
    </row>
    <row r="123" spans="1:20" ht="11.1" customHeight="1">
      <c r="A123" s="653">
        <f>'Budget-合并'!A123</f>
        <v>0</v>
      </c>
      <c r="B123" s="653" t="str">
        <f>'Budget-合并'!B123</f>
        <v xml:space="preserve">    公司主体10</v>
      </c>
      <c r="C123" s="673" t="str">
        <f>'Budget-合并'!C123</f>
        <v xml:space="preserve">   Entity</v>
      </c>
      <c r="D123" s="676">
        <f t="shared" si="34"/>
        <v>0</v>
      </c>
      <c r="F123" s="676">
        <f t="shared" ca="1" si="35"/>
        <v>0</v>
      </c>
      <c r="H123" s="676"/>
      <c r="I123" s="676"/>
      <c r="J123" s="676"/>
      <c r="K123" s="676"/>
      <c r="L123" s="676"/>
      <c r="M123" s="676"/>
      <c r="N123" s="676"/>
      <c r="O123" s="676"/>
      <c r="P123" s="676"/>
      <c r="Q123" s="676"/>
      <c r="R123" s="676"/>
      <c r="S123" s="676"/>
      <c r="T123" s="676">
        <f t="shared" si="28"/>
        <v>0</v>
      </c>
    </row>
    <row r="124" spans="1:20" ht="11.1" customHeight="1">
      <c r="A124" s="653">
        <f>'Budget-合并'!A124</f>
        <v>0</v>
      </c>
      <c r="B124" s="653" t="str">
        <f>'Budget-合并'!B124</f>
        <v xml:space="preserve">    旭智富能10</v>
      </c>
      <c r="C124" s="673" t="str">
        <f>'Budget-合并'!C124</f>
        <v xml:space="preserve">   Foxpower</v>
      </c>
      <c r="D124" s="676">
        <f t="shared" si="34"/>
        <v>0</v>
      </c>
      <c r="F124" s="676">
        <f t="shared" ca="1" si="35"/>
        <v>0</v>
      </c>
      <c r="H124" s="676"/>
      <c r="I124" s="676"/>
      <c r="J124" s="676"/>
      <c r="K124" s="676"/>
      <c r="L124" s="676"/>
      <c r="M124" s="676"/>
      <c r="N124" s="676"/>
      <c r="O124" s="676"/>
      <c r="P124" s="676"/>
      <c r="Q124" s="676"/>
      <c r="R124" s="676"/>
      <c r="S124" s="676"/>
      <c r="T124" s="676">
        <f t="shared" si="28"/>
        <v>0</v>
      </c>
    </row>
    <row r="125" spans="1:20" ht="11.1" customHeight="1">
      <c r="A125" s="653">
        <f>'Budget-合并'!A125</f>
        <v>0</v>
      </c>
      <c r="B125" s="653" t="str">
        <f>'Budget-合并'!B125</f>
        <v xml:space="preserve">    其他项目10</v>
      </c>
      <c r="C125" s="673" t="str">
        <f>'Budget-合并'!C125</f>
        <v xml:space="preserve">   Other project</v>
      </c>
      <c r="D125" s="676">
        <f t="shared" si="34"/>
        <v>0</v>
      </c>
      <c r="F125" s="676">
        <f t="shared" ca="1" si="35"/>
        <v>0</v>
      </c>
      <c r="H125" s="676"/>
      <c r="I125" s="676"/>
      <c r="J125" s="676"/>
      <c r="K125" s="676"/>
      <c r="L125" s="676"/>
      <c r="M125" s="676"/>
      <c r="N125" s="676"/>
      <c r="O125" s="676"/>
      <c r="P125" s="676"/>
      <c r="Q125" s="676"/>
      <c r="R125" s="676"/>
      <c r="S125" s="676"/>
      <c r="T125" s="676">
        <f t="shared" si="28"/>
        <v>0</v>
      </c>
    </row>
    <row r="126" spans="1:20" ht="11.1" customHeight="1">
      <c r="A126" s="653" t="str">
        <f>'Budget-合并'!A126</f>
        <v>6602.09.99</v>
      </c>
      <c r="B126" s="653" t="str">
        <f>'Budget-合并'!B126</f>
        <v>其他</v>
      </c>
      <c r="C126" s="673" t="str">
        <f>'Budget-合并'!C126</f>
        <v>Travel Other</v>
      </c>
      <c r="D126" s="676">
        <f t="shared" si="34"/>
        <v>0</v>
      </c>
      <c r="F126" s="676">
        <f t="shared" ca="1" si="35"/>
        <v>0</v>
      </c>
      <c r="H126" s="676"/>
      <c r="I126" s="676"/>
      <c r="J126" s="676"/>
      <c r="K126" s="676"/>
      <c r="L126" s="676"/>
      <c r="M126" s="676"/>
      <c r="N126" s="676"/>
      <c r="O126" s="676"/>
      <c r="P126" s="676"/>
      <c r="Q126" s="676"/>
      <c r="R126" s="676"/>
      <c r="S126" s="676"/>
      <c r="T126" s="676">
        <f t="shared" si="28"/>
        <v>0</v>
      </c>
    </row>
    <row r="127" spans="1:20" ht="11.1" customHeight="1">
      <c r="A127" s="663" t="str">
        <f>'Budget-合并'!A127</f>
        <v>6602.10</v>
      </c>
      <c r="B127" s="678" t="str">
        <f>'Budget-合并'!B127</f>
        <v>折旧费</v>
      </c>
      <c r="C127" s="673">
        <f>'Budget-合并'!C127</f>
        <v>0</v>
      </c>
      <c r="D127" s="676">
        <f t="shared" si="34"/>
        <v>0</v>
      </c>
      <c r="F127" s="676">
        <f t="shared" ca="1" si="35"/>
        <v>0</v>
      </c>
      <c r="H127" s="676">
        <f t="shared" ref="H127:S127" si="40">SUM(H128:H131)</f>
        <v>0</v>
      </c>
      <c r="I127" s="676">
        <f t="shared" si="40"/>
        <v>0</v>
      </c>
      <c r="J127" s="676">
        <f t="shared" si="40"/>
        <v>0</v>
      </c>
      <c r="K127" s="676">
        <f t="shared" si="40"/>
        <v>0</v>
      </c>
      <c r="L127" s="676">
        <f t="shared" si="40"/>
        <v>0</v>
      </c>
      <c r="M127" s="676">
        <f t="shared" si="40"/>
        <v>0</v>
      </c>
      <c r="N127" s="676">
        <f t="shared" si="40"/>
        <v>0</v>
      </c>
      <c r="O127" s="676">
        <f t="shared" si="40"/>
        <v>0</v>
      </c>
      <c r="P127" s="676">
        <f t="shared" si="40"/>
        <v>0</v>
      </c>
      <c r="Q127" s="676">
        <f t="shared" si="40"/>
        <v>0</v>
      </c>
      <c r="R127" s="676">
        <f t="shared" si="40"/>
        <v>0</v>
      </c>
      <c r="S127" s="676">
        <f t="shared" si="40"/>
        <v>0</v>
      </c>
      <c r="T127" s="676">
        <f t="shared" si="28"/>
        <v>0</v>
      </c>
    </row>
    <row r="128" spans="1:20" ht="11.1" customHeight="1">
      <c r="A128" s="653" t="str">
        <f>'Budget-合并'!A128</f>
        <v>6602.10.01</v>
      </c>
      <c r="B128" s="653" t="str">
        <f>'Budget-合并'!B128</f>
        <v>电子设备</v>
      </c>
      <c r="C128" s="673" t="str">
        <f>'Budget-合并'!C128</f>
        <v>Dep Exp  Computer Equip</v>
      </c>
      <c r="D128" s="676">
        <f t="shared" si="34"/>
        <v>0</v>
      </c>
      <c r="F128" s="676">
        <f t="shared" ca="1" si="35"/>
        <v>0</v>
      </c>
      <c r="H128" s="676"/>
      <c r="I128" s="676"/>
      <c r="J128" s="676"/>
      <c r="K128" s="676"/>
      <c r="L128" s="676"/>
      <c r="M128" s="676"/>
      <c r="N128" s="676"/>
      <c r="O128" s="676"/>
      <c r="P128" s="676"/>
      <c r="Q128" s="676"/>
      <c r="R128" s="676"/>
      <c r="S128" s="676"/>
      <c r="T128" s="676">
        <f t="shared" si="28"/>
        <v>0</v>
      </c>
    </row>
    <row r="129" spans="1:20" ht="11.1" customHeight="1">
      <c r="A129" s="653" t="str">
        <f>'Budget-合并'!A129</f>
        <v>6602.10.02</v>
      </c>
      <c r="B129" s="653" t="str">
        <f>'Budget-合并'!B129</f>
        <v>房屋建筑物</v>
      </c>
      <c r="C129" s="673">
        <f>'Budget-合并'!C129</f>
        <v>0</v>
      </c>
      <c r="D129" s="676">
        <f t="shared" si="34"/>
        <v>0</v>
      </c>
      <c r="F129" s="676">
        <f t="shared" ca="1" si="35"/>
        <v>0</v>
      </c>
      <c r="H129" s="676"/>
      <c r="I129" s="676"/>
      <c r="J129" s="676"/>
      <c r="K129" s="676"/>
      <c r="L129" s="676"/>
      <c r="M129" s="676"/>
      <c r="N129" s="676"/>
      <c r="O129" s="676"/>
      <c r="P129" s="676"/>
      <c r="Q129" s="676"/>
      <c r="R129" s="676"/>
      <c r="S129" s="676"/>
      <c r="T129" s="676">
        <f t="shared" si="28"/>
        <v>0</v>
      </c>
    </row>
    <row r="130" spans="1:20" ht="11.1" customHeight="1">
      <c r="A130" s="653" t="str">
        <f>'Budget-合并'!A130</f>
        <v>6602.10.03</v>
      </c>
      <c r="B130" s="653" t="str">
        <f>'Budget-合并'!B130</f>
        <v>机器设备</v>
      </c>
      <c r="C130" s="673">
        <f>'Budget-合并'!C130</f>
        <v>0</v>
      </c>
      <c r="D130" s="676">
        <f t="shared" si="34"/>
        <v>0</v>
      </c>
      <c r="F130" s="676">
        <f t="shared" ca="1" si="35"/>
        <v>0</v>
      </c>
      <c r="H130" s="676"/>
      <c r="I130" s="676"/>
      <c r="J130" s="676"/>
      <c r="K130" s="676"/>
      <c r="L130" s="676"/>
      <c r="M130" s="676"/>
      <c r="N130" s="676"/>
      <c r="O130" s="676"/>
      <c r="P130" s="676"/>
      <c r="Q130" s="676"/>
      <c r="R130" s="676"/>
      <c r="S130" s="676"/>
      <c r="T130" s="676">
        <f t="shared" si="28"/>
        <v>0</v>
      </c>
    </row>
    <row r="131" spans="1:20" ht="11.1" customHeight="1">
      <c r="A131" s="653" t="str">
        <f>'Budget-合并'!A131</f>
        <v>6602.10.04</v>
      </c>
      <c r="B131" s="653" t="str">
        <f>'Budget-合并'!B131</f>
        <v>家具设备</v>
      </c>
      <c r="C131" s="673" t="str">
        <f>'Budget-合并'!C131</f>
        <v xml:space="preserve">Dep Exp - Other EQ &amp; Furn </v>
      </c>
      <c r="D131" s="676">
        <f t="shared" si="34"/>
        <v>0</v>
      </c>
      <c r="F131" s="676">
        <f t="shared" ca="1" si="35"/>
        <v>0</v>
      </c>
      <c r="H131" s="676"/>
      <c r="I131" s="676"/>
      <c r="J131" s="676"/>
      <c r="K131" s="676"/>
      <c r="L131" s="676"/>
      <c r="M131" s="676"/>
      <c r="N131" s="676"/>
      <c r="O131" s="676"/>
      <c r="P131" s="676"/>
      <c r="Q131" s="676"/>
      <c r="R131" s="676"/>
      <c r="S131" s="676"/>
      <c r="T131" s="676">
        <f t="shared" si="28"/>
        <v>0</v>
      </c>
    </row>
    <row r="132" spans="1:20" ht="11.1" customHeight="1">
      <c r="A132" s="663" t="str">
        <f>'Budget-合并'!A132</f>
        <v>6602.12</v>
      </c>
      <c r="B132" s="678" t="str">
        <f>'Budget-合并'!B132</f>
        <v>使用权资产折旧</v>
      </c>
      <c r="C132" s="673" t="str">
        <f>'Budget-合并'!C132</f>
        <v>Dep Exp - Right of Use Asset</v>
      </c>
      <c r="D132" s="676">
        <f t="shared" si="34"/>
        <v>0</v>
      </c>
      <c r="F132" s="676">
        <f t="shared" ca="1" si="35"/>
        <v>0</v>
      </c>
      <c r="H132" s="676">
        <f t="shared" ref="H132:S132" si="41">SUM(H133,H134,H137)</f>
        <v>0</v>
      </c>
      <c r="I132" s="676">
        <f t="shared" si="41"/>
        <v>0</v>
      </c>
      <c r="J132" s="676">
        <f t="shared" si="41"/>
        <v>0</v>
      </c>
      <c r="K132" s="676">
        <f t="shared" si="41"/>
        <v>0</v>
      </c>
      <c r="L132" s="676">
        <f t="shared" si="41"/>
        <v>0</v>
      </c>
      <c r="M132" s="676">
        <f t="shared" si="41"/>
        <v>0</v>
      </c>
      <c r="N132" s="676">
        <f t="shared" si="41"/>
        <v>0</v>
      </c>
      <c r="O132" s="676">
        <f t="shared" si="41"/>
        <v>0</v>
      </c>
      <c r="P132" s="676">
        <f t="shared" si="41"/>
        <v>0</v>
      </c>
      <c r="Q132" s="676">
        <f t="shared" si="41"/>
        <v>0</v>
      </c>
      <c r="R132" s="676">
        <f t="shared" si="41"/>
        <v>0</v>
      </c>
      <c r="S132" s="676">
        <f t="shared" si="41"/>
        <v>0</v>
      </c>
      <c r="T132" s="676">
        <f t="shared" si="28"/>
        <v>0</v>
      </c>
    </row>
    <row r="133" spans="1:20" ht="11.1" customHeight="1">
      <c r="A133" s="653" t="str">
        <f>'Budget-合并'!A133</f>
        <v>6602.12.01</v>
      </c>
      <c r="B133" s="653" t="str">
        <f>'Budget-合并'!B133</f>
        <v>打印机租赁</v>
      </c>
      <c r="C133" s="673">
        <f>'Budget-合并'!C133</f>
        <v>0</v>
      </c>
      <c r="D133" s="676">
        <f t="shared" si="34"/>
        <v>0</v>
      </c>
      <c r="F133" s="676">
        <f t="shared" ca="1" si="35"/>
        <v>0</v>
      </c>
      <c r="H133" s="676"/>
      <c r="I133" s="676"/>
      <c r="J133" s="676"/>
      <c r="K133" s="676"/>
      <c r="L133" s="676"/>
      <c r="M133" s="676"/>
      <c r="N133" s="676"/>
      <c r="O133" s="676"/>
      <c r="P133" s="676"/>
      <c r="Q133" s="676"/>
      <c r="R133" s="676"/>
      <c r="S133" s="676"/>
      <c r="T133" s="676">
        <f t="shared" si="28"/>
        <v>0</v>
      </c>
    </row>
    <row r="134" spans="1:20" ht="11.1" customHeight="1">
      <c r="A134" s="653" t="str">
        <f>'Budget-合并'!A134</f>
        <v>6602.12.02</v>
      </c>
      <c r="B134" s="653" t="str">
        <f>'Budget-合并'!B134</f>
        <v>办公地址</v>
      </c>
      <c r="C134" s="673">
        <f>'Budget-合并'!C134</f>
        <v>0</v>
      </c>
      <c r="D134" s="676">
        <f t="shared" si="34"/>
        <v>0</v>
      </c>
      <c r="F134" s="676">
        <f t="shared" ca="1" si="35"/>
        <v>0</v>
      </c>
      <c r="H134" s="676">
        <f t="shared" ref="H134:S134" si="42">SUM(H135:H136)</f>
        <v>0</v>
      </c>
      <c r="I134" s="676">
        <f t="shared" si="42"/>
        <v>0</v>
      </c>
      <c r="J134" s="676">
        <f t="shared" si="42"/>
        <v>0</v>
      </c>
      <c r="K134" s="676">
        <f t="shared" si="42"/>
        <v>0</v>
      </c>
      <c r="L134" s="676">
        <f t="shared" si="42"/>
        <v>0</v>
      </c>
      <c r="M134" s="676">
        <f t="shared" si="42"/>
        <v>0</v>
      </c>
      <c r="N134" s="676">
        <f t="shared" si="42"/>
        <v>0</v>
      </c>
      <c r="O134" s="676">
        <f t="shared" si="42"/>
        <v>0</v>
      </c>
      <c r="P134" s="676">
        <f t="shared" si="42"/>
        <v>0</v>
      </c>
      <c r="Q134" s="676">
        <f t="shared" si="42"/>
        <v>0</v>
      </c>
      <c r="R134" s="676">
        <f t="shared" si="42"/>
        <v>0</v>
      </c>
      <c r="S134" s="676">
        <f t="shared" si="42"/>
        <v>0</v>
      </c>
      <c r="T134" s="676">
        <f t="shared" si="28"/>
        <v>0</v>
      </c>
    </row>
    <row r="135" spans="1:20" ht="11.1" customHeight="1">
      <c r="A135" s="653" t="str">
        <f>'Budget-合并'!A135</f>
        <v>6602.12.02.01</v>
      </c>
      <c r="B135" s="653" t="str">
        <f>'Budget-合并'!B135</f>
        <v>旭智咨询--鼎和大厦1606</v>
      </c>
      <c r="C135" s="673">
        <f>'Budget-合并'!C135</f>
        <v>0</v>
      </c>
      <c r="D135" s="676">
        <f t="shared" si="34"/>
        <v>0</v>
      </c>
      <c r="F135" s="676">
        <f t="shared" ca="1" si="35"/>
        <v>0</v>
      </c>
      <c r="H135" s="676"/>
      <c r="I135" s="676"/>
      <c r="J135" s="676"/>
      <c r="K135" s="676"/>
      <c r="L135" s="676"/>
      <c r="M135" s="676"/>
      <c r="N135" s="676"/>
      <c r="O135" s="676"/>
      <c r="P135" s="676"/>
      <c r="Q135" s="676"/>
      <c r="R135" s="676"/>
      <c r="S135" s="676"/>
      <c r="T135" s="676">
        <f t="shared" si="28"/>
        <v>0</v>
      </c>
    </row>
    <row r="136" spans="1:20" ht="11.1" customHeight="1">
      <c r="A136" s="653" t="str">
        <f>'Budget-合并'!A136</f>
        <v>6602.12.02.02</v>
      </c>
      <c r="B136" s="653" t="str">
        <f>'Budget-合并'!B136</f>
        <v>旭智资本（香港）--冯氏大厦</v>
      </c>
      <c r="C136" s="673">
        <f>'Budget-合并'!C136</f>
        <v>0</v>
      </c>
      <c r="D136" s="676">
        <f t="shared" si="34"/>
        <v>0</v>
      </c>
      <c r="F136" s="676">
        <f t="shared" ca="1" si="35"/>
        <v>0</v>
      </c>
      <c r="H136" s="676"/>
      <c r="I136" s="676"/>
      <c r="J136" s="676"/>
      <c r="K136" s="676"/>
      <c r="L136" s="676"/>
      <c r="M136" s="676"/>
      <c r="N136" s="676"/>
      <c r="O136" s="676"/>
      <c r="P136" s="676"/>
      <c r="Q136" s="676"/>
      <c r="R136" s="676"/>
      <c r="S136" s="676"/>
      <c r="T136" s="676">
        <f t="shared" si="28"/>
        <v>0</v>
      </c>
    </row>
    <row r="137" spans="1:20" ht="11.1" customHeight="1">
      <c r="A137" s="653" t="str">
        <f>'Budget-合并'!A137</f>
        <v>6602.12.03</v>
      </c>
      <c r="B137" s="653" t="str">
        <f>'Budget-合并'!B137</f>
        <v>注册地址</v>
      </c>
      <c r="C137" s="673">
        <f>'Budget-合并'!C137</f>
        <v>0</v>
      </c>
      <c r="D137" s="676">
        <f t="shared" si="34"/>
        <v>0</v>
      </c>
      <c r="F137" s="676">
        <f t="shared" ca="1" si="35"/>
        <v>0</v>
      </c>
      <c r="H137" s="676">
        <f t="shared" ref="H137:S137" si="43">SUM(H138:H139)</f>
        <v>0</v>
      </c>
      <c r="I137" s="676">
        <f t="shared" si="43"/>
        <v>0</v>
      </c>
      <c r="J137" s="676">
        <f t="shared" si="43"/>
        <v>0</v>
      </c>
      <c r="K137" s="676">
        <f t="shared" si="43"/>
        <v>0</v>
      </c>
      <c r="L137" s="676">
        <f t="shared" si="43"/>
        <v>0</v>
      </c>
      <c r="M137" s="676">
        <f t="shared" si="43"/>
        <v>0</v>
      </c>
      <c r="N137" s="676">
        <f t="shared" si="43"/>
        <v>0</v>
      </c>
      <c r="O137" s="676">
        <f t="shared" si="43"/>
        <v>0</v>
      </c>
      <c r="P137" s="676">
        <f t="shared" si="43"/>
        <v>0</v>
      </c>
      <c r="Q137" s="676">
        <f t="shared" si="43"/>
        <v>0</v>
      </c>
      <c r="R137" s="676">
        <f t="shared" si="43"/>
        <v>0</v>
      </c>
      <c r="S137" s="676">
        <f t="shared" si="43"/>
        <v>0</v>
      </c>
      <c r="T137" s="676">
        <f t="shared" si="28"/>
        <v>0</v>
      </c>
    </row>
    <row r="138" spans="1:20" ht="11.1" customHeight="1">
      <c r="A138" s="653" t="str">
        <f>'Budget-合并'!A138</f>
        <v>6602.12.03.01</v>
      </c>
      <c r="B138" s="653" t="str">
        <f>'Budget-合并'!B138</f>
        <v>旭智私募--前海壹号B座701E</v>
      </c>
      <c r="C138" s="673">
        <f>'Budget-合并'!C138</f>
        <v>0</v>
      </c>
      <c r="D138" s="676">
        <f t="shared" si="34"/>
        <v>0</v>
      </c>
      <c r="F138" s="676">
        <f t="shared" ca="1" si="35"/>
        <v>0</v>
      </c>
      <c r="H138" s="676"/>
      <c r="I138" s="676"/>
      <c r="J138" s="676"/>
      <c r="K138" s="676"/>
      <c r="L138" s="676"/>
      <c r="M138" s="676"/>
      <c r="N138" s="676"/>
      <c r="O138" s="676"/>
      <c r="P138" s="676"/>
      <c r="Q138" s="676"/>
      <c r="R138" s="676"/>
      <c r="S138" s="676"/>
      <c r="T138" s="676">
        <f t="shared" si="28"/>
        <v>0</v>
      </c>
    </row>
    <row r="139" spans="1:20" ht="11.1" customHeight="1">
      <c r="A139" s="653" t="str">
        <f>'Budget-合并'!A139</f>
        <v>6602.12.03.02</v>
      </c>
      <c r="B139" s="653" t="str">
        <f>'Budget-合并'!B139</f>
        <v>广州旭智--802房F028</v>
      </c>
      <c r="C139" s="673">
        <f>'Budget-合并'!C139</f>
        <v>0</v>
      </c>
      <c r="D139" s="676">
        <f t="shared" si="34"/>
        <v>0</v>
      </c>
      <c r="F139" s="676">
        <f t="shared" ca="1" si="35"/>
        <v>0</v>
      </c>
      <c r="H139" s="676"/>
      <c r="I139" s="676"/>
      <c r="J139" s="676"/>
      <c r="K139" s="676"/>
      <c r="L139" s="676"/>
      <c r="M139" s="676"/>
      <c r="N139" s="676"/>
      <c r="O139" s="676"/>
      <c r="P139" s="676"/>
      <c r="Q139" s="676"/>
      <c r="R139" s="676"/>
      <c r="S139" s="676"/>
      <c r="T139" s="676">
        <f t="shared" si="28"/>
        <v>0</v>
      </c>
    </row>
    <row r="140" spans="1:20" ht="13.5" customHeight="1">
      <c r="A140" s="653" t="str">
        <f>'Budget-合并'!A140</f>
        <v>6602.13</v>
      </c>
      <c r="B140" s="653" t="str">
        <f>'Budget-合并'!B140</f>
        <v>物业管理费</v>
      </c>
      <c r="C140" s="673">
        <f>'Budget-合并'!C140</f>
        <v>0</v>
      </c>
      <c r="D140" s="676">
        <f t="shared" si="34"/>
        <v>0</v>
      </c>
      <c r="F140" s="676">
        <f t="shared" ca="1" si="35"/>
        <v>0</v>
      </c>
      <c r="H140" s="676"/>
      <c r="I140" s="676"/>
      <c r="J140" s="676"/>
      <c r="K140" s="676"/>
      <c r="L140" s="676"/>
      <c r="M140" s="676"/>
      <c r="N140" s="676"/>
      <c r="O140" s="676"/>
      <c r="P140" s="676"/>
      <c r="Q140" s="676"/>
      <c r="R140" s="676"/>
      <c r="S140" s="676"/>
      <c r="T140" s="676">
        <f t="shared" si="28"/>
        <v>0</v>
      </c>
    </row>
    <row r="141" spans="1:20" ht="13.5" customHeight="1">
      <c r="A141" s="653" t="str">
        <f>'Budget-合并'!A141</f>
        <v>6602.14</v>
      </c>
      <c r="B141" s="653" t="str">
        <f>'Budget-合并'!B141</f>
        <v>修理费</v>
      </c>
      <c r="C141" s="673">
        <f>'Budget-合并'!C141</f>
        <v>0</v>
      </c>
      <c r="D141" s="676">
        <f t="shared" si="34"/>
        <v>0</v>
      </c>
      <c r="F141" s="676">
        <f t="shared" ca="1" si="35"/>
        <v>0</v>
      </c>
      <c r="H141" s="676"/>
      <c r="I141" s="676"/>
      <c r="J141" s="676"/>
      <c r="K141" s="676"/>
      <c r="L141" s="676"/>
      <c r="M141" s="676"/>
      <c r="N141" s="676"/>
      <c r="O141" s="676"/>
      <c r="P141" s="676"/>
      <c r="Q141" s="676"/>
      <c r="R141" s="676"/>
      <c r="S141" s="676"/>
      <c r="T141" s="676">
        <f t="shared" si="28"/>
        <v>0</v>
      </c>
    </row>
    <row r="142" spans="1:20" ht="13.5" customHeight="1">
      <c r="A142" s="653" t="str">
        <f>'Budget-合并'!A142</f>
        <v>6602.15</v>
      </c>
      <c r="B142" s="653" t="str">
        <f>'Budget-合并'!B142</f>
        <v>服务费</v>
      </c>
      <c r="C142" s="673" t="str">
        <f>'Budget-合并'!C142</f>
        <v>Professional Fee</v>
      </c>
      <c r="D142" s="676">
        <f t="shared" si="34"/>
        <v>0</v>
      </c>
      <c r="F142" s="676">
        <f t="shared" ca="1" si="35"/>
        <v>0</v>
      </c>
      <c r="H142" s="676"/>
      <c r="I142" s="676"/>
      <c r="J142" s="676"/>
      <c r="K142" s="676"/>
      <c r="L142" s="676"/>
      <c r="M142" s="676"/>
      <c r="N142" s="676"/>
      <c r="O142" s="676"/>
      <c r="P142" s="676"/>
      <c r="Q142" s="676"/>
      <c r="R142" s="676"/>
      <c r="S142" s="676"/>
      <c r="T142" s="676">
        <f t="shared" si="28"/>
        <v>0</v>
      </c>
    </row>
    <row r="143" spans="1:20" ht="13.5" customHeight="1">
      <c r="A143" s="653" t="str">
        <f>'Budget-合并'!A143</f>
        <v>6602.16</v>
      </c>
      <c r="B143" s="653" t="str">
        <f>'Budget-合并'!B143</f>
        <v>董事会费</v>
      </c>
      <c r="C143" s="673" t="str">
        <f>'Budget-合并'!C143</f>
        <v>Internal ACP Meeting</v>
      </c>
      <c r="D143" s="676">
        <f t="shared" si="34"/>
        <v>0</v>
      </c>
      <c r="F143" s="676">
        <f t="shared" ca="1" si="35"/>
        <v>0</v>
      </c>
      <c r="H143" s="676"/>
      <c r="I143" s="676"/>
      <c r="J143" s="676"/>
      <c r="K143" s="676"/>
      <c r="L143" s="676"/>
      <c r="M143" s="676"/>
      <c r="N143" s="676"/>
      <c r="O143" s="676"/>
      <c r="P143" s="676"/>
      <c r="Q143" s="676"/>
      <c r="R143" s="676"/>
      <c r="S143" s="676"/>
      <c r="T143" s="676">
        <f t="shared" si="28"/>
        <v>0</v>
      </c>
    </row>
    <row r="144" spans="1:20" ht="13.5" customHeight="1">
      <c r="A144" s="653" t="str">
        <f>'Budget-合并'!A144</f>
        <v>6602.17</v>
      </c>
      <c r="B144" s="653" t="str">
        <f>'Budget-合并'!B144</f>
        <v>聘请中介机构费</v>
      </c>
      <c r="C144" s="673">
        <f>'Budget-合并'!C144</f>
        <v>0</v>
      </c>
      <c r="D144" s="676">
        <f t="shared" si="34"/>
        <v>0</v>
      </c>
      <c r="F144" s="676">
        <f t="shared" ca="1" si="35"/>
        <v>0</v>
      </c>
      <c r="H144" s="676"/>
      <c r="I144" s="676"/>
      <c r="J144" s="676"/>
      <c r="K144" s="676"/>
      <c r="L144" s="676"/>
      <c r="M144" s="676"/>
      <c r="N144" s="676"/>
      <c r="O144" s="676"/>
      <c r="P144" s="676"/>
      <c r="Q144" s="676"/>
      <c r="R144" s="676"/>
      <c r="S144" s="676"/>
      <c r="T144" s="676">
        <f t="shared" si="28"/>
        <v>0</v>
      </c>
    </row>
    <row r="145" spans="1:20" ht="13.5" customHeight="1">
      <c r="A145" s="653" t="str">
        <f>'Budget-合并'!A145</f>
        <v>6602.18</v>
      </c>
      <c r="B145" s="653" t="str">
        <f>'Budget-合并'!B145</f>
        <v>存货盘亏或盘盈</v>
      </c>
      <c r="C145" s="673">
        <f>'Budget-合并'!C145</f>
        <v>0</v>
      </c>
      <c r="D145" s="676">
        <f t="shared" si="34"/>
        <v>0</v>
      </c>
      <c r="F145" s="676">
        <f t="shared" ca="1" si="35"/>
        <v>0</v>
      </c>
      <c r="H145" s="676"/>
      <c r="I145" s="676"/>
      <c r="J145" s="676"/>
      <c r="K145" s="676"/>
      <c r="L145" s="676"/>
      <c r="M145" s="676"/>
      <c r="N145" s="676"/>
      <c r="O145" s="676"/>
      <c r="P145" s="676"/>
      <c r="Q145" s="676"/>
      <c r="R145" s="676"/>
      <c r="S145" s="676"/>
      <c r="T145" s="676">
        <f t="shared" si="28"/>
        <v>0</v>
      </c>
    </row>
    <row r="146" spans="1:20" ht="13.5" customHeight="1">
      <c r="A146" s="653" t="str">
        <f>'Budget-合并'!A146</f>
        <v>6602.19</v>
      </c>
      <c r="B146" s="653" t="str">
        <f>'Budget-合并'!B146</f>
        <v>会费（公司）</v>
      </c>
      <c r="C146" s="673" t="str">
        <f>'Budget-合并'!C146</f>
        <v>Membership Fee</v>
      </c>
      <c r="D146" s="676">
        <f t="shared" si="34"/>
        <v>0</v>
      </c>
      <c r="F146" s="676">
        <f t="shared" ca="1" si="35"/>
        <v>0</v>
      </c>
      <c r="H146" s="676"/>
      <c r="I146" s="676"/>
      <c r="J146" s="676"/>
      <c r="K146" s="676"/>
      <c r="L146" s="676"/>
      <c r="M146" s="676"/>
      <c r="N146" s="676"/>
      <c r="O146" s="676"/>
      <c r="P146" s="676"/>
      <c r="Q146" s="676"/>
      <c r="R146" s="676"/>
      <c r="S146" s="676"/>
      <c r="T146" s="676">
        <f t="shared" si="28"/>
        <v>0</v>
      </c>
    </row>
    <row r="147" spans="1:20" ht="13.5" customHeight="1">
      <c r="A147" s="653" t="str">
        <f>'Budget-合并'!A147</f>
        <v>6602.20</v>
      </c>
      <c r="B147" s="653" t="str">
        <f>'Budget-合并'!B147</f>
        <v>职工教育经费</v>
      </c>
      <c r="C147" s="673" t="str">
        <f>'Budget-合并'!C147</f>
        <v>Education Assistance</v>
      </c>
      <c r="D147" s="676">
        <f t="shared" si="34"/>
        <v>0</v>
      </c>
      <c r="F147" s="676">
        <f t="shared" ca="1" si="35"/>
        <v>0</v>
      </c>
      <c r="H147" s="676"/>
      <c r="I147" s="676"/>
      <c r="J147" s="676"/>
      <c r="K147" s="676"/>
      <c r="L147" s="676"/>
      <c r="M147" s="676"/>
      <c r="N147" s="676"/>
      <c r="O147" s="676"/>
      <c r="P147" s="676"/>
      <c r="Q147" s="676"/>
      <c r="R147" s="676"/>
      <c r="S147" s="676"/>
      <c r="T147" s="676">
        <f t="shared" si="28"/>
        <v>0</v>
      </c>
    </row>
    <row r="148" spans="1:20" ht="13.5" customHeight="1">
      <c r="A148" s="653" t="str">
        <f>'Budget-合并'!A148</f>
        <v>6602.21</v>
      </c>
      <c r="B148" s="653" t="str">
        <f>'Budget-合并'!B148</f>
        <v>公司秘书费</v>
      </c>
      <c r="C148" s="673" t="str">
        <f>'Budget-合并'!C148</f>
        <v>Corporate Secretarial Fees</v>
      </c>
      <c r="D148" s="676">
        <f t="shared" si="34"/>
        <v>0</v>
      </c>
      <c r="F148" s="676">
        <f t="shared" ca="1" si="35"/>
        <v>0</v>
      </c>
      <c r="H148" s="676"/>
      <c r="I148" s="676"/>
      <c r="J148" s="676"/>
      <c r="K148" s="676"/>
      <c r="L148" s="676"/>
      <c r="M148" s="676"/>
      <c r="N148" s="676"/>
      <c r="O148" s="676"/>
      <c r="P148" s="676"/>
      <c r="Q148" s="676"/>
      <c r="R148" s="676"/>
      <c r="S148" s="676"/>
      <c r="T148" s="676">
        <f t="shared" si="28"/>
        <v>0</v>
      </c>
    </row>
    <row r="149" spans="1:20" ht="13.5" customHeight="1">
      <c r="A149" s="653" t="str">
        <f>'Budget-合并'!A149</f>
        <v>6602.22</v>
      </c>
      <c r="B149" s="653" t="str">
        <f>'Budget-合并'!B149</f>
        <v>工会经费</v>
      </c>
      <c r="C149" s="673">
        <f>'Budget-合并'!C149</f>
        <v>0</v>
      </c>
      <c r="D149" s="676">
        <f t="shared" si="34"/>
        <v>0</v>
      </c>
      <c r="F149" s="676">
        <f t="shared" ca="1" si="35"/>
        <v>0</v>
      </c>
      <c r="H149" s="676"/>
      <c r="I149" s="676"/>
      <c r="J149" s="676"/>
      <c r="K149" s="676"/>
      <c r="L149" s="676"/>
      <c r="M149" s="676"/>
      <c r="N149" s="676"/>
      <c r="O149" s="676"/>
      <c r="P149" s="676"/>
      <c r="Q149" s="676"/>
      <c r="R149" s="676"/>
      <c r="S149" s="676"/>
      <c r="T149" s="676">
        <f t="shared" si="28"/>
        <v>0</v>
      </c>
    </row>
    <row r="150" spans="1:20" ht="13.5" customHeight="1">
      <c r="A150" s="653" t="str">
        <f>'Budget-合并'!A150</f>
        <v>6602.23</v>
      </c>
      <c r="B150" s="653" t="str">
        <f>'Budget-合并'!B150</f>
        <v>无形资产摊销</v>
      </c>
      <c r="C150" s="673" t="str">
        <f>'Budget-合并'!C150</f>
        <v>Contract Intangibles - Amortization</v>
      </c>
      <c r="D150" s="676">
        <f t="shared" si="34"/>
        <v>0</v>
      </c>
      <c r="F150" s="676">
        <f t="shared" ca="1" si="35"/>
        <v>0</v>
      </c>
      <c r="H150" s="676"/>
      <c r="I150" s="676"/>
      <c r="J150" s="676"/>
      <c r="K150" s="676"/>
      <c r="L150" s="676"/>
      <c r="M150" s="676"/>
      <c r="N150" s="676"/>
      <c r="O150" s="676"/>
      <c r="P150" s="676"/>
      <c r="Q150" s="676"/>
      <c r="R150" s="676"/>
      <c r="S150" s="676"/>
      <c r="T150" s="676">
        <f t="shared" si="28"/>
        <v>0</v>
      </c>
    </row>
    <row r="151" spans="1:20" ht="13.5" customHeight="1">
      <c r="A151" s="653" t="str">
        <f>'Budget-合并'!A151</f>
        <v>6602.24</v>
      </c>
      <c r="B151" s="653" t="str">
        <f>'Budget-合并'!B151</f>
        <v>监管费用</v>
      </c>
      <c r="C151" s="673" t="str">
        <f>'Budget-合并'!C151</f>
        <v xml:space="preserve">Regulatory fees </v>
      </c>
      <c r="D151" s="676">
        <f t="shared" si="34"/>
        <v>0</v>
      </c>
      <c r="F151" s="676">
        <f t="shared" ca="1" si="35"/>
        <v>0</v>
      </c>
      <c r="H151" s="676"/>
      <c r="I151" s="676"/>
      <c r="J151" s="676"/>
      <c r="K151" s="676"/>
      <c r="L151" s="676"/>
      <c r="M151" s="676"/>
      <c r="N151" s="676"/>
      <c r="O151" s="676"/>
      <c r="P151" s="676"/>
      <c r="Q151" s="676"/>
      <c r="R151" s="676"/>
      <c r="S151" s="676"/>
      <c r="T151" s="676">
        <f t="shared" ref="T151:T154" si="44">SUM(H151:S151)</f>
        <v>0</v>
      </c>
    </row>
    <row r="152" spans="1:20" ht="13.5" customHeight="1">
      <c r="A152" s="653" t="str">
        <f>'Budget-合并'!A152</f>
        <v>6602.99</v>
      </c>
      <c r="B152" s="653" t="str">
        <f>'Budget-合并'!B152</f>
        <v>其他</v>
      </c>
      <c r="C152" s="673" t="str">
        <f>'Budget-合并'!C152</f>
        <v>Admin Other</v>
      </c>
      <c r="D152" s="676">
        <f t="shared" si="34"/>
        <v>0</v>
      </c>
      <c r="F152" s="676">
        <f t="shared" ca="1" si="35"/>
        <v>0</v>
      </c>
      <c r="H152" s="676"/>
      <c r="I152" s="676"/>
      <c r="J152" s="676"/>
      <c r="K152" s="676"/>
      <c r="L152" s="676"/>
      <c r="M152" s="676"/>
      <c r="N152" s="676"/>
      <c r="O152" s="676"/>
      <c r="P152" s="676"/>
      <c r="Q152" s="676"/>
      <c r="R152" s="676"/>
      <c r="S152" s="676"/>
      <c r="T152" s="676">
        <f t="shared" si="44"/>
        <v>0</v>
      </c>
    </row>
    <row r="153" spans="1:20" ht="13.5" customHeight="1">
      <c r="A153" s="672">
        <f>'Budget-合并'!A153</f>
        <v>0</v>
      </c>
      <c r="B153" s="672" t="str">
        <f>'Budget-合并'!B153</f>
        <v>管理费用合计</v>
      </c>
      <c r="C153" s="673">
        <f>'Budget-合并'!C153</f>
        <v>0</v>
      </c>
      <c r="D153" s="677">
        <f t="shared" si="34"/>
        <v>0</v>
      </c>
      <c r="F153" s="677">
        <f t="shared" ca="1" si="35"/>
        <v>0</v>
      </c>
      <c r="H153" s="677">
        <f t="shared" ref="H153:S153" si="45">SUM(H44,H62,H75,H79,H80,H92,H127,H132,H140:H152)</f>
        <v>0</v>
      </c>
      <c r="I153" s="677">
        <f t="shared" si="45"/>
        <v>0</v>
      </c>
      <c r="J153" s="677">
        <f t="shared" si="45"/>
        <v>0</v>
      </c>
      <c r="K153" s="677">
        <f t="shared" si="45"/>
        <v>0</v>
      </c>
      <c r="L153" s="677">
        <f t="shared" si="45"/>
        <v>0</v>
      </c>
      <c r="M153" s="677">
        <f t="shared" si="45"/>
        <v>0</v>
      </c>
      <c r="N153" s="677">
        <f t="shared" si="45"/>
        <v>0</v>
      </c>
      <c r="O153" s="677">
        <f t="shared" si="45"/>
        <v>0</v>
      </c>
      <c r="P153" s="677">
        <f t="shared" si="45"/>
        <v>0</v>
      </c>
      <c r="Q153" s="677">
        <f t="shared" si="45"/>
        <v>0</v>
      </c>
      <c r="R153" s="677">
        <f t="shared" si="45"/>
        <v>0</v>
      </c>
      <c r="S153" s="677">
        <f t="shared" si="45"/>
        <v>0</v>
      </c>
      <c r="T153" s="677">
        <f t="shared" si="44"/>
        <v>0</v>
      </c>
    </row>
    <row r="154" spans="1:20" ht="13.5" customHeight="1">
      <c r="A154" s="653">
        <f>'Budget-合并'!A154</f>
        <v>0</v>
      </c>
      <c r="B154" s="653">
        <f>'Budget-合并'!B154</f>
        <v>0</v>
      </c>
      <c r="C154" s="673">
        <f>'Budget-合并'!C154</f>
        <v>0</v>
      </c>
      <c r="T154" s="652">
        <f t="shared" si="44"/>
        <v>0</v>
      </c>
    </row>
    <row r="155" spans="1:20" ht="13.5" customHeight="1">
      <c r="A155" s="672" t="str">
        <f>'Budget-合并'!A155</f>
        <v>6603</v>
      </c>
      <c r="B155" s="672" t="str">
        <f>'Budget-合并'!B155</f>
        <v>财务费用</v>
      </c>
      <c r="C155" s="673">
        <f>'Budget-合并'!C155</f>
        <v>0</v>
      </c>
      <c r="D155" s="677"/>
      <c r="F155" s="677"/>
      <c r="H155" s="677"/>
      <c r="I155" s="677"/>
      <c r="J155" s="677"/>
      <c r="K155" s="677"/>
      <c r="L155" s="677"/>
      <c r="M155" s="677"/>
      <c r="N155" s="677"/>
      <c r="O155" s="677"/>
      <c r="P155" s="677"/>
      <c r="Q155" s="677"/>
      <c r="R155" s="677"/>
      <c r="S155" s="677"/>
      <c r="T155" s="677"/>
    </row>
    <row r="156" spans="1:20" ht="13.5" customHeight="1">
      <c r="A156" s="653" t="str">
        <f>'Budget-合并'!A156</f>
        <v>6603.01</v>
      </c>
      <c r="B156" s="653" t="str">
        <f>'Budget-合并'!B156</f>
        <v>汇兑损益</v>
      </c>
      <c r="C156" s="673" t="str">
        <f>'Budget-合并'!C156</f>
        <v>FX Gain/Loss Net</v>
      </c>
      <c r="D156" s="676">
        <f t="shared" ref="D156:D172" si="46">INDEX($H$8:$S$8,1,MATCH($D$6,$H$6:$S$6))</f>
        <v>0</v>
      </c>
      <c r="F156" s="676">
        <f t="shared" ref="F156:F172" ca="1" si="47">SUM($H156:OFFSET($H156,0,MATCH(F$6,$H$6:$S$6)-1))</f>
        <v>0</v>
      </c>
      <c r="H156" s="676"/>
      <c r="I156" s="676"/>
      <c r="J156" s="676"/>
      <c r="K156" s="676"/>
      <c r="L156" s="676"/>
      <c r="M156" s="676"/>
      <c r="N156" s="676"/>
      <c r="O156" s="676"/>
      <c r="P156" s="676"/>
      <c r="Q156" s="676"/>
      <c r="R156" s="676"/>
      <c r="S156" s="676"/>
      <c r="T156" s="676">
        <f t="shared" ref="T156:T169" si="48">SUM(H156:S156)</f>
        <v>0</v>
      </c>
    </row>
    <row r="157" spans="1:20" ht="13.5" customHeight="1">
      <c r="A157" s="663" t="str">
        <f>'Budget-合并'!A157</f>
        <v>6603.02</v>
      </c>
      <c r="B157" s="678" t="str">
        <f>'Budget-合并'!B157</f>
        <v>利息费用</v>
      </c>
      <c r="C157" s="673">
        <f>'Budget-合并'!C157</f>
        <v>0</v>
      </c>
      <c r="D157" s="676">
        <f t="shared" si="46"/>
        <v>0</v>
      </c>
      <c r="F157" s="676">
        <f t="shared" ca="1" si="47"/>
        <v>0</v>
      </c>
      <c r="H157" s="676"/>
      <c r="I157" s="676"/>
      <c r="J157" s="676"/>
      <c r="K157" s="676"/>
      <c r="L157" s="676"/>
      <c r="M157" s="676"/>
      <c r="N157" s="676"/>
      <c r="O157" s="676"/>
      <c r="P157" s="676"/>
      <c r="Q157" s="676"/>
      <c r="R157" s="676"/>
      <c r="S157" s="676"/>
      <c r="T157" s="676">
        <f t="shared" si="48"/>
        <v>0</v>
      </c>
    </row>
    <row r="158" spans="1:20" ht="13.5" customHeight="1">
      <c r="A158" s="653" t="str">
        <f>'Budget-合并'!A158</f>
        <v>6603.02.01</v>
      </c>
      <c r="B158" s="653" t="str">
        <f>'Budget-合并'!B158</f>
        <v>打印机租赁</v>
      </c>
      <c r="C158" s="673">
        <f>'Budget-合并'!C158</f>
        <v>0</v>
      </c>
      <c r="D158" s="676">
        <f t="shared" si="46"/>
        <v>0</v>
      </c>
      <c r="F158" s="676">
        <f t="shared" ca="1" si="47"/>
        <v>0</v>
      </c>
      <c r="H158" s="676"/>
      <c r="I158" s="676"/>
      <c r="J158" s="676"/>
      <c r="K158" s="676"/>
      <c r="L158" s="676"/>
      <c r="M158" s="676"/>
      <c r="N158" s="676"/>
      <c r="O158" s="676"/>
      <c r="P158" s="676"/>
      <c r="Q158" s="676"/>
      <c r="R158" s="676"/>
      <c r="S158" s="676"/>
      <c r="T158" s="676">
        <f t="shared" si="48"/>
        <v>0</v>
      </c>
    </row>
    <row r="159" spans="1:20" ht="13.5" customHeight="1">
      <c r="A159" s="653" t="str">
        <f>'Budget-合并'!A159</f>
        <v>6603.02.02</v>
      </c>
      <c r="B159" s="653" t="str">
        <f>'Budget-合并'!B159</f>
        <v>办公地址</v>
      </c>
      <c r="C159" s="673">
        <f>'Budget-合并'!C159</f>
        <v>0</v>
      </c>
      <c r="D159" s="676">
        <f t="shared" si="46"/>
        <v>0</v>
      </c>
      <c r="F159" s="676">
        <f t="shared" ca="1" si="47"/>
        <v>0</v>
      </c>
      <c r="H159" s="676">
        <f t="shared" ref="H159:S159" si="49">SUM(H160:H161)</f>
        <v>0</v>
      </c>
      <c r="I159" s="676">
        <f t="shared" si="49"/>
        <v>0</v>
      </c>
      <c r="J159" s="676">
        <f t="shared" si="49"/>
        <v>0</v>
      </c>
      <c r="K159" s="676">
        <f t="shared" si="49"/>
        <v>0</v>
      </c>
      <c r="L159" s="676">
        <f t="shared" si="49"/>
        <v>0</v>
      </c>
      <c r="M159" s="676">
        <f t="shared" si="49"/>
        <v>0</v>
      </c>
      <c r="N159" s="676">
        <f t="shared" si="49"/>
        <v>0</v>
      </c>
      <c r="O159" s="676">
        <f t="shared" si="49"/>
        <v>0</v>
      </c>
      <c r="P159" s="676">
        <f t="shared" si="49"/>
        <v>0</v>
      </c>
      <c r="Q159" s="676">
        <f t="shared" si="49"/>
        <v>0</v>
      </c>
      <c r="R159" s="676">
        <f t="shared" si="49"/>
        <v>0</v>
      </c>
      <c r="S159" s="676">
        <f t="shared" si="49"/>
        <v>0</v>
      </c>
      <c r="T159" s="676">
        <f t="shared" si="48"/>
        <v>0</v>
      </c>
    </row>
    <row r="160" spans="1:20" ht="13.5" customHeight="1">
      <c r="A160" s="653" t="str">
        <f>'Budget-合并'!A160</f>
        <v>6603.02.02.01</v>
      </c>
      <c r="B160" s="653" t="str">
        <f>'Budget-合并'!B160</f>
        <v>旭智咨询--鼎和大厦1606</v>
      </c>
      <c r="C160" s="673">
        <f>'Budget-合并'!C160</f>
        <v>0</v>
      </c>
      <c r="D160" s="676">
        <f t="shared" si="46"/>
        <v>0</v>
      </c>
      <c r="F160" s="676">
        <f t="shared" ca="1" si="47"/>
        <v>0</v>
      </c>
      <c r="H160" s="676"/>
      <c r="I160" s="676"/>
      <c r="J160" s="676"/>
      <c r="K160" s="676"/>
      <c r="L160" s="676"/>
      <c r="M160" s="676"/>
      <c r="N160" s="676"/>
      <c r="O160" s="676"/>
      <c r="P160" s="676"/>
      <c r="Q160" s="676"/>
      <c r="R160" s="676"/>
      <c r="S160" s="676"/>
      <c r="T160" s="676">
        <f t="shared" si="48"/>
        <v>0</v>
      </c>
    </row>
    <row r="161" spans="1:20" ht="13.5" customHeight="1">
      <c r="A161" s="653" t="str">
        <f>'Budget-合并'!A161</f>
        <v>6603.02.02.02</v>
      </c>
      <c r="B161" s="653" t="str">
        <f>'Budget-合并'!B161</f>
        <v>旭智资本（香港）--冯氏大厦</v>
      </c>
      <c r="C161" s="673" t="str">
        <f>'Budget-合并'!C161</f>
        <v>Interest Expense Lease</v>
      </c>
      <c r="D161" s="676">
        <f t="shared" si="46"/>
        <v>0</v>
      </c>
      <c r="F161" s="676">
        <f t="shared" ca="1" si="47"/>
        <v>0</v>
      </c>
      <c r="H161" s="676"/>
      <c r="I161" s="676"/>
      <c r="J161" s="676"/>
      <c r="K161" s="676"/>
      <c r="L161" s="676"/>
      <c r="M161" s="676"/>
      <c r="N161" s="676"/>
      <c r="O161" s="676"/>
      <c r="P161" s="676"/>
      <c r="Q161" s="676"/>
      <c r="R161" s="676"/>
      <c r="S161" s="676"/>
      <c r="T161" s="676">
        <f t="shared" si="48"/>
        <v>0</v>
      </c>
    </row>
    <row r="162" spans="1:20" ht="13.5" customHeight="1">
      <c r="A162" s="653" t="str">
        <f>'Budget-合并'!A162</f>
        <v>6603.02.03</v>
      </c>
      <c r="B162" s="653" t="str">
        <f>'Budget-合并'!B162</f>
        <v>注册地址</v>
      </c>
      <c r="C162" s="673">
        <f>'Budget-合并'!C162</f>
        <v>0</v>
      </c>
      <c r="D162" s="676">
        <f t="shared" si="46"/>
        <v>0</v>
      </c>
      <c r="F162" s="676">
        <f t="shared" ca="1" si="47"/>
        <v>0</v>
      </c>
      <c r="H162" s="676">
        <f t="shared" ref="H162:S162" si="50">SUM(H163:H164)</f>
        <v>0</v>
      </c>
      <c r="I162" s="676">
        <f t="shared" si="50"/>
        <v>0</v>
      </c>
      <c r="J162" s="676">
        <f t="shared" si="50"/>
        <v>0</v>
      </c>
      <c r="K162" s="676">
        <f t="shared" si="50"/>
        <v>0</v>
      </c>
      <c r="L162" s="676">
        <f t="shared" si="50"/>
        <v>0</v>
      </c>
      <c r="M162" s="676">
        <f t="shared" si="50"/>
        <v>0</v>
      </c>
      <c r="N162" s="676">
        <f t="shared" si="50"/>
        <v>0</v>
      </c>
      <c r="O162" s="676">
        <f t="shared" si="50"/>
        <v>0</v>
      </c>
      <c r="P162" s="676">
        <f t="shared" si="50"/>
        <v>0</v>
      </c>
      <c r="Q162" s="676">
        <f t="shared" si="50"/>
        <v>0</v>
      </c>
      <c r="R162" s="676">
        <f t="shared" si="50"/>
        <v>0</v>
      </c>
      <c r="S162" s="676">
        <f t="shared" si="50"/>
        <v>0</v>
      </c>
      <c r="T162" s="676">
        <f t="shared" si="48"/>
        <v>0</v>
      </c>
    </row>
    <row r="163" spans="1:20" ht="13.5" customHeight="1">
      <c r="A163" s="653" t="str">
        <f>'Budget-合并'!A163</f>
        <v>6603.02.03.01</v>
      </c>
      <c r="B163" s="653" t="str">
        <f>'Budget-合并'!B163</f>
        <v>旭智私募--前海壹号B座701E</v>
      </c>
      <c r="C163" s="673">
        <f>'Budget-合并'!C163</f>
        <v>0</v>
      </c>
      <c r="D163" s="676">
        <f t="shared" si="46"/>
        <v>0</v>
      </c>
      <c r="F163" s="676">
        <f t="shared" ca="1" si="47"/>
        <v>0</v>
      </c>
      <c r="H163" s="676"/>
      <c r="I163" s="676"/>
      <c r="J163" s="676"/>
      <c r="K163" s="676"/>
      <c r="L163" s="676"/>
      <c r="M163" s="676"/>
      <c r="N163" s="676"/>
      <c r="O163" s="676"/>
      <c r="P163" s="676"/>
      <c r="Q163" s="676"/>
      <c r="R163" s="676"/>
      <c r="S163" s="676"/>
      <c r="T163" s="676">
        <f t="shared" si="48"/>
        <v>0</v>
      </c>
    </row>
    <row r="164" spans="1:20" ht="13.5" customHeight="1">
      <c r="A164" s="653" t="str">
        <f>'Budget-合并'!A164</f>
        <v>6603.02.03.02</v>
      </c>
      <c r="B164" s="653" t="str">
        <f>'Budget-合并'!B164</f>
        <v>广州旭智--802房F028</v>
      </c>
      <c r="C164" s="673">
        <f>'Budget-合并'!C164</f>
        <v>0</v>
      </c>
      <c r="D164" s="676">
        <f t="shared" si="46"/>
        <v>0</v>
      </c>
      <c r="F164" s="676">
        <f t="shared" ca="1" si="47"/>
        <v>0</v>
      </c>
      <c r="H164" s="676"/>
      <c r="I164" s="676"/>
      <c r="J164" s="676"/>
      <c r="K164" s="676"/>
      <c r="L164" s="676"/>
      <c r="M164" s="676"/>
      <c r="N164" s="676"/>
      <c r="O164" s="676"/>
      <c r="P164" s="676"/>
      <c r="Q164" s="676"/>
      <c r="R164" s="676"/>
      <c r="S164" s="676"/>
      <c r="T164" s="676">
        <f t="shared" si="48"/>
        <v>0</v>
      </c>
    </row>
    <row r="165" spans="1:20" ht="13.5" customHeight="1">
      <c r="A165" s="653" t="str">
        <f>'Budget-合并'!A165</f>
        <v>6603.03</v>
      </c>
      <c r="B165" s="653" t="str">
        <f>'Budget-合并'!B165</f>
        <v>银行手续费</v>
      </c>
      <c r="C165" s="673" t="str">
        <f>'Budget-合并'!C165</f>
        <v>Bank Charges</v>
      </c>
      <c r="D165" s="676">
        <f t="shared" si="46"/>
        <v>0</v>
      </c>
      <c r="F165" s="676">
        <f t="shared" ca="1" si="47"/>
        <v>0</v>
      </c>
      <c r="H165" s="676"/>
      <c r="I165" s="676"/>
      <c r="J165" s="676"/>
      <c r="K165" s="676"/>
      <c r="L165" s="676"/>
      <c r="M165" s="676"/>
      <c r="N165" s="676"/>
      <c r="O165" s="676"/>
      <c r="P165" s="676"/>
      <c r="Q165" s="676"/>
      <c r="R165" s="676"/>
      <c r="S165" s="676"/>
      <c r="T165" s="676">
        <f t="shared" si="48"/>
        <v>0</v>
      </c>
    </row>
    <row r="166" spans="1:20" ht="13.5" customHeight="1">
      <c r="A166" s="653" t="str">
        <f>'Budget-合并'!A166</f>
        <v>6603.04</v>
      </c>
      <c r="B166" s="653" t="str">
        <f>'Budget-合并'!B166</f>
        <v>利息收入</v>
      </c>
      <c r="C166" s="673" t="str">
        <f>'Budget-合并'!C166</f>
        <v>Bank Interest Income</v>
      </c>
      <c r="D166" s="676">
        <f t="shared" si="46"/>
        <v>0</v>
      </c>
      <c r="F166" s="676">
        <f t="shared" ca="1" si="47"/>
        <v>0</v>
      </c>
      <c r="H166" s="676"/>
      <c r="I166" s="676"/>
      <c r="J166" s="676"/>
      <c r="K166" s="676"/>
      <c r="L166" s="676"/>
      <c r="M166" s="676"/>
      <c r="N166" s="676"/>
      <c r="O166" s="676"/>
      <c r="P166" s="676"/>
      <c r="Q166" s="676"/>
      <c r="R166" s="676"/>
      <c r="S166" s="676"/>
      <c r="T166" s="676">
        <f t="shared" si="48"/>
        <v>0</v>
      </c>
    </row>
    <row r="167" spans="1:20" ht="13.5" customHeight="1">
      <c r="A167" s="663" t="str">
        <f>'Budget-合并'!A167</f>
        <v>6603.05</v>
      </c>
      <c r="B167" s="678" t="str">
        <f>'Budget-合并'!B167</f>
        <v>利息支出</v>
      </c>
      <c r="C167" s="673">
        <f>'Budget-合并'!C167</f>
        <v>0</v>
      </c>
      <c r="D167" s="676">
        <f t="shared" si="46"/>
        <v>0</v>
      </c>
      <c r="F167" s="676">
        <f t="shared" ca="1" si="47"/>
        <v>0</v>
      </c>
      <c r="H167" s="676">
        <f t="shared" ref="H167:S167" si="51">SUM(H168:H170)</f>
        <v>0</v>
      </c>
      <c r="I167" s="676">
        <f t="shared" si="51"/>
        <v>0</v>
      </c>
      <c r="J167" s="676">
        <f t="shared" si="51"/>
        <v>0</v>
      </c>
      <c r="K167" s="676">
        <f t="shared" si="51"/>
        <v>0</v>
      </c>
      <c r="L167" s="676">
        <f t="shared" si="51"/>
        <v>0</v>
      </c>
      <c r="M167" s="676">
        <f t="shared" si="51"/>
        <v>0</v>
      </c>
      <c r="N167" s="676">
        <f t="shared" si="51"/>
        <v>0</v>
      </c>
      <c r="O167" s="676">
        <f t="shared" si="51"/>
        <v>0</v>
      </c>
      <c r="P167" s="676">
        <f t="shared" si="51"/>
        <v>0</v>
      </c>
      <c r="Q167" s="676">
        <f t="shared" si="51"/>
        <v>0</v>
      </c>
      <c r="R167" s="676">
        <f t="shared" si="51"/>
        <v>0</v>
      </c>
      <c r="S167" s="676">
        <f t="shared" si="51"/>
        <v>0</v>
      </c>
      <c r="T167" s="676">
        <f t="shared" si="48"/>
        <v>0</v>
      </c>
    </row>
    <row r="168" spans="1:20" ht="13.5" customHeight="1">
      <c r="A168" s="653" t="str">
        <f>'Budget-合并'!A168</f>
        <v>6603.05.01</v>
      </c>
      <c r="B168" s="653" t="str">
        <f>'Budget-合并'!B168</f>
        <v>兴业金融租赁有限责任公司</v>
      </c>
      <c r="C168" s="673">
        <f>'Budget-合并'!C168</f>
        <v>0</v>
      </c>
      <c r="D168" s="676">
        <f t="shared" si="46"/>
        <v>0</v>
      </c>
      <c r="F168" s="676">
        <f t="shared" ca="1" si="47"/>
        <v>0</v>
      </c>
      <c r="H168" s="676"/>
      <c r="I168" s="676"/>
      <c r="J168" s="676"/>
      <c r="K168" s="676"/>
      <c r="L168" s="676"/>
      <c r="M168" s="676"/>
      <c r="N168" s="676"/>
      <c r="O168" s="676"/>
      <c r="P168" s="676"/>
      <c r="Q168" s="676"/>
      <c r="R168" s="676"/>
      <c r="S168" s="676"/>
      <c r="T168" s="676">
        <f t="shared" si="48"/>
        <v>0</v>
      </c>
    </row>
    <row r="169" spans="1:20" ht="13.5" customHeight="1">
      <c r="A169" s="653" t="str">
        <f>'Budget-合并'!A169</f>
        <v>6603.05.02</v>
      </c>
      <c r="B169" s="653" t="str">
        <f>'Budget-合并'!B169</f>
        <v>湖南三一智慧新能源设计有限公司</v>
      </c>
      <c r="C169" s="673">
        <f>'Budget-合并'!C169</f>
        <v>0</v>
      </c>
      <c r="D169" s="676">
        <f t="shared" si="46"/>
        <v>0</v>
      </c>
      <c r="F169" s="676">
        <f t="shared" ca="1" si="47"/>
        <v>0</v>
      </c>
      <c r="H169" s="676"/>
      <c r="I169" s="676"/>
      <c r="J169" s="676"/>
      <c r="K169" s="676"/>
      <c r="L169" s="676"/>
      <c r="M169" s="676"/>
      <c r="N169" s="676"/>
      <c r="O169" s="676"/>
      <c r="P169" s="676"/>
      <c r="Q169" s="676"/>
      <c r="R169" s="676"/>
      <c r="S169" s="676"/>
      <c r="T169" s="676">
        <f t="shared" si="48"/>
        <v>0</v>
      </c>
    </row>
    <row r="170" spans="1:20" ht="13.5" customHeight="1">
      <c r="A170" s="653" t="str">
        <f>'Budget-合并'!A170</f>
        <v>6603.05.03</v>
      </c>
      <c r="B170" s="653" t="str">
        <f>'Budget-合并'!B170</f>
        <v>和谐天明投资管理(北京)有限公司</v>
      </c>
      <c r="C170" s="673"/>
      <c r="D170" s="676">
        <f t="shared" si="46"/>
        <v>0</v>
      </c>
      <c r="F170" s="676">
        <f t="shared" ca="1" si="47"/>
        <v>0</v>
      </c>
      <c r="H170" s="676"/>
      <c r="I170" s="676"/>
      <c r="J170" s="676"/>
      <c r="K170" s="676"/>
      <c r="L170" s="676"/>
      <c r="M170" s="676"/>
      <c r="N170" s="676"/>
      <c r="O170" s="676"/>
      <c r="P170" s="676"/>
      <c r="Q170" s="676"/>
      <c r="R170" s="676"/>
      <c r="S170" s="676"/>
      <c r="T170" s="676"/>
    </row>
    <row r="171" spans="1:20" ht="13.5" customHeight="1">
      <c r="A171" s="653" t="str">
        <f>'Budget-合并'!A171</f>
        <v>6603.99</v>
      </c>
      <c r="B171" s="653" t="str">
        <f>'Budget-合并'!B171</f>
        <v>其他</v>
      </c>
      <c r="C171" s="673">
        <f>'Budget-合并'!C171</f>
        <v>0</v>
      </c>
      <c r="D171" s="676">
        <f t="shared" si="46"/>
        <v>0</v>
      </c>
      <c r="F171" s="676">
        <f t="shared" ca="1" si="47"/>
        <v>0</v>
      </c>
      <c r="H171" s="676">
        <f t="shared" ref="H171:S171" si="52">SUM(H161:H164,H168,H169)</f>
        <v>0</v>
      </c>
      <c r="I171" s="676">
        <f t="shared" si="52"/>
        <v>0</v>
      </c>
      <c r="J171" s="676">
        <f t="shared" si="52"/>
        <v>0</v>
      </c>
      <c r="K171" s="676">
        <f t="shared" si="52"/>
        <v>0</v>
      </c>
      <c r="L171" s="676">
        <f t="shared" si="52"/>
        <v>0</v>
      </c>
      <c r="M171" s="676">
        <f t="shared" si="52"/>
        <v>0</v>
      </c>
      <c r="N171" s="676">
        <f t="shared" si="52"/>
        <v>0</v>
      </c>
      <c r="O171" s="676">
        <f t="shared" si="52"/>
        <v>0</v>
      </c>
      <c r="P171" s="676">
        <f t="shared" si="52"/>
        <v>0</v>
      </c>
      <c r="Q171" s="676">
        <f t="shared" si="52"/>
        <v>0</v>
      </c>
      <c r="R171" s="676">
        <f t="shared" si="52"/>
        <v>0</v>
      </c>
      <c r="S171" s="676">
        <f t="shared" si="52"/>
        <v>0</v>
      </c>
      <c r="T171" s="676">
        <f t="shared" ref="T171:T182" si="53">SUM(H171:S171)</f>
        <v>0</v>
      </c>
    </row>
    <row r="172" spans="1:20" ht="13.5" customHeight="1">
      <c r="A172" s="672">
        <f>'Budget-合并'!A172</f>
        <v>0</v>
      </c>
      <c r="B172" s="672" t="str">
        <f>'Budget-合并'!B172</f>
        <v>财务费用合计</v>
      </c>
      <c r="C172" s="673">
        <f>'Budget-合并'!C172</f>
        <v>0</v>
      </c>
      <c r="D172" s="677">
        <f t="shared" si="46"/>
        <v>0</v>
      </c>
      <c r="F172" s="677">
        <f t="shared" ca="1" si="47"/>
        <v>0</v>
      </c>
      <c r="H172" s="677">
        <f t="shared" ref="H172:T172" si="54">SUM(H156,H157,H165:H167,H171)</f>
        <v>0</v>
      </c>
      <c r="I172" s="677">
        <f t="shared" si="54"/>
        <v>0</v>
      </c>
      <c r="J172" s="677">
        <f t="shared" si="54"/>
        <v>0</v>
      </c>
      <c r="K172" s="677">
        <f t="shared" si="54"/>
        <v>0</v>
      </c>
      <c r="L172" s="677">
        <f t="shared" si="54"/>
        <v>0</v>
      </c>
      <c r="M172" s="677">
        <f t="shared" si="54"/>
        <v>0</v>
      </c>
      <c r="N172" s="677">
        <f t="shared" si="54"/>
        <v>0</v>
      </c>
      <c r="O172" s="677">
        <f t="shared" si="54"/>
        <v>0</v>
      </c>
      <c r="P172" s="677">
        <f t="shared" si="54"/>
        <v>0</v>
      </c>
      <c r="Q172" s="677">
        <f t="shared" si="54"/>
        <v>0</v>
      </c>
      <c r="R172" s="677">
        <f t="shared" si="54"/>
        <v>0</v>
      </c>
      <c r="S172" s="677">
        <f t="shared" si="54"/>
        <v>0</v>
      </c>
      <c r="T172" s="677">
        <f t="shared" si="54"/>
        <v>0</v>
      </c>
    </row>
    <row r="173" spans="1:20" ht="13.5" customHeight="1">
      <c r="A173" s="653">
        <f>'Budget-合并'!A173</f>
        <v>0</v>
      </c>
      <c r="B173" s="653">
        <f>'Budget-合并'!B173</f>
        <v>0</v>
      </c>
      <c r="C173" s="673">
        <f>'Budget-合并'!C173</f>
        <v>0</v>
      </c>
      <c r="T173" s="652">
        <f>T12-T19-T141-T159+T171</f>
        <v>0</v>
      </c>
    </row>
    <row r="174" spans="1:20" ht="13.5" customHeight="1">
      <c r="A174" s="653" t="str">
        <f>'Budget-合并'!A174</f>
        <v>6051</v>
      </c>
      <c r="B174" s="653" t="str">
        <f>'Budget-合并'!B174</f>
        <v>其他业务收入</v>
      </c>
      <c r="C174" s="673">
        <f>'Budget-合并'!C174</f>
        <v>0</v>
      </c>
      <c r="D174" s="676">
        <f t="shared" ref="D174:D183" si="55">INDEX($H$8:$S$8,1,MATCH($D$6,$H$6:$S$6))</f>
        <v>0</v>
      </c>
      <c r="F174" s="676">
        <f t="shared" ref="F174:F183" ca="1" si="56">SUM($H174:OFFSET($H174,0,MATCH(F$6,$H$6:$S$6)-1))</f>
        <v>0</v>
      </c>
      <c r="H174" s="676"/>
      <c r="I174" s="676"/>
      <c r="J174" s="676"/>
      <c r="K174" s="676"/>
      <c r="L174" s="676"/>
      <c r="M174" s="676"/>
      <c r="N174" s="676"/>
      <c r="O174" s="676"/>
      <c r="P174" s="676"/>
      <c r="Q174" s="676"/>
      <c r="R174" s="676"/>
      <c r="S174" s="676"/>
      <c r="T174" s="676">
        <f t="shared" si="53"/>
        <v>0</v>
      </c>
    </row>
    <row r="175" spans="1:20" ht="13.5" customHeight="1">
      <c r="A175" s="653" t="str">
        <f>'Budget-合并'!A175</f>
        <v>6101</v>
      </c>
      <c r="B175" s="653" t="str">
        <f>'Budget-合并'!B175</f>
        <v>公允价值变动损益</v>
      </c>
      <c r="C175" s="673">
        <f>'Budget-合并'!C175</f>
        <v>0</v>
      </c>
      <c r="D175" s="676">
        <f t="shared" si="55"/>
        <v>0</v>
      </c>
      <c r="F175" s="676">
        <f t="shared" ca="1" si="56"/>
        <v>0</v>
      </c>
      <c r="H175" s="676"/>
      <c r="I175" s="676"/>
      <c r="J175" s="676"/>
      <c r="K175" s="676"/>
      <c r="L175" s="676"/>
      <c r="M175" s="676"/>
      <c r="N175" s="676"/>
      <c r="O175" s="676"/>
      <c r="P175" s="676"/>
      <c r="Q175" s="676"/>
      <c r="R175" s="676"/>
      <c r="S175" s="676"/>
      <c r="T175" s="676">
        <f t="shared" si="53"/>
        <v>0</v>
      </c>
    </row>
    <row r="176" spans="1:20" ht="13.5" customHeight="1">
      <c r="A176" s="653" t="str">
        <f>'Budget-合并'!A176</f>
        <v>6111</v>
      </c>
      <c r="B176" s="653" t="str">
        <f>'Budget-合并'!B176</f>
        <v>投资收益</v>
      </c>
      <c r="C176" s="673" t="str">
        <f>'Budget-合并'!C176</f>
        <v>Gain on investment</v>
      </c>
      <c r="D176" s="676">
        <f t="shared" si="55"/>
        <v>0</v>
      </c>
      <c r="F176" s="676">
        <f t="shared" ca="1" si="56"/>
        <v>0</v>
      </c>
      <c r="H176" s="676"/>
      <c r="I176" s="676"/>
      <c r="J176" s="676"/>
      <c r="K176" s="676"/>
      <c r="L176" s="676"/>
      <c r="M176" s="676"/>
      <c r="N176" s="676"/>
      <c r="O176" s="676"/>
      <c r="P176" s="676"/>
      <c r="Q176" s="676"/>
      <c r="R176" s="676"/>
      <c r="S176" s="676"/>
      <c r="T176" s="676">
        <f t="shared" si="53"/>
        <v>0</v>
      </c>
    </row>
    <row r="177" spans="1:20" ht="13.5" customHeight="1">
      <c r="A177" s="663" t="str">
        <f>'Budget-合并'!A177</f>
        <v>6115</v>
      </c>
      <c r="B177" s="678" t="str">
        <f>'Budget-合并'!B177</f>
        <v>其他收益</v>
      </c>
      <c r="C177" s="673" t="str">
        <f>'Budget-合并'!C177</f>
        <v>Other income</v>
      </c>
      <c r="D177" s="676">
        <f t="shared" si="55"/>
        <v>0</v>
      </c>
      <c r="F177" s="676">
        <f t="shared" ca="1" si="56"/>
        <v>0</v>
      </c>
      <c r="H177" s="676">
        <f t="shared" ref="H177:S177" si="57">SUM(H178:H180)</f>
        <v>0</v>
      </c>
      <c r="I177" s="676">
        <f t="shared" si="57"/>
        <v>0</v>
      </c>
      <c r="J177" s="676">
        <f t="shared" si="57"/>
        <v>0</v>
      </c>
      <c r="K177" s="676">
        <f t="shared" si="57"/>
        <v>0</v>
      </c>
      <c r="L177" s="676">
        <f t="shared" si="57"/>
        <v>0</v>
      </c>
      <c r="M177" s="676">
        <f t="shared" si="57"/>
        <v>0</v>
      </c>
      <c r="N177" s="676">
        <f t="shared" si="57"/>
        <v>0</v>
      </c>
      <c r="O177" s="676">
        <f t="shared" si="57"/>
        <v>0</v>
      </c>
      <c r="P177" s="676">
        <f t="shared" si="57"/>
        <v>0</v>
      </c>
      <c r="Q177" s="676">
        <f t="shared" si="57"/>
        <v>0</v>
      </c>
      <c r="R177" s="676">
        <f t="shared" si="57"/>
        <v>0</v>
      </c>
      <c r="S177" s="676">
        <f t="shared" si="57"/>
        <v>0</v>
      </c>
      <c r="T177" s="676">
        <f t="shared" si="53"/>
        <v>0</v>
      </c>
    </row>
    <row r="178" spans="1:20" ht="13.5" customHeight="1">
      <c r="A178" s="653" t="str">
        <f>'Budget-合并'!A178</f>
        <v>6115.01</v>
      </c>
      <c r="B178" s="653" t="str">
        <f>'Budget-合并'!B178</f>
        <v>政府补助</v>
      </c>
      <c r="C178" s="673">
        <f>'Budget-合并'!C178</f>
        <v>0</v>
      </c>
      <c r="D178" s="676">
        <f t="shared" si="55"/>
        <v>0</v>
      </c>
      <c r="F178" s="676">
        <f t="shared" ca="1" si="56"/>
        <v>0</v>
      </c>
      <c r="H178" s="676"/>
      <c r="I178" s="676"/>
      <c r="J178" s="676"/>
      <c r="K178" s="676"/>
      <c r="L178" s="676"/>
      <c r="M178" s="676"/>
      <c r="N178" s="676"/>
      <c r="O178" s="676"/>
      <c r="P178" s="676"/>
      <c r="Q178" s="676"/>
      <c r="R178" s="676"/>
      <c r="S178" s="676"/>
      <c r="T178" s="676">
        <f t="shared" si="53"/>
        <v>0</v>
      </c>
    </row>
    <row r="179" spans="1:20" ht="13.5" customHeight="1">
      <c r="A179" s="653" t="str">
        <f>'Budget-合并'!A179</f>
        <v>6115.02</v>
      </c>
      <c r="B179" s="653" t="str">
        <f>'Budget-合并'!B179</f>
        <v>个税手续费返还</v>
      </c>
      <c r="C179" s="673">
        <f>'Budget-合并'!C179</f>
        <v>0</v>
      </c>
      <c r="D179" s="676">
        <f t="shared" si="55"/>
        <v>0</v>
      </c>
      <c r="F179" s="676">
        <f t="shared" ca="1" si="56"/>
        <v>0</v>
      </c>
      <c r="H179" s="676"/>
      <c r="I179" s="676"/>
      <c r="J179" s="676"/>
      <c r="K179" s="676"/>
      <c r="L179" s="676"/>
      <c r="M179" s="676"/>
      <c r="N179" s="676"/>
      <c r="O179" s="676"/>
      <c r="P179" s="676"/>
      <c r="Q179" s="676"/>
      <c r="R179" s="676"/>
      <c r="S179" s="676"/>
      <c r="T179" s="676">
        <f t="shared" si="53"/>
        <v>0</v>
      </c>
    </row>
    <row r="180" spans="1:20" ht="13.5" customHeight="1">
      <c r="A180" s="653" t="str">
        <f>'Budget-合并'!A180</f>
        <v>6115.99</v>
      </c>
      <c r="B180" s="653" t="str">
        <f>'Budget-合并'!B180</f>
        <v>其他</v>
      </c>
      <c r="C180" s="673">
        <f>'Budget-合并'!C180</f>
        <v>0</v>
      </c>
      <c r="D180" s="676">
        <f t="shared" si="55"/>
        <v>0</v>
      </c>
      <c r="F180" s="676">
        <f t="shared" ca="1" si="56"/>
        <v>0</v>
      </c>
      <c r="H180" s="676"/>
      <c r="I180" s="676"/>
      <c r="J180" s="676"/>
      <c r="K180" s="676"/>
      <c r="L180" s="676"/>
      <c r="M180" s="676"/>
      <c r="N180" s="676"/>
      <c r="O180" s="676"/>
      <c r="P180" s="676"/>
      <c r="Q180" s="676"/>
      <c r="R180" s="676"/>
      <c r="S180" s="676"/>
      <c r="T180" s="676">
        <f t="shared" si="53"/>
        <v>0</v>
      </c>
    </row>
    <row r="181" spans="1:20" ht="13.5" customHeight="1">
      <c r="A181" s="653" t="str">
        <f>'Budget-合并'!A181</f>
        <v>6117</v>
      </c>
      <c r="B181" s="653" t="str">
        <f>'Budget-合并'!B181</f>
        <v>资产处置损益</v>
      </c>
      <c r="C181" s="673">
        <f>'Budget-合并'!C181</f>
        <v>0</v>
      </c>
      <c r="D181" s="676">
        <f t="shared" si="55"/>
        <v>0</v>
      </c>
      <c r="F181" s="676">
        <f t="shared" ca="1" si="56"/>
        <v>0</v>
      </c>
      <c r="H181" s="676"/>
      <c r="I181" s="676"/>
      <c r="J181" s="676"/>
      <c r="K181" s="676"/>
      <c r="L181" s="676"/>
      <c r="M181" s="676"/>
      <c r="N181" s="676"/>
      <c r="O181" s="676"/>
      <c r="P181" s="676"/>
      <c r="Q181" s="676"/>
      <c r="R181" s="676"/>
      <c r="S181" s="676"/>
      <c r="T181" s="676">
        <f t="shared" si="53"/>
        <v>0</v>
      </c>
    </row>
    <row r="182" spans="1:20" ht="13.5" customHeight="1">
      <c r="A182" s="653" t="str">
        <f>'Budget-合并'!A182</f>
        <v>6118</v>
      </c>
      <c r="B182" s="653" t="str">
        <f>'Budget-合并'!B182</f>
        <v>净敞口套期损益</v>
      </c>
      <c r="C182" s="673">
        <f>'Budget-合并'!C182</f>
        <v>0</v>
      </c>
      <c r="D182" s="676">
        <f t="shared" si="55"/>
        <v>0</v>
      </c>
      <c r="F182" s="676">
        <f t="shared" ca="1" si="56"/>
        <v>0</v>
      </c>
      <c r="H182" s="676"/>
      <c r="I182" s="676"/>
      <c r="J182" s="676"/>
      <c r="K182" s="676"/>
      <c r="L182" s="676"/>
      <c r="M182" s="676"/>
      <c r="N182" s="676"/>
      <c r="O182" s="676"/>
      <c r="P182" s="676"/>
      <c r="Q182" s="676"/>
      <c r="R182" s="676"/>
      <c r="S182" s="676"/>
      <c r="T182" s="676">
        <f t="shared" si="53"/>
        <v>0</v>
      </c>
    </row>
    <row r="183" spans="1:20" ht="13.5" customHeight="1">
      <c r="A183" s="672">
        <f>'Budget-合并'!A183</f>
        <v>0</v>
      </c>
      <c r="B183" s="672" t="str">
        <f>'Budget-合并'!B183</f>
        <v>其他收益合计</v>
      </c>
      <c r="C183" s="673">
        <f>'Budget-合并'!C183</f>
        <v>0</v>
      </c>
      <c r="D183" s="677">
        <f t="shared" si="55"/>
        <v>0</v>
      </c>
      <c r="F183" s="677">
        <f t="shared" ca="1" si="56"/>
        <v>0</v>
      </c>
      <c r="H183" s="677">
        <f t="shared" ref="H183:T183" si="58">SUM(H174,H174:H177,H181:H182)</f>
        <v>0</v>
      </c>
      <c r="I183" s="677">
        <f t="shared" si="58"/>
        <v>0</v>
      </c>
      <c r="J183" s="677">
        <f t="shared" si="58"/>
        <v>0</v>
      </c>
      <c r="K183" s="677">
        <f t="shared" si="58"/>
        <v>0</v>
      </c>
      <c r="L183" s="677">
        <f t="shared" si="58"/>
        <v>0</v>
      </c>
      <c r="M183" s="677">
        <f t="shared" si="58"/>
        <v>0</v>
      </c>
      <c r="N183" s="677">
        <f t="shared" si="58"/>
        <v>0</v>
      </c>
      <c r="O183" s="677">
        <f t="shared" si="58"/>
        <v>0</v>
      </c>
      <c r="P183" s="677">
        <f t="shared" si="58"/>
        <v>0</v>
      </c>
      <c r="Q183" s="677">
        <f t="shared" si="58"/>
        <v>0</v>
      </c>
      <c r="R183" s="677">
        <f t="shared" si="58"/>
        <v>0</v>
      </c>
      <c r="S183" s="677">
        <f t="shared" si="58"/>
        <v>0</v>
      </c>
      <c r="T183" s="677">
        <f t="shared" si="58"/>
        <v>0</v>
      </c>
    </row>
    <row r="184" spans="1:20" ht="13.5" customHeight="1">
      <c r="A184" s="653">
        <f>'Budget-合并'!A184</f>
        <v>0</v>
      </c>
      <c r="B184" s="653">
        <f>'Budget-合并'!B184</f>
        <v>0</v>
      </c>
      <c r="C184" s="673">
        <f>'Budget-合并'!C184</f>
        <v>0</v>
      </c>
      <c r="T184" s="652">
        <f t="shared" ref="T184:T198" si="59">SUM(H184:S184)</f>
        <v>0</v>
      </c>
    </row>
    <row r="185" spans="1:20" ht="13.5" customHeight="1">
      <c r="A185" s="672">
        <f>'Budget-合并'!A185</f>
        <v>0</v>
      </c>
      <c r="B185" s="672" t="str">
        <f>'Budget-合并'!B185</f>
        <v>营业利润</v>
      </c>
      <c r="C185" s="673">
        <f>'Budget-合并'!C185</f>
        <v>0</v>
      </c>
      <c r="D185" s="677">
        <f t="shared" ref="D185:D199" si="60">INDEX($H$8:$S$8,1,MATCH($D$6,$H$6:$S$6))</f>
        <v>0</v>
      </c>
      <c r="F185" s="677">
        <f t="shared" ref="F185:F199" ca="1" si="61">SUM($H185:OFFSET($H185,0,MATCH(F$6,$H$6:$S$6)-1))</f>
        <v>0</v>
      </c>
      <c r="H185" s="677">
        <f t="shared" ref="H185:S185" si="62">H12-H19-H42-H153-H172+H183</f>
        <v>0</v>
      </c>
      <c r="I185" s="677">
        <f t="shared" si="62"/>
        <v>0</v>
      </c>
      <c r="J185" s="677">
        <f t="shared" si="62"/>
        <v>0</v>
      </c>
      <c r="K185" s="677">
        <f t="shared" si="62"/>
        <v>0</v>
      </c>
      <c r="L185" s="677">
        <f t="shared" si="62"/>
        <v>0</v>
      </c>
      <c r="M185" s="677">
        <f t="shared" si="62"/>
        <v>0</v>
      </c>
      <c r="N185" s="677">
        <f t="shared" si="62"/>
        <v>0</v>
      </c>
      <c r="O185" s="677">
        <f t="shared" si="62"/>
        <v>0</v>
      </c>
      <c r="P185" s="677">
        <f t="shared" si="62"/>
        <v>0</v>
      </c>
      <c r="Q185" s="677">
        <f t="shared" si="62"/>
        <v>0</v>
      </c>
      <c r="R185" s="677">
        <f t="shared" si="62"/>
        <v>0</v>
      </c>
      <c r="S185" s="677">
        <f t="shared" si="62"/>
        <v>0</v>
      </c>
      <c r="T185" s="654">
        <f t="shared" si="59"/>
        <v>0</v>
      </c>
    </row>
    <row r="186" spans="1:20" ht="13.5" customHeight="1">
      <c r="A186" s="653">
        <f>'Budget-合并'!A186</f>
        <v>0</v>
      </c>
      <c r="B186" s="653">
        <f>'Budget-合并'!B186</f>
        <v>0</v>
      </c>
      <c r="C186" s="673">
        <f>'Budget-合并'!C186</f>
        <v>0</v>
      </c>
    </row>
    <row r="187" spans="1:20" ht="13.5" customHeight="1">
      <c r="A187" s="653" t="str">
        <f>'Budget-合并'!A187</f>
        <v>6301</v>
      </c>
      <c r="B187" s="653" t="str">
        <f>'Budget-合并'!B187</f>
        <v>营业外收入</v>
      </c>
      <c r="C187" s="673">
        <f>'Budget-合并'!C187</f>
        <v>0</v>
      </c>
      <c r="D187" s="676">
        <f t="shared" si="60"/>
        <v>0</v>
      </c>
      <c r="F187" s="676">
        <f t="shared" ca="1" si="61"/>
        <v>0</v>
      </c>
      <c r="H187" s="676">
        <f t="shared" ref="H187:S187" si="63">SUM(H188:H192)</f>
        <v>0</v>
      </c>
      <c r="I187" s="676">
        <f t="shared" si="63"/>
        <v>0</v>
      </c>
      <c r="J187" s="676">
        <f t="shared" si="63"/>
        <v>0</v>
      </c>
      <c r="K187" s="676">
        <f t="shared" si="63"/>
        <v>0</v>
      </c>
      <c r="L187" s="676">
        <f t="shared" si="63"/>
        <v>0</v>
      </c>
      <c r="M187" s="676">
        <f t="shared" si="63"/>
        <v>0</v>
      </c>
      <c r="N187" s="676">
        <f t="shared" si="63"/>
        <v>0</v>
      </c>
      <c r="O187" s="676">
        <f t="shared" si="63"/>
        <v>0</v>
      </c>
      <c r="P187" s="676">
        <f t="shared" si="63"/>
        <v>0</v>
      </c>
      <c r="Q187" s="676">
        <f t="shared" si="63"/>
        <v>0</v>
      </c>
      <c r="R187" s="676">
        <f t="shared" si="63"/>
        <v>0</v>
      </c>
      <c r="S187" s="676">
        <f t="shared" si="63"/>
        <v>0</v>
      </c>
      <c r="T187" s="676">
        <f t="shared" si="59"/>
        <v>0</v>
      </c>
    </row>
    <row r="188" spans="1:20" ht="13.5" customHeight="1">
      <c r="A188" s="653" t="str">
        <f>'Budget-合并'!A188</f>
        <v>6301.01</v>
      </c>
      <c r="B188" s="653" t="str">
        <f>'Budget-合并'!B188</f>
        <v>非流动资产处置利得</v>
      </c>
      <c r="C188" s="673">
        <f>'Budget-合并'!C188</f>
        <v>0</v>
      </c>
      <c r="D188" s="676">
        <f t="shared" si="60"/>
        <v>0</v>
      </c>
      <c r="F188" s="676">
        <f t="shared" ca="1" si="61"/>
        <v>0</v>
      </c>
      <c r="H188" s="676"/>
      <c r="I188" s="676"/>
      <c r="J188" s="676"/>
      <c r="K188" s="676"/>
      <c r="L188" s="676"/>
      <c r="M188" s="676"/>
      <c r="N188" s="676"/>
      <c r="O188" s="676"/>
      <c r="P188" s="676"/>
      <c r="Q188" s="676"/>
      <c r="R188" s="676"/>
      <c r="S188" s="676"/>
      <c r="T188" s="676">
        <f t="shared" si="59"/>
        <v>0</v>
      </c>
    </row>
    <row r="189" spans="1:20" ht="13.5" customHeight="1">
      <c r="A189" s="653" t="str">
        <f>'Budget-合并'!A189</f>
        <v>6301.02</v>
      </c>
      <c r="B189" s="653" t="str">
        <f>'Budget-合并'!B189</f>
        <v>债务重组利得</v>
      </c>
      <c r="C189" s="673">
        <f>'Budget-合并'!C189</f>
        <v>0</v>
      </c>
      <c r="D189" s="676">
        <f t="shared" si="60"/>
        <v>0</v>
      </c>
      <c r="F189" s="676">
        <f t="shared" ca="1" si="61"/>
        <v>0</v>
      </c>
      <c r="H189" s="676"/>
      <c r="I189" s="676"/>
      <c r="J189" s="676"/>
      <c r="K189" s="676"/>
      <c r="L189" s="676"/>
      <c r="M189" s="676"/>
      <c r="N189" s="676"/>
      <c r="O189" s="676"/>
      <c r="P189" s="676"/>
      <c r="Q189" s="676"/>
      <c r="R189" s="676"/>
      <c r="S189" s="676"/>
      <c r="T189" s="676">
        <f t="shared" si="59"/>
        <v>0</v>
      </c>
    </row>
    <row r="190" spans="1:20" ht="13.5" customHeight="1">
      <c r="A190" s="653" t="str">
        <f>'Budget-合并'!A190</f>
        <v>6301.03</v>
      </c>
      <c r="B190" s="653" t="str">
        <f>'Budget-合并'!B190</f>
        <v>盘盈利得</v>
      </c>
      <c r="C190" s="673">
        <f>'Budget-合并'!C190</f>
        <v>0</v>
      </c>
      <c r="D190" s="676">
        <f t="shared" si="60"/>
        <v>0</v>
      </c>
      <c r="F190" s="676">
        <f t="shared" ca="1" si="61"/>
        <v>0</v>
      </c>
      <c r="H190" s="676"/>
      <c r="I190" s="676"/>
      <c r="J190" s="676"/>
      <c r="K190" s="676"/>
      <c r="L190" s="676"/>
      <c r="M190" s="676"/>
      <c r="N190" s="676"/>
      <c r="O190" s="676"/>
      <c r="P190" s="676"/>
      <c r="Q190" s="676"/>
      <c r="R190" s="676"/>
      <c r="S190" s="676"/>
      <c r="T190" s="676">
        <f t="shared" si="59"/>
        <v>0</v>
      </c>
    </row>
    <row r="191" spans="1:20" ht="13.5" customHeight="1">
      <c r="A191" s="653" t="str">
        <f>'Budget-合并'!A191</f>
        <v>6301.04</v>
      </c>
      <c r="B191" s="653" t="str">
        <f>'Budget-合并'!B191</f>
        <v>捐赠利得</v>
      </c>
      <c r="C191" s="673">
        <f>'Budget-合并'!C191</f>
        <v>0</v>
      </c>
      <c r="D191" s="676">
        <f t="shared" si="60"/>
        <v>0</v>
      </c>
      <c r="F191" s="676">
        <f t="shared" ca="1" si="61"/>
        <v>0</v>
      </c>
      <c r="H191" s="676"/>
      <c r="I191" s="676"/>
      <c r="J191" s="676"/>
      <c r="K191" s="676"/>
      <c r="L191" s="676"/>
      <c r="M191" s="676"/>
      <c r="N191" s="676"/>
      <c r="O191" s="676"/>
      <c r="P191" s="676"/>
      <c r="Q191" s="676"/>
      <c r="R191" s="676"/>
      <c r="S191" s="676"/>
      <c r="T191" s="676">
        <f t="shared" si="59"/>
        <v>0</v>
      </c>
    </row>
    <row r="192" spans="1:20" ht="13.5" customHeight="1">
      <c r="A192" s="653" t="str">
        <f>'Budget-合并'!A192</f>
        <v>6301.99</v>
      </c>
      <c r="B192" s="653" t="str">
        <f>'Budget-合并'!B192</f>
        <v>其他</v>
      </c>
      <c r="C192" s="673">
        <f>'Budget-合并'!C192</f>
        <v>0</v>
      </c>
      <c r="D192" s="676">
        <f t="shared" si="60"/>
        <v>0</v>
      </c>
      <c r="F192" s="676">
        <f t="shared" ca="1" si="61"/>
        <v>0</v>
      </c>
      <c r="H192" s="676"/>
      <c r="I192" s="676"/>
      <c r="J192" s="676"/>
      <c r="K192" s="676"/>
      <c r="L192" s="676"/>
      <c r="M192" s="676"/>
      <c r="N192" s="676"/>
      <c r="O192" s="676"/>
      <c r="P192" s="676"/>
      <c r="Q192" s="676"/>
      <c r="R192" s="676"/>
      <c r="S192" s="676"/>
      <c r="T192" s="676">
        <f t="shared" si="59"/>
        <v>0</v>
      </c>
    </row>
    <row r="193" spans="1:20" ht="13.5" customHeight="1">
      <c r="A193" s="653" t="str">
        <f>'Budget-合并'!A193</f>
        <v>6402</v>
      </c>
      <c r="B193" s="653" t="str">
        <f>'Budget-合并'!B193</f>
        <v>其他业务成本</v>
      </c>
      <c r="C193" s="673">
        <f>'Budget-合并'!C193</f>
        <v>0</v>
      </c>
      <c r="D193" s="676">
        <f t="shared" si="60"/>
        <v>0</v>
      </c>
      <c r="F193" s="676">
        <f t="shared" ca="1" si="61"/>
        <v>0</v>
      </c>
      <c r="H193" s="676"/>
      <c r="I193" s="676"/>
      <c r="J193" s="676"/>
      <c r="K193" s="676"/>
      <c r="L193" s="676"/>
      <c r="M193" s="676"/>
      <c r="N193" s="676"/>
      <c r="O193" s="676"/>
      <c r="P193" s="676"/>
      <c r="Q193" s="676"/>
      <c r="R193" s="676"/>
      <c r="S193" s="676"/>
      <c r="T193" s="676">
        <f t="shared" si="59"/>
        <v>0</v>
      </c>
    </row>
    <row r="194" spans="1:20" ht="13.5" customHeight="1">
      <c r="A194" s="653" t="str">
        <f>'Budget-合并'!A194</f>
        <v>6701</v>
      </c>
      <c r="B194" s="653" t="str">
        <f>'Budget-合并'!B194</f>
        <v>资产减值损失</v>
      </c>
      <c r="C194" s="673" t="str">
        <f>'Budget-合并'!C194</f>
        <v>Impairment loss</v>
      </c>
      <c r="D194" s="676">
        <f t="shared" si="60"/>
        <v>0</v>
      </c>
      <c r="F194" s="676">
        <f t="shared" ca="1" si="61"/>
        <v>0</v>
      </c>
      <c r="H194" s="676"/>
      <c r="I194" s="676"/>
      <c r="J194" s="676"/>
      <c r="K194" s="676"/>
      <c r="L194" s="676"/>
      <c r="M194" s="676"/>
      <c r="N194" s="676"/>
      <c r="O194" s="676"/>
      <c r="P194" s="676"/>
      <c r="Q194" s="676"/>
      <c r="R194" s="676"/>
      <c r="S194" s="676"/>
      <c r="T194" s="676">
        <f t="shared" si="59"/>
        <v>0</v>
      </c>
    </row>
    <row r="195" spans="1:20" s="651" customFormat="1" ht="13.5" customHeight="1">
      <c r="A195" s="653" t="str">
        <f>'Budget-合并'!A195</f>
        <v>6711</v>
      </c>
      <c r="B195" s="653" t="str">
        <f>'Budget-合并'!B195</f>
        <v>营业外支出</v>
      </c>
      <c r="C195" s="673">
        <f>'Budget-合并'!C195</f>
        <v>0</v>
      </c>
      <c r="D195" s="676">
        <f t="shared" si="60"/>
        <v>0</v>
      </c>
      <c r="E195" s="654"/>
      <c r="F195" s="676">
        <f t="shared" ca="1" si="61"/>
        <v>0</v>
      </c>
      <c r="G195" s="654"/>
      <c r="H195" s="676">
        <f t="shared" ref="H195:S195" si="64">SUM(H196:H197)</f>
        <v>0</v>
      </c>
      <c r="I195" s="676">
        <f t="shared" si="64"/>
        <v>0</v>
      </c>
      <c r="J195" s="676">
        <f t="shared" si="64"/>
        <v>0</v>
      </c>
      <c r="K195" s="676">
        <f t="shared" si="64"/>
        <v>0</v>
      </c>
      <c r="L195" s="676">
        <f t="shared" si="64"/>
        <v>0</v>
      </c>
      <c r="M195" s="676">
        <f t="shared" si="64"/>
        <v>0</v>
      </c>
      <c r="N195" s="676">
        <f t="shared" si="64"/>
        <v>0</v>
      </c>
      <c r="O195" s="676">
        <f t="shared" si="64"/>
        <v>0</v>
      </c>
      <c r="P195" s="676">
        <f t="shared" si="64"/>
        <v>0</v>
      </c>
      <c r="Q195" s="676">
        <f t="shared" si="64"/>
        <v>0</v>
      </c>
      <c r="R195" s="676">
        <f t="shared" si="64"/>
        <v>0</v>
      </c>
      <c r="S195" s="676">
        <f t="shared" si="64"/>
        <v>0</v>
      </c>
      <c r="T195" s="676">
        <f t="shared" si="59"/>
        <v>0</v>
      </c>
    </row>
    <row r="196" spans="1:20" ht="13.5" customHeight="1">
      <c r="A196" s="653" t="str">
        <f>'Budget-合并'!A196</f>
        <v>6711.01</v>
      </c>
      <c r="B196" s="653" t="str">
        <f>'Budget-合并'!B196</f>
        <v>滞纳金</v>
      </c>
      <c r="C196" s="673">
        <f>'Budget-合并'!C196</f>
        <v>0</v>
      </c>
      <c r="D196" s="676">
        <f t="shared" si="60"/>
        <v>0</v>
      </c>
      <c r="F196" s="676">
        <f t="shared" ca="1" si="61"/>
        <v>0</v>
      </c>
      <c r="H196" s="676"/>
      <c r="I196" s="676"/>
      <c r="J196" s="676"/>
      <c r="K196" s="676"/>
      <c r="L196" s="676"/>
      <c r="M196" s="676"/>
      <c r="N196" s="676"/>
      <c r="O196" s="676"/>
      <c r="P196" s="676"/>
      <c r="Q196" s="676"/>
      <c r="R196" s="676"/>
      <c r="S196" s="676"/>
      <c r="T196" s="676">
        <f t="shared" si="59"/>
        <v>0</v>
      </c>
    </row>
    <row r="197" spans="1:20" ht="13.5" customHeight="1">
      <c r="A197" s="653" t="str">
        <f>'Budget-合并'!A197</f>
        <v>6711.02</v>
      </c>
      <c r="B197" s="653" t="str">
        <f>'Budget-合并'!B197</f>
        <v>非流动资产处置损失</v>
      </c>
      <c r="C197" s="673">
        <f>'Budget-合并'!C197</f>
        <v>0</v>
      </c>
      <c r="D197" s="676">
        <f t="shared" si="60"/>
        <v>0</v>
      </c>
      <c r="F197" s="676">
        <f t="shared" ca="1" si="61"/>
        <v>0</v>
      </c>
      <c r="H197" s="676"/>
      <c r="I197" s="676"/>
      <c r="J197" s="676"/>
      <c r="K197" s="676"/>
      <c r="L197" s="676"/>
      <c r="M197" s="676"/>
      <c r="N197" s="676"/>
      <c r="O197" s="676"/>
      <c r="P197" s="676"/>
      <c r="Q197" s="676"/>
      <c r="R197" s="676"/>
      <c r="S197" s="676"/>
      <c r="T197" s="676">
        <f t="shared" si="59"/>
        <v>0</v>
      </c>
    </row>
    <row r="198" spans="1:20" ht="13.5" customHeight="1">
      <c r="A198" s="653" t="str">
        <f>'Budget-合并'!A198</f>
        <v>6901</v>
      </c>
      <c r="B198" s="653" t="str">
        <f>'Budget-合并'!B198</f>
        <v>以前年度损益调整</v>
      </c>
      <c r="C198" s="673">
        <f>'Budget-合并'!C198</f>
        <v>0</v>
      </c>
      <c r="D198" s="676">
        <f t="shared" si="60"/>
        <v>0</v>
      </c>
      <c r="F198" s="676">
        <f t="shared" ca="1" si="61"/>
        <v>0</v>
      </c>
      <c r="H198" s="676"/>
      <c r="I198" s="676"/>
      <c r="J198" s="676"/>
      <c r="K198" s="676"/>
      <c r="L198" s="676"/>
      <c r="M198" s="676"/>
      <c r="N198" s="676"/>
      <c r="O198" s="676"/>
      <c r="P198" s="676"/>
      <c r="Q198" s="676"/>
      <c r="R198" s="676"/>
      <c r="S198" s="676"/>
      <c r="T198" s="676">
        <f t="shared" si="59"/>
        <v>0</v>
      </c>
    </row>
    <row r="199" spans="1:20" ht="13.5" customHeight="1">
      <c r="A199" s="672">
        <f>'Budget-合并'!A199</f>
        <v>0</v>
      </c>
      <c r="B199" s="672" t="str">
        <f>'Budget-合并'!B199</f>
        <v>营业外收入 (支-, 收+):</v>
      </c>
      <c r="C199" s="673">
        <f>'Budget-合并'!C199</f>
        <v>0</v>
      </c>
      <c r="D199" s="677">
        <f t="shared" si="60"/>
        <v>0</v>
      </c>
      <c r="F199" s="677">
        <f t="shared" ca="1" si="61"/>
        <v>0</v>
      </c>
      <c r="H199" s="677">
        <f t="shared" ref="H199:T199" si="65">H187-H193-H194-H195+H198</f>
        <v>0</v>
      </c>
      <c r="I199" s="677">
        <f t="shared" si="65"/>
        <v>0</v>
      </c>
      <c r="J199" s="677">
        <f t="shared" si="65"/>
        <v>0</v>
      </c>
      <c r="K199" s="677">
        <f t="shared" si="65"/>
        <v>0</v>
      </c>
      <c r="L199" s="677">
        <f t="shared" si="65"/>
        <v>0</v>
      </c>
      <c r="M199" s="677">
        <f t="shared" si="65"/>
        <v>0</v>
      </c>
      <c r="N199" s="677">
        <f t="shared" si="65"/>
        <v>0</v>
      </c>
      <c r="O199" s="677">
        <f t="shared" si="65"/>
        <v>0</v>
      </c>
      <c r="P199" s="677">
        <f t="shared" si="65"/>
        <v>0</v>
      </c>
      <c r="Q199" s="677">
        <f t="shared" si="65"/>
        <v>0</v>
      </c>
      <c r="R199" s="677">
        <f t="shared" si="65"/>
        <v>0</v>
      </c>
      <c r="S199" s="677">
        <f t="shared" si="65"/>
        <v>0</v>
      </c>
      <c r="T199" s="677">
        <f t="shared" si="65"/>
        <v>0</v>
      </c>
    </row>
    <row r="200" spans="1:20" ht="13.5" customHeight="1">
      <c r="A200" s="653">
        <f>'Budget-合并'!A200</f>
        <v>0</v>
      </c>
      <c r="B200" s="653">
        <f>'Budget-合并'!B200</f>
        <v>0</v>
      </c>
      <c r="C200" s="673">
        <f>'Budget-合并'!C200</f>
        <v>0</v>
      </c>
    </row>
    <row r="201" spans="1:20" ht="13.5" customHeight="1">
      <c r="A201" s="672">
        <f>'Budget-合并'!A201</f>
        <v>0</v>
      </c>
      <c r="B201" s="672" t="str">
        <f>'Budget-合并'!B201</f>
        <v>利润总额 (税前利润)</v>
      </c>
      <c r="C201" s="673">
        <f>'Budget-合并'!C201</f>
        <v>0</v>
      </c>
      <c r="D201" s="677">
        <f t="shared" ref="D201:D205" si="66">INDEX($H$8:$S$8,1,MATCH($D$6,$H$6:$S$6))</f>
        <v>0</v>
      </c>
      <c r="F201" s="677">
        <f t="shared" ref="F201:F205" ca="1" si="67">SUM($H201:OFFSET($H201,0,MATCH(F$6,$H$6:$S$6)-1))</f>
        <v>0</v>
      </c>
      <c r="H201" s="677">
        <f t="shared" ref="H201:T201" si="68">H185+H199</f>
        <v>0</v>
      </c>
      <c r="I201" s="677">
        <f t="shared" si="68"/>
        <v>0</v>
      </c>
      <c r="J201" s="677">
        <f t="shared" si="68"/>
        <v>0</v>
      </c>
      <c r="K201" s="677">
        <f t="shared" si="68"/>
        <v>0</v>
      </c>
      <c r="L201" s="677">
        <f t="shared" si="68"/>
        <v>0</v>
      </c>
      <c r="M201" s="677">
        <f t="shared" si="68"/>
        <v>0</v>
      </c>
      <c r="N201" s="677">
        <f t="shared" si="68"/>
        <v>0</v>
      </c>
      <c r="O201" s="677">
        <f t="shared" si="68"/>
        <v>0</v>
      </c>
      <c r="P201" s="677">
        <f t="shared" si="68"/>
        <v>0</v>
      </c>
      <c r="Q201" s="677">
        <f t="shared" si="68"/>
        <v>0</v>
      </c>
      <c r="R201" s="677">
        <f t="shared" si="68"/>
        <v>0</v>
      </c>
      <c r="S201" s="677">
        <f t="shared" si="68"/>
        <v>0</v>
      </c>
      <c r="T201" s="677">
        <f t="shared" si="68"/>
        <v>0</v>
      </c>
    </row>
    <row r="202" spans="1:20" ht="13.5" customHeight="1">
      <c r="A202" s="653">
        <f>'Budget-合并'!A202</f>
        <v>0</v>
      </c>
      <c r="B202" s="653">
        <f>'Budget-合并'!B202</f>
        <v>0</v>
      </c>
      <c r="C202" s="673">
        <f>'Budget-合并'!C202</f>
        <v>0</v>
      </c>
    </row>
    <row r="203" spans="1:20" ht="13.5" customHeight="1">
      <c r="A203" s="653" t="str">
        <f>'Budget-合并'!A203</f>
        <v>6801.01</v>
      </c>
      <c r="B203" s="653" t="str">
        <f>'Budget-合并'!B203</f>
        <v>当期所得税费用</v>
      </c>
      <c r="C203" s="673" t="str">
        <f>'Budget-合并'!C203</f>
        <v>Enterprise Income Tax</v>
      </c>
      <c r="D203" s="676">
        <f t="shared" si="66"/>
        <v>0</v>
      </c>
      <c r="F203" s="676">
        <f t="shared" ca="1" si="67"/>
        <v>0</v>
      </c>
      <c r="H203" s="676"/>
      <c r="I203" s="676"/>
      <c r="J203" s="676"/>
      <c r="K203" s="676"/>
      <c r="L203" s="676"/>
      <c r="M203" s="676"/>
      <c r="N203" s="676"/>
      <c r="O203" s="676"/>
      <c r="P203" s="676"/>
      <c r="Q203" s="676"/>
      <c r="R203" s="676"/>
      <c r="S203" s="676"/>
      <c r="T203" s="676">
        <f t="shared" ref="T203:T205" si="69">SUM(H203:S203)</f>
        <v>0</v>
      </c>
    </row>
    <row r="204" spans="1:20" ht="13.5" customHeight="1">
      <c r="A204" s="653" t="str">
        <f>'Budget-合并'!A204</f>
        <v>6801.02</v>
      </c>
      <c r="B204" s="653" t="str">
        <f>'Budget-合并'!B204</f>
        <v>递延所得税费用</v>
      </c>
      <c r="C204" s="673">
        <f>'Budget-合并'!C204</f>
        <v>0</v>
      </c>
      <c r="D204" s="676">
        <f t="shared" si="66"/>
        <v>0</v>
      </c>
      <c r="F204" s="676">
        <f t="shared" ca="1" si="67"/>
        <v>0</v>
      </c>
      <c r="H204" s="676"/>
      <c r="I204" s="676"/>
      <c r="J204" s="676"/>
      <c r="K204" s="676"/>
      <c r="L204" s="676"/>
      <c r="M204" s="676"/>
      <c r="N204" s="676"/>
      <c r="O204" s="676"/>
      <c r="P204" s="676"/>
      <c r="Q204" s="676"/>
      <c r="R204" s="676"/>
      <c r="S204" s="676"/>
      <c r="T204" s="676">
        <f t="shared" si="69"/>
        <v>0</v>
      </c>
    </row>
    <row r="205" spans="1:20" ht="13.5" customHeight="1">
      <c r="A205" s="653" t="str">
        <f>'Budget-合并'!A205</f>
        <v>6801.03</v>
      </c>
      <c r="B205" s="653" t="str">
        <f>'Budget-合并'!B205</f>
        <v>以前年度所得税费用</v>
      </c>
      <c r="C205" s="673">
        <f>'Budget-合并'!C205</f>
        <v>0</v>
      </c>
      <c r="D205" s="676">
        <f t="shared" si="66"/>
        <v>0</v>
      </c>
      <c r="F205" s="676">
        <f t="shared" ca="1" si="67"/>
        <v>0</v>
      </c>
      <c r="H205" s="676"/>
      <c r="I205" s="676"/>
      <c r="J205" s="676"/>
      <c r="K205" s="676"/>
      <c r="L205" s="676"/>
      <c r="M205" s="676"/>
      <c r="N205" s="676"/>
      <c r="O205" s="676"/>
      <c r="P205" s="676"/>
      <c r="Q205" s="676"/>
      <c r="R205" s="676"/>
      <c r="S205" s="676"/>
      <c r="T205" s="676">
        <f t="shared" si="69"/>
        <v>0</v>
      </c>
    </row>
    <row r="206" spans="1:20" ht="13.5" customHeight="1">
      <c r="A206" s="653">
        <f>'Budget-合并'!A206</f>
        <v>0</v>
      </c>
      <c r="B206" s="653">
        <f>'Budget-合并'!B206</f>
        <v>0</v>
      </c>
      <c r="C206" s="673">
        <f>'Budget-合并'!C206</f>
        <v>0</v>
      </c>
    </row>
    <row r="207" spans="1:20" ht="13.5" customHeight="1">
      <c r="A207" s="672">
        <f>'Budget-合并'!A207</f>
        <v>0</v>
      </c>
      <c r="B207" s="672" t="str">
        <f>'Budget-合并'!B207</f>
        <v>五  税后利润</v>
      </c>
      <c r="C207" s="673">
        <f>'Budget-合并'!C207</f>
        <v>0</v>
      </c>
      <c r="D207" s="677">
        <f>INDEX($H$8:$S$8,1,MATCH($D$6,$H$6:$S$6))</f>
        <v>0</v>
      </c>
      <c r="F207" s="677">
        <f ca="1">SUM($H207:OFFSET($H207,0,MATCH(F$6,$H$6:$S$6)-1))</f>
        <v>0</v>
      </c>
      <c r="H207" s="677">
        <f t="shared" ref="H207:T207" si="70">H201-H203-H204-H205</f>
        <v>0</v>
      </c>
      <c r="I207" s="677">
        <f t="shared" si="70"/>
        <v>0</v>
      </c>
      <c r="J207" s="677">
        <f t="shared" si="70"/>
        <v>0</v>
      </c>
      <c r="K207" s="677">
        <f t="shared" si="70"/>
        <v>0</v>
      </c>
      <c r="L207" s="677">
        <f t="shared" si="70"/>
        <v>0</v>
      </c>
      <c r="M207" s="677">
        <f t="shared" si="70"/>
        <v>0</v>
      </c>
      <c r="N207" s="677">
        <f t="shared" si="70"/>
        <v>0</v>
      </c>
      <c r="O207" s="677">
        <f t="shared" si="70"/>
        <v>0</v>
      </c>
      <c r="P207" s="677">
        <f t="shared" si="70"/>
        <v>0</v>
      </c>
      <c r="Q207" s="677">
        <f t="shared" si="70"/>
        <v>0</v>
      </c>
      <c r="R207" s="677">
        <f t="shared" si="70"/>
        <v>0</v>
      </c>
      <c r="S207" s="677">
        <f t="shared" si="70"/>
        <v>0</v>
      </c>
      <c r="T207" s="677">
        <f t="shared" si="70"/>
        <v>0</v>
      </c>
    </row>
    <row r="208" spans="1:20" ht="13.5" customHeight="1">
      <c r="A208" s="653">
        <f>'Budget-合并'!A208</f>
        <v>0</v>
      </c>
      <c r="C208" s="673">
        <f>'Budget-合并'!C208</f>
        <v>0</v>
      </c>
    </row>
    <row r="209" spans="1:1" ht="13.5" customHeight="1">
      <c r="A209" s="653">
        <f>'Budget-合并'!A209</f>
        <v>0</v>
      </c>
    </row>
    <row r="210" spans="1:1" ht="13.5" customHeight="1">
      <c r="A210" s="653">
        <f>'Budget-合并'!A210</f>
        <v>0</v>
      </c>
    </row>
    <row r="211" spans="1:1" ht="13.5" customHeight="1">
      <c r="A211" s="653">
        <f>'Budget-合并'!A211</f>
        <v>0</v>
      </c>
    </row>
    <row r="212" spans="1:1" ht="13.5" customHeight="1">
      <c r="A212" s="653">
        <f>'Budget-合并'!A212</f>
        <v>0</v>
      </c>
    </row>
    <row r="213" spans="1:1" ht="13.5" customHeight="1">
      <c r="A213" s="653">
        <f>'Budget-合并'!A213</f>
        <v>0</v>
      </c>
    </row>
    <row r="214" spans="1:1" ht="13.5" customHeight="1">
      <c r="A214" s="653">
        <f>'Budget-合并'!A214</f>
        <v>0</v>
      </c>
    </row>
    <row r="215" spans="1:1" ht="13.5" customHeight="1">
      <c r="A215" s="653">
        <f>'Budget-合并'!A215</f>
        <v>0</v>
      </c>
    </row>
    <row r="216" spans="1:1" ht="13.5" customHeight="1">
      <c r="A216" s="653">
        <f>'Budget-合并'!A216</f>
        <v>0</v>
      </c>
    </row>
    <row r="217" spans="1:1" ht="13.5" customHeight="1">
      <c r="A217" s="653">
        <f>'Budget-合并'!A217</f>
        <v>0</v>
      </c>
    </row>
    <row r="218" spans="1:1" ht="13.5" customHeight="1">
      <c r="A218" s="653">
        <f>'Budget-合并'!A218</f>
        <v>0</v>
      </c>
    </row>
    <row r="219" spans="1:1" ht="13.5" customHeight="1">
      <c r="A219" s="653">
        <f>'Budget-合并'!A219</f>
        <v>0</v>
      </c>
    </row>
  </sheetData>
  <conditionalFormatting sqref="H5:T5">
    <cfRule type="cellIs" dxfId="93" priority="1" stopIfTrue="1" operator="equal">
      <formula>"Actual"</formula>
    </cfRule>
    <cfRule type="cellIs" dxfId="92" priority="2" stopIfTrue="1" operator="equal">
      <formula>"Forecast"</formula>
    </cfRule>
    <cfRule type="cellIs" dxfId="91" priority="3" stopIfTrue="1" operator="equal">
      <formula>"Budget"</formula>
    </cfRule>
  </conditionalFormatting>
  <dataValidations count="1">
    <dataValidation type="list" allowBlank="1" showInputMessage="1" showErrorMessage="1" sqref="H5:T5" xr:uid="{00000000-0002-0000-1200-000000000000}">
      <formula1>"Actual,Forecast,Budget"</formula1>
    </dataValidation>
  </dataValidations>
  <printOptions horizontalCentered="1" headings="1" gridLines="1"/>
  <pageMargins left="0.39" right="0.35" top="0.59" bottom="0.59" header="0.31" footer="0.31"/>
  <pageSetup paperSize="8" scale="26" orientation="landscape" cellComments="asDisplayed" r:id="rId1"/>
  <headerFooter scaleWithDoc="0" alignWithMargins="0">
    <oddFooter>&amp;L&amp;"Arial,Regular"&amp;8&amp;Z
&amp;F  
&amp;A&amp;CPage &amp;P of &amp;N
&amp;R&amp;"Times New Roman,Regular"&amp;8&amp;D
&amp;T</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pageSetUpPr fitToPage="1"/>
  </sheetPr>
  <dimension ref="A1:T219"/>
  <sheetViews>
    <sheetView workbookViewId="0"/>
  </sheetViews>
  <sheetFormatPr defaultColWidth="8.75" defaultRowHeight="13.5" customHeight="1"/>
  <cols>
    <col min="1" max="1" width="12.375" style="652" customWidth="1"/>
    <col min="2" max="2" width="17.75" style="653" customWidth="1"/>
    <col min="3" max="3" width="15.875" style="652" customWidth="1"/>
    <col min="4" max="4" width="12.25" style="654" customWidth="1"/>
    <col min="5" max="5" width="2.625" style="654" customWidth="1"/>
    <col min="6" max="6" width="12.25" style="654" customWidth="1"/>
    <col min="7" max="7" width="2.625" style="654" customWidth="1"/>
    <col min="8" max="19" width="10.375" style="652" customWidth="1"/>
    <col min="20" max="20" width="8.5" style="652" customWidth="1"/>
    <col min="21" max="22" width="8.75" style="652" customWidth="1"/>
    <col min="23" max="16384" width="8.75" style="652"/>
  </cols>
  <sheetData>
    <row r="1" spans="1:20" s="647" customFormat="1" ht="16.5" customHeight="1">
      <c r="B1" s="655" t="s">
        <v>2482</v>
      </c>
      <c r="C1" s="656"/>
      <c r="D1" s="657" t="s">
        <v>2113</v>
      </c>
      <c r="E1" s="658"/>
      <c r="F1" s="658"/>
      <c r="G1" s="658"/>
    </row>
    <row r="2" spans="1:20" s="647" customFormat="1" ht="16.5" customHeight="1">
      <c r="B2" s="659"/>
      <c r="D2" s="658"/>
      <c r="E2" s="658"/>
      <c r="F2" s="658"/>
      <c r="G2" s="658"/>
    </row>
    <row r="3" spans="1:20" s="647" customFormat="1" ht="16.5" customHeight="1">
      <c r="B3" s="660" t="s">
        <v>2484</v>
      </c>
      <c r="C3" s="661"/>
      <c r="D3" s="658"/>
      <c r="E3" s="658"/>
      <c r="F3" s="658"/>
      <c r="G3" s="658"/>
    </row>
    <row r="4" spans="1:20" ht="16.5" customHeight="1">
      <c r="H4" s="662"/>
    </row>
    <row r="5" spans="1:20" ht="13.5" customHeight="1">
      <c r="B5" s="663"/>
      <c r="D5" s="664" t="s">
        <v>2497</v>
      </c>
      <c r="F5" s="664" t="s">
        <v>2500</v>
      </c>
      <c r="G5" s="665"/>
      <c r="H5" s="666" t="s">
        <v>2502</v>
      </c>
      <c r="I5" s="666" t="s">
        <v>2502</v>
      </c>
      <c r="J5" s="666" t="s">
        <v>2502</v>
      </c>
      <c r="K5" s="666" t="s">
        <v>2502</v>
      </c>
      <c r="L5" s="666" t="s">
        <v>2502</v>
      </c>
      <c r="M5" s="666" t="s">
        <v>2502</v>
      </c>
      <c r="N5" s="666" t="s">
        <v>2502</v>
      </c>
      <c r="O5" s="666" t="s">
        <v>2502</v>
      </c>
      <c r="P5" s="666" t="s">
        <v>2502</v>
      </c>
      <c r="Q5" s="666" t="s">
        <v>2502</v>
      </c>
      <c r="R5" s="666" t="s">
        <v>2502</v>
      </c>
      <c r="S5" s="666" t="s">
        <v>2502</v>
      </c>
      <c r="T5" s="666" t="s">
        <v>2502</v>
      </c>
    </row>
    <row r="6" spans="1:20" s="648" customFormat="1" ht="13.5" customHeight="1">
      <c r="A6" s="649" t="s">
        <v>2488</v>
      </c>
      <c r="B6" s="667"/>
      <c r="D6" s="668">
        <f>'Flash Report'!$C$2</f>
        <v>46023</v>
      </c>
      <c r="E6" s="654"/>
      <c r="F6" s="668">
        <f>D6</f>
        <v>46023</v>
      </c>
      <c r="G6" s="669"/>
      <c r="H6" s="670">
        <v>46023</v>
      </c>
      <c r="I6" s="670">
        <v>46054</v>
      </c>
      <c r="J6" s="670">
        <v>46082</v>
      </c>
      <c r="K6" s="670">
        <v>46113</v>
      </c>
      <c r="L6" s="670">
        <v>46143</v>
      </c>
      <c r="M6" s="670">
        <v>46174</v>
      </c>
      <c r="N6" s="670">
        <v>46204</v>
      </c>
      <c r="O6" s="670">
        <v>46235</v>
      </c>
      <c r="P6" s="670">
        <v>46266</v>
      </c>
      <c r="Q6" s="670">
        <v>46296</v>
      </c>
      <c r="R6" s="670">
        <v>46327</v>
      </c>
      <c r="S6" s="670">
        <v>46357</v>
      </c>
      <c r="T6" s="671" t="s">
        <v>2504</v>
      </c>
    </row>
    <row r="7" spans="1:20" s="649" customFormat="1" ht="13.5" customHeight="1">
      <c r="A7" s="653" t="str">
        <f>'Budget-合并'!A7</f>
        <v>6001</v>
      </c>
      <c r="B7" s="672" t="str">
        <f>'Budget-合并'!B7</f>
        <v>营业收入</v>
      </c>
      <c r="C7" s="673">
        <f>VLOOKUP(A7,Account!A:F,4,0)</f>
        <v>0</v>
      </c>
      <c r="D7" s="674"/>
      <c r="E7" s="674"/>
      <c r="F7" s="674"/>
      <c r="G7" s="674"/>
      <c r="H7" s="674"/>
      <c r="I7" s="674"/>
      <c r="J7" s="674"/>
      <c r="K7" s="674"/>
      <c r="L7" s="674"/>
      <c r="M7" s="674"/>
      <c r="N7" s="674"/>
      <c r="O7" s="674"/>
      <c r="P7" s="674"/>
      <c r="Q7" s="674"/>
      <c r="R7" s="674"/>
      <c r="S7" s="674"/>
      <c r="T7" s="674"/>
    </row>
    <row r="8" spans="1:20" ht="13.5" customHeight="1">
      <c r="A8" s="653" t="str">
        <f>'Budget-合并'!A8</f>
        <v>6001.01</v>
      </c>
      <c r="B8" s="675" t="str">
        <f>'Budget-合并'!B8</f>
        <v>基金管理费收入</v>
      </c>
      <c r="C8" s="673" t="str">
        <f>'Budget-合并'!C8</f>
        <v>Fund Management Fee</v>
      </c>
      <c r="D8" s="676">
        <f t="shared" ref="D8:D12" si="0">INDEX($H$8:$S$8,1,MATCH($D$6,$H$6:$S$6))</f>
        <v>0</v>
      </c>
      <c r="F8" s="676">
        <f t="shared" ref="F8:F12" ca="1" si="1">SUM($H8:OFFSET($H8,0,MATCH(F$6,$H$6:$S$6)-1))</f>
        <v>0</v>
      </c>
      <c r="H8" s="676"/>
      <c r="I8" s="676"/>
      <c r="J8" s="676"/>
      <c r="K8" s="676"/>
      <c r="L8" s="676"/>
      <c r="M8" s="676"/>
      <c r="N8" s="676"/>
      <c r="O8" s="676"/>
      <c r="P8" s="676"/>
      <c r="Q8" s="676"/>
      <c r="R8" s="676"/>
      <c r="S8" s="676"/>
      <c r="T8" s="676">
        <f t="shared" ref="T8:T11" si="2">SUM(H8:S8)</f>
        <v>0</v>
      </c>
    </row>
    <row r="9" spans="1:20" ht="13.5" customHeight="1">
      <c r="A9" s="653" t="str">
        <f>'Budget-合并'!A9</f>
        <v>6001.02</v>
      </c>
      <c r="B9" s="675" t="str">
        <f>'Budget-合并'!B9</f>
        <v>咨询服务费收入</v>
      </c>
      <c r="C9" s="673" t="str">
        <f>'Budget-合并'!C9</f>
        <v>Advisory Fee Income</v>
      </c>
      <c r="D9" s="676">
        <f t="shared" si="0"/>
        <v>0</v>
      </c>
      <c r="F9" s="676">
        <f t="shared" ca="1" si="1"/>
        <v>0</v>
      </c>
      <c r="H9" s="676">
        <f t="shared" ref="H9:S9" si="3">SUM(H10:H11)</f>
        <v>0</v>
      </c>
      <c r="I9" s="676">
        <f t="shared" si="3"/>
        <v>0</v>
      </c>
      <c r="J9" s="676">
        <f t="shared" si="3"/>
        <v>0</v>
      </c>
      <c r="K9" s="676">
        <f t="shared" si="3"/>
        <v>0</v>
      </c>
      <c r="L9" s="676">
        <f t="shared" si="3"/>
        <v>0</v>
      </c>
      <c r="M9" s="676">
        <f t="shared" si="3"/>
        <v>0</v>
      </c>
      <c r="N9" s="676">
        <f t="shared" si="3"/>
        <v>0</v>
      </c>
      <c r="O9" s="676">
        <f t="shared" si="3"/>
        <v>0</v>
      </c>
      <c r="P9" s="676">
        <f t="shared" si="3"/>
        <v>0</v>
      </c>
      <c r="Q9" s="676">
        <f t="shared" si="3"/>
        <v>0</v>
      </c>
      <c r="R9" s="676">
        <f t="shared" si="3"/>
        <v>0</v>
      </c>
      <c r="S9" s="676">
        <f t="shared" si="3"/>
        <v>0</v>
      </c>
      <c r="T9" s="676">
        <f t="shared" si="2"/>
        <v>0</v>
      </c>
    </row>
    <row r="10" spans="1:20" ht="13.5" customHeight="1">
      <c r="A10" s="653">
        <f>'Budget-合并'!A10</f>
        <v>0</v>
      </c>
      <c r="B10" s="675" t="str">
        <f>'Budget-合并'!B10</f>
        <v xml:space="preserve">   辉飏咨询服务费</v>
      </c>
      <c r="C10" s="673" t="str">
        <f>'Budget-合并'!C10</f>
        <v xml:space="preserve">  HYNE</v>
      </c>
      <c r="D10" s="676">
        <f t="shared" si="0"/>
        <v>0</v>
      </c>
      <c r="F10" s="676">
        <f t="shared" ca="1" si="1"/>
        <v>0</v>
      </c>
      <c r="H10" s="676"/>
      <c r="I10" s="676"/>
      <c r="J10" s="676"/>
      <c r="K10" s="676"/>
      <c r="L10" s="676"/>
      <c r="M10" s="676"/>
      <c r="N10" s="676"/>
      <c r="O10" s="676"/>
      <c r="P10" s="676"/>
      <c r="Q10" s="676"/>
      <c r="R10" s="676"/>
      <c r="S10" s="676"/>
      <c r="T10" s="676">
        <f t="shared" si="2"/>
        <v>0</v>
      </c>
    </row>
    <row r="11" spans="1:20" ht="13.5" customHeight="1">
      <c r="A11" s="653">
        <f>'Budget-合并'!A11</f>
        <v>0</v>
      </c>
      <c r="B11" s="675" t="str">
        <f>'Budget-合并'!B11</f>
        <v xml:space="preserve">      MAA咨询管理费</v>
      </c>
      <c r="C11" s="673" t="str">
        <f>'Budget-合并'!C11</f>
        <v xml:space="preserve">  MAA</v>
      </c>
      <c r="D11" s="676">
        <f t="shared" si="0"/>
        <v>0</v>
      </c>
      <c r="F11" s="676">
        <f t="shared" ca="1" si="1"/>
        <v>0</v>
      </c>
      <c r="H11" s="676"/>
      <c r="I11" s="676"/>
      <c r="J11" s="676"/>
      <c r="K11" s="676"/>
      <c r="L11" s="676"/>
      <c r="M11" s="676"/>
      <c r="N11" s="676"/>
      <c r="O11" s="676"/>
      <c r="P11" s="676"/>
      <c r="Q11" s="676"/>
      <c r="R11" s="676"/>
      <c r="S11" s="676"/>
      <c r="T11" s="676">
        <f t="shared" si="2"/>
        <v>0</v>
      </c>
    </row>
    <row r="12" spans="1:20" s="650" customFormat="1" ht="13.5" customHeight="1">
      <c r="A12" s="653">
        <f>'Budget-合并'!A12</f>
        <v>0</v>
      </c>
      <c r="B12" s="672" t="str">
        <f>'Budget-合并'!B12</f>
        <v>营业收入合计</v>
      </c>
      <c r="C12" s="673">
        <f>'Budget-合并'!C12</f>
        <v>0</v>
      </c>
      <c r="D12" s="654">
        <f t="shared" si="0"/>
        <v>0</v>
      </c>
      <c r="E12" s="654"/>
      <c r="F12" s="654">
        <f t="shared" ca="1" si="1"/>
        <v>0</v>
      </c>
      <c r="G12" s="654"/>
      <c r="H12" s="654">
        <f t="shared" ref="H12:T12" si="4">SUM(H8,H9)</f>
        <v>0</v>
      </c>
      <c r="I12" s="654">
        <f t="shared" si="4"/>
        <v>0</v>
      </c>
      <c r="J12" s="654">
        <f t="shared" si="4"/>
        <v>0</v>
      </c>
      <c r="K12" s="654">
        <f t="shared" si="4"/>
        <v>0</v>
      </c>
      <c r="L12" s="654">
        <f t="shared" si="4"/>
        <v>0</v>
      </c>
      <c r="M12" s="654">
        <f t="shared" si="4"/>
        <v>0</v>
      </c>
      <c r="N12" s="654">
        <f t="shared" si="4"/>
        <v>0</v>
      </c>
      <c r="O12" s="654">
        <f t="shared" si="4"/>
        <v>0</v>
      </c>
      <c r="P12" s="654">
        <f t="shared" si="4"/>
        <v>0</v>
      </c>
      <c r="Q12" s="654">
        <f t="shared" si="4"/>
        <v>0</v>
      </c>
      <c r="R12" s="654">
        <f t="shared" si="4"/>
        <v>0</v>
      </c>
      <c r="S12" s="654">
        <f t="shared" si="4"/>
        <v>0</v>
      </c>
      <c r="T12" s="654">
        <f t="shared" si="4"/>
        <v>0</v>
      </c>
    </row>
    <row r="13" spans="1:20" ht="13.5" customHeight="1">
      <c r="A13" s="653">
        <f>'Budget-合并'!A13</f>
        <v>0</v>
      </c>
      <c r="B13" s="653">
        <f>'Budget-合并'!B13</f>
        <v>0</v>
      </c>
      <c r="C13" s="673">
        <f>'Budget-合并'!C13</f>
        <v>0</v>
      </c>
      <c r="H13" s="654"/>
      <c r="I13" s="654"/>
      <c r="J13" s="654"/>
      <c r="K13" s="654"/>
      <c r="L13" s="654"/>
      <c r="M13" s="654"/>
      <c r="N13" s="654"/>
      <c r="O13" s="654"/>
      <c r="P13" s="654"/>
      <c r="Q13" s="654"/>
      <c r="R13" s="654"/>
      <c r="S13" s="654"/>
      <c r="T13" s="654"/>
    </row>
    <row r="14" spans="1:20" ht="13.5" customHeight="1">
      <c r="A14" s="653" t="str">
        <f>'Budget-合并'!A14</f>
        <v>6405.01</v>
      </c>
      <c r="B14" s="653" t="str">
        <f>'Budget-合并'!B14</f>
        <v>印花税</v>
      </c>
      <c r="C14" s="673" t="str">
        <f>'Budget-合并'!C14</f>
        <v>Stamp Duty</v>
      </c>
      <c r="D14" s="676">
        <f t="shared" ref="D14:D19" si="5">INDEX($H$8:$S$8,1,MATCH($D$6,$H$6:$S$6))</f>
        <v>0</v>
      </c>
      <c r="F14" s="676">
        <f t="shared" ref="F14:F19" ca="1" si="6">SUM($H14:OFFSET($H14,0,MATCH(F$6,$H$6:$S$6)-1))</f>
        <v>0</v>
      </c>
      <c r="H14" s="676"/>
      <c r="I14" s="676"/>
      <c r="J14" s="676"/>
      <c r="K14" s="676"/>
      <c r="L14" s="676"/>
      <c r="M14" s="676"/>
      <c r="N14" s="676"/>
      <c r="O14" s="676"/>
      <c r="P14" s="676"/>
      <c r="Q14" s="676"/>
      <c r="R14" s="676"/>
      <c r="S14" s="676"/>
      <c r="T14" s="676">
        <f t="shared" ref="T14:T18" si="7">SUM(H14:S14)</f>
        <v>0</v>
      </c>
    </row>
    <row r="15" spans="1:20" ht="13.5" customHeight="1">
      <c r="A15" s="653" t="str">
        <f>'Budget-合并'!A15</f>
        <v>6405.02</v>
      </c>
      <c r="B15" s="653" t="str">
        <f>'Budget-合并'!B15</f>
        <v>城市维护建设税</v>
      </c>
      <c r="C15" s="673" t="str">
        <f>'Budget-合并'!C15</f>
        <v>VAT surcharge</v>
      </c>
      <c r="D15" s="676">
        <f t="shared" si="5"/>
        <v>0</v>
      </c>
      <c r="F15" s="676">
        <f t="shared" ca="1" si="6"/>
        <v>0</v>
      </c>
      <c r="H15" s="676"/>
      <c r="I15" s="676"/>
      <c r="J15" s="676"/>
      <c r="K15" s="676"/>
      <c r="L15" s="676"/>
      <c r="M15" s="676"/>
      <c r="N15" s="676"/>
      <c r="O15" s="676"/>
      <c r="P15" s="676"/>
      <c r="Q15" s="676"/>
      <c r="R15" s="676"/>
      <c r="S15" s="676"/>
      <c r="T15" s="676">
        <f t="shared" si="7"/>
        <v>0</v>
      </c>
    </row>
    <row r="16" spans="1:20" ht="13.5" customHeight="1">
      <c r="A16" s="653" t="str">
        <f>'Budget-合并'!A16</f>
        <v>6405.03</v>
      </c>
      <c r="B16" s="653" t="str">
        <f>'Budget-合并'!B16</f>
        <v>教育费附加</v>
      </c>
      <c r="C16" s="673" t="str">
        <f>'Budget-合并'!C16</f>
        <v>VAT surcharge</v>
      </c>
      <c r="D16" s="676">
        <f t="shared" si="5"/>
        <v>0</v>
      </c>
      <c r="F16" s="676">
        <f t="shared" ca="1" si="6"/>
        <v>0</v>
      </c>
      <c r="H16" s="676"/>
      <c r="I16" s="676"/>
      <c r="J16" s="676"/>
      <c r="K16" s="676"/>
      <c r="L16" s="676"/>
      <c r="M16" s="676"/>
      <c r="N16" s="676"/>
      <c r="O16" s="676"/>
      <c r="P16" s="676"/>
      <c r="Q16" s="676"/>
      <c r="R16" s="676"/>
      <c r="S16" s="676"/>
      <c r="T16" s="676">
        <f t="shared" si="7"/>
        <v>0</v>
      </c>
    </row>
    <row r="17" spans="1:20" ht="13.5" customHeight="1">
      <c r="A17" s="653" t="str">
        <f>'Budget-合并'!A17</f>
        <v>6405.04</v>
      </c>
      <c r="B17" s="653" t="str">
        <f>'Budget-合并'!B17</f>
        <v>地方教育附加</v>
      </c>
      <c r="C17" s="673" t="str">
        <f>'Budget-合并'!C17</f>
        <v>VAT surcharge</v>
      </c>
      <c r="D17" s="676">
        <f t="shared" si="5"/>
        <v>0</v>
      </c>
      <c r="F17" s="676">
        <f t="shared" ca="1" si="6"/>
        <v>0</v>
      </c>
      <c r="H17" s="676"/>
      <c r="I17" s="676"/>
      <c r="J17" s="676"/>
      <c r="K17" s="676"/>
      <c r="L17" s="676"/>
      <c r="M17" s="676"/>
      <c r="N17" s="676"/>
      <c r="O17" s="676"/>
      <c r="P17" s="676"/>
      <c r="Q17" s="676"/>
      <c r="R17" s="676"/>
      <c r="S17" s="676"/>
      <c r="T17" s="676">
        <f t="shared" si="7"/>
        <v>0</v>
      </c>
    </row>
    <row r="18" spans="1:20" ht="13.5" customHeight="1">
      <c r="A18" s="653" t="str">
        <f>'Budget-合并'!A18</f>
        <v>6405.05</v>
      </c>
      <c r="B18" s="653" t="str">
        <f>'Budget-合并'!B18</f>
        <v>水利建设基金</v>
      </c>
      <c r="C18" s="673">
        <f>'Budget-合并'!C18</f>
        <v>0</v>
      </c>
      <c r="D18" s="676">
        <f t="shared" si="5"/>
        <v>0</v>
      </c>
      <c r="F18" s="676">
        <f t="shared" ca="1" si="6"/>
        <v>0</v>
      </c>
      <c r="H18" s="676"/>
      <c r="I18" s="676"/>
      <c r="J18" s="676"/>
      <c r="K18" s="676"/>
      <c r="L18" s="676"/>
      <c r="M18" s="676"/>
      <c r="N18" s="676"/>
      <c r="O18" s="676"/>
      <c r="P18" s="676"/>
      <c r="Q18" s="676"/>
      <c r="R18" s="676"/>
      <c r="S18" s="676"/>
      <c r="T18" s="676">
        <f t="shared" si="7"/>
        <v>0</v>
      </c>
    </row>
    <row r="19" spans="1:20" s="650" customFormat="1" ht="13.5" customHeight="1">
      <c r="A19" s="672">
        <f>'Budget-合并'!A19</f>
        <v>6401</v>
      </c>
      <c r="B19" s="672" t="str">
        <f>'Budget-合并'!B19</f>
        <v>税金及附加小计</v>
      </c>
      <c r="C19" s="673">
        <f>'Budget-合并'!C19</f>
        <v>0</v>
      </c>
      <c r="D19" s="654">
        <f t="shared" si="5"/>
        <v>0</v>
      </c>
      <c r="E19" s="654"/>
      <c r="F19" s="654">
        <f t="shared" ca="1" si="6"/>
        <v>0</v>
      </c>
      <c r="G19" s="654"/>
      <c r="H19" s="654">
        <f t="shared" ref="H19:T19" si="8">SUM(H14:H18)</f>
        <v>0</v>
      </c>
      <c r="I19" s="654">
        <f t="shared" si="8"/>
        <v>0</v>
      </c>
      <c r="J19" s="654">
        <f t="shared" si="8"/>
        <v>0</v>
      </c>
      <c r="K19" s="654">
        <f t="shared" si="8"/>
        <v>0</v>
      </c>
      <c r="L19" s="654">
        <f t="shared" si="8"/>
        <v>0</v>
      </c>
      <c r="M19" s="654">
        <f t="shared" si="8"/>
        <v>0</v>
      </c>
      <c r="N19" s="654">
        <f t="shared" si="8"/>
        <v>0</v>
      </c>
      <c r="O19" s="654">
        <f t="shared" si="8"/>
        <v>0</v>
      </c>
      <c r="P19" s="654">
        <f t="shared" si="8"/>
        <v>0</v>
      </c>
      <c r="Q19" s="654">
        <f t="shared" si="8"/>
        <v>0</v>
      </c>
      <c r="R19" s="654">
        <f t="shared" si="8"/>
        <v>0</v>
      </c>
      <c r="S19" s="654">
        <f t="shared" si="8"/>
        <v>0</v>
      </c>
      <c r="T19" s="654">
        <f t="shared" si="8"/>
        <v>0</v>
      </c>
    </row>
    <row r="20" spans="1:20" ht="13.5" customHeight="1">
      <c r="A20" s="653">
        <f>'Budget-合并'!A20</f>
        <v>0</v>
      </c>
      <c r="B20" s="653">
        <f>'Budget-合并'!B20</f>
        <v>0</v>
      </c>
      <c r="C20" s="673">
        <f>'Budget-合并'!C20</f>
        <v>0</v>
      </c>
      <c r="H20" s="654"/>
      <c r="I20" s="654"/>
      <c r="J20" s="654"/>
      <c r="K20" s="654"/>
      <c r="L20" s="654"/>
      <c r="M20" s="654"/>
      <c r="N20" s="654"/>
      <c r="O20" s="654"/>
      <c r="P20" s="654"/>
      <c r="Q20" s="654"/>
      <c r="R20" s="654"/>
      <c r="S20" s="654"/>
      <c r="T20" s="654"/>
    </row>
    <row r="21" spans="1:20" ht="13.5" customHeight="1">
      <c r="A21" s="653">
        <f>'Budget-合并'!A21</f>
        <v>0</v>
      </c>
      <c r="B21" s="653">
        <f>'Budget-合并'!B21</f>
        <v>0</v>
      </c>
      <c r="C21" s="673">
        <f>'Budget-合并'!C21</f>
        <v>0</v>
      </c>
      <c r="D21" s="677"/>
      <c r="F21" s="677"/>
      <c r="H21" s="677"/>
      <c r="I21" s="677"/>
      <c r="J21" s="677"/>
      <c r="K21" s="677"/>
      <c r="L21" s="677"/>
      <c r="M21" s="677"/>
      <c r="N21" s="677"/>
      <c r="O21" s="677"/>
      <c r="P21" s="677"/>
      <c r="Q21" s="677"/>
      <c r="R21" s="677"/>
      <c r="S21" s="677"/>
      <c r="T21" s="677"/>
    </row>
    <row r="22" spans="1:20" ht="13.5" customHeight="1">
      <c r="A22" s="672" t="str">
        <f>'Budget-合并'!A22</f>
        <v>6602</v>
      </c>
      <c r="B22" s="672" t="str">
        <f>'Budget-合并'!B22</f>
        <v>管理费用</v>
      </c>
      <c r="C22" s="673">
        <f>'Budget-合并'!C22</f>
        <v>0</v>
      </c>
      <c r="D22" s="677"/>
      <c r="F22" s="677"/>
      <c r="H22" s="677"/>
      <c r="I22" s="677"/>
      <c r="J22" s="677"/>
      <c r="K22" s="677"/>
      <c r="L22" s="677"/>
      <c r="M22" s="677"/>
      <c r="N22" s="677"/>
      <c r="O22" s="677"/>
      <c r="P22" s="677"/>
      <c r="Q22" s="677"/>
      <c r="R22" s="677"/>
      <c r="S22" s="677"/>
      <c r="T22" s="677"/>
    </row>
    <row r="23" spans="1:20" ht="13.5" customHeight="1">
      <c r="A23" s="663" t="str">
        <f>'Budget-合并'!A23</f>
        <v>6602.01</v>
      </c>
      <c r="B23" s="678" t="str">
        <f>'Budget-合并'!B23</f>
        <v>工资薪金</v>
      </c>
      <c r="C23" s="673">
        <f>'Budget-合并'!C23</f>
        <v>0</v>
      </c>
      <c r="D23" s="676">
        <f t="shared" ref="D23:D42" si="9">INDEX($H$8:$S$8,1,MATCH($D$6,$H$6:$S$6))</f>
        <v>0</v>
      </c>
      <c r="F23" s="676">
        <f t="shared" ref="F23:F42" ca="1" si="10">SUM($H23:OFFSET($H23,0,MATCH(F$6,$H$6:$S$6)-1))</f>
        <v>0</v>
      </c>
      <c r="H23" s="676">
        <f t="shared" ref="H23:S23" si="11">SUM(H24:H32)</f>
        <v>0</v>
      </c>
      <c r="I23" s="676">
        <f t="shared" si="11"/>
        <v>0</v>
      </c>
      <c r="J23" s="676">
        <f t="shared" si="11"/>
        <v>0</v>
      </c>
      <c r="K23" s="676">
        <f t="shared" si="11"/>
        <v>0</v>
      </c>
      <c r="L23" s="676">
        <f t="shared" si="11"/>
        <v>0</v>
      </c>
      <c r="M23" s="676">
        <f t="shared" si="11"/>
        <v>0</v>
      </c>
      <c r="N23" s="676">
        <f t="shared" si="11"/>
        <v>0</v>
      </c>
      <c r="O23" s="676">
        <f t="shared" si="11"/>
        <v>0</v>
      </c>
      <c r="P23" s="676">
        <f t="shared" si="11"/>
        <v>0</v>
      </c>
      <c r="Q23" s="676">
        <f t="shared" si="11"/>
        <v>0</v>
      </c>
      <c r="R23" s="676">
        <f t="shared" si="11"/>
        <v>0</v>
      </c>
      <c r="S23" s="676">
        <f t="shared" si="11"/>
        <v>0</v>
      </c>
      <c r="T23" s="676">
        <f t="shared" ref="T23:T86" si="12">SUM(H23:S23)</f>
        <v>0</v>
      </c>
    </row>
    <row r="24" spans="1:20" ht="13.5" customHeight="1">
      <c r="A24" s="653" t="str">
        <f>'Budget-合并'!A24</f>
        <v>6602.01.01</v>
      </c>
      <c r="B24" s="653" t="str">
        <f>'Budget-合并'!B24</f>
        <v>基本工资（专业）</v>
      </c>
      <c r="C24" s="673" t="str">
        <f>'Budget-合并'!C24</f>
        <v>Salary Professional</v>
      </c>
      <c r="D24" s="676">
        <f t="shared" si="9"/>
        <v>0</v>
      </c>
      <c r="F24" s="676">
        <f t="shared" ca="1" si="10"/>
        <v>0</v>
      </c>
      <c r="H24" s="676"/>
      <c r="I24" s="676"/>
      <c r="J24" s="676"/>
      <c r="K24" s="676"/>
      <c r="L24" s="676"/>
      <c r="M24" s="676"/>
      <c r="N24" s="676"/>
      <c r="O24" s="676"/>
      <c r="P24" s="676"/>
      <c r="Q24" s="676"/>
      <c r="R24" s="676"/>
      <c r="S24" s="676"/>
      <c r="T24" s="676">
        <f t="shared" si="12"/>
        <v>0</v>
      </c>
    </row>
    <row r="25" spans="1:20" ht="13.5" customHeight="1">
      <c r="A25" s="653" t="str">
        <f>'Budget-合并'!A25</f>
        <v>6602.01.02</v>
      </c>
      <c r="B25" s="653" t="str">
        <f>'Budget-合并'!B25</f>
        <v>加班费</v>
      </c>
      <c r="C25" s="673">
        <f>'Budget-合并'!C25</f>
        <v>0</v>
      </c>
      <c r="D25" s="676">
        <f t="shared" si="9"/>
        <v>0</v>
      </c>
      <c r="F25" s="676">
        <f t="shared" ca="1" si="10"/>
        <v>0</v>
      </c>
      <c r="H25" s="676"/>
      <c r="I25" s="676"/>
      <c r="J25" s="676"/>
      <c r="K25" s="676"/>
      <c r="L25" s="676"/>
      <c r="M25" s="676"/>
      <c r="N25" s="676"/>
      <c r="O25" s="676"/>
      <c r="P25" s="676"/>
      <c r="Q25" s="676"/>
      <c r="R25" s="676"/>
      <c r="S25" s="676"/>
      <c r="T25" s="676">
        <f t="shared" si="12"/>
        <v>0</v>
      </c>
    </row>
    <row r="26" spans="1:20" ht="13.5" customHeight="1">
      <c r="A26" s="653" t="str">
        <f>'Budget-合并'!A26</f>
        <v>6602.01.03</v>
      </c>
      <c r="B26" s="653" t="str">
        <f>'Budget-合并'!B26</f>
        <v>员工奖金（专业）</v>
      </c>
      <c r="C26" s="673" t="str">
        <f>'Budget-合并'!C26</f>
        <v>Bonus Expense - Professional</v>
      </c>
      <c r="D26" s="676">
        <f t="shared" si="9"/>
        <v>0</v>
      </c>
      <c r="F26" s="676">
        <f t="shared" ca="1" si="10"/>
        <v>0</v>
      </c>
      <c r="H26" s="676"/>
      <c r="I26" s="676"/>
      <c r="J26" s="676"/>
      <c r="K26" s="676"/>
      <c r="L26" s="676"/>
      <c r="M26" s="676"/>
      <c r="N26" s="676"/>
      <c r="O26" s="676"/>
      <c r="P26" s="676"/>
      <c r="Q26" s="676"/>
      <c r="R26" s="676"/>
      <c r="S26" s="676"/>
      <c r="T26" s="676">
        <f t="shared" si="12"/>
        <v>0</v>
      </c>
    </row>
    <row r="27" spans="1:20" ht="13.5" customHeight="1">
      <c r="A27" s="653" t="str">
        <f>'Budget-合并'!A27</f>
        <v>6602.01.04</v>
      </c>
      <c r="B27" s="653" t="str">
        <f>'Budget-合并'!B27</f>
        <v>员工遣散费</v>
      </c>
      <c r="C27" s="673">
        <f>'Budget-合并'!C27</f>
        <v>0</v>
      </c>
      <c r="D27" s="676">
        <f t="shared" si="9"/>
        <v>0</v>
      </c>
      <c r="F27" s="676">
        <f t="shared" ca="1" si="10"/>
        <v>0</v>
      </c>
      <c r="H27" s="676"/>
      <c r="I27" s="676"/>
      <c r="J27" s="676"/>
      <c r="K27" s="676"/>
      <c r="L27" s="676"/>
      <c r="M27" s="676"/>
      <c r="N27" s="676"/>
      <c r="O27" s="676"/>
      <c r="P27" s="676"/>
      <c r="Q27" s="676"/>
      <c r="R27" s="676"/>
      <c r="S27" s="676"/>
      <c r="T27" s="676">
        <f t="shared" si="12"/>
        <v>0</v>
      </c>
    </row>
    <row r="28" spans="1:20" ht="13.5" customHeight="1">
      <c r="A28" s="653" t="str">
        <f>'Budget-合并'!A28</f>
        <v>6602.01.05</v>
      </c>
      <c r="B28" s="653" t="str">
        <f>'Budget-合并'!B28</f>
        <v>员工假期</v>
      </c>
      <c r="C28" s="673" t="str">
        <f>'Budget-合并'!C28</f>
        <v>Unused Leave Expense</v>
      </c>
      <c r="D28" s="676">
        <f t="shared" si="9"/>
        <v>0</v>
      </c>
      <c r="F28" s="676">
        <f t="shared" ca="1" si="10"/>
        <v>0</v>
      </c>
      <c r="H28" s="676"/>
      <c r="I28" s="676"/>
      <c r="J28" s="676"/>
      <c r="K28" s="676"/>
      <c r="L28" s="676"/>
      <c r="M28" s="676"/>
      <c r="N28" s="676"/>
      <c r="O28" s="676"/>
      <c r="P28" s="676"/>
      <c r="Q28" s="676"/>
      <c r="R28" s="676"/>
      <c r="S28" s="676"/>
      <c r="T28" s="676">
        <f t="shared" si="12"/>
        <v>0</v>
      </c>
    </row>
    <row r="29" spans="1:20" ht="13.5" customHeight="1">
      <c r="A29" s="653" t="str">
        <f>'Budget-合并'!A29</f>
        <v>6602.01.06</v>
      </c>
      <c r="B29" s="653" t="str">
        <f>'Budget-合并'!B29</f>
        <v>劳务报酬</v>
      </c>
      <c r="C29" s="673">
        <f>'Budget-合并'!C29</f>
        <v>0</v>
      </c>
      <c r="D29" s="676">
        <f t="shared" si="9"/>
        <v>0</v>
      </c>
      <c r="F29" s="676">
        <f t="shared" ca="1" si="10"/>
        <v>0</v>
      </c>
      <c r="H29" s="676"/>
      <c r="I29" s="676"/>
      <c r="J29" s="676"/>
      <c r="K29" s="676"/>
      <c r="L29" s="676"/>
      <c r="M29" s="676"/>
      <c r="N29" s="676"/>
      <c r="O29" s="676"/>
      <c r="P29" s="676"/>
      <c r="Q29" s="676"/>
      <c r="R29" s="676"/>
      <c r="S29" s="676"/>
      <c r="T29" s="676">
        <f t="shared" si="12"/>
        <v>0</v>
      </c>
    </row>
    <row r="30" spans="1:20" ht="13.5" customHeight="1">
      <c r="A30" s="653" t="str">
        <f>'Budget-合并'!A30</f>
        <v>6602.01.07</v>
      </c>
      <c r="B30" s="653" t="str">
        <f>'Budget-合并'!B30</f>
        <v>集团内分摊</v>
      </c>
      <c r="C30" s="673" t="str">
        <f>'Budget-合并'!C30</f>
        <v>Mantime X Charge</v>
      </c>
      <c r="D30" s="676">
        <f t="shared" si="9"/>
        <v>0</v>
      </c>
      <c r="F30" s="676">
        <f t="shared" ca="1" si="10"/>
        <v>0</v>
      </c>
      <c r="H30" s="676"/>
      <c r="I30" s="676"/>
      <c r="J30" s="676"/>
      <c r="K30" s="676"/>
      <c r="L30" s="676"/>
      <c r="M30" s="676"/>
      <c r="N30" s="676"/>
      <c r="O30" s="676"/>
      <c r="P30" s="676"/>
      <c r="Q30" s="676"/>
      <c r="R30" s="676"/>
      <c r="S30" s="676"/>
      <c r="T30" s="676">
        <f t="shared" si="12"/>
        <v>0</v>
      </c>
    </row>
    <row r="31" spans="1:20" ht="13.5" customHeight="1">
      <c r="A31" s="653" t="str">
        <f>'Budget-合并'!A31</f>
        <v>6602.01.08</v>
      </c>
      <c r="B31" s="653" t="str">
        <f>'Budget-合并'!B31</f>
        <v>基本工资（管理）</v>
      </c>
      <c r="C31" s="673" t="str">
        <f>'Budget-合并'!C31</f>
        <v>Salary Management</v>
      </c>
      <c r="D31" s="676">
        <f t="shared" si="9"/>
        <v>0</v>
      </c>
      <c r="F31" s="676">
        <f t="shared" ca="1" si="10"/>
        <v>0</v>
      </c>
      <c r="H31" s="676"/>
      <c r="I31" s="676"/>
      <c r="J31" s="676"/>
      <c r="K31" s="676"/>
      <c r="L31" s="676"/>
      <c r="M31" s="676"/>
      <c r="N31" s="676"/>
      <c r="O31" s="676"/>
      <c r="P31" s="676"/>
      <c r="Q31" s="676"/>
      <c r="R31" s="676"/>
      <c r="S31" s="676"/>
      <c r="T31" s="676">
        <f t="shared" si="12"/>
        <v>0</v>
      </c>
    </row>
    <row r="32" spans="1:20" ht="13.5" customHeight="1">
      <c r="A32" s="653" t="str">
        <f>'Budget-合并'!A32</f>
        <v>6602.01.09</v>
      </c>
      <c r="B32" s="653" t="str">
        <f>'Budget-合并'!B32</f>
        <v>员工奖金（管理）</v>
      </c>
      <c r="C32" s="673" t="str">
        <f>'Budget-合并'!C32</f>
        <v>Bonus Expense - Management</v>
      </c>
      <c r="D32" s="676">
        <f t="shared" si="9"/>
        <v>0</v>
      </c>
      <c r="F32" s="676">
        <f t="shared" ca="1" si="10"/>
        <v>0</v>
      </c>
      <c r="H32" s="676"/>
      <c r="I32" s="676"/>
      <c r="J32" s="676"/>
      <c r="K32" s="676"/>
      <c r="L32" s="676"/>
      <c r="M32" s="676"/>
      <c r="N32" s="676"/>
      <c r="O32" s="676"/>
      <c r="P32" s="676"/>
      <c r="Q32" s="676"/>
      <c r="R32" s="676"/>
      <c r="S32" s="676"/>
      <c r="T32" s="676">
        <f t="shared" si="12"/>
        <v>0</v>
      </c>
    </row>
    <row r="33" spans="1:20" ht="13.5" customHeight="1">
      <c r="A33" s="663" t="str">
        <f>'Budget-合并'!A33</f>
        <v>6602.02</v>
      </c>
      <c r="B33" s="678" t="str">
        <f>'Budget-合并'!B33</f>
        <v>职工福利</v>
      </c>
      <c r="C33" s="673">
        <f>'Budget-合并'!C33</f>
        <v>0</v>
      </c>
      <c r="D33" s="676">
        <f t="shared" si="9"/>
        <v>0</v>
      </c>
      <c r="F33" s="676">
        <f t="shared" ca="1" si="10"/>
        <v>0</v>
      </c>
      <c r="H33" s="679">
        <f t="shared" ref="H33:S33" si="13">SUM(H34:H37)</f>
        <v>0</v>
      </c>
      <c r="I33" s="679">
        <f t="shared" si="13"/>
        <v>0</v>
      </c>
      <c r="J33" s="679">
        <f t="shared" si="13"/>
        <v>0</v>
      </c>
      <c r="K33" s="679">
        <f t="shared" si="13"/>
        <v>0</v>
      </c>
      <c r="L33" s="679">
        <f t="shared" si="13"/>
        <v>0</v>
      </c>
      <c r="M33" s="679">
        <f t="shared" si="13"/>
        <v>0</v>
      </c>
      <c r="N33" s="679">
        <f t="shared" si="13"/>
        <v>0</v>
      </c>
      <c r="O33" s="679">
        <f t="shared" si="13"/>
        <v>0</v>
      </c>
      <c r="P33" s="679">
        <f t="shared" si="13"/>
        <v>0</v>
      </c>
      <c r="Q33" s="679">
        <f t="shared" si="13"/>
        <v>0</v>
      </c>
      <c r="R33" s="679">
        <f t="shared" si="13"/>
        <v>0</v>
      </c>
      <c r="S33" s="679">
        <f t="shared" si="13"/>
        <v>0</v>
      </c>
      <c r="T33" s="676">
        <f t="shared" si="12"/>
        <v>0</v>
      </c>
    </row>
    <row r="34" spans="1:20" ht="13.5" customHeight="1">
      <c r="A34" s="653" t="str">
        <f>'Budget-合并'!A34</f>
        <v>6602.02.01</v>
      </c>
      <c r="B34" s="653" t="str">
        <f>'Budget-合并'!B34</f>
        <v>员工福利</v>
      </c>
      <c r="C34" s="673" t="str">
        <f>'Budget-合并'!C34</f>
        <v>Fringe Other</v>
      </c>
      <c r="D34" s="676">
        <f t="shared" si="9"/>
        <v>0</v>
      </c>
      <c r="F34" s="676">
        <f t="shared" ca="1" si="10"/>
        <v>0</v>
      </c>
      <c r="H34" s="676"/>
      <c r="I34" s="676"/>
      <c r="J34" s="676"/>
      <c r="K34" s="676"/>
      <c r="L34" s="676"/>
      <c r="M34" s="676"/>
      <c r="N34" s="676"/>
      <c r="O34" s="676"/>
      <c r="P34" s="676"/>
      <c r="Q34" s="676"/>
      <c r="R34" s="676"/>
      <c r="S34" s="676"/>
      <c r="T34" s="676">
        <f t="shared" si="12"/>
        <v>0</v>
      </c>
    </row>
    <row r="35" spans="1:20" ht="13.5" customHeight="1">
      <c r="A35" s="653" t="str">
        <f>'Budget-合并'!A35</f>
        <v>6602.02.02</v>
      </c>
      <c r="B35" s="653" t="str">
        <f>'Budget-合并'!B35</f>
        <v>团建活动</v>
      </c>
      <c r="C35" s="673" t="str">
        <f>'Budget-合并'!C35</f>
        <v>EE Morale Expense</v>
      </c>
      <c r="D35" s="676">
        <f t="shared" si="9"/>
        <v>0</v>
      </c>
      <c r="F35" s="676">
        <f t="shared" ca="1" si="10"/>
        <v>0</v>
      </c>
      <c r="H35" s="676">
        <f t="shared" ref="H35:S35" si="14">SUM(H36:H37)</f>
        <v>0</v>
      </c>
      <c r="I35" s="676">
        <f t="shared" si="14"/>
        <v>0</v>
      </c>
      <c r="J35" s="676">
        <f t="shared" si="14"/>
        <v>0</v>
      </c>
      <c r="K35" s="676">
        <f t="shared" si="14"/>
        <v>0</v>
      </c>
      <c r="L35" s="676">
        <f t="shared" si="14"/>
        <v>0</v>
      </c>
      <c r="M35" s="676">
        <f t="shared" si="14"/>
        <v>0</v>
      </c>
      <c r="N35" s="676">
        <f t="shared" si="14"/>
        <v>0</v>
      </c>
      <c r="O35" s="676">
        <f t="shared" si="14"/>
        <v>0</v>
      </c>
      <c r="P35" s="676">
        <f t="shared" si="14"/>
        <v>0</v>
      </c>
      <c r="Q35" s="676">
        <f t="shared" si="14"/>
        <v>0</v>
      </c>
      <c r="R35" s="676">
        <f t="shared" si="14"/>
        <v>0</v>
      </c>
      <c r="S35" s="676">
        <f t="shared" si="14"/>
        <v>0</v>
      </c>
      <c r="T35" s="676">
        <f t="shared" si="12"/>
        <v>0</v>
      </c>
    </row>
    <row r="36" spans="1:20" ht="13.5" customHeight="1">
      <c r="A36" s="653" t="str">
        <f>'Budget-合并'!A36</f>
        <v>6602.02.03</v>
      </c>
      <c r="B36" s="653" t="str">
        <f>'Budget-合并'!B36</f>
        <v>体检费</v>
      </c>
      <c r="C36" s="673">
        <f>'Budget-合并'!C36</f>
        <v>0</v>
      </c>
      <c r="D36" s="676">
        <f t="shared" si="9"/>
        <v>0</v>
      </c>
      <c r="F36" s="676">
        <f t="shared" ca="1" si="10"/>
        <v>0</v>
      </c>
      <c r="H36" s="676"/>
      <c r="I36" s="676"/>
      <c r="J36" s="676"/>
      <c r="K36" s="676"/>
      <c r="L36" s="676"/>
      <c r="M36" s="676"/>
      <c r="N36" s="676"/>
      <c r="O36" s="676"/>
      <c r="P36" s="676"/>
      <c r="Q36" s="676"/>
      <c r="R36" s="676"/>
      <c r="S36" s="676"/>
      <c r="T36" s="676">
        <f t="shared" si="12"/>
        <v>0</v>
      </c>
    </row>
    <row r="37" spans="1:20" ht="13.5" customHeight="1">
      <c r="A37" s="653" t="str">
        <f>'Budget-合并'!A37</f>
        <v>6602.02.04</v>
      </c>
      <c r="B37" s="653" t="str">
        <f>'Budget-合并'!B37</f>
        <v>商业保险 - 医疗</v>
      </c>
      <c r="C37" s="673">
        <f>'Budget-合并'!C37</f>
        <v>0</v>
      </c>
      <c r="D37" s="676">
        <f t="shared" si="9"/>
        <v>0</v>
      </c>
      <c r="F37" s="676">
        <f t="shared" ca="1" si="10"/>
        <v>0</v>
      </c>
      <c r="H37" s="676"/>
      <c r="I37" s="676"/>
      <c r="J37" s="676"/>
      <c r="K37" s="676"/>
      <c r="L37" s="676"/>
      <c r="M37" s="676"/>
      <c r="N37" s="676"/>
      <c r="O37" s="676"/>
      <c r="P37" s="676"/>
      <c r="Q37" s="676"/>
      <c r="R37" s="676"/>
      <c r="S37" s="676"/>
      <c r="T37" s="676">
        <f t="shared" si="12"/>
        <v>0</v>
      </c>
    </row>
    <row r="38" spans="1:20" ht="13.5" customHeight="1">
      <c r="A38" s="663" t="str">
        <f>'Budget-合并'!A38</f>
        <v>6602.03</v>
      </c>
      <c r="B38" s="678" t="str">
        <f>'Budget-合并'!B38</f>
        <v>社保公积金</v>
      </c>
      <c r="C38" s="673">
        <f>'Budget-合并'!C38</f>
        <v>0</v>
      </c>
      <c r="D38" s="676">
        <f t="shared" si="9"/>
        <v>0</v>
      </c>
      <c r="F38" s="676">
        <f t="shared" ca="1" si="10"/>
        <v>0</v>
      </c>
      <c r="H38" s="679">
        <f t="shared" ref="H38:S38" si="15">SUM(H39:H41)</f>
        <v>0</v>
      </c>
      <c r="I38" s="679">
        <f t="shared" si="15"/>
        <v>0</v>
      </c>
      <c r="J38" s="679">
        <f t="shared" si="15"/>
        <v>0</v>
      </c>
      <c r="K38" s="679">
        <f t="shared" si="15"/>
        <v>0</v>
      </c>
      <c r="L38" s="679">
        <f t="shared" si="15"/>
        <v>0</v>
      </c>
      <c r="M38" s="679">
        <f t="shared" si="15"/>
        <v>0</v>
      </c>
      <c r="N38" s="679">
        <f t="shared" si="15"/>
        <v>0</v>
      </c>
      <c r="O38" s="679">
        <f t="shared" si="15"/>
        <v>0</v>
      </c>
      <c r="P38" s="679">
        <f t="shared" si="15"/>
        <v>0</v>
      </c>
      <c r="Q38" s="679">
        <f t="shared" si="15"/>
        <v>0</v>
      </c>
      <c r="R38" s="679">
        <f t="shared" si="15"/>
        <v>0</v>
      </c>
      <c r="S38" s="679">
        <f t="shared" si="15"/>
        <v>0</v>
      </c>
      <c r="T38" s="676">
        <f t="shared" si="12"/>
        <v>0</v>
      </c>
    </row>
    <row r="39" spans="1:20" ht="13.5" customHeight="1">
      <c r="A39" s="653" t="str">
        <f>'Budget-合并'!A39</f>
        <v>6602.03.01</v>
      </c>
      <c r="B39" s="653" t="str">
        <f>'Budget-合并'!B39</f>
        <v>员工社保福利</v>
      </c>
      <c r="C39" s="673" t="str">
        <f>'Budget-合并'!C39</f>
        <v>Employee Insurance</v>
      </c>
      <c r="D39" s="676">
        <f t="shared" si="9"/>
        <v>0</v>
      </c>
      <c r="F39" s="676">
        <f t="shared" ca="1" si="10"/>
        <v>0</v>
      </c>
      <c r="H39" s="676"/>
      <c r="I39" s="676"/>
      <c r="J39" s="676"/>
      <c r="K39" s="676"/>
      <c r="L39" s="676"/>
      <c r="M39" s="676"/>
      <c r="N39" s="676"/>
      <c r="O39" s="676"/>
      <c r="P39" s="676"/>
      <c r="Q39" s="676"/>
      <c r="R39" s="676"/>
      <c r="S39" s="676"/>
      <c r="T39" s="676">
        <f t="shared" si="12"/>
        <v>0</v>
      </c>
    </row>
    <row r="40" spans="1:20" ht="13.5" customHeight="1">
      <c r="A40" s="653" t="str">
        <f>'Budget-合并'!A40</f>
        <v>6602.03.02</v>
      </c>
      <c r="B40" s="653" t="str">
        <f>'Budget-合并'!B40</f>
        <v>员工公积金福利</v>
      </c>
      <c r="C40" s="673">
        <f>'Budget-合并'!C40</f>
        <v>0</v>
      </c>
      <c r="D40" s="676">
        <f t="shared" si="9"/>
        <v>0</v>
      </c>
      <c r="F40" s="676">
        <f t="shared" ca="1" si="10"/>
        <v>0</v>
      </c>
      <c r="H40" s="676"/>
      <c r="I40" s="676"/>
      <c r="J40" s="676"/>
      <c r="K40" s="676"/>
      <c r="L40" s="676"/>
      <c r="M40" s="676"/>
      <c r="N40" s="676"/>
      <c r="O40" s="676"/>
      <c r="P40" s="676"/>
      <c r="Q40" s="676"/>
      <c r="R40" s="676"/>
      <c r="S40" s="676"/>
      <c r="T40" s="676">
        <f t="shared" si="12"/>
        <v>0</v>
      </c>
    </row>
    <row r="41" spans="1:20" ht="13.5" customHeight="1">
      <c r="A41" s="653" t="str">
        <f>'Budget-合并'!A41</f>
        <v>6602.03.03</v>
      </c>
      <c r="B41" s="653" t="str">
        <f>'Budget-合并'!B41</f>
        <v>员工强制性公积金福利</v>
      </c>
      <c r="C41" s="673" t="str">
        <f>'Budget-合并'!C41</f>
        <v>Pension Local/MPF</v>
      </c>
      <c r="D41" s="676">
        <f t="shared" si="9"/>
        <v>0</v>
      </c>
      <c r="F41" s="676">
        <f t="shared" ca="1" si="10"/>
        <v>0</v>
      </c>
      <c r="H41" s="676"/>
      <c r="I41" s="676"/>
      <c r="J41" s="676"/>
      <c r="K41" s="676"/>
      <c r="L41" s="676"/>
      <c r="M41" s="676"/>
      <c r="N41" s="676"/>
      <c r="O41" s="676"/>
      <c r="P41" s="676"/>
      <c r="Q41" s="676"/>
      <c r="R41" s="676"/>
      <c r="S41" s="676"/>
      <c r="T41" s="676">
        <f t="shared" si="12"/>
        <v>0</v>
      </c>
    </row>
    <row r="42" spans="1:20" ht="13.5" customHeight="1">
      <c r="A42" s="672">
        <f>'Budget-合并'!A42</f>
        <v>0</v>
      </c>
      <c r="B42" s="672" t="str">
        <f>'Budget-合并'!B42</f>
        <v>管理人工费用小计</v>
      </c>
      <c r="C42" s="673">
        <f>'Budget-合并'!C42</f>
        <v>0</v>
      </c>
      <c r="D42" s="654">
        <f t="shared" si="9"/>
        <v>0</v>
      </c>
      <c r="F42" s="677">
        <f t="shared" ca="1" si="10"/>
        <v>0</v>
      </c>
      <c r="H42" s="677">
        <f t="shared" ref="H42:S42" si="16">SUM(H23,H33,H38)</f>
        <v>0</v>
      </c>
      <c r="I42" s="677">
        <f t="shared" si="16"/>
        <v>0</v>
      </c>
      <c r="J42" s="677">
        <f t="shared" si="16"/>
        <v>0</v>
      </c>
      <c r="K42" s="677">
        <f t="shared" si="16"/>
        <v>0</v>
      </c>
      <c r="L42" s="677">
        <f t="shared" si="16"/>
        <v>0</v>
      </c>
      <c r="M42" s="677">
        <f t="shared" si="16"/>
        <v>0</v>
      </c>
      <c r="N42" s="677">
        <f t="shared" si="16"/>
        <v>0</v>
      </c>
      <c r="O42" s="677">
        <f t="shared" si="16"/>
        <v>0</v>
      </c>
      <c r="P42" s="677">
        <f t="shared" si="16"/>
        <v>0</v>
      </c>
      <c r="Q42" s="677">
        <f t="shared" si="16"/>
        <v>0</v>
      </c>
      <c r="R42" s="677">
        <f t="shared" si="16"/>
        <v>0</v>
      </c>
      <c r="S42" s="677">
        <f t="shared" si="16"/>
        <v>0</v>
      </c>
      <c r="T42" s="677">
        <f t="shared" si="12"/>
        <v>0</v>
      </c>
    </row>
    <row r="43" spans="1:20" ht="13.5" customHeight="1">
      <c r="A43" s="653">
        <f>'Budget-合并'!A43</f>
        <v>0</v>
      </c>
      <c r="B43" s="653">
        <f>'Budget-合并'!B43</f>
        <v>0</v>
      </c>
      <c r="C43" s="673">
        <f>'Budget-合并'!C43</f>
        <v>0</v>
      </c>
      <c r="H43" s="652">
        <f t="shared" ref="H43:S43" si="17">SUM(H44:H46)</f>
        <v>0</v>
      </c>
      <c r="I43" s="652">
        <f t="shared" si="17"/>
        <v>0</v>
      </c>
      <c r="J43" s="652">
        <f t="shared" si="17"/>
        <v>0</v>
      </c>
      <c r="K43" s="652">
        <f t="shared" si="17"/>
        <v>0</v>
      </c>
      <c r="L43" s="652">
        <f t="shared" si="17"/>
        <v>0</v>
      </c>
      <c r="M43" s="652">
        <f t="shared" si="17"/>
        <v>0</v>
      </c>
      <c r="N43" s="652">
        <f t="shared" si="17"/>
        <v>0</v>
      </c>
      <c r="O43" s="652">
        <f t="shared" si="17"/>
        <v>0</v>
      </c>
      <c r="P43" s="652">
        <f t="shared" si="17"/>
        <v>0</v>
      </c>
      <c r="Q43" s="652">
        <f t="shared" si="17"/>
        <v>0</v>
      </c>
      <c r="R43" s="652">
        <f t="shared" si="17"/>
        <v>0</v>
      </c>
      <c r="S43" s="652">
        <f t="shared" si="17"/>
        <v>0</v>
      </c>
      <c r="T43" s="652">
        <f t="shared" si="12"/>
        <v>0</v>
      </c>
    </row>
    <row r="44" spans="1:20" ht="13.5" customHeight="1">
      <c r="A44" s="663" t="str">
        <f>'Budget-合并'!A44</f>
        <v>6602.04</v>
      </c>
      <c r="B44" s="678" t="str">
        <f>'Budget-合并'!B44</f>
        <v>咨询及专业服务费</v>
      </c>
      <c r="C44" s="673">
        <f>'Budget-合并'!C44</f>
        <v>0</v>
      </c>
      <c r="D44" s="676">
        <f t="shared" ref="D44:D107" si="18">INDEX($H$8:$S$8,1,MATCH($D$6,$H$6:$S$6))</f>
        <v>0</v>
      </c>
      <c r="F44" s="676">
        <f t="shared" ref="F44:F107" ca="1" si="19">SUM($H44:OFFSET($H44,0,MATCH(F$6,$H$6:$S$6)-1))</f>
        <v>0</v>
      </c>
      <c r="H44" s="676">
        <f t="shared" ref="H44:S44" si="20">SUM(H45,H46,H47,H51:H61)</f>
        <v>0</v>
      </c>
      <c r="I44" s="676">
        <f t="shared" si="20"/>
        <v>0</v>
      </c>
      <c r="J44" s="676">
        <f t="shared" si="20"/>
        <v>0</v>
      </c>
      <c r="K44" s="676">
        <f t="shared" si="20"/>
        <v>0</v>
      </c>
      <c r="L44" s="676">
        <f t="shared" si="20"/>
        <v>0</v>
      </c>
      <c r="M44" s="676">
        <f t="shared" si="20"/>
        <v>0</v>
      </c>
      <c r="N44" s="676">
        <f t="shared" si="20"/>
        <v>0</v>
      </c>
      <c r="O44" s="676">
        <f t="shared" si="20"/>
        <v>0</v>
      </c>
      <c r="P44" s="676">
        <f t="shared" si="20"/>
        <v>0</v>
      </c>
      <c r="Q44" s="676">
        <f t="shared" si="20"/>
        <v>0</v>
      </c>
      <c r="R44" s="676">
        <f t="shared" si="20"/>
        <v>0</v>
      </c>
      <c r="S44" s="676">
        <f t="shared" si="20"/>
        <v>0</v>
      </c>
      <c r="T44" s="676">
        <f t="shared" si="12"/>
        <v>0</v>
      </c>
    </row>
    <row r="45" spans="1:20" ht="13.5" customHeight="1">
      <c r="A45" s="653" t="str">
        <f>'Budget-合并'!A45</f>
        <v>6602.04.01</v>
      </c>
      <c r="B45" s="653" t="str">
        <f>'Budget-合并'!B45</f>
        <v>会计服务费</v>
      </c>
      <c r="C45" s="673" t="str">
        <f>'Budget-合并'!C45</f>
        <v>Accounting/Payment Services</v>
      </c>
      <c r="D45" s="676">
        <f t="shared" si="18"/>
        <v>0</v>
      </c>
      <c r="F45" s="676">
        <f t="shared" ca="1" si="19"/>
        <v>0</v>
      </c>
      <c r="H45" s="676"/>
      <c r="I45" s="676"/>
      <c r="J45" s="676"/>
      <c r="K45" s="676"/>
      <c r="L45" s="676"/>
      <c r="M45" s="676"/>
      <c r="N45" s="676"/>
      <c r="O45" s="676"/>
      <c r="P45" s="676"/>
      <c r="Q45" s="676"/>
      <c r="R45" s="676"/>
      <c r="S45" s="676"/>
      <c r="T45" s="676">
        <f t="shared" si="12"/>
        <v>0</v>
      </c>
    </row>
    <row r="46" spans="1:20" ht="13.5" customHeight="1">
      <c r="A46" s="653" t="str">
        <f>'Budget-合并'!A46</f>
        <v>6602.04.02</v>
      </c>
      <c r="B46" s="653" t="str">
        <f>'Budget-合并'!B46</f>
        <v>审计服务费</v>
      </c>
      <c r="C46" s="673" t="str">
        <f>'Budget-合并'!C46</f>
        <v>Audit Fees</v>
      </c>
      <c r="D46" s="676">
        <f t="shared" si="18"/>
        <v>0</v>
      </c>
      <c r="F46" s="676">
        <f t="shared" ca="1" si="19"/>
        <v>0</v>
      </c>
      <c r="H46" s="676"/>
      <c r="I46" s="676"/>
      <c r="J46" s="676"/>
      <c r="K46" s="676"/>
      <c r="L46" s="676"/>
      <c r="M46" s="676"/>
      <c r="N46" s="676"/>
      <c r="O46" s="676"/>
      <c r="P46" s="676"/>
      <c r="Q46" s="676"/>
      <c r="R46" s="676"/>
      <c r="S46" s="676"/>
      <c r="T46" s="676">
        <f t="shared" si="12"/>
        <v>0</v>
      </c>
    </row>
    <row r="47" spans="1:20" ht="13.5" customHeight="1">
      <c r="A47" s="653" t="str">
        <f>'Budget-合并'!A47</f>
        <v>6602.04.03</v>
      </c>
      <c r="B47" s="653" t="str">
        <f>'Budget-合并'!B47</f>
        <v>顾问费</v>
      </c>
      <c r="C47" s="673" t="str">
        <f>'Budget-合并'!C47</f>
        <v>Advisory fee</v>
      </c>
      <c r="D47" s="676">
        <f t="shared" si="18"/>
        <v>0</v>
      </c>
      <c r="F47" s="676">
        <f t="shared" ca="1" si="19"/>
        <v>0</v>
      </c>
      <c r="H47" s="676">
        <f t="shared" ref="H47:S47" si="21">SUM(H48:H50)</f>
        <v>0</v>
      </c>
      <c r="I47" s="676">
        <f t="shared" si="21"/>
        <v>0</v>
      </c>
      <c r="J47" s="676">
        <f t="shared" si="21"/>
        <v>0</v>
      </c>
      <c r="K47" s="676">
        <f t="shared" si="21"/>
        <v>0</v>
      </c>
      <c r="L47" s="676">
        <f t="shared" si="21"/>
        <v>0</v>
      </c>
      <c r="M47" s="676">
        <f t="shared" si="21"/>
        <v>0</v>
      </c>
      <c r="N47" s="676">
        <f t="shared" si="21"/>
        <v>0</v>
      </c>
      <c r="O47" s="676">
        <f t="shared" si="21"/>
        <v>0</v>
      </c>
      <c r="P47" s="676">
        <f t="shared" si="21"/>
        <v>0</v>
      </c>
      <c r="Q47" s="676">
        <f t="shared" si="21"/>
        <v>0</v>
      </c>
      <c r="R47" s="676">
        <f t="shared" si="21"/>
        <v>0</v>
      </c>
      <c r="S47" s="676">
        <f t="shared" si="21"/>
        <v>0</v>
      </c>
      <c r="T47" s="676">
        <f t="shared" si="12"/>
        <v>0</v>
      </c>
    </row>
    <row r="48" spans="1:20" ht="13.5" customHeight="1">
      <c r="A48" s="653">
        <f>'Budget-合并'!A48</f>
        <v>0</v>
      </c>
      <c r="B48" s="653" t="str">
        <f>'Budget-合并'!B48</f>
        <v xml:space="preserve">    公司主体01</v>
      </c>
      <c r="C48" s="673" t="str">
        <f>'Budget-合并'!C48</f>
        <v xml:space="preserve">   Entity</v>
      </c>
      <c r="D48" s="676">
        <f t="shared" si="18"/>
        <v>0</v>
      </c>
      <c r="F48" s="676">
        <f t="shared" ca="1" si="19"/>
        <v>0</v>
      </c>
      <c r="H48" s="676"/>
      <c r="I48" s="676"/>
      <c r="J48" s="676"/>
      <c r="K48" s="676"/>
      <c r="L48" s="676"/>
      <c r="M48" s="676"/>
      <c r="N48" s="676"/>
      <c r="O48" s="676"/>
      <c r="P48" s="676"/>
      <c r="Q48" s="676"/>
      <c r="R48" s="676"/>
      <c r="S48" s="676"/>
      <c r="T48" s="676">
        <f t="shared" si="12"/>
        <v>0</v>
      </c>
    </row>
    <row r="49" spans="1:20" ht="13.5" customHeight="1">
      <c r="A49" s="653">
        <f>'Budget-合并'!A49</f>
        <v>0</v>
      </c>
      <c r="B49" s="653" t="str">
        <f>'Budget-合并'!B49</f>
        <v xml:space="preserve">    旭智富能01</v>
      </c>
      <c r="C49" s="673" t="str">
        <f>'Budget-合并'!C49</f>
        <v xml:space="preserve">   Foxpower</v>
      </c>
      <c r="D49" s="676">
        <f t="shared" si="18"/>
        <v>0</v>
      </c>
      <c r="F49" s="676">
        <f t="shared" ca="1" si="19"/>
        <v>0</v>
      </c>
      <c r="H49" s="676"/>
      <c r="I49" s="676"/>
      <c r="J49" s="676"/>
      <c r="K49" s="676"/>
      <c r="L49" s="676"/>
      <c r="M49" s="676"/>
      <c r="N49" s="676"/>
      <c r="O49" s="676"/>
      <c r="P49" s="676"/>
      <c r="Q49" s="676"/>
      <c r="R49" s="676"/>
      <c r="S49" s="676"/>
      <c r="T49" s="676">
        <f t="shared" si="12"/>
        <v>0</v>
      </c>
    </row>
    <row r="50" spans="1:20" ht="13.5" customHeight="1">
      <c r="A50" s="653">
        <f>'Budget-合并'!A50</f>
        <v>0</v>
      </c>
      <c r="B50" s="653" t="str">
        <f>'Budget-合并'!B50</f>
        <v xml:space="preserve">    其他项目01</v>
      </c>
      <c r="C50" s="673" t="str">
        <f>'Budget-合并'!C50</f>
        <v xml:space="preserve">   Other project</v>
      </c>
      <c r="D50" s="676">
        <f t="shared" si="18"/>
        <v>0</v>
      </c>
      <c r="F50" s="676">
        <f t="shared" ca="1" si="19"/>
        <v>0</v>
      </c>
      <c r="H50" s="676"/>
      <c r="I50" s="676"/>
      <c r="J50" s="676"/>
      <c r="K50" s="676"/>
      <c r="L50" s="676"/>
      <c r="M50" s="676"/>
      <c r="N50" s="676"/>
      <c r="O50" s="676"/>
      <c r="P50" s="676"/>
      <c r="Q50" s="676"/>
      <c r="R50" s="676"/>
      <c r="S50" s="676"/>
      <c r="T50" s="676">
        <f t="shared" si="12"/>
        <v>0</v>
      </c>
    </row>
    <row r="51" spans="1:20" ht="13.5" customHeight="1">
      <c r="A51" s="653" t="str">
        <f>'Budget-合并'!A51</f>
        <v>6602.04.04</v>
      </c>
      <c r="B51" s="653" t="str">
        <f>'Budget-合并'!B51</f>
        <v>税务服务费</v>
      </c>
      <c r="C51" s="673">
        <f>'Budget-合并'!C51</f>
        <v>0</v>
      </c>
      <c r="D51" s="676">
        <f t="shared" si="18"/>
        <v>0</v>
      </c>
      <c r="F51" s="676">
        <f t="shared" ca="1" si="19"/>
        <v>0</v>
      </c>
      <c r="H51" s="676"/>
      <c r="I51" s="676"/>
      <c r="J51" s="676"/>
      <c r="K51" s="676"/>
      <c r="L51" s="676"/>
      <c r="M51" s="676"/>
      <c r="N51" s="676"/>
      <c r="O51" s="676"/>
      <c r="P51" s="676"/>
      <c r="Q51" s="676"/>
      <c r="R51" s="676"/>
      <c r="S51" s="676"/>
      <c r="T51" s="676">
        <f t="shared" si="12"/>
        <v>0</v>
      </c>
    </row>
    <row r="52" spans="1:20" ht="13.5" customHeight="1">
      <c r="A52" s="653" t="str">
        <f>'Budget-合并'!A52</f>
        <v>6602.04.05</v>
      </c>
      <c r="B52" s="653" t="str">
        <f>'Budget-合并'!B52</f>
        <v>招聘服务费</v>
      </c>
      <c r="C52" s="673" t="str">
        <f>'Budget-合并'!C52</f>
        <v>Employment Agency Fee</v>
      </c>
      <c r="D52" s="676">
        <f t="shared" si="18"/>
        <v>0</v>
      </c>
      <c r="F52" s="676">
        <f t="shared" ca="1" si="19"/>
        <v>0</v>
      </c>
      <c r="H52" s="676"/>
      <c r="I52" s="676"/>
      <c r="J52" s="676"/>
      <c r="K52" s="676"/>
      <c r="L52" s="676"/>
      <c r="M52" s="676"/>
      <c r="N52" s="676"/>
      <c r="O52" s="676"/>
      <c r="P52" s="676"/>
      <c r="Q52" s="676"/>
      <c r="R52" s="676"/>
      <c r="S52" s="676"/>
      <c r="T52" s="676">
        <f t="shared" si="12"/>
        <v>0</v>
      </c>
    </row>
    <row r="53" spans="1:20" ht="13.5" customHeight="1">
      <c r="A53" s="653" t="str">
        <f>'Budget-合并'!A53</f>
        <v>6602.04.06</v>
      </c>
      <c r="B53" s="653" t="str">
        <f>'Budget-合并'!B53</f>
        <v>法律服务费</v>
      </c>
      <c r="C53" s="673" t="str">
        <f>'Budget-合并'!C53</f>
        <v>Legal Fees</v>
      </c>
      <c r="D53" s="676">
        <f t="shared" si="18"/>
        <v>0</v>
      </c>
      <c r="F53" s="676">
        <f t="shared" ca="1" si="19"/>
        <v>0</v>
      </c>
      <c r="H53" s="676"/>
      <c r="I53" s="676"/>
      <c r="J53" s="676"/>
      <c r="K53" s="676"/>
      <c r="L53" s="676"/>
      <c r="M53" s="676"/>
      <c r="N53" s="676"/>
      <c r="O53" s="676"/>
      <c r="P53" s="676"/>
      <c r="Q53" s="676"/>
      <c r="R53" s="676"/>
      <c r="S53" s="676"/>
      <c r="T53" s="676">
        <f t="shared" si="12"/>
        <v>0</v>
      </c>
    </row>
    <row r="54" spans="1:20" ht="13.5" customHeight="1">
      <c r="A54" s="653" t="str">
        <f>'Budget-合并'!A54</f>
        <v>6602.04.07</v>
      </c>
      <c r="B54" s="653" t="str">
        <f>'Budget-合并'!B54</f>
        <v>人力资源服务费</v>
      </c>
      <c r="C54" s="673" t="str">
        <f>'Budget-合并'!C54</f>
        <v>Payroll Services</v>
      </c>
      <c r="D54" s="676">
        <f t="shared" si="18"/>
        <v>0</v>
      </c>
      <c r="F54" s="676">
        <f t="shared" ca="1" si="19"/>
        <v>0</v>
      </c>
      <c r="H54" s="676"/>
      <c r="I54" s="676"/>
      <c r="J54" s="676"/>
      <c r="K54" s="676"/>
      <c r="L54" s="676"/>
      <c r="M54" s="676"/>
      <c r="N54" s="676"/>
      <c r="O54" s="676"/>
      <c r="P54" s="676"/>
      <c r="Q54" s="676"/>
      <c r="R54" s="676"/>
      <c r="S54" s="676"/>
      <c r="T54" s="676">
        <f t="shared" si="12"/>
        <v>0</v>
      </c>
    </row>
    <row r="55" spans="1:20" ht="13.5" customHeight="1">
      <c r="A55" s="653" t="str">
        <f>'Budget-合并'!A55</f>
        <v>6602.04.08</v>
      </c>
      <c r="B55" s="653" t="str">
        <f>'Budget-合并'!B55</f>
        <v>背景调查费</v>
      </c>
      <c r="C55" s="673" t="str">
        <f>'Budget-合并'!C55</f>
        <v>Employee Background Check</v>
      </c>
      <c r="D55" s="676">
        <f t="shared" si="18"/>
        <v>0</v>
      </c>
      <c r="F55" s="676">
        <f t="shared" ca="1" si="19"/>
        <v>0</v>
      </c>
      <c r="H55" s="676">
        <f t="shared" ref="H55:S55" si="22">SUM(H56,H60:H66)</f>
        <v>0</v>
      </c>
      <c r="I55" s="676">
        <f t="shared" si="22"/>
        <v>0</v>
      </c>
      <c r="J55" s="676">
        <f t="shared" si="22"/>
        <v>0</v>
      </c>
      <c r="K55" s="676">
        <f t="shared" si="22"/>
        <v>0</v>
      </c>
      <c r="L55" s="676">
        <f t="shared" si="22"/>
        <v>0</v>
      </c>
      <c r="M55" s="676">
        <f t="shared" si="22"/>
        <v>0</v>
      </c>
      <c r="N55" s="676">
        <f t="shared" si="22"/>
        <v>0</v>
      </c>
      <c r="O55" s="676">
        <f t="shared" si="22"/>
        <v>0</v>
      </c>
      <c r="P55" s="676">
        <f t="shared" si="22"/>
        <v>0</v>
      </c>
      <c r="Q55" s="676">
        <f t="shared" si="22"/>
        <v>0</v>
      </c>
      <c r="R55" s="676">
        <f t="shared" si="22"/>
        <v>0</v>
      </c>
      <c r="S55" s="676">
        <f t="shared" si="22"/>
        <v>0</v>
      </c>
      <c r="T55" s="676">
        <f t="shared" si="12"/>
        <v>0</v>
      </c>
    </row>
    <row r="56" spans="1:20" ht="13.5" customHeight="1">
      <c r="A56" s="653" t="str">
        <f>'Budget-合并'!A56</f>
        <v>6602.04.09</v>
      </c>
      <c r="B56" s="653" t="str">
        <f>'Budget-合并'!B56</f>
        <v>翻译服务费</v>
      </c>
      <c r="C56" s="673">
        <f>'Budget-合并'!C56</f>
        <v>0</v>
      </c>
      <c r="D56" s="676">
        <f t="shared" si="18"/>
        <v>0</v>
      </c>
      <c r="F56" s="676">
        <f t="shared" ca="1" si="19"/>
        <v>0</v>
      </c>
      <c r="H56" s="676">
        <f t="shared" ref="H56:S56" si="23">SUM(H57:H59)</f>
        <v>0</v>
      </c>
      <c r="I56" s="676">
        <f t="shared" si="23"/>
        <v>0</v>
      </c>
      <c r="J56" s="676">
        <f t="shared" si="23"/>
        <v>0</v>
      </c>
      <c r="K56" s="676">
        <f t="shared" si="23"/>
        <v>0</v>
      </c>
      <c r="L56" s="676">
        <f t="shared" si="23"/>
        <v>0</v>
      </c>
      <c r="M56" s="676">
        <f t="shared" si="23"/>
        <v>0</v>
      </c>
      <c r="N56" s="676">
        <f t="shared" si="23"/>
        <v>0</v>
      </c>
      <c r="O56" s="676">
        <f t="shared" si="23"/>
        <v>0</v>
      </c>
      <c r="P56" s="676">
        <f t="shared" si="23"/>
        <v>0</v>
      </c>
      <c r="Q56" s="676">
        <f t="shared" si="23"/>
        <v>0</v>
      </c>
      <c r="R56" s="676">
        <f t="shared" si="23"/>
        <v>0</v>
      </c>
      <c r="S56" s="676">
        <f t="shared" si="23"/>
        <v>0</v>
      </c>
      <c r="T56" s="676">
        <f t="shared" si="12"/>
        <v>0</v>
      </c>
    </row>
    <row r="57" spans="1:20" ht="13.5" customHeight="1">
      <c r="A57" s="653" t="str">
        <f>'Budget-合并'!A57</f>
        <v>6602.04.10</v>
      </c>
      <c r="B57" s="653" t="str">
        <f>'Budget-合并'!B57</f>
        <v>评估费</v>
      </c>
      <c r="C57" s="673">
        <f>'Budget-合并'!C57</f>
        <v>0</v>
      </c>
      <c r="D57" s="676">
        <f t="shared" si="18"/>
        <v>0</v>
      </c>
      <c r="F57" s="676">
        <f t="shared" ca="1" si="19"/>
        <v>0</v>
      </c>
      <c r="H57" s="676"/>
      <c r="I57" s="676"/>
      <c r="J57" s="676"/>
      <c r="K57" s="676"/>
      <c r="L57" s="676"/>
      <c r="M57" s="676"/>
      <c r="N57" s="676"/>
      <c r="O57" s="676"/>
      <c r="P57" s="676"/>
      <c r="Q57" s="676"/>
      <c r="R57" s="676"/>
      <c r="S57" s="676"/>
      <c r="T57" s="676">
        <f t="shared" si="12"/>
        <v>0</v>
      </c>
    </row>
    <row r="58" spans="1:20" ht="13.5" customHeight="1">
      <c r="A58" s="653" t="str">
        <f>'Budget-合并'!A58</f>
        <v>6602.04.11</v>
      </c>
      <c r="B58" s="653" t="str">
        <f>'Budget-合并'!B58</f>
        <v>技术服务费</v>
      </c>
      <c r="C58" s="673">
        <f>'Budget-合并'!C58</f>
        <v>0</v>
      </c>
      <c r="D58" s="676">
        <f t="shared" si="18"/>
        <v>0</v>
      </c>
      <c r="F58" s="676">
        <f t="shared" ca="1" si="19"/>
        <v>0</v>
      </c>
      <c r="H58" s="676"/>
      <c r="I58" s="676"/>
      <c r="J58" s="676"/>
      <c r="K58" s="676"/>
      <c r="L58" s="676"/>
      <c r="M58" s="676"/>
      <c r="N58" s="676"/>
      <c r="O58" s="676"/>
      <c r="P58" s="676"/>
      <c r="Q58" s="676"/>
      <c r="R58" s="676"/>
      <c r="S58" s="676"/>
      <c r="T58" s="676">
        <f t="shared" si="12"/>
        <v>0</v>
      </c>
    </row>
    <row r="59" spans="1:20" ht="13.5" customHeight="1">
      <c r="A59" s="653" t="str">
        <f>'Budget-合并'!A59</f>
        <v>6602.04.12</v>
      </c>
      <c r="B59" s="653" t="str">
        <f>'Budget-合并'!B59</f>
        <v>合规支持服务</v>
      </c>
      <c r="C59" s="673" t="str">
        <f>'Budget-合并'!C59</f>
        <v xml:space="preserve">Compliance Support Services </v>
      </c>
      <c r="D59" s="676">
        <f t="shared" si="18"/>
        <v>0</v>
      </c>
      <c r="F59" s="676">
        <f t="shared" ca="1" si="19"/>
        <v>0</v>
      </c>
      <c r="H59" s="676"/>
      <c r="I59" s="676"/>
      <c r="J59" s="676"/>
      <c r="K59" s="676"/>
      <c r="L59" s="676"/>
      <c r="M59" s="676"/>
      <c r="N59" s="676"/>
      <c r="O59" s="676"/>
      <c r="P59" s="676"/>
      <c r="Q59" s="676"/>
      <c r="R59" s="676"/>
      <c r="S59" s="676"/>
      <c r="T59" s="676">
        <f t="shared" si="12"/>
        <v>0</v>
      </c>
    </row>
    <row r="60" spans="1:20" ht="13.5" customHeight="1">
      <c r="A60" s="653" t="str">
        <f>'Budget-合并'!A60</f>
        <v>6602.04.13</v>
      </c>
      <c r="B60" s="653" t="str">
        <f>'Budget-合并'!B60</f>
        <v>咨询费</v>
      </c>
      <c r="C60" s="673" t="str">
        <f>'Budget-合并'!C60</f>
        <v>Consulting fee</v>
      </c>
      <c r="D60" s="676">
        <f t="shared" si="18"/>
        <v>0</v>
      </c>
      <c r="F60" s="676">
        <f t="shared" ca="1" si="19"/>
        <v>0</v>
      </c>
      <c r="H60" s="676"/>
      <c r="I60" s="676"/>
      <c r="J60" s="676"/>
      <c r="K60" s="676"/>
      <c r="L60" s="676"/>
      <c r="M60" s="676"/>
      <c r="N60" s="676"/>
      <c r="O60" s="676"/>
      <c r="P60" s="676"/>
      <c r="Q60" s="676"/>
      <c r="R60" s="676"/>
      <c r="S60" s="676"/>
      <c r="T60" s="676">
        <f t="shared" si="12"/>
        <v>0</v>
      </c>
    </row>
    <row r="61" spans="1:20" ht="13.5" customHeight="1">
      <c r="A61" s="653" t="str">
        <f>'Budget-合并'!A61</f>
        <v>6602.04.99</v>
      </c>
      <c r="B61" s="653" t="str">
        <f>'Budget-合并'!B61</f>
        <v>其他</v>
      </c>
      <c r="C61" s="673">
        <f>'Budget-合并'!C61</f>
        <v>0</v>
      </c>
      <c r="D61" s="676">
        <f t="shared" si="18"/>
        <v>0</v>
      </c>
      <c r="F61" s="676">
        <f t="shared" ca="1" si="19"/>
        <v>0</v>
      </c>
      <c r="H61" s="676"/>
      <c r="I61" s="676"/>
      <c r="J61" s="676"/>
      <c r="K61" s="676"/>
      <c r="L61" s="676"/>
      <c r="M61" s="676"/>
      <c r="N61" s="676"/>
      <c r="O61" s="676"/>
      <c r="P61" s="676"/>
      <c r="Q61" s="676"/>
      <c r="R61" s="676"/>
      <c r="S61" s="676"/>
      <c r="T61" s="676">
        <f t="shared" si="12"/>
        <v>0</v>
      </c>
    </row>
    <row r="62" spans="1:20" ht="13.5" customHeight="1">
      <c r="A62" s="663" t="str">
        <f>'Budget-合并'!A62</f>
        <v>6602.05</v>
      </c>
      <c r="B62" s="678" t="str">
        <f>'Budget-合并'!B62</f>
        <v>占用费</v>
      </c>
      <c r="C62" s="673">
        <f>'Budget-合并'!C62</f>
        <v>0</v>
      </c>
      <c r="D62" s="676">
        <f t="shared" si="18"/>
        <v>0</v>
      </c>
      <c r="F62" s="676">
        <f t="shared" ca="1" si="19"/>
        <v>0</v>
      </c>
      <c r="H62" s="676">
        <f t="shared" ref="H62:S62" si="24">SUM(H63,H67:H74)</f>
        <v>0</v>
      </c>
      <c r="I62" s="676">
        <f t="shared" si="24"/>
        <v>0</v>
      </c>
      <c r="J62" s="676">
        <f t="shared" si="24"/>
        <v>0</v>
      </c>
      <c r="K62" s="676">
        <f t="shared" si="24"/>
        <v>0</v>
      </c>
      <c r="L62" s="676">
        <f t="shared" si="24"/>
        <v>0</v>
      </c>
      <c r="M62" s="676">
        <f t="shared" si="24"/>
        <v>0</v>
      </c>
      <c r="N62" s="676">
        <f t="shared" si="24"/>
        <v>0</v>
      </c>
      <c r="O62" s="676">
        <f t="shared" si="24"/>
        <v>0</v>
      </c>
      <c r="P62" s="676">
        <f t="shared" si="24"/>
        <v>0</v>
      </c>
      <c r="Q62" s="676">
        <f t="shared" si="24"/>
        <v>0</v>
      </c>
      <c r="R62" s="676">
        <f t="shared" si="24"/>
        <v>0</v>
      </c>
      <c r="S62" s="676">
        <f t="shared" si="24"/>
        <v>0</v>
      </c>
      <c r="T62" s="676">
        <f t="shared" si="12"/>
        <v>0</v>
      </c>
    </row>
    <row r="63" spans="1:20" ht="13.5" customHeight="1">
      <c r="A63" s="653" t="str">
        <f>'Budget-合并'!A63</f>
        <v>6602.05.01</v>
      </c>
      <c r="B63" s="653" t="str">
        <f>'Budget-合并'!B63</f>
        <v>办公室租赁费</v>
      </c>
      <c r="C63" s="673">
        <f>'Budget-合并'!C63</f>
        <v>0</v>
      </c>
      <c r="D63" s="676">
        <f t="shared" si="18"/>
        <v>0</v>
      </c>
      <c r="F63" s="676">
        <f t="shared" ca="1" si="19"/>
        <v>0</v>
      </c>
      <c r="H63" s="676">
        <f t="shared" ref="H63:S63" si="25">SUM(H64:H66)</f>
        <v>0</v>
      </c>
      <c r="I63" s="676">
        <f t="shared" si="25"/>
        <v>0</v>
      </c>
      <c r="J63" s="676">
        <f t="shared" si="25"/>
        <v>0</v>
      </c>
      <c r="K63" s="676">
        <f t="shared" si="25"/>
        <v>0</v>
      </c>
      <c r="L63" s="676">
        <f t="shared" si="25"/>
        <v>0</v>
      </c>
      <c r="M63" s="676">
        <f t="shared" si="25"/>
        <v>0</v>
      </c>
      <c r="N63" s="676">
        <f t="shared" si="25"/>
        <v>0</v>
      </c>
      <c r="O63" s="676">
        <f t="shared" si="25"/>
        <v>0</v>
      </c>
      <c r="P63" s="676">
        <f t="shared" si="25"/>
        <v>0</v>
      </c>
      <c r="Q63" s="676">
        <f t="shared" si="25"/>
        <v>0</v>
      </c>
      <c r="R63" s="676">
        <f t="shared" si="25"/>
        <v>0</v>
      </c>
      <c r="S63" s="676">
        <f t="shared" si="25"/>
        <v>0</v>
      </c>
      <c r="T63" s="676">
        <f t="shared" si="12"/>
        <v>0</v>
      </c>
    </row>
    <row r="64" spans="1:20" ht="13.5" customHeight="1">
      <c r="A64" s="653" t="str">
        <f>'Budget-合并'!A64</f>
        <v>6602.05.01.01</v>
      </c>
      <c r="B64" s="653" t="str">
        <f>'Budget-合并'!B64</f>
        <v>旭智咨询--鼎和大厦1606</v>
      </c>
      <c r="C64" s="673">
        <f>'Budget-合并'!C64</f>
        <v>0</v>
      </c>
      <c r="D64" s="676">
        <f t="shared" si="18"/>
        <v>0</v>
      </c>
      <c r="F64" s="676">
        <f t="shared" ca="1" si="19"/>
        <v>0</v>
      </c>
      <c r="H64" s="676"/>
      <c r="I64" s="676"/>
      <c r="J64" s="676"/>
      <c r="K64" s="676"/>
      <c r="L64" s="676"/>
      <c r="M64" s="676"/>
      <c r="N64" s="676"/>
      <c r="O64" s="676"/>
      <c r="P64" s="676"/>
      <c r="Q64" s="676"/>
      <c r="R64" s="676"/>
      <c r="S64" s="676"/>
      <c r="T64" s="676">
        <f t="shared" si="12"/>
        <v>0</v>
      </c>
    </row>
    <row r="65" spans="1:20" ht="13.5" customHeight="1">
      <c r="A65" s="653" t="str">
        <f>'Budget-合并'!A65</f>
        <v>6602.05.01.02</v>
      </c>
      <c r="B65" s="653" t="str">
        <f>'Budget-合并'!B65</f>
        <v>广州注册地址403房J015</v>
      </c>
      <c r="C65" s="673">
        <f>'Budget-合并'!C65</f>
        <v>0</v>
      </c>
      <c r="D65" s="676">
        <f t="shared" si="18"/>
        <v>0</v>
      </c>
      <c r="F65" s="676">
        <f t="shared" ca="1" si="19"/>
        <v>0</v>
      </c>
      <c r="H65" s="676"/>
      <c r="I65" s="676"/>
      <c r="J65" s="676"/>
      <c r="K65" s="676"/>
      <c r="L65" s="676"/>
      <c r="M65" s="676"/>
      <c r="N65" s="676"/>
      <c r="O65" s="676"/>
      <c r="P65" s="676"/>
      <c r="Q65" s="676"/>
      <c r="R65" s="676"/>
      <c r="S65" s="676"/>
      <c r="T65" s="676">
        <f t="shared" si="12"/>
        <v>0</v>
      </c>
    </row>
    <row r="66" spans="1:20" ht="13.5" customHeight="1">
      <c r="A66" s="653" t="str">
        <f>'Budget-合并'!A66</f>
        <v>6602.05.01.03</v>
      </c>
      <c r="B66" s="653" t="str">
        <f>'Budget-合并'!B66</f>
        <v>广州注册地址403房J016</v>
      </c>
      <c r="C66" s="673">
        <f>'Budget-合并'!C66</f>
        <v>0</v>
      </c>
      <c r="D66" s="676">
        <f t="shared" si="18"/>
        <v>0</v>
      </c>
      <c r="F66" s="676">
        <f t="shared" ca="1" si="19"/>
        <v>0</v>
      </c>
      <c r="H66" s="676"/>
      <c r="I66" s="676"/>
      <c r="J66" s="676"/>
      <c r="K66" s="676"/>
      <c r="L66" s="676"/>
      <c r="M66" s="676"/>
      <c r="N66" s="676"/>
      <c r="O66" s="676"/>
      <c r="P66" s="676"/>
      <c r="Q66" s="676"/>
      <c r="R66" s="676"/>
      <c r="S66" s="676"/>
      <c r="T66" s="676">
        <f t="shared" si="12"/>
        <v>0</v>
      </c>
    </row>
    <row r="67" spans="1:20" ht="13.5" customHeight="1">
      <c r="A67" s="653" t="str">
        <f>'Budget-合并'!A67</f>
        <v>6602.05.02</v>
      </c>
      <c r="B67" s="653" t="str">
        <f>'Budget-合并'!B67</f>
        <v>管理费</v>
      </c>
      <c r="C67" s="673" t="str">
        <f>'Budget-合并'!C67</f>
        <v>Management fees</v>
      </c>
      <c r="D67" s="676">
        <f t="shared" si="18"/>
        <v>0</v>
      </c>
      <c r="F67" s="676">
        <f t="shared" ca="1" si="19"/>
        <v>0</v>
      </c>
      <c r="H67" s="676"/>
      <c r="I67" s="676"/>
      <c r="J67" s="676"/>
      <c r="K67" s="676"/>
      <c r="L67" s="676"/>
      <c r="M67" s="676"/>
      <c r="N67" s="676"/>
      <c r="O67" s="676"/>
      <c r="P67" s="676"/>
      <c r="Q67" s="676"/>
      <c r="R67" s="676"/>
      <c r="S67" s="676"/>
      <c r="T67" s="676">
        <f t="shared" si="12"/>
        <v>0</v>
      </c>
    </row>
    <row r="68" spans="1:20" ht="13.5" customHeight="1">
      <c r="A68" s="653" t="str">
        <f>'Budget-合并'!A68</f>
        <v>6602.05.03</v>
      </c>
      <c r="B68" s="653" t="str">
        <f>'Budget-合并'!B68</f>
        <v>电费</v>
      </c>
      <c r="C68" s="673" t="str">
        <f>'Budget-合并'!C68</f>
        <v>Utilities Electric</v>
      </c>
      <c r="D68" s="676">
        <f t="shared" si="18"/>
        <v>0</v>
      </c>
      <c r="F68" s="676">
        <f t="shared" ca="1" si="19"/>
        <v>0</v>
      </c>
      <c r="H68" s="676"/>
      <c r="I68" s="676"/>
      <c r="J68" s="676"/>
      <c r="K68" s="676"/>
      <c r="L68" s="676"/>
      <c r="M68" s="676"/>
      <c r="N68" s="676"/>
      <c r="O68" s="676"/>
      <c r="P68" s="676"/>
      <c r="Q68" s="676"/>
      <c r="R68" s="676"/>
      <c r="S68" s="676"/>
      <c r="T68" s="676">
        <f t="shared" si="12"/>
        <v>0</v>
      </c>
    </row>
    <row r="69" spans="1:20" ht="13.5" customHeight="1">
      <c r="A69" s="653" t="str">
        <f>'Budget-合并'!A69</f>
        <v>6602.05.04</v>
      </c>
      <c r="B69" s="653" t="str">
        <f>'Budget-合并'!B69</f>
        <v>水费</v>
      </c>
      <c r="C69" s="673">
        <f>'Budget-合并'!C69</f>
        <v>0</v>
      </c>
      <c r="D69" s="676">
        <f t="shared" si="18"/>
        <v>0</v>
      </c>
      <c r="F69" s="676">
        <f t="shared" ca="1" si="19"/>
        <v>0</v>
      </c>
      <c r="H69" s="676"/>
      <c r="I69" s="676"/>
      <c r="J69" s="676"/>
      <c r="K69" s="676"/>
      <c r="L69" s="676"/>
      <c r="M69" s="676"/>
      <c r="N69" s="676"/>
      <c r="O69" s="676"/>
      <c r="P69" s="676"/>
      <c r="Q69" s="676"/>
      <c r="R69" s="676"/>
      <c r="S69" s="676"/>
      <c r="T69" s="676">
        <f t="shared" si="12"/>
        <v>0</v>
      </c>
    </row>
    <row r="70" spans="1:20" ht="13.5" customHeight="1">
      <c r="A70" s="653" t="str">
        <f>'Budget-合并'!A70</f>
        <v>6602.05.05</v>
      </c>
      <c r="B70" s="653" t="str">
        <f>'Budget-合并'!B70</f>
        <v>维修费</v>
      </c>
      <c r="C70" s="673" t="str">
        <f>'Budget-合并'!C70</f>
        <v>Office Maintenance &amp; Repair</v>
      </c>
      <c r="D70" s="676">
        <f t="shared" si="18"/>
        <v>0</v>
      </c>
      <c r="F70" s="676">
        <f t="shared" ca="1" si="19"/>
        <v>0</v>
      </c>
      <c r="H70" s="676"/>
      <c r="I70" s="676"/>
      <c r="J70" s="676"/>
      <c r="K70" s="676"/>
      <c r="L70" s="676"/>
      <c r="M70" s="676"/>
      <c r="N70" s="676"/>
      <c r="O70" s="676"/>
      <c r="P70" s="676"/>
      <c r="Q70" s="676"/>
      <c r="R70" s="676"/>
      <c r="S70" s="676"/>
      <c r="T70" s="676">
        <f t="shared" si="12"/>
        <v>0</v>
      </c>
    </row>
    <row r="71" spans="1:20" ht="13.5" customHeight="1">
      <c r="A71" s="653" t="str">
        <f>'Budget-合并'!A71</f>
        <v>6602.05.06</v>
      </c>
      <c r="B71" s="653" t="str">
        <f>'Budget-合并'!B71</f>
        <v>装修费</v>
      </c>
      <c r="C71" s="673" t="str">
        <f>'Budget-合并'!C71</f>
        <v>Depreciation_Leasehold Improvement</v>
      </c>
      <c r="D71" s="676">
        <f t="shared" si="18"/>
        <v>0</v>
      </c>
      <c r="F71" s="676">
        <f t="shared" ca="1" si="19"/>
        <v>0</v>
      </c>
      <c r="H71" s="676"/>
      <c r="I71" s="676"/>
      <c r="J71" s="676"/>
      <c r="K71" s="676"/>
      <c r="L71" s="676"/>
      <c r="M71" s="676"/>
      <c r="N71" s="676"/>
      <c r="O71" s="676"/>
      <c r="P71" s="676"/>
      <c r="Q71" s="676"/>
      <c r="R71" s="676"/>
      <c r="S71" s="676"/>
      <c r="T71" s="676">
        <f t="shared" si="12"/>
        <v>0</v>
      </c>
    </row>
    <row r="72" spans="1:20" ht="13.5" customHeight="1">
      <c r="A72" s="653" t="str">
        <f>'Budget-合并'!A72</f>
        <v>6602.05.07</v>
      </c>
      <c r="B72" s="653" t="str">
        <f>'Budget-合并'!B72</f>
        <v>租金及物业费</v>
      </c>
      <c r="C72" s="673">
        <f>'Budget-合并'!C72</f>
        <v>0</v>
      </c>
      <c r="D72" s="676">
        <f t="shared" si="18"/>
        <v>0</v>
      </c>
      <c r="F72" s="676">
        <f t="shared" ca="1" si="19"/>
        <v>0</v>
      </c>
      <c r="H72" s="676"/>
      <c r="I72" s="676"/>
      <c r="J72" s="676"/>
      <c r="K72" s="676"/>
      <c r="L72" s="676"/>
      <c r="M72" s="676"/>
      <c r="N72" s="676"/>
      <c r="O72" s="676"/>
      <c r="P72" s="676"/>
      <c r="Q72" s="676"/>
      <c r="R72" s="676"/>
      <c r="S72" s="676"/>
      <c r="T72" s="676">
        <f t="shared" si="12"/>
        <v>0</v>
      </c>
    </row>
    <row r="73" spans="1:20" ht="11.1" customHeight="1">
      <c r="A73" s="653" t="str">
        <f>'Budget-合并'!A73</f>
        <v>6602.05.08</v>
      </c>
      <c r="B73" s="653" t="str">
        <f>'Budget-合并'!B73</f>
        <v>集团内分摊</v>
      </c>
      <c r="C73" s="673" t="str">
        <f>'Budget-合并'!C73</f>
        <v>Space Rel X Charge</v>
      </c>
      <c r="D73" s="676">
        <f t="shared" si="18"/>
        <v>0</v>
      </c>
      <c r="F73" s="676">
        <f t="shared" ca="1" si="19"/>
        <v>0</v>
      </c>
      <c r="H73" s="676"/>
      <c r="I73" s="676"/>
      <c r="J73" s="676"/>
      <c r="K73" s="676"/>
      <c r="L73" s="676"/>
      <c r="M73" s="676"/>
      <c r="N73" s="676"/>
      <c r="O73" s="676"/>
      <c r="P73" s="676"/>
      <c r="Q73" s="676"/>
      <c r="R73" s="676"/>
      <c r="S73" s="676"/>
      <c r="T73" s="676">
        <f t="shared" si="12"/>
        <v>0</v>
      </c>
    </row>
    <row r="74" spans="1:20" ht="11.1" customHeight="1">
      <c r="A74" s="653" t="str">
        <f>'Budget-合并'!A74</f>
        <v>6602.05.99</v>
      </c>
      <c r="B74" s="653" t="str">
        <f>'Budget-合并'!B74</f>
        <v>其他</v>
      </c>
      <c r="C74" s="673">
        <f>'Budget-合并'!C74</f>
        <v>0</v>
      </c>
      <c r="D74" s="676">
        <f t="shared" si="18"/>
        <v>0</v>
      </c>
      <c r="F74" s="676">
        <f t="shared" ca="1" si="19"/>
        <v>0</v>
      </c>
      <c r="H74" s="676"/>
      <c r="I74" s="676"/>
      <c r="J74" s="676"/>
      <c r="K74" s="676"/>
      <c r="L74" s="676"/>
      <c r="M74" s="676"/>
      <c r="N74" s="676"/>
      <c r="O74" s="676"/>
      <c r="P74" s="676"/>
      <c r="Q74" s="676"/>
      <c r="R74" s="676"/>
      <c r="S74" s="676"/>
      <c r="T74" s="676">
        <f t="shared" si="12"/>
        <v>0</v>
      </c>
    </row>
    <row r="75" spans="1:20" ht="11.1" customHeight="1">
      <c r="A75" s="663" t="str">
        <f>'Budget-合并'!A75</f>
        <v>6602.06</v>
      </c>
      <c r="B75" s="678" t="str">
        <f>'Budget-合并'!B75</f>
        <v>业务招待费</v>
      </c>
      <c r="C75" s="673" t="str">
        <f>'Budget-合并'!C75</f>
        <v>Client Entertainment</v>
      </c>
      <c r="D75" s="676">
        <f t="shared" si="18"/>
        <v>0</v>
      </c>
      <c r="F75" s="676">
        <f t="shared" ca="1" si="19"/>
        <v>0</v>
      </c>
      <c r="H75" s="676">
        <f t="shared" ref="H75:S75" si="26">SUM(H76:H78)</f>
        <v>0</v>
      </c>
      <c r="I75" s="676">
        <f t="shared" si="26"/>
        <v>0</v>
      </c>
      <c r="J75" s="676">
        <f t="shared" si="26"/>
        <v>0</v>
      </c>
      <c r="K75" s="676">
        <f t="shared" si="26"/>
        <v>0</v>
      </c>
      <c r="L75" s="676">
        <f t="shared" si="26"/>
        <v>0</v>
      </c>
      <c r="M75" s="676">
        <f t="shared" si="26"/>
        <v>0</v>
      </c>
      <c r="N75" s="676">
        <f t="shared" si="26"/>
        <v>0</v>
      </c>
      <c r="O75" s="676">
        <f t="shared" si="26"/>
        <v>0</v>
      </c>
      <c r="P75" s="676">
        <f t="shared" si="26"/>
        <v>0</v>
      </c>
      <c r="Q75" s="676">
        <f t="shared" si="26"/>
        <v>0</v>
      </c>
      <c r="R75" s="676">
        <f t="shared" si="26"/>
        <v>0</v>
      </c>
      <c r="S75" s="676">
        <f t="shared" si="26"/>
        <v>0</v>
      </c>
      <c r="T75" s="676">
        <f t="shared" si="12"/>
        <v>0</v>
      </c>
    </row>
    <row r="76" spans="1:20" ht="11.1" customHeight="1">
      <c r="A76" s="653">
        <f>'Budget-合并'!A76</f>
        <v>0</v>
      </c>
      <c r="B76" s="653" t="str">
        <f>'Budget-合并'!B76</f>
        <v xml:space="preserve">    公司主体02</v>
      </c>
      <c r="C76" s="673" t="str">
        <f>'Budget-合并'!C76</f>
        <v xml:space="preserve">   Entity</v>
      </c>
      <c r="D76" s="676">
        <f t="shared" si="18"/>
        <v>0</v>
      </c>
      <c r="F76" s="676">
        <f t="shared" ca="1" si="19"/>
        <v>0</v>
      </c>
      <c r="H76" s="676"/>
      <c r="I76" s="676"/>
      <c r="J76" s="676"/>
      <c r="K76" s="676"/>
      <c r="L76" s="676"/>
      <c r="M76" s="676"/>
      <c r="N76" s="676"/>
      <c r="O76" s="676"/>
      <c r="P76" s="676"/>
      <c r="Q76" s="676"/>
      <c r="R76" s="676"/>
      <c r="S76" s="676"/>
      <c r="T76" s="676">
        <f t="shared" si="12"/>
        <v>0</v>
      </c>
    </row>
    <row r="77" spans="1:20" ht="11.1" customHeight="1">
      <c r="A77" s="653">
        <f>'Budget-合并'!A77</f>
        <v>0</v>
      </c>
      <c r="B77" s="653" t="str">
        <f>'Budget-合并'!B77</f>
        <v xml:space="preserve">    旭智富能02</v>
      </c>
      <c r="C77" s="673" t="str">
        <f>'Budget-合并'!C77</f>
        <v xml:space="preserve">   Foxpower</v>
      </c>
      <c r="D77" s="676">
        <f t="shared" si="18"/>
        <v>0</v>
      </c>
      <c r="F77" s="676">
        <f t="shared" ca="1" si="19"/>
        <v>0</v>
      </c>
      <c r="H77" s="676"/>
      <c r="I77" s="676"/>
      <c r="J77" s="676"/>
      <c r="K77" s="676"/>
      <c r="L77" s="676"/>
      <c r="M77" s="676"/>
      <c r="N77" s="676"/>
      <c r="O77" s="676"/>
      <c r="P77" s="676"/>
      <c r="Q77" s="676"/>
      <c r="R77" s="676"/>
      <c r="S77" s="676"/>
      <c r="T77" s="676">
        <f t="shared" si="12"/>
        <v>0</v>
      </c>
    </row>
    <row r="78" spans="1:20" ht="11.1" customHeight="1">
      <c r="A78" s="653">
        <f>'Budget-合并'!A78</f>
        <v>0</v>
      </c>
      <c r="B78" s="653" t="str">
        <f>'Budget-合并'!B78</f>
        <v xml:space="preserve">    其他项目02</v>
      </c>
      <c r="C78" s="673" t="str">
        <f>'Budget-合并'!C78</f>
        <v xml:space="preserve">   Other project</v>
      </c>
      <c r="D78" s="676">
        <f t="shared" si="18"/>
        <v>0</v>
      </c>
      <c r="F78" s="676">
        <f t="shared" ca="1" si="19"/>
        <v>0</v>
      </c>
      <c r="H78" s="676"/>
      <c r="I78" s="676"/>
      <c r="J78" s="676"/>
      <c r="K78" s="676"/>
      <c r="L78" s="676"/>
      <c r="M78" s="676"/>
      <c r="N78" s="676"/>
      <c r="O78" s="676"/>
      <c r="P78" s="676"/>
      <c r="Q78" s="676"/>
      <c r="R78" s="676"/>
      <c r="S78" s="676"/>
      <c r="T78" s="676">
        <f t="shared" si="12"/>
        <v>0</v>
      </c>
    </row>
    <row r="79" spans="1:20" ht="11.1" customHeight="1">
      <c r="A79" s="653" t="str">
        <f>'Budget-合并'!A79</f>
        <v>6602.07</v>
      </c>
      <c r="B79" s="653" t="str">
        <f>'Budget-合并'!B79</f>
        <v>广告费和业务宣传费</v>
      </c>
      <c r="C79" s="673">
        <f>'Budget-合并'!C79</f>
        <v>0</v>
      </c>
      <c r="D79" s="676">
        <f t="shared" si="18"/>
        <v>0</v>
      </c>
      <c r="F79" s="676">
        <f t="shared" ca="1" si="19"/>
        <v>0</v>
      </c>
      <c r="H79" s="676"/>
      <c r="I79" s="676"/>
      <c r="J79" s="676"/>
      <c r="K79" s="676"/>
      <c r="L79" s="676"/>
      <c r="M79" s="676"/>
      <c r="N79" s="676"/>
      <c r="O79" s="676"/>
      <c r="P79" s="676"/>
      <c r="Q79" s="676"/>
      <c r="R79" s="676"/>
      <c r="S79" s="676"/>
      <c r="T79" s="676">
        <f t="shared" si="12"/>
        <v>0</v>
      </c>
    </row>
    <row r="80" spans="1:20" ht="11.1" customHeight="1">
      <c r="A80" s="663" t="str">
        <f>'Budget-合并'!A80</f>
        <v>6602.08</v>
      </c>
      <c r="B80" s="678" t="str">
        <f>'Budget-合并'!B80</f>
        <v>事务费用</v>
      </c>
      <c r="C80" s="673">
        <f>'Budget-合并'!C80</f>
        <v>0</v>
      </c>
      <c r="D80" s="676">
        <f t="shared" si="18"/>
        <v>0</v>
      </c>
      <c r="F80" s="676">
        <f t="shared" ca="1" si="19"/>
        <v>0</v>
      </c>
      <c r="H80" s="676">
        <f t="shared" ref="H80:S80" si="27">SUM(H81:H91)</f>
        <v>0</v>
      </c>
      <c r="I80" s="676">
        <f t="shared" si="27"/>
        <v>0</v>
      </c>
      <c r="J80" s="676">
        <f t="shared" si="27"/>
        <v>0</v>
      </c>
      <c r="K80" s="676">
        <f t="shared" si="27"/>
        <v>0</v>
      </c>
      <c r="L80" s="676">
        <f t="shared" si="27"/>
        <v>0</v>
      </c>
      <c r="M80" s="676">
        <f t="shared" si="27"/>
        <v>0</v>
      </c>
      <c r="N80" s="676">
        <f t="shared" si="27"/>
        <v>0</v>
      </c>
      <c r="O80" s="676">
        <f t="shared" si="27"/>
        <v>0</v>
      </c>
      <c r="P80" s="676">
        <f t="shared" si="27"/>
        <v>0</v>
      </c>
      <c r="Q80" s="676">
        <f t="shared" si="27"/>
        <v>0</v>
      </c>
      <c r="R80" s="676">
        <f t="shared" si="27"/>
        <v>0</v>
      </c>
      <c r="S80" s="676">
        <f t="shared" si="27"/>
        <v>0</v>
      </c>
      <c r="T80" s="676">
        <f t="shared" si="12"/>
        <v>0</v>
      </c>
    </row>
    <row r="81" spans="1:20" ht="11.1" customHeight="1">
      <c r="A81" s="653" t="str">
        <f>'Budget-合并'!A81</f>
        <v>6602.08.01</v>
      </c>
      <c r="B81" s="653" t="str">
        <f>'Budget-合并'!B81</f>
        <v>通信费</v>
      </c>
      <c r="C81" s="673" t="str">
        <f>'Budget-合并'!C81</f>
        <v>Telephone Monthly/Base Charge</v>
      </c>
      <c r="D81" s="676">
        <f t="shared" si="18"/>
        <v>0</v>
      </c>
      <c r="F81" s="676">
        <f t="shared" ca="1" si="19"/>
        <v>0</v>
      </c>
      <c r="H81" s="676"/>
      <c r="I81" s="676"/>
      <c r="J81" s="676"/>
      <c r="K81" s="676"/>
      <c r="L81" s="676"/>
      <c r="M81" s="676"/>
      <c r="N81" s="676"/>
      <c r="O81" s="676"/>
      <c r="P81" s="676"/>
      <c r="Q81" s="676"/>
      <c r="R81" s="676"/>
      <c r="S81" s="676"/>
      <c r="T81" s="676">
        <f t="shared" si="12"/>
        <v>0</v>
      </c>
    </row>
    <row r="82" spans="1:20" ht="11.1" customHeight="1">
      <c r="A82" s="653" t="str">
        <f>'Budget-合并'!A82</f>
        <v>6602.08.02</v>
      </c>
      <c r="B82" s="653" t="str">
        <f>'Budget-合并'!B82</f>
        <v>电脑软件费</v>
      </c>
      <c r="C82" s="673" t="str">
        <f>'Budget-合并'!C82</f>
        <v xml:space="preserve">PC Software </v>
      </c>
      <c r="D82" s="676">
        <f t="shared" si="18"/>
        <v>0</v>
      </c>
      <c r="F82" s="676">
        <f t="shared" ca="1" si="19"/>
        <v>0</v>
      </c>
      <c r="H82" s="676"/>
      <c r="I82" s="676"/>
      <c r="J82" s="676"/>
      <c r="K82" s="676"/>
      <c r="L82" s="676"/>
      <c r="M82" s="676"/>
      <c r="N82" s="676"/>
      <c r="O82" s="676"/>
      <c r="P82" s="676"/>
      <c r="Q82" s="676"/>
      <c r="R82" s="676"/>
      <c r="S82" s="676"/>
      <c r="T82" s="676">
        <f t="shared" si="12"/>
        <v>0</v>
      </c>
    </row>
    <row r="83" spans="1:20" ht="12.95" customHeight="1">
      <c r="A83" s="653" t="str">
        <f>'Budget-合并'!A83</f>
        <v>6602.08.03</v>
      </c>
      <c r="B83" s="653" t="str">
        <f>'Budget-合并'!B83</f>
        <v>办公用品</v>
      </c>
      <c r="C83" s="673" t="str">
        <f>'Budget-合并'!C83</f>
        <v xml:space="preserve">Office Supplies </v>
      </c>
      <c r="D83" s="676">
        <f t="shared" si="18"/>
        <v>0</v>
      </c>
      <c r="F83" s="676">
        <f t="shared" ca="1" si="19"/>
        <v>0</v>
      </c>
      <c r="H83" s="676"/>
      <c r="I83" s="676"/>
      <c r="J83" s="676"/>
      <c r="K83" s="676"/>
      <c r="L83" s="676"/>
      <c r="M83" s="676"/>
      <c r="N83" s="676"/>
      <c r="O83" s="676"/>
      <c r="P83" s="676"/>
      <c r="Q83" s="676"/>
      <c r="R83" s="676"/>
      <c r="S83" s="676"/>
      <c r="T83" s="676">
        <f t="shared" si="12"/>
        <v>0</v>
      </c>
    </row>
    <row r="84" spans="1:20" ht="11.1" customHeight="1">
      <c r="A84" s="653" t="str">
        <f>'Budget-合并'!A84</f>
        <v>6602.08.04</v>
      </c>
      <c r="B84" s="653" t="str">
        <f>'Budget-合并'!B84</f>
        <v>事务保金</v>
      </c>
      <c r="C84" s="673" t="str">
        <f>'Budget-合并'!C84</f>
        <v>Other Insurance</v>
      </c>
      <c r="D84" s="676">
        <f t="shared" si="18"/>
        <v>0</v>
      </c>
      <c r="F84" s="676">
        <f t="shared" ca="1" si="19"/>
        <v>0</v>
      </c>
      <c r="H84" s="676"/>
      <c r="I84" s="676"/>
      <c r="J84" s="676"/>
      <c r="K84" s="676"/>
      <c r="L84" s="676"/>
      <c r="M84" s="676"/>
      <c r="N84" s="676"/>
      <c r="O84" s="676"/>
      <c r="P84" s="676"/>
      <c r="Q84" s="676"/>
      <c r="R84" s="676"/>
      <c r="S84" s="676"/>
      <c r="T84" s="676">
        <f t="shared" si="12"/>
        <v>0</v>
      </c>
    </row>
    <row r="85" spans="1:20" ht="11.1" customHeight="1">
      <c r="A85" s="653" t="str">
        <f>'Budget-合并'!A85</f>
        <v>6602.08.05</v>
      </c>
      <c r="B85" s="653" t="str">
        <f>'Budget-合并'!B85</f>
        <v>邮费/邮递费</v>
      </c>
      <c r="C85" s="673" t="str">
        <f>'Budget-合并'!C85</f>
        <v>Postage / Freight / Delivery</v>
      </c>
      <c r="D85" s="676">
        <f t="shared" si="18"/>
        <v>0</v>
      </c>
      <c r="F85" s="676">
        <f t="shared" ca="1" si="19"/>
        <v>0</v>
      </c>
      <c r="H85" s="676"/>
      <c r="I85" s="676"/>
      <c r="J85" s="676"/>
      <c r="K85" s="676"/>
      <c r="L85" s="676"/>
      <c r="M85" s="676"/>
      <c r="N85" s="676"/>
      <c r="O85" s="676"/>
      <c r="P85" s="676"/>
      <c r="Q85" s="676"/>
      <c r="R85" s="676"/>
      <c r="S85" s="676"/>
      <c r="T85" s="676">
        <f t="shared" si="12"/>
        <v>0</v>
      </c>
    </row>
    <row r="86" spans="1:20" ht="11.1" customHeight="1">
      <c r="A86" s="653" t="str">
        <f>'Budget-合并'!A86</f>
        <v>6602.08.06</v>
      </c>
      <c r="B86" s="653" t="str">
        <f>'Budget-合并'!B86</f>
        <v>IT专业人士及微软服务</v>
      </c>
      <c r="C86" s="673" t="str">
        <f>'Budget-合并'!C86</f>
        <v xml:space="preserve">IT Professional &amp; MS Services </v>
      </c>
      <c r="D86" s="676">
        <f t="shared" si="18"/>
        <v>0</v>
      </c>
      <c r="F86" s="676">
        <f t="shared" ca="1" si="19"/>
        <v>0</v>
      </c>
      <c r="H86" s="676"/>
      <c r="I86" s="676"/>
      <c r="J86" s="676"/>
      <c r="K86" s="676"/>
      <c r="L86" s="676"/>
      <c r="M86" s="676"/>
      <c r="N86" s="676"/>
      <c r="O86" s="676"/>
      <c r="P86" s="676"/>
      <c r="Q86" s="676"/>
      <c r="R86" s="676"/>
      <c r="S86" s="676"/>
      <c r="T86" s="676">
        <f t="shared" si="12"/>
        <v>0</v>
      </c>
    </row>
    <row r="87" spans="1:20" ht="11.1" customHeight="1">
      <c r="A87" s="653" t="str">
        <f>'Budget-合并'!A87</f>
        <v>6602.08.07</v>
      </c>
      <c r="B87" s="653" t="str">
        <f>'Budget-合并'!B87</f>
        <v>软件许可证费用</v>
      </c>
      <c r="C87" s="673" t="str">
        <f>'Budget-合并'!C87</f>
        <v xml:space="preserve">Software Licence Fee Exp </v>
      </c>
      <c r="D87" s="676">
        <f t="shared" si="18"/>
        <v>0</v>
      </c>
      <c r="F87" s="676">
        <f t="shared" ca="1" si="19"/>
        <v>0</v>
      </c>
      <c r="H87" s="676"/>
      <c r="I87" s="676"/>
      <c r="J87" s="676"/>
      <c r="K87" s="676"/>
      <c r="L87" s="676"/>
      <c r="M87" s="676"/>
      <c r="N87" s="676"/>
      <c r="O87" s="676"/>
      <c r="P87" s="676"/>
      <c r="Q87" s="676"/>
      <c r="R87" s="676"/>
      <c r="S87" s="676"/>
      <c r="T87" s="676">
        <f t="shared" ref="T87:T150" si="28">SUM(H87:S87)</f>
        <v>0</v>
      </c>
    </row>
    <row r="88" spans="1:20" ht="11.1" customHeight="1">
      <c r="A88" s="653" t="str">
        <f>'Budget-合并'!A88</f>
        <v>6602.08.08</v>
      </c>
      <c r="B88" s="653" t="str">
        <f>'Budget-合并'!B88</f>
        <v>软件使用费</v>
      </c>
      <c r="C88" s="673">
        <f>'Budget-合并'!C88</f>
        <v>0</v>
      </c>
      <c r="D88" s="676">
        <f t="shared" si="18"/>
        <v>0</v>
      </c>
      <c r="F88" s="676">
        <f t="shared" ca="1" si="19"/>
        <v>0</v>
      </c>
      <c r="H88" s="676"/>
      <c r="I88" s="676"/>
      <c r="J88" s="676"/>
      <c r="K88" s="676"/>
      <c r="L88" s="676"/>
      <c r="M88" s="676"/>
      <c r="N88" s="676"/>
      <c r="O88" s="676"/>
      <c r="P88" s="676"/>
      <c r="Q88" s="676"/>
      <c r="R88" s="676"/>
      <c r="S88" s="676"/>
      <c r="T88" s="676">
        <f t="shared" si="28"/>
        <v>0</v>
      </c>
    </row>
    <row r="89" spans="1:20" ht="11.1" customHeight="1">
      <c r="A89" s="653" t="str">
        <f>'Budget-合并'!A89</f>
        <v>6602.08.09</v>
      </c>
      <c r="B89" s="653" t="str">
        <f>'Budget-合并'!B89</f>
        <v>清洁服务</v>
      </c>
      <c r="C89" s="673">
        <f>'Budget-合并'!C89</f>
        <v>0</v>
      </c>
      <c r="D89" s="676">
        <f t="shared" si="18"/>
        <v>0</v>
      </c>
      <c r="F89" s="676">
        <f t="shared" ca="1" si="19"/>
        <v>0</v>
      </c>
      <c r="H89" s="676"/>
      <c r="I89" s="676"/>
      <c r="J89" s="676"/>
      <c r="K89" s="676"/>
      <c r="L89" s="676"/>
      <c r="M89" s="676"/>
      <c r="N89" s="676"/>
      <c r="O89" s="676"/>
      <c r="P89" s="676"/>
      <c r="Q89" s="676"/>
      <c r="R89" s="676"/>
      <c r="S89" s="676"/>
      <c r="T89" s="676">
        <f t="shared" si="28"/>
        <v>0</v>
      </c>
    </row>
    <row r="90" spans="1:20" ht="11.1" customHeight="1">
      <c r="A90" s="653" t="str">
        <f>'Budget-合并'!A90</f>
        <v>6602.08.10</v>
      </c>
      <c r="B90" s="653" t="str">
        <f>'Budget-合并'!B90</f>
        <v>电话国际直拨/电话会议收费</v>
      </c>
      <c r="C90" s="673" t="str">
        <f>'Budget-合并'!C90</f>
        <v>Telephone IDD/Teleconf Charge</v>
      </c>
      <c r="D90" s="676">
        <f t="shared" si="18"/>
        <v>0</v>
      </c>
      <c r="F90" s="676">
        <f t="shared" ca="1" si="19"/>
        <v>0</v>
      </c>
      <c r="H90" s="676"/>
      <c r="I90" s="676"/>
      <c r="J90" s="676"/>
      <c r="K90" s="676"/>
      <c r="L90" s="676"/>
      <c r="M90" s="676"/>
      <c r="N90" s="676"/>
      <c r="O90" s="676"/>
      <c r="P90" s="676"/>
      <c r="Q90" s="676"/>
      <c r="R90" s="676"/>
      <c r="S90" s="676"/>
      <c r="T90" s="676">
        <f t="shared" si="28"/>
        <v>0</v>
      </c>
    </row>
    <row r="91" spans="1:20" ht="11.1" customHeight="1">
      <c r="A91" s="653" t="str">
        <f>'Budget-合并'!A91</f>
        <v>6602.08.99</v>
      </c>
      <c r="B91" s="653" t="str">
        <f>'Budget-合并'!B91</f>
        <v>其他</v>
      </c>
      <c r="C91" s="673">
        <f>'Budget-合并'!C91</f>
        <v>0</v>
      </c>
      <c r="D91" s="676">
        <f t="shared" si="18"/>
        <v>0</v>
      </c>
      <c r="F91" s="676">
        <f t="shared" ca="1" si="19"/>
        <v>0</v>
      </c>
      <c r="H91" s="676"/>
      <c r="I91" s="676"/>
      <c r="J91" s="676"/>
      <c r="K91" s="676"/>
      <c r="L91" s="676"/>
      <c r="M91" s="676"/>
      <c r="N91" s="676"/>
      <c r="O91" s="676"/>
      <c r="P91" s="676"/>
      <c r="Q91" s="676"/>
      <c r="R91" s="676"/>
      <c r="S91" s="676"/>
      <c r="T91" s="676">
        <f t="shared" si="28"/>
        <v>0</v>
      </c>
    </row>
    <row r="92" spans="1:20" ht="11.1" customHeight="1">
      <c r="A92" s="663" t="str">
        <f>'Budget-合并'!A92</f>
        <v>6602.09</v>
      </c>
      <c r="B92" s="678" t="str">
        <f>'Budget-合并'!B92</f>
        <v>差旅费</v>
      </c>
      <c r="C92" s="673">
        <f>'Budget-合并'!C92</f>
        <v>0</v>
      </c>
      <c r="D92" s="676">
        <f t="shared" si="18"/>
        <v>0</v>
      </c>
      <c r="F92" s="676">
        <f t="shared" ca="1" si="19"/>
        <v>0</v>
      </c>
      <c r="H92" s="676">
        <f t="shared" ref="H92:S92" si="29">SUM(H93,H97,H101,H105,H109,H113,H117,H118,H122,H126)</f>
        <v>0</v>
      </c>
      <c r="I92" s="676">
        <f t="shared" si="29"/>
        <v>0</v>
      </c>
      <c r="J92" s="676">
        <f t="shared" si="29"/>
        <v>0</v>
      </c>
      <c r="K92" s="676">
        <f t="shared" si="29"/>
        <v>0</v>
      </c>
      <c r="L92" s="676">
        <f t="shared" si="29"/>
        <v>0</v>
      </c>
      <c r="M92" s="676">
        <f t="shared" si="29"/>
        <v>0</v>
      </c>
      <c r="N92" s="676">
        <f t="shared" si="29"/>
        <v>0</v>
      </c>
      <c r="O92" s="676">
        <f t="shared" si="29"/>
        <v>0</v>
      </c>
      <c r="P92" s="676">
        <f t="shared" si="29"/>
        <v>0</v>
      </c>
      <c r="Q92" s="676">
        <f t="shared" si="29"/>
        <v>0</v>
      </c>
      <c r="R92" s="676">
        <f t="shared" si="29"/>
        <v>0</v>
      </c>
      <c r="S92" s="676">
        <f t="shared" si="29"/>
        <v>0</v>
      </c>
      <c r="T92" s="676">
        <f t="shared" si="28"/>
        <v>0</v>
      </c>
    </row>
    <row r="93" spans="1:20" ht="11.1" customHeight="1">
      <c r="A93" s="653" t="str">
        <f>'Budget-合并'!A93</f>
        <v>6602.09.01</v>
      </c>
      <c r="B93" s="653" t="str">
        <f>'Budget-合并'!B93</f>
        <v>住宿费</v>
      </c>
      <c r="C93" s="673" t="str">
        <f>'Budget-合并'!C93</f>
        <v>Travel Lodging</v>
      </c>
      <c r="D93" s="676">
        <f t="shared" si="18"/>
        <v>0</v>
      </c>
      <c r="F93" s="676">
        <f t="shared" ca="1" si="19"/>
        <v>0</v>
      </c>
      <c r="H93" s="676">
        <f t="shared" ref="H93:S93" si="30">SUM(H94:H96)</f>
        <v>0</v>
      </c>
      <c r="I93" s="676">
        <f t="shared" si="30"/>
        <v>0</v>
      </c>
      <c r="J93" s="676">
        <f t="shared" si="30"/>
        <v>0</v>
      </c>
      <c r="K93" s="676">
        <f t="shared" si="30"/>
        <v>0</v>
      </c>
      <c r="L93" s="676">
        <f t="shared" si="30"/>
        <v>0</v>
      </c>
      <c r="M93" s="676">
        <f t="shared" si="30"/>
        <v>0</v>
      </c>
      <c r="N93" s="676">
        <f t="shared" si="30"/>
        <v>0</v>
      </c>
      <c r="O93" s="676">
        <f t="shared" si="30"/>
        <v>0</v>
      </c>
      <c r="P93" s="676">
        <f t="shared" si="30"/>
        <v>0</v>
      </c>
      <c r="Q93" s="676">
        <f t="shared" si="30"/>
        <v>0</v>
      </c>
      <c r="R93" s="676">
        <f t="shared" si="30"/>
        <v>0</v>
      </c>
      <c r="S93" s="676">
        <f t="shared" si="30"/>
        <v>0</v>
      </c>
      <c r="T93" s="676">
        <f t="shared" si="28"/>
        <v>0</v>
      </c>
    </row>
    <row r="94" spans="1:20" ht="11.1" customHeight="1">
      <c r="A94" s="653">
        <f>'Budget-合并'!A94</f>
        <v>0</v>
      </c>
      <c r="B94" s="653" t="str">
        <f>'Budget-合并'!B94</f>
        <v xml:space="preserve">    公司主体03</v>
      </c>
      <c r="C94" s="673" t="str">
        <f>'Budget-合并'!C94</f>
        <v xml:space="preserve">   Entity</v>
      </c>
      <c r="D94" s="676">
        <f t="shared" si="18"/>
        <v>0</v>
      </c>
      <c r="F94" s="676">
        <f t="shared" ca="1" si="19"/>
        <v>0</v>
      </c>
      <c r="H94" s="676"/>
      <c r="I94" s="676"/>
      <c r="J94" s="676"/>
      <c r="K94" s="676"/>
      <c r="L94" s="676"/>
      <c r="M94" s="676"/>
      <c r="N94" s="676"/>
      <c r="O94" s="676"/>
      <c r="P94" s="676"/>
      <c r="Q94" s="676"/>
      <c r="R94" s="676"/>
      <c r="S94" s="676"/>
      <c r="T94" s="676">
        <f t="shared" si="28"/>
        <v>0</v>
      </c>
    </row>
    <row r="95" spans="1:20" ht="11.1" customHeight="1">
      <c r="A95" s="653">
        <f>'Budget-合并'!A95</f>
        <v>0</v>
      </c>
      <c r="B95" s="653" t="str">
        <f>'Budget-合并'!B95</f>
        <v xml:space="preserve">    旭智富能03</v>
      </c>
      <c r="C95" s="673" t="str">
        <f>'Budget-合并'!C95</f>
        <v xml:space="preserve">   Foxpower</v>
      </c>
      <c r="D95" s="676">
        <f t="shared" si="18"/>
        <v>0</v>
      </c>
      <c r="F95" s="676">
        <f t="shared" ca="1" si="19"/>
        <v>0</v>
      </c>
      <c r="H95" s="676"/>
      <c r="I95" s="676"/>
      <c r="J95" s="676"/>
      <c r="K95" s="676"/>
      <c r="L95" s="676"/>
      <c r="M95" s="676"/>
      <c r="N95" s="676"/>
      <c r="O95" s="676"/>
      <c r="P95" s="676"/>
      <c r="Q95" s="676"/>
      <c r="R95" s="676"/>
      <c r="S95" s="676"/>
      <c r="T95" s="676">
        <f t="shared" si="28"/>
        <v>0</v>
      </c>
    </row>
    <row r="96" spans="1:20" ht="11.1" customHeight="1">
      <c r="A96" s="653">
        <f>'Budget-合并'!A96</f>
        <v>0</v>
      </c>
      <c r="B96" s="653" t="str">
        <f>'Budget-合并'!B96</f>
        <v xml:space="preserve">    其他项目03</v>
      </c>
      <c r="C96" s="673" t="str">
        <f>'Budget-合并'!C96</f>
        <v xml:space="preserve">   Other project</v>
      </c>
      <c r="D96" s="676">
        <f t="shared" si="18"/>
        <v>0</v>
      </c>
      <c r="F96" s="676">
        <f t="shared" ca="1" si="19"/>
        <v>0</v>
      </c>
      <c r="H96" s="676"/>
      <c r="I96" s="676"/>
      <c r="J96" s="676"/>
      <c r="K96" s="676"/>
      <c r="L96" s="676"/>
      <c r="M96" s="676"/>
      <c r="N96" s="676"/>
      <c r="O96" s="676"/>
      <c r="P96" s="676"/>
      <c r="Q96" s="676"/>
      <c r="R96" s="676"/>
      <c r="S96" s="676"/>
      <c r="T96" s="676">
        <f t="shared" si="28"/>
        <v>0</v>
      </c>
    </row>
    <row r="97" spans="1:20" ht="11.1" customHeight="1">
      <c r="A97" s="653" t="str">
        <f>'Budget-合并'!A97</f>
        <v>6602.09.02</v>
      </c>
      <c r="B97" s="653" t="str">
        <f>'Budget-合并'!B97</f>
        <v>伙食费</v>
      </c>
      <c r="C97" s="673">
        <f>'Budget-合并'!C97</f>
        <v>0</v>
      </c>
      <c r="D97" s="676">
        <f t="shared" si="18"/>
        <v>0</v>
      </c>
      <c r="F97" s="676">
        <f t="shared" ca="1" si="19"/>
        <v>0</v>
      </c>
      <c r="H97" s="676">
        <f t="shared" ref="H97:S97" si="31">SUM(H98:H100)</f>
        <v>0</v>
      </c>
      <c r="I97" s="676">
        <f t="shared" si="31"/>
        <v>0</v>
      </c>
      <c r="J97" s="676">
        <f t="shared" si="31"/>
        <v>0</v>
      </c>
      <c r="K97" s="676">
        <f t="shared" si="31"/>
        <v>0</v>
      </c>
      <c r="L97" s="676">
        <f t="shared" si="31"/>
        <v>0</v>
      </c>
      <c r="M97" s="676">
        <f t="shared" si="31"/>
        <v>0</v>
      </c>
      <c r="N97" s="676">
        <f t="shared" si="31"/>
        <v>0</v>
      </c>
      <c r="O97" s="676">
        <f t="shared" si="31"/>
        <v>0</v>
      </c>
      <c r="P97" s="676">
        <f t="shared" si="31"/>
        <v>0</v>
      </c>
      <c r="Q97" s="676">
        <f t="shared" si="31"/>
        <v>0</v>
      </c>
      <c r="R97" s="676">
        <f t="shared" si="31"/>
        <v>0</v>
      </c>
      <c r="S97" s="676">
        <f t="shared" si="31"/>
        <v>0</v>
      </c>
      <c r="T97" s="676">
        <f t="shared" si="28"/>
        <v>0</v>
      </c>
    </row>
    <row r="98" spans="1:20" ht="11.1" customHeight="1">
      <c r="A98" s="653">
        <f>'Budget-合并'!A98</f>
        <v>0</v>
      </c>
      <c r="B98" s="653" t="str">
        <f>'Budget-合并'!B98</f>
        <v xml:space="preserve">    公司主体04</v>
      </c>
      <c r="C98" s="673" t="str">
        <f>'Budget-合并'!C98</f>
        <v xml:space="preserve">   Entity</v>
      </c>
      <c r="D98" s="676">
        <f t="shared" si="18"/>
        <v>0</v>
      </c>
      <c r="F98" s="676">
        <f t="shared" ca="1" si="19"/>
        <v>0</v>
      </c>
      <c r="H98" s="676"/>
      <c r="I98" s="676"/>
      <c r="J98" s="676"/>
      <c r="K98" s="676"/>
      <c r="L98" s="676"/>
      <c r="M98" s="676"/>
      <c r="N98" s="676"/>
      <c r="O98" s="676"/>
      <c r="P98" s="676"/>
      <c r="Q98" s="676"/>
      <c r="R98" s="676"/>
      <c r="S98" s="676"/>
      <c r="T98" s="676">
        <f t="shared" si="28"/>
        <v>0</v>
      </c>
    </row>
    <row r="99" spans="1:20" ht="11.1" customHeight="1">
      <c r="A99" s="653">
        <f>'Budget-合并'!A99</f>
        <v>0</v>
      </c>
      <c r="B99" s="653" t="str">
        <f>'Budget-合并'!B99</f>
        <v xml:space="preserve">    旭智富能04</v>
      </c>
      <c r="C99" s="673" t="str">
        <f>'Budget-合并'!C99</f>
        <v xml:space="preserve">   Foxpower</v>
      </c>
      <c r="D99" s="676">
        <f t="shared" si="18"/>
        <v>0</v>
      </c>
      <c r="F99" s="676">
        <f t="shared" ca="1" si="19"/>
        <v>0</v>
      </c>
      <c r="H99" s="676"/>
      <c r="I99" s="676"/>
      <c r="J99" s="676"/>
      <c r="K99" s="676"/>
      <c r="L99" s="676"/>
      <c r="M99" s="676"/>
      <c r="N99" s="676"/>
      <c r="O99" s="676"/>
      <c r="P99" s="676"/>
      <c r="Q99" s="676"/>
      <c r="R99" s="676"/>
      <c r="S99" s="676"/>
      <c r="T99" s="676">
        <f t="shared" si="28"/>
        <v>0</v>
      </c>
    </row>
    <row r="100" spans="1:20" ht="11.1" customHeight="1">
      <c r="A100" s="653">
        <f>'Budget-合并'!A100</f>
        <v>0</v>
      </c>
      <c r="B100" s="653" t="str">
        <f>'Budget-合并'!B100</f>
        <v xml:space="preserve">    其他项目04</v>
      </c>
      <c r="C100" s="673" t="str">
        <f>'Budget-合并'!C100</f>
        <v xml:space="preserve">   Other project</v>
      </c>
      <c r="D100" s="676">
        <f t="shared" si="18"/>
        <v>0</v>
      </c>
      <c r="F100" s="676">
        <f t="shared" ca="1" si="19"/>
        <v>0</v>
      </c>
      <c r="H100" s="676"/>
      <c r="I100" s="676"/>
      <c r="J100" s="676"/>
      <c r="K100" s="676"/>
      <c r="L100" s="676"/>
      <c r="M100" s="676"/>
      <c r="N100" s="676"/>
      <c r="O100" s="676"/>
      <c r="P100" s="676"/>
      <c r="Q100" s="676"/>
      <c r="R100" s="676"/>
      <c r="S100" s="676"/>
      <c r="T100" s="676">
        <f t="shared" si="28"/>
        <v>0</v>
      </c>
    </row>
    <row r="101" spans="1:20" ht="11.1" customHeight="1">
      <c r="A101" s="653" t="str">
        <f>'Budget-合并'!A101</f>
        <v>6602.09.03</v>
      </c>
      <c r="B101" s="653" t="str">
        <f>'Budget-合并'!B101</f>
        <v>地面交通费</v>
      </c>
      <c r="C101" s="673" t="str">
        <f>'Budget-合并'!C101</f>
        <v>Travel Ground Transport - Outstation</v>
      </c>
      <c r="D101" s="676">
        <f t="shared" si="18"/>
        <v>0</v>
      </c>
      <c r="F101" s="676">
        <f t="shared" ca="1" si="19"/>
        <v>0</v>
      </c>
      <c r="H101" s="676">
        <f t="shared" ref="H101:S101" si="32">SUM(H102:H104)</f>
        <v>0</v>
      </c>
      <c r="I101" s="676">
        <f t="shared" si="32"/>
        <v>0</v>
      </c>
      <c r="J101" s="676">
        <f t="shared" si="32"/>
        <v>0</v>
      </c>
      <c r="K101" s="676">
        <f t="shared" si="32"/>
        <v>0</v>
      </c>
      <c r="L101" s="676">
        <f t="shared" si="32"/>
        <v>0</v>
      </c>
      <c r="M101" s="676">
        <f t="shared" si="32"/>
        <v>0</v>
      </c>
      <c r="N101" s="676">
        <f t="shared" si="32"/>
        <v>0</v>
      </c>
      <c r="O101" s="676">
        <f t="shared" si="32"/>
        <v>0</v>
      </c>
      <c r="P101" s="676">
        <f t="shared" si="32"/>
        <v>0</v>
      </c>
      <c r="Q101" s="676">
        <f t="shared" si="32"/>
        <v>0</v>
      </c>
      <c r="R101" s="676">
        <f t="shared" si="32"/>
        <v>0</v>
      </c>
      <c r="S101" s="676">
        <f t="shared" si="32"/>
        <v>0</v>
      </c>
      <c r="T101" s="676">
        <f t="shared" si="28"/>
        <v>0</v>
      </c>
    </row>
    <row r="102" spans="1:20" ht="11.1" customHeight="1">
      <c r="A102" s="653">
        <f>'Budget-合并'!A102</f>
        <v>0</v>
      </c>
      <c r="B102" s="653" t="str">
        <f>'Budget-合并'!B102</f>
        <v xml:space="preserve">    公司主体05</v>
      </c>
      <c r="C102" s="673" t="str">
        <f>'Budget-合并'!C102</f>
        <v xml:space="preserve">   Entity</v>
      </c>
      <c r="D102" s="676">
        <f t="shared" si="18"/>
        <v>0</v>
      </c>
      <c r="F102" s="676">
        <f t="shared" ca="1" si="19"/>
        <v>0</v>
      </c>
      <c r="H102" s="676"/>
      <c r="I102" s="676"/>
      <c r="J102" s="676"/>
      <c r="K102" s="676"/>
      <c r="L102" s="676"/>
      <c r="M102" s="676"/>
      <c r="N102" s="676"/>
      <c r="O102" s="676"/>
      <c r="P102" s="676"/>
      <c r="Q102" s="676"/>
      <c r="R102" s="676"/>
      <c r="S102" s="676"/>
      <c r="T102" s="676">
        <f t="shared" si="28"/>
        <v>0</v>
      </c>
    </row>
    <row r="103" spans="1:20" ht="11.1" customHeight="1">
      <c r="A103" s="653">
        <f>'Budget-合并'!A103</f>
        <v>0</v>
      </c>
      <c r="B103" s="653" t="str">
        <f>'Budget-合并'!B103</f>
        <v xml:space="preserve">    旭智富能05</v>
      </c>
      <c r="C103" s="673" t="str">
        <f>'Budget-合并'!C103</f>
        <v xml:space="preserve">   Foxpower</v>
      </c>
      <c r="D103" s="676">
        <f t="shared" si="18"/>
        <v>0</v>
      </c>
      <c r="F103" s="676">
        <f t="shared" ca="1" si="19"/>
        <v>0</v>
      </c>
      <c r="H103" s="676"/>
      <c r="I103" s="676"/>
      <c r="J103" s="676"/>
      <c r="K103" s="676"/>
      <c r="L103" s="676"/>
      <c r="M103" s="676"/>
      <c r="N103" s="676"/>
      <c r="O103" s="676"/>
      <c r="P103" s="676"/>
      <c r="Q103" s="676"/>
      <c r="R103" s="676"/>
      <c r="S103" s="676"/>
      <c r="T103" s="676">
        <f t="shared" si="28"/>
        <v>0</v>
      </c>
    </row>
    <row r="104" spans="1:20" ht="11.1" customHeight="1">
      <c r="A104" s="653">
        <f>'Budget-合并'!A104</f>
        <v>0</v>
      </c>
      <c r="B104" s="653" t="str">
        <f>'Budget-合并'!B104</f>
        <v xml:space="preserve">    其他项目05</v>
      </c>
      <c r="C104" s="673" t="str">
        <f>'Budget-合并'!C104</f>
        <v xml:space="preserve">   Other project</v>
      </c>
      <c r="D104" s="676">
        <f t="shared" si="18"/>
        <v>0</v>
      </c>
      <c r="F104" s="676">
        <f t="shared" ca="1" si="19"/>
        <v>0</v>
      </c>
      <c r="H104" s="676"/>
      <c r="I104" s="676"/>
      <c r="J104" s="676"/>
      <c r="K104" s="676"/>
      <c r="L104" s="676"/>
      <c r="M104" s="676"/>
      <c r="N104" s="676"/>
      <c r="O104" s="676"/>
      <c r="P104" s="676"/>
      <c r="Q104" s="676"/>
      <c r="R104" s="676"/>
      <c r="S104" s="676"/>
      <c r="T104" s="676">
        <f t="shared" si="28"/>
        <v>0</v>
      </c>
    </row>
    <row r="105" spans="1:20" ht="11.1" customHeight="1">
      <c r="A105" s="653" t="str">
        <f>'Budget-合并'!A105</f>
        <v>6602.09.04</v>
      </c>
      <c r="B105" s="653" t="str">
        <f>'Budget-合并'!B105</f>
        <v>空中交通费</v>
      </c>
      <c r="C105" s="673" t="str">
        <f>'Budget-合并'!C105</f>
        <v>Travel Air Transport</v>
      </c>
      <c r="D105" s="676">
        <f t="shared" si="18"/>
        <v>0</v>
      </c>
      <c r="F105" s="676">
        <f t="shared" ca="1" si="19"/>
        <v>0</v>
      </c>
      <c r="H105" s="676">
        <f t="shared" ref="H105:S105" si="33">SUM(H106:H108)</f>
        <v>0</v>
      </c>
      <c r="I105" s="676">
        <f t="shared" si="33"/>
        <v>0</v>
      </c>
      <c r="J105" s="676">
        <f t="shared" si="33"/>
        <v>0</v>
      </c>
      <c r="K105" s="676">
        <f t="shared" si="33"/>
        <v>0</v>
      </c>
      <c r="L105" s="676">
        <f t="shared" si="33"/>
        <v>0</v>
      </c>
      <c r="M105" s="676">
        <f t="shared" si="33"/>
        <v>0</v>
      </c>
      <c r="N105" s="676">
        <f t="shared" si="33"/>
        <v>0</v>
      </c>
      <c r="O105" s="676">
        <f t="shared" si="33"/>
        <v>0</v>
      </c>
      <c r="P105" s="676">
        <f t="shared" si="33"/>
        <v>0</v>
      </c>
      <c r="Q105" s="676">
        <f t="shared" si="33"/>
        <v>0</v>
      </c>
      <c r="R105" s="676">
        <f t="shared" si="33"/>
        <v>0</v>
      </c>
      <c r="S105" s="676">
        <f t="shared" si="33"/>
        <v>0</v>
      </c>
      <c r="T105" s="676">
        <f t="shared" si="28"/>
        <v>0</v>
      </c>
    </row>
    <row r="106" spans="1:20" ht="11.1" customHeight="1">
      <c r="A106" s="653">
        <f>'Budget-合并'!A106</f>
        <v>0</v>
      </c>
      <c r="B106" s="653" t="str">
        <f>'Budget-合并'!B106</f>
        <v xml:space="preserve">    公司主体06</v>
      </c>
      <c r="C106" s="673" t="str">
        <f>'Budget-合并'!C106</f>
        <v xml:space="preserve">   Entity</v>
      </c>
      <c r="D106" s="676">
        <f t="shared" si="18"/>
        <v>0</v>
      </c>
      <c r="F106" s="676">
        <f t="shared" ca="1" si="19"/>
        <v>0</v>
      </c>
      <c r="H106" s="676"/>
      <c r="I106" s="676"/>
      <c r="J106" s="676"/>
      <c r="K106" s="676"/>
      <c r="L106" s="676"/>
      <c r="M106" s="676"/>
      <c r="N106" s="676"/>
      <c r="O106" s="676"/>
      <c r="P106" s="676"/>
      <c r="Q106" s="676"/>
      <c r="R106" s="676"/>
      <c r="S106" s="676"/>
      <c r="T106" s="676">
        <f t="shared" si="28"/>
        <v>0</v>
      </c>
    </row>
    <row r="107" spans="1:20" ht="11.1" customHeight="1">
      <c r="A107" s="653">
        <f>'Budget-合并'!A107</f>
        <v>0</v>
      </c>
      <c r="B107" s="653" t="str">
        <f>'Budget-合并'!B107</f>
        <v xml:space="preserve">    旭智富能06</v>
      </c>
      <c r="C107" s="673" t="str">
        <f>'Budget-合并'!C107</f>
        <v xml:space="preserve">   Foxpower</v>
      </c>
      <c r="D107" s="676">
        <f t="shared" si="18"/>
        <v>0</v>
      </c>
      <c r="F107" s="676">
        <f t="shared" ca="1" si="19"/>
        <v>0</v>
      </c>
      <c r="H107" s="676"/>
      <c r="I107" s="676"/>
      <c r="J107" s="676"/>
      <c r="K107" s="676"/>
      <c r="L107" s="676"/>
      <c r="M107" s="676"/>
      <c r="N107" s="676"/>
      <c r="O107" s="676"/>
      <c r="P107" s="676"/>
      <c r="Q107" s="676"/>
      <c r="R107" s="676"/>
      <c r="S107" s="676"/>
      <c r="T107" s="676">
        <f t="shared" si="28"/>
        <v>0</v>
      </c>
    </row>
    <row r="108" spans="1:20" ht="11.1" customHeight="1">
      <c r="A108" s="653">
        <f>'Budget-合并'!A108</f>
        <v>0</v>
      </c>
      <c r="B108" s="653" t="str">
        <f>'Budget-合并'!B108</f>
        <v xml:space="preserve">    其他项目06</v>
      </c>
      <c r="C108" s="673" t="str">
        <f>'Budget-合并'!C108</f>
        <v xml:space="preserve">   Other project</v>
      </c>
      <c r="D108" s="676">
        <f t="shared" ref="D108:D153" si="34">INDEX($H$8:$S$8,1,MATCH($D$6,$H$6:$S$6))</f>
        <v>0</v>
      </c>
      <c r="F108" s="676">
        <f t="shared" ref="F108:F153" ca="1" si="35">SUM($H108:OFFSET($H108,0,MATCH(F$6,$H$6:$S$6)-1))</f>
        <v>0</v>
      </c>
      <c r="H108" s="676"/>
      <c r="I108" s="676"/>
      <c r="J108" s="676"/>
      <c r="K108" s="676"/>
      <c r="L108" s="676"/>
      <c r="M108" s="676"/>
      <c r="N108" s="676"/>
      <c r="O108" s="676"/>
      <c r="P108" s="676"/>
      <c r="Q108" s="676"/>
      <c r="R108" s="676"/>
      <c r="S108" s="676"/>
      <c r="T108" s="676">
        <f t="shared" si="28"/>
        <v>0</v>
      </c>
    </row>
    <row r="109" spans="1:20" ht="11.1" customHeight="1">
      <c r="A109" s="653" t="str">
        <f>'Budget-合并'!A109</f>
        <v>6602.09.05</v>
      </c>
      <c r="B109" s="653" t="str">
        <f>'Budget-合并'!B109</f>
        <v>租车</v>
      </c>
      <c r="C109" s="673">
        <f>'Budget-合并'!C109</f>
        <v>0</v>
      </c>
      <c r="D109" s="676">
        <f t="shared" si="34"/>
        <v>0</v>
      </c>
      <c r="F109" s="676">
        <f t="shared" ca="1" si="35"/>
        <v>0</v>
      </c>
      <c r="H109" s="676">
        <f t="shared" ref="H109:S109" si="36">SUM(H110:H112)</f>
        <v>0</v>
      </c>
      <c r="I109" s="676">
        <f t="shared" si="36"/>
        <v>0</v>
      </c>
      <c r="J109" s="676">
        <f t="shared" si="36"/>
        <v>0</v>
      </c>
      <c r="K109" s="676">
        <f t="shared" si="36"/>
        <v>0</v>
      </c>
      <c r="L109" s="676">
        <f t="shared" si="36"/>
        <v>0</v>
      </c>
      <c r="M109" s="676">
        <f t="shared" si="36"/>
        <v>0</v>
      </c>
      <c r="N109" s="676">
        <f t="shared" si="36"/>
        <v>0</v>
      </c>
      <c r="O109" s="676">
        <f t="shared" si="36"/>
        <v>0</v>
      </c>
      <c r="P109" s="676">
        <f t="shared" si="36"/>
        <v>0</v>
      </c>
      <c r="Q109" s="676">
        <f t="shared" si="36"/>
        <v>0</v>
      </c>
      <c r="R109" s="676">
        <f t="shared" si="36"/>
        <v>0</v>
      </c>
      <c r="S109" s="676">
        <f t="shared" si="36"/>
        <v>0</v>
      </c>
      <c r="T109" s="676">
        <f t="shared" si="28"/>
        <v>0</v>
      </c>
    </row>
    <row r="110" spans="1:20" ht="11.1" customHeight="1">
      <c r="A110" s="653">
        <f>'Budget-合并'!A110</f>
        <v>0</v>
      </c>
      <c r="B110" s="653" t="str">
        <f>'Budget-合并'!B110</f>
        <v xml:space="preserve">    公司主体07</v>
      </c>
      <c r="C110" s="673" t="str">
        <f>'Budget-合并'!C110</f>
        <v xml:space="preserve">   Entity</v>
      </c>
      <c r="D110" s="676">
        <f t="shared" si="34"/>
        <v>0</v>
      </c>
      <c r="F110" s="676">
        <f t="shared" ca="1" si="35"/>
        <v>0</v>
      </c>
      <c r="H110" s="676"/>
      <c r="I110" s="676"/>
      <c r="J110" s="676"/>
      <c r="K110" s="676"/>
      <c r="L110" s="676"/>
      <c r="M110" s="676"/>
      <c r="N110" s="676"/>
      <c r="O110" s="676"/>
      <c r="P110" s="676"/>
      <c r="Q110" s="676"/>
      <c r="R110" s="676"/>
      <c r="S110" s="676"/>
      <c r="T110" s="676">
        <f t="shared" si="28"/>
        <v>0</v>
      </c>
    </row>
    <row r="111" spans="1:20" ht="11.1" customHeight="1">
      <c r="A111" s="653">
        <f>'Budget-合并'!A111</f>
        <v>0</v>
      </c>
      <c r="B111" s="653" t="str">
        <f>'Budget-合并'!B111</f>
        <v xml:space="preserve">    旭智富能07</v>
      </c>
      <c r="C111" s="673" t="str">
        <f>'Budget-合并'!C111</f>
        <v xml:space="preserve">   Foxpower</v>
      </c>
      <c r="D111" s="676">
        <f t="shared" si="34"/>
        <v>0</v>
      </c>
      <c r="F111" s="676">
        <f t="shared" ca="1" si="35"/>
        <v>0</v>
      </c>
      <c r="H111" s="676"/>
      <c r="I111" s="676"/>
      <c r="J111" s="676"/>
      <c r="K111" s="676"/>
      <c r="L111" s="676"/>
      <c r="M111" s="676"/>
      <c r="N111" s="676"/>
      <c r="O111" s="676"/>
      <c r="P111" s="676"/>
      <c r="Q111" s="676"/>
      <c r="R111" s="676"/>
      <c r="S111" s="676"/>
      <c r="T111" s="676">
        <f t="shared" si="28"/>
        <v>0</v>
      </c>
    </row>
    <row r="112" spans="1:20" ht="11.1" customHeight="1">
      <c r="A112" s="653">
        <f>'Budget-合并'!A112</f>
        <v>0</v>
      </c>
      <c r="B112" s="653" t="str">
        <f>'Budget-合并'!B112</f>
        <v xml:space="preserve">    其他项目07</v>
      </c>
      <c r="C112" s="673" t="str">
        <f>'Budget-合并'!C112</f>
        <v xml:space="preserve">   Other project</v>
      </c>
      <c r="D112" s="676">
        <f t="shared" si="34"/>
        <v>0</v>
      </c>
      <c r="F112" s="676">
        <f t="shared" ca="1" si="35"/>
        <v>0</v>
      </c>
      <c r="H112" s="676"/>
      <c r="I112" s="676"/>
      <c r="J112" s="676"/>
      <c r="K112" s="676"/>
      <c r="L112" s="676"/>
      <c r="M112" s="676"/>
      <c r="N112" s="676"/>
      <c r="O112" s="676"/>
      <c r="P112" s="676"/>
      <c r="Q112" s="676"/>
      <c r="R112" s="676"/>
      <c r="S112" s="676"/>
      <c r="T112" s="676">
        <f t="shared" si="28"/>
        <v>0</v>
      </c>
    </row>
    <row r="113" spans="1:20" ht="11.1" customHeight="1">
      <c r="A113" s="653" t="str">
        <f>'Budget-合并'!A113</f>
        <v>6602.09.06</v>
      </c>
      <c r="B113" s="653" t="str">
        <f>'Budget-合并'!B113</f>
        <v>其他汽车费用</v>
      </c>
      <c r="C113" s="673">
        <f>'Budget-合并'!C113</f>
        <v>0</v>
      </c>
      <c r="D113" s="676">
        <f t="shared" si="34"/>
        <v>0</v>
      </c>
      <c r="F113" s="676">
        <f t="shared" ca="1" si="35"/>
        <v>0</v>
      </c>
      <c r="H113" s="676">
        <f t="shared" ref="H113:S113" si="37">SUM(H114:H116)</f>
        <v>0</v>
      </c>
      <c r="I113" s="676">
        <f t="shared" si="37"/>
        <v>0</v>
      </c>
      <c r="J113" s="676">
        <f t="shared" si="37"/>
        <v>0</v>
      </c>
      <c r="K113" s="676">
        <f t="shared" si="37"/>
        <v>0</v>
      </c>
      <c r="L113" s="676">
        <f t="shared" si="37"/>
        <v>0</v>
      </c>
      <c r="M113" s="676">
        <f t="shared" si="37"/>
        <v>0</v>
      </c>
      <c r="N113" s="676">
        <f t="shared" si="37"/>
        <v>0</v>
      </c>
      <c r="O113" s="676">
        <f t="shared" si="37"/>
        <v>0</v>
      </c>
      <c r="P113" s="676">
        <f t="shared" si="37"/>
        <v>0</v>
      </c>
      <c r="Q113" s="676">
        <f t="shared" si="37"/>
        <v>0</v>
      </c>
      <c r="R113" s="676">
        <f t="shared" si="37"/>
        <v>0</v>
      </c>
      <c r="S113" s="676">
        <f t="shared" si="37"/>
        <v>0</v>
      </c>
      <c r="T113" s="676">
        <f t="shared" si="28"/>
        <v>0</v>
      </c>
    </row>
    <row r="114" spans="1:20" ht="11.1" customHeight="1">
      <c r="A114" s="653">
        <f>'Budget-合并'!A114</f>
        <v>0</v>
      </c>
      <c r="B114" s="653" t="str">
        <f>'Budget-合并'!B114</f>
        <v xml:space="preserve">    公司主体08</v>
      </c>
      <c r="C114" s="673" t="str">
        <f>'Budget-合并'!C114</f>
        <v xml:space="preserve">   Entity</v>
      </c>
      <c r="D114" s="676">
        <f t="shared" si="34"/>
        <v>0</v>
      </c>
      <c r="F114" s="676">
        <f t="shared" ca="1" si="35"/>
        <v>0</v>
      </c>
      <c r="H114" s="676"/>
      <c r="I114" s="676"/>
      <c r="J114" s="676"/>
      <c r="K114" s="676"/>
      <c r="L114" s="676"/>
      <c r="M114" s="676"/>
      <c r="N114" s="676"/>
      <c r="O114" s="676"/>
      <c r="P114" s="676"/>
      <c r="Q114" s="676"/>
      <c r="R114" s="676"/>
      <c r="S114" s="676"/>
      <c r="T114" s="676">
        <f t="shared" si="28"/>
        <v>0</v>
      </c>
    </row>
    <row r="115" spans="1:20" ht="11.1" customHeight="1">
      <c r="A115" s="653">
        <f>'Budget-合并'!A115</f>
        <v>0</v>
      </c>
      <c r="B115" s="653" t="str">
        <f>'Budget-合并'!B115</f>
        <v xml:space="preserve">    旭智富能08</v>
      </c>
      <c r="C115" s="673" t="str">
        <f>'Budget-合并'!C115</f>
        <v xml:space="preserve">   Foxpower</v>
      </c>
      <c r="D115" s="676">
        <f t="shared" si="34"/>
        <v>0</v>
      </c>
      <c r="F115" s="676">
        <f t="shared" ca="1" si="35"/>
        <v>0</v>
      </c>
      <c r="H115" s="676"/>
      <c r="I115" s="676"/>
      <c r="J115" s="676"/>
      <c r="K115" s="676"/>
      <c r="L115" s="676"/>
      <c r="M115" s="676"/>
      <c r="N115" s="676"/>
      <c r="O115" s="676"/>
      <c r="P115" s="676"/>
      <c r="Q115" s="676"/>
      <c r="R115" s="676"/>
      <c r="S115" s="676"/>
      <c r="T115" s="676">
        <f t="shared" si="28"/>
        <v>0</v>
      </c>
    </row>
    <row r="116" spans="1:20" ht="11.1" customHeight="1">
      <c r="A116" s="653">
        <f>'Budget-合并'!A116</f>
        <v>0</v>
      </c>
      <c r="B116" s="653" t="str">
        <f>'Budget-合并'!B116</f>
        <v xml:space="preserve">    其他项目08</v>
      </c>
      <c r="C116" s="673" t="str">
        <f>'Budget-合并'!C116</f>
        <v xml:space="preserve">   Other project</v>
      </c>
      <c r="D116" s="676">
        <f t="shared" si="34"/>
        <v>0</v>
      </c>
      <c r="F116" s="676">
        <f t="shared" ca="1" si="35"/>
        <v>0</v>
      </c>
      <c r="H116" s="676"/>
      <c r="I116" s="676"/>
      <c r="J116" s="676"/>
      <c r="K116" s="676"/>
      <c r="L116" s="676"/>
      <c r="M116" s="676"/>
      <c r="N116" s="676"/>
      <c r="O116" s="676"/>
      <c r="P116" s="676"/>
      <c r="Q116" s="676"/>
      <c r="R116" s="676"/>
      <c r="S116" s="676"/>
      <c r="T116" s="676">
        <f t="shared" si="28"/>
        <v>0</v>
      </c>
    </row>
    <row r="117" spans="1:20" ht="11.1" customHeight="1">
      <c r="A117" s="653" t="str">
        <f>'Budget-合并'!A117</f>
        <v>6602.09.07</v>
      </c>
      <c r="B117" s="653" t="str">
        <f>'Budget-合并'!B117</f>
        <v>检测费</v>
      </c>
      <c r="C117" s="673">
        <f>'Budget-合并'!C117</f>
        <v>0</v>
      </c>
      <c r="D117" s="676">
        <f t="shared" si="34"/>
        <v>0</v>
      </c>
      <c r="F117" s="676">
        <f t="shared" ca="1" si="35"/>
        <v>0</v>
      </c>
      <c r="H117" s="676"/>
      <c r="I117" s="676"/>
      <c r="J117" s="676"/>
      <c r="K117" s="676"/>
      <c r="L117" s="676"/>
      <c r="M117" s="676"/>
      <c r="N117" s="676"/>
      <c r="O117" s="676"/>
      <c r="P117" s="676"/>
      <c r="Q117" s="676"/>
      <c r="R117" s="676"/>
      <c r="S117" s="676"/>
      <c r="T117" s="676">
        <f t="shared" si="28"/>
        <v>0</v>
      </c>
    </row>
    <row r="118" spans="1:20" ht="11.1" customHeight="1">
      <c r="A118" s="653" t="str">
        <f>'Budget-合并'!A118</f>
        <v>6602.09.08</v>
      </c>
      <c r="B118" s="653" t="str">
        <f>'Budget-合并'!B118</f>
        <v>退改费用（机票/火车等）</v>
      </c>
      <c r="C118" s="673">
        <f>'Budget-合并'!C118</f>
        <v>0</v>
      </c>
      <c r="D118" s="676">
        <f t="shared" si="34"/>
        <v>0</v>
      </c>
      <c r="F118" s="676">
        <f t="shared" ca="1" si="35"/>
        <v>0</v>
      </c>
      <c r="H118" s="676">
        <f t="shared" ref="H118:S118" si="38">SUM(H119:H121)</f>
        <v>0</v>
      </c>
      <c r="I118" s="676">
        <f t="shared" si="38"/>
        <v>0</v>
      </c>
      <c r="J118" s="676">
        <f t="shared" si="38"/>
        <v>0</v>
      </c>
      <c r="K118" s="676">
        <f t="shared" si="38"/>
        <v>0</v>
      </c>
      <c r="L118" s="676">
        <f t="shared" si="38"/>
        <v>0</v>
      </c>
      <c r="M118" s="676">
        <f t="shared" si="38"/>
        <v>0</v>
      </c>
      <c r="N118" s="676">
        <f t="shared" si="38"/>
        <v>0</v>
      </c>
      <c r="O118" s="676">
        <f t="shared" si="38"/>
        <v>0</v>
      </c>
      <c r="P118" s="676">
        <f t="shared" si="38"/>
        <v>0</v>
      </c>
      <c r="Q118" s="676">
        <f t="shared" si="38"/>
        <v>0</v>
      </c>
      <c r="R118" s="676">
        <f t="shared" si="38"/>
        <v>0</v>
      </c>
      <c r="S118" s="676">
        <f t="shared" si="38"/>
        <v>0</v>
      </c>
      <c r="T118" s="676">
        <f t="shared" si="28"/>
        <v>0</v>
      </c>
    </row>
    <row r="119" spans="1:20" ht="11.1" customHeight="1">
      <c r="A119" s="653">
        <f>'Budget-合并'!A119</f>
        <v>0</v>
      </c>
      <c r="B119" s="653" t="str">
        <f>'Budget-合并'!B119</f>
        <v xml:space="preserve">    公司主体09</v>
      </c>
      <c r="C119" s="673" t="str">
        <f>'Budget-合并'!C119</f>
        <v xml:space="preserve">   Entity</v>
      </c>
      <c r="D119" s="676">
        <f t="shared" si="34"/>
        <v>0</v>
      </c>
      <c r="F119" s="676">
        <f t="shared" ca="1" si="35"/>
        <v>0</v>
      </c>
      <c r="H119" s="676"/>
      <c r="I119" s="676"/>
      <c r="J119" s="676"/>
      <c r="K119" s="676"/>
      <c r="L119" s="676"/>
      <c r="M119" s="676"/>
      <c r="N119" s="676"/>
      <c r="O119" s="676"/>
      <c r="P119" s="676"/>
      <c r="Q119" s="676"/>
      <c r="R119" s="676"/>
      <c r="S119" s="676"/>
      <c r="T119" s="676">
        <f t="shared" si="28"/>
        <v>0</v>
      </c>
    </row>
    <row r="120" spans="1:20" ht="11.1" customHeight="1">
      <c r="A120" s="653">
        <f>'Budget-合并'!A120</f>
        <v>0</v>
      </c>
      <c r="B120" s="653" t="str">
        <f>'Budget-合并'!B120</f>
        <v xml:space="preserve">    旭智富能09</v>
      </c>
      <c r="C120" s="673" t="str">
        <f>'Budget-合并'!C120</f>
        <v xml:space="preserve">   Foxpower</v>
      </c>
      <c r="D120" s="676">
        <f t="shared" si="34"/>
        <v>0</v>
      </c>
      <c r="F120" s="676">
        <f t="shared" ca="1" si="35"/>
        <v>0</v>
      </c>
      <c r="H120" s="676"/>
      <c r="I120" s="676"/>
      <c r="J120" s="676"/>
      <c r="K120" s="676"/>
      <c r="L120" s="676"/>
      <c r="M120" s="676"/>
      <c r="N120" s="676"/>
      <c r="O120" s="676"/>
      <c r="P120" s="676"/>
      <c r="Q120" s="676"/>
      <c r="R120" s="676"/>
      <c r="S120" s="676"/>
      <c r="T120" s="676">
        <f t="shared" si="28"/>
        <v>0</v>
      </c>
    </row>
    <row r="121" spans="1:20" ht="11.1" customHeight="1">
      <c r="A121" s="653">
        <f>'Budget-合并'!A121</f>
        <v>0</v>
      </c>
      <c r="B121" s="653" t="str">
        <f>'Budget-合并'!B121</f>
        <v xml:space="preserve">    其他项目09</v>
      </c>
      <c r="C121" s="673" t="str">
        <f>'Budget-合并'!C121</f>
        <v xml:space="preserve">   Other project</v>
      </c>
      <c r="D121" s="676">
        <f t="shared" si="34"/>
        <v>0</v>
      </c>
      <c r="F121" s="676">
        <f t="shared" ca="1" si="35"/>
        <v>0</v>
      </c>
      <c r="H121" s="676"/>
      <c r="I121" s="676"/>
      <c r="J121" s="676"/>
      <c r="K121" s="676"/>
      <c r="L121" s="676"/>
      <c r="M121" s="676"/>
      <c r="N121" s="676"/>
      <c r="O121" s="676"/>
      <c r="P121" s="676"/>
      <c r="Q121" s="676"/>
      <c r="R121" s="676"/>
      <c r="S121" s="676"/>
      <c r="T121" s="676">
        <f t="shared" si="28"/>
        <v>0</v>
      </c>
    </row>
    <row r="122" spans="1:20" ht="11.1" customHeight="1">
      <c r="A122" s="653" t="str">
        <f>'Budget-合并'!A122</f>
        <v>6602.09.09</v>
      </c>
      <c r="B122" s="653" t="str">
        <f>'Budget-合并'!B122</f>
        <v>携程服务费</v>
      </c>
      <c r="C122" s="673">
        <f>'Budget-合并'!C122</f>
        <v>0</v>
      </c>
      <c r="D122" s="676">
        <f t="shared" si="34"/>
        <v>0</v>
      </c>
      <c r="F122" s="676">
        <f t="shared" ca="1" si="35"/>
        <v>0</v>
      </c>
      <c r="H122" s="676">
        <f t="shared" ref="H122:S122" si="39">SUM(H123:H125)</f>
        <v>0</v>
      </c>
      <c r="I122" s="676">
        <f t="shared" si="39"/>
        <v>0</v>
      </c>
      <c r="J122" s="676">
        <f t="shared" si="39"/>
        <v>0</v>
      </c>
      <c r="K122" s="676">
        <f t="shared" si="39"/>
        <v>0</v>
      </c>
      <c r="L122" s="676">
        <f t="shared" si="39"/>
        <v>0</v>
      </c>
      <c r="M122" s="676">
        <f t="shared" si="39"/>
        <v>0</v>
      </c>
      <c r="N122" s="676">
        <f t="shared" si="39"/>
        <v>0</v>
      </c>
      <c r="O122" s="676">
        <f t="shared" si="39"/>
        <v>0</v>
      </c>
      <c r="P122" s="676">
        <f t="shared" si="39"/>
        <v>0</v>
      </c>
      <c r="Q122" s="676">
        <f t="shared" si="39"/>
        <v>0</v>
      </c>
      <c r="R122" s="676">
        <f t="shared" si="39"/>
        <v>0</v>
      </c>
      <c r="S122" s="676">
        <f t="shared" si="39"/>
        <v>0</v>
      </c>
      <c r="T122" s="676">
        <f t="shared" si="28"/>
        <v>0</v>
      </c>
    </row>
    <row r="123" spans="1:20" ht="11.1" customHeight="1">
      <c r="A123" s="653">
        <f>'Budget-合并'!A123</f>
        <v>0</v>
      </c>
      <c r="B123" s="653" t="str">
        <f>'Budget-合并'!B123</f>
        <v xml:space="preserve">    公司主体10</v>
      </c>
      <c r="C123" s="673" t="str">
        <f>'Budget-合并'!C123</f>
        <v xml:space="preserve">   Entity</v>
      </c>
      <c r="D123" s="676">
        <f t="shared" si="34"/>
        <v>0</v>
      </c>
      <c r="F123" s="676">
        <f t="shared" ca="1" si="35"/>
        <v>0</v>
      </c>
      <c r="H123" s="676"/>
      <c r="I123" s="676"/>
      <c r="J123" s="676"/>
      <c r="K123" s="676"/>
      <c r="L123" s="676"/>
      <c r="M123" s="676"/>
      <c r="N123" s="676"/>
      <c r="O123" s="676"/>
      <c r="P123" s="676"/>
      <c r="Q123" s="676"/>
      <c r="R123" s="676"/>
      <c r="S123" s="676"/>
      <c r="T123" s="676">
        <f t="shared" si="28"/>
        <v>0</v>
      </c>
    </row>
    <row r="124" spans="1:20" ht="11.1" customHeight="1">
      <c r="A124" s="653">
        <f>'Budget-合并'!A124</f>
        <v>0</v>
      </c>
      <c r="B124" s="653" t="str">
        <f>'Budget-合并'!B124</f>
        <v xml:space="preserve">    旭智富能10</v>
      </c>
      <c r="C124" s="673" t="str">
        <f>'Budget-合并'!C124</f>
        <v xml:space="preserve">   Foxpower</v>
      </c>
      <c r="D124" s="676">
        <f t="shared" si="34"/>
        <v>0</v>
      </c>
      <c r="F124" s="676">
        <f t="shared" ca="1" si="35"/>
        <v>0</v>
      </c>
      <c r="H124" s="676"/>
      <c r="I124" s="676"/>
      <c r="J124" s="676"/>
      <c r="K124" s="676"/>
      <c r="L124" s="676"/>
      <c r="M124" s="676"/>
      <c r="N124" s="676"/>
      <c r="O124" s="676"/>
      <c r="P124" s="676"/>
      <c r="Q124" s="676"/>
      <c r="R124" s="676"/>
      <c r="S124" s="676"/>
      <c r="T124" s="676">
        <f t="shared" si="28"/>
        <v>0</v>
      </c>
    </row>
    <row r="125" spans="1:20" ht="11.1" customHeight="1">
      <c r="A125" s="653">
        <f>'Budget-合并'!A125</f>
        <v>0</v>
      </c>
      <c r="B125" s="653" t="str">
        <f>'Budget-合并'!B125</f>
        <v xml:space="preserve">    其他项目10</v>
      </c>
      <c r="C125" s="673" t="str">
        <f>'Budget-合并'!C125</f>
        <v xml:space="preserve">   Other project</v>
      </c>
      <c r="D125" s="676">
        <f t="shared" si="34"/>
        <v>0</v>
      </c>
      <c r="F125" s="676">
        <f t="shared" ca="1" si="35"/>
        <v>0</v>
      </c>
      <c r="H125" s="676"/>
      <c r="I125" s="676"/>
      <c r="J125" s="676"/>
      <c r="K125" s="676"/>
      <c r="L125" s="676"/>
      <c r="M125" s="676"/>
      <c r="N125" s="676"/>
      <c r="O125" s="676"/>
      <c r="P125" s="676"/>
      <c r="Q125" s="676"/>
      <c r="R125" s="676"/>
      <c r="S125" s="676"/>
      <c r="T125" s="676">
        <f t="shared" si="28"/>
        <v>0</v>
      </c>
    </row>
    <row r="126" spans="1:20" ht="11.1" customHeight="1">
      <c r="A126" s="653" t="str">
        <f>'Budget-合并'!A126</f>
        <v>6602.09.99</v>
      </c>
      <c r="B126" s="653" t="str">
        <f>'Budget-合并'!B126</f>
        <v>其他</v>
      </c>
      <c r="C126" s="673" t="str">
        <f>'Budget-合并'!C126</f>
        <v>Travel Other</v>
      </c>
      <c r="D126" s="676">
        <f t="shared" si="34"/>
        <v>0</v>
      </c>
      <c r="F126" s="676">
        <f t="shared" ca="1" si="35"/>
        <v>0</v>
      </c>
      <c r="H126" s="676"/>
      <c r="I126" s="676"/>
      <c r="J126" s="676"/>
      <c r="K126" s="676"/>
      <c r="L126" s="676"/>
      <c r="M126" s="676"/>
      <c r="N126" s="676"/>
      <c r="O126" s="676"/>
      <c r="P126" s="676"/>
      <c r="Q126" s="676"/>
      <c r="R126" s="676"/>
      <c r="S126" s="676"/>
      <c r="T126" s="676">
        <f t="shared" si="28"/>
        <v>0</v>
      </c>
    </row>
    <row r="127" spans="1:20" ht="11.1" customHeight="1">
      <c r="A127" s="663" t="str">
        <f>'Budget-合并'!A127</f>
        <v>6602.10</v>
      </c>
      <c r="B127" s="678" t="str">
        <f>'Budget-合并'!B127</f>
        <v>折旧费</v>
      </c>
      <c r="C127" s="673">
        <f>'Budget-合并'!C127</f>
        <v>0</v>
      </c>
      <c r="D127" s="676">
        <f t="shared" si="34"/>
        <v>0</v>
      </c>
      <c r="F127" s="676">
        <f t="shared" ca="1" si="35"/>
        <v>0</v>
      </c>
      <c r="H127" s="676">
        <f t="shared" ref="H127:S127" si="40">SUM(H128:H131)</f>
        <v>0</v>
      </c>
      <c r="I127" s="676">
        <f t="shared" si="40"/>
        <v>0</v>
      </c>
      <c r="J127" s="676">
        <f t="shared" si="40"/>
        <v>0</v>
      </c>
      <c r="K127" s="676">
        <f t="shared" si="40"/>
        <v>0</v>
      </c>
      <c r="L127" s="676">
        <f t="shared" si="40"/>
        <v>0</v>
      </c>
      <c r="M127" s="676">
        <f t="shared" si="40"/>
        <v>0</v>
      </c>
      <c r="N127" s="676">
        <f t="shared" si="40"/>
        <v>0</v>
      </c>
      <c r="O127" s="676">
        <f t="shared" si="40"/>
        <v>0</v>
      </c>
      <c r="P127" s="676">
        <f t="shared" si="40"/>
        <v>0</v>
      </c>
      <c r="Q127" s="676">
        <f t="shared" si="40"/>
        <v>0</v>
      </c>
      <c r="R127" s="676">
        <f t="shared" si="40"/>
        <v>0</v>
      </c>
      <c r="S127" s="676">
        <f t="shared" si="40"/>
        <v>0</v>
      </c>
      <c r="T127" s="676">
        <f t="shared" si="28"/>
        <v>0</v>
      </c>
    </row>
    <row r="128" spans="1:20" ht="11.1" customHeight="1">
      <c r="A128" s="653" t="str">
        <f>'Budget-合并'!A128</f>
        <v>6602.10.01</v>
      </c>
      <c r="B128" s="653" t="str">
        <f>'Budget-合并'!B128</f>
        <v>电子设备</v>
      </c>
      <c r="C128" s="673" t="str">
        <f>'Budget-合并'!C128</f>
        <v>Dep Exp  Computer Equip</v>
      </c>
      <c r="D128" s="676">
        <f t="shared" si="34"/>
        <v>0</v>
      </c>
      <c r="F128" s="676">
        <f t="shared" ca="1" si="35"/>
        <v>0</v>
      </c>
      <c r="H128" s="676"/>
      <c r="I128" s="676"/>
      <c r="J128" s="676"/>
      <c r="K128" s="676"/>
      <c r="L128" s="676"/>
      <c r="M128" s="676"/>
      <c r="N128" s="676"/>
      <c r="O128" s="676"/>
      <c r="P128" s="676"/>
      <c r="Q128" s="676"/>
      <c r="R128" s="676"/>
      <c r="S128" s="676"/>
      <c r="T128" s="676">
        <f t="shared" si="28"/>
        <v>0</v>
      </c>
    </row>
    <row r="129" spans="1:20" ht="11.1" customHeight="1">
      <c r="A129" s="653" t="str">
        <f>'Budget-合并'!A129</f>
        <v>6602.10.02</v>
      </c>
      <c r="B129" s="653" t="str">
        <f>'Budget-合并'!B129</f>
        <v>房屋建筑物</v>
      </c>
      <c r="C129" s="673">
        <f>'Budget-合并'!C129</f>
        <v>0</v>
      </c>
      <c r="D129" s="676">
        <f t="shared" si="34"/>
        <v>0</v>
      </c>
      <c r="F129" s="676">
        <f t="shared" ca="1" si="35"/>
        <v>0</v>
      </c>
      <c r="H129" s="676"/>
      <c r="I129" s="676"/>
      <c r="J129" s="676"/>
      <c r="K129" s="676"/>
      <c r="L129" s="676"/>
      <c r="M129" s="676"/>
      <c r="N129" s="676"/>
      <c r="O129" s="676"/>
      <c r="P129" s="676"/>
      <c r="Q129" s="676"/>
      <c r="R129" s="676"/>
      <c r="S129" s="676"/>
      <c r="T129" s="676">
        <f t="shared" si="28"/>
        <v>0</v>
      </c>
    </row>
    <row r="130" spans="1:20" ht="11.1" customHeight="1">
      <c r="A130" s="653" t="str">
        <f>'Budget-合并'!A130</f>
        <v>6602.10.03</v>
      </c>
      <c r="B130" s="653" t="str">
        <f>'Budget-合并'!B130</f>
        <v>机器设备</v>
      </c>
      <c r="C130" s="673">
        <f>'Budget-合并'!C130</f>
        <v>0</v>
      </c>
      <c r="D130" s="676">
        <f t="shared" si="34"/>
        <v>0</v>
      </c>
      <c r="F130" s="676">
        <f t="shared" ca="1" si="35"/>
        <v>0</v>
      </c>
      <c r="H130" s="676"/>
      <c r="I130" s="676"/>
      <c r="J130" s="676"/>
      <c r="K130" s="676"/>
      <c r="L130" s="676"/>
      <c r="M130" s="676"/>
      <c r="N130" s="676"/>
      <c r="O130" s="676"/>
      <c r="P130" s="676"/>
      <c r="Q130" s="676"/>
      <c r="R130" s="676"/>
      <c r="S130" s="676"/>
      <c r="T130" s="676">
        <f t="shared" si="28"/>
        <v>0</v>
      </c>
    </row>
    <row r="131" spans="1:20" ht="11.1" customHeight="1">
      <c r="A131" s="653" t="str">
        <f>'Budget-合并'!A131</f>
        <v>6602.10.04</v>
      </c>
      <c r="B131" s="653" t="str">
        <f>'Budget-合并'!B131</f>
        <v>家具设备</v>
      </c>
      <c r="C131" s="673" t="str">
        <f>'Budget-合并'!C131</f>
        <v xml:space="preserve">Dep Exp - Other EQ &amp; Furn </v>
      </c>
      <c r="D131" s="676">
        <f t="shared" si="34"/>
        <v>0</v>
      </c>
      <c r="F131" s="676">
        <f t="shared" ca="1" si="35"/>
        <v>0</v>
      </c>
      <c r="H131" s="676"/>
      <c r="I131" s="676"/>
      <c r="J131" s="676"/>
      <c r="K131" s="676"/>
      <c r="L131" s="676"/>
      <c r="M131" s="676"/>
      <c r="N131" s="676"/>
      <c r="O131" s="676"/>
      <c r="P131" s="676"/>
      <c r="Q131" s="676"/>
      <c r="R131" s="676"/>
      <c r="S131" s="676"/>
      <c r="T131" s="676">
        <f t="shared" si="28"/>
        <v>0</v>
      </c>
    </row>
    <row r="132" spans="1:20" ht="11.1" customHeight="1">
      <c r="A132" s="663" t="str">
        <f>'Budget-合并'!A132</f>
        <v>6602.12</v>
      </c>
      <c r="B132" s="678" t="str">
        <f>'Budget-合并'!B132</f>
        <v>使用权资产折旧</v>
      </c>
      <c r="C132" s="673" t="str">
        <f>'Budget-合并'!C132</f>
        <v>Dep Exp - Right of Use Asset</v>
      </c>
      <c r="D132" s="676">
        <f t="shared" si="34"/>
        <v>0</v>
      </c>
      <c r="F132" s="676">
        <f t="shared" ca="1" si="35"/>
        <v>0</v>
      </c>
      <c r="H132" s="676">
        <f t="shared" ref="H132:S132" si="41">SUM(H133,H134,H137)</f>
        <v>0</v>
      </c>
      <c r="I132" s="676">
        <f t="shared" si="41"/>
        <v>0</v>
      </c>
      <c r="J132" s="676">
        <f t="shared" si="41"/>
        <v>0</v>
      </c>
      <c r="K132" s="676">
        <f t="shared" si="41"/>
        <v>0</v>
      </c>
      <c r="L132" s="676">
        <f t="shared" si="41"/>
        <v>0</v>
      </c>
      <c r="M132" s="676">
        <f t="shared" si="41"/>
        <v>0</v>
      </c>
      <c r="N132" s="676">
        <f t="shared" si="41"/>
        <v>0</v>
      </c>
      <c r="O132" s="676">
        <f t="shared" si="41"/>
        <v>0</v>
      </c>
      <c r="P132" s="676">
        <f t="shared" si="41"/>
        <v>0</v>
      </c>
      <c r="Q132" s="676">
        <f t="shared" si="41"/>
        <v>0</v>
      </c>
      <c r="R132" s="676">
        <f t="shared" si="41"/>
        <v>0</v>
      </c>
      <c r="S132" s="676">
        <f t="shared" si="41"/>
        <v>0</v>
      </c>
      <c r="T132" s="676">
        <f t="shared" si="28"/>
        <v>0</v>
      </c>
    </row>
    <row r="133" spans="1:20" ht="11.1" customHeight="1">
      <c r="A133" s="653" t="str">
        <f>'Budget-合并'!A133</f>
        <v>6602.12.01</v>
      </c>
      <c r="B133" s="653" t="str">
        <f>'Budget-合并'!B133</f>
        <v>打印机租赁</v>
      </c>
      <c r="C133" s="673">
        <f>'Budget-合并'!C133</f>
        <v>0</v>
      </c>
      <c r="D133" s="676">
        <f t="shared" si="34"/>
        <v>0</v>
      </c>
      <c r="F133" s="676">
        <f t="shared" ca="1" si="35"/>
        <v>0</v>
      </c>
      <c r="H133" s="676"/>
      <c r="I133" s="676"/>
      <c r="J133" s="676"/>
      <c r="K133" s="676"/>
      <c r="L133" s="676"/>
      <c r="M133" s="676"/>
      <c r="N133" s="676"/>
      <c r="O133" s="676"/>
      <c r="P133" s="676"/>
      <c r="Q133" s="676"/>
      <c r="R133" s="676"/>
      <c r="S133" s="676"/>
      <c r="T133" s="676">
        <f t="shared" si="28"/>
        <v>0</v>
      </c>
    </row>
    <row r="134" spans="1:20" ht="11.1" customHeight="1">
      <c r="A134" s="653" t="str">
        <f>'Budget-合并'!A134</f>
        <v>6602.12.02</v>
      </c>
      <c r="B134" s="653" t="str">
        <f>'Budget-合并'!B134</f>
        <v>办公地址</v>
      </c>
      <c r="C134" s="673">
        <f>'Budget-合并'!C134</f>
        <v>0</v>
      </c>
      <c r="D134" s="676">
        <f t="shared" si="34"/>
        <v>0</v>
      </c>
      <c r="F134" s="676">
        <f t="shared" ca="1" si="35"/>
        <v>0</v>
      </c>
      <c r="H134" s="676">
        <f t="shared" ref="H134:S134" si="42">SUM(H135:H136)</f>
        <v>0</v>
      </c>
      <c r="I134" s="676">
        <f t="shared" si="42"/>
        <v>0</v>
      </c>
      <c r="J134" s="676">
        <f t="shared" si="42"/>
        <v>0</v>
      </c>
      <c r="K134" s="676">
        <f t="shared" si="42"/>
        <v>0</v>
      </c>
      <c r="L134" s="676">
        <f t="shared" si="42"/>
        <v>0</v>
      </c>
      <c r="M134" s="676">
        <f t="shared" si="42"/>
        <v>0</v>
      </c>
      <c r="N134" s="676">
        <f t="shared" si="42"/>
        <v>0</v>
      </c>
      <c r="O134" s="676">
        <f t="shared" si="42"/>
        <v>0</v>
      </c>
      <c r="P134" s="676">
        <f t="shared" si="42"/>
        <v>0</v>
      </c>
      <c r="Q134" s="676">
        <f t="shared" si="42"/>
        <v>0</v>
      </c>
      <c r="R134" s="676">
        <f t="shared" si="42"/>
        <v>0</v>
      </c>
      <c r="S134" s="676">
        <f t="shared" si="42"/>
        <v>0</v>
      </c>
      <c r="T134" s="676">
        <f t="shared" si="28"/>
        <v>0</v>
      </c>
    </row>
    <row r="135" spans="1:20" ht="11.1" customHeight="1">
      <c r="A135" s="653" t="str">
        <f>'Budget-合并'!A135</f>
        <v>6602.12.02.01</v>
      </c>
      <c r="B135" s="653" t="str">
        <f>'Budget-合并'!B135</f>
        <v>旭智咨询--鼎和大厦1606</v>
      </c>
      <c r="C135" s="673">
        <f>'Budget-合并'!C135</f>
        <v>0</v>
      </c>
      <c r="D135" s="676">
        <f t="shared" si="34"/>
        <v>0</v>
      </c>
      <c r="F135" s="676">
        <f t="shared" ca="1" si="35"/>
        <v>0</v>
      </c>
      <c r="H135" s="676"/>
      <c r="I135" s="676"/>
      <c r="J135" s="676"/>
      <c r="K135" s="676"/>
      <c r="L135" s="676"/>
      <c r="M135" s="676"/>
      <c r="N135" s="676"/>
      <c r="O135" s="676"/>
      <c r="P135" s="676"/>
      <c r="Q135" s="676"/>
      <c r="R135" s="676"/>
      <c r="S135" s="676"/>
      <c r="T135" s="676">
        <f t="shared" si="28"/>
        <v>0</v>
      </c>
    </row>
    <row r="136" spans="1:20" ht="11.1" customHeight="1">
      <c r="A136" s="653" t="str">
        <f>'Budget-合并'!A136</f>
        <v>6602.12.02.02</v>
      </c>
      <c r="B136" s="653" t="str">
        <f>'Budget-合并'!B136</f>
        <v>旭智资本（香港）--冯氏大厦</v>
      </c>
      <c r="C136" s="673">
        <f>'Budget-合并'!C136</f>
        <v>0</v>
      </c>
      <c r="D136" s="676">
        <f t="shared" si="34"/>
        <v>0</v>
      </c>
      <c r="F136" s="676">
        <f t="shared" ca="1" si="35"/>
        <v>0</v>
      </c>
      <c r="H136" s="676"/>
      <c r="I136" s="676"/>
      <c r="J136" s="676"/>
      <c r="K136" s="676"/>
      <c r="L136" s="676"/>
      <c r="M136" s="676"/>
      <c r="N136" s="676"/>
      <c r="O136" s="676"/>
      <c r="P136" s="676"/>
      <c r="Q136" s="676"/>
      <c r="R136" s="676"/>
      <c r="S136" s="676"/>
      <c r="T136" s="676">
        <f t="shared" si="28"/>
        <v>0</v>
      </c>
    </row>
    <row r="137" spans="1:20" ht="11.1" customHeight="1">
      <c r="A137" s="653" t="str">
        <f>'Budget-合并'!A137</f>
        <v>6602.12.03</v>
      </c>
      <c r="B137" s="653" t="str">
        <f>'Budget-合并'!B137</f>
        <v>注册地址</v>
      </c>
      <c r="C137" s="673">
        <f>'Budget-合并'!C137</f>
        <v>0</v>
      </c>
      <c r="D137" s="676">
        <f t="shared" si="34"/>
        <v>0</v>
      </c>
      <c r="F137" s="676">
        <f t="shared" ca="1" si="35"/>
        <v>0</v>
      </c>
      <c r="H137" s="676">
        <f t="shared" ref="H137:S137" si="43">SUM(H138:H139)</f>
        <v>0</v>
      </c>
      <c r="I137" s="676">
        <f t="shared" si="43"/>
        <v>0</v>
      </c>
      <c r="J137" s="676">
        <f t="shared" si="43"/>
        <v>0</v>
      </c>
      <c r="K137" s="676">
        <f t="shared" si="43"/>
        <v>0</v>
      </c>
      <c r="L137" s="676">
        <f t="shared" si="43"/>
        <v>0</v>
      </c>
      <c r="M137" s="676">
        <f t="shared" si="43"/>
        <v>0</v>
      </c>
      <c r="N137" s="676">
        <f t="shared" si="43"/>
        <v>0</v>
      </c>
      <c r="O137" s="676">
        <f t="shared" si="43"/>
        <v>0</v>
      </c>
      <c r="P137" s="676">
        <f t="shared" si="43"/>
        <v>0</v>
      </c>
      <c r="Q137" s="676">
        <f t="shared" si="43"/>
        <v>0</v>
      </c>
      <c r="R137" s="676">
        <f t="shared" si="43"/>
        <v>0</v>
      </c>
      <c r="S137" s="676">
        <f t="shared" si="43"/>
        <v>0</v>
      </c>
      <c r="T137" s="676">
        <f t="shared" si="28"/>
        <v>0</v>
      </c>
    </row>
    <row r="138" spans="1:20" ht="11.1" customHeight="1">
      <c r="A138" s="653" t="str">
        <f>'Budget-合并'!A138</f>
        <v>6602.12.03.01</v>
      </c>
      <c r="B138" s="653" t="str">
        <f>'Budget-合并'!B138</f>
        <v>旭智私募--前海壹号B座701E</v>
      </c>
      <c r="C138" s="673">
        <f>'Budget-合并'!C138</f>
        <v>0</v>
      </c>
      <c r="D138" s="676">
        <f t="shared" si="34"/>
        <v>0</v>
      </c>
      <c r="F138" s="676">
        <f t="shared" ca="1" si="35"/>
        <v>0</v>
      </c>
      <c r="H138" s="676"/>
      <c r="I138" s="676"/>
      <c r="J138" s="676"/>
      <c r="K138" s="676"/>
      <c r="L138" s="676"/>
      <c r="M138" s="676"/>
      <c r="N138" s="676"/>
      <c r="O138" s="676"/>
      <c r="P138" s="676"/>
      <c r="Q138" s="676"/>
      <c r="R138" s="676"/>
      <c r="S138" s="676"/>
      <c r="T138" s="676">
        <f t="shared" si="28"/>
        <v>0</v>
      </c>
    </row>
    <row r="139" spans="1:20" ht="11.1" customHeight="1">
      <c r="A139" s="653" t="str">
        <f>'Budget-合并'!A139</f>
        <v>6602.12.03.02</v>
      </c>
      <c r="B139" s="653" t="str">
        <f>'Budget-合并'!B139</f>
        <v>广州旭智--802房F028</v>
      </c>
      <c r="C139" s="673">
        <f>'Budget-合并'!C139</f>
        <v>0</v>
      </c>
      <c r="D139" s="676">
        <f t="shared" si="34"/>
        <v>0</v>
      </c>
      <c r="F139" s="676">
        <f t="shared" ca="1" si="35"/>
        <v>0</v>
      </c>
      <c r="H139" s="676"/>
      <c r="I139" s="676"/>
      <c r="J139" s="676"/>
      <c r="K139" s="676"/>
      <c r="L139" s="676"/>
      <c r="M139" s="676"/>
      <c r="N139" s="676"/>
      <c r="O139" s="676"/>
      <c r="P139" s="676"/>
      <c r="Q139" s="676"/>
      <c r="R139" s="676"/>
      <c r="S139" s="676"/>
      <c r="T139" s="676">
        <f t="shared" si="28"/>
        <v>0</v>
      </c>
    </row>
    <row r="140" spans="1:20" ht="13.5" customHeight="1">
      <c r="A140" s="653" t="str">
        <f>'Budget-合并'!A140</f>
        <v>6602.13</v>
      </c>
      <c r="B140" s="653" t="str">
        <f>'Budget-合并'!B140</f>
        <v>物业管理费</v>
      </c>
      <c r="C140" s="673">
        <f>'Budget-合并'!C140</f>
        <v>0</v>
      </c>
      <c r="D140" s="676">
        <f t="shared" si="34"/>
        <v>0</v>
      </c>
      <c r="F140" s="676">
        <f t="shared" ca="1" si="35"/>
        <v>0</v>
      </c>
      <c r="H140" s="676"/>
      <c r="I140" s="676"/>
      <c r="J140" s="676"/>
      <c r="K140" s="676"/>
      <c r="L140" s="676"/>
      <c r="M140" s="676"/>
      <c r="N140" s="676"/>
      <c r="O140" s="676"/>
      <c r="P140" s="676"/>
      <c r="Q140" s="676"/>
      <c r="R140" s="676"/>
      <c r="S140" s="676"/>
      <c r="T140" s="676">
        <f t="shared" si="28"/>
        <v>0</v>
      </c>
    </row>
    <row r="141" spans="1:20" ht="13.5" customHeight="1">
      <c r="A141" s="653" t="str">
        <f>'Budget-合并'!A141</f>
        <v>6602.14</v>
      </c>
      <c r="B141" s="653" t="str">
        <f>'Budget-合并'!B141</f>
        <v>修理费</v>
      </c>
      <c r="C141" s="673">
        <f>'Budget-合并'!C141</f>
        <v>0</v>
      </c>
      <c r="D141" s="676">
        <f t="shared" si="34"/>
        <v>0</v>
      </c>
      <c r="F141" s="676">
        <f t="shared" ca="1" si="35"/>
        <v>0</v>
      </c>
      <c r="H141" s="676"/>
      <c r="I141" s="676"/>
      <c r="J141" s="676"/>
      <c r="K141" s="676"/>
      <c r="L141" s="676"/>
      <c r="M141" s="676"/>
      <c r="N141" s="676"/>
      <c r="O141" s="676"/>
      <c r="P141" s="676"/>
      <c r="Q141" s="676"/>
      <c r="R141" s="676"/>
      <c r="S141" s="676"/>
      <c r="T141" s="676">
        <f t="shared" si="28"/>
        <v>0</v>
      </c>
    </row>
    <row r="142" spans="1:20" ht="13.5" customHeight="1">
      <c r="A142" s="653" t="str">
        <f>'Budget-合并'!A142</f>
        <v>6602.15</v>
      </c>
      <c r="B142" s="653" t="str">
        <f>'Budget-合并'!B142</f>
        <v>服务费</v>
      </c>
      <c r="C142" s="673" t="str">
        <f>'Budget-合并'!C142</f>
        <v>Professional Fee</v>
      </c>
      <c r="D142" s="676">
        <f t="shared" si="34"/>
        <v>0</v>
      </c>
      <c r="F142" s="676">
        <f t="shared" ca="1" si="35"/>
        <v>0</v>
      </c>
      <c r="H142" s="676"/>
      <c r="I142" s="676"/>
      <c r="J142" s="676"/>
      <c r="K142" s="676"/>
      <c r="L142" s="676"/>
      <c r="M142" s="676"/>
      <c r="N142" s="676"/>
      <c r="O142" s="676"/>
      <c r="P142" s="676"/>
      <c r="Q142" s="676"/>
      <c r="R142" s="676"/>
      <c r="S142" s="676"/>
      <c r="T142" s="676">
        <f t="shared" si="28"/>
        <v>0</v>
      </c>
    </row>
    <row r="143" spans="1:20" ht="13.5" customHeight="1">
      <c r="A143" s="653" t="str">
        <f>'Budget-合并'!A143</f>
        <v>6602.16</v>
      </c>
      <c r="B143" s="653" t="str">
        <f>'Budget-合并'!B143</f>
        <v>董事会费</v>
      </c>
      <c r="C143" s="673" t="str">
        <f>'Budget-合并'!C143</f>
        <v>Internal ACP Meeting</v>
      </c>
      <c r="D143" s="676">
        <f t="shared" si="34"/>
        <v>0</v>
      </c>
      <c r="F143" s="676">
        <f t="shared" ca="1" si="35"/>
        <v>0</v>
      </c>
      <c r="H143" s="676"/>
      <c r="I143" s="676"/>
      <c r="J143" s="676"/>
      <c r="K143" s="676"/>
      <c r="L143" s="676"/>
      <c r="M143" s="676"/>
      <c r="N143" s="676"/>
      <c r="O143" s="676"/>
      <c r="P143" s="676"/>
      <c r="Q143" s="676"/>
      <c r="R143" s="676"/>
      <c r="S143" s="676"/>
      <c r="T143" s="676">
        <f t="shared" si="28"/>
        <v>0</v>
      </c>
    </row>
    <row r="144" spans="1:20" ht="13.5" customHeight="1">
      <c r="A144" s="653" t="str">
        <f>'Budget-合并'!A144</f>
        <v>6602.17</v>
      </c>
      <c r="B144" s="653" t="str">
        <f>'Budget-合并'!B144</f>
        <v>聘请中介机构费</v>
      </c>
      <c r="C144" s="673">
        <f>'Budget-合并'!C144</f>
        <v>0</v>
      </c>
      <c r="D144" s="676">
        <f t="shared" si="34"/>
        <v>0</v>
      </c>
      <c r="F144" s="676">
        <f t="shared" ca="1" si="35"/>
        <v>0</v>
      </c>
      <c r="H144" s="676"/>
      <c r="I144" s="676"/>
      <c r="J144" s="676"/>
      <c r="K144" s="676"/>
      <c r="L144" s="676"/>
      <c r="M144" s="676"/>
      <c r="N144" s="676"/>
      <c r="O144" s="676"/>
      <c r="P144" s="676"/>
      <c r="Q144" s="676"/>
      <c r="R144" s="676"/>
      <c r="S144" s="676"/>
      <c r="T144" s="676">
        <f t="shared" si="28"/>
        <v>0</v>
      </c>
    </row>
    <row r="145" spans="1:20" ht="13.5" customHeight="1">
      <c r="A145" s="653" t="str">
        <f>'Budget-合并'!A145</f>
        <v>6602.18</v>
      </c>
      <c r="B145" s="653" t="str">
        <f>'Budget-合并'!B145</f>
        <v>存货盘亏或盘盈</v>
      </c>
      <c r="C145" s="673">
        <f>'Budget-合并'!C145</f>
        <v>0</v>
      </c>
      <c r="D145" s="676">
        <f t="shared" si="34"/>
        <v>0</v>
      </c>
      <c r="F145" s="676">
        <f t="shared" ca="1" si="35"/>
        <v>0</v>
      </c>
      <c r="H145" s="676"/>
      <c r="I145" s="676"/>
      <c r="J145" s="676"/>
      <c r="K145" s="676"/>
      <c r="L145" s="676"/>
      <c r="M145" s="676"/>
      <c r="N145" s="676"/>
      <c r="O145" s="676"/>
      <c r="P145" s="676"/>
      <c r="Q145" s="676"/>
      <c r="R145" s="676"/>
      <c r="S145" s="676"/>
      <c r="T145" s="676">
        <f t="shared" si="28"/>
        <v>0</v>
      </c>
    </row>
    <row r="146" spans="1:20" ht="13.5" customHeight="1">
      <c r="A146" s="653" t="str">
        <f>'Budget-合并'!A146</f>
        <v>6602.19</v>
      </c>
      <c r="B146" s="653" t="str">
        <f>'Budget-合并'!B146</f>
        <v>会费（公司）</v>
      </c>
      <c r="C146" s="673" t="str">
        <f>'Budget-合并'!C146</f>
        <v>Membership Fee</v>
      </c>
      <c r="D146" s="676">
        <f t="shared" si="34"/>
        <v>0</v>
      </c>
      <c r="F146" s="676">
        <f t="shared" ca="1" si="35"/>
        <v>0</v>
      </c>
      <c r="H146" s="676"/>
      <c r="I146" s="676"/>
      <c r="J146" s="676"/>
      <c r="K146" s="676"/>
      <c r="L146" s="676"/>
      <c r="M146" s="676"/>
      <c r="N146" s="676"/>
      <c r="O146" s="676"/>
      <c r="P146" s="676"/>
      <c r="Q146" s="676"/>
      <c r="R146" s="676"/>
      <c r="S146" s="676"/>
      <c r="T146" s="676">
        <f t="shared" si="28"/>
        <v>0</v>
      </c>
    </row>
    <row r="147" spans="1:20" ht="13.5" customHeight="1">
      <c r="A147" s="653" t="str">
        <f>'Budget-合并'!A147</f>
        <v>6602.20</v>
      </c>
      <c r="B147" s="653" t="str">
        <f>'Budget-合并'!B147</f>
        <v>职工教育经费</v>
      </c>
      <c r="C147" s="673" t="str">
        <f>'Budget-合并'!C147</f>
        <v>Education Assistance</v>
      </c>
      <c r="D147" s="676">
        <f t="shared" si="34"/>
        <v>0</v>
      </c>
      <c r="F147" s="676">
        <f t="shared" ca="1" si="35"/>
        <v>0</v>
      </c>
      <c r="H147" s="676"/>
      <c r="I147" s="676"/>
      <c r="J147" s="676"/>
      <c r="K147" s="676"/>
      <c r="L147" s="676"/>
      <c r="M147" s="676"/>
      <c r="N147" s="676"/>
      <c r="O147" s="676"/>
      <c r="P147" s="676"/>
      <c r="Q147" s="676"/>
      <c r="R147" s="676"/>
      <c r="S147" s="676"/>
      <c r="T147" s="676">
        <f t="shared" si="28"/>
        <v>0</v>
      </c>
    </row>
    <row r="148" spans="1:20" ht="13.5" customHeight="1">
      <c r="A148" s="653" t="str">
        <f>'Budget-合并'!A148</f>
        <v>6602.21</v>
      </c>
      <c r="B148" s="653" t="str">
        <f>'Budget-合并'!B148</f>
        <v>公司秘书费</v>
      </c>
      <c r="C148" s="673" t="str">
        <f>'Budget-合并'!C148</f>
        <v>Corporate Secretarial Fees</v>
      </c>
      <c r="D148" s="676">
        <f t="shared" si="34"/>
        <v>0</v>
      </c>
      <c r="F148" s="676">
        <f t="shared" ca="1" si="35"/>
        <v>0</v>
      </c>
      <c r="H148" s="676"/>
      <c r="I148" s="676"/>
      <c r="J148" s="676"/>
      <c r="K148" s="676"/>
      <c r="L148" s="676"/>
      <c r="M148" s="676"/>
      <c r="N148" s="676"/>
      <c r="O148" s="676"/>
      <c r="P148" s="676"/>
      <c r="Q148" s="676"/>
      <c r="R148" s="676"/>
      <c r="S148" s="676"/>
      <c r="T148" s="676">
        <f t="shared" si="28"/>
        <v>0</v>
      </c>
    </row>
    <row r="149" spans="1:20" ht="13.5" customHeight="1">
      <c r="A149" s="653" t="str">
        <f>'Budget-合并'!A149</f>
        <v>6602.22</v>
      </c>
      <c r="B149" s="653" t="str">
        <f>'Budget-合并'!B149</f>
        <v>工会经费</v>
      </c>
      <c r="C149" s="673">
        <f>'Budget-合并'!C149</f>
        <v>0</v>
      </c>
      <c r="D149" s="676">
        <f t="shared" si="34"/>
        <v>0</v>
      </c>
      <c r="F149" s="676">
        <f t="shared" ca="1" si="35"/>
        <v>0</v>
      </c>
      <c r="H149" s="676"/>
      <c r="I149" s="676"/>
      <c r="J149" s="676"/>
      <c r="K149" s="676"/>
      <c r="L149" s="676"/>
      <c r="M149" s="676"/>
      <c r="N149" s="676"/>
      <c r="O149" s="676"/>
      <c r="P149" s="676"/>
      <c r="Q149" s="676"/>
      <c r="R149" s="676"/>
      <c r="S149" s="676"/>
      <c r="T149" s="676">
        <f t="shared" si="28"/>
        <v>0</v>
      </c>
    </row>
    <row r="150" spans="1:20" ht="13.5" customHeight="1">
      <c r="A150" s="653" t="str">
        <f>'Budget-合并'!A150</f>
        <v>6602.23</v>
      </c>
      <c r="B150" s="653" t="str">
        <f>'Budget-合并'!B150</f>
        <v>无形资产摊销</v>
      </c>
      <c r="C150" s="673" t="str">
        <f>'Budget-合并'!C150</f>
        <v>Contract Intangibles - Amortization</v>
      </c>
      <c r="D150" s="676">
        <f t="shared" si="34"/>
        <v>0</v>
      </c>
      <c r="F150" s="676">
        <f t="shared" ca="1" si="35"/>
        <v>0</v>
      </c>
      <c r="H150" s="676"/>
      <c r="I150" s="676"/>
      <c r="J150" s="676"/>
      <c r="K150" s="676"/>
      <c r="L150" s="676"/>
      <c r="M150" s="676"/>
      <c r="N150" s="676"/>
      <c r="O150" s="676"/>
      <c r="P150" s="676"/>
      <c r="Q150" s="676"/>
      <c r="R150" s="676"/>
      <c r="S150" s="676"/>
      <c r="T150" s="676">
        <f t="shared" si="28"/>
        <v>0</v>
      </c>
    </row>
    <row r="151" spans="1:20" ht="13.5" customHeight="1">
      <c r="A151" s="653" t="str">
        <f>'Budget-合并'!A151</f>
        <v>6602.24</v>
      </c>
      <c r="B151" s="653" t="str">
        <f>'Budget-合并'!B151</f>
        <v>监管费用</v>
      </c>
      <c r="C151" s="673" t="str">
        <f>'Budget-合并'!C151</f>
        <v xml:space="preserve">Regulatory fees </v>
      </c>
      <c r="D151" s="676">
        <f t="shared" si="34"/>
        <v>0</v>
      </c>
      <c r="F151" s="676">
        <f t="shared" ca="1" si="35"/>
        <v>0</v>
      </c>
      <c r="H151" s="676"/>
      <c r="I151" s="676"/>
      <c r="J151" s="676"/>
      <c r="K151" s="676"/>
      <c r="L151" s="676"/>
      <c r="M151" s="676"/>
      <c r="N151" s="676"/>
      <c r="O151" s="676"/>
      <c r="P151" s="676"/>
      <c r="Q151" s="676"/>
      <c r="R151" s="676"/>
      <c r="S151" s="676"/>
      <c r="T151" s="676">
        <f t="shared" ref="T151:T154" si="44">SUM(H151:S151)</f>
        <v>0</v>
      </c>
    </row>
    <row r="152" spans="1:20" ht="13.5" customHeight="1">
      <c r="A152" s="653" t="str">
        <f>'Budget-合并'!A152</f>
        <v>6602.99</v>
      </c>
      <c r="B152" s="653" t="str">
        <f>'Budget-合并'!B152</f>
        <v>其他</v>
      </c>
      <c r="C152" s="673" t="str">
        <f>'Budget-合并'!C152</f>
        <v>Admin Other</v>
      </c>
      <c r="D152" s="676">
        <f t="shared" si="34"/>
        <v>0</v>
      </c>
      <c r="F152" s="676">
        <f t="shared" ca="1" si="35"/>
        <v>0</v>
      </c>
      <c r="H152" s="676"/>
      <c r="I152" s="676"/>
      <c r="J152" s="676"/>
      <c r="K152" s="676"/>
      <c r="L152" s="676"/>
      <c r="M152" s="676"/>
      <c r="N152" s="676"/>
      <c r="O152" s="676"/>
      <c r="P152" s="676"/>
      <c r="Q152" s="676"/>
      <c r="R152" s="676"/>
      <c r="S152" s="676"/>
      <c r="T152" s="676">
        <f t="shared" si="44"/>
        <v>0</v>
      </c>
    </row>
    <row r="153" spans="1:20" ht="13.5" customHeight="1">
      <c r="A153" s="672">
        <f>'Budget-合并'!A153</f>
        <v>0</v>
      </c>
      <c r="B153" s="672" t="str">
        <f>'Budget-合并'!B153</f>
        <v>管理费用合计</v>
      </c>
      <c r="C153" s="673">
        <f>'Budget-合并'!C153</f>
        <v>0</v>
      </c>
      <c r="D153" s="677">
        <f t="shared" si="34"/>
        <v>0</v>
      </c>
      <c r="F153" s="677">
        <f t="shared" ca="1" si="35"/>
        <v>0</v>
      </c>
      <c r="H153" s="677">
        <f t="shared" ref="H153:S153" si="45">SUM(H44,H62,H75,H79,H80,H92,H127,H132,H140:H152)</f>
        <v>0</v>
      </c>
      <c r="I153" s="677">
        <f t="shared" si="45"/>
        <v>0</v>
      </c>
      <c r="J153" s="677">
        <f t="shared" si="45"/>
        <v>0</v>
      </c>
      <c r="K153" s="677">
        <f t="shared" si="45"/>
        <v>0</v>
      </c>
      <c r="L153" s="677">
        <f t="shared" si="45"/>
        <v>0</v>
      </c>
      <c r="M153" s="677">
        <f t="shared" si="45"/>
        <v>0</v>
      </c>
      <c r="N153" s="677">
        <f t="shared" si="45"/>
        <v>0</v>
      </c>
      <c r="O153" s="677">
        <f t="shared" si="45"/>
        <v>0</v>
      </c>
      <c r="P153" s="677">
        <f t="shared" si="45"/>
        <v>0</v>
      </c>
      <c r="Q153" s="677">
        <f t="shared" si="45"/>
        <v>0</v>
      </c>
      <c r="R153" s="677">
        <f t="shared" si="45"/>
        <v>0</v>
      </c>
      <c r="S153" s="677">
        <f t="shared" si="45"/>
        <v>0</v>
      </c>
      <c r="T153" s="677">
        <f t="shared" si="44"/>
        <v>0</v>
      </c>
    </row>
    <row r="154" spans="1:20" ht="13.5" customHeight="1">
      <c r="A154" s="653">
        <f>'Budget-合并'!A154</f>
        <v>0</v>
      </c>
      <c r="B154" s="653">
        <f>'Budget-合并'!B154</f>
        <v>0</v>
      </c>
      <c r="C154" s="673">
        <f>'Budget-合并'!C154</f>
        <v>0</v>
      </c>
      <c r="T154" s="652">
        <f t="shared" si="44"/>
        <v>0</v>
      </c>
    </row>
    <row r="155" spans="1:20" ht="13.5" customHeight="1">
      <c r="A155" s="672" t="str">
        <f>'Budget-合并'!A155</f>
        <v>6603</v>
      </c>
      <c r="B155" s="672" t="str">
        <f>'Budget-合并'!B155</f>
        <v>财务费用</v>
      </c>
      <c r="C155" s="673">
        <f>'Budget-合并'!C155</f>
        <v>0</v>
      </c>
      <c r="D155" s="677"/>
      <c r="F155" s="677"/>
      <c r="H155" s="677"/>
      <c r="I155" s="677"/>
      <c r="J155" s="677"/>
      <c r="K155" s="677"/>
      <c r="L155" s="677"/>
      <c r="M155" s="677"/>
      <c r="N155" s="677"/>
      <c r="O155" s="677"/>
      <c r="P155" s="677"/>
      <c r="Q155" s="677"/>
      <c r="R155" s="677"/>
      <c r="S155" s="677"/>
      <c r="T155" s="677"/>
    </row>
    <row r="156" spans="1:20" ht="13.5" customHeight="1">
      <c r="A156" s="653" t="str">
        <f>'Budget-合并'!A156</f>
        <v>6603.01</v>
      </c>
      <c r="B156" s="653" t="str">
        <f>'Budget-合并'!B156</f>
        <v>汇兑损益</v>
      </c>
      <c r="C156" s="673" t="str">
        <f>'Budget-合并'!C156</f>
        <v>FX Gain/Loss Net</v>
      </c>
      <c r="D156" s="676">
        <f t="shared" ref="D156:D172" si="46">INDEX($H$8:$S$8,1,MATCH($D$6,$H$6:$S$6))</f>
        <v>0</v>
      </c>
      <c r="F156" s="676">
        <f t="shared" ref="F156:F172" ca="1" si="47">SUM($H156:OFFSET($H156,0,MATCH(F$6,$H$6:$S$6)-1))</f>
        <v>0</v>
      </c>
      <c r="H156" s="676"/>
      <c r="I156" s="676"/>
      <c r="J156" s="676"/>
      <c r="K156" s="676"/>
      <c r="L156" s="676"/>
      <c r="M156" s="676"/>
      <c r="N156" s="676"/>
      <c r="O156" s="676"/>
      <c r="P156" s="676"/>
      <c r="Q156" s="676"/>
      <c r="R156" s="676"/>
      <c r="S156" s="676"/>
      <c r="T156" s="676">
        <f t="shared" ref="T156:T169" si="48">SUM(H156:S156)</f>
        <v>0</v>
      </c>
    </row>
    <row r="157" spans="1:20" ht="13.5" customHeight="1">
      <c r="A157" s="663" t="str">
        <f>'Budget-合并'!A157</f>
        <v>6603.02</v>
      </c>
      <c r="B157" s="678" t="str">
        <f>'Budget-合并'!B157</f>
        <v>利息费用</v>
      </c>
      <c r="C157" s="673">
        <f>'Budget-合并'!C157</f>
        <v>0</v>
      </c>
      <c r="D157" s="676">
        <f t="shared" si="46"/>
        <v>0</v>
      </c>
      <c r="F157" s="676">
        <f t="shared" ca="1" si="47"/>
        <v>0</v>
      </c>
      <c r="H157" s="676"/>
      <c r="I157" s="676"/>
      <c r="J157" s="676"/>
      <c r="K157" s="676"/>
      <c r="L157" s="676"/>
      <c r="M157" s="676"/>
      <c r="N157" s="676"/>
      <c r="O157" s="676"/>
      <c r="P157" s="676"/>
      <c r="Q157" s="676"/>
      <c r="R157" s="676"/>
      <c r="S157" s="676"/>
      <c r="T157" s="676">
        <f t="shared" si="48"/>
        <v>0</v>
      </c>
    </row>
    <row r="158" spans="1:20" ht="13.5" customHeight="1">
      <c r="A158" s="653" t="str">
        <f>'Budget-合并'!A158</f>
        <v>6603.02.01</v>
      </c>
      <c r="B158" s="653" t="str">
        <f>'Budget-合并'!B158</f>
        <v>打印机租赁</v>
      </c>
      <c r="C158" s="673">
        <f>'Budget-合并'!C158</f>
        <v>0</v>
      </c>
      <c r="D158" s="676">
        <f t="shared" si="46"/>
        <v>0</v>
      </c>
      <c r="F158" s="676">
        <f t="shared" ca="1" si="47"/>
        <v>0</v>
      </c>
      <c r="H158" s="676"/>
      <c r="I158" s="676"/>
      <c r="J158" s="676"/>
      <c r="K158" s="676"/>
      <c r="L158" s="676"/>
      <c r="M158" s="676"/>
      <c r="N158" s="676"/>
      <c r="O158" s="676"/>
      <c r="P158" s="676"/>
      <c r="Q158" s="676"/>
      <c r="R158" s="676"/>
      <c r="S158" s="676"/>
      <c r="T158" s="676">
        <f t="shared" si="48"/>
        <v>0</v>
      </c>
    </row>
    <row r="159" spans="1:20" ht="13.5" customHeight="1">
      <c r="A159" s="653" t="str">
        <f>'Budget-合并'!A159</f>
        <v>6603.02.02</v>
      </c>
      <c r="B159" s="653" t="str">
        <f>'Budget-合并'!B159</f>
        <v>办公地址</v>
      </c>
      <c r="C159" s="673">
        <f>'Budget-合并'!C159</f>
        <v>0</v>
      </c>
      <c r="D159" s="676">
        <f t="shared" si="46"/>
        <v>0</v>
      </c>
      <c r="F159" s="676">
        <f t="shared" ca="1" si="47"/>
        <v>0</v>
      </c>
      <c r="H159" s="676">
        <f t="shared" ref="H159:S159" si="49">SUM(H160:H161)</f>
        <v>0</v>
      </c>
      <c r="I159" s="676">
        <f t="shared" si="49"/>
        <v>0</v>
      </c>
      <c r="J159" s="676">
        <f t="shared" si="49"/>
        <v>0</v>
      </c>
      <c r="K159" s="676">
        <f t="shared" si="49"/>
        <v>0</v>
      </c>
      <c r="L159" s="676">
        <f t="shared" si="49"/>
        <v>0</v>
      </c>
      <c r="M159" s="676">
        <f t="shared" si="49"/>
        <v>0</v>
      </c>
      <c r="N159" s="676">
        <f t="shared" si="49"/>
        <v>0</v>
      </c>
      <c r="O159" s="676">
        <f t="shared" si="49"/>
        <v>0</v>
      </c>
      <c r="P159" s="676">
        <f t="shared" si="49"/>
        <v>0</v>
      </c>
      <c r="Q159" s="676">
        <f t="shared" si="49"/>
        <v>0</v>
      </c>
      <c r="R159" s="676">
        <f t="shared" si="49"/>
        <v>0</v>
      </c>
      <c r="S159" s="676">
        <f t="shared" si="49"/>
        <v>0</v>
      </c>
      <c r="T159" s="676">
        <f t="shared" si="48"/>
        <v>0</v>
      </c>
    </row>
    <row r="160" spans="1:20" ht="13.5" customHeight="1">
      <c r="A160" s="653" t="str">
        <f>'Budget-合并'!A160</f>
        <v>6603.02.02.01</v>
      </c>
      <c r="B160" s="653" t="str">
        <f>'Budget-合并'!B160</f>
        <v>旭智咨询--鼎和大厦1606</v>
      </c>
      <c r="C160" s="673">
        <f>'Budget-合并'!C160</f>
        <v>0</v>
      </c>
      <c r="D160" s="676">
        <f t="shared" si="46"/>
        <v>0</v>
      </c>
      <c r="F160" s="676">
        <f t="shared" ca="1" si="47"/>
        <v>0</v>
      </c>
      <c r="H160" s="676"/>
      <c r="I160" s="676"/>
      <c r="J160" s="676"/>
      <c r="K160" s="676"/>
      <c r="L160" s="676"/>
      <c r="M160" s="676"/>
      <c r="N160" s="676"/>
      <c r="O160" s="676"/>
      <c r="P160" s="676"/>
      <c r="Q160" s="676"/>
      <c r="R160" s="676"/>
      <c r="S160" s="676"/>
      <c r="T160" s="676">
        <f t="shared" si="48"/>
        <v>0</v>
      </c>
    </row>
    <row r="161" spans="1:20" ht="13.5" customHeight="1">
      <c r="A161" s="653" t="str">
        <f>'Budget-合并'!A161</f>
        <v>6603.02.02.02</v>
      </c>
      <c r="B161" s="653" t="str">
        <f>'Budget-合并'!B161</f>
        <v>旭智资本（香港）--冯氏大厦</v>
      </c>
      <c r="C161" s="673" t="str">
        <f>'Budget-合并'!C161</f>
        <v>Interest Expense Lease</v>
      </c>
      <c r="D161" s="676">
        <f t="shared" si="46"/>
        <v>0</v>
      </c>
      <c r="F161" s="676">
        <f t="shared" ca="1" si="47"/>
        <v>0</v>
      </c>
      <c r="H161" s="676"/>
      <c r="I161" s="676"/>
      <c r="J161" s="676"/>
      <c r="K161" s="676"/>
      <c r="L161" s="676"/>
      <c r="M161" s="676"/>
      <c r="N161" s="676"/>
      <c r="O161" s="676"/>
      <c r="P161" s="676"/>
      <c r="Q161" s="676"/>
      <c r="R161" s="676"/>
      <c r="S161" s="676"/>
      <c r="T161" s="676">
        <f t="shared" si="48"/>
        <v>0</v>
      </c>
    </row>
    <row r="162" spans="1:20" ht="13.5" customHeight="1">
      <c r="A162" s="653" t="str">
        <f>'Budget-合并'!A162</f>
        <v>6603.02.03</v>
      </c>
      <c r="B162" s="653" t="str">
        <f>'Budget-合并'!B162</f>
        <v>注册地址</v>
      </c>
      <c r="C162" s="673">
        <f>'Budget-合并'!C162</f>
        <v>0</v>
      </c>
      <c r="D162" s="676">
        <f t="shared" si="46"/>
        <v>0</v>
      </c>
      <c r="F162" s="676">
        <f t="shared" ca="1" si="47"/>
        <v>0</v>
      </c>
      <c r="H162" s="676">
        <f t="shared" ref="H162:S162" si="50">SUM(H163:H164)</f>
        <v>0</v>
      </c>
      <c r="I162" s="676">
        <f t="shared" si="50"/>
        <v>0</v>
      </c>
      <c r="J162" s="676">
        <f t="shared" si="50"/>
        <v>0</v>
      </c>
      <c r="K162" s="676">
        <f t="shared" si="50"/>
        <v>0</v>
      </c>
      <c r="L162" s="676">
        <f t="shared" si="50"/>
        <v>0</v>
      </c>
      <c r="M162" s="676">
        <f t="shared" si="50"/>
        <v>0</v>
      </c>
      <c r="N162" s="676">
        <f t="shared" si="50"/>
        <v>0</v>
      </c>
      <c r="O162" s="676">
        <f t="shared" si="50"/>
        <v>0</v>
      </c>
      <c r="P162" s="676">
        <f t="shared" si="50"/>
        <v>0</v>
      </c>
      <c r="Q162" s="676">
        <f t="shared" si="50"/>
        <v>0</v>
      </c>
      <c r="R162" s="676">
        <f t="shared" si="50"/>
        <v>0</v>
      </c>
      <c r="S162" s="676">
        <f t="shared" si="50"/>
        <v>0</v>
      </c>
      <c r="T162" s="676">
        <f t="shared" si="48"/>
        <v>0</v>
      </c>
    </row>
    <row r="163" spans="1:20" ht="13.5" customHeight="1">
      <c r="A163" s="653" t="str">
        <f>'Budget-合并'!A163</f>
        <v>6603.02.03.01</v>
      </c>
      <c r="B163" s="653" t="str">
        <f>'Budget-合并'!B163</f>
        <v>旭智私募--前海壹号B座701E</v>
      </c>
      <c r="C163" s="673">
        <f>'Budget-合并'!C163</f>
        <v>0</v>
      </c>
      <c r="D163" s="676">
        <f t="shared" si="46"/>
        <v>0</v>
      </c>
      <c r="F163" s="676">
        <f t="shared" ca="1" si="47"/>
        <v>0</v>
      </c>
      <c r="H163" s="676"/>
      <c r="I163" s="676"/>
      <c r="J163" s="676"/>
      <c r="K163" s="676"/>
      <c r="L163" s="676"/>
      <c r="M163" s="676"/>
      <c r="N163" s="676"/>
      <c r="O163" s="676"/>
      <c r="P163" s="676"/>
      <c r="Q163" s="676"/>
      <c r="R163" s="676"/>
      <c r="S163" s="676"/>
      <c r="T163" s="676">
        <f t="shared" si="48"/>
        <v>0</v>
      </c>
    </row>
    <row r="164" spans="1:20" ht="13.5" customHeight="1">
      <c r="A164" s="653" t="str">
        <f>'Budget-合并'!A164</f>
        <v>6603.02.03.02</v>
      </c>
      <c r="B164" s="653" t="str">
        <f>'Budget-合并'!B164</f>
        <v>广州旭智--802房F028</v>
      </c>
      <c r="C164" s="673">
        <f>'Budget-合并'!C164</f>
        <v>0</v>
      </c>
      <c r="D164" s="676">
        <f t="shared" si="46"/>
        <v>0</v>
      </c>
      <c r="F164" s="676">
        <f t="shared" ca="1" si="47"/>
        <v>0</v>
      </c>
      <c r="H164" s="676"/>
      <c r="I164" s="676"/>
      <c r="J164" s="676"/>
      <c r="K164" s="676"/>
      <c r="L164" s="676"/>
      <c r="M164" s="676"/>
      <c r="N164" s="676"/>
      <c r="O164" s="676"/>
      <c r="P164" s="676"/>
      <c r="Q164" s="676"/>
      <c r="R164" s="676"/>
      <c r="S164" s="676"/>
      <c r="T164" s="676">
        <f t="shared" si="48"/>
        <v>0</v>
      </c>
    </row>
    <row r="165" spans="1:20" ht="13.5" customHeight="1">
      <c r="A165" s="653" t="str">
        <f>'Budget-合并'!A165</f>
        <v>6603.03</v>
      </c>
      <c r="B165" s="653" t="str">
        <f>'Budget-合并'!B165</f>
        <v>银行手续费</v>
      </c>
      <c r="C165" s="673" t="str">
        <f>'Budget-合并'!C165</f>
        <v>Bank Charges</v>
      </c>
      <c r="D165" s="676">
        <f t="shared" si="46"/>
        <v>0</v>
      </c>
      <c r="F165" s="676">
        <f t="shared" ca="1" si="47"/>
        <v>0</v>
      </c>
      <c r="H165" s="676"/>
      <c r="I165" s="676"/>
      <c r="J165" s="676"/>
      <c r="K165" s="676"/>
      <c r="L165" s="676"/>
      <c r="M165" s="676"/>
      <c r="N165" s="676"/>
      <c r="O165" s="676"/>
      <c r="P165" s="676"/>
      <c r="Q165" s="676"/>
      <c r="R165" s="676"/>
      <c r="S165" s="676"/>
      <c r="T165" s="676">
        <f t="shared" si="48"/>
        <v>0</v>
      </c>
    </row>
    <row r="166" spans="1:20" ht="13.5" customHeight="1">
      <c r="A166" s="653" t="str">
        <f>'Budget-合并'!A166</f>
        <v>6603.04</v>
      </c>
      <c r="B166" s="653" t="str">
        <f>'Budget-合并'!B166</f>
        <v>利息收入</v>
      </c>
      <c r="C166" s="673" t="str">
        <f>'Budget-合并'!C166</f>
        <v>Bank Interest Income</v>
      </c>
      <c r="D166" s="676">
        <f t="shared" si="46"/>
        <v>0</v>
      </c>
      <c r="F166" s="676">
        <f t="shared" ca="1" si="47"/>
        <v>0</v>
      </c>
      <c r="H166" s="676"/>
      <c r="I166" s="676"/>
      <c r="J166" s="676"/>
      <c r="K166" s="676"/>
      <c r="L166" s="676"/>
      <c r="M166" s="676"/>
      <c r="N166" s="676"/>
      <c r="O166" s="676"/>
      <c r="P166" s="676"/>
      <c r="Q166" s="676"/>
      <c r="R166" s="676"/>
      <c r="S166" s="676"/>
      <c r="T166" s="676">
        <f t="shared" si="48"/>
        <v>0</v>
      </c>
    </row>
    <row r="167" spans="1:20" ht="13.5" customHeight="1">
      <c r="A167" s="663" t="str">
        <f>'Budget-合并'!A167</f>
        <v>6603.05</v>
      </c>
      <c r="B167" s="678" t="str">
        <f>'Budget-合并'!B167</f>
        <v>利息支出</v>
      </c>
      <c r="C167" s="673">
        <f>'Budget-合并'!C167</f>
        <v>0</v>
      </c>
      <c r="D167" s="676">
        <f t="shared" si="46"/>
        <v>0</v>
      </c>
      <c r="F167" s="676">
        <f t="shared" ca="1" si="47"/>
        <v>0</v>
      </c>
      <c r="H167" s="676">
        <f t="shared" ref="H167:S167" si="51">SUM(H168:H170)</f>
        <v>0</v>
      </c>
      <c r="I167" s="676">
        <f t="shared" si="51"/>
        <v>0</v>
      </c>
      <c r="J167" s="676">
        <f t="shared" si="51"/>
        <v>0</v>
      </c>
      <c r="K167" s="676">
        <f t="shared" si="51"/>
        <v>0</v>
      </c>
      <c r="L167" s="676">
        <f t="shared" si="51"/>
        <v>0</v>
      </c>
      <c r="M167" s="676">
        <f t="shared" si="51"/>
        <v>0</v>
      </c>
      <c r="N167" s="676">
        <f t="shared" si="51"/>
        <v>0</v>
      </c>
      <c r="O167" s="676">
        <f t="shared" si="51"/>
        <v>0</v>
      </c>
      <c r="P167" s="676">
        <f t="shared" si="51"/>
        <v>0</v>
      </c>
      <c r="Q167" s="676">
        <f t="shared" si="51"/>
        <v>0</v>
      </c>
      <c r="R167" s="676">
        <f t="shared" si="51"/>
        <v>0</v>
      </c>
      <c r="S167" s="676">
        <f t="shared" si="51"/>
        <v>0</v>
      </c>
      <c r="T167" s="676">
        <f t="shared" si="48"/>
        <v>0</v>
      </c>
    </row>
    <row r="168" spans="1:20" ht="13.5" customHeight="1">
      <c r="A168" s="653" t="str">
        <f>'Budget-合并'!A168</f>
        <v>6603.05.01</v>
      </c>
      <c r="B168" s="653" t="str">
        <f>'Budget-合并'!B168</f>
        <v>兴业金融租赁有限责任公司</v>
      </c>
      <c r="C168" s="673">
        <f>'Budget-合并'!C168</f>
        <v>0</v>
      </c>
      <c r="D168" s="676">
        <f t="shared" si="46"/>
        <v>0</v>
      </c>
      <c r="F168" s="676">
        <f t="shared" ca="1" si="47"/>
        <v>0</v>
      </c>
      <c r="H168" s="676"/>
      <c r="I168" s="676"/>
      <c r="J168" s="676"/>
      <c r="K168" s="676"/>
      <c r="L168" s="676"/>
      <c r="M168" s="676"/>
      <c r="N168" s="676"/>
      <c r="O168" s="676"/>
      <c r="P168" s="676"/>
      <c r="Q168" s="676"/>
      <c r="R168" s="676"/>
      <c r="S168" s="676"/>
      <c r="T168" s="676">
        <f t="shared" si="48"/>
        <v>0</v>
      </c>
    </row>
    <row r="169" spans="1:20" ht="13.5" customHeight="1">
      <c r="A169" s="653" t="str">
        <f>'Budget-合并'!A169</f>
        <v>6603.05.02</v>
      </c>
      <c r="B169" s="653" t="str">
        <f>'Budget-合并'!B169</f>
        <v>湖南三一智慧新能源设计有限公司</v>
      </c>
      <c r="C169" s="673">
        <f>'Budget-合并'!C169</f>
        <v>0</v>
      </c>
      <c r="D169" s="676">
        <f t="shared" si="46"/>
        <v>0</v>
      </c>
      <c r="F169" s="676">
        <f t="shared" ca="1" si="47"/>
        <v>0</v>
      </c>
      <c r="H169" s="676"/>
      <c r="I169" s="676"/>
      <c r="J169" s="676"/>
      <c r="K169" s="676"/>
      <c r="L169" s="676"/>
      <c r="M169" s="676"/>
      <c r="N169" s="676"/>
      <c r="O169" s="676"/>
      <c r="P169" s="676"/>
      <c r="Q169" s="676"/>
      <c r="R169" s="676"/>
      <c r="S169" s="676"/>
      <c r="T169" s="676">
        <f t="shared" si="48"/>
        <v>0</v>
      </c>
    </row>
    <row r="170" spans="1:20" ht="13.5" customHeight="1">
      <c r="A170" s="653" t="str">
        <f>'Budget-合并'!A170</f>
        <v>6603.05.03</v>
      </c>
      <c r="B170" s="653" t="str">
        <f>'Budget-合并'!B170</f>
        <v>和谐天明投资管理(北京)有限公司</v>
      </c>
      <c r="C170" s="673"/>
      <c r="D170" s="676">
        <f t="shared" si="46"/>
        <v>0</v>
      </c>
      <c r="F170" s="676">
        <f t="shared" ca="1" si="47"/>
        <v>0</v>
      </c>
      <c r="H170" s="676"/>
      <c r="I170" s="676"/>
      <c r="J170" s="676"/>
      <c r="K170" s="676"/>
      <c r="L170" s="676"/>
      <c r="M170" s="676"/>
      <c r="N170" s="676"/>
      <c r="O170" s="676"/>
      <c r="P170" s="676"/>
      <c r="Q170" s="676"/>
      <c r="R170" s="676"/>
      <c r="S170" s="676"/>
      <c r="T170" s="676"/>
    </row>
    <row r="171" spans="1:20" ht="13.5" customHeight="1">
      <c r="A171" s="653" t="str">
        <f>'Budget-合并'!A171</f>
        <v>6603.99</v>
      </c>
      <c r="B171" s="653" t="str">
        <f>'Budget-合并'!B171</f>
        <v>其他</v>
      </c>
      <c r="C171" s="673">
        <f>'Budget-合并'!C171</f>
        <v>0</v>
      </c>
      <c r="D171" s="676">
        <f t="shared" si="46"/>
        <v>0</v>
      </c>
      <c r="F171" s="676">
        <f t="shared" ca="1" si="47"/>
        <v>0</v>
      </c>
      <c r="H171" s="676">
        <f t="shared" ref="H171:S171" si="52">SUM(H161:H164,H168,H169)</f>
        <v>0</v>
      </c>
      <c r="I171" s="676">
        <f t="shared" si="52"/>
        <v>0</v>
      </c>
      <c r="J171" s="676">
        <f t="shared" si="52"/>
        <v>0</v>
      </c>
      <c r="K171" s="676">
        <f t="shared" si="52"/>
        <v>0</v>
      </c>
      <c r="L171" s="676">
        <f t="shared" si="52"/>
        <v>0</v>
      </c>
      <c r="M171" s="676">
        <f t="shared" si="52"/>
        <v>0</v>
      </c>
      <c r="N171" s="676">
        <f t="shared" si="52"/>
        <v>0</v>
      </c>
      <c r="O171" s="676">
        <f t="shared" si="52"/>
        <v>0</v>
      </c>
      <c r="P171" s="676">
        <f t="shared" si="52"/>
        <v>0</v>
      </c>
      <c r="Q171" s="676">
        <f t="shared" si="52"/>
        <v>0</v>
      </c>
      <c r="R171" s="676">
        <f t="shared" si="52"/>
        <v>0</v>
      </c>
      <c r="S171" s="676">
        <f t="shared" si="52"/>
        <v>0</v>
      </c>
      <c r="T171" s="676">
        <f t="shared" ref="T171:T182" si="53">SUM(H171:S171)</f>
        <v>0</v>
      </c>
    </row>
    <row r="172" spans="1:20" ht="13.5" customHeight="1">
      <c r="A172" s="672">
        <f>'Budget-合并'!A172</f>
        <v>0</v>
      </c>
      <c r="B172" s="672" t="str">
        <f>'Budget-合并'!B172</f>
        <v>财务费用合计</v>
      </c>
      <c r="C172" s="673">
        <f>'Budget-合并'!C172</f>
        <v>0</v>
      </c>
      <c r="D172" s="677">
        <f t="shared" si="46"/>
        <v>0</v>
      </c>
      <c r="F172" s="677">
        <f t="shared" ca="1" si="47"/>
        <v>0</v>
      </c>
      <c r="H172" s="677">
        <f t="shared" ref="H172:T172" si="54">SUM(H156,H157,H165:H167,H171)</f>
        <v>0</v>
      </c>
      <c r="I172" s="677">
        <f t="shared" si="54"/>
        <v>0</v>
      </c>
      <c r="J172" s="677">
        <f t="shared" si="54"/>
        <v>0</v>
      </c>
      <c r="K172" s="677">
        <f t="shared" si="54"/>
        <v>0</v>
      </c>
      <c r="L172" s="677">
        <f t="shared" si="54"/>
        <v>0</v>
      </c>
      <c r="M172" s="677">
        <f t="shared" si="54"/>
        <v>0</v>
      </c>
      <c r="N172" s="677">
        <f t="shared" si="54"/>
        <v>0</v>
      </c>
      <c r="O172" s="677">
        <f t="shared" si="54"/>
        <v>0</v>
      </c>
      <c r="P172" s="677">
        <f t="shared" si="54"/>
        <v>0</v>
      </c>
      <c r="Q172" s="677">
        <f t="shared" si="54"/>
        <v>0</v>
      </c>
      <c r="R172" s="677">
        <f t="shared" si="54"/>
        <v>0</v>
      </c>
      <c r="S172" s="677">
        <f t="shared" si="54"/>
        <v>0</v>
      </c>
      <c r="T172" s="677">
        <f t="shared" si="54"/>
        <v>0</v>
      </c>
    </row>
    <row r="173" spans="1:20" ht="13.5" customHeight="1">
      <c r="A173" s="653">
        <f>'Budget-合并'!A173</f>
        <v>0</v>
      </c>
      <c r="B173" s="653">
        <f>'Budget-合并'!B173</f>
        <v>0</v>
      </c>
      <c r="C173" s="673">
        <f>'Budget-合并'!C173</f>
        <v>0</v>
      </c>
      <c r="T173" s="652">
        <f>T12-T19-T141-T159+T171</f>
        <v>0</v>
      </c>
    </row>
    <row r="174" spans="1:20" ht="13.5" customHeight="1">
      <c r="A174" s="653" t="str">
        <f>'Budget-合并'!A174</f>
        <v>6051</v>
      </c>
      <c r="B174" s="653" t="str">
        <f>'Budget-合并'!B174</f>
        <v>其他业务收入</v>
      </c>
      <c r="C174" s="673">
        <f>'Budget-合并'!C174</f>
        <v>0</v>
      </c>
      <c r="D174" s="676">
        <f t="shared" ref="D174:D183" si="55">INDEX($H$8:$S$8,1,MATCH($D$6,$H$6:$S$6))</f>
        <v>0</v>
      </c>
      <c r="F174" s="676">
        <f t="shared" ref="F174:F183" ca="1" si="56">SUM($H174:OFFSET($H174,0,MATCH(F$6,$H$6:$S$6)-1))</f>
        <v>0</v>
      </c>
      <c r="H174" s="676"/>
      <c r="I174" s="676"/>
      <c r="J174" s="676"/>
      <c r="K174" s="676"/>
      <c r="L174" s="676"/>
      <c r="M174" s="676"/>
      <c r="N174" s="676"/>
      <c r="O174" s="676"/>
      <c r="P174" s="676"/>
      <c r="Q174" s="676"/>
      <c r="R174" s="676"/>
      <c r="S174" s="676"/>
      <c r="T174" s="676">
        <f t="shared" si="53"/>
        <v>0</v>
      </c>
    </row>
    <row r="175" spans="1:20" ht="13.5" customHeight="1">
      <c r="A175" s="653" t="str">
        <f>'Budget-合并'!A175</f>
        <v>6101</v>
      </c>
      <c r="B175" s="653" t="str">
        <f>'Budget-合并'!B175</f>
        <v>公允价值变动损益</v>
      </c>
      <c r="C175" s="673">
        <f>'Budget-合并'!C175</f>
        <v>0</v>
      </c>
      <c r="D175" s="676">
        <f t="shared" si="55"/>
        <v>0</v>
      </c>
      <c r="F175" s="676">
        <f t="shared" ca="1" si="56"/>
        <v>0</v>
      </c>
      <c r="H175" s="676"/>
      <c r="I175" s="676"/>
      <c r="J175" s="676"/>
      <c r="K175" s="676"/>
      <c r="L175" s="676"/>
      <c r="M175" s="676"/>
      <c r="N175" s="676"/>
      <c r="O175" s="676"/>
      <c r="P175" s="676"/>
      <c r="Q175" s="676"/>
      <c r="R175" s="676"/>
      <c r="S175" s="676"/>
      <c r="T175" s="676">
        <f t="shared" si="53"/>
        <v>0</v>
      </c>
    </row>
    <row r="176" spans="1:20" ht="13.5" customHeight="1">
      <c r="A176" s="653" t="str">
        <f>'Budget-合并'!A176</f>
        <v>6111</v>
      </c>
      <c r="B176" s="653" t="str">
        <f>'Budget-合并'!B176</f>
        <v>投资收益</v>
      </c>
      <c r="C176" s="673" t="str">
        <f>'Budget-合并'!C176</f>
        <v>Gain on investment</v>
      </c>
      <c r="D176" s="676">
        <f t="shared" si="55"/>
        <v>0</v>
      </c>
      <c r="F176" s="676">
        <f t="shared" ca="1" si="56"/>
        <v>0</v>
      </c>
      <c r="H176" s="676"/>
      <c r="I176" s="676"/>
      <c r="J176" s="676"/>
      <c r="K176" s="676"/>
      <c r="L176" s="676"/>
      <c r="M176" s="676"/>
      <c r="N176" s="676"/>
      <c r="O176" s="676"/>
      <c r="P176" s="676"/>
      <c r="Q176" s="676"/>
      <c r="R176" s="676"/>
      <c r="S176" s="676"/>
      <c r="T176" s="676">
        <f t="shared" si="53"/>
        <v>0</v>
      </c>
    </row>
    <row r="177" spans="1:20" ht="13.5" customHeight="1">
      <c r="A177" s="663" t="str">
        <f>'Budget-合并'!A177</f>
        <v>6115</v>
      </c>
      <c r="B177" s="678" t="str">
        <f>'Budget-合并'!B177</f>
        <v>其他收益</v>
      </c>
      <c r="C177" s="673" t="str">
        <f>'Budget-合并'!C177</f>
        <v>Other income</v>
      </c>
      <c r="D177" s="676">
        <f t="shared" si="55"/>
        <v>0</v>
      </c>
      <c r="F177" s="676">
        <f t="shared" ca="1" si="56"/>
        <v>0</v>
      </c>
      <c r="H177" s="676">
        <f t="shared" ref="H177:S177" si="57">SUM(H178:H180)</f>
        <v>0</v>
      </c>
      <c r="I177" s="676">
        <f t="shared" si="57"/>
        <v>0</v>
      </c>
      <c r="J177" s="676">
        <f t="shared" si="57"/>
        <v>0</v>
      </c>
      <c r="K177" s="676">
        <f t="shared" si="57"/>
        <v>0</v>
      </c>
      <c r="L177" s="676">
        <f t="shared" si="57"/>
        <v>0</v>
      </c>
      <c r="M177" s="676">
        <f t="shared" si="57"/>
        <v>0</v>
      </c>
      <c r="N177" s="676">
        <f t="shared" si="57"/>
        <v>0</v>
      </c>
      <c r="O177" s="676">
        <f t="shared" si="57"/>
        <v>0</v>
      </c>
      <c r="P177" s="676">
        <f t="shared" si="57"/>
        <v>0</v>
      </c>
      <c r="Q177" s="676">
        <f t="shared" si="57"/>
        <v>0</v>
      </c>
      <c r="R177" s="676">
        <f t="shared" si="57"/>
        <v>0</v>
      </c>
      <c r="S177" s="676">
        <f t="shared" si="57"/>
        <v>0</v>
      </c>
      <c r="T177" s="676">
        <f t="shared" si="53"/>
        <v>0</v>
      </c>
    </row>
    <row r="178" spans="1:20" ht="13.5" customHeight="1">
      <c r="A178" s="653" t="str">
        <f>'Budget-合并'!A178</f>
        <v>6115.01</v>
      </c>
      <c r="B178" s="653" t="str">
        <f>'Budget-合并'!B178</f>
        <v>政府补助</v>
      </c>
      <c r="C178" s="673">
        <f>'Budget-合并'!C178</f>
        <v>0</v>
      </c>
      <c r="D178" s="676">
        <f t="shared" si="55"/>
        <v>0</v>
      </c>
      <c r="F178" s="676">
        <f t="shared" ca="1" si="56"/>
        <v>0</v>
      </c>
      <c r="H178" s="676"/>
      <c r="I178" s="676"/>
      <c r="J178" s="676"/>
      <c r="K178" s="676"/>
      <c r="L178" s="676"/>
      <c r="M178" s="676"/>
      <c r="N178" s="676"/>
      <c r="O178" s="676"/>
      <c r="P178" s="676"/>
      <c r="Q178" s="676"/>
      <c r="R178" s="676"/>
      <c r="S178" s="676"/>
      <c r="T178" s="676">
        <f t="shared" si="53"/>
        <v>0</v>
      </c>
    </row>
    <row r="179" spans="1:20" ht="13.5" customHeight="1">
      <c r="A179" s="653" t="str">
        <f>'Budget-合并'!A179</f>
        <v>6115.02</v>
      </c>
      <c r="B179" s="653" t="str">
        <f>'Budget-合并'!B179</f>
        <v>个税手续费返还</v>
      </c>
      <c r="C179" s="673">
        <f>'Budget-合并'!C179</f>
        <v>0</v>
      </c>
      <c r="D179" s="676">
        <f t="shared" si="55"/>
        <v>0</v>
      </c>
      <c r="F179" s="676">
        <f t="shared" ca="1" si="56"/>
        <v>0</v>
      </c>
      <c r="H179" s="676"/>
      <c r="I179" s="676"/>
      <c r="J179" s="676"/>
      <c r="K179" s="676"/>
      <c r="L179" s="676"/>
      <c r="M179" s="676"/>
      <c r="N179" s="676"/>
      <c r="O179" s="676"/>
      <c r="P179" s="676"/>
      <c r="Q179" s="676"/>
      <c r="R179" s="676"/>
      <c r="S179" s="676"/>
      <c r="T179" s="676">
        <f t="shared" si="53"/>
        <v>0</v>
      </c>
    </row>
    <row r="180" spans="1:20" ht="13.5" customHeight="1">
      <c r="A180" s="653" t="str">
        <f>'Budget-合并'!A180</f>
        <v>6115.99</v>
      </c>
      <c r="B180" s="653" t="str">
        <f>'Budget-合并'!B180</f>
        <v>其他</v>
      </c>
      <c r="C180" s="673">
        <f>'Budget-合并'!C180</f>
        <v>0</v>
      </c>
      <c r="D180" s="676">
        <f t="shared" si="55"/>
        <v>0</v>
      </c>
      <c r="F180" s="676">
        <f t="shared" ca="1" si="56"/>
        <v>0</v>
      </c>
      <c r="H180" s="676"/>
      <c r="I180" s="676"/>
      <c r="J180" s="676"/>
      <c r="K180" s="676"/>
      <c r="L180" s="676"/>
      <c r="M180" s="676"/>
      <c r="N180" s="676"/>
      <c r="O180" s="676"/>
      <c r="P180" s="676"/>
      <c r="Q180" s="676"/>
      <c r="R180" s="676"/>
      <c r="S180" s="676"/>
      <c r="T180" s="676">
        <f t="shared" si="53"/>
        <v>0</v>
      </c>
    </row>
    <row r="181" spans="1:20" ht="13.5" customHeight="1">
      <c r="A181" s="653" t="str">
        <f>'Budget-合并'!A181</f>
        <v>6117</v>
      </c>
      <c r="B181" s="653" t="str">
        <f>'Budget-合并'!B181</f>
        <v>资产处置损益</v>
      </c>
      <c r="C181" s="673">
        <f>'Budget-合并'!C181</f>
        <v>0</v>
      </c>
      <c r="D181" s="676">
        <f t="shared" si="55"/>
        <v>0</v>
      </c>
      <c r="F181" s="676">
        <f t="shared" ca="1" si="56"/>
        <v>0</v>
      </c>
      <c r="H181" s="676"/>
      <c r="I181" s="676"/>
      <c r="J181" s="676"/>
      <c r="K181" s="676"/>
      <c r="L181" s="676"/>
      <c r="M181" s="676"/>
      <c r="N181" s="676"/>
      <c r="O181" s="676"/>
      <c r="P181" s="676"/>
      <c r="Q181" s="676"/>
      <c r="R181" s="676"/>
      <c r="S181" s="676"/>
      <c r="T181" s="676">
        <f t="shared" si="53"/>
        <v>0</v>
      </c>
    </row>
    <row r="182" spans="1:20" ht="13.5" customHeight="1">
      <c r="A182" s="653" t="str">
        <f>'Budget-合并'!A182</f>
        <v>6118</v>
      </c>
      <c r="B182" s="653" t="str">
        <f>'Budget-合并'!B182</f>
        <v>净敞口套期损益</v>
      </c>
      <c r="C182" s="673">
        <f>'Budget-合并'!C182</f>
        <v>0</v>
      </c>
      <c r="D182" s="676">
        <f t="shared" si="55"/>
        <v>0</v>
      </c>
      <c r="F182" s="676">
        <f t="shared" ca="1" si="56"/>
        <v>0</v>
      </c>
      <c r="H182" s="676"/>
      <c r="I182" s="676"/>
      <c r="J182" s="676"/>
      <c r="K182" s="676"/>
      <c r="L182" s="676"/>
      <c r="M182" s="676"/>
      <c r="N182" s="676"/>
      <c r="O182" s="676"/>
      <c r="P182" s="676"/>
      <c r="Q182" s="676"/>
      <c r="R182" s="676"/>
      <c r="S182" s="676"/>
      <c r="T182" s="676">
        <f t="shared" si="53"/>
        <v>0</v>
      </c>
    </row>
    <row r="183" spans="1:20" ht="13.5" customHeight="1">
      <c r="A183" s="672">
        <f>'Budget-合并'!A183</f>
        <v>0</v>
      </c>
      <c r="B183" s="672" t="str">
        <f>'Budget-合并'!B183</f>
        <v>其他收益合计</v>
      </c>
      <c r="C183" s="673">
        <f>'Budget-合并'!C183</f>
        <v>0</v>
      </c>
      <c r="D183" s="677">
        <f t="shared" si="55"/>
        <v>0</v>
      </c>
      <c r="F183" s="677">
        <f t="shared" ca="1" si="56"/>
        <v>0</v>
      </c>
      <c r="H183" s="677">
        <f t="shared" ref="H183:T183" si="58">SUM(H174,H174:H177,H181:H182)</f>
        <v>0</v>
      </c>
      <c r="I183" s="677">
        <f t="shared" si="58"/>
        <v>0</v>
      </c>
      <c r="J183" s="677">
        <f t="shared" si="58"/>
        <v>0</v>
      </c>
      <c r="K183" s="677">
        <f t="shared" si="58"/>
        <v>0</v>
      </c>
      <c r="L183" s="677">
        <f t="shared" si="58"/>
        <v>0</v>
      </c>
      <c r="M183" s="677">
        <f t="shared" si="58"/>
        <v>0</v>
      </c>
      <c r="N183" s="677">
        <f t="shared" si="58"/>
        <v>0</v>
      </c>
      <c r="O183" s="677">
        <f t="shared" si="58"/>
        <v>0</v>
      </c>
      <c r="P183" s="677">
        <f t="shared" si="58"/>
        <v>0</v>
      </c>
      <c r="Q183" s="677">
        <f t="shared" si="58"/>
        <v>0</v>
      </c>
      <c r="R183" s="677">
        <f t="shared" si="58"/>
        <v>0</v>
      </c>
      <c r="S183" s="677">
        <f t="shared" si="58"/>
        <v>0</v>
      </c>
      <c r="T183" s="677">
        <f t="shared" si="58"/>
        <v>0</v>
      </c>
    </row>
    <row r="184" spans="1:20" ht="13.5" customHeight="1">
      <c r="A184" s="653">
        <f>'Budget-合并'!A184</f>
        <v>0</v>
      </c>
      <c r="B184" s="653">
        <f>'Budget-合并'!B184</f>
        <v>0</v>
      </c>
      <c r="C184" s="673">
        <f>'Budget-合并'!C184</f>
        <v>0</v>
      </c>
      <c r="T184" s="652">
        <f t="shared" ref="T184:T198" si="59">SUM(H184:S184)</f>
        <v>0</v>
      </c>
    </row>
    <row r="185" spans="1:20" ht="13.5" customHeight="1">
      <c r="A185" s="672">
        <f>'Budget-合并'!A185</f>
        <v>0</v>
      </c>
      <c r="B185" s="672" t="str">
        <f>'Budget-合并'!B185</f>
        <v>营业利润</v>
      </c>
      <c r="C185" s="673">
        <f>'Budget-合并'!C185</f>
        <v>0</v>
      </c>
      <c r="D185" s="677">
        <f t="shared" ref="D185:D199" si="60">INDEX($H$8:$S$8,1,MATCH($D$6,$H$6:$S$6))</f>
        <v>0</v>
      </c>
      <c r="F185" s="677">
        <f t="shared" ref="F185:F199" ca="1" si="61">SUM($H185:OFFSET($H185,0,MATCH(F$6,$H$6:$S$6)-1))</f>
        <v>0</v>
      </c>
      <c r="H185" s="677">
        <f t="shared" ref="H185:S185" si="62">H12-H19-H42-H153-H172+H183</f>
        <v>0</v>
      </c>
      <c r="I185" s="677">
        <f t="shared" si="62"/>
        <v>0</v>
      </c>
      <c r="J185" s="677">
        <f t="shared" si="62"/>
        <v>0</v>
      </c>
      <c r="K185" s="677">
        <f t="shared" si="62"/>
        <v>0</v>
      </c>
      <c r="L185" s="677">
        <f t="shared" si="62"/>
        <v>0</v>
      </c>
      <c r="M185" s="677">
        <f t="shared" si="62"/>
        <v>0</v>
      </c>
      <c r="N185" s="677">
        <f t="shared" si="62"/>
        <v>0</v>
      </c>
      <c r="O185" s="677">
        <f t="shared" si="62"/>
        <v>0</v>
      </c>
      <c r="P185" s="677">
        <f t="shared" si="62"/>
        <v>0</v>
      </c>
      <c r="Q185" s="677">
        <f t="shared" si="62"/>
        <v>0</v>
      </c>
      <c r="R185" s="677">
        <f t="shared" si="62"/>
        <v>0</v>
      </c>
      <c r="S185" s="677">
        <f t="shared" si="62"/>
        <v>0</v>
      </c>
      <c r="T185" s="654">
        <f t="shared" si="59"/>
        <v>0</v>
      </c>
    </row>
    <row r="186" spans="1:20" ht="13.5" customHeight="1">
      <c r="A186" s="653">
        <f>'Budget-合并'!A186</f>
        <v>0</v>
      </c>
      <c r="B186" s="653">
        <f>'Budget-合并'!B186</f>
        <v>0</v>
      </c>
      <c r="C186" s="673">
        <f>'Budget-合并'!C186</f>
        <v>0</v>
      </c>
    </row>
    <row r="187" spans="1:20" ht="13.5" customHeight="1">
      <c r="A187" s="653" t="str">
        <f>'Budget-合并'!A187</f>
        <v>6301</v>
      </c>
      <c r="B187" s="653" t="str">
        <f>'Budget-合并'!B187</f>
        <v>营业外收入</v>
      </c>
      <c r="C187" s="673">
        <f>'Budget-合并'!C187</f>
        <v>0</v>
      </c>
      <c r="D187" s="676">
        <f t="shared" si="60"/>
        <v>0</v>
      </c>
      <c r="F187" s="676">
        <f t="shared" ca="1" si="61"/>
        <v>0</v>
      </c>
      <c r="H187" s="676">
        <f t="shared" ref="H187:S187" si="63">SUM(H188:H192)</f>
        <v>0</v>
      </c>
      <c r="I187" s="676">
        <f t="shared" si="63"/>
        <v>0</v>
      </c>
      <c r="J187" s="676">
        <f t="shared" si="63"/>
        <v>0</v>
      </c>
      <c r="K187" s="676">
        <f t="shared" si="63"/>
        <v>0</v>
      </c>
      <c r="L187" s="676">
        <f t="shared" si="63"/>
        <v>0</v>
      </c>
      <c r="M187" s="676">
        <f t="shared" si="63"/>
        <v>0</v>
      </c>
      <c r="N187" s="676">
        <f t="shared" si="63"/>
        <v>0</v>
      </c>
      <c r="O187" s="676">
        <f t="shared" si="63"/>
        <v>0</v>
      </c>
      <c r="P187" s="676">
        <f t="shared" si="63"/>
        <v>0</v>
      </c>
      <c r="Q187" s="676">
        <f t="shared" si="63"/>
        <v>0</v>
      </c>
      <c r="R187" s="676">
        <f t="shared" si="63"/>
        <v>0</v>
      </c>
      <c r="S187" s="676">
        <f t="shared" si="63"/>
        <v>0</v>
      </c>
      <c r="T187" s="676">
        <f t="shared" si="59"/>
        <v>0</v>
      </c>
    </row>
    <row r="188" spans="1:20" ht="13.5" customHeight="1">
      <c r="A188" s="653" t="str">
        <f>'Budget-合并'!A188</f>
        <v>6301.01</v>
      </c>
      <c r="B188" s="653" t="str">
        <f>'Budget-合并'!B188</f>
        <v>非流动资产处置利得</v>
      </c>
      <c r="C188" s="673">
        <f>'Budget-合并'!C188</f>
        <v>0</v>
      </c>
      <c r="D188" s="676">
        <f t="shared" si="60"/>
        <v>0</v>
      </c>
      <c r="F188" s="676">
        <f t="shared" ca="1" si="61"/>
        <v>0</v>
      </c>
      <c r="H188" s="676"/>
      <c r="I188" s="676"/>
      <c r="J188" s="676"/>
      <c r="K188" s="676"/>
      <c r="L188" s="676"/>
      <c r="M188" s="676"/>
      <c r="N188" s="676"/>
      <c r="O188" s="676"/>
      <c r="P188" s="676"/>
      <c r="Q188" s="676"/>
      <c r="R188" s="676"/>
      <c r="S188" s="676"/>
      <c r="T188" s="676">
        <f t="shared" si="59"/>
        <v>0</v>
      </c>
    </row>
    <row r="189" spans="1:20" ht="13.5" customHeight="1">
      <c r="A189" s="653" t="str">
        <f>'Budget-合并'!A189</f>
        <v>6301.02</v>
      </c>
      <c r="B189" s="653" t="str">
        <f>'Budget-合并'!B189</f>
        <v>债务重组利得</v>
      </c>
      <c r="C189" s="673">
        <f>'Budget-合并'!C189</f>
        <v>0</v>
      </c>
      <c r="D189" s="676">
        <f t="shared" si="60"/>
        <v>0</v>
      </c>
      <c r="F189" s="676">
        <f t="shared" ca="1" si="61"/>
        <v>0</v>
      </c>
      <c r="H189" s="676"/>
      <c r="I189" s="676"/>
      <c r="J189" s="676"/>
      <c r="K189" s="676"/>
      <c r="L189" s="676"/>
      <c r="M189" s="676"/>
      <c r="N189" s="676"/>
      <c r="O189" s="676"/>
      <c r="P189" s="676"/>
      <c r="Q189" s="676"/>
      <c r="R189" s="676"/>
      <c r="S189" s="676"/>
      <c r="T189" s="676">
        <f t="shared" si="59"/>
        <v>0</v>
      </c>
    </row>
    <row r="190" spans="1:20" ht="13.5" customHeight="1">
      <c r="A190" s="653" t="str">
        <f>'Budget-合并'!A190</f>
        <v>6301.03</v>
      </c>
      <c r="B190" s="653" t="str">
        <f>'Budget-合并'!B190</f>
        <v>盘盈利得</v>
      </c>
      <c r="C190" s="673">
        <f>'Budget-合并'!C190</f>
        <v>0</v>
      </c>
      <c r="D190" s="676">
        <f t="shared" si="60"/>
        <v>0</v>
      </c>
      <c r="F190" s="676">
        <f t="shared" ca="1" si="61"/>
        <v>0</v>
      </c>
      <c r="H190" s="676"/>
      <c r="I190" s="676"/>
      <c r="J190" s="676"/>
      <c r="K190" s="676"/>
      <c r="L190" s="676"/>
      <c r="M190" s="676"/>
      <c r="N190" s="676"/>
      <c r="O190" s="676"/>
      <c r="P190" s="676"/>
      <c r="Q190" s="676"/>
      <c r="R190" s="676"/>
      <c r="S190" s="676"/>
      <c r="T190" s="676">
        <f t="shared" si="59"/>
        <v>0</v>
      </c>
    </row>
    <row r="191" spans="1:20" ht="13.5" customHeight="1">
      <c r="A191" s="653" t="str">
        <f>'Budget-合并'!A191</f>
        <v>6301.04</v>
      </c>
      <c r="B191" s="653" t="str">
        <f>'Budget-合并'!B191</f>
        <v>捐赠利得</v>
      </c>
      <c r="C191" s="673">
        <f>'Budget-合并'!C191</f>
        <v>0</v>
      </c>
      <c r="D191" s="676">
        <f t="shared" si="60"/>
        <v>0</v>
      </c>
      <c r="F191" s="676">
        <f t="shared" ca="1" si="61"/>
        <v>0</v>
      </c>
      <c r="H191" s="676"/>
      <c r="I191" s="676"/>
      <c r="J191" s="676"/>
      <c r="K191" s="676"/>
      <c r="L191" s="676"/>
      <c r="M191" s="676"/>
      <c r="N191" s="676"/>
      <c r="O191" s="676"/>
      <c r="P191" s="676"/>
      <c r="Q191" s="676"/>
      <c r="R191" s="676"/>
      <c r="S191" s="676"/>
      <c r="T191" s="676">
        <f t="shared" si="59"/>
        <v>0</v>
      </c>
    </row>
    <row r="192" spans="1:20" ht="13.5" customHeight="1">
      <c r="A192" s="653" t="str">
        <f>'Budget-合并'!A192</f>
        <v>6301.99</v>
      </c>
      <c r="B192" s="653" t="str">
        <f>'Budget-合并'!B192</f>
        <v>其他</v>
      </c>
      <c r="C192" s="673">
        <f>'Budget-合并'!C192</f>
        <v>0</v>
      </c>
      <c r="D192" s="676">
        <f t="shared" si="60"/>
        <v>0</v>
      </c>
      <c r="F192" s="676">
        <f t="shared" ca="1" si="61"/>
        <v>0</v>
      </c>
      <c r="H192" s="676"/>
      <c r="I192" s="676"/>
      <c r="J192" s="676"/>
      <c r="K192" s="676"/>
      <c r="L192" s="676"/>
      <c r="M192" s="676"/>
      <c r="N192" s="676"/>
      <c r="O192" s="676"/>
      <c r="P192" s="676"/>
      <c r="Q192" s="676"/>
      <c r="R192" s="676"/>
      <c r="S192" s="676"/>
      <c r="T192" s="676">
        <f t="shared" si="59"/>
        <v>0</v>
      </c>
    </row>
    <row r="193" spans="1:20" ht="13.5" customHeight="1">
      <c r="A193" s="653" t="str">
        <f>'Budget-合并'!A193</f>
        <v>6402</v>
      </c>
      <c r="B193" s="653" t="str">
        <f>'Budget-合并'!B193</f>
        <v>其他业务成本</v>
      </c>
      <c r="C193" s="673">
        <f>'Budget-合并'!C193</f>
        <v>0</v>
      </c>
      <c r="D193" s="676">
        <f t="shared" si="60"/>
        <v>0</v>
      </c>
      <c r="F193" s="676">
        <f t="shared" ca="1" si="61"/>
        <v>0</v>
      </c>
      <c r="H193" s="676"/>
      <c r="I193" s="676"/>
      <c r="J193" s="676"/>
      <c r="K193" s="676"/>
      <c r="L193" s="676"/>
      <c r="M193" s="676"/>
      <c r="N193" s="676"/>
      <c r="O193" s="676"/>
      <c r="P193" s="676"/>
      <c r="Q193" s="676"/>
      <c r="R193" s="676"/>
      <c r="S193" s="676"/>
      <c r="T193" s="676">
        <f t="shared" si="59"/>
        <v>0</v>
      </c>
    </row>
    <row r="194" spans="1:20" ht="13.5" customHeight="1">
      <c r="A194" s="653" t="str">
        <f>'Budget-合并'!A194</f>
        <v>6701</v>
      </c>
      <c r="B194" s="653" t="str">
        <f>'Budget-合并'!B194</f>
        <v>资产减值损失</v>
      </c>
      <c r="C194" s="673" t="str">
        <f>'Budget-合并'!C194</f>
        <v>Impairment loss</v>
      </c>
      <c r="D194" s="676">
        <f t="shared" si="60"/>
        <v>0</v>
      </c>
      <c r="F194" s="676">
        <f t="shared" ca="1" si="61"/>
        <v>0</v>
      </c>
      <c r="H194" s="676"/>
      <c r="I194" s="676"/>
      <c r="J194" s="676"/>
      <c r="K194" s="676"/>
      <c r="L194" s="676"/>
      <c r="M194" s="676"/>
      <c r="N194" s="676"/>
      <c r="O194" s="676"/>
      <c r="P194" s="676"/>
      <c r="Q194" s="676"/>
      <c r="R194" s="676"/>
      <c r="S194" s="676"/>
      <c r="T194" s="676">
        <f t="shared" si="59"/>
        <v>0</v>
      </c>
    </row>
    <row r="195" spans="1:20" s="651" customFormat="1" ht="13.5" customHeight="1">
      <c r="A195" s="653" t="str">
        <f>'Budget-合并'!A195</f>
        <v>6711</v>
      </c>
      <c r="B195" s="653" t="str">
        <f>'Budget-合并'!B195</f>
        <v>营业外支出</v>
      </c>
      <c r="C195" s="673">
        <f>'Budget-合并'!C195</f>
        <v>0</v>
      </c>
      <c r="D195" s="676">
        <f t="shared" si="60"/>
        <v>0</v>
      </c>
      <c r="E195" s="654"/>
      <c r="F195" s="676">
        <f t="shared" ca="1" si="61"/>
        <v>0</v>
      </c>
      <c r="G195" s="654"/>
      <c r="H195" s="676">
        <f t="shared" ref="H195:S195" si="64">SUM(H196:H197)</f>
        <v>0</v>
      </c>
      <c r="I195" s="676">
        <f t="shared" si="64"/>
        <v>0</v>
      </c>
      <c r="J195" s="676">
        <f t="shared" si="64"/>
        <v>0</v>
      </c>
      <c r="K195" s="676">
        <f t="shared" si="64"/>
        <v>0</v>
      </c>
      <c r="L195" s="676">
        <f t="shared" si="64"/>
        <v>0</v>
      </c>
      <c r="M195" s="676">
        <f t="shared" si="64"/>
        <v>0</v>
      </c>
      <c r="N195" s="676">
        <f t="shared" si="64"/>
        <v>0</v>
      </c>
      <c r="O195" s="676">
        <f t="shared" si="64"/>
        <v>0</v>
      </c>
      <c r="P195" s="676">
        <f t="shared" si="64"/>
        <v>0</v>
      </c>
      <c r="Q195" s="676">
        <f t="shared" si="64"/>
        <v>0</v>
      </c>
      <c r="R195" s="676">
        <f t="shared" si="64"/>
        <v>0</v>
      </c>
      <c r="S195" s="676">
        <f t="shared" si="64"/>
        <v>0</v>
      </c>
      <c r="T195" s="676">
        <f t="shared" si="59"/>
        <v>0</v>
      </c>
    </row>
    <row r="196" spans="1:20" ht="13.5" customHeight="1">
      <c r="A196" s="653" t="str">
        <f>'Budget-合并'!A196</f>
        <v>6711.01</v>
      </c>
      <c r="B196" s="653" t="str">
        <f>'Budget-合并'!B196</f>
        <v>滞纳金</v>
      </c>
      <c r="C196" s="673">
        <f>'Budget-合并'!C196</f>
        <v>0</v>
      </c>
      <c r="D196" s="676">
        <f t="shared" si="60"/>
        <v>0</v>
      </c>
      <c r="F196" s="676">
        <f t="shared" ca="1" si="61"/>
        <v>0</v>
      </c>
      <c r="H196" s="676"/>
      <c r="I196" s="676"/>
      <c r="J196" s="676"/>
      <c r="K196" s="676"/>
      <c r="L196" s="676"/>
      <c r="M196" s="676"/>
      <c r="N196" s="676"/>
      <c r="O196" s="676"/>
      <c r="P196" s="676"/>
      <c r="Q196" s="676"/>
      <c r="R196" s="676"/>
      <c r="S196" s="676"/>
      <c r="T196" s="676">
        <f t="shared" si="59"/>
        <v>0</v>
      </c>
    </row>
    <row r="197" spans="1:20" ht="13.5" customHeight="1">
      <c r="A197" s="653" t="str">
        <f>'Budget-合并'!A197</f>
        <v>6711.02</v>
      </c>
      <c r="B197" s="653" t="str">
        <f>'Budget-合并'!B197</f>
        <v>非流动资产处置损失</v>
      </c>
      <c r="C197" s="673">
        <f>'Budget-合并'!C197</f>
        <v>0</v>
      </c>
      <c r="D197" s="676">
        <f t="shared" si="60"/>
        <v>0</v>
      </c>
      <c r="F197" s="676">
        <f t="shared" ca="1" si="61"/>
        <v>0</v>
      </c>
      <c r="H197" s="676"/>
      <c r="I197" s="676"/>
      <c r="J197" s="676"/>
      <c r="K197" s="676"/>
      <c r="L197" s="676"/>
      <c r="M197" s="676"/>
      <c r="N197" s="676"/>
      <c r="O197" s="676"/>
      <c r="P197" s="676"/>
      <c r="Q197" s="676"/>
      <c r="R197" s="676"/>
      <c r="S197" s="676"/>
      <c r="T197" s="676">
        <f t="shared" si="59"/>
        <v>0</v>
      </c>
    </row>
    <row r="198" spans="1:20" ht="13.5" customHeight="1">
      <c r="A198" s="653" t="str">
        <f>'Budget-合并'!A198</f>
        <v>6901</v>
      </c>
      <c r="B198" s="653" t="str">
        <f>'Budget-合并'!B198</f>
        <v>以前年度损益调整</v>
      </c>
      <c r="C198" s="673">
        <f>'Budget-合并'!C198</f>
        <v>0</v>
      </c>
      <c r="D198" s="676">
        <f t="shared" si="60"/>
        <v>0</v>
      </c>
      <c r="F198" s="676">
        <f t="shared" ca="1" si="61"/>
        <v>0</v>
      </c>
      <c r="H198" s="676"/>
      <c r="I198" s="676"/>
      <c r="J198" s="676"/>
      <c r="K198" s="676"/>
      <c r="L198" s="676"/>
      <c r="M198" s="676"/>
      <c r="N198" s="676"/>
      <c r="O198" s="676"/>
      <c r="P198" s="676"/>
      <c r="Q198" s="676"/>
      <c r="R198" s="676"/>
      <c r="S198" s="676"/>
      <c r="T198" s="676">
        <f t="shared" si="59"/>
        <v>0</v>
      </c>
    </row>
    <row r="199" spans="1:20" ht="13.5" customHeight="1">
      <c r="A199" s="672">
        <f>'Budget-合并'!A199</f>
        <v>0</v>
      </c>
      <c r="B199" s="672" t="str">
        <f>'Budget-合并'!B199</f>
        <v>营业外收入 (支-, 收+):</v>
      </c>
      <c r="C199" s="673">
        <f>'Budget-合并'!C199</f>
        <v>0</v>
      </c>
      <c r="D199" s="677">
        <f t="shared" si="60"/>
        <v>0</v>
      </c>
      <c r="F199" s="677">
        <f t="shared" ca="1" si="61"/>
        <v>0</v>
      </c>
      <c r="H199" s="677">
        <f t="shared" ref="H199:T199" si="65">H187-H193-H194-H195+H198</f>
        <v>0</v>
      </c>
      <c r="I199" s="677">
        <f t="shared" si="65"/>
        <v>0</v>
      </c>
      <c r="J199" s="677">
        <f t="shared" si="65"/>
        <v>0</v>
      </c>
      <c r="K199" s="677">
        <f t="shared" si="65"/>
        <v>0</v>
      </c>
      <c r="L199" s="677">
        <f t="shared" si="65"/>
        <v>0</v>
      </c>
      <c r="M199" s="677">
        <f t="shared" si="65"/>
        <v>0</v>
      </c>
      <c r="N199" s="677">
        <f t="shared" si="65"/>
        <v>0</v>
      </c>
      <c r="O199" s="677">
        <f t="shared" si="65"/>
        <v>0</v>
      </c>
      <c r="P199" s="677">
        <f t="shared" si="65"/>
        <v>0</v>
      </c>
      <c r="Q199" s="677">
        <f t="shared" si="65"/>
        <v>0</v>
      </c>
      <c r="R199" s="677">
        <f t="shared" si="65"/>
        <v>0</v>
      </c>
      <c r="S199" s="677">
        <f t="shared" si="65"/>
        <v>0</v>
      </c>
      <c r="T199" s="677">
        <f t="shared" si="65"/>
        <v>0</v>
      </c>
    </row>
    <row r="200" spans="1:20" ht="13.5" customHeight="1">
      <c r="A200" s="653">
        <f>'Budget-合并'!A200</f>
        <v>0</v>
      </c>
      <c r="B200" s="653">
        <f>'Budget-合并'!B200</f>
        <v>0</v>
      </c>
      <c r="C200" s="673">
        <f>'Budget-合并'!C200</f>
        <v>0</v>
      </c>
    </row>
    <row r="201" spans="1:20" ht="13.5" customHeight="1">
      <c r="A201" s="672">
        <f>'Budget-合并'!A201</f>
        <v>0</v>
      </c>
      <c r="B201" s="672" t="str">
        <f>'Budget-合并'!B201</f>
        <v>利润总额 (税前利润)</v>
      </c>
      <c r="C201" s="673">
        <f>'Budget-合并'!C201</f>
        <v>0</v>
      </c>
      <c r="D201" s="677">
        <f t="shared" ref="D201:D205" si="66">INDEX($H$8:$S$8,1,MATCH($D$6,$H$6:$S$6))</f>
        <v>0</v>
      </c>
      <c r="F201" s="677">
        <f t="shared" ref="F201:F205" ca="1" si="67">SUM($H201:OFFSET($H201,0,MATCH(F$6,$H$6:$S$6)-1))</f>
        <v>0</v>
      </c>
      <c r="H201" s="677">
        <f t="shared" ref="H201:T201" si="68">H185+H199</f>
        <v>0</v>
      </c>
      <c r="I201" s="677">
        <f t="shared" si="68"/>
        <v>0</v>
      </c>
      <c r="J201" s="677">
        <f t="shared" si="68"/>
        <v>0</v>
      </c>
      <c r="K201" s="677">
        <f t="shared" si="68"/>
        <v>0</v>
      </c>
      <c r="L201" s="677">
        <f t="shared" si="68"/>
        <v>0</v>
      </c>
      <c r="M201" s="677">
        <f t="shared" si="68"/>
        <v>0</v>
      </c>
      <c r="N201" s="677">
        <f t="shared" si="68"/>
        <v>0</v>
      </c>
      <c r="O201" s="677">
        <f t="shared" si="68"/>
        <v>0</v>
      </c>
      <c r="P201" s="677">
        <f t="shared" si="68"/>
        <v>0</v>
      </c>
      <c r="Q201" s="677">
        <f t="shared" si="68"/>
        <v>0</v>
      </c>
      <c r="R201" s="677">
        <f t="shared" si="68"/>
        <v>0</v>
      </c>
      <c r="S201" s="677">
        <f t="shared" si="68"/>
        <v>0</v>
      </c>
      <c r="T201" s="677">
        <f t="shared" si="68"/>
        <v>0</v>
      </c>
    </row>
    <row r="202" spans="1:20" ht="13.5" customHeight="1">
      <c r="A202" s="653">
        <f>'Budget-合并'!A202</f>
        <v>0</v>
      </c>
      <c r="B202" s="653">
        <f>'Budget-合并'!B202</f>
        <v>0</v>
      </c>
      <c r="C202" s="673">
        <f>'Budget-合并'!C202</f>
        <v>0</v>
      </c>
    </row>
    <row r="203" spans="1:20" ht="13.5" customHeight="1">
      <c r="A203" s="653" t="str">
        <f>'Budget-合并'!A203</f>
        <v>6801.01</v>
      </c>
      <c r="B203" s="653" t="str">
        <f>'Budget-合并'!B203</f>
        <v>当期所得税费用</v>
      </c>
      <c r="C203" s="673" t="str">
        <f>'Budget-合并'!C203</f>
        <v>Enterprise Income Tax</v>
      </c>
      <c r="D203" s="676">
        <f t="shared" si="66"/>
        <v>0</v>
      </c>
      <c r="F203" s="676">
        <f t="shared" ca="1" si="67"/>
        <v>0</v>
      </c>
      <c r="H203" s="676"/>
      <c r="I203" s="676"/>
      <c r="J203" s="676"/>
      <c r="K203" s="676"/>
      <c r="L203" s="676"/>
      <c r="M203" s="676"/>
      <c r="N203" s="676"/>
      <c r="O203" s="676"/>
      <c r="P203" s="676"/>
      <c r="Q203" s="676"/>
      <c r="R203" s="676"/>
      <c r="S203" s="676"/>
      <c r="T203" s="676">
        <f t="shared" ref="T203:T205" si="69">SUM(H203:S203)</f>
        <v>0</v>
      </c>
    </row>
    <row r="204" spans="1:20" ht="13.5" customHeight="1">
      <c r="A204" s="653" t="str">
        <f>'Budget-合并'!A204</f>
        <v>6801.02</v>
      </c>
      <c r="B204" s="653" t="str">
        <f>'Budget-合并'!B204</f>
        <v>递延所得税费用</v>
      </c>
      <c r="C204" s="673">
        <f>'Budget-合并'!C204</f>
        <v>0</v>
      </c>
      <c r="D204" s="676">
        <f t="shared" si="66"/>
        <v>0</v>
      </c>
      <c r="F204" s="676">
        <f t="shared" ca="1" si="67"/>
        <v>0</v>
      </c>
      <c r="H204" s="676"/>
      <c r="I204" s="676"/>
      <c r="J204" s="676"/>
      <c r="K204" s="676"/>
      <c r="L204" s="676"/>
      <c r="M204" s="676"/>
      <c r="N204" s="676"/>
      <c r="O204" s="676"/>
      <c r="P204" s="676"/>
      <c r="Q204" s="676"/>
      <c r="R204" s="676"/>
      <c r="S204" s="676"/>
      <c r="T204" s="676">
        <f t="shared" si="69"/>
        <v>0</v>
      </c>
    </row>
    <row r="205" spans="1:20" ht="13.5" customHeight="1">
      <c r="A205" s="653" t="str">
        <f>'Budget-合并'!A205</f>
        <v>6801.03</v>
      </c>
      <c r="B205" s="653" t="str">
        <f>'Budget-合并'!B205</f>
        <v>以前年度所得税费用</v>
      </c>
      <c r="C205" s="673">
        <f>'Budget-合并'!C205</f>
        <v>0</v>
      </c>
      <c r="D205" s="676">
        <f t="shared" si="66"/>
        <v>0</v>
      </c>
      <c r="F205" s="676">
        <f t="shared" ca="1" si="67"/>
        <v>0</v>
      </c>
      <c r="H205" s="676"/>
      <c r="I205" s="676"/>
      <c r="J205" s="676"/>
      <c r="K205" s="676"/>
      <c r="L205" s="676"/>
      <c r="M205" s="676"/>
      <c r="N205" s="676"/>
      <c r="O205" s="676"/>
      <c r="P205" s="676"/>
      <c r="Q205" s="676"/>
      <c r="R205" s="676"/>
      <c r="S205" s="676"/>
      <c r="T205" s="676">
        <f t="shared" si="69"/>
        <v>0</v>
      </c>
    </row>
    <row r="206" spans="1:20" ht="13.5" customHeight="1">
      <c r="A206" s="653">
        <f>'Budget-合并'!A206</f>
        <v>0</v>
      </c>
      <c r="B206" s="653">
        <f>'Budget-合并'!B206</f>
        <v>0</v>
      </c>
      <c r="C206" s="673">
        <f>'Budget-合并'!C206</f>
        <v>0</v>
      </c>
    </row>
    <row r="207" spans="1:20" ht="13.5" customHeight="1">
      <c r="A207" s="672">
        <f>'Budget-合并'!A207</f>
        <v>0</v>
      </c>
      <c r="B207" s="672" t="str">
        <f>'Budget-合并'!B207</f>
        <v>五  税后利润</v>
      </c>
      <c r="C207" s="673">
        <f>'Budget-合并'!C207</f>
        <v>0</v>
      </c>
      <c r="D207" s="677">
        <f>INDEX($H$8:$S$8,1,MATCH($D$6,$H$6:$S$6))</f>
        <v>0</v>
      </c>
      <c r="F207" s="677">
        <f ca="1">SUM($H207:OFFSET($H207,0,MATCH(F$6,$H$6:$S$6)-1))</f>
        <v>0</v>
      </c>
      <c r="H207" s="677">
        <f t="shared" ref="H207:T207" si="70">H201-H203-H204-H205</f>
        <v>0</v>
      </c>
      <c r="I207" s="677">
        <f t="shared" si="70"/>
        <v>0</v>
      </c>
      <c r="J207" s="677">
        <f t="shared" si="70"/>
        <v>0</v>
      </c>
      <c r="K207" s="677">
        <f t="shared" si="70"/>
        <v>0</v>
      </c>
      <c r="L207" s="677">
        <f t="shared" si="70"/>
        <v>0</v>
      </c>
      <c r="M207" s="677">
        <f t="shared" si="70"/>
        <v>0</v>
      </c>
      <c r="N207" s="677">
        <f t="shared" si="70"/>
        <v>0</v>
      </c>
      <c r="O207" s="677">
        <f t="shared" si="70"/>
        <v>0</v>
      </c>
      <c r="P207" s="677">
        <f t="shared" si="70"/>
        <v>0</v>
      </c>
      <c r="Q207" s="677">
        <f t="shared" si="70"/>
        <v>0</v>
      </c>
      <c r="R207" s="677">
        <f t="shared" si="70"/>
        <v>0</v>
      </c>
      <c r="S207" s="677">
        <f t="shared" si="70"/>
        <v>0</v>
      </c>
      <c r="T207" s="677">
        <f t="shared" si="70"/>
        <v>0</v>
      </c>
    </row>
    <row r="208" spans="1:20" ht="13.5" customHeight="1">
      <c r="A208" s="653">
        <f>'Budget-合并'!A208</f>
        <v>0</v>
      </c>
      <c r="C208" s="673">
        <f>'Budget-合并'!C208</f>
        <v>0</v>
      </c>
    </row>
    <row r="209" spans="1:1" ht="13.5" customHeight="1">
      <c r="A209" s="653">
        <f>'Budget-合并'!A209</f>
        <v>0</v>
      </c>
    </row>
    <row r="210" spans="1:1" ht="13.5" customHeight="1">
      <c r="A210" s="653">
        <f>'Budget-合并'!A210</f>
        <v>0</v>
      </c>
    </row>
    <row r="211" spans="1:1" ht="13.5" customHeight="1">
      <c r="A211" s="653">
        <f>'Budget-合并'!A211</f>
        <v>0</v>
      </c>
    </row>
    <row r="212" spans="1:1" ht="13.5" customHeight="1">
      <c r="A212" s="653">
        <f>'Budget-合并'!A212</f>
        <v>0</v>
      </c>
    </row>
    <row r="213" spans="1:1" ht="13.5" customHeight="1">
      <c r="A213" s="653">
        <f>'Budget-合并'!A213</f>
        <v>0</v>
      </c>
    </row>
    <row r="214" spans="1:1" ht="13.5" customHeight="1">
      <c r="A214" s="653">
        <f>'Budget-合并'!A214</f>
        <v>0</v>
      </c>
    </row>
    <row r="215" spans="1:1" ht="13.5" customHeight="1">
      <c r="A215" s="653">
        <f>'Budget-合并'!A215</f>
        <v>0</v>
      </c>
    </row>
    <row r="216" spans="1:1" ht="13.5" customHeight="1">
      <c r="A216" s="653">
        <f>'Budget-合并'!A216</f>
        <v>0</v>
      </c>
    </row>
    <row r="217" spans="1:1" ht="13.5" customHeight="1">
      <c r="A217" s="653">
        <f>'Budget-合并'!A217</f>
        <v>0</v>
      </c>
    </row>
    <row r="218" spans="1:1" ht="13.5" customHeight="1">
      <c r="A218" s="653">
        <f>'Budget-合并'!A218</f>
        <v>0</v>
      </c>
    </row>
    <row r="219" spans="1:1" ht="13.5" customHeight="1">
      <c r="A219" s="653">
        <f>'Budget-合并'!A219</f>
        <v>0</v>
      </c>
    </row>
  </sheetData>
  <conditionalFormatting sqref="H5:T5">
    <cfRule type="cellIs" dxfId="90" priority="1" stopIfTrue="1" operator="equal">
      <formula>"Actual"</formula>
    </cfRule>
    <cfRule type="cellIs" dxfId="89" priority="2" stopIfTrue="1" operator="equal">
      <formula>"Forecast"</formula>
    </cfRule>
    <cfRule type="cellIs" dxfId="88" priority="3" stopIfTrue="1" operator="equal">
      <formula>"Budget"</formula>
    </cfRule>
  </conditionalFormatting>
  <dataValidations count="1">
    <dataValidation type="list" allowBlank="1" showInputMessage="1" showErrorMessage="1" sqref="H5:T5" xr:uid="{00000000-0002-0000-1300-000000000000}">
      <formula1>"Actual,Forecast,Budget"</formula1>
    </dataValidation>
  </dataValidations>
  <printOptions horizontalCentered="1" headings="1" gridLines="1"/>
  <pageMargins left="0.39" right="0.35" top="0.59" bottom="0.59" header="0.31" footer="0.31"/>
  <pageSetup paperSize="8" scale="26" orientation="landscape" cellComments="asDisplayed" r:id="rId1"/>
  <headerFooter scaleWithDoc="0" alignWithMargins="0">
    <oddFooter>&amp;L&amp;"Arial,Regular"&amp;8&amp;Z
&amp;F  
&amp;A&amp;CPage &amp;P of &amp;N
&amp;R&amp;"Times New Roman,Regular"&amp;8&amp;D
&amp;T</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00"/>
    <pageSetUpPr fitToPage="1"/>
  </sheetPr>
  <dimension ref="A1:T219"/>
  <sheetViews>
    <sheetView workbookViewId="0"/>
  </sheetViews>
  <sheetFormatPr defaultColWidth="8.75" defaultRowHeight="13.5" customHeight="1"/>
  <cols>
    <col min="1" max="1" width="12.375" style="652" customWidth="1"/>
    <col min="2" max="2" width="17.75" style="653" customWidth="1"/>
    <col min="3" max="3" width="15.875" style="652" customWidth="1"/>
    <col min="4" max="4" width="12.25" style="654" customWidth="1"/>
    <col min="5" max="5" width="2.625" style="654" customWidth="1"/>
    <col min="6" max="6" width="12.25" style="654" customWidth="1"/>
    <col min="7" max="7" width="2.625" style="654" customWidth="1"/>
    <col min="8" max="19" width="10.375" style="652" customWidth="1"/>
    <col min="20" max="20" width="8.5" style="652" customWidth="1"/>
    <col min="21" max="22" width="8.75" style="652" customWidth="1"/>
    <col min="23" max="16384" width="8.75" style="652"/>
  </cols>
  <sheetData>
    <row r="1" spans="1:20" s="647" customFormat="1" ht="16.5" customHeight="1">
      <c r="B1" s="655" t="s">
        <v>2482</v>
      </c>
      <c r="C1" s="656"/>
      <c r="D1" s="657" t="s">
        <v>2487</v>
      </c>
      <c r="E1" s="658"/>
      <c r="F1" s="658"/>
      <c r="G1" s="658"/>
    </row>
    <row r="2" spans="1:20" s="647" customFormat="1" ht="16.5" customHeight="1">
      <c r="B2" s="659"/>
      <c r="D2" s="658"/>
      <c r="E2" s="658"/>
      <c r="F2" s="658"/>
      <c r="G2" s="658"/>
    </row>
    <row r="3" spans="1:20" s="647" customFormat="1" ht="16.5" customHeight="1">
      <c r="B3" s="660" t="s">
        <v>2484</v>
      </c>
      <c r="C3" s="661"/>
      <c r="D3" s="658"/>
      <c r="E3" s="658"/>
      <c r="F3" s="658"/>
      <c r="G3" s="658"/>
    </row>
    <row r="4" spans="1:20" ht="16.5" customHeight="1">
      <c r="H4" s="662"/>
    </row>
    <row r="5" spans="1:20" ht="13.5" customHeight="1">
      <c r="B5" s="663"/>
      <c r="D5" s="664" t="s">
        <v>2497</v>
      </c>
      <c r="F5" s="664" t="s">
        <v>2500</v>
      </c>
      <c r="G5" s="665"/>
      <c r="H5" s="666" t="s">
        <v>2502</v>
      </c>
      <c r="I5" s="666" t="s">
        <v>2502</v>
      </c>
      <c r="J5" s="666" t="s">
        <v>2502</v>
      </c>
      <c r="K5" s="666" t="s">
        <v>2502</v>
      </c>
      <c r="L5" s="666" t="s">
        <v>2502</v>
      </c>
      <c r="M5" s="666" t="s">
        <v>2502</v>
      </c>
      <c r="N5" s="666" t="s">
        <v>2502</v>
      </c>
      <c r="O5" s="666" t="s">
        <v>2502</v>
      </c>
      <c r="P5" s="666" t="s">
        <v>2502</v>
      </c>
      <c r="Q5" s="666" t="s">
        <v>2502</v>
      </c>
      <c r="R5" s="666" t="s">
        <v>2502</v>
      </c>
      <c r="S5" s="666" t="s">
        <v>2502</v>
      </c>
      <c r="T5" s="666" t="s">
        <v>2502</v>
      </c>
    </row>
    <row r="6" spans="1:20" s="648" customFormat="1" ht="13.5" customHeight="1">
      <c r="A6" s="649" t="s">
        <v>2488</v>
      </c>
      <c r="B6" s="667"/>
      <c r="D6" s="668">
        <f>'Flash Report'!$C$2</f>
        <v>46023</v>
      </c>
      <c r="E6" s="654"/>
      <c r="F6" s="668">
        <f>D6</f>
        <v>46023</v>
      </c>
      <c r="G6" s="669"/>
      <c r="H6" s="670">
        <v>46023</v>
      </c>
      <c r="I6" s="670">
        <v>46054</v>
      </c>
      <c r="J6" s="670">
        <v>46082</v>
      </c>
      <c r="K6" s="670">
        <v>46113</v>
      </c>
      <c r="L6" s="670">
        <v>46143</v>
      </c>
      <c r="M6" s="670">
        <v>46174</v>
      </c>
      <c r="N6" s="670">
        <v>46204</v>
      </c>
      <c r="O6" s="670">
        <v>46235</v>
      </c>
      <c r="P6" s="670">
        <v>46266</v>
      </c>
      <c r="Q6" s="670">
        <v>46296</v>
      </c>
      <c r="R6" s="670">
        <v>46327</v>
      </c>
      <c r="S6" s="670">
        <v>46357</v>
      </c>
      <c r="T6" s="671" t="s">
        <v>2504</v>
      </c>
    </row>
    <row r="7" spans="1:20" s="649" customFormat="1" ht="13.5" customHeight="1">
      <c r="A7" s="653" t="str">
        <f>'Budget-合并'!A7</f>
        <v>6001</v>
      </c>
      <c r="B7" s="672" t="str">
        <f>'Budget-合并'!B7</f>
        <v>营业收入</v>
      </c>
      <c r="C7" s="673">
        <f>VLOOKUP(A7,Account!A:F,4,0)</f>
        <v>0</v>
      </c>
      <c r="D7" s="674"/>
      <c r="E7" s="674"/>
      <c r="F7" s="674"/>
      <c r="G7" s="674"/>
      <c r="H7" s="674"/>
      <c r="I7" s="674"/>
      <c r="J7" s="674"/>
      <c r="K7" s="674"/>
      <c r="L7" s="674"/>
      <c r="M7" s="674"/>
      <c r="N7" s="674"/>
      <c r="O7" s="674"/>
      <c r="P7" s="674"/>
      <c r="Q7" s="674"/>
      <c r="R7" s="674"/>
      <c r="S7" s="674"/>
      <c r="T7" s="674"/>
    </row>
    <row r="8" spans="1:20" ht="13.5" customHeight="1">
      <c r="A8" s="653" t="str">
        <f>'Budget-合并'!A8</f>
        <v>6001.01</v>
      </c>
      <c r="B8" s="675" t="str">
        <f>'Budget-合并'!B8</f>
        <v>基金管理费收入</v>
      </c>
      <c r="C8" s="673" t="str">
        <f>'Budget-合并'!C8</f>
        <v>Fund Management Fee</v>
      </c>
      <c r="D8" s="676">
        <f t="shared" ref="D8:D12" si="0">INDEX($H$8:$S$8,1,MATCH($D$6,$H$6:$S$6))</f>
        <v>0</v>
      </c>
      <c r="F8" s="676">
        <f t="shared" ref="F8:F12" ca="1" si="1">SUM($H8:OFFSET($H8,0,MATCH(F$6,$H$6:$S$6)-1))</f>
        <v>0</v>
      </c>
      <c r="H8" s="676"/>
      <c r="I8" s="676"/>
      <c r="J8" s="676"/>
      <c r="K8" s="676"/>
      <c r="L8" s="676"/>
      <c r="M8" s="676"/>
      <c r="N8" s="676"/>
      <c r="O8" s="676"/>
      <c r="P8" s="676"/>
      <c r="Q8" s="676"/>
      <c r="R8" s="676"/>
      <c r="S8" s="676"/>
      <c r="T8" s="676">
        <f t="shared" ref="T8:T11" si="2">SUM(H8:S8)</f>
        <v>0</v>
      </c>
    </row>
    <row r="9" spans="1:20" ht="13.5" customHeight="1">
      <c r="A9" s="653" t="str">
        <f>'Budget-合并'!A9</f>
        <v>6001.02</v>
      </c>
      <c r="B9" s="675" t="str">
        <f>'Budget-合并'!B9</f>
        <v>咨询服务费收入</v>
      </c>
      <c r="C9" s="673" t="str">
        <f>'Budget-合并'!C9</f>
        <v>Advisory Fee Income</v>
      </c>
      <c r="D9" s="676">
        <f t="shared" si="0"/>
        <v>0</v>
      </c>
      <c r="F9" s="676">
        <f t="shared" ca="1" si="1"/>
        <v>0</v>
      </c>
      <c r="H9" s="676">
        <f t="shared" ref="H9:S9" si="3">SUM(H10:H11)</f>
        <v>0</v>
      </c>
      <c r="I9" s="676">
        <f t="shared" si="3"/>
        <v>0</v>
      </c>
      <c r="J9" s="676">
        <f t="shared" si="3"/>
        <v>0</v>
      </c>
      <c r="K9" s="676">
        <f t="shared" si="3"/>
        <v>0</v>
      </c>
      <c r="L9" s="676">
        <f t="shared" si="3"/>
        <v>0</v>
      </c>
      <c r="M9" s="676">
        <f t="shared" si="3"/>
        <v>0</v>
      </c>
      <c r="N9" s="676">
        <f t="shared" si="3"/>
        <v>0</v>
      </c>
      <c r="O9" s="676">
        <f t="shared" si="3"/>
        <v>0</v>
      </c>
      <c r="P9" s="676">
        <f t="shared" si="3"/>
        <v>0</v>
      </c>
      <c r="Q9" s="676">
        <f t="shared" si="3"/>
        <v>0</v>
      </c>
      <c r="R9" s="676">
        <f t="shared" si="3"/>
        <v>0</v>
      </c>
      <c r="S9" s="676">
        <f t="shared" si="3"/>
        <v>0</v>
      </c>
      <c r="T9" s="676">
        <f t="shared" si="2"/>
        <v>0</v>
      </c>
    </row>
    <row r="10" spans="1:20" ht="13.5" customHeight="1">
      <c r="A10" s="653">
        <f>'Budget-合并'!A10</f>
        <v>0</v>
      </c>
      <c r="B10" s="675" t="str">
        <f>'Budget-合并'!B10</f>
        <v xml:space="preserve">   辉飏咨询服务费</v>
      </c>
      <c r="C10" s="673" t="str">
        <f>'Budget-合并'!C10</f>
        <v xml:space="preserve">  HYNE</v>
      </c>
      <c r="D10" s="676">
        <f t="shared" si="0"/>
        <v>0</v>
      </c>
      <c r="F10" s="676">
        <f t="shared" ca="1" si="1"/>
        <v>0</v>
      </c>
      <c r="H10" s="676"/>
      <c r="I10" s="676"/>
      <c r="J10" s="676"/>
      <c r="K10" s="676"/>
      <c r="L10" s="676"/>
      <c r="M10" s="676"/>
      <c r="N10" s="676"/>
      <c r="O10" s="676"/>
      <c r="P10" s="676"/>
      <c r="Q10" s="676"/>
      <c r="R10" s="676"/>
      <c r="S10" s="676"/>
      <c r="T10" s="676">
        <f t="shared" si="2"/>
        <v>0</v>
      </c>
    </row>
    <row r="11" spans="1:20" ht="13.5" customHeight="1">
      <c r="A11" s="653">
        <f>'Budget-合并'!A11</f>
        <v>0</v>
      </c>
      <c r="B11" s="675" t="str">
        <f>'Budget-合并'!B11</f>
        <v xml:space="preserve">      MAA咨询管理费</v>
      </c>
      <c r="C11" s="673" t="str">
        <f>'Budget-合并'!C11</f>
        <v xml:space="preserve">  MAA</v>
      </c>
      <c r="D11" s="676">
        <f t="shared" si="0"/>
        <v>0</v>
      </c>
      <c r="F11" s="676">
        <f t="shared" ca="1" si="1"/>
        <v>0</v>
      </c>
      <c r="H11" s="676"/>
      <c r="I11" s="676"/>
      <c r="J11" s="676"/>
      <c r="K11" s="676"/>
      <c r="L11" s="676"/>
      <c r="M11" s="676"/>
      <c r="N11" s="676"/>
      <c r="O11" s="676"/>
      <c r="P11" s="676"/>
      <c r="Q11" s="676"/>
      <c r="R11" s="676"/>
      <c r="S11" s="676"/>
      <c r="T11" s="676">
        <f t="shared" si="2"/>
        <v>0</v>
      </c>
    </row>
    <row r="12" spans="1:20" s="650" customFormat="1" ht="13.5" customHeight="1">
      <c r="A12" s="653">
        <f>'Budget-合并'!A12</f>
        <v>0</v>
      </c>
      <c r="B12" s="672" t="str">
        <f>'Budget-合并'!B12</f>
        <v>营业收入合计</v>
      </c>
      <c r="C12" s="673">
        <f>'Budget-合并'!C12</f>
        <v>0</v>
      </c>
      <c r="D12" s="654">
        <f t="shared" si="0"/>
        <v>0</v>
      </c>
      <c r="E12" s="654"/>
      <c r="F12" s="654">
        <f t="shared" ca="1" si="1"/>
        <v>0</v>
      </c>
      <c r="G12" s="654"/>
      <c r="H12" s="654">
        <f t="shared" ref="H12:T12" si="4">SUM(H8,H9)</f>
        <v>0</v>
      </c>
      <c r="I12" s="654">
        <f t="shared" si="4"/>
        <v>0</v>
      </c>
      <c r="J12" s="654">
        <f t="shared" si="4"/>
        <v>0</v>
      </c>
      <c r="K12" s="654">
        <f t="shared" si="4"/>
        <v>0</v>
      </c>
      <c r="L12" s="654">
        <f t="shared" si="4"/>
        <v>0</v>
      </c>
      <c r="M12" s="654">
        <f t="shared" si="4"/>
        <v>0</v>
      </c>
      <c r="N12" s="654">
        <f t="shared" si="4"/>
        <v>0</v>
      </c>
      <c r="O12" s="654">
        <f t="shared" si="4"/>
        <v>0</v>
      </c>
      <c r="P12" s="654">
        <f t="shared" si="4"/>
        <v>0</v>
      </c>
      <c r="Q12" s="654">
        <f t="shared" si="4"/>
        <v>0</v>
      </c>
      <c r="R12" s="654">
        <f t="shared" si="4"/>
        <v>0</v>
      </c>
      <c r="S12" s="654">
        <f t="shared" si="4"/>
        <v>0</v>
      </c>
      <c r="T12" s="654">
        <f t="shared" si="4"/>
        <v>0</v>
      </c>
    </row>
    <row r="13" spans="1:20" ht="13.5" customHeight="1">
      <c r="A13" s="653">
        <f>'Budget-合并'!A13</f>
        <v>0</v>
      </c>
      <c r="B13" s="653">
        <f>'Budget-合并'!B13</f>
        <v>0</v>
      </c>
      <c r="C13" s="673">
        <f>'Budget-合并'!C13</f>
        <v>0</v>
      </c>
      <c r="H13" s="654"/>
      <c r="I13" s="654"/>
      <c r="J13" s="654"/>
      <c r="K13" s="654"/>
      <c r="L13" s="654"/>
      <c r="M13" s="654"/>
      <c r="N13" s="654"/>
      <c r="O13" s="654"/>
      <c r="P13" s="654"/>
      <c r="Q13" s="654"/>
      <c r="R13" s="654"/>
      <c r="S13" s="654"/>
      <c r="T13" s="654"/>
    </row>
    <row r="14" spans="1:20" ht="13.5" customHeight="1">
      <c r="A14" s="653" t="str">
        <f>'Budget-合并'!A14</f>
        <v>6405.01</v>
      </c>
      <c r="B14" s="653" t="str">
        <f>'Budget-合并'!B14</f>
        <v>印花税</v>
      </c>
      <c r="C14" s="673" t="str">
        <f>'Budget-合并'!C14</f>
        <v>Stamp Duty</v>
      </c>
      <c r="D14" s="676">
        <f t="shared" ref="D14:D19" si="5">INDEX($H$8:$S$8,1,MATCH($D$6,$H$6:$S$6))</f>
        <v>0</v>
      </c>
      <c r="F14" s="676">
        <f t="shared" ref="F14:F19" ca="1" si="6">SUM($H14:OFFSET($H14,0,MATCH(F$6,$H$6:$S$6)-1))</f>
        <v>0</v>
      </c>
      <c r="H14" s="676"/>
      <c r="I14" s="676"/>
      <c r="J14" s="676"/>
      <c r="K14" s="676"/>
      <c r="L14" s="676"/>
      <c r="M14" s="676"/>
      <c r="N14" s="676"/>
      <c r="O14" s="676"/>
      <c r="P14" s="676"/>
      <c r="Q14" s="676"/>
      <c r="R14" s="676"/>
      <c r="S14" s="676"/>
      <c r="T14" s="676">
        <f t="shared" ref="T14:T18" si="7">SUM(H14:S14)</f>
        <v>0</v>
      </c>
    </row>
    <row r="15" spans="1:20" ht="13.5" customHeight="1">
      <c r="A15" s="653" t="str">
        <f>'Budget-合并'!A15</f>
        <v>6405.02</v>
      </c>
      <c r="B15" s="653" t="str">
        <f>'Budget-合并'!B15</f>
        <v>城市维护建设税</v>
      </c>
      <c r="C15" s="673" t="str">
        <f>'Budget-合并'!C15</f>
        <v>VAT surcharge</v>
      </c>
      <c r="D15" s="676">
        <f t="shared" si="5"/>
        <v>0</v>
      </c>
      <c r="F15" s="676">
        <f t="shared" ca="1" si="6"/>
        <v>0</v>
      </c>
      <c r="H15" s="676"/>
      <c r="I15" s="676"/>
      <c r="J15" s="676"/>
      <c r="K15" s="676"/>
      <c r="L15" s="676"/>
      <c r="M15" s="676"/>
      <c r="N15" s="676"/>
      <c r="O15" s="676"/>
      <c r="P15" s="676"/>
      <c r="Q15" s="676"/>
      <c r="R15" s="676"/>
      <c r="S15" s="676"/>
      <c r="T15" s="676">
        <f t="shared" si="7"/>
        <v>0</v>
      </c>
    </row>
    <row r="16" spans="1:20" ht="13.5" customHeight="1">
      <c r="A16" s="653" t="str">
        <f>'Budget-合并'!A16</f>
        <v>6405.03</v>
      </c>
      <c r="B16" s="653" t="str">
        <f>'Budget-合并'!B16</f>
        <v>教育费附加</v>
      </c>
      <c r="C16" s="673" t="str">
        <f>'Budget-合并'!C16</f>
        <v>VAT surcharge</v>
      </c>
      <c r="D16" s="676">
        <f t="shared" si="5"/>
        <v>0</v>
      </c>
      <c r="F16" s="676">
        <f t="shared" ca="1" si="6"/>
        <v>0</v>
      </c>
      <c r="H16" s="676"/>
      <c r="I16" s="676"/>
      <c r="J16" s="676"/>
      <c r="K16" s="676"/>
      <c r="L16" s="676"/>
      <c r="M16" s="676"/>
      <c r="N16" s="676"/>
      <c r="O16" s="676"/>
      <c r="P16" s="676"/>
      <c r="Q16" s="676"/>
      <c r="R16" s="676"/>
      <c r="S16" s="676"/>
      <c r="T16" s="676">
        <f t="shared" si="7"/>
        <v>0</v>
      </c>
    </row>
    <row r="17" spans="1:20" ht="13.5" customHeight="1">
      <c r="A17" s="653" t="str">
        <f>'Budget-合并'!A17</f>
        <v>6405.04</v>
      </c>
      <c r="B17" s="653" t="str">
        <f>'Budget-合并'!B17</f>
        <v>地方教育附加</v>
      </c>
      <c r="C17" s="673" t="str">
        <f>'Budget-合并'!C17</f>
        <v>VAT surcharge</v>
      </c>
      <c r="D17" s="676">
        <f t="shared" si="5"/>
        <v>0</v>
      </c>
      <c r="F17" s="676">
        <f t="shared" ca="1" si="6"/>
        <v>0</v>
      </c>
      <c r="H17" s="676"/>
      <c r="I17" s="676"/>
      <c r="J17" s="676"/>
      <c r="K17" s="676"/>
      <c r="L17" s="676"/>
      <c r="M17" s="676"/>
      <c r="N17" s="676"/>
      <c r="O17" s="676"/>
      <c r="P17" s="676"/>
      <c r="Q17" s="676"/>
      <c r="R17" s="676"/>
      <c r="S17" s="676"/>
      <c r="T17" s="676">
        <f t="shared" si="7"/>
        <v>0</v>
      </c>
    </row>
    <row r="18" spans="1:20" ht="13.5" customHeight="1">
      <c r="A18" s="653" t="str">
        <f>'Budget-合并'!A18</f>
        <v>6405.05</v>
      </c>
      <c r="B18" s="653" t="str">
        <f>'Budget-合并'!B18</f>
        <v>水利建设基金</v>
      </c>
      <c r="C18" s="673">
        <f>'Budget-合并'!C18</f>
        <v>0</v>
      </c>
      <c r="D18" s="676">
        <f t="shared" si="5"/>
        <v>0</v>
      </c>
      <c r="F18" s="676">
        <f t="shared" ca="1" si="6"/>
        <v>0</v>
      </c>
      <c r="H18" s="676"/>
      <c r="I18" s="676"/>
      <c r="J18" s="676"/>
      <c r="K18" s="676"/>
      <c r="L18" s="676"/>
      <c r="M18" s="676"/>
      <c r="N18" s="676"/>
      <c r="O18" s="676"/>
      <c r="P18" s="676"/>
      <c r="Q18" s="676"/>
      <c r="R18" s="676"/>
      <c r="S18" s="676"/>
      <c r="T18" s="676">
        <f t="shared" si="7"/>
        <v>0</v>
      </c>
    </row>
    <row r="19" spans="1:20" s="650" customFormat="1" ht="13.5" customHeight="1">
      <c r="A19" s="672">
        <f>'Budget-合并'!A19</f>
        <v>6401</v>
      </c>
      <c r="B19" s="672" t="str">
        <f>'Budget-合并'!B19</f>
        <v>税金及附加小计</v>
      </c>
      <c r="C19" s="673">
        <f>'Budget-合并'!C19</f>
        <v>0</v>
      </c>
      <c r="D19" s="654">
        <f t="shared" si="5"/>
        <v>0</v>
      </c>
      <c r="E19" s="654"/>
      <c r="F19" s="654">
        <f t="shared" ca="1" si="6"/>
        <v>0</v>
      </c>
      <c r="G19" s="654"/>
      <c r="H19" s="654">
        <f t="shared" ref="H19:T19" si="8">SUM(H14:H18)</f>
        <v>0</v>
      </c>
      <c r="I19" s="654">
        <f t="shared" si="8"/>
        <v>0</v>
      </c>
      <c r="J19" s="654">
        <f t="shared" si="8"/>
        <v>0</v>
      </c>
      <c r="K19" s="654">
        <f t="shared" si="8"/>
        <v>0</v>
      </c>
      <c r="L19" s="654">
        <f t="shared" si="8"/>
        <v>0</v>
      </c>
      <c r="M19" s="654">
        <f t="shared" si="8"/>
        <v>0</v>
      </c>
      <c r="N19" s="654">
        <f t="shared" si="8"/>
        <v>0</v>
      </c>
      <c r="O19" s="654">
        <f t="shared" si="8"/>
        <v>0</v>
      </c>
      <c r="P19" s="654">
        <f t="shared" si="8"/>
        <v>0</v>
      </c>
      <c r="Q19" s="654">
        <f t="shared" si="8"/>
        <v>0</v>
      </c>
      <c r="R19" s="654">
        <f t="shared" si="8"/>
        <v>0</v>
      </c>
      <c r="S19" s="654">
        <f t="shared" si="8"/>
        <v>0</v>
      </c>
      <c r="T19" s="654">
        <f t="shared" si="8"/>
        <v>0</v>
      </c>
    </row>
    <row r="20" spans="1:20" ht="13.5" customHeight="1">
      <c r="A20" s="653">
        <f>'Budget-合并'!A20</f>
        <v>0</v>
      </c>
      <c r="B20" s="653">
        <f>'Budget-合并'!B20</f>
        <v>0</v>
      </c>
      <c r="C20" s="673">
        <f>'Budget-合并'!C20</f>
        <v>0</v>
      </c>
      <c r="H20" s="654"/>
      <c r="I20" s="654"/>
      <c r="J20" s="654"/>
      <c r="K20" s="654"/>
      <c r="L20" s="654"/>
      <c r="M20" s="654"/>
      <c r="N20" s="654"/>
      <c r="O20" s="654"/>
      <c r="P20" s="654"/>
      <c r="Q20" s="654"/>
      <c r="R20" s="654"/>
      <c r="S20" s="654"/>
      <c r="T20" s="654"/>
    </row>
    <row r="21" spans="1:20" ht="13.5" customHeight="1">
      <c r="A21" s="653">
        <f>'Budget-合并'!A21</f>
        <v>0</v>
      </c>
      <c r="B21" s="653">
        <f>'Budget-合并'!B21</f>
        <v>0</v>
      </c>
      <c r="C21" s="673">
        <f>'Budget-合并'!C21</f>
        <v>0</v>
      </c>
      <c r="D21" s="677"/>
      <c r="F21" s="677"/>
      <c r="H21" s="677"/>
      <c r="I21" s="677"/>
      <c r="J21" s="677"/>
      <c r="K21" s="677"/>
      <c r="L21" s="677"/>
      <c r="M21" s="677"/>
      <c r="N21" s="677"/>
      <c r="O21" s="677"/>
      <c r="P21" s="677"/>
      <c r="Q21" s="677"/>
      <c r="R21" s="677"/>
      <c r="S21" s="677"/>
      <c r="T21" s="677"/>
    </row>
    <row r="22" spans="1:20" ht="13.5" customHeight="1">
      <c r="A22" s="672" t="str">
        <f>'Budget-合并'!A22</f>
        <v>6602</v>
      </c>
      <c r="B22" s="672" t="str">
        <f>'Budget-合并'!B22</f>
        <v>管理费用</v>
      </c>
      <c r="C22" s="673">
        <f>'Budget-合并'!C22</f>
        <v>0</v>
      </c>
      <c r="D22" s="677"/>
      <c r="F22" s="677"/>
      <c r="H22" s="677"/>
      <c r="I22" s="677"/>
      <c r="J22" s="677"/>
      <c r="K22" s="677"/>
      <c r="L22" s="677"/>
      <c r="M22" s="677"/>
      <c r="N22" s="677"/>
      <c r="O22" s="677"/>
      <c r="P22" s="677"/>
      <c r="Q22" s="677"/>
      <c r="R22" s="677"/>
      <c r="S22" s="677"/>
      <c r="T22" s="677"/>
    </row>
    <row r="23" spans="1:20" ht="13.5" customHeight="1">
      <c r="A23" s="663" t="str">
        <f>'Budget-合并'!A23</f>
        <v>6602.01</v>
      </c>
      <c r="B23" s="678" t="str">
        <f>'Budget-合并'!B23</f>
        <v>工资薪金</v>
      </c>
      <c r="C23" s="673">
        <f>'Budget-合并'!C23</f>
        <v>0</v>
      </c>
      <c r="D23" s="676">
        <f t="shared" ref="D23:D42" si="9">INDEX($H$8:$S$8,1,MATCH($D$6,$H$6:$S$6))</f>
        <v>0</v>
      </c>
      <c r="F23" s="676">
        <f t="shared" ref="F23:F42" ca="1" si="10">SUM($H23:OFFSET($H23,0,MATCH(F$6,$H$6:$S$6)-1))</f>
        <v>0</v>
      </c>
      <c r="H23" s="676">
        <f t="shared" ref="H23:S23" si="11">SUM(H24:H32)</f>
        <v>0</v>
      </c>
      <c r="I23" s="676">
        <f t="shared" si="11"/>
        <v>0</v>
      </c>
      <c r="J23" s="676">
        <f t="shared" si="11"/>
        <v>0</v>
      </c>
      <c r="K23" s="676">
        <f t="shared" si="11"/>
        <v>0</v>
      </c>
      <c r="L23" s="676">
        <f t="shared" si="11"/>
        <v>0</v>
      </c>
      <c r="M23" s="676">
        <f t="shared" si="11"/>
        <v>0</v>
      </c>
      <c r="N23" s="676">
        <f t="shared" si="11"/>
        <v>0</v>
      </c>
      <c r="O23" s="676">
        <f t="shared" si="11"/>
        <v>0</v>
      </c>
      <c r="P23" s="676">
        <f t="shared" si="11"/>
        <v>0</v>
      </c>
      <c r="Q23" s="676">
        <f t="shared" si="11"/>
        <v>0</v>
      </c>
      <c r="R23" s="676">
        <f t="shared" si="11"/>
        <v>0</v>
      </c>
      <c r="S23" s="676">
        <f t="shared" si="11"/>
        <v>0</v>
      </c>
      <c r="T23" s="676">
        <f t="shared" ref="T23:T86" si="12">SUM(H23:S23)</f>
        <v>0</v>
      </c>
    </row>
    <row r="24" spans="1:20" ht="13.5" customHeight="1">
      <c r="A24" s="653" t="str">
        <f>'Budget-合并'!A24</f>
        <v>6602.01.01</v>
      </c>
      <c r="B24" s="653" t="str">
        <f>'Budget-合并'!B24</f>
        <v>基本工资（专业）</v>
      </c>
      <c r="C24" s="673" t="str">
        <f>'Budget-合并'!C24</f>
        <v>Salary Professional</v>
      </c>
      <c r="D24" s="676">
        <f t="shared" si="9"/>
        <v>0</v>
      </c>
      <c r="F24" s="676">
        <f t="shared" ca="1" si="10"/>
        <v>0</v>
      </c>
      <c r="H24" s="676"/>
      <c r="I24" s="676"/>
      <c r="J24" s="676"/>
      <c r="K24" s="676"/>
      <c r="L24" s="676"/>
      <c r="M24" s="676"/>
      <c r="N24" s="676"/>
      <c r="O24" s="676"/>
      <c r="P24" s="676"/>
      <c r="Q24" s="676"/>
      <c r="R24" s="676"/>
      <c r="S24" s="676"/>
      <c r="T24" s="676">
        <f t="shared" si="12"/>
        <v>0</v>
      </c>
    </row>
    <row r="25" spans="1:20" ht="13.5" customHeight="1">
      <c r="A25" s="653" t="str">
        <f>'Budget-合并'!A25</f>
        <v>6602.01.02</v>
      </c>
      <c r="B25" s="653" t="str">
        <f>'Budget-合并'!B25</f>
        <v>加班费</v>
      </c>
      <c r="C25" s="673">
        <f>'Budget-合并'!C25</f>
        <v>0</v>
      </c>
      <c r="D25" s="676">
        <f t="shared" si="9"/>
        <v>0</v>
      </c>
      <c r="F25" s="676">
        <f t="shared" ca="1" si="10"/>
        <v>0</v>
      </c>
      <c r="H25" s="676"/>
      <c r="I25" s="676"/>
      <c r="J25" s="676"/>
      <c r="K25" s="676"/>
      <c r="L25" s="676"/>
      <c r="M25" s="676"/>
      <c r="N25" s="676"/>
      <c r="O25" s="676"/>
      <c r="P25" s="676"/>
      <c r="Q25" s="676"/>
      <c r="R25" s="676"/>
      <c r="S25" s="676"/>
      <c r="T25" s="676">
        <f t="shared" si="12"/>
        <v>0</v>
      </c>
    </row>
    <row r="26" spans="1:20" ht="13.5" customHeight="1">
      <c r="A26" s="653" t="str">
        <f>'Budget-合并'!A26</f>
        <v>6602.01.03</v>
      </c>
      <c r="B26" s="653" t="str">
        <f>'Budget-合并'!B26</f>
        <v>员工奖金（专业）</v>
      </c>
      <c r="C26" s="673" t="str">
        <f>'Budget-合并'!C26</f>
        <v>Bonus Expense - Professional</v>
      </c>
      <c r="D26" s="676">
        <f t="shared" si="9"/>
        <v>0</v>
      </c>
      <c r="F26" s="676">
        <f t="shared" ca="1" si="10"/>
        <v>0</v>
      </c>
      <c r="H26" s="676"/>
      <c r="I26" s="676"/>
      <c r="J26" s="676"/>
      <c r="K26" s="676"/>
      <c r="L26" s="676"/>
      <c r="M26" s="676"/>
      <c r="N26" s="676"/>
      <c r="O26" s="676"/>
      <c r="P26" s="676"/>
      <c r="Q26" s="676"/>
      <c r="R26" s="676"/>
      <c r="S26" s="676"/>
      <c r="T26" s="676">
        <f t="shared" si="12"/>
        <v>0</v>
      </c>
    </row>
    <row r="27" spans="1:20" ht="13.5" customHeight="1">
      <c r="A27" s="653" t="str">
        <f>'Budget-合并'!A27</f>
        <v>6602.01.04</v>
      </c>
      <c r="B27" s="653" t="str">
        <f>'Budget-合并'!B27</f>
        <v>员工遣散费</v>
      </c>
      <c r="C27" s="673">
        <f>'Budget-合并'!C27</f>
        <v>0</v>
      </c>
      <c r="D27" s="676">
        <f t="shared" si="9"/>
        <v>0</v>
      </c>
      <c r="F27" s="676">
        <f t="shared" ca="1" si="10"/>
        <v>0</v>
      </c>
      <c r="H27" s="676"/>
      <c r="I27" s="676"/>
      <c r="J27" s="676"/>
      <c r="K27" s="676"/>
      <c r="L27" s="676"/>
      <c r="M27" s="676"/>
      <c r="N27" s="676"/>
      <c r="O27" s="676"/>
      <c r="P27" s="676"/>
      <c r="Q27" s="676"/>
      <c r="R27" s="676"/>
      <c r="S27" s="676"/>
      <c r="T27" s="676">
        <f t="shared" si="12"/>
        <v>0</v>
      </c>
    </row>
    <row r="28" spans="1:20" ht="13.5" customHeight="1">
      <c r="A28" s="653" t="str">
        <f>'Budget-合并'!A28</f>
        <v>6602.01.05</v>
      </c>
      <c r="B28" s="653" t="str">
        <f>'Budget-合并'!B28</f>
        <v>员工假期</v>
      </c>
      <c r="C28" s="673" t="str">
        <f>'Budget-合并'!C28</f>
        <v>Unused Leave Expense</v>
      </c>
      <c r="D28" s="676">
        <f t="shared" si="9"/>
        <v>0</v>
      </c>
      <c r="F28" s="676">
        <f t="shared" ca="1" si="10"/>
        <v>0</v>
      </c>
      <c r="H28" s="676"/>
      <c r="I28" s="676"/>
      <c r="J28" s="676"/>
      <c r="K28" s="676"/>
      <c r="L28" s="676"/>
      <c r="M28" s="676"/>
      <c r="N28" s="676"/>
      <c r="O28" s="676"/>
      <c r="P28" s="676"/>
      <c r="Q28" s="676"/>
      <c r="R28" s="676"/>
      <c r="S28" s="676"/>
      <c r="T28" s="676">
        <f t="shared" si="12"/>
        <v>0</v>
      </c>
    </row>
    <row r="29" spans="1:20" ht="13.5" customHeight="1">
      <c r="A29" s="653" t="str">
        <f>'Budget-合并'!A29</f>
        <v>6602.01.06</v>
      </c>
      <c r="B29" s="653" t="str">
        <f>'Budget-合并'!B29</f>
        <v>劳务报酬</v>
      </c>
      <c r="C29" s="673">
        <f>'Budget-合并'!C29</f>
        <v>0</v>
      </c>
      <c r="D29" s="676">
        <f t="shared" si="9"/>
        <v>0</v>
      </c>
      <c r="F29" s="676">
        <f t="shared" ca="1" si="10"/>
        <v>0</v>
      </c>
      <c r="H29" s="676"/>
      <c r="I29" s="676"/>
      <c r="J29" s="676"/>
      <c r="K29" s="676"/>
      <c r="L29" s="676"/>
      <c r="M29" s="676"/>
      <c r="N29" s="676"/>
      <c r="O29" s="676"/>
      <c r="P29" s="676"/>
      <c r="Q29" s="676"/>
      <c r="R29" s="676"/>
      <c r="S29" s="676"/>
      <c r="T29" s="676">
        <f t="shared" si="12"/>
        <v>0</v>
      </c>
    </row>
    <row r="30" spans="1:20" ht="13.5" customHeight="1">
      <c r="A30" s="653" t="str">
        <f>'Budget-合并'!A30</f>
        <v>6602.01.07</v>
      </c>
      <c r="B30" s="653" t="str">
        <f>'Budget-合并'!B30</f>
        <v>集团内分摊</v>
      </c>
      <c r="C30" s="673" t="str">
        <f>'Budget-合并'!C30</f>
        <v>Mantime X Charge</v>
      </c>
      <c r="D30" s="676">
        <f t="shared" si="9"/>
        <v>0</v>
      </c>
      <c r="F30" s="676">
        <f t="shared" ca="1" si="10"/>
        <v>0</v>
      </c>
      <c r="H30" s="676"/>
      <c r="I30" s="676"/>
      <c r="J30" s="676"/>
      <c r="K30" s="676"/>
      <c r="L30" s="676"/>
      <c r="M30" s="676"/>
      <c r="N30" s="676"/>
      <c r="O30" s="676"/>
      <c r="P30" s="676"/>
      <c r="Q30" s="676"/>
      <c r="R30" s="676"/>
      <c r="S30" s="676"/>
      <c r="T30" s="676">
        <f t="shared" si="12"/>
        <v>0</v>
      </c>
    </row>
    <row r="31" spans="1:20" ht="13.5" customHeight="1">
      <c r="A31" s="653" t="str">
        <f>'Budget-合并'!A31</f>
        <v>6602.01.08</v>
      </c>
      <c r="B31" s="653" t="str">
        <f>'Budget-合并'!B31</f>
        <v>基本工资（管理）</v>
      </c>
      <c r="C31" s="673" t="str">
        <f>'Budget-合并'!C31</f>
        <v>Salary Management</v>
      </c>
      <c r="D31" s="676">
        <f t="shared" si="9"/>
        <v>0</v>
      </c>
      <c r="F31" s="676">
        <f t="shared" ca="1" si="10"/>
        <v>0</v>
      </c>
      <c r="H31" s="676"/>
      <c r="I31" s="676"/>
      <c r="J31" s="676"/>
      <c r="K31" s="676"/>
      <c r="L31" s="676"/>
      <c r="M31" s="676"/>
      <c r="N31" s="676"/>
      <c r="O31" s="676"/>
      <c r="P31" s="676"/>
      <c r="Q31" s="676"/>
      <c r="R31" s="676"/>
      <c r="S31" s="676"/>
      <c r="T31" s="676">
        <f t="shared" si="12"/>
        <v>0</v>
      </c>
    </row>
    <row r="32" spans="1:20" ht="13.5" customHeight="1">
      <c r="A32" s="653" t="str">
        <f>'Budget-合并'!A32</f>
        <v>6602.01.09</v>
      </c>
      <c r="B32" s="653" t="str">
        <f>'Budget-合并'!B32</f>
        <v>员工奖金（管理）</v>
      </c>
      <c r="C32" s="673" t="str">
        <f>'Budget-合并'!C32</f>
        <v>Bonus Expense - Management</v>
      </c>
      <c r="D32" s="676">
        <f t="shared" si="9"/>
        <v>0</v>
      </c>
      <c r="F32" s="676">
        <f t="shared" ca="1" si="10"/>
        <v>0</v>
      </c>
      <c r="H32" s="676"/>
      <c r="I32" s="676"/>
      <c r="J32" s="676"/>
      <c r="K32" s="676"/>
      <c r="L32" s="676"/>
      <c r="M32" s="676"/>
      <c r="N32" s="676"/>
      <c r="O32" s="676"/>
      <c r="P32" s="676"/>
      <c r="Q32" s="676"/>
      <c r="R32" s="676"/>
      <c r="S32" s="676"/>
      <c r="T32" s="676">
        <f t="shared" si="12"/>
        <v>0</v>
      </c>
    </row>
    <row r="33" spans="1:20" ht="13.5" customHeight="1">
      <c r="A33" s="663" t="str">
        <f>'Budget-合并'!A33</f>
        <v>6602.02</v>
      </c>
      <c r="B33" s="678" t="str">
        <f>'Budget-合并'!B33</f>
        <v>职工福利</v>
      </c>
      <c r="C33" s="673">
        <f>'Budget-合并'!C33</f>
        <v>0</v>
      </c>
      <c r="D33" s="676">
        <f t="shared" si="9"/>
        <v>0</v>
      </c>
      <c r="F33" s="676">
        <f t="shared" ca="1" si="10"/>
        <v>0</v>
      </c>
      <c r="H33" s="679">
        <f t="shared" ref="H33:S33" si="13">SUM(H34:H37)</f>
        <v>0</v>
      </c>
      <c r="I33" s="679">
        <f t="shared" si="13"/>
        <v>0</v>
      </c>
      <c r="J33" s="679">
        <f t="shared" si="13"/>
        <v>0</v>
      </c>
      <c r="K33" s="679">
        <f t="shared" si="13"/>
        <v>0</v>
      </c>
      <c r="L33" s="679">
        <f t="shared" si="13"/>
        <v>0</v>
      </c>
      <c r="M33" s="679">
        <f t="shared" si="13"/>
        <v>0</v>
      </c>
      <c r="N33" s="679">
        <f t="shared" si="13"/>
        <v>0</v>
      </c>
      <c r="O33" s="679">
        <f t="shared" si="13"/>
        <v>0</v>
      </c>
      <c r="P33" s="679">
        <f t="shared" si="13"/>
        <v>0</v>
      </c>
      <c r="Q33" s="679">
        <f t="shared" si="13"/>
        <v>0</v>
      </c>
      <c r="R33" s="679">
        <f t="shared" si="13"/>
        <v>0</v>
      </c>
      <c r="S33" s="679">
        <f t="shared" si="13"/>
        <v>0</v>
      </c>
      <c r="T33" s="676">
        <f t="shared" si="12"/>
        <v>0</v>
      </c>
    </row>
    <row r="34" spans="1:20" ht="13.5" customHeight="1">
      <c r="A34" s="653" t="str">
        <f>'Budget-合并'!A34</f>
        <v>6602.02.01</v>
      </c>
      <c r="B34" s="653" t="str">
        <f>'Budget-合并'!B34</f>
        <v>员工福利</v>
      </c>
      <c r="C34" s="673" t="str">
        <f>'Budget-合并'!C34</f>
        <v>Fringe Other</v>
      </c>
      <c r="D34" s="676">
        <f t="shared" si="9"/>
        <v>0</v>
      </c>
      <c r="F34" s="676">
        <f t="shared" ca="1" si="10"/>
        <v>0</v>
      </c>
      <c r="H34" s="676"/>
      <c r="I34" s="676"/>
      <c r="J34" s="676"/>
      <c r="K34" s="676"/>
      <c r="L34" s="676"/>
      <c r="M34" s="676"/>
      <c r="N34" s="676"/>
      <c r="O34" s="676"/>
      <c r="P34" s="676"/>
      <c r="Q34" s="676"/>
      <c r="R34" s="676"/>
      <c r="S34" s="676"/>
      <c r="T34" s="676">
        <f t="shared" si="12"/>
        <v>0</v>
      </c>
    </row>
    <row r="35" spans="1:20" ht="13.5" customHeight="1">
      <c r="A35" s="653" t="str">
        <f>'Budget-合并'!A35</f>
        <v>6602.02.02</v>
      </c>
      <c r="B35" s="653" t="str">
        <f>'Budget-合并'!B35</f>
        <v>团建活动</v>
      </c>
      <c r="C35" s="673" t="str">
        <f>'Budget-合并'!C35</f>
        <v>EE Morale Expense</v>
      </c>
      <c r="D35" s="676">
        <f t="shared" si="9"/>
        <v>0</v>
      </c>
      <c r="F35" s="676">
        <f t="shared" ca="1" si="10"/>
        <v>0</v>
      </c>
      <c r="H35" s="676">
        <f t="shared" ref="H35:S35" si="14">SUM(H36:H37)</f>
        <v>0</v>
      </c>
      <c r="I35" s="676">
        <f t="shared" si="14"/>
        <v>0</v>
      </c>
      <c r="J35" s="676">
        <f t="shared" si="14"/>
        <v>0</v>
      </c>
      <c r="K35" s="676">
        <f t="shared" si="14"/>
        <v>0</v>
      </c>
      <c r="L35" s="676">
        <f t="shared" si="14"/>
        <v>0</v>
      </c>
      <c r="M35" s="676">
        <f t="shared" si="14"/>
        <v>0</v>
      </c>
      <c r="N35" s="676">
        <f t="shared" si="14"/>
        <v>0</v>
      </c>
      <c r="O35" s="676">
        <f t="shared" si="14"/>
        <v>0</v>
      </c>
      <c r="P35" s="676">
        <f t="shared" si="14"/>
        <v>0</v>
      </c>
      <c r="Q35" s="676">
        <f t="shared" si="14"/>
        <v>0</v>
      </c>
      <c r="R35" s="676">
        <f t="shared" si="14"/>
        <v>0</v>
      </c>
      <c r="S35" s="676">
        <f t="shared" si="14"/>
        <v>0</v>
      </c>
      <c r="T35" s="676">
        <f t="shared" si="12"/>
        <v>0</v>
      </c>
    </row>
    <row r="36" spans="1:20" ht="13.5" customHeight="1">
      <c r="A36" s="653" t="str">
        <f>'Budget-合并'!A36</f>
        <v>6602.02.03</v>
      </c>
      <c r="B36" s="653" t="str">
        <f>'Budget-合并'!B36</f>
        <v>体检费</v>
      </c>
      <c r="C36" s="673">
        <f>'Budget-合并'!C36</f>
        <v>0</v>
      </c>
      <c r="D36" s="676">
        <f t="shared" si="9"/>
        <v>0</v>
      </c>
      <c r="F36" s="676">
        <f t="shared" ca="1" si="10"/>
        <v>0</v>
      </c>
      <c r="H36" s="676"/>
      <c r="I36" s="676"/>
      <c r="J36" s="676"/>
      <c r="K36" s="676"/>
      <c r="L36" s="676"/>
      <c r="M36" s="676"/>
      <c r="N36" s="676"/>
      <c r="O36" s="676"/>
      <c r="P36" s="676"/>
      <c r="Q36" s="676"/>
      <c r="R36" s="676"/>
      <c r="S36" s="676"/>
      <c r="T36" s="676">
        <f t="shared" si="12"/>
        <v>0</v>
      </c>
    </row>
    <row r="37" spans="1:20" ht="13.5" customHeight="1">
      <c r="A37" s="653" t="str">
        <f>'Budget-合并'!A37</f>
        <v>6602.02.04</v>
      </c>
      <c r="B37" s="653" t="str">
        <f>'Budget-合并'!B37</f>
        <v>商业保险 - 医疗</v>
      </c>
      <c r="C37" s="673">
        <f>'Budget-合并'!C37</f>
        <v>0</v>
      </c>
      <c r="D37" s="676">
        <f t="shared" si="9"/>
        <v>0</v>
      </c>
      <c r="F37" s="676">
        <f t="shared" ca="1" si="10"/>
        <v>0</v>
      </c>
      <c r="H37" s="676"/>
      <c r="I37" s="676"/>
      <c r="J37" s="676"/>
      <c r="K37" s="676"/>
      <c r="L37" s="676"/>
      <c r="M37" s="676"/>
      <c r="N37" s="676"/>
      <c r="O37" s="676"/>
      <c r="P37" s="676"/>
      <c r="Q37" s="676"/>
      <c r="R37" s="676"/>
      <c r="S37" s="676"/>
      <c r="T37" s="676">
        <f t="shared" si="12"/>
        <v>0</v>
      </c>
    </row>
    <row r="38" spans="1:20" ht="13.5" customHeight="1">
      <c r="A38" s="663" t="str">
        <f>'Budget-合并'!A38</f>
        <v>6602.03</v>
      </c>
      <c r="B38" s="678" t="str">
        <f>'Budget-合并'!B38</f>
        <v>社保公积金</v>
      </c>
      <c r="C38" s="673">
        <f>'Budget-合并'!C38</f>
        <v>0</v>
      </c>
      <c r="D38" s="676">
        <f t="shared" si="9"/>
        <v>0</v>
      </c>
      <c r="F38" s="676">
        <f t="shared" ca="1" si="10"/>
        <v>0</v>
      </c>
      <c r="H38" s="679">
        <f t="shared" ref="H38:S38" si="15">SUM(H39:H41)</f>
        <v>0</v>
      </c>
      <c r="I38" s="679">
        <f t="shared" si="15"/>
        <v>0</v>
      </c>
      <c r="J38" s="679">
        <f t="shared" si="15"/>
        <v>0</v>
      </c>
      <c r="K38" s="679">
        <f t="shared" si="15"/>
        <v>0</v>
      </c>
      <c r="L38" s="679">
        <f t="shared" si="15"/>
        <v>0</v>
      </c>
      <c r="M38" s="679">
        <f t="shared" si="15"/>
        <v>0</v>
      </c>
      <c r="N38" s="679">
        <f t="shared" si="15"/>
        <v>0</v>
      </c>
      <c r="O38" s="679">
        <f t="shared" si="15"/>
        <v>0</v>
      </c>
      <c r="P38" s="679">
        <f t="shared" si="15"/>
        <v>0</v>
      </c>
      <c r="Q38" s="679">
        <f t="shared" si="15"/>
        <v>0</v>
      </c>
      <c r="R38" s="679">
        <f t="shared" si="15"/>
        <v>0</v>
      </c>
      <c r="S38" s="679">
        <f t="shared" si="15"/>
        <v>0</v>
      </c>
      <c r="T38" s="676">
        <f t="shared" si="12"/>
        <v>0</v>
      </c>
    </row>
    <row r="39" spans="1:20" ht="13.5" customHeight="1">
      <c r="A39" s="653" t="str">
        <f>'Budget-合并'!A39</f>
        <v>6602.03.01</v>
      </c>
      <c r="B39" s="653" t="str">
        <f>'Budget-合并'!B39</f>
        <v>员工社保福利</v>
      </c>
      <c r="C39" s="673" t="str">
        <f>'Budget-合并'!C39</f>
        <v>Employee Insurance</v>
      </c>
      <c r="D39" s="676">
        <f t="shared" si="9"/>
        <v>0</v>
      </c>
      <c r="F39" s="676">
        <f t="shared" ca="1" si="10"/>
        <v>0</v>
      </c>
      <c r="H39" s="676"/>
      <c r="I39" s="676"/>
      <c r="J39" s="676"/>
      <c r="K39" s="676"/>
      <c r="L39" s="676"/>
      <c r="M39" s="676"/>
      <c r="N39" s="676"/>
      <c r="O39" s="676"/>
      <c r="P39" s="676"/>
      <c r="Q39" s="676"/>
      <c r="R39" s="676"/>
      <c r="S39" s="676"/>
      <c r="T39" s="676">
        <f t="shared" si="12"/>
        <v>0</v>
      </c>
    </row>
    <row r="40" spans="1:20" ht="13.5" customHeight="1">
      <c r="A40" s="653" t="str">
        <f>'Budget-合并'!A40</f>
        <v>6602.03.02</v>
      </c>
      <c r="B40" s="653" t="str">
        <f>'Budget-合并'!B40</f>
        <v>员工公积金福利</v>
      </c>
      <c r="C40" s="673">
        <f>'Budget-合并'!C40</f>
        <v>0</v>
      </c>
      <c r="D40" s="676">
        <f t="shared" si="9"/>
        <v>0</v>
      </c>
      <c r="F40" s="676">
        <f t="shared" ca="1" si="10"/>
        <v>0</v>
      </c>
      <c r="H40" s="676"/>
      <c r="I40" s="676"/>
      <c r="J40" s="676"/>
      <c r="K40" s="676"/>
      <c r="L40" s="676"/>
      <c r="M40" s="676"/>
      <c r="N40" s="676"/>
      <c r="O40" s="676"/>
      <c r="P40" s="676"/>
      <c r="Q40" s="676"/>
      <c r="R40" s="676"/>
      <c r="S40" s="676"/>
      <c r="T40" s="676">
        <f t="shared" si="12"/>
        <v>0</v>
      </c>
    </row>
    <row r="41" spans="1:20" ht="13.5" customHeight="1">
      <c r="A41" s="653" t="str">
        <f>'Budget-合并'!A41</f>
        <v>6602.03.03</v>
      </c>
      <c r="B41" s="653" t="str">
        <f>'Budget-合并'!B41</f>
        <v>员工强制性公积金福利</v>
      </c>
      <c r="C41" s="673" t="str">
        <f>'Budget-合并'!C41</f>
        <v>Pension Local/MPF</v>
      </c>
      <c r="D41" s="676">
        <f t="shared" si="9"/>
        <v>0</v>
      </c>
      <c r="F41" s="676">
        <f t="shared" ca="1" si="10"/>
        <v>0</v>
      </c>
      <c r="H41" s="676"/>
      <c r="I41" s="676"/>
      <c r="J41" s="676"/>
      <c r="K41" s="676"/>
      <c r="L41" s="676"/>
      <c r="M41" s="676"/>
      <c r="N41" s="676"/>
      <c r="O41" s="676"/>
      <c r="P41" s="676"/>
      <c r="Q41" s="676"/>
      <c r="R41" s="676"/>
      <c r="S41" s="676"/>
      <c r="T41" s="676">
        <f t="shared" si="12"/>
        <v>0</v>
      </c>
    </row>
    <row r="42" spans="1:20" ht="13.5" customHeight="1">
      <c r="A42" s="672">
        <f>'Budget-合并'!A42</f>
        <v>0</v>
      </c>
      <c r="B42" s="672" t="str">
        <f>'Budget-合并'!B42</f>
        <v>管理人工费用小计</v>
      </c>
      <c r="C42" s="673">
        <f>'Budget-合并'!C42</f>
        <v>0</v>
      </c>
      <c r="D42" s="654">
        <f t="shared" si="9"/>
        <v>0</v>
      </c>
      <c r="F42" s="677">
        <f t="shared" ca="1" si="10"/>
        <v>0</v>
      </c>
      <c r="H42" s="677">
        <f t="shared" ref="H42:S42" si="16">SUM(H23,H33,H38)</f>
        <v>0</v>
      </c>
      <c r="I42" s="677">
        <f t="shared" si="16"/>
        <v>0</v>
      </c>
      <c r="J42" s="677">
        <f t="shared" si="16"/>
        <v>0</v>
      </c>
      <c r="K42" s="677">
        <f t="shared" si="16"/>
        <v>0</v>
      </c>
      <c r="L42" s="677">
        <f t="shared" si="16"/>
        <v>0</v>
      </c>
      <c r="M42" s="677">
        <f t="shared" si="16"/>
        <v>0</v>
      </c>
      <c r="N42" s="677">
        <f t="shared" si="16"/>
        <v>0</v>
      </c>
      <c r="O42" s="677">
        <f t="shared" si="16"/>
        <v>0</v>
      </c>
      <c r="P42" s="677">
        <f t="shared" si="16"/>
        <v>0</v>
      </c>
      <c r="Q42" s="677">
        <f t="shared" si="16"/>
        <v>0</v>
      </c>
      <c r="R42" s="677">
        <f t="shared" si="16"/>
        <v>0</v>
      </c>
      <c r="S42" s="677">
        <f t="shared" si="16"/>
        <v>0</v>
      </c>
      <c r="T42" s="677">
        <f t="shared" si="12"/>
        <v>0</v>
      </c>
    </row>
    <row r="43" spans="1:20" ht="13.5" customHeight="1">
      <c r="A43" s="653">
        <f>'Budget-合并'!A43</f>
        <v>0</v>
      </c>
      <c r="B43" s="653">
        <f>'Budget-合并'!B43</f>
        <v>0</v>
      </c>
      <c r="C43" s="673">
        <f>'Budget-合并'!C43</f>
        <v>0</v>
      </c>
      <c r="H43" s="652">
        <f t="shared" ref="H43:S43" si="17">SUM(H44:H46)</f>
        <v>0</v>
      </c>
      <c r="I43" s="652">
        <f t="shared" si="17"/>
        <v>0</v>
      </c>
      <c r="J43" s="652">
        <f t="shared" si="17"/>
        <v>0</v>
      </c>
      <c r="K43" s="652">
        <f t="shared" si="17"/>
        <v>0</v>
      </c>
      <c r="L43" s="652">
        <f t="shared" si="17"/>
        <v>0</v>
      </c>
      <c r="M43" s="652">
        <f t="shared" si="17"/>
        <v>0</v>
      </c>
      <c r="N43" s="652">
        <f t="shared" si="17"/>
        <v>0</v>
      </c>
      <c r="O43" s="652">
        <f t="shared" si="17"/>
        <v>0</v>
      </c>
      <c r="P43" s="652">
        <f t="shared" si="17"/>
        <v>0</v>
      </c>
      <c r="Q43" s="652">
        <f t="shared" si="17"/>
        <v>0</v>
      </c>
      <c r="R43" s="652">
        <f t="shared" si="17"/>
        <v>0</v>
      </c>
      <c r="S43" s="652">
        <f t="shared" si="17"/>
        <v>0</v>
      </c>
      <c r="T43" s="652">
        <f t="shared" si="12"/>
        <v>0</v>
      </c>
    </row>
    <row r="44" spans="1:20" ht="13.5" customHeight="1">
      <c r="A44" s="663" t="str">
        <f>'Budget-合并'!A44</f>
        <v>6602.04</v>
      </c>
      <c r="B44" s="678" t="str">
        <f>'Budget-合并'!B44</f>
        <v>咨询及专业服务费</v>
      </c>
      <c r="C44" s="673">
        <f>'Budget-合并'!C44</f>
        <v>0</v>
      </c>
      <c r="D44" s="676">
        <f t="shared" ref="D44:D107" si="18">INDEX($H$8:$S$8,1,MATCH($D$6,$H$6:$S$6))</f>
        <v>0</v>
      </c>
      <c r="F44" s="676">
        <f t="shared" ref="F44:F107" ca="1" si="19">SUM($H44:OFFSET($H44,0,MATCH(F$6,$H$6:$S$6)-1))</f>
        <v>0</v>
      </c>
      <c r="H44" s="676">
        <f t="shared" ref="H44:S44" si="20">SUM(H45,H46,H47,H51:H61)</f>
        <v>0</v>
      </c>
      <c r="I44" s="676">
        <f t="shared" si="20"/>
        <v>0</v>
      </c>
      <c r="J44" s="676">
        <f t="shared" si="20"/>
        <v>0</v>
      </c>
      <c r="K44" s="676">
        <f t="shared" si="20"/>
        <v>0</v>
      </c>
      <c r="L44" s="676">
        <f t="shared" si="20"/>
        <v>0</v>
      </c>
      <c r="M44" s="676">
        <f t="shared" si="20"/>
        <v>0</v>
      </c>
      <c r="N44" s="676">
        <f t="shared" si="20"/>
        <v>0</v>
      </c>
      <c r="O44" s="676">
        <f t="shared" si="20"/>
        <v>0</v>
      </c>
      <c r="P44" s="676">
        <f t="shared" si="20"/>
        <v>0</v>
      </c>
      <c r="Q44" s="676">
        <f t="shared" si="20"/>
        <v>0</v>
      </c>
      <c r="R44" s="676">
        <f t="shared" si="20"/>
        <v>0</v>
      </c>
      <c r="S44" s="676">
        <f t="shared" si="20"/>
        <v>0</v>
      </c>
      <c r="T44" s="676">
        <f t="shared" si="12"/>
        <v>0</v>
      </c>
    </row>
    <row r="45" spans="1:20" ht="13.5" customHeight="1">
      <c r="A45" s="653" t="str">
        <f>'Budget-合并'!A45</f>
        <v>6602.04.01</v>
      </c>
      <c r="B45" s="653" t="str">
        <f>'Budget-合并'!B45</f>
        <v>会计服务费</v>
      </c>
      <c r="C45" s="673" t="str">
        <f>'Budget-合并'!C45</f>
        <v>Accounting/Payment Services</v>
      </c>
      <c r="D45" s="676">
        <f t="shared" si="18"/>
        <v>0</v>
      </c>
      <c r="F45" s="676">
        <f t="shared" ca="1" si="19"/>
        <v>0</v>
      </c>
      <c r="H45" s="676"/>
      <c r="I45" s="676"/>
      <c r="J45" s="676"/>
      <c r="K45" s="676"/>
      <c r="L45" s="676"/>
      <c r="M45" s="676"/>
      <c r="N45" s="676"/>
      <c r="O45" s="676"/>
      <c r="P45" s="676"/>
      <c r="Q45" s="676"/>
      <c r="R45" s="676"/>
      <c r="S45" s="676"/>
      <c r="T45" s="676">
        <f t="shared" si="12"/>
        <v>0</v>
      </c>
    </row>
    <row r="46" spans="1:20" ht="13.5" customHeight="1">
      <c r="A46" s="653" t="str">
        <f>'Budget-合并'!A46</f>
        <v>6602.04.02</v>
      </c>
      <c r="B46" s="653" t="str">
        <f>'Budget-合并'!B46</f>
        <v>审计服务费</v>
      </c>
      <c r="C46" s="673" t="str">
        <f>'Budget-合并'!C46</f>
        <v>Audit Fees</v>
      </c>
      <c r="D46" s="676">
        <f t="shared" si="18"/>
        <v>0</v>
      </c>
      <c r="F46" s="676">
        <f t="shared" ca="1" si="19"/>
        <v>0</v>
      </c>
      <c r="H46" s="676"/>
      <c r="I46" s="676"/>
      <c r="J46" s="676"/>
      <c r="K46" s="676"/>
      <c r="L46" s="676"/>
      <c r="M46" s="676"/>
      <c r="N46" s="676"/>
      <c r="O46" s="676"/>
      <c r="P46" s="676"/>
      <c r="Q46" s="676"/>
      <c r="R46" s="676"/>
      <c r="S46" s="676"/>
      <c r="T46" s="676">
        <f t="shared" si="12"/>
        <v>0</v>
      </c>
    </row>
    <row r="47" spans="1:20" ht="13.5" customHeight="1">
      <c r="A47" s="653" t="str">
        <f>'Budget-合并'!A47</f>
        <v>6602.04.03</v>
      </c>
      <c r="B47" s="653" t="str">
        <f>'Budget-合并'!B47</f>
        <v>顾问费</v>
      </c>
      <c r="C47" s="673" t="str">
        <f>'Budget-合并'!C47</f>
        <v>Advisory fee</v>
      </c>
      <c r="D47" s="676">
        <f t="shared" si="18"/>
        <v>0</v>
      </c>
      <c r="F47" s="676">
        <f t="shared" ca="1" si="19"/>
        <v>0</v>
      </c>
      <c r="H47" s="676">
        <f t="shared" ref="H47:S47" si="21">SUM(H48:H50)</f>
        <v>0</v>
      </c>
      <c r="I47" s="676">
        <f t="shared" si="21"/>
        <v>0</v>
      </c>
      <c r="J47" s="676">
        <f t="shared" si="21"/>
        <v>0</v>
      </c>
      <c r="K47" s="676">
        <f t="shared" si="21"/>
        <v>0</v>
      </c>
      <c r="L47" s="676">
        <f t="shared" si="21"/>
        <v>0</v>
      </c>
      <c r="M47" s="676">
        <f t="shared" si="21"/>
        <v>0</v>
      </c>
      <c r="N47" s="676">
        <f t="shared" si="21"/>
        <v>0</v>
      </c>
      <c r="O47" s="676">
        <f t="shared" si="21"/>
        <v>0</v>
      </c>
      <c r="P47" s="676">
        <f t="shared" si="21"/>
        <v>0</v>
      </c>
      <c r="Q47" s="676">
        <f t="shared" si="21"/>
        <v>0</v>
      </c>
      <c r="R47" s="676">
        <f t="shared" si="21"/>
        <v>0</v>
      </c>
      <c r="S47" s="676">
        <f t="shared" si="21"/>
        <v>0</v>
      </c>
      <c r="T47" s="676">
        <f t="shared" si="12"/>
        <v>0</v>
      </c>
    </row>
    <row r="48" spans="1:20" ht="13.5" customHeight="1">
      <c r="A48" s="653">
        <f>'Budget-合并'!A48</f>
        <v>0</v>
      </c>
      <c r="B48" s="653" t="str">
        <f>'Budget-合并'!B48</f>
        <v xml:space="preserve">    公司主体01</v>
      </c>
      <c r="C48" s="673" t="str">
        <f>'Budget-合并'!C48</f>
        <v xml:space="preserve">   Entity</v>
      </c>
      <c r="D48" s="676">
        <f t="shared" si="18"/>
        <v>0</v>
      </c>
      <c r="F48" s="676">
        <f t="shared" ca="1" si="19"/>
        <v>0</v>
      </c>
      <c r="H48" s="676"/>
      <c r="I48" s="676"/>
      <c r="J48" s="676"/>
      <c r="K48" s="676"/>
      <c r="L48" s="676"/>
      <c r="M48" s="676"/>
      <c r="N48" s="676"/>
      <c r="O48" s="676"/>
      <c r="P48" s="676"/>
      <c r="Q48" s="676"/>
      <c r="R48" s="676"/>
      <c r="S48" s="676"/>
      <c r="T48" s="676">
        <f t="shared" si="12"/>
        <v>0</v>
      </c>
    </row>
    <row r="49" spans="1:20" ht="13.5" customHeight="1">
      <c r="A49" s="653">
        <f>'Budget-合并'!A49</f>
        <v>0</v>
      </c>
      <c r="B49" s="653" t="str">
        <f>'Budget-合并'!B49</f>
        <v xml:space="preserve">    旭智富能01</v>
      </c>
      <c r="C49" s="673" t="str">
        <f>'Budget-合并'!C49</f>
        <v xml:space="preserve">   Foxpower</v>
      </c>
      <c r="D49" s="676">
        <f t="shared" si="18"/>
        <v>0</v>
      </c>
      <c r="F49" s="676">
        <f t="shared" ca="1" si="19"/>
        <v>0</v>
      </c>
      <c r="H49" s="676"/>
      <c r="I49" s="676"/>
      <c r="J49" s="676"/>
      <c r="K49" s="676"/>
      <c r="L49" s="676"/>
      <c r="M49" s="676"/>
      <c r="N49" s="676"/>
      <c r="O49" s="676"/>
      <c r="P49" s="676"/>
      <c r="Q49" s="676"/>
      <c r="R49" s="676"/>
      <c r="S49" s="676"/>
      <c r="T49" s="676">
        <f t="shared" si="12"/>
        <v>0</v>
      </c>
    </row>
    <row r="50" spans="1:20" ht="13.5" customHeight="1">
      <c r="A50" s="653">
        <f>'Budget-合并'!A50</f>
        <v>0</v>
      </c>
      <c r="B50" s="653" t="str">
        <f>'Budget-合并'!B50</f>
        <v xml:space="preserve">    其他项目01</v>
      </c>
      <c r="C50" s="673" t="str">
        <f>'Budget-合并'!C50</f>
        <v xml:space="preserve">   Other project</v>
      </c>
      <c r="D50" s="676">
        <f t="shared" si="18"/>
        <v>0</v>
      </c>
      <c r="F50" s="676">
        <f t="shared" ca="1" si="19"/>
        <v>0</v>
      </c>
      <c r="H50" s="676"/>
      <c r="I50" s="676"/>
      <c r="J50" s="676"/>
      <c r="K50" s="676"/>
      <c r="L50" s="676"/>
      <c r="M50" s="676"/>
      <c r="N50" s="676"/>
      <c r="O50" s="676"/>
      <c r="P50" s="676"/>
      <c r="Q50" s="676"/>
      <c r="R50" s="676"/>
      <c r="S50" s="676"/>
      <c r="T50" s="676">
        <f t="shared" si="12"/>
        <v>0</v>
      </c>
    </row>
    <row r="51" spans="1:20" ht="13.5" customHeight="1">
      <c r="A51" s="653" t="str">
        <f>'Budget-合并'!A51</f>
        <v>6602.04.04</v>
      </c>
      <c r="B51" s="653" t="str">
        <f>'Budget-合并'!B51</f>
        <v>税务服务费</v>
      </c>
      <c r="C51" s="673">
        <f>'Budget-合并'!C51</f>
        <v>0</v>
      </c>
      <c r="D51" s="676">
        <f t="shared" si="18"/>
        <v>0</v>
      </c>
      <c r="F51" s="676">
        <f t="shared" ca="1" si="19"/>
        <v>0</v>
      </c>
      <c r="H51" s="676"/>
      <c r="I51" s="676"/>
      <c r="J51" s="676"/>
      <c r="K51" s="676"/>
      <c r="L51" s="676"/>
      <c r="M51" s="676"/>
      <c r="N51" s="676"/>
      <c r="O51" s="676"/>
      <c r="P51" s="676"/>
      <c r="Q51" s="676"/>
      <c r="R51" s="676"/>
      <c r="S51" s="676"/>
      <c r="T51" s="676">
        <f t="shared" si="12"/>
        <v>0</v>
      </c>
    </row>
    <row r="52" spans="1:20" ht="13.5" customHeight="1">
      <c r="A52" s="653" t="str">
        <f>'Budget-合并'!A52</f>
        <v>6602.04.05</v>
      </c>
      <c r="B52" s="653" t="str">
        <f>'Budget-合并'!B52</f>
        <v>招聘服务费</v>
      </c>
      <c r="C52" s="673" t="str">
        <f>'Budget-合并'!C52</f>
        <v>Employment Agency Fee</v>
      </c>
      <c r="D52" s="676">
        <f t="shared" si="18"/>
        <v>0</v>
      </c>
      <c r="F52" s="676">
        <f t="shared" ca="1" si="19"/>
        <v>0</v>
      </c>
      <c r="H52" s="676"/>
      <c r="I52" s="676"/>
      <c r="J52" s="676"/>
      <c r="K52" s="676"/>
      <c r="L52" s="676"/>
      <c r="M52" s="676"/>
      <c r="N52" s="676"/>
      <c r="O52" s="676"/>
      <c r="P52" s="676"/>
      <c r="Q52" s="676"/>
      <c r="R52" s="676"/>
      <c r="S52" s="676"/>
      <c r="T52" s="676">
        <f t="shared" si="12"/>
        <v>0</v>
      </c>
    </row>
    <row r="53" spans="1:20" ht="13.5" customHeight="1">
      <c r="A53" s="653" t="str">
        <f>'Budget-合并'!A53</f>
        <v>6602.04.06</v>
      </c>
      <c r="B53" s="653" t="str">
        <f>'Budget-合并'!B53</f>
        <v>法律服务费</v>
      </c>
      <c r="C53" s="673" t="str">
        <f>'Budget-合并'!C53</f>
        <v>Legal Fees</v>
      </c>
      <c r="D53" s="676">
        <f t="shared" si="18"/>
        <v>0</v>
      </c>
      <c r="F53" s="676">
        <f t="shared" ca="1" si="19"/>
        <v>0</v>
      </c>
      <c r="H53" s="676"/>
      <c r="I53" s="676"/>
      <c r="J53" s="676"/>
      <c r="K53" s="676"/>
      <c r="L53" s="676"/>
      <c r="M53" s="676"/>
      <c r="N53" s="676"/>
      <c r="O53" s="676"/>
      <c r="P53" s="676"/>
      <c r="Q53" s="676"/>
      <c r="R53" s="676"/>
      <c r="S53" s="676"/>
      <c r="T53" s="676">
        <f t="shared" si="12"/>
        <v>0</v>
      </c>
    </row>
    <row r="54" spans="1:20" ht="13.5" customHeight="1">
      <c r="A54" s="653" t="str">
        <f>'Budget-合并'!A54</f>
        <v>6602.04.07</v>
      </c>
      <c r="B54" s="653" t="str">
        <f>'Budget-合并'!B54</f>
        <v>人力资源服务费</v>
      </c>
      <c r="C54" s="673" t="str">
        <f>'Budget-合并'!C54</f>
        <v>Payroll Services</v>
      </c>
      <c r="D54" s="676">
        <f t="shared" si="18"/>
        <v>0</v>
      </c>
      <c r="F54" s="676">
        <f t="shared" ca="1" si="19"/>
        <v>0</v>
      </c>
      <c r="H54" s="676"/>
      <c r="I54" s="676"/>
      <c r="J54" s="676"/>
      <c r="K54" s="676"/>
      <c r="L54" s="676"/>
      <c r="M54" s="676"/>
      <c r="N54" s="676"/>
      <c r="O54" s="676"/>
      <c r="P54" s="676"/>
      <c r="Q54" s="676"/>
      <c r="R54" s="676"/>
      <c r="S54" s="676"/>
      <c r="T54" s="676">
        <f t="shared" si="12"/>
        <v>0</v>
      </c>
    </row>
    <row r="55" spans="1:20" ht="13.5" customHeight="1">
      <c r="A55" s="653" t="str">
        <f>'Budget-合并'!A55</f>
        <v>6602.04.08</v>
      </c>
      <c r="B55" s="653" t="str">
        <f>'Budget-合并'!B55</f>
        <v>背景调查费</v>
      </c>
      <c r="C55" s="673" t="str">
        <f>'Budget-合并'!C55</f>
        <v>Employee Background Check</v>
      </c>
      <c r="D55" s="676">
        <f t="shared" si="18"/>
        <v>0</v>
      </c>
      <c r="F55" s="676">
        <f t="shared" ca="1" si="19"/>
        <v>0</v>
      </c>
      <c r="H55" s="676">
        <f t="shared" ref="H55:S55" si="22">SUM(H56,H60:H66)</f>
        <v>0</v>
      </c>
      <c r="I55" s="676">
        <f t="shared" si="22"/>
        <v>0</v>
      </c>
      <c r="J55" s="676">
        <f t="shared" si="22"/>
        <v>0</v>
      </c>
      <c r="K55" s="676">
        <f t="shared" si="22"/>
        <v>0</v>
      </c>
      <c r="L55" s="676">
        <f t="shared" si="22"/>
        <v>0</v>
      </c>
      <c r="M55" s="676">
        <f t="shared" si="22"/>
        <v>0</v>
      </c>
      <c r="N55" s="676">
        <f t="shared" si="22"/>
        <v>0</v>
      </c>
      <c r="O55" s="676">
        <f t="shared" si="22"/>
        <v>0</v>
      </c>
      <c r="P55" s="676">
        <f t="shared" si="22"/>
        <v>0</v>
      </c>
      <c r="Q55" s="676">
        <f t="shared" si="22"/>
        <v>0</v>
      </c>
      <c r="R55" s="676">
        <f t="shared" si="22"/>
        <v>0</v>
      </c>
      <c r="S55" s="676">
        <f t="shared" si="22"/>
        <v>0</v>
      </c>
      <c r="T55" s="676">
        <f t="shared" si="12"/>
        <v>0</v>
      </c>
    </row>
    <row r="56" spans="1:20" ht="13.5" customHeight="1">
      <c r="A56" s="653" t="str">
        <f>'Budget-合并'!A56</f>
        <v>6602.04.09</v>
      </c>
      <c r="B56" s="653" t="str">
        <f>'Budget-合并'!B56</f>
        <v>翻译服务费</v>
      </c>
      <c r="C56" s="673">
        <f>'Budget-合并'!C56</f>
        <v>0</v>
      </c>
      <c r="D56" s="676">
        <f t="shared" si="18"/>
        <v>0</v>
      </c>
      <c r="F56" s="676">
        <f t="shared" ca="1" si="19"/>
        <v>0</v>
      </c>
      <c r="H56" s="676">
        <f t="shared" ref="H56:S56" si="23">SUM(H57:H59)</f>
        <v>0</v>
      </c>
      <c r="I56" s="676">
        <f t="shared" si="23"/>
        <v>0</v>
      </c>
      <c r="J56" s="676">
        <f t="shared" si="23"/>
        <v>0</v>
      </c>
      <c r="K56" s="676">
        <f t="shared" si="23"/>
        <v>0</v>
      </c>
      <c r="L56" s="676">
        <f t="shared" si="23"/>
        <v>0</v>
      </c>
      <c r="M56" s="676">
        <f t="shared" si="23"/>
        <v>0</v>
      </c>
      <c r="N56" s="676">
        <f t="shared" si="23"/>
        <v>0</v>
      </c>
      <c r="O56" s="676">
        <f t="shared" si="23"/>
        <v>0</v>
      </c>
      <c r="P56" s="676">
        <f t="shared" si="23"/>
        <v>0</v>
      </c>
      <c r="Q56" s="676">
        <f t="shared" si="23"/>
        <v>0</v>
      </c>
      <c r="R56" s="676">
        <f t="shared" si="23"/>
        <v>0</v>
      </c>
      <c r="S56" s="676">
        <f t="shared" si="23"/>
        <v>0</v>
      </c>
      <c r="T56" s="676">
        <f t="shared" si="12"/>
        <v>0</v>
      </c>
    </row>
    <row r="57" spans="1:20" ht="13.5" customHeight="1">
      <c r="A57" s="653" t="str">
        <f>'Budget-合并'!A57</f>
        <v>6602.04.10</v>
      </c>
      <c r="B57" s="653" t="str">
        <f>'Budget-合并'!B57</f>
        <v>评估费</v>
      </c>
      <c r="C57" s="673">
        <f>'Budget-合并'!C57</f>
        <v>0</v>
      </c>
      <c r="D57" s="676">
        <f t="shared" si="18"/>
        <v>0</v>
      </c>
      <c r="F57" s="676">
        <f t="shared" ca="1" si="19"/>
        <v>0</v>
      </c>
      <c r="H57" s="676"/>
      <c r="I57" s="676"/>
      <c r="J57" s="676"/>
      <c r="K57" s="676"/>
      <c r="L57" s="676"/>
      <c r="M57" s="676"/>
      <c r="N57" s="676"/>
      <c r="O57" s="676"/>
      <c r="P57" s="676"/>
      <c r="Q57" s="676"/>
      <c r="R57" s="676"/>
      <c r="S57" s="676"/>
      <c r="T57" s="676">
        <f t="shared" si="12"/>
        <v>0</v>
      </c>
    </row>
    <row r="58" spans="1:20" ht="13.5" customHeight="1">
      <c r="A58" s="653" t="str">
        <f>'Budget-合并'!A58</f>
        <v>6602.04.11</v>
      </c>
      <c r="B58" s="653" t="str">
        <f>'Budget-合并'!B58</f>
        <v>技术服务费</v>
      </c>
      <c r="C58" s="673">
        <f>'Budget-合并'!C58</f>
        <v>0</v>
      </c>
      <c r="D58" s="676">
        <f t="shared" si="18"/>
        <v>0</v>
      </c>
      <c r="F58" s="676">
        <f t="shared" ca="1" si="19"/>
        <v>0</v>
      </c>
      <c r="H58" s="676"/>
      <c r="I58" s="676"/>
      <c r="J58" s="676"/>
      <c r="K58" s="676"/>
      <c r="L58" s="676"/>
      <c r="M58" s="676"/>
      <c r="N58" s="676"/>
      <c r="O58" s="676"/>
      <c r="P58" s="676"/>
      <c r="Q58" s="676"/>
      <c r="R58" s="676"/>
      <c r="S58" s="676"/>
      <c r="T58" s="676">
        <f t="shared" si="12"/>
        <v>0</v>
      </c>
    </row>
    <row r="59" spans="1:20" ht="13.5" customHeight="1">
      <c r="A59" s="653" t="str">
        <f>'Budget-合并'!A59</f>
        <v>6602.04.12</v>
      </c>
      <c r="B59" s="653" t="str">
        <f>'Budget-合并'!B59</f>
        <v>合规支持服务</v>
      </c>
      <c r="C59" s="673" t="str">
        <f>'Budget-合并'!C59</f>
        <v xml:space="preserve">Compliance Support Services </v>
      </c>
      <c r="D59" s="676">
        <f t="shared" si="18"/>
        <v>0</v>
      </c>
      <c r="F59" s="676">
        <f t="shared" ca="1" si="19"/>
        <v>0</v>
      </c>
      <c r="H59" s="676"/>
      <c r="I59" s="676"/>
      <c r="J59" s="676"/>
      <c r="K59" s="676"/>
      <c r="L59" s="676"/>
      <c r="M59" s="676"/>
      <c r="N59" s="676"/>
      <c r="O59" s="676"/>
      <c r="P59" s="676"/>
      <c r="Q59" s="676"/>
      <c r="R59" s="676"/>
      <c r="S59" s="676"/>
      <c r="T59" s="676">
        <f t="shared" si="12"/>
        <v>0</v>
      </c>
    </row>
    <row r="60" spans="1:20" ht="13.5" customHeight="1">
      <c r="A60" s="653" t="str">
        <f>'Budget-合并'!A60</f>
        <v>6602.04.13</v>
      </c>
      <c r="B60" s="653" t="str">
        <f>'Budget-合并'!B60</f>
        <v>咨询费</v>
      </c>
      <c r="C60" s="673" t="str">
        <f>'Budget-合并'!C60</f>
        <v>Consulting fee</v>
      </c>
      <c r="D60" s="676">
        <f t="shared" si="18"/>
        <v>0</v>
      </c>
      <c r="F60" s="676">
        <f t="shared" ca="1" si="19"/>
        <v>0</v>
      </c>
      <c r="H60" s="676"/>
      <c r="I60" s="676"/>
      <c r="J60" s="676"/>
      <c r="K60" s="676"/>
      <c r="L60" s="676"/>
      <c r="M60" s="676"/>
      <c r="N60" s="676"/>
      <c r="O60" s="676"/>
      <c r="P60" s="676"/>
      <c r="Q60" s="676"/>
      <c r="R60" s="676"/>
      <c r="S60" s="676"/>
      <c r="T60" s="676">
        <f t="shared" si="12"/>
        <v>0</v>
      </c>
    </row>
    <row r="61" spans="1:20" ht="13.5" customHeight="1">
      <c r="A61" s="653" t="str">
        <f>'Budget-合并'!A61</f>
        <v>6602.04.99</v>
      </c>
      <c r="B61" s="653" t="str">
        <f>'Budget-合并'!B61</f>
        <v>其他</v>
      </c>
      <c r="C61" s="673">
        <f>'Budget-合并'!C61</f>
        <v>0</v>
      </c>
      <c r="D61" s="676">
        <f t="shared" si="18"/>
        <v>0</v>
      </c>
      <c r="F61" s="676">
        <f t="shared" ca="1" si="19"/>
        <v>0</v>
      </c>
      <c r="H61" s="676"/>
      <c r="I61" s="676"/>
      <c r="J61" s="676"/>
      <c r="K61" s="676"/>
      <c r="L61" s="676"/>
      <c r="M61" s="676"/>
      <c r="N61" s="676"/>
      <c r="O61" s="676"/>
      <c r="P61" s="676"/>
      <c r="Q61" s="676"/>
      <c r="R61" s="676"/>
      <c r="S61" s="676"/>
      <c r="T61" s="676">
        <f t="shared" si="12"/>
        <v>0</v>
      </c>
    </row>
    <row r="62" spans="1:20" ht="13.5" customHeight="1">
      <c r="A62" s="663" t="str">
        <f>'Budget-合并'!A62</f>
        <v>6602.05</v>
      </c>
      <c r="B62" s="678" t="str">
        <f>'Budget-合并'!B62</f>
        <v>占用费</v>
      </c>
      <c r="C62" s="673">
        <f>'Budget-合并'!C62</f>
        <v>0</v>
      </c>
      <c r="D62" s="676">
        <f t="shared" si="18"/>
        <v>0</v>
      </c>
      <c r="F62" s="676">
        <f t="shared" ca="1" si="19"/>
        <v>0</v>
      </c>
      <c r="H62" s="676">
        <f t="shared" ref="H62:S62" si="24">SUM(H63,H67:H74)</f>
        <v>0</v>
      </c>
      <c r="I62" s="676">
        <f t="shared" si="24"/>
        <v>0</v>
      </c>
      <c r="J62" s="676">
        <f t="shared" si="24"/>
        <v>0</v>
      </c>
      <c r="K62" s="676">
        <f t="shared" si="24"/>
        <v>0</v>
      </c>
      <c r="L62" s="676">
        <f t="shared" si="24"/>
        <v>0</v>
      </c>
      <c r="M62" s="676">
        <f t="shared" si="24"/>
        <v>0</v>
      </c>
      <c r="N62" s="676">
        <f t="shared" si="24"/>
        <v>0</v>
      </c>
      <c r="O62" s="676">
        <f t="shared" si="24"/>
        <v>0</v>
      </c>
      <c r="P62" s="676">
        <f t="shared" si="24"/>
        <v>0</v>
      </c>
      <c r="Q62" s="676">
        <f t="shared" si="24"/>
        <v>0</v>
      </c>
      <c r="R62" s="676">
        <f t="shared" si="24"/>
        <v>0</v>
      </c>
      <c r="S62" s="676">
        <f t="shared" si="24"/>
        <v>0</v>
      </c>
      <c r="T62" s="676">
        <f t="shared" si="12"/>
        <v>0</v>
      </c>
    </row>
    <row r="63" spans="1:20" ht="13.5" customHeight="1">
      <c r="A63" s="653" t="str">
        <f>'Budget-合并'!A63</f>
        <v>6602.05.01</v>
      </c>
      <c r="B63" s="653" t="str">
        <f>'Budget-合并'!B63</f>
        <v>办公室租赁费</v>
      </c>
      <c r="C63" s="673">
        <f>'Budget-合并'!C63</f>
        <v>0</v>
      </c>
      <c r="D63" s="676">
        <f t="shared" si="18"/>
        <v>0</v>
      </c>
      <c r="F63" s="676">
        <f t="shared" ca="1" si="19"/>
        <v>0</v>
      </c>
      <c r="H63" s="676">
        <f t="shared" ref="H63:S63" si="25">SUM(H64:H66)</f>
        <v>0</v>
      </c>
      <c r="I63" s="676">
        <f t="shared" si="25"/>
        <v>0</v>
      </c>
      <c r="J63" s="676">
        <f t="shared" si="25"/>
        <v>0</v>
      </c>
      <c r="K63" s="676">
        <f t="shared" si="25"/>
        <v>0</v>
      </c>
      <c r="L63" s="676">
        <f t="shared" si="25"/>
        <v>0</v>
      </c>
      <c r="M63" s="676">
        <f t="shared" si="25"/>
        <v>0</v>
      </c>
      <c r="N63" s="676">
        <f t="shared" si="25"/>
        <v>0</v>
      </c>
      <c r="O63" s="676">
        <f t="shared" si="25"/>
        <v>0</v>
      </c>
      <c r="P63" s="676">
        <f t="shared" si="25"/>
        <v>0</v>
      </c>
      <c r="Q63" s="676">
        <f t="shared" si="25"/>
        <v>0</v>
      </c>
      <c r="R63" s="676">
        <f t="shared" si="25"/>
        <v>0</v>
      </c>
      <c r="S63" s="676">
        <f t="shared" si="25"/>
        <v>0</v>
      </c>
      <c r="T63" s="676">
        <f t="shared" si="12"/>
        <v>0</v>
      </c>
    </row>
    <row r="64" spans="1:20" ht="13.5" customHeight="1">
      <c r="A64" s="653" t="str">
        <f>'Budget-合并'!A64</f>
        <v>6602.05.01.01</v>
      </c>
      <c r="B64" s="653" t="str">
        <f>'Budget-合并'!B64</f>
        <v>旭智咨询--鼎和大厦1606</v>
      </c>
      <c r="C64" s="673">
        <f>'Budget-合并'!C64</f>
        <v>0</v>
      </c>
      <c r="D64" s="676">
        <f t="shared" si="18"/>
        <v>0</v>
      </c>
      <c r="F64" s="676">
        <f t="shared" ca="1" si="19"/>
        <v>0</v>
      </c>
      <c r="H64" s="676"/>
      <c r="I64" s="676"/>
      <c r="J64" s="676"/>
      <c r="K64" s="676"/>
      <c r="L64" s="676"/>
      <c r="M64" s="676"/>
      <c r="N64" s="676"/>
      <c r="O64" s="676"/>
      <c r="P64" s="676"/>
      <c r="Q64" s="676"/>
      <c r="R64" s="676"/>
      <c r="S64" s="676"/>
      <c r="T64" s="676">
        <f t="shared" si="12"/>
        <v>0</v>
      </c>
    </row>
    <row r="65" spans="1:20" ht="13.5" customHeight="1">
      <c r="A65" s="653" t="str">
        <f>'Budget-合并'!A65</f>
        <v>6602.05.01.02</v>
      </c>
      <c r="B65" s="653" t="str">
        <f>'Budget-合并'!B65</f>
        <v>广州注册地址403房J015</v>
      </c>
      <c r="C65" s="673">
        <f>'Budget-合并'!C65</f>
        <v>0</v>
      </c>
      <c r="D65" s="676">
        <f t="shared" si="18"/>
        <v>0</v>
      </c>
      <c r="F65" s="676">
        <f t="shared" ca="1" si="19"/>
        <v>0</v>
      </c>
      <c r="H65" s="676"/>
      <c r="I65" s="676"/>
      <c r="J65" s="676"/>
      <c r="K65" s="676"/>
      <c r="L65" s="676"/>
      <c r="M65" s="676"/>
      <c r="N65" s="676"/>
      <c r="O65" s="676"/>
      <c r="P65" s="676"/>
      <c r="Q65" s="676"/>
      <c r="R65" s="676"/>
      <c r="S65" s="676"/>
      <c r="T65" s="676">
        <f t="shared" si="12"/>
        <v>0</v>
      </c>
    </row>
    <row r="66" spans="1:20" ht="13.5" customHeight="1">
      <c r="A66" s="653" t="str">
        <f>'Budget-合并'!A66</f>
        <v>6602.05.01.03</v>
      </c>
      <c r="B66" s="653" t="str">
        <f>'Budget-合并'!B66</f>
        <v>广州注册地址403房J016</v>
      </c>
      <c r="C66" s="673">
        <f>'Budget-合并'!C66</f>
        <v>0</v>
      </c>
      <c r="D66" s="676">
        <f t="shared" si="18"/>
        <v>0</v>
      </c>
      <c r="F66" s="676">
        <f t="shared" ca="1" si="19"/>
        <v>0</v>
      </c>
      <c r="H66" s="676"/>
      <c r="I66" s="676"/>
      <c r="J66" s="676"/>
      <c r="K66" s="676"/>
      <c r="L66" s="676"/>
      <c r="M66" s="676"/>
      <c r="N66" s="676"/>
      <c r="O66" s="676"/>
      <c r="P66" s="676"/>
      <c r="Q66" s="676"/>
      <c r="R66" s="676"/>
      <c r="S66" s="676"/>
      <c r="T66" s="676">
        <f t="shared" si="12"/>
        <v>0</v>
      </c>
    </row>
    <row r="67" spans="1:20" ht="13.5" customHeight="1">
      <c r="A67" s="653" t="str">
        <f>'Budget-合并'!A67</f>
        <v>6602.05.02</v>
      </c>
      <c r="B67" s="653" t="str">
        <f>'Budget-合并'!B67</f>
        <v>管理费</v>
      </c>
      <c r="C67" s="673" t="str">
        <f>'Budget-合并'!C67</f>
        <v>Management fees</v>
      </c>
      <c r="D67" s="676">
        <f t="shared" si="18"/>
        <v>0</v>
      </c>
      <c r="F67" s="676">
        <f t="shared" ca="1" si="19"/>
        <v>0</v>
      </c>
      <c r="H67" s="676"/>
      <c r="I67" s="676"/>
      <c r="J67" s="676"/>
      <c r="K67" s="676"/>
      <c r="L67" s="676"/>
      <c r="M67" s="676"/>
      <c r="N67" s="676"/>
      <c r="O67" s="676"/>
      <c r="P67" s="676"/>
      <c r="Q67" s="676"/>
      <c r="R67" s="676"/>
      <c r="S67" s="676"/>
      <c r="T67" s="676">
        <f t="shared" si="12"/>
        <v>0</v>
      </c>
    </row>
    <row r="68" spans="1:20" ht="13.5" customHeight="1">
      <c r="A68" s="653" t="str">
        <f>'Budget-合并'!A68</f>
        <v>6602.05.03</v>
      </c>
      <c r="B68" s="653" t="str">
        <f>'Budget-合并'!B68</f>
        <v>电费</v>
      </c>
      <c r="C68" s="673" t="str">
        <f>'Budget-合并'!C68</f>
        <v>Utilities Electric</v>
      </c>
      <c r="D68" s="676">
        <f t="shared" si="18"/>
        <v>0</v>
      </c>
      <c r="F68" s="676">
        <f t="shared" ca="1" si="19"/>
        <v>0</v>
      </c>
      <c r="H68" s="676"/>
      <c r="I68" s="676"/>
      <c r="J68" s="676"/>
      <c r="K68" s="676"/>
      <c r="L68" s="676"/>
      <c r="M68" s="676"/>
      <c r="N68" s="676"/>
      <c r="O68" s="676"/>
      <c r="P68" s="676"/>
      <c r="Q68" s="676"/>
      <c r="R68" s="676"/>
      <c r="S68" s="676"/>
      <c r="T68" s="676">
        <f t="shared" si="12"/>
        <v>0</v>
      </c>
    </row>
    <row r="69" spans="1:20" ht="13.5" customHeight="1">
      <c r="A69" s="653" t="str">
        <f>'Budget-合并'!A69</f>
        <v>6602.05.04</v>
      </c>
      <c r="B69" s="653" t="str">
        <f>'Budget-合并'!B69</f>
        <v>水费</v>
      </c>
      <c r="C69" s="673">
        <f>'Budget-合并'!C69</f>
        <v>0</v>
      </c>
      <c r="D69" s="676">
        <f t="shared" si="18"/>
        <v>0</v>
      </c>
      <c r="F69" s="676">
        <f t="shared" ca="1" si="19"/>
        <v>0</v>
      </c>
      <c r="H69" s="676"/>
      <c r="I69" s="676"/>
      <c r="J69" s="676"/>
      <c r="K69" s="676"/>
      <c r="L69" s="676"/>
      <c r="M69" s="676"/>
      <c r="N69" s="676"/>
      <c r="O69" s="676"/>
      <c r="P69" s="676"/>
      <c r="Q69" s="676"/>
      <c r="R69" s="676"/>
      <c r="S69" s="676"/>
      <c r="T69" s="676">
        <f t="shared" si="12"/>
        <v>0</v>
      </c>
    </row>
    <row r="70" spans="1:20" ht="13.5" customHeight="1">
      <c r="A70" s="653" t="str">
        <f>'Budget-合并'!A70</f>
        <v>6602.05.05</v>
      </c>
      <c r="B70" s="653" t="str">
        <f>'Budget-合并'!B70</f>
        <v>维修费</v>
      </c>
      <c r="C70" s="673" t="str">
        <f>'Budget-合并'!C70</f>
        <v>Office Maintenance &amp; Repair</v>
      </c>
      <c r="D70" s="676">
        <f t="shared" si="18"/>
        <v>0</v>
      </c>
      <c r="F70" s="676">
        <f t="shared" ca="1" si="19"/>
        <v>0</v>
      </c>
      <c r="H70" s="676"/>
      <c r="I70" s="676"/>
      <c r="J70" s="676"/>
      <c r="K70" s="676"/>
      <c r="L70" s="676"/>
      <c r="M70" s="676"/>
      <c r="N70" s="676"/>
      <c r="O70" s="676"/>
      <c r="P70" s="676"/>
      <c r="Q70" s="676"/>
      <c r="R70" s="676"/>
      <c r="S70" s="676"/>
      <c r="T70" s="676">
        <f t="shared" si="12"/>
        <v>0</v>
      </c>
    </row>
    <row r="71" spans="1:20" ht="13.5" customHeight="1">
      <c r="A71" s="653" t="str">
        <f>'Budget-合并'!A71</f>
        <v>6602.05.06</v>
      </c>
      <c r="B71" s="653" t="str">
        <f>'Budget-合并'!B71</f>
        <v>装修费</v>
      </c>
      <c r="C71" s="673" t="str">
        <f>'Budget-合并'!C71</f>
        <v>Depreciation_Leasehold Improvement</v>
      </c>
      <c r="D71" s="676">
        <f t="shared" si="18"/>
        <v>0</v>
      </c>
      <c r="F71" s="676">
        <f t="shared" ca="1" si="19"/>
        <v>0</v>
      </c>
      <c r="H71" s="676"/>
      <c r="I71" s="676"/>
      <c r="J71" s="676"/>
      <c r="K71" s="676"/>
      <c r="L71" s="676"/>
      <c r="M71" s="676"/>
      <c r="N71" s="676"/>
      <c r="O71" s="676"/>
      <c r="P71" s="676"/>
      <c r="Q71" s="676"/>
      <c r="R71" s="676"/>
      <c r="S71" s="676"/>
      <c r="T71" s="676">
        <f t="shared" si="12"/>
        <v>0</v>
      </c>
    </row>
    <row r="72" spans="1:20" ht="13.5" customHeight="1">
      <c r="A72" s="653" t="str">
        <f>'Budget-合并'!A72</f>
        <v>6602.05.07</v>
      </c>
      <c r="B72" s="653" t="str">
        <f>'Budget-合并'!B72</f>
        <v>租金及物业费</v>
      </c>
      <c r="C72" s="673">
        <f>'Budget-合并'!C72</f>
        <v>0</v>
      </c>
      <c r="D72" s="676">
        <f t="shared" si="18"/>
        <v>0</v>
      </c>
      <c r="F72" s="676">
        <f t="shared" ca="1" si="19"/>
        <v>0</v>
      </c>
      <c r="H72" s="676"/>
      <c r="I72" s="676"/>
      <c r="J72" s="676"/>
      <c r="K72" s="676"/>
      <c r="L72" s="676"/>
      <c r="M72" s="676"/>
      <c r="N72" s="676"/>
      <c r="O72" s="676"/>
      <c r="P72" s="676"/>
      <c r="Q72" s="676"/>
      <c r="R72" s="676"/>
      <c r="S72" s="676"/>
      <c r="T72" s="676">
        <f t="shared" si="12"/>
        <v>0</v>
      </c>
    </row>
    <row r="73" spans="1:20" ht="11.1" customHeight="1">
      <c r="A73" s="653" t="str">
        <f>'Budget-合并'!A73</f>
        <v>6602.05.08</v>
      </c>
      <c r="B73" s="653" t="str">
        <f>'Budget-合并'!B73</f>
        <v>集团内分摊</v>
      </c>
      <c r="C73" s="673" t="str">
        <f>'Budget-合并'!C73</f>
        <v>Space Rel X Charge</v>
      </c>
      <c r="D73" s="676">
        <f t="shared" si="18"/>
        <v>0</v>
      </c>
      <c r="F73" s="676">
        <f t="shared" ca="1" si="19"/>
        <v>0</v>
      </c>
      <c r="H73" s="676"/>
      <c r="I73" s="676"/>
      <c r="J73" s="676"/>
      <c r="K73" s="676"/>
      <c r="L73" s="676"/>
      <c r="M73" s="676"/>
      <c r="N73" s="676"/>
      <c r="O73" s="676"/>
      <c r="P73" s="676"/>
      <c r="Q73" s="676"/>
      <c r="R73" s="676"/>
      <c r="S73" s="676"/>
      <c r="T73" s="676">
        <f t="shared" si="12"/>
        <v>0</v>
      </c>
    </row>
    <row r="74" spans="1:20" ht="11.1" customHeight="1">
      <c r="A74" s="653" t="str">
        <f>'Budget-合并'!A74</f>
        <v>6602.05.99</v>
      </c>
      <c r="B74" s="653" t="str">
        <f>'Budget-合并'!B74</f>
        <v>其他</v>
      </c>
      <c r="C74" s="673">
        <f>'Budget-合并'!C74</f>
        <v>0</v>
      </c>
      <c r="D74" s="676">
        <f t="shared" si="18"/>
        <v>0</v>
      </c>
      <c r="F74" s="676">
        <f t="shared" ca="1" si="19"/>
        <v>0</v>
      </c>
      <c r="H74" s="676"/>
      <c r="I74" s="676"/>
      <c r="J74" s="676"/>
      <c r="K74" s="676"/>
      <c r="L74" s="676"/>
      <c r="M74" s="676"/>
      <c r="N74" s="676"/>
      <c r="O74" s="676"/>
      <c r="P74" s="676"/>
      <c r="Q74" s="676"/>
      <c r="R74" s="676"/>
      <c r="S74" s="676"/>
      <c r="T74" s="676">
        <f t="shared" si="12"/>
        <v>0</v>
      </c>
    </row>
    <row r="75" spans="1:20" ht="11.1" customHeight="1">
      <c r="A75" s="663" t="str">
        <f>'Budget-合并'!A75</f>
        <v>6602.06</v>
      </c>
      <c r="B75" s="678" t="str">
        <f>'Budget-合并'!B75</f>
        <v>业务招待费</v>
      </c>
      <c r="C75" s="673" t="str">
        <f>'Budget-合并'!C75</f>
        <v>Client Entertainment</v>
      </c>
      <c r="D75" s="676">
        <f t="shared" si="18"/>
        <v>0</v>
      </c>
      <c r="F75" s="676">
        <f t="shared" ca="1" si="19"/>
        <v>0</v>
      </c>
      <c r="H75" s="676">
        <f t="shared" ref="H75:S75" si="26">SUM(H76:H78)</f>
        <v>0</v>
      </c>
      <c r="I75" s="676">
        <f t="shared" si="26"/>
        <v>0</v>
      </c>
      <c r="J75" s="676">
        <f t="shared" si="26"/>
        <v>0</v>
      </c>
      <c r="K75" s="676">
        <f t="shared" si="26"/>
        <v>0</v>
      </c>
      <c r="L75" s="676">
        <f t="shared" si="26"/>
        <v>0</v>
      </c>
      <c r="M75" s="676">
        <f t="shared" si="26"/>
        <v>0</v>
      </c>
      <c r="N75" s="676">
        <f t="shared" si="26"/>
        <v>0</v>
      </c>
      <c r="O75" s="676">
        <f t="shared" si="26"/>
        <v>0</v>
      </c>
      <c r="P75" s="676">
        <f t="shared" si="26"/>
        <v>0</v>
      </c>
      <c r="Q75" s="676">
        <f t="shared" si="26"/>
        <v>0</v>
      </c>
      <c r="R75" s="676">
        <f t="shared" si="26"/>
        <v>0</v>
      </c>
      <c r="S75" s="676">
        <f t="shared" si="26"/>
        <v>0</v>
      </c>
      <c r="T75" s="676">
        <f t="shared" si="12"/>
        <v>0</v>
      </c>
    </row>
    <row r="76" spans="1:20" ht="11.1" customHeight="1">
      <c r="A76" s="653">
        <f>'Budget-合并'!A76</f>
        <v>0</v>
      </c>
      <c r="B76" s="653" t="str">
        <f>'Budget-合并'!B76</f>
        <v xml:space="preserve">    公司主体02</v>
      </c>
      <c r="C76" s="673" t="str">
        <f>'Budget-合并'!C76</f>
        <v xml:space="preserve">   Entity</v>
      </c>
      <c r="D76" s="676">
        <f t="shared" si="18"/>
        <v>0</v>
      </c>
      <c r="F76" s="676">
        <f t="shared" ca="1" si="19"/>
        <v>0</v>
      </c>
      <c r="H76" s="676"/>
      <c r="I76" s="676"/>
      <c r="J76" s="676"/>
      <c r="K76" s="676"/>
      <c r="L76" s="676"/>
      <c r="M76" s="676"/>
      <c r="N76" s="676"/>
      <c r="O76" s="676"/>
      <c r="P76" s="676"/>
      <c r="Q76" s="676"/>
      <c r="R76" s="676"/>
      <c r="S76" s="676"/>
      <c r="T76" s="676">
        <f t="shared" si="12"/>
        <v>0</v>
      </c>
    </row>
    <row r="77" spans="1:20" ht="11.1" customHeight="1">
      <c r="A77" s="653">
        <f>'Budget-合并'!A77</f>
        <v>0</v>
      </c>
      <c r="B77" s="653" t="str">
        <f>'Budget-合并'!B77</f>
        <v xml:space="preserve">    旭智富能02</v>
      </c>
      <c r="C77" s="673" t="str">
        <f>'Budget-合并'!C77</f>
        <v xml:space="preserve">   Foxpower</v>
      </c>
      <c r="D77" s="676">
        <f t="shared" si="18"/>
        <v>0</v>
      </c>
      <c r="F77" s="676">
        <f t="shared" ca="1" si="19"/>
        <v>0</v>
      </c>
      <c r="H77" s="676"/>
      <c r="I77" s="676"/>
      <c r="J77" s="676"/>
      <c r="K77" s="676"/>
      <c r="L77" s="676"/>
      <c r="M77" s="676"/>
      <c r="N77" s="676"/>
      <c r="O77" s="676"/>
      <c r="P77" s="676"/>
      <c r="Q77" s="676"/>
      <c r="R77" s="676"/>
      <c r="S77" s="676"/>
      <c r="T77" s="676">
        <f t="shared" si="12"/>
        <v>0</v>
      </c>
    </row>
    <row r="78" spans="1:20" ht="11.1" customHeight="1">
      <c r="A78" s="653">
        <f>'Budget-合并'!A78</f>
        <v>0</v>
      </c>
      <c r="B78" s="653" t="str">
        <f>'Budget-合并'!B78</f>
        <v xml:space="preserve">    其他项目02</v>
      </c>
      <c r="C78" s="673" t="str">
        <f>'Budget-合并'!C78</f>
        <v xml:space="preserve">   Other project</v>
      </c>
      <c r="D78" s="676">
        <f t="shared" si="18"/>
        <v>0</v>
      </c>
      <c r="F78" s="676">
        <f t="shared" ca="1" si="19"/>
        <v>0</v>
      </c>
      <c r="H78" s="676"/>
      <c r="I78" s="676"/>
      <c r="J78" s="676"/>
      <c r="K78" s="676"/>
      <c r="L78" s="676"/>
      <c r="M78" s="676"/>
      <c r="N78" s="676"/>
      <c r="O78" s="676"/>
      <c r="P78" s="676"/>
      <c r="Q78" s="676"/>
      <c r="R78" s="676"/>
      <c r="S78" s="676"/>
      <c r="T78" s="676">
        <f t="shared" si="12"/>
        <v>0</v>
      </c>
    </row>
    <row r="79" spans="1:20" ht="11.1" customHeight="1">
      <c r="A79" s="653" t="str">
        <f>'Budget-合并'!A79</f>
        <v>6602.07</v>
      </c>
      <c r="B79" s="653" t="str">
        <f>'Budget-合并'!B79</f>
        <v>广告费和业务宣传费</v>
      </c>
      <c r="C79" s="673">
        <f>'Budget-合并'!C79</f>
        <v>0</v>
      </c>
      <c r="D79" s="676">
        <f t="shared" si="18"/>
        <v>0</v>
      </c>
      <c r="F79" s="676">
        <f t="shared" ca="1" si="19"/>
        <v>0</v>
      </c>
      <c r="H79" s="676"/>
      <c r="I79" s="676"/>
      <c r="J79" s="676"/>
      <c r="K79" s="676"/>
      <c r="L79" s="676"/>
      <c r="M79" s="676"/>
      <c r="N79" s="676"/>
      <c r="O79" s="676"/>
      <c r="P79" s="676"/>
      <c r="Q79" s="676"/>
      <c r="R79" s="676"/>
      <c r="S79" s="676"/>
      <c r="T79" s="676">
        <f t="shared" si="12"/>
        <v>0</v>
      </c>
    </row>
    <row r="80" spans="1:20" ht="11.1" customHeight="1">
      <c r="A80" s="663" t="str">
        <f>'Budget-合并'!A80</f>
        <v>6602.08</v>
      </c>
      <c r="B80" s="678" t="str">
        <f>'Budget-合并'!B80</f>
        <v>事务费用</v>
      </c>
      <c r="C80" s="673">
        <f>'Budget-合并'!C80</f>
        <v>0</v>
      </c>
      <c r="D80" s="676">
        <f t="shared" si="18"/>
        <v>0</v>
      </c>
      <c r="F80" s="676">
        <f t="shared" ca="1" si="19"/>
        <v>0</v>
      </c>
      <c r="H80" s="676">
        <f t="shared" ref="H80:S80" si="27">SUM(H81:H91)</f>
        <v>0</v>
      </c>
      <c r="I80" s="676">
        <f t="shared" si="27"/>
        <v>0</v>
      </c>
      <c r="J80" s="676">
        <f t="shared" si="27"/>
        <v>0</v>
      </c>
      <c r="K80" s="676">
        <f t="shared" si="27"/>
        <v>0</v>
      </c>
      <c r="L80" s="676">
        <f t="shared" si="27"/>
        <v>0</v>
      </c>
      <c r="M80" s="676">
        <f t="shared" si="27"/>
        <v>0</v>
      </c>
      <c r="N80" s="676">
        <f t="shared" si="27"/>
        <v>0</v>
      </c>
      <c r="O80" s="676">
        <f t="shared" si="27"/>
        <v>0</v>
      </c>
      <c r="P80" s="676">
        <f t="shared" si="27"/>
        <v>0</v>
      </c>
      <c r="Q80" s="676">
        <f t="shared" si="27"/>
        <v>0</v>
      </c>
      <c r="R80" s="676">
        <f t="shared" si="27"/>
        <v>0</v>
      </c>
      <c r="S80" s="676">
        <f t="shared" si="27"/>
        <v>0</v>
      </c>
      <c r="T80" s="676">
        <f t="shared" si="12"/>
        <v>0</v>
      </c>
    </row>
    <row r="81" spans="1:20" ht="11.1" customHeight="1">
      <c r="A81" s="653" t="str">
        <f>'Budget-合并'!A81</f>
        <v>6602.08.01</v>
      </c>
      <c r="B81" s="653" t="str">
        <f>'Budget-合并'!B81</f>
        <v>通信费</v>
      </c>
      <c r="C81" s="673" t="str">
        <f>'Budget-合并'!C81</f>
        <v>Telephone Monthly/Base Charge</v>
      </c>
      <c r="D81" s="676">
        <f t="shared" si="18"/>
        <v>0</v>
      </c>
      <c r="F81" s="676">
        <f t="shared" ca="1" si="19"/>
        <v>0</v>
      </c>
      <c r="H81" s="676"/>
      <c r="I81" s="676"/>
      <c r="J81" s="676"/>
      <c r="K81" s="676"/>
      <c r="L81" s="676"/>
      <c r="M81" s="676"/>
      <c r="N81" s="676"/>
      <c r="O81" s="676"/>
      <c r="P81" s="676"/>
      <c r="Q81" s="676"/>
      <c r="R81" s="676"/>
      <c r="S81" s="676"/>
      <c r="T81" s="676">
        <f t="shared" si="12"/>
        <v>0</v>
      </c>
    </row>
    <row r="82" spans="1:20" ht="11.1" customHeight="1">
      <c r="A82" s="653" t="str">
        <f>'Budget-合并'!A82</f>
        <v>6602.08.02</v>
      </c>
      <c r="B82" s="653" t="str">
        <f>'Budget-合并'!B82</f>
        <v>电脑软件费</v>
      </c>
      <c r="C82" s="673" t="str">
        <f>'Budget-合并'!C82</f>
        <v xml:space="preserve">PC Software </v>
      </c>
      <c r="D82" s="676">
        <f t="shared" si="18"/>
        <v>0</v>
      </c>
      <c r="F82" s="676">
        <f t="shared" ca="1" si="19"/>
        <v>0</v>
      </c>
      <c r="H82" s="676"/>
      <c r="I82" s="676"/>
      <c r="J82" s="676"/>
      <c r="K82" s="676"/>
      <c r="L82" s="676"/>
      <c r="M82" s="676"/>
      <c r="N82" s="676"/>
      <c r="O82" s="676"/>
      <c r="P82" s="676"/>
      <c r="Q82" s="676"/>
      <c r="R82" s="676"/>
      <c r="S82" s="676"/>
      <c r="T82" s="676">
        <f t="shared" si="12"/>
        <v>0</v>
      </c>
    </row>
    <row r="83" spans="1:20" ht="12.95" customHeight="1">
      <c r="A83" s="653" t="str">
        <f>'Budget-合并'!A83</f>
        <v>6602.08.03</v>
      </c>
      <c r="B83" s="653" t="str">
        <f>'Budget-合并'!B83</f>
        <v>办公用品</v>
      </c>
      <c r="C83" s="673" t="str">
        <f>'Budget-合并'!C83</f>
        <v xml:space="preserve">Office Supplies </v>
      </c>
      <c r="D83" s="676">
        <f t="shared" si="18"/>
        <v>0</v>
      </c>
      <c r="F83" s="676">
        <f t="shared" ca="1" si="19"/>
        <v>0</v>
      </c>
      <c r="H83" s="676"/>
      <c r="I83" s="676"/>
      <c r="J83" s="676"/>
      <c r="K83" s="676"/>
      <c r="L83" s="676"/>
      <c r="M83" s="676"/>
      <c r="N83" s="676"/>
      <c r="O83" s="676"/>
      <c r="P83" s="676"/>
      <c r="Q83" s="676"/>
      <c r="R83" s="676"/>
      <c r="S83" s="676"/>
      <c r="T83" s="676">
        <f t="shared" si="12"/>
        <v>0</v>
      </c>
    </row>
    <row r="84" spans="1:20" ht="11.1" customHeight="1">
      <c r="A84" s="653" t="str">
        <f>'Budget-合并'!A84</f>
        <v>6602.08.04</v>
      </c>
      <c r="B84" s="653" t="str">
        <f>'Budget-合并'!B84</f>
        <v>事务保金</v>
      </c>
      <c r="C84" s="673" t="str">
        <f>'Budget-合并'!C84</f>
        <v>Other Insurance</v>
      </c>
      <c r="D84" s="676">
        <f t="shared" si="18"/>
        <v>0</v>
      </c>
      <c r="F84" s="676">
        <f t="shared" ca="1" si="19"/>
        <v>0</v>
      </c>
      <c r="H84" s="676"/>
      <c r="I84" s="676"/>
      <c r="J84" s="676"/>
      <c r="K84" s="676"/>
      <c r="L84" s="676"/>
      <c r="M84" s="676"/>
      <c r="N84" s="676"/>
      <c r="O84" s="676"/>
      <c r="P84" s="676"/>
      <c r="Q84" s="676"/>
      <c r="R84" s="676"/>
      <c r="S84" s="676"/>
      <c r="T84" s="676">
        <f t="shared" si="12"/>
        <v>0</v>
      </c>
    </row>
    <row r="85" spans="1:20" ht="11.1" customHeight="1">
      <c r="A85" s="653" t="str">
        <f>'Budget-合并'!A85</f>
        <v>6602.08.05</v>
      </c>
      <c r="B85" s="653" t="str">
        <f>'Budget-合并'!B85</f>
        <v>邮费/邮递费</v>
      </c>
      <c r="C85" s="673" t="str">
        <f>'Budget-合并'!C85</f>
        <v>Postage / Freight / Delivery</v>
      </c>
      <c r="D85" s="676">
        <f t="shared" si="18"/>
        <v>0</v>
      </c>
      <c r="F85" s="676">
        <f t="shared" ca="1" si="19"/>
        <v>0</v>
      </c>
      <c r="H85" s="676"/>
      <c r="I85" s="676"/>
      <c r="J85" s="676"/>
      <c r="K85" s="676"/>
      <c r="L85" s="676"/>
      <c r="M85" s="676"/>
      <c r="N85" s="676"/>
      <c r="O85" s="676"/>
      <c r="P85" s="676"/>
      <c r="Q85" s="676"/>
      <c r="R85" s="676"/>
      <c r="S85" s="676"/>
      <c r="T85" s="676">
        <f t="shared" si="12"/>
        <v>0</v>
      </c>
    </row>
    <row r="86" spans="1:20" ht="11.1" customHeight="1">
      <c r="A86" s="653" t="str">
        <f>'Budget-合并'!A86</f>
        <v>6602.08.06</v>
      </c>
      <c r="B86" s="653" t="str">
        <f>'Budget-合并'!B86</f>
        <v>IT专业人士及微软服务</v>
      </c>
      <c r="C86" s="673" t="str">
        <f>'Budget-合并'!C86</f>
        <v xml:space="preserve">IT Professional &amp; MS Services </v>
      </c>
      <c r="D86" s="676">
        <f t="shared" si="18"/>
        <v>0</v>
      </c>
      <c r="F86" s="676">
        <f t="shared" ca="1" si="19"/>
        <v>0</v>
      </c>
      <c r="H86" s="676"/>
      <c r="I86" s="676"/>
      <c r="J86" s="676"/>
      <c r="K86" s="676"/>
      <c r="L86" s="676"/>
      <c r="M86" s="676"/>
      <c r="N86" s="676"/>
      <c r="O86" s="676"/>
      <c r="P86" s="676"/>
      <c r="Q86" s="676"/>
      <c r="R86" s="676"/>
      <c r="S86" s="676"/>
      <c r="T86" s="676">
        <f t="shared" si="12"/>
        <v>0</v>
      </c>
    </row>
    <row r="87" spans="1:20" ht="11.1" customHeight="1">
      <c r="A87" s="653" t="str">
        <f>'Budget-合并'!A87</f>
        <v>6602.08.07</v>
      </c>
      <c r="B87" s="653" t="str">
        <f>'Budget-合并'!B87</f>
        <v>软件许可证费用</v>
      </c>
      <c r="C87" s="673" t="str">
        <f>'Budget-合并'!C87</f>
        <v xml:space="preserve">Software Licence Fee Exp </v>
      </c>
      <c r="D87" s="676">
        <f t="shared" si="18"/>
        <v>0</v>
      </c>
      <c r="F87" s="676">
        <f t="shared" ca="1" si="19"/>
        <v>0</v>
      </c>
      <c r="H87" s="676"/>
      <c r="I87" s="676"/>
      <c r="J87" s="676"/>
      <c r="K87" s="676"/>
      <c r="L87" s="676"/>
      <c r="M87" s="676"/>
      <c r="N87" s="676"/>
      <c r="O87" s="676"/>
      <c r="P87" s="676"/>
      <c r="Q87" s="676"/>
      <c r="R87" s="676"/>
      <c r="S87" s="676"/>
      <c r="T87" s="676">
        <f t="shared" ref="T87:T150" si="28">SUM(H87:S87)</f>
        <v>0</v>
      </c>
    </row>
    <row r="88" spans="1:20" ht="11.1" customHeight="1">
      <c r="A88" s="653" t="str">
        <f>'Budget-合并'!A88</f>
        <v>6602.08.08</v>
      </c>
      <c r="B88" s="653" t="str">
        <f>'Budget-合并'!B88</f>
        <v>软件使用费</v>
      </c>
      <c r="C88" s="673">
        <f>'Budget-合并'!C88</f>
        <v>0</v>
      </c>
      <c r="D88" s="676">
        <f t="shared" si="18"/>
        <v>0</v>
      </c>
      <c r="F88" s="676">
        <f t="shared" ca="1" si="19"/>
        <v>0</v>
      </c>
      <c r="H88" s="676"/>
      <c r="I88" s="676"/>
      <c r="J88" s="676"/>
      <c r="K88" s="676"/>
      <c r="L88" s="676"/>
      <c r="M88" s="676"/>
      <c r="N88" s="676"/>
      <c r="O88" s="676"/>
      <c r="P88" s="676"/>
      <c r="Q88" s="676"/>
      <c r="R88" s="676"/>
      <c r="S88" s="676"/>
      <c r="T88" s="676">
        <f t="shared" si="28"/>
        <v>0</v>
      </c>
    </row>
    <row r="89" spans="1:20" ht="11.1" customHeight="1">
      <c r="A89" s="653" t="str">
        <f>'Budget-合并'!A89</f>
        <v>6602.08.09</v>
      </c>
      <c r="B89" s="653" t="str">
        <f>'Budget-合并'!B89</f>
        <v>清洁服务</v>
      </c>
      <c r="C89" s="673">
        <f>'Budget-合并'!C89</f>
        <v>0</v>
      </c>
      <c r="D89" s="676">
        <f t="shared" si="18"/>
        <v>0</v>
      </c>
      <c r="F89" s="676">
        <f t="shared" ca="1" si="19"/>
        <v>0</v>
      </c>
      <c r="H89" s="676"/>
      <c r="I89" s="676"/>
      <c r="J89" s="676"/>
      <c r="K89" s="676"/>
      <c r="L89" s="676"/>
      <c r="M89" s="676"/>
      <c r="N89" s="676"/>
      <c r="O89" s="676"/>
      <c r="P89" s="676"/>
      <c r="Q89" s="676"/>
      <c r="R89" s="676"/>
      <c r="S89" s="676"/>
      <c r="T89" s="676">
        <f t="shared" si="28"/>
        <v>0</v>
      </c>
    </row>
    <row r="90" spans="1:20" ht="11.1" customHeight="1">
      <c r="A90" s="653" t="str">
        <f>'Budget-合并'!A90</f>
        <v>6602.08.10</v>
      </c>
      <c r="B90" s="653" t="str">
        <f>'Budget-合并'!B90</f>
        <v>电话国际直拨/电话会议收费</v>
      </c>
      <c r="C90" s="673" t="str">
        <f>'Budget-合并'!C90</f>
        <v>Telephone IDD/Teleconf Charge</v>
      </c>
      <c r="D90" s="676">
        <f t="shared" si="18"/>
        <v>0</v>
      </c>
      <c r="F90" s="676">
        <f t="shared" ca="1" si="19"/>
        <v>0</v>
      </c>
      <c r="H90" s="676"/>
      <c r="I90" s="676"/>
      <c r="J90" s="676"/>
      <c r="K90" s="676"/>
      <c r="L90" s="676"/>
      <c r="M90" s="676"/>
      <c r="N90" s="676"/>
      <c r="O90" s="676"/>
      <c r="P90" s="676"/>
      <c r="Q90" s="676"/>
      <c r="R90" s="676"/>
      <c r="S90" s="676"/>
      <c r="T90" s="676">
        <f t="shared" si="28"/>
        <v>0</v>
      </c>
    </row>
    <row r="91" spans="1:20" ht="11.1" customHeight="1">
      <c r="A91" s="653" t="str">
        <f>'Budget-合并'!A91</f>
        <v>6602.08.99</v>
      </c>
      <c r="B91" s="653" t="str">
        <f>'Budget-合并'!B91</f>
        <v>其他</v>
      </c>
      <c r="C91" s="673">
        <f>'Budget-合并'!C91</f>
        <v>0</v>
      </c>
      <c r="D91" s="676">
        <f t="shared" si="18"/>
        <v>0</v>
      </c>
      <c r="F91" s="676">
        <f t="shared" ca="1" si="19"/>
        <v>0</v>
      </c>
      <c r="H91" s="676"/>
      <c r="I91" s="676"/>
      <c r="J91" s="676"/>
      <c r="K91" s="676"/>
      <c r="L91" s="676"/>
      <c r="M91" s="676"/>
      <c r="N91" s="676"/>
      <c r="O91" s="676"/>
      <c r="P91" s="676"/>
      <c r="Q91" s="676"/>
      <c r="R91" s="676"/>
      <c r="S91" s="676"/>
      <c r="T91" s="676">
        <f t="shared" si="28"/>
        <v>0</v>
      </c>
    </row>
    <row r="92" spans="1:20" ht="11.1" customHeight="1">
      <c r="A92" s="663" t="str">
        <f>'Budget-合并'!A92</f>
        <v>6602.09</v>
      </c>
      <c r="B92" s="678" t="str">
        <f>'Budget-合并'!B92</f>
        <v>差旅费</v>
      </c>
      <c r="C92" s="673">
        <f>'Budget-合并'!C92</f>
        <v>0</v>
      </c>
      <c r="D92" s="676">
        <f t="shared" si="18"/>
        <v>0</v>
      </c>
      <c r="F92" s="676">
        <f t="shared" ca="1" si="19"/>
        <v>0</v>
      </c>
      <c r="H92" s="676">
        <f t="shared" ref="H92:S92" si="29">SUM(H93,H97,H101,H105,H109,H113,H117,H118,H122,H126)</f>
        <v>0</v>
      </c>
      <c r="I92" s="676">
        <f t="shared" si="29"/>
        <v>0</v>
      </c>
      <c r="J92" s="676">
        <f t="shared" si="29"/>
        <v>0</v>
      </c>
      <c r="K92" s="676">
        <f t="shared" si="29"/>
        <v>0</v>
      </c>
      <c r="L92" s="676">
        <f t="shared" si="29"/>
        <v>0</v>
      </c>
      <c r="M92" s="676">
        <f t="shared" si="29"/>
        <v>0</v>
      </c>
      <c r="N92" s="676">
        <f t="shared" si="29"/>
        <v>0</v>
      </c>
      <c r="O92" s="676">
        <f t="shared" si="29"/>
        <v>0</v>
      </c>
      <c r="P92" s="676">
        <f t="shared" si="29"/>
        <v>0</v>
      </c>
      <c r="Q92" s="676">
        <f t="shared" si="29"/>
        <v>0</v>
      </c>
      <c r="R92" s="676">
        <f t="shared" si="29"/>
        <v>0</v>
      </c>
      <c r="S92" s="676">
        <f t="shared" si="29"/>
        <v>0</v>
      </c>
      <c r="T92" s="676">
        <f t="shared" si="28"/>
        <v>0</v>
      </c>
    </row>
    <row r="93" spans="1:20" ht="11.1" customHeight="1">
      <c r="A93" s="653" t="str">
        <f>'Budget-合并'!A93</f>
        <v>6602.09.01</v>
      </c>
      <c r="B93" s="653" t="str">
        <f>'Budget-合并'!B93</f>
        <v>住宿费</v>
      </c>
      <c r="C93" s="673" t="str">
        <f>'Budget-合并'!C93</f>
        <v>Travel Lodging</v>
      </c>
      <c r="D93" s="676">
        <f t="shared" si="18"/>
        <v>0</v>
      </c>
      <c r="F93" s="676">
        <f t="shared" ca="1" si="19"/>
        <v>0</v>
      </c>
      <c r="H93" s="676">
        <f t="shared" ref="H93:S93" si="30">SUM(H94:H96)</f>
        <v>0</v>
      </c>
      <c r="I93" s="676">
        <f t="shared" si="30"/>
        <v>0</v>
      </c>
      <c r="J93" s="676">
        <f t="shared" si="30"/>
        <v>0</v>
      </c>
      <c r="K93" s="676">
        <f t="shared" si="30"/>
        <v>0</v>
      </c>
      <c r="L93" s="676">
        <f t="shared" si="30"/>
        <v>0</v>
      </c>
      <c r="M93" s="676">
        <f t="shared" si="30"/>
        <v>0</v>
      </c>
      <c r="N93" s="676">
        <f t="shared" si="30"/>
        <v>0</v>
      </c>
      <c r="O93" s="676">
        <f t="shared" si="30"/>
        <v>0</v>
      </c>
      <c r="P93" s="676">
        <f t="shared" si="30"/>
        <v>0</v>
      </c>
      <c r="Q93" s="676">
        <f t="shared" si="30"/>
        <v>0</v>
      </c>
      <c r="R93" s="676">
        <f t="shared" si="30"/>
        <v>0</v>
      </c>
      <c r="S93" s="676">
        <f t="shared" si="30"/>
        <v>0</v>
      </c>
      <c r="T93" s="676">
        <f t="shared" si="28"/>
        <v>0</v>
      </c>
    </row>
    <row r="94" spans="1:20" ht="11.1" customHeight="1">
      <c r="A94" s="653">
        <f>'Budget-合并'!A94</f>
        <v>0</v>
      </c>
      <c r="B94" s="653" t="str">
        <f>'Budget-合并'!B94</f>
        <v xml:space="preserve">    公司主体03</v>
      </c>
      <c r="C94" s="673" t="str">
        <f>'Budget-合并'!C94</f>
        <v xml:space="preserve">   Entity</v>
      </c>
      <c r="D94" s="676">
        <f t="shared" si="18"/>
        <v>0</v>
      </c>
      <c r="F94" s="676">
        <f t="shared" ca="1" si="19"/>
        <v>0</v>
      </c>
      <c r="H94" s="676"/>
      <c r="I94" s="676"/>
      <c r="J94" s="676"/>
      <c r="K94" s="676"/>
      <c r="L94" s="676"/>
      <c r="M94" s="676"/>
      <c r="N94" s="676"/>
      <c r="O94" s="676"/>
      <c r="P94" s="676"/>
      <c r="Q94" s="676"/>
      <c r="R94" s="676"/>
      <c r="S94" s="676"/>
      <c r="T94" s="676">
        <f t="shared" si="28"/>
        <v>0</v>
      </c>
    </row>
    <row r="95" spans="1:20" ht="11.1" customHeight="1">
      <c r="A95" s="653">
        <f>'Budget-合并'!A95</f>
        <v>0</v>
      </c>
      <c r="B95" s="653" t="str">
        <f>'Budget-合并'!B95</f>
        <v xml:space="preserve">    旭智富能03</v>
      </c>
      <c r="C95" s="673" t="str">
        <f>'Budget-合并'!C95</f>
        <v xml:space="preserve">   Foxpower</v>
      </c>
      <c r="D95" s="676">
        <f t="shared" si="18"/>
        <v>0</v>
      </c>
      <c r="F95" s="676">
        <f t="shared" ca="1" si="19"/>
        <v>0</v>
      </c>
      <c r="H95" s="676"/>
      <c r="I95" s="676"/>
      <c r="J95" s="676"/>
      <c r="K95" s="676"/>
      <c r="L95" s="676"/>
      <c r="M95" s="676"/>
      <c r="N95" s="676"/>
      <c r="O95" s="676"/>
      <c r="P95" s="676"/>
      <c r="Q95" s="676"/>
      <c r="R95" s="676"/>
      <c r="S95" s="676"/>
      <c r="T95" s="676">
        <f t="shared" si="28"/>
        <v>0</v>
      </c>
    </row>
    <row r="96" spans="1:20" ht="11.1" customHeight="1">
      <c r="A96" s="653">
        <f>'Budget-合并'!A96</f>
        <v>0</v>
      </c>
      <c r="B96" s="653" t="str">
        <f>'Budget-合并'!B96</f>
        <v xml:space="preserve">    其他项目03</v>
      </c>
      <c r="C96" s="673" t="str">
        <f>'Budget-合并'!C96</f>
        <v xml:space="preserve">   Other project</v>
      </c>
      <c r="D96" s="676">
        <f t="shared" si="18"/>
        <v>0</v>
      </c>
      <c r="F96" s="676">
        <f t="shared" ca="1" si="19"/>
        <v>0</v>
      </c>
      <c r="H96" s="676"/>
      <c r="I96" s="676"/>
      <c r="J96" s="676"/>
      <c r="K96" s="676"/>
      <c r="L96" s="676"/>
      <c r="M96" s="676"/>
      <c r="N96" s="676"/>
      <c r="O96" s="676"/>
      <c r="P96" s="676"/>
      <c r="Q96" s="676"/>
      <c r="R96" s="676"/>
      <c r="S96" s="676"/>
      <c r="T96" s="676">
        <f t="shared" si="28"/>
        <v>0</v>
      </c>
    </row>
    <row r="97" spans="1:20" ht="11.1" customHeight="1">
      <c r="A97" s="653" t="str">
        <f>'Budget-合并'!A97</f>
        <v>6602.09.02</v>
      </c>
      <c r="B97" s="653" t="str">
        <f>'Budget-合并'!B97</f>
        <v>伙食费</v>
      </c>
      <c r="C97" s="673">
        <f>'Budget-合并'!C97</f>
        <v>0</v>
      </c>
      <c r="D97" s="676">
        <f t="shared" si="18"/>
        <v>0</v>
      </c>
      <c r="F97" s="676">
        <f t="shared" ca="1" si="19"/>
        <v>0</v>
      </c>
      <c r="H97" s="676">
        <f t="shared" ref="H97:S97" si="31">SUM(H98:H100)</f>
        <v>0</v>
      </c>
      <c r="I97" s="676">
        <f t="shared" si="31"/>
        <v>0</v>
      </c>
      <c r="J97" s="676">
        <f t="shared" si="31"/>
        <v>0</v>
      </c>
      <c r="K97" s="676">
        <f t="shared" si="31"/>
        <v>0</v>
      </c>
      <c r="L97" s="676">
        <f t="shared" si="31"/>
        <v>0</v>
      </c>
      <c r="M97" s="676">
        <f t="shared" si="31"/>
        <v>0</v>
      </c>
      <c r="N97" s="676">
        <f t="shared" si="31"/>
        <v>0</v>
      </c>
      <c r="O97" s="676">
        <f t="shared" si="31"/>
        <v>0</v>
      </c>
      <c r="P97" s="676">
        <f t="shared" si="31"/>
        <v>0</v>
      </c>
      <c r="Q97" s="676">
        <f t="shared" si="31"/>
        <v>0</v>
      </c>
      <c r="R97" s="676">
        <f t="shared" si="31"/>
        <v>0</v>
      </c>
      <c r="S97" s="676">
        <f t="shared" si="31"/>
        <v>0</v>
      </c>
      <c r="T97" s="676">
        <f t="shared" si="28"/>
        <v>0</v>
      </c>
    </row>
    <row r="98" spans="1:20" ht="11.1" customHeight="1">
      <c r="A98" s="653">
        <f>'Budget-合并'!A98</f>
        <v>0</v>
      </c>
      <c r="B98" s="653" t="str">
        <f>'Budget-合并'!B98</f>
        <v xml:space="preserve">    公司主体04</v>
      </c>
      <c r="C98" s="673" t="str">
        <f>'Budget-合并'!C98</f>
        <v xml:space="preserve">   Entity</v>
      </c>
      <c r="D98" s="676">
        <f t="shared" si="18"/>
        <v>0</v>
      </c>
      <c r="F98" s="676">
        <f t="shared" ca="1" si="19"/>
        <v>0</v>
      </c>
      <c r="H98" s="676"/>
      <c r="I98" s="676"/>
      <c r="J98" s="676"/>
      <c r="K98" s="676"/>
      <c r="L98" s="676"/>
      <c r="M98" s="676"/>
      <c r="N98" s="676"/>
      <c r="O98" s="676"/>
      <c r="P98" s="676"/>
      <c r="Q98" s="676"/>
      <c r="R98" s="676"/>
      <c r="S98" s="676"/>
      <c r="T98" s="676">
        <f t="shared" si="28"/>
        <v>0</v>
      </c>
    </row>
    <row r="99" spans="1:20" ht="11.1" customHeight="1">
      <c r="A99" s="653">
        <f>'Budget-合并'!A99</f>
        <v>0</v>
      </c>
      <c r="B99" s="653" t="str">
        <f>'Budget-合并'!B99</f>
        <v xml:space="preserve">    旭智富能04</v>
      </c>
      <c r="C99" s="673" t="str">
        <f>'Budget-合并'!C99</f>
        <v xml:space="preserve">   Foxpower</v>
      </c>
      <c r="D99" s="676">
        <f t="shared" si="18"/>
        <v>0</v>
      </c>
      <c r="F99" s="676">
        <f t="shared" ca="1" si="19"/>
        <v>0</v>
      </c>
      <c r="H99" s="676"/>
      <c r="I99" s="676"/>
      <c r="J99" s="676"/>
      <c r="K99" s="676"/>
      <c r="L99" s="676"/>
      <c r="M99" s="676"/>
      <c r="N99" s="676"/>
      <c r="O99" s="676"/>
      <c r="P99" s="676"/>
      <c r="Q99" s="676"/>
      <c r="R99" s="676"/>
      <c r="S99" s="676"/>
      <c r="T99" s="676">
        <f t="shared" si="28"/>
        <v>0</v>
      </c>
    </row>
    <row r="100" spans="1:20" ht="11.1" customHeight="1">
      <c r="A100" s="653">
        <f>'Budget-合并'!A100</f>
        <v>0</v>
      </c>
      <c r="B100" s="653" t="str">
        <f>'Budget-合并'!B100</f>
        <v xml:space="preserve">    其他项目04</v>
      </c>
      <c r="C100" s="673" t="str">
        <f>'Budget-合并'!C100</f>
        <v xml:space="preserve">   Other project</v>
      </c>
      <c r="D100" s="676">
        <f t="shared" si="18"/>
        <v>0</v>
      </c>
      <c r="F100" s="676">
        <f t="shared" ca="1" si="19"/>
        <v>0</v>
      </c>
      <c r="H100" s="676"/>
      <c r="I100" s="676"/>
      <c r="J100" s="676"/>
      <c r="K100" s="676"/>
      <c r="L100" s="676"/>
      <c r="M100" s="676"/>
      <c r="N100" s="676"/>
      <c r="O100" s="676"/>
      <c r="P100" s="676"/>
      <c r="Q100" s="676"/>
      <c r="R100" s="676"/>
      <c r="S100" s="676"/>
      <c r="T100" s="676">
        <f t="shared" si="28"/>
        <v>0</v>
      </c>
    </row>
    <row r="101" spans="1:20" ht="11.1" customHeight="1">
      <c r="A101" s="653" t="str">
        <f>'Budget-合并'!A101</f>
        <v>6602.09.03</v>
      </c>
      <c r="B101" s="653" t="str">
        <f>'Budget-合并'!B101</f>
        <v>地面交通费</v>
      </c>
      <c r="C101" s="673" t="str">
        <f>'Budget-合并'!C101</f>
        <v>Travel Ground Transport - Outstation</v>
      </c>
      <c r="D101" s="676">
        <f t="shared" si="18"/>
        <v>0</v>
      </c>
      <c r="F101" s="676">
        <f t="shared" ca="1" si="19"/>
        <v>0</v>
      </c>
      <c r="H101" s="676">
        <f t="shared" ref="H101:S101" si="32">SUM(H102:H104)</f>
        <v>0</v>
      </c>
      <c r="I101" s="676">
        <f t="shared" si="32"/>
        <v>0</v>
      </c>
      <c r="J101" s="676">
        <f t="shared" si="32"/>
        <v>0</v>
      </c>
      <c r="K101" s="676">
        <f t="shared" si="32"/>
        <v>0</v>
      </c>
      <c r="L101" s="676">
        <f t="shared" si="32"/>
        <v>0</v>
      </c>
      <c r="M101" s="676">
        <f t="shared" si="32"/>
        <v>0</v>
      </c>
      <c r="N101" s="676">
        <f t="shared" si="32"/>
        <v>0</v>
      </c>
      <c r="O101" s="676">
        <f t="shared" si="32"/>
        <v>0</v>
      </c>
      <c r="P101" s="676">
        <f t="shared" si="32"/>
        <v>0</v>
      </c>
      <c r="Q101" s="676">
        <f t="shared" si="32"/>
        <v>0</v>
      </c>
      <c r="R101" s="676">
        <f t="shared" si="32"/>
        <v>0</v>
      </c>
      <c r="S101" s="676">
        <f t="shared" si="32"/>
        <v>0</v>
      </c>
      <c r="T101" s="676">
        <f t="shared" si="28"/>
        <v>0</v>
      </c>
    </row>
    <row r="102" spans="1:20" ht="11.1" customHeight="1">
      <c r="A102" s="653">
        <f>'Budget-合并'!A102</f>
        <v>0</v>
      </c>
      <c r="B102" s="653" t="str">
        <f>'Budget-合并'!B102</f>
        <v xml:space="preserve">    公司主体05</v>
      </c>
      <c r="C102" s="673" t="str">
        <f>'Budget-合并'!C102</f>
        <v xml:space="preserve">   Entity</v>
      </c>
      <c r="D102" s="676">
        <f t="shared" si="18"/>
        <v>0</v>
      </c>
      <c r="F102" s="676">
        <f t="shared" ca="1" si="19"/>
        <v>0</v>
      </c>
      <c r="H102" s="676"/>
      <c r="I102" s="676"/>
      <c r="J102" s="676"/>
      <c r="K102" s="676"/>
      <c r="L102" s="676"/>
      <c r="M102" s="676"/>
      <c r="N102" s="676"/>
      <c r="O102" s="676"/>
      <c r="P102" s="676"/>
      <c r="Q102" s="676"/>
      <c r="R102" s="676"/>
      <c r="S102" s="676"/>
      <c r="T102" s="676">
        <f t="shared" si="28"/>
        <v>0</v>
      </c>
    </row>
    <row r="103" spans="1:20" ht="11.1" customHeight="1">
      <c r="A103" s="653">
        <f>'Budget-合并'!A103</f>
        <v>0</v>
      </c>
      <c r="B103" s="653" t="str">
        <f>'Budget-合并'!B103</f>
        <v xml:space="preserve">    旭智富能05</v>
      </c>
      <c r="C103" s="673" t="str">
        <f>'Budget-合并'!C103</f>
        <v xml:space="preserve">   Foxpower</v>
      </c>
      <c r="D103" s="676">
        <f t="shared" si="18"/>
        <v>0</v>
      </c>
      <c r="F103" s="676">
        <f t="shared" ca="1" si="19"/>
        <v>0</v>
      </c>
      <c r="H103" s="676"/>
      <c r="I103" s="676"/>
      <c r="J103" s="676"/>
      <c r="K103" s="676"/>
      <c r="L103" s="676"/>
      <c r="M103" s="676"/>
      <c r="N103" s="676"/>
      <c r="O103" s="676"/>
      <c r="P103" s="676"/>
      <c r="Q103" s="676"/>
      <c r="R103" s="676"/>
      <c r="S103" s="676"/>
      <c r="T103" s="676">
        <f t="shared" si="28"/>
        <v>0</v>
      </c>
    </row>
    <row r="104" spans="1:20" ht="11.1" customHeight="1">
      <c r="A104" s="653">
        <f>'Budget-合并'!A104</f>
        <v>0</v>
      </c>
      <c r="B104" s="653" t="str">
        <f>'Budget-合并'!B104</f>
        <v xml:space="preserve">    其他项目05</v>
      </c>
      <c r="C104" s="673" t="str">
        <f>'Budget-合并'!C104</f>
        <v xml:space="preserve">   Other project</v>
      </c>
      <c r="D104" s="676">
        <f t="shared" si="18"/>
        <v>0</v>
      </c>
      <c r="F104" s="676">
        <f t="shared" ca="1" si="19"/>
        <v>0</v>
      </c>
      <c r="H104" s="676"/>
      <c r="I104" s="676"/>
      <c r="J104" s="676"/>
      <c r="K104" s="676"/>
      <c r="L104" s="676"/>
      <c r="M104" s="676"/>
      <c r="N104" s="676"/>
      <c r="O104" s="676"/>
      <c r="P104" s="676"/>
      <c r="Q104" s="676"/>
      <c r="R104" s="676"/>
      <c r="S104" s="676"/>
      <c r="T104" s="676">
        <f t="shared" si="28"/>
        <v>0</v>
      </c>
    </row>
    <row r="105" spans="1:20" ht="11.1" customHeight="1">
      <c r="A105" s="653" t="str">
        <f>'Budget-合并'!A105</f>
        <v>6602.09.04</v>
      </c>
      <c r="B105" s="653" t="str">
        <f>'Budget-合并'!B105</f>
        <v>空中交通费</v>
      </c>
      <c r="C105" s="673" t="str">
        <f>'Budget-合并'!C105</f>
        <v>Travel Air Transport</v>
      </c>
      <c r="D105" s="676">
        <f t="shared" si="18"/>
        <v>0</v>
      </c>
      <c r="F105" s="676">
        <f t="shared" ca="1" si="19"/>
        <v>0</v>
      </c>
      <c r="H105" s="676">
        <f t="shared" ref="H105:S105" si="33">SUM(H106:H108)</f>
        <v>0</v>
      </c>
      <c r="I105" s="676">
        <f t="shared" si="33"/>
        <v>0</v>
      </c>
      <c r="J105" s="676">
        <f t="shared" si="33"/>
        <v>0</v>
      </c>
      <c r="K105" s="676">
        <f t="shared" si="33"/>
        <v>0</v>
      </c>
      <c r="L105" s="676">
        <f t="shared" si="33"/>
        <v>0</v>
      </c>
      <c r="M105" s="676">
        <f t="shared" si="33"/>
        <v>0</v>
      </c>
      <c r="N105" s="676">
        <f t="shared" si="33"/>
        <v>0</v>
      </c>
      <c r="O105" s="676">
        <f t="shared" si="33"/>
        <v>0</v>
      </c>
      <c r="P105" s="676">
        <f t="shared" si="33"/>
        <v>0</v>
      </c>
      <c r="Q105" s="676">
        <f t="shared" si="33"/>
        <v>0</v>
      </c>
      <c r="R105" s="676">
        <f t="shared" si="33"/>
        <v>0</v>
      </c>
      <c r="S105" s="676">
        <f t="shared" si="33"/>
        <v>0</v>
      </c>
      <c r="T105" s="676">
        <f t="shared" si="28"/>
        <v>0</v>
      </c>
    </row>
    <row r="106" spans="1:20" ht="11.1" customHeight="1">
      <c r="A106" s="653">
        <f>'Budget-合并'!A106</f>
        <v>0</v>
      </c>
      <c r="B106" s="653" t="str">
        <f>'Budget-合并'!B106</f>
        <v xml:space="preserve">    公司主体06</v>
      </c>
      <c r="C106" s="673" t="str">
        <f>'Budget-合并'!C106</f>
        <v xml:space="preserve">   Entity</v>
      </c>
      <c r="D106" s="676">
        <f t="shared" si="18"/>
        <v>0</v>
      </c>
      <c r="F106" s="676">
        <f t="shared" ca="1" si="19"/>
        <v>0</v>
      </c>
      <c r="H106" s="676"/>
      <c r="I106" s="676"/>
      <c r="J106" s="676"/>
      <c r="K106" s="676"/>
      <c r="L106" s="676"/>
      <c r="M106" s="676"/>
      <c r="N106" s="676"/>
      <c r="O106" s="676"/>
      <c r="P106" s="676"/>
      <c r="Q106" s="676"/>
      <c r="R106" s="676"/>
      <c r="S106" s="676"/>
      <c r="T106" s="676">
        <f t="shared" si="28"/>
        <v>0</v>
      </c>
    </row>
    <row r="107" spans="1:20" ht="11.1" customHeight="1">
      <c r="A107" s="653">
        <f>'Budget-合并'!A107</f>
        <v>0</v>
      </c>
      <c r="B107" s="653" t="str">
        <f>'Budget-合并'!B107</f>
        <v xml:space="preserve">    旭智富能06</v>
      </c>
      <c r="C107" s="673" t="str">
        <f>'Budget-合并'!C107</f>
        <v xml:space="preserve">   Foxpower</v>
      </c>
      <c r="D107" s="676">
        <f t="shared" si="18"/>
        <v>0</v>
      </c>
      <c r="F107" s="676">
        <f t="shared" ca="1" si="19"/>
        <v>0</v>
      </c>
      <c r="H107" s="676"/>
      <c r="I107" s="676"/>
      <c r="J107" s="676"/>
      <c r="K107" s="676"/>
      <c r="L107" s="676"/>
      <c r="M107" s="676"/>
      <c r="N107" s="676"/>
      <c r="O107" s="676"/>
      <c r="P107" s="676"/>
      <c r="Q107" s="676"/>
      <c r="R107" s="676"/>
      <c r="S107" s="676"/>
      <c r="T107" s="676">
        <f t="shared" si="28"/>
        <v>0</v>
      </c>
    </row>
    <row r="108" spans="1:20" ht="11.1" customHeight="1">
      <c r="A108" s="653">
        <f>'Budget-合并'!A108</f>
        <v>0</v>
      </c>
      <c r="B108" s="653" t="str">
        <f>'Budget-合并'!B108</f>
        <v xml:space="preserve">    其他项目06</v>
      </c>
      <c r="C108" s="673" t="str">
        <f>'Budget-合并'!C108</f>
        <v xml:space="preserve">   Other project</v>
      </c>
      <c r="D108" s="676">
        <f t="shared" ref="D108:D153" si="34">INDEX($H$8:$S$8,1,MATCH($D$6,$H$6:$S$6))</f>
        <v>0</v>
      </c>
      <c r="F108" s="676">
        <f t="shared" ref="F108:F153" ca="1" si="35">SUM($H108:OFFSET($H108,0,MATCH(F$6,$H$6:$S$6)-1))</f>
        <v>0</v>
      </c>
      <c r="H108" s="676"/>
      <c r="I108" s="676"/>
      <c r="J108" s="676"/>
      <c r="K108" s="676"/>
      <c r="L108" s="676"/>
      <c r="M108" s="676"/>
      <c r="N108" s="676"/>
      <c r="O108" s="676"/>
      <c r="P108" s="676"/>
      <c r="Q108" s="676"/>
      <c r="R108" s="676"/>
      <c r="S108" s="676"/>
      <c r="T108" s="676">
        <f t="shared" si="28"/>
        <v>0</v>
      </c>
    </row>
    <row r="109" spans="1:20" ht="11.1" customHeight="1">
      <c r="A109" s="653" t="str">
        <f>'Budget-合并'!A109</f>
        <v>6602.09.05</v>
      </c>
      <c r="B109" s="653" t="str">
        <f>'Budget-合并'!B109</f>
        <v>租车</v>
      </c>
      <c r="C109" s="673">
        <f>'Budget-合并'!C109</f>
        <v>0</v>
      </c>
      <c r="D109" s="676">
        <f t="shared" si="34"/>
        <v>0</v>
      </c>
      <c r="F109" s="676">
        <f t="shared" ca="1" si="35"/>
        <v>0</v>
      </c>
      <c r="H109" s="676">
        <f t="shared" ref="H109:S109" si="36">SUM(H110:H112)</f>
        <v>0</v>
      </c>
      <c r="I109" s="676">
        <f t="shared" si="36"/>
        <v>0</v>
      </c>
      <c r="J109" s="676">
        <f t="shared" si="36"/>
        <v>0</v>
      </c>
      <c r="K109" s="676">
        <f t="shared" si="36"/>
        <v>0</v>
      </c>
      <c r="L109" s="676">
        <f t="shared" si="36"/>
        <v>0</v>
      </c>
      <c r="M109" s="676">
        <f t="shared" si="36"/>
        <v>0</v>
      </c>
      <c r="N109" s="676">
        <f t="shared" si="36"/>
        <v>0</v>
      </c>
      <c r="O109" s="676">
        <f t="shared" si="36"/>
        <v>0</v>
      </c>
      <c r="P109" s="676">
        <f t="shared" si="36"/>
        <v>0</v>
      </c>
      <c r="Q109" s="676">
        <f t="shared" si="36"/>
        <v>0</v>
      </c>
      <c r="R109" s="676">
        <f t="shared" si="36"/>
        <v>0</v>
      </c>
      <c r="S109" s="676">
        <f t="shared" si="36"/>
        <v>0</v>
      </c>
      <c r="T109" s="676">
        <f t="shared" si="28"/>
        <v>0</v>
      </c>
    </row>
    <row r="110" spans="1:20" ht="11.1" customHeight="1">
      <c r="A110" s="653">
        <f>'Budget-合并'!A110</f>
        <v>0</v>
      </c>
      <c r="B110" s="653" t="str">
        <f>'Budget-合并'!B110</f>
        <v xml:space="preserve">    公司主体07</v>
      </c>
      <c r="C110" s="673" t="str">
        <f>'Budget-合并'!C110</f>
        <v xml:space="preserve">   Entity</v>
      </c>
      <c r="D110" s="676">
        <f t="shared" si="34"/>
        <v>0</v>
      </c>
      <c r="F110" s="676">
        <f t="shared" ca="1" si="35"/>
        <v>0</v>
      </c>
      <c r="H110" s="676"/>
      <c r="I110" s="676"/>
      <c r="J110" s="676"/>
      <c r="K110" s="676"/>
      <c r="L110" s="676"/>
      <c r="M110" s="676"/>
      <c r="N110" s="676"/>
      <c r="O110" s="676"/>
      <c r="P110" s="676"/>
      <c r="Q110" s="676"/>
      <c r="R110" s="676"/>
      <c r="S110" s="676"/>
      <c r="T110" s="676">
        <f t="shared" si="28"/>
        <v>0</v>
      </c>
    </row>
    <row r="111" spans="1:20" ht="11.1" customHeight="1">
      <c r="A111" s="653">
        <f>'Budget-合并'!A111</f>
        <v>0</v>
      </c>
      <c r="B111" s="653" t="str">
        <f>'Budget-合并'!B111</f>
        <v xml:space="preserve">    旭智富能07</v>
      </c>
      <c r="C111" s="673" t="str">
        <f>'Budget-合并'!C111</f>
        <v xml:space="preserve">   Foxpower</v>
      </c>
      <c r="D111" s="676">
        <f t="shared" si="34"/>
        <v>0</v>
      </c>
      <c r="F111" s="676">
        <f t="shared" ca="1" si="35"/>
        <v>0</v>
      </c>
      <c r="H111" s="676"/>
      <c r="I111" s="676"/>
      <c r="J111" s="676"/>
      <c r="K111" s="676"/>
      <c r="L111" s="676"/>
      <c r="M111" s="676"/>
      <c r="N111" s="676"/>
      <c r="O111" s="676"/>
      <c r="P111" s="676"/>
      <c r="Q111" s="676"/>
      <c r="R111" s="676"/>
      <c r="S111" s="676"/>
      <c r="T111" s="676">
        <f t="shared" si="28"/>
        <v>0</v>
      </c>
    </row>
    <row r="112" spans="1:20" ht="11.1" customHeight="1">
      <c r="A112" s="653">
        <f>'Budget-合并'!A112</f>
        <v>0</v>
      </c>
      <c r="B112" s="653" t="str">
        <f>'Budget-合并'!B112</f>
        <v xml:space="preserve">    其他项目07</v>
      </c>
      <c r="C112" s="673" t="str">
        <f>'Budget-合并'!C112</f>
        <v xml:space="preserve">   Other project</v>
      </c>
      <c r="D112" s="676">
        <f t="shared" si="34"/>
        <v>0</v>
      </c>
      <c r="F112" s="676">
        <f t="shared" ca="1" si="35"/>
        <v>0</v>
      </c>
      <c r="H112" s="676"/>
      <c r="I112" s="676"/>
      <c r="J112" s="676"/>
      <c r="K112" s="676"/>
      <c r="L112" s="676"/>
      <c r="M112" s="676"/>
      <c r="N112" s="676"/>
      <c r="O112" s="676"/>
      <c r="P112" s="676"/>
      <c r="Q112" s="676"/>
      <c r="R112" s="676"/>
      <c r="S112" s="676"/>
      <c r="T112" s="676">
        <f t="shared" si="28"/>
        <v>0</v>
      </c>
    </row>
    <row r="113" spans="1:20" ht="11.1" customHeight="1">
      <c r="A113" s="653" t="str">
        <f>'Budget-合并'!A113</f>
        <v>6602.09.06</v>
      </c>
      <c r="B113" s="653" t="str">
        <f>'Budget-合并'!B113</f>
        <v>其他汽车费用</v>
      </c>
      <c r="C113" s="673">
        <f>'Budget-合并'!C113</f>
        <v>0</v>
      </c>
      <c r="D113" s="676">
        <f t="shared" si="34"/>
        <v>0</v>
      </c>
      <c r="F113" s="676">
        <f t="shared" ca="1" si="35"/>
        <v>0</v>
      </c>
      <c r="H113" s="676">
        <f t="shared" ref="H113:S113" si="37">SUM(H114:H116)</f>
        <v>0</v>
      </c>
      <c r="I113" s="676">
        <f t="shared" si="37"/>
        <v>0</v>
      </c>
      <c r="J113" s="676">
        <f t="shared" si="37"/>
        <v>0</v>
      </c>
      <c r="K113" s="676">
        <f t="shared" si="37"/>
        <v>0</v>
      </c>
      <c r="L113" s="676">
        <f t="shared" si="37"/>
        <v>0</v>
      </c>
      <c r="M113" s="676">
        <f t="shared" si="37"/>
        <v>0</v>
      </c>
      <c r="N113" s="676">
        <f t="shared" si="37"/>
        <v>0</v>
      </c>
      <c r="O113" s="676">
        <f t="shared" si="37"/>
        <v>0</v>
      </c>
      <c r="P113" s="676">
        <f t="shared" si="37"/>
        <v>0</v>
      </c>
      <c r="Q113" s="676">
        <f t="shared" si="37"/>
        <v>0</v>
      </c>
      <c r="R113" s="676">
        <f t="shared" si="37"/>
        <v>0</v>
      </c>
      <c r="S113" s="676">
        <f t="shared" si="37"/>
        <v>0</v>
      </c>
      <c r="T113" s="676">
        <f t="shared" si="28"/>
        <v>0</v>
      </c>
    </row>
    <row r="114" spans="1:20" ht="11.1" customHeight="1">
      <c r="A114" s="653">
        <f>'Budget-合并'!A114</f>
        <v>0</v>
      </c>
      <c r="B114" s="653" t="str">
        <f>'Budget-合并'!B114</f>
        <v xml:space="preserve">    公司主体08</v>
      </c>
      <c r="C114" s="673" t="str">
        <f>'Budget-合并'!C114</f>
        <v xml:space="preserve">   Entity</v>
      </c>
      <c r="D114" s="676">
        <f t="shared" si="34"/>
        <v>0</v>
      </c>
      <c r="F114" s="676">
        <f t="shared" ca="1" si="35"/>
        <v>0</v>
      </c>
      <c r="H114" s="676"/>
      <c r="I114" s="676"/>
      <c r="J114" s="676"/>
      <c r="K114" s="676"/>
      <c r="L114" s="676"/>
      <c r="M114" s="676"/>
      <c r="N114" s="676"/>
      <c r="O114" s="676"/>
      <c r="P114" s="676"/>
      <c r="Q114" s="676"/>
      <c r="R114" s="676"/>
      <c r="S114" s="676"/>
      <c r="T114" s="676">
        <f t="shared" si="28"/>
        <v>0</v>
      </c>
    </row>
    <row r="115" spans="1:20" ht="11.1" customHeight="1">
      <c r="A115" s="653">
        <f>'Budget-合并'!A115</f>
        <v>0</v>
      </c>
      <c r="B115" s="653" t="str">
        <f>'Budget-合并'!B115</f>
        <v xml:space="preserve">    旭智富能08</v>
      </c>
      <c r="C115" s="673" t="str">
        <f>'Budget-合并'!C115</f>
        <v xml:space="preserve">   Foxpower</v>
      </c>
      <c r="D115" s="676">
        <f t="shared" si="34"/>
        <v>0</v>
      </c>
      <c r="F115" s="676">
        <f t="shared" ca="1" si="35"/>
        <v>0</v>
      </c>
      <c r="H115" s="676"/>
      <c r="I115" s="676"/>
      <c r="J115" s="676"/>
      <c r="K115" s="676"/>
      <c r="L115" s="676"/>
      <c r="M115" s="676"/>
      <c r="N115" s="676"/>
      <c r="O115" s="676"/>
      <c r="P115" s="676"/>
      <c r="Q115" s="676"/>
      <c r="R115" s="676"/>
      <c r="S115" s="676"/>
      <c r="T115" s="676">
        <f t="shared" si="28"/>
        <v>0</v>
      </c>
    </row>
    <row r="116" spans="1:20" ht="11.1" customHeight="1">
      <c r="A116" s="653">
        <f>'Budget-合并'!A116</f>
        <v>0</v>
      </c>
      <c r="B116" s="653" t="str">
        <f>'Budget-合并'!B116</f>
        <v xml:space="preserve">    其他项目08</v>
      </c>
      <c r="C116" s="673" t="str">
        <f>'Budget-合并'!C116</f>
        <v xml:space="preserve">   Other project</v>
      </c>
      <c r="D116" s="676">
        <f t="shared" si="34"/>
        <v>0</v>
      </c>
      <c r="F116" s="676">
        <f t="shared" ca="1" si="35"/>
        <v>0</v>
      </c>
      <c r="H116" s="676"/>
      <c r="I116" s="676"/>
      <c r="J116" s="676"/>
      <c r="K116" s="676"/>
      <c r="L116" s="676"/>
      <c r="M116" s="676"/>
      <c r="N116" s="676"/>
      <c r="O116" s="676"/>
      <c r="P116" s="676"/>
      <c r="Q116" s="676"/>
      <c r="R116" s="676"/>
      <c r="S116" s="676"/>
      <c r="T116" s="676">
        <f t="shared" si="28"/>
        <v>0</v>
      </c>
    </row>
    <row r="117" spans="1:20" ht="11.1" customHeight="1">
      <c r="A117" s="653" t="str">
        <f>'Budget-合并'!A117</f>
        <v>6602.09.07</v>
      </c>
      <c r="B117" s="653" t="str">
        <f>'Budget-合并'!B117</f>
        <v>检测费</v>
      </c>
      <c r="C117" s="673">
        <f>'Budget-合并'!C117</f>
        <v>0</v>
      </c>
      <c r="D117" s="676">
        <f t="shared" si="34"/>
        <v>0</v>
      </c>
      <c r="F117" s="676">
        <f t="shared" ca="1" si="35"/>
        <v>0</v>
      </c>
      <c r="H117" s="676"/>
      <c r="I117" s="676"/>
      <c r="J117" s="676"/>
      <c r="K117" s="676"/>
      <c r="L117" s="676"/>
      <c r="M117" s="676"/>
      <c r="N117" s="676"/>
      <c r="O117" s="676"/>
      <c r="P117" s="676"/>
      <c r="Q117" s="676"/>
      <c r="R117" s="676"/>
      <c r="S117" s="676"/>
      <c r="T117" s="676">
        <f t="shared" si="28"/>
        <v>0</v>
      </c>
    </row>
    <row r="118" spans="1:20" ht="11.1" customHeight="1">
      <c r="A118" s="653" t="str">
        <f>'Budget-合并'!A118</f>
        <v>6602.09.08</v>
      </c>
      <c r="B118" s="653" t="str">
        <f>'Budget-合并'!B118</f>
        <v>退改费用（机票/火车等）</v>
      </c>
      <c r="C118" s="673">
        <f>'Budget-合并'!C118</f>
        <v>0</v>
      </c>
      <c r="D118" s="676">
        <f t="shared" si="34"/>
        <v>0</v>
      </c>
      <c r="F118" s="676">
        <f t="shared" ca="1" si="35"/>
        <v>0</v>
      </c>
      <c r="H118" s="676">
        <f t="shared" ref="H118:S118" si="38">SUM(H119:H121)</f>
        <v>0</v>
      </c>
      <c r="I118" s="676">
        <f t="shared" si="38"/>
        <v>0</v>
      </c>
      <c r="J118" s="676">
        <f t="shared" si="38"/>
        <v>0</v>
      </c>
      <c r="K118" s="676">
        <f t="shared" si="38"/>
        <v>0</v>
      </c>
      <c r="L118" s="676">
        <f t="shared" si="38"/>
        <v>0</v>
      </c>
      <c r="M118" s="676">
        <f t="shared" si="38"/>
        <v>0</v>
      </c>
      <c r="N118" s="676">
        <f t="shared" si="38"/>
        <v>0</v>
      </c>
      <c r="O118" s="676">
        <f t="shared" si="38"/>
        <v>0</v>
      </c>
      <c r="P118" s="676">
        <f t="shared" si="38"/>
        <v>0</v>
      </c>
      <c r="Q118" s="676">
        <f t="shared" si="38"/>
        <v>0</v>
      </c>
      <c r="R118" s="676">
        <f t="shared" si="38"/>
        <v>0</v>
      </c>
      <c r="S118" s="676">
        <f t="shared" si="38"/>
        <v>0</v>
      </c>
      <c r="T118" s="676">
        <f t="shared" si="28"/>
        <v>0</v>
      </c>
    </row>
    <row r="119" spans="1:20" ht="11.1" customHeight="1">
      <c r="A119" s="653">
        <f>'Budget-合并'!A119</f>
        <v>0</v>
      </c>
      <c r="B119" s="653" t="str">
        <f>'Budget-合并'!B119</f>
        <v xml:space="preserve">    公司主体09</v>
      </c>
      <c r="C119" s="673" t="str">
        <f>'Budget-合并'!C119</f>
        <v xml:space="preserve">   Entity</v>
      </c>
      <c r="D119" s="676">
        <f t="shared" si="34"/>
        <v>0</v>
      </c>
      <c r="F119" s="676">
        <f t="shared" ca="1" si="35"/>
        <v>0</v>
      </c>
      <c r="H119" s="676"/>
      <c r="I119" s="676"/>
      <c r="J119" s="676"/>
      <c r="K119" s="676"/>
      <c r="L119" s="676"/>
      <c r="M119" s="676"/>
      <c r="N119" s="676"/>
      <c r="O119" s="676"/>
      <c r="P119" s="676"/>
      <c r="Q119" s="676"/>
      <c r="R119" s="676"/>
      <c r="S119" s="676"/>
      <c r="T119" s="676">
        <f t="shared" si="28"/>
        <v>0</v>
      </c>
    </row>
    <row r="120" spans="1:20" ht="11.1" customHeight="1">
      <c r="A120" s="653">
        <f>'Budget-合并'!A120</f>
        <v>0</v>
      </c>
      <c r="B120" s="653" t="str">
        <f>'Budget-合并'!B120</f>
        <v xml:space="preserve">    旭智富能09</v>
      </c>
      <c r="C120" s="673" t="str">
        <f>'Budget-合并'!C120</f>
        <v xml:space="preserve">   Foxpower</v>
      </c>
      <c r="D120" s="676">
        <f t="shared" si="34"/>
        <v>0</v>
      </c>
      <c r="F120" s="676">
        <f t="shared" ca="1" si="35"/>
        <v>0</v>
      </c>
      <c r="H120" s="676"/>
      <c r="I120" s="676"/>
      <c r="J120" s="676"/>
      <c r="K120" s="676"/>
      <c r="L120" s="676"/>
      <c r="M120" s="676"/>
      <c r="N120" s="676"/>
      <c r="O120" s="676"/>
      <c r="P120" s="676"/>
      <c r="Q120" s="676"/>
      <c r="R120" s="676"/>
      <c r="S120" s="676"/>
      <c r="T120" s="676">
        <f t="shared" si="28"/>
        <v>0</v>
      </c>
    </row>
    <row r="121" spans="1:20" ht="11.1" customHeight="1">
      <c r="A121" s="653">
        <f>'Budget-合并'!A121</f>
        <v>0</v>
      </c>
      <c r="B121" s="653" t="str">
        <f>'Budget-合并'!B121</f>
        <v xml:space="preserve">    其他项目09</v>
      </c>
      <c r="C121" s="673" t="str">
        <f>'Budget-合并'!C121</f>
        <v xml:space="preserve">   Other project</v>
      </c>
      <c r="D121" s="676">
        <f t="shared" si="34"/>
        <v>0</v>
      </c>
      <c r="F121" s="676">
        <f t="shared" ca="1" si="35"/>
        <v>0</v>
      </c>
      <c r="H121" s="676"/>
      <c r="I121" s="676"/>
      <c r="J121" s="676"/>
      <c r="K121" s="676"/>
      <c r="L121" s="676"/>
      <c r="M121" s="676"/>
      <c r="N121" s="676"/>
      <c r="O121" s="676"/>
      <c r="P121" s="676"/>
      <c r="Q121" s="676"/>
      <c r="R121" s="676"/>
      <c r="S121" s="676"/>
      <c r="T121" s="676">
        <f t="shared" si="28"/>
        <v>0</v>
      </c>
    </row>
    <row r="122" spans="1:20" ht="11.1" customHeight="1">
      <c r="A122" s="653" t="str">
        <f>'Budget-合并'!A122</f>
        <v>6602.09.09</v>
      </c>
      <c r="B122" s="653" t="str">
        <f>'Budget-合并'!B122</f>
        <v>携程服务费</v>
      </c>
      <c r="C122" s="673">
        <f>'Budget-合并'!C122</f>
        <v>0</v>
      </c>
      <c r="D122" s="676">
        <f t="shared" si="34"/>
        <v>0</v>
      </c>
      <c r="F122" s="676">
        <f t="shared" ca="1" si="35"/>
        <v>0</v>
      </c>
      <c r="H122" s="676">
        <f t="shared" ref="H122:S122" si="39">SUM(H123:H125)</f>
        <v>0</v>
      </c>
      <c r="I122" s="676">
        <f t="shared" si="39"/>
        <v>0</v>
      </c>
      <c r="J122" s="676">
        <f t="shared" si="39"/>
        <v>0</v>
      </c>
      <c r="K122" s="676">
        <f t="shared" si="39"/>
        <v>0</v>
      </c>
      <c r="L122" s="676">
        <f t="shared" si="39"/>
        <v>0</v>
      </c>
      <c r="M122" s="676">
        <f t="shared" si="39"/>
        <v>0</v>
      </c>
      <c r="N122" s="676">
        <f t="shared" si="39"/>
        <v>0</v>
      </c>
      <c r="O122" s="676">
        <f t="shared" si="39"/>
        <v>0</v>
      </c>
      <c r="P122" s="676">
        <f t="shared" si="39"/>
        <v>0</v>
      </c>
      <c r="Q122" s="676">
        <f t="shared" si="39"/>
        <v>0</v>
      </c>
      <c r="R122" s="676">
        <f t="shared" si="39"/>
        <v>0</v>
      </c>
      <c r="S122" s="676">
        <f t="shared" si="39"/>
        <v>0</v>
      </c>
      <c r="T122" s="676">
        <f t="shared" si="28"/>
        <v>0</v>
      </c>
    </row>
    <row r="123" spans="1:20" ht="11.1" customHeight="1">
      <c r="A123" s="653">
        <f>'Budget-合并'!A123</f>
        <v>0</v>
      </c>
      <c r="B123" s="653" t="str">
        <f>'Budget-合并'!B123</f>
        <v xml:space="preserve">    公司主体10</v>
      </c>
      <c r="C123" s="673" t="str">
        <f>'Budget-合并'!C123</f>
        <v xml:space="preserve">   Entity</v>
      </c>
      <c r="D123" s="676">
        <f t="shared" si="34"/>
        <v>0</v>
      </c>
      <c r="F123" s="676">
        <f t="shared" ca="1" si="35"/>
        <v>0</v>
      </c>
      <c r="H123" s="676"/>
      <c r="I123" s="676"/>
      <c r="J123" s="676"/>
      <c r="K123" s="676"/>
      <c r="L123" s="676"/>
      <c r="M123" s="676"/>
      <c r="N123" s="676"/>
      <c r="O123" s="676"/>
      <c r="P123" s="676"/>
      <c r="Q123" s="676"/>
      <c r="R123" s="676"/>
      <c r="S123" s="676"/>
      <c r="T123" s="676">
        <f t="shared" si="28"/>
        <v>0</v>
      </c>
    </row>
    <row r="124" spans="1:20" ht="11.1" customHeight="1">
      <c r="A124" s="653">
        <f>'Budget-合并'!A124</f>
        <v>0</v>
      </c>
      <c r="B124" s="653" t="str">
        <f>'Budget-合并'!B124</f>
        <v xml:space="preserve">    旭智富能10</v>
      </c>
      <c r="C124" s="673" t="str">
        <f>'Budget-合并'!C124</f>
        <v xml:space="preserve">   Foxpower</v>
      </c>
      <c r="D124" s="676">
        <f t="shared" si="34"/>
        <v>0</v>
      </c>
      <c r="F124" s="676">
        <f t="shared" ca="1" si="35"/>
        <v>0</v>
      </c>
      <c r="H124" s="676"/>
      <c r="I124" s="676"/>
      <c r="J124" s="676"/>
      <c r="K124" s="676"/>
      <c r="L124" s="676"/>
      <c r="M124" s="676"/>
      <c r="N124" s="676"/>
      <c r="O124" s="676"/>
      <c r="P124" s="676"/>
      <c r="Q124" s="676"/>
      <c r="R124" s="676"/>
      <c r="S124" s="676"/>
      <c r="T124" s="676">
        <f t="shared" si="28"/>
        <v>0</v>
      </c>
    </row>
    <row r="125" spans="1:20" ht="11.1" customHeight="1">
      <c r="A125" s="653">
        <f>'Budget-合并'!A125</f>
        <v>0</v>
      </c>
      <c r="B125" s="653" t="str">
        <f>'Budget-合并'!B125</f>
        <v xml:space="preserve">    其他项目10</v>
      </c>
      <c r="C125" s="673" t="str">
        <f>'Budget-合并'!C125</f>
        <v xml:space="preserve">   Other project</v>
      </c>
      <c r="D125" s="676">
        <f t="shared" si="34"/>
        <v>0</v>
      </c>
      <c r="F125" s="676">
        <f t="shared" ca="1" si="35"/>
        <v>0</v>
      </c>
      <c r="H125" s="676"/>
      <c r="I125" s="676"/>
      <c r="J125" s="676"/>
      <c r="K125" s="676"/>
      <c r="L125" s="676"/>
      <c r="M125" s="676"/>
      <c r="N125" s="676"/>
      <c r="O125" s="676"/>
      <c r="P125" s="676"/>
      <c r="Q125" s="676"/>
      <c r="R125" s="676"/>
      <c r="S125" s="676"/>
      <c r="T125" s="676">
        <f t="shared" si="28"/>
        <v>0</v>
      </c>
    </row>
    <row r="126" spans="1:20" ht="11.1" customHeight="1">
      <c r="A126" s="653" t="str">
        <f>'Budget-合并'!A126</f>
        <v>6602.09.99</v>
      </c>
      <c r="B126" s="653" t="str">
        <f>'Budget-合并'!B126</f>
        <v>其他</v>
      </c>
      <c r="C126" s="673" t="str">
        <f>'Budget-合并'!C126</f>
        <v>Travel Other</v>
      </c>
      <c r="D126" s="676">
        <f t="shared" si="34"/>
        <v>0</v>
      </c>
      <c r="F126" s="676">
        <f t="shared" ca="1" si="35"/>
        <v>0</v>
      </c>
      <c r="H126" s="676"/>
      <c r="I126" s="676"/>
      <c r="J126" s="676"/>
      <c r="K126" s="676"/>
      <c r="L126" s="676"/>
      <c r="M126" s="676"/>
      <c r="N126" s="676"/>
      <c r="O126" s="676"/>
      <c r="P126" s="676"/>
      <c r="Q126" s="676"/>
      <c r="R126" s="676"/>
      <c r="S126" s="676"/>
      <c r="T126" s="676">
        <f t="shared" si="28"/>
        <v>0</v>
      </c>
    </row>
    <row r="127" spans="1:20" ht="11.1" customHeight="1">
      <c r="A127" s="663" t="str">
        <f>'Budget-合并'!A127</f>
        <v>6602.10</v>
      </c>
      <c r="B127" s="678" t="str">
        <f>'Budget-合并'!B127</f>
        <v>折旧费</v>
      </c>
      <c r="C127" s="673">
        <f>'Budget-合并'!C127</f>
        <v>0</v>
      </c>
      <c r="D127" s="676">
        <f t="shared" si="34"/>
        <v>0</v>
      </c>
      <c r="F127" s="676">
        <f t="shared" ca="1" si="35"/>
        <v>0</v>
      </c>
      <c r="H127" s="676">
        <f t="shared" ref="H127:S127" si="40">SUM(H128:H131)</f>
        <v>0</v>
      </c>
      <c r="I127" s="676">
        <f t="shared" si="40"/>
        <v>0</v>
      </c>
      <c r="J127" s="676">
        <f t="shared" si="40"/>
        <v>0</v>
      </c>
      <c r="K127" s="676">
        <f t="shared" si="40"/>
        <v>0</v>
      </c>
      <c r="L127" s="676">
        <f t="shared" si="40"/>
        <v>0</v>
      </c>
      <c r="M127" s="676">
        <f t="shared" si="40"/>
        <v>0</v>
      </c>
      <c r="N127" s="676">
        <f t="shared" si="40"/>
        <v>0</v>
      </c>
      <c r="O127" s="676">
        <f t="shared" si="40"/>
        <v>0</v>
      </c>
      <c r="P127" s="676">
        <f t="shared" si="40"/>
        <v>0</v>
      </c>
      <c r="Q127" s="676">
        <f t="shared" si="40"/>
        <v>0</v>
      </c>
      <c r="R127" s="676">
        <f t="shared" si="40"/>
        <v>0</v>
      </c>
      <c r="S127" s="676">
        <f t="shared" si="40"/>
        <v>0</v>
      </c>
      <c r="T127" s="676">
        <f t="shared" si="28"/>
        <v>0</v>
      </c>
    </row>
    <row r="128" spans="1:20" ht="11.1" customHeight="1">
      <c r="A128" s="653" t="str">
        <f>'Budget-合并'!A128</f>
        <v>6602.10.01</v>
      </c>
      <c r="B128" s="653" t="str">
        <f>'Budget-合并'!B128</f>
        <v>电子设备</v>
      </c>
      <c r="C128" s="673" t="str">
        <f>'Budget-合并'!C128</f>
        <v>Dep Exp  Computer Equip</v>
      </c>
      <c r="D128" s="676">
        <f t="shared" si="34"/>
        <v>0</v>
      </c>
      <c r="F128" s="676">
        <f t="shared" ca="1" si="35"/>
        <v>0</v>
      </c>
      <c r="H128" s="676"/>
      <c r="I128" s="676"/>
      <c r="J128" s="676"/>
      <c r="K128" s="676"/>
      <c r="L128" s="676"/>
      <c r="M128" s="676"/>
      <c r="N128" s="676"/>
      <c r="O128" s="676"/>
      <c r="P128" s="676"/>
      <c r="Q128" s="676"/>
      <c r="R128" s="676"/>
      <c r="S128" s="676"/>
      <c r="T128" s="676">
        <f t="shared" si="28"/>
        <v>0</v>
      </c>
    </row>
    <row r="129" spans="1:20" ht="11.1" customHeight="1">
      <c r="A129" s="653" t="str">
        <f>'Budget-合并'!A129</f>
        <v>6602.10.02</v>
      </c>
      <c r="B129" s="653" t="str">
        <f>'Budget-合并'!B129</f>
        <v>房屋建筑物</v>
      </c>
      <c r="C129" s="673">
        <f>'Budget-合并'!C129</f>
        <v>0</v>
      </c>
      <c r="D129" s="676">
        <f t="shared" si="34"/>
        <v>0</v>
      </c>
      <c r="F129" s="676">
        <f t="shared" ca="1" si="35"/>
        <v>0</v>
      </c>
      <c r="H129" s="676"/>
      <c r="I129" s="676"/>
      <c r="J129" s="676"/>
      <c r="K129" s="676"/>
      <c r="L129" s="676"/>
      <c r="M129" s="676"/>
      <c r="N129" s="676"/>
      <c r="O129" s="676"/>
      <c r="P129" s="676"/>
      <c r="Q129" s="676"/>
      <c r="R129" s="676"/>
      <c r="S129" s="676"/>
      <c r="T129" s="676">
        <f t="shared" si="28"/>
        <v>0</v>
      </c>
    </row>
    <row r="130" spans="1:20" ht="11.1" customHeight="1">
      <c r="A130" s="653" t="str">
        <f>'Budget-合并'!A130</f>
        <v>6602.10.03</v>
      </c>
      <c r="B130" s="653" t="str">
        <f>'Budget-合并'!B130</f>
        <v>机器设备</v>
      </c>
      <c r="C130" s="673">
        <f>'Budget-合并'!C130</f>
        <v>0</v>
      </c>
      <c r="D130" s="676">
        <f t="shared" si="34"/>
        <v>0</v>
      </c>
      <c r="F130" s="676">
        <f t="shared" ca="1" si="35"/>
        <v>0</v>
      </c>
      <c r="H130" s="676"/>
      <c r="I130" s="676"/>
      <c r="J130" s="676"/>
      <c r="K130" s="676"/>
      <c r="L130" s="676"/>
      <c r="M130" s="676"/>
      <c r="N130" s="676"/>
      <c r="O130" s="676"/>
      <c r="P130" s="676"/>
      <c r="Q130" s="676"/>
      <c r="R130" s="676"/>
      <c r="S130" s="676"/>
      <c r="T130" s="676">
        <f t="shared" si="28"/>
        <v>0</v>
      </c>
    </row>
    <row r="131" spans="1:20" ht="11.1" customHeight="1">
      <c r="A131" s="653" t="str">
        <f>'Budget-合并'!A131</f>
        <v>6602.10.04</v>
      </c>
      <c r="B131" s="653" t="str">
        <f>'Budget-合并'!B131</f>
        <v>家具设备</v>
      </c>
      <c r="C131" s="673" t="str">
        <f>'Budget-合并'!C131</f>
        <v xml:space="preserve">Dep Exp - Other EQ &amp; Furn </v>
      </c>
      <c r="D131" s="676">
        <f t="shared" si="34"/>
        <v>0</v>
      </c>
      <c r="F131" s="676">
        <f t="shared" ca="1" si="35"/>
        <v>0</v>
      </c>
      <c r="H131" s="676"/>
      <c r="I131" s="676"/>
      <c r="J131" s="676"/>
      <c r="K131" s="676"/>
      <c r="L131" s="676"/>
      <c r="M131" s="676"/>
      <c r="N131" s="676"/>
      <c r="O131" s="676"/>
      <c r="P131" s="676"/>
      <c r="Q131" s="676"/>
      <c r="R131" s="676"/>
      <c r="S131" s="676"/>
      <c r="T131" s="676">
        <f t="shared" si="28"/>
        <v>0</v>
      </c>
    </row>
    <row r="132" spans="1:20" ht="11.1" customHeight="1">
      <c r="A132" s="663" t="str">
        <f>'Budget-合并'!A132</f>
        <v>6602.12</v>
      </c>
      <c r="B132" s="678" t="str">
        <f>'Budget-合并'!B132</f>
        <v>使用权资产折旧</v>
      </c>
      <c r="C132" s="673" t="str">
        <f>'Budget-合并'!C132</f>
        <v>Dep Exp - Right of Use Asset</v>
      </c>
      <c r="D132" s="676">
        <f t="shared" si="34"/>
        <v>0</v>
      </c>
      <c r="F132" s="676">
        <f t="shared" ca="1" si="35"/>
        <v>0</v>
      </c>
      <c r="H132" s="676">
        <f t="shared" ref="H132:S132" si="41">SUM(H133,H134,H137)</f>
        <v>0</v>
      </c>
      <c r="I132" s="676">
        <f t="shared" si="41"/>
        <v>0</v>
      </c>
      <c r="J132" s="676">
        <f t="shared" si="41"/>
        <v>0</v>
      </c>
      <c r="K132" s="676">
        <f t="shared" si="41"/>
        <v>0</v>
      </c>
      <c r="L132" s="676">
        <f t="shared" si="41"/>
        <v>0</v>
      </c>
      <c r="M132" s="676">
        <f t="shared" si="41"/>
        <v>0</v>
      </c>
      <c r="N132" s="676">
        <f t="shared" si="41"/>
        <v>0</v>
      </c>
      <c r="O132" s="676">
        <f t="shared" si="41"/>
        <v>0</v>
      </c>
      <c r="P132" s="676">
        <f t="shared" si="41"/>
        <v>0</v>
      </c>
      <c r="Q132" s="676">
        <f t="shared" si="41"/>
        <v>0</v>
      </c>
      <c r="R132" s="676">
        <f t="shared" si="41"/>
        <v>0</v>
      </c>
      <c r="S132" s="676">
        <f t="shared" si="41"/>
        <v>0</v>
      </c>
      <c r="T132" s="676">
        <f t="shared" si="28"/>
        <v>0</v>
      </c>
    </row>
    <row r="133" spans="1:20" ht="11.1" customHeight="1">
      <c r="A133" s="653" t="str">
        <f>'Budget-合并'!A133</f>
        <v>6602.12.01</v>
      </c>
      <c r="B133" s="653" t="str">
        <f>'Budget-合并'!B133</f>
        <v>打印机租赁</v>
      </c>
      <c r="C133" s="673">
        <f>'Budget-合并'!C133</f>
        <v>0</v>
      </c>
      <c r="D133" s="676">
        <f t="shared" si="34"/>
        <v>0</v>
      </c>
      <c r="F133" s="676">
        <f t="shared" ca="1" si="35"/>
        <v>0</v>
      </c>
      <c r="H133" s="676"/>
      <c r="I133" s="676"/>
      <c r="J133" s="676"/>
      <c r="K133" s="676"/>
      <c r="L133" s="676"/>
      <c r="M133" s="676"/>
      <c r="N133" s="676"/>
      <c r="O133" s="676"/>
      <c r="P133" s="676"/>
      <c r="Q133" s="676"/>
      <c r="R133" s="676"/>
      <c r="S133" s="676"/>
      <c r="T133" s="676">
        <f t="shared" si="28"/>
        <v>0</v>
      </c>
    </row>
    <row r="134" spans="1:20" ht="11.1" customHeight="1">
      <c r="A134" s="653" t="str">
        <f>'Budget-合并'!A134</f>
        <v>6602.12.02</v>
      </c>
      <c r="B134" s="653" t="str">
        <f>'Budget-合并'!B134</f>
        <v>办公地址</v>
      </c>
      <c r="C134" s="673">
        <f>'Budget-合并'!C134</f>
        <v>0</v>
      </c>
      <c r="D134" s="676">
        <f t="shared" si="34"/>
        <v>0</v>
      </c>
      <c r="F134" s="676">
        <f t="shared" ca="1" si="35"/>
        <v>0</v>
      </c>
      <c r="H134" s="676">
        <f t="shared" ref="H134:S134" si="42">SUM(H135:H136)</f>
        <v>0</v>
      </c>
      <c r="I134" s="676">
        <f t="shared" si="42"/>
        <v>0</v>
      </c>
      <c r="J134" s="676">
        <f t="shared" si="42"/>
        <v>0</v>
      </c>
      <c r="K134" s="676">
        <f t="shared" si="42"/>
        <v>0</v>
      </c>
      <c r="L134" s="676">
        <f t="shared" si="42"/>
        <v>0</v>
      </c>
      <c r="M134" s="676">
        <f t="shared" si="42"/>
        <v>0</v>
      </c>
      <c r="N134" s="676">
        <f t="shared" si="42"/>
        <v>0</v>
      </c>
      <c r="O134" s="676">
        <f t="shared" si="42"/>
        <v>0</v>
      </c>
      <c r="P134" s="676">
        <f t="shared" si="42"/>
        <v>0</v>
      </c>
      <c r="Q134" s="676">
        <f t="shared" si="42"/>
        <v>0</v>
      </c>
      <c r="R134" s="676">
        <f t="shared" si="42"/>
        <v>0</v>
      </c>
      <c r="S134" s="676">
        <f t="shared" si="42"/>
        <v>0</v>
      </c>
      <c r="T134" s="676">
        <f t="shared" si="28"/>
        <v>0</v>
      </c>
    </row>
    <row r="135" spans="1:20" ht="11.1" customHeight="1">
      <c r="A135" s="653" t="str">
        <f>'Budget-合并'!A135</f>
        <v>6602.12.02.01</v>
      </c>
      <c r="B135" s="653" t="str">
        <f>'Budget-合并'!B135</f>
        <v>旭智咨询--鼎和大厦1606</v>
      </c>
      <c r="C135" s="673">
        <f>'Budget-合并'!C135</f>
        <v>0</v>
      </c>
      <c r="D135" s="676">
        <f t="shared" si="34"/>
        <v>0</v>
      </c>
      <c r="F135" s="676">
        <f t="shared" ca="1" si="35"/>
        <v>0</v>
      </c>
      <c r="H135" s="676"/>
      <c r="I135" s="676"/>
      <c r="J135" s="676"/>
      <c r="K135" s="676"/>
      <c r="L135" s="676"/>
      <c r="M135" s="676"/>
      <c r="N135" s="676"/>
      <c r="O135" s="676"/>
      <c r="P135" s="676"/>
      <c r="Q135" s="676"/>
      <c r="R135" s="676"/>
      <c r="S135" s="676"/>
      <c r="T135" s="676">
        <f t="shared" si="28"/>
        <v>0</v>
      </c>
    </row>
    <row r="136" spans="1:20" ht="11.1" customHeight="1">
      <c r="A136" s="653" t="str">
        <f>'Budget-合并'!A136</f>
        <v>6602.12.02.02</v>
      </c>
      <c r="B136" s="653" t="str">
        <f>'Budget-合并'!B136</f>
        <v>旭智资本（香港）--冯氏大厦</v>
      </c>
      <c r="C136" s="673">
        <f>'Budget-合并'!C136</f>
        <v>0</v>
      </c>
      <c r="D136" s="676">
        <f t="shared" si="34"/>
        <v>0</v>
      </c>
      <c r="F136" s="676">
        <f t="shared" ca="1" si="35"/>
        <v>0</v>
      </c>
      <c r="H136" s="676"/>
      <c r="I136" s="676"/>
      <c r="J136" s="676"/>
      <c r="K136" s="676"/>
      <c r="L136" s="676"/>
      <c r="M136" s="676"/>
      <c r="N136" s="676"/>
      <c r="O136" s="676"/>
      <c r="P136" s="676"/>
      <c r="Q136" s="676"/>
      <c r="R136" s="676"/>
      <c r="S136" s="676"/>
      <c r="T136" s="676">
        <f t="shared" si="28"/>
        <v>0</v>
      </c>
    </row>
    <row r="137" spans="1:20" ht="11.1" customHeight="1">
      <c r="A137" s="653" t="str">
        <f>'Budget-合并'!A137</f>
        <v>6602.12.03</v>
      </c>
      <c r="B137" s="653" t="str">
        <f>'Budget-合并'!B137</f>
        <v>注册地址</v>
      </c>
      <c r="C137" s="673">
        <f>'Budget-合并'!C137</f>
        <v>0</v>
      </c>
      <c r="D137" s="676">
        <f t="shared" si="34"/>
        <v>0</v>
      </c>
      <c r="F137" s="676">
        <f t="shared" ca="1" si="35"/>
        <v>0</v>
      </c>
      <c r="H137" s="676">
        <f t="shared" ref="H137:S137" si="43">SUM(H138:H139)</f>
        <v>0</v>
      </c>
      <c r="I137" s="676">
        <f t="shared" si="43"/>
        <v>0</v>
      </c>
      <c r="J137" s="676">
        <f t="shared" si="43"/>
        <v>0</v>
      </c>
      <c r="K137" s="676">
        <f t="shared" si="43"/>
        <v>0</v>
      </c>
      <c r="L137" s="676">
        <f t="shared" si="43"/>
        <v>0</v>
      </c>
      <c r="M137" s="676">
        <f t="shared" si="43"/>
        <v>0</v>
      </c>
      <c r="N137" s="676">
        <f t="shared" si="43"/>
        <v>0</v>
      </c>
      <c r="O137" s="676">
        <f t="shared" si="43"/>
        <v>0</v>
      </c>
      <c r="P137" s="676">
        <f t="shared" si="43"/>
        <v>0</v>
      </c>
      <c r="Q137" s="676">
        <f t="shared" si="43"/>
        <v>0</v>
      </c>
      <c r="R137" s="676">
        <f t="shared" si="43"/>
        <v>0</v>
      </c>
      <c r="S137" s="676">
        <f t="shared" si="43"/>
        <v>0</v>
      </c>
      <c r="T137" s="676">
        <f t="shared" si="28"/>
        <v>0</v>
      </c>
    </row>
    <row r="138" spans="1:20" ht="11.1" customHeight="1">
      <c r="A138" s="653" t="str">
        <f>'Budget-合并'!A138</f>
        <v>6602.12.03.01</v>
      </c>
      <c r="B138" s="653" t="str">
        <f>'Budget-合并'!B138</f>
        <v>旭智私募--前海壹号B座701E</v>
      </c>
      <c r="C138" s="673">
        <f>'Budget-合并'!C138</f>
        <v>0</v>
      </c>
      <c r="D138" s="676">
        <f t="shared" si="34"/>
        <v>0</v>
      </c>
      <c r="F138" s="676">
        <f t="shared" ca="1" si="35"/>
        <v>0</v>
      </c>
      <c r="H138" s="676"/>
      <c r="I138" s="676"/>
      <c r="J138" s="676"/>
      <c r="K138" s="676"/>
      <c r="L138" s="676"/>
      <c r="M138" s="676"/>
      <c r="N138" s="676"/>
      <c r="O138" s="676"/>
      <c r="P138" s="676"/>
      <c r="Q138" s="676"/>
      <c r="R138" s="676"/>
      <c r="S138" s="676"/>
      <c r="T138" s="676">
        <f t="shared" si="28"/>
        <v>0</v>
      </c>
    </row>
    <row r="139" spans="1:20" ht="11.1" customHeight="1">
      <c r="A139" s="653" t="str">
        <f>'Budget-合并'!A139</f>
        <v>6602.12.03.02</v>
      </c>
      <c r="B139" s="653" t="str">
        <f>'Budget-合并'!B139</f>
        <v>广州旭智--802房F028</v>
      </c>
      <c r="C139" s="673">
        <f>'Budget-合并'!C139</f>
        <v>0</v>
      </c>
      <c r="D139" s="676">
        <f t="shared" si="34"/>
        <v>0</v>
      </c>
      <c r="F139" s="676">
        <f t="shared" ca="1" si="35"/>
        <v>0</v>
      </c>
      <c r="H139" s="676"/>
      <c r="I139" s="676"/>
      <c r="J139" s="676"/>
      <c r="K139" s="676"/>
      <c r="L139" s="676"/>
      <c r="M139" s="676"/>
      <c r="N139" s="676"/>
      <c r="O139" s="676"/>
      <c r="P139" s="676"/>
      <c r="Q139" s="676"/>
      <c r="R139" s="676"/>
      <c r="S139" s="676"/>
      <c r="T139" s="676">
        <f t="shared" si="28"/>
        <v>0</v>
      </c>
    </row>
    <row r="140" spans="1:20" ht="13.5" customHeight="1">
      <c r="A140" s="653" t="str">
        <f>'Budget-合并'!A140</f>
        <v>6602.13</v>
      </c>
      <c r="B140" s="653" t="str">
        <f>'Budget-合并'!B140</f>
        <v>物业管理费</v>
      </c>
      <c r="C140" s="673">
        <f>'Budget-合并'!C140</f>
        <v>0</v>
      </c>
      <c r="D140" s="676">
        <f t="shared" si="34"/>
        <v>0</v>
      </c>
      <c r="F140" s="676">
        <f t="shared" ca="1" si="35"/>
        <v>0</v>
      </c>
      <c r="H140" s="676"/>
      <c r="I140" s="676"/>
      <c r="J140" s="676"/>
      <c r="K140" s="676"/>
      <c r="L140" s="676"/>
      <c r="M140" s="676"/>
      <c r="N140" s="676"/>
      <c r="O140" s="676"/>
      <c r="P140" s="676"/>
      <c r="Q140" s="676"/>
      <c r="R140" s="676"/>
      <c r="S140" s="676"/>
      <c r="T140" s="676">
        <f t="shared" si="28"/>
        <v>0</v>
      </c>
    </row>
    <row r="141" spans="1:20" ht="13.5" customHeight="1">
      <c r="A141" s="653" t="str">
        <f>'Budget-合并'!A141</f>
        <v>6602.14</v>
      </c>
      <c r="B141" s="653" t="str">
        <f>'Budget-合并'!B141</f>
        <v>修理费</v>
      </c>
      <c r="C141" s="673">
        <f>'Budget-合并'!C141</f>
        <v>0</v>
      </c>
      <c r="D141" s="676">
        <f t="shared" si="34"/>
        <v>0</v>
      </c>
      <c r="F141" s="676">
        <f t="shared" ca="1" si="35"/>
        <v>0</v>
      </c>
      <c r="H141" s="676"/>
      <c r="I141" s="676"/>
      <c r="J141" s="676"/>
      <c r="K141" s="676"/>
      <c r="L141" s="676"/>
      <c r="M141" s="676"/>
      <c r="N141" s="676"/>
      <c r="O141" s="676"/>
      <c r="P141" s="676"/>
      <c r="Q141" s="676"/>
      <c r="R141" s="676"/>
      <c r="S141" s="676"/>
      <c r="T141" s="676">
        <f t="shared" si="28"/>
        <v>0</v>
      </c>
    </row>
    <row r="142" spans="1:20" ht="13.5" customHeight="1">
      <c r="A142" s="653" t="str">
        <f>'Budget-合并'!A142</f>
        <v>6602.15</v>
      </c>
      <c r="B142" s="653" t="str">
        <f>'Budget-合并'!B142</f>
        <v>服务费</v>
      </c>
      <c r="C142" s="673" t="str">
        <f>'Budget-合并'!C142</f>
        <v>Professional Fee</v>
      </c>
      <c r="D142" s="676">
        <f t="shared" si="34"/>
        <v>0</v>
      </c>
      <c r="F142" s="676">
        <f t="shared" ca="1" si="35"/>
        <v>0</v>
      </c>
      <c r="H142" s="676"/>
      <c r="I142" s="676"/>
      <c r="J142" s="676"/>
      <c r="K142" s="676"/>
      <c r="L142" s="676"/>
      <c r="M142" s="676"/>
      <c r="N142" s="676"/>
      <c r="O142" s="676"/>
      <c r="P142" s="676"/>
      <c r="Q142" s="676"/>
      <c r="R142" s="676"/>
      <c r="S142" s="676"/>
      <c r="T142" s="676">
        <f t="shared" si="28"/>
        <v>0</v>
      </c>
    </row>
    <row r="143" spans="1:20" ht="13.5" customHeight="1">
      <c r="A143" s="653" t="str">
        <f>'Budget-合并'!A143</f>
        <v>6602.16</v>
      </c>
      <c r="B143" s="653" t="str">
        <f>'Budget-合并'!B143</f>
        <v>董事会费</v>
      </c>
      <c r="C143" s="673" t="str">
        <f>'Budget-合并'!C143</f>
        <v>Internal ACP Meeting</v>
      </c>
      <c r="D143" s="676">
        <f t="shared" si="34"/>
        <v>0</v>
      </c>
      <c r="F143" s="676">
        <f t="shared" ca="1" si="35"/>
        <v>0</v>
      </c>
      <c r="H143" s="676"/>
      <c r="I143" s="676"/>
      <c r="J143" s="676"/>
      <c r="K143" s="676"/>
      <c r="L143" s="676"/>
      <c r="M143" s="676"/>
      <c r="N143" s="676"/>
      <c r="O143" s="676"/>
      <c r="P143" s="676"/>
      <c r="Q143" s="676"/>
      <c r="R143" s="676"/>
      <c r="S143" s="676"/>
      <c r="T143" s="676">
        <f t="shared" si="28"/>
        <v>0</v>
      </c>
    </row>
    <row r="144" spans="1:20" ht="13.5" customHeight="1">
      <c r="A144" s="653" t="str">
        <f>'Budget-合并'!A144</f>
        <v>6602.17</v>
      </c>
      <c r="B144" s="653" t="str">
        <f>'Budget-合并'!B144</f>
        <v>聘请中介机构费</v>
      </c>
      <c r="C144" s="673">
        <f>'Budget-合并'!C144</f>
        <v>0</v>
      </c>
      <c r="D144" s="676">
        <f t="shared" si="34"/>
        <v>0</v>
      </c>
      <c r="F144" s="676">
        <f t="shared" ca="1" si="35"/>
        <v>0</v>
      </c>
      <c r="H144" s="676"/>
      <c r="I144" s="676"/>
      <c r="J144" s="676"/>
      <c r="K144" s="676"/>
      <c r="L144" s="676"/>
      <c r="M144" s="676"/>
      <c r="N144" s="676"/>
      <c r="O144" s="676"/>
      <c r="P144" s="676"/>
      <c r="Q144" s="676"/>
      <c r="R144" s="676"/>
      <c r="S144" s="676"/>
      <c r="T144" s="676">
        <f t="shared" si="28"/>
        <v>0</v>
      </c>
    </row>
    <row r="145" spans="1:20" ht="13.5" customHeight="1">
      <c r="A145" s="653" t="str">
        <f>'Budget-合并'!A145</f>
        <v>6602.18</v>
      </c>
      <c r="B145" s="653" t="str">
        <f>'Budget-合并'!B145</f>
        <v>存货盘亏或盘盈</v>
      </c>
      <c r="C145" s="673">
        <f>'Budget-合并'!C145</f>
        <v>0</v>
      </c>
      <c r="D145" s="676">
        <f t="shared" si="34"/>
        <v>0</v>
      </c>
      <c r="F145" s="676">
        <f t="shared" ca="1" si="35"/>
        <v>0</v>
      </c>
      <c r="H145" s="676"/>
      <c r="I145" s="676"/>
      <c r="J145" s="676"/>
      <c r="K145" s="676"/>
      <c r="L145" s="676"/>
      <c r="M145" s="676"/>
      <c r="N145" s="676"/>
      <c r="O145" s="676"/>
      <c r="P145" s="676"/>
      <c r="Q145" s="676"/>
      <c r="R145" s="676"/>
      <c r="S145" s="676"/>
      <c r="T145" s="676">
        <f t="shared" si="28"/>
        <v>0</v>
      </c>
    </row>
    <row r="146" spans="1:20" ht="13.5" customHeight="1">
      <c r="A146" s="653" t="str">
        <f>'Budget-合并'!A146</f>
        <v>6602.19</v>
      </c>
      <c r="B146" s="653" t="str">
        <f>'Budget-合并'!B146</f>
        <v>会费（公司）</v>
      </c>
      <c r="C146" s="673" t="str">
        <f>'Budget-合并'!C146</f>
        <v>Membership Fee</v>
      </c>
      <c r="D146" s="676">
        <f t="shared" si="34"/>
        <v>0</v>
      </c>
      <c r="F146" s="676">
        <f t="shared" ca="1" si="35"/>
        <v>0</v>
      </c>
      <c r="H146" s="676"/>
      <c r="I146" s="676"/>
      <c r="J146" s="676"/>
      <c r="K146" s="676"/>
      <c r="L146" s="676"/>
      <c r="M146" s="676"/>
      <c r="N146" s="676"/>
      <c r="O146" s="676"/>
      <c r="P146" s="676"/>
      <c r="Q146" s="676"/>
      <c r="R146" s="676"/>
      <c r="S146" s="676"/>
      <c r="T146" s="676">
        <f t="shared" si="28"/>
        <v>0</v>
      </c>
    </row>
    <row r="147" spans="1:20" ht="13.5" customHeight="1">
      <c r="A147" s="653" t="str">
        <f>'Budget-合并'!A147</f>
        <v>6602.20</v>
      </c>
      <c r="B147" s="653" t="str">
        <f>'Budget-合并'!B147</f>
        <v>职工教育经费</v>
      </c>
      <c r="C147" s="673" t="str">
        <f>'Budget-合并'!C147</f>
        <v>Education Assistance</v>
      </c>
      <c r="D147" s="676">
        <f t="shared" si="34"/>
        <v>0</v>
      </c>
      <c r="F147" s="676">
        <f t="shared" ca="1" si="35"/>
        <v>0</v>
      </c>
      <c r="H147" s="676"/>
      <c r="I147" s="676"/>
      <c r="J147" s="676"/>
      <c r="K147" s="676"/>
      <c r="L147" s="676"/>
      <c r="M147" s="676"/>
      <c r="N147" s="676"/>
      <c r="O147" s="676"/>
      <c r="P147" s="676"/>
      <c r="Q147" s="676"/>
      <c r="R147" s="676"/>
      <c r="S147" s="676"/>
      <c r="T147" s="676">
        <f t="shared" si="28"/>
        <v>0</v>
      </c>
    </row>
    <row r="148" spans="1:20" ht="13.5" customHeight="1">
      <c r="A148" s="653" t="str">
        <f>'Budget-合并'!A148</f>
        <v>6602.21</v>
      </c>
      <c r="B148" s="653" t="str">
        <f>'Budget-合并'!B148</f>
        <v>公司秘书费</v>
      </c>
      <c r="C148" s="673" t="str">
        <f>'Budget-合并'!C148</f>
        <v>Corporate Secretarial Fees</v>
      </c>
      <c r="D148" s="676">
        <f t="shared" si="34"/>
        <v>0</v>
      </c>
      <c r="F148" s="676">
        <f t="shared" ca="1" si="35"/>
        <v>0</v>
      </c>
      <c r="H148" s="676"/>
      <c r="I148" s="676"/>
      <c r="J148" s="676"/>
      <c r="K148" s="676"/>
      <c r="L148" s="676"/>
      <c r="M148" s="676"/>
      <c r="N148" s="676"/>
      <c r="O148" s="676"/>
      <c r="P148" s="676"/>
      <c r="Q148" s="676"/>
      <c r="R148" s="676"/>
      <c r="S148" s="676"/>
      <c r="T148" s="676">
        <f t="shared" si="28"/>
        <v>0</v>
      </c>
    </row>
    <row r="149" spans="1:20" ht="13.5" customHeight="1">
      <c r="A149" s="653" t="str">
        <f>'Budget-合并'!A149</f>
        <v>6602.22</v>
      </c>
      <c r="B149" s="653" t="str">
        <f>'Budget-合并'!B149</f>
        <v>工会经费</v>
      </c>
      <c r="C149" s="673">
        <f>'Budget-合并'!C149</f>
        <v>0</v>
      </c>
      <c r="D149" s="676">
        <f t="shared" si="34"/>
        <v>0</v>
      </c>
      <c r="F149" s="676">
        <f t="shared" ca="1" si="35"/>
        <v>0</v>
      </c>
      <c r="H149" s="676"/>
      <c r="I149" s="676"/>
      <c r="J149" s="676"/>
      <c r="K149" s="676"/>
      <c r="L149" s="676"/>
      <c r="M149" s="676"/>
      <c r="N149" s="676"/>
      <c r="O149" s="676"/>
      <c r="P149" s="676"/>
      <c r="Q149" s="676"/>
      <c r="R149" s="676"/>
      <c r="S149" s="676"/>
      <c r="T149" s="676">
        <f t="shared" si="28"/>
        <v>0</v>
      </c>
    </row>
    <row r="150" spans="1:20" ht="13.5" customHeight="1">
      <c r="A150" s="653" t="str">
        <f>'Budget-合并'!A150</f>
        <v>6602.23</v>
      </c>
      <c r="B150" s="653" t="str">
        <f>'Budget-合并'!B150</f>
        <v>无形资产摊销</v>
      </c>
      <c r="C150" s="673" t="str">
        <f>'Budget-合并'!C150</f>
        <v>Contract Intangibles - Amortization</v>
      </c>
      <c r="D150" s="676">
        <f t="shared" si="34"/>
        <v>0</v>
      </c>
      <c r="F150" s="676">
        <f t="shared" ca="1" si="35"/>
        <v>0</v>
      </c>
      <c r="H150" s="676"/>
      <c r="I150" s="676"/>
      <c r="J150" s="676"/>
      <c r="K150" s="676"/>
      <c r="L150" s="676"/>
      <c r="M150" s="676"/>
      <c r="N150" s="676"/>
      <c r="O150" s="676"/>
      <c r="P150" s="676"/>
      <c r="Q150" s="676"/>
      <c r="R150" s="676"/>
      <c r="S150" s="676"/>
      <c r="T150" s="676">
        <f t="shared" si="28"/>
        <v>0</v>
      </c>
    </row>
    <row r="151" spans="1:20" ht="13.5" customHeight="1">
      <c r="A151" s="653" t="str">
        <f>'Budget-合并'!A151</f>
        <v>6602.24</v>
      </c>
      <c r="B151" s="653" t="str">
        <f>'Budget-合并'!B151</f>
        <v>监管费用</v>
      </c>
      <c r="C151" s="673" t="str">
        <f>'Budget-合并'!C151</f>
        <v xml:space="preserve">Regulatory fees </v>
      </c>
      <c r="D151" s="676">
        <f t="shared" si="34"/>
        <v>0</v>
      </c>
      <c r="F151" s="676">
        <f t="shared" ca="1" si="35"/>
        <v>0</v>
      </c>
      <c r="H151" s="676"/>
      <c r="I151" s="676"/>
      <c r="J151" s="676"/>
      <c r="K151" s="676"/>
      <c r="L151" s="676"/>
      <c r="M151" s="676"/>
      <c r="N151" s="676"/>
      <c r="O151" s="676"/>
      <c r="P151" s="676"/>
      <c r="Q151" s="676"/>
      <c r="R151" s="676"/>
      <c r="S151" s="676"/>
      <c r="T151" s="676">
        <f t="shared" ref="T151:T154" si="44">SUM(H151:S151)</f>
        <v>0</v>
      </c>
    </row>
    <row r="152" spans="1:20" ht="13.5" customHeight="1">
      <c r="A152" s="653" t="str">
        <f>'Budget-合并'!A152</f>
        <v>6602.99</v>
      </c>
      <c r="B152" s="653" t="str">
        <f>'Budget-合并'!B152</f>
        <v>其他</v>
      </c>
      <c r="C152" s="673" t="str">
        <f>'Budget-合并'!C152</f>
        <v>Admin Other</v>
      </c>
      <c r="D152" s="676">
        <f t="shared" si="34"/>
        <v>0</v>
      </c>
      <c r="F152" s="676">
        <f t="shared" ca="1" si="35"/>
        <v>0</v>
      </c>
      <c r="H152" s="676"/>
      <c r="I152" s="676"/>
      <c r="J152" s="676"/>
      <c r="K152" s="676"/>
      <c r="L152" s="676"/>
      <c r="M152" s="676"/>
      <c r="N152" s="676"/>
      <c r="O152" s="676"/>
      <c r="P152" s="676"/>
      <c r="Q152" s="676"/>
      <c r="R152" s="676"/>
      <c r="S152" s="676"/>
      <c r="T152" s="676">
        <f t="shared" si="44"/>
        <v>0</v>
      </c>
    </row>
    <row r="153" spans="1:20" ht="13.5" customHeight="1">
      <c r="A153" s="672">
        <f>'Budget-合并'!A153</f>
        <v>0</v>
      </c>
      <c r="B153" s="672" t="str">
        <f>'Budget-合并'!B153</f>
        <v>管理费用合计</v>
      </c>
      <c r="C153" s="673">
        <f>'Budget-合并'!C153</f>
        <v>0</v>
      </c>
      <c r="D153" s="677">
        <f t="shared" si="34"/>
        <v>0</v>
      </c>
      <c r="F153" s="677">
        <f t="shared" ca="1" si="35"/>
        <v>0</v>
      </c>
      <c r="H153" s="677">
        <f t="shared" ref="H153:S153" si="45">SUM(H44,H62,H75,H79,H80,H92,H127,H132,H140:H152)</f>
        <v>0</v>
      </c>
      <c r="I153" s="677">
        <f t="shared" si="45"/>
        <v>0</v>
      </c>
      <c r="J153" s="677">
        <f t="shared" si="45"/>
        <v>0</v>
      </c>
      <c r="K153" s="677">
        <f t="shared" si="45"/>
        <v>0</v>
      </c>
      <c r="L153" s="677">
        <f t="shared" si="45"/>
        <v>0</v>
      </c>
      <c r="M153" s="677">
        <f t="shared" si="45"/>
        <v>0</v>
      </c>
      <c r="N153" s="677">
        <f t="shared" si="45"/>
        <v>0</v>
      </c>
      <c r="O153" s="677">
        <f t="shared" si="45"/>
        <v>0</v>
      </c>
      <c r="P153" s="677">
        <f t="shared" si="45"/>
        <v>0</v>
      </c>
      <c r="Q153" s="677">
        <f t="shared" si="45"/>
        <v>0</v>
      </c>
      <c r="R153" s="677">
        <f t="shared" si="45"/>
        <v>0</v>
      </c>
      <c r="S153" s="677">
        <f t="shared" si="45"/>
        <v>0</v>
      </c>
      <c r="T153" s="677">
        <f t="shared" si="44"/>
        <v>0</v>
      </c>
    </row>
    <row r="154" spans="1:20" ht="13.5" customHeight="1">
      <c r="A154" s="653">
        <f>'Budget-合并'!A154</f>
        <v>0</v>
      </c>
      <c r="B154" s="653">
        <f>'Budget-合并'!B154</f>
        <v>0</v>
      </c>
      <c r="C154" s="673">
        <f>'Budget-合并'!C154</f>
        <v>0</v>
      </c>
      <c r="T154" s="652">
        <f t="shared" si="44"/>
        <v>0</v>
      </c>
    </row>
    <row r="155" spans="1:20" ht="13.5" customHeight="1">
      <c r="A155" s="672" t="str">
        <f>'Budget-合并'!A155</f>
        <v>6603</v>
      </c>
      <c r="B155" s="672" t="str">
        <f>'Budget-合并'!B155</f>
        <v>财务费用</v>
      </c>
      <c r="C155" s="673">
        <f>'Budget-合并'!C155</f>
        <v>0</v>
      </c>
      <c r="D155" s="677"/>
      <c r="F155" s="677"/>
      <c r="H155" s="677"/>
      <c r="I155" s="677"/>
      <c r="J155" s="677"/>
      <c r="K155" s="677"/>
      <c r="L155" s="677"/>
      <c r="M155" s="677"/>
      <c r="N155" s="677"/>
      <c r="O155" s="677"/>
      <c r="P155" s="677"/>
      <c r="Q155" s="677"/>
      <c r="R155" s="677"/>
      <c r="S155" s="677"/>
      <c r="T155" s="677"/>
    </row>
    <row r="156" spans="1:20" ht="13.5" customHeight="1">
      <c r="A156" s="653" t="str">
        <f>'Budget-合并'!A156</f>
        <v>6603.01</v>
      </c>
      <c r="B156" s="653" t="str">
        <f>'Budget-合并'!B156</f>
        <v>汇兑损益</v>
      </c>
      <c r="C156" s="673" t="str">
        <f>'Budget-合并'!C156</f>
        <v>FX Gain/Loss Net</v>
      </c>
      <c r="D156" s="676">
        <f t="shared" ref="D156:D172" si="46">INDEX($H$8:$S$8,1,MATCH($D$6,$H$6:$S$6))</f>
        <v>0</v>
      </c>
      <c r="F156" s="676">
        <f t="shared" ref="F156:F172" ca="1" si="47">SUM($H156:OFFSET($H156,0,MATCH(F$6,$H$6:$S$6)-1))</f>
        <v>0</v>
      </c>
      <c r="H156" s="676"/>
      <c r="I156" s="676"/>
      <c r="J156" s="676"/>
      <c r="K156" s="676"/>
      <c r="L156" s="676"/>
      <c r="M156" s="676"/>
      <c r="N156" s="676"/>
      <c r="O156" s="676"/>
      <c r="P156" s="676"/>
      <c r="Q156" s="676"/>
      <c r="R156" s="676"/>
      <c r="S156" s="676"/>
      <c r="T156" s="676">
        <f t="shared" ref="T156:T169" si="48">SUM(H156:S156)</f>
        <v>0</v>
      </c>
    </row>
    <row r="157" spans="1:20" ht="13.5" customHeight="1">
      <c r="A157" s="663" t="str">
        <f>'Budget-合并'!A157</f>
        <v>6603.02</v>
      </c>
      <c r="B157" s="678" t="str">
        <f>'Budget-合并'!B157</f>
        <v>利息费用</v>
      </c>
      <c r="C157" s="673">
        <f>'Budget-合并'!C157</f>
        <v>0</v>
      </c>
      <c r="D157" s="676">
        <f t="shared" si="46"/>
        <v>0</v>
      </c>
      <c r="F157" s="676">
        <f t="shared" ca="1" si="47"/>
        <v>0</v>
      </c>
      <c r="H157" s="676"/>
      <c r="I157" s="676"/>
      <c r="J157" s="676"/>
      <c r="K157" s="676"/>
      <c r="L157" s="676"/>
      <c r="M157" s="676"/>
      <c r="N157" s="676"/>
      <c r="O157" s="676"/>
      <c r="P157" s="676"/>
      <c r="Q157" s="676"/>
      <c r="R157" s="676"/>
      <c r="S157" s="676"/>
      <c r="T157" s="676">
        <f t="shared" si="48"/>
        <v>0</v>
      </c>
    </row>
    <row r="158" spans="1:20" ht="13.5" customHeight="1">
      <c r="A158" s="653" t="str">
        <f>'Budget-合并'!A158</f>
        <v>6603.02.01</v>
      </c>
      <c r="B158" s="653" t="str">
        <f>'Budget-合并'!B158</f>
        <v>打印机租赁</v>
      </c>
      <c r="C158" s="673">
        <f>'Budget-合并'!C158</f>
        <v>0</v>
      </c>
      <c r="D158" s="676">
        <f t="shared" si="46"/>
        <v>0</v>
      </c>
      <c r="F158" s="676">
        <f t="shared" ca="1" si="47"/>
        <v>0</v>
      </c>
      <c r="H158" s="676"/>
      <c r="I158" s="676"/>
      <c r="J158" s="676"/>
      <c r="K158" s="676"/>
      <c r="L158" s="676"/>
      <c r="M158" s="676"/>
      <c r="N158" s="676"/>
      <c r="O158" s="676"/>
      <c r="P158" s="676"/>
      <c r="Q158" s="676"/>
      <c r="R158" s="676"/>
      <c r="S158" s="676"/>
      <c r="T158" s="676">
        <f t="shared" si="48"/>
        <v>0</v>
      </c>
    </row>
    <row r="159" spans="1:20" ht="13.5" customHeight="1">
      <c r="A159" s="653" t="str">
        <f>'Budget-合并'!A159</f>
        <v>6603.02.02</v>
      </c>
      <c r="B159" s="653" t="str">
        <f>'Budget-合并'!B159</f>
        <v>办公地址</v>
      </c>
      <c r="C159" s="673">
        <f>'Budget-合并'!C159</f>
        <v>0</v>
      </c>
      <c r="D159" s="676">
        <f t="shared" si="46"/>
        <v>0</v>
      </c>
      <c r="F159" s="676">
        <f t="shared" ca="1" si="47"/>
        <v>0</v>
      </c>
      <c r="H159" s="676">
        <f t="shared" ref="H159:S159" si="49">SUM(H160:H161)</f>
        <v>0</v>
      </c>
      <c r="I159" s="676">
        <f t="shared" si="49"/>
        <v>0</v>
      </c>
      <c r="J159" s="676">
        <f t="shared" si="49"/>
        <v>0</v>
      </c>
      <c r="K159" s="676">
        <f t="shared" si="49"/>
        <v>0</v>
      </c>
      <c r="L159" s="676">
        <f t="shared" si="49"/>
        <v>0</v>
      </c>
      <c r="M159" s="676">
        <f t="shared" si="49"/>
        <v>0</v>
      </c>
      <c r="N159" s="676">
        <f t="shared" si="49"/>
        <v>0</v>
      </c>
      <c r="O159" s="676">
        <f t="shared" si="49"/>
        <v>0</v>
      </c>
      <c r="P159" s="676">
        <f t="shared" si="49"/>
        <v>0</v>
      </c>
      <c r="Q159" s="676">
        <f t="shared" si="49"/>
        <v>0</v>
      </c>
      <c r="R159" s="676">
        <f t="shared" si="49"/>
        <v>0</v>
      </c>
      <c r="S159" s="676">
        <f t="shared" si="49"/>
        <v>0</v>
      </c>
      <c r="T159" s="676">
        <f t="shared" si="48"/>
        <v>0</v>
      </c>
    </row>
    <row r="160" spans="1:20" ht="13.5" customHeight="1">
      <c r="A160" s="653" t="str">
        <f>'Budget-合并'!A160</f>
        <v>6603.02.02.01</v>
      </c>
      <c r="B160" s="653" t="str">
        <f>'Budget-合并'!B160</f>
        <v>旭智咨询--鼎和大厦1606</v>
      </c>
      <c r="C160" s="673">
        <f>'Budget-合并'!C160</f>
        <v>0</v>
      </c>
      <c r="D160" s="676">
        <f t="shared" si="46"/>
        <v>0</v>
      </c>
      <c r="F160" s="676">
        <f t="shared" ca="1" si="47"/>
        <v>0</v>
      </c>
      <c r="H160" s="676"/>
      <c r="I160" s="676"/>
      <c r="J160" s="676"/>
      <c r="K160" s="676"/>
      <c r="L160" s="676"/>
      <c r="M160" s="676"/>
      <c r="N160" s="676"/>
      <c r="O160" s="676"/>
      <c r="P160" s="676"/>
      <c r="Q160" s="676"/>
      <c r="R160" s="676"/>
      <c r="S160" s="676"/>
      <c r="T160" s="676">
        <f t="shared" si="48"/>
        <v>0</v>
      </c>
    </row>
    <row r="161" spans="1:20" ht="13.5" customHeight="1">
      <c r="A161" s="653" t="str">
        <f>'Budget-合并'!A161</f>
        <v>6603.02.02.02</v>
      </c>
      <c r="B161" s="653" t="str">
        <f>'Budget-合并'!B161</f>
        <v>旭智资本（香港）--冯氏大厦</v>
      </c>
      <c r="C161" s="673" t="str">
        <f>'Budget-合并'!C161</f>
        <v>Interest Expense Lease</v>
      </c>
      <c r="D161" s="676">
        <f t="shared" si="46"/>
        <v>0</v>
      </c>
      <c r="F161" s="676">
        <f t="shared" ca="1" si="47"/>
        <v>0</v>
      </c>
      <c r="H161" s="676"/>
      <c r="I161" s="676"/>
      <c r="J161" s="676"/>
      <c r="K161" s="676"/>
      <c r="L161" s="676"/>
      <c r="M161" s="676"/>
      <c r="N161" s="676"/>
      <c r="O161" s="676"/>
      <c r="P161" s="676"/>
      <c r="Q161" s="676"/>
      <c r="R161" s="676"/>
      <c r="S161" s="676"/>
      <c r="T161" s="676">
        <f t="shared" si="48"/>
        <v>0</v>
      </c>
    </row>
    <row r="162" spans="1:20" ht="13.5" customHeight="1">
      <c r="A162" s="653" t="str">
        <f>'Budget-合并'!A162</f>
        <v>6603.02.03</v>
      </c>
      <c r="B162" s="653" t="str">
        <f>'Budget-合并'!B162</f>
        <v>注册地址</v>
      </c>
      <c r="C162" s="673">
        <f>'Budget-合并'!C162</f>
        <v>0</v>
      </c>
      <c r="D162" s="676">
        <f t="shared" si="46"/>
        <v>0</v>
      </c>
      <c r="F162" s="676">
        <f t="shared" ca="1" si="47"/>
        <v>0</v>
      </c>
      <c r="H162" s="676">
        <f t="shared" ref="H162:S162" si="50">SUM(H163:H164)</f>
        <v>0</v>
      </c>
      <c r="I162" s="676">
        <f t="shared" si="50"/>
        <v>0</v>
      </c>
      <c r="J162" s="676">
        <f t="shared" si="50"/>
        <v>0</v>
      </c>
      <c r="K162" s="676">
        <f t="shared" si="50"/>
        <v>0</v>
      </c>
      <c r="L162" s="676">
        <f t="shared" si="50"/>
        <v>0</v>
      </c>
      <c r="M162" s="676">
        <f t="shared" si="50"/>
        <v>0</v>
      </c>
      <c r="N162" s="676">
        <f t="shared" si="50"/>
        <v>0</v>
      </c>
      <c r="O162" s="676">
        <f t="shared" si="50"/>
        <v>0</v>
      </c>
      <c r="P162" s="676">
        <f t="shared" si="50"/>
        <v>0</v>
      </c>
      <c r="Q162" s="676">
        <f t="shared" si="50"/>
        <v>0</v>
      </c>
      <c r="R162" s="676">
        <f t="shared" si="50"/>
        <v>0</v>
      </c>
      <c r="S162" s="676">
        <f t="shared" si="50"/>
        <v>0</v>
      </c>
      <c r="T162" s="676">
        <f t="shared" si="48"/>
        <v>0</v>
      </c>
    </row>
    <row r="163" spans="1:20" ht="13.5" customHeight="1">
      <c r="A163" s="653" t="str">
        <f>'Budget-合并'!A163</f>
        <v>6603.02.03.01</v>
      </c>
      <c r="B163" s="653" t="str">
        <f>'Budget-合并'!B163</f>
        <v>旭智私募--前海壹号B座701E</v>
      </c>
      <c r="C163" s="673">
        <f>'Budget-合并'!C163</f>
        <v>0</v>
      </c>
      <c r="D163" s="676">
        <f t="shared" si="46"/>
        <v>0</v>
      </c>
      <c r="F163" s="676">
        <f t="shared" ca="1" si="47"/>
        <v>0</v>
      </c>
      <c r="H163" s="676"/>
      <c r="I163" s="676"/>
      <c r="J163" s="676"/>
      <c r="K163" s="676"/>
      <c r="L163" s="676"/>
      <c r="M163" s="676"/>
      <c r="N163" s="676"/>
      <c r="O163" s="676"/>
      <c r="P163" s="676"/>
      <c r="Q163" s="676"/>
      <c r="R163" s="676"/>
      <c r="S163" s="676"/>
      <c r="T163" s="676">
        <f t="shared" si="48"/>
        <v>0</v>
      </c>
    </row>
    <row r="164" spans="1:20" ht="13.5" customHeight="1">
      <c r="A164" s="653" t="str">
        <f>'Budget-合并'!A164</f>
        <v>6603.02.03.02</v>
      </c>
      <c r="B164" s="653" t="str">
        <f>'Budget-合并'!B164</f>
        <v>广州旭智--802房F028</v>
      </c>
      <c r="C164" s="673">
        <f>'Budget-合并'!C164</f>
        <v>0</v>
      </c>
      <c r="D164" s="676">
        <f t="shared" si="46"/>
        <v>0</v>
      </c>
      <c r="F164" s="676">
        <f t="shared" ca="1" si="47"/>
        <v>0</v>
      </c>
      <c r="H164" s="676"/>
      <c r="I164" s="676"/>
      <c r="J164" s="676"/>
      <c r="K164" s="676"/>
      <c r="L164" s="676"/>
      <c r="M164" s="676"/>
      <c r="N164" s="676"/>
      <c r="O164" s="676"/>
      <c r="P164" s="676"/>
      <c r="Q164" s="676"/>
      <c r="R164" s="676"/>
      <c r="S164" s="676"/>
      <c r="T164" s="676">
        <f t="shared" si="48"/>
        <v>0</v>
      </c>
    </row>
    <row r="165" spans="1:20" ht="13.5" customHeight="1">
      <c r="A165" s="653" t="str">
        <f>'Budget-合并'!A165</f>
        <v>6603.03</v>
      </c>
      <c r="B165" s="653" t="str">
        <f>'Budget-合并'!B165</f>
        <v>银行手续费</v>
      </c>
      <c r="C165" s="673" t="str">
        <f>'Budget-合并'!C165</f>
        <v>Bank Charges</v>
      </c>
      <c r="D165" s="676">
        <f t="shared" si="46"/>
        <v>0</v>
      </c>
      <c r="F165" s="676">
        <f t="shared" ca="1" si="47"/>
        <v>0</v>
      </c>
      <c r="H165" s="676"/>
      <c r="I165" s="676"/>
      <c r="J165" s="676"/>
      <c r="K165" s="676"/>
      <c r="L165" s="676"/>
      <c r="M165" s="676"/>
      <c r="N165" s="676"/>
      <c r="O165" s="676"/>
      <c r="P165" s="676"/>
      <c r="Q165" s="676"/>
      <c r="R165" s="676"/>
      <c r="S165" s="676"/>
      <c r="T165" s="676">
        <f t="shared" si="48"/>
        <v>0</v>
      </c>
    </row>
    <row r="166" spans="1:20" ht="13.5" customHeight="1">
      <c r="A166" s="653" t="str">
        <f>'Budget-合并'!A166</f>
        <v>6603.04</v>
      </c>
      <c r="B166" s="653" t="str">
        <f>'Budget-合并'!B166</f>
        <v>利息收入</v>
      </c>
      <c r="C166" s="673" t="str">
        <f>'Budget-合并'!C166</f>
        <v>Bank Interest Income</v>
      </c>
      <c r="D166" s="676">
        <f t="shared" si="46"/>
        <v>0</v>
      </c>
      <c r="F166" s="676">
        <f t="shared" ca="1" si="47"/>
        <v>0</v>
      </c>
      <c r="H166" s="676"/>
      <c r="I166" s="676"/>
      <c r="J166" s="676"/>
      <c r="K166" s="676"/>
      <c r="L166" s="676"/>
      <c r="M166" s="676"/>
      <c r="N166" s="676"/>
      <c r="O166" s="676"/>
      <c r="P166" s="676"/>
      <c r="Q166" s="676"/>
      <c r="R166" s="676"/>
      <c r="S166" s="676"/>
      <c r="T166" s="676">
        <f t="shared" si="48"/>
        <v>0</v>
      </c>
    </row>
    <row r="167" spans="1:20" ht="13.5" customHeight="1">
      <c r="A167" s="663" t="str">
        <f>'Budget-合并'!A167</f>
        <v>6603.05</v>
      </c>
      <c r="B167" s="678" t="str">
        <f>'Budget-合并'!B167</f>
        <v>利息支出</v>
      </c>
      <c r="C167" s="673">
        <f>'Budget-合并'!C167</f>
        <v>0</v>
      </c>
      <c r="D167" s="676">
        <f t="shared" si="46"/>
        <v>0</v>
      </c>
      <c r="F167" s="676">
        <f t="shared" ca="1" si="47"/>
        <v>0</v>
      </c>
      <c r="H167" s="676">
        <f t="shared" ref="H167:S167" si="51">SUM(H168:H170)</f>
        <v>0</v>
      </c>
      <c r="I167" s="676">
        <f t="shared" si="51"/>
        <v>0</v>
      </c>
      <c r="J167" s="676">
        <f t="shared" si="51"/>
        <v>0</v>
      </c>
      <c r="K167" s="676">
        <f t="shared" si="51"/>
        <v>0</v>
      </c>
      <c r="L167" s="676">
        <f t="shared" si="51"/>
        <v>0</v>
      </c>
      <c r="M167" s="676">
        <f t="shared" si="51"/>
        <v>0</v>
      </c>
      <c r="N167" s="676">
        <f t="shared" si="51"/>
        <v>0</v>
      </c>
      <c r="O167" s="676">
        <f t="shared" si="51"/>
        <v>0</v>
      </c>
      <c r="P167" s="676">
        <f t="shared" si="51"/>
        <v>0</v>
      </c>
      <c r="Q167" s="676">
        <f t="shared" si="51"/>
        <v>0</v>
      </c>
      <c r="R167" s="676">
        <f t="shared" si="51"/>
        <v>0</v>
      </c>
      <c r="S167" s="676">
        <f t="shared" si="51"/>
        <v>0</v>
      </c>
      <c r="T167" s="676">
        <f t="shared" si="48"/>
        <v>0</v>
      </c>
    </row>
    <row r="168" spans="1:20" ht="13.5" customHeight="1">
      <c r="A168" s="653" t="str">
        <f>'Budget-合并'!A168</f>
        <v>6603.05.01</v>
      </c>
      <c r="B168" s="653" t="str">
        <f>'Budget-合并'!B168</f>
        <v>兴业金融租赁有限责任公司</v>
      </c>
      <c r="C168" s="673">
        <f>'Budget-合并'!C168</f>
        <v>0</v>
      </c>
      <c r="D168" s="676">
        <f t="shared" si="46"/>
        <v>0</v>
      </c>
      <c r="F168" s="676">
        <f t="shared" ca="1" si="47"/>
        <v>0</v>
      </c>
      <c r="H168" s="676"/>
      <c r="I168" s="676"/>
      <c r="J168" s="676"/>
      <c r="K168" s="676"/>
      <c r="L168" s="676"/>
      <c r="M168" s="676"/>
      <c r="N168" s="676"/>
      <c r="O168" s="676"/>
      <c r="P168" s="676"/>
      <c r="Q168" s="676"/>
      <c r="R168" s="676"/>
      <c r="S168" s="676"/>
      <c r="T168" s="676">
        <f t="shared" si="48"/>
        <v>0</v>
      </c>
    </row>
    <row r="169" spans="1:20" ht="13.5" customHeight="1">
      <c r="A169" s="653" t="str">
        <f>'Budget-合并'!A169</f>
        <v>6603.05.02</v>
      </c>
      <c r="B169" s="653" t="str">
        <f>'Budget-合并'!B169</f>
        <v>湖南三一智慧新能源设计有限公司</v>
      </c>
      <c r="C169" s="673">
        <f>'Budget-合并'!C169</f>
        <v>0</v>
      </c>
      <c r="D169" s="676">
        <f t="shared" si="46"/>
        <v>0</v>
      </c>
      <c r="F169" s="676">
        <f t="shared" ca="1" si="47"/>
        <v>0</v>
      </c>
      <c r="H169" s="676"/>
      <c r="I169" s="676"/>
      <c r="J169" s="676"/>
      <c r="K169" s="676"/>
      <c r="L169" s="676"/>
      <c r="M169" s="676"/>
      <c r="N169" s="676"/>
      <c r="O169" s="676"/>
      <c r="P169" s="676"/>
      <c r="Q169" s="676"/>
      <c r="R169" s="676"/>
      <c r="S169" s="676"/>
      <c r="T169" s="676">
        <f t="shared" si="48"/>
        <v>0</v>
      </c>
    </row>
    <row r="170" spans="1:20" ht="13.5" customHeight="1">
      <c r="A170" s="653" t="str">
        <f>'Budget-合并'!A170</f>
        <v>6603.05.03</v>
      </c>
      <c r="B170" s="653" t="str">
        <f>'Budget-合并'!B170</f>
        <v>和谐天明投资管理(北京)有限公司</v>
      </c>
      <c r="C170" s="673"/>
      <c r="D170" s="676">
        <f t="shared" si="46"/>
        <v>0</v>
      </c>
      <c r="F170" s="676">
        <f t="shared" ca="1" si="47"/>
        <v>0</v>
      </c>
      <c r="H170" s="676"/>
      <c r="I170" s="676"/>
      <c r="J170" s="676"/>
      <c r="K170" s="676"/>
      <c r="L170" s="676"/>
      <c r="M170" s="676"/>
      <c r="N170" s="676"/>
      <c r="O170" s="676"/>
      <c r="P170" s="676"/>
      <c r="Q170" s="676"/>
      <c r="R170" s="676"/>
      <c r="S170" s="676"/>
      <c r="T170" s="676"/>
    </row>
    <row r="171" spans="1:20" ht="13.5" customHeight="1">
      <c r="A171" s="653" t="str">
        <f>'Budget-合并'!A171</f>
        <v>6603.99</v>
      </c>
      <c r="B171" s="653" t="str">
        <f>'Budget-合并'!B171</f>
        <v>其他</v>
      </c>
      <c r="C171" s="673">
        <f>'Budget-合并'!C171</f>
        <v>0</v>
      </c>
      <c r="D171" s="676">
        <f t="shared" si="46"/>
        <v>0</v>
      </c>
      <c r="F171" s="676">
        <f t="shared" ca="1" si="47"/>
        <v>0</v>
      </c>
      <c r="H171" s="676">
        <f t="shared" ref="H171:S171" si="52">SUM(H161:H164,H168,H169)</f>
        <v>0</v>
      </c>
      <c r="I171" s="676">
        <f t="shared" si="52"/>
        <v>0</v>
      </c>
      <c r="J171" s="676">
        <f t="shared" si="52"/>
        <v>0</v>
      </c>
      <c r="K171" s="676">
        <f t="shared" si="52"/>
        <v>0</v>
      </c>
      <c r="L171" s="676">
        <f t="shared" si="52"/>
        <v>0</v>
      </c>
      <c r="M171" s="676">
        <f t="shared" si="52"/>
        <v>0</v>
      </c>
      <c r="N171" s="676">
        <f t="shared" si="52"/>
        <v>0</v>
      </c>
      <c r="O171" s="676">
        <f t="shared" si="52"/>
        <v>0</v>
      </c>
      <c r="P171" s="676">
        <f t="shared" si="52"/>
        <v>0</v>
      </c>
      <c r="Q171" s="676">
        <f t="shared" si="52"/>
        <v>0</v>
      </c>
      <c r="R171" s="676">
        <f t="shared" si="52"/>
        <v>0</v>
      </c>
      <c r="S171" s="676">
        <f t="shared" si="52"/>
        <v>0</v>
      </c>
      <c r="T171" s="676">
        <f t="shared" ref="T171:T182" si="53">SUM(H171:S171)</f>
        <v>0</v>
      </c>
    </row>
    <row r="172" spans="1:20" ht="13.5" customHeight="1">
      <c r="A172" s="672">
        <f>'Budget-合并'!A172</f>
        <v>0</v>
      </c>
      <c r="B172" s="672" t="str">
        <f>'Budget-合并'!B172</f>
        <v>财务费用合计</v>
      </c>
      <c r="C172" s="673">
        <f>'Budget-合并'!C172</f>
        <v>0</v>
      </c>
      <c r="D172" s="677">
        <f t="shared" si="46"/>
        <v>0</v>
      </c>
      <c r="F172" s="677">
        <f t="shared" ca="1" si="47"/>
        <v>0</v>
      </c>
      <c r="H172" s="677">
        <f t="shared" ref="H172:T172" si="54">SUM(H156,H157,H165:H167,H171)</f>
        <v>0</v>
      </c>
      <c r="I172" s="677">
        <f t="shared" si="54"/>
        <v>0</v>
      </c>
      <c r="J172" s="677">
        <f t="shared" si="54"/>
        <v>0</v>
      </c>
      <c r="K172" s="677">
        <f t="shared" si="54"/>
        <v>0</v>
      </c>
      <c r="L172" s="677">
        <f t="shared" si="54"/>
        <v>0</v>
      </c>
      <c r="M172" s="677">
        <f t="shared" si="54"/>
        <v>0</v>
      </c>
      <c r="N172" s="677">
        <f t="shared" si="54"/>
        <v>0</v>
      </c>
      <c r="O172" s="677">
        <f t="shared" si="54"/>
        <v>0</v>
      </c>
      <c r="P172" s="677">
        <f t="shared" si="54"/>
        <v>0</v>
      </c>
      <c r="Q172" s="677">
        <f t="shared" si="54"/>
        <v>0</v>
      </c>
      <c r="R172" s="677">
        <f t="shared" si="54"/>
        <v>0</v>
      </c>
      <c r="S172" s="677">
        <f t="shared" si="54"/>
        <v>0</v>
      </c>
      <c r="T172" s="677">
        <f t="shared" si="54"/>
        <v>0</v>
      </c>
    </row>
    <row r="173" spans="1:20" ht="13.5" customHeight="1">
      <c r="A173" s="653">
        <f>'Budget-合并'!A173</f>
        <v>0</v>
      </c>
      <c r="B173" s="653">
        <f>'Budget-合并'!B173</f>
        <v>0</v>
      </c>
      <c r="C173" s="673">
        <f>'Budget-合并'!C173</f>
        <v>0</v>
      </c>
      <c r="T173" s="652">
        <f>T12-T19-T141-T159+T171</f>
        <v>0</v>
      </c>
    </row>
    <row r="174" spans="1:20" ht="13.5" customHeight="1">
      <c r="A174" s="653" t="str">
        <f>'Budget-合并'!A174</f>
        <v>6051</v>
      </c>
      <c r="B174" s="653" t="str">
        <f>'Budget-合并'!B174</f>
        <v>其他业务收入</v>
      </c>
      <c r="C174" s="673">
        <f>'Budget-合并'!C174</f>
        <v>0</v>
      </c>
      <c r="D174" s="676">
        <f t="shared" ref="D174:D183" si="55">INDEX($H$8:$S$8,1,MATCH($D$6,$H$6:$S$6))</f>
        <v>0</v>
      </c>
      <c r="F174" s="676">
        <f t="shared" ref="F174:F183" ca="1" si="56">SUM($H174:OFFSET($H174,0,MATCH(F$6,$H$6:$S$6)-1))</f>
        <v>0</v>
      </c>
      <c r="H174" s="676"/>
      <c r="I174" s="676"/>
      <c r="J174" s="676"/>
      <c r="K174" s="676"/>
      <c r="L174" s="676"/>
      <c r="M174" s="676"/>
      <c r="N174" s="676"/>
      <c r="O174" s="676"/>
      <c r="P174" s="676"/>
      <c r="Q174" s="676"/>
      <c r="R174" s="676"/>
      <c r="S174" s="676"/>
      <c r="T174" s="676">
        <f t="shared" si="53"/>
        <v>0</v>
      </c>
    </row>
    <row r="175" spans="1:20" ht="13.5" customHeight="1">
      <c r="A175" s="653" t="str">
        <f>'Budget-合并'!A175</f>
        <v>6101</v>
      </c>
      <c r="B175" s="653" t="str">
        <f>'Budget-合并'!B175</f>
        <v>公允价值变动损益</v>
      </c>
      <c r="C175" s="673">
        <f>'Budget-合并'!C175</f>
        <v>0</v>
      </c>
      <c r="D175" s="676">
        <f t="shared" si="55"/>
        <v>0</v>
      </c>
      <c r="F175" s="676">
        <f t="shared" ca="1" si="56"/>
        <v>0</v>
      </c>
      <c r="H175" s="676"/>
      <c r="I175" s="676"/>
      <c r="J175" s="676"/>
      <c r="K175" s="676"/>
      <c r="L175" s="676"/>
      <c r="M175" s="676"/>
      <c r="N175" s="676"/>
      <c r="O175" s="676"/>
      <c r="P175" s="676"/>
      <c r="Q175" s="676"/>
      <c r="R175" s="676"/>
      <c r="S175" s="676"/>
      <c r="T175" s="676">
        <f t="shared" si="53"/>
        <v>0</v>
      </c>
    </row>
    <row r="176" spans="1:20" ht="13.5" customHeight="1">
      <c r="A176" s="653" t="str">
        <f>'Budget-合并'!A176</f>
        <v>6111</v>
      </c>
      <c r="B176" s="653" t="str">
        <f>'Budget-合并'!B176</f>
        <v>投资收益</v>
      </c>
      <c r="C176" s="673" t="str">
        <f>'Budget-合并'!C176</f>
        <v>Gain on investment</v>
      </c>
      <c r="D176" s="676">
        <f t="shared" si="55"/>
        <v>0</v>
      </c>
      <c r="F176" s="676">
        <f t="shared" ca="1" si="56"/>
        <v>0</v>
      </c>
      <c r="H176" s="676"/>
      <c r="I176" s="676"/>
      <c r="J176" s="676"/>
      <c r="K176" s="676"/>
      <c r="L176" s="676"/>
      <c r="M176" s="676"/>
      <c r="N176" s="676"/>
      <c r="O176" s="676"/>
      <c r="P176" s="676"/>
      <c r="Q176" s="676"/>
      <c r="R176" s="676"/>
      <c r="S176" s="676"/>
      <c r="T176" s="676">
        <f t="shared" si="53"/>
        <v>0</v>
      </c>
    </row>
    <row r="177" spans="1:20" ht="13.5" customHeight="1">
      <c r="A177" s="663" t="str">
        <f>'Budget-合并'!A177</f>
        <v>6115</v>
      </c>
      <c r="B177" s="678" t="str">
        <f>'Budget-合并'!B177</f>
        <v>其他收益</v>
      </c>
      <c r="C177" s="673" t="str">
        <f>'Budget-合并'!C177</f>
        <v>Other income</v>
      </c>
      <c r="D177" s="676">
        <f t="shared" si="55"/>
        <v>0</v>
      </c>
      <c r="F177" s="676">
        <f t="shared" ca="1" si="56"/>
        <v>0</v>
      </c>
      <c r="H177" s="676">
        <f t="shared" ref="H177:S177" si="57">SUM(H178:H180)</f>
        <v>0</v>
      </c>
      <c r="I177" s="676">
        <f t="shared" si="57"/>
        <v>0</v>
      </c>
      <c r="J177" s="676">
        <f t="shared" si="57"/>
        <v>0</v>
      </c>
      <c r="K177" s="676">
        <f t="shared" si="57"/>
        <v>0</v>
      </c>
      <c r="L177" s="676">
        <f t="shared" si="57"/>
        <v>0</v>
      </c>
      <c r="M177" s="676">
        <f t="shared" si="57"/>
        <v>0</v>
      </c>
      <c r="N177" s="676">
        <f t="shared" si="57"/>
        <v>0</v>
      </c>
      <c r="O177" s="676">
        <f t="shared" si="57"/>
        <v>0</v>
      </c>
      <c r="P177" s="676">
        <f t="shared" si="57"/>
        <v>0</v>
      </c>
      <c r="Q177" s="676">
        <f t="shared" si="57"/>
        <v>0</v>
      </c>
      <c r="R177" s="676">
        <f t="shared" si="57"/>
        <v>0</v>
      </c>
      <c r="S177" s="676">
        <f t="shared" si="57"/>
        <v>0</v>
      </c>
      <c r="T177" s="676">
        <f t="shared" si="53"/>
        <v>0</v>
      </c>
    </row>
    <row r="178" spans="1:20" ht="13.5" customHeight="1">
      <c r="A178" s="653" t="str">
        <f>'Budget-合并'!A178</f>
        <v>6115.01</v>
      </c>
      <c r="B178" s="653" t="str">
        <f>'Budget-合并'!B178</f>
        <v>政府补助</v>
      </c>
      <c r="C178" s="673">
        <f>'Budget-合并'!C178</f>
        <v>0</v>
      </c>
      <c r="D178" s="676">
        <f t="shared" si="55"/>
        <v>0</v>
      </c>
      <c r="F178" s="676">
        <f t="shared" ca="1" si="56"/>
        <v>0</v>
      </c>
      <c r="H178" s="676"/>
      <c r="I178" s="676"/>
      <c r="J178" s="676"/>
      <c r="K178" s="676"/>
      <c r="L178" s="676"/>
      <c r="M178" s="676"/>
      <c r="N178" s="676"/>
      <c r="O178" s="676"/>
      <c r="P178" s="676"/>
      <c r="Q178" s="676"/>
      <c r="R178" s="676"/>
      <c r="S178" s="676"/>
      <c r="T178" s="676">
        <f t="shared" si="53"/>
        <v>0</v>
      </c>
    </row>
    <row r="179" spans="1:20" ht="13.5" customHeight="1">
      <c r="A179" s="653" t="str">
        <f>'Budget-合并'!A179</f>
        <v>6115.02</v>
      </c>
      <c r="B179" s="653" t="str">
        <f>'Budget-合并'!B179</f>
        <v>个税手续费返还</v>
      </c>
      <c r="C179" s="673">
        <f>'Budget-合并'!C179</f>
        <v>0</v>
      </c>
      <c r="D179" s="676">
        <f t="shared" si="55"/>
        <v>0</v>
      </c>
      <c r="F179" s="676">
        <f t="shared" ca="1" si="56"/>
        <v>0</v>
      </c>
      <c r="H179" s="676"/>
      <c r="I179" s="676"/>
      <c r="J179" s="676"/>
      <c r="K179" s="676"/>
      <c r="L179" s="676"/>
      <c r="M179" s="676"/>
      <c r="N179" s="676"/>
      <c r="O179" s="676"/>
      <c r="P179" s="676"/>
      <c r="Q179" s="676"/>
      <c r="R179" s="676"/>
      <c r="S179" s="676"/>
      <c r="T179" s="676">
        <f t="shared" si="53"/>
        <v>0</v>
      </c>
    </row>
    <row r="180" spans="1:20" ht="13.5" customHeight="1">
      <c r="A180" s="653" t="str">
        <f>'Budget-合并'!A180</f>
        <v>6115.99</v>
      </c>
      <c r="B180" s="653" t="str">
        <f>'Budget-合并'!B180</f>
        <v>其他</v>
      </c>
      <c r="C180" s="673">
        <f>'Budget-合并'!C180</f>
        <v>0</v>
      </c>
      <c r="D180" s="676">
        <f t="shared" si="55"/>
        <v>0</v>
      </c>
      <c r="F180" s="676">
        <f t="shared" ca="1" si="56"/>
        <v>0</v>
      </c>
      <c r="H180" s="676"/>
      <c r="I180" s="676"/>
      <c r="J180" s="676"/>
      <c r="K180" s="676"/>
      <c r="L180" s="676"/>
      <c r="M180" s="676"/>
      <c r="N180" s="676"/>
      <c r="O180" s="676"/>
      <c r="P180" s="676"/>
      <c r="Q180" s="676"/>
      <c r="R180" s="676"/>
      <c r="S180" s="676"/>
      <c r="T180" s="676">
        <f t="shared" si="53"/>
        <v>0</v>
      </c>
    </row>
    <row r="181" spans="1:20" ht="13.5" customHeight="1">
      <c r="A181" s="653" t="str">
        <f>'Budget-合并'!A181</f>
        <v>6117</v>
      </c>
      <c r="B181" s="653" t="str">
        <f>'Budget-合并'!B181</f>
        <v>资产处置损益</v>
      </c>
      <c r="C181" s="673">
        <f>'Budget-合并'!C181</f>
        <v>0</v>
      </c>
      <c r="D181" s="676">
        <f t="shared" si="55"/>
        <v>0</v>
      </c>
      <c r="F181" s="676">
        <f t="shared" ca="1" si="56"/>
        <v>0</v>
      </c>
      <c r="H181" s="676"/>
      <c r="I181" s="676"/>
      <c r="J181" s="676"/>
      <c r="K181" s="676"/>
      <c r="L181" s="676"/>
      <c r="M181" s="676"/>
      <c r="N181" s="676"/>
      <c r="O181" s="676"/>
      <c r="P181" s="676"/>
      <c r="Q181" s="676"/>
      <c r="R181" s="676"/>
      <c r="S181" s="676"/>
      <c r="T181" s="676">
        <f t="shared" si="53"/>
        <v>0</v>
      </c>
    </row>
    <row r="182" spans="1:20" ht="13.5" customHeight="1">
      <c r="A182" s="653" t="str">
        <f>'Budget-合并'!A182</f>
        <v>6118</v>
      </c>
      <c r="B182" s="653" t="str">
        <f>'Budget-合并'!B182</f>
        <v>净敞口套期损益</v>
      </c>
      <c r="C182" s="673">
        <f>'Budget-合并'!C182</f>
        <v>0</v>
      </c>
      <c r="D182" s="676">
        <f t="shared" si="55"/>
        <v>0</v>
      </c>
      <c r="F182" s="676">
        <f t="shared" ca="1" si="56"/>
        <v>0</v>
      </c>
      <c r="H182" s="676"/>
      <c r="I182" s="676"/>
      <c r="J182" s="676"/>
      <c r="K182" s="676"/>
      <c r="L182" s="676"/>
      <c r="M182" s="676"/>
      <c r="N182" s="676"/>
      <c r="O182" s="676"/>
      <c r="P182" s="676"/>
      <c r="Q182" s="676"/>
      <c r="R182" s="676"/>
      <c r="S182" s="676"/>
      <c r="T182" s="676">
        <f t="shared" si="53"/>
        <v>0</v>
      </c>
    </row>
    <row r="183" spans="1:20" ht="13.5" customHeight="1">
      <c r="A183" s="672">
        <f>'Budget-合并'!A183</f>
        <v>0</v>
      </c>
      <c r="B183" s="672" t="str">
        <f>'Budget-合并'!B183</f>
        <v>其他收益合计</v>
      </c>
      <c r="C183" s="673">
        <f>'Budget-合并'!C183</f>
        <v>0</v>
      </c>
      <c r="D183" s="677">
        <f t="shared" si="55"/>
        <v>0</v>
      </c>
      <c r="F183" s="677">
        <f t="shared" ca="1" si="56"/>
        <v>0</v>
      </c>
      <c r="H183" s="677">
        <f t="shared" ref="H183:T183" si="58">SUM(H174,H174:H177,H181:H182)</f>
        <v>0</v>
      </c>
      <c r="I183" s="677">
        <f t="shared" si="58"/>
        <v>0</v>
      </c>
      <c r="J183" s="677">
        <f t="shared" si="58"/>
        <v>0</v>
      </c>
      <c r="K183" s="677">
        <f t="shared" si="58"/>
        <v>0</v>
      </c>
      <c r="L183" s="677">
        <f t="shared" si="58"/>
        <v>0</v>
      </c>
      <c r="M183" s="677">
        <f t="shared" si="58"/>
        <v>0</v>
      </c>
      <c r="N183" s="677">
        <f t="shared" si="58"/>
        <v>0</v>
      </c>
      <c r="O183" s="677">
        <f t="shared" si="58"/>
        <v>0</v>
      </c>
      <c r="P183" s="677">
        <f t="shared" si="58"/>
        <v>0</v>
      </c>
      <c r="Q183" s="677">
        <f t="shared" si="58"/>
        <v>0</v>
      </c>
      <c r="R183" s="677">
        <f t="shared" si="58"/>
        <v>0</v>
      </c>
      <c r="S183" s="677">
        <f t="shared" si="58"/>
        <v>0</v>
      </c>
      <c r="T183" s="677">
        <f t="shared" si="58"/>
        <v>0</v>
      </c>
    </row>
    <row r="184" spans="1:20" ht="13.5" customHeight="1">
      <c r="A184" s="653">
        <f>'Budget-合并'!A184</f>
        <v>0</v>
      </c>
      <c r="B184" s="653">
        <f>'Budget-合并'!B184</f>
        <v>0</v>
      </c>
      <c r="C184" s="673">
        <f>'Budget-合并'!C184</f>
        <v>0</v>
      </c>
      <c r="T184" s="652">
        <f t="shared" ref="T184:T198" si="59">SUM(H184:S184)</f>
        <v>0</v>
      </c>
    </row>
    <row r="185" spans="1:20" ht="13.5" customHeight="1">
      <c r="A185" s="672">
        <f>'Budget-合并'!A185</f>
        <v>0</v>
      </c>
      <c r="B185" s="672" t="str">
        <f>'Budget-合并'!B185</f>
        <v>营业利润</v>
      </c>
      <c r="C185" s="673">
        <f>'Budget-合并'!C185</f>
        <v>0</v>
      </c>
      <c r="D185" s="677">
        <f t="shared" ref="D185:D199" si="60">INDEX($H$8:$S$8,1,MATCH($D$6,$H$6:$S$6))</f>
        <v>0</v>
      </c>
      <c r="F185" s="677">
        <f t="shared" ref="F185:F199" ca="1" si="61">SUM($H185:OFFSET($H185,0,MATCH(F$6,$H$6:$S$6)-1))</f>
        <v>0</v>
      </c>
      <c r="H185" s="677">
        <f t="shared" ref="H185:S185" si="62">H12-H19-H42-H153-H172+H183</f>
        <v>0</v>
      </c>
      <c r="I185" s="677">
        <f t="shared" si="62"/>
        <v>0</v>
      </c>
      <c r="J185" s="677">
        <f t="shared" si="62"/>
        <v>0</v>
      </c>
      <c r="K185" s="677">
        <f t="shared" si="62"/>
        <v>0</v>
      </c>
      <c r="L185" s="677">
        <f t="shared" si="62"/>
        <v>0</v>
      </c>
      <c r="M185" s="677">
        <f t="shared" si="62"/>
        <v>0</v>
      </c>
      <c r="N185" s="677">
        <f t="shared" si="62"/>
        <v>0</v>
      </c>
      <c r="O185" s="677">
        <f t="shared" si="62"/>
        <v>0</v>
      </c>
      <c r="P185" s="677">
        <f t="shared" si="62"/>
        <v>0</v>
      </c>
      <c r="Q185" s="677">
        <f t="shared" si="62"/>
        <v>0</v>
      </c>
      <c r="R185" s="677">
        <f t="shared" si="62"/>
        <v>0</v>
      </c>
      <c r="S185" s="677">
        <f t="shared" si="62"/>
        <v>0</v>
      </c>
      <c r="T185" s="654">
        <f t="shared" si="59"/>
        <v>0</v>
      </c>
    </row>
    <row r="186" spans="1:20" ht="13.5" customHeight="1">
      <c r="A186" s="653">
        <f>'Budget-合并'!A186</f>
        <v>0</v>
      </c>
      <c r="B186" s="653">
        <f>'Budget-合并'!B186</f>
        <v>0</v>
      </c>
      <c r="C186" s="673">
        <f>'Budget-合并'!C186</f>
        <v>0</v>
      </c>
    </row>
    <row r="187" spans="1:20" ht="13.5" customHeight="1">
      <c r="A187" s="653" t="str">
        <f>'Budget-合并'!A187</f>
        <v>6301</v>
      </c>
      <c r="B187" s="653" t="str">
        <f>'Budget-合并'!B187</f>
        <v>营业外收入</v>
      </c>
      <c r="C187" s="673">
        <f>'Budget-合并'!C187</f>
        <v>0</v>
      </c>
      <c r="D187" s="676">
        <f t="shared" si="60"/>
        <v>0</v>
      </c>
      <c r="F187" s="676">
        <f t="shared" ca="1" si="61"/>
        <v>0</v>
      </c>
      <c r="H187" s="676">
        <f t="shared" ref="H187:S187" si="63">SUM(H188:H192)</f>
        <v>0</v>
      </c>
      <c r="I187" s="676">
        <f t="shared" si="63"/>
        <v>0</v>
      </c>
      <c r="J187" s="676">
        <f t="shared" si="63"/>
        <v>0</v>
      </c>
      <c r="K187" s="676">
        <f t="shared" si="63"/>
        <v>0</v>
      </c>
      <c r="L187" s="676">
        <f t="shared" si="63"/>
        <v>0</v>
      </c>
      <c r="M187" s="676">
        <f t="shared" si="63"/>
        <v>0</v>
      </c>
      <c r="N187" s="676">
        <f t="shared" si="63"/>
        <v>0</v>
      </c>
      <c r="O187" s="676">
        <f t="shared" si="63"/>
        <v>0</v>
      </c>
      <c r="P187" s="676">
        <f t="shared" si="63"/>
        <v>0</v>
      </c>
      <c r="Q187" s="676">
        <f t="shared" si="63"/>
        <v>0</v>
      </c>
      <c r="R187" s="676">
        <f t="shared" si="63"/>
        <v>0</v>
      </c>
      <c r="S187" s="676">
        <f t="shared" si="63"/>
        <v>0</v>
      </c>
      <c r="T187" s="676">
        <f t="shared" si="59"/>
        <v>0</v>
      </c>
    </row>
    <row r="188" spans="1:20" ht="13.5" customHeight="1">
      <c r="A188" s="653" t="str">
        <f>'Budget-合并'!A188</f>
        <v>6301.01</v>
      </c>
      <c r="B188" s="653" t="str">
        <f>'Budget-合并'!B188</f>
        <v>非流动资产处置利得</v>
      </c>
      <c r="C188" s="673">
        <f>'Budget-合并'!C188</f>
        <v>0</v>
      </c>
      <c r="D188" s="676">
        <f t="shared" si="60"/>
        <v>0</v>
      </c>
      <c r="F188" s="676">
        <f t="shared" ca="1" si="61"/>
        <v>0</v>
      </c>
      <c r="H188" s="676"/>
      <c r="I188" s="676"/>
      <c r="J188" s="676"/>
      <c r="K188" s="676"/>
      <c r="L188" s="676"/>
      <c r="M188" s="676"/>
      <c r="N188" s="676"/>
      <c r="O188" s="676"/>
      <c r="P188" s="676"/>
      <c r="Q188" s="676"/>
      <c r="R188" s="676"/>
      <c r="S188" s="676"/>
      <c r="T188" s="676">
        <f t="shared" si="59"/>
        <v>0</v>
      </c>
    </row>
    <row r="189" spans="1:20" ht="13.5" customHeight="1">
      <c r="A189" s="653" t="str">
        <f>'Budget-合并'!A189</f>
        <v>6301.02</v>
      </c>
      <c r="B189" s="653" t="str">
        <f>'Budget-合并'!B189</f>
        <v>债务重组利得</v>
      </c>
      <c r="C189" s="673">
        <f>'Budget-合并'!C189</f>
        <v>0</v>
      </c>
      <c r="D189" s="676">
        <f t="shared" si="60"/>
        <v>0</v>
      </c>
      <c r="F189" s="676">
        <f t="shared" ca="1" si="61"/>
        <v>0</v>
      </c>
      <c r="H189" s="676"/>
      <c r="I189" s="676"/>
      <c r="J189" s="676"/>
      <c r="K189" s="676"/>
      <c r="L189" s="676"/>
      <c r="M189" s="676"/>
      <c r="N189" s="676"/>
      <c r="O189" s="676"/>
      <c r="P189" s="676"/>
      <c r="Q189" s="676"/>
      <c r="R189" s="676"/>
      <c r="S189" s="676"/>
      <c r="T189" s="676">
        <f t="shared" si="59"/>
        <v>0</v>
      </c>
    </row>
    <row r="190" spans="1:20" ht="13.5" customHeight="1">
      <c r="A190" s="653" t="str">
        <f>'Budget-合并'!A190</f>
        <v>6301.03</v>
      </c>
      <c r="B190" s="653" t="str">
        <f>'Budget-合并'!B190</f>
        <v>盘盈利得</v>
      </c>
      <c r="C190" s="673">
        <f>'Budget-合并'!C190</f>
        <v>0</v>
      </c>
      <c r="D190" s="676">
        <f t="shared" si="60"/>
        <v>0</v>
      </c>
      <c r="F190" s="676">
        <f t="shared" ca="1" si="61"/>
        <v>0</v>
      </c>
      <c r="H190" s="676"/>
      <c r="I190" s="676"/>
      <c r="J190" s="676"/>
      <c r="K190" s="676"/>
      <c r="L190" s="676"/>
      <c r="M190" s="676"/>
      <c r="N190" s="676"/>
      <c r="O190" s="676"/>
      <c r="P190" s="676"/>
      <c r="Q190" s="676"/>
      <c r="R190" s="676"/>
      <c r="S190" s="676"/>
      <c r="T190" s="676">
        <f t="shared" si="59"/>
        <v>0</v>
      </c>
    </row>
    <row r="191" spans="1:20" ht="13.5" customHeight="1">
      <c r="A191" s="653" t="str">
        <f>'Budget-合并'!A191</f>
        <v>6301.04</v>
      </c>
      <c r="B191" s="653" t="str">
        <f>'Budget-合并'!B191</f>
        <v>捐赠利得</v>
      </c>
      <c r="C191" s="673">
        <f>'Budget-合并'!C191</f>
        <v>0</v>
      </c>
      <c r="D191" s="676">
        <f t="shared" si="60"/>
        <v>0</v>
      </c>
      <c r="F191" s="676">
        <f t="shared" ca="1" si="61"/>
        <v>0</v>
      </c>
      <c r="H191" s="676"/>
      <c r="I191" s="676"/>
      <c r="J191" s="676"/>
      <c r="K191" s="676"/>
      <c r="L191" s="676"/>
      <c r="M191" s="676"/>
      <c r="N191" s="676"/>
      <c r="O191" s="676"/>
      <c r="P191" s="676"/>
      <c r="Q191" s="676"/>
      <c r="R191" s="676"/>
      <c r="S191" s="676"/>
      <c r="T191" s="676">
        <f t="shared" si="59"/>
        <v>0</v>
      </c>
    </row>
    <row r="192" spans="1:20" ht="13.5" customHeight="1">
      <c r="A192" s="653" t="str">
        <f>'Budget-合并'!A192</f>
        <v>6301.99</v>
      </c>
      <c r="B192" s="653" t="str">
        <f>'Budget-合并'!B192</f>
        <v>其他</v>
      </c>
      <c r="C192" s="673">
        <f>'Budget-合并'!C192</f>
        <v>0</v>
      </c>
      <c r="D192" s="676">
        <f t="shared" si="60"/>
        <v>0</v>
      </c>
      <c r="F192" s="676">
        <f t="shared" ca="1" si="61"/>
        <v>0</v>
      </c>
      <c r="H192" s="676"/>
      <c r="I192" s="676"/>
      <c r="J192" s="676"/>
      <c r="K192" s="676"/>
      <c r="L192" s="676"/>
      <c r="M192" s="676"/>
      <c r="N192" s="676"/>
      <c r="O192" s="676"/>
      <c r="P192" s="676"/>
      <c r="Q192" s="676"/>
      <c r="R192" s="676"/>
      <c r="S192" s="676"/>
      <c r="T192" s="676">
        <f t="shared" si="59"/>
        <v>0</v>
      </c>
    </row>
    <row r="193" spans="1:20" ht="13.5" customHeight="1">
      <c r="A193" s="653" t="str">
        <f>'Budget-合并'!A193</f>
        <v>6402</v>
      </c>
      <c r="B193" s="653" t="str">
        <f>'Budget-合并'!B193</f>
        <v>其他业务成本</v>
      </c>
      <c r="C193" s="673">
        <f>'Budget-合并'!C193</f>
        <v>0</v>
      </c>
      <c r="D193" s="676">
        <f t="shared" si="60"/>
        <v>0</v>
      </c>
      <c r="F193" s="676">
        <f t="shared" ca="1" si="61"/>
        <v>0</v>
      </c>
      <c r="H193" s="676"/>
      <c r="I193" s="676"/>
      <c r="J193" s="676"/>
      <c r="K193" s="676"/>
      <c r="L193" s="676"/>
      <c r="M193" s="676"/>
      <c r="N193" s="676"/>
      <c r="O193" s="676"/>
      <c r="P193" s="676"/>
      <c r="Q193" s="676"/>
      <c r="R193" s="676"/>
      <c r="S193" s="676"/>
      <c r="T193" s="676">
        <f t="shared" si="59"/>
        <v>0</v>
      </c>
    </row>
    <row r="194" spans="1:20" ht="13.5" customHeight="1">
      <c r="A194" s="653" t="str">
        <f>'Budget-合并'!A194</f>
        <v>6701</v>
      </c>
      <c r="B194" s="653" t="str">
        <f>'Budget-合并'!B194</f>
        <v>资产减值损失</v>
      </c>
      <c r="C194" s="673" t="str">
        <f>'Budget-合并'!C194</f>
        <v>Impairment loss</v>
      </c>
      <c r="D194" s="676">
        <f t="shared" si="60"/>
        <v>0</v>
      </c>
      <c r="F194" s="676">
        <f t="shared" ca="1" si="61"/>
        <v>0</v>
      </c>
      <c r="H194" s="676"/>
      <c r="I194" s="676"/>
      <c r="J194" s="676"/>
      <c r="K194" s="676"/>
      <c r="L194" s="676"/>
      <c r="M194" s="676"/>
      <c r="N194" s="676"/>
      <c r="O194" s="676"/>
      <c r="P194" s="676"/>
      <c r="Q194" s="676"/>
      <c r="R194" s="676"/>
      <c r="S194" s="676"/>
      <c r="T194" s="676">
        <f t="shared" si="59"/>
        <v>0</v>
      </c>
    </row>
    <row r="195" spans="1:20" s="651" customFormat="1" ht="13.5" customHeight="1">
      <c r="A195" s="653" t="str">
        <f>'Budget-合并'!A195</f>
        <v>6711</v>
      </c>
      <c r="B195" s="653" t="str">
        <f>'Budget-合并'!B195</f>
        <v>营业外支出</v>
      </c>
      <c r="C195" s="673">
        <f>'Budget-合并'!C195</f>
        <v>0</v>
      </c>
      <c r="D195" s="676">
        <f t="shared" si="60"/>
        <v>0</v>
      </c>
      <c r="E195" s="654"/>
      <c r="F195" s="676">
        <f t="shared" ca="1" si="61"/>
        <v>0</v>
      </c>
      <c r="G195" s="654"/>
      <c r="H195" s="676">
        <f t="shared" ref="H195:S195" si="64">SUM(H196:H197)</f>
        <v>0</v>
      </c>
      <c r="I195" s="676">
        <f t="shared" si="64"/>
        <v>0</v>
      </c>
      <c r="J195" s="676">
        <f t="shared" si="64"/>
        <v>0</v>
      </c>
      <c r="K195" s="676">
        <f t="shared" si="64"/>
        <v>0</v>
      </c>
      <c r="L195" s="676">
        <f t="shared" si="64"/>
        <v>0</v>
      </c>
      <c r="M195" s="676">
        <f t="shared" si="64"/>
        <v>0</v>
      </c>
      <c r="N195" s="676">
        <f t="shared" si="64"/>
        <v>0</v>
      </c>
      <c r="O195" s="676">
        <f t="shared" si="64"/>
        <v>0</v>
      </c>
      <c r="P195" s="676">
        <f t="shared" si="64"/>
        <v>0</v>
      </c>
      <c r="Q195" s="676">
        <f t="shared" si="64"/>
        <v>0</v>
      </c>
      <c r="R195" s="676">
        <f t="shared" si="64"/>
        <v>0</v>
      </c>
      <c r="S195" s="676">
        <f t="shared" si="64"/>
        <v>0</v>
      </c>
      <c r="T195" s="676">
        <f t="shared" si="59"/>
        <v>0</v>
      </c>
    </row>
    <row r="196" spans="1:20" ht="13.5" customHeight="1">
      <c r="A196" s="653" t="str">
        <f>'Budget-合并'!A196</f>
        <v>6711.01</v>
      </c>
      <c r="B196" s="653" t="str">
        <f>'Budget-合并'!B196</f>
        <v>滞纳金</v>
      </c>
      <c r="C196" s="673">
        <f>'Budget-合并'!C196</f>
        <v>0</v>
      </c>
      <c r="D196" s="676">
        <f t="shared" si="60"/>
        <v>0</v>
      </c>
      <c r="F196" s="676">
        <f t="shared" ca="1" si="61"/>
        <v>0</v>
      </c>
      <c r="H196" s="676"/>
      <c r="I196" s="676"/>
      <c r="J196" s="676"/>
      <c r="K196" s="676"/>
      <c r="L196" s="676"/>
      <c r="M196" s="676"/>
      <c r="N196" s="676"/>
      <c r="O196" s="676"/>
      <c r="P196" s="676"/>
      <c r="Q196" s="676"/>
      <c r="R196" s="676"/>
      <c r="S196" s="676"/>
      <c r="T196" s="676">
        <f t="shared" si="59"/>
        <v>0</v>
      </c>
    </row>
    <row r="197" spans="1:20" ht="13.5" customHeight="1">
      <c r="A197" s="653" t="str">
        <f>'Budget-合并'!A197</f>
        <v>6711.02</v>
      </c>
      <c r="B197" s="653" t="str">
        <f>'Budget-合并'!B197</f>
        <v>非流动资产处置损失</v>
      </c>
      <c r="C197" s="673">
        <f>'Budget-合并'!C197</f>
        <v>0</v>
      </c>
      <c r="D197" s="676">
        <f t="shared" si="60"/>
        <v>0</v>
      </c>
      <c r="F197" s="676">
        <f t="shared" ca="1" si="61"/>
        <v>0</v>
      </c>
      <c r="H197" s="676"/>
      <c r="I197" s="676"/>
      <c r="J197" s="676"/>
      <c r="K197" s="676"/>
      <c r="L197" s="676"/>
      <c r="M197" s="676"/>
      <c r="N197" s="676"/>
      <c r="O197" s="676"/>
      <c r="P197" s="676"/>
      <c r="Q197" s="676"/>
      <c r="R197" s="676"/>
      <c r="S197" s="676"/>
      <c r="T197" s="676">
        <f t="shared" si="59"/>
        <v>0</v>
      </c>
    </row>
    <row r="198" spans="1:20" ht="13.5" customHeight="1">
      <c r="A198" s="653" t="str">
        <f>'Budget-合并'!A198</f>
        <v>6901</v>
      </c>
      <c r="B198" s="653" t="str">
        <f>'Budget-合并'!B198</f>
        <v>以前年度损益调整</v>
      </c>
      <c r="C198" s="673">
        <f>'Budget-合并'!C198</f>
        <v>0</v>
      </c>
      <c r="D198" s="676">
        <f t="shared" si="60"/>
        <v>0</v>
      </c>
      <c r="F198" s="676">
        <f t="shared" ca="1" si="61"/>
        <v>0</v>
      </c>
      <c r="H198" s="676"/>
      <c r="I198" s="676"/>
      <c r="J198" s="676"/>
      <c r="K198" s="676"/>
      <c r="L198" s="676"/>
      <c r="M198" s="676"/>
      <c r="N198" s="676"/>
      <c r="O198" s="676"/>
      <c r="P198" s="676"/>
      <c r="Q198" s="676"/>
      <c r="R198" s="676"/>
      <c r="S198" s="676"/>
      <c r="T198" s="676">
        <f t="shared" si="59"/>
        <v>0</v>
      </c>
    </row>
    <row r="199" spans="1:20" ht="13.5" customHeight="1">
      <c r="A199" s="672">
        <f>'Budget-合并'!A199</f>
        <v>0</v>
      </c>
      <c r="B199" s="672" t="str">
        <f>'Budget-合并'!B199</f>
        <v>营业外收入 (支-, 收+):</v>
      </c>
      <c r="C199" s="673">
        <f>'Budget-合并'!C199</f>
        <v>0</v>
      </c>
      <c r="D199" s="677">
        <f t="shared" si="60"/>
        <v>0</v>
      </c>
      <c r="F199" s="677">
        <f t="shared" ca="1" si="61"/>
        <v>0</v>
      </c>
      <c r="H199" s="677">
        <f t="shared" ref="H199:T199" si="65">H187-H193-H194-H195+H198</f>
        <v>0</v>
      </c>
      <c r="I199" s="677">
        <f t="shared" si="65"/>
        <v>0</v>
      </c>
      <c r="J199" s="677">
        <f t="shared" si="65"/>
        <v>0</v>
      </c>
      <c r="K199" s="677">
        <f t="shared" si="65"/>
        <v>0</v>
      </c>
      <c r="L199" s="677">
        <f t="shared" si="65"/>
        <v>0</v>
      </c>
      <c r="M199" s="677">
        <f t="shared" si="65"/>
        <v>0</v>
      </c>
      <c r="N199" s="677">
        <f t="shared" si="65"/>
        <v>0</v>
      </c>
      <c r="O199" s="677">
        <f t="shared" si="65"/>
        <v>0</v>
      </c>
      <c r="P199" s="677">
        <f t="shared" si="65"/>
        <v>0</v>
      </c>
      <c r="Q199" s="677">
        <f t="shared" si="65"/>
        <v>0</v>
      </c>
      <c r="R199" s="677">
        <f t="shared" si="65"/>
        <v>0</v>
      </c>
      <c r="S199" s="677">
        <f t="shared" si="65"/>
        <v>0</v>
      </c>
      <c r="T199" s="677">
        <f t="shared" si="65"/>
        <v>0</v>
      </c>
    </row>
    <row r="200" spans="1:20" ht="13.5" customHeight="1">
      <c r="A200" s="653">
        <f>'Budget-合并'!A200</f>
        <v>0</v>
      </c>
      <c r="B200" s="653">
        <f>'Budget-合并'!B200</f>
        <v>0</v>
      </c>
      <c r="C200" s="673">
        <f>'Budget-合并'!C200</f>
        <v>0</v>
      </c>
    </row>
    <row r="201" spans="1:20" ht="13.5" customHeight="1">
      <c r="A201" s="672">
        <f>'Budget-合并'!A201</f>
        <v>0</v>
      </c>
      <c r="B201" s="672" t="str">
        <f>'Budget-合并'!B201</f>
        <v>利润总额 (税前利润)</v>
      </c>
      <c r="C201" s="673">
        <f>'Budget-合并'!C201</f>
        <v>0</v>
      </c>
      <c r="D201" s="677">
        <f t="shared" ref="D201:D205" si="66">INDEX($H$8:$S$8,1,MATCH($D$6,$H$6:$S$6))</f>
        <v>0</v>
      </c>
      <c r="F201" s="677">
        <f t="shared" ref="F201:F205" ca="1" si="67">SUM($H201:OFFSET($H201,0,MATCH(F$6,$H$6:$S$6)-1))</f>
        <v>0</v>
      </c>
      <c r="H201" s="677">
        <f t="shared" ref="H201:T201" si="68">H185+H199</f>
        <v>0</v>
      </c>
      <c r="I201" s="677">
        <f t="shared" si="68"/>
        <v>0</v>
      </c>
      <c r="J201" s="677">
        <f t="shared" si="68"/>
        <v>0</v>
      </c>
      <c r="K201" s="677">
        <f t="shared" si="68"/>
        <v>0</v>
      </c>
      <c r="L201" s="677">
        <f t="shared" si="68"/>
        <v>0</v>
      </c>
      <c r="M201" s="677">
        <f t="shared" si="68"/>
        <v>0</v>
      </c>
      <c r="N201" s="677">
        <f t="shared" si="68"/>
        <v>0</v>
      </c>
      <c r="O201" s="677">
        <f t="shared" si="68"/>
        <v>0</v>
      </c>
      <c r="P201" s="677">
        <f t="shared" si="68"/>
        <v>0</v>
      </c>
      <c r="Q201" s="677">
        <f t="shared" si="68"/>
        <v>0</v>
      </c>
      <c r="R201" s="677">
        <f t="shared" si="68"/>
        <v>0</v>
      </c>
      <c r="S201" s="677">
        <f t="shared" si="68"/>
        <v>0</v>
      </c>
      <c r="T201" s="677">
        <f t="shared" si="68"/>
        <v>0</v>
      </c>
    </row>
    <row r="202" spans="1:20" ht="13.5" customHeight="1">
      <c r="A202" s="653">
        <f>'Budget-合并'!A202</f>
        <v>0</v>
      </c>
      <c r="B202" s="653">
        <f>'Budget-合并'!B202</f>
        <v>0</v>
      </c>
      <c r="C202" s="673">
        <f>'Budget-合并'!C202</f>
        <v>0</v>
      </c>
    </row>
    <row r="203" spans="1:20" ht="13.5" customHeight="1">
      <c r="A203" s="653" t="str">
        <f>'Budget-合并'!A203</f>
        <v>6801.01</v>
      </c>
      <c r="B203" s="653" t="str">
        <f>'Budget-合并'!B203</f>
        <v>当期所得税费用</v>
      </c>
      <c r="C203" s="673" t="str">
        <f>'Budget-合并'!C203</f>
        <v>Enterprise Income Tax</v>
      </c>
      <c r="D203" s="676">
        <f t="shared" si="66"/>
        <v>0</v>
      </c>
      <c r="F203" s="676">
        <f t="shared" ca="1" si="67"/>
        <v>0</v>
      </c>
      <c r="H203" s="676"/>
      <c r="I203" s="676"/>
      <c r="J203" s="676"/>
      <c r="K203" s="676"/>
      <c r="L203" s="676"/>
      <c r="M203" s="676"/>
      <c r="N203" s="676"/>
      <c r="O203" s="676"/>
      <c r="P203" s="676"/>
      <c r="Q203" s="676"/>
      <c r="R203" s="676"/>
      <c r="S203" s="676"/>
      <c r="T203" s="676">
        <f t="shared" ref="T203:T205" si="69">SUM(H203:S203)</f>
        <v>0</v>
      </c>
    </row>
    <row r="204" spans="1:20" ht="13.5" customHeight="1">
      <c r="A204" s="653" t="str">
        <f>'Budget-合并'!A204</f>
        <v>6801.02</v>
      </c>
      <c r="B204" s="653" t="str">
        <f>'Budget-合并'!B204</f>
        <v>递延所得税费用</v>
      </c>
      <c r="C204" s="673">
        <f>'Budget-合并'!C204</f>
        <v>0</v>
      </c>
      <c r="D204" s="676">
        <f t="shared" si="66"/>
        <v>0</v>
      </c>
      <c r="F204" s="676">
        <f t="shared" ca="1" si="67"/>
        <v>0</v>
      </c>
      <c r="H204" s="676"/>
      <c r="I204" s="676"/>
      <c r="J204" s="676"/>
      <c r="K204" s="676"/>
      <c r="L204" s="676"/>
      <c r="M204" s="676"/>
      <c r="N204" s="676"/>
      <c r="O204" s="676"/>
      <c r="P204" s="676"/>
      <c r="Q204" s="676"/>
      <c r="R204" s="676"/>
      <c r="S204" s="676"/>
      <c r="T204" s="676">
        <f t="shared" si="69"/>
        <v>0</v>
      </c>
    </row>
    <row r="205" spans="1:20" ht="13.5" customHeight="1">
      <c r="A205" s="653" t="str">
        <f>'Budget-合并'!A205</f>
        <v>6801.03</v>
      </c>
      <c r="B205" s="653" t="str">
        <f>'Budget-合并'!B205</f>
        <v>以前年度所得税费用</v>
      </c>
      <c r="C205" s="673">
        <f>'Budget-合并'!C205</f>
        <v>0</v>
      </c>
      <c r="D205" s="676">
        <f t="shared" si="66"/>
        <v>0</v>
      </c>
      <c r="F205" s="676">
        <f t="shared" ca="1" si="67"/>
        <v>0</v>
      </c>
      <c r="H205" s="676"/>
      <c r="I205" s="676"/>
      <c r="J205" s="676"/>
      <c r="K205" s="676"/>
      <c r="L205" s="676"/>
      <c r="M205" s="676"/>
      <c r="N205" s="676"/>
      <c r="O205" s="676"/>
      <c r="P205" s="676"/>
      <c r="Q205" s="676"/>
      <c r="R205" s="676"/>
      <c r="S205" s="676"/>
      <c r="T205" s="676">
        <f t="shared" si="69"/>
        <v>0</v>
      </c>
    </row>
    <row r="206" spans="1:20" ht="13.5" customHeight="1">
      <c r="A206" s="653">
        <f>'Budget-合并'!A206</f>
        <v>0</v>
      </c>
      <c r="B206" s="653">
        <f>'Budget-合并'!B206</f>
        <v>0</v>
      </c>
      <c r="C206" s="673">
        <f>'Budget-合并'!C206</f>
        <v>0</v>
      </c>
    </row>
    <row r="207" spans="1:20" ht="13.5" customHeight="1">
      <c r="A207" s="672">
        <f>'Budget-合并'!A207</f>
        <v>0</v>
      </c>
      <c r="B207" s="672" t="str">
        <f>'Budget-合并'!B207</f>
        <v>五  税后利润</v>
      </c>
      <c r="C207" s="673">
        <f>'Budget-合并'!C207</f>
        <v>0</v>
      </c>
      <c r="D207" s="677">
        <f>INDEX($H$8:$S$8,1,MATCH($D$6,$H$6:$S$6))</f>
        <v>0</v>
      </c>
      <c r="F207" s="677">
        <f ca="1">SUM($H207:OFFSET($H207,0,MATCH(F$6,$H$6:$S$6)-1))</f>
        <v>0</v>
      </c>
      <c r="H207" s="677">
        <f t="shared" ref="H207:T207" si="70">H201-H203-H204-H205</f>
        <v>0</v>
      </c>
      <c r="I207" s="677">
        <f t="shared" si="70"/>
        <v>0</v>
      </c>
      <c r="J207" s="677">
        <f t="shared" si="70"/>
        <v>0</v>
      </c>
      <c r="K207" s="677">
        <f t="shared" si="70"/>
        <v>0</v>
      </c>
      <c r="L207" s="677">
        <f t="shared" si="70"/>
        <v>0</v>
      </c>
      <c r="M207" s="677">
        <f t="shared" si="70"/>
        <v>0</v>
      </c>
      <c r="N207" s="677">
        <f t="shared" si="70"/>
        <v>0</v>
      </c>
      <c r="O207" s="677">
        <f t="shared" si="70"/>
        <v>0</v>
      </c>
      <c r="P207" s="677">
        <f t="shared" si="70"/>
        <v>0</v>
      </c>
      <c r="Q207" s="677">
        <f t="shared" si="70"/>
        <v>0</v>
      </c>
      <c r="R207" s="677">
        <f t="shared" si="70"/>
        <v>0</v>
      </c>
      <c r="S207" s="677">
        <f t="shared" si="70"/>
        <v>0</v>
      </c>
      <c r="T207" s="677">
        <f t="shared" si="70"/>
        <v>0</v>
      </c>
    </row>
    <row r="208" spans="1:20" ht="13.5" customHeight="1">
      <c r="A208" s="653">
        <f>'Budget-合并'!A208</f>
        <v>0</v>
      </c>
      <c r="C208" s="673">
        <f>'Budget-合并'!C208</f>
        <v>0</v>
      </c>
    </row>
    <row r="209" spans="1:1" ht="13.5" customHeight="1">
      <c r="A209" s="653">
        <f>'Budget-合并'!A209</f>
        <v>0</v>
      </c>
    </row>
    <row r="210" spans="1:1" ht="13.5" customHeight="1">
      <c r="A210" s="653">
        <f>'Budget-合并'!A210</f>
        <v>0</v>
      </c>
    </row>
    <row r="211" spans="1:1" ht="13.5" customHeight="1">
      <c r="A211" s="653">
        <f>'Budget-合并'!A211</f>
        <v>0</v>
      </c>
    </row>
    <row r="212" spans="1:1" ht="13.5" customHeight="1">
      <c r="A212" s="653">
        <f>'Budget-合并'!A212</f>
        <v>0</v>
      </c>
    </row>
    <row r="213" spans="1:1" ht="13.5" customHeight="1">
      <c r="A213" s="653">
        <f>'Budget-合并'!A213</f>
        <v>0</v>
      </c>
    </row>
    <row r="214" spans="1:1" ht="13.5" customHeight="1">
      <c r="A214" s="653">
        <f>'Budget-合并'!A214</f>
        <v>0</v>
      </c>
    </row>
    <row r="215" spans="1:1" ht="13.5" customHeight="1">
      <c r="A215" s="653">
        <f>'Budget-合并'!A215</f>
        <v>0</v>
      </c>
    </row>
    <row r="216" spans="1:1" ht="13.5" customHeight="1">
      <c r="A216" s="653">
        <f>'Budget-合并'!A216</f>
        <v>0</v>
      </c>
    </row>
    <row r="217" spans="1:1" ht="13.5" customHeight="1">
      <c r="A217" s="653">
        <f>'Budget-合并'!A217</f>
        <v>0</v>
      </c>
    </row>
    <row r="218" spans="1:1" ht="13.5" customHeight="1">
      <c r="A218" s="653">
        <f>'Budget-合并'!A218</f>
        <v>0</v>
      </c>
    </row>
    <row r="219" spans="1:1" ht="13.5" customHeight="1">
      <c r="A219" s="653">
        <f>'Budget-合并'!A219</f>
        <v>0</v>
      </c>
    </row>
  </sheetData>
  <conditionalFormatting sqref="H5:T5">
    <cfRule type="cellIs" dxfId="87" priority="1" stopIfTrue="1" operator="equal">
      <formula>"Actual"</formula>
    </cfRule>
    <cfRule type="cellIs" dxfId="86" priority="2" stopIfTrue="1" operator="equal">
      <formula>"Forecast"</formula>
    </cfRule>
    <cfRule type="cellIs" dxfId="85" priority="3" stopIfTrue="1" operator="equal">
      <formula>"Budget"</formula>
    </cfRule>
  </conditionalFormatting>
  <dataValidations count="1">
    <dataValidation type="list" allowBlank="1" showInputMessage="1" showErrorMessage="1" sqref="H5:T5" xr:uid="{00000000-0002-0000-1400-000000000000}">
      <formula1>"Actual,Forecast,Budget"</formula1>
    </dataValidation>
  </dataValidations>
  <printOptions horizontalCentered="1" headings="1" gridLines="1"/>
  <pageMargins left="0.39" right="0.35" top="0.59" bottom="0.59" header="0.31" footer="0.31"/>
  <pageSetup paperSize="8" scale="26" orientation="landscape" cellComments="asDisplayed" r:id="rId1"/>
  <headerFooter scaleWithDoc="0" alignWithMargins="0">
    <oddFooter>&amp;L&amp;"Arial,Regular"&amp;8&amp;Z
&amp;F  
&amp;A&amp;CPage &amp;P of &amp;N
&amp;R&amp;"Times New Roman,Regular"&amp;8&amp;D
&amp;T</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9" tint="0.79940183721427049"/>
    <pageSetUpPr fitToPage="1"/>
  </sheetPr>
  <dimension ref="A1:AG76"/>
  <sheetViews>
    <sheetView zoomScale="60" zoomScaleNormal="60" workbookViewId="0">
      <pane xSplit="1" ySplit="9" topLeftCell="S10" activePane="bottomRight" state="frozen"/>
      <selection pane="topRight" activeCell="B1" sqref="B1"/>
      <selection pane="bottomLeft" activeCell="A10" sqref="A10"/>
      <selection pane="bottomRight" activeCell="V17" sqref="V17"/>
    </sheetView>
  </sheetViews>
  <sheetFormatPr defaultColWidth="8.25" defaultRowHeight="16.5" customHeight="1" outlineLevelRow="1" outlineLevelCol="1"/>
  <cols>
    <col min="1" max="1" width="43.75" style="610" customWidth="1"/>
    <col min="2" max="2" width="15.875" style="611" customWidth="1"/>
    <col min="3" max="3" width="16.75" style="611" customWidth="1"/>
    <col min="4" max="4" width="3.125" style="611" customWidth="1"/>
    <col min="5" max="5" width="14.75" style="610" customWidth="1" outlineLevel="1"/>
    <col min="6" max="6" width="16.625" style="610" customWidth="1" outlineLevel="1"/>
    <col min="7" max="7" width="14.5" style="610" customWidth="1" outlineLevel="1"/>
    <col min="8" max="9" width="14.75" style="610" customWidth="1" outlineLevel="1"/>
    <col min="10" max="16" width="15.625" style="610" customWidth="1" outlineLevel="1"/>
    <col min="17" max="17" width="15.625" style="610" customWidth="1"/>
    <col min="18" max="18" width="12.5" style="610" customWidth="1"/>
    <col min="19" max="29" width="15.625" style="610" customWidth="1" outlineLevel="1"/>
    <col min="30" max="30" width="14.125" style="610" customWidth="1" outlineLevel="1"/>
    <col min="31" max="31" width="15.625" style="610" customWidth="1" outlineLevel="1"/>
    <col min="32" max="32" width="8.25" style="610" customWidth="1"/>
    <col min="33" max="33" width="2.625" style="610" customWidth="1"/>
    <col min="34" max="34" width="8.25" style="610" customWidth="1"/>
    <col min="35" max="16384" width="8.25" style="610"/>
  </cols>
  <sheetData>
    <row r="1" spans="1:33" ht="16.5" customHeight="1">
      <c r="A1" s="5" t="s">
        <v>2482</v>
      </c>
      <c r="B1" s="5"/>
      <c r="C1" s="612" t="s">
        <v>2554</v>
      </c>
      <c r="D1" s="5"/>
    </row>
    <row r="2" spans="1:33" ht="16.5" customHeight="1">
      <c r="C2" s="613">
        <f>'Flash Report'!C2</f>
        <v>46023</v>
      </c>
      <c r="D2" s="613"/>
      <c r="K2" s="611"/>
      <c r="P2" s="611">
        <f>SUM(F17:P17)*-1</f>
        <v>0</v>
      </c>
    </row>
    <row r="3" spans="1:33" ht="16.5" customHeight="1">
      <c r="B3" s="614" t="s">
        <v>2501</v>
      </c>
      <c r="C3" s="614" t="s">
        <v>2501</v>
      </c>
      <c r="D3" s="615"/>
      <c r="E3" s="614" t="s">
        <v>2501</v>
      </c>
      <c r="F3" s="614" t="s">
        <v>2501</v>
      </c>
      <c r="G3" s="614" t="s">
        <v>2501</v>
      </c>
      <c r="H3" s="614" t="s">
        <v>2501</v>
      </c>
      <c r="I3" s="614" t="s">
        <v>2501</v>
      </c>
      <c r="J3" s="614" t="s">
        <v>2501</v>
      </c>
      <c r="K3" s="614" t="s">
        <v>2501</v>
      </c>
      <c r="L3" s="614" t="s">
        <v>2501</v>
      </c>
      <c r="M3" s="614" t="s">
        <v>2501</v>
      </c>
      <c r="N3" s="614" t="s">
        <v>2501</v>
      </c>
      <c r="O3" s="614" t="s">
        <v>2501</v>
      </c>
      <c r="P3" s="614" t="s">
        <v>2501</v>
      </c>
      <c r="Q3" s="614" t="s">
        <v>2501</v>
      </c>
      <c r="R3" s="615"/>
      <c r="S3" s="614" t="s">
        <v>2555</v>
      </c>
      <c r="T3" s="614" t="s">
        <v>2555</v>
      </c>
      <c r="U3" s="614" t="s">
        <v>2555</v>
      </c>
      <c r="V3" s="614" t="s">
        <v>2555</v>
      </c>
      <c r="W3" s="614" t="s">
        <v>2555</v>
      </c>
      <c r="X3" s="614" t="s">
        <v>2555</v>
      </c>
      <c r="Y3" s="614" t="s">
        <v>2555</v>
      </c>
      <c r="Z3" s="614" t="s">
        <v>2555</v>
      </c>
      <c r="AA3" s="614" t="s">
        <v>2555</v>
      </c>
      <c r="AB3" s="614" t="s">
        <v>2555</v>
      </c>
      <c r="AC3" s="614" t="s">
        <v>2555</v>
      </c>
      <c r="AD3" s="614" t="s">
        <v>2555</v>
      </c>
      <c r="AE3" s="614" t="s">
        <v>2555</v>
      </c>
      <c r="AG3" s="616"/>
    </row>
    <row r="4" spans="1:33" s="599" customFormat="1" ht="16.5" customHeight="1">
      <c r="A4" s="599" t="s">
        <v>2439</v>
      </c>
      <c r="B4" s="617">
        <f>C2</f>
        <v>46023</v>
      </c>
      <c r="C4" s="617">
        <f>B4</f>
        <v>46023</v>
      </c>
      <c r="D4" s="618"/>
      <c r="E4" s="617">
        <v>46023</v>
      </c>
      <c r="F4" s="617">
        <v>46054</v>
      </c>
      <c r="G4" s="617">
        <v>46082</v>
      </c>
      <c r="H4" s="617">
        <v>46113</v>
      </c>
      <c r="I4" s="617">
        <v>46143</v>
      </c>
      <c r="J4" s="617">
        <v>46174</v>
      </c>
      <c r="K4" s="617">
        <v>46204</v>
      </c>
      <c r="L4" s="617">
        <v>46235</v>
      </c>
      <c r="M4" s="617">
        <v>46266</v>
      </c>
      <c r="N4" s="617">
        <v>46296</v>
      </c>
      <c r="O4" s="617">
        <v>46327</v>
      </c>
      <c r="P4" s="617">
        <v>46357</v>
      </c>
      <c r="Q4" s="617" t="str">
        <f>'[97]Budget-合并'!T6</f>
        <v>2026 Total</v>
      </c>
      <c r="R4" s="618">
        <f>'[97]Budget-合并'!U6</f>
        <v>0</v>
      </c>
      <c r="S4" s="617">
        <f>'[97]Budget-合并'!V6</f>
        <v>46388</v>
      </c>
      <c r="T4" s="617">
        <f>'[97]Budget-合并'!W6</f>
        <v>46419</v>
      </c>
      <c r="U4" s="617">
        <f>'[97]Budget-合并'!X6</f>
        <v>46447</v>
      </c>
      <c r="V4" s="617">
        <f>'[97]Budget-合并'!Y6</f>
        <v>46478</v>
      </c>
      <c r="W4" s="617">
        <f>'[97]Budget-合并'!Z6</f>
        <v>46508</v>
      </c>
      <c r="X4" s="617">
        <f>'[97]Budget-合并'!AA6</f>
        <v>46539</v>
      </c>
      <c r="Y4" s="617">
        <f>'[97]Budget-合并'!AB6</f>
        <v>46569</v>
      </c>
      <c r="Z4" s="617">
        <f>'[97]Budget-合并'!AC6</f>
        <v>46600</v>
      </c>
      <c r="AA4" s="617">
        <f>'[97]Budget-合并'!AD6</f>
        <v>46631</v>
      </c>
      <c r="AB4" s="617">
        <f>'[97]Budget-合并'!AE6</f>
        <v>46661</v>
      </c>
      <c r="AC4" s="617">
        <f>'[97]Budget-合并'!AF6</f>
        <v>46692</v>
      </c>
      <c r="AD4" s="617">
        <f>'[97]Budget-合并'!AG6</f>
        <v>46722</v>
      </c>
      <c r="AE4" s="617" t="str">
        <f>'[97]Budget-合并'!AH6</f>
        <v>2027 Total</v>
      </c>
      <c r="AG4" s="619"/>
    </row>
    <row r="5" spans="1:33" s="600" customFormat="1" ht="16.5" hidden="1" customHeight="1" outlineLevel="1">
      <c r="A5" s="600" t="s">
        <v>2556</v>
      </c>
      <c r="B5" s="620"/>
      <c r="C5" s="620"/>
      <c r="D5" s="620"/>
      <c r="E5" s="620">
        <v>0</v>
      </c>
      <c r="F5" s="620">
        <v>0</v>
      </c>
      <c r="G5" s="620">
        <v>1</v>
      </c>
      <c r="H5" s="620">
        <v>0</v>
      </c>
      <c r="I5" s="620">
        <v>0</v>
      </c>
      <c r="J5" s="620">
        <v>1</v>
      </c>
      <c r="K5" s="620">
        <v>0</v>
      </c>
      <c r="L5" s="620">
        <v>0</v>
      </c>
      <c r="M5" s="620">
        <v>1</v>
      </c>
      <c r="N5" s="620">
        <v>0</v>
      </c>
      <c r="O5" s="620">
        <v>0</v>
      </c>
      <c r="P5" s="620">
        <v>1</v>
      </c>
      <c r="Q5" s="620"/>
      <c r="R5" s="620"/>
      <c r="S5" s="620"/>
      <c r="T5" s="620"/>
      <c r="U5" s="620"/>
      <c r="V5" s="620"/>
      <c r="W5" s="620"/>
      <c r="X5" s="620"/>
      <c r="Y5" s="620"/>
      <c r="Z5" s="620"/>
      <c r="AA5" s="620"/>
      <c r="AB5" s="620"/>
      <c r="AC5" s="620"/>
      <c r="AD5" s="620"/>
      <c r="AE5" s="620"/>
      <c r="AG5" s="621"/>
    </row>
    <row r="6" spans="1:33" s="600" customFormat="1" ht="16.5" hidden="1" customHeight="1" outlineLevel="1">
      <c r="A6" s="600" t="s">
        <v>2557</v>
      </c>
      <c r="B6" s="620"/>
      <c r="C6" s="620"/>
      <c r="D6" s="620"/>
      <c r="E6" s="620">
        <v>0</v>
      </c>
      <c r="F6" s="620">
        <v>0</v>
      </c>
      <c r="G6" s="620">
        <v>0</v>
      </c>
      <c r="H6" s="620">
        <v>0</v>
      </c>
      <c r="I6" s="620">
        <v>1</v>
      </c>
      <c r="J6" s="620">
        <v>0</v>
      </c>
      <c r="K6" s="620">
        <v>0</v>
      </c>
      <c r="L6" s="620">
        <v>0</v>
      </c>
      <c r="M6" s="620">
        <v>0</v>
      </c>
      <c r="N6" s="620">
        <v>0</v>
      </c>
      <c r="O6" s="620">
        <v>0</v>
      </c>
      <c r="P6" s="620">
        <v>0</v>
      </c>
      <c r="Q6" s="620"/>
      <c r="R6" s="620"/>
      <c r="S6" s="620"/>
      <c r="T6" s="620"/>
      <c r="U6" s="620"/>
      <c r="V6" s="620"/>
      <c r="W6" s="620"/>
      <c r="X6" s="620"/>
      <c r="Y6" s="620"/>
      <c r="Z6" s="620"/>
      <c r="AA6" s="620"/>
      <c r="AB6" s="620"/>
      <c r="AC6" s="620"/>
      <c r="AD6" s="620"/>
      <c r="AE6" s="620"/>
      <c r="AG6" s="621"/>
    </row>
    <row r="7" spans="1:33" s="600" customFormat="1" ht="16.5" hidden="1" customHeight="1" outlineLevel="1">
      <c r="A7" s="600" t="s">
        <v>2558</v>
      </c>
      <c r="B7" s="620"/>
      <c r="C7" s="620"/>
      <c r="D7" s="620"/>
      <c r="E7" s="620">
        <v>1</v>
      </c>
      <c r="F7" s="620">
        <v>0</v>
      </c>
      <c r="G7" s="620">
        <v>0</v>
      </c>
      <c r="H7" s="620">
        <v>1</v>
      </c>
      <c r="I7" s="620">
        <v>0</v>
      </c>
      <c r="J7" s="620">
        <v>0</v>
      </c>
      <c r="K7" s="620">
        <v>1</v>
      </c>
      <c r="L7" s="620">
        <v>0</v>
      </c>
      <c r="M7" s="620">
        <v>0</v>
      </c>
      <c r="N7" s="620">
        <v>1</v>
      </c>
      <c r="O7" s="620">
        <v>0</v>
      </c>
      <c r="P7" s="620">
        <v>0</v>
      </c>
      <c r="Q7" s="620"/>
      <c r="R7" s="620"/>
      <c r="S7" s="620"/>
      <c r="T7" s="620"/>
      <c r="U7" s="620"/>
      <c r="V7" s="620"/>
      <c r="W7" s="620"/>
      <c r="X7" s="620"/>
      <c r="Y7" s="620"/>
      <c r="Z7" s="620"/>
      <c r="AA7" s="620"/>
      <c r="AB7" s="620"/>
      <c r="AC7" s="620"/>
      <c r="AD7" s="620"/>
      <c r="AE7" s="620"/>
      <c r="AG7" s="621"/>
    </row>
    <row r="8" spans="1:33" s="600" customFormat="1" ht="16.5" hidden="1" customHeight="1" outlineLevel="1">
      <c r="B8" s="620"/>
      <c r="C8" s="620"/>
      <c r="D8" s="620"/>
      <c r="E8" s="620"/>
      <c r="F8" s="620"/>
      <c r="G8" s="620"/>
      <c r="H8" s="620"/>
      <c r="I8" s="620"/>
      <c r="J8" s="620"/>
      <c r="K8" s="620"/>
      <c r="L8" s="620"/>
      <c r="M8" s="620"/>
      <c r="N8" s="620"/>
      <c r="O8" s="620"/>
      <c r="P8" s="620"/>
      <c r="Q8" s="620"/>
      <c r="R8" s="620"/>
      <c r="S8" s="620"/>
      <c r="T8" s="620"/>
      <c r="U8" s="620"/>
      <c r="V8" s="620"/>
      <c r="W8" s="620"/>
      <c r="X8" s="620"/>
      <c r="Y8" s="620"/>
      <c r="Z8" s="620"/>
      <c r="AA8" s="620"/>
      <c r="AB8" s="620"/>
      <c r="AC8" s="620"/>
      <c r="AD8" s="620"/>
      <c r="AE8" s="620"/>
      <c r="AG8" s="621"/>
    </row>
    <row r="9" spans="1:33" s="599" customFormat="1" ht="16.5" hidden="1" customHeight="1" outlineLevel="1">
      <c r="B9" s="618"/>
      <c r="C9" s="618"/>
      <c r="D9" s="618"/>
      <c r="E9" s="618"/>
      <c r="F9" s="618"/>
      <c r="G9" s="618"/>
      <c r="H9" s="618"/>
      <c r="I9" s="618"/>
      <c r="J9" s="618"/>
      <c r="K9" s="618"/>
      <c r="L9" s="618"/>
      <c r="M9" s="618"/>
      <c r="N9" s="618"/>
      <c r="O9" s="618"/>
      <c r="P9" s="618"/>
      <c r="Q9" s="618"/>
      <c r="R9" s="618"/>
      <c r="S9" s="618"/>
      <c r="T9" s="618"/>
      <c r="U9" s="618"/>
      <c r="V9" s="618"/>
      <c r="W9" s="618"/>
      <c r="X9" s="618"/>
      <c r="Y9" s="618"/>
      <c r="Z9" s="618"/>
      <c r="AA9" s="618"/>
      <c r="AB9" s="618"/>
      <c r="AC9" s="618"/>
      <c r="AD9" s="618"/>
      <c r="AE9" s="618"/>
      <c r="AG9" s="619"/>
    </row>
    <row r="10" spans="1:33" s="601" customFormat="1" ht="16.5" customHeight="1" collapsed="1">
      <c r="A10" s="608" t="s">
        <v>2559</v>
      </c>
      <c r="B10" s="622">
        <f>INDEX($E10:$P10,1,MATCH('[97]Flash Report'!$C$2,$E$4:$P$4))</f>
        <v>5602079.7200000007</v>
      </c>
      <c r="C10" s="622">
        <f>B10</f>
        <v>5602079.7200000007</v>
      </c>
      <c r="D10" s="622"/>
      <c r="E10" s="622">
        <f>'2025年现金余额'!D11</f>
        <v>5602079.7200000007</v>
      </c>
      <c r="F10" s="622">
        <f ca="1">E58</f>
        <v>17400405.887585379</v>
      </c>
      <c r="G10" s="622">
        <f t="shared" ref="G10:P10" ca="1" si="0">F58</f>
        <v>30503794.597686213</v>
      </c>
      <c r="H10" s="622">
        <f t="shared" ca="1" si="0"/>
        <v>16298863.254521739</v>
      </c>
      <c r="I10" s="622">
        <f t="shared" ca="1" si="0"/>
        <v>19579587.872390691</v>
      </c>
      <c r="J10" s="622">
        <f t="shared" ca="1" si="0"/>
        <v>15057789.179580513</v>
      </c>
      <c r="K10" s="622">
        <f t="shared" ca="1" si="0"/>
        <v>12611780.656400185</v>
      </c>
      <c r="L10" s="622">
        <f t="shared" ca="1" si="0"/>
        <v>12001682.816567771</v>
      </c>
      <c r="M10" s="622">
        <f t="shared" ca="1" si="0"/>
        <v>29737554.073001936</v>
      </c>
      <c r="N10" s="622">
        <f t="shared" ca="1" si="0"/>
        <v>27325587.447436102</v>
      </c>
      <c r="O10" s="622">
        <f t="shared" ca="1" si="0"/>
        <v>28614763.803782631</v>
      </c>
      <c r="P10" s="622">
        <f t="shared" ca="1" si="0"/>
        <v>26439111.758546799</v>
      </c>
      <c r="Q10" s="622">
        <f>E10</f>
        <v>5602079.7200000007</v>
      </c>
      <c r="R10" s="623"/>
      <c r="S10" s="622">
        <f ca="1">P58</f>
        <v>13709470.695371341</v>
      </c>
      <c r="T10" s="622">
        <f t="shared" ref="T10:AD10" ca="1" si="1">S58</f>
        <v>13709470.695371341</v>
      </c>
      <c r="U10" s="622">
        <f t="shared" ca="1" si="1"/>
        <v>13709470.695371341</v>
      </c>
      <c r="V10" s="622">
        <f t="shared" ca="1" si="1"/>
        <v>13709470.695371341</v>
      </c>
      <c r="W10" s="622">
        <f t="shared" ca="1" si="1"/>
        <v>13709470.695371341</v>
      </c>
      <c r="X10" s="622">
        <f t="shared" ca="1" si="1"/>
        <v>13709470.695371341</v>
      </c>
      <c r="Y10" s="622">
        <f t="shared" ca="1" si="1"/>
        <v>13709470.695371341</v>
      </c>
      <c r="Z10" s="622">
        <f t="shared" ca="1" si="1"/>
        <v>13709470.695371341</v>
      </c>
      <c r="AA10" s="622">
        <f t="shared" ca="1" si="1"/>
        <v>13709470.695371341</v>
      </c>
      <c r="AB10" s="622">
        <f t="shared" ca="1" si="1"/>
        <v>13709470.695371341</v>
      </c>
      <c r="AC10" s="622">
        <f t="shared" ca="1" si="1"/>
        <v>13709470.695371341</v>
      </c>
      <c r="AD10" s="622">
        <f t="shared" ca="1" si="1"/>
        <v>13709470.695371341</v>
      </c>
      <c r="AE10" s="622">
        <f ca="1">S10</f>
        <v>13709470.695371341</v>
      </c>
      <c r="AF10" s="624"/>
    </row>
    <row r="11" spans="1:33" ht="16.5" customHeight="1">
      <c r="B11" s="625"/>
      <c r="C11" s="625"/>
      <c r="D11" s="625"/>
      <c r="E11" s="626"/>
      <c r="F11" s="626"/>
      <c r="G11" s="626"/>
      <c r="H11" s="626"/>
      <c r="I11" s="626"/>
      <c r="J11" s="626"/>
      <c r="K11" s="626"/>
      <c r="L11" s="626"/>
      <c r="M11" s="626"/>
      <c r="N11" s="626"/>
      <c r="O11" s="626"/>
      <c r="P11" s="626"/>
      <c r="Q11" s="626"/>
      <c r="R11" s="626"/>
      <c r="S11" s="626"/>
      <c r="T11" s="626"/>
      <c r="U11" s="626"/>
      <c r="V11" s="626"/>
      <c r="W11" s="626"/>
      <c r="X11" s="626"/>
      <c r="Y11" s="626"/>
      <c r="Z11" s="626"/>
      <c r="AA11" s="626"/>
      <c r="AB11" s="626"/>
      <c r="AC11" s="626"/>
      <c r="AD11" s="626"/>
      <c r="AE11" s="626"/>
    </row>
    <row r="12" spans="1:33" s="601" customFormat="1" ht="16.5" customHeight="1">
      <c r="A12" s="627" t="s">
        <v>2560</v>
      </c>
      <c r="B12" s="628">
        <f>INDEX($E12:$P12,1,MATCH($B$4,$E$4:$P$4))</f>
        <v>0</v>
      </c>
      <c r="C12" s="628">
        <f ca="1">SUM($E12:OFFSET($E12,0,MATCH($C$4,$E$4:$P$4)-1))</f>
        <v>0</v>
      </c>
      <c r="D12" s="628"/>
      <c r="E12" s="628">
        <f t="shared" ref="E12:Q12" si="2">SUM(E13:E17)</f>
        <v>0</v>
      </c>
      <c r="F12" s="628">
        <f t="shared" si="2"/>
        <v>0</v>
      </c>
      <c r="G12" s="628">
        <f t="shared" si="2"/>
        <v>16460</v>
      </c>
      <c r="H12" s="628">
        <f t="shared" si="2"/>
        <v>182145.17884975369</v>
      </c>
      <c r="I12" s="628">
        <f t="shared" si="2"/>
        <v>3066726.1040889891</v>
      </c>
      <c r="J12" s="628">
        <f t="shared" si="2"/>
        <v>437921.47371883737</v>
      </c>
      <c r="K12" s="628">
        <f t="shared" si="2"/>
        <v>1652002.1337334199</v>
      </c>
      <c r="L12" s="628">
        <f t="shared" si="2"/>
        <v>0</v>
      </c>
      <c r="M12" s="628">
        <f t="shared" si="2"/>
        <v>0</v>
      </c>
      <c r="N12" s="628">
        <f t="shared" si="2"/>
        <v>3580880.6579123605</v>
      </c>
      <c r="O12" s="628">
        <f t="shared" si="2"/>
        <v>0</v>
      </c>
      <c r="P12" s="628">
        <f t="shared" si="2"/>
        <v>246716.32322188024</v>
      </c>
      <c r="Q12" s="628">
        <f t="shared" si="2"/>
        <v>9182851.8715252411</v>
      </c>
      <c r="R12" s="623"/>
      <c r="S12" s="628">
        <f t="shared" ref="S12:AD12" si="3">SUM(S13:S17)</f>
        <v>0</v>
      </c>
      <c r="T12" s="628">
        <f t="shared" si="3"/>
        <v>0</v>
      </c>
      <c r="U12" s="628">
        <f t="shared" si="3"/>
        <v>0</v>
      </c>
      <c r="V12" s="628">
        <f t="shared" si="3"/>
        <v>0</v>
      </c>
      <c r="W12" s="628">
        <f t="shared" si="3"/>
        <v>0</v>
      </c>
      <c r="X12" s="628">
        <f t="shared" si="3"/>
        <v>0</v>
      </c>
      <c r="Y12" s="628">
        <f t="shared" si="3"/>
        <v>0</v>
      </c>
      <c r="Z12" s="628">
        <f t="shared" si="3"/>
        <v>0</v>
      </c>
      <c r="AA12" s="628">
        <f t="shared" si="3"/>
        <v>0</v>
      </c>
      <c r="AB12" s="628">
        <f t="shared" si="3"/>
        <v>0</v>
      </c>
      <c r="AC12" s="628">
        <f t="shared" si="3"/>
        <v>0</v>
      </c>
      <c r="AD12" s="628">
        <f t="shared" si="3"/>
        <v>0</v>
      </c>
      <c r="AE12" s="628">
        <f t="shared" ref="AE12" si="4">SUM(AE13:AE17)</f>
        <v>0</v>
      </c>
    </row>
    <row r="13" spans="1:33" ht="16.5" customHeight="1">
      <c r="A13" s="629" t="s">
        <v>2561</v>
      </c>
      <c r="B13" s="626">
        <f>INDEX($E13:$P13,1,MATCH($B$4,$E$4:$P$4))</f>
        <v>0</v>
      </c>
      <c r="C13" s="626">
        <f ca="1">SUM($E13:OFFSET($E13,0,MATCH($C$4,$E$4:$P$4)-1))</f>
        <v>0</v>
      </c>
      <c r="D13" s="626"/>
      <c r="E13" s="626">
        <f>SUMIF('CF-ACPL'!$A:$A,$A13,'CF-ACPL'!E:E)+SUMIF('CF-ACPLHK'!$A:$A,$A13,'CF-ACPLHK'!E:E)+SUMIF('CF-ACPLSZ'!$A:$A,$A13,'CF-ACPLSZ'!E:E)+SUMIF('CF-ACPSZL'!$A:$A,$A13,'CF-ACPSZL'!E:E)+SUMIF('CF-ACPLGZ'!$A:$A,$A13,'CF-ACPLGZ'!E:E)+SUMIF('CF-ACPLYixing'!$A:$A,$A13,'CF-ACPLYixing'!E:E)</f>
        <v>0</v>
      </c>
      <c r="F13" s="626">
        <f>SUMIF('CF-ACPL'!$A:$A,$A13,'CF-ACPL'!F:F)+SUMIF('CF-ACPLHK'!$A:$A,$A13,'CF-ACPLHK'!F:F)+SUMIF('CF-ACPLSZ'!$A:$A,$A13,'CF-ACPLSZ'!F:F)+SUMIF('CF-ACPSZL'!$A:$A,$A13,'CF-ACPSZL'!F:F)+SUMIF('CF-ACPLGZ'!$A:$A,$A13,'CF-ACPLGZ'!F:F)+SUMIF('CF-ACPLYixing'!$A:$A,$A13,'CF-ACPLYixing'!F:F)</f>
        <v>0</v>
      </c>
      <c r="G13" s="626">
        <f>SUMIF('CF-ACPL'!$A:$A,$A13,'CF-ACPL'!G:G)+SUMIF('CF-ACPLHK'!$A:$A,$A13,'CF-ACPLHK'!G:G)+SUMIF('CF-ACPLSZ'!$A:$A,$A13,'CF-ACPLSZ'!G:G)+SUMIF('CF-ACPSZL'!$A:$A,$A13,'CF-ACPSZL'!G:G)+SUMIF('CF-ACPLGZ'!$A:$A,$A13,'CF-ACPLGZ'!G:G)+SUMIF('CF-ACPLYixing'!$A:$A,$A13,'CF-ACPLYixing'!G:G)</f>
        <v>0</v>
      </c>
      <c r="H13" s="626">
        <f>SUMIF('CF-ACPL'!$A:$A,$A13,'CF-ACPL'!H:H)+SUMIF('CF-ACPLHK'!$A:$A,$A13,'CF-ACPLHK'!H:H)+SUMIF('CF-ACPLSZ'!$A:$A,$A13,'CF-ACPLSZ'!H:H)+SUMIF('CF-ACPSZL'!$A:$A,$A13,'CF-ACPSZL'!H:H)+SUMIF('CF-ACPLGZ'!$A:$A,$A13,'CF-ACPLGZ'!H:H)+SUMIF('CF-ACPLYixing'!$A:$A,$A13,'CF-ACPLYixing'!H:H)</f>
        <v>0</v>
      </c>
      <c r="I13" s="626">
        <f>SUMIF('CF-ACPL'!$A:$A,$A13,'CF-ACPL'!I:I)+SUMIF('CF-ACPLHK'!$A:$A,$A13,'CF-ACPLHK'!I:I)+SUMIF('CF-ACPLSZ'!$A:$A,$A13,'CF-ACPLSZ'!I:I)+SUMIF('CF-ACPSZL'!$A:$A,$A13,'CF-ACPSZL'!I:I)+SUMIF('CF-ACPLGZ'!$A:$A,$A13,'CF-ACPLGZ'!I:I)+SUMIF('CF-ACPLYixing'!$A:$A,$A13,'CF-ACPLYixing'!I:I)</f>
        <v>3066726.1040889891</v>
      </c>
      <c r="J13" s="626">
        <f>SUMIF('CF-ACPL'!$A:$A,$A13,'CF-ACPL'!J:J)+SUMIF('CF-ACPLHK'!$A:$A,$A13,'CF-ACPLHK'!J:J)+SUMIF('CF-ACPLSZ'!$A:$A,$A13,'CF-ACPLSZ'!J:J)+SUMIF('CF-ACPSZL'!$A:$A,$A13,'CF-ACPSZL'!J:J)+SUMIF('CF-ACPLGZ'!$A:$A,$A13,'CF-ACPLGZ'!J:J)+SUMIF('CF-ACPLYixing'!$A:$A,$A13,'CF-ACPLYixing'!J:J)</f>
        <v>0</v>
      </c>
      <c r="K13" s="626">
        <f>SUMIF('CF-ACPL'!$A:$A,$A13,'CF-ACPL'!K:K)+SUMIF('CF-ACPLHK'!$A:$A,$A13,'CF-ACPLHK'!K:K)+SUMIF('CF-ACPLSZ'!$A:$A,$A13,'CF-ACPLSZ'!K:K)+SUMIF('CF-ACPSZL'!$A:$A,$A13,'CF-ACPSZL'!K:K)+SUMIF('CF-ACPLGZ'!$A:$A,$A13,'CF-ACPLGZ'!K:K)+SUMIF('CF-ACPLYixing'!$A:$A,$A13,'CF-ACPLYixing'!K:K)</f>
        <v>1652002.1337334199</v>
      </c>
      <c r="L13" s="626">
        <f>SUMIF('CF-ACPL'!$A:$A,$A13,'CF-ACPL'!L:L)+SUMIF('CF-ACPLHK'!$A:$A,$A13,'CF-ACPLHK'!L:L)+SUMIF('CF-ACPLSZ'!$A:$A,$A13,'CF-ACPLSZ'!L:L)+SUMIF('CF-ACPSZL'!$A:$A,$A13,'CF-ACPSZL'!L:L)+SUMIF('CF-ACPLGZ'!$A:$A,$A13,'CF-ACPLGZ'!L:L)+SUMIF('CF-ACPLYixing'!$A:$A,$A13,'CF-ACPLYixing'!L:L)</f>
        <v>0</v>
      </c>
      <c r="M13" s="626">
        <f>SUMIF('CF-ACPL'!$A:$A,$A13,'CF-ACPL'!M:M)+SUMIF('CF-ACPLHK'!$A:$A,$A13,'CF-ACPLHK'!M:M)+SUMIF('CF-ACPLSZ'!$A:$A,$A13,'CF-ACPLSZ'!M:M)+SUMIF('CF-ACPSZL'!$A:$A,$A13,'CF-ACPSZL'!M:M)+SUMIF('CF-ACPLGZ'!$A:$A,$A13,'CF-ACPLGZ'!M:M)+SUMIF('CF-ACPLYixing'!$A:$A,$A13,'CF-ACPLYixing'!M:M)</f>
        <v>0</v>
      </c>
      <c r="N13" s="626">
        <f>SUMIF('CF-ACPL'!$A:$A,$A13,'CF-ACPL'!N:N)+SUMIF('CF-ACPLHK'!$A:$A,$A13,'CF-ACPLHK'!N:N)+SUMIF('CF-ACPLSZ'!$A:$A,$A13,'CF-ACPLSZ'!N:N)+SUMIF('CF-ACPSZL'!$A:$A,$A13,'CF-ACPSZL'!N:N)+SUMIF('CF-ACPLGZ'!$A:$A,$A13,'CF-ACPLGZ'!N:N)+SUMIF('CF-ACPLYixing'!$A:$A,$A13,'CF-ACPLYixing'!N:N)</f>
        <v>3580880.6579123605</v>
      </c>
      <c r="O13" s="626">
        <f>SUMIF('CF-ACPL'!$A:$A,$A13,'CF-ACPL'!O:O)+SUMIF('CF-ACPLHK'!$A:$A,$A13,'CF-ACPLHK'!O:O)+SUMIF('CF-ACPLSZ'!$A:$A,$A13,'CF-ACPLSZ'!O:O)+SUMIF('CF-ACPSZL'!$A:$A,$A13,'CF-ACPSZL'!O:O)+SUMIF('CF-ACPLGZ'!$A:$A,$A13,'CF-ACPLGZ'!O:O)+SUMIF('CF-ACPLYixing'!$A:$A,$A13,'CF-ACPLYixing'!O:O)</f>
        <v>0</v>
      </c>
      <c r="P13" s="626">
        <f>SUMIF('CF-ACPL'!$A:$A,$A13,'CF-ACPL'!P:P)+SUMIF('CF-ACPLHK'!$A:$A,$A13,'CF-ACPLHK'!P:P)+SUMIF('CF-ACPLSZ'!$A:$A,$A13,'CF-ACPLSZ'!P:P)+SUMIF('CF-ACPSZL'!$A:$A,$A13,'CF-ACPSZL'!P:P)+SUMIF('CF-ACPLGZ'!$A:$A,$A13,'CF-ACPLGZ'!P:P)+SUMIF('CF-ACPLYixing'!$A:$A,$A13,'CF-ACPLYixing'!P:P)</f>
        <v>0</v>
      </c>
      <c r="Q13" s="626">
        <f>SUM(E13:P13)</f>
        <v>8299608.8957347693</v>
      </c>
      <c r="R13" s="626"/>
      <c r="S13" s="626">
        <f>SUMIF('CF-ACPL'!$A:$A,$A13,'CF-ACPL'!S:S)+SUMIF('CF-ACPLHK'!$A:$A,$A13,'CF-ACPLHK'!S:S)+SUMIF('CF-ACPLSZ'!$A:$A,$A13,'CF-ACPLSZ'!S:S)+SUMIF('CF-ACPSZL'!$A:$A,$A13,'CF-ACPSZL'!S:S)+SUMIF('CF-ACPLGZ'!$A:$A,$A13,'CF-ACPLGZ'!S:S)+SUMIF('CF-ACPLYixing'!$A:$A,$A13,'CF-ACPLYixing'!S:S)</f>
        <v>0</v>
      </c>
      <c r="T13" s="626">
        <f>SUMIF('CF-ACPL'!$A:$A,$A13,'CF-ACPL'!T:T)+SUMIF('CF-ACPLHK'!$A:$A,$A13,'CF-ACPLHK'!T:T)+SUMIF('CF-ACPLSZ'!$A:$A,$A13,'CF-ACPLSZ'!T:T)+SUMIF('CF-ACPSZL'!$A:$A,$A13,'CF-ACPSZL'!T:T)+SUMIF('CF-ACPLGZ'!$A:$A,$A13,'CF-ACPLGZ'!T:T)+SUMIF('CF-ACPLYixing'!$A:$A,$A13,'CF-ACPLYixing'!T:T)</f>
        <v>0</v>
      </c>
      <c r="U13" s="626">
        <f>SUMIF('CF-ACPL'!$A:$A,$A13,'CF-ACPL'!U:U)+SUMIF('CF-ACPLHK'!$A:$A,$A13,'CF-ACPLHK'!U:U)+SUMIF('CF-ACPLSZ'!$A:$A,$A13,'CF-ACPLSZ'!U:U)+SUMIF('CF-ACPSZL'!$A:$A,$A13,'CF-ACPSZL'!U:U)+SUMIF('CF-ACPLGZ'!$A:$A,$A13,'CF-ACPLGZ'!U:U)+SUMIF('CF-ACPLYixing'!$A:$A,$A13,'CF-ACPLYixing'!U:U)</f>
        <v>0</v>
      </c>
      <c r="V13" s="626">
        <f>SUMIF('CF-ACPL'!$A:$A,$A13,'CF-ACPL'!V:V)+SUMIF('CF-ACPLHK'!$A:$A,$A13,'CF-ACPLHK'!V:V)+SUMIF('CF-ACPLSZ'!$A:$A,$A13,'CF-ACPLSZ'!V:V)+SUMIF('CF-ACPSZL'!$A:$A,$A13,'CF-ACPSZL'!V:V)+SUMIF('CF-ACPLGZ'!$A:$A,$A13,'CF-ACPLGZ'!V:V)+SUMIF('CF-ACPLYixing'!$A:$A,$A13,'CF-ACPLYixing'!V:V)</f>
        <v>0</v>
      </c>
      <c r="W13" s="626">
        <f>SUMIF('CF-ACPL'!$A:$A,$A13,'CF-ACPL'!W:W)+SUMIF('CF-ACPLHK'!$A:$A,$A13,'CF-ACPLHK'!W:W)+SUMIF('CF-ACPLSZ'!$A:$A,$A13,'CF-ACPLSZ'!W:W)+SUMIF('CF-ACPSZL'!$A:$A,$A13,'CF-ACPSZL'!W:W)+SUMIF('CF-ACPLGZ'!$A:$A,$A13,'CF-ACPLGZ'!W:W)+SUMIF('CF-ACPLYixing'!$A:$A,$A13,'CF-ACPLYixing'!W:W)</f>
        <v>0</v>
      </c>
      <c r="X13" s="626">
        <f>SUMIF('CF-ACPL'!$A:$A,$A13,'CF-ACPL'!X:X)+SUMIF('CF-ACPLHK'!$A:$A,$A13,'CF-ACPLHK'!X:X)+SUMIF('CF-ACPLSZ'!$A:$A,$A13,'CF-ACPLSZ'!X:X)+SUMIF('CF-ACPSZL'!$A:$A,$A13,'CF-ACPSZL'!X:X)+SUMIF('CF-ACPLGZ'!$A:$A,$A13,'CF-ACPLGZ'!X:X)+SUMIF('CF-ACPLYixing'!$A:$A,$A13,'CF-ACPLYixing'!X:X)</f>
        <v>0</v>
      </c>
      <c r="Y13" s="626">
        <f>SUMIF('CF-ACPL'!$A:$A,$A13,'CF-ACPL'!Y:Y)+SUMIF('CF-ACPLHK'!$A:$A,$A13,'CF-ACPLHK'!Y:Y)+SUMIF('CF-ACPLSZ'!$A:$A,$A13,'CF-ACPLSZ'!Y:Y)+SUMIF('CF-ACPSZL'!$A:$A,$A13,'CF-ACPSZL'!Y:Y)+SUMIF('CF-ACPLGZ'!$A:$A,$A13,'CF-ACPLGZ'!Y:Y)+SUMIF('CF-ACPLYixing'!$A:$A,$A13,'CF-ACPLYixing'!Y:Y)</f>
        <v>0</v>
      </c>
      <c r="Z13" s="626">
        <f>SUMIF('CF-ACPL'!$A:$A,$A13,'CF-ACPL'!Z:Z)+SUMIF('CF-ACPLHK'!$A:$A,$A13,'CF-ACPLHK'!Z:Z)+SUMIF('CF-ACPLSZ'!$A:$A,$A13,'CF-ACPLSZ'!Z:Z)+SUMIF('CF-ACPSZL'!$A:$A,$A13,'CF-ACPSZL'!Z:Z)+SUMIF('CF-ACPLGZ'!$A:$A,$A13,'CF-ACPLGZ'!Z:Z)+SUMIF('CF-ACPLYixing'!$A:$A,$A13,'CF-ACPLYixing'!Z:Z)</f>
        <v>0</v>
      </c>
      <c r="AA13" s="626">
        <f>SUMIF('CF-ACPL'!$A:$A,$A13,'CF-ACPL'!AA:AA)+SUMIF('CF-ACPLHK'!$A:$A,$A13,'CF-ACPLHK'!AA:AA)+SUMIF('CF-ACPLSZ'!$A:$A,$A13,'CF-ACPLSZ'!AA:AA)+SUMIF('CF-ACPSZL'!$A:$A,$A13,'CF-ACPSZL'!AA:AA)+SUMIF('CF-ACPLGZ'!$A:$A,$A13,'CF-ACPLGZ'!AA:AA)+SUMIF('CF-ACPLYixing'!$A:$A,$A13,'CF-ACPLYixing'!AA:AA)</f>
        <v>0</v>
      </c>
      <c r="AB13" s="626">
        <f>SUMIF('CF-ACPL'!$A:$A,$A13,'CF-ACPL'!AB:AB)+SUMIF('CF-ACPLHK'!$A:$A,$A13,'CF-ACPLHK'!AB:AB)+SUMIF('CF-ACPLSZ'!$A:$A,$A13,'CF-ACPLSZ'!AB:AB)+SUMIF('CF-ACPSZL'!$A:$A,$A13,'CF-ACPSZL'!AB:AB)+SUMIF('CF-ACPLGZ'!$A:$A,$A13,'CF-ACPLGZ'!AB:AB)+SUMIF('CF-ACPLYixing'!$A:$A,$A13,'CF-ACPLYixing'!AB:AB)</f>
        <v>0</v>
      </c>
      <c r="AC13" s="626">
        <f>SUMIF('CF-ACPL'!$A:$A,$A13,'CF-ACPL'!AC:AC)+SUMIF('CF-ACPLHK'!$A:$A,$A13,'CF-ACPLHK'!AC:AC)+SUMIF('CF-ACPLSZ'!$A:$A,$A13,'CF-ACPLSZ'!AC:AC)+SUMIF('CF-ACPSZL'!$A:$A,$A13,'CF-ACPSZL'!AC:AC)+SUMIF('CF-ACPLGZ'!$A:$A,$A13,'CF-ACPLGZ'!AC:AC)+SUMIF('CF-ACPLYixing'!$A:$A,$A13,'CF-ACPLYixing'!AC:AC)</f>
        <v>0</v>
      </c>
      <c r="AD13" s="626">
        <f>SUMIF('CF-ACPL'!$A:$A,$A13,'CF-ACPL'!AD:AD)+SUMIF('CF-ACPLHK'!$A:$A,$A13,'CF-ACPLHK'!AD:AD)+SUMIF('CF-ACPLSZ'!$A:$A,$A13,'CF-ACPLSZ'!AD:AD)+SUMIF('CF-ACPSZL'!$A:$A,$A13,'CF-ACPSZL'!AD:AD)+SUMIF('CF-ACPLGZ'!$A:$A,$A13,'CF-ACPLGZ'!AD:AD)+SUMIF('CF-ACPLYixing'!$A:$A,$A13,'CF-ACPLYixing'!AD:AD)</f>
        <v>0</v>
      </c>
      <c r="AE13" s="626">
        <f>SUM(S13:AD13)</f>
        <v>0</v>
      </c>
    </row>
    <row r="14" spans="1:33" ht="16.5" customHeight="1">
      <c r="A14" s="629" t="s">
        <v>2562</v>
      </c>
      <c r="B14" s="623"/>
      <c r="C14" s="626"/>
      <c r="D14" s="626"/>
      <c r="E14" s="626">
        <f>SUMIF('CF-ACPL'!$A:$A,$A14,'CF-ACPL'!E:E)+SUMIF('CF-ACPLHK'!$A:$A,$A14,'CF-ACPLHK'!E:E)+SUMIF('CF-ACPLSZ'!$A:$A,$A14,'CF-ACPLSZ'!E:E)+SUMIF('CF-ACPSZL'!$A:$A,$A14,'CF-ACPSZL'!E:E)+SUMIF('CF-ACPLGZ'!$A:$A,$A14,'CF-ACPLGZ'!E:E)+SUMIF('CF-ACPLYixing'!$A:$A,$A14,'CF-ACPLYixing'!E:E)</f>
        <v>0</v>
      </c>
      <c r="F14" s="626">
        <f>SUMIF('CF-ACPL'!$A:$A,$A14,'CF-ACPL'!F:F)+SUMIF('CF-ACPLHK'!$A:$A,$A14,'CF-ACPLHK'!F:F)+SUMIF('CF-ACPLSZ'!$A:$A,$A14,'CF-ACPLSZ'!F:F)+SUMIF('CF-ACPSZL'!$A:$A,$A14,'CF-ACPSZL'!F:F)+SUMIF('CF-ACPLGZ'!$A:$A,$A14,'CF-ACPLGZ'!F:F)+SUMIF('CF-ACPLYixing'!$A:$A,$A14,'CF-ACPLYixing'!F:F)</f>
        <v>0</v>
      </c>
      <c r="G14" s="626">
        <f>SUMIF('CF-ACPL'!$A:$A,$A14,'CF-ACPL'!G:G)+SUMIF('CF-ACPLHK'!$A:$A,$A14,'CF-ACPLHK'!G:G)+SUMIF('CF-ACPLSZ'!$A:$A,$A14,'CF-ACPLSZ'!G:G)+SUMIF('CF-ACPSZL'!$A:$A,$A14,'CF-ACPSZL'!G:G)+SUMIF('CF-ACPLGZ'!$A:$A,$A14,'CF-ACPLGZ'!G:G)+SUMIF('CF-ACPLYixing'!$A:$A,$A14,'CF-ACPLYixing'!G:G)</f>
        <v>0</v>
      </c>
      <c r="H14" s="626">
        <f>SUMIF('CF-ACPL'!$A:$A,$A14,'CF-ACPL'!H:H)+SUMIF('CF-ACPLHK'!$A:$A,$A14,'CF-ACPLHK'!H:H)+SUMIF('CF-ACPLSZ'!$A:$A,$A14,'CF-ACPLSZ'!H:H)+SUMIF('CF-ACPSZL'!$A:$A,$A14,'CF-ACPSZL'!H:H)+SUMIF('CF-ACPLGZ'!$A:$A,$A14,'CF-ACPLGZ'!H:H)+SUMIF('CF-ACPLYixing'!$A:$A,$A14,'CF-ACPLYixing'!H:H)</f>
        <v>182145.17884975369</v>
      </c>
      <c r="I14" s="626">
        <f>SUMIF('CF-ACPL'!$A:$A,$A14,'CF-ACPL'!I:I)+SUMIF('CF-ACPLHK'!$A:$A,$A14,'CF-ACPLHK'!I:I)+SUMIF('CF-ACPLSZ'!$A:$A,$A14,'CF-ACPLSZ'!I:I)+SUMIF('CF-ACPSZL'!$A:$A,$A14,'CF-ACPSZL'!I:I)+SUMIF('CF-ACPLGZ'!$A:$A,$A14,'CF-ACPLGZ'!I:I)+SUMIF('CF-ACPLYixing'!$A:$A,$A14,'CF-ACPLYixing'!I:I)</f>
        <v>0</v>
      </c>
      <c r="J14" s="626">
        <f>SUMIF('CF-ACPL'!$A:$A,$A14,'CF-ACPL'!J:J)+SUMIF('CF-ACPLHK'!$A:$A,$A14,'CF-ACPLHK'!J:J)+SUMIF('CF-ACPLSZ'!$A:$A,$A14,'CF-ACPLSZ'!J:J)+SUMIF('CF-ACPSZL'!$A:$A,$A14,'CF-ACPSZL'!J:J)+SUMIF('CF-ACPLGZ'!$A:$A,$A14,'CF-ACPLGZ'!J:J)+SUMIF('CF-ACPLYixing'!$A:$A,$A14,'CF-ACPLYixing'!J:J)</f>
        <v>437921.47371883737</v>
      </c>
      <c r="K14" s="626">
        <f>SUMIF('CF-ACPL'!$A:$A,$A14,'CF-ACPL'!K:K)+SUMIF('CF-ACPLHK'!$A:$A,$A14,'CF-ACPLHK'!K:K)+SUMIF('CF-ACPLSZ'!$A:$A,$A14,'CF-ACPLSZ'!K:K)+SUMIF('CF-ACPSZL'!$A:$A,$A14,'CF-ACPSZL'!K:K)+SUMIF('CF-ACPLGZ'!$A:$A,$A14,'CF-ACPLGZ'!K:K)+SUMIF('CF-ACPLYixing'!$A:$A,$A14,'CF-ACPLYixing'!K:K)</f>
        <v>0</v>
      </c>
      <c r="L14" s="626">
        <f>SUMIF('CF-ACPL'!$A:$A,$A14,'CF-ACPL'!L:L)+SUMIF('CF-ACPLHK'!$A:$A,$A14,'CF-ACPLHK'!L:L)+SUMIF('CF-ACPLSZ'!$A:$A,$A14,'CF-ACPLSZ'!L:L)+SUMIF('CF-ACPSZL'!$A:$A,$A14,'CF-ACPSZL'!L:L)+SUMIF('CF-ACPLGZ'!$A:$A,$A14,'CF-ACPLGZ'!L:L)+SUMIF('CF-ACPLYixing'!$A:$A,$A14,'CF-ACPLYixing'!L:L)</f>
        <v>0</v>
      </c>
      <c r="M14" s="626">
        <f>SUMIF('CF-ACPL'!$A:$A,$A14,'CF-ACPL'!M:M)+SUMIF('CF-ACPLHK'!$A:$A,$A14,'CF-ACPLHK'!M:M)+SUMIF('CF-ACPLSZ'!$A:$A,$A14,'CF-ACPLSZ'!M:M)+SUMIF('CF-ACPSZL'!$A:$A,$A14,'CF-ACPSZL'!M:M)+SUMIF('CF-ACPLGZ'!$A:$A,$A14,'CF-ACPLGZ'!M:M)+SUMIF('CF-ACPLYixing'!$A:$A,$A14,'CF-ACPLYixing'!M:M)</f>
        <v>0</v>
      </c>
      <c r="N14" s="626">
        <f>SUMIF('CF-ACPL'!$A:$A,$A14,'CF-ACPL'!N:N)+SUMIF('CF-ACPLHK'!$A:$A,$A14,'CF-ACPLHK'!N:N)+SUMIF('CF-ACPLSZ'!$A:$A,$A14,'CF-ACPLSZ'!N:N)+SUMIF('CF-ACPSZL'!$A:$A,$A14,'CF-ACPSZL'!N:N)+SUMIF('CF-ACPLGZ'!$A:$A,$A14,'CF-ACPLGZ'!N:N)+SUMIF('CF-ACPLYixing'!$A:$A,$A14,'CF-ACPLYixing'!N:N)</f>
        <v>0</v>
      </c>
      <c r="O14" s="626">
        <f>SUMIF('CF-ACPL'!$A:$A,$A14,'CF-ACPL'!O:O)+SUMIF('CF-ACPLHK'!$A:$A,$A14,'CF-ACPLHK'!O:O)+SUMIF('CF-ACPLSZ'!$A:$A,$A14,'CF-ACPLSZ'!O:O)+SUMIF('CF-ACPSZL'!$A:$A,$A14,'CF-ACPSZL'!O:O)+SUMIF('CF-ACPLGZ'!$A:$A,$A14,'CF-ACPLGZ'!O:O)+SUMIF('CF-ACPLYixing'!$A:$A,$A14,'CF-ACPLYixing'!O:O)</f>
        <v>0</v>
      </c>
      <c r="P14" s="626">
        <f>SUMIF('CF-ACPL'!$A:$A,$A14,'CF-ACPL'!P:P)+SUMIF('CF-ACPLHK'!$A:$A,$A14,'CF-ACPLHK'!P:P)+SUMIF('CF-ACPLSZ'!$A:$A,$A14,'CF-ACPLSZ'!P:P)+SUMIF('CF-ACPSZL'!$A:$A,$A14,'CF-ACPSZL'!P:P)+SUMIF('CF-ACPLGZ'!$A:$A,$A14,'CF-ACPLGZ'!P:P)+SUMIF('CF-ACPLYixing'!$A:$A,$A14,'CF-ACPLYixing'!P:P)</f>
        <v>246716.32322188024</v>
      </c>
      <c r="Q14" s="626">
        <f>SUM(E14:P14)</f>
        <v>866782.9757904713</v>
      </c>
      <c r="R14" s="626"/>
      <c r="S14" s="626">
        <f>SUMIF('CF-ACPL'!$A:$A,$A14,'CF-ACPL'!S:S)+SUMIF('CF-ACPLHK'!$A:$A,$A14,'CF-ACPLHK'!S:S)+SUMIF('CF-ACPLSZ'!$A:$A,$A14,'CF-ACPLSZ'!S:S)+SUMIF('CF-ACPSZL'!$A:$A,$A14,'CF-ACPSZL'!S:S)+SUMIF('CF-ACPLGZ'!$A:$A,$A14,'CF-ACPLGZ'!S:S)+SUMIF('CF-ACPLYixing'!$A:$A,$A14,'CF-ACPLYixing'!S:S)</f>
        <v>0</v>
      </c>
      <c r="T14" s="626">
        <f>SUMIF('CF-ACPL'!$A:$A,$A14,'CF-ACPL'!T:T)+SUMIF('CF-ACPLHK'!$A:$A,$A14,'CF-ACPLHK'!T:T)+SUMIF('CF-ACPLSZ'!$A:$A,$A14,'CF-ACPLSZ'!T:T)+SUMIF('CF-ACPSZL'!$A:$A,$A14,'CF-ACPSZL'!T:T)+SUMIF('CF-ACPLGZ'!$A:$A,$A14,'CF-ACPLGZ'!T:T)+SUMIF('CF-ACPLYixing'!$A:$A,$A14,'CF-ACPLYixing'!T:T)</f>
        <v>0</v>
      </c>
      <c r="U14" s="626">
        <f>SUMIF('CF-ACPL'!$A:$A,$A14,'CF-ACPL'!U:U)+SUMIF('CF-ACPLHK'!$A:$A,$A14,'CF-ACPLHK'!U:U)+SUMIF('CF-ACPLSZ'!$A:$A,$A14,'CF-ACPLSZ'!U:U)+SUMIF('CF-ACPSZL'!$A:$A,$A14,'CF-ACPSZL'!U:U)+SUMIF('CF-ACPLGZ'!$A:$A,$A14,'CF-ACPLGZ'!U:U)+SUMIF('CF-ACPLYixing'!$A:$A,$A14,'CF-ACPLYixing'!U:U)</f>
        <v>0</v>
      </c>
      <c r="V14" s="626">
        <f>SUMIF('CF-ACPL'!$A:$A,$A14,'CF-ACPL'!V:V)+SUMIF('CF-ACPLHK'!$A:$A,$A14,'CF-ACPLHK'!V:V)+SUMIF('CF-ACPLSZ'!$A:$A,$A14,'CF-ACPLSZ'!V:V)+SUMIF('CF-ACPSZL'!$A:$A,$A14,'CF-ACPSZL'!V:V)+SUMIF('CF-ACPLGZ'!$A:$A,$A14,'CF-ACPLGZ'!V:V)+SUMIF('CF-ACPLYixing'!$A:$A,$A14,'CF-ACPLYixing'!V:V)</f>
        <v>0</v>
      </c>
      <c r="W14" s="626">
        <f>SUMIF('CF-ACPL'!$A:$A,$A14,'CF-ACPL'!W:W)+SUMIF('CF-ACPLHK'!$A:$A,$A14,'CF-ACPLHK'!W:W)+SUMIF('CF-ACPLSZ'!$A:$A,$A14,'CF-ACPLSZ'!W:W)+SUMIF('CF-ACPSZL'!$A:$A,$A14,'CF-ACPSZL'!W:W)+SUMIF('CF-ACPLGZ'!$A:$A,$A14,'CF-ACPLGZ'!W:W)+SUMIF('CF-ACPLYixing'!$A:$A,$A14,'CF-ACPLYixing'!W:W)</f>
        <v>0</v>
      </c>
      <c r="X14" s="626">
        <f>SUMIF('CF-ACPL'!$A:$A,$A14,'CF-ACPL'!X:X)+SUMIF('CF-ACPLHK'!$A:$A,$A14,'CF-ACPLHK'!X:X)+SUMIF('CF-ACPLSZ'!$A:$A,$A14,'CF-ACPLSZ'!X:X)+SUMIF('CF-ACPSZL'!$A:$A,$A14,'CF-ACPSZL'!X:X)+SUMIF('CF-ACPLGZ'!$A:$A,$A14,'CF-ACPLGZ'!X:X)+SUMIF('CF-ACPLYixing'!$A:$A,$A14,'CF-ACPLYixing'!X:X)</f>
        <v>0</v>
      </c>
      <c r="Y14" s="626">
        <f>SUMIF('CF-ACPL'!$A:$A,$A14,'CF-ACPL'!Y:Y)+SUMIF('CF-ACPLHK'!$A:$A,$A14,'CF-ACPLHK'!Y:Y)+SUMIF('CF-ACPLSZ'!$A:$A,$A14,'CF-ACPLSZ'!Y:Y)+SUMIF('CF-ACPSZL'!$A:$A,$A14,'CF-ACPSZL'!Y:Y)+SUMIF('CF-ACPLGZ'!$A:$A,$A14,'CF-ACPLGZ'!Y:Y)+SUMIF('CF-ACPLYixing'!$A:$A,$A14,'CF-ACPLYixing'!Y:Y)</f>
        <v>0</v>
      </c>
      <c r="Z14" s="626">
        <f>SUMIF('CF-ACPL'!$A:$A,$A14,'CF-ACPL'!Z:Z)+SUMIF('CF-ACPLHK'!$A:$A,$A14,'CF-ACPLHK'!Z:Z)+SUMIF('CF-ACPLSZ'!$A:$A,$A14,'CF-ACPLSZ'!Z:Z)+SUMIF('CF-ACPSZL'!$A:$A,$A14,'CF-ACPSZL'!Z:Z)+SUMIF('CF-ACPLGZ'!$A:$A,$A14,'CF-ACPLGZ'!Z:Z)+SUMIF('CF-ACPLYixing'!$A:$A,$A14,'CF-ACPLYixing'!Z:Z)</f>
        <v>0</v>
      </c>
      <c r="AA14" s="626">
        <f>SUMIF('CF-ACPL'!$A:$A,$A14,'CF-ACPL'!AA:AA)+SUMIF('CF-ACPLHK'!$A:$A,$A14,'CF-ACPLHK'!AA:AA)+SUMIF('CF-ACPLSZ'!$A:$A,$A14,'CF-ACPLSZ'!AA:AA)+SUMIF('CF-ACPSZL'!$A:$A,$A14,'CF-ACPSZL'!AA:AA)+SUMIF('CF-ACPLGZ'!$A:$A,$A14,'CF-ACPLGZ'!AA:AA)+SUMIF('CF-ACPLYixing'!$A:$A,$A14,'CF-ACPLYixing'!AA:AA)</f>
        <v>0</v>
      </c>
      <c r="AB14" s="626">
        <f>SUMIF('CF-ACPL'!$A:$A,$A14,'CF-ACPL'!AB:AB)+SUMIF('CF-ACPLHK'!$A:$A,$A14,'CF-ACPLHK'!AB:AB)+SUMIF('CF-ACPLSZ'!$A:$A,$A14,'CF-ACPLSZ'!AB:AB)+SUMIF('CF-ACPSZL'!$A:$A,$A14,'CF-ACPSZL'!AB:AB)+SUMIF('CF-ACPLGZ'!$A:$A,$A14,'CF-ACPLGZ'!AB:AB)+SUMIF('CF-ACPLYixing'!$A:$A,$A14,'CF-ACPLYixing'!AB:AB)</f>
        <v>0</v>
      </c>
      <c r="AC14" s="626">
        <f>SUMIF('CF-ACPL'!$A:$A,$A14,'CF-ACPL'!AC:AC)+SUMIF('CF-ACPLHK'!$A:$A,$A14,'CF-ACPLHK'!AC:AC)+SUMIF('CF-ACPLSZ'!$A:$A,$A14,'CF-ACPLSZ'!AC:AC)+SUMIF('CF-ACPSZL'!$A:$A,$A14,'CF-ACPSZL'!AC:AC)+SUMIF('CF-ACPLGZ'!$A:$A,$A14,'CF-ACPLGZ'!AC:AC)+SUMIF('CF-ACPLYixing'!$A:$A,$A14,'CF-ACPLYixing'!AC:AC)</f>
        <v>0</v>
      </c>
      <c r="AD14" s="626">
        <f>SUMIF('CF-ACPL'!$A:$A,$A14,'CF-ACPL'!AD:AD)+SUMIF('CF-ACPLHK'!$A:$A,$A14,'CF-ACPLHK'!AD:AD)+SUMIF('CF-ACPLSZ'!$A:$A,$A14,'CF-ACPLSZ'!AD:AD)+SUMIF('CF-ACPSZL'!$A:$A,$A14,'CF-ACPSZL'!AD:AD)+SUMIF('CF-ACPLGZ'!$A:$A,$A14,'CF-ACPLGZ'!AD:AD)+SUMIF('CF-ACPLYixing'!$A:$A,$A14,'CF-ACPLYixing'!AD:AD)</f>
        <v>0</v>
      </c>
      <c r="AE14" s="626"/>
    </row>
    <row r="15" spans="1:33" ht="16.5" customHeight="1">
      <c r="A15" s="629" t="s">
        <v>2563</v>
      </c>
      <c r="B15" s="623">
        <f>INDEX($E15:$P15,1,MATCH($B$4,$E$4:$P$4))</f>
        <v>0</v>
      </c>
      <c r="C15" s="626">
        <f ca="1">SUM($E15:OFFSET($E15,0,MATCH($C$4,$E$4:$P$4)-1))</f>
        <v>0</v>
      </c>
      <c r="D15" s="626"/>
      <c r="E15" s="626">
        <f>SUMIF('CF-ACPL'!$A:$A,$A15,'CF-ACPL'!E:E)+SUMIF('CF-ACPLHK'!$A:$A,$A15,'CF-ACPLHK'!E:E)+SUMIF('CF-ACPLSZ'!$A:$A,$A15,'CF-ACPLSZ'!E:E)+SUMIF('CF-ACPSZL'!$A:$A,$A15,'CF-ACPSZL'!E:E)+SUMIF('CF-ACPLGZ'!$A:$A,$A15,'CF-ACPLGZ'!E:E)+SUMIF('CF-ACPLYixing'!$A:$A,$A15,'CF-ACPLYixing'!E:E)</f>
        <v>0</v>
      </c>
      <c r="F15" s="626">
        <f>SUMIF('CF-ACPL'!$A:$A,$A15,'CF-ACPL'!F:F)+SUMIF('CF-ACPLHK'!$A:$A,$A15,'CF-ACPLHK'!F:F)+SUMIF('CF-ACPLSZ'!$A:$A,$A15,'CF-ACPLSZ'!F:F)+SUMIF('CF-ACPSZL'!$A:$A,$A15,'CF-ACPSZL'!F:F)+SUMIF('CF-ACPLGZ'!$A:$A,$A15,'CF-ACPLGZ'!F:F)+SUMIF('CF-ACPLYixing'!$A:$A,$A15,'CF-ACPLYixing'!F:F)</f>
        <v>0</v>
      </c>
      <c r="G15" s="626">
        <f>SUMIF('CF-ACPL'!$A:$A,$A15,'CF-ACPL'!G:G)+SUMIF('CF-ACPLHK'!$A:$A,$A15,'CF-ACPLHK'!G:G)+SUMIF('CF-ACPLSZ'!$A:$A,$A15,'CF-ACPLSZ'!G:G)+SUMIF('CF-ACPSZL'!$A:$A,$A15,'CF-ACPSZL'!G:G)+SUMIF('CF-ACPLGZ'!$A:$A,$A15,'CF-ACPLGZ'!G:G)+SUMIF('CF-ACPLYixing'!$A:$A,$A15,'CF-ACPLYixing'!G:G)</f>
        <v>16460</v>
      </c>
      <c r="H15" s="626">
        <f>SUMIF('CF-ACPL'!$A:$A,$A15,'CF-ACPL'!H:H)+SUMIF('CF-ACPLHK'!$A:$A,$A15,'CF-ACPLHK'!H:H)+SUMIF('CF-ACPLSZ'!$A:$A,$A15,'CF-ACPLSZ'!H:H)+SUMIF('CF-ACPSZL'!$A:$A,$A15,'CF-ACPSZL'!H:H)+SUMIF('CF-ACPLGZ'!$A:$A,$A15,'CF-ACPLGZ'!H:H)+SUMIF('CF-ACPLYixing'!$A:$A,$A15,'CF-ACPLYixing'!H:H)</f>
        <v>0</v>
      </c>
      <c r="I15" s="626">
        <f>SUMIF('CF-ACPL'!$A:$A,$A15,'CF-ACPL'!I:I)+SUMIF('CF-ACPLHK'!$A:$A,$A15,'CF-ACPLHK'!I:I)+SUMIF('CF-ACPLSZ'!$A:$A,$A15,'CF-ACPLSZ'!I:I)+SUMIF('CF-ACPSZL'!$A:$A,$A15,'CF-ACPSZL'!I:I)+SUMIF('CF-ACPLGZ'!$A:$A,$A15,'CF-ACPLGZ'!I:I)+SUMIF('CF-ACPLYixing'!$A:$A,$A15,'CF-ACPLYixing'!I:I)</f>
        <v>0</v>
      </c>
      <c r="J15" s="626">
        <f>SUMIF('CF-ACPL'!$A:$A,$A15,'CF-ACPL'!J:J)+SUMIF('CF-ACPLHK'!$A:$A,$A15,'CF-ACPLHK'!J:J)+SUMIF('CF-ACPLSZ'!$A:$A,$A15,'CF-ACPLSZ'!J:J)+SUMIF('CF-ACPSZL'!$A:$A,$A15,'CF-ACPSZL'!J:J)+SUMIF('CF-ACPLGZ'!$A:$A,$A15,'CF-ACPLGZ'!J:J)+SUMIF('CF-ACPLYixing'!$A:$A,$A15,'CF-ACPLYixing'!J:J)</f>
        <v>0</v>
      </c>
      <c r="K15" s="626">
        <f>SUMIF('CF-ACPL'!$A:$A,$A15,'CF-ACPL'!K:K)+SUMIF('CF-ACPLHK'!$A:$A,$A15,'CF-ACPLHK'!K:K)+SUMIF('CF-ACPLSZ'!$A:$A,$A15,'CF-ACPLSZ'!K:K)+SUMIF('CF-ACPSZL'!$A:$A,$A15,'CF-ACPSZL'!K:K)+SUMIF('CF-ACPLGZ'!$A:$A,$A15,'CF-ACPLGZ'!K:K)+SUMIF('CF-ACPLYixing'!$A:$A,$A15,'CF-ACPLYixing'!K:K)</f>
        <v>0</v>
      </c>
      <c r="L15" s="626">
        <f>SUMIF('CF-ACPL'!$A:$A,$A15,'CF-ACPL'!L:L)+SUMIF('CF-ACPLHK'!$A:$A,$A15,'CF-ACPLHK'!L:L)+SUMIF('CF-ACPLSZ'!$A:$A,$A15,'CF-ACPLSZ'!L:L)+SUMIF('CF-ACPSZL'!$A:$A,$A15,'CF-ACPSZL'!L:L)+SUMIF('CF-ACPLGZ'!$A:$A,$A15,'CF-ACPLGZ'!L:L)+SUMIF('CF-ACPLYixing'!$A:$A,$A15,'CF-ACPLYixing'!L:L)</f>
        <v>0</v>
      </c>
      <c r="M15" s="626">
        <f>SUMIF('CF-ACPL'!$A:$A,$A15,'CF-ACPL'!M:M)+SUMIF('CF-ACPLHK'!$A:$A,$A15,'CF-ACPLHK'!M:M)+SUMIF('CF-ACPLSZ'!$A:$A,$A15,'CF-ACPLSZ'!M:M)+SUMIF('CF-ACPSZL'!$A:$A,$A15,'CF-ACPSZL'!M:M)+SUMIF('CF-ACPLGZ'!$A:$A,$A15,'CF-ACPLGZ'!M:M)+SUMIF('CF-ACPLYixing'!$A:$A,$A15,'CF-ACPLYixing'!M:M)</f>
        <v>0</v>
      </c>
      <c r="N15" s="626">
        <f>SUMIF('CF-ACPL'!$A:$A,$A15,'CF-ACPL'!N:N)+SUMIF('CF-ACPLHK'!$A:$A,$A15,'CF-ACPLHK'!N:N)+SUMIF('CF-ACPLSZ'!$A:$A,$A15,'CF-ACPLSZ'!N:N)+SUMIF('CF-ACPSZL'!$A:$A,$A15,'CF-ACPSZL'!N:N)+SUMIF('CF-ACPLGZ'!$A:$A,$A15,'CF-ACPLGZ'!N:N)+SUMIF('CF-ACPLYixing'!$A:$A,$A15,'CF-ACPLYixing'!N:N)</f>
        <v>0</v>
      </c>
      <c r="O15" s="626">
        <f>SUMIF('CF-ACPL'!$A:$A,$A15,'CF-ACPL'!O:O)+SUMIF('CF-ACPLHK'!$A:$A,$A15,'CF-ACPLHK'!O:O)+SUMIF('CF-ACPLSZ'!$A:$A,$A15,'CF-ACPLSZ'!O:O)+SUMIF('CF-ACPSZL'!$A:$A,$A15,'CF-ACPSZL'!O:O)+SUMIF('CF-ACPLGZ'!$A:$A,$A15,'CF-ACPLGZ'!O:O)+SUMIF('CF-ACPLYixing'!$A:$A,$A15,'CF-ACPLYixing'!O:O)</f>
        <v>0</v>
      </c>
      <c r="P15" s="626">
        <f>SUMIF('CF-ACPL'!$A:$A,$A15,'CF-ACPL'!P:P)+SUMIF('CF-ACPLHK'!$A:$A,$A15,'CF-ACPLHK'!P:P)+SUMIF('CF-ACPLSZ'!$A:$A,$A15,'CF-ACPLSZ'!P:P)+SUMIF('CF-ACPSZL'!$A:$A,$A15,'CF-ACPSZL'!P:P)+SUMIF('CF-ACPLGZ'!$A:$A,$A15,'CF-ACPLGZ'!P:P)+SUMIF('CF-ACPLYixing'!$A:$A,$A15,'CF-ACPLYixing'!P:P)</f>
        <v>0</v>
      </c>
      <c r="Q15" s="626">
        <f>SUM(E15:P15)</f>
        <v>16460</v>
      </c>
      <c r="R15" s="626"/>
      <c r="S15" s="626">
        <f>SUMIF('CF-ACPL'!$A:$A,$A15,'CF-ACPL'!S:S)+SUMIF('CF-ACPLHK'!$A:$A,$A15,'CF-ACPLHK'!S:S)+SUMIF('CF-ACPLSZ'!$A:$A,$A15,'CF-ACPLSZ'!S:S)+SUMIF('CF-ACPSZL'!$A:$A,$A15,'CF-ACPSZL'!S:S)+SUMIF('CF-ACPLGZ'!$A:$A,$A15,'CF-ACPLGZ'!S:S)+SUMIF('CF-ACPLYixing'!$A:$A,$A15,'CF-ACPLYixing'!S:S)</f>
        <v>0</v>
      </c>
      <c r="T15" s="626">
        <f>SUMIF('CF-ACPL'!$A:$A,$A15,'CF-ACPL'!T:T)+SUMIF('CF-ACPLHK'!$A:$A,$A15,'CF-ACPLHK'!T:T)+SUMIF('CF-ACPLSZ'!$A:$A,$A15,'CF-ACPLSZ'!T:T)+SUMIF('CF-ACPSZL'!$A:$A,$A15,'CF-ACPSZL'!T:T)+SUMIF('CF-ACPLGZ'!$A:$A,$A15,'CF-ACPLGZ'!T:T)+SUMIF('CF-ACPLYixing'!$A:$A,$A15,'CF-ACPLYixing'!T:T)</f>
        <v>0</v>
      </c>
      <c r="U15" s="626">
        <f>SUMIF('CF-ACPL'!$A:$A,$A15,'CF-ACPL'!U:U)+SUMIF('CF-ACPLHK'!$A:$A,$A15,'CF-ACPLHK'!U:U)+SUMIF('CF-ACPLSZ'!$A:$A,$A15,'CF-ACPLSZ'!U:U)+SUMIF('CF-ACPSZL'!$A:$A,$A15,'CF-ACPSZL'!U:U)+SUMIF('CF-ACPLGZ'!$A:$A,$A15,'CF-ACPLGZ'!U:U)+SUMIF('CF-ACPLYixing'!$A:$A,$A15,'CF-ACPLYixing'!U:U)</f>
        <v>0</v>
      </c>
      <c r="V15" s="626">
        <f>SUMIF('CF-ACPL'!$A:$A,$A15,'CF-ACPL'!V:V)+SUMIF('CF-ACPLHK'!$A:$A,$A15,'CF-ACPLHK'!V:V)+SUMIF('CF-ACPLSZ'!$A:$A,$A15,'CF-ACPLSZ'!V:V)+SUMIF('CF-ACPSZL'!$A:$A,$A15,'CF-ACPSZL'!V:V)+SUMIF('CF-ACPLGZ'!$A:$A,$A15,'CF-ACPLGZ'!V:V)+SUMIF('CF-ACPLYixing'!$A:$A,$A15,'CF-ACPLYixing'!V:V)</f>
        <v>0</v>
      </c>
      <c r="W15" s="626">
        <f>SUMIF('CF-ACPL'!$A:$A,$A15,'CF-ACPL'!W:W)+SUMIF('CF-ACPLHK'!$A:$A,$A15,'CF-ACPLHK'!W:W)+SUMIF('CF-ACPLSZ'!$A:$A,$A15,'CF-ACPLSZ'!W:W)+SUMIF('CF-ACPSZL'!$A:$A,$A15,'CF-ACPSZL'!W:W)+SUMIF('CF-ACPLGZ'!$A:$A,$A15,'CF-ACPLGZ'!W:W)+SUMIF('CF-ACPLYixing'!$A:$A,$A15,'CF-ACPLYixing'!W:W)</f>
        <v>0</v>
      </c>
      <c r="X15" s="626">
        <f>SUMIF('CF-ACPL'!$A:$A,$A15,'CF-ACPL'!X:X)+SUMIF('CF-ACPLHK'!$A:$A,$A15,'CF-ACPLHK'!X:X)+SUMIF('CF-ACPLSZ'!$A:$A,$A15,'CF-ACPLSZ'!X:X)+SUMIF('CF-ACPSZL'!$A:$A,$A15,'CF-ACPSZL'!X:X)+SUMIF('CF-ACPLGZ'!$A:$A,$A15,'CF-ACPLGZ'!X:X)+SUMIF('CF-ACPLYixing'!$A:$A,$A15,'CF-ACPLYixing'!X:X)</f>
        <v>0</v>
      </c>
      <c r="Y15" s="626">
        <f>SUMIF('CF-ACPL'!$A:$A,$A15,'CF-ACPL'!Y:Y)+SUMIF('CF-ACPLHK'!$A:$A,$A15,'CF-ACPLHK'!Y:Y)+SUMIF('CF-ACPLSZ'!$A:$A,$A15,'CF-ACPLSZ'!Y:Y)+SUMIF('CF-ACPSZL'!$A:$A,$A15,'CF-ACPSZL'!Y:Y)+SUMIF('CF-ACPLGZ'!$A:$A,$A15,'CF-ACPLGZ'!Y:Y)+SUMIF('CF-ACPLYixing'!$A:$A,$A15,'CF-ACPLYixing'!Y:Y)</f>
        <v>0</v>
      </c>
      <c r="Z15" s="626">
        <f>SUMIF('CF-ACPL'!$A:$A,$A15,'CF-ACPL'!Z:Z)+SUMIF('CF-ACPLHK'!$A:$A,$A15,'CF-ACPLHK'!Z:Z)+SUMIF('CF-ACPLSZ'!$A:$A,$A15,'CF-ACPLSZ'!Z:Z)+SUMIF('CF-ACPSZL'!$A:$A,$A15,'CF-ACPSZL'!Z:Z)+SUMIF('CF-ACPLGZ'!$A:$A,$A15,'CF-ACPLGZ'!Z:Z)+SUMIF('CF-ACPLYixing'!$A:$A,$A15,'CF-ACPLYixing'!Z:Z)</f>
        <v>0</v>
      </c>
      <c r="AA15" s="626">
        <f>SUMIF('CF-ACPL'!$A:$A,$A15,'CF-ACPL'!AA:AA)+SUMIF('CF-ACPLHK'!$A:$A,$A15,'CF-ACPLHK'!AA:AA)+SUMIF('CF-ACPLSZ'!$A:$A,$A15,'CF-ACPLSZ'!AA:AA)+SUMIF('CF-ACPSZL'!$A:$A,$A15,'CF-ACPSZL'!AA:AA)+SUMIF('CF-ACPLGZ'!$A:$A,$A15,'CF-ACPLGZ'!AA:AA)+SUMIF('CF-ACPLYixing'!$A:$A,$A15,'CF-ACPLYixing'!AA:AA)</f>
        <v>0</v>
      </c>
      <c r="AB15" s="626">
        <f>SUMIF('CF-ACPL'!$A:$A,$A15,'CF-ACPL'!AB:AB)+SUMIF('CF-ACPLHK'!$A:$A,$A15,'CF-ACPLHK'!AB:AB)+SUMIF('CF-ACPLSZ'!$A:$A,$A15,'CF-ACPLSZ'!AB:AB)+SUMIF('CF-ACPSZL'!$A:$A,$A15,'CF-ACPSZL'!AB:AB)+SUMIF('CF-ACPLGZ'!$A:$A,$A15,'CF-ACPLGZ'!AB:AB)+SUMIF('CF-ACPLYixing'!$A:$A,$A15,'CF-ACPLYixing'!AB:AB)</f>
        <v>0</v>
      </c>
      <c r="AC15" s="626">
        <f>SUMIF('CF-ACPL'!$A:$A,$A15,'CF-ACPL'!AC:AC)+SUMIF('CF-ACPLHK'!$A:$A,$A15,'CF-ACPLHK'!AC:AC)+SUMIF('CF-ACPLSZ'!$A:$A,$A15,'CF-ACPLSZ'!AC:AC)+SUMIF('CF-ACPSZL'!$A:$A,$A15,'CF-ACPSZL'!AC:AC)+SUMIF('CF-ACPLGZ'!$A:$A,$A15,'CF-ACPLGZ'!AC:AC)+SUMIF('CF-ACPLYixing'!$A:$A,$A15,'CF-ACPLYixing'!AC:AC)</f>
        <v>0</v>
      </c>
      <c r="AD15" s="626">
        <f>SUMIF('CF-ACPL'!$A:$A,$A15,'CF-ACPL'!AD:AD)+SUMIF('CF-ACPLHK'!$A:$A,$A15,'CF-ACPLHK'!AD:AD)+SUMIF('CF-ACPLSZ'!$A:$A,$A15,'CF-ACPLSZ'!AD:AD)+SUMIF('CF-ACPSZL'!$A:$A,$A15,'CF-ACPSZL'!AD:AD)+SUMIF('CF-ACPLGZ'!$A:$A,$A15,'CF-ACPLGZ'!AD:AD)+SUMIF('CF-ACPLYixing'!$A:$A,$A15,'CF-ACPLYixing'!AD:AD)</f>
        <v>0</v>
      </c>
      <c r="AE15" s="626">
        <f>SUM(S15:AD15)</f>
        <v>0</v>
      </c>
    </row>
    <row r="16" spans="1:33" ht="16.5" customHeight="1">
      <c r="A16" s="629" t="s">
        <v>2564</v>
      </c>
      <c r="B16" s="623">
        <f>INDEX($E16:$P16,1,MATCH($B$4,$E$4:$P$4))</f>
        <v>0</v>
      </c>
      <c r="C16" s="626">
        <f ca="1">SUM($E16:OFFSET($E16,0,MATCH($C$4,$E$4:$P$4)-1))</f>
        <v>0</v>
      </c>
      <c r="D16" s="626"/>
      <c r="E16" s="626">
        <f>SUMIF('CF-ACPL'!$A:$A,$A16,'CF-ACPL'!E:E)+SUMIF('CF-ACPLHK'!$A:$A,$A16,'CF-ACPLHK'!E:E)+SUMIF('CF-ACPLSZ'!$A:$A,$A16,'CF-ACPLSZ'!E:E)+SUMIF('CF-ACPSZL'!$A:$A,$A16,'CF-ACPSZL'!E:E)+SUMIF('CF-ACPLGZ'!$A:$A,$A16,'CF-ACPLGZ'!E:E)+SUMIF('CF-ACPLYixing'!$A:$A,$A16,'CF-ACPLYixing'!E:E)</f>
        <v>0</v>
      </c>
      <c r="F16" s="626">
        <f>SUMIF('CF-ACPL'!$A:$A,$A16,'CF-ACPL'!F:F)+SUMIF('CF-ACPLHK'!$A:$A,$A16,'CF-ACPLHK'!F:F)+SUMIF('CF-ACPLSZ'!$A:$A,$A16,'CF-ACPLSZ'!F:F)+SUMIF('CF-ACPSZL'!$A:$A,$A16,'CF-ACPSZL'!F:F)+SUMIF('CF-ACPLGZ'!$A:$A,$A16,'CF-ACPLGZ'!F:F)+SUMIF('CF-ACPLYixing'!$A:$A,$A16,'CF-ACPLYixing'!F:F)</f>
        <v>0</v>
      </c>
      <c r="G16" s="626">
        <f>SUMIF('CF-ACPL'!$A:$A,$A16,'CF-ACPL'!G:G)+SUMIF('CF-ACPLHK'!$A:$A,$A16,'CF-ACPLHK'!G:G)+SUMIF('CF-ACPLSZ'!$A:$A,$A16,'CF-ACPLSZ'!G:G)+SUMIF('CF-ACPSZL'!$A:$A,$A16,'CF-ACPSZL'!G:G)+SUMIF('CF-ACPLGZ'!$A:$A,$A16,'CF-ACPLGZ'!G:G)+SUMIF('CF-ACPLYixing'!$A:$A,$A16,'CF-ACPLYixing'!G:G)</f>
        <v>0</v>
      </c>
      <c r="H16" s="626">
        <f>SUMIF('CF-ACPL'!$A:$A,$A16,'CF-ACPL'!H:H)+SUMIF('CF-ACPLHK'!$A:$A,$A16,'CF-ACPLHK'!H:H)+SUMIF('CF-ACPLSZ'!$A:$A,$A16,'CF-ACPLSZ'!H:H)+SUMIF('CF-ACPSZL'!$A:$A,$A16,'CF-ACPSZL'!H:H)+SUMIF('CF-ACPLGZ'!$A:$A,$A16,'CF-ACPLGZ'!H:H)+SUMIF('CF-ACPLYixing'!$A:$A,$A16,'CF-ACPLYixing'!H:H)</f>
        <v>0</v>
      </c>
      <c r="I16" s="626">
        <f>SUMIF('CF-ACPL'!$A:$A,$A16,'CF-ACPL'!I:I)+SUMIF('CF-ACPLHK'!$A:$A,$A16,'CF-ACPLHK'!I:I)+SUMIF('CF-ACPLSZ'!$A:$A,$A16,'CF-ACPLSZ'!I:I)+SUMIF('CF-ACPSZL'!$A:$A,$A16,'CF-ACPSZL'!I:I)+SUMIF('CF-ACPLGZ'!$A:$A,$A16,'CF-ACPLGZ'!I:I)+SUMIF('CF-ACPLYixing'!$A:$A,$A16,'CF-ACPLYixing'!I:I)</f>
        <v>0</v>
      </c>
      <c r="J16" s="626">
        <f>SUMIF('CF-ACPL'!$A:$A,$A16,'CF-ACPL'!J:J)+SUMIF('CF-ACPLHK'!$A:$A,$A16,'CF-ACPLHK'!J:J)+SUMIF('CF-ACPLSZ'!$A:$A,$A16,'CF-ACPLSZ'!J:J)+SUMIF('CF-ACPSZL'!$A:$A,$A16,'CF-ACPSZL'!J:J)+SUMIF('CF-ACPLGZ'!$A:$A,$A16,'CF-ACPLGZ'!J:J)+SUMIF('CF-ACPLYixing'!$A:$A,$A16,'CF-ACPLYixing'!J:J)</f>
        <v>0</v>
      </c>
      <c r="K16" s="626">
        <f>SUMIF('CF-ACPL'!$A:$A,$A16,'CF-ACPL'!K:K)+SUMIF('CF-ACPLHK'!$A:$A,$A16,'CF-ACPLHK'!K:K)+SUMIF('CF-ACPLSZ'!$A:$A,$A16,'CF-ACPLSZ'!K:K)+SUMIF('CF-ACPSZL'!$A:$A,$A16,'CF-ACPSZL'!K:K)+SUMIF('CF-ACPLGZ'!$A:$A,$A16,'CF-ACPLGZ'!K:K)+SUMIF('CF-ACPLYixing'!$A:$A,$A16,'CF-ACPLYixing'!K:K)</f>
        <v>0</v>
      </c>
      <c r="L16" s="626">
        <f>SUMIF('CF-ACPL'!$A:$A,$A16,'CF-ACPL'!L:L)+SUMIF('CF-ACPLHK'!$A:$A,$A16,'CF-ACPLHK'!L:L)+SUMIF('CF-ACPLSZ'!$A:$A,$A16,'CF-ACPLSZ'!L:L)+SUMIF('CF-ACPSZL'!$A:$A,$A16,'CF-ACPSZL'!L:L)+SUMIF('CF-ACPLGZ'!$A:$A,$A16,'CF-ACPLGZ'!L:L)+SUMIF('CF-ACPLYixing'!$A:$A,$A16,'CF-ACPLYixing'!L:L)</f>
        <v>0</v>
      </c>
      <c r="M16" s="626">
        <f>SUMIF('CF-ACPL'!$A:$A,$A16,'CF-ACPL'!M:M)+SUMIF('CF-ACPLHK'!$A:$A,$A16,'CF-ACPLHK'!M:M)+SUMIF('CF-ACPLSZ'!$A:$A,$A16,'CF-ACPLSZ'!M:M)+SUMIF('CF-ACPSZL'!$A:$A,$A16,'CF-ACPSZL'!M:M)+SUMIF('CF-ACPLGZ'!$A:$A,$A16,'CF-ACPLGZ'!M:M)+SUMIF('CF-ACPLYixing'!$A:$A,$A16,'CF-ACPLYixing'!M:M)</f>
        <v>0</v>
      </c>
      <c r="N16" s="626">
        <f>SUMIF('CF-ACPL'!$A:$A,$A16,'CF-ACPL'!N:N)+SUMIF('CF-ACPLHK'!$A:$A,$A16,'CF-ACPLHK'!N:N)+SUMIF('CF-ACPLSZ'!$A:$A,$A16,'CF-ACPLSZ'!N:N)+SUMIF('CF-ACPSZL'!$A:$A,$A16,'CF-ACPSZL'!N:N)+SUMIF('CF-ACPLGZ'!$A:$A,$A16,'CF-ACPLGZ'!N:N)+SUMIF('CF-ACPLYixing'!$A:$A,$A16,'CF-ACPLYixing'!N:N)</f>
        <v>0</v>
      </c>
      <c r="O16" s="626">
        <f>SUMIF('CF-ACPL'!$A:$A,$A16,'CF-ACPL'!O:O)+SUMIF('CF-ACPLHK'!$A:$A,$A16,'CF-ACPLHK'!O:O)+SUMIF('CF-ACPLSZ'!$A:$A,$A16,'CF-ACPLSZ'!O:O)+SUMIF('CF-ACPSZL'!$A:$A,$A16,'CF-ACPSZL'!O:O)+SUMIF('CF-ACPLGZ'!$A:$A,$A16,'CF-ACPLGZ'!O:O)+SUMIF('CF-ACPLYixing'!$A:$A,$A16,'CF-ACPLYixing'!O:O)</f>
        <v>0</v>
      </c>
      <c r="P16" s="626">
        <f>SUMIF('CF-ACPL'!$A:$A,$A16,'CF-ACPL'!P:P)+SUMIF('CF-ACPLHK'!$A:$A,$A16,'CF-ACPLHK'!P:P)+SUMIF('CF-ACPLSZ'!$A:$A,$A16,'CF-ACPLSZ'!P:P)+SUMIF('CF-ACPSZL'!$A:$A,$A16,'CF-ACPSZL'!P:P)+SUMIF('CF-ACPLGZ'!$A:$A,$A16,'CF-ACPLGZ'!P:P)+SUMIF('CF-ACPLYixing'!$A:$A,$A16,'CF-ACPLYixing'!P:P)</f>
        <v>0</v>
      </c>
      <c r="Q16" s="626">
        <f>SUM(E16:P16)</f>
        <v>0</v>
      </c>
      <c r="R16" s="626"/>
      <c r="S16" s="626">
        <f>SUMIF('CF-ACPL'!$A:$A,$A16,'CF-ACPL'!S:S)+SUMIF('CF-ACPLHK'!$A:$A,$A16,'CF-ACPLHK'!S:S)+SUMIF('CF-ACPLSZ'!$A:$A,$A16,'CF-ACPLSZ'!S:S)+SUMIF('CF-ACPSZL'!$A:$A,$A16,'CF-ACPSZL'!S:S)+SUMIF('CF-ACPLGZ'!$A:$A,$A16,'CF-ACPLGZ'!S:S)+SUMIF('CF-ACPLYixing'!$A:$A,$A16,'CF-ACPLYixing'!S:S)</f>
        <v>0</v>
      </c>
      <c r="T16" s="626">
        <f>SUMIF('CF-ACPL'!$A:$A,$A16,'CF-ACPL'!T:T)+SUMIF('CF-ACPLHK'!$A:$A,$A16,'CF-ACPLHK'!T:T)+SUMIF('CF-ACPLSZ'!$A:$A,$A16,'CF-ACPLSZ'!T:T)+SUMIF('CF-ACPSZL'!$A:$A,$A16,'CF-ACPSZL'!T:T)+SUMIF('CF-ACPLGZ'!$A:$A,$A16,'CF-ACPLGZ'!T:T)+SUMIF('CF-ACPLYixing'!$A:$A,$A16,'CF-ACPLYixing'!T:T)</f>
        <v>0</v>
      </c>
      <c r="U16" s="626">
        <f>SUMIF('CF-ACPL'!$A:$A,$A16,'CF-ACPL'!U:U)+SUMIF('CF-ACPLHK'!$A:$A,$A16,'CF-ACPLHK'!U:U)+SUMIF('CF-ACPLSZ'!$A:$A,$A16,'CF-ACPLSZ'!U:U)+SUMIF('CF-ACPSZL'!$A:$A,$A16,'CF-ACPSZL'!U:U)+SUMIF('CF-ACPLGZ'!$A:$A,$A16,'CF-ACPLGZ'!U:U)+SUMIF('CF-ACPLYixing'!$A:$A,$A16,'CF-ACPLYixing'!U:U)</f>
        <v>0</v>
      </c>
      <c r="V16" s="626">
        <f>SUMIF('CF-ACPL'!$A:$A,$A16,'CF-ACPL'!V:V)+SUMIF('CF-ACPLHK'!$A:$A,$A16,'CF-ACPLHK'!V:V)+SUMIF('CF-ACPLSZ'!$A:$A,$A16,'CF-ACPLSZ'!V:V)+SUMIF('CF-ACPSZL'!$A:$A,$A16,'CF-ACPSZL'!V:V)+SUMIF('CF-ACPLGZ'!$A:$A,$A16,'CF-ACPLGZ'!V:V)+SUMIF('CF-ACPLYixing'!$A:$A,$A16,'CF-ACPLYixing'!V:V)</f>
        <v>0</v>
      </c>
      <c r="W16" s="626">
        <f>SUMIF('CF-ACPL'!$A:$A,$A16,'CF-ACPL'!W:W)+SUMIF('CF-ACPLHK'!$A:$A,$A16,'CF-ACPLHK'!W:W)+SUMIF('CF-ACPLSZ'!$A:$A,$A16,'CF-ACPLSZ'!W:W)+SUMIF('CF-ACPSZL'!$A:$A,$A16,'CF-ACPSZL'!W:W)+SUMIF('CF-ACPLGZ'!$A:$A,$A16,'CF-ACPLGZ'!W:W)+SUMIF('CF-ACPLYixing'!$A:$A,$A16,'CF-ACPLYixing'!W:W)</f>
        <v>0</v>
      </c>
      <c r="X16" s="626">
        <f>SUMIF('CF-ACPL'!$A:$A,$A16,'CF-ACPL'!X:X)+SUMIF('CF-ACPLHK'!$A:$A,$A16,'CF-ACPLHK'!X:X)+SUMIF('CF-ACPLSZ'!$A:$A,$A16,'CF-ACPLSZ'!X:X)+SUMIF('CF-ACPSZL'!$A:$A,$A16,'CF-ACPSZL'!X:X)+SUMIF('CF-ACPLGZ'!$A:$A,$A16,'CF-ACPLGZ'!X:X)+SUMIF('CF-ACPLYixing'!$A:$A,$A16,'CF-ACPLYixing'!X:X)</f>
        <v>0</v>
      </c>
      <c r="Y16" s="626">
        <f>SUMIF('CF-ACPL'!$A:$A,$A16,'CF-ACPL'!Y:Y)+SUMIF('CF-ACPLHK'!$A:$A,$A16,'CF-ACPLHK'!Y:Y)+SUMIF('CF-ACPLSZ'!$A:$A,$A16,'CF-ACPLSZ'!Y:Y)+SUMIF('CF-ACPSZL'!$A:$A,$A16,'CF-ACPSZL'!Y:Y)+SUMIF('CF-ACPLGZ'!$A:$A,$A16,'CF-ACPLGZ'!Y:Y)+SUMIF('CF-ACPLYixing'!$A:$A,$A16,'CF-ACPLYixing'!Y:Y)</f>
        <v>0</v>
      </c>
      <c r="Z16" s="626">
        <f>SUMIF('CF-ACPL'!$A:$A,$A16,'CF-ACPL'!Z:Z)+SUMIF('CF-ACPLHK'!$A:$A,$A16,'CF-ACPLHK'!Z:Z)+SUMIF('CF-ACPLSZ'!$A:$A,$A16,'CF-ACPLSZ'!Z:Z)+SUMIF('CF-ACPSZL'!$A:$A,$A16,'CF-ACPSZL'!Z:Z)+SUMIF('CF-ACPLGZ'!$A:$A,$A16,'CF-ACPLGZ'!Z:Z)+SUMIF('CF-ACPLYixing'!$A:$A,$A16,'CF-ACPLYixing'!Z:Z)</f>
        <v>0</v>
      </c>
      <c r="AA16" s="626">
        <f>SUMIF('CF-ACPL'!$A:$A,$A16,'CF-ACPL'!AA:AA)+SUMIF('CF-ACPLHK'!$A:$A,$A16,'CF-ACPLHK'!AA:AA)+SUMIF('CF-ACPLSZ'!$A:$A,$A16,'CF-ACPLSZ'!AA:AA)+SUMIF('CF-ACPSZL'!$A:$A,$A16,'CF-ACPSZL'!AA:AA)+SUMIF('CF-ACPLGZ'!$A:$A,$A16,'CF-ACPLGZ'!AA:AA)+SUMIF('CF-ACPLYixing'!$A:$A,$A16,'CF-ACPLYixing'!AA:AA)</f>
        <v>0</v>
      </c>
      <c r="AB16" s="626">
        <f>SUMIF('CF-ACPL'!$A:$A,$A16,'CF-ACPL'!AB:AB)+SUMIF('CF-ACPLHK'!$A:$A,$A16,'CF-ACPLHK'!AB:AB)+SUMIF('CF-ACPLSZ'!$A:$A,$A16,'CF-ACPLSZ'!AB:AB)+SUMIF('CF-ACPSZL'!$A:$A,$A16,'CF-ACPSZL'!AB:AB)+SUMIF('CF-ACPLGZ'!$A:$A,$A16,'CF-ACPLGZ'!AB:AB)+SUMIF('CF-ACPLYixing'!$A:$A,$A16,'CF-ACPLYixing'!AB:AB)</f>
        <v>0</v>
      </c>
      <c r="AC16" s="626">
        <f>SUMIF('CF-ACPL'!$A:$A,$A16,'CF-ACPL'!AC:AC)+SUMIF('CF-ACPLHK'!$A:$A,$A16,'CF-ACPLHK'!AC:AC)+SUMIF('CF-ACPLSZ'!$A:$A,$A16,'CF-ACPLSZ'!AC:AC)+SUMIF('CF-ACPSZL'!$A:$A,$A16,'CF-ACPSZL'!AC:AC)+SUMIF('CF-ACPLGZ'!$A:$A,$A16,'CF-ACPLGZ'!AC:AC)+SUMIF('CF-ACPLYixing'!$A:$A,$A16,'CF-ACPLYixing'!AC:AC)</f>
        <v>0</v>
      </c>
      <c r="AD16" s="626">
        <f>SUMIF('CF-ACPL'!$A:$A,$A16,'CF-ACPL'!AD:AD)+SUMIF('CF-ACPLHK'!$A:$A,$A16,'CF-ACPLHK'!AD:AD)+SUMIF('CF-ACPLSZ'!$A:$A,$A16,'CF-ACPLSZ'!AD:AD)+SUMIF('CF-ACPSZL'!$A:$A,$A16,'CF-ACPSZL'!AD:AD)+SUMIF('CF-ACPLGZ'!$A:$A,$A16,'CF-ACPLGZ'!AD:AD)+SUMIF('CF-ACPLYixing'!$A:$A,$A16,'CF-ACPLYixing'!AD:AD)</f>
        <v>0</v>
      </c>
      <c r="AE16" s="626">
        <f>SUM(S16:AD16)</f>
        <v>0</v>
      </c>
    </row>
    <row r="17" spans="1:32" ht="16.5" customHeight="1">
      <c r="A17" s="629" t="s">
        <v>2565</v>
      </c>
      <c r="B17" s="623">
        <f>INDEX($E17:$P17,1,MATCH($B$4,$E$4:$P$4))</f>
        <v>0</v>
      </c>
      <c r="C17" s="626">
        <f ca="1">SUM($E17:OFFSET($E17,0,MATCH($C$4,$E$4:$P$4)-1))</f>
        <v>0</v>
      </c>
      <c r="D17" s="626"/>
      <c r="E17" s="626">
        <f>SUMIF('CF-ACPL'!$A:$A,$A17,'CF-ACPL'!E:E)+SUMIF('CF-ACPLHK'!$A:$A,$A17,'CF-ACPLHK'!E:E)+SUMIF('CF-ACPLSZ'!$A:$A,$A17,'CF-ACPLSZ'!E:E)+SUMIF('CF-ACPSZL'!$A:$A,$A17,'CF-ACPSZL'!E:E)+SUMIF('CF-ACPLGZ'!$A:$A,$A17,'CF-ACPLGZ'!E:E)+SUMIF('CF-ACPLYixing'!$A:$A,$A17,'CF-ACPLYixing'!E:E)</f>
        <v>0</v>
      </c>
      <c r="F17" s="626">
        <f>SUMIF('CF-ACPL'!$A:$A,$A17,'CF-ACPL'!F:F)+SUMIF('CF-ACPLHK'!$A:$A,$A17,'CF-ACPLHK'!F:F)+SUMIF('CF-ACPLSZ'!$A:$A,$A17,'CF-ACPLSZ'!F:F)+SUMIF('CF-ACPSZL'!$A:$A,$A17,'CF-ACPSZL'!F:F)+SUMIF('CF-ACPLGZ'!$A:$A,$A17,'CF-ACPLGZ'!F:F)+SUMIF('CF-ACPLYixing'!$A:$A,$A17,'CF-ACPLYixing'!F:F)</f>
        <v>0</v>
      </c>
      <c r="G17" s="626">
        <f>SUMIF('CF-ACPL'!$A:$A,$A17,'CF-ACPL'!G:G)+SUMIF('CF-ACPLHK'!$A:$A,$A17,'CF-ACPLHK'!G:G)+SUMIF('CF-ACPLSZ'!$A:$A,$A17,'CF-ACPLSZ'!G:G)+SUMIF('CF-ACPSZL'!$A:$A,$A17,'CF-ACPSZL'!G:G)+SUMIF('CF-ACPLGZ'!$A:$A,$A17,'CF-ACPLGZ'!G:G)+SUMIF('CF-ACPLYixing'!$A:$A,$A17,'CF-ACPLYixing'!G:G)</f>
        <v>0</v>
      </c>
      <c r="H17" s="626">
        <f>SUMIF('CF-ACPL'!$A:$A,$A17,'CF-ACPL'!H:H)+SUMIF('CF-ACPLHK'!$A:$A,$A17,'CF-ACPLHK'!H:H)+SUMIF('CF-ACPLSZ'!$A:$A,$A17,'CF-ACPLSZ'!H:H)+SUMIF('CF-ACPSZL'!$A:$A,$A17,'CF-ACPSZL'!H:H)+SUMIF('CF-ACPLGZ'!$A:$A,$A17,'CF-ACPLGZ'!H:H)+SUMIF('CF-ACPLYixing'!$A:$A,$A17,'CF-ACPLYixing'!H:H)</f>
        <v>0</v>
      </c>
      <c r="I17" s="626">
        <f>SUMIF('CF-ACPL'!$A:$A,$A17,'CF-ACPL'!I:I)+SUMIF('CF-ACPLHK'!$A:$A,$A17,'CF-ACPLHK'!I:I)+SUMIF('CF-ACPLSZ'!$A:$A,$A17,'CF-ACPLSZ'!I:I)+SUMIF('CF-ACPSZL'!$A:$A,$A17,'CF-ACPSZL'!I:I)+SUMIF('CF-ACPLGZ'!$A:$A,$A17,'CF-ACPLGZ'!I:I)+SUMIF('CF-ACPLYixing'!$A:$A,$A17,'CF-ACPLYixing'!I:I)</f>
        <v>0</v>
      </c>
      <c r="J17" s="626">
        <f>SUMIF('CF-ACPL'!$A:$A,$A17,'CF-ACPL'!J:J)+SUMIF('CF-ACPLHK'!$A:$A,$A17,'CF-ACPLHK'!J:J)+SUMIF('CF-ACPLSZ'!$A:$A,$A17,'CF-ACPLSZ'!J:J)+SUMIF('CF-ACPSZL'!$A:$A,$A17,'CF-ACPSZL'!J:J)+SUMIF('CF-ACPLGZ'!$A:$A,$A17,'CF-ACPLGZ'!J:J)+SUMIF('CF-ACPLYixing'!$A:$A,$A17,'CF-ACPLYixing'!J:J)</f>
        <v>0</v>
      </c>
      <c r="K17" s="626">
        <f>SUMIF('CF-ACPL'!$A:$A,$A17,'CF-ACPL'!K:K)+SUMIF('CF-ACPLHK'!$A:$A,$A17,'CF-ACPLHK'!K:K)+SUMIF('CF-ACPLSZ'!$A:$A,$A17,'CF-ACPLSZ'!K:K)+SUMIF('CF-ACPSZL'!$A:$A,$A17,'CF-ACPSZL'!K:K)+SUMIF('CF-ACPLGZ'!$A:$A,$A17,'CF-ACPLGZ'!K:K)+SUMIF('CF-ACPLYixing'!$A:$A,$A17,'CF-ACPLYixing'!K:K)</f>
        <v>0</v>
      </c>
      <c r="L17" s="626">
        <f>SUMIF('CF-ACPL'!$A:$A,$A17,'CF-ACPL'!L:L)+SUMIF('CF-ACPLHK'!$A:$A,$A17,'CF-ACPLHK'!L:L)+SUMIF('CF-ACPLSZ'!$A:$A,$A17,'CF-ACPLSZ'!L:L)+SUMIF('CF-ACPSZL'!$A:$A,$A17,'CF-ACPSZL'!L:L)+SUMIF('CF-ACPLGZ'!$A:$A,$A17,'CF-ACPLGZ'!L:L)+SUMIF('CF-ACPLYixing'!$A:$A,$A17,'CF-ACPLYixing'!L:L)</f>
        <v>0</v>
      </c>
      <c r="M17" s="626">
        <f>SUMIF('CF-ACPL'!$A:$A,$A17,'CF-ACPL'!M:M)+SUMIF('CF-ACPLHK'!$A:$A,$A17,'CF-ACPLHK'!M:M)+SUMIF('CF-ACPLSZ'!$A:$A,$A17,'CF-ACPLSZ'!M:M)+SUMIF('CF-ACPSZL'!$A:$A,$A17,'CF-ACPSZL'!M:M)+SUMIF('CF-ACPLGZ'!$A:$A,$A17,'CF-ACPLGZ'!M:M)+SUMIF('CF-ACPLYixing'!$A:$A,$A17,'CF-ACPLYixing'!M:M)</f>
        <v>0</v>
      </c>
      <c r="N17" s="626">
        <f>SUMIF('CF-ACPL'!$A:$A,$A17,'CF-ACPL'!N:N)+SUMIF('CF-ACPLHK'!$A:$A,$A17,'CF-ACPLHK'!N:N)+SUMIF('CF-ACPLSZ'!$A:$A,$A17,'CF-ACPLSZ'!N:N)+SUMIF('CF-ACPSZL'!$A:$A,$A17,'CF-ACPSZL'!N:N)+SUMIF('CF-ACPLGZ'!$A:$A,$A17,'CF-ACPLGZ'!N:N)+SUMIF('CF-ACPLYixing'!$A:$A,$A17,'CF-ACPLYixing'!N:N)</f>
        <v>0</v>
      </c>
      <c r="O17" s="626">
        <f>SUMIF('CF-ACPL'!$A:$A,$A17,'CF-ACPL'!O:O)+SUMIF('CF-ACPLHK'!$A:$A,$A17,'CF-ACPLHK'!O:O)+SUMIF('CF-ACPLSZ'!$A:$A,$A17,'CF-ACPLSZ'!O:O)+SUMIF('CF-ACPSZL'!$A:$A,$A17,'CF-ACPSZL'!O:O)+SUMIF('CF-ACPLGZ'!$A:$A,$A17,'CF-ACPLGZ'!O:O)+SUMIF('CF-ACPLYixing'!$A:$A,$A17,'CF-ACPLYixing'!O:O)</f>
        <v>0</v>
      </c>
      <c r="P17" s="626">
        <f>SUMIF('CF-ACPL'!$A:$A,$A17,'CF-ACPL'!P:P)+SUMIF('CF-ACPLHK'!$A:$A,$A17,'CF-ACPLHK'!P:P)+SUMIF('CF-ACPLSZ'!$A:$A,$A17,'CF-ACPLSZ'!P:P)+SUMIF('CF-ACPSZL'!$A:$A,$A17,'CF-ACPSZL'!P:P)+SUMIF('CF-ACPLGZ'!$A:$A,$A17,'CF-ACPLGZ'!P:P)+SUMIF('CF-ACPLYixing'!$A:$A,$A17,'CF-ACPLYixing'!P:P)</f>
        <v>0</v>
      </c>
      <c r="Q17" s="626">
        <f>SUM(E17:P17)</f>
        <v>0</v>
      </c>
      <c r="R17" s="626"/>
      <c r="S17" s="626">
        <f>SUMIF('CF-ACPL'!$A:$A,$A17,'CF-ACPL'!S:S)+SUMIF('CF-ACPLHK'!$A:$A,$A17,'CF-ACPLHK'!S:S)+SUMIF('CF-ACPLSZ'!$A:$A,$A17,'CF-ACPLSZ'!S:S)+SUMIF('CF-ACPSZL'!$A:$A,$A17,'CF-ACPSZL'!S:S)+SUMIF('CF-ACPLGZ'!$A:$A,$A17,'CF-ACPLGZ'!S:S)+SUMIF('CF-ACPLYixing'!$A:$A,$A17,'CF-ACPLYixing'!S:S)</f>
        <v>0</v>
      </c>
      <c r="T17" s="626">
        <f>SUMIF('CF-ACPL'!$A:$A,$A17,'CF-ACPL'!T:T)+SUMIF('CF-ACPLHK'!$A:$A,$A17,'CF-ACPLHK'!T:T)+SUMIF('CF-ACPLSZ'!$A:$A,$A17,'CF-ACPLSZ'!T:T)+SUMIF('CF-ACPSZL'!$A:$A,$A17,'CF-ACPSZL'!T:T)+SUMIF('CF-ACPLGZ'!$A:$A,$A17,'CF-ACPLGZ'!T:T)+SUMIF('CF-ACPLYixing'!$A:$A,$A17,'CF-ACPLYixing'!T:T)</f>
        <v>0</v>
      </c>
      <c r="U17" s="626">
        <f>SUMIF('CF-ACPL'!$A:$A,$A17,'CF-ACPL'!U:U)+SUMIF('CF-ACPLHK'!$A:$A,$A17,'CF-ACPLHK'!U:U)+SUMIF('CF-ACPLSZ'!$A:$A,$A17,'CF-ACPLSZ'!U:U)+SUMIF('CF-ACPSZL'!$A:$A,$A17,'CF-ACPSZL'!U:U)+SUMIF('CF-ACPLGZ'!$A:$A,$A17,'CF-ACPLGZ'!U:U)+SUMIF('CF-ACPLYixing'!$A:$A,$A17,'CF-ACPLYixing'!U:U)</f>
        <v>0</v>
      </c>
      <c r="V17" s="626">
        <f>SUMIF('CF-ACPL'!$A:$A,$A17,'CF-ACPL'!V:V)+SUMIF('CF-ACPLHK'!$A:$A,$A17,'CF-ACPLHK'!V:V)+SUMIF('CF-ACPLSZ'!$A:$A,$A17,'CF-ACPLSZ'!V:V)+SUMIF('CF-ACPSZL'!$A:$A,$A17,'CF-ACPSZL'!V:V)+SUMIF('CF-ACPLGZ'!$A:$A,$A17,'CF-ACPLGZ'!V:V)+SUMIF('CF-ACPLYixing'!$A:$A,$A17,'CF-ACPLYixing'!V:V)</f>
        <v>0</v>
      </c>
      <c r="W17" s="626">
        <f>SUMIF('CF-ACPL'!$A:$A,$A17,'CF-ACPL'!W:W)+SUMIF('CF-ACPLHK'!$A:$A,$A17,'CF-ACPLHK'!W:W)+SUMIF('CF-ACPLSZ'!$A:$A,$A17,'CF-ACPLSZ'!W:W)+SUMIF('CF-ACPSZL'!$A:$A,$A17,'CF-ACPSZL'!W:W)+SUMIF('CF-ACPLGZ'!$A:$A,$A17,'CF-ACPLGZ'!W:W)+SUMIF('CF-ACPLYixing'!$A:$A,$A17,'CF-ACPLYixing'!W:W)</f>
        <v>0</v>
      </c>
      <c r="X17" s="626">
        <f>SUMIF('CF-ACPL'!$A:$A,$A17,'CF-ACPL'!X:X)+SUMIF('CF-ACPLHK'!$A:$A,$A17,'CF-ACPLHK'!X:X)+SUMIF('CF-ACPLSZ'!$A:$A,$A17,'CF-ACPLSZ'!X:X)+SUMIF('CF-ACPSZL'!$A:$A,$A17,'CF-ACPSZL'!X:X)+SUMIF('CF-ACPLGZ'!$A:$A,$A17,'CF-ACPLGZ'!X:X)+SUMIF('CF-ACPLYixing'!$A:$A,$A17,'CF-ACPLYixing'!X:X)</f>
        <v>0</v>
      </c>
      <c r="Y17" s="626">
        <f>SUMIF('CF-ACPL'!$A:$A,$A17,'CF-ACPL'!Y:Y)+SUMIF('CF-ACPLHK'!$A:$A,$A17,'CF-ACPLHK'!Y:Y)+SUMIF('CF-ACPLSZ'!$A:$A,$A17,'CF-ACPLSZ'!Y:Y)+SUMIF('CF-ACPSZL'!$A:$A,$A17,'CF-ACPSZL'!Y:Y)+SUMIF('CF-ACPLGZ'!$A:$A,$A17,'CF-ACPLGZ'!Y:Y)+SUMIF('CF-ACPLYixing'!$A:$A,$A17,'CF-ACPLYixing'!Y:Y)</f>
        <v>0</v>
      </c>
      <c r="Z17" s="626">
        <f>SUMIF('CF-ACPL'!$A:$A,$A17,'CF-ACPL'!Z:Z)+SUMIF('CF-ACPLHK'!$A:$A,$A17,'CF-ACPLHK'!Z:Z)+SUMIF('CF-ACPLSZ'!$A:$A,$A17,'CF-ACPLSZ'!Z:Z)+SUMIF('CF-ACPSZL'!$A:$A,$A17,'CF-ACPSZL'!Z:Z)+SUMIF('CF-ACPLGZ'!$A:$A,$A17,'CF-ACPLGZ'!Z:Z)+SUMIF('CF-ACPLYixing'!$A:$A,$A17,'CF-ACPLYixing'!Z:Z)</f>
        <v>0</v>
      </c>
      <c r="AA17" s="626">
        <f>SUMIF('CF-ACPL'!$A:$A,$A17,'CF-ACPL'!AA:AA)+SUMIF('CF-ACPLHK'!$A:$A,$A17,'CF-ACPLHK'!AA:AA)+SUMIF('CF-ACPLSZ'!$A:$A,$A17,'CF-ACPLSZ'!AA:AA)+SUMIF('CF-ACPSZL'!$A:$A,$A17,'CF-ACPSZL'!AA:AA)+SUMIF('CF-ACPLGZ'!$A:$A,$A17,'CF-ACPLGZ'!AA:AA)+SUMIF('CF-ACPLYixing'!$A:$A,$A17,'CF-ACPLYixing'!AA:AA)</f>
        <v>0</v>
      </c>
      <c r="AB17" s="626">
        <f>SUMIF('CF-ACPL'!$A:$A,$A17,'CF-ACPL'!AB:AB)+SUMIF('CF-ACPLHK'!$A:$A,$A17,'CF-ACPLHK'!AB:AB)+SUMIF('CF-ACPLSZ'!$A:$A,$A17,'CF-ACPLSZ'!AB:AB)+SUMIF('CF-ACPSZL'!$A:$A,$A17,'CF-ACPSZL'!AB:AB)+SUMIF('CF-ACPLGZ'!$A:$A,$A17,'CF-ACPLGZ'!AB:AB)+SUMIF('CF-ACPLYixing'!$A:$A,$A17,'CF-ACPLYixing'!AB:AB)</f>
        <v>0</v>
      </c>
      <c r="AC17" s="626">
        <f>SUMIF('CF-ACPL'!$A:$A,$A17,'CF-ACPL'!AC:AC)+SUMIF('CF-ACPLHK'!$A:$A,$A17,'CF-ACPLHK'!AC:AC)+SUMIF('CF-ACPLSZ'!$A:$A,$A17,'CF-ACPLSZ'!AC:AC)+SUMIF('CF-ACPSZL'!$A:$A,$A17,'CF-ACPSZL'!AC:AC)+SUMIF('CF-ACPLGZ'!$A:$A,$A17,'CF-ACPLGZ'!AC:AC)+SUMIF('CF-ACPLYixing'!$A:$A,$A17,'CF-ACPLYixing'!AC:AC)</f>
        <v>0</v>
      </c>
      <c r="AD17" s="626">
        <f>SUMIF('CF-ACPL'!$A:$A,$A17,'CF-ACPL'!AD:AD)+SUMIF('CF-ACPLHK'!$A:$A,$A17,'CF-ACPLHK'!AD:AD)+SUMIF('CF-ACPLSZ'!$A:$A,$A17,'CF-ACPLSZ'!AD:AD)+SUMIF('CF-ACPSZL'!$A:$A,$A17,'CF-ACPSZL'!AD:AD)+SUMIF('CF-ACPLGZ'!$A:$A,$A17,'CF-ACPLGZ'!AD:AD)+SUMIF('CF-ACPLYixing'!$A:$A,$A17,'CF-ACPLYixing'!AD:AD)</f>
        <v>0</v>
      </c>
      <c r="AE17" s="626">
        <f>SUM(S17:AD17)</f>
        <v>0</v>
      </c>
    </row>
    <row r="18" spans="1:32" s="601" customFormat="1" ht="16.5" customHeight="1">
      <c r="A18" s="631" t="s">
        <v>2566</v>
      </c>
      <c r="B18" s="632">
        <f ca="1">INDEX($E18:$P18,1,MATCH($B$4,$E$4:$P$4))</f>
        <v>-1991144.3440812915</v>
      </c>
      <c r="C18" s="632">
        <f ca="1">SUM($E18:OFFSET($E18,0,MATCH($C$4,$E$4:$P$4)-1))</f>
        <v>-1991144.3440812915</v>
      </c>
      <c r="D18" s="632"/>
      <c r="E18" s="632">
        <f t="shared" ref="E18:Q18" ca="1" si="5">SUM(E19:E27)</f>
        <v>-1991144.3440812915</v>
      </c>
      <c r="F18" s="632">
        <f t="shared" ca="1" si="5"/>
        <v>-1888572.4565658332</v>
      </c>
      <c r="G18" s="632">
        <f t="shared" ca="1" si="5"/>
        <v>-2017944.3465658333</v>
      </c>
      <c r="H18" s="632">
        <f t="shared" ca="1" si="5"/>
        <v>-4067871.5235658325</v>
      </c>
      <c r="I18" s="632">
        <f t="shared" ca="1" si="5"/>
        <v>-2580485.9635658329</v>
      </c>
      <c r="J18" s="632">
        <f t="shared" ca="1" si="5"/>
        <v>-2875891.1635658331</v>
      </c>
      <c r="K18" s="632">
        <f t="shared" ca="1" si="5"/>
        <v>-2254061.1402324997</v>
      </c>
      <c r="L18" s="632">
        <f t="shared" ca="1" si="5"/>
        <v>-2256089.9102324997</v>
      </c>
      <c r="M18" s="632">
        <f t="shared" ca="1" si="5"/>
        <v>-2403927.7922324999</v>
      </c>
      <c r="N18" s="632">
        <f t="shared" ca="1" si="5"/>
        <v>-2285665.4682324999</v>
      </c>
      <c r="O18" s="632">
        <f t="shared" ca="1" si="5"/>
        <v>-2167613.2119024997</v>
      </c>
      <c r="P18" s="632">
        <f t="shared" ca="1" si="5"/>
        <v>-4180222.9376610708</v>
      </c>
      <c r="Q18" s="632">
        <f t="shared" ca="1" si="5"/>
        <v>-30969490.258404028</v>
      </c>
      <c r="R18" s="623"/>
      <c r="S18" s="632">
        <f t="shared" ref="S18:AD18" si="6">SUM(S19:S27)</f>
        <v>0</v>
      </c>
      <c r="T18" s="632">
        <f t="shared" si="6"/>
        <v>0</v>
      </c>
      <c r="U18" s="632">
        <f t="shared" si="6"/>
        <v>0</v>
      </c>
      <c r="V18" s="632">
        <f t="shared" si="6"/>
        <v>0</v>
      </c>
      <c r="W18" s="632">
        <f t="shared" si="6"/>
        <v>0</v>
      </c>
      <c r="X18" s="632">
        <f t="shared" si="6"/>
        <v>0</v>
      </c>
      <c r="Y18" s="632">
        <f t="shared" si="6"/>
        <v>0</v>
      </c>
      <c r="Z18" s="632">
        <f t="shared" si="6"/>
        <v>0</v>
      </c>
      <c r="AA18" s="632">
        <f t="shared" si="6"/>
        <v>0</v>
      </c>
      <c r="AB18" s="632">
        <f t="shared" si="6"/>
        <v>0</v>
      </c>
      <c r="AC18" s="632">
        <f t="shared" si="6"/>
        <v>0</v>
      </c>
      <c r="AD18" s="632">
        <f t="shared" si="6"/>
        <v>0</v>
      </c>
      <c r="AE18" s="632">
        <f t="shared" ref="AE18" si="7">SUM(AE19:AE27)</f>
        <v>0</v>
      </c>
    </row>
    <row r="19" spans="1:32" ht="16.5" customHeight="1">
      <c r="A19" s="629" t="s">
        <v>2567</v>
      </c>
      <c r="B19" s="626">
        <f>INDEX($E19:$P19,1,MATCH($B$4,$E$4:$P$4))</f>
        <v>0</v>
      </c>
      <c r="C19" s="626">
        <f ca="1">SUM($E19:OFFSET($E19,0,MATCH($C$4,$E$4:$P$4)-1))</f>
        <v>0</v>
      </c>
      <c r="D19" s="626"/>
      <c r="E19" s="626">
        <f>SUMIF('CF-ACPL'!$A:$A,$A19,'CF-ACPL'!E:E)+SUMIF('CF-ACPLHK'!$A:$A,$A19,'CF-ACPLHK'!E:E)+SUMIF('CF-ACPLSZ'!$A:$A,$A19,'CF-ACPLSZ'!E:E)+SUMIF('CF-ACPSZL'!$A:$A,$A19,'CF-ACPSZL'!E:E)+SUMIF('CF-ACPLGZ'!$A:$A,$A19,'CF-ACPLGZ'!E:E)+SUMIF('CF-ACPLYixing'!$A:$A,$A19,'CF-ACPLYixing'!E:E)</f>
        <v>0</v>
      </c>
      <c r="F19" s="626">
        <f>SUMIF('CF-ACPL'!$A:$A,$A19,'CF-ACPL'!F:F)+SUMIF('CF-ACPLHK'!$A:$A,$A19,'CF-ACPLHK'!F:F)+SUMIF('CF-ACPLSZ'!$A:$A,$A19,'CF-ACPLSZ'!F:F)+SUMIF('CF-ACPSZL'!$A:$A,$A19,'CF-ACPSZL'!F:F)+SUMIF('CF-ACPLGZ'!$A:$A,$A19,'CF-ACPLGZ'!F:F)+SUMIF('CF-ACPLYixing'!$A:$A,$A19,'CF-ACPLYixing'!F:F)</f>
        <v>0</v>
      </c>
      <c r="G19" s="626">
        <f>SUMIF('CF-ACPL'!$A:$A,$A19,'CF-ACPL'!G:G)+SUMIF('CF-ACPLHK'!$A:$A,$A19,'CF-ACPLHK'!G:G)+SUMIF('CF-ACPLSZ'!$A:$A,$A19,'CF-ACPLSZ'!G:G)+SUMIF('CF-ACPSZL'!$A:$A,$A19,'CF-ACPSZL'!G:G)+SUMIF('CF-ACPLGZ'!$A:$A,$A19,'CF-ACPLGZ'!G:G)+SUMIF('CF-ACPLYixing'!$A:$A,$A19,'CF-ACPLYixing'!G:G)</f>
        <v>0</v>
      </c>
      <c r="H19" s="626">
        <f>SUMIF('CF-ACPL'!$A:$A,$A19,'CF-ACPL'!H:H)+SUMIF('CF-ACPLHK'!$A:$A,$A19,'CF-ACPLHK'!H:H)+SUMIF('CF-ACPLSZ'!$A:$A,$A19,'CF-ACPLSZ'!H:H)+SUMIF('CF-ACPSZL'!$A:$A,$A19,'CF-ACPSZL'!H:H)+SUMIF('CF-ACPLGZ'!$A:$A,$A19,'CF-ACPLGZ'!H:H)+SUMIF('CF-ACPLYixing'!$A:$A,$A19,'CF-ACPLYixing'!H:H)</f>
        <v>0</v>
      </c>
      <c r="I19" s="626">
        <f>SUMIF('CF-ACPL'!$A:$A,$A19,'CF-ACPL'!I:I)+SUMIF('CF-ACPLHK'!$A:$A,$A19,'CF-ACPLHK'!I:I)+SUMIF('CF-ACPLSZ'!$A:$A,$A19,'CF-ACPLSZ'!I:I)+SUMIF('CF-ACPSZL'!$A:$A,$A19,'CF-ACPSZL'!I:I)+SUMIF('CF-ACPLGZ'!$A:$A,$A19,'CF-ACPLGZ'!I:I)+SUMIF('CF-ACPLYixing'!$A:$A,$A19,'CF-ACPLYixing'!I:I)</f>
        <v>0</v>
      </c>
      <c r="J19" s="626">
        <f>SUMIF('CF-ACPL'!$A:$A,$A19,'CF-ACPL'!J:J)+SUMIF('CF-ACPLHK'!$A:$A,$A19,'CF-ACPLHK'!J:J)+SUMIF('CF-ACPLSZ'!$A:$A,$A19,'CF-ACPLSZ'!J:J)+SUMIF('CF-ACPSZL'!$A:$A,$A19,'CF-ACPSZL'!J:J)+SUMIF('CF-ACPLGZ'!$A:$A,$A19,'CF-ACPLGZ'!J:J)+SUMIF('CF-ACPLYixing'!$A:$A,$A19,'CF-ACPLYixing'!J:J)</f>
        <v>0</v>
      </c>
      <c r="K19" s="626">
        <f>SUMIF('CF-ACPL'!$A:$A,$A19,'CF-ACPL'!K:K)+SUMIF('CF-ACPLHK'!$A:$A,$A19,'CF-ACPLHK'!K:K)+SUMIF('CF-ACPLSZ'!$A:$A,$A19,'CF-ACPLSZ'!K:K)+SUMIF('CF-ACPSZL'!$A:$A,$A19,'CF-ACPSZL'!K:K)+SUMIF('CF-ACPLGZ'!$A:$A,$A19,'CF-ACPLGZ'!K:K)+SUMIF('CF-ACPLYixing'!$A:$A,$A19,'CF-ACPLYixing'!K:K)</f>
        <v>0</v>
      </c>
      <c r="L19" s="626">
        <f>SUMIF('CF-ACPL'!$A:$A,$A19,'CF-ACPL'!L:L)+SUMIF('CF-ACPLHK'!$A:$A,$A19,'CF-ACPLHK'!L:L)+SUMIF('CF-ACPLSZ'!$A:$A,$A19,'CF-ACPLSZ'!L:L)+SUMIF('CF-ACPSZL'!$A:$A,$A19,'CF-ACPSZL'!L:L)+SUMIF('CF-ACPLGZ'!$A:$A,$A19,'CF-ACPLGZ'!L:L)+SUMIF('CF-ACPLYixing'!$A:$A,$A19,'CF-ACPLYixing'!L:L)</f>
        <v>0</v>
      </c>
      <c r="M19" s="626">
        <f>SUMIF('CF-ACPL'!$A:$A,$A19,'CF-ACPL'!M:M)+SUMIF('CF-ACPLHK'!$A:$A,$A19,'CF-ACPLHK'!M:M)+SUMIF('CF-ACPLSZ'!$A:$A,$A19,'CF-ACPLSZ'!M:M)+SUMIF('CF-ACPSZL'!$A:$A,$A19,'CF-ACPSZL'!M:M)+SUMIF('CF-ACPLGZ'!$A:$A,$A19,'CF-ACPLGZ'!M:M)+SUMIF('CF-ACPLYixing'!$A:$A,$A19,'CF-ACPLYixing'!M:M)</f>
        <v>0</v>
      </c>
      <c r="N19" s="626">
        <f>SUMIF('CF-ACPL'!$A:$A,$A19,'CF-ACPL'!N:N)+SUMIF('CF-ACPLHK'!$A:$A,$A19,'CF-ACPLHK'!N:N)+SUMIF('CF-ACPLSZ'!$A:$A,$A19,'CF-ACPLSZ'!N:N)+SUMIF('CF-ACPSZL'!$A:$A,$A19,'CF-ACPSZL'!N:N)+SUMIF('CF-ACPLGZ'!$A:$A,$A19,'CF-ACPLGZ'!N:N)+SUMIF('CF-ACPLYixing'!$A:$A,$A19,'CF-ACPLYixing'!N:N)</f>
        <v>0</v>
      </c>
      <c r="O19" s="626">
        <f>SUMIF('CF-ACPL'!$A:$A,$A19,'CF-ACPL'!O:O)+SUMIF('CF-ACPLHK'!$A:$A,$A19,'CF-ACPLHK'!O:O)+SUMIF('CF-ACPLSZ'!$A:$A,$A19,'CF-ACPLSZ'!O:O)+SUMIF('CF-ACPSZL'!$A:$A,$A19,'CF-ACPSZL'!O:O)+SUMIF('CF-ACPLGZ'!$A:$A,$A19,'CF-ACPLGZ'!O:O)+SUMIF('CF-ACPLYixing'!$A:$A,$A19,'CF-ACPLYixing'!O:O)</f>
        <v>0</v>
      </c>
      <c r="P19" s="626">
        <f>SUMIF('CF-ACPL'!$A:$A,$A19,'CF-ACPL'!P:P)+SUMIF('CF-ACPLHK'!$A:$A,$A19,'CF-ACPLHK'!P:P)+SUMIF('CF-ACPLSZ'!$A:$A,$A19,'CF-ACPLSZ'!P:P)+SUMIF('CF-ACPSZL'!$A:$A,$A19,'CF-ACPSZL'!P:P)+SUMIF('CF-ACPLGZ'!$A:$A,$A19,'CF-ACPLGZ'!P:P)+SUMIF('CF-ACPLYixing'!$A:$A,$A19,'CF-ACPLYixing'!P:P)</f>
        <v>0</v>
      </c>
      <c r="Q19" s="626">
        <f t="shared" ref="Q19:Q27" si="8">SUM(E19:P19)</f>
        <v>0</v>
      </c>
      <c r="R19" s="626"/>
      <c r="S19" s="626">
        <f>SUMIF('CF-ACPL'!$A:$A,$A19,'CF-ACPL'!S:S)+SUMIF('CF-ACPLHK'!$A:$A,$A19,'CF-ACPLHK'!S:S)+SUMIF('CF-ACPLSZ'!$A:$A,$A19,'CF-ACPLSZ'!S:S)+SUMIF('CF-ACPSZL'!$A:$A,$A19,'CF-ACPSZL'!S:S)+SUMIF('CF-ACPLGZ'!$A:$A,$A19,'CF-ACPLGZ'!S:S)+SUMIF('CF-ACPLYixing'!$A:$A,$A19,'CF-ACPLYixing'!S:S)</f>
        <v>0</v>
      </c>
      <c r="T19" s="626">
        <f>SUMIF('CF-ACPL'!$A:$A,$A19,'CF-ACPL'!T:T)+SUMIF('CF-ACPLHK'!$A:$A,$A19,'CF-ACPLHK'!T:T)+SUMIF('CF-ACPLSZ'!$A:$A,$A19,'CF-ACPLSZ'!T:T)+SUMIF('CF-ACPSZL'!$A:$A,$A19,'CF-ACPSZL'!T:T)+SUMIF('CF-ACPLGZ'!$A:$A,$A19,'CF-ACPLGZ'!T:T)+SUMIF('CF-ACPLYixing'!$A:$A,$A19,'CF-ACPLYixing'!T:T)</f>
        <v>0</v>
      </c>
      <c r="U19" s="626">
        <f>SUMIF('CF-ACPL'!$A:$A,$A19,'CF-ACPL'!U:U)+SUMIF('CF-ACPLHK'!$A:$A,$A19,'CF-ACPLHK'!U:U)+SUMIF('CF-ACPLSZ'!$A:$A,$A19,'CF-ACPLSZ'!U:U)+SUMIF('CF-ACPSZL'!$A:$A,$A19,'CF-ACPSZL'!U:U)+SUMIF('CF-ACPLGZ'!$A:$A,$A19,'CF-ACPLGZ'!U:U)+SUMIF('CF-ACPLYixing'!$A:$A,$A19,'CF-ACPLYixing'!U:U)</f>
        <v>0</v>
      </c>
      <c r="V19" s="626">
        <f>SUMIF('CF-ACPL'!$A:$A,$A19,'CF-ACPL'!V:V)+SUMIF('CF-ACPLHK'!$A:$A,$A19,'CF-ACPLHK'!V:V)+SUMIF('CF-ACPLSZ'!$A:$A,$A19,'CF-ACPLSZ'!V:V)+SUMIF('CF-ACPSZL'!$A:$A,$A19,'CF-ACPSZL'!V:V)+SUMIF('CF-ACPLGZ'!$A:$A,$A19,'CF-ACPLGZ'!V:V)+SUMIF('CF-ACPLYixing'!$A:$A,$A19,'CF-ACPLYixing'!V:V)</f>
        <v>0</v>
      </c>
      <c r="W19" s="626">
        <f>SUMIF('CF-ACPL'!$A:$A,$A19,'CF-ACPL'!W:W)+SUMIF('CF-ACPLHK'!$A:$A,$A19,'CF-ACPLHK'!W:W)+SUMIF('CF-ACPLSZ'!$A:$A,$A19,'CF-ACPLSZ'!W:W)+SUMIF('CF-ACPSZL'!$A:$A,$A19,'CF-ACPSZL'!W:W)+SUMIF('CF-ACPLGZ'!$A:$A,$A19,'CF-ACPLGZ'!W:W)+SUMIF('CF-ACPLYixing'!$A:$A,$A19,'CF-ACPLYixing'!W:W)</f>
        <v>0</v>
      </c>
      <c r="X19" s="626">
        <f>SUMIF('CF-ACPL'!$A:$A,$A19,'CF-ACPL'!X:X)+SUMIF('CF-ACPLHK'!$A:$A,$A19,'CF-ACPLHK'!X:X)+SUMIF('CF-ACPLSZ'!$A:$A,$A19,'CF-ACPLSZ'!X:X)+SUMIF('CF-ACPSZL'!$A:$A,$A19,'CF-ACPSZL'!X:X)+SUMIF('CF-ACPLGZ'!$A:$A,$A19,'CF-ACPLGZ'!X:X)+SUMIF('CF-ACPLYixing'!$A:$A,$A19,'CF-ACPLYixing'!X:X)</f>
        <v>0</v>
      </c>
      <c r="Y19" s="626">
        <f>SUMIF('CF-ACPL'!$A:$A,$A19,'CF-ACPL'!Y:Y)+SUMIF('CF-ACPLHK'!$A:$A,$A19,'CF-ACPLHK'!Y:Y)+SUMIF('CF-ACPLSZ'!$A:$A,$A19,'CF-ACPLSZ'!Y:Y)+SUMIF('CF-ACPSZL'!$A:$A,$A19,'CF-ACPSZL'!Y:Y)+SUMIF('CF-ACPLGZ'!$A:$A,$A19,'CF-ACPLGZ'!Y:Y)+SUMIF('CF-ACPLYixing'!$A:$A,$A19,'CF-ACPLYixing'!Y:Y)</f>
        <v>0</v>
      </c>
      <c r="Z19" s="626">
        <f>SUMIF('CF-ACPL'!$A:$A,$A19,'CF-ACPL'!Z:Z)+SUMIF('CF-ACPLHK'!$A:$A,$A19,'CF-ACPLHK'!Z:Z)+SUMIF('CF-ACPLSZ'!$A:$A,$A19,'CF-ACPLSZ'!Z:Z)+SUMIF('CF-ACPSZL'!$A:$A,$A19,'CF-ACPSZL'!Z:Z)+SUMIF('CF-ACPLGZ'!$A:$A,$A19,'CF-ACPLGZ'!Z:Z)+SUMIF('CF-ACPLYixing'!$A:$A,$A19,'CF-ACPLYixing'!Z:Z)</f>
        <v>0</v>
      </c>
      <c r="AA19" s="626">
        <f>SUMIF('CF-ACPL'!$A:$A,$A19,'CF-ACPL'!AA:AA)+SUMIF('CF-ACPLHK'!$A:$A,$A19,'CF-ACPLHK'!AA:AA)+SUMIF('CF-ACPLSZ'!$A:$A,$A19,'CF-ACPLSZ'!AA:AA)+SUMIF('CF-ACPSZL'!$A:$A,$A19,'CF-ACPSZL'!AA:AA)+SUMIF('CF-ACPLGZ'!$A:$A,$A19,'CF-ACPLGZ'!AA:AA)+SUMIF('CF-ACPLYixing'!$A:$A,$A19,'CF-ACPLYixing'!AA:AA)</f>
        <v>0</v>
      </c>
      <c r="AB19" s="626">
        <f>SUMIF('CF-ACPL'!$A:$A,$A19,'CF-ACPL'!AB:AB)+SUMIF('CF-ACPLHK'!$A:$A,$A19,'CF-ACPLHK'!AB:AB)+SUMIF('CF-ACPLSZ'!$A:$A,$A19,'CF-ACPLSZ'!AB:AB)+SUMIF('CF-ACPSZL'!$A:$A,$A19,'CF-ACPSZL'!AB:AB)+SUMIF('CF-ACPLGZ'!$A:$A,$A19,'CF-ACPLGZ'!AB:AB)+SUMIF('CF-ACPLYixing'!$A:$A,$A19,'CF-ACPLYixing'!AB:AB)</f>
        <v>0</v>
      </c>
      <c r="AC19" s="626">
        <f>SUMIF('CF-ACPL'!$A:$A,$A19,'CF-ACPL'!AC:AC)+SUMIF('CF-ACPLHK'!$A:$A,$A19,'CF-ACPLHK'!AC:AC)+SUMIF('CF-ACPLSZ'!$A:$A,$A19,'CF-ACPLSZ'!AC:AC)+SUMIF('CF-ACPSZL'!$A:$A,$A19,'CF-ACPSZL'!AC:AC)+SUMIF('CF-ACPLGZ'!$A:$A,$A19,'CF-ACPLGZ'!AC:AC)+SUMIF('CF-ACPLYixing'!$A:$A,$A19,'CF-ACPLYixing'!AC:AC)</f>
        <v>0</v>
      </c>
      <c r="AD19" s="626">
        <f>SUMIF('CF-ACPL'!$A:$A,$A19,'CF-ACPL'!AD:AD)+SUMIF('CF-ACPLHK'!$A:$A,$A19,'CF-ACPLHK'!AD:AD)+SUMIF('CF-ACPLSZ'!$A:$A,$A19,'CF-ACPLSZ'!AD:AD)+SUMIF('CF-ACPSZL'!$A:$A,$A19,'CF-ACPSZL'!AD:AD)+SUMIF('CF-ACPLGZ'!$A:$A,$A19,'CF-ACPLGZ'!AD:AD)+SUMIF('CF-ACPLYixing'!$A:$A,$A19,'CF-ACPLYixing'!AD:AD)</f>
        <v>0</v>
      </c>
      <c r="AE19" s="626">
        <f t="shared" ref="AE19:AE25" si="9">SUM(S19:AD19)</f>
        <v>0</v>
      </c>
    </row>
    <row r="20" spans="1:32" ht="16.5" customHeight="1">
      <c r="A20" s="629" t="s">
        <v>2568</v>
      </c>
      <c r="B20" s="626">
        <f t="shared" ref="B20:B27" si="10">INDEX($E20:$P20,1,MATCH($B$4,$E$4:$P$4))</f>
        <v>0</v>
      </c>
      <c r="C20" s="626">
        <f t="shared" ref="C20:C27" ca="1" si="11">SUM($E20:OFFSET($E20,0,MATCH($C$4,$E$4:$P$4)-1))</f>
        <v>0</v>
      </c>
      <c r="D20" s="626"/>
      <c r="E20" s="626">
        <f>SUMIF('CF-ACPL'!$A:$A,$A20,'CF-ACPL'!E:E)+SUMIF('CF-ACPLHK'!$A:$A,$A20,'CF-ACPLHK'!E:E)+SUMIF('CF-ACPLSZ'!$A:$A,$A20,'CF-ACPLSZ'!E:E)+SUMIF('CF-ACPSZL'!$A:$A,$A20,'CF-ACPSZL'!E:E)+SUMIF('CF-ACPLGZ'!$A:$A,$A20,'CF-ACPLGZ'!E:E)+SUMIF('CF-ACPLYixing'!$A:$A,$A20,'CF-ACPLYixing'!E:E)</f>
        <v>0</v>
      </c>
      <c r="F20" s="626">
        <f>SUMIF('CF-ACPL'!$A:$A,$A20,'CF-ACPL'!F:F)+SUMIF('CF-ACPLHK'!$A:$A,$A20,'CF-ACPLHK'!F:F)+SUMIF('CF-ACPLSZ'!$A:$A,$A20,'CF-ACPLSZ'!F:F)+SUMIF('CF-ACPSZL'!$A:$A,$A20,'CF-ACPSZL'!F:F)+SUMIF('CF-ACPLGZ'!$A:$A,$A20,'CF-ACPLGZ'!F:F)+SUMIF('CF-ACPLYixing'!$A:$A,$A20,'CF-ACPLYixing'!F:F)</f>
        <v>0</v>
      </c>
      <c r="G20" s="626">
        <f>SUMIF('CF-ACPL'!$A:$A,$A20,'CF-ACPL'!G:G)+SUMIF('CF-ACPLHK'!$A:$A,$A20,'CF-ACPLHK'!G:G)+SUMIF('CF-ACPLSZ'!$A:$A,$A20,'CF-ACPLSZ'!G:G)+SUMIF('CF-ACPSZL'!$A:$A,$A20,'CF-ACPSZL'!G:G)+SUMIF('CF-ACPLGZ'!$A:$A,$A20,'CF-ACPLGZ'!G:G)+SUMIF('CF-ACPLYixing'!$A:$A,$A20,'CF-ACPLYixing'!G:G)</f>
        <v>0</v>
      </c>
      <c r="H20" s="626">
        <f>SUMIF('CF-ACPL'!$A:$A,$A20,'CF-ACPL'!H:H)+SUMIF('CF-ACPLHK'!$A:$A,$A20,'CF-ACPLHK'!H:H)+SUMIF('CF-ACPLSZ'!$A:$A,$A20,'CF-ACPLSZ'!H:H)+SUMIF('CF-ACPSZL'!$A:$A,$A20,'CF-ACPSZL'!H:H)+SUMIF('CF-ACPLGZ'!$A:$A,$A20,'CF-ACPLGZ'!H:H)+SUMIF('CF-ACPLYixing'!$A:$A,$A20,'CF-ACPLYixing'!H:H)</f>
        <v>0</v>
      </c>
      <c r="I20" s="626">
        <f>SUMIF('CF-ACPL'!$A:$A,$A20,'CF-ACPL'!I:I)+SUMIF('CF-ACPLHK'!$A:$A,$A20,'CF-ACPLHK'!I:I)+SUMIF('CF-ACPLSZ'!$A:$A,$A20,'CF-ACPLSZ'!I:I)+SUMIF('CF-ACPSZL'!$A:$A,$A20,'CF-ACPSZL'!I:I)+SUMIF('CF-ACPLGZ'!$A:$A,$A20,'CF-ACPLGZ'!I:I)+SUMIF('CF-ACPLYixing'!$A:$A,$A20,'CF-ACPLYixing'!I:I)</f>
        <v>0</v>
      </c>
      <c r="J20" s="626">
        <f>SUMIF('CF-ACPL'!$A:$A,$A20,'CF-ACPL'!J:J)+SUMIF('CF-ACPLHK'!$A:$A,$A20,'CF-ACPLHK'!J:J)+SUMIF('CF-ACPLSZ'!$A:$A,$A20,'CF-ACPLSZ'!J:J)+SUMIF('CF-ACPSZL'!$A:$A,$A20,'CF-ACPSZL'!J:J)+SUMIF('CF-ACPLGZ'!$A:$A,$A20,'CF-ACPLGZ'!J:J)+SUMIF('CF-ACPLYixing'!$A:$A,$A20,'CF-ACPLYixing'!J:J)</f>
        <v>0</v>
      </c>
      <c r="K20" s="626">
        <f>SUMIF('CF-ACPL'!$A:$A,$A20,'CF-ACPL'!K:K)+SUMIF('CF-ACPLHK'!$A:$A,$A20,'CF-ACPLHK'!K:K)+SUMIF('CF-ACPLSZ'!$A:$A,$A20,'CF-ACPLSZ'!K:K)+SUMIF('CF-ACPSZL'!$A:$A,$A20,'CF-ACPSZL'!K:K)+SUMIF('CF-ACPLGZ'!$A:$A,$A20,'CF-ACPLGZ'!K:K)+SUMIF('CF-ACPLYixing'!$A:$A,$A20,'CF-ACPLYixing'!K:K)</f>
        <v>0</v>
      </c>
      <c r="L20" s="626">
        <f>SUMIF('CF-ACPL'!$A:$A,$A20,'CF-ACPL'!L:L)+SUMIF('CF-ACPLHK'!$A:$A,$A20,'CF-ACPLHK'!L:L)+SUMIF('CF-ACPLSZ'!$A:$A,$A20,'CF-ACPLSZ'!L:L)+SUMIF('CF-ACPSZL'!$A:$A,$A20,'CF-ACPSZL'!L:L)+SUMIF('CF-ACPLGZ'!$A:$A,$A20,'CF-ACPLGZ'!L:L)+SUMIF('CF-ACPLYixing'!$A:$A,$A20,'CF-ACPLYixing'!L:L)</f>
        <v>0</v>
      </c>
      <c r="M20" s="626">
        <f>SUMIF('CF-ACPL'!$A:$A,$A20,'CF-ACPL'!M:M)+SUMIF('CF-ACPLHK'!$A:$A,$A20,'CF-ACPLHK'!M:M)+SUMIF('CF-ACPLSZ'!$A:$A,$A20,'CF-ACPLSZ'!M:M)+SUMIF('CF-ACPSZL'!$A:$A,$A20,'CF-ACPSZL'!M:M)+SUMIF('CF-ACPLGZ'!$A:$A,$A20,'CF-ACPLGZ'!M:M)+SUMIF('CF-ACPLYixing'!$A:$A,$A20,'CF-ACPLYixing'!M:M)</f>
        <v>0</v>
      </c>
      <c r="N20" s="626">
        <f>SUMIF('CF-ACPL'!$A:$A,$A20,'CF-ACPL'!N:N)+SUMIF('CF-ACPLHK'!$A:$A,$A20,'CF-ACPLHK'!N:N)+SUMIF('CF-ACPLSZ'!$A:$A,$A20,'CF-ACPLSZ'!N:N)+SUMIF('CF-ACPSZL'!$A:$A,$A20,'CF-ACPSZL'!N:N)+SUMIF('CF-ACPLGZ'!$A:$A,$A20,'CF-ACPLGZ'!N:N)+SUMIF('CF-ACPLYixing'!$A:$A,$A20,'CF-ACPLYixing'!N:N)</f>
        <v>0</v>
      </c>
      <c r="O20" s="626">
        <f>SUMIF('CF-ACPL'!$A:$A,$A20,'CF-ACPL'!O:O)+SUMIF('CF-ACPLHK'!$A:$A,$A20,'CF-ACPLHK'!O:O)+SUMIF('CF-ACPLSZ'!$A:$A,$A20,'CF-ACPLSZ'!O:O)+SUMIF('CF-ACPSZL'!$A:$A,$A20,'CF-ACPSZL'!O:O)+SUMIF('CF-ACPLGZ'!$A:$A,$A20,'CF-ACPLGZ'!O:O)+SUMIF('CF-ACPLYixing'!$A:$A,$A20,'CF-ACPLYixing'!O:O)</f>
        <v>0</v>
      </c>
      <c r="P20" s="626">
        <f>SUMIF('CF-ACPL'!$A:$A,$A20,'CF-ACPL'!P:P)+SUMIF('CF-ACPLHK'!$A:$A,$A20,'CF-ACPLHK'!P:P)+SUMIF('CF-ACPLSZ'!$A:$A,$A20,'CF-ACPLSZ'!P:P)+SUMIF('CF-ACPSZL'!$A:$A,$A20,'CF-ACPSZL'!P:P)+SUMIF('CF-ACPLGZ'!$A:$A,$A20,'CF-ACPLGZ'!P:P)+SUMIF('CF-ACPLYixing'!$A:$A,$A20,'CF-ACPLYixing'!P:P)</f>
        <v>0</v>
      </c>
      <c r="Q20" s="626">
        <f t="shared" si="8"/>
        <v>0</v>
      </c>
      <c r="R20" s="626"/>
      <c r="S20" s="626">
        <f>SUMIF('CF-ACPL'!$A:$A,$A20,'CF-ACPL'!S:S)+SUMIF('CF-ACPLHK'!$A:$A,$A20,'CF-ACPLHK'!S:S)+SUMIF('CF-ACPLSZ'!$A:$A,$A20,'CF-ACPLSZ'!S:S)+SUMIF('CF-ACPSZL'!$A:$A,$A20,'CF-ACPSZL'!S:S)+SUMIF('CF-ACPLGZ'!$A:$A,$A20,'CF-ACPLGZ'!S:S)+SUMIF('CF-ACPLYixing'!$A:$A,$A20,'CF-ACPLYixing'!S:S)</f>
        <v>0</v>
      </c>
      <c r="T20" s="626">
        <f>SUMIF('CF-ACPL'!$A:$A,$A20,'CF-ACPL'!T:T)+SUMIF('CF-ACPLHK'!$A:$A,$A20,'CF-ACPLHK'!T:T)+SUMIF('CF-ACPLSZ'!$A:$A,$A20,'CF-ACPLSZ'!T:T)+SUMIF('CF-ACPSZL'!$A:$A,$A20,'CF-ACPSZL'!T:T)+SUMIF('CF-ACPLGZ'!$A:$A,$A20,'CF-ACPLGZ'!T:T)+SUMIF('CF-ACPLYixing'!$A:$A,$A20,'CF-ACPLYixing'!T:T)</f>
        <v>0</v>
      </c>
      <c r="U20" s="626">
        <f>SUMIF('CF-ACPL'!$A:$A,$A20,'CF-ACPL'!U:U)+SUMIF('CF-ACPLHK'!$A:$A,$A20,'CF-ACPLHK'!U:U)+SUMIF('CF-ACPLSZ'!$A:$A,$A20,'CF-ACPLSZ'!U:U)+SUMIF('CF-ACPSZL'!$A:$A,$A20,'CF-ACPSZL'!U:U)+SUMIF('CF-ACPLGZ'!$A:$A,$A20,'CF-ACPLGZ'!U:U)+SUMIF('CF-ACPLYixing'!$A:$A,$A20,'CF-ACPLYixing'!U:U)</f>
        <v>0</v>
      </c>
      <c r="V20" s="626">
        <f>SUMIF('CF-ACPL'!$A:$A,$A20,'CF-ACPL'!V:V)+SUMIF('CF-ACPLHK'!$A:$A,$A20,'CF-ACPLHK'!V:V)+SUMIF('CF-ACPLSZ'!$A:$A,$A20,'CF-ACPLSZ'!V:V)+SUMIF('CF-ACPSZL'!$A:$A,$A20,'CF-ACPSZL'!V:V)+SUMIF('CF-ACPLGZ'!$A:$A,$A20,'CF-ACPLGZ'!V:V)+SUMIF('CF-ACPLYixing'!$A:$A,$A20,'CF-ACPLYixing'!V:V)</f>
        <v>0</v>
      </c>
      <c r="W20" s="626">
        <f>SUMIF('CF-ACPL'!$A:$A,$A20,'CF-ACPL'!W:W)+SUMIF('CF-ACPLHK'!$A:$A,$A20,'CF-ACPLHK'!W:W)+SUMIF('CF-ACPLSZ'!$A:$A,$A20,'CF-ACPLSZ'!W:W)+SUMIF('CF-ACPSZL'!$A:$A,$A20,'CF-ACPSZL'!W:W)+SUMIF('CF-ACPLGZ'!$A:$A,$A20,'CF-ACPLGZ'!W:W)+SUMIF('CF-ACPLYixing'!$A:$A,$A20,'CF-ACPLYixing'!W:W)</f>
        <v>0</v>
      </c>
      <c r="X20" s="626">
        <f>SUMIF('CF-ACPL'!$A:$A,$A20,'CF-ACPL'!X:X)+SUMIF('CF-ACPLHK'!$A:$A,$A20,'CF-ACPLHK'!X:X)+SUMIF('CF-ACPLSZ'!$A:$A,$A20,'CF-ACPLSZ'!X:X)+SUMIF('CF-ACPSZL'!$A:$A,$A20,'CF-ACPSZL'!X:X)+SUMIF('CF-ACPLGZ'!$A:$A,$A20,'CF-ACPLGZ'!X:X)+SUMIF('CF-ACPLYixing'!$A:$A,$A20,'CF-ACPLYixing'!X:X)</f>
        <v>0</v>
      </c>
      <c r="Y20" s="626">
        <f>SUMIF('CF-ACPL'!$A:$A,$A20,'CF-ACPL'!Y:Y)+SUMIF('CF-ACPLHK'!$A:$A,$A20,'CF-ACPLHK'!Y:Y)+SUMIF('CF-ACPLSZ'!$A:$A,$A20,'CF-ACPLSZ'!Y:Y)+SUMIF('CF-ACPSZL'!$A:$A,$A20,'CF-ACPSZL'!Y:Y)+SUMIF('CF-ACPLGZ'!$A:$A,$A20,'CF-ACPLGZ'!Y:Y)+SUMIF('CF-ACPLYixing'!$A:$A,$A20,'CF-ACPLYixing'!Y:Y)</f>
        <v>0</v>
      </c>
      <c r="Z20" s="626">
        <f>SUMIF('CF-ACPL'!$A:$A,$A20,'CF-ACPL'!Z:Z)+SUMIF('CF-ACPLHK'!$A:$A,$A20,'CF-ACPLHK'!Z:Z)+SUMIF('CF-ACPLSZ'!$A:$A,$A20,'CF-ACPLSZ'!Z:Z)+SUMIF('CF-ACPSZL'!$A:$A,$A20,'CF-ACPSZL'!Z:Z)+SUMIF('CF-ACPLGZ'!$A:$A,$A20,'CF-ACPLGZ'!Z:Z)+SUMIF('CF-ACPLYixing'!$A:$A,$A20,'CF-ACPLYixing'!Z:Z)</f>
        <v>0</v>
      </c>
      <c r="AA20" s="626">
        <f>SUMIF('CF-ACPL'!$A:$A,$A20,'CF-ACPL'!AA:AA)+SUMIF('CF-ACPLHK'!$A:$A,$A20,'CF-ACPLHK'!AA:AA)+SUMIF('CF-ACPLSZ'!$A:$A,$A20,'CF-ACPLSZ'!AA:AA)+SUMIF('CF-ACPSZL'!$A:$A,$A20,'CF-ACPSZL'!AA:AA)+SUMIF('CF-ACPLGZ'!$A:$A,$A20,'CF-ACPLGZ'!AA:AA)+SUMIF('CF-ACPLYixing'!$A:$A,$A20,'CF-ACPLYixing'!AA:AA)</f>
        <v>0</v>
      </c>
      <c r="AB20" s="626">
        <f>SUMIF('CF-ACPL'!$A:$A,$A20,'CF-ACPL'!AB:AB)+SUMIF('CF-ACPLHK'!$A:$A,$A20,'CF-ACPLHK'!AB:AB)+SUMIF('CF-ACPLSZ'!$A:$A,$A20,'CF-ACPLSZ'!AB:AB)+SUMIF('CF-ACPSZL'!$A:$A,$A20,'CF-ACPSZL'!AB:AB)+SUMIF('CF-ACPLGZ'!$A:$A,$A20,'CF-ACPLGZ'!AB:AB)+SUMIF('CF-ACPLYixing'!$A:$A,$A20,'CF-ACPLYixing'!AB:AB)</f>
        <v>0</v>
      </c>
      <c r="AC20" s="626">
        <f>SUMIF('CF-ACPL'!$A:$A,$A20,'CF-ACPL'!AC:AC)+SUMIF('CF-ACPLHK'!$A:$A,$A20,'CF-ACPLHK'!AC:AC)+SUMIF('CF-ACPLSZ'!$A:$A,$A20,'CF-ACPLSZ'!AC:AC)+SUMIF('CF-ACPSZL'!$A:$A,$A20,'CF-ACPSZL'!AC:AC)+SUMIF('CF-ACPLGZ'!$A:$A,$A20,'CF-ACPLGZ'!AC:AC)+SUMIF('CF-ACPLYixing'!$A:$A,$A20,'CF-ACPLYixing'!AC:AC)</f>
        <v>0</v>
      </c>
      <c r="AD20" s="626">
        <f>SUMIF('CF-ACPL'!$A:$A,$A20,'CF-ACPL'!AD:AD)+SUMIF('CF-ACPLHK'!$A:$A,$A20,'CF-ACPLHK'!AD:AD)+SUMIF('CF-ACPLSZ'!$A:$A,$A20,'CF-ACPLSZ'!AD:AD)+SUMIF('CF-ACPSZL'!$A:$A,$A20,'CF-ACPSZL'!AD:AD)+SUMIF('CF-ACPLGZ'!$A:$A,$A20,'CF-ACPLGZ'!AD:AD)+SUMIF('CF-ACPLYixing'!$A:$A,$A20,'CF-ACPLYixing'!AD:AD)</f>
        <v>0</v>
      </c>
      <c r="AE20" s="626">
        <f t="shared" si="9"/>
        <v>0</v>
      </c>
    </row>
    <row r="21" spans="1:32" ht="16.5" customHeight="1">
      <c r="A21" s="629" t="s">
        <v>2569</v>
      </c>
      <c r="B21" s="626">
        <f t="shared" si="10"/>
        <v>0</v>
      </c>
      <c r="C21" s="626">
        <f t="shared" ca="1" si="11"/>
        <v>0</v>
      </c>
      <c r="D21" s="626"/>
      <c r="E21" s="626">
        <f>SUMIF('CF-ACPL'!$A:$A,$A21,'CF-ACPL'!E:E)+SUMIF('CF-ACPLHK'!$A:$A,$A21,'CF-ACPLHK'!E:E)+SUMIF('CF-ACPLSZ'!$A:$A,$A21,'CF-ACPLSZ'!E:E)+SUMIF('CF-ACPSZL'!$A:$A,$A21,'CF-ACPSZL'!E:E)+SUMIF('CF-ACPLGZ'!$A:$A,$A21,'CF-ACPLGZ'!E:E)+SUMIF('CF-ACPLYixing'!$A:$A,$A21,'CF-ACPLYixing'!E:E)</f>
        <v>0</v>
      </c>
      <c r="F21" s="626">
        <f>SUMIF('CF-ACPL'!$A:$A,$A21,'CF-ACPL'!F:F)+SUMIF('CF-ACPLHK'!$A:$A,$A21,'CF-ACPLHK'!F:F)+SUMIF('CF-ACPLSZ'!$A:$A,$A21,'CF-ACPLSZ'!F:F)+SUMIF('CF-ACPSZL'!$A:$A,$A21,'CF-ACPSZL'!F:F)+SUMIF('CF-ACPLGZ'!$A:$A,$A21,'CF-ACPLGZ'!F:F)+SUMIF('CF-ACPLYixing'!$A:$A,$A21,'CF-ACPLYixing'!F:F)</f>
        <v>0</v>
      </c>
      <c r="G21" s="626">
        <f>SUMIF('CF-ACPL'!$A:$A,$A21,'CF-ACPL'!G:G)+SUMIF('CF-ACPLHK'!$A:$A,$A21,'CF-ACPLHK'!G:G)+SUMIF('CF-ACPLSZ'!$A:$A,$A21,'CF-ACPLSZ'!G:G)+SUMIF('CF-ACPSZL'!$A:$A,$A21,'CF-ACPSZL'!G:G)+SUMIF('CF-ACPLGZ'!$A:$A,$A21,'CF-ACPLGZ'!G:G)+SUMIF('CF-ACPLYixing'!$A:$A,$A21,'CF-ACPLYixing'!G:G)</f>
        <v>0</v>
      </c>
      <c r="H21" s="626">
        <f>SUMIF('CF-ACPL'!$A:$A,$A21,'CF-ACPL'!H:H)+SUMIF('CF-ACPLHK'!$A:$A,$A21,'CF-ACPLHK'!H:H)+SUMIF('CF-ACPLSZ'!$A:$A,$A21,'CF-ACPLSZ'!H:H)+SUMIF('CF-ACPSZL'!$A:$A,$A21,'CF-ACPSZL'!H:H)+SUMIF('CF-ACPLGZ'!$A:$A,$A21,'CF-ACPLGZ'!H:H)+SUMIF('CF-ACPLYixing'!$A:$A,$A21,'CF-ACPLYixing'!H:H)</f>
        <v>-1311.4399999999998</v>
      </c>
      <c r="I21" s="626">
        <f>SUMIF('CF-ACPL'!$A:$A,$A21,'CF-ACPL'!I:I)+SUMIF('CF-ACPLHK'!$A:$A,$A21,'CF-ACPLHK'!I:I)+SUMIF('CF-ACPLSZ'!$A:$A,$A21,'CF-ACPLSZ'!I:I)+SUMIF('CF-ACPSZL'!$A:$A,$A21,'CF-ACPSZL'!I:I)+SUMIF('CF-ACPLGZ'!$A:$A,$A21,'CF-ACPLGZ'!I:I)+SUMIF('CF-ACPLYixing'!$A:$A,$A21,'CF-ACPLYixing'!I:I)</f>
        <v>-20373.169999999998</v>
      </c>
      <c r="J21" s="626">
        <f>SUMIF('CF-ACPL'!$A:$A,$A21,'CF-ACPL'!J:J)+SUMIF('CF-ACPLHK'!$A:$A,$A21,'CF-ACPLHK'!J:J)+SUMIF('CF-ACPLSZ'!$A:$A,$A21,'CF-ACPLSZ'!J:J)+SUMIF('CF-ACPSZL'!$A:$A,$A21,'CF-ACPSZL'!J:J)+SUMIF('CF-ACPLGZ'!$A:$A,$A21,'CF-ACPLGZ'!J:J)+SUMIF('CF-ACPLYixing'!$A:$A,$A21,'CF-ACPLYixing'!J:J)</f>
        <v>-3153.04</v>
      </c>
      <c r="K21" s="626">
        <f>SUMIF('CF-ACPL'!$A:$A,$A21,'CF-ACPL'!K:K)+SUMIF('CF-ACPLHK'!$A:$A,$A21,'CF-ACPLHK'!K:K)+SUMIF('CF-ACPLSZ'!$A:$A,$A21,'CF-ACPLSZ'!K:K)+SUMIF('CF-ACPSZL'!$A:$A,$A21,'CF-ACPSZL'!K:K)+SUMIF('CF-ACPLGZ'!$A:$A,$A21,'CF-ACPLGZ'!K:K)+SUMIF('CF-ACPLYixing'!$A:$A,$A21,'CF-ACPLYixing'!K:K)</f>
        <v>-9033.73</v>
      </c>
      <c r="L21" s="626">
        <f>SUMIF('CF-ACPL'!$A:$A,$A21,'CF-ACPL'!L:L)+SUMIF('CF-ACPLHK'!$A:$A,$A21,'CF-ACPLHK'!L:L)+SUMIF('CF-ACPLSZ'!$A:$A,$A21,'CF-ACPLSZ'!L:L)+SUMIF('CF-ACPSZL'!$A:$A,$A21,'CF-ACPSZL'!L:L)+SUMIF('CF-ACPLGZ'!$A:$A,$A21,'CF-ACPLGZ'!L:L)+SUMIF('CF-ACPLYixing'!$A:$A,$A21,'CF-ACPLYixing'!L:L)</f>
        <v>0</v>
      </c>
      <c r="M21" s="626">
        <f>SUMIF('CF-ACPL'!$A:$A,$A21,'CF-ACPL'!M:M)+SUMIF('CF-ACPLHK'!$A:$A,$A21,'CF-ACPLHK'!M:M)+SUMIF('CF-ACPLSZ'!$A:$A,$A21,'CF-ACPLSZ'!M:M)+SUMIF('CF-ACPSZL'!$A:$A,$A21,'CF-ACPSZL'!M:M)+SUMIF('CF-ACPLGZ'!$A:$A,$A21,'CF-ACPLGZ'!M:M)+SUMIF('CF-ACPLYixing'!$A:$A,$A21,'CF-ACPLYixing'!M:M)</f>
        <v>0</v>
      </c>
      <c r="N21" s="626">
        <f>SUMIF('CF-ACPL'!$A:$A,$A21,'CF-ACPL'!N:N)+SUMIF('CF-ACPLHK'!$A:$A,$A21,'CF-ACPLHK'!N:N)+SUMIF('CF-ACPLSZ'!$A:$A,$A21,'CF-ACPLSZ'!N:N)+SUMIF('CF-ACPSZL'!$A:$A,$A21,'CF-ACPSZL'!N:N)+SUMIF('CF-ACPLGZ'!$A:$A,$A21,'CF-ACPLGZ'!N:N)+SUMIF('CF-ACPLYixing'!$A:$A,$A21,'CF-ACPLYixing'!N:N)</f>
        <v>-19581.53</v>
      </c>
      <c r="O21" s="626">
        <f>SUMIF('CF-ACPL'!$A:$A,$A21,'CF-ACPL'!O:O)+SUMIF('CF-ACPLHK'!$A:$A,$A21,'CF-ACPLHK'!O:O)+SUMIF('CF-ACPLSZ'!$A:$A,$A21,'CF-ACPLSZ'!O:O)+SUMIF('CF-ACPSZL'!$A:$A,$A21,'CF-ACPSZL'!O:O)+SUMIF('CF-ACPLGZ'!$A:$A,$A21,'CF-ACPLGZ'!O:O)+SUMIF('CF-ACPLYixing'!$A:$A,$A21,'CF-ACPLYixing'!O:O)</f>
        <v>0</v>
      </c>
      <c r="P21" s="626">
        <f>SUMIF('CF-ACPL'!$A:$A,$A21,'CF-ACPL'!P:P)+SUMIF('CF-ACPLHK'!$A:$A,$A21,'CF-ACPLHK'!P:P)+SUMIF('CF-ACPLSZ'!$A:$A,$A21,'CF-ACPLSZ'!P:P)+SUMIF('CF-ACPSZL'!$A:$A,$A21,'CF-ACPSZL'!P:P)+SUMIF('CF-ACPLGZ'!$A:$A,$A21,'CF-ACPLGZ'!P:P)+SUMIF('CF-ACPLYixing'!$A:$A,$A21,'CF-ACPLYixing'!P:P)</f>
        <v>-1776.36</v>
      </c>
      <c r="Q21" s="626">
        <f t="shared" si="8"/>
        <v>-55229.27</v>
      </c>
      <c r="R21" s="626"/>
      <c r="S21" s="626">
        <f>SUMIF('CF-ACPL'!$A:$A,$A21,'CF-ACPL'!S:S)+SUMIF('CF-ACPLHK'!$A:$A,$A21,'CF-ACPLHK'!S:S)+SUMIF('CF-ACPLSZ'!$A:$A,$A21,'CF-ACPLSZ'!S:S)+SUMIF('CF-ACPSZL'!$A:$A,$A21,'CF-ACPSZL'!S:S)+SUMIF('CF-ACPLGZ'!$A:$A,$A21,'CF-ACPLGZ'!S:S)+SUMIF('CF-ACPLYixing'!$A:$A,$A21,'CF-ACPLYixing'!S:S)</f>
        <v>0</v>
      </c>
      <c r="T21" s="626">
        <f>SUMIF('CF-ACPL'!$A:$A,$A21,'CF-ACPL'!T:T)+SUMIF('CF-ACPLHK'!$A:$A,$A21,'CF-ACPLHK'!T:T)+SUMIF('CF-ACPLSZ'!$A:$A,$A21,'CF-ACPLSZ'!T:T)+SUMIF('CF-ACPSZL'!$A:$A,$A21,'CF-ACPSZL'!T:T)+SUMIF('CF-ACPLGZ'!$A:$A,$A21,'CF-ACPLGZ'!T:T)+SUMIF('CF-ACPLYixing'!$A:$A,$A21,'CF-ACPLYixing'!T:T)</f>
        <v>0</v>
      </c>
      <c r="U21" s="626">
        <f>SUMIF('CF-ACPL'!$A:$A,$A21,'CF-ACPL'!U:U)+SUMIF('CF-ACPLHK'!$A:$A,$A21,'CF-ACPLHK'!U:U)+SUMIF('CF-ACPLSZ'!$A:$A,$A21,'CF-ACPLSZ'!U:U)+SUMIF('CF-ACPSZL'!$A:$A,$A21,'CF-ACPSZL'!U:U)+SUMIF('CF-ACPLGZ'!$A:$A,$A21,'CF-ACPLGZ'!U:U)+SUMIF('CF-ACPLYixing'!$A:$A,$A21,'CF-ACPLYixing'!U:U)</f>
        <v>0</v>
      </c>
      <c r="V21" s="626">
        <f>SUMIF('CF-ACPL'!$A:$A,$A21,'CF-ACPL'!V:V)+SUMIF('CF-ACPLHK'!$A:$A,$A21,'CF-ACPLHK'!V:V)+SUMIF('CF-ACPLSZ'!$A:$A,$A21,'CF-ACPLSZ'!V:V)+SUMIF('CF-ACPSZL'!$A:$A,$A21,'CF-ACPSZL'!V:V)+SUMIF('CF-ACPLGZ'!$A:$A,$A21,'CF-ACPLGZ'!V:V)+SUMIF('CF-ACPLYixing'!$A:$A,$A21,'CF-ACPLYixing'!V:V)</f>
        <v>0</v>
      </c>
      <c r="W21" s="626">
        <f>SUMIF('CF-ACPL'!$A:$A,$A21,'CF-ACPL'!W:W)+SUMIF('CF-ACPLHK'!$A:$A,$A21,'CF-ACPLHK'!W:W)+SUMIF('CF-ACPLSZ'!$A:$A,$A21,'CF-ACPLSZ'!W:W)+SUMIF('CF-ACPSZL'!$A:$A,$A21,'CF-ACPSZL'!W:W)+SUMIF('CF-ACPLGZ'!$A:$A,$A21,'CF-ACPLGZ'!W:W)+SUMIF('CF-ACPLYixing'!$A:$A,$A21,'CF-ACPLYixing'!W:W)</f>
        <v>0</v>
      </c>
      <c r="X21" s="626">
        <f>SUMIF('CF-ACPL'!$A:$A,$A21,'CF-ACPL'!X:X)+SUMIF('CF-ACPLHK'!$A:$A,$A21,'CF-ACPLHK'!X:X)+SUMIF('CF-ACPLSZ'!$A:$A,$A21,'CF-ACPLSZ'!X:X)+SUMIF('CF-ACPSZL'!$A:$A,$A21,'CF-ACPSZL'!X:X)+SUMIF('CF-ACPLGZ'!$A:$A,$A21,'CF-ACPLGZ'!X:X)+SUMIF('CF-ACPLYixing'!$A:$A,$A21,'CF-ACPLYixing'!X:X)</f>
        <v>0</v>
      </c>
      <c r="Y21" s="626">
        <f>SUMIF('CF-ACPL'!$A:$A,$A21,'CF-ACPL'!Y:Y)+SUMIF('CF-ACPLHK'!$A:$A,$A21,'CF-ACPLHK'!Y:Y)+SUMIF('CF-ACPLSZ'!$A:$A,$A21,'CF-ACPLSZ'!Y:Y)+SUMIF('CF-ACPSZL'!$A:$A,$A21,'CF-ACPSZL'!Y:Y)+SUMIF('CF-ACPLGZ'!$A:$A,$A21,'CF-ACPLGZ'!Y:Y)+SUMIF('CF-ACPLYixing'!$A:$A,$A21,'CF-ACPLYixing'!Y:Y)</f>
        <v>0</v>
      </c>
      <c r="Z21" s="626">
        <f>SUMIF('CF-ACPL'!$A:$A,$A21,'CF-ACPL'!Z:Z)+SUMIF('CF-ACPLHK'!$A:$A,$A21,'CF-ACPLHK'!Z:Z)+SUMIF('CF-ACPLSZ'!$A:$A,$A21,'CF-ACPLSZ'!Z:Z)+SUMIF('CF-ACPSZL'!$A:$A,$A21,'CF-ACPSZL'!Z:Z)+SUMIF('CF-ACPLGZ'!$A:$A,$A21,'CF-ACPLGZ'!Z:Z)+SUMIF('CF-ACPLYixing'!$A:$A,$A21,'CF-ACPLYixing'!Z:Z)</f>
        <v>0</v>
      </c>
      <c r="AA21" s="626">
        <f>SUMIF('CF-ACPL'!$A:$A,$A21,'CF-ACPL'!AA:AA)+SUMIF('CF-ACPLHK'!$A:$A,$A21,'CF-ACPLHK'!AA:AA)+SUMIF('CF-ACPLSZ'!$A:$A,$A21,'CF-ACPLSZ'!AA:AA)+SUMIF('CF-ACPSZL'!$A:$A,$A21,'CF-ACPSZL'!AA:AA)+SUMIF('CF-ACPLGZ'!$A:$A,$A21,'CF-ACPLGZ'!AA:AA)+SUMIF('CF-ACPLYixing'!$A:$A,$A21,'CF-ACPLYixing'!AA:AA)</f>
        <v>0</v>
      </c>
      <c r="AB21" s="626">
        <f>SUMIF('CF-ACPL'!$A:$A,$A21,'CF-ACPL'!AB:AB)+SUMIF('CF-ACPLHK'!$A:$A,$A21,'CF-ACPLHK'!AB:AB)+SUMIF('CF-ACPLSZ'!$A:$A,$A21,'CF-ACPLSZ'!AB:AB)+SUMIF('CF-ACPSZL'!$A:$A,$A21,'CF-ACPSZL'!AB:AB)+SUMIF('CF-ACPLGZ'!$A:$A,$A21,'CF-ACPLGZ'!AB:AB)+SUMIF('CF-ACPLYixing'!$A:$A,$A21,'CF-ACPLYixing'!AB:AB)</f>
        <v>0</v>
      </c>
      <c r="AC21" s="626">
        <f>SUMIF('CF-ACPL'!$A:$A,$A21,'CF-ACPL'!AC:AC)+SUMIF('CF-ACPLHK'!$A:$A,$A21,'CF-ACPLHK'!AC:AC)+SUMIF('CF-ACPLSZ'!$A:$A,$A21,'CF-ACPLSZ'!AC:AC)+SUMIF('CF-ACPSZL'!$A:$A,$A21,'CF-ACPSZL'!AC:AC)+SUMIF('CF-ACPLGZ'!$A:$A,$A21,'CF-ACPLGZ'!AC:AC)+SUMIF('CF-ACPLYixing'!$A:$A,$A21,'CF-ACPLYixing'!AC:AC)</f>
        <v>0</v>
      </c>
      <c r="AD21" s="626">
        <f>SUMIF('CF-ACPL'!$A:$A,$A21,'CF-ACPL'!AD:AD)+SUMIF('CF-ACPLHK'!$A:$A,$A21,'CF-ACPLHK'!AD:AD)+SUMIF('CF-ACPLSZ'!$A:$A,$A21,'CF-ACPLSZ'!AD:AD)+SUMIF('CF-ACPSZL'!$A:$A,$A21,'CF-ACPSZL'!AD:AD)+SUMIF('CF-ACPLGZ'!$A:$A,$A21,'CF-ACPLGZ'!AD:AD)+SUMIF('CF-ACPLYixing'!$A:$A,$A21,'CF-ACPLYixing'!AD:AD)</f>
        <v>0</v>
      </c>
      <c r="AE21" s="626">
        <f t="shared" si="9"/>
        <v>0</v>
      </c>
    </row>
    <row r="22" spans="1:32" ht="16.5" customHeight="1">
      <c r="A22" s="629" t="s">
        <v>2570</v>
      </c>
      <c r="B22" s="626">
        <f t="shared" si="10"/>
        <v>0</v>
      </c>
      <c r="C22" s="626">
        <f t="shared" ca="1" si="11"/>
        <v>0</v>
      </c>
      <c r="D22" s="626"/>
      <c r="E22" s="626">
        <f>SUMIF('CF-ACPL'!$A:$A,$A22,'CF-ACPL'!E:E)+SUMIF('CF-ACPLHK'!$A:$A,$A22,'CF-ACPLHK'!E:E)+SUMIF('CF-ACPLSZ'!$A:$A,$A22,'CF-ACPLSZ'!E:E)+SUMIF('CF-ACPSZL'!$A:$A,$A22,'CF-ACPSZL'!E:E)+SUMIF('CF-ACPLGZ'!$A:$A,$A22,'CF-ACPLGZ'!E:E)+SUMIF('CF-ACPLYixing'!$A:$A,$A22,'CF-ACPLYixing'!E:E)</f>
        <v>0</v>
      </c>
      <c r="F22" s="626">
        <f>SUMIF('CF-ACPL'!$A:$A,$A22,'CF-ACPL'!F:F)+SUMIF('CF-ACPLHK'!$A:$A,$A22,'CF-ACPLHK'!F:F)+SUMIF('CF-ACPLSZ'!$A:$A,$A22,'CF-ACPLSZ'!F:F)+SUMIF('CF-ACPSZL'!$A:$A,$A22,'CF-ACPSZL'!F:F)+SUMIF('CF-ACPLGZ'!$A:$A,$A22,'CF-ACPLGZ'!F:F)+SUMIF('CF-ACPLYixing'!$A:$A,$A22,'CF-ACPLYixing'!F:F)</f>
        <v>0</v>
      </c>
      <c r="G22" s="626">
        <f>SUMIF('CF-ACPL'!$A:$A,$A22,'CF-ACPL'!G:G)+SUMIF('CF-ACPLHK'!$A:$A,$A22,'CF-ACPLHK'!G:G)+SUMIF('CF-ACPLSZ'!$A:$A,$A22,'CF-ACPLSZ'!G:G)+SUMIF('CF-ACPSZL'!$A:$A,$A22,'CF-ACPSZL'!G:G)+SUMIF('CF-ACPLGZ'!$A:$A,$A22,'CF-ACPLGZ'!G:G)+SUMIF('CF-ACPLYixing'!$A:$A,$A22,'CF-ACPLYixing'!G:G)</f>
        <v>0</v>
      </c>
      <c r="H22" s="626">
        <f>SUMIF('CF-ACPL'!$A:$A,$A22,'CF-ACPL'!H:H)+SUMIF('CF-ACPLHK'!$A:$A,$A22,'CF-ACPLHK'!H:H)+SUMIF('CF-ACPLSZ'!$A:$A,$A22,'CF-ACPLSZ'!H:H)+SUMIF('CF-ACPSZL'!$A:$A,$A22,'CF-ACPSZL'!H:H)+SUMIF('CF-ACPLGZ'!$A:$A,$A22,'CF-ACPLGZ'!H:H)+SUMIF('CF-ACPLYixing'!$A:$A,$A22,'CF-ACPLYixing'!H:H)</f>
        <v>0</v>
      </c>
      <c r="I22" s="626">
        <f>SUMIF('CF-ACPL'!$A:$A,$A22,'CF-ACPL'!I:I)+SUMIF('CF-ACPLHK'!$A:$A,$A22,'CF-ACPLHK'!I:I)+SUMIF('CF-ACPLSZ'!$A:$A,$A22,'CF-ACPLSZ'!I:I)+SUMIF('CF-ACPSZL'!$A:$A,$A22,'CF-ACPSZL'!I:I)+SUMIF('CF-ACPLGZ'!$A:$A,$A22,'CF-ACPLGZ'!I:I)+SUMIF('CF-ACPLYixing'!$A:$A,$A22,'CF-ACPLYixing'!I:I)</f>
        <v>0</v>
      </c>
      <c r="J22" s="626">
        <f>SUMIF('CF-ACPL'!$A:$A,$A22,'CF-ACPL'!J:J)+SUMIF('CF-ACPLHK'!$A:$A,$A22,'CF-ACPLHK'!J:J)+SUMIF('CF-ACPLSZ'!$A:$A,$A22,'CF-ACPLSZ'!J:J)+SUMIF('CF-ACPSZL'!$A:$A,$A22,'CF-ACPSZL'!J:J)+SUMIF('CF-ACPLGZ'!$A:$A,$A22,'CF-ACPLGZ'!J:J)+SUMIF('CF-ACPLYixing'!$A:$A,$A22,'CF-ACPLYixing'!J:J)</f>
        <v>0</v>
      </c>
      <c r="K22" s="626">
        <f>SUMIF('CF-ACPL'!$A:$A,$A22,'CF-ACPL'!K:K)+SUMIF('CF-ACPLHK'!$A:$A,$A22,'CF-ACPLHK'!K:K)+SUMIF('CF-ACPLSZ'!$A:$A,$A22,'CF-ACPLSZ'!K:K)+SUMIF('CF-ACPSZL'!$A:$A,$A22,'CF-ACPSZL'!K:K)+SUMIF('CF-ACPLGZ'!$A:$A,$A22,'CF-ACPLGZ'!K:K)+SUMIF('CF-ACPLYixing'!$A:$A,$A22,'CF-ACPLYixing'!K:K)</f>
        <v>0</v>
      </c>
      <c r="L22" s="626">
        <f>SUMIF('CF-ACPL'!$A:$A,$A22,'CF-ACPL'!L:L)+SUMIF('CF-ACPLHK'!$A:$A,$A22,'CF-ACPLHK'!L:L)+SUMIF('CF-ACPLSZ'!$A:$A,$A22,'CF-ACPLSZ'!L:L)+SUMIF('CF-ACPSZL'!$A:$A,$A22,'CF-ACPSZL'!L:L)+SUMIF('CF-ACPLGZ'!$A:$A,$A22,'CF-ACPLGZ'!L:L)+SUMIF('CF-ACPLYixing'!$A:$A,$A22,'CF-ACPLYixing'!L:L)</f>
        <v>0</v>
      </c>
      <c r="M22" s="626">
        <f>SUMIF('CF-ACPL'!$A:$A,$A22,'CF-ACPL'!M:M)+SUMIF('CF-ACPLHK'!$A:$A,$A22,'CF-ACPLHK'!M:M)+SUMIF('CF-ACPLSZ'!$A:$A,$A22,'CF-ACPLSZ'!M:M)+SUMIF('CF-ACPSZL'!$A:$A,$A22,'CF-ACPSZL'!M:M)+SUMIF('CF-ACPLGZ'!$A:$A,$A22,'CF-ACPLGZ'!M:M)+SUMIF('CF-ACPLYixing'!$A:$A,$A22,'CF-ACPLYixing'!M:M)</f>
        <v>0</v>
      </c>
      <c r="N22" s="626">
        <f>SUMIF('CF-ACPL'!$A:$A,$A22,'CF-ACPL'!N:N)+SUMIF('CF-ACPLHK'!$A:$A,$A22,'CF-ACPLHK'!N:N)+SUMIF('CF-ACPLSZ'!$A:$A,$A22,'CF-ACPLSZ'!N:N)+SUMIF('CF-ACPSZL'!$A:$A,$A22,'CF-ACPSZL'!N:N)+SUMIF('CF-ACPLGZ'!$A:$A,$A22,'CF-ACPLGZ'!N:N)+SUMIF('CF-ACPLYixing'!$A:$A,$A22,'CF-ACPLYixing'!N:N)</f>
        <v>0</v>
      </c>
      <c r="O22" s="626">
        <f>SUMIF('CF-ACPL'!$A:$A,$A22,'CF-ACPL'!O:O)+SUMIF('CF-ACPLHK'!$A:$A,$A22,'CF-ACPLHK'!O:O)+SUMIF('CF-ACPLSZ'!$A:$A,$A22,'CF-ACPLSZ'!O:O)+SUMIF('CF-ACPSZL'!$A:$A,$A22,'CF-ACPSZL'!O:O)+SUMIF('CF-ACPLGZ'!$A:$A,$A22,'CF-ACPLGZ'!O:O)+SUMIF('CF-ACPLYixing'!$A:$A,$A22,'CF-ACPLYixing'!O:O)</f>
        <v>0</v>
      </c>
      <c r="P22" s="626">
        <f>SUMIF('CF-ACPL'!$A:$A,$A22,'CF-ACPL'!P:P)+SUMIF('CF-ACPLHK'!$A:$A,$A22,'CF-ACPLHK'!P:P)+SUMIF('CF-ACPLSZ'!$A:$A,$A22,'CF-ACPLSZ'!P:P)+SUMIF('CF-ACPSZL'!$A:$A,$A22,'CF-ACPSZL'!P:P)+SUMIF('CF-ACPLGZ'!$A:$A,$A22,'CF-ACPLGZ'!P:P)+SUMIF('CF-ACPLYixing'!$A:$A,$A22,'CF-ACPLYixing'!P:P)</f>
        <v>0</v>
      </c>
      <c r="Q22" s="626">
        <f t="shared" si="8"/>
        <v>0</v>
      </c>
      <c r="R22" s="626"/>
      <c r="S22" s="626">
        <f>SUMIF('CF-ACPL'!$A:$A,$A22,'CF-ACPL'!S:S)+SUMIF('CF-ACPLHK'!$A:$A,$A22,'CF-ACPLHK'!S:S)+SUMIF('CF-ACPLSZ'!$A:$A,$A22,'CF-ACPLSZ'!S:S)+SUMIF('CF-ACPSZL'!$A:$A,$A22,'CF-ACPSZL'!S:S)+SUMIF('CF-ACPLGZ'!$A:$A,$A22,'CF-ACPLGZ'!S:S)+SUMIF('CF-ACPLYixing'!$A:$A,$A22,'CF-ACPLYixing'!S:S)</f>
        <v>0</v>
      </c>
      <c r="T22" s="626">
        <f>SUMIF('CF-ACPL'!$A:$A,$A22,'CF-ACPL'!T:T)+SUMIF('CF-ACPLHK'!$A:$A,$A22,'CF-ACPLHK'!T:T)+SUMIF('CF-ACPLSZ'!$A:$A,$A22,'CF-ACPLSZ'!T:T)+SUMIF('CF-ACPSZL'!$A:$A,$A22,'CF-ACPSZL'!T:T)+SUMIF('CF-ACPLGZ'!$A:$A,$A22,'CF-ACPLGZ'!T:T)+SUMIF('CF-ACPLYixing'!$A:$A,$A22,'CF-ACPLYixing'!T:T)</f>
        <v>0</v>
      </c>
      <c r="U22" s="626">
        <f>SUMIF('CF-ACPL'!$A:$A,$A22,'CF-ACPL'!U:U)+SUMIF('CF-ACPLHK'!$A:$A,$A22,'CF-ACPLHK'!U:U)+SUMIF('CF-ACPLSZ'!$A:$A,$A22,'CF-ACPLSZ'!U:U)+SUMIF('CF-ACPSZL'!$A:$A,$A22,'CF-ACPSZL'!U:U)+SUMIF('CF-ACPLGZ'!$A:$A,$A22,'CF-ACPLGZ'!U:U)+SUMIF('CF-ACPLYixing'!$A:$A,$A22,'CF-ACPLYixing'!U:U)</f>
        <v>0</v>
      </c>
      <c r="V22" s="626">
        <f>SUMIF('CF-ACPL'!$A:$A,$A22,'CF-ACPL'!V:V)+SUMIF('CF-ACPLHK'!$A:$A,$A22,'CF-ACPLHK'!V:V)+SUMIF('CF-ACPLSZ'!$A:$A,$A22,'CF-ACPLSZ'!V:V)+SUMIF('CF-ACPSZL'!$A:$A,$A22,'CF-ACPSZL'!V:V)+SUMIF('CF-ACPLGZ'!$A:$A,$A22,'CF-ACPLGZ'!V:V)+SUMIF('CF-ACPLYixing'!$A:$A,$A22,'CF-ACPLYixing'!V:V)</f>
        <v>0</v>
      </c>
      <c r="W22" s="626">
        <f>SUMIF('CF-ACPL'!$A:$A,$A22,'CF-ACPL'!W:W)+SUMIF('CF-ACPLHK'!$A:$A,$A22,'CF-ACPLHK'!W:W)+SUMIF('CF-ACPLSZ'!$A:$A,$A22,'CF-ACPLSZ'!W:W)+SUMIF('CF-ACPSZL'!$A:$A,$A22,'CF-ACPSZL'!W:W)+SUMIF('CF-ACPLGZ'!$A:$A,$A22,'CF-ACPLGZ'!W:W)+SUMIF('CF-ACPLYixing'!$A:$A,$A22,'CF-ACPLYixing'!W:W)</f>
        <v>0</v>
      </c>
      <c r="X22" s="626">
        <f>SUMIF('CF-ACPL'!$A:$A,$A22,'CF-ACPL'!X:X)+SUMIF('CF-ACPLHK'!$A:$A,$A22,'CF-ACPLHK'!X:X)+SUMIF('CF-ACPLSZ'!$A:$A,$A22,'CF-ACPLSZ'!X:X)+SUMIF('CF-ACPSZL'!$A:$A,$A22,'CF-ACPSZL'!X:X)+SUMIF('CF-ACPLGZ'!$A:$A,$A22,'CF-ACPLGZ'!X:X)+SUMIF('CF-ACPLYixing'!$A:$A,$A22,'CF-ACPLYixing'!X:X)</f>
        <v>0</v>
      </c>
      <c r="Y22" s="626">
        <f>SUMIF('CF-ACPL'!$A:$A,$A22,'CF-ACPL'!Y:Y)+SUMIF('CF-ACPLHK'!$A:$A,$A22,'CF-ACPLHK'!Y:Y)+SUMIF('CF-ACPLSZ'!$A:$A,$A22,'CF-ACPLSZ'!Y:Y)+SUMIF('CF-ACPSZL'!$A:$A,$A22,'CF-ACPSZL'!Y:Y)+SUMIF('CF-ACPLGZ'!$A:$A,$A22,'CF-ACPLGZ'!Y:Y)+SUMIF('CF-ACPLYixing'!$A:$A,$A22,'CF-ACPLYixing'!Y:Y)</f>
        <v>0</v>
      </c>
      <c r="Z22" s="626">
        <f>SUMIF('CF-ACPL'!$A:$A,$A22,'CF-ACPL'!Z:Z)+SUMIF('CF-ACPLHK'!$A:$A,$A22,'CF-ACPLHK'!Z:Z)+SUMIF('CF-ACPLSZ'!$A:$A,$A22,'CF-ACPLSZ'!Z:Z)+SUMIF('CF-ACPSZL'!$A:$A,$A22,'CF-ACPSZL'!Z:Z)+SUMIF('CF-ACPLGZ'!$A:$A,$A22,'CF-ACPLGZ'!Z:Z)+SUMIF('CF-ACPLYixing'!$A:$A,$A22,'CF-ACPLYixing'!Z:Z)</f>
        <v>0</v>
      </c>
      <c r="AA22" s="626">
        <f>SUMIF('CF-ACPL'!$A:$A,$A22,'CF-ACPL'!AA:AA)+SUMIF('CF-ACPLHK'!$A:$A,$A22,'CF-ACPLHK'!AA:AA)+SUMIF('CF-ACPLSZ'!$A:$A,$A22,'CF-ACPLSZ'!AA:AA)+SUMIF('CF-ACPSZL'!$A:$A,$A22,'CF-ACPSZL'!AA:AA)+SUMIF('CF-ACPLGZ'!$A:$A,$A22,'CF-ACPLGZ'!AA:AA)+SUMIF('CF-ACPLYixing'!$A:$A,$A22,'CF-ACPLYixing'!AA:AA)</f>
        <v>0</v>
      </c>
      <c r="AB22" s="626">
        <f>SUMIF('CF-ACPL'!$A:$A,$A22,'CF-ACPL'!AB:AB)+SUMIF('CF-ACPLHK'!$A:$A,$A22,'CF-ACPLHK'!AB:AB)+SUMIF('CF-ACPLSZ'!$A:$A,$A22,'CF-ACPLSZ'!AB:AB)+SUMIF('CF-ACPSZL'!$A:$A,$A22,'CF-ACPSZL'!AB:AB)+SUMIF('CF-ACPLGZ'!$A:$A,$A22,'CF-ACPLGZ'!AB:AB)+SUMIF('CF-ACPLYixing'!$A:$A,$A22,'CF-ACPLYixing'!AB:AB)</f>
        <v>0</v>
      </c>
      <c r="AC22" s="626">
        <f>SUMIF('CF-ACPL'!$A:$A,$A22,'CF-ACPL'!AC:AC)+SUMIF('CF-ACPLHK'!$A:$A,$A22,'CF-ACPLHK'!AC:AC)+SUMIF('CF-ACPLSZ'!$A:$A,$A22,'CF-ACPLSZ'!AC:AC)+SUMIF('CF-ACPSZL'!$A:$A,$A22,'CF-ACPSZL'!AC:AC)+SUMIF('CF-ACPLGZ'!$A:$A,$A22,'CF-ACPLGZ'!AC:AC)+SUMIF('CF-ACPLYixing'!$A:$A,$A22,'CF-ACPLYixing'!AC:AC)</f>
        <v>0</v>
      </c>
      <c r="AD22" s="626">
        <f>SUMIF('CF-ACPL'!$A:$A,$A22,'CF-ACPL'!AD:AD)+SUMIF('CF-ACPLHK'!$A:$A,$A22,'CF-ACPLHK'!AD:AD)+SUMIF('CF-ACPLSZ'!$A:$A,$A22,'CF-ACPLSZ'!AD:AD)+SUMIF('CF-ACPSZL'!$A:$A,$A22,'CF-ACPSZL'!AD:AD)+SUMIF('CF-ACPLGZ'!$A:$A,$A22,'CF-ACPLGZ'!AD:AD)+SUMIF('CF-ACPLYixing'!$A:$A,$A22,'CF-ACPLYixing'!AD:AD)</f>
        <v>0</v>
      </c>
      <c r="AE22" s="626">
        <f t="shared" si="9"/>
        <v>0</v>
      </c>
    </row>
    <row r="23" spans="1:32" ht="16.5" customHeight="1">
      <c r="A23" s="629" t="s">
        <v>2571</v>
      </c>
      <c r="B23" s="626">
        <f t="shared" ca="1" si="10"/>
        <v>-1247894.5769999998</v>
      </c>
      <c r="C23" s="626">
        <f t="shared" ca="1" si="11"/>
        <v>-1247894.5769999998</v>
      </c>
      <c r="D23" s="626"/>
      <c r="E23" s="626">
        <f ca="1">SUMIF('CF-ACPL'!$A:$A,$A23,'CF-ACPL'!E:E)+SUMIF('CF-ACPLHK'!$A:$A,$A23,'CF-ACPLHK'!E:E)+SUMIF('CF-ACPLSZ'!$A:$A,$A23,'CF-ACPLSZ'!E:E)+SUMIF('CF-ACPSZL'!$A:$A,$A23,'CF-ACPSZL'!E:E)+SUMIF('CF-ACPLGZ'!$A:$A,$A23,'CF-ACPLGZ'!E:E)+SUMIF('CF-ACPLYixing'!$A:$A,$A23,'CF-ACPLYixing'!E:E)</f>
        <v>-1247894.5769999998</v>
      </c>
      <c r="F23" s="626">
        <f ca="1">SUMIF('CF-ACPL'!$A:$A,$A23,'CF-ACPL'!F:F)+SUMIF('CF-ACPLHK'!$A:$A,$A23,'CF-ACPLHK'!F:F)+SUMIF('CF-ACPLSZ'!$A:$A,$A23,'CF-ACPLSZ'!F:F)+SUMIF('CF-ACPSZL'!$A:$A,$A23,'CF-ACPSZL'!F:F)+SUMIF('CF-ACPLGZ'!$A:$A,$A23,'CF-ACPLGZ'!F:F)+SUMIF('CF-ACPLYixing'!$A:$A,$A23,'CF-ACPLYixing'!F:F)</f>
        <v>-1309386.4486666664</v>
      </c>
      <c r="G23" s="626">
        <f ca="1">SUMIF('CF-ACPL'!$A:$A,$A23,'CF-ACPL'!G:G)+SUMIF('CF-ACPLHK'!$A:$A,$A23,'CF-ACPLHK'!G:G)+SUMIF('CF-ACPLSZ'!$A:$A,$A23,'CF-ACPLSZ'!G:G)+SUMIF('CF-ACPSZL'!$A:$A,$A23,'CF-ACPSZL'!G:G)+SUMIF('CF-ACPLGZ'!$A:$A,$A23,'CF-ACPLGZ'!G:G)+SUMIF('CF-ACPLYixing'!$A:$A,$A23,'CF-ACPLYixing'!G:G)</f>
        <v>-1533554.3386666665</v>
      </c>
      <c r="H23" s="626">
        <f ca="1">SUMIF('CF-ACPL'!$A:$A,$A23,'CF-ACPL'!H:H)+SUMIF('CF-ACPLHK'!$A:$A,$A23,'CF-ACPLHK'!H:H)+SUMIF('CF-ACPLSZ'!$A:$A,$A23,'CF-ACPLSZ'!H:H)+SUMIF('CF-ACPSZL'!$A:$A,$A23,'CF-ACPSZL'!H:H)+SUMIF('CF-ACPLGZ'!$A:$A,$A23,'CF-ACPLGZ'!H:H)+SUMIF('CF-ACPLYixing'!$A:$A,$A23,'CF-ACPLYixing'!H:H)</f>
        <v>-3516701.575666666</v>
      </c>
      <c r="I23" s="626">
        <f ca="1">SUMIF('CF-ACPL'!$A:$A,$A23,'CF-ACPL'!I:I)+SUMIF('CF-ACPLHK'!$A:$A,$A23,'CF-ACPLHK'!I:I)+SUMIF('CF-ACPLSZ'!$A:$A,$A23,'CF-ACPLSZ'!I:I)+SUMIF('CF-ACPSZL'!$A:$A,$A23,'CF-ACPSZL'!I:I)+SUMIF('CF-ACPLGZ'!$A:$A,$A23,'CF-ACPLGZ'!I:I)+SUMIF('CF-ACPLYixing'!$A:$A,$A23,'CF-ACPLYixing'!I:I)</f>
        <v>-1680764.9856666664</v>
      </c>
      <c r="J23" s="626">
        <f ca="1">SUMIF('CF-ACPL'!$A:$A,$A23,'CF-ACPL'!J:J)+SUMIF('CF-ACPLHK'!$A:$A,$A23,'CF-ACPLHK'!J:J)+SUMIF('CF-ACPLSZ'!$A:$A,$A23,'CF-ACPLSZ'!J:J)+SUMIF('CF-ACPSZL'!$A:$A,$A23,'CF-ACPSZL'!J:J)+SUMIF('CF-ACPLGZ'!$A:$A,$A23,'CF-ACPLGZ'!J:J)+SUMIF('CF-ACPLYixing'!$A:$A,$A23,'CF-ACPLYixing'!J:J)</f>
        <v>-1680317.9856666664</v>
      </c>
      <c r="K23" s="626">
        <f ca="1">SUMIF('CF-ACPL'!$A:$A,$A23,'CF-ACPL'!K:K)+SUMIF('CF-ACPLHK'!$A:$A,$A23,'CF-ACPLHK'!K:K)+SUMIF('CF-ACPLSZ'!$A:$A,$A23,'CF-ACPLSZ'!K:K)+SUMIF('CF-ACPSZL'!$A:$A,$A23,'CF-ACPSZL'!K:K)+SUMIF('CF-ACPLGZ'!$A:$A,$A23,'CF-ACPLGZ'!K:K)+SUMIF('CF-ACPLYixing'!$A:$A,$A23,'CF-ACPLYixing'!K:K)</f>
        <v>-1680764.9856666664</v>
      </c>
      <c r="L23" s="626">
        <f ca="1">SUMIF('CF-ACPL'!$A:$A,$A23,'CF-ACPL'!L:L)+SUMIF('CF-ACPLHK'!$A:$A,$A23,'CF-ACPLHK'!L:L)+SUMIF('CF-ACPLSZ'!$A:$A,$A23,'CF-ACPLSZ'!L:L)+SUMIF('CF-ACPSZL'!$A:$A,$A23,'CF-ACPSZL'!L:L)+SUMIF('CF-ACPLGZ'!$A:$A,$A23,'CF-ACPLGZ'!L:L)+SUMIF('CF-ACPLYixing'!$A:$A,$A23,'CF-ACPLYixing'!L:L)</f>
        <v>-1703833.9856666666</v>
      </c>
      <c r="M23" s="626">
        <f ca="1">SUMIF('CF-ACPL'!$A:$A,$A23,'CF-ACPL'!M:M)+SUMIF('CF-ACPLHK'!$A:$A,$A23,'CF-ACPLHK'!M:M)+SUMIF('CF-ACPLSZ'!$A:$A,$A23,'CF-ACPLSZ'!M:M)+SUMIF('CF-ACPSZL'!$A:$A,$A23,'CF-ACPSZL'!M:M)+SUMIF('CF-ACPLGZ'!$A:$A,$A23,'CF-ACPLGZ'!M:M)+SUMIF('CF-ACPLYixing'!$A:$A,$A23,'CF-ACPLYixing'!M:M)</f>
        <v>-1703833.9856666666</v>
      </c>
      <c r="N23" s="626">
        <f ca="1">SUMIF('CF-ACPL'!$A:$A,$A23,'CF-ACPL'!N:N)+SUMIF('CF-ACPLHK'!$A:$A,$A23,'CF-ACPLHK'!N:N)+SUMIF('CF-ACPLSZ'!$A:$A,$A23,'CF-ACPLSZ'!N:N)+SUMIF('CF-ACPSZL'!$A:$A,$A23,'CF-ACPSZL'!N:N)+SUMIF('CF-ACPLGZ'!$A:$A,$A23,'CF-ACPLGZ'!N:N)+SUMIF('CF-ACPLYixing'!$A:$A,$A23,'CF-ACPLYixing'!N:N)</f>
        <v>-1703833.9856666666</v>
      </c>
      <c r="O23" s="626">
        <f ca="1">SUMIF('CF-ACPL'!$A:$A,$A23,'CF-ACPL'!O:O)+SUMIF('CF-ACPLHK'!$A:$A,$A23,'CF-ACPLHK'!O:O)+SUMIF('CF-ACPLSZ'!$A:$A,$A23,'CF-ACPLSZ'!O:O)+SUMIF('CF-ACPSZL'!$A:$A,$A23,'CF-ACPSZL'!O:O)+SUMIF('CF-ACPLGZ'!$A:$A,$A23,'CF-ACPLGZ'!O:O)+SUMIF('CF-ACPLYixing'!$A:$A,$A23,'CF-ACPLYixing'!O:O)</f>
        <v>-1703833.9856666666</v>
      </c>
      <c r="P23" s="626">
        <f ca="1">SUMIF('CF-ACPL'!$A:$A,$A23,'CF-ACPL'!P:P)+SUMIF('CF-ACPLHK'!$A:$A,$A23,'CF-ACPLHK'!P:P)+SUMIF('CF-ACPLSZ'!$A:$A,$A23,'CF-ACPLSZ'!P:P)+SUMIF('CF-ACPSZL'!$A:$A,$A23,'CF-ACPSZL'!P:P)+SUMIF('CF-ACPLGZ'!$A:$A,$A23,'CF-ACPLGZ'!P:P)+SUMIF('CF-ACPLYixing'!$A:$A,$A23,'CF-ACPLYixing'!P:P)</f>
        <v>-3031546.557095238</v>
      </c>
      <c r="Q23" s="626">
        <f t="shared" ca="1" si="8"/>
        <v>-22496267.396761902</v>
      </c>
      <c r="R23" s="626"/>
      <c r="S23" s="626">
        <f>SUMIF('CF-ACPL'!$A:$A,$A23,'CF-ACPL'!S:S)+SUMIF('CF-ACPLHK'!$A:$A,$A23,'CF-ACPLHK'!S:S)+SUMIF('CF-ACPLSZ'!$A:$A,$A23,'CF-ACPLSZ'!S:S)+SUMIF('CF-ACPSZL'!$A:$A,$A23,'CF-ACPSZL'!S:S)+SUMIF('CF-ACPLGZ'!$A:$A,$A23,'CF-ACPLGZ'!S:S)+SUMIF('CF-ACPLYixing'!$A:$A,$A23,'CF-ACPLYixing'!S:S)</f>
        <v>0</v>
      </c>
      <c r="T23" s="626">
        <f>SUMIF('CF-ACPL'!$A:$A,$A23,'CF-ACPL'!T:T)+SUMIF('CF-ACPLHK'!$A:$A,$A23,'CF-ACPLHK'!T:T)+SUMIF('CF-ACPLSZ'!$A:$A,$A23,'CF-ACPLSZ'!T:T)+SUMIF('CF-ACPSZL'!$A:$A,$A23,'CF-ACPSZL'!T:T)+SUMIF('CF-ACPLGZ'!$A:$A,$A23,'CF-ACPLGZ'!T:T)+SUMIF('CF-ACPLYixing'!$A:$A,$A23,'CF-ACPLYixing'!T:T)</f>
        <v>0</v>
      </c>
      <c r="U23" s="626">
        <f>SUMIF('CF-ACPL'!$A:$A,$A23,'CF-ACPL'!U:U)+SUMIF('CF-ACPLHK'!$A:$A,$A23,'CF-ACPLHK'!U:U)+SUMIF('CF-ACPLSZ'!$A:$A,$A23,'CF-ACPLSZ'!U:U)+SUMIF('CF-ACPSZL'!$A:$A,$A23,'CF-ACPSZL'!U:U)+SUMIF('CF-ACPLGZ'!$A:$A,$A23,'CF-ACPLGZ'!U:U)+SUMIF('CF-ACPLYixing'!$A:$A,$A23,'CF-ACPLYixing'!U:U)</f>
        <v>0</v>
      </c>
      <c r="V23" s="626">
        <f>SUMIF('CF-ACPL'!$A:$A,$A23,'CF-ACPL'!V:V)+SUMIF('CF-ACPLHK'!$A:$A,$A23,'CF-ACPLHK'!V:V)+SUMIF('CF-ACPLSZ'!$A:$A,$A23,'CF-ACPLSZ'!V:V)+SUMIF('CF-ACPSZL'!$A:$A,$A23,'CF-ACPSZL'!V:V)+SUMIF('CF-ACPLGZ'!$A:$A,$A23,'CF-ACPLGZ'!V:V)+SUMIF('CF-ACPLYixing'!$A:$A,$A23,'CF-ACPLYixing'!V:V)</f>
        <v>0</v>
      </c>
      <c r="W23" s="626">
        <f>SUMIF('CF-ACPL'!$A:$A,$A23,'CF-ACPL'!W:W)+SUMIF('CF-ACPLHK'!$A:$A,$A23,'CF-ACPLHK'!W:W)+SUMIF('CF-ACPLSZ'!$A:$A,$A23,'CF-ACPLSZ'!W:W)+SUMIF('CF-ACPSZL'!$A:$A,$A23,'CF-ACPSZL'!W:W)+SUMIF('CF-ACPLGZ'!$A:$A,$A23,'CF-ACPLGZ'!W:W)+SUMIF('CF-ACPLYixing'!$A:$A,$A23,'CF-ACPLYixing'!W:W)</f>
        <v>0</v>
      </c>
      <c r="X23" s="626">
        <f>SUMIF('CF-ACPL'!$A:$A,$A23,'CF-ACPL'!X:X)+SUMIF('CF-ACPLHK'!$A:$A,$A23,'CF-ACPLHK'!X:X)+SUMIF('CF-ACPLSZ'!$A:$A,$A23,'CF-ACPLSZ'!X:X)+SUMIF('CF-ACPSZL'!$A:$A,$A23,'CF-ACPSZL'!X:X)+SUMIF('CF-ACPLGZ'!$A:$A,$A23,'CF-ACPLGZ'!X:X)+SUMIF('CF-ACPLYixing'!$A:$A,$A23,'CF-ACPLYixing'!X:X)</f>
        <v>0</v>
      </c>
      <c r="Y23" s="626">
        <f>SUMIF('CF-ACPL'!$A:$A,$A23,'CF-ACPL'!Y:Y)+SUMIF('CF-ACPLHK'!$A:$A,$A23,'CF-ACPLHK'!Y:Y)+SUMIF('CF-ACPLSZ'!$A:$A,$A23,'CF-ACPLSZ'!Y:Y)+SUMIF('CF-ACPSZL'!$A:$A,$A23,'CF-ACPSZL'!Y:Y)+SUMIF('CF-ACPLGZ'!$A:$A,$A23,'CF-ACPLGZ'!Y:Y)+SUMIF('CF-ACPLYixing'!$A:$A,$A23,'CF-ACPLYixing'!Y:Y)</f>
        <v>0</v>
      </c>
      <c r="Z23" s="626">
        <f>SUMIF('CF-ACPL'!$A:$A,$A23,'CF-ACPL'!Z:Z)+SUMIF('CF-ACPLHK'!$A:$A,$A23,'CF-ACPLHK'!Z:Z)+SUMIF('CF-ACPLSZ'!$A:$A,$A23,'CF-ACPLSZ'!Z:Z)+SUMIF('CF-ACPSZL'!$A:$A,$A23,'CF-ACPSZL'!Z:Z)+SUMIF('CF-ACPLGZ'!$A:$A,$A23,'CF-ACPLGZ'!Z:Z)+SUMIF('CF-ACPLYixing'!$A:$A,$A23,'CF-ACPLYixing'!Z:Z)</f>
        <v>0</v>
      </c>
      <c r="AA23" s="626">
        <f>SUMIF('CF-ACPL'!$A:$A,$A23,'CF-ACPL'!AA:AA)+SUMIF('CF-ACPLHK'!$A:$A,$A23,'CF-ACPLHK'!AA:AA)+SUMIF('CF-ACPLSZ'!$A:$A,$A23,'CF-ACPLSZ'!AA:AA)+SUMIF('CF-ACPSZL'!$A:$A,$A23,'CF-ACPSZL'!AA:AA)+SUMIF('CF-ACPLGZ'!$A:$A,$A23,'CF-ACPLGZ'!AA:AA)+SUMIF('CF-ACPLYixing'!$A:$A,$A23,'CF-ACPLYixing'!AA:AA)</f>
        <v>0</v>
      </c>
      <c r="AB23" s="626">
        <f>SUMIF('CF-ACPL'!$A:$A,$A23,'CF-ACPL'!AB:AB)+SUMIF('CF-ACPLHK'!$A:$A,$A23,'CF-ACPLHK'!AB:AB)+SUMIF('CF-ACPLSZ'!$A:$A,$A23,'CF-ACPLSZ'!AB:AB)+SUMIF('CF-ACPSZL'!$A:$A,$A23,'CF-ACPSZL'!AB:AB)+SUMIF('CF-ACPLGZ'!$A:$A,$A23,'CF-ACPLGZ'!AB:AB)+SUMIF('CF-ACPLYixing'!$A:$A,$A23,'CF-ACPLYixing'!AB:AB)</f>
        <v>0</v>
      </c>
      <c r="AC23" s="626">
        <f>SUMIF('CF-ACPL'!$A:$A,$A23,'CF-ACPL'!AC:AC)+SUMIF('CF-ACPLHK'!$A:$A,$A23,'CF-ACPLHK'!AC:AC)+SUMIF('CF-ACPLSZ'!$A:$A,$A23,'CF-ACPLSZ'!AC:AC)+SUMIF('CF-ACPSZL'!$A:$A,$A23,'CF-ACPSZL'!AC:AC)+SUMIF('CF-ACPLGZ'!$A:$A,$A23,'CF-ACPLGZ'!AC:AC)+SUMIF('CF-ACPLYixing'!$A:$A,$A23,'CF-ACPLYixing'!AC:AC)</f>
        <v>0</v>
      </c>
      <c r="AD23" s="626">
        <f>SUMIF('CF-ACPL'!$A:$A,$A23,'CF-ACPL'!AD:AD)+SUMIF('CF-ACPLHK'!$A:$A,$A23,'CF-ACPLHK'!AD:AD)+SUMIF('CF-ACPLSZ'!$A:$A,$A23,'CF-ACPLSZ'!AD:AD)+SUMIF('CF-ACPSZL'!$A:$A,$A23,'CF-ACPSZL'!AD:AD)+SUMIF('CF-ACPLGZ'!$A:$A,$A23,'CF-ACPLGZ'!AD:AD)+SUMIF('CF-ACPLYixing'!$A:$A,$A23,'CF-ACPLYixing'!AD:AD)</f>
        <v>0</v>
      </c>
      <c r="AE23" s="626">
        <f t="shared" si="9"/>
        <v>0</v>
      </c>
    </row>
    <row r="24" spans="1:32" s="602" customFormat="1" ht="16.5" customHeight="1">
      <c r="A24" s="629" t="s">
        <v>2572</v>
      </c>
      <c r="B24" s="626">
        <f t="shared" si="10"/>
        <v>-161815.6</v>
      </c>
      <c r="C24" s="626">
        <f t="shared" ca="1" si="11"/>
        <v>-161815.6</v>
      </c>
      <c r="D24" s="626"/>
      <c r="E24" s="626">
        <f>SUMIF('CF-ACPL'!$A:$A,$A24,'CF-ACPL'!E:E)+SUMIF('CF-ACPLHK'!$A:$A,$A24,'CF-ACPLHK'!E:E)+SUMIF('CF-ACPLSZ'!$A:$A,$A24,'CF-ACPLSZ'!E:E)+SUMIF('CF-ACPSZL'!$A:$A,$A24,'CF-ACPSZL'!E:E)+SUMIF('CF-ACPLGZ'!$A:$A,$A24,'CF-ACPLGZ'!E:E)+SUMIF('CF-ACPLYixing'!$A:$A,$A24,'CF-ACPLYixing'!E:E)</f>
        <v>-161815.6</v>
      </c>
      <c r="F24" s="626">
        <f>SUMIF('CF-ACPL'!$A:$A,$A24,'CF-ACPL'!F:F)+SUMIF('CF-ACPLHK'!$A:$A,$A24,'CF-ACPLHK'!F:F)+SUMIF('CF-ACPLSZ'!$A:$A,$A24,'CF-ACPLSZ'!F:F)+SUMIF('CF-ACPSZL'!$A:$A,$A24,'CF-ACPSZL'!F:F)+SUMIF('CF-ACPLGZ'!$A:$A,$A24,'CF-ACPLGZ'!F:F)+SUMIF('CF-ACPLYixing'!$A:$A,$A24,'CF-ACPLYixing'!F:F)</f>
        <v>-94886.6</v>
      </c>
      <c r="G24" s="626">
        <f>SUMIF('CF-ACPL'!$A:$A,$A24,'CF-ACPL'!G:G)+SUMIF('CF-ACPLHK'!$A:$A,$A24,'CF-ACPLHK'!G:G)+SUMIF('CF-ACPLSZ'!$A:$A,$A24,'CF-ACPLSZ'!G:G)+SUMIF('CF-ACPSZL'!$A:$A,$A24,'CF-ACPSZL'!G:G)+SUMIF('CF-ACPLGZ'!$A:$A,$A24,'CF-ACPLGZ'!G:G)+SUMIF('CF-ACPLYixing'!$A:$A,$A24,'CF-ACPLYixing'!G:G)</f>
        <v>-94886.6</v>
      </c>
      <c r="H24" s="626">
        <f>SUMIF('CF-ACPL'!$A:$A,$A24,'CF-ACPL'!H:H)+SUMIF('CF-ACPLHK'!$A:$A,$A24,'CF-ACPLHK'!H:H)+SUMIF('CF-ACPLSZ'!$A:$A,$A24,'CF-ACPLSZ'!H:H)+SUMIF('CF-ACPSZL'!$A:$A,$A24,'CF-ACPSZL'!H:H)+SUMIF('CF-ACPLGZ'!$A:$A,$A24,'CF-ACPLGZ'!H:H)+SUMIF('CF-ACPLYixing'!$A:$A,$A24,'CF-ACPLYixing'!H:H)</f>
        <v>-161036.6</v>
      </c>
      <c r="I24" s="626">
        <f>SUMIF('CF-ACPL'!$A:$A,$A24,'CF-ACPL'!I:I)+SUMIF('CF-ACPLHK'!$A:$A,$A24,'CF-ACPLHK'!I:I)+SUMIF('CF-ACPLSZ'!$A:$A,$A24,'CF-ACPLSZ'!I:I)+SUMIF('CF-ACPSZL'!$A:$A,$A24,'CF-ACPSZL'!I:I)+SUMIF('CF-ACPLGZ'!$A:$A,$A24,'CF-ACPLGZ'!I:I)+SUMIF('CF-ACPLYixing'!$A:$A,$A24,'CF-ACPLYixing'!I:I)</f>
        <v>-94886.6</v>
      </c>
      <c r="J24" s="626">
        <f>SUMIF('CF-ACPL'!$A:$A,$A24,'CF-ACPL'!J:J)+SUMIF('CF-ACPLHK'!$A:$A,$A24,'CF-ACPLHK'!J:J)+SUMIF('CF-ACPLSZ'!$A:$A,$A24,'CF-ACPLSZ'!J:J)+SUMIF('CF-ACPSZL'!$A:$A,$A24,'CF-ACPSZL'!J:J)+SUMIF('CF-ACPLGZ'!$A:$A,$A24,'CF-ACPLGZ'!J:J)+SUMIF('CF-ACPLYixing'!$A:$A,$A24,'CF-ACPLYixing'!J:J)</f>
        <v>-94886.6</v>
      </c>
      <c r="K24" s="626">
        <f>SUMIF('CF-ACPL'!$A:$A,$A24,'CF-ACPL'!K:K)+SUMIF('CF-ACPLHK'!$A:$A,$A24,'CF-ACPLHK'!K:K)+SUMIF('CF-ACPLSZ'!$A:$A,$A24,'CF-ACPLSZ'!K:K)+SUMIF('CF-ACPSZL'!$A:$A,$A24,'CF-ACPSZL'!K:K)+SUMIF('CF-ACPLGZ'!$A:$A,$A24,'CF-ACPLGZ'!K:K)+SUMIF('CF-ACPLYixing'!$A:$A,$A24,'CF-ACPLYixing'!K:K)</f>
        <v>-173092.2</v>
      </c>
      <c r="L24" s="626">
        <f>SUMIF('CF-ACPL'!$A:$A,$A24,'CF-ACPL'!L:L)+SUMIF('CF-ACPLHK'!$A:$A,$A24,'CF-ACPLHK'!L:L)+SUMIF('CF-ACPLSZ'!$A:$A,$A24,'CF-ACPLSZ'!L:L)+SUMIF('CF-ACPSZL'!$A:$A,$A24,'CF-ACPSZL'!L:L)+SUMIF('CF-ACPLGZ'!$A:$A,$A24,'CF-ACPLGZ'!L:L)+SUMIF('CF-ACPLYixing'!$A:$A,$A24,'CF-ACPLYixing'!L:L)</f>
        <v>-106942.2</v>
      </c>
      <c r="M24" s="626">
        <f>SUMIF('CF-ACPL'!$A:$A,$A24,'CF-ACPL'!M:M)+SUMIF('CF-ACPLHK'!$A:$A,$A24,'CF-ACPLHK'!M:M)+SUMIF('CF-ACPLSZ'!$A:$A,$A24,'CF-ACPLSZ'!M:M)+SUMIF('CF-ACPSZL'!$A:$A,$A24,'CF-ACPSZL'!M:M)+SUMIF('CF-ACPLGZ'!$A:$A,$A24,'CF-ACPLGZ'!M:M)+SUMIF('CF-ACPLYixing'!$A:$A,$A24,'CF-ACPLYixing'!M:M)</f>
        <v>-106942.2</v>
      </c>
      <c r="N24" s="626">
        <f>SUMIF('CF-ACPL'!$A:$A,$A24,'CF-ACPL'!N:N)+SUMIF('CF-ACPLHK'!$A:$A,$A24,'CF-ACPLHK'!N:N)+SUMIF('CF-ACPLSZ'!$A:$A,$A24,'CF-ACPLSZ'!N:N)+SUMIF('CF-ACPSZL'!$A:$A,$A24,'CF-ACPSZL'!N:N)+SUMIF('CF-ACPLGZ'!$A:$A,$A24,'CF-ACPLGZ'!N:N)+SUMIF('CF-ACPLYixing'!$A:$A,$A24,'CF-ACPLYixing'!N:N)</f>
        <v>-84872.2</v>
      </c>
      <c r="O24" s="626">
        <f>SUMIF('CF-ACPL'!$A:$A,$A24,'CF-ACPL'!O:O)+SUMIF('CF-ACPLHK'!$A:$A,$A24,'CF-ACPLHK'!O:O)+SUMIF('CF-ACPLSZ'!$A:$A,$A24,'CF-ACPLSZ'!O:O)+SUMIF('CF-ACPSZL'!$A:$A,$A24,'CF-ACPSZL'!O:O)+SUMIF('CF-ACPLGZ'!$A:$A,$A24,'CF-ACPLGZ'!O:O)+SUMIF('CF-ACPLYixing'!$A:$A,$A24,'CF-ACPLYixing'!O:O)</f>
        <v>-18722.199999999997</v>
      </c>
      <c r="P24" s="626">
        <f>SUMIF('CF-ACPL'!$A:$A,$A24,'CF-ACPL'!P:P)+SUMIF('CF-ACPLHK'!$A:$A,$A24,'CF-ACPLHK'!P:P)+SUMIF('CF-ACPLSZ'!$A:$A,$A24,'CF-ACPLSZ'!P:P)+SUMIF('CF-ACPSZL'!$A:$A,$A24,'CF-ACPSZL'!P:P)+SUMIF('CF-ACPLGZ'!$A:$A,$A24,'CF-ACPLGZ'!P:P)+SUMIF('CF-ACPLYixing'!$A:$A,$A24,'CF-ACPLYixing'!P:P)</f>
        <v>-652786.29599999997</v>
      </c>
      <c r="Q24" s="626">
        <f t="shared" si="8"/>
        <v>-1845755.8959999997</v>
      </c>
      <c r="R24" s="626"/>
      <c r="S24" s="626">
        <f>SUMIF('CF-ACPL'!$A:$A,$A24,'CF-ACPL'!S:S)+SUMIF('CF-ACPLHK'!$A:$A,$A24,'CF-ACPLHK'!S:S)+SUMIF('CF-ACPLSZ'!$A:$A,$A24,'CF-ACPLSZ'!S:S)+SUMIF('CF-ACPSZL'!$A:$A,$A24,'CF-ACPSZL'!S:S)+SUMIF('CF-ACPLGZ'!$A:$A,$A24,'CF-ACPLGZ'!S:S)+SUMIF('CF-ACPLYixing'!$A:$A,$A24,'CF-ACPLYixing'!S:S)</f>
        <v>0</v>
      </c>
      <c r="T24" s="626">
        <f>SUMIF('CF-ACPL'!$A:$A,$A24,'CF-ACPL'!T:T)+SUMIF('CF-ACPLHK'!$A:$A,$A24,'CF-ACPLHK'!T:T)+SUMIF('CF-ACPLSZ'!$A:$A,$A24,'CF-ACPLSZ'!T:T)+SUMIF('CF-ACPSZL'!$A:$A,$A24,'CF-ACPSZL'!T:T)+SUMIF('CF-ACPLGZ'!$A:$A,$A24,'CF-ACPLGZ'!T:T)+SUMIF('CF-ACPLYixing'!$A:$A,$A24,'CF-ACPLYixing'!T:T)</f>
        <v>0</v>
      </c>
      <c r="U24" s="626">
        <f>SUMIF('CF-ACPL'!$A:$A,$A24,'CF-ACPL'!U:U)+SUMIF('CF-ACPLHK'!$A:$A,$A24,'CF-ACPLHK'!U:U)+SUMIF('CF-ACPLSZ'!$A:$A,$A24,'CF-ACPLSZ'!U:U)+SUMIF('CF-ACPSZL'!$A:$A,$A24,'CF-ACPSZL'!U:U)+SUMIF('CF-ACPLGZ'!$A:$A,$A24,'CF-ACPLGZ'!U:U)+SUMIF('CF-ACPLYixing'!$A:$A,$A24,'CF-ACPLYixing'!U:U)</f>
        <v>0</v>
      </c>
      <c r="V24" s="626">
        <f>SUMIF('CF-ACPL'!$A:$A,$A24,'CF-ACPL'!V:V)+SUMIF('CF-ACPLHK'!$A:$A,$A24,'CF-ACPLHK'!V:V)+SUMIF('CF-ACPLSZ'!$A:$A,$A24,'CF-ACPLSZ'!V:V)+SUMIF('CF-ACPSZL'!$A:$A,$A24,'CF-ACPSZL'!V:V)+SUMIF('CF-ACPLGZ'!$A:$A,$A24,'CF-ACPLGZ'!V:V)+SUMIF('CF-ACPLYixing'!$A:$A,$A24,'CF-ACPLYixing'!V:V)</f>
        <v>0</v>
      </c>
      <c r="W24" s="626">
        <f>SUMIF('CF-ACPL'!$A:$A,$A24,'CF-ACPL'!W:W)+SUMIF('CF-ACPLHK'!$A:$A,$A24,'CF-ACPLHK'!W:W)+SUMIF('CF-ACPLSZ'!$A:$A,$A24,'CF-ACPLSZ'!W:W)+SUMIF('CF-ACPSZL'!$A:$A,$A24,'CF-ACPSZL'!W:W)+SUMIF('CF-ACPLGZ'!$A:$A,$A24,'CF-ACPLGZ'!W:W)+SUMIF('CF-ACPLYixing'!$A:$A,$A24,'CF-ACPLYixing'!W:W)</f>
        <v>0</v>
      </c>
      <c r="X24" s="626">
        <f>SUMIF('CF-ACPL'!$A:$A,$A24,'CF-ACPL'!X:X)+SUMIF('CF-ACPLHK'!$A:$A,$A24,'CF-ACPLHK'!X:X)+SUMIF('CF-ACPLSZ'!$A:$A,$A24,'CF-ACPLSZ'!X:X)+SUMIF('CF-ACPSZL'!$A:$A,$A24,'CF-ACPSZL'!X:X)+SUMIF('CF-ACPLGZ'!$A:$A,$A24,'CF-ACPLGZ'!X:X)+SUMIF('CF-ACPLYixing'!$A:$A,$A24,'CF-ACPLYixing'!X:X)</f>
        <v>0</v>
      </c>
      <c r="Y24" s="626">
        <f>SUMIF('CF-ACPL'!$A:$A,$A24,'CF-ACPL'!Y:Y)+SUMIF('CF-ACPLHK'!$A:$A,$A24,'CF-ACPLHK'!Y:Y)+SUMIF('CF-ACPLSZ'!$A:$A,$A24,'CF-ACPLSZ'!Y:Y)+SUMIF('CF-ACPSZL'!$A:$A,$A24,'CF-ACPSZL'!Y:Y)+SUMIF('CF-ACPLGZ'!$A:$A,$A24,'CF-ACPLGZ'!Y:Y)+SUMIF('CF-ACPLYixing'!$A:$A,$A24,'CF-ACPLYixing'!Y:Y)</f>
        <v>0</v>
      </c>
      <c r="Z24" s="626">
        <f>SUMIF('CF-ACPL'!$A:$A,$A24,'CF-ACPL'!Z:Z)+SUMIF('CF-ACPLHK'!$A:$A,$A24,'CF-ACPLHK'!Z:Z)+SUMIF('CF-ACPLSZ'!$A:$A,$A24,'CF-ACPLSZ'!Z:Z)+SUMIF('CF-ACPSZL'!$A:$A,$A24,'CF-ACPSZL'!Z:Z)+SUMIF('CF-ACPLGZ'!$A:$A,$A24,'CF-ACPLGZ'!Z:Z)+SUMIF('CF-ACPLYixing'!$A:$A,$A24,'CF-ACPLYixing'!Z:Z)</f>
        <v>0</v>
      </c>
      <c r="AA24" s="626">
        <f>SUMIF('CF-ACPL'!$A:$A,$A24,'CF-ACPL'!AA:AA)+SUMIF('CF-ACPLHK'!$A:$A,$A24,'CF-ACPLHK'!AA:AA)+SUMIF('CF-ACPLSZ'!$A:$A,$A24,'CF-ACPLSZ'!AA:AA)+SUMIF('CF-ACPSZL'!$A:$A,$A24,'CF-ACPSZL'!AA:AA)+SUMIF('CF-ACPLGZ'!$A:$A,$A24,'CF-ACPLGZ'!AA:AA)+SUMIF('CF-ACPLYixing'!$A:$A,$A24,'CF-ACPLYixing'!AA:AA)</f>
        <v>0</v>
      </c>
      <c r="AB24" s="626">
        <f>SUMIF('CF-ACPL'!$A:$A,$A24,'CF-ACPL'!AB:AB)+SUMIF('CF-ACPLHK'!$A:$A,$A24,'CF-ACPLHK'!AB:AB)+SUMIF('CF-ACPLSZ'!$A:$A,$A24,'CF-ACPLSZ'!AB:AB)+SUMIF('CF-ACPSZL'!$A:$A,$A24,'CF-ACPSZL'!AB:AB)+SUMIF('CF-ACPLGZ'!$A:$A,$A24,'CF-ACPLGZ'!AB:AB)+SUMIF('CF-ACPLYixing'!$A:$A,$A24,'CF-ACPLYixing'!AB:AB)</f>
        <v>0</v>
      </c>
      <c r="AC24" s="626">
        <f>SUMIF('CF-ACPL'!$A:$A,$A24,'CF-ACPL'!AC:AC)+SUMIF('CF-ACPLHK'!$A:$A,$A24,'CF-ACPLHK'!AC:AC)+SUMIF('CF-ACPLSZ'!$A:$A,$A24,'CF-ACPLSZ'!AC:AC)+SUMIF('CF-ACPSZL'!$A:$A,$A24,'CF-ACPSZL'!AC:AC)+SUMIF('CF-ACPLGZ'!$A:$A,$A24,'CF-ACPLGZ'!AC:AC)+SUMIF('CF-ACPLYixing'!$A:$A,$A24,'CF-ACPLYixing'!AC:AC)</f>
        <v>0</v>
      </c>
      <c r="AD24" s="626">
        <f>SUMIF('CF-ACPL'!$A:$A,$A24,'CF-ACPL'!AD:AD)+SUMIF('CF-ACPLHK'!$A:$A,$A24,'CF-ACPLHK'!AD:AD)+SUMIF('CF-ACPLSZ'!$A:$A,$A24,'CF-ACPLSZ'!AD:AD)+SUMIF('CF-ACPSZL'!$A:$A,$A24,'CF-ACPSZL'!AD:AD)+SUMIF('CF-ACPLGZ'!$A:$A,$A24,'CF-ACPLGZ'!AD:AD)+SUMIF('CF-ACPLYixing'!$A:$A,$A24,'CF-ACPLYixing'!AD:AD)</f>
        <v>0</v>
      </c>
      <c r="AE24" s="626">
        <f t="shared" si="9"/>
        <v>0</v>
      </c>
      <c r="AF24" s="610"/>
    </row>
    <row r="25" spans="1:32" s="602" customFormat="1" ht="16.5" customHeight="1">
      <c r="A25" s="629" t="s">
        <v>2573</v>
      </c>
      <c r="B25" s="626">
        <f t="shared" si="10"/>
        <v>-285429.25553916662</v>
      </c>
      <c r="C25" s="626">
        <f t="shared" ca="1" si="11"/>
        <v>-285429.25553916662</v>
      </c>
      <c r="D25" s="626"/>
      <c r="E25" s="626">
        <f>SUMIF('CF-ACPL'!$A:$A,$A25,'CF-ACPL'!E:E)+SUMIF('CF-ACPLHK'!$A:$A,$A25,'CF-ACPLHK'!E:E)+SUMIF('CF-ACPLSZ'!$A:$A,$A25,'CF-ACPLSZ'!E:E)+SUMIF('CF-ACPSZL'!$A:$A,$A25,'CF-ACPSZL'!E:E)+SUMIF('CF-ACPLGZ'!$A:$A,$A25,'CF-ACPLGZ'!E:E)+SUMIF('CF-ACPLYixing'!$A:$A,$A25,'CF-ACPLYixing'!E:E)</f>
        <v>-285429.25553916662</v>
      </c>
      <c r="F25" s="626">
        <f>SUMIF('CF-ACPL'!$A:$A,$A25,'CF-ACPL'!F:F)+SUMIF('CF-ACPLHK'!$A:$A,$A25,'CF-ACPLHK'!F:F)+SUMIF('CF-ACPLSZ'!$A:$A,$A25,'CF-ACPLSZ'!F:F)+SUMIF('CF-ACPSZL'!$A:$A,$A25,'CF-ACPSZL'!F:F)+SUMIF('CF-ACPLGZ'!$A:$A,$A25,'CF-ACPLGZ'!F:F)+SUMIF('CF-ACPLYixing'!$A:$A,$A25,'CF-ACPLYixing'!F:F)</f>
        <v>-197184.17833333334</v>
      </c>
      <c r="G25" s="626">
        <f>SUMIF('CF-ACPL'!$A:$A,$A25,'CF-ACPL'!G:G)+SUMIF('CF-ACPLHK'!$A:$A,$A25,'CF-ACPLHK'!G:G)+SUMIF('CF-ACPLSZ'!$A:$A,$A25,'CF-ACPLSZ'!G:G)+SUMIF('CF-ACPSZL'!$A:$A,$A25,'CF-ACPSZL'!G:G)+SUMIF('CF-ACPLGZ'!$A:$A,$A25,'CF-ACPLGZ'!G:G)+SUMIF('CF-ACPLYixing'!$A:$A,$A25,'CF-ACPLYixing'!G:G)</f>
        <v>-80594.178333333344</v>
      </c>
      <c r="H25" s="626">
        <f>SUMIF('CF-ACPL'!$A:$A,$A25,'CF-ACPL'!H:H)+SUMIF('CF-ACPLHK'!$A:$A,$A25,'CF-ACPLHK'!H:H)+SUMIF('CF-ACPLSZ'!$A:$A,$A25,'CF-ACPLSZ'!H:H)+SUMIF('CF-ACPSZL'!$A:$A,$A25,'CF-ACPSZL'!H:H)+SUMIF('CF-ACPLGZ'!$A:$A,$A25,'CF-ACPLGZ'!H:H)+SUMIF('CF-ACPLYixing'!$A:$A,$A25,'CF-ACPLYixing'!H:H)</f>
        <v>-93594.178333333344</v>
      </c>
      <c r="I25" s="626">
        <f>SUMIF('CF-ACPL'!$A:$A,$A25,'CF-ACPL'!I:I)+SUMIF('CF-ACPLHK'!$A:$A,$A25,'CF-ACPLHK'!I:I)+SUMIF('CF-ACPLSZ'!$A:$A,$A25,'CF-ACPLSZ'!I:I)+SUMIF('CF-ACPSZL'!$A:$A,$A25,'CF-ACPSZL'!I:I)+SUMIF('CF-ACPLGZ'!$A:$A,$A25,'CF-ACPLGZ'!I:I)+SUMIF('CF-ACPLYixing'!$A:$A,$A25,'CF-ACPLYixing'!I:I)</f>
        <v>-507345.97833333327</v>
      </c>
      <c r="J25" s="626">
        <f>SUMIF('CF-ACPL'!$A:$A,$A25,'CF-ACPL'!J:J)+SUMIF('CF-ACPLHK'!$A:$A,$A25,'CF-ACPLHK'!J:J)+SUMIF('CF-ACPLSZ'!$A:$A,$A25,'CF-ACPLSZ'!J:J)+SUMIF('CF-ACPSZL'!$A:$A,$A25,'CF-ACPSZL'!J:J)+SUMIF('CF-ACPLGZ'!$A:$A,$A25,'CF-ACPLGZ'!J:J)+SUMIF('CF-ACPLYixing'!$A:$A,$A25,'CF-ACPLYixing'!J:J)</f>
        <v>-820418.30833333335</v>
      </c>
      <c r="K25" s="626">
        <f>SUMIF('CF-ACPL'!$A:$A,$A25,'CF-ACPL'!K:K)+SUMIF('CF-ACPLHK'!$A:$A,$A25,'CF-ACPLHK'!K:K)+SUMIF('CF-ACPLSZ'!$A:$A,$A25,'CF-ACPLSZ'!K:K)+SUMIF('CF-ACPSZL'!$A:$A,$A25,'CF-ACPSZL'!K:K)+SUMIF('CF-ACPLGZ'!$A:$A,$A25,'CF-ACPLGZ'!K:K)+SUMIF('CF-ACPLYixing'!$A:$A,$A25,'CF-ACPLYixing'!K:K)</f>
        <v>-96775.828333333338</v>
      </c>
      <c r="L25" s="626">
        <f>SUMIF('CF-ACPL'!$A:$A,$A25,'CF-ACPL'!L:L)+SUMIF('CF-ACPLHK'!$A:$A,$A25,'CF-ACPLHK'!L:L)+SUMIF('CF-ACPLSZ'!$A:$A,$A25,'CF-ACPLSZ'!L:L)+SUMIF('CF-ACPSZL'!$A:$A,$A25,'CF-ACPSZL'!L:L)+SUMIF('CF-ACPLGZ'!$A:$A,$A25,'CF-ACPLGZ'!L:L)+SUMIF('CF-ACPLYixing'!$A:$A,$A25,'CF-ACPLYixing'!L:L)</f>
        <v>-169031.82833333331</v>
      </c>
      <c r="M25" s="626">
        <f>SUMIF('CF-ACPL'!$A:$A,$A25,'CF-ACPL'!M:M)+SUMIF('CF-ACPLHK'!$A:$A,$A25,'CF-ACPLHK'!M:M)+SUMIF('CF-ACPLSZ'!$A:$A,$A25,'CF-ACPLSZ'!M:M)+SUMIF('CF-ACPSZL'!$A:$A,$A25,'CF-ACPSZL'!M:M)+SUMIF('CF-ACPLGZ'!$A:$A,$A25,'CF-ACPLGZ'!M:M)+SUMIF('CF-ACPLYixing'!$A:$A,$A25,'CF-ACPLYixing'!M:M)</f>
        <v>-314831.82833333331</v>
      </c>
      <c r="N25" s="626">
        <f>SUMIF('CF-ACPL'!$A:$A,$A25,'CF-ACPL'!N:N)+SUMIF('CF-ACPLHK'!$A:$A,$A25,'CF-ACPLHK'!N:N)+SUMIF('CF-ACPLSZ'!$A:$A,$A25,'CF-ACPLSZ'!N:N)+SUMIF('CF-ACPSZL'!$A:$A,$A25,'CF-ACPSZL'!N:N)+SUMIF('CF-ACPLGZ'!$A:$A,$A25,'CF-ACPLGZ'!N:N)+SUMIF('CF-ACPLYixing'!$A:$A,$A25,'CF-ACPLYixing'!N:N)</f>
        <v>-164831.82833333331</v>
      </c>
      <c r="O25" s="626">
        <f>SUMIF('CF-ACPL'!$A:$A,$A25,'CF-ACPL'!O:O)+SUMIF('CF-ACPLHK'!$A:$A,$A25,'CF-ACPLHK'!O:O)+SUMIF('CF-ACPLSZ'!$A:$A,$A25,'CF-ACPLSZ'!O:O)+SUMIF('CF-ACPSZL'!$A:$A,$A25,'CF-ACPSZL'!O:O)+SUMIF('CF-ACPLGZ'!$A:$A,$A25,'CF-ACPLGZ'!O:O)+SUMIF('CF-ACPLYixing'!$A:$A,$A25,'CF-ACPLYixing'!O:O)</f>
        <v>-164831.82833333331</v>
      </c>
      <c r="P25" s="626">
        <f>SUMIF('CF-ACPL'!$A:$A,$A25,'CF-ACPL'!P:P)+SUMIF('CF-ACPLHK'!$A:$A,$A25,'CF-ACPLHK'!P:P)+SUMIF('CF-ACPLSZ'!$A:$A,$A25,'CF-ACPLSZ'!P:P)+SUMIF('CF-ACPSZL'!$A:$A,$A25,'CF-ACPSZL'!P:P)+SUMIF('CF-ACPLGZ'!$A:$A,$A25,'CF-ACPLGZ'!P:P)+SUMIF('CF-ACPLYixing'!$A:$A,$A25,'CF-ACPLYixing'!P:P)</f>
        <v>-217831.82833333331</v>
      </c>
      <c r="Q25" s="626">
        <f t="shared" si="8"/>
        <v>-3112701.0472058323</v>
      </c>
      <c r="R25" s="626"/>
      <c r="S25" s="626">
        <f>SUMIF('CF-ACPL'!$A:$A,$A25,'CF-ACPL'!S:S)+SUMIF('CF-ACPLHK'!$A:$A,$A25,'CF-ACPLHK'!S:S)+SUMIF('CF-ACPLSZ'!$A:$A,$A25,'CF-ACPLSZ'!S:S)+SUMIF('CF-ACPSZL'!$A:$A,$A25,'CF-ACPSZL'!S:S)+SUMIF('CF-ACPLGZ'!$A:$A,$A25,'CF-ACPLGZ'!S:S)+SUMIF('CF-ACPLYixing'!$A:$A,$A25,'CF-ACPLYixing'!S:S)</f>
        <v>0</v>
      </c>
      <c r="T25" s="626">
        <f>SUMIF('CF-ACPL'!$A:$A,$A25,'CF-ACPL'!T:T)+SUMIF('CF-ACPLHK'!$A:$A,$A25,'CF-ACPLHK'!T:T)+SUMIF('CF-ACPLSZ'!$A:$A,$A25,'CF-ACPLSZ'!T:T)+SUMIF('CF-ACPSZL'!$A:$A,$A25,'CF-ACPSZL'!T:T)+SUMIF('CF-ACPLGZ'!$A:$A,$A25,'CF-ACPLGZ'!T:T)+SUMIF('CF-ACPLYixing'!$A:$A,$A25,'CF-ACPLYixing'!T:T)</f>
        <v>0</v>
      </c>
      <c r="U25" s="626">
        <f>SUMIF('CF-ACPL'!$A:$A,$A25,'CF-ACPL'!U:U)+SUMIF('CF-ACPLHK'!$A:$A,$A25,'CF-ACPLHK'!U:U)+SUMIF('CF-ACPLSZ'!$A:$A,$A25,'CF-ACPLSZ'!U:U)+SUMIF('CF-ACPSZL'!$A:$A,$A25,'CF-ACPSZL'!U:U)+SUMIF('CF-ACPLGZ'!$A:$A,$A25,'CF-ACPLGZ'!U:U)+SUMIF('CF-ACPLYixing'!$A:$A,$A25,'CF-ACPLYixing'!U:U)</f>
        <v>0</v>
      </c>
      <c r="V25" s="626">
        <f>SUMIF('CF-ACPL'!$A:$A,$A25,'CF-ACPL'!V:V)+SUMIF('CF-ACPLHK'!$A:$A,$A25,'CF-ACPLHK'!V:V)+SUMIF('CF-ACPLSZ'!$A:$A,$A25,'CF-ACPLSZ'!V:V)+SUMIF('CF-ACPSZL'!$A:$A,$A25,'CF-ACPSZL'!V:V)+SUMIF('CF-ACPLGZ'!$A:$A,$A25,'CF-ACPLGZ'!V:V)+SUMIF('CF-ACPLYixing'!$A:$A,$A25,'CF-ACPLYixing'!V:V)</f>
        <v>0</v>
      </c>
      <c r="W25" s="626">
        <f>SUMIF('CF-ACPL'!$A:$A,$A25,'CF-ACPL'!W:W)+SUMIF('CF-ACPLHK'!$A:$A,$A25,'CF-ACPLHK'!W:W)+SUMIF('CF-ACPLSZ'!$A:$A,$A25,'CF-ACPLSZ'!W:W)+SUMIF('CF-ACPSZL'!$A:$A,$A25,'CF-ACPSZL'!W:W)+SUMIF('CF-ACPLGZ'!$A:$A,$A25,'CF-ACPLGZ'!W:W)+SUMIF('CF-ACPLYixing'!$A:$A,$A25,'CF-ACPLYixing'!W:W)</f>
        <v>0</v>
      </c>
      <c r="X25" s="626">
        <f>SUMIF('CF-ACPL'!$A:$A,$A25,'CF-ACPL'!X:X)+SUMIF('CF-ACPLHK'!$A:$A,$A25,'CF-ACPLHK'!X:X)+SUMIF('CF-ACPLSZ'!$A:$A,$A25,'CF-ACPLSZ'!X:X)+SUMIF('CF-ACPSZL'!$A:$A,$A25,'CF-ACPSZL'!X:X)+SUMIF('CF-ACPLGZ'!$A:$A,$A25,'CF-ACPLGZ'!X:X)+SUMIF('CF-ACPLYixing'!$A:$A,$A25,'CF-ACPLYixing'!X:X)</f>
        <v>0</v>
      </c>
      <c r="Y25" s="626">
        <f>SUMIF('CF-ACPL'!$A:$A,$A25,'CF-ACPL'!Y:Y)+SUMIF('CF-ACPLHK'!$A:$A,$A25,'CF-ACPLHK'!Y:Y)+SUMIF('CF-ACPLSZ'!$A:$A,$A25,'CF-ACPLSZ'!Y:Y)+SUMIF('CF-ACPSZL'!$A:$A,$A25,'CF-ACPSZL'!Y:Y)+SUMIF('CF-ACPLGZ'!$A:$A,$A25,'CF-ACPLGZ'!Y:Y)+SUMIF('CF-ACPLYixing'!$A:$A,$A25,'CF-ACPLYixing'!Y:Y)</f>
        <v>0</v>
      </c>
      <c r="Z25" s="626">
        <f>SUMIF('CF-ACPL'!$A:$A,$A25,'CF-ACPL'!Z:Z)+SUMIF('CF-ACPLHK'!$A:$A,$A25,'CF-ACPLHK'!Z:Z)+SUMIF('CF-ACPLSZ'!$A:$A,$A25,'CF-ACPLSZ'!Z:Z)+SUMIF('CF-ACPSZL'!$A:$A,$A25,'CF-ACPSZL'!Z:Z)+SUMIF('CF-ACPLGZ'!$A:$A,$A25,'CF-ACPLGZ'!Z:Z)+SUMIF('CF-ACPLYixing'!$A:$A,$A25,'CF-ACPLYixing'!Z:Z)</f>
        <v>0</v>
      </c>
      <c r="AA25" s="626">
        <f>SUMIF('CF-ACPL'!$A:$A,$A25,'CF-ACPL'!AA:AA)+SUMIF('CF-ACPLHK'!$A:$A,$A25,'CF-ACPLHK'!AA:AA)+SUMIF('CF-ACPLSZ'!$A:$A,$A25,'CF-ACPLSZ'!AA:AA)+SUMIF('CF-ACPSZL'!$A:$A,$A25,'CF-ACPSZL'!AA:AA)+SUMIF('CF-ACPLGZ'!$A:$A,$A25,'CF-ACPLGZ'!AA:AA)+SUMIF('CF-ACPLYixing'!$A:$A,$A25,'CF-ACPLYixing'!AA:AA)</f>
        <v>0</v>
      </c>
      <c r="AB25" s="626">
        <f>SUMIF('CF-ACPL'!$A:$A,$A25,'CF-ACPL'!AB:AB)+SUMIF('CF-ACPLHK'!$A:$A,$A25,'CF-ACPLHK'!AB:AB)+SUMIF('CF-ACPLSZ'!$A:$A,$A25,'CF-ACPLSZ'!AB:AB)+SUMIF('CF-ACPSZL'!$A:$A,$A25,'CF-ACPSZL'!AB:AB)+SUMIF('CF-ACPLGZ'!$A:$A,$A25,'CF-ACPLGZ'!AB:AB)+SUMIF('CF-ACPLYixing'!$A:$A,$A25,'CF-ACPLYixing'!AB:AB)</f>
        <v>0</v>
      </c>
      <c r="AC25" s="626">
        <f>SUMIF('CF-ACPL'!$A:$A,$A25,'CF-ACPL'!AC:AC)+SUMIF('CF-ACPLHK'!$A:$A,$A25,'CF-ACPLHK'!AC:AC)+SUMIF('CF-ACPLSZ'!$A:$A,$A25,'CF-ACPLSZ'!AC:AC)+SUMIF('CF-ACPSZL'!$A:$A,$A25,'CF-ACPSZL'!AC:AC)+SUMIF('CF-ACPLGZ'!$A:$A,$A25,'CF-ACPLGZ'!AC:AC)+SUMIF('CF-ACPLYixing'!$A:$A,$A25,'CF-ACPLYixing'!AC:AC)</f>
        <v>0</v>
      </c>
      <c r="AD25" s="626">
        <f>SUMIF('CF-ACPL'!$A:$A,$A25,'CF-ACPL'!AD:AD)+SUMIF('CF-ACPLHK'!$A:$A,$A25,'CF-ACPLHK'!AD:AD)+SUMIF('CF-ACPLSZ'!$A:$A,$A25,'CF-ACPLSZ'!AD:AD)+SUMIF('CF-ACPSZL'!$A:$A,$A25,'CF-ACPSZL'!AD:AD)+SUMIF('CF-ACPLGZ'!$A:$A,$A25,'CF-ACPLGZ'!AD:AD)+SUMIF('CF-ACPLYixing'!$A:$A,$A25,'CF-ACPLYixing'!AD:AD)</f>
        <v>0</v>
      </c>
      <c r="AE25" s="626">
        <f t="shared" si="9"/>
        <v>0</v>
      </c>
      <c r="AF25" s="610"/>
    </row>
    <row r="26" spans="1:32" s="602" customFormat="1" ht="16.5" customHeight="1">
      <c r="A26" s="629" t="s">
        <v>2574</v>
      </c>
      <c r="B26" s="626">
        <f t="shared" ca="1" si="10"/>
        <v>-213787.46633333332</v>
      </c>
      <c r="C26" s="626">
        <f t="shared" ca="1" si="11"/>
        <v>-213787.46633333332</v>
      </c>
      <c r="D26" s="626"/>
      <c r="E26" s="626">
        <f ca="1">SUMIF('CF-ACPL'!$A:$A,$A26,'CF-ACPL'!E:E)+SUMIF('CF-ACPLHK'!$A:$A,$A26,'CF-ACPLHK'!E:E)+SUMIF('CF-ACPLSZ'!$A:$A,$A26,'CF-ACPLSZ'!E:E)+SUMIF('CF-ACPSZL'!$A:$A,$A26,'CF-ACPSZL'!E:E)+SUMIF('CF-ACPLGZ'!$A:$A,$A26,'CF-ACPLGZ'!E:E)+SUMIF('CF-ACPLYixing'!$A:$A,$A26,'CF-ACPLYixing'!E:E)</f>
        <v>-213787.46633333332</v>
      </c>
      <c r="F26" s="626">
        <f ca="1">SUMIF('CF-ACPL'!$A:$A,$A26,'CF-ACPL'!F:F)+SUMIF('CF-ACPLHK'!$A:$A,$A26,'CF-ACPLHK'!F:F)+SUMIF('CF-ACPLSZ'!$A:$A,$A26,'CF-ACPLSZ'!F:F)+SUMIF('CF-ACPSZL'!$A:$A,$A26,'CF-ACPSZL'!F:F)+SUMIF('CF-ACPLGZ'!$A:$A,$A26,'CF-ACPLGZ'!F:F)+SUMIF('CF-ACPLYixing'!$A:$A,$A26,'CF-ACPLYixing'!F:F)</f>
        <v>-213371.74</v>
      </c>
      <c r="G26" s="626">
        <f ca="1">SUMIF('CF-ACPL'!$A:$A,$A26,'CF-ACPL'!G:G)+SUMIF('CF-ACPLHK'!$A:$A,$A26,'CF-ACPLHK'!G:G)+SUMIF('CF-ACPLSZ'!$A:$A,$A26,'CF-ACPLSZ'!G:G)+SUMIF('CF-ACPSZL'!$A:$A,$A26,'CF-ACPSZL'!G:G)+SUMIF('CF-ACPLGZ'!$A:$A,$A26,'CF-ACPLGZ'!G:G)+SUMIF('CF-ACPLYixing'!$A:$A,$A26,'CF-ACPLYixing'!G:G)</f>
        <v>-213371.74</v>
      </c>
      <c r="H26" s="626">
        <f ca="1">SUMIF('CF-ACPL'!$A:$A,$A26,'CF-ACPL'!H:H)+SUMIF('CF-ACPLHK'!$A:$A,$A26,'CF-ACPLHK'!H:H)+SUMIF('CF-ACPLSZ'!$A:$A,$A26,'CF-ACPLSZ'!H:H)+SUMIF('CF-ACPSZL'!$A:$A,$A26,'CF-ACPSZL'!H:H)+SUMIF('CF-ACPLGZ'!$A:$A,$A26,'CF-ACPLGZ'!H:H)+SUMIF('CF-ACPLYixing'!$A:$A,$A26,'CF-ACPLYixing'!H:H)</f>
        <v>-213371.74</v>
      </c>
      <c r="I26" s="626">
        <f ca="1">SUMIF('CF-ACPL'!$A:$A,$A26,'CF-ACPL'!I:I)+SUMIF('CF-ACPLHK'!$A:$A,$A26,'CF-ACPLHK'!I:I)+SUMIF('CF-ACPLSZ'!$A:$A,$A26,'CF-ACPLSZ'!I:I)+SUMIF('CF-ACPSZL'!$A:$A,$A26,'CF-ACPSZL'!I:I)+SUMIF('CF-ACPLGZ'!$A:$A,$A26,'CF-ACPLGZ'!I:I)+SUMIF('CF-ACPLYixing'!$A:$A,$A26,'CF-ACPLYixing'!I:I)</f>
        <v>-213371.74</v>
      </c>
      <c r="J26" s="626">
        <f ca="1">SUMIF('CF-ACPL'!$A:$A,$A26,'CF-ACPL'!J:J)+SUMIF('CF-ACPLHK'!$A:$A,$A26,'CF-ACPLHK'!J:J)+SUMIF('CF-ACPLSZ'!$A:$A,$A26,'CF-ACPLSZ'!J:J)+SUMIF('CF-ACPSZL'!$A:$A,$A26,'CF-ACPSZL'!J:J)+SUMIF('CF-ACPLGZ'!$A:$A,$A26,'CF-ACPLGZ'!J:J)+SUMIF('CF-ACPLYixing'!$A:$A,$A26,'CF-ACPLYixing'!J:J)</f>
        <v>-213371.74</v>
      </c>
      <c r="K26" s="626">
        <f ca="1">SUMIF('CF-ACPL'!$A:$A,$A26,'CF-ACPL'!K:K)+SUMIF('CF-ACPLHK'!$A:$A,$A26,'CF-ACPLHK'!K:K)+SUMIF('CF-ACPLSZ'!$A:$A,$A26,'CF-ACPLSZ'!K:K)+SUMIF('CF-ACPSZL'!$A:$A,$A26,'CF-ACPSZL'!K:K)+SUMIF('CF-ACPLGZ'!$A:$A,$A26,'CF-ACPLGZ'!K:K)+SUMIF('CF-ACPLYixing'!$A:$A,$A26,'CF-ACPLYixing'!K:K)</f>
        <v>-213371.74</v>
      </c>
      <c r="L26" s="626">
        <f ca="1">SUMIF('CF-ACPL'!$A:$A,$A26,'CF-ACPL'!L:L)+SUMIF('CF-ACPLHK'!$A:$A,$A26,'CF-ACPLHK'!L:L)+SUMIF('CF-ACPLSZ'!$A:$A,$A26,'CF-ACPLSZ'!L:L)+SUMIF('CF-ACPSZL'!$A:$A,$A26,'CF-ACPSZL'!L:L)+SUMIF('CF-ACPLGZ'!$A:$A,$A26,'CF-ACPLGZ'!L:L)+SUMIF('CF-ACPLYixing'!$A:$A,$A26,'CF-ACPLYixing'!L:L)</f>
        <v>-213371.74</v>
      </c>
      <c r="M26" s="626">
        <f ca="1">SUMIF('CF-ACPL'!$A:$A,$A26,'CF-ACPL'!M:M)+SUMIF('CF-ACPLHK'!$A:$A,$A26,'CF-ACPLHK'!M:M)+SUMIF('CF-ACPLSZ'!$A:$A,$A26,'CF-ACPLSZ'!M:M)+SUMIF('CF-ACPSZL'!$A:$A,$A26,'CF-ACPSZL'!M:M)+SUMIF('CF-ACPLGZ'!$A:$A,$A26,'CF-ACPLGZ'!M:M)+SUMIF('CF-ACPLYixing'!$A:$A,$A26,'CF-ACPLYixing'!M:M)</f>
        <v>-213371.74</v>
      </c>
      <c r="N26" s="626">
        <f ca="1">SUMIF('CF-ACPL'!$A:$A,$A26,'CF-ACPL'!N:N)+SUMIF('CF-ACPLHK'!$A:$A,$A26,'CF-ACPLHK'!N:N)+SUMIF('CF-ACPLSZ'!$A:$A,$A26,'CF-ACPLSZ'!N:N)+SUMIF('CF-ACPSZL'!$A:$A,$A26,'CF-ACPSZL'!N:N)+SUMIF('CF-ACPLGZ'!$A:$A,$A26,'CF-ACPLGZ'!N:N)+SUMIF('CF-ACPLYixing'!$A:$A,$A26,'CF-ACPLYixing'!N:N)</f>
        <v>-213371.74</v>
      </c>
      <c r="O26" s="626">
        <f ca="1">SUMIF('CF-ACPL'!$A:$A,$A26,'CF-ACPL'!O:O)+SUMIF('CF-ACPLHK'!$A:$A,$A26,'CF-ACPLHK'!O:O)+SUMIF('CF-ACPLSZ'!$A:$A,$A26,'CF-ACPLSZ'!O:O)+SUMIF('CF-ACPSZL'!$A:$A,$A26,'CF-ACPSZL'!O:O)+SUMIF('CF-ACPLGZ'!$A:$A,$A26,'CF-ACPLGZ'!O:O)+SUMIF('CF-ACPLYixing'!$A:$A,$A26,'CF-ACPLYixing'!O:O)</f>
        <v>-213371.74</v>
      </c>
      <c r="P26" s="626">
        <f ca="1">SUMIF('CF-ACPL'!$A:$A,$A26,'CF-ACPL'!P:P)+SUMIF('CF-ACPLHK'!$A:$A,$A26,'CF-ACPLHK'!P:P)+SUMIF('CF-ACPLSZ'!$A:$A,$A26,'CF-ACPLSZ'!P:P)+SUMIF('CF-ACPSZL'!$A:$A,$A26,'CF-ACPSZL'!P:P)+SUMIF('CF-ACPLGZ'!$A:$A,$A26,'CF-ACPLGZ'!P:P)+SUMIF('CF-ACPLYixing'!$A:$A,$A26,'CF-ACPLYixing'!P:P)</f>
        <v>-213371.74</v>
      </c>
      <c r="Q26" s="626">
        <f t="shared" ca="1" si="8"/>
        <v>-2560876.606333334</v>
      </c>
      <c r="R26" s="626"/>
      <c r="S26" s="626">
        <f>SUMIF('CF-ACPL'!$A:$A,$A26,'CF-ACPL'!S:S)+SUMIF('CF-ACPLHK'!$A:$A,$A26,'CF-ACPLHK'!S:S)+SUMIF('CF-ACPLSZ'!$A:$A,$A26,'CF-ACPLSZ'!S:S)+SUMIF('CF-ACPSZL'!$A:$A,$A26,'CF-ACPSZL'!S:S)+SUMIF('CF-ACPLGZ'!$A:$A,$A26,'CF-ACPLGZ'!S:S)+SUMIF('CF-ACPLYixing'!$A:$A,$A26,'CF-ACPLYixing'!S:S)</f>
        <v>0</v>
      </c>
      <c r="T26" s="626">
        <f>SUMIF('CF-ACPL'!$A:$A,$A26,'CF-ACPL'!T:T)+SUMIF('CF-ACPLHK'!$A:$A,$A26,'CF-ACPLHK'!T:T)+SUMIF('CF-ACPLSZ'!$A:$A,$A26,'CF-ACPLSZ'!T:T)+SUMIF('CF-ACPSZL'!$A:$A,$A26,'CF-ACPSZL'!T:T)+SUMIF('CF-ACPLGZ'!$A:$A,$A26,'CF-ACPLGZ'!T:T)+SUMIF('CF-ACPLYixing'!$A:$A,$A26,'CF-ACPLYixing'!T:T)</f>
        <v>0</v>
      </c>
      <c r="U26" s="626">
        <f>SUMIF('CF-ACPL'!$A:$A,$A26,'CF-ACPL'!U:U)+SUMIF('CF-ACPLHK'!$A:$A,$A26,'CF-ACPLHK'!U:U)+SUMIF('CF-ACPLSZ'!$A:$A,$A26,'CF-ACPLSZ'!U:U)+SUMIF('CF-ACPSZL'!$A:$A,$A26,'CF-ACPSZL'!U:U)+SUMIF('CF-ACPLGZ'!$A:$A,$A26,'CF-ACPLGZ'!U:U)+SUMIF('CF-ACPLYixing'!$A:$A,$A26,'CF-ACPLYixing'!U:U)</f>
        <v>0</v>
      </c>
      <c r="V26" s="626">
        <f>SUMIF('CF-ACPL'!$A:$A,$A26,'CF-ACPL'!V:V)+SUMIF('CF-ACPLHK'!$A:$A,$A26,'CF-ACPLHK'!V:V)+SUMIF('CF-ACPLSZ'!$A:$A,$A26,'CF-ACPLSZ'!V:V)+SUMIF('CF-ACPSZL'!$A:$A,$A26,'CF-ACPSZL'!V:V)+SUMIF('CF-ACPLGZ'!$A:$A,$A26,'CF-ACPLGZ'!V:V)+SUMIF('CF-ACPLYixing'!$A:$A,$A26,'CF-ACPLYixing'!V:V)</f>
        <v>0</v>
      </c>
      <c r="W26" s="626">
        <f>SUMIF('CF-ACPL'!$A:$A,$A26,'CF-ACPL'!W:W)+SUMIF('CF-ACPLHK'!$A:$A,$A26,'CF-ACPLHK'!W:W)+SUMIF('CF-ACPLSZ'!$A:$A,$A26,'CF-ACPLSZ'!W:W)+SUMIF('CF-ACPSZL'!$A:$A,$A26,'CF-ACPSZL'!W:W)+SUMIF('CF-ACPLGZ'!$A:$A,$A26,'CF-ACPLGZ'!W:W)+SUMIF('CF-ACPLYixing'!$A:$A,$A26,'CF-ACPLYixing'!W:W)</f>
        <v>0</v>
      </c>
      <c r="X26" s="626">
        <f>SUMIF('CF-ACPL'!$A:$A,$A26,'CF-ACPL'!X:X)+SUMIF('CF-ACPLHK'!$A:$A,$A26,'CF-ACPLHK'!X:X)+SUMIF('CF-ACPLSZ'!$A:$A,$A26,'CF-ACPLSZ'!X:X)+SUMIF('CF-ACPSZL'!$A:$A,$A26,'CF-ACPSZL'!X:X)+SUMIF('CF-ACPLGZ'!$A:$A,$A26,'CF-ACPLGZ'!X:X)+SUMIF('CF-ACPLYixing'!$A:$A,$A26,'CF-ACPLYixing'!X:X)</f>
        <v>0</v>
      </c>
      <c r="Y26" s="626">
        <f>SUMIF('CF-ACPL'!$A:$A,$A26,'CF-ACPL'!Y:Y)+SUMIF('CF-ACPLHK'!$A:$A,$A26,'CF-ACPLHK'!Y:Y)+SUMIF('CF-ACPLSZ'!$A:$A,$A26,'CF-ACPLSZ'!Y:Y)+SUMIF('CF-ACPSZL'!$A:$A,$A26,'CF-ACPSZL'!Y:Y)+SUMIF('CF-ACPLGZ'!$A:$A,$A26,'CF-ACPLGZ'!Y:Y)+SUMIF('CF-ACPLYixing'!$A:$A,$A26,'CF-ACPLYixing'!Y:Y)</f>
        <v>0</v>
      </c>
      <c r="Z26" s="626">
        <f>SUMIF('CF-ACPL'!$A:$A,$A26,'CF-ACPL'!Z:Z)+SUMIF('CF-ACPLHK'!$A:$A,$A26,'CF-ACPLHK'!Z:Z)+SUMIF('CF-ACPLSZ'!$A:$A,$A26,'CF-ACPLSZ'!Z:Z)+SUMIF('CF-ACPSZL'!$A:$A,$A26,'CF-ACPSZL'!Z:Z)+SUMIF('CF-ACPLGZ'!$A:$A,$A26,'CF-ACPLGZ'!Z:Z)+SUMIF('CF-ACPLYixing'!$A:$A,$A26,'CF-ACPLYixing'!Z:Z)</f>
        <v>0</v>
      </c>
      <c r="AA26" s="626">
        <f>SUMIF('CF-ACPL'!$A:$A,$A26,'CF-ACPL'!AA:AA)+SUMIF('CF-ACPLHK'!$A:$A,$A26,'CF-ACPLHK'!AA:AA)+SUMIF('CF-ACPLSZ'!$A:$A,$A26,'CF-ACPLSZ'!AA:AA)+SUMIF('CF-ACPSZL'!$A:$A,$A26,'CF-ACPSZL'!AA:AA)+SUMIF('CF-ACPLGZ'!$A:$A,$A26,'CF-ACPLGZ'!AA:AA)+SUMIF('CF-ACPLYixing'!$A:$A,$A26,'CF-ACPLYixing'!AA:AA)</f>
        <v>0</v>
      </c>
      <c r="AB26" s="626">
        <f>SUMIF('CF-ACPL'!$A:$A,$A26,'CF-ACPL'!AB:AB)+SUMIF('CF-ACPLHK'!$A:$A,$A26,'CF-ACPLHK'!AB:AB)+SUMIF('CF-ACPLSZ'!$A:$A,$A26,'CF-ACPLSZ'!AB:AB)+SUMIF('CF-ACPSZL'!$A:$A,$A26,'CF-ACPSZL'!AB:AB)+SUMIF('CF-ACPLGZ'!$A:$A,$A26,'CF-ACPLGZ'!AB:AB)+SUMIF('CF-ACPLYixing'!$A:$A,$A26,'CF-ACPLYixing'!AB:AB)</f>
        <v>0</v>
      </c>
      <c r="AC26" s="626">
        <f>SUMIF('CF-ACPL'!$A:$A,$A26,'CF-ACPL'!AC:AC)+SUMIF('CF-ACPLHK'!$A:$A,$A26,'CF-ACPLHK'!AC:AC)+SUMIF('CF-ACPLSZ'!$A:$A,$A26,'CF-ACPLSZ'!AC:AC)+SUMIF('CF-ACPSZL'!$A:$A,$A26,'CF-ACPSZL'!AC:AC)+SUMIF('CF-ACPLGZ'!$A:$A,$A26,'CF-ACPLGZ'!AC:AC)+SUMIF('CF-ACPLYixing'!$A:$A,$A26,'CF-ACPLYixing'!AC:AC)</f>
        <v>0</v>
      </c>
      <c r="AD26" s="626">
        <f>SUMIF('CF-ACPL'!$A:$A,$A26,'CF-ACPL'!AD:AD)+SUMIF('CF-ACPLHK'!$A:$A,$A26,'CF-ACPLHK'!AD:AD)+SUMIF('CF-ACPLSZ'!$A:$A,$A26,'CF-ACPLSZ'!AD:AD)+SUMIF('CF-ACPSZL'!$A:$A,$A26,'CF-ACPSZL'!AD:AD)+SUMIF('CF-ACPLGZ'!$A:$A,$A26,'CF-ACPLGZ'!AD:AD)+SUMIF('CF-ACPLYixing'!$A:$A,$A26,'CF-ACPLYixing'!AD:AD)</f>
        <v>0</v>
      </c>
      <c r="AE26" s="626"/>
      <c r="AF26" s="610"/>
    </row>
    <row r="27" spans="1:32" ht="16.5" customHeight="1">
      <c r="A27" s="629" t="s">
        <v>2575</v>
      </c>
      <c r="B27" s="626">
        <f t="shared" si="10"/>
        <v>-82217.445208791658</v>
      </c>
      <c r="C27" s="626">
        <f t="shared" ca="1" si="11"/>
        <v>-82217.445208791658</v>
      </c>
      <c r="D27" s="626"/>
      <c r="E27" s="626">
        <f>SUMIF('CF-ACPL'!$A:$A,$A27,'CF-ACPL'!E:E)+SUMIF('CF-ACPLHK'!$A:$A,$A27,'CF-ACPLHK'!E:E)+SUMIF('CF-ACPLSZ'!$A:$A,$A27,'CF-ACPLSZ'!E:E)+SUMIF('CF-ACPSZL'!$A:$A,$A27,'CF-ACPSZL'!E:E)+SUMIF('CF-ACPLGZ'!$A:$A,$A27,'CF-ACPLGZ'!E:E)+SUMIF('CF-ACPLYixing'!$A:$A,$A27,'CF-ACPLYixing'!E:E)</f>
        <v>-82217.445208791658</v>
      </c>
      <c r="F27" s="626">
        <f>SUMIF('CF-ACPL'!$A:$A,$A27,'CF-ACPL'!F:F)+SUMIF('CF-ACPLHK'!$A:$A,$A27,'CF-ACPLHK'!F:F)+SUMIF('CF-ACPLSZ'!$A:$A,$A27,'CF-ACPLSZ'!F:F)+SUMIF('CF-ACPSZL'!$A:$A,$A27,'CF-ACPSZL'!F:F)+SUMIF('CF-ACPLGZ'!$A:$A,$A27,'CF-ACPLGZ'!F:F)+SUMIF('CF-ACPLYixing'!$A:$A,$A27,'CF-ACPLYixing'!F:F)</f>
        <v>-73743.489565833326</v>
      </c>
      <c r="G27" s="626">
        <f>SUMIF('CF-ACPL'!$A:$A,$A27,'CF-ACPL'!G:G)+SUMIF('CF-ACPLHK'!$A:$A,$A27,'CF-ACPLHK'!G:G)+SUMIF('CF-ACPLSZ'!$A:$A,$A27,'CF-ACPLSZ'!G:G)+SUMIF('CF-ACPSZL'!$A:$A,$A27,'CF-ACPSZL'!G:G)+SUMIF('CF-ACPLGZ'!$A:$A,$A27,'CF-ACPLGZ'!G:G)+SUMIF('CF-ACPLYixing'!$A:$A,$A27,'CF-ACPLYixing'!G:G)</f>
        <v>-95537.489565833326</v>
      </c>
      <c r="H27" s="626">
        <f>SUMIF('CF-ACPL'!$A:$A,$A27,'CF-ACPL'!H:H)+SUMIF('CF-ACPLHK'!$A:$A,$A27,'CF-ACPLHK'!H:H)+SUMIF('CF-ACPLSZ'!$A:$A,$A27,'CF-ACPLSZ'!H:H)+SUMIF('CF-ACPSZL'!$A:$A,$A27,'CF-ACPSZL'!H:H)+SUMIF('CF-ACPLGZ'!$A:$A,$A27,'CF-ACPLGZ'!H:H)+SUMIF('CF-ACPLYixing'!$A:$A,$A27,'CF-ACPLYixing'!H:H)</f>
        <v>-81855.989565833341</v>
      </c>
      <c r="I27" s="626">
        <f>SUMIF('CF-ACPL'!$A:$A,$A27,'CF-ACPL'!I:I)+SUMIF('CF-ACPLHK'!$A:$A,$A27,'CF-ACPLHK'!I:I)+SUMIF('CF-ACPLSZ'!$A:$A,$A27,'CF-ACPLSZ'!I:I)+SUMIF('CF-ACPSZL'!$A:$A,$A27,'CF-ACPSZL'!I:I)+SUMIF('CF-ACPLGZ'!$A:$A,$A27,'CF-ACPLGZ'!I:I)+SUMIF('CF-ACPLYixing'!$A:$A,$A27,'CF-ACPLYixing'!I:I)</f>
        <v>-63743.489565833333</v>
      </c>
      <c r="J27" s="626">
        <f>SUMIF('CF-ACPL'!$A:$A,$A27,'CF-ACPL'!J:J)+SUMIF('CF-ACPLHK'!$A:$A,$A27,'CF-ACPLHK'!J:J)+SUMIF('CF-ACPLSZ'!$A:$A,$A27,'CF-ACPLSZ'!J:J)+SUMIF('CF-ACPSZL'!$A:$A,$A27,'CF-ACPSZL'!J:J)+SUMIF('CF-ACPLGZ'!$A:$A,$A27,'CF-ACPLGZ'!J:J)+SUMIF('CF-ACPLYixing'!$A:$A,$A27,'CF-ACPLYixing'!J:J)</f>
        <v>-63743.489565833333</v>
      </c>
      <c r="K27" s="626">
        <f>SUMIF('CF-ACPL'!$A:$A,$A27,'CF-ACPL'!K:K)+SUMIF('CF-ACPLHK'!$A:$A,$A27,'CF-ACPLHK'!K:K)+SUMIF('CF-ACPLSZ'!$A:$A,$A27,'CF-ACPLSZ'!K:K)+SUMIF('CF-ACPSZL'!$A:$A,$A27,'CF-ACPSZL'!K:K)+SUMIF('CF-ACPLGZ'!$A:$A,$A27,'CF-ACPLGZ'!K:K)+SUMIF('CF-ACPLYixing'!$A:$A,$A27,'CF-ACPLYixing'!K:K)</f>
        <v>-81022.656232500012</v>
      </c>
      <c r="L27" s="626">
        <f>SUMIF('CF-ACPL'!$A:$A,$A27,'CF-ACPL'!L:L)+SUMIF('CF-ACPLHK'!$A:$A,$A27,'CF-ACPLHK'!L:L)+SUMIF('CF-ACPLSZ'!$A:$A,$A27,'CF-ACPLSZ'!L:L)+SUMIF('CF-ACPSZL'!$A:$A,$A27,'CF-ACPSZL'!L:L)+SUMIF('CF-ACPLGZ'!$A:$A,$A27,'CF-ACPLGZ'!L:L)+SUMIF('CF-ACPLYixing'!$A:$A,$A27,'CF-ACPLYixing'!L:L)</f>
        <v>-62910.156232499998</v>
      </c>
      <c r="M27" s="626">
        <f>SUMIF('CF-ACPL'!$A:$A,$A27,'CF-ACPL'!M:M)+SUMIF('CF-ACPLHK'!$A:$A,$A27,'CF-ACPLHK'!M:M)+SUMIF('CF-ACPLSZ'!$A:$A,$A27,'CF-ACPLSZ'!M:M)+SUMIF('CF-ACPSZL'!$A:$A,$A27,'CF-ACPSZL'!M:M)+SUMIF('CF-ACPLGZ'!$A:$A,$A27,'CF-ACPLGZ'!M:M)+SUMIF('CF-ACPLYixing'!$A:$A,$A27,'CF-ACPLYixing'!M:M)</f>
        <v>-64948.038232499996</v>
      </c>
      <c r="N27" s="626">
        <f>SUMIF('CF-ACPL'!$A:$A,$A27,'CF-ACPL'!N:N)+SUMIF('CF-ACPLHK'!$A:$A,$A27,'CF-ACPLHK'!N:N)+SUMIF('CF-ACPLSZ'!$A:$A,$A27,'CF-ACPLSZ'!N:N)+SUMIF('CF-ACPSZL'!$A:$A,$A27,'CF-ACPSZL'!N:N)+SUMIF('CF-ACPLGZ'!$A:$A,$A27,'CF-ACPLGZ'!N:N)+SUMIF('CF-ACPLYixing'!$A:$A,$A27,'CF-ACPLYixing'!N:N)</f>
        <v>-99174.184232500003</v>
      </c>
      <c r="O27" s="626">
        <f>SUMIF('CF-ACPL'!$A:$A,$A27,'CF-ACPL'!O:O)+SUMIF('CF-ACPLHK'!$A:$A,$A27,'CF-ACPLHK'!O:O)+SUMIF('CF-ACPLSZ'!$A:$A,$A27,'CF-ACPLSZ'!O:O)+SUMIF('CF-ACPSZL'!$A:$A,$A27,'CF-ACPSZL'!O:O)+SUMIF('CF-ACPLGZ'!$A:$A,$A27,'CF-ACPLGZ'!O:O)+SUMIF('CF-ACPLYixing'!$A:$A,$A27,'CF-ACPLYixing'!O:O)</f>
        <v>-66853.457902499998</v>
      </c>
      <c r="P27" s="626">
        <f>SUMIF('CF-ACPL'!$A:$A,$A27,'CF-ACPL'!P:P)+SUMIF('CF-ACPLHK'!$A:$A,$A27,'CF-ACPLHK'!P:P)+SUMIF('CF-ACPLSZ'!$A:$A,$A27,'CF-ACPLSZ'!P:P)+SUMIF('CF-ACPSZL'!$A:$A,$A27,'CF-ACPSZL'!P:P)+SUMIF('CF-ACPLGZ'!$A:$A,$A27,'CF-ACPLGZ'!P:P)+SUMIF('CF-ACPLYixing'!$A:$A,$A27,'CF-ACPLYixing'!P:P)</f>
        <v>-62910.156232499998</v>
      </c>
      <c r="Q27" s="626">
        <f t="shared" si="8"/>
        <v>-898660.04210295831</v>
      </c>
      <c r="R27" s="626">
        <f ca="1">SUM(Q24:Q27)+Q38-SPACE!AA107-'T&amp;E'!Z141-'Prof. Fee'!AR153-'Other Exp'!AS197</f>
        <v>-14764822.771732751</v>
      </c>
      <c r="S27" s="626">
        <f>SUMIF('CF-ACPL'!$A:$A,$A27,'CF-ACPL'!S:S)+SUMIF('CF-ACPLHK'!$A:$A,$A27,'CF-ACPLHK'!S:S)+SUMIF('CF-ACPLSZ'!$A:$A,$A27,'CF-ACPLSZ'!S:S)+SUMIF('CF-ACPSZL'!$A:$A,$A27,'CF-ACPSZL'!S:S)+SUMIF('CF-ACPLGZ'!$A:$A,$A27,'CF-ACPLGZ'!S:S)+SUMIF('CF-ACPLYixing'!$A:$A,$A27,'CF-ACPLYixing'!S:S)</f>
        <v>0</v>
      </c>
      <c r="T27" s="626">
        <f>SUMIF('CF-ACPL'!$A:$A,$A27,'CF-ACPL'!T:T)+SUMIF('CF-ACPLHK'!$A:$A,$A27,'CF-ACPLHK'!T:T)+SUMIF('CF-ACPLSZ'!$A:$A,$A27,'CF-ACPLSZ'!T:T)+SUMIF('CF-ACPSZL'!$A:$A,$A27,'CF-ACPSZL'!T:T)+SUMIF('CF-ACPLGZ'!$A:$A,$A27,'CF-ACPLGZ'!T:T)+SUMIF('CF-ACPLYixing'!$A:$A,$A27,'CF-ACPLYixing'!T:T)</f>
        <v>0</v>
      </c>
      <c r="U27" s="626">
        <f>SUMIF('CF-ACPL'!$A:$A,$A27,'CF-ACPL'!U:U)+SUMIF('CF-ACPLHK'!$A:$A,$A27,'CF-ACPLHK'!U:U)+SUMIF('CF-ACPLSZ'!$A:$A,$A27,'CF-ACPLSZ'!U:U)+SUMIF('CF-ACPSZL'!$A:$A,$A27,'CF-ACPSZL'!U:U)+SUMIF('CF-ACPLGZ'!$A:$A,$A27,'CF-ACPLGZ'!U:U)+SUMIF('CF-ACPLYixing'!$A:$A,$A27,'CF-ACPLYixing'!U:U)</f>
        <v>0</v>
      </c>
      <c r="V27" s="626">
        <f>SUMIF('CF-ACPL'!$A:$A,$A27,'CF-ACPL'!V:V)+SUMIF('CF-ACPLHK'!$A:$A,$A27,'CF-ACPLHK'!V:V)+SUMIF('CF-ACPLSZ'!$A:$A,$A27,'CF-ACPLSZ'!V:V)+SUMIF('CF-ACPSZL'!$A:$A,$A27,'CF-ACPSZL'!V:V)+SUMIF('CF-ACPLGZ'!$A:$A,$A27,'CF-ACPLGZ'!V:V)+SUMIF('CF-ACPLYixing'!$A:$A,$A27,'CF-ACPLYixing'!V:V)</f>
        <v>0</v>
      </c>
      <c r="W27" s="626">
        <f>SUMIF('CF-ACPL'!$A:$A,$A27,'CF-ACPL'!W:W)+SUMIF('CF-ACPLHK'!$A:$A,$A27,'CF-ACPLHK'!W:W)+SUMIF('CF-ACPLSZ'!$A:$A,$A27,'CF-ACPLSZ'!W:W)+SUMIF('CF-ACPSZL'!$A:$A,$A27,'CF-ACPSZL'!W:W)+SUMIF('CF-ACPLGZ'!$A:$A,$A27,'CF-ACPLGZ'!W:W)+SUMIF('CF-ACPLYixing'!$A:$A,$A27,'CF-ACPLYixing'!W:W)</f>
        <v>0</v>
      </c>
      <c r="X27" s="626">
        <f>SUMIF('CF-ACPL'!$A:$A,$A27,'CF-ACPL'!X:X)+SUMIF('CF-ACPLHK'!$A:$A,$A27,'CF-ACPLHK'!X:X)+SUMIF('CF-ACPLSZ'!$A:$A,$A27,'CF-ACPLSZ'!X:X)+SUMIF('CF-ACPSZL'!$A:$A,$A27,'CF-ACPSZL'!X:X)+SUMIF('CF-ACPLGZ'!$A:$A,$A27,'CF-ACPLGZ'!X:X)+SUMIF('CF-ACPLYixing'!$A:$A,$A27,'CF-ACPLYixing'!X:X)</f>
        <v>0</v>
      </c>
      <c r="Y27" s="626">
        <f>SUMIF('CF-ACPL'!$A:$A,$A27,'CF-ACPL'!Y:Y)+SUMIF('CF-ACPLHK'!$A:$A,$A27,'CF-ACPLHK'!Y:Y)+SUMIF('CF-ACPLSZ'!$A:$A,$A27,'CF-ACPLSZ'!Y:Y)+SUMIF('CF-ACPSZL'!$A:$A,$A27,'CF-ACPSZL'!Y:Y)+SUMIF('CF-ACPLGZ'!$A:$A,$A27,'CF-ACPLGZ'!Y:Y)+SUMIF('CF-ACPLYixing'!$A:$A,$A27,'CF-ACPLYixing'!Y:Y)</f>
        <v>0</v>
      </c>
      <c r="Z27" s="626">
        <f>SUMIF('CF-ACPL'!$A:$A,$A27,'CF-ACPL'!Z:Z)+SUMIF('CF-ACPLHK'!$A:$A,$A27,'CF-ACPLHK'!Z:Z)+SUMIF('CF-ACPLSZ'!$A:$A,$A27,'CF-ACPLSZ'!Z:Z)+SUMIF('CF-ACPSZL'!$A:$A,$A27,'CF-ACPSZL'!Z:Z)+SUMIF('CF-ACPLGZ'!$A:$A,$A27,'CF-ACPLGZ'!Z:Z)+SUMIF('CF-ACPLYixing'!$A:$A,$A27,'CF-ACPLYixing'!Z:Z)</f>
        <v>0</v>
      </c>
      <c r="AA27" s="626">
        <f>SUMIF('CF-ACPL'!$A:$A,$A27,'CF-ACPL'!AA:AA)+SUMIF('CF-ACPLHK'!$A:$A,$A27,'CF-ACPLHK'!AA:AA)+SUMIF('CF-ACPLSZ'!$A:$A,$A27,'CF-ACPLSZ'!AA:AA)+SUMIF('CF-ACPSZL'!$A:$A,$A27,'CF-ACPSZL'!AA:AA)+SUMIF('CF-ACPLGZ'!$A:$A,$A27,'CF-ACPLGZ'!AA:AA)+SUMIF('CF-ACPLYixing'!$A:$A,$A27,'CF-ACPLYixing'!AA:AA)</f>
        <v>0</v>
      </c>
      <c r="AB27" s="626">
        <f>SUMIF('CF-ACPL'!$A:$A,$A27,'CF-ACPL'!AB:AB)+SUMIF('CF-ACPLHK'!$A:$A,$A27,'CF-ACPLHK'!AB:AB)+SUMIF('CF-ACPLSZ'!$A:$A,$A27,'CF-ACPLSZ'!AB:AB)+SUMIF('CF-ACPSZL'!$A:$A,$A27,'CF-ACPSZL'!AB:AB)+SUMIF('CF-ACPLGZ'!$A:$A,$A27,'CF-ACPLGZ'!AB:AB)+SUMIF('CF-ACPLYixing'!$A:$A,$A27,'CF-ACPLYixing'!AB:AB)</f>
        <v>0</v>
      </c>
      <c r="AC27" s="626">
        <f>SUMIF('CF-ACPL'!$A:$A,$A27,'CF-ACPL'!AC:AC)+SUMIF('CF-ACPLHK'!$A:$A,$A27,'CF-ACPLHK'!AC:AC)+SUMIF('CF-ACPLSZ'!$A:$A,$A27,'CF-ACPLSZ'!AC:AC)+SUMIF('CF-ACPSZL'!$A:$A,$A27,'CF-ACPSZL'!AC:AC)+SUMIF('CF-ACPLGZ'!$A:$A,$A27,'CF-ACPLGZ'!AC:AC)+SUMIF('CF-ACPLYixing'!$A:$A,$A27,'CF-ACPLYixing'!AC:AC)</f>
        <v>0</v>
      </c>
      <c r="AD27" s="626">
        <f>SUMIF('CF-ACPL'!$A:$A,$A27,'CF-ACPL'!AD:AD)+SUMIF('CF-ACPLHK'!$A:$A,$A27,'CF-ACPLHK'!AD:AD)+SUMIF('CF-ACPLSZ'!$A:$A,$A27,'CF-ACPLSZ'!AD:AD)+SUMIF('CF-ACPSZL'!$A:$A,$A27,'CF-ACPSZL'!AD:AD)+SUMIF('CF-ACPLGZ'!$A:$A,$A27,'CF-ACPLGZ'!AD:AD)+SUMIF('CF-ACPLYixing'!$A:$A,$A27,'CF-ACPLYixing'!AD:AD)</f>
        <v>0</v>
      </c>
      <c r="AE27" s="626">
        <f>SUM(S27:AD27)</f>
        <v>0</v>
      </c>
    </row>
    <row r="28" spans="1:32" s="602" customFormat="1" ht="16.5" customHeight="1">
      <c r="A28" s="629"/>
      <c r="B28" s="633"/>
      <c r="C28" s="633"/>
      <c r="D28" s="633"/>
      <c r="E28" s="626"/>
      <c r="F28" s="626"/>
      <c r="G28" s="626"/>
      <c r="H28" s="626"/>
      <c r="I28" s="626"/>
      <c r="J28" s="626"/>
      <c r="K28" s="626"/>
      <c r="L28" s="630"/>
      <c r="M28" s="630"/>
      <c r="N28" s="630"/>
      <c r="O28" s="630"/>
      <c r="P28" s="630"/>
      <c r="Q28" s="626"/>
      <c r="R28" s="626"/>
      <c r="S28" s="626"/>
      <c r="T28" s="626"/>
      <c r="U28" s="626"/>
      <c r="V28" s="626"/>
      <c r="W28" s="626"/>
      <c r="X28" s="626"/>
      <c r="Y28" s="626"/>
      <c r="Z28" s="630"/>
      <c r="AA28" s="630"/>
      <c r="AB28" s="630"/>
      <c r="AC28" s="630"/>
      <c r="AD28" s="630"/>
      <c r="AE28" s="626"/>
      <c r="AF28" s="610"/>
    </row>
    <row r="29" spans="1:32" s="601" customFormat="1" ht="16.5" customHeight="1">
      <c r="A29" s="608" t="s">
        <v>2576</v>
      </c>
      <c r="B29" s="622">
        <f ca="1">INDEX($E29:$P29,1,MATCH($B$4,$E$4:$P$4))</f>
        <v>-1991144.3440812915</v>
      </c>
      <c r="C29" s="622">
        <f ca="1">SUM($E29:OFFSET($E29,0,MATCH($C$4,$E$4:$P$4)-1))</f>
        <v>-1991144.3440812915</v>
      </c>
      <c r="D29" s="622"/>
      <c r="E29" s="622">
        <f ca="1">E12+E18</f>
        <v>-1991144.3440812915</v>
      </c>
      <c r="F29" s="622">
        <f ca="1">F12+F18</f>
        <v>-1888572.4565658332</v>
      </c>
      <c r="G29" s="622">
        <f t="shared" ref="G29:Q29" ca="1" si="12">G12+G18</f>
        <v>-2001484.3465658333</v>
      </c>
      <c r="H29" s="622">
        <f t="shared" ca="1" si="12"/>
        <v>-3885726.3447160786</v>
      </c>
      <c r="I29" s="622">
        <f t="shared" ca="1" si="12"/>
        <v>486240.14052315615</v>
      </c>
      <c r="J29" s="622">
        <f t="shared" ca="1" si="12"/>
        <v>-2437969.6898469958</v>
      </c>
      <c r="K29" s="622">
        <f t="shared" ca="1" si="12"/>
        <v>-602059.00649907975</v>
      </c>
      <c r="L29" s="622">
        <f t="shared" ca="1" si="12"/>
        <v>-2256089.9102324997</v>
      </c>
      <c r="M29" s="622">
        <f t="shared" ca="1" si="12"/>
        <v>-2403927.7922324999</v>
      </c>
      <c r="N29" s="622">
        <f t="shared" ca="1" si="12"/>
        <v>1295215.1896798606</v>
      </c>
      <c r="O29" s="622">
        <f t="shared" ca="1" si="12"/>
        <v>-2167613.2119024997</v>
      </c>
      <c r="P29" s="622">
        <f t="shared" ca="1" si="12"/>
        <v>-3933506.6144391904</v>
      </c>
      <c r="Q29" s="622">
        <f t="shared" ca="1" si="12"/>
        <v>-21786638.386878788</v>
      </c>
      <c r="R29" s="623"/>
      <c r="S29" s="622">
        <f>S12+S18</f>
        <v>0</v>
      </c>
      <c r="T29" s="622">
        <f>T12+T18</f>
        <v>0</v>
      </c>
      <c r="U29" s="622">
        <f t="shared" ref="U29:AD29" si="13">U12+U18</f>
        <v>0</v>
      </c>
      <c r="V29" s="622">
        <f t="shared" si="13"/>
        <v>0</v>
      </c>
      <c r="W29" s="622">
        <f t="shared" si="13"/>
        <v>0</v>
      </c>
      <c r="X29" s="622">
        <f t="shared" si="13"/>
        <v>0</v>
      </c>
      <c r="Y29" s="622">
        <f t="shared" si="13"/>
        <v>0</v>
      </c>
      <c r="Z29" s="622">
        <f t="shared" si="13"/>
        <v>0</v>
      </c>
      <c r="AA29" s="622">
        <f t="shared" si="13"/>
        <v>0</v>
      </c>
      <c r="AB29" s="622">
        <f t="shared" si="13"/>
        <v>0</v>
      </c>
      <c r="AC29" s="622">
        <f t="shared" si="13"/>
        <v>0</v>
      </c>
      <c r="AD29" s="622">
        <f t="shared" si="13"/>
        <v>0</v>
      </c>
      <c r="AE29" s="622">
        <f t="shared" ref="AE29" si="14">AE12-AE18</f>
        <v>0</v>
      </c>
      <c r="AF29" s="610"/>
    </row>
    <row r="30" spans="1:32" ht="16.5" customHeight="1">
      <c r="A30" s="629"/>
      <c r="B30" s="633"/>
      <c r="C30" s="633"/>
      <c r="D30" s="633"/>
      <c r="E30" s="626"/>
      <c r="F30" s="626"/>
      <c r="G30" s="626"/>
      <c r="H30" s="626"/>
      <c r="I30" s="626"/>
      <c r="J30" s="626"/>
      <c r="K30" s="626"/>
      <c r="L30" s="626"/>
      <c r="M30" s="626"/>
      <c r="N30" s="626"/>
      <c r="O30" s="626"/>
      <c r="P30" s="626"/>
      <c r="Q30" s="626"/>
      <c r="R30" s="626"/>
      <c r="S30" s="626"/>
      <c r="T30" s="626"/>
      <c r="U30" s="626"/>
      <c r="V30" s="626"/>
      <c r="W30" s="626"/>
      <c r="X30" s="626"/>
      <c r="Y30" s="626"/>
      <c r="Z30" s="626"/>
      <c r="AA30" s="626"/>
      <c r="AB30" s="626"/>
      <c r="AC30" s="626"/>
      <c r="AD30" s="626"/>
      <c r="AE30" s="626"/>
    </row>
    <row r="31" spans="1:32" s="603" customFormat="1" ht="16.5" customHeight="1">
      <c r="A31" s="627" t="s">
        <v>2577</v>
      </c>
      <c r="B31" s="628">
        <f>INDEX($E31:$P31,1,MATCH($B$4,$E$4:$P$4))</f>
        <v>0</v>
      </c>
      <c r="C31" s="628">
        <f ca="1">SUM($E31:OFFSET($E31,0,MATCH($C$4,$E$4:$P$4)-1))</f>
        <v>0</v>
      </c>
      <c r="D31" s="628"/>
      <c r="E31" s="628">
        <f t="shared" ref="E31:Q31" si="15">SUM(E32:E36)</f>
        <v>0</v>
      </c>
      <c r="F31" s="628">
        <f t="shared" si="15"/>
        <v>0</v>
      </c>
      <c r="G31" s="628">
        <f t="shared" si="15"/>
        <v>0</v>
      </c>
      <c r="H31" s="628">
        <f t="shared" si="15"/>
        <v>43500000</v>
      </c>
      <c r="I31" s="628">
        <f t="shared" si="15"/>
        <v>0</v>
      </c>
      <c r="J31" s="628">
        <f t="shared" si="15"/>
        <v>0</v>
      </c>
      <c r="K31" s="628">
        <f t="shared" si="15"/>
        <v>0</v>
      </c>
      <c r="L31" s="628">
        <f t="shared" si="15"/>
        <v>0</v>
      </c>
      <c r="M31" s="628">
        <f t="shared" si="15"/>
        <v>0</v>
      </c>
      <c r="N31" s="628">
        <f t="shared" si="15"/>
        <v>0</v>
      </c>
      <c r="O31" s="628">
        <f t="shared" si="15"/>
        <v>0</v>
      </c>
      <c r="P31" s="628">
        <f t="shared" si="15"/>
        <v>0</v>
      </c>
      <c r="Q31" s="628">
        <f t="shared" si="15"/>
        <v>43500000</v>
      </c>
      <c r="R31" s="623"/>
      <c r="S31" s="628">
        <f t="shared" ref="S31:AD31" si="16">SUM(S32:S36)</f>
        <v>0</v>
      </c>
      <c r="T31" s="628">
        <f t="shared" si="16"/>
        <v>0</v>
      </c>
      <c r="U31" s="628">
        <f t="shared" si="16"/>
        <v>0</v>
      </c>
      <c r="V31" s="628">
        <f t="shared" si="16"/>
        <v>0</v>
      </c>
      <c r="W31" s="628">
        <f t="shared" si="16"/>
        <v>0</v>
      </c>
      <c r="X31" s="628">
        <f t="shared" si="16"/>
        <v>0</v>
      </c>
      <c r="Y31" s="628">
        <f t="shared" si="16"/>
        <v>0</v>
      </c>
      <c r="Z31" s="628">
        <f t="shared" si="16"/>
        <v>0</v>
      </c>
      <c r="AA31" s="628">
        <f t="shared" si="16"/>
        <v>0</v>
      </c>
      <c r="AB31" s="628">
        <f t="shared" si="16"/>
        <v>0</v>
      </c>
      <c r="AC31" s="628">
        <f t="shared" si="16"/>
        <v>0</v>
      </c>
      <c r="AD31" s="628">
        <f t="shared" si="16"/>
        <v>0</v>
      </c>
      <c r="AE31" s="628">
        <f t="shared" ref="AE31" si="17">SUM(AE32:AE36)</f>
        <v>0</v>
      </c>
    </row>
    <row r="32" spans="1:32" ht="16.5" customHeight="1">
      <c r="A32" s="629" t="s">
        <v>2148</v>
      </c>
      <c r="B32" s="626">
        <f>INDEX($E32:$P32,1,MATCH($B$4,$E$4:$P$4))</f>
        <v>0</v>
      </c>
      <c r="C32" s="626">
        <f ca="1">SUM($E32:OFFSET($E32,0,MATCH($C$4,$E$4:$P$4)-1))</f>
        <v>0</v>
      </c>
      <c r="D32" s="626"/>
      <c r="E32" s="626">
        <f>SUMIFS(cashflow汇总预算2026!$K:$K,cashflow汇总预算2026!$D:$D,E$4,cashflow汇总预算2026!$W:$W,$A32)</f>
        <v>0</v>
      </c>
      <c r="F32" s="626">
        <f>SUMIFS(cashflow汇总预算2026!$K:$K,cashflow汇总预算2026!$D:$D,F$4,cashflow汇总预算2026!$W:$W,$A32)</f>
        <v>0</v>
      </c>
      <c r="G32" s="626">
        <f>SUMIFS(cashflow汇总预算2026!$K:$K,cashflow汇总预算2026!$D:$D,G$4,cashflow汇总预算2026!$W:$W,$A32)</f>
        <v>0</v>
      </c>
      <c r="H32" s="626">
        <f>SUMIFS(cashflow汇总预算2026!$K:$K,cashflow汇总预算2026!$D:$D,H$4,cashflow汇总预算2026!$W:$W,$A32)</f>
        <v>43500000</v>
      </c>
      <c r="I32" s="626">
        <f>SUMIFS(cashflow汇总预算2026!$K:$K,cashflow汇总预算2026!$D:$D,I$4,cashflow汇总预算2026!$W:$W,$A32)</f>
        <v>0</v>
      </c>
      <c r="J32" s="626">
        <f>SUMIFS(cashflow汇总预算2026!$K:$K,cashflow汇总预算2026!$D:$D,J$4,cashflow汇总预算2026!$W:$W,$A32)</f>
        <v>0</v>
      </c>
      <c r="K32" s="626">
        <f>SUMIFS(cashflow汇总预算2026!$K:$K,cashflow汇总预算2026!$D:$D,K$4,cashflow汇总预算2026!$W:$W,$A32)</f>
        <v>0</v>
      </c>
      <c r="L32" s="626">
        <f>SUMIFS(cashflow汇总预算2026!$K:$K,cashflow汇总预算2026!$D:$D,L$4,cashflow汇总预算2026!$W:$W,$A32)</f>
        <v>0</v>
      </c>
      <c r="M32" s="626">
        <f>SUMIFS(cashflow汇总预算2026!$K:$K,cashflow汇总预算2026!$D:$D,M$4,cashflow汇总预算2026!$W:$W,$A32)</f>
        <v>0</v>
      </c>
      <c r="N32" s="626">
        <f>SUMIFS(cashflow汇总预算2026!$K:$K,cashflow汇总预算2026!$D:$D,N$4,cashflow汇总预算2026!$W:$W,$A32)</f>
        <v>0</v>
      </c>
      <c r="O32" s="626">
        <f>SUMIFS(cashflow汇总预算2026!$K:$K,cashflow汇总预算2026!$D:$D,O$4,cashflow汇总预算2026!$W:$W,$A32)</f>
        <v>0</v>
      </c>
      <c r="P32" s="626">
        <f>SUMIFS(cashflow汇总预算2026!$K:$K,cashflow汇总预算2026!$D:$D,P$4,cashflow汇总预算2026!$W:$W,$A32)</f>
        <v>0</v>
      </c>
      <c r="Q32" s="626">
        <f>SUM(E32:P32)</f>
        <v>43500000</v>
      </c>
      <c r="R32" s="626"/>
      <c r="S32" s="626">
        <f>SUMIFS(cashflow汇总预算2026!$K:$K,cashflow汇总预算2026!$D:$D,S$4,cashflow汇总预算2026!$W:$W,$A32)</f>
        <v>0</v>
      </c>
      <c r="T32" s="626">
        <f>SUMIFS(cashflow汇总预算2026!$K:$K,cashflow汇总预算2026!$D:$D,T$4,cashflow汇总预算2026!$W:$W,$A32)</f>
        <v>0</v>
      </c>
      <c r="U32" s="626">
        <f>SUMIFS(cashflow汇总预算2026!$K:$K,cashflow汇总预算2026!$D:$D,U$4,cashflow汇总预算2026!$W:$W,$A32)</f>
        <v>0</v>
      </c>
      <c r="V32" s="626">
        <f>SUMIFS(cashflow汇总预算2026!$K:$K,cashflow汇总预算2026!$D:$D,V$4,cashflow汇总预算2026!$W:$W,$A32)</f>
        <v>0</v>
      </c>
      <c r="W32" s="626">
        <f>SUMIFS(cashflow汇总预算2026!$K:$K,cashflow汇总预算2026!$D:$D,W$4,cashflow汇总预算2026!$W:$W,$A32)</f>
        <v>0</v>
      </c>
      <c r="X32" s="626">
        <f>SUMIFS(cashflow汇总预算2026!$K:$K,cashflow汇总预算2026!$D:$D,X$4,cashflow汇总预算2026!$W:$W,$A32)</f>
        <v>0</v>
      </c>
      <c r="Y32" s="626">
        <f>SUMIFS(cashflow汇总预算2026!$K:$K,cashflow汇总预算2026!$D:$D,Y$4,cashflow汇总预算2026!$W:$W,$A32)</f>
        <v>0</v>
      </c>
      <c r="Z32" s="626">
        <f>SUMIFS(cashflow汇总预算2026!$K:$K,cashflow汇总预算2026!$D:$D,Z$4,cashflow汇总预算2026!$W:$W,$A32)</f>
        <v>0</v>
      </c>
      <c r="AA32" s="626">
        <f>SUMIFS(cashflow汇总预算2026!$K:$K,cashflow汇总预算2026!$D:$D,AA$4,cashflow汇总预算2026!$W:$W,$A32)</f>
        <v>0</v>
      </c>
      <c r="AB32" s="626">
        <f>SUMIFS(cashflow汇总预算2026!$K:$K,cashflow汇总预算2026!$D:$D,AB$4,cashflow汇总预算2026!$W:$W,$A32)</f>
        <v>0</v>
      </c>
      <c r="AC32" s="626">
        <f>SUMIFS(cashflow汇总预算2026!$K:$K,cashflow汇总预算2026!$D:$D,AC$4,cashflow汇总预算2026!$W:$W,$A32)</f>
        <v>0</v>
      </c>
      <c r="AD32" s="626">
        <f>SUMIFS(cashflow汇总预算2026!$K:$K,cashflow汇总预算2026!$D:$D,AD$4,cashflow汇总预算2026!$W:$W,$A32)</f>
        <v>0</v>
      </c>
      <c r="AE32" s="626">
        <f>SUM(S32:AD32)</f>
        <v>0</v>
      </c>
    </row>
    <row r="33" spans="1:31" ht="16.5" customHeight="1">
      <c r="A33" s="629" t="s">
        <v>2578</v>
      </c>
      <c r="B33" s="626">
        <f t="shared" ref="B33:B39" si="18">INDEX($E33:$P33,1,MATCH($B$4,$E$4:$P$4))</f>
        <v>0</v>
      </c>
      <c r="C33" s="626">
        <f t="shared" ref="C33:C39" ca="1" si="19">SUM($E33:OFFSET($E33,0,MATCH($C$4,$E$4:$P$4)-1))</f>
        <v>0</v>
      </c>
      <c r="D33" s="626"/>
      <c r="E33" s="626">
        <f>SUMIFS(cashflow汇总预算2026!$K:$K,cashflow汇总预算2026!$D:$D,E$4,cashflow汇总预算2026!$W:$W,$A33)</f>
        <v>0</v>
      </c>
      <c r="F33" s="626">
        <f>SUMIFS(cashflow汇总预算2026!$K:$K,cashflow汇总预算2026!$D:$D,F$4,cashflow汇总预算2026!$W:$W,$A33)</f>
        <v>0</v>
      </c>
      <c r="G33" s="626">
        <f>SUMIFS(cashflow汇总预算2026!$K:$K,cashflow汇总预算2026!$D:$D,G$4,cashflow汇总预算2026!$W:$W,$A33)</f>
        <v>0</v>
      </c>
      <c r="H33" s="626">
        <f>SUMIFS(cashflow汇总预算2026!$K:$K,cashflow汇总预算2026!$D:$D,H$4,cashflow汇总预算2026!$W:$W,$A33)</f>
        <v>0</v>
      </c>
      <c r="I33" s="626">
        <f>SUMIFS(cashflow汇总预算2026!$K:$K,cashflow汇总预算2026!$D:$D,I$4,cashflow汇总预算2026!$W:$W,$A33)</f>
        <v>0</v>
      </c>
      <c r="J33" s="626">
        <f>SUMIFS(cashflow汇总预算2026!$K:$K,cashflow汇总预算2026!$D:$D,J$4,cashflow汇总预算2026!$W:$W,$A33)</f>
        <v>0</v>
      </c>
      <c r="K33" s="626">
        <f>SUMIFS(cashflow汇总预算2026!$K:$K,cashflow汇总预算2026!$D:$D,K$4,cashflow汇总预算2026!$W:$W,$A33)</f>
        <v>0</v>
      </c>
      <c r="L33" s="626">
        <f>SUMIFS(cashflow汇总预算2026!$K:$K,cashflow汇总预算2026!$D:$D,L$4,cashflow汇总预算2026!$W:$W,$A33)</f>
        <v>0</v>
      </c>
      <c r="M33" s="626">
        <f>SUMIFS(cashflow汇总预算2026!$K:$K,cashflow汇总预算2026!$D:$D,M$4,cashflow汇总预算2026!$W:$W,$A33)</f>
        <v>0</v>
      </c>
      <c r="N33" s="626">
        <f>SUMIFS(cashflow汇总预算2026!$K:$K,cashflow汇总预算2026!$D:$D,N$4,cashflow汇总预算2026!$W:$W,$A33)</f>
        <v>0</v>
      </c>
      <c r="O33" s="626">
        <f>SUMIFS(cashflow汇总预算2026!$K:$K,cashflow汇总预算2026!$D:$D,O$4,cashflow汇总预算2026!$W:$W,$A33)</f>
        <v>0</v>
      </c>
      <c r="P33" s="626">
        <f>SUMIFS(cashflow汇总预算2026!$K:$K,cashflow汇总预算2026!$D:$D,P$4,cashflow汇总预算2026!$W:$W,$A33)</f>
        <v>0</v>
      </c>
      <c r="Q33" s="626">
        <f>SUM(E33:P33)</f>
        <v>0</v>
      </c>
      <c r="R33" s="626"/>
      <c r="S33" s="626">
        <f>SUMIFS(cashflow汇总预算2026!$K:$K,cashflow汇总预算2026!$D:$D,S$4,cashflow汇总预算2026!$W:$W,$A33)</f>
        <v>0</v>
      </c>
      <c r="T33" s="626">
        <f>SUMIFS(cashflow汇总预算2026!$K:$K,cashflow汇总预算2026!$D:$D,T$4,cashflow汇总预算2026!$W:$W,$A33)</f>
        <v>0</v>
      </c>
      <c r="U33" s="626">
        <f>SUMIFS(cashflow汇总预算2026!$K:$K,cashflow汇总预算2026!$D:$D,U$4,cashflow汇总预算2026!$W:$W,$A33)</f>
        <v>0</v>
      </c>
      <c r="V33" s="626">
        <f>SUMIFS(cashflow汇总预算2026!$K:$K,cashflow汇总预算2026!$D:$D,V$4,cashflow汇总预算2026!$W:$W,$A33)</f>
        <v>0</v>
      </c>
      <c r="W33" s="626">
        <f>SUMIFS(cashflow汇总预算2026!$K:$K,cashflow汇总预算2026!$D:$D,W$4,cashflow汇总预算2026!$W:$W,$A33)</f>
        <v>0</v>
      </c>
      <c r="X33" s="626">
        <f>SUMIFS(cashflow汇总预算2026!$K:$K,cashflow汇总预算2026!$D:$D,X$4,cashflow汇总预算2026!$W:$W,$A33)</f>
        <v>0</v>
      </c>
      <c r="Y33" s="626">
        <f>SUMIFS(cashflow汇总预算2026!$K:$K,cashflow汇总预算2026!$D:$D,Y$4,cashflow汇总预算2026!$W:$W,$A33)</f>
        <v>0</v>
      </c>
      <c r="Z33" s="626">
        <f>SUMIFS(cashflow汇总预算2026!$K:$K,cashflow汇总预算2026!$D:$D,Z$4,cashflow汇总预算2026!$W:$W,$A33)</f>
        <v>0</v>
      </c>
      <c r="AA33" s="626">
        <f>SUMIFS(cashflow汇总预算2026!$K:$K,cashflow汇总预算2026!$D:$D,AA$4,cashflow汇总预算2026!$W:$W,$A33)</f>
        <v>0</v>
      </c>
      <c r="AB33" s="626">
        <f>SUMIFS(cashflow汇总预算2026!$K:$K,cashflow汇总预算2026!$D:$D,AB$4,cashflow汇总预算2026!$W:$W,$A33)</f>
        <v>0</v>
      </c>
      <c r="AC33" s="626">
        <f>SUMIFS(cashflow汇总预算2026!$K:$K,cashflow汇总预算2026!$D:$D,AC$4,cashflow汇总预算2026!$W:$W,$A33)</f>
        <v>0</v>
      </c>
      <c r="AD33" s="626">
        <f>SUMIFS(cashflow汇总预算2026!$K:$K,cashflow汇总预算2026!$D:$D,AD$4,cashflow汇总预算2026!$W:$W,$A33)</f>
        <v>0</v>
      </c>
      <c r="AE33" s="626">
        <f>SUM(S33:AD33)</f>
        <v>0</v>
      </c>
    </row>
    <row r="34" spans="1:31" ht="16.5" customHeight="1">
      <c r="A34" s="629" t="s">
        <v>2579</v>
      </c>
      <c r="B34" s="626">
        <f t="shared" si="18"/>
        <v>0</v>
      </c>
      <c r="C34" s="626">
        <f t="shared" ca="1" si="19"/>
        <v>0</v>
      </c>
      <c r="D34" s="626"/>
      <c r="E34" s="626">
        <f>SUMIFS(cashflow汇总预算2026!$K:$K,cashflow汇总预算2026!$D:$D,E$4,cashflow汇总预算2026!$W:$W,$A34)</f>
        <v>0</v>
      </c>
      <c r="F34" s="626">
        <f>SUMIFS(cashflow汇总预算2026!$K:$K,cashflow汇总预算2026!$D:$D,F$4,cashflow汇总预算2026!$W:$W,$A34)</f>
        <v>0</v>
      </c>
      <c r="G34" s="626">
        <f>SUMIFS(cashflow汇总预算2026!$K:$K,cashflow汇总预算2026!$D:$D,G$4,cashflow汇总预算2026!$W:$W,$A34)</f>
        <v>0</v>
      </c>
      <c r="H34" s="626">
        <f>SUMIFS(cashflow汇总预算2026!$K:$K,cashflow汇总预算2026!$D:$D,H$4,cashflow汇总预算2026!$W:$W,$A34)</f>
        <v>0</v>
      </c>
      <c r="I34" s="626">
        <f>SUMIFS(cashflow汇总预算2026!$K:$K,cashflow汇总预算2026!$D:$D,I$4,cashflow汇总预算2026!$W:$W,$A34)</f>
        <v>0</v>
      </c>
      <c r="J34" s="626">
        <f>SUMIFS(cashflow汇总预算2026!$K:$K,cashflow汇总预算2026!$D:$D,J$4,cashflow汇总预算2026!$W:$W,$A34)</f>
        <v>0</v>
      </c>
      <c r="K34" s="626">
        <f>SUMIFS(cashflow汇总预算2026!$K:$K,cashflow汇总预算2026!$D:$D,K$4,cashflow汇总预算2026!$W:$W,$A34)</f>
        <v>0</v>
      </c>
      <c r="L34" s="626">
        <f>SUMIFS(cashflow汇总预算2026!$K:$K,cashflow汇总预算2026!$D:$D,L$4,cashflow汇总预算2026!$W:$W,$A34)</f>
        <v>0</v>
      </c>
      <c r="M34" s="626">
        <f>SUMIFS(cashflow汇总预算2026!$K:$K,cashflow汇总预算2026!$D:$D,M$4,cashflow汇总预算2026!$W:$W,$A34)</f>
        <v>0</v>
      </c>
      <c r="N34" s="626">
        <f>SUMIFS(cashflow汇总预算2026!$K:$K,cashflow汇总预算2026!$D:$D,N$4,cashflow汇总预算2026!$W:$W,$A34)</f>
        <v>0</v>
      </c>
      <c r="O34" s="626">
        <f>SUMIFS(cashflow汇总预算2026!$K:$K,cashflow汇总预算2026!$D:$D,O$4,cashflow汇总预算2026!$W:$W,$A34)</f>
        <v>0</v>
      </c>
      <c r="P34" s="626">
        <f>SUMIFS(cashflow汇总预算2026!$K:$K,cashflow汇总预算2026!$D:$D,P$4,cashflow汇总预算2026!$W:$W,$A34)</f>
        <v>0</v>
      </c>
      <c r="Q34" s="626">
        <f>SUM(E34:P34)</f>
        <v>0</v>
      </c>
      <c r="R34" s="626"/>
      <c r="S34" s="626">
        <f>SUMIFS(cashflow汇总预算2026!$K:$K,cashflow汇总预算2026!$D:$D,S$4,cashflow汇总预算2026!$W:$W,$A34)</f>
        <v>0</v>
      </c>
      <c r="T34" s="626">
        <f>SUMIFS(cashflow汇总预算2026!$K:$K,cashflow汇总预算2026!$D:$D,T$4,cashflow汇总预算2026!$W:$W,$A34)</f>
        <v>0</v>
      </c>
      <c r="U34" s="626">
        <f>SUMIFS(cashflow汇总预算2026!$K:$K,cashflow汇总预算2026!$D:$D,U$4,cashflow汇总预算2026!$W:$W,$A34)</f>
        <v>0</v>
      </c>
      <c r="V34" s="626">
        <f>SUMIFS(cashflow汇总预算2026!$K:$K,cashflow汇总预算2026!$D:$D,V$4,cashflow汇总预算2026!$W:$W,$A34)</f>
        <v>0</v>
      </c>
      <c r="W34" s="626">
        <f>SUMIFS(cashflow汇总预算2026!$K:$K,cashflow汇总预算2026!$D:$D,W$4,cashflow汇总预算2026!$W:$W,$A34)</f>
        <v>0</v>
      </c>
      <c r="X34" s="626">
        <f>SUMIFS(cashflow汇总预算2026!$K:$K,cashflow汇总预算2026!$D:$D,X$4,cashflow汇总预算2026!$W:$W,$A34)</f>
        <v>0</v>
      </c>
      <c r="Y34" s="626">
        <f>SUMIFS(cashflow汇总预算2026!$K:$K,cashflow汇总预算2026!$D:$D,Y$4,cashflow汇总预算2026!$W:$W,$A34)</f>
        <v>0</v>
      </c>
      <c r="Z34" s="626">
        <f>SUMIFS(cashflow汇总预算2026!$K:$K,cashflow汇总预算2026!$D:$D,Z$4,cashflow汇总预算2026!$W:$W,$A34)</f>
        <v>0</v>
      </c>
      <c r="AA34" s="626">
        <f>SUMIFS(cashflow汇总预算2026!$K:$K,cashflow汇总预算2026!$D:$D,AA$4,cashflow汇总预算2026!$W:$W,$A34)</f>
        <v>0</v>
      </c>
      <c r="AB34" s="626">
        <f>SUMIFS(cashflow汇总预算2026!$K:$K,cashflow汇总预算2026!$D:$D,AB$4,cashflow汇总预算2026!$W:$W,$A34)</f>
        <v>0</v>
      </c>
      <c r="AC34" s="626">
        <f>SUMIFS(cashflow汇总预算2026!$K:$K,cashflow汇总预算2026!$D:$D,AC$4,cashflow汇总预算2026!$W:$W,$A34)</f>
        <v>0</v>
      </c>
      <c r="AD34" s="626">
        <f>SUMIFS(cashflow汇总预算2026!$K:$K,cashflow汇总预算2026!$D:$D,AD$4,cashflow汇总预算2026!$W:$W,$A34)</f>
        <v>0</v>
      </c>
      <c r="AE34" s="626">
        <f>SUM(S34:AD34)</f>
        <v>0</v>
      </c>
    </row>
    <row r="35" spans="1:31" ht="16.5" customHeight="1">
      <c r="A35" s="629" t="s">
        <v>2580</v>
      </c>
      <c r="B35" s="626">
        <f t="shared" si="18"/>
        <v>0</v>
      </c>
      <c r="C35" s="626">
        <f t="shared" ca="1" si="19"/>
        <v>0</v>
      </c>
      <c r="D35" s="626"/>
      <c r="E35" s="626">
        <f>SUMIFS(cashflow汇总预算2026!$K:$K,cashflow汇总预算2026!$D:$D,E$4,cashflow汇总预算2026!$W:$W,$A35)</f>
        <v>0</v>
      </c>
      <c r="F35" s="626">
        <f>SUMIFS(cashflow汇总预算2026!$K:$K,cashflow汇总预算2026!$D:$D,F$4,cashflow汇总预算2026!$W:$W,$A35)</f>
        <v>0</v>
      </c>
      <c r="G35" s="626">
        <f>SUMIFS(cashflow汇总预算2026!$K:$K,cashflow汇总预算2026!$D:$D,G$4,cashflow汇总预算2026!$W:$W,$A35)</f>
        <v>0</v>
      </c>
      <c r="H35" s="626">
        <f>SUMIFS(cashflow汇总预算2026!$K:$K,cashflow汇总预算2026!$D:$D,H$4,cashflow汇总预算2026!$W:$W,$A35)</f>
        <v>0</v>
      </c>
      <c r="I35" s="626">
        <f>SUMIFS(cashflow汇总预算2026!$K:$K,cashflow汇总预算2026!$D:$D,I$4,cashflow汇总预算2026!$W:$W,$A35)</f>
        <v>0</v>
      </c>
      <c r="J35" s="626">
        <f>SUMIFS(cashflow汇总预算2026!$K:$K,cashflow汇总预算2026!$D:$D,J$4,cashflow汇总预算2026!$W:$W,$A35)</f>
        <v>0</v>
      </c>
      <c r="K35" s="626">
        <f>SUMIFS(cashflow汇总预算2026!$K:$K,cashflow汇总预算2026!$D:$D,K$4,cashflow汇总预算2026!$W:$W,$A35)</f>
        <v>0</v>
      </c>
      <c r="L35" s="626">
        <f>SUMIFS(cashflow汇总预算2026!$K:$K,cashflow汇总预算2026!$D:$D,L$4,cashflow汇总预算2026!$W:$W,$A35)</f>
        <v>0</v>
      </c>
      <c r="M35" s="626">
        <f>SUMIFS(cashflow汇总预算2026!$K:$K,cashflow汇总预算2026!$D:$D,M$4,cashflow汇总预算2026!$W:$W,$A35)</f>
        <v>0</v>
      </c>
      <c r="N35" s="626">
        <f>SUMIFS(cashflow汇总预算2026!$K:$K,cashflow汇总预算2026!$D:$D,N$4,cashflow汇总预算2026!$W:$W,$A35)</f>
        <v>0</v>
      </c>
      <c r="O35" s="626">
        <f>SUMIFS(cashflow汇总预算2026!$K:$K,cashflow汇总预算2026!$D:$D,O$4,cashflow汇总预算2026!$W:$W,$A35)</f>
        <v>0</v>
      </c>
      <c r="P35" s="626">
        <f>SUMIFS(cashflow汇总预算2026!$K:$K,cashflow汇总预算2026!$D:$D,P$4,cashflow汇总预算2026!$W:$W,$A35)</f>
        <v>0</v>
      </c>
      <c r="Q35" s="626">
        <f>SUM(E35:P35)</f>
        <v>0</v>
      </c>
      <c r="R35" s="626"/>
      <c r="S35" s="626">
        <f>SUMIFS(cashflow汇总预算2026!$K:$K,cashflow汇总预算2026!$D:$D,S$4,cashflow汇总预算2026!$W:$W,$A35)</f>
        <v>0</v>
      </c>
      <c r="T35" s="626">
        <f>SUMIFS(cashflow汇总预算2026!$K:$K,cashflow汇总预算2026!$D:$D,T$4,cashflow汇总预算2026!$W:$W,$A35)</f>
        <v>0</v>
      </c>
      <c r="U35" s="626">
        <f>SUMIFS(cashflow汇总预算2026!$K:$K,cashflow汇总预算2026!$D:$D,U$4,cashflow汇总预算2026!$W:$W,$A35)</f>
        <v>0</v>
      </c>
      <c r="V35" s="626">
        <f>SUMIFS(cashflow汇总预算2026!$K:$K,cashflow汇总预算2026!$D:$D,V$4,cashflow汇总预算2026!$W:$W,$A35)</f>
        <v>0</v>
      </c>
      <c r="W35" s="626">
        <f>SUMIFS(cashflow汇总预算2026!$K:$K,cashflow汇总预算2026!$D:$D,W$4,cashflow汇总预算2026!$W:$W,$A35)</f>
        <v>0</v>
      </c>
      <c r="X35" s="626">
        <f>SUMIFS(cashflow汇总预算2026!$K:$K,cashflow汇总预算2026!$D:$D,X$4,cashflow汇总预算2026!$W:$W,$A35)</f>
        <v>0</v>
      </c>
      <c r="Y35" s="626">
        <f>SUMIFS(cashflow汇总预算2026!$K:$K,cashflow汇总预算2026!$D:$D,Y$4,cashflow汇总预算2026!$W:$W,$A35)</f>
        <v>0</v>
      </c>
      <c r="Z35" s="626">
        <f>SUMIFS(cashflow汇总预算2026!$K:$K,cashflow汇总预算2026!$D:$D,Z$4,cashflow汇总预算2026!$W:$W,$A35)</f>
        <v>0</v>
      </c>
      <c r="AA35" s="626">
        <f>SUMIFS(cashflow汇总预算2026!$K:$K,cashflow汇总预算2026!$D:$D,AA$4,cashflow汇总预算2026!$W:$W,$A35)</f>
        <v>0</v>
      </c>
      <c r="AB35" s="626">
        <f>SUMIFS(cashflow汇总预算2026!$K:$K,cashflow汇总预算2026!$D:$D,AB$4,cashflow汇总预算2026!$W:$W,$A35)</f>
        <v>0</v>
      </c>
      <c r="AC35" s="626">
        <f>SUMIFS(cashflow汇总预算2026!$K:$K,cashflow汇总预算2026!$D:$D,AC$4,cashflow汇总预算2026!$W:$W,$A35)</f>
        <v>0</v>
      </c>
      <c r="AD35" s="626">
        <f>SUMIFS(cashflow汇总预算2026!$K:$K,cashflow汇总预算2026!$D:$D,AD$4,cashflow汇总预算2026!$W:$W,$A35)</f>
        <v>0</v>
      </c>
      <c r="AE35" s="626">
        <f>SUM(S35:AD35)</f>
        <v>0</v>
      </c>
    </row>
    <row r="36" spans="1:31" ht="16.5" customHeight="1">
      <c r="A36" s="629" t="s">
        <v>2581</v>
      </c>
      <c r="B36" s="626">
        <f t="shared" si="18"/>
        <v>0</v>
      </c>
      <c r="C36" s="626">
        <f t="shared" ca="1" si="19"/>
        <v>0</v>
      </c>
      <c r="D36" s="626"/>
      <c r="E36" s="626">
        <f>SUMIFS(cashflow汇总预算2026!$K:$K,cashflow汇总预算2026!$D:$D,E$4,cashflow汇总预算2026!$W:$W,$A36)</f>
        <v>0</v>
      </c>
      <c r="F36" s="626">
        <f>SUMIFS(cashflow汇总预算2026!$K:$K,cashflow汇总预算2026!$D:$D,F$4,cashflow汇总预算2026!$W:$W,$A36)</f>
        <v>0</v>
      </c>
      <c r="G36" s="626">
        <f>SUMIFS(cashflow汇总预算2026!$K:$K,cashflow汇总预算2026!$D:$D,G$4,cashflow汇总预算2026!$W:$W,$A36)</f>
        <v>0</v>
      </c>
      <c r="H36" s="626">
        <f>SUMIFS(cashflow汇总预算2026!$K:$K,cashflow汇总预算2026!$D:$D,H$4,cashflow汇总预算2026!$W:$W,$A36)</f>
        <v>0</v>
      </c>
      <c r="I36" s="626">
        <f>SUMIFS(cashflow汇总预算2026!$K:$K,cashflow汇总预算2026!$D:$D,I$4,cashflow汇总预算2026!$W:$W,$A36)</f>
        <v>0</v>
      </c>
      <c r="J36" s="626">
        <f>SUMIFS(cashflow汇总预算2026!$K:$K,cashflow汇总预算2026!$D:$D,J$4,cashflow汇总预算2026!$W:$W,$A36)</f>
        <v>0</v>
      </c>
      <c r="K36" s="626">
        <f>SUMIFS(cashflow汇总预算2026!$K:$K,cashflow汇总预算2026!$D:$D,K$4,cashflow汇总预算2026!$W:$W,$A36)</f>
        <v>0</v>
      </c>
      <c r="L36" s="626">
        <f>SUMIFS(cashflow汇总预算2026!$K:$K,cashflow汇总预算2026!$D:$D,L$4,cashflow汇总预算2026!$W:$W,$A36)</f>
        <v>0</v>
      </c>
      <c r="M36" s="626">
        <f>SUMIFS(cashflow汇总预算2026!$K:$K,cashflow汇总预算2026!$D:$D,M$4,cashflow汇总预算2026!$W:$W,$A36)</f>
        <v>0</v>
      </c>
      <c r="N36" s="626">
        <f>SUMIFS(cashflow汇总预算2026!$K:$K,cashflow汇总预算2026!$D:$D,N$4,cashflow汇总预算2026!$W:$W,$A36)</f>
        <v>0</v>
      </c>
      <c r="O36" s="626">
        <f>SUMIFS(cashflow汇总预算2026!$K:$K,cashflow汇总预算2026!$D:$D,O$4,cashflow汇总预算2026!$W:$W,$A36)</f>
        <v>0</v>
      </c>
      <c r="P36" s="626">
        <f>SUMIFS(cashflow汇总预算2026!$K:$K,cashflow汇总预算2026!$D:$D,P$4,cashflow汇总预算2026!$W:$W,$A36)</f>
        <v>0</v>
      </c>
      <c r="Q36" s="626">
        <f>SUM(E36:P36)</f>
        <v>0</v>
      </c>
      <c r="R36" s="626"/>
      <c r="S36" s="626">
        <f>SUMIFS(cashflow汇总预算2026!$K:$K,cashflow汇总预算2026!$D:$D,S$4,cashflow汇总预算2026!$W:$W,$A36)</f>
        <v>0</v>
      </c>
      <c r="T36" s="626">
        <f>SUMIFS(cashflow汇总预算2026!$K:$K,cashflow汇总预算2026!$D:$D,T$4,cashflow汇总预算2026!$W:$W,$A36)</f>
        <v>0</v>
      </c>
      <c r="U36" s="626">
        <f>SUMIFS(cashflow汇总预算2026!$K:$K,cashflow汇总预算2026!$D:$D,U$4,cashflow汇总预算2026!$W:$W,$A36)</f>
        <v>0</v>
      </c>
      <c r="V36" s="626">
        <f>SUMIFS(cashflow汇总预算2026!$K:$K,cashflow汇总预算2026!$D:$D,V$4,cashflow汇总预算2026!$W:$W,$A36)</f>
        <v>0</v>
      </c>
      <c r="W36" s="626">
        <f>SUMIFS(cashflow汇总预算2026!$K:$K,cashflow汇总预算2026!$D:$D,W$4,cashflow汇总预算2026!$W:$W,$A36)</f>
        <v>0</v>
      </c>
      <c r="X36" s="626">
        <f>SUMIFS(cashflow汇总预算2026!$K:$K,cashflow汇总预算2026!$D:$D,X$4,cashflow汇总预算2026!$W:$W,$A36)</f>
        <v>0</v>
      </c>
      <c r="Y36" s="626">
        <f>SUMIFS(cashflow汇总预算2026!$K:$K,cashflow汇总预算2026!$D:$D,Y$4,cashflow汇总预算2026!$W:$W,$A36)</f>
        <v>0</v>
      </c>
      <c r="Z36" s="626">
        <f>SUMIFS(cashflow汇总预算2026!$K:$K,cashflow汇总预算2026!$D:$D,Z$4,cashflow汇总预算2026!$W:$W,$A36)</f>
        <v>0</v>
      </c>
      <c r="AA36" s="626">
        <f>SUMIFS(cashflow汇总预算2026!$K:$K,cashflow汇总预算2026!$D:$D,AA$4,cashflow汇总预算2026!$W:$W,$A36)</f>
        <v>0</v>
      </c>
      <c r="AB36" s="626">
        <f>SUMIFS(cashflow汇总预算2026!$K:$K,cashflow汇总预算2026!$D:$D,AB$4,cashflow汇总预算2026!$W:$W,$A36)</f>
        <v>0</v>
      </c>
      <c r="AC36" s="626">
        <f>SUMIFS(cashflow汇总预算2026!$K:$K,cashflow汇总预算2026!$D:$D,AC$4,cashflow汇总预算2026!$W:$W,$A36)</f>
        <v>0</v>
      </c>
      <c r="AD36" s="626">
        <f>SUMIFS(cashflow汇总预算2026!$K:$K,cashflow汇总预算2026!$D:$D,AD$4,cashflow汇总预算2026!$W:$W,$A36)</f>
        <v>0</v>
      </c>
      <c r="AE36" s="626">
        <f>SUM(S36:AD36)</f>
        <v>0</v>
      </c>
    </row>
    <row r="37" spans="1:31" s="604" customFormat="1" ht="16.5" customHeight="1">
      <c r="A37" s="631" t="s">
        <v>2582</v>
      </c>
      <c r="B37" s="632">
        <f t="shared" si="18"/>
        <v>-408058.30833333335</v>
      </c>
      <c r="C37" s="632">
        <f t="shared" ca="1" si="19"/>
        <v>-408058.30833333335</v>
      </c>
      <c r="D37" s="632"/>
      <c r="E37" s="632">
        <f t="shared" ref="E37:Q37" si="20">SUM(E38:E41)</f>
        <v>-408058.30833333335</v>
      </c>
      <c r="F37" s="632">
        <f t="shared" si="20"/>
        <v>-8038.833333333333</v>
      </c>
      <c r="G37" s="632">
        <f t="shared" si="20"/>
        <v>-12203446.99659864</v>
      </c>
      <c r="H37" s="632">
        <f t="shared" si="20"/>
        <v>-1283549.0374149659</v>
      </c>
      <c r="I37" s="632">
        <f t="shared" si="20"/>
        <v>-5008038.833333333</v>
      </c>
      <c r="J37" s="632">
        <f t="shared" si="20"/>
        <v>-8038.833333333333</v>
      </c>
      <c r="K37" s="632">
        <f t="shared" si="20"/>
        <v>-8038.833333333333</v>
      </c>
      <c r="L37" s="632">
        <f t="shared" si="20"/>
        <v>-8038.833333333333</v>
      </c>
      <c r="M37" s="632">
        <f t="shared" si="20"/>
        <v>-8038.833333333333</v>
      </c>
      <c r="N37" s="632">
        <f t="shared" si="20"/>
        <v>-8038.833333333333</v>
      </c>
      <c r="O37" s="632">
        <f t="shared" si="20"/>
        <v>-8038.833333333333</v>
      </c>
      <c r="P37" s="632">
        <f t="shared" si="20"/>
        <v>-8796134.4487362672</v>
      </c>
      <c r="Q37" s="632">
        <f t="shared" si="20"/>
        <v>-27755499.457749873</v>
      </c>
      <c r="R37" s="623"/>
      <c r="S37" s="632">
        <f t="shared" ref="S37:AD37" si="21">SUM(S38:S41)</f>
        <v>0</v>
      </c>
      <c r="T37" s="632">
        <f t="shared" si="21"/>
        <v>0</v>
      </c>
      <c r="U37" s="632">
        <f t="shared" si="21"/>
        <v>0</v>
      </c>
      <c r="V37" s="632">
        <f t="shared" si="21"/>
        <v>0</v>
      </c>
      <c r="W37" s="632">
        <f t="shared" si="21"/>
        <v>0</v>
      </c>
      <c r="X37" s="632">
        <f t="shared" si="21"/>
        <v>0</v>
      </c>
      <c r="Y37" s="632">
        <f t="shared" si="21"/>
        <v>0</v>
      </c>
      <c r="Z37" s="632">
        <f t="shared" si="21"/>
        <v>0</v>
      </c>
      <c r="AA37" s="632">
        <f t="shared" si="21"/>
        <v>0</v>
      </c>
      <c r="AB37" s="632">
        <f t="shared" si="21"/>
        <v>0</v>
      </c>
      <c r="AC37" s="632">
        <f t="shared" si="21"/>
        <v>0</v>
      </c>
      <c r="AD37" s="632">
        <f t="shared" si="21"/>
        <v>0</v>
      </c>
      <c r="AE37" s="632">
        <f t="shared" ref="AE37" si="22">SUM(AE38:AE41)</f>
        <v>0</v>
      </c>
    </row>
    <row r="38" spans="1:31" ht="16.5" customHeight="1">
      <c r="A38" s="629" t="s">
        <v>2583</v>
      </c>
      <c r="B38" s="626">
        <f t="shared" si="18"/>
        <v>-8058.3083333333325</v>
      </c>
      <c r="C38" s="626">
        <f t="shared" ca="1" si="19"/>
        <v>-8058.3083333333325</v>
      </c>
      <c r="D38" s="626"/>
      <c r="E38" s="626">
        <f>SUMIF('CF-ACPL'!$A:$A,$A38,'CF-ACPL'!E:E)+SUMIF('CF-ACPLHK'!$A:$A,$A38,'CF-ACPLHK'!E:E)+SUMIF('CF-ACPLSZ'!$A:$A,$A38,'CF-ACPLSZ'!E:E)+SUMIF('CF-ACPSZL'!$A:$A,$A38,'CF-ACPSZL'!E:E)+SUMIF('CF-ACPLGZ'!$A:$A,$A38,'CF-ACPLGZ'!E:E)+SUMIF('CF-ACPLYixing'!$A:$A,$A38,'CF-ACPLYixing'!E:E)</f>
        <v>-8058.3083333333325</v>
      </c>
      <c r="F38" s="626">
        <f>SUMIF('CF-ACPL'!$A:$A,$A38,'CF-ACPL'!F:F)+SUMIF('CF-ACPLHK'!$A:$A,$A38,'CF-ACPLHK'!F:F)+SUMIF('CF-ACPLSZ'!$A:$A,$A38,'CF-ACPLSZ'!F:F)+SUMIF('CF-ACPSZL'!$A:$A,$A38,'CF-ACPSZL'!F:F)+SUMIF('CF-ACPLGZ'!$A:$A,$A38,'CF-ACPLGZ'!F:F)+SUMIF('CF-ACPLYixing'!$A:$A,$A38,'CF-ACPLYixing'!F:F)</f>
        <v>-8038.833333333333</v>
      </c>
      <c r="G38" s="626">
        <f>SUMIF('CF-ACPL'!$A:$A,$A38,'CF-ACPL'!G:G)+SUMIF('CF-ACPLHK'!$A:$A,$A38,'CF-ACPLHK'!G:G)+SUMIF('CF-ACPLSZ'!$A:$A,$A38,'CF-ACPLSZ'!G:G)+SUMIF('CF-ACPSZL'!$A:$A,$A38,'CF-ACPSZL'!G:G)+SUMIF('CF-ACPLGZ'!$A:$A,$A38,'CF-ACPLGZ'!G:G)+SUMIF('CF-ACPLYixing'!$A:$A,$A38,'CF-ACPLYixing'!G:G)</f>
        <v>-8038.833333333333</v>
      </c>
      <c r="H38" s="626">
        <f>SUMIF('CF-ACPL'!$A:$A,$A38,'CF-ACPL'!H:H)+SUMIF('CF-ACPLHK'!$A:$A,$A38,'CF-ACPLHK'!H:H)+SUMIF('CF-ACPLSZ'!$A:$A,$A38,'CF-ACPLSZ'!H:H)+SUMIF('CF-ACPSZL'!$A:$A,$A38,'CF-ACPSZL'!H:H)+SUMIF('CF-ACPLGZ'!$A:$A,$A38,'CF-ACPLGZ'!H:H)+SUMIF('CF-ACPLYixing'!$A:$A,$A38,'CF-ACPLYixing'!H:H)</f>
        <v>-8038.833333333333</v>
      </c>
      <c r="I38" s="626">
        <f>SUMIF('CF-ACPL'!$A:$A,$A38,'CF-ACPL'!I:I)+SUMIF('CF-ACPLHK'!$A:$A,$A38,'CF-ACPLHK'!I:I)+SUMIF('CF-ACPLSZ'!$A:$A,$A38,'CF-ACPLSZ'!I:I)+SUMIF('CF-ACPSZL'!$A:$A,$A38,'CF-ACPSZL'!I:I)+SUMIF('CF-ACPLGZ'!$A:$A,$A38,'CF-ACPLGZ'!I:I)+SUMIF('CF-ACPLYixing'!$A:$A,$A38,'CF-ACPLYixing'!I:I)</f>
        <v>-8038.833333333333</v>
      </c>
      <c r="J38" s="626">
        <f>SUMIF('CF-ACPL'!$A:$A,$A38,'CF-ACPL'!J:J)+SUMIF('CF-ACPLHK'!$A:$A,$A38,'CF-ACPLHK'!J:J)+SUMIF('CF-ACPLSZ'!$A:$A,$A38,'CF-ACPLSZ'!J:J)+SUMIF('CF-ACPSZL'!$A:$A,$A38,'CF-ACPSZL'!J:J)+SUMIF('CF-ACPLGZ'!$A:$A,$A38,'CF-ACPLGZ'!J:J)+SUMIF('CF-ACPLYixing'!$A:$A,$A38,'CF-ACPLYixing'!J:J)</f>
        <v>-8038.833333333333</v>
      </c>
      <c r="K38" s="626">
        <f>SUMIF('CF-ACPL'!$A:$A,$A38,'CF-ACPL'!K:K)+SUMIF('CF-ACPLHK'!$A:$A,$A38,'CF-ACPLHK'!K:K)+SUMIF('CF-ACPLSZ'!$A:$A,$A38,'CF-ACPLSZ'!K:K)+SUMIF('CF-ACPSZL'!$A:$A,$A38,'CF-ACPSZL'!K:K)+SUMIF('CF-ACPLGZ'!$A:$A,$A38,'CF-ACPLGZ'!K:K)+SUMIF('CF-ACPLYixing'!$A:$A,$A38,'CF-ACPLYixing'!K:K)</f>
        <v>-8038.833333333333</v>
      </c>
      <c r="L38" s="626">
        <f>SUMIF('CF-ACPL'!$A:$A,$A38,'CF-ACPL'!L:L)+SUMIF('CF-ACPLHK'!$A:$A,$A38,'CF-ACPLHK'!L:L)+SUMIF('CF-ACPLSZ'!$A:$A,$A38,'CF-ACPLSZ'!L:L)+SUMIF('CF-ACPSZL'!$A:$A,$A38,'CF-ACPSZL'!L:L)+SUMIF('CF-ACPLGZ'!$A:$A,$A38,'CF-ACPLGZ'!L:L)+SUMIF('CF-ACPLYixing'!$A:$A,$A38,'CF-ACPLYixing'!L:L)</f>
        <v>-8038.833333333333</v>
      </c>
      <c r="M38" s="626">
        <f>SUMIF('CF-ACPL'!$A:$A,$A38,'CF-ACPL'!M:M)+SUMIF('CF-ACPLHK'!$A:$A,$A38,'CF-ACPLHK'!M:M)+SUMIF('CF-ACPLSZ'!$A:$A,$A38,'CF-ACPLSZ'!M:M)+SUMIF('CF-ACPSZL'!$A:$A,$A38,'CF-ACPSZL'!M:M)+SUMIF('CF-ACPLGZ'!$A:$A,$A38,'CF-ACPLGZ'!M:M)+SUMIF('CF-ACPLYixing'!$A:$A,$A38,'CF-ACPLYixing'!M:M)</f>
        <v>-8038.833333333333</v>
      </c>
      <c r="N38" s="626">
        <f>SUMIF('CF-ACPL'!$A:$A,$A38,'CF-ACPL'!N:N)+SUMIF('CF-ACPLHK'!$A:$A,$A38,'CF-ACPLHK'!N:N)+SUMIF('CF-ACPLSZ'!$A:$A,$A38,'CF-ACPLSZ'!N:N)+SUMIF('CF-ACPSZL'!$A:$A,$A38,'CF-ACPSZL'!N:N)+SUMIF('CF-ACPLGZ'!$A:$A,$A38,'CF-ACPLGZ'!N:N)+SUMIF('CF-ACPLYixing'!$A:$A,$A38,'CF-ACPLYixing'!N:N)</f>
        <v>-8038.833333333333</v>
      </c>
      <c r="O38" s="626">
        <f>SUMIF('CF-ACPL'!$A:$A,$A38,'CF-ACPL'!O:O)+SUMIF('CF-ACPLHK'!$A:$A,$A38,'CF-ACPLHK'!O:O)+SUMIF('CF-ACPLSZ'!$A:$A,$A38,'CF-ACPLSZ'!O:O)+SUMIF('CF-ACPSZL'!$A:$A,$A38,'CF-ACPSZL'!O:O)+SUMIF('CF-ACPLGZ'!$A:$A,$A38,'CF-ACPLGZ'!O:O)+SUMIF('CF-ACPLYixing'!$A:$A,$A38,'CF-ACPLYixing'!O:O)</f>
        <v>-8038.833333333333</v>
      </c>
      <c r="P38" s="626">
        <f>SUMIF('CF-ACPL'!$A:$A,$A38,'CF-ACPL'!P:P)+SUMIF('CF-ACPLHK'!$A:$A,$A38,'CF-ACPLHK'!P:P)+SUMIF('CF-ACPLSZ'!$A:$A,$A38,'CF-ACPLSZ'!P:P)+SUMIF('CF-ACPSZL'!$A:$A,$A38,'CF-ACPSZL'!P:P)+SUMIF('CF-ACPLGZ'!$A:$A,$A38,'CF-ACPLGZ'!P:P)+SUMIF('CF-ACPLYixing'!$A:$A,$A38,'CF-ACPLYixing'!P:P)</f>
        <v>-8038.833333333333</v>
      </c>
      <c r="Q38" s="626">
        <f>SUM(E38:P38)</f>
        <v>-96485.474999999991</v>
      </c>
      <c r="R38" s="626"/>
      <c r="S38" s="626">
        <f>SUMIF('CF-ACPL'!$A:$A,$A38,'CF-ACPL'!S:S)+SUMIF('CF-ACPLHK'!$A:$A,$A38,'CF-ACPLHK'!S:S)+SUMIF('CF-ACPLSZ'!$A:$A,$A38,'CF-ACPLSZ'!S:S)+SUMIF('CF-ACPSZL'!$A:$A,$A38,'CF-ACPSZL'!S:S)+SUMIF('CF-ACPLGZ'!$A:$A,$A38,'CF-ACPLGZ'!S:S)+SUMIF('CF-ACPLYixing'!$A:$A,$A38,'CF-ACPLYixing'!S:S)</f>
        <v>0</v>
      </c>
      <c r="T38" s="626">
        <f>SUMIF('CF-ACPL'!$A:$A,$A38,'CF-ACPL'!T:T)+SUMIF('CF-ACPLHK'!$A:$A,$A38,'CF-ACPLHK'!T:T)+SUMIF('CF-ACPLSZ'!$A:$A,$A38,'CF-ACPLSZ'!T:T)+SUMIF('CF-ACPSZL'!$A:$A,$A38,'CF-ACPSZL'!T:T)+SUMIF('CF-ACPLGZ'!$A:$A,$A38,'CF-ACPLGZ'!T:T)+SUMIF('CF-ACPLYixing'!$A:$A,$A38,'CF-ACPLYixing'!T:T)</f>
        <v>0</v>
      </c>
      <c r="U38" s="626">
        <f>SUMIF('CF-ACPL'!$A:$A,$A38,'CF-ACPL'!U:U)+SUMIF('CF-ACPLHK'!$A:$A,$A38,'CF-ACPLHK'!U:U)+SUMIF('CF-ACPLSZ'!$A:$A,$A38,'CF-ACPLSZ'!U:U)+SUMIF('CF-ACPSZL'!$A:$A,$A38,'CF-ACPSZL'!U:U)+SUMIF('CF-ACPLGZ'!$A:$A,$A38,'CF-ACPLGZ'!U:U)+SUMIF('CF-ACPLYixing'!$A:$A,$A38,'CF-ACPLYixing'!U:U)</f>
        <v>0</v>
      </c>
      <c r="V38" s="626">
        <f>SUMIF('CF-ACPL'!$A:$A,$A38,'CF-ACPL'!V:V)+SUMIF('CF-ACPLHK'!$A:$A,$A38,'CF-ACPLHK'!V:V)+SUMIF('CF-ACPLSZ'!$A:$A,$A38,'CF-ACPLSZ'!V:V)+SUMIF('CF-ACPSZL'!$A:$A,$A38,'CF-ACPSZL'!V:V)+SUMIF('CF-ACPLGZ'!$A:$A,$A38,'CF-ACPLGZ'!V:V)+SUMIF('CF-ACPLYixing'!$A:$A,$A38,'CF-ACPLYixing'!V:V)</f>
        <v>0</v>
      </c>
      <c r="W38" s="626">
        <f>SUMIF('CF-ACPL'!$A:$A,$A38,'CF-ACPL'!W:W)+SUMIF('CF-ACPLHK'!$A:$A,$A38,'CF-ACPLHK'!W:W)+SUMIF('CF-ACPLSZ'!$A:$A,$A38,'CF-ACPLSZ'!W:W)+SUMIF('CF-ACPSZL'!$A:$A,$A38,'CF-ACPSZL'!W:W)+SUMIF('CF-ACPLGZ'!$A:$A,$A38,'CF-ACPLGZ'!W:W)+SUMIF('CF-ACPLYixing'!$A:$A,$A38,'CF-ACPLYixing'!W:W)</f>
        <v>0</v>
      </c>
      <c r="X38" s="626">
        <f>SUMIF('CF-ACPL'!$A:$A,$A38,'CF-ACPL'!X:X)+SUMIF('CF-ACPLHK'!$A:$A,$A38,'CF-ACPLHK'!X:X)+SUMIF('CF-ACPLSZ'!$A:$A,$A38,'CF-ACPLSZ'!X:X)+SUMIF('CF-ACPSZL'!$A:$A,$A38,'CF-ACPSZL'!X:X)+SUMIF('CF-ACPLGZ'!$A:$A,$A38,'CF-ACPLGZ'!X:X)+SUMIF('CF-ACPLYixing'!$A:$A,$A38,'CF-ACPLYixing'!X:X)</f>
        <v>0</v>
      </c>
      <c r="Y38" s="626">
        <f>SUMIF('CF-ACPL'!$A:$A,$A38,'CF-ACPL'!Y:Y)+SUMIF('CF-ACPLHK'!$A:$A,$A38,'CF-ACPLHK'!Y:Y)+SUMIF('CF-ACPLSZ'!$A:$A,$A38,'CF-ACPLSZ'!Y:Y)+SUMIF('CF-ACPSZL'!$A:$A,$A38,'CF-ACPSZL'!Y:Y)+SUMIF('CF-ACPLGZ'!$A:$A,$A38,'CF-ACPLGZ'!Y:Y)+SUMIF('CF-ACPLYixing'!$A:$A,$A38,'CF-ACPLYixing'!Y:Y)</f>
        <v>0</v>
      </c>
      <c r="Z38" s="626">
        <f>SUMIF('CF-ACPL'!$A:$A,$A38,'CF-ACPL'!Z:Z)+SUMIF('CF-ACPLHK'!$A:$A,$A38,'CF-ACPLHK'!Z:Z)+SUMIF('CF-ACPLSZ'!$A:$A,$A38,'CF-ACPLSZ'!Z:Z)+SUMIF('CF-ACPSZL'!$A:$A,$A38,'CF-ACPSZL'!Z:Z)+SUMIF('CF-ACPLGZ'!$A:$A,$A38,'CF-ACPLGZ'!Z:Z)+SUMIF('CF-ACPLYixing'!$A:$A,$A38,'CF-ACPLYixing'!Z:Z)</f>
        <v>0</v>
      </c>
      <c r="AA38" s="626">
        <f>SUMIF('CF-ACPL'!$A:$A,$A38,'CF-ACPL'!AA:AA)+SUMIF('CF-ACPLHK'!$A:$A,$A38,'CF-ACPLHK'!AA:AA)+SUMIF('CF-ACPLSZ'!$A:$A,$A38,'CF-ACPLSZ'!AA:AA)+SUMIF('CF-ACPSZL'!$A:$A,$A38,'CF-ACPSZL'!AA:AA)+SUMIF('CF-ACPLGZ'!$A:$A,$A38,'CF-ACPLGZ'!AA:AA)+SUMIF('CF-ACPLYixing'!$A:$A,$A38,'CF-ACPLYixing'!AA:AA)</f>
        <v>0</v>
      </c>
      <c r="AB38" s="626">
        <f>SUMIF('CF-ACPL'!$A:$A,$A38,'CF-ACPL'!AB:AB)+SUMIF('CF-ACPLHK'!$A:$A,$A38,'CF-ACPLHK'!AB:AB)+SUMIF('CF-ACPLSZ'!$A:$A,$A38,'CF-ACPLSZ'!AB:AB)+SUMIF('CF-ACPSZL'!$A:$A,$A38,'CF-ACPSZL'!AB:AB)+SUMIF('CF-ACPLGZ'!$A:$A,$A38,'CF-ACPLGZ'!AB:AB)+SUMIF('CF-ACPLYixing'!$A:$A,$A38,'CF-ACPLYixing'!AB:AB)</f>
        <v>0</v>
      </c>
      <c r="AC38" s="626">
        <f>SUMIF('CF-ACPL'!$A:$A,$A38,'CF-ACPL'!AC:AC)+SUMIF('CF-ACPLHK'!$A:$A,$A38,'CF-ACPLHK'!AC:AC)+SUMIF('CF-ACPLSZ'!$A:$A,$A38,'CF-ACPLSZ'!AC:AC)+SUMIF('CF-ACPSZL'!$A:$A,$A38,'CF-ACPSZL'!AC:AC)+SUMIF('CF-ACPLGZ'!$A:$A,$A38,'CF-ACPLGZ'!AC:AC)+SUMIF('CF-ACPLYixing'!$A:$A,$A38,'CF-ACPLYixing'!AC:AC)</f>
        <v>0</v>
      </c>
      <c r="AD38" s="626">
        <f>SUMIF('CF-ACPL'!$A:$A,$A38,'CF-ACPL'!AD:AD)+SUMIF('CF-ACPLHK'!$A:$A,$A38,'CF-ACPLHK'!AD:AD)+SUMIF('CF-ACPLSZ'!$A:$A,$A38,'CF-ACPLSZ'!AD:AD)+SUMIF('CF-ACPSZL'!$A:$A,$A38,'CF-ACPSZL'!AD:AD)+SUMIF('CF-ACPLGZ'!$A:$A,$A38,'CF-ACPLGZ'!AD:AD)+SUMIF('CF-ACPLYixing'!$A:$A,$A38,'CF-ACPLYixing'!AD:AD)</f>
        <v>0</v>
      </c>
      <c r="AE38" s="626">
        <f>SUM(S38:AD38)</f>
        <v>0</v>
      </c>
    </row>
    <row r="39" spans="1:31" ht="16.5" customHeight="1">
      <c r="A39" s="629" t="s">
        <v>2144</v>
      </c>
      <c r="B39" s="626">
        <f t="shared" si="18"/>
        <v>-400000</v>
      </c>
      <c r="C39" s="626">
        <f t="shared" ca="1" si="19"/>
        <v>-400000</v>
      </c>
      <c r="D39" s="626"/>
      <c r="E39" s="626">
        <f>SUMIFS(cashflow汇总预算2026!$K:$K,cashflow汇总预算2026!$D:$D,E$4,cashflow汇总预算2026!$W:$W,$A39)</f>
        <v>-400000</v>
      </c>
      <c r="F39" s="626">
        <f>SUMIFS(cashflow汇总预算2026!$K:$K,cashflow汇总预算2026!$D:$D,F$4,cashflow汇总预算2026!$W:$W,$A39)</f>
        <v>0</v>
      </c>
      <c r="G39" s="626">
        <f>SUMIFS(cashflow汇总预算2026!$K:$K,cashflow汇总预算2026!$D:$D,G$4,cashflow汇总预算2026!$W:$W,$A39)</f>
        <v>-12195408.163265307</v>
      </c>
      <c r="H39" s="626">
        <f>SUMIFS(cashflow汇总预算2026!$K:$K,cashflow汇总预算2026!$D:$D,H$4,cashflow汇总预算2026!$W:$W,$A39)</f>
        <v>-1275510.2040816327</v>
      </c>
      <c r="I39" s="626">
        <f>SUMIFS(cashflow汇总预算2026!$K:$K,cashflow汇总预算2026!$D:$D,I$4,cashflow汇总预算2026!$W:$W,$A39)</f>
        <v>-5000000</v>
      </c>
      <c r="J39" s="626">
        <f>SUMIFS(cashflow汇总预算2026!$K:$K,cashflow汇总预算2026!$D:$D,J$4,cashflow汇总预算2026!$W:$W,$A39)</f>
        <v>0</v>
      </c>
      <c r="K39" s="626">
        <f>SUMIFS(cashflow汇总预算2026!$K:$K,cashflow汇总预算2026!$D:$D,K$4,cashflow汇总预算2026!$W:$W,$A39)</f>
        <v>0</v>
      </c>
      <c r="L39" s="626">
        <f>SUMIFS(cashflow汇总预算2026!$K:$K,cashflow汇总预算2026!$D:$D,L$4,cashflow汇总预算2026!$W:$W,$A39)</f>
        <v>0</v>
      </c>
      <c r="M39" s="626">
        <f>SUMIFS(cashflow汇总预算2026!$K:$K,cashflow汇总预算2026!$D:$D,M$4,cashflow汇总预算2026!$W:$W,$A39)</f>
        <v>0</v>
      </c>
      <c r="N39" s="626">
        <f>SUMIFS(cashflow汇总预算2026!$K:$K,cashflow汇总预算2026!$D:$D,N$4,cashflow汇总预算2026!$W:$W,$A39)</f>
        <v>0</v>
      </c>
      <c r="O39" s="626">
        <f>SUMIFS(cashflow汇总预算2026!$K:$K,cashflow汇总预算2026!$D:$D,O$4,cashflow汇总预算2026!$W:$W,$A39)</f>
        <v>0</v>
      </c>
      <c r="P39" s="626">
        <f>SUMIFS(cashflow汇总预算2026!$K:$K,cashflow汇总预算2026!$D:$D,P$4,cashflow汇总预算2026!$W:$W,$A39)</f>
        <v>-8788095.6154029332</v>
      </c>
      <c r="Q39" s="626">
        <f>SUM(E39:P39)</f>
        <v>-27659013.982749872</v>
      </c>
      <c r="R39" s="626"/>
      <c r="S39" s="626">
        <f>SUMIFS(cashflow汇总预算2026!$K:$K,cashflow汇总预算2026!$D:$D,S$4,cashflow汇总预算2026!$W:$W,$A39)</f>
        <v>0</v>
      </c>
      <c r="T39" s="626">
        <f>SUMIFS(cashflow汇总预算2026!$K:$K,cashflow汇总预算2026!$D:$D,T$4,cashflow汇总预算2026!$W:$W,$A39)</f>
        <v>0</v>
      </c>
      <c r="U39" s="626">
        <f>SUMIFS(cashflow汇总预算2026!$K:$K,cashflow汇总预算2026!$D:$D,U$4,cashflow汇总预算2026!$W:$W,$A39)</f>
        <v>0</v>
      </c>
      <c r="V39" s="626">
        <f>SUMIFS(cashflow汇总预算2026!$K:$K,cashflow汇总预算2026!$D:$D,V$4,cashflow汇总预算2026!$W:$W,$A39)</f>
        <v>0</v>
      </c>
      <c r="W39" s="626">
        <f>SUMIFS(cashflow汇总预算2026!$K:$K,cashflow汇总预算2026!$D:$D,W$4,cashflow汇总预算2026!$W:$W,$A39)</f>
        <v>0</v>
      </c>
      <c r="X39" s="626">
        <f>SUMIFS(cashflow汇总预算2026!$K:$K,cashflow汇总预算2026!$D:$D,X$4,cashflow汇总预算2026!$W:$W,$A39)</f>
        <v>0</v>
      </c>
      <c r="Y39" s="626">
        <f>SUMIFS(cashflow汇总预算2026!$K:$K,cashflow汇总预算2026!$D:$D,Y$4,cashflow汇总预算2026!$W:$W,$A39)</f>
        <v>0</v>
      </c>
      <c r="Z39" s="626">
        <f>SUMIFS(cashflow汇总预算2026!$K:$K,cashflow汇总预算2026!$D:$D,Z$4,cashflow汇总预算2026!$W:$W,$A39)</f>
        <v>0</v>
      </c>
      <c r="AA39" s="626">
        <f>SUMIFS(cashflow汇总预算2026!$K:$K,cashflow汇总预算2026!$D:$D,AA$4,cashflow汇总预算2026!$W:$W,$A39)</f>
        <v>0</v>
      </c>
      <c r="AB39" s="626">
        <f>SUMIFS(cashflow汇总预算2026!$K:$K,cashflow汇总预算2026!$D:$D,AB$4,cashflow汇总预算2026!$W:$W,$A39)</f>
        <v>0</v>
      </c>
      <c r="AC39" s="626">
        <f>SUMIFS(cashflow汇总预算2026!$K:$K,cashflow汇总预算2026!$D:$D,AC$4,cashflow汇总预算2026!$W:$W,$A39)</f>
        <v>0</v>
      </c>
      <c r="AD39" s="626">
        <f>SUMIFS(cashflow汇总预算2026!$K:$K,cashflow汇总预算2026!$D:$D,AD$4,cashflow汇总预算2026!$W:$W,$A39)</f>
        <v>0</v>
      </c>
      <c r="AE39" s="626">
        <f>SUM(S39:AD39)</f>
        <v>0</v>
      </c>
    </row>
    <row r="40" spans="1:31" ht="16.5" customHeight="1">
      <c r="A40" s="629" t="s">
        <v>2584</v>
      </c>
      <c r="B40" s="626">
        <f t="shared" ref="B40:B45" si="23">INDEX($E40:$P40,1,MATCH($B$4,$E$4:$P$4))</f>
        <v>0</v>
      </c>
      <c r="C40" s="626">
        <f t="shared" ref="C40:C45" ca="1" si="24">SUM($E40:OFFSET($E40,0,MATCH($C$4,$E$4:$P$4)-1))</f>
        <v>0</v>
      </c>
      <c r="D40" s="626"/>
      <c r="E40" s="626">
        <f>SUMIFS(cashflow汇总预算2026!$K:$K,cashflow汇总预算2026!$D:$D,E$4,cashflow汇总预算2026!$W:$W,$A40)</f>
        <v>0</v>
      </c>
      <c r="F40" s="626">
        <f>SUMIFS(cashflow汇总预算2026!$K:$K,cashflow汇总预算2026!$D:$D,F$4,cashflow汇总预算2026!$W:$W,$A40)</f>
        <v>0</v>
      </c>
      <c r="G40" s="626">
        <f>SUMIFS(cashflow汇总预算2026!$K:$K,cashflow汇总预算2026!$D:$D,G$4,cashflow汇总预算2026!$W:$W,$A40)</f>
        <v>0</v>
      </c>
      <c r="H40" s="626">
        <f>SUMIFS(cashflow汇总预算2026!$K:$K,cashflow汇总预算2026!$D:$D,H$4,cashflow汇总预算2026!$W:$W,$A40)</f>
        <v>0</v>
      </c>
      <c r="I40" s="626">
        <f>SUMIFS(cashflow汇总预算2026!$K:$K,cashflow汇总预算2026!$D:$D,I$4,cashflow汇总预算2026!$W:$W,$A40)</f>
        <v>0</v>
      </c>
      <c r="J40" s="626">
        <f>SUMIFS(cashflow汇总预算2026!$K:$K,cashflow汇总预算2026!$D:$D,J$4,cashflow汇总预算2026!$W:$W,$A40)</f>
        <v>0</v>
      </c>
      <c r="K40" s="626">
        <f>SUMIFS(cashflow汇总预算2026!$K:$K,cashflow汇总预算2026!$D:$D,K$4,cashflow汇总预算2026!$W:$W,$A40)</f>
        <v>0</v>
      </c>
      <c r="L40" s="626">
        <f>SUMIFS(cashflow汇总预算2026!$K:$K,cashflow汇总预算2026!$D:$D,L$4,cashflow汇总预算2026!$W:$W,$A40)</f>
        <v>0</v>
      </c>
      <c r="M40" s="626">
        <f>SUMIFS(cashflow汇总预算2026!$K:$K,cashflow汇总预算2026!$D:$D,M$4,cashflow汇总预算2026!$W:$W,$A40)</f>
        <v>0</v>
      </c>
      <c r="N40" s="626">
        <f>SUMIFS(cashflow汇总预算2026!$K:$K,cashflow汇总预算2026!$D:$D,N$4,cashflow汇总预算2026!$W:$W,$A40)</f>
        <v>0</v>
      </c>
      <c r="O40" s="626">
        <f>SUMIFS(cashflow汇总预算2026!$K:$K,cashflow汇总预算2026!$D:$D,O$4,cashflow汇总预算2026!$W:$W,$A40)</f>
        <v>0</v>
      </c>
      <c r="P40" s="626">
        <f>SUMIFS(cashflow汇总预算2026!$K:$K,cashflow汇总预算2026!$D:$D,P$4,cashflow汇总预算2026!$W:$W,$A40)</f>
        <v>0</v>
      </c>
      <c r="Q40" s="626">
        <f>SUM(E40:P40)</f>
        <v>0</v>
      </c>
      <c r="R40" s="626"/>
      <c r="S40" s="626">
        <f>SUMIFS(cashflow汇总预算2026!$K:$K,cashflow汇总预算2026!$D:$D,S$4,cashflow汇总预算2026!$W:$W,$A40)</f>
        <v>0</v>
      </c>
      <c r="T40" s="626">
        <f>SUMIFS(cashflow汇总预算2026!$K:$K,cashflow汇总预算2026!$D:$D,T$4,cashflow汇总预算2026!$W:$W,$A40)</f>
        <v>0</v>
      </c>
      <c r="U40" s="626">
        <f>SUMIFS(cashflow汇总预算2026!$K:$K,cashflow汇总预算2026!$D:$D,U$4,cashflow汇总预算2026!$W:$W,$A40)</f>
        <v>0</v>
      </c>
      <c r="V40" s="626">
        <f>SUMIFS(cashflow汇总预算2026!$K:$K,cashflow汇总预算2026!$D:$D,V$4,cashflow汇总预算2026!$W:$W,$A40)</f>
        <v>0</v>
      </c>
      <c r="W40" s="626">
        <f>SUMIFS(cashflow汇总预算2026!$K:$K,cashflow汇总预算2026!$D:$D,W$4,cashflow汇总预算2026!$W:$W,$A40)</f>
        <v>0</v>
      </c>
      <c r="X40" s="626">
        <f>SUMIFS(cashflow汇总预算2026!$K:$K,cashflow汇总预算2026!$D:$D,X$4,cashflow汇总预算2026!$W:$W,$A40)</f>
        <v>0</v>
      </c>
      <c r="Y40" s="626">
        <f>SUMIFS(cashflow汇总预算2026!$K:$K,cashflow汇总预算2026!$D:$D,Y$4,cashflow汇总预算2026!$W:$W,$A40)</f>
        <v>0</v>
      </c>
      <c r="Z40" s="626">
        <f>SUMIFS(cashflow汇总预算2026!$K:$K,cashflow汇总预算2026!$D:$D,Z$4,cashflow汇总预算2026!$W:$W,$A40)</f>
        <v>0</v>
      </c>
      <c r="AA40" s="626">
        <f>SUMIFS(cashflow汇总预算2026!$K:$K,cashflow汇总预算2026!$D:$D,AA$4,cashflow汇总预算2026!$W:$W,$A40)</f>
        <v>0</v>
      </c>
      <c r="AB40" s="626">
        <f>SUMIFS(cashflow汇总预算2026!$K:$K,cashflow汇总预算2026!$D:$D,AB$4,cashflow汇总预算2026!$W:$W,$A40)</f>
        <v>0</v>
      </c>
      <c r="AC40" s="626">
        <f>SUMIFS(cashflow汇总预算2026!$K:$K,cashflow汇总预算2026!$D:$D,AC$4,cashflow汇总预算2026!$W:$W,$A40)</f>
        <v>0</v>
      </c>
      <c r="AD40" s="626">
        <f>SUMIFS(cashflow汇总预算2026!$K:$K,cashflow汇总预算2026!$D:$D,AD$4,cashflow汇总预算2026!$W:$W,$A40)</f>
        <v>0</v>
      </c>
      <c r="AE40" s="626">
        <f>SUM(S40:AD40)</f>
        <v>0</v>
      </c>
    </row>
    <row r="41" spans="1:31" ht="16.5" customHeight="1">
      <c r="A41" s="629" t="s">
        <v>2585</v>
      </c>
      <c r="B41" s="626">
        <f t="shared" si="23"/>
        <v>0</v>
      </c>
      <c r="C41" s="626">
        <f t="shared" ca="1" si="24"/>
        <v>0</v>
      </c>
      <c r="D41" s="626"/>
      <c r="E41" s="626">
        <f>SUMIFS(cashflow汇总预算2026!$K:$K,cashflow汇总预算2026!$D:$D,E$4,cashflow汇总预算2026!$W:$W,$A41)</f>
        <v>0</v>
      </c>
      <c r="F41" s="626">
        <f>SUMIFS(cashflow汇总预算2026!$K:$K,cashflow汇总预算2026!$D:$D,F$4,cashflow汇总预算2026!$W:$W,$A41)</f>
        <v>0</v>
      </c>
      <c r="G41" s="626">
        <f>SUMIFS(cashflow汇总预算2026!$K:$K,cashflow汇总预算2026!$D:$D,G$4,cashflow汇总预算2026!$W:$W,$A41)</f>
        <v>0</v>
      </c>
      <c r="H41" s="626">
        <f>SUMIFS(cashflow汇总预算2026!$K:$K,cashflow汇总预算2026!$D:$D,H$4,cashflow汇总预算2026!$W:$W,$A41)</f>
        <v>0</v>
      </c>
      <c r="I41" s="626">
        <f>SUMIFS(cashflow汇总预算2026!$K:$K,cashflow汇总预算2026!$D:$D,I$4,cashflow汇总预算2026!$W:$W,$A41)</f>
        <v>0</v>
      </c>
      <c r="J41" s="626">
        <f>SUMIFS(cashflow汇总预算2026!$K:$K,cashflow汇总预算2026!$D:$D,J$4,cashflow汇总预算2026!$W:$W,$A41)</f>
        <v>0</v>
      </c>
      <c r="K41" s="626">
        <f>SUMIFS(cashflow汇总预算2026!$K:$K,cashflow汇总预算2026!$D:$D,K$4,cashflow汇总预算2026!$W:$W,$A41)</f>
        <v>0</v>
      </c>
      <c r="L41" s="626">
        <f>SUMIFS(cashflow汇总预算2026!$K:$K,cashflow汇总预算2026!$D:$D,L$4,cashflow汇总预算2026!$W:$W,$A41)</f>
        <v>0</v>
      </c>
      <c r="M41" s="626">
        <f>SUMIFS(cashflow汇总预算2026!$K:$K,cashflow汇总预算2026!$D:$D,M$4,cashflow汇总预算2026!$W:$W,$A41)</f>
        <v>0</v>
      </c>
      <c r="N41" s="626">
        <f>SUMIFS(cashflow汇总预算2026!$K:$K,cashflow汇总预算2026!$D:$D,N$4,cashflow汇总预算2026!$W:$W,$A41)</f>
        <v>0</v>
      </c>
      <c r="O41" s="626">
        <f>SUMIFS(cashflow汇总预算2026!$K:$K,cashflow汇总预算2026!$D:$D,O$4,cashflow汇总预算2026!$W:$W,$A41)</f>
        <v>0</v>
      </c>
      <c r="P41" s="626">
        <f>SUMIFS(cashflow汇总预算2026!$K:$K,cashflow汇总预算2026!$D:$D,P$4,cashflow汇总预算2026!$W:$W,$A41)</f>
        <v>0</v>
      </c>
      <c r="Q41" s="626">
        <f>SUM(E41:P41)</f>
        <v>0</v>
      </c>
      <c r="R41" s="626"/>
      <c r="S41" s="626">
        <f>SUMIFS(cashflow汇总预算2026!$K:$K,cashflow汇总预算2026!$D:$D,S$4,cashflow汇总预算2026!$W:$W,$A41)</f>
        <v>0</v>
      </c>
      <c r="T41" s="626">
        <f>SUMIFS(cashflow汇总预算2026!$K:$K,cashflow汇总预算2026!$D:$D,T$4,cashflow汇总预算2026!$W:$W,$A41)</f>
        <v>0</v>
      </c>
      <c r="U41" s="626">
        <f>SUMIFS(cashflow汇总预算2026!$K:$K,cashflow汇总预算2026!$D:$D,U$4,cashflow汇总预算2026!$W:$W,$A41)</f>
        <v>0</v>
      </c>
      <c r="V41" s="626">
        <f>SUMIFS(cashflow汇总预算2026!$K:$K,cashflow汇总预算2026!$D:$D,V$4,cashflow汇总预算2026!$W:$W,$A41)</f>
        <v>0</v>
      </c>
      <c r="W41" s="626">
        <f>SUMIFS(cashflow汇总预算2026!$K:$K,cashflow汇总预算2026!$D:$D,W$4,cashflow汇总预算2026!$W:$W,$A41)</f>
        <v>0</v>
      </c>
      <c r="X41" s="626">
        <f>SUMIFS(cashflow汇总预算2026!$K:$K,cashflow汇总预算2026!$D:$D,X$4,cashflow汇总预算2026!$W:$W,$A41)</f>
        <v>0</v>
      </c>
      <c r="Y41" s="626">
        <f>SUMIFS(cashflow汇总预算2026!$K:$K,cashflow汇总预算2026!$D:$D,Y$4,cashflow汇总预算2026!$W:$W,$A41)</f>
        <v>0</v>
      </c>
      <c r="Z41" s="626">
        <f>SUMIFS(cashflow汇总预算2026!$K:$K,cashflow汇总预算2026!$D:$D,Z$4,cashflow汇总预算2026!$W:$W,$A41)</f>
        <v>0</v>
      </c>
      <c r="AA41" s="626">
        <f>SUMIFS(cashflow汇总预算2026!$K:$K,cashflow汇总预算2026!$D:$D,AA$4,cashflow汇总预算2026!$W:$W,$A41)</f>
        <v>0</v>
      </c>
      <c r="AB41" s="626">
        <f>SUMIFS(cashflow汇总预算2026!$K:$K,cashflow汇总预算2026!$D:$D,AB$4,cashflow汇总预算2026!$W:$W,$A41)</f>
        <v>0</v>
      </c>
      <c r="AC41" s="626">
        <f>SUMIFS(cashflow汇总预算2026!$K:$K,cashflow汇总预算2026!$D:$D,AC$4,cashflow汇总预算2026!$W:$W,$A41)</f>
        <v>0</v>
      </c>
      <c r="AD41" s="626">
        <f>SUMIFS(cashflow汇总预算2026!$K:$K,cashflow汇总预算2026!$D:$D,AD$4,cashflow汇总预算2026!$W:$W,$A41)</f>
        <v>0</v>
      </c>
      <c r="AE41" s="626">
        <f>SUM(S41:AD41)</f>
        <v>0</v>
      </c>
    </row>
    <row r="42" spans="1:31" s="601" customFormat="1" ht="16.5" customHeight="1">
      <c r="A42" s="608" t="s">
        <v>2586</v>
      </c>
      <c r="B42" s="622">
        <f>INDEX($E42:$P42,1,MATCH('[97]Flash Report'!$C$2,$E$4:$P$4))</f>
        <v>-408058.30833333335</v>
      </c>
      <c r="C42" s="622">
        <f ca="1">SUM($E42:OFFSET($E42,0,MATCH('[97]Flash Report'!$C$2,$E$4:$P$4)-1))</f>
        <v>-408058.30833333335</v>
      </c>
      <c r="D42" s="622"/>
      <c r="E42" s="622">
        <f>E31+E37</f>
        <v>-408058.30833333335</v>
      </c>
      <c r="F42" s="622">
        <f t="shared" ref="F42:Q42" si="25">F31+F37</f>
        <v>-8038.833333333333</v>
      </c>
      <c r="G42" s="622">
        <f t="shared" si="25"/>
        <v>-12203446.99659864</v>
      </c>
      <c r="H42" s="622">
        <f t="shared" si="25"/>
        <v>42216450.962585032</v>
      </c>
      <c r="I42" s="622">
        <f t="shared" si="25"/>
        <v>-5008038.833333333</v>
      </c>
      <c r="J42" s="622">
        <f t="shared" si="25"/>
        <v>-8038.833333333333</v>
      </c>
      <c r="K42" s="622">
        <f t="shared" si="25"/>
        <v>-8038.833333333333</v>
      </c>
      <c r="L42" s="622">
        <f t="shared" si="25"/>
        <v>-8038.833333333333</v>
      </c>
      <c r="M42" s="622">
        <f t="shared" si="25"/>
        <v>-8038.833333333333</v>
      </c>
      <c r="N42" s="622">
        <f t="shared" si="25"/>
        <v>-8038.833333333333</v>
      </c>
      <c r="O42" s="622">
        <f t="shared" si="25"/>
        <v>-8038.833333333333</v>
      </c>
      <c r="P42" s="622">
        <f t="shared" si="25"/>
        <v>-8796134.4487362672</v>
      </c>
      <c r="Q42" s="622">
        <f t="shared" si="25"/>
        <v>15744500.542250127</v>
      </c>
      <c r="R42" s="623"/>
      <c r="S42" s="622">
        <f>S31+S37</f>
        <v>0</v>
      </c>
      <c r="T42" s="622">
        <f t="shared" ref="T42:AD42" si="26">T31+T37</f>
        <v>0</v>
      </c>
      <c r="U42" s="622">
        <f t="shared" si="26"/>
        <v>0</v>
      </c>
      <c r="V42" s="622">
        <f t="shared" si="26"/>
        <v>0</v>
      </c>
      <c r="W42" s="622">
        <f t="shared" si="26"/>
        <v>0</v>
      </c>
      <c r="X42" s="622">
        <f t="shared" si="26"/>
        <v>0</v>
      </c>
      <c r="Y42" s="622">
        <f t="shared" si="26"/>
        <v>0</v>
      </c>
      <c r="Z42" s="622">
        <f t="shared" si="26"/>
        <v>0</v>
      </c>
      <c r="AA42" s="622">
        <f t="shared" si="26"/>
        <v>0</v>
      </c>
      <c r="AB42" s="622">
        <f t="shared" si="26"/>
        <v>0</v>
      </c>
      <c r="AC42" s="622">
        <f t="shared" si="26"/>
        <v>0</v>
      </c>
      <c r="AD42" s="622">
        <f t="shared" si="26"/>
        <v>0</v>
      </c>
      <c r="AE42" s="622">
        <f t="shared" ref="AE42" si="27">AE31-AE37</f>
        <v>0</v>
      </c>
    </row>
    <row r="43" spans="1:31" ht="16.5" customHeight="1">
      <c r="A43" s="629"/>
      <c r="B43" s="633"/>
      <c r="C43" s="633"/>
      <c r="D43" s="633"/>
      <c r="E43" s="626"/>
      <c r="F43" s="626"/>
      <c r="G43" s="626"/>
      <c r="H43" s="626"/>
      <c r="I43" s="626"/>
      <c r="J43" s="626"/>
      <c r="K43" s="626"/>
      <c r="L43" s="626"/>
      <c r="M43" s="626"/>
      <c r="N43" s="626"/>
      <c r="O43" s="626"/>
      <c r="P43" s="626"/>
      <c r="Q43" s="626"/>
      <c r="R43" s="626"/>
      <c r="S43" s="626"/>
      <c r="T43" s="626"/>
      <c r="U43" s="626"/>
      <c r="V43" s="626"/>
      <c r="W43" s="626"/>
      <c r="X43" s="626"/>
      <c r="Y43" s="626"/>
      <c r="Z43" s="626"/>
      <c r="AA43" s="626"/>
      <c r="AB43" s="626"/>
      <c r="AC43" s="626"/>
      <c r="AD43" s="626"/>
      <c r="AE43" s="626"/>
    </row>
    <row r="44" spans="1:31" s="603" customFormat="1" ht="16.5" customHeight="1">
      <c r="A44" s="627" t="s">
        <v>2587</v>
      </c>
      <c r="B44" s="628">
        <f>INDEX($E44:$P44,1,MATCH($B$4,$E$4:$P$4))</f>
        <v>19650000</v>
      </c>
      <c r="C44" s="628">
        <f ca="1">SUM($E44:OFFSET($E44,0,MATCH($C$4,$E$4:$P$4)-1))</f>
        <v>19650000</v>
      </c>
      <c r="D44" s="628"/>
      <c r="E44" s="628">
        <f t="shared" ref="E44:Q44" si="28">SUM(E45:E47)</f>
        <v>19650000</v>
      </c>
      <c r="F44" s="628">
        <f t="shared" si="28"/>
        <v>15000000</v>
      </c>
      <c r="G44" s="628">
        <f t="shared" si="28"/>
        <v>0</v>
      </c>
      <c r="H44" s="628">
        <f t="shared" si="28"/>
        <v>0</v>
      </c>
      <c r="I44" s="628">
        <f t="shared" si="28"/>
        <v>0</v>
      </c>
      <c r="J44" s="628">
        <f t="shared" si="28"/>
        <v>0</v>
      </c>
      <c r="K44" s="628">
        <f t="shared" si="28"/>
        <v>0</v>
      </c>
      <c r="L44" s="628">
        <f t="shared" si="28"/>
        <v>20000000</v>
      </c>
      <c r="M44" s="628">
        <f t="shared" si="28"/>
        <v>0</v>
      </c>
      <c r="N44" s="628">
        <f t="shared" si="28"/>
        <v>2000</v>
      </c>
      <c r="O44" s="628">
        <f t="shared" si="28"/>
        <v>0</v>
      </c>
      <c r="P44" s="628">
        <f t="shared" si="28"/>
        <v>0</v>
      </c>
      <c r="Q44" s="628">
        <f t="shared" si="28"/>
        <v>54652000</v>
      </c>
      <c r="R44" s="623"/>
      <c r="S44" s="628">
        <f t="shared" ref="S44:AD44" si="29">SUM(S45:S47)</f>
        <v>0</v>
      </c>
      <c r="T44" s="628">
        <f t="shared" si="29"/>
        <v>0</v>
      </c>
      <c r="U44" s="628">
        <f t="shared" si="29"/>
        <v>0</v>
      </c>
      <c r="V44" s="628">
        <f t="shared" si="29"/>
        <v>0</v>
      </c>
      <c r="W44" s="628">
        <f t="shared" si="29"/>
        <v>0</v>
      </c>
      <c r="X44" s="628">
        <f t="shared" si="29"/>
        <v>0</v>
      </c>
      <c r="Y44" s="628">
        <f t="shared" si="29"/>
        <v>0</v>
      </c>
      <c r="Z44" s="628">
        <f t="shared" si="29"/>
        <v>0</v>
      </c>
      <c r="AA44" s="628">
        <f t="shared" si="29"/>
        <v>0</v>
      </c>
      <c r="AB44" s="628">
        <f t="shared" si="29"/>
        <v>0</v>
      </c>
      <c r="AC44" s="628">
        <f t="shared" si="29"/>
        <v>0</v>
      </c>
      <c r="AD44" s="628">
        <f t="shared" si="29"/>
        <v>0</v>
      </c>
      <c r="AE44" s="628">
        <f t="shared" ref="AE44" si="30">SUM(AE45:AE47)</f>
        <v>0</v>
      </c>
    </row>
    <row r="45" spans="1:31" ht="16.5" customHeight="1">
      <c r="A45" s="629" t="s">
        <v>2147</v>
      </c>
      <c r="B45" s="626">
        <f t="shared" si="23"/>
        <v>0</v>
      </c>
      <c r="C45" s="626">
        <f t="shared" ca="1" si="24"/>
        <v>0</v>
      </c>
      <c r="D45" s="626"/>
      <c r="E45" s="626">
        <f>SUMIFS(cashflow汇总预算2026!$K:$K,cashflow汇总预算2026!$D:$D,E$4,cashflow汇总预算2026!$W:$W,$A45)</f>
        <v>0</v>
      </c>
      <c r="F45" s="626">
        <f>SUMIFS(cashflow汇总预算2026!$K:$K,cashflow汇总预算2026!$D:$D,F$4,cashflow汇总预算2026!$W:$W,$A45)</f>
        <v>0</v>
      </c>
      <c r="G45" s="626">
        <f>SUMIFS(cashflow汇总预算2026!$K:$K,cashflow汇总预算2026!$D:$D,G$4,cashflow汇总预算2026!$W:$W,$A45)</f>
        <v>0</v>
      </c>
      <c r="H45" s="626">
        <f>SUMIFS(cashflow汇总预算2026!$K:$K,cashflow汇总预算2026!$D:$D,H$4,cashflow汇总预算2026!$W:$W,$A45)</f>
        <v>0</v>
      </c>
      <c r="I45" s="626">
        <f>SUMIFS(cashflow汇总预算2026!$K:$K,cashflow汇总预算2026!$D:$D,I$4,cashflow汇总预算2026!$W:$W,$A45)</f>
        <v>0</v>
      </c>
      <c r="J45" s="626">
        <f>SUMIFS(cashflow汇总预算2026!$K:$K,cashflow汇总预算2026!$D:$D,J$4,cashflow汇总预算2026!$W:$W,$A45)</f>
        <v>0</v>
      </c>
      <c r="K45" s="626">
        <f>SUMIFS(cashflow汇总预算2026!$K:$K,cashflow汇总预算2026!$D:$D,K$4,cashflow汇总预算2026!$W:$W,$A45)</f>
        <v>0</v>
      </c>
      <c r="L45" s="626">
        <f>SUMIFS(cashflow汇总预算2026!$K:$K,cashflow汇总预算2026!$D:$D,L$4,cashflow汇总预算2026!$W:$W,$A45)</f>
        <v>20000000</v>
      </c>
      <c r="M45" s="626">
        <f>SUMIFS(cashflow汇总预算2026!$K:$K,cashflow汇总预算2026!$D:$D,M$4,cashflow汇总预算2026!$W:$W,$A45)</f>
        <v>0</v>
      </c>
      <c r="N45" s="626">
        <f>SUMIFS(cashflow汇总预算2026!$K:$K,cashflow汇总预算2026!$D:$D,N$4,cashflow汇总预算2026!$W:$W,$A45)</f>
        <v>2000</v>
      </c>
      <c r="O45" s="626">
        <f>SUMIFS(cashflow汇总预算2026!$K:$K,cashflow汇总预算2026!$D:$D,O$4,cashflow汇总预算2026!$W:$W,$A45)</f>
        <v>0</v>
      </c>
      <c r="P45" s="626">
        <f>SUMIFS(cashflow汇总预算2026!$K:$K,cashflow汇总预算2026!$D:$D,P$4,cashflow汇总预算2026!$W:$W,$A45)</f>
        <v>0</v>
      </c>
      <c r="Q45" s="626">
        <f>SUM(E45:P45)</f>
        <v>20002000</v>
      </c>
      <c r="R45" s="626"/>
      <c r="S45" s="626">
        <f>SUMIFS(cashflow汇总预算2026!$K:$K,cashflow汇总预算2026!$D:$D,S$4,cashflow汇总预算2026!$W:$W,$A45)</f>
        <v>0</v>
      </c>
      <c r="T45" s="626">
        <f>SUMIFS(cashflow汇总预算2026!$K:$K,cashflow汇总预算2026!$D:$D,T$4,cashflow汇总预算2026!$W:$W,$A45)</f>
        <v>0</v>
      </c>
      <c r="U45" s="626">
        <f>SUMIFS(cashflow汇总预算2026!$K:$K,cashflow汇总预算2026!$D:$D,U$4,cashflow汇总预算2026!$W:$W,$A45)</f>
        <v>0</v>
      </c>
      <c r="V45" s="626">
        <f>SUMIFS(cashflow汇总预算2026!$K:$K,cashflow汇总预算2026!$D:$D,V$4,cashflow汇总预算2026!$W:$W,$A45)</f>
        <v>0</v>
      </c>
      <c r="W45" s="626">
        <f>SUMIFS(cashflow汇总预算2026!$K:$K,cashflow汇总预算2026!$D:$D,W$4,cashflow汇总预算2026!$W:$W,$A45)</f>
        <v>0</v>
      </c>
      <c r="X45" s="626">
        <f>SUMIFS(cashflow汇总预算2026!$K:$K,cashflow汇总预算2026!$D:$D,X$4,cashflow汇总预算2026!$W:$W,$A45)</f>
        <v>0</v>
      </c>
      <c r="Y45" s="626">
        <f>SUMIFS(cashflow汇总预算2026!$K:$K,cashflow汇总预算2026!$D:$D,Y$4,cashflow汇总预算2026!$W:$W,$A45)</f>
        <v>0</v>
      </c>
      <c r="Z45" s="626">
        <f>SUMIFS(cashflow汇总预算2026!$K:$K,cashflow汇总预算2026!$D:$D,Z$4,cashflow汇总预算2026!$W:$W,$A45)</f>
        <v>0</v>
      </c>
      <c r="AA45" s="626">
        <f>SUMIFS(cashflow汇总预算2026!$K:$K,cashflow汇总预算2026!$D:$D,AA$4,cashflow汇总预算2026!$W:$W,$A45)</f>
        <v>0</v>
      </c>
      <c r="AB45" s="626">
        <f>SUMIFS(cashflow汇总预算2026!$K:$K,cashflow汇总预算2026!$D:$D,AB$4,cashflow汇总预算2026!$W:$W,$A45)</f>
        <v>0</v>
      </c>
      <c r="AC45" s="626">
        <f>SUMIFS(cashflow汇总预算2026!$K:$K,cashflow汇总预算2026!$D:$D,AC$4,cashflow汇总预算2026!$W:$W,$A45)</f>
        <v>0</v>
      </c>
      <c r="AD45" s="626">
        <f>SUMIFS(cashflow汇总预算2026!$K:$K,cashflow汇总预算2026!$D:$D,AD$4,cashflow汇总预算2026!$W:$W,$A45)</f>
        <v>0</v>
      </c>
      <c r="AE45" s="626">
        <f>SUM(S45:AD45)</f>
        <v>0</v>
      </c>
    </row>
    <row r="46" spans="1:31" ht="16.5" customHeight="1">
      <c r="A46" s="629" t="s">
        <v>2143</v>
      </c>
      <c r="B46" s="626">
        <f t="shared" ref="B46:B49" si="31">INDEX($E46:$P46,1,MATCH($B$4,$E$4:$P$4))</f>
        <v>19650000</v>
      </c>
      <c r="C46" s="626">
        <f t="shared" ref="C46:C49" ca="1" si="32">SUM($E46:OFFSET($E46,0,MATCH($C$4,$E$4:$P$4)-1))</f>
        <v>19650000</v>
      </c>
      <c r="D46" s="626"/>
      <c r="E46" s="626">
        <f>SUMIFS(cashflow汇总预算2026!$K:$K,cashflow汇总预算2026!$D:$D,E$4,cashflow汇总预算2026!$W:$W,$A46)</f>
        <v>19650000</v>
      </c>
      <c r="F46" s="626">
        <f>SUMIFS(cashflow汇总预算2026!$K:$K,cashflow汇总预算2026!$D:$D,F$4,cashflow汇总预算2026!$W:$W,$A46)</f>
        <v>15000000</v>
      </c>
      <c r="G46" s="626">
        <f>SUMIFS(cashflow汇总预算2026!$K:$K,cashflow汇总预算2026!$D:$D,G$4,cashflow汇总预算2026!$W:$W,$A46)</f>
        <v>0</v>
      </c>
      <c r="H46" s="626">
        <f>SUMIFS(cashflow汇总预算2026!$K:$K,cashflow汇总预算2026!$D:$D,H$4,cashflow汇总预算2026!$W:$W,$A46)</f>
        <v>0</v>
      </c>
      <c r="I46" s="626">
        <f>SUMIFS(cashflow汇总预算2026!$K:$K,cashflow汇总预算2026!$D:$D,I$4,cashflow汇总预算2026!$W:$W,$A46)</f>
        <v>0</v>
      </c>
      <c r="J46" s="626">
        <f>SUMIFS(cashflow汇总预算2026!$K:$K,cashflow汇总预算2026!$D:$D,J$4,cashflow汇总预算2026!$W:$W,$A46)</f>
        <v>0</v>
      </c>
      <c r="K46" s="626">
        <f>SUMIFS(cashflow汇总预算2026!$K:$K,cashflow汇总预算2026!$D:$D,K$4,cashflow汇总预算2026!$W:$W,$A46)</f>
        <v>0</v>
      </c>
      <c r="L46" s="626">
        <f>SUMIFS(cashflow汇总预算2026!$K:$K,cashflow汇总预算2026!$D:$D,L$4,cashflow汇总预算2026!$W:$W,$A46)</f>
        <v>0</v>
      </c>
      <c r="M46" s="626">
        <f>SUMIFS(cashflow汇总预算2026!$K:$K,cashflow汇总预算2026!$D:$D,M$4,cashflow汇总预算2026!$W:$W,$A46)</f>
        <v>0</v>
      </c>
      <c r="N46" s="626">
        <f>SUMIFS(cashflow汇总预算2026!$K:$K,cashflow汇总预算2026!$D:$D,N$4,cashflow汇总预算2026!$W:$W,$A46)</f>
        <v>0</v>
      </c>
      <c r="O46" s="626">
        <f>SUMIFS(cashflow汇总预算2026!$K:$K,cashflow汇总预算2026!$D:$D,O$4,cashflow汇总预算2026!$W:$W,$A46)</f>
        <v>0</v>
      </c>
      <c r="P46" s="626">
        <f>SUMIFS(cashflow汇总预算2026!$K:$K,cashflow汇总预算2026!$D:$D,P$4,cashflow汇总预算2026!$W:$W,$A46)</f>
        <v>0</v>
      </c>
      <c r="Q46" s="626">
        <f>SUM(E46:P46)</f>
        <v>34650000</v>
      </c>
      <c r="R46" s="626"/>
      <c r="S46" s="626">
        <f>SUMIFS(cashflow汇总预算2026!$K:$K,cashflow汇总预算2026!$D:$D,S$4,cashflow汇总预算2026!$W:$W,$A46)</f>
        <v>0</v>
      </c>
      <c r="T46" s="626">
        <f>SUMIFS(cashflow汇总预算2026!$K:$K,cashflow汇总预算2026!$D:$D,T$4,cashflow汇总预算2026!$W:$W,$A46)</f>
        <v>0</v>
      </c>
      <c r="U46" s="626">
        <f>SUMIFS(cashflow汇总预算2026!$K:$K,cashflow汇总预算2026!$D:$D,U$4,cashflow汇总预算2026!$W:$W,$A46)</f>
        <v>0</v>
      </c>
      <c r="V46" s="626">
        <f>SUMIFS(cashflow汇总预算2026!$K:$K,cashflow汇总预算2026!$D:$D,V$4,cashflow汇总预算2026!$W:$W,$A46)</f>
        <v>0</v>
      </c>
      <c r="W46" s="626">
        <f>SUMIFS(cashflow汇总预算2026!$K:$K,cashflow汇总预算2026!$D:$D,W$4,cashflow汇总预算2026!$W:$W,$A46)</f>
        <v>0</v>
      </c>
      <c r="X46" s="626">
        <f>SUMIFS(cashflow汇总预算2026!$K:$K,cashflow汇总预算2026!$D:$D,X$4,cashflow汇总预算2026!$W:$W,$A46)</f>
        <v>0</v>
      </c>
      <c r="Y46" s="626">
        <f>SUMIFS(cashflow汇总预算2026!$K:$K,cashflow汇总预算2026!$D:$D,Y$4,cashflow汇总预算2026!$W:$W,$A46)</f>
        <v>0</v>
      </c>
      <c r="Z46" s="626">
        <f>SUMIFS(cashflow汇总预算2026!$K:$K,cashflow汇总预算2026!$D:$D,Z$4,cashflow汇总预算2026!$W:$W,$A46)</f>
        <v>0</v>
      </c>
      <c r="AA46" s="626">
        <f>SUMIFS(cashflow汇总预算2026!$K:$K,cashflow汇总预算2026!$D:$D,AA$4,cashflow汇总预算2026!$W:$W,$A46)</f>
        <v>0</v>
      </c>
      <c r="AB46" s="626">
        <f>SUMIFS(cashflow汇总预算2026!$K:$K,cashflow汇总预算2026!$D:$D,AB$4,cashflow汇总预算2026!$W:$W,$A46)</f>
        <v>0</v>
      </c>
      <c r="AC46" s="626">
        <f>SUMIFS(cashflow汇总预算2026!$K:$K,cashflow汇总预算2026!$D:$D,AC$4,cashflow汇总预算2026!$W:$W,$A46)</f>
        <v>0</v>
      </c>
      <c r="AD46" s="626">
        <f>SUMIFS(cashflow汇总预算2026!$K:$K,cashflow汇总预算2026!$D:$D,AD$4,cashflow汇总预算2026!$W:$W,$A46)</f>
        <v>0</v>
      </c>
      <c r="AE46" s="626">
        <f>SUM(S46:AD46)</f>
        <v>0</v>
      </c>
    </row>
    <row r="47" spans="1:31" ht="16.5" customHeight="1">
      <c r="A47" s="629" t="s">
        <v>2588</v>
      </c>
      <c r="B47" s="626">
        <f t="shared" si="31"/>
        <v>0</v>
      </c>
      <c r="C47" s="626">
        <f t="shared" ca="1" si="32"/>
        <v>0</v>
      </c>
      <c r="D47" s="626"/>
      <c r="E47" s="626">
        <f>SUMIFS(cashflow汇总预算2026!$K:$K,cashflow汇总预算2026!$D:$D,E$4,cashflow汇总预算2026!$W:$W,$A47)</f>
        <v>0</v>
      </c>
      <c r="F47" s="626">
        <f>SUMIFS(cashflow汇总预算2026!$K:$K,cashflow汇总预算2026!$D:$D,F$4,cashflow汇总预算2026!$W:$W,$A47)</f>
        <v>0</v>
      </c>
      <c r="G47" s="626">
        <f>SUMIFS(cashflow汇总预算2026!$K:$K,cashflow汇总预算2026!$D:$D,G$4,cashflow汇总预算2026!$W:$W,$A47)</f>
        <v>0</v>
      </c>
      <c r="H47" s="626">
        <f>SUMIFS(cashflow汇总预算2026!$K:$K,cashflow汇总预算2026!$D:$D,H$4,cashflow汇总预算2026!$W:$W,$A47)</f>
        <v>0</v>
      </c>
      <c r="I47" s="626">
        <f>SUMIFS(cashflow汇总预算2026!$K:$K,cashflow汇总预算2026!$D:$D,I$4,cashflow汇总预算2026!$W:$W,$A47)</f>
        <v>0</v>
      </c>
      <c r="J47" s="626">
        <f>SUMIFS(cashflow汇总预算2026!$K:$K,cashflow汇总预算2026!$D:$D,J$4,cashflow汇总预算2026!$W:$W,$A47)</f>
        <v>0</v>
      </c>
      <c r="K47" s="626">
        <f>SUMIFS(cashflow汇总预算2026!$K:$K,cashflow汇总预算2026!$D:$D,K$4,cashflow汇总预算2026!$W:$W,$A47)</f>
        <v>0</v>
      </c>
      <c r="L47" s="626">
        <f>SUMIFS(cashflow汇总预算2026!$K:$K,cashflow汇总预算2026!$D:$D,L$4,cashflow汇总预算2026!$W:$W,$A47)</f>
        <v>0</v>
      </c>
      <c r="M47" s="626">
        <f>SUMIFS(cashflow汇总预算2026!$K:$K,cashflow汇总预算2026!$D:$D,M$4,cashflow汇总预算2026!$W:$W,$A47)</f>
        <v>0</v>
      </c>
      <c r="N47" s="626">
        <f>SUMIFS(cashflow汇总预算2026!$K:$K,cashflow汇总预算2026!$D:$D,N$4,cashflow汇总预算2026!$W:$W,$A47)</f>
        <v>0</v>
      </c>
      <c r="O47" s="626">
        <f>SUMIFS(cashflow汇总预算2026!$K:$K,cashflow汇总预算2026!$D:$D,O$4,cashflow汇总预算2026!$W:$W,$A47)</f>
        <v>0</v>
      </c>
      <c r="P47" s="626">
        <f>SUMIFS(cashflow汇总预算2026!$K:$K,cashflow汇总预算2026!$D:$D,P$4,cashflow汇总预算2026!$W:$W,$A47)</f>
        <v>0</v>
      </c>
      <c r="Q47" s="626">
        <f>SUM(E47:P47)</f>
        <v>0</v>
      </c>
      <c r="R47" s="626"/>
      <c r="S47" s="626">
        <f>SUMIFS(cashflow汇总预算2026!$K:$K,cashflow汇总预算2026!$D:$D,S$4,cashflow汇总预算2026!$W:$W,$A47)</f>
        <v>0</v>
      </c>
      <c r="T47" s="626">
        <f>SUMIFS(cashflow汇总预算2026!$K:$K,cashflow汇总预算2026!$D:$D,T$4,cashflow汇总预算2026!$W:$W,$A47)</f>
        <v>0</v>
      </c>
      <c r="U47" s="626">
        <f>SUMIFS(cashflow汇总预算2026!$K:$K,cashflow汇总预算2026!$D:$D,U$4,cashflow汇总预算2026!$W:$W,$A47)</f>
        <v>0</v>
      </c>
      <c r="V47" s="626">
        <f>SUMIFS(cashflow汇总预算2026!$K:$K,cashflow汇总预算2026!$D:$D,V$4,cashflow汇总预算2026!$W:$W,$A47)</f>
        <v>0</v>
      </c>
      <c r="W47" s="626">
        <f>SUMIFS(cashflow汇总预算2026!$K:$K,cashflow汇总预算2026!$D:$D,W$4,cashflow汇总预算2026!$W:$W,$A47)</f>
        <v>0</v>
      </c>
      <c r="X47" s="626">
        <f>SUMIFS(cashflow汇总预算2026!$K:$K,cashflow汇总预算2026!$D:$D,X$4,cashflow汇总预算2026!$W:$W,$A47)</f>
        <v>0</v>
      </c>
      <c r="Y47" s="626">
        <f>SUMIFS(cashflow汇总预算2026!$K:$K,cashflow汇总预算2026!$D:$D,Y$4,cashflow汇总预算2026!$W:$W,$A47)</f>
        <v>0</v>
      </c>
      <c r="Z47" s="626">
        <f>SUMIFS(cashflow汇总预算2026!$K:$K,cashflow汇总预算2026!$D:$D,Z$4,cashflow汇总预算2026!$W:$W,$A47)</f>
        <v>0</v>
      </c>
      <c r="AA47" s="626">
        <f>SUMIFS(cashflow汇总预算2026!$K:$K,cashflow汇总预算2026!$D:$D,AA$4,cashflow汇总预算2026!$W:$W,$A47)</f>
        <v>0</v>
      </c>
      <c r="AB47" s="626">
        <f>SUMIFS(cashflow汇总预算2026!$K:$K,cashflow汇总预算2026!$D:$D,AB$4,cashflow汇总预算2026!$W:$W,$A47)</f>
        <v>0</v>
      </c>
      <c r="AC47" s="626">
        <f>SUMIFS(cashflow汇总预算2026!$K:$K,cashflow汇总预算2026!$D:$D,AC$4,cashflow汇总预算2026!$W:$W,$A47)</f>
        <v>0</v>
      </c>
      <c r="AD47" s="626">
        <f>SUMIFS(cashflow汇总预算2026!$K:$K,cashflow汇总预算2026!$D:$D,AD$4,cashflow汇总预算2026!$W:$W,$A47)</f>
        <v>0</v>
      </c>
      <c r="AE47" s="626">
        <f>SUM(S47:AD47)</f>
        <v>0</v>
      </c>
    </row>
    <row r="48" spans="1:31" s="605" customFormat="1" ht="16.5" customHeight="1">
      <c r="A48" s="635" t="s">
        <v>2589</v>
      </c>
      <c r="B48" s="636">
        <f t="shared" si="31"/>
        <v>-5452471.1799999997</v>
      </c>
      <c r="C48" s="636">
        <f t="shared" ca="1" si="32"/>
        <v>-5452471.1799999997</v>
      </c>
      <c r="D48" s="636"/>
      <c r="E48" s="636">
        <f t="shared" ref="E48:Q48" si="33">SUM(E49:E51)</f>
        <v>-5452471.1799999997</v>
      </c>
      <c r="F48" s="636">
        <f t="shared" si="33"/>
        <v>0</v>
      </c>
      <c r="G48" s="636">
        <f t="shared" si="33"/>
        <v>0</v>
      </c>
      <c r="H48" s="636">
        <f t="shared" si="33"/>
        <v>-35050000</v>
      </c>
      <c r="I48" s="636">
        <f t="shared" si="33"/>
        <v>0</v>
      </c>
      <c r="J48" s="636">
        <f t="shared" si="33"/>
        <v>0</v>
      </c>
      <c r="K48" s="636">
        <f t="shared" si="33"/>
        <v>0</v>
      </c>
      <c r="L48" s="636">
        <f t="shared" si="33"/>
        <v>0</v>
      </c>
      <c r="M48" s="636">
        <f t="shared" si="33"/>
        <v>0</v>
      </c>
      <c r="N48" s="636">
        <f t="shared" si="33"/>
        <v>0</v>
      </c>
      <c r="O48" s="636">
        <f t="shared" si="33"/>
        <v>0</v>
      </c>
      <c r="P48" s="636">
        <f t="shared" si="33"/>
        <v>0</v>
      </c>
      <c r="Q48" s="636">
        <f t="shared" si="33"/>
        <v>-40502471.18</v>
      </c>
      <c r="R48" s="623"/>
      <c r="S48" s="636">
        <f t="shared" ref="S48:AD48" si="34">SUM(S49:S51)</f>
        <v>0</v>
      </c>
      <c r="T48" s="636">
        <f t="shared" si="34"/>
        <v>0</v>
      </c>
      <c r="U48" s="636">
        <f t="shared" si="34"/>
        <v>0</v>
      </c>
      <c r="V48" s="636">
        <f t="shared" si="34"/>
        <v>0</v>
      </c>
      <c r="W48" s="636">
        <f t="shared" si="34"/>
        <v>0</v>
      </c>
      <c r="X48" s="636">
        <f t="shared" si="34"/>
        <v>0</v>
      </c>
      <c r="Y48" s="636">
        <f t="shared" si="34"/>
        <v>0</v>
      </c>
      <c r="Z48" s="636">
        <f t="shared" si="34"/>
        <v>0</v>
      </c>
      <c r="AA48" s="636">
        <f t="shared" si="34"/>
        <v>0</v>
      </c>
      <c r="AB48" s="636">
        <f t="shared" si="34"/>
        <v>0</v>
      </c>
      <c r="AC48" s="636">
        <f t="shared" si="34"/>
        <v>0</v>
      </c>
      <c r="AD48" s="636">
        <f t="shared" si="34"/>
        <v>0</v>
      </c>
      <c r="AE48" s="636">
        <f t="shared" ref="AE48" si="35">SUM(AE49:AE51)</f>
        <v>0</v>
      </c>
    </row>
    <row r="49" spans="1:33" ht="16.5" customHeight="1">
      <c r="A49" s="629" t="s">
        <v>2150</v>
      </c>
      <c r="B49" s="626">
        <f t="shared" si="31"/>
        <v>-5452471.1799999997</v>
      </c>
      <c r="C49" s="626">
        <f t="shared" ca="1" si="32"/>
        <v>-5452471.1799999997</v>
      </c>
      <c r="D49" s="626"/>
      <c r="E49" s="626">
        <f>SUMIFS(cashflow汇总预算2026!$K:$K,cashflow汇总预算2026!$D:$D,E$4,cashflow汇总预算2026!$W:$W,$A49)</f>
        <v>-5452471.1799999997</v>
      </c>
      <c r="F49" s="626">
        <f>SUMIFS(cashflow汇总预算2026!$K:$K,cashflow汇总预算2026!$D:$D,F$4,cashflow汇总预算2026!$W:$W,$A49)</f>
        <v>0</v>
      </c>
      <c r="G49" s="626">
        <f>SUMIFS(cashflow汇总预算2026!$K:$K,cashflow汇总预算2026!$D:$D,G$4,cashflow汇总预算2026!$W:$W,$A49)</f>
        <v>0</v>
      </c>
      <c r="H49" s="626">
        <f>SUMIFS(cashflow汇总预算2026!$K:$K,cashflow汇总预算2026!$D:$D,H$4,cashflow汇总预算2026!$W:$W,$A49)</f>
        <v>-35050000</v>
      </c>
      <c r="I49" s="626">
        <f>SUMIFS(cashflow汇总预算2026!$K:$K,cashflow汇总预算2026!$D:$D,I$4,cashflow汇总预算2026!$W:$W,$A49)</f>
        <v>0</v>
      </c>
      <c r="J49" s="626">
        <f>SUMIFS(cashflow汇总预算2026!$K:$K,cashflow汇总预算2026!$D:$D,J$4,cashflow汇总预算2026!$W:$W,$A49)</f>
        <v>0</v>
      </c>
      <c r="K49" s="626">
        <f>SUMIFS(cashflow汇总预算2026!$K:$K,cashflow汇总预算2026!$D:$D,K$4,cashflow汇总预算2026!$W:$W,$A49)</f>
        <v>0</v>
      </c>
      <c r="L49" s="626">
        <f>SUMIFS(cashflow汇总预算2026!$K:$K,cashflow汇总预算2026!$D:$D,L$4,cashflow汇总预算2026!$W:$W,$A49)</f>
        <v>0</v>
      </c>
      <c r="M49" s="626">
        <f>SUMIFS(cashflow汇总预算2026!$K:$K,cashflow汇总预算2026!$D:$D,M$4,cashflow汇总预算2026!$W:$W,$A49)</f>
        <v>0</v>
      </c>
      <c r="N49" s="626">
        <f>SUMIFS(cashflow汇总预算2026!$K:$K,cashflow汇总预算2026!$D:$D,N$4,cashflow汇总预算2026!$W:$W,$A49)</f>
        <v>0</v>
      </c>
      <c r="O49" s="626">
        <f>SUMIFS(cashflow汇总预算2026!$K:$K,cashflow汇总预算2026!$D:$D,O$4,cashflow汇总预算2026!$W:$W,$A49)</f>
        <v>0</v>
      </c>
      <c r="P49" s="626">
        <f>SUMIFS(cashflow汇总预算2026!$K:$K,cashflow汇总预算2026!$D:$D,P$4,cashflow汇总预算2026!$W:$W,$A49)</f>
        <v>0</v>
      </c>
      <c r="Q49" s="626">
        <f t="shared" ref="Q49:Q54" si="36">SUM(E49:P49)</f>
        <v>-40502471.18</v>
      </c>
      <c r="R49" s="626"/>
      <c r="S49" s="626">
        <f>SUMIFS(cashflow汇总预算2026!$K:$K,cashflow汇总预算2026!$D:$D,S$4,cashflow汇总预算2026!$W:$W,$A49)</f>
        <v>0</v>
      </c>
      <c r="T49" s="626">
        <f>SUMIFS(cashflow汇总预算2026!$K:$K,cashflow汇总预算2026!$D:$D,T$4,cashflow汇总预算2026!$W:$W,$A49)</f>
        <v>0</v>
      </c>
      <c r="U49" s="626">
        <f>SUMIFS(cashflow汇总预算2026!$K:$K,cashflow汇总预算2026!$D:$D,U$4,cashflow汇总预算2026!$W:$W,$A49)</f>
        <v>0</v>
      </c>
      <c r="V49" s="626">
        <f>SUMIFS(cashflow汇总预算2026!$K:$K,cashflow汇总预算2026!$D:$D,V$4,cashflow汇总预算2026!$W:$W,$A49)</f>
        <v>0</v>
      </c>
      <c r="W49" s="626">
        <f>SUMIFS(cashflow汇总预算2026!$K:$K,cashflow汇总预算2026!$D:$D,W$4,cashflow汇总预算2026!$W:$W,$A49)</f>
        <v>0</v>
      </c>
      <c r="X49" s="626">
        <f>SUMIFS(cashflow汇总预算2026!$K:$K,cashflow汇总预算2026!$D:$D,X$4,cashflow汇总预算2026!$W:$W,$A49)</f>
        <v>0</v>
      </c>
      <c r="Y49" s="626">
        <f>SUMIFS(cashflow汇总预算2026!$K:$K,cashflow汇总预算2026!$D:$D,Y$4,cashflow汇总预算2026!$W:$W,$A49)</f>
        <v>0</v>
      </c>
      <c r="Z49" s="626">
        <f>SUMIFS(cashflow汇总预算2026!$K:$K,cashflow汇总预算2026!$D:$D,Z$4,cashflow汇总预算2026!$W:$W,$A49)</f>
        <v>0</v>
      </c>
      <c r="AA49" s="626">
        <f>SUMIFS(cashflow汇总预算2026!$K:$K,cashflow汇总预算2026!$D:$D,AA$4,cashflow汇总预算2026!$W:$W,$A49)</f>
        <v>0</v>
      </c>
      <c r="AB49" s="626">
        <f>SUMIFS(cashflow汇总预算2026!$K:$K,cashflow汇总预算2026!$D:$D,AB$4,cashflow汇总预算2026!$W:$W,$A49)</f>
        <v>0</v>
      </c>
      <c r="AC49" s="626">
        <f>SUMIFS(cashflow汇总预算2026!$K:$K,cashflow汇总预算2026!$D:$D,AC$4,cashflow汇总预算2026!$W:$W,$A49)</f>
        <v>0</v>
      </c>
      <c r="AD49" s="626">
        <f>SUMIFS(cashflow汇总预算2026!$K:$K,cashflow汇总预算2026!$D:$D,AD$4,cashflow汇总预算2026!$W:$W,$A49)</f>
        <v>0</v>
      </c>
      <c r="AE49" s="626">
        <f>SUM(S49:AD49)</f>
        <v>0</v>
      </c>
    </row>
    <row r="50" spans="1:33" ht="15" customHeight="1">
      <c r="A50" s="629" t="s">
        <v>2590</v>
      </c>
      <c r="B50" s="626">
        <f t="shared" ref="B50:B54" si="37">INDEX($E50:$P50,1,MATCH($B$4,$E$4:$P$4))</f>
        <v>0</v>
      </c>
      <c r="C50" s="626">
        <f t="shared" ref="C50:C54" ca="1" si="38">SUM($E50:OFFSET($E50,0,MATCH($C$4,$E$4:$P$4)-1))</f>
        <v>0</v>
      </c>
      <c r="D50" s="626"/>
      <c r="E50" s="626">
        <f>SUMIFS(cashflow汇总预算2026!$K:$K,cashflow汇总预算2026!$D:$D,E$4,cashflow汇总预算2026!$W:$W,$A50)</f>
        <v>0</v>
      </c>
      <c r="F50" s="626">
        <f>SUMIFS(cashflow汇总预算2026!$K:$K,cashflow汇总预算2026!$D:$D,F$4,cashflow汇总预算2026!$W:$W,$A50)</f>
        <v>0</v>
      </c>
      <c r="G50" s="626">
        <f>SUMIFS(cashflow汇总预算2026!$K:$K,cashflow汇总预算2026!$D:$D,G$4,cashflow汇总预算2026!$W:$W,$A50)</f>
        <v>0</v>
      </c>
      <c r="H50" s="626">
        <f>SUMIFS(cashflow汇总预算2026!$K:$K,cashflow汇总预算2026!$D:$D,H$4,cashflow汇总预算2026!$W:$W,$A50)</f>
        <v>0</v>
      </c>
      <c r="I50" s="626">
        <f>SUMIFS(cashflow汇总预算2026!$K:$K,cashflow汇总预算2026!$D:$D,I$4,cashflow汇总预算2026!$W:$W,$A50)</f>
        <v>0</v>
      </c>
      <c r="J50" s="626">
        <f>SUMIFS(cashflow汇总预算2026!$K:$K,cashflow汇总预算2026!$D:$D,J$4,cashflow汇总预算2026!$W:$W,$A50)</f>
        <v>0</v>
      </c>
      <c r="K50" s="626">
        <f>SUMIFS(cashflow汇总预算2026!$K:$K,cashflow汇总预算2026!$D:$D,K$4,cashflow汇总预算2026!$W:$W,$A50)</f>
        <v>0</v>
      </c>
      <c r="L50" s="626">
        <f>SUMIFS(cashflow汇总预算2026!$K:$K,cashflow汇总预算2026!$D:$D,L$4,cashflow汇总预算2026!$W:$W,$A50)</f>
        <v>0</v>
      </c>
      <c r="M50" s="626">
        <f>SUMIFS(cashflow汇总预算2026!$K:$K,cashflow汇总预算2026!$D:$D,M$4,cashflow汇总预算2026!$W:$W,$A50)</f>
        <v>0</v>
      </c>
      <c r="N50" s="626">
        <f>SUMIFS(cashflow汇总预算2026!$K:$K,cashflow汇总预算2026!$D:$D,N$4,cashflow汇总预算2026!$W:$W,$A50)</f>
        <v>0</v>
      </c>
      <c r="O50" s="626">
        <f>SUMIFS(cashflow汇总预算2026!$K:$K,cashflow汇总预算2026!$D:$D,O$4,cashflow汇总预算2026!$W:$W,$A50)</f>
        <v>0</v>
      </c>
      <c r="P50" s="626">
        <f>SUMIFS(cashflow汇总预算2026!$K:$K,cashflow汇总预算2026!$D:$D,P$4,cashflow汇总预算2026!$W:$W,$A50)</f>
        <v>0</v>
      </c>
      <c r="Q50" s="626">
        <f t="shared" si="36"/>
        <v>0</v>
      </c>
      <c r="R50" s="626"/>
      <c r="S50" s="626">
        <f>SUMIFS(cashflow汇总预算2026!$K:$K,cashflow汇总预算2026!$D:$D,S$4,cashflow汇总预算2026!$W:$W,$A50)</f>
        <v>0</v>
      </c>
      <c r="T50" s="626">
        <f>SUMIFS(cashflow汇总预算2026!$K:$K,cashflow汇总预算2026!$D:$D,T$4,cashflow汇总预算2026!$W:$W,$A50)</f>
        <v>0</v>
      </c>
      <c r="U50" s="626">
        <f>SUMIFS(cashflow汇总预算2026!$K:$K,cashflow汇总预算2026!$D:$D,U$4,cashflow汇总预算2026!$W:$W,$A50)</f>
        <v>0</v>
      </c>
      <c r="V50" s="626">
        <f>SUMIFS(cashflow汇总预算2026!$K:$K,cashflow汇总预算2026!$D:$D,V$4,cashflow汇总预算2026!$W:$W,$A50)</f>
        <v>0</v>
      </c>
      <c r="W50" s="626">
        <f>SUMIFS(cashflow汇总预算2026!$K:$K,cashflow汇总预算2026!$D:$D,W$4,cashflow汇总预算2026!$W:$W,$A50)</f>
        <v>0</v>
      </c>
      <c r="X50" s="626">
        <f>SUMIFS(cashflow汇总预算2026!$K:$K,cashflow汇总预算2026!$D:$D,X$4,cashflow汇总预算2026!$W:$W,$A50)</f>
        <v>0</v>
      </c>
      <c r="Y50" s="626">
        <f>SUMIFS(cashflow汇总预算2026!$K:$K,cashflow汇总预算2026!$D:$D,Y$4,cashflow汇总预算2026!$W:$W,$A50)</f>
        <v>0</v>
      </c>
      <c r="Z50" s="626">
        <f>SUMIFS(cashflow汇总预算2026!$K:$K,cashflow汇总预算2026!$D:$D,Z$4,cashflow汇总预算2026!$W:$W,$A50)</f>
        <v>0</v>
      </c>
      <c r="AA50" s="626">
        <f>SUMIFS(cashflow汇总预算2026!$K:$K,cashflow汇总预算2026!$D:$D,AA$4,cashflow汇总预算2026!$W:$W,$A50)</f>
        <v>0</v>
      </c>
      <c r="AB50" s="626">
        <f>SUMIFS(cashflow汇总预算2026!$K:$K,cashflow汇总预算2026!$D:$D,AB$4,cashflow汇总预算2026!$W:$W,$A50)</f>
        <v>0</v>
      </c>
      <c r="AC50" s="626">
        <f>SUMIFS(cashflow汇总预算2026!$K:$K,cashflow汇总预算2026!$D:$D,AC$4,cashflow汇总预算2026!$W:$W,$A50)</f>
        <v>0</v>
      </c>
      <c r="AD50" s="626">
        <f>SUMIFS(cashflow汇总预算2026!$K:$K,cashflow汇总预算2026!$D:$D,AD$4,cashflow汇总预算2026!$W:$W,$A50)</f>
        <v>0</v>
      </c>
      <c r="AE50" s="626">
        <f>SUM(S50:AD50)</f>
        <v>0</v>
      </c>
    </row>
    <row r="51" spans="1:33" ht="16.5" customHeight="1">
      <c r="A51" s="629" t="s">
        <v>2149</v>
      </c>
      <c r="B51" s="626">
        <f t="shared" si="37"/>
        <v>0</v>
      </c>
      <c r="C51" s="626">
        <f t="shared" ca="1" si="38"/>
        <v>0</v>
      </c>
      <c r="D51" s="626"/>
      <c r="E51" s="626">
        <f>SUMIFS(cashflow汇总预算2026!$K:$K,cashflow汇总预算2026!$D:$D,E$4,cashflow汇总预算2026!$W:$W,$A51)</f>
        <v>0</v>
      </c>
      <c r="F51" s="626">
        <f>SUMIFS(cashflow汇总预算2026!$K:$K,cashflow汇总预算2026!$D:$D,F$4,cashflow汇总预算2026!$W:$W,$A51)</f>
        <v>0</v>
      </c>
      <c r="G51" s="626">
        <f>SUMIFS(cashflow汇总预算2026!$K:$K,cashflow汇总预算2026!$D:$D,G$4,cashflow汇总预算2026!$W:$W,$A51)</f>
        <v>0</v>
      </c>
      <c r="H51" s="626">
        <f>SUMIFS(cashflow汇总预算2026!$K:$K,cashflow汇总预算2026!$D:$D,H$4,cashflow汇总预算2026!$W:$W,$A51)</f>
        <v>0</v>
      </c>
      <c r="I51" s="626">
        <f>SUMIFS(cashflow汇总预算2026!$K:$K,cashflow汇总预算2026!$D:$D,I$4,cashflow汇总预算2026!$W:$W,$A51)</f>
        <v>0</v>
      </c>
      <c r="J51" s="626">
        <f>SUMIFS(cashflow汇总预算2026!$K:$K,cashflow汇总预算2026!$D:$D,J$4,cashflow汇总预算2026!$W:$W,$A51)</f>
        <v>0</v>
      </c>
      <c r="K51" s="626">
        <f>SUMIFS(cashflow汇总预算2026!$K:$K,cashflow汇总预算2026!$D:$D,K$4,cashflow汇总预算2026!$W:$W,$A51)</f>
        <v>0</v>
      </c>
      <c r="L51" s="626">
        <f>SUMIFS(cashflow汇总预算2026!$K:$K,cashflow汇总预算2026!$D:$D,L$4,cashflow汇总预算2026!$W:$W,$A51)</f>
        <v>0</v>
      </c>
      <c r="M51" s="626">
        <f>SUMIFS(cashflow汇总预算2026!$K:$K,cashflow汇总预算2026!$D:$D,M$4,cashflow汇总预算2026!$W:$W,$A51)</f>
        <v>0</v>
      </c>
      <c r="N51" s="626">
        <f>SUMIFS(cashflow汇总预算2026!$K:$K,cashflow汇总预算2026!$D:$D,N$4,cashflow汇总预算2026!$W:$W,$A51)</f>
        <v>0</v>
      </c>
      <c r="O51" s="626">
        <f>SUMIFS(cashflow汇总预算2026!$K:$K,cashflow汇总预算2026!$D:$D,O$4,cashflow汇总预算2026!$W:$W,$A51)</f>
        <v>0</v>
      </c>
      <c r="P51" s="626">
        <f>SUMIFS(cashflow汇总预算2026!$K:$K,cashflow汇总预算2026!$D:$D,P$4,cashflow汇总预算2026!$W:$W,$A51)</f>
        <v>0</v>
      </c>
      <c r="Q51" s="626">
        <f t="shared" si="36"/>
        <v>0</v>
      </c>
      <c r="R51" s="626"/>
      <c r="S51" s="626">
        <f>SUMIFS(cashflow汇总预算2026!$K:$K,cashflow汇总预算2026!$D:$D,S$4,cashflow汇总预算2026!$W:$W,$A51)</f>
        <v>0</v>
      </c>
      <c r="T51" s="626">
        <f>SUMIFS(cashflow汇总预算2026!$K:$K,cashflow汇总预算2026!$D:$D,T$4,cashflow汇总预算2026!$W:$W,$A51)</f>
        <v>0</v>
      </c>
      <c r="U51" s="626">
        <f>SUMIFS(cashflow汇总预算2026!$K:$K,cashflow汇总预算2026!$D:$D,U$4,cashflow汇总预算2026!$W:$W,$A51)</f>
        <v>0</v>
      </c>
      <c r="V51" s="626">
        <f>SUMIFS(cashflow汇总预算2026!$K:$K,cashflow汇总预算2026!$D:$D,V$4,cashflow汇总预算2026!$W:$W,$A51)</f>
        <v>0</v>
      </c>
      <c r="W51" s="626">
        <f>SUMIFS(cashflow汇总预算2026!$K:$K,cashflow汇总预算2026!$D:$D,W$4,cashflow汇总预算2026!$W:$W,$A51)</f>
        <v>0</v>
      </c>
      <c r="X51" s="626">
        <f>SUMIFS(cashflow汇总预算2026!$K:$K,cashflow汇总预算2026!$D:$D,X$4,cashflow汇总预算2026!$W:$W,$A51)</f>
        <v>0</v>
      </c>
      <c r="Y51" s="626">
        <f>SUMIFS(cashflow汇总预算2026!$K:$K,cashflow汇总预算2026!$D:$D,Y$4,cashflow汇总预算2026!$W:$W,$A51)</f>
        <v>0</v>
      </c>
      <c r="Z51" s="626">
        <f>SUMIFS(cashflow汇总预算2026!$K:$K,cashflow汇总预算2026!$D:$D,Z$4,cashflow汇总预算2026!$W:$W,$A51)</f>
        <v>0</v>
      </c>
      <c r="AA51" s="626">
        <f>SUMIFS(cashflow汇总预算2026!$K:$K,cashflow汇总预算2026!$D:$D,AA$4,cashflow汇总预算2026!$W:$W,$A51)</f>
        <v>0</v>
      </c>
      <c r="AB51" s="626">
        <f>SUMIFS(cashflow汇总预算2026!$K:$K,cashflow汇总预算2026!$D:$D,AB$4,cashflow汇总预算2026!$W:$W,$A51)</f>
        <v>0</v>
      </c>
      <c r="AC51" s="626">
        <f>SUMIFS(cashflow汇总预算2026!$K:$K,cashflow汇总预算2026!$D:$D,AC$4,cashflow汇总预算2026!$W:$W,$A51)</f>
        <v>0</v>
      </c>
      <c r="AD51" s="626">
        <f>SUMIFS(cashflow汇总预算2026!$K:$K,cashflow汇总预算2026!$D:$D,AD$4,cashflow汇总预算2026!$W:$W,$A51)</f>
        <v>0</v>
      </c>
      <c r="AE51" s="626">
        <f>SUM(S51:AD51)</f>
        <v>0</v>
      </c>
    </row>
    <row r="52" spans="1:33" s="606" customFormat="1" ht="16.5" customHeight="1">
      <c r="A52" s="606" t="s">
        <v>2591</v>
      </c>
      <c r="B52" s="634">
        <f t="shared" si="37"/>
        <v>14197528.82</v>
      </c>
      <c r="C52" s="634">
        <f t="shared" ca="1" si="38"/>
        <v>14197528.82</v>
      </c>
      <c r="D52" s="634"/>
      <c r="E52" s="634">
        <f>E44+E48</f>
        <v>14197528.82</v>
      </c>
      <c r="F52" s="634">
        <f t="shared" ref="F52:Q52" si="39">F44+F48</f>
        <v>15000000</v>
      </c>
      <c r="G52" s="634">
        <f t="shared" si="39"/>
        <v>0</v>
      </c>
      <c r="H52" s="634">
        <f t="shared" si="39"/>
        <v>-35050000</v>
      </c>
      <c r="I52" s="634">
        <f t="shared" si="39"/>
        <v>0</v>
      </c>
      <c r="J52" s="634">
        <f t="shared" si="39"/>
        <v>0</v>
      </c>
      <c r="K52" s="634">
        <f t="shared" si="39"/>
        <v>0</v>
      </c>
      <c r="L52" s="634">
        <f t="shared" si="39"/>
        <v>20000000</v>
      </c>
      <c r="M52" s="634">
        <f t="shared" si="39"/>
        <v>0</v>
      </c>
      <c r="N52" s="634">
        <f t="shared" si="39"/>
        <v>2000</v>
      </c>
      <c r="O52" s="634">
        <f t="shared" si="39"/>
        <v>0</v>
      </c>
      <c r="P52" s="634">
        <f t="shared" si="39"/>
        <v>0</v>
      </c>
      <c r="Q52" s="634">
        <f t="shared" si="39"/>
        <v>14149528.82</v>
      </c>
      <c r="R52" s="637"/>
      <c r="S52" s="634">
        <f>S44+S48</f>
        <v>0</v>
      </c>
      <c r="T52" s="634">
        <f t="shared" ref="T52:AD52" si="40">T44+T48</f>
        <v>0</v>
      </c>
      <c r="U52" s="634">
        <f t="shared" si="40"/>
        <v>0</v>
      </c>
      <c r="V52" s="634">
        <f t="shared" si="40"/>
        <v>0</v>
      </c>
      <c r="W52" s="634">
        <f t="shared" si="40"/>
        <v>0</v>
      </c>
      <c r="X52" s="634">
        <f t="shared" si="40"/>
        <v>0</v>
      </c>
      <c r="Y52" s="634">
        <f t="shared" si="40"/>
        <v>0</v>
      </c>
      <c r="Z52" s="634">
        <f t="shared" si="40"/>
        <v>0</v>
      </c>
      <c r="AA52" s="634">
        <f t="shared" si="40"/>
        <v>0</v>
      </c>
      <c r="AB52" s="634">
        <f t="shared" si="40"/>
        <v>0</v>
      </c>
      <c r="AC52" s="634">
        <f t="shared" si="40"/>
        <v>0</v>
      </c>
      <c r="AD52" s="634">
        <f t="shared" si="40"/>
        <v>0</v>
      </c>
      <c r="AE52" s="634">
        <f t="shared" ref="AE52" si="41">AE44-AE48</f>
        <v>0</v>
      </c>
      <c r="AF52" s="638"/>
      <c r="AG52" s="639"/>
    </row>
    <row r="53" spans="1:33" ht="16.5" customHeight="1">
      <c r="B53" s="625"/>
      <c r="C53" s="625"/>
      <c r="D53" s="625"/>
      <c r="E53" s="626"/>
      <c r="F53" s="626"/>
      <c r="G53" s="626"/>
      <c r="H53" s="626"/>
      <c r="I53" s="626"/>
      <c r="J53" s="626"/>
      <c r="K53" s="626"/>
      <c r="L53" s="626"/>
      <c r="M53" s="626"/>
      <c r="N53" s="626"/>
      <c r="O53" s="626"/>
      <c r="P53" s="626"/>
      <c r="Q53" s="626"/>
      <c r="R53" s="626"/>
      <c r="S53" s="626"/>
      <c r="T53" s="626"/>
      <c r="U53" s="626"/>
      <c r="V53" s="626"/>
      <c r="W53" s="626"/>
      <c r="X53" s="626"/>
      <c r="Y53" s="626"/>
      <c r="Z53" s="626"/>
      <c r="AA53" s="626"/>
      <c r="AB53" s="626"/>
      <c r="AC53" s="626"/>
      <c r="AD53" s="626"/>
      <c r="AE53" s="626"/>
    </row>
    <row r="54" spans="1:33" s="607" customFormat="1" ht="16.5" customHeight="1">
      <c r="A54" s="607" t="s">
        <v>2592</v>
      </c>
      <c r="B54" s="634">
        <f t="shared" si="37"/>
        <v>0</v>
      </c>
      <c r="C54" s="634">
        <f t="shared" ca="1" si="38"/>
        <v>0</v>
      </c>
      <c r="D54" s="634"/>
      <c r="E54" s="634">
        <f>SUMIF('CF-ACPL'!$A:$A,$A54,'CF-ACPL'!E:E)+SUMIF('CF-ACPLHK'!$A:$A,$A54,'CF-ACPLHK'!E:E)+SUMIF('CF-ACPLSZ'!$A:$A,$A54,'CF-ACPLSZ'!E:E)+SUMIF('CF-ACPSZL'!$A:$A,$A54,'CF-ACPSZL'!E:E)+SUMIF('CF-ACPLGZ'!$A:$A,$A54,'CF-ACPLGZ'!E:E)+SUMIF('CF-ACPLYixing'!$A:$A,$A54,'CF-ACPLYixing'!E:E)</f>
        <v>0</v>
      </c>
      <c r="F54" s="634">
        <f>SUMIF('CF-ACPL'!$A:$A,$A54,'CF-ACPL'!F:F)+SUMIF('CF-ACPLHK'!$A:$A,$A54,'CF-ACPLHK'!F:F)+SUMIF('CF-ACPLSZ'!$A:$A,$A54,'CF-ACPLSZ'!F:F)+SUMIF('CF-ACPSZL'!$A:$A,$A54,'CF-ACPSZL'!F:F)+SUMIF('CF-ACPLGZ'!$A:$A,$A54,'CF-ACPLGZ'!F:F)+SUMIF('CF-ACPLYixing'!$A:$A,$A54,'CF-ACPLYixing'!F:F)</f>
        <v>0</v>
      </c>
      <c r="G54" s="634">
        <f>SUMIF('CF-ACPL'!$A:$A,$A54,'CF-ACPL'!G:G)+SUMIF('CF-ACPLHK'!$A:$A,$A54,'CF-ACPLHK'!G:G)+SUMIF('CF-ACPLSZ'!$A:$A,$A54,'CF-ACPLSZ'!G:G)+SUMIF('CF-ACPSZL'!$A:$A,$A54,'CF-ACPSZL'!G:G)+SUMIF('CF-ACPLGZ'!$A:$A,$A54,'CF-ACPLGZ'!G:G)+SUMIF('CF-ACPLYixing'!$A:$A,$A54,'CF-ACPLYixing'!G:G)</f>
        <v>0</v>
      </c>
      <c r="H54" s="634">
        <f>SUMIF('CF-ACPL'!$A:$A,$A54,'CF-ACPL'!H:H)+SUMIF('CF-ACPLHK'!$A:$A,$A54,'CF-ACPLHK'!H:H)+SUMIF('CF-ACPLSZ'!$A:$A,$A54,'CF-ACPLSZ'!H:H)+SUMIF('CF-ACPSZL'!$A:$A,$A54,'CF-ACPSZL'!H:H)+SUMIF('CF-ACPLGZ'!$A:$A,$A54,'CF-ACPLGZ'!H:H)+SUMIF('CF-ACPLYixing'!$A:$A,$A54,'CF-ACPLYixing'!H:H)</f>
        <v>0</v>
      </c>
      <c r="I54" s="634">
        <f>SUMIF('CF-ACPL'!$A:$A,$A54,'CF-ACPL'!I:I)+SUMIF('CF-ACPLHK'!$A:$A,$A54,'CF-ACPLHK'!I:I)+SUMIF('CF-ACPLSZ'!$A:$A,$A54,'CF-ACPLSZ'!I:I)+SUMIF('CF-ACPSZL'!$A:$A,$A54,'CF-ACPSZL'!I:I)+SUMIF('CF-ACPLGZ'!$A:$A,$A54,'CF-ACPLGZ'!I:I)+SUMIF('CF-ACPLYixing'!$A:$A,$A54,'CF-ACPLYixing'!I:I)</f>
        <v>0</v>
      </c>
      <c r="J54" s="634">
        <f>SUMIF('CF-ACPL'!$A:$A,$A54,'CF-ACPL'!J:J)+SUMIF('CF-ACPLHK'!$A:$A,$A54,'CF-ACPLHK'!J:J)+SUMIF('CF-ACPLSZ'!$A:$A,$A54,'CF-ACPLSZ'!J:J)+SUMIF('CF-ACPSZL'!$A:$A,$A54,'CF-ACPSZL'!J:J)+SUMIF('CF-ACPLGZ'!$A:$A,$A54,'CF-ACPLGZ'!J:J)+SUMIF('CF-ACPLYixing'!$A:$A,$A54,'CF-ACPLYixing'!J:J)</f>
        <v>0</v>
      </c>
      <c r="K54" s="634">
        <f>SUMIF('CF-ACPL'!$A:$A,$A54,'CF-ACPL'!K:K)+SUMIF('CF-ACPLHK'!$A:$A,$A54,'CF-ACPLHK'!K:K)+SUMIF('CF-ACPLSZ'!$A:$A,$A54,'CF-ACPLSZ'!K:K)+SUMIF('CF-ACPSZL'!$A:$A,$A54,'CF-ACPSZL'!K:K)+SUMIF('CF-ACPLGZ'!$A:$A,$A54,'CF-ACPLGZ'!K:K)+SUMIF('CF-ACPLYixing'!$A:$A,$A54,'CF-ACPLYixing'!K:K)</f>
        <v>0</v>
      </c>
      <c r="L54" s="634">
        <f>SUMIF('CF-ACPL'!$A:$A,$A54,'CF-ACPL'!L:L)+SUMIF('CF-ACPLHK'!$A:$A,$A54,'CF-ACPLHK'!L:L)+SUMIF('CF-ACPLSZ'!$A:$A,$A54,'CF-ACPLSZ'!L:L)+SUMIF('CF-ACPSZL'!$A:$A,$A54,'CF-ACPSZL'!L:L)+SUMIF('CF-ACPLGZ'!$A:$A,$A54,'CF-ACPLGZ'!L:L)+SUMIF('CF-ACPLYixing'!$A:$A,$A54,'CF-ACPLYixing'!L:L)</f>
        <v>0</v>
      </c>
      <c r="M54" s="634">
        <f>SUMIF('CF-ACPL'!$A:$A,$A54,'CF-ACPL'!M:M)+SUMIF('CF-ACPLHK'!$A:$A,$A54,'CF-ACPLHK'!M:M)+SUMIF('CF-ACPLSZ'!$A:$A,$A54,'CF-ACPLSZ'!M:M)+SUMIF('CF-ACPSZL'!$A:$A,$A54,'CF-ACPSZL'!M:M)+SUMIF('CF-ACPLGZ'!$A:$A,$A54,'CF-ACPLGZ'!M:M)+SUMIF('CF-ACPLYixing'!$A:$A,$A54,'CF-ACPLYixing'!M:M)</f>
        <v>0</v>
      </c>
      <c r="N54" s="634">
        <f>SUMIF('CF-ACPL'!$A:$A,$A54,'CF-ACPL'!N:N)+SUMIF('CF-ACPLHK'!$A:$A,$A54,'CF-ACPLHK'!N:N)+SUMIF('CF-ACPLSZ'!$A:$A,$A54,'CF-ACPLSZ'!N:N)+SUMIF('CF-ACPSZL'!$A:$A,$A54,'CF-ACPSZL'!N:N)+SUMIF('CF-ACPLGZ'!$A:$A,$A54,'CF-ACPLGZ'!N:N)+SUMIF('CF-ACPLYixing'!$A:$A,$A54,'CF-ACPLYixing'!N:N)</f>
        <v>0</v>
      </c>
      <c r="O54" s="634">
        <f>SUMIF('CF-ACPL'!$A:$A,$A54,'CF-ACPL'!O:O)+SUMIF('CF-ACPLHK'!$A:$A,$A54,'CF-ACPLHK'!O:O)+SUMIF('CF-ACPLSZ'!$A:$A,$A54,'CF-ACPLSZ'!O:O)+SUMIF('CF-ACPSZL'!$A:$A,$A54,'CF-ACPSZL'!O:O)+SUMIF('CF-ACPLGZ'!$A:$A,$A54,'CF-ACPLGZ'!O:O)+SUMIF('CF-ACPLYixing'!$A:$A,$A54,'CF-ACPLYixing'!O:O)</f>
        <v>0</v>
      </c>
      <c r="P54" s="634">
        <f>SUMIF('CF-ACPL'!$A:$A,$A54,'CF-ACPL'!P:P)+SUMIF('CF-ACPLHK'!$A:$A,$A54,'CF-ACPLHK'!P:P)+SUMIF('CF-ACPLSZ'!$A:$A,$A54,'CF-ACPLSZ'!P:P)+SUMIF('CF-ACPSZL'!$A:$A,$A54,'CF-ACPSZL'!P:P)+SUMIF('CF-ACPLGZ'!$A:$A,$A54,'CF-ACPLGZ'!P:P)+SUMIF('CF-ACPLYixing'!$A:$A,$A54,'CF-ACPLYixing'!P:P)</f>
        <v>0</v>
      </c>
      <c r="Q54" s="634">
        <f t="shared" si="36"/>
        <v>0</v>
      </c>
      <c r="R54" s="626"/>
      <c r="S54" s="634">
        <f>SUMIF('CF-ACPL'!$A:$A,$A54,'CF-ACPL'!S:S)+SUMIF('CF-ACPLHK'!$A:$A,$A54,'CF-ACPLHK'!S:S)+SUMIF('CF-ACPLSZ'!$A:$A,$A54,'CF-ACPLSZ'!S:S)+SUMIF('CF-ACPSZL'!$A:$A,$A54,'CF-ACPSZL'!S:S)+SUMIF('CF-ACPLGZ'!$A:$A,$A54,'CF-ACPLGZ'!S:S)+SUMIF('CF-ACPLYixing'!$A:$A,$A54,'CF-ACPLYixing'!S:S)</f>
        <v>0</v>
      </c>
      <c r="T54" s="634">
        <f>SUMIF('CF-ACPL'!$A:$A,$A54,'CF-ACPL'!T:T)+SUMIF('CF-ACPLHK'!$A:$A,$A54,'CF-ACPLHK'!T:T)+SUMIF('CF-ACPLSZ'!$A:$A,$A54,'CF-ACPLSZ'!T:T)+SUMIF('CF-ACPSZL'!$A:$A,$A54,'CF-ACPSZL'!T:T)+SUMIF('CF-ACPLGZ'!$A:$A,$A54,'CF-ACPLGZ'!T:T)+SUMIF('CF-ACPLYixing'!$A:$A,$A54,'CF-ACPLYixing'!T:T)</f>
        <v>0</v>
      </c>
      <c r="U54" s="634">
        <f>SUMIF('CF-ACPL'!$A:$A,$A54,'CF-ACPL'!U:U)+SUMIF('CF-ACPLHK'!$A:$A,$A54,'CF-ACPLHK'!U:U)+SUMIF('CF-ACPLSZ'!$A:$A,$A54,'CF-ACPLSZ'!U:U)+SUMIF('CF-ACPSZL'!$A:$A,$A54,'CF-ACPSZL'!U:U)+SUMIF('CF-ACPLGZ'!$A:$A,$A54,'CF-ACPLGZ'!U:U)+SUMIF('CF-ACPLYixing'!$A:$A,$A54,'CF-ACPLYixing'!U:U)</f>
        <v>0</v>
      </c>
      <c r="V54" s="634">
        <f>SUMIF('CF-ACPL'!$A:$A,$A54,'CF-ACPL'!V:V)+SUMIF('CF-ACPLHK'!$A:$A,$A54,'CF-ACPLHK'!V:V)+SUMIF('CF-ACPLSZ'!$A:$A,$A54,'CF-ACPLSZ'!V:V)+SUMIF('CF-ACPSZL'!$A:$A,$A54,'CF-ACPSZL'!V:V)+SUMIF('CF-ACPLGZ'!$A:$A,$A54,'CF-ACPLGZ'!V:V)+SUMIF('CF-ACPLYixing'!$A:$A,$A54,'CF-ACPLYixing'!V:V)</f>
        <v>0</v>
      </c>
      <c r="W54" s="634">
        <f>SUMIF('CF-ACPL'!$A:$A,$A54,'CF-ACPL'!W:W)+SUMIF('CF-ACPLHK'!$A:$A,$A54,'CF-ACPLHK'!W:W)+SUMIF('CF-ACPLSZ'!$A:$A,$A54,'CF-ACPLSZ'!W:W)+SUMIF('CF-ACPSZL'!$A:$A,$A54,'CF-ACPSZL'!W:W)+SUMIF('CF-ACPLGZ'!$A:$A,$A54,'CF-ACPLGZ'!W:W)+SUMIF('CF-ACPLYixing'!$A:$A,$A54,'CF-ACPLYixing'!W:W)</f>
        <v>0</v>
      </c>
      <c r="X54" s="634">
        <f>SUMIF('CF-ACPL'!$A:$A,$A54,'CF-ACPL'!X:X)+SUMIF('CF-ACPLHK'!$A:$A,$A54,'CF-ACPLHK'!X:X)+SUMIF('CF-ACPLSZ'!$A:$A,$A54,'CF-ACPLSZ'!X:X)+SUMIF('CF-ACPSZL'!$A:$A,$A54,'CF-ACPSZL'!X:X)+SUMIF('CF-ACPLGZ'!$A:$A,$A54,'CF-ACPLGZ'!X:X)+SUMIF('CF-ACPLYixing'!$A:$A,$A54,'CF-ACPLYixing'!X:X)</f>
        <v>0</v>
      </c>
      <c r="Y54" s="634">
        <f>SUMIF('CF-ACPL'!$A:$A,$A54,'CF-ACPL'!Y:Y)+SUMIF('CF-ACPLHK'!$A:$A,$A54,'CF-ACPLHK'!Y:Y)+SUMIF('CF-ACPLSZ'!$A:$A,$A54,'CF-ACPLSZ'!Y:Y)+SUMIF('CF-ACPSZL'!$A:$A,$A54,'CF-ACPSZL'!Y:Y)+SUMIF('CF-ACPLGZ'!$A:$A,$A54,'CF-ACPLGZ'!Y:Y)+SUMIF('CF-ACPLYixing'!$A:$A,$A54,'CF-ACPLYixing'!Y:Y)</f>
        <v>0</v>
      </c>
      <c r="Z54" s="634">
        <f>SUMIF('CF-ACPL'!$A:$A,$A54,'CF-ACPL'!Z:Z)+SUMIF('CF-ACPLHK'!$A:$A,$A54,'CF-ACPLHK'!Z:Z)+SUMIF('CF-ACPLSZ'!$A:$A,$A54,'CF-ACPLSZ'!Z:Z)+SUMIF('CF-ACPSZL'!$A:$A,$A54,'CF-ACPSZL'!Z:Z)+SUMIF('CF-ACPLGZ'!$A:$A,$A54,'CF-ACPLGZ'!Z:Z)+SUMIF('CF-ACPLYixing'!$A:$A,$A54,'CF-ACPLYixing'!Z:Z)</f>
        <v>0</v>
      </c>
      <c r="AA54" s="634">
        <f>SUMIF('CF-ACPL'!$A:$A,$A54,'CF-ACPL'!AA:AA)+SUMIF('CF-ACPLHK'!$A:$A,$A54,'CF-ACPLHK'!AA:AA)+SUMIF('CF-ACPLSZ'!$A:$A,$A54,'CF-ACPLSZ'!AA:AA)+SUMIF('CF-ACPSZL'!$A:$A,$A54,'CF-ACPSZL'!AA:AA)+SUMIF('CF-ACPLGZ'!$A:$A,$A54,'CF-ACPLGZ'!AA:AA)+SUMIF('CF-ACPLYixing'!$A:$A,$A54,'CF-ACPLYixing'!AA:AA)</f>
        <v>0</v>
      </c>
      <c r="AB54" s="634">
        <f>SUMIF('CF-ACPL'!$A:$A,$A54,'CF-ACPL'!AB:AB)+SUMIF('CF-ACPLHK'!$A:$A,$A54,'CF-ACPLHK'!AB:AB)+SUMIF('CF-ACPLSZ'!$A:$A,$A54,'CF-ACPLSZ'!AB:AB)+SUMIF('CF-ACPSZL'!$A:$A,$A54,'CF-ACPSZL'!AB:AB)+SUMIF('CF-ACPLGZ'!$A:$A,$A54,'CF-ACPLGZ'!AB:AB)+SUMIF('CF-ACPLYixing'!$A:$A,$A54,'CF-ACPLYixing'!AB:AB)</f>
        <v>0</v>
      </c>
      <c r="AC54" s="634">
        <f>SUMIF('CF-ACPL'!$A:$A,$A54,'CF-ACPL'!AC:AC)+SUMIF('CF-ACPLHK'!$A:$A,$A54,'CF-ACPLHK'!AC:AC)+SUMIF('CF-ACPLSZ'!$A:$A,$A54,'CF-ACPLSZ'!AC:AC)+SUMIF('CF-ACPSZL'!$A:$A,$A54,'CF-ACPSZL'!AC:AC)+SUMIF('CF-ACPLGZ'!$A:$A,$A54,'CF-ACPLGZ'!AC:AC)+SUMIF('CF-ACPLYixing'!$A:$A,$A54,'CF-ACPLYixing'!AC:AC)</f>
        <v>0</v>
      </c>
      <c r="AD54" s="634">
        <f>SUMIF('CF-ACPL'!$A:$A,$A54,'CF-ACPL'!AD:AD)+SUMIF('CF-ACPLHK'!$A:$A,$A54,'CF-ACPLHK'!AD:AD)+SUMIF('CF-ACPLSZ'!$A:$A,$A54,'CF-ACPLSZ'!AD:AD)+SUMIF('CF-ACPSZL'!$A:$A,$A54,'CF-ACPSZL'!AD:AD)+SUMIF('CF-ACPLGZ'!$A:$A,$A54,'CF-ACPLGZ'!AD:AD)+SUMIF('CF-ACPLYixing'!$A:$A,$A54,'CF-ACPLYixing'!AD:AD)</f>
        <v>0</v>
      </c>
      <c r="AE54" s="640"/>
    </row>
    <row r="55" spans="1:33" ht="16.5" customHeight="1">
      <c r="B55" s="625"/>
      <c r="C55" s="625"/>
      <c r="D55" s="625"/>
      <c r="E55" s="626"/>
      <c r="F55" s="626"/>
      <c r="G55" s="626"/>
      <c r="H55" s="626"/>
      <c r="I55" s="626"/>
      <c r="J55" s="626"/>
      <c r="K55" s="626"/>
      <c r="L55" s="626"/>
      <c r="M55" s="626"/>
      <c r="N55" s="626"/>
      <c r="O55" s="626"/>
      <c r="P55" s="626"/>
      <c r="Q55" s="626"/>
      <c r="R55" s="626"/>
      <c r="S55" s="626"/>
      <c r="T55" s="626"/>
      <c r="U55" s="626"/>
      <c r="V55" s="626"/>
      <c r="W55" s="626"/>
      <c r="X55" s="626"/>
      <c r="Y55" s="626"/>
      <c r="Z55" s="626"/>
      <c r="AA55" s="626"/>
      <c r="AB55" s="626"/>
      <c r="AC55" s="626"/>
      <c r="AD55" s="626"/>
      <c r="AE55" s="626"/>
    </row>
    <row r="56" spans="1:33" s="608" customFormat="1" ht="16.5" customHeight="1">
      <c r="A56" s="608" t="s">
        <v>2593</v>
      </c>
      <c r="B56" s="634">
        <f ca="1">INDEX($E56:$P56,1,MATCH($B$4,$E$4:$P$4))</f>
        <v>11798326.167585377</v>
      </c>
      <c r="C56" s="634">
        <f ca="1">SUM($E56:OFFSET($E56,0,MATCH($C$4,$E$4:$P$4)-1))</f>
        <v>11798326.167585377</v>
      </c>
      <c r="D56" s="634"/>
      <c r="E56" s="622">
        <f t="shared" ref="E56:Q56" ca="1" si="42">SUM(E29,E42,E52,E54)</f>
        <v>11798326.167585377</v>
      </c>
      <c r="F56" s="622">
        <f t="shared" ca="1" si="42"/>
        <v>13103388.710100833</v>
      </c>
      <c r="G56" s="622">
        <f t="shared" ca="1" si="42"/>
        <v>-14204931.343164474</v>
      </c>
      <c r="H56" s="622">
        <f t="shared" ca="1" si="42"/>
        <v>3280724.6178689525</v>
      </c>
      <c r="I56" s="622">
        <f t="shared" ca="1" si="42"/>
        <v>-4521798.6928101769</v>
      </c>
      <c r="J56" s="622">
        <f t="shared" ca="1" si="42"/>
        <v>-2446008.5231803292</v>
      </c>
      <c r="K56" s="622">
        <f t="shared" ca="1" si="42"/>
        <v>-610097.83983241313</v>
      </c>
      <c r="L56" s="622">
        <f t="shared" ca="1" si="42"/>
        <v>17735871.256434165</v>
      </c>
      <c r="M56" s="622">
        <f t="shared" ca="1" si="42"/>
        <v>-2411966.6255658334</v>
      </c>
      <c r="N56" s="622">
        <f t="shared" ca="1" si="42"/>
        <v>1289176.3563465273</v>
      </c>
      <c r="O56" s="622">
        <f t="shared" ca="1" si="42"/>
        <v>-2175652.0452358332</v>
      </c>
      <c r="P56" s="622">
        <f t="shared" ca="1" si="42"/>
        <v>-12729641.063175458</v>
      </c>
      <c r="Q56" s="622">
        <f t="shared" ca="1" si="42"/>
        <v>8107390.9753713384</v>
      </c>
      <c r="R56" s="623"/>
      <c r="S56" s="622">
        <f t="shared" ref="S56:AD56" si="43">SUM(S29,S42,S52,S54)</f>
        <v>0</v>
      </c>
      <c r="T56" s="622">
        <f t="shared" si="43"/>
        <v>0</v>
      </c>
      <c r="U56" s="622">
        <f t="shared" si="43"/>
        <v>0</v>
      </c>
      <c r="V56" s="622">
        <f t="shared" si="43"/>
        <v>0</v>
      </c>
      <c r="W56" s="622">
        <f t="shared" si="43"/>
        <v>0</v>
      </c>
      <c r="X56" s="622">
        <f t="shared" si="43"/>
        <v>0</v>
      </c>
      <c r="Y56" s="622">
        <f t="shared" si="43"/>
        <v>0</v>
      </c>
      <c r="Z56" s="622">
        <f t="shared" si="43"/>
        <v>0</v>
      </c>
      <c r="AA56" s="622">
        <f t="shared" si="43"/>
        <v>0</v>
      </c>
      <c r="AB56" s="622">
        <f t="shared" si="43"/>
        <v>0</v>
      </c>
      <c r="AC56" s="622">
        <f t="shared" si="43"/>
        <v>0</v>
      </c>
      <c r="AD56" s="622">
        <f t="shared" si="43"/>
        <v>0</v>
      </c>
      <c r="AE56" s="622">
        <f t="shared" ref="AE56" si="44">SUM(AE29,AE42,AE52,AE54)</f>
        <v>0</v>
      </c>
    </row>
    <row r="57" spans="1:33" ht="16.5" customHeight="1">
      <c r="B57" s="625"/>
      <c r="C57" s="625"/>
      <c r="D57" s="625"/>
      <c r="E57" s="626"/>
      <c r="F57" s="626"/>
      <c r="G57" s="626"/>
      <c r="H57" s="626"/>
      <c r="I57" s="626"/>
      <c r="J57" s="626"/>
      <c r="K57" s="626"/>
      <c r="L57" s="626"/>
      <c r="M57" s="626"/>
      <c r="N57" s="626"/>
      <c r="O57" s="626"/>
      <c r="P57" s="626"/>
      <c r="Q57" s="626"/>
      <c r="R57" s="626"/>
      <c r="S57" s="626"/>
      <c r="T57" s="626"/>
      <c r="U57" s="626"/>
      <c r="V57" s="626"/>
      <c r="W57" s="626"/>
      <c r="X57" s="626"/>
      <c r="Y57" s="626"/>
      <c r="Z57" s="626"/>
      <c r="AA57" s="626"/>
      <c r="AB57" s="626"/>
      <c r="AC57" s="626"/>
      <c r="AD57" s="626"/>
      <c r="AE57" s="626"/>
    </row>
    <row r="58" spans="1:33" s="608" customFormat="1" ht="16.5" customHeight="1">
      <c r="A58" s="608" t="s">
        <v>2594</v>
      </c>
      <c r="B58" s="634">
        <f ca="1">INDEX($E58:$P58,1,MATCH($B$4,$E$4:$P$4))</f>
        <v>17400405.887585379</v>
      </c>
      <c r="C58" s="634">
        <f ca="1">SUM($E58:OFFSET($E58,0,MATCH($C$4,$E$4:$P$4)-1))</f>
        <v>17400405.887585379</v>
      </c>
      <c r="D58" s="634"/>
      <c r="E58" s="622">
        <f t="shared" ref="E58:Q58" ca="1" si="45">E10+E56</f>
        <v>17400405.887585379</v>
      </c>
      <c r="F58" s="622">
        <f t="shared" ca="1" si="45"/>
        <v>30503794.597686213</v>
      </c>
      <c r="G58" s="622">
        <f t="shared" ca="1" si="45"/>
        <v>16298863.254521739</v>
      </c>
      <c r="H58" s="622">
        <f t="shared" ca="1" si="45"/>
        <v>19579587.872390691</v>
      </c>
      <c r="I58" s="622">
        <f t="shared" ca="1" si="45"/>
        <v>15057789.179580513</v>
      </c>
      <c r="J58" s="622">
        <f t="shared" ca="1" si="45"/>
        <v>12611780.656400185</v>
      </c>
      <c r="K58" s="622">
        <f t="shared" ca="1" si="45"/>
        <v>12001682.816567771</v>
      </c>
      <c r="L58" s="622">
        <f t="shared" ca="1" si="45"/>
        <v>29737554.073001936</v>
      </c>
      <c r="M58" s="622">
        <f t="shared" ca="1" si="45"/>
        <v>27325587.447436102</v>
      </c>
      <c r="N58" s="622">
        <f t="shared" ca="1" si="45"/>
        <v>28614763.803782631</v>
      </c>
      <c r="O58" s="622">
        <f t="shared" ca="1" si="45"/>
        <v>26439111.758546799</v>
      </c>
      <c r="P58" s="622">
        <f t="shared" ca="1" si="45"/>
        <v>13709470.695371341</v>
      </c>
      <c r="Q58" s="622">
        <f t="shared" ca="1" si="45"/>
        <v>13709470.695371339</v>
      </c>
      <c r="R58" s="623"/>
      <c r="S58" s="622">
        <f t="shared" ref="S58:AD58" ca="1" si="46">S10+S56</f>
        <v>13709470.695371341</v>
      </c>
      <c r="T58" s="622">
        <f t="shared" ca="1" si="46"/>
        <v>13709470.695371341</v>
      </c>
      <c r="U58" s="622">
        <f t="shared" ca="1" si="46"/>
        <v>13709470.695371341</v>
      </c>
      <c r="V58" s="622">
        <f t="shared" ca="1" si="46"/>
        <v>13709470.695371341</v>
      </c>
      <c r="W58" s="622">
        <f t="shared" ca="1" si="46"/>
        <v>13709470.695371341</v>
      </c>
      <c r="X58" s="622">
        <f t="shared" ca="1" si="46"/>
        <v>13709470.695371341</v>
      </c>
      <c r="Y58" s="622">
        <f t="shared" ca="1" si="46"/>
        <v>13709470.695371341</v>
      </c>
      <c r="Z58" s="622">
        <f t="shared" ca="1" si="46"/>
        <v>13709470.695371341</v>
      </c>
      <c r="AA58" s="622">
        <f t="shared" ca="1" si="46"/>
        <v>13709470.695371341</v>
      </c>
      <c r="AB58" s="622">
        <f t="shared" ca="1" si="46"/>
        <v>13709470.695371341</v>
      </c>
      <c r="AC58" s="622">
        <f t="shared" ca="1" si="46"/>
        <v>13709470.695371341</v>
      </c>
      <c r="AD58" s="622">
        <f t="shared" ca="1" si="46"/>
        <v>13709470.695371341</v>
      </c>
      <c r="AE58" s="622">
        <f t="shared" ref="AE58" ca="1" si="47">AE10+AE56</f>
        <v>13709470.695371341</v>
      </c>
    </row>
    <row r="59" spans="1:33" ht="16.5" customHeight="1">
      <c r="E59" s="641"/>
      <c r="F59" s="641"/>
      <c r="G59" s="641"/>
      <c r="H59" s="641"/>
      <c r="I59" s="641"/>
      <c r="J59" s="641"/>
      <c r="K59" s="641"/>
      <c r="L59" s="641"/>
      <c r="M59" s="641"/>
      <c r="N59" s="641"/>
      <c r="O59" s="641"/>
      <c r="P59" s="641"/>
      <c r="Q59" s="641"/>
      <c r="R59" s="641"/>
      <c r="S59" s="641"/>
      <c r="T59" s="641"/>
      <c r="U59" s="641"/>
      <c r="V59" s="641"/>
      <c r="W59" s="641"/>
      <c r="X59" s="641"/>
      <c r="Y59" s="641"/>
      <c r="Z59" s="641"/>
      <c r="AA59" s="641"/>
      <c r="AB59" s="641"/>
      <c r="AC59" s="641"/>
      <c r="AD59" s="641"/>
      <c r="AE59" s="641"/>
    </row>
    <row r="60" spans="1:33" s="609" customFormat="1" ht="16.5" customHeight="1">
      <c r="A60" s="609" t="s">
        <v>2595</v>
      </c>
      <c r="B60" s="642"/>
      <c r="C60" s="642"/>
      <c r="D60" s="642"/>
      <c r="E60" s="641"/>
      <c r="F60" s="641"/>
      <c r="G60" s="641"/>
      <c r="H60" s="641"/>
      <c r="I60" s="641"/>
      <c r="J60" s="641"/>
      <c r="K60" s="641"/>
      <c r="L60" s="643"/>
      <c r="M60" s="643"/>
      <c r="N60" s="643"/>
      <c r="O60" s="643"/>
      <c r="P60" s="643"/>
      <c r="Q60" s="643"/>
      <c r="R60" s="644"/>
      <c r="S60" s="643"/>
      <c r="T60" s="643"/>
      <c r="U60" s="643"/>
      <c r="V60" s="643"/>
      <c r="W60" s="643"/>
      <c r="X60" s="643"/>
      <c r="Y60" s="643"/>
      <c r="Z60" s="643"/>
      <c r="AA60" s="643"/>
      <c r="AB60" s="643"/>
      <c r="AC60" s="643"/>
      <c r="AD60" s="643"/>
      <c r="AE60" s="643"/>
    </row>
    <row r="61" spans="1:33" ht="16.5" customHeight="1">
      <c r="E61" s="645"/>
      <c r="F61" s="645"/>
      <c r="G61" s="645"/>
      <c r="H61" s="645"/>
      <c r="I61" s="645"/>
      <c r="J61" s="645"/>
      <c r="K61" s="645"/>
      <c r="L61" s="645"/>
      <c r="M61" s="645"/>
      <c r="N61" s="645"/>
      <c r="O61" s="645"/>
      <c r="P61" s="645"/>
      <c r="Q61" s="645"/>
      <c r="R61" s="641"/>
      <c r="S61" s="645"/>
      <c r="T61" s="645"/>
      <c r="U61" s="645"/>
      <c r="V61" s="645"/>
      <c r="W61" s="645"/>
      <c r="X61" s="645"/>
      <c r="Y61" s="645"/>
      <c r="Z61" s="645"/>
      <c r="AA61" s="645"/>
      <c r="AB61" s="645"/>
      <c r="AC61" s="645"/>
      <c r="AD61" s="645"/>
      <c r="AE61" s="645"/>
    </row>
    <row r="62" spans="1:33" ht="16.5" customHeight="1">
      <c r="E62" s="645"/>
      <c r="F62" s="645"/>
      <c r="G62" s="645"/>
      <c r="H62" s="645"/>
      <c r="I62" s="645"/>
      <c r="J62" s="645"/>
      <c r="K62" s="645"/>
      <c r="L62" s="645"/>
      <c r="M62" s="645"/>
      <c r="N62" s="645"/>
      <c r="O62" s="645"/>
      <c r="P62" s="645"/>
      <c r="Q62" s="645"/>
      <c r="R62" s="641"/>
      <c r="S62" s="645"/>
      <c r="T62" s="645"/>
      <c r="U62" s="645"/>
      <c r="V62" s="645"/>
      <c r="W62" s="645"/>
      <c r="X62" s="645"/>
      <c r="Y62" s="645"/>
      <c r="Z62" s="645"/>
      <c r="AA62" s="645"/>
      <c r="AB62" s="645"/>
      <c r="AC62" s="645"/>
      <c r="AD62" s="645"/>
      <c r="AE62" s="645"/>
    </row>
    <row r="63" spans="1:33" ht="16.5" customHeight="1">
      <c r="E63" s="645"/>
      <c r="F63" s="645"/>
      <c r="G63" s="645"/>
      <c r="H63" s="645"/>
      <c r="I63" s="645"/>
      <c r="J63" s="645"/>
      <c r="K63" s="645"/>
      <c r="L63" s="645"/>
      <c r="M63" s="645"/>
      <c r="N63" s="645"/>
      <c r="O63" s="645"/>
      <c r="P63" s="645"/>
      <c r="Q63" s="645"/>
      <c r="R63" s="641"/>
      <c r="S63" s="645"/>
      <c r="T63" s="645"/>
      <c r="U63" s="645"/>
      <c r="V63" s="645"/>
      <c r="W63" s="645"/>
      <c r="X63" s="645"/>
      <c r="Y63" s="645"/>
      <c r="Z63" s="645"/>
      <c r="AA63" s="645"/>
      <c r="AB63" s="645"/>
      <c r="AC63" s="645"/>
      <c r="AD63" s="645"/>
      <c r="AE63" s="645"/>
    </row>
    <row r="64" spans="1:33" ht="16.5" customHeight="1">
      <c r="E64" s="645"/>
      <c r="F64" s="645"/>
      <c r="G64" s="645"/>
      <c r="H64" s="645"/>
      <c r="I64" s="645"/>
      <c r="J64" s="645"/>
      <c r="K64" s="645"/>
      <c r="L64" s="645"/>
      <c r="M64" s="645"/>
      <c r="N64" s="645"/>
      <c r="O64" s="645"/>
      <c r="P64" s="645"/>
      <c r="Q64" s="645"/>
      <c r="R64" s="641"/>
      <c r="S64" s="645"/>
      <c r="T64" s="645"/>
      <c r="U64" s="645"/>
      <c r="V64" s="645"/>
      <c r="W64" s="645"/>
      <c r="X64" s="645"/>
      <c r="Y64" s="645"/>
      <c r="Z64" s="645"/>
      <c r="AA64" s="645"/>
      <c r="AB64" s="645"/>
      <c r="AC64" s="645"/>
      <c r="AD64" s="645"/>
      <c r="AE64" s="645"/>
    </row>
    <row r="65" spans="5:31" ht="16.5" customHeight="1">
      <c r="E65" s="645"/>
      <c r="F65" s="645"/>
      <c r="G65" s="645"/>
      <c r="H65" s="645"/>
      <c r="I65" s="645"/>
      <c r="J65" s="645"/>
      <c r="K65" s="645"/>
      <c r="L65" s="645"/>
      <c r="M65" s="645"/>
      <c r="N65" s="645"/>
      <c r="O65" s="645"/>
      <c r="P65" s="645"/>
      <c r="Q65" s="645"/>
      <c r="R65" s="641"/>
      <c r="S65" s="645"/>
      <c r="T65" s="645"/>
      <c r="U65" s="645"/>
      <c r="V65" s="645"/>
      <c r="W65" s="645"/>
      <c r="X65" s="645"/>
      <c r="Y65" s="645"/>
      <c r="Z65" s="645"/>
      <c r="AA65" s="645"/>
      <c r="AB65" s="645"/>
      <c r="AC65" s="645"/>
      <c r="AD65" s="645"/>
      <c r="AE65" s="645"/>
    </row>
    <row r="66" spans="5:31" ht="16.5" customHeight="1">
      <c r="E66" s="645"/>
      <c r="F66" s="645"/>
      <c r="G66" s="645"/>
      <c r="H66" s="645"/>
      <c r="I66" s="645"/>
      <c r="J66" s="645"/>
      <c r="K66" s="645"/>
      <c r="L66" s="645"/>
      <c r="M66" s="645"/>
      <c r="N66" s="645"/>
      <c r="O66" s="645"/>
      <c r="P66" s="645"/>
      <c r="Q66" s="645"/>
      <c r="R66" s="641"/>
      <c r="S66" s="645"/>
      <c r="T66" s="645"/>
      <c r="U66" s="645"/>
      <c r="V66" s="645"/>
      <c r="W66" s="645"/>
      <c r="X66" s="645"/>
      <c r="Y66" s="645"/>
      <c r="Z66" s="645"/>
      <c r="AA66" s="645"/>
      <c r="AB66" s="645"/>
      <c r="AC66" s="645"/>
      <c r="AD66" s="645"/>
      <c r="AE66" s="645"/>
    </row>
    <row r="67" spans="5:31" ht="16.5" customHeight="1">
      <c r="E67" s="645"/>
      <c r="F67" s="645"/>
      <c r="G67" s="645"/>
      <c r="H67" s="645"/>
      <c r="I67" s="645"/>
      <c r="J67" s="645"/>
      <c r="K67" s="645"/>
      <c r="L67" s="645"/>
      <c r="M67" s="645"/>
      <c r="N67" s="645"/>
      <c r="O67" s="645"/>
      <c r="P67" s="645"/>
      <c r="Q67" s="645"/>
      <c r="R67" s="641"/>
      <c r="S67" s="645"/>
      <c r="T67" s="645"/>
      <c r="U67" s="645"/>
      <c r="V67" s="645"/>
      <c r="W67" s="645"/>
      <c r="X67" s="645"/>
      <c r="Y67" s="645"/>
      <c r="Z67" s="645"/>
      <c r="AA67" s="645"/>
      <c r="AB67" s="645"/>
      <c r="AC67" s="645"/>
      <c r="AD67" s="645"/>
      <c r="AE67" s="645"/>
    </row>
    <row r="68" spans="5:31" ht="16.5" customHeight="1">
      <c r="E68" s="645"/>
      <c r="F68" s="645"/>
      <c r="G68" s="645"/>
      <c r="H68" s="645"/>
      <c r="I68" s="645"/>
      <c r="J68" s="645"/>
      <c r="K68" s="645"/>
      <c r="L68" s="645"/>
      <c r="M68" s="645"/>
      <c r="N68" s="645"/>
      <c r="O68" s="645"/>
      <c r="P68" s="645"/>
      <c r="Q68" s="645"/>
      <c r="R68" s="641"/>
      <c r="S68" s="645"/>
      <c r="T68" s="645"/>
      <c r="U68" s="645"/>
      <c r="V68" s="645"/>
      <c r="W68" s="645"/>
      <c r="X68" s="645"/>
      <c r="Y68" s="645"/>
      <c r="Z68" s="645"/>
      <c r="AA68" s="645"/>
      <c r="AB68" s="645"/>
      <c r="AC68" s="645"/>
      <c r="AD68" s="645"/>
      <c r="AE68" s="645"/>
    </row>
    <row r="69" spans="5:31" ht="16.5" customHeight="1">
      <c r="E69" s="645"/>
      <c r="F69" s="645"/>
      <c r="G69" s="645"/>
      <c r="H69" s="645"/>
      <c r="I69" s="645"/>
      <c r="J69" s="645"/>
      <c r="K69" s="645"/>
      <c r="L69" s="645"/>
      <c r="M69" s="645"/>
      <c r="N69" s="645"/>
      <c r="O69" s="645"/>
      <c r="P69" s="645"/>
      <c r="Q69" s="645"/>
      <c r="R69" s="641"/>
      <c r="S69" s="645"/>
      <c r="T69" s="645"/>
      <c r="U69" s="645"/>
      <c r="V69" s="645"/>
      <c r="W69" s="645"/>
      <c r="X69" s="645"/>
      <c r="Y69" s="645"/>
      <c r="Z69" s="645"/>
      <c r="AA69" s="645"/>
      <c r="AB69" s="645"/>
      <c r="AC69" s="645"/>
      <c r="AD69" s="645"/>
      <c r="AE69" s="645"/>
    </row>
    <row r="70" spans="5:31" ht="16.5" customHeight="1">
      <c r="E70" s="645"/>
      <c r="F70" s="645"/>
      <c r="G70" s="645"/>
      <c r="H70" s="645"/>
      <c r="I70" s="645"/>
      <c r="J70" s="645"/>
      <c r="K70" s="645"/>
      <c r="L70" s="645"/>
      <c r="M70" s="645"/>
      <c r="N70" s="645"/>
      <c r="O70" s="645"/>
      <c r="P70" s="645"/>
      <c r="Q70" s="645"/>
      <c r="R70" s="641"/>
      <c r="S70" s="645"/>
      <c r="T70" s="645"/>
      <c r="U70" s="645"/>
      <c r="V70" s="645"/>
      <c r="W70" s="645"/>
      <c r="X70" s="645"/>
      <c r="Y70" s="645"/>
      <c r="Z70" s="645"/>
      <c r="AA70" s="645"/>
      <c r="AB70" s="645"/>
      <c r="AC70" s="645"/>
      <c r="AD70" s="645"/>
      <c r="AE70" s="645"/>
    </row>
    <row r="71" spans="5:31" ht="16.5" customHeight="1">
      <c r="E71" s="645"/>
      <c r="F71" s="645"/>
      <c r="G71" s="645"/>
      <c r="H71" s="645"/>
      <c r="I71" s="645"/>
      <c r="J71" s="645"/>
      <c r="K71" s="645"/>
      <c r="L71" s="645"/>
      <c r="M71" s="645"/>
      <c r="N71" s="645"/>
      <c r="O71" s="645"/>
      <c r="P71" s="645"/>
      <c r="Q71" s="645"/>
      <c r="R71" s="641"/>
      <c r="S71" s="645"/>
      <c r="T71" s="645"/>
      <c r="U71" s="645"/>
      <c r="V71" s="645"/>
      <c r="W71" s="645"/>
      <c r="X71" s="645"/>
      <c r="Y71" s="645"/>
      <c r="Z71" s="645"/>
      <c r="AA71" s="645"/>
      <c r="AB71" s="645"/>
      <c r="AC71" s="645"/>
      <c r="AD71" s="645"/>
      <c r="AE71" s="645"/>
    </row>
    <row r="72" spans="5:31" ht="16.5" customHeight="1">
      <c r="E72" s="645"/>
      <c r="F72" s="645"/>
      <c r="G72" s="645"/>
      <c r="H72" s="645"/>
      <c r="I72" s="645"/>
      <c r="J72" s="645"/>
      <c r="K72" s="645"/>
      <c r="L72" s="645"/>
      <c r="M72" s="645"/>
      <c r="N72" s="645"/>
      <c r="O72" s="645"/>
      <c r="P72" s="645"/>
      <c r="Q72" s="645"/>
      <c r="R72" s="641"/>
      <c r="S72" s="645"/>
      <c r="T72" s="645"/>
      <c r="U72" s="645"/>
      <c r="V72" s="645"/>
      <c r="W72" s="645"/>
      <c r="X72" s="645"/>
      <c r="Y72" s="645"/>
      <c r="Z72" s="645"/>
      <c r="AA72" s="645"/>
      <c r="AB72" s="645"/>
      <c r="AC72" s="645"/>
      <c r="AD72" s="645"/>
      <c r="AE72" s="645"/>
    </row>
    <row r="73" spans="5:31" ht="16.5" customHeight="1">
      <c r="E73" s="645"/>
      <c r="F73" s="645"/>
      <c r="G73" s="645"/>
      <c r="H73" s="645"/>
      <c r="I73" s="645"/>
      <c r="J73" s="645"/>
      <c r="K73" s="645"/>
      <c r="L73" s="645"/>
      <c r="M73" s="645"/>
      <c r="N73" s="645"/>
      <c r="O73" s="645"/>
      <c r="P73" s="645"/>
      <c r="Q73" s="645"/>
      <c r="R73" s="641"/>
      <c r="S73" s="645"/>
      <c r="T73" s="645"/>
      <c r="U73" s="645"/>
      <c r="V73" s="645"/>
      <c r="W73" s="645"/>
      <c r="X73" s="645"/>
      <c r="Y73" s="645"/>
      <c r="Z73" s="645"/>
      <c r="AA73" s="645"/>
      <c r="AB73" s="645"/>
      <c r="AC73" s="645"/>
      <c r="AD73" s="645"/>
      <c r="AE73" s="645"/>
    </row>
    <row r="74" spans="5:31" ht="16.5" customHeight="1">
      <c r="E74" s="645"/>
      <c r="F74" s="645"/>
      <c r="G74" s="645"/>
      <c r="H74" s="645"/>
      <c r="I74" s="645"/>
      <c r="J74" s="645"/>
      <c r="K74" s="645"/>
      <c r="L74" s="645"/>
      <c r="M74" s="645"/>
      <c r="N74" s="645"/>
      <c r="O74" s="645"/>
      <c r="P74" s="645"/>
      <c r="Q74" s="645"/>
      <c r="R74" s="641"/>
      <c r="S74" s="645"/>
      <c r="T74" s="645"/>
      <c r="U74" s="645"/>
      <c r="V74" s="645"/>
      <c r="W74" s="645"/>
      <c r="X74" s="645"/>
      <c r="Y74" s="645"/>
      <c r="Z74" s="645"/>
      <c r="AA74" s="645"/>
      <c r="AB74" s="645"/>
      <c r="AC74" s="645"/>
      <c r="AD74" s="645"/>
      <c r="AE74" s="645"/>
    </row>
    <row r="75" spans="5:31" ht="16.5" customHeight="1">
      <c r="E75" s="645"/>
      <c r="F75" s="645"/>
      <c r="G75" s="645"/>
      <c r="H75" s="645"/>
      <c r="I75" s="645"/>
      <c r="J75" s="645"/>
      <c r="K75" s="645"/>
      <c r="L75" s="645"/>
      <c r="M75" s="645"/>
      <c r="N75" s="645"/>
      <c r="O75" s="645"/>
      <c r="P75" s="645"/>
      <c r="Q75" s="645"/>
      <c r="R75" s="641"/>
      <c r="S75" s="645"/>
      <c r="T75" s="645"/>
      <c r="U75" s="645"/>
      <c r="V75" s="645"/>
      <c r="W75" s="645"/>
      <c r="X75" s="645"/>
      <c r="Y75" s="645"/>
      <c r="Z75" s="645"/>
      <c r="AA75" s="645"/>
      <c r="AB75" s="645"/>
      <c r="AC75" s="645"/>
      <c r="AD75" s="645"/>
      <c r="AE75" s="645"/>
    </row>
    <row r="76" spans="5:31" ht="16.5" customHeight="1">
      <c r="E76" s="645"/>
      <c r="F76" s="645"/>
      <c r="G76" s="645"/>
      <c r="H76" s="645"/>
      <c r="I76" s="645"/>
      <c r="J76" s="645"/>
      <c r="K76" s="645"/>
      <c r="L76" s="645"/>
      <c r="M76" s="645"/>
      <c r="N76" s="645"/>
      <c r="O76" s="645"/>
      <c r="P76" s="645"/>
      <c r="Q76" s="645"/>
      <c r="R76" s="641"/>
      <c r="S76" s="645"/>
      <c r="T76" s="645"/>
      <c r="U76" s="645"/>
      <c r="V76" s="645"/>
      <c r="W76" s="645"/>
      <c r="X76" s="645"/>
      <c r="Y76" s="645"/>
      <c r="Z76" s="645"/>
      <c r="AA76" s="645"/>
      <c r="AB76" s="645"/>
      <c r="AC76" s="645"/>
      <c r="AD76" s="645"/>
      <c r="AE76" s="645"/>
    </row>
  </sheetData>
  <autoFilter ref="A4:AG60" xr:uid="{00000000-0009-0000-0000-000015000000}"/>
  <conditionalFormatting sqref="B3:AE3">
    <cfRule type="cellIs" dxfId="84" priority="1" stopIfTrue="1" operator="equal">
      <formula>"Actual"</formula>
    </cfRule>
    <cfRule type="cellIs" dxfId="83" priority="2" stopIfTrue="1" operator="equal">
      <formula>"Forecast"</formula>
    </cfRule>
    <cfRule type="cellIs" dxfId="82" priority="3" stopIfTrue="1" operator="equal">
      <formula>"Budget"</formula>
    </cfRule>
  </conditionalFormatting>
  <dataValidations count="1">
    <dataValidation type="list" allowBlank="1" showInputMessage="1" showErrorMessage="1" sqref="B3:AE3" xr:uid="{00000000-0002-0000-1500-000000000000}">
      <formula1>"Actual,Forecast,Budget"</formula1>
    </dataValidation>
  </dataValidations>
  <pageMargins left="0.70866141732283505" right="0.70866141732283505" top="0.74803149606299202" bottom="0.74803149606299202" header="0.31496062992126" footer="0.31496062992126"/>
  <pageSetup paperSize="8" scale="83" orientation="landscape"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tint="0.79940183721427049"/>
    <pageSetUpPr fitToPage="1"/>
  </sheetPr>
  <dimension ref="A1:AJ76"/>
  <sheetViews>
    <sheetView zoomScale="70" zoomScaleNormal="70" workbookViewId="0">
      <pane xSplit="1" ySplit="9" topLeftCell="H12" activePane="bottomRight" state="frozen"/>
      <selection pane="topRight" activeCell="B1" sqref="B1"/>
      <selection pane="bottomLeft" activeCell="A10" sqref="A10"/>
      <selection pane="bottomRight" activeCell="H12" sqref="H12"/>
    </sheetView>
  </sheetViews>
  <sheetFormatPr defaultColWidth="8.25" defaultRowHeight="16.5" customHeight="1" outlineLevelRow="1" outlineLevelCol="1"/>
  <cols>
    <col min="1" max="1" width="43.75" style="610" customWidth="1"/>
    <col min="2" max="2" width="15.875" style="611" customWidth="1"/>
    <col min="3" max="3" width="16.75" style="611" customWidth="1"/>
    <col min="4" max="4" width="3.875" style="611" customWidth="1"/>
    <col min="5" max="5" width="14.75" style="610" customWidth="1" outlineLevel="1"/>
    <col min="6" max="6" width="16.625" style="610" customWidth="1" outlineLevel="1"/>
    <col min="7" max="7" width="14.5" style="610" customWidth="1" outlineLevel="1"/>
    <col min="8" max="9" width="14.75" style="610" customWidth="1" outlineLevel="1"/>
    <col min="10" max="16" width="15.625" style="610" customWidth="1" outlineLevel="1"/>
    <col min="17" max="17" width="15.625" style="610" customWidth="1"/>
    <col min="18" max="18" width="12.375" style="610" customWidth="1"/>
    <col min="19" max="29" width="15.625" style="610" customWidth="1" outlineLevel="1"/>
    <col min="30" max="30" width="14.125" style="610" customWidth="1" outlineLevel="1"/>
    <col min="31" max="31" width="15.625" style="610" customWidth="1" outlineLevel="1"/>
    <col min="32" max="32" width="8.375" style="610" customWidth="1"/>
    <col min="33" max="33" width="2.625" style="610" customWidth="1"/>
    <col min="34" max="34" width="8.25" style="610" customWidth="1"/>
    <col min="35" max="16384" width="8.25" style="610"/>
  </cols>
  <sheetData>
    <row r="1" spans="1:36" ht="16.5" customHeight="1">
      <c r="A1" s="5" t="s">
        <v>2482</v>
      </c>
      <c r="B1" s="5"/>
      <c r="C1" s="612" t="s">
        <v>2110</v>
      </c>
      <c r="D1" s="5"/>
    </row>
    <row r="2" spans="1:36" ht="16.5" customHeight="1">
      <c r="C2" s="613">
        <f>'Flash Report'!C2</f>
        <v>46023</v>
      </c>
      <c r="D2" s="613"/>
      <c r="K2" s="611"/>
      <c r="P2" s="611">
        <f>SUM(F17:P17)*-1</f>
        <v>0</v>
      </c>
    </row>
    <row r="3" spans="1:36" ht="16.5" customHeight="1">
      <c r="B3" s="614" t="s">
        <v>2501</v>
      </c>
      <c r="C3" s="614" t="s">
        <v>2501</v>
      </c>
      <c r="D3" s="615"/>
      <c r="E3" s="614" t="s">
        <v>2501</v>
      </c>
      <c r="F3" s="614" t="s">
        <v>2501</v>
      </c>
      <c r="G3" s="614" t="s">
        <v>2501</v>
      </c>
      <c r="H3" s="614" t="s">
        <v>2501</v>
      </c>
      <c r="I3" s="614" t="s">
        <v>2501</v>
      </c>
      <c r="J3" s="614" t="s">
        <v>2501</v>
      </c>
      <c r="K3" s="614" t="s">
        <v>2501</v>
      </c>
      <c r="L3" s="614" t="s">
        <v>2501</v>
      </c>
      <c r="M3" s="614" t="s">
        <v>2501</v>
      </c>
      <c r="N3" s="614" t="s">
        <v>2501</v>
      </c>
      <c r="O3" s="614" t="s">
        <v>2501</v>
      </c>
      <c r="P3" s="614" t="s">
        <v>2501</v>
      </c>
      <c r="Q3" s="614" t="s">
        <v>2501</v>
      </c>
      <c r="R3" s="615"/>
      <c r="S3" s="614" t="s">
        <v>2555</v>
      </c>
      <c r="T3" s="614" t="s">
        <v>2555</v>
      </c>
      <c r="U3" s="614" t="s">
        <v>2555</v>
      </c>
      <c r="V3" s="614" t="s">
        <v>2555</v>
      </c>
      <c r="W3" s="614" t="s">
        <v>2555</v>
      </c>
      <c r="X3" s="614" t="s">
        <v>2555</v>
      </c>
      <c r="Y3" s="614" t="s">
        <v>2555</v>
      </c>
      <c r="Z3" s="614" t="s">
        <v>2555</v>
      </c>
      <c r="AA3" s="614" t="s">
        <v>2555</v>
      </c>
      <c r="AB3" s="614" t="s">
        <v>2555</v>
      </c>
      <c r="AC3" s="614" t="s">
        <v>2555</v>
      </c>
      <c r="AD3" s="614" t="s">
        <v>2555</v>
      </c>
      <c r="AE3" s="614" t="s">
        <v>2555</v>
      </c>
      <c r="AG3" s="616"/>
    </row>
    <row r="4" spans="1:36" s="599" customFormat="1" ht="16.5" customHeight="1">
      <c r="A4" s="599" t="s">
        <v>2439</v>
      </c>
      <c r="B4" s="617">
        <f>C2</f>
        <v>46023</v>
      </c>
      <c r="C4" s="617">
        <f>B4</f>
        <v>46023</v>
      </c>
      <c r="D4" s="617"/>
      <c r="E4" s="617">
        <v>46023</v>
      </c>
      <c r="F4" s="617">
        <v>46054</v>
      </c>
      <c r="G4" s="617">
        <v>46082</v>
      </c>
      <c r="H4" s="617">
        <v>46113</v>
      </c>
      <c r="I4" s="617">
        <v>46143</v>
      </c>
      <c r="J4" s="617">
        <v>46174</v>
      </c>
      <c r="K4" s="617">
        <v>46204</v>
      </c>
      <c r="L4" s="617">
        <v>46235</v>
      </c>
      <c r="M4" s="617">
        <v>46266</v>
      </c>
      <c r="N4" s="617">
        <v>46296</v>
      </c>
      <c r="O4" s="617">
        <v>46327</v>
      </c>
      <c r="P4" s="617">
        <v>46357</v>
      </c>
      <c r="Q4" s="617" t="str">
        <f>'[97]Budget-合并'!T6</f>
        <v>2026 Total</v>
      </c>
      <c r="R4" s="618">
        <f>'[97]Budget-合并'!U6</f>
        <v>0</v>
      </c>
      <c r="S4" s="617">
        <f>'[97]Budget-合并'!V6</f>
        <v>46388</v>
      </c>
      <c r="T4" s="617">
        <f>'[97]Budget-合并'!W6</f>
        <v>46419</v>
      </c>
      <c r="U4" s="617">
        <f>'[97]Budget-合并'!X6</f>
        <v>46447</v>
      </c>
      <c r="V4" s="617">
        <f>'[97]Budget-合并'!Y6</f>
        <v>46478</v>
      </c>
      <c r="W4" s="617">
        <f>'[97]Budget-合并'!Z6</f>
        <v>46508</v>
      </c>
      <c r="X4" s="617">
        <f>'[97]Budget-合并'!AA6</f>
        <v>46539</v>
      </c>
      <c r="Y4" s="617">
        <f>'[97]Budget-合并'!AB6</f>
        <v>46569</v>
      </c>
      <c r="Z4" s="617">
        <f>'[97]Budget-合并'!AC6</f>
        <v>46600</v>
      </c>
      <c r="AA4" s="617">
        <f>'[97]Budget-合并'!AD6</f>
        <v>46631</v>
      </c>
      <c r="AB4" s="617">
        <f>'[97]Budget-合并'!AE6</f>
        <v>46661</v>
      </c>
      <c r="AC4" s="617">
        <f>'[97]Budget-合并'!AF6</f>
        <v>46692</v>
      </c>
      <c r="AD4" s="617">
        <f>'[97]Budget-合并'!AG6</f>
        <v>46722</v>
      </c>
      <c r="AE4" s="617" t="str">
        <f>'[97]Budget-合并'!AH6</f>
        <v>2027 Total</v>
      </c>
      <c r="AG4" s="619"/>
    </row>
    <row r="5" spans="1:36" s="600" customFormat="1" ht="16.5" hidden="1" customHeight="1" outlineLevel="1">
      <c r="A5" s="600" t="s">
        <v>2556</v>
      </c>
      <c r="B5" s="620"/>
      <c r="C5" s="620"/>
      <c r="D5" s="620"/>
      <c r="E5" s="620">
        <v>0</v>
      </c>
      <c r="F5" s="620">
        <v>0</v>
      </c>
      <c r="G5" s="620">
        <v>1</v>
      </c>
      <c r="H5" s="620">
        <v>0</v>
      </c>
      <c r="I5" s="620">
        <v>0</v>
      </c>
      <c r="J5" s="620">
        <v>1</v>
      </c>
      <c r="K5" s="620">
        <v>0</v>
      </c>
      <c r="L5" s="620">
        <v>0</v>
      </c>
      <c r="M5" s="620">
        <v>1</v>
      </c>
      <c r="N5" s="620">
        <v>0</v>
      </c>
      <c r="O5" s="620">
        <v>0</v>
      </c>
      <c r="P5" s="620">
        <v>1</v>
      </c>
      <c r="Q5" s="620"/>
      <c r="R5" s="620"/>
      <c r="S5" s="620"/>
      <c r="T5" s="620"/>
      <c r="U5" s="620"/>
      <c r="V5" s="620"/>
      <c r="W5" s="620"/>
      <c r="X5" s="620"/>
      <c r="Y5" s="620"/>
      <c r="Z5" s="620"/>
      <c r="AA5" s="620"/>
      <c r="AB5" s="620"/>
      <c r="AC5" s="620"/>
      <c r="AD5" s="620"/>
      <c r="AE5" s="620"/>
      <c r="AG5" s="621"/>
    </row>
    <row r="6" spans="1:36" s="600" customFormat="1" ht="16.5" hidden="1" customHeight="1" outlineLevel="1">
      <c r="A6" s="600" t="s">
        <v>2557</v>
      </c>
      <c r="B6" s="620"/>
      <c r="C6" s="620"/>
      <c r="D6" s="620"/>
      <c r="E6" s="620">
        <v>0</v>
      </c>
      <c r="F6" s="620">
        <v>0</v>
      </c>
      <c r="G6" s="620">
        <v>0</v>
      </c>
      <c r="H6" s="620">
        <v>0</v>
      </c>
      <c r="I6" s="620">
        <v>1</v>
      </c>
      <c r="J6" s="620">
        <v>0</v>
      </c>
      <c r="K6" s="620">
        <v>0</v>
      </c>
      <c r="L6" s="620">
        <v>0</v>
      </c>
      <c r="M6" s="620">
        <v>0</v>
      </c>
      <c r="N6" s="620">
        <v>0</v>
      </c>
      <c r="O6" s="620">
        <v>0</v>
      </c>
      <c r="P6" s="620">
        <v>0</v>
      </c>
      <c r="Q6" s="620"/>
      <c r="R6" s="620"/>
      <c r="S6" s="620"/>
      <c r="T6" s="620"/>
      <c r="U6" s="620"/>
      <c r="V6" s="620"/>
      <c r="W6" s="620"/>
      <c r="X6" s="620"/>
      <c r="Y6" s="620"/>
      <c r="Z6" s="620"/>
      <c r="AA6" s="620"/>
      <c r="AB6" s="620"/>
      <c r="AC6" s="620"/>
      <c r="AD6" s="620"/>
      <c r="AE6" s="620"/>
      <c r="AG6" s="621"/>
    </row>
    <row r="7" spans="1:36" s="600" customFormat="1" ht="16.5" hidden="1" customHeight="1" outlineLevel="1">
      <c r="A7" s="600" t="s">
        <v>2558</v>
      </c>
      <c r="B7" s="620"/>
      <c r="C7" s="620"/>
      <c r="D7" s="620"/>
      <c r="E7" s="620">
        <v>1</v>
      </c>
      <c r="F7" s="620">
        <v>0</v>
      </c>
      <c r="G7" s="620">
        <v>0</v>
      </c>
      <c r="H7" s="620">
        <v>1</v>
      </c>
      <c r="I7" s="620">
        <v>0</v>
      </c>
      <c r="J7" s="620">
        <v>0</v>
      </c>
      <c r="K7" s="620">
        <v>1</v>
      </c>
      <c r="L7" s="620">
        <v>0</v>
      </c>
      <c r="M7" s="620">
        <v>0</v>
      </c>
      <c r="N7" s="620">
        <v>1</v>
      </c>
      <c r="O7" s="620">
        <v>0</v>
      </c>
      <c r="P7" s="620">
        <v>0</v>
      </c>
      <c r="Q7" s="620"/>
      <c r="R7" s="620"/>
      <c r="S7" s="620"/>
      <c r="T7" s="620"/>
      <c r="U7" s="620"/>
      <c r="V7" s="620"/>
      <c r="W7" s="620"/>
      <c r="X7" s="620"/>
      <c r="Y7" s="620"/>
      <c r="Z7" s="620"/>
      <c r="AA7" s="620"/>
      <c r="AB7" s="620"/>
      <c r="AC7" s="620"/>
      <c r="AD7" s="620"/>
      <c r="AE7" s="620"/>
      <c r="AG7" s="621"/>
    </row>
    <row r="8" spans="1:36" s="600" customFormat="1" ht="16.5" hidden="1" customHeight="1" outlineLevel="1">
      <c r="B8" s="620"/>
      <c r="C8" s="620"/>
      <c r="D8" s="620"/>
      <c r="E8" s="620"/>
      <c r="F8" s="620"/>
      <c r="G8" s="620"/>
      <c r="H8" s="620"/>
      <c r="I8" s="620"/>
      <c r="J8" s="620"/>
      <c r="K8" s="620"/>
      <c r="L8" s="620"/>
      <c r="M8" s="620"/>
      <c r="N8" s="620"/>
      <c r="O8" s="620"/>
      <c r="P8" s="620"/>
      <c r="Q8" s="620"/>
      <c r="R8" s="620"/>
      <c r="S8" s="620"/>
      <c r="T8" s="620"/>
      <c r="U8" s="620"/>
      <c r="V8" s="620"/>
      <c r="W8" s="620"/>
      <c r="X8" s="620"/>
      <c r="Y8" s="620"/>
      <c r="Z8" s="620"/>
      <c r="AA8" s="620"/>
      <c r="AB8" s="620"/>
      <c r="AC8" s="620"/>
      <c r="AD8" s="620"/>
      <c r="AE8" s="620"/>
      <c r="AG8" s="621"/>
    </row>
    <row r="9" spans="1:36" s="599" customFormat="1" ht="16.5" hidden="1" customHeight="1" outlineLevel="1">
      <c r="B9" s="618"/>
      <c r="C9" s="618"/>
      <c r="D9" s="618"/>
      <c r="E9" s="618"/>
      <c r="F9" s="618"/>
      <c r="G9" s="618"/>
      <c r="H9" s="618"/>
      <c r="I9" s="618"/>
      <c r="J9" s="618"/>
      <c r="K9" s="618"/>
      <c r="L9" s="618"/>
      <c r="M9" s="618"/>
      <c r="N9" s="618"/>
      <c r="O9" s="618"/>
      <c r="P9" s="618"/>
      <c r="Q9" s="618"/>
      <c r="R9" s="618"/>
      <c r="S9" s="618"/>
      <c r="T9" s="618"/>
      <c r="U9" s="618"/>
      <c r="V9" s="618"/>
      <c r="W9" s="618"/>
      <c r="X9" s="618"/>
      <c r="Y9" s="618"/>
      <c r="Z9" s="618"/>
      <c r="AA9" s="618"/>
      <c r="AB9" s="618"/>
      <c r="AC9" s="618"/>
      <c r="AD9" s="618"/>
      <c r="AE9" s="618"/>
      <c r="AG9" s="619"/>
    </row>
    <row r="10" spans="1:36" s="601" customFormat="1" ht="16.5" customHeight="1" collapsed="1">
      <c r="A10" s="608" t="str">
        <f>'CF-ACPL（合并）'!A10</f>
        <v>期初现金及现金等价物余额</v>
      </c>
      <c r="B10" s="622">
        <f>INDEX($E10:$P10,1,MATCH('[97]Flash Report'!$C$2,$E$4:$P$4))</f>
        <v>466588</v>
      </c>
      <c r="C10" s="622">
        <f>B10</f>
        <v>466588</v>
      </c>
      <c r="D10" s="622"/>
      <c r="E10" s="622">
        <f>VLOOKUP($C$1,'2025年现金余额'!$B$4:$D$10,3,FALSE)</f>
        <v>466588</v>
      </c>
      <c r="F10" s="622">
        <f t="shared" ref="F10:P10" ca="1" si="0">E58</f>
        <v>36006.59195570834</v>
      </c>
      <c r="G10" s="622">
        <f t="shared" ca="1" si="0"/>
        <v>7866527.4089165414</v>
      </c>
      <c r="H10" s="622">
        <f t="shared" ca="1" si="0"/>
        <v>66527.408916541375</v>
      </c>
      <c r="I10" s="622">
        <f t="shared" ca="1" si="0"/>
        <v>66527.408916541375</v>
      </c>
      <c r="J10" s="622">
        <f t="shared" ca="1" si="0"/>
        <v>66527.408916541375</v>
      </c>
      <c r="K10" s="622">
        <f t="shared" ca="1" si="0"/>
        <v>66527.408916541375</v>
      </c>
      <c r="L10" s="622">
        <f t="shared" ca="1" si="0"/>
        <v>66527.408916541375</v>
      </c>
      <c r="M10" s="622">
        <f t="shared" ca="1" si="0"/>
        <v>14063140.037017375</v>
      </c>
      <c r="N10" s="622">
        <f t="shared" ca="1" si="0"/>
        <v>13057714.783118209</v>
      </c>
      <c r="O10" s="622">
        <f t="shared" ca="1" si="0"/>
        <v>12979507.845248597</v>
      </c>
      <c r="P10" s="622">
        <f t="shared" ca="1" si="0"/>
        <v>12060397.17167943</v>
      </c>
      <c r="Q10" s="622">
        <f>E10</f>
        <v>466588</v>
      </c>
      <c r="R10" s="623"/>
      <c r="S10" s="622">
        <f ca="1">P58</f>
        <v>6861134.0006935056</v>
      </c>
      <c r="T10" s="622">
        <f t="shared" ref="T10:AD10" ca="1" si="1">S58</f>
        <v>6861134.0006935056</v>
      </c>
      <c r="U10" s="622">
        <f t="shared" ca="1" si="1"/>
        <v>6861134.0006935056</v>
      </c>
      <c r="V10" s="622">
        <f t="shared" ca="1" si="1"/>
        <v>6861134.0006935056</v>
      </c>
      <c r="W10" s="622">
        <f t="shared" ca="1" si="1"/>
        <v>6861134.0006935056</v>
      </c>
      <c r="X10" s="622">
        <f t="shared" ca="1" si="1"/>
        <v>6861134.0006935056</v>
      </c>
      <c r="Y10" s="622">
        <f t="shared" ca="1" si="1"/>
        <v>6861134.0006935056</v>
      </c>
      <c r="Z10" s="622">
        <f t="shared" ca="1" si="1"/>
        <v>6861134.0006935056</v>
      </c>
      <c r="AA10" s="622">
        <f t="shared" ca="1" si="1"/>
        <v>6861134.0006935056</v>
      </c>
      <c r="AB10" s="622">
        <f t="shared" ca="1" si="1"/>
        <v>6861134.0006935056</v>
      </c>
      <c r="AC10" s="622">
        <f t="shared" ca="1" si="1"/>
        <v>6861134.0006935056</v>
      </c>
      <c r="AD10" s="622">
        <f t="shared" ca="1" si="1"/>
        <v>6861134.0006935056</v>
      </c>
      <c r="AE10" s="622">
        <f ca="1">S10</f>
        <v>6861134.0006935056</v>
      </c>
      <c r="AF10" s="624"/>
    </row>
    <row r="11" spans="1:36" ht="16.5" customHeight="1">
      <c r="B11" s="625"/>
      <c r="C11" s="625"/>
      <c r="D11" s="625"/>
      <c r="E11" s="626"/>
      <c r="F11" s="626"/>
      <c r="G11" s="626"/>
      <c r="H11" s="626"/>
      <c r="I11" s="626"/>
      <c r="J11" s="626"/>
      <c r="K11" s="626"/>
      <c r="L11" s="626"/>
      <c r="M11" s="626"/>
      <c r="N11" s="626"/>
      <c r="O11" s="626"/>
      <c r="P11" s="626"/>
      <c r="Q11" s="626"/>
      <c r="R11" s="626"/>
      <c r="S11" s="626"/>
      <c r="T11" s="626"/>
      <c r="U11" s="626"/>
      <c r="V11" s="626"/>
      <c r="W11" s="626"/>
      <c r="X11" s="626"/>
      <c r="Y11" s="626"/>
      <c r="Z11" s="626"/>
      <c r="AA11" s="626"/>
      <c r="AB11" s="626"/>
      <c r="AC11" s="626"/>
      <c r="AD11" s="626"/>
      <c r="AE11" s="626"/>
    </row>
    <row r="12" spans="1:36" s="601" customFormat="1" ht="16.5" customHeight="1">
      <c r="A12" s="627" t="str">
        <f>'CF-ACPL（合并）'!A12</f>
        <v>经营活动现金流入小计</v>
      </c>
      <c r="B12" s="628">
        <f>INDEX($E12:$P12,1,MATCH($B$4,$E$4:$P$4))</f>
        <v>0</v>
      </c>
      <c r="C12" s="628">
        <f ca="1">SUM($E12:OFFSET($E12,0,MATCH($C$4,$E$4:$P$4)-1))</f>
        <v>0</v>
      </c>
      <c r="D12" s="628"/>
      <c r="E12" s="628">
        <f t="shared" ref="E12:Q12" si="2">SUM(E13:E17)</f>
        <v>0</v>
      </c>
      <c r="F12" s="628">
        <f t="shared" si="2"/>
        <v>0</v>
      </c>
      <c r="G12" s="628">
        <f t="shared" si="2"/>
        <v>0</v>
      </c>
      <c r="H12" s="628">
        <f t="shared" si="2"/>
        <v>0</v>
      </c>
      <c r="I12" s="628">
        <f t="shared" si="2"/>
        <v>0</v>
      </c>
      <c r="J12" s="628">
        <f t="shared" si="2"/>
        <v>0</v>
      </c>
      <c r="K12" s="628">
        <f t="shared" si="2"/>
        <v>0</v>
      </c>
      <c r="L12" s="628">
        <f t="shared" si="2"/>
        <v>0</v>
      </c>
      <c r="M12" s="628">
        <f t="shared" si="2"/>
        <v>0</v>
      </c>
      <c r="N12" s="628">
        <f t="shared" si="2"/>
        <v>0</v>
      </c>
      <c r="O12" s="628">
        <f t="shared" si="2"/>
        <v>0</v>
      </c>
      <c r="P12" s="628">
        <f t="shared" si="2"/>
        <v>0</v>
      </c>
      <c r="Q12" s="628">
        <f t="shared" si="2"/>
        <v>0</v>
      </c>
      <c r="R12" s="623"/>
      <c r="S12" s="628">
        <f t="shared" ref="S12:AE12" si="3">SUM(S13:S17)</f>
        <v>0</v>
      </c>
      <c r="T12" s="628">
        <f t="shared" si="3"/>
        <v>0</v>
      </c>
      <c r="U12" s="628">
        <f t="shared" si="3"/>
        <v>0</v>
      </c>
      <c r="V12" s="628">
        <f t="shared" si="3"/>
        <v>0</v>
      </c>
      <c r="W12" s="628">
        <f t="shared" si="3"/>
        <v>0</v>
      </c>
      <c r="X12" s="628">
        <f t="shared" si="3"/>
        <v>0</v>
      </c>
      <c r="Y12" s="628">
        <f t="shared" si="3"/>
        <v>0</v>
      </c>
      <c r="Z12" s="628">
        <f t="shared" si="3"/>
        <v>0</v>
      </c>
      <c r="AA12" s="628">
        <f t="shared" si="3"/>
        <v>0</v>
      </c>
      <c r="AB12" s="628">
        <f t="shared" si="3"/>
        <v>0</v>
      </c>
      <c r="AC12" s="628">
        <f t="shared" si="3"/>
        <v>0</v>
      </c>
      <c r="AD12" s="628">
        <f t="shared" si="3"/>
        <v>0</v>
      </c>
      <c r="AE12" s="628">
        <f t="shared" si="3"/>
        <v>0</v>
      </c>
    </row>
    <row r="13" spans="1:36" ht="16.5" customHeight="1">
      <c r="A13" s="629" t="str">
        <f>'CF-ACPL（合并）'!A13</f>
        <v>咨询管理费收入收到的现金</v>
      </c>
      <c r="B13" s="623">
        <f>INDEX($E13:$P13,1,MATCH($B$4,$E$4:$P$4))</f>
        <v>0</v>
      </c>
      <c r="C13" s="626">
        <f ca="1">SUM($E13:OFFSET($E13,0,MATCH($C$4,$E$4:$P$4)-1))</f>
        <v>0</v>
      </c>
      <c r="D13" s="626"/>
      <c r="E13" s="626"/>
      <c r="F13" s="626"/>
      <c r="G13" s="626"/>
      <c r="H13" s="626"/>
      <c r="I13" s="626"/>
      <c r="J13" s="626"/>
      <c r="K13" s="626"/>
      <c r="L13" s="626"/>
      <c r="M13" s="626"/>
      <c r="N13" s="626"/>
      <c r="O13" s="626"/>
      <c r="P13" s="626"/>
      <c r="Q13" s="626"/>
      <c r="R13" s="626"/>
      <c r="S13" s="626"/>
      <c r="T13" s="626"/>
      <c r="U13" s="626"/>
      <c r="V13" s="626"/>
      <c r="W13" s="626"/>
      <c r="X13" s="626"/>
      <c r="Y13" s="626"/>
      <c r="Z13" s="626"/>
      <c r="AA13" s="626"/>
      <c r="AB13" s="626"/>
      <c r="AC13" s="626"/>
      <c r="AD13" s="626"/>
      <c r="AE13" s="626">
        <f>SUM(S13:AD13)</f>
        <v>0</v>
      </c>
    </row>
    <row r="14" spans="1:36" ht="16.5" customHeight="1">
      <c r="A14" s="629" t="str">
        <f>'CF-ACPL（合并）'!A14</f>
        <v>基金管理费收入收到的现金</v>
      </c>
      <c r="B14" s="623">
        <f>INDEX($E14:$P14,1,MATCH($B$4,$E$4:$P$4))</f>
        <v>0</v>
      </c>
      <c r="C14" s="626">
        <f ca="1">SUM($E14:OFFSET($E14,0,MATCH($C$4,$E$4:$P$4)-1))</f>
        <v>0</v>
      </c>
      <c r="D14" s="626"/>
      <c r="E14" s="626"/>
      <c r="F14" s="626"/>
      <c r="G14" s="626"/>
      <c r="H14" s="626"/>
      <c r="I14" s="626"/>
      <c r="J14" s="626"/>
      <c r="K14" s="626"/>
      <c r="L14" s="626"/>
      <c r="M14" s="626"/>
      <c r="N14" s="626"/>
      <c r="O14" s="626"/>
      <c r="P14" s="626"/>
      <c r="Q14" s="626"/>
      <c r="R14" s="626"/>
      <c r="S14" s="626"/>
      <c r="T14" s="626"/>
      <c r="U14" s="626"/>
      <c r="V14" s="626"/>
      <c r="W14" s="626"/>
      <c r="X14" s="626"/>
      <c r="Y14" s="626"/>
      <c r="Z14" s="626"/>
      <c r="AA14" s="626"/>
      <c r="AB14" s="626"/>
      <c r="AC14" s="626"/>
      <c r="AD14" s="626"/>
      <c r="AE14" s="626"/>
    </row>
    <row r="15" spans="1:36" ht="16.5" customHeight="1">
      <c r="A15" s="629" t="str">
        <f>'CF-ACPL（合并）'!A15</f>
        <v>收到的税费返还</v>
      </c>
      <c r="B15" s="623">
        <f t="shared" ref="B15:B27" si="4">INDEX($E15:$P15,1,MATCH($B$4,$E$4:$P$4))</f>
        <v>0</v>
      </c>
      <c r="C15" s="626">
        <f t="shared" ref="C15:C27" ca="1" si="5">SUM($E15:OFFSET($E15,0,MATCH($C$4,$E$4:$P$4)-1))</f>
        <v>0</v>
      </c>
      <c r="D15" s="626"/>
      <c r="E15" s="626"/>
      <c r="F15" s="626"/>
      <c r="G15" s="626"/>
      <c r="H15" s="626"/>
      <c r="I15" s="626"/>
      <c r="J15" s="626"/>
      <c r="K15" s="626"/>
      <c r="L15" s="630"/>
      <c r="M15" s="630"/>
      <c r="N15" s="630"/>
      <c r="O15" s="630"/>
      <c r="P15" s="630"/>
      <c r="Q15" s="626">
        <f t="shared" ref="Q15:Q17" si="6">SUM(E15:P15)</f>
        <v>0</v>
      </c>
      <c r="R15" s="626"/>
      <c r="S15" s="630"/>
      <c r="T15" s="630"/>
      <c r="U15" s="630"/>
      <c r="V15" s="630"/>
      <c r="W15" s="630"/>
      <c r="X15" s="630"/>
      <c r="Y15" s="630"/>
      <c r="Z15" s="630"/>
      <c r="AA15" s="630"/>
      <c r="AB15" s="630"/>
      <c r="AC15" s="630"/>
      <c r="AD15" s="630"/>
      <c r="AE15" s="626">
        <f>SUM(S15:AD15)</f>
        <v>0</v>
      </c>
      <c r="AJ15" s="610" t="s">
        <v>2596</v>
      </c>
    </row>
    <row r="16" spans="1:36" ht="16.5" customHeight="1">
      <c r="A16" s="629" t="str">
        <f>'CF-ACPL（合并）'!A16</f>
        <v>其他收入收到的现金（备注）</v>
      </c>
      <c r="B16" s="623">
        <f t="shared" si="4"/>
        <v>0</v>
      </c>
      <c r="C16" s="626">
        <f t="shared" ca="1" si="5"/>
        <v>0</v>
      </c>
      <c r="D16" s="626"/>
      <c r="E16" s="626"/>
      <c r="F16" s="626"/>
      <c r="G16" s="626"/>
      <c r="H16" s="626"/>
      <c r="I16" s="626"/>
      <c r="J16" s="626"/>
      <c r="K16" s="626"/>
      <c r="L16" s="630"/>
      <c r="M16" s="630"/>
      <c r="N16" s="630"/>
      <c r="O16" s="630"/>
      <c r="P16" s="630"/>
      <c r="Q16" s="626">
        <f t="shared" si="6"/>
        <v>0</v>
      </c>
      <c r="R16" s="626"/>
      <c r="S16" s="630"/>
      <c r="T16" s="630"/>
      <c r="U16" s="630"/>
      <c r="V16" s="630"/>
      <c r="W16" s="630"/>
      <c r="X16" s="630"/>
      <c r="Y16" s="630"/>
      <c r="Z16" s="630"/>
      <c r="AA16" s="630"/>
      <c r="AB16" s="630"/>
      <c r="AC16" s="630"/>
      <c r="AD16" s="630"/>
      <c r="AE16" s="626">
        <f>SUM(S16:AD16)</f>
        <v>0</v>
      </c>
    </row>
    <row r="17" spans="1:32" ht="16.5" customHeight="1">
      <c r="A17" s="629" t="str">
        <f>'CF-ACPL（合并）'!A17</f>
        <v>收到的其他与经营活动有关的现金</v>
      </c>
      <c r="B17" s="623">
        <f t="shared" si="4"/>
        <v>0</v>
      </c>
      <c r="C17" s="626">
        <f t="shared" ca="1" si="5"/>
        <v>0</v>
      </c>
      <c r="D17" s="626"/>
      <c r="E17" s="626"/>
      <c r="F17" s="626"/>
      <c r="G17" s="626"/>
      <c r="H17" s="626"/>
      <c r="I17" s="626"/>
      <c r="J17" s="626"/>
      <c r="K17" s="626"/>
      <c r="L17" s="630"/>
      <c r="M17" s="630"/>
      <c r="N17" s="630"/>
      <c r="O17" s="630"/>
      <c r="P17" s="630"/>
      <c r="Q17" s="626">
        <f t="shared" si="6"/>
        <v>0</v>
      </c>
      <c r="R17" s="626"/>
      <c r="S17" s="630"/>
      <c r="T17" s="630"/>
      <c r="U17" s="630"/>
      <c r="V17" s="630"/>
      <c r="W17" s="630"/>
      <c r="X17" s="630"/>
      <c r="Y17" s="630"/>
      <c r="Z17" s="630"/>
      <c r="AA17" s="630"/>
      <c r="AB17" s="630"/>
      <c r="AC17" s="630"/>
      <c r="AD17" s="630"/>
      <c r="AE17" s="626">
        <f>SUM(S17:AD17)</f>
        <v>0</v>
      </c>
    </row>
    <row r="18" spans="1:32" s="601" customFormat="1" ht="16.5" customHeight="1">
      <c r="A18" s="631" t="str">
        <f>'CF-ACPL（合并）'!A18</f>
        <v>经营活动现金流出小计</v>
      </c>
      <c r="B18" s="632">
        <f t="shared" ca="1" si="4"/>
        <v>-525249.63304429164</v>
      </c>
      <c r="C18" s="632">
        <f t="shared" ca="1" si="5"/>
        <v>-525249.63304429164</v>
      </c>
      <c r="D18" s="632"/>
      <c r="E18" s="632">
        <f t="shared" ref="E18:Q18" ca="1" si="7">SUM(E19:E27)</f>
        <v>-525249.63304429164</v>
      </c>
      <c r="F18" s="632">
        <f t="shared" ca="1" si="7"/>
        <v>-443273.68303916662</v>
      </c>
      <c r="G18" s="632">
        <f t="shared" ca="1" si="7"/>
        <v>-555773.6830391665</v>
      </c>
      <c r="H18" s="632">
        <f t="shared" ca="1" si="7"/>
        <v>-1351433.6830391667</v>
      </c>
      <c r="I18" s="632">
        <f t="shared" ca="1" si="7"/>
        <v>-671763.48303916643</v>
      </c>
      <c r="J18" s="632">
        <f t="shared" ca="1" si="7"/>
        <v>-522142.36303916661</v>
      </c>
      <c r="K18" s="632">
        <f t="shared" ca="1" si="7"/>
        <v>-443273.68303916662</v>
      </c>
      <c r="L18" s="632">
        <f t="shared" ca="1" si="7"/>
        <v>-478561.68303916662</v>
      </c>
      <c r="M18" s="632">
        <f t="shared" ca="1" si="7"/>
        <v>-478561.68303916662</v>
      </c>
      <c r="N18" s="632">
        <f t="shared" ca="1" si="7"/>
        <v>-486713.21103916661</v>
      </c>
      <c r="O18" s="632">
        <f t="shared" ca="1" si="7"/>
        <v>-478561.68303916662</v>
      </c>
      <c r="P18" s="632">
        <f t="shared" ca="1" si="7"/>
        <v>-478561.68303916662</v>
      </c>
      <c r="Q18" s="632">
        <f t="shared" ca="1" si="7"/>
        <v>-6913870.1544751255</v>
      </c>
      <c r="R18" s="623"/>
      <c r="S18" s="632">
        <f t="shared" ref="S18:AE18" si="8">SUM(S19:S27)</f>
        <v>0</v>
      </c>
      <c r="T18" s="632">
        <f t="shared" si="8"/>
        <v>0</v>
      </c>
      <c r="U18" s="632">
        <f t="shared" si="8"/>
        <v>0</v>
      </c>
      <c r="V18" s="632">
        <f t="shared" si="8"/>
        <v>0</v>
      </c>
      <c r="W18" s="632">
        <f t="shared" si="8"/>
        <v>0</v>
      </c>
      <c r="X18" s="632">
        <f t="shared" si="8"/>
        <v>0</v>
      </c>
      <c r="Y18" s="632">
        <f t="shared" si="8"/>
        <v>0</v>
      </c>
      <c r="Z18" s="632">
        <f t="shared" si="8"/>
        <v>0</v>
      </c>
      <c r="AA18" s="632">
        <f t="shared" si="8"/>
        <v>0</v>
      </c>
      <c r="AB18" s="632">
        <f t="shared" si="8"/>
        <v>0</v>
      </c>
      <c r="AC18" s="632">
        <f t="shared" si="8"/>
        <v>0</v>
      </c>
      <c r="AD18" s="632">
        <f t="shared" si="8"/>
        <v>0</v>
      </c>
      <c r="AE18" s="632">
        <f t="shared" si="8"/>
        <v>0</v>
      </c>
    </row>
    <row r="19" spans="1:32" ht="16.5" customHeight="1">
      <c r="A19" s="629" t="str">
        <f>'CF-ACPL（合并）'!A19</f>
        <v>购买商品/接受劳务支付的现金</v>
      </c>
      <c r="B19" s="623">
        <f t="shared" si="4"/>
        <v>0</v>
      </c>
      <c r="C19" s="626">
        <f t="shared" ca="1" si="5"/>
        <v>0</v>
      </c>
      <c r="D19" s="626"/>
      <c r="E19" s="626"/>
      <c r="F19" s="626"/>
      <c r="G19" s="626"/>
      <c r="H19" s="626"/>
      <c r="I19" s="626"/>
      <c r="J19" s="626"/>
      <c r="K19" s="626"/>
      <c r="L19" s="626"/>
      <c r="M19" s="630"/>
      <c r="N19" s="626"/>
      <c r="O19" s="626"/>
      <c r="P19" s="626"/>
      <c r="Q19" s="626">
        <f t="shared" ref="Q19:Q27" si="9">SUM(E19:P19)</f>
        <v>0</v>
      </c>
      <c r="R19" s="626"/>
      <c r="S19" s="630"/>
      <c r="T19" s="630"/>
      <c r="U19" s="630"/>
      <c r="V19" s="630"/>
      <c r="W19" s="630"/>
      <c r="X19" s="630"/>
      <c r="Y19" s="630"/>
      <c r="Z19" s="630"/>
      <c r="AA19" s="630"/>
      <c r="AB19" s="630"/>
      <c r="AC19" s="630"/>
      <c r="AD19" s="630"/>
      <c r="AE19" s="626">
        <f t="shared" ref="AE19:AE25" si="10">SUM(S19:AD19)</f>
        <v>0</v>
      </c>
    </row>
    <row r="20" spans="1:32" ht="16.5" customHeight="1">
      <c r="A20" s="629" t="str">
        <f>'CF-ACPL（合并）'!A20</f>
        <v>所得税支付的现金</v>
      </c>
      <c r="B20" s="623">
        <f t="shared" si="4"/>
        <v>0</v>
      </c>
      <c r="C20" s="626">
        <f t="shared" ca="1" si="5"/>
        <v>0</v>
      </c>
      <c r="D20" s="626"/>
      <c r="E20" s="626"/>
      <c r="F20" s="626"/>
      <c r="G20" s="626"/>
      <c r="H20" s="626"/>
      <c r="I20" s="626"/>
      <c r="J20" s="626"/>
      <c r="K20" s="626"/>
      <c r="L20" s="630"/>
      <c r="M20" s="630"/>
      <c r="N20" s="630"/>
      <c r="O20" s="630"/>
      <c r="P20" s="630"/>
      <c r="Q20" s="626">
        <f t="shared" si="9"/>
        <v>0</v>
      </c>
      <c r="R20" s="626"/>
      <c r="S20" s="630"/>
      <c r="T20" s="630"/>
      <c r="U20" s="630"/>
      <c r="V20" s="630"/>
      <c r="W20" s="630"/>
      <c r="X20" s="630"/>
      <c r="Y20" s="630"/>
      <c r="Z20" s="630"/>
      <c r="AA20" s="630"/>
      <c r="AB20" s="630"/>
      <c r="AC20" s="630"/>
      <c r="AD20" s="630"/>
      <c r="AE20" s="626">
        <f t="shared" si="10"/>
        <v>0</v>
      </c>
    </row>
    <row r="21" spans="1:32" ht="16.5" customHeight="1">
      <c r="A21" s="629" t="str">
        <f>'CF-ACPL（合并）'!A21</f>
        <v>增值税及附加支付的现金</v>
      </c>
      <c r="B21" s="623">
        <f t="shared" si="4"/>
        <v>0</v>
      </c>
      <c r="C21" s="626">
        <f t="shared" ca="1" si="5"/>
        <v>0</v>
      </c>
      <c r="D21" s="626"/>
      <c r="E21" s="626"/>
      <c r="F21" s="626"/>
      <c r="G21" s="626"/>
      <c r="H21" s="626"/>
      <c r="I21" s="626"/>
      <c r="J21" s="626"/>
      <c r="K21" s="626"/>
      <c r="L21" s="630"/>
      <c r="M21" s="630"/>
      <c r="N21" s="630"/>
      <c r="O21" s="630"/>
      <c r="P21" s="630"/>
      <c r="Q21" s="626">
        <f t="shared" si="9"/>
        <v>0</v>
      </c>
      <c r="R21" s="626"/>
      <c r="S21" s="630"/>
      <c r="T21" s="630"/>
      <c r="U21" s="630"/>
      <c r="V21" s="630"/>
      <c r="W21" s="630"/>
      <c r="X21" s="630"/>
      <c r="Y21" s="630"/>
      <c r="Z21" s="630"/>
      <c r="AA21" s="630"/>
      <c r="AB21" s="630"/>
      <c r="AC21" s="630"/>
      <c r="AD21" s="630"/>
      <c r="AE21" s="626">
        <f t="shared" si="10"/>
        <v>0</v>
      </c>
    </row>
    <row r="22" spans="1:32" ht="16.5" customHeight="1">
      <c r="A22" s="629" t="str">
        <f>'CF-ACPL（合并）'!A22</f>
        <v>咨询管理费用支付的现金</v>
      </c>
      <c r="B22" s="623">
        <f t="shared" si="4"/>
        <v>0</v>
      </c>
      <c r="C22" s="626">
        <f t="shared" ca="1" si="5"/>
        <v>0</v>
      </c>
      <c r="D22" s="626"/>
      <c r="E22" s="626"/>
      <c r="F22" s="626"/>
      <c r="G22" s="626"/>
      <c r="H22" s="626"/>
      <c r="I22" s="626"/>
      <c r="J22" s="626"/>
      <c r="K22" s="626"/>
      <c r="L22" s="626"/>
      <c r="M22" s="626"/>
      <c r="N22" s="626"/>
      <c r="O22" s="626"/>
      <c r="P22" s="626"/>
      <c r="Q22" s="626">
        <f t="shared" si="9"/>
        <v>0</v>
      </c>
      <c r="R22" s="626"/>
      <c r="S22" s="626"/>
      <c r="T22" s="626"/>
      <c r="U22" s="626"/>
      <c r="V22" s="626"/>
      <c r="W22" s="626"/>
      <c r="X22" s="626"/>
      <c r="Y22" s="626"/>
      <c r="Z22" s="626"/>
      <c r="AA22" s="626"/>
      <c r="AB22" s="626"/>
      <c r="AC22" s="626"/>
      <c r="AD22" s="626"/>
      <c r="AE22" s="626">
        <f t="shared" si="10"/>
        <v>0</v>
      </c>
    </row>
    <row r="23" spans="1:32" ht="16.5" customHeight="1">
      <c r="A23" s="629" t="str">
        <f>'CF-ACPL（合并）'!A23</f>
        <v>支付给职工以及为职工支付的现金</v>
      </c>
      <c r="B23" s="626">
        <f t="shared" si="4"/>
        <v>-365051.66666666657</v>
      </c>
      <c r="C23" s="626">
        <f t="shared" ca="1" si="5"/>
        <v>-365051.66666666657</v>
      </c>
      <c r="D23" s="626"/>
      <c r="E23" s="626">
        <f>-(INDEX('Budget-ACPL'!$K$42:$V$42,MATCH(E$4,'Budget-ACPL'!$K$6:$V$6,0))-VLOOKUP('CF-ACPL'!$C$1,'Medical Exp Calc.'!$A$10:$C$12,3,FALSE)*0.9/12)</f>
        <v>-365051.66666666657</v>
      </c>
      <c r="F23" s="626">
        <f>-(INDEX('Budget-ACPL'!$K$42:$V$42,MATCH(F$4,'Budget-ACPL'!$K$6:$V$6,0))-VLOOKUP('CF-ACPL'!$C$1,'Medical Exp Calc.'!$A$10:$C$12,3,FALSE)*0.9/12)</f>
        <v>-365051.66666666657</v>
      </c>
      <c r="G23" s="626">
        <f>-(INDEX('Budget-ACPL'!$K$42:$V$42,MATCH(G$4,'Budget-ACPL'!$K$6:$V$6,0))+VLOOKUP('CF-ACPL'!$C$1,'Medical Exp Calc.'!$A$10:$C$12,3,FALSE)*0.9*11/12)</f>
        <v>-477551.66666666657</v>
      </c>
      <c r="H23" s="626">
        <f>-(INDEX('Budget-ACPL'!$K$42:$V$42,MATCH(H$4,'Budget-ACPL'!$K$6:$V$6,0))-VLOOKUP('CF-ACPL'!$C$1,'Medical Exp Calc.'!$A$10:$C$12,3,FALSE)*0.9/12)</f>
        <v>-1273211.6666666667</v>
      </c>
      <c r="I23" s="626">
        <f>-(INDEX('Budget-ACPL'!$K$42:$V$42,MATCH(I$4,'Budget-ACPL'!$K$6:$V$6,0))-VLOOKUP('CF-ACPL'!$C$1,'Medical Exp Calc.'!$A$10:$C$12,3,FALSE)*0.9/12)</f>
        <v>-365051.66666666657</v>
      </c>
      <c r="J23" s="626">
        <f>-(INDEX('Budget-ACPL'!$K$42:$V$42,MATCH(J$4,'Budget-ACPL'!$K$6:$V$6,0))-VLOOKUP('CF-ACPL'!$C$1,'Medical Exp Calc.'!$A$10:$C$12,3,FALSE)*0.9/12)</f>
        <v>-365051.66666666657</v>
      </c>
      <c r="K23" s="626">
        <f>-(INDEX('Budget-ACPL'!$K$42:$V$42,MATCH(K$4,'Budget-ACPL'!$K$6:$V$6,0))-VLOOKUP('CF-ACPL'!$C$1,'Medical Exp Calc.'!$A$10:$C$12,3,FALSE)*0.9/12)</f>
        <v>-365051.66666666657</v>
      </c>
      <c r="L23" s="626">
        <f>-(INDEX('Budget-ACPL'!$K$42:$V$42,MATCH(L$4,'Budget-ACPL'!$K$6:$V$6,0))-VLOOKUP('CF-ACPL'!$C$1,'Medical Exp Calc.'!$A$10:$C$12,3,FALSE)*0.9/12)</f>
        <v>-365051.66666666657</v>
      </c>
      <c r="M23" s="626">
        <f>-(INDEX('Budget-ACPL'!$K$42:$V$42,MATCH(M$4,'Budget-ACPL'!$K$6:$V$6,0))-VLOOKUP('CF-ACPL'!$C$1,'Medical Exp Calc.'!$A$10:$C$12,3,FALSE)*0.9/12)</f>
        <v>-365051.66666666657</v>
      </c>
      <c r="N23" s="626">
        <f>-(INDEX('Budget-ACPL'!$K$42:$V$42,MATCH(N$4,'Budget-ACPL'!$K$6:$V$6,0))-VLOOKUP('CF-ACPL'!$C$1,'Medical Exp Calc.'!$A$10:$C$12,3,FALSE)*0.9/12)</f>
        <v>-365051.66666666657</v>
      </c>
      <c r="O23" s="626">
        <f>-(INDEX('Budget-ACPL'!$K$42:$V$42,MATCH(O$4,'Budget-ACPL'!$K$6:$V$6,0))-VLOOKUP('CF-ACPL'!$C$1,'Medical Exp Calc.'!$A$10:$C$12,3,FALSE)*0.9/12)</f>
        <v>-365051.66666666657</v>
      </c>
      <c r="P23" s="626">
        <f>-(INDEX('Budget-ACPL'!$K$42:$V$42,MATCH(P$4,'Budget-ACPL'!$K$6:$V$6,0))-VLOOKUP('CF-ACPL'!$C$1,'Medical Exp Calc.'!$A$10:$C$12,3,FALSE)*0.9/12)</f>
        <v>-365051.66666666657</v>
      </c>
      <c r="Q23" s="626">
        <f t="shared" si="9"/>
        <v>-5401280</v>
      </c>
      <c r="R23" s="626"/>
      <c r="S23" s="630"/>
      <c r="T23" s="630"/>
      <c r="U23" s="630"/>
      <c r="V23" s="630"/>
      <c r="W23" s="630"/>
      <c r="X23" s="630"/>
      <c r="Y23" s="630"/>
      <c r="Z23" s="630"/>
      <c r="AA23" s="630"/>
      <c r="AB23" s="630"/>
      <c r="AC23" s="630"/>
      <c r="AD23" s="630"/>
      <c r="AE23" s="626">
        <f t="shared" si="10"/>
        <v>0</v>
      </c>
    </row>
    <row r="24" spans="1:32" s="602" customFormat="1" ht="16.5" customHeight="1">
      <c r="A24" s="629" t="str">
        <f>'CF-ACPL（合并）'!A24</f>
        <v>支付的其他与经营活动有关的现金（租金）</v>
      </c>
      <c r="B24" s="626">
        <f t="shared" si="4"/>
        <v>0</v>
      </c>
      <c r="C24" s="626">
        <f t="shared" ca="1" si="5"/>
        <v>0</v>
      </c>
      <c r="D24" s="626"/>
      <c r="E24" s="626">
        <f>-SUMIFS(SPACE!O:O,SPACE!$A:$A,$C$1,SPACE!$F:$F,$A24)</f>
        <v>0</v>
      </c>
      <c r="F24" s="626">
        <f>-SUMIFS(SPACE!P:P,SPACE!$A:$A,$C$1,SPACE!$F:$F,$A24)</f>
        <v>0</v>
      </c>
      <c r="G24" s="626">
        <f>-SUMIFS(SPACE!Q:Q,SPACE!$A:$A,$C$1,SPACE!$F:$F,$A24)</f>
        <v>0</v>
      </c>
      <c r="H24" s="626">
        <f>-SUMIFS(SPACE!R:R,SPACE!$A:$A,$C$1,SPACE!$F:$F,$A24)</f>
        <v>0</v>
      </c>
      <c r="I24" s="626">
        <f>-SUMIFS(SPACE!S:S,SPACE!$A:$A,$C$1,SPACE!$F:$F,$A24)</f>
        <v>0</v>
      </c>
      <c r="J24" s="626">
        <f>-SUMIFS(SPACE!T:T,SPACE!$A:$A,$C$1,SPACE!$F:$F,$A24)</f>
        <v>0</v>
      </c>
      <c r="K24" s="626">
        <f>-SUMIFS(SPACE!U:U,SPACE!$A:$A,$C$1,SPACE!$F:$F,$A24)</f>
        <v>0</v>
      </c>
      <c r="L24" s="626">
        <f>-SUMIFS(SPACE!V:V,SPACE!$A:$A,$C$1,SPACE!$F:$F,$A24)</f>
        <v>0</v>
      </c>
      <c r="M24" s="626">
        <f>-SUMIFS(SPACE!W:W,SPACE!$A:$A,$C$1,SPACE!$F:$F,$A24)</f>
        <v>0</v>
      </c>
      <c r="N24" s="626">
        <f>-SUMIFS(SPACE!X:X,SPACE!$A:$A,$C$1,SPACE!$F:$F,$A24)</f>
        <v>0</v>
      </c>
      <c r="O24" s="626">
        <f>-SUMIFS(SPACE!Y:Y,SPACE!$A:$A,$C$1,SPACE!$F:$F,$A24)</f>
        <v>0</v>
      </c>
      <c r="P24" s="626">
        <f>-SUMIFS(SPACE!Z:Z,SPACE!$A:$A,$C$1,SPACE!$F:$F,$A24)</f>
        <v>0</v>
      </c>
      <c r="Q24" s="626">
        <f t="shared" si="9"/>
        <v>0</v>
      </c>
      <c r="R24" s="626"/>
      <c r="S24" s="630"/>
      <c r="T24" s="630"/>
      <c r="U24" s="630"/>
      <c r="V24" s="630"/>
      <c r="W24" s="630"/>
      <c r="X24" s="630"/>
      <c r="Y24" s="630"/>
      <c r="Z24" s="630"/>
      <c r="AA24" s="630"/>
      <c r="AB24" s="630"/>
      <c r="AC24" s="630"/>
      <c r="AD24" s="630"/>
      <c r="AE24" s="626">
        <f t="shared" si="10"/>
        <v>0</v>
      </c>
      <c r="AF24" s="610"/>
    </row>
    <row r="25" spans="1:32" s="602" customFormat="1" ht="16.5" customHeight="1">
      <c r="A25" s="629" t="str">
        <f>'CF-ACPL（合并）'!A25</f>
        <v>支付的其他与经营活动有关的现金（专业服务费）</v>
      </c>
      <c r="B25" s="626">
        <f t="shared" si="4"/>
        <v>-118004.73825583332</v>
      </c>
      <c r="C25" s="626">
        <f t="shared" ca="1" si="5"/>
        <v>-118004.73825583332</v>
      </c>
      <c r="D25" s="626"/>
      <c r="E25" s="626">
        <f>-SUMIFS('Prof. Fee'!AF:AF,'Prof. Fee'!$B:$B,$C$1,'Prof. Fee'!$C:$C,$A25)</f>
        <v>-118004.73825583332</v>
      </c>
      <c r="F25" s="626">
        <f>-SUMIFS('Prof. Fee'!AG:AG,'Prof. Fee'!$B:$B,$C$1,'Prof. Fee'!$C:$C,$A25)</f>
        <v>-36398.101666666669</v>
      </c>
      <c r="G25" s="626">
        <f>-SUMIFS('Prof. Fee'!AH:AH,'Prof. Fee'!$B:$B,$C$1,'Prof. Fee'!$C:$C,$A25)</f>
        <v>-36398.101666666669</v>
      </c>
      <c r="H25" s="626">
        <f>-SUMIFS('Prof. Fee'!AI:AI,'Prof. Fee'!$B:$B,$C$1,'Prof. Fee'!$C:$C,$A25)</f>
        <v>-36398.101666666669</v>
      </c>
      <c r="I25" s="626">
        <f>-SUMIFS('Prof. Fee'!AJ:AJ,'Prof. Fee'!$B:$B,$C$1,'Prof. Fee'!$C:$C,$A25)</f>
        <v>-264887.90166666661</v>
      </c>
      <c r="J25" s="626">
        <f>-SUMIFS('Prof. Fee'!AK:AK,'Prof. Fee'!$B:$B,$C$1,'Prof. Fee'!$C:$C,$A25)</f>
        <v>-115266.78166666666</v>
      </c>
      <c r="K25" s="626">
        <f>-SUMIFS('Prof. Fee'!AL:AL,'Prof. Fee'!$B:$B,$C$1,'Prof. Fee'!$C:$C,$A25)</f>
        <v>-36398.101666666669</v>
      </c>
      <c r="L25" s="626">
        <f>-SUMIFS('Prof. Fee'!AM:AM,'Prof. Fee'!$B:$B,$C$1,'Prof. Fee'!$C:$C,$A25)</f>
        <v>-71686.101666666669</v>
      </c>
      <c r="M25" s="626">
        <f>-SUMIFS('Prof. Fee'!AN:AN,'Prof. Fee'!$B:$B,$C$1,'Prof. Fee'!$C:$C,$A25)</f>
        <v>-71686.101666666669</v>
      </c>
      <c r="N25" s="626">
        <f>-SUMIFS('Prof. Fee'!AO:AO,'Prof. Fee'!$B:$B,$C$1,'Prof. Fee'!$C:$C,$A25)</f>
        <v>-71686.101666666669</v>
      </c>
      <c r="O25" s="626">
        <f>-SUMIFS('Prof. Fee'!AP:AP,'Prof. Fee'!$B:$B,$C$1,'Prof. Fee'!$C:$C,$A25)</f>
        <v>-71686.101666666669</v>
      </c>
      <c r="P25" s="626">
        <f>-SUMIFS('Prof. Fee'!AQ:AQ,'Prof. Fee'!$B:$B,$C$1,'Prof. Fee'!$C:$C,$A25)</f>
        <v>-71686.101666666669</v>
      </c>
      <c r="Q25" s="626">
        <f t="shared" si="9"/>
        <v>-1002182.3365891667</v>
      </c>
      <c r="R25" s="626"/>
      <c r="S25" s="630"/>
      <c r="T25" s="630"/>
      <c r="U25" s="630"/>
      <c r="V25" s="630"/>
      <c r="W25" s="630"/>
      <c r="X25" s="630"/>
      <c r="Y25" s="630"/>
      <c r="Z25" s="630"/>
      <c r="AA25" s="630"/>
      <c r="AB25" s="630"/>
      <c r="AC25" s="630"/>
      <c r="AD25" s="630"/>
      <c r="AE25" s="626">
        <f t="shared" si="10"/>
        <v>0</v>
      </c>
      <c r="AF25" s="610"/>
    </row>
    <row r="26" spans="1:32" s="602" customFormat="1" ht="16.5" customHeight="1">
      <c r="A26" s="629" t="str">
        <f>'CF-ACPL（合并）'!A26</f>
        <v>支付的其他与经营活动有关的现金（员工报销）</v>
      </c>
      <c r="B26" s="626">
        <f t="shared" ca="1" si="4"/>
        <v>-32870.297333333328</v>
      </c>
      <c r="C26" s="626">
        <f t="shared" ca="1" si="5"/>
        <v>-32870.297333333328</v>
      </c>
      <c r="D26" s="626"/>
      <c r="E26" s="626">
        <f ca="1">-SUMIFS('T&amp;E'!N47:N140,'T&amp;E'!$B$47:$B$140,$C$1,'T&amp;E'!$E$47:$E$140,$A26)</f>
        <v>-32870.297333333328</v>
      </c>
      <c r="F26" s="626">
        <f ca="1">-SUMIFS('T&amp;E'!O47:O140,'T&amp;E'!$B$47:$B$140,$C$1,'T&amp;E'!$E$47:$E$140,$A26)</f>
        <v>-32582.586666666666</v>
      </c>
      <c r="G26" s="626">
        <f ca="1">-SUMIFS('T&amp;E'!P47:P140,'T&amp;E'!$B$47:$B$140,$C$1,'T&amp;E'!$E$47:$E$140,$A26)</f>
        <v>-32582.586666666666</v>
      </c>
      <c r="H26" s="626">
        <f ca="1">-SUMIFS('T&amp;E'!Q47:Q140,'T&amp;E'!$B$47:$B$140,$C$1,'T&amp;E'!$E$47:$E$140,$A26)</f>
        <v>-32582.586666666666</v>
      </c>
      <c r="I26" s="626">
        <f ca="1">-SUMIFS('T&amp;E'!R47:R140,'T&amp;E'!$B$47:$B$140,$C$1,'T&amp;E'!$E$47:$E$140,$A26)</f>
        <v>-32582.586666666666</v>
      </c>
      <c r="J26" s="626">
        <f ca="1">-SUMIFS('T&amp;E'!S47:S140,'T&amp;E'!$B$47:$B$140,$C$1,'T&amp;E'!$E$47:$E$140,$A26)</f>
        <v>-32582.586666666666</v>
      </c>
      <c r="K26" s="626">
        <f ca="1">-SUMIFS('T&amp;E'!T47:T140,'T&amp;E'!$B$47:$B$140,$C$1,'T&amp;E'!$E$47:$E$140,$A26)</f>
        <v>-32582.586666666666</v>
      </c>
      <c r="L26" s="626">
        <f ca="1">-SUMIFS('T&amp;E'!U47:U140,'T&amp;E'!$B$47:$B$140,$C$1,'T&amp;E'!$E$47:$E$140,$A26)</f>
        <v>-32582.586666666666</v>
      </c>
      <c r="M26" s="626">
        <f ca="1">-SUMIFS('T&amp;E'!V47:V140,'T&amp;E'!$B$47:$B$140,$C$1,'T&amp;E'!$E$47:$E$140,$A26)</f>
        <v>-32582.586666666666</v>
      </c>
      <c r="N26" s="626">
        <f ca="1">-SUMIFS('T&amp;E'!W47:W140,'T&amp;E'!$B$47:$B$140,$C$1,'T&amp;E'!$E$47:$E$140,$A26)</f>
        <v>-32582.586666666666</v>
      </c>
      <c r="O26" s="626">
        <f ca="1">-SUMIFS('T&amp;E'!X47:X140,'T&amp;E'!$B$47:$B$140,$C$1,'T&amp;E'!$E$47:$E$140,$A26)</f>
        <v>-32582.586666666666</v>
      </c>
      <c r="P26" s="626">
        <f ca="1">-SUMIFS('T&amp;E'!Y47:Y140,'T&amp;E'!$B$47:$B$140,$C$1,'T&amp;E'!$E$47:$E$140,$A26)</f>
        <v>-32582.586666666666</v>
      </c>
      <c r="Q26" s="626">
        <f t="shared" ca="1" si="9"/>
        <v>-391278.75066666666</v>
      </c>
      <c r="R26" s="626"/>
      <c r="S26" s="630"/>
      <c r="T26" s="630"/>
      <c r="U26" s="630"/>
      <c r="V26" s="630"/>
      <c r="W26" s="630"/>
      <c r="X26" s="630"/>
      <c r="Y26" s="630"/>
      <c r="Z26" s="630"/>
      <c r="AA26" s="630"/>
      <c r="AB26" s="630"/>
      <c r="AC26" s="630"/>
      <c r="AD26" s="630"/>
      <c r="AE26" s="626"/>
      <c r="AF26" s="610"/>
    </row>
    <row r="27" spans="1:32" ht="16.5" customHeight="1">
      <c r="A27" s="629" t="str">
        <f>'CF-ACPL（合并）'!A27</f>
        <v>支付的其他与经营活动有关的现金（其他）</v>
      </c>
      <c r="B27" s="626">
        <f t="shared" si="4"/>
        <v>-9322.9307884583322</v>
      </c>
      <c r="C27" s="626">
        <f t="shared" ca="1" si="5"/>
        <v>-9322.9307884583322</v>
      </c>
      <c r="D27" s="626"/>
      <c r="E27" s="626">
        <f>-(SUMIFS(SPACE!O:O,SPACE!$A:$A,$C$1,SPACE!$F:$F,$A27)+SUMIFS('Other Exp'!AG:AG,'Other Exp'!$B:$B,$C$1,'Other Exp'!$D:$D,$A27))</f>
        <v>-9322.9307884583322</v>
      </c>
      <c r="F27" s="626">
        <f>-(SUMIFS(SPACE!P:P,SPACE!$A:$A,$C$1,SPACE!$F:$F,$A27)+SUMIFS('Other Exp'!AH:AH,'Other Exp'!$B:$B,$C$1,'Other Exp'!$D:$D,$A27))</f>
        <v>-9241.3280391666667</v>
      </c>
      <c r="G27" s="626">
        <f>-(SUMIFS(SPACE!Q:Q,SPACE!$A:$A,$C$1,SPACE!$F:$F,$A27)+SUMIFS('Other Exp'!AI:AI,'Other Exp'!$B:$B,$C$1,'Other Exp'!$D:$D,$A27))</f>
        <v>-9241.3280391666667</v>
      </c>
      <c r="H27" s="626">
        <f>-(SUMIFS(SPACE!R:R,SPACE!$A:$A,$C$1,SPACE!$F:$F,$A27)+SUMIFS('Other Exp'!AJ:AJ,'Other Exp'!$B:$B,$C$1,'Other Exp'!$D:$D,$A27))</f>
        <v>-9241.3280391666667</v>
      </c>
      <c r="I27" s="626">
        <f>-(SUMIFS(SPACE!S:S,SPACE!$A:$A,$C$1,SPACE!$F:$F,$A27)+SUMIFS('Other Exp'!AK:AK,'Other Exp'!$B:$B,$C$1,'Other Exp'!$D:$D,$A27))</f>
        <v>-9241.3280391666667</v>
      </c>
      <c r="J27" s="626">
        <f>-(SUMIFS(SPACE!T:T,SPACE!$A:$A,$C$1,SPACE!$F:$F,$A27)+SUMIFS('Other Exp'!AL:AL,'Other Exp'!$B:$B,$C$1,'Other Exp'!$D:$D,$A27))</f>
        <v>-9241.3280391666667</v>
      </c>
      <c r="K27" s="626">
        <f>-(SUMIFS(SPACE!U:U,SPACE!$A:$A,$C$1,SPACE!$F:$F,$A27)+SUMIFS('Other Exp'!AM:AM,'Other Exp'!$B:$B,$C$1,'Other Exp'!$D:$D,$A27))</f>
        <v>-9241.3280391666667</v>
      </c>
      <c r="L27" s="626">
        <f>-(SUMIFS(SPACE!V:V,SPACE!$A:$A,$C$1,SPACE!$F:$F,$A27)+SUMIFS('Other Exp'!AN:AN,'Other Exp'!$B:$B,$C$1,'Other Exp'!$D:$D,$A27))</f>
        <v>-9241.3280391666667</v>
      </c>
      <c r="M27" s="626">
        <f>-(SUMIFS(SPACE!W:W,SPACE!$A:$A,$C$1,SPACE!$F:$F,$A27)+SUMIFS('Other Exp'!AO:AO,'Other Exp'!$B:$B,$C$1,'Other Exp'!$D:$D,$A27))</f>
        <v>-9241.3280391666667</v>
      </c>
      <c r="N27" s="626">
        <f>-(SUMIFS(SPACE!X:X,SPACE!$A:$A,$C$1,SPACE!$F:$F,$A27)+SUMIFS('Other Exp'!AP:AP,'Other Exp'!$B:$B,$C$1,'Other Exp'!$D:$D,$A27))</f>
        <v>-17392.856039166669</v>
      </c>
      <c r="O27" s="626">
        <f>-(SUMIFS(SPACE!Y:Y,SPACE!$A:$A,$C$1,SPACE!$F:$F,$A27)+SUMIFS('Other Exp'!AQ:AQ,'Other Exp'!$B:$B,$C$1,'Other Exp'!$D:$D,$A27))</f>
        <v>-9241.3280391666667</v>
      </c>
      <c r="P27" s="626">
        <f>-(SUMIFS(SPACE!Z:Z,SPACE!$A:$A,$C$1,SPACE!$F:$F,$A27)+SUMIFS('Other Exp'!AR:AR,'Other Exp'!$B:$B,$C$1,'Other Exp'!$D:$D,$A27))</f>
        <v>-9241.3280391666667</v>
      </c>
      <c r="Q27" s="626">
        <f t="shared" si="9"/>
        <v>-119129.06721929164</v>
      </c>
      <c r="R27" s="626"/>
      <c r="S27" s="630"/>
      <c r="T27" s="626"/>
      <c r="U27" s="630"/>
      <c r="V27" s="630"/>
      <c r="W27" s="626"/>
      <c r="X27" s="630"/>
      <c r="Y27" s="630"/>
      <c r="Z27" s="626"/>
      <c r="AA27" s="630"/>
      <c r="AB27" s="630"/>
      <c r="AC27" s="626"/>
      <c r="AD27" s="630"/>
      <c r="AE27" s="626">
        <f>SUM(S27:AD27)</f>
        <v>0</v>
      </c>
    </row>
    <row r="28" spans="1:32" s="602" customFormat="1" ht="16.5" customHeight="1">
      <c r="A28" s="629"/>
      <c r="B28" s="633"/>
      <c r="C28" s="633"/>
      <c r="D28" s="633"/>
      <c r="E28" s="626"/>
      <c r="F28" s="626"/>
      <c r="G28" s="626"/>
      <c r="H28" s="626"/>
      <c r="I28" s="626"/>
      <c r="J28" s="626"/>
      <c r="K28" s="626"/>
      <c r="L28" s="630"/>
      <c r="M28" s="630"/>
      <c r="N28" s="630"/>
      <c r="O28" s="630"/>
      <c r="P28" s="630"/>
      <c r="Q28" s="626"/>
      <c r="R28" s="626"/>
      <c r="S28" s="630"/>
      <c r="T28" s="626"/>
      <c r="U28" s="630"/>
      <c r="V28" s="630"/>
      <c r="W28" s="626"/>
      <c r="X28" s="630"/>
      <c r="Y28" s="630"/>
      <c r="Z28" s="626"/>
      <c r="AA28" s="630"/>
      <c r="AB28" s="630"/>
      <c r="AC28" s="626"/>
      <c r="AD28" s="630"/>
      <c r="AE28" s="626"/>
      <c r="AF28" s="610"/>
    </row>
    <row r="29" spans="1:32" s="601" customFormat="1" ht="16.5" customHeight="1">
      <c r="A29" s="608" t="str">
        <f>'CF-ACPL（合并）'!A29</f>
        <v>经营活动产生的现金流量净额</v>
      </c>
      <c r="B29" s="634">
        <f t="shared" ref="B29:B42" ca="1" si="11">INDEX($E29:$P29,1,MATCH($B$4,$E$4:$P$4))</f>
        <v>-525249.63304429164</v>
      </c>
      <c r="C29" s="634">
        <f t="shared" ref="C29:C42" ca="1" si="12">SUM($E29:OFFSET($E29,0,MATCH($C$4,$E$4:$P$4)-1))</f>
        <v>-525249.63304429164</v>
      </c>
      <c r="D29" s="634"/>
      <c r="E29" s="622">
        <f ca="1">E12+E18</f>
        <v>-525249.63304429164</v>
      </c>
      <c r="F29" s="622">
        <f t="shared" ref="F29:Q29" ca="1" si="13">F12+F18</f>
        <v>-443273.68303916662</v>
      </c>
      <c r="G29" s="622">
        <f t="shared" ca="1" si="13"/>
        <v>-555773.6830391665</v>
      </c>
      <c r="H29" s="622">
        <f ca="1">H12+H18</f>
        <v>-1351433.6830391667</v>
      </c>
      <c r="I29" s="622">
        <f t="shared" ca="1" si="13"/>
        <v>-671763.48303916643</v>
      </c>
      <c r="J29" s="622">
        <f t="shared" ca="1" si="13"/>
        <v>-522142.36303916661</v>
      </c>
      <c r="K29" s="622">
        <f t="shared" ca="1" si="13"/>
        <v>-443273.68303916662</v>
      </c>
      <c r="L29" s="622">
        <f t="shared" ca="1" si="13"/>
        <v>-478561.68303916662</v>
      </c>
      <c r="M29" s="622">
        <f t="shared" ca="1" si="13"/>
        <v>-478561.68303916662</v>
      </c>
      <c r="N29" s="622">
        <f t="shared" ca="1" si="13"/>
        <v>-486713.21103916661</v>
      </c>
      <c r="O29" s="622">
        <f t="shared" ca="1" si="13"/>
        <v>-478561.68303916662</v>
      </c>
      <c r="P29" s="622">
        <f t="shared" ca="1" si="13"/>
        <v>-478561.68303916662</v>
      </c>
      <c r="Q29" s="622">
        <f t="shared" ca="1" si="13"/>
        <v>-6913870.1544751255</v>
      </c>
      <c r="R29" s="623"/>
      <c r="S29" s="622">
        <f t="shared" ref="S29:AE29" si="14">S12-S18</f>
        <v>0</v>
      </c>
      <c r="T29" s="622">
        <f t="shared" si="14"/>
        <v>0</v>
      </c>
      <c r="U29" s="622">
        <f t="shared" si="14"/>
        <v>0</v>
      </c>
      <c r="V29" s="622">
        <f t="shared" si="14"/>
        <v>0</v>
      </c>
      <c r="W29" s="622">
        <f t="shared" si="14"/>
        <v>0</v>
      </c>
      <c r="X29" s="622">
        <f t="shared" si="14"/>
        <v>0</v>
      </c>
      <c r="Y29" s="622">
        <f t="shared" si="14"/>
        <v>0</v>
      </c>
      <c r="Z29" s="622">
        <f t="shared" si="14"/>
        <v>0</v>
      </c>
      <c r="AA29" s="622">
        <f t="shared" si="14"/>
        <v>0</v>
      </c>
      <c r="AB29" s="622">
        <f t="shared" si="14"/>
        <v>0</v>
      </c>
      <c r="AC29" s="622">
        <f t="shared" si="14"/>
        <v>0</v>
      </c>
      <c r="AD29" s="622">
        <f t="shared" si="14"/>
        <v>0</v>
      </c>
      <c r="AE29" s="622">
        <f t="shared" si="14"/>
        <v>0</v>
      </c>
      <c r="AF29" s="610"/>
    </row>
    <row r="30" spans="1:32" ht="16.5" customHeight="1">
      <c r="A30" s="629"/>
      <c r="B30" s="633"/>
      <c r="C30" s="633"/>
      <c r="D30" s="633"/>
      <c r="E30" s="626"/>
      <c r="F30" s="626"/>
      <c r="G30" s="626"/>
      <c r="H30" s="626"/>
      <c r="I30" s="626"/>
      <c r="J30" s="626"/>
      <c r="K30" s="626"/>
      <c r="L30" s="626"/>
      <c r="M30" s="626"/>
      <c r="N30" s="626"/>
      <c r="O30" s="626"/>
      <c r="P30" s="626"/>
      <c r="Q30" s="626"/>
      <c r="R30" s="626"/>
      <c r="S30" s="626"/>
      <c r="T30" s="626"/>
      <c r="U30" s="626"/>
      <c r="V30" s="626"/>
      <c r="W30" s="626"/>
      <c r="X30" s="626"/>
      <c r="Y30" s="626"/>
      <c r="Z30" s="626"/>
      <c r="AA30" s="626"/>
      <c r="AB30" s="626"/>
      <c r="AC30" s="626"/>
      <c r="AD30" s="626"/>
      <c r="AE30" s="626"/>
    </row>
    <row r="31" spans="1:32" s="603" customFormat="1" ht="16.5" customHeight="1">
      <c r="A31" s="627" t="str">
        <f>'CF-ACPL（合并）'!A31</f>
        <v>投资活动现金流入小计</v>
      </c>
      <c r="B31" s="628">
        <f t="shared" ca="1" si="11"/>
        <v>0</v>
      </c>
      <c r="C31" s="628">
        <f t="shared" ca="1" si="12"/>
        <v>0</v>
      </c>
      <c r="D31" s="628"/>
      <c r="E31" s="628">
        <f t="shared" ref="E31:Q31" ca="1" si="15">SUM(E32:E36)</f>
        <v>0</v>
      </c>
      <c r="F31" s="628">
        <f t="shared" ca="1" si="15"/>
        <v>0</v>
      </c>
      <c r="G31" s="628">
        <f t="shared" ca="1" si="15"/>
        <v>0</v>
      </c>
      <c r="H31" s="628">
        <f t="shared" ca="1" si="15"/>
        <v>0</v>
      </c>
      <c r="I31" s="628">
        <f t="shared" ca="1" si="15"/>
        <v>0</v>
      </c>
      <c r="J31" s="628">
        <f t="shared" ca="1" si="15"/>
        <v>0</v>
      </c>
      <c r="K31" s="628">
        <f t="shared" ca="1" si="15"/>
        <v>0</v>
      </c>
      <c r="L31" s="628">
        <f t="shared" ca="1" si="15"/>
        <v>0</v>
      </c>
      <c r="M31" s="628">
        <f t="shared" ca="1" si="15"/>
        <v>0</v>
      </c>
      <c r="N31" s="628">
        <f t="shared" ca="1" si="15"/>
        <v>0</v>
      </c>
      <c r="O31" s="628">
        <f t="shared" ca="1" si="15"/>
        <v>0</v>
      </c>
      <c r="P31" s="628">
        <f t="shared" ca="1" si="15"/>
        <v>0</v>
      </c>
      <c r="Q31" s="628">
        <f t="shared" ca="1" si="15"/>
        <v>0</v>
      </c>
      <c r="R31" s="623"/>
      <c r="S31" s="628">
        <f t="shared" ref="S31:AE31" si="16">SUM(S32:S36)</f>
        <v>0</v>
      </c>
      <c r="T31" s="628">
        <f t="shared" si="16"/>
        <v>0</v>
      </c>
      <c r="U31" s="628">
        <f t="shared" si="16"/>
        <v>0</v>
      </c>
      <c r="V31" s="628">
        <f t="shared" si="16"/>
        <v>0</v>
      </c>
      <c r="W31" s="628">
        <f t="shared" si="16"/>
        <v>0</v>
      </c>
      <c r="X31" s="628">
        <f t="shared" si="16"/>
        <v>0</v>
      </c>
      <c r="Y31" s="628">
        <f t="shared" si="16"/>
        <v>0</v>
      </c>
      <c r="Z31" s="628">
        <f t="shared" si="16"/>
        <v>0</v>
      </c>
      <c r="AA31" s="628">
        <f t="shared" si="16"/>
        <v>0</v>
      </c>
      <c r="AB31" s="628">
        <f t="shared" si="16"/>
        <v>0</v>
      </c>
      <c r="AC31" s="628">
        <f t="shared" si="16"/>
        <v>0</v>
      </c>
      <c r="AD31" s="628">
        <f t="shared" si="16"/>
        <v>0</v>
      </c>
      <c r="AE31" s="628">
        <f t="shared" si="16"/>
        <v>0</v>
      </c>
    </row>
    <row r="32" spans="1:32" ht="16.5" customHeight="1">
      <c r="A32" s="629" t="str">
        <f>'CF-ACPL（合并）'!A32</f>
        <v>收回投资所收到的现金</v>
      </c>
      <c r="B32" s="623">
        <f t="shared" ca="1" si="11"/>
        <v>0</v>
      </c>
      <c r="C32" s="626">
        <f t="shared" ca="1" si="12"/>
        <v>0</v>
      </c>
      <c r="D32" s="626"/>
      <c r="E32" s="626">
        <f ca="1">SUMIFS(cashflow汇总预算2026!$F:$F,cashflow汇总预算2026!$R:$R,$A32,cashflow汇总预算2026!$D:$D,E$4)</f>
        <v>0</v>
      </c>
      <c r="F32" s="626">
        <f ca="1">SUMIFS(cashflow汇总预算2026!$F:$F,cashflow汇总预算2026!$R:$R,$A32,cashflow汇总预算2026!$D:$D,F$4)</f>
        <v>0</v>
      </c>
      <c r="G32" s="626">
        <f ca="1">SUMIFS(cashflow汇总预算2026!$F:$F,cashflow汇总预算2026!$R:$R,$A32,cashflow汇总预算2026!$D:$D,G$4)</f>
        <v>0</v>
      </c>
      <c r="H32" s="626">
        <f ca="1">SUMIFS(cashflow汇总预算2026!$F:$F,cashflow汇总预算2026!$R:$R,$A32,cashflow汇总预算2026!$D:$D,H$4)</f>
        <v>0</v>
      </c>
      <c r="I32" s="626">
        <f ca="1">SUMIFS(cashflow汇总预算2026!$F:$F,cashflow汇总预算2026!$R:$R,$A32,cashflow汇总预算2026!$D:$D,I$4)</f>
        <v>0</v>
      </c>
      <c r="J32" s="626">
        <f ca="1">SUMIFS(cashflow汇总预算2026!$F:$F,cashflow汇总预算2026!$R:$R,$A32,cashflow汇总预算2026!$D:$D,J$4)</f>
        <v>0</v>
      </c>
      <c r="K32" s="626">
        <f ca="1">SUMIFS(cashflow汇总预算2026!$F:$F,cashflow汇总预算2026!$R:$R,$A32,cashflow汇总预算2026!$D:$D,K$4)</f>
        <v>0</v>
      </c>
      <c r="L32" s="626">
        <f ca="1">SUMIFS(cashflow汇总预算2026!$F:$F,cashflow汇总预算2026!$R:$R,$A32,cashflow汇总预算2026!$D:$D,L$4)</f>
        <v>0</v>
      </c>
      <c r="M32" s="626">
        <f ca="1">SUMIFS(cashflow汇总预算2026!$F:$F,cashflow汇总预算2026!$R:$R,$A32,cashflow汇总预算2026!$D:$D,M$4)</f>
        <v>0</v>
      </c>
      <c r="N32" s="626">
        <f ca="1">SUMIFS(cashflow汇总预算2026!$F:$F,cashflow汇总预算2026!$R:$R,$A32,cashflow汇总预算2026!$D:$D,N$4)</f>
        <v>0</v>
      </c>
      <c r="O32" s="626">
        <f ca="1">SUMIFS(cashflow汇总预算2026!$F:$F,cashflow汇总预算2026!$R:$R,$A32,cashflow汇总预算2026!$D:$D,O$4)</f>
        <v>0</v>
      </c>
      <c r="P32" s="626">
        <f ca="1">SUMIFS(cashflow汇总预算2026!$F:$F,cashflow汇总预算2026!$R:$R,$A32,cashflow汇总预算2026!$D:$D,P$4)</f>
        <v>0</v>
      </c>
      <c r="Q32" s="626">
        <f t="shared" ref="Q32:Q36" ca="1" si="17">SUM(E32:P32)</f>
        <v>0</v>
      </c>
      <c r="R32" s="626"/>
      <c r="S32" s="630">
        <v>0</v>
      </c>
      <c r="T32" s="630">
        <v>0</v>
      </c>
      <c r="U32" s="630">
        <v>0</v>
      </c>
      <c r="V32" s="630">
        <v>0</v>
      </c>
      <c r="W32" s="630">
        <v>0</v>
      </c>
      <c r="X32" s="630">
        <v>0</v>
      </c>
      <c r="Y32" s="630">
        <v>0</v>
      </c>
      <c r="Z32" s="630">
        <v>0</v>
      </c>
      <c r="AA32" s="630">
        <v>0</v>
      </c>
      <c r="AB32" s="630">
        <v>0</v>
      </c>
      <c r="AC32" s="630">
        <v>0</v>
      </c>
      <c r="AD32" s="630">
        <v>0</v>
      </c>
      <c r="AE32" s="626">
        <f t="shared" ref="AE32:AE36" si="18">SUM(S32:AD32)</f>
        <v>0</v>
      </c>
    </row>
    <row r="33" spans="1:31" ht="16.5" customHeight="1">
      <c r="A33" s="629" t="str">
        <f>'CF-ACPL（合并）'!A33</f>
        <v>取得投资收益所收到的现金</v>
      </c>
      <c r="B33" s="623">
        <f t="shared" ca="1" si="11"/>
        <v>0</v>
      </c>
      <c r="C33" s="626">
        <f t="shared" ca="1" si="12"/>
        <v>0</v>
      </c>
      <c r="D33" s="626"/>
      <c r="E33" s="626">
        <f ca="1">SUMIFS(cashflow汇总预算2026!$F:$F,cashflow汇总预算2026!$R:$R,$A33,cashflow汇总预算2026!$D:$D,E$4)</f>
        <v>0</v>
      </c>
      <c r="F33" s="626">
        <f ca="1">SUMIFS(cashflow汇总预算2026!$F:$F,cashflow汇总预算2026!$R:$R,$A33,cashflow汇总预算2026!$D:$D,F$4)</f>
        <v>0</v>
      </c>
      <c r="G33" s="626">
        <f ca="1">SUMIFS(cashflow汇总预算2026!$F:$F,cashflow汇总预算2026!$R:$R,$A33,cashflow汇总预算2026!$D:$D,G$4)</f>
        <v>0</v>
      </c>
      <c r="H33" s="626">
        <f ca="1">SUMIFS(cashflow汇总预算2026!$F:$F,cashflow汇总预算2026!$R:$R,$A33,cashflow汇总预算2026!$D:$D,H$4)</f>
        <v>0</v>
      </c>
      <c r="I33" s="626">
        <f ca="1">SUMIFS(cashflow汇总预算2026!$F:$F,cashflow汇总预算2026!$R:$R,$A33,cashflow汇总预算2026!$D:$D,I$4)</f>
        <v>0</v>
      </c>
      <c r="J33" s="626">
        <f ca="1">SUMIFS(cashflow汇总预算2026!$F:$F,cashflow汇总预算2026!$R:$R,$A33,cashflow汇总预算2026!$D:$D,J$4)</f>
        <v>0</v>
      </c>
      <c r="K33" s="626">
        <f ca="1">SUMIFS(cashflow汇总预算2026!$F:$F,cashflow汇总预算2026!$R:$R,$A33,cashflow汇总预算2026!$D:$D,K$4)</f>
        <v>0</v>
      </c>
      <c r="L33" s="626">
        <f ca="1">SUMIFS(cashflow汇总预算2026!$F:$F,cashflow汇总预算2026!$R:$R,$A33,cashflow汇总预算2026!$D:$D,L$4)</f>
        <v>0</v>
      </c>
      <c r="M33" s="626">
        <f ca="1">SUMIFS(cashflow汇总预算2026!$F:$F,cashflow汇总预算2026!$R:$R,$A33,cashflow汇总预算2026!$D:$D,M$4)</f>
        <v>0</v>
      </c>
      <c r="N33" s="626">
        <f ca="1">SUMIFS(cashflow汇总预算2026!$F:$F,cashflow汇总预算2026!$R:$R,$A33,cashflow汇总预算2026!$D:$D,N$4)</f>
        <v>0</v>
      </c>
      <c r="O33" s="626">
        <f ca="1">SUMIFS(cashflow汇总预算2026!$F:$F,cashflow汇总预算2026!$R:$R,$A33,cashflow汇总预算2026!$D:$D,O$4)</f>
        <v>0</v>
      </c>
      <c r="P33" s="626">
        <f ca="1">SUMIFS(cashflow汇总预算2026!$F:$F,cashflow汇总预算2026!$R:$R,$A33,cashflow汇总预算2026!$D:$D,P$4)</f>
        <v>0</v>
      </c>
      <c r="Q33" s="626">
        <f t="shared" ca="1" si="17"/>
        <v>0</v>
      </c>
      <c r="R33" s="626"/>
      <c r="S33" s="630">
        <v>0</v>
      </c>
      <c r="T33" s="630">
        <v>0</v>
      </c>
      <c r="U33" s="630">
        <v>0</v>
      </c>
      <c r="V33" s="630">
        <v>0</v>
      </c>
      <c r="W33" s="630">
        <v>0</v>
      </c>
      <c r="X33" s="630">
        <v>0</v>
      </c>
      <c r="Y33" s="630">
        <v>0</v>
      </c>
      <c r="Z33" s="630">
        <v>0</v>
      </c>
      <c r="AA33" s="630">
        <v>0</v>
      </c>
      <c r="AB33" s="630">
        <v>0</v>
      </c>
      <c r="AC33" s="630">
        <v>0</v>
      </c>
      <c r="AD33" s="630">
        <v>0</v>
      </c>
      <c r="AE33" s="626">
        <f t="shared" si="18"/>
        <v>0</v>
      </c>
    </row>
    <row r="34" spans="1:31" ht="16.5" customHeight="1">
      <c r="A34" s="629" t="str">
        <f>'CF-ACPL（合并）'!A34</f>
        <v>处置固定资产、无形资产和其他长期资产而收到的现金净额</v>
      </c>
      <c r="B34" s="623">
        <f t="shared" ca="1" si="11"/>
        <v>0</v>
      </c>
      <c r="C34" s="626">
        <f t="shared" ca="1" si="12"/>
        <v>0</v>
      </c>
      <c r="D34" s="626"/>
      <c r="E34" s="626">
        <f ca="1">SUMIFS(cashflow汇总预算2026!$F:$F,cashflow汇总预算2026!$R:$R,$A34,cashflow汇总预算2026!$D:$D,E$4)</f>
        <v>0</v>
      </c>
      <c r="F34" s="626">
        <f ca="1">SUMIFS(cashflow汇总预算2026!$F:$F,cashflow汇总预算2026!$R:$R,$A34,cashflow汇总预算2026!$D:$D,F$4)</f>
        <v>0</v>
      </c>
      <c r="G34" s="626">
        <f ca="1">SUMIFS(cashflow汇总预算2026!$F:$F,cashflow汇总预算2026!$R:$R,$A34,cashflow汇总预算2026!$D:$D,G$4)</f>
        <v>0</v>
      </c>
      <c r="H34" s="626">
        <f ca="1">SUMIFS(cashflow汇总预算2026!$F:$F,cashflow汇总预算2026!$R:$R,$A34,cashflow汇总预算2026!$D:$D,H$4)</f>
        <v>0</v>
      </c>
      <c r="I34" s="626">
        <f ca="1">SUMIFS(cashflow汇总预算2026!$F:$F,cashflow汇总预算2026!$R:$R,$A34,cashflow汇总预算2026!$D:$D,I$4)</f>
        <v>0</v>
      </c>
      <c r="J34" s="626">
        <f ca="1">SUMIFS(cashflow汇总预算2026!$F:$F,cashflow汇总预算2026!$R:$R,$A34,cashflow汇总预算2026!$D:$D,J$4)</f>
        <v>0</v>
      </c>
      <c r="K34" s="626">
        <f ca="1">SUMIFS(cashflow汇总预算2026!$F:$F,cashflow汇总预算2026!$R:$R,$A34,cashflow汇总预算2026!$D:$D,K$4)</f>
        <v>0</v>
      </c>
      <c r="L34" s="626">
        <f ca="1">SUMIFS(cashflow汇总预算2026!$F:$F,cashflow汇总预算2026!$R:$R,$A34,cashflow汇总预算2026!$D:$D,L$4)</f>
        <v>0</v>
      </c>
      <c r="M34" s="626">
        <f ca="1">SUMIFS(cashflow汇总预算2026!$F:$F,cashflow汇总预算2026!$R:$R,$A34,cashflow汇总预算2026!$D:$D,M$4)</f>
        <v>0</v>
      </c>
      <c r="N34" s="626">
        <f ca="1">SUMIFS(cashflow汇总预算2026!$F:$F,cashflow汇总预算2026!$R:$R,$A34,cashflow汇总预算2026!$D:$D,N$4)</f>
        <v>0</v>
      </c>
      <c r="O34" s="626">
        <f ca="1">SUMIFS(cashflow汇总预算2026!$F:$F,cashflow汇总预算2026!$R:$R,$A34,cashflow汇总预算2026!$D:$D,O$4)</f>
        <v>0</v>
      </c>
      <c r="P34" s="626">
        <f ca="1">SUMIFS(cashflow汇总预算2026!$F:$F,cashflow汇总预算2026!$R:$R,$A34,cashflow汇总预算2026!$D:$D,P$4)</f>
        <v>0</v>
      </c>
      <c r="Q34" s="626">
        <f t="shared" ca="1" si="17"/>
        <v>0</v>
      </c>
      <c r="R34" s="626"/>
      <c r="S34" s="630">
        <v>0</v>
      </c>
      <c r="T34" s="630">
        <v>0</v>
      </c>
      <c r="U34" s="630">
        <v>0</v>
      </c>
      <c r="V34" s="630">
        <v>0</v>
      </c>
      <c r="W34" s="630">
        <v>0</v>
      </c>
      <c r="X34" s="630">
        <v>0</v>
      </c>
      <c r="Y34" s="630">
        <v>0</v>
      </c>
      <c r="Z34" s="630">
        <v>0</v>
      </c>
      <c r="AA34" s="630">
        <v>0</v>
      </c>
      <c r="AB34" s="630">
        <v>0</v>
      </c>
      <c r="AC34" s="630">
        <v>0</v>
      </c>
      <c r="AD34" s="630">
        <v>0</v>
      </c>
      <c r="AE34" s="626">
        <f t="shared" si="18"/>
        <v>0</v>
      </c>
    </row>
    <row r="35" spans="1:31" ht="16.5" customHeight="1">
      <c r="A35" s="629" t="str">
        <f>'CF-ACPL（合并）'!A35</f>
        <v>处置子公司及其他营业单位收到的现金净额</v>
      </c>
      <c r="B35" s="623">
        <f t="shared" ca="1" si="11"/>
        <v>0</v>
      </c>
      <c r="C35" s="626">
        <f t="shared" ca="1" si="12"/>
        <v>0</v>
      </c>
      <c r="D35" s="626"/>
      <c r="E35" s="626">
        <f ca="1">SUMIFS(cashflow汇总预算2026!$F:$F,cashflow汇总预算2026!$R:$R,$A35,cashflow汇总预算2026!$D:$D,E$4)</f>
        <v>0</v>
      </c>
      <c r="F35" s="626">
        <f ca="1">SUMIFS(cashflow汇总预算2026!$F:$F,cashflow汇总预算2026!$R:$R,$A35,cashflow汇总预算2026!$D:$D,F$4)</f>
        <v>0</v>
      </c>
      <c r="G35" s="626">
        <f ca="1">SUMIFS(cashflow汇总预算2026!$F:$F,cashflow汇总预算2026!$R:$R,$A35,cashflow汇总预算2026!$D:$D,G$4)</f>
        <v>0</v>
      </c>
      <c r="H35" s="626">
        <f ca="1">SUMIFS(cashflow汇总预算2026!$F:$F,cashflow汇总预算2026!$R:$R,$A35,cashflow汇总预算2026!$D:$D,H$4)</f>
        <v>0</v>
      </c>
      <c r="I35" s="626">
        <f ca="1">SUMIFS(cashflow汇总预算2026!$F:$F,cashflow汇总预算2026!$R:$R,$A35,cashflow汇总预算2026!$D:$D,I$4)</f>
        <v>0</v>
      </c>
      <c r="J35" s="626">
        <f ca="1">SUMIFS(cashflow汇总预算2026!$F:$F,cashflow汇总预算2026!$R:$R,$A35,cashflow汇总预算2026!$D:$D,J$4)</f>
        <v>0</v>
      </c>
      <c r="K35" s="626">
        <f ca="1">SUMIFS(cashflow汇总预算2026!$F:$F,cashflow汇总预算2026!$R:$R,$A35,cashflow汇总预算2026!$D:$D,K$4)</f>
        <v>0</v>
      </c>
      <c r="L35" s="626">
        <f ca="1">SUMIFS(cashflow汇总预算2026!$F:$F,cashflow汇总预算2026!$R:$R,$A35,cashflow汇总预算2026!$D:$D,L$4)</f>
        <v>0</v>
      </c>
      <c r="M35" s="626">
        <f ca="1">SUMIFS(cashflow汇总预算2026!$F:$F,cashflow汇总预算2026!$R:$R,$A35,cashflow汇总预算2026!$D:$D,M$4)</f>
        <v>0</v>
      </c>
      <c r="N35" s="626">
        <f ca="1">SUMIFS(cashflow汇总预算2026!$F:$F,cashflow汇总预算2026!$R:$R,$A35,cashflow汇总预算2026!$D:$D,N$4)</f>
        <v>0</v>
      </c>
      <c r="O35" s="626">
        <f ca="1">SUMIFS(cashflow汇总预算2026!$F:$F,cashflow汇总预算2026!$R:$R,$A35,cashflow汇总预算2026!$D:$D,O$4)</f>
        <v>0</v>
      </c>
      <c r="P35" s="626">
        <f ca="1">SUMIFS(cashflow汇总预算2026!$F:$F,cashflow汇总预算2026!$R:$R,$A35,cashflow汇总预算2026!$D:$D,P$4)</f>
        <v>0</v>
      </c>
      <c r="Q35" s="626">
        <f t="shared" ca="1" si="17"/>
        <v>0</v>
      </c>
      <c r="R35" s="626"/>
      <c r="S35" s="630">
        <v>0</v>
      </c>
      <c r="T35" s="630">
        <v>0</v>
      </c>
      <c r="U35" s="630">
        <v>0</v>
      </c>
      <c r="V35" s="630">
        <v>0</v>
      </c>
      <c r="W35" s="630">
        <v>0</v>
      </c>
      <c r="X35" s="630">
        <v>0</v>
      </c>
      <c r="Y35" s="630">
        <v>0</v>
      </c>
      <c r="Z35" s="630">
        <v>0</v>
      </c>
      <c r="AA35" s="630">
        <v>0</v>
      </c>
      <c r="AB35" s="630">
        <v>0</v>
      </c>
      <c r="AC35" s="630">
        <v>0</v>
      </c>
      <c r="AD35" s="630">
        <v>0</v>
      </c>
      <c r="AE35" s="626">
        <f t="shared" si="18"/>
        <v>0</v>
      </c>
    </row>
    <row r="36" spans="1:31" ht="16.5" customHeight="1">
      <c r="A36" s="629" t="str">
        <f>'CF-ACPL（合并）'!A36</f>
        <v>收到的其他与投资活动有关的现金</v>
      </c>
      <c r="B36" s="623">
        <f t="shared" ca="1" si="11"/>
        <v>0</v>
      </c>
      <c r="C36" s="626">
        <f t="shared" ca="1" si="12"/>
        <v>0</v>
      </c>
      <c r="D36" s="626"/>
      <c r="E36" s="626">
        <f ca="1">SUMIFS(cashflow汇总预算2026!$F:$F,cashflow汇总预算2026!$R:$R,$A36,cashflow汇总预算2026!$D:$D,E$4)</f>
        <v>0</v>
      </c>
      <c r="F36" s="626">
        <f ca="1">SUMIFS(cashflow汇总预算2026!$F:$F,cashflow汇总预算2026!$R:$R,$A36,cashflow汇总预算2026!$D:$D,F$4)</f>
        <v>0</v>
      </c>
      <c r="G36" s="626">
        <f ca="1">SUMIFS(cashflow汇总预算2026!$F:$F,cashflow汇总预算2026!$R:$R,$A36,cashflow汇总预算2026!$D:$D,G$4)</f>
        <v>0</v>
      </c>
      <c r="H36" s="626">
        <f ca="1">SUMIFS(cashflow汇总预算2026!$F:$F,cashflow汇总预算2026!$R:$R,$A36,cashflow汇总预算2026!$D:$D,H$4)</f>
        <v>0</v>
      </c>
      <c r="I36" s="626">
        <f ca="1">SUMIFS(cashflow汇总预算2026!$F:$F,cashflow汇总预算2026!$R:$R,$A36,cashflow汇总预算2026!$D:$D,I$4)</f>
        <v>0</v>
      </c>
      <c r="J36" s="626">
        <f ca="1">SUMIFS(cashflow汇总预算2026!$F:$F,cashflow汇总预算2026!$R:$R,$A36,cashflow汇总预算2026!$D:$D,J$4)</f>
        <v>0</v>
      </c>
      <c r="K36" s="626">
        <f ca="1">SUMIFS(cashflow汇总预算2026!$F:$F,cashflow汇总预算2026!$R:$R,$A36,cashflow汇总预算2026!$D:$D,K$4)</f>
        <v>0</v>
      </c>
      <c r="L36" s="626">
        <f ca="1">SUMIFS(cashflow汇总预算2026!$F:$F,cashflow汇总预算2026!$R:$R,$A36,cashflow汇总预算2026!$D:$D,L$4)</f>
        <v>0</v>
      </c>
      <c r="M36" s="626">
        <f ca="1">SUMIFS(cashflow汇总预算2026!$F:$F,cashflow汇总预算2026!$R:$R,$A36,cashflow汇总预算2026!$D:$D,M$4)</f>
        <v>0</v>
      </c>
      <c r="N36" s="626">
        <f ca="1">SUMIFS(cashflow汇总预算2026!$F:$F,cashflow汇总预算2026!$R:$R,$A36,cashflow汇总预算2026!$D:$D,N$4)</f>
        <v>0</v>
      </c>
      <c r="O36" s="626">
        <f ca="1">SUMIFS(cashflow汇总预算2026!$F:$F,cashflow汇总预算2026!$R:$R,$A36,cashflow汇总预算2026!$D:$D,O$4)</f>
        <v>0</v>
      </c>
      <c r="P36" s="626">
        <f ca="1">SUMIFS(cashflow汇总预算2026!$F:$F,cashflow汇总预算2026!$R:$R,$A36,cashflow汇总预算2026!$D:$D,P$4)</f>
        <v>0</v>
      </c>
      <c r="Q36" s="626">
        <f t="shared" ca="1" si="17"/>
        <v>0</v>
      </c>
      <c r="R36" s="626"/>
      <c r="S36" s="630">
        <v>0</v>
      </c>
      <c r="T36" s="630">
        <v>0</v>
      </c>
      <c r="U36" s="630">
        <v>0</v>
      </c>
      <c r="V36" s="630">
        <v>0</v>
      </c>
      <c r="W36" s="630">
        <v>0</v>
      </c>
      <c r="X36" s="630">
        <v>0</v>
      </c>
      <c r="Y36" s="630">
        <v>0</v>
      </c>
      <c r="Z36" s="630">
        <v>0</v>
      </c>
      <c r="AA36" s="630">
        <v>0</v>
      </c>
      <c r="AB36" s="630">
        <v>0</v>
      </c>
      <c r="AC36" s="630">
        <v>0</v>
      </c>
      <c r="AD36" s="630">
        <v>0</v>
      </c>
      <c r="AE36" s="626">
        <f t="shared" si="18"/>
        <v>0</v>
      </c>
    </row>
    <row r="37" spans="1:31" s="604" customFormat="1" ht="16.5" customHeight="1">
      <c r="A37" s="631" t="str">
        <f>'CF-ACPL（合并）'!A37</f>
        <v>投资活动现金流出小计</v>
      </c>
      <c r="B37" s="632">
        <f t="shared" ca="1" si="11"/>
        <v>-2224.9749999999999</v>
      </c>
      <c r="C37" s="632">
        <f t="shared" ca="1" si="12"/>
        <v>-2224.9749999999999</v>
      </c>
      <c r="D37" s="632"/>
      <c r="E37" s="632">
        <f t="shared" ref="E37:Q37" ca="1" si="19">SUM(E38:E41)</f>
        <v>-2224.9749999999999</v>
      </c>
      <c r="F37" s="632">
        <f t="shared" ca="1" si="19"/>
        <v>-7326205.5</v>
      </c>
      <c r="G37" s="632">
        <f t="shared" ca="1" si="19"/>
        <v>-7802205.5</v>
      </c>
      <c r="H37" s="632">
        <f t="shared" ca="1" si="19"/>
        <v>-2205.5</v>
      </c>
      <c r="I37" s="632">
        <f t="shared" ca="1" si="19"/>
        <v>-2205.5</v>
      </c>
      <c r="J37" s="632">
        <f t="shared" ca="1" si="19"/>
        <v>-2205.5</v>
      </c>
      <c r="K37" s="632">
        <f t="shared" ca="1" si="19"/>
        <v>-2205.5</v>
      </c>
      <c r="L37" s="632">
        <f t="shared" ca="1" si="19"/>
        <v>-5002205.5</v>
      </c>
      <c r="M37" s="632">
        <f t="shared" ca="1" si="19"/>
        <v>-2205.5</v>
      </c>
      <c r="N37" s="632">
        <f t="shared" ca="1" si="19"/>
        <v>-2205.5</v>
      </c>
      <c r="O37" s="632">
        <f t="shared" ca="1" si="19"/>
        <v>-2205.5</v>
      </c>
      <c r="P37" s="632">
        <f t="shared" ca="1" si="19"/>
        <v>-4198081.299086757</v>
      </c>
      <c r="Q37" s="632">
        <f t="shared" ca="1" si="19"/>
        <v>-24346361.274086758</v>
      </c>
      <c r="R37" s="623"/>
      <c r="S37" s="632">
        <f t="shared" ref="S37:AE37" si="20">SUM(S38:S41)</f>
        <v>0</v>
      </c>
      <c r="T37" s="632">
        <f t="shared" si="20"/>
        <v>0</v>
      </c>
      <c r="U37" s="632">
        <f t="shared" si="20"/>
        <v>0</v>
      </c>
      <c r="V37" s="632">
        <f t="shared" si="20"/>
        <v>0</v>
      </c>
      <c r="W37" s="632">
        <f t="shared" si="20"/>
        <v>0</v>
      </c>
      <c r="X37" s="632">
        <f t="shared" si="20"/>
        <v>0</v>
      </c>
      <c r="Y37" s="632">
        <f t="shared" si="20"/>
        <v>0</v>
      </c>
      <c r="Z37" s="632">
        <f t="shared" si="20"/>
        <v>0</v>
      </c>
      <c r="AA37" s="632">
        <f t="shared" si="20"/>
        <v>0</v>
      </c>
      <c r="AB37" s="632">
        <f t="shared" si="20"/>
        <v>0</v>
      </c>
      <c r="AC37" s="632">
        <f t="shared" si="20"/>
        <v>0</v>
      </c>
      <c r="AD37" s="632">
        <f t="shared" si="20"/>
        <v>0</v>
      </c>
      <c r="AE37" s="632">
        <f t="shared" si="20"/>
        <v>0</v>
      </c>
    </row>
    <row r="38" spans="1:31" ht="16.5" customHeight="1">
      <c r="A38" s="629" t="str">
        <f>'CF-ACPL（合并）'!A38</f>
        <v>购建固定资产、无形资产和其他长期资产支付的现金</v>
      </c>
      <c r="B38" s="623">
        <f t="shared" si="11"/>
        <v>-2224.9749999999999</v>
      </c>
      <c r="C38" s="626">
        <f t="shared" ca="1" si="12"/>
        <v>-2224.9749999999999</v>
      </c>
      <c r="D38" s="626"/>
      <c r="E38" s="626">
        <f>-SUMIFS('Other Exp'!AG:AG,'Other Exp'!$B:$B,$C$1,'Other Exp'!$D:$D,$A38)</f>
        <v>-2224.9749999999999</v>
      </c>
      <c r="F38" s="626">
        <f>-SUMIFS('Other Exp'!AH:AH,'Other Exp'!$B:$B,$C$1,'Other Exp'!$D:$D,$A38)</f>
        <v>-2205.5</v>
      </c>
      <c r="G38" s="626">
        <f>-SUMIFS('Other Exp'!AI:AI,'Other Exp'!$B:$B,$C$1,'Other Exp'!$D:$D,$A38)</f>
        <v>-2205.5</v>
      </c>
      <c r="H38" s="626">
        <f>-SUMIFS('Other Exp'!AJ:AJ,'Other Exp'!$B:$B,$C$1,'Other Exp'!$D:$D,$A38)</f>
        <v>-2205.5</v>
      </c>
      <c r="I38" s="626">
        <f>-SUMIFS('Other Exp'!AK:AK,'Other Exp'!$B:$B,$C$1,'Other Exp'!$D:$D,$A38)</f>
        <v>-2205.5</v>
      </c>
      <c r="J38" s="626">
        <f>-SUMIFS('Other Exp'!AL:AL,'Other Exp'!$B:$B,$C$1,'Other Exp'!$D:$D,$A38)</f>
        <v>-2205.5</v>
      </c>
      <c r="K38" s="626">
        <f>-SUMIFS('Other Exp'!AM:AM,'Other Exp'!$B:$B,$C$1,'Other Exp'!$D:$D,$A38)</f>
        <v>-2205.5</v>
      </c>
      <c r="L38" s="626">
        <f>-SUMIFS('Other Exp'!AN:AN,'Other Exp'!$B:$B,$C$1,'Other Exp'!$D:$D,$A38)</f>
        <v>-2205.5</v>
      </c>
      <c r="M38" s="626">
        <f>-SUMIFS('Other Exp'!AO:AO,'Other Exp'!$B:$B,$C$1,'Other Exp'!$D:$D,$A38)</f>
        <v>-2205.5</v>
      </c>
      <c r="N38" s="626">
        <f>-SUMIFS('Other Exp'!AP:AP,'Other Exp'!$B:$B,$C$1,'Other Exp'!$D:$D,$A38)</f>
        <v>-2205.5</v>
      </c>
      <c r="O38" s="626">
        <f>-SUMIFS('Other Exp'!AQ:AQ,'Other Exp'!$B:$B,$C$1,'Other Exp'!$D:$D,$A38)</f>
        <v>-2205.5</v>
      </c>
      <c r="P38" s="626">
        <f>-SUMIFS('Other Exp'!AR:AR,'Other Exp'!$B:$B,$C$1,'Other Exp'!$D:$D,$A38)</f>
        <v>-2205.5</v>
      </c>
      <c r="Q38" s="626">
        <f t="shared" ref="Q38:Q41" si="21">SUM(E38:P38)</f>
        <v>-26485.474999999999</v>
      </c>
      <c r="R38" s="626"/>
      <c r="S38" s="630">
        <v>0</v>
      </c>
      <c r="T38" s="630">
        <v>0</v>
      </c>
      <c r="U38" s="630">
        <v>0</v>
      </c>
      <c r="V38" s="630">
        <v>0</v>
      </c>
      <c r="W38" s="630">
        <v>0</v>
      </c>
      <c r="X38" s="630">
        <v>0</v>
      </c>
      <c r="Y38" s="630">
        <v>0</v>
      </c>
      <c r="Z38" s="630">
        <v>0</v>
      </c>
      <c r="AA38" s="630">
        <v>0</v>
      </c>
      <c r="AB38" s="630">
        <v>0</v>
      </c>
      <c r="AC38" s="630">
        <v>0</v>
      </c>
      <c r="AD38" s="630">
        <v>0</v>
      </c>
      <c r="AE38" s="626">
        <f t="shared" ref="AE38:AE41" si="22">SUM(S38:AD38)</f>
        <v>0</v>
      </c>
    </row>
    <row r="39" spans="1:31" ht="16.5" customHeight="1">
      <c r="A39" s="629" t="str">
        <f>'CF-ACPL（合并）'!A39</f>
        <v>投资支付的现金</v>
      </c>
      <c r="B39" s="623">
        <f t="shared" ca="1" si="11"/>
        <v>0</v>
      </c>
      <c r="C39" s="626">
        <f t="shared" ca="1" si="12"/>
        <v>0</v>
      </c>
      <c r="D39" s="626"/>
      <c r="E39" s="626">
        <f ca="1">SUMIFS(cashflow汇总预算2026!$F:$F,cashflow汇总预算2026!$R:$R,$A39,cashflow汇总预算2026!$D:$D,E$4)</f>
        <v>0</v>
      </c>
      <c r="F39" s="626">
        <f ca="1">SUMIFS(cashflow汇总预算2026!$F:$F,cashflow汇总预算2026!$R:$R,$A39,cashflow汇总预算2026!$D:$D,F$4)</f>
        <v>-7324000</v>
      </c>
      <c r="G39" s="626">
        <f ca="1">SUMIFS(cashflow汇总预算2026!$F:$F,cashflow汇总预算2026!$R:$R,$A39,cashflow汇总预算2026!$D:$D,G$4)</f>
        <v>-7800000</v>
      </c>
      <c r="H39" s="626">
        <f ca="1">SUMIFS(cashflow汇总预算2026!$F:$F,cashflow汇总预算2026!$R:$R,$A39,cashflow汇总预算2026!$D:$D,H$4)</f>
        <v>0</v>
      </c>
      <c r="I39" s="626">
        <f ca="1">SUMIFS(cashflow汇总预算2026!$F:$F,cashflow汇总预算2026!$R:$R,$A39,cashflow汇总预算2026!$D:$D,I$4)</f>
        <v>0</v>
      </c>
      <c r="J39" s="626">
        <f ca="1">SUMIFS(cashflow汇总预算2026!$F:$F,cashflow汇总预算2026!$R:$R,$A39,cashflow汇总预算2026!$D:$D,J$4)</f>
        <v>0</v>
      </c>
      <c r="K39" s="626">
        <f ca="1">SUMIFS(cashflow汇总预算2026!$F:$F,cashflow汇总预算2026!$R:$R,$A39,cashflow汇总预算2026!$D:$D,K$4)</f>
        <v>0</v>
      </c>
      <c r="L39" s="626">
        <f ca="1">SUMIFS(cashflow汇总预算2026!$F:$F,cashflow汇总预算2026!$R:$R,$A39,cashflow汇总预算2026!$D:$D,L$4)</f>
        <v>-5000000</v>
      </c>
      <c r="M39" s="626">
        <f ca="1">SUMIFS(cashflow汇总预算2026!$F:$F,cashflow汇总预算2026!$R:$R,$A39,cashflow汇总预算2026!$D:$D,M$4)</f>
        <v>0</v>
      </c>
      <c r="N39" s="626">
        <f ca="1">SUMIFS(cashflow汇总预算2026!$F:$F,cashflow汇总预算2026!$R:$R,$A39,cashflow汇总预算2026!$D:$D,N$4)</f>
        <v>0</v>
      </c>
      <c r="O39" s="626">
        <f ca="1">SUMIFS(cashflow汇总预算2026!$F:$F,cashflow汇总预算2026!$R:$R,$A39,cashflow汇总预算2026!$D:$D,O$4)</f>
        <v>0</v>
      </c>
      <c r="P39" s="626">
        <f ca="1">SUMIFS(cashflow汇总预算2026!$F:$F,cashflow汇总预算2026!$R:$R,$A39,cashflow汇总预算2026!$D:$D,P$4)</f>
        <v>-4195875.799086757</v>
      </c>
      <c r="Q39" s="626">
        <f t="shared" ca="1" si="21"/>
        <v>-24319875.799086757</v>
      </c>
      <c r="R39" s="626"/>
      <c r="S39" s="630">
        <v>0</v>
      </c>
      <c r="T39" s="630">
        <v>0</v>
      </c>
      <c r="U39" s="630">
        <v>0</v>
      </c>
      <c r="V39" s="630">
        <v>0</v>
      </c>
      <c r="W39" s="630">
        <v>0</v>
      </c>
      <c r="X39" s="630">
        <v>0</v>
      </c>
      <c r="Y39" s="630">
        <v>0</v>
      </c>
      <c r="Z39" s="630">
        <v>0</v>
      </c>
      <c r="AA39" s="630">
        <v>0</v>
      </c>
      <c r="AB39" s="630">
        <v>0</v>
      </c>
      <c r="AC39" s="630">
        <v>0</v>
      </c>
      <c r="AD39" s="630">
        <v>0</v>
      </c>
      <c r="AE39" s="626">
        <f t="shared" si="22"/>
        <v>0</v>
      </c>
    </row>
    <row r="40" spans="1:31" ht="16.5" customHeight="1">
      <c r="A40" s="629" t="str">
        <f>'CF-ACPL（合并）'!A40</f>
        <v>取得子公司及其他营业单位支付的现金净额</v>
      </c>
      <c r="B40" s="623">
        <f t="shared" ca="1" si="11"/>
        <v>0</v>
      </c>
      <c r="C40" s="626">
        <f t="shared" ca="1" si="12"/>
        <v>0</v>
      </c>
      <c r="D40" s="626"/>
      <c r="E40" s="626">
        <f ca="1">SUMIFS(cashflow汇总预算2026!$F:$F,cashflow汇总预算2026!$R:$R,$A40,cashflow汇总预算2026!$D:$D,E$4)</f>
        <v>0</v>
      </c>
      <c r="F40" s="626">
        <f ca="1">SUMIFS(cashflow汇总预算2026!$F:$F,cashflow汇总预算2026!$R:$R,$A40,cashflow汇总预算2026!$D:$D,F$4)</f>
        <v>0</v>
      </c>
      <c r="G40" s="626">
        <f ca="1">SUMIFS(cashflow汇总预算2026!$F:$F,cashflow汇总预算2026!$R:$R,$A40,cashflow汇总预算2026!$D:$D,G$4)</f>
        <v>0</v>
      </c>
      <c r="H40" s="626">
        <f ca="1">SUMIFS(cashflow汇总预算2026!$F:$F,cashflow汇总预算2026!$R:$R,$A40,cashflow汇总预算2026!$D:$D,H$4)</f>
        <v>0</v>
      </c>
      <c r="I40" s="626">
        <f ca="1">SUMIFS(cashflow汇总预算2026!$F:$F,cashflow汇总预算2026!$R:$R,$A40,cashflow汇总预算2026!$D:$D,I$4)</f>
        <v>0</v>
      </c>
      <c r="J40" s="626">
        <f ca="1">SUMIFS(cashflow汇总预算2026!$F:$F,cashflow汇总预算2026!$R:$R,$A40,cashflow汇总预算2026!$D:$D,J$4)</f>
        <v>0</v>
      </c>
      <c r="K40" s="626">
        <f ca="1">SUMIFS(cashflow汇总预算2026!$F:$F,cashflow汇总预算2026!$R:$R,$A40,cashflow汇总预算2026!$D:$D,K$4)</f>
        <v>0</v>
      </c>
      <c r="L40" s="626">
        <f ca="1">SUMIFS(cashflow汇总预算2026!$F:$F,cashflow汇总预算2026!$R:$R,$A40,cashflow汇总预算2026!$D:$D,L$4)</f>
        <v>0</v>
      </c>
      <c r="M40" s="626">
        <f ca="1">SUMIFS(cashflow汇总预算2026!$F:$F,cashflow汇总预算2026!$R:$R,$A40,cashflow汇总预算2026!$D:$D,M$4)</f>
        <v>0</v>
      </c>
      <c r="N40" s="626">
        <f ca="1">SUMIFS(cashflow汇总预算2026!$F:$F,cashflow汇总预算2026!$R:$R,$A40,cashflow汇总预算2026!$D:$D,N$4)</f>
        <v>0</v>
      </c>
      <c r="O40" s="626">
        <f ca="1">SUMIFS(cashflow汇总预算2026!$F:$F,cashflow汇总预算2026!$R:$R,$A40,cashflow汇总预算2026!$D:$D,O$4)</f>
        <v>0</v>
      </c>
      <c r="P40" s="626">
        <f ca="1">SUMIFS(cashflow汇总预算2026!$F:$F,cashflow汇总预算2026!$R:$R,$A40,cashflow汇总预算2026!$D:$D,P$4)</f>
        <v>0</v>
      </c>
      <c r="Q40" s="626">
        <f t="shared" ca="1" si="21"/>
        <v>0</v>
      </c>
      <c r="R40" s="626"/>
      <c r="S40" s="630">
        <v>0</v>
      </c>
      <c r="T40" s="630">
        <v>0</v>
      </c>
      <c r="U40" s="630">
        <v>0</v>
      </c>
      <c r="V40" s="630">
        <v>0</v>
      </c>
      <c r="W40" s="630">
        <v>0</v>
      </c>
      <c r="X40" s="630">
        <v>0</v>
      </c>
      <c r="Y40" s="630">
        <v>0</v>
      </c>
      <c r="Z40" s="630">
        <v>0</v>
      </c>
      <c r="AA40" s="630">
        <v>0</v>
      </c>
      <c r="AB40" s="630">
        <v>0</v>
      </c>
      <c r="AC40" s="630">
        <v>0</v>
      </c>
      <c r="AD40" s="630">
        <v>0</v>
      </c>
      <c r="AE40" s="626">
        <f t="shared" si="22"/>
        <v>0</v>
      </c>
    </row>
    <row r="41" spans="1:31" ht="16.5" customHeight="1">
      <c r="A41" s="629" t="str">
        <f>'CF-ACPL（合并）'!A41</f>
        <v>支付的其他与投资活动有关的现金</v>
      </c>
      <c r="B41" s="623">
        <f t="shared" ca="1" si="11"/>
        <v>0</v>
      </c>
      <c r="C41" s="626">
        <f t="shared" ca="1" si="12"/>
        <v>0</v>
      </c>
      <c r="D41" s="626"/>
      <c r="E41" s="626">
        <f ca="1">SUMIFS(cashflow汇总预算2026!$F:$F,cashflow汇总预算2026!$R:$R,$A41,cashflow汇总预算2026!$D:$D,E$4)</f>
        <v>0</v>
      </c>
      <c r="F41" s="626">
        <f ca="1">SUMIFS(cashflow汇总预算2026!$F:$F,cashflow汇总预算2026!$R:$R,$A41,cashflow汇总预算2026!$D:$D,F$4)</f>
        <v>0</v>
      </c>
      <c r="G41" s="626">
        <f ca="1">SUMIFS(cashflow汇总预算2026!$F:$F,cashflow汇总预算2026!$R:$R,$A41,cashflow汇总预算2026!$D:$D,G$4)</f>
        <v>0</v>
      </c>
      <c r="H41" s="626">
        <f ca="1">SUMIFS(cashflow汇总预算2026!$F:$F,cashflow汇总预算2026!$R:$R,$A41,cashflow汇总预算2026!$D:$D,H$4)</f>
        <v>0</v>
      </c>
      <c r="I41" s="626">
        <f ca="1">SUMIFS(cashflow汇总预算2026!$F:$F,cashflow汇总预算2026!$R:$R,$A41,cashflow汇总预算2026!$D:$D,I$4)</f>
        <v>0</v>
      </c>
      <c r="J41" s="626">
        <f ca="1">SUMIFS(cashflow汇总预算2026!$F:$F,cashflow汇总预算2026!$R:$R,$A41,cashflow汇总预算2026!$D:$D,J$4)</f>
        <v>0</v>
      </c>
      <c r="K41" s="626">
        <f ca="1">SUMIFS(cashflow汇总预算2026!$F:$F,cashflow汇总预算2026!$R:$R,$A41,cashflow汇总预算2026!$D:$D,K$4)</f>
        <v>0</v>
      </c>
      <c r="L41" s="626">
        <f ca="1">SUMIFS(cashflow汇总预算2026!$F:$F,cashflow汇总预算2026!$R:$R,$A41,cashflow汇总预算2026!$D:$D,L$4)</f>
        <v>0</v>
      </c>
      <c r="M41" s="626">
        <f ca="1">SUMIFS(cashflow汇总预算2026!$F:$F,cashflow汇总预算2026!$R:$R,$A41,cashflow汇总预算2026!$D:$D,M$4)</f>
        <v>0</v>
      </c>
      <c r="N41" s="626">
        <f ca="1">SUMIFS(cashflow汇总预算2026!$F:$F,cashflow汇总预算2026!$R:$R,$A41,cashflow汇总预算2026!$D:$D,N$4)</f>
        <v>0</v>
      </c>
      <c r="O41" s="626">
        <f ca="1">SUMIFS(cashflow汇总预算2026!$F:$F,cashflow汇总预算2026!$R:$R,$A41,cashflow汇总预算2026!$D:$D,O$4)</f>
        <v>0</v>
      </c>
      <c r="P41" s="626">
        <f ca="1">SUMIFS(cashflow汇总预算2026!$F:$F,cashflow汇总预算2026!$R:$R,$A41,cashflow汇总预算2026!$D:$D,P$4)</f>
        <v>0</v>
      </c>
      <c r="Q41" s="626">
        <f t="shared" ca="1" si="21"/>
        <v>0</v>
      </c>
      <c r="R41" s="626"/>
      <c r="S41" s="630">
        <v>0</v>
      </c>
      <c r="T41" s="630">
        <v>0</v>
      </c>
      <c r="U41" s="630">
        <v>0</v>
      </c>
      <c r="V41" s="630">
        <v>0</v>
      </c>
      <c r="W41" s="630">
        <v>0</v>
      </c>
      <c r="X41" s="630">
        <v>0</v>
      </c>
      <c r="Y41" s="630">
        <v>0</v>
      </c>
      <c r="Z41" s="630">
        <v>0</v>
      </c>
      <c r="AA41" s="630">
        <v>0</v>
      </c>
      <c r="AB41" s="630">
        <v>0</v>
      </c>
      <c r="AC41" s="630">
        <v>0</v>
      </c>
      <c r="AD41" s="630">
        <v>0</v>
      </c>
      <c r="AE41" s="626">
        <f t="shared" si="22"/>
        <v>0</v>
      </c>
    </row>
    <row r="42" spans="1:31" s="601" customFormat="1" ht="16.5" customHeight="1">
      <c r="A42" s="608" t="str">
        <f>'CF-ACPL（合并）'!A42</f>
        <v>投资活动产生的现金流量净额</v>
      </c>
      <c r="B42" s="634">
        <f t="shared" ca="1" si="11"/>
        <v>-2224.9749999999999</v>
      </c>
      <c r="C42" s="634">
        <f t="shared" ca="1" si="12"/>
        <v>-2224.9749999999999</v>
      </c>
      <c r="D42" s="634"/>
      <c r="E42" s="622">
        <f ca="1">E31+E37</f>
        <v>-2224.9749999999999</v>
      </c>
      <c r="F42" s="622">
        <f t="shared" ref="F42:Q42" ca="1" si="23">F31+F37</f>
        <v>-7326205.5</v>
      </c>
      <c r="G42" s="622">
        <f t="shared" ca="1" si="23"/>
        <v>-7802205.5</v>
      </c>
      <c r="H42" s="622">
        <f t="shared" ca="1" si="23"/>
        <v>-2205.5</v>
      </c>
      <c r="I42" s="622">
        <f t="shared" ca="1" si="23"/>
        <v>-2205.5</v>
      </c>
      <c r="J42" s="622">
        <f t="shared" ca="1" si="23"/>
        <v>-2205.5</v>
      </c>
      <c r="K42" s="622">
        <f t="shared" ca="1" si="23"/>
        <v>-2205.5</v>
      </c>
      <c r="L42" s="622">
        <f t="shared" ca="1" si="23"/>
        <v>-5002205.5</v>
      </c>
      <c r="M42" s="622">
        <f t="shared" ca="1" si="23"/>
        <v>-2205.5</v>
      </c>
      <c r="N42" s="622">
        <f t="shared" ca="1" si="23"/>
        <v>-2205.5</v>
      </c>
      <c r="O42" s="622">
        <f t="shared" ca="1" si="23"/>
        <v>-2205.5</v>
      </c>
      <c r="P42" s="622">
        <f t="shared" ca="1" si="23"/>
        <v>-4198081.299086757</v>
      </c>
      <c r="Q42" s="622">
        <f t="shared" ca="1" si="23"/>
        <v>-24346361.274086758</v>
      </c>
      <c r="R42" s="623"/>
      <c r="S42" s="622">
        <f t="shared" ref="S42:AE42" si="24">S31-S37</f>
        <v>0</v>
      </c>
      <c r="T42" s="622">
        <f t="shared" si="24"/>
        <v>0</v>
      </c>
      <c r="U42" s="622">
        <f t="shared" si="24"/>
        <v>0</v>
      </c>
      <c r="V42" s="622">
        <f t="shared" si="24"/>
        <v>0</v>
      </c>
      <c r="W42" s="622">
        <f t="shared" si="24"/>
        <v>0</v>
      </c>
      <c r="X42" s="622">
        <f t="shared" si="24"/>
        <v>0</v>
      </c>
      <c r="Y42" s="622">
        <f t="shared" si="24"/>
        <v>0</v>
      </c>
      <c r="Z42" s="622">
        <f t="shared" si="24"/>
        <v>0</v>
      </c>
      <c r="AA42" s="622">
        <f t="shared" si="24"/>
        <v>0</v>
      </c>
      <c r="AB42" s="622">
        <f t="shared" si="24"/>
        <v>0</v>
      </c>
      <c r="AC42" s="622">
        <f t="shared" si="24"/>
        <v>0</v>
      </c>
      <c r="AD42" s="622">
        <f t="shared" si="24"/>
        <v>0</v>
      </c>
      <c r="AE42" s="622">
        <f t="shared" si="24"/>
        <v>0</v>
      </c>
    </row>
    <row r="43" spans="1:31" ht="16.5" customHeight="1">
      <c r="A43" s="629"/>
      <c r="B43" s="633"/>
      <c r="C43" s="633"/>
      <c r="D43" s="633"/>
      <c r="E43" s="626"/>
      <c r="F43" s="626"/>
      <c r="G43" s="626"/>
      <c r="H43" s="626"/>
      <c r="I43" s="626"/>
      <c r="J43" s="626"/>
      <c r="K43" s="626"/>
      <c r="L43" s="626"/>
      <c r="M43" s="626"/>
      <c r="N43" s="626"/>
      <c r="O43" s="626"/>
      <c r="P43" s="626"/>
      <c r="Q43" s="626"/>
      <c r="R43" s="626"/>
      <c r="S43" s="626"/>
      <c r="T43" s="626"/>
      <c r="U43" s="626"/>
      <c r="V43" s="626"/>
      <c r="W43" s="626"/>
      <c r="X43" s="626"/>
      <c r="Y43" s="626"/>
      <c r="Z43" s="626"/>
      <c r="AA43" s="626"/>
      <c r="AB43" s="626"/>
      <c r="AC43" s="626"/>
      <c r="AD43" s="626"/>
      <c r="AE43" s="626"/>
    </row>
    <row r="44" spans="1:31" s="603" customFormat="1" ht="16.5" customHeight="1">
      <c r="A44" s="627" t="str">
        <f>'CF-ACPL（合并）'!A44</f>
        <v>筹资活动现金流入小计</v>
      </c>
      <c r="B44" s="628">
        <f t="shared" ref="B44:B52" ca="1" si="25">INDEX($E44:$P44,1,MATCH($B$4,$E$4:$P$4))</f>
        <v>1900000</v>
      </c>
      <c r="C44" s="628">
        <f t="shared" ref="C44:C52" ca="1" si="26">SUM($E44:OFFSET($E44,0,MATCH($C$4,$E$4:$P$4)-1))</f>
        <v>1900000</v>
      </c>
      <c r="D44" s="628"/>
      <c r="E44" s="628">
        <f t="shared" ref="E44:Q44" ca="1" si="27">SUM(E45:E47)</f>
        <v>1900000</v>
      </c>
      <c r="F44" s="628">
        <f t="shared" ca="1" si="27"/>
        <v>15600000</v>
      </c>
      <c r="G44" s="628">
        <f t="shared" ca="1" si="27"/>
        <v>557979.1830391665</v>
      </c>
      <c r="H44" s="628">
        <f t="shared" ca="1" si="27"/>
        <v>1353639.1830391667</v>
      </c>
      <c r="I44" s="628">
        <f t="shared" ca="1" si="27"/>
        <v>673968.98303916643</v>
      </c>
      <c r="J44" s="628">
        <f t="shared" ca="1" si="27"/>
        <v>524347.86303916667</v>
      </c>
      <c r="K44" s="628">
        <f t="shared" ca="1" si="27"/>
        <v>445479.18303916662</v>
      </c>
      <c r="L44" s="628">
        <f t="shared" ca="1" si="27"/>
        <v>20000000</v>
      </c>
      <c r="M44" s="628">
        <f t="shared" ca="1" si="27"/>
        <v>0</v>
      </c>
      <c r="N44" s="628">
        <f t="shared" ca="1" si="27"/>
        <v>410711.77316955512</v>
      </c>
      <c r="O44" s="628">
        <f t="shared" ca="1" si="27"/>
        <v>0</v>
      </c>
      <c r="P44" s="628">
        <f t="shared" ca="1" si="27"/>
        <v>0</v>
      </c>
      <c r="Q44" s="628">
        <f t="shared" ca="1" si="27"/>
        <v>41466126.168365389</v>
      </c>
      <c r="R44" s="623"/>
      <c r="S44" s="628">
        <f t="shared" ref="S44:AE44" si="28">SUM(S45:S47)</f>
        <v>0</v>
      </c>
      <c r="T44" s="628">
        <f t="shared" si="28"/>
        <v>0</v>
      </c>
      <c r="U44" s="628">
        <f t="shared" si="28"/>
        <v>0</v>
      </c>
      <c r="V44" s="628">
        <f t="shared" si="28"/>
        <v>0</v>
      </c>
      <c r="W44" s="628">
        <f t="shared" si="28"/>
        <v>0</v>
      </c>
      <c r="X44" s="628">
        <f t="shared" si="28"/>
        <v>0</v>
      </c>
      <c r="Y44" s="628">
        <f t="shared" si="28"/>
        <v>0</v>
      </c>
      <c r="Z44" s="628">
        <f t="shared" si="28"/>
        <v>0</v>
      </c>
      <c r="AA44" s="628">
        <f t="shared" si="28"/>
        <v>0</v>
      </c>
      <c r="AB44" s="628">
        <f t="shared" si="28"/>
        <v>0</v>
      </c>
      <c r="AC44" s="628">
        <f t="shared" si="28"/>
        <v>0</v>
      </c>
      <c r="AD44" s="628">
        <f t="shared" si="28"/>
        <v>0</v>
      </c>
      <c r="AE44" s="628">
        <f t="shared" si="28"/>
        <v>0</v>
      </c>
    </row>
    <row r="45" spans="1:31" ht="16.5" customHeight="1">
      <c r="A45" s="629" t="str">
        <f>'CF-ACPL（合并）'!A45</f>
        <v>吸收投资所收到的现金</v>
      </c>
      <c r="B45" s="623">
        <f t="shared" ca="1" si="25"/>
        <v>0</v>
      </c>
      <c r="C45" s="626">
        <f t="shared" ca="1" si="26"/>
        <v>0</v>
      </c>
      <c r="D45" s="626"/>
      <c r="E45" s="626">
        <f ca="1">SUMIFS(cashflow汇总预算2026!$F:$F,cashflow汇总预算2026!$R:$R,$A45,cashflow汇总预算2026!$D:$D,E$4)</f>
        <v>0</v>
      </c>
      <c r="F45" s="626">
        <f ca="1">SUMIFS(cashflow汇总预算2026!$F:$F,cashflow汇总预算2026!$R:$R,$A45,cashflow汇总预算2026!$D:$D,F$4)</f>
        <v>0</v>
      </c>
      <c r="G45" s="626">
        <f ca="1">SUMIFS(cashflow汇总预算2026!$F:$F,cashflow汇总预算2026!$R:$R,$A45,cashflow汇总预算2026!$D:$D,G$4)</f>
        <v>0</v>
      </c>
      <c r="H45" s="626">
        <f ca="1">SUMIFS(cashflow汇总预算2026!$F:$F,cashflow汇总预算2026!$R:$R,$A45,cashflow汇总预算2026!$D:$D,H$4)</f>
        <v>0</v>
      </c>
      <c r="I45" s="626">
        <f ca="1">SUMIFS(cashflow汇总预算2026!$F:$F,cashflow汇总预算2026!$R:$R,$A45,cashflow汇总预算2026!$D:$D,I$4)</f>
        <v>0</v>
      </c>
      <c r="J45" s="626">
        <f ca="1">SUMIFS(cashflow汇总预算2026!$F:$F,cashflow汇总预算2026!$R:$R,$A45,cashflow汇总预算2026!$D:$D,J$4)</f>
        <v>0</v>
      </c>
      <c r="K45" s="626">
        <f ca="1">SUMIFS(cashflow汇总预算2026!$F:$F,cashflow汇总预算2026!$R:$R,$A45,cashflow汇总预算2026!$D:$D,K$4)</f>
        <v>0</v>
      </c>
      <c r="L45" s="626">
        <f ca="1">SUMIFS(cashflow汇总预算2026!$F:$F,cashflow汇总预算2026!$R:$R,$A45,cashflow汇总预算2026!$D:$D,L$4)</f>
        <v>20000000</v>
      </c>
      <c r="M45" s="626">
        <f ca="1">SUMIFS(cashflow汇总预算2026!$F:$F,cashflow汇总预算2026!$R:$R,$A45,cashflow汇总预算2026!$D:$D,M$4)</f>
        <v>0</v>
      </c>
      <c r="N45" s="626">
        <f ca="1">SUMIFS(cashflow汇总预算2026!$F:$F,cashflow汇总预算2026!$R:$R,$A45,cashflow汇总预算2026!$D:$D,N$4)</f>
        <v>2000</v>
      </c>
      <c r="O45" s="626">
        <f ca="1">SUMIFS(cashflow汇总预算2026!$F:$F,cashflow汇总预算2026!$R:$R,$A45,cashflow汇总预算2026!$D:$D,O$4)</f>
        <v>0</v>
      </c>
      <c r="P45" s="626">
        <f ca="1">SUMIFS(cashflow汇总预算2026!$F:$F,cashflow汇总预算2026!$R:$R,$A45,cashflow汇总预算2026!$D:$D,P$4)</f>
        <v>0</v>
      </c>
      <c r="Q45" s="626">
        <f t="shared" ref="Q45:Q47" ca="1" si="29">SUM(E45:P45)</f>
        <v>20002000</v>
      </c>
      <c r="R45" s="626"/>
      <c r="S45" s="630">
        <v>0</v>
      </c>
      <c r="T45" s="630">
        <v>0</v>
      </c>
      <c r="U45" s="630">
        <v>0</v>
      </c>
      <c r="V45" s="630">
        <v>0</v>
      </c>
      <c r="W45" s="630">
        <v>0</v>
      </c>
      <c r="X45" s="630">
        <v>0</v>
      </c>
      <c r="Y45" s="630">
        <v>0</v>
      </c>
      <c r="Z45" s="630">
        <v>0</v>
      </c>
      <c r="AA45" s="630">
        <v>0</v>
      </c>
      <c r="AB45" s="630">
        <v>0</v>
      </c>
      <c r="AC45" s="630">
        <v>0</v>
      </c>
      <c r="AD45" s="630">
        <v>0</v>
      </c>
      <c r="AE45" s="626">
        <f t="shared" ref="AE45:AE47" si="30">SUM(S45:AD45)</f>
        <v>0</v>
      </c>
    </row>
    <row r="46" spans="1:31" ht="16.5" customHeight="1">
      <c r="A46" s="629" t="str">
        <f>'CF-ACPL（合并）'!A46</f>
        <v>取得借款所收到的现金</v>
      </c>
      <c r="B46" s="623">
        <f t="shared" ca="1" si="25"/>
        <v>0</v>
      </c>
      <c r="C46" s="626">
        <f t="shared" ca="1" si="26"/>
        <v>0</v>
      </c>
      <c r="D46" s="626"/>
      <c r="E46" s="626">
        <f ca="1">SUMIFS(cashflow汇总预算2026!$F:$F,cashflow汇总预算2026!$R:$R,$A46,cashflow汇总预算2026!$D:$D,E$4)</f>
        <v>0</v>
      </c>
      <c r="F46" s="626">
        <f ca="1">SUMIFS(cashflow汇总预算2026!$F:$F,cashflow汇总预算2026!$R:$R,$A46,cashflow汇总预算2026!$D:$D,F$4)</f>
        <v>0</v>
      </c>
      <c r="G46" s="626">
        <f ca="1">SUMIFS(cashflow汇总预算2026!$F:$F,cashflow汇总预算2026!$R:$R,$A46,cashflow汇总预算2026!$D:$D,G$4)</f>
        <v>0</v>
      </c>
      <c r="H46" s="626">
        <f ca="1">SUMIFS(cashflow汇总预算2026!$F:$F,cashflow汇总预算2026!$R:$R,$A46,cashflow汇总预算2026!$D:$D,H$4)</f>
        <v>0</v>
      </c>
      <c r="I46" s="626">
        <f ca="1">SUMIFS(cashflow汇总预算2026!$F:$F,cashflow汇总预算2026!$R:$R,$A46,cashflow汇总预算2026!$D:$D,I$4)</f>
        <v>0</v>
      </c>
      <c r="J46" s="626">
        <f ca="1">SUMIFS(cashflow汇总预算2026!$F:$F,cashflow汇总预算2026!$R:$R,$A46,cashflow汇总预算2026!$D:$D,J$4)</f>
        <v>0</v>
      </c>
      <c r="K46" s="626">
        <f ca="1">SUMIFS(cashflow汇总预算2026!$F:$F,cashflow汇总预算2026!$R:$R,$A46,cashflow汇总预算2026!$D:$D,K$4)</f>
        <v>0</v>
      </c>
      <c r="L46" s="626">
        <f ca="1">SUMIFS(cashflow汇总预算2026!$F:$F,cashflow汇总预算2026!$R:$R,$A46,cashflow汇总预算2026!$D:$D,L$4)</f>
        <v>0</v>
      </c>
      <c r="M46" s="626">
        <f ca="1">SUMIFS(cashflow汇总预算2026!$F:$F,cashflow汇总预算2026!$R:$R,$A46,cashflow汇总预算2026!$D:$D,M$4)</f>
        <v>0</v>
      </c>
      <c r="N46" s="626">
        <f ca="1">SUMIFS(cashflow汇总预算2026!$F:$F,cashflow汇总预算2026!$R:$R,$A46,cashflow汇总预算2026!$D:$D,N$4)</f>
        <v>0</v>
      </c>
      <c r="O46" s="626">
        <f ca="1">SUMIFS(cashflow汇总预算2026!$F:$F,cashflow汇总预算2026!$R:$R,$A46,cashflow汇总预算2026!$D:$D,O$4)</f>
        <v>0</v>
      </c>
      <c r="P46" s="626">
        <f ca="1">SUMIFS(cashflow汇总预算2026!$F:$F,cashflow汇总预算2026!$R:$R,$A46,cashflow汇总预算2026!$D:$D,P$4)</f>
        <v>0</v>
      </c>
      <c r="Q46" s="626">
        <f t="shared" ca="1" si="29"/>
        <v>0</v>
      </c>
      <c r="R46" s="626"/>
      <c r="S46" s="630">
        <v>0</v>
      </c>
      <c r="T46" s="630">
        <v>0</v>
      </c>
      <c r="U46" s="630">
        <v>0</v>
      </c>
      <c r="V46" s="630">
        <v>0</v>
      </c>
      <c r="W46" s="630">
        <v>0</v>
      </c>
      <c r="X46" s="630">
        <v>0</v>
      </c>
      <c r="Y46" s="630">
        <v>0</v>
      </c>
      <c r="Z46" s="630">
        <v>0</v>
      </c>
      <c r="AA46" s="630">
        <v>0</v>
      </c>
      <c r="AB46" s="630">
        <v>0</v>
      </c>
      <c r="AC46" s="630">
        <v>0</v>
      </c>
      <c r="AD46" s="630">
        <v>0</v>
      </c>
      <c r="AE46" s="626">
        <f t="shared" si="30"/>
        <v>0</v>
      </c>
    </row>
    <row r="47" spans="1:31" ht="16.5" customHeight="1">
      <c r="A47" s="629" t="str">
        <f>'CF-ACPL（合并）'!A47</f>
        <v>收到的其他与筹资活动有关的现金</v>
      </c>
      <c r="B47" s="623">
        <f t="shared" ca="1" si="25"/>
        <v>1900000</v>
      </c>
      <c r="C47" s="626">
        <f t="shared" ca="1" si="26"/>
        <v>1900000</v>
      </c>
      <c r="D47" s="626"/>
      <c r="E47" s="626">
        <f ca="1">SUMIFS(cashflow汇总预算2026!$F:$F,cashflow汇总预算2026!$R:$R,$A47,cashflow汇总预算2026!$D:$D,E$4)</f>
        <v>1900000</v>
      </c>
      <c r="F47" s="626">
        <f ca="1">SUMIFS(cashflow汇总预算2026!$F:$F,cashflow汇总预算2026!$R:$R,$A47,cashflow汇总预算2026!$D:$D,F$4)</f>
        <v>15600000</v>
      </c>
      <c r="G47" s="626">
        <f ca="1">SUMIFS(cashflow汇总预算2026!$F:$F,cashflow汇总预算2026!$R:$R,$A47,cashflow汇总预算2026!$D:$D,G$4)</f>
        <v>557979.1830391665</v>
      </c>
      <c r="H47" s="626">
        <f ca="1">SUMIFS(cashflow汇总预算2026!$F:$F,cashflow汇总预算2026!$R:$R,$A47,cashflow汇总预算2026!$D:$D,H$4)</f>
        <v>1353639.1830391667</v>
      </c>
      <c r="I47" s="626">
        <f ca="1">SUMIFS(cashflow汇总预算2026!$F:$F,cashflow汇总预算2026!$R:$R,$A47,cashflow汇总预算2026!$D:$D,I$4)</f>
        <v>673968.98303916643</v>
      </c>
      <c r="J47" s="626">
        <f ca="1">SUMIFS(cashflow汇总预算2026!$F:$F,cashflow汇总预算2026!$R:$R,$A47,cashflow汇总预算2026!$D:$D,J$4)</f>
        <v>524347.86303916667</v>
      </c>
      <c r="K47" s="626">
        <f ca="1">SUMIFS(cashflow汇总预算2026!$F:$F,cashflow汇总预算2026!$R:$R,$A47,cashflow汇总预算2026!$D:$D,K$4)</f>
        <v>445479.18303916662</v>
      </c>
      <c r="L47" s="626">
        <f ca="1">SUMIFS(cashflow汇总预算2026!$F:$F,cashflow汇总预算2026!$R:$R,$A47,cashflow汇总预算2026!$D:$D,L$4)</f>
        <v>0</v>
      </c>
      <c r="M47" s="626">
        <f ca="1">SUMIFS(cashflow汇总预算2026!$F:$F,cashflow汇总预算2026!$R:$R,$A47,cashflow汇总预算2026!$D:$D,M$4)</f>
        <v>0</v>
      </c>
      <c r="N47" s="626">
        <f ca="1">SUMIFS(cashflow汇总预算2026!$F:$F,cashflow汇总预算2026!$R:$R,$A47,cashflow汇总预算2026!$D:$D,N$4)</f>
        <v>408711.77316955512</v>
      </c>
      <c r="O47" s="626">
        <f ca="1">SUMIFS(cashflow汇总预算2026!$F:$F,cashflow汇总预算2026!$R:$R,$A47,cashflow汇总预算2026!$D:$D,O$4)</f>
        <v>0</v>
      </c>
      <c r="P47" s="626">
        <f ca="1">SUMIFS(cashflow汇总预算2026!$F:$F,cashflow汇总预算2026!$R:$R,$A47,cashflow汇总预算2026!$D:$D,P$4)</f>
        <v>0</v>
      </c>
      <c r="Q47" s="626">
        <f t="shared" ca="1" si="29"/>
        <v>21464126.168365385</v>
      </c>
      <c r="R47" s="626"/>
      <c r="S47" s="630">
        <v>0</v>
      </c>
      <c r="T47" s="630">
        <v>0</v>
      </c>
      <c r="U47" s="630">
        <v>0</v>
      </c>
      <c r="V47" s="630">
        <v>0</v>
      </c>
      <c r="W47" s="630">
        <v>0</v>
      </c>
      <c r="X47" s="630">
        <v>0</v>
      </c>
      <c r="Y47" s="630">
        <v>0</v>
      </c>
      <c r="Z47" s="630">
        <v>0</v>
      </c>
      <c r="AA47" s="630">
        <v>0</v>
      </c>
      <c r="AB47" s="630">
        <v>0</v>
      </c>
      <c r="AC47" s="630">
        <v>0</v>
      </c>
      <c r="AD47" s="630">
        <v>0</v>
      </c>
      <c r="AE47" s="626">
        <f t="shared" si="30"/>
        <v>0</v>
      </c>
    </row>
    <row r="48" spans="1:31" s="605" customFormat="1" ht="16.5" customHeight="1">
      <c r="A48" s="635" t="str">
        <f>'CF-ACPL（合并）'!A48</f>
        <v>筹资活动现金流出小计</v>
      </c>
      <c r="B48" s="636">
        <f t="shared" ca="1" si="25"/>
        <v>-1803106.8</v>
      </c>
      <c r="C48" s="636">
        <f t="shared" ca="1" si="26"/>
        <v>-1803106.8</v>
      </c>
      <c r="D48" s="636"/>
      <c r="E48" s="636">
        <f t="shared" ref="E48:Q48" ca="1" si="31">SUM(E49:E51)</f>
        <v>-1803106.8</v>
      </c>
      <c r="F48" s="636">
        <f t="shared" ca="1" si="31"/>
        <v>0</v>
      </c>
      <c r="G48" s="636">
        <f t="shared" ca="1" si="31"/>
        <v>0</v>
      </c>
      <c r="H48" s="636">
        <f t="shared" ca="1" si="31"/>
        <v>0</v>
      </c>
      <c r="I48" s="636">
        <f t="shared" ca="1" si="31"/>
        <v>0</v>
      </c>
      <c r="J48" s="636">
        <f t="shared" ca="1" si="31"/>
        <v>0</v>
      </c>
      <c r="K48" s="636">
        <f t="shared" ca="1" si="31"/>
        <v>0</v>
      </c>
      <c r="L48" s="636">
        <f t="shared" ca="1" si="31"/>
        <v>-522620.18885999999</v>
      </c>
      <c r="M48" s="636">
        <f t="shared" ca="1" si="31"/>
        <v>-524658.07085999998</v>
      </c>
      <c r="N48" s="636">
        <f t="shared" ca="1" si="31"/>
        <v>0</v>
      </c>
      <c r="O48" s="636">
        <f t="shared" ca="1" si="31"/>
        <v>-438343.49053000001</v>
      </c>
      <c r="P48" s="636">
        <f t="shared" ca="1" si="31"/>
        <v>-522620.18885999999</v>
      </c>
      <c r="Q48" s="636">
        <f t="shared" ca="1" si="31"/>
        <v>-3811348.7391100004</v>
      </c>
      <c r="R48" s="623"/>
      <c r="S48" s="636">
        <f t="shared" ref="S48:AE48" si="32">SUM(S49:S51)</f>
        <v>0</v>
      </c>
      <c r="T48" s="636">
        <f t="shared" si="32"/>
        <v>0</v>
      </c>
      <c r="U48" s="636">
        <f t="shared" si="32"/>
        <v>0</v>
      </c>
      <c r="V48" s="636">
        <f t="shared" si="32"/>
        <v>0</v>
      </c>
      <c r="W48" s="636">
        <f t="shared" si="32"/>
        <v>0</v>
      </c>
      <c r="X48" s="636">
        <f t="shared" si="32"/>
        <v>0</v>
      </c>
      <c r="Y48" s="636">
        <f t="shared" si="32"/>
        <v>0</v>
      </c>
      <c r="Z48" s="636">
        <f t="shared" si="32"/>
        <v>0</v>
      </c>
      <c r="AA48" s="636">
        <f t="shared" si="32"/>
        <v>0</v>
      </c>
      <c r="AB48" s="636">
        <f t="shared" si="32"/>
        <v>0</v>
      </c>
      <c r="AC48" s="636">
        <f t="shared" si="32"/>
        <v>0</v>
      </c>
      <c r="AD48" s="636">
        <f t="shared" si="32"/>
        <v>0</v>
      </c>
      <c r="AE48" s="636">
        <f t="shared" si="32"/>
        <v>0</v>
      </c>
    </row>
    <row r="49" spans="1:33" ht="16.5" customHeight="1">
      <c r="A49" s="629" t="str">
        <f>'CF-ACPL（合并）'!A49</f>
        <v>偿还债务所支付的现金</v>
      </c>
      <c r="B49" s="623">
        <f t="shared" ca="1" si="25"/>
        <v>-1803106.8</v>
      </c>
      <c r="C49" s="626">
        <f t="shared" ca="1" si="26"/>
        <v>-1803106.8</v>
      </c>
      <c r="D49" s="626"/>
      <c r="E49" s="626">
        <f ca="1">SUMIFS(cashflow汇总预算2026!$F:$F,cashflow汇总预算2026!$R:$R,$A49,cashflow汇总预算2026!$D:$D,E$4)</f>
        <v>-1803106.8</v>
      </c>
      <c r="F49" s="626">
        <f ca="1">SUMIFS(cashflow汇总预算2026!$F:$F,cashflow汇总预算2026!$R:$R,$A49,cashflow汇总预算2026!$D:$D,F$4)</f>
        <v>0</v>
      </c>
      <c r="G49" s="626">
        <f ca="1">SUMIFS(cashflow汇总预算2026!$F:$F,cashflow汇总预算2026!$R:$R,$A49,cashflow汇总预算2026!$D:$D,G$4)</f>
        <v>0</v>
      </c>
      <c r="H49" s="626">
        <f ca="1">SUMIFS(cashflow汇总预算2026!$F:$F,cashflow汇总预算2026!$R:$R,$A49,cashflow汇总预算2026!$D:$D,H$4)</f>
        <v>0</v>
      </c>
      <c r="I49" s="626">
        <f ca="1">SUMIFS(cashflow汇总预算2026!$F:$F,cashflow汇总预算2026!$R:$R,$A49,cashflow汇总预算2026!$D:$D,I$4)</f>
        <v>0</v>
      </c>
      <c r="J49" s="626">
        <f ca="1">SUMIFS(cashflow汇总预算2026!$F:$F,cashflow汇总预算2026!$R:$R,$A49,cashflow汇总预算2026!$D:$D,J$4)</f>
        <v>0</v>
      </c>
      <c r="K49" s="626">
        <f ca="1">SUMIFS(cashflow汇总预算2026!$F:$F,cashflow汇总预算2026!$R:$R,$A49,cashflow汇总预算2026!$D:$D,K$4)</f>
        <v>0</v>
      </c>
      <c r="L49" s="626">
        <f ca="1">SUMIFS(cashflow汇总预算2026!$F:$F,cashflow汇总预算2026!$R:$R,$A49,cashflow汇总预算2026!$D:$D,L$4)</f>
        <v>0</v>
      </c>
      <c r="M49" s="626">
        <f ca="1">SUMIFS(cashflow汇总预算2026!$F:$F,cashflow汇总预算2026!$R:$R,$A49,cashflow汇总预算2026!$D:$D,M$4)</f>
        <v>0</v>
      </c>
      <c r="N49" s="626">
        <f ca="1">SUMIFS(cashflow汇总预算2026!$F:$F,cashflow汇总预算2026!$R:$R,$A49,cashflow汇总预算2026!$D:$D,N$4)</f>
        <v>0</v>
      </c>
      <c r="O49" s="626">
        <f ca="1">SUMIFS(cashflow汇总预算2026!$F:$F,cashflow汇总预算2026!$R:$R,$A49,cashflow汇总预算2026!$D:$D,O$4)</f>
        <v>0</v>
      </c>
      <c r="P49" s="626">
        <f ca="1">SUMIFS(cashflow汇总预算2026!$F:$F,cashflow汇总预算2026!$R:$R,$A49,cashflow汇总预算2026!$D:$D,P$4)</f>
        <v>0</v>
      </c>
      <c r="Q49" s="626">
        <f t="shared" ref="Q49:Q51" ca="1" si="33">SUM(E49:P49)</f>
        <v>-1803106.8</v>
      </c>
      <c r="R49" s="626"/>
      <c r="S49" s="626"/>
      <c r="T49" s="626"/>
      <c r="U49" s="626"/>
      <c r="V49" s="626"/>
      <c r="W49" s="626"/>
      <c r="X49" s="626"/>
      <c r="Y49" s="626"/>
      <c r="Z49" s="626"/>
      <c r="AA49" s="626"/>
      <c r="AB49" s="626"/>
      <c r="AC49" s="626"/>
      <c r="AD49" s="626"/>
      <c r="AE49" s="626">
        <f t="shared" ref="AE49:AE51" si="34">SUM(S49:AD49)</f>
        <v>0</v>
      </c>
    </row>
    <row r="50" spans="1:33" ht="15" customHeight="1">
      <c r="A50" s="629" t="str">
        <f>'CF-ACPL（合并）'!A50</f>
        <v>分配股利、利润或偿付利息支付的现金</v>
      </c>
      <c r="B50" s="623">
        <f t="shared" ca="1" si="25"/>
        <v>0</v>
      </c>
      <c r="C50" s="626">
        <f t="shared" ca="1" si="26"/>
        <v>0</v>
      </c>
      <c r="D50" s="626"/>
      <c r="E50" s="626">
        <f ca="1">SUMIFS(cashflow汇总预算2026!$F:$F,cashflow汇总预算2026!$R:$R,$A50,cashflow汇总预算2026!$D:$D,E$4)</f>
        <v>0</v>
      </c>
      <c r="F50" s="626">
        <f ca="1">SUMIFS(cashflow汇总预算2026!$F:$F,cashflow汇总预算2026!$R:$R,$A50,cashflow汇总预算2026!$D:$D,F$4)</f>
        <v>0</v>
      </c>
      <c r="G50" s="626">
        <f ca="1">SUMIFS(cashflow汇总预算2026!$F:$F,cashflow汇总预算2026!$R:$R,$A50,cashflow汇总预算2026!$D:$D,G$4)</f>
        <v>0</v>
      </c>
      <c r="H50" s="626">
        <f ca="1">SUMIFS(cashflow汇总预算2026!$F:$F,cashflow汇总预算2026!$R:$R,$A50,cashflow汇总预算2026!$D:$D,H$4)</f>
        <v>0</v>
      </c>
      <c r="I50" s="626">
        <f ca="1">SUMIFS(cashflow汇总预算2026!$F:$F,cashflow汇总预算2026!$R:$R,$A50,cashflow汇总预算2026!$D:$D,I$4)</f>
        <v>0</v>
      </c>
      <c r="J50" s="626">
        <f ca="1">SUMIFS(cashflow汇总预算2026!$F:$F,cashflow汇总预算2026!$R:$R,$A50,cashflow汇总预算2026!$D:$D,J$4)</f>
        <v>0</v>
      </c>
      <c r="K50" s="626">
        <f ca="1">SUMIFS(cashflow汇总预算2026!$F:$F,cashflow汇总预算2026!$R:$R,$A50,cashflow汇总预算2026!$D:$D,K$4)</f>
        <v>0</v>
      </c>
      <c r="L50" s="626">
        <f ca="1">SUMIFS(cashflow汇总预算2026!$F:$F,cashflow汇总预算2026!$R:$R,$A50,cashflow汇总预算2026!$D:$D,L$4)</f>
        <v>0</v>
      </c>
      <c r="M50" s="626">
        <f ca="1">SUMIFS(cashflow汇总预算2026!$F:$F,cashflow汇总预算2026!$R:$R,$A50,cashflow汇总预算2026!$D:$D,M$4)</f>
        <v>0</v>
      </c>
      <c r="N50" s="626">
        <f ca="1">SUMIFS(cashflow汇总预算2026!$F:$F,cashflow汇总预算2026!$R:$R,$A50,cashflow汇总预算2026!$D:$D,N$4)</f>
        <v>0</v>
      </c>
      <c r="O50" s="626">
        <f ca="1">SUMIFS(cashflow汇总预算2026!$F:$F,cashflow汇总预算2026!$R:$R,$A50,cashflow汇总预算2026!$D:$D,O$4)</f>
        <v>0</v>
      </c>
      <c r="P50" s="626">
        <f ca="1">SUMIFS(cashflow汇总预算2026!$F:$F,cashflow汇总预算2026!$R:$R,$A50,cashflow汇总预算2026!$D:$D,P$4)</f>
        <v>0</v>
      </c>
      <c r="Q50" s="626">
        <f t="shared" ca="1" si="33"/>
        <v>0</v>
      </c>
      <c r="R50" s="626"/>
      <c r="S50" s="626"/>
      <c r="T50" s="626"/>
      <c r="U50" s="626"/>
      <c r="V50" s="626"/>
      <c r="W50" s="626"/>
      <c r="X50" s="626"/>
      <c r="Y50" s="626"/>
      <c r="Z50" s="626"/>
      <c r="AA50" s="626"/>
      <c r="AB50" s="626"/>
      <c r="AC50" s="626"/>
      <c r="AD50" s="626"/>
      <c r="AE50" s="626">
        <f t="shared" si="34"/>
        <v>0</v>
      </c>
    </row>
    <row r="51" spans="1:33" ht="16.5" customHeight="1">
      <c r="A51" s="629" t="str">
        <f>'CF-ACPL（合并）'!A51</f>
        <v>支付的其他与筹资活动有关的现金</v>
      </c>
      <c r="B51" s="623">
        <f t="shared" ca="1" si="25"/>
        <v>0</v>
      </c>
      <c r="C51" s="626">
        <f t="shared" ca="1" si="26"/>
        <v>0</v>
      </c>
      <c r="D51" s="626"/>
      <c r="E51" s="626">
        <f ca="1">SUMIFS(cashflow汇总预算2026!$F:$F,cashflow汇总预算2026!$R:$R,$A51,cashflow汇总预算2026!$D:$D,E$4)</f>
        <v>0</v>
      </c>
      <c r="F51" s="626">
        <f ca="1">SUMIFS(cashflow汇总预算2026!$F:$F,cashflow汇总预算2026!$R:$R,$A51,cashflow汇总预算2026!$D:$D,F$4)</f>
        <v>0</v>
      </c>
      <c r="G51" s="626">
        <f ca="1">SUMIFS(cashflow汇总预算2026!$F:$F,cashflow汇总预算2026!$R:$R,$A51,cashflow汇总预算2026!$D:$D,G$4)</f>
        <v>0</v>
      </c>
      <c r="H51" s="626">
        <f ca="1">SUMIFS(cashflow汇总预算2026!$F:$F,cashflow汇总预算2026!$R:$R,$A51,cashflow汇总预算2026!$D:$D,H$4)</f>
        <v>0</v>
      </c>
      <c r="I51" s="626">
        <f ca="1">SUMIFS(cashflow汇总预算2026!$F:$F,cashflow汇总预算2026!$R:$R,$A51,cashflow汇总预算2026!$D:$D,I$4)</f>
        <v>0</v>
      </c>
      <c r="J51" s="626">
        <f ca="1">SUMIFS(cashflow汇总预算2026!$F:$F,cashflow汇总预算2026!$R:$R,$A51,cashflow汇总预算2026!$D:$D,J$4)</f>
        <v>0</v>
      </c>
      <c r="K51" s="626">
        <f ca="1">SUMIFS(cashflow汇总预算2026!$F:$F,cashflow汇总预算2026!$R:$R,$A51,cashflow汇总预算2026!$D:$D,K$4)</f>
        <v>0</v>
      </c>
      <c r="L51" s="626">
        <f ca="1">SUMIFS(cashflow汇总预算2026!$F:$F,cashflow汇总预算2026!$R:$R,$A51,cashflow汇总预算2026!$D:$D,L$4)</f>
        <v>-522620.18885999999</v>
      </c>
      <c r="M51" s="626">
        <f ca="1">SUMIFS(cashflow汇总预算2026!$F:$F,cashflow汇总预算2026!$R:$R,$A51,cashflow汇总预算2026!$D:$D,M$4)</f>
        <v>-524658.07085999998</v>
      </c>
      <c r="N51" s="626">
        <f ca="1">SUMIFS(cashflow汇总预算2026!$F:$F,cashflow汇总预算2026!$R:$R,$A51,cashflow汇总预算2026!$D:$D,N$4)</f>
        <v>0</v>
      </c>
      <c r="O51" s="626">
        <f ca="1">SUMIFS(cashflow汇总预算2026!$F:$F,cashflow汇总预算2026!$R:$R,$A51,cashflow汇总预算2026!$D:$D,O$4)</f>
        <v>-438343.49053000001</v>
      </c>
      <c r="P51" s="626">
        <f ca="1">SUMIFS(cashflow汇总预算2026!$F:$F,cashflow汇总预算2026!$R:$R,$A51,cashflow汇总预算2026!$D:$D,P$4)</f>
        <v>-522620.18885999999</v>
      </c>
      <c r="Q51" s="626">
        <f t="shared" ca="1" si="33"/>
        <v>-2008241.9391100002</v>
      </c>
      <c r="R51" s="626"/>
      <c r="S51" s="626"/>
      <c r="T51" s="626"/>
      <c r="U51" s="626"/>
      <c r="V51" s="626"/>
      <c r="W51" s="626"/>
      <c r="X51" s="626"/>
      <c r="Y51" s="626"/>
      <c r="Z51" s="626"/>
      <c r="AA51" s="626"/>
      <c r="AB51" s="626"/>
      <c r="AC51" s="626"/>
      <c r="AD51" s="626"/>
      <c r="AE51" s="626">
        <f t="shared" si="34"/>
        <v>0</v>
      </c>
    </row>
    <row r="52" spans="1:33" s="606" customFormat="1" ht="16.5" customHeight="1">
      <c r="A52" s="606" t="str">
        <f>'CF-ACPL（合并）'!A52</f>
        <v>筹资活动产生的现金流量净额</v>
      </c>
      <c r="B52" s="634">
        <f t="shared" ca="1" si="25"/>
        <v>96893.199999999953</v>
      </c>
      <c r="C52" s="634">
        <f t="shared" ca="1" si="26"/>
        <v>96893.199999999953</v>
      </c>
      <c r="D52" s="634"/>
      <c r="E52" s="634">
        <f ca="1">E44+E48</f>
        <v>96893.199999999953</v>
      </c>
      <c r="F52" s="634">
        <f t="shared" ref="F52:Q52" ca="1" si="35">F44+F48</f>
        <v>15600000</v>
      </c>
      <c r="G52" s="634">
        <f t="shared" ca="1" si="35"/>
        <v>557979.1830391665</v>
      </c>
      <c r="H52" s="634">
        <f t="shared" ca="1" si="35"/>
        <v>1353639.1830391667</v>
      </c>
      <c r="I52" s="634">
        <f t="shared" ca="1" si="35"/>
        <v>673968.98303916643</v>
      </c>
      <c r="J52" s="634">
        <f t="shared" ca="1" si="35"/>
        <v>524347.86303916667</v>
      </c>
      <c r="K52" s="634">
        <f t="shared" ca="1" si="35"/>
        <v>445479.18303916662</v>
      </c>
      <c r="L52" s="634">
        <f t="shared" ca="1" si="35"/>
        <v>19477379.811140001</v>
      </c>
      <c r="M52" s="634">
        <f t="shared" ca="1" si="35"/>
        <v>-524658.07085999998</v>
      </c>
      <c r="N52" s="634">
        <f t="shared" ca="1" si="35"/>
        <v>410711.77316955512</v>
      </c>
      <c r="O52" s="634">
        <f t="shared" ca="1" si="35"/>
        <v>-438343.49053000001</v>
      </c>
      <c r="P52" s="634">
        <f t="shared" ca="1" si="35"/>
        <v>-522620.18885999999</v>
      </c>
      <c r="Q52" s="634">
        <f t="shared" ca="1" si="35"/>
        <v>37654777.429255389</v>
      </c>
      <c r="R52" s="637"/>
      <c r="S52" s="634">
        <f t="shared" ref="S52:AE52" si="36">S44-S48</f>
        <v>0</v>
      </c>
      <c r="T52" s="634">
        <f t="shared" si="36"/>
        <v>0</v>
      </c>
      <c r="U52" s="634">
        <f t="shared" si="36"/>
        <v>0</v>
      </c>
      <c r="V52" s="634">
        <f t="shared" si="36"/>
        <v>0</v>
      </c>
      <c r="W52" s="634">
        <f t="shared" si="36"/>
        <v>0</v>
      </c>
      <c r="X52" s="634">
        <f t="shared" si="36"/>
        <v>0</v>
      </c>
      <c r="Y52" s="634">
        <f t="shared" si="36"/>
        <v>0</v>
      </c>
      <c r="Z52" s="634">
        <f t="shared" si="36"/>
        <v>0</v>
      </c>
      <c r="AA52" s="634">
        <f t="shared" si="36"/>
        <v>0</v>
      </c>
      <c r="AB52" s="634">
        <f t="shared" si="36"/>
        <v>0</v>
      </c>
      <c r="AC52" s="634">
        <f t="shared" si="36"/>
        <v>0</v>
      </c>
      <c r="AD52" s="634">
        <f t="shared" si="36"/>
        <v>0</v>
      </c>
      <c r="AE52" s="634">
        <f t="shared" si="36"/>
        <v>0</v>
      </c>
      <c r="AF52" s="638"/>
      <c r="AG52" s="639"/>
    </row>
    <row r="53" spans="1:33" ht="16.5" customHeight="1">
      <c r="B53" s="625"/>
      <c r="C53" s="625"/>
      <c r="D53" s="625"/>
      <c r="E53" s="626"/>
      <c r="F53" s="626"/>
      <c r="G53" s="626"/>
      <c r="H53" s="626"/>
      <c r="I53" s="626"/>
      <c r="J53" s="626"/>
      <c r="K53" s="626"/>
      <c r="L53" s="626"/>
      <c r="M53" s="626"/>
      <c r="N53" s="626"/>
      <c r="O53" s="626"/>
      <c r="P53" s="626"/>
      <c r="Q53" s="626"/>
      <c r="R53" s="626"/>
      <c r="S53" s="626"/>
      <c r="T53" s="626"/>
      <c r="U53" s="626"/>
      <c r="V53" s="626"/>
      <c r="W53" s="626"/>
      <c r="X53" s="626"/>
      <c r="Y53" s="626"/>
      <c r="Z53" s="626"/>
      <c r="AA53" s="626"/>
      <c r="AB53" s="626"/>
      <c r="AC53" s="626"/>
      <c r="AD53" s="626"/>
      <c r="AE53" s="626"/>
    </row>
    <row r="54" spans="1:33" s="607" customFormat="1" ht="16.5" customHeight="1">
      <c r="A54" s="607" t="str">
        <f>'CF-ACPL（合并）'!A54</f>
        <v>汇率变动对现金的影响额</v>
      </c>
      <c r="B54" s="634">
        <f t="shared" ref="B54:B58" si="37">INDEX($E54:$P54,1,MATCH($B$4,$E$4:$P$4))</f>
        <v>0</v>
      </c>
      <c r="C54" s="634">
        <f t="shared" ref="C54:C58" ca="1" si="38">SUM($E54:OFFSET($E54,0,MATCH($C$4,$E$4:$P$4)-1))</f>
        <v>0</v>
      </c>
      <c r="D54" s="634"/>
      <c r="E54" s="640"/>
      <c r="F54" s="640"/>
      <c r="G54" s="640"/>
      <c r="H54" s="640"/>
      <c r="I54" s="640"/>
      <c r="J54" s="640"/>
      <c r="K54" s="640"/>
      <c r="L54" s="640"/>
      <c r="M54" s="640"/>
      <c r="N54" s="640"/>
      <c r="O54" s="640"/>
      <c r="P54" s="640"/>
      <c r="Q54" s="640"/>
      <c r="R54" s="626"/>
      <c r="S54" s="640"/>
      <c r="T54" s="640"/>
      <c r="U54" s="640"/>
      <c r="V54" s="640"/>
      <c r="W54" s="640"/>
      <c r="X54" s="640"/>
      <c r="Y54" s="640"/>
      <c r="Z54" s="640"/>
      <c r="AA54" s="640"/>
      <c r="AB54" s="640"/>
      <c r="AC54" s="640"/>
      <c r="AD54" s="640"/>
      <c r="AE54" s="640"/>
    </row>
    <row r="55" spans="1:33" ht="16.5" customHeight="1">
      <c r="B55" s="625"/>
      <c r="C55" s="625"/>
      <c r="D55" s="625"/>
      <c r="E55" s="626"/>
      <c r="F55" s="626"/>
      <c r="G55" s="626"/>
      <c r="H55" s="626"/>
      <c r="I55" s="626"/>
      <c r="J55" s="626"/>
      <c r="K55" s="626"/>
      <c r="L55" s="626"/>
      <c r="M55" s="626"/>
      <c r="N55" s="626"/>
      <c r="O55" s="626"/>
      <c r="P55" s="626"/>
      <c r="Q55" s="626"/>
      <c r="R55" s="626"/>
      <c r="S55" s="626"/>
      <c r="T55" s="626"/>
      <c r="U55" s="626"/>
      <c r="V55" s="626"/>
      <c r="W55" s="626"/>
      <c r="X55" s="626"/>
      <c r="Y55" s="626"/>
      <c r="Z55" s="626"/>
      <c r="AA55" s="626"/>
      <c r="AB55" s="626"/>
      <c r="AC55" s="626"/>
      <c r="AD55" s="626"/>
      <c r="AE55" s="626"/>
    </row>
    <row r="56" spans="1:33" s="608" customFormat="1" ht="16.5" customHeight="1">
      <c r="A56" s="608" t="str">
        <f>'CF-ACPL（合并）'!A56</f>
        <v>现金及现金等价物净增加额</v>
      </c>
      <c r="B56" s="634">
        <f t="shared" ca="1" si="37"/>
        <v>-430581.40804429166</v>
      </c>
      <c r="C56" s="634">
        <f t="shared" ca="1" si="38"/>
        <v>-430581.40804429166</v>
      </c>
      <c r="D56" s="634"/>
      <c r="E56" s="622">
        <f t="shared" ref="E56:Q56" ca="1" si="39">SUM(E29,E42,E52,E54)</f>
        <v>-430581.40804429166</v>
      </c>
      <c r="F56" s="622">
        <f t="shared" ca="1" si="39"/>
        <v>7830520.816960833</v>
      </c>
      <c r="G56" s="622">
        <f t="shared" ca="1" si="39"/>
        <v>-7800000</v>
      </c>
      <c r="H56" s="622">
        <f t="shared" ca="1" si="39"/>
        <v>0</v>
      </c>
      <c r="I56" s="622">
        <f t="shared" ca="1" si="39"/>
        <v>0</v>
      </c>
      <c r="J56" s="622">
        <f t="shared" ca="1" si="39"/>
        <v>0</v>
      </c>
      <c r="K56" s="622">
        <f t="shared" ca="1" si="39"/>
        <v>0</v>
      </c>
      <c r="L56" s="622">
        <f t="shared" ca="1" si="39"/>
        <v>13996612.628100835</v>
      </c>
      <c r="M56" s="622">
        <f t="shared" ca="1" si="39"/>
        <v>-1005425.2538991666</v>
      </c>
      <c r="N56" s="622">
        <f t="shared" ca="1" si="39"/>
        <v>-78206.937869611487</v>
      </c>
      <c r="O56" s="622">
        <f t="shared" ca="1" si="39"/>
        <v>-919110.67356916657</v>
      </c>
      <c r="P56" s="622">
        <f t="shared" ca="1" si="39"/>
        <v>-5199263.1709859241</v>
      </c>
      <c r="Q56" s="622">
        <f t="shared" ca="1" si="39"/>
        <v>6394546.0006935038</v>
      </c>
      <c r="R56" s="623"/>
      <c r="S56" s="622">
        <f t="shared" ref="S56:AE56" si="40">SUM(S29,S42,S52,S54)</f>
        <v>0</v>
      </c>
      <c r="T56" s="622">
        <f t="shared" si="40"/>
        <v>0</v>
      </c>
      <c r="U56" s="622">
        <f t="shared" si="40"/>
        <v>0</v>
      </c>
      <c r="V56" s="622">
        <f t="shared" si="40"/>
        <v>0</v>
      </c>
      <c r="W56" s="622">
        <f t="shared" si="40"/>
        <v>0</v>
      </c>
      <c r="X56" s="622">
        <f t="shared" si="40"/>
        <v>0</v>
      </c>
      <c r="Y56" s="622">
        <f t="shared" si="40"/>
        <v>0</v>
      </c>
      <c r="Z56" s="622">
        <f t="shared" si="40"/>
        <v>0</v>
      </c>
      <c r="AA56" s="622">
        <f t="shared" si="40"/>
        <v>0</v>
      </c>
      <c r="AB56" s="622">
        <f t="shared" si="40"/>
        <v>0</v>
      </c>
      <c r="AC56" s="622">
        <f t="shared" si="40"/>
        <v>0</v>
      </c>
      <c r="AD56" s="622">
        <f t="shared" si="40"/>
        <v>0</v>
      </c>
      <c r="AE56" s="622">
        <f t="shared" si="40"/>
        <v>0</v>
      </c>
    </row>
    <row r="57" spans="1:33" ht="16.5" customHeight="1">
      <c r="B57" s="625"/>
      <c r="C57" s="625"/>
      <c r="D57" s="625"/>
      <c r="E57" s="626"/>
      <c r="F57" s="626"/>
      <c r="G57" s="626"/>
      <c r="H57" s="626"/>
      <c r="I57" s="626"/>
      <c r="J57" s="626"/>
      <c r="K57" s="626"/>
      <c r="L57" s="626"/>
      <c r="M57" s="626"/>
      <c r="N57" s="626"/>
      <c r="O57" s="626"/>
      <c r="P57" s="626"/>
      <c r="Q57" s="626"/>
      <c r="R57" s="626"/>
      <c r="S57" s="626"/>
      <c r="T57" s="626"/>
      <c r="U57" s="626"/>
      <c r="V57" s="626"/>
      <c r="W57" s="626"/>
      <c r="X57" s="626"/>
      <c r="Y57" s="626"/>
      <c r="Z57" s="626"/>
      <c r="AA57" s="626"/>
      <c r="AB57" s="626"/>
      <c r="AC57" s="626"/>
      <c r="AD57" s="626"/>
      <c r="AE57" s="626"/>
    </row>
    <row r="58" spans="1:33" s="608" customFormat="1" ht="16.5" customHeight="1">
      <c r="A58" s="608" t="str">
        <f>'CF-ACPL（合并）'!A58</f>
        <v>期末现金及现金等价物余额</v>
      </c>
      <c r="B58" s="634">
        <f t="shared" ca="1" si="37"/>
        <v>36006.59195570834</v>
      </c>
      <c r="C58" s="634">
        <f t="shared" ca="1" si="38"/>
        <v>36006.59195570834</v>
      </c>
      <c r="D58" s="634"/>
      <c r="E58" s="622">
        <f t="shared" ref="E58:Q58" ca="1" si="41">E10+E56</f>
        <v>36006.59195570834</v>
      </c>
      <c r="F58" s="622">
        <f t="shared" ca="1" si="41"/>
        <v>7866527.4089165414</v>
      </c>
      <c r="G58" s="622">
        <f t="shared" ca="1" si="41"/>
        <v>66527.408916541375</v>
      </c>
      <c r="H58" s="622">
        <f t="shared" ca="1" si="41"/>
        <v>66527.408916541375</v>
      </c>
      <c r="I58" s="622">
        <f t="shared" ca="1" si="41"/>
        <v>66527.408916541375</v>
      </c>
      <c r="J58" s="622">
        <f t="shared" ca="1" si="41"/>
        <v>66527.408916541375</v>
      </c>
      <c r="K58" s="622">
        <f t="shared" ca="1" si="41"/>
        <v>66527.408916541375</v>
      </c>
      <c r="L58" s="622">
        <f t="shared" ca="1" si="41"/>
        <v>14063140.037017375</v>
      </c>
      <c r="M58" s="622">
        <f t="shared" ca="1" si="41"/>
        <v>13057714.783118209</v>
      </c>
      <c r="N58" s="622">
        <f t="shared" ca="1" si="41"/>
        <v>12979507.845248597</v>
      </c>
      <c r="O58" s="622">
        <f t="shared" ca="1" si="41"/>
        <v>12060397.17167943</v>
      </c>
      <c r="P58" s="622">
        <f t="shared" ca="1" si="41"/>
        <v>6861134.0006935056</v>
      </c>
      <c r="Q58" s="622">
        <f t="shared" ca="1" si="41"/>
        <v>6861134.0006935038</v>
      </c>
      <c r="R58" s="623"/>
      <c r="S58" s="622">
        <f t="shared" ref="S58:AE58" ca="1" si="42">S10+S56</f>
        <v>6861134.0006935056</v>
      </c>
      <c r="T58" s="622">
        <f t="shared" ca="1" si="42"/>
        <v>6861134.0006935056</v>
      </c>
      <c r="U58" s="622">
        <f t="shared" ca="1" si="42"/>
        <v>6861134.0006935056</v>
      </c>
      <c r="V58" s="622">
        <f t="shared" ca="1" si="42"/>
        <v>6861134.0006935056</v>
      </c>
      <c r="W58" s="622">
        <f t="shared" ca="1" si="42"/>
        <v>6861134.0006935056</v>
      </c>
      <c r="X58" s="622">
        <f t="shared" ca="1" si="42"/>
        <v>6861134.0006935056</v>
      </c>
      <c r="Y58" s="622">
        <f t="shared" ca="1" si="42"/>
        <v>6861134.0006935056</v>
      </c>
      <c r="Z58" s="622">
        <f t="shared" ca="1" si="42"/>
        <v>6861134.0006935056</v>
      </c>
      <c r="AA58" s="622">
        <f t="shared" ca="1" si="42"/>
        <v>6861134.0006935056</v>
      </c>
      <c r="AB58" s="622">
        <f t="shared" ca="1" si="42"/>
        <v>6861134.0006935056</v>
      </c>
      <c r="AC58" s="622">
        <f t="shared" ca="1" si="42"/>
        <v>6861134.0006935056</v>
      </c>
      <c r="AD58" s="622">
        <f t="shared" ca="1" si="42"/>
        <v>6861134.0006935056</v>
      </c>
      <c r="AE58" s="622">
        <f t="shared" ca="1" si="42"/>
        <v>6861134.0006935056</v>
      </c>
    </row>
    <row r="59" spans="1:33" ht="16.5" customHeight="1">
      <c r="E59" s="641"/>
      <c r="F59" s="641"/>
      <c r="G59" s="641"/>
      <c r="H59" s="641"/>
      <c r="I59" s="641"/>
      <c r="J59" s="641"/>
      <c r="K59" s="641"/>
      <c r="L59" s="641"/>
      <c r="M59" s="641"/>
      <c r="N59" s="641"/>
      <c r="O59" s="641"/>
      <c r="P59" s="641"/>
      <c r="Q59" s="641"/>
      <c r="R59" s="641"/>
      <c r="S59" s="641"/>
      <c r="T59" s="641"/>
      <c r="U59" s="641"/>
      <c r="V59" s="641"/>
      <c r="W59" s="641"/>
      <c r="X59" s="641"/>
      <c r="Y59" s="641"/>
      <c r="Z59" s="641"/>
      <c r="AA59" s="641"/>
      <c r="AB59" s="641"/>
      <c r="AC59" s="641"/>
      <c r="AD59" s="641"/>
      <c r="AE59" s="641"/>
    </row>
    <row r="60" spans="1:33" s="609" customFormat="1" ht="16.5" customHeight="1">
      <c r="A60" s="609" t="s">
        <v>2595</v>
      </c>
      <c r="B60" s="642"/>
      <c r="C60" s="642"/>
      <c r="D60" s="642"/>
      <c r="E60" s="641"/>
      <c r="F60" s="641"/>
      <c r="G60" s="641"/>
      <c r="H60" s="641"/>
      <c r="I60" s="641"/>
      <c r="J60" s="641"/>
      <c r="K60" s="641"/>
      <c r="L60" s="643"/>
      <c r="M60" s="643"/>
      <c r="N60" s="643"/>
      <c r="O60" s="643"/>
      <c r="P60" s="643"/>
      <c r="Q60" s="643"/>
      <c r="R60" s="644"/>
      <c r="S60" s="643"/>
      <c r="T60" s="643"/>
      <c r="U60" s="643"/>
      <c r="V60" s="643"/>
      <c r="W60" s="643"/>
      <c r="X60" s="643"/>
      <c r="Y60" s="643"/>
      <c r="Z60" s="643"/>
      <c r="AA60" s="643"/>
      <c r="AB60" s="643"/>
      <c r="AC60" s="643"/>
      <c r="AD60" s="643"/>
      <c r="AE60" s="643"/>
    </row>
    <row r="61" spans="1:33" ht="16.5" customHeight="1">
      <c r="E61" s="645"/>
      <c r="F61" s="645"/>
      <c r="G61" s="645"/>
      <c r="H61" s="645"/>
      <c r="I61" s="645"/>
      <c r="J61" s="645"/>
      <c r="K61" s="645"/>
      <c r="L61" s="645"/>
      <c r="M61" s="645"/>
      <c r="N61" s="645"/>
      <c r="O61" s="645"/>
      <c r="P61" s="645"/>
      <c r="Q61" s="645"/>
      <c r="R61" s="641"/>
      <c r="S61" s="645"/>
      <c r="T61" s="645"/>
      <c r="U61" s="645"/>
      <c r="V61" s="645"/>
      <c r="W61" s="645"/>
      <c r="X61" s="645"/>
      <c r="Y61" s="645"/>
      <c r="Z61" s="645"/>
      <c r="AA61" s="645"/>
      <c r="AB61" s="645"/>
      <c r="AC61" s="645"/>
      <c r="AD61" s="645"/>
      <c r="AE61" s="645"/>
    </row>
    <row r="62" spans="1:33" ht="16.5" customHeight="1">
      <c r="E62" s="645"/>
      <c r="F62" s="645"/>
      <c r="G62" s="645"/>
      <c r="H62" s="645"/>
      <c r="I62" s="645"/>
      <c r="J62" s="645"/>
      <c r="K62" s="645"/>
      <c r="L62" s="645"/>
      <c r="M62" s="645"/>
      <c r="N62" s="645"/>
      <c r="O62" s="645"/>
      <c r="P62" s="645"/>
      <c r="Q62" s="645"/>
      <c r="R62" s="641"/>
      <c r="S62" s="645"/>
      <c r="T62" s="645"/>
      <c r="U62" s="645"/>
      <c r="V62" s="645"/>
      <c r="W62" s="645"/>
      <c r="X62" s="645"/>
      <c r="Y62" s="645"/>
      <c r="Z62" s="645"/>
      <c r="AA62" s="645"/>
      <c r="AB62" s="645"/>
      <c r="AC62" s="645"/>
      <c r="AD62" s="645"/>
      <c r="AE62" s="645"/>
    </row>
    <row r="63" spans="1:33" ht="16.5" customHeight="1">
      <c r="E63" s="645"/>
      <c r="F63" s="645"/>
      <c r="G63" s="645"/>
      <c r="H63" s="645"/>
      <c r="I63" s="645"/>
      <c r="J63" s="645"/>
      <c r="K63" s="645"/>
      <c r="L63" s="645"/>
      <c r="M63" s="645"/>
      <c r="N63" s="645"/>
      <c r="O63" s="645"/>
      <c r="P63" s="645"/>
      <c r="Q63" s="645"/>
      <c r="R63" s="641"/>
      <c r="S63" s="645"/>
      <c r="T63" s="645"/>
      <c r="U63" s="645"/>
      <c r="V63" s="645"/>
      <c r="W63" s="645"/>
      <c r="X63" s="645"/>
      <c r="Y63" s="645"/>
      <c r="Z63" s="645"/>
      <c r="AA63" s="645"/>
      <c r="AB63" s="645"/>
      <c r="AC63" s="645"/>
      <c r="AD63" s="645"/>
      <c r="AE63" s="645"/>
    </row>
    <row r="64" spans="1:33" ht="16.5" customHeight="1">
      <c r="E64" s="645"/>
      <c r="F64" s="645"/>
      <c r="G64" s="645"/>
      <c r="H64" s="645"/>
      <c r="I64" s="645"/>
      <c r="J64" s="645"/>
      <c r="K64" s="645"/>
      <c r="L64" s="645"/>
      <c r="M64" s="645"/>
      <c r="N64" s="645"/>
      <c r="O64" s="645"/>
      <c r="P64" s="645"/>
      <c r="Q64" s="645"/>
      <c r="R64" s="641"/>
      <c r="S64" s="645"/>
      <c r="T64" s="645"/>
      <c r="U64" s="645"/>
      <c r="V64" s="645"/>
      <c r="W64" s="645"/>
      <c r="X64" s="645"/>
      <c r="Y64" s="645"/>
      <c r="Z64" s="645"/>
      <c r="AA64" s="645"/>
      <c r="AB64" s="645"/>
      <c r="AC64" s="645"/>
      <c r="AD64" s="645"/>
      <c r="AE64" s="645"/>
    </row>
    <row r="65" spans="5:31" ht="16.5" customHeight="1">
      <c r="E65" s="645"/>
      <c r="F65" s="645"/>
      <c r="G65" s="645"/>
      <c r="H65" s="645"/>
      <c r="I65" s="645"/>
      <c r="J65" s="645"/>
      <c r="K65" s="645"/>
      <c r="L65" s="645"/>
      <c r="M65" s="645"/>
      <c r="N65" s="645"/>
      <c r="O65" s="645"/>
      <c r="P65" s="645"/>
      <c r="Q65" s="645"/>
      <c r="R65" s="641"/>
      <c r="S65" s="645"/>
      <c r="T65" s="645"/>
      <c r="U65" s="645"/>
      <c r="V65" s="645"/>
      <c r="W65" s="645"/>
      <c r="X65" s="645"/>
      <c r="Y65" s="645"/>
      <c r="Z65" s="645"/>
      <c r="AA65" s="645"/>
      <c r="AB65" s="645"/>
      <c r="AC65" s="645"/>
      <c r="AD65" s="645"/>
      <c r="AE65" s="645"/>
    </row>
    <row r="66" spans="5:31" ht="16.5" customHeight="1">
      <c r="E66" s="645"/>
      <c r="F66" s="645"/>
      <c r="G66" s="645"/>
      <c r="H66" s="645"/>
      <c r="I66" s="645"/>
      <c r="J66" s="645"/>
      <c r="K66" s="645"/>
      <c r="L66" s="645"/>
      <c r="M66" s="645"/>
      <c r="N66" s="645"/>
      <c r="O66" s="645"/>
      <c r="P66" s="645"/>
      <c r="Q66" s="645"/>
      <c r="R66" s="641"/>
      <c r="S66" s="645"/>
      <c r="T66" s="645"/>
      <c r="U66" s="645"/>
      <c r="V66" s="645"/>
      <c r="W66" s="645"/>
      <c r="X66" s="645"/>
      <c r="Y66" s="645"/>
      <c r="Z66" s="645"/>
      <c r="AA66" s="645"/>
      <c r="AB66" s="645"/>
      <c r="AC66" s="645"/>
      <c r="AD66" s="645"/>
      <c r="AE66" s="645"/>
    </row>
    <row r="67" spans="5:31" ht="16.5" customHeight="1">
      <c r="E67" s="645"/>
      <c r="F67" s="645"/>
      <c r="G67" s="645"/>
      <c r="H67" s="645"/>
      <c r="I67" s="645"/>
      <c r="J67" s="645"/>
      <c r="K67" s="645"/>
      <c r="L67" s="645"/>
      <c r="M67" s="645"/>
      <c r="N67" s="645"/>
      <c r="O67" s="645"/>
      <c r="P67" s="645"/>
      <c r="Q67" s="645"/>
      <c r="R67" s="641"/>
      <c r="S67" s="645"/>
      <c r="T67" s="645"/>
      <c r="U67" s="645"/>
      <c r="V67" s="645"/>
      <c r="W67" s="645"/>
      <c r="X67" s="645"/>
      <c r="Y67" s="645"/>
      <c r="Z67" s="645"/>
      <c r="AA67" s="645"/>
      <c r="AB67" s="645"/>
      <c r="AC67" s="645"/>
      <c r="AD67" s="645"/>
      <c r="AE67" s="645"/>
    </row>
    <row r="68" spans="5:31" ht="16.5" customHeight="1">
      <c r="E68" s="645"/>
      <c r="F68" s="645"/>
      <c r="G68" s="645"/>
      <c r="H68" s="645"/>
      <c r="I68" s="645"/>
      <c r="J68" s="645"/>
      <c r="K68" s="645"/>
      <c r="L68" s="645"/>
      <c r="M68" s="645"/>
      <c r="N68" s="645"/>
      <c r="O68" s="645"/>
      <c r="P68" s="645"/>
      <c r="Q68" s="645"/>
      <c r="R68" s="641"/>
      <c r="S68" s="645"/>
      <c r="T68" s="645"/>
      <c r="U68" s="645"/>
      <c r="V68" s="645"/>
      <c r="W68" s="645"/>
      <c r="X68" s="645"/>
      <c r="Y68" s="645"/>
      <c r="Z68" s="645"/>
      <c r="AA68" s="645"/>
      <c r="AB68" s="645"/>
      <c r="AC68" s="645"/>
      <c r="AD68" s="645"/>
      <c r="AE68" s="645"/>
    </row>
    <row r="69" spans="5:31" ht="16.5" customHeight="1">
      <c r="E69" s="645"/>
      <c r="F69" s="645"/>
      <c r="G69" s="645"/>
      <c r="H69" s="645"/>
      <c r="I69" s="645"/>
      <c r="J69" s="645"/>
      <c r="K69" s="645"/>
      <c r="L69" s="645"/>
      <c r="M69" s="645"/>
      <c r="N69" s="645"/>
      <c r="O69" s="645"/>
      <c r="P69" s="645"/>
      <c r="Q69" s="645"/>
      <c r="R69" s="641"/>
      <c r="S69" s="645"/>
      <c r="T69" s="645"/>
      <c r="U69" s="645"/>
      <c r="V69" s="645"/>
      <c r="W69" s="645"/>
      <c r="X69" s="645"/>
      <c r="Y69" s="645"/>
      <c r="Z69" s="645"/>
      <c r="AA69" s="645"/>
      <c r="AB69" s="645"/>
      <c r="AC69" s="645"/>
      <c r="AD69" s="645"/>
      <c r="AE69" s="645"/>
    </row>
    <row r="70" spans="5:31" ht="16.5" customHeight="1">
      <c r="E70" s="645"/>
      <c r="F70" s="645"/>
      <c r="G70" s="645"/>
      <c r="H70" s="645"/>
      <c r="I70" s="645"/>
      <c r="J70" s="645"/>
      <c r="K70" s="645"/>
      <c r="L70" s="645"/>
      <c r="M70" s="645"/>
      <c r="N70" s="645"/>
      <c r="O70" s="645"/>
      <c r="P70" s="645"/>
      <c r="Q70" s="645"/>
      <c r="R70" s="641"/>
      <c r="S70" s="645"/>
      <c r="T70" s="645"/>
      <c r="U70" s="645"/>
      <c r="V70" s="645"/>
      <c r="W70" s="645"/>
      <c r="X70" s="645"/>
      <c r="Y70" s="645"/>
      <c r="Z70" s="645"/>
      <c r="AA70" s="645"/>
      <c r="AB70" s="645"/>
      <c r="AC70" s="645"/>
      <c r="AD70" s="645"/>
      <c r="AE70" s="645"/>
    </row>
    <row r="71" spans="5:31" ht="16.5" customHeight="1">
      <c r="E71" s="645"/>
      <c r="F71" s="645"/>
      <c r="G71" s="645"/>
      <c r="H71" s="645"/>
      <c r="I71" s="645"/>
      <c r="J71" s="645"/>
      <c r="K71" s="645"/>
      <c r="L71" s="645"/>
      <c r="M71" s="645"/>
      <c r="N71" s="645"/>
      <c r="O71" s="645"/>
      <c r="P71" s="645"/>
      <c r="Q71" s="645"/>
      <c r="R71" s="641"/>
      <c r="S71" s="645"/>
      <c r="T71" s="645"/>
      <c r="U71" s="645"/>
      <c r="V71" s="645"/>
      <c r="W71" s="645"/>
      <c r="X71" s="645"/>
      <c r="Y71" s="645"/>
      <c r="Z71" s="645"/>
      <c r="AA71" s="645"/>
      <c r="AB71" s="645"/>
      <c r="AC71" s="645"/>
      <c r="AD71" s="645"/>
      <c r="AE71" s="645"/>
    </row>
    <row r="72" spans="5:31" ht="16.5" customHeight="1">
      <c r="E72" s="645"/>
      <c r="F72" s="645"/>
      <c r="G72" s="645"/>
      <c r="H72" s="645"/>
      <c r="I72" s="645"/>
      <c r="J72" s="645"/>
      <c r="K72" s="645"/>
      <c r="L72" s="645"/>
      <c r="M72" s="645"/>
      <c r="N72" s="645"/>
      <c r="O72" s="645"/>
      <c r="P72" s="645"/>
      <c r="Q72" s="645"/>
      <c r="R72" s="641"/>
      <c r="S72" s="645"/>
      <c r="T72" s="645"/>
      <c r="U72" s="645"/>
      <c r="V72" s="645"/>
      <c r="W72" s="645"/>
      <c r="X72" s="645"/>
      <c r="Y72" s="645"/>
      <c r="Z72" s="645"/>
      <c r="AA72" s="645"/>
      <c r="AB72" s="645"/>
      <c r="AC72" s="645"/>
      <c r="AD72" s="645"/>
      <c r="AE72" s="645"/>
    </row>
    <row r="73" spans="5:31" ht="16.5" customHeight="1">
      <c r="E73" s="645"/>
      <c r="F73" s="645"/>
      <c r="G73" s="645"/>
      <c r="H73" s="645"/>
      <c r="I73" s="645"/>
      <c r="J73" s="645"/>
      <c r="K73" s="645"/>
      <c r="L73" s="645"/>
      <c r="M73" s="645"/>
      <c r="N73" s="645"/>
      <c r="O73" s="645"/>
      <c r="P73" s="645"/>
      <c r="Q73" s="645"/>
      <c r="R73" s="641"/>
      <c r="S73" s="645"/>
      <c r="T73" s="645"/>
      <c r="U73" s="645"/>
      <c r="V73" s="645"/>
      <c r="W73" s="645"/>
      <c r="X73" s="645"/>
      <c r="Y73" s="645"/>
      <c r="Z73" s="645"/>
      <c r="AA73" s="645"/>
      <c r="AB73" s="645"/>
      <c r="AC73" s="645"/>
      <c r="AD73" s="645"/>
      <c r="AE73" s="645"/>
    </row>
    <row r="74" spans="5:31" ht="16.5" customHeight="1">
      <c r="E74" s="645"/>
      <c r="F74" s="645"/>
      <c r="G74" s="645"/>
      <c r="H74" s="645"/>
      <c r="I74" s="645"/>
      <c r="J74" s="645"/>
      <c r="K74" s="645"/>
      <c r="L74" s="645"/>
      <c r="M74" s="645"/>
      <c r="N74" s="645"/>
      <c r="O74" s="645"/>
      <c r="P74" s="645"/>
      <c r="Q74" s="645"/>
      <c r="R74" s="641"/>
      <c r="S74" s="645"/>
      <c r="T74" s="645"/>
      <c r="U74" s="645"/>
      <c r="V74" s="645"/>
      <c r="W74" s="645"/>
      <c r="X74" s="645"/>
      <c r="Y74" s="645"/>
      <c r="Z74" s="645"/>
      <c r="AA74" s="645"/>
      <c r="AB74" s="645"/>
      <c r="AC74" s="645"/>
      <c r="AD74" s="645"/>
      <c r="AE74" s="645"/>
    </row>
    <row r="75" spans="5:31" ht="16.5" customHeight="1">
      <c r="E75" s="645"/>
      <c r="F75" s="645"/>
      <c r="G75" s="645"/>
      <c r="H75" s="645"/>
      <c r="I75" s="645"/>
      <c r="J75" s="645"/>
      <c r="K75" s="645"/>
      <c r="L75" s="645"/>
      <c r="M75" s="645"/>
      <c r="N75" s="645"/>
      <c r="O75" s="645"/>
      <c r="P75" s="645"/>
      <c r="Q75" s="645"/>
      <c r="R75" s="641"/>
      <c r="S75" s="645"/>
      <c r="T75" s="645"/>
      <c r="U75" s="645"/>
      <c r="V75" s="645"/>
      <c r="W75" s="645"/>
      <c r="X75" s="645"/>
      <c r="Y75" s="645"/>
      <c r="Z75" s="645"/>
      <c r="AA75" s="645"/>
      <c r="AB75" s="645"/>
      <c r="AC75" s="645"/>
      <c r="AD75" s="645"/>
      <c r="AE75" s="645"/>
    </row>
    <row r="76" spans="5:31" ht="16.5" customHeight="1">
      <c r="E76" s="645"/>
      <c r="F76" s="645"/>
      <c r="G76" s="645"/>
      <c r="H76" s="645"/>
      <c r="I76" s="645"/>
      <c r="J76" s="645"/>
      <c r="K76" s="645"/>
      <c r="L76" s="645"/>
      <c r="M76" s="645"/>
      <c r="N76" s="645"/>
      <c r="O76" s="645"/>
      <c r="P76" s="645"/>
      <c r="Q76" s="645"/>
      <c r="R76" s="641"/>
      <c r="S76" s="645"/>
      <c r="T76" s="645"/>
      <c r="U76" s="645"/>
      <c r="V76" s="645"/>
      <c r="W76" s="645"/>
      <c r="X76" s="645"/>
      <c r="Y76" s="645"/>
      <c r="Z76" s="645"/>
      <c r="AA76" s="645"/>
      <c r="AB76" s="645"/>
      <c r="AC76" s="645"/>
      <c r="AD76" s="645"/>
      <c r="AE76" s="645"/>
    </row>
  </sheetData>
  <autoFilter ref="A4:AG60" xr:uid="{00000000-0009-0000-0000-000016000000}"/>
  <conditionalFormatting sqref="B3:AE3">
    <cfRule type="cellIs" dxfId="81" priority="1" stopIfTrue="1" operator="equal">
      <formula>"Actual"</formula>
    </cfRule>
    <cfRule type="cellIs" dxfId="80" priority="2" stopIfTrue="1" operator="equal">
      <formula>"Forecast"</formula>
    </cfRule>
    <cfRule type="cellIs" dxfId="79" priority="3" stopIfTrue="1" operator="equal">
      <formula>"Budget"</formula>
    </cfRule>
  </conditionalFormatting>
  <dataValidations count="1">
    <dataValidation type="list" allowBlank="1" showInputMessage="1" showErrorMessage="1" sqref="B3:AE3" xr:uid="{00000000-0002-0000-1600-000000000000}">
      <formula1>"Actual,Forecast,Budget"</formula1>
    </dataValidation>
  </dataValidations>
  <pageMargins left="0.70866141732283505" right="0.70866141732283505" top="0.74803149606299202" bottom="0.74803149606299202" header="0.31496062992126" footer="0.31496062992126"/>
  <pageSetup paperSize="8" scale="83" orientation="landscape"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9" tint="0.79940183721427049"/>
    <pageSetUpPr fitToPage="1"/>
  </sheetPr>
  <dimension ref="A1:AG76"/>
  <sheetViews>
    <sheetView workbookViewId="0">
      <selection activeCell="F23" sqref="F23"/>
    </sheetView>
  </sheetViews>
  <sheetFormatPr defaultColWidth="8.25" defaultRowHeight="16.5" customHeight="1" outlineLevelRow="1" outlineLevelCol="1"/>
  <cols>
    <col min="1" max="1" width="43.75" style="610" customWidth="1"/>
    <col min="2" max="2" width="15.875" style="611" customWidth="1"/>
    <col min="3" max="3" width="16.75" style="611" customWidth="1"/>
    <col min="4" max="4" width="2.75" style="611" customWidth="1"/>
    <col min="5" max="5" width="14.75" style="610" customWidth="1" outlineLevel="1"/>
    <col min="6" max="6" width="16.625" style="610" customWidth="1" outlineLevel="1"/>
    <col min="7" max="7" width="14.5" style="610" customWidth="1" outlineLevel="1"/>
    <col min="8" max="9" width="14.75" style="610" customWidth="1" outlineLevel="1"/>
    <col min="10" max="16" width="15.625" style="610" customWidth="1" outlineLevel="1"/>
    <col min="17" max="17" width="15.625" style="610" customWidth="1"/>
    <col min="18" max="18" width="4.875" style="610" customWidth="1"/>
    <col min="19" max="29" width="15.625" style="610" hidden="1" customWidth="1" outlineLevel="1"/>
    <col min="30" max="30" width="14.125" style="610" hidden="1" customWidth="1" outlineLevel="1"/>
    <col min="31" max="31" width="15.625" style="610" hidden="1" customWidth="1" outlineLevel="1"/>
    <col min="32" max="32" width="10.75" style="610" customWidth="1" collapsed="1"/>
    <col min="33" max="33" width="2.625" style="610" customWidth="1"/>
    <col min="34" max="34" width="8.25" style="610" customWidth="1"/>
    <col min="35" max="16384" width="8.25" style="610"/>
  </cols>
  <sheetData>
    <row r="1" spans="1:33" ht="16.5" customHeight="1">
      <c r="A1" s="5" t="s">
        <v>2482</v>
      </c>
      <c r="B1" s="5"/>
      <c r="C1" s="612" t="s">
        <v>2109</v>
      </c>
      <c r="D1" s="5"/>
    </row>
    <row r="2" spans="1:33" ht="16.5" customHeight="1">
      <c r="C2" s="613">
        <f>'Flash Report'!C2</f>
        <v>46023</v>
      </c>
      <c r="D2" s="613"/>
      <c r="K2" s="611"/>
      <c r="P2" s="611">
        <f>SUM(F17:P17)*-1</f>
        <v>0</v>
      </c>
    </row>
    <row r="3" spans="1:33" ht="16.5" customHeight="1">
      <c r="B3" s="614" t="s">
        <v>2501</v>
      </c>
      <c r="C3" s="614" t="s">
        <v>2501</v>
      </c>
      <c r="D3" s="615"/>
      <c r="E3" s="614" t="s">
        <v>2501</v>
      </c>
      <c r="F3" s="614" t="s">
        <v>2501</v>
      </c>
      <c r="G3" s="614" t="s">
        <v>2501</v>
      </c>
      <c r="H3" s="614" t="s">
        <v>2501</v>
      </c>
      <c r="I3" s="614" t="s">
        <v>2501</v>
      </c>
      <c r="J3" s="614" t="s">
        <v>2501</v>
      </c>
      <c r="K3" s="614" t="s">
        <v>2501</v>
      </c>
      <c r="L3" s="614" t="s">
        <v>2501</v>
      </c>
      <c r="M3" s="614" t="s">
        <v>2501</v>
      </c>
      <c r="N3" s="614" t="s">
        <v>2501</v>
      </c>
      <c r="O3" s="614" t="s">
        <v>2501</v>
      </c>
      <c r="P3" s="614" t="s">
        <v>2501</v>
      </c>
      <c r="Q3" s="614" t="s">
        <v>2501</v>
      </c>
      <c r="R3" s="615"/>
      <c r="S3" s="614" t="s">
        <v>2555</v>
      </c>
      <c r="T3" s="614" t="s">
        <v>2555</v>
      </c>
      <c r="U3" s="614" t="s">
        <v>2555</v>
      </c>
      <c r="V3" s="614" t="s">
        <v>2555</v>
      </c>
      <c r="W3" s="614" t="s">
        <v>2555</v>
      </c>
      <c r="X3" s="614" t="s">
        <v>2555</v>
      </c>
      <c r="Y3" s="614" t="s">
        <v>2555</v>
      </c>
      <c r="Z3" s="614" t="s">
        <v>2555</v>
      </c>
      <c r="AA3" s="614" t="s">
        <v>2555</v>
      </c>
      <c r="AB3" s="614" t="s">
        <v>2555</v>
      </c>
      <c r="AC3" s="614" t="s">
        <v>2555</v>
      </c>
      <c r="AD3" s="614" t="s">
        <v>2555</v>
      </c>
      <c r="AE3" s="614" t="s">
        <v>2555</v>
      </c>
      <c r="AG3" s="616"/>
    </row>
    <row r="4" spans="1:33" s="599" customFormat="1" ht="16.5" customHeight="1">
      <c r="A4" s="599" t="s">
        <v>2439</v>
      </c>
      <c r="B4" s="617">
        <f>C2</f>
        <v>46023</v>
      </c>
      <c r="C4" s="617">
        <f>B4</f>
        <v>46023</v>
      </c>
      <c r="D4" s="618"/>
      <c r="E4" s="617">
        <v>46023</v>
      </c>
      <c r="F4" s="617">
        <v>46054</v>
      </c>
      <c r="G4" s="617">
        <v>46082</v>
      </c>
      <c r="H4" s="617">
        <v>46113</v>
      </c>
      <c r="I4" s="617">
        <v>46143</v>
      </c>
      <c r="J4" s="617">
        <v>46174</v>
      </c>
      <c r="K4" s="617">
        <v>46204</v>
      </c>
      <c r="L4" s="617">
        <v>46235</v>
      </c>
      <c r="M4" s="617">
        <v>46266</v>
      </c>
      <c r="N4" s="617">
        <v>46296</v>
      </c>
      <c r="O4" s="617">
        <v>46327</v>
      </c>
      <c r="P4" s="617">
        <v>46357</v>
      </c>
      <c r="Q4" s="617" t="str">
        <f>'[97]Budget-合并'!T6</f>
        <v>2026 Total</v>
      </c>
      <c r="R4" s="618">
        <f>'[97]Budget-合并'!U6</f>
        <v>0</v>
      </c>
      <c r="S4" s="617">
        <f>'[97]Budget-合并'!V6</f>
        <v>46388</v>
      </c>
      <c r="T4" s="617">
        <f>'[97]Budget-合并'!W6</f>
        <v>46419</v>
      </c>
      <c r="U4" s="617">
        <f>'[97]Budget-合并'!X6</f>
        <v>46447</v>
      </c>
      <c r="V4" s="617">
        <f>'[97]Budget-合并'!Y6</f>
        <v>46478</v>
      </c>
      <c r="W4" s="617">
        <f>'[97]Budget-合并'!Z6</f>
        <v>46508</v>
      </c>
      <c r="X4" s="617">
        <f>'[97]Budget-合并'!AA6</f>
        <v>46539</v>
      </c>
      <c r="Y4" s="617">
        <f>'[97]Budget-合并'!AB6</f>
        <v>46569</v>
      </c>
      <c r="Z4" s="617">
        <f>'[97]Budget-合并'!AC6</f>
        <v>46600</v>
      </c>
      <c r="AA4" s="617">
        <f>'[97]Budget-合并'!AD6</f>
        <v>46631</v>
      </c>
      <c r="AB4" s="617">
        <f>'[97]Budget-合并'!AE6</f>
        <v>46661</v>
      </c>
      <c r="AC4" s="617">
        <f>'[97]Budget-合并'!AF6</f>
        <v>46692</v>
      </c>
      <c r="AD4" s="617">
        <f>'[97]Budget-合并'!AG6</f>
        <v>46722</v>
      </c>
      <c r="AE4" s="617" t="str">
        <f>'[97]Budget-合并'!AH6</f>
        <v>2027 Total</v>
      </c>
      <c r="AG4" s="619"/>
    </row>
    <row r="5" spans="1:33" s="600" customFormat="1" ht="16.5" customHeight="1" outlineLevel="1">
      <c r="A5" s="600" t="s">
        <v>2556</v>
      </c>
      <c r="B5" s="620"/>
      <c r="C5" s="620"/>
      <c r="D5" s="620"/>
      <c r="E5" s="620">
        <v>0</v>
      </c>
      <c r="F5" s="620">
        <v>0</v>
      </c>
      <c r="G5" s="620">
        <v>1</v>
      </c>
      <c r="H5" s="620">
        <v>0</v>
      </c>
      <c r="I5" s="620">
        <v>0</v>
      </c>
      <c r="J5" s="620">
        <v>1</v>
      </c>
      <c r="K5" s="620">
        <v>0</v>
      </c>
      <c r="L5" s="620">
        <v>0</v>
      </c>
      <c r="M5" s="620">
        <v>1</v>
      </c>
      <c r="N5" s="620">
        <v>0</v>
      </c>
      <c r="O5" s="620">
        <v>0</v>
      </c>
      <c r="P5" s="620">
        <v>1</v>
      </c>
      <c r="Q5" s="620"/>
      <c r="R5" s="620"/>
      <c r="S5" s="620"/>
      <c r="T5" s="620"/>
      <c r="U5" s="620"/>
      <c r="V5" s="620"/>
      <c r="W5" s="620"/>
      <c r="X5" s="620"/>
      <c r="Y5" s="620"/>
      <c r="Z5" s="620"/>
      <c r="AA5" s="620"/>
      <c r="AB5" s="620"/>
      <c r="AC5" s="620"/>
      <c r="AD5" s="620"/>
      <c r="AE5" s="620"/>
      <c r="AG5" s="621"/>
    </row>
    <row r="6" spans="1:33" s="600" customFormat="1" ht="16.5" customHeight="1" outlineLevel="1">
      <c r="A6" s="600" t="s">
        <v>2557</v>
      </c>
      <c r="B6" s="620"/>
      <c r="C6" s="620"/>
      <c r="D6" s="620"/>
      <c r="E6" s="620">
        <v>0</v>
      </c>
      <c r="F6" s="620">
        <v>0</v>
      </c>
      <c r="G6" s="620">
        <v>0</v>
      </c>
      <c r="H6" s="620">
        <v>0</v>
      </c>
      <c r="I6" s="620">
        <v>1</v>
      </c>
      <c r="J6" s="620">
        <v>0</v>
      </c>
      <c r="K6" s="620">
        <v>0</v>
      </c>
      <c r="L6" s="620">
        <v>0</v>
      </c>
      <c r="M6" s="620">
        <v>0</v>
      </c>
      <c r="N6" s="620">
        <v>0</v>
      </c>
      <c r="O6" s="620">
        <v>0</v>
      </c>
      <c r="P6" s="620">
        <v>0</v>
      </c>
      <c r="Q6" s="620"/>
      <c r="R6" s="620"/>
      <c r="S6" s="620"/>
      <c r="T6" s="620"/>
      <c r="U6" s="620"/>
      <c r="V6" s="620"/>
      <c r="W6" s="620"/>
      <c r="X6" s="620"/>
      <c r="Y6" s="620"/>
      <c r="Z6" s="620"/>
      <c r="AA6" s="620"/>
      <c r="AB6" s="620"/>
      <c r="AC6" s="620"/>
      <c r="AD6" s="620"/>
      <c r="AE6" s="620"/>
      <c r="AG6" s="621"/>
    </row>
    <row r="7" spans="1:33" s="600" customFormat="1" ht="16.5" customHeight="1" outlineLevel="1">
      <c r="A7" s="600" t="s">
        <v>2558</v>
      </c>
      <c r="B7" s="620"/>
      <c r="C7" s="620"/>
      <c r="D7" s="620"/>
      <c r="E7" s="620">
        <v>1</v>
      </c>
      <c r="F7" s="620">
        <v>0</v>
      </c>
      <c r="G7" s="620">
        <v>0</v>
      </c>
      <c r="H7" s="620">
        <v>1</v>
      </c>
      <c r="I7" s="620">
        <v>0</v>
      </c>
      <c r="J7" s="620">
        <v>0</v>
      </c>
      <c r="K7" s="620">
        <v>1</v>
      </c>
      <c r="L7" s="620">
        <v>0</v>
      </c>
      <c r="M7" s="620">
        <v>0</v>
      </c>
      <c r="N7" s="620">
        <v>1</v>
      </c>
      <c r="O7" s="620">
        <v>0</v>
      </c>
      <c r="P7" s="620">
        <v>0</v>
      </c>
      <c r="Q7" s="620"/>
      <c r="R7" s="620"/>
      <c r="S7" s="620"/>
      <c r="T7" s="620"/>
      <c r="U7" s="620"/>
      <c r="V7" s="620"/>
      <c r="W7" s="620"/>
      <c r="X7" s="620"/>
      <c r="Y7" s="620"/>
      <c r="Z7" s="620"/>
      <c r="AA7" s="620"/>
      <c r="AB7" s="620"/>
      <c r="AC7" s="620"/>
      <c r="AD7" s="620"/>
      <c r="AE7" s="620"/>
      <c r="AG7" s="621"/>
    </row>
    <row r="8" spans="1:33" s="600" customFormat="1" ht="16.5" customHeight="1" outlineLevel="1">
      <c r="B8" s="620"/>
      <c r="C8" s="620"/>
      <c r="D8" s="620"/>
      <c r="E8" s="620"/>
      <c r="F8" s="620"/>
      <c r="G8" s="620"/>
      <c r="H8" s="620"/>
      <c r="I8" s="620"/>
      <c r="J8" s="620"/>
      <c r="K8" s="620"/>
      <c r="L8" s="620"/>
      <c r="M8" s="620"/>
      <c r="N8" s="620"/>
      <c r="O8" s="620"/>
      <c r="P8" s="620"/>
      <c r="Q8" s="620"/>
      <c r="R8" s="620"/>
      <c r="S8" s="620"/>
      <c r="T8" s="620"/>
      <c r="U8" s="620"/>
      <c r="V8" s="620"/>
      <c r="W8" s="620"/>
      <c r="X8" s="620"/>
      <c r="Y8" s="620"/>
      <c r="Z8" s="620"/>
      <c r="AA8" s="620"/>
      <c r="AB8" s="620"/>
      <c r="AC8" s="620"/>
      <c r="AD8" s="620"/>
      <c r="AE8" s="620"/>
      <c r="AG8" s="621"/>
    </row>
    <row r="9" spans="1:33" s="599" customFormat="1" ht="16.5" customHeight="1" outlineLevel="1">
      <c r="B9" s="618"/>
      <c r="C9" s="618"/>
      <c r="D9" s="618"/>
      <c r="E9" s="618"/>
      <c r="F9" s="618"/>
      <c r="G9" s="618"/>
      <c r="H9" s="618"/>
      <c r="I9" s="618"/>
      <c r="J9" s="618"/>
      <c r="K9" s="618"/>
      <c r="L9" s="618"/>
      <c r="M9" s="618"/>
      <c r="N9" s="618"/>
      <c r="O9" s="618"/>
      <c r="P9" s="618"/>
      <c r="Q9" s="618"/>
      <c r="R9" s="618"/>
      <c r="S9" s="618"/>
      <c r="T9" s="618"/>
      <c r="U9" s="618"/>
      <c r="V9" s="618"/>
      <c r="W9" s="618"/>
      <c r="X9" s="618"/>
      <c r="Y9" s="618"/>
      <c r="Z9" s="618"/>
      <c r="AA9" s="618"/>
      <c r="AB9" s="618"/>
      <c r="AC9" s="618"/>
      <c r="AD9" s="618"/>
      <c r="AE9" s="618"/>
      <c r="AG9" s="619"/>
    </row>
    <row r="10" spans="1:33" s="601" customFormat="1" ht="16.5" customHeight="1">
      <c r="A10" s="608" t="str">
        <f>'CF-ACPL（合并）'!A10</f>
        <v>期初现金及现金等价物余额</v>
      </c>
      <c r="B10" s="622">
        <f>INDEX($E10:$P10,1,MATCH('[97]Flash Report'!$C$2,$E$4:$P$4))</f>
        <v>2574529</v>
      </c>
      <c r="C10" s="622">
        <f>B10</f>
        <v>2574529</v>
      </c>
      <c r="D10" s="622"/>
      <c r="E10" s="622">
        <f>VLOOKUP($C$1,'2025年现金余额'!$B$4:$D$10,3,FALSE)</f>
        <v>2574529</v>
      </c>
      <c r="F10" s="622">
        <f ca="1">E58</f>
        <v>12140498.193629667</v>
      </c>
      <c r="G10" s="622">
        <f t="shared" ref="G10:P10" ca="1" si="0">F58</f>
        <v>4581717.6547696674</v>
      </c>
      <c r="H10" s="622">
        <f t="shared" ca="1" si="0"/>
        <v>3424567.9328705007</v>
      </c>
      <c r="I10" s="622">
        <f t="shared" ca="1" si="0"/>
        <v>5526249.710971334</v>
      </c>
      <c r="J10" s="622">
        <f t="shared" ca="1" si="0"/>
        <v>4417467.3338706288</v>
      </c>
      <c r="K10" s="622">
        <f t="shared" ca="1" si="0"/>
        <v>3333138.4819714623</v>
      </c>
      <c r="L10" s="622">
        <f t="shared" ca="1" si="0"/>
        <v>2779531.5789448903</v>
      </c>
      <c r="M10" s="622">
        <f t="shared" ca="1" si="0"/>
        <v>2779531.5789448903</v>
      </c>
      <c r="N10" s="622">
        <f t="shared" ca="1" si="0"/>
        <v>2779531.5789448903</v>
      </c>
      <c r="O10" s="622">
        <f t="shared" ca="1" si="0"/>
        <v>2779531.5789448903</v>
      </c>
      <c r="P10" s="622">
        <f t="shared" ca="1" si="0"/>
        <v>2779531.5789448903</v>
      </c>
      <c r="Q10" s="622">
        <f>E10</f>
        <v>2574529</v>
      </c>
      <c r="R10" s="623"/>
      <c r="S10" s="622">
        <f ca="1">P58</f>
        <v>2779531.5789448903</v>
      </c>
      <c r="T10" s="622">
        <f t="shared" ref="T10:AD10" ca="1" si="1">S58</f>
        <v>2779531.5789448903</v>
      </c>
      <c r="U10" s="622">
        <f t="shared" ca="1" si="1"/>
        <v>2779531.5789448903</v>
      </c>
      <c r="V10" s="622">
        <f t="shared" ca="1" si="1"/>
        <v>2779531.5789448903</v>
      </c>
      <c r="W10" s="622">
        <f t="shared" ca="1" si="1"/>
        <v>2779531.5789448903</v>
      </c>
      <c r="X10" s="622">
        <f t="shared" ca="1" si="1"/>
        <v>2779531.5789448903</v>
      </c>
      <c r="Y10" s="622">
        <f t="shared" ca="1" si="1"/>
        <v>2779531.5789448903</v>
      </c>
      <c r="Z10" s="622">
        <f t="shared" ca="1" si="1"/>
        <v>2779531.5789448903</v>
      </c>
      <c r="AA10" s="622">
        <f t="shared" ca="1" si="1"/>
        <v>2779531.5789448903</v>
      </c>
      <c r="AB10" s="622">
        <f t="shared" ca="1" si="1"/>
        <v>2779531.5789448903</v>
      </c>
      <c r="AC10" s="622">
        <f t="shared" ca="1" si="1"/>
        <v>2779531.5789448903</v>
      </c>
      <c r="AD10" s="622">
        <f t="shared" ca="1" si="1"/>
        <v>2779531.5789448903</v>
      </c>
      <c r="AE10" s="622">
        <f ca="1">S10</f>
        <v>2779531.5789448903</v>
      </c>
      <c r="AF10" s="624"/>
    </row>
    <row r="11" spans="1:33" ht="16.5" customHeight="1">
      <c r="B11" s="625"/>
      <c r="C11" s="625"/>
      <c r="D11" s="625"/>
      <c r="E11" s="626"/>
      <c r="F11" s="626"/>
      <c r="G11" s="626"/>
      <c r="H11" s="626"/>
      <c r="I11" s="626"/>
      <c r="J11" s="626"/>
      <c r="K11" s="626"/>
      <c r="L11" s="626"/>
      <c r="M11" s="626"/>
      <c r="N11" s="626"/>
      <c r="O11" s="626"/>
      <c r="P11" s="626"/>
      <c r="Q11" s="626"/>
      <c r="R11" s="626"/>
      <c r="S11" s="626"/>
      <c r="T11" s="626"/>
      <c r="U11" s="626"/>
      <c r="V11" s="626"/>
      <c r="W11" s="626"/>
      <c r="X11" s="626"/>
      <c r="Y11" s="626"/>
      <c r="Z11" s="626"/>
      <c r="AA11" s="626"/>
      <c r="AB11" s="626"/>
      <c r="AC11" s="626"/>
      <c r="AD11" s="626"/>
      <c r="AE11" s="626"/>
    </row>
    <row r="12" spans="1:33" s="601" customFormat="1" ht="16.5" customHeight="1">
      <c r="A12" s="627" t="str">
        <f>'CF-ACPL（合并）'!A12</f>
        <v>经营活动现金流入小计</v>
      </c>
      <c r="B12" s="628">
        <f>INDEX($E12:$P12,1,MATCH($B$4,$E$4:$P$4))</f>
        <v>0</v>
      </c>
      <c r="C12" s="628">
        <f ca="1">SUM($E12:OFFSET($E12,0,MATCH($C$4,$E$4:$P$4)-1))</f>
        <v>0</v>
      </c>
      <c r="D12" s="628"/>
      <c r="E12" s="628">
        <f t="shared" ref="E12:Q12" si="2">SUM(E13:E17)</f>
        <v>0</v>
      </c>
      <c r="F12" s="628">
        <f t="shared" si="2"/>
        <v>0</v>
      </c>
      <c r="G12" s="628">
        <f t="shared" si="2"/>
        <v>0</v>
      </c>
      <c r="H12" s="628">
        <f t="shared" si="2"/>
        <v>0</v>
      </c>
      <c r="I12" s="628">
        <f t="shared" si="2"/>
        <v>237119.14479846173</v>
      </c>
      <c r="J12" s="628">
        <f t="shared" si="2"/>
        <v>0</v>
      </c>
      <c r="K12" s="628">
        <f t="shared" si="2"/>
        <v>397316.96887259459</v>
      </c>
      <c r="L12" s="628">
        <f t="shared" si="2"/>
        <v>0</v>
      </c>
      <c r="M12" s="628">
        <f t="shared" si="2"/>
        <v>0</v>
      </c>
      <c r="N12" s="628">
        <f t="shared" si="2"/>
        <v>861224.46202955511</v>
      </c>
      <c r="O12" s="628">
        <f t="shared" si="2"/>
        <v>0</v>
      </c>
      <c r="P12" s="628">
        <f t="shared" si="2"/>
        <v>0</v>
      </c>
      <c r="Q12" s="628">
        <f t="shared" si="2"/>
        <v>1495660.5757006113</v>
      </c>
      <c r="R12" s="623"/>
      <c r="S12" s="628">
        <f t="shared" ref="S12:AE12" si="3">SUM(S13:S17)</f>
        <v>0</v>
      </c>
      <c r="T12" s="628">
        <f t="shared" si="3"/>
        <v>0</v>
      </c>
      <c r="U12" s="628">
        <f t="shared" si="3"/>
        <v>0</v>
      </c>
      <c r="V12" s="628">
        <f t="shared" si="3"/>
        <v>0</v>
      </c>
      <c r="W12" s="628">
        <f t="shared" si="3"/>
        <v>0</v>
      </c>
      <c r="X12" s="628">
        <f t="shared" si="3"/>
        <v>0</v>
      </c>
      <c r="Y12" s="628">
        <f t="shared" si="3"/>
        <v>0</v>
      </c>
      <c r="Z12" s="628">
        <f t="shared" si="3"/>
        <v>0</v>
      </c>
      <c r="AA12" s="628">
        <f t="shared" si="3"/>
        <v>0</v>
      </c>
      <c r="AB12" s="628">
        <f t="shared" si="3"/>
        <v>0</v>
      </c>
      <c r="AC12" s="628">
        <f t="shared" si="3"/>
        <v>0</v>
      </c>
      <c r="AD12" s="628">
        <f t="shared" si="3"/>
        <v>0</v>
      </c>
      <c r="AE12" s="628">
        <f t="shared" si="3"/>
        <v>0</v>
      </c>
    </row>
    <row r="13" spans="1:33" ht="16.5" customHeight="1">
      <c r="A13" s="629" t="str">
        <f>'CF-ACPL（合并）'!A13</f>
        <v>咨询管理费收入收到的现金</v>
      </c>
      <c r="B13" s="626">
        <f>INDEX($E13:$P13,1,MATCH($B$4,$E$4:$P$4))</f>
        <v>0</v>
      </c>
      <c r="C13" s="626">
        <f ca="1">SUM($E13:OFFSET($E13,0,MATCH($C$4,$E$4:$P$4)-1))</f>
        <v>0</v>
      </c>
      <c r="D13" s="626"/>
      <c r="E13" s="626">
        <f>INDEX(情形1!$G$78:$AK$78,MATCH(E$4,情形1!$G$3:$AP$3,0))*10000</f>
        <v>0</v>
      </c>
      <c r="F13" s="626">
        <f>INDEX(情形1!$G$78:$AK$78,MATCH(F$4,情形1!$G$3:$AP$3,0))*10000</f>
        <v>0</v>
      </c>
      <c r="G13" s="626">
        <f>INDEX(情形1!$G$78:$AK$78,MATCH(G$4,情形1!$G$3:$AP$3,0))*10000</f>
        <v>0</v>
      </c>
      <c r="H13" s="626">
        <f>INDEX(情形1!$G$78:$AK$78,MATCH(H$4,情形1!$G$3:$AP$3,0))*10000</f>
        <v>0</v>
      </c>
      <c r="I13" s="626">
        <f>INDEX(情形1!$G$78:$AK$78,MATCH(I$4,情形1!$G$3:$AP$3,0))*10000</f>
        <v>237119.14479846173</v>
      </c>
      <c r="J13" s="626">
        <f>INDEX(情形1!$G$78:$AK$78,MATCH(J$4,情形1!$G$3:$AP$3,0))*10000</f>
        <v>0</v>
      </c>
      <c r="K13" s="626">
        <f>INDEX(情形1!$G$78:$AK$78,MATCH(K$4,情形1!$G$3:$AP$3,0))*10000</f>
        <v>397316.96887259459</v>
      </c>
      <c r="L13" s="626">
        <f>INDEX(情形1!$G$78:$AK$78,MATCH(L$4,情形1!$G$3:$AP$3,0))*10000</f>
        <v>0</v>
      </c>
      <c r="M13" s="626">
        <f>INDEX(情形1!$G$78:$AK$78,MATCH(M$4,情形1!$G$3:$AP$3,0))*10000</f>
        <v>0</v>
      </c>
      <c r="N13" s="626">
        <f>INDEX(情形1!$G$78:$AK$78,MATCH(N$4,情形1!$G$3:$AP$3,0))*10000</f>
        <v>861224.46202955511</v>
      </c>
      <c r="O13" s="626">
        <f>INDEX(情形1!$G$78:$AK$78,MATCH(O$4,情形1!$G$3:$AP$3,0))*10000</f>
        <v>0</v>
      </c>
      <c r="P13" s="626">
        <f>INDEX(情形1!$G$78:$AK$78,MATCH(P$4,情形1!$G$3:$AP$3,0))*10000</f>
        <v>0</v>
      </c>
      <c r="Q13" s="626">
        <f>SUM(E13:P13)</f>
        <v>1495660.5757006113</v>
      </c>
      <c r="R13" s="626"/>
      <c r="S13" s="626"/>
      <c r="T13" s="626"/>
      <c r="U13" s="626"/>
      <c r="V13" s="626"/>
      <c r="W13" s="626"/>
      <c r="X13" s="626"/>
      <c r="Y13" s="626"/>
      <c r="Z13" s="626"/>
      <c r="AA13" s="626"/>
      <c r="AB13" s="626"/>
      <c r="AC13" s="626"/>
      <c r="AD13" s="626"/>
      <c r="AE13" s="626">
        <f>SUM(S13:AD13)</f>
        <v>0</v>
      </c>
    </row>
    <row r="14" spans="1:33" ht="16.5" customHeight="1">
      <c r="A14" s="629" t="str">
        <f>'CF-ACPL（合并）'!A14</f>
        <v>基金管理费收入收到的现金</v>
      </c>
      <c r="B14" s="623">
        <f>INDEX($E14:$P14,1,MATCH($B$4,$E$4:$P$4))</f>
        <v>0</v>
      </c>
      <c r="C14" s="626">
        <f ca="1">SUM($E14:OFFSET($E14,0,MATCH($C$4,$E$4:$P$4)-1))</f>
        <v>0</v>
      </c>
      <c r="D14" s="626"/>
      <c r="E14" s="626"/>
      <c r="F14" s="626"/>
      <c r="G14" s="626"/>
      <c r="H14" s="626"/>
      <c r="I14" s="626"/>
      <c r="J14" s="626"/>
      <c r="K14" s="626"/>
      <c r="L14" s="626"/>
      <c r="M14" s="626"/>
      <c r="N14" s="626"/>
      <c r="O14" s="626"/>
      <c r="P14" s="626"/>
      <c r="Q14" s="626">
        <f>SUM(E14:P14)</f>
        <v>0</v>
      </c>
      <c r="R14" s="626"/>
      <c r="S14" s="626"/>
      <c r="T14" s="626"/>
      <c r="U14" s="626"/>
      <c r="V14" s="626"/>
      <c r="W14" s="626"/>
      <c r="X14" s="626"/>
      <c r="Y14" s="626"/>
      <c r="Z14" s="626"/>
      <c r="AA14" s="626"/>
      <c r="AB14" s="626"/>
      <c r="AC14" s="626"/>
      <c r="AD14" s="626"/>
      <c r="AE14" s="626"/>
    </row>
    <row r="15" spans="1:33" ht="16.5" customHeight="1">
      <c r="A15" s="629" t="str">
        <f>'CF-ACPL（合并）'!A15</f>
        <v>收到的税费返还</v>
      </c>
      <c r="B15" s="623">
        <f t="shared" ref="B15:B27" si="4">INDEX($E15:$P15,1,MATCH($B$4,$E$4:$P$4))</f>
        <v>0</v>
      </c>
      <c r="C15" s="626">
        <f t="shared" ref="C15:C27" ca="1" si="5">SUM($E15:OFFSET($E15,0,MATCH($C$4,$E$4:$P$4)-1))</f>
        <v>0</v>
      </c>
      <c r="D15" s="626"/>
      <c r="E15" s="626"/>
      <c r="F15" s="626"/>
      <c r="G15" s="626"/>
      <c r="H15" s="626"/>
      <c r="I15" s="626"/>
      <c r="J15" s="626"/>
      <c r="K15" s="626"/>
      <c r="L15" s="630"/>
      <c r="M15" s="630"/>
      <c r="N15" s="630"/>
      <c r="O15" s="630"/>
      <c r="P15" s="630"/>
      <c r="Q15" s="626">
        <f t="shared" ref="Q15:Q17" si="6">SUM(E15:P15)</f>
        <v>0</v>
      </c>
      <c r="R15" s="626"/>
      <c r="S15" s="630"/>
      <c r="T15" s="630"/>
      <c r="U15" s="630"/>
      <c r="V15" s="630"/>
      <c r="W15" s="630"/>
      <c r="X15" s="630"/>
      <c r="Y15" s="630"/>
      <c r="Z15" s="630"/>
      <c r="AA15" s="630"/>
      <c r="AB15" s="630"/>
      <c r="AC15" s="630"/>
      <c r="AD15" s="630"/>
      <c r="AE15" s="626">
        <f>SUM(S15:AD15)</f>
        <v>0</v>
      </c>
    </row>
    <row r="16" spans="1:33" ht="16.5" customHeight="1">
      <c r="A16" s="629" t="str">
        <f>'CF-ACPL（合并）'!A16</f>
        <v>其他收入收到的现金（备注）</v>
      </c>
      <c r="B16" s="623">
        <f t="shared" si="4"/>
        <v>0</v>
      </c>
      <c r="C16" s="626">
        <f t="shared" ca="1" si="5"/>
        <v>0</v>
      </c>
      <c r="D16" s="626"/>
      <c r="E16" s="626"/>
      <c r="F16" s="626"/>
      <c r="G16" s="626"/>
      <c r="H16" s="626"/>
      <c r="I16" s="626"/>
      <c r="J16" s="626"/>
      <c r="K16" s="626"/>
      <c r="L16" s="630"/>
      <c r="M16" s="630"/>
      <c r="N16" s="630"/>
      <c r="O16" s="630"/>
      <c r="P16" s="630"/>
      <c r="Q16" s="626">
        <f t="shared" si="6"/>
        <v>0</v>
      </c>
      <c r="R16" s="626"/>
      <c r="S16" s="630"/>
      <c r="T16" s="630"/>
      <c r="U16" s="630"/>
      <c r="V16" s="630"/>
      <c r="W16" s="630"/>
      <c r="X16" s="630"/>
      <c r="Y16" s="630"/>
      <c r="Z16" s="630"/>
      <c r="AA16" s="630"/>
      <c r="AB16" s="630"/>
      <c r="AC16" s="630"/>
      <c r="AD16" s="630"/>
      <c r="AE16" s="626">
        <f>SUM(S16:AD16)</f>
        <v>0</v>
      </c>
    </row>
    <row r="17" spans="1:32" ht="16.5" customHeight="1">
      <c r="A17" s="629" t="str">
        <f>'CF-ACPL（合并）'!A17</f>
        <v>收到的其他与经营活动有关的现金</v>
      </c>
      <c r="B17" s="623">
        <f t="shared" si="4"/>
        <v>0</v>
      </c>
      <c r="C17" s="626">
        <f t="shared" ca="1" si="5"/>
        <v>0</v>
      </c>
      <c r="D17" s="626"/>
      <c r="E17" s="626"/>
      <c r="F17" s="626"/>
      <c r="G17" s="626"/>
      <c r="H17" s="626"/>
      <c r="I17" s="626"/>
      <c r="J17" s="626"/>
      <c r="K17" s="626"/>
      <c r="L17" s="630"/>
      <c r="M17" s="630"/>
      <c r="N17" s="630"/>
      <c r="O17" s="630"/>
      <c r="P17" s="630"/>
      <c r="Q17" s="626">
        <f t="shared" si="6"/>
        <v>0</v>
      </c>
      <c r="R17" s="626"/>
      <c r="S17" s="630"/>
      <c r="T17" s="630"/>
      <c r="U17" s="630"/>
      <c r="V17" s="630"/>
      <c r="W17" s="630"/>
      <c r="X17" s="630"/>
      <c r="Y17" s="630"/>
      <c r="Z17" s="630"/>
      <c r="AA17" s="630"/>
      <c r="AB17" s="630"/>
      <c r="AC17" s="630"/>
      <c r="AD17" s="630"/>
      <c r="AE17" s="626">
        <f>SUM(S17:AD17)</f>
        <v>0</v>
      </c>
    </row>
    <row r="18" spans="1:32" s="601" customFormat="1" ht="16.5" customHeight="1">
      <c r="A18" s="631" t="str">
        <f>'CF-ACPL（合并）'!A18</f>
        <v>经营活动现金流出小计</v>
      </c>
      <c r="B18" s="632">
        <f t="shared" ca="1" si="4"/>
        <v>-458030.8063703333</v>
      </c>
      <c r="C18" s="632">
        <f t="shared" ca="1" si="5"/>
        <v>-458030.8063703333</v>
      </c>
      <c r="D18" s="632"/>
      <c r="E18" s="632">
        <f ca="1">SUM(E19:E27)</f>
        <v>-458030.8063703333</v>
      </c>
      <c r="F18" s="632">
        <f t="shared" ref="F18:Q18" ca="1" si="7">SUM(F19:F27)</f>
        <v>-458780.53885999997</v>
      </c>
      <c r="G18" s="632">
        <f t="shared" ca="1" si="7"/>
        <v>-599170.53886000009</v>
      </c>
      <c r="H18" s="632">
        <f t="shared" ca="1" si="7"/>
        <v>-1049679.03886</v>
      </c>
      <c r="I18" s="632">
        <f t="shared" ca="1" si="7"/>
        <v>-671932.53885999997</v>
      </c>
      <c r="J18" s="632">
        <f t="shared" ca="1" si="7"/>
        <v>-559980.98886000004</v>
      </c>
      <c r="K18" s="632">
        <f t="shared" ca="1" si="7"/>
        <v>-505444.68885999999</v>
      </c>
      <c r="L18" s="632">
        <f t="shared" ca="1" si="7"/>
        <v>-522620.18885999999</v>
      </c>
      <c r="M18" s="632">
        <f t="shared" ca="1" si="7"/>
        <v>-524658.07085999998</v>
      </c>
      <c r="N18" s="632">
        <f t="shared" ca="1" si="7"/>
        <v>-452512.68885999999</v>
      </c>
      <c r="O18" s="632">
        <f t="shared" ca="1" si="7"/>
        <v>-438343.49053000001</v>
      </c>
      <c r="P18" s="632">
        <f t="shared" ca="1" si="7"/>
        <v>-522620.18885999999</v>
      </c>
      <c r="Q18" s="632">
        <f t="shared" ca="1" si="7"/>
        <v>-6763773.7675003335</v>
      </c>
      <c r="R18" s="623"/>
      <c r="S18" s="632">
        <f t="shared" ref="S18:AE18" si="8">SUM(S19:S27)</f>
        <v>0</v>
      </c>
      <c r="T18" s="632">
        <f t="shared" si="8"/>
        <v>0</v>
      </c>
      <c r="U18" s="632">
        <f t="shared" si="8"/>
        <v>0</v>
      </c>
      <c r="V18" s="632">
        <f t="shared" si="8"/>
        <v>0</v>
      </c>
      <c r="W18" s="632">
        <f t="shared" si="8"/>
        <v>0</v>
      </c>
      <c r="X18" s="632">
        <f t="shared" si="8"/>
        <v>0</v>
      </c>
      <c r="Y18" s="632">
        <f t="shared" si="8"/>
        <v>0</v>
      </c>
      <c r="Z18" s="632">
        <f t="shared" si="8"/>
        <v>0</v>
      </c>
      <c r="AA18" s="632">
        <f t="shared" si="8"/>
        <v>0</v>
      </c>
      <c r="AB18" s="632">
        <f t="shared" si="8"/>
        <v>0</v>
      </c>
      <c r="AC18" s="632">
        <f t="shared" si="8"/>
        <v>0</v>
      </c>
      <c r="AD18" s="632">
        <f t="shared" si="8"/>
        <v>0</v>
      </c>
      <c r="AE18" s="632">
        <f t="shared" si="8"/>
        <v>0</v>
      </c>
    </row>
    <row r="19" spans="1:32" ht="16.5" customHeight="1">
      <c r="A19" s="629" t="str">
        <f>'CF-ACPL（合并）'!A19</f>
        <v>购买商品/接受劳务支付的现金</v>
      </c>
      <c r="B19" s="623">
        <f t="shared" si="4"/>
        <v>0</v>
      </c>
      <c r="C19" s="626">
        <f t="shared" ca="1" si="5"/>
        <v>0</v>
      </c>
      <c r="D19" s="626"/>
      <c r="E19" s="626"/>
      <c r="F19" s="626"/>
      <c r="G19" s="626"/>
      <c r="H19" s="626"/>
      <c r="I19" s="626"/>
      <c r="J19" s="626"/>
      <c r="K19" s="626"/>
      <c r="L19" s="626"/>
      <c r="M19" s="630"/>
      <c r="N19" s="626"/>
      <c r="O19" s="626"/>
      <c r="P19" s="626"/>
      <c r="Q19" s="626">
        <f t="shared" ref="Q19:Q27" si="9">SUM(E19:P19)</f>
        <v>0</v>
      </c>
      <c r="R19" s="626"/>
      <c r="S19" s="630"/>
      <c r="T19" s="630"/>
      <c r="U19" s="630"/>
      <c r="V19" s="630"/>
      <c r="W19" s="630"/>
      <c r="X19" s="630"/>
      <c r="Y19" s="630"/>
      <c r="Z19" s="630"/>
      <c r="AA19" s="630"/>
      <c r="AB19" s="630"/>
      <c r="AC19" s="630"/>
      <c r="AD19" s="630"/>
      <c r="AE19" s="626">
        <f t="shared" ref="AE19:AE25" si="10">SUM(S19:AD19)</f>
        <v>0</v>
      </c>
    </row>
    <row r="20" spans="1:32" ht="16.5" customHeight="1">
      <c r="A20" s="629" t="str">
        <f>'CF-ACPL（合并）'!A20</f>
        <v>所得税支付的现金</v>
      </c>
      <c r="B20" s="623">
        <f t="shared" si="4"/>
        <v>0</v>
      </c>
      <c r="C20" s="626">
        <f t="shared" ca="1" si="5"/>
        <v>0</v>
      </c>
      <c r="D20" s="626"/>
      <c r="E20" s="626"/>
      <c r="F20" s="626"/>
      <c r="G20" s="626"/>
      <c r="H20" s="626"/>
      <c r="I20" s="626"/>
      <c r="J20" s="626"/>
      <c r="K20" s="626"/>
      <c r="L20" s="630"/>
      <c r="M20" s="630"/>
      <c r="N20" s="630"/>
      <c r="O20" s="630"/>
      <c r="P20" s="630"/>
      <c r="Q20" s="626">
        <f t="shared" si="9"/>
        <v>0</v>
      </c>
      <c r="R20" s="626"/>
      <c r="S20" s="630"/>
      <c r="T20" s="630"/>
      <c r="U20" s="630"/>
      <c r="V20" s="630"/>
      <c r="W20" s="630"/>
      <c r="X20" s="630"/>
      <c r="Y20" s="630"/>
      <c r="Z20" s="630"/>
      <c r="AA20" s="630"/>
      <c r="AB20" s="630"/>
      <c r="AC20" s="630"/>
      <c r="AD20" s="630"/>
      <c r="AE20" s="626">
        <f t="shared" si="10"/>
        <v>0</v>
      </c>
    </row>
    <row r="21" spans="1:32" ht="16.5" customHeight="1">
      <c r="A21" s="629" t="str">
        <f>'CF-ACPL（合并）'!A21</f>
        <v>增值税及附加支付的现金</v>
      </c>
      <c r="B21" s="623">
        <f t="shared" si="4"/>
        <v>0</v>
      </c>
      <c r="C21" s="626">
        <f t="shared" ca="1" si="5"/>
        <v>0</v>
      </c>
      <c r="D21" s="626"/>
      <c r="E21" s="626"/>
      <c r="F21" s="626"/>
      <c r="G21" s="626"/>
      <c r="H21" s="626"/>
      <c r="I21" s="626"/>
      <c r="J21" s="626"/>
      <c r="K21" s="626"/>
      <c r="L21" s="630"/>
      <c r="M21" s="630"/>
      <c r="N21" s="630"/>
      <c r="O21" s="630"/>
      <c r="P21" s="630"/>
      <c r="Q21" s="626">
        <f t="shared" si="9"/>
        <v>0</v>
      </c>
      <c r="R21" s="626"/>
      <c r="S21" s="630"/>
      <c r="T21" s="630"/>
      <c r="U21" s="630"/>
      <c r="V21" s="630"/>
      <c r="W21" s="630"/>
      <c r="X21" s="630"/>
      <c r="Y21" s="630"/>
      <c r="Z21" s="630"/>
      <c r="AA21" s="630"/>
      <c r="AB21" s="630"/>
      <c r="AC21" s="630"/>
      <c r="AD21" s="630"/>
      <c r="AE21" s="626">
        <f t="shared" si="10"/>
        <v>0</v>
      </c>
    </row>
    <row r="22" spans="1:32" ht="16.5" customHeight="1">
      <c r="A22" s="629" t="str">
        <f>'CF-ACPL（合并）'!A22</f>
        <v>咨询管理费用支付的现金</v>
      </c>
      <c r="B22" s="623">
        <f t="shared" si="4"/>
        <v>0</v>
      </c>
      <c r="C22" s="626">
        <f t="shared" ca="1" si="5"/>
        <v>0</v>
      </c>
      <c r="D22" s="626"/>
      <c r="E22" s="626"/>
      <c r="F22" s="626"/>
      <c r="G22" s="626"/>
      <c r="H22" s="626"/>
      <c r="I22" s="626"/>
      <c r="J22" s="626"/>
      <c r="K22" s="626"/>
      <c r="L22" s="626"/>
      <c r="M22" s="626"/>
      <c r="N22" s="626"/>
      <c r="O22" s="626"/>
      <c r="P22" s="626"/>
      <c r="Q22" s="626">
        <f t="shared" si="9"/>
        <v>0</v>
      </c>
      <c r="R22" s="626"/>
      <c r="S22" s="626"/>
      <c r="T22" s="626"/>
      <c r="U22" s="626"/>
      <c r="V22" s="626"/>
      <c r="W22" s="626"/>
      <c r="X22" s="626"/>
      <c r="Y22" s="626"/>
      <c r="Z22" s="626"/>
      <c r="AA22" s="626"/>
      <c r="AB22" s="626"/>
      <c r="AC22" s="626"/>
      <c r="AD22" s="626"/>
      <c r="AE22" s="626">
        <f t="shared" si="10"/>
        <v>0</v>
      </c>
    </row>
    <row r="23" spans="1:32" ht="16.5" customHeight="1">
      <c r="A23" s="629" t="str">
        <f>'CF-ACPL（合并）'!A23</f>
        <v>支付给职工以及为职工支付的现金</v>
      </c>
      <c r="B23" s="626">
        <f t="shared" si="4"/>
        <v>-241496.72233333334</v>
      </c>
      <c r="C23" s="626">
        <f t="shared" ca="1" si="5"/>
        <v>-241496.72233333334</v>
      </c>
      <c r="D23" s="626"/>
      <c r="E23" s="626">
        <f>-(INDEX('Budget-ACPLHK'!$K$42:$V$42,MATCH(E$4,'Budget-ACPLHK'!$K$6:$V$6,0))-VLOOKUP($C$1,'Medical Exp Calc.'!$A$10:$C$12,3,FALSE)*0.9/12)</f>
        <v>-241496.72233333334</v>
      </c>
      <c r="F23" s="626">
        <f>-(INDEX('Budget-ACPLHK'!$K$42:$V$42,MATCH(F$4,'Budget-ACPLHK'!$K$6:$V$6,0))-VLOOKUP($C$1,'Medical Exp Calc.'!$A$10:$C$12,3,FALSE)*0.9/12)</f>
        <v>-259264.26399999997</v>
      </c>
      <c r="G23" s="626">
        <f>-(INDEX('Budget-ACPLHK'!$K$42:$V$42,MATCH(G$4,'Budget-ACPLHK'!$K$6:$V$6,0))+VLOOKUP($C$1,'Medical Exp Calc.'!$A$10:$C$12,3,FALSE)*0.9*11/12)</f>
        <v>-425164.26400000002</v>
      </c>
      <c r="H23" s="626">
        <f>-(INDEX('Budget-ACPLHK'!$K$42:$V$42,MATCH(H$4,'Budget-ACPLHK'!$K$6:$V$6,0))-VLOOKUP($C$1,'Medical Exp Calc.'!$A$10:$C$12,3,FALSE)*0.9/12)</f>
        <v>-857560.26399999997</v>
      </c>
      <c r="I23" s="626">
        <f>-(INDEX('Budget-ACPLHK'!$K$42:$V$42,MATCH(I$4,'Budget-ACPLHK'!$K$6:$V$6,0))-VLOOKUP($C$1,'Medical Exp Calc.'!$A$10:$C$12,3,FALSE)*0.9/12)</f>
        <v>-312664.26400000002</v>
      </c>
      <c r="J23" s="626">
        <f>-(INDEX('Budget-ACPLHK'!$K$42:$V$42,MATCH(J$4,'Budget-ACPLHK'!$K$6:$V$6,0))-VLOOKUP($C$1,'Medical Exp Calc.'!$A$10:$C$12,3,FALSE)*0.9/12)</f>
        <v>-312664.26400000002</v>
      </c>
      <c r="K23" s="626">
        <f>-(INDEX('Budget-ACPLHK'!$K$42:$V$42,MATCH(K$4,'Budget-ACPLHK'!$K$6:$V$6,0))-VLOOKUP($C$1,'Medical Exp Calc.'!$A$10:$C$12,3,FALSE)*0.9/12)</f>
        <v>-312664.26400000002</v>
      </c>
      <c r="L23" s="626">
        <f>-(INDEX('Budget-ACPLHK'!$K$42:$V$42,MATCH(L$4,'Budget-ACPLHK'!$K$6:$V$6,0))-VLOOKUP($C$1,'Medical Exp Calc.'!$A$10:$C$12,3,FALSE)*0.9/12)</f>
        <v>-312664.26400000002</v>
      </c>
      <c r="M23" s="626">
        <f>-(INDEX('Budget-ACPLHK'!$K$42:$V$42,MATCH(M$4,'Budget-ACPLHK'!$K$6:$V$6,0))-VLOOKUP($C$1,'Medical Exp Calc.'!$A$10:$C$12,3,FALSE)*0.9/12)</f>
        <v>-312664.26400000002</v>
      </c>
      <c r="N23" s="626">
        <f>-(INDEX('Budget-ACPLHK'!$K$42:$V$42,MATCH(N$4,'Budget-ACPLHK'!$K$6:$V$6,0))-VLOOKUP($C$1,'Medical Exp Calc.'!$A$10:$C$12,3,FALSE)*0.9/12)</f>
        <v>-312664.26400000002</v>
      </c>
      <c r="O23" s="626">
        <f>-(INDEX('Budget-ACPLHK'!$K$42:$V$42,MATCH(O$4,'Budget-ACPLHK'!$K$6:$V$6,0))-VLOOKUP($C$1,'Medical Exp Calc.'!$A$10:$C$12,3,FALSE)*0.9/12)</f>
        <v>-312664.26400000002</v>
      </c>
      <c r="P23" s="626">
        <f>-(INDEX('Budget-ACPLHK'!$K$42:$V$42,MATCH(P$4,'Budget-ACPLHK'!$K$6:$V$6,0))-VLOOKUP($C$1,'Medical Exp Calc.'!$A$10:$C$12,3,FALSE)*0.9/12)</f>
        <v>-312664.26400000002</v>
      </c>
      <c r="Q23" s="626">
        <f t="shared" si="9"/>
        <v>-4284799.6263333336</v>
      </c>
      <c r="R23" s="626">
        <f>Q23-'Budget-ACPLHK'!W42</f>
        <v>-8569599.2526666671</v>
      </c>
      <c r="S23" s="626"/>
      <c r="T23" s="626"/>
      <c r="U23" s="626"/>
      <c r="V23" s="626"/>
      <c r="W23" s="626"/>
      <c r="X23" s="626"/>
      <c r="Y23" s="626"/>
      <c r="Z23" s="626"/>
      <c r="AA23" s="626"/>
      <c r="AB23" s="626"/>
      <c r="AC23" s="626"/>
      <c r="AD23" s="626"/>
      <c r="AE23" s="626">
        <f t="shared" si="10"/>
        <v>0</v>
      </c>
      <c r="AF23" s="646"/>
    </row>
    <row r="24" spans="1:32" s="602" customFormat="1" ht="16.5" customHeight="1">
      <c r="A24" s="629" t="str">
        <f>'CF-ACPL（合并）'!A24</f>
        <v>支付的其他与经营活动有关的现金（租金）</v>
      </c>
      <c r="B24" s="626">
        <f t="shared" si="4"/>
        <v>-88999</v>
      </c>
      <c r="C24" s="626">
        <f t="shared" ca="1" si="5"/>
        <v>-88999</v>
      </c>
      <c r="D24" s="626"/>
      <c r="E24" s="626">
        <f>-SUMIFS(SPACE!O:O,SPACE!$A:$A,$C$1,SPACE!$F:$F,$A24)</f>
        <v>-88999</v>
      </c>
      <c r="F24" s="626">
        <f>-SUMIFS(SPACE!P:P,SPACE!$A:$A,$C$1,SPACE!$F:$F,$A24)</f>
        <v>-88220</v>
      </c>
      <c r="G24" s="626">
        <f>-SUMIFS(SPACE!Q:Q,SPACE!$A:$A,$C$1,SPACE!$F:$F,$A24)</f>
        <v>-88220</v>
      </c>
      <c r="H24" s="626">
        <f>-SUMIFS(SPACE!R:R,SPACE!$A:$A,$C$1,SPACE!$F:$F,$A24)</f>
        <v>-88220</v>
      </c>
      <c r="I24" s="626">
        <f>-SUMIFS(SPACE!S:S,SPACE!$A:$A,$C$1,SPACE!$F:$F,$A24)</f>
        <v>-88220</v>
      </c>
      <c r="J24" s="626">
        <f>-SUMIFS(SPACE!T:T,SPACE!$A:$A,$C$1,SPACE!$F:$F,$A24)</f>
        <v>-88220</v>
      </c>
      <c r="K24" s="626">
        <f>-SUMIFS(SPACE!U:U,SPACE!$A:$A,$C$1,SPACE!$F:$F,$A24)</f>
        <v>-88220</v>
      </c>
      <c r="L24" s="626">
        <f>-SUMIFS(SPACE!V:V,SPACE!$A:$A,$C$1,SPACE!$F:$F,$A24)</f>
        <v>-88220</v>
      </c>
      <c r="M24" s="626">
        <f>-SUMIFS(SPACE!W:W,SPACE!$A:$A,$C$1,SPACE!$F:$F,$A24)</f>
        <v>-88220</v>
      </c>
      <c r="N24" s="626">
        <f>-SUMIFS(SPACE!X:X,SPACE!$A:$A,$C$1,SPACE!$F:$F,$A24)</f>
        <v>0</v>
      </c>
      <c r="O24" s="626">
        <f>-SUMIFS(SPACE!Y:Y,SPACE!$A:$A,$C$1,SPACE!$F:$F,$A24)</f>
        <v>0</v>
      </c>
      <c r="P24" s="626">
        <f>-SUMIFS(SPACE!Z:Z,SPACE!$A:$A,$C$1,SPACE!$F:$F,$A24)</f>
        <v>-88220</v>
      </c>
      <c r="Q24" s="626">
        <f t="shared" si="9"/>
        <v>-882979</v>
      </c>
      <c r="R24" s="626"/>
      <c r="S24" s="630"/>
      <c r="T24" s="630"/>
      <c r="U24" s="630"/>
      <c r="V24" s="630"/>
      <c r="W24" s="630"/>
      <c r="X24" s="630"/>
      <c r="Y24" s="630"/>
      <c r="Z24" s="630"/>
      <c r="AA24" s="630"/>
      <c r="AB24" s="630"/>
      <c r="AC24" s="630"/>
      <c r="AD24" s="630"/>
      <c r="AE24" s="626">
        <f t="shared" si="10"/>
        <v>0</v>
      </c>
      <c r="AF24" s="646"/>
    </row>
    <row r="25" spans="1:32" s="602" customFormat="1" ht="16.5" customHeight="1">
      <c r="A25" s="629" t="str">
        <f>'CF-ACPL（合并）'!A25</f>
        <v>支付的其他与经营活动有关的现金（专业服务费）</v>
      </c>
      <c r="B25" s="626">
        <f t="shared" si="4"/>
        <v>-62824.517283333327</v>
      </c>
      <c r="C25" s="626">
        <f t="shared" ca="1" si="5"/>
        <v>-62824.517283333327</v>
      </c>
      <c r="D25" s="626"/>
      <c r="E25" s="626">
        <f>-SUMIFS('Prof. Fee'!AF:AF,'Prof. Fee'!$B:$B,$C$1,'Prof. Fee'!$C:$C,$A25)</f>
        <v>-62824.517283333327</v>
      </c>
      <c r="F25" s="626">
        <f>-SUMIFS('Prof. Fee'!AG:AG,'Prof. Fee'!$B:$B,$C$1,'Prof. Fee'!$C:$C,$A25)</f>
        <v>-65106.07666666666</v>
      </c>
      <c r="G25" s="626">
        <f>-SUMIFS('Prof. Fee'!AH:AH,'Prof. Fee'!$B:$B,$C$1,'Prof. Fee'!$C:$C,$A25)</f>
        <v>-39596.076666666668</v>
      </c>
      <c r="H25" s="626">
        <f>-SUMIFS('Prof. Fee'!AI:AI,'Prof. Fee'!$B:$B,$C$1,'Prof. Fee'!$C:$C,$A25)</f>
        <v>-39596.076666666668</v>
      </c>
      <c r="I25" s="626">
        <f>-SUMIFS('Prof. Fee'!AJ:AJ,'Prof. Fee'!$B:$B,$C$1,'Prof. Fee'!$C:$C,$A25)</f>
        <v>-224858.07666666666</v>
      </c>
      <c r="J25" s="626">
        <f>-SUMIFS('Prof. Fee'!AK:AK,'Prof. Fee'!$B:$B,$C$1,'Prof. Fee'!$C:$C,$A25)</f>
        <v>-112906.52666666666</v>
      </c>
      <c r="K25" s="626">
        <f>-SUMIFS('Prof. Fee'!AL:AL,'Prof. Fee'!$B:$B,$C$1,'Prof. Fee'!$C:$C,$A25)</f>
        <v>-40257.726666666669</v>
      </c>
      <c r="L25" s="626">
        <f>-SUMIFS('Prof. Fee'!AM:AM,'Prof. Fee'!$B:$B,$C$1,'Prof. Fee'!$C:$C,$A25)</f>
        <v>-75545.726666666655</v>
      </c>
      <c r="M25" s="626">
        <f>-SUMIFS('Prof. Fee'!AN:AN,'Prof. Fee'!$B:$B,$C$1,'Prof. Fee'!$C:$C,$A25)</f>
        <v>-75545.726666666655</v>
      </c>
      <c r="N25" s="626">
        <f>-SUMIFS('Prof. Fee'!AO:AO,'Prof. Fee'!$B:$B,$C$1,'Prof. Fee'!$C:$C,$A25)</f>
        <v>-75545.726666666655</v>
      </c>
      <c r="O25" s="626">
        <f>-SUMIFS('Prof. Fee'!AP:AP,'Prof. Fee'!$B:$B,$C$1,'Prof. Fee'!$C:$C,$A25)</f>
        <v>-75545.726666666655</v>
      </c>
      <c r="P25" s="626">
        <f>-SUMIFS('Prof. Fee'!AQ:AQ,'Prof. Fee'!$B:$B,$C$1,'Prof. Fee'!$C:$C,$A25)</f>
        <v>-75545.726666666655</v>
      </c>
      <c r="Q25" s="626">
        <f t="shared" si="9"/>
        <v>-962873.71061666671</v>
      </c>
      <c r="R25" s="626"/>
      <c r="S25" s="630"/>
      <c r="T25" s="630"/>
      <c r="U25" s="630"/>
      <c r="V25" s="630"/>
      <c r="W25" s="630"/>
      <c r="X25" s="630"/>
      <c r="Y25" s="630"/>
      <c r="Z25" s="630"/>
      <c r="AA25" s="630"/>
      <c r="AB25" s="630"/>
      <c r="AC25" s="630"/>
      <c r="AD25" s="630"/>
      <c r="AE25" s="626">
        <f t="shared" si="10"/>
        <v>0</v>
      </c>
      <c r="AF25" s="646"/>
    </row>
    <row r="26" spans="1:32" s="602" customFormat="1" ht="16.5" customHeight="1">
      <c r="A26" s="629" t="str">
        <f>'CF-ACPL（合并）'!A26</f>
        <v>支付的其他与经营活动有关的现金（员工报销）</v>
      </c>
      <c r="B26" s="626">
        <f t="shared" ca="1" si="4"/>
        <v>-14625.502333333332</v>
      </c>
      <c r="C26" s="626">
        <f t="shared" ca="1" si="5"/>
        <v>-14625.502333333332</v>
      </c>
      <c r="D26" s="626"/>
      <c r="E26" s="626">
        <f ca="1">-SUMIFS('T&amp;E'!N47:N140,'T&amp;E'!$B$47:$B$140,$C$1,'T&amp;E'!$E$47:$E$140,$A26)</f>
        <v>-14625.502333333332</v>
      </c>
      <c r="F26" s="626">
        <f ca="1">-SUMIFS('T&amp;E'!O47:O140,'T&amp;E'!$B$47:$B$140,$C$1,'T&amp;E'!$E$47:$E$140,$A26)</f>
        <v>-14497.486666666664</v>
      </c>
      <c r="G26" s="626">
        <f ca="1">-SUMIFS('T&amp;E'!P47:P140,'T&amp;E'!$B$47:$B$140,$C$1,'T&amp;E'!$E$47:$E$140,$A26)</f>
        <v>-14497.486666666664</v>
      </c>
      <c r="H26" s="626">
        <f ca="1">-SUMIFS('T&amp;E'!Q47:Q140,'T&amp;E'!$B$47:$B$140,$C$1,'T&amp;E'!$E$47:$E$140,$A26)</f>
        <v>-14497.486666666664</v>
      </c>
      <c r="I26" s="626">
        <f ca="1">-SUMIFS('T&amp;E'!R47:R140,'T&amp;E'!$B$47:$B$140,$C$1,'T&amp;E'!$E$47:$E$140,$A26)</f>
        <v>-14497.486666666664</v>
      </c>
      <c r="J26" s="626">
        <f ca="1">-SUMIFS('T&amp;E'!S47:S140,'T&amp;E'!$B$47:$B$140,$C$1,'T&amp;E'!$E$47:$E$140,$A26)</f>
        <v>-14497.486666666664</v>
      </c>
      <c r="K26" s="626">
        <f ca="1">-SUMIFS('T&amp;E'!T47:T140,'T&amp;E'!$B$47:$B$140,$C$1,'T&amp;E'!$E$47:$E$140,$A26)</f>
        <v>-14497.486666666664</v>
      </c>
      <c r="L26" s="626">
        <f ca="1">-SUMIFS('T&amp;E'!U47:U140,'T&amp;E'!$B$47:$B$140,$C$1,'T&amp;E'!$E$47:$E$140,$A26)</f>
        <v>-14497.486666666664</v>
      </c>
      <c r="M26" s="626">
        <f ca="1">-SUMIFS('T&amp;E'!V47:V140,'T&amp;E'!$B$47:$B$140,$C$1,'T&amp;E'!$E$47:$E$140,$A26)</f>
        <v>-14497.486666666664</v>
      </c>
      <c r="N26" s="626">
        <f ca="1">-SUMIFS('T&amp;E'!W47:W140,'T&amp;E'!$B$47:$B$140,$C$1,'T&amp;E'!$E$47:$E$140,$A26)</f>
        <v>-14497.486666666664</v>
      </c>
      <c r="O26" s="626">
        <f ca="1">-SUMIFS('T&amp;E'!X47:X140,'T&amp;E'!$B$47:$B$140,$C$1,'T&amp;E'!$E$47:$E$140,$A26)</f>
        <v>-14497.486666666664</v>
      </c>
      <c r="P26" s="626">
        <f ca="1">-SUMIFS('T&amp;E'!Y47:Y140,'T&amp;E'!$B$47:$B$140,$C$1,'T&amp;E'!$E$47:$E$140,$A26)</f>
        <v>-14497.486666666664</v>
      </c>
      <c r="Q26" s="626">
        <f t="shared" ca="1" si="9"/>
        <v>-174097.85566666664</v>
      </c>
      <c r="R26" s="626"/>
      <c r="S26" s="630"/>
      <c r="T26" s="630"/>
      <c r="U26" s="630"/>
      <c r="V26" s="630"/>
      <c r="W26" s="630"/>
      <c r="X26" s="630"/>
      <c r="Y26" s="630"/>
      <c r="Z26" s="630"/>
      <c r="AA26" s="630"/>
      <c r="AB26" s="630"/>
      <c r="AC26" s="630"/>
      <c r="AD26" s="630"/>
      <c r="AE26" s="626"/>
      <c r="AF26" s="646"/>
    </row>
    <row r="27" spans="1:32" ht="16.5" customHeight="1">
      <c r="A27" s="629" t="str">
        <f>'CF-ACPL（合并）'!A27</f>
        <v>支付的其他与经营活动有关的现金（其他）</v>
      </c>
      <c r="B27" s="626">
        <f t="shared" si="4"/>
        <v>-50085.064420333336</v>
      </c>
      <c r="C27" s="626">
        <f t="shared" ca="1" si="5"/>
        <v>-50085.064420333336</v>
      </c>
      <c r="D27" s="626"/>
      <c r="E27" s="626">
        <f>-(SUMIFS(SPACE!O:O,SPACE!$A:$A,$C$1,SPACE!$F:$F,$A27)+SUMIFS('Other Exp'!AG:AG,'Other Exp'!$B:$B,$C$1,'Other Exp'!$D:$D,$A27))</f>
        <v>-50085.064420333336</v>
      </c>
      <c r="F27" s="626">
        <f>-(SUMIFS(SPACE!P:P,SPACE!$A:$A,$C$1,SPACE!$F:$F,$A27)+SUMIFS('Other Exp'!AH:AH,'Other Exp'!$B:$B,$C$1,'Other Exp'!$D:$D,$A27))</f>
        <v>-31692.711526666666</v>
      </c>
      <c r="G27" s="626">
        <f>-(SUMIFS(SPACE!Q:Q,SPACE!$A:$A,$C$1,SPACE!$F:$F,$A27)+SUMIFS('Other Exp'!AI:AI,'Other Exp'!$B:$B,$C$1,'Other Exp'!$D:$D,$A27))</f>
        <v>-31692.711526666666</v>
      </c>
      <c r="H27" s="626">
        <f>-(SUMIFS(SPACE!R:R,SPACE!$A:$A,$C$1,SPACE!$F:$F,$A27)+SUMIFS('Other Exp'!AJ:AJ,'Other Exp'!$B:$B,$C$1,'Other Exp'!$D:$D,$A27))</f>
        <v>-49805.211526666673</v>
      </c>
      <c r="I27" s="626">
        <f>-(SUMIFS(SPACE!S:S,SPACE!$A:$A,$C$1,SPACE!$F:$F,$A27)+SUMIFS('Other Exp'!AK:AK,'Other Exp'!$B:$B,$C$1,'Other Exp'!$D:$D,$A27))</f>
        <v>-31692.711526666666</v>
      </c>
      <c r="J27" s="626">
        <f>-(SUMIFS(SPACE!T:T,SPACE!$A:$A,$C$1,SPACE!$F:$F,$A27)+SUMIFS('Other Exp'!AL:AL,'Other Exp'!$B:$B,$C$1,'Other Exp'!$D:$D,$A27))</f>
        <v>-31692.711526666666</v>
      </c>
      <c r="K27" s="626">
        <f>-(SUMIFS(SPACE!U:U,SPACE!$A:$A,$C$1,SPACE!$F:$F,$A27)+SUMIFS('Other Exp'!AM:AM,'Other Exp'!$B:$B,$C$1,'Other Exp'!$D:$D,$A27))</f>
        <v>-49805.211526666673</v>
      </c>
      <c r="L27" s="626">
        <f>-(SUMIFS(SPACE!V:V,SPACE!$A:$A,$C$1,SPACE!$F:$F,$A27)+SUMIFS('Other Exp'!AN:AN,'Other Exp'!$B:$B,$C$1,'Other Exp'!$D:$D,$A27))</f>
        <v>-31692.711526666666</v>
      </c>
      <c r="M27" s="626">
        <f>-(SUMIFS(SPACE!W:W,SPACE!$A:$A,$C$1,SPACE!$F:$F,$A27)+SUMIFS('Other Exp'!AO:AO,'Other Exp'!$B:$B,$C$1,'Other Exp'!$D:$D,$A27))</f>
        <v>-33730.593526666664</v>
      </c>
      <c r="N27" s="626">
        <f>-(SUMIFS(SPACE!X:X,SPACE!$A:$A,$C$1,SPACE!$F:$F,$A27)+SUMIFS('Other Exp'!AP:AP,'Other Exp'!$B:$B,$C$1,'Other Exp'!$D:$D,$A27))</f>
        <v>-49805.211526666673</v>
      </c>
      <c r="O27" s="626">
        <f>-(SUMIFS(SPACE!Y:Y,SPACE!$A:$A,$C$1,SPACE!$F:$F,$A27)+SUMIFS('Other Exp'!AQ:AQ,'Other Exp'!$B:$B,$C$1,'Other Exp'!$D:$D,$A27))</f>
        <v>-35636.013196666667</v>
      </c>
      <c r="P27" s="626">
        <f>-(SUMIFS(SPACE!Z:Z,SPACE!$A:$A,$C$1,SPACE!$F:$F,$A27)+SUMIFS('Other Exp'!AR:AR,'Other Exp'!$B:$B,$C$1,'Other Exp'!$D:$D,$A27))</f>
        <v>-31692.711526666666</v>
      </c>
      <c r="Q27" s="626">
        <f t="shared" si="9"/>
        <v>-459023.57488366665</v>
      </c>
      <c r="R27" s="626">
        <f ca="1">SUM(Q24:Q27)-SUM(SPACE!AA28:AA45)-'T&amp;E'!Z74-'Prof. Fee'!AR45-'Other Exp'!AS51</f>
        <v>-4957948.2823340008</v>
      </c>
      <c r="S27" s="630"/>
      <c r="T27" s="626"/>
      <c r="U27" s="630"/>
      <c r="V27" s="630"/>
      <c r="W27" s="626"/>
      <c r="X27" s="630"/>
      <c r="Y27" s="630"/>
      <c r="Z27" s="626"/>
      <c r="AA27" s="630"/>
      <c r="AB27" s="630"/>
      <c r="AC27" s="626"/>
      <c r="AD27" s="630"/>
      <c r="AE27" s="626">
        <f>SUM(S27:AD27)</f>
        <v>0</v>
      </c>
      <c r="AF27" s="646"/>
    </row>
    <row r="28" spans="1:32" s="602" customFormat="1" ht="16.5" customHeight="1">
      <c r="A28" s="629"/>
      <c r="B28" s="633"/>
      <c r="C28" s="633"/>
      <c r="D28" s="633"/>
      <c r="E28" s="626"/>
      <c r="F28" s="626"/>
      <c r="G28" s="626"/>
      <c r="H28" s="626"/>
      <c r="I28" s="626"/>
      <c r="J28" s="626"/>
      <c r="K28" s="626"/>
      <c r="L28" s="630"/>
      <c r="M28" s="630"/>
      <c r="N28" s="630"/>
      <c r="O28" s="630"/>
      <c r="P28" s="630"/>
      <c r="Q28" s="626"/>
      <c r="R28" s="626"/>
      <c r="S28" s="630"/>
      <c r="T28" s="626"/>
      <c r="U28" s="630"/>
      <c r="V28" s="630"/>
      <c r="W28" s="626"/>
      <c r="X28" s="630"/>
      <c r="Y28" s="630"/>
      <c r="Z28" s="626"/>
      <c r="AA28" s="630"/>
      <c r="AB28" s="630"/>
      <c r="AC28" s="626"/>
      <c r="AD28" s="630"/>
      <c r="AE28" s="626"/>
      <c r="AF28" s="646"/>
    </row>
    <row r="29" spans="1:32" s="601" customFormat="1" ht="16.5" customHeight="1">
      <c r="A29" s="608" t="str">
        <f>'CF-ACPL（合并）'!A29</f>
        <v>经营活动产生的现金流量净额</v>
      </c>
      <c r="B29" s="634">
        <f t="shared" ref="B29:B42" ca="1" si="11">INDEX($E29:$P29,1,MATCH($B$4,$E$4:$P$4))</f>
        <v>-458030.8063703333</v>
      </c>
      <c r="C29" s="634">
        <f t="shared" ref="C29:C42" ca="1" si="12">SUM($E29:OFFSET($E29,0,MATCH($C$4,$E$4:$P$4)-1))</f>
        <v>-458030.8063703333</v>
      </c>
      <c r="D29" s="634"/>
      <c r="E29" s="622">
        <f ca="1">E12+E18</f>
        <v>-458030.8063703333</v>
      </c>
      <c r="F29" s="622">
        <f t="shared" ref="F29:Q29" ca="1" si="13">F12+F18</f>
        <v>-458780.53885999997</v>
      </c>
      <c r="G29" s="622">
        <f t="shared" ca="1" si="13"/>
        <v>-599170.53886000009</v>
      </c>
      <c r="H29" s="622">
        <f t="shared" ca="1" si="13"/>
        <v>-1049679.03886</v>
      </c>
      <c r="I29" s="622">
        <f t="shared" ca="1" si="13"/>
        <v>-434813.39406153827</v>
      </c>
      <c r="J29" s="622">
        <f t="shared" ca="1" si="13"/>
        <v>-559980.98886000004</v>
      </c>
      <c r="K29" s="622">
        <f t="shared" ca="1" si="13"/>
        <v>-108127.71998740541</v>
      </c>
      <c r="L29" s="622">
        <f t="shared" ca="1" si="13"/>
        <v>-522620.18885999999</v>
      </c>
      <c r="M29" s="622">
        <f t="shared" ca="1" si="13"/>
        <v>-524658.07085999998</v>
      </c>
      <c r="N29" s="622">
        <f t="shared" ca="1" si="13"/>
        <v>408711.77316955512</v>
      </c>
      <c r="O29" s="622">
        <f t="shared" ca="1" si="13"/>
        <v>-438343.49053000001</v>
      </c>
      <c r="P29" s="622">
        <f t="shared" ca="1" si="13"/>
        <v>-522620.18885999999</v>
      </c>
      <c r="Q29" s="622">
        <f t="shared" ca="1" si="13"/>
        <v>-5268113.1917997226</v>
      </c>
      <c r="R29" s="623"/>
      <c r="S29" s="622">
        <f t="shared" ref="S29:AE29" si="14">S12-S18</f>
        <v>0</v>
      </c>
      <c r="T29" s="622">
        <f t="shared" si="14"/>
        <v>0</v>
      </c>
      <c r="U29" s="622">
        <f t="shared" si="14"/>
        <v>0</v>
      </c>
      <c r="V29" s="622">
        <f t="shared" si="14"/>
        <v>0</v>
      </c>
      <c r="W29" s="622">
        <f t="shared" si="14"/>
        <v>0</v>
      </c>
      <c r="X29" s="622">
        <f t="shared" si="14"/>
        <v>0</v>
      </c>
      <c r="Y29" s="622">
        <f t="shared" si="14"/>
        <v>0</v>
      </c>
      <c r="Z29" s="622">
        <f t="shared" si="14"/>
        <v>0</v>
      </c>
      <c r="AA29" s="622">
        <f t="shared" si="14"/>
        <v>0</v>
      </c>
      <c r="AB29" s="622">
        <f t="shared" si="14"/>
        <v>0</v>
      </c>
      <c r="AC29" s="622">
        <f t="shared" si="14"/>
        <v>0</v>
      </c>
      <c r="AD29" s="622">
        <f t="shared" si="14"/>
        <v>0</v>
      </c>
      <c r="AE29" s="622">
        <f t="shared" si="14"/>
        <v>0</v>
      </c>
      <c r="AF29" s="646"/>
    </row>
    <row r="30" spans="1:32" ht="16.5" customHeight="1">
      <c r="A30" s="629"/>
      <c r="B30" s="633"/>
      <c r="C30" s="633"/>
      <c r="D30" s="633"/>
      <c r="E30" s="626"/>
      <c r="F30" s="626"/>
      <c r="G30" s="626"/>
      <c r="H30" s="626"/>
      <c r="I30" s="626"/>
      <c r="J30" s="626"/>
      <c r="K30" s="626"/>
      <c r="L30" s="626"/>
      <c r="M30" s="626"/>
      <c r="N30" s="626"/>
      <c r="O30" s="626"/>
      <c r="P30" s="626"/>
      <c r="Q30" s="626"/>
      <c r="R30" s="626"/>
      <c r="S30" s="626"/>
      <c r="T30" s="626"/>
      <c r="U30" s="626"/>
      <c r="V30" s="626"/>
      <c r="W30" s="626"/>
      <c r="X30" s="626"/>
      <c r="Y30" s="626"/>
      <c r="Z30" s="626"/>
      <c r="AA30" s="626"/>
      <c r="AB30" s="626"/>
      <c r="AC30" s="626"/>
      <c r="AD30" s="626"/>
      <c r="AE30" s="626"/>
    </row>
    <row r="31" spans="1:32" s="603" customFormat="1" ht="16.5" customHeight="1">
      <c r="A31" s="627" t="str">
        <f>'CF-ACPL（合并）'!A31</f>
        <v>投资活动现金流入小计</v>
      </c>
      <c r="B31" s="628">
        <f t="shared" ca="1" si="11"/>
        <v>11924000</v>
      </c>
      <c r="C31" s="628">
        <f t="shared" ca="1" si="12"/>
        <v>11924000</v>
      </c>
      <c r="D31" s="628"/>
      <c r="E31" s="628">
        <f t="shared" ref="E31:Q31" ca="1" si="15">SUM(E32:E36)</f>
        <v>11924000</v>
      </c>
      <c r="F31" s="628">
        <f t="shared" ca="1" si="15"/>
        <v>16500000</v>
      </c>
      <c r="G31" s="628">
        <f t="shared" ca="1" si="15"/>
        <v>0</v>
      </c>
      <c r="H31" s="628">
        <f t="shared" ca="1" si="15"/>
        <v>4505000</v>
      </c>
      <c r="I31" s="628">
        <f t="shared" ca="1" si="15"/>
        <v>0</v>
      </c>
      <c r="J31" s="628">
        <f t="shared" ca="1" si="15"/>
        <v>0</v>
      </c>
      <c r="K31" s="628">
        <f t="shared" ca="1" si="15"/>
        <v>0</v>
      </c>
      <c r="L31" s="628">
        <f t="shared" ca="1" si="15"/>
        <v>0</v>
      </c>
      <c r="M31" s="628">
        <f t="shared" ca="1" si="15"/>
        <v>0</v>
      </c>
      <c r="N31" s="628">
        <f t="shared" ca="1" si="15"/>
        <v>0</v>
      </c>
      <c r="O31" s="628">
        <f t="shared" ca="1" si="15"/>
        <v>0</v>
      </c>
      <c r="P31" s="628">
        <f t="shared" ca="1" si="15"/>
        <v>0</v>
      </c>
      <c r="Q31" s="628">
        <f t="shared" ca="1" si="15"/>
        <v>32929000</v>
      </c>
      <c r="R31" s="623"/>
      <c r="S31" s="628">
        <f t="shared" ref="S31:AE31" si="16">SUM(S32:S36)</f>
        <v>0</v>
      </c>
      <c r="T31" s="628">
        <f t="shared" si="16"/>
        <v>0</v>
      </c>
      <c r="U31" s="628">
        <f t="shared" si="16"/>
        <v>0</v>
      </c>
      <c r="V31" s="628">
        <f t="shared" si="16"/>
        <v>0</v>
      </c>
      <c r="W31" s="628">
        <f t="shared" si="16"/>
        <v>0</v>
      </c>
      <c r="X31" s="628">
        <f t="shared" si="16"/>
        <v>0</v>
      </c>
      <c r="Y31" s="628">
        <f t="shared" si="16"/>
        <v>0</v>
      </c>
      <c r="Z31" s="628">
        <f t="shared" si="16"/>
        <v>0</v>
      </c>
      <c r="AA31" s="628">
        <f t="shared" si="16"/>
        <v>0</v>
      </c>
      <c r="AB31" s="628">
        <f t="shared" si="16"/>
        <v>0</v>
      </c>
      <c r="AC31" s="628">
        <f t="shared" si="16"/>
        <v>0</v>
      </c>
      <c r="AD31" s="628">
        <f t="shared" si="16"/>
        <v>0</v>
      </c>
      <c r="AE31" s="628">
        <f t="shared" si="16"/>
        <v>0</v>
      </c>
    </row>
    <row r="32" spans="1:32" ht="16.5" customHeight="1">
      <c r="A32" s="629" t="str">
        <f>'CF-ACPL（合并）'!A32</f>
        <v>收回投资所收到的现金</v>
      </c>
      <c r="B32" s="623">
        <f t="shared" ca="1" si="11"/>
        <v>11924000</v>
      </c>
      <c r="C32" s="626">
        <f t="shared" ca="1" si="12"/>
        <v>11924000</v>
      </c>
      <c r="D32" s="626"/>
      <c r="E32" s="626">
        <f ca="1">SUMIFS(cashflow汇总预算2026!$E:$E,cashflow汇总预算2026!$Q:$Q,$A32,cashflow汇总预算2026!$D:$D,E$4)</f>
        <v>11924000</v>
      </c>
      <c r="F32" s="626">
        <f ca="1">SUMIFS(cashflow汇总预算2026!$E:$E,cashflow汇总预算2026!$Q:$Q,$A32,cashflow汇总预算2026!$D:$D,F$4)</f>
        <v>16500000</v>
      </c>
      <c r="G32" s="626">
        <f ca="1">SUMIFS(cashflow汇总预算2026!$E:$E,cashflow汇总预算2026!$Q:$Q,$A32,cashflow汇总预算2026!$D:$D,G$4)</f>
        <v>0</v>
      </c>
      <c r="H32" s="626">
        <f ca="1">SUMIFS(cashflow汇总预算2026!$E:$E,cashflow汇总预算2026!$Q:$Q,$A32,cashflow汇总预算2026!$D:$D,H$4)</f>
        <v>4505000</v>
      </c>
      <c r="I32" s="626">
        <f ca="1">SUMIFS(cashflow汇总预算2026!$E:$E,cashflow汇总预算2026!$Q:$Q,$A32,cashflow汇总预算2026!$D:$D,I$4)</f>
        <v>0</v>
      </c>
      <c r="J32" s="626">
        <f ca="1">SUMIFS(cashflow汇总预算2026!$E:$E,cashflow汇总预算2026!$Q:$Q,$A32,cashflow汇总预算2026!$D:$D,J$4)</f>
        <v>0</v>
      </c>
      <c r="K32" s="626">
        <f ca="1">SUMIFS(cashflow汇总预算2026!$E:$E,cashflow汇总预算2026!$Q:$Q,$A32,cashflow汇总预算2026!$D:$D,K$4)</f>
        <v>0</v>
      </c>
      <c r="L32" s="626">
        <f ca="1">SUMIFS(cashflow汇总预算2026!$E:$E,cashflow汇总预算2026!$Q:$Q,$A32,cashflow汇总预算2026!$D:$D,L$4)</f>
        <v>0</v>
      </c>
      <c r="M32" s="626">
        <f ca="1">SUMIFS(cashflow汇总预算2026!$E:$E,cashflow汇总预算2026!$Q:$Q,$A32,cashflow汇总预算2026!$D:$D,M$4)</f>
        <v>0</v>
      </c>
      <c r="N32" s="626">
        <f ca="1">SUMIFS(cashflow汇总预算2026!$E:$E,cashflow汇总预算2026!$Q:$Q,$A32,cashflow汇总预算2026!$D:$D,N$4)</f>
        <v>0</v>
      </c>
      <c r="O32" s="626">
        <f ca="1">SUMIFS(cashflow汇总预算2026!$E:$E,cashflow汇总预算2026!$Q:$Q,$A32,cashflow汇总预算2026!$D:$D,O$4)</f>
        <v>0</v>
      </c>
      <c r="P32" s="626">
        <f ca="1">SUMIFS(cashflow汇总预算2026!$E:$E,cashflow汇总预算2026!$Q:$Q,$A32,cashflow汇总预算2026!$D:$D,P$4)</f>
        <v>0</v>
      </c>
      <c r="Q32" s="626">
        <f t="shared" ref="Q32:Q36" ca="1" si="17">SUM(E32:P32)</f>
        <v>32929000</v>
      </c>
      <c r="R32" s="626"/>
      <c r="S32" s="630">
        <v>0</v>
      </c>
      <c r="T32" s="630">
        <v>0</v>
      </c>
      <c r="U32" s="630">
        <v>0</v>
      </c>
      <c r="V32" s="630">
        <v>0</v>
      </c>
      <c r="W32" s="630">
        <v>0</v>
      </c>
      <c r="X32" s="630">
        <v>0</v>
      </c>
      <c r="Y32" s="630">
        <v>0</v>
      </c>
      <c r="Z32" s="630">
        <v>0</v>
      </c>
      <c r="AA32" s="630">
        <v>0</v>
      </c>
      <c r="AB32" s="630">
        <v>0</v>
      </c>
      <c r="AC32" s="630">
        <v>0</v>
      </c>
      <c r="AD32" s="630">
        <v>0</v>
      </c>
      <c r="AE32" s="626">
        <f t="shared" ref="AE32:AE36" si="18">SUM(S32:AD32)</f>
        <v>0</v>
      </c>
    </row>
    <row r="33" spans="1:31" ht="16.5" customHeight="1">
      <c r="A33" s="629" t="str">
        <f>'CF-ACPL（合并）'!A33</f>
        <v>取得投资收益所收到的现金</v>
      </c>
      <c r="B33" s="623">
        <f t="shared" ca="1" si="11"/>
        <v>0</v>
      </c>
      <c r="C33" s="626">
        <f t="shared" ca="1" si="12"/>
        <v>0</v>
      </c>
      <c r="D33" s="626"/>
      <c r="E33" s="626">
        <f ca="1">SUMIFS(cashflow汇总预算2026!$E:$E,cashflow汇总预算2026!$Q:$Q,$A33,cashflow汇总预算2026!$D:$D,E$4)</f>
        <v>0</v>
      </c>
      <c r="F33" s="626">
        <f ca="1">SUMIFS(cashflow汇总预算2026!$E:$E,cashflow汇总预算2026!$Q:$Q,$A33,cashflow汇总预算2026!$D:$D,F$4)</f>
        <v>0</v>
      </c>
      <c r="G33" s="626">
        <f ca="1">SUMIFS(cashflow汇总预算2026!$E:$E,cashflow汇总预算2026!$Q:$Q,$A33,cashflow汇总预算2026!$D:$D,G$4)</f>
        <v>0</v>
      </c>
      <c r="H33" s="626">
        <f ca="1">SUMIFS(cashflow汇总预算2026!$E:$E,cashflow汇总预算2026!$Q:$Q,$A33,cashflow汇总预算2026!$D:$D,H$4)</f>
        <v>0</v>
      </c>
      <c r="I33" s="626">
        <f ca="1">SUMIFS(cashflow汇总预算2026!$E:$E,cashflow汇总预算2026!$Q:$Q,$A33,cashflow汇总预算2026!$D:$D,I$4)</f>
        <v>0</v>
      </c>
      <c r="J33" s="626">
        <f ca="1">SUMIFS(cashflow汇总预算2026!$E:$E,cashflow汇总预算2026!$Q:$Q,$A33,cashflow汇总预算2026!$D:$D,J$4)</f>
        <v>0</v>
      </c>
      <c r="K33" s="626">
        <f ca="1">SUMIFS(cashflow汇总预算2026!$E:$E,cashflow汇总预算2026!$Q:$Q,$A33,cashflow汇总预算2026!$D:$D,K$4)</f>
        <v>0</v>
      </c>
      <c r="L33" s="626">
        <f ca="1">SUMIFS(cashflow汇总预算2026!$E:$E,cashflow汇总预算2026!$Q:$Q,$A33,cashflow汇总预算2026!$D:$D,L$4)</f>
        <v>0</v>
      </c>
      <c r="M33" s="626">
        <f ca="1">SUMIFS(cashflow汇总预算2026!$E:$E,cashflow汇总预算2026!$Q:$Q,$A33,cashflow汇总预算2026!$D:$D,M$4)</f>
        <v>0</v>
      </c>
      <c r="N33" s="626">
        <f ca="1">SUMIFS(cashflow汇总预算2026!$E:$E,cashflow汇总预算2026!$Q:$Q,$A33,cashflow汇总预算2026!$D:$D,N$4)</f>
        <v>0</v>
      </c>
      <c r="O33" s="626">
        <f ca="1">SUMIFS(cashflow汇总预算2026!$E:$E,cashflow汇总预算2026!$Q:$Q,$A33,cashflow汇总预算2026!$D:$D,O$4)</f>
        <v>0</v>
      </c>
      <c r="P33" s="626">
        <f ca="1">SUMIFS(cashflow汇总预算2026!$E:$E,cashflow汇总预算2026!$Q:$Q,$A33,cashflow汇总预算2026!$D:$D,P$4)</f>
        <v>0</v>
      </c>
      <c r="Q33" s="626">
        <f t="shared" ca="1" si="17"/>
        <v>0</v>
      </c>
      <c r="R33" s="626"/>
      <c r="S33" s="630">
        <v>0</v>
      </c>
      <c r="T33" s="630">
        <v>0</v>
      </c>
      <c r="U33" s="630">
        <v>0</v>
      </c>
      <c r="V33" s="630">
        <v>0</v>
      </c>
      <c r="W33" s="630">
        <v>0</v>
      </c>
      <c r="X33" s="630">
        <v>0</v>
      </c>
      <c r="Y33" s="630">
        <v>0</v>
      </c>
      <c r="Z33" s="630">
        <v>0</v>
      </c>
      <c r="AA33" s="630">
        <v>0</v>
      </c>
      <c r="AB33" s="630">
        <v>0</v>
      </c>
      <c r="AC33" s="630">
        <v>0</v>
      </c>
      <c r="AD33" s="630">
        <v>0</v>
      </c>
      <c r="AE33" s="626">
        <f t="shared" si="18"/>
        <v>0</v>
      </c>
    </row>
    <row r="34" spans="1:31" ht="16.5" customHeight="1">
      <c r="A34" s="629" t="str">
        <f>'CF-ACPL（合并）'!A34</f>
        <v>处置固定资产、无形资产和其他长期资产而收到的现金净额</v>
      </c>
      <c r="B34" s="623">
        <f t="shared" ca="1" si="11"/>
        <v>0</v>
      </c>
      <c r="C34" s="626">
        <f t="shared" ca="1" si="12"/>
        <v>0</v>
      </c>
      <c r="D34" s="626"/>
      <c r="E34" s="626">
        <f ca="1">SUMIFS(cashflow汇总预算2026!$E:$E,cashflow汇总预算2026!$Q:$Q,$A34,cashflow汇总预算2026!$D:$D,E$4)</f>
        <v>0</v>
      </c>
      <c r="F34" s="626">
        <f ca="1">SUMIFS(cashflow汇总预算2026!$E:$E,cashflow汇总预算2026!$Q:$Q,$A34,cashflow汇总预算2026!$D:$D,F$4)</f>
        <v>0</v>
      </c>
      <c r="G34" s="626">
        <f ca="1">SUMIFS(cashflow汇总预算2026!$E:$E,cashflow汇总预算2026!$Q:$Q,$A34,cashflow汇总预算2026!$D:$D,G$4)</f>
        <v>0</v>
      </c>
      <c r="H34" s="626">
        <f ca="1">SUMIFS(cashflow汇总预算2026!$E:$E,cashflow汇总预算2026!$Q:$Q,$A34,cashflow汇总预算2026!$D:$D,H$4)</f>
        <v>0</v>
      </c>
      <c r="I34" s="626">
        <f ca="1">SUMIFS(cashflow汇总预算2026!$E:$E,cashflow汇总预算2026!$Q:$Q,$A34,cashflow汇总预算2026!$D:$D,I$4)</f>
        <v>0</v>
      </c>
      <c r="J34" s="626">
        <f ca="1">SUMIFS(cashflow汇总预算2026!$E:$E,cashflow汇总预算2026!$Q:$Q,$A34,cashflow汇总预算2026!$D:$D,J$4)</f>
        <v>0</v>
      </c>
      <c r="K34" s="626">
        <f ca="1">SUMIFS(cashflow汇总预算2026!$E:$E,cashflow汇总预算2026!$Q:$Q,$A34,cashflow汇总预算2026!$D:$D,K$4)</f>
        <v>0</v>
      </c>
      <c r="L34" s="626">
        <f ca="1">SUMIFS(cashflow汇总预算2026!$E:$E,cashflow汇总预算2026!$Q:$Q,$A34,cashflow汇总预算2026!$D:$D,L$4)</f>
        <v>0</v>
      </c>
      <c r="M34" s="626">
        <f ca="1">SUMIFS(cashflow汇总预算2026!$E:$E,cashflow汇总预算2026!$Q:$Q,$A34,cashflow汇总预算2026!$D:$D,M$4)</f>
        <v>0</v>
      </c>
      <c r="N34" s="626">
        <f ca="1">SUMIFS(cashflow汇总预算2026!$E:$E,cashflow汇总预算2026!$Q:$Q,$A34,cashflow汇总预算2026!$D:$D,N$4)</f>
        <v>0</v>
      </c>
      <c r="O34" s="626">
        <f ca="1">SUMIFS(cashflow汇总预算2026!$E:$E,cashflow汇总预算2026!$Q:$Q,$A34,cashflow汇总预算2026!$D:$D,O$4)</f>
        <v>0</v>
      </c>
      <c r="P34" s="626">
        <f ca="1">SUMIFS(cashflow汇总预算2026!$E:$E,cashflow汇总预算2026!$Q:$Q,$A34,cashflow汇总预算2026!$D:$D,P$4)</f>
        <v>0</v>
      </c>
      <c r="Q34" s="626">
        <f t="shared" ca="1" si="17"/>
        <v>0</v>
      </c>
      <c r="R34" s="626"/>
      <c r="S34" s="630">
        <v>0</v>
      </c>
      <c r="T34" s="630">
        <v>0</v>
      </c>
      <c r="U34" s="630">
        <v>0</v>
      </c>
      <c r="V34" s="630">
        <v>0</v>
      </c>
      <c r="W34" s="630">
        <v>0</v>
      </c>
      <c r="X34" s="630">
        <v>0</v>
      </c>
      <c r="Y34" s="630">
        <v>0</v>
      </c>
      <c r="Z34" s="630">
        <v>0</v>
      </c>
      <c r="AA34" s="630">
        <v>0</v>
      </c>
      <c r="AB34" s="630">
        <v>0</v>
      </c>
      <c r="AC34" s="630">
        <v>0</v>
      </c>
      <c r="AD34" s="630">
        <v>0</v>
      </c>
      <c r="AE34" s="626">
        <f t="shared" si="18"/>
        <v>0</v>
      </c>
    </row>
    <row r="35" spans="1:31" ht="16.5" customHeight="1">
      <c r="A35" s="629" t="str">
        <f>'CF-ACPL（合并）'!A35</f>
        <v>处置子公司及其他营业单位收到的现金净额</v>
      </c>
      <c r="B35" s="623">
        <f t="shared" ca="1" si="11"/>
        <v>0</v>
      </c>
      <c r="C35" s="626">
        <f t="shared" ca="1" si="12"/>
        <v>0</v>
      </c>
      <c r="D35" s="626"/>
      <c r="E35" s="626">
        <f ca="1">SUMIFS(cashflow汇总预算2026!$E:$E,cashflow汇总预算2026!$Q:$Q,$A35,cashflow汇总预算2026!$D:$D,E$4)</f>
        <v>0</v>
      </c>
      <c r="F35" s="626">
        <f ca="1">SUMIFS(cashflow汇总预算2026!$E:$E,cashflow汇总预算2026!$Q:$Q,$A35,cashflow汇总预算2026!$D:$D,F$4)</f>
        <v>0</v>
      </c>
      <c r="G35" s="626">
        <f ca="1">SUMIFS(cashflow汇总预算2026!$E:$E,cashflow汇总预算2026!$Q:$Q,$A35,cashflow汇总预算2026!$D:$D,G$4)</f>
        <v>0</v>
      </c>
      <c r="H35" s="626">
        <f ca="1">SUMIFS(cashflow汇总预算2026!$E:$E,cashflow汇总预算2026!$Q:$Q,$A35,cashflow汇总预算2026!$D:$D,H$4)</f>
        <v>0</v>
      </c>
      <c r="I35" s="626">
        <f ca="1">SUMIFS(cashflow汇总预算2026!$E:$E,cashflow汇总预算2026!$Q:$Q,$A35,cashflow汇总预算2026!$D:$D,I$4)</f>
        <v>0</v>
      </c>
      <c r="J35" s="626">
        <f ca="1">SUMIFS(cashflow汇总预算2026!$E:$E,cashflow汇总预算2026!$Q:$Q,$A35,cashflow汇总预算2026!$D:$D,J$4)</f>
        <v>0</v>
      </c>
      <c r="K35" s="626">
        <f ca="1">SUMIFS(cashflow汇总预算2026!$E:$E,cashflow汇总预算2026!$Q:$Q,$A35,cashflow汇总预算2026!$D:$D,K$4)</f>
        <v>0</v>
      </c>
      <c r="L35" s="626">
        <f ca="1">SUMIFS(cashflow汇总预算2026!$E:$E,cashflow汇总预算2026!$Q:$Q,$A35,cashflow汇总预算2026!$D:$D,L$4)</f>
        <v>0</v>
      </c>
      <c r="M35" s="626">
        <f ca="1">SUMIFS(cashflow汇总预算2026!$E:$E,cashflow汇总预算2026!$Q:$Q,$A35,cashflow汇总预算2026!$D:$D,M$4)</f>
        <v>0</v>
      </c>
      <c r="N35" s="626">
        <f ca="1">SUMIFS(cashflow汇总预算2026!$E:$E,cashflow汇总预算2026!$Q:$Q,$A35,cashflow汇总预算2026!$D:$D,N$4)</f>
        <v>0</v>
      </c>
      <c r="O35" s="626">
        <f ca="1">SUMIFS(cashflow汇总预算2026!$E:$E,cashflow汇总预算2026!$Q:$Q,$A35,cashflow汇总预算2026!$D:$D,O$4)</f>
        <v>0</v>
      </c>
      <c r="P35" s="626">
        <f ca="1">SUMIFS(cashflow汇总预算2026!$E:$E,cashflow汇总预算2026!$Q:$Q,$A35,cashflow汇总预算2026!$D:$D,P$4)</f>
        <v>0</v>
      </c>
      <c r="Q35" s="626">
        <f t="shared" ca="1" si="17"/>
        <v>0</v>
      </c>
      <c r="R35" s="626"/>
      <c r="S35" s="630">
        <v>0</v>
      </c>
      <c r="T35" s="630">
        <v>0</v>
      </c>
      <c r="U35" s="630">
        <v>0</v>
      </c>
      <c r="V35" s="630">
        <v>0</v>
      </c>
      <c r="W35" s="630">
        <v>0</v>
      </c>
      <c r="X35" s="630">
        <v>0</v>
      </c>
      <c r="Y35" s="630">
        <v>0</v>
      </c>
      <c r="Z35" s="630">
        <v>0</v>
      </c>
      <c r="AA35" s="630">
        <v>0</v>
      </c>
      <c r="AB35" s="630">
        <v>0</v>
      </c>
      <c r="AC35" s="630">
        <v>0</v>
      </c>
      <c r="AD35" s="630">
        <v>0</v>
      </c>
      <c r="AE35" s="626">
        <f t="shared" si="18"/>
        <v>0</v>
      </c>
    </row>
    <row r="36" spans="1:31" ht="16.5" customHeight="1">
      <c r="A36" s="629" t="str">
        <f>'CF-ACPL（合并）'!A36</f>
        <v>收到的其他与投资活动有关的现金</v>
      </c>
      <c r="B36" s="623">
        <f t="shared" ca="1" si="11"/>
        <v>0</v>
      </c>
      <c r="C36" s="626">
        <f t="shared" ca="1" si="12"/>
        <v>0</v>
      </c>
      <c r="D36" s="626"/>
      <c r="E36" s="626">
        <f ca="1">SUMIFS(cashflow汇总预算2026!$E:$E,cashflow汇总预算2026!$Q:$Q,$A36,cashflow汇总预算2026!$D:$D,E$4)</f>
        <v>0</v>
      </c>
      <c r="F36" s="626">
        <f ca="1">SUMIFS(cashflow汇总预算2026!$E:$E,cashflow汇总预算2026!$Q:$Q,$A36,cashflow汇总预算2026!$D:$D,F$4)</f>
        <v>0</v>
      </c>
      <c r="G36" s="626">
        <f ca="1">SUMIFS(cashflow汇总预算2026!$E:$E,cashflow汇总预算2026!$Q:$Q,$A36,cashflow汇总预算2026!$D:$D,G$4)</f>
        <v>0</v>
      </c>
      <c r="H36" s="626">
        <f ca="1">SUMIFS(cashflow汇总预算2026!$E:$E,cashflow汇总预算2026!$Q:$Q,$A36,cashflow汇总预算2026!$D:$D,H$4)</f>
        <v>0</v>
      </c>
      <c r="I36" s="626">
        <f ca="1">SUMIFS(cashflow汇总预算2026!$E:$E,cashflow汇总预算2026!$Q:$Q,$A36,cashflow汇总预算2026!$D:$D,I$4)</f>
        <v>0</v>
      </c>
      <c r="J36" s="626">
        <f ca="1">SUMIFS(cashflow汇总预算2026!$E:$E,cashflow汇总预算2026!$Q:$Q,$A36,cashflow汇总预算2026!$D:$D,J$4)</f>
        <v>0</v>
      </c>
      <c r="K36" s="626">
        <f ca="1">SUMIFS(cashflow汇总预算2026!$E:$E,cashflow汇总预算2026!$Q:$Q,$A36,cashflow汇总预算2026!$D:$D,K$4)</f>
        <v>0</v>
      </c>
      <c r="L36" s="626">
        <f ca="1">SUMIFS(cashflow汇总预算2026!$E:$E,cashflow汇总预算2026!$Q:$Q,$A36,cashflow汇总预算2026!$D:$D,L$4)</f>
        <v>0</v>
      </c>
      <c r="M36" s="626">
        <f ca="1">SUMIFS(cashflow汇总预算2026!$E:$E,cashflow汇总预算2026!$Q:$Q,$A36,cashflow汇总预算2026!$D:$D,M$4)</f>
        <v>0</v>
      </c>
      <c r="N36" s="626">
        <f ca="1">SUMIFS(cashflow汇总预算2026!$E:$E,cashflow汇总预算2026!$Q:$Q,$A36,cashflow汇总预算2026!$D:$D,N$4)</f>
        <v>0</v>
      </c>
      <c r="O36" s="626">
        <f ca="1">SUMIFS(cashflow汇总预算2026!$E:$E,cashflow汇总预算2026!$Q:$Q,$A36,cashflow汇总预算2026!$D:$D,O$4)</f>
        <v>0</v>
      </c>
      <c r="P36" s="626">
        <f ca="1">SUMIFS(cashflow汇总预算2026!$E:$E,cashflow汇总预算2026!$Q:$Q,$A36,cashflow汇总预算2026!$D:$D,P$4)</f>
        <v>0</v>
      </c>
      <c r="Q36" s="626">
        <f t="shared" ca="1" si="17"/>
        <v>0</v>
      </c>
      <c r="R36" s="626"/>
      <c r="S36" s="630">
        <v>0</v>
      </c>
      <c r="T36" s="630">
        <v>0</v>
      </c>
      <c r="U36" s="630">
        <v>0</v>
      </c>
      <c r="V36" s="630">
        <v>0</v>
      </c>
      <c r="W36" s="630">
        <v>0</v>
      </c>
      <c r="X36" s="630">
        <v>0</v>
      </c>
      <c r="Y36" s="630">
        <v>0</v>
      </c>
      <c r="Z36" s="630">
        <v>0</v>
      </c>
      <c r="AA36" s="630">
        <v>0</v>
      </c>
      <c r="AB36" s="630">
        <v>0</v>
      </c>
      <c r="AC36" s="630">
        <v>0</v>
      </c>
      <c r="AD36" s="630">
        <v>0</v>
      </c>
      <c r="AE36" s="626">
        <f t="shared" si="18"/>
        <v>0</v>
      </c>
    </row>
    <row r="37" spans="1:31" s="604" customFormat="1" ht="16.5" customHeight="1">
      <c r="A37" s="631" t="str">
        <f>'CF-ACPL（合并）'!A37</f>
        <v>投资活动现金流出小计</v>
      </c>
      <c r="B37" s="632">
        <f t="shared" ca="1" si="11"/>
        <v>0</v>
      </c>
      <c r="C37" s="632">
        <f t="shared" ca="1" si="12"/>
        <v>0</v>
      </c>
      <c r="D37" s="632"/>
      <c r="E37" s="632">
        <f t="shared" ref="E37:Q37" ca="1" si="19">SUM(E38:E41)</f>
        <v>0</v>
      </c>
      <c r="F37" s="632">
        <f t="shared" ca="1" si="19"/>
        <v>-8000000</v>
      </c>
      <c r="G37" s="632">
        <f t="shared" ca="1" si="19"/>
        <v>0</v>
      </c>
      <c r="H37" s="632">
        <f t="shared" ca="1" si="19"/>
        <v>0</v>
      </c>
      <c r="I37" s="632">
        <f t="shared" ca="1" si="19"/>
        <v>0</v>
      </c>
      <c r="J37" s="632">
        <f t="shared" ca="1" si="19"/>
        <v>0</v>
      </c>
      <c r="K37" s="632">
        <f t="shared" ca="1" si="19"/>
        <v>0</v>
      </c>
      <c r="L37" s="632">
        <f t="shared" ca="1" si="19"/>
        <v>0</v>
      </c>
      <c r="M37" s="632">
        <f t="shared" ca="1" si="19"/>
        <v>0</v>
      </c>
      <c r="N37" s="632">
        <f t="shared" ca="1" si="19"/>
        <v>0</v>
      </c>
      <c r="O37" s="632">
        <f t="shared" ca="1" si="19"/>
        <v>0</v>
      </c>
      <c r="P37" s="632">
        <f t="shared" ca="1" si="19"/>
        <v>0</v>
      </c>
      <c r="Q37" s="632">
        <f t="shared" ca="1" si="19"/>
        <v>-8000000</v>
      </c>
      <c r="R37" s="623"/>
      <c r="S37" s="632">
        <f t="shared" ref="S37:AE37" si="20">SUM(S38:S41)</f>
        <v>0</v>
      </c>
      <c r="T37" s="632">
        <f t="shared" si="20"/>
        <v>0</v>
      </c>
      <c r="U37" s="632">
        <f t="shared" si="20"/>
        <v>0</v>
      </c>
      <c r="V37" s="632">
        <f t="shared" si="20"/>
        <v>0</v>
      </c>
      <c r="W37" s="632">
        <f t="shared" si="20"/>
        <v>0</v>
      </c>
      <c r="X37" s="632">
        <f t="shared" si="20"/>
        <v>0</v>
      </c>
      <c r="Y37" s="632">
        <f t="shared" si="20"/>
        <v>0</v>
      </c>
      <c r="Z37" s="632">
        <f t="shared" si="20"/>
        <v>0</v>
      </c>
      <c r="AA37" s="632">
        <f t="shared" si="20"/>
        <v>0</v>
      </c>
      <c r="AB37" s="632">
        <f t="shared" si="20"/>
        <v>0</v>
      </c>
      <c r="AC37" s="632">
        <f t="shared" si="20"/>
        <v>0</v>
      </c>
      <c r="AD37" s="632">
        <f t="shared" si="20"/>
        <v>0</v>
      </c>
      <c r="AE37" s="632">
        <f t="shared" si="20"/>
        <v>0</v>
      </c>
    </row>
    <row r="38" spans="1:31" ht="16.5" customHeight="1">
      <c r="A38" s="629" t="str">
        <f>'CF-ACPL（合并）'!A38</f>
        <v>购建固定资产、无形资产和其他长期资产支付的现金</v>
      </c>
      <c r="B38" s="623">
        <f t="shared" si="11"/>
        <v>0</v>
      </c>
      <c r="C38" s="626">
        <f t="shared" ca="1" si="12"/>
        <v>0</v>
      </c>
      <c r="D38" s="626"/>
      <c r="E38" s="626">
        <f>SUMIFS('Other Exp'!AG:AG,'Other Exp'!$B:$B,$C$1,'Other Exp'!$D:$D,$A38)</f>
        <v>0</v>
      </c>
      <c r="F38" s="626">
        <f>SUMIFS('Other Exp'!AH:AH,'Other Exp'!$B:$B,$C$1,'Other Exp'!$D:$D,$A38)</f>
        <v>0</v>
      </c>
      <c r="G38" s="626">
        <f>SUMIFS('Other Exp'!AI:AI,'Other Exp'!$B:$B,$C$1,'Other Exp'!$D:$D,$A38)</f>
        <v>0</v>
      </c>
      <c r="H38" s="626">
        <f>SUMIFS('Other Exp'!AJ:AJ,'Other Exp'!$B:$B,$C$1,'Other Exp'!$D:$D,$A38)</f>
        <v>0</v>
      </c>
      <c r="I38" s="626">
        <f>SUMIFS('Other Exp'!AK:AK,'Other Exp'!$B:$B,$C$1,'Other Exp'!$D:$D,$A38)</f>
        <v>0</v>
      </c>
      <c r="J38" s="626">
        <f>SUMIFS('Other Exp'!AL:AL,'Other Exp'!$B:$B,$C$1,'Other Exp'!$D:$D,$A38)</f>
        <v>0</v>
      </c>
      <c r="K38" s="626">
        <f>SUMIFS('Other Exp'!AM:AM,'Other Exp'!$B:$B,$C$1,'Other Exp'!$D:$D,$A38)</f>
        <v>0</v>
      </c>
      <c r="L38" s="626">
        <f>SUMIFS('Other Exp'!AN:AN,'Other Exp'!$B:$B,$C$1,'Other Exp'!$D:$D,$A38)</f>
        <v>0</v>
      </c>
      <c r="M38" s="626">
        <f>SUMIFS('Other Exp'!AO:AO,'Other Exp'!$B:$B,$C$1,'Other Exp'!$D:$D,$A38)</f>
        <v>0</v>
      </c>
      <c r="N38" s="626">
        <f>SUMIFS('Other Exp'!AP:AP,'Other Exp'!$B:$B,$C$1,'Other Exp'!$D:$D,$A38)</f>
        <v>0</v>
      </c>
      <c r="O38" s="626">
        <f>SUMIFS('Other Exp'!AQ:AQ,'Other Exp'!$B:$B,$C$1,'Other Exp'!$D:$D,$A38)</f>
        <v>0</v>
      </c>
      <c r="P38" s="626">
        <f>SUMIFS('Other Exp'!AR:AR,'Other Exp'!$B:$B,$C$1,'Other Exp'!$D:$D,$A38)</f>
        <v>0</v>
      </c>
      <c r="Q38" s="626">
        <f t="shared" ref="Q38" si="21">SUM(E38:P38)</f>
        <v>0</v>
      </c>
      <c r="R38" s="626"/>
      <c r="S38" s="630">
        <v>0</v>
      </c>
      <c r="T38" s="630">
        <v>0</v>
      </c>
      <c r="U38" s="630">
        <v>0</v>
      </c>
      <c r="V38" s="630">
        <v>0</v>
      </c>
      <c r="W38" s="630">
        <v>0</v>
      </c>
      <c r="X38" s="630">
        <v>0</v>
      </c>
      <c r="Y38" s="630">
        <v>0</v>
      </c>
      <c r="Z38" s="630">
        <v>0</v>
      </c>
      <c r="AA38" s="630">
        <v>0</v>
      </c>
      <c r="AB38" s="630">
        <v>0</v>
      </c>
      <c r="AC38" s="630">
        <v>0</v>
      </c>
      <c r="AD38" s="630">
        <v>0</v>
      </c>
      <c r="AE38" s="626">
        <f t="shared" ref="AE38:AE41" si="22">SUM(S38:AD38)</f>
        <v>0</v>
      </c>
    </row>
    <row r="39" spans="1:31" ht="16.5" customHeight="1">
      <c r="A39" s="629" t="str">
        <f>'CF-ACPL（合并）'!A39</f>
        <v>投资支付的现金</v>
      </c>
      <c r="B39" s="623">
        <f t="shared" ca="1" si="11"/>
        <v>0</v>
      </c>
      <c r="C39" s="626">
        <f t="shared" ca="1" si="12"/>
        <v>0</v>
      </c>
      <c r="D39" s="626"/>
      <c r="E39" s="626">
        <f ca="1">SUMIFS(cashflow汇总预算2026!$E:$E,cashflow汇总预算2026!$Q:$Q,$A39,cashflow汇总预算2026!$D:$D,E$4)</f>
        <v>0</v>
      </c>
      <c r="F39" s="626">
        <f ca="1">SUMIFS(cashflow汇总预算2026!$E:$E,cashflow汇总预算2026!$Q:$Q,$A39,cashflow汇总预算2026!$D:$D,F$4)</f>
        <v>-8000000</v>
      </c>
      <c r="G39" s="626">
        <f ca="1">SUMIFS(cashflow汇总预算2026!$E:$E,cashflow汇总预算2026!$Q:$Q,$A39,cashflow汇总预算2026!$D:$D,G$4)</f>
        <v>0</v>
      </c>
      <c r="H39" s="626">
        <f ca="1">SUMIFS(cashflow汇总预算2026!$E:$E,cashflow汇总预算2026!$Q:$Q,$A39,cashflow汇总预算2026!$D:$D,H$4)</f>
        <v>0</v>
      </c>
      <c r="I39" s="626">
        <f ca="1">SUMIFS(cashflow汇总预算2026!$E:$E,cashflow汇总预算2026!$Q:$Q,$A39,cashflow汇总预算2026!$D:$D,I$4)</f>
        <v>0</v>
      </c>
      <c r="J39" s="626">
        <f ca="1">SUMIFS(cashflow汇总预算2026!$E:$E,cashflow汇总预算2026!$Q:$Q,$A39,cashflow汇总预算2026!$D:$D,J$4)</f>
        <v>0</v>
      </c>
      <c r="K39" s="626">
        <f ca="1">SUMIFS(cashflow汇总预算2026!$E:$E,cashflow汇总预算2026!$Q:$Q,$A39,cashflow汇总预算2026!$D:$D,K$4)</f>
        <v>0</v>
      </c>
      <c r="L39" s="626">
        <f ca="1">SUMIFS(cashflow汇总预算2026!$E:$E,cashflow汇总预算2026!$Q:$Q,$A39,cashflow汇总预算2026!$D:$D,L$4)</f>
        <v>0</v>
      </c>
      <c r="M39" s="626">
        <f ca="1">SUMIFS(cashflow汇总预算2026!$E:$E,cashflow汇总预算2026!$Q:$Q,$A39,cashflow汇总预算2026!$D:$D,M$4)</f>
        <v>0</v>
      </c>
      <c r="N39" s="626">
        <f ca="1">SUMIFS(cashflow汇总预算2026!$E:$E,cashflow汇总预算2026!$Q:$Q,$A39,cashflow汇总预算2026!$D:$D,N$4)</f>
        <v>0</v>
      </c>
      <c r="O39" s="626">
        <f ca="1">SUMIFS(cashflow汇总预算2026!$E:$E,cashflow汇总预算2026!$Q:$Q,$A39,cashflow汇总预算2026!$D:$D,O$4)</f>
        <v>0</v>
      </c>
      <c r="P39" s="626">
        <f ca="1">SUMIFS(cashflow汇总预算2026!$E:$E,cashflow汇总预算2026!$Q:$Q,$A39,cashflow汇总预算2026!$D:$D,P$4)</f>
        <v>0</v>
      </c>
      <c r="Q39" s="626">
        <f t="shared" ref="Q39:Q41" ca="1" si="23">SUM(E39:P39)</f>
        <v>-8000000</v>
      </c>
      <c r="R39" s="626"/>
      <c r="S39" s="630">
        <v>0</v>
      </c>
      <c r="T39" s="630">
        <v>0</v>
      </c>
      <c r="U39" s="630">
        <v>0</v>
      </c>
      <c r="V39" s="630">
        <v>0</v>
      </c>
      <c r="W39" s="630">
        <v>0</v>
      </c>
      <c r="X39" s="630">
        <v>0</v>
      </c>
      <c r="Y39" s="630">
        <v>0</v>
      </c>
      <c r="Z39" s="630">
        <v>0</v>
      </c>
      <c r="AA39" s="630">
        <v>0</v>
      </c>
      <c r="AB39" s="630">
        <v>0</v>
      </c>
      <c r="AC39" s="630">
        <v>0</v>
      </c>
      <c r="AD39" s="630">
        <v>0</v>
      </c>
      <c r="AE39" s="626">
        <f t="shared" si="22"/>
        <v>0</v>
      </c>
    </row>
    <row r="40" spans="1:31" ht="16.5" customHeight="1">
      <c r="A40" s="629" t="str">
        <f>'CF-ACPL（合并）'!A40</f>
        <v>取得子公司及其他营业单位支付的现金净额</v>
      </c>
      <c r="B40" s="623">
        <f t="shared" ca="1" si="11"/>
        <v>0</v>
      </c>
      <c r="C40" s="626">
        <f t="shared" ca="1" si="12"/>
        <v>0</v>
      </c>
      <c r="D40" s="626"/>
      <c r="E40" s="626">
        <f ca="1">SUMIFS(cashflow汇总预算2026!$E:$E,cashflow汇总预算2026!$Q:$Q,$A40,cashflow汇总预算2026!$D:$D,E$4)</f>
        <v>0</v>
      </c>
      <c r="F40" s="626">
        <f ca="1">SUMIFS(cashflow汇总预算2026!$E:$E,cashflow汇总预算2026!$Q:$Q,$A40,cashflow汇总预算2026!$D:$D,F$4)</f>
        <v>0</v>
      </c>
      <c r="G40" s="626">
        <f ca="1">SUMIFS(cashflow汇总预算2026!$E:$E,cashflow汇总预算2026!$Q:$Q,$A40,cashflow汇总预算2026!$D:$D,G$4)</f>
        <v>0</v>
      </c>
      <c r="H40" s="626">
        <f ca="1">SUMIFS(cashflow汇总预算2026!$E:$E,cashflow汇总预算2026!$Q:$Q,$A40,cashflow汇总预算2026!$D:$D,H$4)</f>
        <v>0</v>
      </c>
      <c r="I40" s="626">
        <f ca="1">SUMIFS(cashflow汇总预算2026!$E:$E,cashflow汇总预算2026!$Q:$Q,$A40,cashflow汇总预算2026!$D:$D,I$4)</f>
        <v>0</v>
      </c>
      <c r="J40" s="626">
        <f ca="1">SUMIFS(cashflow汇总预算2026!$E:$E,cashflow汇总预算2026!$Q:$Q,$A40,cashflow汇总预算2026!$D:$D,J$4)</f>
        <v>0</v>
      </c>
      <c r="K40" s="626">
        <f ca="1">SUMIFS(cashflow汇总预算2026!$E:$E,cashflow汇总预算2026!$Q:$Q,$A40,cashflow汇总预算2026!$D:$D,K$4)</f>
        <v>0</v>
      </c>
      <c r="L40" s="626">
        <f ca="1">SUMIFS(cashflow汇总预算2026!$E:$E,cashflow汇总预算2026!$Q:$Q,$A40,cashflow汇总预算2026!$D:$D,L$4)</f>
        <v>0</v>
      </c>
      <c r="M40" s="626">
        <f ca="1">SUMIFS(cashflow汇总预算2026!$E:$E,cashflow汇总预算2026!$Q:$Q,$A40,cashflow汇总预算2026!$D:$D,M$4)</f>
        <v>0</v>
      </c>
      <c r="N40" s="626">
        <f ca="1">SUMIFS(cashflow汇总预算2026!$E:$E,cashflow汇总预算2026!$Q:$Q,$A40,cashflow汇总预算2026!$D:$D,N$4)</f>
        <v>0</v>
      </c>
      <c r="O40" s="626">
        <f ca="1">SUMIFS(cashflow汇总预算2026!$E:$E,cashflow汇总预算2026!$Q:$Q,$A40,cashflow汇总预算2026!$D:$D,O$4)</f>
        <v>0</v>
      </c>
      <c r="P40" s="626">
        <f ca="1">SUMIFS(cashflow汇总预算2026!$E:$E,cashflow汇总预算2026!$Q:$Q,$A40,cashflow汇总预算2026!$D:$D,P$4)</f>
        <v>0</v>
      </c>
      <c r="Q40" s="626">
        <f t="shared" ca="1" si="23"/>
        <v>0</v>
      </c>
      <c r="R40" s="626"/>
      <c r="S40" s="630">
        <v>0</v>
      </c>
      <c r="T40" s="630">
        <v>0</v>
      </c>
      <c r="U40" s="630">
        <v>0</v>
      </c>
      <c r="V40" s="630">
        <v>0</v>
      </c>
      <c r="W40" s="630">
        <v>0</v>
      </c>
      <c r="X40" s="630">
        <v>0</v>
      </c>
      <c r="Y40" s="630">
        <v>0</v>
      </c>
      <c r="Z40" s="630">
        <v>0</v>
      </c>
      <c r="AA40" s="630">
        <v>0</v>
      </c>
      <c r="AB40" s="630">
        <v>0</v>
      </c>
      <c r="AC40" s="630">
        <v>0</v>
      </c>
      <c r="AD40" s="630">
        <v>0</v>
      </c>
      <c r="AE40" s="626">
        <f t="shared" si="22"/>
        <v>0</v>
      </c>
    </row>
    <row r="41" spans="1:31" ht="16.5" customHeight="1">
      <c r="A41" s="629" t="str">
        <f>'CF-ACPL（合并）'!A41</f>
        <v>支付的其他与投资活动有关的现金</v>
      </c>
      <c r="B41" s="623">
        <f t="shared" ca="1" si="11"/>
        <v>0</v>
      </c>
      <c r="C41" s="626">
        <f t="shared" ca="1" si="12"/>
        <v>0</v>
      </c>
      <c r="D41" s="626"/>
      <c r="E41" s="626">
        <f ca="1">SUMIFS(cashflow汇总预算2026!$E:$E,cashflow汇总预算2026!$Q:$Q,$A41,cashflow汇总预算2026!$D:$D,E$4)</f>
        <v>0</v>
      </c>
      <c r="F41" s="626">
        <f ca="1">SUMIFS(cashflow汇总预算2026!$E:$E,cashflow汇总预算2026!$Q:$Q,$A41,cashflow汇总预算2026!$D:$D,F$4)</f>
        <v>0</v>
      </c>
      <c r="G41" s="626">
        <f ca="1">SUMIFS(cashflow汇总预算2026!$E:$E,cashflow汇总预算2026!$Q:$Q,$A41,cashflow汇总预算2026!$D:$D,G$4)</f>
        <v>0</v>
      </c>
      <c r="H41" s="626">
        <f ca="1">SUMIFS(cashflow汇总预算2026!$E:$E,cashflow汇总预算2026!$Q:$Q,$A41,cashflow汇总预算2026!$D:$D,H$4)</f>
        <v>0</v>
      </c>
      <c r="I41" s="626">
        <f ca="1">SUMIFS(cashflow汇总预算2026!$E:$E,cashflow汇总预算2026!$Q:$Q,$A41,cashflow汇总预算2026!$D:$D,I$4)</f>
        <v>0</v>
      </c>
      <c r="J41" s="626">
        <f ca="1">SUMIFS(cashflow汇总预算2026!$E:$E,cashflow汇总预算2026!$Q:$Q,$A41,cashflow汇总预算2026!$D:$D,J$4)</f>
        <v>0</v>
      </c>
      <c r="K41" s="626">
        <f ca="1">SUMIFS(cashflow汇总预算2026!$E:$E,cashflow汇总预算2026!$Q:$Q,$A41,cashflow汇总预算2026!$D:$D,K$4)</f>
        <v>0</v>
      </c>
      <c r="L41" s="626">
        <f ca="1">SUMIFS(cashflow汇总预算2026!$E:$E,cashflow汇总预算2026!$Q:$Q,$A41,cashflow汇总预算2026!$D:$D,L$4)</f>
        <v>0</v>
      </c>
      <c r="M41" s="626">
        <f ca="1">SUMIFS(cashflow汇总预算2026!$E:$E,cashflow汇总预算2026!$Q:$Q,$A41,cashflow汇总预算2026!$D:$D,M$4)</f>
        <v>0</v>
      </c>
      <c r="N41" s="626">
        <f ca="1">SUMIFS(cashflow汇总预算2026!$E:$E,cashflow汇总预算2026!$Q:$Q,$A41,cashflow汇总预算2026!$D:$D,N$4)</f>
        <v>0</v>
      </c>
      <c r="O41" s="626">
        <f ca="1">SUMIFS(cashflow汇总预算2026!$E:$E,cashflow汇总预算2026!$Q:$Q,$A41,cashflow汇总预算2026!$D:$D,O$4)</f>
        <v>0</v>
      </c>
      <c r="P41" s="626">
        <f ca="1">SUMIFS(cashflow汇总预算2026!$E:$E,cashflow汇总预算2026!$Q:$Q,$A41,cashflow汇总预算2026!$D:$D,P$4)</f>
        <v>0</v>
      </c>
      <c r="Q41" s="626">
        <f t="shared" ca="1" si="23"/>
        <v>0</v>
      </c>
      <c r="R41" s="626"/>
      <c r="S41" s="630">
        <v>0</v>
      </c>
      <c r="T41" s="630">
        <v>0</v>
      </c>
      <c r="U41" s="630">
        <v>0</v>
      </c>
      <c r="V41" s="630">
        <v>0</v>
      </c>
      <c r="W41" s="630">
        <v>0</v>
      </c>
      <c r="X41" s="630">
        <v>0</v>
      </c>
      <c r="Y41" s="630">
        <v>0</v>
      </c>
      <c r="Z41" s="630">
        <v>0</v>
      </c>
      <c r="AA41" s="630">
        <v>0</v>
      </c>
      <c r="AB41" s="630">
        <v>0</v>
      </c>
      <c r="AC41" s="630">
        <v>0</v>
      </c>
      <c r="AD41" s="630">
        <v>0</v>
      </c>
      <c r="AE41" s="626">
        <f t="shared" si="22"/>
        <v>0</v>
      </c>
    </row>
    <row r="42" spans="1:31" s="601" customFormat="1" ht="16.5" customHeight="1">
      <c r="A42" s="608" t="str">
        <f>'CF-ACPL（合并）'!A42</f>
        <v>投资活动产生的现金流量净额</v>
      </c>
      <c r="B42" s="634">
        <f t="shared" ca="1" si="11"/>
        <v>11924000</v>
      </c>
      <c r="C42" s="634">
        <f t="shared" ca="1" si="12"/>
        <v>11924000</v>
      </c>
      <c r="D42" s="634"/>
      <c r="E42" s="622">
        <f ca="1">E31+E37</f>
        <v>11924000</v>
      </c>
      <c r="F42" s="622">
        <f ca="1">F31+F37</f>
        <v>8500000</v>
      </c>
      <c r="G42" s="622">
        <f ca="1">G31+G37</f>
        <v>0</v>
      </c>
      <c r="H42" s="622">
        <f t="shared" ref="H42:P42" ca="1" si="24">H31+H37</f>
        <v>4505000</v>
      </c>
      <c r="I42" s="622">
        <f t="shared" ca="1" si="24"/>
        <v>0</v>
      </c>
      <c r="J42" s="622">
        <f t="shared" ca="1" si="24"/>
        <v>0</v>
      </c>
      <c r="K42" s="622">
        <f t="shared" ca="1" si="24"/>
        <v>0</v>
      </c>
      <c r="L42" s="622">
        <f t="shared" ca="1" si="24"/>
        <v>0</v>
      </c>
      <c r="M42" s="622">
        <f t="shared" ca="1" si="24"/>
        <v>0</v>
      </c>
      <c r="N42" s="622">
        <f t="shared" ca="1" si="24"/>
        <v>0</v>
      </c>
      <c r="O42" s="622">
        <f t="shared" ca="1" si="24"/>
        <v>0</v>
      </c>
      <c r="P42" s="622">
        <f t="shared" ca="1" si="24"/>
        <v>0</v>
      </c>
      <c r="Q42" s="622">
        <f t="shared" ref="Q42" ca="1" si="25">Q31+Q37</f>
        <v>24929000</v>
      </c>
      <c r="R42" s="623"/>
      <c r="S42" s="622">
        <f t="shared" ref="S42:AE42" si="26">S31-S37</f>
        <v>0</v>
      </c>
      <c r="T42" s="622">
        <f t="shared" si="26"/>
        <v>0</v>
      </c>
      <c r="U42" s="622">
        <f t="shared" si="26"/>
        <v>0</v>
      </c>
      <c r="V42" s="622">
        <f t="shared" si="26"/>
        <v>0</v>
      </c>
      <c r="W42" s="622">
        <f t="shared" si="26"/>
        <v>0</v>
      </c>
      <c r="X42" s="622">
        <f t="shared" si="26"/>
        <v>0</v>
      </c>
      <c r="Y42" s="622">
        <f t="shared" si="26"/>
        <v>0</v>
      </c>
      <c r="Z42" s="622">
        <f t="shared" si="26"/>
        <v>0</v>
      </c>
      <c r="AA42" s="622">
        <f t="shared" si="26"/>
        <v>0</v>
      </c>
      <c r="AB42" s="622">
        <f t="shared" si="26"/>
        <v>0</v>
      </c>
      <c r="AC42" s="622">
        <f t="shared" si="26"/>
        <v>0</v>
      </c>
      <c r="AD42" s="622">
        <f t="shared" si="26"/>
        <v>0</v>
      </c>
      <c r="AE42" s="622">
        <f t="shared" si="26"/>
        <v>0</v>
      </c>
    </row>
    <row r="43" spans="1:31" ht="16.5" customHeight="1">
      <c r="A43" s="629"/>
      <c r="B43" s="633"/>
      <c r="C43" s="633"/>
      <c r="D43" s="633"/>
      <c r="E43" s="626"/>
      <c r="F43" s="626"/>
      <c r="G43" s="626"/>
      <c r="H43" s="626"/>
      <c r="I43" s="626"/>
      <c r="J43" s="626"/>
      <c r="K43" s="626"/>
      <c r="L43" s="626"/>
      <c r="M43" s="626"/>
      <c r="N43" s="626"/>
      <c r="O43" s="626"/>
      <c r="P43" s="626"/>
      <c r="Q43" s="626"/>
      <c r="R43" s="626"/>
      <c r="S43" s="626"/>
      <c r="T43" s="626"/>
      <c r="U43" s="626"/>
      <c r="V43" s="626"/>
      <c r="W43" s="626"/>
      <c r="X43" s="626"/>
      <c r="Y43" s="626"/>
      <c r="Z43" s="626"/>
      <c r="AA43" s="626"/>
      <c r="AB43" s="626"/>
      <c r="AC43" s="626"/>
      <c r="AD43" s="626"/>
      <c r="AE43" s="626"/>
    </row>
    <row r="44" spans="1:31" s="603" customFormat="1" ht="16.5" customHeight="1">
      <c r="A44" s="627" t="str">
        <f>'CF-ACPL（合并）'!A44</f>
        <v>筹资活动现金流入小计</v>
      </c>
      <c r="B44" s="628">
        <f t="shared" ref="B44:B52" ca="1" si="27">INDEX($E44:$P44,1,MATCH($B$4,$E$4:$P$4))</f>
        <v>0</v>
      </c>
      <c r="C44" s="628">
        <f t="shared" ref="C44:C52" ca="1" si="28">SUM($E44:OFFSET($E44,0,MATCH($C$4,$E$4:$P$4)-1))</f>
        <v>0</v>
      </c>
      <c r="D44" s="628"/>
      <c r="E44" s="628">
        <f ca="1">SUM(E45:E47)</f>
        <v>0</v>
      </c>
      <c r="F44" s="628">
        <f t="shared" ref="F44:Q44" ca="1" si="29">SUM(F45:F47)</f>
        <v>0</v>
      </c>
      <c r="G44" s="628">
        <f t="shared" ca="1" si="29"/>
        <v>0</v>
      </c>
      <c r="H44" s="628">
        <f t="shared" ca="1" si="29"/>
        <v>0</v>
      </c>
      <c r="I44" s="628">
        <f t="shared" ca="1" si="29"/>
        <v>0</v>
      </c>
      <c r="J44" s="628">
        <f t="shared" ca="1" si="29"/>
        <v>0</v>
      </c>
      <c r="K44" s="628">
        <f t="shared" ca="1" si="29"/>
        <v>0</v>
      </c>
      <c r="L44" s="628">
        <f t="shared" ca="1" si="29"/>
        <v>522620.18885999999</v>
      </c>
      <c r="M44" s="628">
        <f t="shared" ca="1" si="29"/>
        <v>524658.07085999998</v>
      </c>
      <c r="N44" s="628">
        <f t="shared" ca="1" si="29"/>
        <v>0</v>
      </c>
      <c r="O44" s="628">
        <f t="shared" ca="1" si="29"/>
        <v>438343.49053000001</v>
      </c>
      <c r="P44" s="628">
        <f t="shared" ca="1" si="29"/>
        <v>522620.18885999999</v>
      </c>
      <c r="Q44" s="628">
        <f t="shared" ca="1" si="29"/>
        <v>2008241.9391100002</v>
      </c>
      <c r="R44" s="623"/>
      <c r="S44" s="628">
        <f t="shared" ref="S44:AE44" si="30">SUM(S45:S47)</f>
        <v>0</v>
      </c>
      <c r="T44" s="628">
        <f t="shared" si="30"/>
        <v>0</v>
      </c>
      <c r="U44" s="628">
        <f t="shared" si="30"/>
        <v>0</v>
      </c>
      <c r="V44" s="628">
        <f t="shared" si="30"/>
        <v>0</v>
      </c>
      <c r="W44" s="628">
        <f t="shared" si="30"/>
        <v>0</v>
      </c>
      <c r="X44" s="628">
        <f t="shared" si="30"/>
        <v>0</v>
      </c>
      <c r="Y44" s="628">
        <f t="shared" si="30"/>
        <v>0</v>
      </c>
      <c r="Z44" s="628">
        <f t="shared" si="30"/>
        <v>0</v>
      </c>
      <c r="AA44" s="628">
        <f t="shared" si="30"/>
        <v>0</v>
      </c>
      <c r="AB44" s="628">
        <f t="shared" si="30"/>
        <v>0</v>
      </c>
      <c r="AC44" s="628">
        <f t="shared" si="30"/>
        <v>0</v>
      </c>
      <c r="AD44" s="628">
        <f t="shared" si="30"/>
        <v>0</v>
      </c>
      <c r="AE44" s="628">
        <f t="shared" si="30"/>
        <v>0</v>
      </c>
    </row>
    <row r="45" spans="1:31" ht="16.5" customHeight="1">
      <c r="A45" s="629" t="str">
        <f>'CF-ACPL（合并）'!A45</f>
        <v>吸收投资所收到的现金</v>
      </c>
      <c r="B45" s="623">
        <f t="shared" ca="1" si="27"/>
        <v>0</v>
      </c>
      <c r="C45" s="626">
        <f t="shared" ca="1" si="28"/>
        <v>0</v>
      </c>
      <c r="D45" s="626"/>
      <c r="E45" s="626">
        <f ca="1">SUMIFS(cashflow汇总预算2026!$E:$E,cashflow汇总预算2026!$Q:$Q,$A45,cashflow汇总预算2026!$D:$D,E$4)</f>
        <v>0</v>
      </c>
      <c r="F45" s="626">
        <f ca="1">SUMIFS(cashflow汇总预算2026!$E:$E,cashflow汇总预算2026!$Q:$Q,$A45,cashflow汇总预算2026!$D:$D,F$4)</f>
        <v>0</v>
      </c>
      <c r="G45" s="626">
        <f ca="1">SUMIFS(cashflow汇总预算2026!$E:$E,cashflow汇总预算2026!$Q:$Q,$A45,cashflow汇总预算2026!$D:$D,G$4)</f>
        <v>0</v>
      </c>
      <c r="H45" s="626">
        <f ca="1">SUMIFS(cashflow汇总预算2026!$E:$E,cashflow汇总预算2026!$Q:$Q,$A45,cashflow汇总预算2026!$D:$D,H$4)</f>
        <v>0</v>
      </c>
      <c r="I45" s="626">
        <f ca="1">SUMIFS(cashflow汇总预算2026!$E:$E,cashflow汇总预算2026!$Q:$Q,$A45,cashflow汇总预算2026!$D:$D,I$4)</f>
        <v>0</v>
      </c>
      <c r="J45" s="626">
        <f ca="1">SUMIFS(cashflow汇总预算2026!$E:$E,cashflow汇总预算2026!$Q:$Q,$A45,cashflow汇总预算2026!$D:$D,J$4)</f>
        <v>0</v>
      </c>
      <c r="K45" s="626">
        <f ca="1">SUMIFS(cashflow汇总预算2026!$E:$E,cashflow汇总预算2026!$Q:$Q,$A45,cashflow汇总预算2026!$D:$D,K$4)</f>
        <v>0</v>
      </c>
      <c r="L45" s="626">
        <f ca="1">SUMIFS(cashflow汇总预算2026!$E:$E,cashflow汇总预算2026!$Q:$Q,$A45,cashflow汇总预算2026!$D:$D,L$4)</f>
        <v>0</v>
      </c>
      <c r="M45" s="626">
        <f ca="1">SUMIFS(cashflow汇总预算2026!$E:$E,cashflow汇总预算2026!$Q:$Q,$A45,cashflow汇总预算2026!$D:$D,M$4)</f>
        <v>0</v>
      </c>
      <c r="N45" s="626">
        <f ca="1">SUMIFS(cashflow汇总预算2026!$E:$E,cashflow汇总预算2026!$Q:$Q,$A45,cashflow汇总预算2026!$D:$D,N$4)</f>
        <v>0</v>
      </c>
      <c r="O45" s="626">
        <f ca="1">SUMIFS(cashflow汇总预算2026!$E:$E,cashflow汇总预算2026!$Q:$Q,$A45,cashflow汇总预算2026!$D:$D,O$4)</f>
        <v>0</v>
      </c>
      <c r="P45" s="626">
        <f ca="1">SUMIFS(cashflow汇总预算2026!$E:$E,cashflow汇总预算2026!$Q:$Q,$A45,cashflow汇总预算2026!$D:$D,P$4)</f>
        <v>0</v>
      </c>
      <c r="Q45" s="626">
        <f t="shared" ref="Q45:Q47" ca="1" si="31">SUM(E45:P45)</f>
        <v>0</v>
      </c>
      <c r="R45" s="626"/>
      <c r="S45" s="630">
        <v>0</v>
      </c>
      <c r="T45" s="630">
        <v>0</v>
      </c>
      <c r="U45" s="630">
        <v>0</v>
      </c>
      <c r="V45" s="630">
        <v>0</v>
      </c>
      <c r="W45" s="630">
        <v>0</v>
      </c>
      <c r="X45" s="630">
        <v>0</v>
      </c>
      <c r="Y45" s="630">
        <v>0</v>
      </c>
      <c r="Z45" s="630">
        <v>0</v>
      </c>
      <c r="AA45" s="630">
        <v>0</v>
      </c>
      <c r="AB45" s="630">
        <v>0</v>
      </c>
      <c r="AC45" s="630">
        <v>0</v>
      </c>
      <c r="AD45" s="630">
        <v>0</v>
      </c>
      <c r="AE45" s="626">
        <f t="shared" ref="AE45:AE47" si="32">SUM(S45:AD45)</f>
        <v>0</v>
      </c>
    </row>
    <row r="46" spans="1:31" ht="16.5" customHeight="1">
      <c r="A46" s="629" t="str">
        <f>'CF-ACPL（合并）'!A46</f>
        <v>取得借款所收到的现金</v>
      </c>
      <c r="B46" s="623">
        <f t="shared" ca="1" si="27"/>
        <v>0</v>
      </c>
      <c r="C46" s="626">
        <f t="shared" ca="1" si="28"/>
        <v>0</v>
      </c>
      <c r="D46" s="626"/>
      <c r="E46" s="626">
        <f ca="1">SUMIFS(cashflow汇总预算2026!$E:$E,cashflow汇总预算2026!$Q:$Q,$A46,cashflow汇总预算2026!$D:$D,E$4)</f>
        <v>0</v>
      </c>
      <c r="F46" s="626">
        <f ca="1">SUMIFS(cashflow汇总预算2026!$E:$E,cashflow汇总预算2026!$Q:$Q,$A46,cashflow汇总预算2026!$D:$D,F$4)</f>
        <v>0</v>
      </c>
      <c r="G46" s="626">
        <f ca="1">SUMIFS(cashflow汇总预算2026!$E:$E,cashflow汇总预算2026!$Q:$Q,$A46,cashflow汇总预算2026!$D:$D,G$4)</f>
        <v>0</v>
      </c>
      <c r="H46" s="626">
        <f ca="1">SUMIFS(cashflow汇总预算2026!$E:$E,cashflow汇总预算2026!$Q:$Q,$A46,cashflow汇总预算2026!$D:$D,H$4)</f>
        <v>0</v>
      </c>
      <c r="I46" s="626">
        <f ca="1">SUMIFS(cashflow汇总预算2026!$E:$E,cashflow汇总预算2026!$Q:$Q,$A46,cashflow汇总预算2026!$D:$D,I$4)</f>
        <v>0</v>
      </c>
      <c r="J46" s="626">
        <f ca="1">SUMIFS(cashflow汇总预算2026!$E:$E,cashflow汇总预算2026!$Q:$Q,$A46,cashflow汇总预算2026!$D:$D,J$4)</f>
        <v>0</v>
      </c>
      <c r="K46" s="626">
        <f ca="1">SUMIFS(cashflow汇总预算2026!$E:$E,cashflow汇总预算2026!$Q:$Q,$A46,cashflow汇总预算2026!$D:$D,K$4)</f>
        <v>0</v>
      </c>
      <c r="L46" s="626">
        <f ca="1">SUMIFS(cashflow汇总预算2026!$E:$E,cashflow汇总预算2026!$Q:$Q,$A46,cashflow汇总预算2026!$D:$D,L$4)</f>
        <v>0</v>
      </c>
      <c r="M46" s="626">
        <f ca="1">SUMIFS(cashflow汇总预算2026!$E:$E,cashflow汇总预算2026!$Q:$Q,$A46,cashflow汇总预算2026!$D:$D,M$4)</f>
        <v>0</v>
      </c>
      <c r="N46" s="626">
        <f ca="1">SUMIFS(cashflow汇总预算2026!$E:$E,cashflow汇总预算2026!$Q:$Q,$A46,cashflow汇总预算2026!$D:$D,N$4)</f>
        <v>0</v>
      </c>
      <c r="O46" s="626">
        <f ca="1">SUMIFS(cashflow汇总预算2026!$E:$E,cashflow汇总预算2026!$Q:$Q,$A46,cashflow汇总预算2026!$D:$D,O$4)</f>
        <v>0</v>
      </c>
      <c r="P46" s="626">
        <f ca="1">SUMIFS(cashflow汇总预算2026!$E:$E,cashflow汇总预算2026!$Q:$Q,$A46,cashflow汇总预算2026!$D:$D,P$4)</f>
        <v>0</v>
      </c>
      <c r="Q46" s="626">
        <f t="shared" ca="1" si="31"/>
        <v>0</v>
      </c>
      <c r="R46" s="626"/>
      <c r="S46" s="630">
        <v>0</v>
      </c>
      <c r="T46" s="630">
        <v>0</v>
      </c>
      <c r="U46" s="630">
        <v>0</v>
      </c>
      <c r="V46" s="630">
        <v>0</v>
      </c>
      <c r="W46" s="630">
        <v>0</v>
      </c>
      <c r="X46" s="630">
        <v>0</v>
      </c>
      <c r="Y46" s="630">
        <v>0</v>
      </c>
      <c r="Z46" s="630">
        <v>0</v>
      </c>
      <c r="AA46" s="630">
        <v>0</v>
      </c>
      <c r="AB46" s="630">
        <v>0</v>
      </c>
      <c r="AC46" s="630">
        <v>0</v>
      </c>
      <c r="AD46" s="630">
        <v>0</v>
      </c>
      <c r="AE46" s="626">
        <f t="shared" si="32"/>
        <v>0</v>
      </c>
    </row>
    <row r="47" spans="1:31" ht="16.5" customHeight="1">
      <c r="A47" s="629" t="str">
        <f>'CF-ACPL（合并）'!A47</f>
        <v>收到的其他与筹资活动有关的现金</v>
      </c>
      <c r="B47" s="623">
        <f t="shared" ca="1" si="27"/>
        <v>0</v>
      </c>
      <c r="C47" s="626">
        <f t="shared" ca="1" si="28"/>
        <v>0</v>
      </c>
      <c r="D47" s="626"/>
      <c r="E47" s="626">
        <f ca="1">SUMIFS(cashflow汇总预算2026!$E:$E,cashflow汇总预算2026!$Q:$Q,$A47,cashflow汇总预算2026!$D:$D,E$4)</f>
        <v>0</v>
      </c>
      <c r="F47" s="626">
        <f ca="1">SUMIFS(cashflow汇总预算2026!$E:$E,cashflow汇总预算2026!$Q:$Q,$A47,cashflow汇总预算2026!$D:$D,F$4)</f>
        <v>0</v>
      </c>
      <c r="G47" s="626">
        <f ca="1">SUMIFS(cashflow汇总预算2026!$E:$E,cashflow汇总预算2026!$Q:$Q,$A47,cashflow汇总预算2026!$D:$D,G$4)</f>
        <v>0</v>
      </c>
      <c r="H47" s="626">
        <f ca="1">SUMIFS(cashflow汇总预算2026!$E:$E,cashflow汇总预算2026!$Q:$Q,$A47,cashflow汇总预算2026!$D:$D,H$4)</f>
        <v>0</v>
      </c>
      <c r="I47" s="626">
        <f ca="1">SUMIFS(cashflow汇总预算2026!$E:$E,cashflow汇总预算2026!$Q:$Q,$A47,cashflow汇总预算2026!$D:$D,I$4)</f>
        <v>0</v>
      </c>
      <c r="J47" s="626">
        <f ca="1">SUMIFS(cashflow汇总预算2026!$E:$E,cashflow汇总预算2026!$Q:$Q,$A47,cashflow汇总预算2026!$D:$D,J$4)</f>
        <v>0</v>
      </c>
      <c r="K47" s="626">
        <f ca="1">SUMIFS(cashflow汇总预算2026!$E:$E,cashflow汇总预算2026!$Q:$Q,$A47,cashflow汇总预算2026!$D:$D,K$4)</f>
        <v>0</v>
      </c>
      <c r="L47" s="626">
        <f ca="1">SUMIFS(cashflow汇总预算2026!$E:$E,cashflow汇总预算2026!$Q:$Q,$A47,cashflow汇总预算2026!$D:$D,L$4)</f>
        <v>522620.18885999999</v>
      </c>
      <c r="M47" s="626">
        <f ca="1">SUMIFS(cashflow汇总预算2026!$E:$E,cashflow汇总预算2026!$Q:$Q,$A47,cashflow汇总预算2026!$D:$D,M$4)</f>
        <v>524658.07085999998</v>
      </c>
      <c r="N47" s="626">
        <f ca="1">SUMIFS(cashflow汇总预算2026!$E:$E,cashflow汇总预算2026!$Q:$Q,$A47,cashflow汇总预算2026!$D:$D,N$4)</f>
        <v>0</v>
      </c>
      <c r="O47" s="626">
        <f ca="1">SUMIFS(cashflow汇总预算2026!$E:$E,cashflow汇总预算2026!$Q:$Q,$A47,cashflow汇总预算2026!$D:$D,O$4)</f>
        <v>438343.49053000001</v>
      </c>
      <c r="P47" s="626">
        <f ca="1">SUMIFS(cashflow汇总预算2026!$E:$E,cashflow汇总预算2026!$Q:$Q,$A47,cashflow汇总预算2026!$D:$D,P$4)</f>
        <v>522620.18885999999</v>
      </c>
      <c r="Q47" s="626">
        <f t="shared" ca="1" si="31"/>
        <v>2008241.9391100002</v>
      </c>
      <c r="R47" s="626"/>
      <c r="S47" s="630">
        <v>0</v>
      </c>
      <c r="T47" s="630">
        <v>0</v>
      </c>
      <c r="U47" s="630">
        <v>0</v>
      </c>
      <c r="V47" s="630">
        <v>0</v>
      </c>
      <c r="W47" s="630">
        <v>0</v>
      </c>
      <c r="X47" s="630">
        <v>0</v>
      </c>
      <c r="Y47" s="630">
        <v>0</v>
      </c>
      <c r="Z47" s="630">
        <v>0</v>
      </c>
      <c r="AA47" s="630">
        <v>0</v>
      </c>
      <c r="AB47" s="630">
        <v>0</v>
      </c>
      <c r="AC47" s="630">
        <v>0</v>
      </c>
      <c r="AD47" s="630">
        <v>0</v>
      </c>
      <c r="AE47" s="626">
        <f t="shared" si="32"/>
        <v>0</v>
      </c>
    </row>
    <row r="48" spans="1:31" s="605" customFormat="1" ht="16.5" customHeight="1">
      <c r="A48" s="635" t="str">
        <f>'CF-ACPL（合并）'!A48</f>
        <v>筹资活动现金流出小计</v>
      </c>
      <c r="B48" s="636">
        <f t="shared" ca="1" si="27"/>
        <v>-1900000</v>
      </c>
      <c r="C48" s="636">
        <f t="shared" ca="1" si="28"/>
        <v>-1900000</v>
      </c>
      <c r="D48" s="636"/>
      <c r="E48" s="636">
        <f ca="1">SUM(E49:E51)</f>
        <v>-1900000</v>
      </c>
      <c r="F48" s="636">
        <f t="shared" ref="F48:Q48" ca="1" si="33">SUM(F49:F51)</f>
        <v>-15600000</v>
      </c>
      <c r="G48" s="636">
        <f t="shared" ca="1" si="33"/>
        <v>-557979.1830391665</v>
      </c>
      <c r="H48" s="636">
        <f t="shared" ca="1" si="33"/>
        <v>-1353639.1830391667</v>
      </c>
      <c r="I48" s="636">
        <f t="shared" ca="1" si="33"/>
        <v>-673968.98303916643</v>
      </c>
      <c r="J48" s="636">
        <f t="shared" ca="1" si="33"/>
        <v>-524347.86303916667</v>
      </c>
      <c r="K48" s="636">
        <f t="shared" ca="1" si="33"/>
        <v>-445479.18303916662</v>
      </c>
      <c r="L48" s="636">
        <f t="shared" ca="1" si="33"/>
        <v>0</v>
      </c>
      <c r="M48" s="636">
        <f t="shared" ca="1" si="33"/>
        <v>0</v>
      </c>
      <c r="N48" s="636">
        <f t="shared" ca="1" si="33"/>
        <v>-408711.77316955512</v>
      </c>
      <c r="O48" s="636">
        <f t="shared" ca="1" si="33"/>
        <v>0</v>
      </c>
      <c r="P48" s="636">
        <f t="shared" ca="1" si="33"/>
        <v>0</v>
      </c>
      <c r="Q48" s="636">
        <f t="shared" ca="1" si="33"/>
        <v>-21464126.168365385</v>
      </c>
      <c r="R48" s="623"/>
      <c r="S48" s="636">
        <f t="shared" ref="S48:AE48" si="34">SUM(S49:S51)</f>
        <v>0</v>
      </c>
      <c r="T48" s="636">
        <f t="shared" si="34"/>
        <v>0</v>
      </c>
      <c r="U48" s="636">
        <f t="shared" si="34"/>
        <v>0</v>
      </c>
      <c r="V48" s="636">
        <f t="shared" si="34"/>
        <v>0</v>
      </c>
      <c r="W48" s="636">
        <f t="shared" si="34"/>
        <v>0</v>
      </c>
      <c r="X48" s="636">
        <f t="shared" si="34"/>
        <v>0</v>
      </c>
      <c r="Y48" s="636">
        <f t="shared" si="34"/>
        <v>0</v>
      </c>
      <c r="Z48" s="636">
        <f t="shared" si="34"/>
        <v>0</v>
      </c>
      <c r="AA48" s="636">
        <f t="shared" si="34"/>
        <v>0</v>
      </c>
      <c r="AB48" s="636">
        <f t="shared" si="34"/>
        <v>0</v>
      </c>
      <c r="AC48" s="636">
        <f t="shared" si="34"/>
        <v>0</v>
      </c>
      <c r="AD48" s="636">
        <f t="shared" si="34"/>
        <v>0</v>
      </c>
      <c r="AE48" s="636">
        <f t="shared" si="34"/>
        <v>0</v>
      </c>
    </row>
    <row r="49" spans="1:33" ht="16.5" customHeight="1">
      <c r="A49" s="629" t="str">
        <f>'CF-ACPL（合并）'!A49</f>
        <v>偿还债务所支付的现金</v>
      </c>
      <c r="B49" s="623">
        <f t="shared" ca="1" si="27"/>
        <v>0</v>
      </c>
      <c r="C49" s="626">
        <f t="shared" ca="1" si="28"/>
        <v>0</v>
      </c>
      <c r="D49" s="626"/>
      <c r="E49" s="626">
        <f ca="1">SUMIFS(cashflow汇总预算2026!$E:$E,cashflow汇总预算2026!$Q:$Q,$A49,cashflow汇总预算2026!$D:$D,E$4)</f>
        <v>0</v>
      </c>
      <c r="F49" s="626">
        <f ca="1">SUMIFS(cashflow汇总预算2026!$E:$E,cashflow汇总预算2026!$Q:$Q,$A49,cashflow汇总预算2026!$D:$D,F$4)</f>
        <v>0</v>
      </c>
      <c r="G49" s="626">
        <f ca="1">SUMIFS(cashflow汇总预算2026!$E:$E,cashflow汇总预算2026!$Q:$Q,$A49,cashflow汇总预算2026!$D:$D,G$4)</f>
        <v>0</v>
      </c>
      <c r="H49" s="626">
        <f ca="1">SUMIFS(cashflow汇总预算2026!$E:$E,cashflow汇总预算2026!$Q:$Q,$A49,cashflow汇总预算2026!$D:$D,H$4)</f>
        <v>0</v>
      </c>
      <c r="I49" s="626">
        <f ca="1">SUMIFS(cashflow汇总预算2026!$E:$E,cashflow汇总预算2026!$Q:$Q,$A49,cashflow汇总预算2026!$D:$D,I$4)</f>
        <v>0</v>
      </c>
      <c r="J49" s="626">
        <f ca="1">SUMIFS(cashflow汇总预算2026!$E:$E,cashflow汇总预算2026!$Q:$Q,$A49,cashflow汇总预算2026!$D:$D,J$4)</f>
        <v>0</v>
      </c>
      <c r="K49" s="626">
        <f ca="1">SUMIFS(cashflow汇总预算2026!$E:$E,cashflow汇总预算2026!$Q:$Q,$A49,cashflow汇总预算2026!$D:$D,K$4)</f>
        <v>0</v>
      </c>
      <c r="L49" s="626">
        <f ca="1">SUMIFS(cashflow汇总预算2026!$E:$E,cashflow汇总预算2026!$Q:$Q,$A49,cashflow汇总预算2026!$D:$D,L$4)</f>
        <v>0</v>
      </c>
      <c r="M49" s="626">
        <f ca="1">SUMIFS(cashflow汇总预算2026!$E:$E,cashflow汇总预算2026!$Q:$Q,$A49,cashflow汇总预算2026!$D:$D,M$4)</f>
        <v>0</v>
      </c>
      <c r="N49" s="626">
        <f ca="1">SUMIFS(cashflow汇总预算2026!$E:$E,cashflow汇总预算2026!$Q:$Q,$A49,cashflow汇总预算2026!$D:$D,N$4)</f>
        <v>0</v>
      </c>
      <c r="O49" s="626">
        <f ca="1">SUMIFS(cashflow汇总预算2026!$E:$E,cashflow汇总预算2026!$Q:$Q,$A49,cashflow汇总预算2026!$D:$D,O$4)</f>
        <v>0</v>
      </c>
      <c r="P49" s="626">
        <f ca="1">SUMIFS(cashflow汇总预算2026!$E:$E,cashflow汇总预算2026!$Q:$Q,$A49,cashflow汇总预算2026!$D:$D,P$4)</f>
        <v>0</v>
      </c>
      <c r="Q49" s="626">
        <f t="shared" ref="Q49:Q51" ca="1" si="35">SUM(E49:P49)</f>
        <v>0</v>
      </c>
      <c r="R49" s="626"/>
      <c r="S49" s="626"/>
      <c r="T49" s="626"/>
      <c r="U49" s="626"/>
      <c r="V49" s="626"/>
      <c r="W49" s="626"/>
      <c r="X49" s="626"/>
      <c r="Y49" s="626"/>
      <c r="Z49" s="626"/>
      <c r="AA49" s="626"/>
      <c r="AB49" s="626"/>
      <c r="AC49" s="626"/>
      <c r="AD49" s="626"/>
      <c r="AE49" s="626">
        <f t="shared" ref="AE49:AE51" si="36">SUM(S49:AD49)</f>
        <v>0</v>
      </c>
    </row>
    <row r="50" spans="1:33" ht="15" customHeight="1">
      <c r="A50" s="629" t="str">
        <f>'CF-ACPL（合并）'!A50</f>
        <v>分配股利、利润或偿付利息支付的现金</v>
      </c>
      <c r="B50" s="623">
        <f t="shared" ca="1" si="27"/>
        <v>0</v>
      </c>
      <c r="C50" s="626">
        <f t="shared" ca="1" si="28"/>
        <v>0</v>
      </c>
      <c r="D50" s="626"/>
      <c r="E50" s="626">
        <f ca="1">SUMIFS(cashflow汇总预算2026!$E:$E,cashflow汇总预算2026!$Q:$Q,$A50,cashflow汇总预算2026!$D:$D,E$4)</f>
        <v>0</v>
      </c>
      <c r="F50" s="626">
        <f ca="1">SUMIFS(cashflow汇总预算2026!$E:$E,cashflow汇总预算2026!$Q:$Q,$A50,cashflow汇总预算2026!$D:$D,F$4)</f>
        <v>0</v>
      </c>
      <c r="G50" s="626">
        <f ca="1">SUMIFS(cashflow汇总预算2026!$E:$E,cashflow汇总预算2026!$Q:$Q,$A50,cashflow汇总预算2026!$D:$D,G$4)</f>
        <v>0</v>
      </c>
      <c r="H50" s="626">
        <f ca="1">SUMIFS(cashflow汇总预算2026!$E:$E,cashflow汇总预算2026!$Q:$Q,$A50,cashflow汇总预算2026!$D:$D,H$4)</f>
        <v>0</v>
      </c>
      <c r="I50" s="626">
        <f ca="1">SUMIFS(cashflow汇总预算2026!$E:$E,cashflow汇总预算2026!$Q:$Q,$A50,cashflow汇总预算2026!$D:$D,I$4)</f>
        <v>0</v>
      </c>
      <c r="J50" s="626">
        <f ca="1">SUMIFS(cashflow汇总预算2026!$E:$E,cashflow汇总预算2026!$Q:$Q,$A50,cashflow汇总预算2026!$D:$D,J$4)</f>
        <v>0</v>
      </c>
      <c r="K50" s="626">
        <f ca="1">SUMIFS(cashflow汇总预算2026!$E:$E,cashflow汇总预算2026!$Q:$Q,$A50,cashflow汇总预算2026!$D:$D,K$4)</f>
        <v>0</v>
      </c>
      <c r="L50" s="626">
        <f ca="1">SUMIFS(cashflow汇总预算2026!$E:$E,cashflow汇总预算2026!$Q:$Q,$A50,cashflow汇总预算2026!$D:$D,L$4)</f>
        <v>0</v>
      </c>
      <c r="M50" s="626">
        <f ca="1">SUMIFS(cashflow汇总预算2026!$E:$E,cashflow汇总预算2026!$Q:$Q,$A50,cashflow汇总预算2026!$D:$D,M$4)</f>
        <v>0</v>
      </c>
      <c r="N50" s="626">
        <f ca="1">SUMIFS(cashflow汇总预算2026!$E:$E,cashflow汇总预算2026!$Q:$Q,$A50,cashflow汇总预算2026!$D:$D,N$4)</f>
        <v>0</v>
      </c>
      <c r="O50" s="626">
        <f ca="1">SUMIFS(cashflow汇总预算2026!$E:$E,cashflow汇总预算2026!$Q:$Q,$A50,cashflow汇总预算2026!$D:$D,O$4)</f>
        <v>0</v>
      </c>
      <c r="P50" s="626">
        <f ca="1">SUMIFS(cashflow汇总预算2026!$E:$E,cashflow汇总预算2026!$Q:$Q,$A50,cashflow汇总预算2026!$D:$D,P$4)</f>
        <v>0</v>
      </c>
      <c r="Q50" s="626">
        <f t="shared" ca="1" si="35"/>
        <v>0</v>
      </c>
      <c r="R50" s="626"/>
      <c r="S50" s="626"/>
      <c r="T50" s="626"/>
      <c r="U50" s="626"/>
      <c r="V50" s="626"/>
      <c r="W50" s="626"/>
      <c r="X50" s="626"/>
      <c r="Y50" s="626"/>
      <c r="Z50" s="626"/>
      <c r="AA50" s="626"/>
      <c r="AB50" s="626"/>
      <c r="AC50" s="626"/>
      <c r="AD50" s="626"/>
      <c r="AE50" s="626">
        <f t="shared" si="36"/>
        <v>0</v>
      </c>
    </row>
    <row r="51" spans="1:33" ht="16.5" customHeight="1">
      <c r="A51" s="629" t="str">
        <f>'CF-ACPL（合并）'!A51</f>
        <v>支付的其他与筹资活动有关的现金</v>
      </c>
      <c r="B51" s="623">
        <f t="shared" ca="1" si="27"/>
        <v>-1900000</v>
      </c>
      <c r="C51" s="626">
        <f t="shared" ca="1" si="28"/>
        <v>-1900000</v>
      </c>
      <c r="D51" s="626"/>
      <c r="E51" s="626">
        <f ca="1">SUMIFS(cashflow汇总预算2026!$E:$E,cashflow汇总预算2026!$Q:$Q,$A51,cashflow汇总预算2026!$D:$D,E$4)</f>
        <v>-1900000</v>
      </c>
      <c r="F51" s="626">
        <f ca="1">SUMIFS(cashflow汇总预算2026!$E:$E,cashflow汇总预算2026!$Q:$Q,$A51,cashflow汇总预算2026!$D:$D,F$4)</f>
        <v>-15600000</v>
      </c>
      <c r="G51" s="626">
        <f ca="1">SUMIFS(cashflow汇总预算2026!$E:$E,cashflow汇总预算2026!$Q:$Q,$A51,cashflow汇总预算2026!$D:$D,G$4)</f>
        <v>-557979.1830391665</v>
      </c>
      <c r="H51" s="626">
        <f ca="1">SUMIFS(cashflow汇总预算2026!$E:$E,cashflow汇总预算2026!$Q:$Q,$A51,cashflow汇总预算2026!$D:$D,H$4)</f>
        <v>-1353639.1830391667</v>
      </c>
      <c r="I51" s="626">
        <f ca="1">SUMIFS(cashflow汇总预算2026!$E:$E,cashflow汇总预算2026!$Q:$Q,$A51,cashflow汇总预算2026!$D:$D,I$4)</f>
        <v>-673968.98303916643</v>
      </c>
      <c r="J51" s="626">
        <f ca="1">SUMIFS(cashflow汇总预算2026!$E:$E,cashflow汇总预算2026!$Q:$Q,$A51,cashflow汇总预算2026!$D:$D,J$4)</f>
        <v>-524347.86303916667</v>
      </c>
      <c r="K51" s="626">
        <f ca="1">SUMIFS(cashflow汇总预算2026!$E:$E,cashflow汇总预算2026!$Q:$Q,$A51,cashflow汇总预算2026!$D:$D,K$4)</f>
        <v>-445479.18303916662</v>
      </c>
      <c r="L51" s="626">
        <f ca="1">SUMIFS(cashflow汇总预算2026!$E:$E,cashflow汇总预算2026!$Q:$Q,$A51,cashflow汇总预算2026!$D:$D,L$4)</f>
        <v>0</v>
      </c>
      <c r="M51" s="626">
        <f ca="1">SUMIFS(cashflow汇总预算2026!$E:$E,cashflow汇总预算2026!$Q:$Q,$A51,cashflow汇总预算2026!$D:$D,M$4)</f>
        <v>0</v>
      </c>
      <c r="N51" s="626">
        <f ca="1">SUMIFS(cashflow汇总预算2026!$E:$E,cashflow汇总预算2026!$Q:$Q,$A51,cashflow汇总预算2026!$D:$D,N$4)</f>
        <v>-408711.77316955512</v>
      </c>
      <c r="O51" s="626">
        <f ca="1">SUMIFS(cashflow汇总预算2026!$E:$E,cashflow汇总预算2026!$Q:$Q,$A51,cashflow汇总预算2026!$D:$D,O$4)</f>
        <v>0</v>
      </c>
      <c r="P51" s="626">
        <f ca="1">SUMIFS(cashflow汇总预算2026!$E:$E,cashflow汇总预算2026!$Q:$Q,$A51,cashflow汇总预算2026!$D:$D,P$4)</f>
        <v>0</v>
      </c>
      <c r="Q51" s="626">
        <f t="shared" ca="1" si="35"/>
        <v>-21464126.168365385</v>
      </c>
      <c r="R51" s="626"/>
      <c r="S51" s="626"/>
      <c r="T51" s="626"/>
      <c r="U51" s="626"/>
      <c r="V51" s="626"/>
      <c r="W51" s="626"/>
      <c r="X51" s="626"/>
      <c r="Y51" s="626"/>
      <c r="Z51" s="626"/>
      <c r="AA51" s="626"/>
      <c r="AB51" s="626"/>
      <c r="AC51" s="626"/>
      <c r="AD51" s="626"/>
      <c r="AE51" s="626">
        <f t="shared" si="36"/>
        <v>0</v>
      </c>
    </row>
    <row r="52" spans="1:33" s="606" customFormat="1" ht="16.5" customHeight="1">
      <c r="A52" s="606" t="str">
        <f>'CF-ACPL（合并）'!A52</f>
        <v>筹资活动产生的现金流量净额</v>
      </c>
      <c r="B52" s="634">
        <f t="shared" ca="1" si="27"/>
        <v>-1900000</v>
      </c>
      <c r="C52" s="634">
        <f t="shared" ca="1" si="28"/>
        <v>-1900000</v>
      </c>
      <c r="D52" s="634"/>
      <c r="E52" s="634">
        <f ca="1">E44+E48</f>
        <v>-1900000</v>
      </c>
      <c r="F52" s="634">
        <f t="shared" ref="F52:Q52" ca="1" si="37">F44+F48</f>
        <v>-15600000</v>
      </c>
      <c r="G52" s="634">
        <f t="shared" ca="1" si="37"/>
        <v>-557979.1830391665</v>
      </c>
      <c r="H52" s="634">
        <f t="shared" ca="1" si="37"/>
        <v>-1353639.1830391667</v>
      </c>
      <c r="I52" s="634">
        <f t="shared" ca="1" si="37"/>
        <v>-673968.98303916643</v>
      </c>
      <c r="J52" s="634">
        <f t="shared" ca="1" si="37"/>
        <v>-524347.86303916667</v>
      </c>
      <c r="K52" s="634">
        <f t="shared" ca="1" si="37"/>
        <v>-445479.18303916662</v>
      </c>
      <c r="L52" s="634">
        <f t="shared" ca="1" si="37"/>
        <v>522620.18885999999</v>
      </c>
      <c r="M52" s="634">
        <f t="shared" ca="1" si="37"/>
        <v>524658.07085999998</v>
      </c>
      <c r="N52" s="634">
        <f t="shared" ca="1" si="37"/>
        <v>-408711.77316955512</v>
      </c>
      <c r="O52" s="634">
        <f t="shared" ca="1" si="37"/>
        <v>438343.49053000001</v>
      </c>
      <c r="P52" s="634">
        <f t="shared" ca="1" si="37"/>
        <v>522620.18885999999</v>
      </c>
      <c r="Q52" s="634">
        <f t="shared" ca="1" si="37"/>
        <v>-19455884.229255386</v>
      </c>
      <c r="R52" s="637"/>
      <c r="S52" s="634">
        <f t="shared" ref="S52:AE52" si="38">S44-S48</f>
        <v>0</v>
      </c>
      <c r="T52" s="634">
        <f t="shared" si="38"/>
        <v>0</v>
      </c>
      <c r="U52" s="634">
        <f t="shared" si="38"/>
        <v>0</v>
      </c>
      <c r="V52" s="634">
        <f t="shared" si="38"/>
        <v>0</v>
      </c>
      <c r="W52" s="634">
        <f t="shared" si="38"/>
        <v>0</v>
      </c>
      <c r="X52" s="634">
        <f t="shared" si="38"/>
        <v>0</v>
      </c>
      <c r="Y52" s="634">
        <f t="shared" si="38"/>
        <v>0</v>
      </c>
      <c r="Z52" s="634">
        <f t="shared" si="38"/>
        <v>0</v>
      </c>
      <c r="AA52" s="634">
        <f t="shared" si="38"/>
        <v>0</v>
      </c>
      <c r="AB52" s="634">
        <f t="shared" si="38"/>
        <v>0</v>
      </c>
      <c r="AC52" s="634">
        <f t="shared" si="38"/>
        <v>0</v>
      </c>
      <c r="AD52" s="634">
        <f t="shared" si="38"/>
        <v>0</v>
      </c>
      <c r="AE52" s="634">
        <f t="shared" si="38"/>
        <v>0</v>
      </c>
      <c r="AF52" s="638"/>
      <c r="AG52" s="639"/>
    </row>
    <row r="53" spans="1:33" ht="16.5" customHeight="1">
      <c r="B53" s="625"/>
      <c r="C53" s="625"/>
      <c r="D53" s="625"/>
      <c r="E53" s="626"/>
      <c r="F53" s="626"/>
      <c r="G53" s="626"/>
      <c r="H53" s="626"/>
      <c r="I53" s="626"/>
      <c r="J53" s="626"/>
      <c r="K53" s="626"/>
      <c r="L53" s="626"/>
      <c r="M53" s="626"/>
      <c r="N53" s="626"/>
      <c r="O53" s="626"/>
      <c r="P53" s="626"/>
      <c r="Q53" s="626"/>
      <c r="R53" s="626"/>
      <c r="S53" s="626"/>
      <c r="T53" s="626"/>
      <c r="U53" s="626"/>
      <c r="V53" s="626"/>
      <c r="W53" s="626"/>
      <c r="X53" s="626"/>
      <c r="Y53" s="626"/>
      <c r="Z53" s="626"/>
      <c r="AA53" s="626"/>
      <c r="AB53" s="626"/>
      <c r="AC53" s="626"/>
      <c r="AD53" s="626"/>
      <c r="AE53" s="626"/>
    </row>
    <row r="54" spans="1:33" s="607" customFormat="1" ht="16.5" customHeight="1">
      <c r="A54" s="607" t="str">
        <f>'CF-ACPL（合并）'!A54</f>
        <v>汇率变动对现金的影响额</v>
      </c>
      <c r="B54" s="634">
        <f t="shared" ref="B54:B58" si="39">INDEX($E54:$P54,1,MATCH($B$4,$E$4:$P$4))</f>
        <v>0</v>
      </c>
      <c r="C54" s="634">
        <f t="shared" ref="C54:C58" ca="1" si="40">SUM($E54:OFFSET($E54,0,MATCH($C$4,$E$4:$P$4)-1))</f>
        <v>0</v>
      </c>
      <c r="D54" s="634"/>
      <c r="E54" s="640"/>
      <c r="F54" s="640"/>
      <c r="G54" s="640"/>
      <c r="H54" s="640"/>
      <c r="I54" s="640"/>
      <c r="J54" s="640"/>
      <c r="K54" s="640"/>
      <c r="L54" s="640"/>
      <c r="M54" s="640"/>
      <c r="N54" s="640"/>
      <c r="O54" s="640"/>
      <c r="P54" s="640"/>
      <c r="Q54" s="640"/>
      <c r="R54" s="626"/>
      <c r="S54" s="640"/>
      <c r="T54" s="640"/>
      <c r="U54" s="640"/>
      <c r="V54" s="640"/>
      <c r="W54" s="640"/>
      <c r="X54" s="640"/>
      <c r="Y54" s="640"/>
      <c r="Z54" s="640"/>
      <c r="AA54" s="640"/>
      <c r="AB54" s="640"/>
      <c r="AC54" s="640"/>
      <c r="AD54" s="640"/>
      <c r="AE54" s="640"/>
    </row>
    <row r="55" spans="1:33" ht="16.5" customHeight="1">
      <c r="B55" s="625"/>
      <c r="C55" s="625"/>
      <c r="D55" s="625"/>
      <c r="E55" s="626"/>
      <c r="F55" s="626"/>
      <c r="G55" s="626"/>
      <c r="H55" s="626"/>
      <c r="I55" s="626"/>
      <c r="J55" s="626"/>
      <c r="K55" s="626"/>
      <c r="L55" s="626"/>
      <c r="M55" s="626"/>
      <c r="N55" s="626"/>
      <c r="O55" s="626"/>
      <c r="P55" s="626"/>
      <c r="Q55" s="626"/>
      <c r="R55" s="626"/>
      <c r="S55" s="626"/>
      <c r="T55" s="626"/>
      <c r="U55" s="626"/>
      <c r="V55" s="626"/>
      <c r="W55" s="626"/>
      <c r="X55" s="626"/>
      <c r="Y55" s="626"/>
      <c r="Z55" s="626"/>
      <c r="AA55" s="626"/>
      <c r="AB55" s="626"/>
      <c r="AC55" s="626"/>
      <c r="AD55" s="626"/>
      <c r="AE55" s="626"/>
    </row>
    <row r="56" spans="1:33" s="608" customFormat="1" ht="16.5" customHeight="1">
      <c r="A56" s="608" t="str">
        <f>'CF-ACPL（合并）'!A56</f>
        <v>现金及现金等价物净增加额</v>
      </c>
      <c r="B56" s="634">
        <f t="shared" ca="1" si="39"/>
        <v>9565969.1936296672</v>
      </c>
      <c r="C56" s="634">
        <f t="shared" ca="1" si="40"/>
        <v>9565969.1936296672</v>
      </c>
      <c r="D56" s="634"/>
      <c r="E56" s="622">
        <f ca="1">SUM(E29,E42,E52,E54)</f>
        <v>9565969.1936296672</v>
      </c>
      <c r="F56" s="622">
        <f ca="1">SUM(F29,F42,F52,F54)</f>
        <v>-7558780.5388599997</v>
      </c>
      <c r="G56" s="622">
        <f t="shared" ref="G56:Q56" ca="1" si="41">SUM(G29,G42,G52,G54)</f>
        <v>-1157149.7218991667</v>
      </c>
      <c r="H56" s="622">
        <f t="shared" ca="1" si="41"/>
        <v>2101681.7781008333</v>
      </c>
      <c r="I56" s="622">
        <f t="shared" ca="1" si="41"/>
        <v>-1108782.3771007047</v>
      </c>
      <c r="J56" s="622">
        <f t="shared" ca="1" si="41"/>
        <v>-1084328.8518991666</v>
      </c>
      <c r="K56" s="622">
        <f t="shared" ca="1" si="41"/>
        <v>-553606.90302657196</v>
      </c>
      <c r="L56" s="622">
        <f t="shared" ca="1" si="41"/>
        <v>0</v>
      </c>
      <c r="M56" s="622">
        <f t="shared" ca="1" si="41"/>
        <v>0</v>
      </c>
      <c r="N56" s="622">
        <f t="shared" ca="1" si="41"/>
        <v>0</v>
      </c>
      <c r="O56" s="622">
        <f t="shared" ca="1" si="41"/>
        <v>0</v>
      </c>
      <c r="P56" s="622">
        <f t="shared" ca="1" si="41"/>
        <v>0</v>
      </c>
      <c r="Q56" s="622">
        <f t="shared" ca="1" si="41"/>
        <v>205002.57894489169</v>
      </c>
      <c r="R56" s="623"/>
      <c r="S56" s="622">
        <f t="shared" ref="S56:AE56" si="42">SUM(S29,S42,S52,S54)</f>
        <v>0</v>
      </c>
      <c r="T56" s="622">
        <f t="shared" si="42"/>
        <v>0</v>
      </c>
      <c r="U56" s="622">
        <f t="shared" si="42"/>
        <v>0</v>
      </c>
      <c r="V56" s="622">
        <f t="shared" si="42"/>
        <v>0</v>
      </c>
      <c r="W56" s="622">
        <f t="shared" si="42"/>
        <v>0</v>
      </c>
      <c r="X56" s="622">
        <f t="shared" si="42"/>
        <v>0</v>
      </c>
      <c r="Y56" s="622">
        <f t="shared" si="42"/>
        <v>0</v>
      </c>
      <c r="Z56" s="622">
        <f t="shared" si="42"/>
        <v>0</v>
      </c>
      <c r="AA56" s="622">
        <f t="shared" si="42"/>
        <v>0</v>
      </c>
      <c r="AB56" s="622">
        <f t="shared" si="42"/>
        <v>0</v>
      </c>
      <c r="AC56" s="622">
        <f t="shared" si="42"/>
        <v>0</v>
      </c>
      <c r="AD56" s="622">
        <f t="shared" si="42"/>
        <v>0</v>
      </c>
      <c r="AE56" s="622">
        <f t="shared" si="42"/>
        <v>0</v>
      </c>
    </row>
    <row r="57" spans="1:33" ht="16.5" customHeight="1">
      <c r="B57" s="625"/>
      <c r="C57" s="625"/>
      <c r="D57" s="625"/>
      <c r="E57" s="626"/>
      <c r="F57" s="626"/>
      <c r="G57" s="626"/>
      <c r="H57" s="626"/>
      <c r="I57" s="626"/>
      <c r="J57" s="626"/>
      <c r="K57" s="626"/>
      <c r="L57" s="626"/>
      <c r="M57" s="626"/>
      <c r="N57" s="626"/>
      <c r="O57" s="626"/>
      <c r="P57" s="626"/>
      <c r="Q57" s="626"/>
      <c r="R57" s="626"/>
      <c r="S57" s="626"/>
      <c r="T57" s="626"/>
      <c r="U57" s="626"/>
      <c r="V57" s="626"/>
      <c r="W57" s="626"/>
      <c r="X57" s="626"/>
      <c r="Y57" s="626"/>
      <c r="Z57" s="626"/>
      <c r="AA57" s="626"/>
      <c r="AB57" s="626"/>
      <c r="AC57" s="626"/>
      <c r="AD57" s="626"/>
      <c r="AE57" s="626"/>
    </row>
    <row r="58" spans="1:33" s="608" customFormat="1" ht="16.5" customHeight="1">
      <c r="A58" s="608" t="str">
        <f>'CF-ACPL（合并）'!A58</f>
        <v>期末现金及现金等价物余额</v>
      </c>
      <c r="B58" s="634">
        <f t="shared" ca="1" si="39"/>
        <v>12140498.193629667</v>
      </c>
      <c r="C58" s="634">
        <f t="shared" ca="1" si="40"/>
        <v>12140498.193629667</v>
      </c>
      <c r="D58" s="634"/>
      <c r="E58" s="622">
        <f t="shared" ref="E58:Q58" ca="1" si="43">E10+E56</f>
        <v>12140498.193629667</v>
      </c>
      <c r="F58" s="622">
        <f t="shared" ca="1" si="43"/>
        <v>4581717.6547696674</v>
      </c>
      <c r="G58" s="622">
        <f t="shared" ca="1" si="43"/>
        <v>3424567.9328705007</v>
      </c>
      <c r="H58" s="622">
        <f t="shared" ca="1" si="43"/>
        <v>5526249.710971334</v>
      </c>
      <c r="I58" s="622">
        <f t="shared" ca="1" si="43"/>
        <v>4417467.3338706288</v>
      </c>
      <c r="J58" s="622">
        <f t="shared" ca="1" si="43"/>
        <v>3333138.4819714623</v>
      </c>
      <c r="K58" s="622">
        <f t="shared" ca="1" si="43"/>
        <v>2779531.5789448903</v>
      </c>
      <c r="L58" s="622">
        <f t="shared" ca="1" si="43"/>
        <v>2779531.5789448903</v>
      </c>
      <c r="M58" s="622">
        <f t="shared" ca="1" si="43"/>
        <v>2779531.5789448903</v>
      </c>
      <c r="N58" s="622">
        <f t="shared" ca="1" si="43"/>
        <v>2779531.5789448903</v>
      </c>
      <c r="O58" s="622">
        <f t="shared" ca="1" si="43"/>
        <v>2779531.5789448903</v>
      </c>
      <c r="P58" s="622">
        <f t="shared" ca="1" si="43"/>
        <v>2779531.5789448903</v>
      </c>
      <c r="Q58" s="622">
        <f t="shared" ca="1" si="43"/>
        <v>2779531.5789448917</v>
      </c>
      <c r="R58" s="623"/>
      <c r="S58" s="622">
        <f t="shared" ref="S58:AE58" ca="1" si="44">S10+S56</f>
        <v>2779531.5789448903</v>
      </c>
      <c r="T58" s="622">
        <f t="shared" ca="1" si="44"/>
        <v>2779531.5789448903</v>
      </c>
      <c r="U58" s="622">
        <f t="shared" ca="1" si="44"/>
        <v>2779531.5789448903</v>
      </c>
      <c r="V58" s="622">
        <f t="shared" ca="1" si="44"/>
        <v>2779531.5789448903</v>
      </c>
      <c r="W58" s="622">
        <f t="shared" ca="1" si="44"/>
        <v>2779531.5789448903</v>
      </c>
      <c r="X58" s="622">
        <f t="shared" ca="1" si="44"/>
        <v>2779531.5789448903</v>
      </c>
      <c r="Y58" s="622">
        <f t="shared" ca="1" si="44"/>
        <v>2779531.5789448903</v>
      </c>
      <c r="Z58" s="622">
        <f t="shared" ca="1" si="44"/>
        <v>2779531.5789448903</v>
      </c>
      <c r="AA58" s="622">
        <f t="shared" ca="1" si="44"/>
        <v>2779531.5789448903</v>
      </c>
      <c r="AB58" s="622">
        <f t="shared" ca="1" si="44"/>
        <v>2779531.5789448903</v>
      </c>
      <c r="AC58" s="622">
        <f t="shared" ca="1" si="44"/>
        <v>2779531.5789448903</v>
      </c>
      <c r="AD58" s="622">
        <f t="shared" ca="1" si="44"/>
        <v>2779531.5789448903</v>
      </c>
      <c r="AE58" s="622">
        <f t="shared" ca="1" si="44"/>
        <v>2779531.5789448903</v>
      </c>
    </row>
    <row r="59" spans="1:33" ht="16.5" customHeight="1">
      <c r="E59" s="641"/>
      <c r="F59" s="641"/>
      <c r="G59" s="641"/>
      <c r="H59" s="641"/>
      <c r="I59" s="641"/>
      <c r="J59" s="641"/>
      <c r="K59" s="641"/>
      <c r="L59" s="641"/>
      <c r="M59" s="641"/>
      <c r="N59" s="641"/>
      <c r="O59" s="641"/>
      <c r="P59" s="641"/>
      <c r="Q59" s="641"/>
      <c r="R59" s="641"/>
      <c r="S59" s="641"/>
      <c r="T59" s="641"/>
      <c r="U59" s="641"/>
      <c r="V59" s="641"/>
      <c r="W59" s="641"/>
      <c r="X59" s="641"/>
      <c r="Y59" s="641"/>
      <c r="Z59" s="641"/>
      <c r="AA59" s="641"/>
      <c r="AB59" s="641"/>
      <c r="AC59" s="641"/>
      <c r="AD59" s="641"/>
      <c r="AE59" s="641"/>
    </row>
    <row r="60" spans="1:33" s="609" customFormat="1" ht="16.5" customHeight="1">
      <c r="A60" s="609" t="s">
        <v>2595</v>
      </c>
      <c r="B60" s="642"/>
      <c r="C60" s="642"/>
      <c r="D60" s="642"/>
      <c r="E60" s="641"/>
      <c r="F60" s="641"/>
      <c r="G60" s="641"/>
      <c r="H60" s="641"/>
      <c r="I60" s="641"/>
      <c r="J60" s="641"/>
      <c r="K60" s="641"/>
      <c r="L60" s="643"/>
      <c r="M60" s="643"/>
      <c r="N60" s="643"/>
      <c r="O60" s="643"/>
      <c r="P60" s="643"/>
      <c r="Q60" s="643"/>
      <c r="R60" s="644"/>
      <c r="S60" s="643"/>
      <c r="T60" s="643"/>
      <c r="U60" s="643"/>
      <c r="V60" s="643"/>
      <c r="W60" s="643"/>
      <c r="X60" s="643"/>
      <c r="Y60" s="643"/>
      <c r="Z60" s="643"/>
      <c r="AA60" s="643"/>
      <c r="AB60" s="643"/>
      <c r="AC60" s="643"/>
      <c r="AD60" s="643"/>
      <c r="AE60" s="643"/>
    </row>
    <row r="61" spans="1:33" ht="16.5" customHeight="1">
      <c r="E61" s="645"/>
      <c r="F61" s="645"/>
      <c r="G61" s="645"/>
      <c r="H61" s="645"/>
      <c r="I61" s="645"/>
      <c r="J61" s="645"/>
      <c r="K61" s="645"/>
      <c r="L61" s="645"/>
      <c r="M61" s="645"/>
      <c r="N61" s="645"/>
      <c r="O61" s="645"/>
      <c r="P61" s="645"/>
      <c r="Q61" s="645"/>
      <c r="R61" s="641"/>
      <c r="S61" s="645"/>
      <c r="T61" s="645"/>
      <c r="U61" s="645"/>
      <c r="V61" s="645"/>
      <c r="W61" s="645"/>
      <c r="X61" s="645"/>
      <c r="Y61" s="645"/>
      <c r="Z61" s="645"/>
      <c r="AA61" s="645"/>
      <c r="AB61" s="645"/>
      <c r="AC61" s="645"/>
      <c r="AD61" s="645"/>
      <c r="AE61" s="645"/>
    </row>
    <row r="62" spans="1:33" ht="16.5" customHeight="1">
      <c r="E62" s="645"/>
      <c r="F62" s="645"/>
      <c r="G62" s="645"/>
      <c r="H62" s="645"/>
      <c r="I62" s="645"/>
      <c r="J62" s="645"/>
      <c r="K62" s="645"/>
      <c r="L62" s="645"/>
      <c r="M62" s="645"/>
      <c r="N62" s="645"/>
      <c r="O62" s="645"/>
      <c r="P62" s="645"/>
      <c r="Q62" s="645"/>
      <c r="R62" s="641"/>
      <c r="S62" s="645"/>
      <c r="T62" s="645"/>
      <c r="U62" s="645"/>
      <c r="V62" s="645"/>
      <c r="W62" s="645"/>
      <c r="X62" s="645"/>
      <c r="Y62" s="645"/>
      <c r="Z62" s="645"/>
      <c r="AA62" s="645"/>
      <c r="AB62" s="645"/>
      <c r="AC62" s="645"/>
      <c r="AD62" s="645"/>
      <c r="AE62" s="645"/>
    </row>
    <row r="63" spans="1:33" ht="16.5" customHeight="1">
      <c r="E63" s="645"/>
      <c r="F63" s="645"/>
      <c r="G63" s="645"/>
      <c r="H63" s="645"/>
      <c r="I63" s="645"/>
      <c r="J63" s="645"/>
      <c r="K63" s="645"/>
      <c r="L63" s="645"/>
      <c r="M63" s="645"/>
      <c r="N63" s="645"/>
      <c r="O63" s="645"/>
      <c r="P63" s="645"/>
      <c r="Q63" s="645"/>
      <c r="R63" s="641"/>
      <c r="S63" s="645"/>
      <c r="T63" s="645"/>
      <c r="U63" s="645"/>
      <c r="V63" s="645"/>
      <c r="W63" s="645"/>
      <c r="X63" s="645"/>
      <c r="Y63" s="645"/>
      <c r="Z63" s="645"/>
      <c r="AA63" s="645"/>
      <c r="AB63" s="645"/>
      <c r="AC63" s="645"/>
      <c r="AD63" s="645"/>
      <c r="AE63" s="645"/>
    </row>
    <row r="64" spans="1:33" ht="16.5" customHeight="1">
      <c r="E64" s="645"/>
      <c r="F64" s="645"/>
      <c r="G64" s="645"/>
      <c r="H64" s="645"/>
      <c r="I64" s="645"/>
      <c r="J64" s="645"/>
      <c r="K64" s="645"/>
      <c r="L64" s="645"/>
      <c r="M64" s="645"/>
      <c r="N64" s="645"/>
      <c r="O64" s="645"/>
      <c r="P64" s="645"/>
      <c r="Q64" s="645"/>
      <c r="R64" s="641"/>
      <c r="S64" s="645"/>
      <c r="T64" s="645"/>
      <c r="U64" s="645"/>
      <c r="V64" s="645"/>
      <c r="W64" s="645"/>
      <c r="X64" s="645"/>
      <c r="Y64" s="645"/>
      <c r="Z64" s="645"/>
      <c r="AA64" s="645"/>
      <c r="AB64" s="645"/>
      <c r="AC64" s="645"/>
      <c r="AD64" s="645"/>
      <c r="AE64" s="645"/>
    </row>
    <row r="65" spans="5:31" ht="16.5" customHeight="1">
      <c r="E65" s="645"/>
      <c r="F65" s="645"/>
      <c r="G65" s="645"/>
      <c r="H65" s="645"/>
      <c r="I65" s="645"/>
      <c r="J65" s="645"/>
      <c r="K65" s="645"/>
      <c r="L65" s="645"/>
      <c r="M65" s="645"/>
      <c r="N65" s="645"/>
      <c r="O65" s="645"/>
      <c r="P65" s="645"/>
      <c r="Q65" s="645"/>
      <c r="R65" s="641"/>
      <c r="S65" s="645"/>
      <c r="T65" s="645"/>
      <c r="U65" s="645"/>
      <c r="V65" s="645"/>
      <c r="W65" s="645"/>
      <c r="X65" s="645"/>
      <c r="Y65" s="645"/>
      <c r="Z65" s="645"/>
      <c r="AA65" s="645"/>
      <c r="AB65" s="645"/>
      <c r="AC65" s="645"/>
      <c r="AD65" s="645"/>
      <c r="AE65" s="645"/>
    </row>
    <row r="66" spans="5:31" ht="16.5" customHeight="1">
      <c r="E66" s="645"/>
      <c r="F66" s="645"/>
      <c r="G66" s="645"/>
      <c r="H66" s="645"/>
      <c r="I66" s="645"/>
      <c r="J66" s="645"/>
      <c r="K66" s="645"/>
      <c r="L66" s="645"/>
      <c r="M66" s="645"/>
      <c r="N66" s="645"/>
      <c r="O66" s="645"/>
      <c r="P66" s="645"/>
      <c r="Q66" s="645"/>
      <c r="R66" s="641"/>
      <c r="S66" s="645"/>
      <c r="T66" s="645"/>
      <c r="U66" s="645"/>
      <c r="V66" s="645"/>
      <c r="W66" s="645"/>
      <c r="X66" s="645"/>
      <c r="Y66" s="645"/>
      <c r="Z66" s="645"/>
      <c r="AA66" s="645"/>
      <c r="AB66" s="645"/>
      <c r="AC66" s="645"/>
      <c r="AD66" s="645"/>
      <c r="AE66" s="645"/>
    </row>
    <row r="67" spans="5:31" ht="16.5" customHeight="1">
      <c r="E67" s="645"/>
      <c r="F67" s="645"/>
      <c r="G67" s="645"/>
      <c r="H67" s="645"/>
      <c r="I67" s="645"/>
      <c r="J67" s="645"/>
      <c r="K67" s="645"/>
      <c r="L67" s="645"/>
      <c r="M67" s="645"/>
      <c r="N67" s="645"/>
      <c r="O67" s="645"/>
      <c r="P67" s="645"/>
      <c r="Q67" s="645"/>
      <c r="R67" s="641"/>
      <c r="S67" s="645"/>
      <c r="T67" s="645"/>
      <c r="U67" s="645"/>
      <c r="V67" s="645"/>
      <c r="W67" s="645"/>
      <c r="X67" s="645"/>
      <c r="Y67" s="645"/>
      <c r="Z67" s="645"/>
      <c r="AA67" s="645"/>
      <c r="AB67" s="645"/>
      <c r="AC67" s="645"/>
      <c r="AD67" s="645"/>
      <c r="AE67" s="645"/>
    </row>
    <row r="68" spans="5:31" ht="16.5" customHeight="1">
      <c r="E68" s="645"/>
      <c r="F68" s="645"/>
      <c r="G68" s="645"/>
      <c r="H68" s="645"/>
      <c r="I68" s="645"/>
      <c r="J68" s="645"/>
      <c r="K68" s="645"/>
      <c r="L68" s="645"/>
      <c r="M68" s="645"/>
      <c r="N68" s="645"/>
      <c r="O68" s="645"/>
      <c r="P68" s="645"/>
      <c r="Q68" s="645"/>
      <c r="R68" s="641"/>
      <c r="S68" s="645"/>
      <c r="T68" s="645"/>
      <c r="U68" s="645"/>
      <c r="V68" s="645"/>
      <c r="W68" s="645"/>
      <c r="X68" s="645"/>
      <c r="Y68" s="645"/>
      <c r="Z68" s="645"/>
      <c r="AA68" s="645"/>
      <c r="AB68" s="645"/>
      <c r="AC68" s="645"/>
      <c r="AD68" s="645"/>
      <c r="AE68" s="645"/>
    </row>
    <row r="69" spans="5:31" ht="16.5" customHeight="1">
      <c r="E69" s="645"/>
      <c r="F69" s="645"/>
      <c r="G69" s="645"/>
      <c r="H69" s="645"/>
      <c r="I69" s="645"/>
      <c r="J69" s="645"/>
      <c r="K69" s="645"/>
      <c r="L69" s="645"/>
      <c r="M69" s="645"/>
      <c r="N69" s="645"/>
      <c r="O69" s="645"/>
      <c r="P69" s="645"/>
      <c r="Q69" s="645"/>
      <c r="R69" s="641"/>
      <c r="S69" s="645"/>
      <c r="T69" s="645"/>
      <c r="U69" s="645"/>
      <c r="V69" s="645"/>
      <c r="W69" s="645"/>
      <c r="X69" s="645"/>
      <c r="Y69" s="645"/>
      <c r="Z69" s="645"/>
      <c r="AA69" s="645"/>
      <c r="AB69" s="645"/>
      <c r="AC69" s="645"/>
      <c r="AD69" s="645"/>
      <c r="AE69" s="645"/>
    </row>
    <row r="70" spans="5:31" ht="16.5" customHeight="1">
      <c r="E70" s="645"/>
      <c r="F70" s="645"/>
      <c r="G70" s="645"/>
      <c r="H70" s="645"/>
      <c r="I70" s="645"/>
      <c r="J70" s="645"/>
      <c r="K70" s="645"/>
      <c r="L70" s="645"/>
      <c r="M70" s="645"/>
      <c r="N70" s="645"/>
      <c r="O70" s="645"/>
      <c r="P70" s="645"/>
      <c r="Q70" s="645"/>
      <c r="R70" s="641"/>
      <c r="S70" s="645"/>
      <c r="T70" s="645"/>
      <c r="U70" s="645"/>
      <c r="V70" s="645"/>
      <c r="W70" s="645"/>
      <c r="X70" s="645"/>
      <c r="Y70" s="645"/>
      <c r="Z70" s="645"/>
      <c r="AA70" s="645"/>
      <c r="AB70" s="645"/>
      <c r="AC70" s="645"/>
      <c r="AD70" s="645"/>
      <c r="AE70" s="645"/>
    </row>
    <row r="71" spans="5:31" ht="16.5" customHeight="1">
      <c r="E71" s="645"/>
      <c r="F71" s="645"/>
      <c r="G71" s="645"/>
      <c r="H71" s="645"/>
      <c r="I71" s="645"/>
      <c r="J71" s="645"/>
      <c r="K71" s="645"/>
      <c r="L71" s="645"/>
      <c r="M71" s="645"/>
      <c r="N71" s="645"/>
      <c r="O71" s="645"/>
      <c r="P71" s="645"/>
      <c r="Q71" s="645"/>
      <c r="R71" s="641"/>
      <c r="S71" s="645"/>
      <c r="T71" s="645"/>
      <c r="U71" s="645"/>
      <c r="V71" s="645"/>
      <c r="W71" s="645"/>
      <c r="X71" s="645"/>
      <c r="Y71" s="645"/>
      <c r="Z71" s="645"/>
      <c r="AA71" s="645"/>
      <c r="AB71" s="645"/>
      <c r="AC71" s="645"/>
      <c r="AD71" s="645"/>
      <c r="AE71" s="645"/>
    </row>
    <row r="72" spans="5:31" ht="16.5" customHeight="1">
      <c r="E72" s="645"/>
      <c r="F72" s="645"/>
      <c r="G72" s="645"/>
      <c r="H72" s="645"/>
      <c r="I72" s="645"/>
      <c r="J72" s="645"/>
      <c r="K72" s="645"/>
      <c r="L72" s="645"/>
      <c r="M72" s="645"/>
      <c r="N72" s="645"/>
      <c r="O72" s="645"/>
      <c r="P72" s="645"/>
      <c r="Q72" s="645"/>
      <c r="R72" s="641"/>
      <c r="S72" s="645"/>
      <c r="T72" s="645"/>
      <c r="U72" s="645"/>
      <c r="V72" s="645"/>
      <c r="W72" s="645"/>
      <c r="X72" s="645"/>
      <c r="Y72" s="645"/>
      <c r="Z72" s="645"/>
      <c r="AA72" s="645"/>
      <c r="AB72" s="645"/>
      <c r="AC72" s="645"/>
      <c r="AD72" s="645"/>
      <c r="AE72" s="645"/>
    </row>
    <row r="73" spans="5:31" ht="16.5" customHeight="1">
      <c r="E73" s="645"/>
      <c r="F73" s="645"/>
      <c r="G73" s="645"/>
      <c r="H73" s="645"/>
      <c r="I73" s="645"/>
      <c r="J73" s="645"/>
      <c r="K73" s="645"/>
      <c r="L73" s="645"/>
      <c r="M73" s="645"/>
      <c r="N73" s="645"/>
      <c r="O73" s="645"/>
      <c r="P73" s="645"/>
      <c r="Q73" s="645"/>
      <c r="R73" s="641"/>
      <c r="S73" s="645"/>
      <c r="T73" s="645"/>
      <c r="U73" s="645"/>
      <c r="V73" s="645"/>
      <c r="W73" s="645"/>
      <c r="X73" s="645"/>
      <c r="Y73" s="645"/>
      <c r="Z73" s="645"/>
      <c r="AA73" s="645"/>
      <c r="AB73" s="645"/>
      <c r="AC73" s="645"/>
      <c r="AD73" s="645"/>
      <c r="AE73" s="645"/>
    </row>
    <row r="74" spans="5:31" ht="16.5" customHeight="1">
      <c r="E74" s="645"/>
      <c r="F74" s="645"/>
      <c r="G74" s="645"/>
      <c r="H74" s="645"/>
      <c r="I74" s="645"/>
      <c r="J74" s="645"/>
      <c r="K74" s="645"/>
      <c r="L74" s="645"/>
      <c r="M74" s="645"/>
      <c r="N74" s="645"/>
      <c r="O74" s="645"/>
      <c r="P74" s="645"/>
      <c r="Q74" s="645"/>
      <c r="R74" s="641"/>
      <c r="S74" s="645"/>
      <c r="T74" s="645"/>
      <c r="U74" s="645"/>
      <c r="V74" s="645"/>
      <c r="W74" s="645"/>
      <c r="X74" s="645"/>
      <c r="Y74" s="645"/>
      <c r="Z74" s="645"/>
      <c r="AA74" s="645"/>
      <c r="AB74" s="645"/>
      <c r="AC74" s="645"/>
      <c r="AD74" s="645"/>
      <c r="AE74" s="645"/>
    </row>
    <row r="75" spans="5:31" ht="16.5" customHeight="1">
      <c r="E75" s="645"/>
      <c r="F75" s="645"/>
      <c r="G75" s="645"/>
      <c r="H75" s="645"/>
      <c r="I75" s="645"/>
      <c r="J75" s="645"/>
      <c r="K75" s="645"/>
      <c r="L75" s="645"/>
      <c r="M75" s="645"/>
      <c r="N75" s="645"/>
      <c r="O75" s="645"/>
      <c r="P75" s="645"/>
      <c r="Q75" s="645"/>
      <c r="R75" s="641"/>
      <c r="S75" s="645"/>
      <c r="T75" s="645"/>
      <c r="U75" s="645"/>
      <c r="V75" s="645"/>
      <c r="W75" s="645"/>
      <c r="X75" s="645"/>
      <c r="Y75" s="645"/>
      <c r="Z75" s="645"/>
      <c r="AA75" s="645"/>
      <c r="AB75" s="645"/>
      <c r="AC75" s="645"/>
      <c r="AD75" s="645"/>
      <c r="AE75" s="645"/>
    </row>
    <row r="76" spans="5:31" ht="16.5" customHeight="1">
      <c r="E76" s="645"/>
      <c r="F76" s="645"/>
      <c r="G76" s="645"/>
      <c r="H76" s="645"/>
      <c r="I76" s="645"/>
      <c r="J76" s="645"/>
      <c r="K76" s="645"/>
      <c r="L76" s="645"/>
      <c r="M76" s="645"/>
      <c r="N76" s="645"/>
      <c r="O76" s="645"/>
      <c r="P76" s="645"/>
      <c r="Q76" s="645"/>
      <c r="R76" s="641"/>
      <c r="S76" s="645"/>
      <c r="T76" s="645"/>
      <c r="U76" s="645"/>
      <c r="V76" s="645"/>
      <c r="W76" s="645"/>
      <c r="X76" s="645"/>
      <c r="Y76" s="645"/>
      <c r="Z76" s="645"/>
      <c r="AA76" s="645"/>
      <c r="AB76" s="645"/>
      <c r="AC76" s="645"/>
      <c r="AD76" s="645"/>
      <c r="AE76" s="645"/>
    </row>
  </sheetData>
  <autoFilter ref="A4:AG58" xr:uid="{00000000-0009-0000-0000-000017000000}"/>
  <conditionalFormatting sqref="B3:AE3">
    <cfRule type="cellIs" dxfId="78" priority="1" stopIfTrue="1" operator="equal">
      <formula>"Actual"</formula>
    </cfRule>
    <cfRule type="cellIs" dxfId="77" priority="2" stopIfTrue="1" operator="equal">
      <formula>"Forecast"</formula>
    </cfRule>
    <cfRule type="cellIs" dxfId="76" priority="3" stopIfTrue="1" operator="equal">
      <formula>"Budget"</formula>
    </cfRule>
  </conditionalFormatting>
  <dataValidations count="1">
    <dataValidation type="list" allowBlank="1" showInputMessage="1" showErrorMessage="1" sqref="B3:AE3" xr:uid="{00000000-0002-0000-1700-000000000000}">
      <formula1>"Actual,Forecast,Budget"</formula1>
    </dataValidation>
  </dataValidations>
  <pageMargins left="0.70866141732283505" right="0.70866141732283505" top="0.74803149606299202" bottom="0.74803149606299202" header="0.31496062992126" footer="0.31496062992126"/>
  <pageSetup paperSize="8" scale="76" orientation="landscape"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79940183721427049"/>
    <pageSetUpPr fitToPage="1"/>
  </sheetPr>
  <dimension ref="A1:AG76"/>
  <sheetViews>
    <sheetView zoomScale="70" zoomScaleNormal="70" workbookViewId="0">
      <pane xSplit="1" ySplit="9" topLeftCell="E10" activePane="bottomRight" state="frozen"/>
      <selection pane="topRight" activeCell="B1" sqref="B1"/>
      <selection pane="bottomLeft" activeCell="A10" sqref="A10"/>
      <selection pane="bottomRight" activeCell="I13" sqref="I13"/>
    </sheetView>
  </sheetViews>
  <sheetFormatPr defaultColWidth="8.25" defaultRowHeight="16.5" customHeight="1" outlineLevelRow="1" outlineLevelCol="1"/>
  <cols>
    <col min="1" max="1" width="43.75" style="610" customWidth="1"/>
    <col min="2" max="2" width="15.875" style="611" customWidth="1"/>
    <col min="3" max="3" width="16.75" style="611" customWidth="1"/>
    <col min="4" max="4" width="3.625" style="611" customWidth="1"/>
    <col min="5" max="5" width="14.75" style="610" customWidth="1" outlineLevel="1"/>
    <col min="6" max="6" width="16.625" style="610" customWidth="1" outlineLevel="1"/>
    <col min="7" max="7" width="14.5" style="610" customWidth="1" outlineLevel="1"/>
    <col min="8" max="9" width="14.75" style="610" customWidth="1" outlineLevel="1"/>
    <col min="10" max="16" width="15.625" style="610" customWidth="1" outlineLevel="1"/>
    <col min="17" max="17" width="15.625" style="610" customWidth="1"/>
    <col min="18" max="18" width="11.75" style="610" customWidth="1"/>
    <col min="19" max="29" width="15.625" style="610" hidden="1" customWidth="1" outlineLevel="1"/>
    <col min="30" max="30" width="14.125" style="610" hidden="1" customWidth="1" outlineLevel="1"/>
    <col min="31" max="31" width="15.625" style="610" hidden="1" customWidth="1" outlineLevel="1"/>
    <col min="32" max="32" width="8.25" style="610" customWidth="1" collapsed="1"/>
    <col min="33" max="33" width="2.625" style="610" customWidth="1"/>
    <col min="34" max="34" width="8.25" style="610" customWidth="1"/>
    <col min="35" max="16384" width="8.25" style="610"/>
  </cols>
  <sheetData>
    <row r="1" spans="1:33" ht="16.5" customHeight="1">
      <c r="A1" s="5" t="s">
        <v>2482</v>
      </c>
      <c r="B1" s="5"/>
      <c r="C1" s="612" t="s">
        <v>2111</v>
      </c>
      <c r="D1" s="612"/>
    </row>
    <row r="2" spans="1:33" ht="16.5" customHeight="1">
      <c r="C2" s="613">
        <f>'Flash Report'!C2</f>
        <v>46023</v>
      </c>
      <c r="D2" s="613"/>
      <c r="K2" s="611"/>
      <c r="P2" s="611">
        <f>SUM(F17:P17)*-1</f>
        <v>0</v>
      </c>
    </row>
    <row r="3" spans="1:33" ht="16.5" customHeight="1">
      <c r="B3" s="614" t="s">
        <v>2501</v>
      </c>
      <c r="C3" s="614" t="s">
        <v>2501</v>
      </c>
      <c r="D3" s="614"/>
      <c r="E3" s="614" t="s">
        <v>2501</v>
      </c>
      <c r="F3" s="614" t="s">
        <v>2501</v>
      </c>
      <c r="G3" s="614" t="s">
        <v>2501</v>
      </c>
      <c r="H3" s="614" t="s">
        <v>2501</v>
      </c>
      <c r="I3" s="614" t="s">
        <v>2501</v>
      </c>
      <c r="J3" s="614" t="s">
        <v>2501</v>
      </c>
      <c r="K3" s="614" t="s">
        <v>2501</v>
      </c>
      <c r="L3" s="614" t="s">
        <v>2501</v>
      </c>
      <c r="M3" s="614" t="s">
        <v>2501</v>
      </c>
      <c r="N3" s="614" t="s">
        <v>2501</v>
      </c>
      <c r="O3" s="614" t="s">
        <v>2501</v>
      </c>
      <c r="P3" s="614" t="s">
        <v>2501</v>
      </c>
      <c r="Q3" s="614" t="s">
        <v>2501</v>
      </c>
      <c r="R3" s="615"/>
      <c r="S3" s="614" t="s">
        <v>2555</v>
      </c>
      <c r="T3" s="614" t="s">
        <v>2555</v>
      </c>
      <c r="U3" s="614" t="s">
        <v>2555</v>
      </c>
      <c r="V3" s="614" t="s">
        <v>2555</v>
      </c>
      <c r="W3" s="614" t="s">
        <v>2555</v>
      </c>
      <c r="X3" s="614" t="s">
        <v>2555</v>
      </c>
      <c r="Y3" s="614" t="s">
        <v>2555</v>
      </c>
      <c r="Z3" s="614" t="s">
        <v>2555</v>
      </c>
      <c r="AA3" s="614" t="s">
        <v>2555</v>
      </c>
      <c r="AB3" s="614" t="s">
        <v>2555</v>
      </c>
      <c r="AC3" s="614" t="s">
        <v>2555</v>
      </c>
      <c r="AD3" s="614" t="s">
        <v>2555</v>
      </c>
      <c r="AE3" s="614" t="s">
        <v>2555</v>
      </c>
      <c r="AG3" s="616"/>
    </row>
    <row r="4" spans="1:33" s="599" customFormat="1" ht="16.5" customHeight="1">
      <c r="A4" s="599" t="s">
        <v>2439</v>
      </c>
      <c r="B4" s="617">
        <f>C2</f>
        <v>46023</v>
      </c>
      <c r="C4" s="617">
        <f>B4</f>
        <v>46023</v>
      </c>
      <c r="D4" s="617"/>
      <c r="E4" s="617">
        <v>46023</v>
      </c>
      <c r="F4" s="617">
        <v>46054</v>
      </c>
      <c r="G4" s="617">
        <v>46082</v>
      </c>
      <c r="H4" s="617">
        <v>46113</v>
      </c>
      <c r="I4" s="617">
        <v>46143</v>
      </c>
      <c r="J4" s="617">
        <v>46174</v>
      </c>
      <c r="K4" s="617">
        <v>46204</v>
      </c>
      <c r="L4" s="617">
        <v>46235</v>
      </c>
      <c r="M4" s="617">
        <v>46266</v>
      </c>
      <c r="N4" s="617">
        <v>46296</v>
      </c>
      <c r="O4" s="617">
        <v>46327</v>
      </c>
      <c r="P4" s="617">
        <v>46357</v>
      </c>
      <c r="Q4" s="617" t="str">
        <f>'[97]Budget-合并'!T6</f>
        <v>2026 Total</v>
      </c>
      <c r="R4" s="618">
        <f>'[97]Budget-合并'!U6</f>
        <v>0</v>
      </c>
      <c r="S4" s="617">
        <f>'[97]Budget-合并'!V6</f>
        <v>46388</v>
      </c>
      <c r="T4" s="617">
        <f>'[97]Budget-合并'!W6</f>
        <v>46419</v>
      </c>
      <c r="U4" s="617">
        <f>'[97]Budget-合并'!X6</f>
        <v>46447</v>
      </c>
      <c r="V4" s="617">
        <f>'[97]Budget-合并'!Y6</f>
        <v>46478</v>
      </c>
      <c r="W4" s="617">
        <f>'[97]Budget-合并'!Z6</f>
        <v>46508</v>
      </c>
      <c r="X4" s="617">
        <f>'[97]Budget-合并'!AA6</f>
        <v>46539</v>
      </c>
      <c r="Y4" s="617">
        <f>'[97]Budget-合并'!AB6</f>
        <v>46569</v>
      </c>
      <c r="Z4" s="617">
        <f>'[97]Budget-合并'!AC6</f>
        <v>46600</v>
      </c>
      <c r="AA4" s="617">
        <f>'[97]Budget-合并'!AD6</f>
        <v>46631</v>
      </c>
      <c r="AB4" s="617">
        <f>'[97]Budget-合并'!AE6</f>
        <v>46661</v>
      </c>
      <c r="AC4" s="617">
        <f>'[97]Budget-合并'!AF6</f>
        <v>46692</v>
      </c>
      <c r="AD4" s="617">
        <f>'[97]Budget-合并'!AG6</f>
        <v>46722</v>
      </c>
      <c r="AE4" s="617" t="str">
        <f>'[97]Budget-合并'!AH6</f>
        <v>2027 Total</v>
      </c>
      <c r="AG4" s="619"/>
    </row>
    <row r="5" spans="1:33" s="600" customFormat="1" ht="16.5" hidden="1" customHeight="1" outlineLevel="1">
      <c r="A5" s="600" t="s">
        <v>2556</v>
      </c>
      <c r="B5" s="620"/>
      <c r="C5" s="620"/>
      <c r="D5" s="620"/>
      <c r="E5" s="620">
        <v>0</v>
      </c>
      <c r="F5" s="620">
        <v>0</v>
      </c>
      <c r="G5" s="620">
        <v>1</v>
      </c>
      <c r="H5" s="620">
        <v>0</v>
      </c>
      <c r="I5" s="620">
        <v>0</v>
      </c>
      <c r="J5" s="620">
        <v>1</v>
      </c>
      <c r="K5" s="620">
        <v>0</v>
      </c>
      <c r="L5" s="620">
        <v>0</v>
      </c>
      <c r="M5" s="620">
        <v>1</v>
      </c>
      <c r="N5" s="620">
        <v>0</v>
      </c>
      <c r="O5" s="620">
        <v>0</v>
      </c>
      <c r="P5" s="620">
        <v>1</v>
      </c>
      <c r="Q5" s="620"/>
      <c r="R5" s="620"/>
      <c r="S5" s="620"/>
      <c r="T5" s="620"/>
      <c r="U5" s="620"/>
      <c r="V5" s="620"/>
      <c r="W5" s="620"/>
      <c r="X5" s="620"/>
      <c r="Y5" s="620"/>
      <c r="Z5" s="620"/>
      <c r="AA5" s="620"/>
      <c r="AB5" s="620"/>
      <c r="AC5" s="620"/>
      <c r="AD5" s="620"/>
      <c r="AE5" s="620"/>
      <c r="AG5" s="621"/>
    </row>
    <row r="6" spans="1:33" s="600" customFormat="1" ht="16.5" hidden="1" customHeight="1" outlineLevel="1">
      <c r="A6" s="600" t="s">
        <v>2557</v>
      </c>
      <c r="B6" s="620"/>
      <c r="C6" s="620"/>
      <c r="D6" s="620"/>
      <c r="E6" s="620">
        <v>0</v>
      </c>
      <c r="F6" s="620">
        <v>0</v>
      </c>
      <c r="G6" s="620">
        <v>0</v>
      </c>
      <c r="H6" s="620">
        <v>0</v>
      </c>
      <c r="I6" s="620">
        <v>1</v>
      </c>
      <c r="J6" s="620">
        <v>0</v>
      </c>
      <c r="K6" s="620">
        <v>0</v>
      </c>
      <c r="L6" s="620">
        <v>0</v>
      </c>
      <c r="M6" s="620">
        <v>0</v>
      </c>
      <c r="N6" s="620">
        <v>0</v>
      </c>
      <c r="O6" s="620">
        <v>0</v>
      </c>
      <c r="P6" s="620">
        <v>0</v>
      </c>
      <c r="Q6" s="620"/>
      <c r="R6" s="620"/>
      <c r="S6" s="620"/>
      <c r="T6" s="620"/>
      <c r="U6" s="620"/>
      <c r="V6" s="620"/>
      <c r="W6" s="620"/>
      <c r="X6" s="620"/>
      <c r="Y6" s="620"/>
      <c r="Z6" s="620"/>
      <c r="AA6" s="620"/>
      <c r="AB6" s="620"/>
      <c r="AC6" s="620"/>
      <c r="AD6" s="620"/>
      <c r="AE6" s="620"/>
      <c r="AG6" s="621"/>
    </row>
    <row r="7" spans="1:33" s="600" customFormat="1" ht="16.5" hidden="1" customHeight="1" outlineLevel="1">
      <c r="A7" s="600" t="s">
        <v>2558</v>
      </c>
      <c r="B7" s="620"/>
      <c r="C7" s="620"/>
      <c r="D7" s="620"/>
      <c r="E7" s="620">
        <v>1</v>
      </c>
      <c r="F7" s="620">
        <v>0</v>
      </c>
      <c r="G7" s="620">
        <v>0</v>
      </c>
      <c r="H7" s="620">
        <v>1</v>
      </c>
      <c r="I7" s="620">
        <v>0</v>
      </c>
      <c r="J7" s="620">
        <v>0</v>
      </c>
      <c r="K7" s="620">
        <v>1</v>
      </c>
      <c r="L7" s="620">
        <v>0</v>
      </c>
      <c r="M7" s="620">
        <v>0</v>
      </c>
      <c r="N7" s="620">
        <v>1</v>
      </c>
      <c r="O7" s="620">
        <v>0</v>
      </c>
      <c r="P7" s="620">
        <v>0</v>
      </c>
      <c r="Q7" s="620"/>
      <c r="R7" s="620"/>
      <c r="S7" s="620"/>
      <c r="T7" s="620"/>
      <c r="U7" s="620"/>
      <c r="V7" s="620"/>
      <c r="W7" s="620"/>
      <c r="X7" s="620"/>
      <c r="Y7" s="620"/>
      <c r="Z7" s="620"/>
      <c r="AA7" s="620"/>
      <c r="AB7" s="620"/>
      <c r="AC7" s="620"/>
      <c r="AD7" s="620"/>
      <c r="AE7" s="620"/>
      <c r="AG7" s="621"/>
    </row>
    <row r="8" spans="1:33" s="600" customFormat="1" ht="16.5" hidden="1" customHeight="1" outlineLevel="1">
      <c r="B8" s="620"/>
      <c r="C8" s="620"/>
      <c r="D8" s="620"/>
      <c r="E8" s="620"/>
      <c r="F8" s="620"/>
      <c r="G8" s="620"/>
      <c r="H8" s="620"/>
      <c r="I8" s="620"/>
      <c r="J8" s="620"/>
      <c r="K8" s="620"/>
      <c r="L8" s="620"/>
      <c r="M8" s="620"/>
      <c r="N8" s="620"/>
      <c r="O8" s="620"/>
      <c r="P8" s="620"/>
      <c r="Q8" s="620"/>
      <c r="R8" s="620"/>
      <c r="S8" s="620"/>
      <c r="T8" s="620"/>
      <c r="U8" s="620"/>
      <c r="V8" s="620"/>
      <c r="W8" s="620"/>
      <c r="X8" s="620"/>
      <c r="Y8" s="620"/>
      <c r="Z8" s="620"/>
      <c r="AA8" s="620"/>
      <c r="AB8" s="620"/>
      <c r="AC8" s="620"/>
      <c r="AD8" s="620"/>
      <c r="AE8" s="620"/>
      <c r="AG8" s="621"/>
    </row>
    <row r="9" spans="1:33" s="599" customFormat="1" ht="16.5" hidden="1" customHeight="1" outlineLevel="1">
      <c r="B9" s="618"/>
      <c r="C9" s="618"/>
      <c r="D9" s="618"/>
      <c r="E9" s="618"/>
      <c r="F9" s="618"/>
      <c r="G9" s="618"/>
      <c r="H9" s="618"/>
      <c r="I9" s="618"/>
      <c r="J9" s="618"/>
      <c r="K9" s="618"/>
      <c r="L9" s="618"/>
      <c r="M9" s="618"/>
      <c r="N9" s="618"/>
      <c r="O9" s="618"/>
      <c r="P9" s="618"/>
      <c r="Q9" s="618"/>
      <c r="R9" s="618"/>
      <c r="S9" s="618"/>
      <c r="T9" s="618"/>
      <c r="U9" s="618"/>
      <c r="V9" s="618"/>
      <c r="W9" s="618"/>
      <c r="X9" s="618"/>
      <c r="Y9" s="618"/>
      <c r="Z9" s="618"/>
      <c r="AA9" s="618"/>
      <c r="AB9" s="618"/>
      <c r="AC9" s="618"/>
      <c r="AD9" s="618"/>
      <c r="AE9" s="618"/>
      <c r="AG9" s="619"/>
    </row>
    <row r="10" spans="1:33" s="601" customFormat="1" ht="16.5" customHeight="1" collapsed="1">
      <c r="A10" s="608" t="str">
        <f>'CF-ACPL（合并）'!A10</f>
        <v>期初现金及现金等价物余额</v>
      </c>
      <c r="B10" s="622">
        <f>INDEX($E10:$P10,1,MATCH('[97]Flash Report'!$C$2,$E$4:$P$4))</f>
        <v>85702.039999999979</v>
      </c>
      <c r="C10" s="622">
        <f>B10</f>
        <v>85702.039999999979</v>
      </c>
      <c r="D10" s="622"/>
      <c r="E10" s="622">
        <f>VLOOKUP($C$1,'2025年现金余额'!$B$4:$D$10,3,FALSE)</f>
        <v>85702.039999999979</v>
      </c>
      <c r="F10" s="622">
        <f t="shared" ref="F10:P10" ca="1" si="0">E58</f>
        <v>95675.412000000069</v>
      </c>
      <c r="G10" s="622">
        <f t="shared" ca="1" si="0"/>
        <v>7534864.4540000008</v>
      </c>
      <c r="H10" s="622">
        <f t="shared" ca="1" si="0"/>
        <v>7190431.6060000006</v>
      </c>
      <c r="I10" s="622">
        <f t="shared" ca="1" si="0"/>
        <v>8949820.0157681219</v>
      </c>
      <c r="J10" s="622">
        <f t="shared" ca="1" si="0"/>
        <v>5896149.2700586496</v>
      </c>
      <c r="K10" s="622">
        <f t="shared" ca="1" si="0"/>
        <v>5057205.1687774872</v>
      </c>
      <c r="L10" s="622">
        <f t="shared" ca="1" si="0"/>
        <v>5371282.0686383126</v>
      </c>
      <c r="M10" s="622">
        <f t="shared" ca="1" si="0"/>
        <v>9481108.5336383134</v>
      </c>
      <c r="N10" s="622">
        <f t="shared" ca="1" si="0"/>
        <v>8445134.9986383133</v>
      </c>
      <c r="O10" s="622">
        <f t="shared" ca="1" si="0"/>
        <v>10193086.129521118</v>
      </c>
      <c r="P10" s="622">
        <f t="shared" ca="1" si="0"/>
        <v>9307112.5945211183</v>
      </c>
      <c r="Q10" s="622">
        <f>E10</f>
        <v>85702.039999999979</v>
      </c>
      <c r="R10" s="623"/>
      <c r="S10" s="622">
        <f ca="1">P58</f>
        <v>8292522.3553144261</v>
      </c>
      <c r="T10" s="622">
        <f t="shared" ref="T10:AD10" ca="1" si="1">S58</f>
        <v>8292522.3553144261</v>
      </c>
      <c r="U10" s="622">
        <f t="shared" ca="1" si="1"/>
        <v>8292522.3553144261</v>
      </c>
      <c r="V10" s="622">
        <f t="shared" ca="1" si="1"/>
        <v>8292522.3553144261</v>
      </c>
      <c r="W10" s="622">
        <f t="shared" ca="1" si="1"/>
        <v>8292522.3553144261</v>
      </c>
      <c r="X10" s="622">
        <f t="shared" ca="1" si="1"/>
        <v>8292522.3553144261</v>
      </c>
      <c r="Y10" s="622">
        <f t="shared" ca="1" si="1"/>
        <v>8292522.3553144261</v>
      </c>
      <c r="Z10" s="622">
        <f t="shared" ca="1" si="1"/>
        <v>8292522.3553144261</v>
      </c>
      <c r="AA10" s="622">
        <f t="shared" ca="1" si="1"/>
        <v>8292522.3553144261</v>
      </c>
      <c r="AB10" s="622">
        <f t="shared" ca="1" si="1"/>
        <v>8292522.3553144261</v>
      </c>
      <c r="AC10" s="622">
        <f t="shared" ca="1" si="1"/>
        <v>8292522.3553144261</v>
      </c>
      <c r="AD10" s="622">
        <f t="shared" ca="1" si="1"/>
        <v>8292522.3553144261</v>
      </c>
      <c r="AE10" s="622">
        <f ca="1">S10</f>
        <v>8292522.3553144261</v>
      </c>
      <c r="AF10" s="624"/>
    </row>
    <row r="11" spans="1:33" ht="16.5" customHeight="1">
      <c r="B11" s="625"/>
      <c r="C11" s="625"/>
      <c r="D11" s="625"/>
      <c r="E11" s="626"/>
      <c r="F11" s="626"/>
      <c r="G11" s="626"/>
      <c r="H11" s="626"/>
      <c r="I11" s="626"/>
      <c r="J11" s="626"/>
      <c r="K11" s="626"/>
      <c r="L11" s="626"/>
      <c r="M11" s="626"/>
      <c r="N11" s="626"/>
      <c r="O11" s="626"/>
      <c r="P11" s="626"/>
      <c r="Q11" s="626"/>
      <c r="R11" s="626"/>
      <c r="S11" s="626"/>
      <c r="T11" s="626"/>
      <c r="U11" s="626"/>
      <c r="V11" s="626"/>
      <c r="W11" s="626"/>
      <c r="X11" s="626"/>
      <c r="Y11" s="626"/>
      <c r="Z11" s="626"/>
      <c r="AA11" s="626"/>
      <c r="AB11" s="626"/>
      <c r="AC11" s="626"/>
      <c r="AD11" s="626"/>
      <c r="AE11" s="626"/>
    </row>
    <row r="12" spans="1:33" s="601" customFormat="1" ht="16.5" customHeight="1">
      <c r="A12" s="627" t="str">
        <f>'CF-ACPL（合并）'!A12</f>
        <v>经营活动现金流入小计</v>
      </c>
      <c r="B12" s="628">
        <f t="shared" ref="B12:B18" si="2">INDEX($E12:$P12,1,MATCH($B$4,$E$4:$P$4))</f>
        <v>0</v>
      </c>
      <c r="C12" s="628">
        <f t="shared" ref="C12:C18" ca="1" si="3">SUM($E12:OFFSET($E12,0,MATCH($C$4,$E$4:$P$4)-1))</f>
        <v>0</v>
      </c>
      <c r="D12" s="628"/>
      <c r="E12" s="628">
        <f t="shared" ref="E12:Q12" si="4">SUM(E13:E17)</f>
        <v>0</v>
      </c>
      <c r="F12" s="628">
        <f t="shared" si="4"/>
        <v>0</v>
      </c>
      <c r="G12" s="628">
        <f t="shared" si="4"/>
        <v>6860</v>
      </c>
      <c r="H12" s="628">
        <f t="shared" si="4"/>
        <v>182145.17884975369</v>
      </c>
      <c r="I12" s="628">
        <f t="shared" si="4"/>
        <v>2829606.9592905273</v>
      </c>
      <c r="J12" s="628">
        <f t="shared" si="4"/>
        <v>437921.47371883737</v>
      </c>
      <c r="K12" s="628">
        <f t="shared" si="4"/>
        <v>1254685.1648608253</v>
      </c>
      <c r="L12" s="628">
        <f t="shared" si="4"/>
        <v>0</v>
      </c>
      <c r="M12" s="628">
        <f t="shared" si="4"/>
        <v>0</v>
      </c>
      <c r="N12" s="628">
        <f t="shared" si="4"/>
        <v>2719656.1958828056</v>
      </c>
      <c r="O12" s="628">
        <f t="shared" si="4"/>
        <v>0</v>
      </c>
      <c r="P12" s="628">
        <f t="shared" si="4"/>
        <v>246716.32322188024</v>
      </c>
      <c r="Q12" s="628">
        <f t="shared" si="4"/>
        <v>7677591.2958246302</v>
      </c>
      <c r="R12" s="623"/>
      <c r="S12" s="628">
        <f t="shared" ref="S12:AE12" si="5">SUM(S13:S17)</f>
        <v>0</v>
      </c>
      <c r="T12" s="628">
        <f t="shared" si="5"/>
        <v>0</v>
      </c>
      <c r="U12" s="628">
        <f t="shared" si="5"/>
        <v>0</v>
      </c>
      <c r="V12" s="628">
        <f t="shared" si="5"/>
        <v>0</v>
      </c>
      <c r="W12" s="628">
        <f t="shared" si="5"/>
        <v>0</v>
      </c>
      <c r="X12" s="628">
        <f t="shared" si="5"/>
        <v>0</v>
      </c>
      <c r="Y12" s="628">
        <f t="shared" si="5"/>
        <v>0</v>
      </c>
      <c r="Z12" s="628">
        <f t="shared" si="5"/>
        <v>0</v>
      </c>
      <c r="AA12" s="628">
        <f t="shared" si="5"/>
        <v>0</v>
      </c>
      <c r="AB12" s="628">
        <f t="shared" si="5"/>
        <v>0</v>
      </c>
      <c r="AC12" s="628">
        <f t="shared" si="5"/>
        <v>0</v>
      </c>
      <c r="AD12" s="628">
        <f t="shared" si="5"/>
        <v>0</v>
      </c>
      <c r="AE12" s="628">
        <f t="shared" si="5"/>
        <v>0</v>
      </c>
    </row>
    <row r="13" spans="1:33" ht="16.5" customHeight="1">
      <c r="A13" s="629" t="str">
        <f>'CF-ACPL（合并）'!A13</f>
        <v>咨询管理费收入收到的现金</v>
      </c>
      <c r="B13" s="626">
        <f t="shared" si="2"/>
        <v>0</v>
      </c>
      <c r="C13" s="626">
        <f t="shared" ca="1" si="3"/>
        <v>0</v>
      </c>
      <c r="D13" s="626"/>
      <c r="E13" s="626">
        <f>INDEX(情形1!$G$76:$AK$76,MATCH(E$4,情形1!$G$3:$AP$3,0))*10000</f>
        <v>0</v>
      </c>
      <c r="F13" s="626">
        <f>INDEX(情形1!$G$76:$AK$76,MATCH(F$4,情形1!$G$3:$AP$3,0))*10000</f>
        <v>0</v>
      </c>
      <c r="G13" s="626">
        <f>INDEX(情形1!$G$76:$AK$76,MATCH(G$4,情形1!$G$3:$AP$3,0))*10000</f>
        <v>0</v>
      </c>
      <c r="H13" s="626">
        <f>INDEX(情形1!$G$76:$AK$76,MATCH(H$4,情形1!$G$3:$AP$3,0))*10000</f>
        <v>0</v>
      </c>
      <c r="I13" s="626">
        <f>INDEX(情形1!$G$76:$AK$76,MATCH(I$4,情形1!$G$3:$AP$3,0))*10000</f>
        <v>2829606.9592905273</v>
      </c>
      <c r="J13" s="626">
        <f>INDEX(情形1!$G$76:$AK$76,MATCH(J$4,情形1!$G$3:$AP$3,0))*10000</f>
        <v>0</v>
      </c>
      <c r="K13" s="626">
        <f>INDEX(情形1!$G$76:$AK$76,MATCH(K$4,情形1!$G$3:$AP$3,0))*10000</f>
        <v>1254685.1648608253</v>
      </c>
      <c r="L13" s="626">
        <f>INDEX(情形1!$G$76:$AK$76,MATCH(L$4,情形1!$G$3:$AP$3,0))*10000</f>
        <v>0</v>
      </c>
      <c r="M13" s="626">
        <f>INDEX(情形1!$G$76:$AK$76,MATCH(M$4,情形1!$G$3:$AP$3,0))*10000</f>
        <v>0</v>
      </c>
      <c r="N13" s="626">
        <f>INDEX(情形1!$G$76:$AK$76,MATCH(N$4,情形1!$G$3:$AP$3,0))*10000</f>
        <v>2719656.1958828056</v>
      </c>
      <c r="O13" s="626">
        <f>INDEX(情形1!$G$76:$AK$76,MATCH(O$4,情形1!$G$3:$AP$3,0))*10000</f>
        <v>0</v>
      </c>
      <c r="P13" s="626">
        <f>INDEX(情形1!$G$76:$AK$76,MATCH(P$4,情形1!$G$3:$AP$3,0))*10000</f>
        <v>0</v>
      </c>
      <c r="Q13" s="626">
        <f>SUM(E13:P13)</f>
        <v>6803948.3200341584</v>
      </c>
      <c r="R13" s="626"/>
      <c r="S13" s="626"/>
      <c r="T13" s="626"/>
      <c r="U13" s="626"/>
      <c r="V13" s="626"/>
      <c r="W13" s="626"/>
      <c r="X13" s="626"/>
      <c r="Y13" s="626"/>
      <c r="Z13" s="626"/>
      <c r="AA13" s="626"/>
      <c r="AB13" s="626"/>
      <c r="AC13" s="626"/>
      <c r="AD13" s="626"/>
      <c r="AE13" s="626">
        <f>SUM(S13:AD13)</f>
        <v>0</v>
      </c>
    </row>
    <row r="14" spans="1:33" ht="16.5" customHeight="1">
      <c r="A14" s="629" t="str">
        <f>'CF-ACPL（合并）'!A14</f>
        <v>基金管理费收入收到的现金</v>
      </c>
      <c r="B14" s="626">
        <f t="shared" si="2"/>
        <v>0</v>
      </c>
      <c r="C14" s="626">
        <f t="shared" ca="1" si="3"/>
        <v>0</v>
      </c>
      <c r="D14" s="626"/>
      <c r="E14" s="626">
        <f>INDEX(情形1!$G$73:$AK$73,MATCH(E$4,情形1!$G$3:$AP$3,0))*10000</f>
        <v>0</v>
      </c>
      <c r="F14" s="626">
        <f>INDEX(情形1!$G$73:$AK$73,MATCH(F$4,情形1!$G$3:$AP$3,0))*10000</f>
        <v>0</v>
      </c>
      <c r="G14" s="626">
        <f>INDEX(情形1!$G$73:$AK$73,MATCH(G$4,情形1!$G$3:$AP$3,0))*10000</f>
        <v>0</v>
      </c>
      <c r="H14" s="626">
        <f>INDEX(情形1!$G$73:$AK$73,MATCH(H$4,情形1!$G$3:$AP$3,0))*10000</f>
        <v>182145.17884975369</v>
      </c>
      <c r="I14" s="626">
        <f>INDEX(情形1!$G$73:$AK$73,MATCH(I$4,情形1!$G$3:$AP$3,0))*10000</f>
        <v>0</v>
      </c>
      <c r="J14" s="626">
        <f>INDEX(情形1!$G$73:$AK$73,MATCH(J$4,情形1!$G$3:$AP$3,0))*10000</f>
        <v>437921.47371883737</v>
      </c>
      <c r="K14" s="626">
        <f>INDEX(情形1!$G$73:$AK$73,MATCH(K$4,情形1!$G$3:$AP$3,0))*10000</f>
        <v>0</v>
      </c>
      <c r="L14" s="626">
        <f>INDEX(情形1!$G$73:$AK$73,MATCH(L$4,情形1!$G$3:$AP$3,0))*10000</f>
        <v>0</v>
      </c>
      <c r="M14" s="626">
        <f>INDEX(情形1!$G$73:$AK$73,MATCH(M$4,情形1!$G$3:$AP$3,0))*10000</f>
        <v>0</v>
      </c>
      <c r="N14" s="626">
        <f>INDEX(情形1!$G$73:$AK$73,MATCH(N$4,情形1!$G$3:$AP$3,0))*10000</f>
        <v>0</v>
      </c>
      <c r="O14" s="626">
        <f>INDEX(情形1!$G$73:$AK$73,MATCH(O$4,情形1!$G$3:$AP$3,0))*10000</f>
        <v>0</v>
      </c>
      <c r="P14" s="626">
        <f>INDEX(情形1!$G$73:$AK$73,MATCH(P$4,情形1!$G$3:$AP$3,0))*10000</f>
        <v>246716.32322188024</v>
      </c>
      <c r="Q14" s="626">
        <f>SUM(E14:P14)</f>
        <v>866782.9757904713</v>
      </c>
      <c r="R14" s="626"/>
      <c r="S14" s="626"/>
      <c r="T14" s="626"/>
      <c r="U14" s="626"/>
      <c r="V14" s="626"/>
      <c r="W14" s="626"/>
      <c r="X14" s="626"/>
      <c r="Y14" s="626"/>
      <c r="Z14" s="626"/>
      <c r="AA14" s="626"/>
      <c r="AB14" s="626"/>
      <c r="AC14" s="626"/>
      <c r="AD14" s="626"/>
      <c r="AE14" s="626"/>
    </row>
    <row r="15" spans="1:33" ht="16.5" customHeight="1">
      <c r="A15" s="629" t="str">
        <f>'CF-ACPL（合并）'!A15</f>
        <v>收到的税费返还</v>
      </c>
      <c r="B15" s="623">
        <f t="shared" si="2"/>
        <v>0</v>
      </c>
      <c r="C15" s="626">
        <f t="shared" ca="1" si="3"/>
        <v>0</v>
      </c>
      <c r="D15" s="626"/>
      <c r="E15" s="626"/>
      <c r="F15" s="626"/>
      <c r="G15" s="626">
        <f>'Budget-ACPLSZ'!M179</f>
        <v>6860</v>
      </c>
      <c r="H15" s="626"/>
      <c r="I15" s="626"/>
      <c r="J15" s="626"/>
      <c r="K15" s="626"/>
      <c r="L15" s="630"/>
      <c r="M15" s="630"/>
      <c r="N15" s="630"/>
      <c r="O15" s="630"/>
      <c r="P15" s="630"/>
      <c r="Q15" s="626">
        <f t="shared" ref="Q15:Q17" si="6">SUM(E15:P15)</f>
        <v>6860</v>
      </c>
      <c r="R15" s="626"/>
      <c r="S15" s="630"/>
      <c r="T15" s="630"/>
      <c r="U15" s="630"/>
      <c r="V15" s="630"/>
      <c r="W15" s="630"/>
      <c r="X15" s="630"/>
      <c r="Y15" s="630"/>
      <c r="Z15" s="630"/>
      <c r="AA15" s="630"/>
      <c r="AB15" s="630"/>
      <c r="AC15" s="630"/>
      <c r="AD15" s="630"/>
      <c r="AE15" s="626">
        <f>SUM(S15:AD15)</f>
        <v>0</v>
      </c>
    </row>
    <row r="16" spans="1:33" ht="16.5" customHeight="1">
      <c r="A16" s="629" t="str">
        <f>'CF-ACPL（合并）'!A16</f>
        <v>其他收入收到的现金（备注）</v>
      </c>
      <c r="B16" s="623">
        <f t="shared" si="2"/>
        <v>0</v>
      </c>
      <c r="C16" s="626">
        <f t="shared" ca="1" si="3"/>
        <v>0</v>
      </c>
      <c r="D16" s="626"/>
      <c r="E16" s="626"/>
      <c r="F16" s="626"/>
      <c r="G16" s="626"/>
      <c r="H16" s="626"/>
      <c r="I16" s="626"/>
      <c r="J16" s="626"/>
      <c r="K16" s="626"/>
      <c r="L16" s="630"/>
      <c r="M16" s="630"/>
      <c r="N16" s="630"/>
      <c r="O16" s="630"/>
      <c r="P16" s="630"/>
      <c r="Q16" s="626">
        <f t="shared" si="6"/>
        <v>0</v>
      </c>
      <c r="R16" s="626"/>
      <c r="S16" s="630"/>
      <c r="T16" s="630"/>
      <c r="U16" s="630"/>
      <c r="V16" s="630"/>
      <c r="W16" s="630"/>
      <c r="X16" s="630"/>
      <c r="Y16" s="630"/>
      <c r="Z16" s="630"/>
      <c r="AA16" s="630"/>
      <c r="AB16" s="630"/>
      <c r="AC16" s="630"/>
      <c r="AD16" s="630"/>
      <c r="AE16" s="626">
        <f>SUM(S16:AD16)</f>
        <v>0</v>
      </c>
    </row>
    <row r="17" spans="1:32" ht="16.5" customHeight="1">
      <c r="A17" s="629" t="str">
        <f>'CF-ACPL（合并）'!A17</f>
        <v>收到的其他与经营活动有关的现金</v>
      </c>
      <c r="B17" s="623">
        <f t="shared" si="2"/>
        <v>0</v>
      </c>
      <c r="C17" s="626">
        <f t="shared" ca="1" si="3"/>
        <v>0</v>
      </c>
      <c r="D17" s="626"/>
      <c r="E17" s="626"/>
      <c r="F17" s="626"/>
      <c r="G17" s="626"/>
      <c r="H17" s="626"/>
      <c r="I17" s="626"/>
      <c r="J17" s="626"/>
      <c r="K17" s="626"/>
      <c r="L17" s="630"/>
      <c r="M17" s="630"/>
      <c r="N17" s="630"/>
      <c r="O17" s="630"/>
      <c r="P17" s="630"/>
      <c r="Q17" s="626">
        <f t="shared" si="6"/>
        <v>0</v>
      </c>
      <c r="R17" s="626"/>
      <c r="S17" s="630"/>
      <c r="T17" s="630"/>
      <c r="U17" s="630"/>
      <c r="V17" s="630"/>
      <c r="W17" s="630"/>
      <c r="X17" s="630"/>
      <c r="Y17" s="630"/>
      <c r="Z17" s="630"/>
      <c r="AA17" s="630"/>
      <c r="AB17" s="630"/>
      <c r="AC17" s="630"/>
      <c r="AD17" s="630"/>
      <c r="AE17" s="626">
        <f>SUM(S17:AD17)</f>
        <v>0</v>
      </c>
    </row>
    <row r="18" spans="1:32" s="601" customFormat="1" ht="16.5" customHeight="1">
      <c r="A18" s="631" t="str">
        <f>'CF-ACPL（合并）'!A18</f>
        <v>经营活动现金流出小计</v>
      </c>
      <c r="B18" s="632">
        <f t="shared" ca="1" si="2"/>
        <v>-600193.29466666654</v>
      </c>
      <c r="C18" s="632">
        <f t="shared" ca="1" si="3"/>
        <v>-600193.29466666654</v>
      </c>
      <c r="D18" s="632"/>
      <c r="E18" s="632">
        <f t="shared" ref="E18:Q18" ca="1" si="7">SUM(E19:E27)</f>
        <v>-600193.29466666654</v>
      </c>
      <c r="F18" s="632">
        <f t="shared" ca="1" si="7"/>
        <v>-668977.62466666661</v>
      </c>
      <c r="G18" s="632">
        <f t="shared" ca="1" si="7"/>
        <v>-555459.51466666651</v>
      </c>
      <c r="H18" s="632">
        <f t="shared" ca="1" si="7"/>
        <v>-986413.23166666646</v>
      </c>
      <c r="I18" s="632">
        <f t="shared" ca="1" si="7"/>
        <v>-877444.3716666667</v>
      </c>
      <c r="J18" s="632">
        <f t="shared" ca="1" si="7"/>
        <v>-1271032.2416666667</v>
      </c>
      <c r="K18" s="632">
        <f t="shared" ca="1" si="7"/>
        <v>-934774.93166666664</v>
      </c>
      <c r="L18" s="632">
        <f t="shared" ca="1" si="7"/>
        <v>-884340.20166666678</v>
      </c>
      <c r="M18" s="632">
        <f t="shared" ca="1" si="7"/>
        <v>-1030140.2016666668</v>
      </c>
      <c r="N18" s="632">
        <f t="shared" ca="1" si="7"/>
        <v>-965871.7316666668</v>
      </c>
      <c r="O18" s="632">
        <f t="shared" ca="1" si="7"/>
        <v>-880140.20166666678</v>
      </c>
      <c r="P18" s="632">
        <f t="shared" ca="1" si="7"/>
        <v>-2755473.2290952383</v>
      </c>
      <c r="Q18" s="632">
        <f t="shared" ca="1" si="7"/>
        <v>-12410260.776428571</v>
      </c>
      <c r="R18" s="623"/>
      <c r="S18" s="632">
        <f t="shared" ref="S18:AE18" si="8">SUM(S19:S27)</f>
        <v>0</v>
      </c>
      <c r="T18" s="632">
        <f t="shared" si="8"/>
        <v>0</v>
      </c>
      <c r="U18" s="632">
        <f t="shared" si="8"/>
        <v>0</v>
      </c>
      <c r="V18" s="632">
        <f t="shared" si="8"/>
        <v>0</v>
      </c>
      <c r="W18" s="632">
        <f t="shared" si="8"/>
        <v>0</v>
      </c>
      <c r="X18" s="632">
        <f t="shared" si="8"/>
        <v>0</v>
      </c>
      <c r="Y18" s="632">
        <f t="shared" si="8"/>
        <v>0</v>
      </c>
      <c r="Z18" s="632">
        <f t="shared" si="8"/>
        <v>0</v>
      </c>
      <c r="AA18" s="632">
        <f t="shared" si="8"/>
        <v>0</v>
      </c>
      <c r="AB18" s="632">
        <f t="shared" si="8"/>
        <v>0</v>
      </c>
      <c r="AC18" s="632">
        <f t="shared" si="8"/>
        <v>0</v>
      </c>
      <c r="AD18" s="632">
        <f t="shared" si="8"/>
        <v>0</v>
      </c>
      <c r="AE18" s="632">
        <f t="shared" si="8"/>
        <v>0</v>
      </c>
    </row>
    <row r="19" spans="1:32" ht="16.5" customHeight="1">
      <c r="A19" s="629" t="str">
        <f>'CF-ACPL（合并）'!A19</f>
        <v>购买商品/接受劳务支付的现金</v>
      </c>
      <c r="B19" s="623">
        <f t="shared" ref="B19:B27" si="9">INDEX($E19:$P19,1,MATCH($B$4,$E$4:$P$4))</f>
        <v>0</v>
      </c>
      <c r="C19" s="626">
        <f t="shared" ref="C19:C27" ca="1" si="10">SUM($E19:OFFSET($E19,0,MATCH($C$4,$E$4:$P$4)-1))</f>
        <v>0</v>
      </c>
      <c r="D19" s="626"/>
      <c r="E19" s="626"/>
      <c r="F19" s="626"/>
      <c r="G19" s="626"/>
      <c r="H19" s="626"/>
      <c r="I19" s="626"/>
      <c r="J19" s="626"/>
      <c r="K19" s="626"/>
      <c r="L19" s="626"/>
      <c r="M19" s="630"/>
      <c r="N19" s="626"/>
      <c r="O19" s="626"/>
      <c r="P19" s="626"/>
      <c r="Q19" s="626">
        <f t="shared" ref="Q19:Q27" si="11">SUM(E19:P19)</f>
        <v>0</v>
      </c>
      <c r="R19" s="626"/>
      <c r="S19" s="630"/>
      <c r="T19" s="630"/>
      <c r="U19" s="630"/>
      <c r="V19" s="630"/>
      <c r="W19" s="630"/>
      <c r="X19" s="630"/>
      <c r="Y19" s="630"/>
      <c r="Z19" s="630"/>
      <c r="AA19" s="630"/>
      <c r="AB19" s="630"/>
      <c r="AC19" s="630"/>
      <c r="AD19" s="630"/>
      <c r="AE19" s="626">
        <f t="shared" ref="AE19:AE25" si="12">SUM(S19:AD19)</f>
        <v>0</v>
      </c>
    </row>
    <row r="20" spans="1:32" ht="16.5" customHeight="1">
      <c r="A20" s="629" t="str">
        <f>'CF-ACPL（合并）'!A20</f>
        <v>所得税支付的现金</v>
      </c>
      <c r="B20" s="623">
        <f t="shared" si="9"/>
        <v>0</v>
      </c>
      <c r="C20" s="626">
        <f t="shared" ca="1" si="10"/>
        <v>0</v>
      </c>
      <c r="D20" s="626"/>
      <c r="E20" s="626"/>
      <c r="F20" s="626"/>
      <c r="G20" s="626"/>
      <c r="H20" s="626"/>
      <c r="I20" s="626"/>
      <c r="J20" s="626"/>
      <c r="K20" s="626"/>
      <c r="L20" s="630"/>
      <c r="M20" s="630"/>
      <c r="N20" s="630"/>
      <c r="O20" s="630"/>
      <c r="P20" s="630"/>
      <c r="Q20" s="626">
        <f t="shared" si="11"/>
        <v>0</v>
      </c>
      <c r="R20" s="626"/>
      <c r="S20" s="630"/>
      <c r="T20" s="630"/>
      <c r="U20" s="630"/>
      <c r="V20" s="630"/>
      <c r="W20" s="630"/>
      <c r="X20" s="630"/>
      <c r="Y20" s="630"/>
      <c r="Z20" s="630"/>
      <c r="AA20" s="630"/>
      <c r="AB20" s="630"/>
      <c r="AC20" s="630"/>
      <c r="AD20" s="630"/>
      <c r="AE20" s="626">
        <f t="shared" si="12"/>
        <v>0</v>
      </c>
    </row>
    <row r="21" spans="1:32" ht="16.5" customHeight="1">
      <c r="A21" s="629" t="str">
        <f>'CF-ACPL（合并）'!A21</f>
        <v>增值税及附加支付的现金</v>
      </c>
      <c r="B21" s="626">
        <f t="shared" si="9"/>
        <v>0</v>
      </c>
      <c r="C21" s="626">
        <f t="shared" ca="1" si="10"/>
        <v>0</v>
      </c>
      <c r="D21" s="626"/>
      <c r="E21" s="626">
        <f>-INDEX('Budget-ACPLSZ'!$K$19:$V$19,MATCH(E$4,'Budget-ACPLSZ'!$K$6:$V$6,0))</f>
        <v>0</v>
      </c>
      <c r="F21" s="626">
        <f>-INDEX('Budget-ACPLSZ'!$K$19:$V$19,MATCH(F$4,'Budget-ACPLSZ'!$K$6:$V$6,0))</f>
        <v>0</v>
      </c>
      <c r="G21" s="626">
        <f>-INDEX('Budget-ACPLSZ'!$K$19:$V$19,MATCH(G$4,'Budget-ACPLSZ'!$K$6:$V$6,0))</f>
        <v>0</v>
      </c>
      <c r="H21" s="626">
        <f>-INDEX('Budget-ACPLSZ'!$K$19:$V$19,MATCH(H$4,'Budget-ACPLSZ'!$K$6:$V$6,0))</f>
        <v>-1311.4399999999998</v>
      </c>
      <c r="I21" s="626">
        <f>-INDEX('Budget-ACPLSZ'!$K$19:$V$19,MATCH(I$4,'Budget-ACPLSZ'!$K$6:$V$6,0))</f>
        <v>-20373.169999999998</v>
      </c>
      <c r="J21" s="626">
        <f>-INDEX('Budget-ACPLSZ'!$K$19:$V$19,MATCH(J$4,'Budget-ACPLSZ'!$K$6:$V$6,0))</f>
        <v>-3153.04</v>
      </c>
      <c r="K21" s="626">
        <f>-INDEX('Budget-ACPLSZ'!$K$19:$V$19,MATCH(K$4,'Budget-ACPLSZ'!$K$6:$V$6,0))</f>
        <v>-9033.73</v>
      </c>
      <c r="L21" s="626">
        <f>-INDEX('Budget-ACPLSZ'!$K$19:$V$19,MATCH(L$4,'Budget-ACPLSZ'!$K$6:$V$6,0))</f>
        <v>0</v>
      </c>
      <c r="M21" s="626">
        <f>-INDEX('Budget-ACPLSZ'!$K$19:$V$19,MATCH(M$4,'Budget-ACPLSZ'!$K$6:$V$6,0))</f>
        <v>0</v>
      </c>
      <c r="N21" s="626">
        <f>-INDEX('Budget-ACPLSZ'!$K$19:$V$19,MATCH(N$4,'Budget-ACPLSZ'!$K$6:$V$6,0))</f>
        <v>-19581.53</v>
      </c>
      <c r="O21" s="626">
        <f>-INDEX('Budget-ACPLSZ'!$K$19:$V$19,MATCH(O$4,'Budget-ACPLSZ'!$K$6:$V$6,0))</f>
        <v>0</v>
      </c>
      <c r="P21" s="626">
        <f>-INDEX('Budget-ACPLSZ'!$K$19:$V$19,MATCH(P$4,'Budget-ACPLSZ'!$K$6:$V$6,0))</f>
        <v>-1776.36</v>
      </c>
      <c r="Q21" s="626">
        <f t="shared" si="11"/>
        <v>-55229.27</v>
      </c>
      <c r="R21" s="626"/>
      <c r="S21" s="630"/>
      <c r="T21" s="630"/>
      <c r="U21" s="630"/>
      <c r="V21" s="630"/>
      <c r="W21" s="630"/>
      <c r="X21" s="630"/>
      <c r="Y21" s="630"/>
      <c r="Z21" s="630"/>
      <c r="AA21" s="630"/>
      <c r="AB21" s="630"/>
      <c r="AC21" s="630"/>
      <c r="AD21" s="630"/>
      <c r="AE21" s="626">
        <f t="shared" si="12"/>
        <v>0</v>
      </c>
    </row>
    <row r="22" spans="1:32" ht="16.5" customHeight="1">
      <c r="A22" s="629" t="str">
        <f>'CF-ACPL（合并）'!A22</f>
        <v>咨询管理费用支付的现金</v>
      </c>
      <c r="B22" s="626">
        <f t="shared" si="9"/>
        <v>0</v>
      </c>
      <c r="C22" s="626">
        <f t="shared" ca="1" si="10"/>
        <v>0</v>
      </c>
      <c r="D22" s="626"/>
      <c r="E22" s="626"/>
      <c r="F22" s="626"/>
      <c r="G22" s="626"/>
      <c r="H22" s="626"/>
      <c r="I22" s="626"/>
      <c r="J22" s="626"/>
      <c r="K22" s="626"/>
      <c r="L22" s="626"/>
      <c r="M22" s="626"/>
      <c r="N22" s="626"/>
      <c r="O22" s="626"/>
      <c r="P22" s="626"/>
      <c r="Q22" s="626">
        <f t="shared" si="11"/>
        <v>0</v>
      </c>
      <c r="R22" s="626"/>
      <c r="S22" s="626"/>
      <c r="T22" s="626"/>
      <c r="U22" s="626"/>
      <c r="V22" s="626"/>
      <c r="W22" s="626"/>
      <c r="X22" s="626"/>
      <c r="Y22" s="626"/>
      <c r="Z22" s="626"/>
      <c r="AA22" s="626"/>
      <c r="AB22" s="626"/>
      <c r="AC22" s="626"/>
      <c r="AD22" s="626"/>
      <c r="AE22" s="626">
        <f t="shared" si="12"/>
        <v>0</v>
      </c>
    </row>
    <row r="23" spans="1:32" ht="16.5" customHeight="1">
      <c r="A23" s="629" t="str">
        <f>'CF-ACPL（合并）'!A23</f>
        <v>支付给职工以及为职工支付的现金</v>
      </c>
      <c r="B23" s="626">
        <f t="shared" ca="1" si="9"/>
        <v>-386377.17799999984</v>
      </c>
      <c r="C23" s="626">
        <f t="shared" ca="1" si="10"/>
        <v>-386377.17799999984</v>
      </c>
      <c r="D23" s="626"/>
      <c r="E23" s="626">
        <f ca="1">-INDEX('Personnel-CN'!$W$326:$AV$326,MATCH(E$4,'Personnel-CN'!$W$15:$AV$15,0))</f>
        <v>-386377.17799999984</v>
      </c>
      <c r="F23" s="626">
        <f ca="1">-INDEX('Personnel-CN'!$W$326:$AV$326,MATCH(F$4,'Personnel-CN'!$W$15:$AV$15,0))</f>
        <v>-430231.50799999986</v>
      </c>
      <c r="G23" s="626">
        <f ca="1">-INDEX('Personnel-CN'!$W$326:$AV$326,MATCH(G$4,'Personnel-CN'!$W$15:$AV$15,0))</f>
        <v>-375999.39799999987</v>
      </c>
      <c r="H23" s="626">
        <f ca="1">-INDEX('Personnel-CN'!$W$326:$AV$326,MATCH(H$4,'Personnel-CN'!$W$15:$AV$15,0))-'Budget-ACPLSZ'!N26*汇总!$D$28</f>
        <v>-758285.67499999981</v>
      </c>
      <c r="I23" s="626">
        <f ca="1">-INDEX('Personnel-CN'!$W$326:$AV$326,MATCH(I$4,'Personnel-CN'!$W$15:$AV$15,0))</f>
        <v>-696405.08499999996</v>
      </c>
      <c r="J23" s="626">
        <f ca="1">-INDEX('Personnel-CN'!$W$326:$AV$326,MATCH(J$4,'Personnel-CN'!$W$15:$AV$15,0))</f>
        <v>-695958.08499999996</v>
      </c>
      <c r="K23" s="626">
        <f ca="1">-INDEX('Personnel-CN'!$W$326:$AV$326,MATCH(K$4,'Personnel-CN'!$W$15:$AV$15,0))</f>
        <v>-696405.08499999996</v>
      </c>
      <c r="L23" s="626">
        <f ca="1">-INDEX('Personnel-CN'!$W$326:$AV$326,MATCH(L$4,'Personnel-CN'!$W$15:$AV$15,0))</f>
        <v>-719474.08500000008</v>
      </c>
      <c r="M23" s="626">
        <f ca="1">-INDEX('Personnel-CN'!$W$326:$AV$326,MATCH(M$4,'Personnel-CN'!$W$15:$AV$15,0))</f>
        <v>-719474.08500000008</v>
      </c>
      <c r="N23" s="626">
        <f ca="1">-INDEX('Personnel-CN'!$W$326:$AV$326,MATCH(N$4,'Personnel-CN'!$W$15:$AV$15,0))</f>
        <v>-719474.08500000008</v>
      </c>
      <c r="O23" s="626">
        <f ca="1">-INDEX('Personnel-CN'!$W$326:$AV$326,MATCH(O$4,'Personnel-CN'!$W$15:$AV$15,0))</f>
        <v>-719474.08500000008</v>
      </c>
      <c r="P23" s="626">
        <f ca="1">-INDEX('Personnel-CN'!$W$326:$AV$326,MATCH(P$4,'Personnel-CN'!$W$15:$AV$15,0))</f>
        <v>-2047186.6564285713</v>
      </c>
      <c r="Q23" s="626">
        <f t="shared" ca="1" si="11"/>
        <v>-8964745.0104285702</v>
      </c>
      <c r="R23" s="626"/>
      <c r="S23" s="630"/>
      <c r="T23" s="630"/>
      <c r="U23" s="630"/>
      <c r="V23" s="630"/>
      <c r="W23" s="630"/>
      <c r="X23" s="630"/>
      <c r="Y23" s="630"/>
      <c r="Z23" s="630"/>
      <c r="AA23" s="630"/>
      <c r="AB23" s="630"/>
      <c r="AC23" s="630"/>
      <c r="AD23" s="630"/>
      <c r="AE23" s="626">
        <f t="shared" si="12"/>
        <v>0</v>
      </c>
    </row>
    <row r="24" spans="1:32" s="602" customFormat="1" ht="16.5" customHeight="1">
      <c r="A24" s="629" t="str">
        <f>'CF-ACPL（合并）'!A24</f>
        <v>支付的其他与经营活动有关的现金（租金）</v>
      </c>
      <c r="B24" s="626">
        <f t="shared" si="9"/>
        <v>-66150</v>
      </c>
      <c r="C24" s="626">
        <f t="shared" ca="1" si="10"/>
        <v>-66150</v>
      </c>
      <c r="D24" s="626"/>
      <c r="E24" s="626" cm="1">
        <f t="array" ref="E24">-SUMPRODUCT(SPACE!$O$71:$Z$71,--(INT((COLUMN(SPACE!$O$71:$Z$71)-COLUMN(SPACE!$O$71))/3)=0))</f>
        <v>-66150</v>
      </c>
      <c r="F24" s="626"/>
      <c r="G24" s="626"/>
      <c r="H24" s="626" cm="1">
        <f t="array" ref="H24">-SUMPRODUCT(SPACE!$O$71:$Z$71,--(INT((COLUMN(SPACE!$O$71:$Z$71)-COLUMN(SPACE!$O$71))/3)=0))</f>
        <v>-66150</v>
      </c>
      <c r="I24" s="626"/>
      <c r="J24" s="626"/>
      <c r="K24" s="626" cm="1">
        <f t="array" ref="K24">-SUMPRODUCT(SPACE!$O$71:$Z$71,--(INT((COLUMN(SPACE!$O$71:$Z$71)-COLUMN(SPACE!$O$71))/3)=0))</f>
        <v>-66150</v>
      </c>
      <c r="L24" s="626"/>
      <c r="M24" s="626"/>
      <c r="N24" s="626" cm="1">
        <f t="array" ref="N24">-SUMPRODUCT(SPACE!$O$71:$Z$71,--(INT((COLUMN(SPACE!$O$71:$Z$71)-COLUMN(SPACE!$O$71))/3)=0))</f>
        <v>-66150</v>
      </c>
      <c r="O24" s="626"/>
      <c r="P24" s="626">
        <f>-SPACE!Z72</f>
        <v>-545844.09600000002</v>
      </c>
      <c r="Q24" s="626">
        <f t="shared" si="11"/>
        <v>-810444.09600000002</v>
      </c>
      <c r="R24" s="626"/>
      <c r="S24" s="630"/>
      <c r="T24" s="630"/>
      <c r="U24" s="630"/>
      <c r="V24" s="630"/>
      <c r="W24" s="630"/>
      <c r="X24" s="630"/>
      <c r="Y24" s="630"/>
      <c r="Z24" s="630"/>
      <c r="AA24" s="630"/>
      <c r="AB24" s="630"/>
      <c r="AC24" s="630"/>
      <c r="AD24" s="630"/>
      <c r="AE24" s="626">
        <f t="shared" si="12"/>
        <v>0</v>
      </c>
      <c r="AF24" s="610"/>
    </row>
    <row r="25" spans="1:32" s="602" customFormat="1" ht="16.5" customHeight="1">
      <c r="A25" s="629" t="str">
        <f>'CF-ACPL（合并）'!A25</f>
        <v>支付的其他与经营活动有关的现金（专业服务费）</v>
      </c>
      <c r="B25" s="626">
        <f t="shared" si="9"/>
        <v>-3400</v>
      </c>
      <c r="C25" s="626">
        <f t="shared" ca="1" si="10"/>
        <v>-3400</v>
      </c>
      <c r="D25" s="626"/>
      <c r="E25" s="626">
        <f>-SUMIFS('Prof. Fee'!AF:AF,'Prof. Fee'!$B:$B,$C$1,'Prof. Fee'!$C:$C,$A25)</f>
        <v>-3400</v>
      </c>
      <c r="F25" s="626">
        <f>-SUMIFS('Prof. Fee'!AG:AG,'Prof. Fee'!$B:$B,$C$1,'Prof. Fee'!$C:$C,$A25)</f>
        <v>-94480</v>
      </c>
      <c r="G25" s="626">
        <f>-SUMIFS('Prof. Fee'!AH:AH,'Prof. Fee'!$B:$B,$C$1,'Prof. Fee'!$C:$C,$A25)</f>
        <v>-3400</v>
      </c>
      <c r="H25" s="626">
        <f>-SUMIFS('Prof. Fee'!AI:AI,'Prof. Fee'!$B:$B,$C$1,'Prof. Fee'!$C:$C,$A25)</f>
        <v>-16400</v>
      </c>
      <c r="I25" s="626">
        <f>-SUMIFS('Prof. Fee'!AJ:AJ,'Prof. Fee'!$B:$B,$C$1,'Prof. Fee'!$C:$C,$A25)</f>
        <v>-16400</v>
      </c>
      <c r="J25" s="626">
        <f>-SUMIFS('Prof. Fee'!AK:AK,'Prof. Fee'!$B:$B,$C$1,'Prof. Fee'!$C:$C,$A25)</f>
        <v>-427655</v>
      </c>
      <c r="K25" s="626">
        <f>-SUMIFS('Prof. Fee'!AL:AL,'Prof. Fee'!$B:$B,$C$1,'Prof. Fee'!$C:$C,$A25)</f>
        <v>-18920</v>
      </c>
      <c r="L25" s="626">
        <f>-SUMIFS('Prof. Fee'!AM:AM,'Prof. Fee'!$B:$B,$C$1,'Prof. Fee'!$C:$C,$A25)</f>
        <v>-20600</v>
      </c>
      <c r="M25" s="626">
        <f>-SUMIFS('Prof. Fee'!AN:AN,'Prof. Fee'!$B:$B,$C$1,'Prof. Fee'!$C:$C,$A25)</f>
        <v>-166400</v>
      </c>
      <c r="N25" s="626">
        <f>-SUMIFS('Prof. Fee'!AO:AO,'Prof. Fee'!$B:$B,$C$1,'Prof. Fee'!$C:$C,$A25)</f>
        <v>-16400</v>
      </c>
      <c r="O25" s="626">
        <f>-SUMIFS('Prof. Fee'!AP:AP,'Prof. Fee'!$B:$B,$C$1,'Prof. Fee'!$C:$C,$A25)</f>
        <v>-16400</v>
      </c>
      <c r="P25" s="626">
        <f>-SUMIFS('Prof. Fee'!AQ:AQ,'Prof. Fee'!$B:$B,$C$1,'Prof. Fee'!$C:$C,$A25)</f>
        <v>-16400</v>
      </c>
      <c r="Q25" s="626">
        <f t="shared" si="11"/>
        <v>-816855</v>
      </c>
      <c r="R25" s="626"/>
      <c r="S25" s="630"/>
      <c r="T25" s="630"/>
      <c r="U25" s="630"/>
      <c r="V25" s="630"/>
      <c r="W25" s="630"/>
      <c r="X25" s="630"/>
      <c r="Y25" s="630"/>
      <c r="Z25" s="630"/>
      <c r="AA25" s="630"/>
      <c r="AB25" s="630"/>
      <c r="AC25" s="630"/>
      <c r="AD25" s="630"/>
      <c r="AE25" s="626">
        <f t="shared" si="12"/>
        <v>0</v>
      </c>
      <c r="AF25" s="610"/>
    </row>
    <row r="26" spans="1:32" s="602" customFormat="1" ht="16.5" customHeight="1">
      <c r="A26" s="629" t="str">
        <f>'CF-ACPL（合并）'!A26</f>
        <v>支付的其他与经营活动有关的现金（员工报销）</v>
      </c>
      <c r="B26" s="626">
        <f t="shared" si="9"/>
        <v>-124800</v>
      </c>
      <c r="C26" s="626">
        <f t="shared" ca="1" si="10"/>
        <v>-124800</v>
      </c>
      <c r="D26" s="626"/>
      <c r="E26" s="626">
        <f>-SUMIFS('T&amp;E'!N47:N140,'T&amp;E'!$B$47:$B$140,$C$1,'T&amp;E'!$E$47:$E$140,$A26)</f>
        <v>-124800</v>
      </c>
      <c r="F26" s="626">
        <f>-SUMIFS('T&amp;E'!O47:O140,'T&amp;E'!$B$47:$B$140,$C$1,'T&amp;E'!$E$47:$E$140,$A26)</f>
        <v>-124800</v>
      </c>
      <c r="G26" s="626">
        <f>-SUMIFS('T&amp;E'!P47:P140,'T&amp;E'!$B$47:$B$140,$C$1,'T&amp;E'!$E$47:$E$140,$A26)</f>
        <v>-124800</v>
      </c>
      <c r="H26" s="626">
        <f>-SUMIFS('T&amp;E'!Q47:Q140,'T&amp;E'!$B$47:$B$140,$C$1,'T&amp;E'!$E$47:$E$140,$A26)</f>
        <v>-124800</v>
      </c>
      <c r="I26" s="626">
        <f>-SUMIFS('T&amp;E'!R47:R140,'T&amp;E'!$B$47:$B$140,$C$1,'T&amp;E'!$E$47:$E$140,$A26)</f>
        <v>-124800</v>
      </c>
      <c r="J26" s="626">
        <f>-SUMIFS('T&amp;E'!S47:S140,'T&amp;E'!$B$47:$B$140,$C$1,'T&amp;E'!$E$47:$E$140,$A26)</f>
        <v>-124800</v>
      </c>
      <c r="K26" s="626">
        <f>-SUMIFS('T&amp;E'!T47:T140,'T&amp;E'!$B$47:$B$140,$C$1,'T&amp;E'!$E$47:$E$140,$A26)</f>
        <v>-124800</v>
      </c>
      <c r="L26" s="626">
        <f>-SUMIFS('T&amp;E'!U47:U140,'T&amp;E'!$B$47:$B$140,$C$1,'T&amp;E'!$E$47:$E$140,$A26)</f>
        <v>-124800</v>
      </c>
      <c r="M26" s="626">
        <f>-SUMIFS('T&amp;E'!V47:V140,'T&amp;E'!$B$47:$B$140,$C$1,'T&amp;E'!$E$47:$E$140,$A26)</f>
        <v>-124800</v>
      </c>
      <c r="N26" s="626">
        <f>-SUMIFS('T&amp;E'!W47:W140,'T&amp;E'!$B$47:$B$140,$C$1,'T&amp;E'!$E$47:$E$140,$A26)</f>
        <v>-124800</v>
      </c>
      <c r="O26" s="626">
        <f>-SUMIFS('T&amp;E'!X47:X140,'T&amp;E'!$B$47:$B$140,$C$1,'T&amp;E'!$E$47:$E$140,$A26)</f>
        <v>-124800</v>
      </c>
      <c r="P26" s="626">
        <f>-SUMIFS('T&amp;E'!Y47:Y140,'T&amp;E'!$B$47:$B$140,$C$1,'T&amp;E'!$E$47:$E$140,$A26)</f>
        <v>-124800</v>
      </c>
      <c r="Q26" s="626">
        <f t="shared" si="11"/>
        <v>-1497600</v>
      </c>
      <c r="R26" s="626"/>
      <c r="S26" s="630"/>
      <c r="T26" s="630"/>
      <c r="U26" s="630"/>
      <c r="V26" s="630"/>
      <c r="W26" s="630"/>
      <c r="X26" s="630"/>
      <c r="Y26" s="630"/>
      <c r="Z26" s="630"/>
      <c r="AA26" s="630"/>
      <c r="AB26" s="630"/>
      <c r="AC26" s="630"/>
      <c r="AD26" s="630"/>
      <c r="AE26" s="626"/>
      <c r="AF26" s="610"/>
    </row>
    <row r="27" spans="1:32" ht="16.5" customHeight="1">
      <c r="A27" s="629" t="str">
        <f>'CF-ACPL（合并）'!A27</f>
        <v>支付的其他与经营活动有关的现金（其他）</v>
      </c>
      <c r="B27" s="626">
        <f t="shared" si="9"/>
        <v>-19466.116666666669</v>
      </c>
      <c r="C27" s="626">
        <f t="shared" ca="1" si="10"/>
        <v>-19466.116666666669</v>
      </c>
      <c r="D27" s="626"/>
      <c r="E27" s="626">
        <f>-(SUMIFS(SPACE!O:O,SPACE!$A:$A,$C$1,SPACE!$F:$F,$A27)+SUMIFS('Other Exp'!AG:AG,'Other Exp'!$B:$B,$C$1,'Other Exp'!$D:$D,$A27))</f>
        <v>-19466.116666666669</v>
      </c>
      <c r="F27" s="626">
        <f>-(SUMIFS(SPACE!P:P,SPACE!$A:$A,$C$1,SPACE!$F:$F,$A27)+SUMIFS('Other Exp'!AH:AH,'Other Exp'!$B:$B,$C$1,'Other Exp'!$D:$D,$A27))</f>
        <v>-19466.116666666669</v>
      </c>
      <c r="G27" s="626">
        <f>-(SUMIFS(SPACE!Q:Q,SPACE!$A:$A,$C$1,SPACE!$F:$F,$A27)+SUMIFS('Other Exp'!AI:AI,'Other Exp'!$B:$B,$C$1,'Other Exp'!$D:$D,$A27))</f>
        <v>-51260.116666666669</v>
      </c>
      <c r="H27" s="626">
        <f>-(SUMIFS(SPACE!R:R,SPACE!$A:$A,$C$1,SPACE!$F:$F,$A27)+SUMIFS('Other Exp'!AJ:AJ,'Other Exp'!$B:$B,$C$1,'Other Exp'!$D:$D,$A27))</f>
        <v>-19466.116666666669</v>
      </c>
      <c r="I27" s="626">
        <f>-(SUMIFS(SPACE!S:S,SPACE!$A:$A,$C$1,SPACE!$F:$F,$A27)+SUMIFS('Other Exp'!AK:AK,'Other Exp'!$B:$B,$C$1,'Other Exp'!$D:$D,$A27))</f>
        <v>-19466.116666666669</v>
      </c>
      <c r="J27" s="626">
        <f>-(SUMIFS(SPACE!T:T,SPACE!$A:$A,$C$1,SPACE!$F:$F,$A27)+SUMIFS('Other Exp'!AL:AL,'Other Exp'!$B:$B,$C$1,'Other Exp'!$D:$D,$A27))</f>
        <v>-19466.116666666669</v>
      </c>
      <c r="K27" s="626">
        <f>-(SUMIFS(SPACE!U:U,SPACE!$A:$A,$C$1,SPACE!$F:$F,$A27)+SUMIFS('Other Exp'!AM:AM,'Other Exp'!$B:$B,$C$1,'Other Exp'!$D:$D,$A27))</f>
        <v>-19466.116666666669</v>
      </c>
      <c r="L27" s="626">
        <f>-(SUMIFS(SPACE!V:V,SPACE!$A:$A,$C$1,SPACE!$F:$F,$A27)+SUMIFS('Other Exp'!AN:AN,'Other Exp'!$B:$B,$C$1,'Other Exp'!$D:$D,$A27))</f>
        <v>-19466.116666666669</v>
      </c>
      <c r="M27" s="626">
        <f>-(SUMIFS(SPACE!W:W,SPACE!$A:$A,$C$1,SPACE!$F:$F,$A27)+SUMIFS('Other Exp'!AO:AO,'Other Exp'!$B:$B,$C$1,'Other Exp'!$D:$D,$A27))</f>
        <v>-19466.116666666669</v>
      </c>
      <c r="N27" s="626">
        <f>-(SUMIFS(SPACE!X:X,SPACE!$A:$A,$C$1,SPACE!$F:$F,$A27)+SUMIFS('Other Exp'!AP:AP,'Other Exp'!$B:$B,$C$1,'Other Exp'!$D:$D,$A27))</f>
        <v>-19466.116666666669</v>
      </c>
      <c r="O27" s="626">
        <f>-(SUMIFS(SPACE!Y:Y,SPACE!$A:$A,$C$1,SPACE!$F:$F,$A27)+SUMIFS('Other Exp'!AQ:AQ,'Other Exp'!$B:$B,$C$1,'Other Exp'!$D:$D,$A27))</f>
        <v>-19466.116666666669</v>
      </c>
      <c r="P27" s="626">
        <f>-(SUMIFS(SPACE!Z:Z,SPACE!$A:$A,$C$1,SPACE!$F:$F,$A27)+SUMIFS('Other Exp'!AR:AR,'Other Exp'!$B:$B,$C$1,'Other Exp'!$D:$D,$A27))</f>
        <v>-19466.116666666669</v>
      </c>
      <c r="Q27" s="626">
        <f t="shared" si="11"/>
        <v>-265387.40000000002</v>
      </c>
      <c r="R27" s="626">
        <f>SUM(Q24:Q27)+Q38+SUM(SPACE!AA67:AA86)+'T&amp;E'!Z104+'Prof. Fee'!AR87+'Other Exp'!AS99</f>
        <v>0</v>
      </c>
      <c r="S27" s="630"/>
      <c r="T27" s="626"/>
      <c r="U27" s="630"/>
      <c r="V27" s="630"/>
      <c r="W27" s="626"/>
      <c r="X27" s="630"/>
      <c r="Y27" s="630"/>
      <c r="Z27" s="626"/>
      <c r="AA27" s="630"/>
      <c r="AB27" s="630"/>
      <c r="AC27" s="626"/>
      <c r="AD27" s="630"/>
      <c r="AE27" s="626">
        <f>SUM(S27:AD27)</f>
        <v>0</v>
      </c>
    </row>
    <row r="28" spans="1:32" s="602" customFormat="1" ht="16.5" customHeight="1">
      <c r="A28" s="629"/>
      <c r="B28" s="633"/>
      <c r="C28" s="633"/>
      <c r="D28" s="633"/>
      <c r="E28" s="626"/>
      <c r="F28" s="626"/>
      <c r="G28" s="626"/>
      <c r="H28" s="626"/>
      <c r="I28" s="626"/>
      <c r="J28" s="626"/>
      <c r="K28" s="626"/>
      <c r="L28" s="630"/>
      <c r="M28" s="630"/>
      <c r="N28" s="630"/>
      <c r="O28" s="630"/>
      <c r="P28" s="630"/>
      <c r="Q28" s="626"/>
      <c r="R28" s="626"/>
      <c r="S28" s="630"/>
      <c r="T28" s="626"/>
      <c r="U28" s="630"/>
      <c r="V28" s="630"/>
      <c r="W28" s="626"/>
      <c r="X28" s="630"/>
      <c r="Y28" s="630"/>
      <c r="Z28" s="626"/>
      <c r="AA28" s="630"/>
      <c r="AB28" s="630"/>
      <c r="AC28" s="626"/>
      <c r="AD28" s="630"/>
      <c r="AE28" s="626"/>
      <c r="AF28" s="610"/>
    </row>
    <row r="29" spans="1:32" s="601" customFormat="1" ht="16.5" customHeight="1">
      <c r="A29" s="608" t="str">
        <f>'CF-ACPL（合并）'!A29</f>
        <v>经营活动产生的现金流量净额</v>
      </c>
      <c r="B29" s="622">
        <f t="shared" ref="B29:B32" ca="1" si="13">INDEX($E29:$P29,1,MATCH($B$4,$E$4:$P$4))</f>
        <v>-600193.29466666654</v>
      </c>
      <c r="C29" s="622">
        <f t="shared" ref="C29:C32" ca="1" si="14">SUM($E29:OFFSET($E29,0,MATCH($C$4,$E$4:$P$4)-1))</f>
        <v>-600193.29466666654</v>
      </c>
      <c r="D29" s="622"/>
      <c r="E29" s="622">
        <f ca="1">E12+E18</f>
        <v>-600193.29466666654</v>
      </c>
      <c r="F29" s="622">
        <f ca="1">F12+F18</f>
        <v>-668977.62466666661</v>
      </c>
      <c r="G29" s="622">
        <f t="shared" ref="G29:Q29" ca="1" si="15">G12+G18</f>
        <v>-548599.51466666651</v>
      </c>
      <c r="H29" s="622">
        <f t="shared" ca="1" si="15"/>
        <v>-804268.05281691276</v>
      </c>
      <c r="I29" s="622">
        <f t="shared" ca="1" si="15"/>
        <v>1952162.5876238607</v>
      </c>
      <c r="J29" s="622">
        <f t="shared" ca="1" si="15"/>
        <v>-833110.76794782933</v>
      </c>
      <c r="K29" s="622">
        <f t="shared" ca="1" si="15"/>
        <v>319910.23319415865</v>
      </c>
      <c r="L29" s="622">
        <f t="shared" ca="1" si="15"/>
        <v>-884340.20166666678</v>
      </c>
      <c r="M29" s="622">
        <f t="shared" ca="1" si="15"/>
        <v>-1030140.2016666668</v>
      </c>
      <c r="N29" s="622">
        <f t="shared" ca="1" si="15"/>
        <v>1753784.4642161387</v>
      </c>
      <c r="O29" s="622">
        <f t="shared" ca="1" si="15"/>
        <v>-880140.20166666678</v>
      </c>
      <c r="P29" s="622">
        <f t="shared" ca="1" si="15"/>
        <v>-2508756.9058733582</v>
      </c>
      <c r="Q29" s="622">
        <f t="shared" ca="1" si="15"/>
        <v>-4732669.4806039408</v>
      </c>
      <c r="R29" s="623"/>
      <c r="S29" s="622">
        <f t="shared" ref="S29:AE29" si="16">S12-S18</f>
        <v>0</v>
      </c>
      <c r="T29" s="622">
        <f t="shared" si="16"/>
        <v>0</v>
      </c>
      <c r="U29" s="622">
        <f t="shared" si="16"/>
        <v>0</v>
      </c>
      <c r="V29" s="622">
        <f t="shared" si="16"/>
        <v>0</v>
      </c>
      <c r="W29" s="622">
        <f t="shared" si="16"/>
        <v>0</v>
      </c>
      <c r="X29" s="622">
        <f t="shared" si="16"/>
        <v>0</v>
      </c>
      <c r="Y29" s="622">
        <f t="shared" si="16"/>
        <v>0</v>
      </c>
      <c r="Z29" s="622">
        <f t="shared" si="16"/>
        <v>0</v>
      </c>
      <c r="AA29" s="622">
        <f t="shared" si="16"/>
        <v>0</v>
      </c>
      <c r="AB29" s="622">
        <f t="shared" si="16"/>
        <v>0</v>
      </c>
      <c r="AC29" s="622">
        <f t="shared" si="16"/>
        <v>0</v>
      </c>
      <c r="AD29" s="622">
        <f t="shared" si="16"/>
        <v>0</v>
      </c>
      <c r="AE29" s="622">
        <f t="shared" si="16"/>
        <v>0</v>
      </c>
      <c r="AF29" s="610"/>
    </row>
    <row r="30" spans="1:32" ht="16.5" customHeight="1">
      <c r="A30" s="629"/>
      <c r="B30" s="633"/>
      <c r="C30" s="633"/>
      <c r="D30" s="633"/>
      <c r="E30" s="626"/>
      <c r="F30" s="626"/>
      <c r="G30" s="626"/>
      <c r="H30" s="626"/>
      <c r="I30" s="626"/>
      <c r="J30" s="626"/>
      <c r="K30" s="626"/>
      <c r="L30" s="626"/>
      <c r="M30" s="626"/>
      <c r="N30" s="626"/>
      <c r="O30" s="626"/>
      <c r="P30" s="626"/>
      <c r="Q30" s="626"/>
      <c r="R30" s="626"/>
      <c r="S30" s="626"/>
      <c r="T30" s="626"/>
      <c r="U30" s="626"/>
      <c r="V30" s="626"/>
      <c r="W30" s="626"/>
      <c r="X30" s="626"/>
      <c r="Y30" s="626"/>
      <c r="Z30" s="626"/>
      <c r="AA30" s="626"/>
      <c r="AB30" s="626"/>
      <c r="AC30" s="626"/>
      <c r="AD30" s="626"/>
      <c r="AE30" s="626"/>
    </row>
    <row r="31" spans="1:32" s="603" customFormat="1" ht="16.5" customHeight="1">
      <c r="A31" s="627" t="str">
        <f>'CF-ACPL（合并）'!A31</f>
        <v>投资活动现金流入小计</v>
      </c>
      <c r="B31" s="628">
        <f t="shared" si="13"/>
        <v>0</v>
      </c>
      <c r="C31" s="628">
        <f t="shared" ca="1" si="14"/>
        <v>0</v>
      </c>
      <c r="D31" s="628"/>
      <c r="E31" s="628">
        <f t="shared" ref="E31:Q31" si="17">SUM(E32:E36)</f>
        <v>0</v>
      </c>
      <c r="F31" s="628">
        <f t="shared" si="17"/>
        <v>1500000</v>
      </c>
      <c r="G31" s="628">
        <f t="shared" si="17"/>
        <v>0</v>
      </c>
      <c r="H31" s="628">
        <f t="shared" si="17"/>
        <v>845000</v>
      </c>
      <c r="I31" s="628">
        <f t="shared" si="17"/>
        <v>0</v>
      </c>
      <c r="J31" s="628">
        <f t="shared" si="17"/>
        <v>0</v>
      </c>
      <c r="K31" s="628">
        <f t="shared" si="17"/>
        <v>0</v>
      </c>
      <c r="L31" s="628">
        <f t="shared" si="17"/>
        <v>0</v>
      </c>
      <c r="M31" s="628">
        <f t="shared" si="17"/>
        <v>0</v>
      </c>
      <c r="N31" s="628">
        <f t="shared" si="17"/>
        <v>0</v>
      </c>
      <c r="O31" s="628">
        <f t="shared" si="17"/>
        <v>0</v>
      </c>
      <c r="P31" s="628">
        <f t="shared" si="17"/>
        <v>0</v>
      </c>
      <c r="Q31" s="628">
        <f t="shared" si="17"/>
        <v>2345000</v>
      </c>
      <c r="R31" s="623"/>
      <c r="S31" s="628">
        <f t="shared" ref="S31:AE31" si="18">SUM(S32:S36)</f>
        <v>0</v>
      </c>
      <c r="T31" s="628">
        <f t="shared" si="18"/>
        <v>0</v>
      </c>
      <c r="U31" s="628">
        <f t="shared" si="18"/>
        <v>0</v>
      </c>
      <c r="V31" s="628">
        <f t="shared" si="18"/>
        <v>0</v>
      </c>
      <c r="W31" s="628">
        <f t="shared" si="18"/>
        <v>0</v>
      </c>
      <c r="X31" s="628">
        <f t="shared" si="18"/>
        <v>0</v>
      </c>
      <c r="Y31" s="628">
        <f t="shared" si="18"/>
        <v>0</v>
      </c>
      <c r="Z31" s="628">
        <f t="shared" si="18"/>
        <v>0</v>
      </c>
      <c r="AA31" s="628">
        <f t="shared" si="18"/>
        <v>0</v>
      </c>
      <c r="AB31" s="628">
        <f t="shared" si="18"/>
        <v>0</v>
      </c>
      <c r="AC31" s="628">
        <f t="shared" si="18"/>
        <v>0</v>
      </c>
      <c r="AD31" s="628">
        <f t="shared" si="18"/>
        <v>0</v>
      </c>
      <c r="AE31" s="628">
        <f t="shared" si="18"/>
        <v>0</v>
      </c>
    </row>
    <row r="32" spans="1:32" ht="16.5" customHeight="1">
      <c r="A32" s="629" t="str">
        <f>'CF-ACPL（合并）'!A32</f>
        <v>收回投资所收到的现金</v>
      </c>
      <c r="B32" s="623">
        <f t="shared" si="13"/>
        <v>0</v>
      </c>
      <c r="C32" s="626">
        <f t="shared" ca="1" si="14"/>
        <v>0</v>
      </c>
      <c r="D32" s="626"/>
      <c r="E32" s="626">
        <f>SUMIFS(cashflow汇总预算2026!$G:$G,cashflow汇总预算2026!$S:$S,$A32,cashflow汇总预算2026!$D:$D,E$4)</f>
        <v>0</v>
      </c>
      <c r="F32" s="626">
        <f>SUMIFS(cashflow汇总预算2026!$G:$G,cashflow汇总预算2026!$S:$S,$A32,cashflow汇总预算2026!$D:$D,F$4)</f>
        <v>1500000</v>
      </c>
      <c r="G32" s="626">
        <f>SUMIFS(cashflow汇总预算2026!$G:$G,cashflow汇总预算2026!$S:$S,$A32,cashflow汇总预算2026!$D:$D,G$4)</f>
        <v>0</v>
      </c>
      <c r="H32" s="626">
        <f>SUMIFS(cashflow汇总预算2026!$G:$G,cashflow汇总预算2026!$S:$S,$A32,cashflow汇总预算2026!$D:$D,H$4)</f>
        <v>845000</v>
      </c>
      <c r="I32" s="626">
        <f>SUMIFS(cashflow汇总预算2026!$G:$G,cashflow汇总预算2026!$S:$S,$A32,cashflow汇总预算2026!$D:$D,I$4)</f>
        <v>0</v>
      </c>
      <c r="J32" s="626">
        <f>SUMIFS(cashflow汇总预算2026!$G:$G,cashflow汇总预算2026!$S:$S,$A32,cashflow汇总预算2026!$D:$D,J$4)</f>
        <v>0</v>
      </c>
      <c r="K32" s="626">
        <f>SUMIFS(cashflow汇总预算2026!$G:$G,cashflow汇总预算2026!$S:$S,$A32,cashflow汇总预算2026!$D:$D,K$4)</f>
        <v>0</v>
      </c>
      <c r="L32" s="626">
        <f>SUMIFS(cashflow汇总预算2026!$G:$G,cashflow汇总预算2026!$S:$S,$A32,cashflow汇总预算2026!$D:$D,L$4)</f>
        <v>0</v>
      </c>
      <c r="M32" s="626">
        <f>SUMIFS(cashflow汇总预算2026!$G:$G,cashflow汇总预算2026!$S:$S,$A32,cashflow汇总预算2026!$D:$D,M$4)</f>
        <v>0</v>
      </c>
      <c r="N32" s="626">
        <f>SUMIFS(cashflow汇总预算2026!$G:$G,cashflow汇总预算2026!$S:$S,$A32,cashflow汇总预算2026!$D:$D,N$4)</f>
        <v>0</v>
      </c>
      <c r="O32" s="626">
        <f>SUMIFS(cashflow汇总预算2026!$G:$G,cashflow汇总预算2026!$S:$S,$A32,cashflow汇总预算2026!$D:$D,O$4)</f>
        <v>0</v>
      </c>
      <c r="P32" s="626">
        <f>SUMIFS(cashflow汇总预算2026!$G:$G,cashflow汇总预算2026!$S:$S,$A32,cashflow汇总预算2026!$D:$D,P$4)</f>
        <v>0</v>
      </c>
      <c r="Q32" s="626">
        <f t="shared" ref="Q32:Q36" si="19">SUM(E32:P32)</f>
        <v>2345000</v>
      </c>
      <c r="R32" s="626"/>
      <c r="S32" s="630">
        <v>0</v>
      </c>
      <c r="T32" s="630">
        <v>0</v>
      </c>
      <c r="U32" s="630">
        <v>0</v>
      </c>
      <c r="V32" s="630">
        <v>0</v>
      </c>
      <c r="W32" s="630">
        <v>0</v>
      </c>
      <c r="X32" s="630">
        <v>0</v>
      </c>
      <c r="Y32" s="630">
        <v>0</v>
      </c>
      <c r="Z32" s="630">
        <v>0</v>
      </c>
      <c r="AA32" s="630">
        <v>0</v>
      </c>
      <c r="AB32" s="630">
        <v>0</v>
      </c>
      <c r="AC32" s="630">
        <v>0</v>
      </c>
      <c r="AD32" s="630">
        <v>0</v>
      </c>
      <c r="AE32" s="626">
        <f t="shared" ref="AE32:AE36" si="20">SUM(S32:AD32)</f>
        <v>0</v>
      </c>
    </row>
    <row r="33" spans="1:31" ht="16.5" customHeight="1">
      <c r="A33" s="629" t="str">
        <f>'CF-ACPL（合并）'!A33</f>
        <v>取得投资收益所收到的现金</v>
      </c>
      <c r="B33" s="623">
        <f t="shared" ref="B33:B42" si="21">INDEX($E33:$P33,1,MATCH($B$4,$E$4:$P$4))</f>
        <v>0</v>
      </c>
      <c r="C33" s="626">
        <f t="shared" ref="C33:C42" ca="1" si="22">SUM($E33:OFFSET($E33,0,MATCH($C$4,$E$4:$P$4)-1))</f>
        <v>0</v>
      </c>
      <c r="D33" s="626"/>
      <c r="E33" s="626">
        <f>SUMIFS(cashflow汇总预算2026!$G:$G,cashflow汇总预算2026!$S:$S,$A33,cashflow汇总预算2026!$D:$D,E$4)</f>
        <v>0</v>
      </c>
      <c r="F33" s="626">
        <f>SUMIFS(cashflow汇总预算2026!$G:$G,cashflow汇总预算2026!$S:$S,$A33,cashflow汇总预算2026!$D:$D,F$4)</f>
        <v>0</v>
      </c>
      <c r="G33" s="626">
        <f>SUMIFS(cashflow汇总预算2026!$G:$G,cashflow汇总预算2026!$S:$S,$A33,cashflow汇总预算2026!$D:$D,G$4)</f>
        <v>0</v>
      </c>
      <c r="H33" s="626">
        <f>SUMIFS(cashflow汇总预算2026!$G:$G,cashflow汇总预算2026!$S:$S,$A33,cashflow汇总预算2026!$D:$D,H$4)</f>
        <v>0</v>
      </c>
      <c r="I33" s="626">
        <f>SUMIFS(cashflow汇总预算2026!$G:$G,cashflow汇总预算2026!$S:$S,$A33,cashflow汇总预算2026!$D:$D,I$4)</f>
        <v>0</v>
      </c>
      <c r="J33" s="626">
        <f>SUMIFS(cashflow汇总预算2026!$G:$G,cashflow汇总预算2026!$S:$S,$A33,cashflow汇总预算2026!$D:$D,J$4)</f>
        <v>0</v>
      </c>
      <c r="K33" s="626">
        <f>SUMIFS(cashflow汇总预算2026!$G:$G,cashflow汇总预算2026!$S:$S,$A33,cashflow汇总预算2026!$D:$D,K$4)</f>
        <v>0</v>
      </c>
      <c r="L33" s="626">
        <f>SUMIFS(cashflow汇总预算2026!$G:$G,cashflow汇总预算2026!$S:$S,$A33,cashflow汇总预算2026!$D:$D,L$4)</f>
        <v>0</v>
      </c>
      <c r="M33" s="626">
        <f>SUMIFS(cashflow汇总预算2026!$G:$G,cashflow汇总预算2026!$S:$S,$A33,cashflow汇总预算2026!$D:$D,M$4)</f>
        <v>0</v>
      </c>
      <c r="N33" s="626">
        <f>SUMIFS(cashflow汇总预算2026!$G:$G,cashflow汇总预算2026!$S:$S,$A33,cashflow汇总预算2026!$D:$D,N$4)</f>
        <v>0</v>
      </c>
      <c r="O33" s="626">
        <f>SUMIFS(cashflow汇总预算2026!$G:$G,cashflow汇总预算2026!$S:$S,$A33,cashflow汇总预算2026!$D:$D,O$4)</f>
        <v>0</v>
      </c>
      <c r="P33" s="626">
        <f>SUMIFS(cashflow汇总预算2026!$G:$G,cashflow汇总预算2026!$S:$S,$A33,cashflow汇总预算2026!$D:$D,P$4)</f>
        <v>0</v>
      </c>
      <c r="Q33" s="626">
        <f t="shared" si="19"/>
        <v>0</v>
      </c>
      <c r="R33" s="626"/>
      <c r="S33" s="630">
        <v>0</v>
      </c>
      <c r="T33" s="630">
        <v>0</v>
      </c>
      <c r="U33" s="630">
        <v>0</v>
      </c>
      <c r="V33" s="630">
        <v>0</v>
      </c>
      <c r="W33" s="630">
        <v>0</v>
      </c>
      <c r="X33" s="630">
        <v>0</v>
      </c>
      <c r="Y33" s="630">
        <v>0</v>
      </c>
      <c r="Z33" s="630">
        <v>0</v>
      </c>
      <c r="AA33" s="630">
        <v>0</v>
      </c>
      <c r="AB33" s="630">
        <v>0</v>
      </c>
      <c r="AC33" s="630">
        <v>0</v>
      </c>
      <c r="AD33" s="630">
        <v>0</v>
      </c>
      <c r="AE33" s="626">
        <f t="shared" si="20"/>
        <v>0</v>
      </c>
    </row>
    <row r="34" spans="1:31" ht="16.5" customHeight="1">
      <c r="A34" s="629" t="str">
        <f>'CF-ACPL（合并）'!A34</f>
        <v>处置固定资产、无形资产和其他长期资产而收到的现金净额</v>
      </c>
      <c r="B34" s="623">
        <f t="shared" si="21"/>
        <v>0</v>
      </c>
      <c r="C34" s="626">
        <f t="shared" ca="1" si="22"/>
        <v>0</v>
      </c>
      <c r="D34" s="626"/>
      <c r="E34" s="626">
        <f>SUMIFS(cashflow汇总预算2026!$G:$G,cashflow汇总预算2026!$S:$S,$A34,cashflow汇总预算2026!$D:$D,E$4)</f>
        <v>0</v>
      </c>
      <c r="F34" s="626">
        <f>SUMIFS(cashflow汇总预算2026!$G:$G,cashflow汇总预算2026!$S:$S,$A34,cashflow汇总预算2026!$D:$D,F$4)</f>
        <v>0</v>
      </c>
      <c r="G34" s="626">
        <f>SUMIFS(cashflow汇总预算2026!$G:$G,cashflow汇总预算2026!$S:$S,$A34,cashflow汇总预算2026!$D:$D,G$4)</f>
        <v>0</v>
      </c>
      <c r="H34" s="626">
        <f>SUMIFS(cashflow汇总预算2026!$G:$G,cashflow汇总预算2026!$S:$S,$A34,cashflow汇总预算2026!$D:$D,H$4)</f>
        <v>0</v>
      </c>
      <c r="I34" s="626">
        <f>SUMIFS(cashflow汇总预算2026!$G:$G,cashflow汇总预算2026!$S:$S,$A34,cashflow汇总预算2026!$D:$D,I$4)</f>
        <v>0</v>
      </c>
      <c r="J34" s="626">
        <f>SUMIFS(cashflow汇总预算2026!$G:$G,cashflow汇总预算2026!$S:$S,$A34,cashflow汇总预算2026!$D:$D,J$4)</f>
        <v>0</v>
      </c>
      <c r="K34" s="626">
        <f>SUMIFS(cashflow汇总预算2026!$G:$G,cashflow汇总预算2026!$S:$S,$A34,cashflow汇总预算2026!$D:$D,K$4)</f>
        <v>0</v>
      </c>
      <c r="L34" s="626">
        <f>SUMIFS(cashflow汇总预算2026!$G:$G,cashflow汇总预算2026!$S:$S,$A34,cashflow汇总预算2026!$D:$D,L$4)</f>
        <v>0</v>
      </c>
      <c r="M34" s="626">
        <f>SUMIFS(cashflow汇总预算2026!$G:$G,cashflow汇总预算2026!$S:$S,$A34,cashflow汇总预算2026!$D:$D,M$4)</f>
        <v>0</v>
      </c>
      <c r="N34" s="626">
        <f>SUMIFS(cashflow汇总预算2026!$G:$G,cashflow汇总预算2026!$S:$S,$A34,cashflow汇总预算2026!$D:$D,N$4)</f>
        <v>0</v>
      </c>
      <c r="O34" s="626">
        <f>SUMIFS(cashflow汇总预算2026!$G:$G,cashflow汇总预算2026!$S:$S,$A34,cashflow汇总预算2026!$D:$D,O$4)</f>
        <v>0</v>
      </c>
      <c r="P34" s="626">
        <f>SUMIFS(cashflow汇总预算2026!$G:$G,cashflow汇总预算2026!$S:$S,$A34,cashflow汇总预算2026!$D:$D,P$4)</f>
        <v>0</v>
      </c>
      <c r="Q34" s="626">
        <f t="shared" si="19"/>
        <v>0</v>
      </c>
      <c r="R34" s="626"/>
      <c r="S34" s="630">
        <v>0</v>
      </c>
      <c r="T34" s="630">
        <v>0</v>
      </c>
      <c r="U34" s="630">
        <v>0</v>
      </c>
      <c r="V34" s="630">
        <v>0</v>
      </c>
      <c r="W34" s="630">
        <v>0</v>
      </c>
      <c r="X34" s="630">
        <v>0</v>
      </c>
      <c r="Y34" s="630">
        <v>0</v>
      </c>
      <c r="Z34" s="630">
        <v>0</v>
      </c>
      <c r="AA34" s="630">
        <v>0</v>
      </c>
      <c r="AB34" s="630">
        <v>0</v>
      </c>
      <c r="AC34" s="630">
        <v>0</v>
      </c>
      <c r="AD34" s="630">
        <v>0</v>
      </c>
      <c r="AE34" s="626">
        <f t="shared" si="20"/>
        <v>0</v>
      </c>
    </row>
    <row r="35" spans="1:31" ht="16.5" customHeight="1">
      <c r="A35" s="629" t="str">
        <f>'CF-ACPL（合并）'!A35</f>
        <v>处置子公司及其他营业单位收到的现金净额</v>
      </c>
      <c r="B35" s="623">
        <f t="shared" si="21"/>
        <v>0</v>
      </c>
      <c r="C35" s="626">
        <f t="shared" ca="1" si="22"/>
        <v>0</v>
      </c>
      <c r="D35" s="626"/>
      <c r="E35" s="626">
        <f>SUMIFS(cashflow汇总预算2026!$G:$G,cashflow汇总预算2026!$S:$S,$A35,cashflow汇总预算2026!$D:$D,E$4)</f>
        <v>0</v>
      </c>
      <c r="F35" s="626">
        <f>SUMIFS(cashflow汇总预算2026!$G:$G,cashflow汇总预算2026!$S:$S,$A35,cashflow汇总预算2026!$D:$D,F$4)</f>
        <v>0</v>
      </c>
      <c r="G35" s="626">
        <f>SUMIFS(cashflow汇总预算2026!$G:$G,cashflow汇总预算2026!$S:$S,$A35,cashflow汇总预算2026!$D:$D,G$4)</f>
        <v>0</v>
      </c>
      <c r="H35" s="626">
        <f>SUMIFS(cashflow汇总预算2026!$G:$G,cashflow汇总预算2026!$S:$S,$A35,cashflow汇总预算2026!$D:$D,H$4)</f>
        <v>0</v>
      </c>
      <c r="I35" s="626">
        <f>SUMIFS(cashflow汇总预算2026!$G:$G,cashflow汇总预算2026!$S:$S,$A35,cashflow汇总预算2026!$D:$D,I$4)</f>
        <v>0</v>
      </c>
      <c r="J35" s="626">
        <f>SUMIFS(cashflow汇总预算2026!$G:$G,cashflow汇总预算2026!$S:$S,$A35,cashflow汇总预算2026!$D:$D,J$4)</f>
        <v>0</v>
      </c>
      <c r="K35" s="626">
        <f>SUMIFS(cashflow汇总预算2026!$G:$G,cashflow汇总预算2026!$S:$S,$A35,cashflow汇总预算2026!$D:$D,K$4)</f>
        <v>0</v>
      </c>
      <c r="L35" s="626">
        <f>SUMIFS(cashflow汇总预算2026!$G:$G,cashflow汇总预算2026!$S:$S,$A35,cashflow汇总预算2026!$D:$D,L$4)</f>
        <v>0</v>
      </c>
      <c r="M35" s="626">
        <f>SUMIFS(cashflow汇总预算2026!$G:$G,cashflow汇总预算2026!$S:$S,$A35,cashflow汇总预算2026!$D:$D,M$4)</f>
        <v>0</v>
      </c>
      <c r="N35" s="626">
        <f>SUMIFS(cashflow汇总预算2026!$G:$G,cashflow汇总预算2026!$S:$S,$A35,cashflow汇总预算2026!$D:$D,N$4)</f>
        <v>0</v>
      </c>
      <c r="O35" s="626">
        <f>SUMIFS(cashflow汇总预算2026!$G:$G,cashflow汇总预算2026!$S:$S,$A35,cashflow汇总预算2026!$D:$D,O$4)</f>
        <v>0</v>
      </c>
      <c r="P35" s="626">
        <f>SUMIFS(cashflow汇总预算2026!$G:$G,cashflow汇总预算2026!$S:$S,$A35,cashflow汇总预算2026!$D:$D,P$4)</f>
        <v>0</v>
      </c>
      <c r="Q35" s="626">
        <f t="shared" si="19"/>
        <v>0</v>
      </c>
      <c r="R35" s="626"/>
      <c r="S35" s="630">
        <v>0</v>
      </c>
      <c r="T35" s="630">
        <v>0</v>
      </c>
      <c r="U35" s="630">
        <v>0</v>
      </c>
      <c r="V35" s="630">
        <v>0</v>
      </c>
      <c r="W35" s="630">
        <v>0</v>
      </c>
      <c r="X35" s="630">
        <v>0</v>
      </c>
      <c r="Y35" s="630">
        <v>0</v>
      </c>
      <c r="Z35" s="630">
        <v>0</v>
      </c>
      <c r="AA35" s="630">
        <v>0</v>
      </c>
      <c r="AB35" s="630">
        <v>0</v>
      </c>
      <c r="AC35" s="630">
        <v>0</v>
      </c>
      <c r="AD35" s="630">
        <v>0</v>
      </c>
      <c r="AE35" s="626">
        <f t="shared" si="20"/>
        <v>0</v>
      </c>
    </row>
    <row r="36" spans="1:31" ht="16.5" customHeight="1">
      <c r="A36" s="629" t="str">
        <f>'CF-ACPL（合并）'!A36</f>
        <v>收到的其他与投资活动有关的现金</v>
      </c>
      <c r="B36" s="623">
        <f t="shared" si="21"/>
        <v>0</v>
      </c>
      <c r="C36" s="626">
        <f t="shared" ca="1" si="22"/>
        <v>0</v>
      </c>
      <c r="D36" s="626"/>
      <c r="E36" s="626">
        <f>SUMIFS(cashflow汇总预算2026!$G:$G,cashflow汇总预算2026!$S:$S,$A36,cashflow汇总预算2026!$D:$D,E$4)</f>
        <v>0</v>
      </c>
      <c r="F36" s="626">
        <f>SUMIFS(cashflow汇总预算2026!$G:$G,cashflow汇总预算2026!$S:$S,$A36,cashflow汇总预算2026!$D:$D,F$4)</f>
        <v>0</v>
      </c>
      <c r="G36" s="626">
        <f>SUMIFS(cashflow汇总预算2026!$G:$G,cashflow汇总预算2026!$S:$S,$A36,cashflow汇总预算2026!$D:$D,G$4)</f>
        <v>0</v>
      </c>
      <c r="H36" s="626">
        <f>SUMIFS(cashflow汇总预算2026!$G:$G,cashflow汇总预算2026!$S:$S,$A36,cashflow汇总预算2026!$D:$D,H$4)</f>
        <v>0</v>
      </c>
      <c r="I36" s="626">
        <f>SUMIFS(cashflow汇总预算2026!$G:$G,cashflow汇总预算2026!$S:$S,$A36,cashflow汇总预算2026!$D:$D,I$4)</f>
        <v>0</v>
      </c>
      <c r="J36" s="626">
        <f>SUMIFS(cashflow汇总预算2026!$G:$G,cashflow汇总预算2026!$S:$S,$A36,cashflow汇总预算2026!$D:$D,J$4)</f>
        <v>0</v>
      </c>
      <c r="K36" s="626">
        <f>SUMIFS(cashflow汇总预算2026!$G:$G,cashflow汇总预算2026!$S:$S,$A36,cashflow汇总预算2026!$D:$D,K$4)</f>
        <v>0</v>
      </c>
      <c r="L36" s="626">
        <f>SUMIFS(cashflow汇总预算2026!$G:$G,cashflow汇总预算2026!$S:$S,$A36,cashflow汇总预算2026!$D:$D,L$4)</f>
        <v>0</v>
      </c>
      <c r="M36" s="626">
        <f>SUMIFS(cashflow汇总预算2026!$G:$G,cashflow汇总预算2026!$S:$S,$A36,cashflow汇总预算2026!$D:$D,M$4)</f>
        <v>0</v>
      </c>
      <c r="N36" s="626">
        <f>SUMIFS(cashflow汇总预算2026!$G:$G,cashflow汇总预算2026!$S:$S,$A36,cashflow汇总预算2026!$D:$D,N$4)</f>
        <v>0</v>
      </c>
      <c r="O36" s="626">
        <f>SUMIFS(cashflow汇总预算2026!$G:$G,cashflow汇总预算2026!$S:$S,$A36,cashflow汇总预算2026!$D:$D,O$4)</f>
        <v>0</v>
      </c>
      <c r="P36" s="626">
        <f>SUMIFS(cashflow汇总预算2026!$G:$G,cashflow汇总预算2026!$S:$S,$A36,cashflow汇总预算2026!$D:$D,P$4)</f>
        <v>0</v>
      </c>
      <c r="Q36" s="626">
        <f t="shared" si="19"/>
        <v>0</v>
      </c>
      <c r="R36" s="626"/>
      <c r="S36" s="630">
        <v>0</v>
      </c>
      <c r="T36" s="630">
        <v>0</v>
      </c>
      <c r="U36" s="630">
        <v>0</v>
      </c>
      <c r="V36" s="630">
        <v>0</v>
      </c>
      <c r="W36" s="630">
        <v>0</v>
      </c>
      <c r="X36" s="630">
        <v>0</v>
      </c>
      <c r="Y36" s="630">
        <v>0</v>
      </c>
      <c r="Z36" s="630">
        <v>0</v>
      </c>
      <c r="AA36" s="630">
        <v>0</v>
      </c>
      <c r="AB36" s="630">
        <v>0</v>
      </c>
      <c r="AC36" s="630">
        <v>0</v>
      </c>
      <c r="AD36" s="630">
        <v>0</v>
      </c>
      <c r="AE36" s="626">
        <f t="shared" si="20"/>
        <v>0</v>
      </c>
    </row>
    <row r="37" spans="1:31" s="604" customFormat="1" ht="16.5" customHeight="1">
      <c r="A37" s="631" t="str">
        <f>'CF-ACPL（合并）'!A37</f>
        <v>投资活动现金流出小计</v>
      </c>
      <c r="B37" s="632">
        <f t="shared" si="21"/>
        <v>-149833.33333333334</v>
      </c>
      <c r="C37" s="632">
        <f t="shared" ca="1" si="22"/>
        <v>-149833.33333333334</v>
      </c>
      <c r="D37" s="632"/>
      <c r="E37" s="632">
        <f t="shared" ref="E37:Q37" si="23">SUM(E38:E41)</f>
        <v>-149833.33333333334</v>
      </c>
      <c r="F37" s="632">
        <f t="shared" si="23"/>
        <v>-5833.333333333333</v>
      </c>
      <c r="G37" s="632">
        <f t="shared" si="23"/>
        <v>-5833.333333333333</v>
      </c>
      <c r="H37" s="632">
        <f t="shared" si="23"/>
        <v>-1281343.5374149659</v>
      </c>
      <c r="I37" s="632">
        <f t="shared" si="23"/>
        <v>-5005833.333333333</v>
      </c>
      <c r="J37" s="632">
        <f t="shared" si="23"/>
        <v>-5833.333333333333</v>
      </c>
      <c r="K37" s="632">
        <f t="shared" si="23"/>
        <v>-5833.333333333333</v>
      </c>
      <c r="L37" s="632">
        <f t="shared" si="23"/>
        <v>-5833.333333333333</v>
      </c>
      <c r="M37" s="632">
        <f t="shared" si="23"/>
        <v>-5833.333333333333</v>
      </c>
      <c r="N37" s="632">
        <f t="shared" si="23"/>
        <v>-5833.333333333333</v>
      </c>
      <c r="O37" s="632">
        <f t="shared" si="23"/>
        <v>-5833.333333333333</v>
      </c>
      <c r="P37" s="632">
        <f t="shared" si="23"/>
        <v>-5833.333333333333</v>
      </c>
      <c r="Q37" s="632">
        <f t="shared" si="23"/>
        <v>-6489510.2040816322</v>
      </c>
      <c r="R37" s="623"/>
      <c r="S37" s="632">
        <f t="shared" ref="S37:AE37" si="24">SUM(S38:S41)</f>
        <v>0</v>
      </c>
      <c r="T37" s="632">
        <f t="shared" si="24"/>
        <v>0</v>
      </c>
      <c r="U37" s="632">
        <f t="shared" si="24"/>
        <v>0</v>
      </c>
      <c r="V37" s="632">
        <f t="shared" si="24"/>
        <v>0</v>
      </c>
      <c r="W37" s="632">
        <f t="shared" si="24"/>
        <v>0</v>
      </c>
      <c r="X37" s="632">
        <f t="shared" si="24"/>
        <v>0</v>
      </c>
      <c r="Y37" s="632">
        <f t="shared" si="24"/>
        <v>0</v>
      </c>
      <c r="Z37" s="632">
        <f t="shared" si="24"/>
        <v>0</v>
      </c>
      <c r="AA37" s="632">
        <f t="shared" si="24"/>
        <v>0</v>
      </c>
      <c r="AB37" s="632">
        <f t="shared" si="24"/>
        <v>0</v>
      </c>
      <c r="AC37" s="632">
        <f t="shared" si="24"/>
        <v>0</v>
      </c>
      <c r="AD37" s="632">
        <f t="shared" si="24"/>
        <v>0</v>
      </c>
      <c r="AE37" s="632">
        <f t="shared" si="24"/>
        <v>0</v>
      </c>
    </row>
    <row r="38" spans="1:31" ht="16.5" customHeight="1">
      <c r="A38" s="629" t="str">
        <f>'CF-ACPL（合并）'!A38</f>
        <v>购建固定资产、无形资产和其他长期资产支付的现金</v>
      </c>
      <c r="B38" s="623">
        <f t="shared" si="21"/>
        <v>-5833.333333333333</v>
      </c>
      <c r="C38" s="626">
        <f t="shared" ca="1" si="22"/>
        <v>-5833.333333333333</v>
      </c>
      <c r="D38" s="626"/>
      <c r="E38" s="626">
        <f>-SUMIFS('Other Exp'!AG:AG,'Other Exp'!$B:$B,$C$1,'Other Exp'!$D:$D,$A38)</f>
        <v>-5833.333333333333</v>
      </c>
      <c r="F38" s="626">
        <f>-SUMIFS('Other Exp'!AH:AH,'Other Exp'!$B:$B,$C$1,'Other Exp'!$D:$D,$A38)</f>
        <v>-5833.333333333333</v>
      </c>
      <c r="G38" s="626">
        <f>-SUMIFS('Other Exp'!AI:AI,'Other Exp'!$B:$B,$C$1,'Other Exp'!$D:$D,$A38)</f>
        <v>-5833.333333333333</v>
      </c>
      <c r="H38" s="626">
        <f>-SUMIFS('Other Exp'!AJ:AJ,'Other Exp'!$B:$B,$C$1,'Other Exp'!$D:$D,$A38)</f>
        <v>-5833.333333333333</v>
      </c>
      <c r="I38" s="626">
        <f>-SUMIFS('Other Exp'!AK:AK,'Other Exp'!$B:$B,$C$1,'Other Exp'!$D:$D,$A38)</f>
        <v>-5833.333333333333</v>
      </c>
      <c r="J38" s="626">
        <f>-SUMIFS('Other Exp'!AL:AL,'Other Exp'!$B:$B,$C$1,'Other Exp'!$D:$D,$A38)</f>
        <v>-5833.333333333333</v>
      </c>
      <c r="K38" s="626">
        <f>-SUMIFS('Other Exp'!AM:AM,'Other Exp'!$B:$B,$C$1,'Other Exp'!$D:$D,$A38)</f>
        <v>-5833.333333333333</v>
      </c>
      <c r="L38" s="626">
        <f>-SUMIFS('Other Exp'!AN:AN,'Other Exp'!$B:$B,$C$1,'Other Exp'!$D:$D,$A38)</f>
        <v>-5833.333333333333</v>
      </c>
      <c r="M38" s="626">
        <f>-SUMIFS('Other Exp'!AO:AO,'Other Exp'!$B:$B,$C$1,'Other Exp'!$D:$D,$A38)</f>
        <v>-5833.333333333333</v>
      </c>
      <c r="N38" s="626">
        <f>-SUMIFS('Other Exp'!AP:AP,'Other Exp'!$B:$B,$C$1,'Other Exp'!$D:$D,$A38)</f>
        <v>-5833.333333333333</v>
      </c>
      <c r="O38" s="626">
        <f>-SUMIFS('Other Exp'!AQ:AQ,'Other Exp'!$B:$B,$C$1,'Other Exp'!$D:$D,$A38)</f>
        <v>-5833.333333333333</v>
      </c>
      <c r="P38" s="626">
        <f>-SUMIFS('Other Exp'!AR:AR,'Other Exp'!$B:$B,$C$1,'Other Exp'!$D:$D,$A38)</f>
        <v>-5833.333333333333</v>
      </c>
      <c r="Q38" s="626">
        <f t="shared" ref="Q38" si="25">SUM(E38:P38)</f>
        <v>-70000.000000000015</v>
      </c>
      <c r="R38" s="626"/>
      <c r="S38" s="630">
        <v>0</v>
      </c>
      <c r="T38" s="630">
        <v>0</v>
      </c>
      <c r="U38" s="630">
        <v>0</v>
      </c>
      <c r="V38" s="630">
        <v>0</v>
      </c>
      <c r="W38" s="630">
        <v>0</v>
      </c>
      <c r="X38" s="630">
        <v>0</v>
      </c>
      <c r="Y38" s="630">
        <v>0</v>
      </c>
      <c r="Z38" s="630">
        <v>0</v>
      </c>
      <c r="AA38" s="630">
        <v>0</v>
      </c>
      <c r="AB38" s="630">
        <v>0</v>
      </c>
      <c r="AC38" s="630">
        <v>0</v>
      </c>
      <c r="AD38" s="630">
        <v>0</v>
      </c>
      <c r="AE38" s="626">
        <f t="shared" ref="AE38:AE41" si="26">SUM(S38:AD38)</f>
        <v>0</v>
      </c>
    </row>
    <row r="39" spans="1:31" ht="16.5" customHeight="1">
      <c r="A39" s="629" t="str">
        <f>'CF-ACPL（合并）'!A39</f>
        <v>投资支付的现金</v>
      </c>
      <c r="B39" s="623">
        <f t="shared" si="21"/>
        <v>-144000</v>
      </c>
      <c r="C39" s="626">
        <f t="shared" ca="1" si="22"/>
        <v>-144000</v>
      </c>
      <c r="D39" s="626"/>
      <c r="E39" s="626">
        <f>SUMIFS(cashflow汇总预算2026!$G:$G,cashflow汇总预算2026!$S:$S,$A39,cashflow汇总预算2026!$D:$D,E$4)</f>
        <v>-144000</v>
      </c>
      <c r="F39" s="626">
        <f>SUMIFS(cashflow汇总预算2026!$G:$G,cashflow汇总预算2026!$S:$S,$A39,cashflow汇总预算2026!$D:$D,F$4)</f>
        <v>0</v>
      </c>
      <c r="G39" s="626">
        <f>SUMIFS(cashflow汇总预算2026!$G:$G,cashflow汇总预算2026!$S:$S,$A39,cashflow汇总预算2026!$D:$D,G$4)</f>
        <v>0</v>
      </c>
      <c r="H39" s="626">
        <f>SUMIFS(cashflow汇总预算2026!$G:$G,cashflow汇总预算2026!$S:$S,$A39,cashflow汇总预算2026!$D:$D,H$4)</f>
        <v>-1275510.2040816327</v>
      </c>
      <c r="I39" s="626">
        <f>SUMIFS(cashflow汇总预算2026!$G:$G,cashflow汇总预算2026!$S:$S,$A39,cashflow汇总预算2026!$D:$D,I$4)</f>
        <v>-5000000</v>
      </c>
      <c r="J39" s="626">
        <f>SUMIFS(cashflow汇总预算2026!$G:$G,cashflow汇总预算2026!$S:$S,$A39,cashflow汇总预算2026!$D:$D,J$4)</f>
        <v>0</v>
      </c>
      <c r="K39" s="626">
        <f>SUMIFS(cashflow汇总预算2026!$G:$G,cashflow汇总预算2026!$S:$S,$A39,cashflow汇总预算2026!$D:$D,K$4)</f>
        <v>0</v>
      </c>
      <c r="L39" s="626">
        <f>SUMIFS(cashflow汇总预算2026!$G:$G,cashflow汇总预算2026!$S:$S,$A39,cashflow汇总预算2026!$D:$D,L$4)</f>
        <v>0</v>
      </c>
      <c r="M39" s="626">
        <f>SUMIFS(cashflow汇总预算2026!$G:$G,cashflow汇总预算2026!$S:$S,$A39,cashflow汇总预算2026!$D:$D,M$4)</f>
        <v>0</v>
      </c>
      <c r="N39" s="626">
        <f>SUMIFS(cashflow汇总预算2026!$G:$G,cashflow汇总预算2026!$S:$S,$A39,cashflow汇总预算2026!$D:$D,N$4)</f>
        <v>0</v>
      </c>
      <c r="O39" s="626">
        <f>SUMIFS(cashflow汇总预算2026!$G:$G,cashflow汇总预算2026!$S:$S,$A39,cashflow汇总预算2026!$D:$D,O$4)</f>
        <v>0</v>
      </c>
      <c r="P39" s="626">
        <f>SUMIFS(cashflow汇总预算2026!$G:$G,cashflow汇总预算2026!$S:$S,$A39,cashflow汇总预算2026!$D:$D,P$4)</f>
        <v>0</v>
      </c>
      <c r="Q39" s="626">
        <f t="shared" ref="Q39:Q41" si="27">SUM(E39:P39)</f>
        <v>-6419510.2040816322</v>
      </c>
      <c r="R39" s="626"/>
      <c r="S39" s="630">
        <v>0</v>
      </c>
      <c r="T39" s="630">
        <v>0</v>
      </c>
      <c r="U39" s="630">
        <v>0</v>
      </c>
      <c r="V39" s="630">
        <v>0</v>
      </c>
      <c r="W39" s="630">
        <v>0</v>
      </c>
      <c r="X39" s="630">
        <v>0</v>
      </c>
      <c r="Y39" s="630">
        <v>0</v>
      </c>
      <c r="Z39" s="630">
        <v>0</v>
      </c>
      <c r="AA39" s="630">
        <v>0</v>
      </c>
      <c r="AB39" s="630">
        <v>0</v>
      </c>
      <c r="AC39" s="630">
        <v>0</v>
      </c>
      <c r="AD39" s="630">
        <v>0</v>
      </c>
      <c r="AE39" s="626">
        <f t="shared" si="26"/>
        <v>0</v>
      </c>
    </row>
    <row r="40" spans="1:31" ht="16.5" customHeight="1">
      <c r="A40" s="629" t="str">
        <f>'CF-ACPL（合并）'!A40</f>
        <v>取得子公司及其他营业单位支付的现金净额</v>
      </c>
      <c r="B40" s="623">
        <f t="shared" si="21"/>
        <v>0</v>
      </c>
      <c r="C40" s="626">
        <f t="shared" ca="1" si="22"/>
        <v>0</v>
      </c>
      <c r="D40" s="626"/>
      <c r="E40" s="626">
        <f>SUMIFS(cashflow汇总预算2026!$G:$G,cashflow汇总预算2026!$S:$S,$A40,cashflow汇总预算2026!$D:$D,E$4)</f>
        <v>0</v>
      </c>
      <c r="F40" s="626">
        <f>SUMIFS(cashflow汇总预算2026!$G:$G,cashflow汇总预算2026!$S:$S,$A40,cashflow汇总预算2026!$D:$D,F$4)</f>
        <v>0</v>
      </c>
      <c r="G40" s="626">
        <f>SUMIFS(cashflow汇总预算2026!$G:$G,cashflow汇总预算2026!$S:$S,$A40,cashflow汇总预算2026!$D:$D,G$4)</f>
        <v>0</v>
      </c>
      <c r="H40" s="626">
        <f>SUMIFS(cashflow汇总预算2026!$G:$G,cashflow汇总预算2026!$S:$S,$A40,cashflow汇总预算2026!$D:$D,H$4)</f>
        <v>0</v>
      </c>
      <c r="I40" s="626">
        <f>SUMIFS(cashflow汇总预算2026!$G:$G,cashflow汇总预算2026!$S:$S,$A40,cashflow汇总预算2026!$D:$D,I$4)</f>
        <v>0</v>
      </c>
      <c r="J40" s="626">
        <f>SUMIFS(cashflow汇总预算2026!$G:$G,cashflow汇总预算2026!$S:$S,$A40,cashflow汇总预算2026!$D:$D,J$4)</f>
        <v>0</v>
      </c>
      <c r="K40" s="626">
        <f>SUMIFS(cashflow汇总预算2026!$G:$G,cashflow汇总预算2026!$S:$S,$A40,cashflow汇总预算2026!$D:$D,K$4)</f>
        <v>0</v>
      </c>
      <c r="L40" s="626">
        <f>SUMIFS(cashflow汇总预算2026!$G:$G,cashflow汇总预算2026!$S:$S,$A40,cashflow汇总预算2026!$D:$D,L$4)</f>
        <v>0</v>
      </c>
      <c r="M40" s="626">
        <f>SUMIFS(cashflow汇总预算2026!$G:$G,cashflow汇总预算2026!$S:$S,$A40,cashflow汇总预算2026!$D:$D,M$4)</f>
        <v>0</v>
      </c>
      <c r="N40" s="626">
        <f>SUMIFS(cashflow汇总预算2026!$G:$G,cashflow汇总预算2026!$S:$S,$A40,cashflow汇总预算2026!$D:$D,N$4)</f>
        <v>0</v>
      </c>
      <c r="O40" s="626">
        <f>SUMIFS(cashflow汇总预算2026!$G:$G,cashflow汇总预算2026!$S:$S,$A40,cashflow汇总预算2026!$D:$D,O$4)</f>
        <v>0</v>
      </c>
      <c r="P40" s="626">
        <f>SUMIFS(cashflow汇总预算2026!$G:$G,cashflow汇总预算2026!$S:$S,$A40,cashflow汇总预算2026!$D:$D,P$4)</f>
        <v>0</v>
      </c>
      <c r="Q40" s="626">
        <f t="shared" si="27"/>
        <v>0</v>
      </c>
      <c r="R40" s="626"/>
      <c r="S40" s="630">
        <v>0</v>
      </c>
      <c r="T40" s="630">
        <v>0</v>
      </c>
      <c r="U40" s="630">
        <v>0</v>
      </c>
      <c r="V40" s="630">
        <v>0</v>
      </c>
      <c r="W40" s="630">
        <v>0</v>
      </c>
      <c r="X40" s="630">
        <v>0</v>
      </c>
      <c r="Y40" s="630">
        <v>0</v>
      </c>
      <c r="Z40" s="630">
        <v>0</v>
      </c>
      <c r="AA40" s="630">
        <v>0</v>
      </c>
      <c r="AB40" s="630">
        <v>0</v>
      </c>
      <c r="AC40" s="630">
        <v>0</v>
      </c>
      <c r="AD40" s="630">
        <v>0</v>
      </c>
      <c r="AE40" s="626">
        <f t="shared" si="26"/>
        <v>0</v>
      </c>
    </row>
    <row r="41" spans="1:31" ht="16.5" customHeight="1">
      <c r="A41" s="629" t="str">
        <f>'CF-ACPL（合并）'!A41</f>
        <v>支付的其他与投资活动有关的现金</v>
      </c>
      <c r="B41" s="623">
        <f t="shared" si="21"/>
        <v>0</v>
      </c>
      <c r="C41" s="626">
        <f t="shared" ca="1" si="22"/>
        <v>0</v>
      </c>
      <c r="D41" s="626"/>
      <c r="E41" s="626">
        <f>SUMIFS(cashflow汇总预算2026!$G:$G,cashflow汇总预算2026!$S:$S,$A41,cashflow汇总预算2026!$D:$D,E$4)</f>
        <v>0</v>
      </c>
      <c r="F41" s="626">
        <f>SUMIFS(cashflow汇总预算2026!$G:$G,cashflow汇总预算2026!$S:$S,$A41,cashflow汇总预算2026!$D:$D,F$4)</f>
        <v>0</v>
      </c>
      <c r="G41" s="626">
        <f>SUMIFS(cashflow汇总预算2026!$G:$G,cashflow汇总预算2026!$S:$S,$A41,cashflow汇总预算2026!$D:$D,G$4)</f>
        <v>0</v>
      </c>
      <c r="H41" s="626">
        <f>SUMIFS(cashflow汇总预算2026!$G:$G,cashflow汇总预算2026!$S:$S,$A41,cashflow汇总预算2026!$D:$D,H$4)</f>
        <v>0</v>
      </c>
      <c r="I41" s="626">
        <f>SUMIFS(cashflow汇总预算2026!$G:$G,cashflow汇总预算2026!$S:$S,$A41,cashflow汇总预算2026!$D:$D,I$4)</f>
        <v>0</v>
      </c>
      <c r="J41" s="626">
        <f>SUMIFS(cashflow汇总预算2026!$G:$G,cashflow汇总预算2026!$S:$S,$A41,cashflow汇总预算2026!$D:$D,J$4)</f>
        <v>0</v>
      </c>
      <c r="K41" s="626">
        <f>SUMIFS(cashflow汇总预算2026!$G:$G,cashflow汇总预算2026!$S:$S,$A41,cashflow汇总预算2026!$D:$D,K$4)</f>
        <v>0</v>
      </c>
      <c r="L41" s="626">
        <f>SUMIFS(cashflow汇总预算2026!$G:$G,cashflow汇总预算2026!$S:$S,$A41,cashflow汇总预算2026!$D:$D,L$4)</f>
        <v>0</v>
      </c>
      <c r="M41" s="626">
        <f>SUMIFS(cashflow汇总预算2026!$G:$G,cashflow汇总预算2026!$S:$S,$A41,cashflow汇总预算2026!$D:$D,M$4)</f>
        <v>0</v>
      </c>
      <c r="N41" s="626">
        <f>SUMIFS(cashflow汇总预算2026!$G:$G,cashflow汇总预算2026!$S:$S,$A41,cashflow汇总预算2026!$D:$D,N$4)</f>
        <v>0</v>
      </c>
      <c r="O41" s="626">
        <f>SUMIFS(cashflow汇总预算2026!$G:$G,cashflow汇总预算2026!$S:$S,$A41,cashflow汇总预算2026!$D:$D,O$4)</f>
        <v>0</v>
      </c>
      <c r="P41" s="626">
        <f>SUMIFS(cashflow汇总预算2026!$G:$G,cashflow汇总预算2026!$S:$S,$A41,cashflow汇总预算2026!$D:$D,P$4)</f>
        <v>0</v>
      </c>
      <c r="Q41" s="626">
        <f t="shared" si="27"/>
        <v>0</v>
      </c>
      <c r="R41" s="626"/>
      <c r="S41" s="630">
        <v>0</v>
      </c>
      <c r="T41" s="630">
        <v>0</v>
      </c>
      <c r="U41" s="630">
        <v>0</v>
      </c>
      <c r="V41" s="630">
        <v>0</v>
      </c>
      <c r="W41" s="630">
        <v>0</v>
      </c>
      <c r="X41" s="630">
        <v>0</v>
      </c>
      <c r="Y41" s="630">
        <v>0</v>
      </c>
      <c r="Z41" s="630">
        <v>0</v>
      </c>
      <c r="AA41" s="630">
        <v>0</v>
      </c>
      <c r="AB41" s="630">
        <v>0</v>
      </c>
      <c r="AC41" s="630">
        <v>0</v>
      </c>
      <c r="AD41" s="630">
        <v>0</v>
      </c>
      <c r="AE41" s="626">
        <f t="shared" si="26"/>
        <v>0</v>
      </c>
    </row>
    <row r="42" spans="1:31" s="601" customFormat="1" ht="16.5" customHeight="1">
      <c r="A42" s="608" t="str">
        <f>'CF-ACPL（合并）'!A42</f>
        <v>投资活动产生的现金流量净额</v>
      </c>
      <c r="B42" s="622">
        <f t="shared" si="21"/>
        <v>-149833.33333333334</v>
      </c>
      <c r="C42" s="622">
        <f t="shared" ca="1" si="22"/>
        <v>-149833.33333333334</v>
      </c>
      <c r="D42" s="622"/>
      <c r="E42" s="622">
        <f>E31+E37</f>
        <v>-149833.33333333334</v>
      </c>
      <c r="F42" s="622">
        <f t="shared" ref="F42:Q42" si="28">F31+F37</f>
        <v>1494166.6666666667</v>
      </c>
      <c r="G42" s="622">
        <f t="shared" si="28"/>
        <v>-5833.333333333333</v>
      </c>
      <c r="H42" s="622">
        <f t="shared" si="28"/>
        <v>-436343.53741496592</v>
      </c>
      <c r="I42" s="622">
        <f t="shared" si="28"/>
        <v>-5005833.333333333</v>
      </c>
      <c r="J42" s="622">
        <f t="shared" si="28"/>
        <v>-5833.333333333333</v>
      </c>
      <c r="K42" s="622">
        <f t="shared" si="28"/>
        <v>-5833.333333333333</v>
      </c>
      <c r="L42" s="622">
        <f t="shared" si="28"/>
        <v>-5833.333333333333</v>
      </c>
      <c r="M42" s="622">
        <f t="shared" si="28"/>
        <v>-5833.333333333333</v>
      </c>
      <c r="N42" s="622">
        <f t="shared" si="28"/>
        <v>-5833.333333333333</v>
      </c>
      <c r="O42" s="622">
        <f t="shared" si="28"/>
        <v>-5833.333333333333</v>
      </c>
      <c r="P42" s="622">
        <f t="shared" si="28"/>
        <v>-5833.333333333333</v>
      </c>
      <c r="Q42" s="622">
        <f t="shared" si="28"/>
        <v>-4144510.2040816322</v>
      </c>
      <c r="R42" s="623"/>
      <c r="S42" s="622">
        <f t="shared" ref="S42:AE42" si="29">S31-S37</f>
        <v>0</v>
      </c>
      <c r="T42" s="622">
        <f t="shared" si="29"/>
        <v>0</v>
      </c>
      <c r="U42" s="622">
        <f t="shared" si="29"/>
        <v>0</v>
      </c>
      <c r="V42" s="622">
        <f t="shared" si="29"/>
        <v>0</v>
      </c>
      <c r="W42" s="622">
        <f t="shared" si="29"/>
        <v>0</v>
      </c>
      <c r="X42" s="622">
        <f t="shared" si="29"/>
        <v>0</v>
      </c>
      <c r="Y42" s="622">
        <f t="shared" si="29"/>
        <v>0</v>
      </c>
      <c r="Z42" s="622">
        <f t="shared" si="29"/>
        <v>0</v>
      </c>
      <c r="AA42" s="622">
        <f t="shared" si="29"/>
        <v>0</v>
      </c>
      <c r="AB42" s="622">
        <f t="shared" si="29"/>
        <v>0</v>
      </c>
      <c r="AC42" s="622">
        <f t="shared" si="29"/>
        <v>0</v>
      </c>
      <c r="AD42" s="622">
        <f t="shared" si="29"/>
        <v>0</v>
      </c>
      <c r="AE42" s="622">
        <f t="shared" si="29"/>
        <v>0</v>
      </c>
    </row>
    <row r="43" spans="1:31" ht="16.5" customHeight="1">
      <c r="A43" s="629"/>
      <c r="B43" s="633"/>
      <c r="C43" s="633"/>
      <c r="D43" s="633"/>
      <c r="E43" s="626"/>
      <c r="F43" s="626"/>
      <c r="G43" s="626"/>
      <c r="H43" s="626"/>
      <c r="I43" s="626"/>
      <c r="J43" s="626"/>
      <c r="K43" s="626"/>
      <c r="L43" s="626"/>
      <c r="M43" s="626"/>
      <c r="N43" s="626"/>
      <c r="O43" s="626"/>
      <c r="P43" s="626"/>
      <c r="Q43" s="626"/>
      <c r="R43" s="626"/>
      <c r="S43" s="626"/>
      <c r="T43" s="626"/>
      <c r="U43" s="626"/>
      <c r="V43" s="626"/>
      <c r="W43" s="626"/>
      <c r="X43" s="626"/>
      <c r="Y43" s="626"/>
      <c r="Z43" s="626"/>
      <c r="AA43" s="626"/>
      <c r="AB43" s="626"/>
      <c r="AC43" s="626"/>
      <c r="AD43" s="626"/>
      <c r="AE43" s="626"/>
    </row>
    <row r="44" spans="1:31" s="603" customFormat="1" ht="16.5" customHeight="1">
      <c r="A44" s="627" t="str">
        <f>'CF-ACPL（合并）'!A44</f>
        <v>筹资活动现金流入小计</v>
      </c>
      <c r="B44" s="628">
        <f>INDEX($E44:$P44,1,MATCH($B$4,$E$4:$P$4))</f>
        <v>1540000</v>
      </c>
      <c r="C44" s="628">
        <f ca="1">SUM($E44:OFFSET($E44,0,MATCH($C$4,$E$4:$P$4)-1))</f>
        <v>1540000</v>
      </c>
      <c r="D44" s="628"/>
      <c r="E44" s="628">
        <f>SUM(E45:E47)</f>
        <v>1540000</v>
      </c>
      <c r="F44" s="628">
        <f t="shared" ref="F44:Q44" si="30">SUM(F45:F47)</f>
        <v>7324000</v>
      </c>
      <c r="G44" s="628">
        <f t="shared" si="30"/>
        <v>210000</v>
      </c>
      <c r="H44" s="628">
        <f t="shared" si="30"/>
        <v>3000000</v>
      </c>
      <c r="I44" s="628">
        <f t="shared" si="30"/>
        <v>0</v>
      </c>
      <c r="J44" s="628">
        <f t="shared" si="30"/>
        <v>0</v>
      </c>
      <c r="K44" s="628">
        <f t="shared" si="30"/>
        <v>0</v>
      </c>
      <c r="L44" s="628">
        <f t="shared" si="30"/>
        <v>5000000</v>
      </c>
      <c r="M44" s="628">
        <f t="shared" si="30"/>
        <v>0</v>
      </c>
      <c r="N44" s="628">
        <f t="shared" si="30"/>
        <v>0</v>
      </c>
      <c r="O44" s="628">
        <f t="shared" si="30"/>
        <v>0</v>
      </c>
      <c r="P44" s="628">
        <f t="shared" si="30"/>
        <v>1500000</v>
      </c>
      <c r="Q44" s="628">
        <f t="shared" si="30"/>
        <v>18574000</v>
      </c>
      <c r="R44" s="623"/>
      <c r="S44" s="628">
        <f t="shared" ref="S44:AE44" si="31">SUM(S45:S47)</f>
        <v>0</v>
      </c>
      <c r="T44" s="628">
        <f t="shared" si="31"/>
        <v>0</v>
      </c>
      <c r="U44" s="628">
        <f t="shared" si="31"/>
        <v>0</v>
      </c>
      <c r="V44" s="628">
        <f t="shared" si="31"/>
        <v>0</v>
      </c>
      <c r="W44" s="628">
        <f t="shared" si="31"/>
        <v>0</v>
      </c>
      <c r="X44" s="628">
        <f t="shared" si="31"/>
        <v>0</v>
      </c>
      <c r="Y44" s="628">
        <f t="shared" si="31"/>
        <v>0</v>
      </c>
      <c r="Z44" s="628">
        <f t="shared" si="31"/>
        <v>0</v>
      </c>
      <c r="AA44" s="628">
        <f t="shared" si="31"/>
        <v>0</v>
      </c>
      <c r="AB44" s="628">
        <f t="shared" si="31"/>
        <v>0</v>
      </c>
      <c r="AC44" s="628">
        <f t="shared" si="31"/>
        <v>0</v>
      </c>
      <c r="AD44" s="628">
        <f t="shared" si="31"/>
        <v>0</v>
      </c>
      <c r="AE44" s="628">
        <f t="shared" si="31"/>
        <v>0</v>
      </c>
    </row>
    <row r="45" spans="1:31" ht="16.5" customHeight="1">
      <c r="A45" s="629" t="str">
        <f>'CF-ACPL（合并）'!A45</f>
        <v>吸收投资所收到的现金</v>
      </c>
      <c r="B45" s="623">
        <f t="shared" ref="B45:B52" si="32">INDEX($E45:$P45,1,MATCH($B$4,$E$4:$P$4))</f>
        <v>0</v>
      </c>
      <c r="C45" s="626">
        <f t="shared" ref="C45:C52" ca="1" si="33">SUM($E45:OFFSET($E45,0,MATCH($C$4,$E$4:$P$4)-1))</f>
        <v>0</v>
      </c>
      <c r="D45" s="626"/>
      <c r="E45" s="626">
        <f>SUMIFS(cashflow汇总预算2026!$G:$G,cashflow汇总预算2026!$S:$S,$A45,cashflow汇总预算2026!$D:$D,E$4)</f>
        <v>0</v>
      </c>
      <c r="F45" s="626">
        <f>SUMIFS(cashflow汇总预算2026!$G:$G,cashflow汇总预算2026!$S:$S,$A45,cashflow汇总预算2026!$D:$D,F$4)</f>
        <v>7324000</v>
      </c>
      <c r="G45" s="626">
        <f>SUMIFS(cashflow汇总预算2026!$G:$G,cashflow汇总预算2026!$S:$S,$A45,cashflow汇总预算2026!$D:$D,G$4)</f>
        <v>0</v>
      </c>
      <c r="H45" s="626">
        <f>SUMIFS(cashflow汇总预算2026!$G:$G,cashflow汇总预算2026!$S:$S,$A45,cashflow汇总预算2026!$D:$D,H$4)</f>
        <v>0</v>
      </c>
      <c r="I45" s="626">
        <f>SUMIFS(cashflow汇总预算2026!$G:$G,cashflow汇总预算2026!$S:$S,$A45,cashflow汇总预算2026!$D:$D,I$4)</f>
        <v>0</v>
      </c>
      <c r="J45" s="626">
        <f>SUMIFS(cashflow汇总预算2026!$G:$G,cashflow汇总预算2026!$S:$S,$A45,cashflow汇总预算2026!$D:$D,J$4)</f>
        <v>0</v>
      </c>
      <c r="K45" s="626">
        <f>SUMIFS(cashflow汇总预算2026!$G:$G,cashflow汇总预算2026!$S:$S,$A45,cashflow汇总预算2026!$D:$D,K$4)</f>
        <v>0</v>
      </c>
      <c r="L45" s="626">
        <f>SUMIFS(cashflow汇总预算2026!$G:$G,cashflow汇总预算2026!$S:$S,$A45,cashflow汇总预算2026!$D:$D,L$4)</f>
        <v>5000000</v>
      </c>
      <c r="M45" s="626">
        <f>SUMIFS(cashflow汇总预算2026!$G:$G,cashflow汇总预算2026!$S:$S,$A45,cashflow汇总预算2026!$D:$D,M$4)</f>
        <v>0</v>
      </c>
      <c r="N45" s="626">
        <f>SUMIFS(cashflow汇总预算2026!$G:$G,cashflow汇总预算2026!$S:$S,$A45,cashflow汇总预算2026!$D:$D,N$4)</f>
        <v>0</v>
      </c>
      <c r="O45" s="626">
        <f>SUMIFS(cashflow汇总预算2026!$G:$G,cashflow汇总预算2026!$S:$S,$A45,cashflow汇总预算2026!$D:$D,O$4)</f>
        <v>0</v>
      </c>
      <c r="P45" s="626">
        <f>SUMIFS(cashflow汇总预算2026!$G:$G,cashflow汇总预算2026!$S:$S,$A45,cashflow汇总预算2026!$D:$D,P$4)</f>
        <v>0</v>
      </c>
      <c r="Q45" s="626">
        <f t="shared" ref="Q45:Q47" si="34">SUM(E45:P45)</f>
        <v>12324000</v>
      </c>
      <c r="R45" s="626"/>
      <c r="S45" s="630">
        <v>0</v>
      </c>
      <c r="T45" s="630">
        <v>0</v>
      </c>
      <c r="U45" s="630">
        <v>0</v>
      </c>
      <c r="V45" s="630">
        <v>0</v>
      </c>
      <c r="W45" s="630">
        <v>0</v>
      </c>
      <c r="X45" s="630">
        <v>0</v>
      </c>
      <c r="Y45" s="630">
        <v>0</v>
      </c>
      <c r="Z45" s="630">
        <v>0</v>
      </c>
      <c r="AA45" s="630">
        <v>0</v>
      </c>
      <c r="AB45" s="630">
        <v>0</v>
      </c>
      <c r="AC45" s="630">
        <v>0</v>
      </c>
      <c r="AD45" s="630">
        <v>0</v>
      </c>
      <c r="AE45" s="626">
        <f t="shared" ref="AE45:AE47" si="35">SUM(S45:AD45)</f>
        <v>0</v>
      </c>
    </row>
    <row r="46" spans="1:31" ht="16.5" customHeight="1">
      <c r="A46" s="629" t="str">
        <f>'CF-ACPL（合并）'!A46</f>
        <v>取得借款所收到的现金</v>
      </c>
      <c r="B46" s="623">
        <f t="shared" si="32"/>
        <v>0</v>
      </c>
      <c r="C46" s="626">
        <f t="shared" ca="1" si="33"/>
        <v>0</v>
      </c>
      <c r="D46" s="626"/>
      <c r="E46" s="626">
        <f>SUMIFS(cashflow汇总预算2026!$G:$G,cashflow汇总预算2026!$S:$S,$A46,cashflow汇总预算2026!$D:$D,E$4)</f>
        <v>0</v>
      </c>
      <c r="F46" s="626">
        <f>SUMIFS(cashflow汇总预算2026!$G:$G,cashflow汇总预算2026!$S:$S,$A46,cashflow汇总预算2026!$D:$D,F$4)</f>
        <v>0</v>
      </c>
      <c r="G46" s="626">
        <f>SUMIFS(cashflow汇总预算2026!$G:$G,cashflow汇总预算2026!$S:$S,$A46,cashflow汇总预算2026!$D:$D,G$4)</f>
        <v>0</v>
      </c>
      <c r="H46" s="626">
        <f>SUMIFS(cashflow汇总预算2026!$G:$G,cashflow汇总预算2026!$S:$S,$A46,cashflow汇总预算2026!$D:$D,H$4)</f>
        <v>0</v>
      </c>
      <c r="I46" s="626">
        <f>SUMIFS(cashflow汇总预算2026!$G:$G,cashflow汇总预算2026!$S:$S,$A46,cashflow汇总预算2026!$D:$D,I$4)</f>
        <v>0</v>
      </c>
      <c r="J46" s="626">
        <f>SUMIFS(cashflow汇总预算2026!$G:$G,cashflow汇总预算2026!$S:$S,$A46,cashflow汇总预算2026!$D:$D,J$4)</f>
        <v>0</v>
      </c>
      <c r="K46" s="626">
        <f>SUMIFS(cashflow汇总预算2026!$G:$G,cashflow汇总预算2026!$S:$S,$A46,cashflow汇总预算2026!$D:$D,K$4)</f>
        <v>0</v>
      </c>
      <c r="L46" s="626">
        <f>SUMIFS(cashflow汇总预算2026!$G:$G,cashflow汇总预算2026!$S:$S,$A46,cashflow汇总预算2026!$D:$D,L$4)</f>
        <v>0</v>
      </c>
      <c r="M46" s="626">
        <f>SUMIFS(cashflow汇总预算2026!$G:$G,cashflow汇总预算2026!$S:$S,$A46,cashflow汇总预算2026!$D:$D,M$4)</f>
        <v>0</v>
      </c>
      <c r="N46" s="626">
        <f>SUMIFS(cashflow汇总预算2026!$G:$G,cashflow汇总预算2026!$S:$S,$A46,cashflow汇总预算2026!$D:$D,N$4)</f>
        <v>0</v>
      </c>
      <c r="O46" s="626">
        <f>SUMIFS(cashflow汇总预算2026!$G:$G,cashflow汇总预算2026!$S:$S,$A46,cashflow汇总预算2026!$D:$D,O$4)</f>
        <v>0</v>
      </c>
      <c r="P46" s="626">
        <f>SUMIFS(cashflow汇总预算2026!$G:$G,cashflow汇总预算2026!$S:$S,$A46,cashflow汇总预算2026!$D:$D,P$4)</f>
        <v>0</v>
      </c>
      <c r="Q46" s="626">
        <f t="shared" si="34"/>
        <v>0</v>
      </c>
      <c r="R46" s="626"/>
      <c r="S46" s="630">
        <v>0</v>
      </c>
      <c r="T46" s="630">
        <v>0</v>
      </c>
      <c r="U46" s="630">
        <v>0</v>
      </c>
      <c r="V46" s="630">
        <v>0</v>
      </c>
      <c r="W46" s="630">
        <v>0</v>
      </c>
      <c r="X46" s="630">
        <v>0</v>
      </c>
      <c r="Y46" s="630">
        <v>0</v>
      </c>
      <c r="Z46" s="630">
        <v>0</v>
      </c>
      <c r="AA46" s="630">
        <v>0</v>
      </c>
      <c r="AB46" s="630">
        <v>0</v>
      </c>
      <c r="AC46" s="630">
        <v>0</v>
      </c>
      <c r="AD46" s="630">
        <v>0</v>
      </c>
      <c r="AE46" s="626">
        <f t="shared" si="35"/>
        <v>0</v>
      </c>
    </row>
    <row r="47" spans="1:31" ht="16.5" customHeight="1">
      <c r="A47" s="629" t="str">
        <f>'CF-ACPL（合并）'!A47</f>
        <v>收到的其他与筹资活动有关的现金</v>
      </c>
      <c r="B47" s="623">
        <f t="shared" si="32"/>
        <v>1540000</v>
      </c>
      <c r="C47" s="626">
        <f t="shared" ca="1" si="33"/>
        <v>1540000</v>
      </c>
      <c r="D47" s="626"/>
      <c r="E47" s="626">
        <f>SUMIFS(cashflow汇总预算2026!$G:$G,cashflow汇总预算2026!$S:$S,$A47,cashflow汇总预算2026!$D:$D,E$4)</f>
        <v>1540000</v>
      </c>
      <c r="F47" s="626">
        <f>SUMIFS(cashflow汇总预算2026!$G:$G,cashflow汇总预算2026!$S:$S,$A47,cashflow汇总预算2026!$D:$D,F$4)</f>
        <v>0</v>
      </c>
      <c r="G47" s="626">
        <f>SUMIFS(cashflow汇总预算2026!$G:$G,cashflow汇总预算2026!$S:$S,$A47,cashflow汇总预算2026!$D:$D,G$4)</f>
        <v>210000</v>
      </c>
      <c r="H47" s="626">
        <f>SUMIFS(cashflow汇总预算2026!$G:$G,cashflow汇总预算2026!$S:$S,$A47,cashflow汇总预算2026!$D:$D,H$4)</f>
        <v>3000000</v>
      </c>
      <c r="I47" s="626">
        <f>SUMIFS(cashflow汇总预算2026!$G:$G,cashflow汇总预算2026!$S:$S,$A47,cashflow汇总预算2026!$D:$D,I$4)</f>
        <v>0</v>
      </c>
      <c r="J47" s="626">
        <f>SUMIFS(cashflow汇总预算2026!$G:$G,cashflow汇总预算2026!$S:$S,$A47,cashflow汇总预算2026!$D:$D,J$4)</f>
        <v>0</v>
      </c>
      <c r="K47" s="626">
        <f>SUMIFS(cashflow汇总预算2026!$G:$G,cashflow汇总预算2026!$S:$S,$A47,cashflow汇总预算2026!$D:$D,K$4)</f>
        <v>0</v>
      </c>
      <c r="L47" s="626">
        <f>SUMIFS(cashflow汇总预算2026!$G:$G,cashflow汇总预算2026!$S:$S,$A47,cashflow汇总预算2026!$D:$D,L$4)</f>
        <v>0</v>
      </c>
      <c r="M47" s="626">
        <f>SUMIFS(cashflow汇总预算2026!$G:$G,cashflow汇总预算2026!$S:$S,$A47,cashflow汇总预算2026!$D:$D,M$4)</f>
        <v>0</v>
      </c>
      <c r="N47" s="626">
        <f>SUMIFS(cashflow汇总预算2026!$G:$G,cashflow汇总预算2026!$S:$S,$A47,cashflow汇总预算2026!$D:$D,N$4)</f>
        <v>0</v>
      </c>
      <c r="O47" s="626">
        <f>SUMIFS(cashflow汇总预算2026!$G:$G,cashflow汇总预算2026!$S:$S,$A47,cashflow汇总预算2026!$D:$D,O$4)</f>
        <v>0</v>
      </c>
      <c r="P47" s="626">
        <f>SUMIFS(cashflow汇总预算2026!$G:$G,cashflow汇总预算2026!$S:$S,$A47,cashflow汇总预算2026!$D:$D,P$4)</f>
        <v>1500000</v>
      </c>
      <c r="Q47" s="626">
        <f t="shared" si="34"/>
        <v>6250000</v>
      </c>
      <c r="R47" s="626"/>
      <c r="S47" s="630">
        <v>0</v>
      </c>
      <c r="T47" s="630">
        <v>0</v>
      </c>
      <c r="U47" s="630">
        <v>0</v>
      </c>
      <c r="V47" s="630">
        <v>0</v>
      </c>
      <c r="W47" s="630">
        <v>0</v>
      </c>
      <c r="X47" s="630">
        <v>0</v>
      </c>
      <c r="Y47" s="630">
        <v>0</v>
      </c>
      <c r="Z47" s="630">
        <v>0</v>
      </c>
      <c r="AA47" s="630">
        <v>0</v>
      </c>
      <c r="AB47" s="630">
        <v>0</v>
      </c>
      <c r="AC47" s="630">
        <v>0</v>
      </c>
      <c r="AD47" s="630">
        <v>0</v>
      </c>
      <c r="AE47" s="626">
        <f t="shared" si="35"/>
        <v>0</v>
      </c>
    </row>
    <row r="48" spans="1:31" s="605" customFormat="1" ht="16.5" customHeight="1">
      <c r="A48" s="635" t="str">
        <f>'CF-ACPL（合并）'!A48</f>
        <v>筹资活动现金流出小计</v>
      </c>
      <c r="B48" s="636">
        <f t="shared" si="32"/>
        <v>-780000</v>
      </c>
      <c r="C48" s="636">
        <f t="shared" ca="1" si="33"/>
        <v>-780000</v>
      </c>
      <c r="D48" s="636"/>
      <c r="E48" s="636">
        <f>SUM(E49:E51)</f>
        <v>-780000</v>
      </c>
      <c r="F48" s="636">
        <f t="shared" ref="F48:Q48" si="36">SUM(F49:F51)</f>
        <v>-710000</v>
      </c>
      <c r="G48" s="636">
        <f t="shared" si="36"/>
        <v>0</v>
      </c>
      <c r="H48" s="636">
        <f t="shared" si="36"/>
        <v>0</v>
      </c>
      <c r="I48" s="636">
        <f t="shared" si="36"/>
        <v>0</v>
      </c>
      <c r="J48" s="636">
        <f t="shared" si="36"/>
        <v>0</v>
      </c>
      <c r="K48" s="636">
        <f t="shared" si="36"/>
        <v>0</v>
      </c>
      <c r="L48" s="636">
        <f t="shared" si="36"/>
        <v>0</v>
      </c>
      <c r="M48" s="636">
        <f t="shared" si="36"/>
        <v>0</v>
      </c>
      <c r="N48" s="636">
        <f t="shared" si="36"/>
        <v>0</v>
      </c>
      <c r="O48" s="636">
        <f t="shared" si="36"/>
        <v>0</v>
      </c>
      <c r="P48" s="636">
        <f t="shared" si="36"/>
        <v>0</v>
      </c>
      <c r="Q48" s="636">
        <f t="shared" si="36"/>
        <v>-1490000</v>
      </c>
      <c r="R48" s="623"/>
      <c r="S48" s="636">
        <f t="shared" ref="S48:AE48" si="37">SUM(S49:S51)</f>
        <v>0</v>
      </c>
      <c r="T48" s="636">
        <f t="shared" si="37"/>
        <v>0</v>
      </c>
      <c r="U48" s="636">
        <f t="shared" si="37"/>
        <v>0</v>
      </c>
      <c r="V48" s="636">
        <f t="shared" si="37"/>
        <v>0</v>
      </c>
      <c r="W48" s="636">
        <f t="shared" si="37"/>
        <v>0</v>
      </c>
      <c r="X48" s="636">
        <f t="shared" si="37"/>
        <v>0</v>
      </c>
      <c r="Y48" s="636">
        <f t="shared" si="37"/>
        <v>0</v>
      </c>
      <c r="Z48" s="636">
        <f t="shared" si="37"/>
        <v>0</v>
      </c>
      <c r="AA48" s="636">
        <f t="shared" si="37"/>
        <v>0</v>
      </c>
      <c r="AB48" s="636">
        <f t="shared" si="37"/>
        <v>0</v>
      </c>
      <c r="AC48" s="636">
        <f t="shared" si="37"/>
        <v>0</v>
      </c>
      <c r="AD48" s="636">
        <f t="shared" si="37"/>
        <v>0</v>
      </c>
      <c r="AE48" s="636">
        <f t="shared" si="37"/>
        <v>0</v>
      </c>
    </row>
    <row r="49" spans="1:33" ht="16.5" customHeight="1">
      <c r="A49" s="629" t="str">
        <f>'CF-ACPL（合并）'!A49</f>
        <v>偿还债务所支付的现金</v>
      </c>
      <c r="B49" s="623">
        <f t="shared" si="32"/>
        <v>0</v>
      </c>
      <c r="C49" s="626">
        <f t="shared" ca="1" si="33"/>
        <v>0</v>
      </c>
      <c r="D49" s="626"/>
      <c r="E49" s="626">
        <f>SUMIFS(cashflow汇总预算2026!$G:$G,cashflow汇总预算2026!$S:$S,$A49,cashflow汇总预算2026!$D:$D,E$4)</f>
        <v>0</v>
      </c>
      <c r="F49" s="626">
        <f>SUMIFS(cashflow汇总预算2026!$G:$G,cashflow汇总预算2026!$S:$S,$A49,cashflow汇总预算2026!$D:$D,F$4)</f>
        <v>0</v>
      </c>
      <c r="G49" s="626">
        <f>SUMIFS(cashflow汇总预算2026!$G:$G,cashflow汇总预算2026!$S:$S,$A49,cashflow汇总预算2026!$D:$D,G$4)</f>
        <v>0</v>
      </c>
      <c r="H49" s="626">
        <f>SUMIFS(cashflow汇总预算2026!$G:$G,cashflow汇总预算2026!$S:$S,$A49,cashflow汇总预算2026!$D:$D,H$4)</f>
        <v>0</v>
      </c>
      <c r="I49" s="626">
        <f>SUMIFS(cashflow汇总预算2026!$G:$G,cashflow汇总预算2026!$S:$S,$A49,cashflow汇总预算2026!$D:$D,I$4)</f>
        <v>0</v>
      </c>
      <c r="J49" s="626">
        <f>SUMIFS(cashflow汇总预算2026!$G:$G,cashflow汇总预算2026!$S:$S,$A49,cashflow汇总预算2026!$D:$D,J$4)</f>
        <v>0</v>
      </c>
      <c r="K49" s="626">
        <f>SUMIFS(cashflow汇总预算2026!$G:$G,cashflow汇总预算2026!$S:$S,$A49,cashflow汇总预算2026!$D:$D,K$4)</f>
        <v>0</v>
      </c>
      <c r="L49" s="626">
        <f>SUMIFS(cashflow汇总预算2026!$G:$G,cashflow汇总预算2026!$S:$S,$A49,cashflow汇总预算2026!$D:$D,L$4)</f>
        <v>0</v>
      </c>
      <c r="M49" s="626">
        <f>SUMIFS(cashflow汇总预算2026!$G:$G,cashflow汇总预算2026!$S:$S,$A49,cashflow汇总预算2026!$D:$D,M$4)</f>
        <v>0</v>
      </c>
      <c r="N49" s="626">
        <f>SUMIFS(cashflow汇总预算2026!$G:$G,cashflow汇总预算2026!$S:$S,$A49,cashflow汇总预算2026!$D:$D,N$4)</f>
        <v>0</v>
      </c>
      <c r="O49" s="626">
        <f>SUMIFS(cashflow汇总预算2026!$G:$G,cashflow汇总预算2026!$S:$S,$A49,cashflow汇总预算2026!$D:$D,O$4)</f>
        <v>0</v>
      </c>
      <c r="P49" s="626">
        <f>SUMIFS(cashflow汇总预算2026!$G:$G,cashflow汇总预算2026!$S:$S,$A49,cashflow汇总预算2026!$D:$D,P$4)</f>
        <v>0</v>
      </c>
      <c r="Q49" s="626">
        <f t="shared" ref="Q49:Q51" si="38">SUM(E49:P49)</f>
        <v>0</v>
      </c>
      <c r="R49" s="626"/>
      <c r="S49" s="626"/>
      <c r="T49" s="626"/>
      <c r="U49" s="626"/>
      <c r="V49" s="626"/>
      <c r="W49" s="626"/>
      <c r="X49" s="626"/>
      <c r="Y49" s="626"/>
      <c r="Z49" s="626"/>
      <c r="AA49" s="626"/>
      <c r="AB49" s="626"/>
      <c r="AC49" s="626"/>
      <c r="AD49" s="626"/>
      <c r="AE49" s="626">
        <f t="shared" ref="AE49:AE51" si="39">SUM(S49:AD49)</f>
        <v>0</v>
      </c>
    </row>
    <row r="50" spans="1:33" ht="15" customHeight="1">
      <c r="A50" s="629" t="str">
        <f>'CF-ACPL（合并）'!A50</f>
        <v>分配股利、利润或偿付利息支付的现金</v>
      </c>
      <c r="B50" s="623">
        <f t="shared" si="32"/>
        <v>0</v>
      </c>
      <c r="C50" s="626">
        <f t="shared" ca="1" si="33"/>
        <v>0</v>
      </c>
      <c r="D50" s="626"/>
      <c r="E50" s="626">
        <f>SUMIFS(cashflow汇总预算2026!$G:$G,cashflow汇总预算2026!$S:$S,$A50,cashflow汇总预算2026!$D:$D,E$4)</f>
        <v>0</v>
      </c>
      <c r="F50" s="626">
        <f>SUMIFS(cashflow汇总预算2026!$G:$G,cashflow汇总预算2026!$S:$S,$A50,cashflow汇总预算2026!$D:$D,F$4)</f>
        <v>0</v>
      </c>
      <c r="G50" s="626">
        <f>SUMIFS(cashflow汇总预算2026!$G:$G,cashflow汇总预算2026!$S:$S,$A50,cashflow汇总预算2026!$D:$D,G$4)</f>
        <v>0</v>
      </c>
      <c r="H50" s="626">
        <f>SUMIFS(cashflow汇总预算2026!$G:$G,cashflow汇总预算2026!$S:$S,$A50,cashflow汇总预算2026!$D:$D,H$4)</f>
        <v>0</v>
      </c>
      <c r="I50" s="626">
        <f>SUMIFS(cashflow汇总预算2026!$G:$G,cashflow汇总预算2026!$S:$S,$A50,cashflow汇总预算2026!$D:$D,I$4)</f>
        <v>0</v>
      </c>
      <c r="J50" s="626">
        <f>SUMIFS(cashflow汇总预算2026!$G:$G,cashflow汇总预算2026!$S:$S,$A50,cashflow汇总预算2026!$D:$D,J$4)</f>
        <v>0</v>
      </c>
      <c r="K50" s="626">
        <f>SUMIFS(cashflow汇总预算2026!$G:$G,cashflow汇总预算2026!$S:$S,$A50,cashflow汇总预算2026!$D:$D,K$4)</f>
        <v>0</v>
      </c>
      <c r="L50" s="626">
        <f>SUMIFS(cashflow汇总预算2026!$G:$G,cashflow汇总预算2026!$S:$S,$A50,cashflow汇总预算2026!$D:$D,L$4)</f>
        <v>0</v>
      </c>
      <c r="M50" s="626">
        <f>SUMIFS(cashflow汇总预算2026!$G:$G,cashflow汇总预算2026!$S:$S,$A50,cashflow汇总预算2026!$D:$D,M$4)</f>
        <v>0</v>
      </c>
      <c r="N50" s="626">
        <f>SUMIFS(cashflow汇总预算2026!$G:$G,cashflow汇总预算2026!$S:$S,$A50,cashflow汇总预算2026!$D:$D,N$4)</f>
        <v>0</v>
      </c>
      <c r="O50" s="626">
        <f>SUMIFS(cashflow汇总预算2026!$G:$G,cashflow汇总预算2026!$S:$S,$A50,cashflow汇总预算2026!$D:$D,O$4)</f>
        <v>0</v>
      </c>
      <c r="P50" s="626">
        <f>SUMIFS(cashflow汇总预算2026!$G:$G,cashflow汇总预算2026!$S:$S,$A50,cashflow汇总预算2026!$D:$D,P$4)</f>
        <v>0</v>
      </c>
      <c r="Q50" s="626">
        <f t="shared" si="38"/>
        <v>0</v>
      </c>
      <c r="R50" s="626"/>
      <c r="S50" s="626"/>
      <c r="T50" s="626"/>
      <c r="U50" s="626"/>
      <c r="V50" s="626"/>
      <c r="W50" s="626"/>
      <c r="X50" s="626"/>
      <c r="Y50" s="626"/>
      <c r="Z50" s="626"/>
      <c r="AA50" s="626"/>
      <c r="AB50" s="626"/>
      <c r="AC50" s="626"/>
      <c r="AD50" s="626"/>
      <c r="AE50" s="626">
        <f t="shared" si="39"/>
        <v>0</v>
      </c>
    </row>
    <row r="51" spans="1:33" ht="16.5" customHeight="1">
      <c r="A51" s="629" t="str">
        <f>'CF-ACPL（合并）'!A51</f>
        <v>支付的其他与筹资活动有关的现金</v>
      </c>
      <c r="B51" s="623">
        <f t="shared" si="32"/>
        <v>-780000</v>
      </c>
      <c r="C51" s="626">
        <f t="shared" ca="1" si="33"/>
        <v>-780000</v>
      </c>
      <c r="D51" s="626"/>
      <c r="E51" s="626">
        <f>SUMIFS(cashflow汇总预算2026!$G:$G,cashflow汇总预算2026!$S:$S,$A51,cashflow汇总预算2026!$D:$D,E$4)</f>
        <v>-780000</v>
      </c>
      <c r="F51" s="626">
        <f>SUMIFS(cashflow汇总预算2026!$G:$G,cashflow汇总预算2026!$S:$S,$A51,cashflow汇总预算2026!$D:$D,F$4)</f>
        <v>-710000</v>
      </c>
      <c r="G51" s="626">
        <f>SUMIFS(cashflow汇总预算2026!$G:$G,cashflow汇总预算2026!$S:$S,$A51,cashflow汇总预算2026!$D:$D,G$4)</f>
        <v>0</v>
      </c>
      <c r="H51" s="626">
        <f>SUMIFS(cashflow汇总预算2026!$G:$G,cashflow汇总预算2026!$S:$S,$A51,cashflow汇总预算2026!$D:$D,H$4)</f>
        <v>0</v>
      </c>
      <c r="I51" s="626">
        <f>SUMIFS(cashflow汇总预算2026!$G:$G,cashflow汇总预算2026!$S:$S,$A51,cashflow汇总预算2026!$D:$D,I$4)</f>
        <v>0</v>
      </c>
      <c r="J51" s="626">
        <f>SUMIFS(cashflow汇总预算2026!$G:$G,cashflow汇总预算2026!$S:$S,$A51,cashflow汇总预算2026!$D:$D,J$4)</f>
        <v>0</v>
      </c>
      <c r="K51" s="626">
        <f>SUMIFS(cashflow汇总预算2026!$G:$G,cashflow汇总预算2026!$S:$S,$A51,cashflow汇总预算2026!$D:$D,K$4)</f>
        <v>0</v>
      </c>
      <c r="L51" s="626">
        <f>SUMIFS(cashflow汇总预算2026!$G:$G,cashflow汇总预算2026!$S:$S,$A51,cashflow汇总预算2026!$D:$D,L$4)</f>
        <v>0</v>
      </c>
      <c r="M51" s="626">
        <f>SUMIFS(cashflow汇总预算2026!$G:$G,cashflow汇总预算2026!$S:$S,$A51,cashflow汇总预算2026!$D:$D,M$4)</f>
        <v>0</v>
      </c>
      <c r="N51" s="626">
        <f>SUMIFS(cashflow汇总预算2026!$G:$G,cashflow汇总预算2026!$S:$S,$A51,cashflow汇总预算2026!$D:$D,N$4)</f>
        <v>0</v>
      </c>
      <c r="O51" s="626">
        <f>SUMIFS(cashflow汇总预算2026!$G:$G,cashflow汇总预算2026!$S:$S,$A51,cashflow汇总预算2026!$D:$D,O$4)</f>
        <v>0</v>
      </c>
      <c r="P51" s="626">
        <f>SUMIFS(cashflow汇总预算2026!$G:$G,cashflow汇总预算2026!$S:$S,$A51,cashflow汇总预算2026!$D:$D,P$4)</f>
        <v>0</v>
      </c>
      <c r="Q51" s="626">
        <f t="shared" si="38"/>
        <v>-1490000</v>
      </c>
      <c r="R51" s="626"/>
      <c r="S51" s="626"/>
      <c r="T51" s="626"/>
      <c r="U51" s="626"/>
      <c r="V51" s="626"/>
      <c r="W51" s="626"/>
      <c r="X51" s="626"/>
      <c r="Y51" s="626"/>
      <c r="Z51" s="626"/>
      <c r="AA51" s="626"/>
      <c r="AB51" s="626"/>
      <c r="AC51" s="626"/>
      <c r="AD51" s="626"/>
      <c r="AE51" s="626">
        <f t="shared" si="39"/>
        <v>0</v>
      </c>
    </row>
    <row r="52" spans="1:33" s="606" customFormat="1" ht="16.5" customHeight="1">
      <c r="A52" s="606" t="str">
        <f>'CF-ACPL（合并）'!A52</f>
        <v>筹资活动产生的现金流量净额</v>
      </c>
      <c r="B52" s="622">
        <f t="shared" si="32"/>
        <v>760000</v>
      </c>
      <c r="C52" s="622">
        <f t="shared" ca="1" si="33"/>
        <v>760000</v>
      </c>
      <c r="D52" s="622"/>
      <c r="E52" s="634">
        <f>E44+E48</f>
        <v>760000</v>
      </c>
      <c r="F52" s="634">
        <f t="shared" ref="F52:Q52" si="40">F44+F48</f>
        <v>6614000</v>
      </c>
      <c r="G52" s="634">
        <f t="shared" si="40"/>
        <v>210000</v>
      </c>
      <c r="H52" s="634">
        <f t="shared" si="40"/>
        <v>3000000</v>
      </c>
      <c r="I52" s="634">
        <f t="shared" si="40"/>
        <v>0</v>
      </c>
      <c r="J52" s="634">
        <f t="shared" si="40"/>
        <v>0</v>
      </c>
      <c r="K52" s="634">
        <f t="shared" si="40"/>
        <v>0</v>
      </c>
      <c r="L52" s="634">
        <f t="shared" si="40"/>
        <v>5000000</v>
      </c>
      <c r="M52" s="634">
        <f t="shared" si="40"/>
        <v>0</v>
      </c>
      <c r="N52" s="634">
        <f t="shared" si="40"/>
        <v>0</v>
      </c>
      <c r="O52" s="634">
        <f t="shared" si="40"/>
        <v>0</v>
      </c>
      <c r="P52" s="634">
        <f t="shared" si="40"/>
        <v>1500000</v>
      </c>
      <c r="Q52" s="634">
        <f t="shared" si="40"/>
        <v>17084000</v>
      </c>
      <c r="R52" s="637"/>
      <c r="S52" s="634">
        <f t="shared" ref="S52:AE52" si="41">S44-S48</f>
        <v>0</v>
      </c>
      <c r="T52" s="634">
        <f t="shared" si="41"/>
        <v>0</v>
      </c>
      <c r="U52" s="634">
        <f t="shared" si="41"/>
        <v>0</v>
      </c>
      <c r="V52" s="634">
        <f t="shared" si="41"/>
        <v>0</v>
      </c>
      <c r="W52" s="634">
        <f t="shared" si="41"/>
        <v>0</v>
      </c>
      <c r="X52" s="634">
        <f t="shared" si="41"/>
        <v>0</v>
      </c>
      <c r="Y52" s="634">
        <f t="shared" si="41"/>
        <v>0</v>
      </c>
      <c r="Z52" s="634">
        <f t="shared" si="41"/>
        <v>0</v>
      </c>
      <c r="AA52" s="634">
        <f t="shared" si="41"/>
        <v>0</v>
      </c>
      <c r="AB52" s="634">
        <f t="shared" si="41"/>
        <v>0</v>
      </c>
      <c r="AC52" s="634">
        <f t="shared" si="41"/>
        <v>0</v>
      </c>
      <c r="AD52" s="634">
        <f t="shared" si="41"/>
        <v>0</v>
      </c>
      <c r="AE52" s="634">
        <f t="shared" si="41"/>
        <v>0</v>
      </c>
      <c r="AF52" s="638"/>
      <c r="AG52" s="639"/>
    </row>
    <row r="53" spans="1:33" ht="16.5" customHeight="1">
      <c r="B53" s="625"/>
      <c r="C53" s="625"/>
      <c r="D53" s="625"/>
      <c r="E53" s="626"/>
      <c r="F53" s="626"/>
      <c r="G53" s="626"/>
      <c r="H53" s="626"/>
      <c r="I53" s="626"/>
      <c r="J53" s="626"/>
      <c r="K53" s="626"/>
      <c r="L53" s="626"/>
      <c r="M53" s="626"/>
      <c r="N53" s="626"/>
      <c r="O53" s="626"/>
      <c r="P53" s="626"/>
      <c r="Q53" s="626"/>
      <c r="R53" s="626"/>
      <c r="S53" s="626"/>
      <c r="T53" s="626"/>
      <c r="U53" s="626"/>
      <c r="V53" s="626"/>
      <c r="W53" s="626"/>
      <c r="X53" s="626"/>
      <c r="Y53" s="626"/>
      <c r="Z53" s="626"/>
      <c r="AA53" s="626"/>
      <c r="AB53" s="626"/>
      <c r="AC53" s="626"/>
      <c r="AD53" s="626"/>
      <c r="AE53" s="626"/>
    </row>
    <row r="54" spans="1:33" s="607" customFormat="1" ht="16.5" customHeight="1">
      <c r="A54" s="607" t="str">
        <f>'CF-ACPL（合并）'!A54</f>
        <v>汇率变动对现金的影响额</v>
      </c>
      <c r="B54" s="622">
        <f t="shared" ref="B54:B58" si="42">INDEX($E54:$P54,1,MATCH($B$4,$E$4:$P$4))</f>
        <v>0</v>
      </c>
      <c r="C54" s="622">
        <f t="shared" ref="C54:C58" ca="1" si="43">SUM($E54:OFFSET($E54,0,MATCH($C$4,$E$4:$P$4)-1))</f>
        <v>0</v>
      </c>
      <c r="D54" s="622"/>
      <c r="E54" s="640"/>
      <c r="F54" s="640"/>
      <c r="G54" s="640"/>
      <c r="H54" s="640"/>
      <c r="I54" s="640"/>
      <c r="J54" s="640"/>
      <c r="K54" s="640"/>
      <c r="L54" s="640"/>
      <c r="M54" s="640"/>
      <c r="N54" s="640"/>
      <c r="O54" s="640"/>
      <c r="P54" s="640"/>
      <c r="Q54" s="640"/>
      <c r="R54" s="626"/>
      <c r="S54" s="640"/>
      <c r="T54" s="640"/>
      <c r="U54" s="640"/>
      <c r="V54" s="640"/>
      <c r="W54" s="640"/>
      <c r="X54" s="640"/>
      <c r="Y54" s="640"/>
      <c r="Z54" s="640"/>
      <c r="AA54" s="640"/>
      <c r="AB54" s="640"/>
      <c r="AC54" s="640"/>
      <c r="AD54" s="640"/>
      <c r="AE54" s="640"/>
    </row>
    <row r="55" spans="1:33" ht="16.5" customHeight="1">
      <c r="B55" s="625"/>
      <c r="C55" s="625"/>
      <c r="D55" s="625"/>
      <c r="E55" s="626"/>
      <c r="F55" s="626"/>
      <c r="G55" s="626"/>
      <c r="H55" s="626"/>
      <c r="I55" s="626"/>
      <c r="J55" s="626"/>
      <c r="K55" s="626"/>
      <c r="L55" s="626"/>
      <c r="M55" s="626"/>
      <c r="N55" s="626"/>
      <c r="O55" s="626"/>
      <c r="P55" s="626"/>
      <c r="Q55" s="626"/>
      <c r="R55" s="626"/>
      <c r="S55" s="626"/>
      <c r="T55" s="626"/>
      <c r="U55" s="626"/>
      <c r="V55" s="626"/>
      <c r="W55" s="626"/>
      <c r="X55" s="626"/>
      <c r="Y55" s="626"/>
      <c r="Z55" s="626"/>
      <c r="AA55" s="626"/>
      <c r="AB55" s="626"/>
      <c r="AC55" s="626"/>
      <c r="AD55" s="626"/>
      <c r="AE55" s="626"/>
    </row>
    <row r="56" spans="1:33" s="608" customFormat="1" ht="16.5" customHeight="1">
      <c r="A56" s="608" t="str">
        <f>'CF-ACPL（合并）'!A56</f>
        <v>现金及现金等价物净增加额</v>
      </c>
      <c r="B56" s="622">
        <f t="shared" ca="1" si="42"/>
        <v>9973.3720000000903</v>
      </c>
      <c r="C56" s="622">
        <f t="shared" ca="1" si="43"/>
        <v>9973.3720000000903</v>
      </c>
      <c r="D56" s="622"/>
      <c r="E56" s="622">
        <f t="shared" ref="E56:Q56" ca="1" si="44">SUM(E29,E42,E52,E54)</f>
        <v>9973.3720000000903</v>
      </c>
      <c r="F56" s="622">
        <f t="shared" ca="1" si="44"/>
        <v>7439189.0420000004</v>
      </c>
      <c r="G56" s="622">
        <f t="shared" ca="1" si="44"/>
        <v>-344432.84799999988</v>
      </c>
      <c r="H56" s="622">
        <f t="shared" ca="1" si="44"/>
        <v>1759388.4097681213</v>
      </c>
      <c r="I56" s="622">
        <f t="shared" ca="1" si="44"/>
        <v>-3053670.7457094723</v>
      </c>
      <c r="J56" s="622">
        <f t="shared" ca="1" si="44"/>
        <v>-838944.1012811627</v>
      </c>
      <c r="K56" s="622">
        <f t="shared" ca="1" si="44"/>
        <v>314076.89986082533</v>
      </c>
      <c r="L56" s="622">
        <f t="shared" ca="1" si="44"/>
        <v>4109826.4649999999</v>
      </c>
      <c r="M56" s="622">
        <f t="shared" ca="1" si="44"/>
        <v>-1035973.5350000001</v>
      </c>
      <c r="N56" s="622">
        <f t="shared" ca="1" si="44"/>
        <v>1747951.1308828054</v>
      </c>
      <c r="O56" s="622">
        <f t="shared" ca="1" si="44"/>
        <v>-885973.53500000015</v>
      </c>
      <c r="P56" s="622">
        <f t="shared" ca="1" si="44"/>
        <v>-1014590.2392066917</v>
      </c>
      <c r="Q56" s="622">
        <f t="shared" ca="1" si="44"/>
        <v>8206820.315314427</v>
      </c>
      <c r="R56" s="623"/>
      <c r="S56" s="622">
        <f t="shared" ref="S56:AE56" si="45">SUM(S29,S42,S52,S54)</f>
        <v>0</v>
      </c>
      <c r="T56" s="622">
        <f t="shared" si="45"/>
        <v>0</v>
      </c>
      <c r="U56" s="622">
        <f t="shared" si="45"/>
        <v>0</v>
      </c>
      <c r="V56" s="622">
        <f t="shared" si="45"/>
        <v>0</v>
      </c>
      <c r="W56" s="622">
        <f t="shared" si="45"/>
        <v>0</v>
      </c>
      <c r="X56" s="622">
        <f t="shared" si="45"/>
        <v>0</v>
      </c>
      <c r="Y56" s="622">
        <f t="shared" si="45"/>
        <v>0</v>
      </c>
      <c r="Z56" s="622">
        <f t="shared" si="45"/>
        <v>0</v>
      </c>
      <c r="AA56" s="622">
        <f t="shared" si="45"/>
        <v>0</v>
      </c>
      <c r="AB56" s="622">
        <f t="shared" si="45"/>
        <v>0</v>
      </c>
      <c r="AC56" s="622">
        <f t="shared" si="45"/>
        <v>0</v>
      </c>
      <c r="AD56" s="622">
        <f t="shared" si="45"/>
        <v>0</v>
      </c>
      <c r="AE56" s="622">
        <f t="shared" si="45"/>
        <v>0</v>
      </c>
    </row>
    <row r="57" spans="1:33" ht="16.5" customHeight="1">
      <c r="B57" s="625"/>
      <c r="C57" s="625"/>
      <c r="D57" s="625"/>
      <c r="E57" s="626"/>
      <c r="F57" s="626"/>
      <c r="G57" s="626"/>
      <c r="H57" s="626"/>
      <c r="I57" s="626"/>
      <c r="J57" s="626"/>
      <c r="K57" s="626"/>
      <c r="L57" s="626"/>
      <c r="M57" s="626"/>
      <c r="N57" s="626"/>
      <c r="O57" s="626"/>
      <c r="P57" s="626"/>
      <c r="Q57" s="626"/>
      <c r="R57" s="626"/>
      <c r="S57" s="626"/>
      <c r="T57" s="626"/>
      <c r="U57" s="626"/>
      <c r="V57" s="626"/>
      <c r="W57" s="626"/>
      <c r="X57" s="626"/>
      <c r="Y57" s="626"/>
      <c r="Z57" s="626"/>
      <c r="AA57" s="626"/>
      <c r="AB57" s="626"/>
      <c r="AC57" s="626"/>
      <c r="AD57" s="626"/>
      <c r="AE57" s="626"/>
    </row>
    <row r="58" spans="1:33" s="608" customFormat="1" ht="16.5" customHeight="1">
      <c r="A58" s="608" t="str">
        <f>'CF-ACPL（合并）'!A58</f>
        <v>期末现金及现金等价物余额</v>
      </c>
      <c r="B58" s="622">
        <f t="shared" ca="1" si="42"/>
        <v>95675.412000000069</v>
      </c>
      <c r="C58" s="622">
        <f t="shared" ca="1" si="43"/>
        <v>95675.412000000069</v>
      </c>
      <c r="D58" s="622"/>
      <c r="E58" s="622">
        <f t="shared" ref="E58:Q58" ca="1" si="46">E10+E56</f>
        <v>95675.412000000069</v>
      </c>
      <c r="F58" s="622">
        <f t="shared" ca="1" si="46"/>
        <v>7534864.4540000008</v>
      </c>
      <c r="G58" s="622">
        <f t="shared" ca="1" si="46"/>
        <v>7190431.6060000006</v>
      </c>
      <c r="H58" s="622">
        <f t="shared" ca="1" si="46"/>
        <v>8949820.0157681219</v>
      </c>
      <c r="I58" s="622">
        <f t="shared" ca="1" si="46"/>
        <v>5896149.2700586496</v>
      </c>
      <c r="J58" s="622">
        <f t="shared" ca="1" si="46"/>
        <v>5057205.1687774872</v>
      </c>
      <c r="K58" s="622">
        <f t="shared" ca="1" si="46"/>
        <v>5371282.0686383126</v>
      </c>
      <c r="L58" s="622">
        <f t="shared" ca="1" si="46"/>
        <v>9481108.5336383134</v>
      </c>
      <c r="M58" s="622">
        <f t="shared" ca="1" si="46"/>
        <v>8445134.9986383133</v>
      </c>
      <c r="N58" s="622">
        <f t="shared" ca="1" si="46"/>
        <v>10193086.129521118</v>
      </c>
      <c r="O58" s="622">
        <f t="shared" ca="1" si="46"/>
        <v>9307112.5945211183</v>
      </c>
      <c r="P58" s="622">
        <f t="shared" ca="1" si="46"/>
        <v>8292522.3553144261</v>
      </c>
      <c r="Q58" s="622">
        <f t="shared" ca="1" si="46"/>
        <v>8292522.3553144271</v>
      </c>
      <c r="R58" s="623"/>
      <c r="S58" s="622">
        <f t="shared" ref="S58:AE58" ca="1" si="47">S10+S56</f>
        <v>8292522.3553144261</v>
      </c>
      <c r="T58" s="622">
        <f t="shared" ca="1" si="47"/>
        <v>8292522.3553144261</v>
      </c>
      <c r="U58" s="622">
        <f t="shared" ca="1" si="47"/>
        <v>8292522.3553144261</v>
      </c>
      <c r="V58" s="622">
        <f t="shared" ca="1" si="47"/>
        <v>8292522.3553144261</v>
      </c>
      <c r="W58" s="622">
        <f t="shared" ca="1" si="47"/>
        <v>8292522.3553144261</v>
      </c>
      <c r="X58" s="622">
        <f t="shared" ca="1" si="47"/>
        <v>8292522.3553144261</v>
      </c>
      <c r="Y58" s="622">
        <f t="shared" ca="1" si="47"/>
        <v>8292522.3553144261</v>
      </c>
      <c r="Z58" s="622">
        <f t="shared" ca="1" si="47"/>
        <v>8292522.3553144261</v>
      </c>
      <c r="AA58" s="622">
        <f t="shared" ca="1" si="47"/>
        <v>8292522.3553144261</v>
      </c>
      <c r="AB58" s="622">
        <f t="shared" ca="1" si="47"/>
        <v>8292522.3553144261</v>
      </c>
      <c r="AC58" s="622">
        <f t="shared" ca="1" si="47"/>
        <v>8292522.3553144261</v>
      </c>
      <c r="AD58" s="622">
        <f t="shared" ca="1" si="47"/>
        <v>8292522.3553144261</v>
      </c>
      <c r="AE58" s="622">
        <f t="shared" ca="1" si="47"/>
        <v>8292522.3553144261</v>
      </c>
    </row>
    <row r="59" spans="1:33" ht="16.5" customHeight="1">
      <c r="E59" s="641"/>
      <c r="F59" s="641"/>
      <c r="G59" s="641"/>
      <c r="H59" s="641"/>
      <c r="I59" s="641"/>
      <c r="J59" s="641"/>
      <c r="K59" s="641"/>
      <c r="L59" s="641"/>
      <c r="M59" s="641"/>
      <c r="N59" s="641"/>
      <c r="O59" s="641"/>
      <c r="P59" s="641"/>
      <c r="Q59" s="641"/>
      <c r="R59" s="641"/>
      <c r="S59" s="641"/>
      <c r="T59" s="641"/>
      <c r="U59" s="641"/>
      <c r="V59" s="641"/>
      <c r="W59" s="641"/>
      <c r="X59" s="641"/>
      <c r="Y59" s="641"/>
      <c r="Z59" s="641"/>
      <c r="AA59" s="641"/>
      <c r="AB59" s="641"/>
      <c r="AC59" s="641"/>
      <c r="AD59" s="641"/>
      <c r="AE59" s="641"/>
    </row>
    <row r="60" spans="1:33" s="609" customFormat="1" ht="16.5" customHeight="1">
      <c r="A60" s="609" t="s">
        <v>2595</v>
      </c>
      <c r="B60" s="642"/>
      <c r="C60" s="642"/>
      <c r="D60" s="642"/>
      <c r="E60" s="641"/>
      <c r="F60" s="641"/>
      <c r="G60" s="641"/>
      <c r="H60" s="641"/>
      <c r="I60" s="641"/>
      <c r="J60" s="641"/>
      <c r="K60" s="641"/>
      <c r="L60" s="643"/>
      <c r="M60" s="643"/>
      <c r="N60" s="643"/>
      <c r="O60" s="643"/>
      <c r="P60" s="643"/>
      <c r="Q60" s="643"/>
      <c r="R60" s="644"/>
      <c r="S60" s="643"/>
      <c r="T60" s="643"/>
      <c r="U60" s="643"/>
      <c r="V60" s="643"/>
      <c r="W60" s="643"/>
      <c r="X60" s="643"/>
      <c r="Y60" s="643"/>
      <c r="Z60" s="643"/>
      <c r="AA60" s="643"/>
      <c r="AB60" s="643"/>
      <c r="AC60" s="643"/>
      <c r="AD60" s="643"/>
      <c r="AE60" s="643"/>
    </row>
    <row r="61" spans="1:33" ht="16.5" customHeight="1">
      <c r="E61" s="645"/>
      <c r="F61" s="645"/>
      <c r="G61" s="645"/>
      <c r="H61" s="645"/>
      <c r="I61" s="645"/>
      <c r="J61" s="645"/>
      <c r="K61" s="645"/>
      <c r="L61" s="645"/>
      <c r="M61" s="645"/>
      <c r="N61" s="645"/>
      <c r="O61" s="645"/>
      <c r="P61" s="645"/>
      <c r="Q61" s="645"/>
      <c r="R61" s="641"/>
      <c r="S61" s="645"/>
      <c r="T61" s="645"/>
      <c r="U61" s="645"/>
      <c r="V61" s="645"/>
      <c r="W61" s="645"/>
      <c r="X61" s="645"/>
      <c r="Y61" s="645"/>
      <c r="Z61" s="645"/>
      <c r="AA61" s="645"/>
      <c r="AB61" s="645"/>
      <c r="AC61" s="645"/>
      <c r="AD61" s="645"/>
      <c r="AE61" s="645"/>
    </row>
    <row r="62" spans="1:33" ht="16.5" customHeight="1">
      <c r="E62" s="645"/>
      <c r="F62" s="645"/>
      <c r="G62" s="645"/>
      <c r="H62" s="645"/>
      <c r="I62" s="645"/>
      <c r="J62" s="645"/>
      <c r="K62" s="645"/>
      <c r="L62" s="645"/>
      <c r="M62" s="645"/>
      <c r="N62" s="645"/>
      <c r="O62" s="645"/>
      <c r="P62" s="645"/>
      <c r="Q62" s="645"/>
      <c r="R62" s="641"/>
      <c r="S62" s="645"/>
      <c r="T62" s="645"/>
      <c r="U62" s="645"/>
      <c r="V62" s="645"/>
      <c r="W62" s="645"/>
      <c r="X62" s="645"/>
      <c r="Y62" s="645"/>
      <c r="Z62" s="645"/>
      <c r="AA62" s="645"/>
      <c r="AB62" s="645"/>
      <c r="AC62" s="645"/>
      <c r="AD62" s="645"/>
      <c r="AE62" s="645"/>
    </row>
    <row r="63" spans="1:33" ht="16.5" customHeight="1">
      <c r="E63" s="645"/>
      <c r="F63" s="645"/>
      <c r="G63" s="645"/>
      <c r="H63" s="645"/>
      <c r="I63" s="645"/>
      <c r="J63" s="645"/>
      <c r="K63" s="645"/>
      <c r="L63" s="645"/>
      <c r="M63" s="645"/>
      <c r="N63" s="645"/>
      <c r="O63" s="645"/>
      <c r="P63" s="645"/>
      <c r="Q63" s="645"/>
      <c r="R63" s="641"/>
      <c r="S63" s="645"/>
      <c r="T63" s="645"/>
      <c r="U63" s="645"/>
      <c r="V63" s="645"/>
      <c r="W63" s="645"/>
      <c r="X63" s="645"/>
      <c r="Y63" s="645"/>
      <c r="Z63" s="645"/>
      <c r="AA63" s="645"/>
      <c r="AB63" s="645"/>
      <c r="AC63" s="645"/>
      <c r="AD63" s="645"/>
      <c r="AE63" s="645"/>
    </row>
    <row r="64" spans="1:33" ht="16.5" customHeight="1">
      <c r="E64" s="645"/>
      <c r="F64" s="645"/>
      <c r="G64" s="645"/>
      <c r="H64" s="645"/>
      <c r="I64" s="645"/>
      <c r="J64" s="645"/>
      <c r="K64" s="645"/>
      <c r="L64" s="645"/>
      <c r="M64" s="645"/>
      <c r="N64" s="645"/>
      <c r="O64" s="645"/>
      <c r="P64" s="645"/>
      <c r="Q64" s="645"/>
      <c r="R64" s="641"/>
      <c r="S64" s="645"/>
      <c r="T64" s="645"/>
      <c r="U64" s="645"/>
      <c r="V64" s="645"/>
      <c r="W64" s="645"/>
      <c r="X64" s="645"/>
      <c r="Y64" s="645"/>
      <c r="Z64" s="645"/>
      <c r="AA64" s="645"/>
      <c r="AB64" s="645"/>
      <c r="AC64" s="645"/>
      <c r="AD64" s="645"/>
      <c r="AE64" s="645"/>
    </row>
    <row r="65" spans="5:31" ht="16.5" customHeight="1">
      <c r="E65" s="645"/>
      <c r="F65" s="645"/>
      <c r="G65" s="645"/>
      <c r="H65" s="645"/>
      <c r="I65" s="645"/>
      <c r="J65" s="645"/>
      <c r="K65" s="645"/>
      <c r="L65" s="645"/>
      <c r="M65" s="645"/>
      <c r="N65" s="645"/>
      <c r="O65" s="645"/>
      <c r="P65" s="645"/>
      <c r="Q65" s="645"/>
      <c r="R65" s="641"/>
      <c r="S65" s="645"/>
      <c r="T65" s="645"/>
      <c r="U65" s="645"/>
      <c r="V65" s="645"/>
      <c r="W65" s="645"/>
      <c r="X65" s="645"/>
      <c r="Y65" s="645"/>
      <c r="Z65" s="645"/>
      <c r="AA65" s="645"/>
      <c r="AB65" s="645"/>
      <c r="AC65" s="645"/>
      <c r="AD65" s="645"/>
      <c r="AE65" s="645"/>
    </row>
    <row r="66" spans="5:31" ht="16.5" customHeight="1">
      <c r="E66" s="645"/>
      <c r="F66" s="645"/>
      <c r="G66" s="645"/>
      <c r="H66" s="645"/>
      <c r="I66" s="645"/>
      <c r="J66" s="645"/>
      <c r="K66" s="645"/>
      <c r="L66" s="645"/>
      <c r="M66" s="645"/>
      <c r="N66" s="645"/>
      <c r="O66" s="645"/>
      <c r="P66" s="645"/>
      <c r="Q66" s="645"/>
      <c r="R66" s="641"/>
      <c r="S66" s="645"/>
      <c r="T66" s="645"/>
      <c r="U66" s="645"/>
      <c r="V66" s="645"/>
      <c r="W66" s="645"/>
      <c r="X66" s="645"/>
      <c r="Y66" s="645"/>
      <c r="Z66" s="645"/>
      <c r="AA66" s="645"/>
      <c r="AB66" s="645"/>
      <c r="AC66" s="645"/>
      <c r="AD66" s="645"/>
      <c r="AE66" s="645"/>
    </row>
    <row r="67" spans="5:31" ht="16.5" customHeight="1">
      <c r="E67" s="645"/>
      <c r="F67" s="645"/>
      <c r="G67" s="645"/>
      <c r="H67" s="645"/>
      <c r="I67" s="645"/>
      <c r="J67" s="645"/>
      <c r="K67" s="645"/>
      <c r="L67" s="645"/>
      <c r="M67" s="645"/>
      <c r="N67" s="645"/>
      <c r="O67" s="645"/>
      <c r="P67" s="645"/>
      <c r="Q67" s="645"/>
      <c r="R67" s="641"/>
      <c r="S67" s="645"/>
      <c r="T67" s="645"/>
      <c r="U67" s="645"/>
      <c r="V67" s="645"/>
      <c r="W67" s="645"/>
      <c r="X67" s="645"/>
      <c r="Y67" s="645"/>
      <c r="Z67" s="645"/>
      <c r="AA67" s="645"/>
      <c r="AB67" s="645"/>
      <c r="AC67" s="645"/>
      <c r="AD67" s="645"/>
      <c r="AE67" s="645"/>
    </row>
    <row r="68" spans="5:31" ht="16.5" customHeight="1">
      <c r="E68" s="645"/>
      <c r="F68" s="645"/>
      <c r="G68" s="645"/>
      <c r="H68" s="645"/>
      <c r="I68" s="645"/>
      <c r="J68" s="645"/>
      <c r="K68" s="645"/>
      <c r="L68" s="645"/>
      <c r="M68" s="645"/>
      <c r="N68" s="645"/>
      <c r="O68" s="645"/>
      <c r="P68" s="645"/>
      <c r="Q68" s="645"/>
      <c r="R68" s="641"/>
      <c r="S68" s="645"/>
      <c r="T68" s="645"/>
      <c r="U68" s="645"/>
      <c r="V68" s="645"/>
      <c r="W68" s="645"/>
      <c r="X68" s="645"/>
      <c r="Y68" s="645"/>
      <c r="Z68" s="645"/>
      <c r="AA68" s="645"/>
      <c r="AB68" s="645"/>
      <c r="AC68" s="645"/>
      <c r="AD68" s="645"/>
      <c r="AE68" s="645"/>
    </row>
    <row r="69" spans="5:31" ht="16.5" customHeight="1">
      <c r="E69" s="645"/>
      <c r="F69" s="645"/>
      <c r="G69" s="645"/>
      <c r="H69" s="645"/>
      <c r="I69" s="645"/>
      <c r="J69" s="645"/>
      <c r="K69" s="645"/>
      <c r="L69" s="645"/>
      <c r="M69" s="645"/>
      <c r="N69" s="645"/>
      <c r="O69" s="645"/>
      <c r="P69" s="645"/>
      <c r="Q69" s="645"/>
      <c r="R69" s="641"/>
      <c r="S69" s="645"/>
      <c r="T69" s="645"/>
      <c r="U69" s="645"/>
      <c r="V69" s="645"/>
      <c r="W69" s="645"/>
      <c r="X69" s="645"/>
      <c r="Y69" s="645"/>
      <c r="Z69" s="645"/>
      <c r="AA69" s="645"/>
      <c r="AB69" s="645"/>
      <c r="AC69" s="645"/>
      <c r="AD69" s="645"/>
      <c r="AE69" s="645"/>
    </row>
    <row r="70" spans="5:31" ht="16.5" customHeight="1">
      <c r="E70" s="645"/>
      <c r="F70" s="645"/>
      <c r="G70" s="645"/>
      <c r="H70" s="645"/>
      <c r="I70" s="645"/>
      <c r="J70" s="645"/>
      <c r="K70" s="645"/>
      <c r="L70" s="645"/>
      <c r="M70" s="645"/>
      <c r="N70" s="645"/>
      <c r="O70" s="645"/>
      <c r="P70" s="645"/>
      <c r="Q70" s="645"/>
      <c r="R70" s="641"/>
      <c r="S70" s="645"/>
      <c r="T70" s="645"/>
      <c r="U70" s="645"/>
      <c r="V70" s="645"/>
      <c r="W70" s="645"/>
      <c r="X70" s="645"/>
      <c r="Y70" s="645"/>
      <c r="Z70" s="645"/>
      <c r="AA70" s="645"/>
      <c r="AB70" s="645"/>
      <c r="AC70" s="645"/>
      <c r="AD70" s="645"/>
      <c r="AE70" s="645"/>
    </row>
    <row r="71" spans="5:31" ht="16.5" customHeight="1">
      <c r="E71" s="645"/>
      <c r="F71" s="645"/>
      <c r="G71" s="645"/>
      <c r="H71" s="645"/>
      <c r="I71" s="645"/>
      <c r="J71" s="645"/>
      <c r="K71" s="645"/>
      <c r="L71" s="645"/>
      <c r="M71" s="645"/>
      <c r="N71" s="645"/>
      <c r="O71" s="645"/>
      <c r="P71" s="645"/>
      <c r="Q71" s="645"/>
      <c r="R71" s="641"/>
      <c r="S71" s="645"/>
      <c r="T71" s="645"/>
      <c r="U71" s="645"/>
      <c r="V71" s="645"/>
      <c r="W71" s="645"/>
      <c r="X71" s="645"/>
      <c r="Y71" s="645"/>
      <c r="Z71" s="645"/>
      <c r="AA71" s="645"/>
      <c r="AB71" s="645"/>
      <c r="AC71" s="645"/>
      <c r="AD71" s="645"/>
      <c r="AE71" s="645"/>
    </row>
    <row r="72" spans="5:31" ht="16.5" customHeight="1">
      <c r="E72" s="645"/>
      <c r="F72" s="645"/>
      <c r="G72" s="645"/>
      <c r="H72" s="645"/>
      <c r="I72" s="645"/>
      <c r="J72" s="645"/>
      <c r="K72" s="645"/>
      <c r="L72" s="645"/>
      <c r="M72" s="645"/>
      <c r="N72" s="645"/>
      <c r="O72" s="645"/>
      <c r="P72" s="645"/>
      <c r="Q72" s="645"/>
      <c r="R72" s="641"/>
      <c r="S72" s="645"/>
      <c r="T72" s="645"/>
      <c r="U72" s="645"/>
      <c r="V72" s="645"/>
      <c r="W72" s="645"/>
      <c r="X72" s="645"/>
      <c r="Y72" s="645"/>
      <c r="Z72" s="645"/>
      <c r="AA72" s="645"/>
      <c r="AB72" s="645"/>
      <c r="AC72" s="645"/>
      <c r="AD72" s="645"/>
      <c r="AE72" s="645"/>
    </row>
    <row r="73" spans="5:31" ht="16.5" customHeight="1">
      <c r="E73" s="645"/>
      <c r="F73" s="645"/>
      <c r="G73" s="645"/>
      <c r="H73" s="645"/>
      <c r="I73" s="645"/>
      <c r="J73" s="645"/>
      <c r="K73" s="645"/>
      <c r="L73" s="645"/>
      <c r="M73" s="645"/>
      <c r="N73" s="645"/>
      <c r="O73" s="645"/>
      <c r="P73" s="645"/>
      <c r="Q73" s="645"/>
      <c r="R73" s="641"/>
      <c r="S73" s="645"/>
      <c r="T73" s="645"/>
      <c r="U73" s="645"/>
      <c r="V73" s="645"/>
      <c r="W73" s="645"/>
      <c r="X73" s="645"/>
      <c r="Y73" s="645"/>
      <c r="Z73" s="645"/>
      <c r="AA73" s="645"/>
      <c r="AB73" s="645"/>
      <c r="AC73" s="645"/>
      <c r="AD73" s="645"/>
      <c r="AE73" s="645"/>
    </row>
    <row r="74" spans="5:31" ht="16.5" customHeight="1">
      <c r="E74" s="645"/>
      <c r="F74" s="645"/>
      <c r="G74" s="645"/>
      <c r="H74" s="645"/>
      <c r="I74" s="645"/>
      <c r="J74" s="645"/>
      <c r="K74" s="645"/>
      <c r="L74" s="645"/>
      <c r="M74" s="645"/>
      <c r="N74" s="645"/>
      <c r="O74" s="645"/>
      <c r="P74" s="645"/>
      <c r="Q74" s="645"/>
      <c r="R74" s="641"/>
      <c r="S74" s="645"/>
      <c r="T74" s="645"/>
      <c r="U74" s="645"/>
      <c r="V74" s="645"/>
      <c r="W74" s="645"/>
      <c r="X74" s="645"/>
      <c r="Y74" s="645"/>
      <c r="Z74" s="645"/>
      <c r="AA74" s="645"/>
      <c r="AB74" s="645"/>
      <c r="AC74" s="645"/>
      <c r="AD74" s="645"/>
      <c r="AE74" s="645"/>
    </row>
    <row r="75" spans="5:31" ht="16.5" customHeight="1">
      <c r="E75" s="645"/>
      <c r="F75" s="645"/>
      <c r="G75" s="645"/>
      <c r="H75" s="645"/>
      <c r="I75" s="645"/>
      <c r="J75" s="645"/>
      <c r="K75" s="645"/>
      <c r="L75" s="645"/>
      <c r="M75" s="645"/>
      <c r="N75" s="645"/>
      <c r="O75" s="645"/>
      <c r="P75" s="645"/>
      <c r="Q75" s="645"/>
      <c r="R75" s="641"/>
      <c r="S75" s="645"/>
      <c r="T75" s="645"/>
      <c r="U75" s="645"/>
      <c r="V75" s="645"/>
      <c r="W75" s="645"/>
      <c r="X75" s="645"/>
      <c r="Y75" s="645"/>
      <c r="Z75" s="645"/>
      <c r="AA75" s="645"/>
      <c r="AB75" s="645"/>
      <c r="AC75" s="645"/>
      <c r="AD75" s="645"/>
      <c r="AE75" s="645"/>
    </row>
    <row r="76" spans="5:31" ht="16.5" customHeight="1">
      <c r="E76" s="645"/>
      <c r="F76" s="645"/>
      <c r="G76" s="645"/>
      <c r="H76" s="645"/>
      <c r="I76" s="645"/>
      <c r="J76" s="645"/>
      <c r="K76" s="645"/>
      <c r="L76" s="645"/>
      <c r="M76" s="645"/>
      <c r="N76" s="645"/>
      <c r="O76" s="645"/>
      <c r="P76" s="645"/>
      <c r="Q76" s="645"/>
      <c r="R76" s="641"/>
      <c r="S76" s="645"/>
      <c r="T76" s="645"/>
      <c r="U76" s="645"/>
      <c r="V76" s="645"/>
      <c r="W76" s="645"/>
      <c r="X76" s="645"/>
      <c r="Y76" s="645"/>
      <c r="Z76" s="645"/>
      <c r="AA76" s="645"/>
      <c r="AB76" s="645"/>
      <c r="AC76" s="645"/>
      <c r="AD76" s="645"/>
      <c r="AE76" s="645"/>
    </row>
  </sheetData>
  <autoFilter ref="A4:AF63" xr:uid="{00000000-0009-0000-0000-000018000000}"/>
  <conditionalFormatting sqref="B3:AE3">
    <cfRule type="cellIs" dxfId="75" priority="1" stopIfTrue="1" operator="equal">
      <formula>"Actual"</formula>
    </cfRule>
    <cfRule type="cellIs" dxfId="74" priority="2" stopIfTrue="1" operator="equal">
      <formula>"Forecast"</formula>
    </cfRule>
    <cfRule type="cellIs" dxfId="73" priority="3" stopIfTrue="1" operator="equal">
      <formula>"Budget"</formula>
    </cfRule>
  </conditionalFormatting>
  <dataValidations count="1">
    <dataValidation type="list" allowBlank="1" showInputMessage="1" showErrorMessage="1" sqref="B3:AE3" xr:uid="{00000000-0002-0000-1800-000000000000}">
      <formula1>"Actual,Forecast,Budget"</formula1>
    </dataValidation>
  </dataValidations>
  <pageMargins left="0.70866141732283505" right="0.70866141732283505" top="0.74803149606299202" bottom="0.74803149606299202" header="0.31496062992126" footer="0.31496062992126"/>
  <pageSetup paperSize="8" scale="83" orientation="landscape"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79940183721427049"/>
    <pageSetUpPr fitToPage="1"/>
  </sheetPr>
  <dimension ref="A1:AG76"/>
  <sheetViews>
    <sheetView workbookViewId="0"/>
  </sheetViews>
  <sheetFormatPr defaultColWidth="8.25" defaultRowHeight="16.5" customHeight="1" outlineLevelRow="1" outlineLevelCol="1"/>
  <cols>
    <col min="1" max="1" width="43.75" style="610" customWidth="1"/>
    <col min="2" max="2" width="15.875" style="611" customWidth="1"/>
    <col min="3" max="3" width="16.75" style="611" customWidth="1"/>
    <col min="4" max="4" width="3.25" style="611" customWidth="1"/>
    <col min="5" max="5" width="14.75" style="610" customWidth="1" outlineLevel="1"/>
    <col min="6" max="6" width="16.625" style="610" customWidth="1" outlineLevel="1"/>
    <col min="7" max="7" width="14.5" style="610" customWidth="1" outlineLevel="1"/>
    <col min="8" max="9" width="14.75" style="610" customWidth="1" outlineLevel="1"/>
    <col min="10" max="16" width="15.625" style="610" customWidth="1" outlineLevel="1"/>
    <col min="17" max="17" width="15.625" style="610" customWidth="1"/>
    <col min="18" max="18" width="4.875" style="610" customWidth="1"/>
    <col min="19" max="29" width="15.625" style="610" hidden="1" customWidth="1" outlineLevel="1"/>
    <col min="30" max="30" width="14.125" style="610" hidden="1" customWidth="1" outlineLevel="1"/>
    <col min="31" max="31" width="15.625" style="610" hidden="1" customWidth="1" outlineLevel="1"/>
    <col min="32" max="32" width="8.25" style="610" customWidth="1" collapsed="1"/>
    <col min="33" max="33" width="2.625" style="610" customWidth="1"/>
    <col min="34" max="34" width="8.25" style="610" customWidth="1"/>
    <col min="35" max="16384" width="8.25" style="610"/>
  </cols>
  <sheetData>
    <row r="1" spans="1:33" ht="16.5" customHeight="1">
      <c r="A1" s="5" t="s">
        <v>2482</v>
      </c>
      <c r="B1" s="5"/>
      <c r="C1" s="612" t="s">
        <v>2242</v>
      </c>
      <c r="D1" s="5"/>
    </row>
    <row r="2" spans="1:33" ht="16.5" customHeight="1">
      <c r="C2" s="613">
        <f>'Flash Report'!C2</f>
        <v>46023</v>
      </c>
      <c r="D2" s="613"/>
      <c r="K2" s="611"/>
      <c r="P2" s="611">
        <f>SUM(F17:P17)*-1</f>
        <v>0</v>
      </c>
    </row>
    <row r="3" spans="1:33" ht="16.5" customHeight="1">
      <c r="B3" s="614" t="s">
        <v>2501</v>
      </c>
      <c r="C3" s="614" t="s">
        <v>2501</v>
      </c>
      <c r="D3" s="615"/>
      <c r="E3" s="614" t="s">
        <v>2501</v>
      </c>
      <c r="F3" s="614" t="s">
        <v>2501</v>
      </c>
      <c r="G3" s="614" t="s">
        <v>2501</v>
      </c>
      <c r="H3" s="614" t="s">
        <v>2501</v>
      </c>
      <c r="I3" s="614" t="s">
        <v>2501</v>
      </c>
      <c r="J3" s="614" t="s">
        <v>2501</v>
      </c>
      <c r="K3" s="614" t="s">
        <v>2501</v>
      </c>
      <c r="L3" s="614" t="s">
        <v>2501</v>
      </c>
      <c r="M3" s="614" t="s">
        <v>2501</v>
      </c>
      <c r="N3" s="614" t="s">
        <v>2501</v>
      </c>
      <c r="O3" s="614" t="s">
        <v>2501</v>
      </c>
      <c r="P3" s="614" t="s">
        <v>2501</v>
      </c>
      <c r="Q3" s="614" t="s">
        <v>2501</v>
      </c>
      <c r="R3" s="615"/>
      <c r="S3" s="614" t="s">
        <v>2555</v>
      </c>
      <c r="T3" s="614" t="s">
        <v>2555</v>
      </c>
      <c r="U3" s="614" t="s">
        <v>2555</v>
      </c>
      <c r="V3" s="614" t="s">
        <v>2555</v>
      </c>
      <c r="W3" s="614" t="s">
        <v>2555</v>
      </c>
      <c r="X3" s="614" t="s">
        <v>2555</v>
      </c>
      <c r="Y3" s="614" t="s">
        <v>2555</v>
      </c>
      <c r="Z3" s="614" t="s">
        <v>2555</v>
      </c>
      <c r="AA3" s="614" t="s">
        <v>2555</v>
      </c>
      <c r="AB3" s="614" t="s">
        <v>2555</v>
      </c>
      <c r="AC3" s="614" t="s">
        <v>2555</v>
      </c>
      <c r="AD3" s="614" t="s">
        <v>2555</v>
      </c>
      <c r="AE3" s="614" t="s">
        <v>2555</v>
      </c>
      <c r="AG3" s="616"/>
    </row>
    <row r="4" spans="1:33" s="599" customFormat="1" ht="16.5" customHeight="1">
      <c r="A4" s="599" t="s">
        <v>2439</v>
      </c>
      <c r="B4" s="617">
        <f>C2</f>
        <v>46023</v>
      </c>
      <c r="C4" s="617">
        <f>B4</f>
        <v>46023</v>
      </c>
      <c r="D4" s="618"/>
      <c r="E4" s="617">
        <v>46023</v>
      </c>
      <c r="F4" s="617">
        <v>46054</v>
      </c>
      <c r="G4" s="617">
        <v>46082</v>
      </c>
      <c r="H4" s="617">
        <v>46113</v>
      </c>
      <c r="I4" s="617">
        <v>46143</v>
      </c>
      <c r="J4" s="617">
        <v>46174</v>
      </c>
      <c r="K4" s="617">
        <v>46204</v>
      </c>
      <c r="L4" s="617">
        <v>46235</v>
      </c>
      <c r="M4" s="617">
        <v>46266</v>
      </c>
      <c r="N4" s="617">
        <v>46296</v>
      </c>
      <c r="O4" s="617">
        <v>46327</v>
      </c>
      <c r="P4" s="617">
        <v>46357</v>
      </c>
      <c r="Q4" s="617" t="str">
        <f>'[97]Budget-合并'!T6</f>
        <v>2026 Total</v>
      </c>
      <c r="R4" s="618">
        <f>'[97]Budget-合并'!U6</f>
        <v>0</v>
      </c>
      <c r="S4" s="617">
        <f>'[97]Budget-合并'!V6</f>
        <v>46388</v>
      </c>
      <c r="T4" s="617">
        <f>'[97]Budget-合并'!W6</f>
        <v>46419</v>
      </c>
      <c r="U4" s="617">
        <f>'[97]Budget-合并'!X6</f>
        <v>46447</v>
      </c>
      <c r="V4" s="617">
        <f>'[97]Budget-合并'!Y6</f>
        <v>46478</v>
      </c>
      <c r="W4" s="617">
        <f>'[97]Budget-合并'!Z6</f>
        <v>46508</v>
      </c>
      <c r="X4" s="617">
        <f>'[97]Budget-合并'!AA6</f>
        <v>46539</v>
      </c>
      <c r="Y4" s="617">
        <f>'[97]Budget-合并'!AB6</f>
        <v>46569</v>
      </c>
      <c r="Z4" s="617">
        <f>'[97]Budget-合并'!AC6</f>
        <v>46600</v>
      </c>
      <c r="AA4" s="617">
        <f>'[97]Budget-合并'!AD6</f>
        <v>46631</v>
      </c>
      <c r="AB4" s="617">
        <f>'[97]Budget-合并'!AE6</f>
        <v>46661</v>
      </c>
      <c r="AC4" s="617">
        <f>'[97]Budget-合并'!AF6</f>
        <v>46692</v>
      </c>
      <c r="AD4" s="617">
        <f>'[97]Budget-合并'!AG6</f>
        <v>46722</v>
      </c>
      <c r="AE4" s="617" t="str">
        <f>'[97]Budget-合并'!AH6</f>
        <v>2027 Total</v>
      </c>
      <c r="AG4" s="619"/>
    </row>
    <row r="5" spans="1:33" s="600" customFormat="1" ht="16.5" customHeight="1" outlineLevel="1">
      <c r="A5" s="600" t="s">
        <v>2556</v>
      </c>
      <c r="B5" s="620"/>
      <c r="C5" s="620"/>
      <c r="D5" s="620"/>
      <c r="E5" s="620">
        <v>0</v>
      </c>
      <c r="F5" s="620">
        <v>0</v>
      </c>
      <c r="G5" s="620">
        <v>1</v>
      </c>
      <c r="H5" s="620">
        <v>0</v>
      </c>
      <c r="I5" s="620">
        <v>0</v>
      </c>
      <c r="J5" s="620">
        <v>1</v>
      </c>
      <c r="K5" s="620">
        <v>0</v>
      </c>
      <c r="L5" s="620">
        <v>0</v>
      </c>
      <c r="M5" s="620">
        <v>1</v>
      </c>
      <c r="N5" s="620">
        <v>0</v>
      </c>
      <c r="O5" s="620">
        <v>0</v>
      </c>
      <c r="P5" s="620">
        <v>1</v>
      </c>
      <c r="Q5" s="620"/>
      <c r="R5" s="620"/>
      <c r="S5" s="620"/>
      <c r="T5" s="620"/>
      <c r="U5" s="620"/>
      <c r="V5" s="620"/>
      <c r="W5" s="620"/>
      <c r="X5" s="620"/>
      <c r="Y5" s="620"/>
      <c r="Z5" s="620"/>
      <c r="AA5" s="620"/>
      <c r="AB5" s="620"/>
      <c r="AC5" s="620"/>
      <c r="AD5" s="620"/>
      <c r="AE5" s="620"/>
      <c r="AG5" s="621"/>
    </row>
    <row r="6" spans="1:33" s="600" customFormat="1" ht="16.5" customHeight="1" outlineLevel="1">
      <c r="A6" s="600" t="s">
        <v>2557</v>
      </c>
      <c r="B6" s="620"/>
      <c r="C6" s="620"/>
      <c r="D6" s="620"/>
      <c r="E6" s="620">
        <v>0</v>
      </c>
      <c r="F6" s="620">
        <v>0</v>
      </c>
      <c r="G6" s="620">
        <v>0</v>
      </c>
      <c r="H6" s="620">
        <v>0</v>
      </c>
      <c r="I6" s="620">
        <v>1</v>
      </c>
      <c r="J6" s="620">
        <v>0</v>
      </c>
      <c r="K6" s="620">
        <v>0</v>
      </c>
      <c r="L6" s="620">
        <v>0</v>
      </c>
      <c r="M6" s="620">
        <v>0</v>
      </c>
      <c r="N6" s="620">
        <v>0</v>
      </c>
      <c r="O6" s="620">
        <v>0</v>
      </c>
      <c r="P6" s="620">
        <v>0</v>
      </c>
      <c r="Q6" s="620"/>
      <c r="R6" s="620"/>
      <c r="S6" s="620"/>
      <c r="T6" s="620"/>
      <c r="U6" s="620"/>
      <c r="V6" s="620"/>
      <c r="W6" s="620"/>
      <c r="X6" s="620"/>
      <c r="Y6" s="620"/>
      <c r="Z6" s="620"/>
      <c r="AA6" s="620"/>
      <c r="AB6" s="620"/>
      <c r="AC6" s="620"/>
      <c r="AD6" s="620"/>
      <c r="AE6" s="620"/>
      <c r="AG6" s="621"/>
    </row>
    <row r="7" spans="1:33" s="600" customFormat="1" ht="16.5" customHeight="1" outlineLevel="1">
      <c r="A7" s="600" t="s">
        <v>2558</v>
      </c>
      <c r="B7" s="620"/>
      <c r="C7" s="620"/>
      <c r="D7" s="620"/>
      <c r="E7" s="620">
        <v>1</v>
      </c>
      <c r="F7" s="620">
        <v>0</v>
      </c>
      <c r="G7" s="620">
        <v>0</v>
      </c>
      <c r="H7" s="620">
        <v>1</v>
      </c>
      <c r="I7" s="620">
        <v>0</v>
      </c>
      <c r="J7" s="620">
        <v>0</v>
      </c>
      <c r="K7" s="620">
        <v>1</v>
      </c>
      <c r="L7" s="620">
        <v>0</v>
      </c>
      <c r="M7" s="620">
        <v>0</v>
      </c>
      <c r="N7" s="620">
        <v>1</v>
      </c>
      <c r="O7" s="620">
        <v>0</v>
      </c>
      <c r="P7" s="620">
        <v>0</v>
      </c>
      <c r="Q7" s="620"/>
      <c r="R7" s="620"/>
      <c r="S7" s="620"/>
      <c r="T7" s="620"/>
      <c r="U7" s="620"/>
      <c r="V7" s="620"/>
      <c r="W7" s="620"/>
      <c r="X7" s="620"/>
      <c r="Y7" s="620"/>
      <c r="Z7" s="620"/>
      <c r="AA7" s="620"/>
      <c r="AB7" s="620"/>
      <c r="AC7" s="620"/>
      <c r="AD7" s="620"/>
      <c r="AE7" s="620"/>
      <c r="AG7" s="621"/>
    </row>
    <row r="8" spans="1:33" s="600" customFormat="1" ht="16.5" customHeight="1" outlineLevel="1">
      <c r="B8" s="620"/>
      <c r="C8" s="620"/>
      <c r="D8" s="620"/>
      <c r="E8" s="620"/>
      <c r="F8" s="620"/>
      <c r="G8" s="620"/>
      <c r="H8" s="620"/>
      <c r="I8" s="620"/>
      <c r="J8" s="620"/>
      <c r="K8" s="620"/>
      <c r="L8" s="620"/>
      <c r="M8" s="620"/>
      <c r="N8" s="620"/>
      <c r="O8" s="620"/>
      <c r="P8" s="620"/>
      <c r="Q8" s="620"/>
      <c r="R8" s="620"/>
      <c r="S8" s="620"/>
      <c r="T8" s="620"/>
      <c r="U8" s="620"/>
      <c r="V8" s="620"/>
      <c r="W8" s="620"/>
      <c r="X8" s="620"/>
      <c r="Y8" s="620"/>
      <c r="Z8" s="620"/>
      <c r="AA8" s="620"/>
      <c r="AB8" s="620"/>
      <c r="AC8" s="620"/>
      <c r="AD8" s="620"/>
      <c r="AE8" s="620"/>
      <c r="AG8" s="621"/>
    </row>
    <row r="9" spans="1:33" s="599" customFormat="1" ht="16.5" customHeight="1" outlineLevel="1">
      <c r="B9" s="618"/>
      <c r="C9" s="618"/>
      <c r="D9" s="618"/>
      <c r="E9" s="618"/>
      <c r="F9" s="618"/>
      <c r="G9" s="618"/>
      <c r="H9" s="618"/>
      <c r="I9" s="618"/>
      <c r="J9" s="618"/>
      <c r="K9" s="618"/>
      <c r="L9" s="618"/>
      <c r="M9" s="618"/>
      <c r="N9" s="618"/>
      <c r="O9" s="618"/>
      <c r="P9" s="618"/>
      <c r="Q9" s="618"/>
      <c r="R9" s="618"/>
      <c r="S9" s="618"/>
      <c r="T9" s="618"/>
      <c r="U9" s="618"/>
      <c r="V9" s="618"/>
      <c r="W9" s="618"/>
      <c r="X9" s="618"/>
      <c r="Y9" s="618"/>
      <c r="Z9" s="618"/>
      <c r="AA9" s="618"/>
      <c r="AB9" s="618"/>
      <c r="AC9" s="618"/>
      <c r="AD9" s="618"/>
      <c r="AE9" s="618"/>
      <c r="AG9" s="619"/>
    </row>
    <row r="10" spans="1:33" s="601" customFormat="1" ht="16.5" customHeight="1">
      <c r="A10" s="608" t="str">
        <f>'CF-ACPL（合并）'!A10</f>
        <v>期初现金及现金等价物余额</v>
      </c>
      <c r="B10" s="622">
        <f>INDEX($E10:$P10,1,MATCH('[97]Flash Report'!$C$2,$E$4:$P$4))</f>
        <v>2409839.2799999998</v>
      </c>
      <c r="C10" s="622">
        <f>B10</f>
        <v>2409839.2799999998</v>
      </c>
      <c r="D10" s="622"/>
      <c r="E10" s="622">
        <f>VLOOKUP($C$1,'2025年现金余额'!$B$4:$D$10,3,FALSE)</f>
        <v>2409839.2799999998</v>
      </c>
      <c r="F10" s="622">
        <f t="shared" ref="F10:P10" ca="1" si="0">E58</f>
        <v>2382727.0033333329</v>
      </c>
      <c r="G10" s="622">
        <f t="shared" ca="1" si="0"/>
        <v>10065744.726666667</v>
      </c>
      <c r="H10" s="622">
        <f t="shared" ca="1" si="0"/>
        <v>7747954.2867346937</v>
      </c>
      <c r="I10" s="622">
        <f t="shared" ca="1" si="0"/>
        <v>7068167.0500680273</v>
      </c>
      <c r="J10" s="622">
        <f t="shared" ca="1" si="0"/>
        <v>6709379.813401361</v>
      </c>
      <c r="K10" s="622">
        <f t="shared" ca="1" si="0"/>
        <v>6256072.5767346947</v>
      </c>
      <c r="L10" s="622">
        <f t="shared" ca="1" si="0"/>
        <v>5886063.0734013617</v>
      </c>
      <c r="M10" s="622">
        <f t="shared" ca="1" si="0"/>
        <v>5516053.5700680278</v>
      </c>
      <c r="N10" s="622">
        <f t="shared" ca="1" si="0"/>
        <v>5146044.0667346939</v>
      </c>
      <c r="O10" s="622">
        <f t="shared" ca="1" si="0"/>
        <v>4766034.5634013601</v>
      </c>
      <c r="P10" s="622">
        <f t="shared" ca="1" si="0"/>
        <v>4396025.0600680262</v>
      </c>
      <c r="Q10" s="622">
        <f>E10</f>
        <v>2409839.2799999998</v>
      </c>
      <c r="R10" s="623"/>
      <c r="S10" s="622">
        <f ca="1">P58</f>
        <v>947660.98027397227</v>
      </c>
      <c r="T10" s="622">
        <f t="shared" ref="T10:AD10" ca="1" si="1">S58</f>
        <v>947660.98027397227</v>
      </c>
      <c r="U10" s="622">
        <f t="shared" ca="1" si="1"/>
        <v>947660.98027397227</v>
      </c>
      <c r="V10" s="622">
        <f t="shared" ca="1" si="1"/>
        <v>947660.98027397227</v>
      </c>
      <c r="W10" s="622">
        <f t="shared" ca="1" si="1"/>
        <v>947660.98027397227</v>
      </c>
      <c r="X10" s="622">
        <f t="shared" ca="1" si="1"/>
        <v>947660.98027397227</v>
      </c>
      <c r="Y10" s="622">
        <f t="shared" ca="1" si="1"/>
        <v>947660.98027397227</v>
      </c>
      <c r="Z10" s="622">
        <f t="shared" ca="1" si="1"/>
        <v>947660.98027397227</v>
      </c>
      <c r="AA10" s="622">
        <f t="shared" ca="1" si="1"/>
        <v>947660.98027397227</v>
      </c>
      <c r="AB10" s="622">
        <f t="shared" ca="1" si="1"/>
        <v>947660.98027397227</v>
      </c>
      <c r="AC10" s="622">
        <f t="shared" ca="1" si="1"/>
        <v>947660.98027397227</v>
      </c>
      <c r="AD10" s="622">
        <f t="shared" ca="1" si="1"/>
        <v>947660.98027397227</v>
      </c>
      <c r="AE10" s="622">
        <f ca="1">S10</f>
        <v>947660.98027397227</v>
      </c>
      <c r="AF10" s="624"/>
    </row>
    <row r="11" spans="1:33" ht="16.5" customHeight="1">
      <c r="B11" s="625"/>
      <c r="C11" s="625"/>
      <c r="D11" s="625"/>
      <c r="E11" s="626"/>
      <c r="F11" s="626"/>
      <c r="G11" s="626"/>
      <c r="H11" s="626"/>
      <c r="I11" s="626"/>
      <c r="J11" s="626"/>
      <c r="K11" s="626"/>
      <c r="L11" s="626"/>
      <c r="M11" s="626"/>
      <c r="N11" s="626"/>
      <c r="O11" s="626"/>
      <c r="P11" s="626"/>
      <c r="Q11" s="626"/>
      <c r="R11" s="626"/>
      <c r="S11" s="626"/>
      <c r="T11" s="626"/>
      <c r="U11" s="626"/>
      <c r="V11" s="626"/>
      <c r="W11" s="626"/>
      <c r="X11" s="626"/>
      <c r="Y11" s="626"/>
      <c r="Z11" s="626"/>
      <c r="AA11" s="626"/>
      <c r="AB11" s="626"/>
      <c r="AC11" s="626"/>
      <c r="AD11" s="626"/>
      <c r="AE11" s="626"/>
    </row>
    <row r="12" spans="1:33" s="601" customFormat="1" ht="16.5" customHeight="1">
      <c r="A12" s="627" t="str">
        <f>'CF-ACPL（合并）'!A12</f>
        <v>经营活动现金流入小计</v>
      </c>
      <c r="B12" s="628">
        <f t="shared" ref="B12:B18" si="2">INDEX($E12:$P12,1,MATCH($B$4,$E$4:$P$4))</f>
        <v>0</v>
      </c>
      <c r="C12" s="628">
        <f t="shared" ref="C12:C18" ca="1" si="3">SUM($E12:OFFSET($E12,0,MATCH($C$4,$E$4:$P$4)-1))</f>
        <v>0</v>
      </c>
      <c r="D12" s="628"/>
      <c r="E12" s="628">
        <f>SUM(E13:E17)</f>
        <v>0</v>
      </c>
      <c r="F12" s="628">
        <f t="shared" ref="F12:Q12" si="4">SUM(F13:F17)</f>
        <v>0</v>
      </c>
      <c r="G12" s="628">
        <f t="shared" si="4"/>
        <v>9600</v>
      </c>
      <c r="H12" s="628">
        <f t="shared" si="4"/>
        <v>0</v>
      </c>
      <c r="I12" s="628">
        <f t="shared" si="4"/>
        <v>0</v>
      </c>
      <c r="J12" s="628">
        <f t="shared" si="4"/>
        <v>0</v>
      </c>
      <c r="K12" s="628">
        <f t="shared" si="4"/>
        <v>0</v>
      </c>
      <c r="L12" s="628">
        <f t="shared" si="4"/>
        <v>0</v>
      </c>
      <c r="M12" s="628">
        <f t="shared" si="4"/>
        <v>0</v>
      </c>
      <c r="N12" s="628">
        <f t="shared" si="4"/>
        <v>0</v>
      </c>
      <c r="O12" s="628">
        <f t="shared" si="4"/>
        <v>0</v>
      </c>
      <c r="P12" s="628">
        <f t="shared" si="4"/>
        <v>0</v>
      </c>
      <c r="Q12" s="628">
        <f t="shared" si="4"/>
        <v>9600</v>
      </c>
      <c r="R12" s="623"/>
      <c r="S12" s="628">
        <f t="shared" ref="S12:AE12" si="5">SUM(S13:S17)</f>
        <v>0</v>
      </c>
      <c r="T12" s="628">
        <f t="shared" si="5"/>
        <v>0</v>
      </c>
      <c r="U12" s="628">
        <f t="shared" si="5"/>
        <v>0</v>
      </c>
      <c r="V12" s="628">
        <f t="shared" si="5"/>
        <v>0</v>
      </c>
      <c r="W12" s="628">
        <f t="shared" si="5"/>
        <v>0</v>
      </c>
      <c r="X12" s="628">
        <f t="shared" si="5"/>
        <v>0</v>
      </c>
      <c r="Y12" s="628">
        <f t="shared" si="5"/>
        <v>0</v>
      </c>
      <c r="Z12" s="628">
        <f t="shared" si="5"/>
        <v>0</v>
      </c>
      <c r="AA12" s="628">
        <f t="shared" si="5"/>
        <v>0</v>
      </c>
      <c r="AB12" s="628">
        <f t="shared" si="5"/>
        <v>0</v>
      </c>
      <c r="AC12" s="628">
        <f t="shared" si="5"/>
        <v>0</v>
      </c>
      <c r="AD12" s="628">
        <f t="shared" si="5"/>
        <v>0</v>
      </c>
      <c r="AE12" s="628">
        <f t="shared" si="5"/>
        <v>0</v>
      </c>
    </row>
    <row r="13" spans="1:33" ht="16.5" customHeight="1">
      <c r="A13" s="629" t="str">
        <f>'CF-ACPL（合并）'!A13</f>
        <v>咨询管理费收入收到的现金</v>
      </c>
      <c r="B13" s="623">
        <f t="shared" si="2"/>
        <v>0</v>
      </c>
      <c r="C13" s="626">
        <f t="shared" ca="1" si="3"/>
        <v>0</v>
      </c>
      <c r="D13" s="626"/>
      <c r="E13" s="626"/>
      <c r="F13" s="626"/>
      <c r="G13" s="626"/>
      <c r="H13" s="626"/>
      <c r="I13" s="626"/>
      <c r="J13" s="626"/>
      <c r="K13" s="626"/>
      <c r="L13" s="626"/>
      <c r="M13" s="626"/>
      <c r="N13" s="626"/>
      <c r="O13" s="626"/>
      <c r="P13" s="626"/>
      <c r="Q13" s="626"/>
      <c r="R13" s="626"/>
      <c r="S13" s="626"/>
      <c r="T13" s="626"/>
      <c r="U13" s="626"/>
      <c r="V13" s="626"/>
      <c r="W13" s="626"/>
      <c r="X13" s="626"/>
      <c r="Y13" s="626"/>
      <c r="Z13" s="626"/>
      <c r="AA13" s="626"/>
      <c r="AB13" s="626"/>
      <c r="AC13" s="626"/>
      <c r="AD13" s="626"/>
      <c r="AE13" s="626">
        <f>SUM(S13:AD13)</f>
        <v>0</v>
      </c>
    </row>
    <row r="14" spans="1:33" ht="16.5" customHeight="1">
      <c r="A14" s="629" t="str">
        <f>'CF-ACPL（合并）'!A14</f>
        <v>基金管理费收入收到的现金</v>
      </c>
      <c r="B14" s="623">
        <f t="shared" si="2"/>
        <v>0</v>
      </c>
      <c r="C14" s="626">
        <f t="shared" ca="1" si="3"/>
        <v>0</v>
      </c>
      <c r="D14" s="626"/>
      <c r="E14" s="626"/>
      <c r="F14" s="626"/>
      <c r="G14" s="626"/>
      <c r="H14" s="626"/>
      <c r="I14" s="626"/>
      <c r="J14" s="626"/>
      <c r="K14" s="626"/>
      <c r="L14" s="626"/>
      <c r="M14" s="626"/>
      <c r="N14" s="626"/>
      <c r="O14" s="626"/>
      <c r="P14" s="626"/>
      <c r="Q14" s="626"/>
      <c r="R14" s="626"/>
      <c r="S14" s="626"/>
      <c r="T14" s="626"/>
      <c r="U14" s="626"/>
      <c r="V14" s="626"/>
      <c r="W14" s="626"/>
      <c r="X14" s="626"/>
      <c r="Y14" s="626"/>
      <c r="Z14" s="626"/>
      <c r="AA14" s="626"/>
      <c r="AB14" s="626"/>
      <c r="AC14" s="626"/>
      <c r="AD14" s="626"/>
      <c r="AE14" s="626"/>
    </row>
    <row r="15" spans="1:33" ht="16.5" customHeight="1">
      <c r="A15" s="629" t="str">
        <f>'CF-ACPL（合并）'!A15</f>
        <v>收到的税费返还</v>
      </c>
      <c r="B15" s="623">
        <f t="shared" si="2"/>
        <v>0</v>
      </c>
      <c r="C15" s="626">
        <f t="shared" ca="1" si="3"/>
        <v>0</v>
      </c>
      <c r="D15" s="626"/>
      <c r="E15" s="626"/>
      <c r="F15" s="626"/>
      <c r="G15" s="626">
        <f>'Budget-ACPSZL'!M179</f>
        <v>9600</v>
      </c>
      <c r="H15" s="626"/>
      <c r="I15" s="626"/>
      <c r="J15" s="626"/>
      <c r="K15" s="626"/>
      <c r="L15" s="630"/>
      <c r="M15" s="630"/>
      <c r="N15" s="630"/>
      <c r="O15" s="630"/>
      <c r="P15" s="630"/>
      <c r="Q15" s="626">
        <f t="shared" ref="Q15:Q17" si="6">SUM(E15:P15)</f>
        <v>9600</v>
      </c>
      <c r="R15" s="626"/>
      <c r="S15" s="630"/>
      <c r="T15" s="630"/>
      <c r="U15" s="630"/>
      <c r="V15" s="630"/>
      <c r="W15" s="630"/>
      <c r="X15" s="630"/>
      <c r="Y15" s="630"/>
      <c r="Z15" s="630"/>
      <c r="AA15" s="630"/>
      <c r="AB15" s="630"/>
      <c r="AC15" s="630"/>
      <c r="AD15" s="630"/>
      <c r="AE15" s="626">
        <f>SUM(S15:AD15)</f>
        <v>0</v>
      </c>
    </row>
    <row r="16" spans="1:33" ht="16.5" customHeight="1">
      <c r="A16" s="629" t="str">
        <f>'CF-ACPL（合并）'!A16</f>
        <v>其他收入收到的现金（备注）</v>
      </c>
      <c r="B16" s="623">
        <f t="shared" si="2"/>
        <v>0</v>
      </c>
      <c r="C16" s="626">
        <f t="shared" ca="1" si="3"/>
        <v>0</v>
      </c>
      <c r="D16" s="626"/>
      <c r="E16" s="626"/>
      <c r="F16" s="626"/>
      <c r="G16" s="626"/>
      <c r="H16" s="626"/>
      <c r="I16" s="626"/>
      <c r="J16" s="626"/>
      <c r="K16" s="626"/>
      <c r="L16" s="630"/>
      <c r="M16" s="630"/>
      <c r="N16" s="630"/>
      <c r="O16" s="630"/>
      <c r="P16" s="630"/>
      <c r="Q16" s="626">
        <f t="shared" si="6"/>
        <v>0</v>
      </c>
      <c r="R16" s="626"/>
      <c r="S16" s="630"/>
      <c r="T16" s="630"/>
      <c r="U16" s="630"/>
      <c r="V16" s="630"/>
      <c r="W16" s="630"/>
      <c r="X16" s="630"/>
      <c r="Y16" s="630"/>
      <c r="Z16" s="630"/>
      <c r="AA16" s="630"/>
      <c r="AB16" s="630"/>
      <c r="AC16" s="630"/>
      <c r="AD16" s="630"/>
      <c r="AE16" s="626">
        <f>SUM(S16:AD16)</f>
        <v>0</v>
      </c>
    </row>
    <row r="17" spans="1:32" ht="16.5" customHeight="1">
      <c r="A17" s="629" t="str">
        <f>'CF-ACPL（合并）'!A17</f>
        <v>收到的其他与经营活动有关的现金</v>
      </c>
      <c r="B17" s="623">
        <f t="shared" si="2"/>
        <v>0</v>
      </c>
      <c r="C17" s="626">
        <f t="shared" ca="1" si="3"/>
        <v>0</v>
      </c>
      <c r="D17" s="626"/>
      <c r="E17" s="626"/>
      <c r="F17" s="626"/>
      <c r="G17" s="626"/>
      <c r="H17" s="626"/>
      <c r="I17" s="626"/>
      <c r="J17" s="626"/>
      <c r="K17" s="626"/>
      <c r="L17" s="630"/>
      <c r="M17" s="630"/>
      <c r="N17" s="630"/>
      <c r="O17" s="630"/>
      <c r="P17" s="630"/>
      <c r="Q17" s="626">
        <f t="shared" si="6"/>
        <v>0</v>
      </c>
      <c r="R17" s="626"/>
      <c r="S17" s="630"/>
      <c r="T17" s="630"/>
      <c r="U17" s="630"/>
      <c r="V17" s="630"/>
      <c r="W17" s="630"/>
      <c r="X17" s="630"/>
      <c r="Y17" s="630"/>
      <c r="Z17" s="630"/>
      <c r="AA17" s="630"/>
      <c r="AB17" s="630"/>
      <c r="AC17" s="630"/>
      <c r="AD17" s="630"/>
      <c r="AE17" s="626">
        <f>SUM(S17:AD17)</f>
        <v>0</v>
      </c>
    </row>
    <row r="18" spans="1:32" s="601" customFormat="1" ht="16.5" customHeight="1">
      <c r="A18" s="631" t="str">
        <f>'CF-ACPL（合并）'!A18</f>
        <v>经营活动现金流出小计</v>
      </c>
      <c r="B18" s="632">
        <f t="shared" ca="1" si="2"/>
        <v>-407112.27666666667</v>
      </c>
      <c r="C18" s="632">
        <f t="shared" ca="1" si="3"/>
        <v>-407112.27666666667</v>
      </c>
      <c r="D18" s="632"/>
      <c r="E18" s="632">
        <f ca="1">SUM(E19:E27)</f>
        <v>-407112.27666666667</v>
      </c>
      <c r="F18" s="632">
        <f t="shared" ref="F18:Q18" ca="1" si="7">SUM(F19:F27)</f>
        <v>-316982.27666666667</v>
      </c>
      <c r="G18" s="632">
        <f t="shared" ca="1" si="7"/>
        <v>-306982.27666666667</v>
      </c>
      <c r="H18" s="632">
        <f t="shared" ca="1" si="7"/>
        <v>-679787.23666666658</v>
      </c>
      <c r="I18" s="632">
        <f t="shared" ca="1" si="7"/>
        <v>-358787.23666666669</v>
      </c>
      <c r="J18" s="632">
        <f t="shared" ca="1" si="7"/>
        <v>-453307.23666666669</v>
      </c>
      <c r="K18" s="632">
        <f t="shared" ca="1" si="7"/>
        <v>-370009.50333333341</v>
      </c>
      <c r="L18" s="632">
        <f t="shared" ca="1" si="7"/>
        <v>-370009.50333333341</v>
      </c>
      <c r="M18" s="632">
        <f t="shared" ca="1" si="7"/>
        <v>-370009.50333333341</v>
      </c>
      <c r="N18" s="632">
        <f t="shared" ca="1" si="7"/>
        <v>-380009.50333333341</v>
      </c>
      <c r="O18" s="632">
        <f t="shared" ca="1" si="7"/>
        <v>-370009.50333333341</v>
      </c>
      <c r="P18" s="632">
        <f t="shared" ca="1" si="7"/>
        <v>-370009.50333333341</v>
      </c>
      <c r="Q18" s="632">
        <f t="shared" ca="1" si="7"/>
        <v>-4753015.5600000005</v>
      </c>
      <c r="R18" s="623"/>
      <c r="S18" s="632">
        <f t="shared" ref="S18:AE18" si="8">SUM(S19:S27)</f>
        <v>0</v>
      </c>
      <c r="T18" s="632">
        <f t="shared" si="8"/>
        <v>0</v>
      </c>
      <c r="U18" s="632">
        <f t="shared" si="8"/>
        <v>0</v>
      </c>
      <c r="V18" s="632">
        <f t="shared" si="8"/>
        <v>0</v>
      </c>
      <c r="W18" s="632">
        <f t="shared" si="8"/>
        <v>0</v>
      </c>
      <c r="X18" s="632">
        <f t="shared" si="8"/>
        <v>0</v>
      </c>
      <c r="Y18" s="632">
        <f t="shared" si="8"/>
        <v>0</v>
      </c>
      <c r="Z18" s="632">
        <f t="shared" si="8"/>
        <v>0</v>
      </c>
      <c r="AA18" s="632">
        <f t="shared" si="8"/>
        <v>0</v>
      </c>
      <c r="AB18" s="632">
        <f t="shared" si="8"/>
        <v>0</v>
      </c>
      <c r="AC18" s="632">
        <f t="shared" si="8"/>
        <v>0</v>
      </c>
      <c r="AD18" s="632">
        <f t="shared" si="8"/>
        <v>0</v>
      </c>
      <c r="AE18" s="632">
        <f t="shared" si="8"/>
        <v>0</v>
      </c>
    </row>
    <row r="19" spans="1:32" ht="16.5" customHeight="1">
      <c r="A19" s="629" t="str">
        <f>'CF-ACPL（合并）'!A19</f>
        <v>购买商品/接受劳务支付的现金</v>
      </c>
      <c r="B19" s="626">
        <f t="shared" ref="B19:B27" si="9">INDEX($E19:$P19,1,MATCH($B$4,$E$4:$P$4))</f>
        <v>0</v>
      </c>
      <c r="C19" s="626">
        <f t="shared" ref="C19:C27" ca="1" si="10">SUM($E19:OFFSET($E19,0,MATCH($C$4,$E$4:$P$4)-1))</f>
        <v>0</v>
      </c>
      <c r="D19" s="626"/>
      <c r="E19" s="626"/>
      <c r="F19" s="626"/>
      <c r="G19" s="626"/>
      <c r="H19" s="626"/>
      <c r="I19" s="626"/>
      <c r="J19" s="626"/>
      <c r="K19" s="626"/>
      <c r="L19" s="626"/>
      <c r="M19" s="630"/>
      <c r="N19" s="626"/>
      <c r="O19" s="626"/>
      <c r="P19" s="626"/>
      <c r="Q19" s="626">
        <f t="shared" ref="Q19:Q27" si="11">SUM(E19:P19)</f>
        <v>0</v>
      </c>
      <c r="R19" s="626"/>
      <c r="S19" s="630"/>
      <c r="T19" s="630"/>
      <c r="U19" s="630"/>
      <c r="V19" s="630"/>
      <c r="W19" s="630"/>
      <c r="X19" s="630"/>
      <c r="Y19" s="630"/>
      <c r="Z19" s="630"/>
      <c r="AA19" s="630"/>
      <c r="AB19" s="630"/>
      <c r="AC19" s="630"/>
      <c r="AD19" s="630"/>
      <c r="AE19" s="626">
        <f t="shared" ref="AE19:AE25" si="12">SUM(S19:AD19)</f>
        <v>0</v>
      </c>
    </row>
    <row r="20" spans="1:32" ht="16.5" customHeight="1">
      <c r="A20" s="629" t="str">
        <f>'CF-ACPL（合并）'!A20</f>
        <v>所得税支付的现金</v>
      </c>
      <c r="B20" s="626">
        <f t="shared" si="9"/>
        <v>0</v>
      </c>
      <c r="C20" s="626">
        <f t="shared" ca="1" si="10"/>
        <v>0</v>
      </c>
      <c r="D20" s="626"/>
      <c r="E20" s="626"/>
      <c r="F20" s="626"/>
      <c r="G20" s="626"/>
      <c r="H20" s="626"/>
      <c r="I20" s="626"/>
      <c r="J20" s="626"/>
      <c r="K20" s="626"/>
      <c r="L20" s="630"/>
      <c r="M20" s="630"/>
      <c r="N20" s="630"/>
      <c r="O20" s="630"/>
      <c r="P20" s="630"/>
      <c r="Q20" s="626">
        <f t="shared" si="11"/>
        <v>0</v>
      </c>
      <c r="R20" s="626"/>
      <c r="S20" s="630"/>
      <c r="T20" s="630"/>
      <c r="U20" s="630"/>
      <c r="V20" s="630"/>
      <c r="W20" s="630"/>
      <c r="X20" s="630"/>
      <c r="Y20" s="630"/>
      <c r="Z20" s="630"/>
      <c r="AA20" s="630"/>
      <c r="AB20" s="630"/>
      <c r="AC20" s="630"/>
      <c r="AD20" s="630"/>
      <c r="AE20" s="626">
        <f t="shared" si="12"/>
        <v>0</v>
      </c>
    </row>
    <row r="21" spans="1:32" ht="16.5" customHeight="1">
      <c r="A21" s="629" t="str">
        <f>'CF-ACPL（合并）'!A21</f>
        <v>增值税及附加支付的现金</v>
      </c>
      <c r="B21" s="626">
        <f t="shared" si="9"/>
        <v>0</v>
      </c>
      <c r="C21" s="626">
        <f t="shared" ca="1" si="10"/>
        <v>0</v>
      </c>
      <c r="D21" s="626"/>
      <c r="E21" s="626"/>
      <c r="F21" s="626"/>
      <c r="G21" s="626"/>
      <c r="H21" s="626"/>
      <c r="I21" s="626"/>
      <c r="J21" s="626"/>
      <c r="K21" s="626"/>
      <c r="L21" s="630"/>
      <c r="M21" s="630"/>
      <c r="N21" s="630"/>
      <c r="O21" s="630"/>
      <c r="P21" s="630"/>
      <c r="Q21" s="626">
        <f t="shared" si="11"/>
        <v>0</v>
      </c>
      <c r="R21" s="626"/>
      <c r="S21" s="630"/>
      <c r="T21" s="630"/>
      <c r="U21" s="630"/>
      <c r="V21" s="630"/>
      <c r="W21" s="630"/>
      <c r="X21" s="630"/>
      <c r="Y21" s="630"/>
      <c r="Z21" s="630"/>
      <c r="AA21" s="630"/>
      <c r="AB21" s="630"/>
      <c r="AC21" s="630"/>
      <c r="AD21" s="630"/>
      <c r="AE21" s="626">
        <f t="shared" si="12"/>
        <v>0</v>
      </c>
    </row>
    <row r="22" spans="1:32" ht="16.5" customHeight="1">
      <c r="A22" s="629" t="str">
        <f>'CF-ACPL（合并）'!A22</f>
        <v>咨询管理费用支付的现金</v>
      </c>
      <c r="B22" s="626">
        <f t="shared" si="9"/>
        <v>0</v>
      </c>
      <c r="C22" s="626">
        <f t="shared" ca="1" si="10"/>
        <v>0</v>
      </c>
      <c r="D22" s="626"/>
      <c r="E22" s="626"/>
      <c r="F22" s="626"/>
      <c r="G22" s="626"/>
      <c r="H22" s="626"/>
      <c r="I22" s="626"/>
      <c r="J22" s="626"/>
      <c r="K22" s="626"/>
      <c r="L22" s="626"/>
      <c r="M22" s="626"/>
      <c r="N22" s="626"/>
      <c r="O22" s="626"/>
      <c r="P22" s="626"/>
      <c r="Q22" s="626">
        <f t="shared" si="11"/>
        <v>0</v>
      </c>
      <c r="R22" s="626"/>
      <c r="S22" s="626"/>
      <c r="T22" s="626"/>
      <c r="U22" s="626"/>
      <c r="V22" s="626"/>
      <c r="W22" s="626"/>
      <c r="X22" s="626"/>
      <c r="Y22" s="626"/>
      <c r="Z22" s="626"/>
      <c r="AA22" s="626"/>
      <c r="AB22" s="626"/>
      <c r="AC22" s="626"/>
      <c r="AD22" s="626"/>
      <c r="AE22" s="626">
        <f t="shared" si="12"/>
        <v>0</v>
      </c>
    </row>
    <row r="23" spans="1:32" ht="16.5" customHeight="1">
      <c r="A23" s="629" t="str">
        <f>'CF-ACPL（合并）'!A23</f>
        <v>支付给职工以及为职工支付的现金</v>
      </c>
      <c r="B23" s="626">
        <f t="shared" ca="1" si="9"/>
        <v>-254969.01</v>
      </c>
      <c r="C23" s="626">
        <f t="shared" ca="1" si="10"/>
        <v>-254969.01</v>
      </c>
      <c r="D23" s="626"/>
      <c r="E23" s="626">
        <f ca="1">-INDEX('Personnel-CN'!$W$327:$AH$327,MATCH(E$4,'Personnel-CN'!$W$15:$AV$15,0))</f>
        <v>-254969.01</v>
      </c>
      <c r="F23" s="626">
        <f ca="1">-INDEX('Personnel-CN'!$W$327:$AH$327,MATCH(F$4,'Personnel-CN'!$W$15:$AV$15,0))</f>
        <v>-254839.01</v>
      </c>
      <c r="G23" s="626">
        <f ca="1">-INDEX('Personnel-CN'!$W$327:$AH$327,MATCH(G$4,'Personnel-CN'!$W$15:$AV$15,0))</f>
        <v>-254839.01</v>
      </c>
      <c r="H23" s="626">
        <f ca="1">-INDEX('Personnel-CN'!$W$327:$AH$327,MATCH(H$4,'Personnel-CN'!$W$15:$AV$15,0))-'Budget-ACPSZL'!N26*汇总!$D$28</f>
        <v>-627643.97</v>
      </c>
      <c r="I23" s="626">
        <f ca="1">-INDEX('Personnel-CN'!$W$327:$AH$327,MATCH(I$4,'Personnel-CN'!$W$15:$AV$15,0))</f>
        <v>-306643.97000000003</v>
      </c>
      <c r="J23" s="626">
        <f ca="1">-INDEX('Personnel-CN'!$W$327:$AH$327,MATCH(J$4,'Personnel-CN'!$W$15:$AV$15,0))</f>
        <v>-306643.97000000003</v>
      </c>
      <c r="K23" s="626">
        <f ca="1">-INDEX('Personnel-CN'!$W$327:$AH$327,MATCH(K$4,'Personnel-CN'!$W$15:$AV$15,0))</f>
        <v>-306643.97000000003</v>
      </c>
      <c r="L23" s="626">
        <f ca="1">-INDEX('Personnel-CN'!$W$327:$AH$327,MATCH(L$4,'Personnel-CN'!$W$15:$AV$15,0))</f>
        <v>-306643.97000000003</v>
      </c>
      <c r="M23" s="626">
        <f ca="1">-INDEX('Personnel-CN'!$W$327:$AH$327,MATCH(M$4,'Personnel-CN'!$W$15:$AV$15,0))</f>
        <v>-306643.97000000003</v>
      </c>
      <c r="N23" s="626">
        <f ca="1">-INDEX('Personnel-CN'!$W$327:$AH$327,MATCH(N$4,'Personnel-CN'!$W$15:$AV$15,0))</f>
        <v>-306643.97000000003</v>
      </c>
      <c r="O23" s="626">
        <f ca="1">-INDEX('Personnel-CN'!$W$327:$AH$327,MATCH(O$4,'Personnel-CN'!$W$15:$AV$15,0))</f>
        <v>-306643.97000000003</v>
      </c>
      <c r="P23" s="626">
        <f ca="1">-INDEX('Personnel-CN'!$W$327:$AH$327,MATCH(P$4,'Personnel-CN'!$W$15:$AV$15,0))</f>
        <v>-306643.97000000003</v>
      </c>
      <c r="Q23" s="626">
        <f t="shared" ca="1" si="11"/>
        <v>-3845442.7600000012</v>
      </c>
      <c r="R23" s="626"/>
      <c r="S23" s="630"/>
      <c r="T23" s="630"/>
      <c r="U23" s="630"/>
      <c r="V23" s="630"/>
      <c r="W23" s="630"/>
      <c r="X23" s="630"/>
      <c r="Y23" s="630"/>
      <c r="Z23" s="630"/>
      <c r="AA23" s="630"/>
      <c r="AB23" s="630"/>
      <c r="AC23" s="630"/>
      <c r="AD23" s="630"/>
      <c r="AE23" s="626">
        <f t="shared" si="12"/>
        <v>0</v>
      </c>
    </row>
    <row r="24" spans="1:32" s="602" customFormat="1" ht="16.5" customHeight="1">
      <c r="A24" s="629" t="str">
        <f>'CF-ACPL（合并）'!A24</f>
        <v>支付的其他与经营活动有关的现金（租金）</v>
      </c>
      <c r="B24" s="626">
        <f t="shared" si="9"/>
        <v>-6666.6</v>
      </c>
      <c r="C24" s="626">
        <f t="shared" ca="1" si="10"/>
        <v>-6666.6</v>
      </c>
      <c r="D24" s="626"/>
      <c r="E24" s="626">
        <f>-SUMIFS(SPACE!O:O,SPACE!$A:$A,$C$1,SPACE!$F:$F,$A24)</f>
        <v>-6666.6</v>
      </c>
      <c r="F24" s="626">
        <f>-SUMIFS(SPACE!P:P,SPACE!$A:$A,$C$1,SPACE!$F:$F,$A24)</f>
        <v>-6666.6</v>
      </c>
      <c r="G24" s="626">
        <f>-SUMIFS(SPACE!Q:Q,SPACE!$A:$A,$C$1,SPACE!$F:$F,$A24)</f>
        <v>-6666.6</v>
      </c>
      <c r="H24" s="626">
        <f>-SUMIFS(SPACE!R:R,SPACE!$A:$A,$C$1,SPACE!$F:$F,$A24)</f>
        <v>-6666.6</v>
      </c>
      <c r="I24" s="626">
        <f>-SUMIFS(SPACE!S:S,SPACE!$A:$A,$C$1,SPACE!$F:$F,$A24)</f>
        <v>-6666.6</v>
      </c>
      <c r="J24" s="626">
        <f>-SUMIFS(SPACE!T:T,SPACE!$A:$A,$C$1,SPACE!$F:$F,$A24)</f>
        <v>-6666.6</v>
      </c>
      <c r="K24" s="626">
        <f>-SUMIFS(SPACE!U:U,SPACE!$A:$A,$C$1,SPACE!$F:$F,$A24)</f>
        <v>-18722.199999999997</v>
      </c>
      <c r="L24" s="626">
        <f>-SUMIFS(SPACE!V:V,SPACE!$A:$A,$C$1,SPACE!$F:$F,$A24)</f>
        <v>-18722.199999999997</v>
      </c>
      <c r="M24" s="626">
        <f>-SUMIFS(SPACE!W:W,SPACE!$A:$A,$C$1,SPACE!$F:$F,$A24)</f>
        <v>-18722.199999999997</v>
      </c>
      <c r="N24" s="626">
        <f>-SUMIFS(SPACE!X:X,SPACE!$A:$A,$C$1,SPACE!$F:$F,$A24)</f>
        <v>-18722.199999999997</v>
      </c>
      <c r="O24" s="626">
        <f>-SUMIFS(SPACE!Y:Y,SPACE!$A:$A,$C$1,SPACE!$F:$F,$A24)</f>
        <v>-18722.199999999997</v>
      </c>
      <c r="P24" s="626">
        <f>-SUMIFS(SPACE!Z:Z,SPACE!$A:$A,$C$1,SPACE!$F:$F,$A24)</f>
        <v>-18722.199999999997</v>
      </c>
      <c r="Q24" s="626">
        <f t="shared" si="11"/>
        <v>-152332.79999999999</v>
      </c>
      <c r="R24" s="626"/>
      <c r="S24" s="630"/>
      <c r="T24" s="630"/>
      <c r="U24" s="630"/>
      <c r="V24" s="630"/>
      <c r="W24" s="630"/>
      <c r="X24" s="630"/>
      <c r="Y24" s="630"/>
      <c r="Z24" s="630"/>
      <c r="AA24" s="630"/>
      <c r="AB24" s="630"/>
      <c r="AC24" s="630"/>
      <c r="AD24" s="630"/>
      <c r="AE24" s="626">
        <f t="shared" si="12"/>
        <v>0</v>
      </c>
      <c r="AF24" s="610"/>
    </row>
    <row r="25" spans="1:32" s="602" customFormat="1" ht="16.5" customHeight="1">
      <c r="A25" s="629" t="str">
        <f>'CF-ACPL（合并）'!A25</f>
        <v>支付的其他与经营活动有关的现金（专业服务费）</v>
      </c>
      <c r="B25" s="626">
        <f t="shared" si="9"/>
        <v>-101200</v>
      </c>
      <c r="C25" s="626">
        <f t="shared" ca="1" si="10"/>
        <v>-101200</v>
      </c>
      <c r="D25" s="626"/>
      <c r="E25" s="626">
        <f>-SUMIFS('Prof. Fee'!AF:AF,'Prof. Fee'!$B:$B,$C$1,'Prof. Fee'!$C:$C,$A25)</f>
        <v>-101200</v>
      </c>
      <c r="F25" s="626">
        <f>-SUMIFS('Prof. Fee'!AG:AG,'Prof. Fee'!$B:$B,$C$1,'Prof. Fee'!$C:$C,$A25)</f>
        <v>-1200</v>
      </c>
      <c r="G25" s="626">
        <f>-SUMIFS('Prof. Fee'!AH:AH,'Prof. Fee'!$B:$B,$C$1,'Prof. Fee'!$C:$C,$A25)</f>
        <v>-1200</v>
      </c>
      <c r="H25" s="626">
        <f>-SUMIFS('Prof. Fee'!AI:AI,'Prof. Fee'!$B:$B,$C$1,'Prof. Fee'!$C:$C,$A25)</f>
        <v>-1200</v>
      </c>
      <c r="I25" s="626">
        <f>-SUMIFS('Prof. Fee'!AJ:AJ,'Prof. Fee'!$B:$B,$C$1,'Prof. Fee'!$C:$C,$A25)</f>
        <v>-1200</v>
      </c>
      <c r="J25" s="626">
        <f>-SUMIFS('Prof. Fee'!AK:AK,'Prof. Fee'!$B:$B,$C$1,'Prof. Fee'!$C:$C,$A25)</f>
        <v>-95720</v>
      </c>
      <c r="K25" s="626">
        <f>-SUMIFS('Prof. Fee'!AL:AL,'Prof. Fee'!$B:$B,$C$1,'Prof. Fee'!$C:$C,$A25)</f>
        <v>-1200</v>
      </c>
      <c r="L25" s="626">
        <f>-SUMIFS('Prof. Fee'!AM:AM,'Prof. Fee'!$B:$B,$C$1,'Prof. Fee'!$C:$C,$A25)</f>
        <v>-1200</v>
      </c>
      <c r="M25" s="626">
        <f>-SUMIFS('Prof. Fee'!AN:AN,'Prof. Fee'!$B:$B,$C$1,'Prof. Fee'!$C:$C,$A25)</f>
        <v>-1200</v>
      </c>
      <c r="N25" s="626">
        <f>-SUMIFS('Prof. Fee'!AO:AO,'Prof. Fee'!$B:$B,$C$1,'Prof. Fee'!$C:$C,$A25)</f>
        <v>-1200</v>
      </c>
      <c r="O25" s="626">
        <f>-SUMIFS('Prof. Fee'!AP:AP,'Prof. Fee'!$B:$B,$C$1,'Prof. Fee'!$C:$C,$A25)</f>
        <v>-1200</v>
      </c>
      <c r="P25" s="626">
        <f>-SUMIFS('Prof. Fee'!AQ:AQ,'Prof. Fee'!$B:$B,$C$1,'Prof. Fee'!$C:$C,$A25)</f>
        <v>-1200</v>
      </c>
      <c r="Q25" s="626">
        <f t="shared" si="11"/>
        <v>-208920</v>
      </c>
      <c r="R25" s="626"/>
      <c r="S25" s="630"/>
      <c r="T25" s="630"/>
      <c r="U25" s="630"/>
      <c r="V25" s="630"/>
      <c r="W25" s="630"/>
      <c r="X25" s="630"/>
      <c r="Y25" s="630"/>
      <c r="Z25" s="630"/>
      <c r="AA25" s="630"/>
      <c r="AB25" s="630"/>
      <c r="AC25" s="630"/>
      <c r="AD25" s="630"/>
      <c r="AE25" s="626">
        <f t="shared" si="12"/>
        <v>0</v>
      </c>
      <c r="AF25" s="610"/>
    </row>
    <row r="26" spans="1:32" s="602" customFormat="1" ht="16.5" customHeight="1">
      <c r="A26" s="629" t="str">
        <f>'CF-ACPL（合并）'!A26</f>
        <v>支付的其他与经营活动有关的现金（员工报销）</v>
      </c>
      <c r="B26" s="626">
        <f t="shared" si="9"/>
        <v>-41266.666666666664</v>
      </c>
      <c r="C26" s="626">
        <f t="shared" ca="1" si="10"/>
        <v>-41266.666666666664</v>
      </c>
      <c r="D26" s="626"/>
      <c r="E26" s="626">
        <f>-SUMIFS('T&amp;E'!N47:N140,'T&amp;E'!$B$47:$B$140,$C$1,'T&amp;E'!$E$47:$E$140,$A26)</f>
        <v>-41266.666666666664</v>
      </c>
      <c r="F26" s="626">
        <f>-SUMIFS('T&amp;E'!O47:O140,'T&amp;E'!$B$47:$B$140,$C$1,'T&amp;E'!$E$47:$E$140,$A26)</f>
        <v>-41266.666666666664</v>
      </c>
      <c r="G26" s="626">
        <f>-SUMIFS('T&amp;E'!P47:P140,'T&amp;E'!$B$47:$B$140,$C$1,'T&amp;E'!$E$47:$E$140,$A26)</f>
        <v>-41266.666666666664</v>
      </c>
      <c r="H26" s="626">
        <f>-SUMIFS('T&amp;E'!Q47:Q140,'T&amp;E'!$B$47:$B$140,$C$1,'T&amp;E'!$E$47:$E$140,$A26)</f>
        <v>-41266.666666666664</v>
      </c>
      <c r="I26" s="626">
        <f>-SUMIFS('T&amp;E'!R47:R140,'T&amp;E'!$B$47:$B$140,$C$1,'T&amp;E'!$E$47:$E$140,$A26)</f>
        <v>-41266.666666666664</v>
      </c>
      <c r="J26" s="626">
        <f>-SUMIFS('T&amp;E'!S47:S140,'T&amp;E'!$B$47:$B$140,$C$1,'T&amp;E'!$E$47:$E$140,$A26)</f>
        <v>-41266.666666666664</v>
      </c>
      <c r="K26" s="626">
        <f>-SUMIFS('T&amp;E'!T47:T140,'T&amp;E'!$B$47:$B$140,$C$1,'T&amp;E'!$E$47:$E$140,$A26)</f>
        <v>-41266.666666666664</v>
      </c>
      <c r="L26" s="626">
        <f>-SUMIFS('T&amp;E'!U47:U140,'T&amp;E'!$B$47:$B$140,$C$1,'T&amp;E'!$E$47:$E$140,$A26)</f>
        <v>-41266.666666666664</v>
      </c>
      <c r="M26" s="626">
        <f>-SUMIFS('T&amp;E'!V47:V140,'T&amp;E'!$B$47:$B$140,$C$1,'T&amp;E'!$E$47:$E$140,$A26)</f>
        <v>-41266.666666666664</v>
      </c>
      <c r="N26" s="626">
        <f>-SUMIFS('T&amp;E'!W47:W140,'T&amp;E'!$B$47:$B$140,$C$1,'T&amp;E'!$E$47:$E$140,$A26)</f>
        <v>-41266.666666666664</v>
      </c>
      <c r="O26" s="626">
        <f>-SUMIFS('T&amp;E'!X47:X140,'T&amp;E'!$B$47:$B$140,$C$1,'T&amp;E'!$E$47:$E$140,$A26)</f>
        <v>-41266.666666666664</v>
      </c>
      <c r="P26" s="626">
        <f>-SUMIFS('T&amp;E'!Y47:Y140,'T&amp;E'!$B$47:$B$140,$C$1,'T&amp;E'!$E$47:$E$140,$A26)</f>
        <v>-41266.666666666664</v>
      </c>
      <c r="Q26" s="626">
        <f t="shared" si="11"/>
        <v>-495200.00000000006</v>
      </c>
      <c r="R26" s="626"/>
      <c r="S26" s="630"/>
      <c r="T26" s="630"/>
      <c r="U26" s="630"/>
      <c r="V26" s="630"/>
      <c r="W26" s="630"/>
      <c r="X26" s="630"/>
      <c r="Y26" s="630"/>
      <c r="Z26" s="630"/>
      <c r="AA26" s="630"/>
      <c r="AB26" s="630"/>
      <c r="AC26" s="630"/>
      <c r="AD26" s="630"/>
      <c r="AE26" s="626"/>
      <c r="AF26" s="610"/>
    </row>
    <row r="27" spans="1:32" ht="16.5" customHeight="1">
      <c r="A27" s="629" t="str">
        <f>'CF-ACPL（合并）'!A27</f>
        <v>支付的其他与经营活动有关的现金（其他）</v>
      </c>
      <c r="B27" s="626">
        <f t="shared" si="9"/>
        <v>-3010</v>
      </c>
      <c r="C27" s="626">
        <f t="shared" ca="1" si="10"/>
        <v>-3010</v>
      </c>
      <c r="D27" s="626"/>
      <c r="E27" s="626">
        <f>-(SUMIFS(SPACE!O:O,SPACE!$A:$A,$C$1,SPACE!$F:$F,$A27)+SUMIFS('Other Exp'!AG:AG,'Other Exp'!$B:$B,$C$1,'Other Exp'!$D:$D,$A27))</f>
        <v>-3010</v>
      </c>
      <c r="F27" s="626">
        <f>-(SUMIFS(SPACE!P:P,SPACE!$A:$A,$C$1,SPACE!$F:$F,$A27)+SUMIFS('Other Exp'!AH:AH,'Other Exp'!$B:$B,$C$1,'Other Exp'!$D:$D,$A27))</f>
        <v>-13010</v>
      </c>
      <c r="G27" s="626">
        <f>-(SUMIFS(SPACE!Q:Q,SPACE!$A:$A,$C$1,SPACE!$F:$F,$A27)+SUMIFS('Other Exp'!AI:AI,'Other Exp'!$B:$B,$C$1,'Other Exp'!$D:$D,$A27))</f>
        <v>-3010</v>
      </c>
      <c r="H27" s="626">
        <f>-(SUMIFS(SPACE!R:R,SPACE!$A:$A,$C$1,SPACE!$F:$F,$A27)+SUMIFS('Other Exp'!AJ:AJ,'Other Exp'!$B:$B,$C$1,'Other Exp'!$D:$D,$A27))</f>
        <v>-3010</v>
      </c>
      <c r="I27" s="626">
        <f>-(SUMIFS(SPACE!S:S,SPACE!$A:$A,$C$1,SPACE!$F:$F,$A27)+SUMIFS('Other Exp'!AK:AK,'Other Exp'!$B:$B,$C$1,'Other Exp'!$D:$D,$A27))</f>
        <v>-3010</v>
      </c>
      <c r="J27" s="626">
        <f>-(SUMIFS(SPACE!T:T,SPACE!$A:$A,$C$1,SPACE!$F:$F,$A27)+SUMIFS('Other Exp'!AL:AL,'Other Exp'!$B:$B,$C$1,'Other Exp'!$D:$D,$A27))</f>
        <v>-3010</v>
      </c>
      <c r="K27" s="626">
        <f>-(SUMIFS(SPACE!U:U,SPACE!$A:$A,$C$1,SPACE!$F:$F,$A27)+SUMIFS('Other Exp'!AM:AM,'Other Exp'!$B:$B,$C$1,'Other Exp'!$D:$D,$A27))</f>
        <v>-2176.666666666667</v>
      </c>
      <c r="L27" s="626">
        <f>-(SUMIFS(SPACE!V:V,SPACE!$A:$A,$C$1,SPACE!$F:$F,$A27)+SUMIFS('Other Exp'!AN:AN,'Other Exp'!$B:$B,$C$1,'Other Exp'!$D:$D,$A27))</f>
        <v>-2176.666666666667</v>
      </c>
      <c r="M27" s="626">
        <f>-(SUMIFS(SPACE!W:W,SPACE!$A:$A,$C$1,SPACE!$F:$F,$A27)+SUMIFS('Other Exp'!AO:AO,'Other Exp'!$B:$B,$C$1,'Other Exp'!$D:$D,$A27))</f>
        <v>-2176.666666666667</v>
      </c>
      <c r="N27" s="626">
        <f>-(SUMIFS(SPACE!X:X,SPACE!$A:$A,$C$1,SPACE!$F:$F,$A27)+SUMIFS('Other Exp'!AP:AP,'Other Exp'!$B:$B,$C$1,'Other Exp'!$D:$D,$A27))</f>
        <v>-12176.666666666668</v>
      </c>
      <c r="O27" s="626">
        <f>-(SUMIFS(SPACE!Y:Y,SPACE!$A:$A,$C$1,SPACE!$F:$F,$A27)+SUMIFS('Other Exp'!AQ:AQ,'Other Exp'!$B:$B,$C$1,'Other Exp'!$D:$D,$A27))</f>
        <v>-2176.666666666667</v>
      </c>
      <c r="P27" s="626">
        <f>-(SUMIFS(SPACE!Z:Z,SPACE!$A:$A,$C$1,SPACE!$F:$F,$A27)+SUMIFS('Other Exp'!AR:AR,'Other Exp'!$B:$B,$C$1,'Other Exp'!$D:$D,$A27))</f>
        <v>-2176.666666666667</v>
      </c>
      <c r="Q27" s="626">
        <f t="shared" si="11"/>
        <v>-51120</v>
      </c>
      <c r="R27" s="626">
        <f>SUM(Q24:Q27)+SUM(SPACE!K88:K106)+'T&amp;E'!J119+'Prof. Fee'!AR108+'Other Exp'!AS123</f>
        <v>0</v>
      </c>
      <c r="S27" s="630"/>
      <c r="T27" s="626"/>
      <c r="U27" s="630"/>
      <c r="V27" s="630"/>
      <c r="W27" s="626"/>
      <c r="X27" s="630"/>
      <c r="Y27" s="630"/>
      <c r="Z27" s="626"/>
      <c r="AA27" s="630"/>
      <c r="AB27" s="630"/>
      <c r="AC27" s="626"/>
      <c r="AD27" s="630"/>
      <c r="AE27" s="626">
        <f>SUM(S27:AD27)</f>
        <v>0</v>
      </c>
    </row>
    <row r="28" spans="1:32" s="602" customFormat="1" ht="16.5" customHeight="1">
      <c r="A28" s="629"/>
      <c r="B28" s="633"/>
      <c r="C28" s="633"/>
      <c r="D28" s="633"/>
      <c r="E28" s="626"/>
      <c r="F28" s="626"/>
      <c r="G28" s="626"/>
      <c r="H28" s="626"/>
      <c r="I28" s="626"/>
      <c r="J28" s="626"/>
      <c r="K28" s="626"/>
      <c r="L28" s="626"/>
      <c r="M28" s="626"/>
      <c r="N28" s="626"/>
      <c r="O28" s="626"/>
      <c r="P28" s="626"/>
      <c r="Q28" s="626"/>
      <c r="R28" s="626"/>
      <c r="S28" s="630"/>
      <c r="T28" s="626"/>
      <c r="U28" s="630"/>
      <c r="V28" s="630"/>
      <c r="W28" s="626"/>
      <c r="X28" s="630"/>
      <c r="Y28" s="630"/>
      <c r="Z28" s="626"/>
      <c r="AA28" s="630"/>
      <c r="AB28" s="630"/>
      <c r="AC28" s="626"/>
      <c r="AD28" s="630"/>
      <c r="AE28" s="626"/>
      <c r="AF28" s="610"/>
    </row>
    <row r="29" spans="1:32" s="601" customFormat="1" ht="16.5" customHeight="1">
      <c r="A29" s="608" t="str">
        <f>'CF-ACPL（合并）'!A29</f>
        <v>经营活动产生的现金流量净额</v>
      </c>
      <c r="B29" s="634">
        <f ca="1">INDEX($E29:$P29,1,MATCH($B$4,$E$4:$P$4))</f>
        <v>-407112.27666666667</v>
      </c>
      <c r="C29" s="634">
        <f ca="1">SUM($E29:OFFSET($E29,0,MATCH($C$4,$E$4:$P$4)-1))</f>
        <v>-407112.27666666667</v>
      </c>
      <c r="D29" s="634"/>
      <c r="E29" s="622">
        <f ca="1">E12+E18</f>
        <v>-407112.27666666667</v>
      </c>
      <c r="F29" s="622">
        <f t="shared" ref="F29:Q29" ca="1" si="13">F12+F18</f>
        <v>-316982.27666666667</v>
      </c>
      <c r="G29" s="622">
        <f t="shared" ca="1" si="13"/>
        <v>-297382.27666666667</v>
      </c>
      <c r="H29" s="622">
        <f t="shared" ca="1" si="13"/>
        <v>-679787.23666666658</v>
      </c>
      <c r="I29" s="622">
        <f t="shared" ca="1" si="13"/>
        <v>-358787.23666666669</v>
      </c>
      <c r="J29" s="622">
        <f t="shared" ca="1" si="13"/>
        <v>-453307.23666666669</v>
      </c>
      <c r="K29" s="622">
        <f t="shared" ca="1" si="13"/>
        <v>-370009.50333333341</v>
      </c>
      <c r="L29" s="622">
        <f t="shared" ca="1" si="13"/>
        <v>-370009.50333333341</v>
      </c>
      <c r="M29" s="622">
        <f t="shared" ca="1" si="13"/>
        <v>-370009.50333333341</v>
      </c>
      <c r="N29" s="622">
        <f t="shared" ca="1" si="13"/>
        <v>-380009.50333333341</v>
      </c>
      <c r="O29" s="622">
        <f t="shared" ca="1" si="13"/>
        <v>-370009.50333333341</v>
      </c>
      <c r="P29" s="622">
        <f t="shared" ca="1" si="13"/>
        <v>-370009.50333333341</v>
      </c>
      <c r="Q29" s="622">
        <f t="shared" ca="1" si="13"/>
        <v>-4743415.5600000005</v>
      </c>
      <c r="R29" s="623"/>
      <c r="S29" s="622">
        <f t="shared" ref="S29:AE29" si="14">S12-S18</f>
        <v>0</v>
      </c>
      <c r="T29" s="622">
        <f t="shared" si="14"/>
        <v>0</v>
      </c>
      <c r="U29" s="622">
        <f t="shared" si="14"/>
        <v>0</v>
      </c>
      <c r="V29" s="622">
        <f t="shared" si="14"/>
        <v>0</v>
      </c>
      <c r="W29" s="622">
        <f t="shared" si="14"/>
        <v>0</v>
      </c>
      <c r="X29" s="622">
        <f t="shared" si="14"/>
        <v>0</v>
      </c>
      <c r="Y29" s="622">
        <f t="shared" si="14"/>
        <v>0</v>
      </c>
      <c r="Z29" s="622">
        <f t="shared" si="14"/>
        <v>0</v>
      </c>
      <c r="AA29" s="622">
        <f t="shared" si="14"/>
        <v>0</v>
      </c>
      <c r="AB29" s="622">
        <f t="shared" si="14"/>
        <v>0</v>
      </c>
      <c r="AC29" s="622">
        <f t="shared" si="14"/>
        <v>0</v>
      </c>
      <c r="AD29" s="622">
        <f t="shared" si="14"/>
        <v>0</v>
      </c>
      <c r="AE29" s="622">
        <f t="shared" si="14"/>
        <v>0</v>
      </c>
      <c r="AF29" s="610"/>
    </row>
    <row r="30" spans="1:32" ht="16.5" customHeight="1">
      <c r="A30" s="629"/>
      <c r="B30" s="633"/>
      <c r="C30" s="633"/>
      <c r="D30" s="633"/>
      <c r="E30" s="626"/>
      <c r="F30" s="626"/>
      <c r="G30" s="626"/>
      <c r="H30" s="626"/>
      <c r="I30" s="626"/>
      <c r="J30" s="626"/>
      <c r="K30" s="626"/>
      <c r="L30" s="626"/>
      <c r="M30" s="626"/>
      <c r="N30" s="626"/>
      <c r="O30" s="626"/>
      <c r="P30" s="626"/>
      <c r="Q30" s="626"/>
      <c r="R30" s="626"/>
      <c r="S30" s="626"/>
      <c r="T30" s="626"/>
      <c r="U30" s="626"/>
      <c r="V30" s="626"/>
      <c r="W30" s="626"/>
      <c r="X30" s="626"/>
      <c r="Y30" s="626"/>
      <c r="Z30" s="626"/>
      <c r="AA30" s="626"/>
      <c r="AB30" s="626"/>
      <c r="AC30" s="626"/>
      <c r="AD30" s="626"/>
      <c r="AE30" s="626"/>
    </row>
    <row r="31" spans="1:32" s="603" customFormat="1" ht="16.5" customHeight="1">
      <c r="A31" s="627" t="str">
        <f>'CF-ACPL（合并）'!A31</f>
        <v>投资活动现金流入小计</v>
      </c>
      <c r="B31" s="628">
        <f>INDEX($E31:$P31,1,MATCH($B$4,$E$4:$P$4))</f>
        <v>0</v>
      </c>
      <c r="C31" s="628">
        <f ca="1">SUM($E31:OFFSET($E31,0,MATCH($C$4,$E$4:$P$4)-1))</f>
        <v>0</v>
      </c>
      <c r="D31" s="628"/>
      <c r="E31" s="628">
        <f t="shared" ref="E31:Q31" si="15">SUM(E32:E36)</f>
        <v>0</v>
      </c>
      <c r="F31" s="628">
        <f t="shared" si="15"/>
        <v>0</v>
      </c>
      <c r="G31" s="628">
        <f t="shared" si="15"/>
        <v>0</v>
      </c>
      <c r="H31" s="628">
        <f t="shared" si="15"/>
        <v>0</v>
      </c>
      <c r="I31" s="628">
        <f t="shared" si="15"/>
        <v>0</v>
      </c>
      <c r="J31" s="628">
        <f t="shared" si="15"/>
        <v>0</v>
      </c>
      <c r="K31" s="628">
        <f t="shared" si="15"/>
        <v>0</v>
      </c>
      <c r="L31" s="628">
        <f t="shared" si="15"/>
        <v>0</v>
      </c>
      <c r="M31" s="628">
        <f t="shared" si="15"/>
        <v>0</v>
      </c>
      <c r="N31" s="628">
        <f t="shared" si="15"/>
        <v>0</v>
      </c>
      <c r="O31" s="628">
        <f t="shared" si="15"/>
        <v>0</v>
      </c>
      <c r="P31" s="628">
        <f t="shared" si="15"/>
        <v>0</v>
      </c>
      <c r="Q31" s="628">
        <f t="shared" si="15"/>
        <v>0</v>
      </c>
      <c r="R31" s="623"/>
      <c r="S31" s="628">
        <f t="shared" ref="S31:AE31" si="16">SUM(S32:S36)</f>
        <v>0</v>
      </c>
      <c r="T31" s="628">
        <f t="shared" si="16"/>
        <v>0</v>
      </c>
      <c r="U31" s="628">
        <f t="shared" si="16"/>
        <v>0</v>
      </c>
      <c r="V31" s="628">
        <f t="shared" si="16"/>
        <v>0</v>
      </c>
      <c r="W31" s="628">
        <f t="shared" si="16"/>
        <v>0</v>
      </c>
      <c r="X31" s="628">
        <f t="shared" si="16"/>
        <v>0</v>
      </c>
      <c r="Y31" s="628">
        <f t="shared" si="16"/>
        <v>0</v>
      </c>
      <c r="Z31" s="628">
        <f t="shared" si="16"/>
        <v>0</v>
      </c>
      <c r="AA31" s="628">
        <f t="shared" si="16"/>
        <v>0</v>
      </c>
      <c r="AB31" s="628">
        <f t="shared" si="16"/>
        <v>0</v>
      </c>
      <c r="AC31" s="628">
        <f t="shared" si="16"/>
        <v>0</v>
      </c>
      <c r="AD31" s="628">
        <f t="shared" si="16"/>
        <v>0</v>
      </c>
      <c r="AE31" s="628">
        <f t="shared" si="16"/>
        <v>0</v>
      </c>
    </row>
    <row r="32" spans="1:32" ht="16.5" customHeight="1">
      <c r="A32" s="629" t="str">
        <f>'CF-ACPL（合并）'!A32</f>
        <v>收回投资所收到的现金</v>
      </c>
      <c r="B32" s="623">
        <f t="shared" ref="B32:B42" si="17">INDEX($E32:$P32,1,MATCH($B$4,$E$4:$P$4))</f>
        <v>0</v>
      </c>
      <c r="C32" s="626">
        <f t="shared" ref="C32:C42" ca="1" si="18">SUM($E32:OFFSET($E32,0,MATCH($C$4,$E$4:$P$4)-1))</f>
        <v>0</v>
      </c>
      <c r="D32" s="626"/>
      <c r="E32" s="626">
        <f>SUMIFS(cashflow汇总预算2026!$H:$H,cashflow汇总预算2026!$D:$D,E$4,cashflow汇总预算2026!$T:$T,$A32)</f>
        <v>0</v>
      </c>
      <c r="F32" s="626">
        <f>SUMIFS(cashflow汇总预算2026!$H:$H,cashflow汇总预算2026!$D:$D,F$4,cashflow汇总预算2026!$T:$T,$A32)</f>
        <v>0</v>
      </c>
      <c r="G32" s="626">
        <f>SUMIFS(cashflow汇总预算2026!$H:$H,cashflow汇总预算2026!$D:$D,G$4,cashflow汇总预算2026!$T:$T,$A32)</f>
        <v>0</v>
      </c>
      <c r="H32" s="626">
        <f>SUMIFS(cashflow汇总预算2026!$H:$H,cashflow汇总预算2026!$D:$D,H$4,cashflow汇总预算2026!$T:$T,$A32)</f>
        <v>0</v>
      </c>
      <c r="I32" s="626">
        <f>SUMIFS(cashflow汇总预算2026!$H:$H,cashflow汇总预算2026!$D:$D,I$4,cashflow汇总预算2026!$T:$T,$A32)</f>
        <v>0</v>
      </c>
      <c r="J32" s="626">
        <f>SUMIFS(cashflow汇总预算2026!$H:$H,cashflow汇总预算2026!$D:$D,J$4,cashflow汇总预算2026!$T:$T,$A32)</f>
        <v>0</v>
      </c>
      <c r="K32" s="626">
        <f>SUMIFS(cashflow汇总预算2026!$H:$H,cashflow汇总预算2026!$D:$D,K$4,cashflow汇总预算2026!$T:$T,$A32)</f>
        <v>0</v>
      </c>
      <c r="L32" s="626">
        <f>SUMIFS(cashflow汇总预算2026!$H:$H,cashflow汇总预算2026!$D:$D,L$4,cashflow汇总预算2026!$T:$T,$A32)</f>
        <v>0</v>
      </c>
      <c r="M32" s="626">
        <f>SUMIFS(cashflow汇总预算2026!$H:$H,cashflow汇总预算2026!$D:$D,M$4,cashflow汇总预算2026!$T:$T,$A32)</f>
        <v>0</v>
      </c>
      <c r="N32" s="626">
        <f>SUMIFS(cashflow汇总预算2026!$H:$H,cashflow汇总预算2026!$D:$D,N$4,cashflow汇总预算2026!$T:$T,$A32)</f>
        <v>0</v>
      </c>
      <c r="O32" s="626">
        <f>SUMIFS(cashflow汇总预算2026!$H:$H,cashflow汇总预算2026!$D:$D,O$4,cashflow汇总预算2026!$T:$T,$A32)</f>
        <v>0</v>
      </c>
      <c r="P32" s="626">
        <f>SUMIFS(cashflow汇总预算2026!$H:$H,cashflow汇总预算2026!$D:$D,P$4,cashflow汇总预算2026!$T:$T,$A32)</f>
        <v>0</v>
      </c>
      <c r="Q32" s="626">
        <f t="shared" ref="Q32:Q36" si="19">SUM(E32:P32)</f>
        <v>0</v>
      </c>
      <c r="R32" s="626"/>
      <c r="S32" s="630">
        <v>0</v>
      </c>
      <c r="T32" s="630">
        <v>0</v>
      </c>
      <c r="U32" s="630">
        <v>0</v>
      </c>
      <c r="V32" s="630">
        <v>0</v>
      </c>
      <c r="W32" s="630">
        <v>0</v>
      </c>
      <c r="X32" s="630">
        <v>0</v>
      </c>
      <c r="Y32" s="630">
        <v>0</v>
      </c>
      <c r="Z32" s="630">
        <v>0</v>
      </c>
      <c r="AA32" s="630">
        <v>0</v>
      </c>
      <c r="AB32" s="630">
        <v>0</v>
      </c>
      <c r="AC32" s="630">
        <v>0</v>
      </c>
      <c r="AD32" s="630">
        <v>0</v>
      </c>
      <c r="AE32" s="626">
        <f t="shared" ref="AE32:AE36" si="20">SUM(S32:AD32)</f>
        <v>0</v>
      </c>
    </row>
    <row r="33" spans="1:31" ht="16.5" customHeight="1">
      <c r="A33" s="629" t="str">
        <f>'CF-ACPL（合并）'!A33</f>
        <v>取得投资收益所收到的现金</v>
      </c>
      <c r="B33" s="623">
        <f t="shared" si="17"/>
        <v>0</v>
      </c>
      <c r="C33" s="626">
        <f t="shared" ca="1" si="18"/>
        <v>0</v>
      </c>
      <c r="D33" s="626"/>
      <c r="E33" s="626">
        <f>SUMIFS(cashflow汇总预算2026!$H:$H,cashflow汇总预算2026!$D:$D,E$4,cashflow汇总预算2026!$T:$T,$A33)</f>
        <v>0</v>
      </c>
      <c r="F33" s="626">
        <f>SUMIFS(cashflow汇总预算2026!$H:$H,cashflow汇总预算2026!$D:$D,F$4,cashflow汇总预算2026!$T:$T,$A33)</f>
        <v>0</v>
      </c>
      <c r="G33" s="626">
        <f>SUMIFS(cashflow汇总预算2026!$H:$H,cashflow汇总预算2026!$D:$D,G$4,cashflow汇总预算2026!$T:$T,$A33)</f>
        <v>0</v>
      </c>
      <c r="H33" s="626">
        <f>SUMIFS(cashflow汇总预算2026!$H:$H,cashflow汇总预算2026!$D:$D,H$4,cashflow汇总预算2026!$T:$T,$A33)</f>
        <v>0</v>
      </c>
      <c r="I33" s="626">
        <f>SUMIFS(cashflow汇总预算2026!$H:$H,cashflow汇总预算2026!$D:$D,I$4,cashflow汇总预算2026!$T:$T,$A33)</f>
        <v>0</v>
      </c>
      <c r="J33" s="626">
        <f>SUMIFS(cashflow汇总预算2026!$H:$H,cashflow汇总预算2026!$D:$D,J$4,cashflow汇总预算2026!$T:$T,$A33)</f>
        <v>0</v>
      </c>
      <c r="K33" s="626">
        <f>SUMIFS(cashflow汇总预算2026!$H:$H,cashflow汇总预算2026!$D:$D,K$4,cashflow汇总预算2026!$T:$T,$A33)</f>
        <v>0</v>
      </c>
      <c r="L33" s="626">
        <f>SUMIFS(cashflow汇总预算2026!$H:$H,cashflow汇总预算2026!$D:$D,L$4,cashflow汇总预算2026!$T:$T,$A33)</f>
        <v>0</v>
      </c>
      <c r="M33" s="626">
        <f>SUMIFS(cashflow汇总预算2026!$H:$H,cashflow汇总预算2026!$D:$D,M$4,cashflow汇总预算2026!$T:$T,$A33)</f>
        <v>0</v>
      </c>
      <c r="N33" s="626">
        <f>SUMIFS(cashflow汇总预算2026!$H:$H,cashflow汇总预算2026!$D:$D,N$4,cashflow汇总预算2026!$T:$T,$A33)</f>
        <v>0</v>
      </c>
      <c r="O33" s="626">
        <f>SUMIFS(cashflow汇总预算2026!$H:$H,cashflow汇总预算2026!$D:$D,O$4,cashflow汇总预算2026!$T:$T,$A33)</f>
        <v>0</v>
      </c>
      <c r="P33" s="626">
        <f>SUMIFS(cashflow汇总预算2026!$H:$H,cashflow汇总预算2026!$D:$D,P$4,cashflow汇总预算2026!$T:$T,$A33)</f>
        <v>0</v>
      </c>
      <c r="Q33" s="626">
        <f t="shared" si="19"/>
        <v>0</v>
      </c>
      <c r="R33" s="626"/>
      <c r="S33" s="630">
        <v>0</v>
      </c>
      <c r="T33" s="630">
        <v>0</v>
      </c>
      <c r="U33" s="630">
        <v>0</v>
      </c>
      <c r="V33" s="630">
        <v>0</v>
      </c>
      <c r="W33" s="630">
        <v>0</v>
      </c>
      <c r="X33" s="630">
        <v>0</v>
      </c>
      <c r="Y33" s="630">
        <v>0</v>
      </c>
      <c r="Z33" s="630">
        <v>0</v>
      </c>
      <c r="AA33" s="630">
        <v>0</v>
      </c>
      <c r="AB33" s="630">
        <v>0</v>
      </c>
      <c r="AC33" s="630">
        <v>0</v>
      </c>
      <c r="AD33" s="630">
        <v>0</v>
      </c>
      <c r="AE33" s="626">
        <f t="shared" si="20"/>
        <v>0</v>
      </c>
    </row>
    <row r="34" spans="1:31" ht="16.5" customHeight="1">
      <c r="A34" s="629" t="str">
        <f>'CF-ACPL（合并）'!A34</f>
        <v>处置固定资产、无形资产和其他长期资产而收到的现金净额</v>
      </c>
      <c r="B34" s="623">
        <f t="shared" si="17"/>
        <v>0</v>
      </c>
      <c r="C34" s="626">
        <f t="shared" ca="1" si="18"/>
        <v>0</v>
      </c>
      <c r="D34" s="626"/>
      <c r="E34" s="626">
        <f>SUMIFS(cashflow汇总预算2026!$H:$H,cashflow汇总预算2026!$D:$D,E$4,cashflow汇总预算2026!$T:$T,$A34)</f>
        <v>0</v>
      </c>
      <c r="F34" s="626">
        <f>SUMIFS(cashflow汇总预算2026!$H:$H,cashflow汇总预算2026!$D:$D,F$4,cashflow汇总预算2026!$T:$T,$A34)</f>
        <v>0</v>
      </c>
      <c r="G34" s="626">
        <f>SUMIFS(cashflow汇总预算2026!$H:$H,cashflow汇总预算2026!$D:$D,G$4,cashflow汇总预算2026!$T:$T,$A34)</f>
        <v>0</v>
      </c>
      <c r="H34" s="626">
        <f>SUMIFS(cashflow汇总预算2026!$H:$H,cashflow汇总预算2026!$D:$D,H$4,cashflow汇总预算2026!$T:$T,$A34)</f>
        <v>0</v>
      </c>
      <c r="I34" s="626">
        <f>SUMIFS(cashflow汇总预算2026!$H:$H,cashflow汇总预算2026!$D:$D,I$4,cashflow汇总预算2026!$T:$T,$A34)</f>
        <v>0</v>
      </c>
      <c r="J34" s="626">
        <f>SUMIFS(cashflow汇总预算2026!$H:$H,cashflow汇总预算2026!$D:$D,J$4,cashflow汇总预算2026!$T:$T,$A34)</f>
        <v>0</v>
      </c>
      <c r="K34" s="626">
        <f>SUMIFS(cashflow汇总预算2026!$H:$H,cashflow汇总预算2026!$D:$D,K$4,cashflow汇总预算2026!$T:$T,$A34)</f>
        <v>0</v>
      </c>
      <c r="L34" s="626">
        <f>SUMIFS(cashflow汇总预算2026!$H:$H,cashflow汇总预算2026!$D:$D,L$4,cashflow汇总预算2026!$T:$T,$A34)</f>
        <v>0</v>
      </c>
      <c r="M34" s="626">
        <f>SUMIFS(cashflow汇总预算2026!$H:$H,cashflow汇总预算2026!$D:$D,M$4,cashflow汇总预算2026!$T:$T,$A34)</f>
        <v>0</v>
      </c>
      <c r="N34" s="626">
        <f>SUMIFS(cashflow汇总预算2026!$H:$H,cashflow汇总预算2026!$D:$D,N$4,cashflow汇总预算2026!$T:$T,$A34)</f>
        <v>0</v>
      </c>
      <c r="O34" s="626">
        <f>SUMIFS(cashflow汇总预算2026!$H:$H,cashflow汇总预算2026!$D:$D,O$4,cashflow汇总预算2026!$T:$T,$A34)</f>
        <v>0</v>
      </c>
      <c r="P34" s="626">
        <f>SUMIFS(cashflow汇总预算2026!$H:$H,cashflow汇总预算2026!$D:$D,P$4,cashflow汇总预算2026!$T:$T,$A34)</f>
        <v>0</v>
      </c>
      <c r="Q34" s="626">
        <f t="shared" si="19"/>
        <v>0</v>
      </c>
      <c r="R34" s="626"/>
      <c r="S34" s="630">
        <v>0</v>
      </c>
      <c r="T34" s="630">
        <v>0</v>
      </c>
      <c r="U34" s="630">
        <v>0</v>
      </c>
      <c r="V34" s="630">
        <v>0</v>
      </c>
      <c r="W34" s="630">
        <v>0</v>
      </c>
      <c r="X34" s="630">
        <v>0</v>
      </c>
      <c r="Y34" s="630">
        <v>0</v>
      </c>
      <c r="Z34" s="630">
        <v>0</v>
      </c>
      <c r="AA34" s="630">
        <v>0</v>
      </c>
      <c r="AB34" s="630">
        <v>0</v>
      </c>
      <c r="AC34" s="630">
        <v>0</v>
      </c>
      <c r="AD34" s="630">
        <v>0</v>
      </c>
      <c r="AE34" s="626">
        <f t="shared" si="20"/>
        <v>0</v>
      </c>
    </row>
    <row r="35" spans="1:31" ht="16.5" customHeight="1">
      <c r="A35" s="629" t="str">
        <f>'CF-ACPL（合并）'!A35</f>
        <v>处置子公司及其他营业单位收到的现金净额</v>
      </c>
      <c r="B35" s="623">
        <f t="shared" si="17"/>
        <v>0</v>
      </c>
      <c r="C35" s="626">
        <f t="shared" ca="1" si="18"/>
        <v>0</v>
      </c>
      <c r="D35" s="626"/>
      <c r="E35" s="626">
        <f>SUMIFS(cashflow汇总预算2026!$H:$H,cashflow汇总预算2026!$D:$D,E$4,cashflow汇总预算2026!$T:$T,$A35)</f>
        <v>0</v>
      </c>
      <c r="F35" s="626">
        <f>SUMIFS(cashflow汇总预算2026!$H:$H,cashflow汇总预算2026!$D:$D,F$4,cashflow汇总预算2026!$T:$T,$A35)</f>
        <v>0</v>
      </c>
      <c r="G35" s="626">
        <f>SUMIFS(cashflow汇总预算2026!$H:$H,cashflow汇总预算2026!$D:$D,G$4,cashflow汇总预算2026!$T:$T,$A35)</f>
        <v>0</v>
      </c>
      <c r="H35" s="626">
        <f>SUMIFS(cashflow汇总预算2026!$H:$H,cashflow汇总预算2026!$D:$D,H$4,cashflow汇总预算2026!$T:$T,$A35)</f>
        <v>0</v>
      </c>
      <c r="I35" s="626">
        <f>SUMIFS(cashflow汇总预算2026!$H:$H,cashflow汇总预算2026!$D:$D,I$4,cashflow汇总预算2026!$T:$T,$A35)</f>
        <v>0</v>
      </c>
      <c r="J35" s="626">
        <f>SUMIFS(cashflow汇总预算2026!$H:$H,cashflow汇总预算2026!$D:$D,J$4,cashflow汇总预算2026!$T:$T,$A35)</f>
        <v>0</v>
      </c>
      <c r="K35" s="626">
        <f>SUMIFS(cashflow汇总预算2026!$H:$H,cashflow汇总预算2026!$D:$D,K$4,cashflow汇总预算2026!$T:$T,$A35)</f>
        <v>0</v>
      </c>
      <c r="L35" s="626">
        <f>SUMIFS(cashflow汇总预算2026!$H:$H,cashflow汇总预算2026!$D:$D,L$4,cashflow汇总预算2026!$T:$T,$A35)</f>
        <v>0</v>
      </c>
      <c r="M35" s="626">
        <f>SUMIFS(cashflow汇总预算2026!$H:$H,cashflow汇总预算2026!$D:$D,M$4,cashflow汇总预算2026!$T:$T,$A35)</f>
        <v>0</v>
      </c>
      <c r="N35" s="626">
        <f>SUMIFS(cashflow汇总预算2026!$H:$H,cashflow汇总预算2026!$D:$D,N$4,cashflow汇总预算2026!$T:$T,$A35)</f>
        <v>0</v>
      </c>
      <c r="O35" s="626">
        <f>SUMIFS(cashflow汇总预算2026!$H:$H,cashflow汇总预算2026!$D:$D,O$4,cashflow汇总预算2026!$T:$T,$A35)</f>
        <v>0</v>
      </c>
      <c r="P35" s="626">
        <f>SUMIFS(cashflow汇总预算2026!$H:$H,cashflow汇总预算2026!$D:$D,P$4,cashflow汇总预算2026!$T:$T,$A35)</f>
        <v>0</v>
      </c>
      <c r="Q35" s="626">
        <f t="shared" si="19"/>
        <v>0</v>
      </c>
      <c r="R35" s="626"/>
      <c r="S35" s="630">
        <v>0</v>
      </c>
      <c r="T35" s="630">
        <v>0</v>
      </c>
      <c r="U35" s="630">
        <v>0</v>
      </c>
      <c r="V35" s="630">
        <v>0</v>
      </c>
      <c r="W35" s="630">
        <v>0</v>
      </c>
      <c r="X35" s="630">
        <v>0</v>
      </c>
      <c r="Y35" s="630">
        <v>0</v>
      </c>
      <c r="Z35" s="630">
        <v>0</v>
      </c>
      <c r="AA35" s="630">
        <v>0</v>
      </c>
      <c r="AB35" s="630">
        <v>0</v>
      </c>
      <c r="AC35" s="630">
        <v>0</v>
      </c>
      <c r="AD35" s="630">
        <v>0</v>
      </c>
      <c r="AE35" s="626">
        <f t="shared" si="20"/>
        <v>0</v>
      </c>
    </row>
    <row r="36" spans="1:31" ht="16.5" customHeight="1">
      <c r="A36" s="629" t="str">
        <f>'CF-ACPL（合并）'!A36</f>
        <v>收到的其他与投资活动有关的现金</v>
      </c>
      <c r="B36" s="623">
        <f t="shared" si="17"/>
        <v>0</v>
      </c>
      <c r="C36" s="626">
        <f t="shared" ca="1" si="18"/>
        <v>0</v>
      </c>
      <c r="D36" s="626"/>
      <c r="E36" s="626">
        <f>SUMIFS(cashflow汇总预算2026!$H:$H,cashflow汇总预算2026!$D:$D,E$4,cashflow汇总预算2026!$T:$T,$A36)</f>
        <v>0</v>
      </c>
      <c r="F36" s="626">
        <f>SUMIFS(cashflow汇总预算2026!$H:$H,cashflow汇总预算2026!$D:$D,F$4,cashflow汇总预算2026!$T:$T,$A36)</f>
        <v>0</v>
      </c>
      <c r="G36" s="626">
        <f>SUMIFS(cashflow汇总预算2026!$H:$H,cashflow汇总预算2026!$D:$D,G$4,cashflow汇总预算2026!$T:$T,$A36)</f>
        <v>0</v>
      </c>
      <c r="H36" s="626">
        <f>SUMIFS(cashflow汇总预算2026!$H:$H,cashflow汇总预算2026!$D:$D,H$4,cashflow汇总预算2026!$T:$T,$A36)</f>
        <v>0</v>
      </c>
      <c r="I36" s="626">
        <f>SUMIFS(cashflow汇总预算2026!$H:$H,cashflow汇总预算2026!$D:$D,I$4,cashflow汇总预算2026!$T:$T,$A36)</f>
        <v>0</v>
      </c>
      <c r="J36" s="626">
        <f>SUMIFS(cashflow汇总预算2026!$H:$H,cashflow汇总预算2026!$D:$D,J$4,cashflow汇总预算2026!$T:$T,$A36)</f>
        <v>0</v>
      </c>
      <c r="K36" s="626">
        <f>SUMIFS(cashflow汇总预算2026!$H:$H,cashflow汇总预算2026!$D:$D,K$4,cashflow汇总预算2026!$T:$T,$A36)</f>
        <v>0</v>
      </c>
      <c r="L36" s="626">
        <f>SUMIFS(cashflow汇总预算2026!$H:$H,cashflow汇总预算2026!$D:$D,L$4,cashflow汇总预算2026!$T:$T,$A36)</f>
        <v>0</v>
      </c>
      <c r="M36" s="626">
        <f>SUMIFS(cashflow汇总预算2026!$H:$H,cashflow汇总预算2026!$D:$D,M$4,cashflow汇总预算2026!$T:$T,$A36)</f>
        <v>0</v>
      </c>
      <c r="N36" s="626">
        <f>SUMIFS(cashflow汇总预算2026!$H:$H,cashflow汇总预算2026!$D:$D,N$4,cashflow汇总预算2026!$T:$T,$A36)</f>
        <v>0</v>
      </c>
      <c r="O36" s="626">
        <f>SUMIFS(cashflow汇总预算2026!$H:$H,cashflow汇总预算2026!$D:$D,O$4,cashflow汇总预算2026!$T:$T,$A36)</f>
        <v>0</v>
      </c>
      <c r="P36" s="626">
        <f>SUMIFS(cashflow汇总预算2026!$H:$H,cashflow汇总预算2026!$D:$D,P$4,cashflow汇总预算2026!$T:$T,$A36)</f>
        <v>0</v>
      </c>
      <c r="Q36" s="626">
        <f t="shared" si="19"/>
        <v>0</v>
      </c>
      <c r="R36" s="626"/>
      <c r="S36" s="630">
        <v>0</v>
      </c>
      <c r="T36" s="630">
        <v>0</v>
      </c>
      <c r="U36" s="630">
        <v>0</v>
      </c>
      <c r="V36" s="630">
        <v>0</v>
      </c>
      <c r="W36" s="630">
        <v>0</v>
      </c>
      <c r="X36" s="630">
        <v>0</v>
      </c>
      <c r="Y36" s="630">
        <v>0</v>
      </c>
      <c r="Z36" s="630">
        <v>0</v>
      </c>
      <c r="AA36" s="630">
        <v>0</v>
      </c>
      <c r="AB36" s="630">
        <v>0</v>
      </c>
      <c r="AC36" s="630">
        <v>0</v>
      </c>
      <c r="AD36" s="630">
        <v>0</v>
      </c>
      <c r="AE36" s="626">
        <f t="shared" si="20"/>
        <v>0</v>
      </c>
    </row>
    <row r="37" spans="1:31" s="604" customFormat="1" ht="16.5" customHeight="1">
      <c r="A37" s="631" t="str">
        <f>'CF-ACPL（合并）'!A37</f>
        <v>投资活动现金流出小计</v>
      </c>
      <c r="B37" s="632">
        <f t="shared" si="17"/>
        <v>-400000</v>
      </c>
      <c r="C37" s="632">
        <f t="shared" ca="1" si="18"/>
        <v>-400000</v>
      </c>
      <c r="D37" s="632"/>
      <c r="E37" s="632">
        <f t="shared" ref="E37:Q37" si="21">SUM(E38:E41)</f>
        <v>-400000</v>
      </c>
      <c r="F37" s="632">
        <f t="shared" si="21"/>
        <v>0</v>
      </c>
      <c r="G37" s="632">
        <f t="shared" si="21"/>
        <v>-2020408.1632653063</v>
      </c>
      <c r="H37" s="632">
        <f t="shared" si="21"/>
        <v>0</v>
      </c>
      <c r="I37" s="632">
        <f t="shared" si="21"/>
        <v>0</v>
      </c>
      <c r="J37" s="632">
        <f t="shared" si="21"/>
        <v>0</v>
      </c>
      <c r="K37" s="632">
        <f t="shared" si="21"/>
        <v>0</v>
      </c>
      <c r="L37" s="632">
        <f t="shared" si="21"/>
        <v>0</v>
      </c>
      <c r="M37" s="632">
        <f t="shared" si="21"/>
        <v>0</v>
      </c>
      <c r="N37" s="632">
        <f t="shared" si="21"/>
        <v>0</v>
      </c>
      <c r="O37" s="632">
        <f t="shared" si="21"/>
        <v>0</v>
      </c>
      <c r="P37" s="632">
        <f t="shared" si="21"/>
        <v>-1578354.5764607205</v>
      </c>
      <c r="Q37" s="632">
        <f t="shared" si="21"/>
        <v>-3998762.739726027</v>
      </c>
      <c r="R37" s="623"/>
      <c r="S37" s="632">
        <f t="shared" ref="S37:AE37" si="22">SUM(S38:S41)</f>
        <v>0</v>
      </c>
      <c r="T37" s="632">
        <f t="shared" si="22"/>
        <v>0</v>
      </c>
      <c r="U37" s="632">
        <f t="shared" si="22"/>
        <v>0</v>
      </c>
      <c r="V37" s="632">
        <f t="shared" si="22"/>
        <v>0</v>
      </c>
      <c r="W37" s="632">
        <f t="shared" si="22"/>
        <v>0</v>
      </c>
      <c r="X37" s="632">
        <f t="shared" si="22"/>
        <v>0</v>
      </c>
      <c r="Y37" s="632">
        <f t="shared" si="22"/>
        <v>0</v>
      </c>
      <c r="Z37" s="632">
        <f t="shared" si="22"/>
        <v>0</v>
      </c>
      <c r="AA37" s="632">
        <f t="shared" si="22"/>
        <v>0</v>
      </c>
      <c r="AB37" s="632">
        <f t="shared" si="22"/>
        <v>0</v>
      </c>
      <c r="AC37" s="632">
        <f t="shared" si="22"/>
        <v>0</v>
      </c>
      <c r="AD37" s="632">
        <f t="shared" si="22"/>
        <v>0</v>
      </c>
      <c r="AE37" s="632">
        <f t="shared" si="22"/>
        <v>0</v>
      </c>
    </row>
    <row r="38" spans="1:31" ht="16.5" customHeight="1">
      <c r="A38" s="629" t="str">
        <f>'CF-ACPL（合并）'!A38</f>
        <v>购建固定资产、无形资产和其他长期资产支付的现金</v>
      </c>
      <c r="B38" s="623">
        <f t="shared" si="17"/>
        <v>0</v>
      </c>
      <c r="C38" s="626">
        <f t="shared" ca="1" si="18"/>
        <v>0</v>
      </c>
      <c r="D38" s="626"/>
      <c r="E38" s="626">
        <f>SUMIFS('Other Exp'!AG:AG,'Other Exp'!$B:$B,$C$1,'Other Exp'!$D:$D,$A38)</f>
        <v>0</v>
      </c>
      <c r="F38" s="626">
        <f>SUMIFS('Other Exp'!AH:AH,'Other Exp'!$B:$B,$C$1,'Other Exp'!$D:$D,$A38)</f>
        <v>0</v>
      </c>
      <c r="G38" s="626">
        <f>SUMIFS('Other Exp'!AI:AI,'Other Exp'!$B:$B,$C$1,'Other Exp'!$D:$D,$A38)</f>
        <v>0</v>
      </c>
      <c r="H38" s="626">
        <f>SUMIFS('Other Exp'!AJ:AJ,'Other Exp'!$B:$B,$C$1,'Other Exp'!$D:$D,$A38)</f>
        <v>0</v>
      </c>
      <c r="I38" s="626">
        <f>SUMIFS('Other Exp'!AK:AK,'Other Exp'!$B:$B,$C$1,'Other Exp'!$D:$D,$A38)</f>
        <v>0</v>
      </c>
      <c r="J38" s="626">
        <f>SUMIFS('Other Exp'!AL:AL,'Other Exp'!$B:$B,$C$1,'Other Exp'!$D:$D,$A38)</f>
        <v>0</v>
      </c>
      <c r="K38" s="626">
        <f>SUMIFS('Other Exp'!AM:AM,'Other Exp'!$B:$B,$C$1,'Other Exp'!$D:$D,$A38)</f>
        <v>0</v>
      </c>
      <c r="L38" s="626">
        <f>SUMIFS('Other Exp'!AN:AN,'Other Exp'!$B:$B,$C$1,'Other Exp'!$D:$D,$A38)</f>
        <v>0</v>
      </c>
      <c r="M38" s="626">
        <f>SUMIFS('Other Exp'!AO:AO,'Other Exp'!$B:$B,$C$1,'Other Exp'!$D:$D,$A38)</f>
        <v>0</v>
      </c>
      <c r="N38" s="626">
        <f>SUMIFS('Other Exp'!AP:AP,'Other Exp'!$B:$B,$C$1,'Other Exp'!$D:$D,$A38)</f>
        <v>0</v>
      </c>
      <c r="O38" s="626">
        <f>SUMIFS('Other Exp'!AQ:AQ,'Other Exp'!$B:$B,$C$1,'Other Exp'!$D:$D,$A38)</f>
        <v>0</v>
      </c>
      <c r="P38" s="626">
        <f>SUMIFS('Other Exp'!AR:AR,'Other Exp'!$B:$B,$C$1,'Other Exp'!$D:$D,$A38)</f>
        <v>0</v>
      </c>
      <c r="Q38" s="626">
        <f t="shared" ref="Q38" si="23">SUM(E38:P38)</f>
        <v>0</v>
      </c>
      <c r="R38" s="626"/>
      <c r="S38" s="630">
        <v>0</v>
      </c>
      <c r="T38" s="630">
        <v>0</v>
      </c>
      <c r="U38" s="630">
        <v>0</v>
      </c>
      <c r="V38" s="630">
        <v>0</v>
      </c>
      <c r="W38" s="630">
        <v>0</v>
      </c>
      <c r="X38" s="630">
        <v>0</v>
      </c>
      <c r="Y38" s="630">
        <v>0</v>
      </c>
      <c r="Z38" s="630">
        <v>0</v>
      </c>
      <c r="AA38" s="630">
        <v>0</v>
      </c>
      <c r="AB38" s="630">
        <v>0</v>
      </c>
      <c r="AC38" s="630">
        <v>0</v>
      </c>
      <c r="AD38" s="630">
        <v>0</v>
      </c>
      <c r="AE38" s="626">
        <f t="shared" ref="AE38:AE41" si="24">SUM(S38:AD38)</f>
        <v>0</v>
      </c>
    </row>
    <row r="39" spans="1:31" ht="16.5" customHeight="1">
      <c r="A39" s="629" t="str">
        <f>'CF-ACPL（合并）'!A39</f>
        <v>投资支付的现金</v>
      </c>
      <c r="B39" s="623">
        <f t="shared" si="17"/>
        <v>-400000</v>
      </c>
      <c r="C39" s="626">
        <f t="shared" ca="1" si="18"/>
        <v>-400000</v>
      </c>
      <c r="D39" s="626"/>
      <c r="E39" s="626">
        <f>SUMIFS(cashflow汇总预算2026!$H:$H,cashflow汇总预算2026!$D:$D,E$4,cashflow汇总预算2026!$T:$T,$A39)</f>
        <v>-400000</v>
      </c>
      <c r="F39" s="626">
        <f>SUMIFS(cashflow汇总预算2026!$H:$H,cashflow汇总预算2026!$D:$D,F$4,cashflow汇总预算2026!$T:$T,$A39)</f>
        <v>0</v>
      </c>
      <c r="G39" s="626">
        <f>SUMIFS(cashflow汇总预算2026!$H:$H,cashflow汇总预算2026!$D:$D,G$4,cashflow汇总预算2026!$T:$T,$A39)</f>
        <v>-2020408.1632653063</v>
      </c>
      <c r="H39" s="626">
        <f>SUMIFS(cashflow汇总预算2026!$H:$H,cashflow汇总预算2026!$D:$D,H$4,cashflow汇总预算2026!$T:$T,$A39)</f>
        <v>0</v>
      </c>
      <c r="I39" s="626">
        <f>SUMIFS(cashflow汇总预算2026!$H:$H,cashflow汇总预算2026!$D:$D,I$4,cashflow汇总预算2026!$T:$T,$A39)</f>
        <v>0</v>
      </c>
      <c r="J39" s="626">
        <f>SUMIFS(cashflow汇总预算2026!$H:$H,cashflow汇总预算2026!$D:$D,J$4,cashflow汇总预算2026!$T:$T,$A39)</f>
        <v>0</v>
      </c>
      <c r="K39" s="626">
        <f>SUMIFS(cashflow汇总预算2026!$H:$H,cashflow汇总预算2026!$D:$D,K$4,cashflow汇总预算2026!$T:$T,$A39)</f>
        <v>0</v>
      </c>
      <c r="L39" s="626">
        <f>SUMIFS(cashflow汇总预算2026!$H:$H,cashflow汇总预算2026!$D:$D,L$4,cashflow汇总预算2026!$T:$T,$A39)</f>
        <v>0</v>
      </c>
      <c r="M39" s="626">
        <f>SUMIFS(cashflow汇总预算2026!$H:$H,cashflow汇总预算2026!$D:$D,M$4,cashflow汇总预算2026!$T:$T,$A39)</f>
        <v>0</v>
      </c>
      <c r="N39" s="626">
        <f>SUMIFS(cashflow汇总预算2026!$H:$H,cashflow汇总预算2026!$D:$D,N$4,cashflow汇总预算2026!$T:$T,$A39)</f>
        <v>0</v>
      </c>
      <c r="O39" s="626">
        <f>SUMIFS(cashflow汇总预算2026!$H:$H,cashflow汇总预算2026!$D:$D,O$4,cashflow汇总预算2026!$T:$T,$A39)</f>
        <v>0</v>
      </c>
      <c r="P39" s="626">
        <f>SUMIFS(cashflow汇总预算2026!$H:$H,cashflow汇总预算2026!$D:$D,P$4,cashflow汇总预算2026!$T:$T,$A39)</f>
        <v>-1578354.5764607205</v>
      </c>
      <c r="Q39" s="626">
        <f t="shared" ref="Q39:Q41" si="25">SUM(E39:P39)</f>
        <v>-3998762.739726027</v>
      </c>
      <c r="R39" s="626"/>
      <c r="S39" s="630">
        <v>0</v>
      </c>
      <c r="T39" s="630">
        <v>0</v>
      </c>
      <c r="U39" s="630">
        <v>0</v>
      </c>
      <c r="V39" s="630">
        <v>0</v>
      </c>
      <c r="W39" s="630">
        <v>0</v>
      </c>
      <c r="X39" s="630">
        <v>0</v>
      </c>
      <c r="Y39" s="630">
        <v>0</v>
      </c>
      <c r="Z39" s="630">
        <v>0</v>
      </c>
      <c r="AA39" s="630">
        <v>0</v>
      </c>
      <c r="AB39" s="630">
        <v>0</v>
      </c>
      <c r="AC39" s="630">
        <v>0</v>
      </c>
      <c r="AD39" s="630">
        <v>0</v>
      </c>
      <c r="AE39" s="626">
        <f t="shared" si="24"/>
        <v>0</v>
      </c>
    </row>
    <row r="40" spans="1:31" ht="16.5" customHeight="1">
      <c r="A40" s="629" t="str">
        <f>'CF-ACPL（合并）'!A40</f>
        <v>取得子公司及其他营业单位支付的现金净额</v>
      </c>
      <c r="B40" s="623">
        <f t="shared" si="17"/>
        <v>0</v>
      </c>
      <c r="C40" s="626">
        <f t="shared" ca="1" si="18"/>
        <v>0</v>
      </c>
      <c r="D40" s="626"/>
      <c r="E40" s="626">
        <f>SUMIFS(cashflow汇总预算2026!$H:$H,cashflow汇总预算2026!$D:$D,E$4,cashflow汇总预算2026!$T:$T,$A40)</f>
        <v>0</v>
      </c>
      <c r="F40" s="626">
        <f>SUMIFS(cashflow汇总预算2026!$H:$H,cashflow汇总预算2026!$D:$D,F$4,cashflow汇总预算2026!$T:$T,$A40)</f>
        <v>0</v>
      </c>
      <c r="G40" s="626">
        <f>SUMIFS(cashflow汇总预算2026!$H:$H,cashflow汇总预算2026!$D:$D,G$4,cashflow汇总预算2026!$T:$T,$A40)</f>
        <v>0</v>
      </c>
      <c r="H40" s="626">
        <f>SUMIFS(cashflow汇总预算2026!$H:$H,cashflow汇总预算2026!$D:$D,H$4,cashflow汇总预算2026!$T:$T,$A40)</f>
        <v>0</v>
      </c>
      <c r="I40" s="626">
        <f>SUMIFS(cashflow汇总预算2026!$H:$H,cashflow汇总预算2026!$D:$D,I$4,cashflow汇总预算2026!$T:$T,$A40)</f>
        <v>0</v>
      </c>
      <c r="J40" s="626">
        <f>SUMIFS(cashflow汇总预算2026!$H:$H,cashflow汇总预算2026!$D:$D,J$4,cashflow汇总预算2026!$T:$T,$A40)</f>
        <v>0</v>
      </c>
      <c r="K40" s="626">
        <f>SUMIFS(cashflow汇总预算2026!$H:$H,cashflow汇总预算2026!$D:$D,K$4,cashflow汇总预算2026!$T:$T,$A40)</f>
        <v>0</v>
      </c>
      <c r="L40" s="626">
        <f>SUMIFS(cashflow汇总预算2026!$H:$H,cashflow汇总预算2026!$D:$D,L$4,cashflow汇总预算2026!$T:$T,$A40)</f>
        <v>0</v>
      </c>
      <c r="M40" s="626">
        <f>SUMIFS(cashflow汇总预算2026!$H:$H,cashflow汇总预算2026!$D:$D,M$4,cashflow汇总预算2026!$T:$T,$A40)</f>
        <v>0</v>
      </c>
      <c r="N40" s="626">
        <f>SUMIFS(cashflow汇总预算2026!$H:$H,cashflow汇总预算2026!$D:$D,N$4,cashflow汇总预算2026!$T:$T,$A40)</f>
        <v>0</v>
      </c>
      <c r="O40" s="626">
        <f>SUMIFS(cashflow汇总预算2026!$H:$H,cashflow汇总预算2026!$D:$D,O$4,cashflow汇总预算2026!$T:$T,$A40)</f>
        <v>0</v>
      </c>
      <c r="P40" s="626">
        <f>SUMIFS(cashflow汇总预算2026!$H:$H,cashflow汇总预算2026!$D:$D,P$4,cashflow汇总预算2026!$T:$T,$A40)</f>
        <v>0</v>
      </c>
      <c r="Q40" s="626">
        <f t="shared" si="25"/>
        <v>0</v>
      </c>
      <c r="R40" s="626"/>
      <c r="S40" s="630">
        <v>0</v>
      </c>
      <c r="T40" s="630">
        <v>0</v>
      </c>
      <c r="U40" s="630">
        <v>0</v>
      </c>
      <c r="V40" s="630">
        <v>0</v>
      </c>
      <c r="W40" s="630">
        <v>0</v>
      </c>
      <c r="X40" s="630">
        <v>0</v>
      </c>
      <c r="Y40" s="630">
        <v>0</v>
      </c>
      <c r="Z40" s="630">
        <v>0</v>
      </c>
      <c r="AA40" s="630">
        <v>0</v>
      </c>
      <c r="AB40" s="630">
        <v>0</v>
      </c>
      <c r="AC40" s="630">
        <v>0</v>
      </c>
      <c r="AD40" s="630">
        <v>0</v>
      </c>
      <c r="AE40" s="626">
        <f t="shared" si="24"/>
        <v>0</v>
      </c>
    </row>
    <row r="41" spans="1:31" ht="16.5" customHeight="1">
      <c r="A41" s="629" t="str">
        <f>'CF-ACPL（合并）'!A41</f>
        <v>支付的其他与投资活动有关的现金</v>
      </c>
      <c r="B41" s="623">
        <f t="shared" si="17"/>
        <v>0</v>
      </c>
      <c r="C41" s="626">
        <f t="shared" ca="1" si="18"/>
        <v>0</v>
      </c>
      <c r="D41" s="626"/>
      <c r="E41" s="626">
        <f>SUMIFS(cashflow汇总预算2026!$H:$H,cashflow汇总预算2026!$D:$D,E$4,cashflow汇总预算2026!$T:$T,$A41)</f>
        <v>0</v>
      </c>
      <c r="F41" s="626">
        <f>SUMIFS(cashflow汇总预算2026!$H:$H,cashflow汇总预算2026!$D:$D,F$4,cashflow汇总预算2026!$T:$T,$A41)</f>
        <v>0</v>
      </c>
      <c r="G41" s="626">
        <f>SUMIFS(cashflow汇总预算2026!$H:$H,cashflow汇总预算2026!$D:$D,G$4,cashflow汇总预算2026!$T:$T,$A41)</f>
        <v>0</v>
      </c>
      <c r="H41" s="626">
        <f>SUMIFS(cashflow汇总预算2026!$H:$H,cashflow汇总预算2026!$D:$D,H$4,cashflow汇总预算2026!$T:$T,$A41)</f>
        <v>0</v>
      </c>
      <c r="I41" s="626">
        <f>SUMIFS(cashflow汇总预算2026!$H:$H,cashflow汇总预算2026!$D:$D,I$4,cashflow汇总预算2026!$T:$T,$A41)</f>
        <v>0</v>
      </c>
      <c r="J41" s="626">
        <f>SUMIFS(cashflow汇总预算2026!$H:$H,cashflow汇总预算2026!$D:$D,J$4,cashflow汇总预算2026!$T:$T,$A41)</f>
        <v>0</v>
      </c>
      <c r="K41" s="626">
        <f>SUMIFS(cashflow汇总预算2026!$H:$H,cashflow汇总预算2026!$D:$D,K$4,cashflow汇总预算2026!$T:$T,$A41)</f>
        <v>0</v>
      </c>
      <c r="L41" s="626">
        <f>SUMIFS(cashflow汇总预算2026!$H:$H,cashflow汇总预算2026!$D:$D,L$4,cashflow汇总预算2026!$T:$T,$A41)</f>
        <v>0</v>
      </c>
      <c r="M41" s="626">
        <f>SUMIFS(cashflow汇总预算2026!$H:$H,cashflow汇总预算2026!$D:$D,M$4,cashflow汇总预算2026!$T:$T,$A41)</f>
        <v>0</v>
      </c>
      <c r="N41" s="626">
        <f>SUMIFS(cashflow汇总预算2026!$H:$H,cashflow汇总预算2026!$D:$D,N$4,cashflow汇总预算2026!$T:$T,$A41)</f>
        <v>0</v>
      </c>
      <c r="O41" s="626">
        <f>SUMIFS(cashflow汇总预算2026!$H:$H,cashflow汇总预算2026!$D:$D,O$4,cashflow汇总预算2026!$T:$T,$A41)</f>
        <v>0</v>
      </c>
      <c r="P41" s="626">
        <f>SUMIFS(cashflow汇总预算2026!$H:$H,cashflow汇总预算2026!$D:$D,P$4,cashflow汇总预算2026!$T:$T,$A41)</f>
        <v>0</v>
      </c>
      <c r="Q41" s="626">
        <f t="shared" si="25"/>
        <v>0</v>
      </c>
      <c r="R41" s="626"/>
      <c r="S41" s="630">
        <v>0</v>
      </c>
      <c r="T41" s="630">
        <v>0</v>
      </c>
      <c r="U41" s="630">
        <v>0</v>
      </c>
      <c r="V41" s="630">
        <v>0</v>
      </c>
      <c r="W41" s="630">
        <v>0</v>
      </c>
      <c r="X41" s="630">
        <v>0</v>
      </c>
      <c r="Y41" s="630">
        <v>0</v>
      </c>
      <c r="Z41" s="630">
        <v>0</v>
      </c>
      <c r="AA41" s="630">
        <v>0</v>
      </c>
      <c r="AB41" s="630">
        <v>0</v>
      </c>
      <c r="AC41" s="630">
        <v>0</v>
      </c>
      <c r="AD41" s="630">
        <v>0</v>
      </c>
      <c r="AE41" s="626">
        <f t="shared" si="24"/>
        <v>0</v>
      </c>
    </row>
    <row r="42" spans="1:31" s="601" customFormat="1" ht="16.5" customHeight="1">
      <c r="A42" s="608" t="str">
        <f>'CF-ACPL（合并）'!A42</f>
        <v>投资活动产生的现金流量净额</v>
      </c>
      <c r="B42" s="634">
        <f t="shared" si="17"/>
        <v>-400000</v>
      </c>
      <c r="C42" s="634">
        <f t="shared" ca="1" si="18"/>
        <v>-400000</v>
      </c>
      <c r="D42" s="634"/>
      <c r="E42" s="622">
        <f>E31+E37</f>
        <v>-400000</v>
      </c>
      <c r="F42" s="622">
        <f t="shared" ref="F42:Q42" si="26">F31+F37</f>
        <v>0</v>
      </c>
      <c r="G42" s="622">
        <f t="shared" si="26"/>
        <v>-2020408.1632653063</v>
      </c>
      <c r="H42" s="622">
        <f t="shared" si="26"/>
        <v>0</v>
      </c>
      <c r="I42" s="622">
        <f t="shared" si="26"/>
        <v>0</v>
      </c>
      <c r="J42" s="622">
        <f t="shared" si="26"/>
        <v>0</v>
      </c>
      <c r="K42" s="622">
        <f t="shared" si="26"/>
        <v>0</v>
      </c>
      <c r="L42" s="622">
        <f t="shared" si="26"/>
        <v>0</v>
      </c>
      <c r="M42" s="622">
        <f t="shared" si="26"/>
        <v>0</v>
      </c>
      <c r="N42" s="622">
        <f t="shared" si="26"/>
        <v>0</v>
      </c>
      <c r="O42" s="622">
        <f t="shared" si="26"/>
        <v>0</v>
      </c>
      <c r="P42" s="622">
        <f t="shared" si="26"/>
        <v>-1578354.5764607205</v>
      </c>
      <c r="Q42" s="622">
        <f t="shared" si="26"/>
        <v>-3998762.739726027</v>
      </c>
      <c r="R42" s="623"/>
      <c r="S42" s="622">
        <f t="shared" ref="S42:AE42" si="27">S31-S37</f>
        <v>0</v>
      </c>
      <c r="T42" s="622">
        <f t="shared" si="27"/>
        <v>0</v>
      </c>
      <c r="U42" s="622">
        <f t="shared" si="27"/>
        <v>0</v>
      </c>
      <c r="V42" s="622">
        <f t="shared" si="27"/>
        <v>0</v>
      </c>
      <c r="W42" s="622">
        <f t="shared" si="27"/>
        <v>0</v>
      </c>
      <c r="X42" s="622">
        <f t="shared" si="27"/>
        <v>0</v>
      </c>
      <c r="Y42" s="622">
        <f t="shared" si="27"/>
        <v>0</v>
      </c>
      <c r="Z42" s="622">
        <f t="shared" si="27"/>
        <v>0</v>
      </c>
      <c r="AA42" s="622">
        <f t="shared" si="27"/>
        <v>0</v>
      </c>
      <c r="AB42" s="622">
        <f t="shared" si="27"/>
        <v>0</v>
      </c>
      <c r="AC42" s="622">
        <f t="shared" si="27"/>
        <v>0</v>
      </c>
      <c r="AD42" s="622">
        <f t="shared" si="27"/>
        <v>0</v>
      </c>
      <c r="AE42" s="622">
        <f t="shared" si="27"/>
        <v>0</v>
      </c>
    </row>
    <row r="43" spans="1:31" ht="16.5" customHeight="1">
      <c r="A43" s="629"/>
      <c r="B43" s="633"/>
      <c r="C43" s="633"/>
      <c r="D43" s="633"/>
      <c r="E43" s="626"/>
      <c r="F43" s="626"/>
      <c r="G43" s="626"/>
      <c r="H43" s="626"/>
      <c r="I43" s="626"/>
      <c r="J43" s="626"/>
      <c r="K43" s="626"/>
      <c r="L43" s="626"/>
      <c r="M43" s="626"/>
      <c r="N43" s="626"/>
      <c r="O43" s="626"/>
      <c r="P43" s="626"/>
      <c r="Q43" s="626"/>
      <c r="R43" s="626"/>
      <c r="S43" s="626"/>
      <c r="T43" s="626"/>
      <c r="U43" s="626"/>
      <c r="V43" s="626"/>
      <c r="W43" s="626"/>
      <c r="X43" s="626"/>
      <c r="Y43" s="626"/>
      <c r="Z43" s="626"/>
      <c r="AA43" s="626"/>
      <c r="AB43" s="626"/>
      <c r="AC43" s="626"/>
      <c r="AD43" s="626"/>
      <c r="AE43" s="626"/>
    </row>
    <row r="44" spans="1:31" s="603" customFormat="1" ht="16.5" customHeight="1">
      <c r="A44" s="627" t="str">
        <f>'CF-ACPL（合并）'!A44</f>
        <v>筹资活动现金流入小计</v>
      </c>
      <c r="B44" s="628">
        <f>INDEX($E44:$P44,1,MATCH($B$4,$E$4:$P$4))</f>
        <v>780000</v>
      </c>
      <c r="C44" s="628">
        <f ca="1">SUM($E44:OFFSET($E44,0,MATCH($C$4,$E$4:$P$4)-1))</f>
        <v>780000</v>
      </c>
      <c r="D44" s="628"/>
      <c r="E44" s="628">
        <f t="shared" ref="E44:Q44" si="28">SUM(E45:E47)</f>
        <v>780000</v>
      </c>
      <c r="F44" s="628">
        <f t="shared" si="28"/>
        <v>8000000</v>
      </c>
      <c r="G44" s="628">
        <f t="shared" si="28"/>
        <v>0</v>
      </c>
      <c r="H44" s="628">
        <f t="shared" si="28"/>
        <v>0</v>
      </c>
      <c r="I44" s="628">
        <f t="shared" si="28"/>
        <v>0</v>
      </c>
      <c r="J44" s="628">
        <f t="shared" si="28"/>
        <v>0</v>
      </c>
      <c r="K44" s="628">
        <f t="shared" si="28"/>
        <v>0</v>
      </c>
      <c r="L44" s="628">
        <f t="shared" si="28"/>
        <v>0</v>
      </c>
      <c r="M44" s="628">
        <f t="shared" si="28"/>
        <v>0</v>
      </c>
      <c r="N44" s="628">
        <f t="shared" si="28"/>
        <v>0</v>
      </c>
      <c r="O44" s="628">
        <f t="shared" si="28"/>
        <v>0</v>
      </c>
      <c r="P44" s="628">
        <f t="shared" si="28"/>
        <v>0</v>
      </c>
      <c r="Q44" s="628">
        <f t="shared" si="28"/>
        <v>8780000</v>
      </c>
      <c r="R44" s="623"/>
      <c r="S44" s="628">
        <f t="shared" ref="S44:AE44" si="29">SUM(S45:S47)</f>
        <v>0</v>
      </c>
      <c r="T44" s="628">
        <f t="shared" si="29"/>
        <v>0</v>
      </c>
      <c r="U44" s="628">
        <f t="shared" si="29"/>
        <v>0</v>
      </c>
      <c r="V44" s="628">
        <f t="shared" si="29"/>
        <v>0</v>
      </c>
      <c r="W44" s="628">
        <f t="shared" si="29"/>
        <v>0</v>
      </c>
      <c r="X44" s="628">
        <f t="shared" si="29"/>
        <v>0</v>
      </c>
      <c r="Y44" s="628">
        <f t="shared" si="29"/>
        <v>0</v>
      </c>
      <c r="Z44" s="628">
        <f t="shared" si="29"/>
        <v>0</v>
      </c>
      <c r="AA44" s="628">
        <f t="shared" si="29"/>
        <v>0</v>
      </c>
      <c r="AB44" s="628">
        <f t="shared" si="29"/>
        <v>0</v>
      </c>
      <c r="AC44" s="628">
        <f t="shared" si="29"/>
        <v>0</v>
      </c>
      <c r="AD44" s="628">
        <f t="shared" si="29"/>
        <v>0</v>
      </c>
      <c r="AE44" s="628">
        <f t="shared" si="29"/>
        <v>0</v>
      </c>
    </row>
    <row r="45" spans="1:31" ht="16.5" customHeight="1">
      <c r="A45" s="629" t="str">
        <f>'CF-ACPL（合并）'!A45</f>
        <v>吸收投资所收到的现金</v>
      </c>
      <c r="B45" s="623">
        <f t="shared" ref="B45:B52" si="30">INDEX($E45:$P45,1,MATCH($B$4,$E$4:$P$4))</f>
        <v>0</v>
      </c>
      <c r="C45" s="626">
        <f t="shared" ref="C45:C52" ca="1" si="31">SUM($E45:OFFSET($E45,0,MATCH($C$4,$E$4:$P$4)-1))</f>
        <v>0</v>
      </c>
      <c r="D45" s="626"/>
      <c r="E45" s="626">
        <f>SUMIFS(cashflow汇总预算2026!$H:$H,cashflow汇总预算2026!$D:$D,E$4,cashflow汇总预算2026!$T:$T,$A45)</f>
        <v>0</v>
      </c>
      <c r="F45" s="626">
        <f>SUMIFS(cashflow汇总预算2026!$H:$H,cashflow汇总预算2026!$D:$D,F$4,cashflow汇总预算2026!$T:$T,$A45)</f>
        <v>8000000</v>
      </c>
      <c r="G45" s="626">
        <f>SUMIFS(cashflow汇总预算2026!$H:$H,cashflow汇总预算2026!$D:$D,G$4,cashflow汇总预算2026!$T:$T,$A45)</f>
        <v>0</v>
      </c>
      <c r="H45" s="626">
        <f>SUMIFS(cashflow汇总预算2026!$H:$H,cashflow汇总预算2026!$D:$D,H$4,cashflow汇总预算2026!$T:$T,$A45)</f>
        <v>0</v>
      </c>
      <c r="I45" s="626">
        <f>SUMIFS(cashflow汇总预算2026!$H:$H,cashflow汇总预算2026!$D:$D,I$4,cashflow汇总预算2026!$T:$T,$A45)</f>
        <v>0</v>
      </c>
      <c r="J45" s="626">
        <f>SUMIFS(cashflow汇总预算2026!$H:$H,cashflow汇总预算2026!$D:$D,J$4,cashflow汇总预算2026!$T:$T,$A45)</f>
        <v>0</v>
      </c>
      <c r="K45" s="626">
        <f>SUMIFS(cashflow汇总预算2026!$H:$H,cashflow汇总预算2026!$D:$D,K$4,cashflow汇总预算2026!$T:$T,$A45)</f>
        <v>0</v>
      </c>
      <c r="L45" s="626">
        <f>SUMIFS(cashflow汇总预算2026!$H:$H,cashflow汇总预算2026!$D:$D,L$4,cashflow汇总预算2026!$T:$T,$A45)</f>
        <v>0</v>
      </c>
      <c r="M45" s="626">
        <f>SUMIFS(cashflow汇总预算2026!$H:$H,cashflow汇总预算2026!$D:$D,M$4,cashflow汇总预算2026!$T:$T,$A45)</f>
        <v>0</v>
      </c>
      <c r="N45" s="626">
        <f>SUMIFS(cashflow汇总预算2026!$H:$H,cashflow汇总预算2026!$D:$D,N$4,cashflow汇总预算2026!$T:$T,$A45)</f>
        <v>0</v>
      </c>
      <c r="O45" s="626">
        <f>SUMIFS(cashflow汇总预算2026!$H:$H,cashflow汇总预算2026!$D:$D,O$4,cashflow汇总预算2026!$T:$T,$A45)</f>
        <v>0</v>
      </c>
      <c r="P45" s="626">
        <f>SUMIFS(cashflow汇总预算2026!$H:$H,cashflow汇总预算2026!$D:$D,P$4,cashflow汇总预算2026!$T:$T,$A45)</f>
        <v>0</v>
      </c>
      <c r="Q45" s="626">
        <f t="shared" ref="Q45:Q47" si="32">SUM(E45:P45)</f>
        <v>8000000</v>
      </c>
      <c r="R45" s="626"/>
      <c r="S45" s="630">
        <v>0</v>
      </c>
      <c r="T45" s="630">
        <v>0</v>
      </c>
      <c r="U45" s="630">
        <v>0</v>
      </c>
      <c r="V45" s="630">
        <v>0</v>
      </c>
      <c r="W45" s="630">
        <v>0</v>
      </c>
      <c r="X45" s="630">
        <v>0</v>
      </c>
      <c r="Y45" s="630">
        <v>0</v>
      </c>
      <c r="Z45" s="630">
        <v>0</v>
      </c>
      <c r="AA45" s="630">
        <v>0</v>
      </c>
      <c r="AB45" s="630">
        <v>0</v>
      </c>
      <c r="AC45" s="630">
        <v>0</v>
      </c>
      <c r="AD45" s="630">
        <v>0</v>
      </c>
      <c r="AE45" s="626">
        <f t="shared" ref="AE45:AE47" si="33">SUM(S45:AD45)</f>
        <v>0</v>
      </c>
    </row>
    <row r="46" spans="1:31" ht="16.5" customHeight="1">
      <c r="A46" s="629" t="str">
        <f>'CF-ACPL（合并）'!A46</f>
        <v>取得借款所收到的现金</v>
      </c>
      <c r="B46" s="623">
        <f t="shared" si="30"/>
        <v>0</v>
      </c>
      <c r="C46" s="626">
        <f t="shared" ca="1" si="31"/>
        <v>0</v>
      </c>
      <c r="D46" s="626"/>
      <c r="E46" s="626">
        <f>SUMIFS(cashflow汇总预算2026!$H:$H,cashflow汇总预算2026!$D:$D,E$4,cashflow汇总预算2026!$T:$T,$A46)</f>
        <v>0</v>
      </c>
      <c r="F46" s="626">
        <f>SUMIFS(cashflow汇总预算2026!$H:$H,cashflow汇总预算2026!$D:$D,F$4,cashflow汇总预算2026!$T:$T,$A46)</f>
        <v>0</v>
      </c>
      <c r="G46" s="626">
        <f>SUMIFS(cashflow汇总预算2026!$H:$H,cashflow汇总预算2026!$D:$D,G$4,cashflow汇总预算2026!$T:$T,$A46)</f>
        <v>0</v>
      </c>
      <c r="H46" s="626">
        <f>SUMIFS(cashflow汇总预算2026!$H:$H,cashflow汇总预算2026!$D:$D,H$4,cashflow汇总预算2026!$T:$T,$A46)</f>
        <v>0</v>
      </c>
      <c r="I46" s="626">
        <f>SUMIFS(cashflow汇总预算2026!$H:$H,cashflow汇总预算2026!$D:$D,I$4,cashflow汇总预算2026!$T:$T,$A46)</f>
        <v>0</v>
      </c>
      <c r="J46" s="626">
        <f>SUMIFS(cashflow汇总预算2026!$H:$H,cashflow汇总预算2026!$D:$D,J$4,cashflow汇总预算2026!$T:$T,$A46)</f>
        <v>0</v>
      </c>
      <c r="K46" s="626">
        <f>SUMIFS(cashflow汇总预算2026!$H:$H,cashflow汇总预算2026!$D:$D,K$4,cashflow汇总预算2026!$T:$T,$A46)</f>
        <v>0</v>
      </c>
      <c r="L46" s="626">
        <f>SUMIFS(cashflow汇总预算2026!$H:$H,cashflow汇总预算2026!$D:$D,L$4,cashflow汇总预算2026!$T:$T,$A46)</f>
        <v>0</v>
      </c>
      <c r="M46" s="626">
        <f>SUMIFS(cashflow汇总预算2026!$H:$H,cashflow汇总预算2026!$D:$D,M$4,cashflow汇总预算2026!$T:$T,$A46)</f>
        <v>0</v>
      </c>
      <c r="N46" s="626">
        <f>SUMIFS(cashflow汇总预算2026!$H:$H,cashflow汇总预算2026!$D:$D,N$4,cashflow汇总预算2026!$T:$T,$A46)</f>
        <v>0</v>
      </c>
      <c r="O46" s="626">
        <f>SUMIFS(cashflow汇总预算2026!$H:$H,cashflow汇总预算2026!$D:$D,O$4,cashflow汇总预算2026!$T:$T,$A46)</f>
        <v>0</v>
      </c>
      <c r="P46" s="626">
        <f>SUMIFS(cashflow汇总预算2026!$H:$H,cashflow汇总预算2026!$D:$D,P$4,cashflow汇总预算2026!$T:$T,$A46)</f>
        <v>0</v>
      </c>
      <c r="Q46" s="626">
        <f t="shared" si="32"/>
        <v>0</v>
      </c>
      <c r="R46" s="626"/>
      <c r="S46" s="630">
        <v>0</v>
      </c>
      <c r="T46" s="630">
        <v>0</v>
      </c>
      <c r="U46" s="630">
        <v>0</v>
      </c>
      <c r="V46" s="630">
        <v>0</v>
      </c>
      <c r="W46" s="630">
        <v>0</v>
      </c>
      <c r="X46" s="630">
        <v>0</v>
      </c>
      <c r="Y46" s="630">
        <v>0</v>
      </c>
      <c r="Z46" s="630">
        <v>0</v>
      </c>
      <c r="AA46" s="630">
        <v>0</v>
      </c>
      <c r="AB46" s="630">
        <v>0</v>
      </c>
      <c r="AC46" s="630">
        <v>0</v>
      </c>
      <c r="AD46" s="630">
        <v>0</v>
      </c>
      <c r="AE46" s="626">
        <f t="shared" si="33"/>
        <v>0</v>
      </c>
    </row>
    <row r="47" spans="1:31" ht="16.5" customHeight="1">
      <c r="A47" s="629" t="str">
        <f>'CF-ACPL（合并）'!A47</f>
        <v>收到的其他与筹资活动有关的现金</v>
      </c>
      <c r="B47" s="623">
        <f t="shared" si="30"/>
        <v>780000</v>
      </c>
      <c r="C47" s="626">
        <f t="shared" ca="1" si="31"/>
        <v>780000</v>
      </c>
      <c r="D47" s="626"/>
      <c r="E47" s="626">
        <f>SUMIFS(cashflow汇总预算2026!$H:$H,cashflow汇总预算2026!$D:$D,E$4,cashflow汇总预算2026!$T:$T,$A47)</f>
        <v>780000</v>
      </c>
      <c r="F47" s="626">
        <f>SUMIFS(cashflow汇总预算2026!$H:$H,cashflow汇总预算2026!$D:$D,F$4,cashflow汇总预算2026!$T:$T,$A47)</f>
        <v>0</v>
      </c>
      <c r="G47" s="626">
        <f>SUMIFS(cashflow汇总预算2026!$H:$H,cashflow汇总预算2026!$D:$D,G$4,cashflow汇总预算2026!$T:$T,$A47)</f>
        <v>0</v>
      </c>
      <c r="H47" s="626">
        <f>SUMIFS(cashflow汇总预算2026!$H:$H,cashflow汇总预算2026!$D:$D,H$4,cashflow汇总预算2026!$T:$T,$A47)</f>
        <v>0</v>
      </c>
      <c r="I47" s="626">
        <f>SUMIFS(cashflow汇总预算2026!$H:$H,cashflow汇总预算2026!$D:$D,I$4,cashflow汇总预算2026!$T:$T,$A47)</f>
        <v>0</v>
      </c>
      <c r="J47" s="626">
        <f>SUMIFS(cashflow汇总预算2026!$H:$H,cashflow汇总预算2026!$D:$D,J$4,cashflow汇总预算2026!$T:$T,$A47)</f>
        <v>0</v>
      </c>
      <c r="K47" s="626">
        <f>SUMIFS(cashflow汇总预算2026!$H:$H,cashflow汇总预算2026!$D:$D,K$4,cashflow汇总预算2026!$T:$T,$A47)</f>
        <v>0</v>
      </c>
      <c r="L47" s="626">
        <f>SUMIFS(cashflow汇总预算2026!$H:$H,cashflow汇总预算2026!$D:$D,L$4,cashflow汇总预算2026!$T:$T,$A47)</f>
        <v>0</v>
      </c>
      <c r="M47" s="626">
        <f>SUMIFS(cashflow汇总预算2026!$H:$H,cashflow汇总预算2026!$D:$D,M$4,cashflow汇总预算2026!$T:$T,$A47)</f>
        <v>0</v>
      </c>
      <c r="N47" s="626">
        <f>SUMIFS(cashflow汇总预算2026!$H:$H,cashflow汇总预算2026!$D:$D,N$4,cashflow汇总预算2026!$T:$T,$A47)</f>
        <v>0</v>
      </c>
      <c r="O47" s="626">
        <f>SUMIFS(cashflow汇总预算2026!$H:$H,cashflow汇总预算2026!$D:$D,O$4,cashflow汇总预算2026!$T:$T,$A47)</f>
        <v>0</v>
      </c>
      <c r="P47" s="626">
        <f>SUMIFS(cashflow汇总预算2026!$H:$H,cashflow汇总预算2026!$D:$D,P$4,cashflow汇总预算2026!$T:$T,$A47)</f>
        <v>0</v>
      </c>
      <c r="Q47" s="626">
        <f t="shared" si="32"/>
        <v>780000</v>
      </c>
      <c r="R47" s="626"/>
      <c r="S47" s="630">
        <v>0</v>
      </c>
      <c r="T47" s="630">
        <v>0</v>
      </c>
      <c r="U47" s="630">
        <v>0</v>
      </c>
      <c r="V47" s="630">
        <v>0</v>
      </c>
      <c r="W47" s="630">
        <v>0</v>
      </c>
      <c r="X47" s="630">
        <v>0</v>
      </c>
      <c r="Y47" s="630">
        <v>0</v>
      </c>
      <c r="Z47" s="630">
        <v>0</v>
      </c>
      <c r="AA47" s="630">
        <v>0</v>
      </c>
      <c r="AB47" s="630">
        <v>0</v>
      </c>
      <c r="AC47" s="630">
        <v>0</v>
      </c>
      <c r="AD47" s="630">
        <v>0</v>
      </c>
      <c r="AE47" s="626">
        <f t="shared" si="33"/>
        <v>0</v>
      </c>
    </row>
    <row r="48" spans="1:31" s="605" customFormat="1" ht="16.5" customHeight="1">
      <c r="A48" s="635" t="str">
        <f>'CF-ACPL（合并）'!A48</f>
        <v>筹资活动现金流出小计</v>
      </c>
      <c r="B48" s="636">
        <f t="shared" si="30"/>
        <v>0</v>
      </c>
      <c r="C48" s="636">
        <f t="shared" ca="1" si="31"/>
        <v>0</v>
      </c>
      <c r="D48" s="636"/>
      <c r="E48" s="636">
        <f t="shared" ref="E48:Q48" si="34">SUM(E49:E51)</f>
        <v>0</v>
      </c>
      <c r="F48" s="636">
        <f t="shared" si="34"/>
        <v>0</v>
      </c>
      <c r="G48" s="636">
        <f t="shared" si="34"/>
        <v>0</v>
      </c>
      <c r="H48" s="636">
        <f t="shared" si="34"/>
        <v>0</v>
      </c>
      <c r="I48" s="636">
        <f t="shared" si="34"/>
        <v>0</v>
      </c>
      <c r="J48" s="636">
        <f t="shared" si="34"/>
        <v>0</v>
      </c>
      <c r="K48" s="636">
        <f t="shared" si="34"/>
        <v>0</v>
      </c>
      <c r="L48" s="636">
        <f t="shared" si="34"/>
        <v>0</v>
      </c>
      <c r="M48" s="636">
        <f t="shared" si="34"/>
        <v>0</v>
      </c>
      <c r="N48" s="636">
        <f t="shared" si="34"/>
        <v>0</v>
      </c>
      <c r="O48" s="636">
        <f t="shared" si="34"/>
        <v>0</v>
      </c>
      <c r="P48" s="636">
        <f t="shared" si="34"/>
        <v>-1500000</v>
      </c>
      <c r="Q48" s="636">
        <f t="shared" si="34"/>
        <v>-1500000</v>
      </c>
      <c r="R48" s="623"/>
      <c r="S48" s="636">
        <f t="shared" ref="S48:AE48" si="35">SUM(S49:S51)</f>
        <v>0</v>
      </c>
      <c r="T48" s="636">
        <f t="shared" si="35"/>
        <v>0</v>
      </c>
      <c r="U48" s="636">
        <f t="shared" si="35"/>
        <v>0</v>
      </c>
      <c r="V48" s="636">
        <f t="shared" si="35"/>
        <v>0</v>
      </c>
      <c r="W48" s="636">
        <f t="shared" si="35"/>
        <v>0</v>
      </c>
      <c r="X48" s="636">
        <f t="shared" si="35"/>
        <v>0</v>
      </c>
      <c r="Y48" s="636">
        <f t="shared" si="35"/>
        <v>0</v>
      </c>
      <c r="Z48" s="636">
        <f t="shared" si="35"/>
        <v>0</v>
      </c>
      <c r="AA48" s="636">
        <f t="shared" si="35"/>
        <v>0</v>
      </c>
      <c r="AB48" s="636">
        <f t="shared" si="35"/>
        <v>0</v>
      </c>
      <c r="AC48" s="636">
        <f t="shared" si="35"/>
        <v>0</v>
      </c>
      <c r="AD48" s="636">
        <f t="shared" si="35"/>
        <v>0</v>
      </c>
      <c r="AE48" s="636">
        <f t="shared" si="35"/>
        <v>0</v>
      </c>
    </row>
    <row r="49" spans="1:33" ht="16.5" customHeight="1">
      <c r="A49" s="629" t="str">
        <f>'CF-ACPL（合并）'!A49</f>
        <v>偿还债务所支付的现金</v>
      </c>
      <c r="B49" s="623">
        <f t="shared" si="30"/>
        <v>0</v>
      </c>
      <c r="C49" s="626">
        <f t="shared" ca="1" si="31"/>
        <v>0</v>
      </c>
      <c r="D49" s="626"/>
      <c r="E49" s="626">
        <f>SUMIFS(cashflow汇总预算2026!$H:$H,cashflow汇总预算2026!$D:$D,E$4,cashflow汇总预算2026!$T:$T,$A49)</f>
        <v>0</v>
      </c>
      <c r="F49" s="626">
        <f>SUMIFS(cashflow汇总预算2026!$H:$H,cashflow汇总预算2026!$D:$D,F$4,cashflow汇总预算2026!$T:$T,$A49)</f>
        <v>0</v>
      </c>
      <c r="G49" s="626">
        <f>SUMIFS(cashflow汇总预算2026!$H:$H,cashflow汇总预算2026!$D:$D,G$4,cashflow汇总预算2026!$T:$T,$A49)</f>
        <v>0</v>
      </c>
      <c r="H49" s="626">
        <f>SUMIFS(cashflow汇总预算2026!$H:$H,cashflow汇总预算2026!$D:$D,H$4,cashflow汇总预算2026!$T:$T,$A49)</f>
        <v>0</v>
      </c>
      <c r="I49" s="626">
        <f>SUMIFS(cashflow汇总预算2026!$H:$H,cashflow汇总预算2026!$D:$D,I$4,cashflow汇总预算2026!$T:$T,$A49)</f>
        <v>0</v>
      </c>
      <c r="J49" s="626">
        <f>SUMIFS(cashflow汇总预算2026!$H:$H,cashflow汇总预算2026!$D:$D,J$4,cashflow汇总预算2026!$T:$T,$A49)</f>
        <v>0</v>
      </c>
      <c r="K49" s="626">
        <f>SUMIFS(cashflow汇总预算2026!$H:$H,cashflow汇总预算2026!$D:$D,K$4,cashflow汇总预算2026!$T:$T,$A49)</f>
        <v>0</v>
      </c>
      <c r="L49" s="626">
        <f>SUMIFS(cashflow汇总预算2026!$H:$H,cashflow汇总预算2026!$D:$D,L$4,cashflow汇总预算2026!$T:$T,$A49)</f>
        <v>0</v>
      </c>
      <c r="M49" s="626">
        <f>SUMIFS(cashflow汇总预算2026!$H:$H,cashflow汇总预算2026!$D:$D,M$4,cashflow汇总预算2026!$T:$T,$A49)</f>
        <v>0</v>
      </c>
      <c r="N49" s="626">
        <f>SUMIFS(cashflow汇总预算2026!$H:$H,cashflow汇总预算2026!$D:$D,N$4,cashflow汇总预算2026!$T:$T,$A49)</f>
        <v>0</v>
      </c>
      <c r="O49" s="626">
        <f>SUMIFS(cashflow汇总预算2026!$H:$H,cashflow汇总预算2026!$D:$D,O$4,cashflow汇总预算2026!$T:$T,$A49)</f>
        <v>0</v>
      </c>
      <c r="P49" s="626">
        <f>SUMIFS(cashflow汇总预算2026!$H:$H,cashflow汇总预算2026!$D:$D,P$4,cashflow汇总预算2026!$T:$T,$A49)</f>
        <v>0</v>
      </c>
      <c r="Q49" s="626">
        <f t="shared" ref="Q49:Q51" si="36">SUM(E49:P49)</f>
        <v>0</v>
      </c>
      <c r="R49" s="626"/>
      <c r="S49" s="626"/>
      <c r="T49" s="626"/>
      <c r="U49" s="626"/>
      <c r="V49" s="626"/>
      <c r="W49" s="626"/>
      <c r="X49" s="626"/>
      <c r="Y49" s="626"/>
      <c r="Z49" s="626"/>
      <c r="AA49" s="626"/>
      <c r="AB49" s="626"/>
      <c r="AC49" s="626"/>
      <c r="AD49" s="626"/>
      <c r="AE49" s="626">
        <f t="shared" ref="AE49:AE51" si="37">SUM(S49:AD49)</f>
        <v>0</v>
      </c>
    </row>
    <row r="50" spans="1:33" ht="15" customHeight="1">
      <c r="A50" s="629" t="str">
        <f>'CF-ACPL（合并）'!A50</f>
        <v>分配股利、利润或偿付利息支付的现金</v>
      </c>
      <c r="B50" s="623">
        <f t="shared" si="30"/>
        <v>0</v>
      </c>
      <c r="C50" s="626">
        <f t="shared" ca="1" si="31"/>
        <v>0</v>
      </c>
      <c r="D50" s="626"/>
      <c r="E50" s="626">
        <f>SUMIFS(cashflow汇总预算2026!$H:$H,cashflow汇总预算2026!$D:$D,E$4,cashflow汇总预算2026!$T:$T,$A50)</f>
        <v>0</v>
      </c>
      <c r="F50" s="626">
        <f>SUMIFS(cashflow汇总预算2026!$H:$H,cashflow汇总预算2026!$D:$D,F$4,cashflow汇总预算2026!$T:$T,$A50)</f>
        <v>0</v>
      </c>
      <c r="G50" s="626">
        <f>SUMIFS(cashflow汇总预算2026!$H:$H,cashflow汇总预算2026!$D:$D,G$4,cashflow汇总预算2026!$T:$T,$A50)</f>
        <v>0</v>
      </c>
      <c r="H50" s="626">
        <f>SUMIFS(cashflow汇总预算2026!$H:$H,cashflow汇总预算2026!$D:$D,H$4,cashflow汇总预算2026!$T:$T,$A50)</f>
        <v>0</v>
      </c>
      <c r="I50" s="626">
        <f>SUMIFS(cashflow汇总预算2026!$H:$H,cashflow汇总预算2026!$D:$D,I$4,cashflow汇总预算2026!$T:$T,$A50)</f>
        <v>0</v>
      </c>
      <c r="J50" s="626">
        <f>SUMIFS(cashflow汇总预算2026!$H:$H,cashflow汇总预算2026!$D:$D,J$4,cashflow汇总预算2026!$T:$T,$A50)</f>
        <v>0</v>
      </c>
      <c r="K50" s="626">
        <f>SUMIFS(cashflow汇总预算2026!$H:$H,cashflow汇总预算2026!$D:$D,K$4,cashflow汇总预算2026!$T:$T,$A50)</f>
        <v>0</v>
      </c>
      <c r="L50" s="626">
        <f>SUMIFS(cashflow汇总预算2026!$H:$H,cashflow汇总预算2026!$D:$D,L$4,cashflow汇总预算2026!$T:$T,$A50)</f>
        <v>0</v>
      </c>
      <c r="M50" s="626">
        <f>SUMIFS(cashflow汇总预算2026!$H:$H,cashflow汇总预算2026!$D:$D,M$4,cashflow汇总预算2026!$T:$T,$A50)</f>
        <v>0</v>
      </c>
      <c r="N50" s="626">
        <f>SUMIFS(cashflow汇总预算2026!$H:$H,cashflow汇总预算2026!$D:$D,N$4,cashflow汇总预算2026!$T:$T,$A50)</f>
        <v>0</v>
      </c>
      <c r="O50" s="626">
        <f>SUMIFS(cashflow汇总预算2026!$H:$H,cashflow汇总预算2026!$D:$D,O$4,cashflow汇总预算2026!$T:$T,$A50)</f>
        <v>0</v>
      </c>
      <c r="P50" s="626">
        <f>SUMIFS(cashflow汇总预算2026!$H:$H,cashflow汇总预算2026!$D:$D,P$4,cashflow汇总预算2026!$T:$T,$A50)</f>
        <v>0</v>
      </c>
      <c r="Q50" s="626">
        <f t="shared" si="36"/>
        <v>0</v>
      </c>
      <c r="R50" s="626"/>
      <c r="S50" s="626"/>
      <c r="T50" s="626"/>
      <c r="U50" s="626"/>
      <c r="V50" s="626"/>
      <c r="W50" s="626"/>
      <c r="X50" s="626"/>
      <c r="Y50" s="626"/>
      <c r="Z50" s="626"/>
      <c r="AA50" s="626"/>
      <c r="AB50" s="626"/>
      <c r="AC50" s="626"/>
      <c r="AD50" s="626"/>
      <c r="AE50" s="626">
        <f t="shared" si="37"/>
        <v>0</v>
      </c>
    </row>
    <row r="51" spans="1:33" ht="16.5" customHeight="1">
      <c r="A51" s="629" t="str">
        <f>'CF-ACPL（合并）'!A51</f>
        <v>支付的其他与筹资活动有关的现金</v>
      </c>
      <c r="B51" s="623">
        <f t="shared" si="30"/>
        <v>0</v>
      </c>
      <c r="C51" s="626">
        <f t="shared" ca="1" si="31"/>
        <v>0</v>
      </c>
      <c r="D51" s="626"/>
      <c r="E51" s="626">
        <f>SUMIFS(cashflow汇总预算2026!$H:$H,cashflow汇总预算2026!$D:$D,E$4,cashflow汇总预算2026!$T:$T,$A51)</f>
        <v>0</v>
      </c>
      <c r="F51" s="626">
        <f>SUMIFS(cashflow汇总预算2026!$H:$H,cashflow汇总预算2026!$D:$D,F$4,cashflow汇总预算2026!$T:$T,$A51)</f>
        <v>0</v>
      </c>
      <c r="G51" s="626">
        <f>SUMIFS(cashflow汇总预算2026!$H:$H,cashflow汇总预算2026!$D:$D,G$4,cashflow汇总预算2026!$T:$T,$A51)</f>
        <v>0</v>
      </c>
      <c r="H51" s="626">
        <f>SUMIFS(cashflow汇总预算2026!$H:$H,cashflow汇总预算2026!$D:$D,H$4,cashflow汇总预算2026!$T:$T,$A51)</f>
        <v>0</v>
      </c>
      <c r="I51" s="626">
        <f>SUMIFS(cashflow汇总预算2026!$H:$H,cashflow汇总预算2026!$D:$D,I$4,cashflow汇总预算2026!$T:$T,$A51)</f>
        <v>0</v>
      </c>
      <c r="J51" s="626">
        <f>SUMIFS(cashflow汇总预算2026!$H:$H,cashflow汇总预算2026!$D:$D,J$4,cashflow汇总预算2026!$T:$T,$A51)</f>
        <v>0</v>
      </c>
      <c r="K51" s="626">
        <f>SUMIFS(cashflow汇总预算2026!$H:$H,cashflow汇总预算2026!$D:$D,K$4,cashflow汇总预算2026!$T:$T,$A51)</f>
        <v>0</v>
      </c>
      <c r="L51" s="626">
        <f>SUMIFS(cashflow汇总预算2026!$H:$H,cashflow汇总预算2026!$D:$D,L$4,cashflow汇总预算2026!$T:$T,$A51)</f>
        <v>0</v>
      </c>
      <c r="M51" s="626">
        <f>SUMIFS(cashflow汇总预算2026!$H:$H,cashflow汇总预算2026!$D:$D,M$4,cashflow汇总预算2026!$T:$T,$A51)</f>
        <v>0</v>
      </c>
      <c r="N51" s="626">
        <f>SUMIFS(cashflow汇总预算2026!$H:$H,cashflow汇总预算2026!$D:$D,N$4,cashflow汇总预算2026!$T:$T,$A51)</f>
        <v>0</v>
      </c>
      <c r="O51" s="626">
        <f>SUMIFS(cashflow汇总预算2026!$H:$H,cashflow汇总预算2026!$D:$D,O$4,cashflow汇总预算2026!$T:$T,$A51)</f>
        <v>0</v>
      </c>
      <c r="P51" s="626">
        <f>SUMIFS(cashflow汇总预算2026!$H:$H,cashflow汇总预算2026!$D:$D,P$4,cashflow汇总预算2026!$T:$T,$A51)</f>
        <v>-1500000</v>
      </c>
      <c r="Q51" s="626">
        <f t="shared" si="36"/>
        <v>-1500000</v>
      </c>
      <c r="R51" s="626"/>
      <c r="S51" s="626"/>
      <c r="T51" s="626"/>
      <c r="U51" s="626"/>
      <c r="V51" s="626"/>
      <c r="W51" s="626"/>
      <c r="X51" s="626"/>
      <c r="Y51" s="626"/>
      <c r="Z51" s="626"/>
      <c r="AA51" s="626"/>
      <c r="AB51" s="626"/>
      <c r="AC51" s="626"/>
      <c r="AD51" s="626"/>
      <c r="AE51" s="626">
        <f t="shared" si="37"/>
        <v>0</v>
      </c>
    </row>
    <row r="52" spans="1:33" s="606" customFormat="1" ht="16.5" customHeight="1">
      <c r="A52" s="606" t="str">
        <f>'CF-ACPL（合并）'!A52</f>
        <v>筹资活动产生的现金流量净额</v>
      </c>
      <c r="B52" s="634">
        <f t="shared" si="30"/>
        <v>780000</v>
      </c>
      <c r="C52" s="634">
        <f t="shared" ca="1" si="31"/>
        <v>780000</v>
      </c>
      <c r="D52" s="634"/>
      <c r="E52" s="634">
        <f>E44+E48</f>
        <v>780000</v>
      </c>
      <c r="F52" s="634">
        <f t="shared" ref="F52:Q52" si="38">F44+F48</f>
        <v>8000000</v>
      </c>
      <c r="G52" s="634">
        <f t="shared" si="38"/>
        <v>0</v>
      </c>
      <c r="H52" s="634">
        <f t="shared" si="38"/>
        <v>0</v>
      </c>
      <c r="I52" s="634">
        <f t="shared" si="38"/>
        <v>0</v>
      </c>
      <c r="J52" s="634">
        <f t="shared" si="38"/>
        <v>0</v>
      </c>
      <c r="K52" s="634">
        <f t="shared" si="38"/>
        <v>0</v>
      </c>
      <c r="L52" s="634">
        <f t="shared" si="38"/>
        <v>0</v>
      </c>
      <c r="M52" s="634">
        <f t="shared" si="38"/>
        <v>0</v>
      </c>
      <c r="N52" s="634">
        <f t="shared" si="38"/>
        <v>0</v>
      </c>
      <c r="O52" s="634">
        <f t="shared" si="38"/>
        <v>0</v>
      </c>
      <c r="P52" s="634">
        <f t="shared" si="38"/>
        <v>-1500000</v>
      </c>
      <c r="Q52" s="634">
        <f t="shared" si="38"/>
        <v>7280000</v>
      </c>
      <c r="R52" s="637"/>
      <c r="S52" s="634">
        <f t="shared" ref="S52:AE52" si="39">S44-S48</f>
        <v>0</v>
      </c>
      <c r="T52" s="634">
        <f t="shared" si="39"/>
        <v>0</v>
      </c>
      <c r="U52" s="634">
        <f t="shared" si="39"/>
        <v>0</v>
      </c>
      <c r="V52" s="634">
        <f t="shared" si="39"/>
        <v>0</v>
      </c>
      <c r="W52" s="634">
        <f t="shared" si="39"/>
        <v>0</v>
      </c>
      <c r="X52" s="634">
        <f t="shared" si="39"/>
        <v>0</v>
      </c>
      <c r="Y52" s="634">
        <f t="shared" si="39"/>
        <v>0</v>
      </c>
      <c r="Z52" s="634">
        <f t="shared" si="39"/>
        <v>0</v>
      </c>
      <c r="AA52" s="634">
        <f t="shared" si="39"/>
        <v>0</v>
      </c>
      <c r="AB52" s="634">
        <f t="shared" si="39"/>
        <v>0</v>
      </c>
      <c r="AC52" s="634">
        <f t="shared" si="39"/>
        <v>0</v>
      </c>
      <c r="AD52" s="634">
        <f t="shared" si="39"/>
        <v>0</v>
      </c>
      <c r="AE52" s="634">
        <f t="shared" si="39"/>
        <v>0</v>
      </c>
      <c r="AF52" s="638"/>
      <c r="AG52" s="639"/>
    </row>
    <row r="53" spans="1:33" ht="16.5" customHeight="1">
      <c r="B53" s="625"/>
      <c r="C53" s="625"/>
      <c r="D53" s="625"/>
      <c r="E53" s="626"/>
      <c r="F53" s="626"/>
      <c r="G53" s="626"/>
      <c r="H53" s="626"/>
      <c r="I53" s="626"/>
      <c r="J53" s="626"/>
      <c r="K53" s="626"/>
      <c r="L53" s="626"/>
      <c r="M53" s="626"/>
      <c r="N53" s="626"/>
      <c r="O53" s="626"/>
      <c r="P53" s="626"/>
      <c r="Q53" s="626"/>
      <c r="R53" s="626"/>
      <c r="S53" s="626"/>
      <c r="T53" s="626"/>
      <c r="U53" s="626"/>
      <c r="V53" s="626"/>
      <c r="W53" s="626"/>
      <c r="X53" s="626"/>
      <c r="Y53" s="626"/>
      <c r="Z53" s="626"/>
      <c r="AA53" s="626"/>
      <c r="AB53" s="626"/>
      <c r="AC53" s="626"/>
      <c r="AD53" s="626"/>
      <c r="AE53" s="626"/>
    </row>
    <row r="54" spans="1:33" s="607" customFormat="1" ht="16.5" customHeight="1">
      <c r="A54" s="607" t="str">
        <f>'CF-ACPL（合并）'!A54</f>
        <v>汇率变动对现金的影响额</v>
      </c>
      <c r="B54" s="634">
        <f t="shared" ref="B54:B58" si="40">INDEX($E54:$P54,1,MATCH($B$4,$E$4:$P$4))</f>
        <v>0</v>
      </c>
      <c r="C54" s="634">
        <f t="shared" ref="C54:C58" ca="1" si="41">SUM($E54:OFFSET($E54,0,MATCH($C$4,$E$4:$P$4)-1))</f>
        <v>0</v>
      </c>
      <c r="D54" s="634"/>
      <c r="E54" s="640"/>
      <c r="F54" s="640"/>
      <c r="G54" s="640"/>
      <c r="H54" s="640"/>
      <c r="I54" s="640"/>
      <c r="J54" s="640"/>
      <c r="K54" s="640"/>
      <c r="L54" s="640"/>
      <c r="M54" s="640"/>
      <c r="N54" s="640"/>
      <c r="O54" s="640"/>
      <c r="P54" s="640"/>
      <c r="Q54" s="640"/>
      <c r="R54" s="626"/>
      <c r="S54" s="640"/>
      <c r="T54" s="640"/>
      <c r="U54" s="640"/>
      <c r="V54" s="640"/>
      <c r="W54" s="640"/>
      <c r="X54" s="640"/>
      <c r="Y54" s="640"/>
      <c r="Z54" s="640"/>
      <c r="AA54" s="640"/>
      <c r="AB54" s="640"/>
      <c r="AC54" s="640"/>
      <c r="AD54" s="640"/>
      <c r="AE54" s="640"/>
    </row>
    <row r="55" spans="1:33" ht="16.5" customHeight="1">
      <c r="B55" s="625"/>
      <c r="C55" s="625"/>
      <c r="D55" s="625"/>
      <c r="E55" s="626"/>
      <c r="F55" s="626"/>
      <c r="G55" s="626"/>
      <c r="H55" s="626"/>
      <c r="I55" s="626"/>
      <c r="J55" s="626"/>
      <c r="K55" s="626"/>
      <c r="L55" s="626"/>
      <c r="M55" s="626"/>
      <c r="N55" s="626"/>
      <c r="O55" s="626"/>
      <c r="P55" s="626"/>
      <c r="Q55" s="626"/>
      <c r="R55" s="626"/>
      <c r="S55" s="626"/>
      <c r="T55" s="626"/>
      <c r="U55" s="626"/>
      <c r="V55" s="626"/>
      <c r="W55" s="626"/>
      <c r="X55" s="626"/>
      <c r="Y55" s="626"/>
      <c r="Z55" s="626"/>
      <c r="AA55" s="626"/>
      <c r="AB55" s="626"/>
      <c r="AC55" s="626"/>
      <c r="AD55" s="626"/>
      <c r="AE55" s="626"/>
    </row>
    <row r="56" spans="1:33" s="608" customFormat="1" ht="16.5" customHeight="1">
      <c r="A56" s="608" t="str">
        <f>'CF-ACPL（合并）'!A56</f>
        <v>现金及现金等价物净增加额</v>
      </c>
      <c r="B56" s="634">
        <f t="shared" ca="1" si="40"/>
        <v>-27112.276666666614</v>
      </c>
      <c r="C56" s="634">
        <f t="shared" ca="1" si="41"/>
        <v>-27112.276666666614</v>
      </c>
      <c r="D56" s="634"/>
      <c r="E56" s="622">
        <f t="shared" ref="E56:Q56" ca="1" si="42">SUM(E29,E42,E52,E54)</f>
        <v>-27112.276666666614</v>
      </c>
      <c r="F56" s="622">
        <f t="shared" ca="1" si="42"/>
        <v>7683017.7233333336</v>
      </c>
      <c r="G56" s="622">
        <f t="shared" ca="1" si="42"/>
        <v>-2317790.4399319729</v>
      </c>
      <c r="H56" s="622">
        <f t="shared" ca="1" si="42"/>
        <v>-679787.23666666658</v>
      </c>
      <c r="I56" s="622">
        <f t="shared" ca="1" si="42"/>
        <v>-358787.23666666669</v>
      </c>
      <c r="J56" s="622">
        <f t="shared" ca="1" si="42"/>
        <v>-453307.23666666669</v>
      </c>
      <c r="K56" s="622">
        <f t="shared" ca="1" si="42"/>
        <v>-370009.50333333341</v>
      </c>
      <c r="L56" s="622">
        <f t="shared" ca="1" si="42"/>
        <v>-370009.50333333341</v>
      </c>
      <c r="M56" s="622">
        <f t="shared" ca="1" si="42"/>
        <v>-370009.50333333341</v>
      </c>
      <c r="N56" s="622">
        <f t="shared" ca="1" si="42"/>
        <v>-380009.50333333341</v>
      </c>
      <c r="O56" s="622">
        <f t="shared" ca="1" si="42"/>
        <v>-370009.50333333341</v>
      </c>
      <c r="P56" s="622">
        <f t="shared" ca="1" si="42"/>
        <v>-3448364.0797940539</v>
      </c>
      <c r="Q56" s="622">
        <f t="shared" ca="1" si="42"/>
        <v>-1462178.299726028</v>
      </c>
      <c r="R56" s="623"/>
      <c r="S56" s="622">
        <f t="shared" ref="S56:AE56" si="43">SUM(S29,S42,S52,S54)</f>
        <v>0</v>
      </c>
      <c r="T56" s="622">
        <f t="shared" si="43"/>
        <v>0</v>
      </c>
      <c r="U56" s="622">
        <f t="shared" si="43"/>
        <v>0</v>
      </c>
      <c r="V56" s="622">
        <f t="shared" si="43"/>
        <v>0</v>
      </c>
      <c r="W56" s="622">
        <f t="shared" si="43"/>
        <v>0</v>
      </c>
      <c r="X56" s="622">
        <f t="shared" si="43"/>
        <v>0</v>
      </c>
      <c r="Y56" s="622">
        <f t="shared" si="43"/>
        <v>0</v>
      </c>
      <c r="Z56" s="622">
        <f t="shared" si="43"/>
        <v>0</v>
      </c>
      <c r="AA56" s="622">
        <f t="shared" si="43"/>
        <v>0</v>
      </c>
      <c r="AB56" s="622">
        <f t="shared" si="43"/>
        <v>0</v>
      </c>
      <c r="AC56" s="622">
        <f t="shared" si="43"/>
        <v>0</v>
      </c>
      <c r="AD56" s="622">
        <f t="shared" si="43"/>
        <v>0</v>
      </c>
      <c r="AE56" s="622">
        <f t="shared" si="43"/>
        <v>0</v>
      </c>
    </row>
    <row r="57" spans="1:33" ht="16.5" customHeight="1">
      <c r="B57" s="625"/>
      <c r="C57" s="625"/>
      <c r="D57" s="625"/>
      <c r="E57" s="626"/>
      <c r="F57" s="626"/>
      <c r="G57" s="626"/>
      <c r="H57" s="626"/>
      <c r="I57" s="626"/>
      <c r="J57" s="626"/>
      <c r="K57" s="626"/>
      <c r="L57" s="626"/>
      <c r="M57" s="626"/>
      <c r="N57" s="626"/>
      <c r="O57" s="626"/>
      <c r="P57" s="626"/>
      <c r="Q57" s="626"/>
      <c r="R57" s="626"/>
      <c r="S57" s="626"/>
      <c r="T57" s="626"/>
      <c r="U57" s="626"/>
      <c r="V57" s="626"/>
      <c r="W57" s="626"/>
      <c r="X57" s="626"/>
      <c r="Y57" s="626"/>
      <c r="Z57" s="626"/>
      <c r="AA57" s="626"/>
      <c r="AB57" s="626"/>
      <c r="AC57" s="626"/>
      <c r="AD57" s="626"/>
      <c r="AE57" s="626"/>
    </row>
    <row r="58" spans="1:33" s="608" customFormat="1" ht="16.5" customHeight="1">
      <c r="A58" s="608" t="str">
        <f>'CF-ACPL（合并）'!A58</f>
        <v>期末现金及现金等价物余额</v>
      </c>
      <c r="B58" s="634">
        <f t="shared" ca="1" si="40"/>
        <v>2382727.0033333329</v>
      </c>
      <c r="C58" s="634">
        <f t="shared" ca="1" si="41"/>
        <v>2382727.0033333329</v>
      </c>
      <c r="D58" s="634"/>
      <c r="E58" s="622">
        <f t="shared" ref="E58:Q58" ca="1" si="44">E10+E56</f>
        <v>2382727.0033333329</v>
      </c>
      <c r="F58" s="622">
        <f t="shared" ca="1" si="44"/>
        <v>10065744.726666667</v>
      </c>
      <c r="G58" s="622">
        <f t="shared" ca="1" si="44"/>
        <v>7747954.2867346937</v>
      </c>
      <c r="H58" s="622">
        <f t="shared" ca="1" si="44"/>
        <v>7068167.0500680273</v>
      </c>
      <c r="I58" s="622">
        <f t="shared" ca="1" si="44"/>
        <v>6709379.813401361</v>
      </c>
      <c r="J58" s="622">
        <f t="shared" ca="1" si="44"/>
        <v>6256072.5767346947</v>
      </c>
      <c r="K58" s="622">
        <f t="shared" ca="1" si="44"/>
        <v>5886063.0734013617</v>
      </c>
      <c r="L58" s="622">
        <f t="shared" ca="1" si="44"/>
        <v>5516053.5700680278</v>
      </c>
      <c r="M58" s="622">
        <f t="shared" ca="1" si="44"/>
        <v>5146044.0667346939</v>
      </c>
      <c r="N58" s="622">
        <f t="shared" ca="1" si="44"/>
        <v>4766034.5634013601</v>
      </c>
      <c r="O58" s="622">
        <f t="shared" ca="1" si="44"/>
        <v>4396025.0600680262</v>
      </c>
      <c r="P58" s="622">
        <f t="shared" ca="1" si="44"/>
        <v>947660.98027397227</v>
      </c>
      <c r="Q58" s="622">
        <f t="shared" ca="1" si="44"/>
        <v>947660.9802739718</v>
      </c>
      <c r="R58" s="623"/>
      <c r="S58" s="622">
        <f t="shared" ref="S58:AE58" ca="1" si="45">S10+S56</f>
        <v>947660.98027397227</v>
      </c>
      <c r="T58" s="622">
        <f t="shared" ca="1" si="45"/>
        <v>947660.98027397227</v>
      </c>
      <c r="U58" s="622">
        <f t="shared" ca="1" si="45"/>
        <v>947660.98027397227</v>
      </c>
      <c r="V58" s="622">
        <f t="shared" ca="1" si="45"/>
        <v>947660.98027397227</v>
      </c>
      <c r="W58" s="622">
        <f t="shared" ca="1" si="45"/>
        <v>947660.98027397227</v>
      </c>
      <c r="X58" s="622">
        <f t="shared" ca="1" si="45"/>
        <v>947660.98027397227</v>
      </c>
      <c r="Y58" s="622">
        <f t="shared" ca="1" si="45"/>
        <v>947660.98027397227</v>
      </c>
      <c r="Z58" s="622">
        <f t="shared" ca="1" si="45"/>
        <v>947660.98027397227</v>
      </c>
      <c r="AA58" s="622">
        <f t="shared" ca="1" si="45"/>
        <v>947660.98027397227</v>
      </c>
      <c r="AB58" s="622">
        <f t="shared" ca="1" si="45"/>
        <v>947660.98027397227</v>
      </c>
      <c r="AC58" s="622">
        <f t="shared" ca="1" si="45"/>
        <v>947660.98027397227</v>
      </c>
      <c r="AD58" s="622">
        <f t="shared" ca="1" si="45"/>
        <v>947660.98027397227</v>
      </c>
      <c r="AE58" s="622">
        <f t="shared" ca="1" si="45"/>
        <v>947660.98027397227</v>
      </c>
    </row>
    <row r="59" spans="1:33" ht="16.5" customHeight="1">
      <c r="E59" s="641"/>
      <c r="F59" s="641"/>
      <c r="G59" s="641"/>
      <c r="H59" s="641"/>
      <c r="I59" s="641"/>
      <c r="J59" s="641"/>
      <c r="K59" s="641"/>
      <c r="L59" s="641"/>
      <c r="M59" s="641"/>
      <c r="N59" s="641"/>
      <c r="O59" s="641"/>
      <c r="P59" s="641"/>
      <c r="Q59" s="641"/>
      <c r="R59" s="641"/>
      <c r="S59" s="641"/>
      <c r="T59" s="641"/>
      <c r="U59" s="641"/>
      <c r="V59" s="641"/>
      <c r="W59" s="641"/>
      <c r="X59" s="641"/>
      <c r="Y59" s="641"/>
      <c r="Z59" s="641"/>
      <c r="AA59" s="641"/>
      <c r="AB59" s="641"/>
      <c r="AC59" s="641"/>
      <c r="AD59" s="641"/>
      <c r="AE59" s="641"/>
    </row>
    <row r="60" spans="1:33" s="609" customFormat="1" ht="16.5" customHeight="1">
      <c r="A60" s="609" t="s">
        <v>2595</v>
      </c>
      <c r="B60" s="642"/>
      <c r="C60" s="642"/>
      <c r="D60" s="642"/>
      <c r="E60" s="641"/>
      <c r="F60" s="641"/>
      <c r="G60" s="641"/>
      <c r="H60" s="641"/>
      <c r="I60" s="641"/>
      <c r="J60" s="641"/>
      <c r="K60" s="641"/>
      <c r="L60" s="643"/>
      <c r="M60" s="643"/>
      <c r="N60" s="643"/>
      <c r="O60" s="643"/>
      <c r="P60" s="643"/>
      <c r="Q60" s="643"/>
      <c r="R60" s="644"/>
      <c r="S60" s="643"/>
      <c r="T60" s="643"/>
      <c r="U60" s="643"/>
      <c r="V60" s="643"/>
      <c r="W60" s="643"/>
      <c r="X60" s="643"/>
      <c r="Y60" s="643"/>
      <c r="Z60" s="643"/>
      <c r="AA60" s="643"/>
      <c r="AB60" s="643"/>
      <c r="AC60" s="643"/>
      <c r="AD60" s="643"/>
      <c r="AE60" s="643"/>
    </row>
    <row r="61" spans="1:33" ht="16.5" customHeight="1">
      <c r="E61" s="645"/>
      <c r="F61" s="645"/>
      <c r="G61" s="645"/>
      <c r="H61" s="645"/>
      <c r="I61" s="645"/>
      <c r="J61" s="645"/>
      <c r="K61" s="645"/>
      <c r="L61" s="645"/>
      <c r="M61" s="645"/>
      <c r="N61" s="645"/>
      <c r="O61" s="645"/>
      <c r="P61" s="645"/>
      <c r="Q61" s="645"/>
      <c r="R61" s="641"/>
      <c r="S61" s="645"/>
      <c r="T61" s="645"/>
      <c r="U61" s="645"/>
      <c r="V61" s="645"/>
      <c r="W61" s="645"/>
      <c r="X61" s="645"/>
      <c r="Y61" s="645"/>
      <c r="Z61" s="645"/>
      <c r="AA61" s="645"/>
      <c r="AB61" s="645"/>
      <c r="AC61" s="645"/>
      <c r="AD61" s="645"/>
      <c r="AE61" s="645"/>
    </row>
    <row r="62" spans="1:33" ht="16.5" customHeight="1">
      <c r="E62" s="645"/>
      <c r="F62" s="645"/>
      <c r="G62" s="645"/>
      <c r="H62" s="645"/>
      <c r="I62" s="645"/>
      <c r="J62" s="645"/>
      <c r="K62" s="645"/>
      <c r="L62" s="645"/>
      <c r="M62" s="645"/>
      <c r="N62" s="645"/>
      <c r="O62" s="645"/>
      <c r="P62" s="645"/>
      <c r="Q62" s="645"/>
      <c r="R62" s="641"/>
      <c r="S62" s="645"/>
      <c r="T62" s="645"/>
      <c r="U62" s="645"/>
      <c r="V62" s="645"/>
      <c r="W62" s="645"/>
      <c r="X62" s="645"/>
      <c r="Y62" s="645"/>
      <c r="Z62" s="645"/>
      <c r="AA62" s="645"/>
      <c r="AB62" s="645"/>
      <c r="AC62" s="645"/>
      <c r="AD62" s="645"/>
      <c r="AE62" s="645"/>
    </row>
    <row r="63" spans="1:33" ht="16.5" customHeight="1">
      <c r="E63" s="645"/>
      <c r="F63" s="645"/>
      <c r="G63" s="645"/>
      <c r="H63" s="645"/>
      <c r="I63" s="645"/>
      <c r="J63" s="645"/>
      <c r="K63" s="645"/>
      <c r="L63" s="645"/>
      <c r="M63" s="645"/>
      <c r="N63" s="645"/>
      <c r="O63" s="645"/>
      <c r="P63" s="645"/>
      <c r="Q63" s="645"/>
      <c r="R63" s="641"/>
      <c r="S63" s="645"/>
      <c r="T63" s="645"/>
      <c r="U63" s="645"/>
      <c r="V63" s="645"/>
      <c r="W63" s="645"/>
      <c r="X63" s="645"/>
      <c r="Y63" s="645"/>
      <c r="Z63" s="645"/>
      <c r="AA63" s="645"/>
      <c r="AB63" s="645"/>
      <c r="AC63" s="645"/>
      <c r="AD63" s="645"/>
      <c r="AE63" s="645"/>
    </row>
    <row r="64" spans="1:33" ht="16.5" customHeight="1">
      <c r="E64" s="645"/>
      <c r="F64" s="645"/>
      <c r="G64" s="645"/>
      <c r="H64" s="645"/>
      <c r="I64" s="645"/>
      <c r="J64" s="645"/>
      <c r="K64" s="645"/>
      <c r="L64" s="645"/>
      <c r="M64" s="645"/>
      <c r="N64" s="645"/>
      <c r="O64" s="645"/>
      <c r="P64" s="645"/>
      <c r="Q64" s="645"/>
      <c r="R64" s="641"/>
      <c r="S64" s="645"/>
      <c r="T64" s="645"/>
      <c r="U64" s="645"/>
      <c r="V64" s="645"/>
      <c r="W64" s="645"/>
      <c r="X64" s="645"/>
      <c r="Y64" s="645"/>
      <c r="Z64" s="645"/>
      <c r="AA64" s="645"/>
      <c r="AB64" s="645"/>
      <c r="AC64" s="645"/>
      <c r="AD64" s="645"/>
      <c r="AE64" s="645"/>
    </row>
    <row r="65" spans="5:31" ht="16.5" customHeight="1">
      <c r="E65" s="645"/>
      <c r="F65" s="645"/>
      <c r="G65" s="645"/>
      <c r="H65" s="645"/>
      <c r="I65" s="645"/>
      <c r="J65" s="645"/>
      <c r="K65" s="645"/>
      <c r="L65" s="645"/>
      <c r="M65" s="645"/>
      <c r="N65" s="645"/>
      <c r="O65" s="645"/>
      <c r="P65" s="645"/>
      <c r="Q65" s="645"/>
      <c r="R65" s="641"/>
      <c r="S65" s="645"/>
      <c r="T65" s="645"/>
      <c r="U65" s="645"/>
      <c r="V65" s="645"/>
      <c r="W65" s="645"/>
      <c r="X65" s="645"/>
      <c r="Y65" s="645"/>
      <c r="Z65" s="645"/>
      <c r="AA65" s="645"/>
      <c r="AB65" s="645"/>
      <c r="AC65" s="645"/>
      <c r="AD65" s="645"/>
      <c r="AE65" s="645"/>
    </row>
    <row r="66" spans="5:31" ht="16.5" customHeight="1">
      <c r="E66" s="645"/>
      <c r="F66" s="645"/>
      <c r="G66" s="645"/>
      <c r="H66" s="645"/>
      <c r="I66" s="645"/>
      <c r="J66" s="645"/>
      <c r="K66" s="645"/>
      <c r="L66" s="645"/>
      <c r="M66" s="645"/>
      <c r="N66" s="645"/>
      <c r="O66" s="645"/>
      <c r="P66" s="645"/>
      <c r="Q66" s="645"/>
      <c r="R66" s="641"/>
      <c r="S66" s="645"/>
      <c r="T66" s="645"/>
      <c r="U66" s="645"/>
      <c r="V66" s="645"/>
      <c r="W66" s="645"/>
      <c r="X66" s="645"/>
      <c r="Y66" s="645"/>
      <c r="Z66" s="645"/>
      <c r="AA66" s="645"/>
      <c r="AB66" s="645"/>
      <c r="AC66" s="645"/>
      <c r="AD66" s="645"/>
      <c r="AE66" s="645"/>
    </row>
    <row r="67" spans="5:31" ht="16.5" customHeight="1">
      <c r="E67" s="645"/>
      <c r="F67" s="645"/>
      <c r="G67" s="645"/>
      <c r="H67" s="645"/>
      <c r="I67" s="645"/>
      <c r="J67" s="645"/>
      <c r="K67" s="645"/>
      <c r="L67" s="645"/>
      <c r="M67" s="645"/>
      <c r="N67" s="645"/>
      <c r="O67" s="645"/>
      <c r="P67" s="645"/>
      <c r="Q67" s="645"/>
      <c r="R67" s="641"/>
      <c r="S67" s="645"/>
      <c r="T67" s="645"/>
      <c r="U67" s="645"/>
      <c r="V67" s="645"/>
      <c r="W67" s="645"/>
      <c r="X67" s="645"/>
      <c r="Y67" s="645"/>
      <c r="Z67" s="645"/>
      <c r="AA67" s="645"/>
      <c r="AB67" s="645"/>
      <c r="AC67" s="645"/>
      <c r="AD67" s="645"/>
      <c r="AE67" s="645"/>
    </row>
    <row r="68" spans="5:31" ht="16.5" customHeight="1">
      <c r="E68" s="645"/>
      <c r="F68" s="645"/>
      <c r="G68" s="645"/>
      <c r="H68" s="645"/>
      <c r="I68" s="645"/>
      <c r="J68" s="645"/>
      <c r="K68" s="645"/>
      <c r="L68" s="645"/>
      <c r="M68" s="645"/>
      <c r="N68" s="645"/>
      <c r="O68" s="645"/>
      <c r="P68" s="645"/>
      <c r="Q68" s="645"/>
      <c r="R68" s="641"/>
      <c r="S68" s="645"/>
      <c r="T68" s="645"/>
      <c r="U68" s="645"/>
      <c r="V68" s="645"/>
      <c r="W68" s="645"/>
      <c r="X68" s="645"/>
      <c r="Y68" s="645"/>
      <c r="Z68" s="645"/>
      <c r="AA68" s="645"/>
      <c r="AB68" s="645"/>
      <c r="AC68" s="645"/>
      <c r="AD68" s="645"/>
      <c r="AE68" s="645"/>
    </row>
    <row r="69" spans="5:31" ht="16.5" customHeight="1">
      <c r="E69" s="645"/>
      <c r="F69" s="645"/>
      <c r="G69" s="645"/>
      <c r="H69" s="645"/>
      <c r="I69" s="645"/>
      <c r="J69" s="645"/>
      <c r="K69" s="645"/>
      <c r="L69" s="645"/>
      <c r="M69" s="645"/>
      <c r="N69" s="645"/>
      <c r="O69" s="645"/>
      <c r="P69" s="645"/>
      <c r="Q69" s="645"/>
      <c r="R69" s="641"/>
      <c r="S69" s="645"/>
      <c r="T69" s="645"/>
      <c r="U69" s="645"/>
      <c r="V69" s="645"/>
      <c r="W69" s="645"/>
      <c r="X69" s="645"/>
      <c r="Y69" s="645"/>
      <c r="Z69" s="645"/>
      <c r="AA69" s="645"/>
      <c r="AB69" s="645"/>
      <c r="AC69" s="645"/>
      <c r="AD69" s="645"/>
      <c r="AE69" s="645"/>
    </row>
    <row r="70" spans="5:31" ht="16.5" customHeight="1">
      <c r="E70" s="645"/>
      <c r="F70" s="645"/>
      <c r="G70" s="645"/>
      <c r="H70" s="645"/>
      <c r="I70" s="645"/>
      <c r="J70" s="645"/>
      <c r="K70" s="645"/>
      <c r="L70" s="645"/>
      <c r="M70" s="645"/>
      <c r="N70" s="645"/>
      <c r="O70" s="645"/>
      <c r="P70" s="645"/>
      <c r="Q70" s="645"/>
      <c r="R70" s="641"/>
      <c r="S70" s="645"/>
      <c r="T70" s="645"/>
      <c r="U70" s="645"/>
      <c r="V70" s="645"/>
      <c r="W70" s="645"/>
      <c r="X70" s="645"/>
      <c r="Y70" s="645"/>
      <c r="Z70" s="645"/>
      <c r="AA70" s="645"/>
      <c r="AB70" s="645"/>
      <c r="AC70" s="645"/>
      <c r="AD70" s="645"/>
      <c r="AE70" s="645"/>
    </row>
    <row r="71" spans="5:31" ht="16.5" customHeight="1">
      <c r="E71" s="645"/>
      <c r="F71" s="645"/>
      <c r="G71" s="645"/>
      <c r="H71" s="645"/>
      <c r="I71" s="645"/>
      <c r="J71" s="645"/>
      <c r="K71" s="645"/>
      <c r="L71" s="645"/>
      <c r="M71" s="645"/>
      <c r="N71" s="645"/>
      <c r="O71" s="645"/>
      <c r="P71" s="645"/>
      <c r="Q71" s="645"/>
      <c r="R71" s="641"/>
      <c r="S71" s="645"/>
      <c r="T71" s="645"/>
      <c r="U71" s="645"/>
      <c r="V71" s="645"/>
      <c r="W71" s="645"/>
      <c r="X71" s="645"/>
      <c r="Y71" s="645"/>
      <c r="Z71" s="645"/>
      <c r="AA71" s="645"/>
      <c r="AB71" s="645"/>
      <c r="AC71" s="645"/>
      <c r="AD71" s="645"/>
      <c r="AE71" s="645"/>
    </row>
    <row r="72" spans="5:31" ht="16.5" customHeight="1">
      <c r="E72" s="645"/>
      <c r="F72" s="645"/>
      <c r="G72" s="645"/>
      <c r="H72" s="645"/>
      <c r="I72" s="645"/>
      <c r="J72" s="645"/>
      <c r="K72" s="645"/>
      <c r="L72" s="645"/>
      <c r="M72" s="645"/>
      <c r="N72" s="645"/>
      <c r="O72" s="645"/>
      <c r="P72" s="645"/>
      <c r="Q72" s="645"/>
      <c r="R72" s="641"/>
      <c r="S72" s="645"/>
      <c r="T72" s="645"/>
      <c r="U72" s="645"/>
      <c r="V72" s="645"/>
      <c r="W72" s="645"/>
      <c r="X72" s="645"/>
      <c r="Y72" s="645"/>
      <c r="Z72" s="645"/>
      <c r="AA72" s="645"/>
      <c r="AB72" s="645"/>
      <c r="AC72" s="645"/>
      <c r="AD72" s="645"/>
      <c r="AE72" s="645"/>
    </row>
    <row r="73" spans="5:31" ht="16.5" customHeight="1">
      <c r="E73" s="645"/>
      <c r="F73" s="645"/>
      <c r="G73" s="645"/>
      <c r="H73" s="645"/>
      <c r="I73" s="645"/>
      <c r="J73" s="645"/>
      <c r="K73" s="645"/>
      <c r="L73" s="645"/>
      <c r="M73" s="645"/>
      <c r="N73" s="645"/>
      <c r="O73" s="645"/>
      <c r="P73" s="645"/>
      <c r="Q73" s="645"/>
      <c r="R73" s="641"/>
      <c r="S73" s="645"/>
      <c r="T73" s="645"/>
      <c r="U73" s="645"/>
      <c r="V73" s="645"/>
      <c r="W73" s="645"/>
      <c r="X73" s="645"/>
      <c r="Y73" s="645"/>
      <c r="Z73" s="645"/>
      <c r="AA73" s="645"/>
      <c r="AB73" s="645"/>
      <c r="AC73" s="645"/>
      <c r="AD73" s="645"/>
      <c r="AE73" s="645"/>
    </row>
    <row r="74" spans="5:31" ht="16.5" customHeight="1">
      <c r="E74" s="645"/>
      <c r="F74" s="645"/>
      <c r="G74" s="645"/>
      <c r="H74" s="645"/>
      <c r="I74" s="645"/>
      <c r="J74" s="645"/>
      <c r="K74" s="645"/>
      <c r="L74" s="645"/>
      <c r="M74" s="645"/>
      <c r="N74" s="645"/>
      <c r="O74" s="645"/>
      <c r="P74" s="645"/>
      <c r="Q74" s="645"/>
      <c r="R74" s="641"/>
      <c r="S74" s="645"/>
      <c r="T74" s="645"/>
      <c r="U74" s="645"/>
      <c r="V74" s="645"/>
      <c r="W74" s="645"/>
      <c r="X74" s="645"/>
      <c r="Y74" s="645"/>
      <c r="Z74" s="645"/>
      <c r="AA74" s="645"/>
      <c r="AB74" s="645"/>
      <c r="AC74" s="645"/>
      <c r="AD74" s="645"/>
      <c r="AE74" s="645"/>
    </row>
    <row r="75" spans="5:31" ht="16.5" customHeight="1">
      <c r="E75" s="645"/>
      <c r="F75" s="645"/>
      <c r="G75" s="645"/>
      <c r="H75" s="645"/>
      <c r="I75" s="645"/>
      <c r="J75" s="645"/>
      <c r="K75" s="645"/>
      <c r="L75" s="645"/>
      <c r="M75" s="645"/>
      <c r="N75" s="645"/>
      <c r="O75" s="645"/>
      <c r="P75" s="645"/>
      <c r="Q75" s="645"/>
      <c r="R75" s="641"/>
      <c r="S75" s="645"/>
      <c r="T75" s="645"/>
      <c r="U75" s="645"/>
      <c r="V75" s="645"/>
      <c r="W75" s="645"/>
      <c r="X75" s="645"/>
      <c r="Y75" s="645"/>
      <c r="Z75" s="645"/>
      <c r="AA75" s="645"/>
      <c r="AB75" s="645"/>
      <c r="AC75" s="645"/>
      <c r="AD75" s="645"/>
      <c r="AE75" s="645"/>
    </row>
    <row r="76" spans="5:31" ht="16.5" customHeight="1">
      <c r="E76" s="645"/>
      <c r="F76" s="645"/>
      <c r="G76" s="645"/>
      <c r="H76" s="645"/>
      <c r="I76" s="645"/>
      <c r="J76" s="645"/>
      <c r="K76" s="645"/>
      <c r="L76" s="645"/>
      <c r="M76" s="645"/>
      <c r="N76" s="645"/>
      <c r="O76" s="645"/>
      <c r="P76" s="645"/>
      <c r="Q76" s="645"/>
      <c r="R76" s="641"/>
      <c r="S76" s="645"/>
      <c r="T76" s="645"/>
      <c r="U76" s="645"/>
      <c r="V76" s="645"/>
      <c r="W76" s="645"/>
      <c r="X76" s="645"/>
      <c r="Y76" s="645"/>
      <c r="Z76" s="645"/>
      <c r="AA76" s="645"/>
      <c r="AB76" s="645"/>
      <c r="AC76" s="645"/>
      <c r="AD76" s="645"/>
      <c r="AE76" s="645"/>
    </row>
  </sheetData>
  <autoFilter ref="A4:AF63" xr:uid="{00000000-0009-0000-0000-000019000000}"/>
  <conditionalFormatting sqref="B3:AE3">
    <cfRule type="cellIs" dxfId="72" priority="1" stopIfTrue="1" operator="equal">
      <formula>"Actual"</formula>
    </cfRule>
    <cfRule type="cellIs" dxfId="71" priority="2" stopIfTrue="1" operator="equal">
      <formula>"Forecast"</formula>
    </cfRule>
    <cfRule type="cellIs" dxfId="70" priority="3" stopIfTrue="1" operator="equal">
      <formula>"Budget"</formula>
    </cfRule>
  </conditionalFormatting>
  <dataValidations count="1">
    <dataValidation type="list" allowBlank="1" showInputMessage="1" showErrorMessage="1" sqref="B3:AE3" xr:uid="{00000000-0002-0000-1900-000000000000}">
      <formula1>"Actual,Forecast,Budget"</formula1>
    </dataValidation>
  </dataValidations>
  <pageMargins left="0.70866141732283505" right="0.70866141732283505" top="0.74803149606299202" bottom="0.74803149606299202" header="0.31496062992126" footer="0.31496062992126"/>
  <pageSetup paperSize="8" scale="76" orientation="landscape"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9" tint="0.79940183721427049"/>
    <pageSetUpPr fitToPage="1"/>
  </sheetPr>
  <dimension ref="A1:AG76"/>
  <sheetViews>
    <sheetView workbookViewId="0"/>
  </sheetViews>
  <sheetFormatPr defaultColWidth="8.25" defaultRowHeight="16.5" customHeight="1" outlineLevelRow="1" outlineLevelCol="1"/>
  <cols>
    <col min="1" max="1" width="43.75" style="610" customWidth="1"/>
    <col min="2" max="2" width="15.875" style="611" customWidth="1"/>
    <col min="3" max="3" width="16.75" style="611" customWidth="1"/>
    <col min="4" max="4" width="2.625" style="611" customWidth="1"/>
    <col min="5" max="5" width="14.75" style="610" customWidth="1" outlineLevel="1"/>
    <col min="6" max="6" width="16.625" style="610" customWidth="1" outlineLevel="1"/>
    <col min="7" max="7" width="14.5" style="610" customWidth="1" outlineLevel="1"/>
    <col min="8" max="9" width="14.75" style="610" customWidth="1" outlineLevel="1"/>
    <col min="10" max="16" width="15.625" style="610" customWidth="1" outlineLevel="1"/>
    <col min="17" max="17" width="15.625" style="610" customWidth="1"/>
    <col min="18" max="18" width="9.375" style="610" customWidth="1"/>
    <col min="19" max="29" width="15.625" style="610" hidden="1" customWidth="1" outlineLevel="1"/>
    <col min="30" max="30" width="14.125" style="610" hidden="1" customWidth="1" outlineLevel="1"/>
    <col min="31" max="31" width="15.625" style="610" hidden="1" customWidth="1" outlineLevel="1"/>
    <col min="32" max="32" width="8.25" style="610" customWidth="1" collapsed="1"/>
    <col min="33" max="33" width="2.625" style="610" customWidth="1"/>
    <col min="34" max="34" width="8.25" style="610" customWidth="1"/>
    <col min="35" max="16384" width="8.25" style="610"/>
  </cols>
  <sheetData>
    <row r="1" spans="1:33" ht="16.5" customHeight="1">
      <c r="A1" s="5" t="s">
        <v>2482</v>
      </c>
      <c r="B1" s="5"/>
      <c r="C1" s="612" t="s">
        <v>2113</v>
      </c>
      <c r="D1" s="612"/>
    </row>
    <row r="2" spans="1:33" ht="16.5" customHeight="1">
      <c r="C2" s="613">
        <f>'Flash Report'!C2</f>
        <v>46023</v>
      </c>
      <c r="D2" s="613"/>
      <c r="K2" s="611"/>
      <c r="P2" s="611">
        <f>SUM(F17:P17)*-1</f>
        <v>0</v>
      </c>
    </row>
    <row r="3" spans="1:33" ht="16.5" customHeight="1">
      <c r="B3" s="614" t="s">
        <v>2501</v>
      </c>
      <c r="C3" s="614" t="s">
        <v>2501</v>
      </c>
      <c r="D3" s="614"/>
      <c r="E3" s="614" t="s">
        <v>2501</v>
      </c>
      <c r="F3" s="614" t="s">
        <v>2501</v>
      </c>
      <c r="G3" s="614" t="s">
        <v>2501</v>
      </c>
      <c r="H3" s="614" t="s">
        <v>2501</v>
      </c>
      <c r="I3" s="614" t="s">
        <v>2501</v>
      </c>
      <c r="J3" s="614" t="s">
        <v>2501</v>
      </c>
      <c r="K3" s="614" t="s">
        <v>2501</v>
      </c>
      <c r="L3" s="614" t="s">
        <v>2501</v>
      </c>
      <c r="M3" s="614" t="s">
        <v>2501</v>
      </c>
      <c r="N3" s="614" t="s">
        <v>2501</v>
      </c>
      <c r="O3" s="614" t="s">
        <v>2501</v>
      </c>
      <c r="P3" s="614" t="s">
        <v>2501</v>
      </c>
      <c r="Q3" s="614" t="s">
        <v>2501</v>
      </c>
      <c r="R3" s="615"/>
      <c r="S3" s="614" t="s">
        <v>2555</v>
      </c>
      <c r="T3" s="614" t="s">
        <v>2555</v>
      </c>
      <c r="U3" s="614" t="s">
        <v>2555</v>
      </c>
      <c r="V3" s="614" t="s">
        <v>2555</v>
      </c>
      <c r="W3" s="614" t="s">
        <v>2555</v>
      </c>
      <c r="X3" s="614" t="s">
        <v>2555</v>
      </c>
      <c r="Y3" s="614" t="s">
        <v>2555</v>
      </c>
      <c r="Z3" s="614" t="s">
        <v>2555</v>
      </c>
      <c r="AA3" s="614" t="s">
        <v>2555</v>
      </c>
      <c r="AB3" s="614" t="s">
        <v>2555</v>
      </c>
      <c r="AC3" s="614" t="s">
        <v>2555</v>
      </c>
      <c r="AD3" s="614" t="s">
        <v>2555</v>
      </c>
      <c r="AE3" s="614" t="s">
        <v>2555</v>
      </c>
      <c r="AG3" s="616"/>
    </row>
    <row r="4" spans="1:33" s="599" customFormat="1" ht="16.5" customHeight="1">
      <c r="A4" s="599" t="s">
        <v>2439</v>
      </c>
      <c r="B4" s="617">
        <f>C2</f>
        <v>46023</v>
      </c>
      <c r="C4" s="617">
        <f>B4</f>
        <v>46023</v>
      </c>
      <c r="D4" s="617"/>
      <c r="E4" s="617">
        <v>46023</v>
      </c>
      <c r="F4" s="617">
        <v>46054</v>
      </c>
      <c r="G4" s="617">
        <v>46082</v>
      </c>
      <c r="H4" s="617">
        <v>46113</v>
      </c>
      <c r="I4" s="617">
        <v>46143</v>
      </c>
      <c r="J4" s="617">
        <v>46174</v>
      </c>
      <c r="K4" s="617">
        <v>46204</v>
      </c>
      <c r="L4" s="617">
        <v>46235</v>
      </c>
      <c r="M4" s="617">
        <v>46266</v>
      </c>
      <c r="N4" s="617">
        <v>46296</v>
      </c>
      <c r="O4" s="617">
        <v>46327</v>
      </c>
      <c r="P4" s="617">
        <v>46357</v>
      </c>
      <c r="Q4" s="617" t="str">
        <f>'[97]Budget-合并'!T6</f>
        <v>2026 Total</v>
      </c>
      <c r="R4" s="618">
        <f>'[97]Budget-合并'!U6</f>
        <v>0</v>
      </c>
      <c r="S4" s="617">
        <f>'[97]Budget-合并'!V6</f>
        <v>46388</v>
      </c>
      <c r="T4" s="617">
        <f>'[97]Budget-合并'!W6</f>
        <v>46419</v>
      </c>
      <c r="U4" s="617">
        <f>'[97]Budget-合并'!X6</f>
        <v>46447</v>
      </c>
      <c r="V4" s="617">
        <f>'[97]Budget-合并'!Y6</f>
        <v>46478</v>
      </c>
      <c r="W4" s="617">
        <f>'[97]Budget-合并'!Z6</f>
        <v>46508</v>
      </c>
      <c r="X4" s="617">
        <f>'[97]Budget-合并'!AA6</f>
        <v>46539</v>
      </c>
      <c r="Y4" s="617">
        <f>'[97]Budget-合并'!AB6</f>
        <v>46569</v>
      </c>
      <c r="Z4" s="617">
        <f>'[97]Budget-合并'!AC6</f>
        <v>46600</v>
      </c>
      <c r="AA4" s="617">
        <f>'[97]Budget-合并'!AD6</f>
        <v>46631</v>
      </c>
      <c r="AB4" s="617">
        <f>'[97]Budget-合并'!AE6</f>
        <v>46661</v>
      </c>
      <c r="AC4" s="617">
        <f>'[97]Budget-合并'!AF6</f>
        <v>46692</v>
      </c>
      <c r="AD4" s="617">
        <f>'[97]Budget-合并'!AG6</f>
        <v>46722</v>
      </c>
      <c r="AE4" s="617" t="str">
        <f>'[97]Budget-合并'!AH6</f>
        <v>2027 Total</v>
      </c>
      <c r="AG4" s="619"/>
    </row>
    <row r="5" spans="1:33" s="600" customFormat="1" ht="16.5" customHeight="1" outlineLevel="1">
      <c r="A5" s="600" t="s">
        <v>2556</v>
      </c>
      <c r="B5" s="620"/>
      <c r="C5" s="620"/>
      <c r="D5" s="620"/>
      <c r="E5" s="620">
        <v>0</v>
      </c>
      <c r="F5" s="620">
        <v>0</v>
      </c>
      <c r="G5" s="620">
        <v>1</v>
      </c>
      <c r="H5" s="620">
        <v>0</v>
      </c>
      <c r="I5" s="620">
        <v>0</v>
      </c>
      <c r="J5" s="620">
        <v>1</v>
      </c>
      <c r="K5" s="620">
        <v>0</v>
      </c>
      <c r="L5" s="620">
        <v>0</v>
      </c>
      <c r="M5" s="620">
        <v>1</v>
      </c>
      <c r="N5" s="620">
        <v>0</v>
      </c>
      <c r="O5" s="620">
        <v>0</v>
      </c>
      <c r="P5" s="620">
        <v>1</v>
      </c>
      <c r="Q5" s="620"/>
      <c r="R5" s="620"/>
      <c r="S5" s="620"/>
      <c r="T5" s="620"/>
      <c r="U5" s="620"/>
      <c r="V5" s="620"/>
      <c r="W5" s="620"/>
      <c r="X5" s="620"/>
      <c r="Y5" s="620"/>
      <c r="Z5" s="620"/>
      <c r="AA5" s="620"/>
      <c r="AB5" s="620"/>
      <c r="AC5" s="620"/>
      <c r="AD5" s="620"/>
      <c r="AE5" s="620"/>
      <c r="AG5" s="621"/>
    </row>
    <row r="6" spans="1:33" s="600" customFormat="1" ht="16.5" customHeight="1" outlineLevel="1">
      <c r="A6" s="600" t="s">
        <v>2557</v>
      </c>
      <c r="B6" s="620"/>
      <c r="C6" s="620"/>
      <c r="D6" s="620"/>
      <c r="E6" s="620">
        <v>0</v>
      </c>
      <c r="F6" s="620">
        <v>0</v>
      </c>
      <c r="G6" s="620">
        <v>0</v>
      </c>
      <c r="H6" s="620">
        <v>0</v>
      </c>
      <c r="I6" s="620">
        <v>1</v>
      </c>
      <c r="J6" s="620">
        <v>0</v>
      </c>
      <c r="K6" s="620">
        <v>0</v>
      </c>
      <c r="L6" s="620">
        <v>0</v>
      </c>
      <c r="M6" s="620">
        <v>0</v>
      </c>
      <c r="N6" s="620">
        <v>0</v>
      </c>
      <c r="O6" s="620">
        <v>0</v>
      </c>
      <c r="P6" s="620">
        <v>0</v>
      </c>
      <c r="Q6" s="620"/>
      <c r="R6" s="620"/>
      <c r="S6" s="620"/>
      <c r="T6" s="620"/>
      <c r="U6" s="620"/>
      <c r="V6" s="620"/>
      <c r="W6" s="620"/>
      <c r="X6" s="620"/>
      <c r="Y6" s="620"/>
      <c r="Z6" s="620"/>
      <c r="AA6" s="620"/>
      <c r="AB6" s="620"/>
      <c r="AC6" s="620"/>
      <c r="AD6" s="620"/>
      <c r="AE6" s="620"/>
      <c r="AG6" s="621"/>
    </row>
    <row r="7" spans="1:33" s="600" customFormat="1" ht="16.5" customHeight="1" outlineLevel="1">
      <c r="A7" s="600" t="s">
        <v>2558</v>
      </c>
      <c r="B7" s="620"/>
      <c r="C7" s="620"/>
      <c r="D7" s="620"/>
      <c r="E7" s="620">
        <v>1</v>
      </c>
      <c r="F7" s="620">
        <v>0</v>
      </c>
      <c r="G7" s="620">
        <v>0</v>
      </c>
      <c r="H7" s="620">
        <v>1</v>
      </c>
      <c r="I7" s="620">
        <v>0</v>
      </c>
      <c r="J7" s="620">
        <v>0</v>
      </c>
      <c r="K7" s="620">
        <v>1</v>
      </c>
      <c r="L7" s="620">
        <v>0</v>
      </c>
      <c r="M7" s="620">
        <v>0</v>
      </c>
      <c r="N7" s="620">
        <v>1</v>
      </c>
      <c r="O7" s="620">
        <v>0</v>
      </c>
      <c r="P7" s="620">
        <v>0</v>
      </c>
      <c r="Q7" s="620"/>
      <c r="R7" s="620"/>
      <c r="S7" s="620"/>
      <c r="T7" s="620"/>
      <c r="U7" s="620"/>
      <c r="V7" s="620"/>
      <c r="W7" s="620"/>
      <c r="X7" s="620"/>
      <c r="Y7" s="620"/>
      <c r="Z7" s="620"/>
      <c r="AA7" s="620"/>
      <c r="AB7" s="620"/>
      <c r="AC7" s="620"/>
      <c r="AD7" s="620"/>
      <c r="AE7" s="620"/>
      <c r="AG7" s="621"/>
    </row>
    <row r="8" spans="1:33" s="600" customFormat="1" ht="16.5" customHeight="1" outlineLevel="1">
      <c r="B8" s="620"/>
      <c r="C8" s="620"/>
      <c r="D8" s="620"/>
      <c r="E8" s="620"/>
      <c r="F8" s="620"/>
      <c r="G8" s="620"/>
      <c r="H8" s="620"/>
      <c r="I8" s="620"/>
      <c r="J8" s="620"/>
      <c r="K8" s="620"/>
      <c r="L8" s="620"/>
      <c r="M8" s="620"/>
      <c r="N8" s="620"/>
      <c r="O8" s="620"/>
      <c r="P8" s="620"/>
      <c r="Q8" s="620"/>
      <c r="R8" s="620"/>
      <c r="S8" s="620"/>
      <c r="T8" s="620"/>
      <c r="U8" s="620"/>
      <c r="V8" s="620"/>
      <c r="W8" s="620"/>
      <c r="X8" s="620"/>
      <c r="Y8" s="620"/>
      <c r="Z8" s="620"/>
      <c r="AA8" s="620"/>
      <c r="AB8" s="620"/>
      <c r="AC8" s="620"/>
      <c r="AD8" s="620"/>
      <c r="AE8" s="620"/>
      <c r="AG8" s="621"/>
    </row>
    <row r="9" spans="1:33" s="599" customFormat="1" ht="16.5" customHeight="1" outlineLevel="1">
      <c r="B9" s="618"/>
      <c r="C9" s="618"/>
      <c r="D9" s="618"/>
      <c r="E9" s="618"/>
      <c r="F9" s="618"/>
      <c r="G9" s="618"/>
      <c r="H9" s="618"/>
      <c r="I9" s="618"/>
      <c r="J9" s="618"/>
      <c r="K9" s="618"/>
      <c r="L9" s="618"/>
      <c r="M9" s="618"/>
      <c r="N9" s="618"/>
      <c r="O9" s="618"/>
      <c r="P9" s="618"/>
      <c r="Q9" s="618"/>
      <c r="R9" s="618"/>
      <c r="S9" s="618"/>
      <c r="T9" s="618"/>
      <c r="U9" s="618"/>
      <c r="V9" s="618"/>
      <c r="W9" s="618"/>
      <c r="X9" s="618"/>
      <c r="Y9" s="618"/>
      <c r="Z9" s="618"/>
      <c r="AA9" s="618"/>
      <c r="AB9" s="618"/>
      <c r="AC9" s="618"/>
      <c r="AD9" s="618"/>
      <c r="AE9" s="618"/>
      <c r="AG9" s="619"/>
    </row>
    <row r="10" spans="1:33" s="601" customFormat="1" ht="16.5" customHeight="1">
      <c r="A10" s="608" t="str">
        <f>'CF-ACPL（合并）'!A10</f>
        <v>期初现金及现金等价物余额</v>
      </c>
      <c r="B10" s="622">
        <f>INDEX($E10:$P10,1,MATCH('[97]Flash Report'!$C$2,$E$4:$P$4))</f>
        <v>7976.3999999999887</v>
      </c>
      <c r="C10" s="622">
        <f>B10</f>
        <v>7976.3999999999887</v>
      </c>
      <c r="D10" s="622"/>
      <c r="E10" s="622">
        <f>VLOOKUP($C$1,'2025年现金余额'!$B$4:$D$10,3,FALSE)</f>
        <v>7976.3999999999887</v>
      </c>
      <c r="F10" s="622">
        <f t="shared" ref="F10:P10" ca="1" si="0">E58</f>
        <v>2677501.4</v>
      </c>
      <c r="G10" s="622">
        <f t="shared" ca="1" si="0"/>
        <v>177026.39999999991</v>
      </c>
      <c r="H10" s="622">
        <f t="shared" ca="1" si="0"/>
        <v>176551.39999999991</v>
      </c>
      <c r="I10" s="622">
        <f t="shared" ca="1" si="0"/>
        <v>276076.39999999991</v>
      </c>
      <c r="J10" s="622">
        <f t="shared" ca="1" si="0"/>
        <v>275601.39999999991</v>
      </c>
      <c r="K10" s="622">
        <f t="shared" ca="1" si="0"/>
        <v>223256.39999999991</v>
      </c>
      <c r="L10" s="622">
        <f t="shared" ca="1" si="0"/>
        <v>222781.39999999991</v>
      </c>
      <c r="M10" s="622">
        <f t="shared" ca="1" si="0"/>
        <v>222306.39999999991</v>
      </c>
      <c r="N10" s="622">
        <f t="shared" ca="1" si="0"/>
        <v>221831.39999999991</v>
      </c>
      <c r="O10" s="622">
        <f t="shared" ca="1" si="0"/>
        <v>221356.39999999991</v>
      </c>
      <c r="P10" s="622">
        <f t="shared" ca="1" si="0"/>
        <v>220881.39999999991</v>
      </c>
      <c r="Q10" s="622">
        <f>E10</f>
        <v>7976.3999999999887</v>
      </c>
      <c r="R10" s="623"/>
      <c r="S10" s="622">
        <f ca="1">P58</f>
        <v>170406.39999999991</v>
      </c>
      <c r="T10" s="622">
        <f t="shared" ref="T10:AD10" ca="1" si="1">S58</f>
        <v>170406.39999999991</v>
      </c>
      <c r="U10" s="622">
        <f t="shared" ca="1" si="1"/>
        <v>170406.39999999991</v>
      </c>
      <c r="V10" s="622">
        <f t="shared" ca="1" si="1"/>
        <v>170406.39999999991</v>
      </c>
      <c r="W10" s="622">
        <f t="shared" ca="1" si="1"/>
        <v>170406.39999999991</v>
      </c>
      <c r="X10" s="622">
        <f t="shared" ca="1" si="1"/>
        <v>170406.39999999991</v>
      </c>
      <c r="Y10" s="622">
        <f t="shared" ca="1" si="1"/>
        <v>170406.39999999991</v>
      </c>
      <c r="Z10" s="622">
        <f t="shared" ca="1" si="1"/>
        <v>170406.39999999991</v>
      </c>
      <c r="AA10" s="622">
        <f t="shared" ca="1" si="1"/>
        <v>170406.39999999991</v>
      </c>
      <c r="AB10" s="622">
        <f t="shared" ca="1" si="1"/>
        <v>170406.39999999991</v>
      </c>
      <c r="AC10" s="622">
        <f t="shared" ca="1" si="1"/>
        <v>170406.39999999991</v>
      </c>
      <c r="AD10" s="622">
        <f t="shared" ca="1" si="1"/>
        <v>170406.39999999991</v>
      </c>
      <c r="AE10" s="622">
        <f ca="1">S10</f>
        <v>170406.39999999991</v>
      </c>
      <c r="AF10" s="624"/>
    </row>
    <row r="11" spans="1:33" ht="16.5" customHeight="1">
      <c r="B11" s="625"/>
      <c r="C11" s="625"/>
      <c r="D11" s="625"/>
      <c r="E11" s="626"/>
      <c r="F11" s="626"/>
      <c r="G11" s="626"/>
      <c r="H11" s="626"/>
      <c r="I11" s="626"/>
      <c r="J11" s="626"/>
      <c r="K11" s="626"/>
      <c r="L11" s="626"/>
      <c r="M11" s="626"/>
      <c r="N11" s="626"/>
      <c r="O11" s="626"/>
      <c r="P11" s="626"/>
      <c r="Q11" s="626"/>
      <c r="R11" s="626"/>
      <c r="S11" s="626"/>
      <c r="T11" s="626"/>
      <c r="U11" s="626"/>
      <c r="V11" s="626"/>
      <c r="W11" s="626"/>
      <c r="X11" s="626"/>
      <c r="Y11" s="626"/>
      <c r="Z11" s="626"/>
      <c r="AA11" s="626"/>
      <c r="AB11" s="626"/>
      <c r="AC11" s="626"/>
      <c r="AD11" s="626"/>
      <c r="AE11" s="626"/>
    </row>
    <row r="12" spans="1:33" s="601" customFormat="1" ht="16.5" customHeight="1">
      <c r="A12" s="627" t="str">
        <f>'CF-ACPL（合并）'!A12</f>
        <v>经营活动现金流入小计</v>
      </c>
      <c r="B12" s="628">
        <f>INDEX($E12:$P12,1,MATCH($B$4,$E$4:$P$4))</f>
        <v>0</v>
      </c>
      <c r="C12" s="628">
        <f ca="1">SUM($E12:OFFSET($E12,0,MATCH($C$4,$E$4:$P$4)-1))</f>
        <v>0</v>
      </c>
      <c r="D12" s="628"/>
      <c r="E12" s="628">
        <f t="shared" ref="E12:Q12" si="2">SUM(E13:E17)</f>
        <v>0</v>
      </c>
      <c r="F12" s="628">
        <f t="shared" si="2"/>
        <v>0</v>
      </c>
      <c r="G12" s="628">
        <f t="shared" si="2"/>
        <v>0</v>
      </c>
      <c r="H12" s="628">
        <f t="shared" si="2"/>
        <v>0</v>
      </c>
      <c r="I12" s="628">
        <f t="shared" si="2"/>
        <v>0</v>
      </c>
      <c r="J12" s="628">
        <f t="shared" si="2"/>
        <v>0</v>
      </c>
      <c r="K12" s="628">
        <f t="shared" si="2"/>
        <v>0</v>
      </c>
      <c r="L12" s="628">
        <f t="shared" si="2"/>
        <v>0</v>
      </c>
      <c r="M12" s="628">
        <f t="shared" si="2"/>
        <v>0</v>
      </c>
      <c r="N12" s="628">
        <f t="shared" si="2"/>
        <v>0</v>
      </c>
      <c r="O12" s="628">
        <f t="shared" si="2"/>
        <v>0</v>
      </c>
      <c r="P12" s="628">
        <f t="shared" si="2"/>
        <v>0</v>
      </c>
      <c r="Q12" s="628">
        <f t="shared" si="2"/>
        <v>0</v>
      </c>
      <c r="R12" s="623"/>
      <c r="S12" s="628">
        <f t="shared" ref="S12:AE12" si="3">SUM(S13:S17)</f>
        <v>0</v>
      </c>
      <c r="T12" s="628">
        <f t="shared" si="3"/>
        <v>0</v>
      </c>
      <c r="U12" s="628">
        <f t="shared" si="3"/>
        <v>0</v>
      </c>
      <c r="V12" s="628">
        <f t="shared" si="3"/>
        <v>0</v>
      </c>
      <c r="W12" s="628">
        <f t="shared" si="3"/>
        <v>0</v>
      </c>
      <c r="X12" s="628">
        <f t="shared" si="3"/>
        <v>0</v>
      </c>
      <c r="Y12" s="628">
        <f t="shared" si="3"/>
        <v>0</v>
      </c>
      <c r="Z12" s="628">
        <f t="shared" si="3"/>
        <v>0</v>
      </c>
      <c r="AA12" s="628">
        <f t="shared" si="3"/>
        <v>0</v>
      </c>
      <c r="AB12" s="628">
        <f t="shared" si="3"/>
        <v>0</v>
      </c>
      <c r="AC12" s="628">
        <f t="shared" si="3"/>
        <v>0</v>
      </c>
      <c r="AD12" s="628">
        <f t="shared" si="3"/>
        <v>0</v>
      </c>
      <c r="AE12" s="628">
        <f t="shared" si="3"/>
        <v>0</v>
      </c>
    </row>
    <row r="13" spans="1:33" ht="16.5" customHeight="1">
      <c r="A13" s="629" t="str">
        <f>'CF-ACPL（合并）'!A13</f>
        <v>咨询管理费收入收到的现金</v>
      </c>
      <c r="B13" s="623">
        <f>INDEX($E13:$P13,1,MATCH($B$4,$E$4:$P$4))</f>
        <v>0</v>
      </c>
      <c r="C13" s="626">
        <f ca="1">SUM($E13:OFFSET($E13,0,MATCH($C$4,$E$4:$P$4)-1))</f>
        <v>0</v>
      </c>
      <c r="D13" s="626"/>
      <c r="E13" s="626"/>
      <c r="F13" s="626"/>
      <c r="G13" s="626"/>
      <c r="H13" s="626"/>
      <c r="I13" s="626"/>
      <c r="J13" s="626"/>
      <c r="K13" s="626"/>
      <c r="L13" s="626"/>
      <c r="M13" s="626"/>
      <c r="N13" s="626"/>
      <c r="O13" s="626"/>
      <c r="P13" s="626"/>
      <c r="Q13" s="626">
        <f>SUM(E13:P13)</f>
        <v>0</v>
      </c>
      <c r="R13" s="626"/>
      <c r="S13" s="626"/>
      <c r="T13" s="626"/>
      <c r="U13" s="626"/>
      <c r="V13" s="626"/>
      <c r="W13" s="626"/>
      <c r="X13" s="626"/>
      <c r="Y13" s="626"/>
      <c r="Z13" s="626"/>
      <c r="AA13" s="626"/>
      <c r="AB13" s="626"/>
      <c r="AC13" s="626"/>
      <c r="AD13" s="626"/>
      <c r="AE13" s="626">
        <f>SUM(S13:AD13)</f>
        <v>0</v>
      </c>
    </row>
    <row r="14" spans="1:33" ht="16.5" customHeight="1">
      <c r="A14" s="629" t="str">
        <f>'CF-ACPL（合并）'!A14</f>
        <v>基金管理费收入收到的现金</v>
      </c>
      <c r="B14" s="623">
        <f>INDEX($E14:$P14,1,MATCH($B$4,$E$4:$P$4))</f>
        <v>0</v>
      </c>
      <c r="C14" s="626">
        <f ca="1">SUM($E14:OFFSET($E14,0,MATCH($C$4,$E$4:$P$4)-1))</f>
        <v>0</v>
      </c>
      <c r="D14" s="626"/>
      <c r="E14" s="626"/>
      <c r="F14" s="626"/>
      <c r="G14" s="626"/>
      <c r="H14" s="626"/>
      <c r="I14" s="626"/>
      <c r="J14" s="626"/>
      <c r="K14" s="626"/>
      <c r="L14" s="626"/>
      <c r="M14" s="626"/>
      <c r="N14" s="626"/>
      <c r="O14" s="626"/>
      <c r="P14" s="626"/>
      <c r="Q14" s="626"/>
      <c r="R14" s="626"/>
      <c r="S14" s="626"/>
      <c r="T14" s="626"/>
      <c r="U14" s="626"/>
      <c r="V14" s="626"/>
      <c r="W14" s="626"/>
      <c r="X14" s="626"/>
      <c r="Y14" s="626"/>
      <c r="Z14" s="626"/>
      <c r="AA14" s="626"/>
      <c r="AB14" s="626"/>
      <c r="AC14" s="626"/>
      <c r="AD14" s="626"/>
      <c r="AE14" s="626"/>
    </row>
    <row r="15" spans="1:33" ht="16.5" customHeight="1">
      <c r="A15" s="629" t="str">
        <f>'CF-ACPL（合并）'!A15</f>
        <v>收到的税费返还</v>
      </c>
      <c r="B15" s="623">
        <f t="shared" ref="B15:B27" si="4">INDEX($E15:$P15,1,MATCH($B$4,$E$4:$P$4))</f>
        <v>0</v>
      </c>
      <c r="C15" s="626">
        <f t="shared" ref="C15:C27" ca="1" si="5">SUM($E15:OFFSET($E15,0,MATCH($C$4,$E$4:$P$4)-1))</f>
        <v>0</v>
      </c>
      <c r="D15" s="626"/>
      <c r="E15" s="626"/>
      <c r="F15" s="626"/>
      <c r="G15" s="626"/>
      <c r="H15" s="626"/>
      <c r="I15" s="626"/>
      <c r="J15" s="626"/>
      <c r="K15" s="626"/>
      <c r="L15" s="630"/>
      <c r="M15" s="630"/>
      <c r="N15" s="630"/>
      <c r="O15" s="630"/>
      <c r="P15" s="630"/>
      <c r="Q15" s="626">
        <f t="shared" ref="Q15:Q17" si="6">SUM(E15:P15)</f>
        <v>0</v>
      </c>
      <c r="R15" s="626"/>
      <c r="S15" s="630"/>
      <c r="T15" s="630"/>
      <c r="U15" s="630"/>
      <c r="V15" s="630"/>
      <c r="W15" s="630"/>
      <c r="X15" s="630"/>
      <c r="Y15" s="630"/>
      <c r="Z15" s="630"/>
      <c r="AA15" s="630"/>
      <c r="AB15" s="630"/>
      <c r="AC15" s="630"/>
      <c r="AD15" s="630"/>
      <c r="AE15" s="626">
        <f>SUM(S15:AD15)</f>
        <v>0</v>
      </c>
    </row>
    <row r="16" spans="1:33" ht="16.5" customHeight="1">
      <c r="A16" s="629" t="str">
        <f>'CF-ACPL（合并）'!A16</f>
        <v>其他收入收到的现金（备注）</v>
      </c>
      <c r="B16" s="623">
        <f t="shared" si="4"/>
        <v>0</v>
      </c>
      <c r="C16" s="626">
        <f t="shared" ca="1" si="5"/>
        <v>0</v>
      </c>
      <c r="D16" s="626"/>
      <c r="E16" s="626"/>
      <c r="F16" s="626"/>
      <c r="G16" s="626"/>
      <c r="H16" s="626"/>
      <c r="I16" s="626"/>
      <c r="J16" s="626"/>
      <c r="K16" s="626"/>
      <c r="L16" s="630"/>
      <c r="M16" s="630"/>
      <c r="N16" s="630"/>
      <c r="O16" s="630"/>
      <c r="P16" s="630"/>
      <c r="Q16" s="626">
        <f t="shared" si="6"/>
        <v>0</v>
      </c>
      <c r="R16" s="626"/>
      <c r="S16" s="630"/>
      <c r="T16" s="630"/>
      <c r="U16" s="630"/>
      <c r="V16" s="630"/>
      <c r="W16" s="630"/>
      <c r="X16" s="630"/>
      <c r="Y16" s="630"/>
      <c r="Z16" s="630"/>
      <c r="AA16" s="630"/>
      <c r="AB16" s="630"/>
      <c r="AC16" s="630"/>
      <c r="AD16" s="630"/>
      <c r="AE16" s="626">
        <f>SUM(S16:AD16)</f>
        <v>0</v>
      </c>
    </row>
    <row r="17" spans="1:32" ht="16.5" customHeight="1">
      <c r="A17" s="629" t="str">
        <f>'CF-ACPL（合并）'!A17</f>
        <v>收到的其他与经营活动有关的现金</v>
      </c>
      <c r="B17" s="623">
        <f t="shared" si="4"/>
        <v>0</v>
      </c>
      <c r="C17" s="626">
        <f t="shared" ca="1" si="5"/>
        <v>0</v>
      </c>
      <c r="D17" s="626"/>
      <c r="E17" s="626"/>
      <c r="F17" s="626"/>
      <c r="G17" s="626"/>
      <c r="H17" s="626"/>
      <c r="I17" s="626"/>
      <c r="J17" s="626"/>
      <c r="K17" s="626"/>
      <c r="L17" s="630"/>
      <c r="M17" s="630"/>
      <c r="N17" s="630"/>
      <c r="O17" s="630"/>
      <c r="P17" s="630"/>
      <c r="Q17" s="626">
        <f t="shared" si="6"/>
        <v>0</v>
      </c>
      <c r="R17" s="626"/>
      <c r="S17" s="630"/>
      <c r="T17" s="630"/>
      <c r="U17" s="630"/>
      <c r="V17" s="630"/>
      <c r="W17" s="630"/>
      <c r="X17" s="630"/>
      <c r="Y17" s="630"/>
      <c r="Z17" s="630"/>
      <c r="AA17" s="630"/>
      <c r="AB17" s="630"/>
      <c r="AC17" s="630"/>
      <c r="AD17" s="630"/>
      <c r="AE17" s="626">
        <f>SUM(S17:AD17)</f>
        <v>0</v>
      </c>
    </row>
    <row r="18" spans="1:32" s="601" customFormat="1" ht="16.5" customHeight="1">
      <c r="A18" s="631" t="str">
        <f>'CF-ACPL（合并）'!A18</f>
        <v>经营活动现金流出小计</v>
      </c>
      <c r="B18" s="632">
        <f t="shared" ca="1" si="4"/>
        <v>-475</v>
      </c>
      <c r="C18" s="632">
        <f t="shared" ca="1" si="5"/>
        <v>-475</v>
      </c>
      <c r="D18" s="632"/>
      <c r="E18" s="632">
        <f t="shared" ref="E18:Q18" ca="1" si="7">SUM(E19:E27)</f>
        <v>-475</v>
      </c>
      <c r="F18" s="632">
        <f t="shared" ca="1" si="7"/>
        <v>-475</v>
      </c>
      <c r="G18" s="632">
        <f t="shared" ca="1" si="7"/>
        <v>-475</v>
      </c>
      <c r="H18" s="632">
        <f t="shared" ca="1" si="7"/>
        <v>-475</v>
      </c>
      <c r="I18" s="632">
        <f t="shared" ca="1" si="7"/>
        <v>-475</v>
      </c>
      <c r="J18" s="632">
        <f t="shared" ca="1" si="7"/>
        <v>-52345</v>
      </c>
      <c r="K18" s="632">
        <f t="shared" ca="1" si="7"/>
        <v>-475</v>
      </c>
      <c r="L18" s="632">
        <f t="shared" ca="1" si="7"/>
        <v>-475</v>
      </c>
      <c r="M18" s="632">
        <f t="shared" ca="1" si="7"/>
        <v>-475</v>
      </c>
      <c r="N18" s="632">
        <f t="shared" ca="1" si="7"/>
        <v>-475</v>
      </c>
      <c r="O18" s="632">
        <f t="shared" ca="1" si="7"/>
        <v>-475</v>
      </c>
      <c r="P18" s="632">
        <f t="shared" ca="1" si="7"/>
        <v>-50475</v>
      </c>
      <c r="Q18" s="632">
        <f t="shared" ca="1" si="7"/>
        <v>-107570</v>
      </c>
      <c r="R18" s="623"/>
      <c r="S18" s="632">
        <f t="shared" ref="S18:AE18" si="8">SUM(S19:S27)</f>
        <v>0</v>
      </c>
      <c r="T18" s="632">
        <f t="shared" si="8"/>
        <v>0</v>
      </c>
      <c r="U18" s="632">
        <f t="shared" si="8"/>
        <v>0</v>
      </c>
      <c r="V18" s="632">
        <f t="shared" si="8"/>
        <v>0</v>
      </c>
      <c r="W18" s="632">
        <f t="shared" si="8"/>
        <v>0</v>
      </c>
      <c r="X18" s="632">
        <f t="shared" si="8"/>
        <v>0</v>
      </c>
      <c r="Y18" s="632">
        <f t="shared" si="8"/>
        <v>0</v>
      </c>
      <c r="Z18" s="632">
        <f t="shared" si="8"/>
        <v>0</v>
      </c>
      <c r="AA18" s="632">
        <f t="shared" si="8"/>
        <v>0</v>
      </c>
      <c r="AB18" s="632">
        <f t="shared" si="8"/>
        <v>0</v>
      </c>
      <c r="AC18" s="632">
        <f t="shared" si="8"/>
        <v>0</v>
      </c>
      <c r="AD18" s="632">
        <f t="shared" si="8"/>
        <v>0</v>
      </c>
      <c r="AE18" s="632">
        <f t="shared" si="8"/>
        <v>0</v>
      </c>
    </row>
    <row r="19" spans="1:32" ht="16.5" customHeight="1">
      <c r="A19" s="629" t="str">
        <f>'CF-ACPL（合并）'!A19</f>
        <v>购买商品/接受劳务支付的现金</v>
      </c>
      <c r="B19" s="623">
        <f t="shared" si="4"/>
        <v>0</v>
      </c>
      <c r="C19" s="626">
        <f t="shared" ca="1" si="5"/>
        <v>0</v>
      </c>
      <c r="D19" s="626"/>
      <c r="E19" s="626"/>
      <c r="F19" s="626"/>
      <c r="G19" s="626"/>
      <c r="H19" s="626"/>
      <c r="I19" s="626"/>
      <c r="J19" s="626"/>
      <c r="K19" s="626"/>
      <c r="L19" s="626"/>
      <c r="M19" s="630"/>
      <c r="N19" s="626"/>
      <c r="O19" s="626"/>
      <c r="P19" s="626"/>
      <c r="Q19" s="626">
        <f t="shared" ref="Q19:Q27" si="9">SUM(E19:P19)</f>
        <v>0</v>
      </c>
      <c r="R19" s="626"/>
      <c r="S19" s="630"/>
      <c r="T19" s="630"/>
      <c r="U19" s="630"/>
      <c r="V19" s="630"/>
      <c r="W19" s="630"/>
      <c r="X19" s="630"/>
      <c r="Y19" s="630"/>
      <c r="Z19" s="630"/>
      <c r="AA19" s="630"/>
      <c r="AB19" s="630"/>
      <c r="AC19" s="630"/>
      <c r="AD19" s="630"/>
      <c r="AE19" s="626">
        <f t="shared" ref="AE19:AE25" si="10">SUM(S19:AD19)</f>
        <v>0</v>
      </c>
    </row>
    <row r="20" spans="1:32" ht="16.5" customHeight="1">
      <c r="A20" s="629" t="str">
        <f>'CF-ACPL（合并）'!A20</f>
        <v>所得税支付的现金</v>
      </c>
      <c r="B20" s="623">
        <f t="shared" si="4"/>
        <v>0</v>
      </c>
      <c r="C20" s="626">
        <f t="shared" ca="1" si="5"/>
        <v>0</v>
      </c>
      <c r="D20" s="626"/>
      <c r="E20" s="626"/>
      <c r="F20" s="626"/>
      <c r="G20" s="626"/>
      <c r="H20" s="626"/>
      <c r="I20" s="626"/>
      <c r="J20" s="626"/>
      <c r="K20" s="626"/>
      <c r="L20" s="630"/>
      <c r="M20" s="630"/>
      <c r="N20" s="630"/>
      <c r="O20" s="630"/>
      <c r="P20" s="630"/>
      <c r="Q20" s="626">
        <f t="shared" si="9"/>
        <v>0</v>
      </c>
      <c r="R20" s="626"/>
      <c r="S20" s="630"/>
      <c r="T20" s="630"/>
      <c r="U20" s="630"/>
      <c r="V20" s="630"/>
      <c r="W20" s="630"/>
      <c r="X20" s="630"/>
      <c r="Y20" s="630"/>
      <c r="Z20" s="630"/>
      <c r="AA20" s="630"/>
      <c r="AB20" s="630"/>
      <c r="AC20" s="630"/>
      <c r="AD20" s="630"/>
      <c r="AE20" s="626">
        <f t="shared" si="10"/>
        <v>0</v>
      </c>
    </row>
    <row r="21" spans="1:32" ht="16.5" customHeight="1">
      <c r="A21" s="629" t="str">
        <f>'CF-ACPL（合并）'!A21</f>
        <v>增值税及附加支付的现金</v>
      </c>
      <c r="B21" s="623">
        <f t="shared" si="4"/>
        <v>0</v>
      </c>
      <c r="C21" s="626">
        <f t="shared" ca="1" si="5"/>
        <v>0</v>
      </c>
      <c r="D21" s="626"/>
      <c r="E21" s="626"/>
      <c r="F21" s="626"/>
      <c r="G21" s="626"/>
      <c r="H21" s="626"/>
      <c r="I21" s="626"/>
      <c r="J21" s="626"/>
      <c r="K21" s="626"/>
      <c r="L21" s="630"/>
      <c r="M21" s="630"/>
      <c r="N21" s="630"/>
      <c r="O21" s="630"/>
      <c r="P21" s="630"/>
      <c r="Q21" s="626">
        <f t="shared" si="9"/>
        <v>0</v>
      </c>
      <c r="R21" s="626"/>
      <c r="S21" s="630"/>
      <c r="T21" s="630"/>
      <c r="U21" s="630"/>
      <c r="V21" s="630"/>
      <c r="W21" s="630"/>
      <c r="X21" s="630"/>
      <c r="Y21" s="630"/>
      <c r="Z21" s="630"/>
      <c r="AA21" s="630"/>
      <c r="AB21" s="630"/>
      <c r="AC21" s="630"/>
      <c r="AD21" s="630"/>
      <c r="AE21" s="626">
        <f t="shared" si="10"/>
        <v>0</v>
      </c>
    </row>
    <row r="22" spans="1:32" ht="16.5" customHeight="1">
      <c r="A22" s="629" t="str">
        <f>'CF-ACPL（合并）'!A22</f>
        <v>咨询管理费用支付的现金</v>
      </c>
      <c r="B22" s="623">
        <f t="shared" si="4"/>
        <v>0</v>
      </c>
      <c r="C22" s="626">
        <f t="shared" ca="1" si="5"/>
        <v>0</v>
      </c>
      <c r="D22" s="626"/>
      <c r="E22" s="626"/>
      <c r="F22" s="626"/>
      <c r="G22" s="626"/>
      <c r="H22" s="626"/>
      <c r="I22" s="626"/>
      <c r="J22" s="626"/>
      <c r="K22" s="626"/>
      <c r="L22" s="626"/>
      <c r="M22" s="626"/>
      <c r="N22" s="626"/>
      <c r="O22" s="626"/>
      <c r="P22" s="626"/>
      <c r="Q22" s="626">
        <f t="shared" si="9"/>
        <v>0</v>
      </c>
      <c r="R22" s="626"/>
      <c r="S22" s="626"/>
      <c r="T22" s="626"/>
      <c r="U22" s="626"/>
      <c r="V22" s="626"/>
      <c r="W22" s="626"/>
      <c r="X22" s="626"/>
      <c r="Y22" s="626"/>
      <c r="Z22" s="626"/>
      <c r="AA22" s="626"/>
      <c r="AB22" s="626"/>
      <c r="AC22" s="626"/>
      <c r="AD22" s="626"/>
      <c r="AE22" s="626">
        <f t="shared" si="10"/>
        <v>0</v>
      </c>
    </row>
    <row r="23" spans="1:32" ht="16.5" customHeight="1">
      <c r="A23" s="629" t="str">
        <f>'CF-ACPL（合并）'!A23</f>
        <v>支付给职工以及为职工支付的现金</v>
      </c>
      <c r="B23" s="623">
        <f t="shared" si="4"/>
        <v>0</v>
      </c>
      <c r="C23" s="626">
        <f t="shared" ca="1" si="5"/>
        <v>0</v>
      </c>
      <c r="D23" s="626"/>
      <c r="E23" s="626"/>
      <c r="F23" s="626"/>
      <c r="G23" s="626"/>
      <c r="H23" s="626"/>
      <c r="I23" s="626"/>
      <c r="J23" s="626"/>
      <c r="K23" s="626"/>
      <c r="L23" s="626"/>
      <c r="M23" s="626"/>
      <c r="N23" s="626"/>
      <c r="O23" s="626"/>
      <c r="P23" s="626"/>
      <c r="Q23" s="626">
        <f t="shared" si="9"/>
        <v>0</v>
      </c>
      <c r="R23" s="626"/>
      <c r="S23" s="630"/>
      <c r="T23" s="630"/>
      <c r="U23" s="630"/>
      <c r="V23" s="630"/>
      <c r="W23" s="630"/>
      <c r="X23" s="630"/>
      <c r="Y23" s="630"/>
      <c r="Z23" s="630"/>
      <c r="AA23" s="630"/>
      <c r="AB23" s="630"/>
      <c r="AC23" s="630"/>
      <c r="AD23" s="630"/>
      <c r="AE23" s="626">
        <f t="shared" si="10"/>
        <v>0</v>
      </c>
    </row>
    <row r="24" spans="1:32" s="602" customFormat="1" ht="16.5" customHeight="1">
      <c r="A24" s="629" t="str">
        <f>'CF-ACPL（合并）'!A24</f>
        <v>支付的其他与经营活动有关的现金（租金）</v>
      </c>
      <c r="B24" s="623">
        <f t="shared" si="4"/>
        <v>0</v>
      </c>
      <c r="C24" s="626">
        <f t="shared" ca="1" si="5"/>
        <v>0</v>
      </c>
      <c r="D24" s="626"/>
      <c r="E24" s="626">
        <f>-SUMIFS(SPACE!O:O,SPACE!$A:$A,$C$1,SPACE!$F:$F,$A24)</f>
        <v>0</v>
      </c>
      <c r="F24" s="626">
        <f>-SUMIFS(SPACE!P:P,SPACE!$A:$A,$C$1,SPACE!$F:$F,$A24)</f>
        <v>0</v>
      </c>
      <c r="G24" s="626">
        <f>-SUMIFS(SPACE!Q:Q,SPACE!$A:$A,$C$1,SPACE!$F:$F,$A24)</f>
        <v>0</v>
      </c>
      <c r="H24" s="626">
        <f>-SUMIFS(SPACE!R:R,SPACE!$A:$A,$C$1,SPACE!$F:$F,$A24)</f>
        <v>0</v>
      </c>
      <c r="I24" s="626">
        <f>-SUMIFS(SPACE!S:S,SPACE!$A:$A,$C$1,SPACE!$F:$F,$A24)</f>
        <v>0</v>
      </c>
      <c r="J24" s="626">
        <f>-SUMIFS(SPACE!T:T,SPACE!$A:$A,$C$1,SPACE!$F:$F,$A24)</f>
        <v>0</v>
      </c>
      <c r="K24" s="626">
        <f>-SUMIFS(SPACE!U:U,SPACE!$A:$A,$C$1,SPACE!$F:$F,$A24)</f>
        <v>0</v>
      </c>
      <c r="L24" s="626">
        <f>-SUMIFS(SPACE!V:V,SPACE!$A:$A,$C$1,SPACE!$F:$F,$A24)</f>
        <v>0</v>
      </c>
      <c r="M24" s="626">
        <f>-SUMIFS(SPACE!W:W,SPACE!$A:$A,$C$1,SPACE!$F:$F,$A24)</f>
        <v>0</v>
      </c>
      <c r="N24" s="626">
        <f>-SUMIFS(SPACE!X:X,SPACE!$A:$A,$C$1,SPACE!$F:$F,$A24)</f>
        <v>0</v>
      </c>
      <c r="O24" s="626">
        <f>-SUMIFS(SPACE!Y:Y,SPACE!$A:$A,$C$1,SPACE!$F:$F,$A24)</f>
        <v>0</v>
      </c>
      <c r="P24" s="626">
        <f>-SUMIFS(SPACE!Z:Z,SPACE!$A:$A,$C$1,SPACE!$F:$F,$A24)</f>
        <v>0</v>
      </c>
      <c r="Q24" s="626">
        <f t="shared" si="9"/>
        <v>0</v>
      </c>
      <c r="R24" s="626"/>
      <c r="S24" s="630"/>
      <c r="T24" s="630"/>
      <c r="U24" s="630"/>
      <c r="V24" s="630"/>
      <c r="W24" s="630"/>
      <c r="X24" s="630"/>
      <c r="Y24" s="630"/>
      <c r="Z24" s="630"/>
      <c r="AA24" s="630"/>
      <c r="AB24" s="630"/>
      <c r="AC24" s="630"/>
      <c r="AD24" s="630"/>
      <c r="AE24" s="626">
        <f t="shared" si="10"/>
        <v>0</v>
      </c>
      <c r="AF24" s="610"/>
    </row>
    <row r="25" spans="1:32" s="602" customFormat="1" ht="16.5" customHeight="1">
      <c r="A25" s="629" t="str">
        <f>'CF-ACPL（合并）'!A25</f>
        <v>支付的其他与经营活动有关的现金（专业服务费）</v>
      </c>
      <c r="B25" s="623">
        <f t="shared" si="4"/>
        <v>0</v>
      </c>
      <c r="C25" s="626">
        <f t="shared" ca="1" si="5"/>
        <v>0</v>
      </c>
      <c r="D25" s="626"/>
      <c r="E25" s="626">
        <f>-SUMIFS('Prof. Fee'!AF:AF,'Prof. Fee'!$B:$B,$C$1,'Prof. Fee'!$C:$C,$A25)</f>
        <v>0</v>
      </c>
      <c r="F25" s="626">
        <f>-SUMIFS('Prof. Fee'!AG:AG,'Prof. Fee'!$B:$B,$C$1,'Prof. Fee'!$C:$C,$A25)</f>
        <v>0</v>
      </c>
      <c r="G25" s="626">
        <f>-SUMIFS('Prof. Fee'!AH:AH,'Prof. Fee'!$B:$B,$C$1,'Prof. Fee'!$C:$C,$A25)</f>
        <v>0</v>
      </c>
      <c r="H25" s="626">
        <f>-SUMIFS('Prof. Fee'!AI:AI,'Prof. Fee'!$B:$B,$C$1,'Prof. Fee'!$C:$C,$A25)</f>
        <v>0</v>
      </c>
      <c r="I25" s="626">
        <f>-SUMIFS('Prof. Fee'!AJ:AJ,'Prof. Fee'!$B:$B,$C$1,'Prof. Fee'!$C:$C,$A25)</f>
        <v>0</v>
      </c>
      <c r="J25" s="626">
        <f>-SUMIFS('Prof. Fee'!AK:AK,'Prof. Fee'!$B:$B,$C$1,'Prof. Fee'!$C:$C,$A25)</f>
        <v>-51870</v>
      </c>
      <c r="K25" s="626">
        <f>-SUMIFS('Prof. Fee'!AL:AL,'Prof. Fee'!$B:$B,$C$1,'Prof. Fee'!$C:$C,$A25)</f>
        <v>0</v>
      </c>
      <c r="L25" s="626">
        <f>-SUMIFS('Prof. Fee'!AM:AM,'Prof. Fee'!$B:$B,$C$1,'Prof. Fee'!$C:$C,$A25)</f>
        <v>0</v>
      </c>
      <c r="M25" s="626">
        <f>-SUMIFS('Prof. Fee'!AN:AN,'Prof. Fee'!$B:$B,$C$1,'Prof. Fee'!$C:$C,$A25)</f>
        <v>0</v>
      </c>
      <c r="N25" s="626">
        <f>-SUMIFS('Prof. Fee'!AO:AO,'Prof. Fee'!$B:$B,$C$1,'Prof. Fee'!$C:$C,$A25)</f>
        <v>0</v>
      </c>
      <c r="O25" s="626">
        <f>-SUMIFS('Prof. Fee'!AP:AP,'Prof. Fee'!$B:$B,$C$1,'Prof. Fee'!$C:$C,$A25)</f>
        <v>0</v>
      </c>
      <c r="P25" s="626">
        <f>-SUMIFS('Prof. Fee'!AQ:AQ,'Prof. Fee'!$B:$B,$C$1,'Prof. Fee'!$C:$C,$A25)</f>
        <v>-50000</v>
      </c>
      <c r="Q25" s="626">
        <f t="shared" si="9"/>
        <v>-101870</v>
      </c>
      <c r="R25" s="626"/>
      <c r="S25" s="630"/>
      <c r="T25" s="630"/>
      <c r="U25" s="630"/>
      <c r="V25" s="630"/>
      <c r="W25" s="630"/>
      <c r="X25" s="630"/>
      <c r="Y25" s="630"/>
      <c r="Z25" s="630"/>
      <c r="AA25" s="630"/>
      <c r="AB25" s="630"/>
      <c r="AC25" s="630"/>
      <c r="AD25" s="630"/>
      <c r="AE25" s="626">
        <f t="shared" si="10"/>
        <v>0</v>
      </c>
      <c r="AF25" s="610"/>
    </row>
    <row r="26" spans="1:32" s="602" customFormat="1" ht="16.5" customHeight="1">
      <c r="A26" s="629" t="str">
        <f>'CF-ACPL（合并）'!A26</f>
        <v>支付的其他与经营活动有关的现金（员工报销）</v>
      </c>
      <c r="B26" s="623">
        <f t="shared" ca="1" si="4"/>
        <v>-225</v>
      </c>
      <c r="C26" s="626">
        <f t="shared" ca="1" si="5"/>
        <v>-225</v>
      </c>
      <c r="D26" s="626"/>
      <c r="E26" s="626">
        <f ca="1">-SUMIFS('T&amp;E'!N47:N140,'T&amp;E'!$B$47:$B$140,$C$1,'T&amp;E'!$E$47:$E$140,$A26)</f>
        <v>-225</v>
      </c>
      <c r="F26" s="626">
        <f ca="1">-SUMIFS('T&amp;E'!O47:O140,'T&amp;E'!$B$47:$B$140,$C$1,'T&amp;E'!$E$47:$E$140,$A26)</f>
        <v>-225</v>
      </c>
      <c r="G26" s="626">
        <f ca="1">-SUMIFS('T&amp;E'!P47:P140,'T&amp;E'!$B$47:$B$140,$C$1,'T&amp;E'!$E$47:$E$140,$A26)</f>
        <v>-225</v>
      </c>
      <c r="H26" s="626">
        <f ca="1">-SUMIFS('T&amp;E'!Q47:Q140,'T&amp;E'!$B$47:$B$140,$C$1,'T&amp;E'!$E$47:$E$140,$A26)</f>
        <v>-225</v>
      </c>
      <c r="I26" s="626">
        <f ca="1">-SUMIFS('T&amp;E'!R47:R140,'T&amp;E'!$B$47:$B$140,$C$1,'T&amp;E'!$E$47:$E$140,$A26)</f>
        <v>-225</v>
      </c>
      <c r="J26" s="626">
        <f ca="1">-SUMIFS('T&amp;E'!S47:S140,'T&amp;E'!$B$47:$B$140,$C$1,'T&amp;E'!$E$47:$E$140,$A26)</f>
        <v>-225</v>
      </c>
      <c r="K26" s="626">
        <f ca="1">-SUMIFS('T&amp;E'!T47:T140,'T&amp;E'!$B$47:$B$140,$C$1,'T&amp;E'!$E$47:$E$140,$A26)</f>
        <v>-225</v>
      </c>
      <c r="L26" s="626">
        <f ca="1">-SUMIFS('T&amp;E'!U47:U140,'T&amp;E'!$B$47:$B$140,$C$1,'T&amp;E'!$E$47:$E$140,$A26)</f>
        <v>-225</v>
      </c>
      <c r="M26" s="626">
        <f ca="1">-SUMIFS('T&amp;E'!V47:V140,'T&amp;E'!$B$47:$B$140,$C$1,'T&amp;E'!$E$47:$E$140,$A26)</f>
        <v>-225</v>
      </c>
      <c r="N26" s="626">
        <f ca="1">-SUMIFS('T&amp;E'!W47:W140,'T&amp;E'!$B$47:$B$140,$C$1,'T&amp;E'!$E$47:$E$140,$A26)</f>
        <v>-225</v>
      </c>
      <c r="O26" s="626">
        <f ca="1">-SUMIFS('T&amp;E'!X47:X140,'T&amp;E'!$B$47:$B$140,$C$1,'T&amp;E'!$E$47:$E$140,$A26)</f>
        <v>-225</v>
      </c>
      <c r="P26" s="626">
        <f ca="1">-SUMIFS('T&amp;E'!Y47:Y140,'T&amp;E'!$B$47:$B$140,$C$1,'T&amp;E'!$E$47:$E$140,$A26)</f>
        <v>-225</v>
      </c>
      <c r="Q26" s="626">
        <f t="shared" ca="1" si="9"/>
        <v>-2700</v>
      </c>
      <c r="R26" s="626"/>
      <c r="S26" s="630"/>
      <c r="T26" s="630"/>
      <c r="U26" s="630"/>
      <c r="V26" s="630"/>
      <c r="W26" s="630"/>
      <c r="X26" s="630"/>
      <c r="Y26" s="630"/>
      <c r="Z26" s="630"/>
      <c r="AA26" s="630"/>
      <c r="AB26" s="630"/>
      <c r="AC26" s="630"/>
      <c r="AD26" s="630"/>
      <c r="AE26" s="626"/>
      <c r="AF26" s="610"/>
    </row>
    <row r="27" spans="1:32" ht="16.5" customHeight="1">
      <c r="A27" s="629" t="str">
        <f>'CF-ACPL（合并）'!A27</f>
        <v>支付的其他与经营活动有关的现金（其他）</v>
      </c>
      <c r="B27" s="623">
        <f t="shared" si="4"/>
        <v>-250</v>
      </c>
      <c r="C27" s="626">
        <f t="shared" ca="1" si="5"/>
        <v>-250</v>
      </c>
      <c r="D27" s="626"/>
      <c r="E27" s="626">
        <f>-(SUMIFS(SPACE!O:O,SPACE!$A:$A,$C$1,SPACE!$F:$F,$A27)+SUMIFS('Other Exp'!AG:AG,'Other Exp'!$B:$B,$C$1,'Other Exp'!$D:$D,$A27))</f>
        <v>-250</v>
      </c>
      <c r="F27" s="626">
        <f>-(SUMIFS(SPACE!P:P,SPACE!$A:$A,$C$1,SPACE!$F:$F,$A27)+SUMIFS('Other Exp'!AH:AH,'Other Exp'!$B:$B,$C$1,'Other Exp'!$D:$D,$A27))</f>
        <v>-250</v>
      </c>
      <c r="G27" s="626">
        <f>-(SUMIFS(SPACE!Q:Q,SPACE!$A:$A,$C$1,SPACE!$F:$F,$A27)+SUMIFS('Other Exp'!AI:AI,'Other Exp'!$B:$B,$C$1,'Other Exp'!$D:$D,$A27))</f>
        <v>-250</v>
      </c>
      <c r="H27" s="626">
        <f>-(SUMIFS(SPACE!R:R,SPACE!$A:$A,$C$1,SPACE!$F:$F,$A27)+SUMIFS('Other Exp'!AJ:AJ,'Other Exp'!$B:$B,$C$1,'Other Exp'!$D:$D,$A27))</f>
        <v>-250</v>
      </c>
      <c r="I27" s="626">
        <f>-(SUMIFS(SPACE!S:S,SPACE!$A:$A,$C$1,SPACE!$F:$F,$A27)+SUMIFS('Other Exp'!AK:AK,'Other Exp'!$B:$B,$C$1,'Other Exp'!$D:$D,$A27))</f>
        <v>-250</v>
      </c>
      <c r="J27" s="626">
        <f>-(SUMIFS(SPACE!T:T,SPACE!$A:$A,$C$1,SPACE!$F:$F,$A27)+SUMIFS('Other Exp'!AL:AL,'Other Exp'!$B:$B,$C$1,'Other Exp'!$D:$D,$A27))</f>
        <v>-250</v>
      </c>
      <c r="K27" s="626">
        <f>-(SUMIFS(SPACE!U:U,SPACE!$A:$A,$C$1,SPACE!$F:$F,$A27)+SUMIFS('Other Exp'!AM:AM,'Other Exp'!$B:$B,$C$1,'Other Exp'!$D:$D,$A27))</f>
        <v>-250</v>
      </c>
      <c r="L27" s="626">
        <f>-(SUMIFS(SPACE!V:V,SPACE!$A:$A,$C$1,SPACE!$F:$F,$A27)+SUMIFS('Other Exp'!AN:AN,'Other Exp'!$B:$B,$C$1,'Other Exp'!$D:$D,$A27))</f>
        <v>-250</v>
      </c>
      <c r="M27" s="626">
        <f>-(SUMIFS(SPACE!W:W,SPACE!$A:$A,$C$1,SPACE!$F:$F,$A27)+SUMIFS('Other Exp'!AO:AO,'Other Exp'!$B:$B,$C$1,'Other Exp'!$D:$D,$A27))</f>
        <v>-250</v>
      </c>
      <c r="N27" s="626">
        <f>-(SUMIFS(SPACE!X:X,SPACE!$A:$A,$C$1,SPACE!$F:$F,$A27)+SUMIFS('Other Exp'!AP:AP,'Other Exp'!$B:$B,$C$1,'Other Exp'!$D:$D,$A27))</f>
        <v>-250</v>
      </c>
      <c r="O27" s="626">
        <f>-(SUMIFS(SPACE!Y:Y,SPACE!$A:$A,$C$1,SPACE!$F:$F,$A27)+SUMIFS('Other Exp'!AQ:AQ,'Other Exp'!$B:$B,$C$1,'Other Exp'!$D:$D,$A27))</f>
        <v>-250</v>
      </c>
      <c r="P27" s="626">
        <f>-(SUMIFS(SPACE!Z:Z,SPACE!$A:$A,$C$1,SPACE!$F:$F,$A27)+SUMIFS('Other Exp'!AR:AR,'Other Exp'!$B:$B,$C$1,'Other Exp'!$D:$D,$A27))</f>
        <v>-250</v>
      </c>
      <c r="Q27" s="626">
        <f t="shared" si="9"/>
        <v>-3000</v>
      </c>
      <c r="R27" s="458">
        <f ca="1">SUM(Q25:Q27)+SUM(SPACE!AA48:AA65)+'T&amp;E'!Z89-'Prof. Fee'!AR66+'Other Exp'!AS75</f>
        <v>-198740</v>
      </c>
      <c r="S27" s="630"/>
      <c r="T27" s="626"/>
      <c r="U27" s="630"/>
      <c r="V27" s="630"/>
      <c r="W27" s="626"/>
      <c r="X27" s="630"/>
      <c r="Y27" s="630"/>
      <c r="Z27" s="626"/>
      <c r="AA27" s="630"/>
      <c r="AB27" s="630"/>
      <c r="AC27" s="626"/>
      <c r="AD27" s="630"/>
      <c r="AE27" s="626">
        <f>SUM(S27:AD27)</f>
        <v>0</v>
      </c>
    </row>
    <row r="28" spans="1:32" s="602" customFormat="1" ht="16.5" customHeight="1">
      <c r="A28" s="629"/>
      <c r="B28" s="633"/>
      <c r="C28" s="633"/>
      <c r="D28" s="633"/>
      <c r="E28" s="626"/>
      <c r="F28" s="626"/>
      <c r="G28" s="626"/>
      <c r="H28" s="626"/>
      <c r="I28" s="626"/>
      <c r="J28" s="626"/>
      <c r="K28" s="626"/>
      <c r="L28" s="630"/>
      <c r="M28" s="630"/>
      <c r="N28" s="630"/>
      <c r="O28" s="630"/>
      <c r="P28" s="630"/>
      <c r="Q28" s="626"/>
      <c r="R28" s="626"/>
      <c r="S28" s="630"/>
      <c r="T28" s="626"/>
      <c r="U28" s="630"/>
      <c r="V28" s="630"/>
      <c r="W28" s="626"/>
      <c r="X28" s="630"/>
      <c r="Y28" s="630"/>
      <c r="Z28" s="626"/>
      <c r="AA28" s="630"/>
      <c r="AB28" s="630"/>
      <c r="AC28" s="626"/>
      <c r="AD28" s="630"/>
      <c r="AE28" s="626"/>
      <c r="AF28" s="610"/>
    </row>
    <row r="29" spans="1:32" s="601" customFormat="1" ht="16.5" customHeight="1">
      <c r="A29" s="608" t="str">
        <f>'CF-ACPL（合并）'!A29</f>
        <v>经营活动产生的现金流量净额</v>
      </c>
      <c r="B29" s="634">
        <f t="shared" ref="B29:B42" ca="1" si="11">INDEX($E29:$P29,1,MATCH($B$4,$E$4:$P$4))</f>
        <v>-475</v>
      </c>
      <c r="C29" s="634">
        <f t="shared" ref="C29:C42" ca="1" si="12">SUM($E29:OFFSET($E29,0,MATCH($C$4,$E$4:$P$4)-1))</f>
        <v>-475</v>
      </c>
      <c r="D29" s="634"/>
      <c r="E29" s="622">
        <f ca="1">E12+E18</f>
        <v>-475</v>
      </c>
      <c r="F29" s="622">
        <f t="shared" ref="F29:Q29" ca="1" si="13">F12+F18</f>
        <v>-475</v>
      </c>
      <c r="G29" s="622">
        <f t="shared" ca="1" si="13"/>
        <v>-475</v>
      </c>
      <c r="H29" s="622">
        <f t="shared" ca="1" si="13"/>
        <v>-475</v>
      </c>
      <c r="I29" s="622">
        <f t="shared" ca="1" si="13"/>
        <v>-475</v>
      </c>
      <c r="J29" s="622">
        <f t="shared" ca="1" si="13"/>
        <v>-52345</v>
      </c>
      <c r="K29" s="622">
        <f t="shared" ca="1" si="13"/>
        <v>-475</v>
      </c>
      <c r="L29" s="622">
        <f t="shared" ca="1" si="13"/>
        <v>-475</v>
      </c>
      <c r="M29" s="622">
        <f t="shared" ca="1" si="13"/>
        <v>-475</v>
      </c>
      <c r="N29" s="622">
        <f t="shared" ca="1" si="13"/>
        <v>-475</v>
      </c>
      <c r="O29" s="622">
        <f t="shared" ca="1" si="13"/>
        <v>-475</v>
      </c>
      <c r="P29" s="622">
        <f t="shared" ca="1" si="13"/>
        <v>-50475</v>
      </c>
      <c r="Q29" s="622">
        <f t="shared" ca="1" si="13"/>
        <v>-107570</v>
      </c>
      <c r="R29" s="623"/>
      <c r="S29" s="622">
        <f t="shared" ref="S29:AE29" si="14">S12-S18</f>
        <v>0</v>
      </c>
      <c r="T29" s="622">
        <f t="shared" si="14"/>
        <v>0</v>
      </c>
      <c r="U29" s="622">
        <f t="shared" si="14"/>
        <v>0</v>
      </c>
      <c r="V29" s="622">
        <f t="shared" si="14"/>
        <v>0</v>
      </c>
      <c r="W29" s="622">
        <f t="shared" si="14"/>
        <v>0</v>
      </c>
      <c r="X29" s="622">
        <f t="shared" si="14"/>
        <v>0</v>
      </c>
      <c r="Y29" s="622">
        <f t="shared" si="14"/>
        <v>0</v>
      </c>
      <c r="Z29" s="622">
        <f t="shared" si="14"/>
        <v>0</v>
      </c>
      <c r="AA29" s="622">
        <f t="shared" si="14"/>
        <v>0</v>
      </c>
      <c r="AB29" s="622">
        <f t="shared" si="14"/>
        <v>0</v>
      </c>
      <c r="AC29" s="622">
        <f t="shared" si="14"/>
        <v>0</v>
      </c>
      <c r="AD29" s="622">
        <f t="shared" si="14"/>
        <v>0</v>
      </c>
      <c r="AE29" s="622">
        <f t="shared" si="14"/>
        <v>0</v>
      </c>
      <c r="AF29" s="610"/>
    </row>
    <row r="30" spans="1:32" ht="16.5" customHeight="1">
      <c r="A30" s="629"/>
      <c r="B30" s="633"/>
      <c r="C30" s="633"/>
      <c r="D30" s="633"/>
      <c r="E30" s="626"/>
      <c r="F30" s="626"/>
      <c r="G30" s="626"/>
      <c r="H30" s="626"/>
      <c r="I30" s="626"/>
      <c r="J30" s="626"/>
      <c r="K30" s="626"/>
      <c r="L30" s="626"/>
      <c r="M30" s="626"/>
      <c r="N30" s="626"/>
      <c r="O30" s="626"/>
      <c r="P30" s="626"/>
      <c r="Q30" s="626"/>
      <c r="R30" s="626"/>
      <c r="S30" s="626"/>
      <c r="T30" s="626"/>
      <c r="U30" s="626"/>
      <c r="V30" s="626"/>
      <c r="W30" s="626"/>
      <c r="X30" s="626"/>
      <c r="Y30" s="626"/>
      <c r="Z30" s="626"/>
      <c r="AA30" s="626"/>
      <c r="AB30" s="626"/>
      <c r="AC30" s="626"/>
      <c r="AD30" s="626"/>
      <c r="AE30" s="626"/>
    </row>
    <row r="31" spans="1:32" s="603" customFormat="1" ht="16.5" customHeight="1">
      <c r="A31" s="627" t="str">
        <f>'CF-ACPL（合并）'!A31</f>
        <v>投资活动现金流入小计</v>
      </c>
      <c r="B31" s="628">
        <f t="shared" si="11"/>
        <v>0</v>
      </c>
      <c r="C31" s="628">
        <f t="shared" ca="1" si="12"/>
        <v>0</v>
      </c>
      <c r="D31" s="628"/>
      <c r="E31" s="628">
        <f t="shared" ref="E31:Q31" si="15">SUM(E32:E36)</f>
        <v>0</v>
      </c>
      <c r="F31" s="628">
        <f t="shared" si="15"/>
        <v>13500000</v>
      </c>
      <c r="G31" s="628">
        <f t="shared" si="15"/>
        <v>0</v>
      </c>
      <c r="H31" s="628">
        <f t="shared" si="15"/>
        <v>7605000</v>
      </c>
      <c r="I31" s="628">
        <f t="shared" si="15"/>
        <v>0</v>
      </c>
      <c r="J31" s="628">
        <f t="shared" si="15"/>
        <v>0</v>
      </c>
      <c r="K31" s="628">
        <f t="shared" si="15"/>
        <v>0</v>
      </c>
      <c r="L31" s="628">
        <f t="shared" si="15"/>
        <v>0</v>
      </c>
      <c r="M31" s="628">
        <f t="shared" si="15"/>
        <v>0</v>
      </c>
      <c r="N31" s="628">
        <f t="shared" si="15"/>
        <v>0</v>
      </c>
      <c r="O31" s="628">
        <f t="shared" si="15"/>
        <v>0</v>
      </c>
      <c r="P31" s="628">
        <f t="shared" si="15"/>
        <v>0</v>
      </c>
      <c r="Q31" s="628">
        <f t="shared" si="15"/>
        <v>21105000</v>
      </c>
      <c r="R31" s="623"/>
      <c r="S31" s="628">
        <f t="shared" ref="S31:AE31" si="16">SUM(S32:S36)</f>
        <v>0</v>
      </c>
      <c r="T31" s="628">
        <f t="shared" si="16"/>
        <v>0</v>
      </c>
      <c r="U31" s="628">
        <f t="shared" si="16"/>
        <v>0</v>
      </c>
      <c r="V31" s="628">
        <f t="shared" si="16"/>
        <v>0</v>
      </c>
      <c r="W31" s="628">
        <f t="shared" si="16"/>
        <v>0</v>
      </c>
      <c r="X31" s="628">
        <f t="shared" si="16"/>
        <v>0</v>
      </c>
      <c r="Y31" s="628">
        <f t="shared" si="16"/>
        <v>0</v>
      </c>
      <c r="Z31" s="628">
        <f t="shared" si="16"/>
        <v>0</v>
      </c>
      <c r="AA31" s="628">
        <f t="shared" si="16"/>
        <v>0</v>
      </c>
      <c r="AB31" s="628">
        <f t="shared" si="16"/>
        <v>0</v>
      </c>
      <c r="AC31" s="628">
        <f t="shared" si="16"/>
        <v>0</v>
      </c>
      <c r="AD31" s="628">
        <f t="shared" si="16"/>
        <v>0</v>
      </c>
      <c r="AE31" s="628">
        <f t="shared" si="16"/>
        <v>0</v>
      </c>
    </row>
    <row r="32" spans="1:32" ht="16.5" customHeight="1">
      <c r="A32" s="629" t="str">
        <f>'CF-ACPL（合并）'!A32</f>
        <v>收回投资所收到的现金</v>
      </c>
      <c r="B32" s="623">
        <f t="shared" si="11"/>
        <v>0</v>
      </c>
      <c r="C32" s="626">
        <f t="shared" ca="1" si="12"/>
        <v>0</v>
      </c>
      <c r="D32" s="626"/>
      <c r="E32" s="626">
        <f>SUMIFS(cashflow汇总预算2026!$I:$I,cashflow汇总预算2026!$D:$D,E$4,cashflow汇总预算2026!$U:$U,$A32)</f>
        <v>0</v>
      </c>
      <c r="F32" s="626">
        <f>SUMIFS(cashflow汇总预算2026!$I:$I,cashflow汇总预算2026!$D:$D,F$4,cashflow汇总预算2026!$U:$U,$A32)</f>
        <v>13500000</v>
      </c>
      <c r="G32" s="626">
        <f>SUMIFS(cashflow汇总预算2026!$I:$I,cashflow汇总预算2026!$D:$D,G$4,cashflow汇总预算2026!$U:$U,$A32)</f>
        <v>0</v>
      </c>
      <c r="H32" s="626">
        <f>SUMIFS(cashflow汇总预算2026!$I:$I,cashflow汇总预算2026!$D:$D,H$4,cashflow汇总预算2026!$U:$U,$A32)</f>
        <v>7605000</v>
      </c>
      <c r="I32" s="626">
        <f>SUMIFS(cashflow汇总预算2026!$I:$I,cashflow汇总预算2026!$D:$D,I$4,cashflow汇总预算2026!$U:$U,$A32)</f>
        <v>0</v>
      </c>
      <c r="J32" s="626">
        <f>SUMIFS(cashflow汇总预算2026!$I:$I,cashflow汇总预算2026!$D:$D,J$4,cashflow汇总预算2026!$U:$U,$A32)</f>
        <v>0</v>
      </c>
      <c r="K32" s="626">
        <f>SUMIFS(cashflow汇总预算2026!$I:$I,cashflow汇总预算2026!$D:$D,K$4,cashflow汇总预算2026!$U:$U,$A32)</f>
        <v>0</v>
      </c>
      <c r="L32" s="626">
        <f>SUMIFS(cashflow汇总预算2026!$I:$I,cashflow汇总预算2026!$D:$D,L$4,cashflow汇总预算2026!$U:$U,$A32)</f>
        <v>0</v>
      </c>
      <c r="M32" s="626">
        <f>SUMIFS(cashflow汇总预算2026!$I:$I,cashflow汇总预算2026!$D:$D,M$4,cashflow汇总预算2026!$U:$U,$A32)</f>
        <v>0</v>
      </c>
      <c r="N32" s="626">
        <f>SUMIFS(cashflow汇总预算2026!$I:$I,cashflow汇总预算2026!$D:$D,N$4,cashflow汇总预算2026!$U:$U,$A32)</f>
        <v>0</v>
      </c>
      <c r="O32" s="626">
        <f>SUMIFS(cashflow汇总预算2026!$I:$I,cashflow汇总预算2026!$D:$D,O$4,cashflow汇总预算2026!$U:$U,$A32)</f>
        <v>0</v>
      </c>
      <c r="P32" s="626">
        <f>SUMIFS(cashflow汇总预算2026!$I:$I,cashflow汇总预算2026!$D:$D,P$4,cashflow汇总预算2026!$U:$U,$A32)</f>
        <v>0</v>
      </c>
      <c r="Q32" s="626">
        <f t="shared" ref="Q32:Q36" si="17">SUM(E32:P32)</f>
        <v>21105000</v>
      </c>
      <c r="R32" s="626"/>
      <c r="S32" s="630">
        <v>0</v>
      </c>
      <c r="T32" s="630">
        <v>0</v>
      </c>
      <c r="U32" s="630">
        <v>0</v>
      </c>
      <c r="V32" s="630">
        <v>0</v>
      </c>
      <c r="W32" s="630">
        <v>0</v>
      </c>
      <c r="X32" s="630">
        <v>0</v>
      </c>
      <c r="Y32" s="630">
        <v>0</v>
      </c>
      <c r="Z32" s="630">
        <v>0</v>
      </c>
      <c r="AA32" s="630">
        <v>0</v>
      </c>
      <c r="AB32" s="630">
        <v>0</v>
      </c>
      <c r="AC32" s="630">
        <v>0</v>
      </c>
      <c r="AD32" s="630">
        <v>0</v>
      </c>
      <c r="AE32" s="626">
        <f t="shared" ref="AE32:AE36" si="18">SUM(S32:AD32)</f>
        <v>0</v>
      </c>
    </row>
    <row r="33" spans="1:31" ht="16.5" customHeight="1">
      <c r="A33" s="629" t="str">
        <f>'CF-ACPL（合并）'!A33</f>
        <v>取得投资收益所收到的现金</v>
      </c>
      <c r="B33" s="623">
        <f t="shared" si="11"/>
        <v>0</v>
      </c>
      <c r="C33" s="626">
        <f t="shared" ca="1" si="12"/>
        <v>0</v>
      </c>
      <c r="D33" s="626"/>
      <c r="E33" s="626">
        <f>SUMIFS(cashflow汇总预算2026!$I:$I,cashflow汇总预算2026!$D:$D,E$4,cashflow汇总预算2026!$U:$U,$A33)</f>
        <v>0</v>
      </c>
      <c r="F33" s="626">
        <f>SUMIFS(cashflow汇总预算2026!$I:$I,cashflow汇总预算2026!$D:$D,F$4,cashflow汇总预算2026!$U:$U,$A33)</f>
        <v>0</v>
      </c>
      <c r="G33" s="626">
        <f>SUMIFS(cashflow汇总预算2026!$I:$I,cashflow汇总预算2026!$D:$D,G$4,cashflow汇总预算2026!$U:$U,$A33)</f>
        <v>0</v>
      </c>
      <c r="H33" s="626">
        <f>SUMIFS(cashflow汇总预算2026!$I:$I,cashflow汇总预算2026!$D:$D,H$4,cashflow汇总预算2026!$U:$U,$A33)</f>
        <v>0</v>
      </c>
      <c r="I33" s="626">
        <f>SUMIFS(cashflow汇总预算2026!$I:$I,cashflow汇总预算2026!$D:$D,I$4,cashflow汇总预算2026!$U:$U,$A33)</f>
        <v>0</v>
      </c>
      <c r="J33" s="626">
        <f>SUMIFS(cashflow汇总预算2026!$I:$I,cashflow汇总预算2026!$D:$D,J$4,cashflow汇总预算2026!$U:$U,$A33)</f>
        <v>0</v>
      </c>
      <c r="K33" s="626">
        <f>SUMIFS(cashflow汇总预算2026!$I:$I,cashflow汇总预算2026!$D:$D,K$4,cashflow汇总预算2026!$U:$U,$A33)</f>
        <v>0</v>
      </c>
      <c r="L33" s="626">
        <f>SUMIFS(cashflow汇总预算2026!$I:$I,cashflow汇总预算2026!$D:$D,L$4,cashflow汇总预算2026!$U:$U,$A33)</f>
        <v>0</v>
      </c>
      <c r="M33" s="626">
        <f>SUMIFS(cashflow汇总预算2026!$I:$I,cashflow汇总预算2026!$D:$D,M$4,cashflow汇总预算2026!$U:$U,$A33)</f>
        <v>0</v>
      </c>
      <c r="N33" s="626">
        <f>SUMIFS(cashflow汇总预算2026!$I:$I,cashflow汇总预算2026!$D:$D,N$4,cashflow汇总预算2026!$U:$U,$A33)</f>
        <v>0</v>
      </c>
      <c r="O33" s="626">
        <f>SUMIFS(cashflow汇总预算2026!$I:$I,cashflow汇总预算2026!$D:$D,O$4,cashflow汇总预算2026!$U:$U,$A33)</f>
        <v>0</v>
      </c>
      <c r="P33" s="626">
        <f>SUMIFS(cashflow汇总预算2026!$I:$I,cashflow汇总预算2026!$D:$D,P$4,cashflow汇总预算2026!$U:$U,$A33)</f>
        <v>0</v>
      </c>
      <c r="Q33" s="626">
        <f t="shared" si="17"/>
        <v>0</v>
      </c>
      <c r="R33" s="626"/>
      <c r="S33" s="630">
        <v>0</v>
      </c>
      <c r="T33" s="630">
        <v>0</v>
      </c>
      <c r="U33" s="630">
        <v>0</v>
      </c>
      <c r="V33" s="630">
        <v>0</v>
      </c>
      <c r="W33" s="630">
        <v>0</v>
      </c>
      <c r="X33" s="630">
        <v>0</v>
      </c>
      <c r="Y33" s="630">
        <v>0</v>
      </c>
      <c r="Z33" s="630">
        <v>0</v>
      </c>
      <c r="AA33" s="630">
        <v>0</v>
      </c>
      <c r="AB33" s="630">
        <v>0</v>
      </c>
      <c r="AC33" s="630">
        <v>0</v>
      </c>
      <c r="AD33" s="630">
        <v>0</v>
      </c>
      <c r="AE33" s="626">
        <f t="shared" si="18"/>
        <v>0</v>
      </c>
    </row>
    <row r="34" spans="1:31" ht="16.5" customHeight="1">
      <c r="A34" s="629" t="str">
        <f>'CF-ACPL（合并）'!A34</f>
        <v>处置固定资产、无形资产和其他长期资产而收到的现金净额</v>
      </c>
      <c r="B34" s="623">
        <f t="shared" si="11"/>
        <v>0</v>
      </c>
      <c r="C34" s="626">
        <f t="shared" ca="1" si="12"/>
        <v>0</v>
      </c>
      <c r="D34" s="626"/>
      <c r="E34" s="626">
        <f>SUMIFS(cashflow汇总预算2026!$I:$I,cashflow汇总预算2026!$D:$D,E$4,cashflow汇总预算2026!$U:$U,$A34)</f>
        <v>0</v>
      </c>
      <c r="F34" s="626">
        <f>SUMIFS(cashflow汇总预算2026!$I:$I,cashflow汇总预算2026!$D:$D,F$4,cashflow汇总预算2026!$U:$U,$A34)</f>
        <v>0</v>
      </c>
      <c r="G34" s="626">
        <f>SUMIFS(cashflow汇总预算2026!$I:$I,cashflow汇总预算2026!$D:$D,G$4,cashflow汇总预算2026!$U:$U,$A34)</f>
        <v>0</v>
      </c>
      <c r="H34" s="626">
        <f>SUMIFS(cashflow汇总预算2026!$I:$I,cashflow汇总预算2026!$D:$D,H$4,cashflow汇总预算2026!$U:$U,$A34)</f>
        <v>0</v>
      </c>
      <c r="I34" s="626">
        <f>SUMIFS(cashflow汇总预算2026!$I:$I,cashflow汇总预算2026!$D:$D,I$4,cashflow汇总预算2026!$U:$U,$A34)</f>
        <v>0</v>
      </c>
      <c r="J34" s="626">
        <f>SUMIFS(cashflow汇总预算2026!$I:$I,cashflow汇总预算2026!$D:$D,J$4,cashflow汇总预算2026!$U:$U,$A34)</f>
        <v>0</v>
      </c>
      <c r="K34" s="626">
        <f>SUMIFS(cashflow汇总预算2026!$I:$I,cashflow汇总预算2026!$D:$D,K$4,cashflow汇总预算2026!$U:$U,$A34)</f>
        <v>0</v>
      </c>
      <c r="L34" s="626">
        <f>SUMIFS(cashflow汇总预算2026!$I:$I,cashflow汇总预算2026!$D:$D,L$4,cashflow汇总预算2026!$U:$U,$A34)</f>
        <v>0</v>
      </c>
      <c r="M34" s="626">
        <f>SUMIFS(cashflow汇总预算2026!$I:$I,cashflow汇总预算2026!$D:$D,M$4,cashflow汇总预算2026!$U:$U,$A34)</f>
        <v>0</v>
      </c>
      <c r="N34" s="626">
        <f>SUMIFS(cashflow汇总预算2026!$I:$I,cashflow汇总预算2026!$D:$D,N$4,cashflow汇总预算2026!$U:$U,$A34)</f>
        <v>0</v>
      </c>
      <c r="O34" s="626">
        <f>SUMIFS(cashflow汇总预算2026!$I:$I,cashflow汇总预算2026!$D:$D,O$4,cashflow汇总预算2026!$U:$U,$A34)</f>
        <v>0</v>
      </c>
      <c r="P34" s="626">
        <f>SUMIFS(cashflow汇总预算2026!$I:$I,cashflow汇总预算2026!$D:$D,P$4,cashflow汇总预算2026!$U:$U,$A34)</f>
        <v>0</v>
      </c>
      <c r="Q34" s="626">
        <f t="shared" si="17"/>
        <v>0</v>
      </c>
      <c r="R34" s="626"/>
      <c r="S34" s="630">
        <v>0</v>
      </c>
      <c r="T34" s="630">
        <v>0</v>
      </c>
      <c r="U34" s="630">
        <v>0</v>
      </c>
      <c r="V34" s="630">
        <v>0</v>
      </c>
      <c r="W34" s="630">
        <v>0</v>
      </c>
      <c r="X34" s="630">
        <v>0</v>
      </c>
      <c r="Y34" s="630">
        <v>0</v>
      </c>
      <c r="Z34" s="630">
        <v>0</v>
      </c>
      <c r="AA34" s="630">
        <v>0</v>
      </c>
      <c r="AB34" s="630">
        <v>0</v>
      </c>
      <c r="AC34" s="630">
        <v>0</v>
      </c>
      <c r="AD34" s="630">
        <v>0</v>
      </c>
      <c r="AE34" s="626">
        <f t="shared" si="18"/>
        <v>0</v>
      </c>
    </row>
    <row r="35" spans="1:31" ht="16.5" customHeight="1">
      <c r="A35" s="629" t="str">
        <f>'CF-ACPL（合并）'!A35</f>
        <v>处置子公司及其他营业单位收到的现金净额</v>
      </c>
      <c r="B35" s="623">
        <f t="shared" si="11"/>
        <v>0</v>
      </c>
      <c r="C35" s="626">
        <f t="shared" ca="1" si="12"/>
        <v>0</v>
      </c>
      <c r="D35" s="626"/>
      <c r="E35" s="626">
        <f>SUMIFS(cashflow汇总预算2026!$I:$I,cashflow汇总预算2026!$D:$D,E$4,cashflow汇总预算2026!$U:$U,$A35)</f>
        <v>0</v>
      </c>
      <c r="F35" s="626">
        <f>SUMIFS(cashflow汇总预算2026!$I:$I,cashflow汇总预算2026!$D:$D,F$4,cashflow汇总预算2026!$U:$U,$A35)</f>
        <v>0</v>
      </c>
      <c r="G35" s="626">
        <f>SUMIFS(cashflow汇总预算2026!$I:$I,cashflow汇总预算2026!$D:$D,G$4,cashflow汇总预算2026!$U:$U,$A35)</f>
        <v>0</v>
      </c>
      <c r="H35" s="626">
        <f>SUMIFS(cashflow汇总预算2026!$I:$I,cashflow汇总预算2026!$D:$D,H$4,cashflow汇总预算2026!$U:$U,$A35)</f>
        <v>0</v>
      </c>
      <c r="I35" s="626">
        <f>SUMIFS(cashflow汇总预算2026!$I:$I,cashflow汇总预算2026!$D:$D,I$4,cashflow汇总预算2026!$U:$U,$A35)</f>
        <v>0</v>
      </c>
      <c r="J35" s="626">
        <f>SUMIFS(cashflow汇总预算2026!$I:$I,cashflow汇总预算2026!$D:$D,J$4,cashflow汇总预算2026!$U:$U,$A35)</f>
        <v>0</v>
      </c>
      <c r="K35" s="626">
        <f>SUMIFS(cashflow汇总预算2026!$I:$I,cashflow汇总预算2026!$D:$D,K$4,cashflow汇总预算2026!$U:$U,$A35)</f>
        <v>0</v>
      </c>
      <c r="L35" s="626">
        <f>SUMIFS(cashflow汇总预算2026!$I:$I,cashflow汇总预算2026!$D:$D,L$4,cashflow汇总预算2026!$U:$U,$A35)</f>
        <v>0</v>
      </c>
      <c r="M35" s="626">
        <f>SUMIFS(cashflow汇总预算2026!$I:$I,cashflow汇总预算2026!$D:$D,M$4,cashflow汇总预算2026!$U:$U,$A35)</f>
        <v>0</v>
      </c>
      <c r="N35" s="626">
        <f>SUMIFS(cashflow汇总预算2026!$I:$I,cashflow汇总预算2026!$D:$D,N$4,cashflow汇总预算2026!$U:$U,$A35)</f>
        <v>0</v>
      </c>
      <c r="O35" s="626">
        <f>SUMIFS(cashflow汇总预算2026!$I:$I,cashflow汇总预算2026!$D:$D,O$4,cashflow汇总预算2026!$U:$U,$A35)</f>
        <v>0</v>
      </c>
      <c r="P35" s="626">
        <f>SUMIFS(cashflow汇总预算2026!$I:$I,cashflow汇总预算2026!$D:$D,P$4,cashflow汇总预算2026!$U:$U,$A35)</f>
        <v>0</v>
      </c>
      <c r="Q35" s="626">
        <f t="shared" si="17"/>
        <v>0</v>
      </c>
      <c r="R35" s="626"/>
      <c r="S35" s="630">
        <v>0</v>
      </c>
      <c r="T35" s="630">
        <v>0</v>
      </c>
      <c r="U35" s="630">
        <v>0</v>
      </c>
      <c r="V35" s="630">
        <v>0</v>
      </c>
      <c r="W35" s="630">
        <v>0</v>
      </c>
      <c r="X35" s="630">
        <v>0</v>
      </c>
      <c r="Y35" s="630">
        <v>0</v>
      </c>
      <c r="Z35" s="630">
        <v>0</v>
      </c>
      <c r="AA35" s="630">
        <v>0</v>
      </c>
      <c r="AB35" s="630">
        <v>0</v>
      </c>
      <c r="AC35" s="630">
        <v>0</v>
      </c>
      <c r="AD35" s="630">
        <v>0</v>
      </c>
      <c r="AE35" s="626">
        <f t="shared" si="18"/>
        <v>0</v>
      </c>
    </row>
    <row r="36" spans="1:31" ht="16.5" customHeight="1">
      <c r="A36" s="629" t="str">
        <f>'CF-ACPL（合并）'!A36</f>
        <v>收到的其他与投资活动有关的现金</v>
      </c>
      <c r="B36" s="623">
        <f t="shared" si="11"/>
        <v>0</v>
      </c>
      <c r="C36" s="626">
        <f t="shared" ca="1" si="12"/>
        <v>0</v>
      </c>
      <c r="D36" s="626"/>
      <c r="E36" s="626">
        <f>SUMIFS(cashflow汇总预算2026!$I:$I,cashflow汇总预算2026!$D:$D,E$4,cashflow汇总预算2026!$U:$U,$A36)</f>
        <v>0</v>
      </c>
      <c r="F36" s="626">
        <f>SUMIFS(cashflow汇总预算2026!$I:$I,cashflow汇总预算2026!$D:$D,F$4,cashflow汇总预算2026!$U:$U,$A36)</f>
        <v>0</v>
      </c>
      <c r="G36" s="626">
        <f>SUMIFS(cashflow汇总预算2026!$I:$I,cashflow汇总预算2026!$D:$D,G$4,cashflow汇总预算2026!$U:$U,$A36)</f>
        <v>0</v>
      </c>
      <c r="H36" s="626">
        <f>SUMIFS(cashflow汇总预算2026!$I:$I,cashflow汇总预算2026!$D:$D,H$4,cashflow汇总预算2026!$U:$U,$A36)</f>
        <v>0</v>
      </c>
      <c r="I36" s="626">
        <f>SUMIFS(cashflow汇总预算2026!$I:$I,cashflow汇总预算2026!$D:$D,I$4,cashflow汇总预算2026!$U:$U,$A36)</f>
        <v>0</v>
      </c>
      <c r="J36" s="626">
        <f>SUMIFS(cashflow汇总预算2026!$I:$I,cashflow汇总预算2026!$D:$D,J$4,cashflow汇总预算2026!$U:$U,$A36)</f>
        <v>0</v>
      </c>
      <c r="K36" s="626">
        <f>SUMIFS(cashflow汇总预算2026!$I:$I,cashflow汇总预算2026!$D:$D,K$4,cashflow汇总预算2026!$U:$U,$A36)</f>
        <v>0</v>
      </c>
      <c r="L36" s="626">
        <f>SUMIFS(cashflow汇总预算2026!$I:$I,cashflow汇总预算2026!$D:$D,L$4,cashflow汇总预算2026!$U:$U,$A36)</f>
        <v>0</v>
      </c>
      <c r="M36" s="626">
        <f>SUMIFS(cashflow汇总预算2026!$I:$I,cashflow汇总预算2026!$D:$D,M$4,cashflow汇总预算2026!$U:$U,$A36)</f>
        <v>0</v>
      </c>
      <c r="N36" s="626">
        <f>SUMIFS(cashflow汇总预算2026!$I:$I,cashflow汇总预算2026!$D:$D,N$4,cashflow汇总预算2026!$U:$U,$A36)</f>
        <v>0</v>
      </c>
      <c r="O36" s="626">
        <f>SUMIFS(cashflow汇总预算2026!$I:$I,cashflow汇总预算2026!$D:$D,O$4,cashflow汇总预算2026!$U:$U,$A36)</f>
        <v>0</v>
      </c>
      <c r="P36" s="626">
        <f>SUMIFS(cashflow汇总预算2026!$I:$I,cashflow汇总预算2026!$D:$D,P$4,cashflow汇总预算2026!$U:$U,$A36)</f>
        <v>0</v>
      </c>
      <c r="Q36" s="626">
        <f t="shared" si="17"/>
        <v>0</v>
      </c>
      <c r="R36" s="626"/>
      <c r="S36" s="630">
        <v>0</v>
      </c>
      <c r="T36" s="630">
        <v>0</v>
      </c>
      <c r="U36" s="630">
        <v>0</v>
      </c>
      <c r="V36" s="630">
        <v>0</v>
      </c>
      <c r="W36" s="630">
        <v>0</v>
      </c>
      <c r="X36" s="630">
        <v>0</v>
      </c>
      <c r="Y36" s="630">
        <v>0</v>
      </c>
      <c r="Z36" s="630">
        <v>0</v>
      </c>
      <c r="AA36" s="630">
        <v>0</v>
      </c>
      <c r="AB36" s="630">
        <v>0</v>
      </c>
      <c r="AC36" s="630">
        <v>0</v>
      </c>
      <c r="AD36" s="630">
        <v>0</v>
      </c>
      <c r="AE36" s="626">
        <f t="shared" si="18"/>
        <v>0</v>
      </c>
    </row>
    <row r="37" spans="1:31" s="604" customFormat="1" ht="16.5" customHeight="1">
      <c r="A37" s="631" t="str">
        <f>'CF-ACPL（合并）'!A37</f>
        <v>投资活动现金流出小计</v>
      </c>
      <c r="B37" s="632">
        <f t="shared" si="11"/>
        <v>-3516000</v>
      </c>
      <c r="C37" s="632">
        <f t="shared" ca="1" si="12"/>
        <v>-3516000</v>
      </c>
      <c r="D37" s="632"/>
      <c r="E37" s="632">
        <f t="shared" ref="E37:Q37" si="19">SUM(E38:E41)</f>
        <v>-3516000</v>
      </c>
      <c r="F37" s="632">
        <f t="shared" si="19"/>
        <v>0</v>
      </c>
      <c r="G37" s="632">
        <f t="shared" si="19"/>
        <v>0</v>
      </c>
      <c r="H37" s="632">
        <f t="shared" si="19"/>
        <v>0</v>
      </c>
      <c r="I37" s="632">
        <f t="shared" si="19"/>
        <v>0</v>
      </c>
      <c r="J37" s="632">
        <f t="shared" si="19"/>
        <v>0</v>
      </c>
      <c r="K37" s="632">
        <f t="shared" si="19"/>
        <v>0</v>
      </c>
      <c r="L37" s="632">
        <f t="shared" si="19"/>
        <v>0</v>
      </c>
      <c r="M37" s="632">
        <f t="shared" si="19"/>
        <v>0</v>
      </c>
      <c r="N37" s="632">
        <f t="shared" si="19"/>
        <v>0</v>
      </c>
      <c r="O37" s="632">
        <f t="shared" si="19"/>
        <v>0</v>
      </c>
      <c r="P37" s="632">
        <f t="shared" si="19"/>
        <v>0</v>
      </c>
      <c r="Q37" s="632">
        <f t="shared" si="19"/>
        <v>-3516000</v>
      </c>
      <c r="R37" s="623"/>
      <c r="S37" s="632">
        <f t="shared" ref="S37:AE37" si="20">SUM(S38:S41)</f>
        <v>0</v>
      </c>
      <c r="T37" s="632">
        <f t="shared" si="20"/>
        <v>0</v>
      </c>
      <c r="U37" s="632">
        <f t="shared" si="20"/>
        <v>0</v>
      </c>
      <c r="V37" s="632">
        <f t="shared" si="20"/>
        <v>0</v>
      </c>
      <c r="W37" s="632">
        <f t="shared" si="20"/>
        <v>0</v>
      </c>
      <c r="X37" s="632">
        <f t="shared" si="20"/>
        <v>0</v>
      </c>
      <c r="Y37" s="632">
        <f t="shared" si="20"/>
        <v>0</v>
      </c>
      <c r="Z37" s="632">
        <f t="shared" si="20"/>
        <v>0</v>
      </c>
      <c r="AA37" s="632">
        <f t="shared" si="20"/>
        <v>0</v>
      </c>
      <c r="AB37" s="632">
        <f t="shared" si="20"/>
        <v>0</v>
      </c>
      <c r="AC37" s="632">
        <f t="shared" si="20"/>
        <v>0</v>
      </c>
      <c r="AD37" s="632">
        <f t="shared" si="20"/>
        <v>0</v>
      </c>
      <c r="AE37" s="632">
        <f t="shared" si="20"/>
        <v>0</v>
      </c>
    </row>
    <row r="38" spans="1:31" ht="16.5" customHeight="1">
      <c r="A38" s="629" t="str">
        <f>'CF-ACPL（合并）'!A38</f>
        <v>购建固定资产、无形资产和其他长期资产支付的现金</v>
      </c>
      <c r="B38" s="623">
        <f t="shared" si="11"/>
        <v>0</v>
      </c>
      <c r="C38" s="626">
        <f t="shared" ca="1" si="12"/>
        <v>0</v>
      </c>
      <c r="D38" s="626"/>
      <c r="E38" s="626">
        <f>SUMIFS('Other Exp'!AG:AG,'Other Exp'!$B:$B,$C$1,'Other Exp'!$D:$D,$A38)</f>
        <v>0</v>
      </c>
      <c r="F38" s="626">
        <f>SUMIFS('Other Exp'!AH:AH,'Other Exp'!$B:$B,$C$1,'Other Exp'!$D:$D,$A38)</f>
        <v>0</v>
      </c>
      <c r="G38" s="626">
        <f>SUMIFS('Other Exp'!AI:AI,'Other Exp'!$B:$B,$C$1,'Other Exp'!$D:$D,$A38)</f>
        <v>0</v>
      </c>
      <c r="H38" s="626">
        <f>SUMIFS('Other Exp'!AJ:AJ,'Other Exp'!$B:$B,$C$1,'Other Exp'!$D:$D,$A38)</f>
        <v>0</v>
      </c>
      <c r="I38" s="626">
        <f>SUMIFS('Other Exp'!AK:AK,'Other Exp'!$B:$B,$C$1,'Other Exp'!$D:$D,$A38)</f>
        <v>0</v>
      </c>
      <c r="J38" s="626">
        <f>SUMIFS('Other Exp'!AL:AL,'Other Exp'!$B:$B,$C$1,'Other Exp'!$D:$D,$A38)</f>
        <v>0</v>
      </c>
      <c r="K38" s="626">
        <f>SUMIFS('Other Exp'!AM:AM,'Other Exp'!$B:$B,$C$1,'Other Exp'!$D:$D,$A38)</f>
        <v>0</v>
      </c>
      <c r="L38" s="626">
        <f>SUMIFS('Other Exp'!AN:AN,'Other Exp'!$B:$B,$C$1,'Other Exp'!$D:$D,$A38)</f>
        <v>0</v>
      </c>
      <c r="M38" s="626">
        <f>SUMIFS('Other Exp'!AO:AO,'Other Exp'!$B:$B,$C$1,'Other Exp'!$D:$D,$A38)</f>
        <v>0</v>
      </c>
      <c r="N38" s="626">
        <f>SUMIFS('Other Exp'!AP:AP,'Other Exp'!$B:$B,$C$1,'Other Exp'!$D:$D,$A38)</f>
        <v>0</v>
      </c>
      <c r="O38" s="626">
        <f>SUMIFS('Other Exp'!AQ:AQ,'Other Exp'!$B:$B,$C$1,'Other Exp'!$D:$D,$A38)</f>
        <v>0</v>
      </c>
      <c r="P38" s="626">
        <f>SUMIFS('Other Exp'!AR:AR,'Other Exp'!$B:$B,$C$1,'Other Exp'!$D:$D,$A38)</f>
        <v>0</v>
      </c>
      <c r="Q38" s="626">
        <f t="shared" ref="Q38" si="21">SUM(E38:P38)</f>
        <v>0</v>
      </c>
      <c r="R38" s="626"/>
      <c r="S38" s="630">
        <v>0</v>
      </c>
      <c r="T38" s="630">
        <v>0</v>
      </c>
      <c r="U38" s="630">
        <v>0</v>
      </c>
      <c r="V38" s="630">
        <v>0</v>
      </c>
      <c r="W38" s="630">
        <v>0</v>
      </c>
      <c r="X38" s="630">
        <v>0</v>
      </c>
      <c r="Y38" s="630">
        <v>0</v>
      </c>
      <c r="Z38" s="630">
        <v>0</v>
      </c>
      <c r="AA38" s="630">
        <v>0</v>
      </c>
      <c r="AB38" s="630">
        <v>0</v>
      </c>
      <c r="AC38" s="630">
        <v>0</v>
      </c>
      <c r="AD38" s="630">
        <v>0</v>
      </c>
      <c r="AE38" s="626">
        <f t="shared" ref="AE38:AE41" si="22">SUM(S38:AD38)</f>
        <v>0</v>
      </c>
    </row>
    <row r="39" spans="1:31" ht="16.5" customHeight="1">
      <c r="A39" s="629" t="s">
        <v>2144</v>
      </c>
      <c r="B39" s="623">
        <f t="shared" si="11"/>
        <v>-3516000</v>
      </c>
      <c r="C39" s="626">
        <f t="shared" ca="1" si="12"/>
        <v>-3516000</v>
      </c>
      <c r="D39" s="626"/>
      <c r="E39" s="626">
        <f>SUMIFS(cashflow汇总预算2026!$I:$I,cashflow汇总预算2026!$D:$D,E$4,cashflow汇总预算2026!$U:$U,$A39)</f>
        <v>-3516000</v>
      </c>
      <c r="F39" s="626">
        <f>SUMIFS(cashflow汇总预算2026!$I:$I,cashflow汇总预算2026!$D:$D,F$4,cashflow汇总预算2026!$U:$U,$A39)</f>
        <v>0</v>
      </c>
      <c r="G39" s="626">
        <f>SUMIFS(cashflow汇总预算2026!$I:$I,cashflow汇总预算2026!$D:$D,G$4,cashflow汇总预算2026!$U:$U,$A39)</f>
        <v>0</v>
      </c>
      <c r="H39" s="626">
        <f>SUMIFS(cashflow汇总预算2026!$I:$I,cashflow汇总预算2026!$D:$D,H$4,cashflow汇总预算2026!$U:$U,$A39)</f>
        <v>0</v>
      </c>
      <c r="I39" s="626">
        <f>SUMIFS(cashflow汇总预算2026!$I:$I,cashflow汇总预算2026!$D:$D,I$4,cashflow汇总预算2026!$U:$U,$A39)</f>
        <v>0</v>
      </c>
      <c r="J39" s="626">
        <f>SUMIFS(cashflow汇总预算2026!$I:$I,cashflow汇总预算2026!$D:$D,J$4,cashflow汇总预算2026!$U:$U,$A39)</f>
        <v>0</v>
      </c>
      <c r="K39" s="626">
        <f>SUMIFS(cashflow汇总预算2026!$I:$I,cashflow汇总预算2026!$D:$D,K$4,cashflow汇总预算2026!$U:$U,$A39)</f>
        <v>0</v>
      </c>
      <c r="L39" s="626">
        <f>SUMIFS(cashflow汇总预算2026!$I:$I,cashflow汇总预算2026!$D:$D,L$4,cashflow汇总预算2026!$U:$U,$A39)</f>
        <v>0</v>
      </c>
      <c r="M39" s="626">
        <f>SUMIFS(cashflow汇总预算2026!$I:$I,cashflow汇总预算2026!$D:$D,M$4,cashflow汇总预算2026!$U:$U,$A39)</f>
        <v>0</v>
      </c>
      <c r="N39" s="626">
        <f>SUMIFS(cashflow汇总预算2026!$I:$I,cashflow汇总预算2026!$D:$D,N$4,cashflow汇总预算2026!$U:$U,$A39)</f>
        <v>0</v>
      </c>
      <c r="O39" s="626">
        <f>SUMIFS(cashflow汇总预算2026!$I:$I,cashflow汇总预算2026!$D:$D,O$4,cashflow汇总预算2026!$U:$U,$A39)</f>
        <v>0</v>
      </c>
      <c r="P39" s="626">
        <f>SUMIFS(cashflow汇总预算2026!$I:$I,cashflow汇总预算2026!$D:$D,P$4,cashflow汇总预算2026!$U:$U,$A39)</f>
        <v>0</v>
      </c>
      <c r="Q39" s="626">
        <f t="shared" ref="Q39:Q41" si="23">SUM(E39:P39)</f>
        <v>-3516000</v>
      </c>
      <c r="R39" s="626"/>
      <c r="S39" s="630">
        <v>0</v>
      </c>
      <c r="T39" s="630">
        <v>0</v>
      </c>
      <c r="U39" s="630">
        <v>0</v>
      </c>
      <c r="V39" s="630">
        <v>0</v>
      </c>
      <c r="W39" s="630">
        <v>0</v>
      </c>
      <c r="X39" s="630">
        <v>0</v>
      </c>
      <c r="Y39" s="630">
        <v>0</v>
      </c>
      <c r="Z39" s="630">
        <v>0</v>
      </c>
      <c r="AA39" s="630">
        <v>0</v>
      </c>
      <c r="AB39" s="630">
        <v>0</v>
      </c>
      <c r="AC39" s="630">
        <v>0</v>
      </c>
      <c r="AD39" s="630">
        <v>0</v>
      </c>
      <c r="AE39" s="626">
        <f t="shared" si="22"/>
        <v>0</v>
      </c>
    </row>
    <row r="40" spans="1:31" ht="16.5" customHeight="1">
      <c r="A40" s="629" t="str">
        <f>'CF-ACPL（合并）'!A40</f>
        <v>取得子公司及其他营业单位支付的现金净额</v>
      </c>
      <c r="B40" s="623">
        <f t="shared" si="11"/>
        <v>0</v>
      </c>
      <c r="C40" s="626">
        <f t="shared" ca="1" si="12"/>
        <v>0</v>
      </c>
      <c r="D40" s="626"/>
      <c r="E40" s="626">
        <f>SUMIFS(cashflow汇总预算2026!$I:$I,cashflow汇总预算2026!$D:$D,E$4,cashflow汇总预算2026!$U:$U,$A40)</f>
        <v>0</v>
      </c>
      <c r="F40" s="626">
        <f>SUMIFS(cashflow汇总预算2026!$I:$I,cashflow汇总预算2026!$D:$D,F$4,cashflow汇总预算2026!$U:$U,$A40)</f>
        <v>0</v>
      </c>
      <c r="G40" s="626">
        <f>SUMIFS(cashflow汇总预算2026!$I:$I,cashflow汇总预算2026!$D:$D,G$4,cashflow汇总预算2026!$U:$U,$A40)</f>
        <v>0</v>
      </c>
      <c r="H40" s="626">
        <f>SUMIFS(cashflow汇总预算2026!$I:$I,cashflow汇总预算2026!$D:$D,H$4,cashflow汇总预算2026!$U:$U,$A40)</f>
        <v>0</v>
      </c>
      <c r="I40" s="626">
        <f>SUMIFS(cashflow汇总预算2026!$I:$I,cashflow汇总预算2026!$D:$D,I$4,cashflow汇总预算2026!$U:$U,$A40)</f>
        <v>0</v>
      </c>
      <c r="J40" s="626">
        <f>SUMIFS(cashflow汇总预算2026!$I:$I,cashflow汇总预算2026!$D:$D,J$4,cashflow汇总预算2026!$U:$U,$A40)</f>
        <v>0</v>
      </c>
      <c r="K40" s="626">
        <f>SUMIFS(cashflow汇总预算2026!$I:$I,cashflow汇总预算2026!$D:$D,K$4,cashflow汇总预算2026!$U:$U,$A40)</f>
        <v>0</v>
      </c>
      <c r="L40" s="626">
        <f>SUMIFS(cashflow汇总预算2026!$I:$I,cashflow汇总预算2026!$D:$D,L$4,cashflow汇总预算2026!$U:$U,$A40)</f>
        <v>0</v>
      </c>
      <c r="M40" s="626">
        <f>SUMIFS(cashflow汇总预算2026!$I:$I,cashflow汇总预算2026!$D:$D,M$4,cashflow汇总预算2026!$U:$U,$A40)</f>
        <v>0</v>
      </c>
      <c r="N40" s="626">
        <f>SUMIFS(cashflow汇总预算2026!$I:$I,cashflow汇总预算2026!$D:$D,N$4,cashflow汇总预算2026!$U:$U,$A40)</f>
        <v>0</v>
      </c>
      <c r="O40" s="626">
        <f>SUMIFS(cashflow汇总预算2026!$I:$I,cashflow汇总预算2026!$D:$D,O$4,cashflow汇总预算2026!$U:$U,$A40)</f>
        <v>0</v>
      </c>
      <c r="P40" s="626">
        <f>SUMIFS(cashflow汇总预算2026!$I:$I,cashflow汇总预算2026!$D:$D,P$4,cashflow汇总预算2026!$U:$U,$A40)</f>
        <v>0</v>
      </c>
      <c r="Q40" s="626">
        <f t="shared" si="23"/>
        <v>0</v>
      </c>
      <c r="R40" s="626"/>
      <c r="S40" s="630">
        <v>0</v>
      </c>
      <c r="T40" s="630">
        <v>0</v>
      </c>
      <c r="U40" s="630">
        <v>0</v>
      </c>
      <c r="V40" s="630">
        <v>0</v>
      </c>
      <c r="W40" s="630">
        <v>0</v>
      </c>
      <c r="X40" s="630">
        <v>0</v>
      </c>
      <c r="Y40" s="630">
        <v>0</v>
      </c>
      <c r="Z40" s="630">
        <v>0</v>
      </c>
      <c r="AA40" s="630">
        <v>0</v>
      </c>
      <c r="AB40" s="630">
        <v>0</v>
      </c>
      <c r="AC40" s="630">
        <v>0</v>
      </c>
      <c r="AD40" s="630">
        <v>0</v>
      </c>
      <c r="AE40" s="626">
        <f t="shared" si="22"/>
        <v>0</v>
      </c>
    </row>
    <row r="41" spans="1:31" ht="16.5" customHeight="1">
      <c r="A41" s="629" t="str">
        <f>'CF-ACPL（合并）'!A41</f>
        <v>支付的其他与投资活动有关的现金</v>
      </c>
      <c r="B41" s="623">
        <f t="shared" si="11"/>
        <v>0</v>
      </c>
      <c r="C41" s="626">
        <f t="shared" ca="1" si="12"/>
        <v>0</v>
      </c>
      <c r="D41" s="626"/>
      <c r="E41" s="626">
        <f>SUMIFS(cashflow汇总预算2026!$I:$I,cashflow汇总预算2026!$D:$D,E$4,cashflow汇总预算2026!$U:$U,$A41)</f>
        <v>0</v>
      </c>
      <c r="F41" s="626">
        <f>SUMIFS(cashflow汇总预算2026!$I:$I,cashflow汇总预算2026!$D:$D,F$4,cashflow汇总预算2026!$U:$U,$A41)</f>
        <v>0</v>
      </c>
      <c r="G41" s="626">
        <f>SUMIFS(cashflow汇总预算2026!$I:$I,cashflow汇总预算2026!$D:$D,G$4,cashflow汇总预算2026!$U:$U,$A41)</f>
        <v>0</v>
      </c>
      <c r="H41" s="626">
        <f>SUMIFS(cashflow汇总预算2026!$I:$I,cashflow汇总预算2026!$D:$D,H$4,cashflow汇总预算2026!$U:$U,$A41)</f>
        <v>0</v>
      </c>
      <c r="I41" s="626">
        <f>SUMIFS(cashflow汇总预算2026!$I:$I,cashflow汇总预算2026!$D:$D,I$4,cashflow汇总预算2026!$U:$U,$A41)</f>
        <v>0</v>
      </c>
      <c r="J41" s="626">
        <f>SUMIFS(cashflow汇总预算2026!$I:$I,cashflow汇总预算2026!$D:$D,J$4,cashflow汇总预算2026!$U:$U,$A41)</f>
        <v>0</v>
      </c>
      <c r="K41" s="626">
        <f>SUMIFS(cashflow汇总预算2026!$I:$I,cashflow汇总预算2026!$D:$D,K$4,cashflow汇总预算2026!$U:$U,$A41)</f>
        <v>0</v>
      </c>
      <c r="L41" s="626">
        <f>SUMIFS(cashflow汇总预算2026!$I:$I,cashflow汇总预算2026!$D:$D,L$4,cashflow汇总预算2026!$U:$U,$A41)</f>
        <v>0</v>
      </c>
      <c r="M41" s="626">
        <f>SUMIFS(cashflow汇总预算2026!$I:$I,cashflow汇总预算2026!$D:$D,M$4,cashflow汇总预算2026!$U:$U,$A41)</f>
        <v>0</v>
      </c>
      <c r="N41" s="626">
        <f>SUMIFS(cashflow汇总预算2026!$I:$I,cashflow汇总预算2026!$D:$D,N$4,cashflow汇总预算2026!$U:$U,$A41)</f>
        <v>0</v>
      </c>
      <c r="O41" s="626">
        <f>SUMIFS(cashflow汇总预算2026!$I:$I,cashflow汇总预算2026!$D:$D,O$4,cashflow汇总预算2026!$U:$U,$A41)</f>
        <v>0</v>
      </c>
      <c r="P41" s="626">
        <f>SUMIFS(cashflow汇总预算2026!$I:$I,cashflow汇总预算2026!$D:$D,P$4,cashflow汇总预算2026!$U:$U,$A41)</f>
        <v>0</v>
      </c>
      <c r="Q41" s="626">
        <f t="shared" si="23"/>
        <v>0</v>
      </c>
      <c r="R41" s="626"/>
      <c r="S41" s="630">
        <v>0</v>
      </c>
      <c r="T41" s="630">
        <v>0</v>
      </c>
      <c r="U41" s="630">
        <v>0</v>
      </c>
      <c r="V41" s="630">
        <v>0</v>
      </c>
      <c r="W41" s="630">
        <v>0</v>
      </c>
      <c r="X41" s="630">
        <v>0</v>
      </c>
      <c r="Y41" s="630">
        <v>0</v>
      </c>
      <c r="Z41" s="630">
        <v>0</v>
      </c>
      <c r="AA41" s="630">
        <v>0</v>
      </c>
      <c r="AB41" s="630">
        <v>0</v>
      </c>
      <c r="AC41" s="630">
        <v>0</v>
      </c>
      <c r="AD41" s="630">
        <v>0</v>
      </c>
      <c r="AE41" s="626">
        <f t="shared" si="22"/>
        <v>0</v>
      </c>
    </row>
    <row r="42" spans="1:31" s="601" customFormat="1" ht="16.5" customHeight="1">
      <c r="A42" s="608" t="str">
        <f>'CF-ACPL（合并）'!A42</f>
        <v>投资活动产生的现金流量净额</v>
      </c>
      <c r="B42" s="634">
        <f t="shared" si="11"/>
        <v>-3516000</v>
      </c>
      <c r="C42" s="634">
        <f t="shared" ca="1" si="12"/>
        <v>-3516000</v>
      </c>
      <c r="D42" s="634"/>
      <c r="E42" s="622">
        <f>E31+E37</f>
        <v>-3516000</v>
      </c>
      <c r="F42" s="622">
        <f t="shared" ref="F42:Q42" si="24">F31+F37</f>
        <v>13500000</v>
      </c>
      <c r="G42" s="622">
        <f t="shared" si="24"/>
        <v>0</v>
      </c>
      <c r="H42" s="622">
        <f t="shared" si="24"/>
        <v>7605000</v>
      </c>
      <c r="I42" s="622">
        <f t="shared" si="24"/>
        <v>0</v>
      </c>
      <c r="J42" s="622">
        <f t="shared" si="24"/>
        <v>0</v>
      </c>
      <c r="K42" s="622">
        <f t="shared" si="24"/>
        <v>0</v>
      </c>
      <c r="L42" s="622">
        <f t="shared" si="24"/>
        <v>0</v>
      </c>
      <c r="M42" s="622">
        <f t="shared" si="24"/>
        <v>0</v>
      </c>
      <c r="N42" s="622">
        <f t="shared" si="24"/>
        <v>0</v>
      </c>
      <c r="O42" s="622">
        <f t="shared" si="24"/>
        <v>0</v>
      </c>
      <c r="P42" s="622">
        <f t="shared" si="24"/>
        <v>0</v>
      </c>
      <c r="Q42" s="622">
        <f t="shared" si="24"/>
        <v>17589000</v>
      </c>
      <c r="R42" s="623"/>
      <c r="S42" s="622">
        <f t="shared" ref="S42:AE42" si="25">S31-S37</f>
        <v>0</v>
      </c>
      <c r="T42" s="622">
        <f t="shared" si="25"/>
        <v>0</v>
      </c>
      <c r="U42" s="622">
        <f t="shared" si="25"/>
        <v>0</v>
      </c>
      <c r="V42" s="622">
        <f t="shared" si="25"/>
        <v>0</v>
      </c>
      <c r="W42" s="622">
        <f t="shared" si="25"/>
        <v>0</v>
      </c>
      <c r="X42" s="622">
        <f t="shared" si="25"/>
        <v>0</v>
      </c>
      <c r="Y42" s="622">
        <f t="shared" si="25"/>
        <v>0</v>
      </c>
      <c r="Z42" s="622">
        <f t="shared" si="25"/>
        <v>0</v>
      </c>
      <c r="AA42" s="622">
        <f t="shared" si="25"/>
        <v>0</v>
      </c>
      <c r="AB42" s="622">
        <f t="shared" si="25"/>
        <v>0</v>
      </c>
      <c r="AC42" s="622">
        <f t="shared" si="25"/>
        <v>0</v>
      </c>
      <c r="AD42" s="622">
        <f t="shared" si="25"/>
        <v>0</v>
      </c>
      <c r="AE42" s="622">
        <f t="shared" si="25"/>
        <v>0</v>
      </c>
    </row>
    <row r="43" spans="1:31" ht="16.5" customHeight="1">
      <c r="A43" s="629"/>
      <c r="B43" s="633"/>
      <c r="C43" s="633"/>
      <c r="D43" s="633"/>
      <c r="E43" s="626"/>
      <c r="F43" s="626"/>
      <c r="G43" s="626"/>
      <c r="H43" s="626"/>
      <c r="I43" s="626"/>
      <c r="J43" s="626"/>
      <c r="K43" s="626"/>
      <c r="L43" s="626"/>
      <c r="M43" s="626"/>
      <c r="N43" s="626"/>
      <c r="O43" s="626"/>
      <c r="P43" s="626"/>
      <c r="Q43" s="626"/>
      <c r="R43" s="626"/>
      <c r="S43" s="626"/>
      <c r="T43" s="626"/>
      <c r="U43" s="626"/>
      <c r="V43" s="626"/>
      <c r="W43" s="626"/>
      <c r="X43" s="626"/>
      <c r="Y43" s="626"/>
      <c r="Z43" s="626"/>
      <c r="AA43" s="626"/>
      <c r="AB43" s="626"/>
      <c r="AC43" s="626"/>
      <c r="AD43" s="626"/>
      <c r="AE43" s="626"/>
    </row>
    <row r="44" spans="1:31" s="603" customFormat="1" ht="16.5" customHeight="1">
      <c r="A44" s="627" t="str">
        <f>'CF-ACPL（合并）'!A44</f>
        <v>筹资活动现金流入小计</v>
      </c>
      <c r="B44" s="628">
        <f t="shared" ref="B44:B52" si="26">INDEX($E44:$P44,1,MATCH($B$4,$E$4:$P$4))</f>
        <v>19650000</v>
      </c>
      <c r="C44" s="628">
        <f t="shared" ref="C44:C52" ca="1" si="27">SUM($E44:OFFSET($E44,0,MATCH($C$4,$E$4:$P$4)-1))</f>
        <v>19650000</v>
      </c>
      <c r="D44" s="628"/>
      <c r="E44" s="628">
        <f t="shared" ref="E44:Q44" si="28">SUM(E45:E47)</f>
        <v>19650000</v>
      </c>
      <c r="F44" s="628">
        <f t="shared" si="28"/>
        <v>500000</v>
      </c>
      <c r="G44" s="628">
        <f t="shared" si="28"/>
        <v>0</v>
      </c>
      <c r="H44" s="628">
        <f t="shared" si="28"/>
        <v>0</v>
      </c>
      <c r="I44" s="628">
        <f t="shared" si="28"/>
        <v>0</v>
      </c>
      <c r="J44" s="628">
        <f t="shared" si="28"/>
        <v>0</v>
      </c>
      <c r="K44" s="628">
        <f t="shared" si="28"/>
        <v>0</v>
      </c>
      <c r="L44" s="628">
        <f t="shared" si="28"/>
        <v>0</v>
      </c>
      <c r="M44" s="628">
        <f t="shared" si="28"/>
        <v>0</v>
      </c>
      <c r="N44" s="628">
        <f t="shared" si="28"/>
        <v>0</v>
      </c>
      <c r="O44" s="628">
        <f t="shared" si="28"/>
        <v>0</v>
      </c>
      <c r="P44" s="628">
        <f t="shared" si="28"/>
        <v>0</v>
      </c>
      <c r="Q44" s="628">
        <f t="shared" si="28"/>
        <v>20150000</v>
      </c>
      <c r="R44" s="623"/>
      <c r="S44" s="628">
        <f t="shared" ref="S44:AE44" si="29">SUM(S45:S47)</f>
        <v>0</v>
      </c>
      <c r="T44" s="628">
        <f t="shared" si="29"/>
        <v>0</v>
      </c>
      <c r="U44" s="628">
        <f t="shared" si="29"/>
        <v>0</v>
      </c>
      <c r="V44" s="628">
        <f t="shared" si="29"/>
        <v>0</v>
      </c>
      <c r="W44" s="628">
        <f t="shared" si="29"/>
        <v>0</v>
      </c>
      <c r="X44" s="628">
        <f t="shared" si="29"/>
        <v>0</v>
      </c>
      <c r="Y44" s="628">
        <f t="shared" si="29"/>
        <v>0</v>
      </c>
      <c r="Z44" s="628">
        <f t="shared" si="29"/>
        <v>0</v>
      </c>
      <c r="AA44" s="628">
        <f t="shared" si="29"/>
        <v>0</v>
      </c>
      <c r="AB44" s="628">
        <f t="shared" si="29"/>
        <v>0</v>
      </c>
      <c r="AC44" s="628">
        <f t="shared" si="29"/>
        <v>0</v>
      </c>
      <c r="AD44" s="628">
        <f t="shared" si="29"/>
        <v>0</v>
      </c>
      <c r="AE44" s="628">
        <f t="shared" si="29"/>
        <v>0</v>
      </c>
    </row>
    <row r="45" spans="1:31" ht="16.5" customHeight="1">
      <c r="A45" s="629" t="str">
        <f>'CF-ACPL（合并）'!A45</f>
        <v>吸收投资所收到的现金</v>
      </c>
      <c r="B45" s="623">
        <f t="shared" si="26"/>
        <v>0</v>
      </c>
      <c r="C45" s="626">
        <f t="shared" ca="1" si="27"/>
        <v>0</v>
      </c>
      <c r="D45" s="626"/>
      <c r="E45" s="626">
        <f>SUMIFS(cashflow汇总预算2026!$I:$I,cashflow汇总预算2026!$D:$D,E$4,cashflow汇总预算2026!$U:$U,$A45)</f>
        <v>0</v>
      </c>
      <c r="F45" s="626">
        <f>SUMIFS(cashflow汇总预算2026!$I:$I,cashflow汇总预算2026!$D:$D,F$4,cashflow汇总预算2026!$U:$U,$A45)</f>
        <v>0</v>
      </c>
      <c r="G45" s="626">
        <f>SUMIFS(cashflow汇总预算2026!$I:$I,cashflow汇总预算2026!$D:$D,G$4,cashflow汇总预算2026!$U:$U,$A45)</f>
        <v>0</v>
      </c>
      <c r="H45" s="626">
        <f>SUMIFS(cashflow汇总预算2026!$I:$I,cashflow汇总预算2026!$D:$D,H$4,cashflow汇总预算2026!$U:$U,$A45)</f>
        <v>0</v>
      </c>
      <c r="I45" s="626">
        <f>SUMIFS(cashflow汇总预算2026!$I:$I,cashflow汇总预算2026!$D:$D,I$4,cashflow汇总预算2026!$U:$U,$A45)</f>
        <v>0</v>
      </c>
      <c r="J45" s="626">
        <f>SUMIFS(cashflow汇总预算2026!$I:$I,cashflow汇总预算2026!$D:$D,J$4,cashflow汇总预算2026!$U:$U,$A45)</f>
        <v>0</v>
      </c>
      <c r="K45" s="626">
        <f>SUMIFS(cashflow汇总预算2026!$I:$I,cashflow汇总预算2026!$D:$D,K$4,cashflow汇总预算2026!$U:$U,$A45)</f>
        <v>0</v>
      </c>
      <c r="L45" s="626">
        <f>SUMIFS(cashflow汇总预算2026!$I:$I,cashflow汇总预算2026!$D:$D,L$4,cashflow汇总预算2026!$U:$U,$A45)</f>
        <v>0</v>
      </c>
      <c r="M45" s="626">
        <f>SUMIFS(cashflow汇总预算2026!$I:$I,cashflow汇总预算2026!$D:$D,M$4,cashflow汇总预算2026!$U:$U,$A45)</f>
        <v>0</v>
      </c>
      <c r="N45" s="626">
        <f>SUMIFS(cashflow汇总预算2026!$I:$I,cashflow汇总预算2026!$D:$D,N$4,cashflow汇总预算2026!$U:$U,$A45)</f>
        <v>0</v>
      </c>
      <c r="O45" s="626">
        <f>SUMIFS(cashflow汇总预算2026!$I:$I,cashflow汇总预算2026!$D:$D,O$4,cashflow汇总预算2026!$U:$U,$A45)</f>
        <v>0</v>
      </c>
      <c r="P45" s="626">
        <f>SUMIFS(cashflow汇总预算2026!$I:$I,cashflow汇总预算2026!$D:$D,P$4,cashflow汇总预算2026!$U:$U,$A45)</f>
        <v>0</v>
      </c>
      <c r="Q45" s="626">
        <f t="shared" ref="Q45:Q47" si="30">SUM(E45:P45)</f>
        <v>0</v>
      </c>
      <c r="R45" s="626"/>
      <c r="S45" s="630">
        <v>0</v>
      </c>
      <c r="T45" s="630">
        <v>0</v>
      </c>
      <c r="U45" s="630">
        <v>0</v>
      </c>
      <c r="V45" s="630">
        <v>0</v>
      </c>
      <c r="W45" s="630">
        <v>0</v>
      </c>
      <c r="X45" s="630">
        <v>0</v>
      </c>
      <c r="Y45" s="630">
        <v>0</v>
      </c>
      <c r="Z45" s="630">
        <v>0</v>
      </c>
      <c r="AA45" s="630">
        <v>0</v>
      </c>
      <c r="AB45" s="630">
        <v>0</v>
      </c>
      <c r="AC45" s="630">
        <v>0</v>
      </c>
      <c r="AD45" s="630">
        <v>0</v>
      </c>
      <c r="AE45" s="626">
        <f t="shared" ref="AE45:AE47" si="31">SUM(S45:AD45)</f>
        <v>0</v>
      </c>
    </row>
    <row r="46" spans="1:31" ht="16.5" customHeight="1">
      <c r="A46" s="629" t="str">
        <f>'CF-ACPL（合并）'!A46</f>
        <v>取得借款所收到的现金</v>
      </c>
      <c r="B46" s="623">
        <f t="shared" si="26"/>
        <v>19650000</v>
      </c>
      <c r="C46" s="626">
        <f t="shared" ca="1" si="27"/>
        <v>19650000</v>
      </c>
      <c r="D46" s="626"/>
      <c r="E46" s="626">
        <f>SUMIFS(cashflow汇总预算2026!$I:$I,cashflow汇总预算2026!$D:$D,E$4,cashflow汇总预算2026!$U:$U,$A46)</f>
        <v>19650000</v>
      </c>
      <c r="F46" s="626">
        <f>SUMIFS(cashflow汇总预算2026!$I:$I,cashflow汇总预算2026!$D:$D,F$4,cashflow汇总预算2026!$U:$U,$A46)</f>
        <v>0</v>
      </c>
      <c r="G46" s="626">
        <f>SUMIFS(cashflow汇总预算2026!$I:$I,cashflow汇总预算2026!$D:$D,G$4,cashflow汇总预算2026!$U:$U,$A46)</f>
        <v>0</v>
      </c>
      <c r="H46" s="626">
        <f>SUMIFS(cashflow汇总预算2026!$I:$I,cashflow汇总预算2026!$D:$D,H$4,cashflow汇总预算2026!$U:$U,$A46)</f>
        <v>0</v>
      </c>
      <c r="I46" s="626">
        <f>SUMIFS(cashflow汇总预算2026!$I:$I,cashflow汇总预算2026!$D:$D,I$4,cashflow汇总预算2026!$U:$U,$A46)</f>
        <v>0</v>
      </c>
      <c r="J46" s="626">
        <f>SUMIFS(cashflow汇总预算2026!$I:$I,cashflow汇总预算2026!$D:$D,J$4,cashflow汇总预算2026!$U:$U,$A46)</f>
        <v>0</v>
      </c>
      <c r="K46" s="626">
        <f>SUMIFS(cashflow汇总预算2026!$I:$I,cashflow汇总预算2026!$D:$D,K$4,cashflow汇总预算2026!$U:$U,$A46)</f>
        <v>0</v>
      </c>
      <c r="L46" s="626">
        <f>SUMIFS(cashflow汇总预算2026!$I:$I,cashflow汇总预算2026!$D:$D,L$4,cashflow汇总预算2026!$U:$U,$A46)</f>
        <v>0</v>
      </c>
      <c r="M46" s="626">
        <f>SUMIFS(cashflow汇总预算2026!$I:$I,cashflow汇总预算2026!$D:$D,M$4,cashflow汇总预算2026!$U:$U,$A46)</f>
        <v>0</v>
      </c>
      <c r="N46" s="626">
        <f>SUMIFS(cashflow汇总预算2026!$I:$I,cashflow汇总预算2026!$D:$D,N$4,cashflow汇总预算2026!$U:$U,$A46)</f>
        <v>0</v>
      </c>
      <c r="O46" s="626">
        <f>SUMIFS(cashflow汇总预算2026!$I:$I,cashflow汇总预算2026!$D:$D,O$4,cashflow汇总预算2026!$U:$U,$A46)</f>
        <v>0</v>
      </c>
      <c r="P46" s="626">
        <f>SUMIFS(cashflow汇总预算2026!$I:$I,cashflow汇总预算2026!$D:$D,P$4,cashflow汇总预算2026!$U:$U,$A46)</f>
        <v>0</v>
      </c>
      <c r="Q46" s="626">
        <f t="shared" si="30"/>
        <v>19650000</v>
      </c>
      <c r="R46" s="626"/>
      <c r="S46" s="630">
        <v>0</v>
      </c>
      <c r="T46" s="630">
        <v>0</v>
      </c>
      <c r="U46" s="630">
        <v>0</v>
      </c>
      <c r="V46" s="630">
        <v>0</v>
      </c>
      <c r="W46" s="630">
        <v>0</v>
      </c>
      <c r="X46" s="630">
        <v>0</v>
      </c>
      <c r="Y46" s="630">
        <v>0</v>
      </c>
      <c r="Z46" s="630">
        <v>0</v>
      </c>
      <c r="AA46" s="630">
        <v>0</v>
      </c>
      <c r="AB46" s="630">
        <v>0</v>
      </c>
      <c r="AC46" s="630">
        <v>0</v>
      </c>
      <c r="AD46" s="630">
        <v>0</v>
      </c>
      <c r="AE46" s="626">
        <f t="shared" si="31"/>
        <v>0</v>
      </c>
    </row>
    <row r="47" spans="1:31" ht="16.5" customHeight="1">
      <c r="A47" s="629" t="str">
        <f>'CF-ACPL（合并）'!A47</f>
        <v>收到的其他与筹资活动有关的现金</v>
      </c>
      <c r="B47" s="623">
        <f t="shared" si="26"/>
        <v>0</v>
      </c>
      <c r="C47" s="626">
        <f t="shared" ca="1" si="27"/>
        <v>0</v>
      </c>
      <c r="D47" s="626"/>
      <c r="E47" s="626">
        <f>SUMIFS(cashflow汇总预算2026!$I:$I,cashflow汇总预算2026!$D:$D,E$4,cashflow汇总预算2026!$U:$U,$A47)</f>
        <v>0</v>
      </c>
      <c r="F47" s="626">
        <f>SUMIFS(cashflow汇总预算2026!$I:$I,cashflow汇总预算2026!$D:$D,F$4,cashflow汇总预算2026!$U:$U,$A47)</f>
        <v>500000</v>
      </c>
      <c r="G47" s="626">
        <f>SUMIFS(cashflow汇总预算2026!$I:$I,cashflow汇总预算2026!$D:$D,G$4,cashflow汇总预算2026!$U:$U,$A47)</f>
        <v>0</v>
      </c>
      <c r="H47" s="626">
        <f>SUMIFS(cashflow汇总预算2026!$I:$I,cashflow汇总预算2026!$D:$D,H$4,cashflow汇总预算2026!$U:$U,$A47)</f>
        <v>0</v>
      </c>
      <c r="I47" s="626">
        <f>SUMIFS(cashflow汇总预算2026!$I:$I,cashflow汇总预算2026!$D:$D,I$4,cashflow汇总预算2026!$U:$U,$A47)</f>
        <v>0</v>
      </c>
      <c r="J47" s="626">
        <f>SUMIFS(cashflow汇总预算2026!$I:$I,cashflow汇总预算2026!$D:$D,J$4,cashflow汇总预算2026!$U:$U,$A47)</f>
        <v>0</v>
      </c>
      <c r="K47" s="626">
        <f>SUMIFS(cashflow汇总预算2026!$I:$I,cashflow汇总预算2026!$D:$D,K$4,cashflow汇总预算2026!$U:$U,$A47)</f>
        <v>0</v>
      </c>
      <c r="L47" s="626">
        <f>SUMIFS(cashflow汇总预算2026!$I:$I,cashflow汇总预算2026!$D:$D,L$4,cashflow汇总预算2026!$U:$U,$A47)</f>
        <v>0</v>
      </c>
      <c r="M47" s="626">
        <f>SUMIFS(cashflow汇总预算2026!$I:$I,cashflow汇总预算2026!$D:$D,M$4,cashflow汇总预算2026!$U:$U,$A47)</f>
        <v>0</v>
      </c>
      <c r="N47" s="626">
        <f>SUMIFS(cashflow汇总预算2026!$I:$I,cashflow汇总预算2026!$D:$D,N$4,cashflow汇总预算2026!$U:$U,$A47)</f>
        <v>0</v>
      </c>
      <c r="O47" s="626">
        <f>SUMIFS(cashflow汇总预算2026!$I:$I,cashflow汇总预算2026!$D:$D,O$4,cashflow汇总预算2026!$U:$U,$A47)</f>
        <v>0</v>
      </c>
      <c r="P47" s="626">
        <f>SUMIFS(cashflow汇总预算2026!$I:$I,cashflow汇总预算2026!$D:$D,P$4,cashflow汇总预算2026!$U:$U,$A47)</f>
        <v>0</v>
      </c>
      <c r="Q47" s="626">
        <f t="shared" si="30"/>
        <v>500000</v>
      </c>
      <c r="R47" s="626"/>
      <c r="S47" s="630">
        <v>0</v>
      </c>
      <c r="T47" s="630">
        <v>0</v>
      </c>
      <c r="U47" s="630">
        <v>0</v>
      </c>
      <c r="V47" s="630">
        <v>0</v>
      </c>
      <c r="W47" s="630">
        <v>0</v>
      </c>
      <c r="X47" s="630">
        <v>0</v>
      </c>
      <c r="Y47" s="630">
        <v>0</v>
      </c>
      <c r="Z47" s="630">
        <v>0</v>
      </c>
      <c r="AA47" s="630">
        <v>0</v>
      </c>
      <c r="AB47" s="630">
        <v>0</v>
      </c>
      <c r="AC47" s="630">
        <v>0</v>
      </c>
      <c r="AD47" s="630">
        <v>0</v>
      </c>
      <c r="AE47" s="626">
        <f t="shared" si="31"/>
        <v>0</v>
      </c>
    </row>
    <row r="48" spans="1:31" s="605" customFormat="1" ht="16.5" customHeight="1">
      <c r="A48" s="635" t="str">
        <f>'CF-ACPL（合并）'!A48</f>
        <v>筹资活动现金流出小计</v>
      </c>
      <c r="B48" s="636">
        <f t="shared" si="26"/>
        <v>-13464000</v>
      </c>
      <c r="C48" s="636">
        <f t="shared" ca="1" si="27"/>
        <v>-13464000</v>
      </c>
      <c r="D48" s="636"/>
      <c r="E48" s="636">
        <f t="shared" ref="E48" si="32">SUM(E49:E51)</f>
        <v>-13464000</v>
      </c>
      <c r="F48" s="636">
        <f t="shared" ref="F48:Q48" si="33">SUM(F49:F51)</f>
        <v>-16500000</v>
      </c>
      <c r="G48" s="636">
        <f t="shared" si="33"/>
        <v>0</v>
      </c>
      <c r="H48" s="636">
        <f t="shared" si="33"/>
        <v>-7505000</v>
      </c>
      <c r="I48" s="636">
        <f t="shared" si="33"/>
        <v>0</v>
      </c>
      <c r="J48" s="636">
        <f t="shared" si="33"/>
        <v>0</v>
      </c>
      <c r="K48" s="636">
        <f t="shared" si="33"/>
        <v>0</v>
      </c>
      <c r="L48" s="636">
        <f t="shared" si="33"/>
        <v>0</v>
      </c>
      <c r="M48" s="636">
        <f t="shared" si="33"/>
        <v>0</v>
      </c>
      <c r="N48" s="636">
        <f t="shared" si="33"/>
        <v>0</v>
      </c>
      <c r="O48" s="636">
        <f t="shared" si="33"/>
        <v>0</v>
      </c>
      <c r="P48" s="636">
        <f t="shared" si="33"/>
        <v>0</v>
      </c>
      <c r="Q48" s="636">
        <f t="shared" si="33"/>
        <v>-37469000</v>
      </c>
      <c r="R48" s="623"/>
      <c r="S48" s="636">
        <f t="shared" ref="S48:AE48" si="34">SUM(S49:S51)</f>
        <v>0</v>
      </c>
      <c r="T48" s="636">
        <f t="shared" si="34"/>
        <v>0</v>
      </c>
      <c r="U48" s="636">
        <f t="shared" si="34"/>
        <v>0</v>
      </c>
      <c r="V48" s="636">
        <f t="shared" si="34"/>
        <v>0</v>
      </c>
      <c r="W48" s="636">
        <f t="shared" si="34"/>
        <v>0</v>
      </c>
      <c r="X48" s="636">
        <f t="shared" si="34"/>
        <v>0</v>
      </c>
      <c r="Y48" s="636">
        <f t="shared" si="34"/>
        <v>0</v>
      </c>
      <c r="Z48" s="636">
        <f t="shared" si="34"/>
        <v>0</v>
      </c>
      <c r="AA48" s="636">
        <f t="shared" si="34"/>
        <v>0</v>
      </c>
      <c r="AB48" s="636">
        <f t="shared" si="34"/>
        <v>0</v>
      </c>
      <c r="AC48" s="636">
        <f t="shared" si="34"/>
        <v>0</v>
      </c>
      <c r="AD48" s="636">
        <f t="shared" si="34"/>
        <v>0</v>
      </c>
      <c r="AE48" s="636">
        <f t="shared" si="34"/>
        <v>0</v>
      </c>
    </row>
    <row r="49" spans="1:33" ht="16.5" customHeight="1">
      <c r="A49" s="629" t="str">
        <f>'CF-ACPL（合并）'!A49</f>
        <v>偿还债务所支付的现金</v>
      </c>
      <c r="B49" s="623">
        <f t="shared" si="26"/>
        <v>0</v>
      </c>
      <c r="C49" s="626">
        <f t="shared" ca="1" si="27"/>
        <v>0</v>
      </c>
      <c r="D49" s="626"/>
      <c r="E49" s="626">
        <f>SUMIFS(cashflow汇总预算2026!$I:$I,cashflow汇总预算2026!$D:$D,E$4,cashflow汇总预算2026!$U:$U,$A49)</f>
        <v>0</v>
      </c>
      <c r="F49" s="626">
        <f>SUMIFS(cashflow汇总预算2026!$I:$I,cashflow汇总预算2026!$D:$D,F$4,cashflow汇总预算2026!$U:$U,$A49)</f>
        <v>0</v>
      </c>
      <c r="G49" s="626">
        <f>SUMIFS(cashflow汇总预算2026!$I:$I,cashflow汇总预算2026!$D:$D,G$4,cashflow汇总预算2026!$U:$U,$A49)</f>
        <v>0</v>
      </c>
      <c r="H49" s="626">
        <f>SUMIFS(cashflow汇总预算2026!$I:$I,cashflow汇总预算2026!$D:$D,H$4,cashflow汇总预算2026!$U:$U,$A49)</f>
        <v>0</v>
      </c>
      <c r="I49" s="626">
        <f>SUMIFS(cashflow汇总预算2026!$I:$I,cashflow汇总预算2026!$D:$D,I$4,cashflow汇总预算2026!$U:$U,$A49)</f>
        <v>0</v>
      </c>
      <c r="J49" s="626">
        <f>SUMIFS(cashflow汇总预算2026!$I:$I,cashflow汇总预算2026!$D:$D,J$4,cashflow汇总预算2026!$U:$U,$A49)</f>
        <v>0</v>
      </c>
      <c r="K49" s="626">
        <f>SUMIFS(cashflow汇总预算2026!$I:$I,cashflow汇总预算2026!$D:$D,K$4,cashflow汇总预算2026!$U:$U,$A49)</f>
        <v>0</v>
      </c>
      <c r="L49" s="626">
        <f>SUMIFS(cashflow汇总预算2026!$I:$I,cashflow汇总预算2026!$D:$D,L$4,cashflow汇总预算2026!$U:$U,$A49)</f>
        <v>0</v>
      </c>
      <c r="M49" s="626">
        <f>SUMIFS(cashflow汇总预算2026!$I:$I,cashflow汇总预算2026!$D:$D,M$4,cashflow汇总预算2026!$U:$U,$A49)</f>
        <v>0</v>
      </c>
      <c r="N49" s="626">
        <f>SUMIFS(cashflow汇总预算2026!$I:$I,cashflow汇总预算2026!$D:$D,N$4,cashflow汇总预算2026!$U:$U,$A49)</f>
        <v>0</v>
      </c>
      <c r="O49" s="626">
        <f>SUMIFS(cashflow汇总预算2026!$I:$I,cashflow汇总预算2026!$D:$D,O$4,cashflow汇总预算2026!$U:$U,$A49)</f>
        <v>0</v>
      </c>
      <c r="P49" s="626">
        <f>SUMIFS(cashflow汇总预算2026!$I:$I,cashflow汇总预算2026!$D:$D,P$4,cashflow汇总预算2026!$U:$U,$A49)</f>
        <v>0</v>
      </c>
      <c r="Q49" s="626">
        <f t="shared" ref="Q49:Q51" si="35">SUM(E49:P49)</f>
        <v>0</v>
      </c>
      <c r="R49" s="626"/>
      <c r="S49" s="626"/>
      <c r="T49" s="626"/>
      <c r="U49" s="626"/>
      <c r="V49" s="626"/>
      <c r="W49" s="626"/>
      <c r="X49" s="626"/>
      <c r="Y49" s="626"/>
      <c r="Z49" s="626"/>
      <c r="AA49" s="626"/>
      <c r="AB49" s="626"/>
      <c r="AC49" s="626"/>
      <c r="AD49" s="626"/>
      <c r="AE49" s="626">
        <f t="shared" ref="AE49:AE51" si="36">SUM(S49:AD49)</f>
        <v>0</v>
      </c>
    </row>
    <row r="50" spans="1:33" ht="15" customHeight="1">
      <c r="A50" s="629" t="str">
        <f>'CF-ACPL（合并）'!A50</f>
        <v>分配股利、利润或偿付利息支付的现金</v>
      </c>
      <c r="B50" s="623">
        <f t="shared" si="26"/>
        <v>0</v>
      </c>
      <c r="C50" s="626">
        <f t="shared" ca="1" si="27"/>
        <v>0</v>
      </c>
      <c r="D50" s="626"/>
      <c r="E50" s="626">
        <f>SUMIFS(cashflow汇总预算2026!$I:$I,cashflow汇总预算2026!$D:$D,E$4,cashflow汇总预算2026!$U:$U,$A50)</f>
        <v>0</v>
      </c>
      <c r="F50" s="626">
        <f>SUMIFS(cashflow汇总预算2026!$I:$I,cashflow汇总预算2026!$D:$D,F$4,cashflow汇总预算2026!$U:$U,$A50)</f>
        <v>0</v>
      </c>
      <c r="G50" s="626">
        <f>SUMIFS(cashflow汇总预算2026!$I:$I,cashflow汇总预算2026!$D:$D,G$4,cashflow汇总预算2026!$U:$U,$A50)</f>
        <v>0</v>
      </c>
      <c r="H50" s="626">
        <f>SUMIFS(cashflow汇总预算2026!$I:$I,cashflow汇总预算2026!$D:$D,H$4,cashflow汇总预算2026!$U:$U,$A50)</f>
        <v>0</v>
      </c>
      <c r="I50" s="626">
        <f>SUMIFS(cashflow汇总预算2026!$I:$I,cashflow汇总预算2026!$D:$D,I$4,cashflow汇总预算2026!$U:$U,$A50)</f>
        <v>0</v>
      </c>
      <c r="J50" s="626">
        <f>SUMIFS(cashflow汇总预算2026!$I:$I,cashflow汇总预算2026!$D:$D,J$4,cashflow汇总预算2026!$U:$U,$A50)</f>
        <v>0</v>
      </c>
      <c r="K50" s="626">
        <f>SUMIFS(cashflow汇总预算2026!$I:$I,cashflow汇总预算2026!$D:$D,K$4,cashflow汇总预算2026!$U:$U,$A50)</f>
        <v>0</v>
      </c>
      <c r="L50" s="626">
        <f>SUMIFS(cashflow汇总预算2026!$I:$I,cashflow汇总预算2026!$D:$D,L$4,cashflow汇总预算2026!$U:$U,$A50)</f>
        <v>0</v>
      </c>
      <c r="M50" s="626">
        <f>SUMIFS(cashflow汇总预算2026!$I:$I,cashflow汇总预算2026!$D:$D,M$4,cashflow汇总预算2026!$U:$U,$A50)</f>
        <v>0</v>
      </c>
      <c r="N50" s="626">
        <f>SUMIFS(cashflow汇总预算2026!$I:$I,cashflow汇总预算2026!$D:$D,N$4,cashflow汇总预算2026!$U:$U,$A50)</f>
        <v>0</v>
      </c>
      <c r="O50" s="626">
        <f>SUMIFS(cashflow汇总预算2026!$I:$I,cashflow汇总预算2026!$D:$D,O$4,cashflow汇总预算2026!$U:$U,$A50)</f>
        <v>0</v>
      </c>
      <c r="P50" s="626">
        <f>SUMIFS(cashflow汇总预算2026!$I:$I,cashflow汇总预算2026!$D:$D,P$4,cashflow汇总预算2026!$U:$U,$A50)</f>
        <v>0</v>
      </c>
      <c r="Q50" s="626">
        <f t="shared" si="35"/>
        <v>0</v>
      </c>
      <c r="R50" s="626"/>
      <c r="S50" s="626"/>
      <c r="T50" s="626"/>
      <c r="U50" s="626"/>
      <c r="V50" s="626"/>
      <c r="W50" s="626"/>
      <c r="X50" s="626"/>
      <c r="Y50" s="626"/>
      <c r="Z50" s="626"/>
      <c r="AA50" s="626"/>
      <c r="AB50" s="626"/>
      <c r="AC50" s="626"/>
      <c r="AD50" s="626"/>
      <c r="AE50" s="626">
        <f t="shared" si="36"/>
        <v>0</v>
      </c>
    </row>
    <row r="51" spans="1:33" ht="16.5" customHeight="1">
      <c r="A51" s="629" t="str">
        <f>'CF-ACPL（合并）'!A51</f>
        <v>支付的其他与筹资活动有关的现金</v>
      </c>
      <c r="B51" s="623">
        <f t="shared" si="26"/>
        <v>-13464000</v>
      </c>
      <c r="C51" s="626">
        <f t="shared" ca="1" si="27"/>
        <v>-13464000</v>
      </c>
      <c r="D51" s="626"/>
      <c r="E51" s="626">
        <f>SUMIFS(cashflow汇总预算2026!$I:$I,cashflow汇总预算2026!$D:$D,E$4,cashflow汇总预算2026!$U:$U,$A51)</f>
        <v>-13464000</v>
      </c>
      <c r="F51" s="626">
        <f>SUMIFS(cashflow汇总预算2026!$I:$I,cashflow汇总预算2026!$D:$D,F$4,cashflow汇总预算2026!$U:$U,$A51)</f>
        <v>-16500000</v>
      </c>
      <c r="G51" s="626">
        <f>SUMIFS(cashflow汇总预算2026!$I:$I,cashflow汇总预算2026!$D:$D,G$4,cashflow汇总预算2026!$U:$U,$A51)</f>
        <v>0</v>
      </c>
      <c r="H51" s="626">
        <f>SUMIFS(cashflow汇总预算2026!$I:$I,cashflow汇总预算2026!$D:$D,H$4,cashflow汇总预算2026!$U:$U,$A51)</f>
        <v>-7505000</v>
      </c>
      <c r="I51" s="626">
        <f>SUMIFS(cashflow汇总预算2026!$I:$I,cashflow汇总预算2026!$D:$D,I$4,cashflow汇总预算2026!$U:$U,$A51)</f>
        <v>0</v>
      </c>
      <c r="J51" s="626">
        <f>SUMIFS(cashflow汇总预算2026!$I:$I,cashflow汇总预算2026!$D:$D,J$4,cashflow汇总预算2026!$U:$U,$A51)</f>
        <v>0</v>
      </c>
      <c r="K51" s="626">
        <f>SUMIFS(cashflow汇总预算2026!$I:$I,cashflow汇总预算2026!$D:$D,K$4,cashflow汇总预算2026!$U:$U,$A51)</f>
        <v>0</v>
      </c>
      <c r="L51" s="626">
        <f>SUMIFS(cashflow汇总预算2026!$I:$I,cashflow汇总预算2026!$D:$D,L$4,cashflow汇总预算2026!$U:$U,$A51)</f>
        <v>0</v>
      </c>
      <c r="M51" s="626">
        <f>SUMIFS(cashflow汇总预算2026!$I:$I,cashflow汇总预算2026!$D:$D,M$4,cashflow汇总预算2026!$U:$U,$A51)</f>
        <v>0</v>
      </c>
      <c r="N51" s="626">
        <f>SUMIFS(cashflow汇总预算2026!$I:$I,cashflow汇总预算2026!$D:$D,N$4,cashflow汇总预算2026!$U:$U,$A51)</f>
        <v>0</v>
      </c>
      <c r="O51" s="626">
        <f>SUMIFS(cashflow汇总预算2026!$I:$I,cashflow汇总预算2026!$D:$D,O$4,cashflow汇总预算2026!$U:$U,$A51)</f>
        <v>0</v>
      </c>
      <c r="P51" s="626">
        <f>SUMIFS(cashflow汇总预算2026!$I:$I,cashflow汇总预算2026!$D:$D,P$4,cashflow汇总预算2026!$U:$U,$A51)</f>
        <v>0</v>
      </c>
      <c r="Q51" s="626">
        <f t="shared" si="35"/>
        <v>-37469000</v>
      </c>
      <c r="R51" s="626"/>
      <c r="S51" s="626"/>
      <c r="T51" s="626"/>
      <c r="U51" s="626"/>
      <c r="V51" s="626"/>
      <c r="W51" s="626"/>
      <c r="X51" s="626"/>
      <c r="Y51" s="626"/>
      <c r="Z51" s="626"/>
      <c r="AA51" s="626"/>
      <c r="AB51" s="626"/>
      <c r="AC51" s="626"/>
      <c r="AD51" s="626"/>
      <c r="AE51" s="626">
        <f t="shared" si="36"/>
        <v>0</v>
      </c>
    </row>
    <row r="52" spans="1:33" s="606" customFormat="1" ht="16.5" customHeight="1">
      <c r="A52" s="606" t="str">
        <f>'CF-ACPL（合并）'!A52</f>
        <v>筹资活动产生的现金流量净额</v>
      </c>
      <c r="B52" s="634">
        <f t="shared" si="26"/>
        <v>6186000</v>
      </c>
      <c r="C52" s="634">
        <f t="shared" ca="1" si="27"/>
        <v>6186000</v>
      </c>
      <c r="D52" s="634"/>
      <c r="E52" s="634">
        <f>E44+E48</f>
        <v>6186000</v>
      </c>
      <c r="F52" s="634">
        <f t="shared" ref="F52:Q52" si="37">F44+F48</f>
        <v>-16000000</v>
      </c>
      <c r="G52" s="634">
        <f t="shared" si="37"/>
        <v>0</v>
      </c>
      <c r="H52" s="634">
        <f t="shared" si="37"/>
        <v>-7505000</v>
      </c>
      <c r="I52" s="634">
        <f t="shared" si="37"/>
        <v>0</v>
      </c>
      <c r="J52" s="634">
        <f t="shared" si="37"/>
        <v>0</v>
      </c>
      <c r="K52" s="634">
        <f t="shared" si="37"/>
        <v>0</v>
      </c>
      <c r="L52" s="634">
        <f t="shared" si="37"/>
        <v>0</v>
      </c>
      <c r="M52" s="634">
        <f t="shared" si="37"/>
        <v>0</v>
      </c>
      <c r="N52" s="634">
        <f t="shared" si="37"/>
        <v>0</v>
      </c>
      <c r="O52" s="634">
        <f t="shared" si="37"/>
        <v>0</v>
      </c>
      <c r="P52" s="634">
        <f t="shared" si="37"/>
        <v>0</v>
      </c>
      <c r="Q52" s="634">
        <f t="shared" si="37"/>
        <v>-17319000</v>
      </c>
      <c r="R52" s="637"/>
      <c r="S52" s="634">
        <f t="shared" ref="S52:AE52" si="38">S44-S48</f>
        <v>0</v>
      </c>
      <c r="T52" s="634">
        <f t="shared" si="38"/>
        <v>0</v>
      </c>
      <c r="U52" s="634">
        <f t="shared" si="38"/>
        <v>0</v>
      </c>
      <c r="V52" s="634">
        <f t="shared" si="38"/>
        <v>0</v>
      </c>
      <c r="W52" s="634">
        <f t="shared" si="38"/>
        <v>0</v>
      </c>
      <c r="X52" s="634">
        <f t="shared" si="38"/>
        <v>0</v>
      </c>
      <c r="Y52" s="634">
        <f t="shared" si="38"/>
        <v>0</v>
      </c>
      <c r="Z52" s="634">
        <f t="shared" si="38"/>
        <v>0</v>
      </c>
      <c r="AA52" s="634">
        <f t="shared" si="38"/>
        <v>0</v>
      </c>
      <c r="AB52" s="634">
        <f t="shared" si="38"/>
        <v>0</v>
      </c>
      <c r="AC52" s="634">
        <f t="shared" si="38"/>
        <v>0</v>
      </c>
      <c r="AD52" s="634">
        <f t="shared" si="38"/>
        <v>0</v>
      </c>
      <c r="AE52" s="634">
        <f t="shared" si="38"/>
        <v>0</v>
      </c>
      <c r="AF52" s="638"/>
      <c r="AG52" s="639"/>
    </row>
    <row r="53" spans="1:33" ht="16.5" customHeight="1">
      <c r="B53" s="625"/>
      <c r="C53" s="625"/>
      <c r="D53" s="625"/>
      <c r="E53" s="626"/>
      <c r="F53" s="626"/>
      <c r="G53" s="626"/>
      <c r="H53" s="626"/>
      <c r="I53" s="626"/>
      <c r="J53" s="626"/>
      <c r="K53" s="626"/>
      <c r="L53" s="626"/>
      <c r="M53" s="626"/>
      <c r="N53" s="626"/>
      <c r="O53" s="626"/>
      <c r="P53" s="626"/>
      <c r="Q53" s="626"/>
      <c r="R53" s="626"/>
      <c r="S53" s="626"/>
      <c r="T53" s="626"/>
      <c r="U53" s="626"/>
      <c r="V53" s="626"/>
      <c r="W53" s="626"/>
      <c r="X53" s="626"/>
      <c r="Y53" s="626"/>
      <c r="Z53" s="626"/>
      <c r="AA53" s="626"/>
      <c r="AB53" s="626"/>
      <c r="AC53" s="626"/>
      <c r="AD53" s="626"/>
      <c r="AE53" s="626"/>
    </row>
    <row r="54" spans="1:33" s="607" customFormat="1" ht="16.5" customHeight="1">
      <c r="A54" s="607" t="str">
        <f>'CF-ACPL（合并）'!A54</f>
        <v>汇率变动对现金的影响额</v>
      </c>
      <c r="B54" s="634">
        <f t="shared" ref="B54:B58" si="39">INDEX($E54:$P54,1,MATCH($B$4,$E$4:$P$4))</f>
        <v>0</v>
      </c>
      <c r="C54" s="634">
        <f t="shared" ref="C54:C58" ca="1" si="40">SUM($E54:OFFSET($E54,0,MATCH($C$4,$E$4:$P$4)-1))</f>
        <v>0</v>
      </c>
      <c r="D54" s="634"/>
      <c r="E54" s="640"/>
      <c r="F54" s="640"/>
      <c r="G54" s="640"/>
      <c r="H54" s="640"/>
      <c r="I54" s="640"/>
      <c r="J54" s="640"/>
      <c r="K54" s="640"/>
      <c r="L54" s="640"/>
      <c r="M54" s="640"/>
      <c r="N54" s="640"/>
      <c r="O54" s="640"/>
      <c r="P54" s="640"/>
      <c r="Q54" s="640"/>
      <c r="R54" s="626"/>
      <c r="S54" s="640"/>
      <c r="T54" s="640"/>
      <c r="U54" s="640"/>
      <c r="V54" s="640"/>
      <c r="W54" s="640"/>
      <c r="X54" s="640"/>
      <c r="Y54" s="640"/>
      <c r="Z54" s="640"/>
      <c r="AA54" s="640"/>
      <c r="AB54" s="640"/>
      <c r="AC54" s="640"/>
      <c r="AD54" s="640"/>
      <c r="AE54" s="640"/>
    </row>
    <row r="55" spans="1:33" ht="16.5" customHeight="1">
      <c r="B55" s="625"/>
      <c r="C55" s="625"/>
      <c r="D55" s="625"/>
      <c r="E55" s="626"/>
      <c r="F55" s="626"/>
      <c r="G55" s="626"/>
      <c r="H55" s="626"/>
      <c r="I55" s="626"/>
      <c r="J55" s="626"/>
      <c r="K55" s="626"/>
      <c r="L55" s="626"/>
      <c r="M55" s="626"/>
      <c r="N55" s="626"/>
      <c r="O55" s="626"/>
      <c r="P55" s="626"/>
      <c r="Q55" s="626"/>
      <c r="R55" s="626"/>
      <c r="S55" s="626"/>
      <c r="T55" s="626"/>
      <c r="U55" s="626"/>
      <c r="V55" s="626"/>
      <c r="W55" s="626"/>
      <c r="X55" s="626"/>
      <c r="Y55" s="626"/>
      <c r="Z55" s="626"/>
      <c r="AA55" s="626"/>
      <c r="AB55" s="626"/>
      <c r="AC55" s="626"/>
      <c r="AD55" s="626"/>
      <c r="AE55" s="626"/>
    </row>
    <row r="56" spans="1:33" s="608" customFormat="1" ht="16.5" customHeight="1">
      <c r="A56" s="608" t="str">
        <f>'CF-ACPL（合并）'!A56</f>
        <v>现金及现金等价物净增加额</v>
      </c>
      <c r="B56" s="634">
        <f t="shared" ca="1" si="39"/>
        <v>2669525</v>
      </c>
      <c r="C56" s="634">
        <f t="shared" ca="1" si="40"/>
        <v>2669525</v>
      </c>
      <c r="D56" s="634"/>
      <c r="E56" s="622">
        <f ca="1">SUM(E29,E42,E52,E54)</f>
        <v>2669525</v>
      </c>
      <c r="F56" s="622">
        <f t="shared" ref="F56:Q56" ca="1" si="41">SUM(F29,F42,F52,F54)</f>
        <v>-2500475</v>
      </c>
      <c r="G56" s="622">
        <f t="shared" ca="1" si="41"/>
        <v>-475</v>
      </c>
      <c r="H56" s="622">
        <f t="shared" ca="1" si="41"/>
        <v>99525</v>
      </c>
      <c r="I56" s="622">
        <f t="shared" ca="1" si="41"/>
        <v>-475</v>
      </c>
      <c r="J56" s="622">
        <f t="shared" ca="1" si="41"/>
        <v>-52345</v>
      </c>
      <c r="K56" s="622">
        <f t="shared" ca="1" si="41"/>
        <v>-475</v>
      </c>
      <c r="L56" s="622">
        <f t="shared" ca="1" si="41"/>
        <v>-475</v>
      </c>
      <c r="M56" s="622">
        <f t="shared" ca="1" si="41"/>
        <v>-475</v>
      </c>
      <c r="N56" s="622">
        <f t="shared" ca="1" si="41"/>
        <v>-475</v>
      </c>
      <c r="O56" s="622">
        <f t="shared" ca="1" si="41"/>
        <v>-475</v>
      </c>
      <c r="P56" s="622">
        <f t="shared" ca="1" si="41"/>
        <v>-50475</v>
      </c>
      <c r="Q56" s="622">
        <f t="shared" ca="1" si="41"/>
        <v>162430</v>
      </c>
      <c r="R56" s="623"/>
      <c r="S56" s="622">
        <f t="shared" ref="S56:AE56" si="42">SUM(S29,S42,S52,S54)</f>
        <v>0</v>
      </c>
      <c r="T56" s="622">
        <f t="shared" si="42"/>
        <v>0</v>
      </c>
      <c r="U56" s="622">
        <f t="shared" si="42"/>
        <v>0</v>
      </c>
      <c r="V56" s="622">
        <f t="shared" si="42"/>
        <v>0</v>
      </c>
      <c r="W56" s="622">
        <f t="shared" si="42"/>
        <v>0</v>
      </c>
      <c r="X56" s="622">
        <f t="shared" si="42"/>
        <v>0</v>
      </c>
      <c r="Y56" s="622">
        <f t="shared" si="42"/>
        <v>0</v>
      </c>
      <c r="Z56" s="622">
        <f t="shared" si="42"/>
        <v>0</v>
      </c>
      <c r="AA56" s="622">
        <f t="shared" si="42"/>
        <v>0</v>
      </c>
      <c r="AB56" s="622">
        <f t="shared" si="42"/>
        <v>0</v>
      </c>
      <c r="AC56" s="622">
        <f t="shared" si="42"/>
        <v>0</v>
      </c>
      <c r="AD56" s="622">
        <f t="shared" si="42"/>
        <v>0</v>
      </c>
      <c r="AE56" s="622">
        <f t="shared" si="42"/>
        <v>0</v>
      </c>
    </row>
    <row r="57" spans="1:33" ht="16.5" customHeight="1">
      <c r="B57" s="625"/>
      <c r="C57" s="625"/>
      <c r="D57" s="625"/>
      <c r="E57" s="626"/>
      <c r="F57" s="626"/>
      <c r="G57" s="626"/>
      <c r="H57" s="626"/>
      <c r="I57" s="626"/>
      <c r="J57" s="626"/>
      <c r="K57" s="626"/>
      <c r="L57" s="626"/>
      <c r="M57" s="626"/>
      <c r="N57" s="626"/>
      <c r="O57" s="626"/>
      <c r="P57" s="626"/>
      <c r="Q57" s="626"/>
      <c r="R57" s="626"/>
      <c r="S57" s="626"/>
      <c r="T57" s="626"/>
      <c r="U57" s="626"/>
      <c r="V57" s="626"/>
      <c r="W57" s="626"/>
      <c r="X57" s="626"/>
      <c r="Y57" s="626"/>
      <c r="Z57" s="626"/>
      <c r="AA57" s="626"/>
      <c r="AB57" s="626"/>
      <c r="AC57" s="626"/>
      <c r="AD57" s="626"/>
      <c r="AE57" s="626"/>
    </row>
    <row r="58" spans="1:33" s="608" customFormat="1" ht="16.5" customHeight="1">
      <c r="A58" s="608" t="str">
        <f>'CF-ACPL（合并）'!A58</f>
        <v>期末现金及现金等价物余额</v>
      </c>
      <c r="B58" s="634">
        <f t="shared" ca="1" si="39"/>
        <v>2677501.4</v>
      </c>
      <c r="C58" s="634">
        <f t="shared" ca="1" si="40"/>
        <v>2677501.4</v>
      </c>
      <c r="D58" s="634"/>
      <c r="E58" s="622">
        <f t="shared" ref="E58:Q58" ca="1" si="43">E10+E56</f>
        <v>2677501.4</v>
      </c>
      <c r="F58" s="622">
        <f t="shared" ca="1" si="43"/>
        <v>177026.39999999991</v>
      </c>
      <c r="G58" s="622">
        <f t="shared" ca="1" si="43"/>
        <v>176551.39999999991</v>
      </c>
      <c r="H58" s="622">
        <f t="shared" ca="1" si="43"/>
        <v>276076.39999999991</v>
      </c>
      <c r="I58" s="622">
        <f t="shared" ca="1" si="43"/>
        <v>275601.39999999991</v>
      </c>
      <c r="J58" s="622">
        <f t="shared" ca="1" si="43"/>
        <v>223256.39999999991</v>
      </c>
      <c r="K58" s="622">
        <f t="shared" ca="1" si="43"/>
        <v>222781.39999999991</v>
      </c>
      <c r="L58" s="622">
        <f t="shared" ca="1" si="43"/>
        <v>222306.39999999991</v>
      </c>
      <c r="M58" s="622">
        <f t="shared" ca="1" si="43"/>
        <v>221831.39999999991</v>
      </c>
      <c r="N58" s="622">
        <f t="shared" ca="1" si="43"/>
        <v>221356.39999999991</v>
      </c>
      <c r="O58" s="622">
        <f t="shared" ca="1" si="43"/>
        <v>220881.39999999991</v>
      </c>
      <c r="P58" s="622">
        <f t="shared" ca="1" si="43"/>
        <v>170406.39999999991</v>
      </c>
      <c r="Q58" s="622">
        <f t="shared" ca="1" si="43"/>
        <v>170406.39999999999</v>
      </c>
      <c r="R58" s="623"/>
      <c r="S58" s="622">
        <f t="shared" ref="S58:AE58" ca="1" si="44">S10+S56</f>
        <v>170406.39999999991</v>
      </c>
      <c r="T58" s="622">
        <f t="shared" ca="1" si="44"/>
        <v>170406.39999999991</v>
      </c>
      <c r="U58" s="622">
        <f t="shared" ca="1" si="44"/>
        <v>170406.39999999991</v>
      </c>
      <c r="V58" s="622">
        <f t="shared" ca="1" si="44"/>
        <v>170406.39999999991</v>
      </c>
      <c r="W58" s="622">
        <f t="shared" ca="1" si="44"/>
        <v>170406.39999999991</v>
      </c>
      <c r="X58" s="622">
        <f t="shared" ca="1" si="44"/>
        <v>170406.39999999991</v>
      </c>
      <c r="Y58" s="622">
        <f t="shared" ca="1" si="44"/>
        <v>170406.39999999991</v>
      </c>
      <c r="Z58" s="622">
        <f t="shared" ca="1" si="44"/>
        <v>170406.39999999991</v>
      </c>
      <c r="AA58" s="622">
        <f t="shared" ca="1" si="44"/>
        <v>170406.39999999991</v>
      </c>
      <c r="AB58" s="622">
        <f t="shared" ca="1" si="44"/>
        <v>170406.39999999991</v>
      </c>
      <c r="AC58" s="622">
        <f t="shared" ca="1" si="44"/>
        <v>170406.39999999991</v>
      </c>
      <c r="AD58" s="622">
        <f t="shared" ca="1" si="44"/>
        <v>170406.39999999991</v>
      </c>
      <c r="AE58" s="622">
        <f t="shared" ca="1" si="44"/>
        <v>170406.39999999991</v>
      </c>
    </row>
    <row r="59" spans="1:33" ht="16.5" customHeight="1">
      <c r="E59" s="641"/>
      <c r="F59" s="641"/>
      <c r="G59" s="641"/>
      <c r="H59" s="641"/>
      <c r="I59" s="641"/>
      <c r="J59" s="641"/>
      <c r="K59" s="641"/>
      <c r="L59" s="641"/>
      <c r="M59" s="641"/>
      <c r="N59" s="641"/>
      <c r="O59" s="641"/>
      <c r="P59" s="641"/>
      <c r="Q59" s="641"/>
      <c r="R59" s="641"/>
      <c r="S59" s="641"/>
      <c r="T59" s="641"/>
      <c r="U59" s="641"/>
      <c r="V59" s="641"/>
      <c r="W59" s="641"/>
      <c r="X59" s="641"/>
      <c r="Y59" s="641"/>
      <c r="Z59" s="641"/>
      <c r="AA59" s="641"/>
      <c r="AB59" s="641"/>
      <c r="AC59" s="641"/>
      <c r="AD59" s="641"/>
      <c r="AE59" s="641"/>
    </row>
    <row r="60" spans="1:33" s="609" customFormat="1" ht="16.5" customHeight="1">
      <c r="A60" s="609" t="s">
        <v>2595</v>
      </c>
      <c r="B60" s="642"/>
      <c r="C60" s="642"/>
      <c r="D60" s="642"/>
      <c r="E60" s="641"/>
      <c r="F60" s="641"/>
      <c r="G60" s="641"/>
      <c r="H60" s="641"/>
      <c r="I60" s="641"/>
      <c r="J60" s="641"/>
      <c r="K60" s="641"/>
      <c r="L60" s="643"/>
      <c r="M60" s="643"/>
      <c r="N60" s="643"/>
      <c r="O60" s="643"/>
      <c r="P60" s="643"/>
      <c r="Q60" s="643"/>
      <c r="R60" s="644"/>
      <c r="S60" s="643"/>
      <c r="T60" s="643"/>
      <c r="U60" s="643"/>
      <c r="V60" s="643"/>
      <c r="W60" s="643"/>
      <c r="X60" s="643"/>
      <c r="Y60" s="643"/>
      <c r="Z60" s="643"/>
      <c r="AA60" s="643"/>
      <c r="AB60" s="643"/>
      <c r="AC60" s="643"/>
      <c r="AD60" s="643"/>
      <c r="AE60" s="643"/>
    </row>
    <row r="61" spans="1:33" ht="16.5" customHeight="1">
      <c r="E61" s="645"/>
      <c r="F61" s="645"/>
      <c r="G61" s="645"/>
      <c r="H61" s="645"/>
      <c r="I61" s="645"/>
      <c r="J61" s="645"/>
      <c r="K61" s="645"/>
      <c r="L61" s="645"/>
      <c r="M61" s="645"/>
      <c r="N61" s="645"/>
      <c r="O61" s="645"/>
      <c r="P61" s="645"/>
      <c r="Q61" s="645"/>
      <c r="R61" s="641"/>
      <c r="S61" s="645"/>
      <c r="T61" s="645"/>
      <c r="U61" s="645"/>
      <c r="V61" s="645"/>
      <c r="W61" s="645"/>
      <c r="X61" s="645"/>
      <c r="Y61" s="645"/>
      <c r="Z61" s="645"/>
      <c r="AA61" s="645"/>
      <c r="AB61" s="645"/>
      <c r="AC61" s="645"/>
      <c r="AD61" s="645"/>
      <c r="AE61" s="645"/>
    </row>
    <row r="62" spans="1:33" ht="16.5" customHeight="1">
      <c r="E62" s="645"/>
      <c r="F62" s="645"/>
      <c r="G62" s="645"/>
      <c r="H62" s="645"/>
      <c r="I62" s="645"/>
      <c r="J62" s="645"/>
      <c r="K62" s="645"/>
      <c r="L62" s="645"/>
      <c r="M62" s="645"/>
      <c r="N62" s="645"/>
      <c r="O62" s="645"/>
      <c r="P62" s="645"/>
      <c r="Q62" s="645"/>
      <c r="R62" s="641"/>
      <c r="S62" s="645"/>
      <c r="T62" s="645"/>
      <c r="U62" s="645"/>
      <c r="V62" s="645"/>
      <c r="W62" s="645"/>
      <c r="X62" s="645"/>
      <c r="Y62" s="645"/>
      <c r="Z62" s="645"/>
      <c r="AA62" s="645"/>
      <c r="AB62" s="645"/>
      <c r="AC62" s="645"/>
      <c r="AD62" s="645"/>
      <c r="AE62" s="645"/>
    </row>
    <row r="63" spans="1:33" ht="16.5" customHeight="1">
      <c r="E63" s="645"/>
      <c r="F63" s="645"/>
      <c r="G63" s="645"/>
      <c r="H63" s="645"/>
      <c r="I63" s="645"/>
      <c r="J63" s="645"/>
      <c r="K63" s="645"/>
      <c r="L63" s="645"/>
      <c r="M63" s="645"/>
      <c r="N63" s="645"/>
      <c r="O63" s="645"/>
      <c r="P63" s="645"/>
      <c r="Q63" s="645"/>
      <c r="R63" s="641"/>
      <c r="S63" s="645"/>
      <c r="T63" s="645"/>
      <c r="U63" s="645"/>
      <c r="V63" s="645"/>
      <c r="W63" s="645"/>
      <c r="X63" s="645"/>
      <c r="Y63" s="645"/>
      <c r="Z63" s="645"/>
      <c r="AA63" s="645"/>
      <c r="AB63" s="645"/>
      <c r="AC63" s="645"/>
      <c r="AD63" s="645"/>
      <c r="AE63" s="645"/>
    </row>
    <row r="64" spans="1:33" ht="16.5" customHeight="1">
      <c r="E64" s="645"/>
      <c r="F64" s="645"/>
      <c r="G64" s="645"/>
      <c r="H64" s="645"/>
      <c r="I64" s="645"/>
      <c r="J64" s="645"/>
      <c r="K64" s="645"/>
      <c r="L64" s="645"/>
      <c r="M64" s="645"/>
      <c r="N64" s="645"/>
      <c r="O64" s="645"/>
      <c r="P64" s="645"/>
      <c r="Q64" s="645"/>
      <c r="R64" s="641"/>
      <c r="S64" s="645"/>
      <c r="T64" s="645"/>
      <c r="U64" s="645"/>
      <c r="V64" s="645"/>
      <c r="W64" s="645"/>
      <c r="X64" s="645"/>
      <c r="Y64" s="645"/>
      <c r="Z64" s="645"/>
      <c r="AA64" s="645"/>
      <c r="AB64" s="645"/>
      <c r="AC64" s="645"/>
      <c r="AD64" s="645"/>
      <c r="AE64" s="645"/>
    </row>
    <row r="65" spans="5:31" ht="16.5" customHeight="1">
      <c r="E65" s="645"/>
      <c r="F65" s="645"/>
      <c r="G65" s="645"/>
      <c r="H65" s="645"/>
      <c r="I65" s="645"/>
      <c r="J65" s="645"/>
      <c r="K65" s="645"/>
      <c r="L65" s="645"/>
      <c r="M65" s="645"/>
      <c r="N65" s="645"/>
      <c r="O65" s="645"/>
      <c r="P65" s="645"/>
      <c r="Q65" s="645"/>
      <c r="R65" s="641"/>
      <c r="S65" s="645"/>
      <c r="T65" s="645"/>
      <c r="U65" s="645"/>
      <c r="V65" s="645"/>
      <c r="W65" s="645"/>
      <c r="X65" s="645"/>
      <c r="Y65" s="645"/>
      <c r="Z65" s="645"/>
      <c r="AA65" s="645"/>
      <c r="AB65" s="645"/>
      <c r="AC65" s="645"/>
      <c r="AD65" s="645"/>
      <c r="AE65" s="645"/>
    </row>
    <row r="66" spans="5:31" ht="16.5" customHeight="1">
      <c r="E66" s="645"/>
      <c r="F66" s="645"/>
      <c r="G66" s="645"/>
      <c r="H66" s="645"/>
      <c r="I66" s="645"/>
      <c r="J66" s="645"/>
      <c r="K66" s="645"/>
      <c r="L66" s="645"/>
      <c r="M66" s="645"/>
      <c r="N66" s="645"/>
      <c r="O66" s="645"/>
      <c r="P66" s="645"/>
      <c r="Q66" s="645"/>
      <c r="R66" s="641"/>
      <c r="S66" s="645"/>
      <c r="T66" s="645"/>
      <c r="U66" s="645"/>
      <c r="V66" s="645"/>
      <c r="W66" s="645"/>
      <c r="X66" s="645"/>
      <c r="Y66" s="645"/>
      <c r="Z66" s="645"/>
      <c r="AA66" s="645"/>
      <c r="AB66" s="645"/>
      <c r="AC66" s="645"/>
      <c r="AD66" s="645"/>
      <c r="AE66" s="645"/>
    </row>
    <row r="67" spans="5:31" ht="16.5" customHeight="1">
      <c r="E67" s="645"/>
      <c r="F67" s="645"/>
      <c r="G67" s="645"/>
      <c r="H67" s="645"/>
      <c r="I67" s="645"/>
      <c r="J67" s="645"/>
      <c r="K67" s="645"/>
      <c r="L67" s="645"/>
      <c r="M67" s="645"/>
      <c r="N67" s="645"/>
      <c r="O67" s="645"/>
      <c r="P67" s="645"/>
      <c r="Q67" s="645"/>
      <c r="R67" s="641"/>
      <c r="S67" s="645"/>
      <c r="T67" s="645"/>
      <c r="U67" s="645"/>
      <c r="V67" s="645"/>
      <c r="W67" s="645"/>
      <c r="X67" s="645"/>
      <c r="Y67" s="645"/>
      <c r="Z67" s="645"/>
      <c r="AA67" s="645"/>
      <c r="AB67" s="645"/>
      <c r="AC67" s="645"/>
      <c r="AD67" s="645"/>
      <c r="AE67" s="645"/>
    </row>
    <row r="68" spans="5:31" ht="16.5" customHeight="1">
      <c r="E68" s="645"/>
      <c r="F68" s="645"/>
      <c r="G68" s="645"/>
      <c r="H68" s="645"/>
      <c r="I68" s="645"/>
      <c r="J68" s="645"/>
      <c r="K68" s="645"/>
      <c r="L68" s="645"/>
      <c r="M68" s="645"/>
      <c r="N68" s="645"/>
      <c r="O68" s="645"/>
      <c r="P68" s="645"/>
      <c r="Q68" s="645"/>
      <c r="R68" s="641"/>
      <c r="S68" s="645"/>
      <c r="T68" s="645"/>
      <c r="U68" s="645"/>
      <c r="V68" s="645"/>
      <c r="W68" s="645"/>
      <c r="X68" s="645"/>
      <c r="Y68" s="645"/>
      <c r="Z68" s="645"/>
      <c r="AA68" s="645"/>
      <c r="AB68" s="645"/>
      <c r="AC68" s="645"/>
      <c r="AD68" s="645"/>
      <c r="AE68" s="645"/>
    </row>
    <row r="69" spans="5:31" ht="16.5" customHeight="1">
      <c r="E69" s="645"/>
      <c r="F69" s="645"/>
      <c r="G69" s="645"/>
      <c r="H69" s="645"/>
      <c r="I69" s="645"/>
      <c r="J69" s="645"/>
      <c r="K69" s="645"/>
      <c r="L69" s="645"/>
      <c r="M69" s="645"/>
      <c r="N69" s="645"/>
      <c r="O69" s="645"/>
      <c r="P69" s="645"/>
      <c r="Q69" s="645"/>
      <c r="R69" s="641"/>
      <c r="S69" s="645"/>
      <c r="T69" s="645"/>
      <c r="U69" s="645"/>
      <c r="V69" s="645"/>
      <c r="W69" s="645"/>
      <c r="X69" s="645"/>
      <c r="Y69" s="645"/>
      <c r="Z69" s="645"/>
      <c r="AA69" s="645"/>
      <c r="AB69" s="645"/>
      <c r="AC69" s="645"/>
      <c r="AD69" s="645"/>
      <c r="AE69" s="645"/>
    </row>
    <row r="70" spans="5:31" ht="16.5" customHeight="1">
      <c r="E70" s="645"/>
      <c r="F70" s="645"/>
      <c r="G70" s="645"/>
      <c r="H70" s="645"/>
      <c r="I70" s="645"/>
      <c r="J70" s="645"/>
      <c r="K70" s="645"/>
      <c r="L70" s="645"/>
      <c r="M70" s="645"/>
      <c r="N70" s="645"/>
      <c r="O70" s="645"/>
      <c r="P70" s="645"/>
      <c r="Q70" s="645"/>
      <c r="R70" s="641"/>
      <c r="S70" s="645"/>
      <c r="T70" s="645"/>
      <c r="U70" s="645"/>
      <c r="V70" s="645"/>
      <c r="W70" s="645"/>
      <c r="X70" s="645"/>
      <c r="Y70" s="645"/>
      <c r="Z70" s="645"/>
      <c r="AA70" s="645"/>
      <c r="AB70" s="645"/>
      <c r="AC70" s="645"/>
      <c r="AD70" s="645"/>
      <c r="AE70" s="645"/>
    </row>
    <row r="71" spans="5:31" ht="16.5" customHeight="1">
      <c r="E71" s="645"/>
      <c r="F71" s="645"/>
      <c r="G71" s="645"/>
      <c r="H71" s="645"/>
      <c r="I71" s="645"/>
      <c r="J71" s="645"/>
      <c r="K71" s="645"/>
      <c r="L71" s="645"/>
      <c r="M71" s="645"/>
      <c r="N71" s="645"/>
      <c r="O71" s="645"/>
      <c r="P71" s="645"/>
      <c r="Q71" s="645"/>
      <c r="R71" s="641"/>
      <c r="S71" s="645"/>
      <c r="T71" s="645"/>
      <c r="U71" s="645"/>
      <c r="V71" s="645"/>
      <c r="W71" s="645"/>
      <c r="X71" s="645"/>
      <c r="Y71" s="645"/>
      <c r="Z71" s="645"/>
      <c r="AA71" s="645"/>
      <c r="AB71" s="645"/>
      <c r="AC71" s="645"/>
      <c r="AD71" s="645"/>
      <c r="AE71" s="645"/>
    </row>
    <row r="72" spans="5:31" ht="16.5" customHeight="1">
      <c r="E72" s="645"/>
      <c r="F72" s="645"/>
      <c r="G72" s="645"/>
      <c r="H72" s="645"/>
      <c r="I72" s="645"/>
      <c r="J72" s="645"/>
      <c r="K72" s="645"/>
      <c r="L72" s="645"/>
      <c r="M72" s="645"/>
      <c r="N72" s="645"/>
      <c r="O72" s="645"/>
      <c r="P72" s="645"/>
      <c r="Q72" s="645"/>
      <c r="R72" s="641"/>
      <c r="S72" s="645"/>
      <c r="T72" s="645"/>
      <c r="U72" s="645"/>
      <c r="V72" s="645"/>
      <c r="W72" s="645"/>
      <c r="X72" s="645"/>
      <c r="Y72" s="645"/>
      <c r="Z72" s="645"/>
      <c r="AA72" s="645"/>
      <c r="AB72" s="645"/>
      <c r="AC72" s="645"/>
      <c r="AD72" s="645"/>
      <c r="AE72" s="645"/>
    </row>
    <row r="73" spans="5:31" ht="16.5" customHeight="1">
      <c r="E73" s="645"/>
      <c r="F73" s="645"/>
      <c r="G73" s="645"/>
      <c r="H73" s="645"/>
      <c r="I73" s="645"/>
      <c r="J73" s="645"/>
      <c r="K73" s="645"/>
      <c r="L73" s="645"/>
      <c r="M73" s="645"/>
      <c r="N73" s="645"/>
      <c r="O73" s="645"/>
      <c r="P73" s="645"/>
      <c r="Q73" s="645"/>
      <c r="R73" s="641"/>
      <c r="S73" s="645"/>
      <c r="T73" s="645"/>
      <c r="U73" s="645"/>
      <c r="V73" s="645"/>
      <c r="W73" s="645"/>
      <c r="X73" s="645"/>
      <c r="Y73" s="645"/>
      <c r="Z73" s="645"/>
      <c r="AA73" s="645"/>
      <c r="AB73" s="645"/>
      <c r="AC73" s="645"/>
      <c r="AD73" s="645"/>
      <c r="AE73" s="645"/>
    </row>
    <row r="74" spans="5:31" ht="16.5" customHeight="1">
      <c r="E74" s="645"/>
      <c r="F74" s="645"/>
      <c r="G74" s="645"/>
      <c r="H74" s="645"/>
      <c r="I74" s="645"/>
      <c r="J74" s="645"/>
      <c r="K74" s="645"/>
      <c r="L74" s="645"/>
      <c r="M74" s="645"/>
      <c r="N74" s="645"/>
      <c r="O74" s="645"/>
      <c r="P74" s="645"/>
      <c r="Q74" s="645"/>
      <c r="R74" s="641"/>
      <c r="S74" s="645"/>
      <c r="T74" s="645"/>
      <c r="U74" s="645"/>
      <c r="V74" s="645"/>
      <c r="W74" s="645"/>
      <c r="X74" s="645"/>
      <c r="Y74" s="645"/>
      <c r="Z74" s="645"/>
      <c r="AA74" s="645"/>
      <c r="AB74" s="645"/>
      <c r="AC74" s="645"/>
      <c r="AD74" s="645"/>
      <c r="AE74" s="645"/>
    </row>
    <row r="75" spans="5:31" ht="16.5" customHeight="1">
      <c r="E75" s="645"/>
      <c r="F75" s="645"/>
      <c r="G75" s="645"/>
      <c r="H75" s="645"/>
      <c r="I75" s="645"/>
      <c r="J75" s="645"/>
      <c r="K75" s="645"/>
      <c r="L75" s="645"/>
      <c r="M75" s="645"/>
      <c r="N75" s="645"/>
      <c r="O75" s="645"/>
      <c r="P75" s="645"/>
      <c r="Q75" s="645"/>
      <c r="R75" s="641"/>
      <c r="S75" s="645"/>
      <c r="T75" s="645"/>
      <c r="U75" s="645"/>
      <c r="V75" s="645"/>
      <c r="W75" s="645"/>
      <c r="X75" s="645"/>
      <c r="Y75" s="645"/>
      <c r="Z75" s="645"/>
      <c r="AA75" s="645"/>
      <c r="AB75" s="645"/>
      <c r="AC75" s="645"/>
      <c r="AD75" s="645"/>
      <c r="AE75" s="645"/>
    </row>
    <row r="76" spans="5:31" ht="16.5" customHeight="1">
      <c r="E76" s="645"/>
      <c r="F76" s="645"/>
      <c r="G76" s="645"/>
      <c r="H76" s="645"/>
      <c r="I76" s="645"/>
      <c r="J76" s="645"/>
      <c r="K76" s="645"/>
      <c r="L76" s="645"/>
      <c r="M76" s="645"/>
      <c r="N76" s="645"/>
      <c r="O76" s="645"/>
      <c r="P76" s="645"/>
      <c r="Q76" s="645"/>
      <c r="R76" s="641"/>
      <c r="S76" s="645"/>
      <c r="T76" s="645"/>
      <c r="U76" s="645"/>
      <c r="V76" s="645"/>
      <c r="W76" s="645"/>
      <c r="X76" s="645"/>
      <c r="Y76" s="645"/>
      <c r="Z76" s="645"/>
      <c r="AA76" s="645"/>
      <c r="AB76" s="645"/>
      <c r="AC76" s="645"/>
      <c r="AD76" s="645"/>
      <c r="AE76" s="645"/>
    </row>
  </sheetData>
  <autoFilter ref="A4:AF63" xr:uid="{00000000-0009-0000-0000-00001A000000}"/>
  <conditionalFormatting sqref="B3:AE3">
    <cfRule type="cellIs" dxfId="69" priority="1" stopIfTrue="1" operator="equal">
      <formula>"Actual"</formula>
    </cfRule>
    <cfRule type="cellIs" dxfId="68" priority="2" stopIfTrue="1" operator="equal">
      <formula>"Forecast"</formula>
    </cfRule>
    <cfRule type="cellIs" dxfId="67" priority="3" stopIfTrue="1" operator="equal">
      <formula>"Budget"</formula>
    </cfRule>
  </conditionalFormatting>
  <dataValidations count="1">
    <dataValidation type="list" allowBlank="1" showInputMessage="1" showErrorMessage="1" sqref="B3:AE3" xr:uid="{00000000-0002-0000-1A00-000000000000}">
      <formula1>"Actual,Forecast,Budget"</formula1>
    </dataValidation>
  </dataValidations>
  <pageMargins left="0.70866141732283505" right="0.70866141732283505" top="0.74803149606299202" bottom="0.74803149606299202" header="0.31496062992126" footer="0.31496062992126"/>
  <pageSetup paperSize="8" scale="76" orientation="landscape"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9" tint="0.79940183721427049"/>
    <pageSetUpPr fitToPage="1"/>
  </sheetPr>
  <dimension ref="A1:AG76"/>
  <sheetViews>
    <sheetView workbookViewId="0"/>
  </sheetViews>
  <sheetFormatPr defaultColWidth="8.25" defaultRowHeight="16.5" customHeight="1" outlineLevelRow="1" outlineLevelCol="1"/>
  <cols>
    <col min="1" max="1" width="43.75" style="610" customWidth="1"/>
    <col min="2" max="2" width="15.875" style="611" customWidth="1"/>
    <col min="3" max="3" width="16.75" style="611" customWidth="1"/>
    <col min="4" max="4" width="2.875" style="611" customWidth="1"/>
    <col min="5" max="5" width="14.75" style="610" customWidth="1" outlineLevel="1"/>
    <col min="6" max="6" width="16.625" style="610" customWidth="1" outlineLevel="1"/>
    <col min="7" max="7" width="14.5" style="610" customWidth="1" outlineLevel="1"/>
    <col min="8" max="9" width="14.75" style="610" customWidth="1" outlineLevel="1"/>
    <col min="10" max="16" width="15.625" style="610" customWidth="1" outlineLevel="1"/>
    <col min="17" max="17" width="15.625" style="610" customWidth="1"/>
    <col min="18" max="18" width="4.875" style="610" customWidth="1"/>
    <col min="19" max="29" width="15.625" style="610" customWidth="1" outlineLevel="1"/>
    <col min="30" max="30" width="14.125" style="610" customWidth="1" outlineLevel="1"/>
    <col min="31" max="31" width="15.625" style="610" customWidth="1" outlineLevel="1"/>
    <col min="32" max="32" width="8.25" style="610" customWidth="1"/>
    <col min="33" max="33" width="2.625" style="610" customWidth="1"/>
    <col min="34" max="34" width="8.25" style="610" customWidth="1"/>
    <col min="35" max="16384" width="8.25" style="610"/>
  </cols>
  <sheetData>
    <row r="1" spans="1:33" ht="16.5" customHeight="1">
      <c r="A1" s="5" t="s">
        <v>2482</v>
      </c>
      <c r="B1" s="5"/>
      <c r="C1" s="612" t="s">
        <v>2553</v>
      </c>
      <c r="D1" s="612"/>
    </row>
    <row r="2" spans="1:33" ht="16.5" customHeight="1">
      <c r="C2" s="613">
        <f>'Flash Report'!C2</f>
        <v>46023</v>
      </c>
      <c r="D2" s="613"/>
      <c r="K2" s="611"/>
      <c r="P2" s="611">
        <f>SUM(F17:P17)*-1</f>
        <v>0</v>
      </c>
    </row>
    <row r="3" spans="1:33" ht="16.5" customHeight="1">
      <c r="B3" s="614" t="s">
        <v>2501</v>
      </c>
      <c r="C3" s="614" t="s">
        <v>2501</v>
      </c>
      <c r="D3" s="614"/>
      <c r="E3" s="614" t="s">
        <v>2501</v>
      </c>
      <c r="F3" s="614" t="s">
        <v>2501</v>
      </c>
      <c r="G3" s="614" t="s">
        <v>2501</v>
      </c>
      <c r="H3" s="614" t="s">
        <v>2501</v>
      </c>
      <c r="I3" s="614" t="s">
        <v>2501</v>
      </c>
      <c r="J3" s="614" t="s">
        <v>2501</v>
      </c>
      <c r="K3" s="614" t="s">
        <v>2501</v>
      </c>
      <c r="L3" s="614" t="s">
        <v>2501</v>
      </c>
      <c r="M3" s="614" t="s">
        <v>2501</v>
      </c>
      <c r="N3" s="614" t="s">
        <v>2501</v>
      </c>
      <c r="O3" s="614" t="s">
        <v>2501</v>
      </c>
      <c r="P3" s="614" t="s">
        <v>2501</v>
      </c>
      <c r="Q3" s="614" t="s">
        <v>2501</v>
      </c>
      <c r="R3" s="615"/>
      <c r="S3" s="614" t="s">
        <v>2555</v>
      </c>
      <c r="T3" s="614" t="s">
        <v>2555</v>
      </c>
      <c r="U3" s="614" t="s">
        <v>2555</v>
      </c>
      <c r="V3" s="614" t="s">
        <v>2555</v>
      </c>
      <c r="W3" s="614" t="s">
        <v>2555</v>
      </c>
      <c r="X3" s="614" t="s">
        <v>2555</v>
      </c>
      <c r="Y3" s="614" t="s">
        <v>2555</v>
      </c>
      <c r="Z3" s="614" t="s">
        <v>2555</v>
      </c>
      <c r="AA3" s="614" t="s">
        <v>2555</v>
      </c>
      <c r="AB3" s="614" t="s">
        <v>2555</v>
      </c>
      <c r="AC3" s="614" t="s">
        <v>2555</v>
      </c>
      <c r="AD3" s="614" t="s">
        <v>2555</v>
      </c>
      <c r="AE3" s="614" t="s">
        <v>2555</v>
      </c>
      <c r="AG3" s="616"/>
    </row>
    <row r="4" spans="1:33" s="599" customFormat="1" ht="16.5" customHeight="1">
      <c r="A4" s="599" t="s">
        <v>2439</v>
      </c>
      <c r="B4" s="617">
        <f>C2</f>
        <v>46023</v>
      </c>
      <c r="C4" s="617">
        <f>B4</f>
        <v>46023</v>
      </c>
      <c r="D4" s="617"/>
      <c r="E4" s="617">
        <v>46023</v>
      </c>
      <c r="F4" s="617">
        <v>46054</v>
      </c>
      <c r="G4" s="617">
        <v>46082</v>
      </c>
      <c r="H4" s="617">
        <v>46113</v>
      </c>
      <c r="I4" s="617">
        <v>46143</v>
      </c>
      <c r="J4" s="617">
        <v>46174</v>
      </c>
      <c r="K4" s="617">
        <v>46204</v>
      </c>
      <c r="L4" s="617">
        <v>46235</v>
      </c>
      <c r="M4" s="617">
        <v>46266</v>
      </c>
      <c r="N4" s="617">
        <v>46296</v>
      </c>
      <c r="O4" s="617">
        <v>46327</v>
      </c>
      <c r="P4" s="617">
        <v>46357</v>
      </c>
      <c r="Q4" s="617" t="str">
        <f>'[97]Budget-合并'!T6</f>
        <v>2026 Total</v>
      </c>
      <c r="R4" s="618">
        <f>'[97]Budget-合并'!U6</f>
        <v>0</v>
      </c>
      <c r="S4" s="617">
        <f>'[97]Budget-合并'!V6</f>
        <v>46388</v>
      </c>
      <c r="T4" s="617">
        <f>'[97]Budget-合并'!W6</f>
        <v>46419</v>
      </c>
      <c r="U4" s="617">
        <f>'[97]Budget-合并'!X6</f>
        <v>46447</v>
      </c>
      <c r="V4" s="617">
        <f>'[97]Budget-合并'!Y6</f>
        <v>46478</v>
      </c>
      <c r="W4" s="617">
        <f>'[97]Budget-合并'!Z6</f>
        <v>46508</v>
      </c>
      <c r="X4" s="617">
        <f>'[97]Budget-合并'!AA6</f>
        <v>46539</v>
      </c>
      <c r="Y4" s="617">
        <f>'[97]Budget-合并'!AB6</f>
        <v>46569</v>
      </c>
      <c r="Z4" s="617">
        <f>'[97]Budget-合并'!AC6</f>
        <v>46600</v>
      </c>
      <c r="AA4" s="617">
        <f>'[97]Budget-合并'!AD6</f>
        <v>46631</v>
      </c>
      <c r="AB4" s="617">
        <f>'[97]Budget-合并'!AE6</f>
        <v>46661</v>
      </c>
      <c r="AC4" s="617">
        <f>'[97]Budget-合并'!AF6</f>
        <v>46692</v>
      </c>
      <c r="AD4" s="617">
        <f>'[97]Budget-合并'!AG6</f>
        <v>46722</v>
      </c>
      <c r="AE4" s="617" t="str">
        <f>'[97]Budget-合并'!AH6</f>
        <v>2027 Total</v>
      </c>
      <c r="AG4" s="619"/>
    </row>
    <row r="5" spans="1:33" s="600" customFormat="1" ht="16.5" customHeight="1" outlineLevel="1">
      <c r="A5" s="600" t="s">
        <v>2556</v>
      </c>
      <c r="B5" s="620"/>
      <c r="C5" s="620"/>
      <c r="D5" s="620"/>
      <c r="E5" s="620">
        <v>0</v>
      </c>
      <c r="F5" s="620">
        <v>0</v>
      </c>
      <c r="G5" s="620">
        <v>1</v>
      </c>
      <c r="H5" s="620">
        <v>0</v>
      </c>
      <c r="I5" s="620">
        <v>0</v>
      </c>
      <c r="J5" s="620">
        <v>1</v>
      </c>
      <c r="K5" s="620">
        <v>0</v>
      </c>
      <c r="L5" s="620">
        <v>0</v>
      </c>
      <c r="M5" s="620">
        <v>1</v>
      </c>
      <c r="N5" s="620">
        <v>0</v>
      </c>
      <c r="O5" s="620">
        <v>0</v>
      </c>
      <c r="P5" s="620">
        <v>1</v>
      </c>
      <c r="Q5" s="620"/>
      <c r="R5" s="620"/>
      <c r="S5" s="620"/>
      <c r="T5" s="620"/>
      <c r="U5" s="620"/>
      <c r="V5" s="620"/>
      <c r="W5" s="620"/>
      <c r="X5" s="620"/>
      <c r="Y5" s="620"/>
      <c r="Z5" s="620"/>
      <c r="AA5" s="620"/>
      <c r="AB5" s="620"/>
      <c r="AC5" s="620"/>
      <c r="AD5" s="620"/>
      <c r="AE5" s="620"/>
      <c r="AG5" s="621"/>
    </row>
    <row r="6" spans="1:33" s="600" customFormat="1" ht="16.5" customHeight="1" outlineLevel="1">
      <c r="A6" s="600" t="s">
        <v>2557</v>
      </c>
      <c r="B6" s="620"/>
      <c r="C6" s="620"/>
      <c r="D6" s="620"/>
      <c r="E6" s="620">
        <v>0</v>
      </c>
      <c r="F6" s="620">
        <v>0</v>
      </c>
      <c r="G6" s="620">
        <v>0</v>
      </c>
      <c r="H6" s="620">
        <v>0</v>
      </c>
      <c r="I6" s="620">
        <v>1</v>
      </c>
      <c r="J6" s="620">
        <v>0</v>
      </c>
      <c r="K6" s="620">
        <v>0</v>
      </c>
      <c r="L6" s="620">
        <v>0</v>
      </c>
      <c r="M6" s="620">
        <v>0</v>
      </c>
      <c r="N6" s="620">
        <v>0</v>
      </c>
      <c r="O6" s="620">
        <v>0</v>
      </c>
      <c r="P6" s="620">
        <v>0</v>
      </c>
      <c r="Q6" s="620"/>
      <c r="R6" s="620"/>
      <c r="S6" s="620"/>
      <c r="T6" s="620"/>
      <c r="U6" s="620"/>
      <c r="V6" s="620"/>
      <c r="W6" s="620"/>
      <c r="X6" s="620"/>
      <c r="Y6" s="620"/>
      <c r="Z6" s="620"/>
      <c r="AA6" s="620"/>
      <c r="AB6" s="620"/>
      <c r="AC6" s="620"/>
      <c r="AD6" s="620"/>
      <c r="AE6" s="620"/>
      <c r="AG6" s="621"/>
    </row>
    <row r="7" spans="1:33" s="600" customFormat="1" ht="16.5" customHeight="1" outlineLevel="1">
      <c r="A7" s="600" t="s">
        <v>2558</v>
      </c>
      <c r="B7" s="620"/>
      <c r="C7" s="620"/>
      <c r="D7" s="620"/>
      <c r="E7" s="620">
        <v>1</v>
      </c>
      <c r="F7" s="620">
        <v>0</v>
      </c>
      <c r="G7" s="620">
        <v>0</v>
      </c>
      <c r="H7" s="620">
        <v>1</v>
      </c>
      <c r="I7" s="620">
        <v>0</v>
      </c>
      <c r="J7" s="620">
        <v>0</v>
      </c>
      <c r="K7" s="620">
        <v>1</v>
      </c>
      <c r="L7" s="620">
        <v>0</v>
      </c>
      <c r="M7" s="620">
        <v>0</v>
      </c>
      <c r="N7" s="620">
        <v>1</v>
      </c>
      <c r="O7" s="620">
        <v>0</v>
      </c>
      <c r="P7" s="620">
        <v>0</v>
      </c>
      <c r="Q7" s="620"/>
      <c r="R7" s="620"/>
      <c r="S7" s="620"/>
      <c r="T7" s="620"/>
      <c r="U7" s="620"/>
      <c r="V7" s="620"/>
      <c r="W7" s="620"/>
      <c r="X7" s="620"/>
      <c r="Y7" s="620"/>
      <c r="Z7" s="620"/>
      <c r="AA7" s="620"/>
      <c r="AB7" s="620"/>
      <c r="AC7" s="620"/>
      <c r="AD7" s="620"/>
      <c r="AE7" s="620"/>
      <c r="AG7" s="621"/>
    </row>
    <row r="8" spans="1:33" s="600" customFormat="1" ht="16.5" customHeight="1" outlineLevel="1">
      <c r="B8" s="620"/>
      <c r="C8" s="620"/>
      <c r="D8" s="620"/>
      <c r="E8" s="620"/>
      <c r="F8" s="620"/>
      <c r="G8" s="620"/>
      <c r="H8" s="620"/>
      <c r="I8" s="620"/>
      <c r="J8" s="620"/>
      <c r="K8" s="620"/>
      <c r="L8" s="620"/>
      <c r="M8" s="620"/>
      <c r="N8" s="620"/>
      <c r="O8" s="620"/>
      <c r="P8" s="620"/>
      <c r="Q8" s="620"/>
      <c r="R8" s="620"/>
      <c r="S8" s="620"/>
      <c r="T8" s="620"/>
      <c r="U8" s="620"/>
      <c r="V8" s="620"/>
      <c r="W8" s="620"/>
      <c r="X8" s="620"/>
      <c r="Y8" s="620"/>
      <c r="Z8" s="620"/>
      <c r="AA8" s="620"/>
      <c r="AB8" s="620"/>
      <c r="AC8" s="620"/>
      <c r="AD8" s="620"/>
      <c r="AE8" s="620"/>
      <c r="AG8" s="621"/>
    </row>
    <row r="9" spans="1:33" s="599" customFormat="1" ht="16.5" customHeight="1" outlineLevel="1">
      <c r="B9" s="618"/>
      <c r="C9" s="618"/>
      <c r="D9" s="618"/>
      <c r="E9" s="618"/>
      <c r="F9" s="618"/>
      <c r="G9" s="618"/>
      <c r="H9" s="618"/>
      <c r="I9" s="618"/>
      <c r="J9" s="618"/>
      <c r="K9" s="618"/>
      <c r="L9" s="618"/>
      <c r="M9" s="618"/>
      <c r="N9" s="618"/>
      <c r="O9" s="618"/>
      <c r="P9" s="618"/>
      <c r="Q9" s="618"/>
      <c r="R9" s="618"/>
      <c r="S9" s="618"/>
      <c r="T9" s="618"/>
      <c r="U9" s="618"/>
      <c r="V9" s="618"/>
      <c r="W9" s="618"/>
      <c r="X9" s="618"/>
      <c r="Y9" s="618"/>
      <c r="Z9" s="618"/>
      <c r="AA9" s="618"/>
      <c r="AB9" s="618"/>
      <c r="AC9" s="618"/>
      <c r="AD9" s="618"/>
      <c r="AE9" s="618"/>
      <c r="AG9" s="619"/>
    </row>
    <row r="10" spans="1:33" s="601" customFormat="1" ht="16.5" customHeight="1">
      <c r="A10" s="608" t="str">
        <f>'CF-ACPL（合并）'!A10</f>
        <v>期初现金及现金等价物余额</v>
      </c>
      <c r="B10" s="622">
        <f>INDEX($E10:$P10,1,MATCH('[97]Flash Report'!$C$2,$E$4:$P$4))</f>
        <v>57445</v>
      </c>
      <c r="C10" s="622">
        <f>B10</f>
        <v>57445</v>
      </c>
      <c r="D10" s="622"/>
      <c r="E10" s="622">
        <f>VLOOKUP($C$1,'2025年现金余额'!$B$4:$D$10,3,FALSE)</f>
        <v>57445</v>
      </c>
      <c r="F10" s="622">
        <f t="shared" ref="F10:P10" si="0">E58</f>
        <v>67997.286666666783</v>
      </c>
      <c r="G10" s="622">
        <f t="shared" si="0"/>
        <v>67913.953333333455</v>
      </c>
      <c r="H10" s="622">
        <f t="shared" si="0"/>
        <v>67830.620000000126</v>
      </c>
      <c r="I10" s="622">
        <f t="shared" si="0"/>
        <v>67747.286666664309</v>
      </c>
      <c r="J10" s="622">
        <f t="shared" si="0"/>
        <v>67663.953333330981</v>
      </c>
      <c r="K10" s="622">
        <f t="shared" si="0"/>
        <v>50580.619999997652</v>
      </c>
      <c r="L10" s="622">
        <f t="shared" si="0"/>
        <v>50497.286666664317</v>
      </c>
      <c r="M10" s="622">
        <f t="shared" si="0"/>
        <v>50413.953333330981</v>
      </c>
      <c r="N10" s="622">
        <f t="shared" si="0"/>
        <v>50330.619999997645</v>
      </c>
      <c r="O10" s="622">
        <f t="shared" si="0"/>
        <v>50247.286666664309</v>
      </c>
      <c r="P10" s="622">
        <f t="shared" si="0"/>
        <v>50163.953333330974</v>
      </c>
      <c r="Q10" s="622">
        <f>E10</f>
        <v>57445</v>
      </c>
      <c r="R10" s="623"/>
      <c r="S10" s="622">
        <f>P58</f>
        <v>47080.619999997638</v>
      </c>
      <c r="T10" s="622">
        <f t="shared" ref="T10:AD10" si="1">S58</f>
        <v>47080.619999997638</v>
      </c>
      <c r="U10" s="622">
        <f t="shared" si="1"/>
        <v>47080.619999997638</v>
      </c>
      <c r="V10" s="622">
        <f t="shared" si="1"/>
        <v>47080.619999997638</v>
      </c>
      <c r="W10" s="622">
        <f t="shared" si="1"/>
        <v>47080.619999997638</v>
      </c>
      <c r="X10" s="622">
        <f t="shared" si="1"/>
        <v>47080.619999997638</v>
      </c>
      <c r="Y10" s="622">
        <f t="shared" si="1"/>
        <v>47080.619999997638</v>
      </c>
      <c r="Z10" s="622">
        <f t="shared" si="1"/>
        <v>47080.619999997638</v>
      </c>
      <c r="AA10" s="622">
        <f t="shared" si="1"/>
        <v>47080.619999997638</v>
      </c>
      <c r="AB10" s="622">
        <f t="shared" si="1"/>
        <v>47080.619999997638</v>
      </c>
      <c r="AC10" s="622">
        <f t="shared" si="1"/>
        <v>47080.619999997638</v>
      </c>
      <c r="AD10" s="622">
        <f t="shared" si="1"/>
        <v>47080.619999997638</v>
      </c>
      <c r="AE10" s="622">
        <f>S10</f>
        <v>47080.619999997638</v>
      </c>
      <c r="AF10" s="624"/>
    </row>
    <row r="11" spans="1:33" ht="16.5" customHeight="1">
      <c r="B11" s="625"/>
      <c r="C11" s="625"/>
      <c r="D11" s="625"/>
      <c r="E11" s="626"/>
      <c r="F11" s="626"/>
      <c r="G11" s="626"/>
      <c r="H11" s="626"/>
      <c r="I11" s="626"/>
      <c r="J11" s="626"/>
      <c r="K11" s="626"/>
      <c r="L11" s="626"/>
      <c r="M11" s="626"/>
      <c r="N11" s="626"/>
      <c r="O11" s="626"/>
      <c r="P11" s="626"/>
      <c r="Q11" s="626"/>
      <c r="R11" s="626"/>
      <c r="S11" s="626"/>
      <c r="T11" s="626"/>
      <c r="U11" s="626"/>
      <c r="V11" s="626"/>
      <c r="W11" s="626"/>
      <c r="X11" s="626"/>
      <c r="Y11" s="626"/>
      <c r="Z11" s="626"/>
      <c r="AA11" s="626"/>
      <c r="AB11" s="626"/>
      <c r="AC11" s="626"/>
      <c r="AD11" s="626"/>
      <c r="AE11" s="626"/>
    </row>
    <row r="12" spans="1:33" s="601" customFormat="1" ht="16.5" customHeight="1">
      <c r="A12" s="627" t="str">
        <f>'CF-ACPL（合并）'!A12</f>
        <v>经营活动现金流入小计</v>
      </c>
      <c r="B12" s="628">
        <f>INDEX($E12:$P12,1,MATCH($B$4,$E$4:$P$4))</f>
        <v>0</v>
      </c>
      <c r="C12" s="628">
        <f ca="1">SUM($E12:OFFSET($E12,0,MATCH($C$4,$E$4:$P$4)-1))</f>
        <v>0</v>
      </c>
      <c r="D12" s="628"/>
      <c r="E12" s="628">
        <f t="shared" ref="E12:Q12" si="2">SUM(E13:E17)</f>
        <v>0</v>
      </c>
      <c r="F12" s="628">
        <f t="shared" si="2"/>
        <v>0</v>
      </c>
      <c r="G12" s="628">
        <f t="shared" si="2"/>
        <v>0</v>
      </c>
      <c r="H12" s="628">
        <f t="shared" si="2"/>
        <v>0</v>
      </c>
      <c r="I12" s="628">
        <f t="shared" si="2"/>
        <v>0</v>
      </c>
      <c r="J12" s="628">
        <f t="shared" si="2"/>
        <v>0</v>
      </c>
      <c r="K12" s="628">
        <f t="shared" si="2"/>
        <v>0</v>
      </c>
      <c r="L12" s="628">
        <f t="shared" si="2"/>
        <v>0</v>
      </c>
      <c r="M12" s="628">
        <f t="shared" si="2"/>
        <v>0</v>
      </c>
      <c r="N12" s="628">
        <f t="shared" si="2"/>
        <v>0</v>
      </c>
      <c r="O12" s="628">
        <f t="shared" si="2"/>
        <v>0</v>
      </c>
      <c r="P12" s="628">
        <f t="shared" si="2"/>
        <v>0</v>
      </c>
      <c r="Q12" s="628">
        <f t="shared" si="2"/>
        <v>0</v>
      </c>
      <c r="R12" s="623"/>
      <c r="S12" s="628">
        <f t="shared" ref="S12:AE12" si="3">SUM(S13:S17)</f>
        <v>0</v>
      </c>
      <c r="T12" s="628">
        <f t="shared" si="3"/>
        <v>0</v>
      </c>
      <c r="U12" s="628">
        <f t="shared" si="3"/>
        <v>0</v>
      </c>
      <c r="V12" s="628">
        <f t="shared" si="3"/>
        <v>0</v>
      </c>
      <c r="W12" s="628">
        <f t="shared" si="3"/>
        <v>0</v>
      </c>
      <c r="X12" s="628">
        <f t="shared" si="3"/>
        <v>0</v>
      </c>
      <c r="Y12" s="628">
        <f t="shared" si="3"/>
        <v>0</v>
      </c>
      <c r="Z12" s="628">
        <f t="shared" si="3"/>
        <v>0</v>
      </c>
      <c r="AA12" s="628">
        <f t="shared" si="3"/>
        <v>0</v>
      </c>
      <c r="AB12" s="628">
        <f t="shared" si="3"/>
        <v>0</v>
      </c>
      <c r="AC12" s="628">
        <f t="shared" si="3"/>
        <v>0</v>
      </c>
      <c r="AD12" s="628">
        <f t="shared" si="3"/>
        <v>0</v>
      </c>
      <c r="AE12" s="628">
        <f t="shared" si="3"/>
        <v>0</v>
      </c>
    </row>
    <row r="13" spans="1:33" ht="16.5" customHeight="1">
      <c r="A13" s="629" t="str">
        <f>'CF-ACPL（合并）'!A13</f>
        <v>咨询管理费收入收到的现金</v>
      </c>
      <c r="B13" s="623">
        <f>INDEX($E13:$P13,1,MATCH($B$4,$E$4:$P$4))</f>
        <v>0</v>
      </c>
      <c r="C13" s="626">
        <f ca="1">SUM($E13:OFFSET($E13,0,MATCH($C$4,$E$4:$P$4)-1))</f>
        <v>0</v>
      </c>
      <c r="D13" s="626"/>
      <c r="E13" s="626"/>
      <c r="F13" s="626"/>
      <c r="G13" s="626"/>
      <c r="H13" s="626"/>
      <c r="I13" s="626"/>
      <c r="J13" s="626"/>
      <c r="K13" s="626"/>
      <c r="L13" s="626"/>
      <c r="M13" s="626"/>
      <c r="N13" s="626"/>
      <c r="O13" s="626"/>
      <c r="P13" s="626"/>
      <c r="Q13" s="626"/>
      <c r="R13" s="626"/>
      <c r="S13" s="626"/>
      <c r="T13" s="626"/>
      <c r="U13" s="626"/>
      <c r="V13" s="626"/>
      <c r="W13" s="626"/>
      <c r="X13" s="626"/>
      <c r="Y13" s="626"/>
      <c r="Z13" s="626"/>
      <c r="AA13" s="626"/>
      <c r="AB13" s="626"/>
      <c r="AC13" s="626"/>
      <c r="AD13" s="626"/>
      <c r="AE13" s="626">
        <f>SUM(S13:AD13)</f>
        <v>0</v>
      </c>
    </row>
    <row r="14" spans="1:33" ht="16.5" customHeight="1">
      <c r="A14" s="629" t="str">
        <f>'CF-ACPL（合并）'!A14</f>
        <v>基金管理费收入收到的现金</v>
      </c>
      <c r="B14" s="623">
        <f>INDEX($E14:$P14,1,MATCH($B$4,$E$4:$P$4))</f>
        <v>0</v>
      </c>
      <c r="C14" s="626">
        <f ca="1">SUM($E14:OFFSET($E14,0,MATCH($C$4,$E$4:$P$4)-1))</f>
        <v>0</v>
      </c>
      <c r="D14" s="626"/>
      <c r="E14" s="626"/>
      <c r="F14" s="626"/>
      <c r="G14" s="626"/>
      <c r="H14" s="626"/>
      <c r="I14" s="626"/>
      <c r="J14" s="626"/>
      <c r="K14" s="626"/>
      <c r="L14" s="626"/>
      <c r="M14" s="626"/>
      <c r="N14" s="626"/>
      <c r="O14" s="626"/>
      <c r="P14" s="626"/>
      <c r="Q14" s="626"/>
      <c r="R14" s="626"/>
      <c r="S14" s="626"/>
      <c r="T14" s="626"/>
      <c r="U14" s="626"/>
      <c r="V14" s="626"/>
      <c r="W14" s="626"/>
      <c r="X14" s="626"/>
      <c r="Y14" s="626"/>
      <c r="Z14" s="626"/>
      <c r="AA14" s="626"/>
      <c r="AB14" s="626"/>
      <c r="AC14" s="626"/>
      <c r="AD14" s="626"/>
      <c r="AE14" s="626"/>
    </row>
    <row r="15" spans="1:33" ht="16.5" customHeight="1">
      <c r="A15" s="629" t="str">
        <f>'CF-ACPL（合并）'!A15</f>
        <v>收到的税费返还</v>
      </c>
      <c r="B15" s="623">
        <f>INDEX($E15:$P15,1,MATCH($B$4,$E$4:$P$4))</f>
        <v>0</v>
      </c>
      <c r="C15" s="626">
        <f ca="1">SUM($E15:OFFSET($E15,0,MATCH($C$4,$E$4:$P$4)-1))</f>
        <v>0</v>
      </c>
      <c r="D15" s="626"/>
      <c r="E15" s="626"/>
      <c r="F15" s="626"/>
      <c r="G15" s="626"/>
      <c r="H15" s="626"/>
      <c r="I15" s="626"/>
      <c r="J15" s="626"/>
      <c r="K15" s="626"/>
      <c r="L15" s="630"/>
      <c r="M15" s="630"/>
      <c r="N15" s="630"/>
      <c r="O15" s="630"/>
      <c r="P15" s="630"/>
      <c r="Q15" s="626">
        <f t="shared" ref="Q15:Q17" si="4">SUM(E15:P15)</f>
        <v>0</v>
      </c>
      <c r="R15" s="626"/>
      <c r="S15" s="630"/>
      <c r="T15" s="630"/>
      <c r="U15" s="630"/>
      <c r="V15" s="630"/>
      <c r="W15" s="630"/>
      <c r="X15" s="630"/>
      <c r="Y15" s="630"/>
      <c r="Z15" s="630"/>
      <c r="AA15" s="630"/>
      <c r="AB15" s="630"/>
      <c r="AC15" s="630"/>
      <c r="AD15" s="630"/>
      <c r="AE15" s="626">
        <f>SUM(S15:AD15)</f>
        <v>0</v>
      </c>
    </row>
    <row r="16" spans="1:33" ht="16.5" customHeight="1">
      <c r="A16" s="629" t="str">
        <f>'CF-ACPL（合并）'!A16</f>
        <v>其他收入收到的现金（备注）</v>
      </c>
      <c r="B16" s="623">
        <f t="shared" ref="B16:B27" si="5">INDEX($E16:$P16,1,MATCH($B$4,$E$4:$P$4))</f>
        <v>0</v>
      </c>
      <c r="C16" s="626">
        <f t="shared" ref="C16:C27" ca="1" si="6">SUM($E16:OFFSET($E16,0,MATCH($C$4,$E$4:$P$4)-1))</f>
        <v>0</v>
      </c>
      <c r="D16" s="626"/>
      <c r="E16" s="626"/>
      <c r="F16" s="626"/>
      <c r="G16" s="626"/>
      <c r="H16" s="626"/>
      <c r="I16" s="626"/>
      <c r="J16" s="626"/>
      <c r="K16" s="626"/>
      <c r="L16" s="630"/>
      <c r="M16" s="630"/>
      <c r="N16" s="630"/>
      <c r="O16" s="630"/>
      <c r="P16" s="630"/>
      <c r="Q16" s="626">
        <f t="shared" si="4"/>
        <v>0</v>
      </c>
      <c r="R16" s="626"/>
      <c r="S16" s="630"/>
      <c r="T16" s="630"/>
      <c r="U16" s="630"/>
      <c r="V16" s="630"/>
      <c r="W16" s="630"/>
      <c r="X16" s="630"/>
      <c r="Y16" s="630"/>
      <c r="Z16" s="630"/>
      <c r="AA16" s="630"/>
      <c r="AB16" s="630"/>
      <c r="AC16" s="630"/>
      <c r="AD16" s="630"/>
      <c r="AE16" s="626">
        <f>SUM(S16:AD16)</f>
        <v>0</v>
      </c>
    </row>
    <row r="17" spans="1:32" ht="16.5" customHeight="1">
      <c r="A17" s="629" t="str">
        <f>'CF-ACPL（合并）'!A17</f>
        <v>收到的其他与经营活动有关的现金</v>
      </c>
      <c r="B17" s="623">
        <f t="shared" si="5"/>
        <v>0</v>
      </c>
      <c r="C17" s="626">
        <f t="shared" ca="1" si="6"/>
        <v>0</v>
      </c>
      <c r="D17" s="626"/>
      <c r="E17" s="626"/>
      <c r="F17" s="626"/>
      <c r="G17" s="626"/>
      <c r="H17" s="626"/>
      <c r="I17" s="626"/>
      <c r="J17" s="626"/>
      <c r="K17" s="626"/>
      <c r="L17" s="630"/>
      <c r="M17" s="630"/>
      <c r="N17" s="630"/>
      <c r="O17" s="630"/>
      <c r="P17" s="630"/>
      <c r="Q17" s="626">
        <f t="shared" si="4"/>
        <v>0</v>
      </c>
      <c r="R17" s="626"/>
      <c r="S17" s="630"/>
      <c r="T17" s="630"/>
      <c r="U17" s="630"/>
      <c r="V17" s="630"/>
      <c r="W17" s="630"/>
      <c r="X17" s="630"/>
      <c r="Y17" s="630"/>
      <c r="Z17" s="630"/>
      <c r="AA17" s="630"/>
      <c r="AB17" s="630"/>
      <c r="AC17" s="630"/>
      <c r="AD17" s="630"/>
      <c r="AE17" s="626">
        <f>SUM(S17:AD17)</f>
        <v>0</v>
      </c>
    </row>
    <row r="18" spans="1:32" s="601" customFormat="1" ht="16.5" customHeight="1">
      <c r="A18" s="631" t="str">
        <f>'CF-ACPL（合并）'!A18</f>
        <v>经营活动现金流出小计</v>
      </c>
      <c r="B18" s="632">
        <f t="shared" si="5"/>
        <v>-83.333333333333329</v>
      </c>
      <c r="C18" s="632">
        <f t="shared" ca="1" si="6"/>
        <v>-83.333333333333329</v>
      </c>
      <c r="D18" s="632"/>
      <c r="E18" s="632">
        <f t="shared" ref="E18:Q18" si="7">SUM(E19:E27)</f>
        <v>-83.333333333333329</v>
      </c>
      <c r="F18" s="632">
        <f t="shared" si="7"/>
        <v>-83.333333333333329</v>
      </c>
      <c r="G18" s="632">
        <f t="shared" si="7"/>
        <v>-83.333333333333329</v>
      </c>
      <c r="H18" s="632">
        <f t="shared" si="7"/>
        <v>-83.333333333333329</v>
      </c>
      <c r="I18" s="632">
        <f t="shared" si="7"/>
        <v>-83.333333333333329</v>
      </c>
      <c r="J18" s="632">
        <f t="shared" si="7"/>
        <v>-17083.333333333332</v>
      </c>
      <c r="K18" s="632">
        <f t="shared" si="7"/>
        <v>-83.333333333333329</v>
      </c>
      <c r="L18" s="632">
        <f t="shared" si="7"/>
        <v>-83.333333333333329</v>
      </c>
      <c r="M18" s="632">
        <f t="shared" si="7"/>
        <v>-83.333333333333329</v>
      </c>
      <c r="N18" s="632">
        <f t="shared" si="7"/>
        <v>-83.333333333333329</v>
      </c>
      <c r="O18" s="632">
        <f t="shared" si="7"/>
        <v>-83.333333333333329</v>
      </c>
      <c r="P18" s="632">
        <f t="shared" si="7"/>
        <v>-3083.3333333333335</v>
      </c>
      <c r="Q18" s="632">
        <f t="shared" si="7"/>
        <v>-21000</v>
      </c>
      <c r="R18" s="623"/>
      <c r="S18" s="632">
        <f t="shared" ref="S18:AE18" si="8">SUM(S19:S27)</f>
        <v>0</v>
      </c>
      <c r="T18" s="632">
        <f t="shared" si="8"/>
        <v>0</v>
      </c>
      <c r="U18" s="632">
        <f t="shared" si="8"/>
        <v>0</v>
      </c>
      <c r="V18" s="632">
        <f t="shared" si="8"/>
        <v>0</v>
      </c>
      <c r="W18" s="632">
        <f t="shared" si="8"/>
        <v>0</v>
      </c>
      <c r="X18" s="632">
        <f t="shared" si="8"/>
        <v>0</v>
      </c>
      <c r="Y18" s="632">
        <f t="shared" si="8"/>
        <v>0</v>
      </c>
      <c r="Z18" s="632">
        <f t="shared" si="8"/>
        <v>0</v>
      </c>
      <c r="AA18" s="632">
        <f t="shared" si="8"/>
        <v>0</v>
      </c>
      <c r="AB18" s="632">
        <f t="shared" si="8"/>
        <v>0</v>
      </c>
      <c r="AC18" s="632">
        <f t="shared" si="8"/>
        <v>0</v>
      </c>
      <c r="AD18" s="632">
        <f t="shared" si="8"/>
        <v>0</v>
      </c>
      <c r="AE18" s="632">
        <f t="shared" si="8"/>
        <v>0</v>
      </c>
    </row>
    <row r="19" spans="1:32" ht="16.5" customHeight="1">
      <c r="A19" s="629" t="str">
        <f>'CF-ACPL（合并）'!A19</f>
        <v>购买商品/接受劳务支付的现金</v>
      </c>
      <c r="B19" s="623">
        <f t="shared" si="5"/>
        <v>0</v>
      </c>
      <c r="C19" s="626">
        <f t="shared" ca="1" si="6"/>
        <v>0</v>
      </c>
      <c r="D19" s="626"/>
      <c r="E19" s="626"/>
      <c r="F19" s="626"/>
      <c r="G19" s="626"/>
      <c r="H19" s="626"/>
      <c r="I19" s="626"/>
      <c r="J19" s="626"/>
      <c r="K19" s="626"/>
      <c r="L19" s="626"/>
      <c r="M19" s="630"/>
      <c r="N19" s="626"/>
      <c r="O19" s="626"/>
      <c r="P19" s="626"/>
      <c r="Q19" s="626">
        <f t="shared" ref="Q19:Q27" si="9">SUM(E19:P19)</f>
        <v>0</v>
      </c>
      <c r="R19" s="626"/>
      <c r="S19" s="630"/>
      <c r="T19" s="630"/>
      <c r="U19" s="630"/>
      <c r="V19" s="630"/>
      <c r="W19" s="630"/>
      <c r="X19" s="630"/>
      <c r="Y19" s="630"/>
      <c r="Z19" s="630"/>
      <c r="AA19" s="630"/>
      <c r="AB19" s="630"/>
      <c r="AC19" s="630"/>
      <c r="AD19" s="630"/>
      <c r="AE19" s="626">
        <f t="shared" ref="AE19:AE25" si="10">SUM(S19:AD19)</f>
        <v>0</v>
      </c>
    </row>
    <row r="20" spans="1:32" ht="16.5" customHeight="1">
      <c r="A20" s="629" t="str">
        <f>'CF-ACPL（合并）'!A20</f>
        <v>所得税支付的现金</v>
      </c>
      <c r="B20" s="623">
        <f t="shared" si="5"/>
        <v>0</v>
      </c>
      <c r="C20" s="626">
        <f t="shared" ca="1" si="6"/>
        <v>0</v>
      </c>
      <c r="D20" s="626"/>
      <c r="E20" s="626"/>
      <c r="F20" s="626"/>
      <c r="G20" s="626"/>
      <c r="H20" s="626"/>
      <c r="I20" s="626"/>
      <c r="J20" s="626"/>
      <c r="K20" s="626"/>
      <c r="L20" s="630"/>
      <c r="M20" s="630"/>
      <c r="N20" s="630"/>
      <c r="O20" s="630"/>
      <c r="P20" s="630"/>
      <c r="Q20" s="626">
        <f t="shared" si="9"/>
        <v>0</v>
      </c>
      <c r="R20" s="626"/>
      <c r="S20" s="630"/>
      <c r="T20" s="630"/>
      <c r="U20" s="630"/>
      <c r="V20" s="630"/>
      <c r="W20" s="630"/>
      <c r="X20" s="630"/>
      <c r="Y20" s="630"/>
      <c r="Z20" s="630"/>
      <c r="AA20" s="630"/>
      <c r="AB20" s="630"/>
      <c r="AC20" s="630"/>
      <c r="AD20" s="630"/>
      <c r="AE20" s="626">
        <f t="shared" si="10"/>
        <v>0</v>
      </c>
    </row>
    <row r="21" spans="1:32" ht="16.5" customHeight="1">
      <c r="A21" s="629" t="str">
        <f>'CF-ACPL（合并）'!A21</f>
        <v>增值税及附加支付的现金</v>
      </c>
      <c r="B21" s="623">
        <f t="shared" si="5"/>
        <v>0</v>
      </c>
      <c r="C21" s="626">
        <f t="shared" ca="1" si="6"/>
        <v>0</v>
      </c>
      <c r="D21" s="626"/>
      <c r="E21" s="626"/>
      <c r="F21" s="626"/>
      <c r="G21" s="626"/>
      <c r="H21" s="626"/>
      <c r="I21" s="626"/>
      <c r="J21" s="626"/>
      <c r="K21" s="626"/>
      <c r="L21" s="630"/>
      <c r="M21" s="630"/>
      <c r="N21" s="630"/>
      <c r="O21" s="630"/>
      <c r="P21" s="630"/>
      <c r="Q21" s="626">
        <f t="shared" si="9"/>
        <v>0</v>
      </c>
      <c r="R21" s="626"/>
      <c r="S21" s="630"/>
      <c r="T21" s="630"/>
      <c r="U21" s="630"/>
      <c r="V21" s="630"/>
      <c r="W21" s="630"/>
      <c r="X21" s="630"/>
      <c r="Y21" s="630"/>
      <c r="Z21" s="630"/>
      <c r="AA21" s="630"/>
      <c r="AB21" s="630"/>
      <c r="AC21" s="630"/>
      <c r="AD21" s="630"/>
      <c r="AE21" s="626">
        <f t="shared" si="10"/>
        <v>0</v>
      </c>
    </row>
    <row r="22" spans="1:32" ht="16.5" customHeight="1">
      <c r="A22" s="629" t="str">
        <f>'CF-ACPL（合并）'!A22</f>
        <v>咨询管理费用支付的现金</v>
      </c>
      <c r="B22" s="623">
        <f t="shared" si="5"/>
        <v>0</v>
      </c>
      <c r="C22" s="626">
        <f t="shared" ca="1" si="6"/>
        <v>0</v>
      </c>
      <c r="D22" s="626"/>
      <c r="E22" s="626"/>
      <c r="F22" s="626"/>
      <c r="G22" s="626"/>
      <c r="H22" s="626"/>
      <c r="I22" s="626"/>
      <c r="J22" s="626"/>
      <c r="K22" s="626"/>
      <c r="L22" s="626"/>
      <c r="M22" s="626"/>
      <c r="N22" s="626"/>
      <c r="O22" s="626"/>
      <c r="P22" s="626"/>
      <c r="Q22" s="626">
        <f t="shared" si="9"/>
        <v>0</v>
      </c>
      <c r="R22" s="626"/>
      <c r="S22" s="626"/>
      <c r="T22" s="626"/>
      <c r="U22" s="626"/>
      <c r="V22" s="626"/>
      <c r="W22" s="626"/>
      <c r="X22" s="626"/>
      <c r="Y22" s="626"/>
      <c r="Z22" s="626"/>
      <c r="AA22" s="626"/>
      <c r="AB22" s="626"/>
      <c r="AC22" s="626"/>
      <c r="AD22" s="626"/>
      <c r="AE22" s="626">
        <f t="shared" si="10"/>
        <v>0</v>
      </c>
    </row>
    <row r="23" spans="1:32" ht="16.5" customHeight="1">
      <c r="A23" s="629" t="str">
        <f>'CF-ACPL（合并）'!A23</f>
        <v>支付给职工以及为职工支付的现金</v>
      </c>
      <c r="B23" s="623">
        <f t="shared" si="5"/>
        <v>0</v>
      </c>
      <c r="C23" s="626">
        <f t="shared" ca="1" si="6"/>
        <v>0</v>
      </c>
      <c r="D23" s="626"/>
      <c r="E23" s="626"/>
      <c r="F23" s="626"/>
      <c r="G23" s="626"/>
      <c r="H23" s="626"/>
      <c r="I23" s="626"/>
      <c r="J23" s="626"/>
      <c r="K23" s="626"/>
      <c r="L23" s="626"/>
      <c r="M23" s="626"/>
      <c r="N23" s="626"/>
      <c r="O23" s="626"/>
      <c r="P23" s="626"/>
      <c r="Q23" s="626">
        <f t="shared" si="9"/>
        <v>0</v>
      </c>
      <c r="R23" s="626"/>
      <c r="S23" s="630"/>
      <c r="T23" s="630"/>
      <c r="U23" s="630"/>
      <c r="V23" s="630"/>
      <c r="W23" s="630"/>
      <c r="X23" s="630"/>
      <c r="Y23" s="630"/>
      <c r="Z23" s="630"/>
      <c r="AA23" s="630"/>
      <c r="AB23" s="630"/>
      <c r="AC23" s="630"/>
      <c r="AD23" s="630"/>
      <c r="AE23" s="626">
        <f t="shared" si="10"/>
        <v>0</v>
      </c>
    </row>
    <row r="24" spans="1:32" s="602" customFormat="1" ht="16.5" customHeight="1">
      <c r="A24" s="629" t="str">
        <f>'CF-ACPL（合并）'!A24</f>
        <v>支付的其他与经营活动有关的现金（租金）</v>
      </c>
      <c r="B24" s="623">
        <f t="shared" si="5"/>
        <v>0</v>
      </c>
      <c r="C24" s="626">
        <f t="shared" ca="1" si="6"/>
        <v>0</v>
      </c>
      <c r="D24" s="626"/>
      <c r="E24" s="626">
        <f>-SUMIFS(SPACE!O:O,SPACE!$A:$A,$C$1,SPACE!$F:$F,$A24)</f>
        <v>0</v>
      </c>
      <c r="F24" s="626">
        <f>-SUMIFS(SPACE!P:P,SPACE!$A:$A,$C$1,SPACE!$F:$F,$A24)</f>
        <v>0</v>
      </c>
      <c r="G24" s="626">
        <f>-SUMIFS(SPACE!Q:Q,SPACE!$A:$A,$C$1,SPACE!$F:$F,$A24)</f>
        <v>0</v>
      </c>
      <c r="H24" s="626">
        <f>-SUMIFS(SPACE!R:R,SPACE!$A:$A,$C$1,SPACE!$F:$F,$A24)</f>
        <v>0</v>
      </c>
      <c r="I24" s="626">
        <f>-SUMIFS(SPACE!S:S,SPACE!$A:$A,$C$1,SPACE!$F:$F,$A24)</f>
        <v>0</v>
      </c>
      <c r="J24" s="626">
        <f>-SUMIFS(SPACE!T:T,SPACE!$A:$A,$C$1,SPACE!$F:$F,$A24)</f>
        <v>0</v>
      </c>
      <c r="K24" s="626">
        <f>-SUMIFS(SPACE!U:U,SPACE!$A:$A,$C$1,SPACE!$F:$F,$A24)</f>
        <v>0</v>
      </c>
      <c r="L24" s="626">
        <f>-SUMIFS(SPACE!V:V,SPACE!$A:$A,$C$1,SPACE!$F:$F,$A24)</f>
        <v>0</v>
      </c>
      <c r="M24" s="626">
        <f>-SUMIFS(SPACE!W:W,SPACE!$A:$A,$C$1,SPACE!$F:$F,$A24)</f>
        <v>0</v>
      </c>
      <c r="N24" s="626">
        <f>-SUMIFS(SPACE!X:X,SPACE!$A:$A,$C$1,SPACE!$F:$F,$A24)</f>
        <v>0</v>
      </c>
      <c r="O24" s="626">
        <f>-SUMIFS(SPACE!Y:Y,SPACE!$A:$A,$C$1,SPACE!$F:$F,$A24)</f>
        <v>0</v>
      </c>
      <c r="P24" s="626">
        <f>-SUMIFS(SPACE!Z:Z,SPACE!$A:$A,$C$1,SPACE!$F:$F,$A24)</f>
        <v>0</v>
      </c>
      <c r="Q24" s="626">
        <f t="shared" si="9"/>
        <v>0</v>
      </c>
      <c r="R24" s="626"/>
      <c r="S24" s="630"/>
      <c r="T24" s="630"/>
      <c r="U24" s="630"/>
      <c r="V24" s="630"/>
      <c r="W24" s="630"/>
      <c r="X24" s="630"/>
      <c r="Y24" s="630"/>
      <c r="Z24" s="630"/>
      <c r="AA24" s="630"/>
      <c r="AB24" s="630"/>
      <c r="AC24" s="630"/>
      <c r="AD24" s="630"/>
      <c r="AE24" s="626">
        <f t="shared" si="10"/>
        <v>0</v>
      </c>
      <c r="AF24" s="610"/>
    </row>
    <row r="25" spans="1:32" s="602" customFormat="1" ht="16.5" customHeight="1">
      <c r="A25" s="629" t="str">
        <f>'CF-ACPL（合并）'!A25</f>
        <v>支付的其他与经营活动有关的现金（专业服务费）</v>
      </c>
      <c r="B25" s="623">
        <f t="shared" si="5"/>
        <v>0</v>
      </c>
      <c r="C25" s="626">
        <f t="shared" ca="1" si="6"/>
        <v>0</v>
      </c>
      <c r="D25" s="626"/>
      <c r="E25" s="626">
        <f>-SUMIFS('Prof. Fee'!AF:AF,'Prof. Fee'!$B:$B,$C$1,'Prof. Fee'!$C:$C,$A25)</f>
        <v>0</v>
      </c>
      <c r="F25" s="626">
        <f>-SUMIFS('Prof. Fee'!AG:AG,'Prof. Fee'!$B:$B,$C$1,'Prof. Fee'!$C:$C,$A25)</f>
        <v>0</v>
      </c>
      <c r="G25" s="626">
        <f>-SUMIFS('Prof. Fee'!AH:AH,'Prof. Fee'!$B:$B,$C$1,'Prof. Fee'!$C:$C,$A25)</f>
        <v>0</v>
      </c>
      <c r="H25" s="626">
        <f>-SUMIFS('Prof. Fee'!AI:AI,'Prof. Fee'!$B:$B,$C$1,'Prof. Fee'!$C:$C,$A25)</f>
        <v>0</v>
      </c>
      <c r="I25" s="626">
        <f>-SUMIFS('Prof. Fee'!AJ:AJ,'Prof. Fee'!$B:$B,$C$1,'Prof. Fee'!$C:$C,$A25)</f>
        <v>0</v>
      </c>
      <c r="J25" s="626">
        <f>-SUMIFS('Prof. Fee'!AK:AK,'Prof. Fee'!$B:$B,$C$1,'Prof. Fee'!$C:$C,$A25)</f>
        <v>-17000</v>
      </c>
      <c r="K25" s="626">
        <f>-SUMIFS('Prof. Fee'!AL:AL,'Prof. Fee'!$B:$B,$C$1,'Prof. Fee'!$C:$C,$A25)</f>
        <v>0</v>
      </c>
      <c r="L25" s="626">
        <f>-SUMIFS('Prof. Fee'!AM:AM,'Prof. Fee'!$B:$B,$C$1,'Prof. Fee'!$C:$C,$A25)</f>
        <v>0</v>
      </c>
      <c r="M25" s="626">
        <f>-SUMIFS('Prof. Fee'!AN:AN,'Prof. Fee'!$B:$B,$C$1,'Prof. Fee'!$C:$C,$A25)</f>
        <v>0</v>
      </c>
      <c r="N25" s="626">
        <f>-SUMIFS('Prof. Fee'!AO:AO,'Prof. Fee'!$B:$B,$C$1,'Prof. Fee'!$C:$C,$A25)</f>
        <v>0</v>
      </c>
      <c r="O25" s="626">
        <f>-SUMIFS('Prof. Fee'!AP:AP,'Prof. Fee'!$B:$B,$C$1,'Prof. Fee'!$C:$C,$A25)</f>
        <v>0</v>
      </c>
      <c r="P25" s="626">
        <f>-SUMIFS('Prof. Fee'!AQ:AQ,'Prof. Fee'!$B:$B,$C$1,'Prof. Fee'!$C:$C,$A25)</f>
        <v>-3000</v>
      </c>
      <c r="Q25" s="626">
        <f t="shared" si="9"/>
        <v>-20000</v>
      </c>
      <c r="R25" s="626"/>
      <c r="S25" s="630"/>
      <c r="T25" s="630"/>
      <c r="U25" s="630"/>
      <c r="V25" s="630"/>
      <c r="W25" s="630"/>
      <c r="X25" s="630"/>
      <c r="Y25" s="630"/>
      <c r="Z25" s="630"/>
      <c r="AA25" s="630"/>
      <c r="AB25" s="630"/>
      <c r="AC25" s="630"/>
      <c r="AD25" s="630"/>
      <c r="AE25" s="626">
        <f t="shared" si="10"/>
        <v>0</v>
      </c>
      <c r="AF25" s="610"/>
    </row>
    <row r="26" spans="1:32" s="602" customFormat="1" ht="16.5" customHeight="1">
      <c r="A26" s="629" t="str">
        <f>'CF-ACPL（合并）'!A26</f>
        <v>支付的其他与经营活动有关的现金（员工报销）</v>
      </c>
      <c r="B26" s="623">
        <f t="shared" si="5"/>
        <v>0</v>
      </c>
      <c r="C26" s="626">
        <f t="shared" ca="1" si="6"/>
        <v>0</v>
      </c>
      <c r="D26" s="626"/>
      <c r="E26" s="626">
        <f>-SUMIFS('T&amp;E'!N47:N140,'T&amp;E'!$B$47:$B$140,$C$1,'T&amp;E'!$E$47:$E$140,$A26)</f>
        <v>0</v>
      </c>
      <c r="F26" s="626">
        <f>-SUMIFS('T&amp;E'!O47:O140,'T&amp;E'!$B$47:$B$140,$C$1,'T&amp;E'!$E$47:$E$140,$A26)</f>
        <v>0</v>
      </c>
      <c r="G26" s="626">
        <f>-SUMIFS('T&amp;E'!P47:P140,'T&amp;E'!$B$47:$B$140,$C$1,'T&amp;E'!$E$47:$E$140,$A26)</f>
        <v>0</v>
      </c>
      <c r="H26" s="626">
        <f>-SUMIFS('T&amp;E'!Q47:Q140,'T&amp;E'!$B$47:$B$140,$C$1,'T&amp;E'!$E$47:$E$140,$A26)</f>
        <v>0</v>
      </c>
      <c r="I26" s="626">
        <f>-SUMIFS('T&amp;E'!R47:R140,'T&amp;E'!$B$47:$B$140,$C$1,'T&amp;E'!$E$47:$E$140,$A26)</f>
        <v>0</v>
      </c>
      <c r="J26" s="626">
        <f>-SUMIFS('T&amp;E'!S47:S140,'T&amp;E'!$B$47:$B$140,$C$1,'T&amp;E'!$E$47:$E$140,$A26)</f>
        <v>0</v>
      </c>
      <c r="K26" s="626">
        <f>-SUMIFS('T&amp;E'!T47:T140,'T&amp;E'!$B$47:$B$140,$C$1,'T&amp;E'!$E$47:$E$140,$A26)</f>
        <v>0</v>
      </c>
      <c r="L26" s="626">
        <f>-SUMIFS('T&amp;E'!U47:U140,'T&amp;E'!$B$47:$B$140,$C$1,'T&amp;E'!$E$47:$E$140,$A26)</f>
        <v>0</v>
      </c>
      <c r="M26" s="626">
        <f>-SUMIFS('T&amp;E'!V47:V140,'T&amp;E'!$B$47:$B$140,$C$1,'T&amp;E'!$E$47:$E$140,$A26)</f>
        <v>0</v>
      </c>
      <c r="N26" s="626">
        <f>-SUMIFS('T&amp;E'!W47:W140,'T&amp;E'!$B$47:$B$140,$C$1,'T&amp;E'!$E$47:$E$140,$A26)</f>
        <v>0</v>
      </c>
      <c r="O26" s="626">
        <f>-SUMIFS('T&amp;E'!X47:X140,'T&amp;E'!$B$47:$B$140,$C$1,'T&amp;E'!$E$47:$E$140,$A26)</f>
        <v>0</v>
      </c>
      <c r="P26" s="626">
        <f>-SUMIFS('T&amp;E'!Y47:Y140,'T&amp;E'!$B$47:$B$140,$C$1,'T&amp;E'!$E$47:$E$140,$A26)</f>
        <v>0</v>
      </c>
      <c r="Q26" s="626">
        <f t="shared" si="9"/>
        <v>0</v>
      </c>
      <c r="R26" s="626"/>
      <c r="S26" s="630"/>
      <c r="T26" s="630"/>
      <c r="U26" s="630"/>
      <c r="V26" s="630"/>
      <c r="W26" s="630"/>
      <c r="X26" s="630"/>
      <c r="Y26" s="630"/>
      <c r="Z26" s="630"/>
      <c r="AA26" s="630"/>
      <c r="AB26" s="630"/>
      <c r="AC26" s="630"/>
      <c r="AD26" s="630"/>
      <c r="AE26" s="626"/>
      <c r="AF26" s="610"/>
    </row>
    <row r="27" spans="1:32" ht="16.5" customHeight="1">
      <c r="A27" s="629" t="str">
        <f>'CF-ACPL（合并）'!A27</f>
        <v>支付的其他与经营活动有关的现金（其他）</v>
      </c>
      <c r="B27" s="623">
        <f t="shared" si="5"/>
        <v>-83.333333333333329</v>
      </c>
      <c r="C27" s="626">
        <f t="shared" ca="1" si="6"/>
        <v>-83.333333333333329</v>
      </c>
      <c r="D27" s="626"/>
      <c r="E27" s="626">
        <f>-(SUMIFS(SPACE!O:O,SPACE!$A:$A,$C$1,SPACE!$F:$F,$A27)+SUMIFS('Other Exp'!AG:AG,'Other Exp'!$B:$B,$C$1,'Other Exp'!$D:$D,$A27))</f>
        <v>-83.333333333333329</v>
      </c>
      <c r="F27" s="626">
        <f>-(SUMIFS(SPACE!P:P,SPACE!$A:$A,$C$1,SPACE!$F:$F,$A27)+SUMIFS('Other Exp'!AH:AH,'Other Exp'!$B:$B,$C$1,'Other Exp'!$D:$D,$A27))</f>
        <v>-83.333333333333329</v>
      </c>
      <c r="G27" s="626">
        <f>-(SUMIFS(SPACE!Q:Q,SPACE!$A:$A,$C$1,SPACE!$F:$F,$A27)+SUMIFS('Other Exp'!AI:AI,'Other Exp'!$B:$B,$C$1,'Other Exp'!$D:$D,$A27))</f>
        <v>-83.333333333333329</v>
      </c>
      <c r="H27" s="626">
        <f>-(SUMIFS(SPACE!R:R,SPACE!$A:$A,$C$1,SPACE!$F:$F,$A27)+SUMIFS('Other Exp'!AJ:AJ,'Other Exp'!$B:$B,$C$1,'Other Exp'!$D:$D,$A27))</f>
        <v>-83.333333333333329</v>
      </c>
      <c r="I27" s="626">
        <f>-(SUMIFS(SPACE!S:S,SPACE!$A:$A,$C$1,SPACE!$F:$F,$A27)+SUMIFS('Other Exp'!AK:AK,'Other Exp'!$B:$B,$C$1,'Other Exp'!$D:$D,$A27))</f>
        <v>-83.333333333333329</v>
      </c>
      <c r="J27" s="626">
        <f>-(SUMIFS(SPACE!T:T,SPACE!$A:$A,$C$1,SPACE!$F:$F,$A27)+SUMIFS('Other Exp'!AL:AL,'Other Exp'!$B:$B,$C$1,'Other Exp'!$D:$D,$A27))</f>
        <v>-83.333333333333329</v>
      </c>
      <c r="K27" s="626">
        <f>-(SUMIFS(SPACE!U:U,SPACE!$A:$A,$C$1,SPACE!$F:$F,$A27)+SUMIFS('Other Exp'!AM:AM,'Other Exp'!$B:$B,$C$1,'Other Exp'!$D:$D,$A27))</f>
        <v>-83.333333333333329</v>
      </c>
      <c r="L27" s="626">
        <f>-(SUMIFS(SPACE!V:V,SPACE!$A:$A,$C$1,SPACE!$F:$F,$A27)+SUMIFS('Other Exp'!AN:AN,'Other Exp'!$B:$B,$C$1,'Other Exp'!$D:$D,$A27))</f>
        <v>-83.333333333333329</v>
      </c>
      <c r="M27" s="626">
        <f>-(SUMIFS(SPACE!W:W,SPACE!$A:$A,$C$1,SPACE!$F:$F,$A27)+SUMIFS('Other Exp'!AO:AO,'Other Exp'!$B:$B,$C$1,'Other Exp'!$D:$D,$A27))</f>
        <v>-83.333333333333329</v>
      </c>
      <c r="N27" s="626">
        <f>-(SUMIFS(SPACE!X:X,SPACE!$A:$A,$C$1,SPACE!$F:$F,$A27)+SUMIFS('Other Exp'!AP:AP,'Other Exp'!$B:$B,$C$1,'Other Exp'!$D:$D,$A27))</f>
        <v>-83.333333333333329</v>
      </c>
      <c r="O27" s="626">
        <f>-(SUMIFS(SPACE!Y:Y,SPACE!$A:$A,$C$1,SPACE!$F:$F,$A27)+SUMIFS('Other Exp'!AQ:AQ,'Other Exp'!$B:$B,$C$1,'Other Exp'!$D:$D,$A27))</f>
        <v>-83.333333333333329</v>
      </c>
      <c r="P27" s="626">
        <f>-(SUMIFS(SPACE!Z:Z,SPACE!$A:$A,$C$1,SPACE!$F:$F,$A27)+SUMIFS('Other Exp'!AR:AR,'Other Exp'!$B:$B,$C$1,'Other Exp'!$D:$D,$A27))</f>
        <v>-83.333333333333329</v>
      </c>
      <c r="Q27" s="626">
        <f t="shared" si="9"/>
        <v>-1000.0000000000001</v>
      </c>
      <c r="R27" s="626"/>
      <c r="S27" s="630"/>
      <c r="T27" s="626"/>
      <c r="U27" s="630"/>
      <c r="V27" s="630"/>
      <c r="W27" s="626"/>
      <c r="X27" s="630"/>
      <c r="Y27" s="630"/>
      <c r="Z27" s="626"/>
      <c r="AA27" s="630"/>
      <c r="AB27" s="630"/>
      <c r="AC27" s="626"/>
      <c r="AD27" s="630"/>
      <c r="AE27" s="626">
        <f>SUM(S27:AD27)</f>
        <v>0</v>
      </c>
    </row>
    <row r="28" spans="1:32" s="602" customFormat="1" ht="16.5" customHeight="1">
      <c r="A28" s="629"/>
      <c r="B28" s="633"/>
      <c r="C28" s="633"/>
      <c r="D28" s="633"/>
      <c r="E28" s="626"/>
      <c r="F28" s="626"/>
      <c r="G28" s="626"/>
      <c r="H28" s="626"/>
      <c r="I28" s="626"/>
      <c r="J28" s="626"/>
      <c r="K28" s="626"/>
      <c r="L28" s="630"/>
      <c r="M28" s="630"/>
      <c r="N28" s="630"/>
      <c r="O28" s="630"/>
      <c r="P28" s="630"/>
      <c r="Q28" s="626"/>
      <c r="R28" s="626"/>
      <c r="S28" s="630"/>
      <c r="T28" s="626"/>
      <c r="U28" s="630"/>
      <c r="V28" s="630"/>
      <c r="W28" s="626"/>
      <c r="X28" s="630"/>
      <c r="Y28" s="630"/>
      <c r="Z28" s="626"/>
      <c r="AA28" s="630"/>
      <c r="AB28" s="630"/>
      <c r="AC28" s="626"/>
      <c r="AD28" s="630"/>
      <c r="AE28" s="626"/>
      <c r="AF28" s="610"/>
    </row>
    <row r="29" spans="1:32" s="601" customFormat="1" ht="16.5" customHeight="1">
      <c r="A29" s="608" t="str">
        <f>'CF-ACPL（合并）'!A29</f>
        <v>经营活动产生的现金流量净额</v>
      </c>
      <c r="B29" s="634">
        <f t="shared" ref="B29:B42" si="11">INDEX($E29:$P29,1,MATCH($B$4,$E$4:$P$4))</f>
        <v>-83.333333333333329</v>
      </c>
      <c r="C29" s="634">
        <f t="shared" ref="C29:C42" ca="1" si="12">SUM($E29:OFFSET($E29,0,MATCH($C$4,$E$4:$P$4)-1))</f>
        <v>-83.333333333333329</v>
      </c>
      <c r="D29" s="634"/>
      <c r="E29" s="622">
        <f>E12+E18</f>
        <v>-83.333333333333329</v>
      </c>
      <c r="F29" s="622">
        <f t="shared" ref="F29:Q29" si="13">F12+F18</f>
        <v>-83.333333333333329</v>
      </c>
      <c r="G29" s="622">
        <f t="shared" si="13"/>
        <v>-83.333333333333329</v>
      </c>
      <c r="H29" s="622">
        <f t="shared" si="13"/>
        <v>-83.333333333333329</v>
      </c>
      <c r="I29" s="622">
        <f t="shared" si="13"/>
        <v>-83.333333333333329</v>
      </c>
      <c r="J29" s="622">
        <f t="shared" si="13"/>
        <v>-17083.333333333332</v>
      </c>
      <c r="K29" s="622">
        <f t="shared" si="13"/>
        <v>-83.333333333333329</v>
      </c>
      <c r="L29" s="622">
        <f t="shared" si="13"/>
        <v>-83.333333333333329</v>
      </c>
      <c r="M29" s="622">
        <f t="shared" si="13"/>
        <v>-83.333333333333329</v>
      </c>
      <c r="N29" s="622">
        <f t="shared" si="13"/>
        <v>-83.333333333333329</v>
      </c>
      <c r="O29" s="622">
        <f t="shared" si="13"/>
        <v>-83.333333333333329</v>
      </c>
      <c r="P29" s="622">
        <f t="shared" si="13"/>
        <v>-3083.3333333333335</v>
      </c>
      <c r="Q29" s="622">
        <f t="shared" si="13"/>
        <v>-21000</v>
      </c>
      <c r="R29" s="623"/>
      <c r="S29" s="622">
        <f t="shared" ref="S29:AE29" si="14">S12-S18</f>
        <v>0</v>
      </c>
      <c r="T29" s="622">
        <f t="shared" si="14"/>
        <v>0</v>
      </c>
      <c r="U29" s="622">
        <f t="shared" si="14"/>
        <v>0</v>
      </c>
      <c r="V29" s="622">
        <f t="shared" si="14"/>
        <v>0</v>
      </c>
      <c r="W29" s="622">
        <f t="shared" si="14"/>
        <v>0</v>
      </c>
      <c r="X29" s="622">
        <f t="shared" si="14"/>
        <v>0</v>
      </c>
      <c r="Y29" s="622">
        <f t="shared" si="14"/>
        <v>0</v>
      </c>
      <c r="Z29" s="622">
        <f t="shared" si="14"/>
        <v>0</v>
      </c>
      <c r="AA29" s="622">
        <f t="shared" si="14"/>
        <v>0</v>
      </c>
      <c r="AB29" s="622">
        <f t="shared" si="14"/>
        <v>0</v>
      </c>
      <c r="AC29" s="622">
        <f t="shared" si="14"/>
        <v>0</v>
      </c>
      <c r="AD29" s="622">
        <f t="shared" si="14"/>
        <v>0</v>
      </c>
      <c r="AE29" s="622">
        <f t="shared" si="14"/>
        <v>0</v>
      </c>
      <c r="AF29" s="610"/>
    </row>
    <row r="30" spans="1:32" ht="16.5" customHeight="1">
      <c r="A30" s="629"/>
      <c r="B30" s="633"/>
      <c r="C30" s="633"/>
      <c r="D30" s="633"/>
      <c r="E30" s="626"/>
      <c r="F30" s="626"/>
      <c r="G30" s="626"/>
      <c r="H30" s="626"/>
      <c r="I30" s="626"/>
      <c r="J30" s="626"/>
      <c r="K30" s="626"/>
      <c r="L30" s="626"/>
      <c r="M30" s="626"/>
      <c r="N30" s="626"/>
      <c r="O30" s="626"/>
      <c r="P30" s="626"/>
      <c r="Q30" s="626"/>
      <c r="R30" s="626"/>
      <c r="S30" s="626"/>
      <c r="T30" s="626"/>
      <c r="U30" s="626"/>
      <c r="V30" s="626"/>
      <c r="W30" s="626"/>
      <c r="X30" s="626"/>
      <c r="Y30" s="626"/>
      <c r="Z30" s="626"/>
      <c r="AA30" s="626"/>
      <c r="AB30" s="626"/>
      <c r="AC30" s="626"/>
      <c r="AD30" s="626"/>
      <c r="AE30" s="626"/>
    </row>
    <row r="31" spans="1:32" s="603" customFormat="1" ht="16.5" customHeight="1">
      <c r="A31" s="627" t="str">
        <f>'CF-ACPL（合并）'!A31</f>
        <v>投资活动现金流入小计</v>
      </c>
      <c r="B31" s="628">
        <f t="shared" si="11"/>
        <v>0</v>
      </c>
      <c r="C31" s="628">
        <f t="shared" ca="1" si="12"/>
        <v>0</v>
      </c>
      <c r="D31" s="628"/>
      <c r="E31" s="628">
        <f t="shared" ref="E31:Q31" si="15">SUM(E32:E36)</f>
        <v>0</v>
      </c>
      <c r="F31" s="628">
        <f t="shared" si="15"/>
        <v>0</v>
      </c>
      <c r="G31" s="628">
        <f t="shared" si="15"/>
        <v>0</v>
      </c>
      <c r="H31" s="628">
        <f t="shared" si="15"/>
        <v>43500000</v>
      </c>
      <c r="I31" s="628">
        <f t="shared" si="15"/>
        <v>0</v>
      </c>
      <c r="J31" s="628">
        <f t="shared" si="15"/>
        <v>0</v>
      </c>
      <c r="K31" s="628">
        <f t="shared" si="15"/>
        <v>0</v>
      </c>
      <c r="L31" s="628">
        <f t="shared" si="15"/>
        <v>0</v>
      </c>
      <c r="M31" s="628">
        <f t="shared" si="15"/>
        <v>0</v>
      </c>
      <c r="N31" s="628">
        <f t="shared" si="15"/>
        <v>0</v>
      </c>
      <c r="O31" s="628">
        <f t="shared" si="15"/>
        <v>0</v>
      </c>
      <c r="P31" s="628">
        <f t="shared" si="15"/>
        <v>0</v>
      </c>
      <c r="Q31" s="628">
        <f t="shared" si="15"/>
        <v>43500000</v>
      </c>
      <c r="R31" s="623"/>
      <c r="S31" s="628">
        <f t="shared" ref="S31:AE31" si="16">SUM(S32:S36)</f>
        <v>0</v>
      </c>
      <c r="T31" s="628">
        <f t="shared" si="16"/>
        <v>0</v>
      </c>
      <c r="U31" s="628">
        <f t="shared" si="16"/>
        <v>0</v>
      </c>
      <c r="V31" s="628">
        <f t="shared" si="16"/>
        <v>0</v>
      </c>
      <c r="W31" s="628">
        <f t="shared" si="16"/>
        <v>0</v>
      </c>
      <c r="X31" s="628">
        <f t="shared" si="16"/>
        <v>0</v>
      </c>
      <c r="Y31" s="628">
        <f t="shared" si="16"/>
        <v>0</v>
      </c>
      <c r="Z31" s="628">
        <f t="shared" si="16"/>
        <v>0</v>
      </c>
      <c r="AA31" s="628">
        <f t="shared" si="16"/>
        <v>0</v>
      </c>
      <c r="AB31" s="628">
        <f t="shared" si="16"/>
        <v>0</v>
      </c>
      <c r="AC31" s="628">
        <f t="shared" si="16"/>
        <v>0</v>
      </c>
      <c r="AD31" s="628">
        <f t="shared" si="16"/>
        <v>0</v>
      </c>
      <c r="AE31" s="628">
        <f t="shared" si="16"/>
        <v>0</v>
      </c>
    </row>
    <row r="32" spans="1:32" ht="16.5" customHeight="1">
      <c r="A32" s="629" t="str">
        <f>'CF-ACPL（合并）'!A32</f>
        <v>收回投资所收到的现金</v>
      </c>
      <c r="B32" s="623">
        <f t="shared" si="11"/>
        <v>0</v>
      </c>
      <c r="C32" s="626">
        <f t="shared" ca="1" si="12"/>
        <v>0</v>
      </c>
      <c r="D32" s="626"/>
      <c r="E32" s="626">
        <f>SUMIFS(cashflow汇总预算2026!$J:$J,cashflow汇总预算2026!$D:$D,E$4,cashflow汇总预算2026!$V:$V,$A32)</f>
        <v>0</v>
      </c>
      <c r="F32" s="626">
        <f>SUMIFS(cashflow汇总预算2026!$J:$J,cashflow汇总预算2026!$D:$D,F$4,cashflow汇总预算2026!$V:$V,$A32)</f>
        <v>0</v>
      </c>
      <c r="G32" s="626">
        <f>SUMIFS(cashflow汇总预算2026!$J:$J,cashflow汇总预算2026!$D:$D,G$4,cashflow汇总预算2026!$V:$V,$A32)</f>
        <v>0</v>
      </c>
      <c r="H32" s="626">
        <f>SUMIFS(cashflow汇总预算2026!$J:$J,cashflow汇总预算2026!$D:$D,H$4,cashflow汇总预算2026!$V:$V,$A32)</f>
        <v>43500000</v>
      </c>
      <c r="I32" s="626">
        <f>SUMIFS(cashflow汇总预算2026!$J:$J,cashflow汇总预算2026!$D:$D,I$4,cashflow汇总预算2026!$V:$V,$A32)</f>
        <v>0</v>
      </c>
      <c r="J32" s="626">
        <f>SUMIFS(cashflow汇总预算2026!$J:$J,cashflow汇总预算2026!$D:$D,J$4,cashflow汇总预算2026!$V:$V,$A32)</f>
        <v>0</v>
      </c>
      <c r="K32" s="626">
        <f>SUMIFS(cashflow汇总预算2026!$J:$J,cashflow汇总预算2026!$D:$D,K$4,cashflow汇总预算2026!$V:$V,$A32)</f>
        <v>0</v>
      </c>
      <c r="L32" s="626">
        <f>SUMIFS(cashflow汇总预算2026!$J:$J,cashflow汇总预算2026!$D:$D,L$4,cashflow汇总预算2026!$V:$V,$A32)</f>
        <v>0</v>
      </c>
      <c r="M32" s="626">
        <f>SUMIFS(cashflow汇总预算2026!$J:$J,cashflow汇总预算2026!$D:$D,M$4,cashflow汇总预算2026!$V:$V,$A32)</f>
        <v>0</v>
      </c>
      <c r="N32" s="626">
        <f>SUMIFS(cashflow汇总预算2026!$J:$J,cashflow汇总预算2026!$D:$D,N$4,cashflow汇总预算2026!$V:$V,$A32)</f>
        <v>0</v>
      </c>
      <c r="O32" s="626">
        <f>SUMIFS(cashflow汇总预算2026!$J:$J,cashflow汇总预算2026!$D:$D,O$4,cashflow汇总预算2026!$V:$V,$A32)</f>
        <v>0</v>
      </c>
      <c r="P32" s="626">
        <f>SUMIFS(cashflow汇总预算2026!$J:$J,cashflow汇总预算2026!$D:$D,P$4,cashflow汇总预算2026!$V:$V,$A32)</f>
        <v>0</v>
      </c>
      <c r="Q32" s="626">
        <f t="shared" ref="Q32:Q36" si="17">SUM(E32:P32)</f>
        <v>43500000</v>
      </c>
      <c r="R32" s="626"/>
      <c r="S32" s="630">
        <v>0</v>
      </c>
      <c r="T32" s="630">
        <v>0</v>
      </c>
      <c r="U32" s="630">
        <v>0</v>
      </c>
      <c r="V32" s="630">
        <v>0</v>
      </c>
      <c r="W32" s="630">
        <v>0</v>
      </c>
      <c r="X32" s="630">
        <v>0</v>
      </c>
      <c r="Y32" s="630">
        <v>0</v>
      </c>
      <c r="Z32" s="630">
        <v>0</v>
      </c>
      <c r="AA32" s="630">
        <v>0</v>
      </c>
      <c r="AB32" s="630">
        <v>0</v>
      </c>
      <c r="AC32" s="630">
        <v>0</v>
      </c>
      <c r="AD32" s="630">
        <v>0</v>
      </c>
      <c r="AE32" s="626">
        <f t="shared" ref="AE32:AE36" si="18">SUM(S32:AD32)</f>
        <v>0</v>
      </c>
    </row>
    <row r="33" spans="1:31" ht="16.5" customHeight="1">
      <c r="A33" s="629" t="str">
        <f>'CF-ACPL（合并）'!A33</f>
        <v>取得投资收益所收到的现金</v>
      </c>
      <c r="B33" s="623">
        <f t="shared" si="11"/>
        <v>0</v>
      </c>
      <c r="C33" s="626">
        <f t="shared" ca="1" si="12"/>
        <v>0</v>
      </c>
      <c r="D33" s="626"/>
      <c r="E33" s="626">
        <f>SUMIFS(cashflow汇总预算2026!$J:$J,cashflow汇总预算2026!$D:$D,E$4,cashflow汇总预算2026!$V:$V,$A33)</f>
        <v>0</v>
      </c>
      <c r="F33" s="626">
        <f>SUMIFS(cashflow汇总预算2026!$J:$J,cashflow汇总预算2026!$D:$D,F$4,cashflow汇总预算2026!$V:$V,$A33)</f>
        <v>0</v>
      </c>
      <c r="G33" s="626">
        <f>SUMIFS(cashflow汇总预算2026!$J:$J,cashflow汇总预算2026!$D:$D,G$4,cashflow汇总预算2026!$V:$V,$A33)</f>
        <v>0</v>
      </c>
      <c r="H33" s="626">
        <f>SUMIFS(cashflow汇总预算2026!$J:$J,cashflow汇总预算2026!$D:$D,H$4,cashflow汇总预算2026!$V:$V,$A33)</f>
        <v>0</v>
      </c>
      <c r="I33" s="626">
        <f>SUMIFS(cashflow汇总预算2026!$J:$J,cashflow汇总预算2026!$D:$D,I$4,cashflow汇总预算2026!$V:$V,$A33)</f>
        <v>0</v>
      </c>
      <c r="J33" s="626">
        <f>SUMIFS(cashflow汇总预算2026!$J:$J,cashflow汇总预算2026!$D:$D,J$4,cashflow汇总预算2026!$V:$V,$A33)</f>
        <v>0</v>
      </c>
      <c r="K33" s="626">
        <f>SUMIFS(cashflow汇总预算2026!$J:$J,cashflow汇总预算2026!$D:$D,K$4,cashflow汇总预算2026!$V:$V,$A33)</f>
        <v>0</v>
      </c>
      <c r="L33" s="626">
        <f>SUMIFS(cashflow汇总预算2026!$J:$J,cashflow汇总预算2026!$D:$D,L$4,cashflow汇总预算2026!$V:$V,$A33)</f>
        <v>0</v>
      </c>
      <c r="M33" s="626">
        <f>SUMIFS(cashflow汇总预算2026!$J:$J,cashflow汇总预算2026!$D:$D,M$4,cashflow汇总预算2026!$V:$V,$A33)</f>
        <v>0</v>
      </c>
      <c r="N33" s="626">
        <f>SUMIFS(cashflow汇总预算2026!$J:$J,cashflow汇总预算2026!$D:$D,N$4,cashflow汇总预算2026!$V:$V,$A33)</f>
        <v>0</v>
      </c>
      <c r="O33" s="626">
        <f>SUMIFS(cashflow汇总预算2026!$J:$J,cashflow汇总预算2026!$D:$D,O$4,cashflow汇总预算2026!$V:$V,$A33)</f>
        <v>0</v>
      </c>
      <c r="P33" s="626">
        <f>SUMIFS(cashflow汇总预算2026!$J:$J,cashflow汇总预算2026!$D:$D,P$4,cashflow汇总预算2026!$V:$V,$A33)</f>
        <v>0</v>
      </c>
      <c r="Q33" s="626">
        <f t="shared" si="17"/>
        <v>0</v>
      </c>
      <c r="R33" s="626"/>
      <c r="S33" s="630">
        <v>0</v>
      </c>
      <c r="T33" s="630">
        <v>0</v>
      </c>
      <c r="U33" s="630">
        <v>0</v>
      </c>
      <c r="V33" s="630">
        <v>0</v>
      </c>
      <c r="W33" s="630">
        <v>0</v>
      </c>
      <c r="X33" s="630">
        <v>0</v>
      </c>
      <c r="Y33" s="630">
        <v>0</v>
      </c>
      <c r="Z33" s="630">
        <v>0</v>
      </c>
      <c r="AA33" s="630">
        <v>0</v>
      </c>
      <c r="AB33" s="630">
        <v>0</v>
      </c>
      <c r="AC33" s="630">
        <v>0</v>
      </c>
      <c r="AD33" s="630">
        <v>0</v>
      </c>
      <c r="AE33" s="626">
        <f t="shared" si="18"/>
        <v>0</v>
      </c>
    </row>
    <row r="34" spans="1:31" ht="16.5" customHeight="1">
      <c r="A34" s="629" t="str">
        <f>'CF-ACPL（合并）'!A34</f>
        <v>处置固定资产、无形资产和其他长期资产而收到的现金净额</v>
      </c>
      <c r="B34" s="623">
        <f t="shared" si="11"/>
        <v>0</v>
      </c>
      <c r="C34" s="626">
        <f t="shared" ca="1" si="12"/>
        <v>0</v>
      </c>
      <c r="D34" s="626"/>
      <c r="E34" s="626">
        <f>SUMIFS(cashflow汇总预算2026!$J:$J,cashflow汇总预算2026!$D:$D,E$4,cashflow汇总预算2026!$V:$V,$A34)</f>
        <v>0</v>
      </c>
      <c r="F34" s="626">
        <f>SUMIFS(cashflow汇总预算2026!$J:$J,cashflow汇总预算2026!$D:$D,F$4,cashflow汇总预算2026!$V:$V,$A34)</f>
        <v>0</v>
      </c>
      <c r="G34" s="626">
        <f>SUMIFS(cashflow汇总预算2026!$J:$J,cashflow汇总预算2026!$D:$D,G$4,cashflow汇总预算2026!$V:$V,$A34)</f>
        <v>0</v>
      </c>
      <c r="H34" s="626">
        <f>SUMIFS(cashflow汇总预算2026!$J:$J,cashflow汇总预算2026!$D:$D,H$4,cashflow汇总预算2026!$V:$V,$A34)</f>
        <v>0</v>
      </c>
      <c r="I34" s="626">
        <f>SUMIFS(cashflow汇总预算2026!$J:$J,cashflow汇总预算2026!$D:$D,I$4,cashflow汇总预算2026!$V:$V,$A34)</f>
        <v>0</v>
      </c>
      <c r="J34" s="626">
        <f>SUMIFS(cashflow汇总预算2026!$J:$J,cashflow汇总预算2026!$D:$D,J$4,cashflow汇总预算2026!$V:$V,$A34)</f>
        <v>0</v>
      </c>
      <c r="K34" s="626">
        <f>SUMIFS(cashflow汇总预算2026!$J:$J,cashflow汇总预算2026!$D:$D,K$4,cashflow汇总预算2026!$V:$V,$A34)</f>
        <v>0</v>
      </c>
      <c r="L34" s="626">
        <f>SUMIFS(cashflow汇总预算2026!$J:$J,cashflow汇总预算2026!$D:$D,L$4,cashflow汇总预算2026!$V:$V,$A34)</f>
        <v>0</v>
      </c>
      <c r="M34" s="626">
        <f>SUMIFS(cashflow汇总预算2026!$J:$J,cashflow汇总预算2026!$D:$D,M$4,cashflow汇总预算2026!$V:$V,$A34)</f>
        <v>0</v>
      </c>
      <c r="N34" s="626">
        <f>SUMIFS(cashflow汇总预算2026!$J:$J,cashflow汇总预算2026!$D:$D,N$4,cashflow汇总预算2026!$V:$V,$A34)</f>
        <v>0</v>
      </c>
      <c r="O34" s="626">
        <f>SUMIFS(cashflow汇总预算2026!$J:$J,cashflow汇总预算2026!$D:$D,O$4,cashflow汇总预算2026!$V:$V,$A34)</f>
        <v>0</v>
      </c>
      <c r="P34" s="626">
        <f>SUMIFS(cashflow汇总预算2026!$J:$J,cashflow汇总预算2026!$D:$D,P$4,cashflow汇总预算2026!$V:$V,$A34)</f>
        <v>0</v>
      </c>
      <c r="Q34" s="626">
        <f t="shared" si="17"/>
        <v>0</v>
      </c>
      <c r="R34" s="626"/>
      <c r="S34" s="630">
        <v>0</v>
      </c>
      <c r="T34" s="630">
        <v>0</v>
      </c>
      <c r="U34" s="630">
        <v>0</v>
      </c>
      <c r="V34" s="630">
        <v>0</v>
      </c>
      <c r="W34" s="630">
        <v>0</v>
      </c>
      <c r="X34" s="630">
        <v>0</v>
      </c>
      <c r="Y34" s="630">
        <v>0</v>
      </c>
      <c r="Z34" s="630">
        <v>0</v>
      </c>
      <c r="AA34" s="630">
        <v>0</v>
      </c>
      <c r="AB34" s="630">
        <v>0</v>
      </c>
      <c r="AC34" s="630">
        <v>0</v>
      </c>
      <c r="AD34" s="630">
        <v>0</v>
      </c>
      <c r="AE34" s="626">
        <f t="shared" si="18"/>
        <v>0</v>
      </c>
    </row>
    <row r="35" spans="1:31" ht="16.5" customHeight="1">
      <c r="A35" s="629" t="str">
        <f>'CF-ACPL（合并）'!A35</f>
        <v>处置子公司及其他营业单位收到的现金净额</v>
      </c>
      <c r="B35" s="623">
        <f t="shared" si="11"/>
        <v>0</v>
      </c>
      <c r="C35" s="626">
        <f t="shared" ca="1" si="12"/>
        <v>0</v>
      </c>
      <c r="D35" s="626"/>
      <c r="E35" s="626">
        <f>SUMIFS(cashflow汇总预算2026!$J:$J,cashflow汇总预算2026!$D:$D,E$4,cashflow汇总预算2026!$V:$V,$A35)</f>
        <v>0</v>
      </c>
      <c r="F35" s="626">
        <f>SUMIFS(cashflow汇总预算2026!$J:$J,cashflow汇总预算2026!$D:$D,F$4,cashflow汇总预算2026!$V:$V,$A35)</f>
        <v>0</v>
      </c>
      <c r="G35" s="626">
        <f>SUMIFS(cashflow汇总预算2026!$J:$J,cashflow汇总预算2026!$D:$D,G$4,cashflow汇总预算2026!$V:$V,$A35)</f>
        <v>0</v>
      </c>
      <c r="H35" s="626">
        <f>SUMIFS(cashflow汇总预算2026!$J:$J,cashflow汇总预算2026!$D:$D,H$4,cashflow汇总预算2026!$V:$V,$A35)</f>
        <v>0</v>
      </c>
      <c r="I35" s="626">
        <f>SUMIFS(cashflow汇总预算2026!$J:$J,cashflow汇总预算2026!$D:$D,I$4,cashflow汇总预算2026!$V:$V,$A35)</f>
        <v>0</v>
      </c>
      <c r="J35" s="626">
        <f>SUMIFS(cashflow汇总预算2026!$J:$J,cashflow汇总预算2026!$D:$D,J$4,cashflow汇总预算2026!$V:$V,$A35)</f>
        <v>0</v>
      </c>
      <c r="K35" s="626">
        <f>SUMIFS(cashflow汇总预算2026!$J:$J,cashflow汇总预算2026!$D:$D,K$4,cashflow汇总预算2026!$V:$V,$A35)</f>
        <v>0</v>
      </c>
      <c r="L35" s="626">
        <f>SUMIFS(cashflow汇总预算2026!$J:$J,cashflow汇总预算2026!$D:$D,L$4,cashflow汇总预算2026!$V:$V,$A35)</f>
        <v>0</v>
      </c>
      <c r="M35" s="626">
        <f>SUMIFS(cashflow汇总预算2026!$J:$J,cashflow汇总预算2026!$D:$D,M$4,cashflow汇总预算2026!$V:$V,$A35)</f>
        <v>0</v>
      </c>
      <c r="N35" s="626">
        <f>SUMIFS(cashflow汇总预算2026!$J:$J,cashflow汇总预算2026!$D:$D,N$4,cashflow汇总预算2026!$V:$V,$A35)</f>
        <v>0</v>
      </c>
      <c r="O35" s="626">
        <f>SUMIFS(cashflow汇总预算2026!$J:$J,cashflow汇总预算2026!$D:$D,O$4,cashflow汇总预算2026!$V:$V,$A35)</f>
        <v>0</v>
      </c>
      <c r="P35" s="626">
        <f>SUMIFS(cashflow汇总预算2026!$J:$J,cashflow汇总预算2026!$D:$D,P$4,cashflow汇总预算2026!$V:$V,$A35)</f>
        <v>0</v>
      </c>
      <c r="Q35" s="626">
        <f t="shared" si="17"/>
        <v>0</v>
      </c>
      <c r="R35" s="626"/>
      <c r="S35" s="630">
        <v>0</v>
      </c>
      <c r="T35" s="630">
        <v>0</v>
      </c>
      <c r="U35" s="630">
        <v>0</v>
      </c>
      <c r="V35" s="630">
        <v>0</v>
      </c>
      <c r="W35" s="630">
        <v>0</v>
      </c>
      <c r="X35" s="630">
        <v>0</v>
      </c>
      <c r="Y35" s="630">
        <v>0</v>
      </c>
      <c r="Z35" s="630">
        <v>0</v>
      </c>
      <c r="AA35" s="630">
        <v>0</v>
      </c>
      <c r="AB35" s="630">
        <v>0</v>
      </c>
      <c r="AC35" s="630">
        <v>0</v>
      </c>
      <c r="AD35" s="630">
        <v>0</v>
      </c>
      <c r="AE35" s="626">
        <f t="shared" si="18"/>
        <v>0</v>
      </c>
    </row>
    <row r="36" spans="1:31" ht="16.5" customHeight="1">
      <c r="A36" s="629" t="str">
        <f>'CF-ACPL（合并）'!A36</f>
        <v>收到的其他与投资活动有关的现金</v>
      </c>
      <c r="B36" s="623">
        <f t="shared" si="11"/>
        <v>0</v>
      </c>
      <c r="C36" s="626">
        <f t="shared" ca="1" si="12"/>
        <v>0</v>
      </c>
      <c r="D36" s="626"/>
      <c r="E36" s="626">
        <f>SUMIFS(cashflow汇总预算2026!$J:$J,cashflow汇总预算2026!$D:$D,E$4,cashflow汇总预算2026!$V:$V,$A36)</f>
        <v>0</v>
      </c>
      <c r="F36" s="626">
        <f>SUMIFS(cashflow汇总预算2026!$J:$J,cashflow汇总预算2026!$D:$D,F$4,cashflow汇总预算2026!$V:$V,$A36)</f>
        <v>0</v>
      </c>
      <c r="G36" s="626">
        <f>SUMIFS(cashflow汇总预算2026!$J:$J,cashflow汇总预算2026!$D:$D,G$4,cashflow汇总预算2026!$V:$V,$A36)</f>
        <v>0</v>
      </c>
      <c r="H36" s="626">
        <f>SUMIFS(cashflow汇总预算2026!$J:$J,cashflow汇总预算2026!$D:$D,H$4,cashflow汇总预算2026!$V:$V,$A36)</f>
        <v>0</v>
      </c>
      <c r="I36" s="626">
        <f>SUMIFS(cashflow汇总预算2026!$J:$J,cashflow汇总预算2026!$D:$D,I$4,cashflow汇总预算2026!$V:$V,$A36)</f>
        <v>0</v>
      </c>
      <c r="J36" s="626">
        <f>SUMIFS(cashflow汇总预算2026!$J:$J,cashflow汇总预算2026!$D:$D,J$4,cashflow汇总预算2026!$V:$V,$A36)</f>
        <v>0</v>
      </c>
      <c r="K36" s="626">
        <f>SUMIFS(cashflow汇总预算2026!$J:$J,cashflow汇总预算2026!$D:$D,K$4,cashflow汇总预算2026!$V:$V,$A36)</f>
        <v>0</v>
      </c>
      <c r="L36" s="626">
        <f>SUMIFS(cashflow汇总预算2026!$J:$J,cashflow汇总预算2026!$D:$D,L$4,cashflow汇总预算2026!$V:$V,$A36)</f>
        <v>0</v>
      </c>
      <c r="M36" s="626">
        <f>SUMIFS(cashflow汇总预算2026!$J:$J,cashflow汇总预算2026!$D:$D,M$4,cashflow汇总预算2026!$V:$V,$A36)</f>
        <v>0</v>
      </c>
      <c r="N36" s="626">
        <f>SUMIFS(cashflow汇总预算2026!$J:$J,cashflow汇总预算2026!$D:$D,N$4,cashflow汇总预算2026!$V:$V,$A36)</f>
        <v>0</v>
      </c>
      <c r="O36" s="626">
        <f>SUMIFS(cashflow汇总预算2026!$J:$J,cashflow汇总预算2026!$D:$D,O$4,cashflow汇总预算2026!$V:$V,$A36)</f>
        <v>0</v>
      </c>
      <c r="P36" s="626">
        <f>SUMIFS(cashflow汇总预算2026!$J:$J,cashflow汇总预算2026!$D:$D,P$4,cashflow汇总预算2026!$V:$V,$A36)</f>
        <v>0</v>
      </c>
      <c r="Q36" s="626">
        <f t="shared" si="17"/>
        <v>0</v>
      </c>
      <c r="R36" s="626"/>
      <c r="S36" s="630">
        <v>0</v>
      </c>
      <c r="T36" s="630">
        <v>0</v>
      </c>
      <c r="U36" s="630">
        <v>0</v>
      </c>
      <c r="V36" s="630">
        <v>0</v>
      </c>
      <c r="W36" s="630">
        <v>0</v>
      </c>
      <c r="X36" s="630">
        <v>0</v>
      </c>
      <c r="Y36" s="630">
        <v>0</v>
      </c>
      <c r="Z36" s="630">
        <v>0</v>
      </c>
      <c r="AA36" s="630">
        <v>0</v>
      </c>
      <c r="AB36" s="630">
        <v>0</v>
      </c>
      <c r="AC36" s="630">
        <v>0</v>
      </c>
      <c r="AD36" s="630">
        <v>0</v>
      </c>
      <c r="AE36" s="626">
        <f t="shared" si="18"/>
        <v>0</v>
      </c>
    </row>
    <row r="37" spans="1:31" s="604" customFormat="1" ht="16.5" customHeight="1">
      <c r="A37" s="631" t="str">
        <f>'CF-ACPL（合并）'!A37</f>
        <v>投资活动现金流出小计</v>
      </c>
      <c r="B37" s="632">
        <f t="shared" si="11"/>
        <v>0</v>
      </c>
      <c r="C37" s="632">
        <f t="shared" ca="1" si="12"/>
        <v>0</v>
      </c>
      <c r="D37" s="632"/>
      <c r="E37" s="632">
        <f t="shared" ref="E37:Q37" si="19">SUM(E38:E41)</f>
        <v>0</v>
      </c>
      <c r="F37" s="632">
        <f t="shared" si="19"/>
        <v>0</v>
      </c>
      <c r="G37" s="632">
        <f t="shared" si="19"/>
        <v>0</v>
      </c>
      <c r="H37" s="632">
        <f t="shared" si="19"/>
        <v>0</v>
      </c>
      <c r="I37" s="632">
        <f t="shared" si="19"/>
        <v>0</v>
      </c>
      <c r="J37" s="632">
        <f t="shared" si="19"/>
        <v>0</v>
      </c>
      <c r="K37" s="632">
        <f t="shared" si="19"/>
        <v>0</v>
      </c>
      <c r="L37" s="632">
        <f t="shared" si="19"/>
        <v>0</v>
      </c>
      <c r="M37" s="632">
        <f t="shared" si="19"/>
        <v>0</v>
      </c>
      <c r="N37" s="632">
        <f t="shared" si="19"/>
        <v>0</v>
      </c>
      <c r="O37" s="632">
        <f t="shared" si="19"/>
        <v>0</v>
      </c>
      <c r="P37" s="632">
        <f t="shared" si="19"/>
        <v>0</v>
      </c>
      <c r="Q37" s="632">
        <f t="shared" si="19"/>
        <v>0</v>
      </c>
      <c r="R37" s="623"/>
      <c r="S37" s="632">
        <f t="shared" ref="S37:AE37" si="20">SUM(S38:S41)</f>
        <v>0</v>
      </c>
      <c r="T37" s="632">
        <f t="shared" si="20"/>
        <v>0</v>
      </c>
      <c r="U37" s="632">
        <f t="shared" si="20"/>
        <v>0</v>
      </c>
      <c r="V37" s="632">
        <f t="shared" si="20"/>
        <v>0</v>
      </c>
      <c r="W37" s="632">
        <f t="shared" si="20"/>
        <v>0</v>
      </c>
      <c r="X37" s="632">
        <f t="shared" si="20"/>
        <v>0</v>
      </c>
      <c r="Y37" s="632">
        <f t="shared" si="20"/>
        <v>0</v>
      </c>
      <c r="Z37" s="632">
        <f t="shared" si="20"/>
        <v>0</v>
      </c>
      <c r="AA37" s="632">
        <f t="shared" si="20"/>
        <v>0</v>
      </c>
      <c r="AB37" s="632">
        <f t="shared" si="20"/>
        <v>0</v>
      </c>
      <c r="AC37" s="632">
        <f t="shared" si="20"/>
        <v>0</v>
      </c>
      <c r="AD37" s="632">
        <f t="shared" si="20"/>
        <v>0</v>
      </c>
      <c r="AE37" s="632">
        <f t="shared" si="20"/>
        <v>0</v>
      </c>
    </row>
    <row r="38" spans="1:31" ht="16.5" customHeight="1">
      <c r="A38" s="629" t="str">
        <f>'CF-ACPL（合并）'!A38</f>
        <v>购建固定资产、无形资产和其他长期资产支付的现金</v>
      </c>
      <c r="B38" s="623">
        <f t="shared" si="11"/>
        <v>0</v>
      </c>
      <c r="C38" s="626">
        <f t="shared" ca="1" si="12"/>
        <v>0</v>
      </c>
      <c r="D38" s="626"/>
      <c r="E38" s="626">
        <f>SUMIFS('Other Exp'!AG:AG,'Other Exp'!$B:$B,$C$1,'Other Exp'!$D:$D,$A38)</f>
        <v>0</v>
      </c>
      <c r="F38" s="626">
        <f>SUMIFS('Other Exp'!AH:AH,'Other Exp'!$B:$B,$C$1,'Other Exp'!$D:$D,$A38)</f>
        <v>0</v>
      </c>
      <c r="G38" s="626">
        <f>SUMIFS('Other Exp'!AI:AI,'Other Exp'!$B:$B,$C$1,'Other Exp'!$D:$D,$A38)</f>
        <v>0</v>
      </c>
      <c r="H38" s="626">
        <f>SUMIFS('Other Exp'!AJ:AJ,'Other Exp'!$B:$B,$C$1,'Other Exp'!$D:$D,$A38)</f>
        <v>0</v>
      </c>
      <c r="I38" s="626">
        <f>SUMIFS('Other Exp'!AK:AK,'Other Exp'!$B:$B,$C$1,'Other Exp'!$D:$D,$A38)</f>
        <v>0</v>
      </c>
      <c r="J38" s="626">
        <f>SUMIFS('Other Exp'!AL:AL,'Other Exp'!$B:$B,$C$1,'Other Exp'!$D:$D,$A38)</f>
        <v>0</v>
      </c>
      <c r="K38" s="626">
        <f>SUMIFS('Other Exp'!AM:AM,'Other Exp'!$B:$B,$C$1,'Other Exp'!$D:$D,$A38)</f>
        <v>0</v>
      </c>
      <c r="L38" s="626">
        <f>SUMIFS('Other Exp'!AN:AN,'Other Exp'!$B:$B,$C$1,'Other Exp'!$D:$D,$A38)</f>
        <v>0</v>
      </c>
      <c r="M38" s="626">
        <f>SUMIFS('Other Exp'!AO:AO,'Other Exp'!$B:$B,$C$1,'Other Exp'!$D:$D,$A38)</f>
        <v>0</v>
      </c>
      <c r="N38" s="626">
        <f>SUMIFS('Other Exp'!AP:AP,'Other Exp'!$B:$B,$C$1,'Other Exp'!$D:$D,$A38)</f>
        <v>0</v>
      </c>
      <c r="O38" s="626">
        <f>SUMIFS('Other Exp'!AQ:AQ,'Other Exp'!$B:$B,$C$1,'Other Exp'!$D:$D,$A38)</f>
        <v>0</v>
      </c>
      <c r="P38" s="626">
        <f>SUMIFS('Other Exp'!AR:AR,'Other Exp'!$B:$B,$C$1,'Other Exp'!$D:$D,$A38)</f>
        <v>0</v>
      </c>
      <c r="Q38" s="626">
        <f t="shared" ref="Q38" si="21">SUM(E38:P38)</f>
        <v>0</v>
      </c>
      <c r="R38" s="626"/>
      <c r="S38" s="630">
        <v>0</v>
      </c>
      <c r="T38" s="630">
        <v>0</v>
      </c>
      <c r="U38" s="630">
        <v>0</v>
      </c>
      <c r="V38" s="630">
        <v>0</v>
      </c>
      <c r="W38" s="630">
        <v>0</v>
      </c>
      <c r="X38" s="630">
        <v>0</v>
      </c>
      <c r="Y38" s="630">
        <v>0</v>
      </c>
      <c r="Z38" s="630">
        <v>0</v>
      </c>
      <c r="AA38" s="630">
        <v>0</v>
      </c>
      <c r="AB38" s="630">
        <v>0</v>
      </c>
      <c r="AC38" s="630">
        <v>0</v>
      </c>
      <c r="AD38" s="630">
        <v>0</v>
      </c>
      <c r="AE38" s="626">
        <f t="shared" ref="AE38:AE41" si="22">SUM(S38:AD38)</f>
        <v>0</v>
      </c>
    </row>
    <row r="39" spans="1:31" ht="16.5" customHeight="1">
      <c r="A39" s="629" t="str">
        <f>'CF-ACPL（合并）'!A39</f>
        <v>投资支付的现金</v>
      </c>
      <c r="B39" s="623">
        <f t="shared" si="11"/>
        <v>0</v>
      </c>
      <c r="C39" s="626">
        <f t="shared" ca="1" si="12"/>
        <v>0</v>
      </c>
      <c r="D39" s="626"/>
      <c r="E39" s="626">
        <f>SUMIFS(cashflow汇总预算2026!$J:$J,cashflow汇总预算2026!$D:$D,E$4,cashflow汇总预算2026!$V:$V,$A39)</f>
        <v>0</v>
      </c>
      <c r="F39" s="626">
        <f>SUMIFS(cashflow汇总预算2026!$J:$J,cashflow汇总预算2026!$D:$D,F$4,cashflow汇总预算2026!$V:$V,$A39)</f>
        <v>0</v>
      </c>
      <c r="G39" s="626">
        <f>SUMIFS(cashflow汇总预算2026!$J:$J,cashflow汇总预算2026!$D:$D,G$4,cashflow汇总预算2026!$V:$V,$A39)</f>
        <v>0</v>
      </c>
      <c r="H39" s="626">
        <f>SUMIFS(cashflow汇总预算2026!$J:$J,cashflow汇总预算2026!$D:$D,H$4,cashflow汇总预算2026!$V:$V,$A39)</f>
        <v>0</v>
      </c>
      <c r="I39" s="626">
        <f>SUMIFS(cashflow汇总预算2026!$J:$J,cashflow汇总预算2026!$D:$D,I$4,cashflow汇总预算2026!$V:$V,$A39)</f>
        <v>0</v>
      </c>
      <c r="J39" s="626">
        <f>SUMIFS(cashflow汇总预算2026!$J:$J,cashflow汇总预算2026!$D:$D,J$4,cashflow汇总预算2026!$V:$V,$A39)</f>
        <v>0</v>
      </c>
      <c r="K39" s="626">
        <f>SUMIFS(cashflow汇总预算2026!$J:$J,cashflow汇总预算2026!$D:$D,K$4,cashflow汇总预算2026!$V:$V,$A39)</f>
        <v>0</v>
      </c>
      <c r="L39" s="626">
        <f>SUMIFS(cashflow汇总预算2026!$J:$J,cashflow汇总预算2026!$D:$D,L$4,cashflow汇总预算2026!$V:$V,$A39)</f>
        <v>0</v>
      </c>
      <c r="M39" s="626">
        <f>SUMIFS(cashflow汇总预算2026!$J:$J,cashflow汇总预算2026!$D:$D,M$4,cashflow汇总预算2026!$V:$V,$A39)</f>
        <v>0</v>
      </c>
      <c r="N39" s="626">
        <f>SUMIFS(cashflow汇总预算2026!$J:$J,cashflow汇总预算2026!$D:$D,N$4,cashflow汇总预算2026!$V:$V,$A39)</f>
        <v>0</v>
      </c>
      <c r="O39" s="626">
        <f>SUMIFS(cashflow汇总预算2026!$J:$J,cashflow汇总预算2026!$D:$D,O$4,cashflow汇总预算2026!$V:$V,$A39)</f>
        <v>0</v>
      </c>
      <c r="P39" s="626">
        <f>SUMIFS(cashflow汇总预算2026!$J:$J,cashflow汇总预算2026!$D:$D,P$4,cashflow汇总预算2026!$V:$V,$A39)</f>
        <v>0</v>
      </c>
      <c r="Q39" s="626">
        <f>SUMIFS(cashflow汇总预算2026!$J:$J,cashflow汇总预算2026!$D:$D,Q$4,cashflow汇总预算2026!$V:$V,$A39)</f>
        <v>0</v>
      </c>
      <c r="R39" s="626"/>
      <c r="S39" s="630">
        <v>0</v>
      </c>
      <c r="T39" s="630">
        <v>0</v>
      </c>
      <c r="U39" s="630">
        <v>0</v>
      </c>
      <c r="V39" s="630">
        <v>0</v>
      </c>
      <c r="W39" s="630">
        <v>0</v>
      </c>
      <c r="X39" s="630">
        <v>0</v>
      </c>
      <c r="Y39" s="630">
        <v>0</v>
      </c>
      <c r="Z39" s="630">
        <v>0</v>
      </c>
      <c r="AA39" s="630">
        <v>0</v>
      </c>
      <c r="AB39" s="630">
        <v>0</v>
      </c>
      <c r="AC39" s="630">
        <v>0</v>
      </c>
      <c r="AD39" s="630">
        <v>0</v>
      </c>
      <c r="AE39" s="626">
        <f t="shared" si="22"/>
        <v>0</v>
      </c>
    </row>
    <row r="40" spans="1:31" ht="16.5" customHeight="1">
      <c r="A40" s="629" t="str">
        <f>'CF-ACPL（合并）'!A40</f>
        <v>取得子公司及其他营业单位支付的现金净额</v>
      </c>
      <c r="B40" s="623">
        <f t="shared" si="11"/>
        <v>0</v>
      </c>
      <c r="C40" s="626">
        <f t="shared" ca="1" si="12"/>
        <v>0</v>
      </c>
      <c r="D40" s="626"/>
      <c r="E40" s="626">
        <f>SUMIFS(cashflow汇总预算2026!$J:$J,cashflow汇总预算2026!$D:$D,E$4,cashflow汇总预算2026!$V:$V,$A40)</f>
        <v>0</v>
      </c>
      <c r="F40" s="626">
        <f>SUMIFS(cashflow汇总预算2026!$J:$J,cashflow汇总预算2026!$D:$D,F$4,cashflow汇总预算2026!$V:$V,$A40)</f>
        <v>0</v>
      </c>
      <c r="G40" s="626">
        <f>SUMIFS(cashflow汇总预算2026!$J:$J,cashflow汇总预算2026!$D:$D,G$4,cashflow汇总预算2026!$V:$V,$A40)</f>
        <v>0</v>
      </c>
      <c r="H40" s="626">
        <f>SUMIFS(cashflow汇总预算2026!$J:$J,cashflow汇总预算2026!$D:$D,H$4,cashflow汇总预算2026!$V:$V,$A40)</f>
        <v>0</v>
      </c>
      <c r="I40" s="626">
        <f>SUMIFS(cashflow汇总预算2026!$J:$J,cashflow汇总预算2026!$D:$D,I$4,cashflow汇总预算2026!$V:$V,$A40)</f>
        <v>0</v>
      </c>
      <c r="J40" s="626">
        <f>SUMIFS(cashflow汇总预算2026!$J:$J,cashflow汇总预算2026!$D:$D,J$4,cashflow汇总预算2026!$V:$V,$A40)</f>
        <v>0</v>
      </c>
      <c r="K40" s="626">
        <f>SUMIFS(cashflow汇总预算2026!$J:$J,cashflow汇总预算2026!$D:$D,K$4,cashflow汇总预算2026!$V:$V,$A40)</f>
        <v>0</v>
      </c>
      <c r="L40" s="626">
        <f>SUMIFS(cashflow汇总预算2026!$J:$J,cashflow汇总预算2026!$D:$D,L$4,cashflow汇总预算2026!$V:$V,$A40)</f>
        <v>0</v>
      </c>
      <c r="M40" s="626">
        <f>SUMIFS(cashflow汇总预算2026!$J:$J,cashflow汇总预算2026!$D:$D,M$4,cashflow汇总预算2026!$V:$V,$A40)</f>
        <v>0</v>
      </c>
      <c r="N40" s="626">
        <f>SUMIFS(cashflow汇总预算2026!$J:$J,cashflow汇总预算2026!$D:$D,N$4,cashflow汇总预算2026!$V:$V,$A40)</f>
        <v>0</v>
      </c>
      <c r="O40" s="626">
        <f>SUMIFS(cashflow汇总预算2026!$J:$J,cashflow汇总预算2026!$D:$D,O$4,cashflow汇总预算2026!$V:$V,$A40)</f>
        <v>0</v>
      </c>
      <c r="P40" s="626">
        <f>SUMIFS(cashflow汇总预算2026!$J:$J,cashflow汇总预算2026!$D:$D,P$4,cashflow汇总预算2026!$V:$V,$A40)</f>
        <v>0</v>
      </c>
      <c r="Q40" s="626">
        <f>SUMIFS(cashflow汇总预算2026!$J:$J,cashflow汇总预算2026!$D:$D,Q$4,cashflow汇总预算2026!$V:$V,$A40)</f>
        <v>0</v>
      </c>
      <c r="R40" s="626"/>
      <c r="S40" s="630">
        <v>0</v>
      </c>
      <c r="T40" s="630">
        <v>0</v>
      </c>
      <c r="U40" s="630">
        <v>0</v>
      </c>
      <c r="V40" s="630">
        <v>0</v>
      </c>
      <c r="W40" s="630">
        <v>0</v>
      </c>
      <c r="X40" s="630">
        <v>0</v>
      </c>
      <c r="Y40" s="630">
        <v>0</v>
      </c>
      <c r="Z40" s="630">
        <v>0</v>
      </c>
      <c r="AA40" s="630">
        <v>0</v>
      </c>
      <c r="AB40" s="630">
        <v>0</v>
      </c>
      <c r="AC40" s="630">
        <v>0</v>
      </c>
      <c r="AD40" s="630">
        <v>0</v>
      </c>
      <c r="AE40" s="626">
        <f t="shared" si="22"/>
        <v>0</v>
      </c>
    </row>
    <row r="41" spans="1:31" ht="16.5" customHeight="1">
      <c r="A41" s="629" t="str">
        <f>'CF-ACPL（合并）'!A41</f>
        <v>支付的其他与投资活动有关的现金</v>
      </c>
      <c r="B41" s="623">
        <f t="shared" si="11"/>
        <v>0</v>
      </c>
      <c r="C41" s="626">
        <f t="shared" ca="1" si="12"/>
        <v>0</v>
      </c>
      <c r="D41" s="626"/>
      <c r="E41" s="626">
        <f>SUMIFS(cashflow汇总预算2026!$J:$J,cashflow汇总预算2026!$D:$D,E$4,cashflow汇总预算2026!$V:$V,$A41)</f>
        <v>0</v>
      </c>
      <c r="F41" s="626">
        <f>SUMIFS(cashflow汇总预算2026!$J:$J,cashflow汇总预算2026!$D:$D,F$4,cashflow汇总预算2026!$V:$V,$A41)</f>
        <v>0</v>
      </c>
      <c r="G41" s="626">
        <f>SUMIFS(cashflow汇总预算2026!$J:$J,cashflow汇总预算2026!$D:$D,G$4,cashflow汇总预算2026!$V:$V,$A41)</f>
        <v>0</v>
      </c>
      <c r="H41" s="626">
        <f>SUMIFS(cashflow汇总预算2026!$J:$J,cashflow汇总预算2026!$D:$D,H$4,cashflow汇总预算2026!$V:$V,$A41)</f>
        <v>0</v>
      </c>
      <c r="I41" s="626">
        <f>SUMIFS(cashflow汇总预算2026!$J:$J,cashflow汇总预算2026!$D:$D,I$4,cashflow汇总预算2026!$V:$V,$A41)</f>
        <v>0</v>
      </c>
      <c r="J41" s="626">
        <f>SUMIFS(cashflow汇总预算2026!$J:$J,cashflow汇总预算2026!$D:$D,J$4,cashflow汇总预算2026!$V:$V,$A41)</f>
        <v>0</v>
      </c>
      <c r="K41" s="626">
        <f>SUMIFS(cashflow汇总预算2026!$J:$J,cashflow汇总预算2026!$D:$D,K$4,cashflow汇总预算2026!$V:$V,$A41)</f>
        <v>0</v>
      </c>
      <c r="L41" s="626">
        <f>SUMIFS(cashflow汇总预算2026!$J:$J,cashflow汇总预算2026!$D:$D,L$4,cashflow汇总预算2026!$V:$V,$A41)</f>
        <v>0</v>
      </c>
      <c r="M41" s="626">
        <f>SUMIFS(cashflow汇总预算2026!$J:$J,cashflow汇总预算2026!$D:$D,M$4,cashflow汇总预算2026!$V:$V,$A41)</f>
        <v>0</v>
      </c>
      <c r="N41" s="626">
        <f>SUMIFS(cashflow汇总预算2026!$J:$J,cashflow汇总预算2026!$D:$D,N$4,cashflow汇总预算2026!$V:$V,$A41)</f>
        <v>0</v>
      </c>
      <c r="O41" s="626">
        <f>SUMIFS(cashflow汇总预算2026!$J:$J,cashflow汇总预算2026!$D:$D,O$4,cashflow汇总预算2026!$V:$V,$A41)</f>
        <v>0</v>
      </c>
      <c r="P41" s="626">
        <f>SUMIFS(cashflow汇总预算2026!$J:$J,cashflow汇总预算2026!$D:$D,P$4,cashflow汇总预算2026!$V:$V,$A41)</f>
        <v>0</v>
      </c>
      <c r="Q41" s="626">
        <f>SUMIFS(cashflow汇总预算2026!$J:$J,cashflow汇总预算2026!$D:$D,Q$4,cashflow汇总预算2026!$V:$V,$A41)</f>
        <v>0</v>
      </c>
      <c r="R41" s="626"/>
      <c r="S41" s="630">
        <v>0</v>
      </c>
      <c r="T41" s="630">
        <v>0</v>
      </c>
      <c r="U41" s="630">
        <v>0</v>
      </c>
      <c r="V41" s="630">
        <v>0</v>
      </c>
      <c r="W41" s="630">
        <v>0</v>
      </c>
      <c r="X41" s="630">
        <v>0</v>
      </c>
      <c r="Y41" s="630">
        <v>0</v>
      </c>
      <c r="Z41" s="630">
        <v>0</v>
      </c>
      <c r="AA41" s="630">
        <v>0</v>
      </c>
      <c r="AB41" s="630">
        <v>0</v>
      </c>
      <c r="AC41" s="630">
        <v>0</v>
      </c>
      <c r="AD41" s="630">
        <v>0</v>
      </c>
      <c r="AE41" s="626">
        <f t="shared" si="22"/>
        <v>0</v>
      </c>
    </row>
    <row r="42" spans="1:31" s="601" customFormat="1" ht="16.5" customHeight="1">
      <c r="A42" s="608" t="str">
        <f>'CF-ACPL（合并）'!A42</f>
        <v>投资活动产生的现金流量净额</v>
      </c>
      <c r="B42" s="634">
        <f t="shared" si="11"/>
        <v>0</v>
      </c>
      <c r="C42" s="634">
        <f t="shared" ca="1" si="12"/>
        <v>0</v>
      </c>
      <c r="D42" s="634"/>
      <c r="E42" s="622">
        <f>E31+E37</f>
        <v>0</v>
      </c>
      <c r="F42" s="622">
        <f t="shared" ref="F42:J42" si="23">F31+F37</f>
        <v>0</v>
      </c>
      <c r="G42" s="622">
        <f t="shared" si="23"/>
        <v>0</v>
      </c>
      <c r="H42" s="622">
        <f t="shared" si="23"/>
        <v>43500000</v>
      </c>
      <c r="I42" s="622">
        <f t="shared" si="23"/>
        <v>0</v>
      </c>
      <c r="J42" s="622">
        <f t="shared" si="23"/>
        <v>0</v>
      </c>
      <c r="K42" s="622">
        <f t="shared" ref="K42:Q42" si="24">K31+K37</f>
        <v>0</v>
      </c>
      <c r="L42" s="622">
        <f t="shared" si="24"/>
        <v>0</v>
      </c>
      <c r="M42" s="622">
        <f t="shared" si="24"/>
        <v>0</v>
      </c>
      <c r="N42" s="622">
        <f t="shared" si="24"/>
        <v>0</v>
      </c>
      <c r="O42" s="622">
        <f t="shared" si="24"/>
        <v>0</v>
      </c>
      <c r="P42" s="622">
        <f t="shared" si="24"/>
        <v>0</v>
      </c>
      <c r="Q42" s="622">
        <f t="shared" si="24"/>
        <v>43500000</v>
      </c>
      <c r="R42" s="623"/>
      <c r="S42" s="622">
        <f t="shared" ref="S42:AE42" si="25">S31-S37</f>
        <v>0</v>
      </c>
      <c r="T42" s="622">
        <f t="shared" si="25"/>
        <v>0</v>
      </c>
      <c r="U42" s="622">
        <f t="shared" si="25"/>
        <v>0</v>
      </c>
      <c r="V42" s="622">
        <f t="shared" si="25"/>
        <v>0</v>
      </c>
      <c r="W42" s="622">
        <f t="shared" si="25"/>
        <v>0</v>
      </c>
      <c r="X42" s="622">
        <f t="shared" si="25"/>
        <v>0</v>
      </c>
      <c r="Y42" s="622">
        <f t="shared" si="25"/>
        <v>0</v>
      </c>
      <c r="Z42" s="622">
        <f t="shared" si="25"/>
        <v>0</v>
      </c>
      <c r="AA42" s="622">
        <f t="shared" si="25"/>
        <v>0</v>
      </c>
      <c r="AB42" s="622">
        <f t="shared" si="25"/>
        <v>0</v>
      </c>
      <c r="AC42" s="622">
        <f t="shared" si="25"/>
        <v>0</v>
      </c>
      <c r="AD42" s="622">
        <f t="shared" si="25"/>
        <v>0</v>
      </c>
      <c r="AE42" s="622">
        <f t="shared" si="25"/>
        <v>0</v>
      </c>
    </row>
    <row r="43" spans="1:31" ht="16.5" customHeight="1">
      <c r="A43" s="629"/>
      <c r="B43" s="633"/>
      <c r="C43" s="633"/>
      <c r="D43" s="633"/>
      <c r="E43" s="626"/>
      <c r="F43" s="626"/>
      <c r="G43" s="626"/>
      <c r="H43" s="626"/>
      <c r="I43" s="626"/>
      <c r="J43" s="626"/>
      <c r="K43" s="626"/>
      <c r="L43" s="626"/>
      <c r="M43" s="626"/>
      <c r="N43" s="626"/>
      <c r="O43" s="626"/>
      <c r="P43" s="626"/>
      <c r="Q43" s="626"/>
      <c r="R43" s="626"/>
      <c r="S43" s="626"/>
      <c r="T43" s="626"/>
      <c r="U43" s="626"/>
      <c r="V43" s="626"/>
      <c r="W43" s="626"/>
      <c r="X43" s="626"/>
      <c r="Y43" s="626"/>
      <c r="Z43" s="626"/>
      <c r="AA43" s="626"/>
      <c r="AB43" s="626"/>
      <c r="AC43" s="626"/>
      <c r="AD43" s="626"/>
      <c r="AE43" s="626"/>
    </row>
    <row r="44" spans="1:31" s="603" customFormat="1" ht="16.5" customHeight="1">
      <c r="A44" s="627" t="str">
        <f>'CF-ACPL（合并）'!A44</f>
        <v>筹资活动现金流入小计</v>
      </c>
      <c r="B44" s="628">
        <f t="shared" ref="B44:B52" si="26">INDEX($E44:$P44,1,MATCH($B$4,$E$4:$P$4))</f>
        <v>3660000</v>
      </c>
      <c r="C44" s="628">
        <f t="shared" ref="C44:C52" ca="1" si="27">SUM($E44:OFFSET($E44,0,MATCH($C$4,$E$4:$P$4)-1))</f>
        <v>3660000</v>
      </c>
      <c r="D44" s="628"/>
      <c r="E44" s="628">
        <f t="shared" ref="E44:Q44" si="28">SUM(E45:E47)</f>
        <v>3660000</v>
      </c>
      <c r="F44" s="628">
        <f t="shared" si="28"/>
        <v>15000000</v>
      </c>
      <c r="G44" s="628">
        <f t="shared" si="28"/>
        <v>0</v>
      </c>
      <c r="H44" s="628">
        <f t="shared" si="28"/>
        <v>0</v>
      </c>
      <c r="I44" s="628">
        <f t="shared" si="28"/>
        <v>0</v>
      </c>
      <c r="J44" s="628">
        <f t="shared" si="28"/>
        <v>0</v>
      </c>
      <c r="K44" s="628">
        <f t="shared" si="28"/>
        <v>0</v>
      </c>
      <c r="L44" s="628">
        <f t="shared" si="28"/>
        <v>0</v>
      </c>
      <c r="M44" s="628">
        <f t="shared" si="28"/>
        <v>0</v>
      </c>
      <c r="N44" s="628">
        <f t="shared" si="28"/>
        <v>0</v>
      </c>
      <c r="O44" s="628">
        <f t="shared" si="28"/>
        <v>0</v>
      </c>
      <c r="P44" s="628">
        <f t="shared" si="28"/>
        <v>0</v>
      </c>
      <c r="Q44" s="628">
        <f t="shared" si="28"/>
        <v>18660000</v>
      </c>
      <c r="R44" s="623"/>
      <c r="S44" s="628">
        <f t="shared" ref="S44:AE44" si="29">SUM(S45:S47)</f>
        <v>0</v>
      </c>
      <c r="T44" s="628">
        <f t="shared" si="29"/>
        <v>0</v>
      </c>
      <c r="U44" s="628">
        <f t="shared" si="29"/>
        <v>0</v>
      </c>
      <c r="V44" s="628">
        <f t="shared" si="29"/>
        <v>0</v>
      </c>
      <c r="W44" s="628">
        <f t="shared" si="29"/>
        <v>0</v>
      </c>
      <c r="X44" s="628">
        <f t="shared" si="29"/>
        <v>0</v>
      </c>
      <c r="Y44" s="628">
        <f t="shared" si="29"/>
        <v>0</v>
      </c>
      <c r="Z44" s="628">
        <f t="shared" si="29"/>
        <v>0</v>
      </c>
      <c r="AA44" s="628">
        <f t="shared" si="29"/>
        <v>0</v>
      </c>
      <c r="AB44" s="628">
        <f t="shared" si="29"/>
        <v>0</v>
      </c>
      <c r="AC44" s="628">
        <f t="shared" si="29"/>
        <v>0</v>
      </c>
      <c r="AD44" s="628">
        <f t="shared" si="29"/>
        <v>0</v>
      </c>
      <c r="AE44" s="628">
        <f t="shared" si="29"/>
        <v>0</v>
      </c>
    </row>
    <row r="45" spans="1:31" ht="16.5" customHeight="1">
      <c r="A45" s="629" t="str">
        <f>'CF-ACPL（合并）'!A45</f>
        <v>吸收投资所收到的现金</v>
      </c>
      <c r="B45" s="623">
        <f t="shared" si="26"/>
        <v>3660000</v>
      </c>
      <c r="C45" s="626">
        <f t="shared" ca="1" si="27"/>
        <v>3660000</v>
      </c>
      <c r="D45" s="626"/>
      <c r="E45" s="626">
        <f>SUMIFS(cashflow汇总预算2026!$J:$J,cashflow汇总预算2026!$D:$D,E$4,cashflow汇总预算2026!$V:$V,$A45)</f>
        <v>3660000</v>
      </c>
      <c r="F45" s="626">
        <f>SUMIFS(cashflow汇总预算2026!$J:$J,cashflow汇总预算2026!$D:$D,F$4,cashflow汇总预算2026!$V:$V,$A45)</f>
        <v>0</v>
      </c>
      <c r="G45" s="626">
        <f>SUMIFS(cashflow汇总预算2026!$J:$J,cashflow汇总预算2026!$D:$D,G$4,cashflow汇总预算2026!$V:$V,$A45)</f>
        <v>0</v>
      </c>
      <c r="H45" s="626">
        <f>SUMIFS(cashflow汇总预算2026!$J:$J,cashflow汇总预算2026!$D:$D,H$4,cashflow汇总预算2026!$V:$V,$A45)</f>
        <v>0</v>
      </c>
      <c r="I45" s="626">
        <f>SUMIFS(cashflow汇总预算2026!$J:$J,cashflow汇总预算2026!$D:$D,I$4,cashflow汇总预算2026!$V:$V,$A45)</f>
        <v>0</v>
      </c>
      <c r="J45" s="626">
        <f>SUMIFS(cashflow汇总预算2026!$J:$J,cashflow汇总预算2026!$D:$D,J$4,cashflow汇总预算2026!$V:$V,$A45)</f>
        <v>0</v>
      </c>
      <c r="K45" s="626">
        <f>SUMIFS(cashflow汇总预算2026!$J:$J,cashflow汇总预算2026!$D:$D,K$4,cashflow汇总预算2026!$V:$V,$A45)</f>
        <v>0</v>
      </c>
      <c r="L45" s="626">
        <f>SUMIFS(cashflow汇总预算2026!$J:$J,cashflow汇总预算2026!$D:$D,L$4,cashflow汇总预算2026!$V:$V,$A45)</f>
        <v>0</v>
      </c>
      <c r="M45" s="626">
        <f>SUMIFS(cashflow汇总预算2026!$J:$J,cashflow汇总预算2026!$D:$D,M$4,cashflow汇总预算2026!$V:$V,$A45)</f>
        <v>0</v>
      </c>
      <c r="N45" s="626">
        <f>SUMIFS(cashflow汇总预算2026!$J:$J,cashflow汇总预算2026!$D:$D,N$4,cashflow汇总预算2026!$V:$V,$A45)</f>
        <v>0</v>
      </c>
      <c r="O45" s="626">
        <f>SUMIFS(cashflow汇总预算2026!$J:$J,cashflow汇总预算2026!$D:$D,O$4,cashflow汇总预算2026!$V:$V,$A45)</f>
        <v>0</v>
      </c>
      <c r="P45" s="626">
        <f>SUMIFS(cashflow汇总预算2026!$J:$J,cashflow汇总预算2026!$D:$D,P$4,cashflow汇总预算2026!$V:$V,$A45)</f>
        <v>0</v>
      </c>
      <c r="Q45" s="626">
        <f t="shared" ref="Q45:Q47" si="30">SUM(E45:P45)</f>
        <v>3660000</v>
      </c>
      <c r="R45" s="626"/>
      <c r="S45" s="630">
        <v>0</v>
      </c>
      <c r="T45" s="630">
        <v>0</v>
      </c>
      <c r="U45" s="630">
        <v>0</v>
      </c>
      <c r="V45" s="630">
        <v>0</v>
      </c>
      <c r="W45" s="630">
        <v>0</v>
      </c>
      <c r="X45" s="630">
        <v>0</v>
      </c>
      <c r="Y45" s="630">
        <v>0</v>
      </c>
      <c r="Z45" s="630">
        <v>0</v>
      </c>
      <c r="AA45" s="630">
        <v>0</v>
      </c>
      <c r="AB45" s="630">
        <v>0</v>
      </c>
      <c r="AC45" s="630">
        <v>0</v>
      </c>
      <c r="AD45" s="630">
        <v>0</v>
      </c>
      <c r="AE45" s="626">
        <f t="shared" ref="AE45:AE47" si="31">SUM(S45:AD45)</f>
        <v>0</v>
      </c>
    </row>
    <row r="46" spans="1:31" ht="16.5" customHeight="1">
      <c r="A46" s="629" t="str">
        <f>'CF-ACPL（合并）'!A46</f>
        <v>取得借款所收到的现金</v>
      </c>
      <c r="B46" s="623">
        <f t="shared" si="26"/>
        <v>0</v>
      </c>
      <c r="C46" s="626">
        <f t="shared" ca="1" si="27"/>
        <v>0</v>
      </c>
      <c r="D46" s="626"/>
      <c r="E46" s="626">
        <f>SUMIFS(cashflow汇总预算2026!$J:$J,cashflow汇总预算2026!$D:$D,E$4,cashflow汇总预算2026!$V:$V,$A46)</f>
        <v>0</v>
      </c>
      <c r="F46" s="626">
        <f>SUMIFS(cashflow汇总预算2026!$J:$J,cashflow汇总预算2026!$D:$D,F$4,cashflow汇总预算2026!$V:$V,$A46)</f>
        <v>15000000</v>
      </c>
      <c r="G46" s="626">
        <f>SUMIFS(cashflow汇总预算2026!$J:$J,cashflow汇总预算2026!$D:$D,G$4,cashflow汇总预算2026!$V:$V,$A46)</f>
        <v>0</v>
      </c>
      <c r="H46" s="626">
        <f>SUMIFS(cashflow汇总预算2026!$J:$J,cashflow汇总预算2026!$D:$D,H$4,cashflow汇总预算2026!$V:$V,$A46)</f>
        <v>0</v>
      </c>
      <c r="I46" s="626">
        <f>SUMIFS(cashflow汇总预算2026!$J:$J,cashflow汇总预算2026!$D:$D,I$4,cashflow汇总预算2026!$V:$V,$A46)</f>
        <v>0</v>
      </c>
      <c r="J46" s="626">
        <f>SUMIFS(cashflow汇总预算2026!$J:$J,cashflow汇总预算2026!$D:$D,J$4,cashflow汇总预算2026!$V:$V,$A46)</f>
        <v>0</v>
      </c>
      <c r="K46" s="626">
        <f>SUMIFS(cashflow汇总预算2026!$J:$J,cashflow汇总预算2026!$D:$D,K$4,cashflow汇总预算2026!$V:$V,$A46)</f>
        <v>0</v>
      </c>
      <c r="L46" s="626">
        <f>SUMIFS(cashflow汇总预算2026!$J:$J,cashflow汇总预算2026!$D:$D,L$4,cashflow汇总预算2026!$V:$V,$A46)</f>
        <v>0</v>
      </c>
      <c r="M46" s="626">
        <f>SUMIFS(cashflow汇总预算2026!$J:$J,cashflow汇总预算2026!$D:$D,M$4,cashflow汇总预算2026!$V:$V,$A46)</f>
        <v>0</v>
      </c>
      <c r="N46" s="626">
        <f>SUMIFS(cashflow汇总预算2026!$J:$J,cashflow汇总预算2026!$D:$D,N$4,cashflow汇总预算2026!$V:$V,$A46)</f>
        <v>0</v>
      </c>
      <c r="O46" s="626">
        <f>SUMIFS(cashflow汇总预算2026!$J:$J,cashflow汇总预算2026!$D:$D,O$4,cashflow汇总预算2026!$V:$V,$A46)</f>
        <v>0</v>
      </c>
      <c r="P46" s="626">
        <f>SUMIFS(cashflow汇总预算2026!$J:$J,cashflow汇总预算2026!$D:$D,P$4,cashflow汇总预算2026!$V:$V,$A46)</f>
        <v>0</v>
      </c>
      <c r="Q46" s="626">
        <f t="shared" si="30"/>
        <v>15000000</v>
      </c>
      <c r="R46" s="626"/>
      <c r="S46" s="630">
        <v>0</v>
      </c>
      <c r="T46" s="630">
        <v>0</v>
      </c>
      <c r="U46" s="630">
        <v>0</v>
      </c>
      <c r="V46" s="630">
        <v>0</v>
      </c>
      <c r="W46" s="630">
        <v>0</v>
      </c>
      <c r="X46" s="630">
        <v>0</v>
      </c>
      <c r="Y46" s="630">
        <v>0</v>
      </c>
      <c r="Z46" s="630">
        <v>0</v>
      </c>
      <c r="AA46" s="630">
        <v>0</v>
      </c>
      <c r="AB46" s="630">
        <v>0</v>
      </c>
      <c r="AC46" s="630">
        <v>0</v>
      </c>
      <c r="AD46" s="630">
        <v>0</v>
      </c>
      <c r="AE46" s="626">
        <f t="shared" si="31"/>
        <v>0</v>
      </c>
    </row>
    <row r="47" spans="1:31" ht="16.5" customHeight="1">
      <c r="A47" s="629" t="str">
        <f>'CF-ACPL（合并）'!A47</f>
        <v>收到的其他与筹资活动有关的现金</v>
      </c>
      <c r="B47" s="623">
        <f t="shared" si="26"/>
        <v>0</v>
      </c>
      <c r="C47" s="626">
        <f t="shared" ca="1" si="27"/>
        <v>0</v>
      </c>
      <c r="D47" s="626"/>
      <c r="E47" s="626">
        <f>SUMIFS(cashflow汇总预算2026!$J:$J,cashflow汇总预算2026!$D:$D,E$4,cashflow汇总预算2026!$V:$V,$A47)</f>
        <v>0</v>
      </c>
      <c r="F47" s="626">
        <f>SUMIFS(cashflow汇总预算2026!$J:$J,cashflow汇总预算2026!$D:$D,F$4,cashflow汇总预算2026!$V:$V,$A47)</f>
        <v>0</v>
      </c>
      <c r="G47" s="626">
        <f>SUMIFS(cashflow汇总预算2026!$J:$J,cashflow汇总预算2026!$D:$D,G$4,cashflow汇总预算2026!$V:$V,$A47)</f>
        <v>0</v>
      </c>
      <c r="H47" s="626">
        <f>SUMIFS(cashflow汇总预算2026!$J:$J,cashflow汇总预算2026!$D:$D,H$4,cashflow汇总预算2026!$V:$V,$A47)</f>
        <v>0</v>
      </c>
      <c r="I47" s="626">
        <f>SUMIFS(cashflow汇总预算2026!$J:$J,cashflow汇总预算2026!$D:$D,I$4,cashflow汇总预算2026!$V:$V,$A47)</f>
        <v>0</v>
      </c>
      <c r="J47" s="626">
        <f>SUMIFS(cashflow汇总预算2026!$J:$J,cashflow汇总预算2026!$D:$D,J$4,cashflow汇总预算2026!$V:$V,$A47)</f>
        <v>0</v>
      </c>
      <c r="K47" s="626">
        <f>SUMIFS(cashflow汇总预算2026!$J:$J,cashflow汇总预算2026!$D:$D,K$4,cashflow汇总预算2026!$V:$V,$A47)</f>
        <v>0</v>
      </c>
      <c r="L47" s="626">
        <f>SUMIFS(cashflow汇总预算2026!$J:$J,cashflow汇总预算2026!$D:$D,L$4,cashflow汇总预算2026!$V:$V,$A47)</f>
        <v>0</v>
      </c>
      <c r="M47" s="626">
        <f>SUMIFS(cashflow汇总预算2026!$J:$J,cashflow汇总预算2026!$D:$D,M$4,cashflow汇总预算2026!$V:$V,$A47)</f>
        <v>0</v>
      </c>
      <c r="N47" s="626">
        <f>SUMIFS(cashflow汇总预算2026!$J:$J,cashflow汇总预算2026!$D:$D,N$4,cashflow汇总预算2026!$V:$V,$A47)</f>
        <v>0</v>
      </c>
      <c r="O47" s="626">
        <f>SUMIFS(cashflow汇总预算2026!$J:$J,cashflow汇总预算2026!$D:$D,O$4,cashflow汇总预算2026!$V:$V,$A47)</f>
        <v>0</v>
      </c>
      <c r="P47" s="626">
        <f>SUMIFS(cashflow汇总预算2026!$J:$J,cashflow汇总预算2026!$D:$D,P$4,cashflow汇总预算2026!$V:$V,$A47)</f>
        <v>0</v>
      </c>
      <c r="Q47" s="626">
        <f t="shared" si="30"/>
        <v>0</v>
      </c>
      <c r="R47" s="626"/>
      <c r="S47" s="630">
        <v>0</v>
      </c>
      <c r="T47" s="630">
        <v>0</v>
      </c>
      <c r="U47" s="630">
        <v>0</v>
      </c>
      <c r="V47" s="630">
        <v>0</v>
      </c>
      <c r="W47" s="630">
        <v>0</v>
      </c>
      <c r="X47" s="630">
        <v>0</v>
      </c>
      <c r="Y47" s="630">
        <v>0</v>
      </c>
      <c r="Z47" s="630">
        <v>0</v>
      </c>
      <c r="AA47" s="630">
        <v>0</v>
      </c>
      <c r="AB47" s="630">
        <v>0</v>
      </c>
      <c r="AC47" s="630">
        <v>0</v>
      </c>
      <c r="AD47" s="630">
        <v>0</v>
      </c>
      <c r="AE47" s="626">
        <f t="shared" si="31"/>
        <v>0</v>
      </c>
    </row>
    <row r="48" spans="1:31" s="605" customFormat="1" ht="16.5" customHeight="1">
      <c r="A48" s="635" t="str">
        <f>'CF-ACPL（合并）'!A48</f>
        <v>筹资活动现金流出小计</v>
      </c>
      <c r="B48" s="636">
        <f t="shared" si="26"/>
        <v>-3649364.38</v>
      </c>
      <c r="C48" s="636">
        <f t="shared" ca="1" si="27"/>
        <v>-3649364.38</v>
      </c>
      <c r="D48" s="636"/>
      <c r="E48" s="636">
        <f t="shared" ref="E48:Q48" si="32">SUM(E49:E51)</f>
        <v>-3649364.38</v>
      </c>
      <c r="F48" s="636">
        <f t="shared" si="32"/>
        <v>-15000000</v>
      </c>
      <c r="G48" s="636">
        <f t="shared" si="32"/>
        <v>0</v>
      </c>
      <c r="H48" s="636">
        <f t="shared" si="32"/>
        <v>-43500000</v>
      </c>
      <c r="I48" s="636">
        <f t="shared" si="32"/>
        <v>0</v>
      </c>
      <c r="J48" s="636">
        <f t="shared" si="32"/>
        <v>0</v>
      </c>
      <c r="K48" s="636">
        <f t="shared" si="32"/>
        <v>0</v>
      </c>
      <c r="L48" s="636">
        <f t="shared" si="32"/>
        <v>0</v>
      </c>
      <c r="M48" s="636">
        <f t="shared" si="32"/>
        <v>0</v>
      </c>
      <c r="N48" s="636">
        <f t="shared" si="32"/>
        <v>0</v>
      </c>
      <c r="O48" s="636">
        <f t="shared" si="32"/>
        <v>0</v>
      </c>
      <c r="P48" s="636">
        <f t="shared" si="32"/>
        <v>0</v>
      </c>
      <c r="Q48" s="636">
        <f t="shared" si="32"/>
        <v>-62149364.380000003</v>
      </c>
      <c r="R48" s="623"/>
      <c r="S48" s="636">
        <f t="shared" ref="S48:AE48" si="33">SUM(S49:S51)</f>
        <v>0</v>
      </c>
      <c r="T48" s="636">
        <f t="shared" si="33"/>
        <v>0</v>
      </c>
      <c r="U48" s="636">
        <f t="shared" si="33"/>
        <v>0</v>
      </c>
      <c r="V48" s="636">
        <f t="shared" si="33"/>
        <v>0</v>
      </c>
      <c r="W48" s="636">
        <f t="shared" si="33"/>
        <v>0</v>
      </c>
      <c r="X48" s="636">
        <f t="shared" si="33"/>
        <v>0</v>
      </c>
      <c r="Y48" s="636">
        <f t="shared" si="33"/>
        <v>0</v>
      </c>
      <c r="Z48" s="636">
        <f t="shared" si="33"/>
        <v>0</v>
      </c>
      <c r="AA48" s="636">
        <f t="shared" si="33"/>
        <v>0</v>
      </c>
      <c r="AB48" s="636">
        <f t="shared" si="33"/>
        <v>0</v>
      </c>
      <c r="AC48" s="636">
        <f t="shared" si="33"/>
        <v>0</v>
      </c>
      <c r="AD48" s="636">
        <f t="shared" si="33"/>
        <v>0</v>
      </c>
      <c r="AE48" s="636">
        <f t="shared" si="33"/>
        <v>0</v>
      </c>
    </row>
    <row r="49" spans="1:33" ht="16.5" customHeight="1">
      <c r="A49" s="629" t="str">
        <f>'CF-ACPL（合并）'!A49</f>
        <v>偿还债务所支付的现金</v>
      </c>
      <c r="B49" s="623">
        <f t="shared" si="26"/>
        <v>-3649364.38</v>
      </c>
      <c r="C49" s="626">
        <f t="shared" ca="1" si="27"/>
        <v>-3649364.38</v>
      </c>
      <c r="D49" s="626"/>
      <c r="E49" s="626">
        <f>SUMIFS(cashflow汇总预算2026!$J:$J,cashflow汇总预算2026!$D:$D,E$4,cashflow汇总预算2026!$V:$V,$A49)</f>
        <v>-3649364.38</v>
      </c>
      <c r="F49" s="626">
        <f>SUMIFS(cashflow汇总预算2026!$J:$J,cashflow汇总预算2026!$D:$D,F$4,cashflow汇总预算2026!$V:$V,$A49)</f>
        <v>0</v>
      </c>
      <c r="G49" s="626">
        <f>SUMIFS(cashflow汇总预算2026!$J:$J,cashflow汇总预算2026!$D:$D,G$4,cashflow汇总预算2026!$V:$V,$A49)</f>
        <v>0</v>
      </c>
      <c r="H49" s="626">
        <f>SUMIFS(cashflow汇总预算2026!$J:$J,cashflow汇总预算2026!$D:$D,H$4,cashflow汇总预算2026!$V:$V,$A49)</f>
        <v>-35050000</v>
      </c>
      <c r="I49" s="626">
        <f>SUMIFS(cashflow汇总预算2026!$J:$J,cashflow汇总预算2026!$D:$D,I$4,cashflow汇总预算2026!$V:$V,$A49)</f>
        <v>0</v>
      </c>
      <c r="J49" s="626">
        <f>SUMIFS(cashflow汇总预算2026!$J:$J,cashflow汇总预算2026!$D:$D,J$4,cashflow汇总预算2026!$V:$V,$A49)</f>
        <v>0</v>
      </c>
      <c r="K49" s="626">
        <f>SUMIFS(cashflow汇总预算2026!$J:$J,cashflow汇总预算2026!$D:$D,K$4,cashflow汇总预算2026!$V:$V,$A49)</f>
        <v>0</v>
      </c>
      <c r="L49" s="626">
        <f>SUMIFS(cashflow汇总预算2026!$J:$J,cashflow汇总预算2026!$D:$D,L$4,cashflow汇总预算2026!$V:$V,$A49)</f>
        <v>0</v>
      </c>
      <c r="M49" s="626">
        <f>SUMIFS(cashflow汇总预算2026!$J:$J,cashflow汇总预算2026!$D:$D,M$4,cashflow汇总预算2026!$V:$V,$A49)</f>
        <v>0</v>
      </c>
      <c r="N49" s="626">
        <f>SUMIFS(cashflow汇总预算2026!$J:$J,cashflow汇总预算2026!$D:$D,N$4,cashflow汇总预算2026!$V:$V,$A49)</f>
        <v>0</v>
      </c>
      <c r="O49" s="626">
        <f>SUMIFS(cashflow汇总预算2026!$J:$J,cashflow汇总预算2026!$D:$D,O$4,cashflow汇总预算2026!$V:$V,$A49)</f>
        <v>0</v>
      </c>
      <c r="P49" s="626">
        <f>SUMIFS(cashflow汇总预算2026!$J:$J,cashflow汇总预算2026!$D:$D,P$4,cashflow汇总预算2026!$V:$V,$A49)</f>
        <v>0</v>
      </c>
      <c r="Q49" s="626">
        <f t="shared" ref="Q49:Q51" si="34">SUM(E49:P49)</f>
        <v>-38699364.380000003</v>
      </c>
      <c r="R49" s="626"/>
      <c r="S49" s="626"/>
      <c r="T49" s="626"/>
      <c r="U49" s="626"/>
      <c r="V49" s="626"/>
      <c r="W49" s="626"/>
      <c r="X49" s="626"/>
      <c r="Y49" s="626"/>
      <c r="Z49" s="626"/>
      <c r="AA49" s="626"/>
      <c r="AB49" s="626"/>
      <c r="AC49" s="626"/>
      <c r="AD49" s="626"/>
      <c r="AE49" s="626">
        <f t="shared" ref="AE49:AE51" si="35">SUM(S49:AD49)</f>
        <v>0</v>
      </c>
    </row>
    <row r="50" spans="1:33" ht="15" customHeight="1">
      <c r="A50" s="629" t="str">
        <f>'CF-ACPL（合并）'!A50</f>
        <v>分配股利、利润或偿付利息支付的现金</v>
      </c>
      <c r="B50" s="623">
        <f t="shared" si="26"/>
        <v>0</v>
      </c>
      <c r="C50" s="626">
        <f t="shared" ca="1" si="27"/>
        <v>0</v>
      </c>
      <c r="D50" s="626"/>
      <c r="E50" s="626">
        <f>SUMIFS(cashflow汇总预算2026!$J:$J,cashflow汇总预算2026!$D:$D,E$4,cashflow汇总预算2026!$V:$V,$A50)</f>
        <v>0</v>
      </c>
      <c r="F50" s="626">
        <f>SUMIFS(cashflow汇总预算2026!$J:$J,cashflow汇总预算2026!$D:$D,F$4,cashflow汇总预算2026!$V:$V,$A50)</f>
        <v>0</v>
      </c>
      <c r="G50" s="626">
        <f>SUMIFS(cashflow汇总预算2026!$J:$J,cashflow汇总预算2026!$D:$D,G$4,cashflow汇总预算2026!$V:$V,$A50)</f>
        <v>0</v>
      </c>
      <c r="H50" s="626">
        <f>SUMIFS(cashflow汇总预算2026!$J:$J,cashflow汇总预算2026!$D:$D,H$4,cashflow汇总预算2026!$V:$V,$A50)</f>
        <v>0</v>
      </c>
      <c r="I50" s="626">
        <f>SUMIFS(cashflow汇总预算2026!$J:$J,cashflow汇总预算2026!$D:$D,I$4,cashflow汇总预算2026!$V:$V,$A50)</f>
        <v>0</v>
      </c>
      <c r="J50" s="626">
        <f>SUMIFS(cashflow汇总预算2026!$J:$J,cashflow汇总预算2026!$D:$D,J$4,cashflow汇总预算2026!$V:$V,$A50)</f>
        <v>0</v>
      </c>
      <c r="K50" s="626">
        <f>SUMIFS(cashflow汇总预算2026!$J:$J,cashflow汇总预算2026!$D:$D,K$4,cashflow汇总预算2026!$V:$V,$A50)</f>
        <v>0</v>
      </c>
      <c r="L50" s="626">
        <f>SUMIFS(cashflow汇总预算2026!$J:$J,cashflow汇总预算2026!$D:$D,L$4,cashflow汇总预算2026!$V:$V,$A50)</f>
        <v>0</v>
      </c>
      <c r="M50" s="626">
        <f>SUMIFS(cashflow汇总预算2026!$J:$J,cashflow汇总预算2026!$D:$D,M$4,cashflow汇总预算2026!$V:$V,$A50)</f>
        <v>0</v>
      </c>
      <c r="N50" s="626">
        <f>SUMIFS(cashflow汇总预算2026!$J:$J,cashflow汇总预算2026!$D:$D,N$4,cashflow汇总预算2026!$V:$V,$A50)</f>
        <v>0</v>
      </c>
      <c r="O50" s="626">
        <f>SUMIFS(cashflow汇总预算2026!$J:$J,cashflow汇总预算2026!$D:$D,O$4,cashflow汇总预算2026!$V:$V,$A50)</f>
        <v>0</v>
      </c>
      <c r="P50" s="626">
        <f>SUMIFS(cashflow汇总预算2026!$J:$J,cashflow汇总预算2026!$D:$D,P$4,cashflow汇总预算2026!$V:$V,$A50)</f>
        <v>0</v>
      </c>
      <c r="Q50" s="626">
        <f t="shared" si="34"/>
        <v>0</v>
      </c>
      <c r="R50" s="626"/>
      <c r="S50" s="626"/>
      <c r="T50" s="626"/>
      <c r="U50" s="626"/>
      <c r="V50" s="626"/>
      <c r="W50" s="626"/>
      <c r="X50" s="626"/>
      <c r="Y50" s="626"/>
      <c r="Z50" s="626"/>
      <c r="AA50" s="626"/>
      <c r="AB50" s="626"/>
      <c r="AC50" s="626"/>
      <c r="AD50" s="626"/>
      <c r="AE50" s="626">
        <f t="shared" si="35"/>
        <v>0</v>
      </c>
    </row>
    <row r="51" spans="1:33" ht="16.5" customHeight="1">
      <c r="A51" s="629" t="str">
        <f>'CF-ACPL（合并）'!A51</f>
        <v>支付的其他与筹资活动有关的现金</v>
      </c>
      <c r="B51" s="623">
        <f t="shared" si="26"/>
        <v>0</v>
      </c>
      <c r="C51" s="626">
        <f t="shared" ca="1" si="27"/>
        <v>0</v>
      </c>
      <c r="D51" s="626"/>
      <c r="E51" s="626">
        <f>SUMIFS(cashflow汇总预算2026!$J:$J,cashflow汇总预算2026!$D:$D,E$4,cashflow汇总预算2026!$V:$V,$A51)</f>
        <v>0</v>
      </c>
      <c r="F51" s="626">
        <f>SUMIFS(cashflow汇总预算2026!$J:$J,cashflow汇总预算2026!$D:$D,F$4,cashflow汇总预算2026!$V:$V,$A51)</f>
        <v>-15000000</v>
      </c>
      <c r="G51" s="626">
        <f>SUMIFS(cashflow汇总预算2026!$J:$J,cashflow汇总预算2026!$D:$D,G$4,cashflow汇总预算2026!$V:$V,$A51)</f>
        <v>0</v>
      </c>
      <c r="H51" s="626">
        <f>SUMIFS(cashflow汇总预算2026!$J:$J,cashflow汇总预算2026!$D:$D,H$4,cashflow汇总预算2026!$V:$V,$A51)</f>
        <v>-8450000</v>
      </c>
      <c r="I51" s="626">
        <f>SUMIFS(cashflow汇总预算2026!$J:$J,cashflow汇总预算2026!$D:$D,I$4,cashflow汇总预算2026!$V:$V,$A51)</f>
        <v>0</v>
      </c>
      <c r="J51" s="626">
        <f>SUMIFS(cashflow汇总预算2026!$J:$J,cashflow汇总预算2026!$D:$D,J$4,cashflow汇总预算2026!$V:$V,$A51)</f>
        <v>0</v>
      </c>
      <c r="K51" s="626">
        <f>SUMIFS(cashflow汇总预算2026!$J:$J,cashflow汇总预算2026!$D:$D,K$4,cashflow汇总预算2026!$V:$V,$A51)</f>
        <v>0</v>
      </c>
      <c r="L51" s="626">
        <f>SUMIFS(cashflow汇总预算2026!$J:$J,cashflow汇总预算2026!$D:$D,L$4,cashflow汇总预算2026!$V:$V,$A51)</f>
        <v>0</v>
      </c>
      <c r="M51" s="626">
        <f>SUMIFS(cashflow汇总预算2026!$J:$J,cashflow汇总预算2026!$D:$D,M$4,cashflow汇总预算2026!$V:$V,$A51)</f>
        <v>0</v>
      </c>
      <c r="N51" s="626">
        <f>SUMIFS(cashflow汇总预算2026!$J:$J,cashflow汇总预算2026!$D:$D,N$4,cashflow汇总预算2026!$V:$V,$A51)</f>
        <v>0</v>
      </c>
      <c r="O51" s="626">
        <f>SUMIFS(cashflow汇总预算2026!$J:$J,cashflow汇总预算2026!$D:$D,O$4,cashflow汇总预算2026!$V:$V,$A51)</f>
        <v>0</v>
      </c>
      <c r="P51" s="626">
        <f>SUMIFS(cashflow汇总预算2026!$J:$J,cashflow汇总预算2026!$D:$D,P$4,cashflow汇总预算2026!$V:$V,$A51)</f>
        <v>0</v>
      </c>
      <c r="Q51" s="626">
        <f t="shared" si="34"/>
        <v>-23450000</v>
      </c>
      <c r="R51" s="626"/>
      <c r="S51" s="626"/>
      <c r="T51" s="626"/>
      <c r="U51" s="626"/>
      <c r="V51" s="626"/>
      <c r="W51" s="626"/>
      <c r="X51" s="626"/>
      <c r="Y51" s="626"/>
      <c r="Z51" s="626"/>
      <c r="AA51" s="626"/>
      <c r="AB51" s="626"/>
      <c r="AC51" s="626"/>
      <c r="AD51" s="626"/>
      <c r="AE51" s="626">
        <f t="shared" si="35"/>
        <v>0</v>
      </c>
    </row>
    <row r="52" spans="1:33" s="606" customFormat="1" ht="16.5" customHeight="1">
      <c r="A52" s="606" t="str">
        <f>'CF-ACPL（合并）'!A52</f>
        <v>筹资活动产生的现金流量净额</v>
      </c>
      <c r="B52" s="634">
        <f t="shared" si="26"/>
        <v>10635.620000000112</v>
      </c>
      <c r="C52" s="634">
        <f t="shared" ca="1" si="27"/>
        <v>10635.620000000112</v>
      </c>
      <c r="D52" s="634"/>
      <c r="E52" s="634">
        <f>E44+E48</f>
        <v>10635.620000000112</v>
      </c>
      <c r="F52" s="634">
        <f t="shared" ref="F52:Q52" si="36">F44+F48</f>
        <v>0</v>
      </c>
      <c r="G52" s="634">
        <f t="shared" si="36"/>
        <v>0</v>
      </c>
      <c r="H52" s="634">
        <f t="shared" si="36"/>
        <v>-43500000</v>
      </c>
      <c r="I52" s="634">
        <f t="shared" si="36"/>
        <v>0</v>
      </c>
      <c r="J52" s="634">
        <f t="shared" si="36"/>
        <v>0</v>
      </c>
      <c r="K52" s="634">
        <f t="shared" si="36"/>
        <v>0</v>
      </c>
      <c r="L52" s="634">
        <f t="shared" si="36"/>
        <v>0</v>
      </c>
      <c r="M52" s="634">
        <f t="shared" si="36"/>
        <v>0</v>
      </c>
      <c r="N52" s="634">
        <f t="shared" si="36"/>
        <v>0</v>
      </c>
      <c r="O52" s="634">
        <f t="shared" si="36"/>
        <v>0</v>
      </c>
      <c r="P52" s="634">
        <f t="shared" si="36"/>
        <v>0</v>
      </c>
      <c r="Q52" s="634">
        <f t="shared" si="36"/>
        <v>-43489364.380000003</v>
      </c>
      <c r="R52" s="637"/>
      <c r="S52" s="634">
        <f t="shared" ref="S52:AE52" si="37">S44-S48</f>
        <v>0</v>
      </c>
      <c r="T52" s="634">
        <f t="shared" si="37"/>
        <v>0</v>
      </c>
      <c r="U52" s="634">
        <f t="shared" si="37"/>
        <v>0</v>
      </c>
      <c r="V52" s="634">
        <f t="shared" si="37"/>
        <v>0</v>
      </c>
      <c r="W52" s="634">
        <f t="shared" si="37"/>
        <v>0</v>
      </c>
      <c r="X52" s="634">
        <f t="shared" si="37"/>
        <v>0</v>
      </c>
      <c r="Y52" s="634">
        <f t="shared" si="37"/>
        <v>0</v>
      </c>
      <c r="Z52" s="634">
        <f t="shared" si="37"/>
        <v>0</v>
      </c>
      <c r="AA52" s="634">
        <f t="shared" si="37"/>
        <v>0</v>
      </c>
      <c r="AB52" s="634">
        <f t="shared" si="37"/>
        <v>0</v>
      </c>
      <c r="AC52" s="634">
        <f t="shared" si="37"/>
        <v>0</v>
      </c>
      <c r="AD52" s="634">
        <f t="shared" si="37"/>
        <v>0</v>
      </c>
      <c r="AE52" s="634">
        <f t="shared" si="37"/>
        <v>0</v>
      </c>
      <c r="AF52" s="638"/>
      <c r="AG52" s="639"/>
    </row>
    <row r="53" spans="1:33" ht="16.5" customHeight="1">
      <c r="B53" s="625"/>
      <c r="C53" s="625"/>
      <c r="D53" s="625"/>
      <c r="E53" s="626"/>
      <c r="F53" s="626"/>
      <c r="G53" s="626"/>
      <c r="H53" s="626"/>
      <c r="I53" s="626"/>
      <c r="J53" s="626"/>
      <c r="K53" s="626"/>
      <c r="L53" s="626"/>
      <c r="M53" s="626"/>
      <c r="N53" s="626"/>
      <c r="O53" s="626"/>
      <c r="P53" s="626"/>
      <c r="Q53" s="626"/>
      <c r="R53" s="626"/>
      <c r="S53" s="626"/>
      <c r="T53" s="626"/>
      <c r="U53" s="626"/>
      <c r="V53" s="626"/>
      <c r="W53" s="626"/>
      <c r="X53" s="626"/>
      <c r="Y53" s="626"/>
      <c r="Z53" s="626"/>
      <c r="AA53" s="626"/>
      <c r="AB53" s="626"/>
      <c r="AC53" s="626"/>
      <c r="AD53" s="626"/>
      <c r="AE53" s="626"/>
    </row>
    <row r="54" spans="1:33" s="607" customFormat="1" ht="16.5" customHeight="1">
      <c r="A54" s="607" t="str">
        <f>'CF-ACPL（合并）'!A54</f>
        <v>汇率变动对现金的影响额</v>
      </c>
      <c r="B54" s="634">
        <f t="shared" ref="B54:B58" si="38">INDEX($E54:$P54,1,MATCH($B$4,$E$4:$P$4))</f>
        <v>0</v>
      </c>
      <c r="C54" s="634">
        <f t="shared" ref="C54:C58" ca="1" si="39">SUM($E54:OFFSET($E54,0,MATCH($C$4,$E$4:$P$4)-1))</f>
        <v>0</v>
      </c>
      <c r="D54" s="634"/>
      <c r="E54" s="640"/>
      <c r="F54" s="640"/>
      <c r="G54" s="640"/>
      <c r="H54" s="640"/>
      <c r="I54" s="640"/>
      <c r="J54" s="640"/>
      <c r="K54" s="640"/>
      <c r="L54" s="640"/>
      <c r="M54" s="640"/>
      <c r="N54" s="640"/>
      <c r="O54" s="640"/>
      <c r="P54" s="640"/>
      <c r="Q54" s="640"/>
      <c r="R54" s="626"/>
      <c r="S54" s="640"/>
      <c r="T54" s="640"/>
      <c r="U54" s="640"/>
      <c r="V54" s="640"/>
      <c r="W54" s="640"/>
      <c r="X54" s="640"/>
      <c r="Y54" s="640"/>
      <c r="Z54" s="640"/>
      <c r="AA54" s="640"/>
      <c r="AB54" s="640"/>
      <c r="AC54" s="640"/>
      <c r="AD54" s="640"/>
      <c r="AE54" s="640"/>
    </row>
    <row r="55" spans="1:33" ht="16.5" customHeight="1">
      <c r="B55" s="625"/>
      <c r="C55" s="625"/>
      <c r="D55" s="625"/>
      <c r="E55" s="626"/>
      <c r="F55" s="626"/>
      <c r="G55" s="626"/>
      <c r="H55" s="626"/>
      <c r="I55" s="626"/>
      <c r="J55" s="626"/>
      <c r="K55" s="626"/>
      <c r="L55" s="626"/>
      <c r="M55" s="626"/>
      <c r="N55" s="626"/>
      <c r="O55" s="626"/>
      <c r="P55" s="626"/>
      <c r="Q55" s="626"/>
      <c r="R55" s="626"/>
      <c r="S55" s="626"/>
      <c r="T55" s="626"/>
      <c r="U55" s="626"/>
      <c r="V55" s="626"/>
      <c r="W55" s="626"/>
      <c r="X55" s="626"/>
      <c r="Y55" s="626"/>
      <c r="Z55" s="626"/>
      <c r="AA55" s="626"/>
      <c r="AB55" s="626"/>
      <c r="AC55" s="626"/>
      <c r="AD55" s="626"/>
      <c r="AE55" s="626"/>
    </row>
    <row r="56" spans="1:33" s="608" customFormat="1" ht="16.5" customHeight="1">
      <c r="A56" s="608" t="str">
        <f>'CF-ACPL（合并）'!A56</f>
        <v>现金及现金等价物净增加额</v>
      </c>
      <c r="B56" s="634">
        <f t="shared" si="38"/>
        <v>10552.286666666778</v>
      </c>
      <c r="C56" s="634">
        <f t="shared" ca="1" si="39"/>
        <v>10552.286666666778</v>
      </c>
      <c r="D56" s="634"/>
      <c r="E56" s="622">
        <f t="shared" ref="E56:Q56" si="40">SUM(E29,E42,E52,E54)</f>
        <v>10552.286666666778</v>
      </c>
      <c r="F56" s="622">
        <f t="shared" si="40"/>
        <v>-83.333333333333329</v>
      </c>
      <c r="G56" s="622">
        <f t="shared" si="40"/>
        <v>-83.333333333333329</v>
      </c>
      <c r="H56" s="622">
        <f t="shared" si="40"/>
        <v>-83.33333333581686</v>
      </c>
      <c r="I56" s="622">
        <f t="shared" si="40"/>
        <v>-83.333333333333329</v>
      </c>
      <c r="J56" s="622">
        <f t="shared" si="40"/>
        <v>-17083.333333333332</v>
      </c>
      <c r="K56" s="622">
        <f t="shared" si="40"/>
        <v>-83.333333333333329</v>
      </c>
      <c r="L56" s="622">
        <f t="shared" si="40"/>
        <v>-83.333333333333329</v>
      </c>
      <c r="M56" s="622">
        <f t="shared" si="40"/>
        <v>-83.333333333333329</v>
      </c>
      <c r="N56" s="622">
        <f t="shared" si="40"/>
        <v>-83.333333333333329</v>
      </c>
      <c r="O56" s="622">
        <f t="shared" si="40"/>
        <v>-83.333333333333329</v>
      </c>
      <c r="P56" s="622">
        <f t="shared" si="40"/>
        <v>-3083.3333333333335</v>
      </c>
      <c r="Q56" s="622">
        <f t="shared" si="40"/>
        <v>-10364.380000002682</v>
      </c>
      <c r="R56" s="623"/>
      <c r="S56" s="622">
        <f t="shared" ref="S56:AE56" si="41">SUM(S29,S42,S52,S54)</f>
        <v>0</v>
      </c>
      <c r="T56" s="622">
        <f t="shared" si="41"/>
        <v>0</v>
      </c>
      <c r="U56" s="622">
        <f t="shared" si="41"/>
        <v>0</v>
      </c>
      <c r="V56" s="622">
        <f t="shared" si="41"/>
        <v>0</v>
      </c>
      <c r="W56" s="622">
        <f t="shared" si="41"/>
        <v>0</v>
      </c>
      <c r="X56" s="622">
        <f t="shared" si="41"/>
        <v>0</v>
      </c>
      <c r="Y56" s="622">
        <f t="shared" si="41"/>
        <v>0</v>
      </c>
      <c r="Z56" s="622">
        <f t="shared" si="41"/>
        <v>0</v>
      </c>
      <c r="AA56" s="622">
        <f t="shared" si="41"/>
        <v>0</v>
      </c>
      <c r="AB56" s="622">
        <f t="shared" si="41"/>
        <v>0</v>
      </c>
      <c r="AC56" s="622">
        <f t="shared" si="41"/>
        <v>0</v>
      </c>
      <c r="AD56" s="622">
        <f t="shared" si="41"/>
        <v>0</v>
      </c>
      <c r="AE56" s="622">
        <f t="shared" si="41"/>
        <v>0</v>
      </c>
    </row>
    <row r="57" spans="1:33" ht="16.5" customHeight="1">
      <c r="B57" s="625"/>
      <c r="C57" s="625"/>
      <c r="D57" s="625"/>
      <c r="E57" s="626"/>
      <c r="F57" s="626"/>
      <c r="G57" s="626"/>
      <c r="H57" s="626"/>
      <c r="I57" s="626"/>
      <c r="J57" s="626"/>
      <c r="K57" s="626"/>
      <c r="L57" s="626"/>
      <c r="M57" s="626"/>
      <c r="N57" s="626"/>
      <c r="O57" s="626"/>
      <c r="P57" s="626"/>
      <c r="Q57" s="626"/>
      <c r="R57" s="626"/>
      <c r="S57" s="626"/>
      <c r="T57" s="626"/>
      <c r="U57" s="626"/>
      <c r="V57" s="626"/>
      <c r="W57" s="626"/>
      <c r="X57" s="626"/>
      <c r="Y57" s="626"/>
      <c r="Z57" s="626"/>
      <c r="AA57" s="626"/>
      <c r="AB57" s="626"/>
      <c r="AC57" s="626"/>
      <c r="AD57" s="626"/>
      <c r="AE57" s="626"/>
    </row>
    <row r="58" spans="1:33" s="608" customFormat="1" ht="16.5" customHeight="1">
      <c r="A58" s="608" t="str">
        <f>'CF-ACPL（合并）'!A58</f>
        <v>期末现金及现金等价物余额</v>
      </c>
      <c r="B58" s="634">
        <f t="shared" si="38"/>
        <v>67997.286666666783</v>
      </c>
      <c r="C58" s="634">
        <f t="shared" ca="1" si="39"/>
        <v>67997.286666666783</v>
      </c>
      <c r="D58" s="634"/>
      <c r="E58" s="622">
        <f t="shared" ref="E58:Q58" si="42">E10+E56</f>
        <v>67997.286666666783</v>
      </c>
      <c r="F58" s="622">
        <f t="shared" si="42"/>
        <v>67913.953333333455</v>
      </c>
      <c r="G58" s="622">
        <f t="shared" si="42"/>
        <v>67830.620000000126</v>
      </c>
      <c r="H58" s="622">
        <f t="shared" si="42"/>
        <v>67747.286666664309</v>
      </c>
      <c r="I58" s="622">
        <f t="shared" si="42"/>
        <v>67663.953333330981</v>
      </c>
      <c r="J58" s="622">
        <f t="shared" si="42"/>
        <v>50580.619999997652</v>
      </c>
      <c r="K58" s="622">
        <f t="shared" si="42"/>
        <v>50497.286666664317</v>
      </c>
      <c r="L58" s="622">
        <f t="shared" si="42"/>
        <v>50413.953333330981</v>
      </c>
      <c r="M58" s="622">
        <f t="shared" si="42"/>
        <v>50330.619999997645</v>
      </c>
      <c r="N58" s="622">
        <f t="shared" si="42"/>
        <v>50247.286666664309</v>
      </c>
      <c r="O58" s="622">
        <f t="shared" si="42"/>
        <v>50163.953333330974</v>
      </c>
      <c r="P58" s="622">
        <f t="shared" si="42"/>
        <v>47080.619999997638</v>
      </c>
      <c r="Q58" s="622">
        <f t="shared" si="42"/>
        <v>47080.619999997318</v>
      </c>
      <c r="R58" s="623"/>
      <c r="S58" s="622">
        <f t="shared" ref="S58:AE58" si="43">S10+S56</f>
        <v>47080.619999997638</v>
      </c>
      <c r="T58" s="622">
        <f t="shared" si="43"/>
        <v>47080.619999997638</v>
      </c>
      <c r="U58" s="622">
        <f t="shared" si="43"/>
        <v>47080.619999997638</v>
      </c>
      <c r="V58" s="622">
        <f t="shared" si="43"/>
        <v>47080.619999997638</v>
      </c>
      <c r="W58" s="622">
        <f t="shared" si="43"/>
        <v>47080.619999997638</v>
      </c>
      <c r="X58" s="622">
        <f t="shared" si="43"/>
        <v>47080.619999997638</v>
      </c>
      <c r="Y58" s="622">
        <f t="shared" si="43"/>
        <v>47080.619999997638</v>
      </c>
      <c r="Z58" s="622">
        <f t="shared" si="43"/>
        <v>47080.619999997638</v>
      </c>
      <c r="AA58" s="622">
        <f t="shared" si="43"/>
        <v>47080.619999997638</v>
      </c>
      <c r="AB58" s="622">
        <f t="shared" si="43"/>
        <v>47080.619999997638</v>
      </c>
      <c r="AC58" s="622">
        <f t="shared" si="43"/>
        <v>47080.619999997638</v>
      </c>
      <c r="AD58" s="622">
        <f t="shared" si="43"/>
        <v>47080.619999997638</v>
      </c>
      <c r="AE58" s="622">
        <f t="shared" si="43"/>
        <v>47080.619999997638</v>
      </c>
    </row>
    <row r="59" spans="1:33" ht="16.5" customHeight="1">
      <c r="E59" s="641"/>
      <c r="F59" s="641"/>
      <c r="G59" s="641"/>
      <c r="H59" s="641"/>
      <c r="I59" s="641"/>
      <c r="J59" s="641"/>
      <c r="K59" s="641"/>
      <c r="L59" s="641"/>
      <c r="M59" s="641"/>
      <c r="N59" s="641"/>
      <c r="O59" s="641"/>
      <c r="P59" s="641"/>
      <c r="Q59" s="641"/>
      <c r="R59" s="641"/>
      <c r="S59" s="641"/>
      <c r="T59" s="641"/>
      <c r="U59" s="641"/>
      <c r="V59" s="641"/>
      <c r="W59" s="641"/>
      <c r="X59" s="641"/>
      <c r="Y59" s="641"/>
      <c r="Z59" s="641"/>
      <c r="AA59" s="641"/>
      <c r="AB59" s="641"/>
      <c r="AC59" s="641"/>
      <c r="AD59" s="641"/>
      <c r="AE59" s="641"/>
    </row>
    <row r="60" spans="1:33" s="609" customFormat="1" ht="16.5" customHeight="1">
      <c r="A60" s="609" t="s">
        <v>2595</v>
      </c>
      <c r="B60" s="642"/>
      <c r="C60" s="642"/>
      <c r="D60" s="642"/>
      <c r="E60" s="641"/>
      <c r="F60" s="641"/>
      <c r="G60" s="641"/>
      <c r="H60" s="641"/>
      <c r="I60" s="641"/>
      <c r="J60" s="641"/>
      <c r="K60" s="641"/>
      <c r="L60" s="643"/>
      <c r="M60" s="643"/>
      <c r="N60" s="643"/>
      <c r="O60" s="643"/>
      <c r="P60" s="643"/>
      <c r="Q60" s="643"/>
      <c r="R60" s="644"/>
      <c r="S60" s="643"/>
      <c r="T60" s="643"/>
      <c r="U60" s="643"/>
      <c r="V60" s="643"/>
      <c r="W60" s="643"/>
      <c r="X60" s="643"/>
      <c r="Y60" s="643"/>
      <c r="Z60" s="643"/>
      <c r="AA60" s="643"/>
      <c r="AB60" s="643"/>
      <c r="AC60" s="643"/>
      <c r="AD60" s="643"/>
      <c r="AE60" s="643"/>
    </row>
    <row r="61" spans="1:33" ht="16.5" customHeight="1">
      <c r="E61" s="645"/>
      <c r="F61" s="645"/>
      <c r="G61" s="645"/>
      <c r="H61" s="645"/>
      <c r="I61" s="645"/>
      <c r="J61" s="645"/>
      <c r="K61" s="645"/>
      <c r="L61" s="645"/>
      <c r="M61" s="645"/>
      <c r="N61" s="645"/>
      <c r="O61" s="645"/>
      <c r="P61" s="645"/>
      <c r="Q61" s="645"/>
      <c r="R61" s="641"/>
      <c r="S61" s="645"/>
      <c r="T61" s="645"/>
      <c r="U61" s="645"/>
      <c r="V61" s="645"/>
      <c r="W61" s="645"/>
      <c r="X61" s="645"/>
      <c r="Y61" s="645"/>
      <c r="Z61" s="645"/>
      <c r="AA61" s="645"/>
      <c r="AB61" s="645"/>
      <c r="AC61" s="645"/>
      <c r="AD61" s="645"/>
      <c r="AE61" s="645"/>
    </row>
    <row r="62" spans="1:33" ht="16.5" customHeight="1">
      <c r="E62" s="645"/>
      <c r="F62" s="645"/>
      <c r="G62" s="645"/>
      <c r="H62" s="645"/>
      <c r="I62" s="645"/>
      <c r="J62" s="645"/>
      <c r="K62" s="645"/>
      <c r="L62" s="645"/>
      <c r="M62" s="645"/>
      <c r="N62" s="645"/>
      <c r="O62" s="645"/>
      <c r="P62" s="645"/>
      <c r="Q62" s="645"/>
      <c r="R62" s="641"/>
      <c r="S62" s="645"/>
      <c r="T62" s="645"/>
      <c r="U62" s="645"/>
      <c r="V62" s="645"/>
      <c r="W62" s="645"/>
      <c r="X62" s="645"/>
      <c r="Y62" s="645"/>
      <c r="Z62" s="645"/>
      <c r="AA62" s="645"/>
      <c r="AB62" s="645"/>
      <c r="AC62" s="645"/>
      <c r="AD62" s="645"/>
      <c r="AE62" s="645"/>
    </row>
    <row r="63" spans="1:33" ht="16.5" customHeight="1">
      <c r="E63" s="645"/>
      <c r="F63" s="645"/>
      <c r="G63" s="645"/>
      <c r="H63" s="645"/>
      <c r="I63" s="645"/>
      <c r="J63" s="645"/>
      <c r="K63" s="645"/>
      <c r="L63" s="645"/>
      <c r="M63" s="645"/>
      <c r="N63" s="645"/>
      <c r="O63" s="645"/>
      <c r="P63" s="645"/>
      <c r="Q63" s="645"/>
      <c r="R63" s="641"/>
      <c r="S63" s="645"/>
      <c r="T63" s="645"/>
      <c r="U63" s="645"/>
      <c r="V63" s="645"/>
      <c r="W63" s="645"/>
      <c r="X63" s="645"/>
      <c r="Y63" s="645"/>
      <c r="Z63" s="645"/>
      <c r="AA63" s="645"/>
      <c r="AB63" s="645"/>
      <c r="AC63" s="645"/>
      <c r="AD63" s="645"/>
      <c r="AE63" s="645"/>
    </row>
    <row r="64" spans="1:33" ht="16.5" customHeight="1">
      <c r="E64" s="645"/>
      <c r="F64" s="645"/>
      <c r="G64" s="645"/>
      <c r="H64" s="645"/>
      <c r="I64" s="645"/>
      <c r="J64" s="645"/>
      <c r="K64" s="645"/>
      <c r="L64" s="645"/>
      <c r="M64" s="645"/>
      <c r="N64" s="645"/>
      <c r="O64" s="645"/>
      <c r="P64" s="645"/>
      <c r="Q64" s="645"/>
      <c r="R64" s="641"/>
      <c r="S64" s="645"/>
      <c r="T64" s="645"/>
      <c r="U64" s="645"/>
      <c r="V64" s="645"/>
      <c r="W64" s="645"/>
      <c r="X64" s="645"/>
      <c r="Y64" s="645"/>
      <c r="Z64" s="645"/>
      <c r="AA64" s="645"/>
      <c r="AB64" s="645"/>
      <c r="AC64" s="645"/>
      <c r="AD64" s="645"/>
      <c r="AE64" s="645"/>
    </row>
    <row r="65" spans="5:31" ht="16.5" customHeight="1">
      <c r="E65" s="645"/>
      <c r="F65" s="645"/>
      <c r="G65" s="645"/>
      <c r="H65" s="645"/>
      <c r="I65" s="645"/>
      <c r="J65" s="645"/>
      <c r="K65" s="645"/>
      <c r="L65" s="645"/>
      <c r="M65" s="645"/>
      <c r="N65" s="645"/>
      <c r="O65" s="645"/>
      <c r="P65" s="645"/>
      <c r="Q65" s="645"/>
      <c r="R65" s="641"/>
      <c r="S65" s="645"/>
      <c r="T65" s="645"/>
      <c r="U65" s="645"/>
      <c r="V65" s="645"/>
      <c r="W65" s="645"/>
      <c r="X65" s="645"/>
      <c r="Y65" s="645"/>
      <c r="Z65" s="645"/>
      <c r="AA65" s="645"/>
      <c r="AB65" s="645"/>
      <c r="AC65" s="645"/>
      <c r="AD65" s="645"/>
      <c r="AE65" s="645"/>
    </row>
    <row r="66" spans="5:31" ht="16.5" customHeight="1">
      <c r="E66" s="645"/>
      <c r="F66" s="645"/>
      <c r="G66" s="645"/>
      <c r="H66" s="645"/>
      <c r="I66" s="645"/>
      <c r="J66" s="645"/>
      <c r="K66" s="645"/>
      <c r="L66" s="645"/>
      <c r="M66" s="645"/>
      <c r="N66" s="645"/>
      <c r="O66" s="645"/>
      <c r="P66" s="645"/>
      <c r="Q66" s="645"/>
      <c r="R66" s="641"/>
      <c r="S66" s="645"/>
      <c r="T66" s="645"/>
      <c r="U66" s="645"/>
      <c r="V66" s="645"/>
      <c r="W66" s="645"/>
      <c r="X66" s="645"/>
      <c r="Y66" s="645"/>
      <c r="Z66" s="645"/>
      <c r="AA66" s="645"/>
      <c r="AB66" s="645"/>
      <c r="AC66" s="645"/>
      <c r="AD66" s="645"/>
      <c r="AE66" s="645"/>
    </row>
    <row r="67" spans="5:31" ht="16.5" customHeight="1">
      <c r="E67" s="645"/>
      <c r="F67" s="645"/>
      <c r="G67" s="645"/>
      <c r="H67" s="645"/>
      <c r="I67" s="645"/>
      <c r="J67" s="645"/>
      <c r="K67" s="645"/>
      <c r="L67" s="645"/>
      <c r="M67" s="645"/>
      <c r="N67" s="645"/>
      <c r="O67" s="645"/>
      <c r="P67" s="645"/>
      <c r="Q67" s="645"/>
      <c r="R67" s="641"/>
      <c r="S67" s="645"/>
      <c r="T67" s="645"/>
      <c r="U67" s="645"/>
      <c r="V67" s="645"/>
      <c r="W67" s="645"/>
      <c r="X67" s="645"/>
      <c r="Y67" s="645"/>
      <c r="Z67" s="645"/>
      <c r="AA67" s="645"/>
      <c r="AB67" s="645"/>
      <c r="AC67" s="645"/>
      <c r="AD67" s="645"/>
      <c r="AE67" s="645"/>
    </row>
    <row r="68" spans="5:31" ht="16.5" customHeight="1">
      <c r="E68" s="645"/>
      <c r="F68" s="645"/>
      <c r="G68" s="645"/>
      <c r="H68" s="645"/>
      <c r="I68" s="645"/>
      <c r="J68" s="645"/>
      <c r="K68" s="645"/>
      <c r="L68" s="645"/>
      <c r="M68" s="645"/>
      <c r="N68" s="645"/>
      <c r="O68" s="645"/>
      <c r="P68" s="645"/>
      <c r="Q68" s="645"/>
      <c r="R68" s="641"/>
      <c r="S68" s="645"/>
      <c r="T68" s="645"/>
      <c r="U68" s="645"/>
      <c r="V68" s="645"/>
      <c r="W68" s="645"/>
      <c r="X68" s="645"/>
      <c r="Y68" s="645"/>
      <c r="Z68" s="645"/>
      <c r="AA68" s="645"/>
      <c r="AB68" s="645"/>
      <c r="AC68" s="645"/>
      <c r="AD68" s="645"/>
      <c r="AE68" s="645"/>
    </row>
    <row r="69" spans="5:31" ht="16.5" customHeight="1">
      <c r="E69" s="645"/>
      <c r="F69" s="645"/>
      <c r="G69" s="645"/>
      <c r="H69" s="645"/>
      <c r="I69" s="645"/>
      <c r="J69" s="645"/>
      <c r="K69" s="645"/>
      <c r="L69" s="645"/>
      <c r="M69" s="645"/>
      <c r="N69" s="645"/>
      <c r="O69" s="645"/>
      <c r="P69" s="645"/>
      <c r="Q69" s="645"/>
      <c r="R69" s="641"/>
      <c r="S69" s="645"/>
      <c r="T69" s="645"/>
      <c r="U69" s="645"/>
      <c r="V69" s="645"/>
      <c r="W69" s="645"/>
      <c r="X69" s="645"/>
      <c r="Y69" s="645"/>
      <c r="Z69" s="645"/>
      <c r="AA69" s="645"/>
      <c r="AB69" s="645"/>
      <c r="AC69" s="645"/>
      <c r="AD69" s="645"/>
      <c r="AE69" s="645"/>
    </row>
    <row r="70" spans="5:31" ht="16.5" customHeight="1">
      <c r="E70" s="645"/>
      <c r="F70" s="645"/>
      <c r="G70" s="645"/>
      <c r="H70" s="645"/>
      <c r="I70" s="645"/>
      <c r="J70" s="645"/>
      <c r="K70" s="645"/>
      <c r="L70" s="645"/>
      <c r="M70" s="645"/>
      <c r="N70" s="645"/>
      <c r="O70" s="645"/>
      <c r="P70" s="645"/>
      <c r="Q70" s="645"/>
      <c r="R70" s="641"/>
      <c r="S70" s="645"/>
      <c r="T70" s="645"/>
      <c r="U70" s="645"/>
      <c r="V70" s="645"/>
      <c r="W70" s="645"/>
      <c r="X70" s="645"/>
      <c r="Y70" s="645"/>
      <c r="Z70" s="645"/>
      <c r="AA70" s="645"/>
      <c r="AB70" s="645"/>
      <c r="AC70" s="645"/>
      <c r="AD70" s="645"/>
      <c r="AE70" s="645"/>
    </row>
    <row r="71" spans="5:31" ht="16.5" customHeight="1">
      <c r="E71" s="645"/>
      <c r="F71" s="645"/>
      <c r="G71" s="645"/>
      <c r="H71" s="645"/>
      <c r="I71" s="645"/>
      <c r="J71" s="645"/>
      <c r="K71" s="645"/>
      <c r="L71" s="645"/>
      <c r="M71" s="645"/>
      <c r="N71" s="645"/>
      <c r="O71" s="645"/>
      <c r="P71" s="645"/>
      <c r="Q71" s="645"/>
      <c r="R71" s="641"/>
      <c r="S71" s="645"/>
      <c r="T71" s="645"/>
      <c r="U71" s="645"/>
      <c r="V71" s="645"/>
      <c r="W71" s="645"/>
      <c r="X71" s="645"/>
      <c r="Y71" s="645"/>
      <c r="Z71" s="645"/>
      <c r="AA71" s="645"/>
      <c r="AB71" s="645"/>
      <c r="AC71" s="645"/>
      <c r="AD71" s="645"/>
      <c r="AE71" s="645"/>
    </row>
    <row r="72" spans="5:31" ht="16.5" customHeight="1">
      <c r="E72" s="645"/>
      <c r="F72" s="645"/>
      <c r="G72" s="645"/>
      <c r="H72" s="645"/>
      <c r="I72" s="645"/>
      <c r="J72" s="645"/>
      <c r="K72" s="645"/>
      <c r="L72" s="645"/>
      <c r="M72" s="645"/>
      <c r="N72" s="645"/>
      <c r="O72" s="645"/>
      <c r="P72" s="645"/>
      <c r="Q72" s="645"/>
      <c r="R72" s="641"/>
      <c r="S72" s="645"/>
      <c r="T72" s="645"/>
      <c r="U72" s="645"/>
      <c r="V72" s="645"/>
      <c r="W72" s="645"/>
      <c r="X72" s="645"/>
      <c r="Y72" s="645"/>
      <c r="Z72" s="645"/>
      <c r="AA72" s="645"/>
      <c r="AB72" s="645"/>
      <c r="AC72" s="645"/>
      <c r="AD72" s="645"/>
      <c r="AE72" s="645"/>
    </row>
    <row r="73" spans="5:31" ht="16.5" customHeight="1">
      <c r="E73" s="645"/>
      <c r="F73" s="645"/>
      <c r="G73" s="645"/>
      <c r="H73" s="645"/>
      <c r="I73" s="645"/>
      <c r="J73" s="645"/>
      <c r="K73" s="645"/>
      <c r="L73" s="645"/>
      <c r="M73" s="645"/>
      <c r="N73" s="645"/>
      <c r="O73" s="645"/>
      <c r="P73" s="645"/>
      <c r="Q73" s="645"/>
      <c r="R73" s="641"/>
      <c r="S73" s="645"/>
      <c r="T73" s="645"/>
      <c r="U73" s="645"/>
      <c r="V73" s="645"/>
      <c r="W73" s="645"/>
      <c r="X73" s="645"/>
      <c r="Y73" s="645"/>
      <c r="Z73" s="645"/>
      <c r="AA73" s="645"/>
      <c r="AB73" s="645"/>
      <c r="AC73" s="645"/>
      <c r="AD73" s="645"/>
      <c r="AE73" s="645"/>
    </row>
    <row r="74" spans="5:31" ht="16.5" customHeight="1">
      <c r="E74" s="645"/>
      <c r="F74" s="645"/>
      <c r="G74" s="645"/>
      <c r="H74" s="645"/>
      <c r="I74" s="645"/>
      <c r="J74" s="645"/>
      <c r="K74" s="645"/>
      <c r="L74" s="645"/>
      <c r="M74" s="645"/>
      <c r="N74" s="645"/>
      <c r="O74" s="645"/>
      <c r="P74" s="645"/>
      <c r="Q74" s="645"/>
      <c r="R74" s="641"/>
      <c r="S74" s="645"/>
      <c r="T74" s="645"/>
      <c r="U74" s="645"/>
      <c r="V74" s="645"/>
      <c r="W74" s="645"/>
      <c r="X74" s="645"/>
      <c r="Y74" s="645"/>
      <c r="Z74" s="645"/>
      <c r="AA74" s="645"/>
      <c r="AB74" s="645"/>
      <c r="AC74" s="645"/>
      <c r="AD74" s="645"/>
      <c r="AE74" s="645"/>
    </row>
    <row r="75" spans="5:31" ht="16.5" customHeight="1">
      <c r="E75" s="645"/>
      <c r="F75" s="645"/>
      <c r="G75" s="645"/>
      <c r="H75" s="645"/>
      <c r="I75" s="645"/>
      <c r="J75" s="645"/>
      <c r="K75" s="645"/>
      <c r="L75" s="645"/>
      <c r="M75" s="645"/>
      <c r="N75" s="645"/>
      <c r="O75" s="645"/>
      <c r="P75" s="645"/>
      <c r="Q75" s="645"/>
      <c r="R75" s="641"/>
      <c r="S75" s="645"/>
      <c r="T75" s="645"/>
      <c r="U75" s="645"/>
      <c r="V75" s="645"/>
      <c r="W75" s="645"/>
      <c r="X75" s="645"/>
      <c r="Y75" s="645"/>
      <c r="Z75" s="645"/>
      <c r="AA75" s="645"/>
      <c r="AB75" s="645"/>
      <c r="AC75" s="645"/>
      <c r="AD75" s="645"/>
      <c r="AE75" s="645"/>
    </row>
    <row r="76" spans="5:31" ht="16.5" customHeight="1">
      <c r="E76" s="645"/>
      <c r="F76" s="645"/>
      <c r="G76" s="645"/>
      <c r="H76" s="645"/>
      <c r="I76" s="645"/>
      <c r="J76" s="645"/>
      <c r="K76" s="645"/>
      <c r="L76" s="645"/>
      <c r="M76" s="645"/>
      <c r="N76" s="645"/>
      <c r="O76" s="645"/>
      <c r="P76" s="645"/>
      <c r="Q76" s="645"/>
      <c r="R76" s="641"/>
      <c r="S76" s="645"/>
      <c r="T76" s="645"/>
      <c r="U76" s="645"/>
      <c r="V76" s="645"/>
      <c r="W76" s="645"/>
      <c r="X76" s="645"/>
      <c r="Y76" s="645"/>
      <c r="Z76" s="645"/>
      <c r="AA76" s="645"/>
      <c r="AB76" s="645"/>
      <c r="AC76" s="645"/>
      <c r="AD76" s="645"/>
      <c r="AE76" s="645"/>
    </row>
  </sheetData>
  <autoFilter ref="A4:AF63" xr:uid="{00000000-0009-0000-0000-00001B000000}"/>
  <conditionalFormatting sqref="B3:AE3">
    <cfRule type="cellIs" dxfId="66" priority="1" stopIfTrue="1" operator="equal">
      <formula>"Actual"</formula>
    </cfRule>
    <cfRule type="cellIs" dxfId="65" priority="2" stopIfTrue="1" operator="equal">
      <formula>"Forecast"</formula>
    </cfRule>
    <cfRule type="cellIs" dxfId="64" priority="3" stopIfTrue="1" operator="equal">
      <formula>"Budget"</formula>
    </cfRule>
  </conditionalFormatting>
  <dataValidations count="1">
    <dataValidation type="list" allowBlank="1" showInputMessage="1" showErrorMessage="1" sqref="B3:AE3" xr:uid="{00000000-0002-0000-1B00-000000000000}">
      <formula1>"Actual,Forecast,Budget"</formula1>
    </dataValidation>
  </dataValidations>
  <pageMargins left="0.70866141732283505" right="0.70866141732283505" top="0.74803149606299202" bottom="0.74803149606299202" header="0.31496062992126" footer="0.31496062992126"/>
  <pageSetup paperSize="8" scale="76" orientation="landscape"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4" tint="0.59999389629810485"/>
  </sheetPr>
  <dimension ref="A1:AN106"/>
  <sheetViews>
    <sheetView workbookViewId="0">
      <pane xSplit="7" ySplit="3" topLeftCell="AB87" activePane="bottomRight" state="frozen"/>
      <selection pane="topRight" activeCell="H1" sqref="H1"/>
      <selection pane="bottomLeft" activeCell="A4" sqref="A4"/>
      <selection pane="bottomRight" activeCell="AB92" sqref="AB92"/>
    </sheetView>
  </sheetViews>
  <sheetFormatPr defaultColWidth="8.625" defaultRowHeight="16.5" customHeight="1" outlineLevelRow="1" outlineLevelCol="1"/>
  <cols>
    <col min="1" max="1" width="9.25" style="17" customWidth="1"/>
    <col min="2" max="3" width="11.625" style="567" hidden="1" customWidth="1" outlineLevel="1"/>
    <col min="4" max="4" width="16" style="17" hidden="1" customWidth="1" outlineLevel="1"/>
    <col min="5" max="5" width="33.375" style="17" hidden="1" customWidth="1" outlineLevel="1"/>
    <col min="6" max="6" width="30.875" style="17" hidden="1" customWidth="1" outlineLevel="1"/>
    <col min="7" max="7" width="25.875" style="17" customWidth="1" collapsed="1"/>
    <col min="8" max="8" width="9.625" style="17" customWidth="1"/>
    <col min="9" max="9" width="8.125" style="567" customWidth="1"/>
    <col min="10" max="10" width="6.375" style="457" customWidth="1"/>
    <col min="11" max="11" width="11" style="18" customWidth="1"/>
    <col min="12" max="13" width="11" style="568" customWidth="1"/>
    <col min="14" max="14" width="8.625" style="18" customWidth="1"/>
    <col min="15" max="15" width="10.625" style="17" customWidth="1"/>
    <col min="16" max="27" width="8.375" style="17" customWidth="1"/>
    <col min="28" max="28" width="10.625" style="17" customWidth="1"/>
    <col min="29" max="40" width="8.375" style="17" customWidth="1"/>
    <col min="41" max="16384" width="8.625" style="17"/>
  </cols>
  <sheetData>
    <row r="1" spans="1:40" ht="16.5" customHeight="1">
      <c r="K1" s="569">
        <v>0.05</v>
      </c>
    </row>
    <row r="2" spans="1:40" ht="16.5" customHeight="1">
      <c r="A2" s="570" t="s">
        <v>2597</v>
      </c>
      <c r="B2" s="571"/>
      <c r="C2" s="571"/>
      <c r="O2" s="572">
        <v>4</v>
      </c>
      <c r="P2" s="572">
        <v>5</v>
      </c>
      <c r="Q2" s="572">
        <v>6</v>
      </c>
      <c r="R2" s="572">
        <v>7</v>
      </c>
      <c r="S2" s="572">
        <v>8</v>
      </c>
      <c r="T2" s="572">
        <v>9</v>
      </c>
      <c r="U2" s="572">
        <v>10</v>
      </c>
      <c r="V2" s="572">
        <v>11</v>
      </c>
      <c r="W2" s="572">
        <v>12</v>
      </c>
      <c r="X2" s="572">
        <v>13</v>
      </c>
      <c r="Y2" s="572">
        <v>14</v>
      </c>
      <c r="Z2" s="572">
        <v>15</v>
      </c>
      <c r="AA2" s="572"/>
      <c r="AB2" s="1119">
        <v>0.05</v>
      </c>
      <c r="AC2" s="572">
        <v>5</v>
      </c>
      <c r="AD2" s="572">
        <v>6</v>
      </c>
      <c r="AE2" s="572">
        <v>7</v>
      </c>
      <c r="AF2" s="572">
        <v>8</v>
      </c>
      <c r="AG2" s="572">
        <v>9</v>
      </c>
      <c r="AH2" s="572">
        <v>10</v>
      </c>
      <c r="AI2" s="572">
        <v>11</v>
      </c>
      <c r="AJ2" s="572">
        <v>12</v>
      </c>
      <c r="AK2" s="572">
        <v>13</v>
      </c>
      <c r="AL2" s="572">
        <v>14</v>
      </c>
      <c r="AM2" s="572">
        <v>15</v>
      </c>
      <c r="AN2" s="572"/>
    </row>
    <row r="3" spans="1:40" ht="45.75" customHeight="1">
      <c r="A3" s="573" t="s">
        <v>2598</v>
      </c>
      <c r="B3" s="574" t="s">
        <v>2599</v>
      </c>
      <c r="C3" s="574" t="s">
        <v>2600</v>
      </c>
      <c r="D3" s="575" t="s">
        <v>2601</v>
      </c>
      <c r="E3" s="575" t="s">
        <v>2402</v>
      </c>
      <c r="F3" s="575" t="s">
        <v>2602</v>
      </c>
      <c r="G3" s="575" t="s">
        <v>2603</v>
      </c>
      <c r="H3" s="576" t="s">
        <v>2604</v>
      </c>
      <c r="I3" s="576" t="s">
        <v>2605</v>
      </c>
      <c r="J3" s="577" t="s">
        <v>2606</v>
      </c>
      <c r="K3" s="578" t="s">
        <v>2607</v>
      </c>
      <c r="L3" s="579" t="s">
        <v>2608</v>
      </c>
      <c r="M3" s="579" t="s">
        <v>2609</v>
      </c>
      <c r="N3" s="578" t="s">
        <v>2610</v>
      </c>
      <c r="O3" s="580">
        <v>46023</v>
      </c>
      <c r="P3" s="11">
        <v>46054</v>
      </c>
      <c r="Q3" s="11">
        <v>46082</v>
      </c>
      <c r="R3" s="11">
        <v>46113</v>
      </c>
      <c r="S3" s="11">
        <v>46143</v>
      </c>
      <c r="T3" s="11">
        <v>46174</v>
      </c>
      <c r="U3" s="11">
        <v>46204</v>
      </c>
      <c r="V3" s="11">
        <v>46235</v>
      </c>
      <c r="W3" s="11">
        <v>46266</v>
      </c>
      <c r="X3" s="11">
        <v>46296</v>
      </c>
      <c r="Y3" s="11">
        <v>46327</v>
      </c>
      <c r="Z3" s="11">
        <v>46357</v>
      </c>
      <c r="AA3" s="11" t="s">
        <v>2504</v>
      </c>
      <c r="AB3" s="580">
        <v>46388</v>
      </c>
      <c r="AC3" s="580">
        <v>46419</v>
      </c>
      <c r="AD3" s="580">
        <v>46447</v>
      </c>
      <c r="AE3" s="580">
        <v>46478</v>
      </c>
      <c r="AF3" s="580">
        <v>46508</v>
      </c>
      <c r="AG3" s="580">
        <v>46539</v>
      </c>
      <c r="AH3" s="580">
        <v>46569</v>
      </c>
      <c r="AI3" s="580">
        <v>46600</v>
      </c>
      <c r="AJ3" s="580">
        <v>46631</v>
      </c>
      <c r="AK3" s="580">
        <v>46661</v>
      </c>
      <c r="AL3" s="580">
        <v>46692</v>
      </c>
      <c r="AM3" s="580">
        <v>46722</v>
      </c>
      <c r="AN3" s="11" t="s">
        <v>3127</v>
      </c>
    </row>
    <row r="4" spans="1:40" ht="18" customHeight="1" outlineLevel="1">
      <c r="A4" s="581"/>
      <c r="B4" s="16"/>
      <c r="C4" s="16"/>
      <c r="D4" s="13"/>
      <c r="E4" s="13"/>
      <c r="F4" s="13"/>
      <c r="G4" s="13"/>
      <c r="H4" s="16"/>
      <c r="I4" s="16"/>
      <c r="J4" s="582"/>
      <c r="K4" s="583"/>
      <c r="L4" s="584"/>
      <c r="M4" s="584"/>
      <c r="N4" s="583"/>
      <c r="O4" s="585">
        <f>MONTH(O3)</f>
        <v>1</v>
      </c>
      <c r="P4" s="576">
        <f t="shared" ref="P4:Z4" si="0">MONTH(P3)</f>
        <v>2</v>
      </c>
      <c r="Q4" s="576">
        <f t="shared" si="0"/>
        <v>3</v>
      </c>
      <c r="R4" s="576">
        <f t="shared" si="0"/>
        <v>4</v>
      </c>
      <c r="S4" s="576">
        <f t="shared" si="0"/>
        <v>5</v>
      </c>
      <c r="T4" s="576">
        <f t="shared" si="0"/>
        <v>6</v>
      </c>
      <c r="U4" s="576">
        <f t="shared" si="0"/>
        <v>7</v>
      </c>
      <c r="V4" s="576">
        <f t="shared" si="0"/>
        <v>8</v>
      </c>
      <c r="W4" s="576">
        <f t="shared" si="0"/>
        <v>9</v>
      </c>
      <c r="X4" s="576">
        <f t="shared" si="0"/>
        <v>10</v>
      </c>
      <c r="Y4" s="576">
        <f t="shared" si="0"/>
        <v>11</v>
      </c>
      <c r="Z4" s="576">
        <f t="shared" si="0"/>
        <v>12</v>
      </c>
      <c r="AA4" s="576"/>
      <c r="AB4" s="585"/>
      <c r="AC4" s="576"/>
      <c r="AD4" s="576"/>
      <c r="AE4" s="576"/>
      <c r="AF4" s="576"/>
      <c r="AG4" s="576"/>
      <c r="AH4" s="576"/>
      <c r="AI4" s="576"/>
      <c r="AJ4" s="576"/>
      <c r="AK4" s="576"/>
      <c r="AL4" s="576"/>
      <c r="AM4" s="576"/>
      <c r="AN4" s="576"/>
    </row>
    <row r="5" spans="1:40" ht="16.5" customHeight="1" outlineLevel="1">
      <c r="A5" s="511"/>
      <c r="G5" s="17">
        <v>1</v>
      </c>
      <c r="H5" s="17">
        <v>2</v>
      </c>
      <c r="I5" s="17">
        <v>3</v>
      </c>
      <c r="J5" s="17">
        <v>4</v>
      </c>
      <c r="K5" s="17">
        <v>5</v>
      </c>
      <c r="L5" s="17">
        <v>6</v>
      </c>
      <c r="M5" s="17">
        <v>7</v>
      </c>
      <c r="N5" s="17">
        <v>8</v>
      </c>
      <c r="O5" s="17">
        <v>21</v>
      </c>
      <c r="P5" s="17">
        <v>22</v>
      </c>
      <c r="Q5" s="17">
        <v>23</v>
      </c>
      <c r="R5" s="17">
        <v>24</v>
      </c>
      <c r="S5" s="17">
        <v>25</v>
      </c>
      <c r="T5" s="17">
        <v>26</v>
      </c>
      <c r="U5" s="17">
        <v>27</v>
      </c>
      <c r="V5" s="17">
        <v>28</v>
      </c>
      <c r="W5" s="17">
        <v>29</v>
      </c>
      <c r="X5" s="17">
        <v>30</v>
      </c>
      <c r="Y5" s="17">
        <v>31</v>
      </c>
      <c r="Z5" s="17">
        <v>32</v>
      </c>
    </row>
    <row r="6" spans="1:40" ht="16.5" customHeight="1">
      <c r="A6" s="511"/>
      <c r="H6" s="18"/>
      <c r="I6" s="457"/>
      <c r="L6" s="586"/>
      <c r="M6" s="586"/>
      <c r="N6" s="460"/>
      <c r="O6" s="587"/>
      <c r="P6" s="588"/>
      <c r="Q6" s="588"/>
      <c r="R6" s="588"/>
      <c r="S6" s="588"/>
      <c r="T6" s="588"/>
      <c r="U6" s="588"/>
      <c r="V6" s="588"/>
      <c r="W6" s="588"/>
      <c r="X6" s="588"/>
      <c r="Y6" s="588"/>
      <c r="Z6" s="588"/>
      <c r="AA6" s="588"/>
      <c r="AB6" s="587"/>
      <c r="AC6" s="588"/>
      <c r="AD6" s="588"/>
      <c r="AE6" s="588"/>
      <c r="AF6" s="588"/>
      <c r="AG6" s="588"/>
      <c r="AH6" s="588"/>
      <c r="AI6" s="588"/>
      <c r="AJ6" s="588"/>
      <c r="AK6" s="588"/>
      <c r="AL6" s="588"/>
      <c r="AM6" s="588"/>
      <c r="AN6" s="588"/>
    </row>
    <row r="7" spans="1:40" ht="16.5" customHeight="1">
      <c r="A7" s="511" t="s">
        <v>2110</v>
      </c>
      <c r="C7" s="567" t="s">
        <v>1636</v>
      </c>
      <c r="D7" s="17" t="s">
        <v>2611</v>
      </c>
      <c r="E7" s="17" t="s">
        <v>2612</v>
      </c>
      <c r="F7" s="17" t="str">
        <f>'CF-ACPL（合并）'!A27</f>
        <v>支付的其他与经营活动有关的现金（其他）</v>
      </c>
      <c r="G7" s="17" t="s">
        <v>2612</v>
      </c>
      <c r="H7" s="18" t="s">
        <v>2613</v>
      </c>
      <c r="I7" s="457" t="s">
        <v>2614</v>
      </c>
      <c r="J7" s="457" t="s">
        <v>2368</v>
      </c>
      <c r="K7" s="589">
        <f>1566*(1+$K$1)*12</f>
        <v>19731.599999999999</v>
      </c>
      <c r="L7" s="586">
        <v>46023</v>
      </c>
      <c r="M7" s="586">
        <v>46387</v>
      </c>
      <c r="N7" s="460">
        <f t="shared" ref="N7:N25" si="1">IF(AND(L7="",M7=""),"-",IF(M7="",12,DATEDIF(L7,M7,"M")+1))</f>
        <v>12</v>
      </c>
      <c r="O7" s="588">
        <f>IF(AND($L7&lt;=O$3,O$3&lt;=$M7),$K7/$N7*HLOOKUP(O$3,'FX Lookup'!$A$2:$Y$5,3,FALSE),0)</f>
        <v>1463.4105569999999</v>
      </c>
      <c r="P7" s="588">
        <f>IF(AND($L7&lt;=P$3,P$3&lt;=$M7),$K7/$N7*HLOOKUP(P$3,'FX Lookup'!$A$2:$Y$5,3,FALSE),0)</f>
        <v>1450.6014599999999</v>
      </c>
      <c r="Q7" s="588">
        <f>IF(AND($L7&lt;=Q$3,Q$3&lt;=$M7),$K7/$N7*HLOOKUP(Q$3,'FX Lookup'!$A$2:$Y$5,3,FALSE),0)</f>
        <v>1450.6014599999999</v>
      </c>
      <c r="R7" s="588">
        <f>IF(AND($L7&lt;=R$3,R$3&lt;=$M7),$K7/$N7*HLOOKUP(R$3,'FX Lookup'!$A$2:$Y$5,3,FALSE),0)</f>
        <v>1450.6014599999999</v>
      </c>
      <c r="S7" s="588">
        <f>IF(AND($L7&lt;=S$3,S$3&lt;=$M7),$K7/$N7*HLOOKUP(S$3,'FX Lookup'!$A$2:$Y$5,3,FALSE),0)</f>
        <v>1450.6014599999999</v>
      </c>
      <c r="T7" s="588">
        <f>IF(AND($L7&lt;=T$3,T$3&lt;=$M7),$K7/$N7*HLOOKUP(T$3,'FX Lookup'!$A$2:$Y$5,3,FALSE),0)</f>
        <v>1450.6014599999999</v>
      </c>
      <c r="U7" s="588">
        <f>IF(AND($L7&lt;=U$3,U$3&lt;=$M7),$K7/$N7*HLOOKUP(U$3,'FX Lookup'!$A$2:$Y$5,3,FALSE),0)</f>
        <v>1450.6014599999999</v>
      </c>
      <c r="V7" s="588">
        <f>IF(AND($L7&lt;=V$3,V$3&lt;=$M7),$K7/$N7*HLOOKUP(V$3,'FX Lookup'!$A$2:$Y$5,3,FALSE),0)</f>
        <v>1450.6014599999999</v>
      </c>
      <c r="W7" s="588">
        <f>IF(AND($L7&lt;=W$3,W$3&lt;=$M7),$K7/$N7*HLOOKUP(W$3,'FX Lookup'!$A$2:$Y$5,3,FALSE),0)</f>
        <v>1450.6014599999999</v>
      </c>
      <c r="X7" s="588">
        <f>IF(AND($L7&lt;=X$3,X$3&lt;=$M7),$K7/$N7*HLOOKUP(X$3,'FX Lookup'!$A$2:$Y$5,3,FALSE),0)</f>
        <v>1450.6014599999999</v>
      </c>
      <c r="Y7" s="588">
        <f>IF(AND($L7&lt;=Y$3,Y$3&lt;=$M7),$K7/$N7*HLOOKUP(Y$3,'FX Lookup'!$A$2:$Y$5,3,FALSE),0)</f>
        <v>1450.6014599999999</v>
      </c>
      <c r="Z7" s="588">
        <f>IF(AND($L7&lt;=Z$3,Z$3&lt;=$M7),$K7/$N7*HLOOKUP(Z$3,'FX Lookup'!$A$2:$Y$5,3,FALSE),0)</f>
        <v>1450.6014599999999</v>
      </c>
      <c r="AA7" s="588">
        <f t="shared" ref="AA7:AA38" si="2">SUM(O7:Z7)</f>
        <v>17420.026617</v>
      </c>
      <c r="AB7" s="588">
        <f>O7*(1+$AB$2)</f>
        <v>1536.58108485</v>
      </c>
      <c r="AC7" s="588">
        <f t="shared" ref="AC7:AM22" si="3">P7*(1+$AB$2)</f>
        <v>1523.131533</v>
      </c>
      <c r="AD7" s="588">
        <f t="shared" si="3"/>
        <v>1523.131533</v>
      </c>
      <c r="AE7" s="588">
        <f t="shared" si="3"/>
        <v>1523.131533</v>
      </c>
      <c r="AF7" s="588">
        <f t="shared" si="3"/>
        <v>1523.131533</v>
      </c>
      <c r="AG7" s="588">
        <f t="shared" si="3"/>
        <v>1523.131533</v>
      </c>
      <c r="AH7" s="588">
        <f t="shared" si="3"/>
        <v>1523.131533</v>
      </c>
      <c r="AI7" s="588">
        <f t="shared" si="3"/>
        <v>1523.131533</v>
      </c>
      <c r="AJ7" s="588">
        <f t="shared" si="3"/>
        <v>1523.131533</v>
      </c>
      <c r="AK7" s="588">
        <f t="shared" si="3"/>
        <v>1523.131533</v>
      </c>
      <c r="AL7" s="588">
        <f t="shared" si="3"/>
        <v>1523.131533</v>
      </c>
      <c r="AM7" s="588">
        <f t="shared" si="3"/>
        <v>1523.131533</v>
      </c>
      <c r="AN7" s="588">
        <f t="shared" ref="AN7:AN70" si="4">SUM(AB7:AM7)</f>
        <v>18291.027947849998</v>
      </c>
    </row>
    <row r="8" spans="1:40" ht="16.5" customHeight="1">
      <c r="A8" s="511" t="s">
        <v>2110</v>
      </c>
      <c r="B8" s="567">
        <v>505001</v>
      </c>
      <c r="C8" s="567" t="s">
        <v>1636</v>
      </c>
      <c r="D8" s="17" t="s">
        <v>2611</v>
      </c>
      <c r="E8" s="17" t="s">
        <v>2615</v>
      </c>
      <c r="F8" s="17" t="str">
        <f>F7</f>
        <v>支付的其他与经营活动有关的现金（其他）</v>
      </c>
      <c r="G8" s="17" t="s">
        <v>2615</v>
      </c>
      <c r="H8" s="18" t="s">
        <v>2613</v>
      </c>
      <c r="I8" s="457" t="s">
        <v>2614</v>
      </c>
      <c r="J8" s="457" t="s">
        <v>2368</v>
      </c>
      <c r="K8" s="589">
        <f>300*1.1*12*7*(1+K1)</f>
        <v>29106</v>
      </c>
      <c r="L8" s="586">
        <v>46023</v>
      </c>
      <c r="M8" s="586">
        <v>46387</v>
      </c>
      <c r="N8" s="460">
        <f t="shared" si="1"/>
        <v>12</v>
      </c>
      <c r="O8" s="588">
        <f>IF(AND($L8&lt;=O$3,O$3&lt;=$M8),$K8/$N8*HLOOKUP(O$3,'FX Lookup'!$A$2:$Y$5,3,FALSE),0)</f>
        <v>2158.6707449999999</v>
      </c>
      <c r="P8" s="588">
        <f>IF(AND($L8&lt;=P$3,P$3&lt;=$M8),$K8/$N8*HLOOKUP(P$3,'FX Lookup'!$A$2:$Y$5,3,FALSE),0)</f>
        <v>2139.7761</v>
      </c>
      <c r="Q8" s="588">
        <f>IF(AND($L8&lt;=Q$3,Q$3&lt;=$M8),$K8/$N8*HLOOKUP(Q$3,'FX Lookup'!$A$2:$Y$5,3,FALSE),0)</f>
        <v>2139.7761</v>
      </c>
      <c r="R8" s="588">
        <f>IF(AND($L8&lt;=R$3,R$3&lt;=$M8),$K8/$N8*HLOOKUP(R$3,'FX Lookup'!$A$2:$Y$5,3,FALSE),0)</f>
        <v>2139.7761</v>
      </c>
      <c r="S8" s="588">
        <f>IF(AND($L8&lt;=S$3,S$3&lt;=$M8),$K8/$N8*HLOOKUP(S$3,'FX Lookup'!$A$2:$Y$5,3,FALSE),0)</f>
        <v>2139.7761</v>
      </c>
      <c r="T8" s="588">
        <f>IF(AND($L8&lt;=T$3,T$3&lt;=$M8),$K8/$N8*HLOOKUP(T$3,'FX Lookup'!$A$2:$Y$5,3,FALSE),0)</f>
        <v>2139.7761</v>
      </c>
      <c r="U8" s="588">
        <f>IF(AND($L8&lt;=U$3,U$3&lt;=$M8),$K8/$N8*HLOOKUP(U$3,'FX Lookup'!$A$2:$Y$5,3,FALSE),0)</f>
        <v>2139.7761</v>
      </c>
      <c r="V8" s="588">
        <f>IF(AND($L8&lt;=V$3,V$3&lt;=$M8),$K8/$N8*HLOOKUP(V$3,'FX Lookup'!$A$2:$Y$5,3,FALSE),0)</f>
        <v>2139.7761</v>
      </c>
      <c r="W8" s="588">
        <f>IF(AND($L8&lt;=W$3,W$3&lt;=$M8),$K8/$N8*HLOOKUP(W$3,'FX Lookup'!$A$2:$Y$5,3,FALSE),0)</f>
        <v>2139.7761</v>
      </c>
      <c r="X8" s="588">
        <f>IF(AND($L8&lt;=X$3,X$3&lt;=$M8),$K8/$N8*HLOOKUP(X$3,'FX Lookup'!$A$2:$Y$5,3,FALSE),0)</f>
        <v>2139.7761</v>
      </c>
      <c r="Y8" s="588">
        <f>IF(AND($L8&lt;=Y$3,Y$3&lt;=$M8),$K8/$N8*HLOOKUP(Y$3,'FX Lookup'!$A$2:$Y$5,3,FALSE),0)</f>
        <v>2139.7761</v>
      </c>
      <c r="Z8" s="588">
        <f>IF(AND($L8&lt;=Z$3,Z$3&lt;=$M8),$K8/$N8*HLOOKUP(Z$3,'FX Lookup'!$A$2:$Y$5,3,FALSE),0)</f>
        <v>2139.7761</v>
      </c>
      <c r="AA8" s="588">
        <f t="shared" si="2"/>
        <v>25696.207844999994</v>
      </c>
      <c r="AB8" s="588">
        <f t="shared" ref="AB8:AB71" si="5">O8*(1+$AB$2)</f>
        <v>2266.6042822499999</v>
      </c>
      <c r="AC8" s="588">
        <f t="shared" si="3"/>
        <v>2246.764905</v>
      </c>
      <c r="AD8" s="588">
        <f t="shared" si="3"/>
        <v>2246.764905</v>
      </c>
      <c r="AE8" s="588">
        <f t="shared" si="3"/>
        <v>2246.764905</v>
      </c>
      <c r="AF8" s="588">
        <f t="shared" si="3"/>
        <v>2246.764905</v>
      </c>
      <c r="AG8" s="588">
        <f t="shared" si="3"/>
        <v>2246.764905</v>
      </c>
      <c r="AH8" s="588">
        <f t="shared" si="3"/>
        <v>2246.764905</v>
      </c>
      <c r="AI8" s="588">
        <f t="shared" si="3"/>
        <v>2246.764905</v>
      </c>
      <c r="AJ8" s="588">
        <f t="shared" si="3"/>
        <v>2246.764905</v>
      </c>
      <c r="AK8" s="588">
        <f t="shared" si="3"/>
        <v>2246.764905</v>
      </c>
      <c r="AL8" s="588">
        <f t="shared" si="3"/>
        <v>2246.764905</v>
      </c>
      <c r="AM8" s="588">
        <f t="shared" si="3"/>
        <v>2246.764905</v>
      </c>
      <c r="AN8" s="588">
        <f t="shared" si="4"/>
        <v>26981.018237249998</v>
      </c>
    </row>
    <row r="9" spans="1:40" ht="16.5" customHeight="1">
      <c r="A9" s="511" t="s">
        <v>2110</v>
      </c>
      <c r="B9" s="567">
        <v>505002</v>
      </c>
      <c r="D9" s="17" t="s">
        <v>2611</v>
      </c>
      <c r="E9" s="17" t="s">
        <v>2616</v>
      </c>
      <c r="F9" s="17" t="str">
        <f>F8</f>
        <v>支付的其他与经营活动有关的现金（其他）</v>
      </c>
      <c r="G9" s="17" t="s">
        <v>2616</v>
      </c>
      <c r="H9" s="18" t="s">
        <v>2617</v>
      </c>
      <c r="I9" s="457" t="s">
        <v>2614</v>
      </c>
      <c r="J9" s="457" t="s">
        <v>2368</v>
      </c>
      <c r="K9" s="18">
        <v>0</v>
      </c>
      <c r="L9" s="586">
        <v>46023</v>
      </c>
      <c r="M9" s="586">
        <v>46387</v>
      </c>
      <c r="N9" s="460">
        <f t="shared" si="1"/>
        <v>12</v>
      </c>
      <c r="O9" s="588">
        <f>IF(AND($L9&lt;=O$3,O$3&lt;=$M9),$K9/$N9*HLOOKUP(O$3,'FX Lookup'!$A$2:$Y$5,3,FALSE),0)</f>
        <v>0</v>
      </c>
      <c r="P9" s="588">
        <f>IF(AND($L9&lt;=P$3,P$3&lt;=$M9),$K9/$N9*HLOOKUP(P$3,'FX Lookup'!$A$2:$Y$5,3,FALSE),0)</f>
        <v>0</v>
      </c>
      <c r="Q9" s="588">
        <f>IF(AND($L9&lt;=Q$3,Q$3&lt;=$M9),$K9/$N9*HLOOKUP(Q$3,'FX Lookup'!$A$2:$Y$5,3,FALSE),0)</f>
        <v>0</v>
      </c>
      <c r="R9" s="588">
        <f>IF(AND($L9&lt;=R$3,R$3&lt;=$M9),$K9/$N9*HLOOKUP(R$3,'FX Lookup'!$A$2:$Y$5,3,FALSE),0)</f>
        <v>0</v>
      </c>
      <c r="S9" s="588">
        <f>IF(AND($L9&lt;=S$3,S$3&lt;=$M9),$K9/$N9*HLOOKUP(S$3,'FX Lookup'!$A$2:$Y$5,3,FALSE),0)</f>
        <v>0</v>
      </c>
      <c r="T9" s="588">
        <f>IF(AND($L9&lt;=T$3,T$3&lt;=$M9),$K9/$N9*HLOOKUP(T$3,'FX Lookup'!$A$2:$Y$5,3,FALSE),0)</f>
        <v>0</v>
      </c>
      <c r="U9" s="588">
        <f>IF(AND($L9&lt;=U$3,U$3&lt;=$M9),$K9/$N9*HLOOKUP(U$3,'FX Lookup'!$A$2:$Y$5,3,FALSE),0)</f>
        <v>0</v>
      </c>
      <c r="V9" s="588">
        <f>IF(AND($L9&lt;=V$3,V$3&lt;=$M9),$K9/$N9*HLOOKUP(V$3,'FX Lookup'!$A$2:$Y$5,3,FALSE),0)</f>
        <v>0</v>
      </c>
      <c r="W9" s="588">
        <f>IF(AND($L9&lt;=W$3,W$3&lt;=$M9),$K9/$N9*HLOOKUP(W$3,'FX Lookup'!$A$2:$Y$5,3,FALSE),0)</f>
        <v>0</v>
      </c>
      <c r="X9" s="588">
        <f>IF(AND($L9&lt;=X$3,X$3&lt;=$M9),$K9/$N9*HLOOKUP(X$3,'FX Lookup'!$A$2:$Y$5,3,FALSE),0)</f>
        <v>0</v>
      </c>
      <c r="Y9" s="588">
        <f>IF(AND($L9&lt;=Y$3,Y$3&lt;=$M9),$K9/$N9*HLOOKUP(Y$3,'FX Lookup'!$A$2:$Y$5,3,FALSE),0)</f>
        <v>0</v>
      </c>
      <c r="Z9" s="588">
        <f>IF(AND($L9&lt;=Z$3,Z$3&lt;=$M9),$K9/$N9*HLOOKUP(Z$3,'FX Lookup'!$A$2:$Y$5,3,FALSE),0)</f>
        <v>0</v>
      </c>
      <c r="AA9" s="588">
        <f t="shared" si="2"/>
        <v>0</v>
      </c>
      <c r="AB9" s="588">
        <f t="shared" si="5"/>
        <v>0</v>
      </c>
      <c r="AC9" s="588">
        <f t="shared" si="3"/>
        <v>0</v>
      </c>
      <c r="AD9" s="588">
        <f t="shared" si="3"/>
        <v>0</v>
      </c>
      <c r="AE9" s="588">
        <f t="shared" si="3"/>
        <v>0</v>
      </c>
      <c r="AF9" s="588">
        <f t="shared" si="3"/>
        <v>0</v>
      </c>
      <c r="AG9" s="588">
        <f t="shared" si="3"/>
        <v>0</v>
      </c>
      <c r="AH9" s="588">
        <f t="shared" si="3"/>
        <v>0</v>
      </c>
      <c r="AI9" s="588">
        <f t="shared" si="3"/>
        <v>0</v>
      </c>
      <c r="AJ9" s="588">
        <f t="shared" si="3"/>
        <v>0</v>
      </c>
      <c r="AK9" s="588">
        <f t="shared" si="3"/>
        <v>0</v>
      </c>
      <c r="AL9" s="588">
        <f t="shared" si="3"/>
        <v>0</v>
      </c>
      <c r="AM9" s="588">
        <f t="shared" si="3"/>
        <v>0</v>
      </c>
      <c r="AN9" s="588">
        <f t="shared" si="4"/>
        <v>0</v>
      </c>
    </row>
    <row r="10" spans="1:40" ht="16.5" customHeight="1">
      <c r="A10" s="511" t="s">
        <v>2110</v>
      </c>
      <c r="B10" s="567">
        <v>505003</v>
      </c>
      <c r="C10" s="567" t="s">
        <v>1680</v>
      </c>
      <c r="D10" s="17" t="s">
        <v>2611</v>
      </c>
      <c r="E10" s="17" t="s">
        <v>2618</v>
      </c>
      <c r="F10" s="17" t="str">
        <f>F9</f>
        <v>支付的其他与经营活动有关的现金（其他）</v>
      </c>
      <c r="G10" s="17" t="s">
        <v>2618</v>
      </c>
      <c r="H10" s="18" t="s">
        <v>2613</v>
      </c>
      <c r="I10" s="457" t="s">
        <v>2614</v>
      </c>
      <c r="J10" s="457" t="s">
        <v>2368</v>
      </c>
      <c r="K10" s="18">
        <v>0</v>
      </c>
      <c r="L10" s="586">
        <v>46023</v>
      </c>
      <c r="M10" s="586">
        <v>46387</v>
      </c>
      <c r="N10" s="460">
        <f t="shared" si="1"/>
        <v>12</v>
      </c>
      <c r="O10" s="588">
        <f>IF(AND($L10&lt;=O$3,O$3&lt;=$M10),$K10/$N10*HLOOKUP(O$3,'FX Lookup'!$A$2:$Y$5,3,FALSE),0)</f>
        <v>0</v>
      </c>
      <c r="P10" s="588">
        <f>IF(AND($L10&lt;=P$3,P$3&lt;=$M10),$K10/$N10*HLOOKUP(P$3,'FX Lookup'!$A$2:$Y$5,3,FALSE),0)</f>
        <v>0</v>
      </c>
      <c r="Q10" s="588">
        <f>IF(AND($L10&lt;=Q$3,Q$3&lt;=$M10),$K10/$N10*HLOOKUP(Q$3,'FX Lookup'!$A$2:$Y$5,3,FALSE),0)</f>
        <v>0</v>
      </c>
      <c r="R10" s="588">
        <f>IF(AND($L10&lt;=R$3,R$3&lt;=$M10),$K10/$N10*HLOOKUP(R$3,'FX Lookup'!$A$2:$Y$5,3,FALSE),0)</f>
        <v>0</v>
      </c>
      <c r="S10" s="588">
        <f>IF(AND($L10&lt;=S$3,S$3&lt;=$M10),$K10/$N10*HLOOKUP(S$3,'FX Lookup'!$A$2:$Y$5,3,FALSE),0)</f>
        <v>0</v>
      </c>
      <c r="T10" s="588">
        <f>IF(AND($L10&lt;=T$3,T$3&lt;=$M10),$K10/$N10*HLOOKUP(T$3,'FX Lookup'!$A$2:$Y$5,3,FALSE),0)</f>
        <v>0</v>
      </c>
      <c r="U10" s="588">
        <f>IF(AND($L10&lt;=U$3,U$3&lt;=$M10),$K10/$N10*HLOOKUP(U$3,'FX Lookup'!$A$2:$Y$5,3,FALSE),0)</f>
        <v>0</v>
      </c>
      <c r="V10" s="588">
        <f>IF(AND($L10&lt;=V$3,V$3&lt;=$M10),$K10/$N10*HLOOKUP(V$3,'FX Lookup'!$A$2:$Y$5,3,FALSE),0)</f>
        <v>0</v>
      </c>
      <c r="W10" s="588">
        <f>IF(AND($L10&lt;=W$3,W$3&lt;=$M10),$K10/$N10*HLOOKUP(W$3,'FX Lookup'!$A$2:$Y$5,3,FALSE),0)</f>
        <v>0</v>
      </c>
      <c r="X10" s="588">
        <f>IF(AND($L10&lt;=X$3,X$3&lt;=$M10),$K10/$N10*HLOOKUP(X$3,'FX Lookup'!$A$2:$Y$5,3,FALSE),0)</f>
        <v>0</v>
      </c>
      <c r="Y10" s="588">
        <f>IF(AND($L10&lt;=Y$3,Y$3&lt;=$M10),$K10/$N10*HLOOKUP(Y$3,'FX Lookup'!$A$2:$Y$5,3,FALSE),0)</f>
        <v>0</v>
      </c>
      <c r="Z10" s="588">
        <f>IF(AND($L10&lt;=Z$3,Z$3&lt;=$M10),$K10/$N10*HLOOKUP(Z$3,'FX Lookup'!$A$2:$Y$5,3,FALSE),0)</f>
        <v>0</v>
      </c>
      <c r="AA10" s="588">
        <f t="shared" si="2"/>
        <v>0</v>
      </c>
      <c r="AB10" s="588">
        <f t="shared" si="5"/>
        <v>0</v>
      </c>
      <c r="AC10" s="588">
        <f t="shared" si="3"/>
        <v>0</v>
      </c>
      <c r="AD10" s="588">
        <f t="shared" si="3"/>
        <v>0</v>
      </c>
      <c r="AE10" s="588">
        <f t="shared" si="3"/>
        <v>0</v>
      </c>
      <c r="AF10" s="588">
        <f t="shared" si="3"/>
        <v>0</v>
      </c>
      <c r="AG10" s="588">
        <f t="shared" si="3"/>
        <v>0</v>
      </c>
      <c r="AH10" s="588">
        <f t="shared" si="3"/>
        <v>0</v>
      </c>
      <c r="AI10" s="588">
        <f t="shared" si="3"/>
        <v>0</v>
      </c>
      <c r="AJ10" s="588">
        <f t="shared" si="3"/>
        <v>0</v>
      </c>
      <c r="AK10" s="588">
        <f t="shared" si="3"/>
        <v>0</v>
      </c>
      <c r="AL10" s="588">
        <f t="shared" si="3"/>
        <v>0</v>
      </c>
      <c r="AM10" s="588">
        <f t="shared" si="3"/>
        <v>0</v>
      </c>
      <c r="AN10" s="588">
        <f t="shared" si="4"/>
        <v>0</v>
      </c>
    </row>
    <row r="11" spans="1:40" ht="16.5" customHeight="1">
      <c r="A11" s="511" t="s">
        <v>2110</v>
      </c>
      <c r="B11" s="567">
        <v>5080010</v>
      </c>
      <c r="C11" s="567" t="s">
        <v>1579</v>
      </c>
      <c r="D11" s="17" t="s">
        <v>2611</v>
      </c>
      <c r="E11" s="17" t="s">
        <v>2619</v>
      </c>
      <c r="F11" s="17" t="str">
        <f>'CF-ACPL（合并）'!A24</f>
        <v>支付的其他与经营活动有关的现金（租金）</v>
      </c>
      <c r="G11" s="17" t="s">
        <v>2619</v>
      </c>
      <c r="H11" s="18" t="s">
        <v>2613</v>
      </c>
      <c r="I11" s="457" t="s">
        <v>2614</v>
      </c>
      <c r="J11" s="457" t="s">
        <v>2368</v>
      </c>
      <c r="K11" s="18">
        <v>0</v>
      </c>
      <c r="L11" s="586">
        <v>46023</v>
      </c>
      <c r="M11" s="586">
        <v>46387</v>
      </c>
      <c r="N11" s="460">
        <f t="shared" si="1"/>
        <v>12</v>
      </c>
      <c r="O11" s="588">
        <f>IF(AND($L11&lt;=O$3,O$3&lt;=$M11),$K11/$N11*HLOOKUP(O$3,'FX Lookup'!$A$2:$Y$5,3,FALSE),0)</f>
        <v>0</v>
      </c>
      <c r="P11" s="588">
        <f>IF(AND($L11&lt;=P$3,P$3&lt;=$M11),$K11/$N11*HLOOKUP(P$3,'FX Lookup'!$A$2:$Y$5,3,FALSE),0)</f>
        <v>0</v>
      </c>
      <c r="Q11" s="588">
        <f>IF(AND($L11&lt;=Q$3,Q$3&lt;=$M11),$K11/$N11*HLOOKUP(Q$3,'FX Lookup'!$A$2:$Y$5,3,FALSE),0)</f>
        <v>0</v>
      </c>
      <c r="R11" s="588">
        <f>IF(AND($L11&lt;=R$3,R$3&lt;=$M11),$K11/$N11*HLOOKUP(R$3,'FX Lookup'!$A$2:$Y$5,3,FALSE),0)</f>
        <v>0</v>
      </c>
      <c r="S11" s="588">
        <f>IF(AND($L11&lt;=S$3,S$3&lt;=$M11),$K11/$N11*HLOOKUP(S$3,'FX Lookup'!$A$2:$Y$5,3,FALSE),0)</f>
        <v>0</v>
      </c>
      <c r="T11" s="588">
        <f>IF(AND($L11&lt;=T$3,T$3&lt;=$M11),$K11/$N11*HLOOKUP(T$3,'FX Lookup'!$A$2:$Y$5,3,FALSE),0)</f>
        <v>0</v>
      </c>
      <c r="U11" s="588">
        <f>IF(AND($L11&lt;=U$3,U$3&lt;=$M11),$K11/$N11*HLOOKUP(U$3,'FX Lookup'!$A$2:$Y$5,3,FALSE),0)</f>
        <v>0</v>
      </c>
      <c r="V11" s="588">
        <f>IF(AND($L11&lt;=V$3,V$3&lt;=$M11),$K11/$N11*HLOOKUP(V$3,'FX Lookup'!$A$2:$Y$5,3,FALSE),0)</f>
        <v>0</v>
      </c>
      <c r="W11" s="588">
        <f>IF(AND($L11&lt;=W$3,W$3&lt;=$M11),$K11/$N11*HLOOKUP(W$3,'FX Lookup'!$A$2:$Y$5,3,FALSE),0)</f>
        <v>0</v>
      </c>
      <c r="X11" s="588">
        <f>IF(AND($L11&lt;=X$3,X$3&lt;=$M11),$K11/$N11*HLOOKUP(X$3,'FX Lookup'!$A$2:$Y$5,3,FALSE),0)</f>
        <v>0</v>
      </c>
      <c r="Y11" s="588">
        <f>IF(AND($L11&lt;=Y$3,Y$3&lt;=$M11),$K11/$N11*HLOOKUP(Y$3,'FX Lookup'!$A$2:$Y$5,3,FALSE),0)</f>
        <v>0</v>
      </c>
      <c r="Z11" s="588">
        <f>IF(AND($L11&lt;=Z$3,Z$3&lt;=$M11),$K11/$N11*HLOOKUP(Z$3,'FX Lookup'!$A$2:$Y$5,3,FALSE),0)</f>
        <v>0</v>
      </c>
      <c r="AA11" s="588">
        <f t="shared" si="2"/>
        <v>0</v>
      </c>
      <c r="AB11" s="588">
        <f t="shared" si="5"/>
        <v>0</v>
      </c>
      <c r="AC11" s="588">
        <f t="shared" si="3"/>
        <v>0</v>
      </c>
      <c r="AD11" s="588">
        <f t="shared" si="3"/>
        <v>0</v>
      </c>
      <c r="AE11" s="588">
        <f t="shared" si="3"/>
        <v>0</v>
      </c>
      <c r="AF11" s="588">
        <f t="shared" si="3"/>
        <v>0</v>
      </c>
      <c r="AG11" s="588">
        <f t="shared" si="3"/>
        <v>0</v>
      </c>
      <c r="AH11" s="588">
        <f t="shared" si="3"/>
        <v>0</v>
      </c>
      <c r="AI11" s="588">
        <f t="shared" si="3"/>
        <v>0</v>
      </c>
      <c r="AJ11" s="588">
        <f t="shared" si="3"/>
        <v>0</v>
      </c>
      <c r="AK11" s="588">
        <f t="shared" si="3"/>
        <v>0</v>
      </c>
      <c r="AL11" s="588">
        <f t="shared" si="3"/>
        <v>0</v>
      </c>
      <c r="AM11" s="588">
        <f t="shared" si="3"/>
        <v>0</v>
      </c>
      <c r="AN11" s="588">
        <f t="shared" si="4"/>
        <v>0</v>
      </c>
    </row>
    <row r="12" spans="1:40" ht="16.5" customHeight="1">
      <c r="A12" s="511" t="s">
        <v>2110</v>
      </c>
      <c r="B12" s="567">
        <v>5080011</v>
      </c>
      <c r="C12" s="567" t="s">
        <v>1593</v>
      </c>
      <c r="D12" s="17" t="s">
        <v>2611</v>
      </c>
      <c r="E12" s="17" t="s">
        <v>2620</v>
      </c>
      <c r="F12" s="17" t="str">
        <f>F7</f>
        <v>支付的其他与经营活动有关的现金（其他）</v>
      </c>
      <c r="G12" s="17" t="s">
        <v>2621</v>
      </c>
      <c r="H12" s="18" t="s">
        <v>2613</v>
      </c>
      <c r="I12" s="590" t="s">
        <v>2614</v>
      </c>
      <c r="J12" s="457" t="s">
        <v>2368</v>
      </c>
      <c r="K12" s="18">
        <v>0</v>
      </c>
      <c r="L12" s="586">
        <v>46023</v>
      </c>
      <c r="M12" s="586">
        <v>46387</v>
      </c>
      <c r="N12" s="460">
        <f t="shared" si="1"/>
        <v>12</v>
      </c>
      <c r="O12" s="588">
        <f>IF(AND($L12&lt;=O$3,O$3&lt;=$M12),$K12/$N12*HLOOKUP(O$3,'FX Lookup'!$A$2:$Y$5,3,FALSE),0)</f>
        <v>0</v>
      </c>
      <c r="P12" s="588">
        <f>IF(AND($L12&lt;=P$3,P$3&lt;=$M12),$K12/$N12*HLOOKUP(P$3,'FX Lookup'!$A$2:$Y$5,3,FALSE),0)</f>
        <v>0</v>
      </c>
      <c r="Q12" s="588">
        <f>IF(AND($L12&lt;=Q$3,Q$3&lt;=$M12),$K12/$N12*HLOOKUP(Q$3,'FX Lookup'!$A$2:$Y$5,3,FALSE),0)</f>
        <v>0</v>
      </c>
      <c r="R12" s="588">
        <f>IF(AND($L12&lt;=R$3,R$3&lt;=$M12),$K12/$N12*HLOOKUP(R$3,'FX Lookup'!$A$2:$Y$5,3,FALSE),0)</f>
        <v>0</v>
      </c>
      <c r="S12" s="588">
        <f>IF(AND($L12&lt;=S$3,S$3&lt;=$M12),$K12/$N12*HLOOKUP(S$3,'FX Lookup'!$A$2:$Y$5,3,FALSE),0)</f>
        <v>0</v>
      </c>
      <c r="T12" s="588">
        <f>IF(AND($L12&lt;=T$3,T$3&lt;=$M12),$K12/$N12*HLOOKUP(T$3,'FX Lookup'!$A$2:$Y$5,3,FALSE),0)</f>
        <v>0</v>
      </c>
      <c r="U12" s="588">
        <f>IF(AND($L12&lt;=U$3,U$3&lt;=$M12),$K12/$N12*HLOOKUP(U$3,'FX Lookup'!$A$2:$Y$5,3,FALSE),0)</f>
        <v>0</v>
      </c>
      <c r="V12" s="588">
        <f>IF(AND($L12&lt;=V$3,V$3&lt;=$M12),$K12/$N12*HLOOKUP(V$3,'FX Lookup'!$A$2:$Y$5,3,FALSE),0)</f>
        <v>0</v>
      </c>
      <c r="W12" s="588">
        <f>IF(AND($L12&lt;=W$3,W$3&lt;=$M12),$K12/$N12*HLOOKUP(W$3,'FX Lookup'!$A$2:$Y$5,3,FALSE),0)</f>
        <v>0</v>
      </c>
      <c r="X12" s="588">
        <f>IF(AND($L12&lt;=X$3,X$3&lt;=$M12),$K12/$N12*HLOOKUP(X$3,'FX Lookup'!$A$2:$Y$5,3,FALSE),0)</f>
        <v>0</v>
      </c>
      <c r="Y12" s="588">
        <f>IF(AND($L12&lt;=Y$3,Y$3&lt;=$M12),$K12/$N12*HLOOKUP(Y$3,'FX Lookup'!$A$2:$Y$5,3,FALSE),0)</f>
        <v>0</v>
      </c>
      <c r="Z12" s="588">
        <f>IF(AND($L12&lt;=Z$3,Z$3&lt;=$M12),$K12/$N12*HLOOKUP(Z$3,'FX Lookup'!$A$2:$Y$5,3,FALSE),0)</f>
        <v>0</v>
      </c>
      <c r="AA12" s="588">
        <f t="shared" si="2"/>
        <v>0</v>
      </c>
      <c r="AB12" s="588">
        <f t="shared" si="5"/>
        <v>0</v>
      </c>
      <c r="AC12" s="588">
        <f t="shared" si="3"/>
        <v>0</v>
      </c>
      <c r="AD12" s="588">
        <f t="shared" si="3"/>
        <v>0</v>
      </c>
      <c r="AE12" s="588">
        <f t="shared" si="3"/>
        <v>0</v>
      </c>
      <c r="AF12" s="588">
        <f t="shared" si="3"/>
        <v>0</v>
      </c>
      <c r="AG12" s="588">
        <f t="shared" si="3"/>
        <v>0</v>
      </c>
      <c r="AH12" s="588">
        <f t="shared" si="3"/>
        <v>0</v>
      </c>
      <c r="AI12" s="588">
        <f t="shared" si="3"/>
        <v>0</v>
      </c>
      <c r="AJ12" s="588">
        <f t="shared" si="3"/>
        <v>0</v>
      </c>
      <c r="AK12" s="588">
        <f t="shared" si="3"/>
        <v>0</v>
      </c>
      <c r="AL12" s="588">
        <f t="shared" si="3"/>
        <v>0</v>
      </c>
      <c r="AM12" s="588">
        <f t="shared" si="3"/>
        <v>0</v>
      </c>
      <c r="AN12" s="588">
        <f t="shared" si="4"/>
        <v>0</v>
      </c>
    </row>
    <row r="13" spans="1:40" ht="16.5" customHeight="1">
      <c r="A13" s="511" t="s">
        <v>2110</v>
      </c>
      <c r="B13" s="567">
        <v>5080011</v>
      </c>
      <c r="C13" s="567" t="s">
        <v>1593</v>
      </c>
      <c r="D13" s="17" t="s">
        <v>2611</v>
      </c>
      <c r="E13" s="17" t="s">
        <v>2620</v>
      </c>
      <c r="F13" s="17" t="str">
        <f>F7</f>
        <v>支付的其他与经营活动有关的现金（其他）</v>
      </c>
      <c r="G13" s="17" t="s">
        <v>2622</v>
      </c>
      <c r="H13" s="18" t="s">
        <v>2613</v>
      </c>
      <c r="I13" s="590" t="s">
        <v>2614</v>
      </c>
      <c r="J13" s="457" t="s">
        <v>2368</v>
      </c>
      <c r="K13" s="18">
        <v>0</v>
      </c>
      <c r="L13" s="586">
        <v>46023</v>
      </c>
      <c r="M13" s="586">
        <v>46387</v>
      </c>
      <c r="N13" s="460">
        <f t="shared" si="1"/>
        <v>12</v>
      </c>
      <c r="O13" s="588">
        <f>IF(AND($L13&lt;=O$3,O$3&lt;=$M13),$K13/$N13*HLOOKUP(O$3,'FX Lookup'!$A$2:$Y$5,3,FALSE),0)</f>
        <v>0</v>
      </c>
      <c r="P13" s="588">
        <f>IF(AND($L13&lt;=P$3,P$3&lt;=$M13),$K13/$N13*HLOOKUP(P$3,'FX Lookup'!$A$2:$Y$5,3,FALSE),0)</f>
        <v>0</v>
      </c>
      <c r="Q13" s="588">
        <f>IF(AND($L13&lt;=Q$3,Q$3&lt;=$M13),$K13/$N13*HLOOKUP(Q$3,'FX Lookup'!$A$2:$Y$5,3,FALSE),0)</f>
        <v>0</v>
      </c>
      <c r="R13" s="588">
        <f>IF(AND($L13&lt;=R$3,R$3&lt;=$M13),$K13/$N13*HLOOKUP(R$3,'FX Lookup'!$A$2:$Y$5,3,FALSE),0)</f>
        <v>0</v>
      </c>
      <c r="S13" s="588">
        <f>IF(AND($L13&lt;=S$3,S$3&lt;=$M13),$K13/$N13*HLOOKUP(S$3,'FX Lookup'!$A$2:$Y$5,3,FALSE),0)</f>
        <v>0</v>
      </c>
      <c r="T13" s="588">
        <f>IF(AND($L13&lt;=T$3,T$3&lt;=$M13),$K13/$N13*HLOOKUP(T$3,'FX Lookup'!$A$2:$Y$5,3,FALSE),0)</f>
        <v>0</v>
      </c>
      <c r="U13" s="588">
        <f>IF(AND($L13&lt;=U$3,U$3&lt;=$M13),$K13/$N13*HLOOKUP(U$3,'FX Lookup'!$A$2:$Y$5,3,FALSE),0)</f>
        <v>0</v>
      </c>
      <c r="V13" s="588">
        <f>IF(AND($L13&lt;=V$3,V$3&lt;=$M13),$K13/$N13*HLOOKUP(V$3,'FX Lookup'!$A$2:$Y$5,3,FALSE),0)</f>
        <v>0</v>
      </c>
      <c r="W13" s="588">
        <f>IF(AND($L13&lt;=W$3,W$3&lt;=$M13),$K13/$N13*HLOOKUP(W$3,'FX Lookup'!$A$2:$Y$5,3,FALSE),0)</f>
        <v>0</v>
      </c>
      <c r="X13" s="588">
        <f>IF(AND($L13&lt;=X$3,X$3&lt;=$M13),$K13/$N13*HLOOKUP(X$3,'FX Lookup'!$A$2:$Y$5,3,FALSE),0)</f>
        <v>0</v>
      </c>
      <c r="Y13" s="588">
        <f>IF(AND($L13&lt;=Y$3,Y$3&lt;=$M13),$K13/$N13*HLOOKUP(Y$3,'FX Lookup'!$A$2:$Y$5,3,FALSE),0)</f>
        <v>0</v>
      </c>
      <c r="Z13" s="588">
        <f>IF(AND($L13&lt;=Z$3,Z$3&lt;=$M13),$K13/$N13*HLOOKUP(Z$3,'FX Lookup'!$A$2:$Y$5,3,FALSE),0)</f>
        <v>0</v>
      </c>
      <c r="AA13" s="588">
        <f t="shared" si="2"/>
        <v>0</v>
      </c>
      <c r="AB13" s="588">
        <f t="shared" si="5"/>
        <v>0</v>
      </c>
      <c r="AC13" s="588">
        <f t="shared" si="3"/>
        <v>0</v>
      </c>
      <c r="AD13" s="588">
        <f t="shared" si="3"/>
        <v>0</v>
      </c>
      <c r="AE13" s="588">
        <f t="shared" si="3"/>
        <v>0</v>
      </c>
      <c r="AF13" s="588">
        <f t="shared" si="3"/>
        <v>0</v>
      </c>
      <c r="AG13" s="588">
        <f t="shared" si="3"/>
        <v>0</v>
      </c>
      <c r="AH13" s="588">
        <f t="shared" si="3"/>
        <v>0</v>
      </c>
      <c r="AI13" s="588">
        <f t="shared" si="3"/>
        <v>0</v>
      </c>
      <c r="AJ13" s="588">
        <f t="shared" si="3"/>
        <v>0</v>
      </c>
      <c r="AK13" s="588">
        <f t="shared" si="3"/>
        <v>0</v>
      </c>
      <c r="AL13" s="588">
        <f t="shared" si="3"/>
        <v>0</v>
      </c>
      <c r="AM13" s="588">
        <f t="shared" si="3"/>
        <v>0</v>
      </c>
      <c r="AN13" s="588">
        <f t="shared" si="4"/>
        <v>0</v>
      </c>
    </row>
    <row r="14" spans="1:40" ht="16.5" customHeight="1">
      <c r="A14" s="511" t="s">
        <v>2110</v>
      </c>
      <c r="B14" s="567">
        <v>5080020</v>
      </c>
      <c r="C14" s="567" t="s">
        <v>1607</v>
      </c>
      <c r="D14" s="17" t="s">
        <v>2611</v>
      </c>
      <c r="E14" s="17" t="s">
        <v>2623</v>
      </c>
      <c r="F14" s="17" t="str">
        <f>F7</f>
        <v>支付的其他与经营活动有关的现金（其他）</v>
      </c>
      <c r="G14" s="17" t="s">
        <v>2623</v>
      </c>
      <c r="H14" s="18" t="s">
        <v>2624</v>
      </c>
      <c r="I14" s="457" t="s">
        <v>2614</v>
      </c>
      <c r="J14" s="457" t="s">
        <v>2368</v>
      </c>
      <c r="K14" s="18">
        <v>0</v>
      </c>
      <c r="L14" s="586">
        <v>46023</v>
      </c>
      <c r="M14" s="586">
        <v>46387</v>
      </c>
      <c r="N14" s="460">
        <f t="shared" si="1"/>
        <v>12</v>
      </c>
      <c r="O14" s="588">
        <f>IF(AND($L14&lt;=O$3,O$3&lt;=$M14),$K14/$N14*HLOOKUP(O$3,'FX Lookup'!$A$2:$Y$5,3,FALSE),0)</f>
        <v>0</v>
      </c>
      <c r="P14" s="588">
        <f>IF(AND($L14&lt;=P$3,P$3&lt;=$M14),$K14/$N14*HLOOKUP(P$3,'FX Lookup'!$A$2:$Y$5,3,FALSE),0)</f>
        <v>0</v>
      </c>
      <c r="Q14" s="588">
        <f>IF(AND($L14&lt;=Q$3,Q$3&lt;=$M14),$K14/$N14*HLOOKUP(Q$3,'FX Lookup'!$A$2:$Y$5,3,FALSE),0)</f>
        <v>0</v>
      </c>
      <c r="R14" s="588">
        <f>IF(AND($L14&lt;=R$3,R$3&lt;=$M14),$K14/$N14*HLOOKUP(R$3,'FX Lookup'!$A$2:$Y$5,3,FALSE),0)</f>
        <v>0</v>
      </c>
      <c r="S14" s="588">
        <f>IF(AND($L14&lt;=S$3,S$3&lt;=$M14),$K14/$N14*HLOOKUP(S$3,'FX Lookup'!$A$2:$Y$5,3,FALSE),0)</f>
        <v>0</v>
      </c>
      <c r="T14" s="588">
        <f>IF(AND($L14&lt;=T$3,T$3&lt;=$M14),$K14/$N14*HLOOKUP(T$3,'FX Lookup'!$A$2:$Y$5,3,FALSE),0)</f>
        <v>0</v>
      </c>
      <c r="U14" s="588">
        <f>IF(AND($L14&lt;=U$3,U$3&lt;=$M14),$K14/$N14*HLOOKUP(U$3,'FX Lookup'!$A$2:$Y$5,3,FALSE),0)</f>
        <v>0</v>
      </c>
      <c r="V14" s="588">
        <f>IF(AND($L14&lt;=V$3,V$3&lt;=$M14),$K14/$N14*HLOOKUP(V$3,'FX Lookup'!$A$2:$Y$5,3,FALSE),0)</f>
        <v>0</v>
      </c>
      <c r="W14" s="588">
        <f>IF(AND($L14&lt;=W$3,W$3&lt;=$M14),$K14/$N14*HLOOKUP(W$3,'FX Lookup'!$A$2:$Y$5,3,FALSE),0)</f>
        <v>0</v>
      </c>
      <c r="X14" s="588">
        <f>IF(AND($L14&lt;=X$3,X$3&lt;=$M14),$K14/$N14*HLOOKUP(X$3,'FX Lookup'!$A$2:$Y$5,3,FALSE),0)</f>
        <v>0</v>
      </c>
      <c r="Y14" s="588">
        <f>IF(AND($L14&lt;=Y$3,Y$3&lt;=$M14),$K14/$N14*HLOOKUP(Y$3,'FX Lookup'!$A$2:$Y$5,3,FALSE),0)</f>
        <v>0</v>
      </c>
      <c r="Z14" s="588">
        <f>IF(AND($L14&lt;=Z$3,Z$3&lt;=$M14),$K14/$N14*HLOOKUP(Z$3,'FX Lookup'!$A$2:$Y$5,3,FALSE),0)</f>
        <v>0</v>
      </c>
      <c r="AA14" s="588">
        <f t="shared" si="2"/>
        <v>0</v>
      </c>
      <c r="AB14" s="588">
        <f t="shared" si="5"/>
        <v>0</v>
      </c>
      <c r="AC14" s="588">
        <f t="shared" si="3"/>
        <v>0</v>
      </c>
      <c r="AD14" s="588">
        <f t="shared" si="3"/>
        <v>0</v>
      </c>
      <c r="AE14" s="588">
        <f t="shared" si="3"/>
        <v>0</v>
      </c>
      <c r="AF14" s="588">
        <f t="shared" si="3"/>
        <v>0</v>
      </c>
      <c r="AG14" s="588">
        <f t="shared" si="3"/>
        <v>0</v>
      </c>
      <c r="AH14" s="588">
        <f t="shared" si="3"/>
        <v>0</v>
      </c>
      <c r="AI14" s="588">
        <f t="shared" si="3"/>
        <v>0</v>
      </c>
      <c r="AJ14" s="588">
        <f t="shared" si="3"/>
        <v>0</v>
      </c>
      <c r="AK14" s="588">
        <f t="shared" si="3"/>
        <v>0</v>
      </c>
      <c r="AL14" s="588">
        <f t="shared" si="3"/>
        <v>0</v>
      </c>
      <c r="AM14" s="588">
        <f t="shared" si="3"/>
        <v>0</v>
      </c>
      <c r="AN14" s="588">
        <f t="shared" si="4"/>
        <v>0</v>
      </c>
    </row>
    <row r="15" spans="1:40" ht="16.5" customHeight="1">
      <c r="A15" s="511" t="s">
        <v>2110</v>
      </c>
      <c r="D15" s="17" t="s">
        <v>2611</v>
      </c>
      <c r="E15" s="17" t="s">
        <v>2625</v>
      </c>
      <c r="F15" s="17" t="str">
        <f>F7</f>
        <v>支付的其他与经营活动有关的现金（其他）</v>
      </c>
      <c r="G15" s="17" t="s">
        <v>2625</v>
      </c>
      <c r="H15" s="18" t="s">
        <v>2617</v>
      </c>
      <c r="I15" s="457" t="s">
        <v>2614</v>
      </c>
      <c r="J15" s="457" t="s">
        <v>2368</v>
      </c>
      <c r="K15" s="18">
        <v>0</v>
      </c>
      <c r="L15" s="586">
        <v>46023</v>
      </c>
      <c r="M15" s="586">
        <v>46387</v>
      </c>
      <c r="N15" s="460">
        <f t="shared" si="1"/>
        <v>12</v>
      </c>
      <c r="O15" s="588">
        <f>IF(AND($L15&lt;=O$3,O$3&lt;=$M15),$K15/$N15*HLOOKUP(O$3,'FX Lookup'!$A$2:$Y$5,3,FALSE),0)</f>
        <v>0</v>
      </c>
      <c r="P15" s="588">
        <f>IF(AND($L15&lt;=P$3,P$3&lt;=$M15),$K15/$N15*HLOOKUP(P$3,'FX Lookup'!$A$2:$Y$5,3,FALSE),0)</f>
        <v>0</v>
      </c>
      <c r="Q15" s="588">
        <f>IF(AND($L15&lt;=Q$3,Q$3&lt;=$M15),$K15/$N15*HLOOKUP(Q$3,'FX Lookup'!$A$2:$Y$5,3,FALSE),0)</f>
        <v>0</v>
      </c>
      <c r="R15" s="588">
        <f>IF(AND($L15&lt;=R$3,R$3&lt;=$M15),$K15/$N15*HLOOKUP(R$3,'FX Lookup'!$A$2:$Y$5,3,FALSE),0)</f>
        <v>0</v>
      </c>
      <c r="S15" s="588">
        <f>IF(AND($L15&lt;=S$3,S$3&lt;=$M15),$K15/$N15*HLOOKUP(S$3,'FX Lookup'!$A$2:$Y$5,3,FALSE),0)</f>
        <v>0</v>
      </c>
      <c r="T15" s="588">
        <f>IF(AND($L15&lt;=T$3,T$3&lt;=$M15),$K15/$N15*HLOOKUP(T$3,'FX Lookup'!$A$2:$Y$5,3,FALSE),0)</f>
        <v>0</v>
      </c>
      <c r="U15" s="588">
        <f>IF(AND($L15&lt;=U$3,U$3&lt;=$M15),$K15/$N15*HLOOKUP(U$3,'FX Lookup'!$A$2:$Y$5,3,FALSE),0)</f>
        <v>0</v>
      </c>
      <c r="V15" s="588">
        <f>IF(AND($L15&lt;=V$3,V$3&lt;=$M15),$K15/$N15*HLOOKUP(V$3,'FX Lookup'!$A$2:$Y$5,3,FALSE),0)</f>
        <v>0</v>
      </c>
      <c r="W15" s="588">
        <f>IF(AND($L15&lt;=W$3,W$3&lt;=$M15),$K15/$N15*HLOOKUP(W$3,'FX Lookup'!$A$2:$Y$5,3,FALSE),0)</f>
        <v>0</v>
      </c>
      <c r="X15" s="588">
        <f>IF(AND($L15&lt;=X$3,X$3&lt;=$M15),$K15/$N15*HLOOKUP(X$3,'FX Lookup'!$A$2:$Y$5,3,FALSE),0)</f>
        <v>0</v>
      </c>
      <c r="Y15" s="588">
        <f>IF(AND($L15&lt;=Y$3,Y$3&lt;=$M15),$K15/$N15*HLOOKUP(Y$3,'FX Lookup'!$A$2:$Y$5,3,FALSE),0)</f>
        <v>0</v>
      </c>
      <c r="Z15" s="588">
        <f>IF(AND($L15&lt;=Z$3,Z$3&lt;=$M15),$K15/$N15*HLOOKUP(Z$3,'FX Lookup'!$A$2:$Y$5,3,FALSE),0)</f>
        <v>0</v>
      </c>
      <c r="AA15" s="588">
        <f t="shared" si="2"/>
        <v>0</v>
      </c>
      <c r="AB15" s="588">
        <f t="shared" si="5"/>
        <v>0</v>
      </c>
      <c r="AC15" s="588">
        <f t="shared" si="3"/>
        <v>0</v>
      </c>
      <c r="AD15" s="588">
        <f t="shared" si="3"/>
        <v>0</v>
      </c>
      <c r="AE15" s="588">
        <f t="shared" si="3"/>
        <v>0</v>
      </c>
      <c r="AF15" s="588">
        <f t="shared" si="3"/>
        <v>0</v>
      </c>
      <c r="AG15" s="588">
        <f t="shared" si="3"/>
        <v>0</v>
      </c>
      <c r="AH15" s="588">
        <f t="shared" si="3"/>
        <v>0</v>
      </c>
      <c r="AI15" s="588">
        <f t="shared" si="3"/>
        <v>0</v>
      </c>
      <c r="AJ15" s="588">
        <f t="shared" si="3"/>
        <v>0</v>
      </c>
      <c r="AK15" s="588">
        <f t="shared" si="3"/>
        <v>0</v>
      </c>
      <c r="AL15" s="588">
        <f t="shared" si="3"/>
        <v>0</v>
      </c>
      <c r="AM15" s="588">
        <f t="shared" si="3"/>
        <v>0</v>
      </c>
      <c r="AN15" s="588">
        <f t="shared" si="4"/>
        <v>0</v>
      </c>
    </row>
    <row r="16" spans="1:40" ht="16.5" customHeight="1">
      <c r="A16" s="511" t="s">
        <v>2110</v>
      </c>
      <c r="D16" s="17" t="s">
        <v>2611</v>
      </c>
      <c r="E16" s="17" t="s">
        <v>2626</v>
      </c>
      <c r="F16" s="17" t="str">
        <f>F7</f>
        <v>支付的其他与经营活动有关的现金（其他）</v>
      </c>
      <c r="G16" s="17" t="s">
        <v>2626</v>
      </c>
      <c r="H16" s="18" t="s">
        <v>2613</v>
      </c>
      <c r="I16" s="457" t="s">
        <v>2614</v>
      </c>
      <c r="J16" s="457" t="s">
        <v>2368</v>
      </c>
      <c r="K16" s="18">
        <v>0</v>
      </c>
      <c r="L16" s="586">
        <v>46023</v>
      </c>
      <c r="M16" s="586">
        <v>46387</v>
      </c>
      <c r="N16" s="460">
        <f t="shared" si="1"/>
        <v>12</v>
      </c>
      <c r="O16" s="588">
        <f>IF(AND($L16&lt;=O$3,O$3&lt;=$M16),$K16/$N16*HLOOKUP(O$3,'FX Lookup'!$A$2:$Y$5,3,FALSE),0)</f>
        <v>0</v>
      </c>
      <c r="P16" s="588">
        <f>IF(AND($L16&lt;=P$3,P$3&lt;=$M16),$K16/$N16*HLOOKUP(P$3,'FX Lookup'!$A$2:$Y$5,3,FALSE),0)</f>
        <v>0</v>
      </c>
      <c r="Q16" s="588">
        <f>IF(AND($L16&lt;=Q$3,Q$3&lt;=$M16),$K16/$N16*HLOOKUP(Q$3,'FX Lookup'!$A$2:$Y$5,3,FALSE),0)</f>
        <v>0</v>
      </c>
      <c r="R16" s="588">
        <f>IF(AND($L16&lt;=R$3,R$3&lt;=$M16),$K16/$N16*HLOOKUP(R$3,'FX Lookup'!$A$2:$Y$5,3,FALSE),0)</f>
        <v>0</v>
      </c>
      <c r="S16" s="588">
        <f>IF(AND($L16&lt;=S$3,S$3&lt;=$M16),$K16/$N16*HLOOKUP(S$3,'FX Lookup'!$A$2:$Y$5,3,FALSE),0)</f>
        <v>0</v>
      </c>
      <c r="T16" s="588">
        <f>IF(AND($L16&lt;=T$3,T$3&lt;=$M16),$K16/$N16*HLOOKUP(T$3,'FX Lookup'!$A$2:$Y$5,3,FALSE),0)</f>
        <v>0</v>
      </c>
      <c r="U16" s="588">
        <f>IF(AND($L16&lt;=U$3,U$3&lt;=$M16),$K16/$N16*HLOOKUP(U$3,'FX Lookup'!$A$2:$Y$5,3,FALSE),0)</f>
        <v>0</v>
      </c>
      <c r="V16" s="588">
        <f>IF(AND($L16&lt;=V$3,V$3&lt;=$M16),$K16/$N16*HLOOKUP(V$3,'FX Lookup'!$A$2:$Y$5,3,FALSE),0)</f>
        <v>0</v>
      </c>
      <c r="W16" s="588">
        <f>IF(AND($L16&lt;=W$3,W$3&lt;=$M16),$K16/$N16*HLOOKUP(W$3,'FX Lookup'!$A$2:$Y$5,3,FALSE),0)</f>
        <v>0</v>
      </c>
      <c r="X16" s="588">
        <f>IF(AND($L16&lt;=X$3,X$3&lt;=$M16),$K16/$N16*HLOOKUP(X$3,'FX Lookup'!$A$2:$Y$5,3,FALSE),0)</f>
        <v>0</v>
      </c>
      <c r="Y16" s="588">
        <f>IF(AND($L16&lt;=Y$3,Y$3&lt;=$M16),$K16/$N16*HLOOKUP(Y$3,'FX Lookup'!$A$2:$Y$5,3,FALSE),0)</f>
        <v>0</v>
      </c>
      <c r="Z16" s="588">
        <f>IF(AND($L16&lt;=Z$3,Z$3&lt;=$M16),$K16/$N16*HLOOKUP(Z$3,'FX Lookup'!$A$2:$Y$5,3,FALSE),0)</f>
        <v>0</v>
      </c>
      <c r="AA16" s="588">
        <f t="shared" si="2"/>
        <v>0</v>
      </c>
      <c r="AB16" s="588">
        <f t="shared" si="5"/>
        <v>0</v>
      </c>
      <c r="AC16" s="588">
        <f t="shared" si="3"/>
        <v>0</v>
      </c>
      <c r="AD16" s="588">
        <f t="shared" si="3"/>
        <v>0</v>
      </c>
      <c r="AE16" s="588">
        <f t="shared" si="3"/>
        <v>0</v>
      </c>
      <c r="AF16" s="588">
        <f t="shared" si="3"/>
        <v>0</v>
      </c>
      <c r="AG16" s="588">
        <f t="shared" si="3"/>
        <v>0</v>
      </c>
      <c r="AH16" s="588">
        <f t="shared" si="3"/>
        <v>0</v>
      </c>
      <c r="AI16" s="588">
        <f t="shared" si="3"/>
        <v>0</v>
      </c>
      <c r="AJ16" s="588">
        <f t="shared" si="3"/>
        <v>0</v>
      </c>
      <c r="AK16" s="588">
        <f t="shared" si="3"/>
        <v>0</v>
      </c>
      <c r="AL16" s="588">
        <f t="shared" si="3"/>
        <v>0</v>
      </c>
      <c r="AM16" s="588">
        <f t="shared" si="3"/>
        <v>0</v>
      </c>
      <c r="AN16" s="588">
        <f t="shared" si="4"/>
        <v>0</v>
      </c>
    </row>
    <row r="17" spans="1:40" ht="16.5" customHeight="1">
      <c r="A17" s="511" t="s">
        <v>2110</v>
      </c>
      <c r="B17" s="591">
        <v>66020607</v>
      </c>
      <c r="D17" s="17" t="s">
        <v>2611</v>
      </c>
      <c r="E17" s="17" t="s">
        <v>2627</v>
      </c>
      <c r="G17" s="17" t="s">
        <v>2627</v>
      </c>
      <c r="H17" s="18" t="s">
        <v>2617</v>
      </c>
      <c r="I17" s="457" t="s">
        <v>2614</v>
      </c>
      <c r="J17" s="457" t="s">
        <v>2368</v>
      </c>
      <c r="K17" s="18">
        <v>0</v>
      </c>
      <c r="L17" s="586">
        <v>46023</v>
      </c>
      <c r="M17" s="586">
        <v>46387</v>
      </c>
      <c r="N17" s="460">
        <f t="shared" si="1"/>
        <v>12</v>
      </c>
      <c r="O17" s="588">
        <f>IF(AND($L17&lt;=O$3,O$3&lt;=$M17),$K17/$N17*HLOOKUP(O$3,'FX Lookup'!$A$2:$Y$5,3,FALSE),0)</f>
        <v>0</v>
      </c>
      <c r="P17" s="588">
        <f>IF(AND($L17&lt;=P$3,P$3&lt;=$M17),$K17/$N17*HLOOKUP(P$3,'FX Lookup'!$A$2:$Y$5,3,FALSE),0)</f>
        <v>0</v>
      </c>
      <c r="Q17" s="588">
        <f>IF(AND($L17&lt;=Q$3,Q$3&lt;=$M17),$K17/$N17*HLOOKUP(Q$3,'FX Lookup'!$A$2:$Y$5,3,FALSE),0)</f>
        <v>0</v>
      </c>
      <c r="R17" s="588">
        <f>IF(AND($L17&lt;=R$3,R$3&lt;=$M17),$K17/$N17*HLOOKUP(R$3,'FX Lookup'!$A$2:$Y$5,3,FALSE),0)</f>
        <v>0</v>
      </c>
      <c r="S17" s="588">
        <f>IF(AND($L17&lt;=S$3,S$3&lt;=$M17),$K17/$N17*HLOOKUP(S$3,'FX Lookup'!$A$2:$Y$5,3,FALSE),0)</f>
        <v>0</v>
      </c>
      <c r="T17" s="588">
        <f>IF(AND($L17&lt;=T$3,T$3&lt;=$M17),$K17/$N17*HLOOKUP(T$3,'FX Lookup'!$A$2:$Y$5,3,FALSE),0)</f>
        <v>0</v>
      </c>
      <c r="U17" s="588">
        <f>IF(AND($L17&lt;=U$3,U$3&lt;=$M17),$K17/$N17*HLOOKUP(U$3,'FX Lookup'!$A$2:$Y$5,3,FALSE),0)</f>
        <v>0</v>
      </c>
      <c r="V17" s="588">
        <f>IF(AND($L17&lt;=V$3,V$3&lt;=$M17),$K17/$N17*HLOOKUP(V$3,'FX Lookup'!$A$2:$Y$5,3,FALSE),0)</f>
        <v>0</v>
      </c>
      <c r="W17" s="588">
        <f>IF(AND($L17&lt;=W$3,W$3&lt;=$M17),$K17/$N17*HLOOKUP(W$3,'FX Lookup'!$A$2:$Y$5,3,FALSE),0)</f>
        <v>0</v>
      </c>
      <c r="X17" s="588">
        <f>IF(AND($L17&lt;=X$3,X$3&lt;=$M17),$K17/$N17*HLOOKUP(X$3,'FX Lookup'!$A$2:$Y$5,3,FALSE),0)</f>
        <v>0</v>
      </c>
      <c r="Y17" s="588">
        <f>IF(AND($L17&lt;=Y$3,Y$3&lt;=$M17),$K17/$N17*HLOOKUP(Y$3,'FX Lookup'!$A$2:$Y$5,3,FALSE),0)</f>
        <v>0</v>
      </c>
      <c r="Z17" s="588">
        <f>IF(AND($L17&lt;=Z$3,Z$3&lt;=$M17),$K17/$N17*HLOOKUP(Z$3,'FX Lookup'!$A$2:$Y$5,3,FALSE),0)</f>
        <v>0</v>
      </c>
      <c r="AA17" s="588">
        <f t="shared" si="2"/>
        <v>0</v>
      </c>
      <c r="AB17" s="588">
        <f t="shared" si="5"/>
        <v>0</v>
      </c>
      <c r="AC17" s="588">
        <f t="shared" si="3"/>
        <v>0</v>
      </c>
      <c r="AD17" s="588">
        <f t="shared" si="3"/>
        <v>0</v>
      </c>
      <c r="AE17" s="588">
        <f t="shared" si="3"/>
        <v>0</v>
      </c>
      <c r="AF17" s="588">
        <f t="shared" si="3"/>
        <v>0</v>
      </c>
      <c r="AG17" s="588">
        <f t="shared" si="3"/>
        <v>0</v>
      </c>
      <c r="AH17" s="588">
        <f t="shared" si="3"/>
        <v>0</v>
      </c>
      <c r="AI17" s="588">
        <f t="shared" si="3"/>
        <v>0</v>
      </c>
      <c r="AJ17" s="588">
        <f t="shared" si="3"/>
        <v>0</v>
      </c>
      <c r="AK17" s="588">
        <f t="shared" si="3"/>
        <v>0</v>
      </c>
      <c r="AL17" s="588">
        <f t="shared" si="3"/>
        <v>0</v>
      </c>
      <c r="AM17" s="588">
        <f t="shared" si="3"/>
        <v>0</v>
      </c>
      <c r="AN17" s="588">
        <f t="shared" si="4"/>
        <v>0</v>
      </c>
    </row>
    <row r="18" spans="1:40" ht="16.5" customHeight="1">
      <c r="A18" s="511" t="s">
        <v>2110</v>
      </c>
      <c r="B18" s="591" t="s">
        <v>2628</v>
      </c>
      <c r="D18" s="17" t="s">
        <v>2611</v>
      </c>
      <c r="E18" s="17" t="s">
        <v>2627</v>
      </c>
      <c r="G18" s="17" t="s">
        <v>2629</v>
      </c>
      <c r="H18" s="18" t="s">
        <v>2617</v>
      </c>
      <c r="I18" s="457" t="s">
        <v>2614</v>
      </c>
      <c r="J18" s="457" t="s">
        <v>2368</v>
      </c>
      <c r="K18" s="18">
        <v>0</v>
      </c>
      <c r="L18" s="586">
        <v>46023</v>
      </c>
      <c r="M18" s="586">
        <v>46387</v>
      </c>
      <c r="N18" s="460">
        <f t="shared" si="1"/>
        <v>12</v>
      </c>
      <c r="O18" s="588">
        <f>IF(AND($L18&lt;=O$3,O$3&lt;=$M18),$K18/$N18*HLOOKUP(O$3,'FX Lookup'!$A$2:$Y$5,3,FALSE),0)</f>
        <v>0</v>
      </c>
      <c r="P18" s="588">
        <f>IF(AND($L18&lt;=P$3,P$3&lt;=$M18),$K18/$N18*HLOOKUP(P$3,'FX Lookup'!$A$2:$Y$5,3,FALSE),0)</f>
        <v>0</v>
      </c>
      <c r="Q18" s="588">
        <f>IF(AND($L18&lt;=Q$3,Q$3&lt;=$M18),$K18/$N18*HLOOKUP(Q$3,'FX Lookup'!$A$2:$Y$5,3,FALSE),0)</f>
        <v>0</v>
      </c>
      <c r="R18" s="588">
        <f>IF(AND($L18&lt;=R$3,R$3&lt;=$M18),$K18/$N18*HLOOKUP(R$3,'FX Lookup'!$A$2:$Y$5,3,FALSE),0)</f>
        <v>0</v>
      </c>
      <c r="S18" s="588">
        <f>IF(AND($L18&lt;=S$3,S$3&lt;=$M18),$K18/$N18*HLOOKUP(S$3,'FX Lookup'!$A$2:$Y$5,3,FALSE),0)</f>
        <v>0</v>
      </c>
      <c r="T18" s="588">
        <f>IF(AND($L18&lt;=T$3,T$3&lt;=$M18),$K18/$N18*HLOOKUP(T$3,'FX Lookup'!$A$2:$Y$5,3,FALSE),0)</f>
        <v>0</v>
      </c>
      <c r="U18" s="588">
        <f>IF(AND($L18&lt;=U$3,U$3&lt;=$M18),$K18/$N18*HLOOKUP(U$3,'FX Lookup'!$A$2:$Y$5,3,FALSE),0)</f>
        <v>0</v>
      </c>
      <c r="V18" s="588">
        <f>IF(AND($L18&lt;=V$3,V$3&lt;=$M18),$K18/$N18*HLOOKUP(V$3,'FX Lookup'!$A$2:$Y$5,3,FALSE),0)</f>
        <v>0</v>
      </c>
      <c r="W18" s="588">
        <f>IF(AND($L18&lt;=W$3,W$3&lt;=$M18),$K18/$N18*HLOOKUP(W$3,'FX Lookup'!$A$2:$Y$5,3,FALSE),0)</f>
        <v>0</v>
      </c>
      <c r="X18" s="588">
        <f>IF(AND($L18&lt;=X$3,X$3&lt;=$M18),$K18/$N18*HLOOKUP(X$3,'FX Lookup'!$A$2:$Y$5,3,FALSE),0)</f>
        <v>0</v>
      </c>
      <c r="Y18" s="588">
        <f>IF(AND($L18&lt;=Y$3,Y$3&lt;=$M18),$K18/$N18*HLOOKUP(Y$3,'FX Lookup'!$A$2:$Y$5,3,FALSE),0)</f>
        <v>0</v>
      </c>
      <c r="Z18" s="588">
        <f>IF(AND($L18&lt;=Z$3,Z$3&lt;=$M18),$K18/$N18*HLOOKUP(Z$3,'FX Lookup'!$A$2:$Y$5,3,FALSE),0)</f>
        <v>0</v>
      </c>
      <c r="AA18" s="588">
        <f t="shared" si="2"/>
        <v>0</v>
      </c>
      <c r="AB18" s="588">
        <f t="shared" si="5"/>
        <v>0</v>
      </c>
      <c r="AC18" s="588">
        <f t="shared" si="3"/>
        <v>0</v>
      </c>
      <c r="AD18" s="588">
        <f t="shared" si="3"/>
        <v>0</v>
      </c>
      <c r="AE18" s="588">
        <f t="shared" si="3"/>
        <v>0</v>
      </c>
      <c r="AF18" s="588">
        <f t="shared" si="3"/>
        <v>0</v>
      </c>
      <c r="AG18" s="588">
        <f t="shared" si="3"/>
        <v>0</v>
      </c>
      <c r="AH18" s="588">
        <f t="shared" si="3"/>
        <v>0</v>
      </c>
      <c r="AI18" s="588">
        <f t="shared" si="3"/>
        <v>0</v>
      </c>
      <c r="AJ18" s="588">
        <f t="shared" si="3"/>
        <v>0</v>
      </c>
      <c r="AK18" s="588">
        <f t="shared" si="3"/>
        <v>0</v>
      </c>
      <c r="AL18" s="588">
        <f t="shared" si="3"/>
        <v>0</v>
      </c>
      <c r="AM18" s="588">
        <f t="shared" si="3"/>
        <v>0</v>
      </c>
      <c r="AN18" s="588">
        <f t="shared" si="4"/>
        <v>0</v>
      </c>
    </row>
    <row r="19" spans="1:40" ht="16.5" customHeight="1">
      <c r="A19" s="511" t="s">
        <v>2110</v>
      </c>
      <c r="B19" s="567">
        <v>5080030</v>
      </c>
      <c r="D19" s="17" t="s">
        <v>2611</v>
      </c>
      <c r="E19" s="17" t="s">
        <v>1619</v>
      </c>
      <c r="G19" s="17" t="s">
        <v>1619</v>
      </c>
      <c r="H19" s="18" t="s">
        <v>2624</v>
      </c>
      <c r="I19" s="457" t="s">
        <v>2614</v>
      </c>
      <c r="J19" s="457" t="s">
        <v>2368</v>
      </c>
      <c r="K19" s="18">
        <v>0</v>
      </c>
      <c r="L19" s="586">
        <v>46023</v>
      </c>
      <c r="M19" s="586">
        <v>46387</v>
      </c>
      <c r="N19" s="460">
        <f t="shared" si="1"/>
        <v>12</v>
      </c>
      <c r="O19" s="588">
        <f>IF(AND($L19&lt;=O$3,O$3&lt;=$M19),$K19/$N19*HLOOKUP(O$3,'FX Lookup'!$A$2:$Y$5,3,FALSE),0)</f>
        <v>0</v>
      </c>
      <c r="P19" s="588">
        <f>IF(AND($L19&lt;=P$3,P$3&lt;=$M19),$K19/$N19*HLOOKUP(P$3,'FX Lookup'!$A$2:$Y$5,3,FALSE),0)</f>
        <v>0</v>
      </c>
      <c r="Q19" s="588">
        <f>IF(AND($L19&lt;=Q$3,Q$3&lt;=$M19),$K19/$N19*HLOOKUP(Q$3,'FX Lookup'!$A$2:$Y$5,3,FALSE),0)</f>
        <v>0</v>
      </c>
      <c r="R19" s="588">
        <f>IF(AND($L19&lt;=R$3,R$3&lt;=$M19),$K19/$N19*HLOOKUP(R$3,'FX Lookup'!$A$2:$Y$5,3,FALSE),0)</f>
        <v>0</v>
      </c>
      <c r="S19" s="588">
        <f>IF(AND($L19&lt;=S$3,S$3&lt;=$M19),$K19/$N19*HLOOKUP(S$3,'FX Lookup'!$A$2:$Y$5,3,FALSE),0)</f>
        <v>0</v>
      </c>
      <c r="T19" s="588">
        <f>IF(AND($L19&lt;=T$3,T$3&lt;=$M19),$K19/$N19*HLOOKUP(T$3,'FX Lookup'!$A$2:$Y$5,3,FALSE),0)</f>
        <v>0</v>
      </c>
      <c r="U19" s="588">
        <f>IF(AND($L19&lt;=U$3,U$3&lt;=$M19),$K19/$N19*HLOOKUP(U$3,'FX Lookup'!$A$2:$Y$5,3,FALSE),0)</f>
        <v>0</v>
      </c>
      <c r="V19" s="588">
        <f>IF(AND($L19&lt;=V$3,V$3&lt;=$M19),$K19/$N19*HLOOKUP(V$3,'FX Lookup'!$A$2:$Y$5,3,FALSE),0)</f>
        <v>0</v>
      </c>
      <c r="W19" s="588">
        <f>IF(AND($L19&lt;=W$3,W$3&lt;=$M19),$K19/$N19*HLOOKUP(W$3,'FX Lookup'!$A$2:$Y$5,3,FALSE),0)</f>
        <v>0</v>
      </c>
      <c r="X19" s="588">
        <f>IF(AND($L19&lt;=X$3,X$3&lt;=$M19),$K19/$N19*HLOOKUP(X$3,'FX Lookup'!$A$2:$Y$5,3,FALSE),0)</f>
        <v>0</v>
      </c>
      <c r="Y19" s="588">
        <f>IF(AND($L19&lt;=Y$3,Y$3&lt;=$M19),$K19/$N19*HLOOKUP(Y$3,'FX Lookup'!$A$2:$Y$5,3,FALSE),0)</f>
        <v>0</v>
      </c>
      <c r="Z19" s="588">
        <f>IF(AND($L19&lt;=Z$3,Z$3&lt;=$M19),$K19/$N19*HLOOKUP(Z$3,'FX Lookup'!$A$2:$Y$5,3,FALSE),0)</f>
        <v>0</v>
      </c>
      <c r="AA19" s="588">
        <f t="shared" si="2"/>
        <v>0</v>
      </c>
      <c r="AB19" s="588">
        <f t="shared" si="5"/>
        <v>0</v>
      </c>
      <c r="AC19" s="588">
        <f t="shared" si="3"/>
        <v>0</v>
      </c>
      <c r="AD19" s="588">
        <f t="shared" si="3"/>
        <v>0</v>
      </c>
      <c r="AE19" s="588">
        <f t="shared" si="3"/>
        <v>0</v>
      </c>
      <c r="AF19" s="588">
        <f t="shared" si="3"/>
        <v>0</v>
      </c>
      <c r="AG19" s="588">
        <f t="shared" si="3"/>
        <v>0</v>
      </c>
      <c r="AH19" s="588">
        <f t="shared" si="3"/>
        <v>0</v>
      </c>
      <c r="AI19" s="588">
        <f t="shared" si="3"/>
        <v>0</v>
      </c>
      <c r="AJ19" s="588">
        <f t="shared" si="3"/>
        <v>0</v>
      </c>
      <c r="AK19" s="588">
        <f t="shared" si="3"/>
        <v>0</v>
      </c>
      <c r="AL19" s="588">
        <f t="shared" si="3"/>
        <v>0</v>
      </c>
      <c r="AM19" s="588">
        <f t="shared" si="3"/>
        <v>0</v>
      </c>
      <c r="AN19" s="588">
        <f t="shared" si="4"/>
        <v>0</v>
      </c>
    </row>
    <row r="20" spans="1:40" ht="16.5" customHeight="1">
      <c r="A20" s="511" t="s">
        <v>2110</v>
      </c>
      <c r="B20" s="567">
        <v>5080061</v>
      </c>
      <c r="C20" s="567" t="s">
        <v>1598</v>
      </c>
      <c r="D20" s="17" t="s">
        <v>2611</v>
      </c>
      <c r="E20" s="17" t="s">
        <v>1600</v>
      </c>
      <c r="F20" s="17" t="str">
        <f>'CF-ACPL（合并）'!A27</f>
        <v>支付的其他与经营活动有关的现金（其他）</v>
      </c>
      <c r="G20" s="17" t="s">
        <v>1600</v>
      </c>
      <c r="H20" s="18" t="s">
        <v>2613</v>
      </c>
      <c r="I20" s="457" t="s">
        <v>2614</v>
      </c>
      <c r="J20" s="457" t="s">
        <v>2368</v>
      </c>
      <c r="K20" s="18">
        <v>0</v>
      </c>
      <c r="L20" s="586">
        <v>46023</v>
      </c>
      <c r="M20" s="586">
        <v>46387</v>
      </c>
      <c r="N20" s="460">
        <f t="shared" si="1"/>
        <v>12</v>
      </c>
      <c r="O20" s="588">
        <f>IF(AND($L20&lt;=O$3,O$3&lt;=$M20),$K20/$N20*HLOOKUP(O$3,'FX Lookup'!$A$2:$Y$5,3,FALSE),0)</f>
        <v>0</v>
      </c>
      <c r="P20" s="588">
        <f>IF(AND($L20&lt;=P$3,P$3&lt;=$M20),$K20/$N20*HLOOKUP(P$3,'FX Lookup'!$A$2:$Y$5,3,FALSE),0)</f>
        <v>0</v>
      </c>
      <c r="Q20" s="588">
        <f>IF(AND($L20&lt;=Q$3,Q$3&lt;=$M20),$K20/$N20*HLOOKUP(Q$3,'FX Lookup'!$A$2:$Y$5,3,FALSE),0)</f>
        <v>0</v>
      </c>
      <c r="R20" s="588">
        <f>IF(AND($L20&lt;=R$3,R$3&lt;=$M20),$K20/$N20*HLOOKUP(R$3,'FX Lookup'!$A$2:$Y$5,3,FALSE),0)</f>
        <v>0</v>
      </c>
      <c r="S20" s="588">
        <f>IF(AND($L20&lt;=S$3,S$3&lt;=$M20),$K20/$N20*HLOOKUP(S$3,'FX Lookup'!$A$2:$Y$5,3,FALSE),0)</f>
        <v>0</v>
      </c>
      <c r="T20" s="588">
        <f>IF(AND($L20&lt;=T$3,T$3&lt;=$M20),$K20/$N20*HLOOKUP(T$3,'FX Lookup'!$A$2:$Y$5,3,FALSE),0)</f>
        <v>0</v>
      </c>
      <c r="U20" s="588">
        <f>IF(AND($L20&lt;=U$3,U$3&lt;=$M20),$K20/$N20*HLOOKUP(U$3,'FX Lookup'!$A$2:$Y$5,3,FALSE),0)</f>
        <v>0</v>
      </c>
      <c r="V20" s="588">
        <f>IF(AND($L20&lt;=V$3,V$3&lt;=$M20),$K20/$N20*HLOOKUP(V$3,'FX Lookup'!$A$2:$Y$5,3,FALSE),0)</f>
        <v>0</v>
      </c>
      <c r="W20" s="588">
        <f>IF(AND($L20&lt;=W$3,W$3&lt;=$M20),$K20/$N20*HLOOKUP(W$3,'FX Lookup'!$A$2:$Y$5,3,FALSE),0)</f>
        <v>0</v>
      </c>
      <c r="X20" s="588">
        <f>IF(AND($L20&lt;=X$3,X$3&lt;=$M20),$K20/$N20*HLOOKUP(X$3,'FX Lookup'!$A$2:$Y$5,3,FALSE),0)</f>
        <v>0</v>
      </c>
      <c r="Y20" s="588">
        <f>IF(AND($L20&lt;=Y$3,Y$3&lt;=$M20),$K20/$N20*HLOOKUP(Y$3,'FX Lookup'!$A$2:$Y$5,3,FALSE),0)</f>
        <v>0</v>
      </c>
      <c r="Z20" s="588">
        <f>IF(AND($L20&lt;=Z$3,Z$3&lt;=$M20),$K20/$N20*HLOOKUP(Z$3,'FX Lookup'!$A$2:$Y$5,3,FALSE),0)</f>
        <v>0</v>
      </c>
      <c r="AA20" s="588">
        <f t="shared" si="2"/>
        <v>0</v>
      </c>
      <c r="AB20" s="588">
        <f t="shared" si="5"/>
        <v>0</v>
      </c>
      <c r="AC20" s="588">
        <f t="shared" si="3"/>
        <v>0</v>
      </c>
      <c r="AD20" s="588">
        <f t="shared" si="3"/>
        <v>0</v>
      </c>
      <c r="AE20" s="588">
        <f t="shared" si="3"/>
        <v>0</v>
      </c>
      <c r="AF20" s="588">
        <f t="shared" si="3"/>
        <v>0</v>
      </c>
      <c r="AG20" s="588">
        <f t="shared" si="3"/>
        <v>0</v>
      </c>
      <c r="AH20" s="588">
        <f t="shared" si="3"/>
        <v>0</v>
      </c>
      <c r="AI20" s="588">
        <f t="shared" si="3"/>
        <v>0</v>
      </c>
      <c r="AJ20" s="588">
        <f t="shared" si="3"/>
        <v>0</v>
      </c>
      <c r="AK20" s="588">
        <f t="shared" si="3"/>
        <v>0</v>
      </c>
      <c r="AL20" s="588">
        <f t="shared" si="3"/>
        <v>0</v>
      </c>
      <c r="AM20" s="588">
        <f t="shared" si="3"/>
        <v>0</v>
      </c>
      <c r="AN20" s="588">
        <f t="shared" si="4"/>
        <v>0</v>
      </c>
    </row>
    <row r="21" spans="1:40" ht="16.5" customHeight="1">
      <c r="A21" s="511" t="s">
        <v>2110</v>
      </c>
      <c r="B21" s="567">
        <v>5080062</v>
      </c>
      <c r="C21" s="567" t="s">
        <v>1603</v>
      </c>
      <c r="D21" s="17" t="s">
        <v>2611</v>
      </c>
      <c r="E21" s="17" t="s">
        <v>2630</v>
      </c>
      <c r="F21" s="17" t="str">
        <f>'CF-ACPL（合并）'!A27</f>
        <v>支付的其他与经营活动有关的现金（其他）</v>
      </c>
      <c r="G21" s="17" t="s">
        <v>2630</v>
      </c>
      <c r="H21" s="18" t="s">
        <v>2613</v>
      </c>
      <c r="I21" s="457" t="s">
        <v>2614</v>
      </c>
      <c r="J21" s="457" t="s">
        <v>2368</v>
      </c>
      <c r="K21" s="18">
        <v>0</v>
      </c>
      <c r="L21" s="586">
        <v>46023</v>
      </c>
      <c r="M21" s="586">
        <v>46387</v>
      </c>
      <c r="N21" s="460">
        <f t="shared" si="1"/>
        <v>12</v>
      </c>
      <c r="O21" s="588">
        <f>IF(AND($L21&lt;=O$3,O$3&lt;=$M21),$K21/$N21*HLOOKUP(O$3,'FX Lookup'!$A$2:$Y$5,3,FALSE),0)</f>
        <v>0</v>
      </c>
      <c r="P21" s="588">
        <f>IF(AND($L21&lt;=P$3,P$3&lt;=$M21),$K21/$N21*HLOOKUP(P$3,'FX Lookup'!$A$2:$Y$5,3,FALSE),0)</f>
        <v>0</v>
      </c>
      <c r="Q21" s="588">
        <f>IF(AND($L21&lt;=Q$3,Q$3&lt;=$M21),$K21/$N21*HLOOKUP(Q$3,'FX Lookup'!$A$2:$Y$5,3,FALSE),0)</f>
        <v>0</v>
      </c>
      <c r="R21" s="588">
        <f>IF(AND($L21&lt;=R$3,R$3&lt;=$M21),$K21/$N21*HLOOKUP(R$3,'FX Lookup'!$A$2:$Y$5,3,FALSE),0)</f>
        <v>0</v>
      </c>
      <c r="S21" s="588">
        <f>IF(AND($L21&lt;=S$3,S$3&lt;=$M21),$K21/$N21*HLOOKUP(S$3,'FX Lookup'!$A$2:$Y$5,3,FALSE),0)</f>
        <v>0</v>
      </c>
      <c r="T21" s="588">
        <f>IF(AND($L21&lt;=T$3,T$3&lt;=$M21),$K21/$N21*HLOOKUP(T$3,'FX Lookup'!$A$2:$Y$5,3,FALSE),0)</f>
        <v>0</v>
      </c>
      <c r="U21" s="588">
        <f>IF(AND($L21&lt;=U$3,U$3&lt;=$M21),$K21/$N21*HLOOKUP(U$3,'FX Lookup'!$A$2:$Y$5,3,FALSE),0)</f>
        <v>0</v>
      </c>
      <c r="V21" s="588">
        <f>IF(AND($L21&lt;=V$3,V$3&lt;=$M21),$K21/$N21*HLOOKUP(V$3,'FX Lookup'!$A$2:$Y$5,3,FALSE),0)</f>
        <v>0</v>
      </c>
      <c r="W21" s="588">
        <f>IF(AND($L21&lt;=W$3,W$3&lt;=$M21),$K21/$N21*HLOOKUP(W$3,'FX Lookup'!$A$2:$Y$5,3,FALSE),0)</f>
        <v>0</v>
      </c>
      <c r="X21" s="588">
        <f>IF(AND($L21&lt;=X$3,X$3&lt;=$M21),$K21/$N21*HLOOKUP(X$3,'FX Lookup'!$A$2:$Y$5,3,FALSE),0)</f>
        <v>0</v>
      </c>
      <c r="Y21" s="588">
        <f>IF(AND($L21&lt;=Y$3,Y$3&lt;=$M21),$K21/$N21*HLOOKUP(Y$3,'FX Lookup'!$A$2:$Y$5,3,FALSE),0)</f>
        <v>0</v>
      </c>
      <c r="Z21" s="588">
        <f>IF(AND($L21&lt;=Z$3,Z$3&lt;=$M21),$K21/$N21*HLOOKUP(Z$3,'FX Lookup'!$A$2:$Y$5,3,FALSE),0)</f>
        <v>0</v>
      </c>
      <c r="AA21" s="588">
        <f t="shared" si="2"/>
        <v>0</v>
      </c>
      <c r="AB21" s="588">
        <f t="shared" si="5"/>
        <v>0</v>
      </c>
      <c r="AC21" s="588">
        <f t="shared" si="3"/>
        <v>0</v>
      </c>
      <c r="AD21" s="588">
        <f t="shared" si="3"/>
        <v>0</v>
      </c>
      <c r="AE21" s="588">
        <f t="shared" si="3"/>
        <v>0</v>
      </c>
      <c r="AF21" s="588">
        <f t="shared" si="3"/>
        <v>0</v>
      </c>
      <c r="AG21" s="588">
        <f t="shared" si="3"/>
        <v>0</v>
      </c>
      <c r="AH21" s="588">
        <f t="shared" si="3"/>
        <v>0</v>
      </c>
      <c r="AI21" s="588">
        <f t="shared" si="3"/>
        <v>0</v>
      </c>
      <c r="AJ21" s="588">
        <f t="shared" si="3"/>
        <v>0</v>
      </c>
      <c r="AK21" s="588">
        <f t="shared" si="3"/>
        <v>0</v>
      </c>
      <c r="AL21" s="588">
        <f t="shared" si="3"/>
        <v>0</v>
      </c>
      <c r="AM21" s="588">
        <f t="shared" si="3"/>
        <v>0</v>
      </c>
      <c r="AN21" s="588">
        <f t="shared" si="4"/>
        <v>0</v>
      </c>
    </row>
    <row r="22" spans="1:40" ht="16.5" customHeight="1">
      <c r="A22" s="511" t="s">
        <v>2110</v>
      </c>
      <c r="B22" s="567">
        <v>504014</v>
      </c>
      <c r="D22" s="17" t="s">
        <v>2631</v>
      </c>
      <c r="E22" s="17" t="s">
        <v>2632</v>
      </c>
      <c r="F22" s="17" t="str">
        <f>'CF-ACPL（合并）'!A51</f>
        <v>支付的其他与筹资活动有关的现金</v>
      </c>
      <c r="G22" s="17" t="s">
        <v>2633</v>
      </c>
      <c r="H22" s="18" t="s">
        <v>2634</v>
      </c>
      <c r="I22" s="457" t="s">
        <v>2614</v>
      </c>
      <c r="J22" s="457" t="s">
        <v>2368</v>
      </c>
      <c r="K22" s="18">
        <v>0</v>
      </c>
      <c r="L22" s="586">
        <v>46023</v>
      </c>
      <c r="M22" s="586">
        <v>46387</v>
      </c>
      <c r="N22" s="460">
        <f t="shared" si="1"/>
        <v>12</v>
      </c>
      <c r="O22" s="588">
        <f>IF(AND($L22&lt;=O$3,O$3&lt;=$M22),$K22/$N22*HLOOKUP(O$3,'FX Lookup'!$A$2:$Y$5,3,FALSE),0)</f>
        <v>0</v>
      </c>
      <c r="P22" s="588">
        <f>IF(AND($L22&lt;=P$3,P$3&lt;=$M22),$K22/$N22*HLOOKUP(P$3,'FX Lookup'!$A$2:$Y$5,3,FALSE),0)</f>
        <v>0</v>
      </c>
      <c r="Q22" s="588">
        <f>IF(AND($L22&lt;=Q$3,Q$3&lt;=$M22),$K22/$N22*HLOOKUP(Q$3,'FX Lookup'!$A$2:$Y$5,3,FALSE),0)</f>
        <v>0</v>
      </c>
      <c r="R22" s="588">
        <f>IF(AND($L22&lt;=R$3,R$3&lt;=$M22),$K22/$N22*HLOOKUP(R$3,'FX Lookup'!$A$2:$Y$5,3,FALSE),0)</f>
        <v>0</v>
      </c>
      <c r="S22" s="588">
        <f>IF(AND($L22&lt;=S$3,S$3&lt;=$M22),$K22/$N22*HLOOKUP(S$3,'FX Lookup'!$A$2:$Y$5,3,FALSE),0)</f>
        <v>0</v>
      </c>
      <c r="T22" s="588">
        <f>IF(AND($L22&lt;=T$3,T$3&lt;=$M22),$K22/$N22*HLOOKUP(T$3,'FX Lookup'!$A$2:$Y$5,3,FALSE),0)</f>
        <v>0</v>
      </c>
      <c r="U22" s="588">
        <f>IF(AND($L22&lt;=U$3,U$3&lt;=$M22),$K22/$N22*HLOOKUP(U$3,'FX Lookup'!$A$2:$Y$5,3,FALSE),0)</f>
        <v>0</v>
      </c>
      <c r="V22" s="588">
        <f>IF(AND($L22&lt;=V$3,V$3&lt;=$M22),$K22/$N22*HLOOKUP(V$3,'FX Lookup'!$A$2:$Y$5,3,FALSE),0)</f>
        <v>0</v>
      </c>
      <c r="W22" s="588">
        <f>IF(AND($L22&lt;=W$3,W$3&lt;=$M22),$K22/$N22*HLOOKUP(W$3,'FX Lookup'!$A$2:$Y$5,3,FALSE),0)</f>
        <v>0</v>
      </c>
      <c r="X22" s="588">
        <f>IF(AND($L22&lt;=X$3,X$3&lt;=$M22),$K22/$N22*HLOOKUP(X$3,'FX Lookup'!$A$2:$Y$5,3,FALSE),0)</f>
        <v>0</v>
      </c>
      <c r="Y22" s="588">
        <f>IF(AND($L22&lt;=Y$3,Y$3&lt;=$M22),$K22/$N22*HLOOKUP(Y$3,'FX Lookup'!$A$2:$Y$5,3,FALSE),0)</f>
        <v>0</v>
      </c>
      <c r="Z22" s="588">
        <f>IF(AND($L22&lt;=Z$3,Z$3&lt;=$M22),$K22/$N22*HLOOKUP(Z$3,'FX Lookup'!$A$2:$Y$5,3,FALSE),0)</f>
        <v>0</v>
      </c>
      <c r="AA22" s="588">
        <f t="shared" si="2"/>
        <v>0</v>
      </c>
      <c r="AB22" s="588">
        <f t="shared" si="5"/>
        <v>0</v>
      </c>
      <c r="AC22" s="588">
        <f t="shared" si="3"/>
        <v>0</v>
      </c>
      <c r="AD22" s="588">
        <f t="shared" si="3"/>
        <v>0</v>
      </c>
      <c r="AE22" s="588">
        <f t="shared" si="3"/>
        <v>0</v>
      </c>
      <c r="AF22" s="588">
        <f t="shared" si="3"/>
        <v>0</v>
      </c>
      <c r="AG22" s="588">
        <f t="shared" si="3"/>
        <v>0</v>
      </c>
      <c r="AH22" s="588">
        <f t="shared" si="3"/>
        <v>0</v>
      </c>
      <c r="AI22" s="588">
        <f t="shared" si="3"/>
        <v>0</v>
      </c>
      <c r="AJ22" s="588">
        <f t="shared" si="3"/>
        <v>0</v>
      </c>
      <c r="AK22" s="588">
        <f t="shared" si="3"/>
        <v>0</v>
      </c>
      <c r="AL22" s="588">
        <f t="shared" si="3"/>
        <v>0</v>
      </c>
      <c r="AM22" s="588">
        <f t="shared" si="3"/>
        <v>0</v>
      </c>
      <c r="AN22" s="588">
        <f t="shared" si="4"/>
        <v>0</v>
      </c>
    </row>
    <row r="23" spans="1:40" ht="16.5" customHeight="1">
      <c r="A23" s="511" t="s">
        <v>2110</v>
      </c>
      <c r="B23" s="567">
        <v>504015</v>
      </c>
      <c r="D23" s="17" t="s">
        <v>2631</v>
      </c>
      <c r="E23" s="17" t="s">
        <v>2635</v>
      </c>
      <c r="G23" s="17" t="s">
        <v>2635</v>
      </c>
      <c r="H23" s="18" t="s">
        <v>2634</v>
      </c>
      <c r="I23" s="457" t="s">
        <v>2614</v>
      </c>
      <c r="J23" s="457" t="s">
        <v>2368</v>
      </c>
      <c r="K23" s="18">
        <v>0</v>
      </c>
      <c r="L23" s="586">
        <v>46023</v>
      </c>
      <c r="M23" s="586">
        <v>46387</v>
      </c>
      <c r="N23" s="460">
        <f t="shared" si="1"/>
        <v>12</v>
      </c>
      <c r="O23" s="588">
        <f>IF(AND($L23&lt;=O$3,O$3&lt;=$M23),$K23/$N23*HLOOKUP(O$3,'FX Lookup'!$A$2:$Y$5,3,FALSE),0)</f>
        <v>0</v>
      </c>
      <c r="P23" s="588">
        <f>IF(AND($L23&lt;=P$3,P$3&lt;=$M23),$K23/$N23*HLOOKUP(P$3,'FX Lookup'!$A$2:$Y$5,3,FALSE),0)</f>
        <v>0</v>
      </c>
      <c r="Q23" s="588">
        <f>IF(AND($L23&lt;=Q$3,Q$3&lt;=$M23),$K23/$N23*HLOOKUP(Q$3,'FX Lookup'!$A$2:$Y$5,3,FALSE),0)</f>
        <v>0</v>
      </c>
      <c r="R23" s="588">
        <f>IF(AND($L23&lt;=R$3,R$3&lt;=$M23),$K23/$N23*HLOOKUP(R$3,'FX Lookup'!$A$2:$Y$5,3,FALSE),0)</f>
        <v>0</v>
      </c>
      <c r="S23" s="588">
        <f>IF(AND($L23&lt;=S$3,S$3&lt;=$M23),$K23/$N23*HLOOKUP(S$3,'FX Lookup'!$A$2:$Y$5,3,FALSE),0)</f>
        <v>0</v>
      </c>
      <c r="T23" s="588">
        <f>IF(AND($L23&lt;=T$3,T$3&lt;=$M23),$K23/$N23*HLOOKUP(T$3,'FX Lookup'!$A$2:$Y$5,3,FALSE),0)</f>
        <v>0</v>
      </c>
      <c r="U23" s="588">
        <f>IF(AND($L23&lt;=U$3,U$3&lt;=$M23),$K23/$N23*HLOOKUP(U$3,'FX Lookup'!$A$2:$Y$5,3,FALSE),0)</f>
        <v>0</v>
      </c>
      <c r="V23" s="588">
        <f>IF(AND($L23&lt;=V$3,V$3&lt;=$M23),$K23/$N23*HLOOKUP(V$3,'FX Lookup'!$A$2:$Y$5,3,FALSE),0)</f>
        <v>0</v>
      </c>
      <c r="W23" s="588">
        <f>IF(AND($L23&lt;=W$3,W$3&lt;=$M23),$K23/$N23*HLOOKUP(W$3,'FX Lookup'!$A$2:$Y$5,3,FALSE),0)</f>
        <v>0</v>
      </c>
      <c r="X23" s="588">
        <f>IF(AND($L23&lt;=X$3,X$3&lt;=$M23),$K23/$N23*HLOOKUP(X$3,'FX Lookup'!$A$2:$Y$5,3,FALSE),0)</f>
        <v>0</v>
      </c>
      <c r="Y23" s="588">
        <f>IF(AND($L23&lt;=Y$3,Y$3&lt;=$M23),$K23/$N23*HLOOKUP(Y$3,'FX Lookup'!$A$2:$Y$5,3,FALSE),0)</f>
        <v>0</v>
      </c>
      <c r="Z23" s="588">
        <f>IF(AND($L23&lt;=Z$3,Z$3&lt;=$M23),$K23/$N23*HLOOKUP(Z$3,'FX Lookup'!$A$2:$Y$5,3,FALSE),0)</f>
        <v>0</v>
      </c>
      <c r="AA23" s="588">
        <f t="shared" si="2"/>
        <v>0</v>
      </c>
      <c r="AB23" s="588">
        <f t="shared" si="5"/>
        <v>0</v>
      </c>
      <c r="AC23" s="588">
        <f t="shared" ref="AC23:AC86" si="6">P23*(1+$AB$2)</f>
        <v>0</v>
      </c>
      <c r="AD23" s="588">
        <f t="shared" ref="AD23:AD86" si="7">Q23*(1+$AB$2)</f>
        <v>0</v>
      </c>
      <c r="AE23" s="588">
        <f t="shared" ref="AE23:AE86" si="8">R23*(1+$AB$2)</f>
        <v>0</v>
      </c>
      <c r="AF23" s="588">
        <f t="shared" ref="AF23:AF86" si="9">S23*(1+$AB$2)</f>
        <v>0</v>
      </c>
      <c r="AG23" s="588">
        <f t="shared" ref="AG23:AG86" si="10">T23*(1+$AB$2)</f>
        <v>0</v>
      </c>
      <c r="AH23" s="588">
        <f t="shared" ref="AH23:AH86" si="11">U23*(1+$AB$2)</f>
        <v>0</v>
      </c>
      <c r="AI23" s="588">
        <f t="shared" ref="AI23:AI86" si="12">V23*(1+$AB$2)</f>
        <v>0</v>
      </c>
      <c r="AJ23" s="588">
        <f t="shared" ref="AJ23:AJ86" si="13">W23*(1+$AB$2)</f>
        <v>0</v>
      </c>
      <c r="AK23" s="588">
        <f t="shared" ref="AK23:AK86" si="14">X23*(1+$AB$2)</f>
        <v>0</v>
      </c>
      <c r="AL23" s="588">
        <f t="shared" ref="AL23:AL86" si="15">Y23*(1+$AB$2)</f>
        <v>0</v>
      </c>
      <c r="AM23" s="588">
        <f t="shared" ref="AM23:AM86" si="16">Z23*(1+$AB$2)</f>
        <v>0</v>
      </c>
      <c r="AN23" s="588">
        <f t="shared" si="4"/>
        <v>0</v>
      </c>
    </row>
    <row r="24" spans="1:40" ht="16.5" customHeight="1">
      <c r="A24" s="511" t="s">
        <v>2110</v>
      </c>
      <c r="B24" s="567">
        <v>504016</v>
      </c>
      <c r="D24" s="17" t="s">
        <v>2631</v>
      </c>
      <c r="E24" s="17" t="s">
        <v>2636</v>
      </c>
      <c r="F24" s="17" t="str">
        <f>'CF-ACPL（合并）'!A38</f>
        <v>购建固定资产、无形资产和其他长期资产支付的现金</v>
      </c>
      <c r="G24" s="17" t="s">
        <v>2636</v>
      </c>
      <c r="H24" s="18" t="s">
        <v>2634</v>
      </c>
      <c r="I24" s="457" t="s">
        <v>2614</v>
      </c>
      <c r="J24" s="457" t="s">
        <v>2368</v>
      </c>
      <c r="K24" s="18">
        <v>0</v>
      </c>
      <c r="L24" s="586">
        <v>46023</v>
      </c>
      <c r="M24" s="586">
        <v>46387</v>
      </c>
      <c r="N24" s="460">
        <f t="shared" si="1"/>
        <v>12</v>
      </c>
      <c r="O24" s="588">
        <f>IF(AND($L24&lt;=O$3,O$3&lt;=$M24),$K24/$N24*HLOOKUP(O$3,'FX Lookup'!$A$2:$Y$5,3,FALSE),0)</f>
        <v>0</v>
      </c>
      <c r="P24" s="588">
        <f>IF(AND($L24&lt;=P$3,P$3&lt;=$M24),$K24/$N24*HLOOKUP(P$3,'FX Lookup'!$A$2:$Y$5,3,FALSE),0)</f>
        <v>0</v>
      </c>
      <c r="Q24" s="588">
        <f>IF(AND($L24&lt;=Q$3,Q$3&lt;=$M24),$K24/$N24*HLOOKUP(Q$3,'FX Lookup'!$A$2:$Y$5,3,FALSE),0)</f>
        <v>0</v>
      </c>
      <c r="R24" s="588">
        <f>IF(AND($L24&lt;=R$3,R$3&lt;=$M24),$K24/$N24*HLOOKUP(R$3,'FX Lookup'!$A$2:$Y$5,3,FALSE),0)</f>
        <v>0</v>
      </c>
      <c r="S24" s="588">
        <f>IF(AND($L24&lt;=S$3,S$3&lt;=$M24),$K24/$N24*HLOOKUP(S$3,'FX Lookup'!$A$2:$Y$5,3,FALSE),0)</f>
        <v>0</v>
      </c>
      <c r="T24" s="588">
        <f>IF(AND($L24&lt;=T$3,T$3&lt;=$M24),$K24/$N24*HLOOKUP(T$3,'FX Lookup'!$A$2:$Y$5,3,FALSE),0)</f>
        <v>0</v>
      </c>
      <c r="U24" s="588">
        <f>IF(AND($L24&lt;=U$3,U$3&lt;=$M24),$K24/$N24*HLOOKUP(U$3,'FX Lookup'!$A$2:$Y$5,3,FALSE),0)</f>
        <v>0</v>
      </c>
      <c r="V24" s="588">
        <f>IF(AND($L24&lt;=V$3,V$3&lt;=$M24),$K24/$N24*HLOOKUP(V$3,'FX Lookup'!$A$2:$Y$5,3,FALSE),0)</f>
        <v>0</v>
      </c>
      <c r="W24" s="588">
        <f>IF(AND($L24&lt;=W$3,W$3&lt;=$M24),$K24/$N24*HLOOKUP(W$3,'FX Lookup'!$A$2:$Y$5,3,FALSE),0)</f>
        <v>0</v>
      </c>
      <c r="X24" s="588">
        <f>IF(AND($L24&lt;=X$3,X$3&lt;=$M24),$K24/$N24*HLOOKUP(X$3,'FX Lookup'!$A$2:$Y$5,3,FALSE),0)</f>
        <v>0</v>
      </c>
      <c r="Y24" s="588">
        <f>IF(AND($L24&lt;=Y$3,Y$3&lt;=$M24),$K24/$N24*HLOOKUP(Y$3,'FX Lookup'!$A$2:$Y$5,3,FALSE),0)</f>
        <v>0</v>
      </c>
      <c r="Z24" s="588">
        <f>IF(AND($L24&lt;=Z$3,Z$3&lt;=$M24),$K24/$N24*HLOOKUP(Z$3,'FX Lookup'!$A$2:$Y$5,3,FALSE),0)</f>
        <v>0</v>
      </c>
      <c r="AA24" s="588">
        <f t="shared" si="2"/>
        <v>0</v>
      </c>
      <c r="AB24" s="588">
        <f t="shared" si="5"/>
        <v>0</v>
      </c>
      <c r="AC24" s="588">
        <f t="shared" si="6"/>
        <v>0</v>
      </c>
      <c r="AD24" s="588">
        <f t="shared" si="7"/>
        <v>0</v>
      </c>
      <c r="AE24" s="588">
        <f t="shared" si="8"/>
        <v>0</v>
      </c>
      <c r="AF24" s="588">
        <f t="shared" si="9"/>
        <v>0</v>
      </c>
      <c r="AG24" s="588">
        <f t="shared" si="10"/>
        <v>0</v>
      </c>
      <c r="AH24" s="588">
        <f t="shared" si="11"/>
        <v>0</v>
      </c>
      <c r="AI24" s="588">
        <f t="shared" si="12"/>
        <v>0</v>
      </c>
      <c r="AJ24" s="588">
        <f t="shared" si="13"/>
        <v>0</v>
      </c>
      <c r="AK24" s="588">
        <f t="shared" si="14"/>
        <v>0</v>
      </c>
      <c r="AL24" s="588">
        <f t="shared" si="15"/>
        <v>0</v>
      </c>
      <c r="AM24" s="588">
        <f t="shared" si="16"/>
        <v>0</v>
      </c>
      <c r="AN24" s="588">
        <f t="shared" si="4"/>
        <v>0</v>
      </c>
    </row>
    <row r="25" spans="1:40" ht="16.5" customHeight="1">
      <c r="A25" s="511" t="s">
        <v>2110</v>
      </c>
      <c r="B25" s="567">
        <v>504017</v>
      </c>
      <c r="D25" s="17" t="s">
        <v>2631</v>
      </c>
      <c r="E25" s="17" t="s">
        <v>2637</v>
      </c>
      <c r="G25" s="17" t="s">
        <v>2637</v>
      </c>
      <c r="H25" s="18" t="s">
        <v>2634</v>
      </c>
      <c r="I25" s="457" t="s">
        <v>2614</v>
      </c>
      <c r="J25" s="457" t="s">
        <v>2368</v>
      </c>
      <c r="K25" s="18">
        <v>0</v>
      </c>
      <c r="L25" s="586">
        <v>46023</v>
      </c>
      <c r="M25" s="586">
        <v>46387</v>
      </c>
      <c r="N25" s="460">
        <f t="shared" si="1"/>
        <v>12</v>
      </c>
      <c r="O25" s="588">
        <f>IF(AND($L25&lt;=O$3,O$3&lt;=$M25),$K25/$N25*HLOOKUP(O$3,'FX Lookup'!$A$2:$Y$5,3,FALSE),0)</f>
        <v>0</v>
      </c>
      <c r="P25" s="588">
        <f>IF(AND($L25&lt;=P$3,P$3&lt;=$M25),$K25/$N25*HLOOKUP(P$3,'FX Lookup'!$A$2:$Y$5,3,FALSE),0)</f>
        <v>0</v>
      </c>
      <c r="Q25" s="588">
        <f>IF(AND($L25&lt;=Q$3,Q$3&lt;=$M25),$K25/$N25*HLOOKUP(Q$3,'FX Lookup'!$A$2:$Y$5,3,FALSE),0)</f>
        <v>0</v>
      </c>
      <c r="R25" s="588">
        <f>IF(AND($L25&lt;=R$3,R$3&lt;=$M25),$K25/$N25*HLOOKUP(R$3,'FX Lookup'!$A$2:$Y$5,3,FALSE),0)</f>
        <v>0</v>
      </c>
      <c r="S25" s="588">
        <f>IF(AND($L25&lt;=S$3,S$3&lt;=$M25),$K25/$N25*HLOOKUP(S$3,'FX Lookup'!$A$2:$Y$5,3,FALSE),0)</f>
        <v>0</v>
      </c>
      <c r="T25" s="588">
        <f>IF(AND($L25&lt;=T$3,T$3&lt;=$M25),$K25/$N25*HLOOKUP(T$3,'FX Lookup'!$A$2:$Y$5,3,FALSE),0)</f>
        <v>0</v>
      </c>
      <c r="U25" s="588">
        <f>IF(AND($L25&lt;=U$3,U$3&lt;=$M25),$K25/$N25*HLOOKUP(U$3,'FX Lookup'!$A$2:$Y$5,3,FALSE),0)</f>
        <v>0</v>
      </c>
      <c r="V25" s="588">
        <f>IF(AND($L25&lt;=V$3,V$3&lt;=$M25),$K25/$N25*HLOOKUP(V$3,'FX Lookup'!$A$2:$Y$5,3,FALSE),0)</f>
        <v>0</v>
      </c>
      <c r="W25" s="588">
        <f>IF(AND($L25&lt;=W$3,W$3&lt;=$M25),$K25/$N25*HLOOKUP(W$3,'FX Lookup'!$A$2:$Y$5,3,FALSE),0)</f>
        <v>0</v>
      </c>
      <c r="X25" s="588">
        <f>IF(AND($L25&lt;=X$3,X$3&lt;=$M25),$K25/$N25*HLOOKUP(X$3,'FX Lookup'!$A$2:$Y$5,3,FALSE),0)</f>
        <v>0</v>
      </c>
      <c r="Y25" s="588">
        <f>IF(AND($L25&lt;=Y$3,Y$3&lt;=$M25),$K25/$N25*HLOOKUP(Y$3,'FX Lookup'!$A$2:$Y$5,3,FALSE),0)</f>
        <v>0</v>
      </c>
      <c r="Z25" s="588">
        <f>IF(AND($L25&lt;=Z$3,Z$3&lt;=$M25),$K25/$N25*HLOOKUP(Z$3,'FX Lookup'!$A$2:$Y$5,3,FALSE),0)</f>
        <v>0</v>
      </c>
      <c r="AA25" s="588">
        <f t="shared" si="2"/>
        <v>0</v>
      </c>
      <c r="AB25" s="588">
        <f t="shared" si="5"/>
        <v>0</v>
      </c>
      <c r="AC25" s="588">
        <f t="shared" si="6"/>
        <v>0</v>
      </c>
      <c r="AD25" s="588">
        <f t="shared" si="7"/>
        <v>0</v>
      </c>
      <c r="AE25" s="588">
        <f t="shared" si="8"/>
        <v>0</v>
      </c>
      <c r="AF25" s="588">
        <f t="shared" si="9"/>
        <v>0</v>
      </c>
      <c r="AG25" s="588">
        <f t="shared" si="10"/>
        <v>0</v>
      </c>
      <c r="AH25" s="588">
        <f t="shared" si="11"/>
        <v>0</v>
      </c>
      <c r="AI25" s="588">
        <f t="shared" si="12"/>
        <v>0</v>
      </c>
      <c r="AJ25" s="588">
        <f t="shared" si="13"/>
        <v>0</v>
      </c>
      <c r="AK25" s="588">
        <f t="shared" si="14"/>
        <v>0</v>
      </c>
      <c r="AL25" s="588">
        <f t="shared" si="15"/>
        <v>0</v>
      </c>
      <c r="AM25" s="588">
        <f t="shared" si="16"/>
        <v>0</v>
      </c>
      <c r="AN25" s="588">
        <f t="shared" si="4"/>
        <v>0</v>
      </c>
    </row>
    <row r="26" spans="1:40" ht="16.5" customHeight="1">
      <c r="A26" s="511"/>
      <c r="H26" s="18"/>
      <c r="I26" s="457"/>
      <c r="L26" s="586"/>
      <c r="M26" s="586"/>
      <c r="N26" s="460"/>
      <c r="O26" s="588">
        <f>IF(AND($L26&lt;=O$3,O$3&lt;=$M26),$K26/$N26*HLOOKUP(O$3,'FX Lookup'!$A$2:$Y$5,3,FALSE),0)</f>
        <v>0</v>
      </c>
      <c r="P26" s="588">
        <f>IF(AND($L26&lt;=P$3,P$3&lt;=$M26),$K26/$N26*HLOOKUP(P$3,'FX Lookup'!$A$2:$Y$5,3,FALSE),0)</f>
        <v>0</v>
      </c>
      <c r="Q26" s="588">
        <f>IF(AND($L26&lt;=Q$3,Q$3&lt;=$M26),$K26/$N26*HLOOKUP(Q$3,'FX Lookup'!$A$2:$Y$5,3,FALSE),0)</f>
        <v>0</v>
      </c>
      <c r="R26" s="588">
        <f>IF(AND($L26&lt;=R$3,R$3&lt;=$M26),$K26/$N26*HLOOKUP(R$3,'FX Lookup'!$A$2:$Y$5,3,FALSE),0)</f>
        <v>0</v>
      </c>
      <c r="S26" s="588">
        <f>IF(AND($L26&lt;=S$3,S$3&lt;=$M26),$K26/$N26*HLOOKUP(S$3,'FX Lookup'!$A$2:$Y$5,3,FALSE),0)</f>
        <v>0</v>
      </c>
      <c r="T26" s="588">
        <f>IF(AND($L26&lt;=T$3,T$3&lt;=$M26),$K26/$N26*HLOOKUP(T$3,'FX Lookup'!$A$2:$Y$5,3,FALSE),0)</f>
        <v>0</v>
      </c>
      <c r="U26" s="588">
        <f>IF(AND($L26&lt;=U$3,U$3&lt;=$M26),$K26/$N26*HLOOKUP(U$3,'FX Lookup'!$A$2:$Y$5,3,FALSE),0)</f>
        <v>0</v>
      </c>
      <c r="V26" s="588">
        <f>IF(AND($L26&lt;=V$3,V$3&lt;=$M26),$K26/$N26*HLOOKUP(V$3,'FX Lookup'!$A$2:$Y$5,3,FALSE),0)</f>
        <v>0</v>
      </c>
      <c r="W26" s="588">
        <f>IF(AND($L26&lt;=W$3,W$3&lt;=$M26),$K26/$N26*HLOOKUP(W$3,'FX Lookup'!$A$2:$Y$5,3,FALSE),0)</f>
        <v>0</v>
      </c>
      <c r="X26" s="588">
        <f>IF(AND($L26&lt;=X$3,X$3&lt;=$M26),$K26/$N26*HLOOKUP(X$3,'FX Lookup'!$A$2:$Y$5,3,FALSE),0)</f>
        <v>0</v>
      </c>
      <c r="Y26" s="588">
        <f>IF(AND($L26&lt;=Y$3,Y$3&lt;=$M26),$K26/$N26*HLOOKUP(Y$3,'FX Lookup'!$A$2:$Y$5,3,FALSE),0)</f>
        <v>0</v>
      </c>
      <c r="Z26" s="588">
        <f>IF(AND($L26&lt;=Z$3,Z$3&lt;=$M26),$K26/$N26*HLOOKUP(Z$3,'FX Lookup'!$A$2:$Y$5,3,FALSE),0)</f>
        <v>0</v>
      </c>
      <c r="AA26" s="588">
        <f t="shared" si="2"/>
        <v>0</v>
      </c>
      <c r="AB26" s="588">
        <f t="shared" si="5"/>
        <v>0</v>
      </c>
      <c r="AC26" s="588">
        <f t="shared" si="6"/>
        <v>0</v>
      </c>
      <c r="AD26" s="588">
        <f t="shared" si="7"/>
        <v>0</v>
      </c>
      <c r="AE26" s="588">
        <f t="shared" si="8"/>
        <v>0</v>
      </c>
      <c r="AF26" s="588">
        <f t="shared" si="9"/>
        <v>0</v>
      </c>
      <c r="AG26" s="588">
        <f t="shared" si="10"/>
        <v>0</v>
      </c>
      <c r="AH26" s="588">
        <f t="shared" si="11"/>
        <v>0</v>
      </c>
      <c r="AI26" s="588">
        <f t="shared" si="12"/>
        <v>0</v>
      </c>
      <c r="AJ26" s="588">
        <f t="shared" si="13"/>
        <v>0</v>
      </c>
      <c r="AK26" s="588">
        <f t="shared" si="14"/>
        <v>0</v>
      </c>
      <c r="AL26" s="588">
        <f t="shared" si="15"/>
        <v>0</v>
      </c>
      <c r="AM26" s="588">
        <f t="shared" si="16"/>
        <v>0</v>
      </c>
      <c r="AN26" s="588">
        <f t="shared" si="4"/>
        <v>0</v>
      </c>
    </row>
    <row r="27" spans="1:40" ht="16.5" customHeight="1">
      <c r="A27" s="592" t="s">
        <v>2109</v>
      </c>
      <c r="B27" s="567" t="s">
        <v>2638</v>
      </c>
      <c r="C27" s="567" t="s">
        <v>1636</v>
      </c>
      <c r="D27" s="17" t="s">
        <v>2611</v>
      </c>
      <c r="E27" s="17" t="s">
        <v>2612</v>
      </c>
      <c r="F27" s="17" t="str">
        <f>'CF-ACPL（合并）'!A27</f>
        <v>支付的其他与经营活动有关的现金（其他）</v>
      </c>
      <c r="G27" s="17" t="s">
        <v>2612</v>
      </c>
      <c r="H27" s="593" t="str">
        <f t="shared" ref="H27:H46" si="17">H7</f>
        <v>ttl$pm</v>
      </c>
      <c r="I27" s="457" t="str">
        <f t="shared" ref="I27:I45" si="18">+I7</f>
        <v>$</v>
      </c>
      <c r="J27" s="457" t="s">
        <v>2368</v>
      </c>
      <c r="K27" s="18">
        <v>0</v>
      </c>
      <c r="L27" s="586">
        <v>46023</v>
      </c>
      <c r="M27" s="586">
        <v>46387</v>
      </c>
      <c r="N27" s="460">
        <f t="shared" ref="N27:N46" si="19">IF(AND(L27="",M27=""),"-",IF(M27="",12,DATEDIF(L27,M27,"M")+1))</f>
        <v>12</v>
      </c>
      <c r="O27" s="588">
        <f>IF(AND($L27&lt;=O$3,O$3&lt;=$M27),$K27/$N27*HLOOKUP(O$3,'FX Lookup'!$A$2:$Y$5,3,FALSE),0)</f>
        <v>0</v>
      </c>
      <c r="P27" s="588">
        <f>IF(AND($L27&lt;=P$3,P$3&lt;=$M27),$K27/$N27*HLOOKUP(P$3,'FX Lookup'!$A$2:$Y$5,3,FALSE),0)</f>
        <v>0</v>
      </c>
      <c r="Q27" s="588">
        <f>IF(AND($L27&lt;=Q$3,Q$3&lt;=$M27),$K27/$N27*HLOOKUP(Q$3,'FX Lookup'!$A$2:$Y$5,3,FALSE),0)</f>
        <v>0</v>
      </c>
      <c r="R27" s="588">
        <f>IF(AND($L27&lt;=R$3,R$3&lt;=$M27),$K27/$N27*HLOOKUP(R$3,'FX Lookup'!$A$2:$Y$5,3,FALSE),0)</f>
        <v>0</v>
      </c>
      <c r="S27" s="588">
        <f>IF(AND($L27&lt;=S$3,S$3&lt;=$M27),$K27/$N27*HLOOKUP(S$3,'FX Lookup'!$A$2:$Y$5,3,FALSE),0)</f>
        <v>0</v>
      </c>
      <c r="T27" s="588">
        <f>IF(AND($L27&lt;=T$3,T$3&lt;=$M27),$K27/$N27*HLOOKUP(T$3,'FX Lookup'!$A$2:$Y$5,3,FALSE),0)</f>
        <v>0</v>
      </c>
      <c r="U27" s="588">
        <f>IF(AND($L27&lt;=U$3,U$3&lt;=$M27),$K27/$N27*HLOOKUP(U$3,'FX Lookup'!$A$2:$Y$5,3,FALSE),0)</f>
        <v>0</v>
      </c>
      <c r="V27" s="588">
        <f>IF(AND($L27&lt;=V$3,V$3&lt;=$M27),$K27/$N27*HLOOKUP(V$3,'FX Lookup'!$A$2:$Y$5,3,FALSE),0)</f>
        <v>0</v>
      </c>
      <c r="W27" s="588">
        <f>IF(AND($L27&lt;=W$3,W$3&lt;=$M27),$K27/$N27*HLOOKUP(W$3,'FX Lookup'!$A$2:$Y$5,3,FALSE),0)</f>
        <v>0</v>
      </c>
      <c r="X27" s="588">
        <f>IF(AND($L27&lt;=X$3,X$3&lt;=$M27),$K27/$N27*HLOOKUP(X$3,'FX Lookup'!$A$2:$Y$5,3,FALSE),0)</f>
        <v>0</v>
      </c>
      <c r="Y27" s="588">
        <f>IF(AND($L27&lt;=Y$3,Y$3&lt;=$M27),$K27/$N27*HLOOKUP(Y$3,'FX Lookup'!$A$2:$Y$5,3,FALSE),0)</f>
        <v>0</v>
      </c>
      <c r="Z27" s="588">
        <f>IF(AND($L27&lt;=Z$3,Z$3&lt;=$M27),$K27/$N27*HLOOKUP(Z$3,'FX Lookup'!$A$2:$Y$5,3,FALSE),0)</f>
        <v>0</v>
      </c>
      <c r="AA27" s="588">
        <f t="shared" si="2"/>
        <v>0</v>
      </c>
      <c r="AB27" s="588">
        <f t="shared" si="5"/>
        <v>0</v>
      </c>
      <c r="AC27" s="588">
        <f t="shared" si="6"/>
        <v>0</v>
      </c>
      <c r="AD27" s="588">
        <f t="shared" si="7"/>
        <v>0</v>
      </c>
      <c r="AE27" s="588">
        <f t="shared" si="8"/>
        <v>0</v>
      </c>
      <c r="AF27" s="588">
        <f t="shared" si="9"/>
        <v>0</v>
      </c>
      <c r="AG27" s="588">
        <f t="shared" si="10"/>
        <v>0</v>
      </c>
      <c r="AH27" s="588">
        <f t="shared" si="11"/>
        <v>0</v>
      </c>
      <c r="AI27" s="588">
        <f t="shared" si="12"/>
        <v>0</v>
      </c>
      <c r="AJ27" s="588">
        <f t="shared" si="13"/>
        <v>0</v>
      </c>
      <c r="AK27" s="588">
        <f t="shared" si="14"/>
        <v>0</v>
      </c>
      <c r="AL27" s="588">
        <f t="shared" si="15"/>
        <v>0</v>
      </c>
      <c r="AM27" s="588">
        <f t="shared" si="16"/>
        <v>0</v>
      </c>
      <c r="AN27" s="588">
        <f t="shared" si="4"/>
        <v>0</v>
      </c>
    </row>
    <row r="28" spans="1:40" ht="16.5" customHeight="1">
      <c r="A28" s="592" t="s">
        <v>2109</v>
      </c>
      <c r="B28" s="567">
        <v>505001</v>
      </c>
      <c r="C28" s="567" t="s">
        <v>1636</v>
      </c>
      <c r="D28" s="17" t="s">
        <v>2611</v>
      </c>
      <c r="E28" s="17" t="s">
        <v>2615</v>
      </c>
      <c r="F28" s="17" t="str">
        <f>F27</f>
        <v>支付的其他与经营活动有关的现金（其他）</v>
      </c>
      <c r="G28" s="17" t="s">
        <v>2615</v>
      </c>
      <c r="H28" s="593" t="str">
        <f t="shared" si="17"/>
        <v>ttl$pm</v>
      </c>
      <c r="I28" s="457" t="str">
        <f t="shared" si="18"/>
        <v>$</v>
      </c>
      <c r="J28" s="457" t="s">
        <v>2368</v>
      </c>
      <c r="K28" s="18">
        <v>0</v>
      </c>
      <c r="L28" s="586">
        <v>46023</v>
      </c>
      <c r="M28" s="586">
        <v>46387</v>
      </c>
      <c r="N28" s="460">
        <f t="shared" si="19"/>
        <v>12</v>
      </c>
      <c r="O28" s="588">
        <f>IF(AND($L28&lt;=O$3,O$3&lt;=$M28),$K28/$N28*HLOOKUP(O$3,'FX Lookup'!$A$2:$Y$5,3,FALSE),0)</f>
        <v>0</v>
      </c>
      <c r="P28" s="588">
        <f>IF(AND($L28&lt;=P$3,P$3&lt;=$M28),$K28/$N28*HLOOKUP(P$3,'FX Lookup'!$A$2:$Y$5,3,FALSE),0)</f>
        <v>0</v>
      </c>
      <c r="Q28" s="588">
        <f>IF(AND($L28&lt;=Q$3,Q$3&lt;=$M28),$K28/$N28*HLOOKUP(Q$3,'FX Lookup'!$A$2:$Y$5,3,FALSE),0)</f>
        <v>0</v>
      </c>
      <c r="R28" s="588">
        <f>IF(AND($L28&lt;=R$3,R$3&lt;=$M28),$K28/$N28*HLOOKUP(R$3,'FX Lookup'!$A$2:$Y$5,3,FALSE),0)</f>
        <v>0</v>
      </c>
      <c r="S28" s="588">
        <f>IF(AND($L28&lt;=S$3,S$3&lt;=$M28),$K28/$N28*HLOOKUP(S$3,'FX Lookup'!$A$2:$Y$5,3,FALSE),0)</f>
        <v>0</v>
      </c>
      <c r="T28" s="588">
        <f>IF(AND($L28&lt;=T$3,T$3&lt;=$M28),$K28/$N28*HLOOKUP(T$3,'FX Lookup'!$A$2:$Y$5,3,FALSE),0)</f>
        <v>0</v>
      </c>
      <c r="U28" s="588">
        <f>IF(AND($L28&lt;=U$3,U$3&lt;=$M28),$K28/$N28*HLOOKUP(U$3,'FX Lookup'!$A$2:$Y$5,3,FALSE),0)</f>
        <v>0</v>
      </c>
      <c r="V28" s="588">
        <f>IF(AND($L28&lt;=V$3,V$3&lt;=$M28),$K28/$N28*HLOOKUP(V$3,'FX Lookup'!$A$2:$Y$5,3,FALSE),0)</f>
        <v>0</v>
      </c>
      <c r="W28" s="588">
        <f>IF(AND($L28&lt;=W$3,W$3&lt;=$M28),$K28/$N28*HLOOKUP(W$3,'FX Lookup'!$A$2:$Y$5,3,FALSE),0)</f>
        <v>0</v>
      </c>
      <c r="X28" s="588">
        <f>IF(AND($L28&lt;=X$3,X$3&lt;=$M28),$K28/$N28*HLOOKUP(X$3,'FX Lookup'!$A$2:$Y$5,3,FALSE),0)</f>
        <v>0</v>
      </c>
      <c r="Y28" s="588">
        <f>IF(AND($L28&lt;=Y$3,Y$3&lt;=$M28),$K28/$N28*HLOOKUP(Y$3,'FX Lookup'!$A$2:$Y$5,3,FALSE),0)</f>
        <v>0</v>
      </c>
      <c r="Z28" s="588">
        <f>IF(AND($L28&lt;=Z$3,Z$3&lt;=$M28),$K28/$N28*HLOOKUP(Z$3,'FX Lookup'!$A$2:$Y$5,3,FALSE),0)</f>
        <v>0</v>
      </c>
      <c r="AA28" s="588">
        <f t="shared" si="2"/>
        <v>0</v>
      </c>
      <c r="AB28" s="588">
        <f t="shared" si="5"/>
        <v>0</v>
      </c>
      <c r="AC28" s="588">
        <f t="shared" si="6"/>
        <v>0</v>
      </c>
      <c r="AD28" s="588">
        <f t="shared" si="7"/>
        <v>0</v>
      </c>
      <c r="AE28" s="588">
        <f t="shared" si="8"/>
        <v>0</v>
      </c>
      <c r="AF28" s="588">
        <f t="shared" si="9"/>
        <v>0</v>
      </c>
      <c r="AG28" s="588">
        <f t="shared" si="10"/>
        <v>0</v>
      </c>
      <c r="AH28" s="588">
        <f t="shared" si="11"/>
        <v>0</v>
      </c>
      <c r="AI28" s="588">
        <f t="shared" si="12"/>
        <v>0</v>
      </c>
      <c r="AJ28" s="588">
        <f t="shared" si="13"/>
        <v>0</v>
      </c>
      <c r="AK28" s="588">
        <f t="shared" si="14"/>
        <v>0</v>
      </c>
      <c r="AL28" s="588">
        <f t="shared" si="15"/>
        <v>0</v>
      </c>
      <c r="AM28" s="588">
        <f t="shared" si="16"/>
        <v>0</v>
      </c>
      <c r="AN28" s="588">
        <f t="shared" si="4"/>
        <v>0</v>
      </c>
    </row>
    <row r="29" spans="1:40" ht="16.5" customHeight="1">
      <c r="A29" s="592" t="s">
        <v>2109</v>
      </c>
      <c r="B29" s="567">
        <v>505002</v>
      </c>
      <c r="D29" s="17" t="s">
        <v>2611</v>
      </c>
      <c r="E29" s="17" t="s">
        <v>2616</v>
      </c>
      <c r="F29" s="17" t="str">
        <f>F27</f>
        <v>支付的其他与经营活动有关的现金（其他）</v>
      </c>
      <c r="G29" s="17" t="s">
        <v>2616</v>
      </c>
      <c r="H29" s="593" t="str">
        <f t="shared" si="17"/>
        <v>Ad-Hoc</v>
      </c>
      <c r="I29" s="457" t="str">
        <f t="shared" si="18"/>
        <v>$</v>
      </c>
      <c r="J29" s="457" t="s">
        <v>2368</v>
      </c>
      <c r="K29" s="18">
        <v>0</v>
      </c>
      <c r="L29" s="586">
        <v>46023</v>
      </c>
      <c r="M29" s="586">
        <v>46387</v>
      </c>
      <c r="N29" s="460">
        <f t="shared" si="19"/>
        <v>12</v>
      </c>
      <c r="O29" s="588">
        <f>IF(AND($L29&lt;=O$3,O$3&lt;=$M29),$K29/$N29*HLOOKUP(O$3,'FX Lookup'!$A$2:$Y$5,3,FALSE),0)</f>
        <v>0</v>
      </c>
      <c r="P29" s="588">
        <f>IF(AND($L29&lt;=P$3,P$3&lt;=$M29),$K29/$N29*HLOOKUP(P$3,'FX Lookup'!$A$2:$Y$5,3,FALSE),0)</f>
        <v>0</v>
      </c>
      <c r="Q29" s="588">
        <f>IF(AND($L29&lt;=Q$3,Q$3&lt;=$M29),$K29/$N29*HLOOKUP(Q$3,'FX Lookup'!$A$2:$Y$5,3,FALSE),0)</f>
        <v>0</v>
      </c>
      <c r="R29" s="588">
        <f>IF(AND($L29&lt;=R$3,R$3&lt;=$M29),$K29/$N29*HLOOKUP(R$3,'FX Lookup'!$A$2:$Y$5,3,FALSE),0)</f>
        <v>0</v>
      </c>
      <c r="S29" s="588">
        <f>IF(AND($L29&lt;=S$3,S$3&lt;=$M29),$K29/$N29*HLOOKUP(S$3,'FX Lookup'!$A$2:$Y$5,3,FALSE),0)</f>
        <v>0</v>
      </c>
      <c r="T29" s="588">
        <f>IF(AND($L29&lt;=T$3,T$3&lt;=$M29),$K29/$N29*HLOOKUP(T$3,'FX Lookup'!$A$2:$Y$5,3,FALSE),0)</f>
        <v>0</v>
      </c>
      <c r="U29" s="588">
        <f>IF(AND($L29&lt;=U$3,U$3&lt;=$M29),$K29/$N29*HLOOKUP(U$3,'FX Lookup'!$A$2:$Y$5,3,FALSE),0)</f>
        <v>0</v>
      </c>
      <c r="V29" s="588">
        <f>IF(AND($L29&lt;=V$3,V$3&lt;=$M29),$K29/$N29*HLOOKUP(V$3,'FX Lookup'!$A$2:$Y$5,3,FALSE),0)</f>
        <v>0</v>
      </c>
      <c r="W29" s="588">
        <f>IF(AND($L29&lt;=W$3,W$3&lt;=$M29),$K29/$N29*HLOOKUP(W$3,'FX Lookup'!$A$2:$Y$5,3,FALSE),0)</f>
        <v>0</v>
      </c>
      <c r="X29" s="588">
        <f>IF(AND($L29&lt;=X$3,X$3&lt;=$M29),$K29/$N29*HLOOKUP(X$3,'FX Lookup'!$A$2:$Y$5,3,FALSE),0)</f>
        <v>0</v>
      </c>
      <c r="Y29" s="588">
        <f>IF(AND($L29&lt;=Y$3,Y$3&lt;=$M29),$K29/$N29*HLOOKUP(Y$3,'FX Lookup'!$A$2:$Y$5,3,FALSE),0)</f>
        <v>0</v>
      </c>
      <c r="Z29" s="588">
        <f>IF(AND($L29&lt;=Z$3,Z$3&lt;=$M29),$K29/$N29*HLOOKUP(Z$3,'FX Lookup'!$A$2:$Y$5,3,FALSE),0)</f>
        <v>0</v>
      </c>
      <c r="AA29" s="588">
        <f t="shared" si="2"/>
        <v>0</v>
      </c>
      <c r="AB29" s="588">
        <f t="shared" si="5"/>
        <v>0</v>
      </c>
      <c r="AC29" s="588">
        <f t="shared" si="6"/>
        <v>0</v>
      </c>
      <c r="AD29" s="588">
        <f t="shared" si="7"/>
        <v>0</v>
      </c>
      <c r="AE29" s="588">
        <f t="shared" si="8"/>
        <v>0</v>
      </c>
      <c r="AF29" s="588">
        <f t="shared" si="9"/>
        <v>0</v>
      </c>
      <c r="AG29" s="588">
        <f t="shared" si="10"/>
        <v>0</v>
      </c>
      <c r="AH29" s="588">
        <f t="shared" si="11"/>
        <v>0</v>
      </c>
      <c r="AI29" s="588">
        <f t="shared" si="12"/>
        <v>0</v>
      </c>
      <c r="AJ29" s="588">
        <f t="shared" si="13"/>
        <v>0</v>
      </c>
      <c r="AK29" s="588">
        <f t="shared" si="14"/>
        <v>0</v>
      </c>
      <c r="AL29" s="588">
        <f t="shared" si="15"/>
        <v>0</v>
      </c>
      <c r="AM29" s="588">
        <f t="shared" si="16"/>
        <v>0</v>
      </c>
      <c r="AN29" s="588">
        <f t="shared" si="4"/>
        <v>0</v>
      </c>
    </row>
    <row r="30" spans="1:40" ht="16.5" customHeight="1">
      <c r="A30" s="592" t="s">
        <v>2109</v>
      </c>
      <c r="B30" s="567">
        <v>505003</v>
      </c>
      <c r="C30" s="567" t="s">
        <v>1680</v>
      </c>
      <c r="D30" s="17" t="s">
        <v>2611</v>
      </c>
      <c r="E30" s="17" t="s">
        <v>2618</v>
      </c>
      <c r="F30" s="17" t="str">
        <f>F27</f>
        <v>支付的其他与经营活动有关的现金（其他）</v>
      </c>
      <c r="G30" s="17" t="s">
        <v>2618</v>
      </c>
      <c r="H30" s="593" t="str">
        <f t="shared" si="17"/>
        <v>ttl$pm</v>
      </c>
      <c r="I30" s="457" t="str">
        <f t="shared" si="18"/>
        <v>$</v>
      </c>
      <c r="J30" s="457" t="s">
        <v>2368</v>
      </c>
      <c r="K30" s="18">
        <v>0</v>
      </c>
      <c r="L30" s="586">
        <v>46023</v>
      </c>
      <c r="M30" s="586">
        <v>46387</v>
      </c>
      <c r="N30" s="460">
        <f t="shared" si="19"/>
        <v>12</v>
      </c>
      <c r="O30" s="588">
        <f>IF(AND($L30&lt;=O$3,O$3&lt;=$M30),$K30/$N30*HLOOKUP(O$3,'FX Lookup'!$A$2:$Y$5,3,FALSE),0)</f>
        <v>0</v>
      </c>
      <c r="P30" s="588">
        <f>IF(AND($L30&lt;=P$3,P$3&lt;=$M30),$K30/$N30*HLOOKUP(P$3,'FX Lookup'!$A$2:$Y$5,3,FALSE),0)</f>
        <v>0</v>
      </c>
      <c r="Q30" s="588">
        <f>IF(AND($L30&lt;=Q$3,Q$3&lt;=$M30),$K30/$N30*HLOOKUP(Q$3,'FX Lookup'!$A$2:$Y$5,3,FALSE),0)</f>
        <v>0</v>
      </c>
      <c r="R30" s="588">
        <f>IF(AND($L30&lt;=R$3,R$3&lt;=$M30),$K30/$N30*HLOOKUP(R$3,'FX Lookup'!$A$2:$Y$5,3,FALSE),0)</f>
        <v>0</v>
      </c>
      <c r="S30" s="588">
        <f>IF(AND($L30&lt;=S$3,S$3&lt;=$M30),$K30/$N30*HLOOKUP(S$3,'FX Lookup'!$A$2:$Y$5,3,FALSE),0)</f>
        <v>0</v>
      </c>
      <c r="T30" s="588">
        <f>IF(AND($L30&lt;=T$3,T$3&lt;=$M30),$K30/$N30*HLOOKUP(T$3,'FX Lookup'!$A$2:$Y$5,3,FALSE),0)</f>
        <v>0</v>
      </c>
      <c r="U30" s="588">
        <f>IF(AND($L30&lt;=U$3,U$3&lt;=$M30),$K30/$N30*HLOOKUP(U$3,'FX Lookup'!$A$2:$Y$5,3,FALSE),0)</f>
        <v>0</v>
      </c>
      <c r="V30" s="588">
        <f>IF(AND($L30&lt;=V$3,V$3&lt;=$M30),$K30/$N30*HLOOKUP(V$3,'FX Lookup'!$A$2:$Y$5,3,FALSE),0)</f>
        <v>0</v>
      </c>
      <c r="W30" s="588">
        <f>IF(AND($L30&lt;=W$3,W$3&lt;=$M30),$K30/$N30*HLOOKUP(W$3,'FX Lookup'!$A$2:$Y$5,3,FALSE),0)</f>
        <v>0</v>
      </c>
      <c r="X30" s="588">
        <f>IF(AND($L30&lt;=X$3,X$3&lt;=$M30),$K30/$N30*HLOOKUP(X$3,'FX Lookup'!$A$2:$Y$5,3,FALSE),0)</f>
        <v>0</v>
      </c>
      <c r="Y30" s="588">
        <f>IF(AND($L30&lt;=Y$3,Y$3&lt;=$M30),$K30/$N30*HLOOKUP(Y$3,'FX Lookup'!$A$2:$Y$5,3,FALSE),0)</f>
        <v>0</v>
      </c>
      <c r="Z30" s="588">
        <f>IF(AND($L30&lt;=Z$3,Z$3&lt;=$M30),$K30/$N30*HLOOKUP(Z$3,'FX Lookup'!$A$2:$Y$5,3,FALSE),0)</f>
        <v>0</v>
      </c>
      <c r="AA30" s="588">
        <f t="shared" si="2"/>
        <v>0</v>
      </c>
      <c r="AB30" s="588">
        <f t="shared" si="5"/>
        <v>0</v>
      </c>
      <c r="AC30" s="588">
        <f t="shared" si="6"/>
        <v>0</v>
      </c>
      <c r="AD30" s="588">
        <f t="shared" si="7"/>
        <v>0</v>
      </c>
      <c r="AE30" s="588">
        <f t="shared" si="8"/>
        <v>0</v>
      </c>
      <c r="AF30" s="588">
        <f t="shared" si="9"/>
        <v>0</v>
      </c>
      <c r="AG30" s="588">
        <f t="shared" si="10"/>
        <v>0</v>
      </c>
      <c r="AH30" s="588">
        <f t="shared" si="11"/>
        <v>0</v>
      </c>
      <c r="AI30" s="588">
        <f t="shared" si="12"/>
        <v>0</v>
      </c>
      <c r="AJ30" s="588">
        <f t="shared" si="13"/>
        <v>0</v>
      </c>
      <c r="AK30" s="588">
        <f t="shared" si="14"/>
        <v>0</v>
      </c>
      <c r="AL30" s="588">
        <f t="shared" si="15"/>
        <v>0</v>
      </c>
      <c r="AM30" s="588">
        <f t="shared" si="16"/>
        <v>0</v>
      </c>
      <c r="AN30" s="588">
        <f t="shared" si="4"/>
        <v>0</v>
      </c>
    </row>
    <row r="31" spans="1:40" ht="16.5" customHeight="1">
      <c r="A31" s="592" t="s">
        <v>2109</v>
      </c>
      <c r="B31" s="567">
        <v>5080010</v>
      </c>
      <c r="D31" s="17" t="s">
        <v>2611</v>
      </c>
      <c r="E31" s="17" t="s">
        <v>2619</v>
      </c>
      <c r="F31" s="17" t="str">
        <f>'CF-ACPL（合并）'!A24</f>
        <v>支付的其他与经营活动有关的现金（租金）</v>
      </c>
      <c r="G31" s="17" t="s">
        <v>2639</v>
      </c>
      <c r="H31" s="18" t="str">
        <f t="shared" si="17"/>
        <v>ttl$pm</v>
      </c>
      <c r="I31" s="457" t="str">
        <f t="shared" si="18"/>
        <v>$</v>
      </c>
      <c r="J31" s="457" t="s">
        <v>2368</v>
      </c>
      <c r="K31" s="594">
        <v>2000000</v>
      </c>
      <c r="L31" s="595">
        <v>45612</v>
      </c>
      <c r="M31" s="595">
        <v>46295</v>
      </c>
      <c r="N31" s="460">
        <f t="shared" si="19"/>
        <v>23</v>
      </c>
      <c r="O31" s="588">
        <f>IF(AND($L31&lt;=O$3,O$3&lt;=$M31),100000*HLOOKUP(O$3,'FX Lookup'!$A$2:$Y$5,3,FALSE),0)</f>
        <v>88999</v>
      </c>
      <c r="P31" s="588">
        <f>IF(AND($L31&lt;=P$3,P$3&lt;=$M31),100000*HLOOKUP(P$3,'FX Lookup'!$A$2:$Y$5,3,FALSE),0)</f>
        <v>88220</v>
      </c>
      <c r="Q31" s="588">
        <f>IF(AND($L31&lt;=Q$3,Q$3&lt;=$M31),100000*HLOOKUP(Q$3,'FX Lookup'!$A$2:$Y$5,3,FALSE),0)</f>
        <v>88220</v>
      </c>
      <c r="R31" s="588">
        <f>IF(AND($L31&lt;=R$3,R$3&lt;=$M31),100000*HLOOKUP(R$3,'FX Lookup'!$A$2:$Y$5,3,FALSE),0)</f>
        <v>88220</v>
      </c>
      <c r="S31" s="588">
        <f>IF(AND($L31&lt;=S$3,S$3&lt;=$M31),100000*HLOOKUP(S$3,'FX Lookup'!$A$2:$Y$5,3,FALSE),0)</f>
        <v>88220</v>
      </c>
      <c r="T31" s="588">
        <f>IF(AND($L31&lt;=T$3,T$3&lt;=$M31),100000*HLOOKUP(T$3,'FX Lookup'!$A$2:$Y$5,3,FALSE),0)</f>
        <v>88220</v>
      </c>
      <c r="U31" s="588">
        <f>IF(AND($L31&lt;=U$3,U$3&lt;=$M31),100000*HLOOKUP(U$3,'FX Lookup'!$A$2:$Y$5,3,FALSE),0)</f>
        <v>88220</v>
      </c>
      <c r="V31" s="588">
        <f>IF(AND($L31&lt;=V$3,V$3&lt;=$M31),100000*HLOOKUP(V$3,'FX Lookup'!$A$2:$Y$5,3,FALSE),0)</f>
        <v>88220</v>
      </c>
      <c r="W31" s="588">
        <f>IF(AND($L31&lt;=W$3,W$3&lt;=$M31),100000*HLOOKUP(W$3,'FX Lookup'!$A$2:$Y$5,3,FALSE),0)</f>
        <v>88220</v>
      </c>
      <c r="X31" s="588">
        <f>IF(AND($L31&lt;=X$3,X$3&lt;=$M31),100000*HLOOKUP(X$3,'FX Lookup'!$A$2:$Y$5,3,FALSE),0)</f>
        <v>0</v>
      </c>
      <c r="Y31" s="588">
        <f>IF(AND($L31&lt;=Y$3,Y$3&lt;=$M31),100000*HLOOKUP(Y$3,'FX Lookup'!$A$2:$Y$5,3,FALSE),0)</f>
        <v>0</v>
      </c>
      <c r="Z31" s="588">
        <f>W31</f>
        <v>88220</v>
      </c>
      <c r="AA31" s="588">
        <f t="shared" si="2"/>
        <v>882979</v>
      </c>
      <c r="AB31" s="588">
        <f t="shared" si="5"/>
        <v>93448.95</v>
      </c>
      <c r="AC31" s="588">
        <f t="shared" si="6"/>
        <v>92631</v>
      </c>
      <c r="AD31" s="588">
        <f t="shared" si="7"/>
        <v>92631</v>
      </c>
      <c r="AE31" s="588">
        <f t="shared" si="8"/>
        <v>92631</v>
      </c>
      <c r="AF31" s="588">
        <f t="shared" si="9"/>
        <v>92631</v>
      </c>
      <c r="AG31" s="588">
        <f t="shared" si="10"/>
        <v>92631</v>
      </c>
      <c r="AH31" s="588">
        <f t="shared" si="11"/>
        <v>92631</v>
      </c>
      <c r="AI31" s="588">
        <f t="shared" si="12"/>
        <v>92631</v>
      </c>
      <c r="AJ31" s="588">
        <f t="shared" si="13"/>
        <v>92631</v>
      </c>
      <c r="AK31" s="588">
        <f t="shared" si="14"/>
        <v>0</v>
      </c>
      <c r="AL31" s="588">
        <f t="shared" si="15"/>
        <v>0</v>
      </c>
      <c r="AM31" s="588">
        <f t="shared" si="16"/>
        <v>92631</v>
      </c>
      <c r="AN31" s="588">
        <f t="shared" si="4"/>
        <v>927127.95</v>
      </c>
    </row>
    <row r="32" spans="1:40" ht="16.5" customHeight="1">
      <c r="A32" s="592" t="s">
        <v>2109</v>
      </c>
      <c r="B32" s="567">
        <v>5080011</v>
      </c>
      <c r="C32" s="567" t="s">
        <v>1593</v>
      </c>
      <c r="D32" s="17" t="s">
        <v>2611</v>
      </c>
      <c r="E32" s="17" t="s">
        <v>2620</v>
      </c>
      <c r="F32" s="17" t="str">
        <f>F27</f>
        <v>支付的其他与经营活动有关的现金（其他）</v>
      </c>
      <c r="G32" s="17" t="s">
        <v>2621</v>
      </c>
      <c r="H32" s="18" t="str">
        <f t="shared" si="17"/>
        <v>ttl$pm</v>
      </c>
      <c r="I32" s="457" t="str">
        <f t="shared" si="18"/>
        <v>$</v>
      </c>
      <c r="J32" s="457" t="s">
        <v>2368</v>
      </c>
      <c r="K32" s="589">
        <f>18321*(1+$K$1)*12</f>
        <v>230844.6</v>
      </c>
      <c r="L32" s="586">
        <v>46023</v>
      </c>
      <c r="M32" s="586">
        <v>46387</v>
      </c>
      <c r="N32" s="460">
        <f t="shared" si="19"/>
        <v>12</v>
      </c>
      <c r="O32" s="588">
        <f>IF(AND($L32&lt;=O$3,O$3&lt;=$M32),$K32/$N32*HLOOKUP(O$3,'FX Lookup'!$A$2:$Y$5,3,FALSE),0)</f>
        <v>17120.782129499999</v>
      </c>
      <c r="P32" s="588">
        <f>IF(AND($L32&lt;=P$3,P$3&lt;=$M32),$K32/$N32*HLOOKUP(P$3,'FX Lookup'!$A$2:$Y$5,3,FALSE),0)</f>
        <v>16970.925509999997</v>
      </c>
      <c r="Q32" s="588">
        <f>IF(AND($L32&lt;=Q$3,Q$3&lt;=$M32),$K32/$N32*HLOOKUP(Q$3,'FX Lookup'!$A$2:$Y$5,3,FALSE),0)</f>
        <v>16970.925509999997</v>
      </c>
      <c r="R32" s="588">
        <f>IF(AND($L32&lt;=R$3,R$3&lt;=$M32),$K32/$N32*HLOOKUP(R$3,'FX Lookup'!$A$2:$Y$5,3,FALSE),0)</f>
        <v>16970.925509999997</v>
      </c>
      <c r="S32" s="588">
        <f>IF(AND($L32&lt;=S$3,S$3&lt;=$M32),$K32/$N32*HLOOKUP(S$3,'FX Lookup'!$A$2:$Y$5,3,FALSE),0)</f>
        <v>16970.925509999997</v>
      </c>
      <c r="T32" s="588">
        <f>IF(AND($L32&lt;=T$3,T$3&lt;=$M32),$K32/$N32*HLOOKUP(T$3,'FX Lookup'!$A$2:$Y$5,3,FALSE),0)</f>
        <v>16970.925509999997</v>
      </c>
      <c r="U32" s="588">
        <f>IF(AND($L32&lt;=U$3,U$3&lt;=$M32),$K32/$N32*HLOOKUP(U$3,'FX Lookup'!$A$2:$Y$5,3,FALSE),0)</f>
        <v>16970.925509999997</v>
      </c>
      <c r="V32" s="588">
        <f>IF(AND($L32&lt;=V$3,V$3&lt;=$M32),$K32/$N32*HLOOKUP(V$3,'FX Lookup'!$A$2:$Y$5,3,FALSE),0)</f>
        <v>16970.925509999997</v>
      </c>
      <c r="W32" s="588">
        <f>IF(AND($L32&lt;=W$3,W$3&lt;=$M32),$K32/$N32*HLOOKUP(W$3,'FX Lookup'!$A$2:$Y$5,3,FALSE),0)</f>
        <v>16970.925509999997</v>
      </c>
      <c r="X32" s="588">
        <f>IF(AND($L32&lt;=X$3,X$3&lt;=$M32),$K32/$N32*HLOOKUP(X$3,'FX Lookup'!$A$2:$Y$5,3,FALSE),0)</f>
        <v>16970.925509999997</v>
      </c>
      <c r="Y32" s="588">
        <f>IF(AND($L32&lt;=Y$3,Y$3&lt;=$M32),$K32/$N32*HLOOKUP(Y$3,'FX Lookup'!$A$2:$Y$5,3,FALSE),0)</f>
        <v>16970.925509999997</v>
      </c>
      <c r="Z32" s="588">
        <f>IF(AND($L32&lt;=Z$3,Z$3&lt;=$M32),$K32/$N32*HLOOKUP(Z$3,'FX Lookup'!$A$2:$Y$5,3,FALSE),0)</f>
        <v>16970.925509999997</v>
      </c>
      <c r="AA32" s="588">
        <f t="shared" si="2"/>
        <v>203800.96273949998</v>
      </c>
      <c r="AB32" s="588">
        <f t="shared" si="5"/>
        <v>17976.821235975</v>
      </c>
      <c r="AC32" s="588">
        <f t="shared" si="6"/>
        <v>17819.471785499998</v>
      </c>
      <c r="AD32" s="588">
        <f t="shared" si="7"/>
        <v>17819.471785499998</v>
      </c>
      <c r="AE32" s="588">
        <f t="shared" si="8"/>
        <v>17819.471785499998</v>
      </c>
      <c r="AF32" s="588">
        <f t="shared" si="9"/>
        <v>17819.471785499998</v>
      </c>
      <c r="AG32" s="588">
        <f t="shared" si="10"/>
        <v>17819.471785499998</v>
      </c>
      <c r="AH32" s="588">
        <f t="shared" si="11"/>
        <v>17819.471785499998</v>
      </c>
      <c r="AI32" s="588">
        <f t="shared" si="12"/>
        <v>17819.471785499998</v>
      </c>
      <c r="AJ32" s="588">
        <f t="shared" si="13"/>
        <v>17819.471785499998</v>
      </c>
      <c r="AK32" s="588">
        <f t="shared" si="14"/>
        <v>17819.471785499998</v>
      </c>
      <c r="AL32" s="588">
        <f t="shared" si="15"/>
        <v>17819.471785499998</v>
      </c>
      <c r="AM32" s="588">
        <f t="shared" si="16"/>
        <v>17819.471785499998</v>
      </c>
      <c r="AN32" s="588">
        <f t="shared" si="4"/>
        <v>213991.01087647502</v>
      </c>
    </row>
    <row r="33" spans="1:40" ht="16.5" customHeight="1">
      <c r="A33" s="592" t="s">
        <v>2109</v>
      </c>
      <c r="B33" s="567">
        <v>5080011</v>
      </c>
      <c r="C33" s="567" t="s">
        <v>1593</v>
      </c>
      <c r="D33" s="17" t="s">
        <v>2611</v>
      </c>
      <c r="E33" s="17" t="s">
        <v>2620</v>
      </c>
      <c r="F33" s="17" t="str">
        <f>F27</f>
        <v>支付的其他与经营活动有关的现金（其他）</v>
      </c>
      <c r="G33" s="17" t="s">
        <v>2622</v>
      </c>
      <c r="H33" s="18" t="str">
        <f t="shared" si="17"/>
        <v>ttl$pm</v>
      </c>
      <c r="I33" s="457" t="str">
        <f t="shared" si="18"/>
        <v>$</v>
      </c>
      <c r="J33" s="457" t="s">
        <v>2368</v>
      </c>
      <c r="K33" s="589">
        <f>17250*4*(1+K1)</f>
        <v>72450</v>
      </c>
      <c r="L33" s="586">
        <v>46023</v>
      </c>
      <c r="M33" s="586">
        <v>46387</v>
      </c>
      <c r="N33" s="460">
        <f t="shared" si="19"/>
        <v>12</v>
      </c>
      <c r="O33" s="588">
        <f>$K$33/4</f>
        <v>18112.5</v>
      </c>
      <c r="P33" s="588"/>
      <c r="Q33" s="588"/>
      <c r="R33" s="588">
        <f>$K$33/4</f>
        <v>18112.5</v>
      </c>
      <c r="S33" s="588"/>
      <c r="T33" s="588"/>
      <c r="U33" s="588">
        <f>$K$33/4</f>
        <v>18112.5</v>
      </c>
      <c r="V33" s="588"/>
      <c r="W33" s="588"/>
      <c r="X33" s="588">
        <f>$K$33/4</f>
        <v>18112.5</v>
      </c>
      <c r="Y33" s="588"/>
      <c r="Z33" s="588"/>
      <c r="AA33" s="588">
        <f t="shared" si="2"/>
        <v>72450</v>
      </c>
      <c r="AB33" s="588">
        <f t="shared" si="5"/>
        <v>19018.125</v>
      </c>
      <c r="AC33" s="588">
        <f t="shared" si="6"/>
        <v>0</v>
      </c>
      <c r="AD33" s="588">
        <f t="shared" si="7"/>
        <v>0</v>
      </c>
      <c r="AE33" s="588">
        <f t="shared" si="8"/>
        <v>19018.125</v>
      </c>
      <c r="AF33" s="588">
        <f t="shared" si="9"/>
        <v>0</v>
      </c>
      <c r="AG33" s="588">
        <f t="shared" si="10"/>
        <v>0</v>
      </c>
      <c r="AH33" s="588">
        <f t="shared" si="11"/>
        <v>19018.125</v>
      </c>
      <c r="AI33" s="588">
        <f t="shared" si="12"/>
        <v>0</v>
      </c>
      <c r="AJ33" s="588">
        <f t="shared" si="13"/>
        <v>0</v>
      </c>
      <c r="AK33" s="588">
        <f t="shared" si="14"/>
        <v>19018.125</v>
      </c>
      <c r="AL33" s="588">
        <f t="shared" si="15"/>
        <v>0</v>
      </c>
      <c r="AM33" s="588">
        <f t="shared" si="16"/>
        <v>0</v>
      </c>
      <c r="AN33" s="588">
        <f t="shared" si="4"/>
        <v>76072.5</v>
      </c>
    </row>
    <row r="34" spans="1:40" ht="16.5" customHeight="1">
      <c r="A34" s="592" t="s">
        <v>2109</v>
      </c>
      <c r="B34" s="567">
        <v>5080020</v>
      </c>
      <c r="C34" s="567" t="s">
        <v>1607</v>
      </c>
      <c r="D34" s="17" t="s">
        <v>2611</v>
      </c>
      <c r="E34" s="17" t="s">
        <v>2623</v>
      </c>
      <c r="F34" s="17" t="str">
        <f>F27</f>
        <v>支付的其他与经营活动有关的现金（其他）</v>
      </c>
      <c r="G34" s="17" t="s">
        <v>2623</v>
      </c>
      <c r="H34" s="18" t="str">
        <f t="shared" si="17"/>
        <v>ttl$py</v>
      </c>
      <c r="I34" s="457" t="str">
        <f t="shared" si="18"/>
        <v>$</v>
      </c>
      <c r="J34" s="457" t="s">
        <v>2368</v>
      </c>
      <c r="K34" s="589">
        <f>30000*(1+$K$1)</f>
        <v>31500</v>
      </c>
      <c r="L34" s="586">
        <v>46023</v>
      </c>
      <c r="M34" s="586">
        <v>46387</v>
      </c>
      <c r="N34" s="460">
        <f t="shared" si="19"/>
        <v>12</v>
      </c>
      <c r="O34" s="588">
        <f>IF(AND($L34&lt;=O$3,O$3&lt;=$M34),$K34/$N34*HLOOKUP(O$3,'FX Lookup'!$A$2:$Y$5,3,FALSE),0)</f>
        <v>2336.2237499999997</v>
      </c>
      <c r="P34" s="588">
        <f>IF(AND($L34&lt;=P$3,P$3&lt;=$M34),$K34/$N34*HLOOKUP(P$3,'FX Lookup'!$A$2:$Y$5,3,FALSE),0)</f>
        <v>2315.7750000000001</v>
      </c>
      <c r="Q34" s="588">
        <f>IF(AND($L34&lt;=Q$3,Q$3&lt;=$M34),$K34/$N34*HLOOKUP(Q$3,'FX Lookup'!$A$2:$Y$5,3,FALSE),0)</f>
        <v>2315.7750000000001</v>
      </c>
      <c r="R34" s="588">
        <f>IF(AND($L34&lt;=R$3,R$3&lt;=$M34),$K34/$N34*HLOOKUP(R$3,'FX Lookup'!$A$2:$Y$5,3,FALSE),0)</f>
        <v>2315.7750000000001</v>
      </c>
      <c r="S34" s="588">
        <f>IF(AND($L34&lt;=S$3,S$3&lt;=$M34),$K34/$N34*HLOOKUP(S$3,'FX Lookup'!$A$2:$Y$5,3,FALSE),0)</f>
        <v>2315.7750000000001</v>
      </c>
      <c r="T34" s="588">
        <f>IF(AND($L34&lt;=T$3,T$3&lt;=$M34),$K34/$N34*HLOOKUP(T$3,'FX Lookup'!$A$2:$Y$5,3,FALSE),0)</f>
        <v>2315.7750000000001</v>
      </c>
      <c r="U34" s="588">
        <f>IF(AND($L34&lt;=U$3,U$3&lt;=$M34),$K34/$N34*HLOOKUP(U$3,'FX Lookup'!$A$2:$Y$5,3,FALSE),0)</f>
        <v>2315.7750000000001</v>
      </c>
      <c r="V34" s="588">
        <f>IF(AND($L34&lt;=V$3,V$3&lt;=$M34),$K34/$N34*HLOOKUP(V$3,'FX Lookup'!$A$2:$Y$5,3,FALSE),0)</f>
        <v>2315.7750000000001</v>
      </c>
      <c r="W34" s="588">
        <f>IF(AND($L34&lt;=W$3,W$3&lt;=$M34),$K34/$N34*HLOOKUP(W$3,'FX Lookup'!$A$2:$Y$5,3,FALSE),0)</f>
        <v>2315.7750000000001</v>
      </c>
      <c r="X34" s="588">
        <f>IF(AND($L34&lt;=X$3,X$3&lt;=$M34),$K34/$N34*HLOOKUP(X$3,'FX Lookup'!$A$2:$Y$5,3,FALSE),0)</f>
        <v>2315.7750000000001</v>
      </c>
      <c r="Y34" s="588">
        <f>IF(AND($L34&lt;=Y$3,Y$3&lt;=$M34),$K34/$N34*HLOOKUP(Y$3,'FX Lookup'!$A$2:$Y$5,3,FALSE),0)</f>
        <v>2315.7750000000001</v>
      </c>
      <c r="Z34" s="588">
        <f>IF(AND($L34&lt;=Z$3,Z$3&lt;=$M34),$K34/$N34*HLOOKUP(Z$3,'FX Lookup'!$A$2:$Y$5,3,FALSE),0)</f>
        <v>2315.7750000000001</v>
      </c>
      <c r="AA34" s="588">
        <f t="shared" si="2"/>
        <v>27809.748750000006</v>
      </c>
      <c r="AB34" s="588">
        <f t="shared" si="5"/>
        <v>2453.0349374999996</v>
      </c>
      <c r="AC34" s="588">
        <f t="shared" si="6"/>
        <v>2431.5637500000003</v>
      </c>
      <c r="AD34" s="588">
        <f t="shared" si="7"/>
        <v>2431.5637500000003</v>
      </c>
      <c r="AE34" s="588">
        <f t="shared" si="8"/>
        <v>2431.5637500000003</v>
      </c>
      <c r="AF34" s="588">
        <f t="shared" si="9"/>
        <v>2431.5637500000003</v>
      </c>
      <c r="AG34" s="588">
        <f t="shared" si="10"/>
        <v>2431.5637500000003</v>
      </c>
      <c r="AH34" s="588">
        <f t="shared" si="11"/>
        <v>2431.5637500000003</v>
      </c>
      <c r="AI34" s="588">
        <f t="shared" si="12"/>
        <v>2431.5637500000003</v>
      </c>
      <c r="AJ34" s="588">
        <f t="shared" si="13"/>
        <v>2431.5637500000003</v>
      </c>
      <c r="AK34" s="588">
        <f t="shared" si="14"/>
        <v>2431.5637500000003</v>
      </c>
      <c r="AL34" s="588">
        <f t="shared" si="15"/>
        <v>2431.5637500000003</v>
      </c>
      <c r="AM34" s="588">
        <f t="shared" si="16"/>
        <v>2431.5637500000003</v>
      </c>
      <c r="AN34" s="588">
        <f t="shared" si="4"/>
        <v>29200.23618750001</v>
      </c>
    </row>
    <row r="35" spans="1:40" ht="16.5" customHeight="1">
      <c r="A35" s="592" t="s">
        <v>2109</v>
      </c>
      <c r="B35" s="567" t="s">
        <v>2640</v>
      </c>
      <c r="D35" s="17" t="s">
        <v>2611</v>
      </c>
      <c r="E35" s="17" t="s">
        <v>2625</v>
      </c>
      <c r="F35" s="17" t="str">
        <f>F27</f>
        <v>支付的其他与经营活动有关的现金（其他）</v>
      </c>
      <c r="G35" s="17" t="s">
        <v>2625</v>
      </c>
      <c r="H35" s="18" t="str">
        <f t="shared" si="17"/>
        <v>Ad-Hoc</v>
      </c>
      <c r="I35" s="457" t="str">
        <f t="shared" si="18"/>
        <v>$</v>
      </c>
      <c r="J35" s="457" t="s">
        <v>2368</v>
      </c>
      <c r="K35" s="18">
        <v>0</v>
      </c>
      <c r="L35" s="586">
        <v>46023</v>
      </c>
      <c r="M35" s="586">
        <v>46387</v>
      </c>
      <c r="N35" s="460">
        <f t="shared" si="19"/>
        <v>12</v>
      </c>
      <c r="O35" s="588">
        <f>IF(AND($L35&lt;=O$3,O$3&lt;=$M35),$K35/$N35*HLOOKUP(O$3,'FX Lookup'!$A$2:$Y$5,3,FALSE),0)</f>
        <v>0</v>
      </c>
      <c r="P35" s="588">
        <f>IF(AND($L35&lt;=P$3,P$3&lt;=$M35),$K35/$N35*HLOOKUP(P$3,'FX Lookup'!$A$2:$Y$5,3,FALSE),0)</f>
        <v>0</v>
      </c>
      <c r="Q35" s="588">
        <f>IF(AND($L35&lt;=Q$3,Q$3&lt;=$M35),$K35/$N35*HLOOKUP(Q$3,'FX Lookup'!$A$2:$Y$5,3,FALSE),0)</f>
        <v>0</v>
      </c>
      <c r="R35" s="588">
        <f>IF(AND($L35&lt;=R$3,R$3&lt;=$M35),$K35/$N35*HLOOKUP(R$3,'FX Lookup'!$A$2:$Y$5,3,FALSE),0)</f>
        <v>0</v>
      </c>
      <c r="S35" s="588">
        <f>IF(AND($L35&lt;=S$3,S$3&lt;=$M35),$K35/$N35*HLOOKUP(S$3,'FX Lookup'!$A$2:$Y$5,3,FALSE),0)</f>
        <v>0</v>
      </c>
      <c r="T35" s="588">
        <f>IF(AND($L35&lt;=T$3,T$3&lt;=$M35),$K35/$N35*HLOOKUP(T$3,'FX Lookup'!$A$2:$Y$5,3,FALSE),0)</f>
        <v>0</v>
      </c>
      <c r="U35" s="588">
        <f>IF(AND($L35&lt;=U$3,U$3&lt;=$M35),$K35/$N35*HLOOKUP(U$3,'FX Lookup'!$A$2:$Y$5,3,FALSE),0)</f>
        <v>0</v>
      </c>
      <c r="V35" s="588">
        <f>IF(AND($L35&lt;=V$3,V$3&lt;=$M35),$K35/$N35*HLOOKUP(V$3,'FX Lookup'!$A$2:$Y$5,3,FALSE),0)</f>
        <v>0</v>
      </c>
      <c r="W35" s="588">
        <f>IF(AND($L35&lt;=W$3,W$3&lt;=$M35),$K35/$N35*HLOOKUP(W$3,'FX Lookup'!$A$2:$Y$5,3,FALSE),0)</f>
        <v>0</v>
      </c>
      <c r="X35" s="588">
        <f>IF(AND($L35&lt;=X$3,X$3&lt;=$M35),$K35/$N35*HLOOKUP(X$3,'FX Lookup'!$A$2:$Y$5,3,FALSE),0)</f>
        <v>0</v>
      </c>
      <c r="Y35" s="588">
        <f>IF(AND($L35&lt;=Y$3,Y$3&lt;=$M35),$K35/$N35*HLOOKUP(Y$3,'FX Lookup'!$A$2:$Y$5,3,FALSE),0)</f>
        <v>0</v>
      </c>
      <c r="Z35" s="588">
        <f>IF(AND($L35&lt;=Z$3,Z$3&lt;=$M35),$K35/$N35*HLOOKUP(Z$3,'FX Lookup'!$A$2:$Y$5,3,FALSE),0)</f>
        <v>0</v>
      </c>
      <c r="AA35" s="588">
        <f t="shared" si="2"/>
        <v>0</v>
      </c>
      <c r="AB35" s="588">
        <f t="shared" si="5"/>
        <v>0</v>
      </c>
      <c r="AC35" s="588">
        <f t="shared" si="6"/>
        <v>0</v>
      </c>
      <c r="AD35" s="588">
        <f t="shared" si="7"/>
        <v>0</v>
      </c>
      <c r="AE35" s="588">
        <f t="shared" si="8"/>
        <v>0</v>
      </c>
      <c r="AF35" s="588">
        <f t="shared" si="9"/>
        <v>0</v>
      </c>
      <c r="AG35" s="588">
        <f t="shared" si="10"/>
        <v>0</v>
      </c>
      <c r="AH35" s="588">
        <f t="shared" si="11"/>
        <v>0</v>
      </c>
      <c r="AI35" s="588">
        <f t="shared" si="12"/>
        <v>0</v>
      </c>
      <c r="AJ35" s="588">
        <f t="shared" si="13"/>
        <v>0</v>
      </c>
      <c r="AK35" s="588">
        <f t="shared" si="14"/>
        <v>0</v>
      </c>
      <c r="AL35" s="588">
        <f t="shared" si="15"/>
        <v>0</v>
      </c>
      <c r="AM35" s="588">
        <f t="shared" si="16"/>
        <v>0</v>
      </c>
      <c r="AN35" s="588">
        <f t="shared" si="4"/>
        <v>0</v>
      </c>
    </row>
    <row r="36" spans="1:40" ht="16.5" customHeight="1">
      <c r="A36" s="592" t="s">
        <v>2109</v>
      </c>
      <c r="B36" s="567" t="s">
        <v>2641</v>
      </c>
      <c r="D36" s="17" t="s">
        <v>2611</v>
      </c>
      <c r="E36" s="17" t="s">
        <v>2626</v>
      </c>
      <c r="F36" s="17" t="str">
        <f>F27</f>
        <v>支付的其他与经营活动有关的现金（其他）</v>
      </c>
      <c r="G36" s="17" t="s">
        <v>2626</v>
      </c>
      <c r="H36" s="18" t="str">
        <f t="shared" si="17"/>
        <v>ttl$pm</v>
      </c>
      <c r="I36" s="457" t="str">
        <f t="shared" si="18"/>
        <v>$</v>
      </c>
      <c r="J36" s="457" t="s">
        <v>2368</v>
      </c>
      <c r="K36" s="18">
        <v>0</v>
      </c>
      <c r="L36" s="586">
        <v>46023</v>
      </c>
      <c r="M36" s="586">
        <v>46387</v>
      </c>
      <c r="N36" s="460">
        <f t="shared" si="19"/>
        <v>12</v>
      </c>
      <c r="O36" s="588">
        <f>IF(AND($L36&lt;=O$3,O$3&lt;=$M36),$K36/$N36*HLOOKUP(O$3,'FX Lookup'!$A$2:$Y$5,3,FALSE),0)</f>
        <v>0</v>
      </c>
      <c r="P36" s="588">
        <f>IF(AND($L36&lt;=P$3,P$3&lt;=$M36),$K36/$N36*HLOOKUP(P$3,'FX Lookup'!$A$2:$Y$5,3,FALSE),0)</f>
        <v>0</v>
      </c>
      <c r="Q36" s="588">
        <f>IF(AND($L36&lt;=Q$3,Q$3&lt;=$M36),$K36/$N36*HLOOKUP(Q$3,'FX Lookup'!$A$2:$Y$5,3,FALSE),0)</f>
        <v>0</v>
      </c>
      <c r="R36" s="588">
        <f>IF(AND($L36&lt;=R$3,R$3&lt;=$M36),$K36/$N36*HLOOKUP(R$3,'FX Lookup'!$A$2:$Y$5,3,FALSE),0)</f>
        <v>0</v>
      </c>
      <c r="S36" s="588">
        <f>IF(AND($L36&lt;=S$3,S$3&lt;=$M36),$K36/$N36*HLOOKUP(S$3,'FX Lookup'!$A$2:$Y$5,3,FALSE),0)</f>
        <v>0</v>
      </c>
      <c r="T36" s="588">
        <f>IF(AND($L36&lt;=T$3,T$3&lt;=$M36),$K36/$N36*HLOOKUP(T$3,'FX Lookup'!$A$2:$Y$5,3,FALSE),0)</f>
        <v>0</v>
      </c>
      <c r="U36" s="588">
        <f>IF(AND($L36&lt;=U$3,U$3&lt;=$M36),$K36/$N36*HLOOKUP(U$3,'FX Lookup'!$A$2:$Y$5,3,FALSE),0)</f>
        <v>0</v>
      </c>
      <c r="V36" s="588">
        <f>IF(AND($L36&lt;=V$3,V$3&lt;=$M36),$K36/$N36*HLOOKUP(V$3,'FX Lookup'!$A$2:$Y$5,3,FALSE),0)</f>
        <v>0</v>
      </c>
      <c r="W36" s="588">
        <f>IF(AND($L36&lt;=W$3,W$3&lt;=$M36),$K36/$N36*HLOOKUP(W$3,'FX Lookup'!$A$2:$Y$5,3,FALSE),0)</f>
        <v>0</v>
      </c>
      <c r="X36" s="588">
        <f>IF(AND($L36&lt;=X$3,X$3&lt;=$M36),$K36/$N36*HLOOKUP(X$3,'FX Lookup'!$A$2:$Y$5,3,FALSE),0)</f>
        <v>0</v>
      </c>
      <c r="Y36" s="588">
        <f>IF(AND($L36&lt;=Y$3,Y$3&lt;=$M36),$K36/$N36*HLOOKUP(Y$3,'FX Lookup'!$A$2:$Y$5,3,FALSE),0)</f>
        <v>0</v>
      </c>
      <c r="Z36" s="588">
        <f>IF(AND($L36&lt;=Z$3,Z$3&lt;=$M36),$K36/$N36*HLOOKUP(Z$3,'FX Lookup'!$A$2:$Y$5,3,FALSE),0)</f>
        <v>0</v>
      </c>
      <c r="AA36" s="588">
        <f t="shared" si="2"/>
        <v>0</v>
      </c>
      <c r="AB36" s="588">
        <f t="shared" si="5"/>
        <v>0</v>
      </c>
      <c r="AC36" s="588">
        <f t="shared" si="6"/>
        <v>0</v>
      </c>
      <c r="AD36" s="588">
        <f t="shared" si="7"/>
        <v>0</v>
      </c>
      <c r="AE36" s="588">
        <f t="shared" si="8"/>
        <v>0</v>
      </c>
      <c r="AF36" s="588">
        <f t="shared" si="9"/>
        <v>0</v>
      </c>
      <c r="AG36" s="588">
        <f t="shared" si="10"/>
        <v>0</v>
      </c>
      <c r="AH36" s="588">
        <f t="shared" si="11"/>
        <v>0</v>
      </c>
      <c r="AI36" s="588">
        <f t="shared" si="12"/>
        <v>0</v>
      </c>
      <c r="AJ36" s="588">
        <f t="shared" si="13"/>
        <v>0</v>
      </c>
      <c r="AK36" s="588">
        <f t="shared" si="14"/>
        <v>0</v>
      </c>
      <c r="AL36" s="588">
        <f t="shared" si="15"/>
        <v>0</v>
      </c>
      <c r="AM36" s="588">
        <f t="shared" si="16"/>
        <v>0</v>
      </c>
      <c r="AN36" s="588">
        <f t="shared" si="4"/>
        <v>0</v>
      </c>
    </row>
    <row r="37" spans="1:40" ht="16.5" customHeight="1">
      <c r="A37" s="592" t="s">
        <v>2109</v>
      </c>
      <c r="B37" s="567">
        <v>66020607</v>
      </c>
      <c r="D37" s="17" t="s">
        <v>2611</v>
      </c>
      <c r="E37" s="17" t="s">
        <v>2627</v>
      </c>
      <c r="G37" s="17" t="s">
        <v>2627</v>
      </c>
      <c r="H37" s="18" t="str">
        <f t="shared" si="17"/>
        <v>Ad-Hoc</v>
      </c>
      <c r="I37" s="457" t="str">
        <f t="shared" si="18"/>
        <v>$</v>
      </c>
      <c r="J37" s="457" t="s">
        <v>2368</v>
      </c>
      <c r="K37" s="18">
        <v>0</v>
      </c>
      <c r="L37" s="586">
        <v>46023</v>
      </c>
      <c r="M37" s="586">
        <v>46387</v>
      </c>
      <c r="N37" s="460">
        <f t="shared" si="19"/>
        <v>12</v>
      </c>
      <c r="O37" s="588">
        <f>IF(AND($L37&lt;=O$3,O$3&lt;=$M37),$K37/$N37*HLOOKUP(O$3,'FX Lookup'!$A$2:$Y$5,3,FALSE),0)</f>
        <v>0</v>
      </c>
      <c r="P37" s="588">
        <f>IF(AND($L37&lt;=P$3,P$3&lt;=$M37),$K37/$N37*HLOOKUP(P$3,'FX Lookup'!$A$2:$Y$5,3,FALSE),0)</f>
        <v>0</v>
      </c>
      <c r="Q37" s="588">
        <f>IF(AND($L37&lt;=Q$3,Q$3&lt;=$M37),$K37/$N37*HLOOKUP(Q$3,'FX Lookup'!$A$2:$Y$5,3,FALSE),0)</f>
        <v>0</v>
      </c>
      <c r="R37" s="588">
        <f>IF(AND($L37&lt;=R$3,R$3&lt;=$M37),$K37/$N37*HLOOKUP(R$3,'FX Lookup'!$A$2:$Y$5,3,FALSE),0)</f>
        <v>0</v>
      </c>
      <c r="S37" s="588">
        <f>IF(AND($L37&lt;=S$3,S$3&lt;=$M37),$K37/$N37*HLOOKUP(S$3,'FX Lookup'!$A$2:$Y$5,3,FALSE),0)</f>
        <v>0</v>
      </c>
      <c r="T37" s="588">
        <f>IF(AND($L37&lt;=T$3,T$3&lt;=$M37),$K37/$N37*HLOOKUP(T$3,'FX Lookup'!$A$2:$Y$5,3,FALSE),0)</f>
        <v>0</v>
      </c>
      <c r="U37" s="588">
        <f>IF(AND($L37&lt;=U$3,U$3&lt;=$M37),$K37/$N37*HLOOKUP(U$3,'FX Lookup'!$A$2:$Y$5,3,FALSE),0)</f>
        <v>0</v>
      </c>
      <c r="V37" s="588">
        <f>IF(AND($L37&lt;=V$3,V$3&lt;=$M37),$K37/$N37*HLOOKUP(V$3,'FX Lookup'!$A$2:$Y$5,3,FALSE),0)</f>
        <v>0</v>
      </c>
      <c r="W37" s="588">
        <f>IF(AND($L37&lt;=W$3,W$3&lt;=$M37),$K37/$N37*HLOOKUP(W$3,'FX Lookup'!$A$2:$Y$5,3,FALSE),0)</f>
        <v>0</v>
      </c>
      <c r="X37" s="588">
        <f>IF(AND($L37&lt;=X$3,X$3&lt;=$M37),$K37/$N37*HLOOKUP(X$3,'FX Lookup'!$A$2:$Y$5,3,FALSE),0)</f>
        <v>0</v>
      </c>
      <c r="Y37" s="588">
        <f>IF(AND($L37&lt;=Y$3,Y$3&lt;=$M37),$K37/$N37*HLOOKUP(Y$3,'FX Lookup'!$A$2:$Y$5,3,FALSE),0)</f>
        <v>0</v>
      </c>
      <c r="Z37" s="588">
        <f>IF(AND($L37&lt;=Z$3,Z$3&lt;=$M37),$K37/$N37*HLOOKUP(Z$3,'FX Lookup'!$A$2:$Y$5,3,FALSE),0)</f>
        <v>0</v>
      </c>
      <c r="AA37" s="588">
        <f t="shared" si="2"/>
        <v>0</v>
      </c>
      <c r="AB37" s="588">
        <f t="shared" si="5"/>
        <v>0</v>
      </c>
      <c r="AC37" s="588">
        <f t="shared" si="6"/>
        <v>0</v>
      </c>
      <c r="AD37" s="588">
        <f t="shared" si="7"/>
        <v>0</v>
      </c>
      <c r="AE37" s="588">
        <f t="shared" si="8"/>
        <v>0</v>
      </c>
      <c r="AF37" s="588">
        <f t="shared" si="9"/>
        <v>0</v>
      </c>
      <c r="AG37" s="588">
        <f t="shared" si="10"/>
        <v>0</v>
      </c>
      <c r="AH37" s="588">
        <f t="shared" si="11"/>
        <v>0</v>
      </c>
      <c r="AI37" s="588">
        <f t="shared" si="12"/>
        <v>0</v>
      </c>
      <c r="AJ37" s="588">
        <f t="shared" si="13"/>
        <v>0</v>
      </c>
      <c r="AK37" s="588">
        <f t="shared" si="14"/>
        <v>0</v>
      </c>
      <c r="AL37" s="588">
        <f t="shared" si="15"/>
        <v>0</v>
      </c>
      <c r="AM37" s="588">
        <f t="shared" si="16"/>
        <v>0</v>
      </c>
      <c r="AN37" s="588">
        <f t="shared" si="4"/>
        <v>0</v>
      </c>
    </row>
    <row r="38" spans="1:40" ht="16.5" customHeight="1">
      <c r="A38" s="592" t="s">
        <v>2109</v>
      </c>
      <c r="B38" s="567" t="s">
        <v>2628</v>
      </c>
      <c r="D38" s="17" t="s">
        <v>2611</v>
      </c>
      <c r="E38" s="17" t="s">
        <v>2627</v>
      </c>
      <c r="G38" s="17" t="s">
        <v>2629</v>
      </c>
      <c r="H38" s="18" t="str">
        <f t="shared" si="17"/>
        <v>Ad-Hoc</v>
      </c>
      <c r="I38" s="457" t="str">
        <f t="shared" si="18"/>
        <v>$</v>
      </c>
      <c r="J38" s="457" t="s">
        <v>2368</v>
      </c>
      <c r="K38" s="18">
        <v>0</v>
      </c>
      <c r="L38" s="586">
        <v>46023</v>
      </c>
      <c r="M38" s="586">
        <v>46387</v>
      </c>
      <c r="N38" s="460">
        <f t="shared" si="19"/>
        <v>12</v>
      </c>
      <c r="O38" s="588">
        <f>IF(AND($L38&lt;=O$3,O$3&lt;=$M38),$K38/$N38*HLOOKUP(O$3,'FX Lookup'!$A$2:$Y$5,3,FALSE),0)</f>
        <v>0</v>
      </c>
      <c r="P38" s="588">
        <f>IF(AND($L38&lt;=P$3,P$3&lt;=$M38),$K38/$N38*HLOOKUP(P$3,'FX Lookup'!$A$2:$Y$5,3,FALSE),0)</f>
        <v>0</v>
      </c>
      <c r="Q38" s="588">
        <f>IF(AND($L38&lt;=Q$3,Q$3&lt;=$M38),$K38/$N38*HLOOKUP(Q$3,'FX Lookup'!$A$2:$Y$5,3,FALSE),0)</f>
        <v>0</v>
      </c>
      <c r="R38" s="588">
        <f>IF(AND($L38&lt;=R$3,R$3&lt;=$M38),$K38/$N38*HLOOKUP(R$3,'FX Lookup'!$A$2:$Y$5,3,FALSE),0)</f>
        <v>0</v>
      </c>
      <c r="S38" s="588">
        <f>IF(AND($L38&lt;=S$3,S$3&lt;=$M38),$K38/$N38*HLOOKUP(S$3,'FX Lookup'!$A$2:$Y$5,3,FALSE),0)</f>
        <v>0</v>
      </c>
      <c r="T38" s="588">
        <f>IF(AND($L38&lt;=T$3,T$3&lt;=$M38),$K38/$N38*HLOOKUP(T$3,'FX Lookup'!$A$2:$Y$5,3,FALSE),0)</f>
        <v>0</v>
      </c>
      <c r="U38" s="588">
        <f>IF(AND($L38&lt;=U$3,U$3&lt;=$M38),$K38/$N38*HLOOKUP(U$3,'FX Lookup'!$A$2:$Y$5,3,FALSE),0)</f>
        <v>0</v>
      </c>
      <c r="V38" s="588">
        <f>IF(AND($L38&lt;=V$3,V$3&lt;=$M38),$K38/$N38*HLOOKUP(V$3,'FX Lookup'!$A$2:$Y$5,3,FALSE),0)</f>
        <v>0</v>
      </c>
      <c r="W38" s="588">
        <f>IF(AND($L38&lt;=W$3,W$3&lt;=$M38),$K38/$N38*HLOOKUP(W$3,'FX Lookup'!$A$2:$Y$5,3,FALSE),0)</f>
        <v>0</v>
      </c>
      <c r="X38" s="588">
        <f>IF(AND($L38&lt;=X$3,X$3&lt;=$M38),$K38/$N38*HLOOKUP(X$3,'FX Lookup'!$A$2:$Y$5,3,FALSE),0)</f>
        <v>0</v>
      </c>
      <c r="Y38" s="588">
        <f>IF(AND($L38&lt;=Y$3,Y$3&lt;=$M38),$K38/$N38*HLOOKUP(Y$3,'FX Lookup'!$A$2:$Y$5,3,FALSE),0)</f>
        <v>0</v>
      </c>
      <c r="Z38" s="588">
        <f>IF(AND($L38&lt;=Z$3,Z$3&lt;=$M38),$K38/$N38*HLOOKUP(Z$3,'FX Lookup'!$A$2:$Y$5,3,FALSE),0)</f>
        <v>0</v>
      </c>
      <c r="AA38" s="588">
        <f t="shared" si="2"/>
        <v>0</v>
      </c>
      <c r="AB38" s="588">
        <f t="shared" si="5"/>
        <v>0</v>
      </c>
      <c r="AC38" s="588">
        <f t="shared" si="6"/>
        <v>0</v>
      </c>
      <c r="AD38" s="588">
        <f t="shared" si="7"/>
        <v>0</v>
      </c>
      <c r="AE38" s="588">
        <f t="shared" si="8"/>
        <v>0</v>
      </c>
      <c r="AF38" s="588">
        <f t="shared" si="9"/>
        <v>0</v>
      </c>
      <c r="AG38" s="588">
        <f t="shared" si="10"/>
        <v>0</v>
      </c>
      <c r="AH38" s="588">
        <f t="shared" si="11"/>
        <v>0</v>
      </c>
      <c r="AI38" s="588">
        <f t="shared" si="12"/>
        <v>0</v>
      </c>
      <c r="AJ38" s="588">
        <f t="shared" si="13"/>
        <v>0</v>
      </c>
      <c r="AK38" s="588">
        <f t="shared" si="14"/>
        <v>0</v>
      </c>
      <c r="AL38" s="588">
        <f t="shared" si="15"/>
        <v>0</v>
      </c>
      <c r="AM38" s="588">
        <f t="shared" si="16"/>
        <v>0</v>
      </c>
      <c r="AN38" s="588">
        <f t="shared" si="4"/>
        <v>0</v>
      </c>
    </row>
    <row r="39" spans="1:40" ht="16.5" customHeight="1">
      <c r="A39" s="592" t="s">
        <v>2109</v>
      </c>
      <c r="B39" s="567">
        <v>5080030</v>
      </c>
      <c r="D39" s="17" t="s">
        <v>2611</v>
      </c>
      <c r="E39" s="17" t="s">
        <v>1619</v>
      </c>
      <c r="G39" s="17" t="s">
        <v>1619</v>
      </c>
      <c r="H39" s="18" t="str">
        <f t="shared" si="17"/>
        <v>ttl$py</v>
      </c>
      <c r="I39" s="457" t="str">
        <f t="shared" si="18"/>
        <v>$</v>
      </c>
      <c r="J39" s="457" t="s">
        <v>2368</v>
      </c>
      <c r="K39" s="18">
        <v>0</v>
      </c>
      <c r="L39" s="586">
        <v>46023</v>
      </c>
      <c r="M39" s="586">
        <v>46387</v>
      </c>
      <c r="N39" s="460">
        <f t="shared" si="19"/>
        <v>12</v>
      </c>
      <c r="O39" s="588">
        <f>IF(AND($L39&lt;=O$3,O$3&lt;=$M39),$K39/$N39*HLOOKUP(O$3,'FX Lookup'!$A$2:$Y$5,3,FALSE),0)</f>
        <v>0</v>
      </c>
      <c r="P39" s="588">
        <f>IF(AND($L39&lt;=P$3,P$3&lt;=$M39),$K39/$N39*HLOOKUP(P$3,'FX Lookup'!$A$2:$Y$5,3,FALSE),0)</f>
        <v>0</v>
      </c>
      <c r="Q39" s="588">
        <f>IF(AND($L39&lt;=Q$3,Q$3&lt;=$M39),$K39/$N39*HLOOKUP(Q$3,'FX Lookup'!$A$2:$Y$5,3,FALSE),0)</f>
        <v>0</v>
      </c>
      <c r="R39" s="588">
        <f>IF(AND($L39&lt;=R$3,R$3&lt;=$M39),$K39/$N39*HLOOKUP(R$3,'FX Lookup'!$A$2:$Y$5,3,FALSE),0)</f>
        <v>0</v>
      </c>
      <c r="S39" s="588">
        <f>IF(AND($L39&lt;=S$3,S$3&lt;=$M39),$K39/$N39*HLOOKUP(S$3,'FX Lookup'!$A$2:$Y$5,3,FALSE),0)</f>
        <v>0</v>
      </c>
      <c r="T39" s="588">
        <f>IF(AND($L39&lt;=T$3,T$3&lt;=$M39),$K39/$N39*HLOOKUP(T$3,'FX Lookup'!$A$2:$Y$5,3,FALSE),0)</f>
        <v>0</v>
      </c>
      <c r="U39" s="588">
        <f>IF(AND($L39&lt;=U$3,U$3&lt;=$M39),$K39/$N39*HLOOKUP(U$3,'FX Lookup'!$A$2:$Y$5,3,FALSE),0)</f>
        <v>0</v>
      </c>
      <c r="V39" s="588">
        <f>IF(AND($L39&lt;=V$3,V$3&lt;=$M39),$K39/$N39*HLOOKUP(V$3,'FX Lookup'!$A$2:$Y$5,3,FALSE),0)</f>
        <v>0</v>
      </c>
      <c r="W39" s="588">
        <f>IF(AND($L39&lt;=W$3,W$3&lt;=$M39),$K39/$N39*HLOOKUP(W$3,'FX Lookup'!$A$2:$Y$5,3,FALSE),0)</f>
        <v>0</v>
      </c>
      <c r="X39" s="588">
        <f>IF(AND($L39&lt;=X$3,X$3&lt;=$M39),$K39/$N39*HLOOKUP(X$3,'FX Lookup'!$A$2:$Y$5,3,FALSE),0)</f>
        <v>0</v>
      </c>
      <c r="Y39" s="588">
        <f>IF(AND($L39&lt;=Y$3,Y$3&lt;=$M39),$K39/$N39*HLOOKUP(Y$3,'FX Lookup'!$A$2:$Y$5,3,FALSE),0)</f>
        <v>0</v>
      </c>
      <c r="Z39" s="588">
        <f>IF(AND($L39&lt;=Z$3,Z$3&lt;=$M39),$K39/$N39*HLOOKUP(Z$3,'FX Lookup'!$A$2:$Y$5,3,FALSE),0)</f>
        <v>0</v>
      </c>
      <c r="AA39" s="588">
        <f t="shared" ref="AA39:AA70" si="20">SUM(O39:Z39)</f>
        <v>0</v>
      </c>
      <c r="AB39" s="588">
        <f t="shared" si="5"/>
        <v>0</v>
      </c>
      <c r="AC39" s="588">
        <f t="shared" si="6"/>
        <v>0</v>
      </c>
      <c r="AD39" s="588">
        <f t="shared" si="7"/>
        <v>0</v>
      </c>
      <c r="AE39" s="588">
        <f t="shared" si="8"/>
        <v>0</v>
      </c>
      <c r="AF39" s="588">
        <f t="shared" si="9"/>
        <v>0</v>
      </c>
      <c r="AG39" s="588">
        <f t="shared" si="10"/>
        <v>0</v>
      </c>
      <c r="AH39" s="588">
        <f t="shared" si="11"/>
        <v>0</v>
      </c>
      <c r="AI39" s="588">
        <f t="shared" si="12"/>
        <v>0</v>
      </c>
      <c r="AJ39" s="588">
        <f t="shared" si="13"/>
        <v>0</v>
      </c>
      <c r="AK39" s="588">
        <f t="shared" si="14"/>
        <v>0</v>
      </c>
      <c r="AL39" s="588">
        <f t="shared" si="15"/>
        <v>0</v>
      </c>
      <c r="AM39" s="588">
        <f t="shared" si="16"/>
        <v>0</v>
      </c>
      <c r="AN39" s="588">
        <f t="shared" si="4"/>
        <v>0</v>
      </c>
    </row>
    <row r="40" spans="1:40" ht="16.5" customHeight="1">
      <c r="A40" s="592" t="s">
        <v>2109</v>
      </c>
      <c r="B40" s="567">
        <v>5080061</v>
      </c>
      <c r="C40" s="567" t="s">
        <v>1598</v>
      </c>
      <c r="D40" s="17" t="s">
        <v>2611</v>
      </c>
      <c r="E40" s="17" t="s">
        <v>1600</v>
      </c>
      <c r="F40" s="17" t="str">
        <f>F27</f>
        <v>支付的其他与经营活动有关的现金（其他）</v>
      </c>
      <c r="G40" s="17" t="s">
        <v>1600</v>
      </c>
      <c r="H40" s="18" t="str">
        <f t="shared" si="17"/>
        <v>ttl$pm</v>
      </c>
      <c r="I40" s="457" t="str">
        <f t="shared" si="18"/>
        <v>$</v>
      </c>
      <c r="J40" s="457" t="s">
        <v>2368</v>
      </c>
      <c r="K40" s="589">
        <f>800*(1+$K$1)*12</f>
        <v>10080</v>
      </c>
      <c r="L40" s="586">
        <v>46023</v>
      </c>
      <c r="M40" s="586">
        <v>46387</v>
      </c>
      <c r="N40" s="460">
        <f t="shared" si="19"/>
        <v>12</v>
      </c>
      <c r="O40" s="588">
        <f>IF(AND($L40&lt;=O$3,O$3&lt;=$M40),$K40/$N40*HLOOKUP(O$3,'FX Lookup'!$A$2:$Y$5,3,FALSE),0)</f>
        <v>747.59159999999997</v>
      </c>
      <c r="P40" s="588">
        <f>IF(AND($L40&lt;=P$3,P$3&lt;=$M40),$K40/$N40*HLOOKUP(P$3,'FX Lookup'!$A$2:$Y$5,3,FALSE),0)</f>
        <v>741.048</v>
      </c>
      <c r="Q40" s="588">
        <f>IF(AND($L40&lt;=Q$3,Q$3&lt;=$M40),$K40/$N40*HLOOKUP(Q$3,'FX Lookup'!$A$2:$Y$5,3,FALSE),0)</f>
        <v>741.048</v>
      </c>
      <c r="R40" s="588">
        <f>IF(AND($L40&lt;=R$3,R$3&lt;=$M40),$K40/$N40*HLOOKUP(R$3,'FX Lookup'!$A$2:$Y$5,3,FALSE),0)</f>
        <v>741.048</v>
      </c>
      <c r="S40" s="588">
        <f>IF(AND($L40&lt;=S$3,S$3&lt;=$M40),$K40/$N40*HLOOKUP(S$3,'FX Lookup'!$A$2:$Y$5,3,FALSE),0)</f>
        <v>741.048</v>
      </c>
      <c r="T40" s="588">
        <f>IF(AND($L40&lt;=T$3,T$3&lt;=$M40),$K40/$N40*HLOOKUP(T$3,'FX Lookup'!$A$2:$Y$5,3,FALSE),0)</f>
        <v>741.048</v>
      </c>
      <c r="U40" s="588">
        <f>IF(AND($L40&lt;=U$3,U$3&lt;=$M40),$K40/$N40*HLOOKUP(U$3,'FX Lookup'!$A$2:$Y$5,3,FALSE),0)</f>
        <v>741.048</v>
      </c>
      <c r="V40" s="588">
        <f>IF(AND($L40&lt;=V$3,V$3&lt;=$M40),$K40/$N40*HLOOKUP(V$3,'FX Lookup'!$A$2:$Y$5,3,FALSE),0)</f>
        <v>741.048</v>
      </c>
      <c r="W40" s="588">
        <f>IF(AND($L40&lt;=W$3,W$3&lt;=$M40),$K40/$N40*HLOOKUP(W$3,'FX Lookup'!$A$2:$Y$5,3,FALSE),0)</f>
        <v>741.048</v>
      </c>
      <c r="X40" s="588">
        <f>IF(AND($L40&lt;=X$3,X$3&lt;=$M40),$K40/$N40*HLOOKUP(X$3,'FX Lookup'!$A$2:$Y$5,3,FALSE),0)</f>
        <v>741.048</v>
      </c>
      <c r="Y40" s="588">
        <f>IF(AND($L40&lt;=Y$3,Y$3&lt;=$M40),$K40/$N40*HLOOKUP(Y$3,'FX Lookup'!$A$2:$Y$5,3,FALSE),0)</f>
        <v>741.048</v>
      </c>
      <c r="Z40" s="588">
        <f>IF(AND($L40&lt;=Z$3,Z$3&lt;=$M40),$K40/$N40*HLOOKUP(Z$3,'FX Lookup'!$A$2:$Y$5,3,FALSE),0)</f>
        <v>741.048</v>
      </c>
      <c r="AA40" s="588">
        <f t="shared" si="20"/>
        <v>8899.1195999999982</v>
      </c>
      <c r="AB40" s="588">
        <f t="shared" si="5"/>
        <v>784.97118</v>
      </c>
      <c r="AC40" s="588">
        <f t="shared" si="6"/>
        <v>778.10040000000004</v>
      </c>
      <c r="AD40" s="588">
        <f t="shared" si="7"/>
        <v>778.10040000000004</v>
      </c>
      <c r="AE40" s="588">
        <f t="shared" si="8"/>
        <v>778.10040000000004</v>
      </c>
      <c r="AF40" s="588">
        <f t="shared" si="9"/>
        <v>778.10040000000004</v>
      </c>
      <c r="AG40" s="588">
        <f t="shared" si="10"/>
        <v>778.10040000000004</v>
      </c>
      <c r="AH40" s="588">
        <f t="shared" si="11"/>
        <v>778.10040000000004</v>
      </c>
      <c r="AI40" s="588">
        <f t="shared" si="12"/>
        <v>778.10040000000004</v>
      </c>
      <c r="AJ40" s="588">
        <f t="shared" si="13"/>
        <v>778.10040000000004</v>
      </c>
      <c r="AK40" s="588">
        <f t="shared" si="14"/>
        <v>778.10040000000004</v>
      </c>
      <c r="AL40" s="588">
        <f t="shared" si="15"/>
        <v>778.10040000000004</v>
      </c>
      <c r="AM40" s="588">
        <f t="shared" si="16"/>
        <v>778.10040000000004</v>
      </c>
      <c r="AN40" s="588">
        <f t="shared" si="4"/>
        <v>9344.0755800000006</v>
      </c>
    </row>
    <row r="41" spans="1:40" ht="16.5" customHeight="1">
      <c r="A41" s="592" t="s">
        <v>2109</v>
      </c>
      <c r="B41" s="567">
        <v>5080062</v>
      </c>
      <c r="C41" s="567" t="s">
        <v>1603</v>
      </c>
      <c r="D41" s="17" t="s">
        <v>2611</v>
      </c>
      <c r="E41" s="17" t="s">
        <v>2630</v>
      </c>
      <c r="F41" s="17" t="str">
        <f>F27</f>
        <v>支付的其他与经营活动有关的现金（其他）</v>
      </c>
      <c r="G41" s="17" t="s">
        <v>2630</v>
      </c>
      <c r="H41" s="18" t="str">
        <f t="shared" si="17"/>
        <v>ttl$pm</v>
      </c>
      <c r="I41" s="457" t="str">
        <f t="shared" si="18"/>
        <v>$</v>
      </c>
      <c r="J41" s="457" t="s">
        <v>2368</v>
      </c>
      <c r="K41" s="18">
        <v>0</v>
      </c>
      <c r="L41" s="586">
        <v>46023</v>
      </c>
      <c r="M41" s="586">
        <v>46387</v>
      </c>
      <c r="N41" s="460">
        <f t="shared" si="19"/>
        <v>12</v>
      </c>
      <c r="O41" s="588">
        <f>IF(AND($L41&lt;=O$3,O$3&lt;=$M41),$K41/$N41*HLOOKUP(O$3,'FX Lookup'!$A$2:$Y$5,3,FALSE),0)</f>
        <v>0</v>
      </c>
      <c r="P41" s="588">
        <f>IF(AND($L41&lt;=P$3,P$3&lt;=$M41),$K41/$N41*HLOOKUP(P$3,'FX Lookup'!$A$2:$Y$5,3,FALSE),0)</f>
        <v>0</v>
      </c>
      <c r="Q41" s="588">
        <f>IF(AND($L41&lt;=Q$3,Q$3&lt;=$M41),$K41/$N41*HLOOKUP(Q$3,'FX Lookup'!$A$2:$Y$5,3,FALSE),0)</f>
        <v>0</v>
      </c>
      <c r="R41" s="588">
        <f>IF(AND($L41&lt;=R$3,R$3&lt;=$M41),$K41/$N41*HLOOKUP(R$3,'FX Lookup'!$A$2:$Y$5,3,FALSE),0)</f>
        <v>0</v>
      </c>
      <c r="S41" s="588">
        <f>IF(AND($L41&lt;=S$3,S$3&lt;=$M41),$K41/$N41*HLOOKUP(S$3,'FX Lookup'!$A$2:$Y$5,3,FALSE),0)</f>
        <v>0</v>
      </c>
      <c r="T41" s="588">
        <f>IF(AND($L41&lt;=T$3,T$3&lt;=$M41),$K41/$N41*HLOOKUP(T$3,'FX Lookup'!$A$2:$Y$5,3,FALSE),0)</f>
        <v>0</v>
      </c>
      <c r="U41" s="588">
        <f>IF(AND($L41&lt;=U$3,U$3&lt;=$M41),$K41/$N41*HLOOKUP(U$3,'FX Lookup'!$A$2:$Y$5,3,FALSE),0)</f>
        <v>0</v>
      </c>
      <c r="V41" s="588">
        <f>IF(AND($L41&lt;=V$3,V$3&lt;=$M41),$K41/$N41*HLOOKUP(V$3,'FX Lookup'!$A$2:$Y$5,3,FALSE),0)</f>
        <v>0</v>
      </c>
      <c r="W41" s="588">
        <f>IF(AND($L41&lt;=W$3,W$3&lt;=$M41),$K41/$N41*HLOOKUP(W$3,'FX Lookup'!$A$2:$Y$5,3,FALSE),0)</f>
        <v>0</v>
      </c>
      <c r="X41" s="588">
        <f>IF(AND($L41&lt;=X$3,X$3&lt;=$M41),$K41/$N41*HLOOKUP(X$3,'FX Lookup'!$A$2:$Y$5,3,FALSE),0)</f>
        <v>0</v>
      </c>
      <c r="Y41" s="588">
        <f>IF(AND($L41&lt;=Y$3,Y$3&lt;=$M41),$K41/$N41*HLOOKUP(Y$3,'FX Lookup'!$A$2:$Y$5,3,FALSE),0)</f>
        <v>0</v>
      </c>
      <c r="Z41" s="588">
        <f>IF(AND($L41&lt;=Z$3,Z$3&lt;=$M41),$K41/$N41*HLOOKUP(Z$3,'FX Lookup'!$A$2:$Y$5,3,FALSE),0)</f>
        <v>0</v>
      </c>
      <c r="AA41" s="588">
        <f t="shared" si="20"/>
        <v>0</v>
      </c>
      <c r="AB41" s="588">
        <f t="shared" si="5"/>
        <v>0</v>
      </c>
      <c r="AC41" s="588">
        <f t="shared" si="6"/>
        <v>0</v>
      </c>
      <c r="AD41" s="588">
        <f t="shared" si="7"/>
        <v>0</v>
      </c>
      <c r="AE41" s="588">
        <f t="shared" si="8"/>
        <v>0</v>
      </c>
      <c r="AF41" s="588">
        <f t="shared" si="9"/>
        <v>0</v>
      </c>
      <c r="AG41" s="588">
        <f t="shared" si="10"/>
        <v>0</v>
      </c>
      <c r="AH41" s="588">
        <f t="shared" si="11"/>
        <v>0</v>
      </c>
      <c r="AI41" s="588">
        <f t="shared" si="12"/>
        <v>0</v>
      </c>
      <c r="AJ41" s="588">
        <f t="shared" si="13"/>
        <v>0</v>
      </c>
      <c r="AK41" s="588">
        <f t="shared" si="14"/>
        <v>0</v>
      </c>
      <c r="AL41" s="588">
        <f t="shared" si="15"/>
        <v>0</v>
      </c>
      <c r="AM41" s="588">
        <f t="shared" si="16"/>
        <v>0</v>
      </c>
      <c r="AN41" s="588">
        <f t="shared" si="4"/>
        <v>0</v>
      </c>
    </row>
    <row r="42" spans="1:40" ht="16.5" customHeight="1">
      <c r="A42" s="592" t="s">
        <v>2109</v>
      </c>
      <c r="B42" s="567">
        <v>504014</v>
      </c>
      <c r="D42" s="17" t="s">
        <v>2631</v>
      </c>
      <c r="E42" s="17" t="s">
        <v>2632</v>
      </c>
      <c r="F42" s="17" t="str">
        <f>'CF-ACPL（合并）'!A51</f>
        <v>支付的其他与筹资活动有关的现金</v>
      </c>
      <c r="G42" s="17" t="s">
        <v>2633</v>
      </c>
      <c r="H42" s="18" t="str">
        <f t="shared" si="17"/>
        <v>$ttlpm</v>
      </c>
      <c r="I42" s="457" t="str">
        <f t="shared" si="18"/>
        <v>$</v>
      </c>
      <c r="J42" s="457" t="s">
        <v>2368</v>
      </c>
      <c r="K42" s="18">
        <v>0</v>
      </c>
      <c r="L42" s="586">
        <v>46023</v>
      </c>
      <c r="M42" s="586">
        <v>46387</v>
      </c>
      <c r="N42" s="460">
        <f t="shared" si="19"/>
        <v>12</v>
      </c>
      <c r="O42" s="588">
        <f>IF(AND($L42&lt;=O$3,O$3&lt;=$M42),$K42/$N42*HLOOKUP(O$3,'FX Lookup'!$A$2:$Y$5,3,FALSE),0)</f>
        <v>0</v>
      </c>
      <c r="P42" s="588">
        <f>IF(AND($L42&lt;=P$3,P$3&lt;=$M42),$K42/$N42*HLOOKUP(P$3,'FX Lookup'!$A$2:$Y$5,3,FALSE),0)</f>
        <v>0</v>
      </c>
      <c r="Q42" s="588">
        <f>IF(AND($L42&lt;=Q$3,Q$3&lt;=$M42),$K42/$N42*HLOOKUP(Q$3,'FX Lookup'!$A$2:$Y$5,3,FALSE),0)</f>
        <v>0</v>
      </c>
      <c r="R42" s="588">
        <f>IF(AND($L42&lt;=R$3,R$3&lt;=$M42),$K42/$N42*HLOOKUP(R$3,'FX Lookup'!$A$2:$Y$5,3,FALSE),0)</f>
        <v>0</v>
      </c>
      <c r="S42" s="588">
        <f>IF(AND($L42&lt;=S$3,S$3&lt;=$M42),$K42/$N42*HLOOKUP(S$3,'FX Lookup'!$A$2:$Y$5,3,FALSE),0)</f>
        <v>0</v>
      </c>
      <c r="T42" s="588">
        <f>IF(AND($L42&lt;=T$3,T$3&lt;=$M42),$K42/$N42*HLOOKUP(T$3,'FX Lookup'!$A$2:$Y$5,3,FALSE),0)</f>
        <v>0</v>
      </c>
      <c r="U42" s="588">
        <f>IF(AND($L42&lt;=U$3,U$3&lt;=$M42),$K42/$N42*HLOOKUP(U$3,'FX Lookup'!$A$2:$Y$5,3,FALSE),0)</f>
        <v>0</v>
      </c>
      <c r="V42" s="588">
        <f>IF(AND($L42&lt;=V$3,V$3&lt;=$M42),$K42/$N42*HLOOKUP(V$3,'FX Lookup'!$A$2:$Y$5,3,FALSE),0)</f>
        <v>0</v>
      </c>
      <c r="W42" s="588">
        <f>IF(AND($L42&lt;=W$3,W$3&lt;=$M42),$K42/$N42*HLOOKUP(W$3,'FX Lookup'!$A$2:$Y$5,3,FALSE),0)</f>
        <v>0</v>
      </c>
      <c r="X42" s="588">
        <f>IF(AND($L42&lt;=X$3,X$3&lt;=$M42),$K42/$N42*HLOOKUP(X$3,'FX Lookup'!$A$2:$Y$5,3,FALSE),0)</f>
        <v>0</v>
      </c>
      <c r="Y42" s="588">
        <f>IF(AND($L42&lt;=Y$3,Y$3&lt;=$M42),$K42/$N42*HLOOKUP(Y$3,'FX Lookup'!$A$2:$Y$5,3,FALSE),0)</f>
        <v>0</v>
      </c>
      <c r="Z42" s="588">
        <f>IF(AND($L42&lt;=Z$3,Z$3&lt;=$M42),$K42/$N42*HLOOKUP(Z$3,'FX Lookup'!$A$2:$Y$5,3,FALSE),0)</f>
        <v>0</v>
      </c>
      <c r="AA42" s="588">
        <f t="shared" si="20"/>
        <v>0</v>
      </c>
      <c r="AB42" s="588">
        <f t="shared" si="5"/>
        <v>0</v>
      </c>
      <c r="AC42" s="588">
        <f t="shared" si="6"/>
        <v>0</v>
      </c>
      <c r="AD42" s="588">
        <f t="shared" si="7"/>
        <v>0</v>
      </c>
      <c r="AE42" s="588">
        <f t="shared" si="8"/>
        <v>0</v>
      </c>
      <c r="AF42" s="588">
        <f t="shared" si="9"/>
        <v>0</v>
      </c>
      <c r="AG42" s="588">
        <f t="shared" si="10"/>
        <v>0</v>
      </c>
      <c r="AH42" s="588">
        <f t="shared" si="11"/>
        <v>0</v>
      </c>
      <c r="AI42" s="588">
        <f t="shared" si="12"/>
        <v>0</v>
      </c>
      <c r="AJ42" s="588">
        <f t="shared" si="13"/>
        <v>0</v>
      </c>
      <c r="AK42" s="588">
        <f t="shared" si="14"/>
        <v>0</v>
      </c>
      <c r="AL42" s="588">
        <f t="shared" si="15"/>
        <v>0</v>
      </c>
      <c r="AM42" s="588">
        <f t="shared" si="16"/>
        <v>0</v>
      </c>
      <c r="AN42" s="588">
        <f t="shared" si="4"/>
        <v>0</v>
      </c>
    </row>
    <row r="43" spans="1:40" ht="16.5" customHeight="1">
      <c r="A43" s="592" t="s">
        <v>2109</v>
      </c>
      <c r="B43" s="567">
        <v>504015</v>
      </c>
      <c r="D43" s="17" t="s">
        <v>2631</v>
      </c>
      <c r="E43" s="17" t="s">
        <v>2635</v>
      </c>
      <c r="G43" s="17" t="s">
        <v>2635</v>
      </c>
      <c r="H43" s="18" t="str">
        <f t="shared" si="17"/>
        <v>$ttlpm</v>
      </c>
      <c r="I43" s="457" t="str">
        <f t="shared" si="18"/>
        <v>$</v>
      </c>
      <c r="J43" s="457" t="s">
        <v>2368</v>
      </c>
      <c r="K43" s="18">
        <v>0</v>
      </c>
      <c r="L43" s="586">
        <v>46023</v>
      </c>
      <c r="M43" s="586">
        <v>46387</v>
      </c>
      <c r="N43" s="460">
        <f t="shared" si="19"/>
        <v>12</v>
      </c>
      <c r="O43" s="588">
        <f>IF(AND($L43&lt;=O$3,O$3&lt;=$M43),$K43/$N43*HLOOKUP(O$3,'FX Lookup'!$A$2:$Y$5,3,FALSE),0)</f>
        <v>0</v>
      </c>
      <c r="P43" s="588">
        <f>IF(AND($L43&lt;=P$3,P$3&lt;=$M43),$K43/$N43*HLOOKUP(P$3,'FX Lookup'!$A$2:$Y$5,3,FALSE),0)</f>
        <v>0</v>
      </c>
      <c r="Q43" s="588">
        <f>IF(AND($L43&lt;=Q$3,Q$3&lt;=$M43),$K43/$N43*HLOOKUP(Q$3,'FX Lookup'!$A$2:$Y$5,3,FALSE),0)</f>
        <v>0</v>
      </c>
      <c r="R43" s="588">
        <f>IF(AND($L43&lt;=R$3,R$3&lt;=$M43),$K43/$N43*HLOOKUP(R$3,'FX Lookup'!$A$2:$Y$5,3,FALSE),0)</f>
        <v>0</v>
      </c>
      <c r="S43" s="588">
        <f>IF(AND($L43&lt;=S$3,S$3&lt;=$M43),$K43/$N43*HLOOKUP(S$3,'FX Lookup'!$A$2:$Y$5,3,FALSE),0)</f>
        <v>0</v>
      </c>
      <c r="T43" s="588">
        <f>IF(AND($L43&lt;=T$3,T$3&lt;=$M43),$K43/$N43*HLOOKUP(T$3,'FX Lookup'!$A$2:$Y$5,3,FALSE),0)</f>
        <v>0</v>
      </c>
      <c r="U43" s="588">
        <f>IF(AND($L43&lt;=U$3,U$3&lt;=$M43),$K43/$N43*HLOOKUP(U$3,'FX Lookup'!$A$2:$Y$5,3,FALSE),0)</f>
        <v>0</v>
      </c>
      <c r="V43" s="588">
        <f>IF(AND($L43&lt;=V$3,V$3&lt;=$M43),$K43/$N43*HLOOKUP(V$3,'FX Lookup'!$A$2:$Y$5,3,FALSE),0)</f>
        <v>0</v>
      </c>
      <c r="W43" s="588">
        <f>IF(AND($L43&lt;=W$3,W$3&lt;=$M43),$K43/$N43*HLOOKUP(W$3,'FX Lookup'!$A$2:$Y$5,3,FALSE),0)</f>
        <v>0</v>
      </c>
      <c r="X43" s="588">
        <f>IF(AND($L43&lt;=X$3,X$3&lt;=$M43),$K43/$N43*HLOOKUP(X$3,'FX Lookup'!$A$2:$Y$5,3,FALSE),0)</f>
        <v>0</v>
      </c>
      <c r="Y43" s="588">
        <f>IF(AND($L43&lt;=Y$3,Y$3&lt;=$M43),$K43/$N43*HLOOKUP(Y$3,'FX Lookup'!$A$2:$Y$5,3,FALSE),0)</f>
        <v>0</v>
      </c>
      <c r="Z43" s="588">
        <f>IF(AND($L43&lt;=Z$3,Z$3&lt;=$M43),$K43/$N43*HLOOKUP(Z$3,'FX Lookup'!$A$2:$Y$5,3,FALSE),0)</f>
        <v>0</v>
      </c>
      <c r="AA43" s="588">
        <f t="shared" si="20"/>
        <v>0</v>
      </c>
      <c r="AB43" s="588">
        <f t="shared" si="5"/>
        <v>0</v>
      </c>
      <c r="AC43" s="588">
        <f t="shared" si="6"/>
        <v>0</v>
      </c>
      <c r="AD43" s="588">
        <f t="shared" si="7"/>
        <v>0</v>
      </c>
      <c r="AE43" s="588">
        <f t="shared" si="8"/>
        <v>0</v>
      </c>
      <c r="AF43" s="588">
        <f t="shared" si="9"/>
        <v>0</v>
      </c>
      <c r="AG43" s="588">
        <f t="shared" si="10"/>
        <v>0</v>
      </c>
      <c r="AH43" s="588">
        <f t="shared" si="11"/>
        <v>0</v>
      </c>
      <c r="AI43" s="588">
        <f t="shared" si="12"/>
        <v>0</v>
      </c>
      <c r="AJ43" s="588">
        <f t="shared" si="13"/>
        <v>0</v>
      </c>
      <c r="AK43" s="588">
        <f t="shared" si="14"/>
        <v>0</v>
      </c>
      <c r="AL43" s="588">
        <f t="shared" si="15"/>
        <v>0</v>
      </c>
      <c r="AM43" s="588">
        <f t="shared" si="16"/>
        <v>0</v>
      </c>
      <c r="AN43" s="588">
        <f t="shared" si="4"/>
        <v>0</v>
      </c>
    </row>
    <row r="44" spans="1:40" ht="16.5" customHeight="1">
      <c r="A44" s="592" t="s">
        <v>2109</v>
      </c>
      <c r="B44" s="567">
        <v>504016</v>
      </c>
      <c r="D44" s="17" t="s">
        <v>2631</v>
      </c>
      <c r="E44" s="17" t="s">
        <v>2636</v>
      </c>
      <c r="G44" s="17" t="s">
        <v>2636</v>
      </c>
      <c r="H44" s="18" t="str">
        <f t="shared" si="17"/>
        <v>$ttlpm</v>
      </c>
      <c r="I44" s="457" t="str">
        <f t="shared" si="18"/>
        <v>$</v>
      </c>
      <c r="J44" s="457" t="s">
        <v>2368</v>
      </c>
      <c r="K44" s="18">
        <v>0</v>
      </c>
      <c r="L44" s="586">
        <v>46023</v>
      </c>
      <c r="M44" s="586">
        <v>46387</v>
      </c>
      <c r="N44" s="460">
        <f t="shared" si="19"/>
        <v>12</v>
      </c>
      <c r="O44" s="588">
        <f>IF(AND($L44&lt;=O$3,O$3&lt;=$M44),$K44/$N44*HLOOKUP(O$3,'FX Lookup'!$A$2:$Y$5,3,FALSE),0)</f>
        <v>0</v>
      </c>
      <c r="P44" s="588">
        <f>IF(AND($L44&lt;=P$3,P$3&lt;=$M44),$K44/$N44*HLOOKUP(P$3,'FX Lookup'!$A$2:$Y$5,3,FALSE),0)</f>
        <v>0</v>
      </c>
      <c r="Q44" s="588">
        <f>IF(AND($L44&lt;=Q$3,Q$3&lt;=$M44),$K44/$N44*HLOOKUP(Q$3,'FX Lookup'!$A$2:$Y$5,3,FALSE),0)</f>
        <v>0</v>
      </c>
      <c r="R44" s="588">
        <f>IF(AND($L44&lt;=R$3,R$3&lt;=$M44),$K44/$N44*HLOOKUP(R$3,'FX Lookup'!$A$2:$Y$5,3,FALSE),0)</f>
        <v>0</v>
      </c>
      <c r="S44" s="588">
        <f>IF(AND($L44&lt;=S$3,S$3&lt;=$M44),$K44/$N44*HLOOKUP(S$3,'FX Lookup'!$A$2:$Y$5,3,FALSE),0)</f>
        <v>0</v>
      </c>
      <c r="T44" s="588">
        <f>IF(AND($L44&lt;=T$3,T$3&lt;=$M44),$K44/$N44*HLOOKUP(T$3,'FX Lookup'!$A$2:$Y$5,3,FALSE),0)</f>
        <v>0</v>
      </c>
      <c r="U44" s="588">
        <f>IF(AND($L44&lt;=U$3,U$3&lt;=$M44),$K44/$N44*HLOOKUP(U$3,'FX Lookup'!$A$2:$Y$5,3,FALSE),0)</f>
        <v>0</v>
      </c>
      <c r="V44" s="588">
        <f>IF(AND($L44&lt;=V$3,V$3&lt;=$M44),$K44/$N44*HLOOKUP(V$3,'FX Lookup'!$A$2:$Y$5,3,FALSE),0)</f>
        <v>0</v>
      </c>
      <c r="W44" s="588">
        <f>IF(AND($L44&lt;=W$3,W$3&lt;=$M44),$K44/$N44*HLOOKUP(W$3,'FX Lookup'!$A$2:$Y$5,3,FALSE),0)</f>
        <v>0</v>
      </c>
      <c r="X44" s="588">
        <f>IF(AND($L44&lt;=X$3,X$3&lt;=$M44),$K44/$N44*HLOOKUP(X$3,'FX Lookup'!$A$2:$Y$5,3,FALSE),0)</f>
        <v>0</v>
      </c>
      <c r="Y44" s="588">
        <f>IF(AND($L44&lt;=Y$3,Y$3&lt;=$M44),$K44/$N44*HLOOKUP(Y$3,'FX Lookup'!$A$2:$Y$5,3,FALSE),0)</f>
        <v>0</v>
      </c>
      <c r="Z44" s="588">
        <f>IF(AND($L44&lt;=Z$3,Z$3&lt;=$M44),$K44/$N44*HLOOKUP(Z$3,'FX Lookup'!$A$2:$Y$5,3,FALSE),0)</f>
        <v>0</v>
      </c>
      <c r="AA44" s="588">
        <f t="shared" si="20"/>
        <v>0</v>
      </c>
      <c r="AB44" s="588">
        <f t="shared" si="5"/>
        <v>0</v>
      </c>
      <c r="AC44" s="588">
        <f t="shared" si="6"/>
        <v>0</v>
      </c>
      <c r="AD44" s="588">
        <f t="shared" si="7"/>
        <v>0</v>
      </c>
      <c r="AE44" s="588">
        <f t="shared" si="8"/>
        <v>0</v>
      </c>
      <c r="AF44" s="588">
        <f t="shared" si="9"/>
        <v>0</v>
      </c>
      <c r="AG44" s="588">
        <f t="shared" si="10"/>
        <v>0</v>
      </c>
      <c r="AH44" s="588">
        <f t="shared" si="11"/>
        <v>0</v>
      </c>
      <c r="AI44" s="588">
        <f t="shared" si="12"/>
        <v>0</v>
      </c>
      <c r="AJ44" s="588">
        <f t="shared" si="13"/>
        <v>0</v>
      </c>
      <c r="AK44" s="588">
        <f t="shared" si="14"/>
        <v>0</v>
      </c>
      <c r="AL44" s="588">
        <f t="shared" si="15"/>
        <v>0</v>
      </c>
      <c r="AM44" s="588">
        <f t="shared" si="16"/>
        <v>0</v>
      </c>
      <c r="AN44" s="588">
        <f t="shared" si="4"/>
        <v>0</v>
      </c>
    </row>
    <row r="45" spans="1:40" ht="16.5" customHeight="1">
      <c r="A45" s="592" t="s">
        <v>2109</v>
      </c>
      <c r="B45" s="567">
        <v>504017</v>
      </c>
      <c r="D45" s="17" t="s">
        <v>2631</v>
      </c>
      <c r="E45" s="17" t="s">
        <v>2637</v>
      </c>
      <c r="F45" s="17" t="str">
        <f>'CF-ACPL（合并）'!A38</f>
        <v>购建固定资产、无形资产和其他长期资产支付的现金</v>
      </c>
      <c r="G45" s="17" t="s">
        <v>2637</v>
      </c>
      <c r="H45" s="18" t="str">
        <f t="shared" si="17"/>
        <v>$ttlpm</v>
      </c>
      <c r="I45" s="457" t="str">
        <f t="shared" si="18"/>
        <v>$</v>
      </c>
      <c r="J45" s="457" t="s">
        <v>2368</v>
      </c>
      <c r="K45" s="18">
        <v>0</v>
      </c>
      <c r="L45" s="586">
        <v>46023</v>
      </c>
      <c r="M45" s="586">
        <v>46387</v>
      </c>
      <c r="N45" s="460">
        <f t="shared" si="19"/>
        <v>12</v>
      </c>
      <c r="O45" s="588">
        <f>IF(AND($L45&lt;=O$3,O$3&lt;=$M45),$K45/$N45*HLOOKUP(O$3,'FX Lookup'!$A$2:$Y$5,3,FALSE),0)</f>
        <v>0</v>
      </c>
      <c r="P45" s="588">
        <f>IF(AND($L45&lt;=P$3,P$3&lt;=$M45),$K45/$N45*HLOOKUP(P$3,'FX Lookup'!$A$2:$Y$5,3,FALSE),0)</f>
        <v>0</v>
      </c>
      <c r="Q45" s="588">
        <f>IF(AND($L45&lt;=Q$3,Q$3&lt;=$M45),$K45/$N45*HLOOKUP(Q$3,'FX Lookup'!$A$2:$Y$5,3,FALSE),0)</f>
        <v>0</v>
      </c>
      <c r="R45" s="588">
        <f>IF(AND($L45&lt;=R$3,R$3&lt;=$M45),$K45/$N45*HLOOKUP(R$3,'FX Lookup'!$A$2:$Y$5,3,FALSE),0)</f>
        <v>0</v>
      </c>
      <c r="S45" s="588">
        <f>IF(AND($L45&lt;=S$3,S$3&lt;=$M45),$K45/$N45*HLOOKUP(S$3,'FX Lookup'!$A$2:$Y$5,3,FALSE),0)</f>
        <v>0</v>
      </c>
      <c r="T45" s="588">
        <f>IF(AND($L45&lt;=T$3,T$3&lt;=$M45),$K45/$N45*HLOOKUP(T$3,'FX Lookup'!$A$2:$Y$5,3,FALSE),0)</f>
        <v>0</v>
      </c>
      <c r="U45" s="588">
        <f>IF(AND($L45&lt;=U$3,U$3&lt;=$M45),$K45/$N45*HLOOKUP(U$3,'FX Lookup'!$A$2:$Y$5,3,FALSE),0)</f>
        <v>0</v>
      </c>
      <c r="V45" s="588">
        <f>IF(AND($L45&lt;=V$3,V$3&lt;=$M45),$K45/$N45*HLOOKUP(V$3,'FX Lookup'!$A$2:$Y$5,3,FALSE),0)</f>
        <v>0</v>
      </c>
      <c r="W45" s="588">
        <f>IF(AND($L45&lt;=W$3,W$3&lt;=$M45),$K45/$N45*HLOOKUP(W$3,'FX Lookup'!$A$2:$Y$5,3,FALSE),0)</f>
        <v>0</v>
      </c>
      <c r="X45" s="588">
        <f>IF(AND($L45&lt;=X$3,X$3&lt;=$M45),$K45/$N45*HLOOKUP(X$3,'FX Lookup'!$A$2:$Y$5,3,FALSE),0)</f>
        <v>0</v>
      </c>
      <c r="Y45" s="588">
        <f>IF(AND($L45&lt;=Y$3,Y$3&lt;=$M45),$K45/$N45*HLOOKUP(Y$3,'FX Lookup'!$A$2:$Y$5,3,FALSE),0)</f>
        <v>0</v>
      </c>
      <c r="Z45" s="588">
        <f>IF(AND($L45&lt;=Z$3,Z$3&lt;=$M45),$K45/$N45*HLOOKUP(Z$3,'FX Lookup'!$A$2:$Y$5,3,FALSE),0)</f>
        <v>0</v>
      </c>
      <c r="AA45" s="588">
        <f t="shared" si="20"/>
        <v>0</v>
      </c>
      <c r="AB45" s="588">
        <f t="shared" si="5"/>
        <v>0</v>
      </c>
      <c r="AC45" s="588">
        <f t="shared" si="6"/>
        <v>0</v>
      </c>
      <c r="AD45" s="588">
        <f t="shared" si="7"/>
        <v>0</v>
      </c>
      <c r="AE45" s="588">
        <f t="shared" si="8"/>
        <v>0</v>
      </c>
      <c r="AF45" s="588">
        <f t="shared" si="9"/>
        <v>0</v>
      </c>
      <c r="AG45" s="588">
        <f t="shared" si="10"/>
        <v>0</v>
      </c>
      <c r="AH45" s="588">
        <f t="shared" si="11"/>
        <v>0</v>
      </c>
      <c r="AI45" s="588">
        <f t="shared" si="12"/>
        <v>0</v>
      </c>
      <c r="AJ45" s="588">
        <f t="shared" si="13"/>
        <v>0</v>
      </c>
      <c r="AK45" s="588">
        <f t="shared" si="14"/>
        <v>0</v>
      </c>
      <c r="AL45" s="588">
        <f t="shared" si="15"/>
        <v>0</v>
      </c>
      <c r="AM45" s="588">
        <f t="shared" si="16"/>
        <v>0</v>
      </c>
      <c r="AN45" s="588">
        <f t="shared" si="4"/>
        <v>0</v>
      </c>
    </row>
    <row r="46" spans="1:40" ht="16.5" customHeight="1">
      <c r="A46" s="592" t="s">
        <v>2109</v>
      </c>
      <c r="B46" s="567">
        <v>504014</v>
      </c>
      <c r="G46" s="17" t="s">
        <v>2633</v>
      </c>
      <c r="H46" s="18">
        <f t="shared" si="17"/>
        <v>0</v>
      </c>
      <c r="I46" s="457" t="s">
        <v>2614</v>
      </c>
      <c r="J46" s="457" t="s">
        <v>2368</v>
      </c>
      <c r="K46" s="18">
        <v>0</v>
      </c>
      <c r="L46" s="586">
        <v>46023</v>
      </c>
      <c r="M46" s="586">
        <v>46387</v>
      </c>
      <c r="N46" s="460">
        <f t="shared" si="19"/>
        <v>12</v>
      </c>
      <c r="O46" s="588">
        <f>IF(AND($L46&lt;=O$3,O$3&lt;=$M46),$K46/$N46*HLOOKUP(O$3,'FX Lookup'!$A$2:$Y$5,3,FALSE),0)</f>
        <v>0</v>
      </c>
      <c r="P46" s="588">
        <f>IF(AND($L46&lt;=P$3,P$3&lt;=$M46),$K46/$N46*HLOOKUP(P$3,'FX Lookup'!$A$2:$Y$5,3,FALSE),0)</f>
        <v>0</v>
      </c>
      <c r="Q46" s="588">
        <f>IF(AND($L46&lt;=Q$3,Q$3&lt;=$M46),$K46/$N46*HLOOKUP(Q$3,'FX Lookup'!$A$2:$Y$5,3,FALSE),0)</f>
        <v>0</v>
      </c>
      <c r="R46" s="588">
        <f>IF(AND($L46&lt;=R$3,R$3&lt;=$M46),$K46/$N46*HLOOKUP(R$3,'FX Lookup'!$A$2:$Y$5,3,FALSE),0)</f>
        <v>0</v>
      </c>
      <c r="S46" s="588">
        <f>IF(AND($L46&lt;=S$3,S$3&lt;=$M46),$K46/$N46*HLOOKUP(S$3,'FX Lookup'!$A$2:$Y$5,3,FALSE),0)</f>
        <v>0</v>
      </c>
      <c r="T46" s="588">
        <f>IF(AND($L46&lt;=T$3,T$3&lt;=$M46),$K46/$N46*HLOOKUP(T$3,'FX Lookup'!$A$2:$Y$5,3,FALSE),0)</f>
        <v>0</v>
      </c>
      <c r="U46" s="588">
        <f>IF(AND($L46&lt;=U$3,U$3&lt;=$M46),$K46/$N46*HLOOKUP(U$3,'FX Lookup'!$A$2:$Y$5,3,FALSE),0)</f>
        <v>0</v>
      </c>
      <c r="V46" s="588">
        <f>IF(AND($L46&lt;=V$3,V$3&lt;=$M46),$K46/$N46*HLOOKUP(V$3,'FX Lookup'!$A$2:$Y$5,3,FALSE),0)</f>
        <v>0</v>
      </c>
      <c r="W46" s="588">
        <f>IF(AND($L46&lt;=W$3,W$3&lt;=$M46),$K46/$N46*HLOOKUP(W$3,'FX Lookup'!$A$2:$Y$5,3,FALSE),0)</f>
        <v>0</v>
      </c>
      <c r="X46" s="588">
        <f>IF(AND($L46&lt;=X$3,X$3&lt;=$M46),$K46/$N46*HLOOKUP(X$3,'FX Lookup'!$A$2:$Y$5,3,FALSE),0)</f>
        <v>0</v>
      </c>
      <c r="Y46" s="588">
        <f>IF(AND($L46&lt;=Y$3,Y$3&lt;=$M46),$K46/$N46*HLOOKUP(Y$3,'FX Lookup'!$A$2:$Y$5,3,FALSE),0)</f>
        <v>0</v>
      </c>
      <c r="Z46" s="588">
        <f>IF(AND($L46&lt;=Z$3,Z$3&lt;=$M46),$K46/$N46*HLOOKUP(Z$3,'FX Lookup'!$A$2:$Y$5,3,FALSE),0)</f>
        <v>0</v>
      </c>
      <c r="AA46" s="588">
        <f t="shared" si="20"/>
        <v>0</v>
      </c>
      <c r="AB46" s="588">
        <f t="shared" si="5"/>
        <v>0</v>
      </c>
      <c r="AC46" s="588">
        <f t="shared" si="6"/>
        <v>0</v>
      </c>
      <c r="AD46" s="588">
        <f t="shared" si="7"/>
        <v>0</v>
      </c>
      <c r="AE46" s="588">
        <f t="shared" si="8"/>
        <v>0</v>
      </c>
      <c r="AF46" s="588">
        <f t="shared" si="9"/>
        <v>0</v>
      </c>
      <c r="AG46" s="588">
        <f t="shared" si="10"/>
        <v>0</v>
      </c>
      <c r="AH46" s="588">
        <f t="shared" si="11"/>
        <v>0</v>
      </c>
      <c r="AI46" s="588">
        <f t="shared" si="12"/>
        <v>0</v>
      </c>
      <c r="AJ46" s="588">
        <f t="shared" si="13"/>
        <v>0</v>
      </c>
      <c r="AK46" s="588">
        <f t="shared" si="14"/>
        <v>0</v>
      </c>
      <c r="AL46" s="588">
        <f t="shared" si="15"/>
        <v>0</v>
      </c>
      <c r="AM46" s="588">
        <f t="shared" si="16"/>
        <v>0</v>
      </c>
      <c r="AN46" s="588">
        <f t="shared" si="4"/>
        <v>0</v>
      </c>
    </row>
    <row r="47" spans="1:40" ht="16.5" customHeight="1">
      <c r="A47" s="592"/>
      <c r="H47" s="18"/>
      <c r="I47" s="457"/>
      <c r="L47" s="586"/>
      <c r="M47" s="586"/>
      <c r="N47" s="460"/>
      <c r="O47" s="588">
        <f>IF(AND($L47&lt;=O$3,O$3&lt;=$M47),$K47/$N47*HLOOKUP(O$3,'FX Lookup'!$A$2:$Y$5,3,FALSE),0)</f>
        <v>0</v>
      </c>
      <c r="P47" s="588">
        <f>IF(AND($L47&lt;=P$3,P$3&lt;=$M47),$K47/$N47*HLOOKUP(P$3,'FX Lookup'!$A$2:$Y$5,3,FALSE),0)</f>
        <v>0</v>
      </c>
      <c r="Q47" s="588">
        <f>IF(AND($L47&lt;=Q$3,Q$3&lt;=$M47),$K47/$N47*HLOOKUP(Q$3,'FX Lookup'!$A$2:$Y$5,3,FALSE),0)</f>
        <v>0</v>
      </c>
      <c r="R47" s="588">
        <f>IF(AND($L47&lt;=R$3,R$3&lt;=$M47),$K47/$N47*HLOOKUP(R$3,'FX Lookup'!$A$2:$Y$5,3,FALSE),0)</f>
        <v>0</v>
      </c>
      <c r="S47" s="588">
        <f>IF(AND($L47&lt;=S$3,S$3&lt;=$M47),$K47/$N47*HLOOKUP(S$3,'FX Lookup'!$A$2:$Y$5,3,FALSE),0)</f>
        <v>0</v>
      </c>
      <c r="T47" s="588">
        <f>IF(AND($L47&lt;=T$3,T$3&lt;=$M47),$K47/$N47*HLOOKUP(T$3,'FX Lookup'!$A$2:$Y$5,3,FALSE),0)</f>
        <v>0</v>
      </c>
      <c r="U47" s="588">
        <f>IF(AND($L47&lt;=U$3,U$3&lt;=$M47),$K47/$N47*HLOOKUP(U$3,'FX Lookup'!$A$2:$Y$5,3,FALSE),0)</f>
        <v>0</v>
      </c>
      <c r="V47" s="588">
        <f>IF(AND($L47&lt;=V$3,V$3&lt;=$M47),$K47/$N47*HLOOKUP(V$3,'FX Lookup'!$A$2:$Y$5,3,FALSE),0)</f>
        <v>0</v>
      </c>
      <c r="W47" s="588">
        <f>IF(AND($L47&lt;=W$3,W$3&lt;=$M47),$K47/$N47*HLOOKUP(W$3,'FX Lookup'!$A$2:$Y$5,3,FALSE),0)</f>
        <v>0</v>
      </c>
      <c r="X47" s="588">
        <f>IF(AND($L47&lt;=X$3,X$3&lt;=$M47),$K47/$N47*HLOOKUP(X$3,'FX Lookup'!$A$2:$Y$5,3,FALSE),0)</f>
        <v>0</v>
      </c>
      <c r="Y47" s="588">
        <f>IF(AND($L47&lt;=Y$3,Y$3&lt;=$M47),$K47/$N47*HLOOKUP(Y$3,'FX Lookup'!$A$2:$Y$5,3,FALSE),0)</f>
        <v>0</v>
      </c>
      <c r="Z47" s="588">
        <f>IF(AND($L47&lt;=Z$3,Z$3&lt;=$M47),$K47/$N47*HLOOKUP(Z$3,'FX Lookup'!$A$2:$Y$5,3,FALSE),0)</f>
        <v>0</v>
      </c>
      <c r="AA47" s="588">
        <f t="shared" si="20"/>
        <v>0</v>
      </c>
      <c r="AB47" s="588">
        <f t="shared" si="5"/>
        <v>0</v>
      </c>
      <c r="AC47" s="588">
        <f t="shared" si="6"/>
        <v>0</v>
      </c>
      <c r="AD47" s="588">
        <f t="shared" si="7"/>
        <v>0</v>
      </c>
      <c r="AE47" s="588">
        <f t="shared" si="8"/>
        <v>0</v>
      </c>
      <c r="AF47" s="588">
        <f t="shared" si="9"/>
        <v>0</v>
      </c>
      <c r="AG47" s="588">
        <f t="shared" si="10"/>
        <v>0</v>
      </c>
      <c r="AH47" s="588">
        <f t="shared" si="11"/>
        <v>0</v>
      </c>
      <c r="AI47" s="588">
        <f t="shared" si="12"/>
        <v>0</v>
      </c>
      <c r="AJ47" s="588">
        <f t="shared" si="13"/>
        <v>0</v>
      </c>
      <c r="AK47" s="588">
        <f t="shared" si="14"/>
        <v>0</v>
      </c>
      <c r="AL47" s="588">
        <f t="shared" si="15"/>
        <v>0</v>
      </c>
      <c r="AM47" s="588">
        <f t="shared" si="16"/>
        <v>0</v>
      </c>
      <c r="AN47" s="588">
        <f t="shared" si="4"/>
        <v>0</v>
      </c>
    </row>
    <row r="48" spans="1:40" ht="16.5" customHeight="1">
      <c r="A48" s="596" t="s">
        <v>2113</v>
      </c>
      <c r="B48" s="567">
        <v>0</v>
      </c>
      <c r="C48" s="567" t="s">
        <v>1636</v>
      </c>
      <c r="D48" s="17" t="s">
        <v>2611</v>
      </c>
      <c r="E48" s="17" t="s">
        <v>2612</v>
      </c>
      <c r="F48" s="17" t="str">
        <f>'CF-ACPL（合并）'!A27</f>
        <v>支付的其他与经营活动有关的现金（其他）</v>
      </c>
      <c r="G48" s="17" t="s">
        <v>2612</v>
      </c>
      <c r="H48" s="18" t="str">
        <f t="shared" ref="H48:H65" si="21">H7</f>
        <v>ttl$pm</v>
      </c>
      <c r="I48" s="457" t="str">
        <f t="shared" ref="I48:I58" si="22">+I7</f>
        <v>$</v>
      </c>
      <c r="J48" s="457" t="s">
        <v>2046</v>
      </c>
      <c r="K48" s="18">
        <v>0</v>
      </c>
      <c r="L48" s="586">
        <v>46023</v>
      </c>
      <c r="M48" s="586">
        <v>46387</v>
      </c>
      <c r="N48" s="460">
        <f t="shared" ref="N48:N65" si="23">IF(AND(L48="",M48=""),"-",IF(M48="",12,DATEDIF(L48,M48,"M")+1))</f>
        <v>12</v>
      </c>
      <c r="O48" s="588">
        <f>IF(AND($L48&lt;=O$3,O$3&lt;=$M48),$K48/$N48,0)</f>
        <v>0</v>
      </c>
      <c r="P48" s="588">
        <f t="shared" ref="P48:Z48" si="24">IF(AND($L48&lt;=P$3,P$3&lt;=$M48),$K48/$N48,0)</f>
        <v>0</v>
      </c>
      <c r="Q48" s="588">
        <f t="shared" si="24"/>
        <v>0</v>
      </c>
      <c r="R48" s="588">
        <f t="shared" si="24"/>
        <v>0</v>
      </c>
      <c r="S48" s="588">
        <f t="shared" si="24"/>
        <v>0</v>
      </c>
      <c r="T48" s="588">
        <f t="shared" si="24"/>
        <v>0</v>
      </c>
      <c r="U48" s="588">
        <f t="shared" si="24"/>
        <v>0</v>
      </c>
      <c r="V48" s="588">
        <f t="shared" si="24"/>
        <v>0</v>
      </c>
      <c r="W48" s="588">
        <f t="shared" si="24"/>
        <v>0</v>
      </c>
      <c r="X48" s="588">
        <f t="shared" si="24"/>
        <v>0</v>
      </c>
      <c r="Y48" s="588">
        <f t="shared" si="24"/>
        <v>0</v>
      </c>
      <c r="Z48" s="588">
        <f t="shared" si="24"/>
        <v>0</v>
      </c>
      <c r="AA48" s="588">
        <f t="shared" si="20"/>
        <v>0</v>
      </c>
      <c r="AB48" s="588">
        <f t="shared" si="5"/>
        <v>0</v>
      </c>
      <c r="AC48" s="588">
        <f t="shared" si="6"/>
        <v>0</v>
      </c>
      <c r="AD48" s="588">
        <f t="shared" si="7"/>
        <v>0</v>
      </c>
      <c r="AE48" s="588">
        <f t="shared" si="8"/>
        <v>0</v>
      </c>
      <c r="AF48" s="588">
        <f t="shared" si="9"/>
        <v>0</v>
      </c>
      <c r="AG48" s="588">
        <f t="shared" si="10"/>
        <v>0</v>
      </c>
      <c r="AH48" s="588">
        <f t="shared" si="11"/>
        <v>0</v>
      </c>
      <c r="AI48" s="588">
        <f t="shared" si="12"/>
        <v>0</v>
      </c>
      <c r="AJ48" s="588">
        <f t="shared" si="13"/>
        <v>0</v>
      </c>
      <c r="AK48" s="588">
        <f t="shared" si="14"/>
        <v>0</v>
      </c>
      <c r="AL48" s="588">
        <f t="shared" si="15"/>
        <v>0</v>
      </c>
      <c r="AM48" s="588">
        <f t="shared" si="16"/>
        <v>0</v>
      </c>
      <c r="AN48" s="588">
        <f t="shared" si="4"/>
        <v>0</v>
      </c>
    </row>
    <row r="49" spans="1:40" ht="16.5" customHeight="1">
      <c r="A49" s="596" t="s">
        <v>2113</v>
      </c>
      <c r="B49" s="567">
        <v>505001</v>
      </c>
      <c r="C49" s="567" t="s">
        <v>1636</v>
      </c>
      <c r="D49" s="17" t="s">
        <v>2611</v>
      </c>
      <c r="E49" s="17" t="s">
        <v>2615</v>
      </c>
      <c r="F49" s="17" t="str">
        <f>F48</f>
        <v>支付的其他与经营活动有关的现金（其他）</v>
      </c>
      <c r="G49" s="17" t="s">
        <v>2615</v>
      </c>
      <c r="H49" s="18" t="str">
        <f t="shared" si="21"/>
        <v>ttl$pm</v>
      </c>
      <c r="I49" s="457" t="str">
        <f t="shared" si="22"/>
        <v>$</v>
      </c>
      <c r="J49" s="457" t="s">
        <v>2046</v>
      </c>
      <c r="K49" s="18">
        <v>0</v>
      </c>
      <c r="L49" s="586">
        <v>46023</v>
      </c>
      <c r="M49" s="586">
        <v>46387</v>
      </c>
      <c r="N49" s="460">
        <f t="shared" si="23"/>
        <v>12</v>
      </c>
      <c r="O49" s="588">
        <f t="shared" ref="O49:O65" si="25">IF(AND($L49&lt;=O$3,O$3&lt;=$M49),$K49/$N49,0)</f>
        <v>0</v>
      </c>
      <c r="P49" s="588">
        <f t="shared" ref="P49:P65" si="26">IF(AND($L49&lt;=P$3,P$3&lt;=$M49),$K49/$N49,0)</f>
        <v>0</v>
      </c>
      <c r="Q49" s="588">
        <f t="shared" ref="Q49:Q65" si="27">IF(AND($L49&lt;=Q$3,Q$3&lt;=$M49),$K49/$N49,0)</f>
        <v>0</v>
      </c>
      <c r="R49" s="588">
        <f t="shared" ref="R49:R65" si="28">IF(AND($L49&lt;=R$3,R$3&lt;=$M49),$K49/$N49,0)</f>
        <v>0</v>
      </c>
      <c r="S49" s="588">
        <f t="shared" ref="S49:S65" si="29">IF(AND($L49&lt;=S$3,S$3&lt;=$M49),$K49/$N49,0)</f>
        <v>0</v>
      </c>
      <c r="T49" s="588">
        <f t="shared" ref="T49:T65" si="30">IF(AND($L49&lt;=T$3,T$3&lt;=$M49),$K49/$N49,0)</f>
        <v>0</v>
      </c>
      <c r="U49" s="588">
        <f t="shared" ref="U49:U65" si="31">IF(AND($L49&lt;=U$3,U$3&lt;=$M49),$K49/$N49,0)</f>
        <v>0</v>
      </c>
      <c r="V49" s="588">
        <f t="shared" ref="V49:V65" si="32">IF(AND($L49&lt;=V$3,V$3&lt;=$M49),$K49/$N49,0)</f>
        <v>0</v>
      </c>
      <c r="W49" s="588">
        <f t="shared" ref="W49:W65" si="33">IF(AND($L49&lt;=W$3,W$3&lt;=$M49),$K49/$N49,0)</f>
        <v>0</v>
      </c>
      <c r="X49" s="588">
        <f t="shared" ref="X49:X65" si="34">IF(AND($L49&lt;=X$3,X$3&lt;=$M49),$K49/$N49,0)</f>
        <v>0</v>
      </c>
      <c r="Y49" s="588">
        <f t="shared" ref="Y49:Y65" si="35">IF(AND($L49&lt;=Y$3,Y$3&lt;=$M49),$K49/$N49,0)</f>
        <v>0</v>
      </c>
      <c r="Z49" s="588">
        <f t="shared" ref="Z49:Z65" si="36">IF(AND($L49&lt;=Z$3,Z$3&lt;=$M49),$K49/$N49,0)</f>
        <v>0</v>
      </c>
      <c r="AA49" s="588">
        <f t="shared" si="20"/>
        <v>0</v>
      </c>
      <c r="AB49" s="588">
        <f t="shared" si="5"/>
        <v>0</v>
      </c>
      <c r="AC49" s="588">
        <f t="shared" si="6"/>
        <v>0</v>
      </c>
      <c r="AD49" s="588">
        <f t="shared" si="7"/>
        <v>0</v>
      </c>
      <c r="AE49" s="588">
        <f t="shared" si="8"/>
        <v>0</v>
      </c>
      <c r="AF49" s="588">
        <f t="shared" si="9"/>
        <v>0</v>
      </c>
      <c r="AG49" s="588">
        <f t="shared" si="10"/>
        <v>0</v>
      </c>
      <c r="AH49" s="588">
        <f t="shared" si="11"/>
        <v>0</v>
      </c>
      <c r="AI49" s="588">
        <f t="shared" si="12"/>
        <v>0</v>
      </c>
      <c r="AJ49" s="588">
        <f t="shared" si="13"/>
        <v>0</v>
      </c>
      <c r="AK49" s="588">
        <f t="shared" si="14"/>
        <v>0</v>
      </c>
      <c r="AL49" s="588">
        <f t="shared" si="15"/>
        <v>0</v>
      </c>
      <c r="AM49" s="588">
        <f t="shared" si="16"/>
        <v>0</v>
      </c>
      <c r="AN49" s="588">
        <f t="shared" si="4"/>
        <v>0</v>
      </c>
    </row>
    <row r="50" spans="1:40" ht="16.5" customHeight="1">
      <c r="A50" s="596" t="s">
        <v>2113</v>
      </c>
      <c r="B50" s="567">
        <v>505002</v>
      </c>
      <c r="D50" s="17" t="s">
        <v>2611</v>
      </c>
      <c r="E50" s="17" t="s">
        <v>2616</v>
      </c>
      <c r="F50" s="17" t="str">
        <f>F48</f>
        <v>支付的其他与经营活动有关的现金（其他）</v>
      </c>
      <c r="G50" s="17" t="s">
        <v>2616</v>
      </c>
      <c r="H50" s="18" t="str">
        <f t="shared" si="21"/>
        <v>Ad-Hoc</v>
      </c>
      <c r="I50" s="457" t="str">
        <f t="shared" si="22"/>
        <v>$</v>
      </c>
      <c r="J50" s="457" t="s">
        <v>2046</v>
      </c>
      <c r="K50" s="18">
        <v>0</v>
      </c>
      <c r="L50" s="586">
        <v>46023</v>
      </c>
      <c r="M50" s="586">
        <v>46387</v>
      </c>
      <c r="N50" s="460">
        <f t="shared" si="23"/>
        <v>12</v>
      </c>
      <c r="O50" s="588">
        <f t="shared" si="25"/>
        <v>0</v>
      </c>
      <c r="P50" s="588">
        <f t="shared" si="26"/>
        <v>0</v>
      </c>
      <c r="Q50" s="588">
        <f t="shared" si="27"/>
        <v>0</v>
      </c>
      <c r="R50" s="588">
        <f t="shared" si="28"/>
        <v>0</v>
      </c>
      <c r="S50" s="588">
        <f t="shared" si="29"/>
        <v>0</v>
      </c>
      <c r="T50" s="588">
        <f t="shared" si="30"/>
        <v>0</v>
      </c>
      <c r="U50" s="588">
        <f t="shared" si="31"/>
        <v>0</v>
      </c>
      <c r="V50" s="588">
        <f t="shared" si="32"/>
        <v>0</v>
      </c>
      <c r="W50" s="588">
        <f t="shared" si="33"/>
        <v>0</v>
      </c>
      <c r="X50" s="588">
        <f t="shared" si="34"/>
        <v>0</v>
      </c>
      <c r="Y50" s="588">
        <f t="shared" si="35"/>
        <v>0</v>
      </c>
      <c r="Z50" s="588">
        <f t="shared" si="36"/>
        <v>0</v>
      </c>
      <c r="AA50" s="588">
        <f t="shared" si="20"/>
        <v>0</v>
      </c>
      <c r="AB50" s="588">
        <f t="shared" si="5"/>
        <v>0</v>
      </c>
      <c r="AC50" s="588">
        <f t="shared" si="6"/>
        <v>0</v>
      </c>
      <c r="AD50" s="588">
        <f t="shared" si="7"/>
        <v>0</v>
      </c>
      <c r="AE50" s="588">
        <f t="shared" si="8"/>
        <v>0</v>
      </c>
      <c r="AF50" s="588">
        <f t="shared" si="9"/>
        <v>0</v>
      </c>
      <c r="AG50" s="588">
        <f t="shared" si="10"/>
        <v>0</v>
      </c>
      <c r="AH50" s="588">
        <f t="shared" si="11"/>
        <v>0</v>
      </c>
      <c r="AI50" s="588">
        <f t="shared" si="12"/>
        <v>0</v>
      </c>
      <c r="AJ50" s="588">
        <f t="shared" si="13"/>
        <v>0</v>
      </c>
      <c r="AK50" s="588">
        <f t="shared" si="14"/>
        <v>0</v>
      </c>
      <c r="AL50" s="588">
        <f t="shared" si="15"/>
        <v>0</v>
      </c>
      <c r="AM50" s="588">
        <f t="shared" si="16"/>
        <v>0</v>
      </c>
      <c r="AN50" s="588">
        <f t="shared" si="4"/>
        <v>0</v>
      </c>
    </row>
    <row r="51" spans="1:40" ht="16.5" customHeight="1">
      <c r="A51" s="596" t="s">
        <v>2113</v>
      </c>
      <c r="B51" s="567">
        <v>505003</v>
      </c>
      <c r="C51" s="567" t="s">
        <v>1680</v>
      </c>
      <c r="D51" s="17" t="s">
        <v>2611</v>
      </c>
      <c r="E51" s="17" t="s">
        <v>2618</v>
      </c>
      <c r="F51" s="17" t="str">
        <f>F48</f>
        <v>支付的其他与经营活动有关的现金（其他）</v>
      </c>
      <c r="G51" s="17" t="s">
        <v>2618</v>
      </c>
      <c r="H51" s="18" t="str">
        <f t="shared" si="21"/>
        <v>ttl$pm</v>
      </c>
      <c r="I51" s="457" t="str">
        <f t="shared" si="22"/>
        <v>$</v>
      </c>
      <c r="J51" s="457" t="s">
        <v>2046</v>
      </c>
      <c r="K51" s="18">
        <v>0</v>
      </c>
      <c r="L51" s="586">
        <v>46023</v>
      </c>
      <c r="M51" s="586">
        <v>46387</v>
      </c>
      <c r="N51" s="460">
        <f t="shared" si="23"/>
        <v>12</v>
      </c>
      <c r="O51" s="588">
        <f t="shared" si="25"/>
        <v>0</v>
      </c>
      <c r="P51" s="588">
        <f t="shared" si="26"/>
        <v>0</v>
      </c>
      <c r="Q51" s="588">
        <f t="shared" si="27"/>
        <v>0</v>
      </c>
      <c r="R51" s="588">
        <f t="shared" si="28"/>
        <v>0</v>
      </c>
      <c r="S51" s="588">
        <f t="shared" si="29"/>
        <v>0</v>
      </c>
      <c r="T51" s="588">
        <f t="shared" si="30"/>
        <v>0</v>
      </c>
      <c r="U51" s="588">
        <f t="shared" si="31"/>
        <v>0</v>
      </c>
      <c r="V51" s="588">
        <f t="shared" si="32"/>
        <v>0</v>
      </c>
      <c r="W51" s="588">
        <f t="shared" si="33"/>
        <v>0</v>
      </c>
      <c r="X51" s="588">
        <f t="shared" si="34"/>
        <v>0</v>
      </c>
      <c r="Y51" s="588">
        <f t="shared" si="35"/>
        <v>0</v>
      </c>
      <c r="Z51" s="588">
        <f t="shared" si="36"/>
        <v>0</v>
      </c>
      <c r="AA51" s="588">
        <f t="shared" si="20"/>
        <v>0</v>
      </c>
      <c r="AB51" s="588">
        <f t="shared" si="5"/>
        <v>0</v>
      </c>
      <c r="AC51" s="588">
        <f t="shared" si="6"/>
        <v>0</v>
      </c>
      <c r="AD51" s="588">
        <f t="shared" si="7"/>
        <v>0</v>
      </c>
      <c r="AE51" s="588">
        <f t="shared" si="8"/>
        <v>0</v>
      </c>
      <c r="AF51" s="588">
        <f t="shared" si="9"/>
        <v>0</v>
      </c>
      <c r="AG51" s="588">
        <f t="shared" si="10"/>
        <v>0</v>
      </c>
      <c r="AH51" s="588">
        <f t="shared" si="11"/>
        <v>0</v>
      </c>
      <c r="AI51" s="588">
        <f t="shared" si="12"/>
        <v>0</v>
      </c>
      <c r="AJ51" s="588">
        <f t="shared" si="13"/>
        <v>0</v>
      </c>
      <c r="AK51" s="588">
        <f t="shared" si="14"/>
        <v>0</v>
      </c>
      <c r="AL51" s="588">
        <f t="shared" si="15"/>
        <v>0</v>
      </c>
      <c r="AM51" s="588">
        <f t="shared" si="16"/>
        <v>0</v>
      </c>
      <c r="AN51" s="588">
        <f t="shared" si="4"/>
        <v>0</v>
      </c>
    </row>
    <row r="52" spans="1:40" ht="16.5" customHeight="1">
      <c r="A52" s="596" t="s">
        <v>2113</v>
      </c>
      <c r="B52" s="567">
        <v>5080010</v>
      </c>
      <c r="D52" s="17" t="s">
        <v>2611</v>
      </c>
      <c r="E52" s="17" t="s">
        <v>2619</v>
      </c>
      <c r="F52" s="17" t="str">
        <f>'CF-ACPL（合并）'!A24</f>
        <v>支付的其他与经营活动有关的现金（租金）</v>
      </c>
      <c r="G52" s="17" t="s">
        <v>2619</v>
      </c>
      <c r="H52" s="18" t="str">
        <f t="shared" si="21"/>
        <v>ttl$pm</v>
      </c>
      <c r="I52" s="457" t="str">
        <f t="shared" si="22"/>
        <v>$</v>
      </c>
      <c r="J52" s="457" t="s">
        <v>2046</v>
      </c>
      <c r="K52" s="18">
        <v>0</v>
      </c>
      <c r="L52" s="586">
        <v>46023</v>
      </c>
      <c r="M52" s="586">
        <v>46387</v>
      </c>
      <c r="N52" s="460">
        <f t="shared" si="23"/>
        <v>12</v>
      </c>
      <c r="O52" s="588">
        <f t="shared" si="25"/>
        <v>0</v>
      </c>
      <c r="P52" s="588">
        <f t="shared" si="26"/>
        <v>0</v>
      </c>
      <c r="Q52" s="588">
        <f t="shared" si="27"/>
        <v>0</v>
      </c>
      <c r="R52" s="588">
        <f t="shared" si="28"/>
        <v>0</v>
      </c>
      <c r="S52" s="588">
        <f t="shared" si="29"/>
        <v>0</v>
      </c>
      <c r="T52" s="588">
        <f t="shared" si="30"/>
        <v>0</v>
      </c>
      <c r="U52" s="588">
        <f t="shared" si="31"/>
        <v>0</v>
      </c>
      <c r="V52" s="588">
        <f t="shared" si="32"/>
        <v>0</v>
      </c>
      <c r="W52" s="588">
        <f t="shared" si="33"/>
        <v>0</v>
      </c>
      <c r="X52" s="588">
        <f t="shared" si="34"/>
        <v>0</v>
      </c>
      <c r="Y52" s="588">
        <f t="shared" si="35"/>
        <v>0</v>
      </c>
      <c r="Z52" s="588">
        <f t="shared" si="36"/>
        <v>0</v>
      </c>
      <c r="AA52" s="588">
        <f t="shared" si="20"/>
        <v>0</v>
      </c>
      <c r="AB52" s="588">
        <f t="shared" si="5"/>
        <v>0</v>
      </c>
      <c r="AC52" s="588">
        <f t="shared" si="6"/>
        <v>0</v>
      </c>
      <c r="AD52" s="588">
        <f t="shared" si="7"/>
        <v>0</v>
      </c>
      <c r="AE52" s="588">
        <f t="shared" si="8"/>
        <v>0</v>
      </c>
      <c r="AF52" s="588">
        <f t="shared" si="9"/>
        <v>0</v>
      </c>
      <c r="AG52" s="588">
        <f t="shared" si="10"/>
        <v>0</v>
      </c>
      <c r="AH52" s="588">
        <f t="shared" si="11"/>
        <v>0</v>
      </c>
      <c r="AI52" s="588">
        <f t="shared" si="12"/>
        <v>0</v>
      </c>
      <c r="AJ52" s="588">
        <f t="shared" si="13"/>
        <v>0</v>
      </c>
      <c r="AK52" s="588">
        <f t="shared" si="14"/>
        <v>0</v>
      </c>
      <c r="AL52" s="588">
        <f t="shared" si="15"/>
        <v>0</v>
      </c>
      <c r="AM52" s="588">
        <f t="shared" si="16"/>
        <v>0</v>
      </c>
      <c r="AN52" s="588">
        <f t="shared" si="4"/>
        <v>0</v>
      </c>
    </row>
    <row r="53" spans="1:40" ht="16.5" customHeight="1">
      <c r="A53" s="596" t="s">
        <v>2113</v>
      </c>
      <c r="B53" s="567">
        <v>5080011</v>
      </c>
      <c r="C53" s="567" t="s">
        <v>1593</v>
      </c>
      <c r="D53" s="17" t="s">
        <v>2611</v>
      </c>
      <c r="E53" s="17" t="s">
        <v>2620</v>
      </c>
      <c r="F53" s="17" t="str">
        <f>F48</f>
        <v>支付的其他与经营活动有关的现金（其他）</v>
      </c>
      <c r="G53" s="17" t="s">
        <v>2621</v>
      </c>
      <c r="H53" s="593" t="str">
        <f t="shared" si="21"/>
        <v>ttl$pm</v>
      </c>
      <c r="I53" s="457" t="str">
        <f t="shared" si="22"/>
        <v>$</v>
      </c>
      <c r="J53" s="457" t="s">
        <v>2046</v>
      </c>
      <c r="K53" s="18">
        <v>0</v>
      </c>
      <c r="L53" s="586">
        <v>46023</v>
      </c>
      <c r="M53" s="586">
        <v>46387</v>
      </c>
      <c r="N53" s="460">
        <f t="shared" si="23"/>
        <v>12</v>
      </c>
      <c r="O53" s="588">
        <f t="shared" si="25"/>
        <v>0</v>
      </c>
      <c r="P53" s="588">
        <f t="shared" si="26"/>
        <v>0</v>
      </c>
      <c r="Q53" s="588">
        <f t="shared" si="27"/>
        <v>0</v>
      </c>
      <c r="R53" s="588">
        <f t="shared" si="28"/>
        <v>0</v>
      </c>
      <c r="S53" s="588">
        <f t="shared" si="29"/>
        <v>0</v>
      </c>
      <c r="T53" s="588">
        <f t="shared" si="30"/>
        <v>0</v>
      </c>
      <c r="U53" s="588">
        <f t="shared" si="31"/>
        <v>0</v>
      </c>
      <c r="V53" s="588">
        <f t="shared" si="32"/>
        <v>0</v>
      </c>
      <c r="W53" s="588">
        <f t="shared" si="33"/>
        <v>0</v>
      </c>
      <c r="X53" s="588">
        <f t="shared" si="34"/>
        <v>0</v>
      </c>
      <c r="Y53" s="588">
        <f t="shared" si="35"/>
        <v>0</v>
      </c>
      <c r="Z53" s="588">
        <f t="shared" si="36"/>
        <v>0</v>
      </c>
      <c r="AA53" s="588">
        <f t="shared" si="20"/>
        <v>0</v>
      </c>
      <c r="AB53" s="588">
        <f t="shared" si="5"/>
        <v>0</v>
      </c>
      <c r="AC53" s="588">
        <f t="shared" si="6"/>
        <v>0</v>
      </c>
      <c r="AD53" s="588">
        <f t="shared" si="7"/>
        <v>0</v>
      </c>
      <c r="AE53" s="588">
        <f t="shared" si="8"/>
        <v>0</v>
      </c>
      <c r="AF53" s="588">
        <f t="shared" si="9"/>
        <v>0</v>
      </c>
      <c r="AG53" s="588">
        <f t="shared" si="10"/>
        <v>0</v>
      </c>
      <c r="AH53" s="588">
        <f t="shared" si="11"/>
        <v>0</v>
      </c>
      <c r="AI53" s="588">
        <f t="shared" si="12"/>
        <v>0</v>
      </c>
      <c r="AJ53" s="588">
        <f t="shared" si="13"/>
        <v>0</v>
      </c>
      <c r="AK53" s="588">
        <f t="shared" si="14"/>
        <v>0</v>
      </c>
      <c r="AL53" s="588">
        <f t="shared" si="15"/>
        <v>0</v>
      </c>
      <c r="AM53" s="588">
        <f t="shared" si="16"/>
        <v>0</v>
      </c>
      <c r="AN53" s="588">
        <f t="shared" si="4"/>
        <v>0</v>
      </c>
    </row>
    <row r="54" spans="1:40" ht="16.5" customHeight="1">
      <c r="A54" s="596" t="s">
        <v>2113</v>
      </c>
      <c r="B54" s="567">
        <v>5080011</v>
      </c>
      <c r="C54" s="567" t="s">
        <v>1593</v>
      </c>
      <c r="D54" s="17" t="s">
        <v>2611</v>
      </c>
      <c r="E54" s="17" t="s">
        <v>2620</v>
      </c>
      <c r="F54" s="17" t="str">
        <f>F48</f>
        <v>支付的其他与经营活动有关的现金（其他）</v>
      </c>
      <c r="G54" s="17" t="s">
        <v>2622</v>
      </c>
      <c r="H54" s="593" t="str">
        <f t="shared" si="21"/>
        <v>ttl$pm</v>
      </c>
      <c r="I54" s="457" t="str">
        <f t="shared" si="22"/>
        <v>$</v>
      </c>
      <c r="J54" s="457" t="s">
        <v>2046</v>
      </c>
      <c r="K54" s="18">
        <v>0</v>
      </c>
      <c r="L54" s="586">
        <v>46023</v>
      </c>
      <c r="M54" s="586">
        <v>46387</v>
      </c>
      <c r="N54" s="460">
        <f t="shared" si="23"/>
        <v>12</v>
      </c>
      <c r="O54" s="588">
        <f t="shared" si="25"/>
        <v>0</v>
      </c>
      <c r="P54" s="588">
        <f t="shared" si="26"/>
        <v>0</v>
      </c>
      <c r="Q54" s="588">
        <f t="shared" si="27"/>
        <v>0</v>
      </c>
      <c r="R54" s="588">
        <f t="shared" si="28"/>
        <v>0</v>
      </c>
      <c r="S54" s="588">
        <f t="shared" si="29"/>
        <v>0</v>
      </c>
      <c r="T54" s="588">
        <f t="shared" si="30"/>
        <v>0</v>
      </c>
      <c r="U54" s="588">
        <f t="shared" si="31"/>
        <v>0</v>
      </c>
      <c r="V54" s="588">
        <f t="shared" si="32"/>
        <v>0</v>
      </c>
      <c r="W54" s="588">
        <f t="shared" si="33"/>
        <v>0</v>
      </c>
      <c r="X54" s="588">
        <f t="shared" si="34"/>
        <v>0</v>
      </c>
      <c r="Y54" s="588">
        <f t="shared" si="35"/>
        <v>0</v>
      </c>
      <c r="Z54" s="588">
        <f t="shared" si="36"/>
        <v>0</v>
      </c>
      <c r="AA54" s="588">
        <f t="shared" si="20"/>
        <v>0</v>
      </c>
      <c r="AB54" s="588">
        <f t="shared" si="5"/>
        <v>0</v>
      </c>
      <c r="AC54" s="588">
        <f t="shared" si="6"/>
        <v>0</v>
      </c>
      <c r="AD54" s="588">
        <f t="shared" si="7"/>
        <v>0</v>
      </c>
      <c r="AE54" s="588">
        <f t="shared" si="8"/>
        <v>0</v>
      </c>
      <c r="AF54" s="588">
        <f t="shared" si="9"/>
        <v>0</v>
      </c>
      <c r="AG54" s="588">
        <f t="shared" si="10"/>
        <v>0</v>
      </c>
      <c r="AH54" s="588">
        <f t="shared" si="11"/>
        <v>0</v>
      </c>
      <c r="AI54" s="588">
        <f t="shared" si="12"/>
        <v>0</v>
      </c>
      <c r="AJ54" s="588">
        <f t="shared" si="13"/>
        <v>0</v>
      </c>
      <c r="AK54" s="588">
        <f t="shared" si="14"/>
        <v>0</v>
      </c>
      <c r="AL54" s="588">
        <f t="shared" si="15"/>
        <v>0</v>
      </c>
      <c r="AM54" s="588">
        <f t="shared" si="16"/>
        <v>0</v>
      </c>
      <c r="AN54" s="588">
        <f t="shared" si="4"/>
        <v>0</v>
      </c>
    </row>
    <row r="55" spans="1:40" ht="16.5" customHeight="1">
      <c r="A55" s="596" t="s">
        <v>2113</v>
      </c>
      <c r="B55" s="567">
        <v>5080020</v>
      </c>
      <c r="C55" s="567" t="s">
        <v>1607</v>
      </c>
      <c r="D55" s="17" t="s">
        <v>2611</v>
      </c>
      <c r="E55" s="17" t="s">
        <v>2623</v>
      </c>
      <c r="F55" s="17" t="str">
        <f>F48</f>
        <v>支付的其他与经营活动有关的现金（其他）</v>
      </c>
      <c r="G55" s="17" t="s">
        <v>2623</v>
      </c>
      <c r="H55" s="593" t="str">
        <f t="shared" si="21"/>
        <v>ttl$py</v>
      </c>
      <c r="I55" s="457" t="str">
        <f t="shared" si="22"/>
        <v>$</v>
      </c>
      <c r="J55" s="457" t="s">
        <v>2046</v>
      </c>
      <c r="K55" s="18">
        <v>0</v>
      </c>
      <c r="L55" s="586">
        <v>46023</v>
      </c>
      <c r="M55" s="586">
        <v>46387</v>
      </c>
      <c r="N55" s="460">
        <f t="shared" si="23"/>
        <v>12</v>
      </c>
      <c r="O55" s="588">
        <f t="shared" si="25"/>
        <v>0</v>
      </c>
      <c r="P55" s="588">
        <f t="shared" si="26"/>
        <v>0</v>
      </c>
      <c r="Q55" s="588">
        <f t="shared" si="27"/>
        <v>0</v>
      </c>
      <c r="R55" s="588">
        <f t="shared" si="28"/>
        <v>0</v>
      </c>
      <c r="S55" s="588">
        <f t="shared" si="29"/>
        <v>0</v>
      </c>
      <c r="T55" s="588">
        <f t="shared" si="30"/>
        <v>0</v>
      </c>
      <c r="U55" s="588">
        <f t="shared" si="31"/>
        <v>0</v>
      </c>
      <c r="V55" s="588">
        <f t="shared" si="32"/>
        <v>0</v>
      </c>
      <c r="W55" s="588">
        <f t="shared" si="33"/>
        <v>0</v>
      </c>
      <c r="X55" s="588">
        <f t="shared" si="34"/>
        <v>0</v>
      </c>
      <c r="Y55" s="588">
        <f t="shared" si="35"/>
        <v>0</v>
      </c>
      <c r="Z55" s="588">
        <f t="shared" si="36"/>
        <v>0</v>
      </c>
      <c r="AA55" s="588">
        <f t="shared" si="20"/>
        <v>0</v>
      </c>
      <c r="AB55" s="588">
        <f t="shared" si="5"/>
        <v>0</v>
      </c>
      <c r="AC55" s="588">
        <f t="shared" si="6"/>
        <v>0</v>
      </c>
      <c r="AD55" s="588">
        <f t="shared" si="7"/>
        <v>0</v>
      </c>
      <c r="AE55" s="588">
        <f t="shared" si="8"/>
        <v>0</v>
      </c>
      <c r="AF55" s="588">
        <f t="shared" si="9"/>
        <v>0</v>
      </c>
      <c r="AG55" s="588">
        <f t="shared" si="10"/>
        <v>0</v>
      </c>
      <c r="AH55" s="588">
        <f t="shared" si="11"/>
        <v>0</v>
      </c>
      <c r="AI55" s="588">
        <f t="shared" si="12"/>
        <v>0</v>
      </c>
      <c r="AJ55" s="588">
        <f t="shared" si="13"/>
        <v>0</v>
      </c>
      <c r="AK55" s="588">
        <f t="shared" si="14"/>
        <v>0</v>
      </c>
      <c r="AL55" s="588">
        <f t="shared" si="15"/>
        <v>0</v>
      </c>
      <c r="AM55" s="588">
        <f t="shared" si="16"/>
        <v>0</v>
      </c>
      <c r="AN55" s="588">
        <f t="shared" si="4"/>
        <v>0</v>
      </c>
    </row>
    <row r="56" spans="1:40" ht="16.5" customHeight="1">
      <c r="A56" s="596" t="s">
        <v>2113</v>
      </c>
      <c r="B56" s="567">
        <v>0</v>
      </c>
      <c r="D56" s="17" t="s">
        <v>2611</v>
      </c>
      <c r="E56" s="17" t="s">
        <v>2625</v>
      </c>
      <c r="G56" s="17" t="s">
        <v>2625</v>
      </c>
      <c r="H56" s="593" t="str">
        <f t="shared" si="21"/>
        <v>Ad-Hoc</v>
      </c>
      <c r="I56" s="457" t="str">
        <f t="shared" si="22"/>
        <v>$</v>
      </c>
      <c r="J56" s="457" t="s">
        <v>2046</v>
      </c>
      <c r="K56" s="18">
        <v>0</v>
      </c>
      <c r="L56" s="586">
        <v>46023</v>
      </c>
      <c r="M56" s="586">
        <v>46387</v>
      </c>
      <c r="N56" s="460">
        <f t="shared" si="23"/>
        <v>12</v>
      </c>
      <c r="O56" s="588">
        <f t="shared" si="25"/>
        <v>0</v>
      </c>
      <c r="P56" s="588">
        <f t="shared" si="26"/>
        <v>0</v>
      </c>
      <c r="Q56" s="588">
        <f t="shared" si="27"/>
        <v>0</v>
      </c>
      <c r="R56" s="588">
        <f t="shared" si="28"/>
        <v>0</v>
      </c>
      <c r="S56" s="588">
        <f t="shared" si="29"/>
        <v>0</v>
      </c>
      <c r="T56" s="588">
        <f t="shared" si="30"/>
        <v>0</v>
      </c>
      <c r="U56" s="588">
        <f t="shared" si="31"/>
        <v>0</v>
      </c>
      <c r="V56" s="588">
        <f t="shared" si="32"/>
        <v>0</v>
      </c>
      <c r="W56" s="588">
        <f t="shared" si="33"/>
        <v>0</v>
      </c>
      <c r="X56" s="588">
        <f t="shared" si="34"/>
        <v>0</v>
      </c>
      <c r="Y56" s="588">
        <f t="shared" si="35"/>
        <v>0</v>
      </c>
      <c r="Z56" s="588">
        <f t="shared" si="36"/>
        <v>0</v>
      </c>
      <c r="AA56" s="588">
        <f t="shared" si="20"/>
        <v>0</v>
      </c>
      <c r="AB56" s="588">
        <f t="shared" si="5"/>
        <v>0</v>
      </c>
      <c r="AC56" s="588">
        <f t="shared" si="6"/>
        <v>0</v>
      </c>
      <c r="AD56" s="588">
        <f t="shared" si="7"/>
        <v>0</v>
      </c>
      <c r="AE56" s="588">
        <f t="shared" si="8"/>
        <v>0</v>
      </c>
      <c r="AF56" s="588">
        <f t="shared" si="9"/>
        <v>0</v>
      </c>
      <c r="AG56" s="588">
        <f t="shared" si="10"/>
        <v>0</v>
      </c>
      <c r="AH56" s="588">
        <f t="shared" si="11"/>
        <v>0</v>
      </c>
      <c r="AI56" s="588">
        <f t="shared" si="12"/>
        <v>0</v>
      </c>
      <c r="AJ56" s="588">
        <f t="shared" si="13"/>
        <v>0</v>
      </c>
      <c r="AK56" s="588">
        <f t="shared" si="14"/>
        <v>0</v>
      </c>
      <c r="AL56" s="588">
        <f t="shared" si="15"/>
        <v>0</v>
      </c>
      <c r="AM56" s="588">
        <f t="shared" si="16"/>
        <v>0</v>
      </c>
      <c r="AN56" s="588">
        <f t="shared" si="4"/>
        <v>0</v>
      </c>
    </row>
    <row r="57" spans="1:40" ht="16.5" customHeight="1">
      <c r="A57" s="596" t="s">
        <v>2113</v>
      </c>
      <c r="B57" s="567">
        <v>0</v>
      </c>
      <c r="D57" s="17" t="s">
        <v>2611</v>
      </c>
      <c r="E57" s="17" t="s">
        <v>2626</v>
      </c>
      <c r="G57" s="17" t="s">
        <v>2626</v>
      </c>
      <c r="H57" s="593" t="str">
        <f t="shared" si="21"/>
        <v>ttl$pm</v>
      </c>
      <c r="I57" s="457" t="str">
        <f t="shared" si="22"/>
        <v>$</v>
      </c>
      <c r="J57" s="457" t="s">
        <v>2046</v>
      </c>
      <c r="K57" s="18">
        <v>0</v>
      </c>
      <c r="L57" s="586">
        <v>46023</v>
      </c>
      <c r="M57" s="586">
        <v>46387</v>
      </c>
      <c r="N57" s="460">
        <f t="shared" si="23"/>
        <v>12</v>
      </c>
      <c r="O57" s="588">
        <f t="shared" si="25"/>
        <v>0</v>
      </c>
      <c r="P57" s="588">
        <f t="shared" si="26"/>
        <v>0</v>
      </c>
      <c r="Q57" s="588">
        <f t="shared" si="27"/>
        <v>0</v>
      </c>
      <c r="R57" s="588">
        <f t="shared" si="28"/>
        <v>0</v>
      </c>
      <c r="S57" s="588">
        <f t="shared" si="29"/>
        <v>0</v>
      </c>
      <c r="T57" s="588">
        <f t="shared" si="30"/>
        <v>0</v>
      </c>
      <c r="U57" s="588">
        <f t="shared" si="31"/>
        <v>0</v>
      </c>
      <c r="V57" s="588">
        <f t="shared" si="32"/>
        <v>0</v>
      </c>
      <c r="W57" s="588">
        <f t="shared" si="33"/>
        <v>0</v>
      </c>
      <c r="X57" s="588">
        <f t="shared" si="34"/>
        <v>0</v>
      </c>
      <c r="Y57" s="588">
        <f t="shared" si="35"/>
        <v>0</v>
      </c>
      <c r="Z57" s="588">
        <f t="shared" si="36"/>
        <v>0</v>
      </c>
      <c r="AA57" s="588">
        <f t="shared" si="20"/>
        <v>0</v>
      </c>
      <c r="AB57" s="588">
        <f t="shared" si="5"/>
        <v>0</v>
      </c>
      <c r="AC57" s="588">
        <f t="shared" si="6"/>
        <v>0</v>
      </c>
      <c r="AD57" s="588">
        <f t="shared" si="7"/>
        <v>0</v>
      </c>
      <c r="AE57" s="588">
        <f t="shared" si="8"/>
        <v>0</v>
      </c>
      <c r="AF57" s="588">
        <f t="shared" si="9"/>
        <v>0</v>
      </c>
      <c r="AG57" s="588">
        <f t="shared" si="10"/>
        <v>0</v>
      </c>
      <c r="AH57" s="588">
        <f t="shared" si="11"/>
        <v>0</v>
      </c>
      <c r="AI57" s="588">
        <f t="shared" si="12"/>
        <v>0</v>
      </c>
      <c r="AJ57" s="588">
        <f t="shared" si="13"/>
        <v>0</v>
      </c>
      <c r="AK57" s="588">
        <f t="shared" si="14"/>
        <v>0</v>
      </c>
      <c r="AL57" s="588">
        <f t="shared" si="15"/>
        <v>0</v>
      </c>
      <c r="AM57" s="588">
        <f t="shared" si="16"/>
        <v>0</v>
      </c>
      <c r="AN57" s="588">
        <f t="shared" si="4"/>
        <v>0</v>
      </c>
    </row>
    <row r="58" spans="1:40" ht="16.5" customHeight="1">
      <c r="A58" s="596" t="s">
        <v>2113</v>
      </c>
      <c r="B58" s="567">
        <v>66020607</v>
      </c>
      <c r="D58" s="17" t="s">
        <v>2611</v>
      </c>
      <c r="E58" s="17" t="s">
        <v>2627</v>
      </c>
      <c r="G58" s="17" t="s">
        <v>2627</v>
      </c>
      <c r="H58" s="593" t="str">
        <f t="shared" si="21"/>
        <v>Ad-Hoc</v>
      </c>
      <c r="I58" s="457" t="str">
        <f t="shared" si="22"/>
        <v>$</v>
      </c>
      <c r="J58" s="457" t="s">
        <v>2046</v>
      </c>
      <c r="K58" s="18">
        <v>0</v>
      </c>
      <c r="L58" s="586">
        <v>46023</v>
      </c>
      <c r="M58" s="586">
        <v>46387</v>
      </c>
      <c r="N58" s="460">
        <f t="shared" si="23"/>
        <v>12</v>
      </c>
      <c r="O58" s="588">
        <f t="shared" si="25"/>
        <v>0</v>
      </c>
      <c r="P58" s="588">
        <f t="shared" si="26"/>
        <v>0</v>
      </c>
      <c r="Q58" s="588">
        <f t="shared" si="27"/>
        <v>0</v>
      </c>
      <c r="R58" s="588">
        <f t="shared" si="28"/>
        <v>0</v>
      </c>
      <c r="S58" s="588">
        <f t="shared" si="29"/>
        <v>0</v>
      </c>
      <c r="T58" s="588">
        <f t="shared" si="30"/>
        <v>0</v>
      </c>
      <c r="U58" s="588">
        <f t="shared" si="31"/>
        <v>0</v>
      </c>
      <c r="V58" s="588">
        <f t="shared" si="32"/>
        <v>0</v>
      </c>
      <c r="W58" s="588">
        <f t="shared" si="33"/>
        <v>0</v>
      </c>
      <c r="X58" s="588">
        <f t="shared" si="34"/>
        <v>0</v>
      </c>
      <c r="Y58" s="588">
        <f t="shared" si="35"/>
        <v>0</v>
      </c>
      <c r="Z58" s="588">
        <f t="shared" si="36"/>
        <v>0</v>
      </c>
      <c r="AA58" s="588">
        <f t="shared" si="20"/>
        <v>0</v>
      </c>
      <c r="AB58" s="588">
        <f t="shared" si="5"/>
        <v>0</v>
      </c>
      <c r="AC58" s="588">
        <f t="shared" si="6"/>
        <v>0</v>
      </c>
      <c r="AD58" s="588">
        <f t="shared" si="7"/>
        <v>0</v>
      </c>
      <c r="AE58" s="588">
        <f t="shared" si="8"/>
        <v>0</v>
      </c>
      <c r="AF58" s="588">
        <f t="shared" si="9"/>
        <v>0</v>
      </c>
      <c r="AG58" s="588">
        <f t="shared" si="10"/>
        <v>0</v>
      </c>
      <c r="AH58" s="588">
        <f t="shared" si="11"/>
        <v>0</v>
      </c>
      <c r="AI58" s="588">
        <f t="shared" si="12"/>
        <v>0</v>
      </c>
      <c r="AJ58" s="588">
        <f t="shared" si="13"/>
        <v>0</v>
      </c>
      <c r="AK58" s="588">
        <f t="shared" si="14"/>
        <v>0</v>
      </c>
      <c r="AL58" s="588">
        <f t="shared" si="15"/>
        <v>0</v>
      </c>
      <c r="AM58" s="588">
        <f t="shared" si="16"/>
        <v>0</v>
      </c>
      <c r="AN58" s="588">
        <f t="shared" si="4"/>
        <v>0</v>
      </c>
    </row>
    <row r="59" spans="1:40" ht="16.5" customHeight="1">
      <c r="A59" s="596" t="s">
        <v>2113</v>
      </c>
      <c r="B59" s="567">
        <v>5080030</v>
      </c>
      <c r="D59" s="17" t="s">
        <v>2611</v>
      </c>
      <c r="E59" s="17" t="s">
        <v>1619</v>
      </c>
      <c r="G59" s="17" t="s">
        <v>1619</v>
      </c>
      <c r="H59" s="593" t="str">
        <f t="shared" si="21"/>
        <v>Ad-Hoc</v>
      </c>
      <c r="I59" s="457" t="str">
        <f>+I19</f>
        <v>$</v>
      </c>
      <c r="J59" s="457" t="s">
        <v>2046</v>
      </c>
      <c r="K59" s="18">
        <v>0</v>
      </c>
      <c r="L59" s="586">
        <v>46023</v>
      </c>
      <c r="M59" s="586">
        <v>46387</v>
      </c>
      <c r="N59" s="460">
        <f t="shared" si="23"/>
        <v>12</v>
      </c>
      <c r="O59" s="588">
        <f t="shared" si="25"/>
        <v>0</v>
      </c>
      <c r="P59" s="588">
        <f t="shared" si="26"/>
        <v>0</v>
      </c>
      <c r="Q59" s="588">
        <f t="shared" si="27"/>
        <v>0</v>
      </c>
      <c r="R59" s="588">
        <f t="shared" si="28"/>
        <v>0</v>
      </c>
      <c r="S59" s="588">
        <f t="shared" si="29"/>
        <v>0</v>
      </c>
      <c r="T59" s="588">
        <f t="shared" si="30"/>
        <v>0</v>
      </c>
      <c r="U59" s="588">
        <f t="shared" si="31"/>
        <v>0</v>
      </c>
      <c r="V59" s="588">
        <f t="shared" si="32"/>
        <v>0</v>
      </c>
      <c r="W59" s="588">
        <f t="shared" si="33"/>
        <v>0</v>
      </c>
      <c r="X59" s="588">
        <f t="shared" si="34"/>
        <v>0</v>
      </c>
      <c r="Y59" s="588">
        <f t="shared" si="35"/>
        <v>0</v>
      </c>
      <c r="Z59" s="588">
        <f t="shared" si="36"/>
        <v>0</v>
      </c>
      <c r="AA59" s="588">
        <f t="shared" si="20"/>
        <v>0</v>
      </c>
      <c r="AB59" s="588">
        <f t="shared" si="5"/>
        <v>0</v>
      </c>
      <c r="AC59" s="588">
        <f t="shared" si="6"/>
        <v>0</v>
      </c>
      <c r="AD59" s="588">
        <f t="shared" si="7"/>
        <v>0</v>
      </c>
      <c r="AE59" s="588">
        <f t="shared" si="8"/>
        <v>0</v>
      </c>
      <c r="AF59" s="588">
        <f t="shared" si="9"/>
        <v>0</v>
      </c>
      <c r="AG59" s="588">
        <f t="shared" si="10"/>
        <v>0</v>
      </c>
      <c r="AH59" s="588">
        <f t="shared" si="11"/>
        <v>0</v>
      </c>
      <c r="AI59" s="588">
        <f t="shared" si="12"/>
        <v>0</v>
      </c>
      <c r="AJ59" s="588">
        <f t="shared" si="13"/>
        <v>0</v>
      </c>
      <c r="AK59" s="588">
        <f t="shared" si="14"/>
        <v>0</v>
      </c>
      <c r="AL59" s="588">
        <f t="shared" si="15"/>
        <v>0</v>
      </c>
      <c r="AM59" s="588">
        <f t="shared" si="16"/>
        <v>0</v>
      </c>
      <c r="AN59" s="588">
        <f t="shared" si="4"/>
        <v>0</v>
      </c>
    </row>
    <row r="60" spans="1:40" ht="16.5" customHeight="1">
      <c r="A60" s="596" t="s">
        <v>2113</v>
      </c>
      <c r="B60" s="567">
        <v>5080061</v>
      </c>
      <c r="C60" s="567" t="s">
        <v>1598</v>
      </c>
      <c r="D60" s="17" t="s">
        <v>2611</v>
      </c>
      <c r="E60" s="17" t="s">
        <v>1600</v>
      </c>
      <c r="F60" s="17" t="str">
        <f>F48</f>
        <v>支付的其他与经营活动有关的现金（其他）</v>
      </c>
      <c r="G60" s="17" t="s">
        <v>1600</v>
      </c>
      <c r="H60" s="593" t="str">
        <f t="shared" si="21"/>
        <v>ttl$py</v>
      </c>
      <c r="I60" s="457" t="str">
        <f>+I20</f>
        <v>$</v>
      </c>
      <c r="J60" s="457" t="s">
        <v>2046</v>
      </c>
      <c r="K60" s="18">
        <v>0</v>
      </c>
      <c r="L60" s="586">
        <v>46023</v>
      </c>
      <c r="M60" s="586">
        <v>46387</v>
      </c>
      <c r="N60" s="460">
        <f t="shared" si="23"/>
        <v>12</v>
      </c>
      <c r="O60" s="588">
        <f t="shared" si="25"/>
        <v>0</v>
      </c>
      <c r="P60" s="588">
        <f t="shared" si="26"/>
        <v>0</v>
      </c>
      <c r="Q60" s="588">
        <f t="shared" si="27"/>
        <v>0</v>
      </c>
      <c r="R60" s="588">
        <f t="shared" si="28"/>
        <v>0</v>
      </c>
      <c r="S60" s="588">
        <f t="shared" si="29"/>
        <v>0</v>
      </c>
      <c r="T60" s="588">
        <f t="shared" si="30"/>
        <v>0</v>
      </c>
      <c r="U60" s="588">
        <f t="shared" si="31"/>
        <v>0</v>
      </c>
      <c r="V60" s="588">
        <f t="shared" si="32"/>
        <v>0</v>
      </c>
      <c r="W60" s="588">
        <f t="shared" si="33"/>
        <v>0</v>
      </c>
      <c r="X60" s="588">
        <f t="shared" si="34"/>
        <v>0</v>
      </c>
      <c r="Y60" s="588">
        <f t="shared" si="35"/>
        <v>0</v>
      </c>
      <c r="Z60" s="588">
        <f t="shared" si="36"/>
        <v>0</v>
      </c>
      <c r="AA60" s="588">
        <f t="shared" si="20"/>
        <v>0</v>
      </c>
      <c r="AB60" s="588">
        <f t="shared" si="5"/>
        <v>0</v>
      </c>
      <c r="AC60" s="588">
        <f t="shared" si="6"/>
        <v>0</v>
      </c>
      <c r="AD60" s="588">
        <f t="shared" si="7"/>
        <v>0</v>
      </c>
      <c r="AE60" s="588">
        <f t="shared" si="8"/>
        <v>0</v>
      </c>
      <c r="AF60" s="588">
        <f t="shared" si="9"/>
        <v>0</v>
      </c>
      <c r="AG60" s="588">
        <f t="shared" si="10"/>
        <v>0</v>
      </c>
      <c r="AH60" s="588">
        <f t="shared" si="11"/>
        <v>0</v>
      </c>
      <c r="AI60" s="588">
        <f t="shared" si="12"/>
        <v>0</v>
      </c>
      <c r="AJ60" s="588">
        <f t="shared" si="13"/>
        <v>0</v>
      </c>
      <c r="AK60" s="588">
        <f t="shared" si="14"/>
        <v>0</v>
      </c>
      <c r="AL60" s="588">
        <f t="shared" si="15"/>
        <v>0</v>
      </c>
      <c r="AM60" s="588">
        <f t="shared" si="16"/>
        <v>0</v>
      </c>
      <c r="AN60" s="588">
        <f t="shared" si="4"/>
        <v>0</v>
      </c>
    </row>
    <row r="61" spans="1:40" ht="16.5" customHeight="1">
      <c r="A61" s="596" t="s">
        <v>2113</v>
      </c>
      <c r="B61" s="567">
        <v>5080062</v>
      </c>
      <c r="C61" s="567" t="s">
        <v>1603</v>
      </c>
      <c r="D61" s="17" t="s">
        <v>2611</v>
      </c>
      <c r="E61" s="17" t="s">
        <v>2630</v>
      </c>
      <c r="F61" s="17" t="str">
        <f>F48</f>
        <v>支付的其他与经营活动有关的现金（其他）</v>
      </c>
      <c r="G61" s="17" t="s">
        <v>2630</v>
      </c>
      <c r="H61" s="593" t="str">
        <f t="shared" si="21"/>
        <v>ttl$pm</v>
      </c>
      <c r="I61" s="457" t="str">
        <f>+I21</f>
        <v>$</v>
      </c>
      <c r="J61" s="457" t="s">
        <v>2046</v>
      </c>
      <c r="K61" s="18">
        <v>0</v>
      </c>
      <c r="L61" s="586">
        <v>46023</v>
      </c>
      <c r="M61" s="586">
        <v>46387</v>
      </c>
      <c r="N61" s="460">
        <f t="shared" si="23"/>
        <v>12</v>
      </c>
      <c r="O61" s="588">
        <f t="shared" si="25"/>
        <v>0</v>
      </c>
      <c r="P61" s="588">
        <f t="shared" si="26"/>
        <v>0</v>
      </c>
      <c r="Q61" s="588">
        <f t="shared" si="27"/>
        <v>0</v>
      </c>
      <c r="R61" s="588">
        <f t="shared" si="28"/>
        <v>0</v>
      </c>
      <c r="S61" s="588">
        <f t="shared" si="29"/>
        <v>0</v>
      </c>
      <c r="T61" s="588">
        <f t="shared" si="30"/>
        <v>0</v>
      </c>
      <c r="U61" s="588">
        <f t="shared" si="31"/>
        <v>0</v>
      </c>
      <c r="V61" s="588">
        <f t="shared" si="32"/>
        <v>0</v>
      </c>
      <c r="W61" s="588">
        <f t="shared" si="33"/>
        <v>0</v>
      </c>
      <c r="X61" s="588">
        <f t="shared" si="34"/>
        <v>0</v>
      </c>
      <c r="Y61" s="588">
        <f t="shared" si="35"/>
        <v>0</v>
      </c>
      <c r="Z61" s="588">
        <f t="shared" si="36"/>
        <v>0</v>
      </c>
      <c r="AA61" s="588">
        <f t="shared" si="20"/>
        <v>0</v>
      </c>
      <c r="AB61" s="588">
        <f t="shared" si="5"/>
        <v>0</v>
      </c>
      <c r="AC61" s="588">
        <f t="shared" si="6"/>
        <v>0</v>
      </c>
      <c r="AD61" s="588">
        <f t="shared" si="7"/>
        <v>0</v>
      </c>
      <c r="AE61" s="588">
        <f t="shared" si="8"/>
        <v>0</v>
      </c>
      <c r="AF61" s="588">
        <f t="shared" si="9"/>
        <v>0</v>
      </c>
      <c r="AG61" s="588">
        <f t="shared" si="10"/>
        <v>0</v>
      </c>
      <c r="AH61" s="588">
        <f t="shared" si="11"/>
        <v>0</v>
      </c>
      <c r="AI61" s="588">
        <f t="shared" si="12"/>
        <v>0</v>
      </c>
      <c r="AJ61" s="588">
        <f t="shared" si="13"/>
        <v>0</v>
      </c>
      <c r="AK61" s="588">
        <f t="shared" si="14"/>
        <v>0</v>
      </c>
      <c r="AL61" s="588">
        <f t="shared" si="15"/>
        <v>0</v>
      </c>
      <c r="AM61" s="588">
        <f t="shared" si="16"/>
        <v>0</v>
      </c>
      <c r="AN61" s="588">
        <f t="shared" si="4"/>
        <v>0</v>
      </c>
    </row>
    <row r="62" spans="1:40" ht="16.5" customHeight="1">
      <c r="A62" s="596" t="s">
        <v>2113</v>
      </c>
      <c r="B62" s="567">
        <v>504014</v>
      </c>
      <c r="D62" s="17" t="s">
        <v>2631</v>
      </c>
      <c r="E62" s="17" t="s">
        <v>2632</v>
      </c>
      <c r="F62" s="17" t="str">
        <f>'CF-ACPL（合并）'!A51</f>
        <v>支付的其他与筹资活动有关的现金</v>
      </c>
      <c r="G62" s="17" t="s">
        <v>2633</v>
      </c>
      <c r="H62" s="593" t="str">
        <f t="shared" si="21"/>
        <v>ttl$pm</v>
      </c>
      <c r="I62" s="457" t="str">
        <f>+I22</f>
        <v>$</v>
      </c>
      <c r="J62" s="457" t="s">
        <v>2046</v>
      </c>
      <c r="K62" s="597">
        <v>5000</v>
      </c>
      <c r="L62" s="586">
        <v>46023</v>
      </c>
      <c r="M62" s="586">
        <v>46387</v>
      </c>
      <c r="N62" s="460">
        <f t="shared" si="23"/>
        <v>12</v>
      </c>
      <c r="O62" s="588">
        <f t="shared" si="25"/>
        <v>416.66666666666669</v>
      </c>
      <c r="P62" s="588">
        <f t="shared" si="26"/>
        <v>416.66666666666669</v>
      </c>
      <c r="Q62" s="588">
        <f t="shared" si="27"/>
        <v>416.66666666666669</v>
      </c>
      <c r="R62" s="588">
        <f t="shared" si="28"/>
        <v>416.66666666666669</v>
      </c>
      <c r="S62" s="588">
        <f t="shared" si="29"/>
        <v>416.66666666666669</v>
      </c>
      <c r="T62" s="588">
        <f t="shared" si="30"/>
        <v>416.66666666666669</v>
      </c>
      <c r="U62" s="588">
        <f t="shared" si="31"/>
        <v>416.66666666666669</v>
      </c>
      <c r="V62" s="588">
        <f t="shared" si="32"/>
        <v>416.66666666666669</v>
      </c>
      <c r="W62" s="588">
        <f t="shared" si="33"/>
        <v>416.66666666666669</v>
      </c>
      <c r="X62" s="588">
        <f t="shared" si="34"/>
        <v>416.66666666666669</v>
      </c>
      <c r="Y62" s="588">
        <f t="shared" si="35"/>
        <v>416.66666666666669</v>
      </c>
      <c r="Z62" s="588">
        <f t="shared" si="36"/>
        <v>416.66666666666669</v>
      </c>
      <c r="AA62" s="588">
        <f t="shared" si="20"/>
        <v>5000</v>
      </c>
      <c r="AB62" s="588">
        <f t="shared" si="5"/>
        <v>437.50000000000006</v>
      </c>
      <c r="AC62" s="588">
        <f t="shared" si="6"/>
        <v>437.50000000000006</v>
      </c>
      <c r="AD62" s="588">
        <f t="shared" si="7"/>
        <v>437.50000000000006</v>
      </c>
      <c r="AE62" s="588">
        <f t="shared" si="8"/>
        <v>437.50000000000006</v>
      </c>
      <c r="AF62" s="588">
        <f t="shared" si="9"/>
        <v>437.50000000000006</v>
      </c>
      <c r="AG62" s="588">
        <f t="shared" si="10"/>
        <v>437.50000000000006</v>
      </c>
      <c r="AH62" s="588">
        <f t="shared" si="11"/>
        <v>437.50000000000006</v>
      </c>
      <c r="AI62" s="588">
        <f t="shared" si="12"/>
        <v>437.50000000000006</v>
      </c>
      <c r="AJ62" s="588">
        <f t="shared" si="13"/>
        <v>437.50000000000006</v>
      </c>
      <c r="AK62" s="588">
        <f t="shared" si="14"/>
        <v>437.50000000000006</v>
      </c>
      <c r="AL62" s="588">
        <f t="shared" si="15"/>
        <v>437.50000000000006</v>
      </c>
      <c r="AM62" s="588">
        <f t="shared" si="16"/>
        <v>437.50000000000006</v>
      </c>
      <c r="AN62" s="588">
        <f t="shared" si="4"/>
        <v>5250.0000000000009</v>
      </c>
    </row>
    <row r="63" spans="1:40" ht="16.5" customHeight="1">
      <c r="A63" s="596" t="s">
        <v>2113</v>
      </c>
      <c r="B63" s="567">
        <v>504015</v>
      </c>
      <c r="D63" s="17" t="s">
        <v>2631</v>
      </c>
      <c r="E63" s="17" t="s">
        <v>2635</v>
      </c>
      <c r="G63" s="17" t="s">
        <v>2635</v>
      </c>
      <c r="H63" s="593" t="str">
        <f t="shared" si="21"/>
        <v>$ttlpm</v>
      </c>
      <c r="I63" s="457" t="str">
        <f>+I22</f>
        <v>$</v>
      </c>
      <c r="J63" s="457" t="s">
        <v>2046</v>
      </c>
      <c r="K63" s="18">
        <v>0</v>
      </c>
      <c r="L63" s="586">
        <v>46023</v>
      </c>
      <c r="M63" s="586">
        <v>46387</v>
      </c>
      <c r="N63" s="460">
        <f t="shared" si="23"/>
        <v>12</v>
      </c>
      <c r="O63" s="588">
        <f t="shared" si="25"/>
        <v>0</v>
      </c>
      <c r="P63" s="588">
        <f t="shared" si="26"/>
        <v>0</v>
      </c>
      <c r="Q63" s="588">
        <f t="shared" si="27"/>
        <v>0</v>
      </c>
      <c r="R63" s="588">
        <f t="shared" si="28"/>
        <v>0</v>
      </c>
      <c r="S63" s="588">
        <f t="shared" si="29"/>
        <v>0</v>
      </c>
      <c r="T63" s="588">
        <f t="shared" si="30"/>
        <v>0</v>
      </c>
      <c r="U63" s="588">
        <f t="shared" si="31"/>
        <v>0</v>
      </c>
      <c r="V63" s="588">
        <f t="shared" si="32"/>
        <v>0</v>
      </c>
      <c r="W63" s="588">
        <f t="shared" si="33"/>
        <v>0</v>
      </c>
      <c r="X63" s="588">
        <f t="shared" si="34"/>
        <v>0</v>
      </c>
      <c r="Y63" s="588">
        <f t="shared" si="35"/>
        <v>0</v>
      </c>
      <c r="Z63" s="588">
        <f t="shared" si="36"/>
        <v>0</v>
      </c>
      <c r="AA63" s="588">
        <f t="shared" si="20"/>
        <v>0</v>
      </c>
      <c r="AB63" s="588">
        <f t="shared" si="5"/>
        <v>0</v>
      </c>
      <c r="AC63" s="588">
        <f t="shared" si="6"/>
        <v>0</v>
      </c>
      <c r="AD63" s="588">
        <f t="shared" si="7"/>
        <v>0</v>
      </c>
      <c r="AE63" s="588">
        <f t="shared" si="8"/>
        <v>0</v>
      </c>
      <c r="AF63" s="588">
        <f t="shared" si="9"/>
        <v>0</v>
      </c>
      <c r="AG63" s="588">
        <f t="shared" si="10"/>
        <v>0</v>
      </c>
      <c r="AH63" s="588">
        <f t="shared" si="11"/>
        <v>0</v>
      </c>
      <c r="AI63" s="588">
        <f t="shared" si="12"/>
        <v>0</v>
      </c>
      <c r="AJ63" s="588">
        <f t="shared" si="13"/>
        <v>0</v>
      </c>
      <c r="AK63" s="588">
        <f t="shared" si="14"/>
        <v>0</v>
      </c>
      <c r="AL63" s="588">
        <f t="shared" si="15"/>
        <v>0</v>
      </c>
      <c r="AM63" s="588">
        <f t="shared" si="16"/>
        <v>0</v>
      </c>
      <c r="AN63" s="588">
        <f t="shared" si="4"/>
        <v>0</v>
      </c>
    </row>
    <row r="64" spans="1:40" ht="16.5" customHeight="1">
      <c r="A64" s="596" t="s">
        <v>2113</v>
      </c>
      <c r="B64" s="567">
        <v>504016</v>
      </c>
      <c r="D64" s="17" t="s">
        <v>2631</v>
      </c>
      <c r="E64" s="17" t="s">
        <v>2636</v>
      </c>
      <c r="G64" s="17" t="s">
        <v>2636</v>
      </c>
      <c r="H64" s="593" t="str">
        <f t="shared" si="21"/>
        <v>$ttlpm</v>
      </c>
      <c r="I64" s="457" t="str">
        <f>+I23</f>
        <v>$</v>
      </c>
      <c r="J64" s="457" t="s">
        <v>2046</v>
      </c>
      <c r="K64" s="18">
        <v>0</v>
      </c>
      <c r="L64" s="586">
        <v>46023</v>
      </c>
      <c r="M64" s="586">
        <v>46387</v>
      </c>
      <c r="N64" s="460">
        <f t="shared" si="23"/>
        <v>12</v>
      </c>
      <c r="O64" s="588">
        <f t="shared" si="25"/>
        <v>0</v>
      </c>
      <c r="P64" s="588">
        <f t="shared" si="26"/>
        <v>0</v>
      </c>
      <c r="Q64" s="588">
        <f t="shared" si="27"/>
        <v>0</v>
      </c>
      <c r="R64" s="588">
        <f t="shared" si="28"/>
        <v>0</v>
      </c>
      <c r="S64" s="588">
        <f t="shared" si="29"/>
        <v>0</v>
      </c>
      <c r="T64" s="588">
        <f t="shared" si="30"/>
        <v>0</v>
      </c>
      <c r="U64" s="588">
        <f t="shared" si="31"/>
        <v>0</v>
      </c>
      <c r="V64" s="588">
        <f t="shared" si="32"/>
        <v>0</v>
      </c>
      <c r="W64" s="588">
        <f t="shared" si="33"/>
        <v>0</v>
      </c>
      <c r="X64" s="588">
        <f t="shared" si="34"/>
        <v>0</v>
      </c>
      <c r="Y64" s="588">
        <f t="shared" si="35"/>
        <v>0</v>
      </c>
      <c r="Z64" s="588">
        <f t="shared" si="36"/>
        <v>0</v>
      </c>
      <c r="AA64" s="588">
        <f t="shared" si="20"/>
        <v>0</v>
      </c>
      <c r="AB64" s="588">
        <f t="shared" si="5"/>
        <v>0</v>
      </c>
      <c r="AC64" s="588">
        <f t="shared" si="6"/>
        <v>0</v>
      </c>
      <c r="AD64" s="588">
        <f t="shared" si="7"/>
        <v>0</v>
      </c>
      <c r="AE64" s="588">
        <f t="shared" si="8"/>
        <v>0</v>
      </c>
      <c r="AF64" s="588">
        <f t="shared" si="9"/>
        <v>0</v>
      </c>
      <c r="AG64" s="588">
        <f t="shared" si="10"/>
        <v>0</v>
      </c>
      <c r="AH64" s="588">
        <f t="shared" si="11"/>
        <v>0</v>
      </c>
      <c r="AI64" s="588">
        <f t="shared" si="12"/>
        <v>0</v>
      </c>
      <c r="AJ64" s="588">
        <f t="shared" si="13"/>
        <v>0</v>
      </c>
      <c r="AK64" s="588">
        <f t="shared" si="14"/>
        <v>0</v>
      </c>
      <c r="AL64" s="588">
        <f t="shared" si="15"/>
        <v>0</v>
      </c>
      <c r="AM64" s="588">
        <f t="shared" si="16"/>
        <v>0</v>
      </c>
      <c r="AN64" s="588">
        <f t="shared" si="4"/>
        <v>0</v>
      </c>
    </row>
    <row r="65" spans="1:40" ht="16.5" customHeight="1">
      <c r="A65" s="596" t="s">
        <v>2113</v>
      </c>
      <c r="B65" s="567">
        <v>504017</v>
      </c>
      <c r="D65" s="17" t="s">
        <v>2631</v>
      </c>
      <c r="E65" s="17" t="s">
        <v>2637</v>
      </c>
      <c r="G65" s="17" t="s">
        <v>2637</v>
      </c>
      <c r="H65" s="593" t="str">
        <f t="shared" si="21"/>
        <v>$ttlpm</v>
      </c>
      <c r="I65" s="457" t="str">
        <f>+I24</f>
        <v>$</v>
      </c>
      <c r="J65" s="457" t="s">
        <v>2046</v>
      </c>
      <c r="K65" s="18">
        <v>0</v>
      </c>
      <c r="L65" s="586">
        <v>46023</v>
      </c>
      <c r="M65" s="586">
        <v>46387</v>
      </c>
      <c r="N65" s="460">
        <f t="shared" si="23"/>
        <v>12</v>
      </c>
      <c r="O65" s="588">
        <f t="shared" si="25"/>
        <v>0</v>
      </c>
      <c r="P65" s="588">
        <f t="shared" si="26"/>
        <v>0</v>
      </c>
      <c r="Q65" s="588">
        <f t="shared" si="27"/>
        <v>0</v>
      </c>
      <c r="R65" s="588">
        <f t="shared" si="28"/>
        <v>0</v>
      </c>
      <c r="S65" s="588">
        <f t="shared" si="29"/>
        <v>0</v>
      </c>
      <c r="T65" s="588">
        <f t="shared" si="30"/>
        <v>0</v>
      </c>
      <c r="U65" s="588">
        <f t="shared" si="31"/>
        <v>0</v>
      </c>
      <c r="V65" s="588">
        <f t="shared" si="32"/>
        <v>0</v>
      </c>
      <c r="W65" s="588">
        <f t="shared" si="33"/>
        <v>0</v>
      </c>
      <c r="X65" s="588">
        <f t="shared" si="34"/>
        <v>0</v>
      </c>
      <c r="Y65" s="588">
        <f t="shared" si="35"/>
        <v>0</v>
      </c>
      <c r="Z65" s="588">
        <f t="shared" si="36"/>
        <v>0</v>
      </c>
      <c r="AA65" s="588">
        <f t="shared" si="20"/>
        <v>0</v>
      </c>
      <c r="AB65" s="588">
        <f t="shared" si="5"/>
        <v>0</v>
      </c>
      <c r="AC65" s="588">
        <f t="shared" si="6"/>
        <v>0</v>
      </c>
      <c r="AD65" s="588">
        <f t="shared" si="7"/>
        <v>0</v>
      </c>
      <c r="AE65" s="588">
        <f t="shared" si="8"/>
        <v>0</v>
      </c>
      <c r="AF65" s="588">
        <f t="shared" si="9"/>
        <v>0</v>
      </c>
      <c r="AG65" s="588">
        <f t="shared" si="10"/>
        <v>0</v>
      </c>
      <c r="AH65" s="588">
        <f t="shared" si="11"/>
        <v>0</v>
      </c>
      <c r="AI65" s="588">
        <f t="shared" si="12"/>
        <v>0</v>
      </c>
      <c r="AJ65" s="588">
        <f t="shared" si="13"/>
        <v>0</v>
      </c>
      <c r="AK65" s="588">
        <f t="shared" si="14"/>
        <v>0</v>
      </c>
      <c r="AL65" s="588">
        <f t="shared" si="15"/>
        <v>0</v>
      </c>
      <c r="AM65" s="588">
        <f t="shared" si="16"/>
        <v>0</v>
      </c>
      <c r="AN65" s="588">
        <f t="shared" si="4"/>
        <v>0</v>
      </c>
    </row>
    <row r="66" spans="1:40" ht="16.5" customHeight="1">
      <c r="A66" s="592"/>
      <c r="I66" s="457"/>
      <c r="L66" s="586"/>
      <c r="M66" s="586"/>
      <c r="N66" s="460"/>
      <c r="O66" s="587"/>
      <c r="P66" s="588"/>
      <c r="Q66" s="588"/>
      <c r="R66" s="588"/>
      <c r="S66" s="588"/>
      <c r="T66" s="588"/>
      <c r="U66" s="588"/>
      <c r="V66" s="588"/>
      <c r="W66" s="588"/>
      <c r="X66" s="588"/>
      <c r="Y66" s="588"/>
      <c r="Z66" s="588"/>
      <c r="AA66" s="588">
        <f t="shared" si="20"/>
        <v>0</v>
      </c>
      <c r="AB66" s="588">
        <f t="shared" si="5"/>
        <v>0</v>
      </c>
      <c r="AC66" s="588">
        <f t="shared" si="6"/>
        <v>0</v>
      </c>
      <c r="AD66" s="588">
        <f t="shared" si="7"/>
        <v>0</v>
      </c>
      <c r="AE66" s="588">
        <f t="shared" si="8"/>
        <v>0</v>
      </c>
      <c r="AF66" s="588">
        <f t="shared" si="9"/>
        <v>0</v>
      </c>
      <c r="AG66" s="588">
        <f t="shared" si="10"/>
        <v>0</v>
      </c>
      <c r="AH66" s="588">
        <f t="shared" si="11"/>
        <v>0</v>
      </c>
      <c r="AI66" s="588">
        <f t="shared" si="12"/>
        <v>0</v>
      </c>
      <c r="AJ66" s="588">
        <f t="shared" si="13"/>
        <v>0</v>
      </c>
      <c r="AK66" s="588">
        <f t="shared" si="14"/>
        <v>0</v>
      </c>
      <c r="AL66" s="588">
        <f t="shared" si="15"/>
        <v>0</v>
      </c>
      <c r="AM66" s="588">
        <f t="shared" si="16"/>
        <v>0</v>
      </c>
      <c r="AN66" s="588">
        <f t="shared" si="4"/>
        <v>0</v>
      </c>
    </row>
    <row r="67" spans="1:40" ht="16.5" customHeight="1">
      <c r="A67" s="592" t="s">
        <v>2111</v>
      </c>
      <c r="B67" s="567">
        <v>0</v>
      </c>
      <c r="C67" s="567" t="s">
        <v>1636</v>
      </c>
      <c r="D67" s="17" t="s">
        <v>2611</v>
      </c>
      <c r="E67" s="17" t="s">
        <v>2612</v>
      </c>
      <c r="F67" s="17" t="str">
        <f>'CF-ACPL（合并）'!A27</f>
        <v>支付的其他与经营活动有关的现金（其他）</v>
      </c>
      <c r="G67" s="17" t="s">
        <v>2612</v>
      </c>
      <c r="H67" s="593" t="str">
        <f t="shared" ref="H67:I72" si="37">+H7</f>
        <v>ttl$pm</v>
      </c>
      <c r="I67" s="457" t="str">
        <f t="shared" si="37"/>
        <v>$</v>
      </c>
      <c r="J67" s="457" t="s">
        <v>2046</v>
      </c>
      <c r="K67" s="18">
        <f>59*(1+$K$1)*12</f>
        <v>743.4</v>
      </c>
      <c r="L67" s="586">
        <v>46023</v>
      </c>
      <c r="M67" s="586">
        <v>46387</v>
      </c>
      <c r="N67" s="460">
        <f t="shared" ref="N67:N72" si="38">IF(AND(L67="",M67=""),"-",IF(M67="",12,DATEDIF(L67,M67,"M")+1))</f>
        <v>12</v>
      </c>
      <c r="O67" s="587">
        <f>IF(AND($L67&lt;=O$3,O$3&lt;=$M67),$K67/$N67,0)</f>
        <v>61.949999999999996</v>
      </c>
      <c r="P67" s="588">
        <f>IF(AND($L67&lt;=P$3,P$3&lt;=$M67),$K67/$N67,0)</f>
        <v>61.949999999999996</v>
      </c>
      <c r="Q67" s="588">
        <f t="shared" ref="Q67:Z67" si="39">IF(AND($L67&lt;=Q$3,Q$3&lt;=$M67),$K67/$N67,0)</f>
        <v>61.949999999999996</v>
      </c>
      <c r="R67" s="588">
        <f t="shared" si="39"/>
        <v>61.949999999999996</v>
      </c>
      <c r="S67" s="588">
        <f t="shared" si="39"/>
        <v>61.949999999999996</v>
      </c>
      <c r="T67" s="588">
        <f t="shared" si="39"/>
        <v>61.949999999999996</v>
      </c>
      <c r="U67" s="588">
        <f t="shared" si="39"/>
        <v>61.949999999999996</v>
      </c>
      <c r="V67" s="588">
        <f t="shared" si="39"/>
        <v>61.949999999999996</v>
      </c>
      <c r="W67" s="588">
        <f t="shared" si="39"/>
        <v>61.949999999999996</v>
      </c>
      <c r="X67" s="588">
        <f t="shared" si="39"/>
        <v>61.949999999999996</v>
      </c>
      <c r="Y67" s="588">
        <f t="shared" si="39"/>
        <v>61.949999999999996</v>
      </c>
      <c r="Z67" s="588">
        <f t="shared" si="39"/>
        <v>61.949999999999996</v>
      </c>
      <c r="AA67" s="588">
        <f t="shared" si="20"/>
        <v>743.40000000000009</v>
      </c>
      <c r="AB67" s="588">
        <f t="shared" si="5"/>
        <v>65.047499999999999</v>
      </c>
      <c r="AC67" s="588">
        <f t="shared" si="6"/>
        <v>65.047499999999999</v>
      </c>
      <c r="AD67" s="588">
        <f t="shared" si="7"/>
        <v>65.047499999999999</v>
      </c>
      <c r="AE67" s="588">
        <f t="shared" si="8"/>
        <v>65.047499999999999</v>
      </c>
      <c r="AF67" s="588">
        <f t="shared" si="9"/>
        <v>65.047499999999999</v>
      </c>
      <c r="AG67" s="588">
        <f t="shared" si="10"/>
        <v>65.047499999999999</v>
      </c>
      <c r="AH67" s="588">
        <f t="shared" si="11"/>
        <v>65.047499999999999</v>
      </c>
      <c r="AI67" s="588">
        <f t="shared" si="12"/>
        <v>65.047499999999999</v>
      </c>
      <c r="AJ67" s="588">
        <f t="shared" si="13"/>
        <v>65.047499999999999</v>
      </c>
      <c r="AK67" s="588">
        <f t="shared" si="14"/>
        <v>65.047499999999999</v>
      </c>
      <c r="AL67" s="588">
        <f t="shared" si="15"/>
        <v>65.047499999999999</v>
      </c>
      <c r="AM67" s="588">
        <f t="shared" si="16"/>
        <v>65.047499999999999</v>
      </c>
      <c r="AN67" s="588">
        <f t="shared" si="4"/>
        <v>780.57</v>
      </c>
    </row>
    <row r="68" spans="1:40" ht="16.5" customHeight="1">
      <c r="A68" s="592" t="s">
        <v>2111</v>
      </c>
      <c r="B68" s="567">
        <v>505001</v>
      </c>
      <c r="C68" s="567" t="s">
        <v>1636</v>
      </c>
      <c r="D68" s="17" t="s">
        <v>2611</v>
      </c>
      <c r="E68" s="17" t="s">
        <v>2615</v>
      </c>
      <c r="F68" s="17" t="str">
        <f>F67</f>
        <v>支付的其他与经营活动有关的现金（其他）</v>
      </c>
      <c r="G68" s="17" t="s">
        <v>2615</v>
      </c>
      <c r="H68" s="593" t="str">
        <f t="shared" si="37"/>
        <v>ttl$pm</v>
      </c>
      <c r="I68" s="457" t="str">
        <f t="shared" si="37"/>
        <v>$</v>
      </c>
      <c r="J68" s="457" t="s">
        <v>2046</v>
      </c>
      <c r="K68" s="18">
        <f>200*(10+7)*12*(1+K1)</f>
        <v>42840</v>
      </c>
      <c r="L68" s="586">
        <v>46023</v>
      </c>
      <c r="M68" s="586">
        <v>46387</v>
      </c>
      <c r="N68" s="460">
        <f t="shared" si="38"/>
        <v>12</v>
      </c>
      <c r="O68" s="588">
        <f>IF(AND($L68&lt;=O$3,O$3&lt;=$M68),$K68/$N68,0)</f>
        <v>3570</v>
      </c>
      <c r="P68" s="588">
        <f t="shared" ref="P68:Z68" si="40">IF(AND($L68&lt;=P$3,P$3&lt;=$M68),$K68/$N68,0)</f>
        <v>3570</v>
      </c>
      <c r="Q68" s="588">
        <f t="shared" si="40"/>
        <v>3570</v>
      </c>
      <c r="R68" s="588">
        <f t="shared" si="40"/>
        <v>3570</v>
      </c>
      <c r="S68" s="588">
        <f t="shared" si="40"/>
        <v>3570</v>
      </c>
      <c r="T68" s="588">
        <f t="shared" si="40"/>
        <v>3570</v>
      </c>
      <c r="U68" s="588">
        <f t="shared" si="40"/>
        <v>3570</v>
      </c>
      <c r="V68" s="588">
        <f t="shared" si="40"/>
        <v>3570</v>
      </c>
      <c r="W68" s="588">
        <f t="shared" si="40"/>
        <v>3570</v>
      </c>
      <c r="X68" s="588">
        <f t="shared" si="40"/>
        <v>3570</v>
      </c>
      <c r="Y68" s="588">
        <f t="shared" si="40"/>
        <v>3570</v>
      </c>
      <c r="Z68" s="588">
        <f t="shared" si="40"/>
        <v>3570</v>
      </c>
      <c r="AA68" s="588">
        <f t="shared" si="20"/>
        <v>42840</v>
      </c>
      <c r="AB68" s="588">
        <f t="shared" si="5"/>
        <v>3748.5</v>
      </c>
      <c r="AC68" s="588">
        <f t="shared" si="6"/>
        <v>3748.5</v>
      </c>
      <c r="AD68" s="588">
        <f t="shared" si="7"/>
        <v>3748.5</v>
      </c>
      <c r="AE68" s="588">
        <f t="shared" si="8"/>
        <v>3748.5</v>
      </c>
      <c r="AF68" s="588">
        <f t="shared" si="9"/>
        <v>3748.5</v>
      </c>
      <c r="AG68" s="588">
        <f t="shared" si="10"/>
        <v>3748.5</v>
      </c>
      <c r="AH68" s="588">
        <f t="shared" si="11"/>
        <v>3748.5</v>
      </c>
      <c r="AI68" s="588">
        <f t="shared" si="12"/>
        <v>3748.5</v>
      </c>
      <c r="AJ68" s="588">
        <f t="shared" si="13"/>
        <v>3748.5</v>
      </c>
      <c r="AK68" s="588">
        <f t="shared" si="14"/>
        <v>3748.5</v>
      </c>
      <c r="AL68" s="588">
        <f t="shared" si="15"/>
        <v>3748.5</v>
      </c>
      <c r="AM68" s="588">
        <f t="shared" si="16"/>
        <v>3748.5</v>
      </c>
      <c r="AN68" s="588">
        <f t="shared" si="4"/>
        <v>44982</v>
      </c>
    </row>
    <row r="69" spans="1:40" ht="16.5" customHeight="1">
      <c r="A69" s="592" t="s">
        <v>2111</v>
      </c>
      <c r="B69" s="567">
        <v>505002</v>
      </c>
      <c r="D69" s="17" t="s">
        <v>2611</v>
      </c>
      <c r="E69" s="17" t="s">
        <v>2616</v>
      </c>
      <c r="F69" s="17" t="str">
        <f>F68</f>
        <v>支付的其他与经营活动有关的现金（其他）</v>
      </c>
      <c r="G69" s="17" t="s">
        <v>2616</v>
      </c>
      <c r="H69" s="593" t="str">
        <f t="shared" si="37"/>
        <v>Ad-Hoc</v>
      </c>
      <c r="I69" s="457" t="str">
        <f t="shared" si="37"/>
        <v>$</v>
      </c>
      <c r="J69" s="457" t="s">
        <v>2046</v>
      </c>
      <c r="K69" s="18">
        <v>0</v>
      </c>
      <c r="L69" s="586">
        <v>46023</v>
      </c>
      <c r="M69" s="586">
        <v>46387</v>
      </c>
      <c r="N69" s="460">
        <f t="shared" si="38"/>
        <v>12</v>
      </c>
      <c r="O69" s="588">
        <f t="shared" ref="O69:Z69" si="41">IF(AND($L69&lt;=O$3,O$3&lt;=$M69),$K69/$N69,0)</f>
        <v>0</v>
      </c>
      <c r="P69" s="588">
        <f t="shared" si="41"/>
        <v>0</v>
      </c>
      <c r="Q69" s="588">
        <f t="shared" si="41"/>
        <v>0</v>
      </c>
      <c r="R69" s="588">
        <f t="shared" si="41"/>
        <v>0</v>
      </c>
      <c r="S69" s="588">
        <f t="shared" si="41"/>
        <v>0</v>
      </c>
      <c r="T69" s="588">
        <f t="shared" si="41"/>
        <v>0</v>
      </c>
      <c r="U69" s="588">
        <f t="shared" si="41"/>
        <v>0</v>
      </c>
      <c r="V69" s="588">
        <f t="shared" si="41"/>
        <v>0</v>
      </c>
      <c r="W69" s="588">
        <f t="shared" si="41"/>
        <v>0</v>
      </c>
      <c r="X69" s="588">
        <f t="shared" si="41"/>
        <v>0</v>
      </c>
      <c r="Y69" s="588">
        <f t="shared" si="41"/>
        <v>0</v>
      </c>
      <c r="Z69" s="588">
        <f t="shared" si="41"/>
        <v>0</v>
      </c>
      <c r="AA69" s="588">
        <f t="shared" si="20"/>
        <v>0</v>
      </c>
      <c r="AB69" s="588">
        <f t="shared" si="5"/>
        <v>0</v>
      </c>
      <c r="AC69" s="588">
        <f t="shared" si="6"/>
        <v>0</v>
      </c>
      <c r="AD69" s="588">
        <f t="shared" si="7"/>
        <v>0</v>
      </c>
      <c r="AE69" s="588">
        <f t="shared" si="8"/>
        <v>0</v>
      </c>
      <c r="AF69" s="588">
        <f t="shared" si="9"/>
        <v>0</v>
      </c>
      <c r="AG69" s="588">
        <f t="shared" si="10"/>
        <v>0</v>
      </c>
      <c r="AH69" s="588">
        <f t="shared" si="11"/>
        <v>0</v>
      </c>
      <c r="AI69" s="588">
        <f t="shared" si="12"/>
        <v>0</v>
      </c>
      <c r="AJ69" s="588">
        <f t="shared" si="13"/>
        <v>0</v>
      </c>
      <c r="AK69" s="588">
        <f t="shared" si="14"/>
        <v>0</v>
      </c>
      <c r="AL69" s="588">
        <f t="shared" si="15"/>
        <v>0</v>
      </c>
      <c r="AM69" s="588">
        <f t="shared" si="16"/>
        <v>0</v>
      </c>
      <c r="AN69" s="588">
        <f t="shared" si="4"/>
        <v>0</v>
      </c>
    </row>
    <row r="70" spans="1:40" ht="16.5" customHeight="1">
      <c r="A70" s="592" t="s">
        <v>2111</v>
      </c>
      <c r="B70" s="567">
        <v>505003</v>
      </c>
      <c r="C70" s="567" t="s">
        <v>1680</v>
      </c>
      <c r="D70" s="17" t="s">
        <v>2611</v>
      </c>
      <c r="E70" s="17" t="s">
        <v>2618</v>
      </c>
      <c r="F70" s="17" t="str">
        <f>F69</f>
        <v>支付的其他与经营活动有关的现金（其他）</v>
      </c>
      <c r="G70" s="17" t="s">
        <v>2618</v>
      </c>
      <c r="H70" s="593" t="str">
        <f t="shared" si="37"/>
        <v>ttl$pm</v>
      </c>
      <c r="I70" s="457" t="str">
        <f t="shared" si="37"/>
        <v>$</v>
      </c>
      <c r="J70" s="457" t="s">
        <v>2046</v>
      </c>
      <c r="K70" s="18">
        <f>12*3*100</f>
        <v>3600</v>
      </c>
      <c r="L70" s="586">
        <v>46023</v>
      </c>
      <c r="M70" s="586">
        <v>46387</v>
      </c>
      <c r="N70" s="460">
        <f t="shared" si="38"/>
        <v>12</v>
      </c>
      <c r="O70" s="588">
        <f t="shared" ref="O70:Z70" si="42">IF(AND($L70&lt;=O$3,O$3&lt;=$M70),$K70/$N70,0)</f>
        <v>300</v>
      </c>
      <c r="P70" s="588">
        <f t="shared" si="42"/>
        <v>300</v>
      </c>
      <c r="Q70" s="588">
        <f t="shared" si="42"/>
        <v>300</v>
      </c>
      <c r="R70" s="588">
        <f t="shared" si="42"/>
        <v>300</v>
      </c>
      <c r="S70" s="588">
        <f t="shared" si="42"/>
        <v>300</v>
      </c>
      <c r="T70" s="588">
        <f t="shared" si="42"/>
        <v>300</v>
      </c>
      <c r="U70" s="588">
        <f t="shared" si="42"/>
        <v>300</v>
      </c>
      <c r="V70" s="588">
        <f t="shared" si="42"/>
        <v>300</v>
      </c>
      <c r="W70" s="588">
        <f t="shared" si="42"/>
        <v>300</v>
      </c>
      <c r="X70" s="588">
        <f t="shared" si="42"/>
        <v>300</v>
      </c>
      <c r="Y70" s="588">
        <f t="shared" si="42"/>
        <v>300</v>
      </c>
      <c r="Z70" s="588">
        <f t="shared" si="42"/>
        <v>300</v>
      </c>
      <c r="AA70" s="588">
        <f t="shared" si="20"/>
        <v>3600</v>
      </c>
      <c r="AB70" s="588">
        <f t="shared" si="5"/>
        <v>315</v>
      </c>
      <c r="AC70" s="588">
        <f t="shared" si="6"/>
        <v>315</v>
      </c>
      <c r="AD70" s="588">
        <f t="shared" si="7"/>
        <v>315</v>
      </c>
      <c r="AE70" s="588">
        <f t="shared" si="8"/>
        <v>315</v>
      </c>
      <c r="AF70" s="588">
        <f t="shared" si="9"/>
        <v>315</v>
      </c>
      <c r="AG70" s="588">
        <f t="shared" si="10"/>
        <v>315</v>
      </c>
      <c r="AH70" s="588">
        <f t="shared" si="11"/>
        <v>315</v>
      </c>
      <c r="AI70" s="588">
        <f t="shared" si="12"/>
        <v>315</v>
      </c>
      <c r="AJ70" s="588">
        <f t="shared" si="13"/>
        <v>315</v>
      </c>
      <c r="AK70" s="588">
        <f t="shared" si="14"/>
        <v>315</v>
      </c>
      <c r="AL70" s="588">
        <f t="shared" si="15"/>
        <v>315</v>
      </c>
      <c r="AM70" s="588">
        <f t="shared" si="16"/>
        <v>315</v>
      </c>
      <c r="AN70" s="588">
        <f t="shared" si="4"/>
        <v>3780</v>
      </c>
    </row>
    <row r="71" spans="1:40" ht="16.5" customHeight="1">
      <c r="A71" s="592" t="s">
        <v>2111</v>
      </c>
      <c r="B71" s="567">
        <v>5080010</v>
      </c>
      <c r="C71" s="567" t="s">
        <v>1569</v>
      </c>
      <c r="D71" s="17" t="s">
        <v>2611</v>
      </c>
      <c r="E71" s="17" t="s">
        <v>2619</v>
      </c>
      <c r="F71" s="17" t="str">
        <f>'CF-ACPL（合并）'!A24</f>
        <v>支付的其他与经营活动有关的现金（租金）</v>
      </c>
      <c r="G71" s="17" t="s">
        <v>2642</v>
      </c>
      <c r="H71" s="593" t="str">
        <f t="shared" si="37"/>
        <v>ttl$pm</v>
      </c>
      <c r="I71" s="457" t="str">
        <f t="shared" si="37"/>
        <v>$</v>
      </c>
      <c r="J71" s="457" t="s">
        <v>2046</v>
      </c>
      <c r="K71" s="18">
        <f>(1500*8*12+3000*12*3)*(1+K1)</f>
        <v>264600</v>
      </c>
      <c r="L71" s="586">
        <v>46023</v>
      </c>
      <c r="M71" s="586">
        <v>46387</v>
      </c>
      <c r="N71" s="460">
        <f t="shared" si="38"/>
        <v>12</v>
      </c>
      <c r="O71" s="588">
        <f t="shared" ref="O71:Z71" si="43">IF(AND($L71&lt;=O$3,O$3&lt;=$M71),$K71/$N71,0)</f>
        <v>22050</v>
      </c>
      <c r="P71" s="588">
        <f t="shared" si="43"/>
        <v>22050</v>
      </c>
      <c r="Q71" s="588">
        <f t="shared" si="43"/>
        <v>22050</v>
      </c>
      <c r="R71" s="588">
        <f t="shared" si="43"/>
        <v>22050</v>
      </c>
      <c r="S71" s="588">
        <f t="shared" si="43"/>
        <v>22050</v>
      </c>
      <c r="T71" s="588">
        <f t="shared" si="43"/>
        <v>22050</v>
      </c>
      <c r="U71" s="588">
        <f t="shared" si="43"/>
        <v>22050</v>
      </c>
      <c r="V71" s="588">
        <f t="shared" si="43"/>
        <v>22050</v>
      </c>
      <c r="W71" s="588">
        <f t="shared" si="43"/>
        <v>22050</v>
      </c>
      <c r="X71" s="588">
        <f t="shared" si="43"/>
        <v>22050</v>
      </c>
      <c r="Y71" s="588">
        <f t="shared" si="43"/>
        <v>22050</v>
      </c>
      <c r="Z71" s="588">
        <f t="shared" si="43"/>
        <v>22050</v>
      </c>
      <c r="AA71" s="588">
        <f t="shared" ref="AA71:AA102" si="44">SUM(O71:Z71)</f>
        <v>264600</v>
      </c>
      <c r="AB71" s="588">
        <f t="shared" si="5"/>
        <v>23152.5</v>
      </c>
      <c r="AC71" s="588">
        <f t="shared" si="6"/>
        <v>23152.5</v>
      </c>
      <c r="AD71" s="588">
        <f t="shared" si="7"/>
        <v>23152.5</v>
      </c>
      <c r="AE71" s="588">
        <f t="shared" si="8"/>
        <v>23152.5</v>
      </c>
      <c r="AF71" s="588">
        <f t="shared" si="9"/>
        <v>23152.5</v>
      </c>
      <c r="AG71" s="588">
        <f t="shared" si="10"/>
        <v>23152.5</v>
      </c>
      <c r="AH71" s="588">
        <f t="shared" si="11"/>
        <v>23152.5</v>
      </c>
      <c r="AI71" s="588">
        <f t="shared" si="12"/>
        <v>23152.5</v>
      </c>
      <c r="AJ71" s="588">
        <f t="shared" si="13"/>
        <v>23152.5</v>
      </c>
      <c r="AK71" s="588">
        <f t="shared" si="14"/>
        <v>23152.5</v>
      </c>
      <c r="AL71" s="588">
        <f t="shared" si="15"/>
        <v>23152.5</v>
      </c>
      <c r="AM71" s="588">
        <f t="shared" si="16"/>
        <v>23152.5</v>
      </c>
      <c r="AN71" s="588">
        <f t="shared" ref="AN71:AN102" si="45">SUM(AB71:AM71)</f>
        <v>277830</v>
      </c>
    </row>
    <row r="72" spans="1:40" ht="16.5" customHeight="1">
      <c r="A72" s="592" t="s">
        <v>2111</v>
      </c>
      <c r="B72" s="567">
        <v>5080010</v>
      </c>
      <c r="C72" s="567" t="s">
        <v>1569</v>
      </c>
      <c r="D72" s="17" t="s">
        <v>2611</v>
      </c>
      <c r="E72" s="17" t="s">
        <v>2619</v>
      </c>
      <c r="F72" s="17" t="str">
        <f>'CF-ACPL（合并）'!A24</f>
        <v>支付的其他与经营活动有关的现金（租金）</v>
      </c>
      <c r="G72" s="17" t="s">
        <v>2643</v>
      </c>
      <c r="H72" s="593" t="str">
        <f t="shared" si="37"/>
        <v>ttl$pm</v>
      </c>
      <c r="I72" s="457" t="str">
        <f t="shared" si="37"/>
        <v>$</v>
      </c>
      <c r="J72" s="457" t="s">
        <v>2046</v>
      </c>
      <c r="K72" s="18">
        <f>470.88*11.5*12*8*(1+$K$1)</f>
        <v>545844.09600000002</v>
      </c>
      <c r="L72" s="586">
        <v>46357</v>
      </c>
      <c r="M72" s="586">
        <v>46387</v>
      </c>
      <c r="N72" s="460">
        <f t="shared" si="38"/>
        <v>1</v>
      </c>
      <c r="O72" s="588">
        <f t="shared" ref="O72:Z72" si="46">IF(AND($L72&lt;=O$3,O$3&lt;=$M72),$K72/$N72,0)</f>
        <v>0</v>
      </c>
      <c r="P72" s="588">
        <f t="shared" si="46"/>
        <v>0</v>
      </c>
      <c r="Q72" s="588">
        <f t="shared" si="46"/>
        <v>0</v>
      </c>
      <c r="R72" s="588">
        <f t="shared" si="46"/>
        <v>0</v>
      </c>
      <c r="S72" s="588">
        <f t="shared" si="46"/>
        <v>0</v>
      </c>
      <c r="T72" s="588">
        <f t="shared" si="46"/>
        <v>0</v>
      </c>
      <c r="U72" s="588">
        <f t="shared" si="46"/>
        <v>0</v>
      </c>
      <c r="V72" s="588">
        <f t="shared" si="46"/>
        <v>0</v>
      </c>
      <c r="W72" s="588">
        <f t="shared" si="46"/>
        <v>0</v>
      </c>
      <c r="X72" s="588">
        <f t="shared" si="46"/>
        <v>0</v>
      </c>
      <c r="Y72" s="588">
        <f t="shared" si="46"/>
        <v>0</v>
      </c>
      <c r="Z72" s="588">
        <f t="shared" si="46"/>
        <v>545844.09600000002</v>
      </c>
      <c r="AA72" s="588">
        <f t="shared" si="44"/>
        <v>545844.09600000002</v>
      </c>
      <c r="AB72" s="588">
        <f t="shared" ref="AB72:AB106" si="47">O72*(1+$AB$2)</f>
        <v>0</v>
      </c>
      <c r="AC72" s="588">
        <f t="shared" si="6"/>
        <v>0</v>
      </c>
      <c r="AD72" s="588">
        <f t="shared" si="7"/>
        <v>0</v>
      </c>
      <c r="AE72" s="588">
        <f t="shared" si="8"/>
        <v>0</v>
      </c>
      <c r="AF72" s="588">
        <f t="shared" si="9"/>
        <v>0</v>
      </c>
      <c r="AG72" s="588">
        <f t="shared" si="10"/>
        <v>0</v>
      </c>
      <c r="AH72" s="588">
        <f t="shared" si="11"/>
        <v>0</v>
      </c>
      <c r="AI72" s="588">
        <f t="shared" si="12"/>
        <v>0</v>
      </c>
      <c r="AJ72" s="588">
        <f t="shared" si="13"/>
        <v>0</v>
      </c>
      <c r="AK72" s="588">
        <f t="shared" si="14"/>
        <v>0</v>
      </c>
      <c r="AL72" s="588">
        <f t="shared" si="15"/>
        <v>0</v>
      </c>
      <c r="AM72" s="588">
        <f t="shared" si="16"/>
        <v>573136.30080000008</v>
      </c>
      <c r="AN72" s="588">
        <f t="shared" si="45"/>
        <v>573136.30080000008</v>
      </c>
    </row>
    <row r="73" spans="1:40" ht="16.5" customHeight="1">
      <c r="A73" s="592" t="s">
        <v>2111</v>
      </c>
      <c r="B73" s="567">
        <v>5080011</v>
      </c>
      <c r="C73" s="567" t="s">
        <v>1593</v>
      </c>
      <c r="D73" s="17" t="s">
        <v>2611</v>
      </c>
      <c r="E73" s="17" t="s">
        <v>2620</v>
      </c>
      <c r="F73" s="17" t="str">
        <f>F70</f>
        <v>支付的其他与经营活动有关的现金（其他）</v>
      </c>
      <c r="G73" s="17" t="s">
        <v>2621</v>
      </c>
      <c r="H73" s="593" t="str">
        <f t="shared" ref="H73:I86" si="48">+H12</f>
        <v>ttl$pm</v>
      </c>
      <c r="I73" s="457" t="str">
        <f t="shared" si="48"/>
        <v>$</v>
      </c>
      <c r="J73" s="457" t="s">
        <v>2046</v>
      </c>
      <c r="K73" s="18">
        <v>0</v>
      </c>
      <c r="L73" s="586">
        <v>46023</v>
      </c>
      <c r="M73" s="586">
        <v>46387</v>
      </c>
      <c r="N73" s="460">
        <f t="shared" ref="N73:N86" si="49">IF(AND(L73="",M73=""),"-",IF(M73="",12,DATEDIF(L73,M73,"M")+1))</f>
        <v>12</v>
      </c>
      <c r="O73" s="588">
        <f t="shared" ref="O73:O86" si="50">IF(AND($L73&lt;=O$3,O$3&lt;=$M73),$K73/$N73,0)</f>
        <v>0</v>
      </c>
      <c r="P73" s="588">
        <f t="shared" ref="P73:P86" si="51">IF(AND($L73&lt;=P$3,P$3&lt;=$M73),$K73/$N73,0)</f>
        <v>0</v>
      </c>
      <c r="Q73" s="588">
        <f t="shared" ref="Q73:Q86" si="52">IF(AND($L73&lt;=Q$3,Q$3&lt;=$M73),$K73/$N73,0)</f>
        <v>0</v>
      </c>
      <c r="R73" s="588">
        <f t="shared" ref="R73:R86" si="53">IF(AND($L73&lt;=R$3,R$3&lt;=$M73),$K73/$N73,0)</f>
        <v>0</v>
      </c>
      <c r="S73" s="588">
        <f t="shared" ref="S73:S86" si="54">IF(AND($L73&lt;=S$3,S$3&lt;=$M73),$K73/$N73,0)</f>
        <v>0</v>
      </c>
      <c r="T73" s="588">
        <f t="shared" ref="T73:T86" si="55">IF(AND($L73&lt;=T$3,T$3&lt;=$M73),$K73/$N73,0)</f>
        <v>0</v>
      </c>
      <c r="U73" s="588">
        <f t="shared" ref="U73:U86" si="56">IF(AND($L73&lt;=U$3,U$3&lt;=$M73),$K73/$N73,0)</f>
        <v>0</v>
      </c>
      <c r="V73" s="588">
        <f t="shared" ref="V73:V86" si="57">IF(AND($L73&lt;=V$3,V$3&lt;=$M73),$K73/$N73,0)</f>
        <v>0</v>
      </c>
      <c r="W73" s="588">
        <f t="shared" ref="W73:W86" si="58">IF(AND($L73&lt;=W$3,W$3&lt;=$M73),$K73/$N73,0)</f>
        <v>0</v>
      </c>
      <c r="X73" s="588">
        <f t="shared" ref="X73:X86" si="59">IF(AND($L73&lt;=X$3,X$3&lt;=$M73),$K73/$N73,0)</f>
        <v>0</v>
      </c>
      <c r="Y73" s="588">
        <f t="shared" ref="Y73:Y86" si="60">IF(AND($L73&lt;=Y$3,Y$3&lt;=$M73),$K73/$N73,0)</f>
        <v>0</v>
      </c>
      <c r="Z73" s="588">
        <f t="shared" ref="Z73:Z86" si="61">IF(AND($L73&lt;=Z$3,Z$3&lt;=$M73),$K73/$N73,0)</f>
        <v>0</v>
      </c>
      <c r="AA73" s="588">
        <f t="shared" si="44"/>
        <v>0</v>
      </c>
      <c r="AB73" s="588">
        <f t="shared" si="47"/>
        <v>0</v>
      </c>
      <c r="AC73" s="588">
        <f t="shared" si="6"/>
        <v>0</v>
      </c>
      <c r="AD73" s="588">
        <f t="shared" si="7"/>
        <v>0</v>
      </c>
      <c r="AE73" s="588">
        <f t="shared" si="8"/>
        <v>0</v>
      </c>
      <c r="AF73" s="588">
        <f t="shared" si="9"/>
        <v>0</v>
      </c>
      <c r="AG73" s="588">
        <f t="shared" si="10"/>
        <v>0</v>
      </c>
      <c r="AH73" s="588">
        <f t="shared" si="11"/>
        <v>0</v>
      </c>
      <c r="AI73" s="588">
        <f t="shared" si="12"/>
        <v>0</v>
      </c>
      <c r="AJ73" s="588">
        <f t="shared" si="13"/>
        <v>0</v>
      </c>
      <c r="AK73" s="588">
        <f t="shared" si="14"/>
        <v>0</v>
      </c>
      <c r="AL73" s="588">
        <f t="shared" si="15"/>
        <v>0</v>
      </c>
      <c r="AM73" s="588">
        <f t="shared" si="16"/>
        <v>0</v>
      </c>
      <c r="AN73" s="588">
        <f t="shared" si="45"/>
        <v>0</v>
      </c>
    </row>
    <row r="74" spans="1:40" ht="16.5" customHeight="1">
      <c r="A74" s="592" t="s">
        <v>2111</v>
      </c>
      <c r="B74" s="567">
        <v>5080011</v>
      </c>
      <c r="D74" s="17" t="s">
        <v>2611</v>
      </c>
      <c r="E74" s="17" t="s">
        <v>2620</v>
      </c>
      <c r="F74" s="17" t="str">
        <f>F73</f>
        <v>支付的其他与经营活动有关的现金（其他）</v>
      </c>
      <c r="G74" s="17" t="s">
        <v>2622</v>
      </c>
      <c r="H74" s="593" t="str">
        <f t="shared" si="48"/>
        <v>ttl$pm</v>
      </c>
      <c r="I74" s="457" t="str">
        <f t="shared" si="48"/>
        <v>$</v>
      </c>
      <c r="J74" s="457" t="s">
        <v>2046</v>
      </c>
      <c r="K74" s="18">
        <v>0</v>
      </c>
      <c r="L74" s="586">
        <v>46023</v>
      </c>
      <c r="M74" s="586">
        <v>46387</v>
      </c>
      <c r="N74" s="460">
        <f t="shared" si="49"/>
        <v>12</v>
      </c>
      <c r="O74" s="588">
        <f t="shared" si="50"/>
        <v>0</v>
      </c>
      <c r="P74" s="588">
        <f t="shared" si="51"/>
        <v>0</v>
      </c>
      <c r="Q74" s="588">
        <f t="shared" si="52"/>
        <v>0</v>
      </c>
      <c r="R74" s="588">
        <f t="shared" si="53"/>
        <v>0</v>
      </c>
      <c r="S74" s="588">
        <f t="shared" si="54"/>
        <v>0</v>
      </c>
      <c r="T74" s="588">
        <f t="shared" si="55"/>
        <v>0</v>
      </c>
      <c r="U74" s="588">
        <f t="shared" si="56"/>
        <v>0</v>
      </c>
      <c r="V74" s="588">
        <f t="shared" si="57"/>
        <v>0</v>
      </c>
      <c r="W74" s="588">
        <f t="shared" si="58"/>
        <v>0</v>
      </c>
      <c r="X74" s="588">
        <f t="shared" si="59"/>
        <v>0</v>
      </c>
      <c r="Y74" s="588">
        <f t="shared" si="60"/>
        <v>0</v>
      </c>
      <c r="Z74" s="588">
        <f t="shared" si="61"/>
        <v>0</v>
      </c>
      <c r="AA74" s="588">
        <f t="shared" si="44"/>
        <v>0</v>
      </c>
      <c r="AB74" s="588">
        <f t="shared" si="47"/>
        <v>0</v>
      </c>
      <c r="AC74" s="588">
        <f t="shared" si="6"/>
        <v>0</v>
      </c>
      <c r="AD74" s="588">
        <f t="shared" si="7"/>
        <v>0</v>
      </c>
      <c r="AE74" s="588">
        <f t="shared" si="8"/>
        <v>0</v>
      </c>
      <c r="AF74" s="588">
        <f t="shared" si="9"/>
        <v>0</v>
      </c>
      <c r="AG74" s="588">
        <f t="shared" si="10"/>
        <v>0</v>
      </c>
      <c r="AH74" s="588">
        <f t="shared" si="11"/>
        <v>0</v>
      </c>
      <c r="AI74" s="588">
        <f t="shared" si="12"/>
        <v>0</v>
      </c>
      <c r="AJ74" s="588">
        <f t="shared" si="13"/>
        <v>0</v>
      </c>
      <c r="AK74" s="588">
        <f t="shared" si="14"/>
        <v>0</v>
      </c>
      <c r="AL74" s="588">
        <f t="shared" si="15"/>
        <v>0</v>
      </c>
      <c r="AM74" s="588">
        <f t="shared" si="16"/>
        <v>0</v>
      </c>
      <c r="AN74" s="588">
        <f t="shared" si="45"/>
        <v>0</v>
      </c>
    </row>
    <row r="75" spans="1:40" ht="16.5" customHeight="1">
      <c r="A75" s="592" t="s">
        <v>2111</v>
      </c>
      <c r="B75" s="567">
        <v>5080020</v>
      </c>
      <c r="C75" s="567" t="s">
        <v>1607</v>
      </c>
      <c r="D75" s="17" t="s">
        <v>2611</v>
      </c>
      <c r="E75" s="17" t="s">
        <v>2623</v>
      </c>
      <c r="F75" s="17" t="str">
        <f>F67</f>
        <v>支付的其他与经营活动有关的现金（其他）</v>
      </c>
      <c r="G75" s="17" t="s">
        <v>2623</v>
      </c>
      <c r="H75" s="593" t="str">
        <f t="shared" si="48"/>
        <v>ttl$py</v>
      </c>
      <c r="I75" s="457" t="str">
        <f t="shared" si="48"/>
        <v>$</v>
      </c>
      <c r="J75" s="457" t="s">
        <v>2046</v>
      </c>
      <c r="K75" s="18">
        <v>0</v>
      </c>
      <c r="L75" s="586">
        <v>46023</v>
      </c>
      <c r="M75" s="586">
        <v>46387</v>
      </c>
      <c r="N75" s="460">
        <f t="shared" si="49"/>
        <v>12</v>
      </c>
      <c r="O75" s="588">
        <f t="shared" si="50"/>
        <v>0</v>
      </c>
      <c r="P75" s="588">
        <f t="shared" si="51"/>
        <v>0</v>
      </c>
      <c r="Q75" s="588">
        <f t="shared" si="52"/>
        <v>0</v>
      </c>
      <c r="R75" s="588">
        <f t="shared" si="53"/>
        <v>0</v>
      </c>
      <c r="S75" s="588">
        <f t="shared" si="54"/>
        <v>0</v>
      </c>
      <c r="T75" s="588">
        <f t="shared" si="55"/>
        <v>0</v>
      </c>
      <c r="U75" s="588">
        <f t="shared" si="56"/>
        <v>0</v>
      </c>
      <c r="V75" s="588">
        <f t="shared" si="57"/>
        <v>0</v>
      </c>
      <c r="W75" s="588">
        <f t="shared" si="58"/>
        <v>0</v>
      </c>
      <c r="X75" s="588">
        <f t="shared" si="59"/>
        <v>0</v>
      </c>
      <c r="Y75" s="588">
        <f t="shared" si="60"/>
        <v>0</v>
      </c>
      <c r="Z75" s="588">
        <f t="shared" si="61"/>
        <v>0</v>
      </c>
      <c r="AA75" s="588">
        <f t="shared" si="44"/>
        <v>0</v>
      </c>
      <c r="AB75" s="588">
        <f t="shared" si="47"/>
        <v>0</v>
      </c>
      <c r="AC75" s="588">
        <f t="shared" si="6"/>
        <v>0</v>
      </c>
      <c r="AD75" s="588">
        <f t="shared" si="7"/>
        <v>0</v>
      </c>
      <c r="AE75" s="588">
        <f t="shared" si="8"/>
        <v>0</v>
      </c>
      <c r="AF75" s="588">
        <f t="shared" si="9"/>
        <v>0</v>
      </c>
      <c r="AG75" s="588">
        <f t="shared" si="10"/>
        <v>0</v>
      </c>
      <c r="AH75" s="588">
        <f t="shared" si="11"/>
        <v>0</v>
      </c>
      <c r="AI75" s="588">
        <f t="shared" si="12"/>
        <v>0</v>
      </c>
      <c r="AJ75" s="588">
        <f t="shared" si="13"/>
        <v>0</v>
      </c>
      <c r="AK75" s="588">
        <f t="shared" si="14"/>
        <v>0</v>
      </c>
      <c r="AL75" s="588">
        <f t="shared" si="15"/>
        <v>0</v>
      </c>
      <c r="AM75" s="588">
        <f t="shared" si="16"/>
        <v>0</v>
      </c>
      <c r="AN75" s="588">
        <f t="shared" si="45"/>
        <v>0</v>
      </c>
    </row>
    <row r="76" spans="1:40" ht="16.5" customHeight="1">
      <c r="A76" s="592" t="s">
        <v>2111</v>
      </c>
      <c r="B76" s="567">
        <v>0</v>
      </c>
      <c r="D76" s="17" t="s">
        <v>2611</v>
      </c>
      <c r="E76" s="17" t="s">
        <v>2625</v>
      </c>
      <c r="G76" s="17" t="s">
        <v>2625</v>
      </c>
      <c r="H76" s="593" t="str">
        <f t="shared" si="48"/>
        <v>Ad-Hoc</v>
      </c>
      <c r="I76" s="457" t="str">
        <f t="shared" si="48"/>
        <v>$</v>
      </c>
      <c r="J76" s="457" t="s">
        <v>2046</v>
      </c>
      <c r="K76" s="18">
        <v>0</v>
      </c>
      <c r="L76" s="586">
        <v>46023</v>
      </c>
      <c r="M76" s="586">
        <v>46387</v>
      </c>
      <c r="N76" s="460">
        <f t="shared" si="49"/>
        <v>12</v>
      </c>
      <c r="O76" s="588">
        <f t="shared" si="50"/>
        <v>0</v>
      </c>
      <c r="P76" s="588">
        <f t="shared" si="51"/>
        <v>0</v>
      </c>
      <c r="Q76" s="588">
        <f t="shared" si="52"/>
        <v>0</v>
      </c>
      <c r="R76" s="588">
        <f t="shared" si="53"/>
        <v>0</v>
      </c>
      <c r="S76" s="588">
        <f t="shared" si="54"/>
        <v>0</v>
      </c>
      <c r="T76" s="588">
        <f t="shared" si="55"/>
        <v>0</v>
      </c>
      <c r="U76" s="588">
        <f t="shared" si="56"/>
        <v>0</v>
      </c>
      <c r="V76" s="588">
        <f t="shared" si="57"/>
        <v>0</v>
      </c>
      <c r="W76" s="588">
        <f t="shared" si="58"/>
        <v>0</v>
      </c>
      <c r="X76" s="588">
        <f t="shared" si="59"/>
        <v>0</v>
      </c>
      <c r="Y76" s="588">
        <f t="shared" si="60"/>
        <v>0</v>
      </c>
      <c r="Z76" s="588">
        <f t="shared" si="61"/>
        <v>0</v>
      </c>
      <c r="AA76" s="588">
        <f t="shared" si="44"/>
        <v>0</v>
      </c>
      <c r="AB76" s="588">
        <f t="shared" si="47"/>
        <v>0</v>
      </c>
      <c r="AC76" s="588">
        <f t="shared" si="6"/>
        <v>0</v>
      </c>
      <c r="AD76" s="588">
        <f t="shared" si="7"/>
        <v>0</v>
      </c>
      <c r="AE76" s="588">
        <f t="shared" si="8"/>
        <v>0</v>
      </c>
      <c r="AF76" s="588">
        <f t="shared" si="9"/>
        <v>0</v>
      </c>
      <c r="AG76" s="588">
        <f t="shared" si="10"/>
        <v>0</v>
      </c>
      <c r="AH76" s="588">
        <f t="shared" si="11"/>
        <v>0</v>
      </c>
      <c r="AI76" s="588">
        <f t="shared" si="12"/>
        <v>0</v>
      </c>
      <c r="AJ76" s="588">
        <f t="shared" si="13"/>
        <v>0</v>
      </c>
      <c r="AK76" s="588">
        <f t="shared" si="14"/>
        <v>0</v>
      </c>
      <c r="AL76" s="588">
        <f t="shared" si="15"/>
        <v>0</v>
      </c>
      <c r="AM76" s="588">
        <f t="shared" si="16"/>
        <v>0</v>
      </c>
      <c r="AN76" s="588">
        <f t="shared" si="45"/>
        <v>0</v>
      </c>
    </row>
    <row r="77" spans="1:40" ht="16.5" customHeight="1">
      <c r="A77" s="592" t="s">
        <v>2111</v>
      </c>
      <c r="B77" s="567">
        <v>0</v>
      </c>
      <c r="D77" s="17" t="s">
        <v>2611</v>
      </c>
      <c r="E77" s="17" t="s">
        <v>2626</v>
      </c>
      <c r="G77" s="17" t="s">
        <v>2626</v>
      </c>
      <c r="H77" s="593" t="str">
        <f t="shared" si="48"/>
        <v>ttl$pm</v>
      </c>
      <c r="I77" s="457" t="str">
        <f t="shared" si="48"/>
        <v>$</v>
      </c>
      <c r="J77" s="457" t="s">
        <v>2046</v>
      </c>
      <c r="K77" s="18">
        <v>0</v>
      </c>
      <c r="L77" s="586">
        <v>46023</v>
      </c>
      <c r="M77" s="586">
        <v>46387</v>
      </c>
      <c r="N77" s="460">
        <f t="shared" si="49"/>
        <v>12</v>
      </c>
      <c r="O77" s="588">
        <f t="shared" si="50"/>
        <v>0</v>
      </c>
      <c r="P77" s="588">
        <f t="shared" si="51"/>
        <v>0</v>
      </c>
      <c r="Q77" s="588">
        <f t="shared" si="52"/>
        <v>0</v>
      </c>
      <c r="R77" s="588">
        <f t="shared" si="53"/>
        <v>0</v>
      </c>
      <c r="S77" s="588">
        <f t="shared" si="54"/>
        <v>0</v>
      </c>
      <c r="T77" s="588">
        <f t="shared" si="55"/>
        <v>0</v>
      </c>
      <c r="U77" s="588">
        <f t="shared" si="56"/>
        <v>0</v>
      </c>
      <c r="V77" s="588">
        <f t="shared" si="57"/>
        <v>0</v>
      </c>
      <c r="W77" s="588">
        <f t="shared" si="58"/>
        <v>0</v>
      </c>
      <c r="X77" s="588">
        <f t="shared" si="59"/>
        <v>0</v>
      </c>
      <c r="Y77" s="588">
        <f t="shared" si="60"/>
        <v>0</v>
      </c>
      <c r="Z77" s="588">
        <f t="shared" si="61"/>
        <v>0</v>
      </c>
      <c r="AA77" s="588">
        <f t="shared" si="44"/>
        <v>0</v>
      </c>
      <c r="AB77" s="588">
        <f t="shared" si="47"/>
        <v>0</v>
      </c>
      <c r="AC77" s="588">
        <f t="shared" si="6"/>
        <v>0</v>
      </c>
      <c r="AD77" s="588">
        <f t="shared" si="7"/>
        <v>0</v>
      </c>
      <c r="AE77" s="588">
        <f t="shared" si="8"/>
        <v>0</v>
      </c>
      <c r="AF77" s="588">
        <f t="shared" si="9"/>
        <v>0</v>
      </c>
      <c r="AG77" s="588">
        <f t="shared" si="10"/>
        <v>0</v>
      </c>
      <c r="AH77" s="588">
        <f t="shared" si="11"/>
        <v>0</v>
      </c>
      <c r="AI77" s="588">
        <f t="shared" si="12"/>
        <v>0</v>
      </c>
      <c r="AJ77" s="588">
        <f t="shared" si="13"/>
        <v>0</v>
      </c>
      <c r="AK77" s="588">
        <f t="shared" si="14"/>
        <v>0</v>
      </c>
      <c r="AL77" s="588">
        <f t="shared" si="15"/>
        <v>0</v>
      </c>
      <c r="AM77" s="588">
        <f t="shared" si="16"/>
        <v>0</v>
      </c>
      <c r="AN77" s="588">
        <f t="shared" si="45"/>
        <v>0</v>
      </c>
    </row>
    <row r="78" spans="1:40" ht="16.5" customHeight="1">
      <c r="A78" s="592" t="s">
        <v>2111</v>
      </c>
      <c r="B78" s="567">
        <v>66020607</v>
      </c>
      <c r="D78" s="17" t="s">
        <v>2611</v>
      </c>
      <c r="E78" s="17" t="s">
        <v>2627</v>
      </c>
      <c r="G78" s="17" t="s">
        <v>2627</v>
      </c>
      <c r="H78" s="593" t="str">
        <f t="shared" si="48"/>
        <v>Ad-Hoc</v>
      </c>
      <c r="I78" s="457" t="str">
        <f t="shared" si="48"/>
        <v>$</v>
      </c>
      <c r="J78" s="457" t="s">
        <v>2046</v>
      </c>
      <c r="K78" s="18">
        <v>0</v>
      </c>
      <c r="L78" s="586">
        <v>46023</v>
      </c>
      <c r="M78" s="586">
        <v>46387</v>
      </c>
      <c r="N78" s="460">
        <f t="shared" si="49"/>
        <v>12</v>
      </c>
      <c r="O78" s="588">
        <f t="shared" si="50"/>
        <v>0</v>
      </c>
      <c r="P78" s="588">
        <f t="shared" si="51"/>
        <v>0</v>
      </c>
      <c r="Q78" s="588">
        <f t="shared" si="52"/>
        <v>0</v>
      </c>
      <c r="R78" s="588">
        <f t="shared" si="53"/>
        <v>0</v>
      </c>
      <c r="S78" s="588">
        <f t="shared" si="54"/>
        <v>0</v>
      </c>
      <c r="T78" s="588">
        <f t="shared" si="55"/>
        <v>0</v>
      </c>
      <c r="U78" s="588">
        <f t="shared" si="56"/>
        <v>0</v>
      </c>
      <c r="V78" s="588">
        <f t="shared" si="57"/>
        <v>0</v>
      </c>
      <c r="W78" s="588">
        <f t="shared" si="58"/>
        <v>0</v>
      </c>
      <c r="X78" s="588">
        <f t="shared" si="59"/>
        <v>0</v>
      </c>
      <c r="Y78" s="588">
        <f t="shared" si="60"/>
        <v>0</v>
      </c>
      <c r="Z78" s="588">
        <f t="shared" si="61"/>
        <v>0</v>
      </c>
      <c r="AA78" s="588">
        <f t="shared" si="44"/>
        <v>0</v>
      </c>
      <c r="AB78" s="588">
        <f t="shared" si="47"/>
        <v>0</v>
      </c>
      <c r="AC78" s="588">
        <f t="shared" si="6"/>
        <v>0</v>
      </c>
      <c r="AD78" s="588">
        <f t="shared" si="7"/>
        <v>0</v>
      </c>
      <c r="AE78" s="588">
        <f t="shared" si="8"/>
        <v>0</v>
      </c>
      <c r="AF78" s="588">
        <f t="shared" si="9"/>
        <v>0</v>
      </c>
      <c r="AG78" s="588">
        <f t="shared" si="10"/>
        <v>0</v>
      </c>
      <c r="AH78" s="588">
        <f t="shared" si="11"/>
        <v>0</v>
      </c>
      <c r="AI78" s="588">
        <f t="shared" si="12"/>
        <v>0</v>
      </c>
      <c r="AJ78" s="588">
        <f t="shared" si="13"/>
        <v>0</v>
      </c>
      <c r="AK78" s="588">
        <f t="shared" si="14"/>
        <v>0</v>
      </c>
      <c r="AL78" s="588">
        <f t="shared" si="15"/>
        <v>0</v>
      </c>
      <c r="AM78" s="588">
        <f t="shared" si="16"/>
        <v>0</v>
      </c>
      <c r="AN78" s="588">
        <f t="shared" si="45"/>
        <v>0</v>
      </c>
    </row>
    <row r="79" spans="1:40" ht="16.5" customHeight="1">
      <c r="A79" s="592" t="s">
        <v>2111</v>
      </c>
      <c r="B79" s="567" t="s">
        <v>2628</v>
      </c>
      <c r="G79" s="17" t="s">
        <v>2629</v>
      </c>
      <c r="H79" s="593" t="str">
        <f t="shared" si="48"/>
        <v>Ad-Hoc</v>
      </c>
      <c r="I79" s="457" t="str">
        <f t="shared" si="48"/>
        <v>$</v>
      </c>
      <c r="J79" s="457" t="s">
        <v>2046</v>
      </c>
      <c r="K79" s="18">
        <v>0</v>
      </c>
      <c r="L79" s="586">
        <v>46023</v>
      </c>
      <c r="M79" s="586">
        <v>46387</v>
      </c>
      <c r="N79" s="460">
        <f t="shared" si="49"/>
        <v>12</v>
      </c>
      <c r="O79" s="588">
        <f t="shared" si="50"/>
        <v>0</v>
      </c>
      <c r="P79" s="588">
        <f t="shared" si="51"/>
        <v>0</v>
      </c>
      <c r="Q79" s="588">
        <f t="shared" si="52"/>
        <v>0</v>
      </c>
      <c r="R79" s="588">
        <f t="shared" si="53"/>
        <v>0</v>
      </c>
      <c r="S79" s="588">
        <f t="shared" si="54"/>
        <v>0</v>
      </c>
      <c r="T79" s="588">
        <f t="shared" si="55"/>
        <v>0</v>
      </c>
      <c r="U79" s="588">
        <f t="shared" si="56"/>
        <v>0</v>
      </c>
      <c r="V79" s="588">
        <f t="shared" si="57"/>
        <v>0</v>
      </c>
      <c r="W79" s="588">
        <f t="shared" si="58"/>
        <v>0</v>
      </c>
      <c r="X79" s="588">
        <f t="shared" si="59"/>
        <v>0</v>
      </c>
      <c r="Y79" s="588">
        <f t="shared" si="60"/>
        <v>0</v>
      </c>
      <c r="Z79" s="588">
        <f t="shared" si="61"/>
        <v>0</v>
      </c>
      <c r="AA79" s="588">
        <f t="shared" si="44"/>
        <v>0</v>
      </c>
      <c r="AB79" s="588">
        <f t="shared" si="47"/>
        <v>0</v>
      </c>
      <c r="AC79" s="588">
        <f t="shared" si="6"/>
        <v>0</v>
      </c>
      <c r="AD79" s="588">
        <f t="shared" si="7"/>
        <v>0</v>
      </c>
      <c r="AE79" s="588">
        <f t="shared" si="8"/>
        <v>0</v>
      </c>
      <c r="AF79" s="588">
        <f t="shared" si="9"/>
        <v>0</v>
      </c>
      <c r="AG79" s="588">
        <f t="shared" si="10"/>
        <v>0</v>
      </c>
      <c r="AH79" s="588">
        <f t="shared" si="11"/>
        <v>0</v>
      </c>
      <c r="AI79" s="588">
        <f t="shared" si="12"/>
        <v>0</v>
      </c>
      <c r="AJ79" s="588">
        <f t="shared" si="13"/>
        <v>0</v>
      </c>
      <c r="AK79" s="588">
        <f t="shared" si="14"/>
        <v>0</v>
      </c>
      <c r="AL79" s="588">
        <f t="shared" si="15"/>
        <v>0</v>
      </c>
      <c r="AM79" s="588">
        <f t="shared" si="16"/>
        <v>0</v>
      </c>
      <c r="AN79" s="588">
        <f t="shared" si="45"/>
        <v>0</v>
      </c>
    </row>
    <row r="80" spans="1:40" ht="16.5" customHeight="1">
      <c r="A80" s="592" t="s">
        <v>2111</v>
      </c>
      <c r="B80" s="567">
        <v>5080030</v>
      </c>
      <c r="D80" s="17" t="s">
        <v>2611</v>
      </c>
      <c r="E80" s="17" t="s">
        <v>1619</v>
      </c>
      <c r="G80" s="17" t="s">
        <v>1619</v>
      </c>
      <c r="H80" s="593" t="str">
        <f t="shared" si="48"/>
        <v>ttl$py</v>
      </c>
      <c r="I80" s="457" t="str">
        <f t="shared" si="48"/>
        <v>$</v>
      </c>
      <c r="J80" s="457" t="s">
        <v>2046</v>
      </c>
      <c r="K80" s="18">
        <v>0</v>
      </c>
      <c r="L80" s="586">
        <v>46023</v>
      </c>
      <c r="M80" s="586">
        <v>46387</v>
      </c>
      <c r="N80" s="460">
        <f t="shared" si="49"/>
        <v>12</v>
      </c>
      <c r="O80" s="588">
        <f t="shared" si="50"/>
        <v>0</v>
      </c>
      <c r="P80" s="588">
        <f t="shared" si="51"/>
        <v>0</v>
      </c>
      <c r="Q80" s="588">
        <f t="shared" si="52"/>
        <v>0</v>
      </c>
      <c r="R80" s="588">
        <f t="shared" si="53"/>
        <v>0</v>
      </c>
      <c r="S80" s="588">
        <f t="shared" si="54"/>
        <v>0</v>
      </c>
      <c r="T80" s="588">
        <f t="shared" si="55"/>
        <v>0</v>
      </c>
      <c r="U80" s="588">
        <f t="shared" si="56"/>
        <v>0</v>
      </c>
      <c r="V80" s="588">
        <f t="shared" si="57"/>
        <v>0</v>
      </c>
      <c r="W80" s="588">
        <f t="shared" si="58"/>
        <v>0</v>
      </c>
      <c r="X80" s="588">
        <f t="shared" si="59"/>
        <v>0</v>
      </c>
      <c r="Y80" s="588">
        <f t="shared" si="60"/>
        <v>0</v>
      </c>
      <c r="Z80" s="588">
        <f t="shared" si="61"/>
        <v>0</v>
      </c>
      <c r="AA80" s="588">
        <f t="shared" si="44"/>
        <v>0</v>
      </c>
      <c r="AB80" s="588">
        <f t="shared" si="47"/>
        <v>0</v>
      </c>
      <c r="AC80" s="588">
        <f t="shared" si="6"/>
        <v>0</v>
      </c>
      <c r="AD80" s="588">
        <f t="shared" si="7"/>
        <v>0</v>
      </c>
      <c r="AE80" s="588">
        <f t="shared" si="8"/>
        <v>0</v>
      </c>
      <c r="AF80" s="588">
        <f t="shared" si="9"/>
        <v>0</v>
      </c>
      <c r="AG80" s="588">
        <f t="shared" si="10"/>
        <v>0</v>
      </c>
      <c r="AH80" s="588">
        <f t="shared" si="11"/>
        <v>0</v>
      </c>
      <c r="AI80" s="588">
        <f t="shared" si="12"/>
        <v>0</v>
      </c>
      <c r="AJ80" s="588">
        <f t="shared" si="13"/>
        <v>0</v>
      </c>
      <c r="AK80" s="588">
        <f t="shared" si="14"/>
        <v>0</v>
      </c>
      <c r="AL80" s="588">
        <f t="shared" si="15"/>
        <v>0</v>
      </c>
      <c r="AM80" s="588">
        <f t="shared" si="16"/>
        <v>0</v>
      </c>
      <c r="AN80" s="588">
        <f t="shared" si="45"/>
        <v>0</v>
      </c>
    </row>
    <row r="81" spans="1:40" ht="16.5" customHeight="1">
      <c r="A81" s="592" t="s">
        <v>2111</v>
      </c>
      <c r="B81" s="567">
        <v>5080061</v>
      </c>
      <c r="C81" s="567" t="s">
        <v>1598</v>
      </c>
      <c r="D81" s="17" t="s">
        <v>2611</v>
      </c>
      <c r="E81" s="17" t="s">
        <v>1600</v>
      </c>
      <c r="G81" s="17" t="s">
        <v>1600</v>
      </c>
      <c r="H81" s="593" t="str">
        <f t="shared" si="48"/>
        <v>ttl$pm</v>
      </c>
      <c r="I81" s="457" t="str">
        <f t="shared" si="48"/>
        <v>$</v>
      </c>
      <c r="J81" s="457" t="s">
        <v>2046</v>
      </c>
      <c r="K81" s="18">
        <v>0</v>
      </c>
      <c r="L81" s="586">
        <v>46023</v>
      </c>
      <c r="M81" s="586">
        <v>46387</v>
      </c>
      <c r="N81" s="460">
        <f t="shared" si="49"/>
        <v>12</v>
      </c>
      <c r="O81" s="588">
        <f t="shared" si="50"/>
        <v>0</v>
      </c>
      <c r="P81" s="588">
        <f t="shared" si="51"/>
        <v>0</v>
      </c>
      <c r="Q81" s="588">
        <f t="shared" si="52"/>
        <v>0</v>
      </c>
      <c r="R81" s="588">
        <f t="shared" si="53"/>
        <v>0</v>
      </c>
      <c r="S81" s="588">
        <f t="shared" si="54"/>
        <v>0</v>
      </c>
      <c r="T81" s="588">
        <f t="shared" si="55"/>
        <v>0</v>
      </c>
      <c r="U81" s="588">
        <f t="shared" si="56"/>
        <v>0</v>
      </c>
      <c r="V81" s="588">
        <f t="shared" si="57"/>
        <v>0</v>
      </c>
      <c r="W81" s="588">
        <f t="shared" si="58"/>
        <v>0</v>
      </c>
      <c r="X81" s="588">
        <f t="shared" si="59"/>
        <v>0</v>
      </c>
      <c r="Y81" s="588">
        <f t="shared" si="60"/>
        <v>0</v>
      </c>
      <c r="Z81" s="588">
        <f t="shared" si="61"/>
        <v>0</v>
      </c>
      <c r="AA81" s="588">
        <f t="shared" si="44"/>
        <v>0</v>
      </c>
      <c r="AB81" s="588">
        <f t="shared" si="47"/>
        <v>0</v>
      </c>
      <c r="AC81" s="588">
        <f t="shared" si="6"/>
        <v>0</v>
      </c>
      <c r="AD81" s="588">
        <f t="shared" si="7"/>
        <v>0</v>
      </c>
      <c r="AE81" s="588">
        <f t="shared" si="8"/>
        <v>0</v>
      </c>
      <c r="AF81" s="588">
        <f t="shared" si="9"/>
        <v>0</v>
      </c>
      <c r="AG81" s="588">
        <f t="shared" si="10"/>
        <v>0</v>
      </c>
      <c r="AH81" s="588">
        <f t="shared" si="11"/>
        <v>0</v>
      </c>
      <c r="AI81" s="588">
        <f t="shared" si="12"/>
        <v>0</v>
      </c>
      <c r="AJ81" s="588">
        <f t="shared" si="13"/>
        <v>0</v>
      </c>
      <c r="AK81" s="588">
        <f t="shared" si="14"/>
        <v>0</v>
      </c>
      <c r="AL81" s="588">
        <f t="shared" si="15"/>
        <v>0</v>
      </c>
      <c r="AM81" s="588">
        <f t="shared" si="16"/>
        <v>0</v>
      </c>
      <c r="AN81" s="588">
        <f t="shared" si="45"/>
        <v>0</v>
      </c>
    </row>
    <row r="82" spans="1:40" ht="16.5" customHeight="1">
      <c r="A82" s="592" t="s">
        <v>2111</v>
      </c>
      <c r="B82" s="567">
        <v>5080062</v>
      </c>
      <c r="C82" s="567" t="s">
        <v>1603</v>
      </c>
      <c r="D82" s="17" t="s">
        <v>2611</v>
      </c>
      <c r="E82" s="17" t="s">
        <v>2630</v>
      </c>
      <c r="G82" s="17" t="s">
        <v>2630</v>
      </c>
      <c r="H82" s="593" t="str">
        <f t="shared" si="48"/>
        <v>ttl$pm</v>
      </c>
      <c r="I82" s="457" t="str">
        <f t="shared" si="48"/>
        <v>$</v>
      </c>
      <c r="J82" s="457" t="s">
        <v>2046</v>
      </c>
      <c r="K82" s="18">
        <v>0</v>
      </c>
      <c r="L82" s="586">
        <v>46023</v>
      </c>
      <c r="M82" s="586">
        <v>46387</v>
      </c>
      <c r="N82" s="460">
        <f t="shared" si="49"/>
        <v>12</v>
      </c>
      <c r="O82" s="588">
        <f t="shared" si="50"/>
        <v>0</v>
      </c>
      <c r="P82" s="588">
        <f t="shared" si="51"/>
        <v>0</v>
      </c>
      <c r="Q82" s="588">
        <f t="shared" si="52"/>
        <v>0</v>
      </c>
      <c r="R82" s="588">
        <f t="shared" si="53"/>
        <v>0</v>
      </c>
      <c r="S82" s="588">
        <f t="shared" si="54"/>
        <v>0</v>
      </c>
      <c r="T82" s="588">
        <f t="shared" si="55"/>
        <v>0</v>
      </c>
      <c r="U82" s="588">
        <f t="shared" si="56"/>
        <v>0</v>
      </c>
      <c r="V82" s="588">
        <f t="shared" si="57"/>
        <v>0</v>
      </c>
      <c r="W82" s="588">
        <f t="shared" si="58"/>
        <v>0</v>
      </c>
      <c r="X82" s="588">
        <f t="shared" si="59"/>
        <v>0</v>
      </c>
      <c r="Y82" s="588">
        <f t="shared" si="60"/>
        <v>0</v>
      </c>
      <c r="Z82" s="588">
        <f t="shared" si="61"/>
        <v>0</v>
      </c>
      <c r="AA82" s="588">
        <f t="shared" si="44"/>
        <v>0</v>
      </c>
      <c r="AB82" s="588">
        <f t="shared" si="47"/>
        <v>0</v>
      </c>
      <c r="AC82" s="588">
        <f t="shared" si="6"/>
        <v>0</v>
      </c>
      <c r="AD82" s="588">
        <f t="shared" si="7"/>
        <v>0</v>
      </c>
      <c r="AE82" s="588">
        <f t="shared" si="8"/>
        <v>0</v>
      </c>
      <c r="AF82" s="588">
        <f t="shared" si="9"/>
        <v>0</v>
      </c>
      <c r="AG82" s="588">
        <f t="shared" si="10"/>
        <v>0</v>
      </c>
      <c r="AH82" s="588">
        <f t="shared" si="11"/>
        <v>0</v>
      </c>
      <c r="AI82" s="588">
        <f t="shared" si="12"/>
        <v>0</v>
      </c>
      <c r="AJ82" s="588">
        <f t="shared" si="13"/>
        <v>0</v>
      </c>
      <c r="AK82" s="588">
        <f t="shared" si="14"/>
        <v>0</v>
      </c>
      <c r="AL82" s="588">
        <f t="shared" si="15"/>
        <v>0</v>
      </c>
      <c r="AM82" s="588">
        <f t="shared" si="16"/>
        <v>0</v>
      </c>
      <c r="AN82" s="588">
        <f t="shared" si="45"/>
        <v>0</v>
      </c>
    </row>
    <row r="83" spans="1:40" ht="16.5" customHeight="1">
      <c r="A83" s="592" t="s">
        <v>2111</v>
      </c>
      <c r="B83" s="567">
        <v>504014</v>
      </c>
      <c r="D83" s="17" t="s">
        <v>2631</v>
      </c>
      <c r="E83" s="17" t="s">
        <v>2632</v>
      </c>
      <c r="F83" s="17" t="str">
        <f>'CF-ACPL（合并）'!A51</f>
        <v>支付的其他与筹资活动有关的现金</v>
      </c>
      <c r="G83" s="17" t="s">
        <v>2633</v>
      </c>
      <c r="H83" s="593" t="str">
        <f t="shared" si="48"/>
        <v>$ttlpm</v>
      </c>
      <c r="I83" s="457" t="str">
        <f t="shared" si="48"/>
        <v>$</v>
      </c>
      <c r="J83" s="457" t="s">
        <v>2046</v>
      </c>
      <c r="K83" s="18">
        <v>0</v>
      </c>
      <c r="L83" s="586">
        <v>46023</v>
      </c>
      <c r="M83" s="586">
        <v>46387</v>
      </c>
      <c r="N83" s="460">
        <f t="shared" si="49"/>
        <v>12</v>
      </c>
      <c r="O83" s="588">
        <f t="shared" si="50"/>
        <v>0</v>
      </c>
      <c r="P83" s="588">
        <f t="shared" si="51"/>
        <v>0</v>
      </c>
      <c r="Q83" s="588">
        <f t="shared" si="52"/>
        <v>0</v>
      </c>
      <c r="R83" s="588">
        <f t="shared" si="53"/>
        <v>0</v>
      </c>
      <c r="S83" s="588">
        <f t="shared" si="54"/>
        <v>0</v>
      </c>
      <c r="T83" s="588">
        <f t="shared" si="55"/>
        <v>0</v>
      </c>
      <c r="U83" s="588">
        <f t="shared" si="56"/>
        <v>0</v>
      </c>
      <c r="V83" s="588">
        <f t="shared" si="57"/>
        <v>0</v>
      </c>
      <c r="W83" s="588">
        <f t="shared" si="58"/>
        <v>0</v>
      </c>
      <c r="X83" s="588">
        <f t="shared" si="59"/>
        <v>0</v>
      </c>
      <c r="Y83" s="588">
        <f t="shared" si="60"/>
        <v>0</v>
      </c>
      <c r="Z83" s="588">
        <f t="shared" si="61"/>
        <v>0</v>
      </c>
      <c r="AA83" s="588">
        <f t="shared" si="44"/>
        <v>0</v>
      </c>
      <c r="AB83" s="588">
        <f t="shared" si="47"/>
        <v>0</v>
      </c>
      <c r="AC83" s="588">
        <f t="shared" si="6"/>
        <v>0</v>
      </c>
      <c r="AD83" s="588">
        <f t="shared" si="7"/>
        <v>0</v>
      </c>
      <c r="AE83" s="588">
        <f t="shared" si="8"/>
        <v>0</v>
      </c>
      <c r="AF83" s="588">
        <f t="shared" si="9"/>
        <v>0</v>
      </c>
      <c r="AG83" s="588">
        <f t="shared" si="10"/>
        <v>0</v>
      </c>
      <c r="AH83" s="588">
        <f t="shared" si="11"/>
        <v>0</v>
      </c>
      <c r="AI83" s="588">
        <f t="shared" si="12"/>
        <v>0</v>
      </c>
      <c r="AJ83" s="588">
        <f t="shared" si="13"/>
        <v>0</v>
      </c>
      <c r="AK83" s="588">
        <f t="shared" si="14"/>
        <v>0</v>
      </c>
      <c r="AL83" s="588">
        <f t="shared" si="15"/>
        <v>0</v>
      </c>
      <c r="AM83" s="588">
        <f t="shared" si="16"/>
        <v>0</v>
      </c>
      <c r="AN83" s="588">
        <f t="shared" si="45"/>
        <v>0</v>
      </c>
    </row>
    <row r="84" spans="1:40" ht="16.5" customHeight="1">
      <c r="A84" s="592" t="s">
        <v>2111</v>
      </c>
      <c r="B84" s="567">
        <v>504015</v>
      </c>
      <c r="D84" s="17" t="s">
        <v>2631</v>
      </c>
      <c r="E84" s="17" t="s">
        <v>2635</v>
      </c>
      <c r="G84" s="17" t="s">
        <v>2635</v>
      </c>
      <c r="H84" s="593" t="str">
        <f t="shared" si="48"/>
        <v>$ttlpm</v>
      </c>
      <c r="I84" s="457" t="str">
        <f t="shared" si="48"/>
        <v>$</v>
      </c>
      <c r="J84" s="457" t="s">
        <v>2046</v>
      </c>
      <c r="K84" s="18">
        <v>0</v>
      </c>
      <c r="L84" s="586">
        <v>46023</v>
      </c>
      <c r="M84" s="586">
        <v>46387</v>
      </c>
      <c r="N84" s="460">
        <f t="shared" si="49"/>
        <v>12</v>
      </c>
      <c r="O84" s="588">
        <f t="shared" si="50"/>
        <v>0</v>
      </c>
      <c r="P84" s="588">
        <f t="shared" si="51"/>
        <v>0</v>
      </c>
      <c r="Q84" s="588">
        <f t="shared" si="52"/>
        <v>0</v>
      </c>
      <c r="R84" s="588">
        <f t="shared" si="53"/>
        <v>0</v>
      </c>
      <c r="S84" s="588">
        <f t="shared" si="54"/>
        <v>0</v>
      </c>
      <c r="T84" s="588">
        <f t="shared" si="55"/>
        <v>0</v>
      </c>
      <c r="U84" s="588">
        <f t="shared" si="56"/>
        <v>0</v>
      </c>
      <c r="V84" s="588">
        <f t="shared" si="57"/>
        <v>0</v>
      </c>
      <c r="W84" s="588">
        <f t="shared" si="58"/>
        <v>0</v>
      </c>
      <c r="X84" s="588">
        <f t="shared" si="59"/>
        <v>0</v>
      </c>
      <c r="Y84" s="588">
        <f t="shared" si="60"/>
        <v>0</v>
      </c>
      <c r="Z84" s="588">
        <f t="shared" si="61"/>
        <v>0</v>
      </c>
      <c r="AA84" s="588">
        <f t="shared" si="44"/>
        <v>0</v>
      </c>
      <c r="AB84" s="588">
        <f t="shared" si="47"/>
        <v>0</v>
      </c>
      <c r="AC84" s="588">
        <f t="shared" si="6"/>
        <v>0</v>
      </c>
      <c r="AD84" s="588">
        <f t="shared" si="7"/>
        <v>0</v>
      </c>
      <c r="AE84" s="588">
        <f t="shared" si="8"/>
        <v>0</v>
      </c>
      <c r="AF84" s="588">
        <f t="shared" si="9"/>
        <v>0</v>
      </c>
      <c r="AG84" s="588">
        <f t="shared" si="10"/>
        <v>0</v>
      </c>
      <c r="AH84" s="588">
        <f t="shared" si="11"/>
        <v>0</v>
      </c>
      <c r="AI84" s="588">
        <f t="shared" si="12"/>
        <v>0</v>
      </c>
      <c r="AJ84" s="588">
        <f t="shared" si="13"/>
        <v>0</v>
      </c>
      <c r="AK84" s="588">
        <f t="shared" si="14"/>
        <v>0</v>
      </c>
      <c r="AL84" s="588">
        <f t="shared" si="15"/>
        <v>0</v>
      </c>
      <c r="AM84" s="588">
        <f t="shared" si="16"/>
        <v>0</v>
      </c>
      <c r="AN84" s="588">
        <f t="shared" si="45"/>
        <v>0</v>
      </c>
    </row>
    <row r="85" spans="1:40" ht="16.5" customHeight="1">
      <c r="A85" s="592" t="s">
        <v>2111</v>
      </c>
      <c r="B85" s="567">
        <v>504016</v>
      </c>
      <c r="D85" s="17" t="s">
        <v>2631</v>
      </c>
      <c r="E85" s="17" t="s">
        <v>2636</v>
      </c>
      <c r="F85" s="17" t="str">
        <f>'CF-ACPL（合并）'!A38</f>
        <v>购建固定资产、无形资产和其他长期资产支付的现金</v>
      </c>
      <c r="G85" s="17" t="s">
        <v>2636</v>
      </c>
      <c r="H85" s="593" t="str">
        <f t="shared" si="48"/>
        <v>$ttlpm</v>
      </c>
      <c r="I85" s="457" t="str">
        <f t="shared" si="48"/>
        <v>$</v>
      </c>
      <c r="J85" s="457" t="s">
        <v>2046</v>
      </c>
      <c r="K85" s="18">
        <v>0</v>
      </c>
      <c r="L85" s="586">
        <v>46023</v>
      </c>
      <c r="M85" s="586">
        <v>46387</v>
      </c>
      <c r="N85" s="460">
        <f t="shared" si="49"/>
        <v>12</v>
      </c>
      <c r="O85" s="588">
        <f t="shared" si="50"/>
        <v>0</v>
      </c>
      <c r="P85" s="588">
        <f t="shared" si="51"/>
        <v>0</v>
      </c>
      <c r="Q85" s="588">
        <f t="shared" si="52"/>
        <v>0</v>
      </c>
      <c r="R85" s="588">
        <f t="shared" si="53"/>
        <v>0</v>
      </c>
      <c r="S85" s="588">
        <f t="shared" si="54"/>
        <v>0</v>
      </c>
      <c r="T85" s="588">
        <f t="shared" si="55"/>
        <v>0</v>
      </c>
      <c r="U85" s="588">
        <f t="shared" si="56"/>
        <v>0</v>
      </c>
      <c r="V85" s="588">
        <f t="shared" si="57"/>
        <v>0</v>
      </c>
      <c r="W85" s="588">
        <f t="shared" si="58"/>
        <v>0</v>
      </c>
      <c r="X85" s="588">
        <f t="shared" si="59"/>
        <v>0</v>
      </c>
      <c r="Y85" s="588">
        <f t="shared" si="60"/>
        <v>0</v>
      </c>
      <c r="Z85" s="588">
        <f t="shared" si="61"/>
        <v>0</v>
      </c>
      <c r="AA85" s="588">
        <f t="shared" si="44"/>
        <v>0</v>
      </c>
      <c r="AB85" s="588">
        <f t="shared" si="47"/>
        <v>0</v>
      </c>
      <c r="AC85" s="588">
        <f t="shared" si="6"/>
        <v>0</v>
      </c>
      <c r="AD85" s="588">
        <f t="shared" si="7"/>
        <v>0</v>
      </c>
      <c r="AE85" s="588">
        <f t="shared" si="8"/>
        <v>0</v>
      </c>
      <c r="AF85" s="588">
        <f t="shared" si="9"/>
        <v>0</v>
      </c>
      <c r="AG85" s="588">
        <f t="shared" si="10"/>
        <v>0</v>
      </c>
      <c r="AH85" s="588">
        <f t="shared" si="11"/>
        <v>0</v>
      </c>
      <c r="AI85" s="588">
        <f t="shared" si="12"/>
        <v>0</v>
      </c>
      <c r="AJ85" s="588">
        <f t="shared" si="13"/>
        <v>0</v>
      </c>
      <c r="AK85" s="588">
        <f t="shared" si="14"/>
        <v>0</v>
      </c>
      <c r="AL85" s="588">
        <f t="shared" si="15"/>
        <v>0</v>
      </c>
      <c r="AM85" s="588">
        <f t="shared" si="16"/>
        <v>0</v>
      </c>
      <c r="AN85" s="588">
        <f t="shared" si="45"/>
        <v>0</v>
      </c>
    </row>
    <row r="86" spans="1:40" ht="16.5" customHeight="1">
      <c r="A86" s="592" t="s">
        <v>2111</v>
      </c>
      <c r="B86" s="567">
        <v>504017</v>
      </c>
      <c r="D86" s="17" t="s">
        <v>2631</v>
      </c>
      <c r="E86" s="17" t="s">
        <v>2637</v>
      </c>
      <c r="F86" s="17" t="str">
        <f>'CF-ACPL（合并）'!A38</f>
        <v>购建固定资产、无形资产和其他长期资产支付的现金</v>
      </c>
      <c r="G86" s="17" t="s">
        <v>2637</v>
      </c>
      <c r="H86" s="593" t="str">
        <f t="shared" si="48"/>
        <v>$ttlpm</v>
      </c>
      <c r="I86" s="457" t="str">
        <f t="shared" si="48"/>
        <v>$</v>
      </c>
      <c r="J86" s="457" t="s">
        <v>2046</v>
      </c>
      <c r="K86" s="18">
        <v>0</v>
      </c>
      <c r="L86" s="586">
        <v>46023</v>
      </c>
      <c r="M86" s="586">
        <v>46387</v>
      </c>
      <c r="N86" s="460">
        <f t="shared" si="49"/>
        <v>12</v>
      </c>
      <c r="O86" s="588">
        <f t="shared" si="50"/>
        <v>0</v>
      </c>
      <c r="P86" s="588">
        <f t="shared" si="51"/>
        <v>0</v>
      </c>
      <c r="Q86" s="588">
        <f t="shared" si="52"/>
        <v>0</v>
      </c>
      <c r="R86" s="588">
        <f t="shared" si="53"/>
        <v>0</v>
      </c>
      <c r="S86" s="588">
        <f t="shared" si="54"/>
        <v>0</v>
      </c>
      <c r="T86" s="588">
        <f t="shared" si="55"/>
        <v>0</v>
      </c>
      <c r="U86" s="588">
        <f t="shared" si="56"/>
        <v>0</v>
      </c>
      <c r="V86" s="588">
        <f t="shared" si="57"/>
        <v>0</v>
      </c>
      <c r="W86" s="588">
        <f t="shared" si="58"/>
        <v>0</v>
      </c>
      <c r="X86" s="588">
        <f t="shared" si="59"/>
        <v>0</v>
      </c>
      <c r="Y86" s="588">
        <f t="shared" si="60"/>
        <v>0</v>
      </c>
      <c r="Z86" s="588">
        <f t="shared" si="61"/>
        <v>0</v>
      </c>
      <c r="AA86" s="588">
        <f t="shared" si="44"/>
        <v>0</v>
      </c>
      <c r="AB86" s="588">
        <f t="shared" si="47"/>
        <v>0</v>
      </c>
      <c r="AC86" s="588">
        <f t="shared" si="6"/>
        <v>0</v>
      </c>
      <c r="AD86" s="588">
        <f t="shared" si="7"/>
        <v>0</v>
      </c>
      <c r="AE86" s="588">
        <f t="shared" si="8"/>
        <v>0</v>
      </c>
      <c r="AF86" s="588">
        <f t="shared" si="9"/>
        <v>0</v>
      </c>
      <c r="AG86" s="588">
        <f t="shared" si="10"/>
        <v>0</v>
      </c>
      <c r="AH86" s="588">
        <f t="shared" si="11"/>
        <v>0</v>
      </c>
      <c r="AI86" s="588">
        <f t="shared" si="12"/>
        <v>0</v>
      </c>
      <c r="AJ86" s="588">
        <f t="shared" si="13"/>
        <v>0</v>
      </c>
      <c r="AK86" s="588">
        <f t="shared" si="14"/>
        <v>0</v>
      </c>
      <c r="AL86" s="588">
        <f t="shared" si="15"/>
        <v>0</v>
      </c>
      <c r="AM86" s="588">
        <f t="shared" si="16"/>
        <v>0</v>
      </c>
      <c r="AN86" s="588">
        <f t="shared" si="45"/>
        <v>0</v>
      </c>
    </row>
    <row r="87" spans="1:40" ht="16.5" customHeight="1">
      <c r="A87" s="592"/>
      <c r="H87" s="593"/>
      <c r="I87" s="590"/>
      <c r="N87" s="460"/>
      <c r="O87" s="587"/>
      <c r="P87" s="588"/>
      <c r="Q87" s="588"/>
      <c r="R87" s="588"/>
      <c r="S87" s="588"/>
      <c r="T87" s="588"/>
      <c r="U87" s="588"/>
      <c r="V87" s="588"/>
      <c r="W87" s="588"/>
      <c r="X87" s="588"/>
      <c r="Y87" s="588"/>
      <c r="Z87" s="588"/>
      <c r="AA87" s="588">
        <f t="shared" si="44"/>
        <v>0</v>
      </c>
      <c r="AB87" s="588">
        <f t="shared" si="47"/>
        <v>0</v>
      </c>
      <c r="AC87" s="588">
        <f t="shared" ref="AC87:AC106" si="62">P87*(1+$AB$2)</f>
        <v>0</v>
      </c>
      <c r="AD87" s="588">
        <f t="shared" ref="AD87:AD106" si="63">Q87*(1+$AB$2)</f>
        <v>0</v>
      </c>
      <c r="AE87" s="588">
        <f t="shared" ref="AE87:AE106" si="64">R87*(1+$AB$2)</f>
        <v>0</v>
      </c>
      <c r="AF87" s="588">
        <f t="shared" ref="AF87:AF106" si="65">S87*(1+$AB$2)</f>
        <v>0</v>
      </c>
      <c r="AG87" s="588">
        <f t="shared" ref="AG87:AG106" si="66">T87*(1+$AB$2)</f>
        <v>0</v>
      </c>
      <c r="AH87" s="588">
        <f t="shared" ref="AH87:AH106" si="67">U87*(1+$AB$2)</f>
        <v>0</v>
      </c>
      <c r="AI87" s="588">
        <f t="shared" ref="AI87:AI106" si="68">V87*(1+$AB$2)</f>
        <v>0</v>
      </c>
      <c r="AJ87" s="588">
        <f t="shared" ref="AJ87:AJ106" si="69">W87*(1+$AB$2)</f>
        <v>0</v>
      </c>
      <c r="AK87" s="588">
        <f t="shared" ref="AK87:AK106" si="70">X87*(1+$AB$2)</f>
        <v>0</v>
      </c>
      <c r="AL87" s="588">
        <f t="shared" ref="AL87:AL106" si="71">Y87*(1+$AB$2)</f>
        <v>0</v>
      </c>
      <c r="AM87" s="588">
        <f t="shared" ref="AM87:AM106" si="72">Z87*(1+$AB$2)</f>
        <v>0</v>
      </c>
      <c r="AN87" s="588">
        <f t="shared" si="45"/>
        <v>0</v>
      </c>
    </row>
    <row r="88" spans="1:40" ht="16.5" customHeight="1">
      <c r="A88" s="592" t="s">
        <v>2242</v>
      </c>
      <c r="B88" s="567" t="s">
        <v>2638</v>
      </c>
      <c r="C88" s="567" t="s">
        <v>1636</v>
      </c>
      <c r="D88" s="17" t="s">
        <v>2611</v>
      </c>
      <c r="E88" s="17" t="s">
        <v>2612</v>
      </c>
      <c r="F88" s="17" t="str">
        <f>'CF-ACPL（合并）'!A27</f>
        <v>支付的其他与经营活动有关的现金（其他）</v>
      </c>
      <c r="G88" s="17" t="s">
        <v>2612</v>
      </c>
      <c r="H88" s="593" t="str">
        <f t="shared" ref="H88:I106" si="73">+H27</f>
        <v>ttl$pm</v>
      </c>
      <c r="I88" s="457" t="str">
        <f t="shared" si="73"/>
        <v>$</v>
      </c>
      <c r="J88" s="457" t="s">
        <v>2046</v>
      </c>
      <c r="K88" s="18">
        <v>0</v>
      </c>
      <c r="L88" s="586">
        <v>46023</v>
      </c>
      <c r="M88" s="586">
        <v>46387</v>
      </c>
      <c r="N88" s="460">
        <f t="shared" ref="N88:N106" si="74">IF(AND(L88="",M88=""),"-",IF(M88="",12,DATEDIF(L88,M88,"M")+1))</f>
        <v>12</v>
      </c>
      <c r="O88" s="588">
        <f>IF(AND($L88&lt;=O$3,O$3&lt;=$M88),$K88/$N88,0)</f>
        <v>0</v>
      </c>
      <c r="P88" s="588">
        <f t="shared" ref="P88:Z88" si="75">IF(AND($L88&lt;=P$3,P$3&lt;=$M88),$K88/$N88,0)</f>
        <v>0</v>
      </c>
      <c r="Q88" s="588">
        <f t="shared" si="75"/>
        <v>0</v>
      </c>
      <c r="R88" s="588">
        <f t="shared" si="75"/>
        <v>0</v>
      </c>
      <c r="S88" s="588">
        <f t="shared" si="75"/>
        <v>0</v>
      </c>
      <c r="T88" s="588">
        <f t="shared" si="75"/>
        <v>0</v>
      </c>
      <c r="U88" s="588">
        <f t="shared" si="75"/>
        <v>0</v>
      </c>
      <c r="V88" s="588">
        <f t="shared" si="75"/>
        <v>0</v>
      </c>
      <c r="W88" s="588">
        <f t="shared" si="75"/>
        <v>0</v>
      </c>
      <c r="X88" s="588">
        <f t="shared" si="75"/>
        <v>0</v>
      </c>
      <c r="Y88" s="588">
        <f t="shared" si="75"/>
        <v>0</v>
      </c>
      <c r="Z88" s="588">
        <f t="shared" si="75"/>
        <v>0</v>
      </c>
      <c r="AA88" s="588">
        <f t="shared" si="44"/>
        <v>0</v>
      </c>
      <c r="AB88" s="588">
        <f t="shared" si="47"/>
        <v>0</v>
      </c>
      <c r="AC88" s="588">
        <f t="shared" si="62"/>
        <v>0</v>
      </c>
      <c r="AD88" s="588">
        <f t="shared" si="63"/>
        <v>0</v>
      </c>
      <c r="AE88" s="588">
        <f t="shared" si="64"/>
        <v>0</v>
      </c>
      <c r="AF88" s="588">
        <f t="shared" si="65"/>
        <v>0</v>
      </c>
      <c r="AG88" s="588">
        <f t="shared" si="66"/>
        <v>0</v>
      </c>
      <c r="AH88" s="588">
        <f t="shared" si="67"/>
        <v>0</v>
      </c>
      <c r="AI88" s="588">
        <f t="shared" si="68"/>
        <v>0</v>
      </c>
      <c r="AJ88" s="588">
        <f t="shared" si="69"/>
        <v>0</v>
      </c>
      <c r="AK88" s="588">
        <f t="shared" si="70"/>
        <v>0</v>
      </c>
      <c r="AL88" s="588">
        <f t="shared" si="71"/>
        <v>0</v>
      </c>
      <c r="AM88" s="588">
        <f t="shared" si="72"/>
        <v>0</v>
      </c>
      <c r="AN88" s="588">
        <f t="shared" si="45"/>
        <v>0</v>
      </c>
    </row>
    <row r="89" spans="1:40" ht="16.5" customHeight="1">
      <c r="A89" s="592" t="s">
        <v>2242</v>
      </c>
      <c r="B89" s="567">
        <v>505001</v>
      </c>
      <c r="C89" s="567" t="s">
        <v>1636</v>
      </c>
      <c r="D89" s="17" t="s">
        <v>2611</v>
      </c>
      <c r="E89" s="17" t="s">
        <v>2615</v>
      </c>
      <c r="F89" s="17" t="str">
        <f>F88</f>
        <v>支付的其他与经营活动有关的现金（其他）</v>
      </c>
      <c r="G89" s="17" t="s">
        <v>2615</v>
      </c>
      <c r="H89" s="593" t="str">
        <f t="shared" si="73"/>
        <v>ttl$pm</v>
      </c>
      <c r="I89" s="457" t="str">
        <f t="shared" si="73"/>
        <v>$</v>
      </c>
      <c r="J89" s="457" t="s">
        <v>2046</v>
      </c>
      <c r="K89" s="18">
        <f>200*6*12*(1+K1)</f>
        <v>15120</v>
      </c>
      <c r="L89" s="586">
        <v>46023</v>
      </c>
      <c r="M89" s="586">
        <v>46387</v>
      </c>
      <c r="N89" s="460">
        <f t="shared" si="74"/>
        <v>12</v>
      </c>
      <c r="O89" s="588">
        <f t="shared" ref="O89:O106" si="76">IF(AND($L89&lt;=O$3,O$3&lt;=$M89),$K89/$N89,0)</f>
        <v>1260</v>
      </c>
      <c r="P89" s="588">
        <f t="shared" ref="P89:P106" si="77">IF(AND($L89&lt;=P$3,P$3&lt;=$M89),$K89/$N89,0)</f>
        <v>1260</v>
      </c>
      <c r="Q89" s="588">
        <f t="shared" ref="Q89:Q106" si="78">IF(AND($L89&lt;=Q$3,Q$3&lt;=$M89),$K89/$N89,0)</f>
        <v>1260</v>
      </c>
      <c r="R89" s="588">
        <f t="shared" ref="R89:R106" si="79">IF(AND($L89&lt;=R$3,R$3&lt;=$M89),$K89/$N89,0)</f>
        <v>1260</v>
      </c>
      <c r="S89" s="588">
        <f t="shared" ref="S89:S106" si="80">IF(AND($L89&lt;=S$3,S$3&lt;=$M89),$K89/$N89,0)</f>
        <v>1260</v>
      </c>
      <c r="T89" s="588">
        <f t="shared" ref="T89:T106" si="81">IF(AND($L89&lt;=T$3,T$3&lt;=$M89),$K89/$N89,0)</f>
        <v>1260</v>
      </c>
      <c r="U89" s="588">
        <f t="shared" ref="U89:U106" si="82">IF(AND($L89&lt;=U$3,U$3&lt;=$M89),$K89/$N89,0)</f>
        <v>1260</v>
      </c>
      <c r="V89" s="588">
        <f t="shared" ref="V89:V106" si="83">IF(AND($L89&lt;=V$3,V$3&lt;=$M89),$K89/$N89,0)</f>
        <v>1260</v>
      </c>
      <c r="W89" s="588">
        <f t="shared" ref="W89:W106" si="84">IF(AND($L89&lt;=W$3,W$3&lt;=$M89),$K89/$N89,0)</f>
        <v>1260</v>
      </c>
      <c r="X89" s="588">
        <f t="shared" ref="X89:X106" si="85">IF(AND($L89&lt;=X$3,X$3&lt;=$M89),$K89/$N89,0)</f>
        <v>1260</v>
      </c>
      <c r="Y89" s="588">
        <f t="shared" ref="Y89:Y106" si="86">IF(AND($L89&lt;=Y$3,Y$3&lt;=$M89),$K89/$N89,0)</f>
        <v>1260</v>
      </c>
      <c r="Z89" s="588">
        <f t="shared" ref="Z89:Z106" si="87">IF(AND($L89&lt;=Z$3,Z$3&lt;=$M89),$K89/$N89,0)</f>
        <v>1260</v>
      </c>
      <c r="AA89" s="588">
        <f t="shared" si="44"/>
        <v>15120</v>
      </c>
      <c r="AB89" s="588">
        <f t="shared" si="47"/>
        <v>1323</v>
      </c>
      <c r="AC89" s="588">
        <f t="shared" si="62"/>
        <v>1323</v>
      </c>
      <c r="AD89" s="588">
        <f t="shared" si="63"/>
        <v>1323</v>
      </c>
      <c r="AE89" s="588">
        <f t="shared" si="64"/>
        <v>1323</v>
      </c>
      <c r="AF89" s="588">
        <f t="shared" si="65"/>
        <v>1323</v>
      </c>
      <c r="AG89" s="588">
        <f t="shared" si="66"/>
        <v>1323</v>
      </c>
      <c r="AH89" s="588">
        <f t="shared" si="67"/>
        <v>1323</v>
      </c>
      <c r="AI89" s="588">
        <f t="shared" si="68"/>
        <v>1323</v>
      </c>
      <c r="AJ89" s="588">
        <f t="shared" si="69"/>
        <v>1323</v>
      </c>
      <c r="AK89" s="588">
        <f t="shared" si="70"/>
        <v>1323</v>
      </c>
      <c r="AL89" s="588">
        <f t="shared" si="71"/>
        <v>1323</v>
      </c>
      <c r="AM89" s="588">
        <f t="shared" si="72"/>
        <v>1323</v>
      </c>
      <c r="AN89" s="588">
        <f t="shared" si="45"/>
        <v>15876</v>
      </c>
    </row>
    <row r="90" spans="1:40" ht="16.5" customHeight="1">
      <c r="A90" s="592" t="s">
        <v>2242</v>
      </c>
      <c r="B90" s="567">
        <v>505002</v>
      </c>
      <c r="D90" s="17" t="s">
        <v>2611</v>
      </c>
      <c r="E90" s="17" t="s">
        <v>2616</v>
      </c>
      <c r="F90" s="17" t="str">
        <f>F89</f>
        <v>支付的其他与经营活动有关的现金（其他）</v>
      </c>
      <c r="G90" s="17" t="s">
        <v>2616</v>
      </c>
      <c r="H90" s="593" t="str">
        <f t="shared" si="73"/>
        <v>Ad-Hoc</v>
      </c>
      <c r="I90" s="457" t="str">
        <f t="shared" si="73"/>
        <v>$</v>
      </c>
      <c r="J90" s="457" t="s">
        <v>2046</v>
      </c>
      <c r="K90" s="18">
        <f>+K88</f>
        <v>0</v>
      </c>
      <c r="L90" s="586">
        <v>46023</v>
      </c>
      <c r="M90" s="586">
        <v>46387</v>
      </c>
      <c r="N90" s="460">
        <f t="shared" si="74"/>
        <v>12</v>
      </c>
      <c r="O90" s="588">
        <f t="shared" si="76"/>
        <v>0</v>
      </c>
      <c r="P90" s="588">
        <f t="shared" si="77"/>
        <v>0</v>
      </c>
      <c r="Q90" s="588">
        <f t="shared" si="78"/>
        <v>0</v>
      </c>
      <c r="R90" s="588">
        <f t="shared" si="79"/>
        <v>0</v>
      </c>
      <c r="S90" s="588">
        <f t="shared" si="80"/>
        <v>0</v>
      </c>
      <c r="T90" s="588">
        <f t="shared" si="81"/>
        <v>0</v>
      </c>
      <c r="U90" s="588">
        <f t="shared" si="82"/>
        <v>0</v>
      </c>
      <c r="V90" s="588">
        <f t="shared" si="83"/>
        <v>0</v>
      </c>
      <c r="W90" s="588">
        <f t="shared" si="84"/>
        <v>0</v>
      </c>
      <c r="X90" s="588">
        <f t="shared" si="85"/>
        <v>0</v>
      </c>
      <c r="Y90" s="588">
        <f t="shared" si="86"/>
        <v>0</v>
      </c>
      <c r="Z90" s="588">
        <f t="shared" si="87"/>
        <v>0</v>
      </c>
      <c r="AA90" s="588">
        <f t="shared" si="44"/>
        <v>0</v>
      </c>
      <c r="AB90" s="588">
        <f t="shared" si="47"/>
        <v>0</v>
      </c>
      <c r="AC90" s="588">
        <f t="shared" si="62"/>
        <v>0</v>
      </c>
      <c r="AD90" s="588">
        <f t="shared" si="63"/>
        <v>0</v>
      </c>
      <c r="AE90" s="588">
        <f t="shared" si="64"/>
        <v>0</v>
      </c>
      <c r="AF90" s="588">
        <f t="shared" si="65"/>
        <v>0</v>
      </c>
      <c r="AG90" s="588">
        <f t="shared" si="66"/>
        <v>0</v>
      </c>
      <c r="AH90" s="588">
        <f t="shared" si="67"/>
        <v>0</v>
      </c>
      <c r="AI90" s="588">
        <f t="shared" si="68"/>
        <v>0</v>
      </c>
      <c r="AJ90" s="588">
        <f t="shared" si="69"/>
        <v>0</v>
      </c>
      <c r="AK90" s="588">
        <f t="shared" si="70"/>
        <v>0</v>
      </c>
      <c r="AL90" s="588">
        <f t="shared" si="71"/>
        <v>0</v>
      </c>
      <c r="AM90" s="588">
        <f t="shared" si="72"/>
        <v>0</v>
      </c>
      <c r="AN90" s="588">
        <f t="shared" si="45"/>
        <v>0</v>
      </c>
    </row>
    <row r="91" spans="1:40" ht="16.5" customHeight="1">
      <c r="A91" s="592" t="s">
        <v>2242</v>
      </c>
      <c r="B91" s="567">
        <v>505003</v>
      </c>
      <c r="C91" s="567" t="s">
        <v>1680</v>
      </c>
      <c r="D91" s="17" t="s">
        <v>2611</v>
      </c>
      <c r="E91" s="17" t="s">
        <v>2618</v>
      </c>
      <c r="F91" s="17" t="str">
        <f>F90</f>
        <v>支付的其他与经营活动有关的现金（其他）</v>
      </c>
      <c r="G91" s="17" t="s">
        <v>2618</v>
      </c>
      <c r="H91" s="593" t="str">
        <f t="shared" si="73"/>
        <v>ttl$pm</v>
      </c>
      <c r="I91" s="457" t="str">
        <f t="shared" si="73"/>
        <v>$</v>
      </c>
      <c r="J91" s="457" t="s">
        <v>2046</v>
      </c>
      <c r="K91" s="18">
        <v>0</v>
      </c>
      <c r="L91" s="586">
        <v>46023</v>
      </c>
      <c r="M91" s="586">
        <v>46387</v>
      </c>
      <c r="N91" s="460">
        <f t="shared" si="74"/>
        <v>12</v>
      </c>
      <c r="O91" s="588">
        <f t="shared" si="76"/>
        <v>0</v>
      </c>
      <c r="P91" s="588">
        <f t="shared" si="77"/>
        <v>0</v>
      </c>
      <c r="Q91" s="588">
        <f t="shared" si="78"/>
        <v>0</v>
      </c>
      <c r="R91" s="588">
        <f t="shared" si="79"/>
        <v>0</v>
      </c>
      <c r="S91" s="588">
        <f t="shared" si="80"/>
        <v>0</v>
      </c>
      <c r="T91" s="588">
        <f t="shared" si="81"/>
        <v>0</v>
      </c>
      <c r="U91" s="588">
        <f t="shared" si="82"/>
        <v>0</v>
      </c>
      <c r="V91" s="588">
        <f t="shared" si="83"/>
        <v>0</v>
      </c>
      <c r="W91" s="588">
        <f t="shared" si="84"/>
        <v>0</v>
      </c>
      <c r="X91" s="588">
        <f t="shared" si="85"/>
        <v>0</v>
      </c>
      <c r="Y91" s="588">
        <f t="shared" si="86"/>
        <v>0</v>
      </c>
      <c r="Z91" s="588">
        <f t="shared" si="87"/>
        <v>0</v>
      </c>
      <c r="AA91" s="588">
        <f t="shared" si="44"/>
        <v>0</v>
      </c>
      <c r="AB91" s="588">
        <f t="shared" si="47"/>
        <v>0</v>
      </c>
      <c r="AC91" s="588">
        <f t="shared" si="62"/>
        <v>0</v>
      </c>
      <c r="AD91" s="588">
        <f t="shared" si="63"/>
        <v>0</v>
      </c>
      <c r="AE91" s="588">
        <f t="shared" si="64"/>
        <v>0</v>
      </c>
      <c r="AF91" s="588">
        <f t="shared" si="65"/>
        <v>0</v>
      </c>
      <c r="AG91" s="588">
        <f t="shared" si="66"/>
        <v>0</v>
      </c>
      <c r="AH91" s="588">
        <f t="shared" si="67"/>
        <v>0</v>
      </c>
      <c r="AI91" s="588">
        <f t="shared" si="68"/>
        <v>0</v>
      </c>
      <c r="AJ91" s="588">
        <f t="shared" si="69"/>
        <v>0</v>
      </c>
      <c r="AK91" s="588">
        <f t="shared" si="70"/>
        <v>0</v>
      </c>
      <c r="AL91" s="588">
        <f t="shared" si="71"/>
        <v>0</v>
      </c>
      <c r="AM91" s="588">
        <f t="shared" si="72"/>
        <v>0</v>
      </c>
      <c r="AN91" s="588">
        <f t="shared" si="45"/>
        <v>0</v>
      </c>
    </row>
    <row r="92" spans="1:40" ht="16.5" customHeight="1">
      <c r="A92" s="592" t="s">
        <v>2242</v>
      </c>
      <c r="B92" s="567">
        <v>5080010</v>
      </c>
      <c r="D92" s="17" t="s">
        <v>2611</v>
      </c>
      <c r="E92" s="17" t="s">
        <v>2619</v>
      </c>
      <c r="F92" s="17" t="str">
        <f>'CF-ACPL（合并）'!A24</f>
        <v>支付的其他与经营活动有关的现金（租金）</v>
      </c>
      <c r="G92" s="17" t="s">
        <v>2644</v>
      </c>
      <c r="H92" s="593" t="str">
        <f t="shared" si="73"/>
        <v>ttl$pm</v>
      </c>
      <c r="I92" s="457" t="str">
        <f t="shared" si="73"/>
        <v>$</v>
      </c>
      <c r="J92" s="457" t="s">
        <v>2046</v>
      </c>
      <c r="K92" s="598">
        <f>6666.6*(6+2)+16500*6</f>
        <v>152332.79999999999</v>
      </c>
      <c r="L92" s="586">
        <v>46023</v>
      </c>
      <c r="M92" s="586">
        <v>46387</v>
      </c>
      <c r="N92" s="460">
        <f t="shared" si="74"/>
        <v>12</v>
      </c>
      <c r="O92" s="588">
        <v>6666.6</v>
      </c>
      <c r="P92" s="588">
        <f>O92</f>
        <v>6666.6</v>
      </c>
      <c r="Q92" s="588">
        <f>P92</f>
        <v>6666.6</v>
      </c>
      <c r="R92" s="588">
        <f>Q92</f>
        <v>6666.6</v>
      </c>
      <c r="S92" s="588">
        <f>R92</f>
        <v>6666.6</v>
      </c>
      <c r="T92" s="588">
        <f>S92</f>
        <v>6666.6</v>
      </c>
      <c r="U92" s="588">
        <f t="shared" ref="U92:Z92" si="88">($K$92-SUM($O$92:$T$92))/6</f>
        <v>18722.199999999997</v>
      </c>
      <c r="V92" s="588">
        <f t="shared" si="88"/>
        <v>18722.199999999997</v>
      </c>
      <c r="W92" s="588">
        <f t="shared" si="88"/>
        <v>18722.199999999997</v>
      </c>
      <c r="X92" s="588">
        <f t="shared" si="88"/>
        <v>18722.199999999997</v>
      </c>
      <c r="Y92" s="588">
        <f t="shared" si="88"/>
        <v>18722.199999999997</v>
      </c>
      <c r="Z92" s="588">
        <f t="shared" si="88"/>
        <v>18722.199999999997</v>
      </c>
      <c r="AA92" s="588">
        <f t="shared" si="44"/>
        <v>152332.79999999999</v>
      </c>
      <c r="AB92" s="588">
        <f t="shared" si="47"/>
        <v>6999.93</v>
      </c>
      <c r="AC92" s="588">
        <f t="shared" si="62"/>
        <v>6999.93</v>
      </c>
      <c r="AD92" s="588">
        <f t="shared" si="63"/>
        <v>6999.93</v>
      </c>
      <c r="AE92" s="588">
        <f t="shared" si="64"/>
        <v>6999.93</v>
      </c>
      <c r="AF92" s="588">
        <f t="shared" si="65"/>
        <v>6999.93</v>
      </c>
      <c r="AG92" s="588">
        <f t="shared" si="66"/>
        <v>6999.93</v>
      </c>
      <c r="AH92" s="588">
        <f t="shared" si="67"/>
        <v>19658.309999999998</v>
      </c>
      <c r="AI92" s="588">
        <f t="shared" si="68"/>
        <v>19658.309999999998</v>
      </c>
      <c r="AJ92" s="588">
        <f t="shared" si="69"/>
        <v>19658.309999999998</v>
      </c>
      <c r="AK92" s="588">
        <f t="shared" si="70"/>
        <v>19658.309999999998</v>
      </c>
      <c r="AL92" s="588">
        <f t="shared" si="71"/>
        <v>19658.309999999998</v>
      </c>
      <c r="AM92" s="588">
        <f t="shared" si="72"/>
        <v>19658.309999999998</v>
      </c>
      <c r="AN92" s="588">
        <f t="shared" si="45"/>
        <v>159949.44</v>
      </c>
    </row>
    <row r="93" spans="1:40" ht="16.5" customHeight="1">
      <c r="A93" s="592" t="s">
        <v>2242</v>
      </c>
      <c r="B93" s="567">
        <v>5080011</v>
      </c>
      <c r="D93" s="17" t="s">
        <v>2611</v>
      </c>
      <c r="E93" s="17" t="s">
        <v>2620</v>
      </c>
      <c r="F93" s="17" t="str">
        <f>F88</f>
        <v>支付的其他与经营活动有关的现金（其他）</v>
      </c>
      <c r="G93" s="17" t="s">
        <v>2621</v>
      </c>
      <c r="H93" s="593" t="str">
        <f t="shared" si="73"/>
        <v>ttl$pm</v>
      </c>
      <c r="I93" s="457" t="str">
        <f t="shared" si="73"/>
        <v>$</v>
      </c>
      <c r="J93" s="457" t="s">
        <v>2046</v>
      </c>
      <c r="K93" s="18">
        <v>0</v>
      </c>
      <c r="L93" s="586">
        <v>46023</v>
      </c>
      <c r="M93" s="586">
        <v>46387</v>
      </c>
      <c r="N93" s="460">
        <f t="shared" si="74"/>
        <v>12</v>
      </c>
      <c r="O93" s="588">
        <f t="shared" si="76"/>
        <v>0</v>
      </c>
      <c r="P93" s="588">
        <f t="shared" si="77"/>
        <v>0</v>
      </c>
      <c r="Q93" s="588">
        <f t="shared" si="78"/>
        <v>0</v>
      </c>
      <c r="R93" s="588">
        <f t="shared" si="79"/>
        <v>0</v>
      </c>
      <c r="S93" s="588">
        <f t="shared" si="80"/>
        <v>0</v>
      </c>
      <c r="T93" s="588">
        <f t="shared" si="81"/>
        <v>0</v>
      </c>
      <c r="U93" s="588">
        <f t="shared" si="82"/>
        <v>0</v>
      </c>
      <c r="V93" s="588">
        <f t="shared" si="83"/>
        <v>0</v>
      </c>
      <c r="W93" s="588">
        <f t="shared" si="84"/>
        <v>0</v>
      </c>
      <c r="X93" s="588">
        <f t="shared" si="85"/>
        <v>0</v>
      </c>
      <c r="Y93" s="588">
        <f t="shared" si="86"/>
        <v>0</v>
      </c>
      <c r="Z93" s="588">
        <f t="shared" si="87"/>
        <v>0</v>
      </c>
      <c r="AA93" s="588">
        <f t="shared" si="44"/>
        <v>0</v>
      </c>
      <c r="AB93" s="588">
        <f t="shared" si="47"/>
        <v>0</v>
      </c>
      <c r="AC93" s="588">
        <f t="shared" si="62"/>
        <v>0</v>
      </c>
      <c r="AD93" s="588">
        <f t="shared" si="63"/>
        <v>0</v>
      </c>
      <c r="AE93" s="588">
        <f t="shared" si="64"/>
        <v>0</v>
      </c>
      <c r="AF93" s="588">
        <f t="shared" si="65"/>
        <v>0</v>
      </c>
      <c r="AG93" s="588">
        <f t="shared" si="66"/>
        <v>0</v>
      </c>
      <c r="AH93" s="588">
        <f t="shared" si="67"/>
        <v>0</v>
      </c>
      <c r="AI93" s="588">
        <f t="shared" si="68"/>
        <v>0</v>
      </c>
      <c r="AJ93" s="588">
        <f t="shared" si="69"/>
        <v>0</v>
      </c>
      <c r="AK93" s="588">
        <f t="shared" si="70"/>
        <v>0</v>
      </c>
      <c r="AL93" s="588">
        <f t="shared" si="71"/>
        <v>0</v>
      </c>
      <c r="AM93" s="588">
        <f t="shared" si="72"/>
        <v>0</v>
      </c>
      <c r="AN93" s="588">
        <f t="shared" si="45"/>
        <v>0</v>
      </c>
    </row>
    <row r="94" spans="1:40" ht="16.5" customHeight="1">
      <c r="A94" s="592" t="s">
        <v>2242</v>
      </c>
      <c r="B94" s="567">
        <v>5080011</v>
      </c>
      <c r="C94" s="567" t="s">
        <v>1593</v>
      </c>
      <c r="D94" s="17" t="s">
        <v>2611</v>
      </c>
      <c r="E94" s="17" t="s">
        <v>2620</v>
      </c>
      <c r="F94" s="17" t="str">
        <f>F88</f>
        <v>支付的其他与经营活动有关的现金（其他）</v>
      </c>
      <c r="G94" s="17" t="s">
        <v>2622</v>
      </c>
      <c r="H94" s="593" t="str">
        <f t="shared" si="73"/>
        <v>ttl$pm</v>
      </c>
      <c r="I94" s="457" t="str">
        <f t="shared" si="73"/>
        <v>$</v>
      </c>
      <c r="J94" s="457" t="s">
        <v>2046</v>
      </c>
      <c r="K94" s="18">
        <v>0</v>
      </c>
      <c r="L94" s="586">
        <v>46023</v>
      </c>
      <c r="M94" s="586">
        <v>46387</v>
      </c>
      <c r="N94" s="460">
        <f t="shared" si="74"/>
        <v>12</v>
      </c>
      <c r="O94" s="588">
        <f t="shared" si="76"/>
        <v>0</v>
      </c>
      <c r="P94" s="588">
        <f t="shared" si="77"/>
        <v>0</v>
      </c>
      <c r="Q94" s="588">
        <f t="shared" si="78"/>
        <v>0</v>
      </c>
      <c r="R94" s="588">
        <f t="shared" si="79"/>
        <v>0</v>
      </c>
      <c r="S94" s="588">
        <f t="shared" si="80"/>
        <v>0</v>
      </c>
      <c r="T94" s="588">
        <f t="shared" si="81"/>
        <v>0</v>
      </c>
      <c r="U94" s="588">
        <f t="shared" si="82"/>
        <v>0</v>
      </c>
      <c r="V94" s="588">
        <f t="shared" si="83"/>
        <v>0</v>
      </c>
      <c r="W94" s="588">
        <f t="shared" si="84"/>
        <v>0</v>
      </c>
      <c r="X94" s="588">
        <f t="shared" si="85"/>
        <v>0</v>
      </c>
      <c r="Y94" s="588">
        <f t="shared" si="86"/>
        <v>0</v>
      </c>
      <c r="Z94" s="588">
        <f t="shared" si="87"/>
        <v>0</v>
      </c>
      <c r="AA94" s="588">
        <f t="shared" si="44"/>
        <v>0</v>
      </c>
      <c r="AB94" s="588">
        <f t="shared" si="47"/>
        <v>0</v>
      </c>
      <c r="AC94" s="588">
        <f t="shared" si="62"/>
        <v>0</v>
      </c>
      <c r="AD94" s="588">
        <f t="shared" si="63"/>
        <v>0</v>
      </c>
      <c r="AE94" s="588">
        <f t="shared" si="64"/>
        <v>0</v>
      </c>
      <c r="AF94" s="588">
        <f t="shared" si="65"/>
        <v>0</v>
      </c>
      <c r="AG94" s="588">
        <f t="shared" si="66"/>
        <v>0</v>
      </c>
      <c r="AH94" s="588">
        <f t="shared" si="67"/>
        <v>0</v>
      </c>
      <c r="AI94" s="588">
        <f t="shared" si="68"/>
        <v>0</v>
      </c>
      <c r="AJ94" s="588">
        <f t="shared" si="69"/>
        <v>0</v>
      </c>
      <c r="AK94" s="588">
        <f t="shared" si="70"/>
        <v>0</v>
      </c>
      <c r="AL94" s="588">
        <f t="shared" si="71"/>
        <v>0</v>
      </c>
      <c r="AM94" s="588">
        <f t="shared" si="72"/>
        <v>0</v>
      </c>
      <c r="AN94" s="588">
        <f t="shared" si="45"/>
        <v>0</v>
      </c>
    </row>
    <row r="95" spans="1:40" ht="16.5" customHeight="1">
      <c r="A95" s="592" t="s">
        <v>2242</v>
      </c>
      <c r="B95" s="567">
        <v>5080020</v>
      </c>
      <c r="D95" s="17" t="s">
        <v>2611</v>
      </c>
      <c r="E95" s="17" t="s">
        <v>2623</v>
      </c>
      <c r="F95" s="17" t="str">
        <f>F88</f>
        <v>支付的其他与经营活动有关的现金（其他）</v>
      </c>
      <c r="G95" s="17" t="s">
        <v>2623</v>
      </c>
      <c r="H95" s="593" t="str">
        <f t="shared" si="73"/>
        <v>ttl$py</v>
      </c>
      <c r="I95" s="457" t="str">
        <f t="shared" si="73"/>
        <v>$</v>
      </c>
      <c r="J95" s="457" t="s">
        <v>2046</v>
      </c>
      <c r="K95" s="18">
        <v>0</v>
      </c>
      <c r="L95" s="586">
        <v>46023</v>
      </c>
      <c r="M95" s="586">
        <v>46387</v>
      </c>
      <c r="N95" s="460">
        <f t="shared" si="74"/>
        <v>12</v>
      </c>
      <c r="O95" s="588">
        <f t="shared" si="76"/>
        <v>0</v>
      </c>
      <c r="P95" s="588">
        <f t="shared" si="77"/>
        <v>0</v>
      </c>
      <c r="Q95" s="588">
        <f t="shared" si="78"/>
        <v>0</v>
      </c>
      <c r="R95" s="588">
        <f t="shared" si="79"/>
        <v>0</v>
      </c>
      <c r="S95" s="588">
        <f t="shared" si="80"/>
        <v>0</v>
      </c>
      <c r="T95" s="588">
        <f t="shared" si="81"/>
        <v>0</v>
      </c>
      <c r="U95" s="588">
        <f t="shared" si="82"/>
        <v>0</v>
      </c>
      <c r="V95" s="588">
        <f t="shared" si="83"/>
        <v>0</v>
      </c>
      <c r="W95" s="588">
        <f t="shared" si="84"/>
        <v>0</v>
      </c>
      <c r="X95" s="588">
        <f t="shared" si="85"/>
        <v>0</v>
      </c>
      <c r="Y95" s="588">
        <f t="shared" si="86"/>
        <v>0</v>
      </c>
      <c r="Z95" s="588">
        <f t="shared" si="87"/>
        <v>0</v>
      </c>
      <c r="AA95" s="588">
        <f t="shared" si="44"/>
        <v>0</v>
      </c>
      <c r="AB95" s="588">
        <f t="shared" si="47"/>
        <v>0</v>
      </c>
      <c r="AC95" s="588">
        <f t="shared" si="62"/>
        <v>0</v>
      </c>
      <c r="AD95" s="588">
        <f t="shared" si="63"/>
        <v>0</v>
      </c>
      <c r="AE95" s="588">
        <f t="shared" si="64"/>
        <v>0</v>
      </c>
      <c r="AF95" s="588">
        <f t="shared" si="65"/>
        <v>0</v>
      </c>
      <c r="AG95" s="588">
        <f t="shared" si="66"/>
        <v>0</v>
      </c>
      <c r="AH95" s="588">
        <f t="shared" si="67"/>
        <v>0</v>
      </c>
      <c r="AI95" s="588">
        <f t="shared" si="68"/>
        <v>0</v>
      </c>
      <c r="AJ95" s="588">
        <f t="shared" si="69"/>
        <v>0</v>
      </c>
      <c r="AK95" s="588">
        <f t="shared" si="70"/>
        <v>0</v>
      </c>
      <c r="AL95" s="588">
        <f t="shared" si="71"/>
        <v>0</v>
      </c>
      <c r="AM95" s="588">
        <f t="shared" si="72"/>
        <v>0</v>
      </c>
      <c r="AN95" s="588">
        <f t="shared" si="45"/>
        <v>0</v>
      </c>
    </row>
    <row r="96" spans="1:40" ht="16.5" customHeight="1">
      <c r="A96" s="592" t="s">
        <v>2242</v>
      </c>
      <c r="B96" s="567" t="s">
        <v>2640</v>
      </c>
      <c r="C96" s="567" t="s">
        <v>1607</v>
      </c>
      <c r="D96" s="17" t="s">
        <v>2611</v>
      </c>
      <c r="E96" s="17" t="s">
        <v>2625</v>
      </c>
      <c r="G96" s="17" t="s">
        <v>2625</v>
      </c>
      <c r="H96" s="593" t="str">
        <f t="shared" si="73"/>
        <v>Ad-Hoc</v>
      </c>
      <c r="I96" s="457" t="str">
        <f t="shared" si="73"/>
        <v>$</v>
      </c>
      <c r="J96" s="457" t="s">
        <v>2046</v>
      </c>
      <c r="K96" s="18">
        <v>0</v>
      </c>
      <c r="L96" s="586">
        <v>46023</v>
      </c>
      <c r="M96" s="586">
        <v>46387</v>
      </c>
      <c r="N96" s="460">
        <f t="shared" si="74"/>
        <v>12</v>
      </c>
      <c r="O96" s="588">
        <f t="shared" si="76"/>
        <v>0</v>
      </c>
      <c r="P96" s="588">
        <f t="shared" si="77"/>
        <v>0</v>
      </c>
      <c r="Q96" s="588">
        <f t="shared" si="78"/>
        <v>0</v>
      </c>
      <c r="R96" s="588">
        <f t="shared" si="79"/>
        <v>0</v>
      </c>
      <c r="S96" s="588">
        <f t="shared" si="80"/>
        <v>0</v>
      </c>
      <c r="T96" s="588">
        <f t="shared" si="81"/>
        <v>0</v>
      </c>
      <c r="U96" s="588">
        <f t="shared" si="82"/>
        <v>0</v>
      </c>
      <c r="V96" s="588">
        <f t="shared" si="83"/>
        <v>0</v>
      </c>
      <c r="W96" s="588">
        <f t="shared" si="84"/>
        <v>0</v>
      </c>
      <c r="X96" s="588">
        <f t="shared" si="85"/>
        <v>0</v>
      </c>
      <c r="Y96" s="588">
        <f t="shared" si="86"/>
        <v>0</v>
      </c>
      <c r="Z96" s="588">
        <f t="shared" si="87"/>
        <v>0</v>
      </c>
      <c r="AA96" s="588">
        <f t="shared" si="44"/>
        <v>0</v>
      </c>
      <c r="AB96" s="588">
        <f t="shared" si="47"/>
        <v>0</v>
      </c>
      <c r="AC96" s="588">
        <f t="shared" si="62"/>
        <v>0</v>
      </c>
      <c r="AD96" s="588">
        <f t="shared" si="63"/>
        <v>0</v>
      </c>
      <c r="AE96" s="588">
        <f t="shared" si="64"/>
        <v>0</v>
      </c>
      <c r="AF96" s="588">
        <f t="shared" si="65"/>
        <v>0</v>
      </c>
      <c r="AG96" s="588">
        <f t="shared" si="66"/>
        <v>0</v>
      </c>
      <c r="AH96" s="588">
        <f t="shared" si="67"/>
        <v>0</v>
      </c>
      <c r="AI96" s="588">
        <f t="shared" si="68"/>
        <v>0</v>
      </c>
      <c r="AJ96" s="588">
        <f t="shared" si="69"/>
        <v>0</v>
      </c>
      <c r="AK96" s="588">
        <f t="shared" si="70"/>
        <v>0</v>
      </c>
      <c r="AL96" s="588">
        <f t="shared" si="71"/>
        <v>0</v>
      </c>
      <c r="AM96" s="588">
        <f t="shared" si="72"/>
        <v>0</v>
      </c>
      <c r="AN96" s="588">
        <f t="shared" si="45"/>
        <v>0</v>
      </c>
    </row>
    <row r="97" spans="1:40" ht="16.5" customHeight="1">
      <c r="A97" s="592" t="s">
        <v>2242</v>
      </c>
      <c r="B97" s="567" t="s">
        <v>2641</v>
      </c>
      <c r="D97" s="17" t="s">
        <v>2611</v>
      </c>
      <c r="E97" s="17" t="s">
        <v>2626</v>
      </c>
      <c r="G97" s="17" t="s">
        <v>2626</v>
      </c>
      <c r="H97" s="593" t="str">
        <f t="shared" si="73"/>
        <v>ttl$pm</v>
      </c>
      <c r="I97" s="457" t="str">
        <f t="shared" si="73"/>
        <v>$</v>
      </c>
      <c r="J97" s="457" t="s">
        <v>2046</v>
      </c>
      <c r="K97" s="18">
        <v>0</v>
      </c>
      <c r="L97" s="586">
        <v>46023</v>
      </c>
      <c r="M97" s="586">
        <v>46387</v>
      </c>
      <c r="N97" s="460">
        <f t="shared" si="74"/>
        <v>12</v>
      </c>
      <c r="O97" s="588">
        <f t="shared" si="76"/>
        <v>0</v>
      </c>
      <c r="P97" s="588">
        <f t="shared" si="77"/>
        <v>0</v>
      </c>
      <c r="Q97" s="588">
        <f t="shared" si="78"/>
        <v>0</v>
      </c>
      <c r="R97" s="588">
        <f t="shared" si="79"/>
        <v>0</v>
      </c>
      <c r="S97" s="588">
        <f t="shared" si="80"/>
        <v>0</v>
      </c>
      <c r="T97" s="588">
        <f t="shared" si="81"/>
        <v>0</v>
      </c>
      <c r="U97" s="588">
        <f t="shared" si="82"/>
        <v>0</v>
      </c>
      <c r="V97" s="588">
        <f t="shared" si="83"/>
        <v>0</v>
      </c>
      <c r="W97" s="588">
        <f t="shared" si="84"/>
        <v>0</v>
      </c>
      <c r="X97" s="588">
        <f t="shared" si="85"/>
        <v>0</v>
      </c>
      <c r="Y97" s="588">
        <f t="shared" si="86"/>
        <v>0</v>
      </c>
      <c r="Z97" s="588">
        <f t="shared" si="87"/>
        <v>0</v>
      </c>
      <c r="AA97" s="588">
        <f t="shared" si="44"/>
        <v>0</v>
      </c>
      <c r="AB97" s="588">
        <f t="shared" si="47"/>
        <v>0</v>
      </c>
      <c r="AC97" s="588">
        <f t="shared" si="62"/>
        <v>0</v>
      </c>
      <c r="AD97" s="588">
        <f t="shared" si="63"/>
        <v>0</v>
      </c>
      <c r="AE97" s="588">
        <f t="shared" si="64"/>
        <v>0</v>
      </c>
      <c r="AF97" s="588">
        <f t="shared" si="65"/>
        <v>0</v>
      </c>
      <c r="AG97" s="588">
        <f t="shared" si="66"/>
        <v>0</v>
      </c>
      <c r="AH97" s="588">
        <f t="shared" si="67"/>
        <v>0</v>
      </c>
      <c r="AI97" s="588">
        <f t="shared" si="68"/>
        <v>0</v>
      </c>
      <c r="AJ97" s="588">
        <f t="shared" si="69"/>
        <v>0</v>
      </c>
      <c r="AK97" s="588">
        <f t="shared" si="70"/>
        <v>0</v>
      </c>
      <c r="AL97" s="588">
        <f t="shared" si="71"/>
        <v>0</v>
      </c>
      <c r="AM97" s="588">
        <f t="shared" si="72"/>
        <v>0</v>
      </c>
      <c r="AN97" s="588">
        <f t="shared" si="45"/>
        <v>0</v>
      </c>
    </row>
    <row r="98" spans="1:40" ht="16.5" customHeight="1">
      <c r="A98" s="592" t="s">
        <v>2242</v>
      </c>
      <c r="B98" s="567">
        <v>66020607</v>
      </c>
      <c r="D98" s="17" t="s">
        <v>2611</v>
      </c>
      <c r="E98" s="17" t="s">
        <v>2627</v>
      </c>
      <c r="G98" s="17" t="s">
        <v>2627</v>
      </c>
      <c r="H98" s="593" t="str">
        <f t="shared" si="73"/>
        <v>Ad-Hoc</v>
      </c>
      <c r="I98" s="457" t="str">
        <f t="shared" si="73"/>
        <v>$</v>
      </c>
      <c r="J98" s="457" t="s">
        <v>2046</v>
      </c>
      <c r="K98" s="18">
        <v>0</v>
      </c>
      <c r="L98" s="586">
        <v>46023</v>
      </c>
      <c r="M98" s="586">
        <v>46387</v>
      </c>
      <c r="N98" s="460">
        <f t="shared" si="74"/>
        <v>12</v>
      </c>
      <c r="O98" s="588">
        <f t="shared" si="76"/>
        <v>0</v>
      </c>
      <c r="P98" s="588">
        <f t="shared" si="77"/>
        <v>0</v>
      </c>
      <c r="Q98" s="588">
        <f t="shared" si="78"/>
        <v>0</v>
      </c>
      <c r="R98" s="588">
        <f t="shared" si="79"/>
        <v>0</v>
      </c>
      <c r="S98" s="588">
        <f t="shared" si="80"/>
        <v>0</v>
      </c>
      <c r="T98" s="588">
        <f t="shared" si="81"/>
        <v>0</v>
      </c>
      <c r="U98" s="588">
        <f t="shared" si="82"/>
        <v>0</v>
      </c>
      <c r="V98" s="588">
        <f t="shared" si="83"/>
        <v>0</v>
      </c>
      <c r="W98" s="588">
        <f t="shared" si="84"/>
        <v>0</v>
      </c>
      <c r="X98" s="588">
        <f t="shared" si="85"/>
        <v>0</v>
      </c>
      <c r="Y98" s="588">
        <f t="shared" si="86"/>
        <v>0</v>
      </c>
      <c r="Z98" s="588">
        <f t="shared" si="87"/>
        <v>0</v>
      </c>
      <c r="AA98" s="588">
        <f t="shared" si="44"/>
        <v>0</v>
      </c>
      <c r="AB98" s="588">
        <f t="shared" si="47"/>
        <v>0</v>
      </c>
      <c r="AC98" s="588">
        <f t="shared" si="62"/>
        <v>0</v>
      </c>
      <c r="AD98" s="588">
        <f t="shared" si="63"/>
        <v>0</v>
      </c>
      <c r="AE98" s="588">
        <f t="shared" si="64"/>
        <v>0</v>
      </c>
      <c r="AF98" s="588">
        <f t="shared" si="65"/>
        <v>0</v>
      </c>
      <c r="AG98" s="588">
        <f t="shared" si="66"/>
        <v>0</v>
      </c>
      <c r="AH98" s="588">
        <f t="shared" si="67"/>
        <v>0</v>
      </c>
      <c r="AI98" s="588">
        <f t="shared" si="68"/>
        <v>0</v>
      </c>
      <c r="AJ98" s="588">
        <f t="shared" si="69"/>
        <v>0</v>
      </c>
      <c r="AK98" s="588">
        <f t="shared" si="70"/>
        <v>0</v>
      </c>
      <c r="AL98" s="588">
        <f t="shared" si="71"/>
        <v>0</v>
      </c>
      <c r="AM98" s="588">
        <f t="shared" si="72"/>
        <v>0</v>
      </c>
      <c r="AN98" s="588">
        <f t="shared" si="45"/>
        <v>0</v>
      </c>
    </row>
    <row r="99" spans="1:40" ht="16.5" customHeight="1">
      <c r="A99" s="592" t="s">
        <v>2242</v>
      </c>
      <c r="B99" s="567" t="s">
        <v>2628</v>
      </c>
      <c r="G99" s="17" t="s">
        <v>2629</v>
      </c>
      <c r="H99" s="593" t="str">
        <f t="shared" si="73"/>
        <v>Ad-Hoc</v>
      </c>
      <c r="I99" s="457" t="str">
        <f t="shared" si="73"/>
        <v>$</v>
      </c>
      <c r="J99" s="457" t="s">
        <v>2046</v>
      </c>
      <c r="K99" s="18">
        <v>0</v>
      </c>
      <c r="L99" s="586">
        <v>46023</v>
      </c>
      <c r="M99" s="586">
        <v>46387</v>
      </c>
      <c r="N99" s="460">
        <f t="shared" si="74"/>
        <v>12</v>
      </c>
      <c r="O99" s="588">
        <f t="shared" si="76"/>
        <v>0</v>
      </c>
      <c r="P99" s="588">
        <f t="shared" si="77"/>
        <v>0</v>
      </c>
      <c r="Q99" s="588">
        <f t="shared" si="78"/>
        <v>0</v>
      </c>
      <c r="R99" s="588">
        <f t="shared" si="79"/>
        <v>0</v>
      </c>
      <c r="S99" s="588">
        <f t="shared" si="80"/>
        <v>0</v>
      </c>
      <c r="T99" s="588">
        <f t="shared" si="81"/>
        <v>0</v>
      </c>
      <c r="U99" s="588">
        <f t="shared" si="82"/>
        <v>0</v>
      </c>
      <c r="V99" s="588">
        <f t="shared" si="83"/>
        <v>0</v>
      </c>
      <c r="W99" s="588">
        <f t="shared" si="84"/>
        <v>0</v>
      </c>
      <c r="X99" s="588">
        <f t="shared" si="85"/>
        <v>0</v>
      </c>
      <c r="Y99" s="588">
        <f t="shared" si="86"/>
        <v>0</v>
      </c>
      <c r="Z99" s="588">
        <f t="shared" si="87"/>
        <v>0</v>
      </c>
      <c r="AA99" s="588">
        <f t="shared" si="44"/>
        <v>0</v>
      </c>
      <c r="AB99" s="588">
        <f t="shared" si="47"/>
        <v>0</v>
      </c>
      <c r="AC99" s="588">
        <f t="shared" si="62"/>
        <v>0</v>
      </c>
      <c r="AD99" s="588">
        <f t="shared" si="63"/>
        <v>0</v>
      </c>
      <c r="AE99" s="588">
        <f t="shared" si="64"/>
        <v>0</v>
      </c>
      <c r="AF99" s="588">
        <f t="shared" si="65"/>
        <v>0</v>
      </c>
      <c r="AG99" s="588">
        <f t="shared" si="66"/>
        <v>0</v>
      </c>
      <c r="AH99" s="588">
        <f t="shared" si="67"/>
        <v>0</v>
      </c>
      <c r="AI99" s="588">
        <f t="shared" si="68"/>
        <v>0</v>
      </c>
      <c r="AJ99" s="588">
        <f t="shared" si="69"/>
        <v>0</v>
      </c>
      <c r="AK99" s="588">
        <f t="shared" si="70"/>
        <v>0</v>
      </c>
      <c r="AL99" s="588">
        <f t="shared" si="71"/>
        <v>0</v>
      </c>
      <c r="AM99" s="588">
        <f t="shared" si="72"/>
        <v>0</v>
      </c>
      <c r="AN99" s="588">
        <f t="shared" si="45"/>
        <v>0</v>
      </c>
    </row>
    <row r="100" spans="1:40" ht="16.5" customHeight="1">
      <c r="A100" s="592" t="s">
        <v>2242</v>
      </c>
      <c r="B100" s="567">
        <v>5080030</v>
      </c>
      <c r="D100" s="17" t="s">
        <v>2611</v>
      </c>
      <c r="E100" s="17" t="s">
        <v>1619</v>
      </c>
      <c r="G100" s="17" t="s">
        <v>1619</v>
      </c>
      <c r="H100" s="593" t="str">
        <f t="shared" si="73"/>
        <v>ttl$py</v>
      </c>
      <c r="I100" s="457" t="str">
        <f t="shared" si="73"/>
        <v>$</v>
      </c>
      <c r="J100" s="457" t="s">
        <v>2046</v>
      </c>
      <c r="K100" s="18">
        <v>0</v>
      </c>
      <c r="L100" s="586">
        <v>46023</v>
      </c>
      <c r="M100" s="586">
        <v>46387</v>
      </c>
      <c r="N100" s="460">
        <f t="shared" si="74"/>
        <v>12</v>
      </c>
      <c r="O100" s="588">
        <f t="shared" si="76"/>
        <v>0</v>
      </c>
      <c r="P100" s="588">
        <f t="shared" si="77"/>
        <v>0</v>
      </c>
      <c r="Q100" s="588">
        <f t="shared" si="78"/>
        <v>0</v>
      </c>
      <c r="R100" s="588">
        <f t="shared" si="79"/>
        <v>0</v>
      </c>
      <c r="S100" s="588">
        <f t="shared" si="80"/>
        <v>0</v>
      </c>
      <c r="T100" s="588">
        <f t="shared" si="81"/>
        <v>0</v>
      </c>
      <c r="U100" s="588">
        <f t="shared" si="82"/>
        <v>0</v>
      </c>
      <c r="V100" s="588">
        <f t="shared" si="83"/>
        <v>0</v>
      </c>
      <c r="W100" s="588">
        <f t="shared" si="84"/>
        <v>0</v>
      </c>
      <c r="X100" s="588">
        <f t="shared" si="85"/>
        <v>0</v>
      </c>
      <c r="Y100" s="588">
        <f t="shared" si="86"/>
        <v>0</v>
      </c>
      <c r="Z100" s="588">
        <f t="shared" si="87"/>
        <v>0</v>
      </c>
      <c r="AA100" s="588">
        <f t="shared" si="44"/>
        <v>0</v>
      </c>
      <c r="AB100" s="588">
        <f t="shared" si="47"/>
        <v>0</v>
      </c>
      <c r="AC100" s="588">
        <f t="shared" si="62"/>
        <v>0</v>
      </c>
      <c r="AD100" s="588">
        <f t="shared" si="63"/>
        <v>0</v>
      </c>
      <c r="AE100" s="588">
        <f t="shared" si="64"/>
        <v>0</v>
      </c>
      <c r="AF100" s="588">
        <f t="shared" si="65"/>
        <v>0</v>
      </c>
      <c r="AG100" s="588">
        <f t="shared" si="66"/>
        <v>0</v>
      </c>
      <c r="AH100" s="588">
        <f t="shared" si="67"/>
        <v>0</v>
      </c>
      <c r="AI100" s="588">
        <f t="shared" si="68"/>
        <v>0</v>
      </c>
      <c r="AJ100" s="588">
        <f t="shared" si="69"/>
        <v>0</v>
      </c>
      <c r="AK100" s="588">
        <f t="shared" si="70"/>
        <v>0</v>
      </c>
      <c r="AL100" s="588">
        <f t="shared" si="71"/>
        <v>0</v>
      </c>
      <c r="AM100" s="588">
        <f t="shared" si="72"/>
        <v>0</v>
      </c>
      <c r="AN100" s="588">
        <f t="shared" si="45"/>
        <v>0</v>
      </c>
    </row>
    <row r="101" spans="1:40" ht="16.5" customHeight="1">
      <c r="A101" s="592" t="s">
        <v>2242</v>
      </c>
      <c r="B101" s="567">
        <v>5080061</v>
      </c>
      <c r="C101" s="567" t="s">
        <v>1598</v>
      </c>
      <c r="D101" s="17" t="s">
        <v>2611</v>
      </c>
      <c r="E101" s="17" t="s">
        <v>1600</v>
      </c>
      <c r="F101" s="17" t="str">
        <f>F88</f>
        <v>支付的其他与经营活动有关的现金（其他）</v>
      </c>
      <c r="G101" s="17" t="s">
        <v>1600</v>
      </c>
      <c r="H101" s="593" t="str">
        <f t="shared" si="73"/>
        <v>ttl$pm</v>
      </c>
      <c r="I101" s="457" t="str">
        <f t="shared" si="73"/>
        <v>$</v>
      </c>
      <c r="J101" s="457" t="s">
        <v>2046</v>
      </c>
      <c r="K101" s="18">
        <v>0</v>
      </c>
      <c r="L101" s="586">
        <v>46023</v>
      </c>
      <c r="M101" s="586">
        <v>46387</v>
      </c>
      <c r="N101" s="460">
        <f t="shared" si="74"/>
        <v>12</v>
      </c>
      <c r="O101" s="588">
        <f t="shared" si="76"/>
        <v>0</v>
      </c>
      <c r="P101" s="588">
        <f t="shared" si="77"/>
        <v>0</v>
      </c>
      <c r="Q101" s="588">
        <f t="shared" si="78"/>
        <v>0</v>
      </c>
      <c r="R101" s="588">
        <f t="shared" si="79"/>
        <v>0</v>
      </c>
      <c r="S101" s="588">
        <f t="shared" si="80"/>
        <v>0</v>
      </c>
      <c r="T101" s="588">
        <f t="shared" si="81"/>
        <v>0</v>
      </c>
      <c r="U101" s="588">
        <f t="shared" si="82"/>
        <v>0</v>
      </c>
      <c r="V101" s="588">
        <f t="shared" si="83"/>
        <v>0</v>
      </c>
      <c r="W101" s="588">
        <f t="shared" si="84"/>
        <v>0</v>
      </c>
      <c r="X101" s="588">
        <f t="shared" si="85"/>
        <v>0</v>
      </c>
      <c r="Y101" s="588">
        <f t="shared" si="86"/>
        <v>0</v>
      </c>
      <c r="Z101" s="588">
        <f t="shared" si="87"/>
        <v>0</v>
      </c>
      <c r="AA101" s="588">
        <f t="shared" si="44"/>
        <v>0</v>
      </c>
      <c r="AB101" s="588">
        <f t="shared" si="47"/>
        <v>0</v>
      </c>
      <c r="AC101" s="588">
        <f t="shared" si="62"/>
        <v>0</v>
      </c>
      <c r="AD101" s="588">
        <f t="shared" si="63"/>
        <v>0</v>
      </c>
      <c r="AE101" s="588">
        <f t="shared" si="64"/>
        <v>0</v>
      </c>
      <c r="AF101" s="588">
        <f t="shared" si="65"/>
        <v>0</v>
      </c>
      <c r="AG101" s="588">
        <f t="shared" si="66"/>
        <v>0</v>
      </c>
      <c r="AH101" s="588">
        <f t="shared" si="67"/>
        <v>0</v>
      </c>
      <c r="AI101" s="588">
        <f t="shared" si="68"/>
        <v>0</v>
      </c>
      <c r="AJ101" s="588">
        <f t="shared" si="69"/>
        <v>0</v>
      </c>
      <c r="AK101" s="588">
        <f t="shared" si="70"/>
        <v>0</v>
      </c>
      <c r="AL101" s="588">
        <f t="shared" si="71"/>
        <v>0</v>
      </c>
      <c r="AM101" s="588">
        <f t="shared" si="72"/>
        <v>0</v>
      </c>
      <c r="AN101" s="588">
        <f t="shared" si="45"/>
        <v>0</v>
      </c>
    </row>
    <row r="102" spans="1:40" ht="16.5" customHeight="1">
      <c r="A102" s="592" t="s">
        <v>2242</v>
      </c>
      <c r="B102" s="567">
        <v>5080062</v>
      </c>
      <c r="C102" s="567" t="s">
        <v>1603</v>
      </c>
      <c r="D102" s="17" t="s">
        <v>2611</v>
      </c>
      <c r="E102" s="17" t="s">
        <v>2630</v>
      </c>
      <c r="F102" s="17" t="str">
        <f>F88</f>
        <v>支付的其他与经营活动有关的现金（其他）</v>
      </c>
      <c r="G102" s="17" t="s">
        <v>2630</v>
      </c>
      <c r="H102" s="593" t="str">
        <f t="shared" si="73"/>
        <v>ttl$pm</v>
      </c>
      <c r="I102" s="457" t="str">
        <f t="shared" si="73"/>
        <v>$</v>
      </c>
      <c r="J102" s="457" t="s">
        <v>2046</v>
      </c>
      <c r="K102" s="18">
        <v>0</v>
      </c>
      <c r="L102" s="586">
        <v>46023</v>
      </c>
      <c r="M102" s="586">
        <v>46387</v>
      </c>
      <c r="N102" s="460">
        <f t="shared" si="74"/>
        <v>12</v>
      </c>
      <c r="O102" s="588">
        <f t="shared" si="76"/>
        <v>0</v>
      </c>
      <c r="P102" s="588">
        <f t="shared" si="77"/>
        <v>0</v>
      </c>
      <c r="Q102" s="588">
        <f t="shared" si="78"/>
        <v>0</v>
      </c>
      <c r="R102" s="588">
        <f t="shared" si="79"/>
        <v>0</v>
      </c>
      <c r="S102" s="588">
        <f t="shared" si="80"/>
        <v>0</v>
      </c>
      <c r="T102" s="588">
        <f t="shared" si="81"/>
        <v>0</v>
      </c>
      <c r="U102" s="588">
        <f t="shared" si="82"/>
        <v>0</v>
      </c>
      <c r="V102" s="588">
        <f t="shared" si="83"/>
        <v>0</v>
      </c>
      <c r="W102" s="588">
        <f t="shared" si="84"/>
        <v>0</v>
      </c>
      <c r="X102" s="588">
        <f t="shared" si="85"/>
        <v>0</v>
      </c>
      <c r="Y102" s="588">
        <f t="shared" si="86"/>
        <v>0</v>
      </c>
      <c r="Z102" s="588">
        <f t="shared" si="87"/>
        <v>0</v>
      </c>
      <c r="AA102" s="588">
        <f t="shared" si="44"/>
        <v>0</v>
      </c>
      <c r="AB102" s="588">
        <f t="shared" si="47"/>
        <v>0</v>
      </c>
      <c r="AC102" s="588">
        <f t="shared" si="62"/>
        <v>0</v>
      </c>
      <c r="AD102" s="588">
        <f t="shared" si="63"/>
        <v>0</v>
      </c>
      <c r="AE102" s="588">
        <f t="shared" si="64"/>
        <v>0</v>
      </c>
      <c r="AF102" s="588">
        <f t="shared" si="65"/>
        <v>0</v>
      </c>
      <c r="AG102" s="588">
        <f t="shared" si="66"/>
        <v>0</v>
      </c>
      <c r="AH102" s="588">
        <f t="shared" si="67"/>
        <v>0</v>
      </c>
      <c r="AI102" s="588">
        <f t="shared" si="68"/>
        <v>0</v>
      </c>
      <c r="AJ102" s="588">
        <f t="shared" si="69"/>
        <v>0</v>
      </c>
      <c r="AK102" s="588">
        <f t="shared" si="70"/>
        <v>0</v>
      </c>
      <c r="AL102" s="588">
        <f t="shared" si="71"/>
        <v>0</v>
      </c>
      <c r="AM102" s="588">
        <f t="shared" si="72"/>
        <v>0</v>
      </c>
      <c r="AN102" s="588">
        <f t="shared" si="45"/>
        <v>0</v>
      </c>
    </row>
    <row r="103" spans="1:40" ht="16.5" customHeight="1">
      <c r="A103" s="592" t="s">
        <v>2242</v>
      </c>
      <c r="B103" s="567">
        <v>504014</v>
      </c>
      <c r="D103" s="17" t="s">
        <v>2631</v>
      </c>
      <c r="E103" s="17" t="s">
        <v>2632</v>
      </c>
      <c r="F103" s="17" t="str">
        <f>'CF-ACPL（合并）'!A51</f>
        <v>支付的其他与筹资活动有关的现金</v>
      </c>
      <c r="G103" s="17" t="s">
        <v>2633</v>
      </c>
      <c r="H103" s="593" t="str">
        <f t="shared" si="73"/>
        <v>$ttlpm</v>
      </c>
      <c r="I103" s="457" t="str">
        <f t="shared" si="73"/>
        <v>$</v>
      </c>
      <c r="J103" s="457" t="s">
        <v>2046</v>
      </c>
      <c r="K103" s="18">
        <v>0</v>
      </c>
      <c r="L103" s="586">
        <v>46023</v>
      </c>
      <c r="M103" s="586">
        <v>46387</v>
      </c>
      <c r="N103" s="460">
        <f t="shared" si="74"/>
        <v>12</v>
      </c>
      <c r="O103" s="588">
        <f t="shared" si="76"/>
        <v>0</v>
      </c>
      <c r="P103" s="588">
        <f t="shared" si="77"/>
        <v>0</v>
      </c>
      <c r="Q103" s="588">
        <f t="shared" si="78"/>
        <v>0</v>
      </c>
      <c r="R103" s="588">
        <f t="shared" si="79"/>
        <v>0</v>
      </c>
      <c r="S103" s="588">
        <f t="shared" si="80"/>
        <v>0</v>
      </c>
      <c r="T103" s="588">
        <f t="shared" si="81"/>
        <v>0</v>
      </c>
      <c r="U103" s="588">
        <f t="shared" si="82"/>
        <v>0</v>
      </c>
      <c r="V103" s="588">
        <f t="shared" si="83"/>
        <v>0</v>
      </c>
      <c r="W103" s="588">
        <f t="shared" si="84"/>
        <v>0</v>
      </c>
      <c r="X103" s="588">
        <f t="shared" si="85"/>
        <v>0</v>
      </c>
      <c r="Y103" s="588">
        <f t="shared" si="86"/>
        <v>0</v>
      </c>
      <c r="Z103" s="588">
        <f t="shared" si="87"/>
        <v>0</v>
      </c>
      <c r="AA103" s="588">
        <f t="shared" ref="AA103:AA106" si="89">SUM(O103:Z103)</f>
        <v>0</v>
      </c>
      <c r="AB103" s="588">
        <f t="shared" si="47"/>
        <v>0</v>
      </c>
      <c r="AC103" s="588">
        <f t="shared" si="62"/>
        <v>0</v>
      </c>
      <c r="AD103" s="588">
        <f t="shared" si="63"/>
        <v>0</v>
      </c>
      <c r="AE103" s="588">
        <f t="shared" si="64"/>
        <v>0</v>
      </c>
      <c r="AF103" s="588">
        <f t="shared" si="65"/>
        <v>0</v>
      </c>
      <c r="AG103" s="588">
        <f t="shared" si="66"/>
        <v>0</v>
      </c>
      <c r="AH103" s="588">
        <f t="shared" si="67"/>
        <v>0</v>
      </c>
      <c r="AI103" s="588">
        <f t="shared" si="68"/>
        <v>0</v>
      </c>
      <c r="AJ103" s="588">
        <f t="shared" si="69"/>
        <v>0</v>
      </c>
      <c r="AK103" s="588">
        <f t="shared" si="70"/>
        <v>0</v>
      </c>
      <c r="AL103" s="588">
        <f t="shared" si="71"/>
        <v>0</v>
      </c>
      <c r="AM103" s="588">
        <f t="shared" si="72"/>
        <v>0</v>
      </c>
      <c r="AN103" s="588">
        <f t="shared" ref="AN103:AN106" si="90">SUM(AB103:AM103)</f>
        <v>0</v>
      </c>
    </row>
    <row r="104" spans="1:40" ht="16.5" customHeight="1">
      <c r="A104" s="592" t="s">
        <v>2242</v>
      </c>
      <c r="B104" s="567">
        <v>504015</v>
      </c>
      <c r="D104" s="17" t="s">
        <v>2631</v>
      </c>
      <c r="E104" s="17" t="s">
        <v>2635</v>
      </c>
      <c r="G104" s="17" t="s">
        <v>2635</v>
      </c>
      <c r="H104" s="593" t="str">
        <f t="shared" si="73"/>
        <v>$ttlpm</v>
      </c>
      <c r="I104" s="457" t="str">
        <f t="shared" si="73"/>
        <v>$</v>
      </c>
      <c r="J104" s="457" t="s">
        <v>2046</v>
      </c>
      <c r="K104" s="18">
        <v>0</v>
      </c>
      <c r="L104" s="586">
        <v>46023</v>
      </c>
      <c r="M104" s="586">
        <v>46387</v>
      </c>
      <c r="N104" s="460">
        <f t="shared" si="74"/>
        <v>12</v>
      </c>
      <c r="O104" s="588">
        <f t="shared" si="76"/>
        <v>0</v>
      </c>
      <c r="P104" s="588">
        <f t="shared" si="77"/>
        <v>0</v>
      </c>
      <c r="Q104" s="588">
        <f t="shared" si="78"/>
        <v>0</v>
      </c>
      <c r="R104" s="588">
        <f t="shared" si="79"/>
        <v>0</v>
      </c>
      <c r="S104" s="588">
        <f t="shared" si="80"/>
        <v>0</v>
      </c>
      <c r="T104" s="588">
        <f t="shared" si="81"/>
        <v>0</v>
      </c>
      <c r="U104" s="588">
        <f t="shared" si="82"/>
        <v>0</v>
      </c>
      <c r="V104" s="588">
        <f t="shared" si="83"/>
        <v>0</v>
      </c>
      <c r="W104" s="588">
        <f t="shared" si="84"/>
        <v>0</v>
      </c>
      <c r="X104" s="588">
        <f t="shared" si="85"/>
        <v>0</v>
      </c>
      <c r="Y104" s="588">
        <f t="shared" si="86"/>
        <v>0</v>
      </c>
      <c r="Z104" s="588">
        <f t="shared" si="87"/>
        <v>0</v>
      </c>
      <c r="AA104" s="588">
        <f t="shared" si="89"/>
        <v>0</v>
      </c>
      <c r="AB104" s="588">
        <f t="shared" si="47"/>
        <v>0</v>
      </c>
      <c r="AC104" s="588">
        <f t="shared" si="62"/>
        <v>0</v>
      </c>
      <c r="AD104" s="588">
        <f t="shared" si="63"/>
        <v>0</v>
      </c>
      <c r="AE104" s="588">
        <f t="shared" si="64"/>
        <v>0</v>
      </c>
      <c r="AF104" s="588">
        <f t="shared" si="65"/>
        <v>0</v>
      </c>
      <c r="AG104" s="588">
        <f t="shared" si="66"/>
        <v>0</v>
      </c>
      <c r="AH104" s="588">
        <f t="shared" si="67"/>
        <v>0</v>
      </c>
      <c r="AI104" s="588">
        <f t="shared" si="68"/>
        <v>0</v>
      </c>
      <c r="AJ104" s="588">
        <f t="shared" si="69"/>
        <v>0</v>
      </c>
      <c r="AK104" s="588">
        <f t="shared" si="70"/>
        <v>0</v>
      </c>
      <c r="AL104" s="588">
        <f t="shared" si="71"/>
        <v>0</v>
      </c>
      <c r="AM104" s="588">
        <f t="shared" si="72"/>
        <v>0</v>
      </c>
      <c r="AN104" s="588">
        <f t="shared" si="90"/>
        <v>0</v>
      </c>
    </row>
    <row r="105" spans="1:40" ht="16.5" customHeight="1">
      <c r="A105" s="592" t="s">
        <v>2242</v>
      </c>
      <c r="B105" s="567">
        <v>504016</v>
      </c>
      <c r="D105" s="17" t="s">
        <v>2631</v>
      </c>
      <c r="E105" s="17" t="s">
        <v>2636</v>
      </c>
      <c r="F105" s="17" t="str">
        <f>'CF-ACPL（合并）'!A38</f>
        <v>购建固定资产、无形资产和其他长期资产支付的现金</v>
      </c>
      <c r="G105" s="17" t="s">
        <v>2636</v>
      </c>
      <c r="H105" s="593" t="str">
        <f t="shared" si="73"/>
        <v>$ttlpm</v>
      </c>
      <c r="I105" s="457" t="str">
        <f t="shared" si="73"/>
        <v>$</v>
      </c>
      <c r="J105" s="457" t="s">
        <v>2046</v>
      </c>
      <c r="K105" s="18">
        <v>0</v>
      </c>
      <c r="L105" s="586">
        <v>46023</v>
      </c>
      <c r="M105" s="586">
        <v>46387</v>
      </c>
      <c r="N105" s="460">
        <f t="shared" si="74"/>
        <v>12</v>
      </c>
      <c r="O105" s="588">
        <f t="shared" si="76"/>
        <v>0</v>
      </c>
      <c r="P105" s="588">
        <f t="shared" si="77"/>
        <v>0</v>
      </c>
      <c r="Q105" s="588">
        <f t="shared" si="78"/>
        <v>0</v>
      </c>
      <c r="R105" s="588">
        <f t="shared" si="79"/>
        <v>0</v>
      </c>
      <c r="S105" s="588">
        <f t="shared" si="80"/>
        <v>0</v>
      </c>
      <c r="T105" s="588">
        <f t="shared" si="81"/>
        <v>0</v>
      </c>
      <c r="U105" s="588">
        <f t="shared" si="82"/>
        <v>0</v>
      </c>
      <c r="V105" s="588">
        <f t="shared" si="83"/>
        <v>0</v>
      </c>
      <c r="W105" s="588">
        <f t="shared" si="84"/>
        <v>0</v>
      </c>
      <c r="X105" s="588">
        <f t="shared" si="85"/>
        <v>0</v>
      </c>
      <c r="Y105" s="588">
        <f t="shared" si="86"/>
        <v>0</v>
      </c>
      <c r="Z105" s="588">
        <f t="shared" si="87"/>
        <v>0</v>
      </c>
      <c r="AA105" s="588">
        <f t="shared" si="89"/>
        <v>0</v>
      </c>
      <c r="AB105" s="588">
        <f t="shared" si="47"/>
        <v>0</v>
      </c>
      <c r="AC105" s="588">
        <f t="shared" si="62"/>
        <v>0</v>
      </c>
      <c r="AD105" s="588">
        <f t="shared" si="63"/>
        <v>0</v>
      </c>
      <c r="AE105" s="588">
        <f t="shared" si="64"/>
        <v>0</v>
      </c>
      <c r="AF105" s="588">
        <f t="shared" si="65"/>
        <v>0</v>
      </c>
      <c r="AG105" s="588">
        <f t="shared" si="66"/>
        <v>0</v>
      </c>
      <c r="AH105" s="588">
        <f t="shared" si="67"/>
        <v>0</v>
      </c>
      <c r="AI105" s="588">
        <f t="shared" si="68"/>
        <v>0</v>
      </c>
      <c r="AJ105" s="588">
        <f t="shared" si="69"/>
        <v>0</v>
      </c>
      <c r="AK105" s="588">
        <f t="shared" si="70"/>
        <v>0</v>
      </c>
      <c r="AL105" s="588">
        <f t="shared" si="71"/>
        <v>0</v>
      </c>
      <c r="AM105" s="588">
        <f t="shared" si="72"/>
        <v>0</v>
      </c>
      <c r="AN105" s="588">
        <f t="shared" si="90"/>
        <v>0</v>
      </c>
    </row>
    <row r="106" spans="1:40" ht="16.5" customHeight="1">
      <c r="A106" s="592" t="s">
        <v>2242</v>
      </c>
      <c r="B106" s="567">
        <v>504017</v>
      </c>
      <c r="D106" s="17" t="s">
        <v>2631</v>
      </c>
      <c r="E106" s="17" t="s">
        <v>2637</v>
      </c>
      <c r="G106" s="17" t="s">
        <v>2637</v>
      </c>
      <c r="H106" s="593" t="str">
        <f t="shared" si="73"/>
        <v>$ttlpm</v>
      </c>
      <c r="I106" s="457" t="str">
        <f t="shared" si="73"/>
        <v>$</v>
      </c>
      <c r="J106" s="457" t="s">
        <v>2046</v>
      </c>
      <c r="K106" s="18">
        <v>0</v>
      </c>
      <c r="L106" s="586">
        <v>46023</v>
      </c>
      <c r="M106" s="586">
        <v>46387</v>
      </c>
      <c r="N106" s="460">
        <f t="shared" si="74"/>
        <v>12</v>
      </c>
      <c r="O106" s="588">
        <f t="shared" si="76"/>
        <v>0</v>
      </c>
      <c r="P106" s="588">
        <f t="shared" si="77"/>
        <v>0</v>
      </c>
      <c r="Q106" s="588">
        <f t="shared" si="78"/>
        <v>0</v>
      </c>
      <c r="R106" s="588">
        <f t="shared" si="79"/>
        <v>0</v>
      </c>
      <c r="S106" s="588">
        <f t="shared" si="80"/>
        <v>0</v>
      </c>
      <c r="T106" s="588">
        <f t="shared" si="81"/>
        <v>0</v>
      </c>
      <c r="U106" s="588">
        <f t="shared" si="82"/>
        <v>0</v>
      </c>
      <c r="V106" s="588">
        <f t="shared" si="83"/>
        <v>0</v>
      </c>
      <c r="W106" s="588">
        <f t="shared" si="84"/>
        <v>0</v>
      </c>
      <c r="X106" s="588">
        <f t="shared" si="85"/>
        <v>0</v>
      </c>
      <c r="Y106" s="588">
        <f t="shared" si="86"/>
        <v>0</v>
      </c>
      <c r="Z106" s="588">
        <f t="shared" si="87"/>
        <v>0</v>
      </c>
      <c r="AA106" s="588">
        <f t="shared" si="89"/>
        <v>0</v>
      </c>
      <c r="AB106" s="588">
        <f t="shared" si="47"/>
        <v>0</v>
      </c>
      <c r="AC106" s="588">
        <f t="shared" si="62"/>
        <v>0</v>
      </c>
      <c r="AD106" s="588">
        <f t="shared" si="63"/>
        <v>0</v>
      </c>
      <c r="AE106" s="588">
        <f t="shared" si="64"/>
        <v>0</v>
      </c>
      <c r="AF106" s="588">
        <f t="shared" si="65"/>
        <v>0</v>
      </c>
      <c r="AG106" s="588">
        <f t="shared" si="66"/>
        <v>0</v>
      </c>
      <c r="AH106" s="588">
        <f t="shared" si="67"/>
        <v>0</v>
      </c>
      <c r="AI106" s="588">
        <f t="shared" si="68"/>
        <v>0</v>
      </c>
      <c r="AJ106" s="588">
        <f t="shared" si="69"/>
        <v>0</v>
      </c>
      <c r="AK106" s="588">
        <f t="shared" si="70"/>
        <v>0</v>
      </c>
      <c r="AL106" s="588">
        <f t="shared" si="71"/>
        <v>0</v>
      </c>
      <c r="AM106" s="588">
        <f t="shared" si="72"/>
        <v>0</v>
      </c>
      <c r="AN106" s="588">
        <f t="shared" si="90"/>
        <v>0</v>
      </c>
    </row>
  </sheetData>
  <autoFilter ref="A3:AA107" xr:uid="{00000000-0009-0000-0000-00001C000000}"/>
  <printOptions headings="1" gridLines="1"/>
  <pageMargins left="0.196850393700787" right="0.118110236220472" top="0.35433070866141703" bottom="0.35433070866141703" header="0.31496062992126" footer="0.31496062992126"/>
  <pageSetup paperSize="8" scale="44" fitToHeight="2" orientation="landscape" r:id="rId1"/>
  <headerFooter>
    <oddHeader>&amp;C&amp;G</oddHeader>
    <oddFooter>&amp;L&amp;8FN: &amp;F-&amp;A&amp;C&amp;G&amp;R&amp;8&amp;D</oddFooter>
  </headerFooter>
  <legacyDrawing r:id="rId2"/>
  <legacyDrawingHF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4" tint="0.59999389629810485"/>
  </sheetPr>
  <dimension ref="A1:BE143"/>
  <sheetViews>
    <sheetView topLeftCell="A10" zoomScale="70" zoomScaleNormal="70" workbookViewId="0">
      <pane xSplit="4" topLeftCell="E1" activePane="topRight" state="frozen"/>
      <selection activeCell="A14" sqref="A14"/>
      <selection pane="topRight" activeCell="E41" sqref="E41"/>
    </sheetView>
  </sheetViews>
  <sheetFormatPr defaultColWidth="8.875" defaultRowHeight="12.75"/>
  <cols>
    <col min="1" max="1" width="3.375" style="152" customWidth="1"/>
    <col min="2" max="2" width="8.125" style="152" customWidth="1"/>
    <col min="3" max="3" width="9.125" style="152" customWidth="1"/>
    <col min="4" max="4" width="9.375" style="152" customWidth="1"/>
    <col min="5" max="5" width="11.125" style="152" customWidth="1"/>
    <col min="6" max="6" width="10.625" style="152" customWidth="1"/>
    <col min="7" max="24" width="9.75" style="152" customWidth="1"/>
    <col min="25" max="25" width="10.25" style="152" customWidth="1"/>
    <col min="26" max="26" width="12.5" style="466" customWidth="1"/>
    <col min="27" max="37" width="9.75" style="152" customWidth="1"/>
    <col min="38" max="38" width="1.625" style="152" customWidth="1"/>
    <col min="39" max="39" width="15.5" style="152" customWidth="1"/>
    <col min="40" max="40" width="11.625" style="152" customWidth="1"/>
    <col min="41" max="41" width="10" style="152" customWidth="1"/>
    <col min="42" max="53" width="10" style="467" customWidth="1"/>
    <col min="54" max="54" width="9.375" style="467" customWidth="1"/>
    <col min="55" max="55" width="10.25" style="467" customWidth="1"/>
    <col min="56" max="56" width="9.375" style="467" customWidth="1"/>
    <col min="57" max="272" width="8.875" style="152"/>
    <col min="273" max="273" width="3.375" style="152" customWidth="1"/>
    <col min="274" max="274" width="38.375" style="152" customWidth="1"/>
    <col min="275" max="275" width="8" style="152" customWidth="1"/>
    <col min="276" max="287" width="9.375" style="152" customWidth="1"/>
    <col min="288" max="288" width="9.125" style="152" customWidth="1"/>
    <col min="289" max="528" width="8.875" style="152"/>
    <col min="529" max="529" width="3.375" style="152" customWidth="1"/>
    <col min="530" max="530" width="38.375" style="152" customWidth="1"/>
    <col min="531" max="531" width="8" style="152" customWidth="1"/>
    <col min="532" max="543" width="9.375" style="152" customWidth="1"/>
    <col min="544" max="544" width="9.125" style="152" customWidth="1"/>
    <col min="545" max="784" width="8.875" style="152"/>
    <col min="785" max="785" width="3.375" style="152" customWidth="1"/>
    <col min="786" max="786" width="38.375" style="152" customWidth="1"/>
    <col min="787" max="787" width="8" style="152" customWidth="1"/>
    <col min="788" max="799" width="9.375" style="152" customWidth="1"/>
    <col min="800" max="800" width="9.125" style="152" customWidth="1"/>
    <col min="801" max="1040" width="8.875" style="152"/>
    <col min="1041" max="1041" width="3.375" style="152" customWidth="1"/>
    <col min="1042" max="1042" width="38.375" style="152" customWidth="1"/>
    <col min="1043" max="1043" width="8" style="152" customWidth="1"/>
    <col min="1044" max="1055" width="9.375" style="152" customWidth="1"/>
    <col min="1056" max="1056" width="9.125" style="152" customWidth="1"/>
    <col min="1057" max="1296" width="8.875" style="152"/>
    <col min="1297" max="1297" width="3.375" style="152" customWidth="1"/>
    <col min="1298" max="1298" width="38.375" style="152" customWidth="1"/>
    <col min="1299" max="1299" width="8" style="152" customWidth="1"/>
    <col min="1300" max="1311" width="9.375" style="152" customWidth="1"/>
    <col min="1312" max="1312" width="9.125" style="152" customWidth="1"/>
    <col min="1313" max="1552" width="8.875" style="152"/>
    <col min="1553" max="1553" width="3.375" style="152" customWidth="1"/>
    <col min="1554" max="1554" width="38.375" style="152" customWidth="1"/>
    <col min="1555" max="1555" width="8" style="152" customWidth="1"/>
    <col min="1556" max="1567" width="9.375" style="152" customWidth="1"/>
    <col min="1568" max="1568" width="9.125" style="152" customWidth="1"/>
    <col min="1569" max="1808" width="8.875" style="152"/>
    <col min="1809" max="1809" width="3.375" style="152" customWidth="1"/>
    <col min="1810" max="1810" width="38.375" style="152" customWidth="1"/>
    <col min="1811" max="1811" width="8" style="152" customWidth="1"/>
    <col min="1812" max="1823" width="9.375" style="152" customWidth="1"/>
    <col min="1824" max="1824" width="9.125" style="152" customWidth="1"/>
    <col min="1825" max="2064" width="8.875" style="152"/>
    <col min="2065" max="2065" width="3.375" style="152" customWidth="1"/>
    <col min="2066" max="2066" width="38.375" style="152" customWidth="1"/>
    <col min="2067" max="2067" width="8" style="152" customWidth="1"/>
    <col min="2068" max="2079" width="9.375" style="152" customWidth="1"/>
    <col min="2080" max="2080" width="9.125" style="152" customWidth="1"/>
    <col min="2081" max="2320" width="8.875" style="152"/>
    <col min="2321" max="2321" width="3.375" style="152" customWidth="1"/>
    <col min="2322" max="2322" width="38.375" style="152" customWidth="1"/>
    <col min="2323" max="2323" width="8" style="152" customWidth="1"/>
    <col min="2324" max="2335" width="9.375" style="152" customWidth="1"/>
    <col min="2336" max="2336" width="9.125" style="152" customWidth="1"/>
    <col min="2337" max="2576" width="8.875" style="152"/>
    <col min="2577" max="2577" width="3.375" style="152" customWidth="1"/>
    <col min="2578" max="2578" width="38.375" style="152" customWidth="1"/>
    <col min="2579" max="2579" width="8" style="152" customWidth="1"/>
    <col min="2580" max="2591" width="9.375" style="152" customWidth="1"/>
    <col min="2592" max="2592" width="9.125" style="152" customWidth="1"/>
    <col min="2593" max="2832" width="8.875" style="152"/>
    <col min="2833" max="2833" width="3.375" style="152" customWidth="1"/>
    <col min="2834" max="2834" width="38.375" style="152" customWidth="1"/>
    <col min="2835" max="2835" width="8" style="152" customWidth="1"/>
    <col min="2836" max="2847" width="9.375" style="152" customWidth="1"/>
    <col min="2848" max="2848" width="9.125" style="152" customWidth="1"/>
    <col min="2849" max="3088" width="8.875" style="152"/>
    <col min="3089" max="3089" width="3.375" style="152" customWidth="1"/>
    <col min="3090" max="3090" width="38.375" style="152" customWidth="1"/>
    <col min="3091" max="3091" width="8" style="152" customWidth="1"/>
    <col min="3092" max="3103" width="9.375" style="152" customWidth="1"/>
    <col min="3104" max="3104" width="9.125" style="152" customWidth="1"/>
    <col min="3105" max="3344" width="8.875" style="152"/>
    <col min="3345" max="3345" width="3.375" style="152" customWidth="1"/>
    <col min="3346" max="3346" width="38.375" style="152" customWidth="1"/>
    <col min="3347" max="3347" width="8" style="152" customWidth="1"/>
    <col min="3348" max="3359" width="9.375" style="152" customWidth="1"/>
    <col min="3360" max="3360" width="9.125" style="152" customWidth="1"/>
    <col min="3361" max="3600" width="8.875" style="152"/>
    <col min="3601" max="3601" width="3.375" style="152" customWidth="1"/>
    <col min="3602" max="3602" width="38.375" style="152" customWidth="1"/>
    <col min="3603" max="3603" width="8" style="152" customWidth="1"/>
    <col min="3604" max="3615" width="9.375" style="152" customWidth="1"/>
    <col min="3616" max="3616" width="9.125" style="152" customWidth="1"/>
    <col min="3617" max="3856" width="8.875" style="152"/>
    <col min="3857" max="3857" width="3.375" style="152" customWidth="1"/>
    <col min="3858" max="3858" width="38.375" style="152" customWidth="1"/>
    <col min="3859" max="3859" width="8" style="152" customWidth="1"/>
    <col min="3860" max="3871" width="9.375" style="152" customWidth="1"/>
    <col min="3872" max="3872" width="9.125" style="152" customWidth="1"/>
    <col min="3873" max="4112" width="8.875" style="152"/>
    <col min="4113" max="4113" width="3.375" style="152" customWidth="1"/>
    <col min="4114" max="4114" width="38.375" style="152" customWidth="1"/>
    <col min="4115" max="4115" width="8" style="152" customWidth="1"/>
    <col min="4116" max="4127" width="9.375" style="152" customWidth="1"/>
    <col min="4128" max="4128" width="9.125" style="152" customWidth="1"/>
    <col min="4129" max="4368" width="8.875" style="152"/>
    <col min="4369" max="4369" width="3.375" style="152" customWidth="1"/>
    <col min="4370" max="4370" width="38.375" style="152" customWidth="1"/>
    <col min="4371" max="4371" width="8" style="152" customWidth="1"/>
    <col min="4372" max="4383" width="9.375" style="152" customWidth="1"/>
    <col min="4384" max="4384" width="9.125" style="152" customWidth="1"/>
    <col min="4385" max="4624" width="8.875" style="152"/>
    <col min="4625" max="4625" width="3.375" style="152" customWidth="1"/>
    <col min="4626" max="4626" width="38.375" style="152" customWidth="1"/>
    <col min="4627" max="4627" width="8" style="152" customWidth="1"/>
    <col min="4628" max="4639" width="9.375" style="152" customWidth="1"/>
    <col min="4640" max="4640" width="9.125" style="152" customWidth="1"/>
    <col min="4641" max="4880" width="8.875" style="152"/>
    <col min="4881" max="4881" width="3.375" style="152" customWidth="1"/>
    <col min="4882" max="4882" width="38.375" style="152" customWidth="1"/>
    <col min="4883" max="4883" width="8" style="152" customWidth="1"/>
    <col min="4884" max="4895" width="9.375" style="152" customWidth="1"/>
    <col min="4896" max="4896" width="9.125" style="152" customWidth="1"/>
    <col min="4897" max="5136" width="8.875" style="152"/>
    <col min="5137" max="5137" width="3.375" style="152" customWidth="1"/>
    <col min="5138" max="5138" width="38.375" style="152" customWidth="1"/>
    <col min="5139" max="5139" width="8" style="152" customWidth="1"/>
    <col min="5140" max="5151" width="9.375" style="152" customWidth="1"/>
    <col min="5152" max="5152" width="9.125" style="152" customWidth="1"/>
    <col min="5153" max="5392" width="8.875" style="152"/>
    <col min="5393" max="5393" width="3.375" style="152" customWidth="1"/>
    <col min="5394" max="5394" width="38.375" style="152" customWidth="1"/>
    <col min="5395" max="5395" width="8" style="152" customWidth="1"/>
    <col min="5396" max="5407" width="9.375" style="152" customWidth="1"/>
    <col min="5408" max="5408" width="9.125" style="152" customWidth="1"/>
    <col min="5409" max="5648" width="8.875" style="152"/>
    <col min="5649" max="5649" width="3.375" style="152" customWidth="1"/>
    <col min="5650" max="5650" width="38.375" style="152" customWidth="1"/>
    <col min="5651" max="5651" width="8" style="152" customWidth="1"/>
    <col min="5652" max="5663" width="9.375" style="152" customWidth="1"/>
    <col min="5664" max="5664" width="9.125" style="152" customWidth="1"/>
    <col min="5665" max="5904" width="8.875" style="152"/>
    <col min="5905" max="5905" width="3.375" style="152" customWidth="1"/>
    <col min="5906" max="5906" width="38.375" style="152" customWidth="1"/>
    <col min="5907" max="5907" width="8" style="152" customWidth="1"/>
    <col min="5908" max="5919" width="9.375" style="152" customWidth="1"/>
    <col min="5920" max="5920" width="9.125" style="152" customWidth="1"/>
    <col min="5921" max="6160" width="8.875" style="152"/>
    <col min="6161" max="6161" width="3.375" style="152" customWidth="1"/>
    <col min="6162" max="6162" width="38.375" style="152" customWidth="1"/>
    <col min="6163" max="6163" width="8" style="152" customWidth="1"/>
    <col min="6164" max="6175" width="9.375" style="152" customWidth="1"/>
    <col min="6176" max="6176" width="9.125" style="152" customWidth="1"/>
    <col min="6177" max="6416" width="8.875" style="152"/>
    <col min="6417" max="6417" width="3.375" style="152" customWidth="1"/>
    <col min="6418" max="6418" width="38.375" style="152" customWidth="1"/>
    <col min="6419" max="6419" width="8" style="152" customWidth="1"/>
    <col min="6420" max="6431" width="9.375" style="152" customWidth="1"/>
    <col min="6432" max="6432" width="9.125" style="152" customWidth="1"/>
    <col min="6433" max="6672" width="8.875" style="152"/>
    <col min="6673" max="6673" width="3.375" style="152" customWidth="1"/>
    <col min="6674" max="6674" width="38.375" style="152" customWidth="1"/>
    <col min="6675" max="6675" width="8" style="152" customWidth="1"/>
    <col min="6676" max="6687" width="9.375" style="152" customWidth="1"/>
    <col min="6688" max="6688" width="9.125" style="152" customWidth="1"/>
    <col min="6689" max="6928" width="8.875" style="152"/>
    <col min="6929" max="6929" width="3.375" style="152" customWidth="1"/>
    <col min="6930" max="6930" width="38.375" style="152" customWidth="1"/>
    <col min="6931" max="6931" width="8" style="152" customWidth="1"/>
    <col min="6932" max="6943" width="9.375" style="152" customWidth="1"/>
    <col min="6944" max="6944" width="9.125" style="152" customWidth="1"/>
    <col min="6945" max="7184" width="8.875" style="152"/>
    <col min="7185" max="7185" width="3.375" style="152" customWidth="1"/>
    <col min="7186" max="7186" width="38.375" style="152" customWidth="1"/>
    <col min="7187" max="7187" width="8" style="152" customWidth="1"/>
    <col min="7188" max="7199" width="9.375" style="152" customWidth="1"/>
    <col min="7200" max="7200" width="9.125" style="152" customWidth="1"/>
    <col min="7201" max="7440" width="8.875" style="152"/>
    <col min="7441" max="7441" width="3.375" style="152" customWidth="1"/>
    <col min="7442" max="7442" width="38.375" style="152" customWidth="1"/>
    <col min="7443" max="7443" width="8" style="152" customWidth="1"/>
    <col min="7444" max="7455" width="9.375" style="152" customWidth="1"/>
    <col min="7456" max="7456" width="9.125" style="152" customWidth="1"/>
    <col min="7457" max="7696" width="8.875" style="152"/>
    <col min="7697" max="7697" width="3.375" style="152" customWidth="1"/>
    <col min="7698" max="7698" width="38.375" style="152" customWidth="1"/>
    <col min="7699" max="7699" width="8" style="152" customWidth="1"/>
    <col min="7700" max="7711" width="9.375" style="152" customWidth="1"/>
    <col min="7712" max="7712" width="9.125" style="152" customWidth="1"/>
    <col min="7713" max="7952" width="8.875" style="152"/>
    <col min="7953" max="7953" width="3.375" style="152" customWidth="1"/>
    <col min="7954" max="7954" width="38.375" style="152" customWidth="1"/>
    <col min="7955" max="7955" width="8" style="152" customWidth="1"/>
    <col min="7956" max="7967" width="9.375" style="152" customWidth="1"/>
    <col min="7968" max="7968" width="9.125" style="152" customWidth="1"/>
    <col min="7969" max="8208" width="8.875" style="152"/>
    <col min="8209" max="8209" width="3.375" style="152" customWidth="1"/>
    <col min="8210" max="8210" width="38.375" style="152" customWidth="1"/>
    <col min="8211" max="8211" width="8" style="152" customWidth="1"/>
    <col min="8212" max="8223" width="9.375" style="152" customWidth="1"/>
    <col min="8224" max="8224" width="9.125" style="152" customWidth="1"/>
    <col min="8225" max="8464" width="8.875" style="152"/>
    <col min="8465" max="8465" width="3.375" style="152" customWidth="1"/>
    <col min="8466" max="8466" width="38.375" style="152" customWidth="1"/>
    <col min="8467" max="8467" width="8" style="152" customWidth="1"/>
    <col min="8468" max="8479" width="9.375" style="152" customWidth="1"/>
    <col min="8480" max="8480" width="9.125" style="152" customWidth="1"/>
    <col min="8481" max="8720" width="8.875" style="152"/>
    <col min="8721" max="8721" width="3.375" style="152" customWidth="1"/>
    <col min="8722" max="8722" width="38.375" style="152" customWidth="1"/>
    <col min="8723" max="8723" width="8" style="152" customWidth="1"/>
    <col min="8724" max="8735" width="9.375" style="152" customWidth="1"/>
    <col min="8736" max="8736" width="9.125" style="152" customWidth="1"/>
    <col min="8737" max="8976" width="8.875" style="152"/>
    <col min="8977" max="8977" width="3.375" style="152" customWidth="1"/>
    <col min="8978" max="8978" width="38.375" style="152" customWidth="1"/>
    <col min="8979" max="8979" width="8" style="152" customWidth="1"/>
    <col min="8980" max="8991" width="9.375" style="152" customWidth="1"/>
    <col min="8992" max="8992" width="9.125" style="152" customWidth="1"/>
    <col min="8993" max="9232" width="8.875" style="152"/>
    <col min="9233" max="9233" width="3.375" style="152" customWidth="1"/>
    <col min="9234" max="9234" width="38.375" style="152" customWidth="1"/>
    <col min="9235" max="9235" width="8" style="152" customWidth="1"/>
    <col min="9236" max="9247" width="9.375" style="152" customWidth="1"/>
    <col min="9248" max="9248" width="9.125" style="152" customWidth="1"/>
    <col min="9249" max="9488" width="8.875" style="152"/>
    <col min="9489" max="9489" width="3.375" style="152" customWidth="1"/>
    <col min="9490" max="9490" width="38.375" style="152" customWidth="1"/>
    <col min="9491" max="9491" width="8" style="152" customWidth="1"/>
    <col min="9492" max="9503" width="9.375" style="152" customWidth="1"/>
    <col min="9504" max="9504" width="9.125" style="152" customWidth="1"/>
    <col min="9505" max="9744" width="8.875" style="152"/>
    <col min="9745" max="9745" width="3.375" style="152" customWidth="1"/>
    <col min="9746" max="9746" width="38.375" style="152" customWidth="1"/>
    <col min="9747" max="9747" width="8" style="152" customWidth="1"/>
    <col min="9748" max="9759" width="9.375" style="152" customWidth="1"/>
    <col min="9760" max="9760" width="9.125" style="152" customWidth="1"/>
    <col min="9761" max="10000" width="8.875" style="152"/>
    <col min="10001" max="10001" width="3.375" style="152" customWidth="1"/>
    <col min="10002" max="10002" width="38.375" style="152" customWidth="1"/>
    <col min="10003" max="10003" width="8" style="152" customWidth="1"/>
    <col min="10004" max="10015" width="9.375" style="152" customWidth="1"/>
    <col min="10016" max="10016" width="9.125" style="152" customWidth="1"/>
    <col min="10017" max="10256" width="8.875" style="152"/>
    <col min="10257" max="10257" width="3.375" style="152" customWidth="1"/>
    <col min="10258" max="10258" width="38.375" style="152" customWidth="1"/>
    <col min="10259" max="10259" width="8" style="152" customWidth="1"/>
    <col min="10260" max="10271" width="9.375" style="152" customWidth="1"/>
    <col min="10272" max="10272" width="9.125" style="152" customWidth="1"/>
    <col min="10273" max="10512" width="8.875" style="152"/>
    <col min="10513" max="10513" width="3.375" style="152" customWidth="1"/>
    <col min="10514" max="10514" width="38.375" style="152" customWidth="1"/>
    <col min="10515" max="10515" width="8" style="152" customWidth="1"/>
    <col min="10516" max="10527" width="9.375" style="152" customWidth="1"/>
    <col min="10528" max="10528" width="9.125" style="152" customWidth="1"/>
    <col min="10529" max="10768" width="8.875" style="152"/>
    <col min="10769" max="10769" width="3.375" style="152" customWidth="1"/>
    <col min="10770" max="10770" width="38.375" style="152" customWidth="1"/>
    <col min="10771" max="10771" width="8" style="152" customWidth="1"/>
    <col min="10772" max="10783" width="9.375" style="152" customWidth="1"/>
    <col min="10784" max="10784" width="9.125" style="152" customWidth="1"/>
    <col min="10785" max="11024" width="8.875" style="152"/>
    <col min="11025" max="11025" width="3.375" style="152" customWidth="1"/>
    <col min="11026" max="11026" width="38.375" style="152" customWidth="1"/>
    <col min="11027" max="11027" width="8" style="152" customWidth="1"/>
    <col min="11028" max="11039" width="9.375" style="152" customWidth="1"/>
    <col min="11040" max="11040" width="9.125" style="152" customWidth="1"/>
    <col min="11041" max="11280" width="8.875" style="152"/>
    <col min="11281" max="11281" width="3.375" style="152" customWidth="1"/>
    <col min="11282" max="11282" width="38.375" style="152" customWidth="1"/>
    <col min="11283" max="11283" width="8" style="152" customWidth="1"/>
    <col min="11284" max="11295" width="9.375" style="152" customWidth="1"/>
    <col min="11296" max="11296" width="9.125" style="152" customWidth="1"/>
    <col min="11297" max="11536" width="8.875" style="152"/>
    <col min="11537" max="11537" width="3.375" style="152" customWidth="1"/>
    <col min="11538" max="11538" width="38.375" style="152" customWidth="1"/>
    <col min="11539" max="11539" width="8" style="152" customWidth="1"/>
    <col min="11540" max="11551" width="9.375" style="152" customWidth="1"/>
    <col min="11552" max="11552" width="9.125" style="152" customWidth="1"/>
    <col min="11553" max="11792" width="8.875" style="152"/>
    <col min="11793" max="11793" width="3.375" style="152" customWidth="1"/>
    <col min="11794" max="11794" width="38.375" style="152" customWidth="1"/>
    <col min="11795" max="11795" width="8" style="152" customWidth="1"/>
    <col min="11796" max="11807" width="9.375" style="152" customWidth="1"/>
    <col min="11808" max="11808" width="9.125" style="152" customWidth="1"/>
    <col min="11809" max="12048" width="8.875" style="152"/>
    <col min="12049" max="12049" width="3.375" style="152" customWidth="1"/>
    <col min="12050" max="12050" width="38.375" style="152" customWidth="1"/>
    <col min="12051" max="12051" width="8" style="152" customWidth="1"/>
    <col min="12052" max="12063" width="9.375" style="152" customWidth="1"/>
    <col min="12064" max="12064" width="9.125" style="152" customWidth="1"/>
    <col min="12065" max="12304" width="8.875" style="152"/>
    <col min="12305" max="12305" width="3.375" style="152" customWidth="1"/>
    <col min="12306" max="12306" width="38.375" style="152" customWidth="1"/>
    <col min="12307" max="12307" width="8" style="152" customWidth="1"/>
    <col min="12308" max="12319" width="9.375" style="152" customWidth="1"/>
    <col min="12320" max="12320" width="9.125" style="152" customWidth="1"/>
    <col min="12321" max="12560" width="8.875" style="152"/>
    <col min="12561" max="12561" width="3.375" style="152" customWidth="1"/>
    <col min="12562" max="12562" width="38.375" style="152" customWidth="1"/>
    <col min="12563" max="12563" width="8" style="152" customWidth="1"/>
    <col min="12564" max="12575" width="9.375" style="152" customWidth="1"/>
    <col min="12576" max="12576" width="9.125" style="152" customWidth="1"/>
    <col min="12577" max="12816" width="8.875" style="152"/>
    <col min="12817" max="12817" width="3.375" style="152" customWidth="1"/>
    <col min="12818" max="12818" width="38.375" style="152" customWidth="1"/>
    <col min="12819" max="12819" width="8" style="152" customWidth="1"/>
    <col min="12820" max="12831" width="9.375" style="152" customWidth="1"/>
    <col min="12832" max="12832" width="9.125" style="152" customWidth="1"/>
    <col min="12833" max="13072" width="8.875" style="152"/>
    <col min="13073" max="13073" width="3.375" style="152" customWidth="1"/>
    <col min="13074" max="13074" width="38.375" style="152" customWidth="1"/>
    <col min="13075" max="13075" width="8" style="152" customWidth="1"/>
    <col min="13076" max="13087" width="9.375" style="152" customWidth="1"/>
    <col min="13088" max="13088" width="9.125" style="152" customWidth="1"/>
    <col min="13089" max="13328" width="8.875" style="152"/>
    <col min="13329" max="13329" width="3.375" style="152" customWidth="1"/>
    <col min="13330" max="13330" width="38.375" style="152" customWidth="1"/>
    <col min="13331" max="13331" width="8" style="152" customWidth="1"/>
    <col min="13332" max="13343" width="9.375" style="152" customWidth="1"/>
    <col min="13344" max="13344" width="9.125" style="152" customWidth="1"/>
    <col min="13345" max="13584" width="8.875" style="152"/>
    <col min="13585" max="13585" width="3.375" style="152" customWidth="1"/>
    <col min="13586" max="13586" width="38.375" style="152" customWidth="1"/>
    <col min="13587" max="13587" width="8" style="152" customWidth="1"/>
    <col min="13588" max="13599" width="9.375" style="152" customWidth="1"/>
    <col min="13600" max="13600" width="9.125" style="152" customWidth="1"/>
    <col min="13601" max="13840" width="8.875" style="152"/>
    <col min="13841" max="13841" width="3.375" style="152" customWidth="1"/>
    <col min="13842" max="13842" width="38.375" style="152" customWidth="1"/>
    <col min="13843" max="13843" width="8" style="152" customWidth="1"/>
    <col min="13844" max="13855" width="9.375" style="152" customWidth="1"/>
    <col min="13856" max="13856" width="9.125" style="152" customWidth="1"/>
    <col min="13857" max="14096" width="8.875" style="152"/>
    <col min="14097" max="14097" width="3.375" style="152" customWidth="1"/>
    <col min="14098" max="14098" width="38.375" style="152" customWidth="1"/>
    <col min="14099" max="14099" width="8" style="152" customWidth="1"/>
    <col min="14100" max="14111" width="9.375" style="152" customWidth="1"/>
    <col min="14112" max="14112" width="9.125" style="152" customWidth="1"/>
    <col min="14113" max="14352" width="8.875" style="152"/>
    <col min="14353" max="14353" width="3.375" style="152" customWidth="1"/>
    <col min="14354" max="14354" width="38.375" style="152" customWidth="1"/>
    <col min="14355" max="14355" width="8" style="152" customWidth="1"/>
    <col min="14356" max="14367" width="9.375" style="152" customWidth="1"/>
    <col min="14368" max="14368" width="9.125" style="152" customWidth="1"/>
    <col min="14369" max="14608" width="8.875" style="152"/>
    <col min="14609" max="14609" width="3.375" style="152" customWidth="1"/>
    <col min="14610" max="14610" width="38.375" style="152" customWidth="1"/>
    <col min="14611" max="14611" width="8" style="152" customWidth="1"/>
    <col min="14612" max="14623" width="9.375" style="152" customWidth="1"/>
    <col min="14624" max="14624" width="9.125" style="152" customWidth="1"/>
    <col min="14625" max="14864" width="8.875" style="152"/>
    <col min="14865" max="14865" width="3.375" style="152" customWidth="1"/>
    <col min="14866" max="14866" width="38.375" style="152" customWidth="1"/>
    <col min="14867" max="14867" width="8" style="152" customWidth="1"/>
    <col min="14868" max="14879" width="9.375" style="152" customWidth="1"/>
    <col min="14880" max="14880" width="9.125" style="152" customWidth="1"/>
    <col min="14881" max="15120" width="8.875" style="152"/>
    <col min="15121" max="15121" width="3.375" style="152" customWidth="1"/>
    <col min="15122" max="15122" width="38.375" style="152" customWidth="1"/>
    <col min="15123" max="15123" width="8" style="152" customWidth="1"/>
    <col min="15124" max="15135" width="9.375" style="152" customWidth="1"/>
    <col min="15136" max="15136" width="9.125" style="152" customWidth="1"/>
    <col min="15137" max="15376" width="8.875" style="152"/>
    <col min="15377" max="15377" width="3.375" style="152" customWidth="1"/>
    <col min="15378" max="15378" width="38.375" style="152" customWidth="1"/>
    <col min="15379" max="15379" width="8" style="152" customWidth="1"/>
    <col min="15380" max="15391" width="9.375" style="152" customWidth="1"/>
    <col min="15392" max="15392" width="9.125" style="152" customWidth="1"/>
    <col min="15393" max="15632" width="8.875" style="152"/>
    <col min="15633" max="15633" width="3.375" style="152" customWidth="1"/>
    <col min="15634" max="15634" width="38.375" style="152" customWidth="1"/>
    <col min="15635" max="15635" width="8" style="152" customWidth="1"/>
    <col min="15636" max="15647" width="9.375" style="152" customWidth="1"/>
    <col min="15648" max="15648" width="9.125" style="152" customWidth="1"/>
    <col min="15649" max="15888" width="8.875" style="152"/>
    <col min="15889" max="15889" width="3.375" style="152" customWidth="1"/>
    <col min="15890" max="15890" width="38.375" style="152" customWidth="1"/>
    <col min="15891" max="15891" width="8" style="152" customWidth="1"/>
    <col min="15892" max="15903" width="9.375" style="152" customWidth="1"/>
    <col min="15904" max="15904" width="9.125" style="152" customWidth="1"/>
    <col min="15905" max="16144" width="8.875" style="152"/>
    <col min="16145" max="16145" width="3.375" style="152" customWidth="1"/>
    <col min="16146" max="16146" width="38.375" style="152" customWidth="1"/>
    <col min="16147" max="16147" width="8" style="152" customWidth="1"/>
    <col min="16148" max="16159" width="9.375" style="152" customWidth="1"/>
    <col min="16160" max="16160" width="9.125" style="152" customWidth="1"/>
    <col min="16161" max="16384" width="8.875" style="152"/>
  </cols>
  <sheetData>
    <row r="1" spans="2:56">
      <c r="B1" s="1130">
        <v>0.05</v>
      </c>
      <c r="G1" s="468"/>
      <c r="H1" s="1207" t="str">
        <f>G16</f>
        <v>Shenzhen/HK</v>
      </c>
      <c r="I1" s="1207"/>
      <c r="J1" s="1208" t="str">
        <f>J16</f>
        <v>Short dist.</v>
      </c>
      <c r="K1" s="1208"/>
      <c r="L1" s="1209" t="str">
        <f>M16</f>
        <v>Long dist.</v>
      </c>
      <c r="M1" s="1210"/>
      <c r="N1" s="1209" t="s">
        <v>2645</v>
      </c>
      <c r="O1" s="1210"/>
    </row>
    <row r="2" spans="2:56">
      <c r="G2" s="469"/>
      <c r="H2" s="470" t="s">
        <v>2646</v>
      </c>
      <c r="I2" s="471" t="s">
        <v>2647</v>
      </c>
      <c r="J2" s="470" t="s">
        <v>2646</v>
      </c>
      <c r="K2" s="471" t="s">
        <v>2647</v>
      </c>
      <c r="L2" s="470" t="s">
        <v>2646</v>
      </c>
      <c r="M2" s="472" t="s">
        <v>2647</v>
      </c>
      <c r="N2" s="470" t="s">
        <v>2646</v>
      </c>
      <c r="O2" s="472" t="s">
        <v>2647</v>
      </c>
    </row>
    <row r="3" spans="2:56">
      <c r="F3" s="473" t="s">
        <v>2648</v>
      </c>
      <c r="G3" s="469" t="s">
        <v>2649</v>
      </c>
      <c r="H3" s="474">
        <v>12</v>
      </c>
      <c r="I3" s="471">
        <v>300</v>
      </c>
      <c r="J3" s="471">
        <v>18</v>
      </c>
      <c r="K3" s="471">
        <v>3000</v>
      </c>
      <c r="L3" s="474">
        <v>18</v>
      </c>
      <c r="M3" s="472">
        <v>6000</v>
      </c>
      <c r="N3" s="471"/>
      <c r="O3" s="472"/>
      <c r="P3" s="467">
        <f>H3*I3+J3*K3+L3*M3+N3*O3</f>
        <v>165600</v>
      </c>
    </row>
    <row r="4" spans="2:56">
      <c r="F4" s="473" t="s">
        <v>2650</v>
      </c>
      <c r="G4" s="469" t="s">
        <v>2651</v>
      </c>
      <c r="H4" s="471">
        <v>12</v>
      </c>
      <c r="I4" s="471">
        <v>300</v>
      </c>
      <c r="J4" s="474">
        <v>18</v>
      </c>
      <c r="K4" s="471">
        <v>3000</v>
      </c>
      <c r="L4" s="471">
        <v>12</v>
      </c>
      <c r="M4" s="472">
        <v>6000</v>
      </c>
      <c r="N4" s="471"/>
      <c r="O4" s="472"/>
      <c r="P4" s="467">
        <f t="shared" ref="P4:P7" si="0">H4*I4+J4*K4+L4*M4+N4*O4</f>
        <v>129600</v>
      </c>
    </row>
    <row r="5" spans="2:56">
      <c r="F5" s="473" t="s">
        <v>2652</v>
      </c>
      <c r="G5" s="469" t="s">
        <v>2653</v>
      </c>
      <c r="H5" s="474">
        <v>12</v>
      </c>
      <c r="I5" s="471">
        <v>300</v>
      </c>
      <c r="J5" s="474">
        <v>18</v>
      </c>
      <c r="K5" s="471">
        <v>3000</v>
      </c>
      <c r="L5" s="471">
        <v>6</v>
      </c>
      <c r="M5" s="472">
        <v>6000</v>
      </c>
      <c r="N5" s="471"/>
      <c r="O5" s="472"/>
      <c r="P5" s="467">
        <f t="shared" si="0"/>
        <v>93600</v>
      </c>
    </row>
    <row r="6" spans="2:56">
      <c r="F6" s="473" t="s">
        <v>2654</v>
      </c>
      <c r="G6" s="469" t="s">
        <v>2655</v>
      </c>
      <c r="H6" s="471">
        <v>18</v>
      </c>
      <c r="I6" s="471">
        <v>300</v>
      </c>
      <c r="J6" s="471">
        <v>6</v>
      </c>
      <c r="K6" s="474">
        <v>1000</v>
      </c>
      <c r="L6" s="471">
        <v>1</v>
      </c>
      <c r="M6" s="472">
        <v>6000</v>
      </c>
      <c r="N6" s="471"/>
      <c r="O6" s="472"/>
      <c r="P6" s="467">
        <f t="shared" si="0"/>
        <v>17400</v>
      </c>
    </row>
    <row r="7" spans="2:56">
      <c r="G7" s="475" t="s">
        <v>2656</v>
      </c>
      <c r="H7" s="476">
        <v>12</v>
      </c>
      <c r="I7" s="476">
        <v>300</v>
      </c>
      <c r="J7" s="476">
        <v>3</v>
      </c>
      <c r="K7" s="476">
        <v>3000</v>
      </c>
      <c r="L7" s="476">
        <v>3</v>
      </c>
      <c r="M7" s="477">
        <v>6000</v>
      </c>
      <c r="N7" s="476"/>
      <c r="O7" s="477"/>
      <c r="P7" s="467">
        <f t="shared" si="0"/>
        <v>30600</v>
      </c>
    </row>
    <row r="11" spans="2:56">
      <c r="H11" s="467"/>
      <c r="I11" s="152" t="s">
        <v>2657</v>
      </c>
      <c r="J11" s="478">
        <v>0</v>
      </c>
      <c r="K11" s="467"/>
      <c r="L11" s="152" t="s">
        <v>2657</v>
      </c>
      <c r="M11" s="478">
        <v>0</v>
      </c>
      <c r="N11" s="467"/>
      <c r="O11" s="152" t="s">
        <v>2657</v>
      </c>
      <c r="P11" s="478">
        <v>0</v>
      </c>
      <c r="Q11" s="478"/>
      <c r="R11" s="467"/>
      <c r="S11" s="467"/>
      <c r="T11" s="152" t="s">
        <v>2657</v>
      </c>
      <c r="U11" s="478">
        <v>0.6</v>
      </c>
      <c r="V11" s="467"/>
    </row>
    <row r="12" spans="2:56">
      <c r="H12" s="467"/>
      <c r="I12" s="152" t="s">
        <v>2658</v>
      </c>
      <c r="J12" s="478">
        <v>0</v>
      </c>
      <c r="K12" s="467"/>
      <c r="L12" s="152" t="s">
        <v>2658</v>
      </c>
      <c r="M12" s="478">
        <v>0</v>
      </c>
      <c r="N12" s="467"/>
      <c r="O12" s="152" t="s">
        <v>2658</v>
      </c>
      <c r="P12" s="479">
        <v>0.35</v>
      </c>
      <c r="Q12" s="478"/>
      <c r="R12" s="467"/>
      <c r="S12" s="467"/>
      <c r="T12" s="152" t="s">
        <v>2658</v>
      </c>
      <c r="U12" s="478">
        <v>0</v>
      </c>
      <c r="V12" s="467"/>
    </row>
    <row r="13" spans="2:56">
      <c r="H13" s="467"/>
      <c r="I13" s="152" t="s">
        <v>2659</v>
      </c>
      <c r="J13" s="478">
        <f>200/300</f>
        <v>0.66666666666666663</v>
      </c>
      <c r="K13" s="467"/>
      <c r="L13" s="152" t="s">
        <v>2659</v>
      </c>
      <c r="M13" s="478">
        <v>0.4</v>
      </c>
      <c r="N13" s="467"/>
      <c r="O13" s="152" t="s">
        <v>2659</v>
      </c>
      <c r="P13" s="478">
        <v>0.1</v>
      </c>
      <c r="Q13" s="478"/>
      <c r="R13" s="467"/>
      <c r="S13" s="467"/>
      <c r="T13" s="152" t="s">
        <v>2659</v>
      </c>
      <c r="U13" s="478">
        <v>0.05</v>
      </c>
      <c r="V13" s="467"/>
    </row>
    <row r="14" spans="2:56">
      <c r="H14" s="467"/>
      <c r="I14" s="152" t="s">
        <v>2660</v>
      </c>
      <c r="J14" s="478">
        <v>0</v>
      </c>
      <c r="K14" s="467"/>
      <c r="L14" s="152" t="s">
        <v>2660</v>
      </c>
      <c r="M14" s="478">
        <v>0.4</v>
      </c>
      <c r="N14" s="467"/>
      <c r="O14" s="152" t="s">
        <v>2660</v>
      </c>
      <c r="P14" s="479">
        <v>0.45</v>
      </c>
      <c r="Q14" s="478"/>
      <c r="R14" s="467"/>
      <c r="S14" s="467"/>
      <c r="T14" s="152" t="s">
        <v>2660</v>
      </c>
      <c r="U14" s="478">
        <v>0.2</v>
      </c>
      <c r="V14" s="467"/>
    </row>
    <row r="15" spans="2:56">
      <c r="B15" s="150"/>
      <c r="C15" s="150"/>
      <c r="D15" s="150"/>
      <c r="G15" s="150"/>
      <c r="H15" s="150"/>
      <c r="I15" s="152" t="s">
        <v>1698</v>
      </c>
      <c r="J15" s="478">
        <f>100/300</f>
        <v>0.33333333333333331</v>
      </c>
      <c r="K15" s="480">
        <f>SUM(J11:J15)-1</f>
        <v>0</v>
      </c>
      <c r="L15" s="152" t="s">
        <v>1698</v>
      </c>
      <c r="M15" s="478">
        <v>0.2</v>
      </c>
      <c r="N15" s="480">
        <f>SUM(M11:M15)-1</f>
        <v>0</v>
      </c>
      <c r="O15" s="152" t="s">
        <v>1698</v>
      </c>
      <c r="P15" s="479">
        <v>0.1</v>
      </c>
      <c r="Q15" s="478"/>
      <c r="R15" s="480">
        <f>SUM(P11:P15)-1</f>
        <v>0</v>
      </c>
      <c r="S15" s="480"/>
      <c r="T15" s="152" t="s">
        <v>1698</v>
      </c>
      <c r="U15" s="478">
        <v>0.15</v>
      </c>
      <c r="V15" s="480">
        <f>SUM(U11:U15)-1</f>
        <v>0</v>
      </c>
    </row>
    <row r="16" spans="2:56">
      <c r="B16" s="481"/>
      <c r="C16" s="482" t="s">
        <v>2661</v>
      </c>
      <c r="D16" s="482" t="s">
        <v>2662</v>
      </c>
      <c r="E16" s="482" t="s">
        <v>2663</v>
      </c>
      <c r="F16" s="483" t="s">
        <v>2664</v>
      </c>
      <c r="G16" s="484" t="s">
        <v>2665</v>
      </c>
      <c r="H16" s="485" t="s">
        <v>2647</v>
      </c>
      <c r="I16" s="486" t="s">
        <v>2666</v>
      </c>
      <c r="J16" s="481" t="s">
        <v>2667</v>
      </c>
      <c r="K16" s="485" t="s">
        <v>2647</v>
      </c>
      <c r="L16" s="486" t="s">
        <v>2666</v>
      </c>
      <c r="M16" s="484" t="s">
        <v>2668</v>
      </c>
      <c r="N16" s="485" t="s">
        <v>2647</v>
      </c>
      <c r="O16" s="486" t="s">
        <v>2666</v>
      </c>
      <c r="P16" s="487" t="s">
        <v>2669</v>
      </c>
      <c r="Q16" s="485" t="s">
        <v>2664</v>
      </c>
      <c r="R16" s="485" t="s">
        <v>2670</v>
      </c>
      <c r="S16" s="485" t="s">
        <v>2647</v>
      </c>
      <c r="T16" s="488" t="s">
        <v>2669</v>
      </c>
      <c r="U16" s="489" t="s">
        <v>2671</v>
      </c>
      <c r="V16" s="489" t="s">
        <v>2671</v>
      </c>
      <c r="Y16" s="466"/>
      <c r="Z16" s="152"/>
      <c r="AO16" s="467"/>
      <c r="BD16" s="152"/>
    </row>
    <row r="17" spans="2:56">
      <c r="B17" s="469" t="s">
        <v>2110</v>
      </c>
      <c r="C17" s="1067" t="s">
        <v>2672</v>
      </c>
      <c r="D17" s="490">
        <v>46023</v>
      </c>
      <c r="E17" s="490">
        <v>46387</v>
      </c>
      <c r="F17" s="491" t="s">
        <v>2656</v>
      </c>
      <c r="G17" s="492">
        <f>VLOOKUP($F17,$G$2:$O$7,2,0)</f>
        <v>12</v>
      </c>
      <c r="H17" s="493">
        <f>VLOOKUP($F17,$G$2:$O$7,3,0)</f>
        <v>300</v>
      </c>
      <c r="I17" s="494">
        <f>G17*H17</f>
        <v>3600</v>
      </c>
      <c r="J17" s="492">
        <f>VLOOKUP($F17,$G$2:$O$7,4,0)</f>
        <v>3</v>
      </c>
      <c r="K17" s="493">
        <f>VLOOKUP($F17,$G$2:$O$7,5,0)</f>
        <v>3000</v>
      </c>
      <c r="L17" s="494">
        <f t="shared" ref="L17:L29" si="1">J17*K17</f>
        <v>9000</v>
      </c>
      <c r="M17" s="492">
        <f>VLOOKUP($F17,$G$2:$O$7,6,0)</f>
        <v>3</v>
      </c>
      <c r="N17" s="493">
        <f>VLOOKUP($F17,$G$2:$O$7,7,0)</f>
        <v>6000</v>
      </c>
      <c r="O17" s="494">
        <f>M17*N17</f>
        <v>18000</v>
      </c>
      <c r="P17" s="495">
        <f>I17+L17+O17</f>
        <v>30600</v>
      </c>
      <c r="Q17" s="77" t="s">
        <v>2673</v>
      </c>
      <c r="R17" s="77"/>
      <c r="S17" s="493"/>
      <c r="T17" s="496"/>
      <c r="U17" s="494">
        <f>P17+T17</f>
        <v>30600</v>
      </c>
      <c r="V17" s="494">
        <f>U17*(E17-D17)/365</f>
        <v>30516.164383561645</v>
      </c>
      <c r="Y17" s="466"/>
      <c r="Z17" s="152"/>
      <c r="AO17" s="467"/>
      <c r="BD17" s="152"/>
    </row>
    <row r="18" spans="2:56">
      <c r="B18" s="469" t="s">
        <v>2110</v>
      </c>
      <c r="C18" s="1067" t="s">
        <v>2674</v>
      </c>
      <c r="D18" s="490">
        <v>46023</v>
      </c>
      <c r="E18" s="490">
        <v>46387</v>
      </c>
      <c r="F18" s="491" t="s">
        <v>2651</v>
      </c>
      <c r="G18" s="492">
        <f t="shared" ref="G18:G42" si="2">VLOOKUP($F18,$G$2:$O$7,2,0)</f>
        <v>12</v>
      </c>
      <c r="H18" s="493">
        <f>VLOOKUP($F18,$G$2:$O$7,3,0)</f>
        <v>300</v>
      </c>
      <c r="I18" s="494">
        <f t="shared" ref="I18:I42" si="3">G18*H18</f>
        <v>3600</v>
      </c>
      <c r="J18" s="492">
        <f>VLOOKUP($F18,$G$2:$O$7,4,0)</f>
        <v>18</v>
      </c>
      <c r="K18" s="493">
        <f t="shared" ref="K18:K42" si="4">VLOOKUP($F18,$G$2:$O$7,5,0)</f>
        <v>3000</v>
      </c>
      <c r="L18" s="494">
        <f t="shared" si="1"/>
        <v>54000</v>
      </c>
      <c r="M18" s="492">
        <f t="shared" ref="M18:M42" si="5">VLOOKUP($F18,$G$2:$O$7,6,0)</f>
        <v>12</v>
      </c>
      <c r="N18" s="493">
        <f t="shared" ref="N18:N42" si="6">VLOOKUP($F18,$G$2:$O$7,7,0)</f>
        <v>6000</v>
      </c>
      <c r="O18" s="494">
        <f t="shared" ref="O18:O42" si="7">M18*N18</f>
        <v>72000</v>
      </c>
      <c r="P18" s="495">
        <f t="shared" ref="P18:P42" si="8">I18+L18+O18</f>
        <v>129600</v>
      </c>
      <c r="Q18" s="77" t="s">
        <v>2675</v>
      </c>
      <c r="R18" s="77"/>
      <c r="S18" s="493"/>
      <c r="T18" s="496"/>
      <c r="U18" s="494">
        <f t="shared" ref="U18:U27" si="9">P18+T18</f>
        <v>129600</v>
      </c>
      <c r="V18" s="494">
        <f t="shared" ref="V18:V21" si="10">U18*(E18-D18)/365</f>
        <v>129244.93150684932</v>
      </c>
      <c r="Y18" s="466"/>
      <c r="Z18" s="152"/>
      <c r="AO18" s="467"/>
      <c r="BD18" s="152"/>
    </row>
    <row r="19" spans="2:56">
      <c r="B19" s="469" t="s">
        <v>2110</v>
      </c>
      <c r="C19" s="1067" t="s">
        <v>2676</v>
      </c>
      <c r="D19" s="490">
        <v>46023</v>
      </c>
      <c r="E19" s="490">
        <v>46387</v>
      </c>
      <c r="F19" s="491" t="s">
        <v>2655</v>
      </c>
      <c r="G19" s="492">
        <f t="shared" si="2"/>
        <v>18</v>
      </c>
      <c r="H19" s="493">
        <f t="shared" ref="H19:H42" si="11">VLOOKUP($F19,$G$2:$O$7,3,0)</f>
        <v>300</v>
      </c>
      <c r="I19" s="494">
        <f t="shared" si="3"/>
        <v>5400</v>
      </c>
      <c r="J19" s="492">
        <f t="shared" ref="J19:J42" si="12">VLOOKUP($F19,$G$2:$O$7,4,0)</f>
        <v>6</v>
      </c>
      <c r="K19" s="493">
        <f t="shared" si="4"/>
        <v>1000</v>
      </c>
      <c r="L19" s="494">
        <f t="shared" si="1"/>
        <v>6000</v>
      </c>
      <c r="M19" s="492">
        <f t="shared" si="5"/>
        <v>1</v>
      </c>
      <c r="N19" s="493">
        <f t="shared" si="6"/>
        <v>6000</v>
      </c>
      <c r="O19" s="494">
        <f t="shared" si="7"/>
        <v>6000</v>
      </c>
      <c r="P19" s="495">
        <f t="shared" si="8"/>
        <v>17400</v>
      </c>
      <c r="Q19" s="77" t="s">
        <v>2673</v>
      </c>
      <c r="R19" s="77"/>
      <c r="S19" s="493"/>
      <c r="T19" s="496"/>
      <c r="U19" s="494">
        <f t="shared" si="9"/>
        <v>17400</v>
      </c>
      <c r="V19" s="494">
        <f t="shared" si="10"/>
        <v>17352.328767123287</v>
      </c>
      <c r="Y19" s="466"/>
      <c r="Z19" s="152"/>
      <c r="AO19" s="467"/>
      <c r="BD19" s="152"/>
    </row>
    <row r="20" spans="2:56">
      <c r="B20" s="469" t="s">
        <v>2110</v>
      </c>
      <c r="C20" s="1067" t="s">
        <v>2677</v>
      </c>
      <c r="D20" s="490">
        <v>46023</v>
      </c>
      <c r="E20" s="490">
        <v>46387</v>
      </c>
      <c r="F20" s="491" t="s">
        <v>2649</v>
      </c>
      <c r="G20" s="492">
        <f t="shared" si="2"/>
        <v>12</v>
      </c>
      <c r="H20" s="493">
        <f t="shared" si="11"/>
        <v>300</v>
      </c>
      <c r="I20" s="494">
        <f t="shared" si="3"/>
        <v>3600</v>
      </c>
      <c r="J20" s="492">
        <f t="shared" si="12"/>
        <v>18</v>
      </c>
      <c r="K20" s="493">
        <f t="shared" si="4"/>
        <v>3000</v>
      </c>
      <c r="L20" s="494">
        <f t="shared" si="1"/>
        <v>54000</v>
      </c>
      <c r="M20" s="492">
        <f t="shared" si="5"/>
        <v>18</v>
      </c>
      <c r="N20" s="493">
        <f t="shared" si="6"/>
        <v>6000</v>
      </c>
      <c r="O20" s="494">
        <f t="shared" si="7"/>
        <v>108000</v>
      </c>
      <c r="P20" s="495">
        <f t="shared" si="8"/>
        <v>165600</v>
      </c>
      <c r="Q20" s="77" t="s">
        <v>2675</v>
      </c>
      <c r="R20" s="77">
        <v>3</v>
      </c>
      <c r="S20" s="493">
        <v>20000</v>
      </c>
      <c r="T20" s="496">
        <f>R20*S20</f>
        <v>60000</v>
      </c>
      <c r="U20" s="494">
        <f t="shared" si="9"/>
        <v>225600</v>
      </c>
      <c r="V20" s="494">
        <f t="shared" si="10"/>
        <v>224981.91780821918</v>
      </c>
      <c r="Y20" s="466"/>
      <c r="Z20" s="152"/>
      <c r="AO20" s="467"/>
      <c r="BD20" s="152"/>
    </row>
    <row r="21" spans="2:56">
      <c r="B21" s="469" t="s">
        <v>2109</v>
      </c>
      <c r="C21" s="1067" t="s">
        <v>2678</v>
      </c>
      <c r="D21" s="490">
        <v>46023</v>
      </c>
      <c r="E21" s="490">
        <v>46387</v>
      </c>
      <c r="F21" s="491" t="s">
        <v>2653</v>
      </c>
      <c r="G21" s="492">
        <f t="shared" si="2"/>
        <v>12</v>
      </c>
      <c r="H21" s="493">
        <f t="shared" si="11"/>
        <v>300</v>
      </c>
      <c r="I21" s="494">
        <f t="shared" si="3"/>
        <v>3600</v>
      </c>
      <c r="J21" s="492">
        <f t="shared" si="12"/>
        <v>18</v>
      </c>
      <c r="K21" s="493">
        <f t="shared" si="4"/>
        <v>3000</v>
      </c>
      <c r="L21" s="494">
        <f t="shared" si="1"/>
        <v>54000</v>
      </c>
      <c r="M21" s="492">
        <f t="shared" si="5"/>
        <v>6</v>
      </c>
      <c r="N21" s="493">
        <f t="shared" si="6"/>
        <v>6000</v>
      </c>
      <c r="O21" s="494">
        <f t="shared" si="7"/>
        <v>36000</v>
      </c>
      <c r="P21" s="495">
        <f t="shared" si="8"/>
        <v>93600</v>
      </c>
      <c r="Q21" s="77" t="s">
        <v>2673</v>
      </c>
      <c r="R21" s="77"/>
      <c r="S21" s="493"/>
      <c r="T21" s="496"/>
      <c r="U21" s="494">
        <f t="shared" si="9"/>
        <v>93600</v>
      </c>
      <c r="V21" s="494">
        <f t="shared" si="10"/>
        <v>93343.561643835623</v>
      </c>
      <c r="Y21" s="466"/>
      <c r="Z21" s="152"/>
      <c r="AO21" s="467"/>
      <c r="BD21" s="152"/>
    </row>
    <row r="22" spans="2:56">
      <c r="B22" s="469" t="s">
        <v>2109</v>
      </c>
      <c r="C22" s="1067" t="s">
        <v>2679</v>
      </c>
      <c r="D22" s="490">
        <v>46023</v>
      </c>
      <c r="E22" s="490">
        <v>46387</v>
      </c>
      <c r="F22" s="491" t="s">
        <v>2653</v>
      </c>
      <c r="G22" s="492">
        <f t="shared" si="2"/>
        <v>12</v>
      </c>
      <c r="H22" s="493">
        <f t="shared" si="11"/>
        <v>300</v>
      </c>
      <c r="I22" s="494">
        <f t="shared" si="3"/>
        <v>3600</v>
      </c>
      <c r="J22" s="492">
        <f t="shared" si="12"/>
        <v>18</v>
      </c>
      <c r="K22" s="493">
        <f t="shared" si="4"/>
        <v>3000</v>
      </c>
      <c r="L22" s="494">
        <f t="shared" si="1"/>
        <v>54000</v>
      </c>
      <c r="M22" s="492">
        <f t="shared" si="5"/>
        <v>6</v>
      </c>
      <c r="N22" s="493">
        <f t="shared" si="6"/>
        <v>6000</v>
      </c>
      <c r="O22" s="494">
        <f t="shared" si="7"/>
        <v>36000</v>
      </c>
      <c r="P22" s="495">
        <f t="shared" si="8"/>
        <v>93600</v>
      </c>
      <c r="Q22" s="77" t="s">
        <v>2675</v>
      </c>
      <c r="R22" s="77"/>
      <c r="S22" s="493"/>
      <c r="T22" s="496"/>
      <c r="U22" s="494">
        <f t="shared" si="9"/>
        <v>93600</v>
      </c>
      <c r="V22" s="494">
        <f t="shared" ref="V22:V25" si="13">U22*(E22-D22)/365</f>
        <v>93343.561643835623</v>
      </c>
      <c r="Y22" s="466"/>
      <c r="Z22" s="152"/>
      <c r="AO22" s="467"/>
      <c r="BD22" s="152"/>
    </row>
    <row r="23" spans="2:56">
      <c r="B23" s="469" t="s">
        <v>2111</v>
      </c>
      <c r="C23" s="1067" t="s">
        <v>2680</v>
      </c>
      <c r="D23" s="490">
        <v>46023</v>
      </c>
      <c r="E23" s="490">
        <v>46387</v>
      </c>
      <c r="F23" s="497" t="s">
        <v>2653</v>
      </c>
      <c r="G23" s="492">
        <f t="shared" si="2"/>
        <v>12</v>
      </c>
      <c r="H23" s="493">
        <f t="shared" si="11"/>
        <v>300</v>
      </c>
      <c r="I23" s="494">
        <f t="shared" si="3"/>
        <v>3600</v>
      </c>
      <c r="J23" s="492">
        <f t="shared" si="12"/>
        <v>18</v>
      </c>
      <c r="K23" s="493">
        <f t="shared" si="4"/>
        <v>3000</v>
      </c>
      <c r="L23" s="494">
        <f t="shared" si="1"/>
        <v>54000</v>
      </c>
      <c r="M23" s="492">
        <f t="shared" si="5"/>
        <v>6</v>
      </c>
      <c r="N23" s="493">
        <f t="shared" si="6"/>
        <v>6000</v>
      </c>
      <c r="O23" s="494">
        <f t="shared" si="7"/>
        <v>36000</v>
      </c>
      <c r="P23" s="495">
        <f t="shared" si="8"/>
        <v>93600</v>
      </c>
      <c r="Q23" s="77" t="s">
        <v>2675</v>
      </c>
      <c r="R23" s="77">
        <v>0</v>
      </c>
      <c r="S23" s="493">
        <v>0</v>
      </c>
      <c r="T23" s="496"/>
      <c r="U23" s="494">
        <f t="shared" si="9"/>
        <v>93600</v>
      </c>
      <c r="V23" s="494">
        <f t="shared" si="13"/>
        <v>93343.561643835623</v>
      </c>
      <c r="Y23" s="466"/>
      <c r="Z23" s="152"/>
      <c r="AO23" s="467"/>
      <c r="BD23" s="152"/>
    </row>
    <row r="24" spans="2:56">
      <c r="B24" s="469" t="s">
        <v>2111</v>
      </c>
      <c r="C24" s="1067" t="s">
        <v>2681</v>
      </c>
      <c r="D24" s="490">
        <v>46023</v>
      </c>
      <c r="E24" s="490">
        <v>46387</v>
      </c>
      <c r="F24" s="497" t="s">
        <v>2653</v>
      </c>
      <c r="G24" s="492">
        <f t="shared" si="2"/>
        <v>12</v>
      </c>
      <c r="H24" s="493">
        <f t="shared" si="11"/>
        <v>300</v>
      </c>
      <c r="I24" s="494">
        <f t="shared" si="3"/>
        <v>3600</v>
      </c>
      <c r="J24" s="492">
        <f t="shared" si="12"/>
        <v>18</v>
      </c>
      <c r="K24" s="493">
        <f t="shared" si="4"/>
        <v>3000</v>
      </c>
      <c r="L24" s="494">
        <f t="shared" si="1"/>
        <v>54000</v>
      </c>
      <c r="M24" s="492">
        <f t="shared" si="5"/>
        <v>6</v>
      </c>
      <c r="N24" s="493">
        <f t="shared" si="6"/>
        <v>6000</v>
      </c>
      <c r="O24" s="494">
        <f t="shared" si="7"/>
        <v>36000</v>
      </c>
      <c r="P24" s="495">
        <f t="shared" si="8"/>
        <v>93600</v>
      </c>
      <c r="Q24" s="77" t="s">
        <v>2675</v>
      </c>
      <c r="R24" s="77">
        <v>0</v>
      </c>
      <c r="S24" s="493">
        <v>0</v>
      </c>
      <c r="T24" s="496">
        <f>R24*S24</f>
        <v>0</v>
      </c>
      <c r="U24" s="494">
        <f t="shared" si="9"/>
        <v>93600</v>
      </c>
      <c r="V24" s="494">
        <f t="shared" si="13"/>
        <v>93343.561643835623</v>
      </c>
      <c r="Y24" s="466"/>
      <c r="Z24" s="152"/>
      <c r="AO24" s="467"/>
      <c r="BD24" s="152"/>
    </row>
    <row r="25" spans="2:56">
      <c r="B25" s="469" t="s">
        <v>2111</v>
      </c>
      <c r="C25" s="1067" t="s">
        <v>2682</v>
      </c>
      <c r="D25" s="490">
        <v>46023</v>
      </c>
      <c r="E25" s="490">
        <v>46387</v>
      </c>
      <c r="F25" s="491" t="s">
        <v>2655</v>
      </c>
      <c r="G25" s="492">
        <f t="shared" si="2"/>
        <v>18</v>
      </c>
      <c r="H25" s="493">
        <f t="shared" si="11"/>
        <v>300</v>
      </c>
      <c r="I25" s="494">
        <f t="shared" si="3"/>
        <v>5400</v>
      </c>
      <c r="J25" s="492">
        <f t="shared" si="12"/>
        <v>6</v>
      </c>
      <c r="K25" s="493">
        <f t="shared" si="4"/>
        <v>1000</v>
      </c>
      <c r="L25" s="494">
        <f t="shared" si="1"/>
        <v>6000</v>
      </c>
      <c r="M25" s="492">
        <f t="shared" si="5"/>
        <v>1</v>
      </c>
      <c r="N25" s="493">
        <f t="shared" si="6"/>
        <v>6000</v>
      </c>
      <c r="O25" s="494">
        <f t="shared" si="7"/>
        <v>6000</v>
      </c>
      <c r="P25" s="495">
        <f t="shared" si="8"/>
        <v>17400</v>
      </c>
      <c r="Q25" s="77" t="s">
        <v>2675</v>
      </c>
      <c r="R25" s="77">
        <v>0</v>
      </c>
      <c r="S25" s="493">
        <v>0</v>
      </c>
      <c r="T25" s="496"/>
      <c r="U25" s="494">
        <f t="shared" si="9"/>
        <v>17400</v>
      </c>
      <c r="V25" s="494">
        <f t="shared" si="13"/>
        <v>17352.328767123287</v>
      </c>
      <c r="Y25" s="466"/>
      <c r="Z25" s="152"/>
      <c r="AO25" s="467"/>
      <c r="BD25" s="152"/>
    </row>
    <row r="26" spans="2:56">
      <c r="B26" s="469" t="s">
        <v>2111</v>
      </c>
      <c r="C26" s="1067" t="s">
        <v>2683</v>
      </c>
      <c r="D26" s="490">
        <v>46023</v>
      </c>
      <c r="E26" s="490">
        <v>46387</v>
      </c>
      <c r="F26" s="491" t="s">
        <v>2651</v>
      </c>
      <c r="G26" s="492">
        <f t="shared" si="2"/>
        <v>12</v>
      </c>
      <c r="H26" s="493">
        <f t="shared" si="11"/>
        <v>300</v>
      </c>
      <c r="I26" s="494">
        <f t="shared" si="3"/>
        <v>3600</v>
      </c>
      <c r="J26" s="492">
        <f t="shared" si="12"/>
        <v>18</v>
      </c>
      <c r="K26" s="493">
        <f t="shared" si="4"/>
        <v>3000</v>
      </c>
      <c r="L26" s="494">
        <f t="shared" si="1"/>
        <v>54000</v>
      </c>
      <c r="M26" s="492">
        <f t="shared" si="5"/>
        <v>12</v>
      </c>
      <c r="N26" s="493">
        <f t="shared" si="6"/>
        <v>6000</v>
      </c>
      <c r="O26" s="494">
        <f t="shared" si="7"/>
        <v>72000</v>
      </c>
      <c r="P26" s="495">
        <f t="shared" si="8"/>
        <v>129600</v>
      </c>
      <c r="Q26" s="77" t="s">
        <v>2675</v>
      </c>
      <c r="R26" s="77">
        <v>0</v>
      </c>
      <c r="S26" s="493">
        <v>0</v>
      </c>
      <c r="T26" s="496"/>
      <c r="U26" s="494">
        <f t="shared" si="9"/>
        <v>129600</v>
      </c>
      <c r="V26" s="494">
        <f t="shared" ref="V26:V32" si="14">U26*(E26-D26)/365</f>
        <v>129244.93150684932</v>
      </c>
      <c r="Y26" s="466"/>
      <c r="Z26" s="152"/>
      <c r="AO26" s="467"/>
      <c r="BD26" s="152"/>
    </row>
    <row r="27" spans="2:56">
      <c r="B27" s="469" t="s">
        <v>2111</v>
      </c>
      <c r="C27" s="1067" t="s">
        <v>2684</v>
      </c>
      <c r="D27" s="490">
        <v>46023</v>
      </c>
      <c r="E27" s="490">
        <v>46387</v>
      </c>
      <c r="F27" s="491" t="s">
        <v>2651</v>
      </c>
      <c r="G27" s="492">
        <f t="shared" si="2"/>
        <v>12</v>
      </c>
      <c r="H27" s="493">
        <f t="shared" si="11"/>
        <v>300</v>
      </c>
      <c r="I27" s="494">
        <f t="shared" si="3"/>
        <v>3600</v>
      </c>
      <c r="J27" s="492">
        <f t="shared" si="12"/>
        <v>18</v>
      </c>
      <c r="K27" s="493">
        <f t="shared" si="4"/>
        <v>3000</v>
      </c>
      <c r="L27" s="494">
        <f t="shared" si="1"/>
        <v>54000</v>
      </c>
      <c r="M27" s="492">
        <f t="shared" si="5"/>
        <v>12</v>
      </c>
      <c r="N27" s="493">
        <f t="shared" si="6"/>
        <v>6000</v>
      </c>
      <c r="O27" s="494">
        <f t="shared" si="7"/>
        <v>72000</v>
      </c>
      <c r="P27" s="495">
        <f t="shared" si="8"/>
        <v>129600</v>
      </c>
      <c r="Q27" s="77" t="s">
        <v>2675</v>
      </c>
      <c r="R27" s="77">
        <v>0</v>
      </c>
      <c r="S27" s="493">
        <v>0</v>
      </c>
      <c r="T27" s="496"/>
      <c r="U27" s="494">
        <f t="shared" si="9"/>
        <v>129600</v>
      </c>
      <c r="V27" s="494">
        <f t="shared" si="14"/>
        <v>129244.93150684932</v>
      </c>
      <c r="Y27" s="466"/>
      <c r="Z27" s="152"/>
      <c r="AO27" s="467"/>
      <c r="BD27" s="152"/>
    </row>
    <row r="28" spans="2:56">
      <c r="B28" s="469" t="s">
        <v>2111</v>
      </c>
      <c r="C28" s="1067" t="s">
        <v>2685</v>
      </c>
      <c r="D28" s="490">
        <v>46023</v>
      </c>
      <c r="E28" s="490">
        <v>46387</v>
      </c>
      <c r="F28" s="491" t="s">
        <v>2649</v>
      </c>
      <c r="G28" s="492">
        <f t="shared" si="2"/>
        <v>12</v>
      </c>
      <c r="H28" s="493">
        <f t="shared" si="11"/>
        <v>300</v>
      </c>
      <c r="I28" s="494">
        <f t="shared" si="3"/>
        <v>3600</v>
      </c>
      <c r="J28" s="492">
        <f t="shared" si="12"/>
        <v>18</v>
      </c>
      <c r="K28" s="493">
        <f t="shared" si="4"/>
        <v>3000</v>
      </c>
      <c r="L28" s="494">
        <f t="shared" si="1"/>
        <v>54000</v>
      </c>
      <c r="M28" s="492">
        <f t="shared" si="5"/>
        <v>18</v>
      </c>
      <c r="N28" s="493">
        <f t="shared" si="6"/>
        <v>6000</v>
      </c>
      <c r="O28" s="494">
        <f t="shared" si="7"/>
        <v>108000</v>
      </c>
      <c r="P28" s="495">
        <f t="shared" si="8"/>
        <v>165600</v>
      </c>
      <c r="Q28" s="77" t="s">
        <v>2675</v>
      </c>
      <c r="R28" s="77">
        <v>0</v>
      </c>
      <c r="S28" s="493">
        <v>0</v>
      </c>
      <c r="T28" s="496"/>
      <c r="U28" s="494">
        <f t="shared" ref="U28:U35" si="15">P28+T28</f>
        <v>165600</v>
      </c>
      <c r="V28" s="494">
        <f t="shared" si="14"/>
        <v>165146.30136986301</v>
      </c>
      <c r="Y28" s="466"/>
      <c r="Z28" s="152"/>
      <c r="AO28" s="467"/>
      <c r="BD28" s="152"/>
    </row>
    <row r="29" spans="2:56">
      <c r="B29" s="498" t="s">
        <v>2111</v>
      </c>
      <c r="C29" s="1068" t="s">
        <v>2686</v>
      </c>
      <c r="D29" s="499">
        <v>46023</v>
      </c>
      <c r="E29" s="499">
        <v>46387</v>
      </c>
      <c r="F29" s="500" t="s">
        <v>2651</v>
      </c>
      <c r="G29" s="492">
        <f t="shared" si="2"/>
        <v>12</v>
      </c>
      <c r="H29" s="493">
        <f t="shared" si="11"/>
        <v>300</v>
      </c>
      <c r="I29" s="501">
        <f t="shared" si="3"/>
        <v>3600</v>
      </c>
      <c r="J29" s="492">
        <f t="shared" si="12"/>
        <v>18</v>
      </c>
      <c r="K29" s="493">
        <f t="shared" si="4"/>
        <v>3000</v>
      </c>
      <c r="L29" s="501">
        <f t="shared" si="1"/>
        <v>54000</v>
      </c>
      <c r="M29" s="492">
        <f t="shared" si="5"/>
        <v>12</v>
      </c>
      <c r="N29" s="493">
        <f t="shared" si="6"/>
        <v>6000</v>
      </c>
      <c r="O29" s="501">
        <f t="shared" si="7"/>
        <v>72000</v>
      </c>
      <c r="P29" s="502">
        <f t="shared" si="8"/>
        <v>129600</v>
      </c>
      <c r="Q29" s="503" t="s">
        <v>2675</v>
      </c>
      <c r="R29" s="503">
        <v>6</v>
      </c>
      <c r="S29" s="504">
        <v>20000</v>
      </c>
      <c r="T29" s="505">
        <f>R29*S29</f>
        <v>120000</v>
      </c>
      <c r="U29" s="501">
        <f t="shared" si="15"/>
        <v>249600</v>
      </c>
      <c r="V29" s="501">
        <f t="shared" si="14"/>
        <v>248916.16438356164</v>
      </c>
      <c r="Y29" s="466"/>
      <c r="Z29" s="152"/>
      <c r="AO29" s="467"/>
      <c r="BD29" s="152"/>
    </row>
    <row r="30" spans="2:56">
      <c r="B30" s="469" t="s">
        <v>2111</v>
      </c>
      <c r="C30" s="1067" t="s">
        <v>2687</v>
      </c>
      <c r="D30" s="490">
        <v>46023</v>
      </c>
      <c r="E30" s="506">
        <v>46387</v>
      </c>
      <c r="F30" s="491" t="s">
        <v>2653</v>
      </c>
      <c r="G30" s="492">
        <f t="shared" si="2"/>
        <v>12</v>
      </c>
      <c r="H30" s="493">
        <f t="shared" si="11"/>
        <v>300</v>
      </c>
      <c r="I30" s="494">
        <f t="shared" si="3"/>
        <v>3600</v>
      </c>
      <c r="J30" s="492">
        <f t="shared" si="12"/>
        <v>18</v>
      </c>
      <c r="K30" s="493">
        <f t="shared" si="4"/>
        <v>3000</v>
      </c>
      <c r="L30" s="494">
        <f t="shared" ref="L30:L42" si="16">J30*K30</f>
        <v>54000</v>
      </c>
      <c r="M30" s="492">
        <f t="shared" si="5"/>
        <v>6</v>
      </c>
      <c r="N30" s="493">
        <f t="shared" si="6"/>
        <v>6000</v>
      </c>
      <c r="O30" s="494">
        <f t="shared" si="7"/>
        <v>36000</v>
      </c>
      <c r="P30" s="495">
        <f t="shared" si="8"/>
        <v>93600</v>
      </c>
      <c r="Q30" s="77" t="s">
        <v>2675</v>
      </c>
      <c r="R30" s="77"/>
      <c r="S30" s="493"/>
      <c r="T30" s="496"/>
      <c r="U30" s="494">
        <f t="shared" si="15"/>
        <v>93600</v>
      </c>
      <c r="V30" s="494">
        <f t="shared" si="14"/>
        <v>93343.561643835623</v>
      </c>
      <c r="Y30" s="466"/>
      <c r="Z30" s="152"/>
      <c r="AO30" s="467"/>
      <c r="BD30" s="152"/>
    </row>
    <row r="31" spans="2:56">
      <c r="B31" s="469" t="s">
        <v>2111</v>
      </c>
      <c r="C31" s="1067" t="s">
        <v>2688</v>
      </c>
      <c r="D31" s="490">
        <v>46023</v>
      </c>
      <c r="E31" s="506">
        <v>46387</v>
      </c>
      <c r="F31" s="491" t="s">
        <v>2651</v>
      </c>
      <c r="G31" s="492">
        <f t="shared" si="2"/>
        <v>12</v>
      </c>
      <c r="H31" s="493">
        <f t="shared" si="11"/>
        <v>300</v>
      </c>
      <c r="I31" s="494">
        <f t="shared" si="3"/>
        <v>3600</v>
      </c>
      <c r="J31" s="492">
        <f t="shared" si="12"/>
        <v>18</v>
      </c>
      <c r="K31" s="493">
        <f t="shared" si="4"/>
        <v>3000</v>
      </c>
      <c r="L31" s="494">
        <f t="shared" si="16"/>
        <v>54000</v>
      </c>
      <c r="M31" s="492">
        <f t="shared" si="5"/>
        <v>12</v>
      </c>
      <c r="N31" s="493">
        <f t="shared" si="6"/>
        <v>6000</v>
      </c>
      <c r="O31" s="494">
        <f t="shared" si="7"/>
        <v>72000</v>
      </c>
      <c r="P31" s="495">
        <f t="shared" si="8"/>
        <v>129600</v>
      </c>
      <c r="Q31" s="77" t="s">
        <v>2675</v>
      </c>
      <c r="R31" s="77"/>
      <c r="S31" s="493"/>
      <c r="T31" s="496"/>
      <c r="U31" s="494">
        <f t="shared" si="15"/>
        <v>129600</v>
      </c>
      <c r="V31" s="494">
        <f t="shared" si="14"/>
        <v>129244.93150684932</v>
      </c>
      <c r="Y31" s="466"/>
      <c r="Z31" s="152"/>
      <c r="AO31" s="467"/>
      <c r="BD31" s="152"/>
    </row>
    <row r="32" spans="2:56">
      <c r="B32" s="469" t="s">
        <v>2111</v>
      </c>
      <c r="C32" s="1067" t="s">
        <v>2689</v>
      </c>
      <c r="D32" s="490">
        <v>46023</v>
      </c>
      <c r="E32" s="506">
        <v>46387</v>
      </c>
      <c r="F32" s="491" t="s">
        <v>2655</v>
      </c>
      <c r="G32" s="492">
        <f t="shared" si="2"/>
        <v>18</v>
      </c>
      <c r="H32" s="493">
        <f t="shared" si="11"/>
        <v>300</v>
      </c>
      <c r="I32" s="494">
        <f t="shared" si="3"/>
        <v>5400</v>
      </c>
      <c r="J32" s="492">
        <f t="shared" si="12"/>
        <v>6</v>
      </c>
      <c r="K32" s="493">
        <f t="shared" si="4"/>
        <v>1000</v>
      </c>
      <c r="L32" s="494">
        <f t="shared" si="16"/>
        <v>6000</v>
      </c>
      <c r="M32" s="492">
        <f t="shared" si="5"/>
        <v>1</v>
      </c>
      <c r="N32" s="493">
        <f t="shared" si="6"/>
        <v>6000</v>
      </c>
      <c r="O32" s="494">
        <f t="shared" si="7"/>
        <v>6000</v>
      </c>
      <c r="P32" s="495">
        <f t="shared" si="8"/>
        <v>17400</v>
      </c>
      <c r="Q32" s="77" t="s">
        <v>2673</v>
      </c>
      <c r="R32" s="77"/>
      <c r="S32" s="493"/>
      <c r="T32" s="496"/>
      <c r="U32" s="494">
        <f t="shared" si="15"/>
        <v>17400</v>
      </c>
      <c r="V32" s="494">
        <f t="shared" si="14"/>
        <v>17352.328767123287</v>
      </c>
      <c r="W32" s="507"/>
      <c r="Y32" s="466"/>
      <c r="Z32" s="152"/>
      <c r="AO32" s="467"/>
      <c r="BD32" s="152"/>
    </row>
    <row r="33" spans="1:56">
      <c r="B33" s="498" t="s">
        <v>2111</v>
      </c>
      <c r="C33" s="1068" t="s">
        <v>2045</v>
      </c>
      <c r="D33" s="499">
        <v>46023</v>
      </c>
      <c r="E33" s="499">
        <v>46387</v>
      </c>
      <c r="F33" s="497" t="s">
        <v>2653</v>
      </c>
      <c r="G33" s="492">
        <f t="shared" si="2"/>
        <v>12</v>
      </c>
      <c r="H33" s="493">
        <f t="shared" si="11"/>
        <v>300</v>
      </c>
      <c r="I33" s="501">
        <f t="shared" si="3"/>
        <v>3600</v>
      </c>
      <c r="J33" s="492">
        <f t="shared" si="12"/>
        <v>18</v>
      </c>
      <c r="K33" s="493">
        <f t="shared" si="4"/>
        <v>3000</v>
      </c>
      <c r="L33" s="501">
        <f t="shared" si="16"/>
        <v>54000</v>
      </c>
      <c r="M33" s="492">
        <f t="shared" si="5"/>
        <v>6</v>
      </c>
      <c r="N33" s="493">
        <f t="shared" si="6"/>
        <v>6000</v>
      </c>
      <c r="O33" s="501">
        <f t="shared" si="7"/>
        <v>36000</v>
      </c>
      <c r="P33" s="502">
        <f t="shared" si="8"/>
        <v>93600</v>
      </c>
      <c r="Q33" s="503" t="s">
        <v>2675</v>
      </c>
      <c r="R33" s="503"/>
      <c r="S33" s="504"/>
      <c r="T33" s="505"/>
      <c r="U33" s="501">
        <f t="shared" si="15"/>
        <v>93600</v>
      </c>
      <c r="V33" s="501">
        <f t="shared" ref="V33:V35" si="17">U33*(E33-D33)/365</f>
        <v>93343.561643835623</v>
      </c>
      <c r="Y33" s="466"/>
      <c r="Z33" s="152"/>
      <c r="AO33" s="467"/>
      <c r="BD33" s="152"/>
    </row>
    <row r="34" spans="1:56">
      <c r="B34" s="498" t="s">
        <v>2111</v>
      </c>
      <c r="C34" s="1068" t="s">
        <v>2690</v>
      </c>
      <c r="D34" s="499">
        <v>46023</v>
      </c>
      <c r="E34" s="499">
        <v>46387</v>
      </c>
      <c r="F34" s="500" t="s">
        <v>2655</v>
      </c>
      <c r="G34" s="492">
        <f t="shared" si="2"/>
        <v>18</v>
      </c>
      <c r="H34" s="493">
        <f t="shared" si="11"/>
        <v>300</v>
      </c>
      <c r="I34" s="501">
        <f t="shared" si="3"/>
        <v>5400</v>
      </c>
      <c r="J34" s="492">
        <f t="shared" si="12"/>
        <v>6</v>
      </c>
      <c r="K34" s="493">
        <f t="shared" si="4"/>
        <v>1000</v>
      </c>
      <c r="L34" s="501">
        <f t="shared" si="16"/>
        <v>6000</v>
      </c>
      <c r="M34" s="492">
        <f t="shared" si="5"/>
        <v>1</v>
      </c>
      <c r="N34" s="493">
        <f t="shared" si="6"/>
        <v>6000</v>
      </c>
      <c r="O34" s="501">
        <f t="shared" si="7"/>
        <v>6000</v>
      </c>
      <c r="P34" s="502">
        <f t="shared" si="8"/>
        <v>17400</v>
      </c>
      <c r="Q34" s="503" t="s">
        <v>2673</v>
      </c>
      <c r="R34" s="503"/>
      <c r="S34" s="504"/>
      <c r="T34" s="505"/>
      <c r="U34" s="501">
        <f t="shared" si="15"/>
        <v>17400</v>
      </c>
      <c r="V34" s="501">
        <f t="shared" si="17"/>
        <v>17352.328767123287</v>
      </c>
      <c r="Y34" s="466"/>
      <c r="Z34" s="152"/>
      <c r="AO34" s="467"/>
      <c r="BD34" s="152"/>
    </row>
    <row r="35" spans="1:56">
      <c r="B35" s="498" t="s">
        <v>2111</v>
      </c>
      <c r="C35" s="1068" t="s">
        <v>2691</v>
      </c>
      <c r="D35" s="499">
        <v>46023</v>
      </c>
      <c r="E35" s="499">
        <v>46387</v>
      </c>
      <c r="F35" s="500" t="s">
        <v>2655</v>
      </c>
      <c r="G35" s="492">
        <f t="shared" si="2"/>
        <v>18</v>
      </c>
      <c r="H35" s="493">
        <f t="shared" si="11"/>
        <v>300</v>
      </c>
      <c r="I35" s="501">
        <f t="shared" si="3"/>
        <v>5400</v>
      </c>
      <c r="J35" s="492">
        <f t="shared" si="12"/>
        <v>6</v>
      </c>
      <c r="K35" s="493">
        <f t="shared" si="4"/>
        <v>1000</v>
      </c>
      <c r="L35" s="501">
        <f t="shared" si="16"/>
        <v>6000</v>
      </c>
      <c r="M35" s="492">
        <f t="shared" si="5"/>
        <v>1</v>
      </c>
      <c r="N35" s="493">
        <f t="shared" si="6"/>
        <v>6000</v>
      </c>
      <c r="O35" s="501">
        <f t="shared" si="7"/>
        <v>6000</v>
      </c>
      <c r="P35" s="502">
        <f t="shared" si="8"/>
        <v>17400</v>
      </c>
      <c r="Q35" s="503" t="s">
        <v>2673</v>
      </c>
      <c r="R35" s="503"/>
      <c r="S35" s="504"/>
      <c r="T35" s="505"/>
      <c r="U35" s="501">
        <f t="shared" si="15"/>
        <v>17400</v>
      </c>
      <c r="V35" s="501">
        <f t="shared" si="17"/>
        <v>17352.328767123287</v>
      </c>
      <c r="Y35" s="466"/>
      <c r="Z35" s="152"/>
      <c r="AO35" s="467"/>
      <c r="BD35" s="152"/>
    </row>
    <row r="36" spans="1:56">
      <c r="B36" s="498" t="s">
        <v>2111</v>
      </c>
      <c r="C36" s="1068" t="s">
        <v>2049</v>
      </c>
      <c r="D36" s="499">
        <v>46023</v>
      </c>
      <c r="E36" s="499">
        <v>46387</v>
      </c>
      <c r="F36" s="500" t="s">
        <v>2651</v>
      </c>
      <c r="G36" s="492">
        <f t="shared" si="2"/>
        <v>12</v>
      </c>
      <c r="H36" s="493">
        <f t="shared" si="11"/>
        <v>300</v>
      </c>
      <c r="I36" s="501">
        <f t="shared" si="3"/>
        <v>3600</v>
      </c>
      <c r="J36" s="492">
        <f t="shared" si="12"/>
        <v>18</v>
      </c>
      <c r="K36" s="493">
        <f t="shared" si="4"/>
        <v>3000</v>
      </c>
      <c r="L36" s="501">
        <f t="shared" si="16"/>
        <v>54000</v>
      </c>
      <c r="M36" s="492">
        <f t="shared" si="5"/>
        <v>12</v>
      </c>
      <c r="N36" s="493">
        <f t="shared" si="6"/>
        <v>6000</v>
      </c>
      <c r="O36" s="501">
        <f t="shared" si="7"/>
        <v>72000</v>
      </c>
      <c r="P36" s="502">
        <f t="shared" si="8"/>
        <v>129600</v>
      </c>
      <c r="Q36" s="503" t="s">
        <v>2675</v>
      </c>
      <c r="R36" s="503"/>
      <c r="S36" s="504"/>
      <c r="T36" s="505"/>
      <c r="U36" s="501">
        <f t="shared" ref="U36:U42" si="18">P36+T36</f>
        <v>129600</v>
      </c>
      <c r="V36" s="501">
        <f t="shared" ref="V36:V41" si="19">U36*(E36-D36)/365</f>
        <v>129244.93150684932</v>
      </c>
      <c r="Y36" s="466"/>
      <c r="Z36" s="152"/>
      <c r="AO36" s="467"/>
      <c r="BD36" s="152"/>
    </row>
    <row r="37" spans="1:56">
      <c r="B37" s="469" t="s">
        <v>2242</v>
      </c>
      <c r="C37" s="1067" t="s">
        <v>2692</v>
      </c>
      <c r="D37" s="490">
        <v>46023</v>
      </c>
      <c r="E37" s="490">
        <v>46387</v>
      </c>
      <c r="F37" s="491" t="s">
        <v>2651</v>
      </c>
      <c r="G37" s="492">
        <f t="shared" si="2"/>
        <v>12</v>
      </c>
      <c r="H37" s="493">
        <f t="shared" si="11"/>
        <v>300</v>
      </c>
      <c r="I37" s="494">
        <f t="shared" si="3"/>
        <v>3600</v>
      </c>
      <c r="J37" s="492">
        <f t="shared" si="12"/>
        <v>18</v>
      </c>
      <c r="K37" s="493">
        <f t="shared" si="4"/>
        <v>3000</v>
      </c>
      <c r="L37" s="494">
        <f t="shared" si="16"/>
        <v>54000</v>
      </c>
      <c r="M37" s="492">
        <f t="shared" si="5"/>
        <v>12</v>
      </c>
      <c r="N37" s="493">
        <f t="shared" si="6"/>
        <v>6000</v>
      </c>
      <c r="O37" s="494">
        <f t="shared" si="7"/>
        <v>72000</v>
      </c>
      <c r="P37" s="495">
        <f t="shared" si="8"/>
        <v>129600</v>
      </c>
      <c r="Q37" s="77" t="s">
        <v>2675</v>
      </c>
      <c r="R37" s="77"/>
      <c r="S37" s="493"/>
      <c r="T37" s="496"/>
      <c r="U37" s="494">
        <f t="shared" si="18"/>
        <v>129600</v>
      </c>
      <c r="V37" s="494">
        <f t="shared" si="19"/>
        <v>129244.93150684932</v>
      </c>
      <c r="Y37" s="466"/>
      <c r="Z37" s="152"/>
      <c r="AO37" s="467"/>
      <c r="BD37" s="152"/>
    </row>
    <row r="38" spans="1:56">
      <c r="B38" s="469" t="s">
        <v>2242</v>
      </c>
      <c r="C38" s="1067" t="s">
        <v>2693</v>
      </c>
      <c r="D38" s="490">
        <v>46023</v>
      </c>
      <c r="E38" s="490">
        <v>46387</v>
      </c>
      <c r="F38" s="497" t="s">
        <v>2653</v>
      </c>
      <c r="G38" s="492">
        <f t="shared" si="2"/>
        <v>12</v>
      </c>
      <c r="H38" s="493">
        <f t="shared" si="11"/>
        <v>300</v>
      </c>
      <c r="I38" s="494">
        <f t="shared" si="3"/>
        <v>3600</v>
      </c>
      <c r="J38" s="492">
        <f t="shared" si="12"/>
        <v>18</v>
      </c>
      <c r="K38" s="493">
        <f t="shared" si="4"/>
        <v>3000</v>
      </c>
      <c r="L38" s="494">
        <f t="shared" si="16"/>
        <v>54000</v>
      </c>
      <c r="M38" s="492">
        <f t="shared" si="5"/>
        <v>6</v>
      </c>
      <c r="N38" s="493">
        <f t="shared" si="6"/>
        <v>6000</v>
      </c>
      <c r="O38" s="494">
        <f t="shared" si="7"/>
        <v>36000</v>
      </c>
      <c r="P38" s="495">
        <f t="shared" si="8"/>
        <v>93600</v>
      </c>
      <c r="Q38" s="77" t="s">
        <v>2675</v>
      </c>
      <c r="R38" s="77"/>
      <c r="S38" s="493"/>
      <c r="T38" s="496"/>
      <c r="U38" s="494">
        <f t="shared" si="18"/>
        <v>93600</v>
      </c>
      <c r="V38" s="494">
        <f t="shared" si="19"/>
        <v>93343.561643835623</v>
      </c>
      <c r="Y38" s="466"/>
      <c r="Z38" s="152"/>
      <c r="AO38" s="467"/>
      <c r="BD38" s="152"/>
    </row>
    <row r="39" spans="1:56">
      <c r="B39" s="469" t="s">
        <v>2242</v>
      </c>
      <c r="C39" s="1067" t="s">
        <v>2694</v>
      </c>
      <c r="D39" s="490">
        <v>46023</v>
      </c>
      <c r="E39" s="506">
        <v>46387</v>
      </c>
      <c r="F39" s="497" t="s">
        <v>2653</v>
      </c>
      <c r="G39" s="492">
        <f t="shared" si="2"/>
        <v>12</v>
      </c>
      <c r="H39" s="493">
        <f t="shared" si="11"/>
        <v>300</v>
      </c>
      <c r="I39" s="494">
        <f t="shared" si="3"/>
        <v>3600</v>
      </c>
      <c r="J39" s="492">
        <f t="shared" si="12"/>
        <v>18</v>
      </c>
      <c r="K39" s="493">
        <f t="shared" si="4"/>
        <v>3000</v>
      </c>
      <c r="L39" s="494">
        <f t="shared" si="16"/>
        <v>54000</v>
      </c>
      <c r="M39" s="492">
        <f t="shared" si="5"/>
        <v>6</v>
      </c>
      <c r="N39" s="493">
        <f t="shared" si="6"/>
        <v>6000</v>
      </c>
      <c r="O39" s="494">
        <f t="shared" si="7"/>
        <v>36000</v>
      </c>
      <c r="P39" s="495">
        <f t="shared" si="8"/>
        <v>93600</v>
      </c>
      <c r="Q39" s="77" t="s">
        <v>2675</v>
      </c>
      <c r="R39" s="77"/>
      <c r="S39" s="493"/>
      <c r="T39" s="496"/>
      <c r="U39" s="494">
        <f t="shared" si="18"/>
        <v>93600</v>
      </c>
      <c r="V39" s="494">
        <f t="shared" si="19"/>
        <v>93343.561643835623</v>
      </c>
      <c r="W39" s="507"/>
      <c r="Y39" s="466"/>
      <c r="Z39" s="152"/>
      <c r="AO39" s="467"/>
      <c r="BD39" s="152"/>
    </row>
    <row r="40" spans="1:56">
      <c r="B40" s="469" t="s">
        <v>2242</v>
      </c>
      <c r="C40" s="1067" t="s">
        <v>2695</v>
      </c>
      <c r="D40" s="490">
        <v>46023</v>
      </c>
      <c r="E40" s="506">
        <v>46387</v>
      </c>
      <c r="F40" s="497" t="s">
        <v>2653</v>
      </c>
      <c r="G40" s="492">
        <f t="shared" si="2"/>
        <v>12</v>
      </c>
      <c r="H40" s="493">
        <f t="shared" si="11"/>
        <v>300</v>
      </c>
      <c r="I40" s="494">
        <f t="shared" si="3"/>
        <v>3600</v>
      </c>
      <c r="J40" s="492">
        <f t="shared" si="12"/>
        <v>18</v>
      </c>
      <c r="K40" s="493">
        <f t="shared" si="4"/>
        <v>3000</v>
      </c>
      <c r="L40" s="494">
        <f t="shared" si="16"/>
        <v>54000</v>
      </c>
      <c r="M40" s="492">
        <f t="shared" si="5"/>
        <v>6</v>
      </c>
      <c r="N40" s="493">
        <f t="shared" si="6"/>
        <v>6000</v>
      </c>
      <c r="O40" s="494">
        <f t="shared" si="7"/>
        <v>36000</v>
      </c>
      <c r="P40" s="495">
        <f t="shared" si="8"/>
        <v>93600</v>
      </c>
      <c r="Q40" s="77" t="s">
        <v>2675</v>
      </c>
      <c r="R40" s="77"/>
      <c r="S40" s="493"/>
      <c r="T40" s="496"/>
      <c r="U40" s="494">
        <f t="shared" si="18"/>
        <v>93600</v>
      </c>
      <c r="V40" s="494">
        <f t="shared" si="19"/>
        <v>93343.561643835623</v>
      </c>
      <c r="Y40" s="466"/>
      <c r="Z40" s="152"/>
      <c r="AO40" s="467"/>
      <c r="BD40" s="152"/>
    </row>
    <row r="41" spans="1:56">
      <c r="B41" s="469" t="s">
        <v>2242</v>
      </c>
      <c r="C41" s="1067" t="s">
        <v>2696</v>
      </c>
      <c r="D41" s="490">
        <v>46023</v>
      </c>
      <c r="E41" s="490">
        <v>46387</v>
      </c>
      <c r="F41" s="491" t="s">
        <v>2655</v>
      </c>
      <c r="G41" s="492">
        <f t="shared" si="2"/>
        <v>18</v>
      </c>
      <c r="H41" s="493">
        <f t="shared" si="11"/>
        <v>300</v>
      </c>
      <c r="I41" s="494">
        <f t="shared" si="3"/>
        <v>5400</v>
      </c>
      <c r="J41" s="492">
        <f t="shared" si="12"/>
        <v>6</v>
      </c>
      <c r="K41" s="493">
        <f t="shared" si="4"/>
        <v>1000</v>
      </c>
      <c r="L41" s="494">
        <f t="shared" si="16"/>
        <v>6000</v>
      </c>
      <c r="M41" s="492">
        <f t="shared" si="5"/>
        <v>1</v>
      </c>
      <c r="N41" s="493">
        <f t="shared" si="6"/>
        <v>6000</v>
      </c>
      <c r="O41" s="494">
        <f t="shared" si="7"/>
        <v>6000</v>
      </c>
      <c r="P41" s="495">
        <f t="shared" si="8"/>
        <v>17400</v>
      </c>
      <c r="Q41" s="77" t="s">
        <v>2673</v>
      </c>
      <c r="R41" s="77"/>
      <c r="S41" s="493"/>
      <c r="T41" s="496"/>
      <c r="U41" s="494">
        <f t="shared" si="18"/>
        <v>17400</v>
      </c>
      <c r="V41" s="494">
        <f t="shared" si="19"/>
        <v>17352.328767123287</v>
      </c>
      <c r="W41" s="507"/>
      <c r="Y41" s="466"/>
      <c r="Z41" s="152"/>
      <c r="AO41" s="467"/>
      <c r="BD41" s="152"/>
    </row>
    <row r="42" spans="1:56">
      <c r="B42" s="469" t="s">
        <v>2242</v>
      </c>
      <c r="C42" s="1067" t="s">
        <v>2697</v>
      </c>
      <c r="D42" s="490">
        <v>46023</v>
      </c>
      <c r="E42" s="490">
        <v>46387</v>
      </c>
      <c r="F42" s="491" t="s">
        <v>2655</v>
      </c>
      <c r="G42" s="492">
        <f t="shared" si="2"/>
        <v>18</v>
      </c>
      <c r="H42" s="493">
        <f t="shared" si="11"/>
        <v>300</v>
      </c>
      <c r="I42" s="494">
        <f t="shared" si="3"/>
        <v>5400</v>
      </c>
      <c r="J42" s="492">
        <f t="shared" si="12"/>
        <v>6</v>
      </c>
      <c r="K42" s="493">
        <f t="shared" si="4"/>
        <v>1000</v>
      </c>
      <c r="L42" s="494">
        <f t="shared" si="16"/>
        <v>6000</v>
      </c>
      <c r="M42" s="492">
        <f t="shared" si="5"/>
        <v>1</v>
      </c>
      <c r="N42" s="493">
        <f t="shared" si="6"/>
        <v>6000</v>
      </c>
      <c r="O42" s="494">
        <f t="shared" si="7"/>
        <v>6000</v>
      </c>
      <c r="P42" s="495">
        <f t="shared" si="8"/>
        <v>17400</v>
      </c>
      <c r="Q42" s="77" t="s">
        <v>2673</v>
      </c>
      <c r="R42" s="77"/>
      <c r="S42" s="493"/>
      <c r="T42" s="496"/>
      <c r="U42" s="494">
        <f t="shared" si="18"/>
        <v>17400</v>
      </c>
      <c r="V42" s="494">
        <f t="shared" ref="V42" si="20">U42*(E42-D42)/365</f>
        <v>17352.328767123287</v>
      </c>
      <c r="Y42" s="466"/>
      <c r="Z42" s="152"/>
      <c r="AO42" s="467"/>
      <c r="BD42" s="152"/>
    </row>
    <row r="43" spans="1:56">
      <c r="B43" s="469"/>
      <c r="C43" s="76"/>
      <c r="D43" s="506"/>
      <c r="E43" s="506"/>
      <c r="F43" s="491"/>
      <c r="G43" s="492"/>
      <c r="H43" s="493"/>
      <c r="I43" s="494"/>
      <c r="J43" s="492"/>
      <c r="K43" s="493"/>
      <c r="L43" s="494"/>
      <c r="M43" s="492"/>
      <c r="N43" s="493"/>
      <c r="O43" s="494"/>
      <c r="P43" s="495"/>
      <c r="Q43" s="77"/>
      <c r="R43" s="77"/>
      <c r="S43" s="493"/>
      <c r="T43" s="496"/>
      <c r="U43" s="494"/>
      <c r="V43" s="494"/>
      <c r="Y43" s="466"/>
      <c r="Z43" s="152"/>
      <c r="AO43" s="467"/>
      <c r="BD43" s="152"/>
    </row>
    <row r="44" spans="1:56" ht="13.5" thickBot="1">
      <c r="B44" s="508"/>
      <c r="C44" s="509"/>
      <c r="D44" s="510"/>
      <c r="E44" s="510"/>
      <c r="F44" s="511"/>
      <c r="G44" s="512"/>
      <c r="H44" s="513"/>
      <c r="I44" s="514"/>
      <c r="J44" s="512"/>
      <c r="K44" s="513"/>
      <c r="L44" s="514"/>
      <c r="M44" s="512"/>
      <c r="N44" s="513"/>
      <c r="O44" s="514"/>
      <c r="P44" s="515"/>
      <c r="Q44" s="516"/>
      <c r="R44" s="516"/>
      <c r="S44" s="513"/>
      <c r="T44" s="515"/>
      <c r="U44" s="517"/>
      <c r="V44" s="517"/>
      <c r="Y44" s="466"/>
      <c r="Z44" s="152"/>
      <c r="AO44" s="467"/>
      <c r="BD44" s="152"/>
    </row>
    <row r="45" spans="1:56" ht="13.5" thickBot="1">
      <c r="B45" s="518"/>
      <c r="C45" s="519"/>
      <c r="D45" s="519"/>
      <c r="E45" s="519"/>
      <c r="F45" s="520"/>
      <c r="G45" s="521">
        <f>SUM(G17:G44)</f>
        <v>354</v>
      </c>
      <c r="H45" s="522"/>
      <c r="I45" s="521">
        <f>SUM(I17:I44)</f>
        <v>106200</v>
      </c>
      <c r="J45" s="521">
        <f>SUM(J17:J44)</f>
        <v>369</v>
      </c>
      <c r="K45" s="522"/>
      <c r="L45" s="521">
        <f>SUM(L17:L44)</f>
        <v>1023000</v>
      </c>
      <c r="M45" s="521">
        <f>SUM(M17:M44)</f>
        <v>184</v>
      </c>
      <c r="N45" s="522"/>
      <c r="O45" s="521">
        <f>SUM(O17:O44)</f>
        <v>1104000</v>
      </c>
      <c r="P45" s="521">
        <f>SUM(P17:P44)</f>
        <v>2233200</v>
      </c>
      <c r="Q45" s="522"/>
      <c r="R45" s="521">
        <f>SUM(R17:R44)</f>
        <v>9</v>
      </c>
      <c r="S45" s="523"/>
      <c r="T45" s="521">
        <f>SUM(T17:T44)</f>
        <v>180000</v>
      </c>
      <c r="U45" s="524">
        <f>SUM(U17:U44)</f>
        <v>2413200</v>
      </c>
      <c r="V45" s="524">
        <f>SUM(V17:V44)</f>
        <v>2406588.493150685</v>
      </c>
      <c r="Y45" s="466"/>
      <c r="Z45" s="152"/>
      <c r="AO45" s="467"/>
      <c r="BD45" s="152"/>
    </row>
    <row r="46" spans="1:56" ht="8.1" customHeight="1">
      <c r="A46" s="154"/>
      <c r="B46" s="154"/>
      <c r="C46" s="154"/>
      <c r="D46" s="154"/>
      <c r="E46" s="154"/>
      <c r="F46" s="154"/>
      <c r="G46" s="154"/>
      <c r="H46" s="154"/>
      <c r="I46" s="154"/>
      <c r="J46" s="154"/>
      <c r="K46" s="154"/>
      <c r="L46" s="154"/>
      <c r="M46" s="154"/>
      <c r="N46" s="154"/>
      <c r="O46" s="154"/>
      <c r="P46" s="154"/>
      <c r="Q46" s="158"/>
      <c r="R46" s="154"/>
      <c r="S46" s="154"/>
      <c r="T46" s="158"/>
      <c r="U46" s="158"/>
      <c r="V46" s="158"/>
      <c r="W46" s="158"/>
      <c r="X46" s="158"/>
      <c r="Y46" s="158"/>
      <c r="Z46" s="525"/>
      <c r="AA46" s="158"/>
      <c r="AB46" s="158"/>
      <c r="AC46" s="158"/>
      <c r="AD46" s="158"/>
      <c r="AE46" s="158"/>
      <c r="AF46" s="158"/>
      <c r="AG46" s="158"/>
      <c r="AH46" s="158"/>
      <c r="AI46" s="158"/>
      <c r="AJ46" s="158"/>
      <c r="AP46" s="152"/>
      <c r="AQ46" s="152"/>
      <c r="AR46" s="152"/>
      <c r="AS46" s="152"/>
      <c r="AT46" s="152"/>
      <c r="AU46" s="152"/>
      <c r="AV46" s="152"/>
      <c r="AW46" s="152"/>
      <c r="AX46" s="152"/>
      <c r="AY46" s="152"/>
      <c r="AZ46" s="152"/>
      <c r="BA46" s="152"/>
      <c r="BB46" s="152"/>
      <c r="BC46" s="152"/>
      <c r="BD46" s="152"/>
    </row>
    <row r="47" spans="1:56" s="150" customFormat="1" ht="39.950000000000003" customHeight="1">
      <c r="A47" s="162"/>
      <c r="B47" s="526" t="s">
        <v>2598</v>
      </c>
      <c r="C47" s="527" t="s">
        <v>2600</v>
      </c>
      <c r="D47" s="528" t="s">
        <v>2698</v>
      </c>
      <c r="E47" s="528" t="s">
        <v>2602</v>
      </c>
      <c r="F47" s="528" t="s">
        <v>2603</v>
      </c>
      <c r="G47" s="164" t="s">
        <v>2604</v>
      </c>
      <c r="H47" s="164" t="s">
        <v>2605</v>
      </c>
      <c r="I47" s="165" t="s">
        <v>2606</v>
      </c>
      <c r="J47" s="166" t="s">
        <v>2607</v>
      </c>
      <c r="K47" s="167" t="s">
        <v>2608</v>
      </c>
      <c r="L47" s="167" t="s">
        <v>2609</v>
      </c>
      <c r="M47" s="166" t="s">
        <v>2610</v>
      </c>
      <c r="N47" s="1134">
        <v>46023</v>
      </c>
      <c r="O47" s="1134">
        <v>46054</v>
      </c>
      <c r="P47" s="1134">
        <v>46082</v>
      </c>
      <c r="Q47" s="1134">
        <v>46113</v>
      </c>
      <c r="R47" s="1134">
        <v>46143</v>
      </c>
      <c r="S47" s="1134">
        <v>46174</v>
      </c>
      <c r="T47" s="1134">
        <v>46204</v>
      </c>
      <c r="U47" s="1134">
        <v>46235</v>
      </c>
      <c r="V47" s="1134">
        <v>46266</v>
      </c>
      <c r="W47" s="1134">
        <v>46296</v>
      </c>
      <c r="X47" s="1134">
        <v>46327</v>
      </c>
      <c r="Y47" s="1134">
        <v>46357</v>
      </c>
      <c r="Z47" s="168" t="s">
        <v>2115</v>
      </c>
      <c r="AA47" s="529"/>
      <c r="AB47" s="1134">
        <v>46023</v>
      </c>
      <c r="AC47" s="1134">
        <v>46054</v>
      </c>
      <c r="AD47" s="1134">
        <v>46082</v>
      </c>
      <c r="AE47" s="1134">
        <v>46113</v>
      </c>
      <c r="AF47" s="1134">
        <v>46143</v>
      </c>
      <c r="AG47" s="1134">
        <v>46174</v>
      </c>
      <c r="AH47" s="1134">
        <v>46204</v>
      </c>
      <c r="AI47" s="1134">
        <v>46235</v>
      </c>
      <c r="AJ47" s="1134">
        <v>46266</v>
      </c>
      <c r="AK47" s="1134">
        <v>46296</v>
      </c>
      <c r="AL47" s="1134">
        <v>46327</v>
      </c>
      <c r="AM47" s="1134">
        <v>46357</v>
      </c>
      <c r="AN47" s="168" t="s">
        <v>2115</v>
      </c>
    </row>
    <row r="48" spans="1:56" s="150" customFormat="1" ht="13.5" customHeight="1">
      <c r="A48" s="162"/>
      <c r="B48" s="162"/>
      <c r="C48" s="162"/>
      <c r="D48" s="163"/>
      <c r="E48" s="163"/>
      <c r="F48" s="163"/>
      <c r="G48" s="164"/>
      <c r="H48" s="164"/>
      <c r="I48" s="165"/>
      <c r="J48" s="166"/>
      <c r="K48" s="167"/>
      <c r="L48" s="167"/>
      <c r="M48" s="166"/>
      <c r="N48" s="69" t="s">
        <v>2046</v>
      </c>
      <c r="O48" s="69" t="s">
        <v>2046</v>
      </c>
      <c r="P48" s="69" t="s">
        <v>2046</v>
      </c>
      <c r="Q48" s="69" t="s">
        <v>2046</v>
      </c>
      <c r="R48" s="69" t="s">
        <v>2046</v>
      </c>
      <c r="S48" s="69" t="s">
        <v>2046</v>
      </c>
      <c r="T48" s="69" t="s">
        <v>2046</v>
      </c>
      <c r="U48" s="69" t="s">
        <v>2046</v>
      </c>
      <c r="V48" s="69" t="s">
        <v>2046</v>
      </c>
      <c r="W48" s="69" t="s">
        <v>2046</v>
      </c>
      <c r="X48" s="69" t="s">
        <v>2046</v>
      </c>
      <c r="Y48" s="69" t="s">
        <v>2046</v>
      </c>
      <c r="Z48" s="168" t="s">
        <v>2046</v>
      </c>
      <c r="AA48" s="530" t="s">
        <v>2699</v>
      </c>
      <c r="AB48" s="69" t="s">
        <v>2046</v>
      </c>
      <c r="AC48" s="69" t="s">
        <v>2046</v>
      </c>
      <c r="AD48" s="69" t="s">
        <v>2046</v>
      </c>
      <c r="AE48" s="69" t="s">
        <v>2046</v>
      </c>
      <c r="AF48" s="69" t="s">
        <v>2046</v>
      </c>
      <c r="AG48" s="69" t="s">
        <v>2046</v>
      </c>
      <c r="AH48" s="69" t="s">
        <v>2046</v>
      </c>
      <c r="AI48" s="69" t="s">
        <v>2046</v>
      </c>
      <c r="AJ48" s="69" t="s">
        <v>2046</v>
      </c>
      <c r="AK48" s="69" t="s">
        <v>2046</v>
      </c>
      <c r="AL48" s="69" t="s">
        <v>2046</v>
      </c>
      <c r="AM48" s="69" t="s">
        <v>2046</v>
      </c>
      <c r="AN48" s="168" t="s">
        <v>2046</v>
      </c>
    </row>
    <row r="49" spans="1:56" ht="13.5" customHeight="1">
      <c r="A49" s="171">
        <v>1</v>
      </c>
      <c r="B49" s="171" t="s">
        <v>2110</v>
      </c>
      <c r="C49" s="171" t="s">
        <v>1704</v>
      </c>
      <c r="D49" s="172" t="s">
        <v>2657</v>
      </c>
      <c r="E49" s="172"/>
      <c r="F49" s="172"/>
      <c r="G49" s="77" t="s">
        <v>2613</v>
      </c>
      <c r="H49" s="173" t="s">
        <v>2614</v>
      </c>
      <c r="I49" s="173" t="s">
        <v>2368</v>
      </c>
      <c r="J49" s="184">
        <f ca="1">SUMIF($B$16:$B$45,$B49,$T$16:$T$44)*VLOOKUP($D49,$T$11:$U$15,2,FALSE)</f>
        <v>36000</v>
      </c>
      <c r="K49" s="456">
        <f>D17</f>
        <v>46023</v>
      </c>
      <c r="L49" s="456">
        <f>E17</f>
        <v>46387</v>
      </c>
      <c r="M49" s="176">
        <f>IF(AND(K49="",L49=""),"-",IF(L49="",12,DATEDIF(K49,L49,"M")+1))</f>
        <v>12</v>
      </c>
      <c r="N49" s="177">
        <f ca="1">IF(AND($K49&lt;=N$47,N$47&lt;=$L49),$J49/$M49*HLOOKUP(N$47,'FX Lookup'!$A$2:$Y$4,3,FALSE),0)</f>
        <v>2669.97</v>
      </c>
      <c r="O49" s="177">
        <f ca="1">IF(AND($K49&lt;=O$47,O$47&lt;=$L49),$J49/$M49*HLOOKUP(O$47,'FX Lookup'!$A$2:$Y$4,3,FALSE),0)</f>
        <v>2646.6</v>
      </c>
      <c r="P49" s="177">
        <f ca="1">IF(AND($K49&lt;=P$47,P$47&lt;=$L49),$J49/$M49*HLOOKUP(P$47,'FX Lookup'!$A$2:$Y$4,3,FALSE),0)</f>
        <v>2646.6</v>
      </c>
      <c r="Q49" s="177">
        <f ca="1">IF(AND($K49&lt;=Q$47,Q$47&lt;=$L49),$J49/$M49*HLOOKUP(Q$47,'FX Lookup'!$A$2:$Y$4,3,FALSE),0)</f>
        <v>2646.6</v>
      </c>
      <c r="R49" s="177">
        <f ca="1">IF(AND($K49&lt;=R$47,R$47&lt;=$L49),$J49/$M49*HLOOKUP(R$47,'FX Lookup'!$A$2:$Y$4,3,FALSE),0)</f>
        <v>2646.6</v>
      </c>
      <c r="S49" s="177">
        <f ca="1">IF(AND($K49&lt;=S$47,S$47&lt;=$L49),$J49/$M49*HLOOKUP(S$47,'FX Lookup'!$A$2:$Y$4,3,FALSE),0)</f>
        <v>2646.6</v>
      </c>
      <c r="T49" s="177">
        <f ca="1">IF(AND($K49&lt;=T$47,T$47&lt;=$L49),$J49/$M49*HLOOKUP(T$47,'FX Lookup'!$A$2:$Y$4,3,FALSE),0)</f>
        <v>2646.6</v>
      </c>
      <c r="U49" s="177">
        <f ca="1">IF(AND($K49&lt;=U$47,U$47&lt;=$L49),$J49/$M49*HLOOKUP(U$47,'FX Lookup'!$A$2:$Y$4,3,FALSE),0)</f>
        <v>2646.6</v>
      </c>
      <c r="V49" s="177">
        <f ca="1">IF(AND($K49&lt;=V$47,V$47&lt;=$L49),$J49/$M49*HLOOKUP(V$47,'FX Lookup'!$A$2:$Y$4,3,FALSE),0)</f>
        <v>2646.6</v>
      </c>
      <c r="W49" s="177">
        <f ca="1">IF(AND($K49&lt;=W$47,W$47&lt;=$L49),$J49/$M49*HLOOKUP(W$47,'FX Lookup'!$A$2:$Y$4,3,FALSE),0)</f>
        <v>2646.6</v>
      </c>
      <c r="X49" s="177">
        <f ca="1">IF(AND($K49&lt;=X$47,X$47&lt;=$L49),$J49/$M49*HLOOKUP(X$47,'FX Lookup'!$A$2:$Y$4,3,FALSE),0)</f>
        <v>2646.6</v>
      </c>
      <c r="Y49" s="177">
        <f ca="1">IF(AND($K49&lt;=Y$47,Y$47&lt;=$L49),$J49/$M49*HLOOKUP(Y$47,'FX Lookup'!$A$2:$Y$4,3,FALSE),0)</f>
        <v>2646.6</v>
      </c>
      <c r="Z49" s="178">
        <f ca="1">SUM(N49:Y49)</f>
        <v>31782.569999999992</v>
      </c>
      <c r="AA49" s="466">
        <f ca="1">Z49-J49</f>
        <v>-4217.4300000000076</v>
      </c>
      <c r="AB49" s="177">
        <f ca="1">IF(AND($K49&lt;=AB$47,AB$47&lt;=$L49),$J49/$M49*HLOOKUP(AB$47,'FX Lookup'!$A$2:$Y$4,3,FALSE),0)</f>
        <v>2669.97</v>
      </c>
      <c r="AC49" s="177">
        <f ca="1">IF(AND($K49&lt;=AC$47,AC$47&lt;=$L49),$J49/$M49*HLOOKUP(AC$47,'FX Lookup'!$A$2:$Y$4,3,FALSE),0)</f>
        <v>2646.6</v>
      </c>
      <c r="AD49" s="177">
        <f ca="1">IF(AND($K49&lt;=AD$47,AD$47&lt;=$L49),$J49/$M49*HLOOKUP(AD$47,'FX Lookup'!$A$2:$Y$4,3,FALSE),0)</f>
        <v>2646.6</v>
      </c>
      <c r="AE49" s="177">
        <f ca="1">IF(AND($K49&lt;=AE$47,AE$47&lt;=$L49),$J49/$M49*HLOOKUP(AE$47,'FX Lookup'!$A$2:$Y$4,3,FALSE),0)</f>
        <v>2646.6</v>
      </c>
      <c r="AF49" s="177">
        <f ca="1">IF(AND($K49&lt;=AF$47,AF$47&lt;=$L49),$J49/$M49*HLOOKUP(AF$47,'FX Lookup'!$A$2:$Y$4,3,FALSE),0)</f>
        <v>2646.6</v>
      </c>
      <c r="AG49" s="177">
        <f ca="1">IF(AND($K49&lt;=AG$47,AG$47&lt;=$L49),$J49/$M49*HLOOKUP(AG$47,'FX Lookup'!$A$2:$Y$4,3,FALSE),0)</f>
        <v>2646.6</v>
      </c>
      <c r="AH49" s="177">
        <f ca="1">IF(AND($K49&lt;=AH$47,AH$47&lt;=$L49),$J49/$M49*HLOOKUP(AH$47,'FX Lookup'!$A$2:$Y$4,3,FALSE),0)</f>
        <v>2646.6</v>
      </c>
      <c r="AI49" s="177">
        <f ca="1">IF(AND($K49&lt;=AI$47,AI$47&lt;=$L49),$J49/$M49*HLOOKUP(AI$47,'FX Lookup'!$A$2:$Y$4,3,FALSE),0)</f>
        <v>2646.6</v>
      </c>
      <c r="AJ49" s="177">
        <f ca="1">IF(AND($K49&lt;=AJ$47,AJ$47&lt;=$L49),$J49/$M49*HLOOKUP(AJ$47,'FX Lookup'!$A$2:$Y$4,3,FALSE),0)</f>
        <v>2646.6</v>
      </c>
      <c r="AK49" s="177">
        <f ca="1">IF(AND($K49&lt;=AK$47,AK$47&lt;=$L49),$J49/$M49*HLOOKUP(AK$47,'FX Lookup'!$A$2:$Y$4,3,FALSE),0)</f>
        <v>2646.6</v>
      </c>
      <c r="AL49" s="177">
        <f ca="1">IF(AND($K49&lt;=AL$47,AL$47&lt;=$L49),$J49/$M49*HLOOKUP(AL$47,'FX Lookup'!$A$2:$Y$4,3,FALSE),0)</f>
        <v>2646.6</v>
      </c>
      <c r="AM49" s="177">
        <f ca="1">IF(AND($K49&lt;=AM$47,AM$47&lt;=$L49),$J49/$M49*HLOOKUP(AM$47,'FX Lookup'!$A$2:$Y$4,3,FALSE),0)</f>
        <v>2646.6</v>
      </c>
      <c r="AN49" s="178">
        <f ca="1">SUM(AB49:AM49)</f>
        <v>31782.569999999992</v>
      </c>
      <c r="AP49" s="152"/>
      <c r="AQ49" s="152"/>
      <c r="AR49" s="152"/>
      <c r="AS49" s="152"/>
      <c r="AT49" s="152"/>
      <c r="AU49" s="152"/>
      <c r="AV49" s="152"/>
      <c r="AW49" s="152"/>
      <c r="AX49" s="152"/>
      <c r="AY49" s="152"/>
      <c r="AZ49" s="152"/>
      <c r="BA49" s="152"/>
      <c r="BB49" s="152"/>
      <c r="BC49" s="152"/>
      <c r="BD49" s="152"/>
    </row>
    <row r="50" spans="1:56" ht="13.5" customHeight="1">
      <c r="A50" s="171">
        <f t="shared" ref="A50:A58" si="21">IF(A49&lt;=0,FALSE,A49+1)</f>
        <v>2</v>
      </c>
      <c r="B50" s="171" t="s">
        <v>2110</v>
      </c>
      <c r="C50" s="171" t="s">
        <v>1704</v>
      </c>
      <c r="D50" s="172" t="s">
        <v>2658</v>
      </c>
      <c r="E50" s="172"/>
      <c r="F50" s="172"/>
      <c r="G50" s="77" t="s">
        <v>2613</v>
      </c>
      <c r="H50" s="173" t="s">
        <v>2614</v>
      </c>
      <c r="I50" s="173" t="s">
        <v>2368</v>
      </c>
      <c r="J50" s="184">
        <f>SUMIF($B$16:$B$44,$B50,$T$16:$T$44)*VLOOKUP($D50,$T$11:$U$15,2,FALSE)+SUMIF($B$16:$B$44,$B50,$O$16:$O$44)*VLOOKUP($D50,$O$11:$P$15,2,FALSE)</f>
        <v>71400</v>
      </c>
      <c r="K50" s="456">
        <f t="shared" ref="K50:K61" si="22">$K$49</f>
        <v>46023</v>
      </c>
      <c r="L50" s="456">
        <f t="shared" ref="L50:L61" si="23">$L$49</f>
        <v>46387</v>
      </c>
      <c r="M50" s="176">
        <f t="shared" ref="M50:M61" si="24">IF(AND(K50="",L50=""),"-",IF(L50="",12,DATEDIF(K50,L50,"M")+1))</f>
        <v>12</v>
      </c>
      <c r="N50" s="177">
        <f>IF(AND($K50&lt;=N$47,N$47&lt;=$L50),$J50/$M50*HLOOKUP(N$47,'FX Lookup'!$A$2:$Y$4,3,FALSE),0)</f>
        <v>5295.4404999999997</v>
      </c>
      <c r="O50" s="177">
        <f>IF(AND($K50&lt;=O$47,O$47&lt;=$L50),$J50/$M50*HLOOKUP(O$47,'FX Lookup'!$A$2:$Y$4,3,FALSE),0)</f>
        <v>5249.09</v>
      </c>
      <c r="P50" s="177">
        <f>IF(AND($K50&lt;=P$47,P$47&lt;=$L50),$J50/$M50*HLOOKUP(P$47,'FX Lookup'!$A$2:$Y$4,3,FALSE),0)</f>
        <v>5249.09</v>
      </c>
      <c r="Q50" s="177">
        <f>IF(AND($K50&lt;=Q$47,Q$47&lt;=$L50),$J50/$M50*HLOOKUP(Q$47,'FX Lookup'!$A$2:$Y$4,3,FALSE),0)</f>
        <v>5249.09</v>
      </c>
      <c r="R50" s="177">
        <f>IF(AND($K50&lt;=R$47,R$47&lt;=$L50),$J50/$M50*HLOOKUP(R$47,'FX Lookup'!$A$2:$Y$4,3,FALSE),0)</f>
        <v>5249.09</v>
      </c>
      <c r="S50" s="177">
        <f>IF(AND($K50&lt;=S$47,S$47&lt;=$L50),$J50/$M50*HLOOKUP(S$47,'FX Lookup'!$A$2:$Y$4,3,FALSE),0)</f>
        <v>5249.09</v>
      </c>
      <c r="T50" s="177">
        <f>IF(AND($K50&lt;=T$47,T$47&lt;=$L50),$J50/$M50*HLOOKUP(T$47,'FX Lookup'!$A$2:$Y$4,3,FALSE),0)</f>
        <v>5249.09</v>
      </c>
      <c r="U50" s="177">
        <f>IF(AND($K50&lt;=U$47,U$47&lt;=$L50),$J50/$M50*HLOOKUP(U$47,'FX Lookup'!$A$2:$Y$4,3,FALSE),0)</f>
        <v>5249.09</v>
      </c>
      <c r="V50" s="177">
        <f>IF(AND($K50&lt;=V$47,V$47&lt;=$L50),$J50/$M50*HLOOKUP(V$47,'FX Lookup'!$A$2:$Y$4,3,FALSE),0)</f>
        <v>5249.09</v>
      </c>
      <c r="W50" s="177">
        <f>IF(AND($K50&lt;=W$47,W$47&lt;=$L50),$J50/$M50*HLOOKUP(W$47,'FX Lookup'!$A$2:$Y$4,3,FALSE),0)</f>
        <v>5249.09</v>
      </c>
      <c r="X50" s="177">
        <f>IF(AND($K50&lt;=X$47,X$47&lt;=$L50),$J50/$M50*HLOOKUP(X$47,'FX Lookup'!$A$2:$Y$4,3,FALSE),0)</f>
        <v>5249.09</v>
      </c>
      <c r="Y50" s="177">
        <f>IF(AND($K50&lt;=Y$47,Y$47&lt;=$L50),$J50/$M50*HLOOKUP(Y$47,'FX Lookup'!$A$2:$Y$4,3,FALSE),0)</f>
        <v>5249.09</v>
      </c>
      <c r="Z50" s="178">
        <f t="shared" ref="Z50:Z61" si="25">SUM(N50:Y50)</f>
        <v>63035.430499999988</v>
      </c>
      <c r="AA50" s="466">
        <f t="shared" ref="AA50:AA61" si="26">Z50-J50</f>
        <v>-8364.5695000000123</v>
      </c>
      <c r="AB50" s="177">
        <f>IF(AND($K50&lt;=AB$47,AB$47&lt;=$L50),$J50/$M50*HLOOKUP(AB$47,'FX Lookup'!$A$2:$Y$4,3,FALSE),0)</f>
        <v>5295.4404999999997</v>
      </c>
      <c r="AC50" s="177">
        <f>IF(AND($K50&lt;=AC$47,AC$47&lt;=$L50),$J50/$M50*HLOOKUP(AC$47,'FX Lookup'!$A$2:$Y$4,3,FALSE),0)</f>
        <v>5249.09</v>
      </c>
      <c r="AD50" s="177">
        <f>IF(AND($K50&lt;=AD$47,AD$47&lt;=$L50),$J50/$M50*HLOOKUP(AD$47,'FX Lookup'!$A$2:$Y$4,3,FALSE),0)</f>
        <v>5249.09</v>
      </c>
      <c r="AE50" s="177">
        <f>IF(AND($K50&lt;=AE$47,AE$47&lt;=$L50),$J50/$M50*HLOOKUP(AE$47,'FX Lookup'!$A$2:$Y$4,3,FALSE),0)</f>
        <v>5249.09</v>
      </c>
      <c r="AF50" s="177">
        <f>IF(AND($K50&lt;=AF$47,AF$47&lt;=$L50),$J50/$M50*HLOOKUP(AF$47,'FX Lookup'!$A$2:$Y$4,3,FALSE),0)</f>
        <v>5249.09</v>
      </c>
      <c r="AG50" s="177">
        <f>IF(AND($K50&lt;=AG$47,AG$47&lt;=$L50),$J50/$M50*HLOOKUP(AG$47,'FX Lookup'!$A$2:$Y$4,3,FALSE),0)</f>
        <v>5249.09</v>
      </c>
      <c r="AH50" s="177">
        <f>IF(AND($K50&lt;=AH$47,AH$47&lt;=$L50),$J50/$M50*HLOOKUP(AH$47,'FX Lookup'!$A$2:$Y$4,3,FALSE),0)</f>
        <v>5249.09</v>
      </c>
      <c r="AI50" s="177">
        <f>IF(AND($K50&lt;=AI$47,AI$47&lt;=$L50),$J50/$M50*HLOOKUP(AI$47,'FX Lookup'!$A$2:$Y$4,3,FALSE),0)</f>
        <v>5249.09</v>
      </c>
      <c r="AJ50" s="177">
        <f>IF(AND($K50&lt;=AJ$47,AJ$47&lt;=$L50),$J50/$M50*HLOOKUP(AJ$47,'FX Lookup'!$A$2:$Y$4,3,FALSE),0)</f>
        <v>5249.09</v>
      </c>
      <c r="AK50" s="177">
        <f>IF(AND($K50&lt;=AK$47,AK$47&lt;=$L50),$J50/$M50*HLOOKUP(AK$47,'FX Lookup'!$A$2:$Y$4,3,FALSE),0)</f>
        <v>5249.09</v>
      </c>
      <c r="AL50" s="177">
        <f>IF(AND($K50&lt;=AL$47,AL$47&lt;=$L50),$J50/$M50*HLOOKUP(AL$47,'FX Lookup'!$A$2:$Y$4,3,FALSE),0)</f>
        <v>5249.09</v>
      </c>
      <c r="AM50" s="177">
        <f>IF(AND($K50&lt;=AM$47,AM$47&lt;=$L50),$J50/$M50*HLOOKUP(AM$47,'FX Lookup'!$A$2:$Y$4,3,FALSE),0)</f>
        <v>5249.09</v>
      </c>
      <c r="AN50" s="178">
        <f t="shared" ref="AN50:AN61" si="27">SUM(AB50:AM50)</f>
        <v>63035.430499999988</v>
      </c>
      <c r="AP50" s="152"/>
      <c r="AQ50" s="152"/>
      <c r="AR50" s="152"/>
      <c r="AS50" s="152"/>
      <c r="AT50" s="152"/>
      <c r="AU50" s="152"/>
      <c r="AV50" s="152"/>
      <c r="AW50" s="152"/>
      <c r="AX50" s="152"/>
      <c r="AY50" s="152"/>
      <c r="AZ50" s="152"/>
      <c r="BA50" s="152"/>
      <c r="BB50" s="152"/>
      <c r="BC50" s="152"/>
      <c r="BD50" s="152"/>
    </row>
    <row r="51" spans="1:56" ht="13.5" customHeight="1">
      <c r="A51" s="171">
        <f t="shared" si="21"/>
        <v>3</v>
      </c>
      <c r="B51" s="171" t="s">
        <v>2110</v>
      </c>
      <c r="C51" s="171" t="s">
        <v>1690</v>
      </c>
      <c r="D51" s="172" t="s">
        <v>2660</v>
      </c>
      <c r="E51" s="172"/>
      <c r="F51" s="172"/>
      <c r="G51" s="77" t="s">
        <v>2613</v>
      </c>
      <c r="H51" s="173" t="s">
        <v>2614</v>
      </c>
      <c r="I51" s="173" t="s">
        <v>2368</v>
      </c>
      <c r="J51" s="184">
        <f>SUMIF($B$16:$B$44,$B51,$T$16:$T$44)*VLOOKUP($D51,$T$11:$U$15,2,FALSE)+SUMIF($B$16:$B$44,$B51,$O$16:$O$44)*VLOOKUP($D51,$O$11:$P$15,2,FALSE)+SUMIF($B$16:$B$44,$B51,$L$16:$L$44)*VLOOKUP($D51,$L$11:$M$15,2,FALSE)</f>
        <v>153000</v>
      </c>
      <c r="K51" s="456">
        <f t="shared" si="22"/>
        <v>46023</v>
      </c>
      <c r="L51" s="456">
        <f t="shared" si="23"/>
        <v>46387</v>
      </c>
      <c r="M51" s="176">
        <f t="shared" si="24"/>
        <v>12</v>
      </c>
      <c r="N51" s="177">
        <f>IF(AND($K51&lt;=N$47,N$47&lt;=$L51),$J51/$M51*HLOOKUP(N$47,'FX Lookup'!$A$2:$Y$4,3,FALSE),0)</f>
        <v>11347.372499999999</v>
      </c>
      <c r="O51" s="177">
        <f>IF(AND($K51&lt;=O$47,O$47&lt;=$L51),$J51/$M51*HLOOKUP(O$47,'FX Lookup'!$A$2:$Y$4,3,FALSE),0)</f>
        <v>11248.05</v>
      </c>
      <c r="P51" s="177">
        <f>IF(AND($K51&lt;=P$47,P$47&lt;=$L51),$J51/$M51*HLOOKUP(P$47,'FX Lookup'!$A$2:$Y$4,3,FALSE),0)</f>
        <v>11248.05</v>
      </c>
      <c r="Q51" s="177">
        <f>IF(AND($K51&lt;=Q$47,Q$47&lt;=$L51),$J51/$M51*HLOOKUP(Q$47,'FX Lookup'!$A$2:$Y$4,3,FALSE),0)</f>
        <v>11248.05</v>
      </c>
      <c r="R51" s="177">
        <f>IF(AND($K51&lt;=R$47,R$47&lt;=$L51),$J51/$M51*HLOOKUP(R$47,'FX Lookup'!$A$2:$Y$4,3,FALSE),0)</f>
        <v>11248.05</v>
      </c>
      <c r="S51" s="177">
        <f>IF(AND($K51&lt;=S$47,S$47&lt;=$L51),$J51/$M51*HLOOKUP(S$47,'FX Lookup'!$A$2:$Y$4,3,FALSE),0)</f>
        <v>11248.05</v>
      </c>
      <c r="T51" s="177">
        <f>IF(AND($K51&lt;=T$47,T$47&lt;=$L51),$J51/$M51*HLOOKUP(T$47,'FX Lookup'!$A$2:$Y$4,3,FALSE),0)</f>
        <v>11248.05</v>
      </c>
      <c r="U51" s="177">
        <f>IF(AND($K51&lt;=U$47,U$47&lt;=$L51),$J51/$M51*HLOOKUP(U$47,'FX Lookup'!$A$2:$Y$4,3,FALSE),0)</f>
        <v>11248.05</v>
      </c>
      <c r="V51" s="177">
        <f>IF(AND($K51&lt;=V$47,V$47&lt;=$L51),$J51/$M51*HLOOKUP(V$47,'FX Lookup'!$A$2:$Y$4,3,FALSE),0)</f>
        <v>11248.05</v>
      </c>
      <c r="W51" s="177">
        <f>IF(AND($K51&lt;=W$47,W$47&lt;=$L51),$J51/$M51*HLOOKUP(W$47,'FX Lookup'!$A$2:$Y$4,3,FALSE),0)</f>
        <v>11248.05</v>
      </c>
      <c r="X51" s="177">
        <f>IF(AND($K51&lt;=X$47,X$47&lt;=$L51),$J51/$M51*HLOOKUP(X$47,'FX Lookup'!$A$2:$Y$4,3,FALSE),0)</f>
        <v>11248.05</v>
      </c>
      <c r="Y51" s="177">
        <f>IF(AND($K51&lt;=Y$47,Y$47&lt;=$L51),$J51/$M51*HLOOKUP(Y$47,'FX Lookup'!$A$2:$Y$4,3,FALSE),0)</f>
        <v>11248.05</v>
      </c>
      <c r="Z51" s="178">
        <f t="shared" si="25"/>
        <v>135075.92250000002</v>
      </c>
      <c r="AA51" s="466">
        <f t="shared" si="26"/>
        <v>-17924.077499999985</v>
      </c>
      <c r="AB51" s="177">
        <f>IF(AND($K51&lt;=AB$47,AB$47&lt;=$L51),$J51/$M51*HLOOKUP(AB$47,'FX Lookup'!$A$2:$Y$4,3,FALSE),0)</f>
        <v>11347.372499999999</v>
      </c>
      <c r="AC51" s="177">
        <f>IF(AND($K51&lt;=AC$47,AC$47&lt;=$L51),$J51/$M51*HLOOKUP(AC$47,'FX Lookup'!$A$2:$Y$4,3,FALSE),0)</f>
        <v>11248.05</v>
      </c>
      <c r="AD51" s="177">
        <f>IF(AND($K51&lt;=AD$47,AD$47&lt;=$L51),$J51/$M51*HLOOKUP(AD$47,'FX Lookup'!$A$2:$Y$4,3,FALSE),0)</f>
        <v>11248.05</v>
      </c>
      <c r="AE51" s="177">
        <f>IF(AND($K51&lt;=AE$47,AE$47&lt;=$L51),$J51/$M51*HLOOKUP(AE$47,'FX Lookup'!$A$2:$Y$4,3,FALSE),0)</f>
        <v>11248.05</v>
      </c>
      <c r="AF51" s="177">
        <f>IF(AND($K51&lt;=AF$47,AF$47&lt;=$L51),$J51/$M51*HLOOKUP(AF$47,'FX Lookup'!$A$2:$Y$4,3,FALSE),0)</f>
        <v>11248.05</v>
      </c>
      <c r="AG51" s="177">
        <f>IF(AND($K51&lt;=AG$47,AG$47&lt;=$L51),$J51/$M51*HLOOKUP(AG$47,'FX Lookup'!$A$2:$Y$4,3,FALSE),0)</f>
        <v>11248.05</v>
      </c>
      <c r="AH51" s="177">
        <f>IF(AND($K51&lt;=AH$47,AH$47&lt;=$L51),$J51/$M51*HLOOKUP(AH$47,'FX Lookup'!$A$2:$Y$4,3,FALSE),0)</f>
        <v>11248.05</v>
      </c>
      <c r="AI51" s="177">
        <f>IF(AND($K51&lt;=AI$47,AI$47&lt;=$L51),$J51/$M51*HLOOKUP(AI$47,'FX Lookup'!$A$2:$Y$4,3,FALSE),0)</f>
        <v>11248.05</v>
      </c>
      <c r="AJ51" s="177">
        <f>IF(AND($K51&lt;=AJ$47,AJ$47&lt;=$L51),$J51/$M51*HLOOKUP(AJ$47,'FX Lookup'!$A$2:$Y$4,3,FALSE),0)</f>
        <v>11248.05</v>
      </c>
      <c r="AK51" s="177">
        <f>IF(AND($K51&lt;=AK$47,AK$47&lt;=$L51),$J51/$M51*HLOOKUP(AK$47,'FX Lookup'!$A$2:$Y$4,3,FALSE),0)</f>
        <v>11248.05</v>
      </c>
      <c r="AL51" s="177">
        <f>IF(AND($K51&lt;=AL$47,AL$47&lt;=$L51),$J51/$M51*HLOOKUP(AL$47,'FX Lookup'!$A$2:$Y$4,3,FALSE),0)</f>
        <v>11248.05</v>
      </c>
      <c r="AM51" s="177">
        <f>IF(AND($K51&lt;=AM$47,AM$47&lt;=$L51),$J51/$M51*HLOOKUP(AM$47,'FX Lookup'!$A$2:$Y$4,3,FALSE),0)</f>
        <v>11248.05</v>
      </c>
      <c r="AN51" s="178">
        <f t="shared" si="27"/>
        <v>135075.92250000002</v>
      </c>
      <c r="AP51" s="152"/>
      <c r="AQ51" s="152"/>
      <c r="AR51" s="152"/>
      <c r="AS51" s="152"/>
      <c r="AT51" s="152"/>
      <c r="AU51" s="152"/>
      <c r="AV51" s="152"/>
      <c r="AW51" s="152"/>
      <c r="AX51" s="152"/>
      <c r="AY51" s="152"/>
      <c r="AZ51" s="152"/>
      <c r="BA51" s="152"/>
      <c r="BB51" s="152"/>
      <c r="BC51" s="152"/>
      <c r="BD51" s="152"/>
    </row>
    <row r="52" spans="1:56" ht="13.5" customHeight="1">
      <c r="A52" s="171">
        <f t="shared" si="21"/>
        <v>4</v>
      </c>
      <c r="B52" s="171" t="s">
        <v>2110</v>
      </c>
      <c r="C52" s="171" t="s">
        <v>1699</v>
      </c>
      <c r="D52" s="172" t="s">
        <v>2659</v>
      </c>
      <c r="E52" s="172"/>
      <c r="F52" s="172"/>
      <c r="G52" s="77" t="s">
        <v>2613</v>
      </c>
      <c r="H52" s="173" t="s">
        <v>2614</v>
      </c>
      <c r="I52" s="173" t="s">
        <v>2368</v>
      </c>
      <c r="J52" s="184">
        <f ca="1">SUMIF($B$16:$B$45,$B52,$T$16:$T$44)*VLOOKUP($D52,$T$11:$U$15,2,FALSE)+SUMIF($B$16:$B$45,$B52,$I$16:$I$44)*VLOOKUP($D52,$I$11:$J$15,2,FALSE)+SUMIF($B$16:$B$45,$B52,$L$16:$L$44)*VLOOKUP($D52,$L$11:$M$15,2,FALSE)+SUMIF($B$16:$B$45,$B52,$O$16:$O$44)*VLOOKUP($D52,$O$11:$P$15,2,FALSE)</f>
        <v>83400</v>
      </c>
      <c r="K52" s="456">
        <f t="shared" si="22"/>
        <v>46023</v>
      </c>
      <c r="L52" s="456">
        <f t="shared" si="23"/>
        <v>46387</v>
      </c>
      <c r="M52" s="176">
        <f t="shared" si="24"/>
        <v>12</v>
      </c>
      <c r="N52" s="177">
        <f ca="1">IF(AND($K52&lt;=N$47,N$47&lt;=$L52),$J52/$M52*HLOOKUP(N$47,'FX Lookup'!$A$2:$Y$4,3,FALSE),0)</f>
        <v>6185.4304999999995</v>
      </c>
      <c r="O52" s="177">
        <f ca="1">IF(AND($K52&lt;=O$47,O$47&lt;=$L52),$J52/$M52*HLOOKUP(O$47,'FX Lookup'!$A$2:$Y$4,3,FALSE),0)</f>
        <v>6131.29</v>
      </c>
      <c r="P52" s="177">
        <f ca="1">IF(AND($K52&lt;=P$47,P$47&lt;=$L52),$J52/$M52*HLOOKUP(P$47,'FX Lookup'!$A$2:$Y$4,3,FALSE),0)</f>
        <v>6131.29</v>
      </c>
      <c r="Q52" s="177">
        <f ca="1">IF(AND($K52&lt;=Q$47,Q$47&lt;=$L52),$J52/$M52*HLOOKUP(Q$47,'FX Lookup'!$A$2:$Y$4,3,FALSE),0)</f>
        <v>6131.29</v>
      </c>
      <c r="R52" s="177">
        <f ca="1">IF(AND($K52&lt;=R$47,R$47&lt;=$L52),$J52/$M52*HLOOKUP(R$47,'FX Lookup'!$A$2:$Y$4,3,FALSE),0)</f>
        <v>6131.29</v>
      </c>
      <c r="S52" s="177">
        <f ca="1">IF(AND($K52&lt;=S$47,S$47&lt;=$L52),$J52/$M52*HLOOKUP(S$47,'FX Lookup'!$A$2:$Y$4,3,FALSE),0)</f>
        <v>6131.29</v>
      </c>
      <c r="T52" s="177">
        <f ca="1">IF(AND($K52&lt;=T$47,T$47&lt;=$L52),$J52/$M52*HLOOKUP(T$47,'FX Lookup'!$A$2:$Y$4,3,FALSE),0)</f>
        <v>6131.29</v>
      </c>
      <c r="U52" s="177">
        <f ca="1">IF(AND($K52&lt;=U$47,U$47&lt;=$L52),$J52/$M52*HLOOKUP(U$47,'FX Lookup'!$A$2:$Y$4,3,FALSE),0)</f>
        <v>6131.29</v>
      </c>
      <c r="V52" s="177">
        <f ca="1">IF(AND($K52&lt;=V$47,V$47&lt;=$L52),$J52/$M52*HLOOKUP(V$47,'FX Lookup'!$A$2:$Y$4,3,FALSE),0)</f>
        <v>6131.29</v>
      </c>
      <c r="W52" s="177">
        <f ca="1">IF(AND($K52&lt;=W$47,W$47&lt;=$L52),$J52/$M52*HLOOKUP(W$47,'FX Lookup'!$A$2:$Y$4,3,FALSE),0)</f>
        <v>6131.29</v>
      </c>
      <c r="X52" s="177">
        <f ca="1">IF(AND($K52&lt;=X$47,X$47&lt;=$L52),$J52/$M52*HLOOKUP(X$47,'FX Lookup'!$A$2:$Y$4,3,FALSE),0)</f>
        <v>6131.29</v>
      </c>
      <c r="Y52" s="177">
        <f ca="1">IF(AND($K52&lt;=Y$47,Y$47&lt;=$L52),$J52/$M52*HLOOKUP(Y$47,'FX Lookup'!$A$2:$Y$4,3,FALSE),0)</f>
        <v>6131.29</v>
      </c>
      <c r="Z52" s="178">
        <f t="shared" ca="1" si="25"/>
        <v>73629.62049999999</v>
      </c>
      <c r="AA52" s="466">
        <f t="shared" ca="1" si="26"/>
        <v>-9770.37950000001</v>
      </c>
      <c r="AB52" s="177">
        <f ca="1">IF(AND($K52&lt;=AB$47,AB$47&lt;=$L52),$J52/$M52*HLOOKUP(AB$47,'FX Lookup'!$A$2:$Y$4,3,FALSE),0)</f>
        <v>6185.4304999999995</v>
      </c>
      <c r="AC52" s="177">
        <f ca="1">IF(AND($K52&lt;=AC$47,AC$47&lt;=$L52),$J52/$M52*HLOOKUP(AC$47,'FX Lookup'!$A$2:$Y$4,3,FALSE),0)</f>
        <v>6131.29</v>
      </c>
      <c r="AD52" s="177">
        <f ca="1">IF(AND($K52&lt;=AD$47,AD$47&lt;=$L52),$J52/$M52*HLOOKUP(AD$47,'FX Lookup'!$A$2:$Y$4,3,FALSE),0)</f>
        <v>6131.29</v>
      </c>
      <c r="AE52" s="177">
        <f ca="1">IF(AND($K52&lt;=AE$47,AE$47&lt;=$L52),$J52/$M52*HLOOKUP(AE$47,'FX Lookup'!$A$2:$Y$4,3,FALSE),0)</f>
        <v>6131.29</v>
      </c>
      <c r="AF52" s="177">
        <f ca="1">IF(AND($K52&lt;=AF$47,AF$47&lt;=$L52),$J52/$M52*HLOOKUP(AF$47,'FX Lookup'!$A$2:$Y$4,3,FALSE),0)</f>
        <v>6131.29</v>
      </c>
      <c r="AG52" s="177">
        <f ca="1">IF(AND($K52&lt;=AG$47,AG$47&lt;=$L52),$J52/$M52*HLOOKUP(AG$47,'FX Lookup'!$A$2:$Y$4,3,FALSE),0)</f>
        <v>6131.29</v>
      </c>
      <c r="AH52" s="177">
        <f ca="1">IF(AND($K52&lt;=AH$47,AH$47&lt;=$L52),$J52/$M52*HLOOKUP(AH$47,'FX Lookup'!$A$2:$Y$4,3,FALSE),0)</f>
        <v>6131.29</v>
      </c>
      <c r="AI52" s="177">
        <f ca="1">IF(AND($K52&lt;=AI$47,AI$47&lt;=$L52),$J52/$M52*HLOOKUP(AI$47,'FX Lookup'!$A$2:$Y$4,3,FALSE),0)</f>
        <v>6131.29</v>
      </c>
      <c r="AJ52" s="177">
        <f ca="1">IF(AND($K52&lt;=AJ$47,AJ$47&lt;=$L52),$J52/$M52*HLOOKUP(AJ$47,'FX Lookup'!$A$2:$Y$4,3,FALSE),0)</f>
        <v>6131.29</v>
      </c>
      <c r="AK52" s="177">
        <f ca="1">IF(AND($K52&lt;=AK$47,AK$47&lt;=$L52),$J52/$M52*HLOOKUP(AK$47,'FX Lookup'!$A$2:$Y$4,3,FALSE),0)</f>
        <v>6131.29</v>
      </c>
      <c r="AL52" s="177">
        <f ca="1">IF(AND($K52&lt;=AL$47,AL$47&lt;=$L52),$J52/$M52*HLOOKUP(AL$47,'FX Lookup'!$A$2:$Y$4,3,FALSE),0)</f>
        <v>6131.29</v>
      </c>
      <c r="AM52" s="177">
        <f ca="1">IF(AND($K52&lt;=AM$47,AM$47&lt;=$L52),$J52/$M52*HLOOKUP(AM$47,'FX Lookup'!$A$2:$Y$4,3,FALSE),0)</f>
        <v>6131.29</v>
      </c>
      <c r="AN52" s="178">
        <f t="shared" ca="1" si="27"/>
        <v>73629.62049999999</v>
      </c>
      <c r="AP52" s="152"/>
      <c r="AQ52" s="152"/>
      <c r="AR52" s="152"/>
      <c r="AS52" s="152"/>
      <c r="AT52" s="152"/>
      <c r="AU52" s="152"/>
      <c r="AV52" s="152"/>
      <c r="AW52" s="152"/>
      <c r="AX52" s="152"/>
      <c r="AY52" s="152"/>
      <c r="AZ52" s="152"/>
      <c r="BA52" s="152"/>
      <c r="BB52" s="152"/>
      <c r="BC52" s="152"/>
      <c r="BD52" s="152"/>
    </row>
    <row r="53" spans="1:56" ht="13.5" customHeight="1">
      <c r="A53" s="171">
        <f t="shared" si="21"/>
        <v>5</v>
      </c>
      <c r="B53" s="171" t="s">
        <v>2110</v>
      </c>
      <c r="C53" s="171" t="s">
        <v>1695</v>
      </c>
      <c r="D53" s="172" t="s">
        <v>1698</v>
      </c>
      <c r="E53" s="172"/>
      <c r="F53" s="172"/>
      <c r="G53" s="77" t="s">
        <v>2613</v>
      </c>
      <c r="H53" s="173" t="s">
        <v>2614</v>
      </c>
      <c r="I53" s="173" t="s">
        <v>2368</v>
      </c>
      <c r="J53" s="184">
        <f>SUMIF($B$16:$B$44,$B53,$T$16:$T$44)*VLOOKUP($D53,$T$11:$U$15,2,FALSE)+SUMIF($B$16:$B$44,$B53,$I$16:$I$44)*VLOOKUP($D53,$I$11:$J$15,2,FALSE)+SUMIF($B$16:$B$44,$B53,$L$16:$L$44)*VLOOKUP($D53,$L$11:$M$15,2,FALSE)+SUMIF($B$16:$B$44,$B53,$O$16:$O$44)*VLOOKUP($D53,$O$11:$P$15,2,FALSE)</f>
        <v>59400</v>
      </c>
      <c r="K53" s="456">
        <f t="shared" si="22"/>
        <v>46023</v>
      </c>
      <c r="L53" s="456">
        <f t="shared" si="23"/>
        <v>46387</v>
      </c>
      <c r="M53" s="176">
        <f t="shared" si="24"/>
        <v>12</v>
      </c>
      <c r="N53" s="177">
        <f>IF(AND($K53&lt;=N$47,N$47&lt;=$L53),$J53/$M53*HLOOKUP(N$47,'FX Lookup'!$A$2:$Y$4,3,FALSE),0)</f>
        <v>4405.4504999999999</v>
      </c>
      <c r="O53" s="177">
        <f>IF(AND($K53&lt;=O$47,O$47&lt;=$L53),$J53/$M53*HLOOKUP(O$47,'FX Lookup'!$A$2:$Y$4,3,FALSE),0)</f>
        <v>4366.8900000000003</v>
      </c>
      <c r="P53" s="177">
        <f>IF(AND($K53&lt;=P$47,P$47&lt;=$L53),$J53/$M53*HLOOKUP(P$47,'FX Lookup'!$A$2:$Y$4,3,FALSE),0)</f>
        <v>4366.8900000000003</v>
      </c>
      <c r="Q53" s="177">
        <f>IF(AND($K53&lt;=Q$47,Q$47&lt;=$L53),$J53/$M53*HLOOKUP(Q$47,'FX Lookup'!$A$2:$Y$4,3,FALSE),0)</f>
        <v>4366.8900000000003</v>
      </c>
      <c r="R53" s="177">
        <f>IF(AND($K53&lt;=R$47,R$47&lt;=$L53),$J53/$M53*HLOOKUP(R$47,'FX Lookup'!$A$2:$Y$4,3,FALSE),0)</f>
        <v>4366.8900000000003</v>
      </c>
      <c r="S53" s="177">
        <f>IF(AND($K53&lt;=S$47,S$47&lt;=$L53),$J53/$M53*HLOOKUP(S$47,'FX Lookup'!$A$2:$Y$4,3,FALSE),0)</f>
        <v>4366.8900000000003</v>
      </c>
      <c r="T53" s="177">
        <f>IF(AND($K53&lt;=T$47,T$47&lt;=$L53),$J53/$M53*HLOOKUP(T$47,'FX Lookup'!$A$2:$Y$4,3,FALSE),0)</f>
        <v>4366.8900000000003</v>
      </c>
      <c r="U53" s="177">
        <f>IF(AND($K53&lt;=U$47,U$47&lt;=$L53),$J53/$M53*HLOOKUP(U$47,'FX Lookup'!$A$2:$Y$4,3,FALSE),0)</f>
        <v>4366.8900000000003</v>
      </c>
      <c r="V53" s="177">
        <f>IF(AND($K53&lt;=V$47,V$47&lt;=$L53),$J53/$M53*HLOOKUP(V$47,'FX Lookup'!$A$2:$Y$4,3,FALSE),0)</f>
        <v>4366.8900000000003</v>
      </c>
      <c r="W53" s="177">
        <f>IF(AND($K53&lt;=W$47,W$47&lt;=$L53),$J53/$M53*HLOOKUP(W$47,'FX Lookup'!$A$2:$Y$4,3,FALSE),0)</f>
        <v>4366.8900000000003</v>
      </c>
      <c r="X53" s="177">
        <f>IF(AND($K53&lt;=X$47,X$47&lt;=$L53),$J53/$M53*HLOOKUP(X$47,'FX Lookup'!$A$2:$Y$4,3,FALSE),0)</f>
        <v>4366.8900000000003</v>
      </c>
      <c r="Y53" s="177">
        <f>IF(AND($K53&lt;=Y$47,Y$47&lt;=$L53),$J53/$M53*HLOOKUP(Y$47,'FX Lookup'!$A$2:$Y$4,3,FALSE),0)</f>
        <v>4366.8900000000003</v>
      </c>
      <c r="Z53" s="178">
        <f t="shared" si="25"/>
        <v>52441.2405</v>
      </c>
      <c r="AA53" s="466">
        <f t="shared" si="26"/>
        <v>-6958.7595000000001</v>
      </c>
      <c r="AB53" s="177">
        <f>IF(AND($K53&lt;=AB$47,AB$47&lt;=$L53),$J53/$M53*HLOOKUP(AB$47,'FX Lookup'!$A$2:$Y$4,3,FALSE),0)</f>
        <v>4405.4504999999999</v>
      </c>
      <c r="AC53" s="177">
        <f>IF(AND($K53&lt;=AC$47,AC$47&lt;=$L53),$J53/$M53*HLOOKUP(AC$47,'FX Lookup'!$A$2:$Y$4,3,FALSE),0)</f>
        <v>4366.8900000000003</v>
      </c>
      <c r="AD53" s="177">
        <f>IF(AND($K53&lt;=AD$47,AD$47&lt;=$L53),$J53/$M53*HLOOKUP(AD$47,'FX Lookup'!$A$2:$Y$4,3,FALSE),0)</f>
        <v>4366.8900000000003</v>
      </c>
      <c r="AE53" s="177">
        <f>IF(AND($K53&lt;=AE$47,AE$47&lt;=$L53),$J53/$M53*HLOOKUP(AE$47,'FX Lookup'!$A$2:$Y$4,3,FALSE),0)</f>
        <v>4366.8900000000003</v>
      </c>
      <c r="AF53" s="177">
        <f>IF(AND($K53&lt;=AF$47,AF$47&lt;=$L53),$J53/$M53*HLOOKUP(AF$47,'FX Lookup'!$A$2:$Y$4,3,FALSE),0)</f>
        <v>4366.8900000000003</v>
      </c>
      <c r="AG53" s="177">
        <f>IF(AND($K53&lt;=AG$47,AG$47&lt;=$L53),$J53/$M53*HLOOKUP(AG$47,'FX Lookup'!$A$2:$Y$4,3,FALSE),0)</f>
        <v>4366.8900000000003</v>
      </c>
      <c r="AH53" s="177">
        <f>IF(AND($K53&lt;=AH$47,AH$47&lt;=$L53),$J53/$M53*HLOOKUP(AH$47,'FX Lookup'!$A$2:$Y$4,3,FALSE),0)</f>
        <v>4366.8900000000003</v>
      </c>
      <c r="AI53" s="177">
        <f>IF(AND($K53&lt;=AI$47,AI$47&lt;=$L53),$J53/$M53*HLOOKUP(AI$47,'FX Lookup'!$A$2:$Y$4,3,FALSE),0)</f>
        <v>4366.8900000000003</v>
      </c>
      <c r="AJ53" s="177">
        <f>IF(AND($K53&lt;=AJ$47,AJ$47&lt;=$L53),$J53/$M53*HLOOKUP(AJ$47,'FX Lookup'!$A$2:$Y$4,3,FALSE),0)</f>
        <v>4366.8900000000003</v>
      </c>
      <c r="AK53" s="177">
        <f>IF(AND($K53&lt;=AK$47,AK$47&lt;=$L53),$J53/$M53*HLOOKUP(AK$47,'FX Lookup'!$A$2:$Y$4,3,FALSE),0)</f>
        <v>4366.8900000000003</v>
      </c>
      <c r="AL53" s="177">
        <f>IF(AND($K53&lt;=AL$47,AL$47&lt;=$L53),$J53/$M53*HLOOKUP(AL$47,'FX Lookup'!$A$2:$Y$4,3,FALSE),0)</f>
        <v>4366.8900000000003</v>
      </c>
      <c r="AM53" s="177">
        <f>IF(AND($K53&lt;=AM$47,AM$47&lt;=$L53),$J53/$M53*HLOOKUP(AM$47,'FX Lookup'!$A$2:$Y$4,3,FALSE),0)</f>
        <v>4366.8900000000003</v>
      </c>
      <c r="AN53" s="178">
        <f t="shared" si="27"/>
        <v>52441.2405</v>
      </c>
      <c r="AP53" s="152"/>
      <c r="AQ53" s="152"/>
      <c r="AR53" s="152"/>
      <c r="AS53" s="152"/>
      <c r="AT53" s="152"/>
      <c r="AU53" s="152"/>
      <c r="AV53" s="152"/>
      <c r="AW53" s="152"/>
      <c r="AX53" s="152"/>
      <c r="AY53" s="152"/>
      <c r="AZ53" s="152"/>
      <c r="BA53" s="152"/>
      <c r="BB53" s="152"/>
      <c r="BC53" s="152"/>
      <c r="BD53" s="152"/>
    </row>
    <row r="54" spans="1:56" ht="13.5" customHeight="1">
      <c r="A54" s="171">
        <f t="shared" si="21"/>
        <v>6</v>
      </c>
      <c r="B54" s="171" t="s">
        <v>2110</v>
      </c>
      <c r="C54" s="171" t="s">
        <v>1623</v>
      </c>
      <c r="D54" s="172" t="s">
        <v>2700</v>
      </c>
      <c r="E54" s="172"/>
      <c r="F54" s="172"/>
      <c r="G54" s="77" t="s">
        <v>2613</v>
      </c>
      <c r="H54" s="173" t="s">
        <v>2614</v>
      </c>
      <c r="I54" s="173" t="s">
        <v>2368</v>
      </c>
      <c r="J54" s="186">
        <v>30000</v>
      </c>
      <c r="K54" s="456">
        <f t="shared" si="22"/>
        <v>46023</v>
      </c>
      <c r="L54" s="456">
        <f t="shared" si="23"/>
        <v>46387</v>
      </c>
      <c r="M54" s="176">
        <f t="shared" si="24"/>
        <v>12</v>
      </c>
      <c r="N54" s="177">
        <f>IF(AND($K54&lt;=N$47,N$47&lt;=$L54),$J54/$M54*HLOOKUP(N$47,'FX Lookup'!$A$2:$Y$4,3,FALSE),0)</f>
        <v>2224.9749999999999</v>
      </c>
      <c r="O54" s="177">
        <f>IF(AND($K54&lt;=O$47,O$47&lt;=$L54),$J54/$M54*HLOOKUP(O$47,'FX Lookup'!$A$2:$Y$4,3,FALSE),0)</f>
        <v>2205.5</v>
      </c>
      <c r="P54" s="177">
        <f>IF(AND($K54&lt;=P$47,P$47&lt;=$L54),$J54/$M54*HLOOKUP(P$47,'FX Lookup'!$A$2:$Y$4,3,FALSE),0)</f>
        <v>2205.5</v>
      </c>
      <c r="Q54" s="177">
        <f>IF(AND($K54&lt;=Q$47,Q$47&lt;=$L54),$J54/$M54*HLOOKUP(Q$47,'FX Lookup'!$A$2:$Y$4,3,FALSE),0)</f>
        <v>2205.5</v>
      </c>
      <c r="R54" s="177">
        <f>IF(AND($K54&lt;=R$47,R$47&lt;=$L54),$J54/$M54*HLOOKUP(R$47,'FX Lookup'!$A$2:$Y$4,3,FALSE),0)</f>
        <v>2205.5</v>
      </c>
      <c r="S54" s="177">
        <f>IF(AND($K54&lt;=S$47,S$47&lt;=$L54),$J54/$M54*HLOOKUP(S$47,'FX Lookup'!$A$2:$Y$4,3,FALSE),0)</f>
        <v>2205.5</v>
      </c>
      <c r="T54" s="177">
        <f>IF(AND($K54&lt;=T$47,T$47&lt;=$L54),$J54/$M54*HLOOKUP(T$47,'FX Lookup'!$A$2:$Y$4,3,FALSE),0)</f>
        <v>2205.5</v>
      </c>
      <c r="U54" s="177">
        <f>IF(AND($K54&lt;=U$47,U$47&lt;=$L54),$J54/$M54*HLOOKUP(U$47,'FX Lookup'!$A$2:$Y$4,3,FALSE),0)</f>
        <v>2205.5</v>
      </c>
      <c r="V54" s="177">
        <f>IF(AND($K54&lt;=V$47,V$47&lt;=$L54),$J54/$M54*HLOOKUP(V$47,'FX Lookup'!$A$2:$Y$4,3,FALSE),0)</f>
        <v>2205.5</v>
      </c>
      <c r="W54" s="177">
        <f>IF(AND($K54&lt;=W$47,W$47&lt;=$L54),$J54/$M54*HLOOKUP(W$47,'FX Lookup'!$A$2:$Y$4,3,FALSE),0)</f>
        <v>2205.5</v>
      </c>
      <c r="X54" s="177">
        <f>IF(AND($K54&lt;=X$47,X$47&lt;=$L54),$J54/$M54*HLOOKUP(X$47,'FX Lookup'!$A$2:$Y$4,3,FALSE),0)</f>
        <v>2205.5</v>
      </c>
      <c r="Y54" s="177">
        <f>IF(AND($K54&lt;=Y$47,Y$47&lt;=$L54),$J54/$M54*HLOOKUP(Y$47,'FX Lookup'!$A$2:$Y$4,3,FALSE),0)</f>
        <v>2205.5</v>
      </c>
      <c r="Z54" s="178">
        <f t="shared" si="25"/>
        <v>26485.474999999999</v>
      </c>
      <c r="AA54" s="466">
        <f t="shared" si="26"/>
        <v>-3514.5250000000015</v>
      </c>
      <c r="AB54" s="177">
        <f>IF(AND($K54&lt;=AB$47,AB$47&lt;=$L54),$J54/$M54*HLOOKUP(AB$47,'FX Lookup'!$A$2:$Y$4,3,FALSE),0)</f>
        <v>2224.9749999999999</v>
      </c>
      <c r="AC54" s="177">
        <f>IF(AND($K54&lt;=AC$47,AC$47&lt;=$L54),$J54/$M54*HLOOKUP(AC$47,'FX Lookup'!$A$2:$Y$4,3,FALSE),0)</f>
        <v>2205.5</v>
      </c>
      <c r="AD54" s="177">
        <f>IF(AND($K54&lt;=AD$47,AD$47&lt;=$L54),$J54/$M54*HLOOKUP(AD$47,'FX Lookup'!$A$2:$Y$4,3,FALSE),0)</f>
        <v>2205.5</v>
      </c>
      <c r="AE54" s="177">
        <f>IF(AND($K54&lt;=AE$47,AE$47&lt;=$L54),$J54/$M54*HLOOKUP(AE$47,'FX Lookup'!$A$2:$Y$4,3,FALSE),0)</f>
        <v>2205.5</v>
      </c>
      <c r="AF54" s="177">
        <f>IF(AND($K54&lt;=AF$47,AF$47&lt;=$L54),$J54/$M54*HLOOKUP(AF$47,'FX Lookup'!$A$2:$Y$4,3,FALSE),0)</f>
        <v>2205.5</v>
      </c>
      <c r="AG54" s="177">
        <f>IF(AND($K54&lt;=AG$47,AG$47&lt;=$L54),$J54/$M54*HLOOKUP(AG$47,'FX Lookup'!$A$2:$Y$4,3,FALSE),0)</f>
        <v>2205.5</v>
      </c>
      <c r="AH54" s="177">
        <f>IF(AND($K54&lt;=AH$47,AH$47&lt;=$L54),$J54/$M54*HLOOKUP(AH$47,'FX Lookup'!$A$2:$Y$4,3,FALSE),0)</f>
        <v>2205.5</v>
      </c>
      <c r="AI54" s="177">
        <f>IF(AND($K54&lt;=AI$47,AI$47&lt;=$L54),$J54/$M54*HLOOKUP(AI$47,'FX Lookup'!$A$2:$Y$4,3,FALSE),0)</f>
        <v>2205.5</v>
      </c>
      <c r="AJ54" s="177">
        <f>IF(AND($K54&lt;=AJ$47,AJ$47&lt;=$L54),$J54/$M54*HLOOKUP(AJ$47,'FX Lookup'!$A$2:$Y$4,3,FALSE),0)</f>
        <v>2205.5</v>
      </c>
      <c r="AK54" s="177">
        <f>IF(AND($K54&lt;=AK$47,AK$47&lt;=$L54),$J54/$M54*HLOOKUP(AK$47,'FX Lookup'!$A$2:$Y$4,3,FALSE),0)</f>
        <v>2205.5</v>
      </c>
      <c r="AL54" s="177">
        <f>IF(AND($K54&lt;=AL$47,AL$47&lt;=$L54),$J54/$M54*HLOOKUP(AL$47,'FX Lookup'!$A$2:$Y$4,3,FALSE),0)</f>
        <v>2205.5</v>
      </c>
      <c r="AM54" s="177">
        <f>IF(AND($K54&lt;=AM$47,AM$47&lt;=$L54),$J54/$M54*HLOOKUP(AM$47,'FX Lookup'!$A$2:$Y$4,3,FALSE),0)</f>
        <v>2205.5</v>
      </c>
      <c r="AN54" s="178">
        <f t="shared" si="27"/>
        <v>26485.474999999999</v>
      </c>
      <c r="AP54" s="152"/>
      <c r="AQ54" s="152"/>
      <c r="AR54" s="152"/>
      <c r="AS54" s="152"/>
      <c r="AT54" s="152"/>
      <c r="AU54" s="152"/>
      <c r="AV54" s="152"/>
      <c r="AW54" s="152"/>
      <c r="AX54" s="152"/>
      <c r="AY54" s="152"/>
      <c r="AZ54" s="152"/>
      <c r="BA54" s="152"/>
      <c r="BB54" s="152"/>
      <c r="BC54" s="152"/>
      <c r="BD54" s="152"/>
    </row>
    <row r="55" spans="1:56" ht="13.5" customHeight="1">
      <c r="A55" s="171">
        <f t="shared" si="21"/>
        <v>7</v>
      </c>
      <c r="B55" s="171" t="s">
        <v>2110</v>
      </c>
      <c r="C55" s="171" t="s">
        <v>1729</v>
      </c>
      <c r="D55" s="172" t="s">
        <v>2701</v>
      </c>
      <c r="E55" s="172"/>
      <c r="F55" s="172"/>
      <c r="G55" s="77" t="s">
        <v>2613</v>
      </c>
      <c r="H55" s="173" t="s">
        <v>2614</v>
      </c>
      <c r="I55" s="173" t="s">
        <v>2368</v>
      </c>
      <c r="J55" s="186">
        <v>10000</v>
      </c>
      <c r="K55" s="456">
        <f t="shared" si="22"/>
        <v>46023</v>
      </c>
      <c r="L55" s="456">
        <f t="shared" si="23"/>
        <v>46387</v>
      </c>
      <c r="M55" s="176">
        <f t="shared" si="24"/>
        <v>12</v>
      </c>
      <c r="N55" s="177">
        <f>IF(AND($K55&lt;=N$47,N$47&lt;=$L55),$J55/$M55*HLOOKUP(N$47,'FX Lookup'!$A$2:$Y$4,3,FALSE),0)</f>
        <v>741.6583333333333</v>
      </c>
      <c r="O55" s="177">
        <f>IF(AND($K55&lt;=O$47,O$47&lt;=$L55),$J55/$M55*HLOOKUP(O$47,'FX Lookup'!$A$2:$Y$4,3,FALSE),0)</f>
        <v>735.16666666666674</v>
      </c>
      <c r="P55" s="177">
        <f>IF(AND($K55&lt;=P$47,P$47&lt;=$L55),$J55/$M55*HLOOKUP(P$47,'FX Lookup'!$A$2:$Y$4,3,FALSE),0)</f>
        <v>735.16666666666674</v>
      </c>
      <c r="Q55" s="177">
        <f>IF(AND($K55&lt;=Q$47,Q$47&lt;=$L55),$J55/$M55*HLOOKUP(Q$47,'FX Lookup'!$A$2:$Y$4,3,FALSE),0)</f>
        <v>735.16666666666674</v>
      </c>
      <c r="R55" s="177">
        <f>IF(AND($K55&lt;=R$47,R$47&lt;=$L55),$J55/$M55*HLOOKUP(R$47,'FX Lookup'!$A$2:$Y$4,3,FALSE),0)</f>
        <v>735.16666666666674</v>
      </c>
      <c r="S55" s="177">
        <f>IF(AND($K55&lt;=S$47,S$47&lt;=$L55),$J55/$M55*HLOOKUP(S$47,'FX Lookup'!$A$2:$Y$4,3,FALSE),0)</f>
        <v>735.16666666666674</v>
      </c>
      <c r="T55" s="177">
        <f>IF(AND($K55&lt;=T$47,T$47&lt;=$L55),$J55/$M55*HLOOKUP(T$47,'FX Lookup'!$A$2:$Y$4,3,FALSE),0)</f>
        <v>735.16666666666674</v>
      </c>
      <c r="U55" s="177">
        <f>IF(AND($K55&lt;=U$47,U$47&lt;=$L55),$J55/$M55*HLOOKUP(U$47,'FX Lookup'!$A$2:$Y$4,3,FALSE),0)</f>
        <v>735.16666666666674</v>
      </c>
      <c r="V55" s="177">
        <f>IF(AND($K55&lt;=V$47,V$47&lt;=$L55),$J55/$M55*HLOOKUP(V$47,'FX Lookup'!$A$2:$Y$4,3,FALSE),0)</f>
        <v>735.16666666666674</v>
      </c>
      <c r="W55" s="177">
        <f>IF(AND($K55&lt;=W$47,W$47&lt;=$L55),$J55/$M55*HLOOKUP(W$47,'FX Lookup'!$A$2:$Y$4,3,FALSE),0)</f>
        <v>735.16666666666674</v>
      </c>
      <c r="X55" s="177">
        <f>IF(AND($K55&lt;=X$47,X$47&lt;=$L55),$J55/$M55*HLOOKUP(X$47,'FX Lookup'!$A$2:$Y$4,3,FALSE),0)</f>
        <v>735.16666666666674</v>
      </c>
      <c r="Y55" s="177">
        <f>IF(AND($K55&lt;=Y$47,Y$47&lt;=$L55),$J55/$M55*HLOOKUP(Y$47,'FX Lookup'!$A$2:$Y$4,3,FALSE),0)</f>
        <v>735.16666666666674</v>
      </c>
      <c r="Z55" s="178">
        <f t="shared" si="25"/>
        <v>8828.4916666666686</v>
      </c>
      <c r="AA55" s="466">
        <f t="shared" si="26"/>
        <v>-1171.5083333333314</v>
      </c>
      <c r="AB55" s="177">
        <f>IF(AND($K55&lt;=AB$47,AB$47&lt;=$L55),$J55/$M55*HLOOKUP(AB$47,'FX Lookup'!$A$2:$Y$4,3,FALSE),0)</f>
        <v>741.6583333333333</v>
      </c>
      <c r="AC55" s="177">
        <f>IF(AND($K55&lt;=AC$47,AC$47&lt;=$L55),$J55/$M55*HLOOKUP(AC$47,'FX Lookup'!$A$2:$Y$4,3,FALSE),0)</f>
        <v>735.16666666666674</v>
      </c>
      <c r="AD55" s="177">
        <f>IF(AND($K55&lt;=AD$47,AD$47&lt;=$L55),$J55/$M55*HLOOKUP(AD$47,'FX Lookup'!$A$2:$Y$4,3,FALSE),0)</f>
        <v>735.16666666666674</v>
      </c>
      <c r="AE55" s="177">
        <f>IF(AND($K55&lt;=AE$47,AE$47&lt;=$L55),$J55/$M55*HLOOKUP(AE$47,'FX Lookup'!$A$2:$Y$4,3,FALSE),0)</f>
        <v>735.16666666666674</v>
      </c>
      <c r="AF55" s="177">
        <f>IF(AND($K55&lt;=AF$47,AF$47&lt;=$L55),$J55/$M55*HLOOKUP(AF$47,'FX Lookup'!$A$2:$Y$4,3,FALSE),0)</f>
        <v>735.16666666666674</v>
      </c>
      <c r="AG55" s="177">
        <f>IF(AND($K55&lt;=AG$47,AG$47&lt;=$L55),$J55/$M55*HLOOKUP(AG$47,'FX Lookup'!$A$2:$Y$4,3,FALSE),0)</f>
        <v>735.16666666666674</v>
      </c>
      <c r="AH55" s="177">
        <f>IF(AND($K55&lt;=AH$47,AH$47&lt;=$L55),$J55/$M55*HLOOKUP(AH$47,'FX Lookup'!$A$2:$Y$4,3,FALSE),0)</f>
        <v>735.16666666666674</v>
      </c>
      <c r="AI55" s="177">
        <f>IF(AND($K55&lt;=AI$47,AI$47&lt;=$L55),$J55/$M55*HLOOKUP(AI$47,'FX Lookup'!$A$2:$Y$4,3,FALSE),0)</f>
        <v>735.16666666666674</v>
      </c>
      <c r="AJ55" s="177">
        <f>IF(AND($K55&lt;=AJ$47,AJ$47&lt;=$L55),$J55/$M55*HLOOKUP(AJ$47,'FX Lookup'!$A$2:$Y$4,3,FALSE),0)</f>
        <v>735.16666666666674</v>
      </c>
      <c r="AK55" s="177">
        <f>IF(AND($K55&lt;=AK$47,AK$47&lt;=$L55),$J55/$M55*HLOOKUP(AK$47,'FX Lookup'!$A$2:$Y$4,3,FALSE),0)</f>
        <v>735.16666666666674</v>
      </c>
      <c r="AL55" s="177">
        <f>IF(AND($K55&lt;=AL$47,AL$47&lt;=$L55),$J55/$M55*HLOOKUP(AL$47,'FX Lookup'!$A$2:$Y$4,3,FALSE),0)</f>
        <v>735.16666666666674</v>
      </c>
      <c r="AM55" s="177">
        <f>IF(AND($K55&lt;=AM$47,AM$47&lt;=$L55),$J55/$M55*HLOOKUP(AM$47,'FX Lookup'!$A$2:$Y$4,3,FALSE),0)</f>
        <v>735.16666666666674</v>
      </c>
      <c r="AN55" s="178">
        <f t="shared" si="27"/>
        <v>8828.4916666666686</v>
      </c>
      <c r="AP55" s="152"/>
      <c r="AQ55" s="152"/>
      <c r="AR55" s="152"/>
      <c r="AS55" s="152"/>
      <c r="AT55" s="152"/>
      <c r="AU55" s="152"/>
      <c r="AV55" s="152"/>
      <c r="AW55" s="152"/>
      <c r="AX55" s="152"/>
      <c r="AY55" s="152"/>
      <c r="AZ55" s="152"/>
      <c r="BA55" s="152"/>
      <c r="BB55" s="152"/>
      <c r="BC55" s="152"/>
      <c r="BD55" s="152"/>
    </row>
    <row r="56" spans="1:56" ht="13.5" customHeight="1">
      <c r="A56" s="171">
        <f t="shared" si="21"/>
        <v>8</v>
      </c>
      <c r="B56" s="171" t="s">
        <v>2110</v>
      </c>
      <c r="C56" s="171"/>
      <c r="D56" s="172"/>
      <c r="E56" s="172"/>
      <c r="F56" s="172"/>
      <c r="G56" s="77" t="s">
        <v>2613</v>
      </c>
      <c r="H56" s="173" t="s">
        <v>2614</v>
      </c>
      <c r="I56" s="173" t="s">
        <v>2368</v>
      </c>
      <c r="J56" s="184"/>
      <c r="K56" s="456">
        <f t="shared" si="22"/>
        <v>46023</v>
      </c>
      <c r="L56" s="456">
        <f t="shared" si="23"/>
        <v>46387</v>
      </c>
      <c r="M56" s="176">
        <f t="shared" si="24"/>
        <v>12</v>
      </c>
      <c r="N56" s="177">
        <f>IF(AND($K56&lt;=N$47,N$47&lt;=$L56),$J56/$M56*HLOOKUP(N$47,'FX Lookup'!$A$2:$Y$4,3,FALSE),0)</f>
        <v>0</v>
      </c>
      <c r="O56" s="177">
        <f>IF(AND($K56&lt;=O$47,O$47&lt;=$L56),$J56/$M56*HLOOKUP(O$47,'FX Lookup'!$A$2:$Y$4,3,FALSE),0)</f>
        <v>0</v>
      </c>
      <c r="P56" s="177">
        <f>IF(AND($K56&lt;=P$47,P$47&lt;=$L56),$J56/$M56*HLOOKUP(P$47,'FX Lookup'!$A$2:$Y$4,3,FALSE),0)</f>
        <v>0</v>
      </c>
      <c r="Q56" s="177">
        <f>IF(AND($K56&lt;=Q$47,Q$47&lt;=$L56),$J56/$M56*HLOOKUP(Q$47,'FX Lookup'!$A$2:$Y$4,3,FALSE),0)</f>
        <v>0</v>
      </c>
      <c r="R56" s="177">
        <f>IF(AND($K56&lt;=R$47,R$47&lt;=$L56),$J56/$M56*HLOOKUP(R$47,'FX Lookup'!$A$2:$Y$4,3,FALSE),0)</f>
        <v>0</v>
      </c>
      <c r="S56" s="177">
        <f>IF(AND($K56&lt;=S$47,S$47&lt;=$L56),$J56/$M56*HLOOKUP(S$47,'FX Lookup'!$A$2:$Y$4,3,FALSE),0)</f>
        <v>0</v>
      </c>
      <c r="T56" s="177">
        <f>IF(AND($K56&lt;=T$47,T$47&lt;=$L56),$J56/$M56*HLOOKUP(T$47,'FX Lookup'!$A$2:$Y$4,3,FALSE),0)</f>
        <v>0</v>
      </c>
      <c r="U56" s="177">
        <f>IF(AND($K56&lt;=U$47,U$47&lt;=$L56),$J56/$M56*HLOOKUP(U$47,'FX Lookup'!$A$2:$Y$4,3,FALSE),0)</f>
        <v>0</v>
      </c>
      <c r="V56" s="177">
        <f>IF(AND($K56&lt;=V$47,V$47&lt;=$L56),$J56/$M56*HLOOKUP(V$47,'FX Lookup'!$A$2:$Y$4,3,FALSE),0)</f>
        <v>0</v>
      </c>
      <c r="W56" s="177">
        <f>IF(AND($K56&lt;=W$47,W$47&lt;=$L56),$J56/$M56*HLOOKUP(W$47,'FX Lookup'!$A$2:$Y$4,3,FALSE),0)</f>
        <v>0</v>
      </c>
      <c r="X56" s="177">
        <f>IF(AND($K56&lt;=X$47,X$47&lt;=$L56),$J56/$M56*HLOOKUP(X$47,'FX Lookup'!$A$2:$Y$4,3,FALSE),0)</f>
        <v>0</v>
      </c>
      <c r="Y56" s="177">
        <f>IF(AND($K56&lt;=Y$47,Y$47&lt;=$L56),$J56/$M56*HLOOKUP(Y$47,'FX Lookup'!$A$2:$Y$4,3,FALSE),0)</f>
        <v>0</v>
      </c>
      <c r="Z56" s="178">
        <f t="shared" si="25"/>
        <v>0</v>
      </c>
      <c r="AA56" s="466">
        <f t="shared" si="26"/>
        <v>0</v>
      </c>
      <c r="AB56" s="177">
        <f>IF(AND($K56&lt;=AB$47,AB$47&lt;=$L56),$J56/$M56*HLOOKUP(AB$47,'FX Lookup'!$A$2:$Y$4,3,FALSE),0)</f>
        <v>0</v>
      </c>
      <c r="AC56" s="177">
        <f>IF(AND($K56&lt;=AC$47,AC$47&lt;=$L56),$J56/$M56*HLOOKUP(AC$47,'FX Lookup'!$A$2:$Y$4,3,FALSE),0)</f>
        <v>0</v>
      </c>
      <c r="AD56" s="177">
        <f>IF(AND($K56&lt;=AD$47,AD$47&lt;=$L56),$J56/$M56*HLOOKUP(AD$47,'FX Lookup'!$A$2:$Y$4,3,FALSE),0)</f>
        <v>0</v>
      </c>
      <c r="AE56" s="177">
        <f>IF(AND($K56&lt;=AE$47,AE$47&lt;=$L56),$J56/$M56*HLOOKUP(AE$47,'FX Lookup'!$A$2:$Y$4,3,FALSE),0)</f>
        <v>0</v>
      </c>
      <c r="AF56" s="177">
        <f>IF(AND($K56&lt;=AF$47,AF$47&lt;=$L56),$J56/$M56*HLOOKUP(AF$47,'FX Lookup'!$A$2:$Y$4,3,FALSE),0)</f>
        <v>0</v>
      </c>
      <c r="AG56" s="177">
        <f>IF(AND($K56&lt;=AG$47,AG$47&lt;=$L56),$J56/$M56*HLOOKUP(AG$47,'FX Lookup'!$A$2:$Y$4,3,FALSE),0)</f>
        <v>0</v>
      </c>
      <c r="AH56" s="177">
        <f>IF(AND($K56&lt;=AH$47,AH$47&lt;=$L56),$J56/$M56*HLOOKUP(AH$47,'FX Lookup'!$A$2:$Y$4,3,FALSE),0)</f>
        <v>0</v>
      </c>
      <c r="AI56" s="177">
        <f>IF(AND($K56&lt;=AI$47,AI$47&lt;=$L56),$J56/$M56*HLOOKUP(AI$47,'FX Lookup'!$A$2:$Y$4,3,FALSE),0)</f>
        <v>0</v>
      </c>
      <c r="AJ56" s="177">
        <f>IF(AND($K56&lt;=AJ$47,AJ$47&lt;=$L56),$J56/$M56*HLOOKUP(AJ$47,'FX Lookup'!$A$2:$Y$4,3,FALSE),0)</f>
        <v>0</v>
      </c>
      <c r="AK56" s="177">
        <f>IF(AND($K56&lt;=AK$47,AK$47&lt;=$L56),$J56/$M56*HLOOKUP(AK$47,'FX Lookup'!$A$2:$Y$4,3,FALSE),0)</f>
        <v>0</v>
      </c>
      <c r="AL56" s="177">
        <f>IF(AND($K56&lt;=AL$47,AL$47&lt;=$L56),$J56/$M56*HLOOKUP(AL$47,'FX Lookup'!$A$2:$Y$4,3,FALSE),0)</f>
        <v>0</v>
      </c>
      <c r="AM56" s="177">
        <f>IF(AND($K56&lt;=AM$47,AM$47&lt;=$L56),$J56/$M56*HLOOKUP(AM$47,'FX Lookup'!$A$2:$Y$4,3,FALSE),0)</f>
        <v>0</v>
      </c>
      <c r="AN56" s="178">
        <f t="shared" si="27"/>
        <v>0</v>
      </c>
      <c r="AP56" s="152"/>
      <c r="AQ56" s="152"/>
      <c r="AR56" s="152"/>
      <c r="AS56" s="152"/>
      <c r="AT56" s="152"/>
      <c r="AU56" s="152"/>
      <c r="AV56" s="152"/>
      <c r="AW56" s="152"/>
      <c r="AX56" s="152"/>
      <c r="AY56" s="152"/>
      <c r="AZ56" s="152"/>
      <c r="BA56" s="152"/>
      <c r="BB56" s="152"/>
      <c r="BC56" s="152"/>
      <c r="BD56" s="152"/>
    </row>
    <row r="57" spans="1:56" ht="13.5" customHeight="1">
      <c r="A57" s="171">
        <f t="shared" si="21"/>
        <v>9</v>
      </c>
      <c r="B57" s="171" t="s">
        <v>2110</v>
      </c>
      <c r="C57" s="171"/>
      <c r="D57" s="172"/>
      <c r="E57" s="172"/>
      <c r="F57" s="172"/>
      <c r="G57" s="77" t="s">
        <v>2613</v>
      </c>
      <c r="H57" s="173" t="s">
        <v>2614</v>
      </c>
      <c r="I57" s="173" t="s">
        <v>2368</v>
      </c>
      <c r="J57" s="184"/>
      <c r="K57" s="456">
        <f t="shared" si="22"/>
        <v>46023</v>
      </c>
      <c r="L57" s="456">
        <f t="shared" si="23"/>
        <v>46387</v>
      </c>
      <c r="M57" s="176">
        <f t="shared" si="24"/>
        <v>12</v>
      </c>
      <c r="N57" s="177">
        <f>IF(AND($K57&lt;=N$47,N$47&lt;=$L57),$J57/$M57*HLOOKUP(N$47,'FX Lookup'!$A$2:$Y$4,3,FALSE),0)</f>
        <v>0</v>
      </c>
      <c r="O57" s="177">
        <f>IF(AND($K57&lt;=O$47,O$47&lt;=$L57),$J57/$M57*HLOOKUP(O$47,'FX Lookup'!$A$2:$Y$4,3,FALSE),0)</f>
        <v>0</v>
      </c>
      <c r="P57" s="177">
        <f>IF(AND($K57&lt;=P$47,P$47&lt;=$L57),$J57/$M57*HLOOKUP(P$47,'FX Lookup'!$A$2:$Y$4,3,FALSE),0)</f>
        <v>0</v>
      </c>
      <c r="Q57" s="177">
        <f>IF(AND($K57&lt;=Q$47,Q$47&lt;=$L57),$J57/$M57*HLOOKUP(Q$47,'FX Lookup'!$A$2:$Y$4,3,FALSE),0)</f>
        <v>0</v>
      </c>
      <c r="R57" s="177">
        <f>IF(AND($K57&lt;=R$47,R$47&lt;=$L57),$J57/$M57*HLOOKUP(R$47,'FX Lookup'!$A$2:$Y$4,3,FALSE),0)</f>
        <v>0</v>
      </c>
      <c r="S57" s="177">
        <f>IF(AND($K57&lt;=S$47,S$47&lt;=$L57),$J57/$M57*HLOOKUP(S$47,'FX Lookup'!$A$2:$Y$4,3,FALSE),0)</f>
        <v>0</v>
      </c>
      <c r="T57" s="177">
        <f>IF(AND($K57&lt;=T$47,T$47&lt;=$L57),$J57/$M57*HLOOKUP(T$47,'FX Lookup'!$A$2:$Y$4,3,FALSE),0)</f>
        <v>0</v>
      </c>
      <c r="U57" s="177">
        <f>IF(AND($K57&lt;=U$47,U$47&lt;=$L57),$J57/$M57*HLOOKUP(U$47,'FX Lookup'!$A$2:$Y$4,3,FALSE),0)</f>
        <v>0</v>
      </c>
      <c r="V57" s="177">
        <f>IF(AND($K57&lt;=V$47,V$47&lt;=$L57),$J57/$M57*HLOOKUP(V$47,'FX Lookup'!$A$2:$Y$4,3,FALSE),0)</f>
        <v>0</v>
      </c>
      <c r="W57" s="177">
        <f>IF(AND($K57&lt;=W$47,W$47&lt;=$L57),$J57/$M57*HLOOKUP(W$47,'FX Lookup'!$A$2:$Y$4,3,FALSE),0)</f>
        <v>0</v>
      </c>
      <c r="X57" s="177">
        <f>IF(AND($K57&lt;=X$47,X$47&lt;=$L57),$J57/$M57*HLOOKUP(X$47,'FX Lookup'!$A$2:$Y$4,3,FALSE),0)</f>
        <v>0</v>
      </c>
      <c r="Y57" s="177">
        <f>IF(AND($K57&lt;=Y$47,Y$47&lt;=$L57),$J57/$M57*HLOOKUP(Y$47,'FX Lookup'!$A$2:$Y$4,3,FALSE),0)</f>
        <v>0</v>
      </c>
      <c r="Z57" s="178">
        <f t="shared" si="25"/>
        <v>0</v>
      </c>
      <c r="AA57" s="466">
        <f t="shared" si="26"/>
        <v>0</v>
      </c>
      <c r="AB57" s="177">
        <f>IF(AND($K57&lt;=AB$47,AB$47&lt;=$L57),$J57/$M57*HLOOKUP(AB$47,'FX Lookup'!$A$2:$Y$4,3,FALSE),0)</f>
        <v>0</v>
      </c>
      <c r="AC57" s="177">
        <f>IF(AND($K57&lt;=AC$47,AC$47&lt;=$L57),$J57/$M57*HLOOKUP(AC$47,'FX Lookup'!$A$2:$Y$4,3,FALSE),0)</f>
        <v>0</v>
      </c>
      <c r="AD57" s="177">
        <f>IF(AND($K57&lt;=AD$47,AD$47&lt;=$L57),$J57/$M57*HLOOKUP(AD$47,'FX Lookup'!$A$2:$Y$4,3,FALSE),0)</f>
        <v>0</v>
      </c>
      <c r="AE57" s="177">
        <f>IF(AND($K57&lt;=AE$47,AE$47&lt;=$L57),$J57/$M57*HLOOKUP(AE$47,'FX Lookup'!$A$2:$Y$4,3,FALSE),0)</f>
        <v>0</v>
      </c>
      <c r="AF57" s="177">
        <f>IF(AND($K57&lt;=AF$47,AF$47&lt;=$L57),$J57/$M57*HLOOKUP(AF$47,'FX Lookup'!$A$2:$Y$4,3,FALSE),0)</f>
        <v>0</v>
      </c>
      <c r="AG57" s="177">
        <f>IF(AND($K57&lt;=AG$47,AG$47&lt;=$L57),$J57/$M57*HLOOKUP(AG$47,'FX Lookup'!$A$2:$Y$4,3,FALSE),0)</f>
        <v>0</v>
      </c>
      <c r="AH57" s="177">
        <f>IF(AND($K57&lt;=AH$47,AH$47&lt;=$L57),$J57/$M57*HLOOKUP(AH$47,'FX Lookup'!$A$2:$Y$4,3,FALSE),0)</f>
        <v>0</v>
      </c>
      <c r="AI57" s="177">
        <f>IF(AND($K57&lt;=AI$47,AI$47&lt;=$L57),$J57/$M57*HLOOKUP(AI$47,'FX Lookup'!$A$2:$Y$4,3,FALSE),0)</f>
        <v>0</v>
      </c>
      <c r="AJ57" s="177">
        <f>IF(AND($K57&lt;=AJ$47,AJ$47&lt;=$L57),$J57/$M57*HLOOKUP(AJ$47,'FX Lookup'!$A$2:$Y$4,3,FALSE),0)</f>
        <v>0</v>
      </c>
      <c r="AK57" s="177">
        <f>IF(AND($K57&lt;=AK$47,AK$47&lt;=$L57),$J57/$M57*HLOOKUP(AK$47,'FX Lookup'!$A$2:$Y$4,3,FALSE),0)</f>
        <v>0</v>
      </c>
      <c r="AL57" s="177">
        <f>IF(AND($K57&lt;=AL$47,AL$47&lt;=$L57),$J57/$M57*HLOOKUP(AL$47,'FX Lookup'!$A$2:$Y$4,3,FALSE),0)</f>
        <v>0</v>
      </c>
      <c r="AM57" s="177">
        <f>IF(AND($K57&lt;=AM$47,AM$47&lt;=$L57),$J57/$M57*HLOOKUP(AM$47,'FX Lookup'!$A$2:$Y$4,3,FALSE),0)</f>
        <v>0</v>
      </c>
      <c r="AN57" s="178">
        <f t="shared" si="27"/>
        <v>0</v>
      </c>
      <c r="AP57" s="152"/>
      <c r="AQ57" s="152"/>
      <c r="AR57" s="152"/>
      <c r="AS57" s="152"/>
      <c r="AT57" s="152"/>
      <c r="AU57" s="152"/>
      <c r="AV57" s="152"/>
      <c r="AW57" s="152"/>
      <c r="AX57" s="152"/>
      <c r="AY57" s="152"/>
      <c r="AZ57" s="152"/>
      <c r="BA57" s="152"/>
      <c r="BB57" s="152"/>
      <c r="BC57" s="152"/>
      <c r="BD57" s="152"/>
    </row>
    <row r="58" spans="1:56" ht="13.5" customHeight="1" thickBot="1">
      <c r="A58" s="531">
        <f t="shared" si="21"/>
        <v>10</v>
      </c>
      <c r="B58" s="531" t="s">
        <v>2110</v>
      </c>
      <c r="C58" s="531"/>
      <c r="D58" s="532"/>
      <c r="E58" s="532"/>
      <c r="F58" s="532"/>
      <c r="G58" s="533" t="s">
        <v>2613</v>
      </c>
      <c r="H58" s="534" t="s">
        <v>2614</v>
      </c>
      <c r="I58" s="534" t="s">
        <v>2368</v>
      </c>
      <c r="J58" s="535"/>
      <c r="K58" s="536">
        <f t="shared" si="22"/>
        <v>46023</v>
      </c>
      <c r="L58" s="536">
        <f t="shared" si="23"/>
        <v>46387</v>
      </c>
      <c r="M58" s="537">
        <f t="shared" si="24"/>
        <v>12</v>
      </c>
      <c r="N58" s="177">
        <f>IF(AND($K58&lt;=N$47,N$47&lt;=$L58),$J58/$M58*HLOOKUP(N$47,'FX Lookup'!$A$2:$Y$4,3,FALSE),0)</f>
        <v>0</v>
      </c>
      <c r="O58" s="177">
        <f>IF(AND($K58&lt;=O$47,O$47&lt;=$L58),$J58/$M58*HLOOKUP(O$47,'FX Lookup'!$A$2:$Y$4,3,FALSE),0)</f>
        <v>0</v>
      </c>
      <c r="P58" s="177">
        <f>IF(AND($K58&lt;=P$47,P$47&lt;=$L58),$J58/$M58*HLOOKUP(P$47,'FX Lookup'!$A$2:$Y$4,3,FALSE),0)</f>
        <v>0</v>
      </c>
      <c r="Q58" s="177">
        <f>IF(AND($K58&lt;=Q$47,Q$47&lt;=$L58),$J58/$M58*HLOOKUP(Q$47,'FX Lookup'!$A$2:$Y$4,3,FALSE),0)</f>
        <v>0</v>
      </c>
      <c r="R58" s="177">
        <f>IF(AND($K58&lt;=R$47,R$47&lt;=$L58),$J58/$M58*HLOOKUP(R$47,'FX Lookup'!$A$2:$Y$4,3,FALSE),0)</f>
        <v>0</v>
      </c>
      <c r="S58" s="177">
        <f>IF(AND($K58&lt;=S$47,S$47&lt;=$L58),$J58/$M58*HLOOKUP(S$47,'FX Lookup'!$A$2:$Y$4,3,FALSE),0)</f>
        <v>0</v>
      </c>
      <c r="T58" s="177">
        <f>IF(AND($K58&lt;=T$47,T$47&lt;=$L58),$J58/$M58*HLOOKUP(T$47,'FX Lookup'!$A$2:$Y$4,3,FALSE),0)</f>
        <v>0</v>
      </c>
      <c r="U58" s="177">
        <f>IF(AND($K58&lt;=U$47,U$47&lt;=$L58),$J58/$M58*HLOOKUP(U$47,'FX Lookup'!$A$2:$Y$4,3,FALSE),0)</f>
        <v>0</v>
      </c>
      <c r="V58" s="177">
        <f>IF(AND($K58&lt;=V$47,V$47&lt;=$L58),$J58/$M58*HLOOKUP(V$47,'FX Lookup'!$A$2:$Y$4,3,FALSE),0)</f>
        <v>0</v>
      </c>
      <c r="W58" s="177">
        <f>IF(AND($K58&lt;=W$47,W$47&lt;=$L58),$J58/$M58*HLOOKUP(W$47,'FX Lookup'!$A$2:$Y$4,3,FALSE),0)</f>
        <v>0</v>
      </c>
      <c r="X58" s="177">
        <f>IF(AND($K58&lt;=X$47,X$47&lt;=$L58),$J58/$M58*HLOOKUP(X$47,'FX Lookup'!$A$2:$Y$4,3,FALSE),0)</f>
        <v>0</v>
      </c>
      <c r="Y58" s="177">
        <f>IF(AND($K58&lt;=Y$47,Y$47&lt;=$L58),$J58/$M58*HLOOKUP(Y$47,'FX Lookup'!$A$2:$Y$4,3,FALSE),0)</f>
        <v>0</v>
      </c>
      <c r="Z58" s="178">
        <f t="shared" si="25"/>
        <v>0</v>
      </c>
      <c r="AA58" s="466">
        <f t="shared" si="26"/>
        <v>0</v>
      </c>
      <c r="AB58" s="177">
        <f>IF(AND($K58&lt;=AB$47,AB$47&lt;=$L58),$J58/$M58*HLOOKUP(AB$47,'FX Lookup'!$A$2:$Y$4,3,FALSE),0)</f>
        <v>0</v>
      </c>
      <c r="AC58" s="177">
        <f>IF(AND($K58&lt;=AC$47,AC$47&lt;=$L58),$J58/$M58*HLOOKUP(AC$47,'FX Lookup'!$A$2:$Y$4,3,FALSE),0)</f>
        <v>0</v>
      </c>
      <c r="AD58" s="177">
        <f>IF(AND($K58&lt;=AD$47,AD$47&lt;=$L58),$J58/$M58*HLOOKUP(AD$47,'FX Lookup'!$A$2:$Y$4,3,FALSE),0)</f>
        <v>0</v>
      </c>
      <c r="AE58" s="177">
        <f>IF(AND($K58&lt;=AE$47,AE$47&lt;=$L58),$J58/$M58*HLOOKUP(AE$47,'FX Lookup'!$A$2:$Y$4,3,FALSE),0)</f>
        <v>0</v>
      </c>
      <c r="AF58" s="177">
        <f>IF(AND($K58&lt;=AF$47,AF$47&lt;=$L58),$J58/$M58*HLOOKUP(AF$47,'FX Lookup'!$A$2:$Y$4,3,FALSE),0)</f>
        <v>0</v>
      </c>
      <c r="AG58" s="177">
        <f>IF(AND($K58&lt;=AG$47,AG$47&lt;=$L58),$J58/$M58*HLOOKUP(AG$47,'FX Lookup'!$A$2:$Y$4,3,FALSE),0)</f>
        <v>0</v>
      </c>
      <c r="AH58" s="177">
        <f>IF(AND($K58&lt;=AH$47,AH$47&lt;=$L58),$J58/$M58*HLOOKUP(AH$47,'FX Lookup'!$A$2:$Y$4,3,FALSE),0)</f>
        <v>0</v>
      </c>
      <c r="AI58" s="177">
        <f>IF(AND($K58&lt;=AI$47,AI$47&lt;=$L58),$J58/$M58*HLOOKUP(AI$47,'FX Lookup'!$A$2:$Y$4,3,FALSE),0)</f>
        <v>0</v>
      </c>
      <c r="AJ58" s="177">
        <f>IF(AND($K58&lt;=AJ$47,AJ$47&lt;=$L58),$J58/$M58*HLOOKUP(AJ$47,'FX Lookup'!$A$2:$Y$4,3,FALSE),0)</f>
        <v>0</v>
      </c>
      <c r="AK58" s="177">
        <f>IF(AND($K58&lt;=AK$47,AK$47&lt;=$L58),$J58/$M58*HLOOKUP(AK$47,'FX Lookup'!$A$2:$Y$4,3,FALSE),0)</f>
        <v>0</v>
      </c>
      <c r="AL58" s="177">
        <f>IF(AND($K58&lt;=AL$47,AL$47&lt;=$L58),$J58/$M58*HLOOKUP(AL$47,'FX Lookup'!$A$2:$Y$4,3,FALSE),0)</f>
        <v>0</v>
      </c>
      <c r="AM58" s="177">
        <f>IF(AND($K58&lt;=AM$47,AM$47&lt;=$L58),$J58/$M58*HLOOKUP(AM$47,'FX Lookup'!$A$2:$Y$4,3,FALSE),0)</f>
        <v>0</v>
      </c>
      <c r="AN58" s="178">
        <f t="shared" si="27"/>
        <v>0</v>
      </c>
      <c r="AP58" s="152"/>
      <c r="AQ58" s="152"/>
      <c r="AR58" s="152"/>
      <c r="AS58" s="152"/>
      <c r="AT58" s="152"/>
      <c r="AU58" s="152"/>
      <c r="AV58" s="152"/>
      <c r="AW58" s="152"/>
      <c r="AX58" s="152"/>
      <c r="AY58" s="152"/>
      <c r="AZ58" s="152"/>
      <c r="BA58" s="152"/>
      <c r="BB58" s="152"/>
      <c r="BC58" s="152"/>
      <c r="BD58" s="152"/>
    </row>
    <row r="59" spans="1:56" ht="21.95" customHeight="1" thickTop="1">
      <c r="A59" s="538"/>
      <c r="B59" s="539" t="s">
        <v>2110</v>
      </c>
      <c r="C59" s="539"/>
      <c r="D59" s="540" t="s">
        <v>2115</v>
      </c>
      <c r="E59" s="541" t="str">
        <f>'CF-ACPL（合并）'!A26</f>
        <v>支付的其他与经营活动有关的现金（员工报销）</v>
      </c>
      <c r="F59" s="540"/>
      <c r="G59" s="542" t="s">
        <v>2613</v>
      </c>
      <c r="H59" s="543" t="s">
        <v>2614</v>
      </c>
      <c r="I59" s="543" t="s">
        <v>2368</v>
      </c>
      <c r="J59" s="544">
        <f ca="1">SUM(J49:J58)</f>
        <v>443200</v>
      </c>
      <c r="K59" s="545">
        <f t="shared" si="22"/>
        <v>46023</v>
      </c>
      <c r="L59" s="545">
        <f t="shared" si="23"/>
        <v>46387</v>
      </c>
      <c r="M59" s="546">
        <f t="shared" si="24"/>
        <v>12</v>
      </c>
      <c r="N59" s="547">
        <f ca="1">SUM(N49:N58)</f>
        <v>32870.297333333328</v>
      </c>
      <c r="O59" s="547">
        <f t="shared" ref="O59:Y59" ca="1" si="28">SUM(O49:O58)</f>
        <v>32582.586666666666</v>
      </c>
      <c r="P59" s="547">
        <f t="shared" ca="1" si="28"/>
        <v>32582.586666666666</v>
      </c>
      <c r="Q59" s="547">
        <f t="shared" ca="1" si="28"/>
        <v>32582.586666666666</v>
      </c>
      <c r="R59" s="547">
        <f t="shared" ca="1" si="28"/>
        <v>32582.586666666666</v>
      </c>
      <c r="S59" s="547">
        <f t="shared" ca="1" si="28"/>
        <v>32582.586666666666</v>
      </c>
      <c r="T59" s="547">
        <f t="shared" ca="1" si="28"/>
        <v>32582.586666666666</v>
      </c>
      <c r="U59" s="547">
        <f t="shared" ca="1" si="28"/>
        <v>32582.586666666666</v>
      </c>
      <c r="V59" s="547">
        <f t="shared" ca="1" si="28"/>
        <v>32582.586666666666</v>
      </c>
      <c r="W59" s="547">
        <f t="shared" ca="1" si="28"/>
        <v>32582.586666666666</v>
      </c>
      <c r="X59" s="547">
        <f t="shared" ca="1" si="28"/>
        <v>32582.586666666666</v>
      </c>
      <c r="Y59" s="547">
        <f t="shared" ca="1" si="28"/>
        <v>32582.586666666666</v>
      </c>
      <c r="Z59" s="178">
        <f t="shared" ca="1" si="25"/>
        <v>391278.75066666666</v>
      </c>
      <c r="AA59" s="466">
        <f t="shared" ca="1" si="26"/>
        <v>-51921.24933333334</v>
      </c>
      <c r="AB59" s="547">
        <f ca="1">SUM(AB49:AB58)</f>
        <v>32870.297333333328</v>
      </c>
      <c r="AC59" s="547">
        <f t="shared" ref="AC59:AM59" ca="1" si="29">SUM(AC49:AC58)</f>
        <v>32582.586666666666</v>
      </c>
      <c r="AD59" s="547">
        <f t="shared" ca="1" si="29"/>
        <v>32582.586666666666</v>
      </c>
      <c r="AE59" s="547">
        <f t="shared" ca="1" si="29"/>
        <v>32582.586666666666</v>
      </c>
      <c r="AF59" s="547">
        <f t="shared" ca="1" si="29"/>
        <v>32582.586666666666</v>
      </c>
      <c r="AG59" s="547">
        <f t="shared" ca="1" si="29"/>
        <v>32582.586666666666</v>
      </c>
      <c r="AH59" s="547">
        <f t="shared" ca="1" si="29"/>
        <v>32582.586666666666</v>
      </c>
      <c r="AI59" s="547">
        <f t="shared" ca="1" si="29"/>
        <v>32582.586666666666</v>
      </c>
      <c r="AJ59" s="547">
        <f t="shared" ca="1" si="29"/>
        <v>32582.586666666666</v>
      </c>
      <c r="AK59" s="547">
        <f t="shared" ca="1" si="29"/>
        <v>32582.586666666666</v>
      </c>
      <c r="AL59" s="547">
        <f t="shared" ca="1" si="29"/>
        <v>32582.586666666666</v>
      </c>
      <c r="AM59" s="547">
        <f t="shared" ca="1" si="29"/>
        <v>32582.586666666666</v>
      </c>
      <c r="AN59" s="178">
        <f t="shared" ca="1" si="27"/>
        <v>391278.75066666666</v>
      </c>
      <c r="AP59" s="152"/>
      <c r="AQ59" s="152"/>
      <c r="AR59" s="152"/>
      <c r="AS59" s="152"/>
      <c r="AT59" s="152"/>
      <c r="AU59" s="152"/>
      <c r="AV59" s="152"/>
      <c r="AW59" s="152"/>
      <c r="AX59" s="152"/>
      <c r="AY59" s="152"/>
      <c r="AZ59" s="152"/>
      <c r="BA59" s="152"/>
      <c r="BB59" s="152"/>
      <c r="BC59" s="152"/>
      <c r="BD59" s="152"/>
    </row>
    <row r="60" spans="1:56" ht="13.5" customHeight="1">
      <c r="A60" s="548"/>
      <c r="B60" s="171" t="s">
        <v>2110</v>
      </c>
      <c r="C60" s="171"/>
      <c r="D60" s="172" t="s">
        <v>2675</v>
      </c>
      <c r="E60" s="172"/>
      <c r="F60" s="549">
        <f ca="1">J60/$J$59</f>
        <v>0.86913357400722024</v>
      </c>
      <c r="G60" s="77" t="s">
        <v>2613</v>
      </c>
      <c r="H60" s="173" t="s">
        <v>2614</v>
      </c>
      <c r="I60" s="173" t="s">
        <v>2368</v>
      </c>
      <c r="J60" s="184">
        <f>SUMIFS($P$16:$P$45,$Q$16:$Q$45,$D$60,$B$16:$B$45,B49)+SUMIFS($T$16:$T$45,$Q$16:$Q$45,$D$60,$B$16:$B$45,B49)+J54</f>
        <v>385200</v>
      </c>
      <c r="K60" s="456">
        <f t="shared" si="22"/>
        <v>46023</v>
      </c>
      <c r="L60" s="456">
        <f t="shared" si="23"/>
        <v>46387</v>
      </c>
      <c r="M60" s="176">
        <f t="shared" si="24"/>
        <v>12</v>
      </c>
      <c r="N60" s="177">
        <f>IF(AND($K60&lt;=N$47,N$47&lt;=$L60),$J60/$M60*HLOOKUP(N$47,'FX Lookup'!$A$2:$Y$4,3,FALSE),0)</f>
        <v>28568.679</v>
      </c>
      <c r="O60" s="177">
        <f>IF(AND($K60&lt;=O$47,O$47&lt;=$L60),$J60/$M60*HLOOKUP(O$47,'FX Lookup'!$A$2:$Y$4,3,FALSE),0)</f>
        <v>28318.62</v>
      </c>
      <c r="P60" s="177">
        <f>IF(AND($K60&lt;=P$47,P$47&lt;=$L60),$J60/$M60*HLOOKUP(P$47,'FX Lookup'!$A$2:$Y$4,3,FALSE),0)</f>
        <v>28318.62</v>
      </c>
      <c r="Q60" s="177">
        <f>IF(AND($K60&lt;=Q$47,Q$47&lt;=$L60),$J60/$M60*HLOOKUP(Q$47,'FX Lookup'!$A$2:$Y$4,3,FALSE),0)</f>
        <v>28318.62</v>
      </c>
      <c r="R60" s="177">
        <f>IF(AND($K60&lt;=R$47,R$47&lt;=$L60),$J60/$M60*HLOOKUP(R$47,'FX Lookup'!$A$2:$Y$4,3,FALSE),0)</f>
        <v>28318.62</v>
      </c>
      <c r="S60" s="177">
        <f>IF(AND($K60&lt;=S$47,S$47&lt;=$L60),$J60/$M60*HLOOKUP(S$47,'FX Lookup'!$A$2:$Y$4,3,FALSE),0)</f>
        <v>28318.62</v>
      </c>
      <c r="T60" s="177">
        <f>IF(AND($K60&lt;=T$47,T$47&lt;=$L60),$J60/$M60*HLOOKUP(T$47,'FX Lookup'!$A$2:$Y$4,3,FALSE),0)</f>
        <v>28318.62</v>
      </c>
      <c r="U60" s="177">
        <f>IF(AND($K60&lt;=U$47,U$47&lt;=$L60),$J60/$M60*HLOOKUP(U$47,'FX Lookup'!$A$2:$Y$4,3,FALSE),0)</f>
        <v>28318.62</v>
      </c>
      <c r="V60" s="177">
        <f>IF(AND($K60&lt;=V$47,V$47&lt;=$L60),$J60/$M60*HLOOKUP(V$47,'FX Lookup'!$A$2:$Y$4,3,FALSE),0)</f>
        <v>28318.62</v>
      </c>
      <c r="W60" s="177">
        <f>IF(AND($K60&lt;=W$47,W$47&lt;=$L60),$J60/$M60*HLOOKUP(W$47,'FX Lookup'!$A$2:$Y$4,3,FALSE),0)</f>
        <v>28318.62</v>
      </c>
      <c r="X60" s="177">
        <f>IF(AND($K60&lt;=X$47,X$47&lt;=$L60),$J60/$M60*HLOOKUP(X$47,'FX Lookup'!$A$2:$Y$4,3,FALSE),0)</f>
        <v>28318.62</v>
      </c>
      <c r="Y60" s="177">
        <f>IF(AND($K60&lt;=Y$47,Y$47&lt;=$L60),$J60/$M60*HLOOKUP(Y$47,'FX Lookup'!$A$2:$Y$4,3,FALSE),0)</f>
        <v>28318.62</v>
      </c>
      <c r="Z60" s="178">
        <f t="shared" si="25"/>
        <v>340073.49899999995</v>
      </c>
      <c r="AA60" s="466">
        <f t="shared" si="26"/>
        <v>-45126.501000000047</v>
      </c>
      <c r="AB60" s="177">
        <f>IF(AND($K60&lt;=AB$47,AB$47&lt;=$L60),$J60/$M60*HLOOKUP(AB$47,'FX Lookup'!$A$2:$Y$4,3,FALSE),0)</f>
        <v>28568.679</v>
      </c>
      <c r="AC60" s="177">
        <f>IF(AND($K60&lt;=AC$47,AC$47&lt;=$L60),$J60/$M60*HLOOKUP(AC$47,'FX Lookup'!$A$2:$Y$4,3,FALSE),0)</f>
        <v>28318.62</v>
      </c>
      <c r="AD60" s="177">
        <f>IF(AND($K60&lt;=AD$47,AD$47&lt;=$L60),$J60/$M60*HLOOKUP(AD$47,'FX Lookup'!$A$2:$Y$4,3,FALSE),0)</f>
        <v>28318.62</v>
      </c>
      <c r="AE60" s="177">
        <f>IF(AND($K60&lt;=AE$47,AE$47&lt;=$L60),$J60/$M60*HLOOKUP(AE$47,'FX Lookup'!$A$2:$Y$4,3,FALSE),0)</f>
        <v>28318.62</v>
      </c>
      <c r="AF60" s="177">
        <f>IF(AND($K60&lt;=AF$47,AF$47&lt;=$L60),$J60/$M60*HLOOKUP(AF$47,'FX Lookup'!$A$2:$Y$4,3,FALSE),0)</f>
        <v>28318.62</v>
      </c>
      <c r="AG60" s="177">
        <f>IF(AND($K60&lt;=AG$47,AG$47&lt;=$L60),$J60/$M60*HLOOKUP(AG$47,'FX Lookup'!$A$2:$Y$4,3,FALSE),0)</f>
        <v>28318.62</v>
      </c>
      <c r="AH60" s="177">
        <f>IF(AND($K60&lt;=AH$47,AH$47&lt;=$L60),$J60/$M60*HLOOKUP(AH$47,'FX Lookup'!$A$2:$Y$4,3,FALSE),0)</f>
        <v>28318.62</v>
      </c>
      <c r="AI60" s="177">
        <f>IF(AND($K60&lt;=AI$47,AI$47&lt;=$L60),$J60/$M60*HLOOKUP(AI$47,'FX Lookup'!$A$2:$Y$4,3,FALSE),0)</f>
        <v>28318.62</v>
      </c>
      <c r="AJ60" s="177">
        <f>IF(AND($K60&lt;=AJ$47,AJ$47&lt;=$L60),$J60/$M60*HLOOKUP(AJ$47,'FX Lookup'!$A$2:$Y$4,3,FALSE),0)</f>
        <v>28318.62</v>
      </c>
      <c r="AK60" s="177">
        <f>IF(AND($K60&lt;=AK$47,AK$47&lt;=$L60),$J60/$M60*HLOOKUP(AK$47,'FX Lookup'!$A$2:$Y$4,3,FALSE),0)</f>
        <v>28318.62</v>
      </c>
      <c r="AL60" s="177">
        <f>IF(AND($K60&lt;=AL$47,AL$47&lt;=$L60),$J60/$M60*HLOOKUP(AL$47,'FX Lookup'!$A$2:$Y$4,3,FALSE),0)</f>
        <v>28318.62</v>
      </c>
      <c r="AM60" s="177">
        <f>IF(AND($K60&lt;=AM$47,AM$47&lt;=$L60),$J60/$M60*HLOOKUP(AM$47,'FX Lookup'!$A$2:$Y$4,3,FALSE),0)</f>
        <v>28318.62</v>
      </c>
      <c r="AN60" s="178">
        <f t="shared" si="27"/>
        <v>340073.49899999995</v>
      </c>
      <c r="AP60" s="152"/>
      <c r="AQ60" s="152"/>
      <c r="AR60" s="152"/>
      <c r="AS60" s="152"/>
      <c r="AT60" s="152"/>
      <c r="AU60" s="152"/>
      <c r="AV60" s="152"/>
      <c r="AW60" s="152"/>
      <c r="AX60" s="152"/>
      <c r="AY60" s="152"/>
      <c r="AZ60" s="152"/>
      <c r="BA60" s="152"/>
      <c r="BB60" s="152"/>
      <c r="BC60" s="152"/>
      <c r="BD60" s="152"/>
    </row>
    <row r="61" spans="1:56" ht="13.5" customHeight="1" thickBot="1">
      <c r="A61" s="550"/>
      <c r="B61" s="551" t="s">
        <v>2110</v>
      </c>
      <c r="C61" s="551"/>
      <c r="D61" s="552" t="s">
        <v>2673</v>
      </c>
      <c r="E61" s="552"/>
      <c r="F61" s="549">
        <f ca="1">J61/$J$59</f>
        <v>0.13086642599277978</v>
      </c>
      <c r="G61" s="553" t="s">
        <v>2613</v>
      </c>
      <c r="H61" s="554" t="s">
        <v>2614</v>
      </c>
      <c r="I61" s="554" t="s">
        <v>2368</v>
      </c>
      <c r="J61" s="555">
        <f ca="1">J59-J60</f>
        <v>58000</v>
      </c>
      <c r="K61" s="556">
        <f t="shared" si="22"/>
        <v>46023</v>
      </c>
      <c r="L61" s="556">
        <f t="shared" si="23"/>
        <v>46387</v>
      </c>
      <c r="M61" s="557">
        <f t="shared" si="24"/>
        <v>12</v>
      </c>
      <c r="N61" s="177">
        <f ca="1">IF(AND($K61&lt;=N$47,N$47&lt;=$L61),$J61/$M61*HLOOKUP(N$47,'FX Lookup'!$A$2:$Y$4,3,FALSE),0)</f>
        <v>4301.6183333333329</v>
      </c>
      <c r="O61" s="177">
        <f ca="1">IF(AND($K61&lt;=O$47,O$47&lt;=$L61),$J61/$M61*HLOOKUP(O$47,'FX Lookup'!$A$2:$Y$4,3,FALSE),0)</f>
        <v>4263.9666666666662</v>
      </c>
      <c r="P61" s="177">
        <f ca="1">IF(AND($K61&lt;=P$47,P$47&lt;=$L61),$J61/$M61*HLOOKUP(P$47,'FX Lookup'!$A$2:$Y$4,3,FALSE),0)</f>
        <v>4263.9666666666662</v>
      </c>
      <c r="Q61" s="177">
        <f ca="1">IF(AND($K61&lt;=Q$47,Q$47&lt;=$L61),$J61/$M61*HLOOKUP(Q$47,'FX Lookup'!$A$2:$Y$4,3,FALSE),0)</f>
        <v>4263.9666666666662</v>
      </c>
      <c r="R61" s="177">
        <f ca="1">IF(AND($K61&lt;=R$47,R$47&lt;=$L61),$J61/$M61*HLOOKUP(R$47,'FX Lookup'!$A$2:$Y$4,3,FALSE),0)</f>
        <v>4263.9666666666662</v>
      </c>
      <c r="S61" s="177">
        <f ca="1">IF(AND($K61&lt;=S$47,S$47&lt;=$L61),$J61/$M61*HLOOKUP(S$47,'FX Lookup'!$A$2:$Y$4,3,FALSE),0)</f>
        <v>4263.9666666666662</v>
      </c>
      <c r="T61" s="177">
        <f ca="1">IF(AND($K61&lt;=T$47,T$47&lt;=$L61),$J61/$M61*HLOOKUP(T$47,'FX Lookup'!$A$2:$Y$4,3,FALSE),0)</f>
        <v>4263.9666666666662</v>
      </c>
      <c r="U61" s="177">
        <f ca="1">IF(AND($K61&lt;=U$47,U$47&lt;=$L61),$J61/$M61*HLOOKUP(U$47,'FX Lookup'!$A$2:$Y$4,3,FALSE),0)</f>
        <v>4263.9666666666662</v>
      </c>
      <c r="V61" s="177">
        <f ca="1">IF(AND($K61&lt;=V$47,V$47&lt;=$L61),$J61/$M61*HLOOKUP(V$47,'FX Lookup'!$A$2:$Y$4,3,FALSE),0)</f>
        <v>4263.9666666666662</v>
      </c>
      <c r="W61" s="177">
        <f ca="1">IF(AND($K61&lt;=W$47,W$47&lt;=$L61),$J61/$M61*HLOOKUP(W$47,'FX Lookup'!$A$2:$Y$4,3,FALSE),0)</f>
        <v>4263.9666666666662</v>
      </c>
      <c r="X61" s="177">
        <f ca="1">IF(AND($K61&lt;=X$47,X$47&lt;=$L61),$J61/$M61*HLOOKUP(X$47,'FX Lookup'!$A$2:$Y$4,3,FALSE),0)</f>
        <v>4263.9666666666662</v>
      </c>
      <c r="Y61" s="177">
        <f ca="1">IF(AND($K61&lt;=Y$47,Y$47&lt;=$L61),$J61/$M61*HLOOKUP(Y$47,'FX Lookup'!$A$2:$Y$4,3,FALSE),0)</f>
        <v>4263.9666666666662</v>
      </c>
      <c r="Z61" s="178">
        <f t="shared" ca="1" si="25"/>
        <v>51205.251666666671</v>
      </c>
      <c r="AA61" s="466">
        <f t="shared" ca="1" si="26"/>
        <v>-6794.7483333333294</v>
      </c>
      <c r="AB61" s="177">
        <f ca="1">IF(AND($K61&lt;=AB$47,AB$47&lt;=$L61),$J61/$M61*HLOOKUP(AB$47,'FX Lookup'!$A$2:$Y$4,3,FALSE),0)</f>
        <v>4301.6183333333329</v>
      </c>
      <c r="AC61" s="177">
        <f ca="1">IF(AND($K61&lt;=AC$47,AC$47&lt;=$L61),$J61/$M61*HLOOKUP(AC$47,'FX Lookup'!$A$2:$Y$4,3,FALSE),0)</f>
        <v>4263.9666666666662</v>
      </c>
      <c r="AD61" s="177">
        <f ca="1">IF(AND($K61&lt;=AD$47,AD$47&lt;=$L61),$J61/$M61*HLOOKUP(AD$47,'FX Lookup'!$A$2:$Y$4,3,FALSE),0)</f>
        <v>4263.9666666666662</v>
      </c>
      <c r="AE61" s="177">
        <f ca="1">IF(AND($K61&lt;=AE$47,AE$47&lt;=$L61),$J61/$M61*HLOOKUP(AE$47,'FX Lookup'!$A$2:$Y$4,3,FALSE),0)</f>
        <v>4263.9666666666662</v>
      </c>
      <c r="AF61" s="177">
        <f ca="1">IF(AND($K61&lt;=AF$47,AF$47&lt;=$L61),$J61/$M61*HLOOKUP(AF$47,'FX Lookup'!$A$2:$Y$4,3,FALSE),0)</f>
        <v>4263.9666666666662</v>
      </c>
      <c r="AG61" s="177">
        <f ca="1">IF(AND($K61&lt;=AG$47,AG$47&lt;=$L61),$J61/$M61*HLOOKUP(AG$47,'FX Lookup'!$A$2:$Y$4,3,FALSE),0)</f>
        <v>4263.9666666666662</v>
      </c>
      <c r="AH61" s="177">
        <f ca="1">IF(AND($K61&lt;=AH$47,AH$47&lt;=$L61),$J61/$M61*HLOOKUP(AH$47,'FX Lookup'!$A$2:$Y$4,3,FALSE),0)</f>
        <v>4263.9666666666662</v>
      </c>
      <c r="AI61" s="177">
        <f ca="1">IF(AND($K61&lt;=AI$47,AI$47&lt;=$L61),$J61/$M61*HLOOKUP(AI$47,'FX Lookup'!$A$2:$Y$4,3,FALSE),0)</f>
        <v>4263.9666666666662</v>
      </c>
      <c r="AJ61" s="177">
        <f ca="1">IF(AND($K61&lt;=AJ$47,AJ$47&lt;=$L61),$J61/$M61*HLOOKUP(AJ$47,'FX Lookup'!$A$2:$Y$4,3,FALSE),0)</f>
        <v>4263.9666666666662</v>
      </c>
      <c r="AK61" s="177">
        <f ca="1">IF(AND($K61&lt;=AK$47,AK$47&lt;=$L61),$J61/$M61*HLOOKUP(AK$47,'FX Lookup'!$A$2:$Y$4,3,FALSE),0)</f>
        <v>4263.9666666666662</v>
      </c>
      <c r="AL61" s="177">
        <f ca="1">IF(AND($K61&lt;=AL$47,AL$47&lt;=$L61),$J61/$M61*HLOOKUP(AL$47,'FX Lookup'!$A$2:$Y$4,3,FALSE),0)</f>
        <v>4263.9666666666662</v>
      </c>
      <c r="AM61" s="177">
        <f ca="1">IF(AND($K61&lt;=AM$47,AM$47&lt;=$L61),$J61/$M61*HLOOKUP(AM$47,'FX Lookup'!$A$2:$Y$4,3,FALSE),0)</f>
        <v>4263.9666666666662</v>
      </c>
      <c r="AN61" s="178">
        <f t="shared" ca="1" si="27"/>
        <v>51205.251666666671</v>
      </c>
      <c r="AP61" s="152"/>
      <c r="AQ61" s="152"/>
      <c r="AR61" s="152"/>
      <c r="AS61" s="152"/>
      <c r="AT61" s="152"/>
      <c r="AU61" s="152"/>
      <c r="AV61" s="152"/>
      <c r="AW61" s="152"/>
      <c r="AX61" s="152"/>
      <c r="AY61" s="152"/>
      <c r="AZ61" s="152"/>
      <c r="BA61" s="152"/>
      <c r="BB61" s="152"/>
      <c r="BC61" s="152"/>
      <c r="BD61" s="152"/>
    </row>
    <row r="62" spans="1:56" ht="13.5" customHeight="1" thickTop="1">
      <c r="A62" s="1120"/>
      <c r="B62" s="1120"/>
      <c r="C62" s="1120"/>
      <c r="D62" s="1121"/>
      <c r="E62" s="1121"/>
      <c r="F62" s="1122"/>
      <c r="G62" s="63"/>
      <c r="H62" s="1123"/>
      <c r="I62" s="1123"/>
      <c r="J62" s="1124"/>
      <c r="K62" s="459"/>
      <c r="L62" s="459"/>
      <c r="M62" s="1125"/>
      <c r="N62" s="1126"/>
      <c r="O62" s="1126"/>
      <c r="P62" s="1126"/>
      <c r="Q62" s="1126"/>
      <c r="R62" s="1126"/>
      <c r="S62" s="1126"/>
      <c r="T62" s="1126"/>
      <c r="U62" s="1126"/>
      <c r="V62" s="1126"/>
      <c r="W62" s="1126"/>
      <c r="X62" s="1126"/>
      <c r="Y62" s="1126"/>
      <c r="Z62" s="1127"/>
      <c r="AA62" s="466"/>
      <c r="AB62" s="1126"/>
      <c r="AC62" s="1126"/>
      <c r="AD62" s="1126"/>
      <c r="AE62" s="1126"/>
      <c r="AF62" s="1126"/>
      <c r="AG62" s="1126"/>
      <c r="AH62" s="1126"/>
      <c r="AI62" s="1126"/>
      <c r="AJ62" s="1126"/>
      <c r="AK62" s="1126"/>
      <c r="AL62" s="1126"/>
      <c r="AM62" s="1126"/>
      <c r="AN62" s="1127"/>
      <c r="AP62" s="152"/>
      <c r="AQ62" s="152"/>
      <c r="AR62" s="152"/>
      <c r="AS62" s="152"/>
      <c r="AT62" s="152"/>
      <c r="AU62" s="152"/>
      <c r="AV62" s="152"/>
      <c r="AW62" s="152"/>
      <c r="AX62" s="152"/>
      <c r="AY62" s="152"/>
      <c r="AZ62" s="152"/>
      <c r="BA62" s="152"/>
      <c r="BB62" s="152"/>
      <c r="BC62" s="152"/>
      <c r="BD62" s="152"/>
    </row>
    <row r="63" spans="1:56" s="150" customFormat="1" ht="41.1" customHeight="1">
      <c r="A63" s="162"/>
      <c r="B63" s="526" t="s">
        <v>2598</v>
      </c>
      <c r="C63" s="527" t="s">
        <v>2600</v>
      </c>
      <c r="D63" s="528" t="str">
        <f>$D$47</f>
        <v>Travel and Entertainment</v>
      </c>
      <c r="E63" s="528" t="s">
        <v>2602</v>
      </c>
      <c r="F63" s="528" t="s">
        <v>2603</v>
      </c>
      <c r="G63" s="164" t="s">
        <v>2604</v>
      </c>
      <c r="H63" s="164" t="s">
        <v>2605</v>
      </c>
      <c r="I63" s="165" t="s">
        <v>2606</v>
      </c>
      <c r="J63" s="166" t="s">
        <v>2607</v>
      </c>
      <c r="K63" s="167" t="s">
        <v>2608</v>
      </c>
      <c r="L63" s="167" t="s">
        <v>2609</v>
      </c>
      <c r="M63" s="166" t="s">
        <v>2610</v>
      </c>
      <c r="N63" s="1132">
        <v>46023</v>
      </c>
      <c r="O63" s="1132">
        <v>46054</v>
      </c>
      <c r="P63" s="1132">
        <v>46082</v>
      </c>
      <c r="Q63" s="1132">
        <v>46113</v>
      </c>
      <c r="R63" s="1132">
        <v>46143</v>
      </c>
      <c r="S63" s="1132">
        <v>46174</v>
      </c>
      <c r="T63" s="1132">
        <v>46204</v>
      </c>
      <c r="U63" s="1132">
        <v>46235</v>
      </c>
      <c r="V63" s="1132">
        <v>46266</v>
      </c>
      <c r="W63" s="1132">
        <v>46296</v>
      </c>
      <c r="X63" s="1132">
        <v>46327</v>
      </c>
      <c r="Y63" s="1132">
        <v>46357</v>
      </c>
      <c r="Z63" s="168" t="s">
        <v>2115</v>
      </c>
      <c r="AA63" s="529"/>
      <c r="AB63" s="1132">
        <v>46023</v>
      </c>
      <c r="AC63" s="1132">
        <v>46054</v>
      </c>
      <c r="AD63" s="1132">
        <v>46082</v>
      </c>
      <c r="AE63" s="1132">
        <v>46113</v>
      </c>
      <c r="AF63" s="1132">
        <v>46143</v>
      </c>
      <c r="AG63" s="1132">
        <v>46174</v>
      </c>
      <c r="AH63" s="1132">
        <v>46204</v>
      </c>
      <c r="AI63" s="1132">
        <v>46235</v>
      </c>
      <c r="AJ63" s="1132">
        <v>46266</v>
      </c>
      <c r="AK63" s="1132">
        <v>46296</v>
      </c>
      <c r="AL63" s="1132">
        <v>46327</v>
      </c>
      <c r="AM63" s="1132">
        <v>46357</v>
      </c>
      <c r="AN63" s="168" t="s">
        <v>2115</v>
      </c>
    </row>
    <row r="64" spans="1:56" ht="13.5" customHeight="1">
      <c r="A64" s="171">
        <v>1</v>
      </c>
      <c r="B64" s="171" t="s">
        <v>2109</v>
      </c>
      <c r="C64" s="171" t="s">
        <v>1704</v>
      </c>
      <c r="D64" s="172" t="str">
        <f t="shared" ref="D64:D73" si="30">D49</f>
        <v>Airfare - International</v>
      </c>
      <c r="E64" s="172"/>
      <c r="F64" s="172"/>
      <c r="G64" s="77" t="s">
        <v>2613</v>
      </c>
      <c r="H64" s="173" t="s">
        <v>2614</v>
      </c>
      <c r="I64" s="173" t="s">
        <v>2368</v>
      </c>
      <c r="J64" s="184">
        <f>SUMIF($B$16:$B$35,$B64,$T$16:$T$35)*VLOOKUP($D64,$T$11:$U$15,2,FALSE)</f>
        <v>0</v>
      </c>
      <c r="K64" s="456">
        <f t="shared" ref="K64:K76" si="31">$K$49</f>
        <v>46023</v>
      </c>
      <c r="L64" s="456">
        <f t="shared" ref="L64:L76" si="32">$L$49</f>
        <v>46387</v>
      </c>
      <c r="M64" s="176">
        <f t="shared" ref="M64:M76" si="33">IF(AND(K64="",L64=""),"-",IF(L64="",12,DATEDIF(K64,L64,"M")+1))</f>
        <v>12</v>
      </c>
      <c r="N64" s="177">
        <f>IF(AND($K64&lt;=N$47,N$47&lt;=$L64),$J64/$M64*HLOOKUP(N$63,'FX Lookup'!$A$2:$Y$4,3,FALSE),0)</f>
        <v>0</v>
      </c>
      <c r="O64" s="177">
        <f>IF(AND($K64&lt;=O$47,O$47&lt;=$L64),$J64/$M64*HLOOKUP(O$63,'FX Lookup'!$A$2:$Y$4,3,FALSE),0)</f>
        <v>0</v>
      </c>
      <c r="P64" s="177">
        <f>IF(AND($K64&lt;=P$47,P$47&lt;=$L64),$J64/$M64*HLOOKUP(P$63,'FX Lookup'!$A$2:$Y$4,3,FALSE),0)</f>
        <v>0</v>
      </c>
      <c r="Q64" s="177">
        <f>IF(AND($K64&lt;=Q$47,Q$47&lt;=$L64),$J64/$M64*HLOOKUP(Q$63,'FX Lookup'!$A$2:$Y$4,3,FALSE),0)</f>
        <v>0</v>
      </c>
      <c r="R64" s="177">
        <f>IF(AND($K64&lt;=R$47,R$47&lt;=$L64),$J64/$M64*HLOOKUP(R$63,'FX Lookup'!$A$2:$Y$4,3,FALSE),0)</f>
        <v>0</v>
      </c>
      <c r="S64" s="177">
        <f>IF(AND($K64&lt;=S$47,S$47&lt;=$L64),$J64/$M64*HLOOKUP(S$63,'FX Lookup'!$A$2:$Y$4,3,FALSE),0)</f>
        <v>0</v>
      </c>
      <c r="T64" s="177">
        <f>IF(AND($K64&lt;=T$47,T$47&lt;=$L64),$J64/$M64*HLOOKUP(T$63,'FX Lookup'!$A$2:$Y$4,3,FALSE),0)</f>
        <v>0</v>
      </c>
      <c r="U64" s="177">
        <f>IF(AND($K64&lt;=U$47,U$47&lt;=$L64),$J64/$M64*HLOOKUP(U$63,'FX Lookup'!$A$2:$Y$4,3,FALSE),0)</f>
        <v>0</v>
      </c>
      <c r="V64" s="177">
        <f>IF(AND($K64&lt;=V$47,V$47&lt;=$L64),$J64/$M64*HLOOKUP(V$63,'FX Lookup'!$A$2:$Y$4,3,FALSE),0)</f>
        <v>0</v>
      </c>
      <c r="W64" s="177">
        <f>IF(AND($K64&lt;=W$47,W$47&lt;=$L64),$J64/$M64*HLOOKUP(W$63,'FX Lookup'!$A$2:$Y$4,3,FALSE),0)</f>
        <v>0</v>
      </c>
      <c r="X64" s="177">
        <f>IF(AND($K64&lt;=X$47,X$47&lt;=$L64),$J64/$M64*HLOOKUP(X$63,'FX Lookup'!$A$2:$Y$4,3,FALSE),0)</f>
        <v>0</v>
      </c>
      <c r="Y64" s="177">
        <f>IF(AND($K64&lt;=Y$47,Y$47&lt;=$L64),$J64/$M64*HLOOKUP(Y$63,'FX Lookup'!$A$2:$Y$4,3,FALSE),0)</f>
        <v>0</v>
      </c>
      <c r="Z64" s="178">
        <f>SUM(N64:Y64)</f>
        <v>0</v>
      </c>
      <c r="AA64" s="466">
        <f>Z64-J64</f>
        <v>0</v>
      </c>
      <c r="AB64" s="177">
        <f>IF(AND($K64&lt;=AB$47,AB$47&lt;=$L64),$J64/$M64*HLOOKUP(AB$63,'FX Lookup'!$A$2:$Y$4,3,FALSE),0)</f>
        <v>0</v>
      </c>
      <c r="AC64" s="177">
        <f>IF(AND($K64&lt;=AC$47,AC$47&lt;=$L64),$J64/$M64*HLOOKUP(AC$63,'FX Lookup'!$A$2:$Y$4,3,FALSE),0)</f>
        <v>0</v>
      </c>
      <c r="AD64" s="177">
        <f>IF(AND($K64&lt;=AD$47,AD$47&lt;=$L64),$J64/$M64*HLOOKUP(AD$63,'FX Lookup'!$A$2:$Y$4,3,FALSE),0)</f>
        <v>0</v>
      </c>
      <c r="AE64" s="177">
        <f>IF(AND($K64&lt;=AE$47,AE$47&lt;=$L64),$J64/$M64*HLOOKUP(AE$63,'FX Lookup'!$A$2:$Y$4,3,FALSE),0)</f>
        <v>0</v>
      </c>
      <c r="AF64" s="177">
        <f>IF(AND($K64&lt;=AF$47,AF$47&lt;=$L64),$J64/$M64*HLOOKUP(AF$63,'FX Lookup'!$A$2:$Y$4,3,FALSE),0)</f>
        <v>0</v>
      </c>
      <c r="AG64" s="177">
        <f>IF(AND($K64&lt;=AG$47,AG$47&lt;=$L64),$J64/$M64*HLOOKUP(AG$63,'FX Lookup'!$A$2:$Y$4,3,FALSE),0)</f>
        <v>0</v>
      </c>
      <c r="AH64" s="177">
        <f>IF(AND($K64&lt;=AH$47,AH$47&lt;=$L64),$J64/$M64*HLOOKUP(AH$63,'FX Lookup'!$A$2:$Y$4,3,FALSE),0)</f>
        <v>0</v>
      </c>
      <c r="AI64" s="177">
        <f>IF(AND($K64&lt;=AI$47,AI$47&lt;=$L64),$J64/$M64*HLOOKUP(AI$63,'FX Lookup'!$A$2:$Y$4,3,FALSE),0)</f>
        <v>0</v>
      </c>
      <c r="AJ64" s="177">
        <f>IF(AND($K64&lt;=AJ$47,AJ$47&lt;=$L64),$J64/$M64*HLOOKUP(AJ$63,'FX Lookup'!$A$2:$Y$4,3,FALSE),0)</f>
        <v>0</v>
      </c>
      <c r="AK64" s="177">
        <f>IF(AND($K64&lt;=AK$47,AK$47&lt;=$L64),$J64/$M64*HLOOKUP(AK$63,'FX Lookup'!$A$2:$Y$4,3,FALSE),0)</f>
        <v>0</v>
      </c>
      <c r="AL64" s="177">
        <f>IF(AND($K64&lt;=AL$47,AL$47&lt;=$L64),$J64/$M64*HLOOKUP(AL$63,'FX Lookup'!$A$2:$Y$4,3,FALSE),0)</f>
        <v>0</v>
      </c>
      <c r="AM64" s="177">
        <f>IF(AND($K64&lt;=AM$47,AM$47&lt;=$L64),$J64/$M64*HLOOKUP(AM$63,'FX Lookup'!$A$2:$Y$4,3,FALSE),0)</f>
        <v>0</v>
      </c>
      <c r="AN64" s="178">
        <f>SUM(AB64:AM64)</f>
        <v>0</v>
      </c>
      <c r="AP64" s="152"/>
      <c r="AQ64" s="152"/>
      <c r="AR64" s="152"/>
      <c r="AS64" s="152"/>
      <c r="AT64" s="152"/>
      <c r="AU64" s="152"/>
      <c r="AV64" s="152"/>
      <c r="AW64" s="152"/>
      <c r="AX64" s="152"/>
      <c r="AY64" s="152"/>
      <c r="AZ64" s="152"/>
      <c r="BA64" s="152"/>
      <c r="BB64" s="152"/>
      <c r="BC64" s="152"/>
      <c r="BD64" s="152"/>
    </row>
    <row r="65" spans="1:56" ht="13.5" customHeight="1">
      <c r="A65" s="171">
        <f t="shared" ref="A65:A73" si="34">IF(A64&lt;=0,FALSE,A64+1)</f>
        <v>2</v>
      </c>
      <c r="B65" s="171" t="str">
        <f t="shared" ref="B65:B71" si="35">+B64</f>
        <v>ACPLHK</v>
      </c>
      <c r="C65" s="171" t="s">
        <v>1704</v>
      </c>
      <c r="D65" s="172" t="str">
        <f t="shared" si="30"/>
        <v>Airfare - Domestic</v>
      </c>
      <c r="E65" s="172"/>
      <c r="F65" s="172"/>
      <c r="G65" s="77" t="s">
        <v>2613</v>
      </c>
      <c r="H65" s="173" t="s">
        <v>2614</v>
      </c>
      <c r="I65" s="173" t="s">
        <v>2368</v>
      </c>
      <c r="J65" s="184">
        <f ca="1">SUMIF($B$16:$B$45,$B65,$T$16:$T$45)*VLOOKUP($D65,$T$11:$U$15,2,FALSE)+SUMIF($B$16:$B$45,$B65,$O$16:$O$44)*VLOOKUP($D65,$O$11:$P$15,2,FALSE)</f>
        <v>25200</v>
      </c>
      <c r="K65" s="456">
        <f t="shared" si="31"/>
        <v>46023</v>
      </c>
      <c r="L65" s="456">
        <f t="shared" si="32"/>
        <v>46387</v>
      </c>
      <c r="M65" s="176">
        <f t="shared" si="33"/>
        <v>12</v>
      </c>
      <c r="N65" s="177">
        <f ca="1">IF(AND($K65&lt;=N$47,N$47&lt;=$L65),$J65/$M65*HLOOKUP(N$63,'FX Lookup'!$A$2:$Y$4,3,FALSE),0)</f>
        <v>1868.9789999999998</v>
      </c>
      <c r="O65" s="177">
        <f ca="1">IF(AND($K65&lt;=O$47,O$47&lt;=$L65),$J65/$M65*HLOOKUP(O$63,'FX Lookup'!$A$2:$Y$4,3,FALSE),0)</f>
        <v>1852.62</v>
      </c>
      <c r="P65" s="177">
        <f ca="1">IF(AND($K65&lt;=P$47,P$47&lt;=$L65),$J65/$M65*HLOOKUP(P$63,'FX Lookup'!$A$2:$Y$4,3,FALSE),0)</f>
        <v>1852.62</v>
      </c>
      <c r="Q65" s="177">
        <f ca="1">IF(AND($K65&lt;=Q$47,Q$47&lt;=$L65),$J65/$M65*HLOOKUP(Q$63,'FX Lookup'!$A$2:$Y$4,3,FALSE),0)</f>
        <v>1852.62</v>
      </c>
      <c r="R65" s="177">
        <f ca="1">IF(AND($K65&lt;=R$47,R$47&lt;=$L65),$J65/$M65*HLOOKUP(R$63,'FX Lookup'!$A$2:$Y$4,3,FALSE),0)</f>
        <v>1852.62</v>
      </c>
      <c r="S65" s="177">
        <f ca="1">IF(AND($K65&lt;=S$47,S$47&lt;=$L65),$J65/$M65*HLOOKUP(S$63,'FX Lookup'!$A$2:$Y$4,3,FALSE),0)</f>
        <v>1852.62</v>
      </c>
      <c r="T65" s="177">
        <f ca="1">IF(AND($K65&lt;=T$47,T$47&lt;=$L65),$J65/$M65*HLOOKUP(T$63,'FX Lookup'!$A$2:$Y$4,3,FALSE),0)</f>
        <v>1852.62</v>
      </c>
      <c r="U65" s="177">
        <f ca="1">IF(AND($K65&lt;=U$47,U$47&lt;=$L65),$J65/$M65*HLOOKUP(U$63,'FX Lookup'!$A$2:$Y$4,3,FALSE),0)</f>
        <v>1852.62</v>
      </c>
      <c r="V65" s="177">
        <f ca="1">IF(AND($K65&lt;=V$47,V$47&lt;=$L65),$J65/$M65*HLOOKUP(V$63,'FX Lookup'!$A$2:$Y$4,3,FALSE),0)</f>
        <v>1852.62</v>
      </c>
      <c r="W65" s="177">
        <f ca="1">IF(AND($K65&lt;=W$47,W$47&lt;=$L65),$J65/$M65*HLOOKUP(W$63,'FX Lookup'!$A$2:$Y$4,3,FALSE),0)</f>
        <v>1852.62</v>
      </c>
      <c r="X65" s="177">
        <f ca="1">IF(AND($K65&lt;=X$47,X$47&lt;=$L65),$J65/$M65*HLOOKUP(X$63,'FX Lookup'!$A$2:$Y$4,3,FALSE),0)</f>
        <v>1852.62</v>
      </c>
      <c r="Y65" s="177">
        <f ca="1">IF(AND($K65&lt;=Y$47,Y$47&lt;=$L65),$J65/$M65*HLOOKUP(Y$63,'FX Lookup'!$A$2:$Y$4,3,FALSE),0)</f>
        <v>1852.62</v>
      </c>
      <c r="Z65" s="178">
        <f t="shared" ref="Z65:Z76" ca="1" si="36">SUM(N65:Y65)</f>
        <v>22247.798999999992</v>
      </c>
      <c r="AA65" s="466">
        <f t="shared" ref="AA65:AA76" ca="1" si="37">Z65-J65</f>
        <v>-2952.2010000000082</v>
      </c>
      <c r="AB65" s="177">
        <f ca="1">IF(AND($K65&lt;=AB$47,AB$47&lt;=$L65),$J65/$M65*HLOOKUP(AB$63,'FX Lookup'!$A$2:$Y$4,3,FALSE),0)</f>
        <v>1868.9789999999998</v>
      </c>
      <c r="AC65" s="177">
        <f ca="1">IF(AND($K65&lt;=AC$47,AC$47&lt;=$L65),$J65/$M65*HLOOKUP(AC$63,'FX Lookup'!$A$2:$Y$4,3,FALSE),0)</f>
        <v>1852.62</v>
      </c>
      <c r="AD65" s="177">
        <f ca="1">IF(AND($K65&lt;=AD$47,AD$47&lt;=$L65),$J65/$M65*HLOOKUP(AD$63,'FX Lookup'!$A$2:$Y$4,3,FALSE),0)</f>
        <v>1852.62</v>
      </c>
      <c r="AE65" s="177">
        <f ca="1">IF(AND($K65&lt;=AE$47,AE$47&lt;=$L65),$J65/$M65*HLOOKUP(AE$63,'FX Lookup'!$A$2:$Y$4,3,FALSE),0)</f>
        <v>1852.62</v>
      </c>
      <c r="AF65" s="177">
        <f ca="1">IF(AND($K65&lt;=AF$47,AF$47&lt;=$L65),$J65/$M65*HLOOKUP(AF$63,'FX Lookup'!$A$2:$Y$4,3,FALSE),0)</f>
        <v>1852.62</v>
      </c>
      <c r="AG65" s="177">
        <f ca="1">IF(AND($K65&lt;=AG$47,AG$47&lt;=$L65),$J65/$M65*HLOOKUP(AG$63,'FX Lookup'!$A$2:$Y$4,3,FALSE),0)</f>
        <v>1852.62</v>
      </c>
      <c r="AH65" s="177">
        <f ca="1">IF(AND($K65&lt;=AH$47,AH$47&lt;=$L65),$J65/$M65*HLOOKUP(AH$63,'FX Lookup'!$A$2:$Y$4,3,FALSE),0)</f>
        <v>1852.62</v>
      </c>
      <c r="AI65" s="177">
        <f ca="1">IF(AND($K65&lt;=AI$47,AI$47&lt;=$L65),$J65/$M65*HLOOKUP(AI$63,'FX Lookup'!$A$2:$Y$4,3,FALSE),0)</f>
        <v>1852.62</v>
      </c>
      <c r="AJ65" s="177">
        <f ca="1">IF(AND($K65&lt;=AJ$47,AJ$47&lt;=$L65),$J65/$M65*HLOOKUP(AJ$63,'FX Lookup'!$A$2:$Y$4,3,FALSE),0)</f>
        <v>1852.62</v>
      </c>
      <c r="AK65" s="177">
        <f ca="1">IF(AND($K65&lt;=AK$47,AK$47&lt;=$L65),$J65/$M65*HLOOKUP(AK$63,'FX Lookup'!$A$2:$Y$4,3,FALSE),0)</f>
        <v>1852.62</v>
      </c>
      <c r="AL65" s="177">
        <f ca="1">IF(AND($K65&lt;=AL$47,AL$47&lt;=$L65),$J65/$M65*HLOOKUP(AL$63,'FX Lookup'!$A$2:$Y$4,3,FALSE),0)</f>
        <v>1852.62</v>
      </c>
      <c r="AM65" s="177">
        <f ca="1">IF(AND($K65&lt;=AM$47,AM$47&lt;=$L65),$J65/$M65*HLOOKUP(AM$63,'FX Lookup'!$A$2:$Y$4,3,FALSE),0)</f>
        <v>1852.62</v>
      </c>
      <c r="AN65" s="178">
        <f t="shared" ref="AN65:AN76" ca="1" si="38">SUM(AB65:AM65)</f>
        <v>22247.798999999992</v>
      </c>
      <c r="AP65" s="152"/>
      <c r="AQ65" s="152"/>
      <c r="AR65" s="152"/>
      <c r="AS65" s="152"/>
      <c r="AT65" s="152"/>
      <c r="AU65" s="152"/>
      <c r="AV65" s="152"/>
      <c r="AW65" s="152"/>
      <c r="AX65" s="152"/>
      <c r="AY65" s="152"/>
      <c r="AZ65" s="152"/>
      <c r="BA65" s="152"/>
      <c r="BB65" s="152"/>
      <c r="BC65" s="152"/>
      <c r="BD65" s="152"/>
    </row>
    <row r="66" spans="1:56" ht="13.5" customHeight="1">
      <c r="A66" s="171">
        <f t="shared" si="34"/>
        <v>3</v>
      </c>
      <c r="B66" s="171" t="str">
        <f t="shared" si="35"/>
        <v>ACPLHK</v>
      </c>
      <c r="C66" s="171" t="s">
        <v>1690</v>
      </c>
      <c r="D66" s="172" t="str">
        <f t="shared" si="30"/>
        <v>Hotels</v>
      </c>
      <c r="E66" s="172"/>
      <c r="F66" s="172"/>
      <c r="G66" s="77" t="s">
        <v>2613</v>
      </c>
      <c r="H66" s="173" t="s">
        <v>2614</v>
      </c>
      <c r="I66" s="173" t="s">
        <v>2368</v>
      </c>
      <c r="J66" s="184">
        <f ca="1">SUMIF($B$16:$B$45,$B66,$T$16:$T$45)*VLOOKUP($D66,$T$11:$U$15,2,FALSE)+SUMIF($B$16:$B$45,$B66,$O$16:$O$44)*VLOOKUP($D66,$O$11:$P$15,2,FALSE)+SUMIF($B$16:$B$45,$B66,$L$16:$L$44)*VLOOKUP($D66,$L$11:$M$15,2,FALSE)</f>
        <v>75600</v>
      </c>
      <c r="K66" s="456">
        <f t="shared" si="31"/>
        <v>46023</v>
      </c>
      <c r="L66" s="456">
        <f t="shared" si="32"/>
        <v>46387</v>
      </c>
      <c r="M66" s="176">
        <f t="shared" si="33"/>
        <v>12</v>
      </c>
      <c r="N66" s="177">
        <f ca="1">IF(AND($K66&lt;=N$47,N$47&lt;=$L66),$J66/$M66*HLOOKUP(N$63,'FX Lookup'!$A$2:$Y$4,3,FALSE),0)</f>
        <v>5606.9369999999999</v>
      </c>
      <c r="O66" s="177">
        <f ca="1">IF(AND($K66&lt;=O$47,O$47&lt;=$L66),$J66/$M66*HLOOKUP(O$63,'FX Lookup'!$A$2:$Y$4,3,FALSE),0)</f>
        <v>5557.86</v>
      </c>
      <c r="P66" s="177">
        <f ca="1">IF(AND($K66&lt;=P$47,P$47&lt;=$L66),$J66/$M66*HLOOKUP(P$63,'FX Lookup'!$A$2:$Y$4,3,FALSE),0)</f>
        <v>5557.86</v>
      </c>
      <c r="Q66" s="177">
        <f ca="1">IF(AND($K66&lt;=Q$47,Q$47&lt;=$L66),$J66/$M66*HLOOKUP(Q$63,'FX Lookup'!$A$2:$Y$4,3,FALSE),0)</f>
        <v>5557.86</v>
      </c>
      <c r="R66" s="177">
        <f ca="1">IF(AND($K66&lt;=R$47,R$47&lt;=$L66),$J66/$M66*HLOOKUP(R$63,'FX Lookup'!$A$2:$Y$4,3,FALSE),0)</f>
        <v>5557.86</v>
      </c>
      <c r="S66" s="177">
        <f ca="1">IF(AND($K66&lt;=S$47,S$47&lt;=$L66),$J66/$M66*HLOOKUP(S$63,'FX Lookup'!$A$2:$Y$4,3,FALSE),0)</f>
        <v>5557.86</v>
      </c>
      <c r="T66" s="177">
        <f ca="1">IF(AND($K66&lt;=T$47,T$47&lt;=$L66),$J66/$M66*HLOOKUP(T$63,'FX Lookup'!$A$2:$Y$4,3,FALSE),0)</f>
        <v>5557.86</v>
      </c>
      <c r="U66" s="177">
        <f ca="1">IF(AND($K66&lt;=U$47,U$47&lt;=$L66),$J66/$M66*HLOOKUP(U$63,'FX Lookup'!$A$2:$Y$4,3,FALSE),0)</f>
        <v>5557.86</v>
      </c>
      <c r="V66" s="177">
        <f ca="1">IF(AND($K66&lt;=V$47,V$47&lt;=$L66),$J66/$M66*HLOOKUP(V$63,'FX Lookup'!$A$2:$Y$4,3,FALSE),0)</f>
        <v>5557.86</v>
      </c>
      <c r="W66" s="177">
        <f ca="1">IF(AND($K66&lt;=W$47,W$47&lt;=$L66),$J66/$M66*HLOOKUP(W$63,'FX Lookup'!$A$2:$Y$4,3,FALSE),0)</f>
        <v>5557.86</v>
      </c>
      <c r="X66" s="177">
        <f ca="1">IF(AND($K66&lt;=X$47,X$47&lt;=$L66),$J66/$M66*HLOOKUP(X$63,'FX Lookup'!$A$2:$Y$4,3,FALSE),0)</f>
        <v>5557.86</v>
      </c>
      <c r="Y66" s="177">
        <f ca="1">IF(AND($K66&lt;=Y$47,Y$47&lt;=$L66),$J66/$M66*HLOOKUP(Y$63,'FX Lookup'!$A$2:$Y$4,3,FALSE),0)</f>
        <v>5557.86</v>
      </c>
      <c r="Z66" s="178">
        <f t="shared" ca="1" si="36"/>
        <v>66743.396999999997</v>
      </c>
      <c r="AA66" s="466">
        <f t="shared" ca="1" si="37"/>
        <v>-8856.6030000000028</v>
      </c>
      <c r="AB66" s="177">
        <f ca="1">IF(AND($K66&lt;=AB$47,AB$47&lt;=$L66),$J66/$M66*HLOOKUP(AB$63,'FX Lookup'!$A$2:$Y$4,3,FALSE),0)</f>
        <v>5606.9369999999999</v>
      </c>
      <c r="AC66" s="177">
        <f ca="1">IF(AND($K66&lt;=AC$47,AC$47&lt;=$L66),$J66/$M66*HLOOKUP(AC$63,'FX Lookup'!$A$2:$Y$4,3,FALSE),0)</f>
        <v>5557.86</v>
      </c>
      <c r="AD66" s="177">
        <f ca="1">IF(AND($K66&lt;=AD$47,AD$47&lt;=$L66),$J66/$M66*HLOOKUP(AD$63,'FX Lookup'!$A$2:$Y$4,3,FALSE),0)</f>
        <v>5557.86</v>
      </c>
      <c r="AE66" s="177">
        <f ca="1">IF(AND($K66&lt;=AE$47,AE$47&lt;=$L66),$J66/$M66*HLOOKUP(AE$63,'FX Lookup'!$A$2:$Y$4,3,FALSE),0)</f>
        <v>5557.86</v>
      </c>
      <c r="AF66" s="177">
        <f ca="1">IF(AND($K66&lt;=AF$47,AF$47&lt;=$L66),$J66/$M66*HLOOKUP(AF$63,'FX Lookup'!$A$2:$Y$4,3,FALSE),0)</f>
        <v>5557.86</v>
      </c>
      <c r="AG66" s="177">
        <f ca="1">IF(AND($K66&lt;=AG$47,AG$47&lt;=$L66),$J66/$M66*HLOOKUP(AG$63,'FX Lookup'!$A$2:$Y$4,3,FALSE),0)</f>
        <v>5557.86</v>
      </c>
      <c r="AH66" s="177">
        <f ca="1">IF(AND($K66&lt;=AH$47,AH$47&lt;=$L66),$J66/$M66*HLOOKUP(AH$63,'FX Lookup'!$A$2:$Y$4,3,FALSE),0)</f>
        <v>5557.86</v>
      </c>
      <c r="AI66" s="177">
        <f ca="1">IF(AND($K66&lt;=AI$47,AI$47&lt;=$L66),$J66/$M66*HLOOKUP(AI$63,'FX Lookup'!$A$2:$Y$4,3,FALSE),0)</f>
        <v>5557.86</v>
      </c>
      <c r="AJ66" s="177">
        <f ca="1">IF(AND($K66&lt;=AJ$47,AJ$47&lt;=$L66),$J66/$M66*HLOOKUP(AJ$63,'FX Lookup'!$A$2:$Y$4,3,FALSE),0)</f>
        <v>5557.86</v>
      </c>
      <c r="AK66" s="177">
        <f ca="1">IF(AND($K66&lt;=AK$47,AK$47&lt;=$L66),$J66/$M66*HLOOKUP(AK$63,'FX Lookup'!$A$2:$Y$4,3,FALSE),0)</f>
        <v>5557.86</v>
      </c>
      <c r="AL66" s="177">
        <f ca="1">IF(AND($K66&lt;=AL$47,AL$47&lt;=$L66),$J66/$M66*HLOOKUP(AL$63,'FX Lookup'!$A$2:$Y$4,3,FALSE),0)</f>
        <v>5557.86</v>
      </c>
      <c r="AM66" s="177">
        <f ca="1">IF(AND($K66&lt;=AM$47,AM$47&lt;=$L66),$J66/$M66*HLOOKUP(AM$63,'FX Lookup'!$A$2:$Y$4,3,FALSE),0)</f>
        <v>5557.86</v>
      </c>
      <c r="AN66" s="178">
        <f t="shared" ca="1" si="38"/>
        <v>66743.396999999997</v>
      </c>
      <c r="AP66" s="152"/>
      <c r="AQ66" s="152"/>
      <c r="AR66" s="152"/>
      <c r="AS66" s="152"/>
      <c r="AT66" s="152"/>
      <c r="AU66" s="152"/>
      <c r="AV66" s="152"/>
      <c r="AW66" s="152"/>
      <c r="AX66" s="152"/>
      <c r="AY66" s="152"/>
      <c r="AZ66" s="152"/>
      <c r="BA66" s="152"/>
      <c r="BB66" s="152"/>
      <c r="BC66" s="152"/>
      <c r="BD66" s="152"/>
    </row>
    <row r="67" spans="1:56" ht="13.5" customHeight="1">
      <c r="A67" s="171">
        <f t="shared" si="34"/>
        <v>4</v>
      </c>
      <c r="B67" s="171" t="str">
        <f t="shared" si="35"/>
        <v>ACPLHK</v>
      </c>
      <c r="C67" s="171" t="s">
        <v>1699</v>
      </c>
      <c r="D67" s="172" t="str">
        <f t="shared" si="30"/>
        <v>Ground transportation</v>
      </c>
      <c r="E67" s="172"/>
      <c r="F67" s="172"/>
      <c r="G67" s="77" t="s">
        <v>2613</v>
      </c>
      <c r="H67" s="173" t="s">
        <v>2614</v>
      </c>
      <c r="I67" s="173" t="s">
        <v>2368</v>
      </c>
      <c r="J67" s="184">
        <f ca="1">SUMIF($B$16:$B$45,$B67,$T$16:$T$45)*VLOOKUP($D67,$T$11:$U$15,2,FALSE)+SUMIF($B$16:$B$45,$B67,$I$16:$I$44)*VLOOKUP($D67,$I$11:$J$15,2,FALSE)+SUMIF($B$16:$B$45,$B67,$L$16:$L$44)*VLOOKUP($D67,$L$11:$M$15,2,FALSE)+SUMIF($B$16:$B$45,$B67,$O$16:$O$44)*VLOOKUP($D67,$O$11:$P$15,2,FALSE)</f>
        <v>55200</v>
      </c>
      <c r="K67" s="456">
        <f t="shared" si="31"/>
        <v>46023</v>
      </c>
      <c r="L67" s="456">
        <f t="shared" si="32"/>
        <v>46387</v>
      </c>
      <c r="M67" s="176">
        <f t="shared" si="33"/>
        <v>12</v>
      </c>
      <c r="N67" s="177">
        <f ca="1">IF(AND($K67&lt;=N$47,N$47&lt;=$L67),$J67/$M67*HLOOKUP(N$63,'FX Lookup'!$A$2:$Y$4,3,FALSE),0)</f>
        <v>4093.9539999999997</v>
      </c>
      <c r="O67" s="177">
        <f ca="1">IF(AND($K67&lt;=O$47,O$47&lt;=$L67),$J67/$M67*HLOOKUP(O$63,'FX Lookup'!$A$2:$Y$4,3,FALSE),0)</f>
        <v>4058.12</v>
      </c>
      <c r="P67" s="177">
        <f ca="1">IF(AND($K67&lt;=P$47,P$47&lt;=$L67),$J67/$M67*HLOOKUP(P$63,'FX Lookup'!$A$2:$Y$4,3,FALSE),0)</f>
        <v>4058.12</v>
      </c>
      <c r="Q67" s="177">
        <f ca="1">IF(AND($K67&lt;=Q$47,Q$47&lt;=$L67),$J67/$M67*HLOOKUP(Q$63,'FX Lookup'!$A$2:$Y$4,3,FALSE),0)</f>
        <v>4058.12</v>
      </c>
      <c r="R67" s="177">
        <f ca="1">IF(AND($K67&lt;=R$47,R$47&lt;=$L67),$J67/$M67*HLOOKUP(R$63,'FX Lookup'!$A$2:$Y$4,3,FALSE),0)</f>
        <v>4058.12</v>
      </c>
      <c r="S67" s="177">
        <f ca="1">IF(AND($K67&lt;=S$47,S$47&lt;=$L67),$J67/$M67*HLOOKUP(S$63,'FX Lookup'!$A$2:$Y$4,3,FALSE),0)</f>
        <v>4058.12</v>
      </c>
      <c r="T67" s="177">
        <f ca="1">IF(AND($K67&lt;=T$47,T$47&lt;=$L67),$J67/$M67*HLOOKUP(T$63,'FX Lookup'!$A$2:$Y$4,3,FALSE),0)</f>
        <v>4058.12</v>
      </c>
      <c r="U67" s="177">
        <f ca="1">IF(AND($K67&lt;=U$47,U$47&lt;=$L67),$J67/$M67*HLOOKUP(U$63,'FX Lookup'!$A$2:$Y$4,3,FALSE),0)</f>
        <v>4058.12</v>
      </c>
      <c r="V67" s="177">
        <f ca="1">IF(AND($K67&lt;=V$47,V$47&lt;=$L67),$J67/$M67*HLOOKUP(V$63,'FX Lookup'!$A$2:$Y$4,3,FALSE),0)</f>
        <v>4058.12</v>
      </c>
      <c r="W67" s="177">
        <f ca="1">IF(AND($K67&lt;=W$47,W$47&lt;=$L67),$J67/$M67*HLOOKUP(W$63,'FX Lookup'!$A$2:$Y$4,3,FALSE),0)</f>
        <v>4058.12</v>
      </c>
      <c r="X67" s="177">
        <f ca="1">IF(AND($K67&lt;=X$47,X$47&lt;=$L67),$J67/$M67*HLOOKUP(X$63,'FX Lookup'!$A$2:$Y$4,3,FALSE),0)</f>
        <v>4058.12</v>
      </c>
      <c r="Y67" s="177">
        <f ca="1">IF(AND($K67&lt;=Y$47,Y$47&lt;=$L67),$J67/$M67*HLOOKUP(Y$63,'FX Lookup'!$A$2:$Y$4,3,FALSE),0)</f>
        <v>4058.12</v>
      </c>
      <c r="Z67" s="178">
        <f t="shared" ca="1" si="36"/>
        <v>48733.274000000005</v>
      </c>
      <c r="AA67" s="466">
        <f t="shared" ca="1" si="37"/>
        <v>-6466.7259999999951</v>
      </c>
      <c r="AB67" s="177">
        <f ca="1">IF(AND($K67&lt;=AB$47,AB$47&lt;=$L67),$J67/$M67*HLOOKUP(AB$63,'FX Lookup'!$A$2:$Y$4,3,FALSE),0)</f>
        <v>4093.9539999999997</v>
      </c>
      <c r="AC67" s="177">
        <f ca="1">IF(AND($K67&lt;=AC$47,AC$47&lt;=$L67),$J67/$M67*HLOOKUP(AC$63,'FX Lookup'!$A$2:$Y$4,3,FALSE),0)</f>
        <v>4058.12</v>
      </c>
      <c r="AD67" s="177">
        <f ca="1">IF(AND($K67&lt;=AD$47,AD$47&lt;=$L67),$J67/$M67*HLOOKUP(AD$63,'FX Lookup'!$A$2:$Y$4,3,FALSE),0)</f>
        <v>4058.12</v>
      </c>
      <c r="AE67" s="177">
        <f ca="1">IF(AND($K67&lt;=AE$47,AE$47&lt;=$L67),$J67/$M67*HLOOKUP(AE$63,'FX Lookup'!$A$2:$Y$4,3,FALSE),0)</f>
        <v>4058.12</v>
      </c>
      <c r="AF67" s="177">
        <f ca="1">IF(AND($K67&lt;=AF$47,AF$47&lt;=$L67),$J67/$M67*HLOOKUP(AF$63,'FX Lookup'!$A$2:$Y$4,3,FALSE),0)</f>
        <v>4058.12</v>
      </c>
      <c r="AG67" s="177">
        <f ca="1">IF(AND($K67&lt;=AG$47,AG$47&lt;=$L67),$J67/$M67*HLOOKUP(AG$63,'FX Lookup'!$A$2:$Y$4,3,FALSE),0)</f>
        <v>4058.12</v>
      </c>
      <c r="AH67" s="177">
        <f ca="1">IF(AND($K67&lt;=AH$47,AH$47&lt;=$L67),$J67/$M67*HLOOKUP(AH$63,'FX Lookup'!$A$2:$Y$4,3,FALSE),0)</f>
        <v>4058.12</v>
      </c>
      <c r="AI67" s="177">
        <f ca="1">IF(AND($K67&lt;=AI$47,AI$47&lt;=$L67),$J67/$M67*HLOOKUP(AI$63,'FX Lookup'!$A$2:$Y$4,3,FALSE),0)</f>
        <v>4058.12</v>
      </c>
      <c r="AJ67" s="177">
        <f ca="1">IF(AND($K67&lt;=AJ$47,AJ$47&lt;=$L67),$J67/$M67*HLOOKUP(AJ$63,'FX Lookup'!$A$2:$Y$4,3,FALSE),0)</f>
        <v>4058.12</v>
      </c>
      <c r="AK67" s="177">
        <f ca="1">IF(AND($K67&lt;=AK$47,AK$47&lt;=$L67),$J67/$M67*HLOOKUP(AK$63,'FX Lookup'!$A$2:$Y$4,3,FALSE),0)</f>
        <v>4058.12</v>
      </c>
      <c r="AL67" s="177">
        <f ca="1">IF(AND($K67&lt;=AL$47,AL$47&lt;=$L67),$J67/$M67*HLOOKUP(AL$63,'FX Lookup'!$A$2:$Y$4,3,FALSE),0)</f>
        <v>4058.12</v>
      </c>
      <c r="AM67" s="177">
        <f ca="1">IF(AND($K67&lt;=AM$47,AM$47&lt;=$L67),$J67/$M67*HLOOKUP(AM$63,'FX Lookup'!$A$2:$Y$4,3,FALSE),0)</f>
        <v>4058.12</v>
      </c>
      <c r="AN67" s="178">
        <f t="shared" ca="1" si="38"/>
        <v>48733.274000000005</v>
      </c>
      <c r="AP67" s="152"/>
      <c r="AQ67" s="152"/>
      <c r="AR67" s="152"/>
      <c r="AS67" s="152"/>
      <c r="AT67" s="152"/>
      <c r="AU67" s="152"/>
      <c r="AV67" s="152"/>
      <c r="AW67" s="152"/>
      <c r="AX67" s="152"/>
      <c r="AY67" s="152"/>
      <c r="AZ67" s="152"/>
      <c r="BA67" s="152"/>
      <c r="BB67" s="152"/>
      <c r="BC67" s="152"/>
      <c r="BD67" s="152"/>
    </row>
    <row r="68" spans="1:56" ht="13.5" customHeight="1">
      <c r="A68" s="171">
        <f t="shared" si="34"/>
        <v>5</v>
      </c>
      <c r="B68" s="171" t="str">
        <f t="shared" si="35"/>
        <v>ACPLHK</v>
      </c>
      <c r="C68" s="171" t="s">
        <v>1695</v>
      </c>
      <c r="D68" s="172" t="str">
        <f t="shared" si="30"/>
        <v>Meals</v>
      </c>
      <c r="E68" s="172"/>
      <c r="F68" s="172"/>
      <c r="G68" s="77" t="s">
        <v>2613</v>
      </c>
      <c r="H68" s="173" t="s">
        <v>2614</v>
      </c>
      <c r="I68" s="173" t="s">
        <v>2368</v>
      </c>
      <c r="J68" s="184">
        <f ca="1">SUMIF($B$16:$B$45,$B68,$T$16:$T$45)*VLOOKUP($D68,$T$11:$U$15,2,FALSE)+SUMIF($B$16:$B$45,$B68,$I$16:$I$44)*VLOOKUP($D68,$I$11:$J$15,2,FALSE)+SUMIF($B$16:$B$45,$B68,$L$16:$L$44)*VLOOKUP($D68,$L$11:$M$15,2,FALSE)+SUMIF($B$16:$B$45,$B68,$O$16:$O$44)*VLOOKUP($D68,$O$11:$P$15,2,FALSE)</f>
        <v>31200</v>
      </c>
      <c r="K68" s="456">
        <f t="shared" si="31"/>
        <v>46023</v>
      </c>
      <c r="L68" s="456">
        <f t="shared" si="32"/>
        <v>46387</v>
      </c>
      <c r="M68" s="176">
        <f t="shared" si="33"/>
        <v>12</v>
      </c>
      <c r="N68" s="177">
        <f ca="1">IF(AND($K68&lt;=N$47,N$47&lt;=$L68),$J68/$M68*HLOOKUP(N$63,'FX Lookup'!$A$2:$Y$4,3,FALSE),0)</f>
        <v>2313.9739999999997</v>
      </c>
      <c r="O68" s="177">
        <f ca="1">IF(AND($K68&lt;=O$47,O$47&lt;=$L68),$J68/$M68*HLOOKUP(O$63,'FX Lookup'!$A$2:$Y$4,3,FALSE),0)</f>
        <v>2293.7199999999998</v>
      </c>
      <c r="P68" s="177">
        <f ca="1">IF(AND($K68&lt;=P$47,P$47&lt;=$L68),$J68/$M68*HLOOKUP(P$63,'FX Lookup'!$A$2:$Y$4,3,FALSE),0)</f>
        <v>2293.7199999999998</v>
      </c>
      <c r="Q68" s="177">
        <f ca="1">IF(AND($K68&lt;=Q$47,Q$47&lt;=$L68),$J68/$M68*HLOOKUP(Q$63,'FX Lookup'!$A$2:$Y$4,3,FALSE),0)</f>
        <v>2293.7199999999998</v>
      </c>
      <c r="R68" s="177">
        <f ca="1">IF(AND($K68&lt;=R$47,R$47&lt;=$L68),$J68/$M68*HLOOKUP(R$63,'FX Lookup'!$A$2:$Y$4,3,FALSE),0)</f>
        <v>2293.7199999999998</v>
      </c>
      <c r="S68" s="177">
        <f ca="1">IF(AND($K68&lt;=S$47,S$47&lt;=$L68),$J68/$M68*HLOOKUP(S$63,'FX Lookup'!$A$2:$Y$4,3,FALSE),0)</f>
        <v>2293.7199999999998</v>
      </c>
      <c r="T68" s="177">
        <f ca="1">IF(AND($K68&lt;=T$47,T$47&lt;=$L68),$J68/$M68*HLOOKUP(T$63,'FX Lookup'!$A$2:$Y$4,3,FALSE),0)</f>
        <v>2293.7199999999998</v>
      </c>
      <c r="U68" s="177">
        <f ca="1">IF(AND($K68&lt;=U$47,U$47&lt;=$L68),$J68/$M68*HLOOKUP(U$63,'FX Lookup'!$A$2:$Y$4,3,FALSE),0)</f>
        <v>2293.7199999999998</v>
      </c>
      <c r="V68" s="177">
        <f ca="1">IF(AND($K68&lt;=V$47,V$47&lt;=$L68),$J68/$M68*HLOOKUP(V$63,'FX Lookup'!$A$2:$Y$4,3,FALSE),0)</f>
        <v>2293.7199999999998</v>
      </c>
      <c r="W68" s="177">
        <f ca="1">IF(AND($K68&lt;=W$47,W$47&lt;=$L68),$J68/$M68*HLOOKUP(W$63,'FX Lookup'!$A$2:$Y$4,3,FALSE),0)</f>
        <v>2293.7199999999998</v>
      </c>
      <c r="X68" s="177">
        <f ca="1">IF(AND($K68&lt;=X$47,X$47&lt;=$L68),$J68/$M68*HLOOKUP(X$63,'FX Lookup'!$A$2:$Y$4,3,FALSE),0)</f>
        <v>2293.7199999999998</v>
      </c>
      <c r="Y68" s="177">
        <f ca="1">IF(AND($K68&lt;=Y$47,Y$47&lt;=$L68),$J68/$M68*HLOOKUP(Y$63,'FX Lookup'!$A$2:$Y$4,3,FALSE),0)</f>
        <v>2293.7199999999998</v>
      </c>
      <c r="Z68" s="178">
        <f t="shared" ca="1" si="36"/>
        <v>27544.894</v>
      </c>
      <c r="AA68" s="466">
        <f t="shared" ca="1" si="37"/>
        <v>-3655.1059999999998</v>
      </c>
      <c r="AB68" s="177">
        <f ca="1">IF(AND($K68&lt;=AB$47,AB$47&lt;=$L68),$J68/$M68*HLOOKUP(AB$63,'FX Lookup'!$A$2:$Y$4,3,FALSE),0)</f>
        <v>2313.9739999999997</v>
      </c>
      <c r="AC68" s="177">
        <f ca="1">IF(AND($K68&lt;=AC$47,AC$47&lt;=$L68),$J68/$M68*HLOOKUP(AC$63,'FX Lookup'!$A$2:$Y$4,3,FALSE),0)</f>
        <v>2293.7199999999998</v>
      </c>
      <c r="AD68" s="177">
        <f ca="1">IF(AND($K68&lt;=AD$47,AD$47&lt;=$L68),$J68/$M68*HLOOKUP(AD$63,'FX Lookup'!$A$2:$Y$4,3,FALSE),0)</f>
        <v>2293.7199999999998</v>
      </c>
      <c r="AE68" s="177">
        <f ca="1">IF(AND($K68&lt;=AE$47,AE$47&lt;=$L68),$J68/$M68*HLOOKUP(AE$63,'FX Lookup'!$A$2:$Y$4,3,FALSE),0)</f>
        <v>2293.7199999999998</v>
      </c>
      <c r="AF68" s="177">
        <f ca="1">IF(AND($K68&lt;=AF$47,AF$47&lt;=$L68),$J68/$M68*HLOOKUP(AF$63,'FX Lookup'!$A$2:$Y$4,3,FALSE),0)</f>
        <v>2293.7199999999998</v>
      </c>
      <c r="AG68" s="177">
        <f ca="1">IF(AND($K68&lt;=AG$47,AG$47&lt;=$L68),$J68/$M68*HLOOKUP(AG$63,'FX Lookup'!$A$2:$Y$4,3,FALSE),0)</f>
        <v>2293.7199999999998</v>
      </c>
      <c r="AH68" s="177">
        <f ca="1">IF(AND($K68&lt;=AH$47,AH$47&lt;=$L68),$J68/$M68*HLOOKUP(AH$63,'FX Lookup'!$A$2:$Y$4,3,FALSE),0)</f>
        <v>2293.7199999999998</v>
      </c>
      <c r="AI68" s="177">
        <f ca="1">IF(AND($K68&lt;=AI$47,AI$47&lt;=$L68),$J68/$M68*HLOOKUP(AI$63,'FX Lookup'!$A$2:$Y$4,3,FALSE),0)</f>
        <v>2293.7199999999998</v>
      </c>
      <c r="AJ68" s="177">
        <f ca="1">IF(AND($K68&lt;=AJ$47,AJ$47&lt;=$L68),$J68/$M68*HLOOKUP(AJ$63,'FX Lookup'!$A$2:$Y$4,3,FALSE),0)</f>
        <v>2293.7199999999998</v>
      </c>
      <c r="AK68" s="177">
        <f ca="1">IF(AND($K68&lt;=AK$47,AK$47&lt;=$L68),$J68/$M68*HLOOKUP(AK$63,'FX Lookup'!$A$2:$Y$4,3,FALSE),0)</f>
        <v>2293.7199999999998</v>
      </c>
      <c r="AL68" s="177">
        <f ca="1">IF(AND($K68&lt;=AL$47,AL$47&lt;=$L68),$J68/$M68*HLOOKUP(AL$63,'FX Lookup'!$A$2:$Y$4,3,FALSE),0)</f>
        <v>2293.7199999999998</v>
      </c>
      <c r="AM68" s="177">
        <f ca="1">IF(AND($K68&lt;=AM$47,AM$47&lt;=$L68),$J68/$M68*HLOOKUP(AM$63,'FX Lookup'!$A$2:$Y$4,3,FALSE),0)</f>
        <v>2293.7199999999998</v>
      </c>
      <c r="AN68" s="178">
        <f t="shared" ca="1" si="38"/>
        <v>27544.894</v>
      </c>
      <c r="AP68" s="152"/>
      <c r="AQ68" s="152"/>
      <c r="AR68" s="152"/>
      <c r="AS68" s="152"/>
      <c r="AT68" s="152"/>
      <c r="AU68" s="152"/>
      <c r="AV68" s="152"/>
      <c r="AW68" s="152"/>
      <c r="AX68" s="152"/>
      <c r="AY68" s="152"/>
      <c r="AZ68" s="152"/>
      <c r="BA68" s="152"/>
      <c r="BB68" s="152"/>
      <c r="BC68" s="152"/>
      <c r="BD68" s="152"/>
    </row>
    <row r="69" spans="1:56" ht="13.5" customHeight="1">
      <c r="A69" s="171">
        <f t="shared" si="34"/>
        <v>6</v>
      </c>
      <c r="B69" s="171" t="str">
        <f t="shared" si="35"/>
        <v>ACPLHK</v>
      </c>
      <c r="C69" s="171" t="s">
        <v>1623</v>
      </c>
      <c r="D69" s="172" t="str">
        <f t="shared" si="30"/>
        <v>Entertainment</v>
      </c>
      <c r="E69" s="172"/>
      <c r="F69" s="172"/>
      <c r="G69" s="77" t="s">
        <v>2613</v>
      </c>
      <c r="H69" s="173" t="s">
        <v>2614</v>
      </c>
      <c r="I69" s="173" t="s">
        <v>2368</v>
      </c>
      <c r="J69" s="184">
        <v>0</v>
      </c>
      <c r="K69" s="456">
        <f t="shared" si="31"/>
        <v>46023</v>
      </c>
      <c r="L69" s="456">
        <f t="shared" si="32"/>
        <v>46387</v>
      </c>
      <c r="M69" s="176">
        <f t="shared" si="33"/>
        <v>12</v>
      </c>
      <c r="N69" s="177">
        <f>IF(AND($K69&lt;=N$47,N$47&lt;=$L69),$J69/$M69*HLOOKUP(N$63,'FX Lookup'!$A$2:$Y$4,3,FALSE),0)</f>
        <v>0</v>
      </c>
      <c r="O69" s="177">
        <f>IF(AND($K69&lt;=O$47,O$47&lt;=$L69),$J69/$M69*HLOOKUP(O$63,'FX Lookup'!$A$2:$Y$4,3,FALSE),0)</f>
        <v>0</v>
      </c>
      <c r="P69" s="177">
        <f>IF(AND($K69&lt;=P$47,P$47&lt;=$L69),$J69/$M69*HLOOKUP(P$63,'FX Lookup'!$A$2:$Y$4,3,FALSE),0)</f>
        <v>0</v>
      </c>
      <c r="Q69" s="177">
        <f>IF(AND($K69&lt;=Q$47,Q$47&lt;=$L69),$J69/$M69*HLOOKUP(Q$63,'FX Lookup'!$A$2:$Y$4,3,FALSE),0)</f>
        <v>0</v>
      </c>
      <c r="R69" s="177">
        <f>IF(AND($K69&lt;=R$47,R$47&lt;=$L69),$J69/$M69*HLOOKUP(R$63,'FX Lookup'!$A$2:$Y$4,3,FALSE),0)</f>
        <v>0</v>
      </c>
      <c r="S69" s="177">
        <f>IF(AND($K69&lt;=S$47,S$47&lt;=$L69),$J69/$M69*HLOOKUP(S$63,'FX Lookup'!$A$2:$Y$4,3,FALSE),0)</f>
        <v>0</v>
      </c>
      <c r="T69" s="177">
        <f>IF(AND($K69&lt;=T$47,T$47&lt;=$L69),$J69/$M69*HLOOKUP(T$63,'FX Lookup'!$A$2:$Y$4,3,FALSE),0)</f>
        <v>0</v>
      </c>
      <c r="U69" s="177">
        <f>IF(AND($K69&lt;=U$47,U$47&lt;=$L69),$J69/$M69*HLOOKUP(U$63,'FX Lookup'!$A$2:$Y$4,3,FALSE),0)</f>
        <v>0</v>
      </c>
      <c r="V69" s="177">
        <f>IF(AND($K69&lt;=V$47,V$47&lt;=$L69),$J69/$M69*HLOOKUP(V$63,'FX Lookup'!$A$2:$Y$4,3,FALSE),0)</f>
        <v>0</v>
      </c>
      <c r="W69" s="177">
        <f>IF(AND($K69&lt;=W$47,W$47&lt;=$L69),$J69/$M69*HLOOKUP(W$63,'FX Lookup'!$A$2:$Y$4,3,FALSE),0)</f>
        <v>0</v>
      </c>
      <c r="X69" s="177">
        <f>IF(AND($K69&lt;=X$47,X$47&lt;=$L69),$J69/$M69*HLOOKUP(X$63,'FX Lookup'!$A$2:$Y$4,3,FALSE),0)</f>
        <v>0</v>
      </c>
      <c r="Y69" s="177">
        <f>IF(AND($K69&lt;=Y$47,Y$47&lt;=$L69),$J69/$M69*HLOOKUP(Y$63,'FX Lookup'!$A$2:$Y$4,3,FALSE),0)</f>
        <v>0</v>
      </c>
      <c r="Z69" s="178">
        <f t="shared" si="36"/>
        <v>0</v>
      </c>
      <c r="AA69" s="466">
        <f t="shared" si="37"/>
        <v>0</v>
      </c>
      <c r="AB69" s="177">
        <f>IF(AND($K69&lt;=AB$47,AB$47&lt;=$L69),$J69/$M69*HLOOKUP(AB$63,'FX Lookup'!$A$2:$Y$4,3,FALSE),0)</f>
        <v>0</v>
      </c>
      <c r="AC69" s="177">
        <f>IF(AND($K69&lt;=AC$47,AC$47&lt;=$L69),$J69/$M69*HLOOKUP(AC$63,'FX Lookup'!$A$2:$Y$4,3,FALSE),0)</f>
        <v>0</v>
      </c>
      <c r="AD69" s="177">
        <f>IF(AND($K69&lt;=AD$47,AD$47&lt;=$L69),$J69/$M69*HLOOKUP(AD$63,'FX Lookup'!$A$2:$Y$4,3,FALSE),0)</f>
        <v>0</v>
      </c>
      <c r="AE69" s="177">
        <f>IF(AND($K69&lt;=AE$47,AE$47&lt;=$L69),$J69/$M69*HLOOKUP(AE$63,'FX Lookup'!$A$2:$Y$4,3,FALSE),0)</f>
        <v>0</v>
      </c>
      <c r="AF69" s="177">
        <f>IF(AND($K69&lt;=AF$47,AF$47&lt;=$L69),$J69/$M69*HLOOKUP(AF$63,'FX Lookup'!$A$2:$Y$4,3,FALSE),0)</f>
        <v>0</v>
      </c>
      <c r="AG69" s="177">
        <f>IF(AND($K69&lt;=AG$47,AG$47&lt;=$L69),$J69/$M69*HLOOKUP(AG$63,'FX Lookup'!$A$2:$Y$4,3,FALSE),0)</f>
        <v>0</v>
      </c>
      <c r="AH69" s="177">
        <f>IF(AND($K69&lt;=AH$47,AH$47&lt;=$L69),$J69/$M69*HLOOKUP(AH$63,'FX Lookup'!$A$2:$Y$4,3,FALSE),0)</f>
        <v>0</v>
      </c>
      <c r="AI69" s="177">
        <f>IF(AND($K69&lt;=AI$47,AI$47&lt;=$L69),$J69/$M69*HLOOKUP(AI$63,'FX Lookup'!$A$2:$Y$4,3,FALSE),0)</f>
        <v>0</v>
      </c>
      <c r="AJ69" s="177">
        <f>IF(AND($K69&lt;=AJ$47,AJ$47&lt;=$L69),$J69/$M69*HLOOKUP(AJ$63,'FX Lookup'!$A$2:$Y$4,3,FALSE),0)</f>
        <v>0</v>
      </c>
      <c r="AK69" s="177">
        <f>IF(AND($K69&lt;=AK$47,AK$47&lt;=$L69),$J69/$M69*HLOOKUP(AK$63,'FX Lookup'!$A$2:$Y$4,3,FALSE),0)</f>
        <v>0</v>
      </c>
      <c r="AL69" s="177">
        <f>IF(AND($K69&lt;=AL$47,AL$47&lt;=$L69),$J69/$M69*HLOOKUP(AL$63,'FX Lookup'!$A$2:$Y$4,3,FALSE),0)</f>
        <v>0</v>
      </c>
      <c r="AM69" s="177">
        <f>IF(AND($K69&lt;=AM$47,AM$47&lt;=$L69),$J69/$M69*HLOOKUP(AM$63,'FX Lookup'!$A$2:$Y$4,3,FALSE),0)</f>
        <v>0</v>
      </c>
      <c r="AN69" s="178">
        <f t="shared" si="38"/>
        <v>0</v>
      </c>
      <c r="AP69" s="152"/>
      <c r="AQ69" s="152"/>
      <c r="AR69" s="152"/>
      <c r="AS69" s="152"/>
      <c r="AT69" s="152"/>
      <c r="AU69" s="152"/>
      <c r="AV69" s="152"/>
      <c r="AW69" s="152"/>
      <c r="AX69" s="152"/>
      <c r="AY69" s="152"/>
      <c r="AZ69" s="152"/>
      <c r="BA69" s="152"/>
      <c r="BB69" s="152"/>
      <c r="BC69" s="152"/>
      <c r="BD69" s="152"/>
    </row>
    <row r="70" spans="1:56" ht="13.5" customHeight="1">
      <c r="A70" s="171">
        <f t="shared" si="34"/>
        <v>7</v>
      </c>
      <c r="B70" s="171" t="str">
        <f t="shared" si="35"/>
        <v>ACPLHK</v>
      </c>
      <c r="C70" s="171" t="s">
        <v>1729</v>
      </c>
      <c r="D70" s="172" t="str">
        <f t="shared" si="30"/>
        <v>Other personal reimbursement</v>
      </c>
      <c r="E70" s="172"/>
      <c r="F70" s="172"/>
      <c r="G70" s="77" t="s">
        <v>2613</v>
      </c>
      <c r="H70" s="173" t="s">
        <v>2614</v>
      </c>
      <c r="I70" s="173" t="s">
        <v>2368</v>
      </c>
      <c r="J70" s="186">
        <v>10000</v>
      </c>
      <c r="K70" s="456">
        <f t="shared" si="31"/>
        <v>46023</v>
      </c>
      <c r="L70" s="456">
        <f t="shared" si="32"/>
        <v>46387</v>
      </c>
      <c r="M70" s="176">
        <f t="shared" si="33"/>
        <v>12</v>
      </c>
      <c r="N70" s="177">
        <f>IF(AND($K70&lt;=N$47,N$47&lt;=$L70),$J70/$M70*HLOOKUP(N$63,'FX Lookup'!$A$2:$Y$4,3,FALSE),0)</f>
        <v>741.6583333333333</v>
      </c>
      <c r="O70" s="177">
        <f>IF(AND($K70&lt;=O$47,O$47&lt;=$L70),$J70/$M70*HLOOKUP(O$63,'FX Lookup'!$A$2:$Y$4,3,FALSE),0)</f>
        <v>735.16666666666674</v>
      </c>
      <c r="P70" s="177">
        <f>IF(AND($K70&lt;=P$47,P$47&lt;=$L70),$J70/$M70*HLOOKUP(P$63,'FX Lookup'!$A$2:$Y$4,3,FALSE),0)</f>
        <v>735.16666666666674</v>
      </c>
      <c r="Q70" s="177">
        <f>IF(AND($K70&lt;=Q$47,Q$47&lt;=$L70),$J70/$M70*HLOOKUP(Q$63,'FX Lookup'!$A$2:$Y$4,3,FALSE),0)</f>
        <v>735.16666666666674</v>
      </c>
      <c r="R70" s="177">
        <f>IF(AND($K70&lt;=R$47,R$47&lt;=$L70),$J70/$M70*HLOOKUP(R$63,'FX Lookup'!$A$2:$Y$4,3,FALSE),0)</f>
        <v>735.16666666666674</v>
      </c>
      <c r="S70" s="177">
        <f>IF(AND($K70&lt;=S$47,S$47&lt;=$L70),$J70/$M70*HLOOKUP(S$63,'FX Lookup'!$A$2:$Y$4,3,FALSE),0)</f>
        <v>735.16666666666674</v>
      </c>
      <c r="T70" s="177">
        <f>IF(AND($K70&lt;=T$47,T$47&lt;=$L70),$J70/$M70*HLOOKUP(T$63,'FX Lookup'!$A$2:$Y$4,3,FALSE),0)</f>
        <v>735.16666666666674</v>
      </c>
      <c r="U70" s="177">
        <f>IF(AND($K70&lt;=U$47,U$47&lt;=$L70),$J70/$M70*HLOOKUP(U$63,'FX Lookup'!$A$2:$Y$4,3,FALSE),0)</f>
        <v>735.16666666666674</v>
      </c>
      <c r="V70" s="177">
        <f>IF(AND($K70&lt;=V$47,V$47&lt;=$L70),$J70/$M70*HLOOKUP(V$63,'FX Lookup'!$A$2:$Y$4,3,FALSE),0)</f>
        <v>735.16666666666674</v>
      </c>
      <c r="W70" s="177">
        <f>IF(AND($K70&lt;=W$47,W$47&lt;=$L70),$J70/$M70*HLOOKUP(W$63,'FX Lookup'!$A$2:$Y$4,3,FALSE),0)</f>
        <v>735.16666666666674</v>
      </c>
      <c r="X70" s="177">
        <f>IF(AND($K70&lt;=X$47,X$47&lt;=$L70),$J70/$M70*HLOOKUP(X$63,'FX Lookup'!$A$2:$Y$4,3,FALSE),0)</f>
        <v>735.16666666666674</v>
      </c>
      <c r="Y70" s="177">
        <f>IF(AND($K70&lt;=Y$47,Y$47&lt;=$L70),$J70/$M70*HLOOKUP(Y$63,'FX Lookup'!$A$2:$Y$4,3,FALSE),0)</f>
        <v>735.16666666666674</v>
      </c>
      <c r="Z70" s="178">
        <f t="shared" si="36"/>
        <v>8828.4916666666686</v>
      </c>
      <c r="AA70" s="466">
        <f t="shared" si="37"/>
        <v>-1171.5083333333314</v>
      </c>
      <c r="AB70" s="177">
        <f>IF(AND($K70&lt;=AB$47,AB$47&lt;=$L70),$J70/$M70*HLOOKUP(AB$63,'FX Lookup'!$A$2:$Y$4,3,FALSE),0)</f>
        <v>741.6583333333333</v>
      </c>
      <c r="AC70" s="177">
        <f>IF(AND($K70&lt;=AC$47,AC$47&lt;=$L70),$J70/$M70*HLOOKUP(AC$63,'FX Lookup'!$A$2:$Y$4,3,FALSE),0)</f>
        <v>735.16666666666674</v>
      </c>
      <c r="AD70" s="177">
        <f>IF(AND($K70&lt;=AD$47,AD$47&lt;=$L70),$J70/$M70*HLOOKUP(AD$63,'FX Lookup'!$A$2:$Y$4,3,FALSE),0)</f>
        <v>735.16666666666674</v>
      </c>
      <c r="AE70" s="177">
        <f>IF(AND($K70&lt;=AE$47,AE$47&lt;=$L70),$J70/$M70*HLOOKUP(AE$63,'FX Lookup'!$A$2:$Y$4,3,FALSE),0)</f>
        <v>735.16666666666674</v>
      </c>
      <c r="AF70" s="177">
        <f>IF(AND($K70&lt;=AF$47,AF$47&lt;=$L70),$J70/$M70*HLOOKUP(AF$63,'FX Lookup'!$A$2:$Y$4,3,FALSE),0)</f>
        <v>735.16666666666674</v>
      </c>
      <c r="AG70" s="177">
        <f>IF(AND($K70&lt;=AG$47,AG$47&lt;=$L70),$J70/$M70*HLOOKUP(AG$63,'FX Lookup'!$A$2:$Y$4,3,FALSE),0)</f>
        <v>735.16666666666674</v>
      </c>
      <c r="AH70" s="177">
        <f>IF(AND($K70&lt;=AH$47,AH$47&lt;=$L70),$J70/$M70*HLOOKUP(AH$63,'FX Lookup'!$A$2:$Y$4,3,FALSE),0)</f>
        <v>735.16666666666674</v>
      </c>
      <c r="AI70" s="177">
        <f>IF(AND($K70&lt;=AI$47,AI$47&lt;=$L70),$J70/$M70*HLOOKUP(AI$63,'FX Lookup'!$A$2:$Y$4,3,FALSE),0)</f>
        <v>735.16666666666674</v>
      </c>
      <c r="AJ70" s="177">
        <f>IF(AND($K70&lt;=AJ$47,AJ$47&lt;=$L70),$J70/$M70*HLOOKUP(AJ$63,'FX Lookup'!$A$2:$Y$4,3,FALSE),0)</f>
        <v>735.16666666666674</v>
      </c>
      <c r="AK70" s="177">
        <f>IF(AND($K70&lt;=AK$47,AK$47&lt;=$L70),$J70/$M70*HLOOKUP(AK$63,'FX Lookup'!$A$2:$Y$4,3,FALSE),0)</f>
        <v>735.16666666666674</v>
      </c>
      <c r="AL70" s="177">
        <f>IF(AND($K70&lt;=AL$47,AL$47&lt;=$L70),$J70/$M70*HLOOKUP(AL$63,'FX Lookup'!$A$2:$Y$4,3,FALSE),0)</f>
        <v>735.16666666666674</v>
      </c>
      <c r="AM70" s="177">
        <f>IF(AND($K70&lt;=AM$47,AM$47&lt;=$L70),$J70/$M70*HLOOKUP(AM$63,'FX Lookup'!$A$2:$Y$4,3,FALSE),0)</f>
        <v>735.16666666666674</v>
      </c>
      <c r="AN70" s="178">
        <f t="shared" si="38"/>
        <v>8828.4916666666686</v>
      </c>
      <c r="AP70" s="152"/>
      <c r="AQ70" s="152"/>
      <c r="AR70" s="152"/>
      <c r="AS70" s="152"/>
      <c r="AT70" s="152"/>
      <c r="AU70" s="152"/>
      <c r="AV70" s="152"/>
      <c r="AW70" s="152"/>
      <c r="AX70" s="152"/>
      <c r="AY70" s="152"/>
      <c r="AZ70" s="152"/>
      <c r="BA70" s="152"/>
      <c r="BB70" s="152"/>
      <c r="BC70" s="152"/>
      <c r="BD70" s="152"/>
    </row>
    <row r="71" spans="1:56" ht="13.5" customHeight="1">
      <c r="A71" s="171">
        <f t="shared" si="34"/>
        <v>8</v>
      </c>
      <c r="B71" s="171" t="str">
        <f t="shared" si="35"/>
        <v>ACPLHK</v>
      </c>
      <c r="C71" s="171"/>
      <c r="D71" s="172">
        <f t="shared" si="30"/>
        <v>0</v>
      </c>
      <c r="E71" s="172"/>
      <c r="F71" s="172"/>
      <c r="G71" s="77" t="s">
        <v>2613</v>
      </c>
      <c r="H71" s="173" t="s">
        <v>2614</v>
      </c>
      <c r="I71" s="173" t="s">
        <v>2368</v>
      </c>
      <c r="J71" s="184"/>
      <c r="K71" s="456">
        <f t="shared" si="31"/>
        <v>46023</v>
      </c>
      <c r="L71" s="456">
        <f t="shared" si="32"/>
        <v>46387</v>
      </c>
      <c r="M71" s="176">
        <f t="shared" si="33"/>
        <v>12</v>
      </c>
      <c r="N71" s="177">
        <f>IF(AND($K71&lt;=N$47,N$47&lt;=$L71),$J71/$M71*HLOOKUP(N$63,'FX Lookup'!$A$2:$Y$4,3,FALSE),0)</f>
        <v>0</v>
      </c>
      <c r="O71" s="177">
        <f>IF(AND($K71&lt;=O$47,O$47&lt;=$L71),$J71/$M71*HLOOKUP(O$63,'FX Lookup'!$A$2:$Y$4,3,FALSE),0)</f>
        <v>0</v>
      </c>
      <c r="P71" s="177">
        <f>IF(AND($K71&lt;=P$47,P$47&lt;=$L71),$J71/$M71*HLOOKUP(P$63,'FX Lookup'!$A$2:$Y$4,3,FALSE),0)</f>
        <v>0</v>
      </c>
      <c r="Q71" s="177">
        <f>IF(AND($K71&lt;=Q$47,Q$47&lt;=$L71),$J71/$M71*HLOOKUP(Q$63,'FX Lookup'!$A$2:$Y$4,3,FALSE),0)</f>
        <v>0</v>
      </c>
      <c r="R71" s="177">
        <f>IF(AND($K71&lt;=R$47,R$47&lt;=$L71),$J71/$M71*HLOOKUP(R$63,'FX Lookup'!$A$2:$Y$4,3,FALSE),0)</f>
        <v>0</v>
      </c>
      <c r="S71" s="177">
        <f>IF(AND($K71&lt;=S$47,S$47&lt;=$L71),$J71/$M71*HLOOKUP(S$63,'FX Lookup'!$A$2:$Y$4,3,FALSE),0)</f>
        <v>0</v>
      </c>
      <c r="T71" s="177">
        <f>IF(AND($K71&lt;=T$47,T$47&lt;=$L71),$J71/$M71*HLOOKUP(T$63,'FX Lookup'!$A$2:$Y$4,3,FALSE),0)</f>
        <v>0</v>
      </c>
      <c r="U71" s="177">
        <f>IF(AND($K71&lt;=U$47,U$47&lt;=$L71),$J71/$M71*HLOOKUP(U$63,'FX Lookup'!$A$2:$Y$4,3,FALSE),0)</f>
        <v>0</v>
      </c>
      <c r="V71" s="177">
        <f>IF(AND($K71&lt;=V$47,V$47&lt;=$L71),$J71/$M71*HLOOKUP(V$63,'FX Lookup'!$A$2:$Y$4,3,FALSE),0)</f>
        <v>0</v>
      </c>
      <c r="W71" s="177">
        <f>IF(AND($K71&lt;=W$47,W$47&lt;=$L71),$J71/$M71*HLOOKUP(W$63,'FX Lookup'!$A$2:$Y$4,3,FALSE),0)</f>
        <v>0</v>
      </c>
      <c r="X71" s="177">
        <f>IF(AND($K71&lt;=X$47,X$47&lt;=$L71),$J71/$M71*HLOOKUP(X$63,'FX Lookup'!$A$2:$Y$4,3,FALSE),0)</f>
        <v>0</v>
      </c>
      <c r="Y71" s="177">
        <f>IF(AND($K71&lt;=Y$47,Y$47&lt;=$L71),$J71/$M71*HLOOKUP(Y$63,'FX Lookup'!$A$2:$Y$4,3,FALSE),0)</f>
        <v>0</v>
      </c>
      <c r="Z71" s="178">
        <f t="shared" si="36"/>
        <v>0</v>
      </c>
      <c r="AA71" s="466">
        <f t="shared" si="37"/>
        <v>0</v>
      </c>
      <c r="AB71" s="177">
        <f>IF(AND($K71&lt;=AB$47,AB$47&lt;=$L71),$J71/$M71*HLOOKUP(AB$63,'FX Lookup'!$A$2:$Y$4,3,FALSE),0)</f>
        <v>0</v>
      </c>
      <c r="AC71" s="177">
        <f>IF(AND($K71&lt;=AC$47,AC$47&lt;=$L71),$J71/$M71*HLOOKUP(AC$63,'FX Lookup'!$A$2:$Y$4,3,FALSE),0)</f>
        <v>0</v>
      </c>
      <c r="AD71" s="177">
        <f>IF(AND($K71&lt;=AD$47,AD$47&lt;=$L71),$J71/$M71*HLOOKUP(AD$63,'FX Lookup'!$A$2:$Y$4,3,FALSE),0)</f>
        <v>0</v>
      </c>
      <c r="AE71" s="177">
        <f>IF(AND($K71&lt;=AE$47,AE$47&lt;=$L71),$J71/$M71*HLOOKUP(AE$63,'FX Lookup'!$A$2:$Y$4,3,FALSE),0)</f>
        <v>0</v>
      </c>
      <c r="AF71" s="177">
        <f>IF(AND($K71&lt;=AF$47,AF$47&lt;=$L71),$J71/$M71*HLOOKUP(AF$63,'FX Lookup'!$A$2:$Y$4,3,FALSE),0)</f>
        <v>0</v>
      </c>
      <c r="AG71" s="177">
        <f>IF(AND($K71&lt;=AG$47,AG$47&lt;=$L71),$J71/$M71*HLOOKUP(AG$63,'FX Lookup'!$A$2:$Y$4,3,FALSE),0)</f>
        <v>0</v>
      </c>
      <c r="AH71" s="177">
        <f>IF(AND($K71&lt;=AH$47,AH$47&lt;=$L71),$J71/$M71*HLOOKUP(AH$63,'FX Lookup'!$A$2:$Y$4,3,FALSE),0)</f>
        <v>0</v>
      </c>
      <c r="AI71" s="177">
        <f>IF(AND($K71&lt;=AI$47,AI$47&lt;=$L71),$J71/$M71*HLOOKUP(AI$63,'FX Lookup'!$A$2:$Y$4,3,FALSE),0)</f>
        <v>0</v>
      </c>
      <c r="AJ71" s="177">
        <f>IF(AND($K71&lt;=AJ$47,AJ$47&lt;=$L71),$J71/$M71*HLOOKUP(AJ$63,'FX Lookup'!$A$2:$Y$4,3,FALSE),0)</f>
        <v>0</v>
      </c>
      <c r="AK71" s="177">
        <f>IF(AND($K71&lt;=AK$47,AK$47&lt;=$L71),$J71/$M71*HLOOKUP(AK$63,'FX Lookup'!$A$2:$Y$4,3,FALSE),0)</f>
        <v>0</v>
      </c>
      <c r="AL71" s="177">
        <f>IF(AND($K71&lt;=AL$47,AL$47&lt;=$L71),$J71/$M71*HLOOKUP(AL$63,'FX Lookup'!$A$2:$Y$4,3,FALSE),0)</f>
        <v>0</v>
      </c>
      <c r="AM71" s="177">
        <f>IF(AND($K71&lt;=AM$47,AM$47&lt;=$L71),$J71/$M71*HLOOKUP(AM$63,'FX Lookup'!$A$2:$Y$4,3,FALSE),0)</f>
        <v>0</v>
      </c>
      <c r="AN71" s="178">
        <f t="shared" si="38"/>
        <v>0</v>
      </c>
      <c r="AP71" s="152"/>
      <c r="AQ71" s="152"/>
      <c r="AR71" s="152"/>
      <c r="AS71" s="152"/>
      <c r="AT71" s="152"/>
      <c r="AU71" s="152"/>
      <c r="AV71" s="152"/>
      <c r="AW71" s="152"/>
      <c r="AX71" s="152"/>
      <c r="AY71" s="152"/>
      <c r="AZ71" s="152"/>
      <c r="BA71" s="152"/>
      <c r="BB71" s="152"/>
      <c r="BC71" s="152"/>
      <c r="BD71" s="152"/>
    </row>
    <row r="72" spans="1:56" ht="13.5" customHeight="1">
      <c r="A72" s="171">
        <f t="shared" si="34"/>
        <v>9</v>
      </c>
      <c r="B72" s="171" t="str">
        <f>+'Other Exp'!B42</f>
        <v>ACPLHK</v>
      </c>
      <c r="C72" s="171"/>
      <c r="D72" s="172">
        <f t="shared" si="30"/>
        <v>0</v>
      </c>
      <c r="E72" s="172"/>
      <c r="F72" s="172"/>
      <c r="G72" s="77" t="s">
        <v>2613</v>
      </c>
      <c r="H72" s="173" t="s">
        <v>2614</v>
      </c>
      <c r="I72" s="173" t="s">
        <v>2368</v>
      </c>
      <c r="J72" s="184"/>
      <c r="K72" s="456">
        <f t="shared" si="31"/>
        <v>46023</v>
      </c>
      <c r="L72" s="456">
        <f t="shared" si="32"/>
        <v>46387</v>
      </c>
      <c r="M72" s="176">
        <f t="shared" si="33"/>
        <v>12</v>
      </c>
      <c r="N72" s="177">
        <f>IF(AND($K72&lt;=N$47,N$47&lt;=$L72),$J72/$M72*HLOOKUP(N$63,'FX Lookup'!$A$2:$Y$4,3,FALSE),0)</f>
        <v>0</v>
      </c>
      <c r="O72" s="177">
        <f>IF(AND($K72&lt;=O$47,O$47&lt;=$L72),$J72/$M72*HLOOKUP(O$63,'FX Lookup'!$A$2:$Y$4,3,FALSE),0)</f>
        <v>0</v>
      </c>
      <c r="P72" s="177">
        <f>IF(AND($K72&lt;=P$47,P$47&lt;=$L72),$J72/$M72*HLOOKUP(P$63,'FX Lookup'!$A$2:$Y$4,3,FALSE),0)</f>
        <v>0</v>
      </c>
      <c r="Q72" s="177">
        <f>IF(AND($K72&lt;=Q$47,Q$47&lt;=$L72),$J72/$M72*HLOOKUP(Q$63,'FX Lookup'!$A$2:$Y$4,3,FALSE),0)</f>
        <v>0</v>
      </c>
      <c r="R72" s="177">
        <f>IF(AND($K72&lt;=R$47,R$47&lt;=$L72),$J72/$M72*HLOOKUP(R$63,'FX Lookup'!$A$2:$Y$4,3,FALSE),0)</f>
        <v>0</v>
      </c>
      <c r="S72" s="177">
        <f>IF(AND($K72&lt;=S$47,S$47&lt;=$L72),$J72/$M72*HLOOKUP(S$63,'FX Lookup'!$A$2:$Y$4,3,FALSE),0)</f>
        <v>0</v>
      </c>
      <c r="T72" s="177">
        <f>IF(AND($K72&lt;=T$47,T$47&lt;=$L72),$J72/$M72*HLOOKUP(T$63,'FX Lookup'!$A$2:$Y$4,3,FALSE),0)</f>
        <v>0</v>
      </c>
      <c r="U72" s="177">
        <f>IF(AND($K72&lt;=U$47,U$47&lt;=$L72),$J72/$M72*HLOOKUP(U$63,'FX Lookup'!$A$2:$Y$4,3,FALSE),0)</f>
        <v>0</v>
      </c>
      <c r="V72" s="177">
        <f>IF(AND($K72&lt;=V$47,V$47&lt;=$L72),$J72/$M72*HLOOKUP(V$63,'FX Lookup'!$A$2:$Y$4,3,FALSE),0)</f>
        <v>0</v>
      </c>
      <c r="W72" s="177">
        <f>IF(AND($K72&lt;=W$47,W$47&lt;=$L72),$J72/$M72*HLOOKUP(W$63,'FX Lookup'!$A$2:$Y$4,3,FALSE),0)</f>
        <v>0</v>
      </c>
      <c r="X72" s="177">
        <f>IF(AND($K72&lt;=X$47,X$47&lt;=$L72),$J72/$M72*HLOOKUP(X$63,'FX Lookup'!$A$2:$Y$4,3,FALSE),0)</f>
        <v>0</v>
      </c>
      <c r="Y72" s="177">
        <f>IF(AND($K72&lt;=Y$47,Y$47&lt;=$L72),$J72/$M72*HLOOKUP(Y$63,'FX Lookup'!$A$2:$Y$4,3,FALSE),0)</f>
        <v>0</v>
      </c>
      <c r="Z72" s="178">
        <f t="shared" si="36"/>
        <v>0</v>
      </c>
      <c r="AA72" s="466">
        <f t="shared" si="37"/>
        <v>0</v>
      </c>
      <c r="AB72" s="177">
        <f>IF(AND($K72&lt;=AB$47,AB$47&lt;=$L72),$J72/$M72*HLOOKUP(AB$63,'FX Lookup'!$A$2:$Y$4,3,FALSE),0)</f>
        <v>0</v>
      </c>
      <c r="AC72" s="177">
        <f>IF(AND($K72&lt;=AC$47,AC$47&lt;=$L72),$J72/$M72*HLOOKUP(AC$63,'FX Lookup'!$A$2:$Y$4,3,FALSE),0)</f>
        <v>0</v>
      </c>
      <c r="AD72" s="177">
        <f>IF(AND($K72&lt;=AD$47,AD$47&lt;=$L72),$J72/$M72*HLOOKUP(AD$63,'FX Lookup'!$A$2:$Y$4,3,FALSE),0)</f>
        <v>0</v>
      </c>
      <c r="AE72" s="177">
        <f>IF(AND($K72&lt;=AE$47,AE$47&lt;=$L72),$J72/$M72*HLOOKUP(AE$63,'FX Lookup'!$A$2:$Y$4,3,FALSE),0)</f>
        <v>0</v>
      </c>
      <c r="AF72" s="177">
        <f>IF(AND($K72&lt;=AF$47,AF$47&lt;=$L72),$J72/$M72*HLOOKUP(AF$63,'FX Lookup'!$A$2:$Y$4,3,FALSE),0)</f>
        <v>0</v>
      </c>
      <c r="AG72" s="177">
        <f>IF(AND($K72&lt;=AG$47,AG$47&lt;=$L72),$J72/$M72*HLOOKUP(AG$63,'FX Lookup'!$A$2:$Y$4,3,FALSE),0)</f>
        <v>0</v>
      </c>
      <c r="AH72" s="177">
        <f>IF(AND($K72&lt;=AH$47,AH$47&lt;=$L72),$J72/$M72*HLOOKUP(AH$63,'FX Lookup'!$A$2:$Y$4,3,FALSE),0)</f>
        <v>0</v>
      </c>
      <c r="AI72" s="177">
        <f>IF(AND($K72&lt;=AI$47,AI$47&lt;=$L72),$J72/$M72*HLOOKUP(AI$63,'FX Lookup'!$A$2:$Y$4,3,FALSE),0)</f>
        <v>0</v>
      </c>
      <c r="AJ72" s="177">
        <f>IF(AND($K72&lt;=AJ$47,AJ$47&lt;=$L72),$J72/$M72*HLOOKUP(AJ$63,'FX Lookup'!$A$2:$Y$4,3,FALSE),0)</f>
        <v>0</v>
      </c>
      <c r="AK72" s="177">
        <f>IF(AND($K72&lt;=AK$47,AK$47&lt;=$L72),$J72/$M72*HLOOKUP(AK$63,'FX Lookup'!$A$2:$Y$4,3,FALSE),0)</f>
        <v>0</v>
      </c>
      <c r="AL72" s="177">
        <f>IF(AND($K72&lt;=AL$47,AL$47&lt;=$L72),$J72/$M72*HLOOKUP(AL$63,'FX Lookup'!$A$2:$Y$4,3,FALSE),0)</f>
        <v>0</v>
      </c>
      <c r="AM72" s="177">
        <f>IF(AND($K72&lt;=AM$47,AM$47&lt;=$L72),$J72/$M72*HLOOKUP(AM$63,'FX Lookup'!$A$2:$Y$4,3,FALSE),0)</f>
        <v>0</v>
      </c>
      <c r="AN72" s="178">
        <f t="shared" si="38"/>
        <v>0</v>
      </c>
      <c r="AP72" s="152"/>
      <c r="AQ72" s="152"/>
      <c r="AR72" s="152"/>
      <c r="AS72" s="152"/>
      <c r="AT72" s="152"/>
      <c r="AU72" s="152"/>
      <c r="AV72" s="152"/>
      <c r="AW72" s="152"/>
      <c r="AX72" s="152"/>
      <c r="AY72" s="152"/>
      <c r="AZ72" s="152"/>
      <c r="BA72" s="152"/>
      <c r="BB72" s="152"/>
      <c r="BC72" s="152"/>
      <c r="BD72" s="152"/>
    </row>
    <row r="73" spans="1:56" ht="13.5" customHeight="1" thickBot="1">
      <c r="A73" s="171">
        <f t="shared" si="34"/>
        <v>10</v>
      </c>
      <c r="B73" s="171" t="str">
        <f>+B72</f>
        <v>ACPLHK</v>
      </c>
      <c r="C73" s="171"/>
      <c r="D73" s="172">
        <f t="shared" si="30"/>
        <v>0</v>
      </c>
      <c r="E73" s="172"/>
      <c r="F73" s="172"/>
      <c r="G73" s="77" t="s">
        <v>2613</v>
      </c>
      <c r="H73" s="173" t="s">
        <v>2614</v>
      </c>
      <c r="I73" s="173" t="s">
        <v>2368</v>
      </c>
      <c r="J73" s="535"/>
      <c r="K73" s="456">
        <f t="shared" si="31"/>
        <v>46023</v>
      </c>
      <c r="L73" s="456">
        <f t="shared" si="32"/>
        <v>46387</v>
      </c>
      <c r="M73" s="176">
        <f t="shared" si="33"/>
        <v>12</v>
      </c>
      <c r="N73" s="177">
        <f>IF(AND($K73&lt;=N$47,N$47&lt;=$L73),$J73/$M73*HLOOKUP(N$63,'FX Lookup'!$A$2:$Y$4,3,FALSE),0)</f>
        <v>0</v>
      </c>
      <c r="O73" s="177">
        <f>IF(AND($K73&lt;=O$47,O$47&lt;=$L73),$J73/$M73*HLOOKUP(O$63,'FX Lookup'!$A$2:$Y$4,3,FALSE),0)</f>
        <v>0</v>
      </c>
      <c r="P73" s="177">
        <f>IF(AND($K73&lt;=P$47,P$47&lt;=$L73),$J73/$M73*HLOOKUP(P$63,'FX Lookup'!$A$2:$Y$4,3,FALSE),0)</f>
        <v>0</v>
      </c>
      <c r="Q73" s="177">
        <f>IF(AND($K73&lt;=Q$47,Q$47&lt;=$L73),$J73/$M73*HLOOKUP(Q$63,'FX Lookup'!$A$2:$Y$4,3,FALSE),0)</f>
        <v>0</v>
      </c>
      <c r="R73" s="177">
        <f>IF(AND($K73&lt;=R$47,R$47&lt;=$L73),$J73/$M73*HLOOKUP(R$63,'FX Lookup'!$A$2:$Y$4,3,FALSE),0)</f>
        <v>0</v>
      </c>
      <c r="S73" s="177">
        <f>IF(AND($K73&lt;=S$47,S$47&lt;=$L73),$J73/$M73*HLOOKUP(S$63,'FX Lookup'!$A$2:$Y$4,3,FALSE),0)</f>
        <v>0</v>
      </c>
      <c r="T73" s="177">
        <f>IF(AND($K73&lt;=T$47,T$47&lt;=$L73),$J73/$M73*HLOOKUP(T$63,'FX Lookup'!$A$2:$Y$4,3,FALSE),0)</f>
        <v>0</v>
      </c>
      <c r="U73" s="177">
        <f>IF(AND($K73&lt;=U$47,U$47&lt;=$L73),$J73/$M73*HLOOKUP(U$63,'FX Lookup'!$A$2:$Y$4,3,FALSE),0)</f>
        <v>0</v>
      </c>
      <c r="V73" s="177">
        <f>IF(AND($K73&lt;=V$47,V$47&lt;=$L73),$J73/$M73*HLOOKUP(V$63,'FX Lookup'!$A$2:$Y$4,3,FALSE),0)</f>
        <v>0</v>
      </c>
      <c r="W73" s="177">
        <f>IF(AND($K73&lt;=W$47,W$47&lt;=$L73),$J73/$M73*HLOOKUP(W$63,'FX Lookup'!$A$2:$Y$4,3,FALSE),0)</f>
        <v>0</v>
      </c>
      <c r="X73" s="177">
        <f>IF(AND($K73&lt;=X$47,X$47&lt;=$L73),$J73/$M73*HLOOKUP(X$63,'FX Lookup'!$A$2:$Y$4,3,FALSE),0)</f>
        <v>0</v>
      </c>
      <c r="Y73" s="177">
        <f>IF(AND($K73&lt;=Y$47,Y$47&lt;=$L73),$J73/$M73*HLOOKUP(Y$63,'FX Lookup'!$A$2:$Y$4,3,FALSE),0)</f>
        <v>0</v>
      </c>
      <c r="Z73" s="178">
        <f t="shared" si="36"/>
        <v>0</v>
      </c>
      <c r="AA73" s="466">
        <f t="shared" si="37"/>
        <v>0</v>
      </c>
      <c r="AB73" s="177">
        <f>IF(AND($K73&lt;=AB$47,AB$47&lt;=$L73),$J73/$M73*HLOOKUP(AB$63,'FX Lookup'!$A$2:$Y$4,3,FALSE),0)</f>
        <v>0</v>
      </c>
      <c r="AC73" s="177">
        <f>IF(AND($K73&lt;=AC$47,AC$47&lt;=$L73),$J73/$M73*HLOOKUP(AC$63,'FX Lookup'!$A$2:$Y$4,3,FALSE),0)</f>
        <v>0</v>
      </c>
      <c r="AD73" s="177">
        <f>IF(AND($K73&lt;=AD$47,AD$47&lt;=$L73),$J73/$M73*HLOOKUP(AD$63,'FX Lookup'!$A$2:$Y$4,3,FALSE),0)</f>
        <v>0</v>
      </c>
      <c r="AE73" s="177">
        <f>IF(AND($K73&lt;=AE$47,AE$47&lt;=$L73),$J73/$M73*HLOOKUP(AE$63,'FX Lookup'!$A$2:$Y$4,3,FALSE),0)</f>
        <v>0</v>
      </c>
      <c r="AF73" s="177">
        <f>IF(AND($K73&lt;=AF$47,AF$47&lt;=$L73),$J73/$M73*HLOOKUP(AF$63,'FX Lookup'!$A$2:$Y$4,3,FALSE),0)</f>
        <v>0</v>
      </c>
      <c r="AG73" s="177">
        <f>IF(AND($K73&lt;=AG$47,AG$47&lt;=$L73),$J73/$M73*HLOOKUP(AG$63,'FX Lookup'!$A$2:$Y$4,3,FALSE),0)</f>
        <v>0</v>
      </c>
      <c r="AH73" s="177">
        <f>IF(AND($K73&lt;=AH$47,AH$47&lt;=$L73),$J73/$M73*HLOOKUP(AH$63,'FX Lookup'!$A$2:$Y$4,3,FALSE),0)</f>
        <v>0</v>
      </c>
      <c r="AI73" s="177">
        <f>IF(AND($K73&lt;=AI$47,AI$47&lt;=$L73),$J73/$M73*HLOOKUP(AI$63,'FX Lookup'!$A$2:$Y$4,3,FALSE),0)</f>
        <v>0</v>
      </c>
      <c r="AJ73" s="177">
        <f>IF(AND($K73&lt;=AJ$47,AJ$47&lt;=$L73),$J73/$M73*HLOOKUP(AJ$63,'FX Lookup'!$A$2:$Y$4,3,FALSE),0)</f>
        <v>0</v>
      </c>
      <c r="AK73" s="177">
        <f>IF(AND($K73&lt;=AK$47,AK$47&lt;=$L73),$J73/$M73*HLOOKUP(AK$63,'FX Lookup'!$A$2:$Y$4,3,FALSE),0)</f>
        <v>0</v>
      </c>
      <c r="AL73" s="177">
        <f>IF(AND($K73&lt;=AL$47,AL$47&lt;=$L73),$J73/$M73*HLOOKUP(AL$63,'FX Lookup'!$A$2:$Y$4,3,FALSE),0)</f>
        <v>0</v>
      </c>
      <c r="AM73" s="177">
        <f>IF(AND($K73&lt;=AM$47,AM$47&lt;=$L73),$J73/$M73*HLOOKUP(AM$63,'FX Lookup'!$A$2:$Y$4,3,FALSE),0)</f>
        <v>0</v>
      </c>
      <c r="AN73" s="178">
        <f t="shared" si="38"/>
        <v>0</v>
      </c>
      <c r="AP73" s="152"/>
      <c r="AQ73" s="152"/>
      <c r="AR73" s="152"/>
      <c r="AS73" s="152"/>
      <c r="AT73" s="152"/>
      <c r="AU73" s="152"/>
      <c r="AV73" s="152"/>
      <c r="AW73" s="152"/>
      <c r="AX73" s="152"/>
      <c r="AY73" s="152"/>
      <c r="AZ73" s="152"/>
      <c r="BA73" s="152"/>
      <c r="BB73" s="152"/>
      <c r="BC73" s="152"/>
      <c r="BD73" s="152"/>
    </row>
    <row r="74" spans="1:56" ht="26.1" customHeight="1" thickTop="1">
      <c r="A74" s="538"/>
      <c r="B74" s="539" t="str">
        <f t="shared" ref="B74:B76" si="39">B73</f>
        <v>ACPLHK</v>
      </c>
      <c r="C74" s="539"/>
      <c r="D74" s="540" t="s">
        <v>2115</v>
      </c>
      <c r="E74" s="541" t="str">
        <f>'CF-ACPL（合并）'!A26</f>
        <v>支付的其他与经营活动有关的现金（员工报销）</v>
      </c>
      <c r="F74" s="540"/>
      <c r="G74" s="542" t="s">
        <v>2613</v>
      </c>
      <c r="H74" s="543" t="s">
        <v>2614</v>
      </c>
      <c r="I74" s="543" t="s">
        <v>2368</v>
      </c>
      <c r="J74" s="544">
        <f ca="1">SUM(J64:J73)</f>
        <v>197200</v>
      </c>
      <c r="K74" s="545">
        <f t="shared" si="31"/>
        <v>46023</v>
      </c>
      <c r="L74" s="545">
        <f t="shared" si="32"/>
        <v>46387</v>
      </c>
      <c r="M74" s="546">
        <f t="shared" si="33"/>
        <v>12</v>
      </c>
      <c r="N74" s="547">
        <f ca="1">SUM(N64:N73)</f>
        <v>14625.502333333332</v>
      </c>
      <c r="O74" s="547">
        <f t="shared" ref="O74:Y74" ca="1" si="40">SUM(O64:O73)</f>
        <v>14497.486666666664</v>
      </c>
      <c r="P74" s="547">
        <f t="shared" ca="1" si="40"/>
        <v>14497.486666666664</v>
      </c>
      <c r="Q74" s="547">
        <f t="shared" ca="1" si="40"/>
        <v>14497.486666666664</v>
      </c>
      <c r="R74" s="547">
        <f t="shared" ca="1" si="40"/>
        <v>14497.486666666664</v>
      </c>
      <c r="S74" s="547">
        <f t="shared" ca="1" si="40"/>
        <v>14497.486666666664</v>
      </c>
      <c r="T74" s="547">
        <f t="shared" ca="1" si="40"/>
        <v>14497.486666666664</v>
      </c>
      <c r="U74" s="547">
        <f t="shared" ca="1" si="40"/>
        <v>14497.486666666664</v>
      </c>
      <c r="V74" s="547">
        <f t="shared" ca="1" si="40"/>
        <v>14497.486666666664</v>
      </c>
      <c r="W74" s="547">
        <f t="shared" ca="1" si="40"/>
        <v>14497.486666666664</v>
      </c>
      <c r="X74" s="547">
        <f t="shared" ca="1" si="40"/>
        <v>14497.486666666664</v>
      </c>
      <c r="Y74" s="547">
        <f t="shared" ca="1" si="40"/>
        <v>14497.486666666664</v>
      </c>
      <c r="Z74" s="558">
        <f t="shared" ca="1" si="36"/>
        <v>174097.85566666664</v>
      </c>
      <c r="AA74" s="466">
        <f t="shared" ca="1" si="37"/>
        <v>-23102.144333333359</v>
      </c>
      <c r="AB74" s="547">
        <f ca="1">SUM(AB64:AB73)</f>
        <v>14625.502333333332</v>
      </c>
      <c r="AC74" s="547">
        <f t="shared" ref="AC74:AM74" ca="1" si="41">SUM(AC64:AC73)</f>
        <v>14497.486666666664</v>
      </c>
      <c r="AD74" s="547">
        <f t="shared" ca="1" si="41"/>
        <v>14497.486666666664</v>
      </c>
      <c r="AE74" s="547">
        <f t="shared" ca="1" si="41"/>
        <v>14497.486666666664</v>
      </c>
      <c r="AF74" s="547">
        <f t="shared" ca="1" si="41"/>
        <v>14497.486666666664</v>
      </c>
      <c r="AG74" s="547">
        <f t="shared" ca="1" si="41"/>
        <v>14497.486666666664</v>
      </c>
      <c r="AH74" s="547">
        <f t="shared" ca="1" si="41"/>
        <v>14497.486666666664</v>
      </c>
      <c r="AI74" s="547">
        <f t="shared" ca="1" si="41"/>
        <v>14497.486666666664</v>
      </c>
      <c r="AJ74" s="547">
        <f t="shared" ca="1" si="41"/>
        <v>14497.486666666664</v>
      </c>
      <c r="AK74" s="547">
        <f t="shared" ca="1" si="41"/>
        <v>14497.486666666664</v>
      </c>
      <c r="AL74" s="547">
        <f t="shared" ca="1" si="41"/>
        <v>14497.486666666664</v>
      </c>
      <c r="AM74" s="547">
        <f t="shared" ca="1" si="41"/>
        <v>14497.486666666664</v>
      </c>
      <c r="AN74" s="558">
        <f t="shared" ca="1" si="38"/>
        <v>174097.85566666664</v>
      </c>
      <c r="AP74" s="152"/>
      <c r="AQ74" s="152"/>
      <c r="AR74" s="152"/>
      <c r="AS74" s="152"/>
      <c r="AT74" s="152"/>
      <c r="AU74" s="152"/>
      <c r="AV74" s="152"/>
      <c r="AW74" s="152"/>
      <c r="AX74" s="152"/>
      <c r="AY74" s="152"/>
      <c r="AZ74" s="152"/>
      <c r="BA74" s="152"/>
      <c r="BB74" s="152"/>
      <c r="BC74" s="152"/>
      <c r="BD74" s="152"/>
    </row>
    <row r="75" spans="1:56" ht="13.5" customHeight="1">
      <c r="A75" s="548"/>
      <c r="B75" s="171" t="str">
        <f t="shared" si="39"/>
        <v>ACPLHK</v>
      </c>
      <c r="C75" s="171"/>
      <c r="D75" s="172" t="s">
        <v>2675</v>
      </c>
      <c r="E75" s="172"/>
      <c r="F75" s="549">
        <f ca="1">J75/$J$74</f>
        <v>0.47464503042596351</v>
      </c>
      <c r="G75" s="77" t="s">
        <v>2613</v>
      </c>
      <c r="H75" s="173" t="s">
        <v>2614</v>
      </c>
      <c r="I75" s="173" t="s">
        <v>2368</v>
      </c>
      <c r="J75" s="184">
        <f>SUMIFS($P$16:$P$44,$Q$16:$Q$44,$D$75,$B$16:$B$44,B64)+SUMIFS($T$16:$T$44,$Q$16:$Q$44,$D$75,$B$16:$B$44,B64)+J69</f>
        <v>93600</v>
      </c>
      <c r="K75" s="456">
        <f t="shared" si="31"/>
        <v>46023</v>
      </c>
      <c r="L75" s="456">
        <f t="shared" si="32"/>
        <v>46387</v>
      </c>
      <c r="M75" s="176">
        <f t="shared" si="33"/>
        <v>12</v>
      </c>
      <c r="N75" s="177">
        <f>IF(AND($K75&lt;=N$47,N$47&lt;=$L75),$J75/$M75*HLOOKUP(N$63,'FX Lookup'!$A$2:$Y$4,3,FALSE),0)</f>
        <v>6941.9219999999996</v>
      </c>
      <c r="O75" s="177">
        <f>IF(AND($K75&lt;=O$47,O$47&lt;=$L75),$J75/$M75*HLOOKUP(O$63,'FX Lookup'!$A$2:$Y$4,3,FALSE),0)</f>
        <v>6881.16</v>
      </c>
      <c r="P75" s="177">
        <f>IF(AND($K75&lt;=P$47,P$47&lt;=$L75),$J75/$M75*HLOOKUP(P$63,'FX Lookup'!$A$2:$Y$4,3,FALSE),0)</f>
        <v>6881.16</v>
      </c>
      <c r="Q75" s="177">
        <f>IF(AND($K75&lt;=Q$47,Q$47&lt;=$L75),$J75/$M75*HLOOKUP(Q$63,'FX Lookup'!$A$2:$Y$4,3,FALSE),0)</f>
        <v>6881.16</v>
      </c>
      <c r="R75" s="177">
        <f>IF(AND($K75&lt;=R$47,R$47&lt;=$L75),$J75/$M75*HLOOKUP(R$63,'FX Lookup'!$A$2:$Y$4,3,FALSE),0)</f>
        <v>6881.16</v>
      </c>
      <c r="S75" s="177">
        <f>IF(AND($K75&lt;=S$47,S$47&lt;=$L75),$J75/$M75*HLOOKUP(S$63,'FX Lookup'!$A$2:$Y$4,3,FALSE),0)</f>
        <v>6881.16</v>
      </c>
      <c r="T75" s="177">
        <f>IF(AND($K75&lt;=T$47,T$47&lt;=$L75),$J75/$M75*HLOOKUP(T$63,'FX Lookup'!$A$2:$Y$4,3,FALSE),0)</f>
        <v>6881.16</v>
      </c>
      <c r="U75" s="177">
        <f>IF(AND($K75&lt;=U$47,U$47&lt;=$L75),$J75/$M75*HLOOKUP(U$63,'FX Lookup'!$A$2:$Y$4,3,FALSE),0)</f>
        <v>6881.16</v>
      </c>
      <c r="V75" s="177">
        <f>IF(AND($K75&lt;=V$47,V$47&lt;=$L75),$J75/$M75*HLOOKUP(V$63,'FX Lookup'!$A$2:$Y$4,3,FALSE),0)</f>
        <v>6881.16</v>
      </c>
      <c r="W75" s="177">
        <f>IF(AND($K75&lt;=W$47,W$47&lt;=$L75),$J75/$M75*HLOOKUP(W$63,'FX Lookup'!$A$2:$Y$4,3,FALSE),0)</f>
        <v>6881.16</v>
      </c>
      <c r="X75" s="177">
        <f>IF(AND($K75&lt;=X$47,X$47&lt;=$L75),$J75/$M75*HLOOKUP(X$63,'FX Lookup'!$A$2:$Y$4,3,FALSE),0)</f>
        <v>6881.16</v>
      </c>
      <c r="Y75" s="177">
        <f>IF(AND($K75&lt;=Y$47,Y$47&lt;=$L75),$J75/$M75*HLOOKUP(Y$63,'FX Lookup'!$A$2:$Y$4,3,FALSE),0)</f>
        <v>6881.16</v>
      </c>
      <c r="Z75" s="558">
        <f t="shared" si="36"/>
        <v>82634.682000000015</v>
      </c>
      <c r="AA75" s="466">
        <f t="shared" si="37"/>
        <v>-10965.317999999985</v>
      </c>
      <c r="AB75" s="177">
        <f>IF(AND($K75&lt;=AB$47,AB$47&lt;=$L75),$J75/$M75*HLOOKUP(AB$63,'FX Lookup'!$A$2:$Y$4,3,FALSE),0)</f>
        <v>6941.9219999999996</v>
      </c>
      <c r="AC75" s="177">
        <f>IF(AND($K75&lt;=AC$47,AC$47&lt;=$L75),$J75/$M75*HLOOKUP(AC$63,'FX Lookup'!$A$2:$Y$4,3,FALSE),0)</f>
        <v>6881.16</v>
      </c>
      <c r="AD75" s="177">
        <f>IF(AND($K75&lt;=AD$47,AD$47&lt;=$L75),$J75/$M75*HLOOKUP(AD$63,'FX Lookup'!$A$2:$Y$4,3,FALSE),0)</f>
        <v>6881.16</v>
      </c>
      <c r="AE75" s="177">
        <f>IF(AND($K75&lt;=AE$47,AE$47&lt;=$L75),$J75/$M75*HLOOKUP(AE$63,'FX Lookup'!$A$2:$Y$4,3,FALSE),0)</f>
        <v>6881.16</v>
      </c>
      <c r="AF75" s="177">
        <f>IF(AND($K75&lt;=AF$47,AF$47&lt;=$L75),$J75/$M75*HLOOKUP(AF$63,'FX Lookup'!$A$2:$Y$4,3,FALSE),0)</f>
        <v>6881.16</v>
      </c>
      <c r="AG75" s="177">
        <f>IF(AND($K75&lt;=AG$47,AG$47&lt;=$L75),$J75/$M75*HLOOKUP(AG$63,'FX Lookup'!$A$2:$Y$4,3,FALSE),0)</f>
        <v>6881.16</v>
      </c>
      <c r="AH75" s="177">
        <f>IF(AND($K75&lt;=AH$47,AH$47&lt;=$L75),$J75/$M75*HLOOKUP(AH$63,'FX Lookup'!$A$2:$Y$4,3,FALSE),0)</f>
        <v>6881.16</v>
      </c>
      <c r="AI75" s="177">
        <f>IF(AND($K75&lt;=AI$47,AI$47&lt;=$L75),$J75/$M75*HLOOKUP(AI$63,'FX Lookup'!$A$2:$Y$4,3,FALSE),0)</f>
        <v>6881.16</v>
      </c>
      <c r="AJ75" s="177">
        <f>IF(AND($K75&lt;=AJ$47,AJ$47&lt;=$L75),$J75/$M75*HLOOKUP(AJ$63,'FX Lookup'!$A$2:$Y$4,3,FALSE),0)</f>
        <v>6881.16</v>
      </c>
      <c r="AK75" s="177">
        <f>IF(AND($K75&lt;=AK$47,AK$47&lt;=$L75),$J75/$M75*HLOOKUP(AK$63,'FX Lookup'!$A$2:$Y$4,3,FALSE),0)</f>
        <v>6881.16</v>
      </c>
      <c r="AL75" s="177">
        <f>IF(AND($K75&lt;=AL$47,AL$47&lt;=$L75),$J75/$M75*HLOOKUP(AL$63,'FX Lookup'!$A$2:$Y$4,3,FALSE),0)</f>
        <v>6881.16</v>
      </c>
      <c r="AM75" s="177">
        <f>IF(AND($K75&lt;=AM$47,AM$47&lt;=$L75),$J75/$M75*HLOOKUP(AM$63,'FX Lookup'!$A$2:$Y$4,3,FALSE),0)</f>
        <v>6881.16</v>
      </c>
      <c r="AN75" s="558">
        <f t="shared" si="38"/>
        <v>82634.682000000015</v>
      </c>
      <c r="AP75" s="152"/>
      <c r="AQ75" s="152"/>
      <c r="AR75" s="152"/>
      <c r="AS75" s="152"/>
      <c r="AT75" s="152"/>
      <c r="AU75" s="152"/>
      <c r="AV75" s="152"/>
      <c r="AW75" s="152"/>
      <c r="AX75" s="152"/>
      <c r="AY75" s="152"/>
      <c r="AZ75" s="152"/>
      <c r="BA75" s="152"/>
      <c r="BB75" s="152"/>
      <c r="BC75" s="152"/>
      <c r="BD75" s="152"/>
    </row>
    <row r="76" spans="1:56" ht="13.5" customHeight="1" thickBot="1">
      <c r="A76" s="550"/>
      <c r="B76" s="551" t="str">
        <f t="shared" si="39"/>
        <v>ACPLHK</v>
      </c>
      <c r="C76" s="551"/>
      <c r="D76" s="552" t="s">
        <v>2673</v>
      </c>
      <c r="E76" s="552"/>
      <c r="F76" s="549">
        <f ca="1">J76/$J$74</f>
        <v>0.52535496957403649</v>
      </c>
      <c r="G76" s="553" t="s">
        <v>2613</v>
      </c>
      <c r="H76" s="554" t="s">
        <v>2614</v>
      </c>
      <c r="I76" s="554" t="s">
        <v>2368</v>
      </c>
      <c r="J76" s="555">
        <f ca="1">J74-J75</f>
        <v>103600</v>
      </c>
      <c r="K76" s="556">
        <f t="shared" si="31"/>
        <v>46023</v>
      </c>
      <c r="L76" s="556">
        <f t="shared" si="32"/>
        <v>46387</v>
      </c>
      <c r="M76" s="557">
        <f t="shared" si="33"/>
        <v>12</v>
      </c>
      <c r="N76" s="177">
        <f ca="1">IF(AND($K76&lt;=N$47,N$47&lt;=$L76),$J76/$M76*HLOOKUP(N$63,'FX Lookup'!$A$2:$Y$4,3,FALSE),0)</f>
        <v>7683.5803333333333</v>
      </c>
      <c r="O76" s="177">
        <f ca="1">IF(AND($K76&lt;=O$47,O$47&lt;=$L76),$J76/$M76*HLOOKUP(O$63,'FX Lookup'!$A$2:$Y$4,3,FALSE),0)</f>
        <v>7616.3266666666668</v>
      </c>
      <c r="P76" s="177">
        <f ca="1">IF(AND($K76&lt;=P$47,P$47&lt;=$L76),$J76/$M76*HLOOKUP(P$63,'FX Lookup'!$A$2:$Y$4,3,FALSE),0)</f>
        <v>7616.3266666666668</v>
      </c>
      <c r="Q76" s="177">
        <f ca="1">IF(AND($K76&lt;=Q$47,Q$47&lt;=$L76),$J76/$M76*HLOOKUP(Q$63,'FX Lookup'!$A$2:$Y$4,3,FALSE),0)</f>
        <v>7616.3266666666668</v>
      </c>
      <c r="R76" s="177">
        <f ca="1">IF(AND($K76&lt;=R$47,R$47&lt;=$L76),$J76/$M76*HLOOKUP(R$63,'FX Lookup'!$A$2:$Y$4,3,FALSE),0)</f>
        <v>7616.3266666666668</v>
      </c>
      <c r="S76" s="177">
        <f ca="1">IF(AND($K76&lt;=S$47,S$47&lt;=$L76),$J76/$M76*HLOOKUP(S$63,'FX Lookup'!$A$2:$Y$4,3,FALSE),0)</f>
        <v>7616.3266666666668</v>
      </c>
      <c r="T76" s="177">
        <f ca="1">IF(AND($K76&lt;=T$47,T$47&lt;=$L76),$J76/$M76*HLOOKUP(T$63,'FX Lookup'!$A$2:$Y$4,3,FALSE),0)</f>
        <v>7616.3266666666668</v>
      </c>
      <c r="U76" s="177">
        <f ca="1">IF(AND($K76&lt;=U$47,U$47&lt;=$L76),$J76/$M76*HLOOKUP(U$63,'FX Lookup'!$A$2:$Y$4,3,FALSE),0)</f>
        <v>7616.3266666666668</v>
      </c>
      <c r="V76" s="177">
        <f ca="1">IF(AND($K76&lt;=V$47,V$47&lt;=$L76),$J76/$M76*HLOOKUP(V$63,'FX Lookup'!$A$2:$Y$4,3,FALSE),0)</f>
        <v>7616.3266666666668</v>
      </c>
      <c r="W76" s="177">
        <f ca="1">IF(AND($K76&lt;=W$47,W$47&lt;=$L76),$J76/$M76*HLOOKUP(W$63,'FX Lookup'!$A$2:$Y$4,3,FALSE),0)</f>
        <v>7616.3266666666668</v>
      </c>
      <c r="X76" s="177">
        <f ca="1">IF(AND($K76&lt;=X$47,X$47&lt;=$L76),$J76/$M76*HLOOKUP(X$63,'FX Lookup'!$A$2:$Y$4,3,FALSE),0)</f>
        <v>7616.3266666666668</v>
      </c>
      <c r="Y76" s="177">
        <f ca="1">IF(AND($K76&lt;=Y$47,Y$47&lt;=$L76),$J76/$M76*HLOOKUP(Y$63,'FX Lookup'!$A$2:$Y$4,3,FALSE),0)</f>
        <v>7616.3266666666668</v>
      </c>
      <c r="Z76" s="558">
        <f t="shared" ca="1" si="36"/>
        <v>91463.173666666655</v>
      </c>
      <c r="AA76" s="466">
        <f t="shared" ca="1" si="37"/>
        <v>-12136.826333333345</v>
      </c>
      <c r="AB76" s="177">
        <f ca="1">IF(AND($K76&lt;=AB$47,AB$47&lt;=$L76),$J76/$M76*HLOOKUP(AB$63,'FX Lookup'!$A$2:$Y$4,3,FALSE),0)</f>
        <v>7683.5803333333333</v>
      </c>
      <c r="AC76" s="177">
        <f ca="1">IF(AND($K76&lt;=AC$47,AC$47&lt;=$L76),$J76/$M76*HLOOKUP(AC$63,'FX Lookup'!$A$2:$Y$4,3,FALSE),0)</f>
        <v>7616.3266666666668</v>
      </c>
      <c r="AD76" s="177">
        <f ca="1">IF(AND($K76&lt;=AD$47,AD$47&lt;=$L76),$J76/$M76*HLOOKUP(AD$63,'FX Lookup'!$A$2:$Y$4,3,FALSE),0)</f>
        <v>7616.3266666666668</v>
      </c>
      <c r="AE76" s="177">
        <f ca="1">IF(AND($K76&lt;=AE$47,AE$47&lt;=$L76),$J76/$M76*HLOOKUP(AE$63,'FX Lookup'!$A$2:$Y$4,3,FALSE),0)</f>
        <v>7616.3266666666668</v>
      </c>
      <c r="AF76" s="177">
        <f ca="1">IF(AND($K76&lt;=AF$47,AF$47&lt;=$L76),$J76/$M76*HLOOKUP(AF$63,'FX Lookup'!$A$2:$Y$4,3,FALSE),0)</f>
        <v>7616.3266666666668</v>
      </c>
      <c r="AG76" s="177">
        <f ca="1">IF(AND($K76&lt;=AG$47,AG$47&lt;=$L76),$J76/$M76*HLOOKUP(AG$63,'FX Lookup'!$A$2:$Y$4,3,FALSE),0)</f>
        <v>7616.3266666666668</v>
      </c>
      <c r="AH76" s="177">
        <f ca="1">IF(AND($K76&lt;=AH$47,AH$47&lt;=$L76),$J76/$M76*HLOOKUP(AH$63,'FX Lookup'!$A$2:$Y$4,3,FALSE),0)</f>
        <v>7616.3266666666668</v>
      </c>
      <c r="AI76" s="177">
        <f ca="1">IF(AND($K76&lt;=AI$47,AI$47&lt;=$L76),$J76/$M76*HLOOKUP(AI$63,'FX Lookup'!$A$2:$Y$4,3,FALSE),0)</f>
        <v>7616.3266666666668</v>
      </c>
      <c r="AJ76" s="177">
        <f ca="1">IF(AND($K76&lt;=AJ$47,AJ$47&lt;=$L76),$J76/$M76*HLOOKUP(AJ$63,'FX Lookup'!$A$2:$Y$4,3,FALSE),0)</f>
        <v>7616.3266666666668</v>
      </c>
      <c r="AK76" s="177">
        <f ca="1">IF(AND($K76&lt;=AK$47,AK$47&lt;=$L76),$J76/$M76*HLOOKUP(AK$63,'FX Lookup'!$A$2:$Y$4,3,FALSE),0)</f>
        <v>7616.3266666666668</v>
      </c>
      <c r="AL76" s="177">
        <f ca="1">IF(AND($K76&lt;=AL$47,AL$47&lt;=$L76),$J76/$M76*HLOOKUP(AL$63,'FX Lookup'!$A$2:$Y$4,3,FALSE),0)</f>
        <v>7616.3266666666668</v>
      </c>
      <c r="AM76" s="177">
        <f ca="1">IF(AND($K76&lt;=AM$47,AM$47&lt;=$L76),$J76/$M76*HLOOKUP(AM$63,'FX Lookup'!$A$2:$Y$4,3,FALSE),0)</f>
        <v>7616.3266666666668</v>
      </c>
      <c r="AN76" s="558">
        <f t="shared" ca="1" si="38"/>
        <v>91463.173666666655</v>
      </c>
      <c r="AP76" s="152"/>
      <c r="AQ76" s="152"/>
      <c r="AR76" s="152"/>
      <c r="AS76" s="152"/>
      <c r="AT76" s="152"/>
      <c r="AU76" s="152"/>
      <c r="AV76" s="152"/>
      <c r="AW76" s="152"/>
      <c r="AX76" s="152"/>
      <c r="AY76" s="152"/>
      <c r="AZ76" s="152"/>
      <c r="BA76" s="152"/>
      <c r="BB76" s="152"/>
      <c r="BC76" s="152"/>
      <c r="BD76" s="152"/>
    </row>
    <row r="77" spans="1:56" ht="13.5" customHeight="1" thickTop="1">
      <c r="A77" s="1120"/>
      <c r="B77" s="1120"/>
      <c r="C77" s="1120"/>
      <c r="D77" s="1121"/>
      <c r="E77" s="1121"/>
      <c r="F77" s="1122"/>
      <c r="G77" s="63"/>
      <c r="H77" s="1123"/>
      <c r="I77" s="1123"/>
      <c r="J77" s="1124"/>
      <c r="K77" s="459"/>
      <c r="L77" s="459"/>
      <c r="M77" s="1125"/>
      <c r="N77" s="1126"/>
      <c r="O77" s="1126"/>
      <c r="P77" s="1126"/>
      <c r="Q77" s="1126"/>
      <c r="R77" s="1126"/>
      <c r="S77" s="1126"/>
      <c r="T77" s="1126"/>
      <c r="U77" s="1126"/>
      <c r="V77" s="1126"/>
      <c r="W77" s="1126"/>
      <c r="X77" s="1126"/>
      <c r="Y77" s="1126"/>
      <c r="Z77" s="1129"/>
      <c r="AA77" s="466"/>
      <c r="AB77" s="1126"/>
      <c r="AC77" s="1126"/>
      <c r="AD77" s="1126"/>
      <c r="AE77" s="1126"/>
      <c r="AF77" s="1126"/>
      <c r="AG77" s="1126"/>
      <c r="AH77" s="1126"/>
      <c r="AI77" s="1126"/>
      <c r="AJ77" s="1126"/>
      <c r="AK77" s="1126"/>
      <c r="AL77" s="1126"/>
      <c r="AM77" s="1126"/>
      <c r="AN77" s="1129"/>
      <c r="AP77" s="152"/>
      <c r="AQ77" s="152"/>
      <c r="AR77" s="152"/>
      <c r="AS77" s="152"/>
      <c r="AT77" s="152"/>
      <c r="AU77" s="152"/>
      <c r="AV77" s="152"/>
      <c r="AW77" s="152"/>
      <c r="AX77" s="152"/>
      <c r="AY77" s="152"/>
      <c r="AZ77" s="152"/>
      <c r="BA77" s="152"/>
      <c r="BB77" s="152"/>
      <c r="BC77" s="152"/>
      <c r="BD77" s="152"/>
    </row>
    <row r="78" spans="1:56" s="150" customFormat="1" ht="36.950000000000003" customHeight="1">
      <c r="A78" s="162"/>
      <c r="B78" s="526" t="s">
        <v>2598</v>
      </c>
      <c r="C78" s="527" t="s">
        <v>2600</v>
      </c>
      <c r="D78" s="528" t="str">
        <f>$D$47</f>
        <v>Travel and Entertainment</v>
      </c>
      <c r="E78" s="528" t="s">
        <v>2602</v>
      </c>
      <c r="F78" s="528" t="s">
        <v>2603</v>
      </c>
      <c r="G78" s="164" t="s">
        <v>2604</v>
      </c>
      <c r="H78" s="164" t="s">
        <v>2605</v>
      </c>
      <c r="I78" s="165" t="s">
        <v>2606</v>
      </c>
      <c r="J78" s="166" t="s">
        <v>2607</v>
      </c>
      <c r="K78" s="167" t="s">
        <v>2608</v>
      </c>
      <c r="L78" s="167" t="s">
        <v>2609</v>
      </c>
      <c r="M78" s="166" t="s">
        <v>2610</v>
      </c>
      <c r="N78" s="1132">
        <v>46023</v>
      </c>
      <c r="O78" s="1132">
        <v>46054</v>
      </c>
      <c r="P78" s="1132">
        <v>46082</v>
      </c>
      <c r="Q78" s="1132">
        <v>46113</v>
      </c>
      <c r="R78" s="1132">
        <v>46143</v>
      </c>
      <c r="S78" s="1132">
        <v>46174</v>
      </c>
      <c r="T78" s="1132">
        <v>46204</v>
      </c>
      <c r="U78" s="1132">
        <v>46235</v>
      </c>
      <c r="V78" s="1132">
        <v>46266</v>
      </c>
      <c r="W78" s="1132">
        <v>46296</v>
      </c>
      <c r="X78" s="1132">
        <v>46327</v>
      </c>
      <c r="Y78" s="1132">
        <v>46357</v>
      </c>
      <c r="Z78" s="168" t="s">
        <v>2115</v>
      </c>
      <c r="AA78" s="529"/>
      <c r="AB78" s="1132">
        <v>46023</v>
      </c>
      <c r="AC78" s="1132">
        <v>46054</v>
      </c>
      <c r="AD78" s="1132">
        <v>46082</v>
      </c>
      <c r="AE78" s="1132">
        <v>46113</v>
      </c>
      <c r="AF78" s="1132">
        <v>46143</v>
      </c>
      <c r="AG78" s="1132">
        <v>46174</v>
      </c>
      <c r="AH78" s="1132">
        <v>46204</v>
      </c>
      <c r="AI78" s="1132">
        <v>46235</v>
      </c>
      <c r="AJ78" s="1132">
        <v>46266</v>
      </c>
      <c r="AK78" s="1132">
        <v>46296</v>
      </c>
      <c r="AL78" s="1132">
        <v>46327</v>
      </c>
      <c r="AM78" s="1132">
        <v>46357</v>
      </c>
      <c r="AN78" s="168" t="s">
        <v>2115</v>
      </c>
      <c r="AO78" s="480"/>
      <c r="AP78" s="480"/>
      <c r="AQ78" s="480"/>
      <c r="AR78" s="480"/>
      <c r="AS78" s="480"/>
    </row>
    <row r="79" spans="1:56" ht="13.5" customHeight="1">
      <c r="A79" s="171">
        <v>1</v>
      </c>
      <c r="B79" s="171" t="s">
        <v>2113</v>
      </c>
      <c r="C79" s="171" t="s">
        <v>1704</v>
      </c>
      <c r="D79" s="172" t="str">
        <f t="shared" ref="D79:D88" si="42">D49</f>
        <v>Airfare - International</v>
      </c>
      <c r="E79" s="172"/>
      <c r="F79" s="172"/>
      <c r="G79" s="77" t="s">
        <v>2613</v>
      </c>
      <c r="H79" s="173" t="s">
        <v>2614</v>
      </c>
      <c r="I79" s="173" t="s">
        <v>2046</v>
      </c>
      <c r="J79" s="184">
        <f>SUMIF($B$16:$B$35,$B79,$T$16:$T$35)*VLOOKUP($D79,$T$11:$U$15,2,FALSE)</f>
        <v>0</v>
      </c>
      <c r="K79" s="456">
        <f t="shared" ref="K79:K91" si="43">$K$49</f>
        <v>46023</v>
      </c>
      <c r="L79" s="456">
        <f t="shared" ref="L79:L91" si="44">$L$49</f>
        <v>46387</v>
      </c>
      <c r="M79" s="462">
        <f t="shared" ref="M79:M91" si="45">IF(AND(K79="",L79=""),"-",IF(L79="",12,DATEDIF(K79,L79,"M")+1))</f>
        <v>12</v>
      </c>
      <c r="N79" s="177">
        <f t="shared" ref="N79:Y79" si="46">IF(AND($K79&lt;=N$47,N$47&lt;=$L79),$J79/$M79,0)</f>
        <v>0</v>
      </c>
      <c r="O79" s="177">
        <f t="shared" si="46"/>
        <v>0</v>
      </c>
      <c r="P79" s="177">
        <f t="shared" si="46"/>
        <v>0</v>
      </c>
      <c r="Q79" s="177">
        <f t="shared" si="46"/>
        <v>0</v>
      </c>
      <c r="R79" s="177">
        <f t="shared" si="46"/>
        <v>0</v>
      </c>
      <c r="S79" s="177">
        <f t="shared" si="46"/>
        <v>0</v>
      </c>
      <c r="T79" s="177">
        <f t="shared" si="46"/>
        <v>0</v>
      </c>
      <c r="U79" s="177">
        <f t="shared" si="46"/>
        <v>0</v>
      </c>
      <c r="V79" s="177">
        <f t="shared" si="46"/>
        <v>0</v>
      </c>
      <c r="W79" s="177">
        <f t="shared" si="46"/>
        <v>0</v>
      </c>
      <c r="X79" s="177">
        <f t="shared" si="46"/>
        <v>0</v>
      </c>
      <c r="Y79" s="177">
        <f t="shared" si="46"/>
        <v>0</v>
      </c>
      <c r="Z79" s="178">
        <f>SUM(N79:Y79)</f>
        <v>0</v>
      </c>
      <c r="AA79" s="466"/>
      <c r="AB79" s="177">
        <f t="shared" ref="AB79:AM91" si="47">IF(AND($K79&lt;=AB$47,AB$47&lt;=$L79),$J79/$M79,0)</f>
        <v>0</v>
      </c>
      <c r="AC79" s="177">
        <f t="shared" si="47"/>
        <v>0</v>
      </c>
      <c r="AD79" s="177">
        <f t="shared" si="47"/>
        <v>0</v>
      </c>
      <c r="AE79" s="177">
        <f t="shared" si="47"/>
        <v>0</v>
      </c>
      <c r="AF79" s="177">
        <f t="shared" si="47"/>
        <v>0</v>
      </c>
      <c r="AG79" s="177">
        <f t="shared" si="47"/>
        <v>0</v>
      </c>
      <c r="AH79" s="177">
        <f t="shared" si="47"/>
        <v>0</v>
      </c>
      <c r="AI79" s="177">
        <f t="shared" si="47"/>
        <v>0</v>
      </c>
      <c r="AJ79" s="177">
        <f t="shared" si="47"/>
        <v>0</v>
      </c>
      <c r="AK79" s="177">
        <f t="shared" si="47"/>
        <v>0</v>
      </c>
      <c r="AL79" s="177">
        <f t="shared" si="47"/>
        <v>0</v>
      </c>
      <c r="AM79" s="177">
        <f t="shared" si="47"/>
        <v>0</v>
      </c>
      <c r="AN79" s="178">
        <f>SUM(AB79:AM79)</f>
        <v>0</v>
      </c>
      <c r="AO79" s="467"/>
      <c r="AT79" s="152"/>
      <c r="AU79" s="152"/>
      <c r="AV79" s="152"/>
      <c r="AW79" s="152"/>
      <c r="AX79" s="152"/>
      <c r="AY79" s="152"/>
      <c r="AZ79" s="152"/>
      <c r="BA79" s="152"/>
      <c r="BB79" s="152"/>
      <c r="BC79" s="152"/>
      <c r="BD79" s="152"/>
    </row>
    <row r="80" spans="1:56" ht="13.5" customHeight="1">
      <c r="A80" s="171">
        <f t="shared" ref="A80:A88" si="48">IF(A79&lt;=0,FALSE,A79+1)</f>
        <v>2</v>
      </c>
      <c r="B80" s="171" t="str">
        <f t="shared" ref="B80:B88" si="49">+B79</f>
        <v>ACPLGZ</v>
      </c>
      <c r="C80" s="171" t="s">
        <v>1704</v>
      </c>
      <c r="D80" s="172" t="str">
        <f t="shared" si="42"/>
        <v>Airfare - Domestic</v>
      </c>
      <c r="E80" s="172"/>
      <c r="F80" s="172"/>
      <c r="G80" s="77" t="s">
        <v>2613</v>
      </c>
      <c r="H80" s="173" t="s">
        <v>2614</v>
      </c>
      <c r="I80" s="173" t="s">
        <v>2046</v>
      </c>
      <c r="J80" s="184">
        <f>SUMIF($B$16:$B$35,$B80,$O$16:$O$35)*VLOOKUP($D80,$O$11:$P$15,2,FALSE)</f>
        <v>0</v>
      </c>
      <c r="K80" s="456">
        <f t="shared" si="43"/>
        <v>46023</v>
      </c>
      <c r="L80" s="456">
        <f t="shared" si="44"/>
        <v>46387</v>
      </c>
      <c r="M80" s="462">
        <f t="shared" si="45"/>
        <v>12</v>
      </c>
      <c r="N80" s="177">
        <f t="shared" ref="N80:Y80" si="50">IF(AND($K80&lt;=N$47,N$47&lt;=$L80),$J80/$M80,0)</f>
        <v>0</v>
      </c>
      <c r="O80" s="177">
        <f t="shared" si="50"/>
        <v>0</v>
      </c>
      <c r="P80" s="177">
        <f t="shared" si="50"/>
        <v>0</v>
      </c>
      <c r="Q80" s="177">
        <f t="shared" si="50"/>
        <v>0</v>
      </c>
      <c r="R80" s="177">
        <f t="shared" si="50"/>
        <v>0</v>
      </c>
      <c r="S80" s="177">
        <f t="shared" si="50"/>
        <v>0</v>
      </c>
      <c r="T80" s="177">
        <f t="shared" si="50"/>
        <v>0</v>
      </c>
      <c r="U80" s="177">
        <f t="shared" si="50"/>
        <v>0</v>
      </c>
      <c r="V80" s="177">
        <f t="shared" si="50"/>
        <v>0</v>
      </c>
      <c r="W80" s="177">
        <f t="shared" si="50"/>
        <v>0</v>
      </c>
      <c r="X80" s="177">
        <f t="shared" si="50"/>
        <v>0</v>
      </c>
      <c r="Y80" s="177">
        <f t="shared" si="50"/>
        <v>0</v>
      </c>
      <c r="Z80" s="178">
        <f t="shared" ref="Z80:Z91" si="51">SUM(N80:Y80)</f>
        <v>0</v>
      </c>
      <c r="AA80" s="466"/>
      <c r="AB80" s="177">
        <f t="shared" si="47"/>
        <v>0</v>
      </c>
      <c r="AC80" s="177">
        <f t="shared" si="47"/>
        <v>0</v>
      </c>
      <c r="AD80" s="177">
        <f t="shared" si="47"/>
        <v>0</v>
      </c>
      <c r="AE80" s="177">
        <f t="shared" si="47"/>
        <v>0</v>
      </c>
      <c r="AF80" s="177">
        <f t="shared" si="47"/>
        <v>0</v>
      </c>
      <c r="AG80" s="177">
        <f t="shared" si="47"/>
        <v>0</v>
      </c>
      <c r="AH80" s="177">
        <f t="shared" si="47"/>
        <v>0</v>
      </c>
      <c r="AI80" s="177">
        <f t="shared" si="47"/>
        <v>0</v>
      </c>
      <c r="AJ80" s="177">
        <f t="shared" si="47"/>
        <v>0</v>
      </c>
      <c r="AK80" s="177">
        <f t="shared" si="47"/>
        <v>0</v>
      </c>
      <c r="AL80" s="177">
        <f t="shared" si="47"/>
        <v>0</v>
      </c>
      <c r="AM80" s="177">
        <f t="shared" si="47"/>
        <v>0</v>
      </c>
      <c r="AN80" s="178">
        <f t="shared" ref="AN80:AN91" si="52">SUM(AB80:AM80)</f>
        <v>0</v>
      </c>
      <c r="AO80" s="467"/>
      <c r="AT80" s="152"/>
      <c r="AU80" s="152"/>
      <c r="AV80" s="152"/>
      <c r="AW80" s="152"/>
      <c r="AX80" s="152"/>
      <c r="AY80" s="152"/>
      <c r="AZ80" s="152"/>
      <c r="BA80" s="152"/>
      <c r="BB80" s="152"/>
      <c r="BC80" s="152"/>
      <c r="BD80" s="152"/>
    </row>
    <row r="81" spans="1:56" ht="13.5" customHeight="1">
      <c r="A81" s="171">
        <f t="shared" si="48"/>
        <v>3</v>
      </c>
      <c r="B81" s="171" t="str">
        <f t="shared" si="49"/>
        <v>ACPLGZ</v>
      </c>
      <c r="C81" s="171" t="s">
        <v>1690</v>
      </c>
      <c r="D81" s="172" t="str">
        <f t="shared" si="42"/>
        <v>Hotels</v>
      </c>
      <c r="E81" s="172"/>
      <c r="F81" s="172"/>
      <c r="G81" s="77" t="s">
        <v>2613</v>
      </c>
      <c r="H81" s="173" t="s">
        <v>2614</v>
      </c>
      <c r="I81" s="173" t="s">
        <v>2046</v>
      </c>
      <c r="J81" s="184">
        <f ca="1">SUMIF($B$16:$B$35,$B81,$T$16:$T$33)*VLOOKUP($D81,$T$11:$U$15,2,FALSE)+SUMIF($B$16:$B$33,$B81,$O$16:$O$35)*VLOOKUP($D81,$O$11:$P$15,2,FALSE)+SUMIF($B$16:$B$33,$B81,$K$16:$K$35)*VLOOKUP($D81,$L$11:$M$15,2,FALSE)</f>
        <v>0</v>
      </c>
      <c r="K81" s="456">
        <f t="shared" si="43"/>
        <v>46023</v>
      </c>
      <c r="L81" s="456">
        <f t="shared" si="44"/>
        <v>46387</v>
      </c>
      <c r="M81" s="462">
        <f t="shared" si="45"/>
        <v>12</v>
      </c>
      <c r="N81" s="177">
        <f t="shared" ref="N81:Y81" ca="1" si="53">IF(AND($K81&lt;=N$47,N$47&lt;=$L81),$J81/$M81,0)</f>
        <v>0</v>
      </c>
      <c r="O81" s="177">
        <f t="shared" ca="1" si="53"/>
        <v>0</v>
      </c>
      <c r="P81" s="177">
        <f t="shared" ca="1" si="53"/>
        <v>0</v>
      </c>
      <c r="Q81" s="177">
        <f t="shared" ca="1" si="53"/>
        <v>0</v>
      </c>
      <c r="R81" s="177">
        <f t="shared" ca="1" si="53"/>
        <v>0</v>
      </c>
      <c r="S81" s="177">
        <f t="shared" ca="1" si="53"/>
        <v>0</v>
      </c>
      <c r="T81" s="177">
        <f t="shared" ca="1" si="53"/>
        <v>0</v>
      </c>
      <c r="U81" s="177">
        <f t="shared" ca="1" si="53"/>
        <v>0</v>
      </c>
      <c r="V81" s="177">
        <f t="shared" ca="1" si="53"/>
        <v>0</v>
      </c>
      <c r="W81" s="177">
        <f t="shared" ca="1" si="53"/>
        <v>0</v>
      </c>
      <c r="X81" s="177">
        <f t="shared" ca="1" si="53"/>
        <v>0</v>
      </c>
      <c r="Y81" s="177">
        <f t="shared" ca="1" si="53"/>
        <v>0</v>
      </c>
      <c r="Z81" s="178">
        <f t="shared" ca="1" si="51"/>
        <v>0</v>
      </c>
      <c r="AA81" s="466"/>
      <c r="AB81" s="177">
        <f t="shared" ca="1" si="47"/>
        <v>0</v>
      </c>
      <c r="AC81" s="177">
        <f t="shared" ca="1" si="47"/>
        <v>0</v>
      </c>
      <c r="AD81" s="177">
        <f t="shared" ca="1" si="47"/>
        <v>0</v>
      </c>
      <c r="AE81" s="177">
        <f t="shared" ca="1" si="47"/>
        <v>0</v>
      </c>
      <c r="AF81" s="177">
        <f t="shared" ca="1" si="47"/>
        <v>0</v>
      </c>
      <c r="AG81" s="177">
        <f t="shared" ca="1" si="47"/>
        <v>0</v>
      </c>
      <c r="AH81" s="177">
        <f t="shared" ca="1" si="47"/>
        <v>0</v>
      </c>
      <c r="AI81" s="177">
        <f t="shared" ca="1" si="47"/>
        <v>0</v>
      </c>
      <c r="AJ81" s="177">
        <f t="shared" ca="1" si="47"/>
        <v>0</v>
      </c>
      <c r="AK81" s="177">
        <f t="shared" ca="1" si="47"/>
        <v>0</v>
      </c>
      <c r="AL81" s="177">
        <f t="shared" ca="1" si="47"/>
        <v>0</v>
      </c>
      <c r="AM81" s="177">
        <f t="shared" ca="1" si="47"/>
        <v>0</v>
      </c>
      <c r="AN81" s="178">
        <f t="shared" ca="1" si="52"/>
        <v>0</v>
      </c>
      <c r="AO81" s="467"/>
      <c r="AT81" s="152"/>
      <c r="AU81" s="152"/>
      <c r="AV81" s="152"/>
      <c r="AW81" s="152"/>
      <c r="AX81" s="152"/>
      <c r="AY81" s="152"/>
      <c r="AZ81" s="152"/>
      <c r="BA81" s="152"/>
      <c r="BB81" s="152"/>
      <c r="BC81" s="152"/>
      <c r="BD81" s="152"/>
    </row>
    <row r="82" spans="1:56" ht="13.5" customHeight="1">
      <c r="A82" s="171">
        <f t="shared" si="48"/>
        <v>4</v>
      </c>
      <c r="B82" s="171" t="str">
        <f t="shared" si="49"/>
        <v>ACPLGZ</v>
      </c>
      <c r="C82" s="171" t="s">
        <v>1699</v>
      </c>
      <c r="D82" s="172" t="str">
        <f t="shared" si="42"/>
        <v>Ground transportation</v>
      </c>
      <c r="E82" s="172"/>
      <c r="F82" s="172"/>
      <c r="G82" s="77" t="s">
        <v>2613</v>
      </c>
      <c r="H82" s="173" t="s">
        <v>2614</v>
      </c>
      <c r="I82" s="173" t="s">
        <v>2046</v>
      </c>
      <c r="J82" s="184">
        <f>300*6</f>
        <v>1800</v>
      </c>
      <c r="K82" s="456">
        <f t="shared" si="43"/>
        <v>46023</v>
      </c>
      <c r="L82" s="456">
        <f t="shared" si="44"/>
        <v>46387</v>
      </c>
      <c r="M82" s="462">
        <f t="shared" si="45"/>
        <v>12</v>
      </c>
      <c r="N82" s="177">
        <f t="shared" ref="N82:Y82" si="54">IF(AND($K82&lt;=N$47,N$47&lt;=$L82),$J82/$M82,0)</f>
        <v>150</v>
      </c>
      <c r="O82" s="177">
        <f t="shared" si="54"/>
        <v>150</v>
      </c>
      <c r="P82" s="177">
        <f t="shared" si="54"/>
        <v>150</v>
      </c>
      <c r="Q82" s="177">
        <f t="shared" si="54"/>
        <v>150</v>
      </c>
      <c r="R82" s="177">
        <f t="shared" si="54"/>
        <v>150</v>
      </c>
      <c r="S82" s="177">
        <f t="shared" si="54"/>
        <v>150</v>
      </c>
      <c r="T82" s="177">
        <f t="shared" si="54"/>
        <v>150</v>
      </c>
      <c r="U82" s="177">
        <f t="shared" si="54"/>
        <v>150</v>
      </c>
      <c r="V82" s="177">
        <f t="shared" si="54"/>
        <v>150</v>
      </c>
      <c r="W82" s="177">
        <f t="shared" si="54"/>
        <v>150</v>
      </c>
      <c r="X82" s="177">
        <f t="shared" si="54"/>
        <v>150</v>
      </c>
      <c r="Y82" s="177">
        <f t="shared" si="54"/>
        <v>150</v>
      </c>
      <c r="Z82" s="178">
        <f t="shared" si="51"/>
        <v>1800</v>
      </c>
      <c r="AA82" s="466"/>
      <c r="AB82" s="177">
        <f t="shared" si="47"/>
        <v>150</v>
      </c>
      <c r="AC82" s="177">
        <f t="shared" si="47"/>
        <v>150</v>
      </c>
      <c r="AD82" s="177">
        <f t="shared" si="47"/>
        <v>150</v>
      </c>
      <c r="AE82" s="177">
        <f t="shared" si="47"/>
        <v>150</v>
      </c>
      <c r="AF82" s="177">
        <f t="shared" si="47"/>
        <v>150</v>
      </c>
      <c r="AG82" s="177">
        <f t="shared" si="47"/>
        <v>150</v>
      </c>
      <c r="AH82" s="177">
        <f t="shared" si="47"/>
        <v>150</v>
      </c>
      <c r="AI82" s="177">
        <f t="shared" si="47"/>
        <v>150</v>
      </c>
      <c r="AJ82" s="177">
        <f t="shared" si="47"/>
        <v>150</v>
      </c>
      <c r="AK82" s="177">
        <f t="shared" si="47"/>
        <v>150</v>
      </c>
      <c r="AL82" s="177">
        <f t="shared" si="47"/>
        <v>150</v>
      </c>
      <c r="AM82" s="177">
        <f t="shared" si="47"/>
        <v>150</v>
      </c>
      <c r="AN82" s="178">
        <f t="shared" si="52"/>
        <v>1800</v>
      </c>
      <c r="AO82" s="467"/>
      <c r="AT82" s="152"/>
      <c r="AU82" s="152"/>
      <c r="AV82" s="152"/>
      <c r="AW82" s="152"/>
      <c r="AX82" s="152"/>
      <c r="AY82" s="152"/>
      <c r="AZ82" s="152"/>
      <c r="BA82" s="152"/>
      <c r="BB82" s="152"/>
      <c r="BC82" s="152"/>
      <c r="BD82" s="152"/>
    </row>
    <row r="83" spans="1:56" ht="13.5" customHeight="1">
      <c r="A83" s="171">
        <f t="shared" si="48"/>
        <v>5</v>
      </c>
      <c r="B83" s="171" t="str">
        <f t="shared" si="49"/>
        <v>ACPLGZ</v>
      </c>
      <c r="C83" s="171" t="s">
        <v>1695</v>
      </c>
      <c r="D83" s="172" t="str">
        <f t="shared" si="42"/>
        <v>Meals</v>
      </c>
      <c r="E83" s="172"/>
      <c r="F83" s="172"/>
      <c r="G83" s="77" t="s">
        <v>2613</v>
      </c>
      <c r="H83" s="173" t="s">
        <v>2614</v>
      </c>
      <c r="I83" s="173" t="s">
        <v>2046</v>
      </c>
      <c r="J83" s="184">
        <f>150*6</f>
        <v>900</v>
      </c>
      <c r="K83" s="456">
        <f t="shared" si="43"/>
        <v>46023</v>
      </c>
      <c r="L83" s="456">
        <f t="shared" si="44"/>
        <v>46387</v>
      </c>
      <c r="M83" s="462">
        <f t="shared" si="45"/>
        <v>12</v>
      </c>
      <c r="N83" s="177">
        <f t="shared" ref="N83:Y83" si="55">IF(AND($K83&lt;=N$47,N$47&lt;=$L83),$J83/$M83,0)</f>
        <v>75</v>
      </c>
      <c r="O83" s="177">
        <f t="shared" si="55"/>
        <v>75</v>
      </c>
      <c r="P83" s="177">
        <f t="shared" si="55"/>
        <v>75</v>
      </c>
      <c r="Q83" s="177">
        <f t="shared" si="55"/>
        <v>75</v>
      </c>
      <c r="R83" s="177">
        <f t="shared" si="55"/>
        <v>75</v>
      </c>
      <c r="S83" s="177">
        <f t="shared" si="55"/>
        <v>75</v>
      </c>
      <c r="T83" s="177">
        <f t="shared" si="55"/>
        <v>75</v>
      </c>
      <c r="U83" s="177">
        <f t="shared" si="55"/>
        <v>75</v>
      </c>
      <c r="V83" s="177">
        <f t="shared" si="55"/>
        <v>75</v>
      </c>
      <c r="W83" s="177">
        <f t="shared" si="55"/>
        <v>75</v>
      </c>
      <c r="X83" s="177">
        <f t="shared" si="55"/>
        <v>75</v>
      </c>
      <c r="Y83" s="177">
        <f t="shared" si="55"/>
        <v>75</v>
      </c>
      <c r="Z83" s="178">
        <f t="shared" si="51"/>
        <v>900</v>
      </c>
      <c r="AA83" s="466"/>
      <c r="AB83" s="177">
        <f t="shared" si="47"/>
        <v>75</v>
      </c>
      <c r="AC83" s="177">
        <f t="shared" si="47"/>
        <v>75</v>
      </c>
      <c r="AD83" s="177">
        <f t="shared" si="47"/>
        <v>75</v>
      </c>
      <c r="AE83" s="177">
        <f t="shared" si="47"/>
        <v>75</v>
      </c>
      <c r="AF83" s="177">
        <f t="shared" si="47"/>
        <v>75</v>
      </c>
      <c r="AG83" s="177">
        <f t="shared" si="47"/>
        <v>75</v>
      </c>
      <c r="AH83" s="177">
        <f t="shared" si="47"/>
        <v>75</v>
      </c>
      <c r="AI83" s="177">
        <f t="shared" si="47"/>
        <v>75</v>
      </c>
      <c r="AJ83" s="177">
        <f t="shared" si="47"/>
        <v>75</v>
      </c>
      <c r="AK83" s="177">
        <f t="shared" si="47"/>
        <v>75</v>
      </c>
      <c r="AL83" s="177">
        <f t="shared" si="47"/>
        <v>75</v>
      </c>
      <c r="AM83" s="177">
        <f t="shared" si="47"/>
        <v>75</v>
      </c>
      <c r="AN83" s="178">
        <f t="shared" si="52"/>
        <v>900</v>
      </c>
      <c r="AO83" s="467"/>
      <c r="AT83" s="152"/>
      <c r="AU83" s="152"/>
      <c r="AV83" s="152"/>
      <c r="AW83" s="152"/>
      <c r="AX83" s="152"/>
      <c r="AY83" s="152"/>
      <c r="AZ83" s="152"/>
      <c r="BA83" s="152"/>
      <c r="BB83" s="152"/>
      <c r="BC83" s="152"/>
      <c r="BD83" s="152"/>
    </row>
    <row r="84" spans="1:56" ht="13.5" customHeight="1">
      <c r="A84" s="171">
        <f t="shared" si="48"/>
        <v>6</v>
      </c>
      <c r="B84" s="171" t="str">
        <f t="shared" si="49"/>
        <v>ACPLGZ</v>
      </c>
      <c r="C84" s="171" t="s">
        <v>1623</v>
      </c>
      <c r="D84" s="172" t="str">
        <f t="shared" si="42"/>
        <v>Entertainment</v>
      </c>
      <c r="E84" s="172"/>
      <c r="F84" s="172"/>
      <c r="G84" s="77" t="s">
        <v>2613</v>
      </c>
      <c r="H84" s="173" t="s">
        <v>2614</v>
      </c>
      <c r="I84" s="173" t="s">
        <v>2046</v>
      </c>
      <c r="J84" s="184">
        <v>0</v>
      </c>
      <c r="K84" s="456">
        <f t="shared" si="43"/>
        <v>46023</v>
      </c>
      <c r="L84" s="456">
        <f t="shared" si="44"/>
        <v>46387</v>
      </c>
      <c r="M84" s="462">
        <f t="shared" si="45"/>
        <v>12</v>
      </c>
      <c r="N84" s="177">
        <f t="shared" ref="N84:Y84" si="56">IF(AND($K84&lt;=N$47,N$47&lt;=$L84),$J84/$M84,0)</f>
        <v>0</v>
      </c>
      <c r="O84" s="177">
        <f t="shared" si="56"/>
        <v>0</v>
      </c>
      <c r="P84" s="177">
        <f t="shared" si="56"/>
        <v>0</v>
      </c>
      <c r="Q84" s="177">
        <f t="shared" si="56"/>
        <v>0</v>
      </c>
      <c r="R84" s="177">
        <f t="shared" si="56"/>
        <v>0</v>
      </c>
      <c r="S84" s="177">
        <f t="shared" si="56"/>
        <v>0</v>
      </c>
      <c r="T84" s="177">
        <f t="shared" si="56"/>
        <v>0</v>
      </c>
      <c r="U84" s="177">
        <f t="shared" si="56"/>
        <v>0</v>
      </c>
      <c r="V84" s="177">
        <f t="shared" si="56"/>
        <v>0</v>
      </c>
      <c r="W84" s="177">
        <f t="shared" si="56"/>
        <v>0</v>
      </c>
      <c r="X84" s="177">
        <f t="shared" si="56"/>
        <v>0</v>
      </c>
      <c r="Y84" s="177">
        <f t="shared" si="56"/>
        <v>0</v>
      </c>
      <c r="Z84" s="178">
        <f t="shared" si="51"/>
        <v>0</v>
      </c>
      <c r="AA84" s="466"/>
      <c r="AB84" s="177">
        <f t="shared" si="47"/>
        <v>0</v>
      </c>
      <c r="AC84" s="177">
        <f t="shared" si="47"/>
        <v>0</v>
      </c>
      <c r="AD84" s="177">
        <f t="shared" si="47"/>
        <v>0</v>
      </c>
      <c r="AE84" s="177">
        <f t="shared" si="47"/>
        <v>0</v>
      </c>
      <c r="AF84" s="177">
        <f t="shared" si="47"/>
        <v>0</v>
      </c>
      <c r="AG84" s="177">
        <f t="shared" si="47"/>
        <v>0</v>
      </c>
      <c r="AH84" s="177">
        <f t="shared" si="47"/>
        <v>0</v>
      </c>
      <c r="AI84" s="177">
        <f t="shared" si="47"/>
        <v>0</v>
      </c>
      <c r="AJ84" s="177">
        <f t="shared" si="47"/>
        <v>0</v>
      </c>
      <c r="AK84" s="177">
        <f t="shared" si="47"/>
        <v>0</v>
      </c>
      <c r="AL84" s="177">
        <f t="shared" si="47"/>
        <v>0</v>
      </c>
      <c r="AM84" s="177">
        <f t="shared" si="47"/>
        <v>0</v>
      </c>
      <c r="AN84" s="178">
        <f t="shared" si="52"/>
        <v>0</v>
      </c>
      <c r="AO84" s="467"/>
      <c r="AT84" s="152"/>
      <c r="AU84" s="152"/>
      <c r="AV84" s="152"/>
      <c r="AW84" s="152"/>
      <c r="AX84" s="152"/>
      <c r="AY84" s="152"/>
      <c r="AZ84" s="152"/>
      <c r="BA84" s="152"/>
      <c r="BB84" s="152"/>
      <c r="BC84" s="152"/>
      <c r="BD84" s="152"/>
    </row>
    <row r="85" spans="1:56" ht="13.5" customHeight="1">
      <c r="A85" s="171">
        <f t="shared" si="48"/>
        <v>7</v>
      </c>
      <c r="B85" s="171" t="str">
        <f t="shared" si="49"/>
        <v>ACPLGZ</v>
      </c>
      <c r="C85" s="171" t="s">
        <v>1729</v>
      </c>
      <c r="D85" s="172" t="str">
        <f t="shared" si="42"/>
        <v>Other personal reimbursement</v>
      </c>
      <c r="E85" s="172"/>
      <c r="F85" s="172"/>
      <c r="G85" s="77" t="s">
        <v>2613</v>
      </c>
      <c r="H85" s="173" t="s">
        <v>2614</v>
      </c>
      <c r="I85" s="173" t="s">
        <v>2046</v>
      </c>
      <c r="J85" s="184">
        <v>0</v>
      </c>
      <c r="K85" s="456">
        <f t="shared" si="43"/>
        <v>46023</v>
      </c>
      <c r="L85" s="456">
        <f t="shared" si="44"/>
        <v>46387</v>
      </c>
      <c r="M85" s="462">
        <f t="shared" si="45"/>
        <v>12</v>
      </c>
      <c r="N85" s="177">
        <f t="shared" ref="N85:Y85" si="57">IF(AND($K85&lt;=N$47,N$47&lt;=$L85),$J85/$M85,0)</f>
        <v>0</v>
      </c>
      <c r="O85" s="177">
        <f t="shared" si="57"/>
        <v>0</v>
      </c>
      <c r="P85" s="177">
        <f t="shared" si="57"/>
        <v>0</v>
      </c>
      <c r="Q85" s="177">
        <f t="shared" si="57"/>
        <v>0</v>
      </c>
      <c r="R85" s="177">
        <f t="shared" si="57"/>
        <v>0</v>
      </c>
      <c r="S85" s="177">
        <f t="shared" si="57"/>
        <v>0</v>
      </c>
      <c r="T85" s="177">
        <f t="shared" si="57"/>
        <v>0</v>
      </c>
      <c r="U85" s="177">
        <f t="shared" si="57"/>
        <v>0</v>
      </c>
      <c r="V85" s="177">
        <f t="shared" si="57"/>
        <v>0</v>
      </c>
      <c r="W85" s="177">
        <f t="shared" si="57"/>
        <v>0</v>
      </c>
      <c r="X85" s="177">
        <f t="shared" si="57"/>
        <v>0</v>
      </c>
      <c r="Y85" s="177">
        <f t="shared" si="57"/>
        <v>0</v>
      </c>
      <c r="Z85" s="178">
        <f t="shared" si="51"/>
        <v>0</v>
      </c>
      <c r="AA85" s="466"/>
      <c r="AB85" s="177">
        <f t="shared" si="47"/>
        <v>0</v>
      </c>
      <c r="AC85" s="177">
        <f t="shared" si="47"/>
        <v>0</v>
      </c>
      <c r="AD85" s="177">
        <f t="shared" si="47"/>
        <v>0</v>
      </c>
      <c r="AE85" s="177">
        <f t="shared" si="47"/>
        <v>0</v>
      </c>
      <c r="AF85" s="177">
        <f t="shared" si="47"/>
        <v>0</v>
      </c>
      <c r="AG85" s="177">
        <f t="shared" si="47"/>
        <v>0</v>
      </c>
      <c r="AH85" s="177">
        <f t="shared" si="47"/>
        <v>0</v>
      </c>
      <c r="AI85" s="177">
        <f t="shared" si="47"/>
        <v>0</v>
      </c>
      <c r="AJ85" s="177">
        <f t="shared" si="47"/>
        <v>0</v>
      </c>
      <c r="AK85" s="177">
        <f t="shared" si="47"/>
        <v>0</v>
      </c>
      <c r="AL85" s="177">
        <f t="shared" si="47"/>
        <v>0</v>
      </c>
      <c r="AM85" s="177">
        <f t="shared" si="47"/>
        <v>0</v>
      </c>
      <c r="AN85" s="178">
        <f t="shared" si="52"/>
        <v>0</v>
      </c>
      <c r="AO85" s="467"/>
      <c r="AT85" s="152"/>
      <c r="AU85" s="152"/>
      <c r="AV85" s="152"/>
      <c r="AW85" s="152"/>
      <c r="AX85" s="152"/>
      <c r="AY85" s="152"/>
      <c r="AZ85" s="152"/>
      <c r="BA85" s="152"/>
      <c r="BB85" s="152"/>
      <c r="BC85" s="152"/>
      <c r="BD85" s="152"/>
    </row>
    <row r="86" spans="1:56" ht="13.5" customHeight="1">
      <c r="A86" s="171">
        <f t="shared" si="48"/>
        <v>8</v>
      </c>
      <c r="B86" s="171" t="str">
        <f t="shared" si="49"/>
        <v>ACPLGZ</v>
      </c>
      <c r="C86" s="171"/>
      <c r="D86" s="172">
        <f t="shared" si="42"/>
        <v>0</v>
      </c>
      <c r="E86" s="172"/>
      <c r="F86" s="172"/>
      <c r="G86" s="77" t="s">
        <v>2613</v>
      </c>
      <c r="H86" s="173" t="s">
        <v>2614</v>
      </c>
      <c r="I86" s="173" t="s">
        <v>2046</v>
      </c>
      <c r="J86" s="184"/>
      <c r="K86" s="456">
        <f t="shared" si="43"/>
        <v>46023</v>
      </c>
      <c r="L86" s="456">
        <f t="shared" si="44"/>
        <v>46387</v>
      </c>
      <c r="M86" s="462">
        <f t="shared" si="45"/>
        <v>12</v>
      </c>
      <c r="N86" s="177">
        <f t="shared" ref="N86:Y86" si="58">IF(AND($K86&lt;=N$47,N$47&lt;=$L86),$J86/$M86,0)</f>
        <v>0</v>
      </c>
      <c r="O86" s="177">
        <f t="shared" si="58"/>
        <v>0</v>
      </c>
      <c r="P86" s="177">
        <f t="shared" si="58"/>
        <v>0</v>
      </c>
      <c r="Q86" s="177">
        <f t="shared" si="58"/>
        <v>0</v>
      </c>
      <c r="R86" s="177">
        <f t="shared" si="58"/>
        <v>0</v>
      </c>
      <c r="S86" s="177">
        <f t="shared" si="58"/>
        <v>0</v>
      </c>
      <c r="T86" s="177">
        <f t="shared" si="58"/>
        <v>0</v>
      </c>
      <c r="U86" s="177">
        <f t="shared" si="58"/>
        <v>0</v>
      </c>
      <c r="V86" s="177">
        <f t="shared" si="58"/>
        <v>0</v>
      </c>
      <c r="W86" s="177">
        <f t="shared" si="58"/>
        <v>0</v>
      </c>
      <c r="X86" s="177">
        <f t="shared" si="58"/>
        <v>0</v>
      </c>
      <c r="Y86" s="177">
        <f t="shared" si="58"/>
        <v>0</v>
      </c>
      <c r="Z86" s="178">
        <f t="shared" si="51"/>
        <v>0</v>
      </c>
      <c r="AA86" s="466"/>
      <c r="AB86" s="177">
        <f t="shared" si="47"/>
        <v>0</v>
      </c>
      <c r="AC86" s="177">
        <f t="shared" si="47"/>
        <v>0</v>
      </c>
      <c r="AD86" s="177">
        <f t="shared" si="47"/>
        <v>0</v>
      </c>
      <c r="AE86" s="177">
        <f t="shared" si="47"/>
        <v>0</v>
      </c>
      <c r="AF86" s="177">
        <f t="shared" si="47"/>
        <v>0</v>
      </c>
      <c r="AG86" s="177">
        <f t="shared" si="47"/>
        <v>0</v>
      </c>
      <c r="AH86" s="177">
        <f t="shared" si="47"/>
        <v>0</v>
      </c>
      <c r="AI86" s="177">
        <f t="shared" si="47"/>
        <v>0</v>
      </c>
      <c r="AJ86" s="177">
        <f t="shared" si="47"/>
        <v>0</v>
      </c>
      <c r="AK86" s="177">
        <f t="shared" si="47"/>
        <v>0</v>
      </c>
      <c r="AL86" s="177">
        <f t="shared" si="47"/>
        <v>0</v>
      </c>
      <c r="AM86" s="177">
        <f t="shared" si="47"/>
        <v>0</v>
      </c>
      <c r="AN86" s="178">
        <f t="shared" si="52"/>
        <v>0</v>
      </c>
      <c r="AO86" s="559"/>
      <c r="AP86" s="559"/>
      <c r="AQ86" s="559"/>
      <c r="AR86" s="559"/>
      <c r="AS86" s="559"/>
      <c r="AT86" s="152"/>
      <c r="AU86" s="152"/>
      <c r="AV86" s="152"/>
      <c r="AW86" s="152"/>
      <c r="AX86" s="152"/>
      <c r="AY86" s="152"/>
      <c r="AZ86" s="152"/>
      <c r="BA86" s="152"/>
      <c r="BB86" s="152"/>
      <c r="BC86" s="152"/>
      <c r="BD86" s="152"/>
    </row>
    <row r="87" spans="1:56" ht="13.5" customHeight="1">
      <c r="A87" s="171">
        <f t="shared" si="48"/>
        <v>9</v>
      </c>
      <c r="B87" s="171" t="str">
        <f t="shared" si="49"/>
        <v>ACPLGZ</v>
      </c>
      <c r="C87" s="171"/>
      <c r="D87" s="172">
        <f t="shared" si="42"/>
        <v>0</v>
      </c>
      <c r="E87" s="172"/>
      <c r="F87" s="172"/>
      <c r="G87" s="77" t="s">
        <v>2613</v>
      </c>
      <c r="H87" s="173" t="s">
        <v>2614</v>
      </c>
      <c r="I87" s="173" t="s">
        <v>2046</v>
      </c>
      <c r="J87" s="184"/>
      <c r="K87" s="456">
        <f t="shared" si="43"/>
        <v>46023</v>
      </c>
      <c r="L87" s="456">
        <f t="shared" si="44"/>
        <v>46387</v>
      </c>
      <c r="M87" s="462">
        <f t="shared" si="45"/>
        <v>12</v>
      </c>
      <c r="N87" s="177">
        <f t="shared" ref="N87:Y87" si="59">IF(AND($K87&lt;=N$47,N$47&lt;=$L87),$J87/$M87,0)</f>
        <v>0</v>
      </c>
      <c r="O87" s="177">
        <f t="shared" si="59"/>
        <v>0</v>
      </c>
      <c r="P87" s="177">
        <f t="shared" si="59"/>
        <v>0</v>
      </c>
      <c r="Q87" s="177">
        <f t="shared" si="59"/>
        <v>0</v>
      </c>
      <c r="R87" s="177">
        <f t="shared" si="59"/>
        <v>0</v>
      </c>
      <c r="S87" s="177">
        <f t="shared" si="59"/>
        <v>0</v>
      </c>
      <c r="T87" s="177">
        <f t="shared" si="59"/>
        <v>0</v>
      </c>
      <c r="U87" s="177">
        <f t="shared" si="59"/>
        <v>0</v>
      </c>
      <c r="V87" s="177">
        <f t="shared" si="59"/>
        <v>0</v>
      </c>
      <c r="W87" s="177">
        <f t="shared" si="59"/>
        <v>0</v>
      </c>
      <c r="X87" s="177">
        <f t="shared" si="59"/>
        <v>0</v>
      </c>
      <c r="Y87" s="177">
        <f t="shared" si="59"/>
        <v>0</v>
      </c>
      <c r="Z87" s="178">
        <f t="shared" si="51"/>
        <v>0</v>
      </c>
      <c r="AA87" s="466"/>
      <c r="AB87" s="177">
        <f t="shared" si="47"/>
        <v>0</v>
      </c>
      <c r="AC87" s="177">
        <f t="shared" si="47"/>
        <v>0</v>
      </c>
      <c r="AD87" s="177">
        <f t="shared" si="47"/>
        <v>0</v>
      </c>
      <c r="AE87" s="177">
        <f t="shared" si="47"/>
        <v>0</v>
      </c>
      <c r="AF87" s="177">
        <f t="shared" si="47"/>
        <v>0</v>
      </c>
      <c r="AG87" s="177">
        <f t="shared" si="47"/>
        <v>0</v>
      </c>
      <c r="AH87" s="177">
        <f t="shared" si="47"/>
        <v>0</v>
      </c>
      <c r="AI87" s="177">
        <f t="shared" si="47"/>
        <v>0</v>
      </c>
      <c r="AJ87" s="177">
        <f t="shared" si="47"/>
        <v>0</v>
      </c>
      <c r="AK87" s="177">
        <f t="shared" si="47"/>
        <v>0</v>
      </c>
      <c r="AL87" s="177">
        <f t="shared" si="47"/>
        <v>0</v>
      </c>
      <c r="AM87" s="177">
        <f t="shared" si="47"/>
        <v>0</v>
      </c>
      <c r="AN87" s="178">
        <f t="shared" si="52"/>
        <v>0</v>
      </c>
      <c r="AO87" s="559"/>
      <c r="AP87" s="559"/>
      <c r="AQ87" s="559"/>
      <c r="AR87" s="559"/>
      <c r="AS87" s="559"/>
      <c r="AT87" s="152"/>
      <c r="AU87" s="152"/>
      <c r="AV87" s="152"/>
      <c r="AW87" s="152"/>
      <c r="AX87" s="152"/>
      <c r="AY87" s="152"/>
      <c r="AZ87" s="152"/>
      <c r="BA87" s="152"/>
      <c r="BB87" s="152"/>
      <c r="BC87" s="152"/>
      <c r="BD87" s="152"/>
    </row>
    <row r="88" spans="1:56" ht="13.5" customHeight="1" thickBot="1">
      <c r="A88" s="171">
        <f t="shared" si="48"/>
        <v>10</v>
      </c>
      <c r="B88" s="171" t="str">
        <f t="shared" si="49"/>
        <v>ACPLGZ</v>
      </c>
      <c r="C88" s="171"/>
      <c r="D88" s="172">
        <f t="shared" si="42"/>
        <v>0</v>
      </c>
      <c r="E88" s="172"/>
      <c r="F88" s="172"/>
      <c r="G88" s="77" t="s">
        <v>2613</v>
      </c>
      <c r="H88" s="173" t="s">
        <v>2614</v>
      </c>
      <c r="I88" s="173" t="s">
        <v>2046</v>
      </c>
      <c r="J88" s="535"/>
      <c r="K88" s="456">
        <f t="shared" si="43"/>
        <v>46023</v>
      </c>
      <c r="L88" s="456">
        <f t="shared" si="44"/>
        <v>46387</v>
      </c>
      <c r="M88" s="462">
        <f t="shared" si="45"/>
        <v>12</v>
      </c>
      <c r="N88" s="560">
        <f t="shared" ref="N88:Y88" si="60">IF(AND($K88&lt;=N$47,N$47&lt;=$L88),$J88/$M88,0)</f>
        <v>0</v>
      </c>
      <c r="O88" s="560">
        <f t="shared" si="60"/>
        <v>0</v>
      </c>
      <c r="P88" s="560">
        <f t="shared" si="60"/>
        <v>0</v>
      </c>
      <c r="Q88" s="560">
        <f t="shared" si="60"/>
        <v>0</v>
      </c>
      <c r="R88" s="560">
        <f t="shared" si="60"/>
        <v>0</v>
      </c>
      <c r="S88" s="560">
        <f t="shared" si="60"/>
        <v>0</v>
      </c>
      <c r="T88" s="560">
        <f t="shared" si="60"/>
        <v>0</v>
      </c>
      <c r="U88" s="560">
        <f t="shared" si="60"/>
        <v>0</v>
      </c>
      <c r="V88" s="560">
        <f t="shared" si="60"/>
        <v>0</v>
      </c>
      <c r="W88" s="560">
        <f t="shared" si="60"/>
        <v>0</v>
      </c>
      <c r="X88" s="560">
        <f t="shared" si="60"/>
        <v>0</v>
      </c>
      <c r="Y88" s="560">
        <f t="shared" si="60"/>
        <v>0</v>
      </c>
      <c r="Z88" s="178">
        <f t="shared" si="51"/>
        <v>0</v>
      </c>
      <c r="AA88" s="466"/>
      <c r="AB88" s="560">
        <f t="shared" si="47"/>
        <v>0</v>
      </c>
      <c r="AC88" s="560">
        <f t="shared" si="47"/>
        <v>0</v>
      </c>
      <c r="AD88" s="560">
        <f t="shared" si="47"/>
        <v>0</v>
      </c>
      <c r="AE88" s="560">
        <f t="shared" si="47"/>
        <v>0</v>
      </c>
      <c r="AF88" s="560">
        <f t="shared" si="47"/>
        <v>0</v>
      </c>
      <c r="AG88" s="560">
        <f t="shared" si="47"/>
        <v>0</v>
      </c>
      <c r="AH88" s="560">
        <f t="shared" si="47"/>
        <v>0</v>
      </c>
      <c r="AI88" s="560">
        <f t="shared" si="47"/>
        <v>0</v>
      </c>
      <c r="AJ88" s="560">
        <f t="shared" si="47"/>
        <v>0</v>
      </c>
      <c r="AK88" s="560">
        <f t="shared" si="47"/>
        <v>0</v>
      </c>
      <c r="AL88" s="560">
        <f t="shared" si="47"/>
        <v>0</v>
      </c>
      <c r="AM88" s="560">
        <f t="shared" si="47"/>
        <v>0</v>
      </c>
      <c r="AN88" s="178">
        <f t="shared" si="52"/>
        <v>0</v>
      </c>
      <c r="AO88" s="559"/>
      <c r="AP88" s="559"/>
      <c r="AQ88" s="559"/>
      <c r="AR88" s="559"/>
      <c r="AS88" s="559"/>
      <c r="AT88" s="152"/>
      <c r="AU88" s="152"/>
      <c r="AV88" s="152"/>
      <c r="AW88" s="152"/>
      <c r="AX88" s="152"/>
      <c r="AY88" s="152"/>
      <c r="AZ88" s="152"/>
      <c r="BA88" s="152"/>
      <c r="BB88" s="152"/>
      <c r="BC88" s="152"/>
      <c r="BD88" s="152"/>
    </row>
    <row r="89" spans="1:56" ht="21" customHeight="1" thickTop="1">
      <c r="A89" s="538"/>
      <c r="B89" s="539" t="str">
        <f t="shared" ref="B89:B91" si="61">B88</f>
        <v>ACPLGZ</v>
      </c>
      <c r="C89" s="539"/>
      <c r="D89" s="540" t="s">
        <v>2115</v>
      </c>
      <c r="E89" s="541" t="str">
        <f>'CF-ACPL（合并）'!A26</f>
        <v>支付的其他与经营活动有关的现金（员工报销）</v>
      </c>
      <c r="F89" s="540"/>
      <c r="G89" s="542" t="s">
        <v>2613</v>
      </c>
      <c r="H89" s="543" t="s">
        <v>2614</v>
      </c>
      <c r="I89" s="543" t="s">
        <v>2046</v>
      </c>
      <c r="J89" s="544">
        <f ca="1">SUM(J79:J88)</f>
        <v>2700</v>
      </c>
      <c r="K89" s="545">
        <f t="shared" si="43"/>
        <v>46023</v>
      </c>
      <c r="L89" s="545">
        <f t="shared" si="44"/>
        <v>46387</v>
      </c>
      <c r="M89" s="546">
        <f t="shared" si="45"/>
        <v>12</v>
      </c>
      <c r="N89" s="547">
        <f t="shared" ref="N89:Y89" ca="1" si="62">IF(AND($K89&lt;=N$47,N$47&lt;=$L89),$J89/$M89,0)</f>
        <v>225</v>
      </c>
      <c r="O89" s="547">
        <f t="shared" ca="1" si="62"/>
        <v>225</v>
      </c>
      <c r="P89" s="547">
        <f t="shared" ca="1" si="62"/>
        <v>225</v>
      </c>
      <c r="Q89" s="547">
        <f t="shared" ca="1" si="62"/>
        <v>225</v>
      </c>
      <c r="R89" s="547">
        <f t="shared" ca="1" si="62"/>
        <v>225</v>
      </c>
      <c r="S89" s="547">
        <f t="shared" ca="1" si="62"/>
        <v>225</v>
      </c>
      <c r="T89" s="547">
        <f t="shared" ca="1" si="62"/>
        <v>225</v>
      </c>
      <c r="U89" s="547">
        <f t="shared" ca="1" si="62"/>
        <v>225</v>
      </c>
      <c r="V89" s="547">
        <f t="shared" ca="1" si="62"/>
        <v>225</v>
      </c>
      <c r="W89" s="547">
        <f t="shared" ca="1" si="62"/>
        <v>225</v>
      </c>
      <c r="X89" s="547">
        <f t="shared" ca="1" si="62"/>
        <v>225</v>
      </c>
      <c r="Y89" s="547">
        <f t="shared" ca="1" si="62"/>
        <v>225</v>
      </c>
      <c r="Z89" s="178">
        <f t="shared" ca="1" si="51"/>
        <v>2700</v>
      </c>
      <c r="AA89" s="466"/>
      <c r="AB89" s="547">
        <f t="shared" ca="1" si="47"/>
        <v>225</v>
      </c>
      <c r="AC89" s="547">
        <f t="shared" ca="1" si="47"/>
        <v>225</v>
      </c>
      <c r="AD89" s="547">
        <f t="shared" ca="1" si="47"/>
        <v>225</v>
      </c>
      <c r="AE89" s="547">
        <f t="shared" ca="1" si="47"/>
        <v>225</v>
      </c>
      <c r="AF89" s="547">
        <f t="shared" ca="1" si="47"/>
        <v>225</v>
      </c>
      <c r="AG89" s="547">
        <f t="shared" ca="1" si="47"/>
        <v>225</v>
      </c>
      <c r="AH89" s="547">
        <f t="shared" ca="1" si="47"/>
        <v>225</v>
      </c>
      <c r="AI89" s="547">
        <f t="shared" ca="1" si="47"/>
        <v>225</v>
      </c>
      <c r="AJ89" s="547">
        <f t="shared" ca="1" si="47"/>
        <v>225</v>
      </c>
      <c r="AK89" s="547">
        <f t="shared" ca="1" si="47"/>
        <v>225</v>
      </c>
      <c r="AL89" s="547">
        <f t="shared" ca="1" si="47"/>
        <v>225</v>
      </c>
      <c r="AM89" s="547">
        <f t="shared" ca="1" si="47"/>
        <v>225</v>
      </c>
      <c r="AN89" s="178">
        <f t="shared" ca="1" si="52"/>
        <v>2700</v>
      </c>
      <c r="AP89" s="152"/>
      <c r="AQ89" s="152"/>
      <c r="AR89" s="152"/>
      <c r="AS89" s="152"/>
      <c r="AT89" s="152"/>
      <c r="AU89" s="152"/>
      <c r="AV89" s="152"/>
      <c r="AW89" s="152"/>
      <c r="AX89" s="152"/>
      <c r="AY89" s="152"/>
      <c r="AZ89" s="152"/>
      <c r="BA89" s="152"/>
      <c r="BB89" s="152"/>
      <c r="BC89" s="152"/>
      <c r="BD89" s="152"/>
    </row>
    <row r="90" spans="1:56" ht="13.5" customHeight="1">
      <c r="A90" s="548"/>
      <c r="B90" s="171" t="str">
        <f t="shared" si="61"/>
        <v>ACPLGZ</v>
      </c>
      <c r="C90" s="171"/>
      <c r="D90" s="172" t="s">
        <v>2675</v>
      </c>
      <c r="E90" s="172"/>
      <c r="F90" s="172"/>
      <c r="G90" s="77" t="s">
        <v>2613</v>
      </c>
      <c r="H90" s="173" t="s">
        <v>2614</v>
      </c>
      <c r="I90" s="173" t="s">
        <v>2046</v>
      </c>
      <c r="J90" s="184"/>
      <c r="K90" s="456">
        <f t="shared" si="43"/>
        <v>46023</v>
      </c>
      <c r="L90" s="456">
        <f t="shared" si="44"/>
        <v>46387</v>
      </c>
      <c r="M90" s="176">
        <f t="shared" si="45"/>
        <v>12</v>
      </c>
      <c r="N90" s="177">
        <f t="shared" ref="N90:Y90" si="63">IF(AND($K90&lt;=N$47,N$47&lt;=$L90),$J90/$M90,0)</f>
        <v>0</v>
      </c>
      <c r="O90" s="177">
        <f t="shared" si="63"/>
        <v>0</v>
      </c>
      <c r="P90" s="177">
        <f t="shared" si="63"/>
        <v>0</v>
      </c>
      <c r="Q90" s="177">
        <f t="shared" si="63"/>
        <v>0</v>
      </c>
      <c r="R90" s="177">
        <f t="shared" si="63"/>
        <v>0</v>
      </c>
      <c r="S90" s="177">
        <f t="shared" si="63"/>
        <v>0</v>
      </c>
      <c r="T90" s="177">
        <f t="shared" si="63"/>
        <v>0</v>
      </c>
      <c r="U90" s="177">
        <f t="shared" si="63"/>
        <v>0</v>
      </c>
      <c r="V90" s="177">
        <f t="shared" si="63"/>
        <v>0</v>
      </c>
      <c r="W90" s="177">
        <f t="shared" si="63"/>
        <v>0</v>
      </c>
      <c r="X90" s="177">
        <f t="shared" si="63"/>
        <v>0</v>
      </c>
      <c r="Y90" s="177">
        <f t="shared" si="63"/>
        <v>0</v>
      </c>
      <c r="Z90" s="178">
        <f t="shared" si="51"/>
        <v>0</v>
      </c>
      <c r="AA90" s="466"/>
      <c r="AB90" s="177">
        <f t="shared" si="47"/>
        <v>0</v>
      </c>
      <c r="AC90" s="177">
        <f t="shared" si="47"/>
        <v>0</v>
      </c>
      <c r="AD90" s="177">
        <f t="shared" si="47"/>
        <v>0</v>
      </c>
      <c r="AE90" s="177">
        <f t="shared" si="47"/>
        <v>0</v>
      </c>
      <c r="AF90" s="177">
        <f t="shared" si="47"/>
        <v>0</v>
      </c>
      <c r="AG90" s="177">
        <f t="shared" si="47"/>
        <v>0</v>
      </c>
      <c r="AH90" s="177">
        <f t="shared" si="47"/>
        <v>0</v>
      </c>
      <c r="AI90" s="177">
        <f t="shared" si="47"/>
        <v>0</v>
      </c>
      <c r="AJ90" s="177">
        <f t="shared" si="47"/>
        <v>0</v>
      </c>
      <c r="AK90" s="177">
        <f t="shared" si="47"/>
        <v>0</v>
      </c>
      <c r="AL90" s="177">
        <f t="shared" si="47"/>
        <v>0</v>
      </c>
      <c r="AM90" s="177">
        <f t="shared" si="47"/>
        <v>0</v>
      </c>
      <c r="AN90" s="178">
        <f t="shared" si="52"/>
        <v>0</v>
      </c>
      <c r="AP90" s="152"/>
      <c r="AQ90" s="152"/>
      <c r="AR90" s="152"/>
      <c r="AS90" s="152"/>
      <c r="AT90" s="152"/>
      <c r="AU90" s="152"/>
      <c r="AV90" s="152"/>
      <c r="AW90" s="152"/>
      <c r="AX90" s="152"/>
      <c r="AY90" s="152"/>
      <c r="AZ90" s="152"/>
      <c r="BA90" s="152"/>
      <c r="BB90" s="152"/>
      <c r="BC90" s="152"/>
      <c r="BD90" s="152"/>
    </row>
    <row r="91" spans="1:56" ht="13.5" customHeight="1" thickBot="1">
      <c r="A91" s="550"/>
      <c r="B91" s="551" t="str">
        <f t="shared" si="61"/>
        <v>ACPLGZ</v>
      </c>
      <c r="C91" s="551"/>
      <c r="D91" s="552" t="s">
        <v>2673</v>
      </c>
      <c r="E91" s="552"/>
      <c r="F91" s="552"/>
      <c r="G91" s="553" t="s">
        <v>2613</v>
      </c>
      <c r="H91" s="554" t="s">
        <v>2614</v>
      </c>
      <c r="I91" s="554" t="s">
        <v>2046</v>
      </c>
      <c r="J91" s="555">
        <f ca="1">J89-J90</f>
        <v>2700</v>
      </c>
      <c r="K91" s="556">
        <f t="shared" si="43"/>
        <v>46023</v>
      </c>
      <c r="L91" s="556">
        <f t="shared" si="44"/>
        <v>46387</v>
      </c>
      <c r="M91" s="557">
        <f t="shared" si="45"/>
        <v>12</v>
      </c>
      <c r="N91" s="561">
        <f t="shared" ref="N91:Y91" ca="1" si="64">IF(AND($K91&lt;=N$47,N$47&lt;=$L91),$J91/$M91,0)</f>
        <v>225</v>
      </c>
      <c r="O91" s="561">
        <f t="shared" ca="1" si="64"/>
        <v>225</v>
      </c>
      <c r="P91" s="561">
        <f t="shared" ca="1" si="64"/>
        <v>225</v>
      </c>
      <c r="Q91" s="561">
        <f t="shared" ca="1" si="64"/>
        <v>225</v>
      </c>
      <c r="R91" s="561">
        <f t="shared" ca="1" si="64"/>
        <v>225</v>
      </c>
      <c r="S91" s="561">
        <f t="shared" ca="1" si="64"/>
        <v>225</v>
      </c>
      <c r="T91" s="561">
        <f t="shared" ca="1" si="64"/>
        <v>225</v>
      </c>
      <c r="U91" s="561">
        <f t="shared" ca="1" si="64"/>
        <v>225</v>
      </c>
      <c r="V91" s="561">
        <f t="shared" ca="1" si="64"/>
        <v>225</v>
      </c>
      <c r="W91" s="561">
        <f t="shared" ca="1" si="64"/>
        <v>225</v>
      </c>
      <c r="X91" s="561">
        <f t="shared" ca="1" si="64"/>
        <v>225</v>
      </c>
      <c r="Y91" s="561">
        <f t="shared" ca="1" si="64"/>
        <v>225</v>
      </c>
      <c r="Z91" s="178">
        <f t="shared" ca="1" si="51"/>
        <v>2700</v>
      </c>
      <c r="AA91" s="466"/>
      <c r="AB91" s="561">
        <f t="shared" ca="1" si="47"/>
        <v>225</v>
      </c>
      <c r="AC91" s="561">
        <f t="shared" ca="1" si="47"/>
        <v>225</v>
      </c>
      <c r="AD91" s="561">
        <f t="shared" ca="1" si="47"/>
        <v>225</v>
      </c>
      <c r="AE91" s="561">
        <f t="shared" ca="1" si="47"/>
        <v>225</v>
      </c>
      <c r="AF91" s="561">
        <f t="shared" ca="1" si="47"/>
        <v>225</v>
      </c>
      <c r="AG91" s="561">
        <f t="shared" ca="1" si="47"/>
        <v>225</v>
      </c>
      <c r="AH91" s="561">
        <f t="shared" ca="1" si="47"/>
        <v>225</v>
      </c>
      <c r="AI91" s="561">
        <f t="shared" ca="1" si="47"/>
        <v>225</v>
      </c>
      <c r="AJ91" s="561">
        <f t="shared" ca="1" si="47"/>
        <v>225</v>
      </c>
      <c r="AK91" s="561">
        <f t="shared" ca="1" si="47"/>
        <v>225</v>
      </c>
      <c r="AL91" s="561">
        <f t="shared" ca="1" si="47"/>
        <v>225</v>
      </c>
      <c r="AM91" s="561">
        <f t="shared" ca="1" si="47"/>
        <v>225</v>
      </c>
      <c r="AN91" s="178">
        <f t="shared" ca="1" si="52"/>
        <v>2700</v>
      </c>
      <c r="AP91" s="152"/>
      <c r="AQ91" s="152"/>
      <c r="AR91" s="152"/>
      <c r="AS91" s="152"/>
      <c r="AT91" s="152"/>
      <c r="AU91" s="152"/>
      <c r="AV91" s="152"/>
      <c r="AW91" s="152"/>
      <c r="AX91" s="152"/>
      <c r="AY91" s="152"/>
      <c r="AZ91" s="152"/>
      <c r="BA91" s="152"/>
      <c r="BB91" s="152"/>
      <c r="BC91" s="152"/>
      <c r="BD91" s="152"/>
    </row>
    <row r="92" spans="1:56" ht="13.5" customHeight="1" thickTop="1">
      <c r="A92" s="1128"/>
      <c r="B92" s="531"/>
      <c r="C92" s="531"/>
      <c r="D92" s="532"/>
      <c r="E92" s="532"/>
      <c r="F92" s="532"/>
      <c r="G92" s="533"/>
      <c r="H92" s="534"/>
      <c r="I92" s="534"/>
      <c r="J92" s="535"/>
      <c r="K92" s="536"/>
      <c r="L92" s="536"/>
      <c r="M92" s="537"/>
      <c r="N92" s="560"/>
      <c r="O92" s="560"/>
      <c r="P92" s="560"/>
      <c r="Q92" s="560"/>
      <c r="R92" s="560"/>
      <c r="S92" s="560"/>
      <c r="T92" s="560"/>
      <c r="U92" s="560"/>
      <c r="V92" s="560"/>
      <c r="W92" s="560"/>
      <c r="X92" s="560"/>
      <c r="Y92" s="560"/>
      <c r="Z92" s="178"/>
      <c r="AA92" s="466"/>
      <c r="AB92" s="560"/>
      <c r="AC92" s="560"/>
      <c r="AD92" s="560"/>
      <c r="AE92" s="560"/>
      <c r="AF92" s="560"/>
      <c r="AG92" s="560"/>
      <c r="AH92" s="560"/>
      <c r="AI92" s="560"/>
      <c r="AJ92" s="560"/>
      <c r="AK92" s="560"/>
      <c r="AL92" s="560"/>
      <c r="AM92" s="560"/>
      <c r="AN92" s="178"/>
      <c r="AP92" s="152"/>
      <c r="AQ92" s="152"/>
      <c r="AR92" s="152"/>
      <c r="AS92" s="152"/>
      <c r="AT92" s="152"/>
      <c r="AU92" s="152"/>
      <c r="AV92" s="152"/>
      <c r="AW92" s="152"/>
      <c r="AX92" s="152"/>
      <c r="AY92" s="152"/>
      <c r="AZ92" s="152"/>
      <c r="BA92" s="152"/>
      <c r="BB92" s="152"/>
      <c r="BC92" s="152"/>
      <c r="BD92" s="152"/>
    </row>
    <row r="93" spans="1:56" s="150" customFormat="1" ht="38.1" customHeight="1">
      <c r="A93" s="162"/>
      <c r="B93" s="526" t="s">
        <v>2598</v>
      </c>
      <c r="C93" s="527" t="s">
        <v>2600</v>
      </c>
      <c r="D93" s="528" t="str">
        <f>$D$47</f>
        <v>Travel and Entertainment</v>
      </c>
      <c r="E93" s="528" t="s">
        <v>2602</v>
      </c>
      <c r="F93" s="528" t="s">
        <v>2603</v>
      </c>
      <c r="G93" s="164" t="s">
        <v>2604</v>
      </c>
      <c r="H93" s="164" t="s">
        <v>2605</v>
      </c>
      <c r="I93" s="165" t="s">
        <v>2606</v>
      </c>
      <c r="J93" s="464" t="s">
        <v>2607</v>
      </c>
      <c r="K93" s="465" t="s">
        <v>2608</v>
      </c>
      <c r="L93" s="465" t="s">
        <v>2609</v>
      </c>
      <c r="M93" s="464" t="s">
        <v>2610</v>
      </c>
      <c r="N93" s="1132">
        <v>46023</v>
      </c>
      <c r="O93" s="1132">
        <v>46054</v>
      </c>
      <c r="P93" s="1132">
        <v>46082</v>
      </c>
      <c r="Q93" s="1132">
        <v>46113</v>
      </c>
      <c r="R93" s="1132">
        <v>46143</v>
      </c>
      <c r="S93" s="1132">
        <v>46174</v>
      </c>
      <c r="T93" s="1132">
        <v>46204</v>
      </c>
      <c r="U93" s="1132">
        <v>46235</v>
      </c>
      <c r="V93" s="1132">
        <v>46266</v>
      </c>
      <c r="W93" s="1132">
        <v>46296</v>
      </c>
      <c r="X93" s="1132">
        <v>46327</v>
      </c>
      <c r="Y93" s="1132">
        <v>46357</v>
      </c>
      <c r="Z93" s="168" t="s">
        <v>2115</v>
      </c>
      <c r="AA93" s="529"/>
      <c r="AB93" s="1132">
        <v>46023</v>
      </c>
      <c r="AC93" s="1132">
        <v>46054</v>
      </c>
      <c r="AD93" s="1132">
        <v>46082</v>
      </c>
      <c r="AE93" s="1132">
        <v>46113</v>
      </c>
      <c r="AF93" s="1132">
        <v>46143</v>
      </c>
      <c r="AG93" s="1132">
        <v>46174</v>
      </c>
      <c r="AH93" s="1132">
        <v>46204</v>
      </c>
      <c r="AI93" s="1132">
        <v>46235</v>
      </c>
      <c r="AJ93" s="1132">
        <v>46266</v>
      </c>
      <c r="AK93" s="1132">
        <v>46296</v>
      </c>
      <c r="AL93" s="1132">
        <v>46327</v>
      </c>
      <c r="AM93" s="1132">
        <v>46357</v>
      </c>
      <c r="AN93" s="168" t="s">
        <v>2115</v>
      </c>
      <c r="AO93" s="562"/>
      <c r="AP93" s="562"/>
      <c r="AQ93" s="562"/>
      <c r="AR93" s="562"/>
      <c r="AS93" s="514"/>
    </row>
    <row r="94" spans="1:56" ht="13.5" customHeight="1">
      <c r="A94" s="171">
        <v>1</v>
      </c>
      <c r="B94" s="171" t="s">
        <v>2111</v>
      </c>
      <c r="C94" s="171" t="s">
        <v>1704</v>
      </c>
      <c r="D94" s="172" t="str">
        <f t="shared" ref="D94:D103" si="65">D49</f>
        <v>Airfare - International</v>
      </c>
      <c r="E94" s="172"/>
      <c r="F94" s="172"/>
      <c r="G94" s="77" t="s">
        <v>2613</v>
      </c>
      <c r="H94" s="173" t="s">
        <v>2614</v>
      </c>
      <c r="I94" s="173" t="s">
        <v>2046</v>
      </c>
      <c r="J94" s="184">
        <f>SUMIF($B$16:$B$44,$B94,$T$16:$T$44)*VLOOKUP($D94,$T$11:$U$15,2,FALSE)</f>
        <v>72000</v>
      </c>
      <c r="K94" s="456">
        <f t="shared" ref="K94:K106" si="66">$K$49</f>
        <v>46023</v>
      </c>
      <c r="L94" s="456">
        <f t="shared" ref="L94:L106" si="67">$L$49</f>
        <v>46387</v>
      </c>
      <c r="M94" s="462">
        <f t="shared" ref="M94:M106" si="68">IF(AND(K94="",L94=""),"-",IF(L94="",12,DATEDIF(K94,L94,"M")+1))</f>
        <v>12</v>
      </c>
      <c r="N94" s="177">
        <f t="shared" ref="N94:Y94" si="69">IF(AND($K94&lt;=N$47,N$47&lt;=$L94),$J94/$M94,0)</f>
        <v>6000</v>
      </c>
      <c r="O94" s="177">
        <f t="shared" si="69"/>
        <v>6000</v>
      </c>
      <c r="P94" s="177">
        <f t="shared" si="69"/>
        <v>6000</v>
      </c>
      <c r="Q94" s="177">
        <f t="shared" si="69"/>
        <v>6000</v>
      </c>
      <c r="R94" s="177">
        <f t="shared" si="69"/>
        <v>6000</v>
      </c>
      <c r="S94" s="177">
        <f t="shared" si="69"/>
        <v>6000</v>
      </c>
      <c r="T94" s="177">
        <f t="shared" si="69"/>
        <v>6000</v>
      </c>
      <c r="U94" s="177">
        <f t="shared" si="69"/>
        <v>6000</v>
      </c>
      <c r="V94" s="177">
        <f t="shared" si="69"/>
        <v>6000</v>
      </c>
      <c r="W94" s="177">
        <f t="shared" si="69"/>
        <v>6000</v>
      </c>
      <c r="X94" s="177">
        <f t="shared" si="69"/>
        <v>6000</v>
      </c>
      <c r="Y94" s="177">
        <f t="shared" si="69"/>
        <v>6000</v>
      </c>
      <c r="Z94" s="178">
        <f>SUM(N94:Y94)</f>
        <v>72000</v>
      </c>
      <c r="AA94" s="466"/>
      <c r="AB94" s="177">
        <f t="shared" ref="AB94:AM106" si="70">IF(AND($K94&lt;=AB$47,AB$47&lt;=$L94),$J94/$M94,0)</f>
        <v>6000</v>
      </c>
      <c r="AC94" s="177">
        <f t="shared" si="70"/>
        <v>6000</v>
      </c>
      <c r="AD94" s="177">
        <f t="shared" si="70"/>
        <v>6000</v>
      </c>
      <c r="AE94" s="177">
        <f t="shared" si="70"/>
        <v>6000</v>
      </c>
      <c r="AF94" s="177">
        <f t="shared" si="70"/>
        <v>6000</v>
      </c>
      <c r="AG94" s="177">
        <f t="shared" si="70"/>
        <v>6000</v>
      </c>
      <c r="AH94" s="177">
        <f t="shared" si="70"/>
        <v>6000</v>
      </c>
      <c r="AI94" s="177">
        <f t="shared" si="70"/>
        <v>6000</v>
      </c>
      <c r="AJ94" s="177">
        <f t="shared" si="70"/>
        <v>6000</v>
      </c>
      <c r="AK94" s="177">
        <f t="shared" si="70"/>
        <v>6000</v>
      </c>
      <c r="AL94" s="177">
        <f t="shared" si="70"/>
        <v>6000</v>
      </c>
      <c r="AM94" s="177">
        <f t="shared" si="70"/>
        <v>6000</v>
      </c>
      <c r="AN94" s="178">
        <f>SUM(AB94:AM94)</f>
        <v>72000</v>
      </c>
      <c r="AO94" s="559"/>
      <c r="AP94" s="559"/>
      <c r="AQ94" s="559"/>
      <c r="AR94" s="559"/>
      <c r="AS94" s="559"/>
      <c r="AT94" s="152"/>
      <c r="AU94" s="152"/>
      <c r="AV94" s="152"/>
      <c r="AW94" s="152"/>
      <c r="AX94" s="152"/>
      <c r="AY94" s="152"/>
      <c r="AZ94" s="152"/>
      <c r="BA94" s="152"/>
      <c r="BB94" s="152"/>
      <c r="BC94" s="152"/>
      <c r="BD94" s="152"/>
    </row>
    <row r="95" spans="1:56" ht="13.5" customHeight="1">
      <c r="A95" s="171">
        <f t="shared" ref="A95:A103" si="71">IF(A94&lt;=0,FALSE,A94+1)</f>
        <v>2</v>
      </c>
      <c r="B95" s="171" t="str">
        <f t="shared" ref="B95:B100" si="72">+B94</f>
        <v>ACPLSZ</v>
      </c>
      <c r="C95" s="171" t="s">
        <v>1704</v>
      </c>
      <c r="D95" s="172" t="str">
        <f t="shared" si="65"/>
        <v>Airfare - Domestic</v>
      </c>
      <c r="E95" s="172"/>
      <c r="F95" s="172"/>
      <c r="G95" s="77" t="s">
        <v>2613</v>
      </c>
      <c r="H95" s="173" t="s">
        <v>2614</v>
      </c>
      <c r="I95" s="173" t="s">
        <v>2046</v>
      </c>
      <c r="J95" s="184">
        <f>SUMIF($B$16:$B$44,$B95,$O$16:$O$44)*VLOOKUP($D95,$O$11:$P$15,2,FALSE)</f>
        <v>222600</v>
      </c>
      <c r="K95" s="456">
        <f t="shared" si="66"/>
        <v>46023</v>
      </c>
      <c r="L95" s="456">
        <f t="shared" si="67"/>
        <v>46387</v>
      </c>
      <c r="M95" s="462">
        <f t="shared" si="68"/>
        <v>12</v>
      </c>
      <c r="N95" s="177">
        <f t="shared" ref="N95:Y95" si="73">IF(AND($K95&lt;=N$47,N$47&lt;=$L95),$J95/$M95,0)</f>
        <v>18550</v>
      </c>
      <c r="O95" s="177">
        <f t="shared" si="73"/>
        <v>18550</v>
      </c>
      <c r="P95" s="177">
        <f t="shared" si="73"/>
        <v>18550</v>
      </c>
      <c r="Q95" s="177">
        <f t="shared" si="73"/>
        <v>18550</v>
      </c>
      <c r="R95" s="177">
        <f t="shared" si="73"/>
        <v>18550</v>
      </c>
      <c r="S95" s="177">
        <f t="shared" si="73"/>
        <v>18550</v>
      </c>
      <c r="T95" s="177">
        <f t="shared" si="73"/>
        <v>18550</v>
      </c>
      <c r="U95" s="177">
        <f t="shared" si="73"/>
        <v>18550</v>
      </c>
      <c r="V95" s="177">
        <f t="shared" si="73"/>
        <v>18550</v>
      </c>
      <c r="W95" s="177">
        <f t="shared" si="73"/>
        <v>18550</v>
      </c>
      <c r="X95" s="177">
        <f t="shared" si="73"/>
        <v>18550</v>
      </c>
      <c r="Y95" s="177">
        <f t="shared" si="73"/>
        <v>18550</v>
      </c>
      <c r="Z95" s="178">
        <f t="shared" ref="Z95:Z106" si="74">SUM(N95:Y95)</f>
        <v>222600</v>
      </c>
      <c r="AA95" s="466"/>
      <c r="AB95" s="177">
        <f t="shared" si="70"/>
        <v>18550</v>
      </c>
      <c r="AC95" s="177">
        <f t="shared" si="70"/>
        <v>18550</v>
      </c>
      <c r="AD95" s="177">
        <f t="shared" si="70"/>
        <v>18550</v>
      </c>
      <c r="AE95" s="177">
        <f t="shared" si="70"/>
        <v>18550</v>
      </c>
      <c r="AF95" s="177">
        <f t="shared" si="70"/>
        <v>18550</v>
      </c>
      <c r="AG95" s="177">
        <f t="shared" si="70"/>
        <v>18550</v>
      </c>
      <c r="AH95" s="177">
        <f t="shared" si="70"/>
        <v>18550</v>
      </c>
      <c r="AI95" s="177">
        <f t="shared" si="70"/>
        <v>18550</v>
      </c>
      <c r="AJ95" s="177">
        <f t="shared" si="70"/>
        <v>18550</v>
      </c>
      <c r="AK95" s="177">
        <f t="shared" si="70"/>
        <v>18550</v>
      </c>
      <c r="AL95" s="177">
        <f t="shared" si="70"/>
        <v>18550</v>
      </c>
      <c r="AM95" s="177">
        <f t="shared" si="70"/>
        <v>18550</v>
      </c>
      <c r="AN95" s="178">
        <f t="shared" ref="AN95:AN106" si="75">SUM(AB95:AM95)</f>
        <v>222600</v>
      </c>
      <c r="AO95" s="559"/>
      <c r="AP95" s="559"/>
      <c r="AQ95" s="559"/>
      <c r="AR95" s="559"/>
      <c r="AS95" s="559"/>
      <c r="AT95" s="152"/>
      <c r="AU95" s="152"/>
      <c r="AV95" s="152"/>
      <c r="AW95" s="152"/>
      <c r="AX95" s="152"/>
      <c r="AY95" s="152"/>
      <c r="AZ95" s="152"/>
      <c r="BA95" s="152"/>
      <c r="BB95" s="152"/>
      <c r="BC95" s="152"/>
      <c r="BD95" s="152"/>
    </row>
    <row r="96" spans="1:56" ht="13.5" customHeight="1">
      <c r="A96" s="171">
        <f t="shared" si="71"/>
        <v>3</v>
      </c>
      <c r="B96" s="171" t="str">
        <f t="shared" si="72"/>
        <v>ACPLSZ</v>
      </c>
      <c r="C96" s="171" t="s">
        <v>1690</v>
      </c>
      <c r="D96" s="172" t="str">
        <f t="shared" si="65"/>
        <v>Hotels</v>
      </c>
      <c r="E96" s="172"/>
      <c r="F96" s="172"/>
      <c r="G96" s="77" t="s">
        <v>2613</v>
      </c>
      <c r="H96" s="173" t="s">
        <v>2614</v>
      </c>
      <c r="I96" s="173" t="s">
        <v>2046</v>
      </c>
      <c r="J96" s="184">
        <f>SUMIF($B$16:$B$44,$B96,$T$16:$T$44)*VLOOKUP($D96,$T$11:$U$15,2,FALSE)+SUMIF($B$16:$B$44,$B96,$O$16:$O$44)*VLOOKUP($D96,$O$11:$P$15,2,FALSE)+SUMIF($B$16:$B$44,$B96,$L$16:$L$44)*VLOOKUP($D96,$L$11:$M$15,2,FALSE)</f>
        <v>535800</v>
      </c>
      <c r="K96" s="456">
        <f t="shared" si="66"/>
        <v>46023</v>
      </c>
      <c r="L96" s="456">
        <f t="shared" si="67"/>
        <v>46387</v>
      </c>
      <c r="M96" s="462">
        <f t="shared" si="68"/>
        <v>12</v>
      </c>
      <c r="N96" s="177">
        <f t="shared" ref="N96:Y96" si="76">IF(AND($K96&lt;=N$47,N$47&lt;=$L96),$J96/$M96,0)</f>
        <v>44650</v>
      </c>
      <c r="O96" s="177">
        <f t="shared" si="76"/>
        <v>44650</v>
      </c>
      <c r="P96" s="177">
        <f t="shared" si="76"/>
        <v>44650</v>
      </c>
      <c r="Q96" s="177">
        <f t="shared" si="76"/>
        <v>44650</v>
      </c>
      <c r="R96" s="177">
        <f t="shared" si="76"/>
        <v>44650</v>
      </c>
      <c r="S96" s="177">
        <f t="shared" si="76"/>
        <v>44650</v>
      </c>
      <c r="T96" s="177">
        <f t="shared" si="76"/>
        <v>44650</v>
      </c>
      <c r="U96" s="177">
        <f t="shared" si="76"/>
        <v>44650</v>
      </c>
      <c r="V96" s="177">
        <f t="shared" si="76"/>
        <v>44650</v>
      </c>
      <c r="W96" s="177">
        <f t="shared" si="76"/>
        <v>44650</v>
      </c>
      <c r="X96" s="177">
        <f t="shared" si="76"/>
        <v>44650</v>
      </c>
      <c r="Y96" s="177">
        <f t="shared" si="76"/>
        <v>44650</v>
      </c>
      <c r="Z96" s="178">
        <f t="shared" si="74"/>
        <v>535800</v>
      </c>
      <c r="AA96" s="466"/>
      <c r="AB96" s="177">
        <f t="shared" si="70"/>
        <v>44650</v>
      </c>
      <c r="AC96" s="177">
        <f t="shared" si="70"/>
        <v>44650</v>
      </c>
      <c r="AD96" s="177">
        <f t="shared" si="70"/>
        <v>44650</v>
      </c>
      <c r="AE96" s="177">
        <f t="shared" si="70"/>
        <v>44650</v>
      </c>
      <c r="AF96" s="177">
        <f t="shared" si="70"/>
        <v>44650</v>
      </c>
      <c r="AG96" s="177">
        <f t="shared" si="70"/>
        <v>44650</v>
      </c>
      <c r="AH96" s="177">
        <f t="shared" si="70"/>
        <v>44650</v>
      </c>
      <c r="AI96" s="177">
        <f t="shared" si="70"/>
        <v>44650</v>
      </c>
      <c r="AJ96" s="177">
        <f t="shared" si="70"/>
        <v>44650</v>
      </c>
      <c r="AK96" s="177">
        <f t="shared" si="70"/>
        <v>44650</v>
      </c>
      <c r="AL96" s="177">
        <f t="shared" si="70"/>
        <v>44650</v>
      </c>
      <c r="AM96" s="177">
        <f t="shared" si="70"/>
        <v>44650</v>
      </c>
      <c r="AN96" s="178">
        <f t="shared" si="75"/>
        <v>535800</v>
      </c>
      <c r="AO96" s="559"/>
      <c r="AP96" s="559"/>
      <c r="AQ96" s="559"/>
      <c r="AR96" s="559"/>
      <c r="AS96" s="559"/>
      <c r="AT96" s="152"/>
      <c r="AU96" s="152"/>
      <c r="AV96" s="152"/>
      <c r="AW96" s="152"/>
      <c r="AX96" s="152"/>
      <c r="AY96" s="152"/>
      <c r="AZ96" s="152"/>
      <c r="BA96" s="152"/>
      <c r="BB96" s="152"/>
      <c r="BC96" s="152"/>
      <c r="BD96" s="152"/>
    </row>
    <row r="97" spans="1:56" ht="13.5" customHeight="1">
      <c r="A97" s="171">
        <f t="shared" si="71"/>
        <v>4</v>
      </c>
      <c r="B97" s="171" t="str">
        <f t="shared" si="72"/>
        <v>ACPLSZ</v>
      </c>
      <c r="C97" s="171" t="s">
        <v>1699</v>
      </c>
      <c r="D97" s="172" t="str">
        <f t="shared" si="65"/>
        <v>Ground transportation</v>
      </c>
      <c r="E97" s="172"/>
      <c r="F97" s="172"/>
      <c r="G97" s="77" t="s">
        <v>2613</v>
      </c>
      <c r="H97" s="173" t="s">
        <v>2614</v>
      </c>
      <c r="I97" s="173" t="s">
        <v>2046</v>
      </c>
      <c r="J97" s="184">
        <f>SUMIF($B$16:$B$44,$B97,$T$16:$T$44)*VLOOKUP($D97,$T$11:$U$15,2,FALSE)+SUMIF($B$16:$B$44,$B97,$O$16:$O$44)*VLOOKUP($D97,$O$11:$P$15,2,FALSE)+SUMIF($B$16:$B$44,$B97,$L$16:$L$44)*VLOOKUP($D97,$L$11:$M$15,2,FALSE)+SUMIF($B$16:$B$44,$B97,$I$16:$I$44)*VLOOKUP($D97,$I$11:$J$15,2,FALSE)</f>
        <v>333600</v>
      </c>
      <c r="K97" s="456">
        <f t="shared" si="66"/>
        <v>46023</v>
      </c>
      <c r="L97" s="456">
        <f t="shared" si="67"/>
        <v>46387</v>
      </c>
      <c r="M97" s="462">
        <f t="shared" si="68"/>
        <v>12</v>
      </c>
      <c r="N97" s="177">
        <f t="shared" ref="N97:Y97" si="77">IF(AND($K97&lt;=N$47,N$47&lt;=$L97),$J97/$M97,0)</f>
        <v>27800</v>
      </c>
      <c r="O97" s="177">
        <f t="shared" si="77"/>
        <v>27800</v>
      </c>
      <c r="P97" s="177">
        <f t="shared" si="77"/>
        <v>27800</v>
      </c>
      <c r="Q97" s="177">
        <f t="shared" si="77"/>
        <v>27800</v>
      </c>
      <c r="R97" s="177">
        <f t="shared" si="77"/>
        <v>27800</v>
      </c>
      <c r="S97" s="177">
        <f t="shared" si="77"/>
        <v>27800</v>
      </c>
      <c r="T97" s="177">
        <f t="shared" si="77"/>
        <v>27800</v>
      </c>
      <c r="U97" s="177">
        <f t="shared" si="77"/>
        <v>27800</v>
      </c>
      <c r="V97" s="177">
        <f t="shared" si="77"/>
        <v>27800</v>
      </c>
      <c r="W97" s="177">
        <f t="shared" si="77"/>
        <v>27800</v>
      </c>
      <c r="X97" s="177">
        <f t="shared" si="77"/>
        <v>27800</v>
      </c>
      <c r="Y97" s="177">
        <f t="shared" si="77"/>
        <v>27800</v>
      </c>
      <c r="Z97" s="178">
        <f t="shared" si="74"/>
        <v>333600</v>
      </c>
      <c r="AA97" s="466"/>
      <c r="AB97" s="177">
        <f t="shared" si="70"/>
        <v>27800</v>
      </c>
      <c r="AC97" s="177">
        <f t="shared" si="70"/>
        <v>27800</v>
      </c>
      <c r="AD97" s="177">
        <f t="shared" si="70"/>
        <v>27800</v>
      </c>
      <c r="AE97" s="177">
        <f t="shared" si="70"/>
        <v>27800</v>
      </c>
      <c r="AF97" s="177">
        <f t="shared" si="70"/>
        <v>27800</v>
      </c>
      <c r="AG97" s="177">
        <f t="shared" si="70"/>
        <v>27800</v>
      </c>
      <c r="AH97" s="177">
        <f t="shared" si="70"/>
        <v>27800</v>
      </c>
      <c r="AI97" s="177">
        <f t="shared" si="70"/>
        <v>27800</v>
      </c>
      <c r="AJ97" s="177">
        <f t="shared" si="70"/>
        <v>27800</v>
      </c>
      <c r="AK97" s="177">
        <f t="shared" si="70"/>
        <v>27800</v>
      </c>
      <c r="AL97" s="177">
        <f t="shared" si="70"/>
        <v>27800</v>
      </c>
      <c r="AM97" s="177">
        <f t="shared" si="70"/>
        <v>27800</v>
      </c>
      <c r="AN97" s="178">
        <f t="shared" si="75"/>
        <v>333600</v>
      </c>
      <c r="AO97" s="559"/>
      <c r="AP97" s="559"/>
      <c r="AQ97" s="559"/>
      <c r="AR97" s="559"/>
      <c r="AS97" s="559"/>
      <c r="AT97" s="152"/>
      <c r="AU97" s="152"/>
      <c r="AV97" s="152"/>
      <c r="AW97" s="152"/>
      <c r="AX97" s="152"/>
      <c r="AY97" s="152"/>
      <c r="AZ97" s="152"/>
      <c r="BA97" s="152"/>
      <c r="BB97" s="152"/>
      <c r="BC97" s="152"/>
      <c r="BD97" s="152"/>
    </row>
    <row r="98" spans="1:56" ht="13.5" customHeight="1">
      <c r="A98" s="171">
        <f t="shared" si="71"/>
        <v>5</v>
      </c>
      <c r="B98" s="171" t="str">
        <f t="shared" si="72"/>
        <v>ACPLSZ</v>
      </c>
      <c r="C98" s="171" t="s">
        <v>1695</v>
      </c>
      <c r="D98" s="172" t="str">
        <f t="shared" si="65"/>
        <v>Meals</v>
      </c>
      <c r="E98" s="172"/>
      <c r="F98" s="172"/>
      <c r="G98" s="77" t="s">
        <v>2613</v>
      </c>
      <c r="H98" s="173" t="s">
        <v>2614</v>
      </c>
      <c r="I98" s="173" t="s">
        <v>2046</v>
      </c>
      <c r="J98" s="184">
        <f>SUMIF($B$16:$B$44,$B98,$T$16:$T$44)*VLOOKUP($D98,$T$11:$U$15,2,FALSE)+SUMIF($B$16:$B$44,$B98,$O$16:$O$44)*VLOOKUP($D98,$O$11:$P$15,2,FALSE)+SUMIF($B$16:$B$44,$B98,$L$16:$L$44)*VLOOKUP($D98,$L$11:$M$15,2,FALSE)+SUMIF($B$16:$B$44,$B98,$I$16:$I$44)*VLOOKUP($D98,$I$11:$J$15,2,FALSE)</f>
        <v>213600</v>
      </c>
      <c r="K98" s="456">
        <f t="shared" si="66"/>
        <v>46023</v>
      </c>
      <c r="L98" s="456">
        <f t="shared" si="67"/>
        <v>46387</v>
      </c>
      <c r="M98" s="462">
        <f t="shared" si="68"/>
        <v>12</v>
      </c>
      <c r="N98" s="177">
        <f t="shared" ref="N98:Y98" si="78">IF(AND($K98&lt;=N$47,N$47&lt;=$L98),$J98/$M98,0)</f>
        <v>17800</v>
      </c>
      <c r="O98" s="177">
        <f t="shared" si="78"/>
        <v>17800</v>
      </c>
      <c r="P98" s="177">
        <f t="shared" si="78"/>
        <v>17800</v>
      </c>
      <c r="Q98" s="177">
        <f t="shared" si="78"/>
        <v>17800</v>
      </c>
      <c r="R98" s="177">
        <f t="shared" si="78"/>
        <v>17800</v>
      </c>
      <c r="S98" s="177">
        <f t="shared" si="78"/>
        <v>17800</v>
      </c>
      <c r="T98" s="177">
        <f t="shared" si="78"/>
        <v>17800</v>
      </c>
      <c r="U98" s="177">
        <f t="shared" si="78"/>
        <v>17800</v>
      </c>
      <c r="V98" s="177">
        <f t="shared" si="78"/>
        <v>17800</v>
      </c>
      <c r="W98" s="177">
        <f t="shared" si="78"/>
        <v>17800</v>
      </c>
      <c r="X98" s="177">
        <f t="shared" si="78"/>
        <v>17800</v>
      </c>
      <c r="Y98" s="177">
        <f t="shared" si="78"/>
        <v>17800</v>
      </c>
      <c r="Z98" s="178">
        <f t="shared" si="74"/>
        <v>213600</v>
      </c>
      <c r="AA98" s="466"/>
      <c r="AB98" s="177">
        <f t="shared" si="70"/>
        <v>17800</v>
      </c>
      <c r="AC98" s="177">
        <f t="shared" si="70"/>
        <v>17800</v>
      </c>
      <c r="AD98" s="177">
        <f t="shared" si="70"/>
        <v>17800</v>
      </c>
      <c r="AE98" s="177">
        <f t="shared" si="70"/>
        <v>17800</v>
      </c>
      <c r="AF98" s="177">
        <f t="shared" si="70"/>
        <v>17800</v>
      </c>
      <c r="AG98" s="177">
        <f t="shared" si="70"/>
        <v>17800</v>
      </c>
      <c r="AH98" s="177">
        <f t="shared" si="70"/>
        <v>17800</v>
      </c>
      <c r="AI98" s="177">
        <f t="shared" si="70"/>
        <v>17800</v>
      </c>
      <c r="AJ98" s="177">
        <f t="shared" si="70"/>
        <v>17800</v>
      </c>
      <c r="AK98" s="177">
        <f t="shared" si="70"/>
        <v>17800</v>
      </c>
      <c r="AL98" s="177">
        <f t="shared" si="70"/>
        <v>17800</v>
      </c>
      <c r="AM98" s="177">
        <f t="shared" si="70"/>
        <v>17800</v>
      </c>
      <c r="AN98" s="178">
        <f t="shared" si="75"/>
        <v>213600</v>
      </c>
      <c r="AO98" s="559"/>
      <c r="AP98" s="559"/>
      <c r="AQ98" s="559"/>
      <c r="AR98" s="559"/>
      <c r="AS98" s="559"/>
      <c r="AT98" s="152"/>
      <c r="AU98" s="152"/>
      <c r="AV98" s="152"/>
      <c r="AW98" s="152"/>
      <c r="AX98" s="152"/>
      <c r="AY98" s="152"/>
      <c r="AZ98" s="152"/>
      <c r="BA98" s="152"/>
      <c r="BB98" s="152"/>
      <c r="BC98" s="152"/>
      <c r="BD98" s="152"/>
    </row>
    <row r="99" spans="1:56" ht="13.5" customHeight="1">
      <c r="A99" s="171">
        <f t="shared" si="71"/>
        <v>6</v>
      </c>
      <c r="B99" s="171" t="str">
        <f t="shared" si="72"/>
        <v>ACPLSZ</v>
      </c>
      <c r="C99" s="171" t="s">
        <v>1623</v>
      </c>
      <c r="D99" s="172" t="str">
        <f t="shared" si="65"/>
        <v>Entertainment</v>
      </c>
      <c r="E99" s="172"/>
      <c r="F99" s="172"/>
      <c r="G99" s="77" t="s">
        <v>2613</v>
      </c>
      <c r="H99" s="173" t="s">
        <v>2614</v>
      </c>
      <c r="I99" s="173" t="s">
        <v>2046</v>
      </c>
      <c r="J99" s="186">
        <v>100000</v>
      </c>
      <c r="K99" s="456">
        <f t="shared" si="66"/>
        <v>46023</v>
      </c>
      <c r="L99" s="456">
        <f t="shared" si="67"/>
        <v>46387</v>
      </c>
      <c r="M99" s="462">
        <f t="shared" si="68"/>
        <v>12</v>
      </c>
      <c r="N99" s="177">
        <f t="shared" ref="N99:Y99" si="79">IF(AND($K99&lt;=N$47,N$47&lt;=$L99),$J99/$M99,0)</f>
        <v>8333.3333333333339</v>
      </c>
      <c r="O99" s="177">
        <f t="shared" si="79"/>
        <v>8333.3333333333339</v>
      </c>
      <c r="P99" s="177">
        <f t="shared" si="79"/>
        <v>8333.3333333333339</v>
      </c>
      <c r="Q99" s="177">
        <f t="shared" si="79"/>
        <v>8333.3333333333339</v>
      </c>
      <c r="R99" s="177">
        <f t="shared" si="79"/>
        <v>8333.3333333333339</v>
      </c>
      <c r="S99" s="177">
        <f t="shared" si="79"/>
        <v>8333.3333333333339</v>
      </c>
      <c r="T99" s="177">
        <f t="shared" si="79"/>
        <v>8333.3333333333339</v>
      </c>
      <c r="U99" s="177">
        <f t="shared" si="79"/>
        <v>8333.3333333333339</v>
      </c>
      <c r="V99" s="177">
        <f t="shared" si="79"/>
        <v>8333.3333333333339</v>
      </c>
      <c r="W99" s="177">
        <f t="shared" si="79"/>
        <v>8333.3333333333339</v>
      </c>
      <c r="X99" s="177">
        <f t="shared" si="79"/>
        <v>8333.3333333333339</v>
      </c>
      <c r="Y99" s="177">
        <f t="shared" si="79"/>
        <v>8333.3333333333339</v>
      </c>
      <c r="Z99" s="178">
        <f t="shared" si="74"/>
        <v>99999.999999999985</v>
      </c>
      <c r="AA99" s="466"/>
      <c r="AB99" s="177">
        <f t="shared" si="70"/>
        <v>8333.3333333333339</v>
      </c>
      <c r="AC99" s="177">
        <f t="shared" si="70"/>
        <v>8333.3333333333339</v>
      </c>
      <c r="AD99" s="177">
        <f t="shared" si="70"/>
        <v>8333.3333333333339</v>
      </c>
      <c r="AE99" s="177">
        <f t="shared" si="70"/>
        <v>8333.3333333333339</v>
      </c>
      <c r="AF99" s="177">
        <f t="shared" si="70"/>
        <v>8333.3333333333339</v>
      </c>
      <c r="AG99" s="177">
        <f t="shared" si="70"/>
        <v>8333.3333333333339</v>
      </c>
      <c r="AH99" s="177">
        <f t="shared" si="70"/>
        <v>8333.3333333333339</v>
      </c>
      <c r="AI99" s="177">
        <f t="shared" si="70"/>
        <v>8333.3333333333339</v>
      </c>
      <c r="AJ99" s="177">
        <f t="shared" si="70"/>
        <v>8333.3333333333339</v>
      </c>
      <c r="AK99" s="177">
        <f t="shared" si="70"/>
        <v>8333.3333333333339</v>
      </c>
      <c r="AL99" s="177">
        <f t="shared" si="70"/>
        <v>8333.3333333333339</v>
      </c>
      <c r="AM99" s="177">
        <f t="shared" si="70"/>
        <v>8333.3333333333339</v>
      </c>
      <c r="AN99" s="178">
        <f t="shared" si="75"/>
        <v>99999.999999999985</v>
      </c>
      <c r="AO99" s="559"/>
      <c r="AP99" s="559"/>
      <c r="AQ99" s="559"/>
      <c r="AR99" s="559"/>
      <c r="AS99" s="559"/>
      <c r="AT99" s="152"/>
      <c r="AU99" s="152"/>
      <c r="AV99" s="152"/>
      <c r="AW99" s="152"/>
      <c r="AX99" s="152"/>
      <c r="AY99" s="152"/>
      <c r="AZ99" s="152"/>
      <c r="BA99" s="152"/>
      <c r="BB99" s="152"/>
      <c r="BC99" s="152"/>
      <c r="BD99" s="152"/>
    </row>
    <row r="100" spans="1:56" ht="13.5" customHeight="1">
      <c r="A100" s="171">
        <f t="shared" si="71"/>
        <v>7</v>
      </c>
      <c r="B100" s="171" t="str">
        <f t="shared" si="72"/>
        <v>ACPLSZ</v>
      </c>
      <c r="C100" s="171" t="s">
        <v>1729</v>
      </c>
      <c r="D100" s="172" t="str">
        <f t="shared" si="65"/>
        <v>Other personal reimbursement</v>
      </c>
      <c r="E100" s="172"/>
      <c r="F100" s="172"/>
      <c r="G100" s="77" t="s">
        <v>2613</v>
      </c>
      <c r="H100" s="173" t="s">
        <v>2614</v>
      </c>
      <c r="I100" s="173" t="s">
        <v>2046</v>
      </c>
      <c r="J100" s="186">
        <v>20000</v>
      </c>
      <c r="K100" s="456">
        <f t="shared" si="66"/>
        <v>46023</v>
      </c>
      <c r="L100" s="456">
        <f t="shared" si="67"/>
        <v>46387</v>
      </c>
      <c r="M100" s="462">
        <f t="shared" si="68"/>
        <v>12</v>
      </c>
      <c r="N100" s="177">
        <f t="shared" ref="N100:Y100" si="80">IF(AND($K100&lt;=N$47,N$47&lt;=$L100),$J100/$M100,0)</f>
        <v>1666.6666666666667</v>
      </c>
      <c r="O100" s="177">
        <f t="shared" si="80"/>
        <v>1666.6666666666667</v>
      </c>
      <c r="P100" s="177">
        <f t="shared" si="80"/>
        <v>1666.6666666666667</v>
      </c>
      <c r="Q100" s="177">
        <f t="shared" si="80"/>
        <v>1666.6666666666667</v>
      </c>
      <c r="R100" s="177">
        <f t="shared" si="80"/>
        <v>1666.6666666666667</v>
      </c>
      <c r="S100" s="177">
        <f t="shared" si="80"/>
        <v>1666.6666666666667</v>
      </c>
      <c r="T100" s="177">
        <f t="shared" si="80"/>
        <v>1666.6666666666667</v>
      </c>
      <c r="U100" s="177">
        <f t="shared" si="80"/>
        <v>1666.6666666666667</v>
      </c>
      <c r="V100" s="177">
        <f t="shared" si="80"/>
        <v>1666.6666666666667</v>
      </c>
      <c r="W100" s="177">
        <f t="shared" si="80"/>
        <v>1666.6666666666667</v>
      </c>
      <c r="X100" s="177">
        <f t="shared" si="80"/>
        <v>1666.6666666666667</v>
      </c>
      <c r="Y100" s="177">
        <f t="shared" si="80"/>
        <v>1666.6666666666667</v>
      </c>
      <c r="Z100" s="178">
        <f t="shared" si="74"/>
        <v>20000</v>
      </c>
      <c r="AA100" s="466"/>
      <c r="AB100" s="177">
        <f t="shared" si="70"/>
        <v>1666.6666666666667</v>
      </c>
      <c r="AC100" s="177">
        <f t="shared" si="70"/>
        <v>1666.6666666666667</v>
      </c>
      <c r="AD100" s="177">
        <f t="shared" si="70"/>
        <v>1666.6666666666667</v>
      </c>
      <c r="AE100" s="177">
        <f t="shared" si="70"/>
        <v>1666.6666666666667</v>
      </c>
      <c r="AF100" s="177">
        <f t="shared" si="70"/>
        <v>1666.6666666666667</v>
      </c>
      <c r="AG100" s="177">
        <f t="shared" si="70"/>
        <v>1666.6666666666667</v>
      </c>
      <c r="AH100" s="177">
        <f t="shared" si="70"/>
        <v>1666.6666666666667</v>
      </c>
      <c r="AI100" s="177">
        <f t="shared" si="70"/>
        <v>1666.6666666666667</v>
      </c>
      <c r="AJ100" s="177">
        <f t="shared" si="70"/>
        <v>1666.6666666666667</v>
      </c>
      <c r="AK100" s="177">
        <f t="shared" si="70"/>
        <v>1666.6666666666667</v>
      </c>
      <c r="AL100" s="177">
        <f t="shared" si="70"/>
        <v>1666.6666666666667</v>
      </c>
      <c r="AM100" s="177">
        <f t="shared" si="70"/>
        <v>1666.6666666666667</v>
      </c>
      <c r="AN100" s="178">
        <f t="shared" si="75"/>
        <v>20000</v>
      </c>
      <c r="AO100" s="559"/>
      <c r="AP100" s="559"/>
      <c r="AQ100" s="559"/>
      <c r="AR100" s="559"/>
      <c r="AS100" s="559"/>
      <c r="AT100" s="152"/>
      <c r="AU100" s="152"/>
      <c r="AV100" s="152"/>
      <c r="AW100" s="152"/>
      <c r="AX100" s="152"/>
      <c r="AY100" s="152"/>
      <c r="AZ100" s="152"/>
      <c r="BA100" s="152"/>
      <c r="BB100" s="152"/>
      <c r="BC100" s="152"/>
      <c r="BD100" s="152"/>
    </row>
    <row r="101" spans="1:56" ht="13.5" customHeight="1">
      <c r="A101" s="171">
        <f t="shared" si="71"/>
        <v>8</v>
      </c>
      <c r="B101" s="171" t="s">
        <v>2111</v>
      </c>
      <c r="C101" s="171"/>
      <c r="D101" s="172">
        <f t="shared" si="65"/>
        <v>0</v>
      </c>
      <c r="E101" s="172"/>
      <c r="F101" s="172"/>
      <c r="G101" s="77" t="s">
        <v>2613</v>
      </c>
      <c r="H101" s="173" t="s">
        <v>2614</v>
      </c>
      <c r="I101" s="173" t="s">
        <v>2046</v>
      </c>
      <c r="J101" s="184"/>
      <c r="K101" s="456">
        <f t="shared" si="66"/>
        <v>46023</v>
      </c>
      <c r="L101" s="456">
        <f t="shared" si="67"/>
        <v>46387</v>
      </c>
      <c r="M101" s="462">
        <f t="shared" si="68"/>
        <v>12</v>
      </c>
      <c r="N101" s="177">
        <f t="shared" ref="N101:Y101" si="81">IF(AND($K101&lt;=N$47,N$47&lt;=$L101),$J101/$M101,0)</f>
        <v>0</v>
      </c>
      <c r="O101" s="177">
        <f t="shared" si="81"/>
        <v>0</v>
      </c>
      <c r="P101" s="177">
        <f t="shared" si="81"/>
        <v>0</v>
      </c>
      <c r="Q101" s="177">
        <f t="shared" si="81"/>
        <v>0</v>
      </c>
      <c r="R101" s="177">
        <f t="shared" si="81"/>
        <v>0</v>
      </c>
      <c r="S101" s="177">
        <f t="shared" si="81"/>
        <v>0</v>
      </c>
      <c r="T101" s="177">
        <f t="shared" si="81"/>
        <v>0</v>
      </c>
      <c r="U101" s="177">
        <f t="shared" si="81"/>
        <v>0</v>
      </c>
      <c r="V101" s="177">
        <f t="shared" si="81"/>
        <v>0</v>
      </c>
      <c r="W101" s="177">
        <f t="shared" si="81"/>
        <v>0</v>
      </c>
      <c r="X101" s="177">
        <f t="shared" si="81"/>
        <v>0</v>
      </c>
      <c r="Y101" s="177">
        <f t="shared" si="81"/>
        <v>0</v>
      </c>
      <c r="Z101" s="178">
        <f t="shared" si="74"/>
        <v>0</v>
      </c>
      <c r="AA101" s="466"/>
      <c r="AB101" s="177">
        <f t="shared" si="70"/>
        <v>0</v>
      </c>
      <c r="AC101" s="177">
        <f t="shared" si="70"/>
        <v>0</v>
      </c>
      <c r="AD101" s="177">
        <f t="shared" si="70"/>
        <v>0</v>
      </c>
      <c r="AE101" s="177">
        <f t="shared" si="70"/>
        <v>0</v>
      </c>
      <c r="AF101" s="177">
        <f t="shared" si="70"/>
        <v>0</v>
      </c>
      <c r="AG101" s="177">
        <f t="shared" si="70"/>
        <v>0</v>
      </c>
      <c r="AH101" s="177">
        <f t="shared" si="70"/>
        <v>0</v>
      </c>
      <c r="AI101" s="177">
        <f t="shared" si="70"/>
        <v>0</v>
      </c>
      <c r="AJ101" s="177">
        <f t="shared" si="70"/>
        <v>0</v>
      </c>
      <c r="AK101" s="177">
        <f t="shared" si="70"/>
        <v>0</v>
      </c>
      <c r="AL101" s="177">
        <f t="shared" si="70"/>
        <v>0</v>
      </c>
      <c r="AM101" s="177">
        <f t="shared" si="70"/>
        <v>0</v>
      </c>
      <c r="AN101" s="178">
        <f t="shared" si="75"/>
        <v>0</v>
      </c>
      <c r="AO101" s="559"/>
      <c r="AP101" s="559"/>
      <c r="AQ101" s="559"/>
      <c r="AR101" s="559"/>
      <c r="AS101" s="559"/>
      <c r="AT101" s="152"/>
      <c r="AU101" s="152"/>
      <c r="AV101" s="152"/>
      <c r="AW101" s="152"/>
      <c r="AX101" s="152"/>
      <c r="AY101" s="152"/>
      <c r="AZ101" s="152"/>
      <c r="BA101" s="152"/>
      <c r="BB101" s="152"/>
      <c r="BC101" s="152"/>
      <c r="BD101" s="152"/>
    </row>
    <row r="102" spans="1:56" ht="13.5" customHeight="1">
      <c r="A102" s="171">
        <f t="shared" si="71"/>
        <v>9</v>
      </c>
      <c r="B102" s="171" t="s">
        <v>2111</v>
      </c>
      <c r="C102" s="171"/>
      <c r="D102" s="172">
        <f t="shared" si="65"/>
        <v>0</v>
      </c>
      <c r="E102" s="172"/>
      <c r="F102" s="172"/>
      <c r="G102" s="77" t="s">
        <v>2613</v>
      </c>
      <c r="H102" s="173" t="s">
        <v>2614</v>
      </c>
      <c r="I102" s="173" t="s">
        <v>2046</v>
      </c>
      <c r="J102" s="184"/>
      <c r="K102" s="456">
        <f t="shared" si="66"/>
        <v>46023</v>
      </c>
      <c r="L102" s="456">
        <f t="shared" si="67"/>
        <v>46387</v>
      </c>
      <c r="M102" s="462">
        <f t="shared" si="68"/>
        <v>12</v>
      </c>
      <c r="N102" s="177">
        <f t="shared" ref="N102:Y102" si="82">IF(AND($K102&lt;=N$47,N$47&lt;=$L102),$J102/$M102,0)</f>
        <v>0</v>
      </c>
      <c r="O102" s="177">
        <f t="shared" si="82"/>
        <v>0</v>
      </c>
      <c r="P102" s="177">
        <f t="shared" si="82"/>
        <v>0</v>
      </c>
      <c r="Q102" s="177">
        <f t="shared" si="82"/>
        <v>0</v>
      </c>
      <c r="R102" s="177">
        <f t="shared" si="82"/>
        <v>0</v>
      </c>
      <c r="S102" s="177">
        <f t="shared" si="82"/>
        <v>0</v>
      </c>
      <c r="T102" s="177">
        <f t="shared" si="82"/>
        <v>0</v>
      </c>
      <c r="U102" s="177">
        <f t="shared" si="82"/>
        <v>0</v>
      </c>
      <c r="V102" s="177">
        <f t="shared" si="82"/>
        <v>0</v>
      </c>
      <c r="W102" s="177">
        <f t="shared" si="82"/>
        <v>0</v>
      </c>
      <c r="X102" s="177">
        <f t="shared" si="82"/>
        <v>0</v>
      </c>
      <c r="Y102" s="177">
        <f t="shared" si="82"/>
        <v>0</v>
      </c>
      <c r="Z102" s="178">
        <f t="shared" si="74"/>
        <v>0</v>
      </c>
      <c r="AA102" s="466"/>
      <c r="AB102" s="177">
        <f t="shared" si="70"/>
        <v>0</v>
      </c>
      <c r="AC102" s="177">
        <f t="shared" si="70"/>
        <v>0</v>
      </c>
      <c r="AD102" s="177">
        <f t="shared" si="70"/>
        <v>0</v>
      </c>
      <c r="AE102" s="177">
        <f t="shared" si="70"/>
        <v>0</v>
      </c>
      <c r="AF102" s="177">
        <f t="shared" si="70"/>
        <v>0</v>
      </c>
      <c r="AG102" s="177">
        <f t="shared" si="70"/>
        <v>0</v>
      </c>
      <c r="AH102" s="177">
        <f t="shared" si="70"/>
        <v>0</v>
      </c>
      <c r="AI102" s="177">
        <f t="shared" si="70"/>
        <v>0</v>
      </c>
      <c r="AJ102" s="177">
        <f t="shared" si="70"/>
        <v>0</v>
      </c>
      <c r="AK102" s="177">
        <f t="shared" si="70"/>
        <v>0</v>
      </c>
      <c r="AL102" s="177">
        <f t="shared" si="70"/>
        <v>0</v>
      </c>
      <c r="AM102" s="177">
        <f t="shared" si="70"/>
        <v>0</v>
      </c>
      <c r="AN102" s="178">
        <f t="shared" si="75"/>
        <v>0</v>
      </c>
      <c r="AO102" s="559"/>
      <c r="AP102" s="559"/>
      <c r="AQ102" s="559"/>
      <c r="AR102" s="559"/>
      <c r="AS102" s="559"/>
      <c r="AT102" s="152"/>
      <c r="AU102" s="152"/>
      <c r="AV102" s="152"/>
      <c r="AW102" s="152"/>
      <c r="AX102" s="152"/>
      <c r="AY102" s="152"/>
      <c r="AZ102" s="152"/>
      <c r="BA102" s="152"/>
      <c r="BB102" s="152"/>
      <c r="BC102" s="152"/>
      <c r="BD102" s="152"/>
    </row>
    <row r="103" spans="1:56" ht="13.5" customHeight="1" thickBot="1">
      <c r="A103" s="171">
        <f t="shared" si="71"/>
        <v>10</v>
      </c>
      <c r="B103" s="171" t="s">
        <v>2111</v>
      </c>
      <c r="C103" s="171"/>
      <c r="D103" s="172">
        <f t="shared" si="65"/>
        <v>0</v>
      </c>
      <c r="E103" s="172"/>
      <c r="F103" s="172"/>
      <c r="G103" s="77" t="s">
        <v>2613</v>
      </c>
      <c r="H103" s="173" t="s">
        <v>2614</v>
      </c>
      <c r="I103" s="173" t="s">
        <v>2046</v>
      </c>
      <c r="J103" s="535"/>
      <c r="K103" s="456">
        <f t="shared" si="66"/>
        <v>46023</v>
      </c>
      <c r="L103" s="456">
        <f t="shared" si="67"/>
        <v>46387</v>
      </c>
      <c r="M103" s="462">
        <f t="shared" si="68"/>
        <v>12</v>
      </c>
      <c r="N103" s="560">
        <f t="shared" ref="N103:Y103" si="83">IF(AND($K103&lt;=N$47,N$47&lt;=$L103),$J103/$M103,0)</f>
        <v>0</v>
      </c>
      <c r="O103" s="560">
        <f t="shared" si="83"/>
        <v>0</v>
      </c>
      <c r="P103" s="560">
        <f t="shared" si="83"/>
        <v>0</v>
      </c>
      <c r="Q103" s="560">
        <f t="shared" si="83"/>
        <v>0</v>
      </c>
      <c r="R103" s="560">
        <f t="shared" si="83"/>
        <v>0</v>
      </c>
      <c r="S103" s="560">
        <f t="shared" si="83"/>
        <v>0</v>
      </c>
      <c r="T103" s="560">
        <f t="shared" si="83"/>
        <v>0</v>
      </c>
      <c r="U103" s="560">
        <f t="shared" si="83"/>
        <v>0</v>
      </c>
      <c r="V103" s="560">
        <f t="shared" si="83"/>
        <v>0</v>
      </c>
      <c r="W103" s="560">
        <f t="shared" si="83"/>
        <v>0</v>
      </c>
      <c r="X103" s="560">
        <f t="shared" si="83"/>
        <v>0</v>
      </c>
      <c r="Y103" s="560">
        <f t="shared" si="83"/>
        <v>0</v>
      </c>
      <c r="Z103" s="178">
        <f t="shared" si="74"/>
        <v>0</v>
      </c>
      <c r="AA103" s="466"/>
      <c r="AB103" s="560">
        <f t="shared" si="70"/>
        <v>0</v>
      </c>
      <c r="AC103" s="560">
        <f t="shared" si="70"/>
        <v>0</v>
      </c>
      <c r="AD103" s="560">
        <f t="shared" si="70"/>
        <v>0</v>
      </c>
      <c r="AE103" s="560">
        <f t="shared" si="70"/>
        <v>0</v>
      </c>
      <c r="AF103" s="560">
        <f t="shared" si="70"/>
        <v>0</v>
      </c>
      <c r="AG103" s="560">
        <f t="shared" si="70"/>
        <v>0</v>
      </c>
      <c r="AH103" s="560">
        <f t="shared" si="70"/>
        <v>0</v>
      </c>
      <c r="AI103" s="560">
        <f t="shared" si="70"/>
        <v>0</v>
      </c>
      <c r="AJ103" s="560">
        <f t="shared" si="70"/>
        <v>0</v>
      </c>
      <c r="AK103" s="560">
        <f t="shared" si="70"/>
        <v>0</v>
      </c>
      <c r="AL103" s="560">
        <f t="shared" si="70"/>
        <v>0</v>
      </c>
      <c r="AM103" s="560">
        <f t="shared" si="70"/>
        <v>0</v>
      </c>
      <c r="AN103" s="178">
        <f t="shared" si="75"/>
        <v>0</v>
      </c>
      <c r="AO103" s="559"/>
      <c r="AP103" s="559"/>
      <c r="AQ103" s="559"/>
      <c r="AR103" s="559"/>
      <c r="AS103" s="559"/>
      <c r="AT103" s="152"/>
      <c r="AU103" s="152"/>
      <c r="AV103" s="152"/>
      <c r="AW103" s="152"/>
      <c r="AX103" s="152"/>
      <c r="AY103" s="152"/>
      <c r="AZ103" s="152"/>
      <c r="BA103" s="152"/>
      <c r="BB103" s="152"/>
      <c r="BC103" s="152"/>
      <c r="BD103" s="152"/>
    </row>
    <row r="104" spans="1:56" ht="20.100000000000001" customHeight="1" thickTop="1">
      <c r="A104" s="538"/>
      <c r="B104" s="539" t="str">
        <f t="shared" ref="B104:B106" si="84">B103</f>
        <v>ACPLSZ</v>
      </c>
      <c r="C104" s="539"/>
      <c r="D104" s="540" t="s">
        <v>2115</v>
      </c>
      <c r="E104" s="541" t="str">
        <f>'CF-ACPL（合并）'!A26</f>
        <v>支付的其他与经营活动有关的现金（员工报销）</v>
      </c>
      <c r="F104" s="540"/>
      <c r="G104" s="542" t="s">
        <v>2613</v>
      </c>
      <c r="H104" s="543" t="s">
        <v>2614</v>
      </c>
      <c r="I104" s="543" t="s">
        <v>2046</v>
      </c>
      <c r="J104" s="544">
        <f>SUM(J94:J103)</f>
        <v>1497600</v>
      </c>
      <c r="K104" s="545">
        <f t="shared" si="66"/>
        <v>46023</v>
      </c>
      <c r="L104" s="545">
        <f t="shared" si="67"/>
        <v>46387</v>
      </c>
      <c r="M104" s="546">
        <f t="shared" si="68"/>
        <v>12</v>
      </c>
      <c r="N104" s="547">
        <f t="shared" ref="N104:Y104" si="85">IF(AND($K104&lt;=N$47,N$47&lt;=$L104),$J104/$M104,0)</f>
        <v>124800</v>
      </c>
      <c r="O104" s="547">
        <f t="shared" si="85"/>
        <v>124800</v>
      </c>
      <c r="P104" s="547">
        <f t="shared" si="85"/>
        <v>124800</v>
      </c>
      <c r="Q104" s="547">
        <f t="shared" si="85"/>
        <v>124800</v>
      </c>
      <c r="R104" s="547">
        <f t="shared" si="85"/>
        <v>124800</v>
      </c>
      <c r="S104" s="547">
        <f t="shared" si="85"/>
        <v>124800</v>
      </c>
      <c r="T104" s="547">
        <f t="shared" si="85"/>
        <v>124800</v>
      </c>
      <c r="U104" s="547">
        <f t="shared" si="85"/>
        <v>124800</v>
      </c>
      <c r="V104" s="547">
        <f t="shared" si="85"/>
        <v>124800</v>
      </c>
      <c r="W104" s="547">
        <f t="shared" si="85"/>
        <v>124800</v>
      </c>
      <c r="X104" s="547">
        <f t="shared" si="85"/>
        <v>124800</v>
      </c>
      <c r="Y104" s="547">
        <f t="shared" si="85"/>
        <v>124800</v>
      </c>
      <c r="Z104" s="563">
        <f t="shared" si="74"/>
        <v>1497600</v>
      </c>
      <c r="AA104" s="466"/>
      <c r="AB104" s="547">
        <f t="shared" si="70"/>
        <v>124800</v>
      </c>
      <c r="AC104" s="547">
        <f t="shared" si="70"/>
        <v>124800</v>
      </c>
      <c r="AD104" s="547">
        <f t="shared" si="70"/>
        <v>124800</v>
      </c>
      <c r="AE104" s="547">
        <f t="shared" si="70"/>
        <v>124800</v>
      </c>
      <c r="AF104" s="547">
        <f t="shared" si="70"/>
        <v>124800</v>
      </c>
      <c r="AG104" s="547">
        <f t="shared" si="70"/>
        <v>124800</v>
      </c>
      <c r="AH104" s="547">
        <f t="shared" si="70"/>
        <v>124800</v>
      </c>
      <c r="AI104" s="547">
        <f t="shared" si="70"/>
        <v>124800</v>
      </c>
      <c r="AJ104" s="547">
        <f t="shared" si="70"/>
        <v>124800</v>
      </c>
      <c r="AK104" s="547">
        <f t="shared" si="70"/>
        <v>124800</v>
      </c>
      <c r="AL104" s="547">
        <f t="shared" si="70"/>
        <v>124800</v>
      </c>
      <c r="AM104" s="547">
        <f t="shared" si="70"/>
        <v>124800</v>
      </c>
      <c r="AN104" s="563">
        <f t="shared" si="75"/>
        <v>1497600</v>
      </c>
      <c r="AP104" s="152"/>
      <c r="AQ104" s="152"/>
      <c r="AR104" s="152"/>
      <c r="AS104" s="152"/>
      <c r="AT104" s="152"/>
      <c r="AU104" s="152"/>
      <c r="AV104" s="152"/>
      <c r="AW104" s="152"/>
      <c r="AX104" s="152"/>
      <c r="AY104" s="152"/>
      <c r="AZ104" s="152"/>
      <c r="BA104" s="152"/>
      <c r="BB104" s="152"/>
      <c r="BC104" s="152"/>
      <c r="BD104" s="152"/>
    </row>
    <row r="105" spans="1:56" ht="13.5" customHeight="1">
      <c r="A105" s="548"/>
      <c r="B105" s="171" t="str">
        <f t="shared" si="84"/>
        <v>ACPLSZ</v>
      </c>
      <c r="C105" s="171"/>
      <c r="D105" s="172" t="s">
        <v>2675</v>
      </c>
      <c r="E105" s="172"/>
      <c r="F105" s="549">
        <f>J105/$J$104</f>
        <v>0.95178952991452992</v>
      </c>
      <c r="G105" s="77" t="s">
        <v>2613</v>
      </c>
      <c r="H105" s="173" t="s">
        <v>2614</v>
      </c>
      <c r="I105" s="173" t="s">
        <v>2046</v>
      </c>
      <c r="J105" s="184">
        <f>SUMIFS($P$16:$P$44,$Q$16:$Q$44,$D$75,$B$16:$B$44,B94)+SUMIFS($T$16:$T$44,$Q$16:$Q$44,$D$75,$B$16:$B$44,B94)+J99</f>
        <v>1425400</v>
      </c>
      <c r="K105" s="456">
        <f t="shared" si="66"/>
        <v>46023</v>
      </c>
      <c r="L105" s="456">
        <f t="shared" si="67"/>
        <v>46387</v>
      </c>
      <c r="M105" s="176">
        <f t="shared" si="68"/>
        <v>12</v>
      </c>
      <c r="N105" s="177">
        <f t="shared" ref="N105:Y105" si="86">IF(AND($K105&lt;=N$47,N$47&lt;=$L105),$J105/$M105,0)</f>
        <v>118783.33333333333</v>
      </c>
      <c r="O105" s="177">
        <f t="shared" si="86"/>
        <v>118783.33333333333</v>
      </c>
      <c r="P105" s="177">
        <f t="shared" si="86"/>
        <v>118783.33333333333</v>
      </c>
      <c r="Q105" s="177">
        <f t="shared" si="86"/>
        <v>118783.33333333333</v>
      </c>
      <c r="R105" s="177">
        <f t="shared" si="86"/>
        <v>118783.33333333333</v>
      </c>
      <c r="S105" s="177">
        <f t="shared" si="86"/>
        <v>118783.33333333333</v>
      </c>
      <c r="T105" s="177">
        <f t="shared" si="86"/>
        <v>118783.33333333333</v>
      </c>
      <c r="U105" s="177">
        <f t="shared" si="86"/>
        <v>118783.33333333333</v>
      </c>
      <c r="V105" s="177">
        <f t="shared" si="86"/>
        <v>118783.33333333333</v>
      </c>
      <c r="W105" s="177">
        <f t="shared" si="86"/>
        <v>118783.33333333333</v>
      </c>
      <c r="X105" s="177">
        <f t="shared" si="86"/>
        <v>118783.33333333333</v>
      </c>
      <c r="Y105" s="177">
        <f t="shared" si="86"/>
        <v>118783.33333333333</v>
      </c>
      <c r="Z105" s="563">
        <f t="shared" si="74"/>
        <v>1425399.9999999998</v>
      </c>
      <c r="AA105" s="466"/>
      <c r="AB105" s="177">
        <f t="shared" si="70"/>
        <v>118783.33333333333</v>
      </c>
      <c r="AC105" s="177">
        <f t="shared" si="70"/>
        <v>118783.33333333333</v>
      </c>
      <c r="AD105" s="177">
        <f t="shared" si="70"/>
        <v>118783.33333333333</v>
      </c>
      <c r="AE105" s="177">
        <f t="shared" si="70"/>
        <v>118783.33333333333</v>
      </c>
      <c r="AF105" s="177">
        <f t="shared" si="70"/>
        <v>118783.33333333333</v>
      </c>
      <c r="AG105" s="177">
        <f t="shared" si="70"/>
        <v>118783.33333333333</v>
      </c>
      <c r="AH105" s="177">
        <f t="shared" si="70"/>
        <v>118783.33333333333</v>
      </c>
      <c r="AI105" s="177">
        <f t="shared" si="70"/>
        <v>118783.33333333333</v>
      </c>
      <c r="AJ105" s="177">
        <f t="shared" si="70"/>
        <v>118783.33333333333</v>
      </c>
      <c r="AK105" s="177">
        <f t="shared" si="70"/>
        <v>118783.33333333333</v>
      </c>
      <c r="AL105" s="177">
        <f t="shared" si="70"/>
        <v>118783.33333333333</v>
      </c>
      <c r="AM105" s="177">
        <f t="shared" si="70"/>
        <v>118783.33333333333</v>
      </c>
      <c r="AN105" s="563">
        <f t="shared" si="75"/>
        <v>1425399.9999999998</v>
      </c>
      <c r="AP105" s="152"/>
      <c r="AQ105" s="152"/>
      <c r="AR105" s="152"/>
      <c r="AS105" s="152"/>
      <c r="AT105" s="152"/>
      <c r="AU105" s="152"/>
      <c r="AV105" s="152"/>
      <c r="AW105" s="152"/>
      <c r="AX105" s="152"/>
      <c r="AY105" s="152"/>
      <c r="AZ105" s="152"/>
      <c r="BA105" s="152"/>
      <c r="BB105" s="152"/>
      <c r="BC105" s="152"/>
      <c r="BD105" s="152"/>
    </row>
    <row r="106" spans="1:56" ht="13.5" customHeight="1" thickBot="1">
      <c r="A106" s="550"/>
      <c r="B106" s="551" t="str">
        <f t="shared" si="84"/>
        <v>ACPLSZ</v>
      </c>
      <c r="C106" s="551"/>
      <c r="D106" s="552" t="s">
        <v>2673</v>
      </c>
      <c r="E106" s="552"/>
      <c r="F106" s="549">
        <f>J106/$J$104</f>
        <v>4.8210470085470088E-2</v>
      </c>
      <c r="G106" s="553" t="s">
        <v>2613</v>
      </c>
      <c r="H106" s="554" t="s">
        <v>2614</v>
      </c>
      <c r="I106" s="554" t="s">
        <v>2046</v>
      </c>
      <c r="J106" s="555">
        <f>J104-J105</f>
        <v>72200</v>
      </c>
      <c r="K106" s="556">
        <f t="shared" si="66"/>
        <v>46023</v>
      </c>
      <c r="L106" s="556">
        <f t="shared" si="67"/>
        <v>46387</v>
      </c>
      <c r="M106" s="557">
        <f t="shared" si="68"/>
        <v>12</v>
      </c>
      <c r="N106" s="561">
        <f t="shared" ref="N106:Y106" si="87">IF(AND($K106&lt;=N$47,N$47&lt;=$L106),$J106/$M106,0)</f>
        <v>6016.666666666667</v>
      </c>
      <c r="O106" s="561">
        <f t="shared" si="87"/>
        <v>6016.666666666667</v>
      </c>
      <c r="P106" s="561">
        <f t="shared" si="87"/>
        <v>6016.666666666667</v>
      </c>
      <c r="Q106" s="561">
        <f t="shared" si="87"/>
        <v>6016.666666666667</v>
      </c>
      <c r="R106" s="561">
        <f t="shared" si="87"/>
        <v>6016.666666666667</v>
      </c>
      <c r="S106" s="561">
        <f t="shared" si="87"/>
        <v>6016.666666666667</v>
      </c>
      <c r="T106" s="561">
        <f t="shared" si="87"/>
        <v>6016.666666666667</v>
      </c>
      <c r="U106" s="561">
        <f t="shared" si="87"/>
        <v>6016.666666666667</v>
      </c>
      <c r="V106" s="561">
        <f t="shared" si="87"/>
        <v>6016.666666666667</v>
      </c>
      <c r="W106" s="561">
        <f t="shared" si="87"/>
        <v>6016.666666666667</v>
      </c>
      <c r="X106" s="561">
        <f t="shared" si="87"/>
        <v>6016.666666666667</v>
      </c>
      <c r="Y106" s="561">
        <f t="shared" si="87"/>
        <v>6016.666666666667</v>
      </c>
      <c r="Z106" s="563">
        <f t="shared" si="74"/>
        <v>72200</v>
      </c>
      <c r="AA106" s="466"/>
      <c r="AB106" s="561">
        <f t="shared" si="70"/>
        <v>6016.666666666667</v>
      </c>
      <c r="AC106" s="561">
        <f t="shared" si="70"/>
        <v>6016.666666666667</v>
      </c>
      <c r="AD106" s="561">
        <f t="shared" si="70"/>
        <v>6016.666666666667</v>
      </c>
      <c r="AE106" s="561">
        <f t="shared" si="70"/>
        <v>6016.666666666667</v>
      </c>
      <c r="AF106" s="561">
        <f t="shared" si="70"/>
        <v>6016.666666666667</v>
      </c>
      <c r="AG106" s="561">
        <f t="shared" si="70"/>
        <v>6016.666666666667</v>
      </c>
      <c r="AH106" s="561">
        <f t="shared" si="70"/>
        <v>6016.666666666667</v>
      </c>
      <c r="AI106" s="561">
        <f t="shared" si="70"/>
        <v>6016.666666666667</v>
      </c>
      <c r="AJ106" s="561">
        <f t="shared" si="70"/>
        <v>6016.666666666667</v>
      </c>
      <c r="AK106" s="561">
        <f t="shared" si="70"/>
        <v>6016.666666666667</v>
      </c>
      <c r="AL106" s="561">
        <f t="shared" si="70"/>
        <v>6016.666666666667</v>
      </c>
      <c r="AM106" s="561">
        <f t="shared" si="70"/>
        <v>6016.666666666667</v>
      </c>
      <c r="AN106" s="563">
        <f t="shared" si="75"/>
        <v>72200</v>
      </c>
      <c r="AP106" s="152"/>
      <c r="AQ106" s="152"/>
      <c r="AR106" s="152"/>
      <c r="AS106" s="152"/>
      <c r="AT106" s="152"/>
      <c r="AU106" s="152"/>
      <c r="AV106" s="152"/>
      <c r="AW106" s="152"/>
      <c r="AX106" s="152"/>
      <c r="AY106" s="152"/>
      <c r="AZ106" s="152"/>
      <c r="BA106" s="152"/>
      <c r="BB106" s="152"/>
      <c r="BC106" s="152"/>
      <c r="BD106" s="152"/>
    </row>
    <row r="107" spans="1:56" ht="13.5" customHeight="1" thickTop="1">
      <c r="A107" s="1120"/>
      <c r="B107" s="1120"/>
      <c r="C107" s="1120"/>
      <c r="D107" s="1121"/>
      <c r="E107" s="1121"/>
      <c r="F107" s="1122"/>
      <c r="G107" s="63"/>
      <c r="H107" s="1123"/>
      <c r="I107" s="1123"/>
      <c r="J107" s="1124"/>
      <c r="K107" s="459"/>
      <c r="L107" s="459"/>
      <c r="M107" s="1125"/>
      <c r="N107" s="1126"/>
      <c r="O107" s="1126"/>
      <c r="P107" s="1126"/>
      <c r="Q107" s="1126"/>
      <c r="R107" s="1126"/>
      <c r="S107" s="1126"/>
      <c r="T107" s="1126"/>
      <c r="U107" s="1126"/>
      <c r="V107" s="1126"/>
      <c r="W107" s="1126"/>
      <c r="X107" s="1126"/>
      <c r="Y107" s="1126"/>
      <c r="Z107" s="1131"/>
      <c r="AA107" s="466"/>
      <c r="AB107" s="1126"/>
      <c r="AC107" s="1126"/>
      <c r="AD107" s="1126"/>
      <c r="AE107" s="1126"/>
      <c r="AF107" s="1126"/>
      <c r="AG107" s="1126"/>
      <c r="AH107" s="1126"/>
      <c r="AI107" s="1126"/>
      <c r="AJ107" s="1126"/>
      <c r="AK107" s="1126"/>
      <c r="AL107" s="1126"/>
      <c r="AM107" s="1126"/>
      <c r="AN107" s="1131"/>
      <c r="AP107" s="152"/>
      <c r="AQ107" s="152"/>
      <c r="AR107" s="152"/>
      <c r="AS107" s="152"/>
      <c r="AT107" s="152"/>
      <c r="AU107" s="152"/>
      <c r="AV107" s="152"/>
      <c r="AW107" s="152"/>
      <c r="AX107" s="152"/>
      <c r="AY107" s="152"/>
      <c r="AZ107" s="152"/>
      <c r="BA107" s="152"/>
      <c r="BB107" s="152"/>
      <c r="BC107" s="152"/>
      <c r="BD107" s="152"/>
    </row>
    <row r="108" spans="1:56" s="150" customFormat="1" ht="42.95" customHeight="1">
      <c r="A108" s="162"/>
      <c r="B108" s="526" t="s">
        <v>2598</v>
      </c>
      <c r="C108" s="527" t="s">
        <v>2600</v>
      </c>
      <c r="D108" s="528" t="str">
        <f>$D$47</f>
        <v>Travel and Entertainment</v>
      </c>
      <c r="E108" s="528" t="s">
        <v>2602</v>
      </c>
      <c r="F108" s="528" t="s">
        <v>2603</v>
      </c>
      <c r="G108" s="164" t="s">
        <v>2604</v>
      </c>
      <c r="H108" s="164" t="s">
        <v>2605</v>
      </c>
      <c r="I108" s="165" t="s">
        <v>2606</v>
      </c>
      <c r="J108" s="464" t="s">
        <v>2607</v>
      </c>
      <c r="K108" s="465" t="s">
        <v>2608</v>
      </c>
      <c r="L108" s="465" t="s">
        <v>2609</v>
      </c>
      <c r="M108" s="464" t="s">
        <v>2610</v>
      </c>
      <c r="N108" s="1132">
        <v>46023</v>
      </c>
      <c r="O108" s="1132">
        <v>46054</v>
      </c>
      <c r="P108" s="1132">
        <v>46082</v>
      </c>
      <c r="Q108" s="1132">
        <v>46113</v>
      </c>
      <c r="R108" s="1132">
        <v>46143</v>
      </c>
      <c r="S108" s="1132">
        <v>46174</v>
      </c>
      <c r="T108" s="1132">
        <v>46204</v>
      </c>
      <c r="U108" s="1132">
        <v>46235</v>
      </c>
      <c r="V108" s="1132">
        <v>46266</v>
      </c>
      <c r="W108" s="1132">
        <v>46296</v>
      </c>
      <c r="X108" s="1132">
        <v>46327</v>
      </c>
      <c r="Y108" s="1132">
        <v>46357</v>
      </c>
      <c r="Z108" s="168" t="s">
        <v>2115</v>
      </c>
      <c r="AA108" s="529"/>
      <c r="AB108" s="1132">
        <v>46023</v>
      </c>
      <c r="AC108" s="1132">
        <v>46054</v>
      </c>
      <c r="AD108" s="1132">
        <v>46082</v>
      </c>
      <c r="AE108" s="1132">
        <v>46113</v>
      </c>
      <c r="AF108" s="1132">
        <v>46143</v>
      </c>
      <c r="AG108" s="1132">
        <v>46174</v>
      </c>
      <c r="AH108" s="1132">
        <v>46204</v>
      </c>
      <c r="AI108" s="1132">
        <v>46235</v>
      </c>
      <c r="AJ108" s="1132">
        <v>46266</v>
      </c>
      <c r="AK108" s="1132">
        <v>46296</v>
      </c>
      <c r="AL108" s="1132">
        <v>46327</v>
      </c>
      <c r="AM108" s="1132">
        <v>46357</v>
      </c>
      <c r="AN108" s="168" t="s">
        <v>2115</v>
      </c>
      <c r="AO108" s="562"/>
      <c r="AP108" s="562"/>
      <c r="AQ108" s="562"/>
      <c r="AR108" s="562"/>
      <c r="AS108" s="514"/>
    </row>
    <row r="109" spans="1:56" ht="13.5" customHeight="1">
      <c r="A109" s="171">
        <v>1</v>
      </c>
      <c r="B109" s="171" t="s">
        <v>2242</v>
      </c>
      <c r="C109" s="171" t="s">
        <v>1704</v>
      </c>
      <c r="D109" s="172" t="str">
        <f t="shared" ref="D109:D121" si="88">D49</f>
        <v>Airfare - International</v>
      </c>
      <c r="E109" s="172"/>
      <c r="F109" s="172"/>
      <c r="G109" s="77" t="s">
        <v>2613</v>
      </c>
      <c r="H109" s="173" t="s">
        <v>2614</v>
      </c>
      <c r="I109" s="173" t="s">
        <v>2046</v>
      </c>
      <c r="J109" s="184">
        <f>SUMIF($B$16:$B$44,$B109,$T$16:$T$44)*VLOOKUP($D109,$T$11:$U$15,2,FALSE)</f>
        <v>0</v>
      </c>
      <c r="K109" s="456">
        <f t="shared" ref="K109:K121" si="89">$K$49</f>
        <v>46023</v>
      </c>
      <c r="L109" s="456">
        <f t="shared" ref="L109:L121" si="90">$L$49</f>
        <v>46387</v>
      </c>
      <c r="M109" s="462">
        <f t="shared" ref="M109:M121" si="91">IF(AND(K109="",L109=""),"-",IF(L109="",12,DATEDIF(K109,L109,"M")+1))</f>
        <v>12</v>
      </c>
      <c r="N109" s="177">
        <f t="shared" ref="N109:Y109" si="92">IF(AND($K109&lt;=N$47,N$47&lt;=$L109),$J109/$M109,0)</f>
        <v>0</v>
      </c>
      <c r="O109" s="177">
        <f t="shared" si="92"/>
        <v>0</v>
      </c>
      <c r="P109" s="177">
        <f t="shared" si="92"/>
        <v>0</v>
      </c>
      <c r="Q109" s="177">
        <f t="shared" si="92"/>
        <v>0</v>
      </c>
      <c r="R109" s="177">
        <f t="shared" si="92"/>
        <v>0</v>
      </c>
      <c r="S109" s="177">
        <f t="shared" si="92"/>
        <v>0</v>
      </c>
      <c r="T109" s="177">
        <f t="shared" si="92"/>
        <v>0</v>
      </c>
      <c r="U109" s="177">
        <f t="shared" si="92"/>
        <v>0</v>
      </c>
      <c r="V109" s="177">
        <f t="shared" si="92"/>
        <v>0</v>
      </c>
      <c r="W109" s="177">
        <f t="shared" si="92"/>
        <v>0</v>
      </c>
      <c r="X109" s="177">
        <f t="shared" si="92"/>
        <v>0</v>
      </c>
      <c r="Y109" s="177">
        <f t="shared" si="92"/>
        <v>0</v>
      </c>
      <c r="Z109" s="178">
        <f>SUM(N109:Y109)</f>
        <v>0</v>
      </c>
      <c r="AA109" s="466"/>
      <c r="AB109" s="177">
        <f t="shared" ref="AB109:AM121" si="93">IF(AND($K109&lt;=AB$47,AB$47&lt;=$L109),$J109/$M109,0)</f>
        <v>0</v>
      </c>
      <c r="AC109" s="177">
        <f t="shared" si="93"/>
        <v>0</v>
      </c>
      <c r="AD109" s="177">
        <f t="shared" si="93"/>
        <v>0</v>
      </c>
      <c r="AE109" s="177">
        <f t="shared" si="93"/>
        <v>0</v>
      </c>
      <c r="AF109" s="177">
        <f t="shared" si="93"/>
        <v>0</v>
      </c>
      <c r="AG109" s="177">
        <f t="shared" si="93"/>
        <v>0</v>
      </c>
      <c r="AH109" s="177">
        <f t="shared" si="93"/>
        <v>0</v>
      </c>
      <c r="AI109" s="177">
        <f t="shared" si="93"/>
        <v>0</v>
      </c>
      <c r="AJ109" s="177">
        <f t="shared" si="93"/>
        <v>0</v>
      </c>
      <c r="AK109" s="177">
        <f t="shared" si="93"/>
        <v>0</v>
      </c>
      <c r="AL109" s="177">
        <f t="shared" si="93"/>
        <v>0</v>
      </c>
      <c r="AM109" s="177">
        <f t="shared" si="93"/>
        <v>0</v>
      </c>
      <c r="AN109" s="178">
        <f>SUM(AB109:AM109)</f>
        <v>0</v>
      </c>
      <c r="AO109" s="559"/>
      <c r="AP109" s="559"/>
      <c r="AQ109" s="559"/>
      <c r="AR109" s="559"/>
      <c r="AS109" s="559"/>
      <c r="AT109" s="152"/>
      <c r="AU109" s="152"/>
      <c r="AV109" s="152"/>
      <c r="AW109" s="152"/>
      <c r="AX109" s="152"/>
      <c r="AY109" s="152"/>
      <c r="AZ109" s="152"/>
      <c r="BA109" s="152"/>
      <c r="BB109" s="152"/>
      <c r="BC109" s="152"/>
      <c r="BD109" s="152"/>
    </row>
    <row r="110" spans="1:56" ht="13.5" customHeight="1">
      <c r="A110" s="171">
        <f t="shared" ref="A110:A118" si="94">IF(A109&lt;=0,FALSE,A109+1)</f>
        <v>2</v>
      </c>
      <c r="B110" s="171" t="s">
        <v>2242</v>
      </c>
      <c r="C110" s="171" t="s">
        <v>1704</v>
      </c>
      <c r="D110" s="172" t="str">
        <f t="shared" si="88"/>
        <v>Airfare - Domestic</v>
      </c>
      <c r="E110" s="172"/>
      <c r="F110" s="172"/>
      <c r="G110" s="77" t="s">
        <v>2613</v>
      </c>
      <c r="H110" s="173" t="s">
        <v>2614</v>
      </c>
      <c r="I110" s="173" t="s">
        <v>2046</v>
      </c>
      <c r="J110" s="184">
        <f>SUMIF($B$16:$B$44,$B110,$O$16:$O$44)*VLOOKUP($D110,$O$11:$P$15,2,FALSE)</f>
        <v>67200</v>
      </c>
      <c r="K110" s="456">
        <f t="shared" si="89"/>
        <v>46023</v>
      </c>
      <c r="L110" s="456">
        <f t="shared" si="90"/>
        <v>46387</v>
      </c>
      <c r="M110" s="462">
        <f t="shared" si="91"/>
        <v>12</v>
      </c>
      <c r="N110" s="177">
        <f t="shared" ref="N110:Y110" si="95">IF(AND($K110&lt;=N$47,N$47&lt;=$L110),$J110/$M110,0)</f>
        <v>5600</v>
      </c>
      <c r="O110" s="177">
        <f t="shared" si="95"/>
        <v>5600</v>
      </c>
      <c r="P110" s="177">
        <f t="shared" si="95"/>
        <v>5600</v>
      </c>
      <c r="Q110" s="177">
        <f t="shared" si="95"/>
        <v>5600</v>
      </c>
      <c r="R110" s="177">
        <f t="shared" si="95"/>
        <v>5600</v>
      </c>
      <c r="S110" s="177">
        <f t="shared" si="95"/>
        <v>5600</v>
      </c>
      <c r="T110" s="177">
        <f t="shared" si="95"/>
        <v>5600</v>
      </c>
      <c r="U110" s="177">
        <f t="shared" si="95"/>
        <v>5600</v>
      </c>
      <c r="V110" s="177">
        <f t="shared" si="95"/>
        <v>5600</v>
      </c>
      <c r="W110" s="177">
        <f t="shared" si="95"/>
        <v>5600</v>
      </c>
      <c r="X110" s="177">
        <f t="shared" si="95"/>
        <v>5600</v>
      </c>
      <c r="Y110" s="177">
        <f t="shared" si="95"/>
        <v>5600</v>
      </c>
      <c r="Z110" s="178">
        <f t="shared" ref="Z110:Z121" si="96">SUM(N110:Y110)</f>
        <v>67200</v>
      </c>
      <c r="AA110" s="466"/>
      <c r="AB110" s="177">
        <f t="shared" si="93"/>
        <v>5600</v>
      </c>
      <c r="AC110" s="177">
        <f t="shared" si="93"/>
        <v>5600</v>
      </c>
      <c r="AD110" s="177">
        <f t="shared" si="93"/>
        <v>5600</v>
      </c>
      <c r="AE110" s="177">
        <f t="shared" si="93"/>
        <v>5600</v>
      </c>
      <c r="AF110" s="177">
        <f t="shared" si="93"/>
        <v>5600</v>
      </c>
      <c r="AG110" s="177">
        <f t="shared" si="93"/>
        <v>5600</v>
      </c>
      <c r="AH110" s="177">
        <f t="shared" si="93"/>
        <v>5600</v>
      </c>
      <c r="AI110" s="177">
        <f t="shared" si="93"/>
        <v>5600</v>
      </c>
      <c r="AJ110" s="177">
        <f t="shared" si="93"/>
        <v>5600</v>
      </c>
      <c r="AK110" s="177">
        <f t="shared" si="93"/>
        <v>5600</v>
      </c>
      <c r="AL110" s="177">
        <f t="shared" si="93"/>
        <v>5600</v>
      </c>
      <c r="AM110" s="177">
        <f t="shared" si="93"/>
        <v>5600</v>
      </c>
      <c r="AN110" s="178">
        <f t="shared" ref="AN110:AN121" si="97">SUM(AB110:AM110)</f>
        <v>67200</v>
      </c>
      <c r="AO110" s="559"/>
      <c r="AP110" s="559"/>
      <c r="AQ110" s="559"/>
      <c r="AR110" s="559"/>
      <c r="AS110" s="559"/>
      <c r="AT110" s="152"/>
      <c r="AU110" s="152"/>
      <c r="AV110" s="152"/>
      <c r="AW110" s="152"/>
      <c r="AX110" s="152"/>
      <c r="AY110" s="152"/>
      <c r="AZ110" s="152"/>
      <c r="BA110" s="152"/>
      <c r="BB110" s="152"/>
      <c r="BC110" s="152"/>
      <c r="BD110" s="152"/>
    </row>
    <row r="111" spans="1:56" ht="13.5" customHeight="1">
      <c r="A111" s="171">
        <f t="shared" si="94"/>
        <v>3</v>
      </c>
      <c r="B111" s="171" t="s">
        <v>2242</v>
      </c>
      <c r="C111" s="171" t="s">
        <v>1690</v>
      </c>
      <c r="D111" s="172" t="str">
        <f t="shared" si="88"/>
        <v>Hotels</v>
      </c>
      <c r="E111" s="172"/>
      <c r="F111" s="172"/>
      <c r="G111" s="77" t="s">
        <v>2613</v>
      </c>
      <c r="H111" s="173" t="s">
        <v>2614</v>
      </c>
      <c r="I111" s="173" t="s">
        <v>2046</v>
      </c>
      <c r="J111" s="184">
        <f>SUMIF($B$16:$B$44,$B111,$T$16:$T$44)*VLOOKUP($D111,$T$11:$U$15,2,FALSE)+SUMIF($B$16:$B$44,$B111,$O$16:$O$44)*VLOOKUP($D111,$O$11:$P$15,2,FALSE)+SUMIF($B$16:$B$44,$B111,$L$16:$L$44)*VLOOKUP($D111,$L$11:$M$15,2,FALSE)</f>
        <v>177600</v>
      </c>
      <c r="K111" s="456">
        <f t="shared" si="89"/>
        <v>46023</v>
      </c>
      <c r="L111" s="456">
        <f t="shared" si="90"/>
        <v>46387</v>
      </c>
      <c r="M111" s="462">
        <f t="shared" si="91"/>
        <v>12</v>
      </c>
      <c r="N111" s="177">
        <f t="shared" ref="N111:Y111" si="98">IF(AND($K111&lt;=N$47,N$47&lt;=$L111),$J111/$M111,0)</f>
        <v>14800</v>
      </c>
      <c r="O111" s="177">
        <f t="shared" si="98"/>
        <v>14800</v>
      </c>
      <c r="P111" s="177">
        <f t="shared" si="98"/>
        <v>14800</v>
      </c>
      <c r="Q111" s="177">
        <f t="shared" si="98"/>
        <v>14800</v>
      </c>
      <c r="R111" s="177">
        <f t="shared" si="98"/>
        <v>14800</v>
      </c>
      <c r="S111" s="177">
        <f t="shared" si="98"/>
        <v>14800</v>
      </c>
      <c r="T111" s="177">
        <f t="shared" si="98"/>
        <v>14800</v>
      </c>
      <c r="U111" s="177">
        <f t="shared" si="98"/>
        <v>14800</v>
      </c>
      <c r="V111" s="177">
        <f t="shared" si="98"/>
        <v>14800</v>
      </c>
      <c r="W111" s="177">
        <f t="shared" si="98"/>
        <v>14800</v>
      </c>
      <c r="X111" s="177">
        <f t="shared" si="98"/>
        <v>14800</v>
      </c>
      <c r="Y111" s="177">
        <f t="shared" si="98"/>
        <v>14800</v>
      </c>
      <c r="Z111" s="178">
        <f t="shared" si="96"/>
        <v>177600</v>
      </c>
      <c r="AA111" s="466"/>
      <c r="AB111" s="177">
        <f t="shared" si="93"/>
        <v>14800</v>
      </c>
      <c r="AC111" s="177">
        <f t="shared" si="93"/>
        <v>14800</v>
      </c>
      <c r="AD111" s="177">
        <f t="shared" si="93"/>
        <v>14800</v>
      </c>
      <c r="AE111" s="177">
        <f t="shared" si="93"/>
        <v>14800</v>
      </c>
      <c r="AF111" s="177">
        <f t="shared" si="93"/>
        <v>14800</v>
      </c>
      <c r="AG111" s="177">
        <f t="shared" si="93"/>
        <v>14800</v>
      </c>
      <c r="AH111" s="177">
        <f t="shared" si="93"/>
        <v>14800</v>
      </c>
      <c r="AI111" s="177">
        <f t="shared" si="93"/>
        <v>14800</v>
      </c>
      <c r="AJ111" s="177">
        <f t="shared" si="93"/>
        <v>14800</v>
      </c>
      <c r="AK111" s="177">
        <f t="shared" si="93"/>
        <v>14800</v>
      </c>
      <c r="AL111" s="177">
        <f t="shared" si="93"/>
        <v>14800</v>
      </c>
      <c r="AM111" s="177">
        <f t="shared" si="93"/>
        <v>14800</v>
      </c>
      <c r="AN111" s="178">
        <f t="shared" si="97"/>
        <v>177600</v>
      </c>
      <c r="AO111" s="559"/>
      <c r="AP111" s="559"/>
      <c r="AQ111" s="559"/>
      <c r="AR111" s="559"/>
      <c r="AS111" s="559"/>
      <c r="AT111" s="152"/>
      <c r="AU111" s="152"/>
      <c r="AV111" s="152"/>
      <c r="AW111" s="152"/>
      <c r="AX111" s="152"/>
      <c r="AY111" s="152"/>
      <c r="AZ111" s="152"/>
      <c r="BA111" s="152"/>
      <c r="BB111" s="152"/>
      <c r="BC111" s="152"/>
      <c r="BD111" s="152"/>
    </row>
    <row r="112" spans="1:56" ht="13.5" customHeight="1">
      <c r="A112" s="171">
        <f t="shared" si="94"/>
        <v>4</v>
      </c>
      <c r="B112" s="171" t="s">
        <v>2242</v>
      </c>
      <c r="C112" s="171" t="s">
        <v>1699</v>
      </c>
      <c r="D112" s="172" t="str">
        <f t="shared" si="88"/>
        <v>Ground transportation</v>
      </c>
      <c r="E112" s="172"/>
      <c r="F112" s="172"/>
      <c r="G112" s="77" t="s">
        <v>2613</v>
      </c>
      <c r="H112" s="173" t="s">
        <v>2614</v>
      </c>
      <c r="I112" s="173" t="s">
        <v>2046</v>
      </c>
      <c r="J112" s="184">
        <f>SUMIF($B$16:$B$44,$B112,$T$16:$T$44)*VLOOKUP($D112,$T$11:$U$15,2,FALSE)+SUMIF($B$16:$B$44,$B112,$O$16:$O$44)*VLOOKUP($D112,$O$11:$P$15,2,FALSE)+SUMIF($B$16:$B$44,$B112,$L$16:$L$44)*VLOOKUP($D112,$L$11:$M$15,2,FALSE)+SUMIF($B$16:$B$44,$B112,$I$16:$I$44)*VLOOKUP($D112,$I$11:$J$15,2,FALSE)</f>
        <v>127200</v>
      </c>
      <c r="K112" s="456">
        <f t="shared" si="89"/>
        <v>46023</v>
      </c>
      <c r="L112" s="456">
        <f t="shared" si="90"/>
        <v>46387</v>
      </c>
      <c r="M112" s="462">
        <f t="shared" si="91"/>
        <v>12</v>
      </c>
      <c r="N112" s="177">
        <f t="shared" ref="N112:Y112" si="99">IF(AND($K112&lt;=N$47,N$47&lt;=$L112),$J112/$M112,0)</f>
        <v>10600</v>
      </c>
      <c r="O112" s="177">
        <f t="shared" si="99"/>
        <v>10600</v>
      </c>
      <c r="P112" s="177">
        <f t="shared" si="99"/>
        <v>10600</v>
      </c>
      <c r="Q112" s="177">
        <f t="shared" si="99"/>
        <v>10600</v>
      </c>
      <c r="R112" s="177">
        <f t="shared" si="99"/>
        <v>10600</v>
      </c>
      <c r="S112" s="177">
        <f t="shared" si="99"/>
        <v>10600</v>
      </c>
      <c r="T112" s="177">
        <f t="shared" si="99"/>
        <v>10600</v>
      </c>
      <c r="U112" s="177">
        <f t="shared" si="99"/>
        <v>10600</v>
      </c>
      <c r="V112" s="177">
        <f t="shared" si="99"/>
        <v>10600</v>
      </c>
      <c r="W112" s="177">
        <f t="shared" si="99"/>
        <v>10600</v>
      </c>
      <c r="X112" s="177">
        <f t="shared" si="99"/>
        <v>10600</v>
      </c>
      <c r="Y112" s="177">
        <f t="shared" si="99"/>
        <v>10600</v>
      </c>
      <c r="Z112" s="178">
        <f t="shared" si="96"/>
        <v>127200</v>
      </c>
      <c r="AA112" s="466"/>
      <c r="AB112" s="177">
        <f t="shared" si="93"/>
        <v>10600</v>
      </c>
      <c r="AC112" s="177">
        <f t="shared" si="93"/>
        <v>10600</v>
      </c>
      <c r="AD112" s="177">
        <f t="shared" si="93"/>
        <v>10600</v>
      </c>
      <c r="AE112" s="177">
        <f t="shared" si="93"/>
        <v>10600</v>
      </c>
      <c r="AF112" s="177">
        <f t="shared" si="93"/>
        <v>10600</v>
      </c>
      <c r="AG112" s="177">
        <f t="shared" si="93"/>
        <v>10600</v>
      </c>
      <c r="AH112" s="177">
        <f t="shared" si="93"/>
        <v>10600</v>
      </c>
      <c r="AI112" s="177">
        <f t="shared" si="93"/>
        <v>10600</v>
      </c>
      <c r="AJ112" s="177">
        <f t="shared" si="93"/>
        <v>10600</v>
      </c>
      <c r="AK112" s="177">
        <f t="shared" si="93"/>
        <v>10600</v>
      </c>
      <c r="AL112" s="177">
        <f t="shared" si="93"/>
        <v>10600</v>
      </c>
      <c r="AM112" s="177">
        <f t="shared" si="93"/>
        <v>10600</v>
      </c>
      <c r="AN112" s="178">
        <f t="shared" si="97"/>
        <v>127200</v>
      </c>
      <c r="AO112" s="559"/>
      <c r="AP112" s="559"/>
      <c r="AQ112" s="559"/>
      <c r="AR112" s="559"/>
      <c r="AS112" s="559"/>
      <c r="AT112" s="152"/>
      <c r="AU112" s="152"/>
      <c r="AV112" s="152"/>
      <c r="AW112" s="152"/>
      <c r="AX112" s="152"/>
      <c r="AY112" s="152"/>
      <c r="AZ112" s="152"/>
      <c r="BA112" s="152"/>
      <c r="BB112" s="152"/>
      <c r="BC112" s="152"/>
      <c r="BD112" s="152"/>
    </row>
    <row r="113" spans="1:56" ht="13.5" customHeight="1">
      <c r="A113" s="171">
        <f t="shared" si="94"/>
        <v>5</v>
      </c>
      <c r="B113" s="171" t="s">
        <v>2242</v>
      </c>
      <c r="C113" s="171" t="s">
        <v>1695</v>
      </c>
      <c r="D113" s="172" t="str">
        <f t="shared" si="88"/>
        <v>Meals</v>
      </c>
      <c r="E113" s="172"/>
      <c r="F113" s="172"/>
      <c r="G113" s="77" t="s">
        <v>2613</v>
      </c>
      <c r="H113" s="173" t="s">
        <v>2614</v>
      </c>
      <c r="I113" s="173" t="s">
        <v>2046</v>
      </c>
      <c r="J113" s="184">
        <f>SUMIF($B$16:$B$44,$B113,$T$16:$T$44)*VLOOKUP($D113,$T$11:$U$15,2,FALSE)+SUMIF($B$16:$B$44,$B113,$O$16:$O$44)*VLOOKUP($D113,$O$11:$P$15,2,FALSE)+SUMIF($B$16:$B$44,$B113,$L$16:$L$44)*VLOOKUP($D113,$L$11:$M$15,2,FALSE)+SUMIF($B$16:$B$44,$B113,$I$16:$I$44)*VLOOKUP($D113,$I$11:$J$15,2,FALSE)</f>
        <v>73200</v>
      </c>
      <c r="K113" s="456">
        <f t="shared" si="89"/>
        <v>46023</v>
      </c>
      <c r="L113" s="456">
        <f t="shared" si="90"/>
        <v>46387</v>
      </c>
      <c r="M113" s="462">
        <f t="shared" si="91"/>
        <v>12</v>
      </c>
      <c r="N113" s="177">
        <f t="shared" ref="N113:Y113" si="100">IF(AND($K113&lt;=N$47,N$47&lt;=$L113),$J113/$M113,0)</f>
        <v>6100</v>
      </c>
      <c r="O113" s="177">
        <f t="shared" si="100"/>
        <v>6100</v>
      </c>
      <c r="P113" s="177">
        <f t="shared" si="100"/>
        <v>6100</v>
      </c>
      <c r="Q113" s="177">
        <f t="shared" si="100"/>
        <v>6100</v>
      </c>
      <c r="R113" s="177">
        <f t="shared" si="100"/>
        <v>6100</v>
      </c>
      <c r="S113" s="177">
        <f t="shared" si="100"/>
        <v>6100</v>
      </c>
      <c r="T113" s="177">
        <f t="shared" si="100"/>
        <v>6100</v>
      </c>
      <c r="U113" s="177">
        <f t="shared" si="100"/>
        <v>6100</v>
      </c>
      <c r="V113" s="177">
        <f t="shared" si="100"/>
        <v>6100</v>
      </c>
      <c r="W113" s="177">
        <f t="shared" si="100"/>
        <v>6100</v>
      </c>
      <c r="X113" s="177">
        <f t="shared" si="100"/>
        <v>6100</v>
      </c>
      <c r="Y113" s="177">
        <f t="shared" si="100"/>
        <v>6100</v>
      </c>
      <c r="Z113" s="178">
        <f t="shared" si="96"/>
        <v>73200</v>
      </c>
      <c r="AA113" s="466"/>
      <c r="AB113" s="177">
        <f t="shared" si="93"/>
        <v>6100</v>
      </c>
      <c r="AC113" s="177">
        <f t="shared" si="93"/>
        <v>6100</v>
      </c>
      <c r="AD113" s="177">
        <f t="shared" si="93"/>
        <v>6100</v>
      </c>
      <c r="AE113" s="177">
        <f t="shared" si="93"/>
        <v>6100</v>
      </c>
      <c r="AF113" s="177">
        <f t="shared" si="93"/>
        <v>6100</v>
      </c>
      <c r="AG113" s="177">
        <f t="shared" si="93"/>
        <v>6100</v>
      </c>
      <c r="AH113" s="177">
        <f t="shared" si="93"/>
        <v>6100</v>
      </c>
      <c r="AI113" s="177">
        <f t="shared" si="93"/>
        <v>6100</v>
      </c>
      <c r="AJ113" s="177">
        <f t="shared" si="93"/>
        <v>6100</v>
      </c>
      <c r="AK113" s="177">
        <f t="shared" si="93"/>
        <v>6100</v>
      </c>
      <c r="AL113" s="177">
        <f t="shared" si="93"/>
        <v>6100</v>
      </c>
      <c r="AM113" s="177">
        <f t="shared" si="93"/>
        <v>6100</v>
      </c>
      <c r="AN113" s="178">
        <f t="shared" si="97"/>
        <v>73200</v>
      </c>
      <c r="AO113" s="559"/>
      <c r="AP113" s="559"/>
      <c r="AQ113" s="559"/>
      <c r="AR113" s="559"/>
      <c r="AS113" s="559"/>
      <c r="AT113" s="152"/>
      <c r="AU113" s="152"/>
      <c r="AV113" s="152"/>
      <c r="AW113" s="152"/>
      <c r="AX113" s="152"/>
      <c r="AY113" s="152"/>
      <c r="AZ113" s="152"/>
      <c r="BA113" s="152"/>
      <c r="BB113" s="152"/>
      <c r="BC113" s="152"/>
      <c r="BD113" s="152"/>
    </row>
    <row r="114" spans="1:56" ht="13.5" customHeight="1">
      <c r="A114" s="171">
        <f t="shared" si="94"/>
        <v>6</v>
      </c>
      <c r="B114" s="171" t="s">
        <v>2242</v>
      </c>
      <c r="C114" s="171" t="s">
        <v>1623</v>
      </c>
      <c r="D114" s="172" t="str">
        <f t="shared" si="88"/>
        <v>Entertainment</v>
      </c>
      <c r="E114" s="172"/>
      <c r="F114" s="172"/>
      <c r="G114" s="77" t="s">
        <v>2613</v>
      </c>
      <c r="H114" s="173" t="s">
        <v>2614</v>
      </c>
      <c r="I114" s="173" t="s">
        <v>2046</v>
      </c>
      <c r="J114" s="186">
        <v>40000</v>
      </c>
      <c r="K114" s="456">
        <f t="shared" si="89"/>
        <v>46023</v>
      </c>
      <c r="L114" s="456">
        <f t="shared" si="90"/>
        <v>46387</v>
      </c>
      <c r="M114" s="462">
        <f t="shared" si="91"/>
        <v>12</v>
      </c>
      <c r="N114" s="177">
        <f t="shared" ref="N114:Y114" si="101">IF(AND($K114&lt;=N$47,N$47&lt;=$L114),$J114/$M114,0)</f>
        <v>3333.3333333333335</v>
      </c>
      <c r="O114" s="177">
        <f t="shared" si="101"/>
        <v>3333.3333333333335</v>
      </c>
      <c r="P114" s="177">
        <f t="shared" si="101"/>
        <v>3333.3333333333335</v>
      </c>
      <c r="Q114" s="177">
        <f t="shared" si="101"/>
        <v>3333.3333333333335</v>
      </c>
      <c r="R114" s="177">
        <f t="shared" si="101"/>
        <v>3333.3333333333335</v>
      </c>
      <c r="S114" s="177">
        <f t="shared" si="101"/>
        <v>3333.3333333333335</v>
      </c>
      <c r="T114" s="177">
        <f t="shared" si="101"/>
        <v>3333.3333333333335</v>
      </c>
      <c r="U114" s="177">
        <f t="shared" si="101"/>
        <v>3333.3333333333335</v>
      </c>
      <c r="V114" s="177">
        <f t="shared" si="101"/>
        <v>3333.3333333333335</v>
      </c>
      <c r="W114" s="177">
        <f t="shared" si="101"/>
        <v>3333.3333333333335</v>
      </c>
      <c r="X114" s="177">
        <f t="shared" si="101"/>
        <v>3333.3333333333335</v>
      </c>
      <c r="Y114" s="177">
        <f t="shared" si="101"/>
        <v>3333.3333333333335</v>
      </c>
      <c r="Z114" s="178">
        <f t="shared" si="96"/>
        <v>40000</v>
      </c>
      <c r="AA114" s="466"/>
      <c r="AB114" s="177">
        <f t="shared" si="93"/>
        <v>3333.3333333333335</v>
      </c>
      <c r="AC114" s="177">
        <f t="shared" si="93"/>
        <v>3333.3333333333335</v>
      </c>
      <c r="AD114" s="177">
        <f t="shared" si="93"/>
        <v>3333.3333333333335</v>
      </c>
      <c r="AE114" s="177">
        <f t="shared" si="93"/>
        <v>3333.3333333333335</v>
      </c>
      <c r="AF114" s="177">
        <f t="shared" si="93"/>
        <v>3333.3333333333335</v>
      </c>
      <c r="AG114" s="177">
        <f t="shared" si="93"/>
        <v>3333.3333333333335</v>
      </c>
      <c r="AH114" s="177">
        <f t="shared" si="93"/>
        <v>3333.3333333333335</v>
      </c>
      <c r="AI114" s="177">
        <f t="shared" si="93"/>
        <v>3333.3333333333335</v>
      </c>
      <c r="AJ114" s="177">
        <f t="shared" si="93"/>
        <v>3333.3333333333335</v>
      </c>
      <c r="AK114" s="177">
        <f t="shared" si="93"/>
        <v>3333.3333333333335</v>
      </c>
      <c r="AL114" s="177">
        <f t="shared" si="93"/>
        <v>3333.3333333333335</v>
      </c>
      <c r="AM114" s="177">
        <f t="shared" si="93"/>
        <v>3333.3333333333335</v>
      </c>
      <c r="AN114" s="178">
        <f t="shared" si="97"/>
        <v>40000</v>
      </c>
      <c r="AO114" s="559"/>
      <c r="AP114" s="559"/>
      <c r="AQ114" s="559"/>
      <c r="AR114" s="559"/>
      <c r="AS114" s="559"/>
      <c r="AT114" s="152"/>
      <c r="AU114" s="152"/>
      <c r="AV114" s="152"/>
      <c r="AW114" s="152"/>
      <c r="AX114" s="152"/>
      <c r="AY114" s="152"/>
      <c r="AZ114" s="152"/>
      <c r="BA114" s="152"/>
      <c r="BB114" s="152"/>
      <c r="BC114" s="152"/>
      <c r="BD114" s="152"/>
    </row>
    <row r="115" spans="1:56" ht="13.5" customHeight="1">
      <c r="A115" s="171">
        <f t="shared" si="94"/>
        <v>7</v>
      </c>
      <c r="B115" s="171" t="s">
        <v>2242</v>
      </c>
      <c r="C115" s="171" t="s">
        <v>1729</v>
      </c>
      <c r="D115" s="172" t="str">
        <f t="shared" si="88"/>
        <v>Other personal reimbursement</v>
      </c>
      <c r="E115" s="172"/>
      <c r="F115" s="172"/>
      <c r="G115" s="77" t="s">
        <v>2613</v>
      </c>
      <c r="H115" s="173" t="s">
        <v>2614</v>
      </c>
      <c r="I115" s="173" t="s">
        <v>2046</v>
      </c>
      <c r="J115" s="186">
        <v>10000</v>
      </c>
      <c r="K115" s="456">
        <f t="shared" si="89"/>
        <v>46023</v>
      </c>
      <c r="L115" s="456">
        <f t="shared" si="90"/>
        <v>46387</v>
      </c>
      <c r="M115" s="462">
        <f t="shared" si="91"/>
        <v>12</v>
      </c>
      <c r="N115" s="177">
        <f t="shared" ref="N115:Y115" si="102">IF(AND($K115&lt;=N$47,N$47&lt;=$L115),$J115/$M115,0)</f>
        <v>833.33333333333337</v>
      </c>
      <c r="O115" s="177">
        <f t="shared" si="102"/>
        <v>833.33333333333337</v>
      </c>
      <c r="P115" s="177">
        <f t="shared" si="102"/>
        <v>833.33333333333337</v>
      </c>
      <c r="Q115" s="177">
        <f t="shared" si="102"/>
        <v>833.33333333333337</v>
      </c>
      <c r="R115" s="177">
        <f t="shared" si="102"/>
        <v>833.33333333333337</v>
      </c>
      <c r="S115" s="177">
        <f t="shared" si="102"/>
        <v>833.33333333333337</v>
      </c>
      <c r="T115" s="177">
        <f t="shared" si="102"/>
        <v>833.33333333333337</v>
      </c>
      <c r="U115" s="177">
        <f t="shared" si="102"/>
        <v>833.33333333333337</v>
      </c>
      <c r="V115" s="177">
        <f t="shared" si="102"/>
        <v>833.33333333333337</v>
      </c>
      <c r="W115" s="177">
        <f t="shared" si="102"/>
        <v>833.33333333333337</v>
      </c>
      <c r="X115" s="177">
        <f t="shared" si="102"/>
        <v>833.33333333333337</v>
      </c>
      <c r="Y115" s="177">
        <f t="shared" si="102"/>
        <v>833.33333333333337</v>
      </c>
      <c r="Z115" s="178">
        <f t="shared" si="96"/>
        <v>10000</v>
      </c>
      <c r="AA115" s="466"/>
      <c r="AB115" s="177">
        <f t="shared" si="93"/>
        <v>833.33333333333337</v>
      </c>
      <c r="AC115" s="177">
        <f t="shared" si="93"/>
        <v>833.33333333333337</v>
      </c>
      <c r="AD115" s="177">
        <f t="shared" si="93"/>
        <v>833.33333333333337</v>
      </c>
      <c r="AE115" s="177">
        <f t="shared" si="93"/>
        <v>833.33333333333337</v>
      </c>
      <c r="AF115" s="177">
        <f t="shared" si="93"/>
        <v>833.33333333333337</v>
      </c>
      <c r="AG115" s="177">
        <f t="shared" si="93"/>
        <v>833.33333333333337</v>
      </c>
      <c r="AH115" s="177">
        <f t="shared" si="93"/>
        <v>833.33333333333337</v>
      </c>
      <c r="AI115" s="177">
        <f t="shared" si="93"/>
        <v>833.33333333333337</v>
      </c>
      <c r="AJ115" s="177">
        <f t="shared" si="93"/>
        <v>833.33333333333337</v>
      </c>
      <c r="AK115" s="177">
        <f t="shared" si="93"/>
        <v>833.33333333333337</v>
      </c>
      <c r="AL115" s="177">
        <f t="shared" si="93"/>
        <v>833.33333333333337</v>
      </c>
      <c r="AM115" s="177">
        <f t="shared" si="93"/>
        <v>833.33333333333337</v>
      </c>
      <c r="AN115" s="178">
        <f t="shared" si="97"/>
        <v>10000</v>
      </c>
      <c r="AO115" s="559"/>
      <c r="AP115" s="559"/>
      <c r="AQ115" s="559"/>
      <c r="AR115" s="559"/>
      <c r="AS115" s="559"/>
      <c r="AT115" s="152"/>
      <c r="AU115" s="152"/>
      <c r="AV115" s="152"/>
      <c r="AW115" s="152"/>
      <c r="AX115" s="152"/>
      <c r="AY115" s="152"/>
      <c r="AZ115" s="152"/>
      <c r="BA115" s="152"/>
      <c r="BB115" s="152"/>
      <c r="BC115" s="152"/>
      <c r="BD115" s="152"/>
    </row>
    <row r="116" spans="1:56" ht="13.5" customHeight="1">
      <c r="A116" s="171">
        <f t="shared" si="94"/>
        <v>8</v>
      </c>
      <c r="B116" s="171" t="s">
        <v>2242</v>
      </c>
      <c r="C116" s="171"/>
      <c r="D116" s="172">
        <f t="shared" si="88"/>
        <v>0</v>
      </c>
      <c r="E116" s="172"/>
      <c r="F116" s="172"/>
      <c r="G116" s="77" t="s">
        <v>2613</v>
      </c>
      <c r="H116" s="173" t="s">
        <v>2614</v>
      </c>
      <c r="I116" s="173" t="s">
        <v>2046</v>
      </c>
      <c r="J116" s="184"/>
      <c r="K116" s="456">
        <f t="shared" si="89"/>
        <v>46023</v>
      </c>
      <c r="L116" s="456">
        <f t="shared" si="90"/>
        <v>46387</v>
      </c>
      <c r="M116" s="462">
        <f t="shared" si="91"/>
        <v>12</v>
      </c>
      <c r="N116" s="177">
        <f t="shared" ref="N116:Y116" si="103">IF(AND($K116&lt;=N$47,N$47&lt;=$L116),$J116/$M116,0)</f>
        <v>0</v>
      </c>
      <c r="O116" s="177">
        <f t="shared" si="103"/>
        <v>0</v>
      </c>
      <c r="P116" s="177">
        <f t="shared" si="103"/>
        <v>0</v>
      </c>
      <c r="Q116" s="177">
        <f t="shared" si="103"/>
        <v>0</v>
      </c>
      <c r="R116" s="177">
        <f t="shared" si="103"/>
        <v>0</v>
      </c>
      <c r="S116" s="177">
        <f t="shared" si="103"/>
        <v>0</v>
      </c>
      <c r="T116" s="177">
        <f t="shared" si="103"/>
        <v>0</v>
      </c>
      <c r="U116" s="177">
        <f t="shared" si="103"/>
        <v>0</v>
      </c>
      <c r="V116" s="177">
        <f t="shared" si="103"/>
        <v>0</v>
      </c>
      <c r="W116" s="177">
        <f t="shared" si="103"/>
        <v>0</v>
      </c>
      <c r="X116" s="177">
        <f t="shared" si="103"/>
        <v>0</v>
      </c>
      <c r="Y116" s="177">
        <f t="shared" si="103"/>
        <v>0</v>
      </c>
      <c r="Z116" s="178">
        <f t="shared" si="96"/>
        <v>0</v>
      </c>
      <c r="AA116" s="466"/>
      <c r="AB116" s="177">
        <f t="shared" si="93"/>
        <v>0</v>
      </c>
      <c r="AC116" s="177">
        <f t="shared" si="93"/>
        <v>0</v>
      </c>
      <c r="AD116" s="177">
        <f t="shared" si="93"/>
        <v>0</v>
      </c>
      <c r="AE116" s="177">
        <f t="shared" si="93"/>
        <v>0</v>
      </c>
      <c r="AF116" s="177">
        <f t="shared" si="93"/>
        <v>0</v>
      </c>
      <c r="AG116" s="177">
        <f t="shared" si="93"/>
        <v>0</v>
      </c>
      <c r="AH116" s="177">
        <f t="shared" si="93"/>
        <v>0</v>
      </c>
      <c r="AI116" s="177">
        <f t="shared" si="93"/>
        <v>0</v>
      </c>
      <c r="AJ116" s="177">
        <f t="shared" si="93"/>
        <v>0</v>
      </c>
      <c r="AK116" s="177">
        <f t="shared" si="93"/>
        <v>0</v>
      </c>
      <c r="AL116" s="177">
        <f t="shared" si="93"/>
        <v>0</v>
      </c>
      <c r="AM116" s="177">
        <f t="shared" si="93"/>
        <v>0</v>
      </c>
      <c r="AN116" s="178">
        <f t="shared" si="97"/>
        <v>0</v>
      </c>
      <c r="AO116" s="559"/>
      <c r="AP116" s="559"/>
      <c r="AQ116" s="559"/>
      <c r="AR116" s="559"/>
      <c r="AS116" s="559"/>
      <c r="AT116" s="152"/>
      <c r="AU116" s="152"/>
      <c r="AV116" s="152"/>
      <c r="AW116" s="152"/>
      <c r="AX116" s="152"/>
      <c r="AY116" s="152"/>
      <c r="AZ116" s="152"/>
      <c r="BA116" s="152"/>
      <c r="BB116" s="152"/>
      <c r="BC116" s="152"/>
      <c r="BD116" s="152"/>
    </row>
    <row r="117" spans="1:56" ht="13.5" customHeight="1">
      <c r="A117" s="171">
        <f t="shared" si="94"/>
        <v>9</v>
      </c>
      <c r="B117" s="171" t="s">
        <v>2242</v>
      </c>
      <c r="C117" s="171"/>
      <c r="D117" s="172">
        <f t="shared" si="88"/>
        <v>0</v>
      </c>
      <c r="E117" s="172"/>
      <c r="F117" s="172"/>
      <c r="G117" s="77" t="s">
        <v>2613</v>
      </c>
      <c r="H117" s="173" t="s">
        <v>2614</v>
      </c>
      <c r="I117" s="173" t="s">
        <v>2046</v>
      </c>
      <c r="J117" s="184"/>
      <c r="K117" s="456">
        <f t="shared" si="89"/>
        <v>46023</v>
      </c>
      <c r="L117" s="456">
        <f t="shared" si="90"/>
        <v>46387</v>
      </c>
      <c r="M117" s="462">
        <f t="shared" si="91"/>
        <v>12</v>
      </c>
      <c r="N117" s="177">
        <f t="shared" ref="N117:Y117" si="104">IF(AND($K117&lt;=N$47,N$47&lt;=$L117),$J117/$M117,0)</f>
        <v>0</v>
      </c>
      <c r="O117" s="177">
        <f t="shared" si="104"/>
        <v>0</v>
      </c>
      <c r="P117" s="177">
        <f t="shared" si="104"/>
        <v>0</v>
      </c>
      <c r="Q117" s="177">
        <f t="shared" si="104"/>
        <v>0</v>
      </c>
      <c r="R117" s="177">
        <f t="shared" si="104"/>
        <v>0</v>
      </c>
      <c r="S117" s="177">
        <f t="shared" si="104"/>
        <v>0</v>
      </c>
      <c r="T117" s="177">
        <f t="shared" si="104"/>
        <v>0</v>
      </c>
      <c r="U117" s="177">
        <f t="shared" si="104"/>
        <v>0</v>
      </c>
      <c r="V117" s="177">
        <f t="shared" si="104"/>
        <v>0</v>
      </c>
      <c r="W117" s="177">
        <f t="shared" si="104"/>
        <v>0</v>
      </c>
      <c r="X117" s="177">
        <f t="shared" si="104"/>
        <v>0</v>
      </c>
      <c r="Y117" s="177">
        <f t="shared" si="104"/>
        <v>0</v>
      </c>
      <c r="Z117" s="178">
        <f t="shared" si="96"/>
        <v>0</v>
      </c>
      <c r="AA117" s="466"/>
      <c r="AB117" s="177">
        <f t="shared" si="93"/>
        <v>0</v>
      </c>
      <c r="AC117" s="177">
        <f t="shared" si="93"/>
        <v>0</v>
      </c>
      <c r="AD117" s="177">
        <f t="shared" si="93"/>
        <v>0</v>
      </c>
      <c r="AE117" s="177">
        <f t="shared" si="93"/>
        <v>0</v>
      </c>
      <c r="AF117" s="177">
        <f t="shared" si="93"/>
        <v>0</v>
      </c>
      <c r="AG117" s="177">
        <f t="shared" si="93"/>
        <v>0</v>
      </c>
      <c r="AH117" s="177">
        <f t="shared" si="93"/>
        <v>0</v>
      </c>
      <c r="AI117" s="177">
        <f t="shared" si="93"/>
        <v>0</v>
      </c>
      <c r="AJ117" s="177">
        <f t="shared" si="93"/>
        <v>0</v>
      </c>
      <c r="AK117" s="177">
        <f t="shared" si="93"/>
        <v>0</v>
      </c>
      <c r="AL117" s="177">
        <f t="shared" si="93"/>
        <v>0</v>
      </c>
      <c r="AM117" s="177">
        <f t="shared" si="93"/>
        <v>0</v>
      </c>
      <c r="AN117" s="178">
        <f t="shared" si="97"/>
        <v>0</v>
      </c>
      <c r="AO117" s="559"/>
      <c r="AP117" s="559"/>
      <c r="AQ117" s="559"/>
      <c r="AR117" s="559"/>
      <c r="AS117" s="559"/>
      <c r="AT117" s="152"/>
      <c r="AU117" s="152"/>
      <c r="AV117" s="152"/>
      <c r="AW117" s="152"/>
      <c r="AX117" s="152"/>
      <c r="AY117" s="152"/>
      <c r="AZ117" s="152"/>
      <c r="BA117" s="152"/>
      <c r="BB117" s="152"/>
      <c r="BC117" s="152"/>
      <c r="BD117" s="152"/>
    </row>
    <row r="118" spans="1:56" ht="13.5" customHeight="1" thickBot="1">
      <c r="A118" s="171">
        <f t="shared" si="94"/>
        <v>10</v>
      </c>
      <c r="B118" s="171" t="s">
        <v>2242</v>
      </c>
      <c r="C118" s="171"/>
      <c r="D118" s="172">
        <f t="shared" si="88"/>
        <v>0</v>
      </c>
      <c r="E118" s="172"/>
      <c r="F118" s="172"/>
      <c r="G118" s="77" t="s">
        <v>2613</v>
      </c>
      <c r="H118" s="173" t="s">
        <v>2614</v>
      </c>
      <c r="I118" s="173" t="s">
        <v>2046</v>
      </c>
      <c r="J118" s="535"/>
      <c r="K118" s="456">
        <f t="shared" si="89"/>
        <v>46023</v>
      </c>
      <c r="L118" s="456">
        <f t="shared" si="90"/>
        <v>46387</v>
      </c>
      <c r="M118" s="462">
        <f t="shared" si="91"/>
        <v>12</v>
      </c>
      <c r="N118" s="560">
        <f t="shared" ref="N118:Y118" si="105">IF(AND($K118&lt;=N$47,N$47&lt;=$L118),$J118/$M118,0)</f>
        <v>0</v>
      </c>
      <c r="O118" s="560">
        <f t="shared" si="105"/>
        <v>0</v>
      </c>
      <c r="P118" s="560">
        <f t="shared" si="105"/>
        <v>0</v>
      </c>
      <c r="Q118" s="560">
        <f t="shared" si="105"/>
        <v>0</v>
      </c>
      <c r="R118" s="560">
        <f t="shared" si="105"/>
        <v>0</v>
      </c>
      <c r="S118" s="560">
        <f t="shared" si="105"/>
        <v>0</v>
      </c>
      <c r="T118" s="560">
        <f t="shared" si="105"/>
        <v>0</v>
      </c>
      <c r="U118" s="560">
        <f t="shared" si="105"/>
        <v>0</v>
      </c>
      <c r="V118" s="560">
        <f t="shared" si="105"/>
        <v>0</v>
      </c>
      <c r="W118" s="560">
        <f t="shared" si="105"/>
        <v>0</v>
      </c>
      <c r="X118" s="560">
        <f t="shared" si="105"/>
        <v>0</v>
      </c>
      <c r="Y118" s="560">
        <f t="shared" si="105"/>
        <v>0</v>
      </c>
      <c r="Z118" s="178">
        <f t="shared" si="96"/>
        <v>0</v>
      </c>
      <c r="AA118" s="466"/>
      <c r="AB118" s="560">
        <f t="shared" si="93"/>
        <v>0</v>
      </c>
      <c r="AC118" s="560">
        <f t="shared" si="93"/>
        <v>0</v>
      </c>
      <c r="AD118" s="560">
        <f t="shared" si="93"/>
        <v>0</v>
      </c>
      <c r="AE118" s="560">
        <f t="shared" si="93"/>
        <v>0</v>
      </c>
      <c r="AF118" s="560">
        <f t="shared" si="93"/>
        <v>0</v>
      </c>
      <c r="AG118" s="560">
        <f t="shared" si="93"/>
        <v>0</v>
      </c>
      <c r="AH118" s="560">
        <f t="shared" si="93"/>
        <v>0</v>
      </c>
      <c r="AI118" s="560">
        <f t="shared" si="93"/>
        <v>0</v>
      </c>
      <c r="AJ118" s="560">
        <f t="shared" si="93"/>
        <v>0</v>
      </c>
      <c r="AK118" s="560">
        <f t="shared" si="93"/>
        <v>0</v>
      </c>
      <c r="AL118" s="560">
        <f t="shared" si="93"/>
        <v>0</v>
      </c>
      <c r="AM118" s="560">
        <f t="shared" si="93"/>
        <v>0</v>
      </c>
      <c r="AN118" s="178">
        <f t="shared" si="97"/>
        <v>0</v>
      </c>
      <c r="AO118" s="559"/>
      <c r="AP118" s="559"/>
      <c r="AQ118" s="559"/>
      <c r="AR118" s="559"/>
      <c r="AS118" s="559"/>
      <c r="AT118" s="152"/>
      <c r="AU118" s="152"/>
      <c r="AV118" s="152"/>
      <c r="AW118" s="152"/>
      <c r="AX118" s="152"/>
      <c r="AY118" s="152"/>
      <c r="AZ118" s="152"/>
      <c r="BA118" s="152"/>
      <c r="BB118" s="152"/>
      <c r="BC118" s="152"/>
      <c r="BD118" s="152"/>
    </row>
    <row r="119" spans="1:56" ht="24" customHeight="1" thickTop="1">
      <c r="A119" s="538"/>
      <c r="B119" s="539" t="str">
        <f>B117</f>
        <v>ACPSZL</v>
      </c>
      <c r="C119" s="539"/>
      <c r="D119" s="540" t="str">
        <f t="shared" si="88"/>
        <v>Total</v>
      </c>
      <c r="E119" s="541" t="str">
        <f>'CF-ACPL（合并）'!A26</f>
        <v>支付的其他与经营活动有关的现金（员工报销）</v>
      </c>
      <c r="F119" s="540"/>
      <c r="G119" s="542" t="s">
        <v>2613</v>
      </c>
      <c r="H119" s="543" t="s">
        <v>2614</v>
      </c>
      <c r="I119" s="543" t="s">
        <v>2046</v>
      </c>
      <c r="J119" s="544">
        <f>SUM(J109:J118)</f>
        <v>495200</v>
      </c>
      <c r="K119" s="545">
        <f t="shared" si="89"/>
        <v>46023</v>
      </c>
      <c r="L119" s="545">
        <f t="shared" si="90"/>
        <v>46387</v>
      </c>
      <c r="M119" s="546">
        <f t="shared" si="91"/>
        <v>12</v>
      </c>
      <c r="N119" s="547">
        <f t="shared" ref="N119:Y119" si="106">IF(AND($K119&lt;=N$47,N$47&lt;=$L119),$J119/$M119,0)</f>
        <v>41266.666666666664</v>
      </c>
      <c r="O119" s="547">
        <f t="shared" si="106"/>
        <v>41266.666666666664</v>
      </c>
      <c r="P119" s="547">
        <f t="shared" si="106"/>
        <v>41266.666666666664</v>
      </c>
      <c r="Q119" s="547">
        <f t="shared" si="106"/>
        <v>41266.666666666664</v>
      </c>
      <c r="R119" s="547">
        <f t="shared" si="106"/>
        <v>41266.666666666664</v>
      </c>
      <c r="S119" s="547">
        <f t="shared" si="106"/>
        <v>41266.666666666664</v>
      </c>
      <c r="T119" s="547">
        <f t="shared" si="106"/>
        <v>41266.666666666664</v>
      </c>
      <c r="U119" s="547">
        <f t="shared" si="106"/>
        <v>41266.666666666664</v>
      </c>
      <c r="V119" s="547">
        <f t="shared" si="106"/>
        <v>41266.666666666664</v>
      </c>
      <c r="W119" s="547">
        <f t="shared" si="106"/>
        <v>41266.666666666664</v>
      </c>
      <c r="X119" s="547">
        <f t="shared" si="106"/>
        <v>41266.666666666664</v>
      </c>
      <c r="Y119" s="547">
        <f t="shared" si="106"/>
        <v>41266.666666666664</v>
      </c>
      <c r="Z119" s="558">
        <f t="shared" si="96"/>
        <v>495200.00000000006</v>
      </c>
      <c r="AA119" s="466"/>
      <c r="AB119" s="547">
        <f t="shared" si="93"/>
        <v>41266.666666666664</v>
      </c>
      <c r="AC119" s="547">
        <f t="shared" si="93"/>
        <v>41266.666666666664</v>
      </c>
      <c r="AD119" s="547">
        <f t="shared" si="93"/>
        <v>41266.666666666664</v>
      </c>
      <c r="AE119" s="547">
        <f t="shared" si="93"/>
        <v>41266.666666666664</v>
      </c>
      <c r="AF119" s="547">
        <f t="shared" si="93"/>
        <v>41266.666666666664</v>
      </c>
      <c r="AG119" s="547">
        <f t="shared" si="93"/>
        <v>41266.666666666664</v>
      </c>
      <c r="AH119" s="547">
        <f t="shared" si="93"/>
        <v>41266.666666666664</v>
      </c>
      <c r="AI119" s="547">
        <f t="shared" si="93"/>
        <v>41266.666666666664</v>
      </c>
      <c r="AJ119" s="547">
        <f t="shared" si="93"/>
        <v>41266.666666666664</v>
      </c>
      <c r="AK119" s="547">
        <f t="shared" si="93"/>
        <v>41266.666666666664</v>
      </c>
      <c r="AL119" s="547">
        <f t="shared" si="93"/>
        <v>41266.666666666664</v>
      </c>
      <c r="AM119" s="547">
        <f t="shared" si="93"/>
        <v>41266.666666666664</v>
      </c>
      <c r="AN119" s="558">
        <f t="shared" si="97"/>
        <v>495200.00000000006</v>
      </c>
      <c r="AP119" s="152"/>
      <c r="AQ119" s="152"/>
      <c r="AR119" s="152"/>
      <c r="AS119" s="152"/>
      <c r="AT119" s="152"/>
      <c r="AU119" s="152"/>
      <c r="AV119" s="152"/>
      <c r="AW119" s="152"/>
      <c r="AX119" s="152"/>
      <c r="AY119" s="152"/>
      <c r="AZ119" s="152"/>
      <c r="BA119" s="152"/>
      <c r="BB119" s="152"/>
      <c r="BC119" s="152"/>
      <c r="BD119" s="152"/>
    </row>
    <row r="120" spans="1:56" ht="13.5" customHeight="1">
      <c r="A120" s="548"/>
      <c r="B120" s="171" t="str">
        <f>B119</f>
        <v>ACPSZL</v>
      </c>
      <c r="C120" s="171"/>
      <c r="D120" s="172" t="str">
        <f t="shared" si="88"/>
        <v>Project</v>
      </c>
      <c r="E120" s="172"/>
      <c r="F120" s="549">
        <f>J120/$J$119</f>
        <v>0.9095315024232633</v>
      </c>
      <c r="G120" s="77" t="s">
        <v>2613</v>
      </c>
      <c r="H120" s="173" t="s">
        <v>2614</v>
      </c>
      <c r="I120" s="173" t="s">
        <v>2046</v>
      </c>
      <c r="J120" s="184">
        <f>SUMIFS($P$16:$P$44,$Q$16:$Q$44,$D$120,$B$16:$B$44,B109)+SUMIFS($T$16:$T$44,$Q$16:$Q$44,$D$120,$B$16:$B$44,B109)+J114</f>
        <v>450400</v>
      </c>
      <c r="K120" s="456">
        <f t="shared" si="89"/>
        <v>46023</v>
      </c>
      <c r="L120" s="456">
        <f t="shared" si="90"/>
        <v>46387</v>
      </c>
      <c r="M120" s="176">
        <f t="shared" si="91"/>
        <v>12</v>
      </c>
      <c r="N120" s="177">
        <f t="shared" ref="N120:Y120" si="107">IF(AND($K120&lt;=N$47,N$47&lt;=$L120),$J120/$M120,0)</f>
        <v>37533.333333333336</v>
      </c>
      <c r="O120" s="177">
        <f t="shared" si="107"/>
        <v>37533.333333333336</v>
      </c>
      <c r="P120" s="177">
        <f t="shared" si="107"/>
        <v>37533.333333333336</v>
      </c>
      <c r="Q120" s="177">
        <f t="shared" si="107"/>
        <v>37533.333333333336</v>
      </c>
      <c r="R120" s="177">
        <f t="shared" si="107"/>
        <v>37533.333333333336</v>
      </c>
      <c r="S120" s="177">
        <f t="shared" si="107"/>
        <v>37533.333333333336</v>
      </c>
      <c r="T120" s="177">
        <f t="shared" si="107"/>
        <v>37533.333333333336</v>
      </c>
      <c r="U120" s="177">
        <f t="shared" si="107"/>
        <v>37533.333333333336</v>
      </c>
      <c r="V120" s="177">
        <f t="shared" si="107"/>
        <v>37533.333333333336</v>
      </c>
      <c r="W120" s="177">
        <f t="shared" si="107"/>
        <v>37533.333333333336</v>
      </c>
      <c r="X120" s="177">
        <f t="shared" si="107"/>
        <v>37533.333333333336</v>
      </c>
      <c r="Y120" s="177">
        <f t="shared" si="107"/>
        <v>37533.333333333336</v>
      </c>
      <c r="Z120" s="558">
        <f t="shared" si="96"/>
        <v>450399.99999999994</v>
      </c>
      <c r="AA120" s="466"/>
      <c r="AB120" s="177">
        <f t="shared" si="93"/>
        <v>37533.333333333336</v>
      </c>
      <c r="AC120" s="177">
        <f t="shared" si="93"/>
        <v>37533.333333333336</v>
      </c>
      <c r="AD120" s="177">
        <f t="shared" si="93"/>
        <v>37533.333333333336</v>
      </c>
      <c r="AE120" s="177">
        <f t="shared" si="93"/>
        <v>37533.333333333336</v>
      </c>
      <c r="AF120" s="177">
        <f t="shared" si="93"/>
        <v>37533.333333333336</v>
      </c>
      <c r="AG120" s="177">
        <f t="shared" si="93"/>
        <v>37533.333333333336</v>
      </c>
      <c r="AH120" s="177">
        <f t="shared" si="93"/>
        <v>37533.333333333336</v>
      </c>
      <c r="AI120" s="177">
        <f t="shared" si="93"/>
        <v>37533.333333333336</v>
      </c>
      <c r="AJ120" s="177">
        <f t="shared" si="93"/>
        <v>37533.333333333336</v>
      </c>
      <c r="AK120" s="177">
        <f t="shared" si="93"/>
        <v>37533.333333333336</v>
      </c>
      <c r="AL120" s="177">
        <f t="shared" si="93"/>
        <v>37533.333333333336</v>
      </c>
      <c r="AM120" s="177">
        <f t="shared" si="93"/>
        <v>37533.333333333336</v>
      </c>
      <c r="AN120" s="558">
        <f t="shared" si="97"/>
        <v>450399.99999999994</v>
      </c>
      <c r="AP120" s="152"/>
      <c r="AQ120" s="152"/>
      <c r="AR120" s="152"/>
      <c r="AS120" s="152"/>
      <c r="AT120" s="152"/>
      <c r="AU120" s="152"/>
      <c r="AV120" s="152"/>
      <c r="AW120" s="152"/>
      <c r="AX120" s="152"/>
      <c r="AY120" s="152"/>
      <c r="AZ120" s="152"/>
      <c r="BA120" s="152"/>
      <c r="BB120" s="152"/>
      <c r="BC120" s="152"/>
      <c r="BD120" s="152"/>
    </row>
    <row r="121" spans="1:56" ht="13.5" customHeight="1" thickBot="1">
      <c r="A121" s="550"/>
      <c r="B121" s="551" t="str">
        <f>B120</f>
        <v>ACPSZL</v>
      </c>
      <c r="C121" s="551"/>
      <c r="D121" s="552" t="str">
        <f t="shared" si="88"/>
        <v>Firm</v>
      </c>
      <c r="E121" s="552"/>
      <c r="F121" s="549">
        <f>J121/$J$119</f>
        <v>9.0468497576736667E-2</v>
      </c>
      <c r="G121" s="553" t="s">
        <v>2613</v>
      </c>
      <c r="H121" s="554" t="s">
        <v>2614</v>
      </c>
      <c r="I121" s="554" t="s">
        <v>2046</v>
      </c>
      <c r="J121" s="555">
        <f>J119-J120</f>
        <v>44800</v>
      </c>
      <c r="K121" s="556">
        <f t="shared" si="89"/>
        <v>46023</v>
      </c>
      <c r="L121" s="556">
        <f t="shared" si="90"/>
        <v>46387</v>
      </c>
      <c r="M121" s="557">
        <f t="shared" si="91"/>
        <v>12</v>
      </c>
      <c r="N121" s="561">
        <f t="shared" ref="N121:Y121" si="108">IF(AND($K121&lt;=N$47,N$47&lt;=$L121),$J121/$M121,0)</f>
        <v>3733.3333333333335</v>
      </c>
      <c r="O121" s="561">
        <f t="shared" si="108"/>
        <v>3733.3333333333335</v>
      </c>
      <c r="P121" s="561">
        <f t="shared" si="108"/>
        <v>3733.3333333333335</v>
      </c>
      <c r="Q121" s="561">
        <f t="shared" si="108"/>
        <v>3733.3333333333335</v>
      </c>
      <c r="R121" s="561">
        <f t="shared" si="108"/>
        <v>3733.3333333333335</v>
      </c>
      <c r="S121" s="561">
        <f t="shared" si="108"/>
        <v>3733.3333333333335</v>
      </c>
      <c r="T121" s="561">
        <f t="shared" si="108"/>
        <v>3733.3333333333335</v>
      </c>
      <c r="U121" s="561">
        <f t="shared" si="108"/>
        <v>3733.3333333333335</v>
      </c>
      <c r="V121" s="561">
        <f t="shared" si="108"/>
        <v>3733.3333333333335</v>
      </c>
      <c r="W121" s="561">
        <f t="shared" si="108"/>
        <v>3733.3333333333335</v>
      </c>
      <c r="X121" s="561">
        <f t="shared" si="108"/>
        <v>3733.3333333333335</v>
      </c>
      <c r="Y121" s="561">
        <f t="shared" si="108"/>
        <v>3733.3333333333335</v>
      </c>
      <c r="Z121" s="558">
        <f t="shared" si="96"/>
        <v>44800.000000000007</v>
      </c>
      <c r="AA121" s="466"/>
      <c r="AB121" s="561">
        <f t="shared" si="93"/>
        <v>3733.3333333333335</v>
      </c>
      <c r="AC121" s="561">
        <f t="shared" si="93"/>
        <v>3733.3333333333335</v>
      </c>
      <c r="AD121" s="561">
        <f t="shared" si="93"/>
        <v>3733.3333333333335</v>
      </c>
      <c r="AE121" s="561">
        <f t="shared" si="93"/>
        <v>3733.3333333333335</v>
      </c>
      <c r="AF121" s="561">
        <f t="shared" si="93"/>
        <v>3733.3333333333335</v>
      </c>
      <c r="AG121" s="561">
        <f t="shared" si="93"/>
        <v>3733.3333333333335</v>
      </c>
      <c r="AH121" s="561">
        <f t="shared" si="93"/>
        <v>3733.3333333333335</v>
      </c>
      <c r="AI121" s="561">
        <f t="shared" si="93"/>
        <v>3733.3333333333335</v>
      </c>
      <c r="AJ121" s="561">
        <f t="shared" si="93"/>
        <v>3733.3333333333335</v>
      </c>
      <c r="AK121" s="561">
        <f t="shared" si="93"/>
        <v>3733.3333333333335</v>
      </c>
      <c r="AL121" s="561">
        <f t="shared" si="93"/>
        <v>3733.3333333333335</v>
      </c>
      <c r="AM121" s="561">
        <f t="shared" si="93"/>
        <v>3733.3333333333335</v>
      </c>
      <c r="AN121" s="558">
        <f t="shared" si="97"/>
        <v>44800.000000000007</v>
      </c>
      <c r="AP121" s="152"/>
      <c r="AQ121" s="152"/>
      <c r="AR121" s="152"/>
      <c r="AS121" s="152"/>
      <c r="AT121" s="152"/>
      <c r="AU121" s="152"/>
      <c r="AV121" s="152"/>
      <c r="AW121" s="152"/>
      <c r="AX121" s="152"/>
      <c r="AY121" s="152"/>
      <c r="AZ121" s="152"/>
      <c r="BA121" s="152"/>
      <c r="BB121" s="152"/>
      <c r="BC121" s="152"/>
      <c r="BD121" s="152"/>
    </row>
    <row r="122" spans="1:56" ht="13.5" customHeight="1" thickTop="1">
      <c r="A122" s="1120"/>
      <c r="B122" s="1120"/>
      <c r="C122" s="1120"/>
      <c r="D122" s="1121"/>
      <c r="E122" s="1121"/>
      <c r="F122" s="1122"/>
      <c r="G122" s="63"/>
      <c r="H122" s="1123"/>
      <c r="I122" s="1123"/>
      <c r="J122" s="1124"/>
      <c r="K122" s="459"/>
      <c r="L122" s="459"/>
      <c r="M122" s="1125"/>
      <c r="N122" s="1126"/>
      <c r="O122" s="1126"/>
      <c r="P122" s="1126"/>
      <c r="Q122" s="1126"/>
      <c r="R122" s="1126"/>
      <c r="S122" s="1126"/>
      <c r="T122" s="1126"/>
      <c r="U122" s="1126"/>
      <c r="V122" s="1126"/>
      <c r="W122" s="1126"/>
      <c r="X122" s="1126"/>
      <c r="Y122" s="1126"/>
      <c r="Z122" s="1129"/>
      <c r="AA122" s="466"/>
      <c r="AB122" s="1126"/>
      <c r="AC122" s="1126"/>
      <c r="AD122" s="1126"/>
      <c r="AE122" s="1126"/>
      <c r="AF122" s="1126"/>
      <c r="AG122" s="1126"/>
      <c r="AH122" s="1126"/>
      <c r="AI122" s="1126"/>
      <c r="AJ122" s="1126"/>
      <c r="AK122" s="1126"/>
      <c r="AL122" s="1126"/>
      <c r="AM122" s="1126"/>
      <c r="AN122" s="1129"/>
      <c r="AP122" s="152"/>
      <c r="AQ122" s="152"/>
      <c r="AR122" s="152"/>
      <c r="AS122" s="152"/>
      <c r="AT122" s="152"/>
      <c r="AU122" s="152"/>
      <c r="AV122" s="152"/>
      <c r="AW122" s="152"/>
      <c r="AX122" s="152"/>
      <c r="AY122" s="152"/>
      <c r="AZ122" s="152"/>
      <c r="BA122" s="152"/>
      <c r="BB122" s="152"/>
      <c r="BC122" s="152"/>
      <c r="BD122" s="152"/>
    </row>
    <row r="123" spans="1:56" s="150" customFormat="1" ht="42.95" customHeight="1">
      <c r="A123" s="162"/>
      <c r="B123" s="526" t="s">
        <v>2598</v>
      </c>
      <c r="C123" s="527" t="s">
        <v>2600</v>
      </c>
      <c r="D123" s="528" t="str">
        <f>$D$47</f>
        <v>Travel and Entertainment</v>
      </c>
      <c r="E123" s="528" t="s">
        <v>2602</v>
      </c>
      <c r="F123" s="528" t="s">
        <v>2603</v>
      </c>
      <c r="G123" s="164" t="s">
        <v>2604</v>
      </c>
      <c r="H123" s="164" t="s">
        <v>2605</v>
      </c>
      <c r="I123" s="165" t="s">
        <v>2606</v>
      </c>
      <c r="J123" s="464" t="s">
        <v>2607</v>
      </c>
      <c r="K123" s="465" t="s">
        <v>2608</v>
      </c>
      <c r="L123" s="465" t="s">
        <v>2609</v>
      </c>
      <c r="M123" s="464" t="s">
        <v>2610</v>
      </c>
      <c r="N123" s="1132">
        <v>46023</v>
      </c>
      <c r="O123" s="1132">
        <v>46054</v>
      </c>
      <c r="P123" s="1132">
        <v>46082</v>
      </c>
      <c r="Q123" s="1132">
        <v>46113</v>
      </c>
      <c r="R123" s="1132">
        <v>46143</v>
      </c>
      <c r="S123" s="1132">
        <v>46174</v>
      </c>
      <c r="T123" s="1132">
        <v>46204</v>
      </c>
      <c r="U123" s="1132">
        <v>46235</v>
      </c>
      <c r="V123" s="1132">
        <v>46266</v>
      </c>
      <c r="W123" s="1132">
        <v>46296</v>
      </c>
      <c r="X123" s="1132">
        <v>46327</v>
      </c>
      <c r="Y123" s="1132">
        <v>46357</v>
      </c>
      <c r="Z123" s="168" t="s">
        <v>2115</v>
      </c>
      <c r="AA123" s="529"/>
      <c r="AB123" s="1132">
        <v>46023</v>
      </c>
      <c r="AC123" s="1132">
        <v>46054</v>
      </c>
      <c r="AD123" s="1132">
        <v>46082</v>
      </c>
      <c r="AE123" s="1132">
        <v>46113</v>
      </c>
      <c r="AF123" s="1132">
        <v>46143</v>
      </c>
      <c r="AG123" s="1132">
        <v>46174</v>
      </c>
      <c r="AH123" s="1132">
        <v>46204</v>
      </c>
      <c r="AI123" s="1132">
        <v>46235</v>
      </c>
      <c r="AJ123" s="1132">
        <v>46266</v>
      </c>
      <c r="AK123" s="1132">
        <v>46296</v>
      </c>
      <c r="AL123" s="1132">
        <v>46327</v>
      </c>
      <c r="AM123" s="1132">
        <v>46357</v>
      </c>
      <c r="AN123" s="168" t="s">
        <v>2115</v>
      </c>
      <c r="AO123" s="514"/>
      <c r="AP123" s="514"/>
      <c r="AQ123" s="514"/>
      <c r="AR123" s="514"/>
      <c r="AS123" s="514"/>
    </row>
    <row r="124" spans="1:56" ht="13.5" customHeight="1">
      <c r="A124" s="171">
        <v>1</v>
      </c>
      <c r="B124" s="171" t="s">
        <v>2553</v>
      </c>
      <c r="C124" s="171" t="s">
        <v>1704</v>
      </c>
      <c r="D124" s="172" t="str">
        <f t="shared" ref="D124:D133" si="109">D64</f>
        <v>Airfare - International</v>
      </c>
      <c r="E124" s="172"/>
      <c r="F124" s="172"/>
      <c r="G124" s="77" t="s">
        <v>2613</v>
      </c>
      <c r="H124" s="173" t="s">
        <v>2614</v>
      </c>
      <c r="I124" s="173" t="s">
        <v>2046</v>
      </c>
      <c r="J124" s="184">
        <f>SUMIF($B$16:$B$35,$B124,$T$16:$T$35)*VLOOKUP($D124,$T$11:$U$15,2,FALSE)</f>
        <v>0</v>
      </c>
      <c r="K124" s="456">
        <f t="shared" ref="K124:K136" si="110">$K$49</f>
        <v>46023</v>
      </c>
      <c r="L124" s="456">
        <f t="shared" ref="L124:L136" si="111">$L$49</f>
        <v>46387</v>
      </c>
      <c r="M124" s="462">
        <f t="shared" ref="M124:M136" si="112">IF(AND(K124="",L124=""),"-",IF(L124="",12,DATEDIF(K124,L124,"M")+1))</f>
        <v>12</v>
      </c>
      <c r="N124" s="177">
        <f t="shared" ref="N124:Y124" si="113">IF(AND($K124&lt;=N$47,N$47&lt;=$L124),$J124/$M124,0)</f>
        <v>0</v>
      </c>
      <c r="O124" s="177">
        <f t="shared" si="113"/>
        <v>0</v>
      </c>
      <c r="P124" s="177">
        <f t="shared" si="113"/>
        <v>0</v>
      </c>
      <c r="Q124" s="177">
        <f t="shared" si="113"/>
        <v>0</v>
      </c>
      <c r="R124" s="177">
        <f t="shared" si="113"/>
        <v>0</v>
      </c>
      <c r="S124" s="177">
        <f t="shared" si="113"/>
        <v>0</v>
      </c>
      <c r="T124" s="177">
        <f t="shared" si="113"/>
        <v>0</v>
      </c>
      <c r="U124" s="177">
        <f t="shared" si="113"/>
        <v>0</v>
      </c>
      <c r="V124" s="177">
        <f t="shared" si="113"/>
        <v>0</v>
      </c>
      <c r="W124" s="177">
        <f t="shared" si="113"/>
        <v>0</v>
      </c>
      <c r="X124" s="177">
        <f t="shared" si="113"/>
        <v>0</v>
      </c>
      <c r="Y124" s="177">
        <f t="shared" si="113"/>
        <v>0</v>
      </c>
      <c r="Z124" s="178">
        <f>SUM(N124:Y124)</f>
        <v>0</v>
      </c>
      <c r="AA124" s="466"/>
      <c r="AB124" s="177">
        <f t="shared" ref="AB124:AM136" si="114">IF(AND($K124&lt;=AB$47,AB$47&lt;=$L124),$J124/$M124,0)</f>
        <v>0</v>
      </c>
      <c r="AC124" s="177">
        <f t="shared" si="114"/>
        <v>0</v>
      </c>
      <c r="AD124" s="177">
        <f t="shared" si="114"/>
        <v>0</v>
      </c>
      <c r="AE124" s="177">
        <f t="shared" si="114"/>
        <v>0</v>
      </c>
      <c r="AF124" s="177">
        <f t="shared" si="114"/>
        <v>0</v>
      </c>
      <c r="AG124" s="177">
        <f t="shared" si="114"/>
        <v>0</v>
      </c>
      <c r="AH124" s="177">
        <f t="shared" si="114"/>
        <v>0</v>
      </c>
      <c r="AI124" s="177">
        <f t="shared" si="114"/>
        <v>0</v>
      </c>
      <c r="AJ124" s="177">
        <f t="shared" si="114"/>
        <v>0</v>
      </c>
      <c r="AK124" s="177">
        <f t="shared" si="114"/>
        <v>0</v>
      </c>
      <c r="AL124" s="177">
        <f t="shared" si="114"/>
        <v>0</v>
      </c>
      <c r="AM124" s="177">
        <f t="shared" si="114"/>
        <v>0</v>
      </c>
      <c r="AN124" s="178">
        <f>SUM(AB124:AM124)</f>
        <v>0</v>
      </c>
      <c r="AO124" s="559"/>
      <c r="AP124" s="559"/>
      <c r="AQ124" s="559"/>
      <c r="AR124" s="559"/>
      <c r="AS124" s="559"/>
      <c r="AT124" s="152"/>
      <c r="AU124" s="152"/>
      <c r="AV124" s="152"/>
      <c r="AW124" s="152"/>
      <c r="AX124" s="152"/>
      <c r="AY124" s="152"/>
      <c r="AZ124" s="152"/>
      <c r="BA124" s="152"/>
      <c r="BB124" s="152"/>
      <c r="BC124" s="152"/>
      <c r="BD124" s="152"/>
    </row>
    <row r="125" spans="1:56" ht="13.5" customHeight="1">
      <c r="A125" s="171">
        <f t="shared" ref="A125:A133" si="115">IF(A124&lt;=0,FALSE,A124+1)</f>
        <v>2</v>
      </c>
      <c r="B125" s="171" t="s">
        <v>2553</v>
      </c>
      <c r="C125" s="171" t="s">
        <v>1704</v>
      </c>
      <c r="D125" s="172" t="str">
        <f t="shared" si="109"/>
        <v>Airfare - Domestic</v>
      </c>
      <c r="E125" s="172"/>
      <c r="F125" s="172"/>
      <c r="G125" s="77" t="s">
        <v>2613</v>
      </c>
      <c r="H125" s="173" t="s">
        <v>2614</v>
      </c>
      <c r="I125" s="173" t="s">
        <v>2046</v>
      </c>
      <c r="J125" s="184">
        <f>SUMIF($B$16:$B$35,$B125,$O$16:$O$35)*VLOOKUP($D125,$O$11:$P$15,2,FALSE)</f>
        <v>0</v>
      </c>
      <c r="K125" s="456">
        <f t="shared" si="110"/>
        <v>46023</v>
      </c>
      <c r="L125" s="456">
        <f t="shared" si="111"/>
        <v>46387</v>
      </c>
      <c r="M125" s="462">
        <f t="shared" si="112"/>
        <v>12</v>
      </c>
      <c r="N125" s="177">
        <f t="shared" ref="N125:Y125" si="116">IF(AND($K125&lt;=N$47,N$47&lt;=$L125),$J125/$M125,0)</f>
        <v>0</v>
      </c>
      <c r="O125" s="177">
        <f t="shared" si="116"/>
        <v>0</v>
      </c>
      <c r="P125" s="177">
        <f t="shared" si="116"/>
        <v>0</v>
      </c>
      <c r="Q125" s="177">
        <f t="shared" si="116"/>
        <v>0</v>
      </c>
      <c r="R125" s="177">
        <f t="shared" si="116"/>
        <v>0</v>
      </c>
      <c r="S125" s="177">
        <f t="shared" si="116"/>
        <v>0</v>
      </c>
      <c r="T125" s="177">
        <f t="shared" si="116"/>
        <v>0</v>
      </c>
      <c r="U125" s="177">
        <f t="shared" si="116"/>
        <v>0</v>
      </c>
      <c r="V125" s="177">
        <f t="shared" si="116"/>
        <v>0</v>
      </c>
      <c r="W125" s="177">
        <f t="shared" si="116"/>
        <v>0</v>
      </c>
      <c r="X125" s="177">
        <f t="shared" si="116"/>
        <v>0</v>
      </c>
      <c r="Y125" s="177">
        <f t="shared" si="116"/>
        <v>0</v>
      </c>
      <c r="Z125" s="178">
        <f t="shared" ref="Z125:Z136" si="117">SUM(N125:Y125)</f>
        <v>0</v>
      </c>
      <c r="AA125" s="466"/>
      <c r="AB125" s="177">
        <f t="shared" si="114"/>
        <v>0</v>
      </c>
      <c r="AC125" s="177">
        <f t="shared" si="114"/>
        <v>0</v>
      </c>
      <c r="AD125" s="177">
        <f t="shared" si="114"/>
        <v>0</v>
      </c>
      <c r="AE125" s="177">
        <f t="shared" si="114"/>
        <v>0</v>
      </c>
      <c r="AF125" s="177">
        <f t="shared" si="114"/>
        <v>0</v>
      </c>
      <c r="AG125" s="177">
        <f t="shared" si="114"/>
        <v>0</v>
      </c>
      <c r="AH125" s="177">
        <f t="shared" si="114"/>
        <v>0</v>
      </c>
      <c r="AI125" s="177">
        <f t="shared" si="114"/>
        <v>0</v>
      </c>
      <c r="AJ125" s="177">
        <f t="shared" si="114"/>
        <v>0</v>
      </c>
      <c r="AK125" s="177">
        <f t="shared" si="114"/>
        <v>0</v>
      </c>
      <c r="AL125" s="177">
        <f t="shared" si="114"/>
        <v>0</v>
      </c>
      <c r="AM125" s="177">
        <f t="shared" si="114"/>
        <v>0</v>
      </c>
      <c r="AN125" s="178">
        <f t="shared" ref="AN125:AN136" si="118">SUM(AB125:AM125)</f>
        <v>0</v>
      </c>
      <c r="AO125" s="559"/>
      <c r="AP125" s="559"/>
      <c r="AQ125" s="559"/>
      <c r="AR125" s="559"/>
      <c r="AS125" s="559"/>
      <c r="AT125" s="152"/>
      <c r="AU125" s="152"/>
      <c r="AV125" s="152"/>
      <c r="AW125" s="152"/>
      <c r="AX125" s="152"/>
      <c r="AY125" s="152"/>
      <c r="AZ125" s="152"/>
      <c r="BA125" s="152"/>
      <c r="BB125" s="152"/>
      <c r="BC125" s="152"/>
      <c r="BD125" s="152"/>
    </row>
    <row r="126" spans="1:56" ht="13.5" customHeight="1">
      <c r="A126" s="171">
        <f t="shared" si="115"/>
        <v>3</v>
      </c>
      <c r="B126" s="171" t="s">
        <v>2553</v>
      </c>
      <c r="C126" s="171" t="s">
        <v>1690</v>
      </c>
      <c r="D126" s="172" t="str">
        <f t="shared" si="109"/>
        <v>Hotels</v>
      </c>
      <c r="E126" s="172"/>
      <c r="F126" s="172"/>
      <c r="G126" s="77" t="s">
        <v>2613</v>
      </c>
      <c r="H126" s="173" t="s">
        <v>2614</v>
      </c>
      <c r="I126" s="173" t="s">
        <v>2046</v>
      </c>
      <c r="J126" s="184">
        <f>SUMIF($B$16:$B$35,$B126,$T$16:$T$35)*VLOOKUP($D126,$T$11:$U$15,2,FALSE)+SUMIF($B$16:$B$35,$B126,$O$16:$O$35)*VLOOKUP($D126,$O$11:$P$15,2,FALSE)+SUMIF($B$16:$B$35,$B126,$K$16:$K$35)*VLOOKUP($D126,$L$11:$M$15,2,FALSE)</f>
        <v>0</v>
      </c>
      <c r="K126" s="456">
        <f t="shared" si="110"/>
        <v>46023</v>
      </c>
      <c r="L126" s="456">
        <f t="shared" si="111"/>
        <v>46387</v>
      </c>
      <c r="M126" s="462">
        <f t="shared" si="112"/>
        <v>12</v>
      </c>
      <c r="N126" s="177">
        <f t="shared" ref="N126:Y126" si="119">IF(AND($K126&lt;=N$47,N$47&lt;=$L126),$J126/$M126,0)</f>
        <v>0</v>
      </c>
      <c r="O126" s="177">
        <f t="shared" si="119"/>
        <v>0</v>
      </c>
      <c r="P126" s="177">
        <f t="shared" si="119"/>
        <v>0</v>
      </c>
      <c r="Q126" s="177">
        <f t="shared" si="119"/>
        <v>0</v>
      </c>
      <c r="R126" s="177">
        <f t="shared" si="119"/>
        <v>0</v>
      </c>
      <c r="S126" s="177">
        <f t="shared" si="119"/>
        <v>0</v>
      </c>
      <c r="T126" s="177">
        <f t="shared" si="119"/>
        <v>0</v>
      </c>
      <c r="U126" s="177">
        <f t="shared" si="119"/>
        <v>0</v>
      </c>
      <c r="V126" s="177">
        <f t="shared" si="119"/>
        <v>0</v>
      </c>
      <c r="W126" s="177">
        <f t="shared" si="119"/>
        <v>0</v>
      </c>
      <c r="X126" s="177">
        <f t="shared" si="119"/>
        <v>0</v>
      </c>
      <c r="Y126" s="177">
        <f t="shared" si="119"/>
        <v>0</v>
      </c>
      <c r="Z126" s="178">
        <f t="shared" si="117"/>
        <v>0</v>
      </c>
      <c r="AA126" s="466"/>
      <c r="AB126" s="177">
        <f t="shared" si="114"/>
        <v>0</v>
      </c>
      <c r="AC126" s="177">
        <f t="shared" si="114"/>
        <v>0</v>
      </c>
      <c r="AD126" s="177">
        <f t="shared" si="114"/>
        <v>0</v>
      </c>
      <c r="AE126" s="177">
        <f t="shared" si="114"/>
        <v>0</v>
      </c>
      <c r="AF126" s="177">
        <f t="shared" si="114"/>
        <v>0</v>
      </c>
      <c r="AG126" s="177">
        <f t="shared" si="114"/>
        <v>0</v>
      </c>
      <c r="AH126" s="177">
        <f t="shared" si="114"/>
        <v>0</v>
      </c>
      <c r="AI126" s="177">
        <f t="shared" si="114"/>
        <v>0</v>
      </c>
      <c r="AJ126" s="177">
        <f t="shared" si="114"/>
        <v>0</v>
      </c>
      <c r="AK126" s="177">
        <f t="shared" si="114"/>
        <v>0</v>
      </c>
      <c r="AL126" s="177">
        <f t="shared" si="114"/>
        <v>0</v>
      </c>
      <c r="AM126" s="177">
        <f t="shared" si="114"/>
        <v>0</v>
      </c>
      <c r="AN126" s="178">
        <f t="shared" si="118"/>
        <v>0</v>
      </c>
      <c r="AO126" s="559"/>
      <c r="AP126" s="559"/>
      <c r="AQ126" s="559"/>
      <c r="AR126" s="559"/>
      <c r="AS126" s="559"/>
      <c r="AT126" s="152"/>
      <c r="AU126" s="152"/>
      <c r="AV126" s="152"/>
      <c r="AW126" s="152"/>
      <c r="AX126" s="152"/>
      <c r="AY126" s="152"/>
      <c r="AZ126" s="152"/>
      <c r="BA126" s="152"/>
      <c r="BB126" s="152"/>
      <c r="BC126" s="152"/>
      <c r="BD126" s="152"/>
    </row>
    <row r="127" spans="1:56" ht="13.5" customHeight="1">
      <c r="A127" s="171">
        <f t="shared" si="115"/>
        <v>4</v>
      </c>
      <c r="B127" s="171" t="s">
        <v>2553</v>
      </c>
      <c r="C127" s="171" t="s">
        <v>1699</v>
      </c>
      <c r="D127" s="172" t="str">
        <f t="shared" si="109"/>
        <v>Ground transportation</v>
      </c>
      <c r="E127" s="172"/>
      <c r="F127" s="172"/>
      <c r="G127" s="77" t="s">
        <v>2613</v>
      </c>
      <c r="H127" s="173" t="s">
        <v>2614</v>
      </c>
      <c r="I127" s="173" t="s">
        <v>2046</v>
      </c>
      <c r="J127" s="184">
        <f>SUMIF($B$16:$B$35,$B127,$T$16:$T$35)*VLOOKUP($D127,$T$11:$U$15,2,FALSE)+SUMIF($B$16:$B$35,$B127,$O$16:$O$35)*VLOOKUP($D127,$O$11:$P$15,2,FALSE)+SUMIF($B$16:$B$35,$B127,$K$16:$K$35)*VLOOKUP($D127,$L$11:$M$15,2,FALSE)+SUMIF($B$16:$B$35,$B127,$I$16:$I$35)*VLOOKUP($D127,$I$11:$J$15,2,FALSE)</f>
        <v>0</v>
      </c>
      <c r="K127" s="456">
        <f t="shared" si="110"/>
        <v>46023</v>
      </c>
      <c r="L127" s="456">
        <f t="shared" si="111"/>
        <v>46387</v>
      </c>
      <c r="M127" s="462">
        <f t="shared" si="112"/>
        <v>12</v>
      </c>
      <c r="N127" s="177">
        <f t="shared" ref="N127:Y127" si="120">IF(AND($K127&lt;=N$47,N$47&lt;=$L127),$J127/$M127,0)</f>
        <v>0</v>
      </c>
      <c r="O127" s="177">
        <f t="shared" si="120"/>
        <v>0</v>
      </c>
      <c r="P127" s="177">
        <f t="shared" si="120"/>
        <v>0</v>
      </c>
      <c r="Q127" s="177">
        <f t="shared" si="120"/>
        <v>0</v>
      </c>
      <c r="R127" s="177">
        <f t="shared" si="120"/>
        <v>0</v>
      </c>
      <c r="S127" s="177">
        <f t="shared" si="120"/>
        <v>0</v>
      </c>
      <c r="T127" s="177">
        <f t="shared" si="120"/>
        <v>0</v>
      </c>
      <c r="U127" s="177">
        <f t="shared" si="120"/>
        <v>0</v>
      </c>
      <c r="V127" s="177">
        <f t="shared" si="120"/>
        <v>0</v>
      </c>
      <c r="W127" s="177">
        <f t="shared" si="120"/>
        <v>0</v>
      </c>
      <c r="X127" s="177">
        <f t="shared" si="120"/>
        <v>0</v>
      </c>
      <c r="Y127" s="177">
        <f t="shared" si="120"/>
        <v>0</v>
      </c>
      <c r="Z127" s="178">
        <f t="shared" si="117"/>
        <v>0</v>
      </c>
      <c r="AA127" s="466"/>
      <c r="AB127" s="177">
        <f t="shared" si="114"/>
        <v>0</v>
      </c>
      <c r="AC127" s="177">
        <f t="shared" si="114"/>
        <v>0</v>
      </c>
      <c r="AD127" s="177">
        <f t="shared" si="114"/>
        <v>0</v>
      </c>
      <c r="AE127" s="177">
        <f t="shared" si="114"/>
        <v>0</v>
      </c>
      <c r="AF127" s="177">
        <f t="shared" si="114"/>
        <v>0</v>
      </c>
      <c r="AG127" s="177">
        <f t="shared" si="114"/>
        <v>0</v>
      </c>
      <c r="AH127" s="177">
        <f t="shared" si="114"/>
        <v>0</v>
      </c>
      <c r="AI127" s="177">
        <f t="shared" si="114"/>
        <v>0</v>
      </c>
      <c r="AJ127" s="177">
        <f t="shared" si="114"/>
        <v>0</v>
      </c>
      <c r="AK127" s="177">
        <f t="shared" si="114"/>
        <v>0</v>
      </c>
      <c r="AL127" s="177">
        <f t="shared" si="114"/>
        <v>0</v>
      </c>
      <c r="AM127" s="177">
        <f t="shared" si="114"/>
        <v>0</v>
      </c>
      <c r="AN127" s="178">
        <f t="shared" si="118"/>
        <v>0</v>
      </c>
      <c r="AO127" s="559"/>
      <c r="AP127" s="559"/>
      <c r="AQ127" s="559"/>
      <c r="AR127" s="559"/>
      <c r="AS127" s="559"/>
      <c r="AT127" s="152"/>
      <c r="AU127" s="152"/>
      <c r="AV127" s="152"/>
      <c r="AW127" s="152"/>
      <c r="AX127" s="152"/>
      <c r="AY127" s="152"/>
      <c r="AZ127" s="152"/>
      <c r="BA127" s="152"/>
      <c r="BB127" s="152"/>
      <c r="BC127" s="152"/>
      <c r="BD127" s="152"/>
    </row>
    <row r="128" spans="1:56" ht="13.5" customHeight="1">
      <c r="A128" s="171">
        <f t="shared" si="115"/>
        <v>5</v>
      </c>
      <c r="B128" s="171" t="s">
        <v>2553</v>
      </c>
      <c r="C128" s="171" t="s">
        <v>1695</v>
      </c>
      <c r="D128" s="172" t="str">
        <f t="shared" si="109"/>
        <v>Meals</v>
      </c>
      <c r="E128" s="172"/>
      <c r="F128" s="172"/>
      <c r="G128" s="77" t="s">
        <v>2613</v>
      </c>
      <c r="H128" s="173" t="s">
        <v>2614</v>
      </c>
      <c r="I128" s="173" t="s">
        <v>2046</v>
      </c>
      <c r="J128" s="184">
        <f>SUMIF($B$16:$B$35,$B128,$T$16:$T$35)*VLOOKUP($D128,$T$11:$U$15,2,FALSE)+SUMIF($B$16:$B$35,$B128,$O$16:$O$35)*VLOOKUP($D128,$O$11:$P$15,2,FALSE)+SUMIF($B$16:$B$35,$B128,$K$16:$K$35)*VLOOKUP($D128,$L$11:$M$15,2,FALSE)+SUMIF($B$16:$B$35,$B128,$I$16:$I$35)*VLOOKUP($D128,$I$11:$J$15,2,FALSE)</f>
        <v>0</v>
      </c>
      <c r="K128" s="456">
        <f t="shared" si="110"/>
        <v>46023</v>
      </c>
      <c r="L128" s="456">
        <f t="shared" si="111"/>
        <v>46387</v>
      </c>
      <c r="M128" s="462">
        <f t="shared" si="112"/>
        <v>12</v>
      </c>
      <c r="N128" s="177">
        <f t="shared" ref="N128:Y128" si="121">IF(AND($K128&lt;=N$47,N$47&lt;=$L128),$J128/$M128,0)</f>
        <v>0</v>
      </c>
      <c r="O128" s="177">
        <f t="shared" si="121"/>
        <v>0</v>
      </c>
      <c r="P128" s="177">
        <f t="shared" si="121"/>
        <v>0</v>
      </c>
      <c r="Q128" s="177">
        <f t="shared" si="121"/>
        <v>0</v>
      </c>
      <c r="R128" s="177">
        <f t="shared" si="121"/>
        <v>0</v>
      </c>
      <c r="S128" s="177">
        <f t="shared" si="121"/>
        <v>0</v>
      </c>
      <c r="T128" s="177">
        <f t="shared" si="121"/>
        <v>0</v>
      </c>
      <c r="U128" s="177">
        <f t="shared" si="121"/>
        <v>0</v>
      </c>
      <c r="V128" s="177">
        <f t="shared" si="121"/>
        <v>0</v>
      </c>
      <c r="W128" s="177">
        <f t="shared" si="121"/>
        <v>0</v>
      </c>
      <c r="X128" s="177">
        <f t="shared" si="121"/>
        <v>0</v>
      </c>
      <c r="Y128" s="177">
        <f t="shared" si="121"/>
        <v>0</v>
      </c>
      <c r="Z128" s="178">
        <f t="shared" si="117"/>
        <v>0</v>
      </c>
      <c r="AA128" s="466"/>
      <c r="AB128" s="177">
        <f t="shared" si="114"/>
        <v>0</v>
      </c>
      <c r="AC128" s="177">
        <f t="shared" si="114"/>
        <v>0</v>
      </c>
      <c r="AD128" s="177">
        <f t="shared" si="114"/>
        <v>0</v>
      </c>
      <c r="AE128" s="177">
        <f t="shared" si="114"/>
        <v>0</v>
      </c>
      <c r="AF128" s="177">
        <f t="shared" si="114"/>
        <v>0</v>
      </c>
      <c r="AG128" s="177">
        <f t="shared" si="114"/>
        <v>0</v>
      </c>
      <c r="AH128" s="177">
        <f t="shared" si="114"/>
        <v>0</v>
      </c>
      <c r="AI128" s="177">
        <f t="shared" si="114"/>
        <v>0</v>
      </c>
      <c r="AJ128" s="177">
        <f t="shared" si="114"/>
        <v>0</v>
      </c>
      <c r="AK128" s="177">
        <f t="shared" si="114"/>
        <v>0</v>
      </c>
      <c r="AL128" s="177">
        <f t="shared" si="114"/>
        <v>0</v>
      </c>
      <c r="AM128" s="177">
        <f t="shared" si="114"/>
        <v>0</v>
      </c>
      <c r="AN128" s="178">
        <f t="shared" si="118"/>
        <v>0</v>
      </c>
      <c r="AO128" s="559"/>
      <c r="AP128" s="559"/>
      <c r="AQ128" s="559"/>
      <c r="AR128" s="559"/>
      <c r="AS128" s="559"/>
      <c r="AT128" s="152"/>
      <c r="AU128" s="152"/>
      <c r="AV128" s="152"/>
      <c r="AW128" s="152"/>
      <c r="AX128" s="152"/>
      <c r="AY128" s="152"/>
      <c r="AZ128" s="152"/>
      <c r="BA128" s="152"/>
      <c r="BB128" s="152"/>
      <c r="BC128" s="152"/>
      <c r="BD128" s="152"/>
    </row>
    <row r="129" spans="1:57" ht="13.5" customHeight="1">
      <c r="A129" s="171">
        <f t="shared" si="115"/>
        <v>6</v>
      </c>
      <c r="B129" s="171" t="s">
        <v>2553</v>
      </c>
      <c r="C129" s="171" t="s">
        <v>1623</v>
      </c>
      <c r="D129" s="172" t="str">
        <f t="shared" si="109"/>
        <v>Entertainment</v>
      </c>
      <c r="E129" s="172"/>
      <c r="F129" s="172"/>
      <c r="G129" s="77" t="s">
        <v>2613</v>
      </c>
      <c r="H129" s="173" t="s">
        <v>2614</v>
      </c>
      <c r="I129" s="173" t="s">
        <v>2046</v>
      </c>
      <c r="J129" s="184"/>
      <c r="K129" s="456">
        <f t="shared" si="110"/>
        <v>46023</v>
      </c>
      <c r="L129" s="456">
        <f t="shared" si="111"/>
        <v>46387</v>
      </c>
      <c r="M129" s="462">
        <f t="shared" si="112"/>
        <v>12</v>
      </c>
      <c r="N129" s="177">
        <f t="shared" ref="N129:Y129" si="122">IF(AND($K129&lt;=N$47,N$47&lt;=$L129),$J129/$M129,0)</f>
        <v>0</v>
      </c>
      <c r="O129" s="177">
        <f t="shared" si="122"/>
        <v>0</v>
      </c>
      <c r="P129" s="177">
        <f t="shared" si="122"/>
        <v>0</v>
      </c>
      <c r="Q129" s="177">
        <f t="shared" si="122"/>
        <v>0</v>
      </c>
      <c r="R129" s="177">
        <f t="shared" si="122"/>
        <v>0</v>
      </c>
      <c r="S129" s="177">
        <f t="shared" si="122"/>
        <v>0</v>
      </c>
      <c r="T129" s="177">
        <f t="shared" si="122"/>
        <v>0</v>
      </c>
      <c r="U129" s="177">
        <f t="shared" si="122"/>
        <v>0</v>
      </c>
      <c r="V129" s="177">
        <f t="shared" si="122"/>
        <v>0</v>
      </c>
      <c r="W129" s="177">
        <f t="shared" si="122"/>
        <v>0</v>
      </c>
      <c r="X129" s="177">
        <f t="shared" si="122"/>
        <v>0</v>
      </c>
      <c r="Y129" s="177">
        <f t="shared" si="122"/>
        <v>0</v>
      </c>
      <c r="Z129" s="178">
        <f t="shared" si="117"/>
        <v>0</v>
      </c>
      <c r="AA129" s="466"/>
      <c r="AB129" s="177">
        <f t="shared" si="114"/>
        <v>0</v>
      </c>
      <c r="AC129" s="177">
        <f t="shared" si="114"/>
        <v>0</v>
      </c>
      <c r="AD129" s="177">
        <f t="shared" si="114"/>
        <v>0</v>
      </c>
      <c r="AE129" s="177">
        <f t="shared" si="114"/>
        <v>0</v>
      </c>
      <c r="AF129" s="177">
        <f t="shared" si="114"/>
        <v>0</v>
      </c>
      <c r="AG129" s="177">
        <f t="shared" si="114"/>
        <v>0</v>
      </c>
      <c r="AH129" s="177">
        <f t="shared" si="114"/>
        <v>0</v>
      </c>
      <c r="AI129" s="177">
        <f t="shared" si="114"/>
        <v>0</v>
      </c>
      <c r="AJ129" s="177">
        <f t="shared" si="114"/>
        <v>0</v>
      </c>
      <c r="AK129" s="177">
        <f t="shared" si="114"/>
        <v>0</v>
      </c>
      <c r="AL129" s="177">
        <f t="shared" si="114"/>
        <v>0</v>
      </c>
      <c r="AM129" s="177">
        <f t="shared" si="114"/>
        <v>0</v>
      </c>
      <c r="AN129" s="178">
        <f t="shared" si="118"/>
        <v>0</v>
      </c>
      <c r="AO129" s="559"/>
      <c r="AP129" s="559"/>
      <c r="AQ129" s="559"/>
      <c r="AR129" s="559"/>
      <c r="AS129" s="559"/>
      <c r="AT129" s="152"/>
      <c r="AU129" s="152"/>
      <c r="AV129" s="152"/>
      <c r="AW129" s="152"/>
      <c r="AX129" s="152"/>
      <c r="AY129" s="152"/>
      <c r="AZ129" s="152"/>
      <c r="BA129" s="152"/>
      <c r="BB129" s="152"/>
      <c r="BC129" s="152"/>
      <c r="BD129" s="152"/>
    </row>
    <row r="130" spans="1:57" ht="13.5" customHeight="1">
      <c r="A130" s="171">
        <f t="shared" si="115"/>
        <v>7</v>
      </c>
      <c r="B130" s="171" t="s">
        <v>2553</v>
      </c>
      <c r="C130" s="171" t="s">
        <v>1729</v>
      </c>
      <c r="D130" s="172" t="str">
        <f t="shared" si="109"/>
        <v>Other personal reimbursement</v>
      </c>
      <c r="E130" s="172"/>
      <c r="F130" s="172"/>
      <c r="G130" s="77" t="s">
        <v>2613</v>
      </c>
      <c r="H130" s="173" t="s">
        <v>2614</v>
      </c>
      <c r="I130" s="173" t="s">
        <v>2046</v>
      </c>
      <c r="J130" s="184"/>
      <c r="K130" s="456">
        <f t="shared" si="110"/>
        <v>46023</v>
      </c>
      <c r="L130" s="456">
        <f t="shared" si="111"/>
        <v>46387</v>
      </c>
      <c r="M130" s="462">
        <f t="shared" si="112"/>
        <v>12</v>
      </c>
      <c r="N130" s="177">
        <f t="shared" ref="N130:Y130" si="123">IF(AND($K130&lt;=N$47,N$47&lt;=$L130),$J130/$M130,0)</f>
        <v>0</v>
      </c>
      <c r="O130" s="177">
        <f t="shared" si="123"/>
        <v>0</v>
      </c>
      <c r="P130" s="177">
        <f t="shared" si="123"/>
        <v>0</v>
      </c>
      <c r="Q130" s="177">
        <f t="shared" si="123"/>
        <v>0</v>
      </c>
      <c r="R130" s="177">
        <f t="shared" si="123"/>
        <v>0</v>
      </c>
      <c r="S130" s="177">
        <f t="shared" si="123"/>
        <v>0</v>
      </c>
      <c r="T130" s="177">
        <f t="shared" si="123"/>
        <v>0</v>
      </c>
      <c r="U130" s="177">
        <f t="shared" si="123"/>
        <v>0</v>
      </c>
      <c r="V130" s="177">
        <f t="shared" si="123"/>
        <v>0</v>
      </c>
      <c r="W130" s="177">
        <f t="shared" si="123"/>
        <v>0</v>
      </c>
      <c r="X130" s="177">
        <f t="shared" si="123"/>
        <v>0</v>
      </c>
      <c r="Y130" s="177">
        <f t="shared" si="123"/>
        <v>0</v>
      </c>
      <c r="Z130" s="178">
        <f t="shared" si="117"/>
        <v>0</v>
      </c>
      <c r="AA130" s="466"/>
      <c r="AB130" s="177">
        <f t="shared" si="114"/>
        <v>0</v>
      </c>
      <c r="AC130" s="177">
        <f t="shared" si="114"/>
        <v>0</v>
      </c>
      <c r="AD130" s="177">
        <f t="shared" si="114"/>
        <v>0</v>
      </c>
      <c r="AE130" s="177">
        <f t="shared" si="114"/>
        <v>0</v>
      </c>
      <c r="AF130" s="177">
        <f t="shared" si="114"/>
        <v>0</v>
      </c>
      <c r="AG130" s="177">
        <f t="shared" si="114"/>
        <v>0</v>
      </c>
      <c r="AH130" s="177">
        <f t="shared" si="114"/>
        <v>0</v>
      </c>
      <c r="AI130" s="177">
        <f t="shared" si="114"/>
        <v>0</v>
      </c>
      <c r="AJ130" s="177">
        <f t="shared" si="114"/>
        <v>0</v>
      </c>
      <c r="AK130" s="177">
        <f t="shared" si="114"/>
        <v>0</v>
      </c>
      <c r="AL130" s="177">
        <f t="shared" si="114"/>
        <v>0</v>
      </c>
      <c r="AM130" s="177">
        <f t="shared" si="114"/>
        <v>0</v>
      </c>
      <c r="AN130" s="178">
        <f t="shared" si="118"/>
        <v>0</v>
      </c>
      <c r="AO130" s="559"/>
      <c r="AP130" s="559"/>
      <c r="AQ130" s="559"/>
      <c r="AR130" s="559"/>
      <c r="AS130" s="559"/>
      <c r="AT130" s="152"/>
      <c r="AU130" s="152"/>
      <c r="AV130" s="152"/>
      <c r="AW130" s="152"/>
      <c r="AX130" s="152"/>
      <c r="AY130" s="152"/>
      <c r="AZ130" s="152"/>
      <c r="BA130" s="152"/>
      <c r="BB130" s="152"/>
      <c r="BC130" s="152"/>
      <c r="BD130" s="152"/>
    </row>
    <row r="131" spans="1:57" ht="13.5" customHeight="1">
      <c r="A131" s="171">
        <f t="shared" si="115"/>
        <v>8</v>
      </c>
      <c r="B131" s="171" t="s">
        <v>2553</v>
      </c>
      <c r="C131" s="171"/>
      <c r="D131" s="172">
        <f t="shared" si="109"/>
        <v>0</v>
      </c>
      <c r="E131" s="172"/>
      <c r="F131" s="172"/>
      <c r="G131" s="77" t="s">
        <v>2613</v>
      </c>
      <c r="H131" s="173" t="s">
        <v>2614</v>
      </c>
      <c r="I131" s="173" t="s">
        <v>2046</v>
      </c>
      <c r="J131" s="184"/>
      <c r="K131" s="456">
        <f t="shared" si="110"/>
        <v>46023</v>
      </c>
      <c r="L131" s="456">
        <f t="shared" si="111"/>
        <v>46387</v>
      </c>
      <c r="M131" s="462">
        <f t="shared" si="112"/>
        <v>12</v>
      </c>
      <c r="N131" s="177">
        <f t="shared" ref="N131:Y131" si="124">IF(AND($K131&lt;=N$47,N$47&lt;=$L131),$J131/$M131,0)</f>
        <v>0</v>
      </c>
      <c r="O131" s="177">
        <f t="shared" si="124"/>
        <v>0</v>
      </c>
      <c r="P131" s="177">
        <f t="shared" si="124"/>
        <v>0</v>
      </c>
      <c r="Q131" s="177">
        <f t="shared" si="124"/>
        <v>0</v>
      </c>
      <c r="R131" s="177">
        <f t="shared" si="124"/>
        <v>0</v>
      </c>
      <c r="S131" s="177">
        <f t="shared" si="124"/>
        <v>0</v>
      </c>
      <c r="T131" s="177">
        <f t="shared" si="124"/>
        <v>0</v>
      </c>
      <c r="U131" s="177">
        <f t="shared" si="124"/>
        <v>0</v>
      </c>
      <c r="V131" s="177">
        <f t="shared" si="124"/>
        <v>0</v>
      </c>
      <c r="W131" s="177">
        <f t="shared" si="124"/>
        <v>0</v>
      </c>
      <c r="X131" s="177">
        <f t="shared" si="124"/>
        <v>0</v>
      </c>
      <c r="Y131" s="177">
        <f t="shared" si="124"/>
        <v>0</v>
      </c>
      <c r="Z131" s="178">
        <f t="shared" si="117"/>
        <v>0</v>
      </c>
      <c r="AA131" s="466"/>
      <c r="AB131" s="177">
        <f t="shared" si="114"/>
        <v>0</v>
      </c>
      <c r="AC131" s="177">
        <f t="shared" si="114"/>
        <v>0</v>
      </c>
      <c r="AD131" s="177">
        <f t="shared" si="114"/>
        <v>0</v>
      </c>
      <c r="AE131" s="177">
        <f t="shared" si="114"/>
        <v>0</v>
      </c>
      <c r="AF131" s="177">
        <f t="shared" si="114"/>
        <v>0</v>
      </c>
      <c r="AG131" s="177">
        <f t="shared" si="114"/>
        <v>0</v>
      </c>
      <c r="AH131" s="177">
        <f t="shared" si="114"/>
        <v>0</v>
      </c>
      <c r="AI131" s="177">
        <f t="shared" si="114"/>
        <v>0</v>
      </c>
      <c r="AJ131" s="177">
        <f t="shared" si="114"/>
        <v>0</v>
      </c>
      <c r="AK131" s="177">
        <f t="shared" si="114"/>
        <v>0</v>
      </c>
      <c r="AL131" s="177">
        <f t="shared" si="114"/>
        <v>0</v>
      </c>
      <c r="AM131" s="177">
        <f t="shared" si="114"/>
        <v>0</v>
      </c>
      <c r="AN131" s="178">
        <f t="shared" si="118"/>
        <v>0</v>
      </c>
      <c r="AO131" s="559"/>
      <c r="AP131" s="559"/>
      <c r="AQ131" s="559"/>
      <c r="AR131" s="559"/>
      <c r="AS131" s="559"/>
      <c r="AT131" s="152"/>
      <c r="AU131" s="152"/>
      <c r="AV131" s="152"/>
      <c r="AW131" s="152"/>
      <c r="AX131" s="152"/>
      <c r="AY131" s="152"/>
      <c r="AZ131" s="152"/>
      <c r="BA131" s="152"/>
      <c r="BB131" s="152"/>
      <c r="BC131" s="152"/>
      <c r="BD131" s="152"/>
    </row>
    <row r="132" spans="1:57" ht="13.5" customHeight="1">
      <c r="A132" s="171">
        <f t="shared" si="115"/>
        <v>9</v>
      </c>
      <c r="B132" s="171" t="s">
        <v>2553</v>
      </c>
      <c r="C132" s="171"/>
      <c r="D132" s="172">
        <f t="shared" si="109"/>
        <v>0</v>
      </c>
      <c r="E132" s="172"/>
      <c r="F132" s="172"/>
      <c r="G132" s="77" t="s">
        <v>2613</v>
      </c>
      <c r="H132" s="173" t="s">
        <v>2614</v>
      </c>
      <c r="I132" s="173" t="s">
        <v>2046</v>
      </c>
      <c r="J132" s="184"/>
      <c r="K132" s="456">
        <f t="shared" si="110"/>
        <v>46023</v>
      </c>
      <c r="L132" s="456">
        <f t="shared" si="111"/>
        <v>46387</v>
      </c>
      <c r="M132" s="462">
        <f t="shared" si="112"/>
        <v>12</v>
      </c>
      <c r="N132" s="177">
        <f t="shared" ref="N132:Y132" si="125">IF(AND($K132&lt;=N$47,N$47&lt;=$L132),$J132/$M132,0)</f>
        <v>0</v>
      </c>
      <c r="O132" s="177">
        <f t="shared" si="125"/>
        <v>0</v>
      </c>
      <c r="P132" s="177">
        <f t="shared" si="125"/>
        <v>0</v>
      </c>
      <c r="Q132" s="177">
        <f t="shared" si="125"/>
        <v>0</v>
      </c>
      <c r="R132" s="177">
        <f t="shared" si="125"/>
        <v>0</v>
      </c>
      <c r="S132" s="177">
        <f t="shared" si="125"/>
        <v>0</v>
      </c>
      <c r="T132" s="177">
        <f t="shared" si="125"/>
        <v>0</v>
      </c>
      <c r="U132" s="177">
        <f t="shared" si="125"/>
        <v>0</v>
      </c>
      <c r="V132" s="177">
        <f t="shared" si="125"/>
        <v>0</v>
      </c>
      <c r="W132" s="177">
        <f t="shared" si="125"/>
        <v>0</v>
      </c>
      <c r="X132" s="177">
        <f t="shared" si="125"/>
        <v>0</v>
      </c>
      <c r="Y132" s="177">
        <f t="shared" si="125"/>
        <v>0</v>
      </c>
      <c r="Z132" s="178">
        <f t="shared" si="117"/>
        <v>0</v>
      </c>
      <c r="AA132" s="466"/>
      <c r="AB132" s="177">
        <f t="shared" si="114"/>
        <v>0</v>
      </c>
      <c r="AC132" s="177">
        <f t="shared" si="114"/>
        <v>0</v>
      </c>
      <c r="AD132" s="177">
        <f t="shared" si="114"/>
        <v>0</v>
      </c>
      <c r="AE132" s="177">
        <f t="shared" si="114"/>
        <v>0</v>
      </c>
      <c r="AF132" s="177">
        <f t="shared" si="114"/>
        <v>0</v>
      </c>
      <c r="AG132" s="177">
        <f t="shared" si="114"/>
        <v>0</v>
      </c>
      <c r="AH132" s="177">
        <f t="shared" si="114"/>
        <v>0</v>
      </c>
      <c r="AI132" s="177">
        <f t="shared" si="114"/>
        <v>0</v>
      </c>
      <c r="AJ132" s="177">
        <f t="shared" si="114"/>
        <v>0</v>
      </c>
      <c r="AK132" s="177">
        <f t="shared" si="114"/>
        <v>0</v>
      </c>
      <c r="AL132" s="177">
        <f t="shared" si="114"/>
        <v>0</v>
      </c>
      <c r="AM132" s="177">
        <f t="shared" si="114"/>
        <v>0</v>
      </c>
      <c r="AN132" s="178">
        <f t="shared" si="118"/>
        <v>0</v>
      </c>
      <c r="AO132" s="559"/>
      <c r="AP132" s="559"/>
      <c r="AQ132" s="559"/>
      <c r="AR132" s="559"/>
      <c r="AS132" s="559"/>
      <c r="AT132" s="152"/>
      <c r="AU132" s="152"/>
      <c r="AV132" s="152"/>
      <c r="AW132" s="152"/>
      <c r="AX132" s="152"/>
      <c r="AY132" s="152"/>
      <c r="AZ132" s="152"/>
      <c r="BA132" s="152"/>
      <c r="BB132" s="152"/>
      <c r="BC132" s="152"/>
      <c r="BD132" s="152"/>
    </row>
    <row r="133" spans="1:57" ht="13.5" customHeight="1" thickBot="1">
      <c r="A133" s="171">
        <f t="shared" si="115"/>
        <v>10</v>
      </c>
      <c r="B133" s="171" t="s">
        <v>2553</v>
      </c>
      <c r="C133" s="171"/>
      <c r="D133" s="172">
        <f t="shared" si="109"/>
        <v>0</v>
      </c>
      <c r="E133" s="172"/>
      <c r="F133" s="172"/>
      <c r="G133" s="77" t="s">
        <v>2613</v>
      </c>
      <c r="H133" s="173" t="s">
        <v>2614</v>
      </c>
      <c r="I133" s="173" t="s">
        <v>2046</v>
      </c>
      <c r="J133" s="535"/>
      <c r="K133" s="456">
        <f t="shared" si="110"/>
        <v>46023</v>
      </c>
      <c r="L133" s="456">
        <f t="shared" si="111"/>
        <v>46387</v>
      </c>
      <c r="M133" s="462">
        <f t="shared" si="112"/>
        <v>12</v>
      </c>
      <c r="N133" s="560">
        <f t="shared" ref="N133:Y133" si="126">IF(AND($K133&lt;=N$47,N$47&lt;=$L133),$J133/$M133,0)</f>
        <v>0</v>
      </c>
      <c r="O133" s="560">
        <f t="shared" si="126"/>
        <v>0</v>
      </c>
      <c r="P133" s="560">
        <f t="shared" si="126"/>
        <v>0</v>
      </c>
      <c r="Q133" s="560">
        <f t="shared" si="126"/>
        <v>0</v>
      </c>
      <c r="R133" s="560">
        <f t="shared" si="126"/>
        <v>0</v>
      </c>
      <c r="S133" s="560">
        <f t="shared" si="126"/>
        <v>0</v>
      </c>
      <c r="T133" s="560">
        <f t="shared" si="126"/>
        <v>0</v>
      </c>
      <c r="U133" s="560">
        <f t="shared" si="126"/>
        <v>0</v>
      </c>
      <c r="V133" s="560">
        <f t="shared" si="126"/>
        <v>0</v>
      </c>
      <c r="W133" s="560">
        <f t="shared" si="126"/>
        <v>0</v>
      </c>
      <c r="X133" s="560">
        <f t="shared" si="126"/>
        <v>0</v>
      </c>
      <c r="Y133" s="560">
        <f t="shared" si="126"/>
        <v>0</v>
      </c>
      <c r="Z133" s="178">
        <f t="shared" si="117"/>
        <v>0</v>
      </c>
      <c r="AA133" s="466"/>
      <c r="AB133" s="560">
        <f t="shared" si="114"/>
        <v>0</v>
      </c>
      <c r="AC133" s="560">
        <f t="shared" si="114"/>
        <v>0</v>
      </c>
      <c r="AD133" s="560">
        <f t="shared" si="114"/>
        <v>0</v>
      </c>
      <c r="AE133" s="560">
        <f t="shared" si="114"/>
        <v>0</v>
      </c>
      <c r="AF133" s="560">
        <f t="shared" si="114"/>
        <v>0</v>
      </c>
      <c r="AG133" s="560">
        <f t="shared" si="114"/>
        <v>0</v>
      </c>
      <c r="AH133" s="560">
        <f t="shared" si="114"/>
        <v>0</v>
      </c>
      <c r="AI133" s="560">
        <f t="shared" si="114"/>
        <v>0</v>
      </c>
      <c r="AJ133" s="560">
        <f t="shared" si="114"/>
        <v>0</v>
      </c>
      <c r="AK133" s="560">
        <f t="shared" si="114"/>
        <v>0</v>
      </c>
      <c r="AL133" s="560">
        <f t="shared" si="114"/>
        <v>0</v>
      </c>
      <c r="AM133" s="560">
        <f t="shared" si="114"/>
        <v>0</v>
      </c>
      <c r="AN133" s="178">
        <f t="shared" si="118"/>
        <v>0</v>
      </c>
      <c r="AO133" s="559"/>
      <c r="AP133" s="559"/>
      <c r="AQ133" s="559"/>
      <c r="AR133" s="559"/>
      <c r="AS133" s="559"/>
      <c r="AT133" s="152"/>
      <c r="AU133" s="152"/>
      <c r="AV133" s="152"/>
      <c r="AW133" s="152"/>
      <c r="AX133" s="152"/>
      <c r="AY133" s="152"/>
      <c r="AZ133" s="152"/>
      <c r="BA133" s="152"/>
      <c r="BB133" s="152"/>
      <c r="BC133" s="152"/>
      <c r="BD133" s="152"/>
    </row>
    <row r="134" spans="1:57" ht="21" customHeight="1" thickTop="1">
      <c r="A134" s="538"/>
      <c r="B134" s="539" t="str">
        <f t="shared" ref="B134:B136" si="127">B133</f>
        <v>Yixing Albamen</v>
      </c>
      <c r="C134" s="539"/>
      <c r="D134" s="540" t="s">
        <v>2115</v>
      </c>
      <c r="E134" s="541" t="str">
        <f>'CF-ACPL（合并）'!A26</f>
        <v>支付的其他与经营活动有关的现金（员工报销）</v>
      </c>
      <c r="F134" s="540"/>
      <c r="G134" s="542" t="s">
        <v>2613</v>
      </c>
      <c r="H134" s="543" t="s">
        <v>2614</v>
      </c>
      <c r="I134" s="543" t="s">
        <v>2046</v>
      </c>
      <c r="J134" s="544">
        <f>SUM(J124:J133)</f>
        <v>0</v>
      </c>
      <c r="K134" s="545">
        <f t="shared" si="110"/>
        <v>46023</v>
      </c>
      <c r="L134" s="545">
        <f t="shared" si="111"/>
        <v>46387</v>
      </c>
      <c r="M134" s="546">
        <f t="shared" si="112"/>
        <v>12</v>
      </c>
      <c r="N134" s="547">
        <f t="shared" ref="N134:Y134" si="128">IF(AND($K134&lt;=N$47,N$47&lt;=$L134),$J134/$M134,0)</f>
        <v>0</v>
      </c>
      <c r="O134" s="547">
        <f t="shared" si="128"/>
        <v>0</v>
      </c>
      <c r="P134" s="547">
        <f t="shared" si="128"/>
        <v>0</v>
      </c>
      <c r="Q134" s="547">
        <f t="shared" si="128"/>
        <v>0</v>
      </c>
      <c r="R134" s="547">
        <f t="shared" si="128"/>
        <v>0</v>
      </c>
      <c r="S134" s="547">
        <f t="shared" si="128"/>
        <v>0</v>
      </c>
      <c r="T134" s="547">
        <f t="shared" si="128"/>
        <v>0</v>
      </c>
      <c r="U134" s="547">
        <f t="shared" si="128"/>
        <v>0</v>
      </c>
      <c r="V134" s="547">
        <f t="shared" si="128"/>
        <v>0</v>
      </c>
      <c r="W134" s="547">
        <f t="shared" si="128"/>
        <v>0</v>
      </c>
      <c r="X134" s="547">
        <f t="shared" si="128"/>
        <v>0</v>
      </c>
      <c r="Y134" s="547">
        <f t="shared" si="128"/>
        <v>0</v>
      </c>
      <c r="Z134" s="178">
        <f t="shared" si="117"/>
        <v>0</v>
      </c>
      <c r="AA134" s="466"/>
      <c r="AB134" s="547">
        <f t="shared" si="114"/>
        <v>0</v>
      </c>
      <c r="AC134" s="547">
        <f t="shared" si="114"/>
        <v>0</v>
      </c>
      <c r="AD134" s="547">
        <f t="shared" si="114"/>
        <v>0</v>
      </c>
      <c r="AE134" s="547">
        <f t="shared" si="114"/>
        <v>0</v>
      </c>
      <c r="AF134" s="547">
        <f t="shared" si="114"/>
        <v>0</v>
      </c>
      <c r="AG134" s="547">
        <f t="shared" si="114"/>
        <v>0</v>
      </c>
      <c r="AH134" s="547">
        <f t="shared" si="114"/>
        <v>0</v>
      </c>
      <c r="AI134" s="547">
        <f t="shared" si="114"/>
        <v>0</v>
      </c>
      <c r="AJ134" s="547">
        <f t="shared" si="114"/>
        <v>0</v>
      </c>
      <c r="AK134" s="547">
        <f t="shared" si="114"/>
        <v>0</v>
      </c>
      <c r="AL134" s="547">
        <f t="shared" si="114"/>
        <v>0</v>
      </c>
      <c r="AM134" s="547">
        <f t="shared" si="114"/>
        <v>0</v>
      </c>
      <c r="AN134" s="178">
        <f t="shared" si="118"/>
        <v>0</v>
      </c>
      <c r="AP134" s="152"/>
      <c r="AQ134" s="152"/>
      <c r="AR134" s="152"/>
      <c r="AS134" s="152"/>
      <c r="AT134" s="152"/>
      <c r="AU134" s="152"/>
      <c r="AV134" s="152"/>
      <c r="AW134" s="152"/>
      <c r="AX134" s="152"/>
      <c r="AY134" s="152"/>
      <c r="AZ134" s="152"/>
      <c r="BA134" s="152"/>
      <c r="BB134" s="152"/>
      <c r="BC134" s="152"/>
      <c r="BD134" s="152"/>
    </row>
    <row r="135" spans="1:57" ht="13.5" customHeight="1">
      <c r="A135" s="548"/>
      <c r="B135" s="171" t="str">
        <f t="shared" si="127"/>
        <v>Yixing Albamen</v>
      </c>
      <c r="C135" s="171"/>
      <c r="D135" s="172" t="s">
        <v>2675</v>
      </c>
      <c r="E135" s="172"/>
      <c r="F135" s="172"/>
      <c r="G135" s="77" t="s">
        <v>2613</v>
      </c>
      <c r="H135" s="173" t="s">
        <v>2614</v>
      </c>
      <c r="I135" s="173" t="s">
        <v>2046</v>
      </c>
      <c r="J135" s="184">
        <f>SUMIFS($P$16:$P$35,$Q$16:$Q$35,$D$135,$B$16:$B$35,B124)+SUMIFS($T$16:$T$35,$Q$16:$Q$35,$D$135,$B$16:$B$35,B124)+J129</f>
        <v>0</v>
      </c>
      <c r="K135" s="456">
        <f t="shared" si="110"/>
        <v>46023</v>
      </c>
      <c r="L135" s="456">
        <f t="shared" si="111"/>
        <v>46387</v>
      </c>
      <c r="M135" s="176">
        <f t="shared" si="112"/>
        <v>12</v>
      </c>
      <c r="N135" s="177">
        <f t="shared" ref="N135:Y135" si="129">IF(AND($K135&lt;=N$47,N$47&lt;=$L135),$J135/$M135,0)</f>
        <v>0</v>
      </c>
      <c r="O135" s="177">
        <f t="shared" si="129"/>
        <v>0</v>
      </c>
      <c r="P135" s="177">
        <f t="shared" si="129"/>
        <v>0</v>
      </c>
      <c r="Q135" s="177">
        <f t="shared" si="129"/>
        <v>0</v>
      </c>
      <c r="R135" s="177">
        <f t="shared" si="129"/>
        <v>0</v>
      </c>
      <c r="S135" s="177">
        <f t="shared" si="129"/>
        <v>0</v>
      </c>
      <c r="T135" s="177">
        <f t="shared" si="129"/>
        <v>0</v>
      </c>
      <c r="U135" s="177">
        <f t="shared" si="129"/>
        <v>0</v>
      </c>
      <c r="V135" s="177">
        <f t="shared" si="129"/>
        <v>0</v>
      </c>
      <c r="W135" s="177">
        <f t="shared" si="129"/>
        <v>0</v>
      </c>
      <c r="X135" s="177">
        <f t="shared" si="129"/>
        <v>0</v>
      </c>
      <c r="Y135" s="177">
        <f t="shared" si="129"/>
        <v>0</v>
      </c>
      <c r="Z135" s="178">
        <f t="shared" si="117"/>
        <v>0</v>
      </c>
      <c r="AA135" s="466"/>
      <c r="AB135" s="177">
        <f t="shared" si="114"/>
        <v>0</v>
      </c>
      <c r="AC135" s="177">
        <f t="shared" si="114"/>
        <v>0</v>
      </c>
      <c r="AD135" s="177">
        <f t="shared" si="114"/>
        <v>0</v>
      </c>
      <c r="AE135" s="177">
        <f t="shared" si="114"/>
        <v>0</v>
      </c>
      <c r="AF135" s="177">
        <f t="shared" si="114"/>
        <v>0</v>
      </c>
      <c r="AG135" s="177">
        <f t="shared" si="114"/>
        <v>0</v>
      </c>
      <c r="AH135" s="177">
        <f t="shared" si="114"/>
        <v>0</v>
      </c>
      <c r="AI135" s="177">
        <f t="shared" si="114"/>
        <v>0</v>
      </c>
      <c r="AJ135" s="177">
        <f t="shared" si="114"/>
        <v>0</v>
      </c>
      <c r="AK135" s="177">
        <f t="shared" si="114"/>
        <v>0</v>
      </c>
      <c r="AL135" s="177">
        <f t="shared" si="114"/>
        <v>0</v>
      </c>
      <c r="AM135" s="177">
        <f t="shared" si="114"/>
        <v>0</v>
      </c>
      <c r="AN135" s="178">
        <f t="shared" si="118"/>
        <v>0</v>
      </c>
      <c r="AP135" s="152"/>
      <c r="AQ135" s="152"/>
      <c r="AR135" s="152"/>
      <c r="AS135" s="152"/>
      <c r="AT135" s="152"/>
      <c r="AU135" s="152"/>
      <c r="AV135" s="152"/>
      <c r="AW135" s="152"/>
      <c r="AX135" s="152"/>
      <c r="AY135" s="152"/>
      <c r="AZ135" s="152"/>
      <c r="BA135" s="152"/>
      <c r="BB135" s="152"/>
      <c r="BC135" s="152"/>
      <c r="BD135" s="152"/>
    </row>
    <row r="136" spans="1:57" ht="13.5" customHeight="1" thickBot="1">
      <c r="A136" s="550"/>
      <c r="B136" s="551" t="str">
        <f t="shared" si="127"/>
        <v>Yixing Albamen</v>
      </c>
      <c r="C136" s="551"/>
      <c r="D136" s="552" t="s">
        <v>2673</v>
      </c>
      <c r="E136" s="552"/>
      <c r="F136" s="552"/>
      <c r="G136" s="553" t="s">
        <v>2613</v>
      </c>
      <c r="H136" s="554" t="s">
        <v>2614</v>
      </c>
      <c r="I136" s="554" t="s">
        <v>2046</v>
      </c>
      <c r="J136" s="555">
        <f>J134-J135</f>
        <v>0</v>
      </c>
      <c r="K136" s="556">
        <f t="shared" si="110"/>
        <v>46023</v>
      </c>
      <c r="L136" s="556">
        <f t="shared" si="111"/>
        <v>46387</v>
      </c>
      <c r="M136" s="557">
        <f t="shared" si="112"/>
        <v>12</v>
      </c>
      <c r="N136" s="561">
        <f t="shared" ref="N136:Y136" si="130">IF(AND($K136&lt;=N$47,N$47&lt;=$L136),$J136/$M136,0)</f>
        <v>0</v>
      </c>
      <c r="O136" s="561">
        <f t="shared" si="130"/>
        <v>0</v>
      </c>
      <c r="P136" s="561">
        <f t="shared" si="130"/>
        <v>0</v>
      </c>
      <c r="Q136" s="561">
        <f t="shared" si="130"/>
        <v>0</v>
      </c>
      <c r="R136" s="561">
        <f t="shared" si="130"/>
        <v>0</v>
      </c>
      <c r="S136" s="561">
        <f t="shared" si="130"/>
        <v>0</v>
      </c>
      <c r="T136" s="561">
        <f t="shared" si="130"/>
        <v>0</v>
      </c>
      <c r="U136" s="561">
        <f t="shared" si="130"/>
        <v>0</v>
      </c>
      <c r="V136" s="561">
        <f t="shared" si="130"/>
        <v>0</v>
      </c>
      <c r="W136" s="561">
        <f t="shared" si="130"/>
        <v>0</v>
      </c>
      <c r="X136" s="561">
        <f t="shared" si="130"/>
        <v>0</v>
      </c>
      <c r="Y136" s="561">
        <f t="shared" si="130"/>
        <v>0</v>
      </c>
      <c r="Z136" s="178">
        <f t="shared" si="117"/>
        <v>0</v>
      </c>
      <c r="AA136" s="466"/>
      <c r="AB136" s="561">
        <f t="shared" si="114"/>
        <v>0</v>
      </c>
      <c r="AC136" s="561">
        <f t="shared" si="114"/>
        <v>0</v>
      </c>
      <c r="AD136" s="561">
        <f t="shared" si="114"/>
        <v>0</v>
      </c>
      <c r="AE136" s="561">
        <f t="shared" si="114"/>
        <v>0</v>
      </c>
      <c r="AF136" s="561">
        <f t="shared" si="114"/>
        <v>0</v>
      </c>
      <c r="AG136" s="561">
        <f t="shared" si="114"/>
        <v>0</v>
      </c>
      <c r="AH136" s="561">
        <f t="shared" si="114"/>
        <v>0</v>
      </c>
      <c r="AI136" s="561">
        <f t="shared" si="114"/>
        <v>0</v>
      </c>
      <c r="AJ136" s="561">
        <f t="shared" si="114"/>
        <v>0</v>
      </c>
      <c r="AK136" s="561">
        <f t="shared" si="114"/>
        <v>0</v>
      </c>
      <c r="AL136" s="561">
        <f t="shared" si="114"/>
        <v>0</v>
      </c>
      <c r="AM136" s="561">
        <f t="shared" si="114"/>
        <v>0</v>
      </c>
      <c r="AN136" s="178">
        <f t="shared" si="118"/>
        <v>0</v>
      </c>
      <c r="AP136" s="152"/>
      <c r="AQ136" s="152"/>
      <c r="AR136" s="152"/>
      <c r="AS136" s="152"/>
      <c r="AT136" s="152"/>
      <c r="AU136" s="152"/>
      <c r="AV136" s="152"/>
      <c r="AW136" s="152"/>
      <c r="AX136" s="152"/>
      <c r="AY136" s="152"/>
      <c r="AZ136" s="152"/>
      <c r="BA136" s="152"/>
      <c r="BB136" s="152"/>
      <c r="BC136" s="152"/>
      <c r="BD136" s="152"/>
    </row>
    <row r="137" spans="1:57" ht="14.25" thickTop="1" thickBot="1">
      <c r="Z137" s="152"/>
      <c r="AA137" s="466"/>
      <c r="AP137" s="152"/>
      <c r="AQ137" s="559"/>
      <c r="AR137" s="559"/>
      <c r="AS137" s="559"/>
      <c r="AT137" s="559"/>
      <c r="AU137" s="559"/>
      <c r="AV137" s="559"/>
      <c r="AW137" s="559"/>
      <c r="AX137" s="559"/>
      <c r="AY137" s="559"/>
      <c r="AZ137" s="559"/>
      <c r="BA137" s="559"/>
      <c r="BB137" s="559"/>
      <c r="BC137" s="559"/>
      <c r="BD137" s="559"/>
      <c r="BE137" s="559"/>
    </row>
    <row r="138" spans="1:57" ht="13.5" customHeight="1" thickTop="1" thickBot="1">
      <c r="A138" s="538"/>
      <c r="B138" s="539" t="s">
        <v>2669</v>
      </c>
      <c r="C138" s="539"/>
      <c r="D138" s="540" t="s">
        <v>2115</v>
      </c>
      <c r="E138" s="541"/>
      <c r="F138" s="540"/>
      <c r="G138" s="542" t="s">
        <v>2613</v>
      </c>
      <c r="H138" s="543" t="s">
        <v>2614</v>
      </c>
      <c r="I138" s="543" t="s">
        <v>2046</v>
      </c>
      <c r="J138" s="544">
        <f ca="1">SUMIF($D$48:$D$137,D138,$J$48:$J$137)</f>
        <v>2635900</v>
      </c>
      <c r="K138" s="545">
        <f t="shared" ref="K138:K140" si="131">$K$49</f>
        <v>46023</v>
      </c>
      <c r="L138" s="545">
        <f t="shared" ref="L138:L140" si="132">$L$49</f>
        <v>46387</v>
      </c>
      <c r="M138" s="546">
        <f t="shared" ref="M138:M140" si="133">IF(AND(K138="",L138=""),"-",IF(L138="",12,DATEDIF(K138,L138,"M")+1))</f>
        <v>12</v>
      </c>
      <c r="N138" s="547">
        <f t="shared" ref="N138:Y138" ca="1" si="134">IF(AND($K138&lt;=N$47,N$47&lt;=$L138),$J138/$M138,0)</f>
        <v>219658.33333333334</v>
      </c>
      <c r="O138" s="547">
        <f t="shared" ca="1" si="134"/>
        <v>219658.33333333334</v>
      </c>
      <c r="P138" s="547">
        <f t="shared" ca="1" si="134"/>
        <v>219658.33333333334</v>
      </c>
      <c r="Q138" s="547">
        <f t="shared" ca="1" si="134"/>
        <v>219658.33333333334</v>
      </c>
      <c r="R138" s="547">
        <f t="shared" ca="1" si="134"/>
        <v>219658.33333333334</v>
      </c>
      <c r="S138" s="547">
        <f t="shared" ca="1" si="134"/>
        <v>219658.33333333334</v>
      </c>
      <c r="T138" s="547">
        <f t="shared" ca="1" si="134"/>
        <v>219658.33333333334</v>
      </c>
      <c r="U138" s="547">
        <f t="shared" ca="1" si="134"/>
        <v>219658.33333333334</v>
      </c>
      <c r="V138" s="547">
        <f t="shared" ca="1" si="134"/>
        <v>219658.33333333334</v>
      </c>
      <c r="W138" s="547">
        <f t="shared" ca="1" si="134"/>
        <v>219658.33333333334</v>
      </c>
      <c r="X138" s="547">
        <f t="shared" ca="1" si="134"/>
        <v>219658.33333333334</v>
      </c>
      <c r="Y138" s="547">
        <f t="shared" ca="1" si="134"/>
        <v>219658.33333333334</v>
      </c>
      <c r="Z138" s="564">
        <f ca="1">SUM(N138:Y138)</f>
        <v>2635900</v>
      </c>
      <c r="AA138" s="466"/>
      <c r="AB138" s="547">
        <f t="shared" ref="AB138:AM140" ca="1" si="135">IF(AND($K138&lt;=AB$47,AB$47&lt;=$L138),$J138/$M138,0)</f>
        <v>219658.33333333334</v>
      </c>
      <c r="AC138" s="547">
        <f t="shared" ca="1" si="135"/>
        <v>219658.33333333334</v>
      </c>
      <c r="AD138" s="547">
        <f t="shared" ca="1" si="135"/>
        <v>219658.33333333334</v>
      </c>
      <c r="AE138" s="547">
        <f t="shared" ca="1" si="135"/>
        <v>219658.33333333334</v>
      </c>
      <c r="AF138" s="547">
        <f t="shared" ca="1" si="135"/>
        <v>219658.33333333334</v>
      </c>
      <c r="AG138" s="547">
        <f t="shared" ca="1" si="135"/>
        <v>219658.33333333334</v>
      </c>
      <c r="AH138" s="547">
        <f t="shared" ca="1" si="135"/>
        <v>219658.33333333334</v>
      </c>
      <c r="AI138" s="547">
        <f t="shared" ca="1" si="135"/>
        <v>219658.33333333334</v>
      </c>
      <c r="AJ138" s="547">
        <f t="shared" ca="1" si="135"/>
        <v>219658.33333333334</v>
      </c>
      <c r="AK138" s="547">
        <f t="shared" ca="1" si="135"/>
        <v>219658.33333333334</v>
      </c>
      <c r="AL138" s="547">
        <f t="shared" ca="1" si="135"/>
        <v>219658.33333333334</v>
      </c>
      <c r="AM138" s="547">
        <f t="shared" ca="1" si="135"/>
        <v>219658.33333333334</v>
      </c>
      <c r="AN138" s="564">
        <f ca="1">SUM(AB138:AM138)</f>
        <v>2635900</v>
      </c>
      <c r="AP138" s="152"/>
      <c r="AQ138" s="152"/>
      <c r="AR138" s="152"/>
      <c r="AS138" s="152"/>
      <c r="AT138" s="152"/>
      <c r="AU138" s="152"/>
      <c r="AV138" s="152"/>
      <c r="AW138" s="152"/>
      <c r="AX138" s="152"/>
      <c r="AY138" s="152"/>
      <c r="AZ138" s="152"/>
      <c r="BA138" s="152"/>
      <c r="BB138" s="152"/>
      <c r="BC138" s="152"/>
      <c r="BD138" s="152"/>
    </row>
    <row r="139" spans="1:57" ht="13.5" customHeight="1" thickTop="1" thickBot="1">
      <c r="A139" s="548"/>
      <c r="B139" s="171" t="s">
        <v>2669</v>
      </c>
      <c r="C139" s="171"/>
      <c r="D139" s="172" t="s">
        <v>2675</v>
      </c>
      <c r="E139" s="172"/>
      <c r="F139" s="172"/>
      <c r="G139" s="77" t="s">
        <v>2613</v>
      </c>
      <c r="H139" s="173" t="s">
        <v>2614</v>
      </c>
      <c r="I139" s="173" t="s">
        <v>2046</v>
      </c>
      <c r="J139" s="184">
        <f>SUMIF($D$48:$D$137,D139,$J$48:$J$137)</f>
        <v>2354600</v>
      </c>
      <c r="K139" s="456">
        <f t="shared" si="131"/>
        <v>46023</v>
      </c>
      <c r="L139" s="456">
        <f t="shared" si="132"/>
        <v>46387</v>
      </c>
      <c r="M139" s="176">
        <f t="shared" si="133"/>
        <v>12</v>
      </c>
      <c r="N139" s="177">
        <f t="shared" ref="N139:Y139" si="136">IF(AND($K139&lt;=N$47,N$47&lt;=$L139),$J139/$M139,0)</f>
        <v>196216.66666666666</v>
      </c>
      <c r="O139" s="177">
        <f t="shared" si="136"/>
        <v>196216.66666666666</v>
      </c>
      <c r="P139" s="177">
        <f t="shared" si="136"/>
        <v>196216.66666666666</v>
      </c>
      <c r="Q139" s="177">
        <f t="shared" si="136"/>
        <v>196216.66666666666</v>
      </c>
      <c r="R139" s="177">
        <f t="shared" si="136"/>
        <v>196216.66666666666</v>
      </c>
      <c r="S139" s="177">
        <f t="shared" si="136"/>
        <v>196216.66666666666</v>
      </c>
      <c r="T139" s="177">
        <f t="shared" si="136"/>
        <v>196216.66666666666</v>
      </c>
      <c r="U139" s="177">
        <f t="shared" si="136"/>
        <v>196216.66666666666</v>
      </c>
      <c r="V139" s="177">
        <f t="shared" si="136"/>
        <v>196216.66666666666</v>
      </c>
      <c r="W139" s="177">
        <f t="shared" si="136"/>
        <v>196216.66666666666</v>
      </c>
      <c r="X139" s="177">
        <f t="shared" si="136"/>
        <v>196216.66666666666</v>
      </c>
      <c r="Y139" s="177">
        <f t="shared" si="136"/>
        <v>196216.66666666666</v>
      </c>
      <c r="Z139" s="564">
        <f>SUM(N139:Y139)</f>
        <v>2354600</v>
      </c>
      <c r="AA139" s="466"/>
      <c r="AB139" s="177">
        <f t="shared" si="135"/>
        <v>196216.66666666666</v>
      </c>
      <c r="AC139" s="177">
        <f t="shared" si="135"/>
        <v>196216.66666666666</v>
      </c>
      <c r="AD139" s="177">
        <f t="shared" si="135"/>
        <v>196216.66666666666</v>
      </c>
      <c r="AE139" s="177">
        <f t="shared" si="135"/>
        <v>196216.66666666666</v>
      </c>
      <c r="AF139" s="177">
        <f t="shared" si="135"/>
        <v>196216.66666666666</v>
      </c>
      <c r="AG139" s="177">
        <f t="shared" si="135"/>
        <v>196216.66666666666</v>
      </c>
      <c r="AH139" s="177">
        <f t="shared" si="135"/>
        <v>196216.66666666666</v>
      </c>
      <c r="AI139" s="177">
        <f t="shared" si="135"/>
        <v>196216.66666666666</v>
      </c>
      <c r="AJ139" s="177">
        <f t="shared" si="135"/>
        <v>196216.66666666666</v>
      </c>
      <c r="AK139" s="177">
        <f t="shared" si="135"/>
        <v>196216.66666666666</v>
      </c>
      <c r="AL139" s="177">
        <f t="shared" si="135"/>
        <v>196216.66666666666</v>
      </c>
      <c r="AM139" s="177">
        <f t="shared" si="135"/>
        <v>196216.66666666666</v>
      </c>
      <c r="AN139" s="564">
        <f>SUM(AB139:AM139)</f>
        <v>2354600</v>
      </c>
      <c r="AP139" s="152"/>
      <c r="AQ139" s="152"/>
      <c r="AR139" s="152"/>
      <c r="AS139" s="152"/>
      <c r="AT139" s="152"/>
      <c r="AU139" s="152"/>
      <c r="AV139" s="152"/>
      <c r="AW139" s="152"/>
      <c r="AX139" s="152"/>
      <c r="AY139" s="152"/>
      <c r="AZ139" s="152"/>
      <c r="BA139" s="152"/>
      <c r="BB139" s="152"/>
      <c r="BC139" s="152"/>
      <c r="BD139" s="152"/>
    </row>
    <row r="140" spans="1:57" ht="13.5" customHeight="1" thickTop="1" thickBot="1">
      <c r="A140" s="550"/>
      <c r="B140" s="551" t="s">
        <v>2669</v>
      </c>
      <c r="C140" s="551"/>
      <c r="D140" s="552" t="s">
        <v>2673</v>
      </c>
      <c r="E140" s="552"/>
      <c r="F140" s="552"/>
      <c r="G140" s="553" t="s">
        <v>2613</v>
      </c>
      <c r="H140" s="554" t="s">
        <v>2614</v>
      </c>
      <c r="I140" s="554" t="s">
        <v>2046</v>
      </c>
      <c r="J140" s="555">
        <f ca="1">SUMIF($D$48:$D$137,D140,$J$48:$J$137)</f>
        <v>281300</v>
      </c>
      <c r="K140" s="556">
        <f t="shared" si="131"/>
        <v>46023</v>
      </c>
      <c r="L140" s="556">
        <f t="shared" si="132"/>
        <v>46387</v>
      </c>
      <c r="M140" s="557">
        <f t="shared" si="133"/>
        <v>12</v>
      </c>
      <c r="N140" s="561">
        <f t="shared" ref="N140:Y140" ca="1" si="137">IF(AND($K140&lt;=N$47,N$47&lt;=$L140),$J140/$M140,0)</f>
        <v>23441.666666666668</v>
      </c>
      <c r="O140" s="561">
        <f t="shared" ca="1" si="137"/>
        <v>23441.666666666668</v>
      </c>
      <c r="P140" s="561">
        <f t="shared" ca="1" si="137"/>
        <v>23441.666666666668</v>
      </c>
      <c r="Q140" s="561">
        <f t="shared" ca="1" si="137"/>
        <v>23441.666666666668</v>
      </c>
      <c r="R140" s="561">
        <f t="shared" ca="1" si="137"/>
        <v>23441.666666666668</v>
      </c>
      <c r="S140" s="561">
        <f t="shared" ca="1" si="137"/>
        <v>23441.666666666668</v>
      </c>
      <c r="T140" s="561">
        <f t="shared" ca="1" si="137"/>
        <v>23441.666666666668</v>
      </c>
      <c r="U140" s="561">
        <f t="shared" ca="1" si="137"/>
        <v>23441.666666666668</v>
      </c>
      <c r="V140" s="561">
        <f t="shared" ca="1" si="137"/>
        <v>23441.666666666668</v>
      </c>
      <c r="W140" s="561">
        <f t="shared" ca="1" si="137"/>
        <v>23441.666666666668</v>
      </c>
      <c r="X140" s="561">
        <f t="shared" ca="1" si="137"/>
        <v>23441.666666666668</v>
      </c>
      <c r="Y140" s="561">
        <f t="shared" ca="1" si="137"/>
        <v>23441.666666666668</v>
      </c>
      <c r="Z140" s="564">
        <f ca="1">SUM(N140:Y140)</f>
        <v>281299.99999999994</v>
      </c>
      <c r="AA140" s="466"/>
      <c r="AB140" s="561">
        <f t="shared" ca="1" si="135"/>
        <v>23441.666666666668</v>
      </c>
      <c r="AC140" s="561">
        <f t="shared" ca="1" si="135"/>
        <v>23441.666666666668</v>
      </c>
      <c r="AD140" s="561">
        <f t="shared" ca="1" si="135"/>
        <v>23441.666666666668</v>
      </c>
      <c r="AE140" s="561">
        <f t="shared" ca="1" si="135"/>
        <v>23441.666666666668</v>
      </c>
      <c r="AF140" s="561">
        <f t="shared" ca="1" si="135"/>
        <v>23441.666666666668</v>
      </c>
      <c r="AG140" s="561">
        <f t="shared" ca="1" si="135"/>
        <v>23441.666666666668</v>
      </c>
      <c r="AH140" s="561">
        <f t="shared" ca="1" si="135"/>
        <v>23441.666666666668</v>
      </c>
      <c r="AI140" s="561">
        <f t="shared" ca="1" si="135"/>
        <v>23441.666666666668</v>
      </c>
      <c r="AJ140" s="561">
        <f t="shared" ca="1" si="135"/>
        <v>23441.666666666668</v>
      </c>
      <c r="AK140" s="561">
        <f t="shared" ca="1" si="135"/>
        <v>23441.666666666668</v>
      </c>
      <c r="AL140" s="561">
        <f t="shared" ca="1" si="135"/>
        <v>23441.666666666668</v>
      </c>
      <c r="AM140" s="561">
        <f t="shared" ca="1" si="135"/>
        <v>23441.666666666668</v>
      </c>
      <c r="AN140" s="564">
        <f ca="1">SUM(AB140:AM140)</f>
        <v>281299.99999999994</v>
      </c>
      <c r="AP140" s="152"/>
      <c r="AQ140" s="152"/>
      <c r="AR140" s="152"/>
      <c r="AS140" s="152"/>
      <c r="AT140" s="152"/>
      <c r="AU140" s="152"/>
      <c r="AV140" s="152"/>
      <c r="AW140" s="152"/>
      <c r="AX140" s="152"/>
      <c r="AY140" s="152"/>
      <c r="AZ140" s="152"/>
      <c r="BA140" s="152"/>
      <c r="BB140" s="152"/>
      <c r="BC140" s="152"/>
      <c r="BD140" s="152"/>
    </row>
    <row r="141" spans="1:57" ht="13.5" thickTop="1">
      <c r="I141" s="565">
        <f ca="1">J138-U45-J54-J55-J70-J89-J99-J100-J114-J115</f>
        <v>0</v>
      </c>
      <c r="Y141" s="566"/>
      <c r="Z141" s="466">
        <f ca="1">Z59+Z74+Z89+Z104+Z119+Z134</f>
        <v>2560876.6063333335</v>
      </c>
      <c r="AM141" s="566"/>
      <c r="AN141" s="466">
        <f ca="1">AN59+AN74+AN89+AN104+AN119+AN134</f>
        <v>2560876.6063333335</v>
      </c>
      <c r="AP141" s="559"/>
      <c r="AQ141" s="559"/>
      <c r="AR141" s="559"/>
      <c r="AS141" s="559"/>
      <c r="AT141" s="559"/>
      <c r="AU141" s="559"/>
      <c r="AV141" s="559"/>
      <c r="AW141" s="559"/>
      <c r="AX141" s="559"/>
      <c r="AY141" s="559"/>
      <c r="AZ141" s="559"/>
      <c r="BA141" s="559"/>
      <c r="BB141" s="559"/>
      <c r="BC141" s="559"/>
      <c r="BD141" s="559"/>
    </row>
    <row r="142" spans="1:57">
      <c r="AN142" s="466"/>
      <c r="AP142" s="559"/>
      <c r="AQ142" s="559"/>
      <c r="AR142" s="559"/>
      <c r="AS142" s="559"/>
      <c r="AT142" s="559"/>
      <c r="AU142" s="559"/>
      <c r="AV142" s="559"/>
      <c r="AW142" s="559"/>
      <c r="AX142" s="559"/>
      <c r="AY142" s="559"/>
      <c r="AZ142" s="559"/>
      <c r="BA142" s="559"/>
      <c r="BB142" s="559"/>
      <c r="BC142" s="559"/>
      <c r="BD142" s="559"/>
    </row>
    <row r="143" spans="1:57">
      <c r="AN143" s="466"/>
      <c r="AP143" s="559"/>
      <c r="AQ143" s="559"/>
      <c r="AR143" s="559"/>
      <c r="AS143" s="559"/>
      <c r="AT143" s="559"/>
      <c r="AU143" s="559"/>
      <c r="AV143" s="559"/>
      <c r="AW143" s="559"/>
      <c r="AX143" s="559"/>
      <c r="AY143" s="559"/>
      <c r="AZ143" s="559"/>
      <c r="BA143" s="559"/>
      <c r="BB143" s="559"/>
      <c r="BC143" s="559"/>
      <c r="BD143" s="559"/>
    </row>
  </sheetData>
  <sheetProtection formatCells="0" formatColumns="0" formatRows="0" insertColumns="0" insertRows="0" autoFilter="0"/>
  <autoFilter ref="A16:BC45" xr:uid="{00000000-0009-0000-0000-00001D000000}"/>
  <mergeCells count="4">
    <mergeCell ref="H1:I1"/>
    <mergeCell ref="J1:K1"/>
    <mergeCell ref="L1:M1"/>
    <mergeCell ref="N1:O1"/>
  </mergeCells>
  <pageMargins left="0.75" right="0.75" top="1" bottom="1" header="0.5" footer="0.5"/>
  <pageSetup paperSize="9" orientation="portrait" r:id="rId1"/>
  <headerFooter alignWithMargins="0">
    <oddHeader>&amp;C&amp;G</oddHeader>
    <oddFooter>&amp;C&amp;G</oddFooter>
  </headerFooter>
  <legacyDrawing r:id="rId2"/>
  <legacyDrawingHF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4" tint="0.59999389629810485"/>
  </sheetPr>
  <dimension ref="A1:BF153"/>
  <sheetViews>
    <sheetView topLeftCell="AE56" workbookViewId="0">
      <selection activeCell="AK77" sqref="AK77"/>
    </sheetView>
  </sheetViews>
  <sheetFormatPr defaultColWidth="8.875" defaultRowHeight="12.75" outlineLevelRow="1" outlineLevelCol="1"/>
  <cols>
    <col min="1" max="1" width="3.375" style="152" customWidth="1"/>
    <col min="2" max="2" width="9.125" style="152" customWidth="1"/>
    <col min="3" max="4" width="11.875" style="152" customWidth="1"/>
    <col min="5" max="5" width="27.625" style="152" customWidth="1"/>
    <col min="6" max="6" width="24.875" style="152" customWidth="1"/>
    <col min="7" max="8" width="8" style="152" customWidth="1"/>
    <col min="9" max="9" width="8" style="152" hidden="1" customWidth="1" outlineLevel="1"/>
    <col min="10" max="10" width="9.125" style="152" hidden="1" customWidth="1" outlineLevel="1"/>
    <col min="11" max="12" width="11.75" style="152" hidden="1" customWidth="1" outlineLevel="1"/>
    <col min="13" max="13" width="8" style="152" hidden="1" customWidth="1" outlineLevel="1"/>
    <col min="14" max="15" width="11.625" style="152" hidden="1" customWidth="1" outlineLevel="1"/>
    <col min="16" max="16" width="11.75" style="152" hidden="1" customWidth="1" outlineLevel="1"/>
    <col min="17" max="17" width="11.5" style="152" hidden="1" customWidth="1" outlineLevel="1"/>
    <col min="18" max="18" width="12.125" style="152" hidden="1" customWidth="1" outlineLevel="1"/>
    <col min="19" max="19" width="11.625" style="152" hidden="1" customWidth="1" outlineLevel="1"/>
    <col min="20" max="20" width="11" style="152" hidden="1" customWidth="1" outlineLevel="1"/>
    <col min="21" max="21" width="11.875" style="152" hidden="1" customWidth="1" outlineLevel="1"/>
    <col min="22" max="22" width="11.75" style="152" hidden="1" customWidth="1" outlineLevel="1"/>
    <col min="23" max="23" width="11.375" style="152" hidden="1" customWidth="1" outlineLevel="1"/>
    <col min="24" max="25" width="11.75" style="152" hidden="1" customWidth="1" outlineLevel="1"/>
    <col min="26" max="26" width="10.125" style="152" hidden="1" customWidth="1" outlineLevel="1"/>
    <col min="27" max="27" width="8" style="152" customWidth="1" collapsed="1"/>
    <col min="28" max="28" width="9.125" style="152" customWidth="1"/>
    <col min="29" max="30" width="11.75" style="152" customWidth="1"/>
    <col min="31" max="31" width="8" style="152" customWidth="1"/>
    <col min="32" max="43" width="11.75" style="152" customWidth="1" outlineLevel="1"/>
    <col min="44" max="44" width="10.125" style="152" customWidth="1"/>
    <col min="45" max="45" width="1.625" style="152" customWidth="1"/>
    <col min="46" max="57" width="11.75" style="152" customWidth="1" outlineLevel="1"/>
    <col min="58" max="58" width="10.125" style="152" customWidth="1"/>
    <col min="59" max="270" width="8.875" style="152"/>
    <col min="271" max="271" width="3.375" style="152" customWidth="1"/>
    <col min="272" max="272" width="38.375" style="152" customWidth="1"/>
    <col min="273" max="273" width="8" style="152" customWidth="1"/>
    <col min="274" max="285" width="9.375" style="152" customWidth="1"/>
    <col min="286" max="286" width="9.125" style="152" customWidth="1"/>
    <col min="287" max="526" width="8.875" style="152"/>
    <col min="527" max="527" width="3.375" style="152" customWidth="1"/>
    <col min="528" max="528" width="38.375" style="152" customWidth="1"/>
    <col min="529" max="529" width="8" style="152" customWidth="1"/>
    <col min="530" max="541" width="9.375" style="152" customWidth="1"/>
    <col min="542" max="542" width="9.125" style="152" customWidth="1"/>
    <col min="543" max="782" width="8.875" style="152"/>
    <col min="783" max="783" width="3.375" style="152" customWidth="1"/>
    <col min="784" max="784" width="38.375" style="152" customWidth="1"/>
    <col min="785" max="785" width="8" style="152" customWidth="1"/>
    <col min="786" max="797" width="9.375" style="152" customWidth="1"/>
    <col min="798" max="798" width="9.125" style="152" customWidth="1"/>
    <col min="799" max="1038" width="8.875" style="152"/>
    <col min="1039" max="1039" width="3.375" style="152" customWidth="1"/>
    <col min="1040" max="1040" width="38.375" style="152" customWidth="1"/>
    <col min="1041" max="1041" width="8" style="152" customWidth="1"/>
    <col min="1042" max="1053" width="9.375" style="152" customWidth="1"/>
    <col min="1054" max="1054" width="9.125" style="152" customWidth="1"/>
    <col min="1055" max="1294" width="8.875" style="152"/>
    <col min="1295" max="1295" width="3.375" style="152" customWidth="1"/>
    <col min="1296" max="1296" width="38.375" style="152" customWidth="1"/>
    <col min="1297" max="1297" width="8" style="152" customWidth="1"/>
    <col min="1298" max="1309" width="9.375" style="152" customWidth="1"/>
    <col min="1310" max="1310" width="9.125" style="152" customWidth="1"/>
    <col min="1311" max="1550" width="8.875" style="152"/>
    <col min="1551" max="1551" width="3.375" style="152" customWidth="1"/>
    <col min="1552" max="1552" width="38.375" style="152" customWidth="1"/>
    <col min="1553" max="1553" width="8" style="152" customWidth="1"/>
    <col min="1554" max="1565" width="9.375" style="152" customWidth="1"/>
    <col min="1566" max="1566" width="9.125" style="152" customWidth="1"/>
    <col min="1567" max="1806" width="8.875" style="152"/>
    <col min="1807" max="1807" width="3.375" style="152" customWidth="1"/>
    <col min="1808" max="1808" width="38.375" style="152" customWidth="1"/>
    <col min="1809" max="1809" width="8" style="152" customWidth="1"/>
    <col min="1810" max="1821" width="9.375" style="152" customWidth="1"/>
    <col min="1822" max="1822" width="9.125" style="152" customWidth="1"/>
    <col min="1823" max="2062" width="8.875" style="152"/>
    <col min="2063" max="2063" width="3.375" style="152" customWidth="1"/>
    <col min="2064" max="2064" width="38.375" style="152" customWidth="1"/>
    <col min="2065" max="2065" width="8" style="152" customWidth="1"/>
    <col min="2066" max="2077" width="9.375" style="152" customWidth="1"/>
    <col min="2078" max="2078" width="9.125" style="152" customWidth="1"/>
    <col min="2079" max="2318" width="8.875" style="152"/>
    <col min="2319" max="2319" width="3.375" style="152" customWidth="1"/>
    <col min="2320" max="2320" width="38.375" style="152" customWidth="1"/>
    <col min="2321" max="2321" width="8" style="152" customWidth="1"/>
    <col min="2322" max="2333" width="9.375" style="152" customWidth="1"/>
    <col min="2334" max="2334" width="9.125" style="152" customWidth="1"/>
    <col min="2335" max="2574" width="8.875" style="152"/>
    <col min="2575" max="2575" width="3.375" style="152" customWidth="1"/>
    <col min="2576" max="2576" width="38.375" style="152" customWidth="1"/>
    <col min="2577" max="2577" width="8" style="152" customWidth="1"/>
    <col min="2578" max="2589" width="9.375" style="152" customWidth="1"/>
    <col min="2590" max="2590" width="9.125" style="152" customWidth="1"/>
    <col min="2591" max="2830" width="8.875" style="152"/>
    <col min="2831" max="2831" width="3.375" style="152" customWidth="1"/>
    <col min="2832" max="2832" width="38.375" style="152" customWidth="1"/>
    <col min="2833" max="2833" width="8" style="152" customWidth="1"/>
    <col min="2834" max="2845" width="9.375" style="152" customWidth="1"/>
    <col min="2846" max="2846" width="9.125" style="152" customWidth="1"/>
    <col min="2847" max="3086" width="8.875" style="152"/>
    <col min="3087" max="3087" width="3.375" style="152" customWidth="1"/>
    <col min="3088" max="3088" width="38.375" style="152" customWidth="1"/>
    <col min="3089" max="3089" width="8" style="152" customWidth="1"/>
    <col min="3090" max="3101" width="9.375" style="152" customWidth="1"/>
    <col min="3102" max="3102" width="9.125" style="152" customWidth="1"/>
    <col min="3103" max="3342" width="8.875" style="152"/>
    <col min="3343" max="3343" width="3.375" style="152" customWidth="1"/>
    <col min="3344" max="3344" width="38.375" style="152" customWidth="1"/>
    <col min="3345" max="3345" width="8" style="152" customWidth="1"/>
    <col min="3346" max="3357" width="9.375" style="152" customWidth="1"/>
    <col min="3358" max="3358" width="9.125" style="152" customWidth="1"/>
    <col min="3359" max="3598" width="8.875" style="152"/>
    <col min="3599" max="3599" width="3.375" style="152" customWidth="1"/>
    <col min="3600" max="3600" width="38.375" style="152" customWidth="1"/>
    <col min="3601" max="3601" width="8" style="152" customWidth="1"/>
    <col min="3602" max="3613" width="9.375" style="152" customWidth="1"/>
    <col min="3614" max="3614" width="9.125" style="152" customWidth="1"/>
    <col min="3615" max="3854" width="8.875" style="152"/>
    <col min="3855" max="3855" width="3.375" style="152" customWidth="1"/>
    <col min="3856" max="3856" width="38.375" style="152" customWidth="1"/>
    <col min="3857" max="3857" width="8" style="152" customWidth="1"/>
    <col min="3858" max="3869" width="9.375" style="152" customWidth="1"/>
    <col min="3870" max="3870" width="9.125" style="152" customWidth="1"/>
    <col min="3871" max="4110" width="8.875" style="152"/>
    <col min="4111" max="4111" width="3.375" style="152" customWidth="1"/>
    <col min="4112" max="4112" width="38.375" style="152" customWidth="1"/>
    <col min="4113" max="4113" width="8" style="152" customWidth="1"/>
    <col min="4114" max="4125" width="9.375" style="152" customWidth="1"/>
    <col min="4126" max="4126" width="9.125" style="152" customWidth="1"/>
    <col min="4127" max="4366" width="8.875" style="152"/>
    <col min="4367" max="4367" width="3.375" style="152" customWidth="1"/>
    <col min="4368" max="4368" width="38.375" style="152" customWidth="1"/>
    <col min="4369" max="4369" width="8" style="152" customWidth="1"/>
    <col min="4370" max="4381" width="9.375" style="152" customWidth="1"/>
    <col min="4382" max="4382" width="9.125" style="152" customWidth="1"/>
    <col min="4383" max="4622" width="8.875" style="152"/>
    <col min="4623" max="4623" width="3.375" style="152" customWidth="1"/>
    <col min="4624" max="4624" width="38.375" style="152" customWidth="1"/>
    <col min="4625" max="4625" width="8" style="152" customWidth="1"/>
    <col min="4626" max="4637" width="9.375" style="152" customWidth="1"/>
    <col min="4638" max="4638" width="9.125" style="152" customWidth="1"/>
    <col min="4639" max="4878" width="8.875" style="152"/>
    <col min="4879" max="4879" width="3.375" style="152" customWidth="1"/>
    <col min="4880" max="4880" width="38.375" style="152" customWidth="1"/>
    <col min="4881" max="4881" width="8" style="152" customWidth="1"/>
    <col min="4882" max="4893" width="9.375" style="152" customWidth="1"/>
    <col min="4894" max="4894" width="9.125" style="152" customWidth="1"/>
    <col min="4895" max="5134" width="8.875" style="152"/>
    <col min="5135" max="5135" width="3.375" style="152" customWidth="1"/>
    <col min="5136" max="5136" width="38.375" style="152" customWidth="1"/>
    <col min="5137" max="5137" width="8" style="152" customWidth="1"/>
    <col min="5138" max="5149" width="9.375" style="152" customWidth="1"/>
    <col min="5150" max="5150" width="9.125" style="152" customWidth="1"/>
    <col min="5151" max="5390" width="8.875" style="152"/>
    <col min="5391" max="5391" width="3.375" style="152" customWidth="1"/>
    <col min="5392" max="5392" width="38.375" style="152" customWidth="1"/>
    <col min="5393" max="5393" width="8" style="152" customWidth="1"/>
    <col min="5394" max="5405" width="9.375" style="152" customWidth="1"/>
    <col min="5406" max="5406" width="9.125" style="152" customWidth="1"/>
    <col min="5407" max="5646" width="8.875" style="152"/>
    <col min="5647" max="5647" width="3.375" style="152" customWidth="1"/>
    <col min="5648" max="5648" width="38.375" style="152" customWidth="1"/>
    <col min="5649" max="5649" width="8" style="152" customWidth="1"/>
    <col min="5650" max="5661" width="9.375" style="152" customWidth="1"/>
    <col min="5662" max="5662" width="9.125" style="152" customWidth="1"/>
    <col min="5663" max="5902" width="8.875" style="152"/>
    <col min="5903" max="5903" width="3.375" style="152" customWidth="1"/>
    <col min="5904" max="5904" width="38.375" style="152" customWidth="1"/>
    <col min="5905" max="5905" width="8" style="152" customWidth="1"/>
    <col min="5906" max="5917" width="9.375" style="152" customWidth="1"/>
    <col min="5918" max="5918" width="9.125" style="152" customWidth="1"/>
    <col min="5919" max="6158" width="8.875" style="152"/>
    <col min="6159" max="6159" width="3.375" style="152" customWidth="1"/>
    <col min="6160" max="6160" width="38.375" style="152" customWidth="1"/>
    <col min="6161" max="6161" width="8" style="152" customWidth="1"/>
    <col min="6162" max="6173" width="9.375" style="152" customWidth="1"/>
    <col min="6174" max="6174" width="9.125" style="152" customWidth="1"/>
    <col min="6175" max="6414" width="8.875" style="152"/>
    <col min="6415" max="6415" width="3.375" style="152" customWidth="1"/>
    <col min="6416" max="6416" width="38.375" style="152" customWidth="1"/>
    <col min="6417" max="6417" width="8" style="152" customWidth="1"/>
    <col min="6418" max="6429" width="9.375" style="152" customWidth="1"/>
    <col min="6430" max="6430" width="9.125" style="152" customWidth="1"/>
    <col min="6431" max="6670" width="8.875" style="152"/>
    <col min="6671" max="6671" width="3.375" style="152" customWidth="1"/>
    <col min="6672" max="6672" width="38.375" style="152" customWidth="1"/>
    <col min="6673" max="6673" width="8" style="152" customWidth="1"/>
    <col min="6674" max="6685" width="9.375" style="152" customWidth="1"/>
    <col min="6686" max="6686" width="9.125" style="152" customWidth="1"/>
    <col min="6687" max="6926" width="8.875" style="152"/>
    <col min="6927" max="6927" width="3.375" style="152" customWidth="1"/>
    <col min="6928" max="6928" width="38.375" style="152" customWidth="1"/>
    <col min="6929" max="6929" width="8" style="152" customWidth="1"/>
    <col min="6930" max="6941" width="9.375" style="152" customWidth="1"/>
    <col min="6942" max="6942" width="9.125" style="152" customWidth="1"/>
    <col min="6943" max="7182" width="8.875" style="152"/>
    <col min="7183" max="7183" width="3.375" style="152" customWidth="1"/>
    <col min="7184" max="7184" width="38.375" style="152" customWidth="1"/>
    <col min="7185" max="7185" width="8" style="152" customWidth="1"/>
    <col min="7186" max="7197" width="9.375" style="152" customWidth="1"/>
    <col min="7198" max="7198" width="9.125" style="152" customWidth="1"/>
    <col min="7199" max="7438" width="8.875" style="152"/>
    <col min="7439" max="7439" width="3.375" style="152" customWidth="1"/>
    <col min="7440" max="7440" width="38.375" style="152" customWidth="1"/>
    <col min="7441" max="7441" width="8" style="152" customWidth="1"/>
    <col min="7442" max="7453" width="9.375" style="152" customWidth="1"/>
    <col min="7454" max="7454" width="9.125" style="152" customWidth="1"/>
    <col min="7455" max="7694" width="8.875" style="152"/>
    <col min="7695" max="7695" width="3.375" style="152" customWidth="1"/>
    <col min="7696" max="7696" width="38.375" style="152" customWidth="1"/>
    <col min="7697" max="7697" width="8" style="152" customWidth="1"/>
    <col min="7698" max="7709" width="9.375" style="152" customWidth="1"/>
    <col min="7710" max="7710" width="9.125" style="152" customWidth="1"/>
    <col min="7711" max="7950" width="8.875" style="152"/>
    <col min="7951" max="7951" width="3.375" style="152" customWidth="1"/>
    <col min="7952" max="7952" width="38.375" style="152" customWidth="1"/>
    <col min="7953" max="7953" width="8" style="152" customWidth="1"/>
    <col min="7954" max="7965" width="9.375" style="152" customWidth="1"/>
    <col min="7966" max="7966" width="9.125" style="152" customWidth="1"/>
    <col min="7967" max="8206" width="8.875" style="152"/>
    <col min="8207" max="8207" width="3.375" style="152" customWidth="1"/>
    <col min="8208" max="8208" width="38.375" style="152" customWidth="1"/>
    <col min="8209" max="8209" width="8" style="152" customWidth="1"/>
    <col min="8210" max="8221" width="9.375" style="152" customWidth="1"/>
    <col min="8222" max="8222" width="9.125" style="152" customWidth="1"/>
    <col min="8223" max="8462" width="8.875" style="152"/>
    <col min="8463" max="8463" width="3.375" style="152" customWidth="1"/>
    <col min="8464" max="8464" width="38.375" style="152" customWidth="1"/>
    <col min="8465" max="8465" width="8" style="152" customWidth="1"/>
    <col min="8466" max="8477" width="9.375" style="152" customWidth="1"/>
    <col min="8478" max="8478" width="9.125" style="152" customWidth="1"/>
    <col min="8479" max="8718" width="8.875" style="152"/>
    <col min="8719" max="8719" width="3.375" style="152" customWidth="1"/>
    <col min="8720" max="8720" width="38.375" style="152" customWidth="1"/>
    <col min="8721" max="8721" width="8" style="152" customWidth="1"/>
    <col min="8722" max="8733" width="9.375" style="152" customWidth="1"/>
    <col min="8734" max="8734" width="9.125" style="152" customWidth="1"/>
    <col min="8735" max="8974" width="8.875" style="152"/>
    <col min="8975" max="8975" width="3.375" style="152" customWidth="1"/>
    <col min="8976" max="8976" width="38.375" style="152" customWidth="1"/>
    <col min="8977" max="8977" width="8" style="152" customWidth="1"/>
    <col min="8978" max="8989" width="9.375" style="152" customWidth="1"/>
    <col min="8990" max="8990" width="9.125" style="152" customWidth="1"/>
    <col min="8991" max="9230" width="8.875" style="152"/>
    <col min="9231" max="9231" width="3.375" style="152" customWidth="1"/>
    <col min="9232" max="9232" width="38.375" style="152" customWidth="1"/>
    <col min="9233" max="9233" width="8" style="152" customWidth="1"/>
    <col min="9234" max="9245" width="9.375" style="152" customWidth="1"/>
    <col min="9246" max="9246" width="9.125" style="152" customWidth="1"/>
    <col min="9247" max="9486" width="8.875" style="152"/>
    <col min="9487" max="9487" width="3.375" style="152" customWidth="1"/>
    <col min="9488" max="9488" width="38.375" style="152" customWidth="1"/>
    <col min="9489" max="9489" width="8" style="152" customWidth="1"/>
    <col min="9490" max="9501" width="9.375" style="152" customWidth="1"/>
    <col min="9502" max="9502" width="9.125" style="152" customWidth="1"/>
    <col min="9503" max="9742" width="8.875" style="152"/>
    <col min="9743" max="9743" width="3.375" style="152" customWidth="1"/>
    <col min="9744" max="9744" width="38.375" style="152" customWidth="1"/>
    <col min="9745" max="9745" width="8" style="152" customWidth="1"/>
    <col min="9746" max="9757" width="9.375" style="152" customWidth="1"/>
    <col min="9758" max="9758" width="9.125" style="152" customWidth="1"/>
    <col min="9759" max="9998" width="8.875" style="152"/>
    <col min="9999" max="9999" width="3.375" style="152" customWidth="1"/>
    <col min="10000" max="10000" width="38.375" style="152" customWidth="1"/>
    <col min="10001" max="10001" width="8" style="152" customWidth="1"/>
    <col min="10002" max="10013" width="9.375" style="152" customWidth="1"/>
    <col min="10014" max="10014" width="9.125" style="152" customWidth="1"/>
    <col min="10015" max="10254" width="8.875" style="152"/>
    <col min="10255" max="10255" width="3.375" style="152" customWidth="1"/>
    <col min="10256" max="10256" width="38.375" style="152" customWidth="1"/>
    <col min="10257" max="10257" width="8" style="152" customWidth="1"/>
    <col min="10258" max="10269" width="9.375" style="152" customWidth="1"/>
    <col min="10270" max="10270" width="9.125" style="152" customWidth="1"/>
    <col min="10271" max="10510" width="8.875" style="152"/>
    <col min="10511" max="10511" width="3.375" style="152" customWidth="1"/>
    <col min="10512" max="10512" width="38.375" style="152" customWidth="1"/>
    <col min="10513" max="10513" width="8" style="152" customWidth="1"/>
    <col min="10514" max="10525" width="9.375" style="152" customWidth="1"/>
    <col min="10526" max="10526" width="9.125" style="152" customWidth="1"/>
    <col min="10527" max="10766" width="8.875" style="152"/>
    <col min="10767" max="10767" width="3.375" style="152" customWidth="1"/>
    <col min="10768" max="10768" width="38.375" style="152" customWidth="1"/>
    <col min="10769" max="10769" width="8" style="152" customWidth="1"/>
    <col min="10770" max="10781" width="9.375" style="152" customWidth="1"/>
    <col min="10782" max="10782" width="9.125" style="152" customWidth="1"/>
    <col min="10783" max="11022" width="8.875" style="152"/>
    <col min="11023" max="11023" width="3.375" style="152" customWidth="1"/>
    <col min="11024" max="11024" width="38.375" style="152" customWidth="1"/>
    <col min="11025" max="11025" width="8" style="152" customWidth="1"/>
    <col min="11026" max="11037" width="9.375" style="152" customWidth="1"/>
    <col min="11038" max="11038" width="9.125" style="152" customWidth="1"/>
    <col min="11039" max="11278" width="8.875" style="152"/>
    <col min="11279" max="11279" width="3.375" style="152" customWidth="1"/>
    <col min="11280" max="11280" width="38.375" style="152" customWidth="1"/>
    <col min="11281" max="11281" width="8" style="152" customWidth="1"/>
    <col min="11282" max="11293" width="9.375" style="152" customWidth="1"/>
    <col min="11294" max="11294" width="9.125" style="152" customWidth="1"/>
    <col min="11295" max="11534" width="8.875" style="152"/>
    <col min="11535" max="11535" width="3.375" style="152" customWidth="1"/>
    <col min="11536" max="11536" width="38.375" style="152" customWidth="1"/>
    <col min="11537" max="11537" width="8" style="152" customWidth="1"/>
    <col min="11538" max="11549" width="9.375" style="152" customWidth="1"/>
    <col min="11550" max="11550" width="9.125" style="152" customWidth="1"/>
    <col min="11551" max="11790" width="8.875" style="152"/>
    <col min="11791" max="11791" width="3.375" style="152" customWidth="1"/>
    <col min="11792" max="11792" width="38.375" style="152" customWidth="1"/>
    <col min="11793" max="11793" width="8" style="152" customWidth="1"/>
    <col min="11794" max="11805" width="9.375" style="152" customWidth="1"/>
    <col min="11806" max="11806" width="9.125" style="152" customWidth="1"/>
    <col min="11807" max="12046" width="8.875" style="152"/>
    <col min="12047" max="12047" width="3.375" style="152" customWidth="1"/>
    <col min="12048" max="12048" width="38.375" style="152" customWidth="1"/>
    <col min="12049" max="12049" width="8" style="152" customWidth="1"/>
    <col min="12050" max="12061" width="9.375" style="152" customWidth="1"/>
    <col min="12062" max="12062" width="9.125" style="152" customWidth="1"/>
    <col min="12063" max="12302" width="8.875" style="152"/>
    <col min="12303" max="12303" width="3.375" style="152" customWidth="1"/>
    <col min="12304" max="12304" width="38.375" style="152" customWidth="1"/>
    <col min="12305" max="12305" width="8" style="152" customWidth="1"/>
    <col min="12306" max="12317" width="9.375" style="152" customWidth="1"/>
    <col min="12318" max="12318" width="9.125" style="152" customWidth="1"/>
    <col min="12319" max="12558" width="8.875" style="152"/>
    <col min="12559" max="12559" width="3.375" style="152" customWidth="1"/>
    <col min="12560" max="12560" width="38.375" style="152" customWidth="1"/>
    <col min="12561" max="12561" width="8" style="152" customWidth="1"/>
    <col min="12562" max="12573" width="9.375" style="152" customWidth="1"/>
    <col min="12574" max="12574" width="9.125" style="152" customWidth="1"/>
    <col min="12575" max="12814" width="8.875" style="152"/>
    <col min="12815" max="12815" width="3.375" style="152" customWidth="1"/>
    <col min="12816" max="12816" width="38.375" style="152" customWidth="1"/>
    <col min="12817" max="12817" width="8" style="152" customWidth="1"/>
    <col min="12818" max="12829" width="9.375" style="152" customWidth="1"/>
    <col min="12830" max="12830" width="9.125" style="152" customWidth="1"/>
    <col min="12831" max="13070" width="8.875" style="152"/>
    <col min="13071" max="13071" width="3.375" style="152" customWidth="1"/>
    <col min="13072" max="13072" width="38.375" style="152" customWidth="1"/>
    <col min="13073" max="13073" width="8" style="152" customWidth="1"/>
    <col min="13074" max="13085" width="9.375" style="152" customWidth="1"/>
    <col min="13086" max="13086" width="9.125" style="152" customWidth="1"/>
    <col min="13087" max="13326" width="8.875" style="152"/>
    <col min="13327" max="13327" width="3.375" style="152" customWidth="1"/>
    <col min="13328" max="13328" width="38.375" style="152" customWidth="1"/>
    <col min="13329" max="13329" width="8" style="152" customWidth="1"/>
    <col min="13330" max="13341" width="9.375" style="152" customWidth="1"/>
    <col min="13342" max="13342" width="9.125" style="152" customWidth="1"/>
    <col min="13343" max="13582" width="8.875" style="152"/>
    <col min="13583" max="13583" width="3.375" style="152" customWidth="1"/>
    <col min="13584" max="13584" width="38.375" style="152" customWidth="1"/>
    <col min="13585" max="13585" width="8" style="152" customWidth="1"/>
    <col min="13586" max="13597" width="9.375" style="152" customWidth="1"/>
    <col min="13598" max="13598" width="9.125" style="152" customWidth="1"/>
    <col min="13599" max="13838" width="8.875" style="152"/>
    <col min="13839" max="13839" width="3.375" style="152" customWidth="1"/>
    <col min="13840" max="13840" width="38.375" style="152" customWidth="1"/>
    <col min="13841" max="13841" width="8" style="152" customWidth="1"/>
    <col min="13842" max="13853" width="9.375" style="152" customWidth="1"/>
    <col min="13854" max="13854" width="9.125" style="152" customWidth="1"/>
    <col min="13855" max="14094" width="8.875" style="152"/>
    <col min="14095" max="14095" width="3.375" style="152" customWidth="1"/>
    <col min="14096" max="14096" width="38.375" style="152" customWidth="1"/>
    <col min="14097" max="14097" width="8" style="152" customWidth="1"/>
    <col min="14098" max="14109" width="9.375" style="152" customWidth="1"/>
    <col min="14110" max="14110" width="9.125" style="152" customWidth="1"/>
    <col min="14111" max="14350" width="8.875" style="152"/>
    <col min="14351" max="14351" width="3.375" style="152" customWidth="1"/>
    <col min="14352" max="14352" width="38.375" style="152" customWidth="1"/>
    <col min="14353" max="14353" width="8" style="152" customWidth="1"/>
    <col min="14354" max="14365" width="9.375" style="152" customWidth="1"/>
    <col min="14366" max="14366" width="9.125" style="152" customWidth="1"/>
    <col min="14367" max="14606" width="8.875" style="152"/>
    <col min="14607" max="14607" width="3.375" style="152" customWidth="1"/>
    <col min="14608" max="14608" width="38.375" style="152" customWidth="1"/>
    <col min="14609" max="14609" width="8" style="152" customWidth="1"/>
    <col min="14610" max="14621" width="9.375" style="152" customWidth="1"/>
    <col min="14622" max="14622" width="9.125" style="152" customWidth="1"/>
    <col min="14623" max="14862" width="8.875" style="152"/>
    <col min="14863" max="14863" width="3.375" style="152" customWidth="1"/>
    <col min="14864" max="14864" width="38.375" style="152" customWidth="1"/>
    <col min="14865" max="14865" width="8" style="152" customWidth="1"/>
    <col min="14866" max="14877" width="9.375" style="152" customWidth="1"/>
    <col min="14878" max="14878" width="9.125" style="152" customWidth="1"/>
    <col min="14879" max="15118" width="8.875" style="152"/>
    <col min="15119" max="15119" width="3.375" style="152" customWidth="1"/>
    <col min="15120" max="15120" width="38.375" style="152" customWidth="1"/>
    <col min="15121" max="15121" width="8" style="152" customWidth="1"/>
    <col min="15122" max="15133" width="9.375" style="152" customWidth="1"/>
    <col min="15134" max="15134" width="9.125" style="152" customWidth="1"/>
    <col min="15135" max="15374" width="8.875" style="152"/>
    <col min="15375" max="15375" width="3.375" style="152" customWidth="1"/>
    <col min="15376" max="15376" width="38.375" style="152" customWidth="1"/>
    <col min="15377" max="15377" width="8" style="152" customWidth="1"/>
    <col min="15378" max="15389" width="9.375" style="152" customWidth="1"/>
    <col min="15390" max="15390" width="9.125" style="152" customWidth="1"/>
    <col min="15391" max="15630" width="8.875" style="152"/>
    <col min="15631" max="15631" width="3.375" style="152" customWidth="1"/>
    <col min="15632" max="15632" width="38.375" style="152" customWidth="1"/>
    <col min="15633" max="15633" width="8" style="152" customWidth="1"/>
    <col min="15634" max="15645" width="9.375" style="152" customWidth="1"/>
    <col min="15646" max="15646" width="9.125" style="152" customWidth="1"/>
    <col min="15647" max="15886" width="8.875" style="152"/>
    <col min="15887" max="15887" width="3.375" style="152" customWidth="1"/>
    <col min="15888" max="15888" width="38.375" style="152" customWidth="1"/>
    <col min="15889" max="15889" width="8" style="152" customWidth="1"/>
    <col min="15890" max="15901" width="9.375" style="152" customWidth="1"/>
    <col min="15902" max="15902" width="9.125" style="152" customWidth="1"/>
    <col min="15903" max="16142" width="8.875" style="152"/>
    <col min="16143" max="16143" width="3.375" style="152" customWidth="1"/>
    <col min="16144" max="16144" width="38.375" style="152" customWidth="1"/>
    <col min="16145" max="16145" width="8" style="152" customWidth="1"/>
    <col min="16146" max="16157" width="9.375" style="152" customWidth="1"/>
    <col min="16158" max="16158" width="9.125" style="152" customWidth="1"/>
    <col min="16159" max="16384" width="8.875" style="152"/>
  </cols>
  <sheetData>
    <row r="1" spans="1:58">
      <c r="A1" s="154"/>
      <c r="B1" s="154"/>
      <c r="C1" s="154"/>
      <c r="D1" s="154"/>
      <c r="E1" s="155"/>
      <c r="F1" s="155"/>
      <c r="G1" s="155"/>
      <c r="H1" s="155"/>
      <c r="I1" s="155"/>
      <c r="J1" s="156">
        <v>0.05</v>
      </c>
      <c r="K1" s="155"/>
      <c r="L1" s="155"/>
      <c r="M1" s="155"/>
      <c r="N1" s="154"/>
      <c r="O1" s="154"/>
      <c r="P1" s="154"/>
      <c r="Q1" s="154"/>
      <c r="R1" s="158"/>
      <c r="S1" s="154"/>
      <c r="T1" s="154"/>
      <c r="U1" s="158"/>
      <c r="V1" s="158"/>
      <c r="W1" s="158"/>
      <c r="X1" s="158"/>
      <c r="Y1" s="158"/>
      <c r="AA1" s="155" t="s">
        <v>2702</v>
      </c>
      <c r="AB1" s="156">
        <v>0.05</v>
      </c>
      <c r="AC1" s="155" t="s">
        <v>2703</v>
      </c>
      <c r="AD1" s="156">
        <v>0.25</v>
      </c>
      <c r="AE1" s="155"/>
      <c r="AF1" s="158"/>
      <c r="AG1" s="158"/>
      <c r="AH1" s="158"/>
      <c r="AI1" s="158"/>
      <c r="AJ1" s="158"/>
      <c r="AK1" s="158"/>
      <c r="AL1" s="158"/>
      <c r="AM1" s="158"/>
      <c r="AN1" s="158"/>
      <c r="AO1" s="158"/>
      <c r="AP1" s="158"/>
      <c r="AQ1" s="158"/>
      <c r="AT1" s="455">
        <v>0.05</v>
      </c>
      <c r="AU1" s="158"/>
      <c r="AV1" s="158"/>
      <c r="AW1" s="158"/>
      <c r="AX1" s="158"/>
      <c r="AY1" s="158"/>
      <c r="AZ1" s="158"/>
      <c r="BA1" s="158"/>
      <c r="BB1" s="158"/>
      <c r="BC1" s="158"/>
      <c r="BD1" s="158"/>
      <c r="BE1" s="158"/>
    </row>
    <row r="2" spans="1:58">
      <c r="A2" s="154"/>
      <c r="B2" s="154"/>
      <c r="C2" s="154"/>
      <c r="D2" s="154"/>
      <c r="E2" s="154"/>
      <c r="F2" s="154"/>
      <c r="G2" s="154"/>
      <c r="H2" s="154"/>
      <c r="I2" s="154" t="s">
        <v>2302</v>
      </c>
      <c r="J2" s="455">
        <v>0.2</v>
      </c>
      <c r="K2" s="154"/>
      <c r="L2" s="154"/>
      <c r="M2" s="154"/>
      <c r="N2" s="154"/>
      <c r="O2" s="154"/>
      <c r="P2" s="154"/>
      <c r="Q2" s="154"/>
      <c r="R2" s="158"/>
      <c r="S2" s="154"/>
      <c r="T2" s="154"/>
      <c r="U2" s="158"/>
      <c r="V2" s="158"/>
      <c r="W2" s="158"/>
      <c r="X2" s="158"/>
      <c r="Y2" s="158"/>
      <c r="AA2" s="154" t="s">
        <v>2302</v>
      </c>
      <c r="AB2" s="455">
        <v>0.1</v>
      </c>
      <c r="AC2" s="154"/>
      <c r="AD2" s="154"/>
      <c r="AE2" s="154"/>
      <c r="AF2" s="158"/>
      <c r="AG2" s="158"/>
      <c r="AH2" s="158"/>
      <c r="AI2" s="158"/>
      <c r="AJ2" s="158"/>
      <c r="AK2" s="158"/>
      <c r="AL2" s="158"/>
      <c r="AM2" s="158"/>
      <c r="AN2" s="158"/>
      <c r="AO2" s="158"/>
      <c r="AP2" s="158"/>
      <c r="AQ2" s="158"/>
      <c r="AT2" s="158"/>
      <c r="AU2" s="158"/>
      <c r="AV2" s="158"/>
      <c r="AW2" s="158"/>
      <c r="AX2" s="158"/>
      <c r="AY2" s="158"/>
      <c r="AZ2" s="158"/>
      <c r="BA2" s="158"/>
      <c r="BB2" s="158"/>
      <c r="BC2" s="158"/>
      <c r="BD2" s="158"/>
      <c r="BE2" s="158"/>
    </row>
    <row r="3" spans="1:58" s="150" customFormat="1" ht="13.5" customHeight="1">
      <c r="A3" s="162"/>
      <c r="B3" s="162" t="s">
        <v>2598</v>
      </c>
      <c r="C3" s="162" t="s">
        <v>2401</v>
      </c>
      <c r="D3" s="162" t="s">
        <v>2704</v>
      </c>
      <c r="E3" s="163" t="s">
        <v>1846</v>
      </c>
      <c r="F3" s="163" t="s">
        <v>2603</v>
      </c>
      <c r="G3" s="164" t="s">
        <v>2604</v>
      </c>
      <c r="H3" s="164" t="s">
        <v>2605</v>
      </c>
      <c r="I3" s="165" t="s">
        <v>2606</v>
      </c>
      <c r="J3" s="166" t="s">
        <v>2607</v>
      </c>
      <c r="K3" s="167" t="s">
        <v>2608</v>
      </c>
      <c r="L3" s="167" t="s">
        <v>2609</v>
      </c>
      <c r="M3" s="166" t="s">
        <v>2610</v>
      </c>
      <c r="N3" s="69">
        <v>45658</v>
      </c>
      <c r="O3" s="69">
        <v>45689</v>
      </c>
      <c r="P3" s="69">
        <v>45717</v>
      </c>
      <c r="Q3" s="69">
        <v>45748</v>
      </c>
      <c r="R3" s="69">
        <v>45778</v>
      </c>
      <c r="S3" s="69">
        <v>45809</v>
      </c>
      <c r="T3" s="69">
        <v>45839</v>
      </c>
      <c r="U3" s="69">
        <v>45870</v>
      </c>
      <c r="V3" s="69">
        <v>45901</v>
      </c>
      <c r="W3" s="69">
        <v>45931</v>
      </c>
      <c r="X3" s="69">
        <v>45962</v>
      </c>
      <c r="Y3" s="69">
        <v>45992</v>
      </c>
      <c r="Z3" s="168" t="s">
        <v>2705</v>
      </c>
      <c r="AA3" s="165" t="s">
        <v>2606</v>
      </c>
      <c r="AB3" s="166" t="s">
        <v>2607</v>
      </c>
      <c r="AC3" s="167" t="s">
        <v>2608</v>
      </c>
      <c r="AD3" s="167" t="s">
        <v>2609</v>
      </c>
      <c r="AE3" s="166" t="s">
        <v>2610</v>
      </c>
      <c r="AF3" s="69">
        <v>46023</v>
      </c>
      <c r="AG3" s="69">
        <v>46054</v>
      </c>
      <c r="AH3" s="69">
        <v>46082</v>
      </c>
      <c r="AI3" s="69">
        <v>46113</v>
      </c>
      <c r="AJ3" s="69">
        <v>46143</v>
      </c>
      <c r="AK3" s="69">
        <v>46174</v>
      </c>
      <c r="AL3" s="69">
        <v>46204</v>
      </c>
      <c r="AM3" s="69">
        <v>46235</v>
      </c>
      <c r="AN3" s="69">
        <v>46266</v>
      </c>
      <c r="AO3" s="69">
        <v>46296</v>
      </c>
      <c r="AP3" s="69">
        <v>46327</v>
      </c>
      <c r="AQ3" s="69">
        <v>46357</v>
      </c>
      <c r="AR3" s="168" t="s">
        <v>2706</v>
      </c>
      <c r="AT3" s="69">
        <v>46388</v>
      </c>
      <c r="AU3" s="69">
        <v>46419</v>
      </c>
      <c r="AV3" s="69">
        <v>46447</v>
      </c>
      <c r="AW3" s="69">
        <v>46478</v>
      </c>
      <c r="AX3" s="69">
        <v>46508</v>
      </c>
      <c r="AY3" s="69">
        <v>46539</v>
      </c>
      <c r="AZ3" s="69">
        <v>46569</v>
      </c>
      <c r="BA3" s="69">
        <v>46600</v>
      </c>
      <c r="BB3" s="69">
        <v>46631</v>
      </c>
      <c r="BC3" s="69">
        <v>46661</v>
      </c>
      <c r="BD3" s="69">
        <v>46692</v>
      </c>
      <c r="BE3" s="69">
        <v>46722</v>
      </c>
      <c r="BF3" s="168" t="s">
        <v>3128</v>
      </c>
    </row>
    <row r="4" spans="1:58" s="150" customFormat="1" ht="13.5" customHeight="1">
      <c r="A4" s="162"/>
      <c r="B4" s="162"/>
      <c r="C4" s="162"/>
      <c r="D4" s="162"/>
      <c r="E4" s="163"/>
      <c r="F4" s="163"/>
      <c r="G4" s="164"/>
      <c r="H4" s="164"/>
      <c r="I4" s="165"/>
      <c r="J4" s="166"/>
      <c r="K4" s="167"/>
      <c r="L4" s="167"/>
      <c r="M4" s="166"/>
      <c r="N4" s="69" t="s">
        <v>2046</v>
      </c>
      <c r="O4" s="69" t="s">
        <v>2046</v>
      </c>
      <c r="P4" s="69" t="s">
        <v>2046</v>
      </c>
      <c r="Q4" s="69" t="s">
        <v>2046</v>
      </c>
      <c r="R4" s="69" t="s">
        <v>2046</v>
      </c>
      <c r="S4" s="69" t="s">
        <v>2046</v>
      </c>
      <c r="T4" s="69" t="s">
        <v>2046</v>
      </c>
      <c r="U4" s="69" t="s">
        <v>2046</v>
      </c>
      <c r="V4" s="69" t="s">
        <v>2046</v>
      </c>
      <c r="W4" s="69" t="s">
        <v>2046</v>
      </c>
      <c r="X4" s="69" t="s">
        <v>2046</v>
      </c>
      <c r="Y4" s="69" t="s">
        <v>2046</v>
      </c>
      <c r="Z4" s="168" t="s">
        <v>2046</v>
      </c>
      <c r="AA4" s="165"/>
      <c r="AB4" s="166"/>
      <c r="AC4" s="167"/>
      <c r="AD4" s="167"/>
      <c r="AE4" s="166"/>
      <c r="AF4" s="69"/>
      <c r="AG4" s="69"/>
      <c r="AH4" s="69"/>
      <c r="AI4" s="69"/>
      <c r="AJ4" s="69"/>
      <c r="AK4" s="69"/>
      <c r="AL4" s="69"/>
      <c r="AM4" s="69"/>
      <c r="AN4" s="69"/>
      <c r="AO4" s="69"/>
      <c r="AP4" s="69"/>
      <c r="AQ4" s="69"/>
      <c r="AR4" s="168" t="s">
        <v>2046</v>
      </c>
      <c r="AT4" s="69"/>
      <c r="AU4" s="69"/>
      <c r="AV4" s="69"/>
      <c r="AW4" s="69"/>
      <c r="AX4" s="69"/>
      <c r="AY4" s="69"/>
      <c r="AZ4" s="69"/>
      <c r="BA4" s="69"/>
      <c r="BB4" s="69"/>
      <c r="BC4" s="69"/>
      <c r="BD4" s="69"/>
      <c r="BE4" s="69"/>
      <c r="BF4" s="168" t="s">
        <v>2046</v>
      </c>
    </row>
    <row r="5" spans="1:58" s="150" customFormat="1" ht="13.5" customHeight="1" outlineLevel="1">
      <c r="A5" s="162"/>
      <c r="B5" s="162"/>
      <c r="C5" s="162"/>
      <c r="D5" s="162"/>
      <c r="E5" s="169">
        <v>1</v>
      </c>
      <c r="F5" s="169">
        <v>2</v>
      </c>
      <c r="G5" s="76">
        <v>3</v>
      </c>
      <c r="H5" s="76">
        <v>4</v>
      </c>
      <c r="I5" s="76">
        <v>5</v>
      </c>
      <c r="J5" s="76">
        <v>6</v>
      </c>
      <c r="K5" s="76">
        <v>7</v>
      </c>
      <c r="L5" s="76">
        <v>8</v>
      </c>
      <c r="M5" s="76">
        <v>9</v>
      </c>
      <c r="N5" s="76">
        <v>10</v>
      </c>
      <c r="O5" s="76">
        <v>11</v>
      </c>
      <c r="P5" s="76">
        <v>12</v>
      </c>
      <c r="Q5" s="76">
        <v>13</v>
      </c>
      <c r="R5" s="76">
        <v>14</v>
      </c>
      <c r="S5" s="76">
        <v>15</v>
      </c>
      <c r="T5" s="76">
        <v>16</v>
      </c>
      <c r="U5" s="76">
        <v>17</v>
      </c>
      <c r="V5" s="76">
        <v>18</v>
      </c>
      <c r="W5" s="76">
        <v>19</v>
      </c>
      <c r="X5" s="76">
        <v>20</v>
      </c>
      <c r="Y5" s="76">
        <v>21</v>
      </c>
      <c r="Z5" s="168"/>
      <c r="AA5" s="76">
        <v>5</v>
      </c>
      <c r="AB5" s="76">
        <v>6</v>
      </c>
      <c r="AC5" s="76">
        <v>7</v>
      </c>
      <c r="AD5" s="76">
        <v>8</v>
      </c>
      <c r="AE5" s="76">
        <v>9</v>
      </c>
      <c r="AF5" s="76"/>
      <c r="AG5" s="76"/>
      <c r="AH5" s="76"/>
      <c r="AI5" s="76"/>
      <c r="AJ5" s="76"/>
      <c r="AK5" s="76"/>
      <c r="AL5" s="76"/>
      <c r="AM5" s="76"/>
      <c r="AN5" s="76"/>
      <c r="AO5" s="76"/>
      <c r="AP5" s="76"/>
      <c r="AQ5" s="76"/>
      <c r="AR5" s="168"/>
      <c r="AT5" s="76"/>
      <c r="AU5" s="76"/>
      <c r="AV5" s="76"/>
      <c r="AW5" s="76"/>
      <c r="AX5" s="76"/>
      <c r="AY5" s="76"/>
      <c r="AZ5" s="76"/>
      <c r="BA5" s="76"/>
      <c r="BB5" s="76"/>
      <c r="BC5" s="76"/>
      <c r="BD5" s="76"/>
      <c r="BE5" s="76"/>
      <c r="BF5" s="168"/>
    </row>
    <row r="6" spans="1:58" ht="13.5" customHeight="1">
      <c r="A6" s="171">
        <v>1</v>
      </c>
      <c r="B6" s="171" t="s">
        <v>2110</v>
      </c>
      <c r="C6" s="171" t="s">
        <v>2302</v>
      </c>
      <c r="D6" s="171" t="s">
        <v>1514</v>
      </c>
      <c r="E6" s="172" t="s">
        <v>2707</v>
      </c>
      <c r="F6" s="172" t="s">
        <v>2707</v>
      </c>
      <c r="G6" s="77" t="s">
        <v>2613</v>
      </c>
      <c r="H6" s="173" t="s">
        <v>2614</v>
      </c>
      <c r="I6" s="173" t="s">
        <v>2368</v>
      </c>
      <c r="J6" s="184">
        <f>12000*(1+$J$2)*12</f>
        <v>172800</v>
      </c>
      <c r="K6" s="456">
        <v>45658</v>
      </c>
      <c r="L6" s="456">
        <v>46022</v>
      </c>
      <c r="M6" s="176">
        <f t="shared" ref="M6:M22" si="0">IF(AND(K6="",L6=""),"-",IF(L6="",12,DATEDIF(K6,L6,"M")+1))</f>
        <v>12</v>
      </c>
      <c r="N6" s="177">
        <f>IF(AND($K6&lt;=N$3,N$3&lt;=$L6),$J6/$M6*HLOOKUP(N$3,'FX Lookup'!$A$2:$Y$4,3,FALSE),0)</f>
        <v>13477.248</v>
      </c>
      <c r="O6" s="177">
        <f>IF(AND($K6&lt;=O$3,O$3&lt;=$L6),$J6/$M6*HLOOKUP(O$3,'FX Lookup'!$A$2:$Y$4,3,FALSE),0)</f>
        <v>13477.248</v>
      </c>
      <c r="P6" s="177">
        <f>IF(AND($K6&lt;=P$3,P$3&lt;=$L6),$J6/$M6*HLOOKUP(P$3,'FX Lookup'!$A$2:$Y$4,3,FALSE),0)</f>
        <v>13477.248</v>
      </c>
      <c r="Q6" s="177">
        <f>IF(AND($K6&lt;=Q$3,Q$3&lt;=$L6),$J6/$M6*HLOOKUP(Q$3,'FX Lookup'!$A$2:$Y$4,3,FALSE),0)</f>
        <v>13477.248</v>
      </c>
      <c r="R6" s="177">
        <f>IF(AND($K6&lt;=R$3,R$3&lt;=$L6),$J6/$M6*HLOOKUP(R$3,'FX Lookup'!$A$2:$Y$4,3,FALSE),0)</f>
        <v>13477.248</v>
      </c>
      <c r="S6" s="177">
        <f>IF(AND($K6&lt;=S$3,S$3&lt;=$L6),$J6/$M6*HLOOKUP(S$3,'FX Lookup'!$A$2:$Y$4,3,FALSE),0)</f>
        <v>13477.248</v>
      </c>
      <c r="T6" s="177">
        <f>IF(AND($K6&lt;=T$3,T$3&lt;=$L6),$J6/$M6*HLOOKUP(T$3,'FX Lookup'!$A$2:$Y$4,3,FALSE),0)</f>
        <v>13477.248</v>
      </c>
      <c r="U6" s="177">
        <f>IF(AND($K6&lt;=U$3,U$3&lt;=$L6),$J6/$M6*HLOOKUP(U$3,'FX Lookup'!$A$2:$Y$4,3,FALSE),0)</f>
        <v>13477.248</v>
      </c>
      <c r="V6" s="177">
        <f>IF(AND($K6&lt;=V$3,V$3&lt;=$L6),$J6/$M6*HLOOKUP(V$3,'FX Lookup'!$A$2:$Y$4,3,FALSE),0)</f>
        <v>13477.248</v>
      </c>
      <c r="W6" s="177">
        <f>IF(AND($K6&lt;=W$3,W$3&lt;=$L6),$J6/$M6*HLOOKUP(W$3,'FX Lookup'!$A$2:$Y$4,3,FALSE),0)</f>
        <v>13477.248</v>
      </c>
      <c r="X6" s="177">
        <f>IF(AND($K6&lt;=X$3,X$3&lt;=$L6),$J6/$M6*HLOOKUP(X$3,'FX Lookup'!$A$2:$Y$4,3,FALSE),0)</f>
        <v>13477.248</v>
      </c>
      <c r="Y6" s="177">
        <f>IF(AND($K6&lt;=Y$3,Y$3&lt;=$L6),$J6/$M6*HLOOKUP(Y$3,'FX Lookup'!$A$2:$Y$4,3,FALSE),0)</f>
        <v>13477.248</v>
      </c>
      <c r="Z6" s="178">
        <f>SUM(N6:Y6)</f>
        <v>161726.97599999994</v>
      </c>
      <c r="AA6" s="173" t="s">
        <v>2368</v>
      </c>
      <c r="AB6" s="174">
        <f>13000*12</f>
        <v>156000</v>
      </c>
      <c r="AC6" s="456">
        <v>46023</v>
      </c>
      <c r="AD6" s="456">
        <v>46387</v>
      </c>
      <c r="AE6" s="176">
        <f t="shared" ref="AE6:AE22" si="1">IF(AND(AC6="",AD6=""),"-",IF(AD6="",12,DATEDIF(AC6,AD6,"M")+1))</f>
        <v>12</v>
      </c>
      <c r="AF6" s="177">
        <f>IF(AND($AC6&lt;=AF$3,AF$3&lt;=$AD6),$AB6/$AE6*HLOOKUP(AF$3,'FX Lookup'!$A$2:$Y$4,3,FALSE),0)</f>
        <v>11569.869999999999</v>
      </c>
      <c r="AG6" s="177">
        <f>IF(AND($AC6&lt;=AG$3,AG$3&lt;=$AD6),$AB6/$AE6*HLOOKUP(AG$3,'FX Lookup'!$A$2:$Y$4,3,FALSE),0)</f>
        <v>11468.6</v>
      </c>
      <c r="AH6" s="177">
        <f>IF(AND($AC6&lt;=AH$3,AH$3&lt;=$AD6),$AB6/$AE6*HLOOKUP(AH$3,'FX Lookup'!$A$2:$Y$4,3,FALSE),0)</f>
        <v>11468.6</v>
      </c>
      <c r="AI6" s="177">
        <f>IF(AND($AC6&lt;=AI$3,AI$3&lt;=$AD6),$AB6/$AE6*HLOOKUP(AI$3,'FX Lookup'!$A$2:$Y$4,3,FALSE),0)</f>
        <v>11468.6</v>
      </c>
      <c r="AJ6" s="177">
        <f>IF(AND($AC6&lt;=AJ$3,AJ$3&lt;=$AD6),$AB6/$AE6*HLOOKUP(AJ$3,'FX Lookup'!$A$2:$Y$4,3,FALSE),0)</f>
        <v>11468.6</v>
      </c>
      <c r="AK6" s="177">
        <f>IF(AND($AC6&lt;=AK$3,AK$3&lt;=$AD6),$AB6/$AE6*HLOOKUP(AK$3,'FX Lookup'!$A$2:$Y$4,3,FALSE),0)</f>
        <v>11468.6</v>
      </c>
      <c r="AL6" s="177">
        <f>IF(AND($AC6&lt;=AL$3,AL$3&lt;=$AD6),$AB6/$AE6*HLOOKUP(AL$3,'FX Lookup'!$A$2:$Y$4,3,FALSE),0)</f>
        <v>11468.6</v>
      </c>
      <c r="AM6" s="177">
        <f>IF(AND($AC6&lt;=AM$3,AM$3&lt;=$AD6),$AB6/$AE6*HLOOKUP(AM$3,'FX Lookup'!$A$2:$Y$4,3,FALSE),0)</f>
        <v>11468.6</v>
      </c>
      <c r="AN6" s="177">
        <f>IF(AND($AC6&lt;=AN$3,AN$3&lt;=$AD6),$AB6/$AE6*HLOOKUP(AN$3,'FX Lookup'!$A$2:$Y$4,3,FALSE),0)</f>
        <v>11468.6</v>
      </c>
      <c r="AO6" s="177">
        <f>IF(AND($AC6&lt;=AO$3,AO$3&lt;=$AD6),$AB6/$AE6*HLOOKUP(AO$3,'FX Lookup'!$A$2:$Y$4,3,FALSE),0)</f>
        <v>11468.6</v>
      </c>
      <c r="AP6" s="177">
        <f>IF(AND($AC6&lt;=AP$3,AP$3&lt;=$AD6),$AB6/$AE6*HLOOKUP(AP$3,'FX Lookup'!$A$2:$Y$4,3,FALSE),0)</f>
        <v>11468.6</v>
      </c>
      <c r="AQ6" s="177">
        <f>IF(AND($AC6&lt;=AQ$3,AQ$3&lt;=$AD6),$AB6/$AE6*HLOOKUP(AQ$3,'FX Lookup'!$A$2:$Y$4,3,FALSE),0)</f>
        <v>11468.6</v>
      </c>
      <c r="AR6" s="178">
        <f>SUM(AF6:AQ6)</f>
        <v>137724.47000000003</v>
      </c>
      <c r="AT6" s="177">
        <f t="shared" ref="AT6:AT22" si="2">AF6*(1+$AT$1)</f>
        <v>12148.363499999999</v>
      </c>
      <c r="AU6" s="177">
        <f t="shared" ref="AU6:AU22" si="3">AG6*(1+$AT$1)</f>
        <v>12042.03</v>
      </c>
      <c r="AV6" s="177">
        <f t="shared" ref="AV6:AV22" si="4">AH6*(1+$AT$1)</f>
        <v>12042.03</v>
      </c>
      <c r="AW6" s="177">
        <f t="shared" ref="AW6:AW22" si="5">AI6*(1+$AT$1)</f>
        <v>12042.03</v>
      </c>
      <c r="AX6" s="177">
        <f t="shared" ref="AX6:AX22" si="6">AJ6*(1+$AT$1)</f>
        <v>12042.03</v>
      </c>
      <c r="AY6" s="177">
        <f t="shared" ref="AY6:AY22" si="7">AK6*(1+$AT$1)</f>
        <v>12042.03</v>
      </c>
      <c r="AZ6" s="177">
        <f t="shared" ref="AZ6:AZ22" si="8">AL6*(1+$AT$1)</f>
        <v>12042.03</v>
      </c>
      <c r="BA6" s="177">
        <f t="shared" ref="BA6:BA22" si="9">AM6*(1+$AT$1)</f>
        <v>12042.03</v>
      </c>
      <c r="BB6" s="177">
        <f t="shared" ref="BB6:BB22" si="10">AN6*(1+$AT$1)</f>
        <v>12042.03</v>
      </c>
      <c r="BC6" s="177">
        <f t="shared" ref="BC6:BC22" si="11">AO6*(1+$AT$1)</f>
        <v>12042.03</v>
      </c>
      <c r="BD6" s="177">
        <f t="shared" ref="BD6:BD22" si="12">AP6*(1+$AT$1)</f>
        <v>12042.03</v>
      </c>
      <c r="BE6" s="177">
        <f t="shared" ref="BE6:BE22" si="13">AQ6*(1+$AT$1)</f>
        <v>12042.03</v>
      </c>
      <c r="BF6" s="178">
        <f>SUM(AT6:BE6)</f>
        <v>144610.69349999999</v>
      </c>
    </row>
    <row r="7" spans="1:58" ht="13.5" customHeight="1">
      <c r="A7" s="171">
        <f t="shared" ref="A7:A13" si="14">IF(A6&lt;=0,FALSE,A6+1)</f>
        <v>2</v>
      </c>
      <c r="B7" s="171" t="s">
        <v>2110</v>
      </c>
      <c r="C7" s="171" t="s">
        <v>2302</v>
      </c>
      <c r="D7" s="171" t="s">
        <v>1514</v>
      </c>
      <c r="E7" s="172" t="s">
        <v>2707</v>
      </c>
      <c r="F7" s="172" t="s">
        <v>2708</v>
      </c>
      <c r="G7" s="77" t="s">
        <v>2613</v>
      </c>
      <c r="H7" s="173" t="s">
        <v>2614</v>
      </c>
      <c r="I7" s="173" t="s">
        <v>2368</v>
      </c>
      <c r="J7" s="184">
        <f>20000*(1+$J$2)</f>
        <v>24000</v>
      </c>
      <c r="K7" s="456">
        <v>45778</v>
      </c>
      <c r="L7" s="456">
        <v>45808</v>
      </c>
      <c r="M7" s="176">
        <f t="shared" si="0"/>
        <v>1</v>
      </c>
      <c r="N7" s="177">
        <f>IF(AND($K7&lt;=N$3,N$3&lt;=$L7),$J7/$M7*HLOOKUP(N$3,'FX Lookup'!$A$2:$Y$4,3,FALSE),0)</f>
        <v>0</v>
      </c>
      <c r="O7" s="177">
        <f>IF(AND($K7&lt;=O$3,O$3&lt;=$L7),$J7/$M7*HLOOKUP(O$3,'FX Lookup'!$A$2:$Y$4,3,FALSE),0)</f>
        <v>0</v>
      </c>
      <c r="P7" s="177">
        <f>IF(AND($K7&lt;=P$3,P$3&lt;=$L7),$J7/$M7*HLOOKUP(P$3,'FX Lookup'!$A$2:$Y$4,3,FALSE),0)</f>
        <v>0</v>
      </c>
      <c r="Q7" s="177">
        <f>IF(AND($K7&lt;=Q$3,Q$3&lt;=$L7),$J7/$M7*HLOOKUP(Q$3,'FX Lookup'!$A$2:$Y$4,3,FALSE),0)</f>
        <v>0</v>
      </c>
      <c r="R7" s="177">
        <f>IF(AND($K7&lt;=R$3,R$3&lt;=$L7),$J7/$M7*HLOOKUP(R$3,'FX Lookup'!$A$2:$Y$4,3,FALSE),0)</f>
        <v>22462.079999999998</v>
      </c>
      <c r="S7" s="177">
        <f>IF(AND($K7&lt;=S$3,S$3&lt;=$L7),$J7/$M7*HLOOKUP(S$3,'FX Lookup'!$A$2:$Y$4,3,FALSE),0)</f>
        <v>0</v>
      </c>
      <c r="T7" s="177">
        <f>IF(AND($K7&lt;=T$3,T$3&lt;=$L7),$J7/$M7*HLOOKUP(T$3,'FX Lookup'!$A$2:$Y$4,3,FALSE),0)</f>
        <v>0</v>
      </c>
      <c r="U7" s="177">
        <f>IF(AND($K7&lt;=U$3,U$3&lt;=$L7),$J7/$M7*HLOOKUP(U$3,'FX Lookup'!$A$2:$Y$4,3,FALSE),0)</f>
        <v>0</v>
      </c>
      <c r="V7" s="177">
        <f>IF(AND($K7&lt;=V$3,V$3&lt;=$L7),$J7/$M7*HLOOKUP(V$3,'FX Lookup'!$A$2:$Y$4,3,FALSE),0)</f>
        <v>0</v>
      </c>
      <c r="W7" s="177">
        <f>IF(AND($K7&lt;=W$3,W$3&lt;=$L7),$J7/$M7*HLOOKUP(W$3,'FX Lookup'!$A$2:$Y$4,3,FALSE),0)</f>
        <v>0</v>
      </c>
      <c r="X7" s="177">
        <f>IF(AND($K7&lt;=X$3,X$3&lt;=$L7),$J7/$M7*HLOOKUP(X$3,'FX Lookup'!$A$2:$Y$4,3,FALSE),0)</f>
        <v>0</v>
      </c>
      <c r="Y7" s="177">
        <f>IF(AND($K7&lt;=Y$3,Y$3&lt;=$L7),$J7/$M7*HLOOKUP(Y$3,'FX Lookup'!$A$2:$Y$4,3,FALSE),0)</f>
        <v>0</v>
      </c>
      <c r="Z7" s="178">
        <f t="shared" ref="Z7:Z22" si="15">SUM(N7:Y7)</f>
        <v>22462.079999999998</v>
      </c>
      <c r="AA7" s="173" t="s">
        <v>2368</v>
      </c>
      <c r="AB7" s="174"/>
      <c r="AC7" s="456">
        <v>46143</v>
      </c>
      <c r="AD7" s="456">
        <v>46173</v>
      </c>
      <c r="AE7" s="176">
        <f t="shared" si="1"/>
        <v>1</v>
      </c>
      <c r="AF7" s="177">
        <f>IF(AND($AC7&lt;=AF$3,AF$3&lt;=$AD7),$AB7/$AE7*HLOOKUP(AF$3,'FX Lookup'!$A$2:$Y$4,3,FALSE),0)</f>
        <v>0</v>
      </c>
      <c r="AG7" s="177">
        <f>IF(AND($AC7&lt;=AG$3,AG$3&lt;=$AD7),$AB7/$AE7*HLOOKUP(AG$3,'FX Lookup'!$A$2:$Y$4,3,FALSE),0)</f>
        <v>0</v>
      </c>
      <c r="AH7" s="177">
        <f>IF(AND($AC7&lt;=AH$3,AH$3&lt;=$AD7),$AB7/$AE7*HLOOKUP(AH$3,'FX Lookup'!$A$2:$Y$4,3,FALSE),0)</f>
        <v>0</v>
      </c>
      <c r="AI7" s="177">
        <f>IF(AND($AC7&lt;=AI$3,AI$3&lt;=$AD7),$AB7/$AE7*HLOOKUP(AI$3,'FX Lookup'!$A$2:$Y$4,3,FALSE),0)</f>
        <v>0</v>
      </c>
      <c r="AJ7" s="177">
        <f>IF(AND($AC7&lt;=AJ$3,AJ$3&lt;=$AD7),$AB7/$AE7*HLOOKUP(AJ$3,'FX Lookup'!$A$2:$Y$4,3,FALSE),0)</f>
        <v>0</v>
      </c>
      <c r="AK7" s="177">
        <f>IF(AND($AC7&lt;=AK$3,AK$3&lt;=$AD7),$AB7/$AE7*HLOOKUP(AK$3,'FX Lookup'!$A$2:$Y$4,3,FALSE),0)</f>
        <v>0</v>
      </c>
      <c r="AL7" s="177">
        <f>IF(AND($AC7&lt;=AL$3,AL$3&lt;=$AD7),$AB7/$AE7*HLOOKUP(AL$3,'FX Lookup'!$A$2:$Y$4,3,FALSE),0)</f>
        <v>0</v>
      </c>
      <c r="AM7" s="177">
        <f>IF(AND($AC7&lt;=AM$3,AM$3&lt;=$AD7),$AB7/$AE7*HLOOKUP(AM$3,'FX Lookup'!$A$2:$Y$4,3,FALSE),0)</f>
        <v>0</v>
      </c>
      <c r="AN7" s="177">
        <f>IF(AND($AC7&lt;=AN$3,AN$3&lt;=$AD7),$AB7/$AE7*HLOOKUP(AN$3,'FX Lookup'!$A$2:$Y$4,3,FALSE),0)</f>
        <v>0</v>
      </c>
      <c r="AO7" s="177">
        <f>IF(AND($AC7&lt;=AO$3,AO$3&lt;=$AD7),$AB7/$AE7*HLOOKUP(AO$3,'FX Lookup'!$A$2:$Y$4,3,FALSE),0)</f>
        <v>0</v>
      </c>
      <c r="AP7" s="177">
        <f>IF(AND($AC7&lt;=AP$3,AP$3&lt;=$AD7),$AB7/$AE7*HLOOKUP(AP$3,'FX Lookup'!$A$2:$Y$4,3,FALSE),0)</f>
        <v>0</v>
      </c>
      <c r="AQ7" s="177">
        <f>IF(AND($AC7&lt;=AQ$3,AQ$3&lt;=$AD7),$AB7/$AE7*HLOOKUP(AQ$3,'FX Lookup'!$A$2:$Y$4,3,FALSE),0)</f>
        <v>0</v>
      </c>
      <c r="AR7" s="178">
        <f t="shared" ref="AR7:AR22" si="16">SUM(AF7:AQ7)</f>
        <v>0</v>
      </c>
      <c r="AT7" s="177">
        <f t="shared" si="2"/>
        <v>0</v>
      </c>
      <c r="AU7" s="177">
        <f t="shared" si="3"/>
        <v>0</v>
      </c>
      <c r="AV7" s="177">
        <f t="shared" si="4"/>
        <v>0</v>
      </c>
      <c r="AW7" s="177">
        <f t="shared" si="5"/>
        <v>0</v>
      </c>
      <c r="AX7" s="177">
        <f t="shared" si="6"/>
        <v>0</v>
      </c>
      <c r="AY7" s="177">
        <f t="shared" si="7"/>
        <v>0</v>
      </c>
      <c r="AZ7" s="177">
        <f t="shared" si="8"/>
        <v>0</v>
      </c>
      <c r="BA7" s="177">
        <f t="shared" si="9"/>
        <v>0</v>
      </c>
      <c r="BB7" s="177">
        <f t="shared" si="10"/>
        <v>0</v>
      </c>
      <c r="BC7" s="177">
        <f t="shared" si="11"/>
        <v>0</v>
      </c>
      <c r="BD7" s="177">
        <f t="shared" si="12"/>
        <v>0</v>
      </c>
      <c r="BE7" s="177">
        <f t="shared" si="13"/>
        <v>0</v>
      </c>
      <c r="BF7" s="178">
        <f t="shared" ref="BF7:BF22" si="17">SUM(AT7:BE7)</f>
        <v>0</v>
      </c>
    </row>
    <row r="8" spans="1:58" ht="13.5" customHeight="1">
      <c r="A8" s="171">
        <f t="shared" si="14"/>
        <v>3</v>
      </c>
      <c r="B8" s="171" t="s">
        <v>2110</v>
      </c>
      <c r="C8" s="171" t="s">
        <v>2302</v>
      </c>
      <c r="D8" s="171" t="s">
        <v>1530</v>
      </c>
      <c r="E8" s="172" t="s">
        <v>2709</v>
      </c>
      <c r="F8" s="172" t="s">
        <v>2710</v>
      </c>
      <c r="G8" s="77" t="s">
        <v>2613</v>
      </c>
      <c r="H8" s="173" t="s">
        <v>2614</v>
      </c>
      <c r="I8" s="173" t="s">
        <v>2368</v>
      </c>
      <c r="J8" s="184">
        <f>45000*(1+$J$2)</f>
        <v>54000</v>
      </c>
      <c r="K8" s="456">
        <v>45809</v>
      </c>
      <c r="L8" s="456">
        <v>45838</v>
      </c>
      <c r="M8" s="176">
        <f t="shared" si="0"/>
        <v>1</v>
      </c>
      <c r="N8" s="177">
        <f>IF(AND($K8&lt;=N$3,N$3&lt;=$L8),$J8/$M8*HLOOKUP(N$3,'FX Lookup'!$A$2:$Y$4,3,FALSE),0)</f>
        <v>0</v>
      </c>
      <c r="O8" s="177">
        <f>IF(AND($K8&lt;=O$3,O$3&lt;=$L8),$J8/$M8*HLOOKUP(O$3,'FX Lookup'!$A$2:$Y$4,3,FALSE),0)</f>
        <v>0</v>
      </c>
      <c r="P8" s="177">
        <f>IF(AND($K8&lt;=P$3,P$3&lt;=$L8),$J8/$M8*HLOOKUP(P$3,'FX Lookup'!$A$2:$Y$4,3,FALSE),0)</f>
        <v>0</v>
      </c>
      <c r="Q8" s="177">
        <f>IF(AND($K8&lt;=Q$3,Q$3&lt;=$L8),$J8/$M8*HLOOKUP(Q$3,'FX Lookup'!$A$2:$Y$4,3,FALSE),0)</f>
        <v>0</v>
      </c>
      <c r="R8" s="177">
        <f>IF(AND($K8&lt;=R$3,R$3&lt;=$L8),$J8/$M8*HLOOKUP(R$3,'FX Lookup'!$A$2:$Y$4,3,FALSE),0)</f>
        <v>0</v>
      </c>
      <c r="S8" s="177">
        <f>IF(AND($K8&lt;=S$3,S$3&lt;=$L8),$J8/$M8*HLOOKUP(S$3,'FX Lookup'!$A$2:$Y$4,3,FALSE),0)</f>
        <v>50539.68</v>
      </c>
      <c r="T8" s="177">
        <f>IF(AND($K8&lt;=T$3,T$3&lt;=$L8),$J8/$M8*HLOOKUP(T$3,'FX Lookup'!$A$2:$Y$4,3,FALSE),0)</f>
        <v>0</v>
      </c>
      <c r="U8" s="177">
        <f>IF(AND($K8&lt;=U$3,U$3&lt;=$L8),$J8/$M8*HLOOKUP(U$3,'FX Lookup'!$A$2:$Y$4,3,FALSE),0)</f>
        <v>0</v>
      </c>
      <c r="V8" s="177">
        <f>IF(AND($K8&lt;=V$3,V$3&lt;=$L8),$J8/$M8*HLOOKUP(V$3,'FX Lookup'!$A$2:$Y$4,3,FALSE),0)</f>
        <v>0</v>
      </c>
      <c r="W8" s="177">
        <f>IF(AND($K8&lt;=W$3,W$3&lt;=$L8),$J8/$M8*HLOOKUP(W$3,'FX Lookup'!$A$2:$Y$4,3,FALSE),0)</f>
        <v>0</v>
      </c>
      <c r="X8" s="177">
        <f>IF(AND($K8&lt;=X$3,X$3&lt;=$L8),$J8/$M8*HLOOKUP(X$3,'FX Lookup'!$A$2:$Y$4,3,FALSE),0)</f>
        <v>0</v>
      </c>
      <c r="Y8" s="177">
        <f>IF(AND($K8&lt;=Y$3,Y$3&lt;=$L8),$J8/$M8*HLOOKUP(Y$3,'FX Lookup'!$A$2:$Y$4,3,FALSE),0)</f>
        <v>0</v>
      </c>
      <c r="Z8" s="178">
        <f t="shared" si="15"/>
        <v>50539.68</v>
      </c>
      <c r="AA8" s="173" t="s">
        <v>2368</v>
      </c>
      <c r="AB8" s="174">
        <f>54000*(1+$AB$2)+10000*3</f>
        <v>89400</v>
      </c>
      <c r="AC8" s="456">
        <v>46174</v>
      </c>
      <c r="AD8" s="456">
        <v>46203</v>
      </c>
      <c r="AE8" s="176">
        <f t="shared" si="1"/>
        <v>1</v>
      </c>
      <c r="AF8" s="177">
        <f>IF(AND($AC8&lt;=AF$3,AF$3&lt;=$AD8),$AB8/$AE8*HLOOKUP(AF$3,'FX Lookup'!$A$2:$Y$4,3,FALSE),0)</f>
        <v>0</v>
      </c>
      <c r="AG8" s="177">
        <f>IF(AND($AC8&lt;=AG$3,AG$3&lt;=$AD8),$AB8/$AE8*HLOOKUP(AG$3,'FX Lookup'!$A$2:$Y$4,3,FALSE),0)</f>
        <v>0</v>
      </c>
      <c r="AH8" s="177">
        <f>IF(AND($AC8&lt;=AH$3,AH$3&lt;=$AD8),$AB8/$AE8*HLOOKUP(AH$3,'FX Lookup'!$A$2:$Y$4,3,FALSE),0)</f>
        <v>0</v>
      </c>
      <c r="AI8" s="177">
        <f>IF(AND($AC8&lt;=AI$3,AI$3&lt;=$AD8),$AB8/$AE8*HLOOKUP(AI$3,'FX Lookup'!$A$2:$Y$4,3,FALSE),0)</f>
        <v>0</v>
      </c>
      <c r="AJ8" s="177">
        <f>IF(AND($AC8&lt;=AJ$3,AJ$3&lt;=$AD8),$AB8/$AE8*HLOOKUP(AJ$3,'FX Lookup'!$A$2:$Y$4,3,FALSE),0)</f>
        <v>0</v>
      </c>
      <c r="AK8" s="177">
        <f>IF(AND($AC8&lt;=AK$3,AK$3&lt;=$AD8),$AB8/$AE8*HLOOKUP(AK$3,'FX Lookup'!$A$2:$Y$4,3,FALSE),0)</f>
        <v>78868.679999999993</v>
      </c>
      <c r="AL8" s="177">
        <f>IF(AND($AC8&lt;=AL$3,AL$3&lt;=$AD8),$AB8/$AE8*HLOOKUP(AL$3,'FX Lookup'!$A$2:$Y$4,3,FALSE),0)</f>
        <v>0</v>
      </c>
      <c r="AM8" s="177">
        <f>IF(AND($AC8&lt;=AM$3,AM$3&lt;=$AD8),$AB8/$AE8*HLOOKUP(AM$3,'FX Lookup'!$A$2:$Y$4,3,FALSE),0)</f>
        <v>0</v>
      </c>
      <c r="AN8" s="177">
        <f>IF(AND($AC8&lt;=AN$3,AN$3&lt;=$AD8),$AB8/$AE8*HLOOKUP(AN$3,'FX Lookup'!$A$2:$Y$4,3,FALSE),0)</f>
        <v>0</v>
      </c>
      <c r="AO8" s="177">
        <f>IF(AND($AC8&lt;=AO$3,AO$3&lt;=$AD8),$AB8/$AE8*HLOOKUP(AO$3,'FX Lookup'!$A$2:$Y$4,3,FALSE),0)</f>
        <v>0</v>
      </c>
      <c r="AP8" s="177">
        <f>IF(AND($AC8&lt;=AP$3,AP$3&lt;=$AD8),$AB8/$AE8*HLOOKUP(AP$3,'FX Lookup'!$A$2:$Y$4,3,FALSE),0)</f>
        <v>0</v>
      </c>
      <c r="AQ8" s="177">
        <f>IF(AND($AC8&lt;=AQ$3,AQ$3&lt;=$AD8),$AB8/$AE8*HLOOKUP(AQ$3,'FX Lookup'!$A$2:$Y$4,3,FALSE),0)</f>
        <v>0</v>
      </c>
      <c r="AR8" s="178">
        <f t="shared" si="16"/>
        <v>78868.679999999993</v>
      </c>
      <c r="AT8" s="177">
        <f t="shared" si="2"/>
        <v>0</v>
      </c>
      <c r="AU8" s="177">
        <f t="shared" si="3"/>
        <v>0</v>
      </c>
      <c r="AV8" s="177">
        <f t="shared" si="4"/>
        <v>0</v>
      </c>
      <c r="AW8" s="177">
        <f t="shared" si="5"/>
        <v>0</v>
      </c>
      <c r="AX8" s="177">
        <f t="shared" si="6"/>
        <v>0</v>
      </c>
      <c r="AY8" s="177">
        <f t="shared" si="7"/>
        <v>82812.114000000001</v>
      </c>
      <c r="AZ8" s="177">
        <f t="shared" si="8"/>
        <v>0</v>
      </c>
      <c r="BA8" s="177">
        <f t="shared" si="9"/>
        <v>0</v>
      </c>
      <c r="BB8" s="177">
        <f t="shared" si="10"/>
        <v>0</v>
      </c>
      <c r="BC8" s="177">
        <f t="shared" si="11"/>
        <v>0</v>
      </c>
      <c r="BD8" s="177">
        <f t="shared" si="12"/>
        <v>0</v>
      </c>
      <c r="BE8" s="177">
        <f t="shared" si="13"/>
        <v>0</v>
      </c>
      <c r="BF8" s="178">
        <f t="shared" si="17"/>
        <v>82812.114000000001</v>
      </c>
    </row>
    <row r="9" spans="1:58" ht="13.5" customHeight="1">
      <c r="A9" s="171">
        <f t="shared" si="14"/>
        <v>4</v>
      </c>
      <c r="B9" s="171" t="s">
        <v>2110</v>
      </c>
      <c r="C9" s="171" t="s">
        <v>2302</v>
      </c>
      <c r="D9" s="171" t="s">
        <v>1544</v>
      </c>
      <c r="E9" s="172" t="s">
        <v>1546</v>
      </c>
      <c r="F9" s="172" t="s">
        <v>2711</v>
      </c>
      <c r="G9" s="77" t="s">
        <v>2613</v>
      </c>
      <c r="H9" s="173" t="s">
        <v>2614</v>
      </c>
      <c r="I9" s="173" t="s">
        <v>2368</v>
      </c>
      <c r="J9" s="184">
        <f>2500*(1+$J$2)*12+4000*(1+$J$2)</f>
        <v>40800</v>
      </c>
      <c r="K9" s="456">
        <v>45658</v>
      </c>
      <c r="L9" s="456">
        <v>46022</v>
      </c>
      <c r="M9" s="176">
        <f t="shared" si="0"/>
        <v>12</v>
      </c>
      <c r="N9" s="177">
        <f>IF(AND($K9&lt;=N$3,N$3&lt;=$L9),$J9/$M9*HLOOKUP(N$3,'FX Lookup'!$A$2:$Y$4,3,FALSE),0)</f>
        <v>3182.1279999999997</v>
      </c>
      <c r="O9" s="177">
        <f>IF(AND($K9&lt;=O$3,O$3&lt;=$L9),$J9/$M9*HLOOKUP(O$3,'FX Lookup'!$A$2:$Y$4,3,FALSE),0)</f>
        <v>3182.1279999999997</v>
      </c>
      <c r="P9" s="177">
        <f>IF(AND($K9&lt;=P$3,P$3&lt;=$L9),$J9/$M9*HLOOKUP(P$3,'FX Lookup'!$A$2:$Y$4,3,FALSE),0)</f>
        <v>3182.1279999999997</v>
      </c>
      <c r="Q9" s="177">
        <f>IF(AND($K9&lt;=Q$3,Q$3&lt;=$L9),$J9/$M9*HLOOKUP(Q$3,'FX Lookup'!$A$2:$Y$4,3,FALSE),0)</f>
        <v>3182.1279999999997</v>
      </c>
      <c r="R9" s="177">
        <f>IF(AND($K9&lt;=R$3,R$3&lt;=$L9),$J9/$M9*HLOOKUP(R$3,'FX Lookup'!$A$2:$Y$4,3,FALSE),0)</f>
        <v>3182.1279999999997</v>
      </c>
      <c r="S9" s="177">
        <f>IF(AND($K9&lt;=S$3,S$3&lt;=$L9),$J9/$M9*HLOOKUP(S$3,'FX Lookup'!$A$2:$Y$4,3,FALSE),0)</f>
        <v>3182.1279999999997</v>
      </c>
      <c r="T9" s="177">
        <f>IF(AND($K9&lt;=T$3,T$3&lt;=$L9),$J9/$M9*HLOOKUP(T$3,'FX Lookup'!$A$2:$Y$4,3,FALSE),0)</f>
        <v>3182.1279999999997</v>
      </c>
      <c r="U9" s="177">
        <f>IF(AND($K9&lt;=U$3,U$3&lt;=$L9),$J9/$M9*HLOOKUP(U$3,'FX Lookup'!$A$2:$Y$4,3,FALSE),0)</f>
        <v>3182.1279999999997</v>
      </c>
      <c r="V9" s="177">
        <f>IF(AND($K9&lt;=V$3,V$3&lt;=$L9),$J9/$M9*HLOOKUP(V$3,'FX Lookup'!$A$2:$Y$4,3,FALSE),0)</f>
        <v>3182.1279999999997</v>
      </c>
      <c r="W9" s="177">
        <f>IF(AND($K9&lt;=W$3,W$3&lt;=$L9),$J9/$M9*HLOOKUP(W$3,'FX Lookup'!$A$2:$Y$4,3,FALSE),0)</f>
        <v>3182.1279999999997</v>
      </c>
      <c r="X9" s="177">
        <f>IF(AND($K9&lt;=X$3,X$3&lt;=$L9),$J9/$M9*HLOOKUP(X$3,'FX Lookup'!$A$2:$Y$4,3,FALSE),0)</f>
        <v>3182.1279999999997</v>
      </c>
      <c r="Y9" s="177">
        <f>IF(AND($K9&lt;=Y$3,Y$3&lt;=$L9),$J9/$M9*HLOOKUP(Y$3,'FX Lookup'!$A$2:$Y$4,3,FALSE),0)</f>
        <v>3182.1279999999997</v>
      </c>
      <c r="Z9" s="178">
        <f t="shared" si="15"/>
        <v>38185.536</v>
      </c>
      <c r="AA9" s="173" t="s">
        <v>2368</v>
      </c>
      <c r="AB9" s="174">
        <f>2500*12</f>
        <v>30000</v>
      </c>
      <c r="AC9" s="456">
        <v>46023</v>
      </c>
      <c r="AD9" s="456">
        <v>46387</v>
      </c>
      <c r="AE9" s="176">
        <f t="shared" si="1"/>
        <v>12</v>
      </c>
      <c r="AF9" s="177">
        <f>IF(AND($AC9&lt;=AF$3,AF$3&lt;=$AD9),$AB9/$AE9*HLOOKUP(AF$3,'FX Lookup'!$A$2:$Y$4,3,FALSE),0)</f>
        <v>2224.9749999999999</v>
      </c>
      <c r="AG9" s="177">
        <f>IF(AND($AC9&lt;=AG$3,AG$3&lt;=$AD9),$AB9/$AE9*HLOOKUP(AG$3,'FX Lookup'!$A$2:$Y$4,3,FALSE),0)</f>
        <v>2205.5</v>
      </c>
      <c r="AH9" s="177">
        <f>IF(AND($AC9&lt;=AH$3,AH$3&lt;=$AD9),$AB9/$AE9*HLOOKUP(AH$3,'FX Lookup'!$A$2:$Y$4,3,FALSE),0)</f>
        <v>2205.5</v>
      </c>
      <c r="AI9" s="177">
        <f>IF(AND($AC9&lt;=AI$3,AI$3&lt;=$AD9),$AB9/$AE9*HLOOKUP(AI$3,'FX Lookup'!$A$2:$Y$4,3,FALSE),0)</f>
        <v>2205.5</v>
      </c>
      <c r="AJ9" s="177">
        <f>IF(AND($AC9&lt;=AJ$3,AJ$3&lt;=$AD9),$AB9/$AE9*HLOOKUP(AJ$3,'FX Lookup'!$A$2:$Y$4,3,FALSE),0)</f>
        <v>2205.5</v>
      </c>
      <c r="AK9" s="177">
        <f>IF(AND($AC9&lt;=AK$3,AK$3&lt;=$AD9),$AB9/$AE9*HLOOKUP(AK$3,'FX Lookup'!$A$2:$Y$4,3,FALSE),0)</f>
        <v>2205.5</v>
      </c>
      <c r="AL9" s="177">
        <f>IF(AND($AC9&lt;=AL$3,AL$3&lt;=$AD9),$AB9/$AE9*HLOOKUP(AL$3,'FX Lookup'!$A$2:$Y$4,3,FALSE),0)</f>
        <v>2205.5</v>
      </c>
      <c r="AM9" s="177">
        <f>IF(AND($AC9&lt;=AM$3,AM$3&lt;=$AD9),$AB9/$AE9*HLOOKUP(AM$3,'FX Lookup'!$A$2:$Y$4,3,FALSE),0)</f>
        <v>2205.5</v>
      </c>
      <c r="AN9" s="177">
        <f>IF(AND($AC9&lt;=AN$3,AN$3&lt;=$AD9),$AB9/$AE9*HLOOKUP(AN$3,'FX Lookup'!$A$2:$Y$4,3,FALSE),0)</f>
        <v>2205.5</v>
      </c>
      <c r="AO9" s="177">
        <f>IF(AND($AC9&lt;=AO$3,AO$3&lt;=$AD9),$AB9/$AE9*HLOOKUP(AO$3,'FX Lookup'!$A$2:$Y$4,3,FALSE),0)</f>
        <v>2205.5</v>
      </c>
      <c r="AP9" s="177">
        <f>IF(AND($AC9&lt;=AP$3,AP$3&lt;=$AD9),$AB9/$AE9*HLOOKUP(AP$3,'FX Lookup'!$A$2:$Y$4,3,FALSE),0)</f>
        <v>2205.5</v>
      </c>
      <c r="AQ9" s="177">
        <f>IF(AND($AC9&lt;=AQ$3,AQ$3&lt;=$AD9),$AB9/$AE9*HLOOKUP(AQ$3,'FX Lookup'!$A$2:$Y$4,3,FALSE),0)</f>
        <v>2205.5</v>
      </c>
      <c r="AR9" s="178">
        <f t="shared" si="16"/>
        <v>26485.474999999999</v>
      </c>
      <c r="AT9" s="177">
        <f t="shared" si="2"/>
        <v>2336.2237500000001</v>
      </c>
      <c r="AU9" s="177">
        <f t="shared" si="3"/>
        <v>2315.7750000000001</v>
      </c>
      <c r="AV9" s="177">
        <f t="shared" si="4"/>
        <v>2315.7750000000001</v>
      </c>
      <c r="AW9" s="177">
        <f t="shared" si="5"/>
        <v>2315.7750000000001</v>
      </c>
      <c r="AX9" s="177">
        <f t="shared" si="6"/>
        <v>2315.7750000000001</v>
      </c>
      <c r="AY9" s="177">
        <f t="shared" si="7"/>
        <v>2315.7750000000001</v>
      </c>
      <c r="AZ9" s="177">
        <f t="shared" si="8"/>
        <v>2315.7750000000001</v>
      </c>
      <c r="BA9" s="177">
        <f t="shared" si="9"/>
        <v>2315.7750000000001</v>
      </c>
      <c r="BB9" s="177">
        <f t="shared" si="10"/>
        <v>2315.7750000000001</v>
      </c>
      <c r="BC9" s="177">
        <f t="shared" si="11"/>
        <v>2315.7750000000001</v>
      </c>
      <c r="BD9" s="177">
        <f t="shared" si="12"/>
        <v>2315.7750000000001</v>
      </c>
      <c r="BE9" s="177">
        <f t="shared" si="13"/>
        <v>2315.7750000000001</v>
      </c>
      <c r="BF9" s="178">
        <f t="shared" si="17"/>
        <v>27809.748750000006</v>
      </c>
    </row>
    <row r="10" spans="1:58" ht="13.5" customHeight="1">
      <c r="A10" s="171">
        <f t="shared" si="14"/>
        <v>5</v>
      </c>
      <c r="B10" s="171" t="s">
        <v>2110</v>
      </c>
      <c r="C10" s="171" t="s">
        <v>2429</v>
      </c>
      <c r="D10" s="171" t="s">
        <v>1871</v>
      </c>
      <c r="E10" s="172" t="s">
        <v>1873</v>
      </c>
      <c r="F10" s="172"/>
      <c r="G10" s="77" t="s">
        <v>2613</v>
      </c>
      <c r="H10" s="173" t="s">
        <v>2614</v>
      </c>
      <c r="I10" s="173" t="s">
        <v>2368</v>
      </c>
      <c r="J10" s="184">
        <f>15310*(1+$J$1)</f>
        <v>16075.5</v>
      </c>
      <c r="K10" s="456">
        <v>45992</v>
      </c>
      <c r="L10" s="456">
        <v>46022</v>
      </c>
      <c r="M10" s="176">
        <f t="shared" si="0"/>
        <v>1</v>
      </c>
      <c r="N10" s="177">
        <f>IF(AND($K10&lt;=N$3,N$3&lt;=$L10),$J10/$M10*HLOOKUP(N$3,'FX Lookup'!$A$2:$Y$4,3,FALSE),0)</f>
        <v>0</v>
      </c>
      <c r="O10" s="177">
        <f>IF(AND($K10&lt;=O$3,O$3&lt;=$L10),$J10/$M10*HLOOKUP(O$3,'FX Lookup'!$A$2:$Y$4,3,FALSE),0)</f>
        <v>0</v>
      </c>
      <c r="P10" s="177">
        <f>IF(AND($K10&lt;=P$3,P$3&lt;=$L10),$J10/$M10*HLOOKUP(P$3,'FX Lookup'!$A$2:$Y$4,3,FALSE),0)</f>
        <v>0</v>
      </c>
      <c r="Q10" s="177">
        <f>IF(AND($K10&lt;=Q$3,Q$3&lt;=$L10),$J10/$M10*HLOOKUP(Q$3,'FX Lookup'!$A$2:$Y$4,3,FALSE),0)</f>
        <v>0</v>
      </c>
      <c r="R10" s="177">
        <f>IF(AND($K10&lt;=R$3,R$3&lt;=$L10),$J10/$M10*HLOOKUP(R$3,'FX Lookup'!$A$2:$Y$4,3,FALSE),0)</f>
        <v>0</v>
      </c>
      <c r="S10" s="177">
        <f>IF(AND($K10&lt;=S$3,S$3&lt;=$L10),$J10/$M10*HLOOKUP(S$3,'FX Lookup'!$A$2:$Y$4,3,FALSE),0)</f>
        <v>0</v>
      </c>
      <c r="T10" s="177">
        <f>IF(AND($K10&lt;=T$3,T$3&lt;=$L10),$J10/$M10*HLOOKUP(T$3,'FX Lookup'!$A$2:$Y$4,3,FALSE),0)</f>
        <v>0</v>
      </c>
      <c r="U10" s="177">
        <f>IF(AND($K10&lt;=U$3,U$3&lt;=$L10),$J10/$M10*HLOOKUP(U$3,'FX Lookup'!$A$2:$Y$4,3,FALSE),0)</f>
        <v>0</v>
      </c>
      <c r="V10" s="177">
        <f>IF(AND($K10&lt;=V$3,V$3&lt;=$L10),$J10/$M10*HLOOKUP(V$3,'FX Lookup'!$A$2:$Y$4,3,FALSE),0)</f>
        <v>0</v>
      </c>
      <c r="W10" s="177">
        <f>IF(AND($K10&lt;=W$3,W$3&lt;=$L10),$J10/$M10*HLOOKUP(W$3,'FX Lookup'!$A$2:$Y$4,3,FALSE),0)</f>
        <v>0</v>
      </c>
      <c r="X10" s="177">
        <f>IF(AND($K10&lt;=X$3,X$3&lt;=$L10),$J10/$M10*HLOOKUP(X$3,'FX Lookup'!$A$2:$Y$4,3,FALSE),0)</f>
        <v>0</v>
      </c>
      <c r="Y10" s="177">
        <f>IF(AND($K10&lt;=Y$3,Y$3&lt;=$L10),$J10/$M10*HLOOKUP(Y$3,'FX Lookup'!$A$2:$Y$4,3,FALSE),0)</f>
        <v>15045.381959999999</v>
      </c>
      <c r="Z10" s="178">
        <f t="shared" si="15"/>
        <v>15045.381959999999</v>
      </c>
      <c r="AA10" s="173" t="s">
        <v>2368</v>
      </c>
      <c r="AB10" s="174">
        <f>15555*(1+$AB$1)+20000*3+15000</f>
        <v>91332.75</v>
      </c>
      <c r="AC10" s="456">
        <v>46023</v>
      </c>
      <c r="AD10" s="456">
        <v>46053</v>
      </c>
      <c r="AE10" s="176">
        <f t="shared" si="1"/>
        <v>1</v>
      </c>
      <c r="AF10" s="177">
        <f>IF(AND($AC10&lt;=AF$3,AF$3&lt;=$AD10),$AB10/$AE10*HLOOKUP(AF$3,'FX Lookup'!$A$2:$Y$4,3,FALSE),0)</f>
        <v>81285.234172500001</v>
      </c>
      <c r="AG10" s="177">
        <f>IF(AND($AC10&lt;=AG$3,AG$3&lt;=$AD10),$AB10/$AE10*HLOOKUP(AG$3,'FX Lookup'!$A$2:$Y$4,3,FALSE),0)</f>
        <v>0</v>
      </c>
      <c r="AH10" s="177">
        <f>IF(AND($AC10&lt;=AH$3,AH$3&lt;=$AD10),$AB10/$AE10*HLOOKUP(AH$3,'FX Lookup'!$A$2:$Y$4,3,FALSE),0)</f>
        <v>0</v>
      </c>
      <c r="AI10" s="177">
        <f>IF(AND($AC10&lt;=AI$3,AI$3&lt;=$AD10),$AB10/$AE10*HLOOKUP(AI$3,'FX Lookup'!$A$2:$Y$4,3,FALSE),0)</f>
        <v>0</v>
      </c>
      <c r="AJ10" s="177">
        <f>IF(AND($AC10&lt;=AJ$3,AJ$3&lt;=$AD10),$AB10/$AE10*HLOOKUP(AJ$3,'FX Lookup'!$A$2:$Y$4,3,FALSE),0)</f>
        <v>0</v>
      </c>
      <c r="AK10" s="177">
        <f>IF(AND($AC10&lt;=AK$3,AK$3&lt;=$AD10),$AB10/$AE10*HLOOKUP(AK$3,'FX Lookup'!$A$2:$Y$4,3,FALSE),0)</f>
        <v>0</v>
      </c>
      <c r="AL10" s="177">
        <f>IF(AND($AC10&lt;=AL$3,AL$3&lt;=$AD10),$AB10/$AE10*HLOOKUP(AL$3,'FX Lookup'!$A$2:$Y$4,3,FALSE),0)</f>
        <v>0</v>
      </c>
      <c r="AM10" s="177">
        <f>IF(AND($AC10&lt;=AM$3,AM$3&lt;=$AD10),$AB10/$AE10*HLOOKUP(AM$3,'FX Lookup'!$A$2:$Y$4,3,FALSE),0)</f>
        <v>0</v>
      </c>
      <c r="AN10" s="177">
        <f>IF(AND($AC10&lt;=AN$3,AN$3&lt;=$AD10),$AB10/$AE10*HLOOKUP(AN$3,'FX Lookup'!$A$2:$Y$4,3,FALSE),0)</f>
        <v>0</v>
      </c>
      <c r="AO10" s="177">
        <f>IF(AND($AC10&lt;=AO$3,AO$3&lt;=$AD10),$AB10/$AE10*HLOOKUP(AO$3,'FX Lookup'!$A$2:$Y$4,3,FALSE),0)</f>
        <v>0</v>
      </c>
      <c r="AP10" s="177">
        <f>IF(AND($AC10&lt;=AP$3,AP$3&lt;=$AD10),$AB10/$AE10*HLOOKUP(AP$3,'FX Lookup'!$A$2:$Y$4,3,FALSE),0)</f>
        <v>0</v>
      </c>
      <c r="AQ10" s="177">
        <f>IF(AND($AC10&lt;=AQ$3,AQ$3&lt;=$AD10),$AB10/$AE10*HLOOKUP(AQ$3,'FX Lookup'!$A$2:$Y$4,3,FALSE),0)</f>
        <v>0</v>
      </c>
      <c r="AR10" s="178">
        <f t="shared" si="16"/>
        <v>81285.234172500001</v>
      </c>
      <c r="AT10" s="177">
        <f t="shared" si="2"/>
        <v>85349.495881125011</v>
      </c>
      <c r="AU10" s="177">
        <f t="shared" si="3"/>
        <v>0</v>
      </c>
      <c r="AV10" s="177">
        <f t="shared" si="4"/>
        <v>0</v>
      </c>
      <c r="AW10" s="177">
        <f t="shared" si="5"/>
        <v>0</v>
      </c>
      <c r="AX10" s="177">
        <f t="shared" si="6"/>
        <v>0</v>
      </c>
      <c r="AY10" s="177">
        <f t="shared" si="7"/>
        <v>0</v>
      </c>
      <c r="AZ10" s="177">
        <f t="shared" si="8"/>
        <v>0</v>
      </c>
      <c r="BA10" s="177">
        <f t="shared" si="9"/>
        <v>0</v>
      </c>
      <c r="BB10" s="177">
        <f t="shared" si="10"/>
        <v>0</v>
      </c>
      <c r="BC10" s="177">
        <f t="shared" si="11"/>
        <v>0</v>
      </c>
      <c r="BD10" s="177">
        <f t="shared" si="12"/>
        <v>0</v>
      </c>
      <c r="BE10" s="177">
        <f t="shared" si="13"/>
        <v>0</v>
      </c>
      <c r="BF10" s="178">
        <f t="shared" si="17"/>
        <v>85349.495881125011</v>
      </c>
    </row>
    <row r="11" spans="1:58" ht="13.5" customHeight="1">
      <c r="A11" s="171">
        <f t="shared" si="14"/>
        <v>6</v>
      </c>
      <c r="B11" s="171" t="s">
        <v>2110</v>
      </c>
      <c r="C11" s="171" t="s">
        <v>2317</v>
      </c>
      <c r="D11" s="171" t="s">
        <v>1519</v>
      </c>
      <c r="E11" s="172" t="s">
        <v>2712</v>
      </c>
      <c r="F11" s="172"/>
      <c r="G11" s="77" t="s">
        <v>2613</v>
      </c>
      <c r="H11" s="173" t="s">
        <v>2614</v>
      </c>
      <c r="I11" s="173" t="s">
        <v>2368</v>
      </c>
      <c r="J11" s="184">
        <v>250000</v>
      </c>
      <c r="K11" s="456">
        <v>45809</v>
      </c>
      <c r="L11" s="456">
        <v>45838</v>
      </c>
      <c r="M11" s="176">
        <f t="shared" si="0"/>
        <v>1</v>
      </c>
      <c r="N11" s="177">
        <f>IF(AND($K11&lt;=N$3,N$3&lt;=$L11),$J11/$M11*HLOOKUP(N$3,'FX Lookup'!$A$2:$Y$4,3,FALSE),0)</f>
        <v>0</v>
      </c>
      <c r="O11" s="177">
        <f>IF(AND($K11&lt;=O$3,O$3&lt;=$L11),$J11/$M11*HLOOKUP(O$3,'FX Lookup'!$A$2:$Y$4,3,FALSE),0)</f>
        <v>0</v>
      </c>
      <c r="P11" s="177">
        <f>IF(AND($K11&lt;=P$3,P$3&lt;=$L11),$J11/$M11*HLOOKUP(P$3,'FX Lookup'!$A$2:$Y$4,3,FALSE),0)</f>
        <v>0</v>
      </c>
      <c r="Q11" s="177">
        <f>IF(AND($K11&lt;=Q$3,Q$3&lt;=$L11),$J11/$M11*HLOOKUP(Q$3,'FX Lookup'!$A$2:$Y$4,3,FALSE),0)</f>
        <v>0</v>
      </c>
      <c r="R11" s="177">
        <f>IF(AND($K11&lt;=R$3,R$3&lt;=$L11),$J11/$M11*HLOOKUP(R$3,'FX Lookup'!$A$2:$Y$4,3,FALSE),0)</f>
        <v>0</v>
      </c>
      <c r="S11" s="177">
        <f>IF(AND($K11&lt;=S$3,S$3&lt;=$L11),$J11/$M11*HLOOKUP(S$3,'FX Lookup'!$A$2:$Y$4,3,FALSE),0)</f>
        <v>233980</v>
      </c>
      <c r="T11" s="177">
        <f>IF(AND($K11&lt;=T$3,T$3&lt;=$L11),$J11/$M11*HLOOKUP(T$3,'FX Lookup'!$A$2:$Y$4,3,FALSE),0)</f>
        <v>0</v>
      </c>
      <c r="U11" s="177">
        <f>IF(AND($K11&lt;=U$3,U$3&lt;=$L11),$J11/$M11*HLOOKUP(U$3,'FX Lookup'!$A$2:$Y$4,3,FALSE),0)</f>
        <v>0</v>
      </c>
      <c r="V11" s="177">
        <f>IF(AND($K11&lt;=V$3,V$3&lt;=$L11),$J11/$M11*HLOOKUP(V$3,'FX Lookup'!$A$2:$Y$4,3,FALSE),0)</f>
        <v>0</v>
      </c>
      <c r="W11" s="177">
        <f>IF(AND($K11&lt;=W$3,W$3&lt;=$L11),$J11/$M11*HLOOKUP(W$3,'FX Lookup'!$A$2:$Y$4,3,FALSE),0)</f>
        <v>0</v>
      </c>
      <c r="X11" s="177">
        <f>IF(AND($K11&lt;=X$3,X$3&lt;=$L11),$J11/$M11*HLOOKUP(X$3,'FX Lookup'!$A$2:$Y$4,3,FALSE),0)</f>
        <v>0</v>
      </c>
      <c r="Y11" s="177">
        <f>IF(AND($K11&lt;=Y$3,Y$3&lt;=$L11),$J11/$M11*HLOOKUP(Y$3,'FX Lookup'!$A$2:$Y$4,3,FALSE),0)</f>
        <v>0</v>
      </c>
      <c r="Z11" s="178">
        <f t="shared" si="15"/>
        <v>233980</v>
      </c>
      <c r="AA11" s="173" t="s">
        <v>2368</v>
      </c>
      <c r="AB11" s="174">
        <f>220000+13000*3</f>
        <v>259000</v>
      </c>
      <c r="AC11" s="456">
        <v>46143</v>
      </c>
      <c r="AD11" s="456">
        <v>46173</v>
      </c>
      <c r="AE11" s="176">
        <f t="shared" si="1"/>
        <v>1</v>
      </c>
      <c r="AF11" s="177">
        <f>IF(AND($AC11&lt;=AF$3,AF$3&lt;=$AD11),$AB11/$AE11*HLOOKUP(AF$3,'FX Lookup'!$A$2:$Y$4,3,FALSE),0)</f>
        <v>0</v>
      </c>
      <c r="AG11" s="177">
        <f>IF(AND($AC11&lt;=AG$3,AG$3&lt;=$AD11),$AB11/$AE11*HLOOKUP(AG$3,'FX Lookup'!$A$2:$Y$4,3,FALSE),0)</f>
        <v>0</v>
      </c>
      <c r="AH11" s="177">
        <f>IF(AND($AC11&lt;=AH$3,AH$3&lt;=$AD11),$AB11/$AE11*HLOOKUP(AH$3,'FX Lookup'!$A$2:$Y$4,3,FALSE),0)</f>
        <v>0</v>
      </c>
      <c r="AI11" s="177">
        <f>IF(AND($AC11&lt;=AI$3,AI$3&lt;=$AD11),$AB11/$AE11*HLOOKUP(AI$3,'FX Lookup'!$A$2:$Y$4,3,FALSE),0)</f>
        <v>0</v>
      </c>
      <c r="AJ11" s="177">
        <f>IF(AND($AC11&lt;=AJ$3,AJ$3&lt;=$AD11),$AB11/$AE11*HLOOKUP(AJ$3,'FX Lookup'!$A$2:$Y$4,3,FALSE),0)</f>
        <v>228489.8</v>
      </c>
      <c r="AK11" s="177">
        <f>IF(AND($AC11&lt;=AK$3,AK$3&lt;=$AD11),$AB11/$AE11*HLOOKUP(AK$3,'FX Lookup'!$A$2:$Y$4,3,FALSE),0)</f>
        <v>0</v>
      </c>
      <c r="AL11" s="177">
        <f>IF(AND($AC11&lt;=AL$3,AL$3&lt;=$AD11),$AB11/$AE11*HLOOKUP(AL$3,'FX Lookup'!$A$2:$Y$4,3,FALSE),0)</f>
        <v>0</v>
      </c>
      <c r="AM11" s="177">
        <f>IF(AND($AC11&lt;=AM$3,AM$3&lt;=$AD11),$AB11/$AE11*HLOOKUP(AM$3,'FX Lookup'!$A$2:$Y$4,3,FALSE),0)</f>
        <v>0</v>
      </c>
      <c r="AN11" s="177">
        <f>IF(AND($AC11&lt;=AN$3,AN$3&lt;=$AD11),$AB11/$AE11*HLOOKUP(AN$3,'FX Lookup'!$A$2:$Y$4,3,FALSE),0)</f>
        <v>0</v>
      </c>
      <c r="AO11" s="177">
        <f>IF(AND($AC11&lt;=AO$3,AO$3&lt;=$AD11),$AB11/$AE11*HLOOKUP(AO$3,'FX Lookup'!$A$2:$Y$4,3,FALSE),0)</f>
        <v>0</v>
      </c>
      <c r="AP11" s="177">
        <f>IF(AND($AC11&lt;=AP$3,AP$3&lt;=$AD11),$AB11/$AE11*HLOOKUP(AP$3,'FX Lookup'!$A$2:$Y$4,3,FALSE),0)</f>
        <v>0</v>
      </c>
      <c r="AQ11" s="177">
        <f>IF(AND($AC11&lt;=AQ$3,AQ$3&lt;=$AD11),$AB11/$AE11*HLOOKUP(AQ$3,'FX Lookup'!$A$2:$Y$4,3,FALSE),0)</f>
        <v>0</v>
      </c>
      <c r="AR11" s="178">
        <f t="shared" si="16"/>
        <v>228489.8</v>
      </c>
      <c r="AT11" s="177">
        <f t="shared" si="2"/>
        <v>0</v>
      </c>
      <c r="AU11" s="177">
        <f t="shared" si="3"/>
        <v>0</v>
      </c>
      <c r="AV11" s="177">
        <f t="shared" si="4"/>
        <v>0</v>
      </c>
      <c r="AW11" s="177">
        <f t="shared" si="5"/>
        <v>0</v>
      </c>
      <c r="AX11" s="177">
        <f t="shared" si="6"/>
        <v>239914.29</v>
      </c>
      <c r="AY11" s="177">
        <f t="shared" si="7"/>
        <v>0</v>
      </c>
      <c r="AZ11" s="177">
        <f t="shared" si="8"/>
        <v>0</v>
      </c>
      <c r="BA11" s="177">
        <f t="shared" si="9"/>
        <v>0</v>
      </c>
      <c r="BB11" s="177">
        <f t="shared" si="10"/>
        <v>0</v>
      </c>
      <c r="BC11" s="177">
        <f t="shared" si="11"/>
        <v>0</v>
      </c>
      <c r="BD11" s="177">
        <f t="shared" si="12"/>
        <v>0</v>
      </c>
      <c r="BE11" s="177">
        <f t="shared" si="13"/>
        <v>0</v>
      </c>
      <c r="BF11" s="178">
        <f t="shared" si="17"/>
        <v>239914.29</v>
      </c>
    </row>
    <row r="12" spans="1:58" ht="13.5" customHeight="1">
      <c r="A12" s="171">
        <f t="shared" si="14"/>
        <v>7</v>
      </c>
      <c r="B12" s="171" t="s">
        <v>2110</v>
      </c>
      <c r="C12" s="171"/>
      <c r="D12" s="171" t="s">
        <v>1564</v>
      </c>
      <c r="E12" s="172" t="s">
        <v>2713</v>
      </c>
      <c r="F12" s="172"/>
      <c r="G12" s="77" t="s">
        <v>2613</v>
      </c>
      <c r="H12" s="173" t="s">
        <v>2614</v>
      </c>
      <c r="I12" s="173" t="s">
        <v>2368</v>
      </c>
      <c r="J12" s="184"/>
      <c r="K12" s="456">
        <v>45658</v>
      </c>
      <c r="L12" s="456">
        <v>46022</v>
      </c>
      <c r="M12" s="176">
        <f t="shared" si="0"/>
        <v>12</v>
      </c>
      <c r="N12" s="177">
        <f>IF(AND($K12&lt;=N$3,N$3&lt;=$L12),$J12/$M12*HLOOKUP(N$3,'FX Lookup'!$A$2:$Y$4,3,FALSE),0)</f>
        <v>0</v>
      </c>
      <c r="O12" s="177">
        <f>IF(AND($K12&lt;=O$3,O$3&lt;=$L12),$J12/$M12*HLOOKUP(O$3,'FX Lookup'!$A$2:$Y$4,3,FALSE),0)</f>
        <v>0</v>
      </c>
      <c r="P12" s="177">
        <f>IF(AND($K12&lt;=P$3,P$3&lt;=$L12),$J12/$M12*HLOOKUP(P$3,'FX Lookup'!$A$2:$Y$4,3,FALSE),0)</f>
        <v>0</v>
      </c>
      <c r="Q12" s="177">
        <f>IF(AND($K12&lt;=Q$3,Q$3&lt;=$L12),$J12/$M12*HLOOKUP(Q$3,'FX Lookup'!$A$2:$Y$4,3,FALSE),0)</f>
        <v>0</v>
      </c>
      <c r="R12" s="177">
        <f>IF(AND($K12&lt;=R$3,R$3&lt;=$L12),$J12/$M12*HLOOKUP(R$3,'FX Lookup'!$A$2:$Y$4,3,FALSE),0)</f>
        <v>0</v>
      </c>
      <c r="S12" s="177">
        <f>IF(AND($K12&lt;=S$3,S$3&lt;=$L12),$J12/$M12*HLOOKUP(S$3,'FX Lookup'!$A$2:$Y$4,3,FALSE),0)</f>
        <v>0</v>
      </c>
      <c r="T12" s="177">
        <f>IF(AND($K12&lt;=T$3,T$3&lt;=$L12),$J12/$M12*HLOOKUP(T$3,'FX Lookup'!$A$2:$Y$4,3,FALSE),0)</f>
        <v>0</v>
      </c>
      <c r="U12" s="177">
        <f>IF(AND($K12&lt;=U$3,U$3&lt;=$L12),$J12/$M12*HLOOKUP(U$3,'FX Lookup'!$A$2:$Y$4,3,FALSE),0)</f>
        <v>0</v>
      </c>
      <c r="V12" s="177">
        <f>IF(AND($K12&lt;=V$3,V$3&lt;=$L12),$J12/$M12*HLOOKUP(V$3,'FX Lookup'!$A$2:$Y$4,3,FALSE),0)</f>
        <v>0</v>
      </c>
      <c r="W12" s="177">
        <f>IF(AND($K12&lt;=W$3,W$3&lt;=$L12),$J12/$M12*HLOOKUP(W$3,'FX Lookup'!$A$2:$Y$4,3,FALSE),0)</f>
        <v>0</v>
      </c>
      <c r="X12" s="177">
        <f>IF(AND($K12&lt;=X$3,X$3&lt;=$L12),$J12/$M12*HLOOKUP(X$3,'FX Lookup'!$A$2:$Y$4,3,FALSE),0)</f>
        <v>0</v>
      </c>
      <c r="Y12" s="177">
        <f>IF(AND($K12&lt;=Y$3,Y$3&lt;=$L12),$J12/$M12*HLOOKUP(Y$3,'FX Lookup'!$A$2:$Y$4,3,FALSE),0)</f>
        <v>0</v>
      </c>
      <c r="Z12" s="178">
        <f t="shared" si="15"/>
        <v>0</v>
      </c>
      <c r="AA12" s="173" t="s">
        <v>2368</v>
      </c>
      <c r="AB12" s="184"/>
      <c r="AC12" s="456">
        <v>46023</v>
      </c>
      <c r="AD12" s="456">
        <v>46387</v>
      </c>
      <c r="AE12" s="176">
        <f t="shared" si="1"/>
        <v>12</v>
      </c>
      <c r="AF12" s="177">
        <f>IF(AND($AC12&lt;=AF$3,AF$3&lt;=$AD12),$AB12/$AE12*HLOOKUP(AF$3,'FX Lookup'!$A$2:$Y$4,3,FALSE),0)</f>
        <v>0</v>
      </c>
      <c r="AG12" s="177">
        <f>IF(AND($AC12&lt;=AG$3,AG$3&lt;=$AD12),$AB12/$AE12*HLOOKUP(AG$3,'FX Lookup'!$A$2:$Y$4,3,FALSE),0)</f>
        <v>0</v>
      </c>
      <c r="AH12" s="177">
        <f>IF(AND($AC12&lt;=AH$3,AH$3&lt;=$AD12),$AB12/$AE12*HLOOKUP(AH$3,'FX Lookup'!$A$2:$Y$4,3,FALSE),0)</f>
        <v>0</v>
      </c>
      <c r="AI12" s="177">
        <f>IF(AND($AC12&lt;=AI$3,AI$3&lt;=$AD12),$AB12/$AE12*HLOOKUP(AI$3,'FX Lookup'!$A$2:$Y$4,3,FALSE),0)</f>
        <v>0</v>
      </c>
      <c r="AJ12" s="177">
        <f>IF(AND($AC12&lt;=AJ$3,AJ$3&lt;=$AD12),$AB12/$AE12*HLOOKUP(AJ$3,'FX Lookup'!$A$2:$Y$4,3,FALSE),0)</f>
        <v>0</v>
      </c>
      <c r="AK12" s="177">
        <f>IF(AND($AC12&lt;=AK$3,AK$3&lt;=$AD12),$AB12/$AE12*HLOOKUP(AK$3,'FX Lookup'!$A$2:$Y$4,3,FALSE),0)</f>
        <v>0</v>
      </c>
      <c r="AL12" s="177">
        <f>IF(AND($AC12&lt;=AL$3,AL$3&lt;=$AD12),$AB12/$AE12*HLOOKUP(AL$3,'FX Lookup'!$A$2:$Y$4,3,FALSE),0)</f>
        <v>0</v>
      </c>
      <c r="AM12" s="177">
        <f>IF(AND($AC12&lt;=AM$3,AM$3&lt;=$AD12),$AB12/$AE12*HLOOKUP(AM$3,'FX Lookup'!$A$2:$Y$4,3,FALSE),0)</f>
        <v>0</v>
      </c>
      <c r="AN12" s="177">
        <f>IF(AND($AC12&lt;=AN$3,AN$3&lt;=$AD12),$AB12/$AE12*HLOOKUP(AN$3,'FX Lookup'!$A$2:$Y$4,3,FALSE),0)</f>
        <v>0</v>
      </c>
      <c r="AO12" s="177">
        <f>IF(AND($AC12&lt;=AO$3,AO$3&lt;=$AD12),$AB12/$AE12*HLOOKUP(AO$3,'FX Lookup'!$A$2:$Y$4,3,FALSE),0)</f>
        <v>0</v>
      </c>
      <c r="AP12" s="177">
        <f>IF(AND($AC12&lt;=AP$3,AP$3&lt;=$AD12),$AB12/$AE12*HLOOKUP(AP$3,'FX Lookup'!$A$2:$Y$4,3,FALSE),0)</f>
        <v>0</v>
      </c>
      <c r="AQ12" s="177">
        <f>IF(AND($AC12&lt;=AQ$3,AQ$3&lt;=$AD12),$AB12/$AE12*HLOOKUP(AQ$3,'FX Lookup'!$A$2:$Y$4,3,FALSE),0)</f>
        <v>0</v>
      </c>
      <c r="AR12" s="178">
        <f t="shared" si="16"/>
        <v>0</v>
      </c>
      <c r="AT12" s="177">
        <f t="shared" si="2"/>
        <v>0</v>
      </c>
      <c r="AU12" s="177">
        <f t="shared" si="3"/>
        <v>0</v>
      </c>
      <c r="AV12" s="177">
        <f t="shared" si="4"/>
        <v>0</v>
      </c>
      <c r="AW12" s="177">
        <f t="shared" si="5"/>
        <v>0</v>
      </c>
      <c r="AX12" s="177">
        <f t="shared" si="6"/>
        <v>0</v>
      </c>
      <c r="AY12" s="177">
        <f t="shared" si="7"/>
        <v>0</v>
      </c>
      <c r="AZ12" s="177">
        <f t="shared" si="8"/>
        <v>0</v>
      </c>
      <c r="BA12" s="177">
        <f t="shared" si="9"/>
        <v>0</v>
      </c>
      <c r="BB12" s="177">
        <f t="shared" si="10"/>
        <v>0</v>
      </c>
      <c r="BC12" s="177">
        <f t="shared" si="11"/>
        <v>0</v>
      </c>
      <c r="BD12" s="177">
        <f t="shared" si="12"/>
        <v>0</v>
      </c>
      <c r="BE12" s="177">
        <f t="shared" si="13"/>
        <v>0</v>
      </c>
      <c r="BF12" s="178">
        <f t="shared" si="17"/>
        <v>0</v>
      </c>
    </row>
    <row r="13" spans="1:58" ht="13.5" customHeight="1">
      <c r="A13" s="171">
        <f t="shared" si="14"/>
        <v>8</v>
      </c>
      <c r="B13" s="171" t="s">
        <v>2110</v>
      </c>
      <c r="C13" s="171"/>
      <c r="D13" s="171" t="s">
        <v>1883</v>
      </c>
      <c r="E13" s="172" t="s">
        <v>1887</v>
      </c>
      <c r="F13" s="172"/>
      <c r="G13" s="77" t="s">
        <v>2613</v>
      </c>
      <c r="H13" s="173" t="s">
        <v>2614</v>
      </c>
      <c r="I13" s="173" t="s">
        <v>2368</v>
      </c>
      <c r="J13" s="184"/>
      <c r="K13" s="456">
        <v>45658</v>
      </c>
      <c r="L13" s="456">
        <v>46022</v>
      </c>
      <c r="M13" s="176">
        <f t="shared" si="0"/>
        <v>12</v>
      </c>
      <c r="N13" s="177">
        <f>IF(AND($K13&lt;=N$3,N$3&lt;=$L13),$J13/$M13*HLOOKUP(N$3,'FX Lookup'!$A$2:$Y$4,3,FALSE),0)</f>
        <v>0</v>
      </c>
      <c r="O13" s="177">
        <f>IF(AND($K13&lt;=O$3,O$3&lt;=$L13),$J13/$M13*HLOOKUP(O$3,'FX Lookup'!$A$2:$Y$4,3,FALSE),0)</f>
        <v>0</v>
      </c>
      <c r="P13" s="177">
        <f>IF(AND($K13&lt;=P$3,P$3&lt;=$L13),$J13/$M13*HLOOKUP(P$3,'FX Lookup'!$A$2:$Y$4,3,FALSE),0)</f>
        <v>0</v>
      </c>
      <c r="Q13" s="177">
        <f>IF(AND($K13&lt;=Q$3,Q$3&lt;=$L13),$J13/$M13*HLOOKUP(Q$3,'FX Lookup'!$A$2:$Y$4,3,FALSE),0)</f>
        <v>0</v>
      </c>
      <c r="R13" s="177">
        <f>IF(AND($K13&lt;=R$3,R$3&lt;=$L13),$J13/$M13*HLOOKUP(R$3,'FX Lookup'!$A$2:$Y$4,3,FALSE),0)</f>
        <v>0</v>
      </c>
      <c r="S13" s="177">
        <f>IF(AND($K13&lt;=S$3,S$3&lt;=$L13),$J13/$M13*HLOOKUP(S$3,'FX Lookup'!$A$2:$Y$4,3,FALSE),0)</f>
        <v>0</v>
      </c>
      <c r="T13" s="177">
        <f>IF(AND($K13&lt;=T$3,T$3&lt;=$L13),$J13/$M13*HLOOKUP(T$3,'FX Lookup'!$A$2:$Y$4,3,FALSE),0)</f>
        <v>0</v>
      </c>
      <c r="U13" s="177">
        <f>IF(AND($K13&lt;=U$3,U$3&lt;=$L13),$J13/$M13*HLOOKUP(U$3,'FX Lookup'!$A$2:$Y$4,3,FALSE),0)</f>
        <v>0</v>
      </c>
      <c r="V13" s="177">
        <f>IF(AND($K13&lt;=V$3,V$3&lt;=$L13),$J13/$M13*HLOOKUP(V$3,'FX Lookup'!$A$2:$Y$4,3,FALSE),0)</f>
        <v>0</v>
      </c>
      <c r="W13" s="177">
        <f>IF(AND($K13&lt;=W$3,W$3&lt;=$L13),$J13/$M13*HLOOKUP(W$3,'FX Lookup'!$A$2:$Y$4,3,FALSE),0)</f>
        <v>0</v>
      </c>
      <c r="X13" s="177">
        <f>IF(AND($K13&lt;=X$3,X$3&lt;=$L13),$J13/$M13*HLOOKUP(X$3,'FX Lookup'!$A$2:$Y$4,3,FALSE),0)</f>
        <v>0</v>
      </c>
      <c r="Y13" s="177">
        <f>IF(AND($K13&lt;=Y$3,Y$3&lt;=$L13),$J13/$M13*HLOOKUP(Y$3,'FX Lookup'!$A$2:$Y$4,3,FALSE),0)</f>
        <v>0</v>
      </c>
      <c r="Z13" s="178">
        <f t="shared" si="15"/>
        <v>0</v>
      </c>
      <c r="AA13" s="173" t="s">
        <v>2368</v>
      </c>
      <c r="AB13" s="184"/>
      <c r="AC13" s="456">
        <v>46023</v>
      </c>
      <c r="AD13" s="456">
        <v>46387</v>
      </c>
      <c r="AE13" s="176">
        <f t="shared" si="1"/>
        <v>12</v>
      </c>
      <c r="AF13" s="177">
        <f>IF(AND($AC13&lt;=AF$3,AF$3&lt;=$AD13),$AB13/$AE13*HLOOKUP(AF$3,'FX Lookup'!$A$2:$Y$4,3,FALSE),0)</f>
        <v>0</v>
      </c>
      <c r="AG13" s="177">
        <f>IF(AND($AC13&lt;=AG$3,AG$3&lt;=$AD13),$AB13/$AE13*HLOOKUP(AG$3,'FX Lookup'!$A$2:$Y$4,3,FALSE),0)</f>
        <v>0</v>
      </c>
      <c r="AH13" s="177">
        <f>IF(AND($AC13&lt;=AH$3,AH$3&lt;=$AD13),$AB13/$AE13*HLOOKUP(AH$3,'FX Lookup'!$A$2:$Y$4,3,FALSE),0)</f>
        <v>0</v>
      </c>
      <c r="AI13" s="177">
        <f>IF(AND($AC13&lt;=AI$3,AI$3&lt;=$AD13),$AB13/$AE13*HLOOKUP(AI$3,'FX Lookup'!$A$2:$Y$4,3,FALSE),0)</f>
        <v>0</v>
      </c>
      <c r="AJ13" s="177">
        <f>IF(AND($AC13&lt;=AJ$3,AJ$3&lt;=$AD13),$AB13/$AE13*HLOOKUP(AJ$3,'FX Lookup'!$A$2:$Y$4,3,FALSE),0)</f>
        <v>0</v>
      </c>
      <c r="AK13" s="177">
        <f>IF(AND($AC13&lt;=AK$3,AK$3&lt;=$AD13),$AB13/$AE13*HLOOKUP(AK$3,'FX Lookup'!$A$2:$Y$4,3,FALSE),0)</f>
        <v>0</v>
      </c>
      <c r="AL13" s="177">
        <f>IF(AND($AC13&lt;=AL$3,AL$3&lt;=$AD13),$AB13/$AE13*HLOOKUP(AL$3,'FX Lookup'!$A$2:$Y$4,3,FALSE),0)</f>
        <v>0</v>
      </c>
      <c r="AM13" s="177">
        <f>IF(AND($AC13&lt;=AM$3,AM$3&lt;=$AD13),$AB13/$AE13*HLOOKUP(AM$3,'FX Lookup'!$A$2:$Y$4,3,FALSE),0)</f>
        <v>0</v>
      </c>
      <c r="AN13" s="177">
        <f>IF(AND($AC13&lt;=AN$3,AN$3&lt;=$AD13),$AB13/$AE13*HLOOKUP(AN$3,'FX Lookup'!$A$2:$Y$4,3,FALSE),0)</f>
        <v>0</v>
      </c>
      <c r="AO13" s="177">
        <f>IF(AND($AC13&lt;=AO$3,AO$3&lt;=$AD13),$AB13/$AE13*HLOOKUP(AO$3,'FX Lookup'!$A$2:$Y$4,3,FALSE),0)</f>
        <v>0</v>
      </c>
      <c r="AP13" s="177">
        <f>IF(AND($AC13&lt;=AP$3,AP$3&lt;=$AD13),$AB13/$AE13*HLOOKUP(AP$3,'FX Lookup'!$A$2:$Y$4,3,FALSE),0)</f>
        <v>0</v>
      </c>
      <c r="AQ13" s="177">
        <f>IF(AND($AC13&lt;=AQ$3,AQ$3&lt;=$AD13),$AB13/$AE13*HLOOKUP(AQ$3,'FX Lookup'!$A$2:$Y$4,3,FALSE),0)</f>
        <v>0</v>
      </c>
      <c r="AR13" s="178">
        <f t="shared" si="16"/>
        <v>0</v>
      </c>
      <c r="AT13" s="177">
        <f t="shared" si="2"/>
        <v>0</v>
      </c>
      <c r="AU13" s="177">
        <f t="shared" si="3"/>
        <v>0</v>
      </c>
      <c r="AV13" s="177">
        <f t="shared" si="4"/>
        <v>0</v>
      </c>
      <c r="AW13" s="177">
        <f t="shared" si="5"/>
        <v>0</v>
      </c>
      <c r="AX13" s="177">
        <f t="shared" si="6"/>
        <v>0</v>
      </c>
      <c r="AY13" s="177">
        <f t="shared" si="7"/>
        <v>0</v>
      </c>
      <c r="AZ13" s="177">
        <f t="shared" si="8"/>
        <v>0</v>
      </c>
      <c r="BA13" s="177">
        <f t="shared" si="9"/>
        <v>0</v>
      </c>
      <c r="BB13" s="177">
        <f t="shared" si="10"/>
        <v>0</v>
      </c>
      <c r="BC13" s="177">
        <f t="shared" si="11"/>
        <v>0</v>
      </c>
      <c r="BD13" s="177">
        <f t="shared" si="12"/>
        <v>0</v>
      </c>
      <c r="BE13" s="177">
        <f t="shared" si="13"/>
        <v>0</v>
      </c>
      <c r="BF13" s="178">
        <f t="shared" si="17"/>
        <v>0</v>
      </c>
    </row>
    <row r="14" spans="1:58" ht="13.5" customHeight="1">
      <c r="A14" s="171">
        <f t="shared" ref="A14:A22" si="18">IF(A13&lt;=0,FALSE,A13+1)</f>
        <v>9</v>
      </c>
      <c r="B14" s="171" t="s">
        <v>2110</v>
      </c>
      <c r="C14" s="171"/>
      <c r="D14" s="171" t="s">
        <v>1534</v>
      </c>
      <c r="E14" s="172" t="s">
        <v>1536</v>
      </c>
      <c r="F14" s="172"/>
      <c r="G14" s="77" t="s">
        <v>2613</v>
      </c>
      <c r="H14" s="173" t="s">
        <v>2614</v>
      </c>
      <c r="I14" s="173" t="s">
        <v>2368</v>
      </c>
      <c r="J14" s="184"/>
      <c r="K14" s="456">
        <v>45658</v>
      </c>
      <c r="L14" s="456">
        <v>46022</v>
      </c>
      <c r="M14" s="176">
        <f t="shared" si="0"/>
        <v>12</v>
      </c>
      <c r="N14" s="177">
        <f>IF(AND($K14&lt;=N$3,N$3&lt;=$L14),$J14/$M14*HLOOKUP(N$3,'FX Lookup'!$A$2:$Y$4,3,FALSE),0)</f>
        <v>0</v>
      </c>
      <c r="O14" s="177">
        <f>IF(AND($K14&lt;=O$3,O$3&lt;=$L14),$J14/$M14*HLOOKUP(O$3,'FX Lookup'!$A$2:$Y$4,3,FALSE),0)</f>
        <v>0</v>
      </c>
      <c r="P14" s="177">
        <f>IF(AND($K14&lt;=P$3,P$3&lt;=$L14),$J14/$M14*HLOOKUP(P$3,'FX Lookup'!$A$2:$Y$4,3,FALSE),0)</f>
        <v>0</v>
      </c>
      <c r="Q14" s="177">
        <f>IF(AND($K14&lt;=Q$3,Q$3&lt;=$L14),$J14/$M14*HLOOKUP(Q$3,'FX Lookup'!$A$2:$Y$4,3,FALSE),0)</f>
        <v>0</v>
      </c>
      <c r="R14" s="177">
        <f>IF(AND($K14&lt;=R$3,R$3&lt;=$L14),$J14/$M14*HLOOKUP(R$3,'FX Lookup'!$A$2:$Y$4,3,FALSE),0)</f>
        <v>0</v>
      </c>
      <c r="S14" s="177">
        <f>IF(AND($K14&lt;=S$3,S$3&lt;=$L14),$J14/$M14*HLOOKUP(S$3,'FX Lookup'!$A$2:$Y$4,3,FALSE),0)</f>
        <v>0</v>
      </c>
      <c r="T14" s="177">
        <f>IF(AND($K14&lt;=T$3,T$3&lt;=$L14),$J14/$M14*HLOOKUP(T$3,'FX Lookup'!$A$2:$Y$4,3,FALSE),0)</f>
        <v>0</v>
      </c>
      <c r="U14" s="177">
        <f>IF(AND($K14&lt;=U$3,U$3&lt;=$L14),$J14/$M14*HLOOKUP(U$3,'FX Lookup'!$A$2:$Y$4,3,FALSE),0)</f>
        <v>0</v>
      </c>
      <c r="V14" s="177">
        <f>IF(AND($K14&lt;=V$3,V$3&lt;=$L14),$J14/$M14*HLOOKUP(V$3,'FX Lookup'!$A$2:$Y$4,3,FALSE),0)</f>
        <v>0</v>
      </c>
      <c r="W14" s="177">
        <f>IF(AND($K14&lt;=W$3,W$3&lt;=$L14),$J14/$M14*HLOOKUP(W$3,'FX Lookup'!$A$2:$Y$4,3,FALSE),0)</f>
        <v>0</v>
      </c>
      <c r="X14" s="177">
        <f>IF(AND($K14&lt;=X$3,X$3&lt;=$L14),$J14/$M14*HLOOKUP(X$3,'FX Lookup'!$A$2:$Y$4,3,FALSE),0)</f>
        <v>0</v>
      </c>
      <c r="Y14" s="177">
        <f>IF(AND($K14&lt;=Y$3,Y$3&lt;=$L14),$J14/$M14*HLOOKUP(Y$3,'FX Lookup'!$A$2:$Y$4,3,FALSE),0)</f>
        <v>0</v>
      </c>
      <c r="Z14" s="178">
        <f t="shared" si="15"/>
        <v>0</v>
      </c>
      <c r="AA14" s="173" t="s">
        <v>2368</v>
      </c>
      <c r="AB14" s="184"/>
      <c r="AC14" s="456">
        <v>46023</v>
      </c>
      <c r="AD14" s="456">
        <v>46387</v>
      </c>
      <c r="AE14" s="176">
        <f t="shared" si="1"/>
        <v>12</v>
      </c>
      <c r="AF14" s="177">
        <f>IF(AND($AC14&lt;=AF$3,AF$3&lt;=$AD14),$AB14/$AE14*HLOOKUP(AF$3,'FX Lookup'!$A$2:$Y$4,3,FALSE),0)</f>
        <v>0</v>
      </c>
      <c r="AG14" s="177">
        <f>IF(AND($AC14&lt;=AG$3,AG$3&lt;=$AD14),$AB14/$AE14*HLOOKUP(AG$3,'FX Lookup'!$A$2:$Y$4,3,FALSE),0)</f>
        <v>0</v>
      </c>
      <c r="AH14" s="177">
        <f>IF(AND($AC14&lt;=AH$3,AH$3&lt;=$AD14),$AB14/$AE14*HLOOKUP(AH$3,'FX Lookup'!$A$2:$Y$4,3,FALSE),0)</f>
        <v>0</v>
      </c>
      <c r="AI14" s="177">
        <f>IF(AND($AC14&lt;=AI$3,AI$3&lt;=$AD14),$AB14/$AE14*HLOOKUP(AI$3,'FX Lookup'!$A$2:$Y$4,3,FALSE),0)</f>
        <v>0</v>
      </c>
      <c r="AJ14" s="177">
        <f>IF(AND($AC14&lt;=AJ$3,AJ$3&lt;=$AD14),$AB14/$AE14*HLOOKUP(AJ$3,'FX Lookup'!$A$2:$Y$4,3,FALSE),0)</f>
        <v>0</v>
      </c>
      <c r="AK14" s="177">
        <f>IF(AND($AC14&lt;=AK$3,AK$3&lt;=$AD14),$AB14/$AE14*HLOOKUP(AK$3,'FX Lookup'!$A$2:$Y$4,3,FALSE),0)</f>
        <v>0</v>
      </c>
      <c r="AL14" s="177">
        <f>IF(AND($AC14&lt;=AL$3,AL$3&lt;=$AD14),$AB14/$AE14*HLOOKUP(AL$3,'FX Lookup'!$A$2:$Y$4,3,FALSE),0)</f>
        <v>0</v>
      </c>
      <c r="AM14" s="177">
        <f>IF(AND($AC14&lt;=AM$3,AM$3&lt;=$AD14),$AB14/$AE14*HLOOKUP(AM$3,'FX Lookup'!$A$2:$Y$4,3,FALSE),0)</f>
        <v>0</v>
      </c>
      <c r="AN14" s="177">
        <f>IF(AND($AC14&lt;=AN$3,AN$3&lt;=$AD14),$AB14/$AE14*HLOOKUP(AN$3,'FX Lookup'!$A$2:$Y$4,3,FALSE),0)</f>
        <v>0</v>
      </c>
      <c r="AO14" s="177">
        <f>IF(AND($AC14&lt;=AO$3,AO$3&lt;=$AD14),$AB14/$AE14*HLOOKUP(AO$3,'FX Lookup'!$A$2:$Y$4,3,FALSE),0)</f>
        <v>0</v>
      </c>
      <c r="AP14" s="177">
        <f>IF(AND($AC14&lt;=AP$3,AP$3&lt;=$AD14),$AB14/$AE14*HLOOKUP(AP$3,'FX Lookup'!$A$2:$Y$4,3,FALSE),0)</f>
        <v>0</v>
      </c>
      <c r="AQ14" s="177">
        <f>IF(AND($AC14&lt;=AQ$3,AQ$3&lt;=$AD14),$AB14/$AE14*HLOOKUP(AQ$3,'FX Lookup'!$A$2:$Y$4,3,FALSE),0)</f>
        <v>0</v>
      </c>
      <c r="AR14" s="178">
        <f t="shared" si="16"/>
        <v>0</v>
      </c>
      <c r="AT14" s="177">
        <f t="shared" si="2"/>
        <v>0</v>
      </c>
      <c r="AU14" s="177">
        <f t="shared" si="3"/>
        <v>0</v>
      </c>
      <c r="AV14" s="177">
        <f t="shared" si="4"/>
        <v>0</v>
      </c>
      <c r="AW14" s="177">
        <f t="shared" si="5"/>
        <v>0</v>
      </c>
      <c r="AX14" s="177">
        <f t="shared" si="6"/>
        <v>0</v>
      </c>
      <c r="AY14" s="177">
        <f t="shared" si="7"/>
        <v>0</v>
      </c>
      <c r="AZ14" s="177">
        <f t="shared" si="8"/>
        <v>0</v>
      </c>
      <c r="BA14" s="177">
        <f t="shared" si="9"/>
        <v>0</v>
      </c>
      <c r="BB14" s="177">
        <f t="shared" si="10"/>
        <v>0</v>
      </c>
      <c r="BC14" s="177">
        <f t="shared" si="11"/>
        <v>0</v>
      </c>
      <c r="BD14" s="177">
        <f t="shared" si="12"/>
        <v>0</v>
      </c>
      <c r="BE14" s="177">
        <f t="shared" si="13"/>
        <v>0</v>
      </c>
      <c r="BF14" s="178">
        <f t="shared" si="17"/>
        <v>0</v>
      </c>
    </row>
    <row r="15" spans="1:58" ht="13.5" customHeight="1">
      <c r="A15" s="171">
        <f t="shared" si="18"/>
        <v>10</v>
      </c>
      <c r="B15" s="171" t="s">
        <v>2110</v>
      </c>
      <c r="C15" s="171" t="s">
        <v>2714</v>
      </c>
      <c r="D15" s="171" t="s">
        <v>1667</v>
      </c>
      <c r="E15" s="172" t="s">
        <v>1666</v>
      </c>
      <c r="F15" s="172" t="s">
        <v>2715</v>
      </c>
      <c r="G15" s="77" t="s">
        <v>2613</v>
      </c>
      <c r="H15" s="173" t="s">
        <v>2614</v>
      </c>
      <c r="I15" s="173" t="s">
        <v>2368</v>
      </c>
      <c r="J15" s="184">
        <f>88149*(1+$J$2)</f>
        <v>105778.8</v>
      </c>
      <c r="K15" s="456">
        <v>45748</v>
      </c>
      <c r="L15" s="456">
        <v>45777</v>
      </c>
      <c r="M15" s="176">
        <f t="shared" si="0"/>
        <v>1</v>
      </c>
      <c r="N15" s="177">
        <f>IF(AND($K15&lt;=N$3,N$3&lt;=$L15),$J15/$M15*HLOOKUP(N$3,'FX Lookup'!$A$2:$Y$4,3,FALSE),0)</f>
        <v>0</v>
      </c>
      <c r="O15" s="177">
        <f>IF(AND($K15&lt;=O$3,O$3&lt;=$L15),$J15/$M15*HLOOKUP(O$3,'FX Lookup'!$A$2:$Y$4,3,FALSE),0)</f>
        <v>0</v>
      </c>
      <c r="P15" s="177">
        <f>IF(AND($K15&lt;=P$3,P$3&lt;=$L15),$J15/$M15*HLOOKUP(P$3,'FX Lookup'!$A$2:$Y$4,3,FALSE),0)</f>
        <v>0</v>
      </c>
      <c r="Q15" s="177">
        <f>IF(AND($K15&lt;=Q$3,Q$3&lt;=$L15),$J15/$M15*HLOOKUP(Q$3,'FX Lookup'!$A$2:$Y$4,3,FALSE),0)</f>
        <v>99000.494495999999</v>
      </c>
      <c r="R15" s="177">
        <f>IF(AND($K15&lt;=R$3,R$3&lt;=$L15),$J15/$M15*HLOOKUP(R$3,'FX Lookup'!$A$2:$Y$4,3,FALSE),0)</f>
        <v>0</v>
      </c>
      <c r="S15" s="177">
        <f>IF(AND($K15&lt;=S$3,S$3&lt;=$L15),$J15/$M15*HLOOKUP(S$3,'FX Lookup'!$A$2:$Y$4,3,FALSE),0)</f>
        <v>0</v>
      </c>
      <c r="T15" s="177">
        <f>IF(AND($K15&lt;=T$3,T$3&lt;=$L15),$J15/$M15*HLOOKUP(T$3,'FX Lookup'!$A$2:$Y$4,3,FALSE),0)</f>
        <v>0</v>
      </c>
      <c r="U15" s="177">
        <f>IF(AND($K15&lt;=U$3,U$3&lt;=$L15),$J15/$M15*HLOOKUP(U$3,'FX Lookup'!$A$2:$Y$4,3,FALSE),0)</f>
        <v>0</v>
      </c>
      <c r="V15" s="177">
        <f>IF(AND($K15&lt;=V$3,V$3&lt;=$L15),$J15/$M15*HLOOKUP(V$3,'FX Lookup'!$A$2:$Y$4,3,FALSE),0)</f>
        <v>0</v>
      </c>
      <c r="W15" s="177">
        <f>IF(AND($K15&lt;=W$3,W$3&lt;=$L15),$J15/$M15*HLOOKUP(W$3,'FX Lookup'!$A$2:$Y$4,3,FALSE),0)</f>
        <v>0</v>
      </c>
      <c r="X15" s="177">
        <f>IF(AND($K15&lt;=X$3,X$3&lt;=$L15),$J15/$M15*HLOOKUP(X$3,'FX Lookup'!$A$2:$Y$4,3,FALSE),0)</f>
        <v>0</v>
      </c>
      <c r="Y15" s="177">
        <f>IF(AND($K15&lt;=Y$3,Y$3&lt;=$L15),$J15/$M15*HLOOKUP(Y$3,'FX Lookup'!$A$2:$Y$4,3,FALSE),0)</f>
        <v>0</v>
      </c>
      <c r="Z15" s="178">
        <f t="shared" si="15"/>
        <v>99000.494495999999</v>
      </c>
      <c r="AA15" s="173" t="s">
        <v>2368</v>
      </c>
      <c r="AB15" s="174">
        <f>116000*(1+$AB$2)</f>
        <v>127600</v>
      </c>
      <c r="AC15" s="456">
        <v>46023</v>
      </c>
      <c r="AD15" s="456">
        <v>46387</v>
      </c>
      <c r="AE15" s="176">
        <f t="shared" si="1"/>
        <v>12</v>
      </c>
      <c r="AF15" s="177">
        <f>IF(AND($AC15&lt;=AF$3,AF$3&lt;=$AD15),$AB15/$AE15*HLOOKUP(AF$3,'FX Lookup'!$A$2:$Y$4,3,FALSE),0)</f>
        <v>9463.5603333333329</v>
      </c>
      <c r="AG15" s="177">
        <f>IF(AND($AC15&lt;=AG$3,AG$3&lt;=$AD15),$AB15/$AE15*HLOOKUP(AG$3,'FX Lookup'!$A$2:$Y$4,3,FALSE),0)</f>
        <v>9380.7266666666674</v>
      </c>
      <c r="AH15" s="177">
        <f>IF(AND($AC15&lt;=AH$3,AH$3&lt;=$AD15),$AB15/$AE15*HLOOKUP(AH$3,'FX Lookup'!$A$2:$Y$4,3,FALSE),0)</f>
        <v>9380.7266666666674</v>
      </c>
      <c r="AI15" s="177">
        <f>IF(AND($AC15&lt;=AI$3,AI$3&lt;=$AD15),$AB15/$AE15*HLOOKUP(AI$3,'FX Lookup'!$A$2:$Y$4,3,FALSE),0)</f>
        <v>9380.7266666666674</v>
      </c>
      <c r="AJ15" s="177">
        <f>IF(AND($AC15&lt;=AJ$3,AJ$3&lt;=$AD15),$AB15/$AE15*HLOOKUP(AJ$3,'FX Lookup'!$A$2:$Y$4,3,FALSE),0)</f>
        <v>9380.7266666666674</v>
      </c>
      <c r="AK15" s="177">
        <f>IF(AND($AC15&lt;=AK$3,AK$3&lt;=$AD15),$AB15/$AE15*HLOOKUP(AK$3,'FX Lookup'!$A$2:$Y$4,3,FALSE),0)</f>
        <v>9380.7266666666674</v>
      </c>
      <c r="AL15" s="177">
        <f>IF(AND($AC15&lt;=AL$3,AL$3&lt;=$AD15),$AB15/$AE15*HLOOKUP(AL$3,'FX Lookup'!$A$2:$Y$4,3,FALSE),0)</f>
        <v>9380.7266666666674</v>
      </c>
      <c r="AM15" s="177">
        <f>IF(AND($AC15&lt;=AM$3,AM$3&lt;=$AD15),$AB15/$AE15*HLOOKUP(AM$3,'FX Lookup'!$A$2:$Y$4,3,FALSE),0)</f>
        <v>9380.7266666666674</v>
      </c>
      <c r="AN15" s="177">
        <f>IF(AND($AC15&lt;=AN$3,AN$3&lt;=$AD15),$AB15/$AE15*HLOOKUP(AN$3,'FX Lookup'!$A$2:$Y$4,3,FALSE),0)</f>
        <v>9380.7266666666674</v>
      </c>
      <c r="AO15" s="177">
        <f>IF(AND($AC15&lt;=AO$3,AO$3&lt;=$AD15),$AB15/$AE15*HLOOKUP(AO$3,'FX Lookup'!$A$2:$Y$4,3,FALSE),0)</f>
        <v>9380.7266666666674</v>
      </c>
      <c r="AP15" s="177">
        <f>IF(AND($AC15&lt;=AP$3,AP$3&lt;=$AD15),$AB15/$AE15*HLOOKUP(AP$3,'FX Lookup'!$A$2:$Y$4,3,FALSE),0)</f>
        <v>9380.7266666666674</v>
      </c>
      <c r="AQ15" s="177">
        <f>IF(AND($AC15&lt;=AQ$3,AQ$3&lt;=$AD15),$AB15/$AE15*HLOOKUP(AQ$3,'FX Lookup'!$A$2:$Y$4,3,FALSE),0)</f>
        <v>9380.7266666666674</v>
      </c>
      <c r="AR15" s="178">
        <f t="shared" si="16"/>
        <v>112651.55366666669</v>
      </c>
      <c r="AT15" s="177">
        <f t="shared" si="2"/>
        <v>9936.7383499999996</v>
      </c>
      <c r="AU15" s="177">
        <f t="shared" si="3"/>
        <v>9849.7630000000008</v>
      </c>
      <c r="AV15" s="177">
        <f t="shared" si="4"/>
        <v>9849.7630000000008</v>
      </c>
      <c r="AW15" s="177">
        <f t="shared" si="5"/>
        <v>9849.7630000000008</v>
      </c>
      <c r="AX15" s="177">
        <f t="shared" si="6"/>
        <v>9849.7630000000008</v>
      </c>
      <c r="AY15" s="177">
        <f t="shared" si="7"/>
        <v>9849.7630000000008</v>
      </c>
      <c r="AZ15" s="177">
        <f t="shared" si="8"/>
        <v>9849.7630000000008</v>
      </c>
      <c r="BA15" s="177">
        <f t="shared" si="9"/>
        <v>9849.7630000000008</v>
      </c>
      <c r="BB15" s="177">
        <f t="shared" si="10"/>
        <v>9849.7630000000008</v>
      </c>
      <c r="BC15" s="177">
        <f t="shared" si="11"/>
        <v>9849.7630000000008</v>
      </c>
      <c r="BD15" s="177">
        <f t="shared" si="12"/>
        <v>9849.7630000000008</v>
      </c>
      <c r="BE15" s="177">
        <f t="shared" si="13"/>
        <v>9849.7630000000008</v>
      </c>
      <c r="BF15" s="178">
        <f t="shared" si="17"/>
        <v>118284.13135000003</v>
      </c>
    </row>
    <row r="16" spans="1:58" ht="13.5" customHeight="1">
      <c r="A16" s="171">
        <f t="shared" si="18"/>
        <v>11</v>
      </c>
      <c r="B16" s="171" t="s">
        <v>2110</v>
      </c>
      <c r="C16" s="171" t="s">
        <v>2714</v>
      </c>
      <c r="D16" s="171" t="s">
        <v>1662</v>
      </c>
      <c r="E16" s="172" t="s">
        <v>1666</v>
      </c>
      <c r="F16" s="172" t="s">
        <v>2716</v>
      </c>
      <c r="G16" s="77" t="s">
        <v>2613</v>
      </c>
      <c r="H16" s="173" t="s">
        <v>2614</v>
      </c>
      <c r="I16" s="173" t="s">
        <v>2368</v>
      </c>
      <c r="J16" s="184">
        <f>90000*(1+$J$1)</f>
        <v>94500</v>
      </c>
      <c r="K16" s="456">
        <v>45717</v>
      </c>
      <c r="L16" s="456">
        <v>45747</v>
      </c>
      <c r="M16" s="176">
        <f t="shared" si="0"/>
        <v>1</v>
      </c>
      <c r="N16" s="177">
        <f>IF(AND($K16&lt;=N$3,N$3&lt;=$L16),$J16/$M16*HLOOKUP(N$3,'FX Lookup'!$A$2:$Y$4,3,FALSE),0)</f>
        <v>0</v>
      </c>
      <c r="O16" s="177">
        <f>IF(AND($K16&lt;=O$3,O$3&lt;=$L16),$J16/$M16*HLOOKUP(O$3,'FX Lookup'!$A$2:$Y$4,3,FALSE),0)</f>
        <v>0</v>
      </c>
      <c r="P16" s="177">
        <f>IF(AND($K16&lt;=P$3,P$3&lt;=$L16),$J16/$M16*HLOOKUP(P$3,'FX Lookup'!$A$2:$Y$4,3,FALSE),0)</f>
        <v>88444.44</v>
      </c>
      <c r="Q16" s="177">
        <f>IF(AND($K16&lt;=Q$3,Q$3&lt;=$L16),$J16/$M16*HLOOKUP(Q$3,'FX Lookup'!$A$2:$Y$4,3,FALSE),0)</f>
        <v>0</v>
      </c>
      <c r="R16" s="177">
        <f>IF(AND($K16&lt;=R$3,R$3&lt;=$L16),$J16/$M16*HLOOKUP(R$3,'FX Lookup'!$A$2:$Y$4,3,FALSE),0)</f>
        <v>0</v>
      </c>
      <c r="S16" s="177">
        <f>IF(AND($K16&lt;=S$3,S$3&lt;=$L16),$J16/$M16*HLOOKUP(S$3,'FX Lookup'!$A$2:$Y$4,3,FALSE),0)</f>
        <v>0</v>
      </c>
      <c r="T16" s="177">
        <f>IF(AND($K16&lt;=T$3,T$3&lt;=$L16),$J16/$M16*HLOOKUP(T$3,'FX Lookup'!$A$2:$Y$4,3,FALSE),0)</f>
        <v>0</v>
      </c>
      <c r="U16" s="177">
        <f>IF(AND($K16&lt;=U$3,U$3&lt;=$L16),$J16/$M16*HLOOKUP(U$3,'FX Lookup'!$A$2:$Y$4,3,FALSE),0)</f>
        <v>0</v>
      </c>
      <c r="V16" s="177">
        <f>IF(AND($K16&lt;=V$3,V$3&lt;=$L16),$J16/$M16*HLOOKUP(V$3,'FX Lookup'!$A$2:$Y$4,3,FALSE),0)</f>
        <v>0</v>
      </c>
      <c r="W16" s="177">
        <f>IF(AND($K16&lt;=W$3,W$3&lt;=$L16),$J16/$M16*HLOOKUP(W$3,'FX Lookup'!$A$2:$Y$4,3,FALSE),0)</f>
        <v>0</v>
      </c>
      <c r="X16" s="177">
        <f>IF(AND($K16&lt;=X$3,X$3&lt;=$L16),$J16/$M16*HLOOKUP(X$3,'FX Lookup'!$A$2:$Y$4,3,FALSE),0)</f>
        <v>0</v>
      </c>
      <c r="Y16" s="177">
        <f>IF(AND($K16&lt;=Y$3,Y$3&lt;=$L16),$J16/$M16*HLOOKUP(Y$3,'FX Lookup'!$A$2:$Y$4,3,FALSE),0)</f>
        <v>0</v>
      </c>
      <c r="Z16" s="178">
        <f t="shared" si="15"/>
        <v>88444.44</v>
      </c>
      <c r="AA16" s="173" t="s">
        <v>2368</v>
      </c>
      <c r="AB16" s="174">
        <f>90000*(1+$AB$2)</f>
        <v>99000</v>
      </c>
      <c r="AC16" s="456">
        <v>46023</v>
      </c>
      <c r="AD16" s="456">
        <v>46387</v>
      </c>
      <c r="AE16" s="176">
        <f t="shared" si="1"/>
        <v>12</v>
      </c>
      <c r="AF16" s="177">
        <f>IF(AND($AC16&lt;=AF$3,AF$3&lt;=$AD16),$AB16/$AE16*HLOOKUP(AF$3,'FX Lookup'!$A$2:$Y$4,3,FALSE),0)</f>
        <v>7342.4174999999996</v>
      </c>
      <c r="AG16" s="177">
        <f>IF(AND($AC16&lt;=AG$3,AG$3&lt;=$AD16),$AB16/$AE16*HLOOKUP(AG$3,'FX Lookup'!$A$2:$Y$4,3,FALSE),0)</f>
        <v>7278.15</v>
      </c>
      <c r="AH16" s="177">
        <f>IF(AND($AC16&lt;=AH$3,AH$3&lt;=$AD16),$AB16/$AE16*HLOOKUP(AH$3,'FX Lookup'!$A$2:$Y$4,3,FALSE),0)</f>
        <v>7278.15</v>
      </c>
      <c r="AI16" s="177">
        <f>IF(AND($AC16&lt;=AI$3,AI$3&lt;=$AD16),$AB16/$AE16*HLOOKUP(AI$3,'FX Lookup'!$A$2:$Y$4,3,FALSE),0)</f>
        <v>7278.15</v>
      </c>
      <c r="AJ16" s="177">
        <f>IF(AND($AC16&lt;=AJ$3,AJ$3&lt;=$AD16),$AB16/$AE16*HLOOKUP(AJ$3,'FX Lookup'!$A$2:$Y$4,3,FALSE),0)</f>
        <v>7278.15</v>
      </c>
      <c r="AK16" s="177">
        <f>IF(AND($AC16&lt;=AK$3,AK$3&lt;=$AD16),$AB16/$AE16*HLOOKUP(AK$3,'FX Lookup'!$A$2:$Y$4,3,FALSE),0)</f>
        <v>7278.15</v>
      </c>
      <c r="AL16" s="177">
        <f>IF(AND($AC16&lt;=AL$3,AL$3&lt;=$AD16),$AB16/$AE16*HLOOKUP(AL$3,'FX Lookup'!$A$2:$Y$4,3,FALSE),0)</f>
        <v>7278.15</v>
      </c>
      <c r="AM16" s="177">
        <f>IF(AND($AC16&lt;=AM$3,AM$3&lt;=$AD16),$AB16/$AE16*HLOOKUP(AM$3,'FX Lookup'!$A$2:$Y$4,3,FALSE),0)</f>
        <v>7278.15</v>
      </c>
      <c r="AN16" s="177">
        <f>IF(AND($AC16&lt;=AN$3,AN$3&lt;=$AD16),$AB16/$AE16*HLOOKUP(AN$3,'FX Lookup'!$A$2:$Y$4,3,FALSE),0)</f>
        <v>7278.15</v>
      </c>
      <c r="AO16" s="177">
        <f>IF(AND($AC16&lt;=AO$3,AO$3&lt;=$AD16),$AB16/$AE16*HLOOKUP(AO$3,'FX Lookup'!$A$2:$Y$4,3,FALSE),0)</f>
        <v>7278.15</v>
      </c>
      <c r="AP16" s="177">
        <f>IF(AND($AC16&lt;=AP$3,AP$3&lt;=$AD16),$AB16/$AE16*HLOOKUP(AP$3,'FX Lookup'!$A$2:$Y$4,3,FALSE),0)</f>
        <v>7278.15</v>
      </c>
      <c r="AQ16" s="177">
        <f>IF(AND($AC16&lt;=AQ$3,AQ$3&lt;=$AD16),$AB16/$AE16*HLOOKUP(AQ$3,'FX Lookup'!$A$2:$Y$4,3,FALSE),0)</f>
        <v>7278.15</v>
      </c>
      <c r="AR16" s="178">
        <f t="shared" si="16"/>
        <v>87402.06749999999</v>
      </c>
      <c r="AT16" s="177">
        <f t="shared" si="2"/>
        <v>7709.5383750000001</v>
      </c>
      <c r="AU16" s="177">
        <f t="shared" si="3"/>
        <v>7642.0574999999999</v>
      </c>
      <c r="AV16" s="177">
        <f t="shared" si="4"/>
        <v>7642.0574999999999</v>
      </c>
      <c r="AW16" s="177">
        <f t="shared" si="5"/>
        <v>7642.0574999999999</v>
      </c>
      <c r="AX16" s="177">
        <f t="shared" si="6"/>
        <v>7642.0574999999999</v>
      </c>
      <c r="AY16" s="177">
        <f t="shared" si="7"/>
        <v>7642.0574999999999</v>
      </c>
      <c r="AZ16" s="177">
        <f t="shared" si="8"/>
        <v>7642.0574999999999</v>
      </c>
      <c r="BA16" s="177">
        <f t="shared" si="9"/>
        <v>7642.0574999999999</v>
      </c>
      <c r="BB16" s="177">
        <f t="shared" si="10"/>
        <v>7642.0574999999999</v>
      </c>
      <c r="BC16" s="177">
        <f t="shared" si="11"/>
        <v>7642.0574999999999</v>
      </c>
      <c r="BD16" s="177">
        <f t="shared" si="12"/>
        <v>7642.0574999999999</v>
      </c>
      <c r="BE16" s="177">
        <f t="shared" si="13"/>
        <v>7642.0574999999999</v>
      </c>
      <c r="BF16" s="178">
        <f t="shared" si="17"/>
        <v>91772.170874999996</v>
      </c>
    </row>
    <row r="17" spans="1:58" ht="13.5" customHeight="1">
      <c r="A17" s="171">
        <f t="shared" si="18"/>
        <v>12</v>
      </c>
      <c r="B17" s="171" t="s">
        <v>2110</v>
      </c>
      <c r="C17" s="171" t="s">
        <v>2714</v>
      </c>
      <c r="D17" s="171" t="s">
        <v>1667</v>
      </c>
      <c r="E17" s="172" t="s">
        <v>1666</v>
      </c>
      <c r="F17" s="172" t="s">
        <v>2717</v>
      </c>
      <c r="G17" s="77" t="s">
        <v>2613</v>
      </c>
      <c r="H17" s="173" t="s">
        <v>2614</v>
      </c>
      <c r="I17" s="173" t="s">
        <v>2368</v>
      </c>
      <c r="J17" s="184">
        <v>0</v>
      </c>
      <c r="K17" s="456">
        <v>45658</v>
      </c>
      <c r="L17" s="456">
        <v>46022</v>
      </c>
      <c r="M17" s="176">
        <f t="shared" si="0"/>
        <v>12</v>
      </c>
      <c r="N17" s="177">
        <f>IF(AND($K17&lt;=N$3,N$3&lt;=$L17),$J17/$M17*HLOOKUP(N$3,'FX Lookup'!$A$2:$Y$4,3,FALSE),0)</f>
        <v>0</v>
      </c>
      <c r="O17" s="177">
        <f>IF(AND($K17&lt;=O$3,O$3&lt;=$L17),$J17/$M17*HLOOKUP(O$3,'FX Lookup'!$A$2:$Y$4,3,FALSE),0)</f>
        <v>0</v>
      </c>
      <c r="P17" s="177">
        <f>IF(AND($K17&lt;=P$3,P$3&lt;=$L17),$J17/$M17*HLOOKUP(P$3,'FX Lookup'!$A$2:$Y$4,3,FALSE),0)</f>
        <v>0</v>
      </c>
      <c r="Q17" s="177">
        <f>IF(AND($K17&lt;=Q$3,Q$3&lt;=$L17),$J17/$M17*HLOOKUP(Q$3,'FX Lookup'!$A$2:$Y$4,3,FALSE),0)</f>
        <v>0</v>
      </c>
      <c r="R17" s="177">
        <f>IF(AND($K17&lt;=R$3,R$3&lt;=$L17),$J17/$M17*HLOOKUP(R$3,'FX Lookup'!$A$2:$Y$4,3,FALSE),0)</f>
        <v>0</v>
      </c>
      <c r="S17" s="177">
        <f>IF(AND($K17&lt;=S$3,S$3&lt;=$L17),$J17/$M17*HLOOKUP(S$3,'FX Lookup'!$A$2:$Y$4,3,FALSE),0)</f>
        <v>0</v>
      </c>
      <c r="T17" s="177">
        <f>IF(AND($K17&lt;=T$3,T$3&lt;=$L17),$J17/$M17*HLOOKUP(T$3,'FX Lookup'!$A$2:$Y$4,3,FALSE),0)</f>
        <v>0</v>
      </c>
      <c r="U17" s="177">
        <f>IF(AND($K17&lt;=U$3,U$3&lt;=$L17),$J17/$M17*HLOOKUP(U$3,'FX Lookup'!$A$2:$Y$4,3,FALSE),0)</f>
        <v>0</v>
      </c>
      <c r="V17" s="177">
        <f>IF(AND($K17&lt;=V$3,V$3&lt;=$L17),$J17/$M17*HLOOKUP(V$3,'FX Lookup'!$A$2:$Y$4,3,FALSE),0)</f>
        <v>0</v>
      </c>
      <c r="W17" s="177">
        <f>IF(AND($K17&lt;=W$3,W$3&lt;=$L17),$J17/$M17*HLOOKUP(W$3,'FX Lookup'!$A$2:$Y$4,3,FALSE),0)</f>
        <v>0</v>
      </c>
      <c r="X17" s="177">
        <f>IF(AND($K17&lt;=X$3,X$3&lt;=$L17),$J17/$M17*HLOOKUP(X$3,'FX Lookup'!$A$2:$Y$4,3,FALSE),0)</f>
        <v>0</v>
      </c>
      <c r="Y17" s="177">
        <f>IF(AND($K17&lt;=Y$3,Y$3&lt;=$L17),$J17/$M17*HLOOKUP(Y$3,'FX Lookup'!$A$2:$Y$4,3,FALSE),0)</f>
        <v>0</v>
      </c>
      <c r="Z17" s="178">
        <f t="shared" si="15"/>
        <v>0</v>
      </c>
      <c r="AA17" s="173" t="s">
        <v>2368</v>
      </c>
      <c r="AB17" s="174">
        <f>75000*(1+$AB$2)</f>
        <v>82500</v>
      </c>
      <c r="AC17" s="456">
        <v>46023</v>
      </c>
      <c r="AD17" s="456">
        <v>46387</v>
      </c>
      <c r="AE17" s="176">
        <f t="shared" si="1"/>
        <v>12</v>
      </c>
      <c r="AF17" s="177">
        <f>IF(AND($AC17&lt;=AF$3,AF$3&lt;=$AD17),$AB17/$AE17*HLOOKUP(AF$3,'FX Lookup'!$A$2:$Y$4,3,FALSE),0)</f>
        <v>6118.6812499999996</v>
      </c>
      <c r="AG17" s="177">
        <f>IF(AND($AC17&lt;=AG$3,AG$3&lt;=$AD17),$AB17/$AE17*HLOOKUP(AG$3,'FX Lookup'!$A$2:$Y$4,3,FALSE),0)</f>
        <v>6065.125</v>
      </c>
      <c r="AH17" s="177">
        <f>IF(AND($AC17&lt;=AH$3,AH$3&lt;=$AD17),$AB17/$AE17*HLOOKUP(AH$3,'FX Lookup'!$A$2:$Y$4,3,FALSE),0)</f>
        <v>6065.125</v>
      </c>
      <c r="AI17" s="177">
        <f>IF(AND($AC17&lt;=AI$3,AI$3&lt;=$AD17),$AB17/$AE17*HLOOKUP(AI$3,'FX Lookup'!$A$2:$Y$4,3,FALSE),0)</f>
        <v>6065.125</v>
      </c>
      <c r="AJ17" s="177">
        <f>IF(AND($AC17&lt;=AJ$3,AJ$3&lt;=$AD17),$AB17/$AE17*HLOOKUP(AJ$3,'FX Lookup'!$A$2:$Y$4,3,FALSE),0)</f>
        <v>6065.125</v>
      </c>
      <c r="AK17" s="177">
        <f>IF(AND($AC17&lt;=AK$3,AK$3&lt;=$AD17),$AB17/$AE17*HLOOKUP(AK$3,'FX Lookup'!$A$2:$Y$4,3,FALSE),0)</f>
        <v>6065.125</v>
      </c>
      <c r="AL17" s="177">
        <f>IF(AND($AC17&lt;=AL$3,AL$3&lt;=$AD17),$AB17/$AE17*HLOOKUP(AL$3,'FX Lookup'!$A$2:$Y$4,3,FALSE),0)</f>
        <v>6065.125</v>
      </c>
      <c r="AM17" s="177">
        <f>IF(AND($AC17&lt;=AM$3,AM$3&lt;=$AD17),$AB17/$AE17*HLOOKUP(AM$3,'FX Lookup'!$A$2:$Y$4,3,FALSE),0)</f>
        <v>6065.125</v>
      </c>
      <c r="AN17" s="177">
        <f>IF(AND($AC17&lt;=AN$3,AN$3&lt;=$AD17),$AB17/$AE17*HLOOKUP(AN$3,'FX Lookup'!$A$2:$Y$4,3,FALSE),0)</f>
        <v>6065.125</v>
      </c>
      <c r="AO17" s="177">
        <f>IF(AND($AC17&lt;=AO$3,AO$3&lt;=$AD17),$AB17/$AE17*HLOOKUP(AO$3,'FX Lookup'!$A$2:$Y$4,3,FALSE),0)</f>
        <v>6065.125</v>
      </c>
      <c r="AP17" s="177">
        <f>IF(AND($AC17&lt;=AP$3,AP$3&lt;=$AD17),$AB17/$AE17*HLOOKUP(AP$3,'FX Lookup'!$A$2:$Y$4,3,FALSE),0)</f>
        <v>6065.125</v>
      </c>
      <c r="AQ17" s="177">
        <f>IF(AND($AC17&lt;=AQ$3,AQ$3&lt;=$AD17),$AB17/$AE17*HLOOKUP(AQ$3,'FX Lookup'!$A$2:$Y$4,3,FALSE),0)</f>
        <v>6065.125</v>
      </c>
      <c r="AR17" s="178">
        <f t="shared" si="16"/>
        <v>72835.056249999994</v>
      </c>
      <c r="AT17" s="177">
        <f t="shared" si="2"/>
        <v>6424.6153125000001</v>
      </c>
      <c r="AU17" s="177">
        <f t="shared" si="3"/>
        <v>6368.3812500000004</v>
      </c>
      <c r="AV17" s="177">
        <f t="shared" si="4"/>
        <v>6368.3812500000004</v>
      </c>
      <c r="AW17" s="177">
        <f t="shared" si="5"/>
        <v>6368.3812500000004</v>
      </c>
      <c r="AX17" s="177">
        <f t="shared" si="6"/>
        <v>6368.3812500000004</v>
      </c>
      <c r="AY17" s="177">
        <f t="shared" si="7"/>
        <v>6368.3812500000004</v>
      </c>
      <c r="AZ17" s="177">
        <f t="shared" si="8"/>
        <v>6368.3812500000004</v>
      </c>
      <c r="BA17" s="177">
        <f t="shared" si="9"/>
        <v>6368.3812500000004</v>
      </c>
      <c r="BB17" s="177">
        <f t="shared" si="10"/>
        <v>6368.3812500000004</v>
      </c>
      <c r="BC17" s="177">
        <f t="shared" si="11"/>
        <v>6368.3812500000004</v>
      </c>
      <c r="BD17" s="177">
        <f t="shared" si="12"/>
        <v>6368.3812500000004</v>
      </c>
      <c r="BE17" s="177">
        <f t="shared" si="13"/>
        <v>6368.3812500000004</v>
      </c>
      <c r="BF17" s="178">
        <f t="shared" si="17"/>
        <v>76476.809062500004</v>
      </c>
    </row>
    <row r="18" spans="1:58" ht="13.5" customHeight="1">
      <c r="A18" s="171">
        <f t="shared" si="18"/>
        <v>13</v>
      </c>
      <c r="B18" s="171" t="s">
        <v>2110</v>
      </c>
      <c r="C18" s="171"/>
      <c r="D18" s="171"/>
      <c r="E18" s="172" t="s">
        <v>2718</v>
      </c>
      <c r="F18" s="172"/>
      <c r="G18" s="77" t="s">
        <v>2613</v>
      </c>
      <c r="H18" s="173" t="s">
        <v>2614</v>
      </c>
      <c r="I18" s="173" t="s">
        <v>2368</v>
      </c>
      <c r="J18" s="184"/>
      <c r="K18" s="456">
        <v>45658</v>
      </c>
      <c r="L18" s="456">
        <v>46022</v>
      </c>
      <c r="M18" s="176">
        <f t="shared" si="0"/>
        <v>12</v>
      </c>
      <c r="N18" s="177">
        <f>IF(AND($K18&lt;=N$3,N$3&lt;=$L18),$J18/$M18*HLOOKUP(N$3,'FX Lookup'!$A$2:$Y$4,3,FALSE),0)</f>
        <v>0</v>
      </c>
      <c r="O18" s="177">
        <f>IF(AND($K18&lt;=O$3,O$3&lt;=$L18),$J18/$M18*HLOOKUP(O$3,'FX Lookup'!$A$2:$Y$4,3,FALSE),0)</f>
        <v>0</v>
      </c>
      <c r="P18" s="177">
        <f>IF(AND($K18&lt;=P$3,P$3&lt;=$L18),$J18/$M18*HLOOKUP(P$3,'FX Lookup'!$A$2:$Y$4,3,FALSE),0)</f>
        <v>0</v>
      </c>
      <c r="Q18" s="177">
        <f>IF(AND($K18&lt;=Q$3,Q$3&lt;=$L18),$J18/$M18*HLOOKUP(Q$3,'FX Lookup'!$A$2:$Y$4,3,FALSE),0)</f>
        <v>0</v>
      </c>
      <c r="R18" s="177">
        <f>IF(AND($K18&lt;=R$3,R$3&lt;=$L18),$J18/$M18*HLOOKUP(R$3,'FX Lookup'!$A$2:$Y$4,3,FALSE),0)</f>
        <v>0</v>
      </c>
      <c r="S18" s="177">
        <f>IF(AND($K18&lt;=S$3,S$3&lt;=$L18),$J18/$M18*HLOOKUP(S$3,'FX Lookup'!$A$2:$Y$4,3,FALSE),0)</f>
        <v>0</v>
      </c>
      <c r="T18" s="177">
        <f>IF(AND($K18&lt;=T$3,T$3&lt;=$L18),$J18/$M18*HLOOKUP(T$3,'FX Lookup'!$A$2:$Y$4,3,FALSE),0)</f>
        <v>0</v>
      </c>
      <c r="U18" s="177">
        <f>IF(AND($K18&lt;=U$3,U$3&lt;=$L18),$J18/$M18*HLOOKUP(U$3,'FX Lookup'!$A$2:$Y$4,3,FALSE),0)</f>
        <v>0</v>
      </c>
      <c r="V18" s="177">
        <f>IF(AND($K18&lt;=V$3,V$3&lt;=$L18),$J18/$M18*HLOOKUP(V$3,'FX Lookup'!$A$2:$Y$4,3,FALSE),0)</f>
        <v>0</v>
      </c>
      <c r="W18" s="177">
        <f>IF(AND($K18&lt;=W$3,W$3&lt;=$L18),$J18/$M18*HLOOKUP(W$3,'FX Lookup'!$A$2:$Y$4,3,FALSE),0)</f>
        <v>0</v>
      </c>
      <c r="X18" s="177">
        <f>IF(AND($K18&lt;=X$3,X$3&lt;=$L18),$J18/$M18*HLOOKUP(X$3,'FX Lookup'!$A$2:$Y$4,3,FALSE),0)</f>
        <v>0</v>
      </c>
      <c r="Y18" s="177">
        <f>IF(AND($K18&lt;=Y$3,Y$3&lt;=$L18),$J18/$M18*HLOOKUP(Y$3,'FX Lookup'!$A$2:$Y$4,3,FALSE),0)</f>
        <v>0</v>
      </c>
      <c r="Z18" s="178">
        <f t="shared" si="15"/>
        <v>0</v>
      </c>
      <c r="AA18" s="173" t="s">
        <v>2368</v>
      </c>
      <c r="AB18" s="184"/>
      <c r="AC18" s="456">
        <v>46023</v>
      </c>
      <c r="AD18" s="456">
        <v>46387</v>
      </c>
      <c r="AE18" s="176">
        <f t="shared" si="1"/>
        <v>12</v>
      </c>
      <c r="AF18" s="177">
        <f>IF(AND($AC18&lt;=AF$3,AF$3&lt;=$AD18),$AB18/$AE18*HLOOKUP(AF$3,'FX Lookup'!$A$2:$Y$4,3,FALSE),0)</f>
        <v>0</v>
      </c>
      <c r="AG18" s="177">
        <f>IF(AND($AC18&lt;=AG$3,AG$3&lt;=$AD18),$AB18/$AE18*HLOOKUP(AG$3,'FX Lookup'!$A$2:$Y$4,3,FALSE),0)</f>
        <v>0</v>
      </c>
      <c r="AH18" s="177">
        <f>IF(AND($AC18&lt;=AH$3,AH$3&lt;=$AD18),$AB18/$AE18*HLOOKUP(AH$3,'FX Lookup'!$A$2:$Y$4,3,FALSE),0)</f>
        <v>0</v>
      </c>
      <c r="AI18" s="177">
        <f>IF(AND($AC18&lt;=AI$3,AI$3&lt;=$AD18),$AB18/$AE18*HLOOKUP(AI$3,'FX Lookup'!$A$2:$Y$4,3,FALSE),0)</f>
        <v>0</v>
      </c>
      <c r="AJ18" s="177">
        <f>IF(AND($AC18&lt;=AJ$3,AJ$3&lt;=$AD18),$AB18/$AE18*HLOOKUP(AJ$3,'FX Lookup'!$A$2:$Y$4,3,FALSE),0)</f>
        <v>0</v>
      </c>
      <c r="AK18" s="177">
        <f>IF(AND($AC18&lt;=AK$3,AK$3&lt;=$AD18),$AB18/$AE18*HLOOKUP(AK$3,'FX Lookup'!$A$2:$Y$4,3,FALSE),0)</f>
        <v>0</v>
      </c>
      <c r="AL18" s="177">
        <f>IF(AND($AC18&lt;=AL$3,AL$3&lt;=$AD18),$AB18/$AE18*HLOOKUP(AL$3,'FX Lookup'!$A$2:$Y$4,3,FALSE),0)</f>
        <v>0</v>
      </c>
      <c r="AM18" s="177">
        <f>IF(AND($AC18&lt;=AM$3,AM$3&lt;=$AD18),$AB18/$AE18*HLOOKUP(AM$3,'FX Lookup'!$A$2:$Y$4,3,FALSE),0)</f>
        <v>0</v>
      </c>
      <c r="AN18" s="177">
        <f>IF(AND($AC18&lt;=AN$3,AN$3&lt;=$AD18),$AB18/$AE18*HLOOKUP(AN$3,'FX Lookup'!$A$2:$Y$4,3,FALSE),0)</f>
        <v>0</v>
      </c>
      <c r="AO18" s="177">
        <f>IF(AND($AC18&lt;=AO$3,AO$3&lt;=$AD18),$AB18/$AE18*HLOOKUP(AO$3,'FX Lookup'!$A$2:$Y$4,3,FALSE),0)</f>
        <v>0</v>
      </c>
      <c r="AP18" s="177">
        <f>IF(AND($AC18&lt;=AP$3,AP$3&lt;=$AD18),$AB18/$AE18*HLOOKUP(AP$3,'FX Lookup'!$A$2:$Y$4,3,FALSE),0)</f>
        <v>0</v>
      </c>
      <c r="AQ18" s="177">
        <f>IF(AND($AC18&lt;=AQ$3,AQ$3&lt;=$AD18),$AB18/$AE18*HLOOKUP(AQ$3,'FX Lookup'!$A$2:$Y$4,3,FALSE),0)</f>
        <v>0</v>
      </c>
      <c r="AR18" s="178">
        <f t="shared" si="16"/>
        <v>0</v>
      </c>
      <c r="AT18" s="177">
        <f t="shared" si="2"/>
        <v>0</v>
      </c>
      <c r="AU18" s="177">
        <f t="shared" si="3"/>
        <v>0</v>
      </c>
      <c r="AV18" s="177">
        <f t="shared" si="4"/>
        <v>0</v>
      </c>
      <c r="AW18" s="177">
        <f t="shared" si="5"/>
        <v>0</v>
      </c>
      <c r="AX18" s="177">
        <f t="shared" si="6"/>
        <v>0</v>
      </c>
      <c r="AY18" s="177">
        <f t="shared" si="7"/>
        <v>0</v>
      </c>
      <c r="AZ18" s="177">
        <f t="shared" si="8"/>
        <v>0</v>
      </c>
      <c r="BA18" s="177">
        <f t="shared" si="9"/>
        <v>0</v>
      </c>
      <c r="BB18" s="177">
        <f t="shared" si="10"/>
        <v>0</v>
      </c>
      <c r="BC18" s="177">
        <f t="shared" si="11"/>
        <v>0</v>
      </c>
      <c r="BD18" s="177">
        <f t="shared" si="12"/>
        <v>0</v>
      </c>
      <c r="BE18" s="177">
        <f t="shared" si="13"/>
        <v>0</v>
      </c>
      <c r="BF18" s="178">
        <f t="shared" si="17"/>
        <v>0</v>
      </c>
    </row>
    <row r="19" spans="1:58" ht="13.5" customHeight="1">
      <c r="A19" s="171">
        <f t="shared" si="18"/>
        <v>14</v>
      </c>
      <c r="B19" s="171" t="s">
        <v>2110</v>
      </c>
      <c r="C19" s="171"/>
      <c r="D19" s="171"/>
      <c r="E19" s="172" t="s">
        <v>2719</v>
      </c>
      <c r="F19" s="172"/>
      <c r="G19" s="77" t="s">
        <v>2613</v>
      </c>
      <c r="H19" s="173" t="s">
        <v>2614</v>
      </c>
      <c r="I19" s="173" t="s">
        <v>2368</v>
      </c>
      <c r="J19" s="184"/>
      <c r="K19" s="456">
        <v>45658</v>
      </c>
      <c r="L19" s="456">
        <v>46022</v>
      </c>
      <c r="M19" s="176">
        <f t="shared" si="0"/>
        <v>12</v>
      </c>
      <c r="N19" s="177">
        <f>IF(AND($K19&lt;=N$3,N$3&lt;=$L19),$J19/$M19*HLOOKUP(N$3,'FX Lookup'!$A$2:$Y$4,3,FALSE),0)</f>
        <v>0</v>
      </c>
      <c r="O19" s="177">
        <f>IF(AND($K19&lt;=O$3,O$3&lt;=$L19),$J19/$M19*HLOOKUP(O$3,'FX Lookup'!$A$2:$Y$4,3,FALSE),0)</f>
        <v>0</v>
      </c>
      <c r="P19" s="177">
        <f>IF(AND($K19&lt;=P$3,P$3&lt;=$L19),$J19/$M19*HLOOKUP(P$3,'FX Lookup'!$A$2:$Y$4,3,FALSE),0)</f>
        <v>0</v>
      </c>
      <c r="Q19" s="177">
        <f>IF(AND($K19&lt;=Q$3,Q$3&lt;=$L19),$J19/$M19*HLOOKUP(Q$3,'FX Lookup'!$A$2:$Y$4,3,FALSE),0)</f>
        <v>0</v>
      </c>
      <c r="R19" s="177">
        <f>IF(AND($K19&lt;=R$3,R$3&lt;=$L19),$J19/$M19*HLOOKUP(R$3,'FX Lookup'!$A$2:$Y$4,3,FALSE),0)</f>
        <v>0</v>
      </c>
      <c r="S19" s="177">
        <f>IF(AND($K19&lt;=S$3,S$3&lt;=$L19),$J19/$M19*HLOOKUP(S$3,'FX Lookup'!$A$2:$Y$4,3,FALSE),0)</f>
        <v>0</v>
      </c>
      <c r="T19" s="177">
        <f>IF(AND($K19&lt;=T$3,T$3&lt;=$L19),$J19/$M19*HLOOKUP(T$3,'FX Lookup'!$A$2:$Y$4,3,FALSE),0)</f>
        <v>0</v>
      </c>
      <c r="U19" s="177">
        <f>IF(AND($K19&lt;=U$3,U$3&lt;=$L19),$J19/$M19*HLOOKUP(U$3,'FX Lookup'!$A$2:$Y$4,3,FALSE),0)</f>
        <v>0</v>
      </c>
      <c r="V19" s="177">
        <f>IF(AND($K19&lt;=V$3,V$3&lt;=$L19),$J19/$M19*HLOOKUP(V$3,'FX Lookup'!$A$2:$Y$4,3,FALSE),0)</f>
        <v>0</v>
      </c>
      <c r="W19" s="177">
        <f>IF(AND($K19&lt;=W$3,W$3&lt;=$L19),$J19/$M19*HLOOKUP(W$3,'FX Lookup'!$A$2:$Y$4,3,FALSE),0)</f>
        <v>0</v>
      </c>
      <c r="X19" s="177">
        <f>IF(AND($K19&lt;=X$3,X$3&lt;=$L19),$J19/$M19*HLOOKUP(X$3,'FX Lookup'!$A$2:$Y$4,3,FALSE),0)</f>
        <v>0</v>
      </c>
      <c r="Y19" s="177">
        <f>IF(AND($K19&lt;=Y$3,Y$3&lt;=$L19),$J19/$M19*HLOOKUP(Y$3,'FX Lookup'!$A$2:$Y$4,3,FALSE),0)</f>
        <v>0</v>
      </c>
      <c r="Z19" s="178">
        <f t="shared" si="15"/>
        <v>0</v>
      </c>
      <c r="AA19" s="173" t="s">
        <v>2368</v>
      </c>
      <c r="AB19" s="184"/>
      <c r="AC19" s="456">
        <v>46023</v>
      </c>
      <c r="AD19" s="456">
        <v>46387</v>
      </c>
      <c r="AE19" s="176">
        <f t="shared" si="1"/>
        <v>12</v>
      </c>
      <c r="AF19" s="177">
        <f>IF(AND($AC19&lt;=AF$3,AF$3&lt;=$AD19),$AB19/$AE19*HLOOKUP(AF$3,'FX Lookup'!$A$2:$Y$4,3,FALSE),0)</f>
        <v>0</v>
      </c>
      <c r="AG19" s="177">
        <f>IF(AND($AC19&lt;=AG$3,AG$3&lt;=$AD19),$AB19/$AE19*HLOOKUP(AG$3,'FX Lookup'!$A$2:$Y$4,3,FALSE),0)</f>
        <v>0</v>
      </c>
      <c r="AH19" s="177">
        <f>IF(AND($AC19&lt;=AH$3,AH$3&lt;=$AD19),$AB19/$AE19*HLOOKUP(AH$3,'FX Lookup'!$A$2:$Y$4,3,FALSE),0)</f>
        <v>0</v>
      </c>
      <c r="AI19" s="177">
        <f>IF(AND($AC19&lt;=AI$3,AI$3&lt;=$AD19),$AB19/$AE19*HLOOKUP(AI$3,'FX Lookup'!$A$2:$Y$4,3,FALSE),0)</f>
        <v>0</v>
      </c>
      <c r="AJ19" s="177">
        <f>IF(AND($AC19&lt;=AJ$3,AJ$3&lt;=$AD19),$AB19/$AE19*HLOOKUP(AJ$3,'FX Lookup'!$A$2:$Y$4,3,FALSE),0)</f>
        <v>0</v>
      </c>
      <c r="AK19" s="177">
        <f>IF(AND($AC19&lt;=AK$3,AK$3&lt;=$AD19),$AB19/$AE19*HLOOKUP(AK$3,'FX Lookup'!$A$2:$Y$4,3,FALSE),0)</f>
        <v>0</v>
      </c>
      <c r="AL19" s="177">
        <f>IF(AND($AC19&lt;=AL$3,AL$3&lt;=$AD19),$AB19/$AE19*HLOOKUP(AL$3,'FX Lookup'!$A$2:$Y$4,3,FALSE),0)</f>
        <v>0</v>
      </c>
      <c r="AM19" s="177">
        <f>IF(AND($AC19&lt;=AM$3,AM$3&lt;=$AD19),$AB19/$AE19*HLOOKUP(AM$3,'FX Lookup'!$A$2:$Y$4,3,FALSE),0)</f>
        <v>0</v>
      </c>
      <c r="AN19" s="177">
        <f>IF(AND($AC19&lt;=AN$3,AN$3&lt;=$AD19),$AB19/$AE19*HLOOKUP(AN$3,'FX Lookup'!$A$2:$Y$4,3,FALSE),0)</f>
        <v>0</v>
      </c>
      <c r="AO19" s="177">
        <f>IF(AND($AC19&lt;=AO$3,AO$3&lt;=$AD19),$AB19/$AE19*HLOOKUP(AO$3,'FX Lookup'!$A$2:$Y$4,3,FALSE),0)</f>
        <v>0</v>
      </c>
      <c r="AP19" s="177">
        <f>IF(AND($AC19&lt;=AP$3,AP$3&lt;=$AD19),$AB19/$AE19*HLOOKUP(AP$3,'FX Lookup'!$A$2:$Y$4,3,FALSE),0)</f>
        <v>0</v>
      </c>
      <c r="AQ19" s="177">
        <f>IF(AND($AC19&lt;=AQ$3,AQ$3&lt;=$AD19),$AB19/$AE19*HLOOKUP(AQ$3,'FX Lookup'!$A$2:$Y$4,3,FALSE),0)</f>
        <v>0</v>
      </c>
      <c r="AR19" s="178">
        <f t="shared" si="16"/>
        <v>0</v>
      </c>
      <c r="AT19" s="177">
        <f t="shared" si="2"/>
        <v>0</v>
      </c>
      <c r="AU19" s="177">
        <f t="shared" si="3"/>
        <v>0</v>
      </c>
      <c r="AV19" s="177">
        <f t="shared" si="4"/>
        <v>0</v>
      </c>
      <c r="AW19" s="177">
        <f t="shared" si="5"/>
        <v>0</v>
      </c>
      <c r="AX19" s="177">
        <f t="shared" si="6"/>
        <v>0</v>
      </c>
      <c r="AY19" s="177">
        <f t="shared" si="7"/>
        <v>0</v>
      </c>
      <c r="AZ19" s="177">
        <f t="shared" si="8"/>
        <v>0</v>
      </c>
      <c r="BA19" s="177">
        <f t="shared" si="9"/>
        <v>0</v>
      </c>
      <c r="BB19" s="177">
        <f t="shared" si="10"/>
        <v>0</v>
      </c>
      <c r="BC19" s="177">
        <f t="shared" si="11"/>
        <v>0</v>
      </c>
      <c r="BD19" s="177">
        <f t="shared" si="12"/>
        <v>0</v>
      </c>
      <c r="BE19" s="177">
        <f t="shared" si="13"/>
        <v>0</v>
      </c>
      <c r="BF19" s="178">
        <f t="shared" si="17"/>
        <v>0</v>
      </c>
    </row>
    <row r="20" spans="1:58" ht="13.5" customHeight="1">
      <c r="A20" s="171">
        <f t="shared" si="18"/>
        <v>15</v>
      </c>
      <c r="B20" s="171" t="s">
        <v>2110</v>
      </c>
      <c r="C20" s="171"/>
      <c r="D20" s="171"/>
      <c r="E20" s="172" t="s">
        <v>2720</v>
      </c>
      <c r="F20" s="172"/>
      <c r="G20" s="77" t="s">
        <v>2613</v>
      </c>
      <c r="H20" s="173" t="s">
        <v>2614</v>
      </c>
      <c r="I20" s="173" t="s">
        <v>2368</v>
      </c>
      <c r="J20" s="184"/>
      <c r="K20" s="456">
        <v>45658</v>
      </c>
      <c r="L20" s="456">
        <v>46022</v>
      </c>
      <c r="M20" s="176">
        <f t="shared" si="0"/>
        <v>12</v>
      </c>
      <c r="N20" s="177">
        <f>IF(AND($K20&lt;=N$3,N$3&lt;=$L20),$J20/$M20*HLOOKUP(N$3,'FX Lookup'!$A$2:$Y$4,3,FALSE),0)</f>
        <v>0</v>
      </c>
      <c r="O20" s="177">
        <f>IF(AND($K20&lt;=O$3,O$3&lt;=$L20),$J20/$M20*HLOOKUP(O$3,'FX Lookup'!$A$2:$Y$4,3,FALSE),0)</f>
        <v>0</v>
      </c>
      <c r="P20" s="177">
        <f>IF(AND($K20&lt;=P$3,P$3&lt;=$L20),$J20/$M20*HLOOKUP(P$3,'FX Lookup'!$A$2:$Y$4,3,FALSE),0)</f>
        <v>0</v>
      </c>
      <c r="Q20" s="177">
        <f>IF(AND($K20&lt;=Q$3,Q$3&lt;=$L20),$J20/$M20*HLOOKUP(Q$3,'FX Lookup'!$A$2:$Y$4,3,FALSE),0)</f>
        <v>0</v>
      </c>
      <c r="R20" s="177">
        <f>IF(AND($K20&lt;=R$3,R$3&lt;=$L20),$J20/$M20*HLOOKUP(R$3,'FX Lookup'!$A$2:$Y$4,3,FALSE),0)</f>
        <v>0</v>
      </c>
      <c r="S20" s="177">
        <f>IF(AND($K20&lt;=S$3,S$3&lt;=$L20),$J20/$M20*HLOOKUP(S$3,'FX Lookup'!$A$2:$Y$4,3,FALSE),0)</f>
        <v>0</v>
      </c>
      <c r="T20" s="177">
        <f>IF(AND($K20&lt;=T$3,T$3&lt;=$L20),$J20/$M20*HLOOKUP(T$3,'FX Lookup'!$A$2:$Y$4,3,FALSE),0)</f>
        <v>0</v>
      </c>
      <c r="U20" s="177">
        <f>IF(AND($K20&lt;=U$3,U$3&lt;=$L20),$J20/$M20*HLOOKUP(U$3,'FX Lookup'!$A$2:$Y$4,3,FALSE),0)</f>
        <v>0</v>
      </c>
      <c r="V20" s="177">
        <f>IF(AND($K20&lt;=V$3,V$3&lt;=$L20),$J20/$M20*HLOOKUP(V$3,'FX Lookup'!$A$2:$Y$4,3,FALSE),0)</f>
        <v>0</v>
      </c>
      <c r="W20" s="177">
        <f>IF(AND($K20&lt;=W$3,W$3&lt;=$L20),$J20/$M20*HLOOKUP(W$3,'FX Lookup'!$A$2:$Y$4,3,FALSE),0)</f>
        <v>0</v>
      </c>
      <c r="X20" s="177">
        <f>IF(AND($K20&lt;=X$3,X$3&lt;=$L20),$J20/$M20*HLOOKUP(X$3,'FX Lookup'!$A$2:$Y$4,3,FALSE),0)</f>
        <v>0</v>
      </c>
      <c r="Y20" s="177">
        <f>IF(AND($K20&lt;=Y$3,Y$3&lt;=$L20),$J20/$M20*HLOOKUP(Y$3,'FX Lookup'!$A$2:$Y$4,3,FALSE),0)</f>
        <v>0</v>
      </c>
      <c r="Z20" s="178">
        <f t="shared" si="15"/>
        <v>0</v>
      </c>
      <c r="AA20" s="173" t="s">
        <v>2368</v>
      </c>
      <c r="AB20" s="184"/>
      <c r="AC20" s="456">
        <v>46023</v>
      </c>
      <c r="AD20" s="456">
        <v>46387</v>
      </c>
      <c r="AE20" s="176">
        <f t="shared" si="1"/>
        <v>12</v>
      </c>
      <c r="AF20" s="177">
        <f>IF(AND($AC20&lt;=AF$3,AF$3&lt;=$AD20),$AB20/$AE20*HLOOKUP(AF$3,'FX Lookup'!$A$2:$Y$4,3,FALSE),0)</f>
        <v>0</v>
      </c>
      <c r="AG20" s="177">
        <f>IF(AND($AC20&lt;=AG$3,AG$3&lt;=$AD20),$AB20/$AE20*HLOOKUP(AG$3,'FX Lookup'!$A$2:$Y$4,3,FALSE),0)</f>
        <v>0</v>
      </c>
      <c r="AH20" s="177">
        <f>IF(AND($AC20&lt;=AH$3,AH$3&lt;=$AD20),$AB20/$AE20*HLOOKUP(AH$3,'FX Lookup'!$A$2:$Y$4,3,FALSE),0)</f>
        <v>0</v>
      </c>
      <c r="AI20" s="177">
        <f>IF(AND($AC20&lt;=AI$3,AI$3&lt;=$AD20),$AB20/$AE20*HLOOKUP(AI$3,'FX Lookup'!$A$2:$Y$4,3,FALSE),0)</f>
        <v>0</v>
      </c>
      <c r="AJ20" s="177">
        <f>IF(AND($AC20&lt;=AJ$3,AJ$3&lt;=$AD20),$AB20/$AE20*HLOOKUP(AJ$3,'FX Lookup'!$A$2:$Y$4,3,FALSE),0)</f>
        <v>0</v>
      </c>
      <c r="AK20" s="177">
        <f>IF(AND($AC20&lt;=AK$3,AK$3&lt;=$AD20),$AB20/$AE20*HLOOKUP(AK$3,'FX Lookup'!$A$2:$Y$4,3,FALSE),0)</f>
        <v>0</v>
      </c>
      <c r="AL20" s="177">
        <f>IF(AND($AC20&lt;=AL$3,AL$3&lt;=$AD20),$AB20/$AE20*HLOOKUP(AL$3,'FX Lookup'!$A$2:$Y$4,3,FALSE),0)</f>
        <v>0</v>
      </c>
      <c r="AM20" s="177">
        <f>IF(AND($AC20&lt;=AM$3,AM$3&lt;=$AD20),$AB20/$AE20*HLOOKUP(AM$3,'FX Lookup'!$A$2:$Y$4,3,FALSE),0)</f>
        <v>0</v>
      </c>
      <c r="AN20" s="177">
        <f>IF(AND($AC20&lt;=AN$3,AN$3&lt;=$AD20),$AB20/$AE20*HLOOKUP(AN$3,'FX Lookup'!$A$2:$Y$4,3,FALSE),0)</f>
        <v>0</v>
      </c>
      <c r="AO20" s="177">
        <f>IF(AND($AC20&lt;=AO$3,AO$3&lt;=$AD20),$AB20/$AE20*HLOOKUP(AO$3,'FX Lookup'!$A$2:$Y$4,3,FALSE),0)</f>
        <v>0</v>
      </c>
      <c r="AP20" s="177">
        <f>IF(AND($AC20&lt;=AP$3,AP$3&lt;=$AD20),$AB20/$AE20*HLOOKUP(AP$3,'FX Lookup'!$A$2:$Y$4,3,FALSE),0)</f>
        <v>0</v>
      </c>
      <c r="AQ20" s="177">
        <f>IF(AND($AC20&lt;=AQ$3,AQ$3&lt;=$AD20),$AB20/$AE20*HLOOKUP(AQ$3,'FX Lookup'!$A$2:$Y$4,3,FALSE),0)</f>
        <v>0</v>
      </c>
      <c r="AR20" s="178">
        <f t="shared" si="16"/>
        <v>0</v>
      </c>
      <c r="AT20" s="177">
        <f t="shared" si="2"/>
        <v>0</v>
      </c>
      <c r="AU20" s="177">
        <f t="shared" si="3"/>
        <v>0</v>
      </c>
      <c r="AV20" s="177">
        <f t="shared" si="4"/>
        <v>0</v>
      </c>
      <c r="AW20" s="177">
        <f t="shared" si="5"/>
        <v>0</v>
      </c>
      <c r="AX20" s="177">
        <f t="shared" si="6"/>
        <v>0</v>
      </c>
      <c r="AY20" s="177">
        <f t="shared" si="7"/>
        <v>0</v>
      </c>
      <c r="AZ20" s="177">
        <f t="shared" si="8"/>
        <v>0</v>
      </c>
      <c r="BA20" s="177">
        <f t="shared" si="9"/>
        <v>0</v>
      </c>
      <c r="BB20" s="177">
        <f t="shared" si="10"/>
        <v>0</v>
      </c>
      <c r="BC20" s="177">
        <f t="shared" si="11"/>
        <v>0</v>
      </c>
      <c r="BD20" s="177">
        <f t="shared" si="12"/>
        <v>0</v>
      </c>
      <c r="BE20" s="177">
        <f t="shared" si="13"/>
        <v>0</v>
      </c>
      <c r="BF20" s="178">
        <f t="shared" si="17"/>
        <v>0</v>
      </c>
    </row>
    <row r="21" spans="1:58" ht="13.5" customHeight="1">
      <c r="A21" s="171">
        <f t="shared" si="18"/>
        <v>16</v>
      </c>
      <c r="B21" s="171" t="s">
        <v>2110</v>
      </c>
      <c r="C21" s="171"/>
      <c r="D21" s="171" t="s">
        <v>1539</v>
      </c>
      <c r="E21" s="172" t="s">
        <v>1541</v>
      </c>
      <c r="F21" s="172" t="s">
        <v>2721</v>
      </c>
      <c r="G21" s="77" t="s">
        <v>2613</v>
      </c>
      <c r="H21" s="173" t="s">
        <v>2614</v>
      </c>
      <c r="I21" s="173" t="s">
        <v>2368</v>
      </c>
      <c r="J21" s="184">
        <v>180000</v>
      </c>
      <c r="K21" s="456">
        <v>45839</v>
      </c>
      <c r="L21" s="456">
        <v>45869</v>
      </c>
      <c r="M21" s="176">
        <f t="shared" si="0"/>
        <v>1</v>
      </c>
      <c r="N21" s="177">
        <f>IF(AND($K21&lt;=N$3,N$3&lt;=$L21),$J21/$M21*HLOOKUP(N$3,'FX Lookup'!$A$2:$Y$4,3,FALSE),0)</f>
        <v>0</v>
      </c>
      <c r="O21" s="177">
        <f>IF(AND($K21&lt;=O$3,O$3&lt;=$L21),$J21/$M21*HLOOKUP(O$3,'FX Lookup'!$A$2:$Y$4,3,FALSE),0)</f>
        <v>0</v>
      </c>
      <c r="P21" s="177">
        <f>IF(AND($K21&lt;=P$3,P$3&lt;=$L21),$J21/$M21*HLOOKUP(P$3,'FX Lookup'!$A$2:$Y$4,3,FALSE),0)</f>
        <v>0</v>
      </c>
      <c r="Q21" s="177">
        <f>IF(AND($K21&lt;=Q$3,Q$3&lt;=$L21),$J21/$M21*HLOOKUP(Q$3,'FX Lookup'!$A$2:$Y$4,3,FALSE),0)</f>
        <v>0</v>
      </c>
      <c r="R21" s="177">
        <f>IF(AND($K21&lt;=R$3,R$3&lt;=$L21),$J21/$M21*HLOOKUP(R$3,'FX Lookup'!$A$2:$Y$4,3,FALSE),0)</f>
        <v>0</v>
      </c>
      <c r="S21" s="177">
        <f>IF(AND($K21&lt;=S$3,S$3&lt;=$L21),$J21/$M21*HLOOKUP(S$3,'FX Lookup'!$A$2:$Y$4,3,FALSE),0)</f>
        <v>0</v>
      </c>
      <c r="T21" s="177">
        <f>IF(AND($K21&lt;=T$3,T$3&lt;=$L21),$J21/$M21*HLOOKUP(T$3,'FX Lookup'!$A$2:$Y$4,3,FALSE),0)</f>
        <v>168465.6</v>
      </c>
      <c r="U21" s="177">
        <f>IF(AND($K21&lt;=U$3,U$3&lt;=$L21),$J21/$M21*HLOOKUP(U$3,'FX Lookup'!$A$2:$Y$4,3,FALSE),0)</f>
        <v>0</v>
      </c>
      <c r="V21" s="177">
        <f>IF(AND($K21&lt;=V$3,V$3&lt;=$L21),$J21/$M21*HLOOKUP(V$3,'FX Lookup'!$A$2:$Y$4,3,FALSE),0)</f>
        <v>0</v>
      </c>
      <c r="W21" s="177">
        <f>IF(AND($K21&lt;=W$3,W$3&lt;=$L21),$J21/$M21*HLOOKUP(W$3,'FX Lookup'!$A$2:$Y$4,3,FALSE),0)</f>
        <v>0</v>
      </c>
      <c r="X21" s="177">
        <f>IF(AND($K21&lt;=X$3,X$3&lt;=$L21),$J21/$M21*HLOOKUP(X$3,'FX Lookup'!$A$2:$Y$4,3,FALSE),0)</f>
        <v>0</v>
      </c>
      <c r="Y21" s="177">
        <f>IF(AND($K21&lt;=Y$3,Y$3&lt;=$L21),$J21/$M21*HLOOKUP(Y$3,'FX Lookup'!$A$2:$Y$4,3,FALSE),0)</f>
        <v>0</v>
      </c>
      <c r="Z21" s="178">
        <f t="shared" si="15"/>
        <v>168465.6</v>
      </c>
      <c r="AA21" s="173" t="s">
        <v>2368</v>
      </c>
      <c r="AB21" s="174">
        <f>200000</f>
        <v>200000</v>
      </c>
      <c r="AC21" s="456">
        <v>46235</v>
      </c>
      <c r="AD21" s="456">
        <v>46387</v>
      </c>
      <c r="AE21" s="176">
        <f t="shared" si="1"/>
        <v>5</v>
      </c>
      <c r="AF21" s="177">
        <f>IF(AND($AC21&lt;=AF$3,AF$3&lt;=$AD21),$AB21/$AE21*HLOOKUP(AF$3,'FX Lookup'!$A$2:$Y$4,3,FALSE),0)</f>
        <v>0</v>
      </c>
      <c r="AG21" s="177">
        <f>IF(AND($AC21&lt;=AG$3,AG$3&lt;=$AD21),$AB21/$AE21*HLOOKUP(AG$3,'FX Lookup'!$A$2:$Y$4,3,FALSE),0)</f>
        <v>0</v>
      </c>
      <c r="AH21" s="177">
        <f>IF(AND($AC21&lt;=AH$3,AH$3&lt;=$AD21),$AB21/$AE21*HLOOKUP(AH$3,'FX Lookup'!$A$2:$Y$4,3,FALSE),0)</f>
        <v>0</v>
      </c>
      <c r="AI21" s="177">
        <f>IF(AND($AC21&lt;=AI$3,AI$3&lt;=$AD21),$AB21/$AE21*HLOOKUP(AI$3,'FX Lookup'!$A$2:$Y$4,3,FALSE),0)</f>
        <v>0</v>
      </c>
      <c r="AJ21" s="177">
        <f>IF(AND($AC21&lt;=AJ$3,AJ$3&lt;=$AD21),$AB21/$AE21*HLOOKUP(AJ$3,'FX Lookup'!$A$2:$Y$4,3,FALSE),0)</f>
        <v>0</v>
      </c>
      <c r="AK21" s="177">
        <f>IF(AND($AC21&lt;=AK$3,AK$3&lt;=$AD21),$AB21/$AE21*HLOOKUP(AK$3,'FX Lookup'!$A$2:$Y$4,3,FALSE),0)</f>
        <v>0</v>
      </c>
      <c r="AL21" s="177">
        <f>IF(AND($AC21&lt;=AL$3,AL$3&lt;=$AD21),$AB21/$AE21*HLOOKUP(AL$3,'FX Lookup'!$A$2:$Y$4,3,FALSE),0)</f>
        <v>0</v>
      </c>
      <c r="AM21" s="177">
        <f>IF(AND($AC21&lt;=AM$3,AM$3&lt;=$AD21),$AB21/$AE21*HLOOKUP(AM$3,'FX Lookup'!$A$2:$Y$4,3,FALSE),0)</f>
        <v>35288</v>
      </c>
      <c r="AN21" s="177">
        <f>IF(AND($AC21&lt;=AN$3,AN$3&lt;=$AD21),$AB21/$AE21*HLOOKUP(AN$3,'FX Lookup'!$A$2:$Y$4,3,FALSE),0)</f>
        <v>35288</v>
      </c>
      <c r="AO21" s="177">
        <f>IF(AND($AC21&lt;=AO$3,AO$3&lt;=$AD21),$AB21/$AE21*HLOOKUP(AO$3,'FX Lookup'!$A$2:$Y$4,3,FALSE),0)</f>
        <v>35288</v>
      </c>
      <c r="AP21" s="177">
        <f>IF(AND($AC21&lt;=AP$3,AP$3&lt;=$AD21),$AB21/$AE21*HLOOKUP(AP$3,'FX Lookup'!$A$2:$Y$4,3,FALSE),0)</f>
        <v>35288</v>
      </c>
      <c r="AQ21" s="177">
        <f>IF(AND($AC21&lt;=AQ$3,AQ$3&lt;=$AD21),$AB21/$AE21*HLOOKUP(AQ$3,'FX Lookup'!$A$2:$Y$4,3,FALSE),0)</f>
        <v>35288</v>
      </c>
      <c r="AR21" s="178">
        <f t="shared" si="16"/>
        <v>176440</v>
      </c>
      <c r="AT21" s="177">
        <f t="shared" si="2"/>
        <v>0</v>
      </c>
      <c r="AU21" s="177">
        <f t="shared" si="3"/>
        <v>0</v>
      </c>
      <c r="AV21" s="177">
        <f t="shared" si="4"/>
        <v>0</v>
      </c>
      <c r="AW21" s="177">
        <f t="shared" si="5"/>
        <v>0</v>
      </c>
      <c r="AX21" s="177">
        <f t="shared" si="6"/>
        <v>0</v>
      </c>
      <c r="AY21" s="177">
        <f t="shared" si="7"/>
        <v>0</v>
      </c>
      <c r="AZ21" s="177">
        <f t="shared" si="8"/>
        <v>0</v>
      </c>
      <c r="BA21" s="177">
        <f t="shared" si="9"/>
        <v>37052.400000000001</v>
      </c>
      <c r="BB21" s="177">
        <f t="shared" si="10"/>
        <v>37052.400000000001</v>
      </c>
      <c r="BC21" s="177">
        <f t="shared" si="11"/>
        <v>37052.400000000001</v>
      </c>
      <c r="BD21" s="177">
        <f t="shared" si="12"/>
        <v>37052.400000000001</v>
      </c>
      <c r="BE21" s="177">
        <f t="shared" si="13"/>
        <v>37052.400000000001</v>
      </c>
      <c r="BF21" s="178">
        <f t="shared" si="17"/>
        <v>185262</v>
      </c>
    </row>
    <row r="22" spans="1:58" ht="13.5" customHeight="1">
      <c r="A22" s="171">
        <f t="shared" si="18"/>
        <v>17</v>
      </c>
      <c r="B22" s="171" t="s">
        <v>2110</v>
      </c>
      <c r="C22" s="171"/>
      <c r="D22" s="171" t="s">
        <v>1867</v>
      </c>
      <c r="E22" s="172" t="s">
        <v>2722</v>
      </c>
      <c r="F22" s="172"/>
      <c r="G22" s="77" t="s">
        <v>2613</v>
      </c>
      <c r="H22" s="173" t="s">
        <v>2614</v>
      </c>
      <c r="I22" s="173" t="s">
        <v>2368</v>
      </c>
      <c r="J22" s="184"/>
      <c r="K22" s="456">
        <v>45658</v>
      </c>
      <c r="L22" s="456">
        <v>46022</v>
      </c>
      <c r="M22" s="176">
        <f t="shared" si="0"/>
        <v>12</v>
      </c>
      <c r="N22" s="177">
        <f>IF(AND($K22&lt;=N$3,N$3&lt;=$L22),$J22/$M22*HLOOKUP(N$3,'FX Lookup'!$A$2:$Y$4,3,FALSE),0)</f>
        <v>0</v>
      </c>
      <c r="O22" s="177">
        <f>IF(AND($K22&lt;=O$3,O$3&lt;=$L22),$J22/$M22*HLOOKUP(O$3,'FX Lookup'!$A$2:$Y$4,3,FALSE),0)</f>
        <v>0</v>
      </c>
      <c r="P22" s="177">
        <f>IF(AND($K22&lt;=P$3,P$3&lt;=$L22),$J22/$M22*HLOOKUP(P$3,'FX Lookup'!$A$2:$Y$4,3,FALSE),0)</f>
        <v>0</v>
      </c>
      <c r="Q22" s="177">
        <f>IF(AND($K22&lt;=Q$3,Q$3&lt;=$L22),$J22/$M22*HLOOKUP(Q$3,'FX Lookup'!$A$2:$Y$4,3,FALSE),0)</f>
        <v>0</v>
      </c>
      <c r="R22" s="177">
        <f>IF(AND($K22&lt;=R$3,R$3&lt;=$L22),$J22/$M22*HLOOKUP(R$3,'FX Lookup'!$A$2:$Y$4,3,FALSE),0)</f>
        <v>0</v>
      </c>
      <c r="S22" s="177">
        <f>IF(AND($K22&lt;=S$3,S$3&lt;=$L22),$J22/$M22*HLOOKUP(S$3,'FX Lookup'!$A$2:$Y$4,3,FALSE),0)</f>
        <v>0</v>
      </c>
      <c r="T22" s="177">
        <f>IF(AND($K22&lt;=T$3,T$3&lt;=$L22),$J22/$M22*HLOOKUP(T$3,'FX Lookup'!$A$2:$Y$4,3,FALSE),0)</f>
        <v>0</v>
      </c>
      <c r="U22" s="177">
        <f>IF(AND($K22&lt;=U$3,U$3&lt;=$L22),$J22/$M22*HLOOKUP(U$3,'FX Lookup'!$A$2:$Y$4,3,FALSE),0)</f>
        <v>0</v>
      </c>
      <c r="V22" s="177">
        <f>IF(AND($K22&lt;=V$3,V$3&lt;=$L22),$J22/$M22*HLOOKUP(V$3,'FX Lookup'!$A$2:$Y$4,3,FALSE),0)</f>
        <v>0</v>
      </c>
      <c r="W22" s="177">
        <f>IF(AND($K22&lt;=W$3,W$3&lt;=$L22),$J22/$M22*HLOOKUP(W$3,'FX Lookup'!$A$2:$Y$4,3,FALSE),0)</f>
        <v>0</v>
      </c>
      <c r="X22" s="177">
        <f>IF(AND($K22&lt;=X$3,X$3&lt;=$L22),$J22/$M22*HLOOKUP(X$3,'FX Lookup'!$A$2:$Y$4,3,FALSE),0)</f>
        <v>0</v>
      </c>
      <c r="Y22" s="177">
        <f>IF(AND($K22&lt;=Y$3,Y$3&lt;=$L22),$J22/$M22*HLOOKUP(Y$3,'FX Lookup'!$A$2:$Y$4,3,FALSE),0)</f>
        <v>0</v>
      </c>
      <c r="Z22" s="178">
        <f t="shared" si="15"/>
        <v>0</v>
      </c>
      <c r="AA22" s="173" t="s">
        <v>2368</v>
      </c>
      <c r="AB22" s="184"/>
      <c r="AC22" s="456">
        <v>46023</v>
      </c>
      <c r="AD22" s="456">
        <v>46387</v>
      </c>
      <c r="AE22" s="176">
        <f t="shared" si="1"/>
        <v>12</v>
      </c>
      <c r="AF22" s="177">
        <f>IF(AND($AC22&lt;=AF$3,AF$3&lt;=$AD22),$AB22/$AE22*HLOOKUP(AF$3,'FX Lookup'!$A$2:$Y$4,3,FALSE),0)</f>
        <v>0</v>
      </c>
      <c r="AG22" s="177">
        <f>IF(AND($AC22&lt;=AG$3,AG$3&lt;=$AD22),$AB22/$AE22*HLOOKUP(AG$3,'FX Lookup'!$A$2:$Y$4,3,FALSE),0)</f>
        <v>0</v>
      </c>
      <c r="AH22" s="177">
        <f>IF(AND($AC22&lt;=AH$3,AH$3&lt;=$AD22),$AB22/$AE22*HLOOKUP(AH$3,'FX Lookup'!$A$2:$Y$4,3,FALSE),0)</f>
        <v>0</v>
      </c>
      <c r="AI22" s="177">
        <f>IF(AND($AC22&lt;=AI$3,AI$3&lt;=$AD22),$AB22/$AE22*HLOOKUP(AI$3,'FX Lookup'!$A$2:$Y$4,3,FALSE),0)</f>
        <v>0</v>
      </c>
      <c r="AJ22" s="177">
        <f>IF(AND($AC22&lt;=AJ$3,AJ$3&lt;=$AD22),$AB22/$AE22*HLOOKUP(AJ$3,'FX Lookup'!$A$2:$Y$4,3,FALSE),0)</f>
        <v>0</v>
      </c>
      <c r="AK22" s="177">
        <f>IF(AND($AC22&lt;=AK$3,AK$3&lt;=$AD22),$AB22/$AE22*HLOOKUP(AK$3,'FX Lookup'!$A$2:$Y$4,3,FALSE),0)</f>
        <v>0</v>
      </c>
      <c r="AL22" s="177">
        <f>IF(AND($AC22&lt;=AL$3,AL$3&lt;=$AD22),$AB22/$AE22*HLOOKUP(AL$3,'FX Lookup'!$A$2:$Y$4,3,FALSE),0)</f>
        <v>0</v>
      </c>
      <c r="AM22" s="177">
        <f>IF(AND($AC22&lt;=AM$3,AM$3&lt;=$AD22),$AB22/$AE22*HLOOKUP(AM$3,'FX Lookup'!$A$2:$Y$4,3,FALSE),0)</f>
        <v>0</v>
      </c>
      <c r="AN22" s="177">
        <f>IF(AND($AC22&lt;=AN$3,AN$3&lt;=$AD22),$AB22/$AE22*HLOOKUP(AN$3,'FX Lookup'!$A$2:$Y$4,3,FALSE),0)</f>
        <v>0</v>
      </c>
      <c r="AO22" s="177">
        <f>IF(AND($AC22&lt;=AO$3,AO$3&lt;=$AD22),$AB22/$AE22*HLOOKUP(AO$3,'FX Lookup'!$A$2:$Y$4,3,FALSE),0)</f>
        <v>0</v>
      </c>
      <c r="AP22" s="177">
        <f>IF(AND($AC22&lt;=AP$3,AP$3&lt;=$AD22),$AB22/$AE22*HLOOKUP(AP$3,'FX Lookup'!$A$2:$Y$4,3,FALSE),0)</f>
        <v>0</v>
      </c>
      <c r="AQ22" s="177">
        <f>IF(AND($AC22&lt;=AQ$3,AQ$3&lt;=$AD22),$AB22/$AE22*HLOOKUP(AQ$3,'FX Lookup'!$A$2:$Y$4,3,FALSE),0)</f>
        <v>0</v>
      </c>
      <c r="AR22" s="178">
        <f t="shared" si="16"/>
        <v>0</v>
      </c>
      <c r="AT22" s="177">
        <f t="shared" si="2"/>
        <v>0</v>
      </c>
      <c r="AU22" s="177">
        <f t="shared" si="3"/>
        <v>0</v>
      </c>
      <c r="AV22" s="177">
        <f t="shared" si="4"/>
        <v>0</v>
      </c>
      <c r="AW22" s="177">
        <f t="shared" si="5"/>
        <v>0</v>
      </c>
      <c r="AX22" s="177">
        <f t="shared" si="6"/>
        <v>0</v>
      </c>
      <c r="AY22" s="177">
        <f t="shared" si="7"/>
        <v>0</v>
      </c>
      <c r="AZ22" s="177">
        <f t="shared" si="8"/>
        <v>0</v>
      </c>
      <c r="BA22" s="177">
        <f t="shared" si="9"/>
        <v>0</v>
      </c>
      <c r="BB22" s="177">
        <f t="shared" si="10"/>
        <v>0</v>
      </c>
      <c r="BC22" s="177">
        <f t="shared" si="11"/>
        <v>0</v>
      </c>
      <c r="BD22" s="177">
        <f t="shared" si="12"/>
        <v>0</v>
      </c>
      <c r="BE22" s="177">
        <f t="shared" si="13"/>
        <v>0</v>
      </c>
      <c r="BF22" s="178">
        <f t="shared" si="17"/>
        <v>0</v>
      </c>
    </row>
    <row r="23" spans="1:58">
      <c r="N23" s="179"/>
      <c r="O23" s="179"/>
      <c r="P23" s="179"/>
      <c r="Q23" s="179"/>
      <c r="R23" s="179"/>
      <c r="S23" s="179"/>
      <c r="T23" s="179"/>
      <c r="U23" s="179"/>
      <c r="V23" s="179"/>
      <c r="W23" s="179"/>
      <c r="X23" s="179"/>
      <c r="Y23" s="179"/>
      <c r="Z23" s="179"/>
      <c r="AF23" s="179"/>
      <c r="AG23" s="179"/>
      <c r="AH23" s="179"/>
      <c r="AI23" s="179"/>
      <c r="AJ23" s="179"/>
      <c r="AK23" s="179"/>
      <c r="AL23" s="179"/>
      <c r="AM23" s="179"/>
      <c r="AN23" s="179"/>
      <c r="AO23" s="179"/>
      <c r="AP23" s="179"/>
      <c r="AQ23" s="179"/>
      <c r="AR23" s="179"/>
      <c r="AT23" s="179"/>
      <c r="AU23" s="179"/>
      <c r="AV23" s="179"/>
      <c r="AW23" s="179"/>
      <c r="AX23" s="179"/>
      <c r="AY23" s="179"/>
      <c r="AZ23" s="179"/>
      <c r="BA23" s="179"/>
      <c r="BB23" s="179"/>
      <c r="BC23" s="179"/>
      <c r="BD23" s="179"/>
      <c r="BE23" s="179"/>
      <c r="BF23" s="179"/>
    </row>
    <row r="24" spans="1:58" s="151" customFormat="1" ht="13.5" thickBot="1">
      <c r="B24" s="151" t="str">
        <f>B21</f>
        <v>ACPL</v>
      </c>
      <c r="C24" s="151" t="str">
        <f>'CF-ACPL（合并）'!A25</f>
        <v>支付的其他与经营活动有关的现金（专业服务费）</v>
      </c>
      <c r="N24" s="181">
        <f t="shared" ref="N24:T24" si="19">SUM(N6:N22)</f>
        <v>16659.376</v>
      </c>
      <c r="O24" s="181">
        <f t="shared" si="19"/>
        <v>16659.376</v>
      </c>
      <c r="P24" s="181">
        <f t="shared" si="19"/>
        <v>105103.81600000001</v>
      </c>
      <c r="Q24" s="181">
        <f t="shared" si="19"/>
        <v>115659.870496</v>
      </c>
      <c r="R24" s="181">
        <f t="shared" si="19"/>
        <v>39121.455999999991</v>
      </c>
      <c r="S24" s="181">
        <f t="shared" si="19"/>
        <v>301179.05599999998</v>
      </c>
      <c r="T24" s="181">
        <f t="shared" si="19"/>
        <v>185124.976</v>
      </c>
      <c r="U24" s="181">
        <f t="shared" ref="U24:Z24" si="20">SUM(U6:U22)</f>
        <v>16659.376</v>
      </c>
      <c r="V24" s="181">
        <f t="shared" si="20"/>
        <v>16659.376</v>
      </c>
      <c r="W24" s="181">
        <f t="shared" si="20"/>
        <v>16659.376</v>
      </c>
      <c r="X24" s="181">
        <f t="shared" si="20"/>
        <v>16659.376</v>
      </c>
      <c r="Y24" s="181">
        <f t="shared" si="20"/>
        <v>31704.757959999999</v>
      </c>
      <c r="Z24" s="181">
        <f t="shared" si="20"/>
        <v>877850.18845599995</v>
      </c>
      <c r="AB24" s="181">
        <f>SUM(AB6:AB22)</f>
        <v>1134832.75</v>
      </c>
      <c r="AF24" s="181">
        <f>SUM(AF6:AF22)</f>
        <v>118004.73825583332</v>
      </c>
      <c r="AG24" s="181">
        <f t="shared" ref="AG24:AR24" si="21">SUM(AG6:AG22)</f>
        <v>36398.101666666669</v>
      </c>
      <c r="AH24" s="181">
        <f t="shared" si="21"/>
        <v>36398.101666666669</v>
      </c>
      <c r="AI24" s="181">
        <f t="shared" si="21"/>
        <v>36398.101666666669</v>
      </c>
      <c r="AJ24" s="181">
        <f t="shared" si="21"/>
        <v>264887.90166666661</v>
      </c>
      <c r="AK24" s="181">
        <f t="shared" si="21"/>
        <v>115266.78166666666</v>
      </c>
      <c r="AL24" s="181">
        <f t="shared" si="21"/>
        <v>36398.101666666669</v>
      </c>
      <c r="AM24" s="181">
        <f t="shared" si="21"/>
        <v>71686.101666666669</v>
      </c>
      <c r="AN24" s="181">
        <f t="shared" si="21"/>
        <v>71686.101666666669</v>
      </c>
      <c r="AO24" s="181">
        <f t="shared" si="21"/>
        <v>71686.101666666669</v>
      </c>
      <c r="AP24" s="181">
        <f t="shared" si="21"/>
        <v>71686.101666666669</v>
      </c>
      <c r="AQ24" s="181">
        <f t="shared" si="21"/>
        <v>71686.101666666669</v>
      </c>
      <c r="AR24" s="181">
        <f t="shared" si="21"/>
        <v>1002182.3365891668</v>
      </c>
      <c r="AT24" s="181">
        <f>SUM(AT6:AT22)</f>
        <v>123904.97516862501</v>
      </c>
      <c r="AU24" s="181">
        <f t="shared" ref="AU24:BF24" si="22">SUM(AU6:AU22)</f>
        <v>38218.00675</v>
      </c>
      <c r="AV24" s="181">
        <f t="shared" si="22"/>
        <v>38218.00675</v>
      </c>
      <c r="AW24" s="181">
        <f t="shared" si="22"/>
        <v>38218.00675</v>
      </c>
      <c r="AX24" s="181">
        <f t="shared" si="22"/>
        <v>278132.29674999998</v>
      </c>
      <c r="AY24" s="181">
        <f t="shared" si="22"/>
        <v>121030.12075</v>
      </c>
      <c r="AZ24" s="181">
        <f t="shared" si="22"/>
        <v>38218.00675</v>
      </c>
      <c r="BA24" s="181">
        <f t="shared" si="22"/>
        <v>75270.406749999995</v>
      </c>
      <c r="BB24" s="181">
        <f t="shared" si="22"/>
        <v>75270.406749999995</v>
      </c>
      <c r="BC24" s="181">
        <f t="shared" si="22"/>
        <v>75270.406749999995</v>
      </c>
      <c r="BD24" s="181">
        <f t="shared" si="22"/>
        <v>75270.406749999995</v>
      </c>
      <c r="BE24" s="181">
        <f t="shared" si="22"/>
        <v>75270.406749999995</v>
      </c>
      <c r="BF24" s="181">
        <f t="shared" si="22"/>
        <v>1052291.4534186251</v>
      </c>
    </row>
    <row r="25" spans="1:58" ht="13.5" thickTop="1">
      <c r="N25" s="179"/>
      <c r="O25" s="179"/>
      <c r="P25" s="179"/>
      <c r="Q25" s="179"/>
      <c r="R25" s="179"/>
      <c r="S25" s="179"/>
      <c r="T25" s="179"/>
      <c r="U25" s="179"/>
      <c r="V25" s="179"/>
      <c r="W25" s="179"/>
      <c r="X25" s="179"/>
      <c r="Y25" s="179"/>
      <c r="AF25" s="179"/>
      <c r="AG25" s="179"/>
      <c r="AH25" s="179"/>
      <c r="AI25" s="179"/>
      <c r="AJ25" s="179"/>
      <c r="AK25" s="179"/>
      <c r="AL25" s="179"/>
      <c r="AM25" s="179"/>
      <c r="AN25" s="179"/>
      <c r="AO25" s="179"/>
      <c r="AP25" s="179"/>
      <c r="AQ25" s="179"/>
      <c r="AT25" s="179"/>
      <c r="AU25" s="179"/>
      <c r="AV25" s="179"/>
      <c r="AW25" s="179"/>
      <c r="AX25" s="179"/>
      <c r="AY25" s="179"/>
      <c r="AZ25" s="179"/>
      <c r="BA25" s="179"/>
      <c r="BB25" s="179"/>
      <c r="BC25" s="179"/>
      <c r="BD25" s="179"/>
      <c r="BE25" s="179"/>
    </row>
    <row r="26" spans="1:58" s="150" customFormat="1" ht="13.5" customHeight="1">
      <c r="A26" s="162"/>
      <c r="B26" s="162" t="s">
        <v>2598</v>
      </c>
      <c r="C26" s="162" t="s">
        <v>2401</v>
      </c>
      <c r="D26" s="162" t="s">
        <v>2704</v>
      </c>
      <c r="E26" s="163" t="str">
        <f>$E$3</f>
        <v>Professional Fee</v>
      </c>
      <c r="F26" s="163"/>
      <c r="G26" s="164" t="s">
        <v>2604</v>
      </c>
      <c r="H26" s="164" t="s">
        <v>2605</v>
      </c>
      <c r="I26" s="165" t="s">
        <v>2606</v>
      </c>
      <c r="J26" s="166" t="s">
        <v>2607</v>
      </c>
      <c r="K26" s="167" t="s">
        <v>2608</v>
      </c>
      <c r="L26" s="167" t="s">
        <v>2609</v>
      </c>
      <c r="M26" s="166" t="s">
        <v>2610</v>
      </c>
      <c r="N26" s="69">
        <v>45658</v>
      </c>
      <c r="O26" s="69">
        <v>45689</v>
      </c>
      <c r="P26" s="69">
        <v>45717</v>
      </c>
      <c r="Q26" s="69">
        <v>45748</v>
      </c>
      <c r="R26" s="69">
        <v>45778</v>
      </c>
      <c r="S26" s="69">
        <v>45809</v>
      </c>
      <c r="T26" s="69">
        <v>45839</v>
      </c>
      <c r="U26" s="69">
        <v>45870</v>
      </c>
      <c r="V26" s="69">
        <v>45901</v>
      </c>
      <c r="W26" s="69">
        <v>45931</v>
      </c>
      <c r="X26" s="69">
        <v>45962</v>
      </c>
      <c r="Y26" s="69">
        <v>45992</v>
      </c>
      <c r="Z26" s="168" t="s">
        <v>2115</v>
      </c>
      <c r="AA26" s="165" t="s">
        <v>2606</v>
      </c>
      <c r="AB26" s="166" t="s">
        <v>2607</v>
      </c>
      <c r="AC26" s="167" t="s">
        <v>2608</v>
      </c>
      <c r="AD26" s="167" t="s">
        <v>2609</v>
      </c>
      <c r="AE26" s="166" t="s">
        <v>2610</v>
      </c>
      <c r="AF26" s="69">
        <v>46023</v>
      </c>
      <c r="AG26" s="69">
        <v>46054</v>
      </c>
      <c r="AH26" s="69">
        <v>46082</v>
      </c>
      <c r="AI26" s="69">
        <v>46113</v>
      </c>
      <c r="AJ26" s="69">
        <v>46143</v>
      </c>
      <c r="AK26" s="69">
        <v>46174</v>
      </c>
      <c r="AL26" s="69">
        <v>46204</v>
      </c>
      <c r="AM26" s="69">
        <v>46235</v>
      </c>
      <c r="AN26" s="69">
        <v>46266</v>
      </c>
      <c r="AO26" s="69">
        <v>46296</v>
      </c>
      <c r="AP26" s="69">
        <v>46327</v>
      </c>
      <c r="AQ26" s="69">
        <v>46357</v>
      </c>
      <c r="AR26" s="168" t="s">
        <v>2706</v>
      </c>
      <c r="AT26" s="69">
        <f t="shared" ref="AT26:BF26" si="23">AT$3</f>
        <v>46388</v>
      </c>
      <c r="AU26" s="69">
        <f t="shared" si="23"/>
        <v>46419</v>
      </c>
      <c r="AV26" s="69">
        <f t="shared" si="23"/>
        <v>46447</v>
      </c>
      <c r="AW26" s="69">
        <f t="shared" si="23"/>
        <v>46478</v>
      </c>
      <c r="AX26" s="69">
        <f t="shared" si="23"/>
        <v>46508</v>
      </c>
      <c r="AY26" s="69">
        <f t="shared" si="23"/>
        <v>46539</v>
      </c>
      <c r="AZ26" s="69">
        <f t="shared" si="23"/>
        <v>46569</v>
      </c>
      <c r="BA26" s="69">
        <f t="shared" si="23"/>
        <v>46600</v>
      </c>
      <c r="BB26" s="69">
        <f t="shared" si="23"/>
        <v>46631</v>
      </c>
      <c r="BC26" s="69">
        <f t="shared" si="23"/>
        <v>46661</v>
      </c>
      <c r="BD26" s="69">
        <f t="shared" si="23"/>
        <v>46692</v>
      </c>
      <c r="BE26" s="69">
        <f t="shared" si="23"/>
        <v>46722</v>
      </c>
      <c r="BF26" s="168" t="str">
        <f t="shared" si="23"/>
        <v>2027Total</v>
      </c>
    </row>
    <row r="27" spans="1:58" ht="13.5" customHeight="1">
      <c r="A27" s="171">
        <v>1</v>
      </c>
      <c r="B27" s="171" t="s">
        <v>2109</v>
      </c>
      <c r="C27" s="171" t="s">
        <v>2302</v>
      </c>
      <c r="D27" s="171" t="s">
        <v>1514</v>
      </c>
      <c r="E27" s="172" t="str">
        <f>VLOOKUP($A27,$A$6:$F$22,5,FALSE)</f>
        <v>Accounting / Payment Services</v>
      </c>
      <c r="F27" s="172" t="str">
        <f>VLOOKUP($A27,$A$6:$F$22,6,FALSE)</f>
        <v>Accounting / Payment Services</v>
      </c>
      <c r="G27" s="77" t="s">
        <v>2613</v>
      </c>
      <c r="H27" s="173" t="s">
        <v>2614</v>
      </c>
      <c r="I27" s="173" t="s">
        <v>2368</v>
      </c>
      <c r="J27" s="184">
        <f>8500*(1+$J$2)*12</f>
        <v>122400</v>
      </c>
      <c r="K27" s="456">
        <v>45658</v>
      </c>
      <c r="L27" s="456">
        <v>46022</v>
      </c>
      <c r="M27" s="176">
        <f t="shared" ref="M27:M43" si="24">IF(AND(K27="",L27=""),"-",IF(L27="",12,DATEDIF(K27,L27,"M")+1))</f>
        <v>12</v>
      </c>
      <c r="N27" s="177">
        <f>IF(AND($K27&lt;=N$3,N$3&lt;=$L27),$J27/$M27*HLOOKUP(N$3,'FX Lookup'!$A$2:$Y$4,3,FALSE),0)</f>
        <v>9546.384</v>
      </c>
      <c r="O27" s="177">
        <f>IF(AND($K27&lt;=O$3,O$3&lt;=$L27),$J27/$M27*HLOOKUP(O$3,'FX Lookup'!$A$2:$Y$4,3,FALSE),0)</f>
        <v>9546.384</v>
      </c>
      <c r="P27" s="177">
        <f>IF(AND($K27&lt;=P$3,P$3&lt;=$L27),$J27/$M27*HLOOKUP(P$3,'FX Lookup'!$A$2:$Y$4,3,FALSE),0)</f>
        <v>9546.384</v>
      </c>
      <c r="Q27" s="177">
        <f>IF(AND($K27&lt;=Q$3,Q$3&lt;=$L27),$J27/$M27*HLOOKUP(Q$3,'FX Lookup'!$A$2:$Y$4,3,FALSE),0)</f>
        <v>9546.384</v>
      </c>
      <c r="R27" s="177">
        <f>IF(AND($K27&lt;=R$3,R$3&lt;=$L27),$J27/$M27*HLOOKUP(R$3,'FX Lookup'!$A$2:$Y$4,3,FALSE),0)</f>
        <v>9546.384</v>
      </c>
      <c r="S27" s="177">
        <f>IF(AND($K27&lt;=S$3,S$3&lt;=$L27),$J27/$M27*HLOOKUP(S$3,'FX Lookup'!$A$2:$Y$4,3,FALSE),0)</f>
        <v>9546.384</v>
      </c>
      <c r="T27" s="177">
        <f>IF(AND($K27&lt;=T$3,T$3&lt;=$L27),$J27/$M27*HLOOKUP(T$3,'FX Lookup'!$A$2:$Y$4,3,FALSE),0)</f>
        <v>9546.384</v>
      </c>
      <c r="U27" s="177">
        <f>IF(AND($K27&lt;=U$3,U$3&lt;=$L27),$J27/$M27*HLOOKUP(U$3,'FX Lookup'!$A$2:$Y$4,3,FALSE),0)</f>
        <v>9546.384</v>
      </c>
      <c r="V27" s="177">
        <f>IF(AND($K27&lt;=V$3,V$3&lt;=$L27),$J27/$M27*HLOOKUP(V$3,'FX Lookup'!$A$2:$Y$4,3,FALSE),0)</f>
        <v>9546.384</v>
      </c>
      <c r="W27" s="177">
        <f>IF(AND($K27&lt;=W$3,W$3&lt;=$L27),$J27/$M27*HLOOKUP(W$3,'FX Lookup'!$A$2:$Y$4,3,FALSE),0)</f>
        <v>9546.384</v>
      </c>
      <c r="X27" s="177">
        <f>IF(AND($K27&lt;=X$3,X$3&lt;=$L27),$J27/$M27*HLOOKUP(X$3,'FX Lookup'!$A$2:$Y$4,3,FALSE),0)</f>
        <v>9546.384</v>
      </c>
      <c r="Y27" s="177">
        <f>IF(AND($K27&lt;=Y$3,Y$3&lt;=$L27),$J27/$M27*HLOOKUP(Y$3,'FX Lookup'!$A$2:$Y$4,3,FALSE),0)</f>
        <v>9546.384</v>
      </c>
      <c r="Z27" s="178">
        <f>SUM(N27:Y27)</f>
        <v>114556.60800000002</v>
      </c>
      <c r="AA27" s="173" t="s">
        <v>2368</v>
      </c>
      <c r="AB27" s="174">
        <f>9000*12</f>
        <v>108000</v>
      </c>
      <c r="AC27" s="456">
        <v>46023</v>
      </c>
      <c r="AD27" s="456">
        <v>46387</v>
      </c>
      <c r="AE27" s="176">
        <f t="shared" ref="AE27:AE43" si="25">IF(AND(AC27="",AD27=""),"-",IF(AD27="",12,DATEDIF(AC27,AD27,"M")+1))</f>
        <v>12</v>
      </c>
      <c r="AF27" s="177">
        <f>IF(AND($AC27&lt;=AF$3,AF$3&lt;=$AD27),$AB27/$AE27*HLOOKUP(AF$3,'FX Lookup'!$A$2:$Y$4,3,FALSE),0)</f>
        <v>8009.91</v>
      </c>
      <c r="AG27" s="177">
        <f>IF(AND($AC27&lt;=AG$3,AG$3&lt;=$AD27),$AB27/$AE27*HLOOKUP(AG$3,'FX Lookup'!$A$2:$Y$4,3,FALSE),0)</f>
        <v>7939.8</v>
      </c>
      <c r="AH27" s="177">
        <f>IF(AND($AC27&lt;=AH$3,AH$3&lt;=$AD27),$AB27/$AE27*HLOOKUP(AH$3,'FX Lookup'!$A$2:$Y$4,3,FALSE),0)</f>
        <v>7939.8</v>
      </c>
      <c r="AI27" s="177">
        <f>IF(AND($AC27&lt;=AI$3,AI$3&lt;=$AD27),$AB27/$AE27*HLOOKUP(AI$3,'FX Lookup'!$A$2:$Y$4,3,FALSE),0)</f>
        <v>7939.8</v>
      </c>
      <c r="AJ27" s="177">
        <f>IF(AND($AC27&lt;=AJ$3,AJ$3&lt;=$AD27),$AB27/$AE27*HLOOKUP(AJ$3,'FX Lookup'!$A$2:$Y$4,3,FALSE),0)</f>
        <v>7939.8</v>
      </c>
      <c r="AK27" s="177">
        <f>IF(AND($AC27&lt;=AK$3,AK$3&lt;=$AD27),$AB27/$AE27*HLOOKUP(AK$3,'FX Lookup'!$A$2:$Y$4,3,FALSE),0)</f>
        <v>7939.8</v>
      </c>
      <c r="AL27" s="177">
        <f>IF(AND($AC27&lt;=AL$3,AL$3&lt;=$AD27),$AB27/$AE27*HLOOKUP(AL$3,'FX Lookup'!$A$2:$Y$4,3,FALSE),0)</f>
        <v>7939.8</v>
      </c>
      <c r="AM27" s="177">
        <f>IF(AND($AC27&lt;=AM$3,AM$3&lt;=$AD27),$AB27/$AE27*HLOOKUP(AM$3,'FX Lookup'!$A$2:$Y$4,3,FALSE),0)</f>
        <v>7939.8</v>
      </c>
      <c r="AN27" s="177">
        <f>IF(AND($AC27&lt;=AN$3,AN$3&lt;=$AD27),$AB27/$AE27*HLOOKUP(AN$3,'FX Lookup'!$A$2:$Y$4,3,FALSE),0)</f>
        <v>7939.8</v>
      </c>
      <c r="AO27" s="177">
        <f>IF(AND($AC27&lt;=AO$3,AO$3&lt;=$AD27),$AB27/$AE27*HLOOKUP(AO$3,'FX Lookup'!$A$2:$Y$4,3,FALSE),0)</f>
        <v>7939.8</v>
      </c>
      <c r="AP27" s="177">
        <f>IF(AND($AC27&lt;=AP$3,AP$3&lt;=$AD27),$AB27/$AE27*HLOOKUP(AP$3,'FX Lookup'!$A$2:$Y$4,3,FALSE),0)</f>
        <v>7939.8</v>
      </c>
      <c r="AQ27" s="177">
        <f>IF(AND($AC27&lt;=AQ$3,AQ$3&lt;=$AD27),$AB27/$AE27*HLOOKUP(AQ$3,'FX Lookup'!$A$2:$Y$4,3,FALSE),0)</f>
        <v>7939.8</v>
      </c>
      <c r="AR27" s="178">
        <f>SUM(AF27:AQ27)</f>
        <v>95347.710000000021</v>
      </c>
      <c r="AT27" s="177">
        <f t="shared" ref="AT27:AT43" si="26">AF27*(1+$AT$1)</f>
        <v>8410.4055000000008</v>
      </c>
      <c r="AU27" s="177">
        <f t="shared" ref="AU27:AU43" si="27">AG27*(1+$AT$1)</f>
        <v>8336.7900000000009</v>
      </c>
      <c r="AV27" s="177">
        <f t="shared" ref="AV27:AV43" si="28">AH27*(1+$AT$1)</f>
        <v>8336.7900000000009</v>
      </c>
      <c r="AW27" s="177">
        <f t="shared" ref="AW27:AW43" si="29">AI27*(1+$AT$1)</f>
        <v>8336.7900000000009</v>
      </c>
      <c r="AX27" s="177">
        <f t="shared" ref="AX27:AX43" si="30">AJ27*(1+$AT$1)</f>
        <v>8336.7900000000009</v>
      </c>
      <c r="AY27" s="177">
        <f t="shared" ref="AY27:AY43" si="31">AK27*(1+$AT$1)</f>
        <v>8336.7900000000009</v>
      </c>
      <c r="AZ27" s="177">
        <f t="shared" ref="AZ27:AZ43" si="32">AL27*(1+$AT$1)</f>
        <v>8336.7900000000009</v>
      </c>
      <c r="BA27" s="177">
        <f t="shared" ref="BA27:BA43" si="33">AM27*(1+$AT$1)</f>
        <v>8336.7900000000009</v>
      </c>
      <c r="BB27" s="177">
        <f t="shared" ref="BB27:BB43" si="34">AN27*(1+$AT$1)</f>
        <v>8336.7900000000009</v>
      </c>
      <c r="BC27" s="177">
        <f t="shared" ref="BC27:BC43" si="35">AO27*(1+$AT$1)</f>
        <v>8336.7900000000009</v>
      </c>
      <c r="BD27" s="177">
        <f t="shared" ref="BD27:BD43" si="36">AP27*(1+$AT$1)</f>
        <v>8336.7900000000009</v>
      </c>
      <c r="BE27" s="177">
        <f t="shared" ref="BE27:BE43" si="37">AQ27*(1+$AT$1)</f>
        <v>8336.7900000000009</v>
      </c>
      <c r="BF27" s="178">
        <f>SUM(AT27:BE27)</f>
        <v>100115.09550000002</v>
      </c>
    </row>
    <row r="28" spans="1:58" ht="13.5" customHeight="1">
      <c r="A28" s="171">
        <f t="shared" ref="A28:A34" si="38">IF(A27&lt;=0,FALSE,A27+1)</f>
        <v>2</v>
      </c>
      <c r="B28" s="171" t="str">
        <f t="shared" ref="B28:B34" si="39">+B27</f>
        <v>ACPLHK</v>
      </c>
      <c r="C28" s="171" t="s">
        <v>2302</v>
      </c>
      <c r="D28" s="171" t="s">
        <v>1514</v>
      </c>
      <c r="E28" s="172" t="str">
        <f t="shared" ref="E28:E43" si="40">VLOOKUP($A28,$A$6:$F$22,5,FALSE)</f>
        <v>Accounting / Payment Services</v>
      </c>
      <c r="F28" s="172" t="str">
        <f t="shared" ref="F28:F43" si="41">VLOOKUP($A28,$A$6:$F$22,6,FALSE)</f>
        <v>Annual statutory accounts</v>
      </c>
      <c r="G28" s="77" t="s">
        <v>2613</v>
      </c>
      <c r="H28" s="173" t="s">
        <v>2614</v>
      </c>
      <c r="I28" s="173" t="s">
        <v>2368</v>
      </c>
      <c r="J28" s="184">
        <f>23000*(1+$J$2)</f>
        <v>27600</v>
      </c>
      <c r="K28" s="456">
        <v>45717</v>
      </c>
      <c r="L28" s="456">
        <v>45747</v>
      </c>
      <c r="M28" s="176">
        <f t="shared" si="24"/>
        <v>1</v>
      </c>
      <c r="N28" s="177">
        <f>IF(AND($K28&lt;=N$3,N$3&lt;=$L28),$J28/$M28*HLOOKUP(N$3,'FX Lookup'!$A$2:$Y$4,3,FALSE),0)</f>
        <v>0</v>
      </c>
      <c r="O28" s="177">
        <f>IF(AND($K28&lt;=O$3,O$3&lt;=$L28),$J28/$M28*HLOOKUP(O$3,'FX Lookup'!$A$2:$Y$4,3,FALSE),0)</f>
        <v>0</v>
      </c>
      <c r="P28" s="177">
        <f>IF(AND($K28&lt;=P$3,P$3&lt;=$L28),$J28/$M28*HLOOKUP(P$3,'FX Lookup'!$A$2:$Y$4,3,FALSE),0)</f>
        <v>25831.392</v>
      </c>
      <c r="Q28" s="177">
        <f>IF(AND($K28&lt;=Q$3,Q$3&lt;=$L28),$J28/$M28*HLOOKUP(Q$3,'FX Lookup'!$A$2:$Y$4,3,FALSE),0)</f>
        <v>0</v>
      </c>
      <c r="R28" s="177">
        <f>IF(AND($K28&lt;=R$3,R$3&lt;=$L28),$J28/$M28*HLOOKUP(R$3,'FX Lookup'!$A$2:$Y$4,3,FALSE),0)</f>
        <v>0</v>
      </c>
      <c r="S28" s="177">
        <f>IF(AND($K28&lt;=S$3,S$3&lt;=$L28),$J28/$M28*HLOOKUP(S$3,'FX Lookup'!$A$2:$Y$4,3,FALSE),0)</f>
        <v>0</v>
      </c>
      <c r="T28" s="177">
        <f>IF(AND($K28&lt;=T$3,T$3&lt;=$L28),$J28/$M28*HLOOKUP(T$3,'FX Lookup'!$A$2:$Y$4,3,FALSE),0)</f>
        <v>0</v>
      </c>
      <c r="U28" s="177">
        <f>IF(AND($K28&lt;=U$3,U$3&lt;=$L28),$J28/$M28*HLOOKUP(U$3,'FX Lookup'!$A$2:$Y$4,3,FALSE),0)</f>
        <v>0</v>
      </c>
      <c r="V28" s="177">
        <f>IF(AND($K28&lt;=V$3,V$3&lt;=$L28),$J28/$M28*HLOOKUP(V$3,'FX Lookup'!$A$2:$Y$4,3,FALSE),0)</f>
        <v>0</v>
      </c>
      <c r="W28" s="177">
        <f>IF(AND($K28&lt;=W$3,W$3&lt;=$L28),$J28/$M28*HLOOKUP(W$3,'FX Lookup'!$A$2:$Y$4,3,FALSE),0)</f>
        <v>0</v>
      </c>
      <c r="X28" s="177">
        <f>IF(AND($K28&lt;=X$3,X$3&lt;=$L28),$J28/$M28*HLOOKUP(X$3,'FX Lookup'!$A$2:$Y$4,3,FALSE),0)</f>
        <v>0</v>
      </c>
      <c r="Y28" s="177">
        <f>IF(AND($K28&lt;=Y$3,Y$3&lt;=$L28),$J28/$M28*HLOOKUP(Y$3,'FX Lookup'!$A$2:$Y$4,3,FALSE),0)</f>
        <v>0</v>
      </c>
      <c r="Z28" s="178">
        <f t="shared" ref="Z28:Z43" si="42">SUM(N28:Y28)</f>
        <v>25831.392</v>
      </c>
      <c r="AA28" s="173" t="s">
        <v>2368</v>
      </c>
      <c r="AB28" s="184">
        <v>0</v>
      </c>
      <c r="AC28" s="456">
        <v>46082</v>
      </c>
      <c r="AD28" s="456">
        <v>46112</v>
      </c>
      <c r="AE28" s="176">
        <f t="shared" si="25"/>
        <v>1</v>
      </c>
      <c r="AF28" s="177">
        <f>IF(AND($AC28&lt;=AF$3,AF$3&lt;=$AD28),$AB28/$AE28*HLOOKUP(AF$3,'FX Lookup'!$A$2:$Y$4,3,FALSE),0)</f>
        <v>0</v>
      </c>
      <c r="AG28" s="177">
        <f>IF(AND($AC28&lt;=AG$3,AG$3&lt;=$AD28),$AB28/$AE28*HLOOKUP(AG$3,'FX Lookup'!$A$2:$Y$4,3,FALSE),0)</f>
        <v>0</v>
      </c>
      <c r="AH28" s="177">
        <f>IF(AND($AC28&lt;=AH$3,AH$3&lt;=$AD28),$AB28/$AE28*HLOOKUP(AH$3,'FX Lookup'!$A$2:$Y$4,3,FALSE),0)</f>
        <v>0</v>
      </c>
      <c r="AI28" s="177">
        <f>IF(AND($AC28&lt;=AI$3,AI$3&lt;=$AD28),$AB28/$AE28*HLOOKUP(AI$3,'FX Lookup'!$A$2:$Y$4,3,FALSE),0)</f>
        <v>0</v>
      </c>
      <c r="AJ28" s="177">
        <f>IF(AND($AC28&lt;=AJ$3,AJ$3&lt;=$AD28),$AB28/$AE28*HLOOKUP(AJ$3,'FX Lookup'!$A$2:$Y$4,3,FALSE),0)</f>
        <v>0</v>
      </c>
      <c r="AK28" s="177">
        <f>IF(AND($AC28&lt;=AK$3,AK$3&lt;=$AD28),$AB28/$AE28*HLOOKUP(AK$3,'FX Lookup'!$A$2:$Y$4,3,FALSE),0)</f>
        <v>0</v>
      </c>
      <c r="AL28" s="177">
        <f>IF(AND($AC28&lt;=AL$3,AL$3&lt;=$AD28),$AB28/$AE28*HLOOKUP(AL$3,'FX Lookup'!$A$2:$Y$4,3,FALSE),0)</f>
        <v>0</v>
      </c>
      <c r="AM28" s="177">
        <f>IF(AND($AC28&lt;=AM$3,AM$3&lt;=$AD28),$AB28/$AE28*HLOOKUP(AM$3,'FX Lookup'!$A$2:$Y$4,3,FALSE),0)</f>
        <v>0</v>
      </c>
      <c r="AN28" s="177">
        <f>IF(AND($AC28&lt;=AN$3,AN$3&lt;=$AD28),$AB28/$AE28*HLOOKUP(AN$3,'FX Lookup'!$A$2:$Y$4,3,FALSE),0)</f>
        <v>0</v>
      </c>
      <c r="AO28" s="177">
        <f>IF(AND($AC28&lt;=AO$3,AO$3&lt;=$AD28),$AB28/$AE28*HLOOKUP(AO$3,'FX Lookup'!$A$2:$Y$4,3,FALSE),0)</f>
        <v>0</v>
      </c>
      <c r="AP28" s="177">
        <f>IF(AND($AC28&lt;=AP$3,AP$3&lt;=$AD28),$AB28/$AE28*HLOOKUP(AP$3,'FX Lookup'!$A$2:$Y$4,3,FALSE),0)</f>
        <v>0</v>
      </c>
      <c r="AQ28" s="177">
        <f>IF(AND($AC28&lt;=AQ$3,AQ$3&lt;=$AD28),$AB28/$AE28*HLOOKUP(AQ$3,'FX Lookup'!$A$2:$Y$4,3,FALSE),0)</f>
        <v>0</v>
      </c>
      <c r="AR28" s="178">
        <f t="shared" ref="AR28:AR43" si="43">SUM(AF28:AQ28)</f>
        <v>0</v>
      </c>
      <c r="AT28" s="177">
        <f t="shared" si="26"/>
        <v>0</v>
      </c>
      <c r="AU28" s="177">
        <f t="shared" si="27"/>
        <v>0</v>
      </c>
      <c r="AV28" s="177">
        <f t="shared" si="28"/>
        <v>0</v>
      </c>
      <c r="AW28" s="177">
        <f t="shared" si="29"/>
        <v>0</v>
      </c>
      <c r="AX28" s="177">
        <f t="shared" si="30"/>
        <v>0</v>
      </c>
      <c r="AY28" s="177">
        <f t="shared" si="31"/>
        <v>0</v>
      </c>
      <c r="AZ28" s="177">
        <f t="shared" si="32"/>
        <v>0</v>
      </c>
      <c r="BA28" s="177">
        <f t="shared" si="33"/>
        <v>0</v>
      </c>
      <c r="BB28" s="177">
        <f t="shared" si="34"/>
        <v>0</v>
      </c>
      <c r="BC28" s="177">
        <f t="shared" si="35"/>
        <v>0</v>
      </c>
      <c r="BD28" s="177">
        <f t="shared" si="36"/>
        <v>0</v>
      </c>
      <c r="BE28" s="177">
        <f t="shared" si="37"/>
        <v>0</v>
      </c>
      <c r="BF28" s="178">
        <f t="shared" ref="BF28:BF43" si="44">SUM(AT28:BE28)</f>
        <v>0</v>
      </c>
    </row>
    <row r="29" spans="1:58" ht="13.5" customHeight="1">
      <c r="A29" s="171">
        <f t="shared" si="38"/>
        <v>3</v>
      </c>
      <c r="B29" s="171" t="str">
        <f t="shared" si="39"/>
        <v>ACPLHK</v>
      </c>
      <c r="C29" s="171" t="s">
        <v>2302</v>
      </c>
      <c r="D29" s="171" t="s">
        <v>1530</v>
      </c>
      <c r="E29" s="172" t="str">
        <f t="shared" si="40"/>
        <v>Tax services</v>
      </c>
      <c r="F29" s="172" t="str">
        <f t="shared" si="41"/>
        <v>tax services</v>
      </c>
      <c r="G29" s="77" t="s">
        <v>2613</v>
      </c>
      <c r="H29" s="173" t="s">
        <v>2614</v>
      </c>
      <c r="I29" s="173" t="s">
        <v>2368</v>
      </c>
      <c r="J29" s="184">
        <f>45000*(1+$J$2)</f>
        <v>54000</v>
      </c>
      <c r="K29" s="456">
        <v>45809</v>
      </c>
      <c r="L29" s="456">
        <v>45838</v>
      </c>
      <c r="M29" s="176">
        <f t="shared" si="24"/>
        <v>1</v>
      </c>
      <c r="N29" s="177">
        <f>IF(AND($K29&lt;=N$3,N$3&lt;=$L29),$J29/$M29*HLOOKUP(N$3,'FX Lookup'!$A$2:$Y$4,3,FALSE),0)</f>
        <v>0</v>
      </c>
      <c r="O29" s="177">
        <f>IF(AND($K29&lt;=O$3,O$3&lt;=$L29),$J29/$M29*HLOOKUP(O$3,'FX Lookup'!$A$2:$Y$4,3,FALSE),0)</f>
        <v>0</v>
      </c>
      <c r="P29" s="177">
        <f>IF(AND($K29&lt;=P$3,P$3&lt;=$L29),$J29/$M29*HLOOKUP(P$3,'FX Lookup'!$A$2:$Y$4,3,FALSE),0)</f>
        <v>0</v>
      </c>
      <c r="Q29" s="177">
        <f>IF(AND($K29&lt;=Q$3,Q$3&lt;=$L29),$J29/$M29*HLOOKUP(Q$3,'FX Lookup'!$A$2:$Y$4,3,FALSE),0)</f>
        <v>0</v>
      </c>
      <c r="R29" s="177">
        <f>IF(AND($K29&lt;=R$3,R$3&lt;=$L29),$J29/$M29*HLOOKUP(R$3,'FX Lookup'!$A$2:$Y$4,3,FALSE),0)</f>
        <v>0</v>
      </c>
      <c r="S29" s="177">
        <f>IF(AND($K29&lt;=S$3,S$3&lt;=$L29),$J29/$M29*HLOOKUP(S$3,'FX Lookup'!$A$2:$Y$4,3,FALSE),0)</f>
        <v>50539.68</v>
      </c>
      <c r="T29" s="177">
        <f>IF(AND($K29&lt;=T$3,T$3&lt;=$L29),$J29/$M29*HLOOKUP(T$3,'FX Lookup'!$A$2:$Y$4,3,FALSE),0)</f>
        <v>0</v>
      </c>
      <c r="U29" s="177">
        <f>IF(AND($K29&lt;=U$3,U$3&lt;=$L29),$J29/$M29*HLOOKUP(U$3,'FX Lookup'!$A$2:$Y$4,3,FALSE),0)</f>
        <v>0</v>
      </c>
      <c r="V29" s="177">
        <f>IF(AND($K29&lt;=V$3,V$3&lt;=$L29),$J29/$M29*HLOOKUP(V$3,'FX Lookup'!$A$2:$Y$4,3,FALSE),0)</f>
        <v>0</v>
      </c>
      <c r="W29" s="177">
        <f>IF(AND($K29&lt;=W$3,W$3&lt;=$L29),$J29/$M29*HLOOKUP(W$3,'FX Lookup'!$A$2:$Y$4,3,FALSE),0)</f>
        <v>0</v>
      </c>
      <c r="X29" s="177">
        <f>IF(AND($K29&lt;=X$3,X$3&lt;=$L29),$J29/$M29*HLOOKUP(X$3,'FX Lookup'!$A$2:$Y$4,3,FALSE),0)</f>
        <v>0</v>
      </c>
      <c r="Y29" s="177">
        <f>IF(AND($K29&lt;=Y$3,Y$3&lt;=$L29),$J29/$M29*HLOOKUP(Y$3,'FX Lookup'!$A$2:$Y$4,3,FALSE),0)</f>
        <v>0</v>
      </c>
      <c r="Z29" s="178">
        <f t="shared" si="42"/>
        <v>50539.68</v>
      </c>
      <c r="AA29" s="173" t="s">
        <v>2368</v>
      </c>
      <c r="AB29" s="174">
        <f>54000</f>
        <v>54000</v>
      </c>
      <c r="AC29" s="456">
        <v>46174</v>
      </c>
      <c r="AD29" s="456">
        <v>46203</v>
      </c>
      <c r="AE29" s="176">
        <f t="shared" si="25"/>
        <v>1</v>
      </c>
      <c r="AF29" s="177">
        <f>IF(AND($AC29&lt;=AF$3,AF$3&lt;=$AD29),$AB29/$AE29*HLOOKUP(AF$3,'FX Lookup'!$A$2:$Y$4,3,FALSE),0)</f>
        <v>0</v>
      </c>
      <c r="AG29" s="177">
        <f>IF(AND($AC29&lt;=AG$3,AG$3&lt;=$AD29),$AB29/$AE29*HLOOKUP(AG$3,'FX Lookup'!$A$2:$Y$4,3,FALSE),0)</f>
        <v>0</v>
      </c>
      <c r="AH29" s="177">
        <f>IF(AND($AC29&lt;=AH$3,AH$3&lt;=$AD29),$AB29/$AE29*HLOOKUP(AH$3,'FX Lookup'!$A$2:$Y$4,3,FALSE),0)</f>
        <v>0</v>
      </c>
      <c r="AI29" s="177">
        <f>IF(AND($AC29&lt;=AI$3,AI$3&lt;=$AD29),$AB29/$AE29*HLOOKUP(AI$3,'FX Lookup'!$A$2:$Y$4,3,FALSE),0)</f>
        <v>0</v>
      </c>
      <c r="AJ29" s="177">
        <f>IF(AND($AC29&lt;=AJ$3,AJ$3&lt;=$AD29),$AB29/$AE29*HLOOKUP(AJ$3,'FX Lookup'!$A$2:$Y$4,3,FALSE),0)</f>
        <v>0</v>
      </c>
      <c r="AK29" s="177">
        <f>IF(AND($AC29&lt;=AK$3,AK$3&lt;=$AD29),$AB29/$AE29*HLOOKUP(AK$3,'FX Lookup'!$A$2:$Y$4,3,FALSE),0)</f>
        <v>47638.799999999996</v>
      </c>
      <c r="AL29" s="177">
        <f>IF(AND($AC29&lt;=AL$3,AL$3&lt;=$AD29),$AB29/$AE29*HLOOKUP(AL$3,'FX Lookup'!$A$2:$Y$4,3,FALSE),0)</f>
        <v>0</v>
      </c>
      <c r="AM29" s="177">
        <f>IF(AND($AC29&lt;=AM$3,AM$3&lt;=$AD29),$AB29/$AE29*HLOOKUP(AM$3,'FX Lookup'!$A$2:$Y$4,3,FALSE),0)</f>
        <v>0</v>
      </c>
      <c r="AN29" s="177">
        <f>IF(AND($AC29&lt;=AN$3,AN$3&lt;=$AD29),$AB29/$AE29*HLOOKUP(AN$3,'FX Lookup'!$A$2:$Y$4,3,FALSE),0)</f>
        <v>0</v>
      </c>
      <c r="AO29" s="177">
        <f>IF(AND($AC29&lt;=AO$3,AO$3&lt;=$AD29),$AB29/$AE29*HLOOKUP(AO$3,'FX Lookup'!$A$2:$Y$4,3,FALSE),0)</f>
        <v>0</v>
      </c>
      <c r="AP29" s="177">
        <f>IF(AND($AC29&lt;=AP$3,AP$3&lt;=$AD29),$AB29/$AE29*HLOOKUP(AP$3,'FX Lookup'!$A$2:$Y$4,3,FALSE),0)</f>
        <v>0</v>
      </c>
      <c r="AQ29" s="177">
        <f>IF(AND($AC29&lt;=AQ$3,AQ$3&lt;=$AD29),$AB29/$AE29*HLOOKUP(AQ$3,'FX Lookup'!$A$2:$Y$4,3,FALSE),0)</f>
        <v>0</v>
      </c>
      <c r="AR29" s="178">
        <f t="shared" si="43"/>
        <v>47638.799999999996</v>
      </c>
      <c r="AT29" s="177">
        <f t="shared" si="26"/>
        <v>0</v>
      </c>
      <c r="AU29" s="177">
        <f t="shared" si="27"/>
        <v>0</v>
      </c>
      <c r="AV29" s="177">
        <f t="shared" si="28"/>
        <v>0</v>
      </c>
      <c r="AW29" s="177">
        <f t="shared" si="29"/>
        <v>0</v>
      </c>
      <c r="AX29" s="177">
        <f t="shared" si="30"/>
        <v>0</v>
      </c>
      <c r="AY29" s="177">
        <f t="shared" si="31"/>
        <v>50020.74</v>
      </c>
      <c r="AZ29" s="177">
        <f t="shared" si="32"/>
        <v>0</v>
      </c>
      <c r="BA29" s="177">
        <f t="shared" si="33"/>
        <v>0</v>
      </c>
      <c r="BB29" s="177">
        <f t="shared" si="34"/>
        <v>0</v>
      </c>
      <c r="BC29" s="177">
        <f t="shared" si="35"/>
        <v>0</v>
      </c>
      <c r="BD29" s="177">
        <f t="shared" si="36"/>
        <v>0</v>
      </c>
      <c r="BE29" s="177">
        <f t="shared" si="37"/>
        <v>0</v>
      </c>
      <c r="BF29" s="178">
        <f t="shared" si="44"/>
        <v>50020.74</v>
      </c>
    </row>
    <row r="30" spans="1:58" ht="13.5" customHeight="1">
      <c r="A30" s="171">
        <f t="shared" si="38"/>
        <v>4</v>
      </c>
      <c r="B30" s="171" t="str">
        <f t="shared" si="39"/>
        <v>ACPLHK</v>
      </c>
      <c r="C30" s="171" t="s">
        <v>2302</v>
      </c>
      <c r="D30" s="171" t="s">
        <v>1544</v>
      </c>
      <c r="E30" s="172" t="str">
        <f t="shared" si="40"/>
        <v>Payroll Services</v>
      </c>
      <c r="F30" s="172" t="str">
        <f t="shared" si="41"/>
        <v>include $4K for employer's return, IR56M</v>
      </c>
      <c r="G30" s="77" t="s">
        <v>2613</v>
      </c>
      <c r="H30" s="173" t="s">
        <v>2614</v>
      </c>
      <c r="I30" s="173" t="s">
        <v>2368</v>
      </c>
      <c r="J30" s="184">
        <f>2500*(1+$J$2)*12+4000*(1+$J$2)</f>
        <v>40800</v>
      </c>
      <c r="K30" s="456">
        <v>45658</v>
      </c>
      <c r="L30" s="456">
        <v>46022</v>
      </c>
      <c r="M30" s="176">
        <f t="shared" si="24"/>
        <v>12</v>
      </c>
      <c r="N30" s="177">
        <f>IF(AND($K30&lt;=N$3,N$3&lt;=$L30),$J30/$M30*HLOOKUP(N$3,'FX Lookup'!$A$2:$Y$4,3,FALSE),0)</f>
        <v>3182.1279999999997</v>
      </c>
      <c r="O30" s="177">
        <f>IF(AND($K30&lt;=O$3,O$3&lt;=$L30),$J30/$M30*HLOOKUP(O$3,'FX Lookup'!$A$2:$Y$4,3,FALSE),0)</f>
        <v>3182.1279999999997</v>
      </c>
      <c r="P30" s="177">
        <f>IF(AND($K30&lt;=P$3,P$3&lt;=$L30),$J30/$M30*HLOOKUP(P$3,'FX Lookup'!$A$2:$Y$4,3,FALSE),0)</f>
        <v>3182.1279999999997</v>
      </c>
      <c r="Q30" s="177">
        <f>IF(AND($K30&lt;=Q$3,Q$3&lt;=$L30),$J30/$M30*HLOOKUP(Q$3,'FX Lookup'!$A$2:$Y$4,3,FALSE),0)</f>
        <v>3182.1279999999997</v>
      </c>
      <c r="R30" s="177">
        <f>IF(AND($K30&lt;=R$3,R$3&lt;=$L30),$J30/$M30*HLOOKUP(R$3,'FX Lookup'!$A$2:$Y$4,3,FALSE),0)</f>
        <v>3182.1279999999997</v>
      </c>
      <c r="S30" s="177">
        <f>IF(AND($K30&lt;=S$3,S$3&lt;=$L30),$J30/$M30*HLOOKUP(S$3,'FX Lookup'!$A$2:$Y$4,3,FALSE),0)</f>
        <v>3182.1279999999997</v>
      </c>
      <c r="T30" s="177">
        <f>IF(AND($K30&lt;=T$3,T$3&lt;=$L30),$J30/$M30*HLOOKUP(T$3,'FX Lookup'!$A$2:$Y$4,3,FALSE),0)</f>
        <v>3182.1279999999997</v>
      </c>
      <c r="U30" s="177">
        <f>IF(AND($K30&lt;=U$3,U$3&lt;=$L30),$J30/$M30*HLOOKUP(U$3,'FX Lookup'!$A$2:$Y$4,3,FALSE),0)</f>
        <v>3182.1279999999997</v>
      </c>
      <c r="V30" s="177">
        <f>IF(AND($K30&lt;=V$3,V$3&lt;=$L30),$J30/$M30*HLOOKUP(V$3,'FX Lookup'!$A$2:$Y$4,3,FALSE),0)</f>
        <v>3182.1279999999997</v>
      </c>
      <c r="W30" s="177">
        <f>IF(AND($K30&lt;=W$3,W$3&lt;=$L30),$J30/$M30*HLOOKUP(W$3,'FX Lookup'!$A$2:$Y$4,3,FALSE),0)</f>
        <v>3182.1279999999997</v>
      </c>
      <c r="X30" s="177">
        <f>IF(AND($K30&lt;=X$3,X$3&lt;=$L30),$J30/$M30*HLOOKUP(X$3,'FX Lookup'!$A$2:$Y$4,3,FALSE),0)</f>
        <v>3182.1279999999997</v>
      </c>
      <c r="Y30" s="177">
        <f>IF(AND($K30&lt;=Y$3,Y$3&lt;=$L30),$J30/$M30*HLOOKUP(Y$3,'FX Lookup'!$A$2:$Y$4,3,FALSE),0)</f>
        <v>3182.1279999999997</v>
      </c>
      <c r="Z30" s="178">
        <f t="shared" si="42"/>
        <v>38185.536</v>
      </c>
      <c r="AA30" s="173" t="s">
        <v>2368</v>
      </c>
      <c r="AB30" s="174">
        <f>2500*12</f>
        <v>30000</v>
      </c>
      <c r="AC30" s="456">
        <v>46023</v>
      </c>
      <c r="AD30" s="456">
        <v>46387</v>
      </c>
      <c r="AE30" s="176">
        <f t="shared" si="25"/>
        <v>12</v>
      </c>
      <c r="AF30" s="177">
        <f>IF(AND($AC30&lt;=AF$3,AF$3&lt;=$AD30),$AB30/$AE30*HLOOKUP(AF$3,'FX Lookup'!$A$2:$Y$4,3,FALSE),0)</f>
        <v>2224.9749999999999</v>
      </c>
      <c r="AG30" s="177">
        <f>IF(AND($AC30&lt;=AG$3,AG$3&lt;=$AD30),$AB30/$AE30*HLOOKUP(AG$3,'FX Lookup'!$A$2:$Y$4,3,FALSE),0)</f>
        <v>2205.5</v>
      </c>
      <c r="AH30" s="177">
        <f>IF(AND($AC30&lt;=AH$3,AH$3&lt;=$AD30),$AB30/$AE30*HLOOKUP(AH$3,'FX Lookup'!$A$2:$Y$4,3,FALSE),0)</f>
        <v>2205.5</v>
      </c>
      <c r="AI30" s="177">
        <f>IF(AND($AC30&lt;=AI$3,AI$3&lt;=$AD30),$AB30/$AE30*HLOOKUP(AI$3,'FX Lookup'!$A$2:$Y$4,3,FALSE),0)</f>
        <v>2205.5</v>
      </c>
      <c r="AJ30" s="177">
        <f>IF(AND($AC30&lt;=AJ$3,AJ$3&lt;=$AD30),$AB30/$AE30*HLOOKUP(AJ$3,'FX Lookup'!$A$2:$Y$4,3,FALSE),0)</f>
        <v>2205.5</v>
      </c>
      <c r="AK30" s="177">
        <f>IF(AND($AC30&lt;=AK$3,AK$3&lt;=$AD30),$AB30/$AE30*HLOOKUP(AK$3,'FX Lookup'!$A$2:$Y$4,3,FALSE),0)</f>
        <v>2205.5</v>
      </c>
      <c r="AL30" s="177">
        <f>IF(AND($AC30&lt;=AL$3,AL$3&lt;=$AD30),$AB30/$AE30*HLOOKUP(AL$3,'FX Lookup'!$A$2:$Y$4,3,FALSE),0)</f>
        <v>2205.5</v>
      </c>
      <c r="AM30" s="177">
        <f>IF(AND($AC30&lt;=AM$3,AM$3&lt;=$AD30),$AB30/$AE30*HLOOKUP(AM$3,'FX Lookup'!$A$2:$Y$4,3,FALSE),0)</f>
        <v>2205.5</v>
      </c>
      <c r="AN30" s="177">
        <f>IF(AND($AC30&lt;=AN$3,AN$3&lt;=$AD30),$AB30/$AE30*HLOOKUP(AN$3,'FX Lookup'!$A$2:$Y$4,3,FALSE),0)</f>
        <v>2205.5</v>
      </c>
      <c r="AO30" s="177">
        <f>IF(AND($AC30&lt;=AO$3,AO$3&lt;=$AD30),$AB30/$AE30*HLOOKUP(AO$3,'FX Lookup'!$A$2:$Y$4,3,FALSE),0)</f>
        <v>2205.5</v>
      </c>
      <c r="AP30" s="177">
        <f>IF(AND($AC30&lt;=AP$3,AP$3&lt;=$AD30),$AB30/$AE30*HLOOKUP(AP$3,'FX Lookup'!$A$2:$Y$4,3,FALSE),0)</f>
        <v>2205.5</v>
      </c>
      <c r="AQ30" s="177">
        <f>IF(AND($AC30&lt;=AQ$3,AQ$3&lt;=$AD30),$AB30/$AE30*HLOOKUP(AQ$3,'FX Lookup'!$A$2:$Y$4,3,FALSE),0)</f>
        <v>2205.5</v>
      </c>
      <c r="AR30" s="178">
        <f t="shared" si="43"/>
        <v>26485.474999999999</v>
      </c>
      <c r="AT30" s="177">
        <f t="shared" si="26"/>
        <v>2336.2237500000001</v>
      </c>
      <c r="AU30" s="177">
        <f t="shared" si="27"/>
        <v>2315.7750000000001</v>
      </c>
      <c r="AV30" s="177">
        <f t="shared" si="28"/>
        <v>2315.7750000000001</v>
      </c>
      <c r="AW30" s="177">
        <f t="shared" si="29"/>
        <v>2315.7750000000001</v>
      </c>
      <c r="AX30" s="177">
        <f t="shared" si="30"/>
        <v>2315.7750000000001</v>
      </c>
      <c r="AY30" s="177">
        <f t="shared" si="31"/>
        <v>2315.7750000000001</v>
      </c>
      <c r="AZ30" s="177">
        <f t="shared" si="32"/>
        <v>2315.7750000000001</v>
      </c>
      <c r="BA30" s="177">
        <f t="shared" si="33"/>
        <v>2315.7750000000001</v>
      </c>
      <c r="BB30" s="177">
        <f t="shared" si="34"/>
        <v>2315.7750000000001</v>
      </c>
      <c r="BC30" s="177">
        <f t="shared" si="35"/>
        <v>2315.7750000000001</v>
      </c>
      <c r="BD30" s="177">
        <f t="shared" si="36"/>
        <v>2315.7750000000001</v>
      </c>
      <c r="BE30" s="177">
        <f t="shared" si="37"/>
        <v>2315.7750000000001</v>
      </c>
      <c r="BF30" s="178">
        <f t="shared" si="44"/>
        <v>27809.748750000006</v>
      </c>
    </row>
    <row r="31" spans="1:58" ht="13.5" customHeight="1">
      <c r="A31" s="171">
        <f t="shared" si="38"/>
        <v>5</v>
      </c>
      <c r="B31" s="171" t="str">
        <f t="shared" si="39"/>
        <v>ACPLHK</v>
      </c>
      <c r="C31" s="171" t="s">
        <v>2429</v>
      </c>
      <c r="D31" s="171" t="s">
        <v>1871</v>
      </c>
      <c r="E31" s="172" t="str">
        <f t="shared" si="40"/>
        <v>Corporate Secretarial Fees</v>
      </c>
      <c r="F31" s="172">
        <f t="shared" si="41"/>
        <v>0</v>
      </c>
      <c r="G31" s="77" t="s">
        <v>2613</v>
      </c>
      <c r="H31" s="173" t="s">
        <v>2614</v>
      </c>
      <c r="I31" s="173" t="s">
        <v>2368</v>
      </c>
      <c r="J31" s="184">
        <f>14824*(1+$J$1)</f>
        <v>15565.2</v>
      </c>
      <c r="K31" s="456">
        <v>45992</v>
      </c>
      <c r="L31" s="456">
        <v>46022</v>
      </c>
      <c r="M31" s="176">
        <f t="shared" si="24"/>
        <v>1</v>
      </c>
      <c r="N31" s="177">
        <f>IF(AND($K31&lt;=N$3,N$3&lt;=$L31),$J31/$M31*HLOOKUP(N$3,'FX Lookup'!$A$2:$Y$4,3,FALSE),0)</f>
        <v>0</v>
      </c>
      <c r="O31" s="177">
        <f>IF(AND($K31&lt;=O$3,O$3&lt;=$L31),$J31/$M31*HLOOKUP(O$3,'FX Lookup'!$A$2:$Y$4,3,FALSE),0)</f>
        <v>0</v>
      </c>
      <c r="P31" s="177">
        <f>IF(AND($K31&lt;=P$3,P$3&lt;=$L31),$J31/$M31*HLOOKUP(P$3,'FX Lookup'!$A$2:$Y$4,3,FALSE),0)</f>
        <v>0</v>
      </c>
      <c r="Q31" s="177">
        <f>IF(AND($K31&lt;=Q$3,Q$3&lt;=$L31),$J31/$M31*HLOOKUP(Q$3,'FX Lookup'!$A$2:$Y$4,3,FALSE),0)</f>
        <v>0</v>
      </c>
      <c r="R31" s="177">
        <f>IF(AND($K31&lt;=R$3,R$3&lt;=$L31),$J31/$M31*HLOOKUP(R$3,'FX Lookup'!$A$2:$Y$4,3,FALSE),0)</f>
        <v>0</v>
      </c>
      <c r="S31" s="177">
        <f>IF(AND($K31&lt;=S$3,S$3&lt;=$L31),$J31/$M31*HLOOKUP(S$3,'FX Lookup'!$A$2:$Y$4,3,FALSE),0)</f>
        <v>0</v>
      </c>
      <c r="T31" s="177">
        <f>IF(AND($K31&lt;=T$3,T$3&lt;=$L31),$J31/$M31*HLOOKUP(T$3,'FX Lookup'!$A$2:$Y$4,3,FALSE),0)</f>
        <v>0</v>
      </c>
      <c r="U31" s="177">
        <f>IF(AND($K31&lt;=U$3,U$3&lt;=$L31),$J31/$M31*HLOOKUP(U$3,'FX Lookup'!$A$2:$Y$4,3,FALSE),0)</f>
        <v>0</v>
      </c>
      <c r="V31" s="177">
        <f>IF(AND($K31&lt;=V$3,V$3&lt;=$L31),$J31/$M31*HLOOKUP(V$3,'FX Lookup'!$A$2:$Y$4,3,FALSE),0)</f>
        <v>0</v>
      </c>
      <c r="W31" s="177">
        <f>IF(AND($K31&lt;=W$3,W$3&lt;=$L31),$J31/$M31*HLOOKUP(W$3,'FX Lookup'!$A$2:$Y$4,3,FALSE),0)</f>
        <v>0</v>
      </c>
      <c r="X31" s="177">
        <f>IF(AND($K31&lt;=X$3,X$3&lt;=$L31),$J31/$M31*HLOOKUP(X$3,'FX Lookup'!$A$2:$Y$4,3,FALSE),0)</f>
        <v>0</v>
      </c>
      <c r="Y31" s="177">
        <f>IF(AND($K31&lt;=Y$3,Y$3&lt;=$L31),$J31/$M31*HLOOKUP(Y$3,'FX Lookup'!$A$2:$Y$4,3,FALSE),0)</f>
        <v>14567.781984000001</v>
      </c>
      <c r="Z31" s="178">
        <f t="shared" si="42"/>
        <v>14567.781984000001</v>
      </c>
      <c r="AA31" s="173" t="s">
        <v>2368</v>
      </c>
      <c r="AB31" s="174">
        <f>15055</f>
        <v>15055</v>
      </c>
      <c r="AC31" s="456">
        <v>46023</v>
      </c>
      <c r="AD31" s="456">
        <v>46053</v>
      </c>
      <c r="AE31" s="176">
        <f t="shared" si="25"/>
        <v>1</v>
      </c>
      <c r="AF31" s="177">
        <f>IF(AND($AC31&lt;=AF$3,AF$3&lt;=$AD31),$AB31/$AE31*HLOOKUP(AF$3,'FX Lookup'!$A$2:$Y$4,3,FALSE),0)</f>
        <v>13398.799449999999</v>
      </c>
      <c r="AG31" s="177">
        <f>IF(AND($AC31&lt;=AG$3,AG$3&lt;=$AD31),$AB31/$AE31*HLOOKUP(AG$3,'FX Lookup'!$A$2:$Y$4,3,FALSE),0)</f>
        <v>0</v>
      </c>
      <c r="AH31" s="177">
        <f>IF(AND($AC31&lt;=AH$3,AH$3&lt;=$AD31),$AB31/$AE31*HLOOKUP(AH$3,'FX Lookup'!$A$2:$Y$4,3,FALSE),0)</f>
        <v>0</v>
      </c>
      <c r="AI31" s="177">
        <f>IF(AND($AC31&lt;=AI$3,AI$3&lt;=$AD31),$AB31/$AE31*HLOOKUP(AI$3,'FX Lookup'!$A$2:$Y$4,3,FALSE),0)</f>
        <v>0</v>
      </c>
      <c r="AJ31" s="177">
        <f>IF(AND($AC31&lt;=AJ$3,AJ$3&lt;=$AD31),$AB31/$AE31*HLOOKUP(AJ$3,'FX Lookup'!$A$2:$Y$4,3,FALSE),0)</f>
        <v>0</v>
      </c>
      <c r="AK31" s="177">
        <f>IF(AND($AC31&lt;=AK$3,AK$3&lt;=$AD31),$AB31/$AE31*HLOOKUP(AK$3,'FX Lookup'!$A$2:$Y$4,3,FALSE),0)</f>
        <v>0</v>
      </c>
      <c r="AL31" s="177">
        <f>IF(AND($AC31&lt;=AL$3,AL$3&lt;=$AD31),$AB31/$AE31*HLOOKUP(AL$3,'FX Lookup'!$A$2:$Y$4,3,FALSE),0)</f>
        <v>0</v>
      </c>
      <c r="AM31" s="177">
        <f>IF(AND($AC31&lt;=AM$3,AM$3&lt;=$AD31),$AB31/$AE31*HLOOKUP(AM$3,'FX Lookup'!$A$2:$Y$4,3,FALSE),0)</f>
        <v>0</v>
      </c>
      <c r="AN31" s="177">
        <f>IF(AND($AC31&lt;=AN$3,AN$3&lt;=$AD31),$AB31/$AE31*HLOOKUP(AN$3,'FX Lookup'!$A$2:$Y$4,3,FALSE),0)</f>
        <v>0</v>
      </c>
      <c r="AO31" s="177">
        <f>IF(AND($AC31&lt;=AO$3,AO$3&lt;=$AD31),$AB31/$AE31*HLOOKUP(AO$3,'FX Lookup'!$A$2:$Y$4,3,FALSE),0)</f>
        <v>0</v>
      </c>
      <c r="AP31" s="177">
        <f>IF(AND($AC31&lt;=AP$3,AP$3&lt;=$AD31),$AB31/$AE31*HLOOKUP(AP$3,'FX Lookup'!$A$2:$Y$4,3,FALSE),0)</f>
        <v>0</v>
      </c>
      <c r="AQ31" s="177">
        <f>IF(AND($AC31&lt;=AQ$3,AQ$3&lt;=$AD31),$AB31/$AE31*HLOOKUP(AQ$3,'FX Lookup'!$A$2:$Y$4,3,FALSE),0)</f>
        <v>0</v>
      </c>
      <c r="AR31" s="178">
        <f t="shared" si="43"/>
        <v>13398.799449999999</v>
      </c>
      <c r="AT31" s="177">
        <f t="shared" si="26"/>
        <v>14068.739422499999</v>
      </c>
      <c r="AU31" s="177">
        <f t="shared" si="27"/>
        <v>0</v>
      </c>
      <c r="AV31" s="177">
        <f t="shared" si="28"/>
        <v>0</v>
      </c>
      <c r="AW31" s="177">
        <f t="shared" si="29"/>
        <v>0</v>
      </c>
      <c r="AX31" s="177">
        <f t="shared" si="30"/>
        <v>0</v>
      </c>
      <c r="AY31" s="177">
        <f t="shared" si="31"/>
        <v>0</v>
      </c>
      <c r="AZ31" s="177">
        <f t="shared" si="32"/>
        <v>0</v>
      </c>
      <c r="BA31" s="177">
        <f t="shared" si="33"/>
        <v>0</v>
      </c>
      <c r="BB31" s="177">
        <f t="shared" si="34"/>
        <v>0</v>
      </c>
      <c r="BC31" s="177">
        <f t="shared" si="35"/>
        <v>0</v>
      </c>
      <c r="BD31" s="177">
        <f t="shared" si="36"/>
        <v>0</v>
      </c>
      <c r="BE31" s="177">
        <f t="shared" si="37"/>
        <v>0</v>
      </c>
      <c r="BF31" s="178">
        <f t="shared" si="44"/>
        <v>14068.739422499999</v>
      </c>
    </row>
    <row r="32" spans="1:58" ht="13.5" customHeight="1">
      <c r="A32" s="171">
        <f t="shared" si="38"/>
        <v>6</v>
      </c>
      <c r="B32" s="171" t="str">
        <f t="shared" si="39"/>
        <v>ACPLHK</v>
      </c>
      <c r="C32" s="171" t="s">
        <v>2317</v>
      </c>
      <c r="D32" s="171" t="s">
        <v>1519</v>
      </c>
      <c r="E32" s="172" t="str">
        <f t="shared" si="40"/>
        <v>Audit Fee</v>
      </c>
      <c r="F32" s="172">
        <f t="shared" si="41"/>
        <v>0</v>
      </c>
      <c r="G32" s="77" t="s">
        <v>2613</v>
      </c>
      <c r="H32" s="173" t="s">
        <v>2614</v>
      </c>
      <c r="I32" s="173" t="s">
        <v>2368</v>
      </c>
      <c r="J32" s="184">
        <f>292000*(1+$J$1)</f>
        <v>306600</v>
      </c>
      <c r="K32" s="456">
        <v>45809</v>
      </c>
      <c r="L32" s="456">
        <v>45838</v>
      </c>
      <c r="M32" s="176">
        <f t="shared" si="24"/>
        <v>1</v>
      </c>
      <c r="N32" s="177">
        <f>IF(AND($K32&lt;=N$3,N$3&lt;=$L32),$J32/$M32*HLOOKUP(N$3,'FX Lookup'!$A$2:$Y$4,3,FALSE),0)</f>
        <v>0</v>
      </c>
      <c r="O32" s="177">
        <f>IF(AND($K32&lt;=O$3,O$3&lt;=$L32),$J32/$M32*HLOOKUP(O$3,'FX Lookup'!$A$2:$Y$4,3,FALSE),0)</f>
        <v>0</v>
      </c>
      <c r="P32" s="177">
        <f>IF(AND($K32&lt;=P$3,P$3&lt;=$L32),$J32/$M32*HLOOKUP(P$3,'FX Lookup'!$A$2:$Y$4,3,FALSE),0)</f>
        <v>0</v>
      </c>
      <c r="Q32" s="177">
        <f>IF(AND($K32&lt;=Q$3,Q$3&lt;=$L32),$J32/$M32*HLOOKUP(Q$3,'FX Lookup'!$A$2:$Y$4,3,FALSE),0)</f>
        <v>0</v>
      </c>
      <c r="R32" s="177">
        <f>IF(AND($K32&lt;=R$3,R$3&lt;=$L32),$J32/$M32*HLOOKUP(R$3,'FX Lookup'!$A$2:$Y$4,3,FALSE),0)</f>
        <v>0</v>
      </c>
      <c r="S32" s="177">
        <f>IF(AND($K32&lt;=S$3,S$3&lt;=$L32),$J32/$M32*HLOOKUP(S$3,'FX Lookup'!$A$2:$Y$4,3,FALSE),0)</f>
        <v>286953.07199999999</v>
      </c>
      <c r="T32" s="177">
        <f>IF(AND($K32&lt;=T$3,T$3&lt;=$L32),$J32/$M32*HLOOKUP(T$3,'FX Lookup'!$A$2:$Y$4,3,FALSE),0)</f>
        <v>0</v>
      </c>
      <c r="U32" s="177">
        <f>IF(AND($K32&lt;=U$3,U$3&lt;=$L32),$J32/$M32*HLOOKUP(U$3,'FX Lookup'!$A$2:$Y$4,3,FALSE),0)</f>
        <v>0</v>
      </c>
      <c r="V32" s="177">
        <f>IF(AND($K32&lt;=V$3,V$3&lt;=$L32),$J32/$M32*HLOOKUP(V$3,'FX Lookup'!$A$2:$Y$4,3,FALSE),0)</f>
        <v>0</v>
      </c>
      <c r="W32" s="177">
        <f>IF(AND($K32&lt;=W$3,W$3&lt;=$L32),$J32/$M32*HLOOKUP(W$3,'FX Lookup'!$A$2:$Y$4,3,FALSE),0)</f>
        <v>0</v>
      </c>
      <c r="X32" s="177">
        <f>IF(AND($K32&lt;=X$3,X$3&lt;=$L32),$J32/$M32*HLOOKUP(X$3,'FX Lookup'!$A$2:$Y$4,3,FALSE),0)</f>
        <v>0</v>
      </c>
      <c r="Y32" s="177">
        <f>IF(AND($K32&lt;=Y$3,Y$3&lt;=$L32),$J32/$M32*HLOOKUP(Y$3,'FX Lookup'!$A$2:$Y$4,3,FALSE),0)</f>
        <v>0</v>
      </c>
      <c r="Z32" s="178">
        <f t="shared" si="42"/>
        <v>286953.07199999999</v>
      </c>
      <c r="AA32" s="173" t="s">
        <v>2368</v>
      </c>
      <c r="AB32" s="174">
        <f>210000</f>
        <v>210000</v>
      </c>
      <c r="AC32" s="456">
        <v>46143</v>
      </c>
      <c r="AD32" s="456">
        <v>46173</v>
      </c>
      <c r="AE32" s="176">
        <f t="shared" si="25"/>
        <v>1</v>
      </c>
      <c r="AF32" s="177">
        <f>IF(AND($AC32&lt;=AF$3,AF$3&lt;=$AD32),$AB32/$AE32*HLOOKUP(AF$3,'FX Lookup'!$A$2:$Y$4,3,FALSE),0)</f>
        <v>0</v>
      </c>
      <c r="AG32" s="177">
        <f>IF(AND($AC32&lt;=AG$3,AG$3&lt;=$AD32),$AB32/$AE32*HLOOKUP(AG$3,'FX Lookup'!$A$2:$Y$4,3,FALSE),0)</f>
        <v>0</v>
      </c>
      <c r="AH32" s="177">
        <f>IF(AND($AC32&lt;=AH$3,AH$3&lt;=$AD32),$AB32/$AE32*HLOOKUP(AH$3,'FX Lookup'!$A$2:$Y$4,3,FALSE),0)</f>
        <v>0</v>
      </c>
      <c r="AI32" s="177">
        <f>IF(AND($AC32&lt;=AI$3,AI$3&lt;=$AD32),$AB32/$AE32*HLOOKUP(AI$3,'FX Lookup'!$A$2:$Y$4,3,FALSE),0)</f>
        <v>0</v>
      </c>
      <c r="AJ32" s="177">
        <f>IF(AND($AC32&lt;=AJ$3,AJ$3&lt;=$AD32),$AB32/$AE32*HLOOKUP(AJ$3,'FX Lookup'!$A$2:$Y$4,3,FALSE),0)</f>
        <v>185262</v>
      </c>
      <c r="AK32" s="177">
        <f>IF(AND($AC32&lt;=AK$3,AK$3&lt;=$AD32),$AB32/$AE32*HLOOKUP(AK$3,'FX Lookup'!$A$2:$Y$4,3,FALSE),0)</f>
        <v>0</v>
      </c>
      <c r="AL32" s="177">
        <f>IF(AND($AC32&lt;=AL$3,AL$3&lt;=$AD32),$AB32/$AE32*HLOOKUP(AL$3,'FX Lookup'!$A$2:$Y$4,3,FALSE),0)</f>
        <v>0</v>
      </c>
      <c r="AM32" s="177">
        <f>IF(AND($AC32&lt;=AM$3,AM$3&lt;=$AD32),$AB32/$AE32*HLOOKUP(AM$3,'FX Lookup'!$A$2:$Y$4,3,FALSE),0)</f>
        <v>0</v>
      </c>
      <c r="AN32" s="177">
        <f>IF(AND($AC32&lt;=AN$3,AN$3&lt;=$AD32),$AB32/$AE32*HLOOKUP(AN$3,'FX Lookup'!$A$2:$Y$4,3,FALSE),0)</f>
        <v>0</v>
      </c>
      <c r="AO32" s="177">
        <f>IF(AND($AC32&lt;=AO$3,AO$3&lt;=$AD32),$AB32/$AE32*HLOOKUP(AO$3,'FX Lookup'!$A$2:$Y$4,3,FALSE),0)</f>
        <v>0</v>
      </c>
      <c r="AP32" s="177">
        <f>IF(AND($AC32&lt;=AP$3,AP$3&lt;=$AD32),$AB32/$AE32*HLOOKUP(AP$3,'FX Lookup'!$A$2:$Y$4,3,FALSE),0)</f>
        <v>0</v>
      </c>
      <c r="AQ32" s="177">
        <f>IF(AND($AC32&lt;=AQ$3,AQ$3&lt;=$AD32),$AB32/$AE32*HLOOKUP(AQ$3,'FX Lookup'!$A$2:$Y$4,3,FALSE),0)</f>
        <v>0</v>
      </c>
      <c r="AR32" s="178">
        <f t="shared" si="43"/>
        <v>185262</v>
      </c>
      <c r="AT32" s="177">
        <f t="shared" si="26"/>
        <v>0</v>
      </c>
      <c r="AU32" s="177">
        <f t="shared" si="27"/>
        <v>0</v>
      </c>
      <c r="AV32" s="177">
        <f t="shared" si="28"/>
        <v>0</v>
      </c>
      <c r="AW32" s="177">
        <f t="shared" si="29"/>
        <v>0</v>
      </c>
      <c r="AX32" s="177">
        <f t="shared" si="30"/>
        <v>194525.1</v>
      </c>
      <c r="AY32" s="177">
        <f t="shared" si="31"/>
        <v>0</v>
      </c>
      <c r="AZ32" s="177">
        <f t="shared" si="32"/>
        <v>0</v>
      </c>
      <c r="BA32" s="177">
        <f t="shared" si="33"/>
        <v>0</v>
      </c>
      <c r="BB32" s="177">
        <f t="shared" si="34"/>
        <v>0</v>
      </c>
      <c r="BC32" s="177">
        <f t="shared" si="35"/>
        <v>0</v>
      </c>
      <c r="BD32" s="177">
        <f t="shared" si="36"/>
        <v>0</v>
      </c>
      <c r="BE32" s="177">
        <f t="shared" si="37"/>
        <v>0</v>
      </c>
      <c r="BF32" s="178">
        <f t="shared" si="44"/>
        <v>194525.1</v>
      </c>
    </row>
    <row r="33" spans="1:58" ht="13.5" customHeight="1">
      <c r="A33" s="171">
        <f t="shared" si="38"/>
        <v>7</v>
      </c>
      <c r="B33" s="171" t="str">
        <f t="shared" si="39"/>
        <v>ACPLHK</v>
      </c>
      <c r="C33" s="171" t="s">
        <v>2723</v>
      </c>
      <c r="D33" s="171" t="s">
        <v>1564</v>
      </c>
      <c r="E33" s="172" t="str">
        <f t="shared" si="40"/>
        <v>Compliance Support</v>
      </c>
      <c r="F33" s="172">
        <f t="shared" si="41"/>
        <v>0</v>
      </c>
      <c r="G33" s="77" t="s">
        <v>2613</v>
      </c>
      <c r="H33" s="173" t="s">
        <v>2614</v>
      </c>
      <c r="I33" s="173" t="s">
        <v>2368</v>
      </c>
      <c r="J33" s="184">
        <f>15600*(1+$J$1)*12</f>
        <v>196560</v>
      </c>
      <c r="K33" s="456">
        <v>45658</v>
      </c>
      <c r="L33" s="456">
        <v>46022</v>
      </c>
      <c r="M33" s="176">
        <f t="shared" si="24"/>
        <v>12</v>
      </c>
      <c r="N33" s="177">
        <f>IF(AND($K33&lt;=N$3,N$3&lt;=$L33),$J33/$M33*HLOOKUP(N$3,'FX Lookup'!$A$2:$Y$4,3,FALSE),0)</f>
        <v>15330.3696</v>
      </c>
      <c r="O33" s="177">
        <f>IF(AND($K33&lt;=O$3,O$3&lt;=$L33),$J33/$M33*HLOOKUP(O$3,'FX Lookup'!$A$2:$Y$4,3,FALSE),0)</f>
        <v>15330.3696</v>
      </c>
      <c r="P33" s="177">
        <f>IF(AND($K33&lt;=P$3,P$3&lt;=$L33),$J33/$M33*HLOOKUP(P$3,'FX Lookup'!$A$2:$Y$4,3,FALSE),0)</f>
        <v>15330.3696</v>
      </c>
      <c r="Q33" s="177">
        <f>IF(AND($K33&lt;=Q$3,Q$3&lt;=$L33),$J33/$M33*HLOOKUP(Q$3,'FX Lookup'!$A$2:$Y$4,3,FALSE),0)</f>
        <v>15330.3696</v>
      </c>
      <c r="R33" s="177">
        <f>IF(AND($K33&lt;=R$3,R$3&lt;=$L33),$J33/$M33*HLOOKUP(R$3,'FX Lookup'!$A$2:$Y$4,3,FALSE),0)</f>
        <v>15330.3696</v>
      </c>
      <c r="S33" s="177">
        <f>IF(AND($K33&lt;=S$3,S$3&lt;=$L33),$J33/$M33*HLOOKUP(S$3,'FX Lookup'!$A$2:$Y$4,3,FALSE),0)</f>
        <v>15330.3696</v>
      </c>
      <c r="T33" s="177">
        <f>IF(AND($K33&lt;=T$3,T$3&lt;=$L33),$J33/$M33*HLOOKUP(T$3,'FX Lookup'!$A$2:$Y$4,3,FALSE),0)</f>
        <v>15330.3696</v>
      </c>
      <c r="U33" s="177">
        <f>IF(AND($K33&lt;=U$3,U$3&lt;=$L33),$J33/$M33*HLOOKUP(U$3,'FX Lookup'!$A$2:$Y$4,3,FALSE),0)</f>
        <v>15330.3696</v>
      </c>
      <c r="V33" s="177">
        <f>IF(AND($K33&lt;=V$3,V$3&lt;=$L33),$J33/$M33*HLOOKUP(V$3,'FX Lookup'!$A$2:$Y$4,3,FALSE),0)</f>
        <v>15330.3696</v>
      </c>
      <c r="W33" s="177">
        <f>IF(AND($K33&lt;=W$3,W$3&lt;=$L33),$J33/$M33*HLOOKUP(W$3,'FX Lookup'!$A$2:$Y$4,3,FALSE),0)</f>
        <v>15330.3696</v>
      </c>
      <c r="X33" s="177">
        <f>IF(AND($K33&lt;=X$3,X$3&lt;=$L33),$J33/$M33*HLOOKUP(X$3,'FX Lookup'!$A$2:$Y$4,3,FALSE),0)</f>
        <v>15330.3696</v>
      </c>
      <c r="Y33" s="177">
        <f>IF(AND($K33&lt;=Y$3,Y$3&lt;=$L33),$J33/$M33*HLOOKUP(Y$3,'FX Lookup'!$A$2:$Y$4,3,FALSE),0)</f>
        <v>15330.3696</v>
      </c>
      <c r="Z33" s="178">
        <f t="shared" si="42"/>
        <v>183964.43520000004</v>
      </c>
      <c r="AA33" s="173" t="s">
        <v>2368</v>
      </c>
      <c r="AB33" s="174">
        <f>15600*12</f>
        <v>187200</v>
      </c>
      <c r="AC33" s="456">
        <v>46023</v>
      </c>
      <c r="AD33" s="456">
        <v>46387</v>
      </c>
      <c r="AE33" s="176">
        <f t="shared" si="25"/>
        <v>12</v>
      </c>
      <c r="AF33" s="177">
        <f>IF(AND($AC33&lt;=AF$3,AF$3&lt;=$AD33),$AB33/$AE33*HLOOKUP(AF$3,'FX Lookup'!$A$2:$Y$4,3,FALSE),0)</f>
        <v>13883.843999999999</v>
      </c>
      <c r="AG33" s="177">
        <f>IF(AND($AC33&lt;=AG$3,AG$3&lt;=$AD33),$AB33/$AE33*HLOOKUP(AG$3,'FX Lookup'!$A$2:$Y$4,3,FALSE),0)</f>
        <v>13762.32</v>
      </c>
      <c r="AH33" s="177">
        <f>IF(AND($AC33&lt;=AH$3,AH$3&lt;=$AD33),$AB33/$AE33*HLOOKUP(AH$3,'FX Lookup'!$A$2:$Y$4,3,FALSE),0)</f>
        <v>13762.32</v>
      </c>
      <c r="AI33" s="177">
        <f>IF(AND($AC33&lt;=AI$3,AI$3&lt;=$AD33),$AB33/$AE33*HLOOKUP(AI$3,'FX Lookup'!$A$2:$Y$4,3,FALSE),0)</f>
        <v>13762.32</v>
      </c>
      <c r="AJ33" s="177">
        <f>IF(AND($AC33&lt;=AJ$3,AJ$3&lt;=$AD33),$AB33/$AE33*HLOOKUP(AJ$3,'FX Lookup'!$A$2:$Y$4,3,FALSE),0)</f>
        <v>13762.32</v>
      </c>
      <c r="AK33" s="177">
        <f>IF(AND($AC33&lt;=AK$3,AK$3&lt;=$AD33),$AB33/$AE33*HLOOKUP(AK$3,'FX Lookup'!$A$2:$Y$4,3,FALSE),0)</f>
        <v>13762.32</v>
      </c>
      <c r="AL33" s="177">
        <f>IF(AND($AC33&lt;=AL$3,AL$3&lt;=$AD33),$AB33/$AE33*HLOOKUP(AL$3,'FX Lookup'!$A$2:$Y$4,3,FALSE),0)</f>
        <v>13762.32</v>
      </c>
      <c r="AM33" s="177">
        <f>IF(AND($AC33&lt;=AM$3,AM$3&lt;=$AD33),$AB33/$AE33*HLOOKUP(AM$3,'FX Lookup'!$A$2:$Y$4,3,FALSE),0)</f>
        <v>13762.32</v>
      </c>
      <c r="AN33" s="177">
        <f>IF(AND($AC33&lt;=AN$3,AN$3&lt;=$AD33),$AB33/$AE33*HLOOKUP(AN$3,'FX Lookup'!$A$2:$Y$4,3,FALSE),0)</f>
        <v>13762.32</v>
      </c>
      <c r="AO33" s="177">
        <f>IF(AND($AC33&lt;=AO$3,AO$3&lt;=$AD33),$AB33/$AE33*HLOOKUP(AO$3,'FX Lookup'!$A$2:$Y$4,3,FALSE),0)</f>
        <v>13762.32</v>
      </c>
      <c r="AP33" s="177">
        <f>IF(AND($AC33&lt;=AP$3,AP$3&lt;=$AD33),$AB33/$AE33*HLOOKUP(AP$3,'FX Lookup'!$A$2:$Y$4,3,FALSE),0)</f>
        <v>13762.32</v>
      </c>
      <c r="AQ33" s="177">
        <f>IF(AND($AC33&lt;=AQ$3,AQ$3&lt;=$AD33),$AB33/$AE33*HLOOKUP(AQ$3,'FX Lookup'!$A$2:$Y$4,3,FALSE),0)</f>
        <v>13762.32</v>
      </c>
      <c r="AR33" s="178">
        <f t="shared" si="43"/>
        <v>165269.36400000003</v>
      </c>
      <c r="AT33" s="177">
        <f t="shared" si="26"/>
        <v>14578.0362</v>
      </c>
      <c r="AU33" s="177">
        <f t="shared" si="27"/>
        <v>14450.436</v>
      </c>
      <c r="AV33" s="177">
        <f t="shared" si="28"/>
        <v>14450.436</v>
      </c>
      <c r="AW33" s="177">
        <f t="shared" si="29"/>
        <v>14450.436</v>
      </c>
      <c r="AX33" s="177">
        <f t="shared" si="30"/>
        <v>14450.436</v>
      </c>
      <c r="AY33" s="177">
        <f t="shared" si="31"/>
        <v>14450.436</v>
      </c>
      <c r="AZ33" s="177">
        <f t="shared" si="32"/>
        <v>14450.436</v>
      </c>
      <c r="BA33" s="177">
        <f t="shared" si="33"/>
        <v>14450.436</v>
      </c>
      <c r="BB33" s="177">
        <f t="shared" si="34"/>
        <v>14450.436</v>
      </c>
      <c r="BC33" s="177">
        <f t="shared" si="35"/>
        <v>14450.436</v>
      </c>
      <c r="BD33" s="177">
        <f t="shared" si="36"/>
        <v>14450.436</v>
      </c>
      <c r="BE33" s="177">
        <f t="shared" si="37"/>
        <v>14450.436</v>
      </c>
      <c r="BF33" s="178">
        <f t="shared" si="44"/>
        <v>173532.83219999998</v>
      </c>
    </row>
    <row r="34" spans="1:58" ht="13.5" customHeight="1">
      <c r="A34" s="171">
        <f t="shared" si="38"/>
        <v>8</v>
      </c>
      <c r="B34" s="171" t="str">
        <f t="shared" si="39"/>
        <v>ACPLHK</v>
      </c>
      <c r="C34" s="171" t="s">
        <v>2298</v>
      </c>
      <c r="D34" s="171" t="s">
        <v>1883</v>
      </c>
      <c r="E34" s="172" t="str">
        <f t="shared" si="40"/>
        <v>Regulatory Fees</v>
      </c>
      <c r="F34" s="172">
        <f t="shared" si="41"/>
        <v>0</v>
      </c>
      <c r="G34" s="77" t="s">
        <v>2613</v>
      </c>
      <c r="H34" s="173" t="s">
        <v>2614</v>
      </c>
      <c r="I34" s="173" t="s">
        <v>2368</v>
      </c>
      <c r="J34" s="184">
        <f>30000</f>
        <v>30000</v>
      </c>
      <c r="K34" s="456">
        <v>45658</v>
      </c>
      <c r="L34" s="456">
        <v>46022</v>
      </c>
      <c r="M34" s="176">
        <f t="shared" si="24"/>
        <v>12</v>
      </c>
      <c r="N34" s="177">
        <f>IF(AND($K34&lt;=N$3,N$3&lt;=$L34),$J34/$M34*HLOOKUP(N$3,'FX Lookup'!$A$2:$Y$4,3,FALSE),0)</f>
        <v>2339.7999999999997</v>
      </c>
      <c r="O34" s="177">
        <f>IF(AND($K34&lt;=O$3,O$3&lt;=$L34),$J34/$M34*HLOOKUP(O$3,'FX Lookup'!$A$2:$Y$4,3,FALSE),0)</f>
        <v>2339.7999999999997</v>
      </c>
      <c r="P34" s="177">
        <f>IF(AND($K34&lt;=P$3,P$3&lt;=$L34),$J34/$M34*HLOOKUP(P$3,'FX Lookup'!$A$2:$Y$4,3,FALSE),0)</f>
        <v>2339.7999999999997</v>
      </c>
      <c r="Q34" s="177">
        <f>IF(AND($K34&lt;=Q$3,Q$3&lt;=$L34),$J34/$M34*HLOOKUP(Q$3,'FX Lookup'!$A$2:$Y$4,3,FALSE),0)</f>
        <v>2339.7999999999997</v>
      </c>
      <c r="R34" s="177">
        <f>IF(AND($K34&lt;=R$3,R$3&lt;=$L34),$J34/$M34*HLOOKUP(R$3,'FX Lookup'!$A$2:$Y$4,3,FALSE),0)</f>
        <v>2339.7999999999997</v>
      </c>
      <c r="S34" s="177">
        <f>IF(AND($K34&lt;=S$3,S$3&lt;=$L34),$J34/$M34*HLOOKUP(S$3,'FX Lookup'!$A$2:$Y$4,3,FALSE),0)</f>
        <v>2339.7999999999997</v>
      </c>
      <c r="T34" s="177">
        <f>IF(AND($K34&lt;=T$3,T$3&lt;=$L34),$J34/$M34*HLOOKUP(T$3,'FX Lookup'!$A$2:$Y$4,3,FALSE),0)</f>
        <v>2339.7999999999997</v>
      </c>
      <c r="U34" s="177">
        <f>IF(AND($K34&lt;=U$3,U$3&lt;=$L34),$J34/$M34*HLOOKUP(U$3,'FX Lookup'!$A$2:$Y$4,3,FALSE),0)</f>
        <v>2339.7999999999997</v>
      </c>
      <c r="V34" s="177">
        <f>IF(AND($K34&lt;=V$3,V$3&lt;=$L34),$J34/$M34*HLOOKUP(V$3,'FX Lookup'!$A$2:$Y$4,3,FALSE),0)</f>
        <v>2339.7999999999997</v>
      </c>
      <c r="W34" s="177">
        <f>IF(AND($K34&lt;=W$3,W$3&lt;=$L34),$J34/$M34*HLOOKUP(W$3,'FX Lookup'!$A$2:$Y$4,3,FALSE),0)</f>
        <v>2339.7999999999997</v>
      </c>
      <c r="X34" s="177">
        <f>IF(AND($K34&lt;=X$3,X$3&lt;=$L34),$J34/$M34*HLOOKUP(X$3,'FX Lookup'!$A$2:$Y$4,3,FALSE),0)</f>
        <v>2339.7999999999997</v>
      </c>
      <c r="Y34" s="177">
        <f>IF(AND($K34&lt;=Y$3,Y$3&lt;=$L34),$J34/$M34*HLOOKUP(Y$3,'FX Lookup'!$A$2:$Y$4,3,FALSE),0)</f>
        <v>2339.7999999999997</v>
      </c>
      <c r="Z34" s="178">
        <f t="shared" si="42"/>
        <v>28077.599999999995</v>
      </c>
      <c r="AA34" s="173" t="s">
        <v>2368</v>
      </c>
      <c r="AB34" s="174">
        <v>60000</v>
      </c>
      <c r="AC34" s="456">
        <v>46023</v>
      </c>
      <c r="AD34" s="456">
        <v>46387</v>
      </c>
      <c r="AE34" s="176">
        <f t="shared" si="25"/>
        <v>12</v>
      </c>
      <c r="AF34" s="177">
        <v>9480</v>
      </c>
      <c r="AG34" s="177">
        <v>25510</v>
      </c>
      <c r="AH34" s="177"/>
      <c r="AI34" s="177"/>
      <c r="AJ34" s="177"/>
      <c r="AK34" s="177">
        <f>AB34-SUM(AF34:AG34)</f>
        <v>25010</v>
      </c>
      <c r="AL34" s="177"/>
      <c r="AM34" s="177"/>
      <c r="AN34" s="177"/>
      <c r="AO34" s="177"/>
      <c r="AP34" s="177"/>
      <c r="AQ34" s="177"/>
      <c r="AR34" s="178">
        <f t="shared" si="43"/>
        <v>60000</v>
      </c>
      <c r="AT34" s="177">
        <f t="shared" si="26"/>
        <v>9954</v>
      </c>
      <c r="AU34" s="177">
        <f t="shared" si="27"/>
        <v>26785.5</v>
      </c>
      <c r="AV34" s="177">
        <f t="shared" si="28"/>
        <v>0</v>
      </c>
      <c r="AW34" s="177">
        <f t="shared" si="29"/>
        <v>0</v>
      </c>
      <c r="AX34" s="177">
        <f t="shared" si="30"/>
        <v>0</v>
      </c>
      <c r="AY34" s="177">
        <f t="shared" si="31"/>
        <v>26260.5</v>
      </c>
      <c r="AZ34" s="177">
        <f t="shared" si="32"/>
        <v>0</v>
      </c>
      <c r="BA34" s="177">
        <f t="shared" si="33"/>
        <v>0</v>
      </c>
      <c r="BB34" s="177">
        <f t="shared" si="34"/>
        <v>0</v>
      </c>
      <c r="BC34" s="177">
        <f t="shared" si="35"/>
        <v>0</v>
      </c>
      <c r="BD34" s="177">
        <f t="shared" si="36"/>
        <v>0</v>
      </c>
      <c r="BE34" s="177">
        <f t="shared" si="37"/>
        <v>0</v>
      </c>
      <c r="BF34" s="178">
        <f t="shared" si="44"/>
        <v>63000</v>
      </c>
    </row>
    <row r="35" spans="1:58" ht="14.1" customHeight="1">
      <c r="A35" s="171">
        <f t="shared" ref="A35:A43" si="45">IF(A34&lt;=0,FALSE,A34+1)</f>
        <v>9</v>
      </c>
      <c r="B35" s="171" t="str">
        <f>+'Other Exp'!B42</f>
        <v>ACPLHK</v>
      </c>
      <c r="C35" s="171"/>
      <c r="D35" s="171" t="s">
        <v>1534</v>
      </c>
      <c r="E35" s="172" t="str">
        <f t="shared" si="40"/>
        <v>Employment Agency Fee</v>
      </c>
      <c r="F35" s="172">
        <f t="shared" si="41"/>
        <v>0</v>
      </c>
      <c r="G35" s="77" t="s">
        <v>2613</v>
      </c>
      <c r="H35" s="173" t="s">
        <v>2614</v>
      </c>
      <c r="I35" s="173" t="s">
        <v>2368</v>
      </c>
      <c r="J35" s="184"/>
      <c r="K35" s="456">
        <v>45658</v>
      </c>
      <c r="L35" s="456">
        <v>46022</v>
      </c>
      <c r="M35" s="176">
        <f t="shared" si="24"/>
        <v>12</v>
      </c>
      <c r="N35" s="177">
        <f>IF(AND($K35&lt;=N$3,N$3&lt;=$L35),$J35/$M35*HLOOKUP(N$3,'FX Lookup'!$A$2:$Y$4,3,FALSE),0)</f>
        <v>0</v>
      </c>
      <c r="O35" s="177">
        <f>IF(AND($K35&lt;=O$3,O$3&lt;=$L35),$J35/$M35*HLOOKUP(O$3,'FX Lookup'!$A$2:$Y$4,3,FALSE),0)</f>
        <v>0</v>
      </c>
      <c r="P35" s="177">
        <f>IF(AND($K35&lt;=P$3,P$3&lt;=$L35),$J35/$M35*HLOOKUP(P$3,'FX Lookup'!$A$2:$Y$4,3,FALSE),0)</f>
        <v>0</v>
      </c>
      <c r="Q35" s="177">
        <f>IF(AND($K35&lt;=Q$3,Q$3&lt;=$L35),$J35/$M35*HLOOKUP(Q$3,'FX Lookup'!$A$2:$Y$4,3,FALSE),0)</f>
        <v>0</v>
      </c>
      <c r="R35" s="177">
        <f>IF(AND($K35&lt;=R$3,R$3&lt;=$L35),$J35/$M35*HLOOKUP(R$3,'FX Lookup'!$A$2:$Y$4,3,FALSE),0)</f>
        <v>0</v>
      </c>
      <c r="S35" s="177">
        <f>IF(AND($K35&lt;=S$3,S$3&lt;=$L35),$J35/$M35*HLOOKUP(S$3,'FX Lookup'!$A$2:$Y$4,3,FALSE),0)</f>
        <v>0</v>
      </c>
      <c r="T35" s="177">
        <f>IF(AND($K35&lt;=T$3,T$3&lt;=$L35),$J35/$M35*HLOOKUP(T$3,'FX Lookup'!$A$2:$Y$4,3,FALSE),0)</f>
        <v>0</v>
      </c>
      <c r="U35" s="177">
        <f>IF(AND($K35&lt;=U$3,U$3&lt;=$L35),$J35/$M35*HLOOKUP(U$3,'FX Lookup'!$A$2:$Y$4,3,FALSE),0)</f>
        <v>0</v>
      </c>
      <c r="V35" s="177">
        <f>IF(AND($K35&lt;=V$3,V$3&lt;=$L35),$J35/$M35*HLOOKUP(V$3,'FX Lookup'!$A$2:$Y$4,3,FALSE),0)</f>
        <v>0</v>
      </c>
      <c r="W35" s="177">
        <f>IF(AND($K35&lt;=W$3,W$3&lt;=$L35),$J35/$M35*HLOOKUP(W$3,'FX Lookup'!$A$2:$Y$4,3,FALSE),0)</f>
        <v>0</v>
      </c>
      <c r="X35" s="177">
        <f>IF(AND($K35&lt;=X$3,X$3&lt;=$L35),$J35/$M35*HLOOKUP(X$3,'FX Lookup'!$A$2:$Y$4,3,FALSE),0)</f>
        <v>0</v>
      </c>
      <c r="Y35" s="177">
        <f>IF(AND($K35&lt;=Y$3,Y$3&lt;=$L35),$J35/$M35*HLOOKUP(Y$3,'FX Lookup'!$A$2:$Y$4,3,FALSE),0)</f>
        <v>0</v>
      </c>
      <c r="Z35" s="178">
        <f t="shared" si="42"/>
        <v>0</v>
      </c>
      <c r="AA35" s="173" t="s">
        <v>2368</v>
      </c>
      <c r="AB35" s="184"/>
      <c r="AC35" s="456">
        <v>46023</v>
      </c>
      <c r="AD35" s="456">
        <v>46387</v>
      </c>
      <c r="AE35" s="176">
        <f t="shared" si="25"/>
        <v>12</v>
      </c>
      <c r="AF35" s="177">
        <f>IF(AND($AC35&lt;=AF$3,AF$3&lt;=$AD35),$AB35/$AE35*HLOOKUP(AF$3,'FX Lookup'!$A$2:$Y$4,3,FALSE),0)</f>
        <v>0</v>
      </c>
      <c r="AG35" s="177">
        <f>IF(AND($AC35&lt;=AG$3,AG$3&lt;=$AD35),$AB35/$AE35*HLOOKUP(AG$3,'FX Lookup'!$A$2:$Y$4,3,FALSE),0)</f>
        <v>0</v>
      </c>
      <c r="AH35" s="177">
        <f>IF(AND($AC35&lt;=AH$3,AH$3&lt;=$AD35),$AB35/$AE35*HLOOKUP(AH$3,'FX Lookup'!$A$2:$Y$4,3,FALSE),0)</f>
        <v>0</v>
      </c>
      <c r="AI35" s="177">
        <f>IF(AND($AC35&lt;=AI$3,AI$3&lt;=$AD35),$AB35/$AE35*HLOOKUP(AI$3,'FX Lookup'!$A$2:$Y$4,3,FALSE),0)</f>
        <v>0</v>
      </c>
      <c r="AJ35" s="177">
        <f>IF(AND($AC35&lt;=AJ$3,AJ$3&lt;=$AD35),$AB35/$AE35*HLOOKUP(AJ$3,'FX Lookup'!$A$2:$Y$4,3,FALSE),0)</f>
        <v>0</v>
      </c>
      <c r="AK35" s="177">
        <f>IF(AND($AC35&lt;=AK$3,AK$3&lt;=$AD35),$AB35/$AE35*HLOOKUP(AK$3,'FX Lookup'!$A$2:$Y$4,3,FALSE),0)</f>
        <v>0</v>
      </c>
      <c r="AL35" s="177">
        <f>IF(AND($AC35&lt;=AL$3,AL$3&lt;=$AD35),$AB35/$AE35*HLOOKUP(AL$3,'FX Lookup'!$A$2:$Y$4,3,FALSE),0)</f>
        <v>0</v>
      </c>
      <c r="AM35" s="177">
        <f>IF(AND($AC35&lt;=AM$3,AM$3&lt;=$AD35),$AB35/$AE35*HLOOKUP(AM$3,'FX Lookup'!$A$2:$Y$4,3,FALSE),0)</f>
        <v>0</v>
      </c>
      <c r="AN35" s="177">
        <f>IF(AND($AC35&lt;=AN$3,AN$3&lt;=$AD35),$AB35/$AE35*HLOOKUP(AN$3,'FX Lookup'!$A$2:$Y$4,3,FALSE),0)</f>
        <v>0</v>
      </c>
      <c r="AO35" s="177">
        <f>IF(AND($AC35&lt;=AO$3,AO$3&lt;=$AD35),$AB35/$AE35*HLOOKUP(AO$3,'FX Lookup'!$A$2:$Y$4,3,FALSE),0)</f>
        <v>0</v>
      </c>
      <c r="AP35" s="177">
        <f>IF(AND($AC35&lt;=AP$3,AP$3&lt;=$AD35),$AB35/$AE35*HLOOKUP(AP$3,'FX Lookup'!$A$2:$Y$4,3,FALSE),0)</f>
        <v>0</v>
      </c>
      <c r="AQ35" s="177">
        <f>IF(AND($AC35&lt;=AQ$3,AQ$3&lt;=$AD35),$AB35/$AE35*HLOOKUP(AQ$3,'FX Lookup'!$A$2:$Y$4,3,FALSE),0)</f>
        <v>0</v>
      </c>
      <c r="AR35" s="178">
        <f t="shared" si="43"/>
        <v>0</v>
      </c>
      <c r="AT35" s="177">
        <f t="shared" si="26"/>
        <v>0</v>
      </c>
      <c r="AU35" s="177">
        <f t="shared" si="27"/>
        <v>0</v>
      </c>
      <c r="AV35" s="177">
        <f t="shared" si="28"/>
        <v>0</v>
      </c>
      <c r="AW35" s="177">
        <f t="shared" si="29"/>
        <v>0</v>
      </c>
      <c r="AX35" s="177">
        <f t="shared" si="30"/>
        <v>0</v>
      </c>
      <c r="AY35" s="177">
        <f t="shared" si="31"/>
        <v>0</v>
      </c>
      <c r="AZ35" s="177">
        <f t="shared" si="32"/>
        <v>0</v>
      </c>
      <c r="BA35" s="177">
        <f t="shared" si="33"/>
        <v>0</v>
      </c>
      <c r="BB35" s="177">
        <f t="shared" si="34"/>
        <v>0</v>
      </c>
      <c r="BC35" s="177">
        <f t="shared" si="35"/>
        <v>0</v>
      </c>
      <c r="BD35" s="177">
        <f t="shared" si="36"/>
        <v>0</v>
      </c>
      <c r="BE35" s="177">
        <f t="shared" si="37"/>
        <v>0</v>
      </c>
      <c r="BF35" s="178">
        <f t="shared" si="44"/>
        <v>0</v>
      </c>
    </row>
    <row r="36" spans="1:58" ht="26.1" customHeight="1">
      <c r="A36" s="171">
        <f t="shared" si="45"/>
        <v>10</v>
      </c>
      <c r="B36" s="171" t="str">
        <f t="shared" ref="B36:B42" si="46">+B35</f>
        <v>ACPLHK</v>
      </c>
      <c r="C36" s="171" t="s">
        <v>2714</v>
      </c>
      <c r="D36" s="171" t="s">
        <v>1667</v>
      </c>
      <c r="E36" s="172" t="str">
        <f t="shared" si="40"/>
        <v>IT Professional &amp; MS Services</v>
      </c>
      <c r="F36" s="172" t="str">
        <f t="shared" si="41"/>
        <v>M365 Business Premium and Sumlogic License</v>
      </c>
      <c r="G36" s="77" t="s">
        <v>2613</v>
      </c>
      <c r="H36" s="173" t="s">
        <v>2614</v>
      </c>
      <c r="I36" s="173" t="s">
        <v>2368</v>
      </c>
      <c r="J36" s="184">
        <f>15600*(1+$J$2)</f>
        <v>18720</v>
      </c>
      <c r="K36" s="456">
        <v>45748</v>
      </c>
      <c r="L36" s="456">
        <v>45777</v>
      </c>
      <c r="M36" s="176">
        <f t="shared" si="24"/>
        <v>1</v>
      </c>
      <c r="N36" s="177">
        <f>IF(AND($K36&lt;=N$3,N$3&lt;=$L36),$J36/$M36*HLOOKUP(N$3,'FX Lookup'!$A$2:$Y$4,3,FALSE),0)</f>
        <v>0</v>
      </c>
      <c r="O36" s="177">
        <f>IF(AND($K36&lt;=O$3,O$3&lt;=$L36),$J36/$M36*HLOOKUP(O$3,'FX Lookup'!$A$2:$Y$4,3,FALSE),0)</f>
        <v>0</v>
      </c>
      <c r="P36" s="177">
        <f>IF(AND($K36&lt;=P$3,P$3&lt;=$L36),$J36/$M36*HLOOKUP(P$3,'FX Lookup'!$A$2:$Y$4,3,FALSE),0)</f>
        <v>0</v>
      </c>
      <c r="Q36" s="177">
        <f>IF(AND($K36&lt;=Q$3,Q$3&lt;=$L36),$J36/$M36*HLOOKUP(Q$3,'FX Lookup'!$A$2:$Y$4,3,FALSE),0)</f>
        <v>17520.422399999999</v>
      </c>
      <c r="R36" s="177">
        <f>IF(AND($K36&lt;=R$3,R$3&lt;=$L36),$J36/$M36*HLOOKUP(R$3,'FX Lookup'!$A$2:$Y$4,3,FALSE),0)</f>
        <v>0</v>
      </c>
      <c r="S36" s="177">
        <f>IF(AND($K36&lt;=S$3,S$3&lt;=$L36),$J36/$M36*HLOOKUP(S$3,'FX Lookup'!$A$2:$Y$4,3,FALSE),0)</f>
        <v>0</v>
      </c>
      <c r="T36" s="177">
        <f>IF(AND($K36&lt;=T$3,T$3&lt;=$L36),$J36/$M36*HLOOKUP(T$3,'FX Lookup'!$A$2:$Y$4,3,FALSE),0)</f>
        <v>0</v>
      </c>
      <c r="U36" s="177">
        <f>IF(AND($K36&lt;=U$3,U$3&lt;=$L36),$J36/$M36*HLOOKUP(U$3,'FX Lookup'!$A$2:$Y$4,3,FALSE),0)</f>
        <v>0</v>
      </c>
      <c r="V36" s="177">
        <f>IF(AND($K36&lt;=V$3,V$3&lt;=$L36),$J36/$M36*HLOOKUP(V$3,'FX Lookup'!$A$2:$Y$4,3,FALSE),0)</f>
        <v>0</v>
      </c>
      <c r="W36" s="177">
        <f>IF(AND($K36&lt;=W$3,W$3&lt;=$L36),$J36/$M36*HLOOKUP(W$3,'FX Lookup'!$A$2:$Y$4,3,FALSE),0)</f>
        <v>0</v>
      </c>
      <c r="X36" s="177">
        <f>IF(AND($K36&lt;=X$3,X$3&lt;=$L36),$J36/$M36*HLOOKUP(X$3,'FX Lookup'!$A$2:$Y$4,3,FALSE),0)</f>
        <v>0</v>
      </c>
      <c r="Y36" s="177">
        <f>IF(AND($K36&lt;=Y$3,Y$3&lt;=$L36),$J36/$M36*HLOOKUP(Y$3,'FX Lookup'!$A$2:$Y$4,3,FALSE),0)</f>
        <v>0</v>
      </c>
      <c r="Z36" s="178">
        <f t="shared" si="42"/>
        <v>17520.422399999999</v>
      </c>
      <c r="AA36" s="173" t="s">
        <v>2368</v>
      </c>
      <c r="AB36" s="174">
        <f>29000*(1+$AB$2)</f>
        <v>31900</v>
      </c>
      <c r="AC36" s="456">
        <v>46023</v>
      </c>
      <c r="AD36" s="456">
        <v>46387</v>
      </c>
      <c r="AE36" s="176">
        <f t="shared" si="25"/>
        <v>12</v>
      </c>
      <c r="AF36" s="177">
        <f>IF(AND($AC36&lt;=AF$3,AF$3&lt;=$AD36),$AB36/$AE36*HLOOKUP(AF$3,'FX Lookup'!$A$2:$Y$4,3,FALSE),0)</f>
        <v>2365.8900833333332</v>
      </c>
      <c r="AG36" s="177">
        <f>IF(AND($AC36&lt;=AG$3,AG$3&lt;=$AD36),$AB36/$AE36*HLOOKUP(AG$3,'FX Lookup'!$A$2:$Y$4,3,FALSE),0)</f>
        <v>2345.1816666666668</v>
      </c>
      <c r="AH36" s="177">
        <f>IF(AND($AC36&lt;=AH$3,AH$3&lt;=$AD36),$AB36/$AE36*HLOOKUP(AH$3,'FX Lookup'!$A$2:$Y$4,3,FALSE),0)</f>
        <v>2345.1816666666668</v>
      </c>
      <c r="AI36" s="177">
        <f>IF(AND($AC36&lt;=AI$3,AI$3&lt;=$AD36),$AB36/$AE36*HLOOKUP(AI$3,'FX Lookup'!$A$2:$Y$4,3,FALSE),0)</f>
        <v>2345.1816666666668</v>
      </c>
      <c r="AJ36" s="177">
        <f>IF(AND($AC36&lt;=AJ$3,AJ$3&lt;=$AD36),$AB36/$AE36*HLOOKUP(AJ$3,'FX Lookup'!$A$2:$Y$4,3,FALSE),0)</f>
        <v>2345.1816666666668</v>
      </c>
      <c r="AK36" s="177">
        <f>IF(AND($AC36&lt;=AK$3,AK$3&lt;=$AD36),$AB36/$AE36*HLOOKUP(AK$3,'FX Lookup'!$A$2:$Y$4,3,FALSE),0)</f>
        <v>2345.1816666666668</v>
      </c>
      <c r="AL36" s="177">
        <f>IF(AND($AC36&lt;=AL$3,AL$3&lt;=$AD36),$AB36/$AE36*HLOOKUP(AL$3,'FX Lookup'!$A$2:$Y$4,3,FALSE),0)</f>
        <v>2345.1816666666668</v>
      </c>
      <c r="AM36" s="177">
        <f>IF(AND($AC36&lt;=AM$3,AM$3&lt;=$AD36),$AB36/$AE36*HLOOKUP(AM$3,'FX Lookup'!$A$2:$Y$4,3,FALSE),0)</f>
        <v>2345.1816666666668</v>
      </c>
      <c r="AN36" s="177">
        <f>IF(AND($AC36&lt;=AN$3,AN$3&lt;=$AD36),$AB36/$AE36*HLOOKUP(AN$3,'FX Lookup'!$A$2:$Y$4,3,FALSE),0)</f>
        <v>2345.1816666666668</v>
      </c>
      <c r="AO36" s="177">
        <f>IF(AND($AC36&lt;=AO$3,AO$3&lt;=$AD36),$AB36/$AE36*HLOOKUP(AO$3,'FX Lookup'!$A$2:$Y$4,3,FALSE),0)</f>
        <v>2345.1816666666668</v>
      </c>
      <c r="AP36" s="177">
        <f>IF(AND($AC36&lt;=AP$3,AP$3&lt;=$AD36),$AB36/$AE36*HLOOKUP(AP$3,'FX Lookup'!$A$2:$Y$4,3,FALSE),0)</f>
        <v>2345.1816666666668</v>
      </c>
      <c r="AQ36" s="177">
        <f>IF(AND($AC36&lt;=AQ$3,AQ$3&lt;=$AD36),$AB36/$AE36*HLOOKUP(AQ$3,'FX Lookup'!$A$2:$Y$4,3,FALSE),0)</f>
        <v>2345.1816666666668</v>
      </c>
      <c r="AR36" s="178">
        <f t="shared" si="43"/>
        <v>28162.888416666672</v>
      </c>
      <c r="AT36" s="177">
        <f t="shared" si="26"/>
        <v>2484.1845874999999</v>
      </c>
      <c r="AU36" s="177">
        <f t="shared" si="27"/>
        <v>2462.4407500000002</v>
      </c>
      <c r="AV36" s="177">
        <f t="shared" si="28"/>
        <v>2462.4407500000002</v>
      </c>
      <c r="AW36" s="177">
        <f t="shared" si="29"/>
        <v>2462.4407500000002</v>
      </c>
      <c r="AX36" s="177">
        <f t="shared" si="30"/>
        <v>2462.4407500000002</v>
      </c>
      <c r="AY36" s="177">
        <f t="shared" si="31"/>
        <v>2462.4407500000002</v>
      </c>
      <c r="AZ36" s="177">
        <f t="shared" si="32"/>
        <v>2462.4407500000002</v>
      </c>
      <c r="BA36" s="177">
        <f t="shared" si="33"/>
        <v>2462.4407500000002</v>
      </c>
      <c r="BB36" s="177">
        <f t="shared" si="34"/>
        <v>2462.4407500000002</v>
      </c>
      <c r="BC36" s="177">
        <f t="shared" si="35"/>
        <v>2462.4407500000002</v>
      </c>
      <c r="BD36" s="177">
        <f t="shared" si="36"/>
        <v>2462.4407500000002</v>
      </c>
      <c r="BE36" s="177">
        <f t="shared" si="37"/>
        <v>2462.4407500000002</v>
      </c>
      <c r="BF36" s="178">
        <f t="shared" si="44"/>
        <v>29571.032837500006</v>
      </c>
    </row>
    <row r="37" spans="1:58" ht="13.5" customHeight="1">
      <c r="A37" s="171">
        <f t="shared" si="45"/>
        <v>11</v>
      </c>
      <c r="B37" s="171" t="str">
        <f t="shared" si="46"/>
        <v>ACPLHK</v>
      </c>
      <c r="C37" s="171" t="s">
        <v>2714</v>
      </c>
      <c r="D37" s="171" t="s">
        <v>1662</v>
      </c>
      <c r="E37" s="172" t="str">
        <f t="shared" si="40"/>
        <v>IT Professional &amp; MS Services</v>
      </c>
      <c r="F37" s="172" t="str">
        <f t="shared" si="41"/>
        <v xml:space="preserve">IT Managed Support Services </v>
      </c>
      <c r="G37" s="77" t="s">
        <v>2613</v>
      </c>
      <c r="H37" s="173" t="s">
        <v>2614</v>
      </c>
      <c r="I37" s="173" t="s">
        <v>2368</v>
      </c>
      <c r="J37" s="184">
        <f>90000*(1+$J$1)</f>
        <v>94500</v>
      </c>
      <c r="K37" s="456">
        <v>45809</v>
      </c>
      <c r="L37" s="456">
        <v>45838</v>
      </c>
      <c r="M37" s="176">
        <f t="shared" si="24"/>
        <v>1</v>
      </c>
      <c r="N37" s="177">
        <f>IF(AND($K37&lt;=N$3,N$3&lt;=$L37),$J37/$M37*HLOOKUP(N$3,'FX Lookup'!$A$2:$Y$4,3,FALSE),0)</f>
        <v>0</v>
      </c>
      <c r="O37" s="177">
        <f>IF(AND($K37&lt;=O$3,O$3&lt;=$L37),$J37/$M37*HLOOKUP(O$3,'FX Lookup'!$A$2:$Y$4,3,FALSE),0)</f>
        <v>0</v>
      </c>
      <c r="P37" s="177">
        <f>IF(AND($K37&lt;=P$3,P$3&lt;=$L37),$J37/$M37*HLOOKUP(P$3,'FX Lookup'!$A$2:$Y$4,3,FALSE),0)</f>
        <v>0</v>
      </c>
      <c r="Q37" s="177">
        <f>IF(AND($K37&lt;=Q$3,Q$3&lt;=$L37),$J37/$M37*HLOOKUP(Q$3,'FX Lookup'!$A$2:$Y$4,3,FALSE),0)</f>
        <v>0</v>
      </c>
      <c r="R37" s="177">
        <f>IF(AND($K37&lt;=R$3,R$3&lt;=$L37),$J37/$M37*HLOOKUP(R$3,'FX Lookup'!$A$2:$Y$4,3,FALSE),0)</f>
        <v>0</v>
      </c>
      <c r="S37" s="177">
        <f>IF(AND($K37&lt;=S$3,S$3&lt;=$L37),$J37/$M37*HLOOKUP(S$3,'FX Lookup'!$A$2:$Y$4,3,FALSE),0)</f>
        <v>88444.44</v>
      </c>
      <c r="T37" s="177">
        <f>IF(AND($K37&lt;=T$3,T$3&lt;=$L37),$J37/$M37*HLOOKUP(T$3,'FX Lookup'!$A$2:$Y$4,3,FALSE),0)</f>
        <v>0</v>
      </c>
      <c r="U37" s="177">
        <f>IF(AND($K37&lt;=U$3,U$3&lt;=$L37),$J37/$M37*HLOOKUP(U$3,'FX Lookup'!$A$2:$Y$4,3,FALSE),0)</f>
        <v>0</v>
      </c>
      <c r="V37" s="177">
        <f>IF(AND($K37&lt;=V$3,V$3&lt;=$L37),$J37/$M37*HLOOKUP(V$3,'FX Lookup'!$A$2:$Y$4,3,FALSE),0)</f>
        <v>0</v>
      </c>
      <c r="W37" s="177">
        <f>IF(AND($K37&lt;=W$3,W$3&lt;=$L37),$J37/$M37*HLOOKUP(W$3,'FX Lookup'!$A$2:$Y$4,3,FALSE),0)</f>
        <v>0</v>
      </c>
      <c r="X37" s="177">
        <f>IF(AND($K37&lt;=X$3,X$3&lt;=$L37),$J37/$M37*HLOOKUP(X$3,'FX Lookup'!$A$2:$Y$4,3,FALSE),0)</f>
        <v>0</v>
      </c>
      <c r="Y37" s="177">
        <f>IF(AND($K37&lt;=Y$3,Y$3&lt;=$L37),$J37/$M37*HLOOKUP(Y$3,'FX Lookup'!$A$2:$Y$4,3,FALSE),0)</f>
        <v>0</v>
      </c>
      <c r="Z37" s="178">
        <f t="shared" si="42"/>
        <v>88444.44</v>
      </c>
      <c r="AA37" s="173" t="s">
        <v>2368</v>
      </c>
      <c r="AB37" s="174">
        <f>90000*(1+$AB$2)</f>
        <v>99000</v>
      </c>
      <c r="AC37" s="456">
        <v>46023</v>
      </c>
      <c r="AD37" s="456">
        <v>46387</v>
      </c>
      <c r="AE37" s="176">
        <f t="shared" si="25"/>
        <v>12</v>
      </c>
      <c r="AF37" s="177">
        <f>IF(AND($AC37&lt;=AF$3,AF$3&lt;=$AD37),$AB37/$AE37*HLOOKUP(AF$3,'FX Lookup'!$A$2:$Y$4,3,FALSE),0)</f>
        <v>7342.4174999999996</v>
      </c>
      <c r="AG37" s="177">
        <f>IF(AND($AC37&lt;=AG$3,AG$3&lt;=$AD37),$AB37/$AE37*HLOOKUP(AG$3,'FX Lookup'!$A$2:$Y$4,3,FALSE),0)</f>
        <v>7278.15</v>
      </c>
      <c r="AH37" s="177">
        <f>IF(AND($AC37&lt;=AH$3,AH$3&lt;=$AD37),$AB37/$AE37*HLOOKUP(AH$3,'FX Lookup'!$A$2:$Y$4,3,FALSE),0)</f>
        <v>7278.15</v>
      </c>
      <c r="AI37" s="177">
        <f>IF(AND($AC37&lt;=AI$3,AI$3&lt;=$AD37),$AB37/$AE37*HLOOKUP(AI$3,'FX Lookup'!$A$2:$Y$4,3,FALSE),0)</f>
        <v>7278.15</v>
      </c>
      <c r="AJ37" s="177">
        <f>IF(AND($AC37&lt;=AJ$3,AJ$3&lt;=$AD37),$AB37/$AE37*HLOOKUP(AJ$3,'FX Lookup'!$A$2:$Y$4,3,FALSE),0)</f>
        <v>7278.15</v>
      </c>
      <c r="AK37" s="177">
        <f>IF(AND($AC37&lt;=AK$3,AK$3&lt;=$AD37),$AB37/$AE37*HLOOKUP(AK$3,'FX Lookup'!$A$2:$Y$4,3,FALSE),0)</f>
        <v>7278.15</v>
      </c>
      <c r="AL37" s="177">
        <f>IF(AND($AC37&lt;=AL$3,AL$3&lt;=$AD37),$AB37/$AE37*HLOOKUP(AL$3,'FX Lookup'!$A$2:$Y$4,3,FALSE),0)</f>
        <v>7278.15</v>
      </c>
      <c r="AM37" s="177">
        <f>IF(AND($AC37&lt;=AM$3,AM$3&lt;=$AD37),$AB37/$AE37*HLOOKUP(AM$3,'FX Lookup'!$A$2:$Y$4,3,FALSE),0)</f>
        <v>7278.15</v>
      </c>
      <c r="AN37" s="177">
        <f>IF(AND($AC37&lt;=AN$3,AN$3&lt;=$AD37),$AB37/$AE37*HLOOKUP(AN$3,'FX Lookup'!$A$2:$Y$4,3,FALSE),0)</f>
        <v>7278.15</v>
      </c>
      <c r="AO37" s="177">
        <f>IF(AND($AC37&lt;=AO$3,AO$3&lt;=$AD37),$AB37/$AE37*HLOOKUP(AO$3,'FX Lookup'!$A$2:$Y$4,3,FALSE),0)</f>
        <v>7278.15</v>
      </c>
      <c r="AP37" s="177">
        <f>IF(AND($AC37&lt;=AP$3,AP$3&lt;=$AD37),$AB37/$AE37*HLOOKUP(AP$3,'FX Lookup'!$A$2:$Y$4,3,FALSE),0)</f>
        <v>7278.15</v>
      </c>
      <c r="AQ37" s="177">
        <f>IF(AND($AC37&lt;=AQ$3,AQ$3&lt;=$AD37),$AB37/$AE37*HLOOKUP(AQ$3,'FX Lookup'!$A$2:$Y$4,3,FALSE),0)</f>
        <v>7278.15</v>
      </c>
      <c r="AR37" s="178">
        <f t="shared" si="43"/>
        <v>87402.06749999999</v>
      </c>
      <c r="AT37" s="177">
        <f t="shared" si="26"/>
        <v>7709.5383750000001</v>
      </c>
      <c r="AU37" s="177">
        <f t="shared" si="27"/>
        <v>7642.0574999999999</v>
      </c>
      <c r="AV37" s="177">
        <f t="shared" si="28"/>
        <v>7642.0574999999999</v>
      </c>
      <c r="AW37" s="177">
        <f t="shared" si="29"/>
        <v>7642.0574999999999</v>
      </c>
      <c r="AX37" s="177">
        <f t="shared" si="30"/>
        <v>7642.0574999999999</v>
      </c>
      <c r="AY37" s="177">
        <f t="shared" si="31"/>
        <v>7642.0574999999999</v>
      </c>
      <c r="AZ37" s="177">
        <f t="shared" si="32"/>
        <v>7642.0574999999999</v>
      </c>
      <c r="BA37" s="177">
        <f t="shared" si="33"/>
        <v>7642.0574999999999</v>
      </c>
      <c r="BB37" s="177">
        <f t="shared" si="34"/>
        <v>7642.0574999999999</v>
      </c>
      <c r="BC37" s="177">
        <f t="shared" si="35"/>
        <v>7642.0574999999999</v>
      </c>
      <c r="BD37" s="177">
        <f t="shared" si="36"/>
        <v>7642.0574999999999</v>
      </c>
      <c r="BE37" s="177">
        <f t="shared" si="37"/>
        <v>7642.0574999999999</v>
      </c>
      <c r="BF37" s="178">
        <f t="shared" si="44"/>
        <v>91772.170874999996</v>
      </c>
    </row>
    <row r="38" spans="1:58" ht="13.5" customHeight="1">
      <c r="A38" s="171">
        <f t="shared" si="45"/>
        <v>12</v>
      </c>
      <c r="B38" s="171" t="str">
        <f t="shared" si="46"/>
        <v>ACPLHK</v>
      </c>
      <c r="C38" s="171" t="s">
        <v>2714</v>
      </c>
      <c r="D38" s="171" t="s">
        <v>1667</v>
      </c>
      <c r="E38" s="172" t="str">
        <f t="shared" si="40"/>
        <v>IT Professional &amp; MS Services</v>
      </c>
      <c r="F38" s="172" t="str">
        <f t="shared" si="41"/>
        <v>Data storage</v>
      </c>
      <c r="G38" s="77" t="s">
        <v>2613</v>
      </c>
      <c r="H38" s="173" t="s">
        <v>2614</v>
      </c>
      <c r="I38" s="173" t="s">
        <v>2368</v>
      </c>
      <c r="J38" s="184">
        <f>44000*(1+$J$2)</f>
        <v>52800</v>
      </c>
      <c r="K38" s="456">
        <v>45809</v>
      </c>
      <c r="L38" s="456">
        <v>45838</v>
      </c>
      <c r="M38" s="176">
        <f t="shared" si="24"/>
        <v>1</v>
      </c>
      <c r="N38" s="177">
        <f>IF(AND($K38&lt;=N$3,N$3&lt;=$L38),$J38/$M38*HLOOKUP(N$3,'FX Lookup'!$A$2:$Y$4,3,FALSE),0)</f>
        <v>0</v>
      </c>
      <c r="O38" s="177">
        <f>IF(AND($K38&lt;=O$3,O$3&lt;=$L38),$J38/$M38*HLOOKUP(O$3,'FX Lookup'!$A$2:$Y$4,3,FALSE),0)</f>
        <v>0</v>
      </c>
      <c r="P38" s="177">
        <f>IF(AND($K38&lt;=P$3,P$3&lt;=$L38),$J38/$M38*HLOOKUP(P$3,'FX Lookup'!$A$2:$Y$4,3,FALSE),0)</f>
        <v>0</v>
      </c>
      <c r="Q38" s="177">
        <f>IF(AND($K38&lt;=Q$3,Q$3&lt;=$L38),$J38/$M38*HLOOKUP(Q$3,'FX Lookup'!$A$2:$Y$4,3,FALSE),0)</f>
        <v>0</v>
      </c>
      <c r="R38" s="177">
        <f>IF(AND($K38&lt;=R$3,R$3&lt;=$L38),$J38/$M38*HLOOKUP(R$3,'FX Lookup'!$A$2:$Y$4,3,FALSE),0)</f>
        <v>0</v>
      </c>
      <c r="S38" s="177">
        <f>IF(AND($K38&lt;=S$3,S$3&lt;=$L38),$J38/$M38*HLOOKUP(S$3,'FX Lookup'!$A$2:$Y$4,3,FALSE),0)</f>
        <v>49416.576000000001</v>
      </c>
      <c r="T38" s="177">
        <f>IF(AND($K38&lt;=T$3,T$3&lt;=$L38),$J38/$M38*HLOOKUP(T$3,'FX Lookup'!$A$2:$Y$4,3,FALSE),0)</f>
        <v>0</v>
      </c>
      <c r="U38" s="177">
        <f>IF(AND($K38&lt;=U$3,U$3&lt;=$L38),$J38/$M38*HLOOKUP(U$3,'FX Lookup'!$A$2:$Y$4,3,FALSE),0)</f>
        <v>0</v>
      </c>
      <c r="V38" s="177">
        <f>IF(AND($K38&lt;=V$3,V$3&lt;=$L38),$J38/$M38*HLOOKUP(V$3,'FX Lookup'!$A$2:$Y$4,3,FALSE),0)</f>
        <v>0</v>
      </c>
      <c r="W38" s="177">
        <f>IF(AND($K38&lt;=W$3,W$3&lt;=$L38),$J38/$M38*HLOOKUP(W$3,'FX Lookup'!$A$2:$Y$4,3,FALSE),0)</f>
        <v>0</v>
      </c>
      <c r="X38" s="177">
        <f>IF(AND($K38&lt;=X$3,X$3&lt;=$L38),$J38/$M38*HLOOKUP(X$3,'FX Lookup'!$A$2:$Y$4,3,FALSE),0)</f>
        <v>0</v>
      </c>
      <c r="Y38" s="177">
        <f>IF(AND($K38&lt;=Y$3,Y$3&lt;=$L38),$J38/$M38*HLOOKUP(Y$3,'FX Lookup'!$A$2:$Y$4,3,FALSE),0)</f>
        <v>0</v>
      </c>
      <c r="Z38" s="178">
        <f t="shared" si="42"/>
        <v>49416.576000000001</v>
      </c>
      <c r="AA38" s="173" t="s">
        <v>2368</v>
      </c>
      <c r="AB38" s="174">
        <f>75000*(1+$AB$2)</f>
        <v>82500</v>
      </c>
      <c r="AC38" s="456">
        <v>46023</v>
      </c>
      <c r="AD38" s="456">
        <v>46387</v>
      </c>
      <c r="AE38" s="176">
        <f t="shared" si="25"/>
        <v>12</v>
      </c>
      <c r="AF38" s="177">
        <f>IF(AND($AC38&lt;=AF$3,AF$3&lt;=$AD38),$AB38/$AE38*HLOOKUP(AF$3,'FX Lookup'!$A$2:$Y$4,3,FALSE),0)</f>
        <v>6118.6812499999996</v>
      </c>
      <c r="AG38" s="177">
        <f>IF(AND($AC38&lt;=AG$3,AG$3&lt;=$AD38),$AB38/$AE38*HLOOKUP(AG$3,'FX Lookup'!$A$2:$Y$4,3,FALSE),0)</f>
        <v>6065.125</v>
      </c>
      <c r="AH38" s="177">
        <f>IF(AND($AC38&lt;=AH$3,AH$3&lt;=$AD38),$AB38/$AE38*HLOOKUP(AH$3,'FX Lookup'!$A$2:$Y$4,3,FALSE),0)</f>
        <v>6065.125</v>
      </c>
      <c r="AI38" s="177">
        <f>IF(AND($AC38&lt;=AI$3,AI$3&lt;=$AD38),$AB38/$AE38*HLOOKUP(AI$3,'FX Lookup'!$A$2:$Y$4,3,FALSE),0)</f>
        <v>6065.125</v>
      </c>
      <c r="AJ38" s="177">
        <f>IF(AND($AC38&lt;=AJ$3,AJ$3&lt;=$AD38),$AB38/$AE38*HLOOKUP(AJ$3,'FX Lookup'!$A$2:$Y$4,3,FALSE),0)</f>
        <v>6065.125</v>
      </c>
      <c r="AK38" s="177">
        <f>IF(AND($AC38&lt;=AK$3,AK$3&lt;=$AD38),$AB38/$AE38*HLOOKUP(AK$3,'FX Lookup'!$A$2:$Y$4,3,FALSE),0)</f>
        <v>6065.125</v>
      </c>
      <c r="AL38" s="177">
        <f>IF(AND($AC38&lt;=AL$3,AL$3&lt;=$AD38),$AB38/$AE38*HLOOKUP(AL$3,'FX Lookup'!$A$2:$Y$4,3,FALSE),0)</f>
        <v>6065.125</v>
      </c>
      <c r="AM38" s="177">
        <f>IF(AND($AC38&lt;=AM$3,AM$3&lt;=$AD38),$AB38/$AE38*HLOOKUP(AM$3,'FX Lookup'!$A$2:$Y$4,3,FALSE),0)</f>
        <v>6065.125</v>
      </c>
      <c r="AN38" s="177">
        <f>IF(AND($AC38&lt;=AN$3,AN$3&lt;=$AD38),$AB38/$AE38*HLOOKUP(AN$3,'FX Lookup'!$A$2:$Y$4,3,FALSE),0)</f>
        <v>6065.125</v>
      </c>
      <c r="AO38" s="177">
        <f>IF(AND($AC38&lt;=AO$3,AO$3&lt;=$AD38),$AB38/$AE38*HLOOKUP(AO$3,'FX Lookup'!$A$2:$Y$4,3,FALSE),0)</f>
        <v>6065.125</v>
      </c>
      <c r="AP38" s="177">
        <f>IF(AND($AC38&lt;=AP$3,AP$3&lt;=$AD38),$AB38/$AE38*HLOOKUP(AP$3,'FX Lookup'!$A$2:$Y$4,3,FALSE),0)</f>
        <v>6065.125</v>
      </c>
      <c r="AQ38" s="177">
        <f>IF(AND($AC38&lt;=AQ$3,AQ$3&lt;=$AD38),$AB38/$AE38*HLOOKUP(AQ$3,'FX Lookup'!$A$2:$Y$4,3,FALSE),0)</f>
        <v>6065.125</v>
      </c>
      <c r="AR38" s="178">
        <f t="shared" si="43"/>
        <v>72835.056249999994</v>
      </c>
      <c r="AT38" s="177">
        <f t="shared" si="26"/>
        <v>6424.6153125000001</v>
      </c>
      <c r="AU38" s="177">
        <f t="shared" si="27"/>
        <v>6368.3812500000004</v>
      </c>
      <c r="AV38" s="177">
        <f t="shared" si="28"/>
        <v>6368.3812500000004</v>
      </c>
      <c r="AW38" s="177">
        <f t="shared" si="29"/>
        <v>6368.3812500000004</v>
      </c>
      <c r="AX38" s="177">
        <f t="shared" si="30"/>
        <v>6368.3812500000004</v>
      </c>
      <c r="AY38" s="177">
        <f t="shared" si="31"/>
        <v>6368.3812500000004</v>
      </c>
      <c r="AZ38" s="177">
        <f t="shared" si="32"/>
        <v>6368.3812500000004</v>
      </c>
      <c r="BA38" s="177">
        <f t="shared" si="33"/>
        <v>6368.3812500000004</v>
      </c>
      <c r="BB38" s="177">
        <f t="shared" si="34"/>
        <v>6368.3812500000004</v>
      </c>
      <c r="BC38" s="177">
        <f t="shared" si="35"/>
        <v>6368.3812500000004</v>
      </c>
      <c r="BD38" s="177">
        <f t="shared" si="36"/>
        <v>6368.3812500000004</v>
      </c>
      <c r="BE38" s="177">
        <f t="shared" si="37"/>
        <v>6368.3812500000004</v>
      </c>
      <c r="BF38" s="178">
        <f t="shared" si="44"/>
        <v>76476.809062500004</v>
      </c>
    </row>
    <row r="39" spans="1:58" ht="13.5" customHeight="1">
      <c r="A39" s="171">
        <f t="shared" si="45"/>
        <v>13</v>
      </c>
      <c r="B39" s="171" t="str">
        <f t="shared" si="46"/>
        <v>ACPLHK</v>
      </c>
      <c r="C39" s="171"/>
      <c r="D39" s="171"/>
      <c r="E39" s="172" t="str">
        <f t="shared" si="40"/>
        <v>Capital Verification Fees</v>
      </c>
      <c r="F39" s="172">
        <f t="shared" si="41"/>
        <v>0</v>
      </c>
      <c r="G39" s="77" t="s">
        <v>2613</v>
      </c>
      <c r="H39" s="173" t="s">
        <v>2614</v>
      </c>
      <c r="I39" s="173" t="s">
        <v>2368</v>
      </c>
      <c r="J39" s="184"/>
      <c r="K39" s="456">
        <v>45658</v>
      </c>
      <c r="L39" s="456">
        <v>46022</v>
      </c>
      <c r="M39" s="176">
        <f t="shared" si="24"/>
        <v>12</v>
      </c>
      <c r="N39" s="177">
        <f>IF(AND($K39&lt;=N$3,N$3&lt;=$L39),$J39/$M39*HLOOKUP(N$3,'FX Lookup'!$A$2:$Y$4,3,FALSE),0)</f>
        <v>0</v>
      </c>
      <c r="O39" s="177">
        <f>IF(AND($K39&lt;=O$3,O$3&lt;=$L39),$J39/$M39*HLOOKUP(O$3,'FX Lookup'!$A$2:$Y$4,3,FALSE),0)</f>
        <v>0</v>
      </c>
      <c r="P39" s="177">
        <f>IF(AND($K39&lt;=P$3,P$3&lt;=$L39),$J39/$M39*HLOOKUP(P$3,'FX Lookup'!$A$2:$Y$4,3,FALSE),0)</f>
        <v>0</v>
      </c>
      <c r="Q39" s="177">
        <f>IF(AND($K39&lt;=Q$3,Q$3&lt;=$L39),$J39/$M39*HLOOKUP(Q$3,'FX Lookup'!$A$2:$Y$4,3,FALSE),0)</f>
        <v>0</v>
      </c>
      <c r="R39" s="177">
        <f>IF(AND($K39&lt;=R$3,R$3&lt;=$L39),$J39/$M39*HLOOKUP(R$3,'FX Lookup'!$A$2:$Y$4,3,FALSE),0)</f>
        <v>0</v>
      </c>
      <c r="S39" s="177">
        <f>IF(AND($K39&lt;=S$3,S$3&lt;=$L39),$J39/$M39*HLOOKUP(S$3,'FX Lookup'!$A$2:$Y$4,3,FALSE),0)</f>
        <v>0</v>
      </c>
      <c r="T39" s="177">
        <f>IF(AND($K39&lt;=T$3,T$3&lt;=$L39),$J39/$M39*HLOOKUP(T$3,'FX Lookup'!$A$2:$Y$4,3,FALSE),0)</f>
        <v>0</v>
      </c>
      <c r="U39" s="177">
        <f>IF(AND($K39&lt;=U$3,U$3&lt;=$L39),$J39/$M39*HLOOKUP(U$3,'FX Lookup'!$A$2:$Y$4,3,FALSE),0)</f>
        <v>0</v>
      </c>
      <c r="V39" s="177">
        <f>IF(AND($K39&lt;=V$3,V$3&lt;=$L39),$J39/$M39*HLOOKUP(V$3,'FX Lookup'!$A$2:$Y$4,3,FALSE),0)</f>
        <v>0</v>
      </c>
      <c r="W39" s="177">
        <f>IF(AND($K39&lt;=W$3,W$3&lt;=$L39),$J39/$M39*HLOOKUP(W$3,'FX Lookup'!$A$2:$Y$4,3,FALSE),0)</f>
        <v>0</v>
      </c>
      <c r="X39" s="177">
        <f>IF(AND($K39&lt;=X$3,X$3&lt;=$L39),$J39/$M39*HLOOKUP(X$3,'FX Lookup'!$A$2:$Y$4,3,FALSE),0)</f>
        <v>0</v>
      </c>
      <c r="Y39" s="177">
        <f>IF(AND($K39&lt;=Y$3,Y$3&lt;=$L39),$J39/$M39*HLOOKUP(Y$3,'FX Lookup'!$A$2:$Y$4,3,FALSE),0)</f>
        <v>0</v>
      </c>
      <c r="Z39" s="178">
        <f t="shared" si="42"/>
        <v>0</v>
      </c>
      <c r="AA39" s="173" t="s">
        <v>2368</v>
      </c>
      <c r="AB39" s="184"/>
      <c r="AC39" s="456">
        <v>46023</v>
      </c>
      <c r="AD39" s="456">
        <v>46387</v>
      </c>
      <c r="AE39" s="176">
        <f t="shared" si="25"/>
        <v>12</v>
      </c>
      <c r="AF39" s="177">
        <f>IF(AND($AC39&lt;=AF$3,AF$3&lt;=$AD39),$AB39/$AE39*HLOOKUP(AF$3,'FX Lookup'!$A$2:$Y$4,3,FALSE),0)</f>
        <v>0</v>
      </c>
      <c r="AG39" s="177">
        <f>IF(AND($AC39&lt;=AG$3,AG$3&lt;=$AD39),$AB39/$AE39*HLOOKUP(AG$3,'FX Lookup'!$A$2:$Y$4,3,FALSE),0)</f>
        <v>0</v>
      </c>
      <c r="AH39" s="177">
        <f>IF(AND($AC39&lt;=AH$3,AH$3&lt;=$AD39),$AB39/$AE39*HLOOKUP(AH$3,'FX Lookup'!$A$2:$Y$4,3,FALSE),0)</f>
        <v>0</v>
      </c>
      <c r="AI39" s="177">
        <f>IF(AND($AC39&lt;=AI$3,AI$3&lt;=$AD39),$AB39/$AE39*HLOOKUP(AI$3,'FX Lookup'!$A$2:$Y$4,3,FALSE),0)</f>
        <v>0</v>
      </c>
      <c r="AJ39" s="177">
        <f>IF(AND($AC39&lt;=AJ$3,AJ$3&lt;=$AD39),$AB39/$AE39*HLOOKUP(AJ$3,'FX Lookup'!$A$2:$Y$4,3,FALSE),0)</f>
        <v>0</v>
      </c>
      <c r="AK39" s="177">
        <f>IF(AND($AC39&lt;=AK$3,AK$3&lt;=$AD39),$AB39/$AE39*HLOOKUP(AK$3,'FX Lookup'!$A$2:$Y$4,3,FALSE),0)</f>
        <v>0</v>
      </c>
      <c r="AL39" s="177">
        <f>IF(AND($AC39&lt;=AL$3,AL$3&lt;=$AD39),$AB39/$AE39*HLOOKUP(AL$3,'FX Lookup'!$A$2:$Y$4,3,FALSE),0)</f>
        <v>0</v>
      </c>
      <c r="AM39" s="177">
        <f>IF(AND($AC39&lt;=AM$3,AM$3&lt;=$AD39),$AB39/$AE39*HLOOKUP(AM$3,'FX Lookup'!$A$2:$Y$4,3,FALSE),0)</f>
        <v>0</v>
      </c>
      <c r="AN39" s="177">
        <f>IF(AND($AC39&lt;=AN$3,AN$3&lt;=$AD39),$AB39/$AE39*HLOOKUP(AN$3,'FX Lookup'!$A$2:$Y$4,3,FALSE),0)</f>
        <v>0</v>
      </c>
      <c r="AO39" s="177">
        <f>IF(AND($AC39&lt;=AO$3,AO$3&lt;=$AD39),$AB39/$AE39*HLOOKUP(AO$3,'FX Lookup'!$A$2:$Y$4,3,FALSE),0)</f>
        <v>0</v>
      </c>
      <c r="AP39" s="177">
        <f>IF(AND($AC39&lt;=AP$3,AP$3&lt;=$AD39),$AB39/$AE39*HLOOKUP(AP$3,'FX Lookup'!$A$2:$Y$4,3,FALSE),0)</f>
        <v>0</v>
      </c>
      <c r="AQ39" s="177">
        <f>IF(AND($AC39&lt;=AQ$3,AQ$3&lt;=$AD39),$AB39/$AE39*HLOOKUP(AQ$3,'FX Lookup'!$A$2:$Y$4,3,FALSE),0)</f>
        <v>0</v>
      </c>
      <c r="AR39" s="178">
        <f t="shared" si="43"/>
        <v>0</v>
      </c>
      <c r="AT39" s="177">
        <f t="shared" si="26"/>
        <v>0</v>
      </c>
      <c r="AU39" s="177">
        <f t="shared" si="27"/>
        <v>0</v>
      </c>
      <c r="AV39" s="177">
        <f t="shared" si="28"/>
        <v>0</v>
      </c>
      <c r="AW39" s="177">
        <f t="shared" si="29"/>
        <v>0</v>
      </c>
      <c r="AX39" s="177">
        <f t="shared" si="30"/>
        <v>0</v>
      </c>
      <c r="AY39" s="177">
        <f t="shared" si="31"/>
        <v>0</v>
      </c>
      <c r="AZ39" s="177">
        <f t="shared" si="32"/>
        <v>0</v>
      </c>
      <c r="BA39" s="177">
        <f t="shared" si="33"/>
        <v>0</v>
      </c>
      <c r="BB39" s="177">
        <f t="shared" si="34"/>
        <v>0</v>
      </c>
      <c r="BC39" s="177">
        <f t="shared" si="35"/>
        <v>0</v>
      </c>
      <c r="BD39" s="177">
        <f t="shared" si="36"/>
        <v>0</v>
      </c>
      <c r="BE39" s="177">
        <f t="shared" si="37"/>
        <v>0</v>
      </c>
      <c r="BF39" s="178">
        <f t="shared" si="44"/>
        <v>0</v>
      </c>
    </row>
    <row r="40" spans="1:58" ht="13.5" customHeight="1">
      <c r="A40" s="171">
        <f t="shared" si="45"/>
        <v>14</v>
      </c>
      <c r="B40" s="171" t="str">
        <f t="shared" si="46"/>
        <v>ACPLHK</v>
      </c>
      <c r="C40" s="171"/>
      <c r="D40" s="171"/>
      <c r="E40" s="172" t="str">
        <f t="shared" si="40"/>
        <v>Industry Research Fee</v>
      </c>
      <c r="F40" s="172">
        <f t="shared" si="41"/>
        <v>0</v>
      </c>
      <c r="G40" s="77" t="s">
        <v>2613</v>
      </c>
      <c r="H40" s="173" t="s">
        <v>2614</v>
      </c>
      <c r="I40" s="173" t="s">
        <v>2368</v>
      </c>
      <c r="J40" s="184"/>
      <c r="K40" s="456">
        <v>45658</v>
      </c>
      <c r="L40" s="456">
        <v>46022</v>
      </c>
      <c r="M40" s="176">
        <f t="shared" si="24"/>
        <v>12</v>
      </c>
      <c r="N40" s="177">
        <f>IF(AND($K40&lt;=N$3,N$3&lt;=$L40),$J40/$M40*HLOOKUP(N$3,'FX Lookup'!$A$2:$Y$4,3,FALSE),0)</f>
        <v>0</v>
      </c>
      <c r="O40" s="177">
        <f>IF(AND($K40&lt;=O$3,O$3&lt;=$L40),$J40/$M40*HLOOKUP(O$3,'FX Lookup'!$A$2:$Y$4,3,FALSE),0)</f>
        <v>0</v>
      </c>
      <c r="P40" s="177">
        <f>IF(AND($K40&lt;=P$3,P$3&lt;=$L40),$J40/$M40*HLOOKUP(P$3,'FX Lookup'!$A$2:$Y$4,3,FALSE),0)</f>
        <v>0</v>
      </c>
      <c r="Q40" s="177">
        <f>IF(AND($K40&lt;=Q$3,Q$3&lt;=$L40),$J40/$M40*HLOOKUP(Q$3,'FX Lookup'!$A$2:$Y$4,3,FALSE),0)</f>
        <v>0</v>
      </c>
      <c r="R40" s="177">
        <f>IF(AND($K40&lt;=R$3,R$3&lt;=$L40),$J40/$M40*HLOOKUP(R$3,'FX Lookup'!$A$2:$Y$4,3,FALSE),0)</f>
        <v>0</v>
      </c>
      <c r="S40" s="177">
        <f>IF(AND($K40&lt;=S$3,S$3&lt;=$L40),$J40/$M40*HLOOKUP(S$3,'FX Lookup'!$A$2:$Y$4,3,FALSE),0)</f>
        <v>0</v>
      </c>
      <c r="T40" s="177">
        <f>IF(AND($K40&lt;=T$3,T$3&lt;=$L40),$J40/$M40*HLOOKUP(T$3,'FX Lookup'!$A$2:$Y$4,3,FALSE),0)</f>
        <v>0</v>
      </c>
      <c r="U40" s="177">
        <f>IF(AND($K40&lt;=U$3,U$3&lt;=$L40),$J40/$M40*HLOOKUP(U$3,'FX Lookup'!$A$2:$Y$4,3,FALSE),0)</f>
        <v>0</v>
      </c>
      <c r="V40" s="177">
        <f>IF(AND($K40&lt;=V$3,V$3&lt;=$L40),$J40/$M40*HLOOKUP(V$3,'FX Lookup'!$A$2:$Y$4,3,FALSE),0)</f>
        <v>0</v>
      </c>
      <c r="W40" s="177">
        <f>IF(AND($K40&lt;=W$3,W$3&lt;=$L40),$J40/$M40*HLOOKUP(W$3,'FX Lookup'!$A$2:$Y$4,3,FALSE),0)</f>
        <v>0</v>
      </c>
      <c r="X40" s="177">
        <f>IF(AND($K40&lt;=X$3,X$3&lt;=$L40),$J40/$M40*HLOOKUP(X$3,'FX Lookup'!$A$2:$Y$4,3,FALSE),0)</f>
        <v>0</v>
      </c>
      <c r="Y40" s="177">
        <f>IF(AND($K40&lt;=Y$3,Y$3&lt;=$L40),$J40/$M40*HLOOKUP(Y$3,'FX Lookup'!$A$2:$Y$4,3,FALSE),0)</f>
        <v>0</v>
      </c>
      <c r="Z40" s="178">
        <f t="shared" si="42"/>
        <v>0</v>
      </c>
      <c r="AA40" s="173" t="s">
        <v>2369</v>
      </c>
      <c r="AB40" s="174"/>
      <c r="AC40" s="456">
        <v>46023</v>
      </c>
      <c r="AD40" s="456">
        <v>46387</v>
      </c>
      <c r="AE40" s="176">
        <f t="shared" si="25"/>
        <v>12</v>
      </c>
      <c r="AF40" s="177">
        <f>IF(AND($AC40&lt;=AF$3,AF$3&lt;=$AD40),$AB40/$AE40*HLOOKUP(AF$3,'FX Lookup'!$A$2:$Y$7,6,FALSE),0)</f>
        <v>0</v>
      </c>
      <c r="AG40" s="177">
        <f>IF(AND($AC40&lt;=AG$3,AG$3&lt;=$AD40),$AB40/$AE40*HLOOKUP(AG$3,'FX Lookup'!$A$2:$Y$7,6,FALSE),0)</f>
        <v>0</v>
      </c>
      <c r="AH40" s="177">
        <f>IF(AND($AC40&lt;=AH$3,AH$3&lt;=$AD40),$AB40/$AE40*HLOOKUP(AH$3,'FX Lookup'!$A$2:$Y$7,6,FALSE),0)</f>
        <v>0</v>
      </c>
      <c r="AI40" s="177">
        <f>IF(AND($AC40&lt;=AI$3,AI$3&lt;=$AD40),$AB40/$AE40*HLOOKUP(AI$3,'FX Lookup'!$A$2:$Y$7,6,FALSE),0)</f>
        <v>0</v>
      </c>
      <c r="AJ40" s="177">
        <f>IF(AND($AC40&lt;=AJ$3,AJ$3&lt;=$AD40),$AB40/$AE40*HLOOKUP(AJ$3,'FX Lookup'!$A$2:$Y$7,6,FALSE),0)</f>
        <v>0</v>
      </c>
      <c r="AK40" s="177">
        <f>IF(AND($AC40&lt;=AK$3,AK$3&lt;=$AD40),$AB40/$AE40*HLOOKUP(AK$3,'FX Lookup'!$A$2:$Y$7,6,FALSE),0)</f>
        <v>0</v>
      </c>
      <c r="AL40" s="177">
        <f>IF(AND($AC40&lt;=AL$3,AL$3&lt;=$AD40),$AB40/$AE40*HLOOKUP(AL$3,'FX Lookup'!$A$2:$Y$7,6,FALSE),0)</f>
        <v>0</v>
      </c>
      <c r="AM40" s="177">
        <f>IF(AND($AC40&lt;=AM$3,AM$3&lt;=$AD40),$AB40/$AE40*HLOOKUP(AM$3,'FX Lookup'!$A$2:$Y$7,6,FALSE),0)</f>
        <v>0</v>
      </c>
      <c r="AN40" s="177">
        <f>IF(AND($AC40&lt;=AN$3,AN$3&lt;=$AD40),$AB40/$AE40*HLOOKUP(AN$3,'FX Lookup'!$A$2:$Y$7,6,FALSE),0)</f>
        <v>0</v>
      </c>
      <c r="AO40" s="177">
        <f>IF(AND($AC40&lt;=AO$3,AO$3&lt;=$AD40),$AB40/$AE40*HLOOKUP(AO$3,'FX Lookup'!$A$2:$Y$7,6,FALSE),0)</f>
        <v>0</v>
      </c>
      <c r="AP40" s="177">
        <f>IF(AND($AC40&lt;=AP$3,AP$3&lt;=$AD40),$AB40/$AE40*HLOOKUP(AP$3,'FX Lookup'!$A$2:$Y$7,6,FALSE),0)</f>
        <v>0</v>
      </c>
      <c r="AQ40" s="177">
        <f>IF(AND($AC40&lt;=AQ$3,AQ$3&lt;=$AD40),$AB40/$AE40*HLOOKUP(AQ$3,'FX Lookup'!$A$2:$Y$7,6,FALSE),0)</f>
        <v>0</v>
      </c>
      <c r="AR40" s="178">
        <f t="shared" si="43"/>
        <v>0</v>
      </c>
      <c r="AT40" s="177">
        <f t="shared" si="26"/>
        <v>0</v>
      </c>
      <c r="AU40" s="177">
        <f t="shared" si="27"/>
        <v>0</v>
      </c>
      <c r="AV40" s="177">
        <f t="shared" si="28"/>
        <v>0</v>
      </c>
      <c r="AW40" s="177">
        <f t="shared" si="29"/>
        <v>0</v>
      </c>
      <c r="AX40" s="177">
        <f t="shared" si="30"/>
        <v>0</v>
      </c>
      <c r="AY40" s="177">
        <f t="shared" si="31"/>
        <v>0</v>
      </c>
      <c r="AZ40" s="177">
        <f t="shared" si="32"/>
        <v>0</v>
      </c>
      <c r="BA40" s="177">
        <f t="shared" si="33"/>
        <v>0</v>
      </c>
      <c r="BB40" s="177">
        <f t="shared" si="34"/>
        <v>0</v>
      </c>
      <c r="BC40" s="177">
        <f t="shared" si="35"/>
        <v>0</v>
      </c>
      <c r="BD40" s="177">
        <f t="shared" si="36"/>
        <v>0</v>
      </c>
      <c r="BE40" s="177">
        <f t="shared" si="37"/>
        <v>0</v>
      </c>
      <c r="BF40" s="178">
        <f t="shared" si="44"/>
        <v>0</v>
      </c>
    </row>
    <row r="41" spans="1:58" ht="13.5" customHeight="1">
      <c r="A41" s="171">
        <f t="shared" si="45"/>
        <v>15</v>
      </c>
      <c r="B41" s="171" t="str">
        <f t="shared" si="46"/>
        <v>ACPLHK</v>
      </c>
      <c r="C41" s="171"/>
      <c r="D41" s="171"/>
      <c r="E41" s="172" t="str">
        <f t="shared" si="40"/>
        <v>Project Due Diligence Fee</v>
      </c>
      <c r="F41" s="172">
        <f t="shared" si="41"/>
        <v>0</v>
      </c>
      <c r="G41" s="77" t="s">
        <v>2613</v>
      </c>
      <c r="H41" s="173" t="s">
        <v>2614</v>
      </c>
      <c r="I41" s="173" t="s">
        <v>2368</v>
      </c>
      <c r="J41" s="184"/>
      <c r="K41" s="456">
        <v>45658</v>
      </c>
      <c r="L41" s="456">
        <v>46022</v>
      </c>
      <c r="M41" s="176">
        <f t="shared" si="24"/>
        <v>12</v>
      </c>
      <c r="N41" s="177">
        <f>IF(AND($K41&lt;=N$3,N$3&lt;=$L41),$J41/$M41*HLOOKUP(N$3,'FX Lookup'!$A$2:$Y$4,3,FALSE),0)</f>
        <v>0</v>
      </c>
      <c r="O41" s="177">
        <f>IF(AND($K41&lt;=O$3,O$3&lt;=$L41),$J41/$M41*HLOOKUP(O$3,'FX Lookup'!$A$2:$Y$4,3,FALSE),0)</f>
        <v>0</v>
      </c>
      <c r="P41" s="177">
        <f>IF(AND($K41&lt;=P$3,P$3&lt;=$L41),$J41/$M41*HLOOKUP(P$3,'FX Lookup'!$A$2:$Y$4,3,FALSE),0)</f>
        <v>0</v>
      </c>
      <c r="Q41" s="177">
        <f>IF(AND($K41&lt;=Q$3,Q$3&lt;=$L41),$J41/$M41*HLOOKUP(Q$3,'FX Lookup'!$A$2:$Y$4,3,FALSE),0)</f>
        <v>0</v>
      </c>
      <c r="R41" s="177">
        <f>IF(AND($K41&lt;=R$3,R$3&lt;=$L41),$J41/$M41*HLOOKUP(R$3,'FX Lookup'!$A$2:$Y$4,3,FALSE),0)</f>
        <v>0</v>
      </c>
      <c r="S41" s="177">
        <f>IF(AND($K41&lt;=S$3,S$3&lt;=$L41),$J41/$M41*HLOOKUP(S$3,'FX Lookup'!$A$2:$Y$4,3,FALSE),0)</f>
        <v>0</v>
      </c>
      <c r="T41" s="177">
        <f>IF(AND($K41&lt;=T$3,T$3&lt;=$L41),$J41/$M41*HLOOKUP(T$3,'FX Lookup'!$A$2:$Y$4,3,FALSE),0)</f>
        <v>0</v>
      </c>
      <c r="U41" s="177">
        <f>IF(AND($K41&lt;=U$3,U$3&lt;=$L41),$J41/$M41*HLOOKUP(U$3,'FX Lookup'!$A$2:$Y$4,3,FALSE),0)</f>
        <v>0</v>
      </c>
      <c r="V41" s="177">
        <f>IF(AND($K41&lt;=V$3,V$3&lt;=$L41),$J41/$M41*HLOOKUP(V$3,'FX Lookup'!$A$2:$Y$4,3,FALSE),0)</f>
        <v>0</v>
      </c>
      <c r="W41" s="177">
        <f>IF(AND($K41&lt;=W$3,W$3&lt;=$L41),$J41/$M41*HLOOKUP(W$3,'FX Lookup'!$A$2:$Y$4,3,FALSE),0)</f>
        <v>0</v>
      </c>
      <c r="X41" s="177">
        <f>IF(AND($K41&lt;=X$3,X$3&lt;=$L41),$J41/$M41*HLOOKUP(X$3,'FX Lookup'!$A$2:$Y$4,3,FALSE),0)</f>
        <v>0</v>
      </c>
      <c r="Y41" s="177">
        <f>IF(AND($K41&lt;=Y$3,Y$3&lt;=$L41),$J41/$M41*HLOOKUP(Y$3,'FX Lookup'!$A$2:$Y$4,3,FALSE),0)</f>
        <v>0</v>
      </c>
      <c r="Z41" s="178">
        <f t="shared" si="42"/>
        <v>0</v>
      </c>
      <c r="AA41" s="173" t="s">
        <v>2368</v>
      </c>
      <c r="AB41" s="184"/>
      <c r="AC41" s="456">
        <v>46023</v>
      </c>
      <c r="AD41" s="456">
        <v>46387</v>
      </c>
      <c r="AE41" s="176">
        <f t="shared" si="25"/>
        <v>12</v>
      </c>
      <c r="AF41" s="177">
        <f>IF(AND($AC41&lt;=AF$3,AF$3&lt;=$AD41),$AB41/$AE41*HLOOKUP(AF$3,'FX Lookup'!$A$2:$Y$4,3,FALSE),0)</f>
        <v>0</v>
      </c>
      <c r="AG41" s="177">
        <f>IF(AND($AC41&lt;=AG$3,AG$3&lt;=$AD41),$AB41/$AE41*HLOOKUP(AG$3,'FX Lookup'!$A$2:$Y$4,3,FALSE),0)</f>
        <v>0</v>
      </c>
      <c r="AH41" s="177">
        <f>IF(AND($AC41&lt;=AH$3,AH$3&lt;=$AD41),$AB41/$AE41*HLOOKUP(AH$3,'FX Lookup'!$A$2:$Y$4,3,FALSE),0)</f>
        <v>0</v>
      </c>
      <c r="AI41" s="177">
        <f>IF(AND($AC41&lt;=AI$3,AI$3&lt;=$AD41),$AB41/$AE41*HLOOKUP(AI$3,'FX Lookup'!$A$2:$Y$4,3,FALSE),0)</f>
        <v>0</v>
      </c>
      <c r="AJ41" s="177">
        <f>IF(AND($AC41&lt;=AJ$3,AJ$3&lt;=$AD41),$AB41/$AE41*HLOOKUP(AJ$3,'FX Lookup'!$A$2:$Y$4,3,FALSE),0)</f>
        <v>0</v>
      </c>
      <c r="AK41" s="177">
        <f>IF(AND($AC41&lt;=AK$3,AK$3&lt;=$AD41),$AB41/$AE41*HLOOKUP(AK$3,'FX Lookup'!$A$2:$Y$4,3,FALSE),0)</f>
        <v>0</v>
      </c>
      <c r="AL41" s="177">
        <f>IF(AND($AC41&lt;=AL$3,AL$3&lt;=$AD41),$AB41/$AE41*HLOOKUP(AL$3,'FX Lookup'!$A$2:$Y$4,3,FALSE),0)</f>
        <v>0</v>
      </c>
      <c r="AM41" s="177">
        <f>IF(AND($AC41&lt;=AM$3,AM$3&lt;=$AD41),$AB41/$AE41*HLOOKUP(AM$3,'FX Lookup'!$A$2:$Y$4,3,FALSE),0)</f>
        <v>0</v>
      </c>
      <c r="AN41" s="177">
        <f>IF(AND($AC41&lt;=AN$3,AN$3&lt;=$AD41),$AB41/$AE41*HLOOKUP(AN$3,'FX Lookup'!$A$2:$Y$4,3,FALSE),0)</f>
        <v>0</v>
      </c>
      <c r="AO41" s="177">
        <f>IF(AND($AC41&lt;=AO$3,AO$3&lt;=$AD41),$AB41/$AE41*HLOOKUP(AO$3,'FX Lookup'!$A$2:$Y$4,3,FALSE),0)</f>
        <v>0</v>
      </c>
      <c r="AP41" s="177">
        <f>IF(AND($AC41&lt;=AP$3,AP$3&lt;=$AD41),$AB41/$AE41*HLOOKUP(AP$3,'FX Lookup'!$A$2:$Y$4,3,FALSE),0)</f>
        <v>0</v>
      </c>
      <c r="AQ41" s="177">
        <f>IF(AND($AC41&lt;=AQ$3,AQ$3&lt;=$AD41),$AB41/$AE41*HLOOKUP(AQ$3,'FX Lookup'!$A$2:$Y$4,3,FALSE),0)</f>
        <v>0</v>
      </c>
      <c r="AR41" s="178">
        <f t="shared" si="43"/>
        <v>0</v>
      </c>
      <c r="AT41" s="177">
        <f t="shared" si="26"/>
        <v>0</v>
      </c>
      <c r="AU41" s="177">
        <f t="shared" si="27"/>
        <v>0</v>
      </c>
      <c r="AV41" s="177">
        <f t="shared" si="28"/>
        <v>0</v>
      </c>
      <c r="AW41" s="177">
        <f t="shared" si="29"/>
        <v>0</v>
      </c>
      <c r="AX41" s="177">
        <f t="shared" si="30"/>
        <v>0</v>
      </c>
      <c r="AY41" s="177">
        <f t="shared" si="31"/>
        <v>0</v>
      </c>
      <c r="AZ41" s="177">
        <f t="shared" si="32"/>
        <v>0</v>
      </c>
      <c r="BA41" s="177">
        <f t="shared" si="33"/>
        <v>0</v>
      </c>
      <c r="BB41" s="177">
        <f t="shared" si="34"/>
        <v>0</v>
      </c>
      <c r="BC41" s="177">
        <f t="shared" si="35"/>
        <v>0</v>
      </c>
      <c r="BD41" s="177">
        <f t="shared" si="36"/>
        <v>0</v>
      </c>
      <c r="BE41" s="177">
        <f t="shared" si="37"/>
        <v>0</v>
      </c>
      <c r="BF41" s="178">
        <f t="shared" si="44"/>
        <v>0</v>
      </c>
    </row>
    <row r="42" spans="1:58" ht="13.5" customHeight="1">
      <c r="A42" s="171">
        <f t="shared" si="45"/>
        <v>16</v>
      </c>
      <c r="B42" s="171" t="str">
        <f t="shared" si="46"/>
        <v>ACPLHK</v>
      </c>
      <c r="C42" s="171"/>
      <c r="D42" s="171" t="s">
        <v>1539</v>
      </c>
      <c r="E42" s="172" t="str">
        <f t="shared" si="40"/>
        <v>Legal Fees</v>
      </c>
      <c r="F42" s="172" t="str">
        <f t="shared" si="41"/>
        <v>add hoc</v>
      </c>
      <c r="G42" s="77" t="s">
        <v>2613</v>
      </c>
      <c r="H42" s="173" t="s">
        <v>2614</v>
      </c>
      <c r="I42" s="173" t="s">
        <v>2368</v>
      </c>
      <c r="J42" s="184">
        <v>50000</v>
      </c>
      <c r="K42" s="456">
        <v>45658</v>
      </c>
      <c r="L42" s="456">
        <v>46022</v>
      </c>
      <c r="M42" s="176">
        <f t="shared" si="24"/>
        <v>12</v>
      </c>
      <c r="N42" s="177">
        <f>IF(AND($K42&lt;=N$3,N$3&lt;=$L42),$J42/$M42*HLOOKUP(N$3,'FX Lookup'!$A$2:$Y$4,3,FALSE),0)</f>
        <v>3899.666666666667</v>
      </c>
      <c r="O42" s="177">
        <f>IF(AND($K42&lt;=O$3,O$3&lt;=$L42),$J42/$M42*HLOOKUP(O$3,'FX Lookup'!$A$2:$Y$4,3,FALSE),0)</f>
        <v>3899.666666666667</v>
      </c>
      <c r="P42" s="177">
        <f>IF(AND($K42&lt;=P$3,P$3&lt;=$L42),$J42/$M42*HLOOKUP(P$3,'FX Lookup'!$A$2:$Y$4,3,FALSE),0)</f>
        <v>3899.666666666667</v>
      </c>
      <c r="Q42" s="177">
        <f>IF(AND($K42&lt;=Q$3,Q$3&lt;=$L42),$J42/$M42*HLOOKUP(Q$3,'FX Lookup'!$A$2:$Y$4,3,FALSE),0)</f>
        <v>3899.666666666667</v>
      </c>
      <c r="R42" s="177">
        <f>IF(AND($K42&lt;=R$3,R$3&lt;=$L42),$J42/$M42*HLOOKUP(R$3,'FX Lookup'!$A$2:$Y$4,3,FALSE),0)</f>
        <v>3899.666666666667</v>
      </c>
      <c r="S42" s="177">
        <f>IF(AND($K42&lt;=S$3,S$3&lt;=$L42),$J42/$M42*HLOOKUP(S$3,'FX Lookup'!$A$2:$Y$4,3,FALSE),0)</f>
        <v>3899.666666666667</v>
      </c>
      <c r="T42" s="177">
        <f>IF(AND($K42&lt;=T$3,T$3&lt;=$L42),$J42/$M42*HLOOKUP(T$3,'FX Lookup'!$A$2:$Y$4,3,FALSE),0)</f>
        <v>3899.666666666667</v>
      </c>
      <c r="U42" s="177">
        <f>IF(AND($K42&lt;=U$3,U$3&lt;=$L42),$J42/$M42*HLOOKUP(U$3,'FX Lookup'!$A$2:$Y$4,3,FALSE),0)</f>
        <v>3899.666666666667</v>
      </c>
      <c r="V42" s="177">
        <f>IF(AND($K42&lt;=V$3,V$3&lt;=$L42),$J42/$M42*HLOOKUP(V$3,'FX Lookup'!$A$2:$Y$4,3,FALSE),0)</f>
        <v>3899.666666666667</v>
      </c>
      <c r="W42" s="177">
        <f>IF(AND($K42&lt;=W$3,W$3&lt;=$L42),$J42/$M42*HLOOKUP(W$3,'FX Lookup'!$A$2:$Y$4,3,FALSE),0)</f>
        <v>3899.666666666667</v>
      </c>
      <c r="X42" s="177">
        <f>IF(AND($K42&lt;=X$3,X$3&lt;=$L42),$J42/$M42*HLOOKUP(X$3,'FX Lookup'!$A$2:$Y$4,3,FALSE),0)</f>
        <v>3899.666666666667</v>
      </c>
      <c r="Y42" s="177">
        <f>IF(AND($K42&lt;=Y$3,Y$3&lt;=$L42),$J42/$M42*HLOOKUP(Y$3,'FX Lookup'!$A$2:$Y$4,3,FALSE),0)</f>
        <v>3899.666666666667</v>
      </c>
      <c r="Z42" s="178">
        <f t="shared" si="42"/>
        <v>46796</v>
      </c>
      <c r="AA42" s="173" t="s">
        <v>2368</v>
      </c>
      <c r="AB42" s="174">
        <v>200000</v>
      </c>
      <c r="AC42" s="456">
        <v>46235</v>
      </c>
      <c r="AD42" s="456">
        <v>46387</v>
      </c>
      <c r="AE42" s="176">
        <f t="shared" si="25"/>
        <v>5</v>
      </c>
      <c r="AF42" s="177">
        <f>IF(AND($AC42&lt;=AF$3,AF$3&lt;=$AD42),$AB42/$AE42*HLOOKUP(AF$3,'FX Lookup'!$A$2:$Y$4,3,FALSE),0)</f>
        <v>0</v>
      </c>
      <c r="AG42" s="177">
        <f>IF(AND($AC42&lt;=AG$3,AG$3&lt;=$AD42),$AB42/$AE42*HLOOKUP(AG$3,'FX Lookup'!$A$2:$Y$4,3,FALSE),0)</f>
        <v>0</v>
      </c>
      <c r="AH42" s="177">
        <f>IF(AND($AC42&lt;=AH$3,AH$3&lt;=$AD42),$AB42/$AE42*HLOOKUP(AH$3,'FX Lookup'!$A$2:$Y$4,3,FALSE),0)</f>
        <v>0</v>
      </c>
      <c r="AI42" s="177">
        <f>IF(AND($AC42&lt;=AI$3,AI$3&lt;=$AD42),$AB42/$AE42*HLOOKUP(AI$3,'FX Lookup'!$A$2:$Y$4,3,FALSE),0)</f>
        <v>0</v>
      </c>
      <c r="AJ42" s="177">
        <f>IF(AND($AC42&lt;=AJ$3,AJ$3&lt;=$AD42),$AB42/$AE42*HLOOKUP(AJ$3,'FX Lookup'!$A$2:$Y$4,3,FALSE),0)</f>
        <v>0</v>
      </c>
      <c r="AK42" s="177">
        <f>IF(AND($AC42&lt;=AK$3,AK$3&lt;=$AD42),$AB42/$AE42*HLOOKUP(AK$3,'FX Lookup'!$A$2:$Y$4,3,FALSE),0)</f>
        <v>0</v>
      </c>
      <c r="AL42" s="177">
        <f>IF(AND($AC42&lt;=AL$3,AL$3&lt;=$AD42),$AB42/$AE42*HLOOKUP(AL$3,'FX Lookup'!$A$2:$Y$4,3,FALSE),0)</f>
        <v>0</v>
      </c>
      <c r="AM42" s="177">
        <f>IF(AND($AC42&lt;=AM$3,AM$3&lt;=$AD42),$AB42/$AE42*HLOOKUP(AM$3,'FX Lookup'!$A$2:$Y$4,3,FALSE),0)</f>
        <v>35288</v>
      </c>
      <c r="AN42" s="177">
        <f>IF(AND($AC42&lt;=AN$3,AN$3&lt;=$AD42),$AB42/$AE42*HLOOKUP(AN$3,'FX Lookup'!$A$2:$Y$4,3,FALSE),0)</f>
        <v>35288</v>
      </c>
      <c r="AO42" s="177">
        <f>IF(AND($AC42&lt;=AO$3,AO$3&lt;=$AD42),$AB42/$AE42*HLOOKUP(AO$3,'FX Lookup'!$A$2:$Y$4,3,FALSE),0)</f>
        <v>35288</v>
      </c>
      <c r="AP42" s="177">
        <f>IF(AND($AC42&lt;=AP$3,AP$3&lt;=$AD42),$AB42/$AE42*HLOOKUP(AP$3,'FX Lookup'!$A$2:$Y$4,3,FALSE),0)</f>
        <v>35288</v>
      </c>
      <c r="AQ42" s="177">
        <f>IF(AND($AC42&lt;=AQ$3,AQ$3&lt;=$AD42),$AB42/$AE42*HLOOKUP(AQ$3,'FX Lookup'!$A$2:$Y$4,3,FALSE),0)</f>
        <v>35288</v>
      </c>
      <c r="AR42" s="178">
        <f t="shared" si="43"/>
        <v>176440</v>
      </c>
      <c r="AT42" s="177">
        <f t="shared" si="26"/>
        <v>0</v>
      </c>
      <c r="AU42" s="177">
        <f t="shared" si="27"/>
        <v>0</v>
      </c>
      <c r="AV42" s="177">
        <f t="shared" si="28"/>
        <v>0</v>
      </c>
      <c r="AW42" s="177">
        <f t="shared" si="29"/>
        <v>0</v>
      </c>
      <c r="AX42" s="177">
        <f t="shared" si="30"/>
        <v>0</v>
      </c>
      <c r="AY42" s="177">
        <f t="shared" si="31"/>
        <v>0</v>
      </c>
      <c r="AZ42" s="177">
        <f t="shared" si="32"/>
        <v>0</v>
      </c>
      <c r="BA42" s="177">
        <f t="shared" si="33"/>
        <v>37052.400000000001</v>
      </c>
      <c r="BB42" s="177">
        <f t="shared" si="34"/>
        <v>37052.400000000001</v>
      </c>
      <c r="BC42" s="177">
        <f t="shared" si="35"/>
        <v>37052.400000000001</v>
      </c>
      <c r="BD42" s="177">
        <f t="shared" si="36"/>
        <v>37052.400000000001</v>
      </c>
      <c r="BE42" s="177">
        <f t="shared" si="37"/>
        <v>37052.400000000001</v>
      </c>
      <c r="BF42" s="178">
        <f t="shared" si="44"/>
        <v>185262</v>
      </c>
    </row>
    <row r="43" spans="1:58" ht="13.5" customHeight="1">
      <c r="A43" s="171">
        <f t="shared" si="45"/>
        <v>17</v>
      </c>
      <c r="B43" s="171" t="s">
        <v>2109</v>
      </c>
      <c r="C43" s="171"/>
      <c r="D43" s="171" t="s">
        <v>1867</v>
      </c>
      <c r="E43" s="172" t="str">
        <f t="shared" si="40"/>
        <v>Training expense</v>
      </c>
      <c r="F43" s="172">
        <f t="shared" si="41"/>
        <v>0</v>
      </c>
      <c r="G43" s="77" t="s">
        <v>2613</v>
      </c>
      <c r="H43" s="173" t="s">
        <v>2614</v>
      </c>
      <c r="I43" s="173" t="s">
        <v>2368</v>
      </c>
      <c r="J43" s="184">
        <v>5000</v>
      </c>
      <c r="K43" s="456">
        <v>45658</v>
      </c>
      <c r="L43" s="456">
        <v>46022</v>
      </c>
      <c r="M43" s="176">
        <f t="shared" si="24"/>
        <v>12</v>
      </c>
      <c r="N43" s="177">
        <f>IF(AND($K43&lt;=N$3,N$3&lt;=$L43),$J43/$M43*HLOOKUP(N$3,'FX Lookup'!$A$2:$Y$4,3,FALSE),0)</f>
        <v>389.9666666666667</v>
      </c>
      <c r="O43" s="177">
        <f>IF(AND($K43&lt;=O$3,O$3&lt;=$L43),$J43/$M43*HLOOKUP(O$3,'FX Lookup'!$A$2:$Y$4,3,FALSE),0)</f>
        <v>389.9666666666667</v>
      </c>
      <c r="P43" s="177">
        <f>IF(AND($K43&lt;=P$3,P$3&lt;=$L43),$J43/$M43*HLOOKUP(P$3,'FX Lookup'!$A$2:$Y$4,3,FALSE),0)</f>
        <v>389.9666666666667</v>
      </c>
      <c r="Q43" s="177">
        <f>IF(AND($K43&lt;=Q$3,Q$3&lt;=$L43),$J43/$M43*HLOOKUP(Q$3,'FX Lookup'!$A$2:$Y$4,3,FALSE),0)</f>
        <v>389.9666666666667</v>
      </c>
      <c r="R43" s="177">
        <f>IF(AND($K43&lt;=R$3,R$3&lt;=$L43),$J43/$M43*HLOOKUP(R$3,'FX Lookup'!$A$2:$Y$4,3,FALSE),0)</f>
        <v>389.9666666666667</v>
      </c>
      <c r="S43" s="177">
        <f>IF(AND($K43&lt;=S$3,S$3&lt;=$L43),$J43/$M43*HLOOKUP(S$3,'FX Lookup'!$A$2:$Y$4,3,FALSE),0)</f>
        <v>389.9666666666667</v>
      </c>
      <c r="T43" s="177">
        <f>IF(AND($K43&lt;=T$3,T$3&lt;=$L43),$J43/$M43*HLOOKUP(T$3,'FX Lookup'!$A$2:$Y$4,3,FALSE),0)</f>
        <v>389.9666666666667</v>
      </c>
      <c r="U43" s="177">
        <f>IF(AND($K43&lt;=U$3,U$3&lt;=$L43),$J43/$M43*HLOOKUP(U$3,'FX Lookup'!$A$2:$Y$4,3,FALSE),0)</f>
        <v>389.9666666666667</v>
      </c>
      <c r="V43" s="177">
        <f>IF(AND($K43&lt;=V$3,V$3&lt;=$L43),$J43/$M43*HLOOKUP(V$3,'FX Lookup'!$A$2:$Y$4,3,FALSE),0)</f>
        <v>389.9666666666667</v>
      </c>
      <c r="W43" s="177">
        <f>IF(AND($K43&lt;=W$3,W$3&lt;=$L43),$J43/$M43*HLOOKUP(W$3,'FX Lookup'!$A$2:$Y$4,3,FALSE),0)</f>
        <v>389.9666666666667</v>
      </c>
      <c r="X43" s="177">
        <f>IF(AND($K43&lt;=X$3,X$3&lt;=$L43),$J43/$M43*HLOOKUP(X$3,'FX Lookup'!$A$2:$Y$4,3,FALSE),0)</f>
        <v>389.9666666666667</v>
      </c>
      <c r="Y43" s="177">
        <f>IF(AND($K43&lt;=Y$3,Y$3&lt;=$L43),$J43/$M43*HLOOKUP(Y$3,'FX Lookup'!$A$2:$Y$4,3,FALSE),0)</f>
        <v>389.9666666666667</v>
      </c>
      <c r="Z43" s="178">
        <f t="shared" si="42"/>
        <v>4679.6000000000004</v>
      </c>
      <c r="AA43" s="173" t="s">
        <v>2368</v>
      </c>
      <c r="AB43" s="174">
        <f>5000*(1+$AB$1)</f>
        <v>5250</v>
      </c>
      <c r="AC43" s="456">
        <v>46174</v>
      </c>
      <c r="AD43" s="456">
        <v>46387</v>
      </c>
      <c r="AE43" s="176">
        <f t="shared" si="25"/>
        <v>7</v>
      </c>
      <c r="AF43" s="177">
        <f>IF(AND($AC43&lt;=AF$3,AF$3&lt;=$AD43),$AB43/$AE43*HLOOKUP(AF$3,'FX Lookup'!$A$2:$Y$4,3,FALSE),0)</f>
        <v>0</v>
      </c>
      <c r="AG43" s="177">
        <f>IF(AND($AC43&lt;=AG$3,AG$3&lt;=$AD43),$AB43/$AE43*HLOOKUP(AG$3,'FX Lookup'!$A$2:$Y$4,3,FALSE),0)</f>
        <v>0</v>
      </c>
      <c r="AH43" s="177">
        <f>IF(AND($AC43&lt;=AH$3,AH$3&lt;=$AD43),$AB43/$AE43*HLOOKUP(AH$3,'FX Lookup'!$A$2:$Y$4,3,FALSE),0)</f>
        <v>0</v>
      </c>
      <c r="AI43" s="177">
        <f>IF(AND($AC43&lt;=AI$3,AI$3&lt;=$AD43),$AB43/$AE43*HLOOKUP(AI$3,'FX Lookup'!$A$2:$Y$4,3,FALSE),0)</f>
        <v>0</v>
      </c>
      <c r="AJ43" s="177">
        <f>IF(AND($AC43&lt;=AJ$3,AJ$3&lt;=$AD43),$AB43/$AE43*HLOOKUP(AJ$3,'FX Lookup'!$A$2:$Y$4,3,FALSE),0)</f>
        <v>0</v>
      </c>
      <c r="AK43" s="177">
        <f>IF(AND($AC43&lt;=AK$3,AK$3&lt;=$AD43),$AB43/$AE43*HLOOKUP(AK$3,'FX Lookup'!$A$2:$Y$4,3,FALSE),0)</f>
        <v>661.65</v>
      </c>
      <c r="AL43" s="177">
        <f>IF(AND($AC43&lt;=AL$3,AL$3&lt;=$AD43),$AB43/$AE43*HLOOKUP(AL$3,'FX Lookup'!$A$2:$Y$4,3,FALSE),0)</f>
        <v>661.65</v>
      </c>
      <c r="AM43" s="177">
        <f>IF(AND($AC43&lt;=AM$3,AM$3&lt;=$AD43),$AB43/$AE43*HLOOKUP(AM$3,'FX Lookup'!$A$2:$Y$4,3,FALSE),0)</f>
        <v>661.65</v>
      </c>
      <c r="AN43" s="177">
        <f>IF(AND($AC43&lt;=AN$3,AN$3&lt;=$AD43),$AB43/$AE43*HLOOKUP(AN$3,'FX Lookup'!$A$2:$Y$4,3,FALSE),0)</f>
        <v>661.65</v>
      </c>
      <c r="AO43" s="177">
        <f>IF(AND($AC43&lt;=AO$3,AO$3&lt;=$AD43),$AB43/$AE43*HLOOKUP(AO$3,'FX Lookup'!$A$2:$Y$4,3,FALSE),0)</f>
        <v>661.65</v>
      </c>
      <c r="AP43" s="177">
        <f>IF(AND($AC43&lt;=AP$3,AP$3&lt;=$AD43),$AB43/$AE43*HLOOKUP(AP$3,'FX Lookup'!$A$2:$Y$4,3,FALSE),0)</f>
        <v>661.65</v>
      </c>
      <c r="AQ43" s="177">
        <f>IF(AND($AC43&lt;=AQ$3,AQ$3&lt;=$AD43),$AB43/$AE43*HLOOKUP(AQ$3,'FX Lookup'!$A$2:$Y$4,3,FALSE),0)</f>
        <v>661.65</v>
      </c>
      <c r="AR43" s="178">
        <f t="shared" si="43"/>
        <v>4631.55</v>
      </c>
      <c r="AT43" s="177">
        <f t="shared" si="26"/>
        <v>0</v>
      </c>
      <c r="AU43" s="177">
        <f t="shared" si="27"/>
        <v>0</v>
      </c>
      <c r="AV43" s="177">
        <f t="shared" si="28"/>
        <v>0</v>
      </c>
      <c r="AW43" s="177">
        <f t="shared" si="29"/>
        <v>0</v>
      </c>
      <c r="AX43" s="177">
        <f t="shared" si="30"/>
        <v>0</v>
      </c>
      <c r="AY43" s="177">
        <f t="shared" si="31"/>
        <v>694.73249999999996</v>
      </c>
      <c r="AZ43" s="177">
        <f t="shared" si="32"/>
        <v>694.73249999999996</v>
      </c>
      <c r="BA43" s="177">
        <f t="shared" si="33"/>
        <v>694.73249999999996</v>
      </c>
      <c r="BB43" s="177">
        <f t="shared" si="34"/>
        <v>694.73249999999996</v>
      </c>
      <c r="BC43" s="177">
        <f t="shared" si="35"/>
        <v>694.73249999999996</v>
      </c>
      <c r="BD43" s="177">
        <f t="shared" si="36"/>
        <v>694.73249999999996</v>
      </c>
      <c r="BE43" s="177">
        <f t="shared" si="37"/>
        <v>694.73249999999996</v>
      </c>
      <c r="BF43" s="178">
        <f t="shared" si="44"/>
        <v>4863.1274999999996</v>
      </c>
    </row>
    <row r="44" spans="1:58">
      <c r="G44" s="18"/>
      <c r="H44" s="457"/>
      <c r="I44" s="457"/>
      <c r="J44" s="458"/>
      <c r="K44" s="459"/>
      <c r="L44" s="459"/>
      <c r="M44" s="460"/>
      <c r="Z44" s="179"/>
      <c r="AA44" s="457"/>
      <c r="AB44" s="458"/>
      <c r="AC44" s="459"/>
      <c r="AD44" s="459"/>
      <c r="AE44" s="460"/>
      <c r="AR44" s="179"/>
      <c r="BF44" s="179"/>
    </row>
    <row r="45" spans="1:58" s="151" customFormat="1" ht="13.5" thickBot="1">
      <c r="B45" s="151" t="str">
        <f>B43</f>
        <v>ACPLHK</v>
      </c>
      <c r="C45" s="151" t="str">
        <f>'CF-ACPL（合并）'!A25</f>
        <v>支付的其他与经营活动有关的现金（专业服务费）</v>
      </c>
      <c r="N45" s="185">
        <f t="shared" ref="N45:T45" si="47">SUM(N27:N43)</f>
        <v>34688.314933333335</v>
      </c>
      <c r="O45" s="185">
        <f t="shared" si="47"/>
        <v>34688.314933333335</v>
      </c>
      <c r="P45" s="185">
        <f t="shared" si="47"/>
        <v>60519.706933333327</v>
      </c>
      <c r="Q45" s="185">
        <f t="shared" si="47"/>
        <v>52208.737333333331</v>
      </c>
      <c r="R45" s="185">
        <f t="shared" si="47"/>
        <v>34688.314933333335</v>
      </c>
      <c r="S45" s="185">
        <f t="shared" si="47"/>
        <v>510042.08293333329</v>
      </c>
      <c r="T45" s="185">
        <f t="shared" si="47"/>
        <v>34688.314933333335</v>
      </c>
      <c r="U45" s="185">
        <f t="shared" ref="U45:Z45" si="48">SUM(U27:U43)</f>
        <v>34688.314933333335</v>
      </c>
      <c r="V45" s="185">
        <f t="shared" si="48"/>
        <v>34688.314933333335</v>
      </c>
      <c r="W45" s="185">
        <f t="shared" si="48"/>
        <v>34688.314933333335</v>
      </c>
      <c r="X45" s="185">
        <f t="shared" si="48"/>
        <v>34688.314933333335</v>
      </c>
      <c r="Y45" s="185">
        <f t="shared" si="48"/>
        <v>49256.096917333336</v>
      </c>
      <c r="Z45" s="461">
        <f t="shared" si="48"/>
        <v>949533.14358399995</v>
      </c>
      <c r="AB45" s="461">
        <f>SUM(AB27:AB43)</f>
        <v>1082905</v>
      </c>
      <c r="AF45" s="461">
        <f>SUM(AF27:AF43)</f>
        <v>62824.517283333327</v>
      </c>
      <c r="AG45" s="461">
        <f t="shared" ref="AG45:AR45" si="49">SUM(AG27:AG43)</f>
        <v>65106.07666666666</v>
      </c>
      <c r="AH45" s="461">
        <f t="shared" si="49"/>
        <v>39596.076666666668</v>
      </c>
      <c r="AI45" s="461">
        <f t="shared" si="49"/>
        <v>39596.076666666668</v>
      </c>
      <c r="AJ45" s="461">
        <f t="shared" si="49"/>
        <v>224858.07666666666</v>
      </c>
      <c r="AK45" s="461">
        <f t="shared" si="49"/>
        <v>112906.52666666666</v>
      </c>
      <c r="AL45" s="461">
        <f t="shared" si="49"/>
        <v>40257.726666666669</v>
      </c>
      <c r="AM45" s="461">
        <f t="shared" si="49"/>
        <v>75545.726666666655</v>
      </c>
      <c r="AN45" s="461">
        <f t="shared" si="49"/>
        <v>75545.726666666655</v>
      </c>
      <c r="AO45" s="461">
        <f t="shared" si="49"/>
        <v>75545.726666666655</v>
      </c>
      <c r="AP45" s="461">
        <f t="shared" si="49"/>
        <v>75545.726666666655</v>
      </c>
      <c r="AQ45" s="461">
        <f t="shared" si="49"/>
        <v>75545.726666666655</v>
      </c>
      <c r="AR45" s="461">
        <f t="shared" si="49"/>
        <v>962873.71061666682</v>
      </c>
      <c r="AT45" s="461">
        <f>SUM(AT27:AT43)</f>
        <v>65965.743147500005</v>
      </c>
      <c r="AU45" s="461">
        <f t="shared" ref="AU45:BF45" si="50">SUM(AU27:AU43)</f>
        <v>68361.380500000014</v>
      </c>
      <c r="AV45" s="461">
        <f t="shared" si="50"/>
        <v>41575.880499999999</v>
      </c>
      <c r="AW45" s="461">
        <f t="shared" si="50"/>
        <v>41575.880499999999</v>
      </c>
      <c r="AX45" s="461">
        <f t="shared" si="50"/>
        <v>236100.98050000001</v>
      </c>
      <c r="AY45" s="461">
        <f t="shared" si="50"/>
        <v>118551.85299999999</v>
      </c>
      <c r="AZ45" s="461">
        <f t="shared" si="50"/>
        <v>42270.612999999998</v>
      </c>
      <c r="BA45" s="461">
        <f t="shared" si="50"/>
        <v>79323.012999999992</v>
      </c>
      <c r="BB45" s="461">
        <f t="shared" si="50"/>
        <v>79323.012999999992</v>
      </c>
      <c r="BC45" s="461">
        <f t="shared" si="50"/>
        <v>79323.012999999992</v>
      </c>
      <c r="BD45" s="461">
        <f t="shared" si="50"/>
        <v>79323.012999999992</v>
      </c>
      <c r="BE45" s="461">
        <f t="shared" si="50"/>
        <v>79323.012999999992</v>
      </c>
      <c r="BF45" s="461">
        <f t="shared" si="50"/>
        <v>1011017.3961474999</v>
      </c>
    </row>
    <row r="46" spans="1:58" ht="13.5" thickTop="1"/>
    <row r="47" spans="1:58" s="150" customFormat="1" ht="14.1" customHeight="1">
      <c r="A47" s="162"/>
      <c r="B47" s="162" t="s">
        <v>2598</v>
      </c>
      <c r="C47" s="162" t="s">
        <v>2401</v>
      </c>
      <c r="D47" s="162" t="s">
        <v>2704</v>
      </c>
      <c r="E47" s="163" t="str">
        <f>$E$3</f>
        <v>Professional Fee</v>
      </c>
      <c r="F47" s="163"/>
      <c r="G47" s="164" t="s">
        <v>2604</v>
      </c>
      <c r="H47" s="164" t="s">
        <v>2605</v>
      </c>
      <c r="I47" s="165" t="s">
        <v>2606</v>
      </c>
      <c r="J47" s="166" t="s">
        <v>2607</v>
      </c>
      <c r="K47" s="167" t="s">
        <v>2608</v>
      </c>
      <c r="L47" s="167" t="s">
        <v>2609</v>
      </c>
      <c r="M47" s="166" t="s">
        <v>2610</v>
      </c>
      <c r="N47" s="69">
        <v>45658</v>
      </c>
      <c r="O47" s="69">
        <v>45689</v>
      </c>
      <c r="P47" s="69">
        <v>45717</v>
      </c>
      <c r="Q47" s="69">
        <v>45748</v>
      </c>
      <c r="R47" s="69">
        <v>45778</v>
      </c>
      <c r="S47" s="69">
        <v>45809</v>
      </c>
      <c r="T47" s="69">
        <v>45839</v>
      </c>
      <c r="U47" s="69">
        <v>45870</v>
      </c>
      <c r="V47" s="69">
        <v>45901</v>
      </c>
      <c r="W47" s="69">
        <v>45931</v>
      </c>
      <c r="X47" s="69">
        <v>45962</v>
      </c>
      <c r="Y47" s="69">
        <v>45992</v>
      </c>
      <c r="Z47" s="168" t="s">
        <v>2115</v>
      </c>
      <c r="AA47" s="165" t="s">
        <v>2606</v>
      </c>
      <c r="AB47" s="166" t="s">
        <v>2607</v>
      </c>
      <c r="AC47" s="167" t="s">
        <v>2608</v>
      </c>
      <c r="AD47" s="167" t="s">
        <v>2609</v>
      </c>
      <c r="AE47" s="166" t="s">
        <v>2610</v>
      </c>
      <c r="AF47" s="69">
        <v>46023</v>
      </c>
      <c r="AG47" s="69">
        <v>46054</v>
      </c>
      <c r="AH47" s="69">
        <v>46082</v>
      </c>
      <c r="AI47" s="69">
        <v>46113</v>
      </c>
      <c r="AJ47" s="69">
        <v>46143</v>
      </c>
      <c r="AK47" s="69">
        <v>46174</v>
      </c>
      <c r="AL47" s="69">
        <v>46204</v>
      </c>
      <c r="AM47" s="69">
        <v>46235</v>
      </c>
      <c r="AN47" s="69">
        <v>46266</v>
      </c>
      <c r="AO47" s="69">
        <v>46296</v>
      </c>
      <c r="AP47" s="69">
        <v>46327</v>
      </c>
      <c r="AQ47" s="69">
        <v>46357</v>
      </c>
      <c r="AR47" s="168" t="s">
        <v>2706</v>
      </c>
      <c r="AT47" s="69">
        <f t="shared" ref="AT47:BF47" si="51">AT$3</f>
        <v>46388</v>
      </c>
      <c r="AU47" s="69">
        <f t="shared" si="51"/>
        <v>46419</v>
      </c>
      <c r="AV47" s="69">
        <f t="shared" si="51"/>
        <v>46447</v>
      </c>
      <c r="AW47" s="69">
        <f t="shared" si="51"/>
        <v>46478</v>
      </c>
      <c r="AX47" s="69">
        <f t="shared" si="51"/>
        <v>46508</v>
      </c>
      <c r="AY47" s="69">
        <f t="shared" si="51"/>
        <v>46539</v>
      </c>
      <c r="AZ47" s="69">
        <f t="shared" si="51"/>
        <v>46569</v>
      </c>
      <c r="BA47" s="69">
        <f t="shared" si="51"/>
        <v>46600</v>
      </c>
      <c r="BB47" s="69">
        <f t="shared" si="51"/>
        <v>46631</v>
      </c>
      <c r="BC47" s="69">
        <f t="shared" si="51"/>
        <v>46661</v>
      </c>
      <c r="BD47" s="69">
        <f t="shared" si="51"/>
        <v>46692</v>
      </c>
      <c r="BE47" s="69">
        <f t="shared" si="51"/>
        <v>46722</v>
      </c>
      <c r="BF47" s="168" t="str">
        <f t="shared" si="51"/>
        <v>2027Total</v>
      </c>
    </row>
    <row r="48" spans="1:58" ht="15" customHeight="1">
      <c r="A48" s="171">
        <v>1</v>
      </c>
      <c r="B48" s="171" t="s">
        <v>2113</v>
      </c>
      <c r="C48" s="171" t="s">
        <v>2302</v>
      </c>
      <c r="D48" s="171" t="s">
        <v>1514</v>
      </c>
      <c r="E48" s="172" t="str">
        <f t="shared" ref="E48:E64" si="52">E6</f>
        <v>Accounting / Payment Services</v>
      </c>
      <c r="F48" s="172"/>
      <c r="G48" s="77" t="s">
        <v>2613</v>
      </c>
      <c r="H48" s="173" t="s">
        <v>2614</v>
      </c>
      <c r="I48" s="173" t="s">
        <v>2046</v>
      </c>
      <c r="J48" s="183">
        <f>5000*(1+6.77%)*(1+$J$1)*6</f>
        <v>33632.550000000003</v>
      </c>
      <c r="K48" s="456">
        <v>45658</v>
      </c>
      <c r="L48" s="188">
        <v>45838</v>
      </c>
      <c r="M48" s="462">
        <f>IF(AND(K48="",L48=""),"-",IF(L48="",12,DATEDIF(K48,L48,"M")+1))</f>
        <v>6</v>
      </c>
      <c r="N48" s="177">
        <f>IF(AND($K48&lt;=N$3,N$3&lt;=$L48),$J48/$M48,0)</f>
        <v>5605.4250000000002</v>
      </c>
      <c r="O48" s="177">
        <f t="shared" ref="N48:Y57" si="53">IF(AND($K48&lt;=O$3,O$3&lt;=$L48),$J48/$M48,0)</f>
        <v>5605.4250000000002</v>
      </c>
      <c r="P48" s="177">
        <f t="shared" si="53"/>
        <v>5605.4250000000002</v>
      </c>
      <c r="Q48" s="177">
        <f t="shared" si="53"/>
        <v>5605.4250000000002</v>
      </c>
      <c r="R48" s="177">
        <f t="shared" si="53"/>
        <v>5605.4250000000002</v>
      </c>
      <c r="S48" s="177">
        <f t="shared" si="53"/>
        <v>5605.4250000000002</v>
      </c>
      <c r="T48" s="177">
        <f t="shared" si="53"/>
        <v>0</v>
      </c>
      <c r="U48" s="177">
        <f t="shared" si="53"/>
        <v>0</v>
      </c>
      <c r="V48" s="177">
        <f t="shared" si="53"/>
        <v>0</v>
      </c>
      <c r="W48" s="177">
        <f t="shared" si="53"/>
        <v>0</v>
      </c>
      <c r="X48" s="177">
        <f t="shared" si="53"/>
        <v>0</v>
      </c>
      <c r="Y48" s="177">
        <f t="shared" si="53"/>
        <v>0</v>
      </c>
      <c r="Z48" s="178">
        <f>SUM(N48:Y48)</f>
        <v>33632.550000000003</v>
      </c>
      <c r="AA48" s="173" t="s">
        <v>2046</v>
      </c>
      <c r="AB48" s="184"/>
      <c r="AC48" s="456">
        <v>46023</v>
      </c>
      <c r="AD48" s="456">
        <v>46387</v>
      </c>
      <c r="AE48" s="462">
        <f t="shared" ref="AE48:AE64" si="54">IF(AND(AC48="",AD48=""),"-",IF(AD48="",12,DATEDIF(AC48,AD48,"M")+1))</f>
        <v>12</v>
      </c>
      <c r="AF48" s="177">
        <f>IF(AND($AC48&lt;=AF$3,AF$3&lt;=$AD48),$AB48/$AE48,0)</f>
        <v>0</v>
      </c>
      <c r="AG48" s="177">
        <f>IF(AND($AC48&lt;=AG$3,AG$3&lt;=$AD48),$AB48/$AE48,0)</f>
        <v>0</v>
      </c>
      <c r="AH48" s="177">
        <f t="shared" ref="AH48:AQ48" si="55">IF(AND($AC48&lt;=AH$3,AH$3&lt;=$AD48),$AB48/$AE48,0)</f>
        <v>0</v>
      </c>
      <c r="AI48" s="177">
        <f t="shared" si="55"/>
        <v>0</v>
      </c>
      <c r="AJ48" s="177">
        <f t="shared" si="55"/>
        <v>0</v>
      </c>
      <c r="AK48" s="177">
        <f t="shared" si="55"/>
        <v>0</v>
      </c>
      <c r="AL48" s="177">
        <f t="shared" si="55"/>
        <v>0</v>
      </c>
      <c r="AM48" s="177">
        <f t="shared" si="55"/>
        <v>0</v>
      </c>
      <c r="AN48" s="177">
        <f t="shared" si="55"/>
        <v>0</v>
      </c>
      <c r="AO48" s="177">
        <f t="shared" si="55"/>
        <v>0</v>
      </c>
      <c r="AP48" s="177">
        <f t="shared" si="55"/>
        <v>0</v>
      </c>
      <c r="AQ48" s="177">
        <f t="shared" si="55"/>
        <v>0</v>
      </c>
      <c r="AR48" s="178">
        <f>SUM(AF48:AQ48)</f>
        <v>0</v>
      </c>
      <c r="AT48" s="177">
        <f t="shared" ref="AT48:AT64" si="56">AF48*(1+$AT$1)</f>
        <v>0</v>
      </c>
      <c r="AU48" s="177">
        <f t="shared" ref="AU48:AU64" si="57">AG48*(1+$AT$1)</f>
        <v>0</v>
      </c>
      <c r="AV48" s="177">
        <f t="shared" ref="AV48:AV64" si="58">AH48*(1+$AT$1)</f>
        <v>0</v>
      </c>
      <c r="AW48" s="177">
        <f t="shared" ref="AW48:AW64" si="59">AI48*(1+$AT$1)</f>
        <v>0</v>
      </c>
      <c r="AX48" s="177">
        <f t="shared" ref="AX48:AX64" si="60">AJ48*(1+$AT$1)</f>
        <v>0</v>
      </c>
      <c r="AY48" s="177">
        <f t="shared" ref="AY48:AY64" si="61">AK48*(1+$AT$1)</f>
        <v>0</v>
      </c>
      <c r="AZ48" s="177">
        <f t="shared" ref="AZ48:AZ64" si="62">AL48*(1+$AT$1)</f>
        <v>0</v>
      </c>
      <c r="BA48" s="177">
        <f t="shared" ref="BA48:BA64" si="63">AM48*(1+$AT$1)</f>
        <v>0</v>
      </c>
      <c r="BB48" s="177">
        <f t="shared" ref="BB48:BB64" si="64">AN48*(1+$AT$1)</f>
        <v>0</v>
      </c>
      <c r="BC48" s="177">
        <f t="shared" ref="BC48:BC64" si="65">AO48*(1+$AT$1)</f>
        <v>0</v>
      </c>
      <c r="BD48" s="177">
        <f t="shared" ref="BD48:BD64" si="66">AP48*(1+$AT$1)</f>
        <v>0</v>
      </c>
      <c r="BE48" s="177">
        <f t="shared" ref="BE48:BE64" si="67">AQ48*(1+$AT$1)</f>
        <v>0</v>
      </c>
      <c r="BF48" s="178">
        <f>SUM(AT48:BE48)</f>
        <v>0</v>
      </c>
    </row>
    <row r="49" spans="1:58" ht="15" customHeight="1">
      <c r="A49" s="171">
        <f t="shared" ref="A49:A64" si="68">IF(A48&lt;=0,FALSE,A48+1)</f>
        <v>2</v>
      </c>
      <c r="B49" s="171" t="str">
        <f>+B48</f>
        <v>ACPLGZ</v>
      </c>
      <c r="C49" s="171"/>
      <c r="D49" s="171" t="s">
        <v>1514</v>
      </c>
      <c r="E49" s="172" t="str">
        <f t="shared" si="52"/>
        <v>Accounting / Payment Services</v>
      </c>
      <c r="F49" s="172"/>
      <c r="G49" s="77" t="s">
        <v>2613</v>
      </c>
      <c r="H49" s="173" t="s">
        <v>2614</v>
      </c>
      <c r="I49" s="173" t="s">
        <v>2046</v>
      </c>
      <c r="J49" s="184"/>
      <c r="K49" s="456">
        <v>45717</v>
      </c>
      <c r="L49" s="456">
        <v>45747</v>
      </c>
      <c r="M49" s="462">
        <f t="shared" ref="M49:M64" si="69">IF(AND(K49="",L49=""),"-",IF(L49="",12,DATEDIF(K49,L49,"M")+1))</f>
        <v>1</v>
      </c>
      <c r="N49" s="177">
        <f>IF(AND($K49&lt;=N$3,N$3&lt;=$L49),$J49/$M49,0)</f>
        <v>0</v>
      </c>
      <c r="O49" s="177">
        <f>IF(AND($K49&lt;=O$3,O$3&lt;=$L49),$J49/$M49,0)</f>
        <v>0</v>
      </c>
      <c r="P49" s="177">
        <f t="shared" si="53"/>
        <v>0</v>
      </c>
      <c r="Q49" s="177">
        <f t="shared" si="53"/>
        <v>0</v>
      </c>
      <c r="R49" s="177">
        <f t="shared" si="53"/>
        <v>0</v>
      </c>
      <c r="S49" s="177">
        <f t="shared" si="53"/>
        <v>0</v>
      </c>
      <c r="T49" s="177">
        <f t="shared" si="53"/>
        <v>0</v>
      </c>
      <c r="U49" s="177">
        <f t="shared" si="53"/>
        <v>0</v>
      </c>
      <c r="V49" s="177">
        <f t="shared" si="53"/>
        <v>0</v>
      </c>
      <c r="W49" s="177">
        <f t="shared" si="53"/>
        <v>0</v>
      </c>
      <c r="X49" s="177">
        <f t="shared" si="53"/>
        <v>0</v>
      </c>
      <c r="Y49" s="177">
        <f t="shared" si="53"/>
        <v>0</v>
      </c>
      <c r="Z49" s="178">
        <f t="shared" ref="Z49:Z64" si="70">SUM(N49:Y49)</f>
        <v>0</v>
      </c>
      <c r="AA49" s="173" t="s">
        <v>2046</v>
      </c>
      <c r="AB49" s="184"/>
      <c r="AC49" s="456">
        <v>46082</v>
      </c>
      <c r="AD49" s="456">
        <v>46112</v>
      </c>
      <c r="AE49" s="462">
        <f t="shared" si="54"/>
        <v>1</v>
      </c>
      <c r="AF49" s="177">
        <f t="shared" ref="AF49:AF64" si="71">IF(AND($AC49&lt;=AF$3,AF$3&lt;=$AD49),$AB49/$AE49,0)</f>
        <v>0</v>
      </c>
      <c r="AG49" s="177">
        <f t="shared" ref="AG49:AG64" si="72">IF(AND($AC49&lt;=AG$3,AG$3&lt;=$AD49),$AB49/$AE49,0)</f>
        <v>0</v>
      </c>
      <c r="AH49" s="177">
        <f t="shared" ref="AH49:AH64" si="73">IF(AND($AC49&lt;=AH$3,AH$3&lt;=$AD49),$AB49/$AE49,0)</f>
        <v>0</v>
      </c>
      <c r="AI49" s="177">
        <f t="shared" ref="AI49:AI64" si="74">IF(AND($AC49&lt;=AI$3,AI$3&lt;=$AD49),$AB49/$AE49,0)</f>
        <v>0</v>
      </c>
      <c r="AJ49" s="177">
        <f t="shared" ref="AJ49:AJ64" si="75">IF(AND($AC49&lt;=AJ$3,AJ$3&lt;=$AD49),$AB49/$AE49,0)</f>
        <v>0</v>
      </c>
      <c r="AK49" s="177">
        <f t="shared" ref="AK49:AK64" si="76">IF(AND($AC49&lt;=AK$3,AK$3&lt;=$AD49),$AB49/$AE49,0)</f>
        <v>0</v>
      </c>
      <c r="AL49" s="177">
        <f t="shared" ref="AL49:AL64" si="77">IF(AND($AC49&lt;=AL$3,AL$3&lt;=$AD49),$AB49/$AE49,0)</f>
        <v>0</v>
      </c>
      <c r="AM49" s="177">
        <f t="shared" ref="AM49:AM64" si="78">IF(AND($AC49&lt;=AM$3,AM$3&lt;=$AD49),$AB49/$AE49,0)</f>
        <v>0</v>
      </c>
      <c r="AN49" s="177">
        <f t="shared" ref="AN49:AN64" si="79">IF(AND($AC49&lt;=AN$3,AN$3&lt;=$AD49),$AB49/$AE49,0)</f>
        <v>0</v>
      </c>
      <c r="AO49" s="177">
        <f t="shared" ref="AO49:AO64" si="80">IF(AND($AC49&lt;=AO$3,AO$3&lt;=$AD49),$AB49/$AE49,0)</f>
        <v>0</v>
      </c>
      <c r="AP49" s="177">
        <f t="shared" ref="AP49:AP64" si="81">IF(AND($AC49&lt;=AP$3,AP$3&lt;=$AD49),$AB49/$AE49,0)</f>
        <v>0</v>
      </c>
      <c r="AQ49" s="177">
        <f t="shared" ref="AQ49:AQ64" si="82">IF(AND($AC49&lt;=AQ$3,AQ$3&lt;=$AD49),$AB49/$AE49,0)</f>
        <v>0</v>
      </c>
      <c r="AR49" s="178">
        <f t="shared" ref="AR49:AR64" si="83">SUM(AF49:AQ49)</f>
        <v>0</v>
      </c>
      <c r="AT49" s="177">
        <f t="shared" si="56"/>
        <v>0</v>
      </c>
      <c r="AU49" s="177">
        <f t="shared" si="57"/>
        <v>0</v>
      </c>
      <c r="AV49" s="177">
        <f t="shared" si="58"/>
        <v>0</v>
      </c>
      <c r="AW49" s="177">
        <f t="shared" si="59"/>
        <v>0</v>
      </c>
      <c r="AX49" s="177">
        <f t="shared" si="60"/>
        <v>0</v>
      </c>
      <c r="AY49" s="177">
        <f t="shared" si="61"/>
        <v>0</v>
      </c>
      <c r="AZ49" s="177">
        <f t="shared" si="62"/>
        <v>0</v>
      </c>
      <c r="BA49" s="177">
        <f t="shared" si="63"/>
        <v>0</v>
      </c>
      <c r="BB49" s="177">
        <f t="shared" si="64"/>
        <v>0</v>
      </c>
      <c r="BC49" s="177">
        <f t="shared" si="65"/>
        <v>0</v>
      </c>
      <c r="BD49" s="177">
        <f t="shared" si="66"/>
        <v>0</v>
      </c>
      <c r="BE49" s="177">
        <f t="shared" si="67"/>
        <v>0</v>
      </c>
      <c r="BF49" s="178">
        <f t="shared" ref="BF49:BF64" si="84">SUM(AT49:BE49)</f>
        <v>0</v>
      </c>
    </row>
    <row r="50" spans="1:58" ht="15" customHeight="1">
      <c r="A50" s="171">
        <f t="shared" si="68"/>
        <v>3</v>
      </c>
      <c r="B50" s="171" t="str">
        <f>+B49</f>
        <v>ACPLGZ</v>
      </c>
      <c r="C50" s="171"/>
      <c r="D50" s="171" t="s">
        <v>1530</v>
      </c>
      <c r="E50" s="172" t="str">
        <f t="shared" si="52"/>
        <v>Tax services</v>
      </c>
      <c r="F50" s="172" t="s">
        <v>2724</v>
      </c>
      <c r="G50" s="77" t="s">
        <v>2613</v>
      </c>
      <c r="H50" s="173" t="s">
        <v>2614</v>
      </c>
      <c r="I50" s="173" t="s">
        <v>2046</v>
      </c>
      <c r="J50" s="183"/>
      <c r="K50" s="456">
        <v>45809</v>
      </c>
      <c r="L50" s="456">
        <v>45838</v>
      </c>
      <c r="M50" s="462">
        <f t="shared" si="69"/>
        <v>1</v>
      </c>
      <c r="N50" s="177">
        <f t="shared" si="53"/>
        <v>0</v>
      </c>
      <c r="O50" s="177">
        <f t="shared" si="53"/>
        <v>0</v>
      </c>
      <c r="P50" s="177">
        <f t="shared" si="53"/>
        <v>0</v>
      </c>
      <c r="Q50" s="177">
        <f t="shared" si="53"/>
        <v>0</v>
      </c>
      <c r="R50" s="177">
        <f t="shared" si="53"/>
        <v>0</v>
      </c>
      <c r="S50" s="177">
        <f t="shared" si="53"/>
        <v>0</v>
      </c>
      <c r="T50" s="177">
        <f t="shared" si="53"/>
        <v>0</v>
      </c>
      <c r="U50" s="177">
        <f t="shared" si="53"/>
        <v>0</v>
      </c>
      <c r="V50" s="177">
        <f t="shared" si="53"/>
        <v>0</v>
      </c>
      <c r="W50" s="177">
        <f t="shared" si="53"/>
        <v>0</v>
      </c>
      <c r="X50" s="177">
        <f t="shared" si="53"/>
        <v>0</v>
      </c>
      <c r="Y50" s="177">
        <f t="shared" si="53"/>
        <v>0</v>
      </c>
      <c r="Z50" s="178">
        <f t="shared" si="70"/>
        <v>0</v>
      </c>
      <c r="AA50" s="173" t="s">
        <v>2046</v>
      </c>
      <c r="AB50" s="184">
        <f>7000*(1+AB1)</f>
        <v>7350</v>
      </c>
      <c r="AC50" s="456">
        <v>46174</v>
      </c>
      <c r="AD50" s="456">
        <v>46203</v>
      </c>
      <c r="AE50" s="462">
        <f t="shared" si="54"/>
        <v>1</v>
      </c>
      <c r="AF50" s="177">
        <f t="shared" si="71"/>
        <v>0</v>
      </c>
      <c r="AG50" s="177">
        <f t="shared" si="72"/>
        <v>0</v>
      </c>
      <c r="AH50" s="177">
        <f t="shared" si="73"/>
        <v>0</v>
      </c>
      <c r="AI50" s="177">
        <f t="shared" si="74"/>
        <v>0</v>
      </c>
      <c r="AJ50" s="177">
        <f t="shared" si="75"/>
        <v>0</v>
      </c>
      <c r="AK50" s="177">
        <f t="shared" si="76"/>
        <v>7350</v>
      </c>
      <c r="AL50" s="177">
        <f t="shared" si="77"/>
        <v>0</v>
      </c>
      <c r="AM50" s="177">
        <f t="shared" si="78"/>
        <v>0</v>
      </c>
      <c r="AN50" s="177">
        <f t="shared" si="79"/>
        <v>0</v>
      </c>
      <c r="AO50" s="177">
        <f t="shared" si="80"/>
        <v>0</v>
      </c>
      <c r="AP50" s="177">
        <f t="shared" si="81"/>
        <v>0</v>
      </c>
      <c r="AQ50" s="177">
        <f t="shared" si="82"/>
        <v>0</v>
      </c>
      <c r="AR50" s="178">
        <f t="shared" si="83"/>
        <v>7350</v>
      </c>
      <c r="AT50" s="177">
        <f t="shared" si="56"/>
        <v>0</v>
      </c>
      <c r="AU50" s="177">
        <f t="shared" si="57"/>
        <v>0</v>
      </c>
      <c r="AV50" s="177">
        <f t="shared" si="58"/>
        <v>0</v>
      </c>
      <c r="AW50" s="177">
        <f t="shared" si="59"/>
        <v>0</v>
      </c>
      <c r="AX50" s="177">
        <f t="shared" si="60"/>
        <v>0</v>
      </c>
      <c r="AY50" s="177">
        <f t="shared" si="61"/>
        <v>7717.5</v>
      </c>
      <c r="AZ50" s="177">
        <f t="shared" si="62"/>
        <v>0</v>
      </c>
      <c r="BA50" s="177">
        <f t="shared" si="63"/>
        <v>0</v>
      </c>
      <c r="BB50" s="177">
        <f t="shared" si="64"/>
        <v>0</v>
      </c>
      <c r="BC50" s="177">
        <f t="shared" si="65"/>
        <v>0</v>
      </c>
      <c r="BD50" s="177">
        <f t="shared" si="66"/>
        <v>0</v>
      </c>
      <c r="BE50" s="177">
        <f t="shared" si="67"/>
        <v>0</v>
      </c>
      <c r="BF50" s="178">
        <f t="shared" si="84"/>
        <v>7717.5</v>
      </c>
    </row>
    <row r="51" spans="1:58" ht="15" customHeight="1">
      <c r="A51" s="171">
        <f t="shared" si="68"/>
        <v>4</v>
      </c>
      <c r="B51" s="171" t="str">
        <f t="shared" ref="B51:B63" si="85">+B50</f>
        <v>ACPLGZ</v>
      </c>
      <c r="C51" s="171"/>
      <c r="D51" s="171" t="s">
        <v>1544</v>
      </c>
      <c r="E51" s="172" t="str">
        <f t="shared" si="52"/>
        <v>Payroll Services</v>
      </c>
      <c r="F51" s="172"/>
      <c r="G51" s="77" t="s">
        <v>2613</v>
      </c>
      <c r="H51" s="173" t="s">
        <v>2614</v>
      </c>
      <c r="I51" s="173" t="s">
        <v>2046</v>
      </c>
      <c r="J51" s="184"/>
      <c r="K51" s="456">
        <v>45658</v>
      </c>
      <c r="L51" s="456">
        <v>46022</v>
      </c>
      <c r="M51" s="462">
        <f t="shared" si="69"/>
        <v>12</v>
      </c>
      <c r="N51" s="177">
        <f t="shared" si="53"/>
        <v>0</v>
      </c>
      <c r="O51" s="177">
        <f t="shared" si="53"/>
        <v>0</v>
      </c>
      <c r="P51" s="177">
        <f t="shared" si="53"/>
        <v>0</v>
      </c>
      <c r="Q51" s="177">
        <f t="shared" si="53"/>
        <v>0</v>
      </c>
      <c r="R51" s="177">
        <f t="shared" si="53"/>
        <v>0</v>
      </c>
      <c r="S51" s="177">
        <f t="shared" si="53"/>
        <v>0</v>
      </c>
      <c r="T51" s="177">
        <f t="shared" si="53"/>
        <v>0</v>
      </c>
      <c r="U51" s="177">
        <f t="shared" si="53"/>
        <v>0</v>
      </c>
      <c r="V51" s="177">
        <f t="shared" si="53"/>
        <v>0</v>
      </c>
      <c r="W51" s="177">
        <f t="shared" si="53"/>
        <v>0</v>
      </c>
      <c r="X51" s="177">
        <f t="shared" si="53"/>
        <v>0</v>
      </c>
      <c r="Y51" s="177">
        <f t="shared" si="53"/>
        <v>0</v>
      </c>
      <c r="Z51" s="178">
        <f t="shared" si="70"/>
        <v>0</v>
      </c>
      <c r="AA51" s="173" t="s">
        <v>2046</v>
      </c>
      <c r="AB51" s="184"/>
      <c r="AC51" s="456">
        <v>46023</v>
      </c>
      <c r="AD51" s="456">
        <v>46387</v>
      </c>
      <c r="AE51" s="462">
        <f t="shared" si="54"/>
        <v>12</v>
      </c>
      <c r="AF51" s="177">
        <f t="shared" si="71"/>
        <v>0</v>
      </c>
      <c r="AG51" s="177">
        <f t="shared" si="72"/>
        <v>0</v>
      </c>
      <c r="AH51" s="177">
        <f t="shared" si="73"/>
        <v>0</v>
      </c>
      <c r="AI51" s="177">
        <f t="shared" si="74"/>
        <v>0</v>
      </c>
      <c r="AJ51" s="177">
        <f t="shared" si="75"/>
        <v>0</v>
      </c>
      <c r="AK51" s="177">
        <f t="shared" si="76"/>
        <v>0</v>
      </c>
      <c r="AL51" s="177">
        <f t="shared" si="77"/>
        <v>0</v>
      </c>
      <c r="AM51" s="177">
        <f t="shared" si="78"/>
        <v>0</v>
      </c>
      <c r="AN51" s="177">
        <f t="shared" si="79"/>
        <v>0</v>
      </c>
      <c r="AO51" s="177">
        <f t="shared" si="80"/>
        <v>0</v>
      </c>
      <c r="AP51" s="177">
        <f t="shared" si="81"/>
        <v>0</v>
      </c>
      <c r="AQ51" s="177">
        <f t="shared" si="82"/>
        <v>0</v>
      </c>
      <c r="AR51" s="178">
        <f t="shared" si="83"/>
        <v>0</v>
      </c>
      <c r="AT51" s="177">
        <f t="shared" si="56"/>
        <v>0</v>
      </c>
      <c r="AU51" s="177">
        <f t="shared" si="57"/>
        <v>0</v>
      </c>
      <c r="AV51" s="177">
        <f t="shared" si="58"/>
        <v>0</v>
      </c>
      <c r="AW51" s="177">
        <f t="shared" si="59"/>
        <v>0</v>
      </c>
      <c r="AX51" s="177">
        <f t="shared" si="60"/>
        <v>0</v>
      </c>
      <c r="AY51" s="177">
        <f t="shared" si="61"/>
        <v>0</v>
      </c>
      <c r="AZ51" s="177">
        <f t="shared" si="62"/>
        <v>0</v>
      </c>
      <c r="BA51" s="177">
        <f t="shared" si="63"/>
        <v>0</v>
      </c>
      <c r="BB51" s="177">
        <f t="shared" si="64"/>
        <v>0</v>
      </c>
      <c r="BC51" s="177">
        <f t="shared" si="65"/>
        <v>0</v>
      </c>
      <c r="BD51" s="177">
        <f t="shared" si="66"/>
        <v>0</v>
      </c>
      <c r="BE51" s="177">
        <f t="shared" si="67"/>
        <v>0</v>
      </c>
      <c r="BF51" s="178">
        <f t="shared" si="84"/>
        <v>0</v>
      </c>
    </row>
    <row r="52" spans="1:58" ht="15" customHeight="1">
      <c r="A52" s="171">
        <f t="shared" si="68"/>
        <v>5</v>
      </c>
      <c r="B52" s="171" t="str">
        <f t="shared" si="85"/>
        <v>ACPLGZ</v>
      </c>
      <c r="C52" s="171"/>
      <c r="D52" s="463" t="s">
        <v>1844</v>
      </c>
      <c r="E52" s="172" t="str">
        <f t="shared" si="52"/>
        <v>Corporate Secretarial Fees</v>
      </c>
      <c r="F52" s="171" t="s">
        <v>2725</v>
      </c>
      <c r="G52" s="77" t="s">
        <v>2613</v>
      </c>
      <c r="H52" s="173" t="s">
        <v>2614</v>
      </c>
      <c r="I52" s="173" t="s">
        <v>2046</v>
      </c>
      <c r="J52" s="183">
        <f>5000+1800</f>
        <v>6800</v>
      </c>
      <c r="K52" s="456">
        <v>45748</v>
      </c>
      <c r="L52" s="456">
        <v>45777</v>
      </c>
      <c r="M52" s="462">
        <f t="shared" si="69"/>
        <v>1</v>
      </c>
      <c r="N52" s="177">
        <f t="shared" si="53"/>
        <v>0</v>
      </c>
      <c r="O52" s="177">
        <f>IF(AND($K52&lt;=O$3,O$3&lt;=$L52),$J52/$M52,0)</f>
        <v>0</v>
      </c>
      <c r="P52" s="177">
        <f>IF(AND($K52&lt;=P$3,P$3&lt;=$L52),$J52/$M52,0)</f>
        <v>0</v>
      </c>
      <c r="Q52" s="177">
        <v>5000</v>
      </c>
      <c r="R52" s="177">
        <f t="shared" si="53"/>
        <v>0</v>
      </c>
      <c r="S52" s="177">
        <f t="shared" si="53"/>
        <v>0</v>
      </c>
      <c r="T52" s="183">
        <v>1800</v>
      </c>
      <c r="U52" s="177">
        <f t="shared" si="53"/>
        <v>0</v>
      </c>
      <c r="V52" s="177">
        <f t="shared" si="53"/>
        <v>0</v>
      </c>
      <c r="W52" s="177">
        <f t="shared" si="53"/>
        <v>0</v>
      </c>
      <c r="X52" s="177">
        <f t="shared" si="53"/>
        <v>0</v>
      </c>
      <c r="Y52" s="177">
        <f t="shared" si="53"/>
        <v>0</v>
      </c>
      <c r="Z52" s="178">
        <f t="shared" si="70"/>
        <v>6800</v>
      </c>
      <c r="AA52" s="173" t="s">
        <v>2046</v>
      </c>
      <c r="AB52" s="183">
        <v>50000</v>
      </c>
      <c r="AC52" s="456">
        <v>46357</v>
      </c>
      <c r="AD52" s="456">
        <v>46387</v>
      </c>
      <c r="AE52" s="462">
        <f t="shared" si="54"/>
        <v>1</v>
      </c>
      <c r="AF52" s="177">
        <f t="shared" si="71"/>
        <v>0</v>
      </c>
      <c r="AG52" s="177">
        <f t="shared" si="72"/>
        <v>0</v>
      </c>
      <c r="AH52" s="177">
        <f t="shared" si="73"/>
        <v>0</v>
      </c>
      <c r="AI52" s="177">
        <f t="shared" si="74"/>
        <v>0</v>
      </c>
      <c r="AJ52" s="177">
        <f t="shared" si="75"/>
        <v>0</v>
      </c>
      <c r="AK52" s="177">
        <f t="shared" si="76"/>
        <v>0</v>
      </c>
      <c r="AL52" s="177">
        <f t="shared" si="77"/>
        <v>0</v>
      </c>
      <c r="AM52" s="177">
        <f t="shared" si="78"/>
        <v>0</v>
      </c>
      <c r="AN52" s="177">
        <f t="shared" si="79"/>
        <v>0</v>
      </c>
      <c r="AO52" s="177">
        <f t="shared" si="80"/>
        <v>0</v>
      </c>
      <c r="AP52" s="177">
        <f t="shared" si="81"/>
        <v>0</v>
      </c>
      <c r="AQ52" s="177">
        <f t="shared" si="82"/>
        <v>50000</v>
      </c>
      <c r="AR52" s="178">
        <f t="shared" si="83"/>
        <v>50000</v>
      </c>
      <c r="AT52" s="177">
        <f t="shared" si="56"/>
        <v>0</v>
      </c>
      <c r="AU52" s="177">
        <f t="shared" si="57"/>
        <v>0</v>
      </c>
      <c r="AV52" s="177">
        <f t="shared" si="58"/>
        <v>0</v>
      </c>
      <c r="AW52" s="177">
        <f t="shared" si="59"/>
        <v>0</v>
      </c>
      <c r="AX52" s="177">
        <f t="shared" si="60"/>
        <v>0</v>
      </c>
      <c r="AY52" s="177">
        <f t="shared" si="61"/>
        <v>0</v>
      </c>
      <c r="AZ52" s="177">
        <f t="shared" si="62"/>
        <v>0</v>
      </c>
      <c r="BA52" s="177">
        <f t="shared" si="63"/>
        <v>0</v>
      </c>
      <c r="BB52" s="177">
        <f t="shared" si="64"/>
        <v>0</v>
      </c>
      <c r="BC52" s="177">
        <f t="shared" si="65"/>
        <v>0</v>
      </c>
      <c r="BD52" s="177">
        <f t="shared" si="66"/>
        <v>0</v>
      </c>
      <c r="BE52" s="177">
        <f t="shared" si="67"/>
        <v>52500</v>
      </c>
      <c r="BF52" s="178">
        <f t="shared" si="84"/>
        <v>52500</v>
      </c>
    </row>
    <row r="53" spans="1:58" ht="15" customHeight="1">
      <c r="A53" s="171">
        <f t="shared" si="68"/>
        <v>6</v>
      </c>
      <c r="B53" s="171" t="str">
        <f t="shared" si="85"/>
        <v>ACPLGZ</v>
      </c>
      <c r="C53" s="171" t="s">
        <v>2317</v>
      </c>
      <c r="D53" s="171" t="s">
        <v>1519</v>
      </c>
      <c r="E53" s="172" t="str">
        <f t="shared" si="52"/>
        <v>Audit Fee</v>
      </c>
      <c r="F53" s="172" t="s">
        <v>2726</v>
      </c>
      <c r="G53" s="77" t="s">
        <v>2613</v>
      </c>
      <c r="H53" s="173" t="s">
        <v>2614</v>
      </c>
      <c r="I53" s="173" t="s">
        <v>2046</v>
      </c>
      <c r="J53" s="184">
        <f>40000*(1+5%)</f>
        <v>42000</v>
      </c>
      <c r="K53" s="456">
        <v>45809</v>
      </c>
      <c r="L53" s="456">
        <v>45838</v>
      </c>
      <c r="M53" s="462">
        <f t="shared" si="69"/>
        <v>1</v>
      </c>
      <c r="N53" s="177">
        <f t="shared" si="53"/>
        <v>0</v>
      </c>
      <c r="O53" s="177">
        <f t="shared" si="53"/>
        <v>0</v>
      </c>
      <c r="P53" s="177">
        <f t="shared" si="53"/>
        <v>0</v>
      </c>
      <c r="Q53" s="177">
        <f t="shared" si="53"/>
        <v>0</v>
      </c>
      <c r="R53" s="177">
        <f t="shared" si="53"/>
        <v>0</v>
      </c>
      <c r="S53" s="177">
        <f t="shared" si="53"/>
        <v>42000</v>
      </c>
      <c r="T53" s="177">
        <f t="shared" si="53"/>
        <v>0</v>
      </c>
      <c r="U53" s="177">
        <f t="shared" si="53"/>
        <v>0</v>
      </c>
      <c r="V53" s="177">
        <f t="shared" si="53"/>
        <v>0</v>
      </c>
      <c r="W53" s="177">
        <f t="shared" si="53"/>
        <v>0</v>
      </c>
      <c r="X53" s="177">
        <f t="shared" si="53"/>
        <v>0</v>
      </c>
      <c r="Y53" s="177">
        <f t="shared" si="53"/>
        <v>0</v>
      </c>
      <c r="Z53" s="178">
        <f t="shared" si="70"/>
        <v>42000</v>
      </c>
      <c r="AA53" s="173" t="s">
        <v>2046</v>
      </c>
      <c r="AB53" s="184">
        <f>40000*(1+5%)*(1+6%)</f>
        <v>44520</v>
      </c>
      <c r="AC53" s="456">
        <v>46174</v>
      </c>
      <c r="AD53" s="456">
        <v>46203</v>
      </c>
      <c r="AE53" s="462">
        <f t="shared" si="54"/>
        <v>1</v>
      </c>
      <c r="AF53" s="177">
        <f t="shared" si="71"/>
        <v>0</v>
      </c>
      <c r="AG53" s="177">
        <f t="shared" si="72"/>
        <v>0</v>
      </c>
      <c r="AH53" s="177">
        <f t="shared" si="73"/>
        <v>0</v>
      </c>
      <c r="AI53" s="177">
        <f t="shared" si="74"/>
        <v>0</v>
      </c>
      <c r="AJ53" s="177">
        <f t="shared" si="75"/>
        <v>0</v>
      </c>
      <c r="AK53" s="177">
        <f t="shared" si="76"/>
        <v>44520</v>
      </c>
      <c r="AL53" s="177">
        <f t="shared" si="77"/>
        <v>0</v>
      </c>
      <c r="AM53" s="177">
        <f t="shared" si="78"/>
        <v>0</v>
      </c>
      <c r="AN53" s="177">
        <f t="shared" si="79"/>
        <v>0</v>
      </c>
      <c r="AO53" s="177">
        <f t="shared" si="80"/>
        <v>0</v>
      </c>
      <c r="AP53" s="177">
        <f t="shared" si="81"/>
        <v>0</v>
      </c>
      <c r="AQ53" s="177">
        <f t="shared" si="82"/>
        <v>0</v>
      </c>
      <c r="AR53" s="178">
        <f t="shared" si="83"/>
        <v>44520</v>
      </c>
      <c r="AT53" s="177">
        <f t="shared" si="56"/>
        <v>0</v>
      </c>
      <c r="AU53" s="177">
        <f t="shared" si="57"/>
        <v>0</v>
      </c>
      <c r="AV53" s="177">
        <f t="shared" si="58"/>
        <v>0</v>
      </c>
      <c r="AW53" s="177">
        <f t="shared" si="59"/>
        <v>0</v>
      </c>
      <c r="AX53" s="177">
        <f t="shared" si="60"/>
        <v>0</v>
      </c>
      <c r="AY53" s="177">
        <f t="shared" si="61"/>
        <v>46746</v>
      </c>
      <c r="AZ53" s="177">
        <f t="shared" si="62"/>
        <v>0</v>
      </c>
      <c r="BA53" s="177">
        <f t="shared" si="63"/>
        <v>0</v>
      </c>
      <c r="BB53" s="177">
        <f t="shared" si="64"/>
        <v>0</v>
      </c>
      <c r="BC53" s="177">
        <f t="shared" si="65"/>
        <v>0</v>
      </c>
      <c r="BD53" s="177">
        <f t="shared" si="66"/>
        <v>0</v>
      </c>
      <c r="BE53" s="177">
        <f t="shared" si="67"/>
        <v>0</v>
      </c>
      <c r="BF53" s="178">
        <f t="shared" si="84"/>
        <v>46746</v>
      </c>
    </row>
    <row r="54" spans="1:58" ht="13.5" customHeight="1">
      <c r="A54" s="171">
        <f t="shared" si="68"/>
        <v>7</v>
      </c>
      <c r="B54" s="171" t="str">
        <f t="shared" si="85"/>
        <v>ACPLGZ</v>
      </c>
      <c r="C54" s="171"/>
      <c r="D54" s="171" t="s">
        <v>1564</v>
      </c>
      <c r="E54" s="172" t="str">
        <f t="shared" si="52"/>
        <v>Compliance Support</v>
      </c>
      <c r="F54" s="172"/>
      <c r="G54" s="77" t="s">
        <v>2613</v>
      </c>
      <c r="H54" s="173" t="s">
        <v>2614</v>
      </c>
      <c r="I54" s="173" t="s">
        <v>2046</v>
      </c>
      <c r="J54" s="184"/>
      <c r="K54" s="456">
        <v>45658</v>
      </c>
      <c r="L54" s="456">
        <v>46022</v>
      </c>
      <c r="M54" s="462">
        <f t="shared" si="69"/>
        <v>12</v>
      </c>
      <c r="N54" s="177">
        <f t="shared" si="53"/>
        <v>0</v>
      </c>
      <c r="O54" s="177">
        <f t="shared" si="53"/>
        <v>0</v>
      </c>
      <c r="P54" s="177">
        <f t="shared" si="53"/>
        <v>0</v>
      </c>
      <c r="Q54" s="177">
        <f t="shared" si="53"/>
        <v>0</v>
      </c>
      <c r="R54" s="177">
        <f t="shared" si="53"/>
        <v>0</v>
      </c>
      <c r="S54" s="177">
        <f t="shared" si="53"/>
        <v>0</v>
      </c>
      <c r="T54" s="177">
        <f t="shared" si="53"/>
        <v>0</v>
      </c>
      <c r="U54" s="177">
        <f t="shared" si="53"/>
        <v>0</v>
      </c>
      <c r="V54" s="177">
        <f t="shared" si="53"/>
        <v>0</v>
      </c>
      <c r="W54" s="177">
        <f t="shared" si="53"/>
        <v>0</v>
      </c>
      <c r="X54" s="177">
        <f t="shared" si="53"/>
        <v>0</v>
      </c>
      <c r="Y54" s="177">
        <f t="shared" si="53"/>
        <v>0</v>
      </c>
      <c r="Z54" s="178">
        <f t="shared" si="70"/>
        <v>0</v>
      </c>
      <c r="AA54" s="173" t="s">
        <v>2046</v>
      </c>
      <c r="AB54" s="184"/>
      <c r="AC54" s="456">
        <v>45658</v>
      </c>
      <c r="AD54" s="456">
        <v>46022</v>
      </c>
      <c r="AE54" s="462">
        <f t="shared" si="54"/>
        <v>12</v>
      </c>
      <c r="AF54" s="177">
        <f t="shared" si="71"/>
        <v>0</v>
      </c>
      <c r="AG54" s="177">
        <f t="shared" si="72"/>
        <v>0</v>
      </c>
      <c r="AH54" s="177">
        <f t="shared" si="73"/>
        <v>0</v>
      </c>
      <c r="AI54" s="177">
        <f t="shared" si="74"/>
        <v>0</v>
      </c>
      <c r="AJ54" s="177">
        <f t="shared" si="75"/>
        <v>0</v>
      </c>
      <c r="AK54" s="177">
        <f t="shared" si="76"/>
        <v>0</v>
      </c>
      <c r="AL54" s="177">
        <f t="shared" si="77"/>
        <v>0</v>
      </c>
      <c r="AM54" s="177">
        <f t="shared" si="78"/>
        <v>0</v>
      </c>
      <c r="AN54" s="177">
        <f t="shared" si="79"/>
        <v>0</v>
      </c>
      <c r="AO54" s="177">
        <f t="shared" si="80"/>
        <v>0</v>
      </c>
      <c r="AP54" s="177">
        <f t="shared" si="81"/>
        <v>0</v>
      </c>
      <c r="AQ54" s="177">
        <f t="shared" si="82"/>
        <v>0</v>
      </c>
      <c r="AR54" s="178">
        <f t="shared" si="83"/>
        <v>0</v>
      </c>
      <c r="AT54" s="177">
        <f t="shared" si="56"/>
        <v>0</v>
      </c>
      <c r="AU54" s="177">
        <f t="shared" si="57"/>
        <v>0</v>
      </c>
      <c r="AV54" s="177">
        <f t="shared" si="58"/>
        <v>0</v>
      </c>
      <c r="AW54" s="177">
        <f t="shared" si="59"/>
        <v>0</v>
      </c>
      <c r="AX54" s="177">
        <f t="shared" si="60"/>
        <v>0</v>
      </c>
      <c r="AY54" s="177">
        <f t="shared" si="61"/>
        <v>0</v>
      </c>
      <c r="AZ54" s="177">
        <f t="shared" si="62"/>
        <v>0</v>
      </c>
      <c r="BA54" s="177">
        <f t="shared" si="63"/>
        <v>0</v>
      </c>
      <c r="BB54" s="177">
        <f t="shared" si="64"/>
        <v>0</v>
      </c>
      <c r="BC54" s="177">
        <f t="shared" si="65"/>
        <v>0</v>
      </c>
      <c r="BD54" s="177">
        <f t="shared" si="66"/>
        <v>0</v>
      </c>
      <c r="BE54" s="177">
        <f t="shared" si="67"/>
        <v>0</v>
      </c>
      <c r="BF54" s="178">
        <f t="shared" si="84"/>
        <v>0</v>
      </c>
    </row>
    <row r="55" spans="1:58" ht="13.5" customHeight="1">
      <c r="A55" s="171">
        <f t="shared" si="68"/>
        <v>8</v>
      </c>
      <c r="B55" s="171" t="str">
        <f t="shared" si="85"/>
        <v>ACPLGZ</v>
      </c>
      <c r="C55" s="171"/>
      <c r="D55" s="171" t="s">
        <v>1883</v>
      </c>
      <c r="E55" s="172" t="str">
        <f t="shared" si="52"/>
        <v>Regulatory Fees</v>
      </c>
      <c r="F55" s="172"/>
      <c r="G55" s="77" t="s">
        <v>2613</v>
      </c>
      <c r="H55" s="173" t="s">
        <v>2614</v>
      </c>
      <c r="I55" s="173" t="s">
        <v>2046</v>
      </c>
      <c r="J55" s="184"/>
      <c r="K55" s="456">
        <v>45658</v>
      </c>
      <c r="L55" s="456">
        <v>46022</v>
      </c>
      <c r="M55" s="462">
        <f t="shared" si="69"/>
        <v>12</v>
      </c>
      <c r="N55" s="177">
        <f t="shared" si="53"/>
        <v>0</v>
      </c>
      <c r="O55" s="177">
        <f t="shared" si="53"/>
        <v>0</v>
      </c>
      <c r="P55" s="177">
        <f t="shared" si="53"/>
        <v>0</v>
      </c>
      <c r="Q55" s="177">
        <f t="shared" si="53"/>
        <v>0</v>
      </c>
      <c r="R55" s="177">
        <f t="shared" si="53"/>
        <v>0</v>
      </c>
      <c r="S55" s="177">
        <f t="shared" si="53"/>
        <v>0</v>
      </c>
      <c r="T55" s="177">
        <f t="shared" si="53"/>
        <v>0</v>
      </c>
      <c r="U55" s="177">
        <f t="shared" si="53"/>
        <v>0</v>
      </c>
      <c r="V55" s="177">
        <f t="shared" si="53"/>
        <v>0</v>
      </c>
      <c r="W55" s="177">
        <f t="shared" si="53"/>
        <v>0</v>
      </c>
      <c r="X55" s="177">
        <f t="shared" si="53"/>
        <v>0</v>
      </c>
      <c r="Y55" s="177">
        <f t="shared" si="53"/>
        <v>0</v>
      </c>
      <c r="Z55" s="178">
        <f t="shared" si="70"/>
        <v>0</v>
      </c>
      <c r="AA55" s="173" t="s">
        <v>2046</v>
      </c>
      <c r="AB55" s="184"/>
      <c r="AC55" s="456">
        <v>45658</v>
      </c>
      <c r="AD55" s="456">
        <v>46022</v>
      </c>
      <c r="AE55" s="462">
        <f t="shared" si="54"/>
        <v>12</v>
      </c>
      <c r="AF55" s="177">
        <f t="shared" si="71"/>
        <v>0</v>
      </c>
      <c r="AG55" s="177">
        <f t="shared" si="72"/>
        <v>0</v>
      </c>
      <c r="AH55" s="177">
        <f t="shared" si="73"/>
        <v>0</v>
      </c>
      <c r="AI55" s="177">
        <f t="shared" si="74"/>
        <v>0</v>
      </c>
      <c r="AJ55" s="177">
        <f t="shared" si="75"/>
        <v>0</v>
      </c>
      <c r="AK55" s="177">
        <f t="shared" si="76"/>
        <v>0</v>
      </c>
      <c r="AL55" s="177">
        <f t="shared" si="77"/>
        <v>0</v>
      </c>
      <c r="AM55" s="177">
        <f t="shared" si="78"/>
        <v>0</v>
      </c>
      <c r="AN55" s="177">
        <f t="shared" si="79"/>
        <v>0</v>
      </c>
      <c r="AO55" s="177">
        <f t="shared" si="80"/>
        <v>0</v>
      </c>
      <c r="AP55" s="177">
        <f t="shared" si="81"/>
        <v>0</v>
      </c>
      <c r="AQ55" s="177">
        <f t="shared" si="82"/>
        <v>0</v>
      </c>
      <c r="AR55" s="178">
        <f t="shared" si="83"/>
        <v>0</v>
      </c>
      <c r="AT55" s="177">
        <f t="shared" si="56"/>
        <v>0</v>
      </c>
      <c r="AU55" s="177">
        <f t="shared" si="57"/>
        <v>0</v>
      </c>
      <c r="AV55" s="177">
        <f t="shared" si="58"/>
        <v>0</v>
      </c>
      <c r="AW55" s="177">
        <f t="shared" si="59"/>
        <v>0</v>
      </c>
      <c r="AX55" s="177">
        <f t="shared" si="60"/>
        <v>0</v>
      </c>
      <c r="AY55" s="177">
        <f t="shared" si="61"/>
        <v>0</v>
      </c>
      <c r="AZ55" s="177">
        <f t="shared" si="62"/>
        <v>0</v>
      </c>
      <c r="BA55" s="177">
        <f t="shared" si="63"/>
        <v>0</v>
      </c>
      <c r="BB55" s="177">
        <f t="shared" si="64"/>
        <v>0</v>
      </c>
      <c r="BC55" s="177">
        <f t="shared" si="65"/>
        <v>0</v>
      </c>
      <c r="BD55" s="177">
        <f t="shared" si="66"/>
        <v>0</v>
      </c>
      <c r="BE55" s="177">
        <f t="shared" si="67"/>
        <v>0</v>
      </c>
      <c r="BF55" s="178">
        <f t="shared" si="84"/>
        <v>0</v>
      </c>
    </row>
    <row r="56" spans="1:58" ht="13.5" customHeight="1">
      <c r="A56" s="171">
        <f t="shared" si="68"/>
        <v>9</v>
      </c>
      <c r="B56" s="171" t="str">
        <f t="shared" si="85"/>
        <v>ACPLGZ</v>
      </c>
      <c r="C56" s="171"/>
      <c r="D56" s="171" t="s">
        <v>1534</v>
      </c>
      <c r="E56" s="172" t="str">
        <f t="shared" si="52"/>
        <v>Employment Agency Fee</v>
      </c>
      <c r="F56" s="172"/>
      <c r="G56" s="77" t="s">
        <v>2613</v>
      </c>
      <c r="H56" s="173" t="s">
        <v>2614</v>
      </c>
      <c r="I56" s="173" t="s">
        <v>2046</v>
      </c>
      <c r="J56" s="184"/>
      <c r="K56" s="456">
        <v>45658</v>
      </c>
      <c r="L56" s="456">
        <v>46022</v>
      </c>
      <c r="M56" s="462">
        <f t="shared" si="69"/>
        <v>12</v>
      </c>
      <c r="N56" s="177">
        <f t="shared" si="53"/>
        <v>0</v>
      </c>
      <c r="O56" s="177">
        <f t="shared" si="53"/>
        <v>0</v>
      </c>
      <c r="P56" s="177">
        <f t="shared" si="53"/>
        <v>0</v>
      </c>
      <c r="Q56" s="177">
        <f t="shared" si="53"/>
        <v>0</v>
      </c>
      <c r="R56" s="177">
        <f t="shared" si="53"/>
        <v>0</v>
      </c>
      <c r="S56" s="177">
        <f t="shared" si="53"/>
        <v>0</v>
      </c>
      <c r="T56" s="177">
        <f t="shared" si="53"/>
        <v>0</v>
      </c>
      <c r="U56" s="177">
        <f t="shared" si="53"/>
        <v>0</v>
      </c>
      <c r="V56" s="177">
        <f t="shared" si="53"/>
        <v>0</v>
      </c>
      <c r="W56" s="177">
        <f t="shared" si="53"/>
        <v>0</v>
      </c>
      <c r="X56" s="177">
        <f t="shared" si="53"/>
        <v>0</v>
      </c>
      <c r="Y56" s="177">
        <f t="shared" si="53"/>
        <v>0</v>
      </c>
      <c r="Z56" s="178">
        <f t="shared" si="70"/>
        <v>0</v>
      </c>
      <c r="AA56" s="173" t="s">
        <v>2046</v>
      </c>
      <c r="AB56" s="184"/>
      <c r="AC56" s="456">
        <v>45658</v>
      </c>
      <c r="AD56" s="456">
        <v>46022</v>
      </c>
      <c r="AE56" s="462">
        <f t="shared" si="54"/>
        <v>12</v>
      </c>
      <c r="AF56" s="177">
        <f t="shared" si="71"/>
        <v>0</v>
      </c>
      <c r="AG56" s="177">
        <f t="shared" si="72"/>
        <v>0</v>
      </c>
      <c r="AH56" s="177">
        <f t="shared" si="73"/>
        <v>0</v>
      </c>
      <c r="AI56" s="177">
        <f t="shared" si="74"/>
        <v>0</v>
      </c>
      <c r="AJ56" s="177">
        <f t="shared" si="75"/>
        <v>0</v>
      </c>
      <c r="AK56" s="177">
        <f t="shared" si="76"/>
        <v>0</v>
      </c>
      <c r="AL56" s="177">
        <f t="shared" si="77"/>
        <v>0</v>
      </c>
      <c r="AM56" s="177">
        <f t="shared" si="78"/>
        <v>0</v>
      </c>
      <c r="AN56" s="177">
        <f t="shared" si="79"/>
        <v>0</v>
      </c>
      <c r="AO56" s="177">
        <f t="shared" si="80"/>
        <v>0</v>
      </c>
      <c r="AP56" s="177">
        <f t="shared" si="81"/>
        <v>0</v>
      </c>
      <c r="AQ56" s="177">
        <f t="shared" si="82"/>
        <v>0</v>
      </c>
      <c r="AR56" s="178">
        <f t="shared" si="83"/>
        <v>0</v>
      </c>
      <c r="AT56" s="177">
        <f t="shared" si="56"/>
        <v>0</v>
      </c>
      <c r="AU56" s="177">
        <f t="shared" si="57"/>
        <v>0</v>
      </c>
      <c r="AV56" s="177">
        <f t="shared" si="58"/>
        <v>0</v>
      </c>
      <c r="AW56" s="177">
        <f t="shared" si="59"/>
        <v>0</v>
      </c>
      <c r="AX56" s="177">
        <f t="shared" si="60"/>
        <v>0</v>
      </c>
      <c r="AY56" s="177">
        <f t="shared" si="61"/>
        <v>0</v>
      </c>
      <c r="AZ56" s="177">
        <f t="shared" si="62"/>
        <v>0</v>
      </c>
      <c r="BA56" s="177">
        <f t="shared" si="63"/>
        <v>0</v>
      </c>
      <c r="BB56" s="177">
        <f t="shared" si="64"/>
        <v>0</v>
      </c>
      <c r="BC56" s="177">
        <f t="shared" si="65"/>
        <v>0</v>
      </c>
      <c r="BD56" s="177">
        <f t="shared" si="66"/>
        <v>0</v>
      </c>
      <c r="BE56" s="177">
        <f t="shared" si="67"/>
        <v>0</v>
      </c>
      <c r="BF56" s="178">
        <f t="shared" si="84"/>
        <v>0</v>
      </c>
    </row>
    <row r="57" spans="1:58" ht="13.5" customHeight="1">
      <c r="A57" s="171">
        <f t="shared" si="68"/>
        <v>10</v>
      </c>
      <c r="B57" s="171" t="str">
        <f t="shared" si="85"/>
        <v>ACPLGZ</v>
      </c>
      <c r="C57" s="171"/>
      <c r="D57" s="171" t="s">
        <v>1667</v>
      </c>
      <c r="E57" s="172" t="str">
        <f t="shared" si="52"/>
        <v>IT Professional &amp; MS Services</v>
      </c>
      <c r="F57" s="172"/>
      <c r="G57" s="77" t="s">
        <v>2613</v>
      </c>
      <c r="H57" s="173" t="s">
        <v>2614</v>
      </c>
      <c r="I57" s="173" t="s">
        <v>2046</v>
      </c>
      <c r="J57" s="184"/>
      <c r="K57" s="456">
        <v>45748</v>
      </c>
      <c r="L57" s="456">
        <v>45777</v>
      </c>
      <c r="M57" s="462">
        <f t="shared" si="69"/>
        <v>1</v>
      </c>
      <c r="N57" s="177">
        <f t="shared" si="53"/>
        <v>0</v>
      </c>
      <c r="O57" s="177">
        <f t="shared" si="53"/>
        <v>0</v>
      </c>
      <c r="P57" s="177">
        <f t="shared" si="53"/>
        <v>0</v>
      </c>
      <c r="Q57" s="177">
        <f t="shared" si="53"/>
        <v>0</v>
      </c>
      <c r="R57" s="177">
        <f t="shared" si="53"/>
        <v>0</v>
      </c>
      <c r="S57" s="177">
        <f t="shared" si="53"/>
        <v>0</v>
      </c>
      <c r="T57" s="177">
        <f t="shared" si="53"/>
        <v>0</v>
      </c>
      <c r="U57" s="177">
        <f t="shared" si="53"/>
        <v>0</v>
      </c>
      <c r="V57" s="177">
        <f t="shared" si="53"/>
        <v>0</v>
      </c>
      <c r="W57" s="177">
        <f t="shared" si="53"/>
        <v>0</v>
      </c>
      <c r="X57" s="177">
        <f t="shared" si="53"/>
        <v>0</v>
      </c>
      <c r="Y57" s="177">
        <f t="shared" si="53"/>
        <v>0</v>
      </c>
      <c r="Z57" s="178">
        <f t="shared" si="70"/>
        <v>0</v>
      </c>
      <c r="AA57" s="173" t="s">
        <v>2046</v>
      </c>
      <c r="AB57" s="184"/>
      <c r="AC57" s="456">
        <v>45748</v>
      </c>
      <c r="AD57" s="456">
        <v>45777</v>
      </c>
      <c r="AE57" s="462">
        <f t="shared" si="54"/>
        <v>1</v>
      </c>
      <c r="AF57" s="177">
        <f t="shared" si="71"/>
        <v>0</v>
      </c>
      <c r="AG57" s="177">
        <f t="shared" si="72"/>
        <v>0</v>
      </c>
      <c r="AH57" s="177">
        <f t="shared" si="73"/>
        <v>0</v>
      </c>
      <c r="AI57" s="177">
        <f t="shared" si="74"/>
        <v>0</v>
      </c>
      <c r="AJ57" s="177">
        <f t="shared" si="75"/>
        <v>0</v>
      </c>
      <c r="AK57" s="177">
        <f t="shared" si="76"/>
        <v>0</v>
      </c>
      <c r="AL57" s="177">
        <f t="shared" si="77"/>
        <v>0</v>
      </c>
      <c r="AM57" s="177">
        <f t="shared" si="78"/>
        <v>0</v>
      </c>
      <c r="AN57" s="177">
        <f t="shared" si="79"/>
        <v>0</v>
      </c>
      <c r="AO57" s="177">
        <f t="shared" si="80"/>
        <v>0</v>
      </c>
      <c r="AP57" s="177">
        <f t="shared" si="81"/>
        <v>0</v>
      </c>
      <c r="AQ57" s="177">
        <f t="shared" si="82"/>
        <v>0</v>
      </c>
      <c r="AR57" s="178">
        <f t="shared" si="83"/>
        <v>0</v>
      </c>
      <c r="AT57" s="177">
        <f t="shared" si="56"/>
        <v>0</v>
      </c>
      <c r="AU57" s="177">
        <f t="shared" si="57"/>
        <v>0</v>
      </c>
      <c r="AV57" s="177">
        <f t="shared" si="58"/>
        <v>0</v>
      </c>
      <c r="AW57" s="177">
        <f t="shared" si="59"/>
        <v>0</v>
      </c>
      <c r="AX57" s="177">
        <f t="shared" si="60"/>
        <v>0</v>
      </c>
      <c r="AY57" s="177">
        <f t="shared" si="61"/>
        <v>0</v>
      </c>
      <c r="AZ57" s="177">
        <f t="shared" si="62"/>
        <v>0</v>
      </c>
      <c r="BA57" s="177">
        <f t="shared" si="63"/>
        <v>0</v>
      </c>
      <c r="BB57" s="177">
        <f t="shared" si="64"/>
        <v>0</v>
      </c>
      <c r="BC57" s="177">
        <f t="shared" si="65"/>
        <v>0</v>
      </c>
      <c r="BD57" s="177">
        <f t="shared" si="66"/>
        <v>0</v>
      </c>
      <c r="BE57" s="177">
        <f t="shared" si="67"/>
        <v>0</v>
      </c>
      <c r="BF57" s="178">
        <f t="shared" si="84"/>
        <v>0</v>
      </c>
    </row>
    <row r="58" spans="1:58" ht="13.5" customHeight="1">
      <c r="A58" s="171">
        <f t="shared" si="68"/>
        <v>11</v>
      </c>
      <c r="B58" s="171" t="str">
        <f t="shared" si="85"/>
        <v>ACPLGZ</v>
      </c>
      <c r="C58" s="171"/>
      <c r="D58" s="171" t="s">
        <v>1662</v>
      </c>
      <c r="E58" s="172" t="str">
        <f t="shared" si="52"/>
        <v>IT Professional &amp; MS Services</v>
      </c>
      <c r="F58" s="172"/>
      <c r="G58" s="77" t="s">
        <v>2613</v>
      </c>
      <c r="H58" s="173" t="s">
        <v>2614</v>
      </c>
      <c r="I58" s="173" t="s">
        <v>2046</v>
      </c>
      <c r="J58" s="184"/>
      <c r="K58" s="456">
        <v>45809</v>
      </c>
      <c r="L58" s="456">
        <v>45838</v>
      </c>
      <c r="M58" s="462">
        <f t="shared" si="69"/>
        <v>1</v>
      </c>
      <c r="N58" s="177">
        <f t="shared" ref="N58:Y64" si="86">IF(AND($K58&lt;=N$3,N$3&lt;=$L58),$J58/$M58,0)</f>
        <v>0</v>
      </c>
      <c r="O58" s="177">
        <f t="shared" si="86"/>
        <v>0</v>
      </c>
      <c r="P58" s="177">
        <f t="shared" si="86"/>
        <v>0</v>
      </c>
      <c r="Q58" s="177">
        <f t="shared" si="86"/>
        <v>0</v>
      </c>
      <c r="R58" s="177">
        <f t="shared" si="86"/>
        <v>0</v>
      </c>
      <c r="S58" s="177">
        <f t="shared" si="86"/>
        <v>0</v>
      </c>
      <c r="T58" s="177">
        <f t="shared" si="86"/>
        <v>0</v>
      </c>
      <c r="U58" s="177">
        <f t="shared" si="86"/>
        <v>0</v>
      </c>
      <c r="V58" s="177">
        <f t="shared" si="86"/>
        <v>0</v>
      </c>
      <c r="W58" s="177">
        <f t="shared" si="86"/>
        <v>0</v>
      </c>
      <c r="X58" s="177">
        <f t="shared" si="86"/>
        <v>0</v>
      </c>
      <c r="Y58" s="177">
        <f t="shared" si="86"/>
        <v>0</v>
      </c>
      <c r="Z58" s="178">
        <f t="shared" si="70"/>
        <v>0</v>
      </c>
      <c r="AA58" s="173" t="s">
        <v>2046</v>
      </c>
      <c r="AB58" s="184"/>
      <c r="AC58" s="456">
        <v>45809</v>
      </c>
      <c r="AD58" s="456">
        <v>45838</v>
      </c>
      <c r="AE58" s="462">
        <f t="shared" si="54"/>
        <v>1</v>
      </c>
      <c r="AF58" s="177">
        <f t="shared" si="71"/>
        <v>0</v>
      </c>
      <c r="AG58" s="177">
        <f t="shared" si="72"/>
        <v>0</v>
      </c>
      <c r="AH58" s="177">
        <f t="shared" si="73"/>
        <v>0</v>
      </c>
      <c r="AI58" s="177">
        <f t="shared" si="74"/>
        <v>0</v>
      </c>
      <c r="AJ58" s="177">
        <f t="shared" si="75"/>
        <v>0</v>
      </c>
      <c r="AK58" s="177">
        <f t="shared" si="76"/>
        <v>0</v>
      </c>
      <c r="AL58" s="177">
        <f t="shared" si="77"/>
        <v>0</v>
      </c>
      <c r="AM58" s="177">
        <f t="shared" si="78"/>
        <v>0</v>
      </c>
      <c r="AN58" s="177">
        <f t="shared" si="79"/>
        <v>0</v>
      </c>
      <c r="AO58" s="177">
        <f t="shared" si="80"/>
        <v>0</v>
      </c>
      <c r="AP58" s="177">
        <f t="shared" si="81"/>
        <v>0</v>
      </c>
      <c r="AQ58" s="177">
        <f t="shared" si="82"/>
        <v>0</v>
      </c>
      <c r="AR58" s="178">
        <f t="shared" si="83"/>
        <v>0</v>
      </c>
      <c r="AT58" s="177">
        <f t="shared" si="56"/>
        <v>0</v>
      </c>
      <c r="AU58" s="177">
        <f t="shared" si="57"/>
        <v>0</v>
      </c>
      <c r="AV58" s="177">
        <f t="shared" si="58"/>
        <v>0</v>
      </c>
      <c r="AW58" s="177">
        <f t="shared" si="59"/>
        <v>0</v>
      </c>
      <c r="AX58" s="177">
        <f t="shared" si="60"/>
        <v>0</v>
      </c>
      <c r="AY58" s="177">
        <f t="shared" si="61"/>
        <v>0</v>
      </c>
      <c r="AZ58" s="177">
        <f t="shared" si="62"/>
        <v>0</v>
      </c>
      <c r="BA58" s="177">
        <f t="shared" si="63"/>
        <v>0</v>
      </c>
      <c r="BB58" s="177">
        <f t="shared" si="64"/>
        <v>0</v>
      </c>
      <c r="BC58" s="177">
        <f t="shared" si="65"/>
        <v>0</v>
      </c>
      <c r="BD58" s="177">
        <f t="shared" si="66"/>
        <v>0</v>
      </c>
      <c r="BE58" s="177">
        <f t="shared" si="67"/>
        <v>0</v>
      </c>
      <c r="BF58" s="178">
        <f t="shared" si="84"/>
        <v>0</v>
      </c>
    </row>
    <row r="59" spans="1:58" ht="13.5" customHeight="1">
      <c r="A59" s="171">
        <f t="shared" si="68"/>
        <v>12</v>
      </c>
      <c r="B59" s="171" t="str">
        <f t="shared" si="85"/>
        <v>ACPLGZ</v>
      </c>
      <c r="C59" s="171"/>
      <c r="D59" s="171" t="s">
        <v>1667</v>
      </c>
      <c r="E59" s="172" t="str">
        <f t="shared" si="52"/>
        <v>IT Professional &amp; MS Services</v>
      </c>
      <c r="F59" s="172"/>
      <c r="G59" s="77" t="s">
        <v>2613</v>
      </c>
      <c r="H59" s="173" t="s">
        <v>2614</v>
      </c>
      <c r="I59" s="173" t="s">
        <v>2046</v>
      </c>
      <c r="J59" s="184"/>
      <c r="K59" s="456">
        <v>45809</v>
      </c>
      <c r="L59" s="456">
        <v>45838</v>
      </c>
      <c r="M59" s="462">
        <f t="shared" si="69"/>
        <v>1</v>
      </c>
      <c r="N59" s="177">
        <f t="shared" si="86"/>
        <v>0</v>
      </c>
      <c r="O59" s="177">
        <f t="shared" si="86"/>
        <v>0</v>
      </c>
      <c r="P59" s="177">
        <f t="shared" si="86"/>
        <v>0</v>
      </c>
      <c r="Q59" s="177">
        <f t="shared" si="86"/>
        <v>0</v>
      </c>
      <c r="R59" s="177">
        <f t="shared" si="86"/>
        <v>0</v>
      </c>
      <c r="S59" s="177">
        <f t="shared" si="86"/>
        <v>0</v>
      </c>
      <c r="T59" s="177">
        <f t="shared" si="86"/>
        <v>0</v>
      </c>
      <c r="U59" s="177">
        <f t="shared" si="86"/>
        <v>0</v>
      </c>
      <c r="V59" s="177">
        <f t="shared" si="86"/>
        <v>0</v>
      </c>
      <c r="W59" s="177">
        <f t="shared" si="86"/>
        <v>0</v>
      </c>
      <c r="X59" s="177">
        <f t="shared" si="86"/>
        <v>0</v>
      </c>
      <c r="Y59" s="177">
        <f t="shared" si="86"/>
        <v>0</v>
      </c>
      <c r="Z59" s="178">
        <f t="shared" si="70"/>
        <v>0</v>
      </c>
      <c r="AA59" s="173" t="s">
        <v>2046</v>
      </c>
      <c r="AB59" s="184"/>
      <c r="AC59" s="456">
        <v>45809</v>
      </c>
      <c r="AD59" s="456">
        <v>45838</v>
      </c>
      <c r="AE59" s="462">
        <f t="shared" si="54"/>
        <v>1</v>
      </c>
      <c r="AF59" s="177">
        <f t="shared" si="71"/>
        <v>0</v>
      </c>
      <c r="AG59" s="177">
        <f t="shared" si="72"/>
        <v>0</v>
      </c>
      <c r="AH59" s="177">
        <f t="shared" si="73"/>
        <v>0</v>
      </c>
      <c r="AI59" s="177">
        <f t="shared" si="74"/>
        <v>0</v>
      </c>
      <c r="AJ59" s="177">
        <f t="shared" si="75"/>
        <v>0</v>
      </c>
      <c r="AK59" s="177">
        <f t="shared" si="76"/>
        <v>0</v>
      </c>
      <c r="AL59" s="177">
        <f t="shared" si="77"/>
        <v>0</v>
      </c>
      <c r="AM59" s="177">
        <f t="shared" si="78"/>
        <v>0</v>
      </c>
      <c r="AN59" s="177">
        <f t="shared" si="79"/>
        <v>0</v>
      </c>
      <c r="AO59" s="177">
        <f t="shared" si="80"/>
        <v>0</v>
      </c>
      <c r="AP59" s="177">
        <f t="shared" si="81"/>
        <v>0</v>
      </c>
      <c r="AQ59" s="177">
        <f t="shared" si="82"/>
        <v>0</v>
      </c>
      <c r="AR59" s="178">
        <f t="shared" si="83"/>
        <v>0</v>
      </c>
      <c r="AT59" s="177">
        <f t="shared" si="56"/>
        <v>0</v>
      </c>
      <c r="AU59" s="177">
        <f t="shared" si="57"/>
        <v>0</v>
      </c>
      <c r="AV59" s="177">
        <f t="shared" si="58"/>
        <v>0</v>
      </c>
      <c r="AW59" s="177">
        <f t="shared" si="59"/>
        <v>0</v>
      </c>
      <c r="AX59" s="177">
        <f t="shared" si="60"/>
        <v>0</v>
      </c>
      <c r="AY59" s="177">
        <f t="shared" si="61"/>
        <v>0</v>
      </c>
      <c r="AZ59" s="177">
        <f t="shared" si="62"/>
        <v>0</v>
      </c>
      <c r="BA59" s="177">
        <f t="shared" si="63"/>
        <v>0</v>
      </c>
      <c r="BB59" s="177">
        <f t="shared" si="64"/>
        <v>0</v>
      </c>
      <c r="BC59" s="177">
        <f t="shared" si="65"/>
        <v>0</v>
      </c>
      <c r="BD59" s="177">
        <f t="shared" si="66"/>
        <v>0</v>
      </c>
      <c r="BE59" s="177">
        <f t="shared" si="67"/>
        <v>0</v>
      </c>
      <c r="BF59" s="178">
        <f t="shared" si="84"/>
        <v>0</v>
      </c>
    </row>
    <row r="60" spans="1:58" ht="13.5" customHeight="1">
      <c r="A60" s="171">
        <f t="shared" si="68"/>
        <v>13</v>
      </c>
      <c r="B60" s="171" t="str">
        <f t="shared" si="85"/>
        <v>ACPLGZ</v>
      </c>
      <c r="C60" s="171"/>
      <c r="D60" s="171"/>
      <c r="E60" s="172" t="str">
        <f t="shared" si="52"/>
        <v>Capital Verification Fees</v>
      </c>
      <c r="F60" s="172"/>
      <c r="G60" s="77" t="s">
        <v>2613</v>
      </c>
      <c r="H60" s="173" t="s">
        <v>2614</v>
      </c>
      <c r="I60" s="173" t="s">
        <v>2046</v>
      </c>
      <c r="J60" s="184"/>
      <c r="K60" s="456">
        <v>45658</v>
      </c>
      <c r="L60" s="456">
        <v>46022</v>
      </c>
      <c r="M60" s="462">
        <f t="shared" si="69"/>
        <v>12</v>
      </c>
      <c r="N60" s="177">
        <f t="shared" si="86"/>
        <v>0</v>
      </c>
      <c r="O60" s="177">
        <f t="shared" si="86"/>
        <v>0</v>
      </c>
      <c r="P60" s="177">
        <f t="shared" si="86"/>
        <v>0</v>
      </c>
      <c r="Q60" s="177">
        <f t="shared" si="86"/>
        <v>0</v>
      </c>
      <c r="R60" s="177">
        <f t="shared" si="86"/>
        <v>0</v>
      </c>
      <c r="S60" s="177">
        <f t="shared" si="86"/>
        <v>0</v>
      </c>
      <c r="T60" s="177">
        <f t="shared" si="86"/>
        <v>0</v>
      </c>
      <c r="U60" s="177">
        <f t="shared" si="86"/>
        <v>0</v>
      </c>
      <c r="V60" s="177">
        <f t="shared" si="86"/>
        <v>0</v>
      </c>
      <c r="W60" s="177">
        <f t="shared" si="86"/>
        <v>0</v>
      </c>
      <c r="X60" s="177">
        <f t="shared" si="86"/>
        <v>0</v>
      </c>
      <c r="Y60" s="177">
        <f t="shared" si="86"/>
        <v>0</v>
      </c>
      <c r="Z60" s="178">
        <f t="shared" si="70"/>
        <v>0</v>
      </c>
      <c r="AA60" s="173" t="s">
        <v>2046</v>
      </c>
      <c r="AB60" s="184"/>
      <c r="AC60" s="456">
        <v>45658</v>
      </c>
      <c r="AD60" s="456">
        <v>46022</v>
      </c>
      <c r="AE60" s="462">
        <f t="shared" si="54"/>
        <v>12</v>
      </c>
      <c r="AF60" s="177">
        <f t="shared" si="71"/>
        <v>0</v>
      </c>
      <c r="AG60" s="177">
        <f t="shared" si="72"/>
        <v>0</v>
      </c>
      <c r="AH60" s="177">
        <f t="shared" si="73"/>
        <v>0</v>
      </c>
      <c r="AI60" s="177">
        <f t="shared" si="74"/>
        <v>0</v>
      </c>
      <c r="AJ60" s="177">
        <f t="shared" si="75"/>
        <v>0</v>
      </c>
      <c r="AK60" s="177">
        <f t="shared" si="76"/>
        <v>0</v>
      </c>
      <c r="AL60" s="177">
        <f t="shared" si="77"/>
        <v>0</v>
      </c>
      <c r="AM60" s="177">
        <f t="shared" si="78"/>
        <v>0</v>
      </c>
      <c r="AN60" s="177">
        <f t="shared" si="79"/>
        <v>0</v>
      </c>
      <c r="AO60" s="177">
        <f t="shared" si="80"/>
        <v>0</v>
      </c>
      <c r="AP60" s="177">
        <f t="shared" si="81"/>
        <v>0</v>
      </c>
      <c r="AQ60" s="177">
        <f t="shared" si="82"/>
        <v>0</v>
      </c>
      <c r="AR60" s="178">
        <f t="shared" si="83"/>
        <v>0</v>
      </c>
      <c r="AT60" s="177">
        <f t="shared" si="56"/>
        <v>0</v>
      </c>
      <c r="AU60" s="177">
        <f t="shared" si="57"/>
        <v>0</v>
      </c>
      <c r="AV60" s="177">
        <f t="shared" si="58"/>
        <v>0</v>
      </c>
      <c r="AW60" s="177">
        <f t="shared" si="59"/>
        <v>0</v>
      </c>
      <c r="AX60" s="177">
        <f t="shared" si="60"/>
        <v>0</v>
      </c>
      <c r="AY60" s="177">
        <f t="shared" si="61"/>
        <v>0</v>
      </c>
      <c r="AZ60" s="177">
        <f t="shared" si="62"/>
        <v>0</v>
      </c>
      <c r="BA60" s="177">
        <f t="shared" si="63"/>
        <v>0</v>
      </c>
      <c r="BB60" s="177">
        <f t="shared" si="64"/>
        <v>0</v>
      </c>
      <c r="BC60" s="177">
        <f t="shared" si="65"/>
        <v>0</v>
      </c>
      <c r="BD60" s="177">
        <f t="shared" si="66"/>
        <v>0</v>
      </c>
      <c r="BE60" s="177">
        <f t="shared" si="67"/>
        <v>0</v>
      </c>
      <c r="BF60" s="178">
        <f t="shared" si="84"/>
        <v>0</v>
      </c>
    </row>
    <row r="61" spans="1:58" ht="13.5" customHeight="1">
      <c r="A61" s="171">
        <f t="shared" si="68"/>
        <v>14</v>
      </c>
      <c r="B61" s="171" t="str">
        <f t="shared" si="85"/>
        <v>ACPLGZ</v>
      </c>
      <c r="C61" s="171"/>
      <c r="D61" s="171"/>
      <c r="E61" s="172" t="str">
        <f t="shared" si="52"/>
        <v>Industry Research Fee</v>
      </c>
      <c r="F61" s="172"/>
      <c r="G61" s="77" t="s">
        <v>2613</v>
      </c>
      <c r="H61" s="173" t="s">
        <v>2614</v>
      </c>
      <c r="I61" s="173" t="s">
        <v>2046</v>
      </c>
      <c r="J61" s="184"/>
      <c r="K61" s="456">
        <v>45658</v>
      </c>
      <c r="L61" s="456">
        <v>46022</v>
      </c>
      <c r="M61" s="462">
        <f t="shared" si="69"/>
        <v>12</v>
      </c>
      <c r="N61" s="177">
        <f t="shared" si="86"/>
        <v>0</v>
      </c>
      <c r="O61" s="177">
        <f t="shared" si="86"/>
        <v>0</v>
      </c>
      <c r="P61" s="177">
        <f t="shared" si="86"/>
        <v>0</v>
      </c>
      <c r="Q61" s="177">
        <f t="shared" si="86"/>
        <v>0</v>
      </c>
      <c r="R61" s="177">
        <f t="shared" si="86"/>
        <v>0</v>
      </c>
      <c r="S61" s="177">
        <f t="shared" si="86"/>
        <v>0</v>
      </c>
      <c r="T61" s="177">
        <f t="shared" si="86"/>
        <v>0</v>
      </c>
      <c r="U61" s="177">
        <f t="shared" si="86"/>
        <v>0</v>
      </c>
      <c r="V61" s="177">
        <f t="shared" si="86"/>
        <v>0</v>
      </c>
      <c r="W61" s="177">
        <f t="shared" si="86"/>
        <v>0</v>
      </c>
      <c r="X61" s="177">
        <f t="shared" si="86"/>
        <v>0</v>
      </c>
      <c r="Y61" s="177">
        <f t="shared" si="86"/>
        <v>0</v>
      </c>
      <c r="Z61" s="178">
        <f t="shared" si="70"/>
        <v>0</v>
      </c>
      <c r="AA61" s="173" t="s">
        <v>2046</v>
      </c>
      <c r="AB61" s="184"/>
      <c r="AC61" s="456">
        <v>45658</v>
      </c>
      <c r="AD61" s="456">
        <v>46022</v>
      </c>
      <c r="AE61" s="462">
        <f t="shared" si="54"/>
        <v>12</v>
      </c>
      <c r="AF61" s="177">
        <f t="shared" si="71"/>
        <v>0</v>
      </c>
      <c r="AG61" s="177">
        <f t="shared" si="72"/>
        <v>0</v>
      </c>
      <c r="AH61" s="177">
        <f t="shared" si="73"/>
        <v>0</v>
      </c>
      <c r="AI61" s="177">
        <f t="shared" si="74"/>
        <v>0</v>
      </c>
      <c r="AJ61" s="177">
        <f t="shared" si="75"/>
        <v>0</v>
      </c>
      <c r="AK61" s="177">
        <f t="shared" si="76"/>
        <v>0</v>
      </c>
      <c r="AL61" s="177">
        <f t="shared" si="77"/>
        <v>0</v>
      </c>
      <c r="AM61" s="177">
        <f t="shared" si="78"/>
        <v>0</v>
      </c>
      <c r="AN61" s="177">
        <f t="shared" si="79"/>
        <v>0</v>
      </c>
      <c r="AO61" s="177">
        <f t="shared" si="80"/>
        <v>0</v>
      </c>
      <c r="AP61" s="177">
        <f t="shared" si="81"/>
        <v>0</v>
      </c>
      <c r="AQ61" s="177">
        <f t="shared" si="82"/>
        <v>0</v>
      </c>
      <c r="AR61" s="178">
        <f t="shared" si="83"/>
        <v>0</v>
      </c>
      <c r="AT61" s="177">
        <f t="shared" si="56"/>
        <v>0</v>
      </c>
      <c r="AU61" s="177">
        <f t="shared" si="57"/>
        <v>0</v>
      </c>
      <c r="AV61" s="177">
        <f t="shared" si="58"/>
        <v>0</v>
      </c>
      <c r="AW61" s="177">
        <f t="shared" si="59"/>
        <v>0</v>
      </c>
      <c r="AX61" s="177">
        <f t="shared" si="60"/>
        <v>0</v>
      </c>
      <c r="AY61" s="177">
        <f t="shared" si="61"/>
        <v>0</v>
      </c>
      <c r="AZ61" s="177">
        <f t="shared" si="62"/>
        <v>0</v>
      </c>
      <c r="BA61" s="177">
        <f t="shared" si="63"/>
        <v>0</v>
      </c>
      <c r="BB61" s="177">
        <f t="shared" si="64"/>
        <v>0</v>
      </c>
      <c r="BC61" s="177">
        <f t="shared" si="65"/>
        <v>0</v>
      </c>
      <c r="BD61" s="177">
        <f t="shared" si="66"/>
        <v>0</v>
      </c>
      <c r="BE61" s="177">
        <f t="shared" si="67"/>
        <v>0</v>
      </c>
      <c r="BF61" s="178">
        <f t="shared" si="84"/>
        <v>0</v>
      </c>
    </row>
    <row r="62" spans="1:58" ht="15" customHeight="1">
      <c r="A62" s="171">
        <f t="shared" si="68"/>
        <v>15</v>
      </c>
      <c r="B62" s="171" t="str">
        <f t="shared" si="85"/>
        <v>ACPLGZ</v>
      </c>
      <c r="C62" s="171"/>
      <c r="D62" s="171"/>
      <c r="E62" s="172" t="str">
        <f t="shared" si="52"/>
        <v>Project Due Diligence Fee</v>
      </c>
      <c r="F62" s="172"/>
      <c r="G62" s="77" t="s">
        <v>2613</v>
      </c>
      <c r="H62" s="173" t="s">
        <v>2614</v>
      </c>
      <c r="I62" s="173" t="s">
        <v>2046</v>
      </c>
      <c r="J62" s="184"/>
      <c r="K62" s="456">
        <v>45658</v>
      </c>
      <c r="L62" s="456">
        <v>46022</v>
      </c>
      <c r="M62" s="462">
        <f t="shared" si="69"/>
        <v>12</v>
      </c>
      <c r="N62" s="177">
        <f t="shared" si="86"/>
        <v>0</v>
      </c>
      <c r="O62" s="177">
        <f t="shared" si="86"/>
        <v>0</v>
      </c>
      <c r="P62" s="177">
        <f t="shared" si="86"/>
        <v>0</v>
      </c>
      <c r="Q62" s="177">
        <f t="shared" si="86"/>
        <v>0</v>
      </c>
      <c r="R62" s="177">
        <f t="shared" si="86"/>
        <v>0</v>
      </c>
      <c r="S62" s="177">
        <f t="shared" si="86"/>
        <v>0</v>
      </c>
      <c r="T62" s="177">
        <f t="shared" si="86"/>
        <v>0</v>
      </c>
      <c r="U62" s="177">
        <f t="shared" si="86"/>
        <v>0</v>
      </c>
      <c r="V62" s="177">
        <f t="shared" si="86"/>
        <v>0</v>
      </c>
      <c r="W62" s="177">
        <f t="shared" si="86"/>
        <v>0</v>
      </c>
      <c r="X62" s="177">
        <f t="shared" si="86"/>
        <v>0</v>
      </c>
      <c r="Y62" s="177">
        <f t="shared" si="86"/>
        <v>0</v>
      </c>
      <c r="Z62" s="178">
        <f t="shared" si="70"/>
        <v>0</v>
      </c>
      <c r="AA62" s="173" t="s">
        <v>2046</v>
      </c>
      <c r="AB62" s="184"/>
      <c r="AC62" s="456">
        <v>45658</v>
      </c>
      <c r="AD62" s="456">
        <v>46022</v>
      </c>
      <c r="AE62" s="462">
        <f t="shared" si="54"/>
        <v>12</v>
      </c>
      <c r="AF62" s="177">
        <f t="shared" si="71"/>
        <v>0</v>
      </c>
      <c r="AG62" s="177">
        <f t="shared" si="72"/>
        <v>0</v>
      </c>
      <c r="AH62" s="177">
        <f t="shared" si="73"/>
        <v>0</v>
      </c>
      <c r="AI62" s="177">
        <f t="shared" si="74"/>
        <v>0</v>
      </c>
      <c r="AJ62" s="177">
        <f t="shared" si="75"/>
        <v>0</v>
      </c>
      <c r="AK62" s="177">
        <f t="shared" si="76"/>
        <v>0</v>
      </c>
      <c r="AL62" s="177">
        <f t="shared" si="77"/>
        <v>0</v>
      </c>
      <c r="AM62" s="177">
        <f t="shared" si="78"/>
        <v>0</v>
      </c>
      <c r="AN62" s="177">
        <f t="shared" si="79"/>
        <v>0</v>
      </c>
      <c r="AO62" s="177">
        <f t="shared" si="80"/>
        <v>0</v>
      </c>
      <c r="AP62" s="177">
        <f t="shared" si="81"/>
        <v>0</v>
      </c>
      <c r="AQ62" s="177">
        <f t="shared" si="82"/>
        <v>0</v>
      </c>
      <c r="AR62" s="178">
        <f t="shared" si="83"/>
        <v>0</v>
      </c>
      <c r="AT62" s="177">
        <f t="shared" si="56"/>
        <v>0</v>
      </c>
      <c r="AU62" s="177">
        <f t="shared" si="57"/>
        <v>0</v>
      </c>
      <c r="AV62" s="177">
        <f t="shared" si="58"/>
        <v>0</v>
      </c>
      <c r="AW62" s="177">
        <f t="shared" si="59"/>
        <v>0</v>
      </c>
      <c r="AX62" s="177">
        <f t="shared" si="60"/>
        <v>0</v>
      </c>
      <c r="AY62" s="177">
        <f t="shared" si="61"/>
        <v>0</v>
      </c>
      <c r="AZ62" s="177">
        <f t="shared" si="62"/>
        <v>0</v>
      </c>
      <c r="BA62" s="177">
        <f t="shared" si="63"/>
        <v>0</v>
      </c>
      <c r="BB62" s="177">
        <f t="shared" si="64"/>
        <v>0</v>
      </c>
      <c r="BC62" s="177">
        <f t="shared" si="65"/>
        <v>0</v>
      </c>
      <c r="BD62" s="177">
        <f t="shared" si="66"/>
        <v>0</v>
      </c>
      <c r="BE62" s="177">
        <f t="shared" si="67"/>
        <v>0</v>
      </c>
      <c r="BF62" s="178">
        <f t="shared" si="84"/>
        <v>0</v>
      </c>
    </row>
    <row r="63" spans="1:58" ht="15" customHeight="1">
      <c r="A63" s="171">
        <f t="shared" si="68"/>
        <v>16</v>
      </c>
      <c r="B63" s="171" t="str">
        <f t="shared" si="85"/>
        <v>ACPLGZ</v>
      </c>
      <c r="C63" s="171"/>
      <c r="D63" s="171" t="s">
        <v>1539</v>
      </c>
      <c r="E63" s="172" t="str">
        <f t="shared" si="52"/>
        <v>Legal Fees</v>
      </c>
      <c r="F63" s="172"/>
      <c r="G63" s="77" t="s">
        <v>2613</v>
      </c>
      <c r="H63" s="173" t="s">
        <v>2614</v>
      </c>
      <c r="I63" s="173" t="s">
        <v>2046</v>
      </c>
      <c r="J63" s="184"/>
      <c r="K63" s="456">
        <v>45658</v>
      </c>
      <c r="L63" s="456">
        <v>46022</v>
      </c>
      <c r="M63" s="462">
        <f t="shared" si="69"/>
        <v>12</v>
      </c>
      <c r="N63" s="177">
        <f t="shared" si="86"/>
        <v>0</v>
      </c>
      <c r="O63" s="177">
        <f t="shared" si="86"/>
        <v>0</v>
      </c>
      <c r="P63" s="177">
        <f t="shared" si="86"/>
        <v>0</v>
      </c>
      <c r="Q63" s="177">
        <f t="shared" si="86"/>
        <v>0</v>
      </c>
      <c r="R63" s="177">
        <f t="shared" si="86"/>
        <v>0</v>
      </c>
      <c r="S63" s="177">
        <f t="shared" si="86"/>
        <v>0</v>
      </c>
      <c r="T63" s="177">
        <f t="shared" si="86"/>
        <v>0</v>
      </c>
      <c r="U63" s="177">
        <f t="shared" si="86"/>
        <v>0</v>
      </c>
      <c r="V63" s="177">
        <f t="shared" si="86"/>
        <v>0</v>
      </c>
      <c r="W63" s="177">
        <f t="shared" si="86"/>
        <v>0</v>
      </c>
      <c r="X63" s="177">
        <f t="shared" si="86"/>
        <v>0</v>
      </c>
      <c r="Y63" s="177">
        <f t="shared" si="86"/>
        <v>0</v>
      </c>
      <c r="Z63" s="178">
        <f t="shared" si="70"/>
        <v>0</v>
      </c>
      <c r="AA63" s="173" t="s">
        <v>2046</v>
      </c>
      <c r="AB63" s="184"/>
      <c r="AC63" s="456">
        <v>45658</v>
      </c>
      <c r="AD63" s="456">
        <v>46022</v>
      </c>
      <c r="AE63" s="462">
        <f t="shared" si="54"/>
        <v>12</v>
      </c>
      <c r="AF63" s="177">
        <f t="shared" si="71"/>
        <v>0</v>
      </c>
      <c r="AG63" s="177">
        <f t="shared" si="72"/>
        <v>0</v>
      </c>
      <c r="AH63" s="177">
        <f t="shared" si="73"/>
        <v>0</v>
      </c>
      <c r="AI63" s="177">
        <f t="shared" si="74"/>
        <v>0</v>
      </c>
      <c r="AJ63" s="177">
        <f t="shared" si="75"/>
        <v>0</v>
      </c>
      <c r="AK63" s="177">
        <f t="shared" si="76"/>
        <v>0</v>
      </c>
      <c r="AL63" s="177">
        <f t="shared" si="77"/>
        <v>0</v>
      </c>
      <c r="AM63" s="177">
        <f t="shared" si="78"/>
        <v>0</v>
      </c>
      <c r="AN63" s="177">
        <f t="shared" si="79"/>
        <v>0</v>
      </c>
      <c r="AO63" s="177">
        <f t="shared" si="80"/>
        <v>0</v>
      </c>
      <c r="AP63" s="177">
        <f t="shared" si="81"/>
        <v>0</v>
      </c>
      <c r="AQ63" s="177">
        <f t="shared" si="82"/>
        <v>0</v>
      </c>
      <c r="AR63" s="178">
        <f t="shared" si="83"/>
        <v>0</v>
      </c>
      <c r="AT63" s="177">
        <f t="shared" si="56"/>
        <v>0</v>
      </c>
      <c r="AU63" s="177">
        <f t="shared" si="57"/>
        <v>0</v>
      </c>
      <c r="AV63" s="177">
        <f t="shared" si="58"/>
        <v>0</v>
      </c>
      <c r="AW63" s="177">
        <f t="shared" si="59"/>
        <v>0</v>
      </c>
      <c r="AX63" s="177">
        <f t="shared" si="60"/>
        <v>0</v>
      </c>
      <c r="AY63" s="177">
        <f t="shared" si="61"/>
        <v>0</v>
      </c>
      <c r="AZ63" s="177">
        <f t="shared" si="62"/>
        <v>0</v>
      </c>
      <c r="BA63" s="177">
        <f t="shared" si="63"/>
        <v>0</v>
      </c>
      <c r="BB63" s="177">
        <f t="shared" si="64"/>
        <v>0</v>
      </c>
      <c r="BC63" s="177">
        <f t="shared" si="65"/>
        <v>0</v>
      </c>
      <c r="BD63" s="177">
        <f t="shared" si="66"/>
        <v>0</v>
      </c>
      <c r="BE63" s="177">
        <f t="shared" si="67"/>
        <v>0</v>
      </c>
      <c r="BF63" s="178">
        <f t="shared" si="84"/>
        <v>0</v>
      </c>
    </row>
    <row r="64" spans="1:58" ht="15" customHeight="1">
      <c r="A64" s="171">
        <f t="shared" si="68"/>
        <v>17</v>
      </c>
      <c r="B64" s="171" t="str">
        <f>+B61</f>
        <v>ACPLGZ</v>
      </c>
      <c r="C64" s="171"/>
      <c r="D64" s="171" t="s">
        <v>1867</v>
      </c>
      <c r="E64" s="172" t="str">
        <f t="shared" si="52"/>
        <v>Training expense</v>
      </c>
      <c r="F64" s="172"/>
      <c r="G64" s="77" t="s">
        <v>2613</v>
      </c>
      <c r="H64" s="173" t="s">
        <v>2614</v>
      </c>
      <c r="I64" s="173" t="s">
        <v>2046</v>
      </c>
      <c r="J64" s="184"/>
      <c r="K64" s="456">
        <v>45658</v>
      </c>
      <c r="L64" s="456">
        <v>46022</v>
      </c>
      <c r="M64" s="462">
        <f t="shared" si="69"/>
        <v>12</v>
      </c>
      <c r="N64" s="177">
        <f t="shared" si="86"/>
        <v>0</v>
      </c>
      <c r="O64" s="177">
        <f t="shared" si="86"/>
        <v>0</v>
      </c>
      <c r="P64" s="177">
        <f t="shared" si="86"/>
        <v>0</v>
      </c>
      <c r="Q64" s="177">
        <f t="shared" si="86"/>
        <v>0</v>
      </c>
      <c r="R64" s="177">
        <f t="shared" si="86"/>
        <v>0</v>
      </c>
      <c r="S64" s="177">
        <f t="shared" si="86"/>
        <v>0</v>
      </c>
      <c r="T64" s="177">
        <f t="shared" si="86"/>
        <v>0</v>
      </c>
      <c r="U64" s="177">
        <f t="shared" si="86"/>
        <v>0</v>
      </c>
      <c r="V64" s="177">
        <f t="shared" si="86"/>
        <v>0</v>
      </c>
      <c r="W64" s="177">
        <f t="shared" si="86"/>
        <v>0</v>
      </c>
      <c r="X64" s="177">
        <f t="shared" si="86"/>
        <v>0</v>
      </c>
      <c r="Y64" s="177">
        <f t="shared" si="86"/>
        <v>0</v>
      </c>
      <c r="Z64" s="178">
        <f t="shared" si="70"/>
        <v>0</v>
      </c>
      <c r="AA64" s="173" t="s">
        <v>2046</v>
      </c>
      <c r="AB64" s="184"/>
      <c r="AC64" s="456">
        <v>45658</v>
      </c>
      <c r="AD64" s="456">
        <v>46022</v>
      </c>
      <c r="AE64" s="462">
        <f t="shared" si="54"/>
        <v>12</v>
      </c>
      <c r="AF64" s="177">
        <f t="shared" si="71"/>
        <v>0</v>
      </c>
      <c r="AG64" s="177">
        <f t="shared" si="72"/>
        <v>0</v>
      </c>
      <c r="AH64" s="177">
        <f t="shared" si="73"/>
        <v>0</v>
      </c>
      <c r="AI64" s="177">
        <f t="shared" si="74"/>
        <v>0</v>
      </c>
      <c r="AJ64" s="177">
        <f t="shared" si="75"/>
        <v>0</v>
      </c>
      <c r="AK64" s="177">
        <f t="shared" si="76"/>
        <v>0</v>
      </c>
      <c r="AL64" s="177">
        <f t="shared" si="77"/>
        <v>0</v>
      </c>
      <c r="AM64" s="177">
        <f t="shared" si="78"/>
        <v>0</v>
      </c>
      <c r="AN64" s="177">
        <f t="shared" si="79"/>
        <v>0</v>
      </c>
      <c r="AO64" s="177">
        <f t="shared" si="80"/>
        <v>0</v>
      </c>
      <c r="AP64" s="177">
        <f t="shared" si="81"/>
        <v>0</v>
      </c>
      <c r="AQ64" s="177">
        <f t="shared" si="82"/>
        <v>0</v>
      </c>
      <c r="AR64" s="178">
        <f t="shared" si="83"/>
        <v>0</v>
      </c>
      <c r="AT64" s="177">
        <f t="shared" si="56"/>
        <v>0</v>
      </c>
      <c r="AU64" s="177">
        <f t="shared" si="57"/>
        <v>0</v>
      </c>
      <c r="AV64" s="177">
        <f t="shared" si="58"/>
        <v>0</v>
      </c>
      <c r="AW64" s="177">
        <f t="shared" si="59"/>
        <v>0</v>
      </c>
      <c r="AX64" s="177">
        <f t="shared" si="60"/>
        <v>0</v>
      </c>
      <c r="AY64" s="177">
        <f t="shared" si="61"/>
        <v>0</v>
      </c>
      <c r="AZ64" s="177">
        <f t="shared" si="62"/>
        <v>0</v>
      </c>
      <c r="BA64" s="177">
        <f t="shared" si="63"/>
        <v>0</v>
      </c>
      <c r="BB64" s="177">
        <f t="shared" si="64"/>
        <v>0</v>
      </c>
      <c r="BC64" s="177">
        <f t="shared" si="65"/>
        <v>0</v>
      </c>
      <c r="BD64" s="177">
        <f t="shared" si="66"/>
        <v>0</v>
      </c>
      <c r="BE64" s="177">
        <f t="shared" si="67"/>
        <v>0</v>
      </c>
      <c r="BF64" s="178">
        <f t="shared" si="84"/>
        <v>0</v>
      </c>
    </row>
    <row r="66" spans="1:58" s="151" customFormat="1" ht="13.5" thickBot="1">
      <c r="B66" s="151" t="str">
        <f>B64</f>
        <v>ACPLGZ</v>
      </c>
      <c r="C66" s="151" t="str">
        <f>'CF-ACPL（合并）'!A25</f>
        <v>支付的其他与经营活动有关的现金（专业服务费）</v>
      </c>
      <c r="N66" s="185">
        <f t="shared" ref="N66:T66" si="87">SUM(N48:N64)</f>
        <v>5605.4250000000002</v>
      </c>
      <c r="O66" s="185">
        <f t="shared" si="87"/>
        <v>5605.4250000000002</v>
      </c>
      <c r="P66" s="185">
        <f t="shared" si="87"/>
        <v>5605.4250000000002</v>
      </c>
      <c r="Q66" s="185">
        <f t="shared" si="87"/>
        <v>10605.424999999999</v>
      </c>
      <c r="R66" s="185">
        <f t="shared" si="87"/>
        <v>5605.4250000000002</v>
      </c>
      <c r="S66" s="185">
        <f t="shared" si="87"/>
        <v>47605.425000000003</v>
      </c>
      <c r="T66" s="185">
        <f t="shared" si="87"/>
        <v>1800</v>
      </c>
      <c r="U66" s="185">
        <f t="shared" ref="U66:Z66" si="88">SUM(U48:U64)</f>
        <v>0</v>
      </c>
      <c r="V66" s="185">
        <f t="shared" si="88"/>
        <v>0</v>
      </c>
      <c r="W66" s="185">
        <f t="shared" si="88"/>
        <v>0</v>
      </c>
      <c r="X66" s="185">
        <f t="shared" si="88"/>
        <v>0</v>
      </c>
      <c r="Y66" s="185">
        <f t="shared" si="88"/>
        <v>0</v>
      </c>
      <c r="Z66" s="461">
        <f t="shared" si="88"/>
        <v>82432.55</v>
      </c>
      <c r="AB66" s="461">
        <f>SUM(AB48:AB64)</f>
        <v>101870</v>
      </c>
      <c r="AF66" s="461">
        <f>SUM(AF48:AF64)</f>
        <v>0</v>
      </c>
      <c r="AG66" s="461">
        <f t="shared" ref="AG66:AR66" si="89">SUM(AG48:AG64)</f>
        <v>0</v>
      </c>
      <c r="AH66" s="461">
        <f t="shared" si="89"/>
        <v>0</v>
      </c>
      <c r="AI66" s="461">
        <f t="shared" si="89"/>
        <v>0</v>
      </c>
      <c r="AJ66" s="461">
        <f t="shared" si="89"/>
        <v>0</v>
      </c>
      <c r="AK66" s="461">
        <f t="shared" si="89"/>
        <v>51870</v>
      </c>
      <c r="AL66" s="461">
        <f t="shared" si="89"/>
        <v>0</v>
      </c>
      <c r="AM66" s="461">
        <f t="shared" si="89"/>
        <v>0</v>
      </c>
      <c r="AN66" s="461">
        <f t="shared" si="89"/>
        <v>0</v>
      </c>
      <c r="AO66" s="461">
        <f t="shared" si="89"/>
        <v>0</v>
      </c>
      <c r="AP66" s="461">
        <f t="shared" si="89"/>
        <v>0</v>
      </c>
      <c r="AQ66" s="461">
        <f t="shared" si="89"/>
        <v>50000</v>
      </c>
      <c r="AR66" s="461">
        <f t="shared" si="89"/>
        <v>101870</v>
      </c>
      <c r="AT66" s="461">
        <f>SUM(AT48:AT64)</f>
        <v>0</v>
      </c>
      <c r="AU66" s="461">
        <f t="shared" ref="AU66:BF66" si="90">SUM(AU48:AU64)</f>
        <v>0</v>
      </c>
      <c r="AV66" s="461">
        <f t="shared" si="90"/>
        <v>0</v>
      </c>
      <c r="AW66" s="461">
        <f t="shared" si="90"/>
        <v>0</v>
      </c>
      <c r="AX66" s="461">
        <f t="shared" si="90"/>
        <v>0</v>
      </c>
      <c r="AY66" s="461">
        <f t="shared" si="90"/>
        <v>54463.5</v>
      </c>
      <c r="AZ66" s="461">
        <f t="shared" si="90"/>
        <v>0</v>
      </c>
      <c r="BA66" s="461">
        <f t="shared" si="90"/>
        <v>0</v>
      </c>
      <c r="BB66" s="461">
        <f t="shared" si="90"/>
        <v>0</v>
      </c>
      <c r="BC66" s="461">
        <f t="shared" si="90"/>
        <v>0</v>
      </c>
      <c r="BD66" s="461">
        <f t="shared" si="90"/>
        <v>0</v>
      </c>
      <c r="BE66" s="461">
        <f t="shared" si="90"/>
        <v>52500</v>
      </c>
      <c r="BF66" s="461">
        <f t="shared" si="90"/>
        <v>106963.5</v>
      </c>
    </row>
    <row r="67" spans="1:58" ht="13.5" thickTop="1"/>
    <row r="68" spans="1:58" s="150" customFormat="1" ht="13.5" customHeight="1">
      <c r="A68" s="162"/>
      <c r="B68" s="162" t="s">
        <v>2598</v>
      </c>
      <c r="C68" s="162" t="s">
        <v>2401</v>
      </c>
      <c r="D68" s="162" t="s">
        <v>2704</v>
      </c>
      <c r="E68" s="163" t="str">
        <f>$E$3</f>
        <v>Professional Fee</v>
      </c>
      <c r="F68" s="163"/>
      <c r="G68" s="164" t="s">
        <v>2604</v>
      </c>
      <c r="H68" s="164" t="s">
        <v>2605</v>
      </c>
      <c r="I68" s="165" t="s">
        <v>2606</v>
      </c>
      <c r="J68" s="464" t="s">
        <v>2607</v>
      </c>
      <c r="K68" s="465" t="s">
        <v>2608</v>
      </c>
      <c r="L68" s="465" t="s">
        <v>2609</v>
      </c>
      <c r="M68" s="464" t="s">
        <v>2610</v>
      </c>
      <c r="N68" s="69">
        <v>45658</v>
      </c>
      <c r="O68" s="69">
        <v>45689</v>
      </c>
      <c r="P68" s="69">
        <v>45717</v>
      </c>
      <c r="Q68" s="69">
        <v>45748</v>
      </c>
      <c r="R68" s="69">
        <v>45778</v>
      </c>
      <c r="S68" s="69">
        <v>45809</v>
      </c>
      <c r="T68" s="69">
        <v>45839</v>
      </c>
      <c r="U68" s="69">
        <v>45870</v>
      </c>
      <c r="V68" s="69">
        <v>45901</v>
      </c>
      <c r="W68" s="69">
        <v>45931</v>
      </c>
      <c r="X68" s="69">
        <v>45962</v>
      </c>
      <c r="Y68" s="69">
        <v>45992</v>
      </c>
      <c r="Z68" s="168" t="s">
        <v>2115</v>
      </c>
      <c r="AA68" s="165" t="s">
        <v>2606</v>
      </c>
      <c r="AB68" s="464" t="s">
        <v>2607</v>
      </c>
      <c r="AC68" s="465" t="s">
        <v>2608</v>
      </c>
      <c r="AD68" s="465" t="s">
        <v>2609</v>
      </c>
      <c r="AE68" s="464" t="s">
        <v>2610</v>
      </c>
      <c r="AF68" s="69">
        <v>46023</v>
      </c>
      <c r="AG68" s="69">
        <v>46054</v>
      </c>
      <c r="AH68" s="69">
        <v>46082</v>
      </c>
      <c r="AI68" s="69">
        <v>46113</v>
      </c>
      <c r="AJ68" s="69">
        <v>46143</v>
      </c>
      <c r="AK68" s="69">
        <v>46174</v>
      </c>
      <c r="AL68" s="69">
        <v>46204</v>
      </c>
      <c r="AM68" s="69">
        <v>46235</v>
      </c>
      <c r="AN68" s="69">
        <v>46266</v>
      </c>
      <c r="AO68" s="69">
        <v>46296</v>
      </c>
      <c r="AP68" s="69">
        <v>46327</v>
      </c>
      <c r="AQ68" s="69">
        <v>46357</v>
      </c>
      <c r="AR68" s="168" t="s">
        <v>2706</v>
      </c>
      <c r="AT68" s="69">
        <f t="shared" ref="AT68:BF68" si="91">AT$3</f>
        <v>46388</v>
      </c>
      <c r="AU68" s="69">
        <f t="shared" si="91"/>
        <v>46419</v>
      </c>
      <c r="AV68" s="69">
        <f t="shared" si="91"/>
        <v>46447</v>
      </c>
      <c r="AW68" s="69">
        <f t="shared" si="91"/>
        <v>46478</v>
      </c>
      <c r="AX68" s="69">
        <f t="shared" si="91"/>
        <v>46508</v>
      </c>
      <c r="AY68" s="69">
        <f t="shared" si="91"/>
        <v>46539</v>
      </c>
      <c r="AZ68" s="69">
        <f t="shared" si="91"/>
        <v>46569</v>
      </c>
      <c r="BA68" s="69">
        <f t="shared" si="91"/>
        <v>46600</v>
      </c>
      <c r="BB68" s="69">
        <f t="shared" si="91"/>
        <v>46631</v>
      </c>
      <c r="BC68" s="69">
        <f t="shared" si="91"/>
        <v>46661</v>
      </c>
      <c r="BD68" s="69">
        <f t="shared" si="91"/>
        <v>46692</v>
      </c>
      <c r="BE68" s="69">
        <f t="shared" si="91"/>
        <v>46722</v>
      </c>
      <c r="BF68" s="168" t="str">
        <f t="shared" si="91"/>
        <v>2027Total</v>
      </c>
    </row>
    <row r="69" spans="1:58" ht="15.95" customHeight="1">
      <c r="A69" s="171">
        <v>1</v>
      </c>
      <c r="B69" s="171" t="s">
        <v>2111</v>
      </c>
      <c r="C69" s="171" t="s">
        <v>2727</v>
      </c>
      <c r="D69" s="171" t="s">
        <v>1514</v>
      </c>
      <c r="E69" s="172" t="str">
        <f t="shared" ref="E69:E85" si="92">E6</f>
        <v>Accounting / Payment Services</v>
      </c>
      <c r="F69" s="172"/>
      <c r="G69" s="77" t="s">
        <v>2613</v>
      </c>
      <c r="H69" s="173" t="s">
        <v>2614</v>
      </c>
      <c r="I69" s="173" t="s">
        <v>2046</v>
      </c>
      <c r="J69" s="183">
        <f>10000*M69</f>
        <v>50000</v>
      </c>
      <c r="K69" s="456">
        <v>45870</v>
      </c>
      <c r="L69" s="456">
        <v>46022</v>
      </c>
      <c r="M69" s="462">
        <f>IF(AND(K69="",L69=""),"-",IF(L69="",12,DATEDIF(K69,L69,"M")+1))</f>
        <v>5</v>
      </c>
      <c r="N69" s="177">
        <f t="shared" ref="N69:Y78" si="93">IF(AND($K69&lt;=N$3,N$3&lt;=$L69),$J69/$M69,0)</f>
        <v>0</v>
      </c>
      <c r="O69" s="177">
        <f t="shared" si="93"/>
        <v>0</v>
      </c>
      <c r="P69" s="177">
        <f t="shared" si="93"/>
        <v>0</v>
      </c>
      <c r="Q69" s="177">
        <f t="shared" si="93"/>
        <v>0</v>
      </c>
      <c r="R69" s="177">
        <f t="shared" si="93"/>
        <v>0</v>
      </c>
      <c r="S69" s="177">
        <f t="shared" si="93"/>
        <v>0</v>
      </c>
      <c r="T69" s="177">
        <f t="shared" si="93"/>
        <v>0</v>
      </c>
      <c r="U69" s="177">
        <f t="shared" si="93"/>
        <v>10000</v>
      </c>
      <c r="V69" s="177">
        <f t="shared" si="93"/>
        <v>10000</v>
      </c>
      <c r="W69" s="177">
        <f t="shared" si="93"/>
        <v>10000</v>
      </c>
      <c r="X69" s="177">
        <f t="shared" si="93"/>
        <v>10000</v>
      </c>
      <c r="Y69" s="177">
        <f t="shared" si="93"/>
        <v>10000</v>
      </c>
      <c r="Z69" s="178">
        <f>SUM(N69:Y69)</f>
        <v>50000</v>
      </c>
      <c r="AA69" s="173" t="s">
        <v>2046</v>
      </c>
      <c r="AB69" s="184">
        <f>13000*AE69</f>
        <v>117000</v>
      </c>
      <c r="AC69" s="456">
        <v>46113</v>
      </c>
      <c r="AD69" s="456">
        <v>46387</v>
      </c>
      <c r="AE69" s="462">
        <f t="shared" ref="AE69:AE85" si="94">IF(AND(AC69="",AD69=""),"-",IF(AD69="",12,DATEDIF(AC69,AD69,"M")+1))</f>
        <v>9</v>
      </c>
      <c r="AF69" s="177">
        <f>IF(AND($AC69&lt;=AF$3,AF$3&lt;=$AD69),$AB69/$AE69,0)</f>
        <v>0</v>
      </c>
      <c r="AG69" s="177">
        <f t="shared" ref="AG69:AQ69" si="95">IF(AND($AC69&lt;=AG$3,AG$3&lt;=$AD69),$AB69/$AE69,0)</f>
        <v>0</v>
      </c>
      <c r="AH69" s="177">
        <f t="shared" si="95"/>
        <v>0</v>
      </c>
      <c r="AI69" s="177">
        <f t="shared" si="95"/>
        <v>13000</v>
      </c>
      <c r="AJ69" s="177">
        <f t="shared" si="95"/>
        <v>13000</v>
      </c>
      <c r="AK69" s="177">
        <f t="shared" si="95"/>
        <v>13000</v>
      </c>
      <c r="AL69" s="177">
        <f t="shared" si="95"/>
        <v>13000</v>
      </c>
      <c r="AM69" s="177">
        <f t="shared" si="95"/>
        <v>13000</v>
      </c>
      <c r="AN69" s="177">
        <f t="shared" si="95"/>
        <v>13000</v>
      </c>
      <c r="AO69" s="177">
        <f t="shared" si="95"/>
        <v>13000</v>
      </c>
      <c r="AP69" s="177">
        <f t="shared" si="95"/>
        <v>13000</v>
      </c>
      <c r="AQ69" s="177">
        <f t="shared" si="95"/>
        <v>13000</v>
      </c>
      <c r="AR69" s="178">
        <f>SUM(AF69:AQ69)</f>
        <v>117000</v>
      </c>
      <c r="AT69" s="177">
        <f t="shared" ref="AT69:AT85" si="96">AF69*(1+$AT$1)</f>
        <v>0</v>
      </c>
      <c r="AU69" s="177">
        <f t="shared" ref="AU69:AU85" si="97">AG69*(1+$AT$1)</f>
        <v>0</v>
      </c>
      <c r="AV69" s="177">
        <f t="shared" ref="AV69:AV85" si="98">AH69*(1+$AT$1)</f>
        <v>0</v>
      </c>
      <c r="AW69" s="177">
        <f t="shared" ref="AW69:AW85" si="99">AI69*(1+$AT$1)</f>
        <v>13650</v>
      </c>
      <c r="AX69" s="177">
        <f t="shared" ref="AX69:AX85" si="100">AJ69*(1+$AT$1)</f>
        <v>13650</v>
      </c>
      <c r="AY69" s="177">
        <f t="shared" ref="AY69:AY85" si="101">AK69*(1+$AT$1)</f>
        <v>13650</v>
      </c>
      <c r="AZ69" s="177">
        <f t="shared" ref="AZ69:AZ85" si="102">AL69*(1+$AT$1)</f>
        <v>13650</v>
      </c>
      <c r="BA69" s="177">
        <f t="shared" ref="BA69:BA85" si="103">AM69*(1+$AT$1)</f>
        <v>13650</v>
      </c>
      <c r="BB69" s="177">
        <f t="shared" ref="BB69:BB85" si="104">AN69*(1+$AT$1)</f>
        <v>13650</v>
      </c>
      <c r="BC69" s="177">
        <f t="shared" ref="BC69:BC85" si="105">AO69*(1+$AT$1)</f>
        <v>13650</v>
      </c>
      <c r="BD69" s="177">
        <f t="shared" ref="BD69:BD85" si="106">AP69*(1+$AT$1)</f>
        <v>13650</v>
      </c>
      <c r="BE69" s="177">
        <f t="shared" ref="BE69:BE85" si="107">AQ69*(1+$AT$1)</f>
        <v>13650</v>
      </c>
      <c r="BF69" s="178">
        <f>SUM(AT69:BE69)</f>
        <v>122850</v>
      </c>
    </row>
    <row r="70" spans="1:58" ht="15.95" customHeight="1">
      <c r="A70" s="171">
        <f t="shared" ref="A70:A85" si="108">IF(A69&lt;=0,FALSE,A69+1)</f>
        <v>2</v>
      </c>
      <c r="B70" s="171" t="str">
        <f t="shared" ref="B70:B75" si="109">+B69</f>
        <v>ACPLSZ</v>
      </c>
      <c r="C70" s="171"/>
      <c r="D70" s="171" t="s">
        <v>1514</v>
      </c>
      <c r="E70" s="172" t="str">
        <f t="shared" si="92"/>
        <v>Accounting / Payment Services</v>
      </c>
      <c r="F70" s="172"/>
      <c r="G70" s="77" t="s">
        <v>2613</v>
      </c>
      <c r="H70" s="173" t="s">
        <v>2614</v>
      </c>
      <c r="I70" s="173" t="s">
        <v>2046</v>
      </c>
      <c r="J70" s="184"/>
      <c r="K70" s="456">
        <v>45717</v>
      </c>
      <c r="L70" s="456">
        <v>45747</v>
      </c>
      <c r="M70" s="462">
        <f t="shared" ref="M70:M85" si="110">IF(AND(K70="",L70=""),"-",IF(L70="",12,DATEDIF(K70,L70,"M")+1))</f>
        <v>1</v>
      </c>
      <c r="N70" s="177">
        <f t="shared" si="93"/>
        <v>0</v>
      </c>
      <c r="O70" s="177">
        <f t="shared" si="93"/>
        <v>0</v>
      </c>
      <c r="P70" s="177">
        <f t="shared" si="93"/>
        <v>0</v>
      </c>
      <c r="Q70" s="177">
        <f t="shared" si="93"/>
        <v>0</v>
      </c>
      <c r="R70" s="177">
        <f t="shared" si="93"/>
        <v>0</v>
      </c>
      <c r="S70" s="177">
        <f t="shared" si="93"/>
        <v>0</v>
      </c>
      <c r="T70" s="177">
        <f t="shared" si="93"/>
        <v>0</v>
      </c>
      <c r="U70" s="177">
        <f t="shared" si="93"/>
        <v>0</v>
      </c>
      <c r="V70" s="177">
        <f t="shared" si="93"/>
        <v>0</v>
      </c>
      <c r="W70" s="177">
        <f t="shared" si="93"/>
        <v>0</v>
      </c>
      <c r="X70" s="177">
        <f t="shared" si="93"/>
        <v>0</v>
      </c>
      <c r="Y70" s="177">
        <f t="shared" si="93"/>
        <v>0</v>
      </c>
      <c r="Z70" s="178">
        <f t="shared" ref="Z70:Z85" si="111">SUM(N70:Y70)</f>
        <v>0</v>
      </c>
      <c r="AA70" s="173" t="s">
        <v>2046</v>
      </c>
      <c r="AB70" s="184"/>
      <c r="AC70" s="456">
        <v>46082</v>
      </c>
      <c r="AD70" s="456">
        <v>46112</v>
      </c>
      <c r="AE70" s="462">
        <f t="shared" si="94"/>
        <v>1</v>
      </c>
      <c r="AF70" s="177">
        <f t="shared" ref="AF70:AF85" si="112">IF(AND($AC70&lt;=AF$3,AF$3&lt;=$AD70),$AB70/$AE70,0)</f>
        <v>0</v>
      </c>
      <c r="AG70" s="177">
        <f t="shared" ref="AG70:AG85" si="113">IF(AND($AC70&lt;=AG$3,AG$3&lt;=$AD70),$AB70/$AE70,0)</f>
        <v>0</v>
      </c>
      <c r="AH70" s="177">
        <f t="shared" ref="AH70:AH85" si="114">IF(AND($AC70&lt;=AH$3,AH$3&lt;=$AD70),$AB70/$AE70,0)</f>
        <v>0</v>
      </c>
      <c r="AI70" s="177">
        <f t="shared" ref="AI70:AI85" si="115">IF(AND($AC70&lt;=AI$3,AI$3&lt;=$AD70),$AB70/$AE70,0)</f>
        <v>0</v>
      </c>
      <c r="AJ70" s="177">
        <f t="shared" ref="AJ70:AJ85" si="116">IF(AND($AC70&lt;=AJ$3,AJ$3&lt;=$AD70),$AB70/$AE70,0)</f>
        <v>0</v>
      </c>
      <c r="AK70" s="177">
        <f t="shared" ref="AK70:AK85" si="117">IF(AND($AC70&lt;=AK$3,AK$3&lt;=$AD70),$AB70/$AE70,0)</f>
        <v>0</v>
      </c>
      <c r="AL70" s="177">
        <f t="shared" ref="AL70:AL85" si="118">IF(AND($AC70&lt;=AL$3,AL$3&lt;=$AD70),$AB70/$AE70,0)</f>
        <v>0</v>
      </c>
      <c r="AM70" s="177">
        <f t="shared" ref="AM70:AM85" si="119">IF(AND($AC70&lt;=AM$3,AM$3&lt;=$AD70),$AB70/$AE70,0)</f>
        <v>0</v>
      </c>
      <c r="AN70" s="177">
        <f t="shared" ref="AN70:AN85" si="120">IF(AND($AC70&lt;=AN$3,AN$3&lt;=$AD70),$AB70/$AE70,0)</f>
        <v>0</v>
      </c>
      <c r="AO70" s="177">
        <f t="shared" ref="AO70:AO85" si="121">IF(AND($AC70&lt;=AO$3,AO$3&lt;=$AD70),$AB70/$AE70,0)</f>
        <v>0</v>
      </c>
      <c r="AP70" s="177">
        <f t="shared" ref="AP70:AP85" si="122">IF(AND($AC70&lt;=AP$3,AP$3&lt;=$AD70),$AB70/$AE70,0)</f>
        <v>0</v>
      </c>
      <c r="AQ70" s="177">
        <f t="shared" ref="AQ70:AQ85" si="123">IF(AND($AC70&lt;=AQ$3,AQ$3&lt;=$AD70),$AB70/$AE70,0)</f>
        <v>0</v>
      </c>
      <c r="AR70" s="178">
        <f t="shared" ref="AR70:AR85" si="124">SUM(AF70:AQ70)</f>
        <v>0</v>
      </c>
      <c r="AT70" s="177">
        <f t="shared" si="96"/>
        <v>0</v>
      </c>
      <c r="AU70" s="177">
        <f t="shared" si="97"/>
        <v>0</v>
      </c>
      <c r="AV70" s="177">
        <f t="shared" si="98"/>
        <v>0</v>
      </c>
      <c r="AW70" s="177">
        <f t="shared" si="99"/>
        <v>0</v>
      </c>
      <c r="AX70" s="177">
        <f t="shared" si="100"/>
        <v>0</v>
      </c>
      <c r="AY70" s="177">
        <f t="shared" si="101"/>
        <v>0</v>
      </c>
      <c r="AZ70" s="177">
        <f t="shared" si="102"/>
        <v>0</v>
      </c>
      <c r="BA70" s="177">
        <f t="shared" si="103"/>
        <v>0</v>
      </c>
      <c r="BB70" s="177">
        <f t="shared" si="104"/>
        <v>0</v>
      </c>
      <c r="BC70" s="177">
        <f t="shared" si="105"/>
        <v>0</v>
      </c>
      <c r="BD70" s="177">
        <f t="shared" si="106"/>
        <v>0</v>
      </c>
      <c r="BE70" s="177">
        <f t="shared" si="107"/>
        <v>0</v>
      </c>
      <c r="BF70" s="178">
        <f t="shared" ref="BF70:BF85" si="125">SUM(AT70:BE70)</f>
        <v>0</v>
      </c>
    </row>
    <row r="71" spans="1:58" ht="15.95" customHeight="1">
      <c r="A71" s="171">
        <f t="shared" si="108"/>
        <v>3</v>
      </c>
      <c r="B71" s="171" t="str">
        <f t="shared" si="109"/>
        <v>ACPLSZ</v>
      </c>
      <c r="C71" s="171"/>
      <c r="D71" s="171" t="s">
        <v>1530</v>
      </c>
      <c r="E71" s="172" t="str">
        <f t="shared" si="92"/>
        <v>Tax services</v>
      </c>
      <c r="F71" s="172" t="s">
        <v>2728</v>
      </c>
      <c r="G71" s="77" t="s">
        <v>2613</v>
      </c>
      <c r="H71" s="173" t="s">
        <v>2614</v>
      </c>
      <c r="I71" s="173" t="s">
        <v>2046</v>
      </c>
      <c r="J71" s="183">
        <v>7000</v>
      </c>
      <c r="K71" s="456">
        <v>45809</v>
      </c>
      <c r="L71" s="456">
        <v>45838</v>
      </c>
      <c r="M71" s="462">
        <f t="shared" si="110"/>
        <v>1</v>
      </c>
      <c r="N71" s="177">
        <f t="shared" si="93"/>
        <v>0</v>
      </c>
      <c r="O71" s="177">
        <f t="shared" si="93"/>
        <v>0</v>
      </c>
      <c r="P71" s="177">
        <f t="shared" si="93"/>
        <v>0</v>
      </c>
      <c r="Q71" s="177">
        <f t="shared" si="93"/>
        <v>0</v>
      </c>
      <c r="R71" s="177">
        <f t="shared" si="93"/>
        <v>0</v>
      </c>
      <c r="S71" s="177">
        <f t="shared" si="93"/>
        <v>7000</v>
      </c>
      <c r="T71" s="177">
        <f t="shared" si="93"/>
        <v>0</v>
      </c>
      <c r="U71" s="177">
        <f t="shared" si="93"/>
        <v>0</v>
      </c>
      <c r="V71" s="177">
        <f t="shared" si="93"/>
        <v>0</v>
      </c>
      <c r="W71" s="177">
        <f t="shared" si="93"/>
        <v>0</v>
      </c>
      <c r="X71" s="177">
        <f t="shared" si="93"/>
        <v>0</v>
      </c>
      <c r="Y71" s="177">
        <f t="shared" si="93"/>
        <v>0</v>
      </c>
      <c r="Z71" s="178">
        <f t="shared" si="111"/>
        <v>7000</v>
      </c>
      <c r="AA71" s="173" t="s">
        <v>2046</v>
      </c>
      <c r="AB71" s="184">
        <f>7000*(1+$AB$1)</f>
        <v>7350</v>
      </c>
      <c r="AC71" s="456">
        <v>46174</v>
      </c>
      <c r="AD71" s="456">
        <v>46203</v>
      </c>
      <c r="AE71" s="462">
        <f t="shared" si="94"/>
        <v>1</v>
      </c>
      <c r="AF71" s="177">
        <f t="shared" si="112"/>
        <v>0</v>
      </c>
      <c r="AG71" s="177">
        <f t="shared" si="113"/>
        <v>0</v>
      </c>
      <c r="AH71" s="177">
        <f t="shared" si="114"/>
        <v>0</v>
      </c>
      <c r="AI71" s="177">
        <f t="shared" si="115"/>
        <v>0</v>
      </c>
      <c r="AJ71" s="177">
        <f t="shared" si="116"/>
        <v>0</v>
      </c>
      <c r="AK71" s="177">
        <f t="shared" si="117"/>
        <v>7350</v>
      </c>
      <c r="AL71" s="177">
        <f t="shared" si="118"/>
        <v>0</v>
      </c>
      <c r="AM71" s="177">
        <f t="shared" si="119"/>
        <v>0</v>
      </c>
      <c r="AN71" s="177">
        <f t="shared" si="120"/>
        <v>0</v>
      </c>
      <c r="AO71" s="177">
        <f t="shared" si="121"/>
        <v>0</v>
      </c>
      <c r="AP71" s="177">
        <f t="shared" si="122"/>
        <v>0</v>
      </c>
      <c r="AQ71" s="177">
        <f t="shared" si="123"/>
        <v>0</v>
      </c>
      <c r="AR71" s="178">
        <f t="shared" si="124"/>
        <v>7350</v>
      </c>
      <c r="AT71" s="177">
        <f t="shared" si="96"/>
        <v>0</v>
      </c>
      <c r="AU71" s="177">
        <f t="shared" si="97"/>
        <v>0</v>
      </c>
      <c r="AV71" s="177">
        <f t="shared" si="98"/>
        <v>0</v>
      </c>
      <c r="AW71" s="177">
        <f t="shared" si="99"/>
        <v>0</v>
      </c>
      <c r="AX71" s="177">
        <f t="shared" si="100"/>
        <v>0</v>
      </c>
      <c r="AY71" s="177">
        <f t="shared" si="101"/>
        <v>7717.5</v>
      </c>
      <c r="AZ71" s="177">
        <f t="shared" si="102"/>
        <v>0</v>
      </c>
      <c r="BA71" s="177">
        <f t="shared" si="103"/>
        <v>0</v>
      </c>
      <c r="BB71" s="177">
        <f t="shared" si="104"/>
        <v>0</v>
      </c>
      <c r="BC71" s="177">
        <f t="shared" si="105"/>
        <v>0</v>
      </c>
      <c r="BD71" s="177">
        <f t="shared" si="106"/>
        <v>0</v>
      </c>
      <c r="BE71" s="177">
        <f t="shared" si="107"/>
        <v>0</v>
      </c>
      <c r="BF71" s="178">
        <f t="shared" si="125"/>
        <v>7717.5</v>
      </c>
    </row>
    <row r="72" spans="1:58" ht="15.95" customHeight="1">
      <c r="A72" s="171">
        <f t="shared" si="108"/>
        <v>4</v>
      </c>
      <c r="B72" s="171" t="str">
        <f t="shared" si="109"/>
        <v>ACPLSZ</v>
      </c>
      <c r="C72" s="171" t="s">
        <v>2729</v>
      </c>
      <c r="D72" s="171" t="s">
        <v>1544</v>
      </c>
      <c r="E72" s="172" t="str">
        <f t="shared" si="92"/>
        <v>Payroll Services</v>
      </c>
      <c r="F72" s="172"/>
      <c r="G72" s="77" t="s">
        <v>2613</v>
      </c>
      <c r="H72" s="173" t="s">
        <v>2614</v>
      </c>
      <c r="I72" s="173" t="s">
        <v>2046</v>
      </c>
      <c r="J72" s="184">
        <f>3150*6+2150*6</f>
        <v>31800</v>
      </c>
      <c r="K72" s="456">
        <v>45658</v>
      </c>
      <c r="L72" s="456">
        <v>46022</v>
      </c>
      <c r="M72" s="462">
        <f t="shared" si="110"/>
        <v>12</v>
      </c>
      <c r="N72" s="177">
        <v>3150</v>
      </c>
      <c r="O72" s="177">
        <v>3150</v>
      </c>
      <c r="P72" s="177">
        <v>3150</v>
      </c>
      <c r="Q72" s="177">
        <v>3150</v>
      </c>
      <c r="R72" s="177">
        <v>3150</v>
      </c>
      <c r="S72" s="177">
        <v>3150</v>
      </c>
      <c r="T72" s="183">
        <v>2150</v>
      </c>
      <c r="U72" s="183">
        <v>2150</v>
      </c>
      <c r="V72" s="183">
        <v>2150</v>
      </c>
      <c r="W72" s="183">
        <v>2150</v>
      </c>
      <c r="X72" s="183">
        <v>2150</v>
      </c>
      <c r="Y72" s="183">
        <v>2150</v>
      </c>
      <c r="Z72" s="178">
        <f t="shared" si="111"/>
        <v>31800</v>
      </c>
      <c r="AA72" s="173" t="s">
        <v>2046</v>
      </c>
      <c r="AB72" s="184">
        <f>(200*17)*12</f>
        <v>40800</v>
      </c>
      <c r="AC72" s="456">
        <v>46023</v>
      </c>
      <c r="AD72" s="456">
        <v>46387</v>
      </c>
      <c r="AE72" s="462">
        <f t="shared" si="94"/>
        <v>12</v>
      </c>
      <c r="AF72" s="177">
        <f t="shared" si="112"/>
        <v>3400</v>
      </c>
      <c r="AG72" s="177">
        <f t="shared" si="113"/>
        <v>3400</v>
      </c>
      <c r="AH72" s="177">
        <f t="shared" si="114"/>
        <v>3400</v>
      </c>
      <c r="AI72" s="177">
        <f t="shared" si="115"/>
        <v>3400</v>
      </c>
      <c r="AJ72" s="177">
        <f t="shared" si="116"/>
        <v>3400</v>
      </c>
      <c r="AK72" s="177">
        <f t="shared" si="117"/>
        <v>3400</v>
      </c>
      <c r="AL72" s="177">
        <f t="shared" si="118"/>
        <v>3400</v>
      </c>
      <c r="AM72" s="177">
        <f t="shared" si="119"/>
        <v>3400</v>
      </c>
      <c r="AN72" s="177">
        <f t="shared" si="120"/>
        <v>3400</v>
      </c>
      <c r="AO72" s="177">
        <f t="shared" si="121"/>
        <v>3400</v>
      </c>
      <c r="AP72" s="177">
        <f t="shared" si="122"/>
        <v>3400</v>
      </c>
      <c r="AQ72" s="177">
        <f t="shared" si="123"/>
        <v>3400</v>
      </c>
      <c r="AR72" s="178">
        <f t="shared" si="124"/>
        <v>40800</v>
      </c>
      <c r="AT72" s="177">
        <f t="shared" si="96"/>
        <v>3570</v>
      </c>
      <c r="AU72" s="177">
        <f t="shared" si="97"/>
        <v>3570</v>
      </c>
      <c r="AV72" s="177">
        <f t="shared" si="98"/>
        <v>3570</v>
      </c>
      <c r="AW72" s="177">
        <f t="shared" si="99"/>
        <v>3570</v>
      </c>
      <c r="AX72" s="177">
        <f t="shared" si="100"/>
        <v>3570</v>
      </c>
      <c r="AY72" s="177">
        <f t="shared" si="101"/>
        <v>3570</v>
      </c>
      <c r="AZ72" s="177">
        <f t="shared" si="102"/>
        <v>3570</v>
      </c>
      <c r="BA72" s="177">
        <f t="shared" si="103"/>
        <v>3570</v>
      </c>
      <c r="BB72" s="177">
        <f t="shared" si="104"/>
        <v>3570</v>
      </c>
      <c r="BC72" s="177">
        <f t="shared" si="105"/>
        <v>3570</v>
      </c>
      <c r="BD72" s="177">
        <f t="shared" si="106"/>
        <v>3570</v>
      </c>
      <c r="BE72" s="177">
        <f t="shared" si="107"/>
        <v>3570</v>
      </c>
      <c r="BF72" s="178">
        <f t="shared" si="125"/>
        <v>42840</v>
      </c>
    </row>
    <row r="73" spans="1:58" ht="15.95" customHeight="1">
      <c r="A73" s="171">
        <f t="shared" si="108"/>
        <v>5</v>
      </c>
      <c r="B73" s="171" t="str">
        <f t="shared" si="109"/>
        <v>ACPLSZ</v>
      </c>
      <c r="C73" s="171"/>
      <c r="D73" s="463" t="s">
        <v>1844</v>
      </c>
      <c r="E73" s="172" t="str">
        <f t="shared" si="92"/>
        <v>Corporate Secretarial Fees</v>
      </c>
      <c r="F73" s="172" t="s">
        <v>2730</v>
      </c>
      <c r="G73" s="77" t="s">
        <v>2613</v>
      </c>
      <c r="H73" s="173" t="s">
        <v>2614</v>
      </c>
      <c r="I73" s="173" t="s">
        <v>2046</v>
      </c>
      <c r="J73" s="183">
        <f>(2400+5000)</f>
        <v>7400</v>
      </c>
      <c r="K73" s="456">
        <v>45870</v>
      </c>
      <c r="L73" s="456">
        <v>45900</v>
      </c>
      <c r="M73" s="462">
        <f t="shared" si="110"/>
        <v>1</v>
      </c>
      <c r="N73" s="177">
        <f t="shared" si="93"/>
        <v>0</v>
      </c>
      <c r="O73" s="177">
        <f t="shared" si="93"/>
        <v>0</v>
      </c>
      <c r="P73" s="177">
        <f t="shared" si="93"/>
        <v>0</v>
      </c>
      <c r="Q73" s="177">
        <f t="shared" si="93"/>
        <v>0</v>
      </c>
      <c r="R73" s="177">
        <f t="shared" si="93"/>
        <v>0</v>
      </c>
      <c r="S73" s="177">
        <f t="shared" si="93"/>
        <v>0</v>
      </c>
      <c r="T73" s="177">
        <f t="shared" si="93"/>
        <v>0</v>
      </c>
      <c r="U73" s="177">
        <f t="shared" si="93"/>
        <v>7400</v>
      </c>
      <c r="V73" s="177">
        <f t="shared" si="93"/>
        <v>0</v>
      </c>
      <c r="W73" s="177">
        <f t="shared" si="93"/>
        <v>0</v>
      </c>
      <c r="X73" s="177">
        <f t="shared" si="93"/>
        <v>0</v>
      </c>
      <c r="Y73" s="177">
        <f t="shared" si="93"/>
        <v>0</v>
      </c>
      <c r="Z73" s="178">
        <f t="shared" si="111"/>
        <v>7400</v>
      </c>
      <c r="AA73" s="173" t="s">
        <v>2046</v>
      </c>
      <c r="AB73" s="184">
        <f>(2400+4000)*(1+$AB$1)</f>
        <v>6720</v>
      </c>
      <c r="AC73" s="456">
        <v>46235</v>
      </c>
      <c r="AD73" s="456">
        <v>46265</v>
      </c>
      <c r="AE73" s="462">
        <f t="shared" si="94"/>
        <v>1</v>
      </c>
      <c r="AF73" s="177">
        <f t="shared" si="112"/>
        <v>0</v>
      </c>
      <c r="AG73" s="177">
        <f t="shared" si="113"/>
        <v>0</v>
      </c>
      <c r="AH73" s="177">
        <f t="shared" si="114"/>
        <v>0</v>
      </c>
      <c r="AI73" s="177">
        <f t="shared" si="115"/>
        <v>0</v>
      </c>
      <c r="AJ73" s="177">
        <f t="shared" si="116"/>
        <v>0</v>
      </c>
      <c r="AK73" s="177">
        <f t="shared" si="117"/>
        <v>0</v>
      </c>
      <c r="AL73" s="177">
        <f>2400*(1+AB1)</f>
        <v>2520</v>
      </c>
      <c r="AM73" s="177">
        <f>IF(AND($AC73&lt;=AM$3,AM$3&lt;=$AD73),$AB73/$AE73,0)-AL73</f>
        <v>4200</v>
      </c>
      <c r="AN73" s="177">
        <f t="shared" si="120"/>
        <v>0</v>
      </c>
      <c r="AO73" s="177">
        <f t="shared" si="121"/>
        <v>0</v>
      </c>
      <c r="AP73" s="177">
        <f t="shared" si="122"/>
        <v>0</v>
      </c>
      <c r="AQ73" s="177">
        <f t="shared" si="123"/>
        <v>0</v>
      </c>
      <c r="AR73" s="178">
        <f t="shared" si="124"/>
        <v>6720</v>
      </c>
      <c r="AT73" s="177">
        <f t="shared" si="96"/>
        <v>0</v>
      </c>
      <c r="AU73" s="177">
        <f t="shared" si="97"/>
        <v>0</v>
      </c>
      <c r="AV73" s="177">
        <f t="shared" si="98"/>
        <v>0</v>
      </c>
      <c r="AW73" s="177">
        <f t="shared" si="99"/>
        <v>0</v>
      </c>
      <c r="AX73" s="177">
        <f t="shared" si="100"/>
        <v>0</v>
      </c>
      <c r="AY73" s="177">
        <f t="shared" si="101"/>
        <v>0</v>
      </c>
      <c r="AZ73" s="177">
        <f t="shared" si="102"/>
        <v>2646</v>
      </c>
      <c r="BA73" s="177">
        <f t="shared" si="103"/>
        <v>4410</v>
      </c>
      <c r="BB73" s="177">
        <f t="shared" si="104"/>
        <v>0</v>
      </c>
      <c r="BC73" s="177">
        <f t="shared" si="105"/>
        <v>0</v>
      </c>
      <c r="BD73" s="177">
        <f t="shared" si="106"/>
        <v>0</v>
      </c>
      <c r="BE73" s="177">
        <f t="shared" si="107"/>
        <v>0</v>
      </c>
      <c r="BF73" s="178">
        <f t="shared" si="125"/>
        <v>7056</v>
      </c>
    </row>
    <row r="74" spans="1:58" ht="15.95" customHeight="1">
      <c r="A74" s="171">
        <f t="shared" si="108"/>
        <v>6</v>
      </c>
      <c r="B74" s="171" t="str">
        <f t="shared" si="109"/>
        <v>ACPLSZ</v>
      </c>
      <c r="C74" s="171"/>
      <c r="D74" s="171" t="s">
        <v>1519</v>
      </c>
      <c r="E74" s="172" t="str">
        <f t="shared" si="92"/>
        <v>Audit Fee</v>
      </c>
      <c r="F74" s="172" t="s">
        <v>2731</v>
      </c>
      <c r="G74" s="77" t="s">
        <v>2613</v>
      </c>
      <c r="H74" s="173" t="s">
        <v>2614</v>
      </c>
      <c r="I74" s="173" t="s">
        <v>2046</v>
      </c>
      <c r="J74" s="184">
        <f>55000*(1+5%)</f>
        <v>57750</v>
      </c>
      <c r="K74" s="456">
        <v>45809</v>
      </c>
      <c r="L74" s="456">
        <v>45838</v>
      </c>
      <c r="M74" s="462">
        <f t="shared" si="110"/>
        <v>1</v>
      </c>
      <c r="N74" s="177">
        <f t="shared" si="93"/>
        <v>0</v>
      </c>
      <c r="O74" s="177">
        <f t="shared" si="93"/>
        <v>0</v>
      </c>
      <c r="P74" s="177">
        <f t="shared" si="93"/>
        <v>0</v>
      </c>
      <c r="Q74" s="177">
        <f t="shared" si="93"/>
        <v>0</v>
      </c>
      <c r="R74" s="177">
        <f t="shared" si="93"/>
        <v>0</v>
      </c>
      <c r="S74" s="177">
        <f t="shared" si="93"/>
        <v>57750</v>
      </c>
      <c r="T74" s="177">
        <f t="shared" si="93"/>
        <v>0</v>
      </c>
      <c r="U74" s="177">
        <f t="shared" si="93"/>
        <v>0</v>
      </c>
      <c r="V74" s="177">
        <f t="shared" si="93"/>
        <v>0</v>
      </c>
      <c r="W74" s="177">
        <f t="shared" si="93"/>
        <v>0</v>
      </c>
      <c r="X74" s="177">
        <f t="shared" si="93"/>
        <v>0</v>
      </c>
      <c r="Y74" s="177">
        <f t="shared" si="93"/>
        <v>0</v>
      </c>
      <c r="Z74" s="178">
        <f t="shared" si="111"/>
        <v>57750</v>
      </c>
      <c r="AA74" s="173" t="s">
        <v>2046</v>
      </c>
      <c r="AB74" s="184">
        <f>55000*(1+5%)*(1+6%)</f>
        <v>61215</v>
      </c>
      <c r="AC74" s="456">
        <v>46174</v>
      </c>
      <c r="AD74" s="456">
        <v>46203</v>
      </c>
      <c r="AE74" s="462">
        <f t="shared" si="94"/>
        <v>1</v>
      </c>
      <c r="AF74" s="177">
        <f t="shared" si="112"/>
        <v>0</v>
      </c>
      <c r="AG74" s="177">
        <f t="shared" si="113"/>
        <v>0</v>
      </c>
      <c r="AH74" s="177">
        <f t="shared" si="114"/>
        <v>0</v>
      </c>
      <c r="AI74" s="177">
        <f t="shared" si="115"/>
        <v>0</v>
      </c>
      <c r="AJ74" s="177">
        <f t="shared" si="116"/>
        <v>0</v>
      </c>
      <c r="AK74" s="177">
        <f t="shared" si="117"/>
        <v>61215</v>
      </c>
      <c r="AL74" s="177">
        <f t="shared" si="118"/>
        <v>0</v>
      </c>
      <c r="AM74" s="177">
        <f t="shared" si="119"/>
        <v>0</v>
      </c>
      <c r="AN74" s="177">
        <f t="shared" si="120"/>
        <v>0</v>
      </c>
      <c r="AO74" s="177">
        <f t="shared" si="121"/>
        <v>0</v>
      </c>
      <c r="AP74" s="177">
        <f t="shared" si="122"/>
        <v>0</v>
      </c>
      <c r="AQ74" s="177">
        <f t="shared" si="123"/>
        <v>0</v>
      </c>
      <c r="AR74" s="178">
        <f t="shared" si="124"/>
        <v>61215</v>
      </c>
      <c r="AT74" s="177">
        <f t="shared" si="96"/>
        <v>0</v>
      </c>
      <c r="AU74" s="177">
        <f t="shared" si="97"/>
        <v>0</v>
      </c>
      <c r="AV74" s="177">
        <f t="shared" si="98"/>
        <v>0</v>
      </c>
      <c r="AW74" s="177">
        <f t="shared" si="99"/>
        <v>0</v>
      </c>
      <c r="AX74" s="177">
        <f t="shared" si="100"/>
        <v>0</v>
      </c>
      <c r="AY74" s="177">
        <f t="shared" si="101"/>
        <v>64275.75</v>
      </c>
      <c r="AZ74" s="177">
        <f t="shared" si="102"/>
        <v>0</v>
      </c>
      <c r="BA74" s="177">
        <f t="shared" si="103"/>
        <v>0</v>
      </c>
      <c r="BB74" s="177">
        <f t="shared" si="104"/>
        <v>0</v>
      </c>
      <c r="BC74" s="177">
        <f t="shared" si="105"/>
        <v>0</v>
      </c>
      <c r="BD74" s="177">
        <f t="shared" si="106"/>
        <v>0</v>
      </c>
      <c r="BE74" s="177">
        <f t="shared" si="107"/>
        <v>0</v>
      </c>
      <c r="BF74" s="178">
        <f t="shared" si="125"/>
        <v>64275.75</v>
      </c>
    </row>
    <row r="75" spans="1:58" ht="13.5" customHeight="1">
      <c r="A75" s="171">
        <f t="shared" si="108"/>
        <v>7</v>
      </c>
      <c r="B75" s="171" t="str">
        <f t="shared" si="109"/>
        <v>ACPLSZ</v>
      </c>
      <c r="C75" s="171"/>
      <c r="D75" s="171" t="s">
        <v>1564</v>
      </c>
      <c r="E75" s="172" t="str">
        <f t="shared" si="92"/>
        <v>Compliance Support</v>
      </c>
      <c r="F75" s="172"/>
      <c r="G75" s="77" t="s">
        <v>2613</v>
      </c>
      <c r="H75" s="173" t="s">
        <v>2614</v>
      </c>
      <c r="I75" s="173" t="s">
        <v>2046</v>
      </c>
      <c r="J75" s="184"/>
      <c r="K75" s="456">
        <v>45658</v>
      </c>
      <c r="L75" s="456">
        <v>46022</v>
      </c>
      <c r="M75" s="462">
        <f t="shared" si="110"/>
        <v>12</v>
      </c>
      <c r="N75" s="177">
        <f t="shared" si="93"/>
        <v>0</v>
      </c>
      <c r="O75" s="177">
        <f t="shared" si="93"/>
        <v>0</v>
      </c>
      <c r="P75" s="177">
        <f t="shared" si="93"/>
        <v>0</v>
      </c>
      <c r="Q75" s="177">
        <f t="shared" si="93"/>
        <v>0</v>
      </c>
      <c r="R75" s="177">
        <f t="shared" si="93"/>
        <v>0</v>
      </c>
      <c r="S75" s="177">
        <f t="shared" si="93"/>
        <v>0</v>
      </c>
      <c r="T75" s="177">
        <f t="shared" si="93"/>
        <v>0</v>
      </c>
      <c r="U75" s="177">
        <f t="shared" si="93"/>
        <v>0</v>
      </c>
      <c r="V75" s="177">
        <f t="shared" si="93"/>
        <v>0</v>
      </c>
      <c r="W75" s="177">
        <f t="shared" si="93"/>
        <v>0</v>
      </c>
      <c r="X75" s="177">
        <f t="shared" si="93"/>
        <v>0</v>
      </c>
      <c r="Y75" s="177"/>
      <c r="Z75" s="178">
        <f t="shared" si="111"/>
        <v>0</v>
      </c>
      <c r="AA75" s="173" t="s">
        <v>2046</v>
      </c>
      <c r="AB75" s="184"/>
      <c r="AC75" s="456">
        <v>46023</v>
      </c>
      <c r="AD75" s="456">
        <v>46387</v>
      </c>
      <c r="AE75" s="462">
        <f t="shared" si="94"/>
        <v>12</v>
      </c>
      <c r="AF75" s="177">
        <f t="shared" si="112"/>
        <v>0</v>
      </c>
      <c r="AG75" s="177">
        <f t="shared" si="113"/>
        <v>0</v>
      </c>
      <c r="AH75" s="177">
        <f t="shared" si="114"/>
        <v>0</v>
      </c>
      <c r="AI75" s="177">
        <f t="shared" si="115"/>
        <v>0</v>
      </c>
      <c r="AJ75" s="177">
        <f t="shared" si="116"/>
        <v>0</v>
      </c>
      <c r="AK75" s="177">
        <f t="shared" si="117"/>
        <v>0</v>
      </c>
      <c r="AL75" s="177">
        <f t="shared" si="118"/>
        <v>0</v>
      </c>
      <c r="AM75" s="177">
        <f t="shared" si="119"/>
        <v>0</v>
      </c>
      <c r="AN75" s="177">
        <f t="shared" si="120"/>
        <v>0</v>
      </c>
      <c r="AO75" s="177">
        <f t="shared" si="121"/>
        <v>0</v>
      </c>
      <c r="AP75" s="177">
        <f t="shared" si="122"/>
        <v>0</v>
      </c>
      <c r="AQ75" s="177">
        <f t="shared" si="123"/>
        <v>0</v>
      </c>
      <c r="AR75" s="178">
        <f t="shared" si="124"/>
        <v>0</v>
      </c>
      <c r="AT75" s="177">
        <f t="shared" si="96"/>
        <v>0</v>
      </c>
      <c r="AU75" s="177">
        <f t="shared" si="97"/>
        <v>0</v>
      </c>
      <c r="AV75" s="177">
        <f t="shared" si="98"/>
        <v>0</v>
      </c>
      <c r="AW75" s="177">
        <f t="shared" si="99"/>
        <v>0</v>
      </c>
      <c r="AX75" s="177">
        <f t="shared" si="100"/>
        <v>0</v>
      </c>
      <c r="AY75" s="177">
        <f t="shared" si="101"/>
        <v>0</v>
      </c>
      <c r="AZ75" s="177">
        <f t="shared" si="102"/>
        <v>0</v>
      </c>
      <c r="BA75" s="177">
        <f t="shared" si="103"/>
        <v>0</v>
      </c>
      <c r="BB75" s="177">
        <f t="shared" si="104"/>
        <v>0</v>
      </c>
      <c r="BC75" s="177">
        <f t="shared" si="105"/>
        <v>0</v>
      </c>
      <c r="BD75" s="177">
        <f t="shared" si="106"/>
        <v>0</v>
      </c>
      <c r="BE75" s="177">
        <f t="shared" si="107"/>
        <v>0</v>
      </c>
      <c r="BF75" s="178">
        <f t="shared" si="125"/>
        <v>0</v>
      </c>
    </row>
    <row r="76" spans="1:58" ht="13.5" customHeight="1">
      <c r="A76" s="171">
        <f t="shared" si="108"/>
        <v>8</v>
      </c>
      <c r="B76" s="171" t="s">
        <v>2111</v>
      </c>
      <c r="C76" s="171"/>
      <c r="D76" s="171" t="s">
        <v>1883</v>
      </c>
      <c r="E76" s="172" t="str">
        <f t="shared" si="92"/>
        <v>Regulatory Fees</v>
      </c>
      <c r="F76" s="172"/>
      <c r="G76" s="77" t="s">
        <v>2613</v>
      </c>
      <c r="H76" s="173" t="s">
        <v>2614</v>
      </c>
      <c r="I76" s="173" t="s">
        <v>2046</v>
      </c>
      <c r="J76" s="184"/>
      <c r="K76" s="456">
        <v>45658</v>
      </c>
      <c r="L76" s="456">
        <v>46022</v>
      </c>
      <c r="M76" s="462">
        <f t="shared" si="110"/>
        <v>12</v>
      </c>
      <c r="N76" s="177">
        <f t="shared" si="93"/>
        <v>0</v>
      </c>
      <c r="O76" s="177">
        <f t="shared" si="93"/>
        <v>0</v>
      </c>
      <c r="P76" s="177">
        <f t="shared" si="93"/>
        <v>0</v>
      </c>
      <c r="Q76" s="177">
        <f t="shared" si="93"/>
        <v>0</v>
      </c>
      <c r="R76" s="177">
        <f t="shared" si="93"/>
        <v>0</v>
      </c>
      <c r="S76" s="177">
        <f t="shared" si="93"/>
        <v>0</v>
      </c>
      <c r="T76" s="177">
        <f t="shared" si="93"/>
        <v>0</v>
      </c>
      <c r="U76" s="177">
        <f t="shared" si="93"/>
        <v>0</v>
      </c>
      <c r="V76" s="177">
        <f t="shared" si="93"/>
        <v>0</v>
      </c>
      <c r="W76" s="177">
        <f t="shared" si="93"/>
        <v>0</v>
      </c>
      <c r="X76" s="177">
        <f t="shared" si="93"/>
        <v>0</v>
      </c>
      <c r="Y76" s="177">
        <f t="shared" si="93"/>
        <v>0</v>
      </c>
      <c r="Z76" s="178">
        <f t="shared" si="111"/>
        <v>0</v>
      </c>
      <c r="AA76" s="173" t="s">
        <v>2046</v>
      </c>
      <c r="AB76" s="184"/>
      <c r="AC76" s="456">
        <v>46023</v>
      </c>
      <c r="AD76" s="456">
        <v>46387</v>
      </c>
      <c r="AE76" s="462">
        <f t="shared" si="94"/>
        <v>12</v>
      </c>
      <c r="AF76" s="177">
        <f t="shared" si="112"/>
        <v>0</v>
      </c>
      <c r="AG76" s="177">
        <f t="shared" si="113"/>
        <v>0</v>
      </c>
      <c r="AH76" s="177">
        <f t="shared" si="114"/>
        <v>0</v>
      </c>
      <c r="AI76" s="177">
        <f t="shared" si="115"/>
        <v>0</v>
      </c>
      <c r="AJ76" s="177">
        <f t="shared" si="116"/>
        <v>0</v>
      </c>
      <c r="AK76" s="177">
        <f t="shared" si="117"/>
        <v>0</v>
      </c>
      <c r="AL76" s="177">
        <f t="shared" si="118"/>
        <v>0</v>
      </c>
      <c r="AM76" s="177">
        <f t="shared" si="119"/>
        <v>0</v>
      </c>
      <c r="AN76" s="177">
        <f t="shared" si="120"/>
        <v>0</v>
      </c>
      <c r="AO76" s="177">
        <f t="shared" si="121"/>
        <v>0</v>
      </c>
      <c r="AP76" s="177">
        <f t="shared" si="122"/>
        <v>0</v>
      </c>
      <c r="AQ76" s="177">
        <f t="shared" si="123"/>
        <v>0</v>
      </c>
      <c r="AR76" s="178">
        <f t="shared" si="124"/>
        <v>0</v>
      </c>
      <c r="AT76" s="177">
        <f t="shared" si="96"/>
        <v>0</v>
      </c>
      <c r="AU76" s="177">
        <f t="shared" si="97"/>
        <v>0</v>
      </c>
      <c r="AV76" s="177">
        <f t="shared" si="98"/>
        <v>0</v>
      </c>
      <c r="AW76" s="177">
        <f t="shared" si="99"/>
        <v>0</v>
      </c>
      <c r="AX76" s="177">
        <f t="shared" si="100"/>
        <v>0</v>
      </c>
      <c r="AY76" s="177">
        <f t="shared" si="101"/>
        <v>0</v>
      </c>
      <c r="AZ76" s="177">
        <f t="shared" si="102"/>
        <v>0</v>
      </c>
      <c r="BA76" s="177">
        <f t="shared" si="103"/>
        <v>0</v>
      </c>
      <c r="BB76" s="177">
        <f t="shared" si="104"/>
        <v>0</v>
      </c>
      <c r="BC76" s="177">
        <f t="shared" si="105"/>
        <v>0</v>
      </c>
      <c r="BD76" s="177">
        <f t="shared" si="106"/>
        <v>0</v>
      </c>
      <c r="BE76" s="177">
        <f t="shared" si="107"/>
        <v>0</v>
      </c>
      <c r="BF76" s="178">
        <f t="shared" si="125"/>
        <v>0</v>
      </c>
    </row>
    <row r="77" spans="1:58" ht="15.95" customHeight="1">
      <c r="A77" s="171">
        <f t="shared" si="108"/>
        <v>9</v>
      </c>
      <c r="B77" s="171" t="s">
        <v>2111</v>
      </c>
      <c r="C77" s="171" t="s">
        <v>2732</v>
      </c>
      <c r="D77" s="171" t="s">
        <v>1534</v>
      </c>
      <c r="E77" s="172" t="str">
        <f t="shared" si="92"/>
        <v>Employment Agency Fee</v>
      </c>
      <c r="F77" s="172"/>
      <c r="G77" s="77" t="s">
        <v>2613</v>
      </c>
      <c r="H77" s="173" t="s">
        <v>2614</v>
      </c>
      <c r="I77" s="173" t="s">
        <v>2046</v>
      </c>
      <c r="J77" s="184">
        <f>5800*(1+$J$1)</f>
        <v>6090</v>
      </c>
      <c r="K77" s="456">
        <v>45809</v>
      </c>
      <c r="L77" s="456">
        <v>45838</v>
      </c>
      <c r="M77" s="462">
        <f t="shared" si="110"/>
        <v>1</v>
      </c>
      <c r="N77" s="177">
        <f t="shared" si="93"/>
        <v>0</v>
      </c>
      <c r="O77" s="177">
        <f t="shared" si="93"/>
        <v>0</v>
      </c>
      <c r="P77" s="177">
        <f t="shared" si="93"/>
        <v>0</v>
      </c>
      <c r="Q77" s="177">
        <f t="shared" si="93"/>
        <v>0</v>
      </c>
      <c r="R77" s="177">
        <f t="shared" si="93"/>
        <v>0</v>
      </c>
      <c r="S77" s="177">
        <f t="shared" si="93"/>
        <v>6090</v>
      </c>
      <c r="T77" s="177">
        <f t="shared" si="93"/>
        <v>0</v>
      </c>
      <c r="U77" s="177">
        <f t="shared" si="93"/>
        <v>0</v>
      </c>
      <c r="V77" s="177">
        <f t="shared" si="93"/>
        <v>0</v>
      </c>
      <c r="W77" s="177">
        <f t="shared" si="93"/>
        <v>0</v>
      </c>
      <c r="X77" s="177">
        <f t="shared" si="93"/>
        <v>0</v>
      </c>
      <c r="Y77" s="177">
        <f t="shared" si="93"/>
        <v>0</v>
      </c>
      <c r="Z77" s="178">
        <f t="shared" si="111"/>
        <v>6090</v>
      </c>
      <c r="AA77" s="173" t="s">
        <v>2046</v>
      </c>
      <c r="AB77" s="174">
        <f>5800*(1+$J$1)+35000*12*23%+80000*3</f>
        <v>342690</v>
      </c>
      <c r="AC77" s="456">
        <v>46174</v>
      </c>
      <c r="AD77" s="456">
        <v>46203</v>
      </c>
      <c r="AE77" s="462">
        <f t="shared" si="94"/>
        <v>1</v>
      </c>
      <c r="AF77" s="177">
        <f t="shared" si="112"/>
        <v>0</v>
      </c>
      <c r="AG77" s="177">
        <f>33000*12*23%</f>
        <v>91080</v>
      </c>
      <c r="AH77" s="177">
        <f t="shared" si="114"/>
        <v>0</v>
      </c>
      <c r="AI77" s="177">
        <f t="shared" si="115"/>
        <v>0</v>
      </c>
      <c r="AJ77" s="177">
        <f t="shared" si="116"/>
        <v>0</v>
      </c>
      <c r="AK77" s="177">
        <f t="shared" si="117"/>
        <v>342690</v>
      </c>
      <c r="AL77" s="177">
        <f t="shared" si="118"/>
        <v>0</v>
      </c>
      <c r="AM77" s="177">
        <f t="shared" si="119"/>
        <v>0</v>
      </c>
      <c r="AN77" s="177">
        <f t="shared" si="120"/>
        <v>0</v>
      </c>
      <c r="AO77" s="177">
        <f t="shared" si="121"/>
        <v>0</v>
      </c>
      <c r="AP77" s="177">
        <f t="shared" si="122"/>
        <v>0</v>
      </c>
      <c r="AQ77" s="177">
        <f t="shared" si="123"/>
        <v>0</v>
      </c>
      <c r="AR77" s="178">
        <f t="shared" si="124"/>
        <v>433770</v>
      </c>
      <c r="AT77" s="177">
        <f t="shared" si="96"/>
        <v>0</v>
      </c>
      <c r="AU77" s="177">
        <f t="shared" si="97"/>
        <v>95634</v>
      </c>
      <c r="AV77" s="177">
        <f t="shared" si="98"/>
        <v>0</v>
      </c>
      <c r="AW77" s="177">
        <f t="shared" si="99"/>
        <v>0</v>
      </c>
      <c r="AX77" s="177">
        <f t="shared" si="100"/>
        <v>0</v>
      </c>
      <c r="AY77" s="177">
        <f t="shared" si="101"/>
        <v>359824.5</v>
      </c>
      <c r="AZ77" s="177">
        <f t="shared" si="102"/>
        <v>0</v>
      </c>
      <c r="BA77" s="177">
        <f t="shared" si="103"/>
        <v>0</v>
      </c>
      <c r="BB77" s="177">
        <f t="shared" si="104"/>
        <v>0</v>
      </c>
      <c r="BC77" s="177">
        <f t="shared" si="105"/>
        <v>0</v>
      </c>
      <c r="BD77" s="177">
        <f t="shared" si="106"/>
        <v>0</v>
      </c>
      <c r="BE77" s="177">
        <f t="shared" si="107"/>
        <v>0</v>
      </c>
      <c r="BF77" s="178">
        <f t="shared" si="125"/>
        <v>455458.5</v>
      </c>
    </row>
    <row r="78" spans="1:58" ht="15.95" customHeight="1">
      <c r="A78" s="171">
        <f t="shared" si="108"/>
        <v>10</v>
      </c>
      <c r="B78" s="171" t="s">
        <v>2111</v>
      </c>
      <c r="C78" s="171"/>
      <c r="D78" s="171" t="s">
        <v>1667</v>
      </c>
      <c r="E78" s="172" t="str">
        <f t="shared" si="92"/>
        <v>IT Professional &amp; MS Services</v>
      </c>
      <c r="F78" s="172"/>
      <c r="G78" s="77" t="s">
        <v>2613</v>
      </c>
      <c r="H78" s="173" t="s">
        <v>2614</v>
      </c>
      <c r="I78" s="173" t="s">
        <v>2046</v>
      </c>
      <c r="J78" s="184"/>
      <c r="K78" s="456">
        <v>45748</v>
      </c>
      <c r="L78" s="456">
        <v>45777</v>
      </c>
      <c r="M78" s="462">
        <f t="shared" si="110"/>
        <v>1</v>
      </c>
      <c r="N78" s="177">
        <f t="shared" si="93"/>
        <v>0</v>
      </c>
      <c r="O78" s="177">
        <f t="shared" si="93"/>
        <v>0</v>
      </c>
      <c r="P78" s="177">
        <f t="shared" si="93"/>
        <v>0</v>
      </c>
      <c r="Q78" s="177">
        <f t="shared" si="93"/>
        <v>0</v>
      </c>
      <c r="R78" s="177">
        <f t="shared" si="93"/>
        <v>0</v>
      </c>
      <c r="S78" s="177">
        <f t="shared" si="93"/>
        <v>0</v>
      </c>
      <c r="T78" s="177">
        <f t="shared" si="93"/>
        <v>0</v>
      </c>
      <c r="U78" s="177">
        <f t="shared" si="93"/>
        <v>0</v>
      </c>
      <c r="V78" s="177">
        <f t="shared" si="93"/>
        <v>0</v>
      </c>
      <c r="W78" s="177">
        <f t="shared" si="93"/>
        <v>0</v>
      </c>
      <c r="X78" s="177">
        <f t="shared" si="93"/>
        <v>0</v>
      </c>
      <c r="Y78" s="177">
        <f t="shared" si="93"/>
        <v>0</v>
      </c>
      <c r="Z78" s="178">
        <f t="shared" si="111"/>
        <v>0</v>
      </c>
      <c r="AA78" s="173" t="s">
        <v>2046</v>
      </c>
      <c r="AB78" s="184"/>
      <c r="AC78" s="456">
        <v>46113</v>
      </c>
      <c r="AD78" s="456">
        <v>46142</v>
      </c>
      <c r="AE78" s="462">
        <f t="shared" si="94"/>
        <v>1</v>
      </c>
      <c r="AF78" s="177">
        <f t="shared" si="112"/>
        <v>0</v>
      </c>
      <c r="AG78" s="177">
        <f t="shared" si="113"/>
        <v>0</v>
      </c>
      <c r="AH78" s="177">
        <f t="shared" si="114"/>
        <v>0</v>
      </c>
      <c r="AI78" s="177">
        <f t="shared" si="115"/>
        <v>0</v>
      </c>
      <c r="AJ78" s="177">
        <f t="shared" si="116"/>
        <v>0</v>
      </c>
      <c r="AK78" s="177">
        <f t="shared" si="117"/>
        <v>0</v>
      </c>
      <c r="AL78" s="177">
        <f t="shared" si="118"/>
        <v>0</v>
      </c>
      <c r="AM78" s="177">
        <f t="shared" si="119"/>
        <v>0</v>
      </c>
      <c r="AN78" s="177">
        <f t="shared" si="120"/>
        <v>0</v>
      </c>
      <c r="AO78" s="177">
        <f t="shared" si="121"/>
        <v>0</v>
      </c>
      <c r="AP78" s="177">
        <f t="shared" si="122"/>
        <v>0</v>
      </c>
      <c r="AQ78" s="177">
        <f t="shared" si="123"/>
        <v>0</v>
      </c>
      <c r="AR78" s="178">
        <f t="shared" si="124"/>
        <v>0</v>
      </c>
      <c r="AT78" s="177">
        <f t="shared" si="96"/>
        <v>0</v>
      </c>
      <c r="AU78" s="177">
        <f t="shared" si="97"/>
        <v>0</v>
      </c>
      <c r="AV78" s="177">
        <f t="shared" si="98"/>
        <v>0</v>
      </c>
      <c r="AW78" s="177">
        <f t="shared" si="99"/>
        <v>0</v>
      </c>
      <c r="AX78" s="177">
        <f t="shared" si="100"/>
        <v>0</v>
      </c>
      <c r="AY78" s="177">
        <f t="shared" si="101"/>
        <v>0</v>
      </c>
      <c r="AZ78" s="177">
        <f t="shared" si="102"/>
        <v>0</v>
      </c>
      <c r="BA78" s="177">
        <f t="shared" si="103"/>
        <v>0</v>
      </c>
      <c r="BB78" s="177">
        <f t="shared" si="104"/>
        <v>0</v>
      </c>
      <c r="BC78" s="177">
        <f t="shared" si="105"/>
        <v>0</v>
      </c>
      <c r="BD78" s="177">
        <f t="shared" si="106"/>
        <v>0</v>
      </c>
      <c r="BE78" s="177">
        <f t="shared" si="107"/>
        <v>0</v>
      </c>
      <c r="BF78" s="178">
        <f t="shared" si="125"/>
        <v>0</v>
      </c>
    </row>
    <row r="79" spans="1:58" ht="15.95" customHeight="1">
      <c r="A79" s="171">
        <f t="shared" si="108"/>
        <v>11</v>
      </c>
      <c r="B79" s="171" t="s">
        <v>2111</v>
      </c>
      <c r="C79" s="171"/>
      <c r="D79" s="171" t="s">
        <v>1662</v>
      </c>
      <c r="E79" s="172" t="str">
        <f t="shared" si="92"/>
        <v>IT Professional &amp; MS Services</v>
      </c>
      <c r="F79" s="172"/>
      <c r="G79" s="77" t="s">
        <v>2613</v>
      </c>
      <c r="H79" s="173" t="s">
        <v>2614</v>
      </c>
      <c r="I79" s="173" t="s">
        <v>2046</v>
      </c>
      <c r="J79" s="184"/>
      <c r="K79" s="456">
        <v>45809</v>
      </c>
      <c r="L79" s="456">
        <v>45838</v>
      </c>
      <c r="M79" s="462">
        <f t="shared" si="110"/>
        <v>1</v>
      </c>
      <c r="N79" s="177">
        <f t="shared" ref="N79:Y85" si="126">IF(AND($K79&lt;=N$3,N$3&lt;=$L79),$J79/$M79,0)</f>
        <v>0</v>
      </c>
      <c r="O79" s="177">
        <f t="shared" si="126"/>
        <v>0</v>
      </c>
      <c r="P79" s="177">
        <f t="shared" si="126"/>
        <v>0</v>
      </c>
      <c r="Q79" s="177">
        <f t="shared" si="126"/>
        <v>0</v>
      </c>
      <c r="R79" s="177">
        <f t="shared" si="126"/>
        <v>0</v>
      </c>
      <c r="S79" s="177">
        <f t="shared" si="126"/>
        <v>0</v>
      </c>
      <c r="T79" s="177">
        <f t="shared" si="126"/>
        <v>0</v>
      </c>
      <c r="U79" s="177">
        <f t="shared" si="126"/>
        <v>0</v>
      </c>
      <c r="V79" s="177">
        <f t="shared" si="126"/>
        <v>0</v>
      </c>
      <c r="W79" s="177">
        <f t="shared" si="126"/>
        <v>0</v>
      </c>
      <c r="X79" s="177">
        <f t="shared" si="126"/>
        <v>0</v>
      </c>
      <c r="Y79" s="177">
        <f t="shared" si="126"/>
        <v>0</v>
      </c>
      <c r="Z79" s="178">
        <f t="shared" si="111"/>
        <v>0</v>
      </c>
      <c r="AA79" s="173" t="s">
        <v>2046</v>
      </c>
      <c r="AB79" s="184"/>
      <c r="AC79" s="456">
        <v>46174</v>
      </c>
      <c r="AD79" s="456">
        <v>46203</v>
      </c>
      <c r="AE79" s="462">
        <f t="shared" si="94"/>
        <v>1</v>
      </c>
      <c r="AF79" s="177">
        <f t="shared" si="112"/>
        <v>0</v>
      </c>
      <c r="AG79" s="177">
        <f t="shared" si="113"/>
        <v>0</v>
      </c>
      <c r="AH79" s="177">
        <f t="shared" si="114"/>
        <v>0</v>
      </c>
      <c r="AI79" s="177">
        <f t="shared" si="115"/>
        <v>0</v>
      </c>
      <c r="AJ79" s="177">
        <f t="shared" si="116"/>
        <v>0</v>
      </c>
      <c r="AK79" s="177">
        <f t="shared" si="117"/>
        <v>0</v>
      </c>
      <c r="AL79" s="177">
        <f t="shared" si="118"/>
        <v>0</v>
      </c>
      <c r="AM79" s="177">
        <f t="shared" si="119"/>
        <v>0</v>
      </c>
      <c r="AN79" s="177">
        <f t="shared" si="120"/>
        <v>0</v>
      </c>
      <c r="AO79" s="177">
        <f t="shared" si="121"/>
        <v>0</v>
      </c>
      <c r="AP79" s="177">
        <f t="shared" si="122"/>
        <v>0</v>
      </c>
      <c r="AQ79" s="177">
        <f t="shared" si="123"/>
        <v>0</v>
      </c>
      <c r="AR79" s="178">
        <f t="shared" si="124"/>
        <v>0</v>
      </c>
      <c r="AT79" s="177">
        <f t="shared" si="96"/>
        <v>0</v>
      </c>
      <c r="AU79" s="177">
        <f t="shared" si="97"/>
        <v>0</v>
      </c>
      <c r="AV79" s="177">
        <f t="shared" si="98"/>
        <v>0</v>
      </c>
      <c r="AW79" s="177">
        <f t="shared" si="99"/>
        <v>0</v>
      </c>
      <c r="AX79" s="177">
        <f t="shared" si="100"/>
        <v>0</v>
      </c>
      <c r="AY79" s="177">
        <f t="shared" si="101"/>
        <v>0</v>
      </c>
      <c r="AZ79" s="177">
        <f t="shared" si="102"/>
        <v>0</v>
      </c>
      <c r="BA79" s="177">
        <f t="shared" si="103"/>
        <v>0</v>
      </c>
      <c r="BB79" s="177">
        <f t="shared" si="104"/>
        <v>0</v>
      </c>
      <c r="BC79" s="177">
        <f t="shared" si="105"/>
        <v>0</v>
      </c>
      <c r="BD79" s="177">
        <f t="shared" si="106"/>
        <v>0</v>
      </c>
      <c r="BE79" s="177">
        <f t="shared" si="107"/>
        <v>0</v>
      </c>
      <c r="BF79" s="178">
        <f t="shared" si="125"/>
        <v>0</v>
      </c>
    </row>
    <row r="80" spans="1:58" ht="15.95" customHeight="1">
      <c r="A80" s="171">
        <f t="shared" si="108"/>
        <v>12</v>
      </c>
      <c r="B80" s="171" t="s">
        <v>2111</v>
      </c>
      <c r="C80" s="171"/>
      <c r="D80" s="171" t="s">
        <v>1667</v>
      </c>
      <c r="E80" s="172" t="str">
        <f t="shared" si="92"/>
        <v>IT Professional &amp; MS Services</v>
      </c>
      <c r="F80" s="172"/>
      <c r="G80" s="77" t="s">
        <v>2613</v>
      </c>
      <c r="H80" s="173" t="s">
        <v>2614</v>
      </c>
      <c r="I80" s="173" t="s">
        <v>2046</v>
      </c>
      <c r="J80" s="184"/>
      <c r="K80" s="456">
        <v>45809</v>
      </c>
      <c r="L80" s="456">
        <v>45838</v>
      </c>
      <c r="M80" s="462">
        <f t="shared" si="110"/>
        <v>1</v>
      </c>
      <c r="N80" s="177">
        <f t="shared" si="126"/>
        <v>0</v>
      </c>
      <c r="O80" s="177">
        <f t="shared" si="126"/>
        <v>0</v>
      </c>
      <c r="P80" s="177">
        <f t="shared" si="126"/>
        <v>0</v>
      </c>
      <c r="Q80" s="177">
        <f t="shared" si="126"/>
        <v>0</v>
      </c>
      <c r="R80" s="177">
        <f t="shared" si="126"/>
        <v>0</v>
      </c>
      <c r="S80" s="177">
        <f t="shared" si="126"/>
        <v>0</v>
      </c>
      <c r="T80" s="177">
        <f t="shared" si="126"/>
        <v>0</v>
      </c>
      <c r="U80" s="177">
        <f t="shared" si="126"/>
        <v>0</v>
      </c>
      <c r="V80" s="177">
        <f t="shared" si="126"/>
        <v>0</v>
      </c>
      <c r="W80" s="177">
        <f t="shared" si="126"/>
        <v>0</v>
      </c>
      <c r="X80" s="177">
        <f t="shared" si="126"/>
        <v>0</v>
      </c>
      <c r="Y80" s="177">
        <f t="shared" si="126"/>
        <v>0</v>
      </c>
      <c r="Z80" s="178">
        <f t="shared" si="111"/>
        <v>0</v>
      </c>
      <c r="AA80" s="173" t="s">
        <v>2046</v>
      </c>
      <c r="AB80" s="184"/>
      <c r="AC80" s="456">
        <v>46174</v>
      </c>
      <c r="AD80" s="456">
        <v>46203</v>
      </c>
      <c r="AE80" s="462">
        <f t="shared" si="94"/>
        <v>1</v>
      </c>
      <c r="AF80" s="177">
        <f t="shared" si="112"/>
        <v>0</v>
      </c>
      <c r="AG80" s="177">
        <f t="shared" si="113"/>
        <v>0</v>
      </c>
      <c r="AH80" s="177">
        <f t="shared" si="114"/>
        <v>0</v>
      </c>
      <c r="AI80" s="177">
        <f t="shared" si="115"/>
        <v>0</v>
      </c>
      <c r="AJ80" s="177">
        <f t="shared" si="116"/>
        <v>0</v>
      </c>
      <c r="AK80" s="177">
        <f t="shared" si="117"/>
        <v>0</v>
      </c>
      <c r="AL80" s="177">
        <f t="shared" si="118"/>
        <v>0</v>
      </c>
      <c r="AM80" s="177">
        <f t="shared" si="119"/>
        <v>0</v>
      </c>
      <c r="AN80" s="177">
        <f t="shared" si="120"/>
        <v>0</v>
      </c>
      <c r="AO80" s="177">
        <f t="shared" si="121"/>
        <v>0</v>
      </c>
      <c r="AP80" s="177">
        <f t="shared" si="122"/>
        <v>0</v>
      </c>
      <c r="AQ80" s="177">
        <f t="shared" si="123"/>
        <v>0</v>
      </c>
      <c r="AR80" s="178">
        <f t="shared" si="124"/>
        <v>0</v>
      </c>
      <c r="AT80" s="177">
        <f t="shared" si="96"/>
        <v>0</v>
      </c>
      <c r="AU80" s="177">
        <f t="shared" si="97"/>
        <v>0</v>
      </c>
      <c r="AV80" s="177">
        <f t="shared" si="98"/>
        <v>0</v>
      </c>
      <c r="AW80" s="177">
        <f t="shared" si="99"/>
        <v>0</v>
      </c>
      <c r="AX80" s="177">
        <f t="shared" si="100"/>
        <v>0</v>
      </c>
      <c r="AY80" s="177">
        <f t="shared" si="101"/>
        <v>0</v>
      </c>
      <c r="AZ80" s="177">
        <f t="shared" si="102"/>
        <v>0</v>
      </c>
      <c r="BA80" s="177">
        <f t="shared" si="103"/>
        <v>0</v>
      </c>
      <c r="BB80" s="177">
        <f t="shared" si="104"/>
        <v>0</v>
      </c>
      <c r="BC80" s="177">
        <f t="shared" si="105"/>
        <v>0</v>
      </c>
      <c r="BD80" s="177">
        <f t="shared" si="106"/>
        <v>0</v>
      </c>
      <c r="BE80" s="177">
        <f t="shared" si="107"/>
        <v>0</v>
      </c>
      <c r="BF80" s="178">
        <f t="shared" si="125"/>
        <v>0</v>
      </c>
    </row>
    <row r="81" spans="1:58" ht="15.95" customHeight="1">
      <c r="A81" s="171">
        <f t="shared" si="108"/>
        <v>13</v>
      </c>
      <c r="B81" s="171" t="s">
        <v>2111</v>
      </c>
      <c r="C81" s="171"/>
      <c r="D81" s="171"/>
      <c r="E81" s="172" t="str">
        <f t="shared" si="92"/>
        <v>Capital Verification Fees</v>
      </c>
      <c r="F81" s="172"/>
      <c r="G81" s="77" t="s">
        <v>2613</v>
      </c>
      <c r="H81" s="173" t="s">
        <v>2614</v>
      </c>
      <c r="I81" s="173" t="s">
        <v>2046</v>
      </c>
      <c r="J81" s="184"/>
      <c r="K81" s="456">
        <v>45658</v>
      </c>
      <c r="L81" s="456">
        <v>46022</v>
      </c>
      <c r="M81" s="462">
        <f t="shared" si="110"/>
        <v>12</v>
      </c>
      <c r="N81" s="177">
        <f t="shared" si="126"/>
        <v>0</v>
      </c>
      <c r="O81" s="177">
        <f t="shared" si="126"/>
        <v>0</v>
      </c>
      <c r="P81" s="177">
        <f t="shared" si="126"/>
        <v>0</v>
      </c>
      <c r="Q81" s="177">
        <f t="shared" si="126"/>
        <v>0</v>
      </c>
      <c r="R81" s="177">
        <f t="shared" si="126"/>
        <v>0</v>
      </c>
      <c r="S81" s="177">
        <f t="shared" si="126"/>
        <v>0</v>
      </c>
      <c r="T81" s="177">
        <f t="shared" si="126"/>
        <v>0</v>
      </c>
      <c r="U81" s="177">
        <f t="shared" si="126"/>
        <v>0</v>
      </c>
      <c r="V81" s="177">
        <f t="shared" si="126"/>
        <v>0</v>
      </c>
      <c r="W81" s="177">
        <f t="shared" si="126"/>
        <v>0</v>
      </c>
      <c r="X81" s="177">
        <f t="shared" si="126"/>
        <v>0</v>
      </c>
      <c r="Y81" s="177">
        <f t="shared" si="126"/>
        <v>0</v>
      </c>
      <c r="Z81" s="178">
        <f t="shared" si="111"/>
        <v>0</v>
      </c>
      <c r="AA81" s="173" t="s">
        <v>2046</v>
      </c>
      <c r="AB81" s="184"/>
      <c r="AC81" s="456">
        <v>46023</v>
      </c>
      <c r="AD81" s="456">
        <v>46387</v>
      </c>
      <c r="AE81" s="462">
        <f t="shared" si="94"/>
        <v>12</v>
      </c>
      <c r="AF81" s="177">
        <f t="shared" si="112"/>
        <v>0</v>
      </c>
      <c r="AG81" s="177">
        <f t="shared" si="113"/>
        <v>0</v>
      </c>
      <c r="AH81" s="177">
        <f t="shared" si="114"/>
        <v>0</v>
      </c>
      <c r="AI81" s="177">
        <f t="shared" si="115"/>
        <v>0</v>
      </c>
      <c r="AJ81" s="177">
        <f t="shared" si="116"/>
        <v>0</v>
      </c>
      <c r="AK81" s="177">
        <f t="shared" si="117"/>
        <v>0</v>
      </c>
      <c r="AL81" s="177">
        <f t="shared" si="118"/>
        <v>0</v>
      </c>
      <c r="AM81" s="177">
        <f t="shared" si="119"/>
        <v>0</v>
      </c>
      <c r="AN81" s="177">
        <f t="shared" si="120"/>
        <v>0</v>
      </c>
      <c r="AO81" s="177">
        <f t="shared" si="121"/>
        <v>0</v>
      </c>
      <c r="AP81" s="177">
        <f t="shared" si="122"/>
        <v>0</v>
      </c>
      <c r="AQ81" s="177">
        <f t="shared" si="123"/>
        <v>0</v>
      </c>
      <c r="AR81" s="178">
        <f t="shared" si="124"/>
        <v>0</v>
      </c>
      <c r="AT81" s="177">
        <f t="shared" si="96"/>
        <v>0</v>
      </c>
      <c r="AU81" s="177">
        <f t="shared" si="97"/>
        <v>0</v>
      </c>
      <c r="AV81" s="177">
        <f t="shared" si="98"/>
        <v>0</v>
      </c>
      <c r="AW81" s="177">
        <f t="shared" si="99"/>
        <v>0</v>
      </c>
      <c r="AX81" s="177">
        <f t="shared" si="100"/>
        <v>0</v>
      </c>
      <c r="AY81" s="177">
        <f t="shared" si="101"/>
        <v>0</v>
      </c>
      <c r="AZ81" s="177">
        <f t="shared" si="102"/>
        <v>0</v>
      </c>
      <c r="BA81" s="177">
        <f t="shared" si="103"/>
        <v>0</v>
      </c>
      <c r="BB81" s="177">
        <f t="shared" si="104"/>
        <v>0</v>
      </c>
      <c r="BC81" s="177">
        <f t="shared" si="105"/>
        <v>0</v>
      </c>
      <c r="BD81" s="177">
        <f t="shared" si="106"/>
        <v>0</v>
      </c>
      <c r="BE81" s="177">
        <f t="shared" si="107"/>
        <v>0</v>
      </c>
      <c r="BF81" s="178">
        <f t="shared" si="125"/>
        <v>0</v>
      </c>
    </row>
    <row r="82" spans="1:58" ht="15.95" customHeight="1">
      <c r="A82" s="171">
        <f t="shared" si="108"/>
        <v>14</v>
      </c>
      <c r="B82" s="171" t="s">
        <v>2111</v>
      </c>
      <c r="C82" s="171"/>
      <c r="D82" s="171"/>
      <c r="E82" s="172" t="str">
        <f t="shared" si="92"/>
        <v>Industry Research Fee</v>
      </c>
      <c r="F82" s="172"/>
      <c r="G82" s="77" t="s">
        <v>2613</v>
      </c>
      <c r="H82" s="173" t="s">
        <v>2614</v>
      </c>
      <c r="I82" s="173" t="s">
        <v>2046</v>
      </c>
      <c r="J82" s="184"/>
      <c r="K82" s="456">
        <v>45658</v>
      </c>
      <c r="L82" s="456">
        <v>46022</v>
      </c>
      <c r="M82" s="462">
        <f t="shared" si="110"/>
        <v>12</v>
      </c>
      <c r="N82" s="177">
        <f t="shared" si="126"/>
        <v>0</v>
      </c>
      <c r="O82" s="177">
        <f t="shared" si="126"/>
        <v>0</v>
      </c>
      <c r="P82" s="177">
        <f t="shared" si="126"/>
        <v>0</v>
      </c>
      <c r="Q82" s="177">
        <f t="shared" si="126"/>
        <v>0</v>
      </c>
      <c r="R82" s="177">
        <f t="shared" si="126"/>
        <v>0</v>
      </c>
      <c r="S82" s="177">
        <f t="shared" si="126"/>
        <v>0</v>
      </c>
      <c r="T82" s="177">
        <f t="shared" si="126"/>
        <v>0</v>
      </c>
      <c r="U82" s="177">
        <f t="shared" si="126"/>
        <v>0</v>
      </c>
      <c r="V82" s="177">
        <f t="shared" si="126"/>
        <v>0</v>
      </c>
      <c r="W82" s="177">
        <f t="shared" si="126"/>
        <v>0</v>
      </c>
      <c r="X82" s="177">
        <f t="shared" si="126"/>
        <v>0</v>
      </c>
      <c r="Y82" s="177">
        <f t="shared" si="126"/>
        <v>0</v>
      </c>
      <c r="Z82" s="178">
        <f t="shared" si="111"/>
        <v>0</v>
      </c>
      <c r="AA82" s="173" t="s">
        <v>2046</v>
      </c>
      <c r="AB82" s="184"/>
      <c r="AC82" s="456">
        <v>46023</v>
      </c>
      <c r="AD82" s="456">
        <v>46387</v>
      </c>
      <c r="AE82" s="462">
        <f t="shared" si="94"/>
        <v>12</v>
      </c>
      <c r="AF82" s="177">
        <f t="shared" si="112"/>
        <v>0</v>
      </c>
      <c r="AG82" s="177">
        <f t="shared" si="113"/>
        <v>0</v>
      </c>
      <c r="AH82" s="177">
        <f t="shared" si="114"/>
        <v>0</v>
      </c>
      <c r="AI82" s="177">
        <f t="shared" si="115"/>
        <v>0</v>
      </c>
      <c r="AJ82" s="177">
        <f t="shared" si="116"/>
        <v>0</v>
      </c>
      <c r="AK82" s="177">
        <f t="shared" si="117"/>
        <v>0</v>
      </c>
      <c r="AL82" s="177">
        <f t="shared" si="118"/>
        <v>0</v>
      </c>
      <c r="AM82" s="177">
        <f t="shared" si="119"/>
        <v>0</v>
      </c>
      <c r="AN82" s="177">
        <f t="shared" si="120"/>
        <v>0</v>
      </c>
      <c r="AO82" s="177">
        <f t="shared" si="121"/>
        <v>0</v>
      </c>
      <c r="AP82" s="177">
        <f t="shared" si="122"/>
        <v>0</v>
      </c>
      <c r="AQ82" s="177">
        <f t="shared" si="123"/>
        <v>0</v>
      </c>
      <c r="AR82" s="178">
        <f t="shared" si="124"/>
        <v>0</v>
      </c>
      <c r="AT82" s="177">
        <f t="shared" si="96"/>
        <v>0</v>
      </c>
      <c r="AU82" s="177">
        <f t="shared" si="97"/>
        <v>0</v>
      </c>
      <c r="AV82" s="177">
        <f t="shared" si="98"/>
        <v>0</v>
      </c>
      <c r="AW82" s="177">
        <f t="shared" si="99"/>
        <v>0</v>
      </c>
      <c r="AX82" s="177">
        <f t="shared" si="100"/>
        <v>0</v>
      </c>
      <c r="AY82" s="177">
        <f t="shared" si="101"/>
        <v>0</v>
      </c>
      <c r="AZ82" s="177">
        <f t="shared" si="102"/>
        <v>0</v>
      </c>
      <c r="BA82" s="177">
        <f t="shared" si="103"/>
        <v>0</v>
      </c>
      <c r="BB82" s="177">
        <f t="shared" si="104"/>
        <v>0</v>
      </c>
      <c r="BC82" s="177">
        <f t="shared" si="105"/>
        <v>0</v>
      </c>
      <c r="BD82" s="177">
        <f t="shared" si="106"/>
        <v>0</v>
      </c>
      <c r="BE82" s="177">
        <f t="shared" si="107"/>
        <v>0</v>
      </c>
      <c r="BF82" s="178">
        <f t="shared" si="125"/>
        <v>0</v>
      </c>
    </row>
    <row r="83" spans="1:58" ht="15.95" customHeight="1">
      <c r="A83" s="171">
        <f t="shared" si="108"/>
        <v>15</v>
      </c>
      <c r="B83" s="171" t="s">
        <v>2111</v>
      </c>
      <c r="C83" s="171"/>
      <c r="D83" s="171"/>
      <c r="E83" s="172" t="str">
        <f t="shared" si="92"/>
        <v>Project Due Diligence Fee</v>
      </c>
      <c r="F83" s="172"/>
      <c r="G83" s="77" t="s">
        <v>2613</v>
      </c>
      <c r="H83" s="173" t="s">
        <v>2614</v>
      </c>
      <c r="I83" s="173" t="s">
        <v>2046</v>
      </c>
      <c r="J83" s="183">
        <f>55000+160000</f>
        <v>215000</v>
      </c>
      <c r="K83" s="456">
        <v>45748</v>
      </c>
      <c r="L83" s="456">
        <v>45777</v>
      </c>
      <c r="M83" s="462">
        <f t="shared" si="110"/>
        <v>1</v>
      </c>
      <c r="N83" s="177">
        <f t="shared" si="126"/>
        <v>0</v>
      </c>
      <c r="O83" s="177">
        <f t="shared" si="126"/>
        <v>0</v>
      </c>
      <c r="P83" s="177">
        <f t="shared" si="126"/>
        <v>0</v>
      </c>
      <c r="Q83" s="183">
        <v>55000</v>
      </c>
      <c r="R83" s="177">
        <f t="shared" si="126"/>
        <v>0</v>
      </c>
      <c r="S83" s="177">
        <f t="shared" si="126"/>
        <v>0</v>
      </c>
      <c r="T83" s="183">
        <v>160000</v>
      </c>
      <c r="U83" s="177">
        <f t="shared" si="126"/>
        <v>0</v>
      </c>
      <c r="V83" s="177">
        <f t="shared" si="126"/>
        <v>0</v>
      </c>
      <c r="W83" s="177">
        <f t="shared" si="126"/>
        <v>0</v>
      </c>
      <c r="X83" s="177">
        <f t="shared" si="126"/>
        <v>0</v>
      </c>
      <c r="Y83" s="177">
        <f t="shared" si="126"/>
        <v>0</v>
      </c>
      <c r="Z83" s="178">
        <f t="shared" si="111"/>
        <v>215000</v>
      </c>
      <c r="AA83" s="173" t="s">
        <v>2046</v>
      </c>
      <c r="AB83" s="184"/>
      <c r="AC83" s="456">
        <v>46023</v>
      </c>
      <c r="AD83" s="456">
        <v>46387</v>
      </c>
      <c r="AE83" s="462">
        <f t="shared" si="94"/>
        <v>12</v>
      </c>
      <c r="AF83" s="177">
        <f t="shared" si="112"/>
        <v>0</v>
      </c>
      <c r="AG83" s="177">
        <f t="shared" si="113"/>
        <v>0</v>
      </c>
      <c r="AH83" s="177">
        <f t="shared" si="114"/>
        <v>0</v>
      </c>
      <c r="AI83" s="177">
        <f t="shared" si="115"/>
        <v>0</v>
      </c>
      <c r="AJ83" s="177">
        <f t="shared" si="116"/>
        <v>0</v>
      </c>
      <c r="AK83" s="177">
        <f t="shared" si="117"/>
        <v>0</v>
      </c>
      <c r="AL83" s="177">
        <f t="shared" si="118"/>
        <v>0</v>
      </c>
      <c r="AM83" s="177">
        <f t="shared" si="119"/>
        <v>0</v>
      </c>
      <c r="AN83" s="177">
        <f t="shared" si="120"/>
        <v>0</v>
      </c>
      <c r="AO83" s="177">
        <f t="shared" si="121"/>
        <v>0</v>
      </c>
      <c r="AP83" s="177">
        <f t="shared" si="122"/>
        <v>0</v>
      </c>
      <c r="AQ83" s="177">
        <f t="shared" si="123"/>
        <v>0</v>
      </c>
      <c r="AR83" s="178">
        <f t="shared" si="124"/>
        <v>0</v>
      </c>
      <c r="AT83" s="177">
        <f t="shared" si="96"/>
        <v>0</v>
      </c>
      <c r="AU83" s="177">
        <f t="shared" si="97"/>
        <v>0</v>
      </c>
      <c r="AV83" s="177">
        <f t="shared" si="98"/>
        <v>0</v>
      </c>
      <c r="AW83" s="177">
        <f t="shared" si="99"/>
        <v>0</v>
      </c>
      <c r="AX83" s="177">
        <f t="shared" si="100"/>
        <v>0</v>
      </c>
      <c r="AY83" s="177">
        <f t="shared" si="101"/>
        <v>0</v>
      </c>
      <c r="AZ83" s="177">
        <f t="shared" si="102"/>
        <v>0</v>
      </c>
      <c r="BA83" s="177">
        <f t="shared" si="103"/>
        <v>0</v>
      </c>
      <c r="BB83" s="177">
        <f t="shared" si="104"/>
        <v>0</v>
      </c>
      <c r="BC83" s="177">
        <f t="shared" si="105"/>
        <v>0</v>
      </c>
      <c r="BD83" s="177">
        <f t="shared" si="106"/>
        <v>0</v>
      </c>
      <c r="BE83" s="177">
        <f t="shared" si="107"/>
        <v>0</v>
      </c>
      <c r="BF83" s="178">
        <f t="shared" si="125"/>
        <v>0</v>
      </c>
    </row>
    <row r="84" spans="1:58" ht="15.95" customHeight="1">
      <c r="A84" s="171">
        <f t="shared" si="108"/>
        <v>16</v>
      </c>
      <c r="B84" s="171" t="s">
        <v>2111</v>
      </c>
      <c r="C84" s="171" t="s">
        <v>2733</v>
      </c>
      <c r="D84" s="171" t="s">
        <v>1539</v>
      </c>
      <c r="E84" s="172" t="str">
        <f t="shared" si="92"/>
        <v>Legal Fees</v>
      </c>
      <c r="F84" s="172" t="s">
        <v>2734</v>
      </c>
      <c r="G84" s="77" t="s">
        <v>2613</v>
      </c>
      <c r="H84" s="173" t="s">
        <v>2614</v>
      </c>
      <c r="I84" s="173" t="s">
        <v>2046</v>
      </c>
      <c r="J84" s="183">
        <v>110000</v>
      </c>
      <c r="K84" s="456">
        <v>45658</v>
      </c>
      <c r="L84" s="456">
        <v>45688</v>
      </c>
      <c r="M84" s="462">
        <f t="shared" si="110"/>
        <v>1</v>
      </c>
      <c r="N84" s="177"/>
      <c r="O84" s="177">
        <f t="shared" si="126"/>
        <v>0</v>
      </c>
      <c r="P84" s="183">
        <v>30000</v>
      </c>
      <c r="Q84" s="177">
        <f t="shared" si="126"/>
        <v>0</v>
      </c>
      <c r="R84" s="177">
        <f t="shared" si="126"/>
        <v>0</v>
      </c>
      <c r="S84" s="177">
        <f t="shared" si="126"/>
        <v>0</v>
      </c>
      <c r="T84" s="177">
        <f t="shared" si="126"/>
        <v>0</v>
      </c>
      <c r="U84" s="177">
        <f t="shared" si="126"/>
        <v>0</v>
      </c>
      <c r="V84" s="187">
        <v>80000</v>
      </c>
      <c r="W84" s="177">
        <f t="shared" si="126"/>
        <v>0</v>
      </c>
      <c r="X84" s="177">
        <f t="shared" si="126"/>
        <v>0</v>
      </c>
      <c r="Y84" s="177">
        <f t="shared" si="126"/>
        <v>0</v>
      </c>
      <c r="Z84" s="178">
        <f t="shared" si="111"/>
        <v>110000</v>
      </c>
      <c r="AA84" s="173" t="s">
        <v>2046</v>
      </c>
      <c r="AB84" s="174">
        <v>150000</v>
      </c>
      <c r="AC84" s="456">
        <v>46266</v>
      </c>
      <c r="AD84" s="456">
        <v>46295</v>
      </c>
      <c r="AE84" s="462">
        <f t="shared" si="94"/>
        <v>1</v>
      </c>
      <c r="AF84" s="177">
        <f t="shared" si="112"/>
        <v>0</v>
      </c>
      <c r="AG84" s="177">
        <f t="shared" si="113"/>
        <v>0</v>
      </c>
      <c r="AH84" s="177">
        <f t="shared" si="114"/>
        <v>0</v>
      </c>
      <c r="AI84" s="177">
        <f t="shared" si="115"/>
        <v>0</v>
      </c>
      <c r="AJ84" s="177">
        <f t="shared" si="116"/>
        <v>0</v>
      </c>
      <c r="AK84" s="177">
        <f t="shared" si="117"/>
        <v>0</v>
      </c>
      <c r="AL84" s="177">
        <f t="shared" si="118"/>
        <v>0</v>
      </c>
      <c r="AM84" s="177">
        <f t="shared" si="119"/>
        <v>0</v>
      </c>
      <c r="AN84" s="177">
        <f t="shared" si="120"/>
        <v>150000</v>
      </c>
      <c r="AO84" s="177">
        <f t="shared" si="121"/>
        <v>0</v>
      </c>
      <c r="AP84" s="177">
        <f t="shared" si="122"/>
        <v>0</v>
      </c>
      <c r="AQ84" s="177">
        <f t="shared" si="123"/>
        <v>0</v>
      </c>
      <c r="AR84" s="178">
        <f t="shared" si="124"/>
        <v>150000</v>
      </c>
      <c r="AT84" s="177">
        <f t="shared" si="96"/>
        <v>0</v>
      </c>
      <c r="AU84" s="177">
        <f t="shared" si="97"/>
        <v>0</v>
      </c>
      <c r="AV84" s="177">
        <f t="shared" si="98"/>
        <v>0</v>
      </c>
      <c r="AW84" s="177">
        <f t="shared" si="99"/>
        <v>0</v>
      </c>
      <c r="AX84" s="177">
        <f t="shared" si="100"/>
        <v>0</v>
      </c>
      <c r="AY84" s="177">
        <f t="shared" si="101"/>
        <v>0</v>
      </c>
      <c r="AZ84" s="177">
        <f t="shared" si="102"/>
        <v>0</v>
      </c>
      <c r="BA84" s="177">
        <f t="shared" si="103"/>
        <v>0</v>
      </c>
      <c r="BB84" s="177">
        <f t="shared" si="104"/>
        <v>157500</v>
      </c>
      <c r="BC84" s="177">
        <f t="shared" si="105"/>
        <v>0</v>
      </c>
      <c r="BD84" s="177">
        <f t="shared" si="106"/>
        <v>0</v>
      </c>
      <c r="BE84" s="177">
        <f t="shared" si="107"/>
        <v>0</v>
      </c>
      <c r="BF84" s="178">
        <f t="shared" si="125"/>
        <v>157500</v>
      </c>
    </row>
    <row r="85" spans="1:58" ht="15.95" customHeight="1">
      <c r="A85" s="171">
        <f t="shared" si="108"/>
        <v>17</v>
      </c>
      <c r="B85" s="171" t="s">
        <v>2111</v>
      </c>
      <c r="C85" s="171"/>
      <c r="D85" s="171" t="s">
        <v>1867</v>
      </c>
      <c r="E85" s="172" t="str">
        <f t="shared" si="92"/>
        <v>Training expense</v>
      </c>
      <c r="F85" s="172"/>
      <c r="G85" s="77" t="s">
        <v>2613</v>
      </c>
      <c r="H85" s="173" t="s">
        <v>2614</v>
      </c>
      <c r="I85" s="173" t="s">
        <v>2046</v>
      </c>
      <c r="J85" s="184"/>
      <c r="K85" s="456">
        <v>45658</v>
      </c>
      <c r="L85" s="456">
        <v>46022</v>
      </c>
      <c r="M85" s="462">
        <f t="shared" si="110"/>
        <v>12</v>
      </c>
      <c r="N85" s="177">
        <f t="shared" si="126"/>
        <v>0</v>
      </c>
      <c r="O85" s="177">
        <f t="shared" si="126"/>
        <v>0</v>
      </c>
      <c r="P85" s="177">
        <f t="shared" si="126"/>
        <v>0</v>
      </c>
      <c r="Q85" s="177">
        <f t="shared" si="126"/>
        <v>0</v>
      </c>
      <c r="R85" s="177">
        <f t="shared" si="126"/>
        <v>0</v>
      </c>
      <c r="S85" s="177">
        <f t="shared" si="126"/>
        <v>0</v>
      </c>
      <c r="T85" s="177">
        <f t="shared" si="126"/>
        <v>0</v>
      </c>
      <c r="U85" s="177">
        <f t="shared" si="126"/>
        <v>0</v>
      </c>
      <c r="V85" s="177">
        <f t="shared" si="126"/>
        <v>0</v>
      </c>
      <c r="W85" s="177">
        <f t="shared" si="126"/>
        <v>0</v>
      </c>
      <c r="X85" s="177">
        <f t="shared" si="126"/>
        <v>0</v>
      </c>
      <c r="Y85" s="177">
        <f t="shared" si="126"/>
        <v>0</v>
      </c>
      <c r="Z85" s="178">
        <f t="shared" si="111"/>
        <v>0</v>
      </c>
      <c r="AA85" s="173" t="s">
        <v>2046</v>
      </c>
      <c r="AB85" s="184"/>
      <c r="AC85" s="456">
        <v>46023</v>
      </c>
      <c r="AD85" s="456">
        <v>46387</v>
      </c>
      <c r="AE85" s="462">
        <f t="shared" si="94"/>
        <v>12</v>
      </c>
      <c r="AF85" s="177">
        <f t="shared" si="112"/>
        <v>0</v>
      </c>
      <c r="AG85" s="177">
        <f t="shared" si="113"/>
        <v>0</v>
      </c>
      <c r="AH85" s="177">
        <f t="shared" si="114"/>
        <v>0</v>
      </c>
      <c r="AI85" s="177">
        <f t="shared" si="115"/>
        <v>0</v>
      </c>
      <c r="AJ85" s="177">
        <f t="shared" si="116"/>
        <v>0</v>
      </c>
      <c r="AK85" s="177">
        <f t="shared" si="117"/>
        <v>0</v>
      </c>
      <c r="AL85" s="177">
        <f t="shared" si="118"/>
        <v>0</v>
      </c>
      <c r="AM85" s="177">
        <f t="shared" si="119"/>
        <v>0</v>
      </c>
      <c r="AN85" s="177">
        <f t="shared" si="120"/>
        <v>0</v>
      </c>
      <c r="AO85" s="177">
        <f t="shared" si="121"/>
        <v>0</v>
      </c>
      <c r="AP85" s="177">
        <f t="shared" si="122"/>
        <v>0</v>
      </c>
      <c r="AQ85" s="177">
        <f t="shared" si="123"/>
        <v>0</v>
      </c>
      <c r="AR85" s="178">
        <f t="shared" si="124"/>
        <v>0</v>
      </c>
      <c r="AT85" s="177">
        <f t="shared" si="96"/>
        <v>0</v>
      </c>
      <c r="AU85" s="177">
        <f t="shared" si="97"/>
        <v>0</v>
      </c>
      <c r="AV85" s="177">
        <f t="shared" si="98"/>
        <v>0</v>
      </c>
      <c r="AW85" s="177">
        <f t="shared" si="99"/>
        <v>0</v>
      </c>
      <c r="AX85" s="177">
        <f t="shared" si="100"/>
        <v>0</v>
      </c>
      <c r="AY85" s="177">
        <f t="shared" si="101"/>
        <v>0</v>
      </c>
      <c r="AZ85" s="177">
        <f t="shared" si="102"/>
        <v>0</v>
      </c>
      <c r="BA85" s="177">
        <f t="shared" si="103"/>
        <v>0</v>
      </c>
      <c r="BB85" s="177">
        <f t="shared" si="104"/>
        <v>0</v>
      </c>
      <c r="BC85" s="177">
        <f t="shared" si="105"/>
        <v>0</v>
      </c>
      <c r="BD85" s="177">
        <f t="shared" si="106"/>
        <v>0</v>
      </c>
      <c r="BE85" s="177">
        <f t="shared" si="107"/>
        <v>0</v>
      </c>
      <c r="BF85" s="178">
        <f t="shared" si="125"/>
        <v>0</v>
      </c>
    </row>
    <row r="87" spans="1:58" s="151" customFormat="1" ht="13.5" thickBot="1">
      <c r="B87" s="151" t="str">
        <f>B85</f>
        <v>ACPLSZ</v>
      </c>
      <c r="C87" s="151" t="str">
        <f>'CF-ACPL（合并）'!A25</f>
        <v>支付的其他与经营活动有关的现金（专业服务费）</v>
      </c>
      <c r="J87" s="185">
        <f>SUM(J69:J85)</f>
        <v>485040</v>
      </c>
      <c r="N87" s="185">
        <f t="shared" ref="N87:T87" si="127">SUM(N69:N85)</f>
        <v>3150</v>
      </c>
      <c r="O87" s="185">
        <f t="shared" si="127"/>
        <v>3150</v>
      </c>
      <c r="P87" s="185">
        <f t="shared" si="127"/>
        <v>33150</v>
      </c>
      <c r="Q87" s="185">
        <f t="shared" si="127"/>
        <v>58150</v>
      </c>
      <c r="R87" s="185">
        <f t="shared" si="127"/>
        <v>3150</v>
      </c>
      <c r="S87" s="185">
        <f t="shared" si="127"/>
        <v>73990</v>
      </c>
      <c r="T87" s="185">
        <f t="shared" si="127"/>
        <v>162150</v>
      </c>
      <c r="U87" s="185">
        <f t="shared" ref="U87:Z87" si="128">SUM(U69:U85)</f>
        <v>19550</v>
      </c>
      <c r="V87" s="185">
        <f t="shared" si="128"/>
        <v>92150</v>
      </c>
      <c r="W87" s="185">
        <f t="shared" si="128"/>
        <v>12150</v>
      </c>
      <c r="X87" s="185">
        <f t="shared" si="128"/>
        <v>12150</v>
      </c>
      <c r="Y87" s="185">
        <f t="shared" si="128"/>
        <v>12150</v>
      </c>
      <c r="Z87" s="461">
        <f t="shared" si="128"/>
        <v>485040</v>
      </c>
      <c r="AB87" s="461">
        <f>SUM(AB69:AB85)</f>
        <v>725775</v>
      </c>
      <c r="AF87" s="461">
        <f>SUM(AF69:AF85)</f>
        <v>3400</v>
      </c>
      <c r="AG87" s="461">
        <f t="shared" ref="AG87:AR87" si="129">SUM(AG69:AG85)</f>
        <v>94480</v>
      </c>
      <c r="AH87" s="461">
        <f t="shared" si="129"/>
        <v>3400</v>
      </c>
      <c r="AI87" s="461">
        <f t="shared" si="129"/>
        <v>16400</v>
      </c>
      <c r="AJ87" s="461">
        <f t="shared" si="129"/>
        <v>16400</v>
      </c>
      <c r="AK87" s="461">
        <f t="shared" si="129"/>
        <v>427655</v>
      </c>
      <c r="AL87" s="461">
        <f t="shared" si="129"/>
        <v>18920</v>
      </c>
      <c r="AM87" s="461">
        <f t="shared" si="129"/>
        <v>20600</v>
      </c>
      <c r="AN87" s="461">
        <f t="shared" si="129"/>
        <v>166400</v>
      </c>
      <c r="AO87" s="461">
        <f t="shared" si="129"/>
        <v>16400</v>
      </c>
      <c r="AP87" s="461">
        <f t="shared" si="129"/>
        <v>16400</v>
      </c>
      <c r="AQ87" s="461">
        <f t="shared" si="129"/>
        <v>16400</v>
      </c>
      <c r="AR87" s="461">
        <f t="shared" si="129"/>
        <v>816855</v>
      </c>
      <c r="AT87" s="461">
        <f>SUM(AT69:AT85)</f>
        <v>3570</v>
      </c>
      <c r="AU87" s="461">
        <f t="shared" ref="AU87:BF87" si="130">SUM(AU69:AU85)</f>
        <v>99204</v>
      </c>
      <c r="AV87" s="461">
        <f t="shared" si="130"/>
        <v>3570</v>
      </c>
      <c r="AW87" s="461">
        <f t="shared" si="130"/>
        <v>17220</v>
      </c>
      <c r="AX87" s="461">
        <f t="shared" si="130"/>
        <v>17220</v>
      </c>
      <c r="AY87" s="461">
        <f t="shared" si="130"/>
        <v>449037.75</v>
      </c>
      <c r="AZ87" s="461">
        <f t="shared" si="130"/>
        <v>19866</v>
      </c>
      <c r="BA87" s="461">
        <f t="shared" si="130"/>
        <v>21630</v>
      </c>
      <c r="BB87" s="461">
        <f t="shared" si="130"/>
        <v>174720</v>
      </c>
      <c r="BC87" s="461">
        <f t="shared" si="130"/>
        <v>17220</v>
      </c>
      <c r="BD87" s="461">
        <f t="shared" si="130"/>
        <v>17220</v>
      </c>
      <c r="BE87" s="461">
        <f t="shared" si="130"/>
        <v>17220</v>
      </c>
      <c r="BF87" s="461">
        <f t="shared" si="130"/>
        <v>857697.75</v>
      </c>
    </row>
    <row r="88" spans="1:58" ht="13.5" thickTop="1"/>
    <row r="89" spans="1:58" s="150" customFormat="1" ht="12" customHeight="1">
      <c r="A89" s="162"/>
      <c r="B89" s="162" t="s">
        <v>2598</v>
      </c>
      <c r="C89" s="162" t="s">
        <v>2401</v>
      </c>
      <c r="D89" s="162" t="s">
        <v>2704</v>
      </c>
      <c r="E89" s="163" t="str">
        <f>$E$3</f>
        <v>Professional Fee</v>
      </c>
      <c r="F89" s="163"/>
      <c r="G89" s="164" t="s">
        <v>2604</v>
      </c>
      <c r="H89" s="164" t="s">
        <v>2605</v>
      </c>
      <c r="I89" s="165" t="s">
        <v>2606</v>
      </c>
      <c r="J89" s="464" t="s">
        <v>2607</v>
      </c>
      <c r="K89" s="465" t="s">
        <v>2608</v>
      </c>
      <c r="L89" s="465" t="s">
        <v>2609</v>
      </c>
      <c r="M89" s="464" t="s">
        <v>2610</v>
      </c>
      <c r="N89" s="69">
        <v>45658</v>
      </c>
      <c r="O89" s="69">
        <v>45689</v>
      </c>
      <c r="P89" s="69">
        <v>45717</v>
      </c>
      <c r="Q89" s="69">
        <v>45748</v>
      </c>
      <c r="R89" s="69">
        <v>45778</v>
      </c>
      <c r="S89" s="69">
        <v>45809</v>
      </c>
      <c r="T89" s="69">
        <v>45839</v>
      </c>
      <c r="U89" s="69">
        <v>45870</v>
      </c>
      <c r="V89" s="69">
        <v>45901</v>
      </c>
      <c r="W89" s="69">
        <v>45931</v>
      </c>
      <c r="X89" s="69">
        <v>45962</v>
      </c>
      <c r="Y89" s="69">
        <v>45992</v>
      </c>
      <c r="Z89" s="168" t="s">
        <v>2115</v>
      </c>
      <c r="AA89" s="165" t="s">
        <v>2606</v>
      </c>
      <c r="AB89" s="464" t="s">
        <v>2607</v>
      </c>
      <c r="AC89" s="465" t="s">
        <v>2608</v>
      </c>
      <c r="AD89" s="465" t="s">
        <v>2609</v>
      </c>
      <c r="AE89" s="464" t="s">
        <v>2610</v>
      </c>
      <c r="AF89" s="69">
        <v>46023</v>
      </c>
      <c r="AG89" s="69">
        <v>46054</v>
      </c>
      <c r="AH89" s="69">
        <v>46082</v>
      </c>
      <c r="AI89" s="69">
        <v>46113</v>
      </c>
      <c r="AJ89" s="69">
        <v>46143</v>
      </c>
      <c r="AK89" s="69">
        <v>46174</v>
      </c>
      <c r="AL89" s="69">
        <v>46204</v>
      </c>
      <c r="AM89" s="69">
        <v>46235</v>
      </c>
      <c r="AN89" s="69">
        <v>46266</v>
      </c>
      <c r="AO89" s="69">
        <v>46296</v>
      </c>
      <c r="AP89" s="69">
        <v>46327</v>
      </c>
      <c r="AQ89" s="69">
        <v>46357</v>
      </c>
      <c r="AR89" s="168" t="s">
        <v>2706</v>
      </c>
      <c r="AT89" s="69">
        <f t="shared" ref="AT89:BF89" si="131">AT$3</f>
        <v>46388</v>
      </c>
      <c r="AU89" s="69">
        <f t="shared" si="131"/>
        <v>46419</v>
      </c>
      <c r="AV89" s="69">
        <f t="shared" si="131"/>
        <v>46447</v>
      </c>
      <c r="AW89" s="69">
        <f t="shared" si="131"/>
        <v>46478</v>
      </c>
      <c r="AX89" s="69">
        <f t="shared" si="131"/>
        <v>46508</v>
      </c>
      <c r="AY89" s="69">
        <f t="shared" si="131"/>
        <v>46539</v>
      </c>
      <c r="AZ89" s="69">
        <f t="shared" si="131"/>
        <v>46569</v>
      </c>
      <c r="BA89" s="69">
        <f t="shared" si="131"/>
        <v>46600</v>
      </c>
      <c r="BB89" s="69">
        <f t="shared" si="131"/>
        <v>46631</v>
      </c>
      <c r="BC89" s="69">
        <f t="shared" si="131"/>
        <v>46661</v>
      </c>
      <c r="BD89" s="69">
        <f t="shared" si="131"/>
        <v>46692</v>
      </c>
      <c r="BE89" s="69">
        <f t="shared" si="131"/>
        <v>46722</v>
      </c>
      <c r="BF89" s="168" t="str">
        <f t="shared" si="131"/>
        <v>2027Total</v>
      </c>
    </row>
    <row r="90" spans="1:58" ht="14.1" customHeight="1">
      <c r="A90" s="171">
        <v>1</v>
      </c>
      <c r="B90" s="171" t="s">
        <v>2242</v>
      </c>
      <c r="C90" s="171"/>
      <c r="D90" s="171" t="s">
        <v>1514</v>
      </c>
      <c r="E90" s="172" t="str">
        <f t="shared" ref="E90:E97" si="132">E6</f>
        <v>Accounting / Payment Services</v>
      </c>
      <c r="F90" s="172"/>
      <c r="G90" s="77" t="s">
        <v>2613</v>
      </c>
      <c r="H90" s="173" t="s">
        <v>2614</v>
      </c>
      <c r="I90" s="173" t="s">
        <v>2046</v>
      </c>
      <c r="J90" s="184"/>
      <c r="K90" s="456">
        <v>45658</v>
      </c>
      <c r="L90" s="456">
        <v>46022</v>
      </c>
      <c r="M90" s="462">
        <f>IF(AND(K90="",L90=""),"-",IF(L90="",12,DATEDIF(K90,L90,"M")+1))</f>
        <v>12</v>
      </c>
      <c r="N90" s="177">
        <f t="shared" ref="N90:Y97" si="133">IF(AND($K90&lt;=N$3,N$3&lt;=$L90),$J90/$M90,0)</f>
        <v>0</v>
      </c>
      <c r="O90" s="177">
        <f t="shared" si="133"/>
        <v>0</v>
      </c>
      <c r="P90" s="177">
        <f t="shared" si="133"/>
        <v>0</v>
      </c>
      <c r="Q90" s="177">
        <f t="shared" si="133"/>
        <v>0</v>
      </c>
      <c r="R90" s="177">
        <f t="shared" si="133"/>
        <v>0</v>
      </c>
      <c r="S90" s="177">
        <f t="shared" si="133"/>
        <v>0</v>
      </c>
      <c r="T90" s="177">
        <f t="shared" si="133"/>
        <v>0</v>
      </c>
      <c r="U90" s="177">
        <f t="shared" si="133"/>
        <v>0</v>
      </c>
      <c r="V90" s="177">
        <f t="shared" si="133"/>
        <v>0</v>
      </c>
      <c r="W90" s="177">
        <f t="shared" si="133"/>
        <v>0</v>
      </c>
      <c r="X90" s="177">
        <f t="shared" si="133"/>
        <v>0</v>
      </c>
      <c r="Y90" s="177">
        <f t="shared" si="133"/>
        <v>0</v>
      </c>
      <c r="Z90" s="178">
        <f>SUM(N90:Y90)</f>
        <v>0</v>
      </c>
      <c r="AA90" s="173" t="s">
        <v>2046</v>
      </c>
      <c r="AB90" s="184"/>
      <c r="AC90" s="456">
        <v>46023</v>
      </c>
      <c r="AD90" s="456">
        <v>46387</v>
      </c>
      <c r="AE90" s="462">
        <f t="shared" ref="AE90:AE106" si="134">IF(AND(AC90="",AD90=""),"-",IF(AD90="",12,DATEDIF(AC90,AD90,"M")+1))</f>
        <v>12</v>
      </c>
      <c r="AF90" s="177">
        <f>IF(AND($AC90&lt;=AF$3,AF$3&lt;=$AD90),$AB90/$AE90,0)</f>
        <v>0</v>
      </c>
      <c r="AG90" s="177">
        <f t="shared" ref="AG90:AQ90" si="135">IF(AND($AC90&lt;=AG$3,AG$3&lt;=$AD90),$AB90/$AE90,0)</f>
        <v>0</v>
      </c>
      <c r="AH90" s="177">
        <f t="shared" si="135"/>
        <v>0</v>
      </c>
      <c r="AI90" s="177">
        <f t="shared" si="135"/>
        <v>0</v>
      </c>
      <c r="AJ90" s="177">
        <f t="shared" si="135"/>
        <v>0</v>
      </c>
      <c r="AK90" s="177">
        <f t="shared" si="135"/>
        <v>0</v>
      </c>
      <c r="AL90" s="177">
        <f t="shared" si="135"/>
        <v>0</v>
      </c>
      <c r="AM90" s="177">
        <f t="shared" si="135"/>
        <v>0</v>
      </c>
      <c r="AN90" s="177">
        <f t="shared" si="135"/>
        <v>0</v>
      </c>
      <c r="AO90" s="177">
        <f t="shared" si="135"/>
        <v>0</v>
      </c>
      <c r="AP90" s="177">
        <f t="shared" si="135"/>
        <v>0</v>
      </c>
      <c r="AQ90" s="177">
        <f t="shared" si="135"/>
        <v>0</v>
      </c>
      <c r="AR90" s="178">
        <f t="shared" ref="AR90:AR97" si="136">SUM(AF90:AQ90)</f>
        <v>0</v>
      </c>
      <c r="AT90" s="177">
        <f t="shared" ref="AT90:AT106" si="137">AF90*(1+$AT$1)</f>
        <v>0</v>
      </c>
      <c r="AU90" s="177">
        <f t="shared" ref="AU90:AU106" si="138">AG90*(1+$AT$1)</f>
        <v>0</v>
      </c>
      <c r="AV90" s="177">
        <f t="shared" ref="AV90:AV106" si="139">AH90*(1+$AT$1)</f>
        <v>0</v>
      </c>
      <c r="AW90" s="177">
        <f t="shared" ref="AW90:AW106" si="140">AI90*(1+$AT$1)</f>
        <v>0</v>
      </c>
      <c r="AX90" s="177">
        <f t="shared" ref="AX90:AX106" si="141">AJ90*(1+$AT$1)</f>
        <v>0</v>
      </c>
      <c r="AY90" s="177">
        <f t="shared" ref="AY90:AY106" si="142">AK90*(1+$AT$1)</f>
        <v>0</v>
      </c>
      <c r="AZ90" s="177">
        <f t="shared" ref="AZ90:AZ106" si="143">AL90*(1+$AT$1)</f>
        <v>0</v>
      </c>
      <c r="BA90" s="177">
        <f t="shared" ref="BA90:BA106" si="144">AM90*(1+$AT$1)</f>
        <v>0</v>
      </c>
      <c r="BB90" s="177">
        <f t="shared" ref="BB90:BB106" si="145">AN90*(1+$AT$1)</f>
        <v>0</v>
      </c>
      <c r="BC90" s="177">
        <f t="shared" ref="BC90:BC106" si="146">AO90*(1+$AT$1)</f>
        <v>0</v>
      </c>
      <c r="BD90" s="177">
        <f t="shared" ref="BD90:BD106" si="147">AP90*(1+$AT$1)</f>
        <v>0</v>
      </c>
      <c r="BE90" s="177">
        <f t="shared" ref="BE90:BE106" si="148">AQ90*(1+$AT$1)</f>
        <v>0</v>
      </c>
      <c r="BF90" s="178">
        <f t="shared" ref="BF90:BF97" si="149">SUM(AT90:BE90)</f>
        <v>0</v>
      </c>
    </row>
    <row r="91" spans="1:58" ht="15" customHeight="1">
      <c r="A91" s="171">
        <v>2</v>
      </c>
      <c r="B91" s="171" t="s">
        <v>2242</v>
      </c>
      <c r="C91" s="171"/>
      <c r="D91" s="171" t="s">
        <v>1514</v>
      </c>
      <c r="E91" s="172" t="str">
        <f t="shared" si="132"/>
        <v>Accounting / Payment Services</v>
      </c>
      <c r="F91" s="172"/>
      <c r="G91" s="77" t="s">
        <v>2613</v>
      </c>
      <c r="H91" s="173" t="s">
        <v>2614</v>
      </c>
      <c r="I91" s="173" t="s">
        <v>2046</v>
      </c>
      <c r="J91" s="184"/>
      <c r="K91" s="456">
        <v>45717</v>
      </c>
      <c r="L91" s="456">
        <v>45747</v>
      </c>
      <c r="M91" s="462">
        <f>IF(AND(K91="",L91=""),"-",IF(L91="",12,DATEDIF(K91,L91,"M")+1))</f>
        <v>1</v>
      </c>
      <c r="N91" s="177">
        <f t="shared" si="133"/>
        <v>0</v>
      </c>
      <c r="O91" s="177">
        <f t="shared" si="133"/>
        <v>0</v>
      </c>
      <c r="P91" s="177">
        <f t="shared" si="133"/>
        <v>0</v>
      </c>
      <c r="Q91" s="177">
        <f t="shared" si="133"/>
        <v>0</v>
      </c>
      <c r="R91" s="177">
        <f t="shared" si="133"/>
        <v>0</v>
      </c>
      <c r="S91" s="177">
        <f t="shared" si="133"/>
        <v>0</v>
      </c>
      <c r="T91" s="177">
        <f t="shared" si="133"/>
        <v>0</v>
      </c>
      <c r="U91" s="177">
        <f t="shared" si="133"/>
        <v>0</v>
      </c>
      <c r="V91" s="177">
        <f t="shared" si="133"/>
        <v>0</v>
      </c>
      <c r="W91" s="177">
        <f t="shared" si="133"/>
        <v>0</v>
      </c>
      <c r="X91" s="177">
        <f t="shared" si="133"/>
        <v>0</v>
      </c>
      <c r="Y91" s="177">
        <f t="shared" si="133"/>
        <v>0</v>
      </c>
      <c r="Z91" s="178">
        <f>SUM(N91:Y91)</f>
        <v>0</v>
      </c>
      <c r="AA91" s="173" t="s">
        <v>2046</v>
      </c>
      <c r="AB91" s="184"/>
      <c r="AC91" s="456">
        <v>46082</v>
      </c>
      <c r="AD91" s="456">
        <v>46112</v>
      </c>
      <c r="AE91" s="462">
        <f t="shared" si="134"/>
        <v>1</v>
      </c>
      <c r="AF91" s="177">
        <f t="shared" ref="AF91:AQ91" si="150">IF(AND($AC91&lt;=AF$3,AF$3&lt;=$AD91),$AB91/$AE91,0)</f>
        <v>0</v>
      </c>
      <c r="AG91" s="177">
        <f t="shared" si="150"/>
        <v>0</v>
      </c>
      <c r="AH91" s="177">
        <f t="shared" si="150"/>
        <v>0</v>
      </c>
      <c r="AI91" s="177">
        <f t="shared" si="150"/>
        <v>0</v>
      </c>
      <c r="AJ91" s="177">
        <f t="shared" si="150"/>
        <v>0</v>
      </c>
      <c r="AK91" s="177">
        <f t="shared" si="150"/>
        <v>0</v>
      </c>
      <c r="AL91" s="177">
        <f t="shared" si="150"/>
        <v>0</v>
      </c>
      <c r="AM91" s="177">
        <f t="shared" si="150"/>
        <v>0</v>
      </c>
      <c r="AN91" s="177">
        <f t="shared" si="150"/>
        <v>0</v>
      </c>
      <c r="AO91" s="177">
        <f t="shared" si="150"/>
        <v>0</v>
      </c>
      <c r="AP91" s="177">
        <f t="shared" si="150"/>
        <v>0</v>
      </c>
      <c r="AQ91" s="177">
        <f t="shared" si="150"/>
        <v>0</v>
      </c>
      <c r="AR91" s="178">
        <f t="shared" si="136"/>
        <v>0</v>
      </c>
      <c r="AT91" s="177">
        <f t="shared" si="137"/>
        <v>0</v>
      </c>
      <c r="AU91" s="177">
        <f t="shared" si="138"/>
        <v>0</v>
      </c>
      <c r="AV91" s="177">
        <f t="shared" si="139"/>
        <v>0</v>
      </c>
      <c r="AW91" s="177">
        <f t="shared" si="140"/>
        <v>0</v>
      </c>
      <c r="AX91" s="177">
        <f t="shared" si="141"/>
        <v>0</v>
      </c>
      <c r="AY91" s="177">
        <f t="shared" si="142"/>
        <v>0</v>
      </c>
      <c r="AZ91" s="177">
        <f t="shared" si="143"/>
        <v>0</v>
      </c>
      <c r="BA91" s="177">
        <f t="shared" si="144"/>
        <v>0</v>
      </c>
      <c r="BB91" s="177">
        <f t="shared" si="145"/>
        <v>0</v>
      </c>
      <c r="BC91" s="177">
        <f t="shared" si="146"/>
        <v>0</v>
      </c>
      <c r="BD91" s="177">
        <f t="shared" si="147"/>
        <v>0</v>
      </c>
      <c r="BE91" s="177">
        <f t="shared" si="148"/>
        <v>0</v>
      </c>
      <c r="BF91" s="178">
        <f t="shared" si="149"/>
        <v>0</v>
      </c>
    </row>
    <row r="92" spans="1:58" ht="14.1" customHeight="1">
      <c r="A92" s="171">
        <v>3</v>
      </c>
      <c r="B92" s="171" t="s">
        <v>2242</v>
      </c>
      <c r="C92" s="171"/>
      <c r="D92" s="171" t="s">
        <v>1530</v>
      </c>
      <c r="E92" s="172" t="str">
        <f t="shared" si="132"/>
        <v>Tax services</v>
      </c>
      <c r="F92" s="172"/>
      <c r="G92" s="77" t="s">
        <v>2613</v>
      </c>
      <c r="H92" s="173" t="s">
        <v>2614</v>
      </c>
      <c r="I92" s="173" t="s">
        <v>2046</v>
      </c>
      <c r="J92" s="184"/>
      <c r="K92" s="456">
        <v>45809</v>
      </c>
      <c r="L92" s="456">
        <v>45838</v>
      </c>
      <c r="M92" s="462">
        <f>IF(AND(K92="",L92=""),"-",IF(L92="",12,DATEDIF(K92,L92,"M")+1))</f>
        <v>1</v>
      </c>
      <c r="N92" s="177">
        <f t="shared" si="133"/>
        <v>0</v>
      </c>
      <c r="O92" s="177">
        <f t="shared" si="133"/>
        <v>0</v>
      </c>
      <c r="P92" s="177">
        <f t="shared" si="133"/>
        <v>0</v>
      </c>
      <c r="Q92" s="177">
        <f t="shared" si="133"/>
        <v>0</v>
      </c>
      <c r="R92" s="177">
        <f t="shared" si="133"/>
        <v>0</v>
      </c>
      <c r="S92" s="177">
        <f t="shared" si="133"/>
        <v>0</v>
      </c>
      <c r="T92" s="177">
        <f t="shared" si="133"/>
        <v>0</v>
      </c>
      <c r="U92" s="177">
        <f t="shared" si="133"/>
        <v>0</v>
      </c>
      <c r="V92" s="177">
        <f t="shared" si="133"/>
        <v>0</v>
      </c>
      <c r="W92" s="177">
        <f t="shared" si="133"/>
        <v>0</v>
      </c>
      <c r="X92" s="177">
        <f t="shared" si="133"/>
        <v>0</v>
      </c>
      <c r="Y92" s="177">
        <f t="shared" si="133"/>
        <v>0</v>
      </c>
      <c r="Z92" s="178">
        <f>SUM(N92:Y92)</f>
        <v>0</v>
      </c>
      <c r="AA92" s="173" t="s">
        <v>2046</v>
      </c>
      <c r="AB92" s="184"/>
      <c r="AC92" s="456">
        <v>46174</v>
      </c>
      <c r="AD92" s="456">
        <v>46203</v>
      </c>
      <c r="AE92" s="462">
        <f t="shared" si="134"/>
        <v>1</v>
      </c>
      <c r="AF92" s="177">
        <f t="shared" ref="AF92:AQ92" si="151">IF(AND($AC92&lt;=AF$3,AF$3&lt;=$AD92),$AB92/$AE92,0)</f>
        <v>0</v>
      </c>
      <c r="AG92" s="177">
        <f t="shared" si="151"/>
        <v>0</v>
      </c>
      <c r="AH92" s="177">
        <f t="shared" si="151"/>
        <v>0</v>
      </c>
      <c r="AI92" s="177">
        <f t="shared" si="151"/>
        <v>0</v>
      </c>
      <c r="AJ92" s="177">
        <f t="shared" si="151"/>
        <v>0</v>
      </c>
      <c r="AK92" s="177">
        <f t="shared" si="151"/>
        <v>0</v>
      </c>
      <c r="AL92" s="177">
        <f t="shared" si="151"/>
        <v>0</v>
      </c>
      <c r="AM92" s="177">
        <f t="shared" si="151"/>
        <v>0</v>
      </c>
      <c r="AN92" s="177">
        <f t="shared" si="151"/>
        <v>0</v>
      </c>
      <c r="AO92" s="177">
        <f t="shared" si="151"/>
        <v>0</v>
      </c>
      <c r="AP92" s="177">
        <f t="shared" si="151"/>
        <v>0</v>
      </c>
      <c r="AQ92" s="177">
        <f t="shared" si="151"/>
        <v>0</v>
      </c>
      <c r="AR92" s="178">
        <f t="shared" si="136"/>
        <v>0</v>
      </c>
      <c r="AT92" s="177">
        <f t="shared" si="137"/>
        <v>0</v>
      </c>
      <c r="AU92" s="177">
        <f t="shared" si="138"/>
        <v>0</v>
      </c>
      <c r="AV92" s="177">
        <f t="shared" si="139"/>
        <v>0</v>
      </c>
      <c r="AW92" s="177">
        <f t="shared" si="140"/>
        <v>0</v>
      </c>
      <c r="AX92" s="177">
        <f t="shared" si="141"/>
        <v>0</v>
      </c>
      <c r="AY92" s="177">
        <f t="shared" si="142"/>
        <v>0</v>
      </c>
      <c r="AZ92" s="177">
        <f t="shared" si="143"/>
        <v>0</v>
      </c>
      <c r="BA92" s="177">
        <f t="shared" si="144"/>
        <v>0</v>
      </c>
      <c r="BB92" s="177">
        <f t="shared" si="145"/>
        <v>0</v>
      </c>
      <c r="BC92" s="177">
        <f t="shared" si="146"/>
        <v>0</v>
      </c>
      <c r="BD92" s="177">
        <f t="shared" si="147"/>
        <v>0</v>
      </c>
      <c r="BE92" s="177">
        <f t="shared" si="148"/>
        <v>0</v>
      </c>
      <c r="BF92" s="178">
        <f t="shared" si="149"/>
        <v>0</v>
      </c>
    </row>
    <row r="93" spans="1:58" ht="15" customHeight="1">
      <c r="A93" s="171">
        <v>4</v>
      </c>
      <c r="B93" s="171" t="s">
        <v>2242</v>
      </c>
      <c r="C93" s="171" t="s">
        <v>2729</v>
      </c>
      <c r="D93" s="171" t="s">
        <v>1544</v>
      </c>
      <c r="E93" s="172" t="str">
        <f t="shared" si="132"/>
        <v>Payroll Services</v>
      </c>
      <c r="F93" s="172"/>
      <c r="G93" s="77" t="s">
        <v>2613</v>
      </c>
      <c r="H93" s="173" t="s">
        <v>2614</v>
      </c>
      <c r="I93" s="173" t="s">
        <v>2046</v>
      </c>
      <c r="J93" s="183">
        <f>200*7*12</f>
        <v>16800</v>
      </c>
      <c r="K93" s="456">
        <v>45658</v>
      </c>
      <c r="L93" s="456">
        <v>46022</v>
      </c>
      <c r="M93" s="462">
        <f t="shared" ref="M93:M98" si="152">IF(AND(K93="",L93=""),"-",IF(L93="",12,DATEDIF(K93,L93,"M")+1))</f>
        <v>12</v>
      </c>
      <c r="N93" s="177">
        <f t="shared" si="133"/>
        <v>1400</v>
      </c>
      <c r="O93" s="177">
        <f t="shared" si="133"/>
        <v>1400</v>
      </c>
      <c r="P93" s="177">
        <f t="shared" si="133"/>
        <v>1400</v>
      </c>
      <c r="Q93" s="177">
        <f t="shared" si="133"/>
        <v>1400</v>
      </c>
      <c r="R93" s="177">
        <f t="shared" si="133"/>
        <v>1400</v>
      </c>
      <c r="S93" s="177">
        <f t="shared" si="133"/>
        <v>1400</v>
      </c>
      <c r="T93" s="177">
        <f t="shared" si="133"/>
        <v>1400</v>
      </c>
      <c r="U93" s="177">
        <f t="shared" si="133"/>
        <v>1400</v>
      </c>
      <c r="V93" s="177">
        <f t="shared" si="133"/>
        <v>1400</v>
      </c>
      <c r="W93" s="177">
        <f t="shared" si="133"/>
        <v>1400</v>
      </c>
      <c r="X93" s="177">
        <f t="shared" si="133"/>
        <v>1400</v>
      </c>
      <c r="Y93" s="177">
        <f t="shared" si="133"/>
        <v>1400</v>
      </c>
      <c r="Z93" s="178">
        <f t="shared" ref="Z93:Z98" si="153">SUM(N93:Y93)</f>
        <v>16800</v>
      </c>
      <c r="AA93" s="173" t="s">
        <v>2046</v>
      </c>
      <c r="AB93" s="184">
        <f>200*6*12</f>
        <v>14400</v>
      </c>
      <c r="AC93" s="456">
        <v>46023</v>
      </c>
      <c r="AD93" s="456">
        <v>46387</v>
      </c>
      <c r="AE93" s="462">
        <f t="shared" si="134"/>
        <v>12</v>
      </c>
      <c r="AF93" s="177">
        <f t="shared" ref="AF93:AQ93" si="154">IF(AND($AC93&lt;=AF$3,AF$3&lt;=$AD93),$AB93/$AE93,0)</f>
        <v>1200</v>
      </c>
      <c r="AG93" s="177">
        <f t="shared" si="154"/>
        <v>1200</v>
      </c>
      <c r="AH93" s="177">
        <f t="shared" si="154"/>
        <v>1200</v>
      </c>
      <c r="AI93" s="177">
        <f t="shared" si="154"/>
        <v>1200</v>
      </c>
      <c r="AJ93" s="177">
        <f t="shared" si="154"/>
        <v>1200</v>
      </c>
      <c r="AK93" s="177">
        <f t="shared" si="154"/>
        <v>1200</v>
      </c>
      <c r="AL93" s="177">
        <f t="shared" si="154"/>
        <v>1200</v>
      </c>
      <c r="AM93" s="177">
        <f t="shared" si="154"/>
        <v>1200</v>
      </c>
      <c r="AN93" s="177">
        <f t="shared" si="154"/>
        <v>1200</v>
      </c>
      <c r="AO93" s="177">
        <f t="shared" si="154"/>
        <v>1200</v>
      </c>
      <c r="AP93" s="177">
        <f t="shared" si="154"/>
        <v>1200</v>
      </c>
      <c r="AQ93" s="177">
        <f t="shared" si="154"/>
        <v>1200</v>
      </c>
      <c r="AR93" s="178">
        <f t="shared" si="136"/>
        <v>14400</v>
      </c>
      <c r="AT93" s="177">
        <f t="shared" si="137"/>
        <v>1260</v>
      </c>
      <c r="AU93" s="177">
        <f t="shared" si="138"/>
        <v>1260</v>
      </c>
      <c r="AV93" s="177">
        <f t="shared" si="139"/>
        <v>1260</v>
      </c>
      <c r="AW93" s="177">
        <f t="shared" si="140"/>
        <v>1260</v>
      </c>
      <c r="AX93" s="177">
        <f t="shared" si="141"/>
        <v>1260</v>
      </c>
      <c r="AY93" s="177">
        <f t="shared" si="142"/>
        <v>1260</v>
      </c>
      <c r="AZ93" s="177">
        <f t="shared" si="143"/>
        <v>1260</v>
      </c>
      <c r="BA93" s="177">
        <f t="shared" si="144"/>
        <v>1260</v>
      </c>
      <c r="BB93" s="177">
        <f t="shared" si="145"/>
        <v>1260</v>
      </c>
      <c r="BC93" s="177">
        <f t="shared" si="146"/>
        <v>1260</v>
      </c>
      <c r="BD93" s="177">
        <f t="shared" si="147"/>
        <v>1260</v>
      </c>
      <c r="BE93" s="177">
        <f t="shared" si="148"/>
        <v>1260</v>
      </c>
      <c r="BF93" s="178">
        <f t="shared" si="149"/>
        <v>15120</v>
      </c>
    </row>
    <row r="94" spans="1:58" ht="14.1" customHeight="1">
      <c r="A94" s="171">
        <v>5</v>
      </c>
      <c r="B94" s="171" t="s">
        <v>2242</v>
      </c>
      <c r="C94" s="171" t="s">
        <v>2735</v>
      </c>
      <c r="D94" s="463" t="s">
        <v>1844</v>
      </c>
      <c r="E94" s="172" t="str">
        <f t="shared" si="132"/>
        <v>Corporate Secretarial Fees</v>
      </c>
      <c r="F94" s="172"/>
      <c r="G94" s="77" t="s">
        <v>2613</v>
      </c>
      <c r="H94" s="173" t="s">
        <v>2614</v>
      </c>
      <c r="I94" s="173" t="s">
        <v>2046</v>
      </c>
      <c r="J94" s="183">
        <v>1800</v>
      </c>
      <c r="K94" s="456">
        <v>45839</v>
      </c>
      <c r="L94" s="456">
        <v>45869</v>
      </c>
      <c r="M94" s="462">
        <f t="shared" si="152"/>
        <v>1</v>
      </c>
      <c r="N94" s="177">
        <f t="shared" si="133"/>
        <v>0</v>
      </c>
      <c r="O94" s="177">
        <f t="shared" si="133"/>
        <v>0</v>
      </c>
      <c r="P94" s="177">
        <f t="shared" si="133"/>
        <v>0</v>
      </c>
      <c r="Q94" s="177">
        <f t="shared" si="133"/>
        <v>0</v>
      </c>
      <c r="R94" s="177">
        <f t="shared" si="133"/>
        <v>0</v>
      </c>
      <c r="S94" s="177">
        <f t="shared" si="133"/>
        <v>0</v>
      </c>
      <c r="T94" s="177">
        <f t="shared" si="133"/>
        <v>1800</v>
      </c>
      <c r="U94" s="177">
        <f t="shared" si="133"/>
        <v>0</v>
      </c>
      <c r="V94" s="177">
        <f t="shared" si="133"/>
        <v>0</v>
      </c>
      <c r="W94" s="177">
        <f t="shared" si="133"/>
        <v>0</v>
      </c>
      <c r="X94" s="177">
        <f t="shared" si="133"/>
        <v>0</v>
      </c>
      <c r="Y94" s="177">
        <f t="shared" si="133"/>
        <v>0</v>
      </c>
      <c r="Z94" s="178">
        <f t="shared" si="153"/>
        <v>1800</v>
      </c>
      <c r="AA94" s="173" t="s">
        <v>2046</v>
      </c>
      <c r="AB94" s="184"/>
      <c r="AC94" s="456">
        <v>46023</v>
      </c>
      <c r="AD94" s="456">
        <v>46387</v>
      </c>
      <c r="AE94" s="462">
        <f t="shared" si="134"/>
        <v>12</v>
      </c>
      <c r="AF94" s="177">
        <f t="shared" ref="AF94:AQ94" si="155">IF(AND($AC94&lt;=AF$3,AF$3&lt;=$AD94),$AB94/$AE94,0)</f>
        <v>0</v>
      </c>
      <c r="AG94" s="177">
        <f t="shared" si="155"/>
        <v>0</v>
      </c>
      <c r="AH94" s="177">
        <f t="shared" si="155"/>
        <v>0</v>
      </c>
      <c r="AI94" s="177">
        <f t="shared" si="155"/>
        <v>0</v>
      </c>
      <c r="AJ94" s="177">
        <f t="shared" si="155"/>
        <v>0</v>
      </c>
      <c r="AK94" s="177">
        <f t="shared" si="155"/>
        <v>0</v>
      </c>
      <c r="AL94" s="177">
        <f t="shared" si="155"/>
        <v>0</v>
      </c>
      <c r="AM94" s="177">
        <f t="shared" si="155"/>
        <v>0</v>
      </c>
      <c r="AN94" s="177">
        <f t="shared" si="155"/>
        <v>0</v>
      </c>
      <c r="AO94" s="177">
        <f t="shared" si="155"/>
        <v>0</v>
      </c>
      <c r="AP94" s="177">
        <f t="shared" si="155"/>
        <v>0</v>
      </c>
      <c r="AQ94" s="177">
        <f t="shared" si="155"/>
        <v>0</v>
      </c>
      <c r="AR94" s="178">
        <f t="shared" si="136"/>
        <v>0</v>
      </c>
      <c r="AT94" s="177">
        <f t="shared" si="137"/>
        <v>0</v>
      </c>
      <c r="AU94" s="177">
        <f t="shared" si="138"/>
        <v>0</v>
      </c>
      <c r="AV94" s="177">
        <f t="shared" si="139"/>
        <v>0</v>
      </c>
      <c r="AW94" s="177">
        <f t="shared" si="140"/>
        <v>0</v>
      </c>
      <c r="AX94" s="177">
        <f t="shared" si="141"/>
        <v>0</v>
      </c>
      <c r="AY94" s="177">
        <f t="shared" si="142"/>
        <v>0</v>
      </c>
      <c r="AZ94" s="177">
        <f t="shared" si="143"/>
        <v>0</v>
      </c>
      <c r="BA94" s="177">
        <f t="shared" si="144"/>
        <v>0</v>
      </c>
      <c r="BB94" s="177">
        <f t="shared" si="145"/>
        <v>0</v>
      </c>
      <c r="BC94" s="177">
        <f t="shared" si="146"/>
        <v>0</v>
      </c>
      <c r="BD94" s="177">
        <f t="shared" si="147"/>
        <v>0</v>
      </c>
      <c r="BE94" s="177">
        <f t="shared" si="148"/>
        <v>0</v>
      </c>
      <c r="BF94" s="178">
        <f t="shared" si="149"/>
        <v>0</v>
      </c>
    </row>
    <row r="95" spans="1:58" ht="15.95" customHeight="1">
      <c r="A95" s="171">
        <v>6</v>
      </c>
      <c r="B95" s="171" t="s">
        <v>2242</v>
      </c>
      <c r="C95" s="171"/>
      <c r="D95" s="171" t="s">
        <v>1519</v>
      </c>
      <c r="E95" s="172" t="str">
        <f t="shared" si="132"/>
        <v>Audit Fee</v>
      </c>
      <c r="F95" s="172" t="s">
        <v>2731</v>
      </c>
      <c r="G95" s="77" t="s">
        <v>2613</v>
      </c>
      <c r="H95" s="173" t="s">
        <v>2614</v>
      </c>
      <c r="I95" s="173" t="s">
        <v>2046</v>
      </c>
      <c r="J95" s="184">
        <f>40000*(1+5%)</f>
        <v>42000</v>
      </c>
      <c r="K95" s="456">
        <v>45809</v>
      </c>
      <c r="L95" s="456">
        <v>45838</v>
      </c>
      <c r="M95" s="462">
        <f t="shared" si="152"/>
        <v>1</v>
      </c>
      <c r="N95" s="177">
        <f t="shared" si="133"/>
        <v>0</v>
      </c>
      <c r="O95" s="177">
        <f t="shared" si="133"/>
        <v>0</v>
      </c>
      <c r="P95" s="177">
        <f t="shared" si="133"/>
        <v>0</v>
      </c>
      <c r="Q95" s="177">
        <f t="shared" si="133"/>
        <v>0</v>
      </c>
      <c r="R95" s="177">
        <f t="shared" si="133"/>
        <v>0</v>
      </c>
      <c r="S95" s="177">
        <f t="shared" si="133"/>
        <v>42000</v>
      </c>
      <c r="T95" s="177">
        <f t="shared" si="133"/>
        <v>0</v>
      </c>
      <c r="U95" s="177">
        <f t="shared" si="133"/>
        <v>0</v>
      </c>
      <c r="V95" s="177">
        <f t="shared" si="133"/>
        <v>0</v>
      </c>
      <c r="W95" s="177">
        <f t="shared" si="133"/>
        <v>0</v>
      </c>
      <c r="X95" s="177">
        <f t="shared" si="133"/>
        <v>0</v>
      </c>
      <c r="Y95" s="177">
        <f t="shared" si="133"/>
        <v>0</v>
      </c>
      <c r="Z95" s="178">
        <f t="shared" si="153"/>
        <v>42000</v>
      </c>
      <c r="AA95" s="173" t="s">
        <v>2046</v>
      </c>
      <c r="AB95" s="184">
        <f>40000*(1+5%)*(1+6%)</f>
        <v>44520</v>
      </c>
      <c r="AC95" s="456">
        <v>46174</v>
      </c>
      <c r="AD95" s="456">
        <v>46203</v>
      </c>
      <c r="AE95" s="462">
        <f t="shared" si="134"/>
        <v>1</v>
      </c>
      <c r="AF95" s="177">
        <f t="shared" ref="AF95:AQ95" si="156">IF(AND($AC95&lt;=AF$3,AF$3&lt;=$AD95),$AB95/$AE95,0)</f>
        <v>0</v>
      </c>
      <c r="AG95" s="177">
        <f t="shared" si="156"/>
        <v>0</v>
      </c>
      <c r="AH95" s="177">
        <f t="shared" si="156"/>
        <v>0</v>
      </c>
      <c r="AI95" s="177">
        <f t="shared" si="156"/>
        <v>0</v>
      </c>
      <c r="AJ95" s="177">
        <f t="shared" si="156"/>
        <v>0</v>
      </c>
      <c r="AK95" s="177">
        <f t="shared" si="156"/>
        <v>44520</v>
      </c>
      <c r="AL95" s="177">
        <f t="shared" si="156"/>
        <v>0</v>
      </c>
      <c r="AM95" s="177">
        <f t="shared" si="156"/>
        <v>0</v>
      </c>
      <c r="AN95" s="177">
        <f t="shared" si="156"/>
        <v>0</v>
      </c>
      <c r="AO95" s="177">
        <f t="shared" si="156"/>
        <v>0</v>
      </c>
      <c r="AP95" s="177">
        <f t="shared" si="156"/>
        <v>0</v>
      </c>
      <c r="AQ95" s="177">
        <f t="shared" si="156"/>
        <v>0</v>
      </c>
      <c r="AR95" s="178">
        <f t="shared" si="136"/>
        <v>44520</v>
      </c>
      <c r="AT95" s="177">
        <f t="shared" si="137"/>
        <v>0</v>
      </c>
      <c r="AU95" s="177">
        <f t="shared" si="138"/>
        <v>0</v>
      </c>
      <c r="AV95" s="177">
        <f t="shared" si="139"/>
        <v>0</v>
      </c>
      <c r="AW95" s="177">
        <f t="shared" si="140"/>
        <v>0</v>
      </c>
      <c r="AX95" s="177">
        <f t="shared" si="141"/>
        <v>0</v>
      </c>
      <c r="AY95" s="177">
        <f t="shared" si="142"/>
        <v>46746</v>
      </c>
      <c r="AZ95" s="177">
        <f t="shared" si="143"/>
        <v>0</v>
      </c>
      <c r="BA95" s="177">
        <f t="shared" si="144"/>
        <v>0</v>
      </c>
      <c r="BB95" s="177">
        <f t="shared" si="145"/>
        <v>0</v>
      </c>
      <c r="BC95" s="177">
        <f t="shared" si="146"/>
        <v>0</v>
      </c>
      <c r="BD95" s="177">
        <f t="shared" si="147"/>
        <v>0</v>
      </c>
      <c r="BE95" s="177">
        <f t="shared" si="148"/>
        <v>0</v>
      </c>
      <c r="BF95" s="178">
        <f t="shared" si="149"/>
        <v>46746</v>
      </c>
    </row>
    <row r="96" spans="1:58" ht="12.95" customHeight="1">
      <c r="A96" s="171">
        <v>7</v>
      </c>
      <c r="B96" s="171" t="s">
        <v>2242</v>
      </c>
      <c r="C96" s="171"/>
      <c r="D96" s="171" t="s">
        <v>1564</v>
      </c>
      <c r="E96" s="172" t="str">
        <f t="shared" si="132"/>
        <v>Compliance Support</v>
      </c>
      <c r="F96" s="172"/>
      <c r="G96" s="77" t="s">
        <v>2613</v>
      </c>
      <c r="H96" s="173" t="s">
        <v>2614</v>
      </c>
      <c r="I96" s="173" t="s">
        <v>2046</v>
      </c>
      <c r="J96" s="184"/>
      <c r="K96" s="456">
        <v>45658</v>
      </c>
      <c r="L96" s="456">
        <v>46022</v>
      </c>
      <c r="M96" s="462">
        <f t="shared" si="152"/>
        <v>12</v>
      </c>
      <c r="N96" s="177">
        <f t="shared" si="133"/>
        <v>0</v>
      </c>
      <c r="O96" s="177">
        <f t="shared" si="133"/>
        <v>0</v>
      </c>
      <c r="P96" s="177">
        <f t="shared" si="133"/>
        <v>0</v>
      </c>
      <c r="Q96" s="177">
        <f t="shared" si="133"/>
        <v>0</v>
      </c>
      <c r="R96" s="177">
        <f t="shared" si="133"/>
        <v>0</v>
      </c>
      <c r="S96" s="177">
        <f t="shared" si="133"/>
        <v>0</v>
      </c>
      <c r="T96" s="177">
        <f t="shared" si="133"/>
        <v>0</v>
      </c>
      <c r="U96" s="177">
        <f t="shared" si="133"/>
        <v>0</v>
      </c>
      <c r="V96" s="177">
        <f t="shared" si="133"/>
        <v>0</v>
      </c>
      <c r="W96" s="177">
        <f t="shared" si="133"/>
        <v>0</v>
      </c>
      <c r="X96" s="177">
        <f t="shared" si="133"/>
        <v>0</v>
      </c>
      <c r="Y96" s="177">
        <f t="shared" si="133"/>
        <v>0</v>
      </c>
      <c r="Z96" s="178">
        <f t="shared" si="153"/>
        <v>0</v>
      </c>
      <c r="AA96" s="173" t="s">
        <v>2046</v>
      </c>
      <c r="AB96" s="184"/>
      <c r="AC96" s="456">
        <v>46023</v>
      </c>
      <c r="AD96" s="456">
        <v>46387</v>
      </c>
      <c r="AE96" s="462">
        <f t="shared" si="134"/>
        <v>12</v>
      </c>
      <c r="AF96" s="177">
        <f t="shared" ref="AF96:AQ96" si="157">IF(AND($AC96&lt;=AF$3,AF$3&lt;=$AD96),$AB96/$AE96,0)</f>
        <v>0</v>
      </c>
      <c r="AG96" s="177">
        <f t="shared" si="157"/>
        <v>0</v>
      </c>
      <c r="AH96" s="177">
        <f t="shared" si="157"/>
        <v>0</v>
      </c>
      <c r="AI96" s="177">
        <f t="shared" si="157"/>
        <v>0</v>
      </c>
      <c r="AJ96" s="177">
        <f t="shared" si="157"/>
        <v>0</v>
      </c>
      <c r="AK96" s="177">
        <f t="shared" si="157"/>
        <v>0</v>
      </c>
      <c r="AL96" s="177">
        <f t="shared" si="157"/>
        <v>0</v>
      </c>
      <c r="AM96" s="177">
        <f t="shared" si="157"/>
        <v>0</v>
      </c>
      <c r="AN96" s="177">
        <f t="shared" si="157"/>
        <v>0</v>
      </c>
      <c r="AO96" s="177">
        <f t="shared" si="157"/>
        <v>0</v>
      </c>
      <c r="AP96" s="177">
        <f t="shared" si="157"/>
        <v>0</v>
      </c>
      <c r="AQ96" s="177">
        <f t="shared" si="157"/>
        <v>0</v>
      </c>
      <c r="AR96" s="178">
        <f t="shared" si="136"/>
        <v>0</v>
      </c>
      <c r="AT96" s="177">
        <f t="shared" si="137"/>
        <v>0</v>
      </c>
      <c r="AU96" s="177">
        <f t="shared" si="138"/>
        <v>0</v>
      </c>
      <c r="AV96" s="177">
        <f t="shared" si="139"/>
        <v>0</v>
      </c>
      <c r="AW96" s="177">
        <f t="shared" si="140"/>
        <v>0</v>
      </c>
      <c r="AX96" s="177">
        <f t="shared" si="141"/>
        <v>0</v>
      </c>
      <c r="AY96" s="177">
        <f t="shared" si="142"/>
        <v>0</v>
      </c>
      <c r="AZ96" s="177">
        <f t="shared" si="143"/>
        <v>0</v>
      </c>
      <c r="BA96" s="177">
        <f t="shared" si="144"/>
        <v>0</v>
      </c>
      <c r="BB96" s="177">
        <f t="shared" si="145"/>
        <v>0</v>
      </c>
      <c r="BC96" s="177">
        <f t="shared" si="146"/>
        <v>0</v>
      </c>
      <c r="BD96" s="177">
        <f t="shared" si="147"/>
        <v>0</v>
      </c>
      <c r="BE96" s="177">
        <f t="shared" si="148"/>
        <v>0</v>
      </c>
      <c r="BF96" s="178">
        <f t="shared" si="149"/>
        <v>0</v>
      </c>
    </row>
    <row r="97" spans="1:58" ht="14.1" customHeight="1">
      <c r="A97" s="171">
        <v>8</v>
      </c>
      <c r="B97" s="171" t="s">
        <v>2242</v>
      </c>
      <c r="C97" s="171"/>
      <c r="D97" s="171" t="s">
        <v>1883</v>
      </c>
      <c r="E97" s="172" t="str">
        <f t="shared" si="132"/>
        <v>Regulatory Fees</v>
      </c>
      <c r="F97" s="172"/>
      <c r="G97" s="77" t="s">
        <v>2613</v>
      </c>
      <c r="H97" s="173" t="s">
        <v>2614</v>
      </c>
      <c r="I97" s="173" t="s">
        <v>2046</v>
      </c>
      <c r="J97" s="184"/>
      <c r="K97" s="456">
        <v>45658</v>
      </c>
      <c r="L97" s="456">
        <v>46022</v>
      </c>
      <c r="M97" s="462">
        <f t="shared" si="152"/>
        <v>12</v>
      </c>
      <c r="N97" s="177">
        <f t="shared" si="133"/>
        <v>0</v>
      </c>
      <c r="O97" s="177">
        <f t="shared" si="133"/>
        <v>0</v>
      </c>
      <c r="P97" s="177">
        <f t="shared" si="133"/>
        <v>0</v>
      </c>
      <c r="Q97" s="177">
        <f t="shared" si="133"/>
        <v>0</v>
      </c>
      <c r="R97" s="177">
        <f t="shared" si="133"/>
        <v>0</v>
      </c>
      <c r="S97" s="177">
        <f t="shared" si="133"/>
        <v>0</v>
      </c>
      <c r="T97" s="177">
        <f t="shared" si="133"/>
        <v>0</v>
      </c>
      <c r="U97" s="177">
        <f t="shared" si="133"/>
        <v>0</v>
      </c>
      <c r="V97" s="177">
        <f t="shared" si="133"/>
        <v>0</v>
      </c>
      <c r="W97" s="177">
        <f t="shared" si="133"/>
        <v>0</v>
      </c>
      <c r="X97" s="177">
        <f t="shared" si="133"/>
        <v>0</v>
      </c>
      <c r="Y97" s="177">
        <f t="shared" si="133"/>
        <v>0</v>
      </c>
      <c r="Z97" s="178">
        <f t="shared" si="153"/>
        <v>0</v>
      </c>
      <c r="AA97" s="173" t="s">
        <v>2046</v>
      </c>
      <c r="AB97" s="184"/>
      <c r="AC97" s="456">
        <v>46023</v>
      </c>
      <c r="AD97" s="456">
        <v>46387</v>
      </c>
      <c r="AE97" s="462">
        <f t="shared" si="134"/>
        <v>12</v>
      </c>
      <c r="AF97" s="177">
        <f t="shared" ref="AF97:AQ97" si="158">IF(AND($AC97&lt;=AF$3,AF$3&lt;=$AD97),$AB97/$AE97,0)</f>
        <v>0</v>
      </c>
      <c r="AG97" s="177">
        <f t="shared" si="158"/>
        <v>0</v>
      </c>
      <c r="AH97" s="177">
        <f t="shared" si="158"/>
        <v>0</v>
      </c>
      <c r="AI97" s="177">
        <f t="shared" si="158"/>
        <v>0</v>
      </c>
      <c r="AJ97" s="177">
        <f t="shared" si="158"/>
        <v>0</v>
      </c>
      <c r="AK97" s="177">
        <f t="shared" si="158"/>
        <v>0</v>
      </c>
      <c r="AL97" s="177">
        <f t="shared" si="158"/>
        <v>0</v>
      </c>
      <c r="AM97" s="177">
        <f t="shared" si="158"/>
        <v>0</v>
      </c>
      <c r="AN97" s="177">
        <f t="shared" si="158"/>
        <v>0</v>
      </c>
      <c r="AO97" s="177">
        <f t="shared" si="158"/>
        <v>0</v>
      </c>
      <c r="AP97" s="177">
        <f t="shared" si="158"/>
        <v>0</v>
      </c>
      <c r="AQ97" s="177">
        <f t="shared" si="158"/>
        <v>0</v>
      </c>
      <c r="AR97" s="178">
        <f t="shared" si="136"/>
        <v>0</v>
      </c>
      <c r="AT97" s="177">
        <f t="shared" si="137"/>
        <v>0</v>
      </c>
      <c r="AU97" s="177">
        <f t="shared" si="138"/>
        <v>0</v>
      </c>
      <c r="AV97" s="177">
        <f t="shared" si="139"/>
        <v>0</v>
      </c>
      <c r="AW97" s="177">
        <f t="shared" si="140"/>
        <v>0</v>
      </c>
      <c r="AX97" s="177">
        <f t="shared" si="141"/>
        <v>0</v>
      </c>
      <c r="AY97" s="177">
        <f t="shared" si="142"/>
        <v>0</v>
      </c>
      <c r="AZ97" s="177">
        <f t="shared" si="143"/>
        <v>0</v>
      </c>
      <c r="BA97" s="177">
        <f t="shared" si="144"/>
        <v>0</v>
      </c>
      <c r="BB97" s="177">
        <f t="shared" si="145"/>
        <v>0</v>
      </c>
      <c r="BC97" s="177">
        <f t="shared" si="146"/>
        <v>0</v>
      </c>
      <c r="BD97" s="177">
        <f t="shared" si="147"/>
        <v>0</v>
      </c>
      <c r="BE97" s="177">
        <f t="shared" si="148"/>
        <v>0</v>
      </c>
      <c r="BF97" s="178">
        <f t="shared" si="149"/>
        <v>0</v>
      </c>
    </row>
    <row r="98" spans="1:58" ht="14.1" customHeight="1">
      <c r="A98" s="171">
        <v>9</v>
      </c>
      <c r="B98" s="171" t="s">
        <v>2242</v>
      </c>
      <c r="C98" s="171"/>
      <c r="D98" s="171" t="s">
        <v>1534</v>
      </c>
      <c r="E98" s="172" t="str">
        <f>E35</f>
        <v>Employment Agency Fee</v>
      </c>
      <c r="F98" s="172"/>
      <c r="G98" s="77" t="s">
        <v>2613</v>
      </c>
      <c r="H98" s="173" t="s">
        <v>2614</v>
      </c>
      <c r="I98" s="173" t="s">
        <v>2046</v>
      </c>
      <c r="J98" s="184"/>
      <c r="K98" s="456">
        <v>45658</v>
      </c>
      <c r="L98" s="456">
        <v>46022</v>
      </c>
      <c r="M98" s="462">
        <f t="shared" si="152"/>
        <v>12</v>
      </c>
      <c r="N98" s="177">
        <f t="shared" ref="N98:Y98" si="159">IF(AND($K98&lt;=N$3,N$3&lt;=$L98),$J98/$M98,0)</f>
        <v>0</v>
      </c>
      <c r="O98" s="177">
        <f t="shared" si="159"/>
        <v>0</v>
      </c>
      <c r="P98" s="177">
        <f t="shared" si="159"/>
        <v>0</v>
      </c>
      <c r="Q98" s="177">
        <f t="shared" si="159"/>
        <v>0</v>
      </c>
      <c r="R98" s="177">
        <f t="shared" si="159"/>
        <v>0</v>
      </c>
      <c r="S98" s="177">
        <f t="shared" si="159"/>
        <v>0</v>
      </c>
      <c r="T98" s="177">
        <f t="shared" si="159"/>
        <v>0</v>
      </c>
      <c r="U98" s="177">
        <f t="shared" si="159"/>
        <v>0</v>
      </c>
      <c r="V98" s="177">
        <f t="shared" si="159"/>
        <v>0</v>
      </c>
      <c r="W98" s="177">
        <f t="shared" si="159"/>
        <v>0</v>
      </c>
      <c r="X98" s="177">
        <f t="shared" si="159"/>
        <v>0</v>
      </c>
      <c r="Y98" s="177">
        <f t="shared" si="159"/>
        <v>0</v>
      </c>
      <c r="Z98" s="178">
        <f t="shared" si="153"/>
        <v>0</v>
      </c>
      <c r="AA98" s="173" t="s">
        <v>2046</v>
      </c>
      <c r="AB98" s="184"/>
      <c r="AC98" s="456">
        <v>46023</v>
      </c>
      <c r="AD98" s="456">
        <v>46387</v>
      </c>
      <c r="AE98" s="462">
        <f t="shared" si="134"/>
        <v>12</v>
      </c>
      <c r="AF98" s="177"/>
      <c r="AG98" s="177"/>
      <c r="AH98" s="177"/>
      <c r="AI98" s="177"/>
      <c r="AJ98" s="177"/>
      <c r="AK98" s="177"/>
      <c r="AL98" s="177"/>
      <c r="AM98" s="177"/>
      <c r="AN98" s="177"/>
      <c r="AO98" s="177"/>
      <c r="AP98" s="177"/>
      <c r="AQ98" s="177"/>
      <c r="AR98" s="178"/>
      <c r="AT98" s="177">
        <f t="shared" si="137"/>
        <v>0</v>
      </c>
      <c r="AU98" s="177">
        <f t="shared" si="138"/>
        <v>0</v>
      </c>
      <c r="AV98" s="177">
        <f t="shared" si="139"/>
        <v>0</v>
      </c>
      <c r="AW98" s="177">
        <f t="shared" si="140"/>
        <v>0</v>
      </c>
      <c r="AX98" s="177">
        <f t="shared" si="141"/>
        <v>0</v>
      </c>
      <c r="AY98" s="177">
        <f t="shared" si="142"/>
        <v>0</v>
      </c>
      <c r="AZ98" s="177">
        <f t="shared" si="143"/>
        <v>0</v>
      </c>
      <c r="BA98" s="177">
        <f t="shared" si="144"/>
        <v>0</v>
      </c>
      <c r="BB98" s="177">
        <f t="shared" si="145"/>
        <v>0</v>
      </c>
      <c r="BC98" s="177">
        <f t="shared" si="146"/>
        <v>0</v>
      </c>
      <c r="BD98" s="177">
        <f t="shared" si="147"/>
        <v>0</v>
      </c>
      <c r="BE98" s="177">
        <f t="shared" si="148"/>
        <v>0</v>
      </c>
      <c r="BF98" s="178"/>
    </row>
    <row r="99" spans="1:58" ht="15.95" customHeight="1">
      <c r="A99" s="171">
        <v>10</v>
      </c>
      <c r="B99" s="171" t="s">
        <v>2242</v>
      </c>
      <c r="C99" s="171"/>
      <c r="D99" s="171" t="s">
        <v>1667</v>
      </c>
      <c r="E99" s="172" t="str">
        <f t="shared" ref="E99:E106" si="160">E15</f>
        <v>IT Professional &amp; MS Services</v>
      </c>
      <c r="F99" s="172"/>
      <c r="G99" s="77" t="s">
        <v>2613</v>
      </c>
      <c r="H99" s="173" t="s">
        <v>2614</v>
      </c>
      <c r="I99" s="173" t="s">
        <v>2046</v>
      </c>
      <c r="J99" s="184"/>
      <c r="K99" s="456">
        <v>45748</v>
      </c>
      <c r="L99" s="456">
        <v>45777</v>
      </c>
      <c r="M99" s="462">
        <f t="shared" ref="M99:M106" si="161">IF(AND(K99="",L99=""),"-",IF(L99="",12,DATEDIF(K99,L99,"M")+1))</f>
        <v>1</v>
      </c>
      <c r="N99" s="177">
        <f t="shared" ref="N99:Y99" si="162">IF(AND($K99&lt;=N$3,N$3&lt;=$L99),$J99/$M99,0)</f>
        <v>0</v>
      </c>
      <c r="O99" s="177">
        <f t="shared" si="162"/>
        <v>0</v>
      </c>
      <c r="P99" s="177">
        <f t="shared" si="162"/>
        <v>0</v>
      </c>
      <c r="Q99" s="177">
        <f t="shared" si="162"/>
        <v>0</v>
      </c>
      <c r="R99" s="177">
        <f t="shared" si="162"/>
        <v>0</v>
      </c>
      <c r="S99" s="177">
        <f t="shared" si="162"/>
        <v>0</v>
      </c>
      <c r="T99" s="177">
        <f t="shared" si="162"/>
        <v>0</v>
      </c>
      <c r="U99" s="177">
        <f t="shared" si="162"/>
        <v>0</v>
      </c>
      <c r="V99" s="177">
        <f t="shared" si="162"/>
        <v>0</v>
      </c>
      <c r="W99" s="177">
        <f t="shared" si="162"/>
        <v>0</v>
      </c>
      <c r="X99" s="177">
        <f t="shared" si="162"/>
        <v>0</v>
      </c>
      <c r="Y99" s="177">
        <f t="shared" si="162"/>
        <v>0</v>
      </c>
      <c r="Z99" s="178">
        <f t="shared" ref="Z99:Z106" si="163">SUM(N99:Y99)</f>
        <v>0</v>
      </c>
      <c r="AA99" s="173" t="s">
        <v>2046</v>
      </c>
      <c r="AB99" s="184"/>
      <c r="AC99" s="456">
        <v>46113</v>
      </c>
      <c r="AD99" s="456">
        <v>46142</v>
      </c>
      <c r="AE99" s="462">
        <f t="shared" si="134"/>
        <v>1</v>
      </c>
      <c r="AF99" s="177">
        <f t="shared" ref="AF99:AF106" si="164">IF(AND($AC99&lt;=AF$3,AF$3&lt;=$AD99),$AB99/$AE99,0)</f>
        <v>0</v>
      </c>
      <c r="AG99" s="177">
        <f t="shared" ref="AG99:AG106" si="165">IF(AND($AC99&lt;=AG$3,AG$3&lt;=$AD99),$AB99/$AE99,0)</f>
        <v>0</v>
      </c>
      <c r="AH99" s="177">
        <f t="shared" ref="AH99:AH106" si="166">IF(AND($AC99&lt;=AH$3,AH$3&lt;=$AD99),$AB99/$AE99,0)</f>
        <v>0</v>
      </c>
      <c r="AI99" s="177">
        <f t="shared" ref="AI99:AI106" si="167">IF(AND($AC99&lt;=AI$3,AI$3&lt;=$AD99),$AB99/$AE99,0)</f>
        <v>0</v>
      </c>
      <c r="AJ99" s="177">
        <f t="shared" ref="AJ99:AJ106" si="168">IF(AND($AC99&lt;=AJ$3,AJ$3&lt;=$AD99),$AB99/$AE99,0)</f>
        <v>0</v>
      </c>
      <c r="AK99" s="177">
        <f t="shared" ref="AK99:AK106" si="169">IF(AND($AC99&lt;=AK$3,AK$3&lt;=$AD99),$AB99/$AE99,0)</f>
        <v>0</v>
      </c>
      <c r="AL99" s="177">
        <f t="shared" ref="AL99:AL106" si="170">IF(AND($AC99&lt;=AL$3,AL$3&lt;=$AD99),$AB99/$AE99,0)</f>
        <v>0</v>
      </c>
      <c r="AM99" s="177">
        <f t="shared" ref="AM99:AM106" si="171">IF(AND($AC99&lt;=AM$3,AM$3&lt;=$AD99),$AB99/$AE99,0)</f>
        <v>0</v>
      </c>
      <c r="AN99" s="177">
        <f t="shared" ref="AN99:AN106" si="172">IF(AND($AC99&lt;=AN$3,AN$3&lt;=$AD99),$AB99/$AE99,0)</f>
        <v>0</v>
      </c>
      <c r="AO99" s="177">
        <f t="shared" ref="AO99:AO106" si="173">IF(AND($AC99&lt;=AO$3,AO$3&lt;=$AD99),$AB99/$AE99,0)</f>
        <v>0</v>
      </c>
      <c r="AP99" s="177">
        <f t="shared" ref="AP99:AP106" si="174">IF(AND($AC99&lt;=AP$3,AP$3&lt;=$AD99),$AB99/$AE99,0)</f>
        <v>0</v>
      </c>
      <c r="AQ99" s="177">
        <f t="shared" ref="AQ99:AQ106" si="175">IF(AND($AC99&lt;=AQ$3,AQ$3&lt;=$AD99),$AB99/$AE99,0)</f>
        <v>0</v>
      </c>
      <c r="AR99" s="178">
        <f t="shared" ref="AR99:AR106" si="176">SUM(AF99:AQ99)</f>
        <v>0</v>
      </c>
      <c r="AT99" s="177">
        <f t="shared" si="137"/>
        <v>0</v>
      </c>
      <c r="AU99" s="177">
        <f t="shared" si="138"/>
        <v>0</v>
      </c>
      <c r="AV99" s="177">
        <f t="shared" si="139"/>
        <v>0</v>
      </c>
      <c r="AW99" s="177">
        <f t="shared" si="140"/>
        <v>0</v>
      </c>
      <c r="AX99" s="177">
        <f t="shared" si="141"/>
        <v>0</v>
      </c>
      <c r="AY99" s="177">
        <f t="shared" si="142"/>
        <v>0</v>
      </c>
      <c r="AZ99" s="177">
        <f t="shared" si="143"/>
        <v>0</v>
      </c>
      <c r="BA99" s="177">
        <f t="shared" si="144"/>
        <v>0</v>
      </c>
      <c r="BB99" s="177">
        <f t="shared" si="145"/>
        <v>0</v>
      </c>
      <c r="BC99" s="177">
        <f t="shared" si="146"/>
        <v>0</v>
      </c>
      <c r="BD99" s="177">
        <f t="shared" si="147"/>
        <v>0</v>
      </c>
      <c r="BE99" s="177">
        <f t="shared" si="148"/>
        <v>0</v>
      </c>
      <c r="BF99" s="178">
        <f t="shared" ref="BF99:BF106" si="177">SUM(AT99:BE99)</f>
        <v>0</v>
      </c>
    </row>
    <row r="100" spans="1:58" ht="18.95" customHeight="1">
      <c r="A100" s="171">
        <v>11</v>
      </c>
      <c r="B100" s="171" t="s">
        <v>2242</v>
      </c>
      <c r="C100" s="171"/>
      <c r="D100" s="171" t="s">
        <v>1662</v>
      </c>
      <c r="E100" s="172" t="str">
        <f t="shared" si="160"/>
        <v>IT Professional &amp; MS Services</v>
      </c>
      <c r="F100" s="172"/>
      <c r="G100" s="77" t="s">
        <v>2613</v>
      </c>
      <c r="H100" s="173" t="s">
        <v>2614</v>
      </c>
      <c r="I100" s="173" t="s">
        <v>2046</v>
      </c>
      <c r="J100" s="184"/>
      <c r="K100" s="456">
        <v>45809</v>
      </c>
      <c r="L100" s="456">
        <v>45838</v>
      </c>
      <c r="M100" s="462">
        <f t="shared" si="161"/>
        <v>1</v>
      </c>
      <c r="N100" s="177">
        <f t="shared" ref="N100:Y100" si="178">IF(AND($K100&lt;=N$3,N$3&lt;=$L100),$J100/$M100,0)</f>
        <v>0</v>
      </c>
      <c r="O100" s="177">
        <f t="shared" si="178"/>
        <v>0</v>
      </c>
      <c r="P100" s="177">
        <f t="shared" si="178"/>
        <v>0</v>
      </c>
      <c r="Q100" s="177">
        <f t="shared" si="178"/>
        <v>0</v>
      </c>
      <c r="R100" s="177">
        <f t="shared" si="178"/>
        <v>0</v>
      </c>
      <c r="S100" s="177">
        <f t="shared" si="178"/>
        <v>0</v>
      </c>
      <c r="T100" s="177">
        <f t="shared" si="178"/>
        <v>0</v>
      </c>
      <c r="U100" s="177">
        <f t="shared" si="178"/>
        <v>0</v>
      </c>
      <c r="V100" s="177">
        <f t="shared" si="178"/>
        <v>0</v>
      </c>
      <c r="W100" s="177">
        <f t="shared" si="178"/>
        <v>0</v>
      </c>
      <c r="X100" s="177">
        <f t="shared" si="178"/>
        <v>0</v>
      </c>
      <c r="Y100" s="177">
        <f t="shared" si="178"/>
        <v>0</v>
      </c>
      <c r="Z100" s="178">
        <f t="shared" si="163"/>
        <v>0</v>
      </c>
      <c r="AA100" s="173" t="s">
        <v>2046</v>
      </c>
      <c r="AB100" s="184"/>
      <c r="AC100" s="456">
        <v>46174</v>
      </c>
      <c r="AD100" s="456">
        <v>46203</v>
      </c>
      <c r="AE100" s="462">
        <f t="shared" si="134"/>
        <v>1</v>
      </c>
      <c r="AF100" s="177">
        <f t="shared" si="164"/>
        <v>0</v>
      </c>
      <c r="AG100" s="177">
        <f t="shared" si="165"/>
        <v>0</v>
      </c>
      <c r="AH100" s="177">
        <f t="shared" si="166"/>
        <v>0</v>
      </c>
      <c r="AI100" s="177">
        <f t="shared" si="167"/>
        <v>0</v>
      </c>
      <c r="AJ100" s="177">
        <f t="shared" si="168"/>
        <v>0</v>
      </c>
      <c r="AK100" s="177">
        <f t="shared" si="169"/>
        <v>0</v>
      </c>
      <c r="AL100" s="177">
        <f t="shared" si="170"/>
        <v>0</v>
      </c>
      <c r="AM100" s="177">
        <f t="shared" si="171"/>
        <v>0</v>
      </c>
      <c r="AN100" s="177">
        <f t="shared" si="172"/>
        <v>0</v>
      </c>
      <c r="AO100" s="177">
        <f t="shared" si="173"/>
        <v>0</v>
      </c>
      <c r="AP100" s="177">
        <f t="shared" si="174"/>
        <v>0</v>
      </c>
      <c r="AQ100" s="177">
        <f t="shared" si="175"/>
        <v>0</v>
      </c>
      <c r="AR100" s="178">
        <f t="shared" si="176"/>
        <v>0</v>
      </c>
      <c r="AT100" s="177">
        <f t="shared" si="137"/>
        <v>0</v>
      </c>
      <c r="AU100" s="177">
        <f t="shared" si="138"/>
        <v>0</v>
      </c>
      <c r="AV100" s="177">
        <f t="shared" si="139"/>
        <v>0</v>
      </c>
      <c r="AW100" s="177">
        <f t="shared" si="140"/>
        <v>0</v>
      </c>
      <c r="AX100" s="177">
        <f t="shared" si="141"/>
        <v>0</v>
      </c>
      <c r="AY100" s="177">
        <f t="shared" si="142"/>
        <v>0</v>
      </c>
      <c r="AZ100" s="177">
        <f t="shared" si="143"/>
        <v>0</v>
      </c>
      <c r="BA100" s="177">
        <f t="shared" si="144"/>
        <v>0</v>
      </c>
      <c r="BB100" s="177">
        <f t="shared" si="145"/>
        <v>0</v>
      </c>
      <c r="BC100" s="177">
        <f t="shared" si="146"/>
        <v>0</v>
      </c>
      <c r="BD100" s="177">
        <f t="shared" si="147"/>
        <v>0</v>
      </c>
      <c r="BE100" s="177">
        <f t="shared" si="148"/>
        <v>0</v>
      </c>
      <c r="BF100" s="178">
        <f t="shared" si="177"/>
        <v>0</v>
      </c>
    </row>
    <row r="101" spans="1:58" ht="17.100000000000001" customHeight="1">
      <c r="A101" s="171">
        <v>12</v>
      </c>
      <c r="B101" s="171" t="s">
        <v>2242</v>
      </c>
      <c r="C101" s="171"/>
      <c r="D101" s="171" t="s">
        <v>1667</v>
      </c>
      <c r="E101" s="172" t="str">
        <f t="shared" si="160"/>
        <v>IT Professional &amp; MS Services</v>
      </c>
      <c r="F101" s="172"/>
      <c r="G101" s="77" t="s">
        <v>2613</v>
      </c>
      <c r="H101" s="173" t="s">
        <v>2614</v>
      </c>
      <c r="I101" s="173" t="s">
        <v>2046</v>
      </c>
      <c r="J101" s="184"/>
      <c r="K101" s="456">
        <v>45809</v>
      </c>
      <c r="L101" s="456">
        <v>45838</v>
      </c>
      <c r="M101" s="462">
        <f t="shared" si="161"/>
        <v>1</v>
      </c>
      <c r="N101" s="177">
        <f t="shared" ref="N101:Y106" si="179">IF(AND($K101&lt;=N$3,N$3&lt;=$L101),$J101/$M101,0)</f>
        <v>0</v>
      </c>
      <c r="O101" s="177">
        <f t="shared" si="179"/>
        <v>0</v>
      </c>
      <c r="P101" s="177">
        <f t="shared" si="179"/>
        <v>0</v>
      </c>
      <c r="Q101" s="177">
        <f t="shared" si="179"/>
        <v>0</v>
      </c>
      <c r="R101" s="177">
        <f t="shared" si="179"/>
        <v>0</v>
      </c>
      <c r="S101" s="177">
        <f t="shared" si="179"/>
        <v>0</v>
      </c>
      <c r="T101" s="177">
        <f t="shared" si="179"/>
        <v>0</v>
      </c>
      <c r="U101" s="177">
        <f t="shared" si="179"/>
        <v>0</v>
      </c>
      <c r="V101" s="177">
        <f t="shared" si="179"/>
        <v>0</v>
      </c>
      <c r="W101" s="177">
        <f t="shared" si="179"/>
        <v>0</v>
      </c>
      <c r="X101" s="177">
        <f t="shared" si="179"/>
        <v>0</v>
      </c>
      <c r="Y101" s="177">
        <f t="shared" si="179"/>
        <v>0</v>
      </c>
      <c r="Z101" s="178">
        <f t="shared" si="163"/>
        <v>0</v>
      </c>
      <c r="AA101" s="173" t="s">
        <v>2046</v>
      </c>
      <c r="AB101" s="184"/>
      <c r="AC101" s="456">
        <v>46174</v>
      </c>
      <c r="AD101" s="456">
        <v>46203</v>
      </c>
      <c r="AE101" s="462">
        <f t="shared" si="134"/>
        <v>1</v>
      </c>
      <c r="AF101" s="177">
        <f t="shared" si="164"/>
        <v>0</v>
      </c>
      <c r="AG101" s="177">
        <f t="shared" si="165"/>
        <v>0</v>
      </c>
      <c r="AH101" s="177">
        <f t="shared" si="166"/>
        <v>0</v>
      </c>
      <c r="AI101" s="177">
        <f t="shared" si="167"/>
        <v>0</v>
      </c>
      <c r="AJ101" s="177">
        <f t="shared" si="168"/>
        <v>0</v>
      </c>
      <c r="AK101" s="177">
        <f t="shared" si="169"/>
        <v>0</v>
      </c>
      <c r="AL101" s="177">
        <f t="shared" si="170"/>
        <v>0</v>
      </c>
      <c r="AM101" s="177">
        <f t="shared" si="171"/>
        <v>0</v>
      </c>
      <c r="AN101" s="177">
        <f t="shared" si="172"/>
        <v>0</v>
      </c>
      <c r="AO101" s="177">
        <f t="shared" si="173"/>
        <v>0</v>
      </c>
      <c r="AP101" s="177">
        <f t="shared" si="174"/>
        <v>0</v>
      </c>
      <c r="AQ101" s="177">
        <f t="shared" si="175"/>
        <v>0</v>
      </c>
      <c r="AR101" s="178">
        <f t="shared" si="176"/>
        <v>0</v>
      </c>
      <c r="AT101" s="177">
        <f t="shared" si="137"/>
        <v>0</v>
      </c>
      <c r="AU101" s="177">
        <f t="shared" si="138"/>
        <v>0</v>
      </c>
      <c r="AV101" s="177">
        <f t="shared" si="139"/>
        <v>0</v>
      </c>
      <c r="AW101" s="177">
        <f t="shared" si="140"/>
        <v>0</v>
      </c>
      <c r="AX101" s="177">
        <f t="shared" si="141"/>
        <v>0</v>
      </c>
      <c r="AY101" s="177">
        <f t="shared" si="142"/>
        <v>0</v>
      </c>
      <c r="AZ101" s="177">
        <f t="shared" si="143"/>
        <v>0</v>
      </c>
      <c r="BA101" s="177">
        <f t="shared" si="144"/>
        <v>0</v>
      </c>
      <c r="BB101" s="177">
        <f t="shared" si="145"/>
        <v>0</v>
      </c>
      <c r="BC101" s="177">
        <f t="shared" si="146"/>
        <v>0</v>
      </c>
      <c r="BD101" s="177">
        <f t="shared" si="147"/>
        <v>0</v>
      </c>
      <c r="BE101" s="177">
        <f t="shared" si="148"/>
        <v>0</v>
      </c>
      <c r="BF101" s="178">
        <f t="shared" si="177"/>
        <v>0</v>
      </c>
    </row>
    <row r="102" spans="1:58" ht="15" customHeight="1">
      <c r="A102" s="171">
        <v>13</v>
      </c>
      <c r="B102" s="171" t="s">
        <v>2242</v>
      </c>
      <c r="C102" s="171"/>
      <c r="D102" s="171"/>
      <c r="E102" s="172" t="str">
        <f t="shared" si="160"/>
        <v>Capital Verification Fees</v>
      </c>
      <c r="F102" s="172"/>
      <c r="G102" s="77" t="s">
        <v>2613</v>
      </c>
      <c r="H102" s="173" t="s">
        <v>2614</v>
      </c>
      <c r="I102" s="173" t="s">
        <v>2046</v>
      </c>
      <c r="J102" s="184"/>
      <c r="K102" s="456">
        <v>45839</v>
      </c>
      <c r="L102" s="456">
        <v>45869</v>
      </c>
      <c r="M102" s="462">
        <f t="shared" si="161"/>
        <v>1</v>
      </c>
      <c r="N102" s="177">
        <f t="shared" si="179"/>
        <v>0</v>
      </c>
      <c r="O102" s="177">
        <f t="shared" si="179"/>
        <v>0</v>
      </c>
      <c r="P102" s="177">
        <f t="shared" si="179"/>
        <v>0</v>
      </c>
      <c r="Q102" s="177">
        <f t="shared" si="179"/>
        <v>0</v>
      </c>
      <c r="R102" s="177">
        <f t="shared" si="179"/>
        <v>0</v>
      </c>
      <c r="S102" s="177">
        <f t="shared" si="179"/>
        <v>0</v>
      </c>
      <c r="T102" s="177">
        <f t="shared" si="179"/>
        <v>0</v>
      </c>
      <c r="U102" s="177">
        <f t="shared" si="179"/>
        <v>0</v>
      </c>
      <c r="V102" s="177">
        <f t="shared" si="179"/>
        <v>0</v>
      </c>
      <c r="W102" s="177">
        <f t="shared" si="179"/>
        <v>0</v>
      </c>
      <c r="X102" s="177">
        <f t="shared" si="179"/>
        <v>0</v>
      </c>
      <c r="Y102" s="177">
        <f t="shared" si="179"/>
        <v>0</v>
      </c>
      <c r="Z102" s="178">
        <f t="shared" si="163"/>
        <v>0</v>
      </c>
      <c r="AA102" s="173" t="s">
        <v>2046</v>
      </c>
      <c r="AB102" s="184"/>
      <c r="AC102" s="456">
        <v>46023</v>
      </c>
      <c r="AD102" s="456">
        <v>46387</v>
      </c>
      <c r="AE102" s="462">
        <f t="shared" si="134"/>
        <v>12</v>
      </c>
      <c r="AF102" s="177">
        <f t="shared" si="164"/>
        <v>0</v>
      </c>
      <c r="AG102" s="177">
        <f t="shared" si="165"/>
        <v>0</v>
      </c>
      <c r="AH102" s="177">
        <f t="shared" si="166"/>
        <v>0</v>
      </c>
      <c r="AI102" s="177">
        <f t="shared" si="167"/>
        <v>0</v>
      </c>
      <c r="AJ102" s="177">
        <f t="shared" si="168"/>
        <v>0</v>
      </c>
      <c r="AK102" s="177">
        <f t="shared" si="169"/>
        <v>0</v>
      </c>
      <c r="AL102" s="177">
        <f t="shared" si="170"/>
        <v>0</v>
      </c>
      <c r="AM102" s="177">
        <f t="shared" si="171"/>
        <v>0</v>
      </c>
      <c r="AN102" s="177">
        <f t="shared" si="172"/>
        <v>0</v>
      </c>
      <c r="AO102" s="177">
        <f t="shared" si="173"/>
        <v>0</v>
      </c>
      <c r="AP102" s="177">
        <f t="shared" si="174"/>
        <v>0</v>
      </c>
      <c r="AQ102" s="177">
        <f t="shared" si="175"/>
        <v>0</v>
      </c>
      <c r="AR102" s="178">
        <f t="shared" si="176"/>
        <v>0</v>
      </c>
      <c r="AT102" s="177">
        <f t="shared" si="137"/>
        <v>0</v>
      </c>
      <c r="AU102" s="177">
        <f t="shared" si="138"/>
        <v>0</v>
      </c>
      <c r="AV102" s="177">
        <f t="shared" si="139"/>
        <v>0</v>
      </c>
      <c r="AW102" s="177">
        <f t="shared" si="140"/>
        <v>0</v>
      </c>
      <c r="AX102" s="177">
        <f t="shared" si="141"/>
        <v>0</v>
      </c>
      <c r="AY102" s="177">
        <f t="shared" si="142"/>
        <v>0</v>
      </c>
      <c r="AZ102" s="177">
        <f t="shared" si="143"/>
        <v>0</v>
      </c>
      <c r="BA102" s="177">
        <f t="shared" si="144"/>
        <v>0</v>
      </c>
      <c r="BB102" s="177">
        <f t="shared" si="145"/>
        <v>0</v>
      </c>
      <c r="BC102" s="177">
        <f t="shared" si="146"/>
        <v>0</v>
      </c>
      <c r="BD102" s="177">
        <f t="shared" si="147"/>
        <v>0</v>
      </c>
      <c r="BE102" s="177">
        <f t="shared" si="148"/>
        <v>0</v>
      </c>
      <c r="BF102" s="178">
        <f t="shared" si="177"/>
        <v>0</v>
      </c>
    </row>
    <row r="103" spans="1:58" ht="15" customHeight="1">
      <c r="A103" s="171">
        <v>14</v>
      </c>
      <c r="B103" s="171" t="s">
        <v>2242</v>
      </c>
      <c r="C103" s="171"/>
      <c r="D103" s="171"/>
      <c r="E103" s="172" t="str">
        <f t="shared" si="160"/>
        <v>Industry Research Fee</v>
      </c>
      <c r="F103" s="172"/>
      <c r="G103" s="77" t="s">
        <v>2613</v>
      </c>
      <c r="H103" s="173" t="s">
        <v>2614</v>
      </c>
      <c r="I103" s="173" t="s">
        <v>2046</v>
      </c>
      <c r="J103" s="184"/>
      <c r="K103" s="456">
        <v>45658</v>
      </c>
      <c r="L103" s="456">
        <v>46022</v>
      </c>
      <c r="M103" s="462">
        <f t="shared" si="161"/>
        <v>12</v>
      </c>
      <c r="N103" s="177">
        <f t="shared" si="179"/>
        <v>0</v>
      </c>
      <c r="O103" s="177">
        <f t="shared" si="179"/>
        <v>0</v>
      </c>
      <c r="P103" s="177">
        <f t="shared" si="179"/>
        <v>0</v>
      </c>
      <c r="Q103" s="177">
        <f t="shared" si="179"/>
        <v>0</v>
      </c>
      <c r="R103" s="177">
        <f t="shared" si="179"/>
        <v>0</v>
      </c>
      <c r="S103" s="177">
        <f t="shared" si="179"/>
        <v>0</v>
      </c>
      <c r="T103" s="177">
        <f t="shared" si="179"/>
        <v>0</v>
      </c>
      <c r="U103" s="177">
        <f t="shared" si="179"/>
        <v>0</v>
      </c>
      <c r="V103" s="177">
        <f t="shared" si="179"/>
        <v>0</v>
      </c>
      <c r="W103" s="177">
        <f t="shared" si="179"/>
        <v>0</v>
      </c>
      <c r="X103" s="177">
        <f t="shared" si="179"/>
        <v>0</v>
      </c>
      <c r="Y103" s="177">
        <f t="shared" si="179"/>
        <v>0</v>
      </c>
      <c r="Z103" s="178">
        <f t="shared" si="163"/>
        <v>0</v>
      </c>
      <c r="AA103" s="173" t="s">
        <v>2046</v>
      </c>
      <c r="AB103" s="184"/>
      <c r="AC103" s="456">
        <v>46023</v>
      </c>
      <c r="AD103" s="456">
        <v>46387</v>
      </c>
      <c r="AE103" s="462">
        <f t="shared" si="134"/>
        <v>12</v>
      </c>
      <c r="AF103" s="177">
        <f t="shared" si="164"/>
        <v>0</v>
      </c>
      <c r="AG103" s="177">
        <f t="shared" si="165"/>
        <v>0</v>
      </c>
      <c r="AH103" s="177">
        <f t="shared" si="166"/>
        <v>0</v>
      </c>
      <c r="AI103" s="177">
        <f t="shared" si="167"/>
        <v>0</v>
      </c>
      <c r="AJ103" s="177">
        <f t="shared" si="168"/>
        <v>0</v>
      </c>
      <c r="AK103" s="177">
        <f t="shared" si="169"/>
        <v>0</v>
      </c>
      <c r="AL103" s="177">
        <f t="shared" si="170"/>
        <v>0</v>
      </c>
      <c r="AM103" s="177">
        <f t="shared" si="171"/>
        <v>0</v>
      </c>
      <c r="AN103" s="177">
        <f t="shared" si="172"/>
        <v>0</v>
      </c>
      <c r="AO103" s="177">
        <f t="shared" si="173"/>
        <v>0</v>
      </c>
      <c r="AP103" s="177">
        <f t="shared" si="174"/>
        <v>0</v>
      </c>
      <c r="AQ103" s="177">
        <f t="shared" si="175"/>
        <v>0</v>
      </c>
      <c r="AR103" s="178">
        <f t="shared" si="176"/>
        <v>0</v>
      </c>
      <c r="AT103" s="177">
        <f t="shared" si="137"/>
        <v>0</v>
      </c>
      <c r="AU103" s="177">
        <f t="shared" si="138"/>
        <v>0</v>
      </c>
      <c r="AV103" s="177">
        <f t="shared" si="139"/>
        <v>0</v>
      </c>
      <c r="AW103" s="177">
        <f t="shared" si="140"/>
        <v>0</v>
      </c>
      <c r="AX103" s="177">
        <f t="shared" si="141"/>
        <v>0</v>
      </c>
      <c r="AY103" s="177">
        <f t="shared" si="142"/>
        <v>0</v>
      </c>
      <c r="AZ103" s="177">
        <f t="shared" si="143"/>
        <v>0</v>
      </c>
      <c r="BA103" s="177">
        <f t="shared" si="144"/>
        <v>0</v>
      </c>
      <c r="BB103" s="177">
        <f t="shared" si="145"/>
        <v>0</v>
      </c>
      <c r="BC103" s="177">
        <f t="shared" si="146"/>
        <v>0</v>
      </c>
      <c r="BD103" s="177">
        <f t="shared" si="147"/>
        <v>0</v>
      </c>
      <c r="BE103" s="177">
        <f t="shared" si="148"/>
        <v>0</v>
      </c>
      <c r="BF103" s="178">
        <f t="shared" si="177"/>
        <v>0</v>
      </c>
    </row>
    <row r="104" spans="1:58" ht="14.1" customHeight="1">
      <c r="A104" s="171">
        <v>15</v>
      </c>
      <c r="B104" s="171" t="s">
        <v>2242</v>
      </c>
      <c r="C104" s="171"/>
      <c r="D104" s="171"/>
      <c r="E104" s="172" t="str">
        <f t="shared" si="160"/>
        <v>Project Due Diligence Fee</v>
      </c>
      <c r="F104" s="172"/>
      <c r="G104" s="77" t="s">
        <v>2613</v>
      </c>
      <c r="H104" s="173" t="s">
        <v>2614</v>
      </c>
      <c r="I104" s="173" t="s">
        <v>2046</v>
      </c>
      <c r="J104" s="184"/>
      <c r="K104" s="456">
        <v>45658</v>
      </c>
      <c r="L104" s="456">
        <v>45688</v>
      </c>
      <c r="M104" s="462">
        <f t="shared" si="161"/>
        <v>1</v>
      </c>
      <c r="N104" s="177">
        <f t="shared" si="179"/>
        <v>0</v>
      </c>
      <c r="O104" s="177">
        <f t="shared" si="179"/>
        <v>0</v>
      </c>
      <c r="P104" s="177">
        <f t="shared" si="179"/>
        <v>0</v>
      </c>
      <c r="Q104" s="177">
        <f t="shared" si="179"/>
        <v>0</v>
      </c>
      <c r="R104" s="177">
        <f t="shared" si="179"/>
        <v>0</v>
      </c>
      <c r="S104" s="177">
        <f t="shared" si="179"/>
        <v>0</v>
      </c>
      <c r="T104" s="177">
        <f t="shared" si="179"/>
        <v>0</v>
      </c>
      <c r="U104" s="177">
        <f t="shared" si="179"/>
        <v>0</v>
      </c>
      <c r="V104" s="177">
        <f t="shared" si="179"/>
        <v>0</v>
      </c>
      <c r="W104" s="177">
        <f t="shared" si="179"/>
        <v>0</v>
      </c>
      <c r="X104" s="177">
        <f t="shared" si="179"/>
        <v>0</v>
      </c>
      <c r="Y104" s="177">
        <f t="shared" si="179"/>
        <v>0</v>
      </c>
      <c r="Z104" s="178">
        <f t="shared" si="163"/>
        <v>0</v>
      </c>
      <c r="AA104" s="173" t="s">
        <v>2046</v>
      </c>
      <c r="AB104" s="184"/>
      <c r="AC104" s="456">
        <v>46023</v>
      </c>
      <c r="AD104" s="456">
        <v>46387</v>
      </c>
      <c r="AE104" s="462">
        <f t="shared" si="134"/>
        <v>12</v>
      </c>
      <c r="AF104" s="177">
        <f t="shared" si="164"/>
        <v>0</v>
      </c>
      <c r="AG104" s="177">
        <f t="shared" si="165"/>
        <v>0</v>
      </c>
      <c r="AH104" s="177">
        <f t="shared" si="166"/>
        <v>0</v>
      </c>
      <c r="AI104" s="177">
        <f t="shared" si="167"/>
        <v>0</v>
      </c>
      <c r="AJ104" s="177">
        <f t="shared" si="168"/>
        <v>0</v>
      </c>
      <c r="AK104" s="177">
        <f t="shared" si="169"/>
        <v>0</v>
      </c>
      <c r="AL104" s="177">
        <f t="shared" si="170"/>
        <v>0</v>
      </c>
      <c r="AM104" s="177">
        <f t="shared" si="171"/>
        <v>0</v>
      </c>
      <c r="AN104" s="177">
        <f t="shared" si="172"/>
        <v>0</v>
      </c>
      <c r="AO104" s="177">
        <f t="shared" si="173"/>
        <v>0</v>
      </c>
      <c r="AP104" s="177">
        <f t="shared" si="174"/>
        <v>0</v>
      </c>
      <c r="AQ104" s="177">
        <f t="shared" si="175"/>
        <v>0</v>
      </c>
      <c r="AR104" s="178">
        <f t="shared" si="176"/>
        <v>0</v>
      </c>
      <c r="AT104" s="177">
        <f t="shared" si="137"/>
        <v>0</v>
      </c>
      <c r="AU104" s="177">
        <f t="shared" si="138"/>
        <v>0</v>
      </c>
      <c r="AV104" s="177">
        <f t="shared" si="139"/>
        <v>0</v>
      </c>
      <c r="AW104" s="177">
        <f t="shared" si="140"/>
        <v>0</v>
      </c>
      <c r="AX104" s="177">
        <f t="shared" si="141"/>
        <v>0</v>
      </c>
      <c r="AY104" s="177">
        <f t="shared" si="142"/>
        <v>0</v>
      </c>
      <c r="AZ104" s="177">
        <f t="shared" si="143"/>
        <v>0</v>
      </c>
      <c r="BA104" s="177">
        <f t="shared" si="144"/>
        <v>0</v>
      </c>
      <c r="BB104" s="177">
        <f t="shared" si="145"/>
        <v>0</v>
      </c>
      <c r="BC104" s="177">
        <f t="shared" si="146"/>
        <v>0</v>
      </c>
      <c r="BD104" s="177">
        <f t="shared" si="147"/>
        <v>0</v>
      </c>
      <c r="BE104" s="177">
        <f t="shared" si="148"/>
        <v>0</v>
      </c>
      <c r="BF104" s="178">
        <f t="shared" si="177"/>
        <v>0</v>
      </c>
    </row>
    <row r="105" spans="1:58" ht="14.1" customHeight="1">
      <c r="A105" s="171">
        <v>16</v>
      </c>
      <c r="B105" s="171" t="s">
        <v>2242</v>
      </c>
      <c r="C105" s="171" t="s">
        <v>2736</v>
      </c>
      <c r="D105" s="171" t="s">
        <v>1539</v>
      </c>
      <c r="E105" s="172" t="str">
        <f t="shared" si="160"/>
        <v>Legal Fees</v>
      </c>
      <c r="F105" s="172" t="s">
        <v>2737</v>
      </c>
      <c r="G105" s="77" t="s">
        <v>2613</v>
      </c>
      <c r="H105" s="173" t="s">
        <v>2614</v>
      </c>
      <c r="I105" s="173" t="s">
        <v>2046</v>
      </c>
      <c r="J105" s="184">
        <v>63000</v>
      </c>
      <c r="K105" s="188">
        <v>45992</v>
      </c>
      <c r="L105" s="188">
        <v>46022</v>
      </c>
      <c r="M105" s="462">
        <f t="shared" si="161"/>
        <v>1</v>
      </c>
      <c r="N105" s="177">
        <f t="shared" si="179"/>
        <v>0</v>
      </c>
      <c r="O105" s="177">
        <f t="shared" si="179"/>
        <v>0</v>
      </c>
      <c r="P105" s="177">
        <f t="shared" si="179"/>
        <v>0</v>
      </c>
      <c r="Q105" s="177">
        <f t="shared" si="179"/>
        <v>0</v>
      </c>
      <c r="R105" s="177">
        <f t="shared" si="179"/>
        <v>0</v>
      </c>
      <c r="S105" s="177">
        <f t="shared" si="179"/>
        <v>0</v>
      </c>
      <c r="T105" s="177">
        <f t="shared" si="179"/>
        <v>0</v>
      </c>
      <c r="U105" s="177">
        <f t="shared" si="179"/>
        <v>0</v>
      </c>
      <c r="V105" s="177">
        <f t="shared" si="179"/>
        <v>0</v>
      </c>
      <c r="W105" s="177">
        <f t="shared" si="179"/>
        <v>0</v>
      </c>
      <c r="X105" s="177">
        <f t="shared" si="179"/>
        <v>0</v>
      </c>
      <c r="Y105" s="177">
        <f t="shared" si="179"/>
        <v>63000</v>
      </c>
      <c r="Z105" s="178">
        <f t="shared" si="163"/>
        <v>63000</v>
      </c>
      <c r="AA105" s="173" t="s">
        <v>2046</v>
      </c>
      <c r="AB105" s="187">
        <v>100000</v>
      </c>
      <c r="AC105" s="456">
        <v>46023</v>
      </c>
      <c r="AD105" s="456">
        <v>46053</v>
      </c>
      <c r="AE105" s="462">
        <f t="shared" si="134"/>
        <v>1</v>
      </c>
      <c r="AF105" s="177">
        <f t="shared" si="164"/>
        <v>100000</v>
      </c>
      <c r="AG105" s="177">
        <f t="shared" si="165"/>
        <v>0</v>
      </c>
      <c r="AH105" s="177">
        <f t="shared" si="166"/>
        <v>0</v>
      </c>
      <c r="AI105" s="177">
        <f t="shared" si="167"/>
        <v>0</v>
      </c>
      <c r="AJ105" s="177">
        <f t="shared" si="168"/>
        <v>0</v>
      </c>
      <c r="AK105" s="177">
        <v>50000</v>
      </c>
      <c r="AL105" s="177">
        <f t="shared" si="170"/>
        <v>0</v>
      </c>
      <c r="AM105" s="177">
        <f t="shared" si="171"/>
        <v>0</v>
      </c>
      <c r="AN105" s="177">
        <f t="shared" si="172"/>
        <v>0</v>
      </c>
      <c r="AO105" s="177">
        <f t="shared" si="173"/>
        <v>0</v>
      </c>
      <c r="AP105" s="177">
        <f t="shared" si="174"/>
        <v>0</v>
      </c>
      <c r="AQ105" s="177">
        <f t="shared" si="175"/>
        <v>0</v>
      </c>
      <c r="AR105" s="178">
        <f t="shared" si="176"/>
        <v>150000</v>
      </c>
      <c r="AT105" s="177">
        <f t="shared" si="137"/>
        <v>105000</v>
      </c>
      <c r="AU105" s="177">
        <f t="shared" si="138"/>
        <v>0</v>
      </c>
      <c r="AV105" s="177">
        <f t="shared" si="139"/>
        <v>0</v>
      </c>
      <c r="AW105" s="177">
        <f t="shared" si="140"/>
        <v>0</v>
      </c>
      <c r="AX105" s="177">
        <f t="shared" si="141"/>
        <v>0</v>
      </c>
      <c r="AY105" s="177">
        <f t="shared" si="142"/>
        <v>52500</v>
      </c>
      <c r="AZ105" s="177">
        <f t="shared" si="143"/>
        <v>0</v>
      </c>
      <c r="BA105" s="177">
        <f t="shared" si="144"/>
        <v>0</v>
      </c>
      <c r="BB105" s="177">
        <f t="shared" si="145"/>
        <v>0</v>
      </c>
      <c r="BC105" s="177">
        <f t="shared" si="146"/>
        <v>0</v>
      </c>
      <c r="BD105" s="177">
        <f t="shared" si="147"/>
        <v>0</v>
      </c>
      <c r="BE105" s="177">
        <f t="shared" si="148"/>
        <v>0</v>
      </c>
      <c r="BF105" s="178">
        <f t="shared" si="177"/>
        <v>157500</v>
      </c>
    </row>
    <row r="106" spans="1:58" s="151" customFormat="1" ht="15.95" customHeight="1">
      <c r="A106" s="171">
        <v>17</v>
      </c>
      <c r="B106" s="171" t="s">
        <v>2242</v>
      </c>
      <c r="C106" s="171"/>
      <c r="D106" s="171" t="s">
        <v>1867</v>
      </c>
      <c r="E106" s="172" t="str">
        <f t="shared" si="160"/>
        <v>Training expense</v>
      </c>
      <c r="F106" s="172"/>
      <c r="G106" s="77" t="s">
        <v>2613</v>
      </c>
      <c r="H106" s="173" t="s">
        <v>2614</v>
      </c>
      <c r="I106" s="173" t="s">
        <v>2046</v>
      </c>
      <c r="J106" s="184"/>
      <c r="K106" s="456">
        <v>45658</v>
      </c>
      <c r="L106" s="456">
        <v>46022</v>
      </c>
      <c r="M106" s="462">
        <f t="shared" si="161"/>
        <v>12</v>
      </c>
      <c r="N106" s="177">
        <f t="shared" si="179"/>
        <v>0</v>
      </c>
      <c r="O106" s="177">
        <f t="shared" si="179"/>
        <v>0</v>
      </c>
      <c r="P106" s="177">
        <f t="shared" si="179"/>
        <v>0</v>
      </c>
      <c r="Q106" s="177">
        <f t="shared" si="179"/>
        <v>0</v>
      </c>
      <c r="R106" s="177">
        <f t="shared" si="179"/>
        <v>0</v>
      </c>
      <c r="S106" s="177">
        <f t="shared" si="179"/>
        <v>0</v>
      </c>
      <c r="T106" s="177">
        <f t="shared" si="179"/>
        <v>0</v>
      </c>
      <c r="U106" s="177">
        <f t="shared" si="179"/>
        <v>0</v>
      </c>
      <c r="V106" s="177">
        <f t="shared" si="179"/>
        <v>0</v>
      </c>
      <c r="W106" s="177">
        <f t="shared" si="179"/>
        <v>0</v>
      </c>
      <c r="X106" s="177">
        <f t="shared" si="179"/>
        <v>0</v>
      </c>
      <c r="Y106" s="177">
        <f t="shared" si="179"/>
        <v>0</v>
      </c>
      <c r="Z106" s="178">
        <f t="shared" si="163"/>
        <v>0</v>
      </c>
      <c r="AA106" s="173" t="s">
        <v>2046</v>
      </c>
      <c r="AB106" s="184"/>
      <c r="AC106" s="456">
        <v>46023</v>
      </c>
      <c r="AD106" s="456">
        <v>46387</v>
      </c>
      <c r="AE106" s="462">
        <f t="shared" si="134"/>
        <v>12</v>
      </c>
      <c r="AF106" s="177">
        <f t="shared" si="164"/>
        <v>0</v>
      </c>
      <c r="AG106" s="177">
        <f t="shared" si="165"/>
        <v>0</v>
      </c>
      <c r="AH106" s="177">
        <f t="shared" si="166"/>
        <v>0</v>
      </c>
      <c r="AI106" s="177">
        <f t="shared" si="167"/>
        <v>0</v>
      </c>
      <c r="AJ106" s="177">
        <f t="shared" si="168"/>
        <v>0</v>
      </c>
      <c r="AK106" s="177">
        <f t="shared" si="169"/>
        <v>0</v>
      </c>
      <c r="AL106" s="177">
        <f t="shared" si="170"/>
        <v>0</v>
      </c>
      <c r="AM106" s="177">
        <f t="shared" si="171"/>
        <v>0</v>
      </c>
      <c r="AN106" s="177">
        <f t="shared" si="172"/>
        <v>0</v>
      </c>
      <c r="AO106" s="177">
        <f t="shared" si="173"/>
        <v>0</v>
      </c>
      <c r="AP106" s="177">
        <f t="shared" si="174"/>
        <v>0</v>
      </c>
      <c r="AQ106" s="177">
        <f t="shared" si="175"/>
        <v>0</v>
      </c>
      <c r="AR106" s="178">
        <f t="shared" si="176"/>
        <v>0</v>
      </c>
      <c r="AT106" s="177">
        <f t="shared" si="137"/>
        <v>0</v>
      </c>
      <c r="AU106" s="177">
        <f t="shared" si="138"/>
        <v>0</v>
      </c>
      <c r="AV106" s="177">
        <f t="shared" si="139"/>
        <v>0</v>
      </c>
      <c r="AW106" s="177">
        <f t="shared" si="140"/>
        <v>0</v>
      </c>
      <c r="AX106" s="177">
        <f t="shared" si="141"/>
        <v>0</v>
      </c>
      <c r="AY106" s="177">
        <f t="shared" si="142"/>
        <v>0</v>
      </c>
      <c r="AZ106" s="177">
        <f t="shared" si="143"/>
        <v>0</v>
      </c>
      <c r="BA106" s="177">
        <f t="shared" si="144"/>
        <v>0</v>
      </c>
      <c r="BB106" s="177">
        <f t="shared" si="145"/>
        <v>0</v>
      </c>
      <c r="BC106" s="177">
        <f t="shared" si="146"/>
        <v>0</v>
      </c>
      <c r="BD106" s="177">
        <f t="shared" si="147"/>
        <v>0</v>
      </c>
      <c r="BE106" s="177">
        <f t="shared" si="148"/>
        <v>0</v>
      </c>
      <c r="BF106" s="178">
        <f t="shared" si="177"/>
        <v>0</v>
      </c>
    </row>
    <row r="107" spans="1:58" ht="12" customHeight="1"/>
    <row r="108" spans="1:58" ht="13.5" thickBot="1">
      <c r="B108" s="151" t="str">
        <f>B106</f>
        <v>ACPSZL</v>
      </c>
      <c r="C108" s="151" t="str">
        <f>'CF-ACPL（合并）'!A25</f>
        <v>支付的其他与经营活动有关的现金（专业服务费）</v>
      </c>
      <c r="D108" s="151"/>
      <c r="E108" s="151"/>
      <c r="N108" s="185">
        <f t="shared" ref="N108:T108" si="180">SUM(N90:N106)</f>
        <v>1400</v>
      </c>
      <c r="O108" s="185">
        <f t="shared" si="180"/>
        <v>1400</v>
      </c>
      <c r="P108" s="185">
        <f t="shared" si="180"/>
        <v>1400</v>
      </c>
      <c r="Q108" s="185">
        <f t="shared" si="180"/>
        <v>1400</v>
      </c>
      <c r="R108" s="185">
        <f t="shared" si="180"/>
        <v>1400</v>
      </c>
      <c r="S108" s="185">
        <f t="shared" si="180"/>
        <v>43400</v>
      </c>
      <c r="T108" s="185">
        <f t="shared" si="180"/>
        <v>3200</v>
      </c>
      <c r="U108" s="185">
        <f t="shared" ref="U108:Z108" si="181">SUM(U90:U106)</f>
        <v>1400</v>
      </c>
      <c r="V108" s="185">
        <f t="shared" si="181"/>
        <v>1400</v>
      </c>
      <c r="W108" s="185">
        <f t="shared" si="181"/>
        <v>1400</v>
      </c>
      <c r="X108" s="185">
        <f t="shared" si="181"/>
        <v>1400</v>
      </c>
      <c r="Y108" s="185">
        <f t="shared" si="181"/>
        <v>64400</v>
      </c>
      <c r="Z108" s="461">
        <f t="shared" si="181"/>
        <v>123600</v>
      </c>
      <c r="AB108" s="461">
        <f>SUM(AB90:AB106)</f>
        <v>158920</v>
      </c>
      <c r="AF108" s="461">
        <f>SUM(AF90:AF106)</f>
        <v>101200</v>
      </c>
      <c r="AG108" s="461">
        <f t="shared" ref="AG108:AR108" si="182">SUM(AG90:AG106)</f>
        <v>1200</v>
      </c>
      <c r="AH108" s="461">
        <f t="shared" si="182"/>
        <v>1200</v>
      </c>
      <c r="AI108" s="461">
        <f t="shared" si="182"/>
        <v>1200</v>
      </c>
      <c r="AJ108" s="461">
        <f t="shared" si="182"/>
        <v>1200</v>
      </c>
      <c r="AK108" s="461">
        <f t="shared" si="182"/>
        <v>95720</v>
      </c>
      <c r="AL108" s="461">
        <f t="shared" si="182"/>
        <v>1200</v>
      </c>
      <c r="AM108" s="461">
        <f t="shared" si="182"/>
        <v>1200</v>
      </c>
      <c r="AN108" s="461">
        <f t="shared" si="182"/>
        <v>1200</v>
      </c>
      <c r="AO108" s="461">
        <f t="shared" si="182"/>
        <v>1200</v>
      </c>
      <c r="AP108" s="461">
        <f t="shared" si="182"/>
        <v>1200</v>
      </c>
      <c r="AQ108" s="461">
        <f t="shared" si="182"/>
        <v>1200</v>
      </c>
      <c r="AR108" s="461">
        <f t="shared" si="182"/>
        <v>208920</v>
      </c>
      <c r="AT108" s="461">
        <f>SUM(AT90:AT106)</f>
        <v>106260</v>
      </c>
      <c r="AU108" s="461">
        <f t="shared" ref="AU108:BF108" si="183">SUM(AU90:AU106)</f>
        <v>1260</v>
      </c>
      <c r="AV108" s="461">
        <f t="shared" si="183"/>
        <v>1260</v>
      </c>
      <c r="AW108" s="461">
        <f t="shared" si="183"/>
        <v>1260</v>
      </c>
      <c r="AX108" s="461">
        <f t="shared" si="183"/>
        <v>1260</v>
      </c>
      <c r="AY108" s="461">
        <f t="shared" si="183"/>
        <v>100506</v>
      </c>
      <c r="AZ108" s="461">
        <f t="shared" si="183"/>
        <v>1260</v>
      </c>
      <c r="BA108" s="461">
        <f t="shared" si="183"/>
        <v>1260</v>
      </c>
      <c r="BB108" s="461">
        <f t="shared" si="183"/>
        <v>1260</v>
      </c>
      <c r="BC108" s="461">
        <f t="shared" si="183"/>
        <v>1260</v>
      </c>
      <c r="BD108" s="461">
        <f t="shared" si="183"/>
        <v>1260</v>
      </c>
      <c r="BE108" s="461">
        <f t="shared" si="183"/>
        <v>1260</v>
      </c>
      <c r="BF108" s="461">
        <f t="shared" si="183"/>
        <v>219366</v>
      </c>
    </row>
    <row r="109" spans="1:58" ht="13.5" thickTop="1"/>
    <row r="110" spans="1:58" s="150" customFormat="1" ht="13.5" customHeight="1">
      <c r="A110" s="162"/>
      <c r="B110" s="162" t="s">
        <v>2598</v>
      </c>
      <c r="C110" s="162" t="s">
        <v>2401</v>
      </c>
      <c r="D110" s="162" t="s">
        <v>2704</v>
      </c>
      <c r="E110" s="163" t="str">
        <f>$E$3</f>
        <v>Professional Fee</v>
      </c>
      <c r="F110" s="163"/>
      <c r="G110" s="164" t="s">
        <v>2604</v>
      </c>
      <c r="H110" s="164" t="s">
        <v>2605</v>
      </c>
      <c r="I110" s="165" t="s">
        <v>2606</v>
      </c>
      <c r="J110" s="464" t="s">
        <v>2607</v>
      </c>
      <c r="K110" s="465" t="s">
        <v>2608</v>
      </c>
      <c r="L110" s="465" t="s">
        <v>2609</v>
      </c>
      <c r="M110" s="464" t="s">
        <v>2610</v>
      </c>
      <c r="N110" s="69">
        <v>45658</v>
      </c>
      <c r="O110" s="69">
        <v>45689</v>
      </c>
      <c r="P110" s="69">
        <v>45717</v>
      </c>
      <c r="Q110" s="69">
        <v>45748</v>
      </c>
      <c r="R110" s="69">
        <v>45778</v>
      </c>
      <c r="S110" s="69">
        <v>45809</v>
      </c>
      <c r="T110" s="69">
        <v>45839</v>
      </c>
      <c r="U110" s="69">
        <v>45870</v>
      </c>
      <c r="V110" s="69">
        <v>45901</v>
      </c>
      <c r="W110" s="69">
        <v>45931</v>
      </c>
      <c r="X110" s="69">
        <v>45962</v>
      </c>
      <c r="Y110" s="69">
        <v>45992</v>
      </c>
      <c r="Z110" s="168" t="s">
        <v>2115</v>
      </c>
      <c r="AA110" s="165" t="s">
        <v>2606</v>
      </c>
      <c r="AB110" s="464" t="s">
        <v>2607</v>
      </c>
      <c r="AC110" s="465" t="s">
        <v>2608</v>
      </c>
      <c r="AD110" s="465" t="s">
        <v>2609</v>
      </c>
      <c r="AE110" s="464" t="s">
        <v>2610</v>
      </c>
      <c r="AF110" s="69">
        <v>46023</v>
      </c>
      <c r="AG110" s="69">
        <v>46054</v>
      </c>
      <c r="AH110" s="69">
        <v>46082</v>
      </c>
      <c r="AI110" s="69">
        <v>46113</v>
      </c>
      <c r="AJ110" s="69">
        <v>46143</v>
      </c>
      <c r="AK110" s="69">
        <v>46174</v>
      </c>
      <c r="AL110" s="69">
        <v>46204</v>
      </c>
      <c r="AM110" s="69">
        <v>46235</v>
      </c>
      <c r="AN110" s="69">
        <v>46266</v>
      </c>
      <c r="AO110" s="69">
        <v>46296</v>
      </c>
      <c r="AP110" s="69">
        <v>46327</v>
      </c>
      <c r="AQ110" s="69">
        <v>46357</v>
      </c>
      <c r="AR110" s="168" t="s">
        <v>2706</v>
      </c>
      <c r="AT110" s="69">
        <f t="shared" ref="AT110:BF110" si="184">AT$3</f>
        <v>46388</v>
      </c>
      <c r="AU110" s="69">
        <f t="shared" si="184"/>
        <v>46419</v>
      </c>
      <c r="AV110" s="69">
        <f t="shared" si="184"/>
        <v>46447</v>
      </c>
      <c r="AW110" s="69">
        <f t="shared" si="184"/>
        <v>46478</v>
      </c>
      <c r="AX110" s="69">
        <f t="shared" si="184"/>
        <v>46508</v>
      </c>
      <c r="AY110" s="69">
        <f t="shared" si="184"/>
        <v>46539</v>
      </c>
      <c r="AZ110" s="69">
        <f t="shared" si="184"/>
        <v>46569</v>
      </c>
      <c r="BA110" s="69">
        <f t="shared" si="184"/>
        <v>46600</v>
      </c>
      <c r="BB110" s="69">
        <f t="shared" si="184"/>
        <v>46631</v>
      </c>
      <c r="BC110" s="69">
        <f t="shared" si="184"/>
        <v>46661</v>
      </c>
      <c r="BD110" s="69">
        <f t="shared" si="184"/>
        <v>46692</v>
      </c>
      <c r="BE110" s="69">
        <f t="shared" si="184"/>
        <v>46722</v>
      </c>
      <c r="BF110" s="168" t="str">
        <f t="shared" si="184"/>
        <v>2027Total</v>
      </c>
    </row>
    <row r="111" spans="1:58" ht="18" customHeight="1">
      <c r="A111" s="171">
        <v>1</v>
      </c>
      <c r="B111" s="171" t="s">
        <v>2553</v>
      </c>
      <c r="C111" s="171"/>
      <c r="D111" s="171" t="s">
        <v>1514</v>
      </c>
      <c r="E111" s="172" t="str">
        <f t="shared" ref="E111:E127" si="185">E27</f>
        <v>Accounting / Payment Services</v>
      </c>
      <c r="F111" s="172"/>
      <c r="G111" s="77" t="s">
        <v>2613</v>
      </c>
      <c r="H111" s="173" t="s">
        <v>2614</v>
      </c>
      <c r="I111" s="173" t="s">
        <v>2046</v>
      </c>
      <c r="J111" s="183"/>
      <c r="K111" s="456">
        <v>45658</v>
      </c>
      <c r="L111" s="456">
        <v>46022</v>
      </c>
      <c r="M111" s="462">
        <f>IF(AND(K111="",L111=""),"-",IF(L111="",12,DATEDIF(K111,L111,"M")+1))</f>
        <v>12</v>
      </c>
      <c r="N111" s="177">
        <f t="shared" ref="N111:Y120" si="186">IF(AND($K111&lt;=N$3,N$3&lt;=$L111),$J111/$M111,0)</f>
        <v>0</v>
      </c>
      <c r="O111" s="177">
        <f t="shared" si="186"/>
        <v>0</v>
      </c>
      <c r="P111" s="177">
        <f t="shared" si="186"/>
        <v>0</v>
      </c>
      <c r="Q111" s="177">
        <f t="shared" si="186"/>
        <v>0</v>
      </c>
      <c r="R111" s="177">
        <f t="shared" si="186"/>
        <v>0</v>
      </c>
      <c r="S111" s="177">
        <f t="shared" si="186"/>
        <v>0</v>
      </c>
      <c r="T111" s="177">
        <f t="shared" si="186"/>
        <v>0</v>
      </c>
      <c r="U111" s="177">
        <f t="shared" si="186"/>
        <v>0</v>
      </c>
      <c r="V111" s="177">
        <f t="shared" si="186"/>
        <v>0</v>
      </c>
      <c r="W111" s="177">
        <f t="shared" si="186"/>
        <v>0</v>
      </c>
      <c r="X111" s="177">
        <f t="shared" si="186"/>
        <v>0</v>
      </c>
      <c r="Y111" s="177">
        <f t="shared" si="186"/>
        <v>0</v>
      </c>
      <c r="Z111" s="178">
        <f>SUM(N111:Y111)</f>
        <v>0</v>
      </c>
      <c r="AA111" s="173" t="s">
        <v>2046</v>
      </c>
      <c r="AB111" s="184"/>
      <c r="AC111" s="456">
        <v>46023</v>
      </c>
      <c r="AD111" s="456">
        <v>46387</v>
      </c>
      <c r="AE111" s="462">
        <f t="shared" ref="AE111:AE127" si="187">IF(AND(AC111="",AD111=""),"-",IF(AD111="",12,DATEDIF(AC111,AD111,"M")+1))</f>
        <v>12</v>
      </c>
      <c r="AF111" s="177">
        <f>IF(AND($AC111&lt;=AF$3,AF$3&lt;=$AD111),$AB111/$AE111,0)</f>
        <v>0</v>
      </c>
      <c r="AG111" s="177">
        <f t="shared" ref="AG111:AQ111" si="188">IF(AND($AC111&lt;=AG$3,AG$3&lt;=$AD111),$AB111/$AE111,0)</f>
        <v>0</v>
      </c>
      <c r="AH111" s="177">
        <f t="shared" si="188"/>
        <v>0</v>
      </c>
      <c r="AI111" s="177">
        <f t="shared" si="188"/>
        <v>0</v>
      </c>
      <c r="AJ111" s="177">
        <f t="shared" si="188"/>
        <v>0</v>
      </c>
      <c r="AK111" s="177">
        <f t="shared" si="188"/>
        <v>0</v>
      </c>
      <c r="AL111" s="177">
        <f t="shared" si="188"/>
        <v>0</v>
      </c>
      <c r="AM111" s="177">
        <f t="shared" si="188"/>
        <v>0</v>
      </c>
      <c r="AN111" s="177">
        <f t="shared" si="188"/>
        <v>0</v>
      </c>
      <c r="AO111" s="177">
        <f t="shared" si="188"/>
        <v>0</v>
      </c>
      <c r="AP111" s="177">
        <f t="shared" si="188"/>
        <v>0</v>
      </c>
      <c r="AQ111" s="177">
        <f t="shared" si="188"/>
        <v>0</v>
      </c>
      <c r="AR111" s="178">
        <f>SUM(AF111:AQ111)</f>
        <v>0</v>
      </c>
      <c r="AT111" s="177">
        <f t="shared" ref="AT111:AT127" si="189">AF111*(1+$AT$1)</f>
        <v>0</v>
      </c>
      <c r="AU111" s="177">
        <f t="shared" ref="AU111:AU127" si="190">AG111*(1+$AT$1)</f>
        <v>0</v>
      </c>
      <c r="AV111" s="177">
        <f t="shared" ref="AV111:AV127" si="191">AH111*(1+$AT$1)</f>
        <v>0</v>
      </c>
      <c r="AW111" s="177">
        <f t="shared" ref="AW111:AW127" si="192">AI111*(1+$AT$1)</f>
        <v>0</v>
      </c>
      <c r="AX111" s="177">
        <f t="shared" ref="AX111:AX127" si="193">AJ111*(1+$AT$1)</f>
        <v>0</v>
      </c>
      <c r="AY111" s="177">
        <f t="shared" ref="AY111:AY127" si="194">AK111*(1+$AT$1)</f>
        <v>0</v>
      </c>
      <c r="AZ111" s="177">
        <f t="shared" ref="AZ111:AZ127" si="195">AL111*(1+$AT$1)</f>
        <v>0</v>
      </c>
      <c r="BA111" s="177">
        <f t="shared" ref="BA111:BA127" si="196">AM111*(1+$AT$1)</f>
        <v>0</v>
      </c>
      <c r="BB111" s="177">
        <f t="shared" ref="BB111:BB127" si="197">AN111*(1+$AT$1)</f>
        <v>0</v>
      </c>
      <c r="BC111" s="177">
        <f t="shared" ref="BC111:BC127" si="198">AO111*(1+$AT$1)</f>
        <v>0</v>
      </c>
      <c r="BD111" s="177">
        <f t="shared" ref="BD111:BD127" si="199">AP111*(1+$AT$1)</f>
        <v>0</v>
      </c>
      <c r="BE111" s="177">
        <f t="shared" ref="BE111:BE127" si="200">AQ111*(1+$AT$1)</f>
        <v>0</v>
      </c>
      <c r="BF111" s="178">
        <f>SUM(AT111:BE111)</f>
        <v>0</v>
      </c>
    </row>
    <row r="112" spans="1:58" ht="18.95" customHeight="1">
      <c r="A112" s="171">
        <f t="shared" ref="A112:A127" si="201">IF(A111&lt;=0,FALSE,A111+1)</f>
        <v>2</v>
      </c>
      <c r="B112" s="171" t="s">
        <v>2553</v>
      </c>
      <c r="C112" s="171"/>
      <c r="D112" s="171" t="s">
        <v>1514</v>
      </c>
      <c r="E112" s="172" t="str">
        <f t="shared" si="185"/>
        <v>Accounting / Payment Services</v>
      </c>
      <c r="F112" s="172"/>
      <c r="G112" s="77" t="s">
        <v>2613</v>
      </c>
      <c r="H112" s="173" t="s">
        <v>2614</v>
      </c>
      <c r="I112" s="173" t="s">
        <v>2046</v>
      </c>
      <c r="J112" s="184"/>
      <c r="K112" s="456">
        <v>45717</v>
      </c>
      <c r="L112" s="456">
        <v>45747</v>
      </c>
      <c r="M112" s="462">
        <f t="shared" ref="M112:M127" si="202">IF(AND(K112="",L112=""),"-",IF(L112="",12,DATEDIF(K112,L112,"M")+1))</f>
        <v>1</v>
      </c>
      <c r="N112" s="177">
        <f t="shared" si="186"/>
        <v>0</v>
      </c>
      <c r="O112" s="177">
        <f t="shared" si="186"/>
        <v>0</v>
      </c>
      <c r="P112" s="177">
        <f t="shared" si="186"/>
        <v>0</v>
      </c>
      <c r="Q112" s="177">
        <f t="shared" si="186"/>
        <v>0</v>
      </c>
      <c r="R112" s="177">
        <f t="shared" si="186"/>
        <v>0</v>
      </c>
      <c r="S112" s="177">
        <f t="shared" si="186"/>
        <v>0</v>
      </c>
      <c r="T112" s="177">
        <f t="shared" si="186"/>
        <v>0</v>
      </c>
      <c r="U112" s="177">
        <f t="shared" si="186"/>
        <v>0</v>
      </c>
      <c r="V112" s="177">
        <f t="shared" si="186"/>
        <v>0</v>
      </c>
      <c r="W112" s="177">
        <f t="shared" si="186"/>
        <v>0</v>
      </c>
      <c r="X112" s="177">
        <f t="shared" si="186"/>
        <v>0</v>
      </c>
      <c r="Y112" s="177">
        <f t="shared" si="186"/>
        <v>0</v>
      </c>
      <c r="Z112" s="178">
        <f t="shared" ref="Z112:Z127" si="203">SUM(N112:Y112)</f>
        <v>0</v>
      </c>
      <c r="AA112" s="173" t="s">
        <v>2046</v>
      </c>
      <c r="AB112" s="184"/>
      <c r="AC112" s="456">
        <v>46082</v>
      </c>
      <c r="AD112" s="456">
        <v>46112</v>
      </c>
      <c r="AE112" s="462">
        <f t="shared" si="187"/>
        <v>1</v>
      </c>
      <c r="AF112" s="177">
        <f t="shared" ref="AF112:AF127" si="204">IF(AND($AC112&lt;=AF$3,AF$3&lt;=$AD112),$AB112/$AE112,0)</f>
        <v>0</v>
      </c>
      <c r="AG112" s="177">
        <f t="shared" ref="AG112:AG127" si="205">IF(AND($AC112&lt;=AG$3,AG$3&lt;=$AD112),$AB112/$AE112,0)</f>
        <v>0</v>
      </c>
      <c r="AH112" s="177">
        <f t="shared" ref="AH112:AH127" si="206">IF(AND($AC112&lt;=AH$3,AH$3&lt;=$AD112),$AB112/$AE112,0)</f>
        <v>0</v>
      </c>
      <c r="AI112" s="177">
        <f t="shared" ref="AI112:AI127" si="207">IF(AND($AC112&lt;=AI$3,AI$3&lt;=$AD112),$AB112/$AE112,0)</f>
        <v>0</v>
      </c>
      <c r="AJ112" s="177">
        <f t="shared" ref="AJ112:AJ127" si="208">IF(AND($AC112&lt;=AJ$3,AJ$3&lt;=$AD112),$AB112/$AE112,0)</f>
        <v>0</v>
      </c>
      <c r="AK112" s="177">
        <f t="shared" ref="AK112:AK127" si="209">IF(AND($AC112&lt;=AK$3,AK$3&lt;=$AD112),$AB112/$AE112,0)</f>
        <v>0</v>
      </c>
      <c r="AL112" s="177">
        <f t="shared" ref="AL112:AL127" si="210">IF(AND($AC112&lt;=AL$3,AL$3&lt;=$AD112),$AB112/$AE112,0)</f>
        <v>0</v>
      </c>
      <c r="AM112" s="177">
        <f t="shared" ref="AM112:AM127" si="211">IF(AND($AC112&lt;=AM$3,AM$3&lt;=$AD112),$AB112/$AE112,0)</f>
        <v>0</v>
      </c>
      <c r="AN112" s="177">
        <f t="shared" ref="AN112:AN127" si="212">IF(AND($AC112&lt;=AN$3,AN$3&lt;=$AD112),$AB112/$AE112,0)</f>
        <v>0</v>
      </c>
      <c r="AO112" s="177">
        <f t="shared" ref="AO112:AO127" si="213">IF(AND($AC112&lt;=AO$3,AO$3&lt;=$AD112),$AB112/$AE112,0)</f>
        <v>0</v>
      </c>
      <c r="AP112" s="177">
        <f t="shared" ref="AP112:AP127" si="214">IF(AND($AC112&lt;=AP$3,AP$3&lt;=$AD112),$AB112/$AE112,0)</f>
        <v>0</v>
      </c>
      <c r="AQ112" s="177">
        <f t="shared" ref="AQ112:AQ127" si="215">IF(AND($AC112&lt;=AQ$3,AQ$3&lt;=$AD112),$AB112/$AE112,0)</f>
        <v>0</v>
      </c>
      <c r="AR112" s="178">
        <f t="shared" ref="AR112:AR127" si="216">SUM(AF112:AQ112)</f>
        <v>0</v>
      </c>
      <c r="AT112" s="177">
        <f t="shared" si="189"/>
        <v>0</v>
      </c>
      <c r="AU112" s="177">
        <f t="shared" si="190"/>
        <v>0</v>
      </c>
      <c r="AV112" s="177">
        <f t="shared" si="191"/>
        <v>0</v>
      </c>
      <c r="AW112" s="177">
        <f t="shared" si="192"/>
        <v>0</v>
      </c>
      <c r="AX112" s="177">
        <f t="shared" si="193"/>
        <v>0</v>
      </c>
      <c r="AY112" s="177">
        <f t="shared" si="194"/>
        <v>0</v>
      </c>
      <c r="AZ112" s="177">
        <f t="shared" si="195"/>
        <v>0</v>
      </c>
      <c r="BA112" s="177">
        <f t="shared" si="196"/>
        <v>0</v>
      </c>
      <c r="BB112" s="177">
        <f t="shared" si="197"/>
        <v>0</v>
      </c>
      <c r="BC112" s="177">
        <f t="shared" si="198"/>
        <v>0</v>
      </c>
      <c r="BD112" s="177">
        <f t="shared" si="199"/>
        <v>0</v>
      </c>
      <c r="BE112" s="177">
        <f t="shared" si="200"/>
        <v>0</v>
      </c>
      <c r="BF112" s="178">
        <f t="shared" ref="BF112:BF127" si="217">SUM(AT112:BE112)</f>
        <v>0</v>
      </c>
    </row>
    <row r="113" spans="1:58" ht="15" customHeight="1">
      <c r="A113" s="171">
        <f t="shared" si="201"/>
        <v>3</v>
      </c>
      <c r="B113" s="171" t="s">
        <v>2553</v>
      </c>
      <c r="C113" s="171"/>
      <c r="D113" s="171" t="s">
        <v>1530</v>
      </c>
      <c r="E113" s="172" t="str">
        <f t="shared" si="185"/>
        <v>Tax services</v>
      </c>
      <c r="F113" s="172" t="s">
        <v>2738</v>
      </c>
      <c r="G113" s="77" t="s">
        <v>2613</v>
      </c>
      <c r="H113" s="173" t="s">
        <v>2614</v>
      </c>
      <c r="I113" s="173" t="s">
        <v>2046</v>
      </c>
      <c r="J113" s="184"/>
      <c r="K113" s="456">
        <v>45809</v>
      </c>
      <c r="L113" s="456">
        <v>45838</v>
      </c>
      <c r="M113" s="462">
        <f t="shared" si="202"/>
        <v>1</v>
      </c>
      <c r="N113" s="177">
        <f t="shared" si="186"/>
        <v>0</v>
      </c>
      <c r="O113" s="177">
        <f t="shared" si="186"/>
        <v>0</v>
      </c>
      <c r="P113" s="177">
        <f t="shared" si="186"/>
        <v>0</v>
      </c>
      <c r="Q113" s="177">
        <f t="shared" si="186"/>
        <v>0</v>
      </c>
      <c r="R113" s="177">
        <f t="shared" si="186"/>
        <v>0</v>
      </c>
      <c r="S113" s="177">
        <f t="shared" si="186"/>
        <v>0</v>
      </c>
      <c r="T113" s="177">
        <f t="shared" si="186"/>
        <v>0</v>
      </c>
      <c r="U113" s="177">
        <f t="shared" si="186"/>
        <v>0</v>
      </c>
      <c r="V113" s="177">
        <f t="shared" si="186"/>
        <v>0</v>
      </c>
      <c r="W113" s="177">
        <f t="shared" si="186"/>
        <v>0</v>
      </c>
      <c r="X113" s="177">
        <f t="shared" si="186"/>
        <v>0</v>
      </c>
      <c r="Y113" s="177">
        <f t="shared" si="186"/>
        <v>0</v>
      </c>
      <c r="Z113" s="178">
        <f t="shared" si="203"/>
        <v>0</v>
      </c>
      <c r="AA113" s="173" t="s">
        <v>2046</v>
      </c>
      <c r="AB113" s="187">
        <v>7000</v>
      </c>
      <c r="AC113" s="456">
        <v>46174</v>
      </c>
      <c r="AD113" s="456">
        <v>46203</v>
      </c>
      <c r="AE113" s="462">
        <f t="shared" si="187"/>
        <v>1</v>
      </c>
      <c r="AF113" s="177">
        <f t="shared" si="204"/>
        <v>0</v>
      </c>
      <c r="AG113" s="177">
        <f t="shared" si="205"/>
        <v>0</v>
      </c>
      <c r="AH113" s="177">
        <f t="shared" si="206"/>
        <v>0</v>
      </c>
      <c r="AI113" s="177">
        <f t="shared" si="207"/>
        <v>0</v>
      </c>
      <c r="AJ113" s="177">
        <f t="shared" si="208"/>
        <v>0</v>
      </c>
      <c r="AK113" s="177">
        <f t="shared" si="209"/>
        <v>7000</v>
      </c>
      <c r="AL113" s="177">
        <f t="shared" si="210"/>
        <v>0</v>
      </c>
      <c r="AM113" s="177">
        <f t="shared" si="211"/>
        <v>0</v>
      </c>
      <c r="AN113" s="177">
        <f t="shared" si="212"/>
        <v>0</v>
      </c>
      <c r="AO113" s="177">
        <f t="shared" si="213"/>
        <v>0</v>
      </c>
      <c r="AP113" s="177">
        <f t="shared" si="214"/>
        <v>0</v>
      </c>
      <c r="AQ113" s="177">
        <f t="shared" si="215"/>
        <v>0</v>
      </c>
      <c r="AR113" s="178">
        <f t="shared" si="216"/>
        <v>7000</v>
      </c>
      <c r="AT113" s="177">
        <f t="shared" si="189"/>
        <v>0</v>
      </c>
      <c r="AU113" s="177">
        <f t="shared" si="190"/>
        <v>0</v>
      </c>
      <c r="AV113" s="177">
        <f t="shared" si="191"/>
        <v>0</v>
      </c>
      <c r="AW113" s="177">
        <f t="shared" si="192"/>
        <v>0</v>
      </c>
      <c r="AX113" s="177">
        <f t="shared" si="193"/>
        <v>0</v>
      </c>
      <c r="AY113" s="177">
        <f t="shared" si="194"/>
        <v>7350</v>
      </c>
      <c r="AZ113" s="177">
        <f t="shared" si="195"/>
        <v>0</v>
      </c>
      <c r="BA113" s="177">
        <f t="shared" si="196"/>
        <v>0</v>
      </c>
      <c r="BB113" s="177">
        <f t="shared" si="197"/>
        <v>0</v>
      </c>
      <c r="BC113" s="177">
        <f t="shared" si="198"/>
        <v>0</v>
      </c>
      <c r="BD113" s="177">
        <f t="shared" si="199"/>
        <v>0</v>
      </c>
      <c r="BE113" s="177">
        <f t="shared" si="200"/>
        <v>0</v>
      </c>
      <c r="BF113" s="178">
        <f t="shared" si="217"/>
        <v>7350</v>
      </c>
    </row>
    <row r="114" spans="1:58" ht="17.100000000000001" customHeight="1">
      <c r="A114" s="171">
        <f t="shared" si="201"/>
        <v>4</v>
      </c>
      <c r="B114" s="171" t="s">
        <v>2553</v>
      </c>
      <c r="C114" s="171"/>
      <c r="D114" s="171" t="s">
        <v>1544</v>
      </c>
      <c r="E114" s="172" t="str">
        <f t="shared" si="185"/>
        <v>Payroll Services</v>
      </c>
      <c r="F114" s="172"/>
      <c r="G114" s="77" t="s">
        <v>2613</v>
      </c>
      <c r="H114" s="173" t="s">
        <v>2614</v>
      </c>
      <c r="I114" s="173" t="s">
        <v>2046</v>
      </c>
      <c r="J114" s="184">
        <v>0</v>
      </c>
      <c r="K114" s="456">
        <v>45658</v>
      </c>
      <c r="L114" s="456">
        <v>46022</v>
      </c>
      <c r="M114" s="462">
        <f t="shared" si="202"/>
        <v>12</v>
      </c>
      <c r="N114" s="177">
        <f t="shared" si="186"/>
        <v>0</v>
      </c>
      <c r="O114" s="177">
        <f t="shared" si="186"/>
        <v>0</v>
      </c>
      <c r="P114" s="177">
        <f t="shared" si="186"/>
        <v>0</v>
      </c>
      <c r="Q114" s="177">
        <f t="shared" si="186"/>
        <v>0</v>
      </c>
      <c r="R114" s="177">
        <f t="shared" si="186"/>
        <v>0</v>
      </c>
      <c r="S114" s="177">
        <f t="shared" si="186"/>
        <v>0</v>
      </c>
      <c r="T114" s="177">
        <f t="shared" si="186"/>
        <v>0</v>
      </c>
      <c r="U114" s="177">
        <f t="shared" si="186"/>
        <v>0</v>
      </c>
      <c r="V114" s="177">
        <f t="shared" si="186"/>
        <v>0</v>
      </c>
      <c r="W114" s="177">
        <f t="shared" si="186"/>
        <v>0</v>
      </c>
      <c r="X114" s="177">
        <f t="shared" si="186"/>
        <v>0</v>
      </c>
      <c r="Y114" s="177">
        <f t="shared" si="186"/>
        <v>0</v>
      </c>
      <c r="Z114" s="178">
        <f t="shared" si="203"/>
        <v>0</v>
      </c>
      <c r="AA114" s="173" t="s">
        <v>2046</v>
      </c>
      <c r="AB114" s="187">
        <v>0</v>
      </c>
      <c r="AC114" s="456">
        <v>46023</v>
      </c>
      <c r="AD114" s="456">
        <v>46387</v>
      </c>
      <c r="AE114" s="462">
        <f t="shared" si="187"/>
        <v>12</v>
      </c>
      <c r="AF114" s="177">
        <f t="shared" si="204"/>
        <v>0</v>
      </c>
      <c r="AG114" s="177">
        <f t="shared" si="205"/>
        <v>0</v>
      </c>
      <c r="AH114" s="177">
        <f t="shared" si="206"/>
        <v>0</v>
      </c>
      <c r="AI114" s="177">
        <f t="shared" si="207"/>
        <v>0</v>
      </c>
      <c r="AJ114" s="177">
        <f t="shared" si="208"/>
        <v>0</v>
      </c>
      <c r="AK114" s="177">
        <f t="shared" si="209"/>
        <v>0</v>
      </c>
      <c r="AL114" s="177">
        <f t="shared" si="210"/>
        <v>0</v>
      </c>
      <c r="AM114" s="177">
        <f t="shared" si="211"/>
        <v>0</v>
      </c>
      <c r="AN114" s="177">
        <f t="shared" si="212"/>
        <v>0</v>
      </c>
      <c r="AO114" s="177">
        <f t="shared" si="213"/>
        <v>0</v>
      </c>
      <c r="AP114" s="177">
        <f t="shared" si="214"/>
        <v>0</v>
      </c>
      <c r="AQ114" s="177">
        <f t="shared" si="215"/>
        <v>0</v>
      </c>
      <c r="AR114" s="178">
        <f t="shared" si="216"/>
        <v>0</v>
      </c>
      <c r="AT114" s="177">
        <f t="shared" si="189"/>
        <v>0</v>
      </c>
      <c r="AU114" s="177">
        <f t="shared" si="190"/>
        <v>0</v>
      </c>
      <c r="AV114" s="177">
        <f t="shared" si="191"/>
        <v>0</v>
      </c>
      <c r="AW114" s="177">
        <f t="shared" si="192"/>
        <v>0</v>
      </c>
      <c r="AX114" s="177">
        <f t="shared" si="193"/>
        <v>0</v>
      </c>
      <c r="AY114" s="177">
        <f t="shared" si="194"/>
        <v>0</v>
      </c>
      <c r="AZ114" s="177">
        <f t="shared" si="195"/>
        <v>0</v>
      </c>
      <c r="BA114" s="177">
        <f t="shared" si="196"/>
        <v>0</v>
      </c>
      <c r="BB114" s="177">
        <f t="shared" si="197"/>
        <v>0</v>
      </c>
      <c r="BC114" s="177">
        <f t="shared" si="198"/>
        <v>0</v>
      </c>
      <c r="BD114" s="177">
        <f t="shared" si="199"/>
        <v>0</v>
      </c>
      <c r="BE114" s="177">
        <f t="shared" si="200"/>
        <v>0</v>
      </c>
      <c r="BF114" s="178">
        <f t="shared" si="217"/>
        <v>0</v>
      </c>
    </row>
    <row r="115" spans="1:58" ht="15.95" customHeight="1">
      <c r="A115" s="171">
        <f t="shared" si="201"/>
        <v>5</v>
      </c>
      <c r="B115" s="171" t="s">
        <v>2553</v>
      </c>
      <c r="C115" s="171"/>
      <c r="D115" s="463" t="s">
        <v>1844</v>
      </c>
      <c r="E115" s="172" t="str">
        <f t="shared" si="185"/>
        <v>Corporate Secretarial Fees</v>
      </c>
      <c r="F115" s="172" t="s">
        <v>2739</v>
      </c>
      <c r="G115" s="77" t="s">
        <v>2613</v>
      </c>
      <c r="H115" s="173" t="s">
        <v>2614</v>
      </c>
      <c r="I115" s="173" t="s">
        <v>2046</v>
      </c>
      <c r="J115" s="183">
        <v>5000</v>
      </c>
      <c r="K115" s="456">
        <v>45992</v>
      </c>
      <c r="L115" s="456">
        <v>46022</v>
      </c>
      <c r="M115" s="462">
        <f t="shared" si="202"/>
        <v>1</v>
      </c>
      <c r="N115" s="177">
        <f t="shared" si="186"/>
        <v>0</v>
      </c>
      <c r="O115" s="177">
        <f t="shared" si="186"/>
        <v>0</v>
      </c>
      <c r="P115" s="177">
        <f t="shared" si="186"/>
        <v>0</v>
      </c>
      <c r="Q115" s="177">
        <f t="shared" si="186"/>
        <v>0</v>
      </c>
      <c r="R115" s="177">
        <f t="shared" si="186"/>
        <v>0</v>
      </c>
      <c r="S115" s="177">
        <f t="shared" si="186"/>
        <v>0</v>
      </c>
      <c r="T115" s="177">
        <f t="shared" si="186"/>
        <v>0</v>
      </c>
      <c r="U115" s="177">
        <f t="shared" si="186"/>
        <v>0</v>
      </c>
      <c r="V115" s="177">
        <f t="shared" si="186"/>
        <v>0</v>
      </c>
      <c r="W115" s="177">
        <f t="shared" si="186"/>
        <v>0</v>
      </c>
      <c r="X115" s="177">
        <f t="shared" si="186"/>
        <v>0</v>
      </c>
      <c r="Y115" s="177">
        <f t="shared" si="186"/>
        <v>5000</v>
      </c>
      <c r="Z115" s="178">
        <f t="shared" si="203"/>
        <v>5000</v>
      </c>
      <c r="AA115" s="173" t="s">
        <v>2046</v>
      </c>
      <c r="AB115" s="187">
        <v>3000</v>
      </c>
      <c r="AC115" s="456">
        <v>46357</v>
      </c>
      <c r="AD115" s="456">
        <v>46387</v>
      </c>
      <c r="AE115" s="462">
        <f t="shared" si="187"/>
        <v>1</v>
      </c>
      <c r="AF115" s="177">
        <f t="shared" si="204"/>
        <v>0</v>
      </c>
      <c r="AG115" s="177">
        <f t="shared" si="205"/>
        <v>0</v>
      </c>
      <c r="AH115" s="177">
        <f t="shared" si="206"/>
        <v>0</v>
      </c>
      <c r="AI115" s="177">
        <f t="shared" si="207"/>
        <v>0</v>
      </c>
      <c r="AJ115" s="177">
        <f t="shared" si="208"/>
        <v>0</v>
      </c>
      <c r="AK115" s="177">
        <f t="shared" si="209"/>
        <v>0</v>
      </c>
      <c r="AL115" s="177">
        <f t="shared" si="210"/>
        <v>0</v>
      </c>
      <c r="AM115" s="177">
        <f t="shared" si="211"/>
        <v>0</v>
      </c>
      <c r="AN115" s="177">
        <f t="shared" si="212"/>
        <v>0</v>
      </c>
      <c r="AO115" s="177">
        <f t="shared" si="213"/>
        <v>0</v>
      </c>
      <c r="AP115" s="177">
        <f t="shared" si="214"/>
        <v>0</v>
      </c>
      <c r="AQ115" s="177">
        <f t="shared" si="215"/>
        <v>3000</v>
      </c>
      <c r="AR115" s="178">
        <f t="shared" si="216"/>
        <v>3000</v>
      </c>
      <c r="AT115" s="177">
        <f t="shared" si="189"/>
        <v>0</v>
      </c>
      <c r="AU115" s="177">
        <f t="shared" si="190"/>
        <v>0</v>
      </c>
      <c r="AV115" s="177">
        <f t="shared" si="191"/>
        <v>0</v>
      </c>
      <c r="AW115" s="177">
        <f t="shared" si="192"/>
        <v>0</v>
      </c>
      <c r="AX115" s="177">
        <f t="shared" si="193"/>
        <v>0</v>
      </c>
      <c r="AY115" s="177">
        <f t="shared" si="194"/>
        <v>0</v>
      </c>
      <c r="AZ115" s="177">
        <f t="shared" si="195"/>
        <v>0</v>
      </c>
      <c r="BA115" s="177">
        <f t="shared" si="196"/>
        <v>0</v>
      </c>
      <c r="BB115" s="177">
        <f t="shared" si="197"/>
        <v>0</v>
      </c>
      <c r="BC115" s="177">
        <f t="shared" si="198"/>
        <v>0</v>
      </c>
      <c r="BD115" s="177">
        <f t="shared" si="199"/>
        <v>0</v>
      </c>
      <c r="BE115" s="177">
        <f t="shared" si="200"/>
        <v>3150</v>
      </c>
      <c r="BF115" s="178">
        <f t="shared" si="217"/>
        <v>3150</v>
      </c>
    </row>
    <row r="116" spans="1:58" ht="14.1" customHeight="1">
      <c r="A116" s="171">
        <f t="shared" si="201"/>
        <v>6</v>
      </c>
      <c r="B116" s="171" t="s">
        <v>2553</v>
      </c>
      <c r="C116" s="171"/>
      <c r="D116" s="171" t="s">
        <v>1519</v>
      </c>
      <c r="E116" s="172" t="str">
        <f t="shared" si="185"/>
        <v>Audit Fee</v>
      </c>
      <c r="F116" s="172" t="s">
        <v>2740</v>
      </c>
      <c r="G116" s="77" t="s">
        <v>2613</v>
      </c>
      <c r="H116" s="173" t="s">
        <v>2614</v>
      </c>
      <c r="I116" s="173" t="s">
        <v>2046</v>
      </c>
      <c r="J116" s="184">
        <v>42000</v>
      </c>
      <c r="K116" s="456">
        <v>45992</v>
      </c>
      <c r="L116" s="456">
        <v>46022</v>
      </c>
      <c r="M116" s="462">
        <f t="shared" si="202"/>
        <v>1</v>
      </c>
      <c r="N116" s="177">
        <f t="shared" si="186"/>
        <v>0</v>
      </c>
      <c r="O116" s="177">
        <f t="shared" si="186"/>
        <v>0</v>
      </c>
      <c r="P116" s="177">
        <f t="shared" si="186"/>
        <v>0</v>
      </c>
      <c r="Q116" s="177">
        <f t="shared" si="186"/>
        <v>0</v>
      </c>
      <c r="R116" s="177">
        <f t="shared" si="186"/>
        <v>0</v>
      </c>
      <c r="S116" s="177">
        <f t="shared" si="186"/>
        <v>0</v>
      </c>
      <c r="T116" s="177">
        <f t="shared" si="186"/>
        <v>0</v>
      </c>
      <c r="U116" s="177">
        <f t="shared" si="186"/>
        <v>0</v>
      </c>
      <c r="V116" s="177">
        <f t="shared" si="186"/>
        <v>0</v>
      </c>
      <c r="W116" s="177">
        <f t="shared" si="186"/>
        <v>0</v>
      </c>
      <c r="X116" s="177">
        <f t="shared" si="186"/>
        <v>0</v>
      </c>
      <c r="Y116" s="177">
        <f t="shared" si="186"/>
        <v>42000</v>
      </c>
      <c r="Z116" s="178">
        <f t="shared" si="203"/>
        <v>42000</v>
      </c>
      <c r="AA116" s="173" t="s">
        <v>2046</v>
      </c>
      <c r="AB116" s="187">
        <v>10000</v>
      </c>
      <c r="AC116" s="456">
        <v>46174</v>
      </c>
      <c r="AD116" s="456">
        <v>46203</v>
      </c>
      <c r="AE116" s="462">
        <f t="shared" si="187"/>
        <v>1</v>
      </c>
      <c r="AF116" s="177">
        <f t="shared" si="204"/>
        <v>0</v>
      </c>
      <c r="AG116" s="177">
        <f t="shared" si="205"/>
        <v>0</v>
      </c>
      <c r="AH116" s="177">
        <f t="shared" si="206"/>
        <v>0</v>
      </c>
      <c r="AI116" s="177">
        <f t="shared" si="207"/>
        <v>0</v>
      </c>
      <c r="AJ116" s="177">
        <f t="shared" si="208"/>
        <v>0</v>
      </c>
      <c r="AK116" s="177">
        <f t="shared" si="209"/>
        <v>10000</v>
      </c>
      <c r="AL116" s="177">
        <f t="shared" si="210"/>
        <v>0</v>
      </c>
      <c r="AM116" s="177">
        <f t="shared" si="211"/>
        <v>0</v>
      </c>
      <c r="AN116" s="177">
        <f t="shared" si="212"/>
        <v>0</v>
      </c>
      <c r="AO116" s="177">
        <f t="shared" si="213"/>
        <v>0</v>
      </c>
      <c r="AP116" s="177">
        <f t="shared" si="214"/>
        <v>0</v>
      </c>
      <c r="AQ116" s="177">
        <f t="shared" si="215"/>
        <v>0</v>
      </c>
      <c r="AR116" s="178">
        <f t="shared" si="216"/>
        <v>10000</v>
      </c>
      <c r="AT116" s="177">
        <f t="shared" si="189"/>
        <v>0</v>
      </c>
      <c r="AU116" s="177">
        <f t="shared" si="190"/>
        <v>0</v>
      </c>
      <c r="AV116" s="177">
        <f t="shared" si="191"/>
        <v>0</v>
      </c>
      <c r="AW116" s="177">
        <f t="shared" si="192"/>
        <v>0</v>
      </c>
      <c r="AX116" s="177">
        <f t="shared" si="193"/>
        <v>0</v>
      </c>
      <c r="AY116" s="177">
        <f t="shared" si="194"/>
        <v>10500</v>
      </c>
      <c r="AZ116" s="177">
        <f t="shared" si="195"/>
        <v>0</v>
      </c>
      <c r="BA116" s="177">
        <f t="shared" si="196"/>
        <v>0</v>
      </c>
      <c r="BB116" s="177">
        <f t="shared" si="197"/>
        <v>0</v>
      </c>
      <c r="BC116" s="177">
        <f t="shared" si="198"/>
        <v>0</v>
      </c>
      <c r="BD116" s="177">
        <f t="shared" si="199"/>
        <v>0</v>
      </c>
      <c r="BE116" s="177">
        <f t="shared" si="200"/>
        <v>0</v>
      </c>
      <c r="BF116" s="178">
        <f t="shared" si="217"/>
        <v>10500</v>
      </c>
    </row>
    <row r="117" spans="1:58" ht="15.95" customHeight="1">
      <c r="A117" s="171">
        <f t="shared" si="201"/>
        <v>7</v>
      </c>
      <c r="B117" s="171" t="s">
        <v>2553</v>
      </c>
      <c r="C117" s="171"/>
      <c r="D117" s="171" t="s">
        <v>1564</v>
      </c>
      <c r="E117" s="172" t="str">
        <f t="shared" si="185"/>
        <v>Compliance Support</v>
      </c>
      <c r="F117" s="172"/>
      <c r="G117" s="77" t="s">
        <v>2613</v>
      </c>
      <c r="H117" s="173" t="s">
        <v>2614</v>
      </c>
      <c r="I117" s="173" t="s">
        <v>2046</v>
      </c>
      <c r="J117" s="184"/>
      <c r="K117" s="456">
        <v>45658</v>
      </c>
      <c r="L117" s="456">
        <v>46022</v>
      </c>
      <c r="M117" s="462">
        <f t="shared" si="202"/>
        <v>12</v>
      </c>
      <c r="N117" s="177">
        <f t="shared" si="186"/>
        <v>0</v>
      </c>
      <c r="O117" s="177">
        <f t="shared" si="186"/>
        <v>0</v>
      </c>
      <c r="P117" s="177">
        <f t="shared" si="186"/>
        <v>0</v>
      </c>
      <c r="Q117" s="177">
        <f t="shared" si="186"/>
        <v>0</v>
      </c>
      <c r="R117" s="177">
        <f t="shared" si="186"/>
        <v>0</v>
      </c>
      <c r="S117" s="177">
        <f t="shared" si="186"/>
        <v>0</v>
      </c>
      <c r="T117" s="177">
        <f t="shared" si="186"/>
        <v>0</v>
      </c>
      <c r="U117" s="177">
        <f t="shared" si="186"/>
        <v>0</v>
      </c>
      <c r="V117" s="177">
        <f t="shared" si="186"/>
        <v>0</v>
      </c>
      <c r="W117" s="177">
        <f t="shared" si="186"/>
        <v>0</v>
      </c>
      <c r="X117" s="177">
        <f t="shared" si="186"/>
        <v>0</v>
      </c>
      <c r="Y117" s="177">
        <f t="shared" si="186"/>
        <v>0</v>
      </c>
      <c r="Z117" s="178">
        <f t="shared" si="203"/>
        <v>0</v>
      </c>
      <c r="AA117" s="173" t="s">
        <v>2046</v>
      </c>
      <c r="AB117" s="184"/>
      <c r="AC117" s="456">
        <v>46023</v>
      </c>
      <c r="AD117" s="456">
        <v>46387</v>
      </c>
      <c r="AE117" s="462">
        <f t="shared" si="187"/>
        <v>12</v>
      </c>
      <c r="AF117" s="177">
        <f t="shared" si="204"/>
        <v>0</v>
      </c>
      <c r="AG117" s="177">
        <f t="shared" si="205"/>
        <v>0</v>
      </c>
      <c r="AH117" s="177">
        <f t="shared" si="206"/>
        <v>0</v>
      </c>
      <c r="AI117" s="177">
        <f t="shared" si="207"/>
        <v>0</v>
      </c>
      <c r="AJ117" s="177">
        <f t="shared" si="208"/>
        <v>0</v>
      </c>
      <c r="AK117" s="177">
        <f t="shared" si="209"/>
        <v>0</v>
      </c>
      <c r="AL117" s="177">
        <f t="shared" si="210"/>
        <v>0</v>
      </c>
      <c r="AM117" s="177">
        <f t="shared" si="211"/>
        <v>0</v>
      </c>
      <c r="AN117" s="177">
        <f t="shared" si="212"/>
        <v>0</v>
      </c>
      <c r="AO117" s="177">
        <f t="shared" si="213"/>
        <v>0</v>
      </c>
      <c r="AP117" s="177">
        <f t="shared" si="214"/>
        <v>0</v>
      </c>
      <c r="AQ117" s="177">
        <f t="shared" si="215"/>
        <v>0</v>
      </c>
      <c r="AR117" s="178">
        <f t="shared" si="216"/>
        <v>0</v>
      </c>
      <c r="AT117" s="177">
        <f t="shared" si="189"/>
        <v>0</v>
      </c>
      <c r="AU117" s="177">
        <f t="shared" si="190"/>
        <v>0</v>
      </c>
      <c r="AV117" s="177">
        <f t="shared" si="191"/>
        <v>0</v>
      </c>
      <c r="AW117" s="177">
        <f t="shared" si="192"/>
        <v>0</v>
      </c>
      <c r="AX117" s="177">
        <f t="shared" si="193"/>
        <v>0</v>
      </c>
      <c r="AY117" s="177">
        <f t="shared" si="194"/>
        <v>0</v>
      </c>
      <c r="AZ117" s="177">
        <f t="shared" si="195"/>
        <v>0</v>
      </c>
      <c r="BA117" s="177">
        <f t="shared" si="196"/>
        <v>0</v>
      </c>
      <c r="BB117" s="177">
        <f t="shared" si="197"/>
        <v>0</v>
      </c>
      <c r="BC117" s="177">
        <f t="shared" si="198"/>
        <v>0</v>
      </c>
      <c r="BD117" s="177">
        <f t="shared" si="199"/>
        <v>0</v>
      </c>
      <c r="BE117" s="177">
        <f t="shared" si="200"/>
        <v>0</v>
      </c>
      <c r="BF117" s="178">
        <f t="shared" si="217"/>
        <v>0</v>
      </c>
    </row>
    <row r="118" spans="1:58" ht="15" customHeight="1">
      <c r="A118" s="171">
        <f t="shared" si="201"/>
        <v>8</v>
      </c>
      <c r="B118" s="171" t="s">
        <v>2553</v>
      </c>
      <c r="C118" s="171"/>
      <c r="D118" s="171" t="s">
        <v>1883</v>
      </c>
      <c r="E118" s="172" t="str">
        <f t="shared" si="185"/>
        <v>Regulatory Fees</v>
      </c>
      <c r="F118" s="172"/>
      <c r="G118" s="77" t="s">
        <v>2613</v>
      </c>
      <c r="H118" s="173" t="s">
        <v>2614</v>
      </c>
      <c r="I118" s="173" t="s">
        <v>2046</v>
      </c>
      <c r="J118" s="184"/>
      <c r="K118" s="456">
        <v>45658</v>
      </c>
      <c r="L118" s="456">
        <v>46022</v>
      </c>
      <c r="M118" s="462">
        <f t="shared" si="202"/>
        <v>12</v>
      </c>
      <c r="N118" s="177">
        <f t="shared" si="186"/>
        <v>0</v>
      </c>
      <c r="O118" s="177">
        <f t="shared" si="186"/>
        <v>0</v>
      </c>
      <c r="P118" s="177">
        <f t="shared" si="186"/>
        <v>0</v>
      </c>
      <c r="Q118" s="177">
        <f t="shared" si="186"/>
        <v>0</v>
      </c>
      <c r="R118" s="177">
        <f t="shared" si="186"/>
        <v>0</v>
      </c>
      <c r="S118" s="177">
        <f t="shared" si="186"/>
        <v>0</v>
      </c>
      <c r="T118" s="177">
        <f t="shared" si="186"/>
        <v>0</v>
      </c>
      <c r="U118" s="177">
        <f t="shared" si="186"/>
        <v>0</v>
      </c>
      <c r="V118" s="177">
        <f t="shared" si="186"/>
        <v>0</v>
      </c>
      <c r="W118" s="177">
        <f t="shared" si="186"/>
        <v>0</v>
      </c>
      <c r="X118" s="177">
        <f t="shared" si="186"/>
        <v>0</v>
      </c>
      <c r="Y118" s="177">
        <f t="shared" si="186"/>
        <v>0</v>
      </c>
      <c r="Z118" s="178">
        <f t="shared" si="203"/>
        <v>0</v>
      </c>
      <c r="AA118" s="173" t="s">
        <v>2046</v>
      </c>
      <c r="AB118" s="184"/>
      <c r="AC118" s="456">
        <v>46023</v>
      </c>
      <c r="AD118" s="456">
        <v>46387</v>
      </c>
      <c r="AE118" s="462">
        <f t="shared" si="187"/>
        <v>12</v>
      </c>
      <c r="AF118" s="177">
        <f t="shared" si="204"/>
        <v>0</v>
      </c>
      <c r="AG118" s="177">
        <f t="shared" si="205"/>
        <v>0</v>
      </c>
      <c r="AH118" s="177">
        <f t="shared" si="206"/>
        <v>0</v>
      </c>
      <c r="AI118" s="177">
        <f t="shared" si="207"/>
        <v>0</v>
      </c>
      <c r="AJ118" s="177">
        <f t="shared" si="208"/>
        <v>0</v>
      </c>
      <c r="AK118" s="177">
        <f t="shared" si="209"/>
        <v>0</v>
      </c>
      <c r="AL118" s="177">
        <f t="shared" si="210"/>
        <v>0</v>
      </c>
      <c r="AM118" s="177">
        <f t="shared" si="211"/>
        <v>0</v>
      </c>
      <c r="AN118" s="177">
        <f t="shared" si="212"/>
        <v>0</v>
      </c>
      <c r="AO118" s="177">
        <f t="shared" si="213"/>
        <v>0</v>
      </c>
      <c r="AP118" s="177">
        <f t="shared" si="214"/>
        <v>0</v>
      </c>
      <c r="AQ118" s="177">
        <f t="shared" si="215"/>
        <v>0</v>
      </c>
      <c r="AR118" s="178">
        <f t="shared" si="216"/>
        <v>0</v>
      </c>
      <c r="AT118" s="177">
        <f t="shared" si="189"/>
        <v>0</v>
      </c>
      <c r="AU118" s="177">
        <f t="shared" si="190"/>
        <v>0</v>
      </c>
      <c r="AV118" s="177">
        <f t="shared" si="191"/>
        <v>0</v>
      </c>
      <c r="AW118" s="177">
        <f t="shared" si="192"/>
        <v>0</v>
      </c>
      <c r="AX118" s="177">
        <f t="shared" si="193"/>
        <v>0</v>
      </c>
      <c r="AY118" s="177">
        <f t="shared" si="194"/>
        <v>0</v>
      </c>
      <c r="AZ118" s="177">
        <f t="shared" si="195"/>
        <v>0</v>
      </c>
      <c r="BA118" s="177">
        <f t="shared" si="196"/>
        <v>0</v>
      </c>
      <c r="BB118" s="177">
        <f t="shared" si="197"/>
        <v>0</v>
      </c>
      <c r="BC118" s="177">
        <f t="shared" si="198"/>
        <v>0</v>
      </c>
      <c r="BD118" s="177">
        <f t="shared" si="199"/>
        <v>0</v>
      </c>
      <c r="BE118" s="177">
        <f t="shared" si="200"/>
        <v>0</v>
      </c>
      <c r="BF118" s="178">
        <f t="shared" si="217"/>
        <v>0</v>
      </c>
    </row>
    <row r="119" spans="1:58" ht="15" customHeight="1">
      <c r="A119" s="171">
        <f t="shared" si="201"/>
        <v>9</v>
      </c>
      <c r="B119" s="171" t="s">
        <v>2553</v>
      </c>
      <c r="C119" s="171"/>
      <c r="D119" s="171" t="s">
        <v>1534</v>
      </c>
      <c r="E119" s="172" t="str">
        <f t="shared" si="185"/>
        <v>Employment Agency Fee</v>
      </c>
      <c r="F119" s="172"/>
      <c r="G119" s="77" t="s">
        <v>2613</v>
      </c>
      <c r="H119" s="173" t="s">
        <v>2614</v>
      </c>
      <c r="I119" s="173" t="s">
        <v>2046</v>
      </c>
      <c r="J119" s="184"/>
      <c r="K119" s="456">
        <v>45809</v>
      </c>
      <c r="L119" s="456">
        <v>45838</v>
      </c>
      <c r="M119" s="462">
        <f t="shared" si="202"/>
        <v>1</v>
      </c>
      <c r="N119" s="177">
        <f t="shared" si="186"/>
        <v>0</v>
      </c>
      <c r="O119" s="177">
        <f t="shared" si="186"/>
        <v>0</v>
      </c>
      <c r="P119" s="177">
        <f t="shared" si="186"/>
        <v>0</v>
      </c>
      <c r="Q119" s="177">
        <f t="shared" si="186"/>
        <v>0</v>
      </c>
      <c r="R119" s="177">
        <f t="shared" si="186"/>
        <v>0</v>
      </c>
      <c r="S119" s="177">
        <f t="shared" si="186"/>
        <v>0</v>
      </c>
      <c r="T119" s="177">
        <f t="shared" si="186"/>
        <v>0</v>
      </c>
      <c r="U119" s="177">
        <f t="shared" si="186"/>
        <v>0</v>
      </c>
      <c r="V119" s="177">
        <f t="shared" si="186"/>
        <v>0</v>
      </c>
      <c r="W119" s="177">
        <f t="shared" si="186"/>
        <v>0</v>
      </c>
      <c r="X119" s="177">
        <f t="shared" si="186"/>
        <v>0</v>
      </c>
      <c r="Y119" s="177">
        <f t="shared" si="186"/>
        <v>0</v>
      </c>
      <c r="Z119" s="178">
        <f t="shared" si="203"/>
        <v>0</v>
      </c>
      <c r="AA119" s="173" t="s">
        <v>2046</v>
      </c>
      <c r="AB119" s="184"/>
      <c r="AC119" s="456">
        <v>46174</v>
      </c>
      <c r="AD119" s="456">
        <v>46203</v>
      </c>
      <c r="AE119" s="462">
        <f t="shared" si="187"/>
        <v>1</v>
      </c>
      <c r="AF119" s="177">
        <f t="shared" si="204"/>
        <v>0</v>
      </c>
      <c r="AG119" s="177">
        <f t="shared" si="205"/>
        <v>0</v>
      </c>
      <c r="AH119" s="177">
        <f t="shared" si="206"/>
        <v>0</v>
      </c>
      <c r="AI119" s="177">
        <f t="shared" si="207"/>
        <v>0</v>
      </c>
      <c r="AJ119" s="177">
        <f t="shared" si="208"/>
        <v>0</v>
      </c>
      <c r="AK119" s="177">
        <f t="shared" si="209"/>
        <v>0</v>
      </c>
      <c r="AL119" s="177">
        <f t="shared" si="210"/>
        <v>0</v>
      </c>
      <c r="AM119" s="177">
        <f t="shared" si="211"/>
        <v>0</v>
      </c>
      <c r="AN119" s="177">
        <f t="shared" si="212"/>
        <v>0</v>
      </c>
      <c r="AO119" s="177">
        <f t="shared" si="213"/>
        <v>0</v>
      </c>
      <c r="AP119" s="177">
        <f t="shared" si="214"/>
        <v>0</v>
      </c>
      <c r="AQ119" s="177">
        <f t="shared" si="215"/>
        <v>0</v>
      </c>
      <c r="AR119" s="178">
        <f t="shared" si="216"/>
        <v>0</v>
      </c>
      <c r="AT119" s="177">
        <f t="shared" si="189"/>
        <v>0</v>
      </c>
      <c r="AU119" s="177">
        <f t="shared" si="190"/>
        <v>0</v>
      </c>
      <c r="AV119" s="177">
        <f t="shared" si="191"/>
        <v>0</v>
      </c>
      <c r="AW119" s="177">
        <f t="shared" si="192"/>
        <v>0</v>
      </c>
      <c r="AX119" s="177">
        <f t="shared" si="193"/>
        <v>0</v>
      </c>
      <c r="AY119" s="177">
        <f t="shared" si="194"/>
        <v>0</v>
      </c>
      <c r="AZ119" s="177">
        <f t="shared" si="195"/>
        <v>0</v>
      </c>
      <c r="BA119" s="177">
        <f t="shared" si="196"/>
        <v>0</v>
      </c>
      <c r="BB119" s="177">
        <f t="shared" si="197"/>
        <v>0</v>
      </c>
      <c r="BC119" s="177">
        <f t="shared" si="198"/>
        <v>0</v>
      </c>
      <c r="BD119" s="177">
        <f t="shared" si="199"/>
        <v>0</v>
      </c>
      <c r="BE119" s="177">
        <f t="shared" si="200"/>
        <v>0</v>
      </c>
      <c r="BF119" s="178">
        <f t="shared" si="217"/>
        <v>0</v>
      </c>
    </row>
    <row r="120" spans="1:58" ht="15.95" customHeight="1">
      <c r="A120" s="171">
        <f t="shared" si="201"/>
        <v>10</v>
      </c>
      <c r="B120" s="171" t="s">
        <v>2553</v>
      </c>
      <c r="C120" s="171"/>
      <c r="D120" s="171" t="s">
        <v>1667</v>
      </c>
      <c r="E120" s="172" t="str">
        <f t="shared" si="185"/>
        <v>IT Professional &amp; MS Services</v>
      </c>
      <c r="F120" s="172"/>
      <c r="G120" s="77" t="s">
        <v>2613</v>
      </c>
      <c r="H120" s="173" t="s">
        <v>2614</v>
      </c>
      <c r="I120" s="173" t="s">
        <v>2046</v>
      </c>
      <c r="J120" s="184"/>
      <c r="K120" s="456">
        <v>45748</v>
      </c>
      <c r="L120" s="456">
        <v>45777</v>
      </c>
      <c r="M120" s="462">
        <f t="shared" si="202"/>
        <v>1</v>
      </c>
      <c r="N120" s="177">
        <f t="shared" si="186"/>
        <v>0</v>
      </c>
      <c r="O120" s="177">
        <f t="shared" si="186"/>
        <v>0</v>
      </c>
      <c r="P120" s="177">
        <f t="shared" si="186"/>
        <v>0</v>
      </c>
      <c r="Q120" s="177">
        <f t="shared" si="186"/>
        <v>0</v>
      </c>
      <c r="R120" s="177">
        <f t="shared" si="186"/>
        <v>0</v>
      </c>
      <c r="S120" s="177">
        <f t="shared" si="186"/>
        <v>0</v>
      </c>
      <c r="T120" s="177">
        <f t="shared" si="186"/>
        <v>0</v>
      </c>
      <c r="U120" s="177">
        <f t="shared" si="186"/>
        <v>0</v>
      </c>
      <c r="V120" s="177">
        <f t="shared" si="186"/>
        <v>0</v>
      </c>
      <c r="W120" s="177">
        <f t="shared" si="186"/>
        <v>0</v>
      </c>
      <c r="X120" s="177">
        <f t="shared" si="186"/>
        <v>0</v>
      </c>
      <c r="Y120" s="177">
        <f t="shared" si="186"/>
        <v>0</v>
      </c>
      <c r="Z120" s="178">
        <f t="shared" si="203"/>
        <v>0</v>
      </c>
      <c r="AA120" s="173" t="s">
        <v>2046</v>
      </c>
      <c r="AB120" s="184"/>
      <c r="AC120" s="456">
        <v>46113</v>
      </c>
      <c r="AD120" s="456">
        <v>46142</v>
      </c>
      <c r="AE120" s="462">
        <f t="shared" si="187"/>
        <v>1</v>
      </c>
      <c r="AF120" s="177">
        <f t="shared" si="204"/>
        <v>0</v>
      </c>
      <c r="AG120" s="177">
        <f t="shared" si="205"/>
        <v>0</v>
      </c>
      <c r="AH120" s="177">
        <f t="shared" si="206"/>
        <v>0</v>
      </c>
      <c r="AI120" s="177">
        <f t="shared" si="207"/>
        <v>0</v>
      </c>
      <c r="AJ120" s="177">
        <f t="shared" si="208"/>
        <v>0</v>
      </c>
      <c r="AK120" s="177">
        <f t="shared" si="209"/>
        <v>0</v>
      </c>
      <c r="AL120" s="177">
        <f t="shared" si="210"/>
        <v>0</v>
      </c>
      <c r="AM120" s="177">
        <f t="shared" si="211"/>
        <v>0</v>
      </c>
      <c r="AN120" s="177">
        <f t="shared" si="212"/>
        <v>0</v>
      </c>
      <c r="AO120" s="177">
        <f t="shared" si="213"/>
        <v>0</v>
      </c>
      <c r="AP120" s="177">
        <f t="shared" si="214"/>
        <v>0</v>
      </c>
      <c r="AQ120" s="177">
        <f t="shared" si="215"/>
        <v>0</v>
      </c>
      <c r="AR120" s="178">
        <f t="shared" si="216"/>
        <v>0</v>
      </c>
      <c r="AT120" s="177">
        <f t="shared" si="189"/>
        <v>0</v>
      </c>
      <c r="AU120" s="177">
        <f t="shared" si="190"/>
        <v>0</v>
      </c>
      <c r="AV120" s="177">
        <f t="shared" si="191"/>
        <v>0</v>
      </c>
      <c r="AW120" s="177">
        <f t="shared" si="192"/>
        <v>0</v>
      </c>
      <c r="AX120" s="177">
        <f t="shared" si="193"/>
        <v>0</v>
      </c>
      <c r="AY120" s="177">
        <f t="shared" si="194"/>
        <v>0</v>
      </c>
      <c r="AZ120" s="177">
        <f t="shared" si="195"/>
        <v>0</v>
      </c>
      <c r="BA120" s="177">
        <f t="shared" si="196"/>
        <v>0</v>
      </c>
      <c r="BB120" s="177">
        <f t="shared" si="197"/>
        <v>0</v>
      </c>
      <c r="BC120" s="177">
        <f t="shared" si="198"/>
        <v>0</v>
      </c>
      <c r="BD120" s="177">
        <f t="shared" si="199"/>
        <v>0</v>
      </c>
      <c r="BE120" s="177">
        <f t="shared" si="200"/>
        <v>0</v>
      </c>
      <c r="BF120" s="178">
        <f t="shared" si="217"/>
        <v>0</v>
      </c>
    </row>
    <row r="121" spans="1:58" ht="17.100000000000001" customHeight="1">
      <c r="A121" s="171">
        <f t="shared" si="201"/>
        <v>11</v>
      </c>
      <c r="B121" s="171" t="s">
        <v>2553</v>
      </c>
      <c r="C121" s="171"/>
      <c r="D121" s="171" t="s">
        <v>1662</v>
      </c>
      <c r="E121" s="172" t="str">
        <f t="shared" si="185"/>
        <v>IT Professional &amp; MS Services</v>
      </c>
      <c r="F121" s="172"/>
      <c r="G121" s="77" t="s">
        <v>2613</v>
      </c>
      <c r="H121" s="173" t="s">
        <v>2614</v>
      </c>
      <c r="I121" s="173" t="s">
        <v>2046</v>
      </c>
      <c r="J121" s="184"/>
      <c r="K121" s="456">
        <v>45809</v>
      </c>
      <c r="L121" s="456">
        <v>45838</v>
      </c>
      <c r="M121" s="462">
        <f t="shared" si="202"/>
        <v>1</v>
      </c>
      <c r="N121" s="177">
        <f t="shared" ref="N121:Y127" si="218">IF(AND($K121&lt;=N$3,N$3&lt;=$L121),$J121/$M121,0)</f>
        <v>0</v>
      </c>
      <c r="O121" s="177">
        <f t="shared" si="218"/>
        <v>0</v>
      </c>
      <c r="P121" s="177">
        <f t="shared" si="218"/>
        <v>0</v>
      </c>
      <c r="Q121" s="177">
        <f t="shared" si="218"/>
        <v>0</v>
      </c>
      <c r="R121" s="177">
        <f t="shared" si="218"/>
        <v>0</v>
      </c>
      <c r="S121" s="177">
        <f t="shared" si="218"/>
        <v>0</v>
      </c>
      <c r="T121" s="177">
        <f t="shared" si="218"/>
        <v>0</v>
      </c>
      <c r="U121" s="177">
        <f t="shared" si="218"/>
        <v>0</v>
      </c>
      <c r="V121" s="177">
        <f t="shared" si="218"/>
        <v>0</v>
      </c>
      <c r="W121" s="177">
        <f t="shared" si="218"/>
        <v>0</v>
      </c>
      <c r="X121" s="177">
        <f t="shared" si="218"/>
        <v>0</v>
      </c>
      <c r="Y121" s="177">
        <f t="shared" si="218"/>
        <v>0</v>
      </c>
      <c r="Z121" s="178">
        <f t="shared" si="203"/>
        <v>0</v>
      </c>
      <c r="AA121" s="173" t="s">
        <v>2046</v>
      </c>
      <c r="AB121" s="184"/>
      <c r="AC121" s="456">
        <v>46174</v>
      </c>
      <c r="AD121" s="456">
        <v>46203</v>
      </c>
      <c r="AE121" s="462">
        <f t="shared" si="187"/>
        <v>1</v>
      </c>
      <c r="AF121" s="177">
        <f t="shared" si="204"/>
        <v>0</v>
      </c>
      <c r="AG121" s="177">
        <f t="shared" si="205"/>
        <v>0</v>
      </c>
      <c r="AH121" s="177">
        <f t="shared" si="206"/>
        <v>0</v>
      </c>
      <c r="AI121" s="177">
        <f t="shared" si="207"/>
        <v>0</v>
      </c>
      <c r="AJ121" s="177">
        <f t="shared" si="208"/>
        <v>0</v>
      </c>
      <c r="AK121" s="177">
        <f t="shared" si="209"/>
        <v>0</v>
      </c>
      <c r="AL121" s="177">
        <f t="shared" si="210"/>
        <v>0</v>
      </c>
      <c r="AM121" s="177">
        <f t="shared" si="211"/>
        <v>0</v>
      </c>
      <c r="AN121" s="177">
        <f t="shared" si="212"/>
        <v>0</v>
      </c>
      <c r="AO121" s="177">
        <f t="shared" si="213"/>
        <v>0</v>
      </c>
      <c r="AP121" s="177">
        <f t="shared" si="214"/>
        <v>0</v>
      </c>
      <c r="AQ121" s="177">
        <f t="shared" si="215"/>
        <v>0</v>
      </c>
      <c r="AR121" s="178">
        <f t="shared" si="216"/>
        <v>0</v>
      </c>
      <c r="AT121" s="177">
        <f t="shared" si="189"/>
        <v>0</v>
      </c>
      <c r="AU121" s="177">
        <f t="shared" si="190"/>
        <v>0</v>
      </c>
      <c r="AV121" s="177">
        <f t="shared" si="191"/>
        <v>0</v>
      </c>
      <c r="AW121" s="177">
        <f t="shared" si="192"/>
        <v>0</v>
      </c>
      <c r="AX121" s="177">
        <f t="shared" si="193"/>
        <v>0</v>
      </c>
      <c r="AY121" s="177">
        <f t="shared" si="194"/>
        <v>0</v>
      </c>
      <c r="AZ121" s="177">
        <f t="shared" si="195"/>
        <v>0</v>
      </c>
      <c r="BA121" s="177">
        <f t="shared" si="196"/>
        <v>0</v>
      </c>
      <c r="BB121" s="177">
        <f t="shared" si="197"/>
        <v>0</v>
      </c>
      <c r="BC121" s="177">
        <f t="shared" si="198"/>
        <v>0</v>
      </c>
      <c r="BD121" s="177">
        <f t="shared" si="199"/>
        <v>0</v>
      </c>
      <c r="BE121" s="177">
        <f t="shared" si="200"/>
        <v>0</v>
      </c>
      <c r="BF121" s="178">
        <f t="shared" si="217"/>
        <v>0</v>
      </c>
    </row>
    <row r="122" spans="1:58" ht="18.95" customHeight="1">
      <c r="A122" s="171">
        <f t="shared" si="201"/>
        <v>12</v>
      </c>
      <c r="B122" s="171" t="s">
        <v>2553</v>
      </c>
      <c r="C122" s="171"/>
      <c r="D122" s="171" t="s">
        <v>1667</v>
      </c>
      <c r="E122" s="172" t="str">
        <f t="shared" si="185"/>
        <v>IT Professional &amp; MS Services</v>
      </c>
      <c r="F122" s="172"/>
      <c r="G122" s="77" t="s">
        <v>2613</v>
      </c>
      <c r="H122" s="173" t="s">
        <v>2614</v>
      </c>
      <c r="I122" s="173" t="s">
        <v>2046</v>
      </c>
      <c r="J122" s="184"/>
      <c r="K122" s="456">
        <v>45809</v>
      </c>
      <c r="L122" s="456">
        <v>45838</v>
      </c>
      <c r="M122" s="462">
        <f t="shared" si="202"/>
        <v>1</v>
      </c>
      <c r="N122" s="177">
        <f t="shared" si="218"/>
        <v>0</v>
      </c>
      <c r="O122" s="177">
        <f t="shared" si="218"/>
        <v>0</v>
      </c>
      <c r="P122" s="177">
        <f t="shared" si="218"/>
        <v>0</v>
      </c>
      <c r="Q122" s="177">
        <f t="shared" si="218"/>
        <v>0</v>
      </c>
      <c r="R122" s="177">
        <f t="shared" si="218"/>
        <v>0</v>
      </c>
      <c r="S122" s="177">
        <f t="shared" si="218"/>
        <v>0</v>
      </c>
      <c r="T122" s="177">
        <f t="shared" si="218"/>
        <v>0</v>
      </c>
      <c r="U122" s="177">
        <f t="shared" si="218"/>
        <v>0</v>
      </c>
      <c r="V122" s="177">
        <f t="shared" si="218"/>
        <v>0</v>
      </c>
      <c r="W122" s="177">
        <f t="shared" si="218"/>
        <v>0</v>
      </c>
      <c r="X122" s="177">
        <f t="shared" si="218"/>
        <v>0</v>
      </c>
      <c r="Y122" s="177">
        <f t="shared" si="218"/>
        <v>0</v>
      </c>
      <c r="Z122" s="178">
        <f t="shared" si="203"/>
        <v>0</v>
      </c>
      <c r="AA122" s="173" t="s">
        <v>2046</v>
      </c>
      <c r="AB122" s="184"/>
      <c r="AC122" s="456">
        <v>46174</v>
      </c>
      <c r="AD122" s="456">
        <v>46203</v>
      </c>
      <c r="AE122" s="462">
        <f t="shared" si="187"/>
        <v>1</v>
      </c>
      <c r="AF122" s="177">
        <f t="shared" si="204"/>
        <v>0</v>
      </c>
      <c r="AG122" s="177">
        <f t="shared" si="205"/>
        <v>0</v>
      </c>
      <c r="AH122" s="177">
        <f t="shared" si="206"/>
        <v>0</v>
      </c>
      <c r="AI122" s="177">
        <f t="shared" si="207"/>
        <v>0</v>
      </c>
      <c r="AJ122" s="177">
        <f t="shared" si="208"/>
        <v>0</v>
      </c>
      <c r="AK122" s="177">
        <f t="shared" si="209"/>
        <v>0</v>
      </c>
      <c r="AL122" s="177">
        <f t="shared" si="210"/>
        <v>0</v>
      </c>
      <c r="AM122" s="177">
        <f t="shared" si="211"/>
        <v>0</v>
      </c>
      <c r="AN122" s="177">
        <f t="shared" si="212"/>
        <v>0</v>
      </c>
      <c r="AO122" s="177">
        <f t="shared" si="213"/>
        <v>0</v>
      </c>
      <c r="AP122" s="177">
        <f t="shared" si="214"/>
        <v>0</v>
      </c>
      <c r="AQ122" s="177">
        <f t="shared" si="215"/>
        <v>0</v>
      </c>
      <c r="AR122" s="178">
        <f t="shared" si="216"/>
        <v>0</v>
      </c>
      <c r="AT122" s="177">
        <f t="shared" si="189"/>
        <v>0</v>
      </c>
      <c r="AU122" s="177">
        <f t="shared" si="190"/>
        <v>0</v>
      </c>
      <c r="AV122" s="177">
        <f t="shared" si="191"/>
        <v>0</v>
      </c>
      <c r="AW122" s="177">
        <f t="shared" si="192"/>
        <v>0</v>
      </c>
      <c r="AX122" s="177">
        <f t="shared" si="193"/>
        <v>0</v>
      </c>
      <c r="AY122" s="177">
        <f t="shared" si="194"/>
        <v>0</v>
      </c>
      <c r="AZ122" s="177">
        <f t="shared" si="195"/>
        <v>0</v>
      </c>
      <c r="BA122" s="177">
        <f t="shared" si="196"/>
        <v>0</v>
      </c>
      <c r="BB122" s="177">
        <f t="shared" si="197"/>
        <v>0</v>
      </c>
      <c r="BC122" s="177">
        <f t="shared" si="198"/>
        <v>0</v>
      </c>
      <c r="BD122" s="177">
        <f t="shared" si="199"/>
        <v>0</v>
      </c>
      <c r="BE122" s="177">
        <f t="shared" si="200"/>
        <v>0</v>
      </c>
      <c r="BF122" s="178">
        <f t="shared" si="217"/>
        <v>0</v>
      </c>
    </row>
    <row r="123" spans="1:58" ht="18.95" customHeight="1">
      <c r="A123" s="171">
        <f t="shared" si="201"/>
        <v>13</v>
      </c>
      <c r="B123" s="171" t="s">
        <v>2553</v>
      </c>
      <c r="C123" s="171"/>
      <c r="D123" s="171"/>
      <c r="E123" s="172" t="str">
        <f t="shared" si="185"/>
        <v>Capital Verification Fees</v>
      </c>
      <c r="F123" s="172"/>
      <c r="G123" s="77" t="s">
        <v>2613</v>
      </c>
      <c r="H123" s="173" t="s">
        <v>2614</v>
      </c>
      <c r="I123" s="173" t="s">
        <v>2046</v>
      </c>
      <c r="J123" s="184"/>
      <c r="K123" s="456">
        <v>45658</v>
      </c>
      <c r="L123" s="456">
        <v>46022</v>
      </c>
      <c r="M123" s="462">
        <f t="shared" si="202"/>
        <v>12</v>
      </c>
      <c r="N123" s="177">
        <f t="shared" si="218"/>
        <v>0</v>
      </c>
      <c r="O123" s="177">
        <f t="shared" si="218"/>
        <v>0</v>
      </c>
      <c r="P123" s="177">
        <f t="shared" si="218"/>
        <v>0</v>
      </c>
      <c r="Q123" s="177">
        <f t="shared" si="218"/>
        <v>0</v>
      </c>
      <c r="R123" s="177">
        <f t="shared" si="218"/>
        <v>0</v>
      </c>
      <c r="S123" s="177">
        <f t="shared" si="218"/>
        <v>0</v>
      </c>
      <c r="T123" s="177">
        <f t="shared" si="218"/>
        <v>0</v>
      </c>
      <c r="U123" s="177">
        <f t="shared" si="218"/>
        <v>0</v>
      </c>
      <c r="V123" s="177">
        <f t="shared" si="218"/>
        <v>0</v>
      </c>
      <c r="W123" s="177">
        <f t="shared" si="218"/>
        <v>0</v>
      </c>
      <c r="X123" s="177">
        <f t="shared" si="218"/>
        <v>0</v>
      </c>
      <c r="Y123" s="177">
        <f t="shared" si="218"/>
        <v>0</v>
      </c>
      <c r="Z123" s="178">
        <f t="shared" si="203"/>
        <v>0</v>
      </c>
      <c r="AA123" s="173" t="s">
        <v>2046</v>
      </c>
      <c r="AB123" s="184"/>
      <c r="AC123" s="456">
        <v>46023</v>
      </c>
      <c r="AD123" s="456">
        <v>46387</v>
      </c>
      <c r="AE123" s="462">
        <f t="shared" si="187"/>
        <v>12</v>
      </c>
      <c r="AF123" s="177">
        <f t="shared" si="204"/>
        <v>0</v>
      </c>
      <c r="AG123" s="177">
        <f t="shared" si="205"/>
        <v>0</v>
      </c>
      <c r="AH123" s="177">
        <f t="shared" si="206"/>
        <v>0</v>
      </c>
      <c r="AI123" s="177">
        <f t="shared" si="207"/>
        <v>0</v>
      </c>
      <c r="AJ123" s="177">
        <f t="shared" si="208"/>
        <v>0</v>
      </c>
      <c r="AK123" s="177">
        <f t="shared" si="209"/>
        <v>0</v>
      </c>
      <c r="AL123" s="177">
        <f t="shared" si="210"/>
        <v>0</v>
      </c>
      <c r="AM123" s="177">
        <f t="shared" si="211"/>
        <v>0</v>
      </c>
      <c r="AN123" s="177">
        <f t="shared" si="212"/>
        <v>0</v>
      </c>
      <c r="AO123" s="177">
        <f t="shared" si="213"/>
        <v>0</v>
      </c>
      <c r="AP123" s="177">
        <f t="shared" si="214"/>
        <v>0</v>
      </c>
      <c r="AQ123" s="177">
        <f t="shared" si="215"/>
        <v>0</v>
      </c>
      <c r="AR123" s="178">
        <f t="shared" si="216"/>
        <v>0</v>
      </c>
      <c r="AT123" s="177">
        <f t="shared" si="189"/>
        <v>0</v>
      </c>
      <c r="AU123" s="177">
        <f t="shared" si="190"/>
        <v>0</v>
      </c>
      <c r="AV123" s="177">
        <f t="shared" si="191"/>
        <v>0</v>
      </c>
      <c r="AW123" s="177">
        <f t="shared" si="192"/>
        <v>0</v>
      </c>
      <c r="AX123" s="177">
        <f t="shared" si="193"/>
        <v>0</v>
      </c>
      <c r="AY123" s="177">
        <f t="shared" si="194"/>
        <v>0</v>
      </c>
      <c r="AZ123" s="177">
        <f t="shared" si="195"/>
        <v>0</v>
      </c>
      <c r="BA123" s="177">
        <f t="shared" si="196"/>
        <v>0</v>
      </c>
      <c r="BB123" s="177">
        <f t="shared" si="197"/>
        <v>0</v>
      </c>
      <c r="BC123" s="177">
        <f t="shared" si="198"/>
        <v>0</v>
      </c>
      <c r="BD123" s="177">
        <f t="shared" si="199"/>
        <v>0</v>
      </c>
      <c r="BE123" s="177">
        <f t="shared" si="200"/>
        <v>0</v>
      </c>
      <c r="BF123" s="178">
        <f t="shared" si="217"/>
        <v>0</v>
      </c>
    </row>
    <row r="124" spans="1:58" ht="18.95" customHeight="1">
      <c r="A124" s="171">
        <f t="shared" si="201"/>
        <v>14</v>
      </c>
      <c r="B124" s="171" t="s">
        <v>2553</v>
      </c>
      <c r="C124" s="171"/>
      <c r="D124" s="171"/>
      <c r="E124" s="172" t="str">
        <f t="shared" si="185"/>
        <v>Industry Research Fee</v>
      </c>
      <c r="F124" s="172"/>
      <c r="G124" s="77" t="s">
        <v>2613</v>
      </c>
      <c r="H124" s="173" t="s">
        <v>2614</v>
      </c>
      <c r="I124" s="173" t="s">
        <v>2046</v>
      </c>
      <c r="J124" s="184"/>
      <c r="K124" s="456">
        <v>45658</v>
      </c>
      <c r="L124" s="456">
        <v>46022</v>
      </c>
      <c r="M124" s="462">
        <f t="shared" si="202"/>
        <v>12</v>
      </c>
      <c r="N124" s="177">
        <f t="shared" si="218"/>
        <v>0</v>
      </c>
      <c r="O124" s="177">
        <f t="shared" si="218"/>
        <v>0</v>
      </c>
      <c r="P124" s="177">
        <f t="shared" si="218"/>
        <v>0</v>
      </c>
      <c r="Q124" s="177">
        <f t="shared" si="218"/>
        <v>0</v>
      </c>
      <c r="R124" s="177">
        <f t="shared" si="218"/>
        <v>0</v>
      </c>
      <c r="S124" s="177">
        <f t="shared" si="218"/>
        <v>0</v>
      </c>
      <c r="T124" s="177">
        <f t="shared" si="218"/>
        <v>0</v>
      </c>
      <c r="U124" s="177">
        <f t="shared" si="218"/>
        <v>0</v>
      </c>
      <c r="V124" s="177">
        <f t="shared" si="218"/>
        <v>0</v>
      </c>
      <c r="W124" s="177">
        <f t="shared" si="218"/>
        <v>0</v>
      </c>
      <c r="X124" s="177">
        <f t="shared" si="218"/>
        <v>0</v>
      </c>
      <c r="Y124" s="177">
        <f t="shared" si="218"/>
        <v>0</v>
      </c>
      <c r="Z124" s="178">
        <f t="shared" si="203"/>
        <v>0</v>
      </c>
      <c r="AA124" s="173" t="s">
        <v>2046</v>
      </c>
      <c r="AB124" s="184"/>
      <c r="AC124" s="456">
        <v>46023</v>
      </c>
      <c r="AD124" s="456">
        <v>46387</v>
      </c>
      <c r="AE124" s="462">
        <f t="shared" si="187"/>
        <v>12</v>
      </c>
      <c r="AF124" s="177">
        <f t="shared" si="204"/>
        <v>0</v>
      </c>
      <c r="AG124" s="177">
        <f t="shared" si="205"/>
        <v>0</v>
      </c>
      <c r="AH124" s="177">
        <f t="shared" si="206"/>
        <v>0</v>
      </c>
      <c r="AI124" s="177">
        <f t="shared" si="207"/>
        <v>0</v>
      </c>
      <c r="AJ124" s="177">
        <f t="shared" si="208"/>
        <v>0</v>
      </c>
      <c r="AK124" s="177">
        <f t="shared" si="209"/>
        <v>0</v>
      </c>
      <c r="AL124" s="177">
        <f t="shared" si="210"/>
        <v>0</v>
      </c>
      <c r="AM124" s="177">
        <f t="shared" si="211"/>
        <v>0</v>
      </c>
      <c r="AN124" s="177">
        <f t="shared" si="212"/>
        <v>0</v>
      </c>
      <c r="AO124" s="177">
        <f t="shared" si="213"/>
        <v>0</v>
      </c>
      <c r="AP124" s="177">
        <f t="shared" si="214"/>
        <v>0</v>
      </c>
      <c r="AQ124" s="177">
        <f t="shared" si="215"/>
        <v>0</v>
      </c>
      <c r="AR124" s="178">
        <f t="shared" si="216"/>
        <v>0</v>
      </c>
      <c r="AT124" s="177">
        <f t="shared" si="189"/>
        <v>0</v>
      </c>
      <c r="AU124" s="177">
        <f t="shared" si="190"/>
        <v>0</v>
      </c>
      <c r="AV124" s="177">
        <f t="shared" si="191"/>
        <v>0</v>
      </c>
      <c r="AW124" s="177">
        <f t="shared" si="192"/>
        <v>0</v>
      </c>
      <c r="AX124" s="177">
        <f t="shared" si="193"/>
        <v>0</v>
      </c>
      <c r="AY124" s="177">
        <f t="shared" si="194"/>
        <v>0</v>
      </c>
      <c r="AZ124" s="177">
        <f t="shared" si="195"/>
        <v>0</v>
      </c>
      <c r="BA124" s="177">
        <f t="shared" si="196"/>
        <v>0</v>
      </c>
      <c r="BB124" s="177">
        <f t="shared" si="197"/>
        <v>0</v>
      </c>
      <c r="BC124" s="177">
        <f t="shared" si="198"/>
        <v>0</v>
      </c>
      <c r="BD124" s="177">
        <f t="shared" si="199"/>
        <v>0</v>
      </c>
      <c r="BE124" s="177">
        <f t="shared" si="200"/>
        <v>0</v>
      </c>
      <c r="BF124" s="178">
        <f t="shared" si="217"/>
        <v>0</v>
      </c>
    </row>
    <row r="125" spans="1:58" ht="18.95" customHeight="1">
      <c r="A125" s="171">
        <f t="shared" si="201"/>
        <v>15</v>
      </c>
      <c r="B125" s="171" t="s">
        <v>2553</v>
      </c>
      <c r="C125" s="171"/>
      <c r="D125" s="171"/>
      <c r="E125" s="172" t="str">
        <f t="shared" si="185"/>
        <v>Project Due Diligence Fee</v>
      </c>
      <c r="F125" s="172"/>
      <c r="G125" s="77" t="s">
        <v>2613</v>
      </c>
      <c r="H125" s="173" t="s">
        <v>2614</v>
      </c>
      <c r="I125" s="173" t="s">
        <v>2046</v>
      </c>
      <c r="J125" s="184"/>
      <c r="K125" s="456">
        <v>45658</v>
      </c>
      <c r="L125" s="456">
        <v>45688</v>
      </c>
      <c r="M125" s="462">
        <f t="shared" si="202"/>
        <v>1</v>
      </c>
      <c r="N125" s="177">
        <f t="shared" si="218"/>
        <v>0</v>
      </c>
      <c r="O125" s="177">
        <f t="shared" si="218"/>
        <v>0</v>
      </c>
      <c r="P125" s="177">
        <f t="shared" si="218"/>
        <v>0</v>
      </c>
      <c r="Q125" s="177">
        <f t="shared" si="218"/>
        <v>0</v>
      </c>
      <c r="R125" s="177">
        <f t="shared" si="218"/>
        <v>0</v>
      </c>
      <c r="S125" s="177">
        <f t="shared" si="218"/>
        <v>0</v>
      </c>
      <c r="T125" s="177">
        <f t="shared" si="218"/>
        <v>0</v>
      </c>
      <c r="U125" s="177">
        <f t="shared" si="218"/>
        <v>0</v>
      </c>
      <c r="V125" s="177">
        <f t="shared" si="218"/>
        <v>0</v>
      </c>
      <c r="W125" s="177">
        <f t="shared" si="218"/>
        <v>0</v>
      </c>
      <c r="X125" s="177">
        <f t="shared" si="218"/>
        <v>0</v>
      </c>
      <c r="Y125" s="177">
        <f t="shared" si="218"/>
        <v>0</v>
      </c>
      <c r="Z125" s="178">
        <f t="shared" si="203"/>
        <v>0</v>
      </c>
      <c r="AA125" s="173" t="s">
        <v>2046</v>
      </c>
      <c r="AB125" s="184"/>
      <c r="AC125" s="456">
        <v>46023</v>
      </c>
      <c r="AD125" s="456">
        <v>46387</v>
      </c>
      <c r="AE125" s="462">
        <f t="shared" si="187"/>
        <v>12</v>
      </c>
      <c r="AF125" s="177">
        <f t="shared" si="204"/>
        <v>0</v>
      </c>
      <c r="AG125" s="177">
        <f t="shared" si="205"/>
        <v>0</v>
      </c>
      <c r="AH125" s="177">
        <f t="shared" si="206"/>
        <v>0</v>
      </c>
      <c r="AI125" s="177">
        <f t="shared" si="207"/>
        <v>0</v>
      </c>
      <c r="AJ125" s="177">
        <f t="shared" si="208"/>
        <v>0</v>
      </c>
      <c r="AK125" s="177">
        <f t="shared" si="209"/>
        <v>0</v>
      </c>
      <c r="AL125" s="177">
        <f t="shared" si="210"/>
        <v>0</v>
      </c>
      <c r="AM125" s="177">
        <f t="shared" si="211"/>
        <v>0</v>
      </c>
      <c r="AN125" s="177">
        <f t="shared" si="212"/>
        <v>0</v>
      </c>
      <c r="AO125" s="177">
        <f t="shared" si="213"/>
        <v>0</v>
      </c>
      <c r="AP125" s="177">
        <f t="shared" si="214"/>
        <v>0</v>
      </c>
      <c r="AQ125" s="177">
        <f t="shared" si="215"/>
        <v>0</v>
      </c>
      <c r="AR125" s="178">
        <f t="shared" si="216"/>
        <v>0</v>
      </c>
      <c r="AT125" s="177">
        <f t="shared" si="189"/>
        <v>0</v>
      </c>
      <c r="AU125" s="177">
        <f t="shared" si="190"/>
        <v>0</v>
      </c>
      <c r="AV125" s="177">
        <f t="shared" si="191"/>
        <v>0</v>
      </c>
      <c r="AW125" s="177">
        <f t="shared" si="192"/>
        <v>0</v>
      </c>
      <c r="AX125" s="177">
        <f t="shared" si="193"/>
        <v>0</v>
      </c>
      <c r="AY125" s="177">
        <f t="shared" si="194"/>
        <v>0</v>
      </c>
      <c r="AZ125" s="177">
        <f t="shared" si="195"/>
        <v>0</v>
      </c>
      <c r="BA125" s="177">
        <f t="shared" si="196"/>
        <v>0</v>
      </c>
      <c r="BB125" s="177">
        <f t="shared" si="197"/>
        <v>0</v>
      </c>
      <c r="BC125" s="177">
        <f t="shared" si="198"/>
        <v>0</v>
      </c>
      <c r="BD125" s="177">
        <f t="shared" si="199"/>
        <v>0</v>
      </c>
      <c r="BE125" s="177">
        <f t="shared" si="200"/>
        <v>0</v>
      </c>
      <c r="BF125" s="178">
        <f t="shared" si="217"/>
        <v>0</v>
      </c>
    </row>
    <row r="126" spans="1:58" ht="21" customHeight="1">
      <c r="A126" s="171">
        <f t="shared" si="201"/>
        <v>16</v>
      </c>
      <c r="B126" s="171" t="s">
        <v>2553</v>
      </c>
      <c r="C126" s="171"/>
      <c r="D126" s="171" t="s">
        <v>1539</v>
      </c>
      <c r="E126" s="172" t="str">
        <f t="shared" si="185"/>
        <v>Legal Fees</v>
      </c>
      <c r="F126" s="172"/>
      <c r="G126" s="77" t="s">
        <v>2613</v>
      </c>
      <c r="H126" s="173" t="s">
        <v>2614</v>
      </c>
      <c r="I126" s="173" t="s">
        <v>2046</v>
      </c>
      <c r="J126" s="184"/>
      <c r="K126" s="456">
        <v>45658</v>
      </c>
      <c r="L126" s="456">
        <v>45688</v>
      </c>
      <c r="M126" s="462">
        <f t="shared" si="202"/>
        <v>1</v>
      </c>
      <c r="N126" s="177">
        <f t="shared" si="218"/>
        <v>0</v>
      </c>
      <c r="O126" s="177">
        <f t="shared" si="218"/>
        <v>0</v>
      </c>
      <c r="P126" s="177">
        <f t="shared" si="218"/>
        <v>0</v>
      </c>
      <c r="Q126" s="177">
        <f t="shared" si="218"/>
        <v>0</v>
      </c>
      <c r="R126" s="177">
        <f t="shared" si="218"/>
        <v>0</v>
      </c>
      <c r="S126" s="177">
        <f t="shared" si="218"/>
        <v>0</v>
      </c>
      <c r="T126" s="177">
        <f t="shared" si="218"/>
        <v>0</v>
      </c>
      <c r="U126" s="177">
        <f t="shared" si="218"/>
        <v>0</v>
      </c>
      <c r="V126" s="177">
        <f t="shared" si="218"/>
        <v>0</v>
      </c>
      <c r="W126" s="177">
        <f t="shared" si="218"/>
        <v>0</v>
      </c>
      <c r="X126" s="177">
        <f t="shared" si="218"/>
        <v>0</v>
      </c>
      <c r="Y126" s="177">
        <f t="shared" si="218"/>
        <v>0</v>
      </c>
      <c r="Z126" s="178">
        <f t="shared" si="203"/>
        <v>0</v>
      </c>
      <c r="AA126" s="173" t="s">
        <v>2046</v>
      </c>
      <c r="AB126" s="184"/>
      <c r="AC126" s="456">
        <v>46266</v>
      </c>
      <c r="AD126" s="456">
        <v>46295</v>
      </c>
      <c r="AE126" s="462">
        <f t="shared" si="187"/>
        <v>1</v>
      </c>
      <c r="AF126" s="177">
        <f t="shared" si="204"/>
        <v>0</v>
      </c>
      <c r="AG126" s="177">
        <f t="shared" si="205"/>
        <v>0</v>
      </c>
      <c r="AH126" s="177">
        <f t="shared" si="206"/>
        <v>0</v>
      </c>
      <c r="AI126" s="177">
        <f t="shared" si="207"/>
        <v>0</v>
      </c>
      <c r="AJ126" s="177">
        <f t="shared" si="208"/>
        <v>0</v>
      </c>
      <c r="AK126" s="177">
        <f t="shared" si="209"/>
        <v>0</v>
      </c>
      <c r="AL126" s="177">
        <f t="shared" si="210"/>
        <v>0</v>
      </c>
      <c r="AM126" s="177">
        <f t="shared" si="211"/>
        <v>0</v>
      </c>
      <c r="AN126" s="177">
        <f t="shared" si="212"/>
        <v>0</v>
      </c>
      <c r="AO126" s="177">
        <f t="shared" si="213"/>
        <v>0</v>
      </c>
      <c r="AP126" s="177">
        <f t="shared" si="214"/>
        <v>0</v>
      </c>
      <c r="AQ126" s="177">
        <f t="shared" si="215"/>
        <v>0</v>
      </c>
      <c r="AR126" s="178">
        <f t="shared" si="216"/>
        <v>0</v>
      </c>
      <c r="AT126" s="177">
        <f t="shared" si="189"/>
        <v>0</v>
      </c>
      <c r="AU126" s="177">
        <f t="shared" si="190"/>
        <v>0</v>
      </c>
      <c r="AV126" s="177">
        <f t="shared" si="191"/>
        <v>0</v>
      </c>
      <c r="AW126" s="177">
        <f t="shared" si="192"/>
        <v>0</v>
      </c>
      <c r="AX126" s="177">
        <f t="shared" si="193"/>
        <v>0</v>
      </c>
      <c r="AY126" s="177">
        <f t="shared" si="194"/>
        <v>0</v>
      </c>
      <c r="AZ126" s="177">
        <f t="shared" si="195"/>
        <v>0</v>
      </c>
      <c r="BA126" s="177">
        <f t="shared" si="196"/>
        <v>0</v>
      </c>
      <c r="BB126" s="177">
        <f t="shared" si="197"/>
        <v>0</v>
      </c>
      <c r="BC126" s="177">
        <f t="shared" si="198"/>
        <v>0</v>
      </c>
      <c r="BD126" s="177">
        <f t="shared" si="199"/>
        <v>0</v>
      </c>
      <c r="BE126" s="177">
        <f t="shared" si="200"/>
        <v>0</v>
      </c>
      <c r="BF126" s="178">
        <f t="shared" si="217"/>
        <v>0</v>
      </c>
    </row>
    <row r="127" spans="1:58" s="151" customFormat="1" ht="18" customHeight="1">
      <c r="A127" s="171">
        <f t="shared" si="201"/>
        <v>17</v>
      </c>
      <c r="B127" s="171" t="s">
        <v>2553</v>
      </c>
      <c r="C127" s="171"/>
      <c r="D127" s="171" t="s">
        <v>1867</v>
      </c>
      <c r="E127" s="172" t="str">
        <f t="shared" si="185"/>
        <v>Training expense</v>
      </c>
      <c r="F127" s="172"/>
      <c r="G127" s="77" t="s">
        <v>2613</v>
      </c>
      <c r="H127" s="173" t="s">
        <v>2614</v>
      </c>
      <c r="I127" s="173" t="s">
        <v>2046</v>
      </c>
      <c r="J127" s="184"/>
      <c r="K127" s="456">
        <v>45658</v>
      </c>
      <c r="L127" s="456">
        <v>46022</v>
      </c>
      <c r="M127" s="462">
        <f t="shared" si="202"/>
        <v>12</v>
      </c>
      <c r="N127" s="177">
        <f t="shared" si="218"/>
        <v>0</v>
      </c>
      <c r="O127" s="177">
        <f t="shared" si="218"/>
        <v>0</v>
      </c>
      <c r="P127" s="177">
        <f t="shared" si="218"/>
        <v>0</v>
      </c>
      <c r="Q127" s="177">
        <f t="shared" si="218"/>
        <v>0</v>
      </c>
      <c r="R127" s="177">
        <f t="shared" si="218"/>
        <v>0</v>
      </c>
      <c r="S127" s="177">
        <f t="shared" si="218"/>
        <v>0</v>
      </c>
      <c r="T127" s="177">
        <f t="shared" si="218"/>
        <v>0</v>
      </c>
      <c r="U127" s="177">
        <f t="shared" si="218"/>
        <v>0</v>
      </c>
      <c r="V127" s="177">
        <f t="shared" si="218"/>
        <v>0</v>
      </c>
      <c r="W127" s="177">
        <f t="shared" si="218"/>
        <v>0</v>
      </c>
      <c r="X127" s="177">
        <f t="shared" si="218"/>
        <v>0</v>
      </c>
      <c r="Y127" s="177">
        <f t="shared" si="218"/>
        <v>0</v>
      </c>
      <c r="Z127" s="178">
        <f t="shared" si="203"/>
        <v>0</v>
      </c>
      <c r="AA127" s="173" t="s">
        <v>2046</v>
      </c>
      <c r="AB127" s="184"/>
      <c r="AC127" s="456">
        <v>46023</v>
      </c>
      <c r="AD127" s="456">
        <v>46387</v>
      </c>
      <c r="AE127" s="462">
        <f t="shared" si="187"/>
        <v>12</v>
      </c>
      <c r="AF127" s="177">
        <f t="shared" si="204"/>
        <v>0</v>
      </c>
      <c r="AG127" s="177">
        <f t="shared" si="205"/>
        <v>0</v>
      </c>
      <c r="AH127" s="177">
        <f t="shared" si="206"/>
        <v>0</v>
      </c>
      <c r="AI127" s="177">
        <f t="shared" si="207"/>
        <v>0</v>
      </c>
      <c r="AJ127" s="177">
        <f t="shared" si="208"/>
        <v>0</v>
      </c>
      <c r="AK127" s="177">
        <f t="shared" si="209"/>
        <v>0</v>
      </c>
      <c r="AL127" s="177">
        <f t="shared" si="210"/>
        <v>0</v>
      </c>
      <c r="AM127" s="177">
        <f t="shared" si="211"/>
        <v>0</v>
      </c>
      <c r="AN127" s="177">
        <f t="shared" si="212"/>
        <v>0</v>
      </c>
      <c r="AO127" s="177">
        <f t="shared" si="213"/>
        <v>0</v>
      </c>
      <c r="AP127" s="177">
        <f t="shared" si="214"/>
        <v>0</v>
      </c>
      <c r="AQ127" s="177">
        <f t="shared" si="215"/>
        <v>0</v>
      </c>
      <c r="AR127" s="178">
        <f t="shared" si="216"/>
        <v>0</v>
      </c>
      <c r="AT127" s="177">
        <f t="shared" si="189"/>
        <v>0</v>
      </c>
      <c r="AU127" s="177">
        <f t="shared" si="190"/>
        <v>0</v>
      </c>
      <c r="AV127" s="177">
        <f t="shared" si="191"/>
        <v>0</v>
      </c>
      <c r="AW127" s="177">
        <f t="shared" si="192"/>
        <v>0</v>
      </c>
      <c r="AX127" s="177">
        <f t="shared" si="193"/>
        <v>0</v>
      </c>
      <c r="AY127" s="177">
        <f t="shared" si="194"/>
        <v>0</v>
      </c>
      <c r="AZ127" s="177">
        <f t="shared" si="195"/>
        <v>0</v>
      </c>
      <c r="BA127" s="177">
        <f t="shared" si="196"/>
        <v>0</v>
      </c>
      <c r="BB127" s="177">
        <f t="shared" si="197"/>
        <v>0</v>
      </c>
      <c r="BC127" s="177">
        <f t="shared" si="198"/>
        <v>0</v>
      </c>
      <c r="BD127" s="177">
        <f t="shared" si="199"/>
        <v>0</v>
      </c>
      <c r="BE127" s="177">
        <f t="shared" si="200"/>
        <v>0</v>
      </c>
      <c r="BF127" s="178">
        <f t="shared" si="217"/>
        <v>0</v>
      </c>
    </row>
    <row r="129" spans="1:58" ht="15" customHeight="1" thickBot="1">
      <c r="B129" s="151" t="str">
        <f>B127</f>
        <v>Yixing Albamen</v>
      </c>
      <c r="C129" s="151" t="str">
        <f>'CF-ACPL（合并）'!A25</f>
        <v>支付的其他与经营活动有关的现金（专业服务费）</v>
      </c>
      <c r="D129" s="151"/>
      <c r="E129" s="151"/>
      <c r="N129" s="185">
        <f t="shared" ref="N129:T129" si="219">SUM(N111:N127)</f>
        <v>0</v>
      </c>
      <c r="O129" s="185">
        <f t="shared" si="219"/>
        <v>0</v>
      </c>
      <c r="P129" s="185">
        <f t="shared" si="219"/>
        <v>0</v>
      </c>
      <c r="Q129" s="185">
        <f t="shared" si="219"/>
        <v>0</v>
      </c>
      <c r="R129" s="185">
        <f t="shared" si="219"/>
        <v>0</v>
      </c>
      <c r="S129" s="185">
        <f t="shared" si="219"/>
        <v>0</v>
      </c>
      <c r="T129" s="185">
        <f t="shared" si="219"/>
        <v>0</v>
      </c>
      <c r="U129" s="185">
        <f t="shared" ref="U129:Z129" si="220">SUM(U111:U127)</f>
        <v>0</v>
      </c>
      <c r="V129" s="185">
        <f t="shared" si="220"/>
        <v>0</v>
      </c>
      <c r="W129" s="185">
        <f t="shared" si="220"/>
        <v>0</v>
      </c>
      <c r="X129" s="185">
        <f t="shared" si="220"/>
        <v>0</v>
      </c>
      <c r="Y129" s="185">
        <f t="shared" si="220"/>
        <v>47000</v>
      </c>
      <c r="Z129" s="461">
        <f t="shared" si="220"/>
        <v>47000</v>
      </c>
      <c r="AB129" s="461">
        <f>SUM(AB111:AB127)</f>
        <v>20000</v>
      </c>
      <c r="AF129" s="461">
        <f>SUM(AF111:AF127)</f>
        <v>0</v>
      </c>
      <c r="AG129" s="461">
        <f t="shared" ref="AG129:AR129" si="221">SUM(AG111:AG127)</f>
        <v>0</v>
      </c>
      <c r="AH129" s="461">
        <f t="shared" si="221"/>
        <v>0</v>
      </c>
      <c r="AI129" s="461">
        <f t="shared" si="221"/>
        <v>0</v>
      </c>
      <c r="AJ129" s="461">
        <f t="shared" si="221"/>
        <v>0</v>
      </c>
      <c r="AK129" s="461">
        <f t="shared" si="221"/>
        <v>17000</v>
      </c>
      <c r="AL129" s="461">
        <f t="shared" si="221"/>
        <v>0</v>
      </c>
      <c r="AM129" s="461">
        <f t="shared" si="221"/>
        <v>0</v>
      </c>
      <c r="AN129" s="461">
        <f t="shared" si="221"/>
        <v>0</v>
      </c>
      <c r="AO129" s="461">
        <f t="shared" si="221"/>
        <v>0</v>
      </c>
      <c r="AP129" s="461">
        <f t="shared" si="221"/>
        <v>0</v>
      </c>
      <c r="AQ129" s="461">
        <f t="shared" si="221"/>
        <v>3000</v>
      </c>
      <c r="AR129" s="461">
        <f t="shared" si="221"/>
        <v>20000</v>
      </c>
      <c r="AT129" s="461">
        <f>SUM(AT111:AT127)</f>
        <v>0</v>
      </c>
      <c r="AU129" s="461">
        <f t="shared" ref="AU129:BF129" si="222">SUM(AU111:AU127)</f>
        <v>0</v>
      </c>
      <c r="AV129" s="461">
        <f t="shared" si="222"/>
        <v>0</v>
      </c>
      <c r="AW129" s="461">
        <f t="shared" si="222"/>
        <v>0</v>
      </c>
      <c r="AX129" s="461">
        <f t="shared" si="222"/>
        <v>0</v>
      </c>
      <c r="AY129" s="461">
        <f t="shared" si="222"/>
        <v>17850</v>
      </c>
      <c r="AZ129" s="461">
        <f t="shared" si="222"/>
        <v>0</v>
      </c>
      <c r="BA129" s="461">
        <f t="shared" si="222"/>
        <v>0</v>
      </c>
      <c r="BB129" s="461">
        <f t="shared" si="222"/>
        <v>0</v>
      </c>
      <c r="BC129" s="461">
        <f t="shared" si="222"/>
        <v>0</v>
      </c>
      <c r="BD129" s="461">
        <f t="shared" si="222"/>
        <v>0</v>
      </c>
      <c r="BE129" s="461">
        <f t="shared" si="222"/>
        <v>3150</v>
      </c>
      <c r="BF129" s="461">
        <f t="shared" si="222"/>
        <v>21000</v>
      </c>
    </row>
    <row r="130" spans="1:58" ht="13.5" thickTop="1"/>
    <row r="131" spans="1:58" s="150" customFormat="1" ht="13.5" customHeight="1">
      <c r="A131" s="162"/>
      <c r="B131" s="162" t="s">
        <v>2598</v>
      </c>
      <c r="C131" s="162" t="s">
        <v>2401</v>
      </c>
      <c r="D131" s="162" t="s">
        <v>2704</v>
      </c>
      <c r="E131" s="163" t="str">
        <f>$E$3</f>
        <v>Professional Fee</v>
      </c>
      <c r="F131" s="163"/>
      <c r="G131" s="164" t="s">
        <v>2604</v>
      </c>
      <c r="H131" s="164" t="s">
        <v>2605</v>
      </c>
      <c r="I131" s="165" t="s">
        <v>2606</v>
      </c>
      <c r="J131" s="464" t="s">
        <v>2607</v>
      </c>
      <c r="K131" s="465" t="s">
        <v>2608</v>
      </c>
      <c r="L131" s="465" t="s">
        <v>2609</v>
      </c>
      <c r="M131" s="464" t="s">
        <v>2610</v>
      </c>
      <c r="N131" s="69">
        <v>45658</v>
      </c>
      <c r="O131" s="69">
        <v>45689</v>
      </c>
      <c r="P131" s="69">
        <v>45717</v>
      </c>
      <c r="Q131" s="69">
        <v>45748</v>
      </c>
      <c r="R131" s="69">
        <v>45778</v>
      </c>
      <c r="S131" s="69">
        <v>45809</v>
      </c>
      <c r="T131" s="69">
        <v>45839</v>
      </c>
      <c r="U131" s="69">
        <v>45870</v>
      </c>
      <c r="V131" s="69">
        <v>45901</v>
      </c>
      <c r="W131" s="69">
        <v>45931</v>
      </c>
      <c r="X131" s="69">
        <v>45962</v>
      </c>
      <c r="Y131" s="69">
        <v>45992</v>
      </c>
      <c r="Z131" s="168" t="s">
        <v>2115</v>
      </c>
      <c r="AA131" s="165" t="s">
        <v>2606</v>
      </c>
      <c r="AB131" s="464" t="s">
        <v>2607</v>
      </c>
      <c r="AC131" s="465" t="s">
        <v>2608</v>
      </c>
      <c r="AD131" s="465" t="s">
        <v>2609</v>
      </c>
      <c r="AE131" s="464" t="s">
        <v>2610</v>
      </c>
      <c r="AF131" s="69">
        <v>46023</v>
      </c>
      <c r="AG131" s="69">
        <v>46054</v>
      </c>
      <c r="AH131" s="69">
        <v>46082</v>
      </c>
      <c r="AI131" s="69">
        <v>46113</v>
      </c>
      <c r="AJ131" s="69">
        <v>46143</v>
      </c>
      <c r="AK131" s="69">
        <v>46174</v>
      </c>
      <c r="AL131" s="69">
        <v>46204</v>
      </c>
      <c r="AM131" s="69">
        <v>46235</v>
      </c>
      <c r="AN131" s="69">
        <v>46266</v>
      </c>
      <c r="AO131" s="69">
        <v>46296</v>
      </c>
      <c r="AP131" s="69">
        <v>46327</v>
      </c>
      <c r="AQ131" s="69">
        <v>46357</v>
      </c>
      <c r="AR131" s="168" t="s">
        <v>2706</v>
      </c>
      <c r="AT131" s="69">
        <f t="shared" ref="AT131:BF131" si="223">AT$3</f>
        <v>46388</v>
      </c>
      <c r="AU131" s="69">
        <f t="shared" si="223"/>
        <v>46419</v>
      </c>
      <c r="AV131" s="69">
        <f t="shared" si="223"/>
        <v>46447</v>
      </c>
      <c r="AW131" s="69">
        <f t="shared" si="223"/>
        <v>46478</v>
      </c>
      <c r="AX131" s="69">
        <f t="shared" si="223"/>
        <v>46508</v>
      </c>
      <c r="AY131" s="69">
        <f t="shared" si="223"/>
        <v>46539</v>
      </c>
      <c r="AZ131" s="69">
        <f t="shared" si="223"/>
        <v>46569</v>
      </c>
      <c r="BA131" s="69">
        <f t="shared" si="223"/>
        <v>46600</v>
      </c>
      <c r="BB131" s="69">
        <f t="shared" si="223"/>
        <v>46631</v>
      </c>
      <c r="BC131" s="69">
        <f t="shared" si="223"/>
        <v>46661</v>
      </c>
      <c r="BD131" s="69">
        <f t="shared" si="223"/>
        <v>46692</v>
      </c>
      <c r="BE131" s="69">
        <f t="shared" si="223"/>
        <v>46722</v>
      </c>
      <c r="BF131" s="168" t="str">
        <f t="shared" si="223"/>
        <v>2027Total</v>
      </c>
    </row>
    <row r="132" spans="1:58" ht="15" customHeight="1">
      <c r="A132" s="171">
        <v>1</v>
      </c>
      <c r="B132" s="171" t="s">
        <v>2741</v>
      </c>
      <c r="C132" s="171"/>
      <c r="D132" s="171" t="s">
        <v>1514</v>
      </c>
      <c r="E132" s="172" t="str">
        <f t="shared" ref="E132:E148" si="224">E48</f>
        <v>Accounting / Payment Services</v>
      </c>
      <c r="F132" s="172"/>
      <c r="G132" s="77" t="s">
        <v>2613</v>
      </c>
      <c r="H132" s="173" t="s">
        <v>2614</v>
      </c>
      <c r="I132" s="173" t="s">
        <v>2409</v>
      </c>
      <c r="J132" s="184"/>
      <c r="K132" s="456">
        <v>45658</v>
      </c>
      <c r="L132" s="456">
        <v>46022</v>
      </c>
      <c r="M132" s="462">
        <f>IF(AND(K132="",L132=""),"-",IF(L132="",12,DATEDIF(K132,L132,"M")+1))</f>
        <v>12</v>
      </c>
      <c r="N132" s="177">
        <f>IF(AND($K132&lt;=N$3,N$3&lt;=$L132),$J132/$M132*HLOOKUP(N$3,'FX Lookup'!$A$2:$Y$6,2,FALSE),0)</f>
        <v>0</v>
      </c>
      <c r="O132" s="177">
        <f>IF(AND($K132&lt;=O$3,O$3&lt;=$L132),$J132/$M132*HLOOKUP(O$3,'FX Lookup'!$A$2:$Y$6,2,FALSE),0)</f>
        <v>0</v>
      </c>
      <c r="P132" s="177">
        <f>IF(AND($K132&lt;=P$3,P$3&lt;=$L132),$J132/$M132*HLOOKUP(P$3,'FX Lookup'!$A$2:$Y$6,2,FALSE),0)</f>
        <v>0</v>
      </c>
      <c r="Q132" s="177">
        <f>IF(AND($K132&lt;=Q$3,Q$3&lt;=$L132),$J132/$M132*HLOOKUP(Q$3,'FX Lookup'!$A$2:$Y$6,2,FALSE),0)</f>
        <v>0</v>
      </c>
      <c r="R132" s="177">
        <f>IF(AND($K132&lt;=R$3,R$3&lt;=$L132),$J132/$M132*HLOOKUP(R$3,'FX Lookup'!$A$2:$Y$6,2,FALSE),0)</f>
        <v>0</v>
      </c>
      <c r="S132" s="177">
        <f>IF(AND($K132&lt;=S$3,S$3&lt;=$L132),$J132/$M132*HLOOKUP(S$3,'FX Lookup'!$A$2:$Y$6,2,FALSE),0)</f>
        <v>0</v>
      </c>
      <c r="T132" s="177">
        <f>IF(AND($K132&lt;=T$3,T$3&lt;=$L132),$J132/$M132*HLOOKUP(T$3,'FX Lookup'!$A$2:$Y$6,2,FALSE),0)</f>
        <v>0</v>
      </c>
      <c r="U132" s="177">
        <f>IF(AND($K132&lt;=U$3,U$3&lt;=$L132),$J132/$M132*HLOOKUP(U$3,'FX Lookup'!$A$2:$Y$6,2,FALSE),0)</f>
        <v>0</v>
      </c>
      <c r="V132" s="177">
        <f>IF(AND($K132&lt;=V$3,V$3&lt;=$L132),$J132/$M132*HLOOKUP(V$3,'FX Lookup'!$A$2:$Y$6,2,FALSE),0)</f>
        <v>0</v>
      </c>
      <c r="W132" s="177">
        <f>IF(AND($K132&lt;=W$3,W$3&lt;=$L132),$J132/$M132*HLOOKUP(W$3,'FX Lookup'!$A$2:$Y$6,2,FALSE),0)</f>
        <v>0</v>
      </c>
      <c r="X132" s="177">
        <f>IF(AND($K132&lt;=X$3,X$3&lt;=$L132),$J132/$M132*HLOOKUP(X$3,'FX Lookup'!$A$2:$Y$6,2,FALSE),0)</f>
        <v>0</v>
      </c>
      <c r="Y132" s="177">
        <f>IF(AND($K132&lt;=Y$3,Y$3&lt;=$L132),$J132/$M132*HLOOKUP(Y$3,'FX Lookup'!$A$2:$Y$6,2,FALSE),0)</f>
        <v>0</v>
      </c>
      <c r="Z132" s="178">
        <f>SUM(N132:Y132)</f>
        <v>0</v>
      </c>
      <c r="AA132" s="173" t="s">
        <v>2409</v>
      </c>
      <c r="AB132" s="184"/>
      <c r="AC132" s="456">
        <v>46023</v>
      </c>
      <c r="AD132" s="456">
        <v>46387</v>
      </c>
      <c r="AE132" s="462">
        <f t="shared" ref="AE132:AE148" si="225">IF(AND(AC132="",AD132=""),"-",IF(AD132="",12,DATEDIF(AC132,AD132,"M")+1))</f>
        <v>12</v>
      </c>
      <c r="AF132" s="177">
        <f>IF(AND($AC132&lt;=AF$3,AF$3&lt;=$AD132),$AB132/$AE132*HLOOKUP(AF$3,'FX Lookup'!$A$2:$Y$6,2,FALSE),0)</f>
        <v>0</v>
      </c>
      <c r="AG132" s="177">
        <f>IF(AND($AC132&lt;=AG$3,AG$3&lt;=$AD132),$AB132/$AE132*HLOOKUP(AG$3,'FX Lookup'!$A$2:$Y$6,2,FALSE),0)</f>
        <v>0</v>
      </c>
      <c r="AH132" s="177">
        <f>IF(AND($AC132&lt;=AH$3,AH$3&lt;=$AD132),$AB132/$AE132*HLOOKUP(AH$3,'FX Lookup'!$A$2:$Y$6,2,FALSE),0)</f>
        <v>0</v>
      </c>
      <c r="AI132" s="177">
        <f>IF(AND($AC132&lt;=AI$3,AI$3&lt;=$AD132),$AB132/$AE132*HLOOKUP(AI$3,'FX Lookup'!$A$2:$Y$6,2,FALSE),0)</f>
        <v>0</v>
      </c>
      <c r="AJ132" s="177">
        <f>IF(AND($AC132&lt;=AJ$3,AJ$3&lt;=$AD132),$AB132/$AE132*HLOOKUP(AJ$3,'FX Lookup'!$A$2:$Y$6,2,FALSE),0)</f>
        <v>0</v>
      </c>
      <c r="AK132" s="177">
        <f>IF(AND($AC132&lt;=AK$3,AK$3&lt;=$AD132),$AB132/$AE132*HLOOKUP(AK$3,'FX Lookup'!$A$2:$Y$6,2,FALSE),0)</f>
        <v>0</v>
      </c>
      <c r="AL132" s="177">
        <f>IF(AND($AC132&lt;=AL$3,AL$3&lt;=$AD132),$AB132/$AE132*HLOOKUP(AL$3,'FX Lookup'!$A$2:$Y$6,2,FALSE),0)</f>
        <v>0</v>
      </c>
      <c r="AM132" s="177">
        <f>IF(AND($AC132&lt;=AM$3,AM$3&lt;=$AD132),$AB132/$AE132*HLOOKUP(AM$3,'FX Lookup'!$A$2:$Y$6,2,FALSE),0)</f>
        <v>0</v>
      </c>
      <c r="AN132" s="177">
        <f>IF(AND($AC132&lt;=AN$3,AN$3&lt;=$AD132),$AB132/$AE132*HLOOKUP(AN$3,'FX Lookup'!$A$2:$Y$6,2,FALSE),0)</f>
        <v>0</v>
      </c>
      <c r="AO132" s="177">
        <f>IF(AND($AC132&lt;=AO$3,AO$3&lt;=$AD132),$AB132/$AE132*HLOOKUP(AO$3,'FX Lookup'!$A$2:$Y$6,2,FALSE),0)</f>
        <v>0</v>
      </c>
      <c r="AP132" s="177">
        <f>IF(AND($AC132&lt;=AP$3,AP$3&lt;=$AD132),$AB132/$AE132*HLOOKUP(AP$3,'FX Lookup'!$A$2:$Y$6,2,FALSE),0)</f>
        <v>0</v>
      </c>
      <c r="AQ132" s="177">
        <f>IF(AND($AC132&lt;=AQ$3,AQ$3&lt;=$AD132),$AB132/$AE132*HLOOKUP(AQ$3,'FX Lookup'!$A$2:$Y$6,2,FALSE),0)</f>
        <v>0</v>
      </c>
      <c r="AR132" s="178">
        <f>SUM(AF132:AQ132)</f>
        <v>0</v>
      </c>
      <c r="AT132" s="177">
        <f t="shared" ref="AT132:AT148" si="226">AF132*(1+$AT$1)</f>
        <v>0</v>
      </c>
      <c r="AU132" s="177">
        <f t="shared" ref="AU132:AU148" si="227">AG132*(1+$AT$1)</f>
        <v>0</v>
      </c>
      <c r="AV132" s="177">
        <f t="shared" ref="AV132:AV148" si="228">AH132*(1+$AT$1)</f>
        <v>0</v>
      </c>
      <c r="AW132" s="177">
        <f t="shared" ref="AW132:AW148" si="229">AI132*(1+$AT$1)</f>
        <v>0</v>
      </c>
      <c r="AX132" s="177">
        <f t="shared" ref="AX132:AX148" si="230">AJ132*(1+$AT$1)</f>
        <v>0</v>
      </c>
      <c r="AY132" s="177">
        <f t="shared" ref="AY132:AY148" si="231">AK132*(1+$AT$1)</f>
        <v>0</v>
      </c>
      <c r="AZ132" s="177">
        <f t="shared" ref="AZ132:AZ148" si="232">AL132*(1+$AT$1)</f>
        <v>0</v>
      </c>
      <c r="BA132" s="177">
        <f t="shared" ref="BA132:BA148" si="233">AM132*(1+$AT$1)</f>
        <v>0</v>
      </c>
      <c r="BB132" s="177">
        <f t="shared" ref="BB132:BB148" si="234">AN132*(1+$AT$1)</f>
        <v>0</v>
      </c>
      <c r="BC132" s="177">
        <f t="shared" ref="BC132:BC148" si="235">AO132*(1+$AT$1)</f>
        <v>0</v>
      </c>
      <c r="BD132" s="177">
        <f t="shared" ref="BD132:BD148" si="236">AP132*(1+$AT$1)</f>
        <v>0</v>
      </c>
      <c r="BE132" s="177">
        <f t="shared" ref="BE132:BE148" si="237">AQ132*(1+$AT$1)</f>
        <v>0</v>
      </c>
      <c r="BF132" s="178">
        <f t="shared" ref="BF132:BF148" si="238">SUM(AT132:BE132)</f>
        <v>0</v>
      </c>
    </row>
    <row r="133" spans="1:58" ht="15" customHeight="1">
      <c r="A133" s="171">
        <f t="shared" ref="A133:A148" si="239">IF(A132&lt;=0,FALSE,A132+1)</f>
        <v>2</v>
      </c>
      <c r="B133" s="171" t="s">
        <v>2741</v>
      </c>
      <c r="C133" s="171"/>
      <c r="D133" s="171" t="s">
        <v>1514</v>
      </c>
      <c r="E133" s="172" t="str">
        <f t="shared" si="224"/>
        <v>Accounting / Payment Services</v>
      </c>
      <c r="F133" s="172"/>
      <c r="G133" s="77" t="s">
        <v>2613</v>
      </c>
      <c r="H133" s="173" t="s">
        <v>2614</v>
      </c>
      <c r="I133" s="173" t="s">
        <v>2409</v>
      </c>
      <c r="J133" s="184"/>
      <c r="K133" s="456">
        <v>45717</v>
      </c>
      <c r="L133" s="456">
        <v>45747</v>
      </c>
      <c r="M133" s="462">
        <f t="shared" ref="M133:M148" si="240">IF(AND(K133="",L133=""),"-",IF(L133="",12,DATEDIF(K133,L133,"M")+1))</f>
        <v>1</v>
      </c>
      <c r="N133" s="177">
        <f>IF(AND($K133&lt;=N$3,N$3&lt;=$L133),$J133/$M133*HLOOKUP(N$3,'FX Lookup'!$A$2:$Y$6,2,FALSE),0)</f>
        <v>0</v>
      </c>
      <c r="O133" s="177">
        <f>IF(AND($K133&lt;=O$3,O$3&lt;=$L133),$J133/$M133*HLOOKUP(O$3,'FX Lookup'!$A$2:$Y$6,2,FALSE),0)</f>
        <v>0</v>
      </c>
      <c r="P133" s="177">
        <f>IF(AND($K133&lt;=P$3,P$3&lt;=$L133),$J133/$M133*HLOOKUP(P$3,'FX Lookup'!$A$2:$Y$6,2,FALSE),0)</f>
        <v>0</v>
      </c>
      <c r="Q133" s="177">
        <f>IF(AND($K133&lt;=Q$3,Q$3&lt;=$L133),$J133/$M133*HLOOKUP(Q$3,'FX Lookup'!$A$2:$Y$6,2,FALSE),0)</f>
        <v>0</v>
      </c>
      <c r="R133" s="177">
        <f>IF(AND($K133&lt;=R$3,R$3&lt;=$L133),$J133/$M133*HLOOKUP(R$3,'FX Lookup'!$A$2:$Y$6,2,FALSE),0)</f>
        <v>0</v>
      </c>
      <c r="S133" s="177">
        <f>IF(AND($K133&lt;=S$3,S$3&lt;=$L133),$J133/$M133*HLOOKUP(S$3,'FX Lookup'!$A$2:$Y$6,2,FALSE),0)</f>
        <v>0</v>
      </c>
      <c r="T133" s="177">
        <f>IF(AND($K133&lt;=T$3,T$3&lt;=$L133),$J133/$M133*HLOOKUP(T$3,'FX Lookup'!$A$2:$Y$6,2,FALSE),0)</f>
        <v>0</v>
      </c>
      <c r="U133" s="177">
        <f>IF(AND($K133&lt;=U$3,U$3&lt;=$L133),$J133/$M133*HLOOKUP(U$3,'FX Lookup'!$A$2:$Y$6,2,FALSE),0)</f>
        <v>0</v>
      </c>
      <c r="V133" s="177">
        <f>IF(AND($K133&lt;=V$3,V$3&lt;=$L133),$J133/$M133*HLOOKUP(V$3,'FX Lookup'!$A$2:$Y$6,2,FALSE),0)</f>
        <v>0</v>
      </c>
      <c r="W133" s="177">
        <f>IF(AND($K133&lt;=W$3,W$3&lt;=$L133),$J133/$M133*HLOOKUP(W$3,'FX Lookup'!$A$2:$Y$6,2,FALSE),0)</f>
        <v>0</v>
      </c>
      <c r="X133" s="177">
        <f>IF(AND($K133&lt;=X$3,X$3&lt;=$L133),$J133/$M133*HLOOKUP(X$3,'FX Lookup'!$A$2:$Y$6,2,FALSE),0)</f>
        <v>0</v>
      </c>
      <c r="Y133" s="177">
        <f>IF(AND($K133&lt;=Y$3,Y$3&lt;=$L133),$J133/$M133*HLOOKUP(Y$3,'FX Lookup'!$A$2:$Y$6,2,FALSE),0)</f>
        <v>0</v>
      </c>
      <c r="Z133" s="178">
        <f t="shared" ref="Z133:Z148" si="241">SUM(N133:Y133)</f>
        <v>0</v>
      </c>
      <c r="AA133" s="173" t="s">
        <v>2409</v>
      </c>
      <c r="AB133" s="184"/>
      <c r="AC133" s="456">
        <v>46082</v>
      </c>
      <c r="AD133" s="456">
        <v>46112</v>
      </c>
      <c r="AE133" s="462">
        <f t="shared" si="225"/>
        <v>1</v>
      </c>
      <c r="AF133" s="177">
        <f>IF(AND($AC133&lt;=AF$3,AF$3&lt;=$AD133),$AB133/$AE133*HLOOKUP(AF$3,'FX Lookup'!$A$2:$Y$6,2,FALSE),0)</f>
        <v>0</v>
      </c>
      <c r="AG133" s="177">
        <f>IF(AND($AC133&lt;=AG$3,AG$3&lt;=$AD133),$AB133/$AE133*HLOOKUP(AG$3,'FX Lookup'!$A$2:$Y$6,2,FALSE),0)</f>
        <v>0</v>
      </c>
      <c r="AH133" s="177">
        <f>IF(AND($AC133&lt;=AH$3,AH$3&lt;=$AD133),$AB133/$AE133*HLOOKUP(AH$3,'FX Lookup'!$A$2:$Y$6,2,FALSE),0)</f>
        <v>0</v>
      </c>
      <c r="AI133" s="177">
        <f>IF(AND($AC133&lt;=AI$3,AI$3&lt;=$AD133),$AB133/$AE133*HLOOKUP(AI$3,'FX Lookup'!$A$2:$Y$6,2,FALSE),0)</f>
        <v>0</v>
      </c>
      <c r="AJ133" s="177">
        <f>IF(AND($AC133&lt;=AJ$3,AJ$3&lt;=$AD133),$AB133/$AE133*HLOOKUP(AJ$3,'FX Lookup'!$A$2:$Y$6,2,FALSE),0)</f>
        <v>0</v>
      </c>
      <c r="AK133" s="177">
        <f>IF(AND($AC133&lt;=AK$3,AK$3&lt;=$AD133),$AB133/$AE133*HLOOKUP(AK$3,'FX Lookup'!$A$2:$Y$6,2,FALSE),0)</f>
        <v>0</v>
      </c>
      <c r="AL133" s="177">
        <f>IF(AND($AC133&lt;=AL$3,AL$3&lt;=$AD133),$AB133/$AE133*HLOOKUP(AL$3,'FX Lookup'!$A$2:$Y$6,2,FALSE),0)</f>
        <v>0</v>
      </c>
      <c r="AM133" s="177">
        <f>IF(AND($AC133&lt;=AM$3,AM$3&lt;=$AD133),$AB133/$AE133*HLOOKUP(AM$3,'FX Lookup'!$A$2:$Y$6,2,FALSE),0)</f>
        <v>0</v>
      </c>
      <c r="AN133" s="177">
        <f>IF(AND($AC133&lt;=AN$3,AN$3&lt;=$AD133),$AB133/$AE133*HLOOKUP(AN$3,'FX Lookup'!$A$2:$Y$6,2,FALSE),0)</f>
        <v>0</v>
      </c>
      <c r="AO133" s="177">
        <f>IF(AND($AC133&lt;=AO$3,AO$3&lt;=$AD133),$AB133/$AE133*HLOOKUP(AO$3,'FX Lookup'!$A$2:$Y$6,2,FALSE),0)</f>
        <v>0</v>
      </c>
      <c r="AP133" s="177">
        <f>IF(AND($AC133&lt;=AP$3,AP$3&lt;=$AD133),$AB133/$AE133*HLOOKUP(AP$3,'FX Lookup'!$A$2:$Y$6,2,FALSE),0)</f>
        <v>0</v>
      </c>
      <c r="AQ133" s="177">
        <f>IF(AND($AC133&lt;=AQ$3,AQ$3&lt;=$AD133),$AB133/$AE133*HLOOKUP(AQ$3,'FX Lookup'!$A$2:$Y$6,2,FALSE),0)</f>
        <v>0</v>
      </c>
      <c r="AR133" s="178">
        <f t="shared" ref="AR133:AR148" si="242">SUM(AF133:AQ133)</f>
        <v>0</v>
      </c>
      <c r="AT133" s="177">
        <f t="shared" si="226"/>
        <v>0</v>
      </c>
      <c r="AU133" s="177">
        <f t="shared" si="227"/>
        <v>0</v>
      </c>
      <c r="AV133" s="177">
        <f t="shared" si="228"/>
        <v>0</v>
      </c>
      <c r="AW133" s="177">
        <f t="shared" si="229"/>
        <v>0</v>
      </c>
      <c r="AX133" s="177">
        <f t="shared" si="230"/>
        <v>0</v>
      </c>
      <c r="AY133" s="177">
        <f t="shared" si="231"/>
        <v>0</v>
      </c>
      <c r="AZ133" s="177">
        <f t="shared" si="232"/>
        <v>0</v>
      </c>
      <c r="BA133" s="177">
        <f t="shared" si="233"/>
        <v>0</v>
      </c>
      <c r="BB133" s="177">
        <f t="shared" si="234"/>
        <v>0</v>
      </c>
      <c r="BC133" s="177">
        <f t="shared" si="235"/>
        <v>0</v>
      </c>
      <c r="BD133" s="177">
        <f t="shared" si="236"/>
        <v>0</v>
      </c>
      <c r="BE133" s="177">
        <f t="shared" si="237"/>
        <v>0</v>
      </c>
      <c r="BF133" s="178">
        <f t="shared" si="238"/>
        <v>0</v>
      </c>
    </row>
    <row r="134" spans="1:58" ht="15" customHeight="1">
      <c r="A134" s="171">
        <f t="shared" si="239"/>
        <v>3</v>
      </c>
      <c r="B134" s="171" t="s">
        <v>2741</v>
      </c>
      <c r="C134" s="171"/>
      <c r="D134" s="171" t="s">
        <v>1530</v>
      </c>
      <c r="E134" s="172" t="str">
        <f t="shared" si="224"/>
        <v>Tax services</v>
      </c>
      <c r="F134" s="172"/>
      <c r="G134" s="77" t="s">
        <v>2613</v>
      </c>
      <c r="H134" s="173" t="s">
        <v>2614</v>
      </c>
      <c r="I134" s="173" t="s">
        <v>2409</v>
      </c>
      <c r="J134" s="184">
        <v>683</v>
      </c>
      <c r="K134" s="456">
        <v>45658</v>
      </c>
      <c r="L134" s="456">
        <v>45688</v>
      </c>
      <c r="M134" s="462">
        <f t="shared" si="240"/>
        <v>1</v>
      </c>
      <c r="N134" s="177">
        <f>IF(AND($K134&lt;=N$3,N$3&lt;=$L134),$J134/$M134*HLOOKUP(N$3,'FX Lookup'!$A$2:$Y$6,2,FALSE),0)</f>
        <v>4975.2247100000004</v>
      </c>
      <c r="O134" s="177">
        <f>IF(AND($K134&lt;=O$3,O$3&lt;=$L134),$J134/$M134*HLOOKUP(O$3,'FX Lookup'!$A$2:$Y$6,2,FALSE),0)</f>
        <v>0</v>
      </c>
      <c r="P134" s="177">
        <f>IF(AND($K134&lt;=P$3,P$3&lt;=$L134),$J134/$M134*HLOOKUP(P$3,'FX Lookup'!$A$2:$Y$6,2,FALSE),0)</f>
        <v>0</v>
      </c>
      <c r="Q134" s="177">
        <f>IF(AND($K134&lt;=Q$3,Q$3&lt;=$L134),$J134/$M134*HLOOKUP(Q$3,'FX Lookup'!$A$2:$Y$6,2,FALSE),0)</f>
        <v>0</v>
      </c>
      <c r="R134" s="177">
        <f>IF(AND($K134&lt;=R$3,R$3&lt;=$L134),$J134/$M134*HLOOKUP(R$3,'FX Lookup'!$A$2:$Y$6,2,FALSE),0)</f>
        <v>0</v>
      </c>
      <c r="S134" s="177">
        <f>IF(AND($K134&lt;=S$3,S$3&lt;=$L134),$J134/$M134*HLOOKUP(S$3,'FX Lookup'!$A$2:$Y$6,2,FALSE),0)</f>
        <v>0</v>
      </c>
      <c r="T134" s="177">
        <f>IF(AND($K134&lt;=T$3,T$3&lt;=$L134),$J134/$M134*HLOOKUP(T$3,'FX Lookup'!$A$2:$Y$6,2,FALSE),0)</f>
        <v>0</v>
      </c>
      <c r="U134" s="177">
        <f>IF(AND($K134&lt;=U$3,U$3&lt;=$L134),$J134/$M134*HLOOKUP(U$3,'FX Lookup'!$A$2:$Y$6,2,FALSE),0)</f>
        <v>0</v>
      </c>
      <c r="V134" s="177">
        <f>IF(AND($K134&lt;=V$3,V$3&lt;=$L134),$J134/$M134*HLOOKUP(V$3,'FX Lookup'!$A$2:$Y$6,2,FALSE),0)</f>
        <v>0</v>
      </c>
      <c r="W134" s="177">
        <f>IF(AND($K134&lt;=W$3,W$3&lt;=$L134),$J134/$M134*HLOOKUP(W$3,'FX Lookup'!$A$2:$Y$6,2,FALSE),0)</f>
        <v>0</v>
      </c>
      <c r="X134" s="177">
        <f>IF(AND($K134&lt;=X$3,X$3&lt;=$L134),$J134/$M134*HLOOKUP(X$3,'FX Lookup'!$A$2:$Y$6,2,FALSE),0)</f>
        <v>0</v>
      </c>
      <c r="Y134" s="177">
        <f>IF(AND($K134&lt;=Y$3,Y$3&lt;=$L134),$J134/$M134*HLOOKUP(Y$3,'FX Lookup'!$A$2:$Y$6,2,FALSE),0)</f>
        <v>0</v>
      </c>
      <c r="Z134" s="178">
        <f t="shared" si="241"/>
        <v>4975.2247100000004</v>
      </c>
      <c r="AA134" s="173" t="s">
        <v>2409</v>
      </c>
      <c r="AB134" s="184"/>
      <c r="AC134" s="456">
        <v>46023</v>
      </c>
      <c r="AD134" s="456">
        <v>46053</v>
      </c>
      <c r="AE134" s="462">
        <f t="shared" si="225"/>
        <v>1</v>
      </c>
      <c r="AF134" s="177">
        <f>IF(AND($AC134&lt;=AF$3,AF$3&lt;=$AD134),$AB134/$AE134*HLOOKUP(AF$3,'FX Lookup'!$A$2:$Y$6,2,FALSE),0)</f>
        <v>0</v>
      </c>
      <c r="AG134" s="177">
        <f>IF(AND($AC134&lt;=AG$3,AG$3&lt;=$AD134),$AB134/$AE134*HLOOKUP(AG$3,'FX Lookup'!$A$2:$Y$6,2,FALSE),0)</f>
        <v>0</v>
      </c>
      <c r="AH134" s="177">
        <f>IF(AND($AC134&lt;=AH$3,AH$3&lt;=$AD134),$AB134/$AE134*HLOOKUP(AH$3,'FX Lookup'!$A$2:$Y$6,2,FALSE),0)</f>
        <v>0</v>
      </c>
      <c r="AI134" s="177">
        <f>IF(AND($AC134&lt;=AI$3,AI$3&lt;=$AD134),$AB134/$AE134*HLOOKUP(AI$3,'FX Lookup'!$A$2:$Y$6,2,FALSE),0)</f>
        <v>0</v>
      </c>
      <c r="AJ134" s="177">
        <f>IF(AND($AC134&lt;=AJ$3,AJ$3&lt;=$AD134),$AB134/$AE134*HLOOKUP(AJ$3,'FX Lookup'!$A$2:$Y$6,2,FALSE),0)</f>
        <v>0</v>
      </c>
      <c r="AK134" s="177">
        <f>IF(AND($AC134&lt;=AK$3,AK$3&lt;=$AD134),$AB134/$AE134*HLOOKUP(AK$3,'FX Lookup'!$A$2:$Y$6,2,FALSE),0)</f>
        <v>0</v>
      </c>
      <c r="AL134" s="177">
        <f>IF(AND($AC134&lt;=AL$3,AL$3&lt;=$AD134),$AB134/$AE134*HLOOKUP(AL$3,'FX Lookup'!$A$2:$Y$6,2,FALSE),0)</f>
        <v>0</v>
      </c>
      <c r="AM134" s="177">
        <f>IF(AND($AC134&lt;=AM$3,AM$3&lt;=$AD134),$AB134/$AE134*HLOOKUP(AM$3,'FX Lookup'!$A$2:$Y$6,2,FALSE),0)</f>
        <v>0</v>
      </c>
      <c r="AN134" s="177">
        <f>IF(AND($AC134&lt;=AN$3,AN$3&lt;=$AD134),$AB134/$AE134*HLOOKUP(AN$3,'FX Lookup'!$A$2:$Y$6,2,FALSE),0)</f>
        <v>0</v>
      </c>
      <c r="AO134" s="177">
        <f>IF(AND($AC134&lt;=AO$3,AO$3&lt;=$AD134),$AB134/$AE134*HLOOKUP(AO$3,'FX Lookup'!$A$2:$Y$6,2,FALSE),0)</f>
        <v>0</v>
      </c>
      <c r="AP134" s="177">
        <f>IF(AND($AC134&lt;=AP$3,AP$3&lt;=$AD134),$AB134/$AE134*HLOOKUP(AP$3,'FX Lookup'!$A$2:$Y$6,2,FALSE),0)</f>
        <v>0</v>
      </c>
      <c r="AQ134" s="177">
        <f>IF(AND($AC134&lt;=AQ$3,AQ$3&lt;=$AD134),$AB134/$AE134*HLOOKUP(AQ$3,'FX Lookup'!$A$2:$Y$6,2,FALSE),0)</f>
        <v>0</v>
      </c>
      <c r="AR134" s="178">
        <f t="shared" si="242"/>
        <v>0</v>
      </c>
      <c r="AT134" s="177">
        <f t="shared" si="226"/>
        <v>0</v>
      </c>
      <c r="AU134" s="177">
        <f t="shared" si="227"/>
        <v>0</v>
      </c>
      <c r="AV134" s="177">
        <f t="shared" si="228"/>
        <v>0</v>
      </c>
      <c r="AW134" s="177">
        <f t="shared" si="229"/>
        <v>0</v>
      </c>
      <c r="AX134" s="177">
        <f t="shared" si="230"/>
        <v>0</v>
      </c>
      <c r="AY134" s="177">
        <f t="shared" si="231"/>
        <v>0</v>
      </c>
      <c r="AZ134" s="177">
        <f t="shared" si="232"/>
        <v>0</v>
      </c>
      <c r="BA134" s="177">
        <f t="shared" si="233"/>
        <v>0</v>
      </c>
      <c r="BB134" s="177">
        <f t="shared" si="234"/>
        <v>0</v>
      </c>
      <c r="BC134" s="177">
        <f t="shared" si="235"/>
        <v>0</v>
      </c>
      <c r="BD134" s="177">
        <f t="shared" si="236"/>
        <v>0</v>
      </c>
      <c r="BE134" s="177">
        <f t="shared" si="237"/>
        <v>0</v>
      </c>
      <c r="BF134" s="178">
        <f t="shared" si="238"/>
        <v>0</v>
      </c>
    </row>
    <row r="135" spans="1:58" ht="15" customHeight="1">
      <c r="A135" s="171">
        <f t="shared" si="239"/>
        <v>4</v>
      </c>
      <c r="B135" s="171" t="s">
        <v>2741</v>
      </c>
      <c r="C135" s="171"/>
      <c r="D135" s="171" t="s">
        <v>1544</v>
      </c>
      <c r="E135" s="172" t="str">
        <f t="shared" si="224"/>
        <v>Payroll Services</v>
      </c>
      <c r="F135" s="172"/>
      <c r="G135" s="77" t="s">
        <v>2613</v>
      </c>
      <c r="H135" s="173" t="s">
        <v>2614</v>
      </c>
      <c r="I135" s="173" t="s">
        <v>2409</v>
      </c>
      <c r="J135" s="184"/>
      <c r="K135" s="456">
        <v>45658</v>
      </c>
      <c r="L135" s="456">
        <v>46022</v>
      </c>
      <c r="M135" s="462">
        <f t="shared" si="240"/>
        <v>12</v>
      </c>
      <c r="N135" s="177">
        <f>IF(AND($K135&lt;=N$3,N$3&lt;=$L135),$J135/$M135*HLOOKUP(N$3,'FX Lookup'!$A$2:$Y$6,2,FALSE),0)</f>
        <v>0</v>
      </c>
      <c r="O135" s="177">
        <f>IF(AND($K135&lt;=O$3,O$3&lt;=$L135),$J135/$M135*HLOOKUP(O$3,'FX Lookup'!$A$2:$Y$6,2,FALSE),0)</f>
        <v>0</v>
      </c>
      <c r="P135" s="177">
        <f>IF(AND($K135&lt;=P$3,P$3&lt;=$L135),$J135/$M135*HLOOKUP(P$3,'FX Lookup'!$A$2:$Y$6,2,FALSE),0)</f>
        <v>0</v>
      </c>
      <c r="Q135" s="177">
        <f>IF(AND($K135&lt;=Q$3,Q$3&lt;=$L135),$J135/$M135*HLOOKUP(Q$3,'FX Lookup'!$A$2:$Y$6,2,FALSE),0)</f>
        <v>0</v>
      </c>
      <c r="R135" s="177">
        <f>IF(AND($K135&lt;=R$3,R$3&lt;=$L135),$J135/$M135*HLOOKUP(R$3,'FX Lookup'!$A$2:$Y$6,2,FALSE),0)</f>
        <v>0</v>
      </c>
      <c r="S135" s="177">
        <f>IF(AND($K135&lt;=S$3,S$3&lt;=$L135),$J135/$M135*HLOOKUP(S$3,'FX Lookup'!$A$2:$Y$6,2,FALSE),0)</f>
        <v>0</v>
      </c>
      <c r="T135" s="177">
        <f>IF(AND($K135&lt;=T$3,T$3&lt;=$L135),$J135/$M135*HLOOKUP(T$3,'FX Lookup'!$A$2:$Y$6,2,FALSE),0)</f>
        <v>0</v>
      </c>
      <c r="U135" s="177">
        <f>IF(AND($K135&lt;=U$3,U$3&lt;=$L135),$J135/$M135*HLOOKUP(U$3,'FX Lookup'!$A$2:$Y$6,2,FALSE),0)</f>
        <v>0</v>
      </c>
      <c r="V135" s="177">
        <f>IF(AND($K135&lt;=V$3,V$3&lt;=$L135),$J135/$M135*HLOOKUP(V$3,'FX Lookup'!$A$2:$Y$6,2,FALSE),0)</f>
        <v>0</v>
      </c>
      <c r="W135" s="177">
        <f>IF(AND($K135&lt;=W$3,W$3&lt;=$L135),$J135/$M135*HLOOKUP(W$3,'FX Lookup'!$A$2:$Y$6,2,FALSE),0)</f>
        <v>0</v>
      </c>
      <c r="X135" s="177">
        <f>IF(AND($K135&lt;=X$3,X$3&lt;=$L135),$J135/$M135*HLOOKUP(X$3,'FX Lookup'!$A$2:$Y$6,2,FALSE),0)</f>
        <v>0</v>
      </c>
      <c r="Y135" s="177">
        <f>IF(AND($K135&lt;=Y$3,Y$3&lt;=$L135),$J135/$M135*HLOOKUP(Y$3,'FX Lookup'!$A$2:$Y$6,2,FALSE),0)</f>
        <v>0</v>
      </c>
      <c r="Z135" s="178">
        <f t="shared" si="241"/>
        <v>0</v>
      </c>
      <c r="AA135" s="173" t="s">
        <v>2409</v>
      </c>
      <c r="AB135" s="184"/>
      <c r="AC135" s="456">
        <v>46023</v>
      </c>
      <c r="AD135" s="456">
        <v>46387</v>
      </c>
      <c r="AE135" s="462">
        <f t="shared" si="225"/>
        <v>12</v>
      </c>
      <c r="AF135" s="177">
        <f>IF(AND($AC135&lt;=AF$3,AF$3&lt;=$AD135),$AB135/$AE135*HLOOKUP(AF$3,'FX Lookup'!$A$2:$Y$6,2,FALSE),0)</f>
        <v>0</v>
      </c>
      <c r="AG135" s="177">
        <f>IF(AND($AC135&lt;=AG$3,AG$3&lt;=$AD135),$AB135/$AE135*HLOOKUP(AG$3,'FX Lookup'!$A$2:$Y$6,2,FALSE),0)</f>
        <v>0</v>
      </c>
      <c r="AH135" s="177">
        <f>IF(AND($AC135&lt;=AH$3,AH$3&lt;=$AD135),$AB135/$AE135*HLOOKUP(AH$3,'FX Lookup'!$A$2:$Y$6,2,FALSE),0)</f>
        <v>0</v>
      </c>
      <c r="AI135" s="177">
        <f>IF(AND($AC135&lt;=AI$3,AI$3&lt;=$AD135),$AB135/$AE135*HLOOKUP(AI$3,'FX Lookup'!$A$2:$Y$6,2,FALSE),0)</f>
        <v>0</v>
      </c>
      <c r="AJ135" s="177">
        <f>IF(AND($AC135&lt;=AJ$3,AJ$3&lt;=$AD135),$AB135/$AE135*HLOOKUP(AJ$3,'FX Lookup'!$A$2:$Y$6,2,FALSE),0)</f>
        <v>0</v>
      </c>
      <c r="AK135" s="177">
        <f>IF(AND($AC135&lt;=AK$3,AK$3&lt;=$AD135),$AB135/$AE135*HLOOKUP(AK$3,'FX Lookup'!$A$2:$Y$6,2,FALSE),0)</f>
        <v>0</v>
      </c>
      <c r="AL135" s="177">
        <f>IF(AND($AC135&lt;=AL$3,AL$3&lt;=$AD135),$AB135/$AE135*HLOOKUP(AL$3,'FX Lookup'!$A$2:$Y$6,2,FALSE),0)</f>
        <v>0</v>
      </c>
      <c r="AM135" s="177">
        <f>IF(AND($AC135&lt;=AM$3,AM$3&lt;=$AD135),$AB135/$AE135*HLOOKUP(AM$3,'FX Lookup'!$A$2:$Y$6,2,FALSE),0)</f>
        <v>0</v>
      </c>
      <c r="AN135" s="177">
        <f>IF(AND($AC135&lt;=AN$3,AN$3&lt;=$AD135),$AB135/$AE135*HLOOKUP(AN$3,'FX Lookup'!$A$2:$Y$6,2,FALSE),0)</f>
        <v>0</v>
      </c>
      <c r="AO135" s="177">
        <f>IF(AND($AC135&lt;=AO$3,AO$3&lt;=$AD135),$AB135/$AE135*HLOOKUP(AO$3,'FX Lookup'!$A$2:$Y$6,2,FALSE),0)</f>
        <v>0</v>
      </c>
      <c r="AP135" s="177">
        <f>IF(AND($AC135&lt;=AP$3,AP$3&lt;=$AD135),$AB135/$AE135*HLOOKUP(AP$3,'FX Lookup'!$A$2:$Y$6,2,FALSE),0)</f>
        <v>0</v>
      </c>
      <c r="AQ135" s="177">
        <f>IF(AND($AC135&lt;=AQ$3,AQ$3&lt;=$AD135),$AB135/$AE135*HLOOKUP(AQ$3,'FX Lookup'!$A$2:$Y$6,2,FALSE),0)</f>
        <v>0</v>
      </c>
      <c r="AR135" s="178">
        <f t="shared" si="242"/>
        <v>0</v>
      </c>
      <c r="AT135" s="177">
        <f t="shared" si="226"/>
        <v>0</v>
      </c>
      <c r="AU135" s="177">
        <f t="shared" si="227"/>
        <v>0</v>
      </c>
      <c r="AV135" s="177">
        <f t="shared" si="228"/>
        <v>0</v>
      </c>
      <c r="AW135" s="177">
        <f t="shared" si="229"/>
        <v>0</v>
      </c>
      <c r="AX135" s="177">
        <f t="shared" si="230"/>
        <v>0</v>
      </c>
      <c r="AY135" s="177">
        <f t="shared" si="231"/>
        <v>0</v>
      </c>
      <c r="AZ135" s="177">
        <f t="shared" si="232"/>
        <v>0</v>
      </c>
      <c r="BA135" s="177">
        <f t="shared" si="233"/>
        <v>0</v>
      </c>
      <c r="BB135" s="177">
        <f t="shared" si="234"/>
        <v>0</v>
      </c>
      <c r="BC135" s="177">
        <f t="shared" si="235"/>
        <v>0</v>
      </c>
      <c r="BD135" s="177">
        <f t="shared" si="236"/>
        <v>0</v>
      </c>
      <c r="BE135" s="177">
        <f t="shared" si="237"/>
        <v>0</v>
      </c>
      <c r="BF135" s="178">
        <f t="shared" si="238"/>
        <v>0</v>
      </c>
    </row>
    <row r="136" spans="1:58" ht="15" customHeight="1">
      <c r="A136" s="171">
        <f t="shared" si="239"/>
        <v>5</v>
      </c>
      <c r="B136" s="171" t="s">
        <v>2741</v>
      </c>
      <c r="C136" s="171" t="s">
        <v>2407</v>
      </c>
      <c r="D136" s="171" t="s">
        <v>1871</v>
      </c>
      <c r="E136" s="172" t="str">
        <f t="shared" si="224"/>
        <v>Corporate Secretarial Fees</v>
      </c>
      <c r="F136" s="172"/>
      <c r="G136" s="77" t="s">
        <v>2613</v>
      </c>
      <c r="H136" s="173" t="s">
        <v>2614</v>
      </c>
      <c r="I136" s="173" t="s">
        <v>2409</v>
      </c>
      <c r="J136" s="184">
        <v>3800</v>
      </c>
      <c r="K136" s="456">
        <v>45658</v>
      </c>
      <c r="L136" s="456">
        <v>45688</v>
      </c>
      <c r="M136" s="462">
        <f t="shared" si="240"/>
        <v>1</v>
      </c>
      <c r="N136" s="177">
        <f>IF(AND($K136&lt;=N$3,N$3&lt;=$L136),$J136/$M136*HLOOKUP(N$3,'FX Lookup'!$A$2:$Y$6,2,FALSE),0)</f>
        <v>27680.606</v>
      </c>
      <c r="O136" s="177">
        <f>IF(AND($K136&lt;=O$3,O$3&lt;=$L136),$J136/$M136*HLOOKUP(O$3,'FX Lookup'!$A$2:$Y$6,2,FALSE),0)</f>
        <v>0</v>
      </c>
      <c r="P136" s="177">
        <f>IF(AND($K136&lt;=P$3,P$3&lt;=$L136),$J136/$M136*HLOOKUP(P$3,'FX Lookup'!$A$2:$Y$6,2,FALSE),0)</f>
        <v>0</v>
      </c>
      <c r="Q136" s="177">
        <f>IF(AND($K136&lt;=Q$3,Q$3&lt;=$L136),$J136/$M136*HLOOKUP(Q$3,'FX Lookup'!$A$2:$Y$6,2,FALSE),0)</f>
        <v>0</v>
      </c>
      <c r="R136" s="177">
        <f>IF(AND($K136&lt;=R$3,R$3&lt;=$L136),$J136/$M136*HLOOKUP(R$3,'FX Lookup'!$A$2:$Y$6,2,FALSE),0)</f>
        <v>0</v>
      </c>
      <c r="S136" s="177">
        <f>IF(AND($K136&lt;=S$3,S$3&lt;=$L136),$J136/$M136*HLOOKUP(S$3,'FX Lookup'!$A$2:$Y$6,2,FALSE),0)</f>
        <v>0</v>
      </c>
      <c r="T136" s="177">
        <f>IF(AND($K136&lt;=T$3,T$3&lt;=$L136),$J136/$M136*HLOOKUP(T$3,'FX Lookup'!$A$2:$Y$6,2,FALSE),0)</f>
        <v>0</v>
      </c>
      <c r="U136" s="177">
        <f>IF(AND($K136&lt;=U$3,U$3&lt;=$L136),$J136/$M136*HLOOKUP(U$3,'FX Lookup'!$A$2:$Y$6,2,FALSE),0)</f>
        <v>0</v>
      </c>
      <c r="V136" s="177">
        <f>IF(AND($K136&lt;=V$3,V$3&lt;=$L136),$J136/$M136*HLOOKUP(V$3,'FX Lookup'!$A$2:$Y$6,2,FALSE),0)</f>
        <v>0</v>
      </c>
      <c r="W136" s="177">
        <f>IF(AND($K136&lt;=W$3,W$3&lt;=$L136),$J136/$M136*HLOOKUP(W$3,'FX Lookup'!$A$2:$Y$6,2,FALSE),0)</f>
        <v>0</v>
      </c>
      <c r="X136" s="177">
        <f>IF(AND($K136&lt;=X$3,X$3&lt;=$L136),$J136/$M136*HLOOKUP(X$3,'FX Lookup'!$A$2:$Y$6,2,FALSE),0)</f>
        <v>0</v>
      </c>
      <c r="Y136" s="177">
        <f>IF(AND($K136&lt;=Y$3,Y$3&lt;=$L136),$J136/$M136*HLOOKUP(Y$3,'FX Lookup'!$A$2:$Y$6,2,FALSE),0)</f>
        <v>0</v>
      </c>
      <c r="Z136" s="178">
        <f t="shared" si="241"/>
        <v>27680.606</v>
      </c>
      <c r="AA136" s="173" t="s">
        <v>2409</v>
      </c>
      <c r="AB136" s="184">
        <v>13000</v>
      </c>
      <c r="AC136" s="456">
        <v>46023</v>
      </c>
      <c r="AD136" s="456">
        <v>46053</v>
      </c>
      <c r="AE136" s="462">
        <f t="shared" si="225"/>
        <v>1</v>
      </c>
      <c r="AF136" s="177">
        <f>IF(AND($AC136&lt;=AF$3,AF$3&lt;=$AD136),$AB136/$AE136*HLOOKUP(AF$3,'FX Lookup'!$A$2:$Y$6,2,FALSE),0)</f>
        <v>90350.39</v>
      </c>
      <c r="AG136" s="177">
        <f>IF(AND($AC136&lt;=AG$3,AG$3&lt;=$AD136),$AB136/$AE136*HLOOKUP(AG$3,'FX Lookup'!$A$2:$Y$6,2,FALSE),0)</f>
        <v>0</v>
      </c>
      <c r="AH136" s="177">
        <f>IF(AND($AC136&lt;=AH$3,AH$3&lt;=$AD136),$AB136/$AE136*HLOOKUP(AH$3,'FX Lookup'!$A$2:$Y$6,2,FALSE),0)</f>
        <v>0</v>
      </c>
      <c r="AI136" s="177">
        <f>IF(AND($AC136&lt;=AI$3,AI$3&lt;=$AD136),$AB136/$AE136*HLOOKUP(AI$3,'FX Lookup'!$A$2:$Y$6,2,FALSE),0)</f>
        <v>0</v>
      </c>
      <c r="AJ136" s="177">
        <f>IF(AND($AC136&lt;=AJ$3,AJ$3&lt;=$AD136),$AB136/$AE136*HLOOKUP(AJ$3,'FX Lookup'!$A$2:$Y$6,2,FALSE),0)</f>
        <v>0</v>
      </c>
      <c r="AK136" s="177">
        <f>IF(AND($AC136&lt;=AK$3,AK$3&lt;=$AD136),$AB136/$AE136*HLOOKUP(AK$3,'FX Lookup'!$A$2:$Y$6,2,FALSE),0)</f>
        <v>0</v>
      </c>
      <c r="AL136" s="177">
        <f>IF(AND($AC136&lt;=AL$3,AL$3&lt;=$AD136),$AB136/$AE136*HLOOKUP(AL$3,'FX Lookup'!$A$2:$Y$6,2,FALSE),0)</f>
        <v>0</v>
      </c>
      <c r="AM136" s="177">
        <f>IF(AND($AC136&lt;=AM$3,AM$3&lt;=$AD136),$AB136/$AE136*HLOOKUP(AM$3,'FX Lookup'!$A$2:$Y$6,2,FALSE),0)</f>
        <v>0</v>
      </c>
      <c r="AN136" s="177">
        <f>IF(AND($AC136&lt;=AN$3,AN$3&lt;=$AD136),$AB136/$AE136*HLOOKUP(AN$3,'FX Lookup'!$A$2:$Y$6,2,FALSE),0)</f>
        <v>0</v>
      </c>
      <c r="AO136" s="177">
        <f>IF(AND($AC136&lt;=AO$3,AO$3&lt;=$AD136),$AB136/$AE136*HLOOKUP(AO$3,'FX Lookup'!$A$2:$Y$6,2,FALSE),0)</f>
        <v>0</v>
      </c>
      <c r="AP136" s="177">
        <f>IF(AND($AC136&lt;=AP$3,AP$3&lt;=$AD136),$AB136/$AE136*HLOOKUP(AP$3,'FX Lookup'!$A$2:$Y$6,2,FALSE),0)</f>
        <v>0</v>
      </c>
      <c r="AQ136" s="177">
        <f>IF(AND($AC136&lt;=AQ$3,AQ$3&lt;=$AD136),$AB136/$AE136*HLOOKUP(AQ$3,'FX Lookup'!$A$2:$Y$6,2,FALSE),0)</f>
        <v>0</v>
      </c>
      <c r="AR136" s="178">
        <f t="shared" si="242"/>
        <v>90350.39</v>
      </c>
      <c r="AT136" s="177">
        <f t="shared" si="226"/>
        <v>94867.909500000009</v>
      </c>
      <c r="AU136" s="177">
        <f t="shared" si="227"/>
        <v>0</v>
      </c>
      <c r="AV136" s="177">
        <f t="shared" si="228"/>
        <v>0</v>
      </c>
      <c r="AW136" s="177">
        <f t="shared" si="229"/>
        <v>0</v>
      </c>
      <c r="AX136" s="177">
        <f t="shared" si="230"/>
        <v>0</v>
      </c>
      <c r="AY136" s="177">
        <f t="shared" si="231"/>
        <v>0</v>
      </c>
      <c r="AZ136" s="177">
        <f t="shared" si="232"/>
        <v>0</v>
      </c>
      <c r="BA136" s="177">
        <f t="shared" si="233"/>
        <v>0</v>
      </c>
      <c r="BB136" s="177">
        <f t="shared" si="234"/>
        <v>0</v>
      </c>
      <c r="BC136" s="177">
        <f t="shared" si="235"/>
        <v>0</v>
      </c>
      <c r="BD136" s="177">
        <f t="shared" si="236"/>
        <v>0</v>
      </c>
      <c r="BE136" s="177">
        <f t="shared" si="237"/>
        <v>0</v>
      </c>
      <c r="BF136" s="178">
        <f t="shared" si="238"/>
        <v>94867.909500000009</v>
      </c>
    </row>
    <row r="137" spans="1:58" ht="15" customHeight="1">
      <c r="A137" s="171">
        <f t="shared" si="239"/>
        <v>6</v>
      </c>
      <c r="B137" s="171" t="s">
        <v>2741</v>
      </c>
      <c r="C137" s="171"/>
      <c r="D137" s="171" t="s">
        <v>1519</v>
      </c>
      <c r="E137" s="172" t="str">
        <f t="shared" si="224"/>
        <v>Audit Fee</v>
      </c>
      <c r="F137" s="172"/>
      <c r="G137" s="77" t="s">
        <v>2613</v>
      </c>
      <c r="H137" s="173" t="s">
        <v>2614</v>
      </c>
      <c r="I137" s="173" t="s">
        <v>2409</v>
      </c>
      <c r="J137" s="184"/>
      <c r="K137" s="456">
        <v>45809</v>
      </c>
      <c r="L137" s="456">
        <v>45838</v>
      </c>
      <c r="M137" s="462">
        <f t="shared" si="240"/>
        <v>1</v>
      </c>
      <c r="N137" s="177">
        <f>IF(AND($K137&lt;=N$3,N$3&lt;=$L137),$J137/$M137*HLOOKUP(N$3,'FX Lookup'!$A$2:$Y$6,2,FALSE),0)</f>
        <v>0</v>
      </c>
      <c r="O137" s="177">
        <f>IF(AND($K137&lt;=O$3,O$3&lt;=$L137),$J137/$M137*HLOOKUP(O$3,'FX Lookup'!$A$2:$Y$6,2,FALSE),0)</f>
        <v>0</v>
      </c>
      <c r="P137" s="177">
        <f>IF(AND($K137&lt;=P$3,P$3&lt;=$L137),$J137/$M137*HLOOKUP(P$3,'FX Lookup'!$A$2:$Y$6,2,FALSE),0)</f>
        <v>0</v>
      </c>
      <c r="Q137" s="177">
        <f>IF(AND($K137&lt;=Q$3,Q$3&lt;=$L137),$J137/$M137*HLOOKUP(Q$3,'FX Lookup'!$A$2:$Y$6,2,FALSE),0)</f>
        <v>0</v>
      </c>
      <c r="R137" s="177">
        <f>IF(AND($K137&lt;=R$3,R$3&lt;=$L137),$J137/$M137*HLOOKUP(R$3,'FX Lookup'!$A$2:$Y$6,2,FALSE),0)</f>
        <v>0</v>
      </c>
      <c r="S137" s="177">
        <f>IF(AND($K137&lt;=S$3,S$3&lt;=$L137),$J137/$M137*HLOOKUP(S$3,'FX Lookup'!$A$2:$Y$6,2,FALSE),0)</f>
        <v>0</v>
      </c>
      <c r="T137" s="177">
        <f>IF(AND($K137&lt;=T$3,T$3&lt;=$L137),$J137/$M137*HLOOKUP(T$3,'FX Lookup'!$A$2:$Y$6,2,FALSE),0)</f>
        <v>0</v>
      </c>
      <c r="U137" s="177">
        <f>IF(AND($K137&lt;=U$3,U$3&lt;=$L137),$J137/$M137*HLOOKUP(U$3,'FX Lookup'!$A$2:$Y$6,2,FALSE),0)</f>
        <v>0</v>
      </c>
      <c r="V137" s="177">
        <f>IF(AND($K137&lt;=V$3,V$3&lt;=$L137),$J137/$M137*HLOOKUP(V$3,'FX Lookup'!$A$2:$Y$6,2,FALSE),0)</f>
        <v>0</v>
      </c>
      <c r="W137" s="177">
        <f>IF(AND($K137&lt;=W$3,W$3&lt;=$L137),$J137/$M137*HLOOKUP(W$3,'FX Lookup'!$A$2:$Y$6,2,FALSE),0)</f>
        <v>0</v>
      </c>
      <c r="X137" s="177">
        <f>IF(AND($K137&lt;=X$3,X$3&lt;=$L137),$J137/$M137*HLOOKUP(X$3,'FX Lookup'!$A$2:$Y$6,2,FALSE),0)</f>
        <v>0</v>
      </c>
      <c r="Y137" s="177">
        <f>IF(AND($K137&lt;=Y$3,Y$3&lt;=$L137),$J137/$M137*HLOOKUP(Y$3,'FX Lookup'!$A$2:$Y$6,2,FALSE),0)</f>
        <v>0</v>
      </c>
      <c r="Z137" s="178">
        <f t="shared" si="241"/>
        <v>0</v>
      </c>
      <c r="AA137" s="173" t="s">
        <v>2409</v>
      </c>
      <c r="AB137" s="184"/>
      <c r="AC137" s="456">
        <v>46174</v>
      </c>
      <c r="AD137" s="456">
        <v>46203</v>
      </c>
      <c r="AE137" s="462">
        <f t="shared" si="225"/>
        <v>1</v>
      </c>
      <c r="AF137" s="177">
        <f>IF(AND($AC137&lt;=AF$3,AF$3&lt;=$AD137),$AB137/$AE137*HLOOKUP(AF$3,'FX Lookup'!$A$2:$Y$6,2,FALSE),0)</f>
        <v>0</v>
      </c>
      <c r="AG137" s="177">
        <f>IF(AND($AC137&lt;=AG$3,AG$3&lt;=$AD137),$AB137/$AE137*HLOOKUP(AG$3,'FX Lookup'!$A$2:$Y$6,2,FALSE),0)</f>
        <v>0</v>
      </c>
      <c r="AH137" s="177">
        <f>IF(AND($AC137&lt;=AH$3,AH$3&lt;=$AD137),$AB137/$AE137*HLOOKUP(AH$3,'FX Lookup'!$A$2:$Y$6,2,FALSE),0)</f>
        <v>0</v>
      </c>
      <c r="AI137" s="177">
        <f>IF(AND($AC137&lt;=AI$3,AI$3&lt;=$AD137),$AB137/$AE137*HLOOKUP(AI$3,'FX Lookup'!$A$2:$Y$6,2,FALSE),0)</f>
        <v>0</v>
      </c>
      <c r="AJ137" s="177">
        <f>IF(AND($AC137&lt;=AJ$3,AJ$3&lt;=$AD137),$AB137/$AE137*HLOOKUP(AJ$3,'FX Lookup'!$A$2:$Y$6,2,FALSE),0)</f>
        <v>0</v>
      </c>
      <c r="AK137" s="177">
        <f>IF(AND($AC137&lt;=AK$3,AK$3&lt;=$AD137),$AB137/$AE137*HLOOKUP(AK$3,'FX Lookup'!$A$2:$Y$6,2,FALSE),0)</f>
        <v>0</v>
      </c>
      <c r="AL137" s="177">
        <f>IF(AND($AC137&lt;=AL$3,AL$3&lt;=$AD137),$AB137/$AE137*HLOOKUP(AL$3,'FX Lookup'!$A$2:$Y$6,2,FALSE),0)</f>
        <v>0</v>
      </c>
      <c r="AM137" s="177">
        <f>IF(AND($AC137&lt;=AM$3,AM$3&lt;=$AD137),$AB137/$AE137*HLOOKUP(AM$3,'FX Lookup'!$A$2:$Y$6,2,FALSE),0)</f>
        <v>0</v>
      </c>
      <c r="AN137" s="177">
        <f>IF(AND($AC137&lt;=AN$3,AN$3&lt;=$AD137),$AB137/$AE137*HLOOKUP(AN$3,'FX Lookup'!$A$2:$Y$6,2,FALSE),0)</f>
        <v>0</v>
      </c>
      <c r="AO137" s="177">
        <f>IF(AND($AC137&lt;=AO$3,AO$3&lt;=$AD137),$AB137/$AE137*HLOOKUP(AO$3,'FX Lookup'!$A$2:$Y$6,2,FALSE),0)</f>
        <v>0</v>
      </c>
      <c r="AP137" s="177">
        <f>IF(AND($AC137&lt;=AP$3,AP$3&lt;=$AD137),$AB137/$AE137*HLOOKUP(AP$3,'FX Lookup'!$A$2:$Y$6,2,FALSE),0)</f>
        <v>0</v>
      </c>
      <c r="AQ137" s="177">
        <f>IF(AND($AC137&lt;=AQ$3,AQ$3&lt;=$AD137),$AB137/$AE137*HLOOKUP(AQ$3,'FX Lookup'!$A$2:$Y$6,2,FALSE),0)</f>
        <v>0</v>
      </c>
      <c r="AR137" s="178">
        <f t="shared" si="242"/>
        <v>0</v>
      </c>
      <c r="AT137" s="177">
        <f t="shared" si="226"/>
        <v>0</v>
      </c>
      <c r="AU137" s="177">
        <f t="shared" si="227"/>
        <v>0</v>
      </c>
      <c r="AV137" s="177">
        <f t="shared" si="228"/>
        <v>0</v>
      </c>
      <c r="AW137" s="177">
        <f t="shared" si="229"/>
        <v>0</v>
      </c>
      <c r="AX137" s="177">
        <f t="shared" si="230"/>
        <v>0</v>
      </c>
      <c r="AY137" s="177">
        <f t="shared" si="231"/>
        <v>0</v>
      </c>
      <c r="AZ137" s="177">
        <f t="shared" si="232"/>
        <v>0</v>
      </c>
      <c r="BA137" s="177">
        <f t="shared" si="233"/>
        <v>0</v>
      </c>
      <c r="BB137" s="177">
        <f t="shared" si="234"/>
        <v>0</v>
      </c>
      <c r="BC137" s="177">
        <f t="shared" si="235"/>
        <v>0</v>
      </c>
      <c r="BD137" s="177">
        <f t="shared" si="236"/>
        <v>0</v>
      </c>
      <c r="BE137" s="177">
        <f t="shared" si="237"/>
        <v>0</v>
      </c>
      <c r="BF137" s="178">
        <f t="shared" si="238"/>
        <v>0</v>
      </c>
    </row>
    <row r="138" spans="1:58" ht="15" customHeight="1">
      <c r="A138" s="171">
        <f t="shared" si="239"/>
        <v>7</v>
      </c>
      <c r="B138" s="171" t="s">
        <v>2741</v>
      </c>
      <c r="C138" s="171"/>
      <c r="D138" s="171" t="s">
        <v>1564</v>
      </c>
      <c r="E138" s="172" t="str">
        <f t="shared" si="224"/>
        <v>Compliance Support</v>
      </c>
      <c r="F138" s="172"/>
      <c r="G138" s="77" t="s">
        <v>2613</v>
      </c>
      <c r="H138" s="173" t="s">
        <v>2614</v>
      </c>
      <c r="I138" s="173" t="s">
        <v>2409</v>
      </c>
      <c r="J138" s="184"/>
      <c r="K138" s="456">
        <v>45658</v>
      </c>
      <c r="L138" s="456">
        <v>46022</v>
      </c>
      <c r="M138" s="462">
        <f t="shared" si="240"/>
        <v>12</v>
      </c>
      <c r="N138" s="177">
        <f>IF(AND($K138&lt;=N$3,N$3&lt;=$L138),$J138/$M138*HLOOKUP(N$3,'FX Lookup'!$A$2:$Y$6,2,FALSE),0)</f>
        <v>0</v>
      </c>
      <c r="O138" s="177">
        <f>IF(AND($K138&lt;=O$3,O$3&lt;=$L138),$J138/$M138*HLOOKUP(O$3,'FX Lookup'!$A$2:$Y$6,2,FALSE),0)</f>
        <v>0</v>
      </c>
      <c r="P138" s="177">
        <f>IF(AND($K138&lt;=P$3,P$3&lt;=$L138),$J138/$M138*HLOOKUP(P$3,'FX Lookup'!$A$2:$Y$6,2,FALSE),0)</f>
        <v>0</v>
      </c>
      <c r="Q138" s="177">
        <f>IF(AND($K138&lt;=Q$3,Q$3&lt;=$L138),$J138/$M138*HLOOKUP(Q$3,'FX Lookup'!$A$2:$Y$6,2,FALSE),0)</f>
        <v>0</v>
      </c>
      <c r="R138" s="177">
        <f>IF(AND($K138&lt;=R$3,R$3&lt;=$L138),$J138/$M138*HLOOKUP(R$3,'FX Lookup'!$A$2:$Y$6,2,FALSE),0)</f>
        <v>0</v>
      </c>
      <c r="S138" s="177">
        <f>IF(AND($K138&lt;=S$3,S$3&lt;=$L138),$J138/$M138*HLOOKUP(S$3,'FX Lookup'!$A$2:$Y$6,2,FALSE),0)</f>
        <v>0</v>
      </c>
      <c r="T138" s="177">
        <f>IF(AND($K138&lt;=T$3,T$3&lt;=$L138),$J138/$M138*HLOOKUP(T$3,'FX Lookup'!$A$2:$Y$6,2,FALSE),0)</f>
        <v>0</v>
      </c>
      <c r="U138" s="177">
        <f>IF(AND($K138&lt;=U$3,U$3&lt;=$L138),$J138/$M138*HLOOKUP(U$3,'FX Lookup'!$A$2:$Y$6,2,FALSE),0)</f>
        <v>0</v>
      </c>
      <c r="V138" s="177">
        <f>IF(AND($K138&lt;=V$3,V$3&lt;=$L138),$J138/$M138*HLOOKUP(V$3,'FX Lookup'!$A$2:$Y$6,2,FALSE),0)</f>
        <v>0</v>
      </c>
      <c r="W138" s="177">
        <f>IF(AND($K138&lt;=W$3,W$3&lt;=$L138),$J138/$M138*HLOOKUP(W$3,'FX Lookup'!$A$2:$Y$6,2,FALSE),0)</f>
        <v>0</v>
      </c>
      <c r="X138" s="177">
        <f>IF(AND($K138&lt;=X$3,X$3&lt;=$L138),$J138/$M138*HLOOKUP(X$3,'FX Lookup'!$A$2:$Y$6,2,FALSE),0)</f>
        <v>0</v>
      </c>
      <c r="Y138" s="177">
        <f>IF(AND($K138&lt;=Y$3,Y$3&lt;=$L138),$J138/$M138*HLOOKUP(Y$3,'FX Lookup'!$A$2:$Y$6,2,FALSE),0)</f>
        <v>0</v>
      </c>
      <c r="Z138" s="178">
        <f t="shared" si="241"/>
        <v>0</v>
      </c>
      <c r="AA138" s="173" t="s">
        <v>2409</v>
      </c>
      <c r="AB138" s="184"/>
      <c r="AC138" s="456">
        <v>46023</v>
      </c>
      <c r="AD138" s="456">
        <v>46387</v>
      </c>
      <c r="AE138" s="462">
        <f t="shared" si="225"/>
        <v>12</v>
      </c>
      <c r="AF138" s="177">
        <f>IF(AND($AC138&lt;=AF$3,AF$3&lt;=$AD138),$AB138/$AE138*HLOOKUP(AF$3,'FX Lookup'!$A$2:$Y$6,2,FALSE),0)</f>
        <v>0</v>
      </c>
      <c r="AG138" s="177">
        <f>IF(AND($AC138&lt;=AG$3,AG$3&lt;=$AD138),$AB138/$AE138*HLOOKUP(AG$3,'FX Lookup'!$A$2:$Y$6,2,FALSE),0)</f>
        <v>0</v>
      </c>
      <c r="AH138" s="177">
        <f>IF(AND($AC138&lt;=AH$3,AH$3&lt;=$AD138),$AB138/$AE138*HLOOKUP(AH$3,'FX Lookup'!$A$2:$Y$6,2,FALSE),0)</f>
        <v>0</v>
      </c>
      <c r="AI138" s="177">
        <f>IF(AND($AC138&lt;=AI$3,AI$3&lt;=$AD138),$AB138/$AE138*HLOOKUP(AI$3,'FX Lookup'!$A$2:$Y$6,2,FALSE),0)</f>
        <v>0</v>
      </c>
      <c r="AJ138" s="177">
        <f>IF(AND($AC138&lt;=AJ$3,AJ$3&lt;=$AD138),$AB138/$AE138*HLOOKUP(AJ$3,'FX Lookup'!$A$2:$Y$6,2,FALSE),0)</f>
        <v>0</v>
      </c>
      <c r="AK138" s="177">
        <f>IF(AND($AC138&lt;=AK$3,AK$3&lt;=$AD138),$AB138/$AE138*HLOOKUP(AK$3,'FX Lookup'!$A$2:$Y$6,2,FALSE),0)</f>
        <v>0</v>
      </c>
      <c r="AL138" s="177">
        <f>IF(AND($AC138&lt;=AL$3,AL$3&lt;=$AD138),$AB138/$AE138*HLOOKUP(AL$3,'FX Lookup'!$A$2:$Y$6,2,FALSE),0)</f>
        <v>0</v>
      </c>
      <c r="AM138" s="177">
        <f>IF(AND($AC138&lt;=AM$3,AM$3&lt;=$AD138),$AB138/$AE138*HLOOKUP(AM$3,'FX Lookup'!$A$2:$Y$6,2,FALSE),0)</f>
        <v>0</v>
      </c>
      <c r="AN138" s="177">
        <f>IF(AND($AC138&lt;=AN$3,AN$3&lt;=$AD138),$AB138/$AE138*HLOOKUP(AN$3,'FX Lookup'!$A$2:$Y$6,2,FALSE),0)</f>
        <v>0</v>
      </c>
      <c r="AO138" s="177">
        <f>IF(AND($AC138&lt;=AO$3,AO$3&lt;=$AD138),$AB138/$AE138*HLOOKUP(AO$3,'FX Lookup'!$A$2:$Y$6,2,FALSE),0)</f>
        <v>0</v>
      </c>
      <c r="AP138" s="177">
        <f>IF(AND($AC138&lt;=AP$3,AP$3&lt;=$AD138),$AB138/$AE138*HLOOKUP(AP$3,'FX Lookup'!$A$2:$Y$6,2,FALSE),0)</f>
        <v>0</v>
      </c>
      <c r="AQ138" s="177">
        <f>IF(AND($AC138&lt;=AQ$3,AQ$3&lt;=$AD138),$AB138/$AE138*HLOOKUP(AQ$3,'FX Lookup'!$A$2:$Y$6,2,FALSE),0)</f>
        <v>0</v>
      </c>
      <c r="AR138" s="178">
        <f t="shared" si="242"/>
        <v>0</v>
      </c>
      <c r="AT138" s="177">
        <f t="shared" si="226"/>
        <v>0</v>
      </c>
      <c r="AU138" s="177">
        <f t="shared" si="227"/>
        <v>0</v>
      </c>
      <c r="AV138" s="177">
        <f t="shared" si="228"/>
        <v>0</v>
      </c>
      <c r="AW138" s="177">
        <f t="shared" si="229"/>
        <v>0</v>
      </c>
      <c r="AX138" s="177">
        <f t="shared" si="230"/>
        <v>0</v>
      </c>
      <c r="AY138" s="177">
        <f t="shared" si="231"/>
        <v>0</v>
      </c>
      <c r="AZ138" s="177">
        <f t="shared" si="232"/>
        <v>0</v>
      </c>
      <c r="BA138" s="177">
        <f t="shared" si="233"/>
        <v>0</v>
      </c>
      <c r="BB138" s="177">
        <f t="shared" si="234"/>
        <v>0</v>
      </c>
      <c r="BC138" s="177">
        <f t="shared" si="235"/>
        <v>0</v>
      </c>
      <c r="BD138" s="177">
        <f t="shared" si="236"/>
        <v>0</v>
      </c>
      <c r="BE138" s="177">
        <f t="shared" si="237"/>
        <v>0</v>
      </c>
      <c r="BF138" s="178">
        <f t="shared" si="238"/>
        <v>0</v>
      </c>
    </row>
    <row r="139" spans="1:58" ht="15" customHeight="1">
      <c r="A139" s="171">
        <f t="shared" si="239"/>
        <v>8</v>
      </c>
      <c r="B139" s="171" t="s">
        <v>2741</v>
      </c>
      <c r="C139" s="171"/>
      <c r="D139" s="171" t="s">
        <v>1883</v>
      </c>
      <c r="E139" s="172" t="str">
        <f t="shared" si="224"/>
        <v>Regulatory Fees</v>
      </c>
      <c r="F139" s="172"/>
      <c r="G139" s="77" t="s">
        <v>2613</v>
      </c>
      <c r="H139" s="173" t="s">
        <v>2614</v>
      </c>
      <c r="I139" s="173" t="s">
        <v>2409</v>
      </c>
      <c r="J139" s="184"/>
      <c r="K139" s="456">
        <v>45658</v>
      </c>
      <c r="L139" s="456">
        <v>46022</v>
      </c>
      <c r="M139" s="462">
        <f t="shared" si="240"/>
        <v>12</v>
      </c>
      <c r="N139" s="177">
        <f>IF(AND($K139&lt;=N$3,N$3&lt;=$L139),$J139/$M139*HLOOKUP(N$3,'FX Lookup'!$A$2:$Y$6,2,FALSE),0)</f>
        <v>0</v>
      </c>
      <c r="O139" s="177">
        <f>IF(AND($K139&lt;=O$3,O$3&lt;=$L139),$J139/$M139*HLOOKUP(O$3,'FX Lookup'!$A$2:$Y$6,2,FALSE),0)</f>
        <v>0</v>
      </c>
      <c r="P139" s="177">
        <f>IF(AND($K139&lt;=P$3,P$3&lt;=$L139),$J139/$M139*HLOOKUP(P$3,'FX Lookup'!$A$2:$Y$6,2,FALSE),0)</f>
        <v>0</v>
      </c>
      <c r="Q139" s="177">
        <f>IF(AND($K139&lt;=Q$3,Q$3&lt;=$L139),$J139/$M139*HLOOKUP(Q$3,'FX Lookup'!$A$2:$Y$6,2,FALSE),0)</f>
        <v>0</v>
      </c>
      <c r="R139" s="177">
        <f>IF(AND($K139&lt;=R$3,R$3&lt;=$L139),$J139/$M139*HLOOKUP(R$3,'FX Lookup'!$A$2:$Y$6,2,FALSE),0)</f>
        <v>0</v>
      </c>
      <c r="S139" s="177">
        <f>IF(AND($K139&lt;=S$3,S$3&lt;=$L139),$J139/$M139*HLOOKUP(S$3,'FX Lookup'!$A$2:$Y$6,2,FALSE),0)</f>
        <v>0</v>
      </c>
      <c r="T139" s="177">
        <f>IF(AND($K139&lt;=T$3,T$3&lt;=$L139),$J139/$M139*HLOOKUP(T$3,'FX Lookup'!$A$2:$Y$6,2,FALSE),0)</f>
        <v>0</v>
      </c>
      <c r="U139" s="177">
        <f>IF(AND($K139&lt;=U$3,U$3&lt;=$L139),$J139/$M139*HLOOKUP(U$3,'FX Lookup'!$A$2:$Y$6,2,FALSE),0)</f>
        <v>0</v>
      </c>
      <c r="V139" s="177">
        <f>IF(AND($K139&lt;=V$3,V$3&lt;=$L139),$J139/$M139*HLOOKUP(V$3,'FX Lookup'!$A$2:$Y$6,2,FALSE),0)</f>
        <v>0</v>
      </c>
      <c r="W139" s="177">
        <f>IF(AND($K139&lt;=W$3,W$3&lt;=$L139),$J139/$M139*HLOOKUP(W$3,'FX Lookup'!$A$2:$Y$6,2,FALSE),0)</f>
        <v>0</v>
      </c>
      <c r="X139" s="177">
        <f>IF(AND($K139&lt;=X$3,X$3&lt;=$L139),$J139/$M139*HLOOKUP(X$3,'FX Lookup'!$A$2:$Y$6,2,FALSE),0)</f>
        <v>0</v>
      </c>
      <c r="Y139" s="177">
        <f>IF(AND($K139&lt;=Y$3,Y$3&lt;=$L139),$J139/$M139*HLOOKUP(Y$3,'FX Lookup'!$A$2:$Y$6,2,FALSE),0)</f>
        <v>0</v>
      </c>
      <c r="Z139" s="178">
        <f t="shared" si="241"/>
        <v>0</v>
      </c>
      <c r="AA139" s="173" t="s">
        <v>2409</v>
      </c>
      <c r="AB139" s="184"/>
      <c r="AC139" s="456">
        <v>46023</v>
      </c>
      <c r="AD139" s="456">
        <v>46387</v>
      </c>
      <c r="AE139" s="462">
        <f t="shared" si="225"/>
        <v>12</v>
      </c>
      <c r="AF139" s="177">
        <f>IF(AND($AC139&lt;=AF$3,AF$3&lt;=$AD139),$AB139/$AE139*HLOOKUP(AF$3,'FX Lookup'!$A$2:$Y$6,2,FALSE),0)</f>
        <v>0</v>
      </c>
      <c r="AG139" s="177">
        <f>IF(AND($AC139&lt;=AG$3,AG$3&lt;=$AD139),$AB139/$AE139*HLOOKUP(AG$3,'FX Lookup'!$A$2:$Y$6,2,FALSE),0)</f>
        <v>0</v>
      </c>
      <c r="AH139" s="177">
        <f>IF(AND($AC139&lt;=AH$3,AH$3&lt;=$AD139),$AB139/$AE139*HLOOKUP(AH$3,'FX Lookup'!$A$2:$Y$6,2,FALSE),0)</f>
        <v>0</v>
      </c>
      <c r="AI139" s="177">
        <f>IF(AND($AC139&lt;=AI$3,AI$3&lt;=$AD139),$AB139/$AE139*HLOOKUP(AI$3,'FX Lookup'!$A$2:$Y$6,2,FALSE),0)</f>
        <v>0</v>
      </c>
      <c r="AJ139" s="177">
        <f>IF(AND($AC139&lt;=AJ$3,AJ$3&lt;=$AD139),$AB139/$AE139*HLOOKUP(AJ$3,'FX Lookup'!$A$2:$Y$6,2,FALSE),0)</f>
        <v>0</v>
      </c>
      <c r="AK139" s="177">
        <f>IF(AND($AC139&lt;=AK$3,AK$3&lt;=$AD139),$AB139/$AE139*HLOOKUP(AK$3,'FX Lookup'!$A$2:$Y$6,2,FALSE),0)</f>
        <v>0</v>
      </c>
      <c r="AL139" s="177">
        <f>IF(AND($AC139&lt;=AL$3,AL$3&lt;=$AD139),$AB139/$AE139*HLOOKUP(AL$3,'FX Lookup'!$A$2:$Y$6,2,FALSE),0)</f>
        <v>0</v>
      </c>
      <c r="AM139" s="177">
        <f>IF(AND($AC139&lt;=AM$3,AM$3&lt;=$AD139),$AB139/$AE139*HLOOKUP(AM$3,'FX Lookup'!$A$2:$Y$6,2,FALSE),0)</f>
        <v>0</v>
      </c>
      <c r="AN139" s="177">
        <f>IF(AND($AC139&lt;=AN$3,AN$3&lt;=$AD139),$AB139/$AE139*HLOOKUP(AN$3,'FX Lookup'!$A$2:$Y$6,2,FALSE),0)</f>
        <v>0</v>
      </c>
      <c r="AO139" s="177">
        <f>IF(AND($AC139&lt;=AO$3,AO$3&lt;=$AD139),$AB139/$AE139*HLOOKUP(AO$3,'FX Lookup'!$A$2:$Y$6,2,FALSE),0)</f>
        <v>0</v>
      </c>
      <c r="AP139" s="177">
        <f>IF(AND($AC139&lt;=AP$3,AP$3&lt;=$AD139),$AB139/$AE139*HLOOKUP(AP$3,'FX Lookup'!$A$2:$Y$6,2,FALSE),0)</f>
        <v>0</v>
      </c>
      <c r="AQ139" s="177">
        <f>IF(AND($AC139&lt;=AQ$3,AQ$3&lt;=$AD139),$AB139/$AE139*HLOOKUP(AQ$3,'FX Lookup'!$A$2:$Y$6,2,FALSE),0)</f>
        <v>0</v>
      </c>
      <c r="AR139" s="178">
        <f t="shared" si="242"/>
        <v>0</v>
      </c>
      <c r="AT139" s="177">
        <f t="shared" si="226"/>
        <v>0</v>
      </c>
      <c r="AU139" s="177">
        <f t="shared" si="227"/>
        <v>0</v>
      </c>
      <c r="AV139" s="177">
        <f t="shared" si="228"/>
        <v>0</v>
      </c>
      <c r="AW139" s="177">
        <f t="shared" si="229"/>
        <v>0</v>
      </c>
      <c r="AX139" s="177">
        <f t="shared" si="230"/>
        <v>0</v>
      </c>
      <c r="AY139" s="177">
        <f t="shared" si="231"/>
        <v>0</v>
      </c>
      <c r="AZ139" s="177">
        <f t="shared" si="232"/>
        <v>0</v>
      </c>
      <c r="BA139" s="177">
        <f t="shared" si="233"/>
        <v>0</v>
      </c>
      <c r="BB139" s="177">
        <f t="shared" si="234"/>
        <v>0</v>
      </c>
      <c r="BC139" s="177">
        <f t="shared" si="235"/>
        <v>0</v>
      </c>
      <c r="BD139" s="177">
        <f t="shared" si="236"/>
        <v>0</v>
      </c>
      <c r="BE139" s="177">
        <f t="shared" si="237"/>
        <v>0</v>
      </c>
      <c r="BF139" s="178">
        <f t="shared" si="238"/>
        <v>0</v>
      </c>
    </row>
    <row r="140" spans="1:58" ht="15" customHeight="1">
      <c r="A140" s="171">
        <f t="shared" si="239"/>
        <v>9</v>
      </c>
      <c r="B140" s="171" t="s">
        <v>2741</v>
      </c>
      <c r="C140" s="171"/>
      <c r="D140" s="171" t="s">
        <v>1534</v>
      </c>
      <c r="E140" s="172" t="str">
        <f t="shared" si="224"/>
        <v>Employment Agency Fee</v>
      </c>
      <c r="F140" s="172"/>
      <c r="G140" s="77" t="s">
        <v>2613</v>
      </c>
      <c r="H140" s="173" t="s">
        <v>2614</v>
      </c>
      <c r="I140" s="173" t="s">
        <v>2409</v>
      </c>
      <c r="J140" s="184"/>
      <c r="K140" s="456">
        <v>45809</v>
      </c>
      <c r="L140" s="456">
        <v>45838</v>
      </c>
      <c r="M140" s="462">
        <f t="shared" si="240"/>
        <v>1</v>
      </c>
      <c r="N140" s="177">
        <f>IF(AND($K140&lt;=N$3,N$3&lt;=$L140),$J140/$M140*HLOOKUP(N$3,'FX Lookup'!$A$2:$Y$6,2,FALSE),0)</f>
        <v>0</v>
      </c>
      <c r="O140" s="177">
        <f>IF(AND($K140&lt;=O$3,O$3&lt;=$L140),$J140/$M140*HLOOKUP(O$3,'FX Lookup'!$A$2:$Y$6,2,FALSE),0)</f>
        <v>0</v>
      </c>
      <c r="P140" s="177">
        <f>IF(AND($K140&lt;=P$3,P$3&lt;=$L140),$J140/$M140*HLOOKUP(P$3,'FX Lookup'!$A$2:$Y$6,2,FALSE),0)</f>
        <v>0</v>
      </c>
      <c r="Q140" s="177">
        <f>IF(AND($K140&lt;=Q$3,Q$3&lt;=$L140),$J140/$M140*HLOOKUP(Q$3,'FX Lookup'!$A$2:$Y$6,2,FALSE),0)</f>
        <v>0</v>
      </c>
      <c r="R140" s="177">
        <f>IF(AND($K140&lt;=R$3,R$3&lt;=$L140),$J140/$M140*HLOOKUP(R$3,'FX Lookup'!$A$2:$Y$6,2,FALSE),0)</f>
        <v>0</v>
      </c>
      <c r="S140" s="177">
        <f>IF(AND($K140&lt;=S$3,S$3&lt;=$L140),$J140/$M140*HLOOKUP(S$3,'FX Lookup'!$A$2:$Y$6,2,FALSE),0)</f>
        <v>0</v>
      </c>
      <c r="T140" s="177">
        <f>IF(AND($K140&lt;=T$3,T$3&lt;=$L140),$J140/$M140*HLOOKUP(T$3,'FX Lookup'!$A$2:$Y$6,2,FALSE),0)</f>
        <v>0</v>
      </c>
      <c r="U140" s="177">
        <f>IF(AND($K140&lt;=U$3,U$3&lt;=$L140),$J140/$M140*HLOOKUP(U$3,'FX Lookup'!$A$2:$Y$6,2,FALSE),0)</f>
        <v>0</v>
      </c>
      <c r="V140" s="177">
        <f>IF(AND($K140&lt;=V$3,V$3&lt;=$L140),$J140/$M140*HLOOKUP(V$3,'FX Lookup'!$A$2:$Y$6,2,FALSE),0)</f>
        <v>0</v>
      </c>
      <c r="W140" s="177">
        <f>IF(AND($K140&lt;=W$3,W$3&lt;=$L140),$J140/$M140*HLOOKUP(W$3,'FX Lookup'!$A$2:$Y$6,2,FALSE),0)</f>
        <v>0</v>
      </c>
      <c r="X140" s="177">
        <f>IF(AND($K140&lt;=X$3,X$3&lt;=$L140),$J140/$M140*HLOOKUP(X$3,'FX Lookup'!$A$2:$Y$6,2,FALSE),0)</f>
        <v>0</v>
      </c>
      <c r="Y140" s="177">
        <f>IF(AND($K140&lt;=Y$3,Y$3&lt;=$L140),$J140/$M140*HLOOKUP(Y$3,'FX Lookup'!$A$2:$Y$6,2,FALSE),0)</f>
        <v>0</v>
      </c>
      <c r="Z140" s="178">
        <f t="shared" si="241"/>
        <v>0</v>
      </c>
      <c r="AA140" s="173" t="s">
        <v>2409</v>
      </c>
      <c r="AB140" s="184"/>
      <c r="AC140" s="456">
        <v>46174</v>
      </c>
      <c r="AD140" s="456">
        <v>46203</v>
      </c>
      <c r="AE140" s="462">
        <f t="shared" si="225"/>
        <v>1</v>
      </c>
      <c r="AF140" s="177">
        <f>IF(AND($AC140&lt;=AF$3,AF$3&lt;=$AD140),$AB140/$AE140*HLOOKUP(AF$3,'FX Lookup'!$A$2:$Y$6,2,FALSE),0)</f>
        <v>0</v>
      </c>
      <c r="AG140" s="177">
        <f>IF(AND($AC140&lt;=AG$3,AG$3&lt;=$AD140),$AB140/$AE140*HLOOKUP(AG$3,'FX Lookup'!$A$2:$Y$6,2,FALSE),0)</f>
        <v>0</v>
      </c>
      <c r="AH140" s="177">
        <f>IF(AND($AC140&lt;=AH$3,AH$3&lt;=$AD140),$AB140/$AE140*HLOOKUP(AH$3,'FX Lookup'!$A$2:$Y$6,2,FALSE),0)</f>
        <v>0</v>
      </c>
      <c r="AI140" s="177">
        <f>IF(AND($AC140&lt;=AI$3,AI$3&lt;=$AD140),$AB140/$AE140*HLOOKUP(AI$3,'FX Lookup'!$A$2:$Y$6,2,FALSE),0)</f>
        <v>0</v>
      </c>
      <c r="AJ140" s="177">
        <f>IF(AND($AC140&lt;=AJ$3,AJ$3&lt;=$AD140),$AB140/$AE140*HLOOKUP(AJ$3,'FX Lookup'!$A$2:$Y$6,2,FALSE),0)</f>
        <v>0</v>
      </c>
      <c r="AK140" s="177">
        <f>IF(AND($AC140&lt;=AK$3,AK$3&lt;=$AD140),$AB140/$AE140*HLOOKUP(AK$3,'FX Lookup'!$A$2:$Y$6,2,FALSE),0)</f>
        <v>0</v>
      </c>
      <c r="AL140" s="177">
        <f>IF(AND($AC140&lt;=AL$3,AL$3&lt;=$AD140),$AB140/$AE140*HLOOKUP(AL$3,'FX Lookup'!$A$2:$Y$6,2,FALSE),0)</f>
        <v>0</v>
      </c>
      <c r="AM140" s="177">
        <f>IF(AND($AC140&lt;=AM$3,AM$3&lt;=$AD140),$AB140/$AE140*HLOOKUP(AM$3,'FX Lookup'!$A$2:$Y$6,2,FALSE),0)</f>
        <v>0</v>
      </c>
      <c r="AN140" s="177">
        <f>IF(AND($AC140&lt;=AN$3,AN$3&lt;=$AD140),$AB140/$AE140*HLOOKUP(AN$3,'FX Lookup'!$A$2:$Y$6,2,FALSE),0)</f>
        <v>0</v>
      </c>
      <c r="AO140" s="177">
        <f>IF(AND($AC140&lt;=AO$3,AO$3&lt;=$AD140),$AB140/$AE140*HLOOKUP(AO$3,'FX Lookup'!$A$2:$Y$6,2,FALSE),0)</f>
        <v>0</v>
      </c>
      <c r="AP140" s="177">
        <f>IF(AND($AC140&lt;=AP$3,AP$3&lt;=$AD140),$AB140/$AE140*HLOOKUP(AP$3,'FX Lookup'!$A$2:$Y$6,2,FALSE),0)</f>
        <v>0</v>
      </c>
      <c r="AQ140" s="177">
        <f>IF(AND($AC140&lt;=AQ$3,AQ$3&lt;=$AD140),$AB140/$AE140*HLOOKUP(AQ$3,'FX Lookup'!$A$2:$Y$6,2,FALSE),0)</f>
        <v>0</v>
      </c>
      <c r="AR140" s="178">
        <f t="shared" si="242"/>
        <v>0</v>
      </c>
      <c r="AT140" s="177">
        <f t="shared" si="226"/>
        <v>0</v>
      </c>
      <c r="AU140" s="177">
        <f t="shared" si="227"/>
        <v>0</v>
      </c>
      <c r="AV140" s="177">
        <f t="shared" si="228"/>
        <v>0</v>
      </c>
      <c r="AW140" s="177">
        <f t="shared" si="229"/>
        <v>0</v>
      </c>
      <c r="AX140" s="177">
        <f t="shared" si="230"/>
        <v>0</v>
      </c>
      <c r="AY140" s="177">
        <f t="shared" si="231"/>
        <v>0</v>
      </c>
      <c r="AZ140" s="177">
        <f t="shared" si="232"/>
        <v>0</v>
      </c>
      <c r="BA140" s="177">
        <f t="shared" si="233"/>
        <v>0</v>
      </c>
      <c r="BB140" s="177">
        <f t="shared" si="234"/>
        <v>0</v>
      </c>
      <c r="BC140" s="177">
        <f t="shared" si="235"/>
        <v>0</v>
      </c>
      <c r="BD140" s="177">
        <f t="shared" si="236"/>
        <v>0</v>
      </c>
      <c r="BE140" s="177">
        <f t="shared" si="237"/>
        <v>0</v>
      </c>
      <c r="BF140" s="178">
        <f t="shared" si="238"/>
        <v>0</v>
      </c>
    </row>
    <row r="141" spans="1:58" ht="15" customHeight="1">
      <c r="A141" s="171">
        <f t="shared" si="239"/>
        <v>10</v>
      </c>
      <c r="B141" s="171" t="s">
        <v>2741</v>
      </c>
      <c r="C141" s="171"/>
      <c r="D141" s="171" t="s">
        <v>1667</v>
      </c>
      <c r="E141" s="172" t="str">
        <f t="shared" si="224"/>
        <v>IT Professional &amp; MS Services</v>
      </c>
      <c r="F141" s="172"/>
      <c r="G141" s="77" t="s">
        <v>2613</v>
      </c>
      <c r="H141" s="173" t="s">
        <v>2614</v>
      </c>
      <c r="I141" s="173" t="s">
        <v>2409</v>
      </c>
      <c r="J141" s="184"/>
      <c r="K141" s="456">
        <v>45748</v>
      </c>
      <c r="L141" s="456">
        <v>45777</v>
      </c>
      <c r="M141" s="462">
        <f t="shared" si="240"/>
        <v>1</v>
      </c>
      <c r="N141" s="177">
        <f>IF(AND($K141&lt;=N$3,N$3&lt;=$L141),$J141/$M141*HLOOKUP(N$3,'FX Lookup'!$A$2:$Y$6,2,FALSE),0)</f>
        <v>0</v>
      </c>
      <c r="O141" s="177">
        <f>IF(AND($K141&lt;=O$3,O$3&lt;=$L141),$J141/$M141*HLOOKUP(O$3,'FX Lookup'!$A$2:$Y$6,2,FALSE),0)</f>
        <v>0</v>
      </c>
      <c r="P141" s="177">
        <f>IF(AND($K141&lt;=P$3,P$3&lt;=$L141),$J141/$M141*HLOOKUP(P$3,'FX Lookup'!$A$2:$Y$6,2,FALSE),0)</f>
        <v>0</v>
      </c>
      <c r="Q141" s="177">
        <f>IF(AND($K141&lt;=Q$3,Q$3&lt;=$L141),$J141/$M141*HLOOKUP(Q$3,'FX Lookup'!$A$2:$Y$6,2,FALSE),0)</f>
        <v>0</v>
      </c>
      <c r="R141" s="177">
        <f>IF(AND($K141&lt;=R$3,R$3&lt;=$L141),$J141/$M141*HLOOKUP(R$3,'FX Lookup'!$A$2:$Y$6,2,FALSE),0)</f>
        <v>0</v>
      </c>
      <c r="S141" s="177">
        <f>IF(AND($K141&lt;=S$3,S$3&lt;=$L141),$J141/$M141*HLOOKUP(S$3,'FX Lookup'!$A$2:$Y$6,2,FALSE),0)</f>
        <v>0</v>
      </c>
      <c r="T141" s="177">
        <f>IF(AND($K141&lt;=T$3,T$3&lt;=$L141),$J141/$M141*HLOOKUP(T$3,'FX Lookup'!$A$2:$Y$6,2,FALSE),0)</f>
        <v>0</v>
      </c>
      <c r="U141" s="177">
        <f>IF(AND($K141&lt;=U$3,U$3&lt;=$L141),$J141/$M141*HLOOKUP(U$3,'FX Lookup'!$A$2:$Y$6,2,FALSE),0)</f>
        <v>0</v>
      </c>
      <c r="V141" s="177">
        <f>IF(AND($K141&lt;=V$3,V$3&lt;=$L141),$J141/$M141*HLOOKUP(V$3,'FX Lookup'!$A$2:$Y$6,2,FALSE),0)</f>
        <v>0</v>
      </c>
      <c r="W141" s="177">
        <f>IF(AND($K141&lt;=W$3,W$3&lt;=$L141),$J141/$M141*HLOOKUP(W$3,'FX Lookup'!$A$2:$Y$6,2,FALSE),0)</f>
        <v>0</v>
      </c>
      <c r="X141" s="177">
        <f>IF(AND($K141&lt;=X$3,X$3&lt;=$L141),$J141/$M141*HLOOKUP(X$3,'FX Lookup'!$A$2:$Y$6,2,FALSE),0)</f>
        <v>0</v>
      </c>
      <c r="Y141" s="177">
        <f>IF(AND($K141&lt;=Y$3,Y$3&lt;=$L141),$J141/$M141*HLOOKUP(Y$3,'FX Lookup'!$A$2:$Y$6,2,FALSE),0)</f>
        <v>0</v>
      </c>
      <c r="Z141" s="178">
        <f t="shared" si="241"/>
        <v>0</v>
      </c>
      <c r="AA141" s="173" t="s">
        <v>2409</v>
      </c>
      <c r="AB141" s="184"/>
      <c r="AC141" s="456">
        <v>46113</v>
      </c>
      <c r="AD141" s="456">
        <v>46142</v>
      </c>
      <c r="AE141" s="462">
        <f t="shared" si="225"/>
        <v>1</v>
      </c>
      <c r="AF141" s="177">
        <f>IF(AND($AC141&lt;=AF$3,AF$3&lt;=$AD141),$AB141/$AE141*HLOOKUP(AF$3,'FX Lookup'!$A$2:$Y$6,2,FALSE),0)</f>
        <v>0</v>
      </c>
      <c r="AG141" s="177">
        <f>IF(AND($AC141&lt;=AG$3,AG$3&lt;=$AD141),$AB141/$AE141*HLOOKUP(AG$3,'FX Lookup'!$A$2:$Y$6,2,FALSE),0)</f>
        <v>0</v>
      </c>
      <c r="AH141" s="177">
        <f>IF(AND($AC141&lt;=AH$3,AH$3&lt;=$AD141),$AB141/$AE141*HLOOKUP(AH$3,'FX Lookup'!$A$2:$Y$6,2,FALSE),0)</f>
        <v>0</v>
      </c>
      <c r="AI141" s="177">
        <f>IF(AND($AC141&lt;=AI$3,AI$3&lt;=$AD141),$AB141/$AE141*HLOOKUP(AI$3,'FX Lookup'!$A$2:$Y$6,2,FALSE),0)</f>
        <v>0</v>
      </c>
      <c r="AJ141" s="177">
        <f>IF(AND($AC141&lt;=AJ$3,AJ$3&lt;=$AD141),$AB141/$AE141*HLOOKUP(AJ$3,'FX Lookup'!$A$2:$Y$6,2,FALSE),0)</f>
        <v>0</v>
      </c>
      <c r="AK141" s="177">
        <f>IF(AND($AC141&lt;=AK$3,AK$3&lt;=$AD141),$AB141/$AE141*HLOOKUP(AK$3,'FX Lookup'!$A$2:$Y$6,2,FALSE),0)</f>
        <v>0</v>
      </c>
      <c r="AL141" s="177">
        <f>IF(AND($AC141&lt;=AL$3,AL$3&lt;=$AD141),$AB141/$AE141*HLOOKUP(AL$3,'FX Lookup'!$A$2:$Y$6,2,FALSE),0)</f>
        <v>0</v>
      </c>
      <c r="AM141" s="177">
        <f>IF(AND($AC141&lt;=AM$3,AM$3&lt;=$AD141),$AB141/$AE141*HLOOKUP(AM$3,'FX Lookup'!$A$2:$Y$6,2,FALSE),0)</f>
        <v>0</v>
      </c>
      <c r="AN141" s="177">
        <f>IF(AND($AC141&lt;=AN$3,AN$3&lt;=$AD141),$AB141/$AE141*HLOOKUP(AN$3,'FX Lookup'!$A$2:$Y$6,2,FALSE),0)</f>
        <v>0</v>
      </c>
      <c r="AO141" s="177">
        <f>IF(AND($AC141&lt;=AO$3,AO$3&lt;=$AD141),$AB141/$AE141*HLOOKUP(AO$3,'FX Lookup'!$A$2:$Y$6,2,FALSE),0)</f>
        <v>0</v>
      </c>
      <c r="AP141" s="177">
        <f>IF(AND($AC141&lt;=AP$3,AP$3&lt;=$AD141),$AB141/$AE141*HLOOKUP(AP$3,'FX Lookup'!$A$2:$Y$6,2,FALSE),0)</f>
        <v>0</v>
      </c>
      <c r="AQ141" s="177">
        <f>IF(AND($AC141&lt;=AQ$3,AQ$3&lt;=$AD141),$AB141/$AE141*HLOOKUP(AQ$3,'FX Lookup'!$A$2:$Y$6,2,FALSE),0)</f>
        <v>0</v>
      </c>
      <c r="AR141" s="178">
        <f t="shared" si="242"/>
        <v>0</v>
      </c>
      <c r="AT141" s="177">
        <f t="shared" si="226"/>
        <v>0</v>
      </c>
      <c r="AU141" s="177">
        <f t="shared" si="227"/>
        <v>0</v>
      </c>
      <c r="AV141" s="177">
        <f t="shared" si="228"/>
        <v>0</v>
      </c>
      <c r="AW141" s="177">
        <f t="shared" si="229"/>
        <v>0</v>
      </c>
      <c r="AX141" s="177">
        <f t="shared" si="230"/>
        <v>0</v>
      </c>
      <c r="AY141" s="177">
        <f t="shared" si="231"/>
        <v>0</v>
      </c>
      <c r="AZ141" s="177">
        <f t="shared" si="232"/>
        <v>0</v>
      </c>
      <c r="BA141" s="177">
        <f t="shared" si="233"/>
        <v>0</v>
      </c>
      <c r="BB141" s="177">
        <f t="shared" si="234"/>
        <v>0</v>
      </c>
      <c r="BC141" s="177">
        <f t="shared" si="235"/>
        <v>0</v>
      </c>
      <c r="BD141" s="177">
        <f t="shared" si="236"/>
        <v>0</v>
      </c>
      <c r="BE141" s="177">
        <f t="shared" si="237"/>
        <v>0</v>
      </c>
      <c r="BF141" s="178">
        <f t="shared" si="238"/>
        <v>0</v>
      </c>
    </row>
    <row r="142" spans="1:58" ht="15" customHeight="1">
      <c r="A142" s="171">
        <f t="shared" si="239"/>
        <v>11</v>
      </c>
      <c r="B142" s="171" t="s">
        <v>2741</v>
      </c>
      <c r="C142" s="171"/>
      <c r="D142" s="171" t="s">
        <v>1662</v>
      </c>
      <c r="E142" s="172" t="str">
        <f t="shared" si="224"/>
        <v>IT Professional &amp; MS Services</v>
      </c>
      <c r="F142" s="172"/>
      <c r="G142" s="77" t="s">
        <v>2613</v>
      </c>
      <c r="H142" s="173" t="s">
        <v>2614</v>
      </c>
      <c r="I142" s="173" t="s">
        <v>2409</v>
      </c>
      <c r="J142" s="184"/>
      <c r="K142" s="456">
        <v>45809</v>
      </c>
      <c r="L142" s="456">
        <v>45838</v>
      </c>
      <c r="M142" s="462">
        <f t="shared" si="240"/>
        <v>1</v>
      </c>
      <c r="N142" s="177">
        <f>IF(AND($K142&lt;=N$3,N$3&lt;=$L142),$J142/$M142*HLOOKUP(N$3,'FX Lookup'!$A$2:$Y$6,2,FALSE),0)</f>
        <v>0</v>
      </c>
      <c r="O142" s="177">
        <f>IF(AND($K142&lt;=O$3,O$3&lt;=$L142),$J142/$M142*HLOOKUP(O$3,'FX Lookup'!$A$2:$Y$6,2,FALSE),0)</f>
        <v>0</v>
      </c>
      <c r="P142" s="177">
        <f>IF(AND($K142&lt;=P$3,P$3&lt;=$L142),$J142/$M142*HLOOKUP(P$3,'FX Lookup'!$A$2:$Y$6,2,FALSE),0)</f>
        <v>0</v>
      </c>
      <c r="Q142" s="177">
        <f>IF(AND($K142&lt;=Q$3,Q$3&lt;=$L142),$J142/$M142*HLOOKUP(Q$3,'FX Lookup'!$A$2:$Y$6,2,FALSE),0)</f>
        <v>0</v>
      </c>
      <c r="R142" s="177">
        <f>IF(AND($K142&lt;=R$3,R$3&lt;=$L142),$J142/$M142*HLOOKUP(R$3,'FX Lookup'!$A$2:$Y$6,2,FALSE),0)</f>
        <v>0</v>
      </c>
      <c r="S142" s="177">
        <f>IF(AND($K142&lt;=S$3,S$3&lt;=$L142),$J142/$M142*HLOOKUP(S$3,'FX Lookup'!$A$2:$Y$6,2,FALSE),0)</f>
        <v>0</v>
      </c>
      <c r="T142" s="177">
        <f>IF(AND($K142&lt;=T$3,T$3&lt;=$L142),$J142/$M142*HLOOKUP(T$3,'FX Lookup'!$A$2:$Y$6,2,FALSE),0)</f>
        <v>0</v>
      </c>
      <c r="U142" s="177">
        <f>IF(AND($K142&lt;=U$3,U$3&lt;=$L142),$J142/$M142*HLOOKUP(U$3,'FX Lookup'!$A$2:$Y$6,2,FALSE),0)</f>
        <v>0</v>
      </c>
      <c r="V142" s="177">
        <f>IF(AND($K142&lt;=V$3,V$3&lt;=$L142),$J142/$M142*HLOOKUP(V$3,'FX Lookup'!$A$2:$Y$6,2,FALSE),0)</f>
        <v>0</v>
      </c>
      <c r="W142" s="177">
        <f>IF(AND($K142&lt;=W$3,W$3&lt;=$L142),$J142/$M142*HLOOKUP(W$3,'FX Lookup'!$A$2:$Y$6,2,FALSE),0)</f>
        <v>0</v>
      </c>
      <c r="X142" s="177">
        <f>IF(AND($K142&lt;=X$3,X$3&lt;=$L142),$J142/$M142*HLOOKUP(X$3,'FX Lookup'!$A$2:$Y$6,2,FALSE),0)</f>
        <v>0</v>
      </c>
      <c r="Y142" s="177">
        <f>IF(AND($K142&lt;=Y$3,Y$3&lt;=$L142),$J142/$M142*HLOOKUP(Y$3,'FX Lookup'!$A$2:$Y$6,2,FALSE),0)</f>
        <v>0</v>
      </c>
      <c r="Z142" s="178">
        <f t="shared" si="241"/>
        <v>0</v>
      </c>
      <c r="AA142" s="173" t="s">
        <v>2409</v>
      </c>
      <c r="AB142" s="184"/>
      <c r="AC142" s="456">
        <v>46174</v>
      </c>
      <c r="AD142" s="456">
        <v>46203</v>
      </c>
      <c r="AE142" s="462">
        <f t="shared" si="225"/>
        <v>1</v>
      </c>
      <c r="AF142" s="177">
        <f>IF(AND($AC142&lt;=AF$3,AF$3&lt;=$AD142),$AB142/$AE142*HLOOKUP(AF$3,'FX Lookup'!$A$2:$Y$6,2,FALSE),0)</f>
        <v>0</v>
      </c>
      <c r="AG142" s="177">
        <f>IF(AND($AC142&lt;=AG$3,AG$3&lt;=$AD142),$AB142/$AE142*HLOOKUP(AG$3,'FX Lookup'!$A$2:$Y$6,2,FALSE),0)</f>
        <v>0</v>
      </c>
      <c r="AH142" s="177">
        <f>IF(AND($AC142&lt;=AH$3,AH$3&lt;=$AD142),$AB142/$AE142*HLOOKUP(AH$3,'FX Lookup'!$A$2:$Y$6,2,FALSE),0)</f>
        <v>0</v>
      </c>
      <c r="AI142" s="177">
        <f>IF(AND($AC142&lt;=AI$3,AI$3&lt;=$AD142),$AB142/$AE142*HLOOKUP(AI$3,'FX Lookup'!$A$2:$Y$6,2,FALSE),0)</f>
        <v>0</v>
      </c>
      <c r="AJ142" s="177">
        <f>IF(AND($AC142&lt;=AJ$3,AJ$3&lt;=$AD142),$AB142/$AE142*HLOOKUP(AJ$3,'FX Lookup'!$A$2:$Y$6,2,FALSE),0)</f>
        <v>0</v>
      </c>
      <c r="AK142" s="177">
        <f>IF(AND($AC142&lt;=AK$3,AK$3&lt;=$AD142),$AB142/$AE142*HLOOKUP(AK$3,'FX Lookup'!$A$2:$Y$6,2,FALSE),0)</f>
        <v>0</v>
      </c>
      <c r="AL142" s="177">
        <f>IF(AND($AC142&lt;=AL$3,AL$3&lt;=$AD142),$AB142/$AE142*HLOOKUP(AL$3,'FX Lookup'!$A$2:$Y$6,2,FALSE),0)</f>
        <v>0</v>
      </c>
      <c r="AM142" s="177">
        <f>IF(AND($AC142&lt;=AM$3,AM$3&lt;=$AD142),$AB142/$AE142*HLOOKUP(AM$3,'FX Lookup'!$A$2:$Y$6,2,FALSE),0)</f>
        <v>0</v>
      </c>
      <c r="AN142" s="177">
        <f>IF(AND($AC142&lt;=AN$3,AN$3&lt;=$AD142),$AB142/$AE142*HLOOKUP(AN$3,'FX Lookup'!$A$2:$Y$6,2,FALSE),0)</f>
        <v>0</v>
      </c>
      <c r="AO142" s="177">
        <f>IF(AND($AC142&lt;=AO$3,AO$3&lt;=$AD142),$AB142/$AE142*HLOOKUP(AO$3,'FX Lookup'!$A$2:$Y$6,2,FALSE),0)</f>
        <v>0</v>
      </c>
      <c r="AP142" s="177">
        <f>IF(AND($AC142&lt;=AP$3,AP$3&lt;=$AD142),$AB142/$AE142*HLOOKUP(AP$3,'FX Lookup'!$A$2:$Y$6,2,FALSE),0)</f>
        <v>0</v>
      </c>
      <c r="AQ142" s="177">
        <f>IF(AND($AC142&lt;=AQ$3,AQ$3&lt;=$AD142),$AB142/$AE142*HLOOKUP(AQ$3,'FX Lookup'!$A$2:$Y$6,2,FALSE),0)</f>
        <v>0</v>
      </c>
      <c r="AR142" s="178">
        <f t="shared" si="242"/>
        <v>0</v>
      </c>
      <c r="AT142" s="177">
        <f t="shared" si="226"/>
        <v>0</v>
      </c>
      <c r="AU142" s="177">
        <f t="shared" si="227"/>
        <v>0</v>
      </c>
      <c r="AV142" s="177">
        <f t="shared" si="228"/>
        <v>0</v>
      </c>
      <c r="AW142" s="177">
        <f t="shared" si="229"/>
        <v>0</v>
      </c>
      <c r="AX142" s="177">
        <f t="shared" si="230"/>
        <v>0</v>
      </c>
      <c r="AY142" s="177">
        <f t="shared" si="231"/>
        <v>0</v>
      </c>
      <c r="AZ142" s="177">
        <f t="shared" si="232"/>
        <v>0</v>
      </c>
      <c r="BA142" s="177">
        <f t="shared" si="233"/>
        <v>0</v>
      </c>
      <c r="BB142" s="177">
        <f t="shared" si="234"/>
        <v>0</v>
      </c>
      <c r="BC142" s="177">
        <f t="shared" si="235"/>
        <v>0</v>
      </c>
      <c r="BD142" s="177">
        <f t="shared" si="236"/>
        <v>0</v>
      </c>
      <c r="BE142" s="177">
        <f t="shared" si="237"/>
        <v>0</v>
      </c>
      <c r="BF142" s="178">
        <f t="shared" si="238"/>
        <v>0</v>
      </c>
    </row>
    <row r="143" spans="1:58" ht="15" customHeight="1">
      <c r="A143" s="171">
        <f t="shared" si="239"/>
        <v>12</v>
      </c>
      <c r="B143" s="171" t="s">
        <v>2741</v>
      </c>
      <c r="C143" s="171"/>
      <c r="D143" s="171" t="s">
        <v>1667</v>
      </c>
      <c r="E143" s="172" t="str">
        <f t="shared" si="224"/>
        <v>IT Professional &amp; MS Services</v>
      </c>
      <c r="F143" s="172"/>
      <c r="G143" s="77" t="s">
        <v>2613</v>
      </c>
      <c r="H143" s="173" t="s">
        <v>2614</v>
      </c>
      <c r="I143" s="173" t="s">
        <v>2409</v>
      </c>
      <c r="J143" s="184"/>
      <c r="K143" s="456">
        <v>45809</v>
      </c>
      <c r="L143" s="456">
        <v>45838</v>
      </c>
      <c r="M143" s="462">
        <f t="shared" si="240"/>
        <v>1</v>
      </c>
      <c r="N143" s="177">
        <f>IF(AND($K143&lt;=N$3,N$3&lt;=$L143),$J143/$M143*HLOOKUP(N$3,'FX Lookup'!$A$2:$Y$6,2,FALSE),0)</f>
        <v>0</v>
      </c>
      <c r="O143" s="177">
        <f>IF(AND($K143&lt;=O$3,O$3&lt;=$L143),$J143/$M143*HLOOKUP(O$3,'FX Lookup'!$A$2:$Y$6,2,FALSE),0)</f>
        <v>0</v>
      </c>
      <c r="P143" s="177">
        <f>IF(AND($K143&lt;=P$3,P$3&lt;=$L143),$J143/$M143*HLOOKUP(P$3,'FX Lookup'!$A$2:$Y$6,2,FALSE),0)</f>
        <v>0</v>
      </c>
      <c r="Q143" s="177">
        <f>IF(AND($K143&lt;=Q$3,Q$3&lt;=$L143),$J143/$M143*HLOOKUP(Q$3,'FX Lookup'!$A$2:$Y$6,2,FALSE),0)</f>
        <v>0</v>
      </c>
      <c r="R143" s="177">
        <f>IF(AND($K143&lt;=R$3,R$3&lt;=$L143),$J143/$M143*HLOOKUP(R$3,'FX Lookup'!$A$2:$Y$6,2,FALSE),0)</f>
        <v>0</v>
      </c>
      <c r="S143" s="177">
        <f>IF(AND($K143&lt;=S$3,S$3&lt;=$L143),$J143/$M143*HLOOKUP(S$3,'FX Lookup'!$A$2:$Y$6,2,FALSE),0)</f>
        <v>0</v>
      </c>
      <c r="T143" s="177">
        <f>IF(AND($K143&lt;=T$3,T$3&lt;=$L143),$J143/$M143*HLOOKUP(T$3,'FX Lookup'!$A$2:$Y$6,2,FALSE),0)</f>
        <v>0</v>
      </c>
      <c r="U143" s="177">
        <f>IF(AND($K143&lt;=U$3,U$3&lt;=$L143),$J143/$M143*HLOOKUP(U$3,'FX Lookup'!$A$2:$Y$6,2,FALSE),0)</f>
        <v>0</v>
      </c>
      <c r="V143" s="177">
        <f>IF(AND($K143&lt;=V$3,V$3&lt;=$L143),$J143/$M143*HLOOKUP(V$3,'FX Lookup'!$A$2:$Y$6,2,FALSE),0)</f>
        <v>0</v>
      </c>
      <c r="W143" s="177">
        <f>IF(AND($K143&lt;=W$3,W$3&lt;=$L143),$J143/$M143*HLOOKUP(W$3,'FX Lookup'!$A$2:$Y$6,2,FALSE),0)</f>
        <v>0</v>
      </c>
      <c r="X143" s="177">
        <f>IF(AND($K143&lt;=X$3,X$3&lt;=$L143),$J143/$M143*HLOOKUP(X$3,'FX Lookup'!$A$2:$Y$6,2,FALSE),0)</f>
        <v>0</v>
      </c>
      <c r="Y143" s="177">
        <f>IF(AND($K143&lt;=Y$3,Y$3&lt;=$L143),$J143/$M143*HLOOKUP(Y$3,'FX Lookup'!$A$2:$Y$6,2,FALSE),0)</f>
        <v>0</v>
      </c>
      <c r="Z143" s="178">
        <f t="shared" si="241"/>
        <v>0</v>
      </c>
      <c r="AA143" s="173" t="s">
        <v>2409</v>
      </c>
      <c r="AB143" s="184"/>
      <c r="AC143" s="456">
        <v>46174</v>
      </c>
      <c r="AD143" s="456">
        <v>46203</v>
      </c>
      <c r="AE143" s="462">
        <f t="shared" si="225"/>
        <v>1</v>
      </c>
      <c r="AF143" s="177">
        <f>IF(AND($AC143&lt;=AF$3,AF$3&lt;=$AD143),$AB143/$AE143*HLOOKUP(AF$3,'FX Lookup'!$A$2:$Y$6,2,FALSE),0)</f>
        <v>0</v>
      </c>
      <c r="AG143" s="177">
        <f>IF(AND($AC143&lt;=AG$3,AG$3&lt;=$AD143),$AB143/$AE143*HLOOKUP(AG$3,'FX Lookup'!$A$2:$Y$6,2,FALSE),0)</f>
        <v>0</v>
      </c>
      <c r="AH143" s="177">
        <f>IF(AND($AC143&lt;=AH$3,AH$3&lt;=$AD143),$AB143/$AE143*HLOOKUP(AH$3,'FX Lookup'!$A$2:$Y$6,2,FALSE),0)</f>
        <v>0</v>
      </c>
      <c r="AI143" s="177">
        <f>IF(AND($AC143&lt;=AI$3,AI$3&lt;=$AD143),$AB143/$AE143*HLOOKUP(AI$3,'FX Lookup'!$A$2:$Y$6,2,FALSE),0)</f>
        <v>0</v>
      </c>
      <c r="AJ143" s="177">
        <f>IF(AND($AC143&lt;=AJ$3,AJ$3&lt;=$AD143),$AB143/$AE143*HLOOKUP(AJ$3,'FX Lookup'!$A$2:$Y$6,2,FALSE),0)</f>
        <v>0</v>
      </c>
      <c r="AK143" s="177">
        <f>IF(AND($AC143&lt;=AK$3,AK$3&lt;=$AD143),$AB143/$AE143*HLOOKUP(AK$3,'FX Lookup'!$A$2:$Y$6,2,FALSE),0)</f>
        <v>0</v>
      </c>
      <c r="AL143" s="177">
        <f>IF(AND($AC143&lt;=AL$3,AL$3&lt;=$AD143),$AB143/$AE143*HLOOKUP(AL$3,'FX Lookup'!$A$2:$Y$6,2,FALSE),0)</f>
        <v>0</v>
      </c>
      <c r="AM143" s="177">
        <f>IF(AND($AC143&lt;=AM$3,AM$3&lt;=$AD143),$AB143/$AE143*HLOOKUP(AM$3,'FX Lookup'!$A$2:$Y$6,2,FALSE),0)</f>
        <v>0</v>
      </c>
      <c r="AN143" s="177">
        <f>IF(AND($AC143&lt;=AN$3,AN$3&lt;=$AD143),$AB143/$AE143*HLOOKUP(AN$3,'FX Lookup'!$A$2:$Y$6,2,FALSE),0)</f>
        <v>0</v>
      </c>
      <c r="AO143" s="177">
        <f>IF(AND($AC143&lt;=AO$3,AO$3&lt;=$AD143),$AB143/$AE143*HLOOKUP(AO$3,'FX Lookup'!$A$2:$Y$6,2,FALSE),0)</f>
        <v>0</v>
      </c>
      <c r="AP143" s="177">
        <f>IF(AND($AC143&lt;=AP$3,AP$3&lt;=$AD143),$AB143/$AE143*HLOOKUP(AP$3,'FX Lookup'!$A$2:$Y$6,2,FALSE),0)</f>
        <v>0</v>
      </c>
      <c r="AQ143" s="177">
        <f>IF(AND($AC143&lt;=AQ$3,AQ$3&lt;=$AD143),$AB143/$AE143*HLOOKUP(AQ$3,'FX Lookup'!$A$2:$Y$6,2,FALSE),0)</f>
        <v>0</v>
      </c>
      <c r="AR143" s="178">
        <f t="shared" si="242"/>
        <v>0</v>
      </c>
      <c r="AT143" s="177">
        <f t="shared" si="226"/>
        <v>0</v>
      </c>
      <c r="AU143" s="177">
        <f t="shared" si="227"/>
        <v>0</v>
      </c>
      <c r="AV143" s="177">
        <f t="shared" si="228"/>
        <v>0</v>
      </c>
      <c r="AW143" s="177">
        <f t="shared" si="229"/>
        <v>0</v>
      </c>
      <c r="AX143" s="177">
        <f t="shared" si="230"/>
        <v>0</v>
      </c>
      <c r="AY143" s="177">
        <f t="shared" si="231"/>
        <v>0</v>
      </c>
      <c r="AZ143" s="177">
        <f t="shared" si="232"/>
        <v>0</v>
      </c>
      <c r="BA143" s="177">
        <f t="shared" si="233"/>
        <v>0</v>
      </c>
      <c r="BB143" s="177">
        <f t="shared" si="234"/>
        <v>0</v>
      </c>
      <c r="BC143" s="177">
        <f t="shared" si="235"/>
        <v>0</v>
      </c>
      <c r="BD143" s="177">
        <f t="shared" si="236"/>
        <v>0</v>
      </c>
      <c r="BE143" s="177">
        <f t="shared" si="237"/>
        <v>0</v>
      </c>
      <c r="BF143" s="178">
        <f t="shared" si="238"/>
        <v>0</v>
      </c>
    </row>
    <row r="144" spans="1:58" ht="15" customHeight="1">
      <c r="A144" s="171">
        <f t="shared" si="239"/>
        <v>13</v>
      </c>
      <c r="B144" s="171" t="s">
        <v>2741</v>
      </c>
      <c r="C144" s="171"/>
      <c r="D144" s="171"/>
      <c r="E144" s="172" t="str">
        <f t="shared" si="224"/>
        <v>Capital Verification Fees</v>
      </c>
      <c r="F144" s="172"/>
      <c r="G144" s="77" t="s">
        <v>2613</v>
      </c>
      <c r="H144" s="173" t="s">
        <v>2614</v>
      </c>
      <c r="I144" s="173" t="s">
        <v>2409</v>
      </c>
      <c r="J144" s="184"/>
      <c r="K144" s="456">
        <v>45658</v>
      </c>
      <c r="L144" s="456">
        <v>46022</v>
      </c>
      <c r="M144" s="462">
        <f t="shared" si="240"/>
        <v>12</v>
      </c>
      <c r="N144" s="177">
        <f>IF(AND($K144&lt;=N$3,N$3&lt;=$L144),$J144/$M144*HLOOKUP(N$3,'FX Lookup'!$A$2:$Y$6,2,FALSE),0)</f>
        <v>0</v>
      </c>
      <c r="O144" s="177">
        <f>IF(AND($K144&lt;=O$3,O$3&lt;=$L144),$J144/$M144*HLOOKUP(O$3,'FX Lookup'!$A$2:$Y$6,2,FALSE),0)</f>
        <v>0</v>
      </c>
      <c r="P144" s="177">
        <f>IF(AND($K144&lt;=P$3,P$3&lt;=$L144),$J144/$M144*HLOOKUP(P$3,'FX Lookup'!$A$2:$Y$6,2,FALSE),0)</f>
        <v>0</v>
      </c>
      <c r="Q144" s="177">
        <f>IF(AND($K144&lt;=Q$3,Q$3&lt;=$L144),$J144/$M144*HLOOKUP(Q$3,'FX Lookup'!$A$2:$Y$6,2,FALSE),0)</f>
        <v>0</v>
      </c>
      <c r="R144" s="177">
        <f>IF(AND($K144&lt;=R$3,R$3&lt;=$L144),$J144/$M144*HLOOKUP(R$3,'FX Lookup'!$A$2:$Y$6,2,FALSE),0)</f>
        <v>0</v>
      </c>
      <c r="S144" s="177">
        <f>IF(AND($K144&lt;=S$3,S$3&lt;=$L144),$J144/$M144*HLOOKUP(S$3,'FX Lookup'!$A$2:$Y$6,2,FALSE),0)</f>
        <v>0</v>
      </c>
      <c r="T144" s="177">
        <f>IF(AND($K144&lt;=T$3,T$3&lt;=$L144),$J144/$M144*HLOOKUP(T$3,'FX Lookup'!$A$2:$Y$6,2,FALSE),0)</f>
        <v>0</v>
      </c>
      <c r="U144" s="177">
        <f>IF(AND($K144&lt;=U$3,U$3&lt;=$L144),$J144/$M144*HLOOKUP(U$3,'FX Lookup'!$A$2:$Y$6,2,FALSE),0)</f>
        <v>0</v>
      </c>
      <c r="V144" s="177">
        <f>IF(AND($K144&lt;=V$3,V$3&lt;=$L144),$J144/$M144*HLOOKUP(V$3,'FX Lookup'!$A$2:$Y$6,2,FALSE),0)</f>
        <v>0</v>
      </c>
      <c r="W144" s="177">
        <f>IF(AND($K144&lt;=W$3,W$3&lt;=$L144),$J144/$M144*HLOOKUP(W$3,'FX Lookup'!$A$2:$Y$6,2,FALSE),0)</f>
        <v>0</v>
      </c>
      <c r="X144" s="177">
        <f>IF(AND($K144&lt;=X$3,X$3&lt;=$L144),$J144/$M144*HLOOKUP(X$3,'FX Lookup'!$A$2:$Y$6,2,FALSE),0)</f>
        <v>0</v>
      </c>
      <c r="Y144" s="177">
        <f>IF(AND($K144&lt;=Y$3,Y$3&lt;=$L144),$J144/$M144*HLOOKUP(Y$3,'FX Lookup'!$A$2:$Y$6,2,FALSE),0)</f>
        <v>0</v>
      </c>
      <c r="Z144" s="178">
        <f t="shared" si="241"/>
        <v>0</v>
      </c>
      <c r="AA144" s="173" t="s">
        <v>2409</v>
      </c>
      <c r="AB144" s="184"/>
      <c r="AC144" s="456">
        <v>46023</v>
      </c>
      <c r="AD144" s="456">
        <v>46387</v>
      </c>
      <c r="AE144" s="462">
        <f t="shared" si="225"/>
        <v>12</v>
      </c>
      <c r="AF144" s="177">
        <f>IF(AND($AC144&lt;=AF$3,AF$3&lt;=$AD144),$AB144/$AE144*HLOOKUP(AF$3,'FX Lookup'!$A$2:$Y$6,2,FALSE),0)</f>
        <v>0</v>
      </c>
      <c r="AG144" s="177">
        <f>IF(AND($AC144&lt;=AG$3,AG$3&lt;=$AD144),$AB144/$AE144*HLOOKUP(AG$3,'FX Lookup'!$A$2:$Y$6,2,FALSE),0)</f>
        <v>0</v>
      </c>
      <c r="AH144" s="177">
        <f>IF(AND($AC144&lt;=AH$3,AH$3&lt;=$AD144),$AB144/$AE144*HLOOKUP(AH$3,'FX Lookup'!$A$2:$Y$6,2,FALSE),0)</f>
        <v>0</v>
      </c>
      <c r="AI144" s="177">
        <f>IF(AND($AC144&lt;=AI$3,AI$3&lt;=$AD144),$AB144/$AE144*HLOOKUP(AI$3,'FX Lookup'!$A$2:$Y$6,2,FALSE),0)</f>
        <v>0</v>
      </c>
      <c r="AJ144" s="177">
        <f>IF(AND($AC144&lt;=AJ$3,AJ$3&lt;=$AD144),$AB144/$AE144*HLOOKUP(AJ$3,'FX Lookup'!$A$2:$Y$6,2,FALSE),0)</f>
        <v>0</v>
      </c>
      <c r="AK144" s="177">
        <f>IF(AND($AC144&lt;=AK$3,AK$3&lt;=$AD144),$AB144/$AE144*HLOOKUP(AK$3,'FX Lookup'!$A$2:$Y$6,2,FALSE),0)</f>
        <v>0</v>
      </c>
      <c r="AL144" s="177">
        <f>IF(AND($AC144&lt;=AL$3,AL$3&lt;=$AD144),$AB144/$AE144*HLOOKUP(AL$3,'FX Lookup'!$A$2:$Y$6,2,FALSE),0)</f>
        <v>0</v>
      </c>
      <c r="AM144" s="177">
        <f>IF(AND($AC144&lt;=AM$3,AM$3&lt;=$AD144),$AB144/$AE144*HLOOKUP(AM$3,'FX Lookup'!$A$2:$Y$6,2,FALSE),0)</f>
        <v>0</v>
      </c>
      <c r="AN144" s="177">
        <f>IF(AND($AC144&lt;=AN$3,AN$3&lt;=$AD144),$AB144/$AE144*HLOOKUP(AN$3,'FX Lookup'!$A$2:$Y$6,2,FALSE),0)</f>
        <v>0</v>
      </c>
      <c r="AO144" s="177">
        <f>IF(AND($AC144&lt;=AO$3,AO$3&lt;=$AD144),$AB144/$AE144*HLOOKUP(AO$3,'FX Lookup'!$A$2:$Y$6,2,FALSE),0)</f>
        <v>0</v>
      </c>
      <c r="AP144" s="177">
        <f>IF(AND($AC144&lt;=AP$3,AP$3&lt;=$AD144),$AB144/$AE144*HLOOKUP(AP$3,'FX Lookup'!$A$2:$Y$6,2,FALSE),0)</f>
        <v>0</v>
      </c>
      <c r="AQ144" s="177">
        <f>IF(AND($AC144&lt;=AQ$3,AQ$3&lt;=$AD144),$AB144/$AE144*HLOOKUP(AQ$3,'FX Lookup'!$A$2:$Y$6,2,FALSE),0)</f>
        <v>0</v>
      </c>
      <c r="AR144" s="178">
        <f t="shared" si="242"/>
        <v>0</v>
      </c>
      <c r="AT144" s="177">
        <f t="shared" si="226"/>
        <v>0</v>
      </c>
      <c r="AU144" s="177">
        <f t="shared" si="227"/>
        <v>0</v>
      </c>
      <c r="AV144" s="177">
        <f t="shared" si="228"/>
        <v>0</v>
      </c>
      <c r="AW144" s="177">
        <f t="shared" si="229"/>
        <v>0</v>
      </c>
      <c r="AX144" s="177">
        <f t="shared" si="230"/>
        <v>0</v>
      </c>
      <c r="AY144" s="177">
        <f t="shared" si="231"/>
        <v>0</v>
      </c>
      <c r="AZ144" s="177">
        <f t="shared" si="232"/>
        <v>0</v>
      </c>
      <c r="BA144" s="177">
        <f t="shared" si="233"/>
        <v>0</v>
      </c>
      <c r="BB144" s="177">
        <f t="shared" si="234"/>
        <v>0</v>
      </c>
      <c r="BC144" s="177">
        <f t="shared" si="235"/>
        <v>0</v>
      </c>
      <c r="BD144" s="177">
        <f t="shared" si="236"/>
        <v>0</v>
      </c>
      <c r="BE144" s="177">
        <f t="shared" si="237"/>
        <v>0</v>
      </c>
      <c r="BF144" s="178">
        <f t="shared" si="238"/>
        <v>0</v>
      </c>
    </row>
    <row r="145" spans="1:58" ht="15" customHeight="1">
      <c r="A145" s="171">
        <f t="shared" si="239"/>
        <v>14</v>
      </c>
      <c r="B145" s="171" t="s">
        <v>2741</v>
      </c>
      <c r="C145" s="171"/>
      <c r="D145" s="171"/>
      <c r="E145" s="172" t="str">
        <f t="shared" si="224"/>
        <v>Industry Research Fee</v>
      </c>
      <c r="F145" s="172"/>
      <c r="G145" s="77" t="s">
        <v>2613</v>
      </c>
      <c r="H145" s="173" t="s">
        <v>2614</v>
      </c>
      <c r="I145" s="173" t="s">
        <v>2409</v>
      </c>
      <c r="J145" s="184"/>
      <c r="K145" s="456">
        <v>45658</v>
      </c>
      <c r="L145" s="456">
        <v>46022</v>
      </c>
      <c r="M145" s="462">
        <f t="shared" si="240"/>
        <v>12</v>
      </c>
      <c r="N145" s="177">
        <f>IF(AND($K145&lt;=N$3,N$3&lt;=$L145),$J145/$M145*HLOOKUP(N$3,'FX Lookup'!$A$2:$Y$6,2,FALSE),0)</f>
        <v>0</v>
      </c>
      <c r="O145" s="177">
        <f>IF(AND($K145&lt;=O$3,O$3&lt;=$L145),$J145/$M145*HLOOKUP(O$3,'FX Lookup'!$A$2:$Y$6,2,FALSE),0)</f>
        <v>0</v>
      </c>
      <c r="P145" s="177">
        <f>IF(AND($K145&lt;=P$3,P$3&lt;=$L145),$J145/$M145*HLOOKUP(P$3,'FX Lookup'!$A$2:$Y$6,2,FALSE),0)</f>
        <v>0</v>
      </c>
      <c r="Q145" s="177">
        <f>IF(AND($K145&lt;=Q$3,Q$3&lt;=$L145),$J145/$M145*HLOOKUP(Q$3,'FX Lookup'!$A$2:$Y$6,2,FALSE),0)</f>
        <v>0</v>
      </c>
      <c r="R145" s="177">
        <f>IF(AND($K145&lt;=R$3,R$3&lt;=$L145),$J145/$M145*HLOOKUP(R$3,'FX Lookup'!$A$2:$Y$6,2,FALSE),0)</f>
        <v>0</v>
      </c>
      <c r="S145" s="177">
        <f>IF(AND($K145&lt;=S$3,S$3&lt;=$L145),$J145/$M145*HLOOKUP(S$3,'FX Lookup'!$A$2:$Y$6,2,FALSE),0)</f>
        <v>0</v>
      </c>
      <c r="T145" s="177">
        <f>IF(AND($K145&lt;=T$3,T$3&lt;=$L145),$J145/$M145*HLOOKUP(T$3,'FX Lookup'!$A$2:$Y$6,2,FALSE),0)</f>
        <v>0</v>
      </c>
      <c r="U145" s="177">
        <f>IF(AND($K145&lt;=U$3,U$3&lt;=$L145),$J145/$M145*HLOOKUP(U$3,'FX Lookup'!$A$2:$Y$6,2,FALSE),0)</f>
        <v>0</v>
      </c>
      <c r="V145" s="177">
        <f>IF(AND($K145&lt;=V$3,V$3&lt;=$L145),$J145/$M145*HLOOKUP(V$3,'FX Lookup'!$A$2:$Y$6,2,FALSE),0)</f>
        <v>0</v>
      </c>
      <c r="W145" s="177">
        <f>IF(AND($K145&lt;=W$3,W$3&lt;=$L145),$J145/$M145*HLOOKUP(W$3,'FX Lookup'!$A$2:$Y$6,2,FALSE),0)</f>
        <v>0</v>
      </c>
      <c r="X145" s="177">
        <f>IF(AND($K145&lt;=X$3,X$3&lt;=$L145),$J145/$M145*HLOOKUP(X$3,'FX Lookup'!$A$2:$Y$6,2,FALSE),0)</f>
        <v>0</v>
      </c>
      <c r="Y145" s="177">
        <f>IF(AND($K145&lt;=Y$3,Y$3&lt;=$L145),$J145/$M145*HLOOKUP(Y$3,'FX Lookup'!$A$2:$Y$6,2,FALSE),0)</f>
        <v>0</v>
      </c>
      <c r="Z145" s="178">
        <f t="shared" si="241"/>
        <v>0</v>
      </c>
      <c r="AA145" s="173" t="s">
        <v>2409</v>
      </c>
      <c r="AB145" s="184"/>
      <c r="AC145" s="456">
        <v>46023</v>
      </c>
      <c r="AD145" s="456">
        <v>46387</v>
      </c>
      <c r="AE145" s="462">
        <f t="shared" si="225"/>
        <v>12</v>
      </c>
      <c r="AF145" s="177">
        <f>IF(AND($AC145&lt;=AF$3,AF$3&lt;=$AD145),$AB145/$AE145*HLOOKUP(AF$3,'FX Lookup'!$A$2:$Y$6,2,FALSE),0)</f>
        <v>0</v>
      </c>
      <c r="AG145" s="177">
        <f>IF(AND($AC145&lt;=AG$3,AG$3&lt;=$AD145),$AB145/$AE145*HLOOKUP(AG$3,'FX Lookup'!$A$2:$Y$6,2,FALSE),0)</f>
        <v>0</v>
      </c>
      <c r="AH145" s="177">
        <f>IF(AND($AC145&lt;=AH$3,AH$3&lt;=$AD145),$AB145/$AE145*HLOOKUP(AH$3,'FX Lookup'!$A$2:$Y$6,2,FALSE),0)</f>
        <v>0</v>
      </c>
      <c r="AI145" s="177">
        <f>IF(AND($AC145&lt;=AI$3,AI$3&lt;=$AD145),$AB145/$AE145*HLOOKUP(AI$3,'FX Lookup'!$A$2:$Y$6,2,FALSE),0)</f>
        <v>0</v>
      </c>
      <c r="AJ145" s="177">
        <f>IF(AND($AC145&lt;=AJ$3,AJ$3&lt;=$AD145),$AB145/$AE145*HLOOKUP(AJ$3,'FX Lookup'!$A$2:$Y$6,2,FALSE),0)</f>
        <v>0</v>
      </c>
      <c r="AK145" s="177">
        <f>IF(AND($AC145&lt;=AK$3,AK$3&lt;=$AD145),$AB145/$AE145*HLOOKUP(AK$3,'FX Lookup'!$A$2:$Y$6,2,FALSE),0)</f>
        <v>0</v>
      </c>
      <c r="AL145" s="177">
        <f>IF(AND($AC145&lt;=AL$3,AL$3&lt;=$AD145),$AB145/$AE145*HLOOKUP(AL$3,'FX Lookup'!$A$2:$Y$6,2,FALSE),0)</f>
        <v>0</v>
      </c>
      <c r="AM145" s="177">
        <f>IF(AND($AC145&lt;=AM$3,AM$3&lt;=$AD145),$AB145/$AE145*HLOOKUP(AM$3,'FX Lookup'!$A$2:$Y$6,2,FALSE),0)</f>
        <v>0</v>
      </c>
      <c r="AN145" s="177">
        <f>IF(AND($AC145&lt;=AN$3,AN$3&lt;=$AD145),$AB145/$AE145*HLOOKUP(AN$3,'FX Lookup'!$A$2:$Y$6,2,FALSE),0)</f>
        <v>0</v>
      </c>
      <c r="AO145" s="177">
        <f>IF(AND($AC145&lt;=AO$3,AO$3&lt;=$AD145),$AB145/$AE145*HLOOKUP(AO$3,'FX Lookup'!$A$2:$Y$6,2,FALSE),0)</f>
        <v>0</v>
      </c>
      <c r="AP145" s="177">
        <f>IF(AND($AC145&lt;=AP$3,AP$3&lt;=$AD145),$AB145/$AE145*HLOOKUP(AP$3,'FX Lookup'!$A$2:$Y$6,2,FALSE),0)</f>
        <v>0</v>
      </c>
      <c r="AQ145" s="177">
        <f>IF(AND($AC145&lt;=AQ$3,AQ$3&lt;=$AD145),$AB145/$AE145*HLOOKUP(AQ$3,'FX Lookup'!$A$2:$Y$6,2,FALSE),0)</f>
        <v>0</v>
      </c>
      <c r="AR145" s="178">
        <f t="shared" si="242"/>
        <v>0</v>
      </c>
      <c r="AT145" s="177">
        <f t="shared" si="226"/>
        <v>0</v>
      </c>
      <c r="AU145" s="177">
        <f t="shared" si="227"/>
        <v>0</v>
      </c>
      <c r="AV145" s="177">
        <f t="shared" si="228"/>
        <v>0</v>
      </c>
      <c r="AW145" s="177">
        <f t="shared" si="229"/>
        <v>0</v>
      </c>
      <c r="AX145" s="177">
        <f t="shared" si="230"/>
        <v>0</v>
      </c>
      <c r="AY145" s="177">
        <f t="shared" si="231"/>
        <v>0</v>
      </c>
      <c r="AZ145" s="177">
        <f t="shared" si="232"/>
        <v>0</v>
      </c>
      <c r="BA145" s="177">
        <f t="shared" si="233"/>
        <v>0</v>
      </c>
      <c r="BB145" s="177">
        <f t="shared" si="234"/>
        <v>0</v>
      </c>
      <c r="BC145" s="177">
        <f t="shared" si="235"/>
        <v>0</v>
      </c>
      <c r="BD145" s="177">
        <f t="shared" si="236"/>
        <v>0</v>
      </c>
      <c r="BE145" s="177">
        <f t="shared" si="237"/>
        <v>0</v>
      </c>
      <c r="BF145" s="178">
        <f t="shared" si="238"/>
        <v>0</v>
      </c>
    </row>
    <row r="146" spans="1:58" ht="15" customHeight="1">
      <c r="A146" s="171">
        <f t="shared" si="239"/>
        <v>15</v>
      </c>
      <c r="B146" s="171" t="s">
        <v>2741</v>
      </c>
      <c r="C146" s="171"/>
      <c r="D146" s="171"/>
      <c r="E146" s="172" t="str">
        <f t="shared" si="224"/>
        <v>Project Due Diligence Fee</v>
      </c>
      <c r="F146" s="172"/>
      <c r="G146" s="77" t="s">
        <v>2613</v>
      </c>
      <c r="H146" s="173" t="s">
        <v>2614</v>
      </c>
      <c r="I146" s="173" t="s">
        <v>2409</v>
      </c>
      <c r="J146" s="184"/>
      <c r="K146" s="456">
        <v>45658</v>
      </c>
      <c r="L146" s="456">
        <v>45688</v>
      </c>
      <c r="M146" s="462">
        <f t="shared" si="240"/>
        <v>1</v>
      </c>
      <c r="N146" s="177">
        <f>IF(AND($K146&lt;=N$3,N$3&lt;=$L146),$J146/$M146*HLOOKUP(N$3,'FX Lookup'!$A$2:$Y$6,2,FALSE),0)</f>
        <v>0</v>
      </c>
      <c r="O146" s="177">
        <f>IF(AND($K146&lt;=O$3,O$3&lt;=$L146),$J146/$M146*HLOOKUP(O$3,'FX Lookup'!$A$2:$Y$6,2,FALSE),0)</f>
        <v>0</v>
      </c>
      <c r="P146" s="177">
        <f>IF(AND($K146&lt;=P$3,P$3&lt;=$L146),$J146/$M146*HLOOKUP(P$3,'FX Lookup'!$A$2:$Y$6,2,FALSE),0)</f>
        <v>0</v>
      </c>
      <c r="Q146" s="177">
        <f>IF(AND($K146&lt;=Q$3,Q$3&lt;=$L146),$J146/$M146*HLOOKUP(Q$3,'FX Lookup'!$A$2:$Y$6,2,FALSE),0)</f>
        <v>0</v>
      </c>
      <c r="R146" s="177">
        <f>IF(AND($K146&lt;=R$3,R$3&lt;=$L146),$J146/$M146*HLOOKUP(R$3,'FX Lookup'!$A$2:$Y$6,2,FALSE),0)</f>
        <v>0</v>
      </c>
      <c r="S146" s="177">
        <f>IF(AND($K146&lt;=S$3,S$3&lt;=$L146),$J146/$M146*HLOOKUP(S$3,'FX Lookup'!$A$2:$Y$6,2,FALSE),0)</f>
        <v>0</v>
      </c>
      <c r="T146" s="177">
        <f>IF(AND($K146&lt;=T$3,T$3&lt;=$L146),$J146/$M146*HLOOKUP(T$3,'FX Lookup'!$A$2:$Y$6,2,FALSE),0)</f>
        <v>0</v>
      </c>
      <c r="U146" s="177">
        <f>IF(AND($K146&lt;=U$3,U$3&lt;=$L146),$J146/$M146*HLOOKUP(U$3,'FX Lookup'!$A$2:$Y$6,2,FALSE),0)</f>
        <v>0</v>
      </c>
      <c r="V146" s="177">
        <f>IF(AND($K146&lt;=V$3,V$3&lt;=$L146),$J146/$M146*HLOOKUP(V$3,'FX Lookup'!$A$2:$Y$6,2,FALSE),0)</f>
        <v>0</v>
      </c>
      <c r="W146" s="177">
        <f>IF(AND($K146&lt;=W$3,W$3&lt;=$L146),$J146/$M146*HLOOKUP(W$3,'FX Lookup'!$A$2:$Y$6,2,FALSE),0)</f>
        <v>0</v>
      </c>
      <c r="X146" s="177">
        <f>IF(AND($K146&lt;=X$3,X$3&lt;=$L146),$J146/$M146*HLOOKUP(X$3,'FX Lookup'!$A$2:$Y$6,2,FALSE),0)</f>
        <v>0</v>
      </c>
      <c r="Y146" s="177">
        <f>IF(AND($K146&lt;=Y$3,Y$3&lt;=$L146),$J146/$M146*HLOOKUP(Y$3,'FX Lookup'!$A$2:$Y$6,2,FALSE),0)</f>
        <v>0</v>
      </c>
      <c r="Z146" s="178">
        <f t="shared" si="241"/>
        <v>0</v>
      </c>
      <c r="AA146" s="173" t="s">
        <v>2409</v>
      </c>
      <c r="AB146" s="184"/>
      <c r="AC146" s="456">
        <v>46023</v>
      </c>
      <c r="AD146" s="456">
        <v>46053</v>
      </c>
      <c r="AE146" s="462">
        <f t="shared" si="225"/>
        <v>1</v>
      </c>
      <c r="AF146" s="177">
        <f>IF(AND($AC146&lt;=AF$3,AF$3&lt;=$AD146),$AB146/$AE146*HLOOKUP(AF$3,'FX Lookup'!$A$2:$Y$6,2,FALSE),0)</f>
        <v>0</v>
      </c>
      <c r="AG146" s="177">
        <f>IF(AND($AC146&lt;=AG$3,AG$3&lt;=$AD146),$AB146/$AE146*HLOOKUP(AG$3,'FX Lookup'!$A$2:$Y$6,2,FALSE),0)</f>
        <v>0</v>
      </c>
      <c r="AH146" s="177">
        <f>IF(AND($AC146&lt;=AH$3,AH$3&lt;=$AD146),$AB146/$AE146*HLOOKUP(AH$3,'FX Lookup'!$A$2:$Y$6,2,FALSE),0)</f>
        <v>0</v>
      </c>
      <c r="AI146" s="177">
        <f>IF(AND($AC146&lt;=AI$3,AI$3&lt;=$AD146),$AB146/$AE146*HLOOKUP(AI$3,'FX Lookup'!$A$2:$Y$6,2,FALSE),0)</f>
        <v>0</v>
      </c>
      <c r="AJ146" s="177">
        <f>IF(AND($AC146&lt;=AJ$3,AJ$3&lt;=$AD146),$AB146/$AE146*HLOOKUP(AJ$3,'FX Lookup'!$A$2:$Y$6,2,FALSE),0)</f>
        <v>0</v>
      </c>
      <c r="AK146" s="177">
        <f>IF(AND($AC146&lt;=AK$3,AK$3&lt;=$AD146),$AB146/$AE146*HLOOKUP(AK$3,'FX Lookup'!$A$2:$Y$6,2,FALSE),0)</f>
        <v>0</v>
      </c>
      <c r="AL146" s="177">
        <f>IF(AND($AC146&lt;=AL$3,AL$3&lt;=$AD146),$AB146/$AE146*HLOOKUP(AL$3,'FX Lookup'!$A$2:$Y$6,2,FALSE),0)</f>
        <v>0</v>
      </c>
      <c r="AM146" s="177">
        <f>IF(AND($AC146&lt;=AM$3,AM$3&lt;=$AD146),$AB146/$AE146*HLOOKUP(AM$3,'FX Lookup'!$A$2:$Y$6,2,FALSE),0)</f>
        <v>0</v>
      </c>
      <c r="AN146" s="177">
        <f>IF(AND($AC146&lt;=AN$3,AN$3&lt;=$AD146),$AB146/$AE146*HLOOKUP(AN$3,'FX Lookup'!$A$2:$Y$6,2,FALSE),0)</f>
        <v>0</v>
      </c>
      <c r="AO146" s="177">
        <f>IF(AND($AC146&lt;=AO$3,AO$3&lt;=$AD146),$AB146/$AE146*HLOOKUP(AO$3,'FX Lookup'!$A$2:$Y$6,2,FALSE),0)</f>
        <v>0</v>
      </c>
      <c r="AP146" s="177">
        <f>IF(AND($AC146&lt;=AP$3,AP$3&lt;=$AD146),$AB146/$AE146*HLOOKUP(AP$3,'FX Lookup'!$A$2:$Y$6,2,FALSE),0)</f>
        <v>0</v>
      </c>
      <c r="AQ146" s="177">
        <f>IF(AND($AC146&lt;=AQ$3,AQ$3&lt;=$AD146),$AB146/$AE146*HLOOKUP(AQ$3,'FX Lookup'!$A$2:$Y$6,2,FALSE),0)</f>
        <v>0</v>
      </c>
      <c r="AR146" s="178">
        <f t="shared" si="242"/>
        <v>0</v>
      </c>
      <c r="AT146" s="177">
        <f t="shared" si="226"/>
        <v>0</v>
      </c>
      <c r="AU146" s="177">
        <f t="shared" si="227"/>
        <v>0</v>
      </c>
      <c r="AV146" s="177">
        <f t="shared" si="228"/>
        <v>0</v>
      </c>
      <c r="AW146" s="177">
        <f t="shared" si="229"/>
        <v>0</v>
      </c>
      <c r="AX146" s="177">
        <f t="shared" si="230"/>
        <v>0</v>
      </c>
      <c r="AY146" s="177">
        <f t="shared" si="231"/>
        <v>0</v>
      </c>
      <c r="AZ146" s="177">
        <f t="shared" si="232"/>
        <v>0</v>
      </c>
      <c r="BA146" s="177">
        <f t="shared" si="233"/>
        <v>0</v>
      </c>
      <c r="BB146" s="177">
        <f t="shared" si="234"/>
        <v>0</v>
      </c>
      <c r="BC146" s="177">
        <f t="shared" si="235"/>
        <v>0</v>
      </c>
      <c r="BD146" s="177">
        <f t="shared" si="236"/>
        <v>0</v>
      </c>
      <c r="BE146" s="177">
        <f t="shared" si="237"/>
        <v>0</v>
      </c>
      <c r="BF146" s="178">
        <f t="shared" si="238"/>
        <v>0</v>
      </c>
    </row>
    <row r="147" spans="1:58" ht="15" customHeight="1">
      <c r="A147" s="171">
        <f t="shared" si="239"/>
        <v>16</v>
      </c>
      <c r="B147" s="171" t="s">
        <v>2741</v>
      </c>
      <c r="C147" s="171"/>
      <c r="D147" s="171" t="s">
        <v>1539</v>
      </c>
      <c r="E147" s="172" t="str">
        <f t="shared" si="224"/>
        <v>Legal Fees</v>
      </c>
      <c r="F147" s="172"/>
      <c r="G147" s="77" t="s">
        <v>2613</v>
      </c>
      <c r="H147" s="173" t="s">
        <v>2614</v>
      </c>
      <c r="I147" s="173" t="s">
        <v>2409</v>
      </c>
      <c r="J147" s="184"/>
      <c r="K147" s="456">
        <v>45658</v>
      </c>
      <c r="L147" s="456">
        <v>45688</v>
      </c>
      <c r="M147" s="462">
        <f t="shared" si="240"/>
        <v>1</v>
      </c>
      <c r="N147" s="177">
        <f>IF(AND($K147&lt;=N$3,N$3&lt;=$L147),$J147/$M147*HLOOKUP(N$3,'FX Lookup'!$A$2:$Y$6,2,FALSE),0)</f>
        <v>0</v>
      </c>
      <c r="O147" s="177">
        <f>IF(AND($K147&lt;=O$3,O$3&lt;=$L147),$J147/$M147*HLOOKUP(O$3,'FX Lookup'!$A$2:$Y$6,2,FALSE),0)</f>
        <v>0</v>
      </c>
      <c r="P147" s="177">
        <f>IF(AND($K147&lt;=P$3,P$3&lt;=$L147),$J147/$M147*HLOOKUP(P$3,'FX Lookup'!$A$2:$Y$6,2,FALSE),0)</f>
        <v>0</v>
      </c>
      <c r="Q147" s="177">
        <f>IF(AND($K147&lt;=Q$3,Q$3&lt;=$L147),$J147/$M147*HLOOKUP(Q$3,'FX Lookup'!$A$2:$Y$6,2,FALSE),0)</f>
        <v>0</v>
      </c>
      <c r="R147" s="177">
        <f>IF(AND($K147&lt;=R$3,R$3&lt;=$L147),$J147/$M147*HLOOKUP(R$3,'FX Lookup'!$A$2:$Y$6,2,FALSE),0)</f>
        <v>0</v>
      </c>
      <c r="S147" s="177">
        <f>IF(AND($K147&lt;=S$3,S$3&lt;=$L147),$J147/$M147*HLOOKUP(S$3,'FX Lookup'!$A$2:$Y$6,2,FALSE),0)</f>
        <v>0</v>
      </c>
      <c r="T147" s="177">
        <f>IF(AND($K147&lt;=T$3,T$3&lt;=$L147),$J147/$M147*HLOOKUP(T$3,'FX Lookup'!$A$2:$Y$6,2,FALSE),0)</f>
        <v>0</v>
      </c>
      <c r="U147" s="177">
        <f>IF(AND($K147&lt;=U$3,U$3&lt;=$L147),$J147/$M147*HLOOKUP(U$3,'FX Lookup'!$A$2:$Y$6,2,FALSE),0)</f>
        <v>0</v>
      </c>
      <c r="V147" s="177">
        <f>IF(AND($K147&lt;=V$3,V$3&lt;=$L147),$J147/$M147*HLOOKUP(V$3,'FX Lookup'!$A$2:$Y$6,2,FALSE),0)</f>
        <v>0</v>
      </c>
      <c r="W147" s="177">
        <f>IF(AND($K147&lt;=W$3,W$3&lt;=$L147),$J147/$M147*HLOOKUP(W$3,'FX Lookup'!$A$2:$Y$6,2,FALSE),0)</f>
        <v>0</v>
      </c>
      <c r="X147" s="177">
        <f>IF(AND($K147&lt;=X$3,X$3&lt;=$L147),$J147/$M147*HLOOKUP(X$3,'FX Lookup'!$A$2:$Y$6,2,FALSE),0)</f>
        <v>0</v>
      </c>
      <c r="Y147" s="177">
        <f>IF(AND($K147&lt;=Y$3,Y$3&lt;=$L147),$J147/$M147*HLOOKUP(Y$3,'FX Lookup'!$A$2:$Y$6,2,FALSE),0)</f>
        <v>0</v>
      </c>
      <c r="Z147" s="178">
        <f t="shared" si="241"/>
        <v>0</v>
      </c>
      <c r="AA147" s="173" t="s">
        <v>2409</v>
      </c>
      <c r="AB147" s="184"/>
      <c r="AC147" s="456">
        <v>46023</v>
      </c>
      <c r="AD147" s="456">
        <v>46053</v>
      </c>
      <c r="AE147" s="462">
        <f t="shared" si="225"/>
        <v>1</v>
      </c>
      <c r="AF147" s="177">
        <f>IF(AND($AC147&lt;=AF$3,AF$3&lt;=$AD147),$AB147/$AE147*HLOOKUP(AF$3,'FX Lookup'!$A$2:$Y$6,2,FALSE),0)</f>
        <v>0</v>
      </c>
      <c r="AG147" s="177">
        <f>IF(AND($AC147&lt;=AG$3,AG$3&lt;=$AD147),$AB147/$AE147*HLOOKUP(AG$3,'FX Lookup'!$A$2:$Y$6,2,FALSE),0)</f>
        <v>0</v>
      </c>
      <c r="AH147" s="177">
        <f>IF(AND($AC147&lt;=AH$3,AH$3&lt;=$AD147),$AB147/$AE147*HLOOKUP(AH$3,'FX Lookup'!$A$2:$Y$6,2,FALSE),0)</f>
        <v>0</v>
      </c>
      <c r="AI147" s="177">
        <f>IF(AND($AC147&lt;=AI$3,AI$3&lt;=$AD147),$AB147/$AE147*HLOOKUP(AI$3,'FX Lookup'!$A$2:$Y$6,2,FALSE),0)</f>
        <v>0</v>
      </c>
      <c r="AJ147" s="177">
        <f>IF(AND($AC147&lt;=AJ$3,AJ$3&lt;=$AD147),$AB147/$AE147*HLOOKUP(AJ$3,'FX Lookup'!$A$2:$Y$6,2,FALSE),0)</f>
        <v>0</v>
      </c>
      <c r="AK147" s="177">
        <f>IF(AND($AC147&lt;=AK$3,AK$3&lt;=$AD147),$AB147/$AE147*HLOOKUP(AK$3,'FX Lookup'!$A$2:$Y$6,2,FALSE),0)</f>
        <v>0</v>
      </c>
      <c r="AL147" s="177">
        <f>IF(AND($AC147&lt;=AL$3,AL$3&lt;=$AD147),$AB147/$AE147*HLOOKUP(AL$3,'FX Lookup'!$A$2:$Y$6,2,FALSE),0)</f>
        <v>0</v>
      </c>
      <c r="AM147" s="177">
        <f>IF(AND($AC147&lt;=AM$3,AM$3&lt;=$AD147),$AB147/$AE147*HLOOKUP(AM$3,'FX Lookup'!$A$2:$Y$6,2,FALSE),0)</f>
        <v>0</v>
      </c>
      <c r="AN147" s="177">
        <f>IF(AND($AC147&lt;=AN$3,AN$3&lt;=$AD147),$AB147/$AE147*HLOOKUP(AN$3,'FX Lookup'!$A$2:$Y$6,2,FALSE),0)</f>
        <v>0</v>
      </c>
      <c r="AO147" s="177">
        <f>IF(AND($AC147&lt;=AO$3,AO$3&lt;=$AD147),$AB147/$AE147*HLOOKUP(AO$3,'FX Lookup'!$A$2:$Y$6,2,FALSE),0)</f>
        <v>0</v>
      </c>
      <c r="AP147" s="177">
        <f>IF(AND($AC147&lt;=AP$3,AP$3&lt;=$AD147),$AB147/$AE147*HLOOKUP(AP$3,'FX Lookup'!$A$2:$Y$6,2,FALSE),0)</f>
        <v>0</v>
      </c>
      <c r="AQ147" s="177">
        <f>IF(AND($AC147&lt;=AQ$3,AQ$3&lt;=$AD147),$AB147/$AE147*HLOOKUP(AQ$3,'FX Lookup'!$A$2:$Y$6,2,FALSE),0)</f>
        <v>0</v>
      </c>
      <c r="AR147" s="178">
        <f t="shared" si="242"/>
        <v>0</v>
      </c>
      <c r="AT147" s="177">
        <f t="shared" si="226"/>
        <v>0</v>
      </c>
      <c r="AU147" s="177">
        <f t="shared" si="227"/>
        <v>0</v>
      </c>
      <c r="AV147" s="177">
        <f t="shared" si="228"/>
        <v>0</v>
      </c>
      <c r="AW147" s="177">
        <f t="shared" si="229"/>
        <v>0</v>
      </c>
      <c r="AX147" s="177">
        <f t="shared" si="230"/>
        <v>0</v>
      </c>
      <c r="AY147" s="177">
        <f t="shared" si="231"/>
        <v>0</v>
      </c>
      <c r="AZ147" s="177">
        <f t="shared" si="232"/>
        <v>0</v>
      </c>
      <c r="BA147" s="177">
        <f t="shared" si="233"/>
        <v>0</v>
      </c>
      <c r="BB147" s="177">
        <f t="shared" si="234"/>
        <v>0</v>
      </c>
      <c r="BC147" s="177">
        <f t="shared" si="235"/>
        <v>0</v>
      </c>
      <c r="BD147" s="177">
        <f t="shared" si="236"/>
        <v>0</v>
      </c>
      <c r="BE147" s="177">
        <f t="shared" si="237"/>
        <v>0</v>
      </c>
      <c r="BF147" s="178">
        <f t="shared" si="238"/>
        <v>0</v>
      </c>
    </row>
    <row r="148" spans="1:58" s="151" customFormat="1" ht="15" customHeight="1">
      <c r="A148" s="171">
        <f t="shared" si="239"/>
        <v>17</v>
      </c>
      <c r="B148" s="171" t="s">
        <v>2741</v>
      </c>
      <c r="C148" s="171"/>
      <c r="D148" s="171" t="s">
        <v>1867</v>
      </c>
      <c r="E148" s="172" t="str">
        <f t="shared" si="224"/>
        <v>Training expense</v>
      </c>
      <c r="F148" s="172"/>
      <c r="G148" s="77" t="s">
        <v>2613</v>
      </c>
      <c r="H148" s="173" t="s">
        <v>2614</v>
      </c>
      <c r="I148" s="173" t="s">
        <v>2409</v>
      </c>
      <c r="J148" s="184"/>
      <c r="K148" s="456">
        <v>45658</v>
      </c>
      <c r="L148" s="456">
        <v>46022</v>
      </c>
      <c r="M148" s="462">
        <f t="shared" si="240"/>
        <v>12</v>
      </c>
      <c r="N148" s="177">
        <f>IF(AND($K148&lt;=N$3,N$3&lt;=$L148),$J148/$M148*HLOOKUP(N$3,'FX Lookup'!$A$2:$Y$6,2,FALSE),0)</f>
        <v>0</v>
      </c>
      <c r="O148" s="177">
        <f>IF(AND($K148&lt;=O$3,O$3&lt;=$L148),$J148/$M148*HLOOKUP(O$3,'FX Lookup'!$A$2:$Y$6,2,FALSE),0)</f>
        <v>0</v>
      </c>
      <c r="P148" s="177">
        <f>IF(AND($K148&lt;=P$3,P$3&lt;=$L148),$J148/$M148*HLOOKUP(P$3,'FX Lookup'!$A$2:$Y$6,2,FALSE),0)</f>
        <v>0</v>
      </c>
      <c r="Q148" s="177">
        <f>IF(AND($K148&lt;=Q$3,Q$3&lt;=$L148),$J148/$M148*HLOOKUP(Q$3,'FX Lookup'!$A$2:$Y$6,2,FALSE),0)</f>
        <v>0</v>
      </c>
      <c r="R148" s="177">
        <f>IF(AND($K148&lt;=R$3,R$3&lt;=$L148),$J148/$M148*HLOOKUP(R$3,'FX Lookup'!$A$2:$Y$6,2,FALSE),0)</f>
        <v>0</v>
      </c>
      <c r="S148" s="177">
        <f>IF(AND($K148&lt;=S$3,S$3&lt;=$L148),$J148/$M148*HLOOKUP(S$3,'FX Lookup'!$A$2:$Y$6,2,FALSE),0)</f>
        <v>0</v>
      </c>
      <c r="T148" s="177">
        <f>IF(AND($K148&lt;=T$3,T$3&lt;=$L148),$J148/$M148*HLOOKUP(T$3,'FX Lookup'!$A$2:$Y$6,2,FALSE),0)</f>
        <v>0</v>
      </c>
      <c r="U148" s="177">
        <f>IF(AND($K148&lt;=U$3,U$3&lt;=$L148),$J148/$M148*HLOOKUP(U$3,'FX Lookup'!$A$2:$Y$6,2,FALSE),0)</f>
        <v>0</v>
      </c>
      <c r="V148" s="177">
        <f>IF(AND($K148&lt;=V$3,V$3&lt;=$L148),$J148/$M148*HLOOKUP(V$3,'FX Lookup'!$A$2:$Y$6,2,FALSE),0)</f>
        <v>0</v>
      </c>
      <c r="W148" s="177">
        <f>IF(AND($K148&lt;=W$3,W$3&lt;=$L148),$J148/$M148*HLOOKUP(W$3,'FX Lookup'!$A$2:$Y$6,2,FALSE),0)</f>
        <v>0</v>
      </c>
      <c r="X148" s="177">
        <f>IF(AND($K148&lt;=X$3,X$3&lt;=$L148),$J148/$M148*HLOOKUP(X$3,'FX Lookup'!$A$2:$Y$6,2,FALSE),0)</f>
        <v>0</v>
      </c>
      <c r="Y148" s="177">
        <f>IF(AND($K148&lt;=Y$3,Y$3&lt;=$L148),$J148/$M148*HLOOKUP(Y$3,'FX Lookup'!$A$2:$Y$6,2,FALSE),0)</f>
        <v>0</v>
      </c>
      <c r="Z148" s="178">
        <f t="shared" si="241"/>
        <v>0</v>
      </c>
      <c r="AA148" s="173" t="s">
        <v>2409</v>
      </c>
      <c r="AB148" s="184"/>
      <c r="AC148" s="456">
        <v>46023</v>
      </c>
      <c r="AD148" s="456">
        <v>46387</v>
      </c>
      <c r="AE148" s="462">
        <f t="shared" si="225"/>
        <v>12</v>
      </c>
      <c r="AF148" s="177">
        <f>IF(AND($AC148&lt;=AF$3,AF$3&lt;=$AD148),$AB148/$AE148*HLOOKUP(AF$3,'FX Lookup'!$A$2:$Y$6,2,FALSE),0)</f>
        <v>0</v>
      </c>
      <c r="AG148" s="177">
        <f>IF(AND($AC148&lt;=AG$3,AG$3&lt;=$AD148),$AB148/$AE148*HLOOKUP(AG$3,'FX Lookup'!$A$2:$Y$6,2,FALSE),0)</f>
        <v>0</v>
      </c>
      <c r="AH148" s="177">
        <f>IF(AND($AC148&lt;=AH$3,AH$3&lt;=$AD148),$AB148/$AE148*HLOOKUP(AH$3,'FX Lookup'!$A$2:$Y$6,2,FALSE),0)</f>
        <v>0</v>
      </c>
      <c r="AI148" s="177">
        <f>IF(AND($AC148&lt;=AI$3,AI$3&lt;=$AD148),$AB148/$AE148*HLOOKUP(AI$3,'FX Lookup'!$A$2:$Y$6,2,FALSE),0)</f>
        <v>0</v>
      </c>
      <c r="AJ148" s="177">
        <f>IF(AND($AC148&lt;=AJ$3,AJ$3&lt;=$AD148),$AB148/$AE148*HLOOKUP(AJ$3,'FX Lookup'!$A$2:$Y$6,2,FALSE),0)</f>
        <v>0</v>
      </c>
      <c r="AK148" s="177">
        <f>IF(AND($AC148&lt;=AK$3,AK$3&lt;=$AD148),$AB148/$AE148*HLOOKUP(AK$3,'FX Lookup'!$A$2:$Y$6,2,FALSE),0)</f>
        <v>0</v>
      </c>
      <c r="AL148" s="177">
        <f>IF(AND($AC148&lt;=AL$3,AL$3&lt;=$AD148),$AB148/$AE148*HLOOKUP(AL$3,'FX Lookup'!$A$2:$Y$6,2,FALSE),0)</f>
        <v>0</v>
      </c>
      <c r="AM148" s="177">
        <f>IF(AND($AC148&lt;=AM$3,AM$3&lt;=$AD148),$AB148/$AE148*HLOOKUP(AM$3,'FX Lookup'!$A$2:$Y$6,2,FALSE),0)</f>
        <v>0</v>
      </c>
      <c r="AN148" s="177">
        <f>IF(AND($AC148&lt;=AN$3,AN$3&lt;=$AD148),$AB148/$AE148*HLOOKUP(AN$3,'FX Lookup'!$A$2:$Y$6,2,FALSE),0)</f>
        <v>0</v>
      </c>
      <c r="AO148" s="177">
        <f>IF(AND($AC148&lt;=AO$3,AO$3&lt;=$AD148),$AB148/$AE148*HLOOKUP(AO$3,'FX Lookup'!$A$2:$Y$6,2,FALSE),0)</f>
        <v>0</v>
      </c>
      <c r="AP148" s="177">
        <f>IF(AND($AC148&lt;=AP$3,AP$3&lt;=$AD148),$AB148/$AE148*HLOOKUP(AP$3,'FX Lookup'!$A$2:$Y$6,2,FALSE),0)</f>
        <v>0</v>
      </c>
      <c r="AQ148" s="177">
        <f>IF(AND($AC148&lt;=AQ$3,AQ$3&lt;=$AD148),$AB148/$AE148*HLOOKUP(AQ$3,'FX Lookup'!$A$2:$Y$6,2,FALSE),0)</f>
        <v>0</v>
      </c>
      <c r="AR148" s="178">
        <f t="shared" si="242"/>
        <v>0</v>
      </c>
      <c r="AT148" s="177">
        <f t="shared" si="226"/>
        <v>0</v>
      </c>
      <c r="AU148" s="177">
        <f t="shared" si="227"/>
        <v>0</v>
      </c>
      <c r="AV148" s="177">
        <f t="shared" si="228"/>
        <v>0</v>
      </c>
      <c r="AW148" s="177">
        <f t="shared" si="229"/>
        <v>0</v>
      </c>
      <c r="AX148" s="177">
        <f t="shared" si="230"/>
        <v>0</v>
      </c>
      <c r="AY148" s="177">
        <f t="shared" si="231"/>
        <v>0</v>
      </c>
      <c r="AZ148" s="177">
        <f t="shared" si="232"/>
        <v>0</v>
      </c>
      <c r="BA148" s="177">
        <f t="shared" si="233"/>
        <v>0</v>
      </c>
      <c r="BB148" s="177">
        <f t="shared" si="234"/>
        <v>0</v>
      </c>
      <c r="BC148" s="177">
        <f t="shared" si="235"/>
        <v>0</v>
      </c>
      <c r="BD148" s="177">
        <f t="shared" si="236"/>
        <v>0</v>
      </c>
      <c r="BE148" s="177">
        <f t="shared" si="237"/>
        <v>0</v>
      </c>
      <c r="BF148" s="178">
        <f t="shared" si="238"/>
        <v>0</v>
      </c>
    </row>
    <row r="150" spans="1:58" ht="13.5" thickBot="1">
      <c r="B150" s="151" t="str">
        <f>B148</f>
        <v>Albamen KY</v>
      </c>
      <c r="C150" s="151" t="str">
        <f>'CF-ACPL（合并）'!A25</f>
        <v>支付的其他与经营活动有关的现金（专业服务费）</v>
      </c>
      <c r="D150" s="151"/>
      <c r="E150" s="151"/>
      <c r="N150" s="185">
        <f t="shared" ref="N150:T150" si="243">SUM(N132:N148)</f>
        <v>32655.830710000002</v>
      </c>
      <c r="O150" s="185">
        <f t="shared" si="243"/>
        <v>0</v>
      </c>
      <c r="P150" s="185">
        <f t="shared" si="243"/>
        <v>0</v>
      </c>
      <c r="Q150" s="185">
        <f t="shared" si="243"/>
        <v>0</v>
      </c>
      <c r="R150" s="185">
        <f t="shared" si="243"/>
        <v>0</v>
      </c>
      <c r="S150" s="185">
        <f t="shared" si="243"/>
        <v>0</v>
      </c>
      <c r="T150" s="185">
        <f t="shared" si="243"/>
        <v>0</v>
      </c>
      <c r="U150" s="185">
        <f t="shared" ref="U150:Z150" si="244">SUM(U132:U148)</f>
        <v>0</v>
      </c>
      <c r="V150" s="185">
        <f t="shared" si="244"/>
        <v>0</v>
      </c>
      <c r="W150" s="185">
        <f t="shared" si="244"/>
        <v>0</v>
      </c>
      <c r="X150" s="185">
        <f t="shared" si="244"/>
        <v>0</v>
      </c>
      <c r="Y150" s="185">
        <f t="shared" si="244"/>
        <v>0</v>
      </c>
      <c r="Z150" s="461">
        <f t="shared" si="244"/>
        <v>32655.830710000002</v>
      </c>
      <c r="AB150" s="185">
        <f>SUM(AB132:AB148)</f>
        <v>13000</v>
      </c>
      <c r="AF150" s="185">
        <f>SUM(AF132:AF148)</f>
        <v>90350.39</v>
      </c>
      <c r="AG150" s="185">
        <f t="shared" ref="AG150:AR150" si="245">SUM(AG132:AG148)</f>
        <v>0</v>
      </c>
      <c r="AH150" s="185">
        <f t="shared" si="245"/>
        <v>0</v>
      </c>
      <c r="AI150" s="185">
        <f t="shared" si="245"/>
        <v>0</v>
      </c>
      <c r="AJ150" s="185">
        <f t="shared" si="245"/>
        <v>0</v>
      </c>
      <c r="AK150" s="185">
        <f t="shared" si="245"/>
        <v>0</v>
      </c>
      <c r="AL150" s="185">
        <f t="shared" si="245"/>
        <v>0</v>
      </c>
      <c r="AM150" s="185">
        <f t="shared" si="245"/>
        <v>0</v>
      </c>
      <c r="AN150" s="185">
        <f t="shared" si="245"/>
        <v>0</v>
      </c>
      <c r="AO150" s="185">
        <f t="shared" si="245"/>
        <v>0</v>
      </c>
      <c r="AP150" s="185">
        <f t="shared" si="245"/>
        <v>0</v>
      </c>
      <c r="AQ150" s="185">
        <f t="shared" si="245"/>
        <v>0</v>
      </c>
      <c r="AR150" s="185">
        <f t="shared" si="245"/>
        <v>90350.39</v>
      </c>
      <c r="AT150" s="185">
        <f>SUM(AT132:AT148)</f>
        <v>94867.909500000009</v>
      </c>
      <c r="AU150" s="185">
        <f t="shared" ref="AU150:BF150" si="246">SUM(AU132:AU148)</f>
        <v>0</v>
      </c>
      <c r="AV150" s="185">
        <f t="shared" si="246"/>
        <v>0</v>
      </c>
      <c r="AW150" s="185">
        <f t="shared" si="246"/>
        <v>0</v>
      </c>
      <c r="AX150" s="185">
        <f t="shared" si="246"/>
        <v>0</v>
      </c>
      <c r="AY150" s="185">
        <f t="shared" si="246"/>
        <v>0</v>
      </c>
      <c r="AZ150" s="185">
        <f t="shared" si="246"/>
        <v>0</v>
      </c>
      <c r="BA150" s="185">
        <f t="shared" si="246"/>
        <v>0</v>
      </c>
      <c r="BB150" s="185">
        <f t="shared" si="246"/>
        <v>0</v>
      </c>
      <c r="BC150" s="185">
        <f t="shared" si="246"/>
        <v>0</v>
      </c>
      <c r="BD150" s="185">
        <f t="shared" si="246"/>
        <v>0</v>
      </c>
      <c r="BE150" s="185">
        <f t="shared" si="246"/>
        <v>0</v>
      </c>
      <c r="BF150" s="185">
        <f t="shared" si="246"/>
        <v>94867.909500000009</v>
      </c>
    </row>
    <row r="151" spans="1:58" ht="13.5" thickTop="1"/>
    <row r="153" spans="1:58">
      <c r="AR153" s="152">
        <f>AR24+AR45+AR66+AR87+AR108+AR129</f>
        <v>3112701.0472058337</v>
      </c>
    </row>
  </sheetData>
  <sheetProtection formatCells="0" formatColumns="0" formatRows="0" insertColumns="0" insertRows="0" autoFilter="0"/>
  <autoFilter ref="A3:WWL150" xr:uid="{00000000-0001-0000-1E00-000000000000}"/>
  <pageMargins left="0.75" right="0.75" top="1" bottom="1" header="0.5" footer="0.5"/>
  <pageSetup paperSize="9" orientation="portrait" r:id="rId1"/>
  <headerFooter alignWithMargins="0">
    <oddHeader>&amp;C&amp;G</oddHeader>
    <oddFooter>&amp;C&amp;G</oddFooter>
  </headerFooter>
  <legacyDrawing r:id="rId2"/>
  <legacyDrawingHF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181"/>
  <sheetViews>
    <sheetView workbookViewId="0"/>
  </sheetViews>
  <sheetFormatPr defaultColWidth="9" defaultRowHeight="14.25"/>
  <cols>
    <col min="1" max="1" width="33.375" style="193" customWidth="1"/>
    <col min="2" max="2" width="2.625" style="193" customWidth="1"/>
    <col min="3" max="3" width="2" style="193" customWidth="1"/>
    <col min="4" max="4" width="25.5" style="193" customWidth="1"/>
    <col min="5" max="5" width="2" style="193" customWidth="1"/>
    <col min="6" max="6" width="25.5" style="193" customWidth="1"/>
    <col min="7" max="7" width="2" style="193" customWidth="1"/>
    <col min="8" max="8" width="25.5" style="193" customWidth="1"/>
    <col min="9" max="9" width="2" style="193" customWidth="1"/>
    <col min="10" max="10" width="25.5" style="193" customWidth="1"/>
    <col min="11" max="16384" width="9" style="189"/>
  </cols>
  <sheetData>
    <row r="1" spans="1:12">
      <c r="A1" s="189"/>
      <c r="B1" s="189"/>
      <c r="C1" s="189"/>
      <c r="D1" s="189"/>
      <c r="E1" s="189"/>
      <c r="F1" s="189"/>
      <c r="G1" s="189"/>
      <c r="H1" s="189"/>
      <c r="I1" s="189"/>
      <c r="J1" s="189"/>
    </row>
    <row r="2" spans="1:12">
      <c r="A2" s="189"/>
      <c r="B2" s="189"/>
      <c r="C2" s="189"/>
      <c r="D2" s="189"/>
      <c r="E2" s="189"/>
      <c r="F2" s="189"/>
      <c r="G2" s="189"/>
      <c r="H2" s="189"/>
      <c r="I2" s="189"/>
      <c r="J2" s="189"/>
    </row>
    <row r="3" spans="1:12">
      <c r="A3" s="189"/>
      <c r="B3" s="189"/>
      <c r="C3" s="189"/>
      <c r="D3" s="189"/>
      <c r="E3" s="189"/>
      <c r="F3" s="189"/>
      <c r="G3" s="189"/>
      <c r="H3" s="189"/>
      <c r="I3" s="189"/>
      <c r="J3" s="189"/>
    </row>
    <row r="4" spans="1:12">
      <c r="A4" s="189"/>
      <c r="B4" s="189"/>
      <c r="C4" s="189"/>
      <c r="D4" s="189"/>
      <c r="E4" s="189"/>
      <c r="F4" s="189"/>
      <c r="G4" s="189"/>
      <c r="H4" s="189"/>
      <c r="I4" s="189"/>
      <c r="J4" s="189"/>
    </row>
    <row r="5" spans="1:12">
      <c r="A5" s="189"/>
      <c r="B5" s="189"/>
      <c r="C5" s="189"/>
      <c r="D5" s="189"/>
      <c r="E5" s="189"/>
      <c r="F5" s="189"/>
      <c r="G5" s="189"/>
      <c r="H5" s="189"/>
      <c r="I5" s="189"/>
      <c r="J5" s="189"/>
    </row>
    <row r="6" spans="1:12" s="399" customFormat="1" ht="15">
      <c r="A6" s="1069" t="s">
        <v>2742</v>
      </c>
      <c r="D6" s="399" t="s">
        <v>2743</v>
      </c>
      <c r="F6" s="399" t="s">
        <v>2744</v>
      </c>
      <c r="H6" s="403" t="s">
        <v>2745</v>
      </c>
      <c r="J6" s="399" t="s">
        <v>2746</v>
      </c>
    </row>
    <row r="7" spans="1:12" s="399" customFormat="1" ht="15">
      <c r="A7" s="402"/>
      <c r="H7" s="404"/>
    </row>
    <row r="8" spans="1:12" ht="15">
      <c r="A8" s="235" t="s">
        <v>2747</v>
      </c>
      <c r="B8" s="238"/>
      <c r="C8" s="238"/>
      <c r="D8" s="238"/>
      <c r="E8" s="238"/>
      <c r="F8" s="238"/>
      <c r="G8" s="238"/>
      <c r="H8" s="405"/>
      <c r="I8" s="238"/>
      <c r="J8" s="238"/>
    </row>
    <row r="9" spans="1:12" ht="15">
      <c r="A9" s="406"/>
      <c r="B9" s="189"/>
      <c r="C9" s="189"/>
      <c r="D9" s="189"/>
      <c r="E9" s="189"/>
      <c r="F9" s="189"/>
      <c r="G9" s="189"/>
      <c r="H9" s="407"/>
      <c r="I9" s="189"/>
      <c r="J9" s="189"/>
    </row>
    <row r="10" spans="1:12" ht="15">
      <c r="A10" s="406" t="s">
        <v>2748</v>
      </c>
      <c r="B10" s="189"/>
      <c r="C10" s="189"/>
      <c r="D10" s="189" t="s">
        <v>2749</v>
      </c>
      <c r="E10" s="189"/>
      <c r="F10" s="189" t="s">
        <v>2750</v>
      </c>
      <c r="G10" s="189"/>
      <c r="H10" s="407" t="s">
        <v>2751</v>
      </c>
      <c r="I10" s="189"/>
      <c r="J10" s="189" t="s">
        <v>2751</v>
      </c>
      <c r="K10" s="17"/>
      <c r="L10" s="17"/>
    </row>
    <row r="11" spans="1:12" ht="15">
      <c r="A11" s="406" t="s">
        <v>2752</v>
      </c>
      <c r="B11" s="189"/>
      <c r="C11" s="189"/>
      <c r="D11" s="189" t="s">
        <v>2753</v>
      </c>
      <c r="E11" s="189"/>
      <c r="F11" s="189" t="s">
        <v>2753</v>
      </c>
      <c r="G11" s="189"/>
      <c r="H11" s="407" t="s">
        <v>2753</v>
      </c>
      <c r="I11" s="189"/>
      <c r="J11" s="189" t="s">
        <v>2754</v>
      </c>
      <c r="K11" s="17"/>
      <c r="L11" s="17"/>
    </row>
    <row r="12" spans="1:12" s="400" customFormat="1" ht="28.5">
      <c r="A12" s="408" t="s">
        <v>2755</v>
      </c>
      <c r="D12" s="400" t="s">
        <v>2753</v>
      </c>
      <c r="F12" s="400" t="s">
        <v>2756</v>
      </c>
      <c r="H12" s="409" t="s">
        <v>2757</v>
      </c>
      <c r="J12" s="400" t="s">
        <v>2758</v>
      </c>
      <c r="K12" s="410"/>
      <c r="L12" s="17"/>
    </row>
    <row r="13" spans="1:12" ht="15">
      <c r="A13" s="406" t="s">
        <v>2759</v>
      </c>
      <c r="B13" s="189"/>
      <c r="C13" s="189"/>
      <c r="D13" s="189" t="s">
        <v>2760</v>
      </c>
      <c r="E13" s="189"/>
      <c r="F13" s="189" t="s">
        <v>2761</v>
      </c>
      <c r="G13" s="189"/>
      <c r="H13" s="407" t="s">
        <v>2762</v>
      </c>
      <c r="I13" s="189"/>
      <c r="J13" s="189" t="s">
        <v>2763</v>
      </c>
      <c r="K13" s="17"/>
      <c r="L13" s="17"/>
    </row>
    <row r="14" spans="1:12" ht="15">
      <c r="A14" s="406" t="s">
        <v>2764</v>
      </c>
      <c r="B14" s="189"/>
      <c r="C14" s="189"/>
      <c r="D14" s="189" t="s">
        <v>2765</v>
      </c>
      <c r="E14" s="189"/>
      <c r="F14" s="189" t="s">
        <v>2765</v>
      </c>
      <c r="G14" s="189"/>
      <c r="H14" s="407" t="s">
        <v>2765</v>
      </c>
      <c r="I14" s="189"/>
      <c r="J14" s="189" t="s">
        <v>2766</v>
      </c>
      <c r="K14" s="17"/>
      <c r="L14" s="17"/>
    </row>
    <row r="15" spans="1:12" s="401" customFormat="1" ht="28.5">
      <c r="A15" s="411" t="s">
        <v>2767</v>
      </c>
      <c r="D15" s="401" t="s">
        <v>2768</v>
      </c>
      <c r="F15" s="401" t="s">
        <v>2769</v>
      </c>
      <c r="H15" s="412" t="s">
        <v>2770</v>
      </c>
      <c r="J15" s="401" t="s">
        <v>2770</v>
      </c>
    </row>
    <row r="16" spans="1:12">
      <c r="A16" s="222"/>
      <c r="B16" s="189"/>
      <c r="C16" s="189"/>
      <c r="D16" s="189"/>
      <c r="E16" s="189"/>
      <c r="F16" s="189"/>
      <c r="G16" s="189"/>
      <c r="H16" s="407"/>
      <c r="I16" s="189"/>
      <c r="J16" s="189"/>
    </row>
    <row r="17" spans="1:10" ht="15">
      <c r="A17" s="235" t="s">
        <v>2771</v>
      </c>
      <c r="B17" s="238"/>
      <c r="C17" s="238"/>
      <c r="D17" s="238"/>
      <c r="E17" s="238"/>
      <c r="F17" s="238"/>
      <c r="G17" s="238"/>
      <c r="H17" s="405"/>
      <c r="I17" s="238"/>
      <c r="J17" s="238"/>
    </row>
    <row r="18" spans="1:10" ht="15">
      <c r="A18" s="241"/>
      <c r="B18" s="244"/>
      <c r="C18" s="244"/>
      <c r="D18" s="244"/>
      <c r="E18" s="244"/>
      <c r="F18" s="244"/>
      <c r="G18" s="244"/>
      <c r="H18" s="413"/>
      <c r="I18" s="244"/>
      <c r="J18" s="244"/>
    </row>
    <row r="19" spans="1:10">
      <c r="A19" s="246" t="s">
        <v>2772</v>
      </c>
      <c r="B19" s="247"/>
      <c r="C19" s="247"/>
      <c r="D19" s="247" t="str">
        <f>IFERROR(VLOOKUP($A19,#REF!,#REF!,FALSE),"")</f>
        <v/>
      </c>
      <c r="E19" s="247"/>
      <c r="F19" s="247" t="str">
        <f>IFERROR(VLOOKUP($A19,#REF!,#REF!,FALSE),"")</f>
        <v/>
      </c>
      <c r="G19" s="247"/>
      <c r="H19" s="414">
        <f>IFERROR(VLOOKUP($A19,'FY25 S.3'!$F$10:$AG$151,'FY25 S.3'!$AG$10,FALSE),"")</f>
        <v>0</v>
      </c>
      <c r="I19" s="247"/>
      <c r="J19" s="247" t="str">
        <f>IFERROR(VLOOKUP($A19,#REF!,#REF!,FALSE),"")</f>
        <v/>
      </c>
    </row>
    <row r="20" spans="1:10">
      <c r="A20" s="246" t="s">
        <v>2773</v>
      </c>
      <c r="B20" s="247"/>
      <c r="C20" s="247"/>
      <c r="D20" s="247" t="str">
        <f>IFERROR(VLOOKUP($A20,#REF!,#REF!,FALSE),"")</f>
        <v/>
      </c>
      <c r="E20" s="247"/>
      <c r="F20" s="247" t="str">
        <f>IFERROR(VLOOKUP($A20,#REF!,#REF!,FALSE),"")</f>
        <v/>
      </c>
      <c r="G20" s="247"/>
      <c r="H20" s="414" t="str">
        <f>IFERROR(VLOOKUP($A20,'FY25 S.3'!$F$10:$AG$151,'FY25 S.3'!$AG$10,FALSE),"")</f>
        <v/>
      </c>
      <c r="I20" s="247"/>
      <c r="J20" s="247" t="str">
        <f>IFERROR(VLOOKUP($A20,#REF!,#REF!,FALSE),"")</f>
        <v/>
      </c>
    </row>
    <row r="21" spans="1:10">
      <c r="A21" s="246" t="s">
        <v>2774</v>
      </c>
      <c r="B21" s="247"/>
      <c r="C21" s="247"/>
      <c r="D21" s="247" t="str">
        <f>IFERROR(VLOOKUP($A21,#REF!,#REF!,FALSE),"")</f>
        <v/>
      </c>
      <c r="E21" s="247"/>
      <c r="F21" s="247" t="str">
        <f>IFERROR(VLOOKUP($A21,#REF!,#REF!,FALSE),"")</f>
        <v/>
      </c>
      <c r="G21" s="247"/>
      <c r="H21" s="414" t="str">
        <f>IFERROR(VLOOKUP($A21,'FY25 S.3'!$F$10:$AG$151,'FY25 S.3'!$AG$10,FALSE),"")</f>
        <v/>
      </c>
      <c r="I21" s="247"/>
      <c r="J21" s="247" t="str">
        <f>IFERROR(VLOOKUP($A21,#REF!,#REF!,FALSE),"")</f>
        <v/>
      </c>
    </row>
    <row r="22" spans="1:10">
      <c r="A22" s="250"/>
      <c r="B22" s="247"/>
      <c r="C22" s="247"/>
      <c r="D22" s="247" t="str">
        <f>IFERROR(VLOOKUP($A22,#REF!,#REF!,FALSE),"")</f>
        <v/>
      </c>
      <c r="E22" s="247"/>
      <c r="F22" s="247" t="str">
        <f>IFERROR(VLOOKUP($A22,#REF!,#REF!,FALSE),"")</f>
        <v/>
      </c>
      <c r="G22" s="247"/>
      <c r="H22" s="414" t="str">
        <f>IFERROR(VLOOKUP($A22,'FY25 S.3'!$F$10:$AG$151,'FY25 S.3'!$AG$10,FALSE),"")</f>
        <v/>
      </c>
      <c r="I22" s="247"/>
      <c r="J22" s="247" t="str">
        <f>IFERROR(VLOOKUP($A22,#REF!,#REF!,FALSE),"")</f>
        <v/>
      </c>
    </row>
    <row r="23" spans="1:10">
      <c r="A23" s="253" t="s">
        <v>2775</v>
      </c>
      <c r="B23" s="254"/>
      <c r="C23" s="254"/>
      <c r="D23" s="254" t="str">
        <f>IFERROR(VLOOKUP($A23,#REF!,#REF!,FALSE),"")</f>
        <v/>
      </c>
      <c r="E23" s="254"/>
      <c r="F23" s="254" t="str">
        <f>IFERROR(VLOOKUP($A23,#REF!,#REF!,FALSE),"")</f>
        <v/>
      </c>
      <c r="G23" s="254"/>
      <c r="H23" s="415" t="str">
        <f>IFERROR(VLOOKUP($A23,'FY25 S.3'!$F$10:$AG$151,'FY25 S.3'!$AG$10,FALSE),"")</f>
        <v/>
      </c>
      <c r="I23" s="254"/>
      <c r="J23" s="254" t="str">
        <f>IFERROR(VLOOKUP($A23,#REF!,#REF!,FALSE),"")</f>
        <v/>
      </c>
    </row>
    <row r="24" spans="1:10">
      <c r="A24" s="253"/>
      <c r="B24" s="257"/>
      <c r="C24" s="257"/>
      <c r="D24" s="257" t="str">
        <f>IFERROR(VLOOKUP($A24,#REF!,#REF!,FALSE),"")</f>
        <v/>
      </c>
      <c r="E24" s="257"/>
      <c r="F24" s="257" t="str">
        <f>IFERROR(VLOOKUP($A24,#REF!,#REF!,FALSE),"")</f>
        <v/>
      </c>
      <c r="G24" s="257"/>
      <c r="H24" s="416" t="str">
        <f>IFERROR(VLOOKUP($A24,'FY25 S.3'!$F$10:$AG$151,'FY25 S.3'!$AG$10,FALSE),"")</f>
        <v/>
      </c>
      <c r="I24" s="257"/>
      <c r="J24" s="257" t="str">
        <f>IFERROR(VLOOKUP($A24,#REF!,#REF!,FALSE),"")</f>
        <v/>
      </c>
    </row>
    <row r="25" spans="1:10">
      <c r="A25" s="246" t="s">
        <v>1924</v>
      </c>
      <c r="B25" s="247"/>
      <c r="C25" s="247"/>
      <c r="D25" s="247" t="str">
        <f>IFERROR(VLOOKUP($A25,#REF!,#REF!,FALSE),"")</f>
        <v/>
      </c>
      <c r="E25" s="247"/>
      <c r="F25" s="247" t="str">
        <f>IFERROR(VLOOKUP($A25,#REF!,#REF!,FALSE),"")</f>
        <v/>
      </c>
      <c r="G25" s="247"/>
      <c r="H25" s="414" t="str">
        <f>IFERROR(VLOOKUP($A25,'FY25 S.3'!$F$10:$AG$151,'FY25 S.3'!$AG$10,FALSE),"")</f>
        <v/>
      </c>
      <c r="I25" s="247"/>
      <c r="J25" s="247" t="str">
        <f>IFERROR(VLOOKUP($A25,#REF!,#REF!,FALSE),"")</f>
        <v/>
      </c>
    </row>
    <row r="26" spans="1:10">
      <c r="A26" s="246" t="s">
        <v>1957</v>
      </c>
      <c r="B26" s="247"/>
      <c r="C26" s="247"/>
      <c r="D26" s="247" t="str">
        <f>IFERROR(VLOOKUP($A26,#REF!,#REF!,FALSE),"")</f>
        <v/>
      </c>
      <c r="E26" s="247"/>
      <c r="F26" s="247" t="str">
        <f>IFERROR(VLOOKUP($A26,#REF!,#REF!,FALSE),"")</f>
        <v/>
      </c>
      <c r="G26" s="247"/>
      <c r="H26" s="414">
        <f>IFERROR(VLOOKUP($A26,'FY25 S.3'!$F$10:$AG$151,'FY25 S.3'!$AG$10,FALSE),"")</f>
        <v>0</v>
      </c>
      <c r="I26" s="247"/>
      <c r="J26" s="247" t="str">
        <f>IFERROR(VLOOKUP($A26,#REF!,#REF!,FALSE),"")</f>
        <v/>
      </c>
    </row>
    <row r="27" spans="1:10">
      <c r="A27" s="253"/>
      <c r="B27" s="260"/>
      <c r="C27" s="260"/>
      <c r="D27" s="260" t="str">
        <f>IFERROR(VLOOKUP($A27,#REF!,#REF!,FALSE),"")</f>
        <v/>
      </c>
      <c r="E27" s="260"/>
      <c r="F27" s="260" t="str">
        <f>IFERROR(VLOOKUP($A27,#REF!,#REF!,FALSE),"")</f>
        <v/>
      </c>
      <c r="G27" s="260"/>
      <c r="H27" s="417" t="str">
        <f>IFERROR(VLOOKUP($A27,'FY25 S.3'!$F$10:$AG$151,'FY25 S.3'!$AG$10,FALSE),"")</f>
        <v/>
      </c>
      <c r="I27" s="260"/>
      <c r="J27" s="261" t="str">
        <f>IFERROR(VLOOKUP($A27,#REF!,#REF!,FALSE),"")</f>
        <v/>
      </c>
    </row>
    <row r="28" spans="1:10" ht="15">
      <c r="A28" s="265" t="s">
        <v>2776</v>
      </c>
      <c r="B28" s="267"/>
      <c r="C28" s="267"/>
      <c r="D28" s="267" t="str">
        <f>IFERROR(VLOOKUP($A28,#REF!,#REF!,FALSE),"")</f>
        <v/>
      </c>
      <c r="E28" s="267"/>
      <c r="F28" s="267" t="str">
        <f>IFERROR(VLOOKUP($A28,#REF!,#REF!,FALSE),"")</f>
        <v/>
      </c>
      <c r="G28" s="267"/>
      <c r="H28" s="418" t="str">
        <f>IFERROR(VLOOKUP($A28,'FY25 S.3'!$F$10:$AG$151,'FY25 S.3'!$AG$10,FALSE),"")</f>
        <v/>
      </c>
      <c r="I28" s="267"/>
      <c r="J28" s="267" t="str">
        <f>IFERROR(VLOOKUP($A28,#REF!,#REF!,FALSE),"")</f>
        <v/>
      </c>
    </row>
    <row r="29" spans="1:10" ht="15">
      <c r="A29" s="271"/>
      <c r="B29" s="272"/>
      <c r="C29" s="272"/>
      <c r="D29" s="272" t="str">
        <f>IFERROR(VLOOKUP($A29,#REF!,#REF!,FALSE),"")</f>
        <v/>
      </c>
      <c r="E29" s="272"/>
      <c r="F29" s="272" t="str">
        <f>IFERROR(VLOOKUP($A29,#REF!,#REF!,FALSE),"")</f>
        <v/>
      </c>
      <c r="G29" s="272"/>
      <c r="H29" s="419" t="str">
        <f>IFERROR(VLOOKUP($A29,'FY25 S.3'!$F$10:$AG$151,'FY25 S.3'!$AG$10,FALSE),"")</f>
        <v/>
      </c>
      <c r="I29" s="272"/>
      <c r="J29" s="272" t="str">
        <f>IFERROR(VLOOKUP($A29,#REF!,#REF!,FALSE),"")</f>
        <v/>
      </c>
    </row>
    <row r="30" spans="1:10">
      <c r="A30" s="273"/>
      <c r="B30" s="260"/>
      <c r="C30" s="260"/>
      <c r="D30" s="260" t="str">
        <f>IFERROR(VLOOKUP($A30,#REF!,#REF!,FALSE),"")</f>
        <v/>
      </c>
      <c r="E30" s="260"/>
      <c r="F30" s="260" t="str">
        <f>IFERROR(VLOOKUP($A30,#REF!,#REF!,FALSE),"")</f>
        <v/>
      </c>
      <c r="G30" s="260"/>
      <c r="H30" s="417" t="str">
        <f>IFERROR(VLOOKUP($A30,'FY25 S.3'!$F$10:$AG$151,'FY25 S.3'!$AG$10,FALSE),"")</f>
        <v/>
      </c>
      <c r="I30" s="260"/>
      <c r="J30" s="260" t="str">
        <f>IFERROR(VLOOKUP($A30,#REF!,#REF!,FALSE),"")</f>
        <v/>
      </c>
    </row>
    <row r="31" spans="1:10" ht="15">
      <c r="A31" s="274" t="s">
        <v>2777</v>
      </c>
      <c r="B31" s="276"/>
      <c r="C31" s="276"/>
      <c r="D31" s="276" t="str">
        <f>IFERROR(VLOOKUP($A31,#REF!,#REF!,FALSE),"")</f>
        <v/>
      </c>
      <c r="E31" s="276"/>
      <c r="F31" s="276" t="str">
        <f>IFERROR(VLOOKUP($A31,#REF!,#REF!,FALSE),"")</f>
        <v/>
      </c>
      <c r="G31" s="276"/>
      <c r="H31" s="420" t="str">
        <f>IFERROR(VLOOKUP($A31,'FY25 S.3'!$F$10:$AG$151,'FY25 S.3'!$AG$10,FALSE),"")</f>
        <v/>
      </c>
      <c r="I31" s="276"/>
      <c r="J31" s="276" t="str">
        <f>IFERROR(VLOOKUP($A31,#REF!,#REF!,FALSE),"")</f>
        <v/>
      </c>
    </row>
    <row r="32" spans="1:10" ht="15">
      <c r="A32" s="280"/>
      <c r="B32" s="272"/>
      <c r="C32" s="272"/>
      <c r="D32" s="272" t="str">
        <f>IFERROR(VLOOKUP($A32,#REF!,#REF!,FALSE),"")</f>
        <v/>
      </c>
      <c r="E32" s="272"/>
      <c r="F32" s="272" t="str">
        <f>IFERROR(VLOOKUP($A32,#REF!,#REF!,FALSE),"")</f>
        <v/>
      </c>
      <c r="G32" s="272"/>
      <c r="H32" s="419" t="str">
        <f>IFERROR(VLOOKUP($A32,'FY25 S.3'!$F$10:$AG$151,'FY25 S.3'!$AG$10,FALSE),"")</f>
        <v/>
      </c>
      <c r="I32" s="272"/>
      <c r="J32" s="281" t="str">
        <f>IFERROR(VLOOKUP($A32,#REF!,#REF!,FALSE),"")</f>
        <v/>
      </c>
    </row>
    <row r="33" spans="1:10" ht="15">
      <c r="A33" s="282" t="s">
        <v>2778</v>
      </c>
      <c r="B33" s="284"/>
      <c r="C33" s="284"/>
      <c r="D33" s="284"/>
      <c r="E33" s="284"/>
      <c r="F33" s="284"/>
      <c r="G33" s="284"/>
      <c r="H33" s="421"/>
      <c r="I33" s="284"/>
      <c r="J33" s="284"/>
    </row>
    <row r="34" spans="1:10">
      <c r="A34" s="246" t="s">
        <v>2779</v>
      </c>
      <c r="B34" s="247"/>
      <c r="C34" s="247"/>
      <c r="D34" s="247" t="str">
        <f>IFERROR(VLOOKUP($A34,#REF!,#REF!,FALSE),"")</f>
        <v/>
      </c>
      <c r="E34" s="247"/>
      <c r="F34" s="247" t="str">
        <f>IFERROR(VLOOKUP($A34,#REF!,#REF!,FALSE),"")</f>
        <v/>
      </c>
      <c r="G34" s="247"/>
      <c r="H34" s="414">
        <f>IFERROR(VLOOKUP($A34,'FY25 S.3'!$F$10:$AG$151,'FY25 S.3'!$AG$10,FALSE),"")</f>
        <v>-276938.728</v>
      </c>
      <c r="I34" s="247"/>
      <c r="J34" s="247" t="str">
        <f>IFERROR(VLOOKUP($A34,#REF!,#REF!,FALSE),"")</f>
        <v/>
      </c>
    </row>
    <row r="35" spans="1:10">
      <c r="A35" s="246" t="s">
        <v>2780</v>
      </c>
      <c r="B35" s="247"/>
      <c r="C35" s="247"/>
      <c r="D35" s="247" t="str">
        <f>IFERROR(VLOOKUP($A35,#REF!,#REF!,FALSE),"")</f>
        <v/>
      </c>
      <c r="E35" s="247"/>
      <c r="F35" s="247" t="str">
        <f>IFERROR(VLOOKUP($A35,#REF!,#REF!,FALSE),"")</f>
        <v/>
      </c>
      <c r="G35" s="247"/>
      <c r="H35" s="414">
        <f>IFERROR(VLOOKUP($A35,'FY25 S.3'!$F$10:$AG$151,'FY25 S.3'!$AG$10,FALSE),"")</f>
        <v>-399043.71798399999</v>
      </c>
      <c r="I35" s="247"/>
      <c r="J35" s="247" t="str">
        <f>IFERROR(VLOOKUP($A35,#REF!,#REF!,FALSE),"")</f>
        <v/>
      </c>
    </row>
    <row r="36" spans="1:10">
      <c r="A36" s="246" t="s">
        <v>2781</v>
      </c>
      <c r="B36" s="247"/>
      <c r="C36" s="247"/>
      <c r="D36" s="247" t="str">
        <f>IFERROR(VLOOKUP($A36,#REF!,#REF!,FALSE),"")</f>
        <v/>
      </c>
      <c r="E36" s="247"/>
      <c r="F36" s="247" t="str">
        <f>IFERROR(VLOOKUP($A36,#REF!,#REF!,FALSE),"")</f>
        <v/>
      </c>
      <c r="G36" s="247"/>
      <c r="H36" s="414" t="str">
        <f>IFERROR(VLOOKUP($A36,'FY25 S.3'!$F$10:$AG$151,'FY25 S.3'!$AG$10,FALSE),"")</f>
        <v/>
      </c>
      <c r="I36" s="247"/>
      <c r="J36" s="247" t="str">
        <f>IFERROR(VLOOKUP($A36,#REF!,#REF!,FALSE),"")</f>
        <v/>
      </c>
    </row>
    <row r="37" spans="1:10">
      <c r="A37" s="246" t="s">
        <v>2782</v>
      </c>
      <c r="B37" s="247"/>
      <c r="C37" s="247"/>
      <c r="D37" s="247" t="str">
        <f>IFERROR(VLOOKUP($A37,#REF!,#REF!,FALSE),"")</f>
        <v/>
      </c>
      <c r="E37" s="247"/>
      <c r="F37" s="247" t="str">
        <f>IFERROR(VLOOKUP($A37,#REF!,#REF!,FALSE),"")</f>
        <v/>
      </c>
      <c r="G37" s="247"/>
      <c r="H37" s="414">
        <f>IFERROR(VLOOKUP($A37,'FY25 S.3'!$F$10:$AG$151,'FY25 S.3'!$AG$10,FALSE),"")</f>
        <v>0</v>
      </c>
      <c r="I37" s="247"/>
      <c r="J37" s="247" t="str">
        <f>IFERROR(VLOOKUP($A37,#REF!,#REF!,FALSE),"")</f>
        <v/>
      </c>
    </row>
    <row r="38" spans="1:10" ht="15">
      <c r="A38" s="288" t="s">
        <v>2783</v>
      </c>
      <c r="B38" s="289"/>
      <c r="C38" s="289"/>
      <c r="D38" s="289" t="str">
        <f>IFERROR(VLOOKUP($A38,#REF!,#REF!,FALSE),"")</f>
        <v/>
      </c>
      <c r="E38" s="289"/>
      <c r="F38" s="289" t="str">
        <f>IFERROR(VLOOKUP($A38,#REF!,#REF!,FALSE),"")</f>
        <v/>
      </c>
      <c r="G38" s="289"/>
      <c r="H38" s="422" t="str">
        <f>IFERROR(VLOOKUP($A38,'FY25 S.3'!$F$10:$AG$151,'FY25 S.3'!$AG$10,FALSE),"")</f>
        <v/>
      </c>
      <c r="I38" s="289"/>
      <c r="J38" s="289" t="str">
        <f>IFERROR(VLOOKUP($A38,#REF!,#REF!,FALSE),"")</f>
        <v/>
      </c>
    </row>
    <row r="39" spans="1:10">
      <c r="A39" s="189"/>
      <c r="B39" s="189"/>
      <c r="C39" s="189"/>
      <c r="D39" s="189" t="str">
        <f>IFERROR(VLOOKUP($A39,#REF!,#REF!,FALSE),"")</f>
        <v/>
      </c>
      <c r="E39" s="189"/>
      <c r="F39" s="189" t="str">
        <f>IFERROR(VLOOKUP($A39,#REF!,#REF!,FALSE),"")</f>
        <v/>
      </c>
      <c r="G39" s="189"/>
      <c r="H39" s="407" t="str">
        <f>IFERROR(VLOOKUP($A39,'FY25 S.3'!$F$10:$AG$151,'FY25 S.3'!$AG$10,FALSE),"")</f>
        <v/>
      </c>
      <c r="I39" s="189"/>
      <c r="J39" s="189" t="str">
        <f>IFERROR(VLOOKUP($A39,#REF!,#REF!,FALSE),"")</f>
        <v/>
      </c>
    </row>
    <row r="40" spans="1:10">
      <c r="A40" s="246" t="s">
        <v>2784</v>
      </c>
      <c r="B40" s="247"/>
      <c r="C40" s="247"/>
      <c r="D40" s="247" t="str">
        <f>IFERROR(VLOOKUP($A40,#REF!,#REF!,FALSE),"")</f>
        <v/>
      </c>
      <c r="E40" s="247"/>
      <c r="F40" s="247" t="str">
        <f>IFERROR(VLOOKUP($A40,#REF!,#REF!,FALSE),"")</f>
        <v/>
      </c>
      <c r="G40" s="247"/>
      <c r="H40" s="414">
        <f>IFERROR(VLOOKUP($A40,'FY25 S.3'!$F$10:$AG$151,'FY25 S.3'!$AG$10,FALSE),"")</f>
        <v>0</v>
      </c>
      <c r="I40" s="247"/>
      <c r="J40" s="247" t="str">
        <f>IFERROR(VLOOKUP($A40,#REF!,#REF!,FALSE),"")</f>
        <v/>
      </c>
    </row>
    <row r="41" spans="1:10">
      <c r="A41" s="246" t="s">
        <v>1456</v>
      </c>
      <c r="B41" s="247"/>
      <c r="C41" s="247"/>
      <c r="D41" s="247" t="str">
        <f>IFERROR(VLOOKUP($A41,#REF!,#REF!,FALSE),"")</f>
        <v/>
      </c>
      <c r="E41" s="247"/>
      <c r="F41" s="247" t="str">
        <f>IFERROR(VLOOKUP($A41,#REF!,#REF!,FALSE),"")</f>
        <v/>
      </c>
      <c r="G41" s="247"/>
      <c r="H41" s="414">
        <f>IFERROR(VLOOKUP($A41,'FY25 S.3'!$F$10:$AG$151,'FY25 S.3'!$AG$10,FALSE),"")</f>
        <v>0</v>
      </c>
      <c r="I41" s="247"/>
      <c r="J41" s="247" t="str">
        <f>IFERROR(VLOOKUP($A41,#REF!,#REF!,FALSE),"")</f>
        <v/>
      </c>
    </row>
    <row r="42" spans="1:10" ht="15">
      <c r="A42" s="288" t="s">
        <v>2785</v>
      </c>
      <c r="B42" s="289"/>
      <c r="C42" s="289"/>
      <c r="D42" s="289" t="str">
        <f>IFERROR(VLOOKUP($A42,#REF!,#REF!,FALSE),"")</f>
        <v/>
      </c>
      <c r="E42" s="289"/>
      <c r="F42" s="289" t="str">
        <f>IFERROR(VLOOKUP($A42,#REF!,#REF!,FALSE),"")</f>
        <v/>
      </c>
      <c r="G42" s="289"/>
      <c r="H42" s="422">
        <f>IFERROR(VLOOKUP($A42,'FY25 S.3'!$F$10:$AG$151,'FY25 S.3'!$AG$10,FALSE),"")</f>
        <v>0</v>
      </c>
      <c r="I42" s="289"/>
      <c r="J42" s="289" t="str">
        <f>IFERROR(VLOOKUP($A42,#REF!,#REF!,FALSE),"")</f>
        <v/>
      </c>
    </row>
    <row r="43" spans="1:10">
      <c r="A43" s="189"/>
      <c r="B43" s="189"/>
      <c r="C43" s="189"/>
      <c r="D43" s="189" t="str">
        <f>IFERROR(VLOOKUP($A43,#REF!,#REF!,FALSE),"")</f>
        <v/>
      </c>
      <c r="E43" s="189"/>
      <c r="F43" s="189" t="str">
        <f>IFERROR(VLOOKUP($A43,#REF!,#REF!,FALSE),"")</f>
        <v/>
      </c>
      <c r="G43" s="189"/>
      <c r="H43" s="407" t="str">
        <f>IFERROR(VLOOKUP($A43,'FY25 S.3'!$F$10:$AG$151,'FY25 S.3'!$AG$10,FALSE),"")</f>
        <v/>
      </c>
      <c r="I43" s="189"/>
      <c r="J43" s="189" t="str">
        <f>IFERROR(VLOOKUP($A43,#REF!,#REF!,FALSE),"")</f>
        <v/>
      </c>
    </row>
    <row r="44" spans="1:10">
      <c r="A44" s="246" t="s">
        <v>2786</v>
      </c>
      <c r="B44" s="247"/>
      <c r="C44" s="247"/>
      <c r="D44" s="247" t="str">
        <f>IFERROR(VLOOKUP($A44,#REF!,#REF!,FALSE),"")</f>
        <v/>
      </c>
      <c r="E44" s="247"/>
      <c r="F44" s="247" t="str">
        <f>IFERROR(VLOOKUP($A44,#REF!,#REF!,FALSE),"")</f>
        <v/>
      </c>
      <c r="G44" s="247"/>
      <c r="H44" s="414">
        <f>IFERROR(VLOOKUP($A44,'FY25 S.3'!$F$10:$AG$151,'FY25 S.3'!$AG$10,FALSE),"")</f>
        <v>0</v>
      </c>
      <c r="I44" s="247"/>
      <c r="J44" s="247" t="str">
        <f>IFERROR(VLOOKUP($A44,#REF!,#REF!,FALSE),"")</f>
        <v/>
      </c>
    </row>
    <row r="45" spans="1:10">
      <c r="A45" s="246" t="s">
        <v>2787</v>
      </c>
      <c r="B45" s="247"/>
      <c r="C45" s="247"/>
      <c r="D45" s="247" t="str">
        <f>IFERROR(VLOOKUP($A45,#REF!,#REF!,FALSE),"")</f>
        <v/>
      </c>
      <c r="E45" s="247"/>
      <c r="F45" s="247" t="str">
        <f>IFERROR(VLOOKUP($A45,#REF!,#REF!,FALSE),"")</f>
        <v/>
      </c>
      <c r="G45" s="247"/>
      <c r="H45" s="414">
        <f>IFERROR(VLOOKUP($A45,'FY25 S.3'!$F$10:$AG$151,'FY25 S.3'!$AG$10,FALSE),"")</f>
        <v>0</v>
      </c>
      <c r="I45" s="247"/>
      <c r="J45" s="247" t="str">
        <f>IFERROR(VLOOKUP($A45,#REF!,#REF!,FALSE),"")</f>
        <v/>
      </c>
    </row>
    <row r="46" spans="1:10">
      <c r="A46" s="246" t="s">
        <v>2788</v>
      </c>
      <c r="B46" s="247"/>
      <c r="C46" s="247"/>
      <c r="D46" s="247" t="str">
        <f>IFERROR(VLOOKUP($A46,#REF!,#REF!,FALSE),"")</f>
        <v/>
      </c>
      <c r="E46" s="247"/>
      <c r="F46" s="247" t="str">
        <f>IFERROR(VLOOKUP($A46,#REF!,#REF!,FALSE),"")</f>
        <v/>
      </c>
      <c r="G46" s="247"/>
      <c r="H46" s="414">
        <f>IFERROR(VLOOKUP($A46,'FY25 S.3'!$F$10:$AG$151,'FY25 S.3'!$AG$10,FALSE),"")</f>
        <v>0</v>
      </c>
      <c r="I46" s="247"/>
      <c r="J46" s="247" t="str">
        <f>IFERROR(VLOOKUP($A46,#REF!,#REF!,FALSE),"")</f>
        <v/>
      </c>
    </row>
    <row r="47" spans="1:10" ht="15">
      <c r="A47" s="288" t="s">
        <v>2789</v>
      </c>
      <c r="B47" s="293"/>
      <c r="C47" s="293"/>
      <c r="D47" s="293" t="str">
        <f>IFERROR(VLOOKUP($A47,#REF!,#REF!,FALSE),"")</f>
        <v/>
      </c>
      <c r="E47" s="293"/>
      <c r="F47" s="293" t="str">
        <f>IFERROR(VLOOKUP($A47,#REF!,#REF!,FALSE),"")</f>
        <v/>
      </c>
      <c r="G47" s="293"/>
      <c r="H47" s="423">
        <f>IFERROR(VLOOKUP($A47,'FY25 S.3'!$F$10:$AG$151,'FY25 S.3'!$AG$10,FALSE),"")</f>
        <v>0</v>
      </c>
      <c r="I47" s="293"/>
      <c r="J47" s="293" t="str">
        <f>IFERROR(VLOOKUP($A47,#REF!,#REF!,FALSE),"")</f>
        <v/>
      </c>
    </row>
    <row r="48" spans="1:10">
      <c r="A48" s="296"/>
      <c r="B48" s="199"/>
      <c r="C48" s="199"/>
      <c r="D48" s="199" t="str">
        <f>IFERROR(VLOOKUP($A48,#REF!,#REF!,FALSE),"")</f>
        <v/>
      </c>
      <c r="E48" s="199"/>
      <c r="F48" s="199" t="str">
        <f>IFERROR(VLOOKUP($A48,#REF!,#REF!,FALSE),"")</f>
        <v/>
      </c>
      <c r="G48" s="199"/>
      <c r="H48" s="424" t="str">
        <f>IFERROR(VLOOKUP($A48,'FY25 S.3'!$F$10:$AG$151,'FY25 S.3'!$AG$10,FALSE),"")</f>
        <v/>
      </c>
      <c r="I48" s="199"/>
      <c r="J48" s="199" t="str">
        <f>IFERROR(VLOOKUP($A48,#REF!,#REF!,FALSE),"")</f>
        <v/>
      </c>
    </row>
    <row r="49" spans="1:10" ht="15">
      <c r="A49" s="299" t="s">
        <v>2778</v>
      </c>
      <c r="B49" s="301"/>
      <c r="C49" s="301"/>
      <c r="D49" s="301" t="e">
        <f>D47+D42+D38</f>
        <v>#VALUE!</v>
      </c>
      <c r="E49" s="301"/>
      <c r="F49" s="301" t="e">
        <f>F47+F42+F38</f>
        <v>#VALUE!</v>
      </c>
      <c r="G49" s="301"/>
      <c r="H49" s="425" t="e">
        <f>H47+H42+H38</f>
        <v>#VALUE!</v>
      </c>
      <c r="I49" s="301"/>
      <c r="J49" s="301" t="e">
        <f>J47+J42+J38</f>
        <v>#VALUE!</v>
      </c>
    </row>
    <row r="50" spans="1:10">
      <c r="A50" s="296"/>
      <c r="B50" s="199"/>
      <c r="C50" s="199"/>
      <c r="D50" s="199" t="str">
        <f>IFERROR(VLOOKUP($A50,#REF!,#REF!,FALSE),"")</f>
        <v/>
      </c>
      <c r="E50" s="199"/>
      <c r="F50" s="199" t="str">
        <f>IFERROR(VLOOKUP($A50,#REF!,#REF!,FALSE),"")</f>
        <v/>
      </c>
      <c r="G50" s="199"/>
      <c r="H50" s="424" t="str">
        <f>IFERROR(VLOOKUP($A50,'FY25 S.3'!$F$10:$AG$151,'FY25 S.3'!$AG$10,FALSE),"")</f>
        <v/>
      </c>
      <c r="I50" s="199"/>
      <c r="J50" s="199" t="str">
        <f>IFERROR(VLOOKUP($A50,#REF!,#REF!,FALSE),"")</f>
        <v/>
      </c>
    </row>
    <row r="51" spans="1:10" ht="15">
      <c r="A51" s="282" t="s">
        <v>2611</v>
      </c>
      <c r="B51" s="284"/>
      <c r="C51" s="284"/>
      <c r="D51" s="284"/>
      <c r="E51" s="284"/>
      <c r="F51" s="284"/>
      <c r="G51" s="284"/>
      <c r="H51" s="421"/>
      <c r="I51" s="284"/>
      <c r="J51" s="284"/>
    </row>
    <row r="52" spans="1:10">
      <c r="A52" s="246" t="s">
        <v>2639</v>
      </c>
      <c r="B52" s="247"/>
      <c r="C52" s="247"/>
      <c r="D52" s="247" t="str">
        <f>IFERROR(VLOOKUP($A52,#REF!,#REF!,FALSE),"")</f>
        <v/>
      </c>
      <c r="E52" s="247"/>
      <c r="F52" s="247" t="str">
        <f>IFERROR(VLOOKUP($A52,#REF!,#REF!,FALSE),"")</f>
        <v/>
      </c>
      <c r="G52" s="247"/>
      <c r="H52" s="414">
        <f>IFERROR(VLOOKUP($A52,'FY25 S.3'!$F$10:$AG$151,'FY25 S.3'!$AG$10,FALSE),"")</f>
        <v>-88999</v>
      </c>
      <c r="I52" s="247"/>
      <c r="J52" s="247" t="str">
        <f>IFERROR(VLOOKUP($A52,#REF!,#REF!,FALSE),"")</f>
        <v/>
      </c>
    </row>
    <row r="53" spans="1:10">
      <c r="A53" s="246" t="s">
        <v>2642</v>
      </c>
      <c r="B53" s="247"/>
      <c r="C53" s="247"/>
      <c r="D53" s="247" t="str">
        <f>IFERROR(VLOOKUP($A53,#REF!,#REF!,FALSE),"")</f>
        <v/>
      </c>
      <c r="E53" s="247"/>
      <c r="F53" s="247" t="str">
        <f>IFERROR(VLOOKUP($A53,#REF!,#REF!,FALSE),"")</f>
        <v/>
      </c>
      <c r="G53" s="247"/>
      <c r="H53" s="414">
        <f>IFERROR(VLOOKUP($A53,'FY25 S.3'!$F$10:$AG$151,'FY25 S.3'!$AG$10,FALSE),"")</f>
        <v>-22050</v>
      </c>
      <c r="I53" s="247"/>
      <c r="J53" s="247" t="str">
        <f>IFERROR(VLOOKUP($A53,#REF!,#REF!,FALSE),"")</f>
        <v/>
      </c>
    </row>
    <row r="54" spans="1:10">
      <c r="A54" s="246" t="s">
        <v>2790</v>
      </c>
      <c r="B54" s="247"/>
      <c r="C54" s="247"/>
      <c r="D54" s="247" t="str">
        <f>IFERROR(VLOOKUP($A54,#REF!,#REF!,FALSE),"")</f>
        <v/>
      </c>
      <c r="E54" s="247"/>
      <c r="F54" s="247" t="str">
        <f>IFERROR(VLOOKUP($A54,#REF!,#REF!,FALSE),"")</f>
        <v/>
      </c>
      <c r="G54" s="247"/>
      <c r="H54" s="414">
        <f>IFERROR(VLOOKUP($A54,'FY25 S.3'!$F$10:$AG$151,'FY25 S.3'!$AG$10,FALSE),"")</f>
        <v>0</v>
      </c>
      <c r="I54" s="247"/>
      <c r="J54" s="247" t="str">
        <f>IFERROR(VLOOKUP($A54,#REF!,#REF!,FALSE),"")</f>
        <v/>
      </c>
    </row>
    <row r="55" spans="1:10">
      <c r="A55" s="246" t="s">
        <v>2644</v>
      </c>
      <c r="B55" s="247"/>
      <c r="C55" s="247"/>
      <c r="D55" s="247" t="str">
        <f>IFERROR(VLOOKUP($A55,#REF!,#REF!,FALSE),"")</f>
        <v/>
      </c>
      <c r="E55" s="247"/>
      <c r="F55" s="247" t="str">
        <f>IFERROR(VLOOKUP($A55,#REF!,#REF!,FALSE),"")</f>
        <v/>
      </c>
      <c r="G55" s="247"/>
      <c r="H55" s="414">
        <f>IFERROR(VLOOKUP($A55,'FY25 S.3'!$F$10:$AG$151,'FY25 S.3'!$AG$10,FALSE),"")</f>
        <v>-6666.6</v>
      </c>
      <c r="I55" s="247"/>
      <c r="J55" s="247" t="str">
        <f>IFERROR(VLOOKUP($A55,#REF!,#REF!,FALSE),"")</f>
        <v/>
      </c>
    </row>
    <row r="56" spans="1:10">
      <c r="A56" s="246" t="s">
        <v>2791</v>
      </c>
      <c r="B56" s="247"/>
      <c r="C56" s="247"/>
      <c r="D56" s="247" t="str">
        <f>IFERROR(VLOOKUP($A56,#REF!,#REF!,FALSE),"")</f>
        <v/>
      </c>
      <c r="E56" s="247"/>
      <c r="F56" s="247" t="str">
        <f>IFERROR(VLOOKUP($A56,#REF!,#REF!,FALSE),"")</f>
        <v/>
      </c>
      <c r="G56" s="247"/>
      <c r="H56" s="414">
        <f>IFERROR(VLOOKUP($A56,'FY25 S.3'!$F$10:$AG$151,'FY25 S.3'!$AG$10,FALSE),"")</f>
        <v>0</v>
      </c>
      <c r="I56" s="247"/>
      <c r="J56" s="247" t="str">
        <f>IFERROR(VLOOKUP($A56,#REF!,#REF!,FALSE),"")</f>
        <v/>
      </c>
    </row>
    <row r="57" spans="1:10">
      <c r="A57" s="246" t="s">
        <v>2643</v>
      </c>
      <c r="B57" s="247"/>
      <c r="C57" s="247"/>
      <c r="D57" s="247" t="str">
        <f>IFERROR(VLOOKUP($A57,#REF!,#REF!,FALSE),"")</f>
        <v/>
      </c>
      <c r="E57" s="247"/>
      <c r="F57" s="247" t="str">
        <f>IFERROR(VLOOKUP($A57,#REF!,#REF!,FALSE),"")</f>
        <v/>
      </c>
      <c r="G57" s="247"/>
      <c r="H57" s="414">
        <f>IFERROR(VLOOKUP($A57,'FY25 S.3'!$F$10:$AG$151,'FY25 S.3'!$AG$10,FALSE),"")</f>
        <v>0</v>
      </c>
      <c r="I57" s="247"/>
      <c r="J57" s="247" t="str">
        <f>IFERROR(VLOOKUP($A57,#REF!,#REF!,FALSE),"")</f>
        <v/>
      </c>
    </row>
    <row r="58" spans="1:10">
      <c r="A58" s="246" t="s">
        <v>2792</v>
      </c>
      <c r="B58" s="247"/>
      <c r="C58" s="247"/>
      <c r="D58" s="247" t="str">
        <f>IFERROR(VLOOKUP($A58,#REF!,#REF!,FALSE),"")</f>
        <v/>
      </c>
      <c r="E58" s="247"/>
      <c r="F58" s="247" t="str">
        <f>IFERROR(VLOOKUP($A58,#REF!,#REF!,FALSE),"")</f>
        <v/>
      </c>
      <c r="G58" s="247"/>
      <c r="H58" s="414">
        <f>IFERROR(VLOOKUP($A58,'FY25 S.3'!$F$10:$AG$151,'FY25 S.3'!$AG$10,FALSE),"")</f>
        <v>-17120.782129499999</v>
      </c>
      <c r="I58" s="247"/>
      <c r="J58" s="247" t="str">
        <f>IFERROR(VLOOKUP($A58,#REF!,#REF!,FALSE),"")</f>
        <v/>
      </c>
    </row>
    <row r="59" spans="1:10">
      <c r="A59" s="246" t="s">
        <v>1600</v>
      </c>
      <c r="B59" s="247"/>
      <c r="C59" s="247"/>
      <c r="D59" s="247" t="str">
        <f>IFERROR(VLOOKUP($A59,#REF!,#REF!,FALSE),"")</f>
        <v/>
      </c>
      <c r="E59" s="247"/>
      <c r="F59" s="247" t="str">
        <f>IFERROR(VLOOKUP($A59,#REF!,#REF!,FALSE),"")</f>
        <v/>
      </c>
      <c r="G59" s="247"/>
      <c r="H59" s="414">
        <f>IFERROR(VLOOKUP($A59,'FY25 S.3'!$F$10:$AG$151,'FY25 S.3'!$AG$10,FALSE),"")</f>
        <v>-747.59159999999997</v>
      </c>
      <c r="I59" s="247"/>
      <c r="J59" s="247" t="str">
        <f>IFERROR(VLOOKUP($A59,#REF!,#REF!,FALSE),"")</f>
        <v/>
      </c>
    </row>
    <row r="60" spans="1:10">
      <c r="A60" s="246" t="s">
        <v>2630</v>
      </c>
      <c r="B60" s="247"/>
      <c r="C60" s="247"/>
      <c r="D60" s="247" t="str">
        <f>IFERROR(VLOOKUP($A60,#REF!,#REF!,FALSE),"")</f>
        <v/>
      </c>
      <c r="E60" s="247"/>
      <c r="F60" s="247" t="str">
        <f>IFERROR(VLOOKUP($A60,#REF!,#REF!,FALSE),"")</f>
        <v/>
      </c>
      <c r="G60" s="247"/>
      <c r="H60" s="414">
        <f>IFERROR(VLOOKUP($A60,'FY25 S.3'!$F$10:$AG$151,'FY25 S.3'!$AG$10,FALSE),"")</f>
        <v>0</v>
      </c>
      <c r="I60" s="247"/>
      <c r="J60" s="247" t="str">
        <f>IFERROR(VLOOKUP($A60,#REF!,#REF!,FALSE),"")</f>
        <v/>
      </c>
    </row>
    <row r="61" spans="1:10">
      <c r="A61" s="246" t="s">
        <v>2612</v>
      </c>
      <c r="B61" s="247"/>
      <c r="C61" s="247"/>
      <c r="D61" s="247" t="str">
        <f>IFERROR(VLOOKUP($A61,#REF!,#REF!,FALSE),"")</f>
        <v/>
      </c>
      <c r="E61" s="247"/>
      <c r="F61" s="247" t="str">
        <f>IFERROR(VLOOKUP($A61,#REF!,#REF!,FALSE),"")</f>
        <v/>
      </c>
      <c r="G61" s="247"/>
      <c r="H61" s="414">
        <f>IFERROR(VLOOKUP($A61,'FY25 S.3'!$F$10:$AG$151,'FY25 S.3'!$AG$10,FALSE),"")</f>
        <v>-1525.360557</v>
      </c>
      <c r="I61" s="247"/>
      <c r="J61" s="247" t="str">
        <f>IFERROR(VLOOKUP($A61,#REF!,#REF!,FALSE),"")</f>
        <v/>
      </c>
    </row>
    <row r="62" spans="1:10">
      <c r="A62" s="246" t="s">
        <v>2615</v>
      </c>
      <c r="B62" s="247"/>
      <c r="C62" s="247"/>
      <c r="D62" s="247" t="str">
        <f>IFERROR(VLOOKUP($A62,#REF!,#REF!,FALSE),"")</f>
        <v/>
      </c>
      <c r="E62" s="247"/>
      <c r="F62" s="247" t="str">
        <f>IFERROR(VLOOKUP($A62,#REF!,#REF!,FALSE),"")</f>
        <v/>
      </c>
      <c r="G62" s="247"/>
      <c r="H62" s="414">
        <f>IFERROR(VLOOKUP($A62,'FY25 S.3'!$F$10:$AG$151,'FY25 S.3'!$AG$10,FALSE),"")</f>
        <v>-6988.6707449999994</v>
      </c>
      <c r="I62" s="247"/>
      <c r="J62" s="247" t="str">
        <f>IFERROR(VLOOKUP($A62,#REF!,#REF!,FALSE),"")</f>
        <v/>
      </c>
    </row>
    <row r="63" spans="1:10">
      <c r="A63" s="246" t="s">
        <v>2616</v>
      </c>
      <c r="B63" s="247"/>
      <c r="C63" s="247"/>
      <c r="D63" s="247" t="str">
        <f>IFERROR(VLOOKUP($A63,#REF!,#REF!,FALSE),"")</f>
        <v/>
      </c>
      <c r="E63" s="247"/>
      <c r="F63" s="247" t="str">
        <f>IFERROR(VLOOKUP($A63,#REF!,#REF!,FALSE),"")</f>
        <v/>
      </c>
      <c r="G63" s="247"/>
      <c r="H63" s="414">
        <f>IFERROR(VLOOKUP($A63,'FY25 S.3'!$F$10:$AG$151,'FY25 S.3'!$AG$10,FALSE),"")</f>
        <v>0</v>
      </c>
      <c r="I63" s="247"/>
      <c r="J63" s="247" t="str">
        <f>IFERROR(VLOOKUP($A63,#REF!,#REF!,FALSE),"")</f>
        <v/>
      </c>
    </row>
    <row r="64" spans="1:10">
      <c r="A64" s="246" t="s">
        <v>2793</v>
      </c>
      <c r="B64" s="247"/>
      <c r="C64" s="247"/>
      <c r="D64" s="247" t="str">
        <f>IFERROR(VLOOKUP($A64,#REF!,#REF!,FALSE),"")</f>
        <v/>
      </c>
      <c r="E64" s="247"/>
      <c r="F64" s="247" t="str">
        <f>IFERROR(VLOOKUP($A64,#REF!,#REF!,FALSE),"")</f>
        <v/>
      </c>
      <c r="G64" s="247"/>
      <c r="H64" s="414">
        <f>IFERROR(VLOOKUP($A64,'FY25 S.3'!$F$10:$AG$151,'FY25 S.3'!$AG$10,FALSE),"")</f>
        <v>0</v>
      </c>
      <c r="I64" s="247"/>
      <c r="J64" s="247" t="str">
        <f>IFERROR(VLOOKUP($A64,#REF!,#REF!,FALSE),"")</f>
        <v/>
      </c>
    </row>
    <row r="65" spans="1:10">
      <c r="A65" s="246" t="s">
        <v>2623</v>
      </c>
      <c r="B65" s="247"/>
      <c r="C65" s="247"/>
      <c r="D65" s="247" t="str">
        <f>IFERROR(VLOOKUP($A65,#REF!,#REF!,FALSE),"")</f>
        <v/>
      </c>
      <c r="E65" s="247"/>
      <c r="F65" s="247" t="str">
        <f>IFERROR(VLOOKUP($A65,#REF!,#REF!,FALSE),"")</f>
        <v/>
      </c>
      <c r="G65" s="247"/>
      <c r="H65" s="414">
        <f>IFERROR(VLOOKUP($A65,'FY25 S.3'!$F$10:$AG$151,'FY25 S.3'!$AG$10,FALSE),"")</f>
        <v>-2336.2237499999997</v>
      </c>
      <c r="I65" s="247"/>
      <c r="J65" s="247" t="str">
        <f>IFERROR(VLOOKUP($A65,#REF!,#REF!,FALSE),"")</f>
        <v/>
      </c>
    </row>
    <row r="66" spans="1:10">
      <c r="A66" s="246" t="s">
        <v>2794</v>
      </c>
      <c r="B66" s="247"/>
      <c r="C66" s="247"/>
      <c r="D66" s="247" t="str">
        <f>IFERROR(VLOOKUP($A66,#REF!,#REF!,FALSE),"")</f>
        <v/>
      </c>
      <c r="E66" s="247"/>
      <c r="F66" s="247" t="str">
        <f>IFERROR(VLOOKUP($A66,#REF!,#REF!,FALSE),"")</f>
        <v/>
      </c>
      <c r="G66" s="247"/>
      <c r="H66" s="414">
        <f>IFERROR(VLOOKUP($A66,'FY25 S.3'!$F$10:$AG$151,'FY25 S.3'!$AG$10,FALSE),"")</f>
        <v>0</v>
      </c>
      <c r="I66" s="247"/>
      <c r="J66" s="247" t="str">
        <f>IFERROR(VLOOKUP($A66,#REF!,#REF!,FALSE),"")</f>
        <v/>
      </c>
    </row>
    <row r="67" spans="1:10">
      <c r="A67" s="246" t="s">
        <v>2795</v>
      </c>
      <c r="B67" s="247"/>
      <c r="C67" s="247"/>
      <c r="D67" s="247" t="str">
        <f>IFERROR(VLOOKUP($A67,#REF!,#REF!,FALSE),"")</f>
        <v/>
      </c>
      <c r="E67" s="247"/>
      <c r="F67" s="247" t="str">
        <f>IFERROR(VLOOKUP($A67,#REF!,#REF!,FALSE),"")</f>
        <v/>
      </c>
      <c r="G67" s="247"/>
      <c r="H67" s="414">
        <f>IFERROR(VLOOKUP($A67,'FY25 S.3'!$F$10:$AG$151,'FY25 S.3'!$AG$10,FALSE),"")</f>
        <v>0</v>
      </c>
      <c r="I67" s="247"/>
      <c r="J67" s="247" t="str">
        <f>IFERROR(VLOOKUP($A67,#REF!,#REF!,FALSE),"")</f>
        <v/>
      </c>
    </row>
    <row r="68" spans="1:10">
      <c r="A68" s="246" t="s">
        <v>2796</v>
      </c>
      <c r="B68" s="247"/>
      <c r="C68" s="247"/>
      <c r="D68" s="247" t="str">
        <f>IFERROR(VLOOKUP($A68,#REF!,#REF!,FALSE),"")</f>
        <v/>
      </c>
      <c r="E68" s="247"/>
      <c r="F68" s="247" t="str">
        <f>IFERROR(VLOOKUP($A68,#REF!,#REF!,FALSE),"")</f>
        <v/>
      </c>
      <c r="G68" s="247"/>
      <c r="H68" s="414">
        <f>IFERROR(VLOOKUP($A68,'FY25 S.3'!$F$10:$AG$151,'FY25 S.3'!$AG$10,FALSE),"")</f>
        <v>0</v>
      </c>
      <c r="I68" s="247"/>
      <c r="J68" s="247" t="str">
        <f>IFERROR(VLOOKUP($A68,#REF!,#REF!,FALSE),"")</f>
        <v/>
      </c>
    </row>
    <row r="69" spans="1:10">
      <c r="A69" s="246" t="s">
        <v>2797</v>
      </c>
      <c r="B69" s="247"/>
      <c r="C69" s="247"/>
      <c r="D69" s="247" t="str">
        <f>IFERROR(VLOOKUP($A69,#REF!,#REF!,FALSE),"")</f>
        <v/>
      </c>
      <c r="E69" s="247"/>
      <c r="F69" s="247" t="str">
        <f>IFERROR(VLOOKUP($A69,#REF!,#REF!,FALSE),"")</f>
        <v/>
      </c>
      <c r="G69" s="247"/>
      <c r="H69" s="414">
        <f>IFERROR(VLOOKUP($A69,'FY25 S.3'!$F$10:$AG$151,'FY25 S.3'!$AG$10,FALSE),"")</f>
        <v>0</v>
      </c>
      <c r="I69" s="247"/>
      <c r="J69" s="247" t="str">
        <f>IFERROR(VLOOKUP($A69,#REF!,#REF!,FALSE),"")</f>
        <v/>
      </c>
    </row>
    <row r="70" spans="1:10" ht="15">
      <c r="A70" s="299" t="s">
        <v>2611</v>
      </c>
      <c r="B70" s="301"/>
      <c r="C70" s="301"/>
      <c r="D70" s="301">
        <f>SUM(D52:D69)</f>
        <v>0</v>
      </c>
      <c r="E70" s="301"/>
      <c r="F70" s="301">
        <f>SUM(F52:F69)</f>
        <v>0</v>
      </c>
      <c r="G70" s="301"/>
      <c r="H70" s="425">
        <f>SUM(H52:H69)</f>
        <v>-146434.22878150005</v>
      </c>
      <c r="I70" s="301"/>
      <c r="J70" s="301">
        <f>SUM(J52:J69)</f>
        <v>0</v>
      </c>
    </row>
    <row r="71" spans="1:10" ht="15">
      <c r="A71" s="282"/>
      <c r="B71" s="305"/>
      <c r="C71" s="305"/>
      <c r="D71" s="305" t="str">
        <f>IFERROR(VLOOKUP($A71,#REF!,#REF!,FALSE),"")</f>
        <v/>
      </c>
      <c r="E71" s="305"/>
      <c r="F71" s="305" t="str">
        <f>IFERROR(VLOOKUP($A71,#REF!,#REF!,FALSE),"")</f>
        <v/>
      </c>
      <c r="G71" s="305"/>
      <c r="H71" s="426" t="str">
        <f>IFERROR(VLOOKUP($A71,'FY25 S.3'!$F$10:$AG$151,'FY25 S.3'!$AG$10,FALSE),"")</f>
        <v/>
      </c>
      <c r="I71" s="305"/>
      <c r="J71" s="305" t="str">
        <f>IFERROR(VLOOKUP($A71,#REF!,#REF!,FALSE),"")</f>
        <v/>
      </c>
    </row>
    <row r="72" spans="1:10" ht="15">
      <c r="A72" s="282" t="s">
        <v>2798</v>
      </c>
      <c r="B72" s="284"/>
      <c r="C72" s="284"/>
      <c r="D72" s="284"/>
      <c r="E72" s="284"/>
      <c r="F72" s="284"/>
      <c r="G72" s="284"/>
      <c r="H72" s="421"/>
      <c r="I72" s="284"/>
      <c r="J72" s="284"/>
    </row>
    <row r="73" spans="1:10">
      <c r="A73" s="246" t="s">
        <v>2657</v>
      </c>
      <c r="B73" s="247"/>
      <c r="C73" s="247"/>
      <c r="D73" s="247" t="str">
        <f>IFERROR(VLOOKUP($A73,#REF!,#REF!,FALSE),"")</f>
        <v/>
      </c>
      <c r="E73" s="247"/>
      <c r="F73" s="247" t="str">
        <f>IFERROR(VLOOKUP($A73,#REF!,#REF!,FALSE),"")</f>
        <v/>
      </c>
      <c r="G73" s="247"/>
      <c r="H73" s="414">
        <f>IFERROR(VLOOKUP($A73,'FY25 S.3'!$F$10:$AG$151,'FY25 S.3'!$AG$10,FALSE),"")</f>
        <v>0</v>
      </c>
      <c r="I73" s="247"/>
      <c r="J73" s="247" t="str">
        <f>IFERROR(VLOOKUP($A73,#REF!,#REF!,FALSE),"")</f>
        <v/>
      </c>
    </row>
    <row r="74" spans="1:10">
      <c r="A74" s="246" t="s">
        <v>2658</v>
      </c>
      <c r="B74" s="247"/>
      <c r="C74" s="247"/>
      <c r="D74" s="247" t="str">
        <f>IFERROR(VLOOKUP($A74,#REF!,#REF!,FALSE),"")</f>
        <v/>
      </c>
      <c r="E74" s="247"/>
      <c r="F74" s="247" t="str">
        <f>IFERROR(VLOOKUP($A74,#REF!,#REF!,FALSE),"")</f>
        <v/>
      </c>
      <c r="G74" s="247"/>
      <c r="H74" s="414">
        <f>IFERROR(VLOOKUP($A74,'FY25 S.3'!$F$10:$AG$151,'FY25 S.3'!$AG$10,FALSE),"")</f>
        <v>0</v>
      </c>
      <c r="I74" s="247"/>
      <c r="J74" s="247" t="str">
        <f>IFERROR(VLOOKUP($A74,#REF!,#REF!,FALSE),"")</f>
        <v/>
      </c>
    </row>
    <row r="75" spans="1:10">
      <c r="A75" s="246" t="s">
        <v>2660</v>
      </c>
      <c r="B75" s="247"/>
      <c r="C75" s="247"/>
      <c r="D75" s="247" t="str">
        <f>IFERROR(VLOOKUP($A75,#REF!,#REF!,FALSE),"")</f>
        <v/>
      </c>
      <c r="E75" s="247"/>
      <c r="F75" s="247" t="str">
        <f>IFERROR(VLOOKUP($A75,#REF!,#REF!,FALSE),"")</f>
        <v/>
      </c>
      <c r="G75" s="247"/>
      <c r="H75" s="414">
        <f>IFERROR(VLOOKUP($A75,'FY25 S.3'!$F$10:$AG$151,'FY25 S.3'!$AG$10,FALSE),"")</f>
        <v>0</v>
      </c>
      <c r="I75" s="247"/>
      <c r="J75" s="247" t="str">
        <f>IFERROR(VLOOKUP($A75,#REF!,#REF!,FALSE),"")</f>
        <v/>
      </c>
    </row>
    <row r="76" spans="1:10">
      <c r="A76" s="246" t="s">
        <v>2659</v>
      </c>
      <c r="B76" s="247"/>
      <c r="C76" s="247"/>
      <c r="D76" s="247" t="str">
        <f>IFERROR(VLOOKUP($A76,#REF!,#REF!,FALSE),"")</f>
        <v/>
      </c>
      <c r="E76" s="247"/>
      <c r="F76" s="247" t="str">
        <f>IFERROR(VLOOKUP($A76,#REF!,#REF!,FALSE),"")</f>
        <v/>
      </c>
      <c r="G76" s="247"/>
      <c r="H76" s="414">
        <f>IFERROR(VLOOKUP($A76,'FY25 S.3'!$F$10:$AG$151,'FY25 S.3'!$AG$10,FALSE),"")</f>
        <v>0</v>
      </c>
      <c r="I76" s="247"/>
      <c r="J76" s="247" t="str">
        <f>IFERROR(VLOOKUP($A76,#REF!,#REF!,FALSE),"")</f>
        <v/>
      </c>
    </row>
    <row r="77" spans="1:10">
      <c r="A77" s="246" t="s">
        <v>1698</v>
      </c>
      <c r="B77" s="247"/>
      <c r="C77" s="247"/>
      <c r="D77" s="247" t="str">
        <f>IFERROR(VLOOKUP($A77,#REF!,#REF!,FALSE),"")</f>
        <v/>
      </c>
      <c r="E77" s="247"/>
      <c r="F77" s="247" t="str">
        <f>IFERROR(VLOOKUP($A77,#REF!,#REF!,FALSE),"")</f>
        <v/>
      </c>
      <c r="G77" s="247"/>
      <c r="H77" s="414">
        <f>IFERROR(VLOOKUP($A77,'FY25 S.3'!$F$10:$AG$151,'FY25 S.3'!$AG$10,FALSE),"")</f>
        <v>0</v>
      </c>
      <c r="I77" s="247"/>
      <c r="J77" s="247" t="str">
        <f>IFERROR(VLOOKUP($A77,#REF!,#REF!,FALSE),"")</f>
        <v/>
      </c>
    </row>
    <row r="78" spans="1:10">
      <c r="A78" s="246" t="s">
        <v>2700</v>
      </c>
      <c r="B78" s="247"/>
      <c r="C78" s="247"/>
      <c r="D78" s="247" t="str">
        <f>IFERROR(VLOOKUP($A78,#REF!,#REF!,FALSE),"")</f>
        <v/>
      </c>
      <c r="E78" s="247"/>
      <c r="F78" s="247" t="str">
        <f>IFERROR(VLOOKUP($A78,#REF!,#REF!,FALSE),"")</f>
        <v/>
      </c>
      <c r="G78" s="247"/>
      <c r="H78" s="414">
        <f>IFERROR(VLOOKUP($A78,'FY25 S.3'!$F$10:$AG$151,'FY25 S.3'!$AG$10,FALSE),"")</f>
        <v>0</v>
      </c>
      <c r="I78" s="247"/>
      <c r="J78" s="247" t="str">
        <f>IFERROR(VLOOKUP($A78,#REF!,#REF!,FALSE),"")</f>
        <v/>
      </c>
    </row>
    <row r="79" spans="1:10">
      <c r="A79" s="246" t="s">
        <v>2701</v>
      </c>
      <c r="B79" s="247"/>
      <c r="C79" s="247"/>
      <c r="D79" s="247" t="str">
        <f>IFERROR(VLOOKUP($A79,#REF!,#REF!,FALSE),"")</f>
        <v/>
      </c>
      <c r="E79" s="247"/>
      <c r="F79" s="247" t="str">
        <f>IFERROR(VLOOKUP($A79,#REF!,#REF!,FALSE),"")</f>
        <v/>
      </c>
      <c r="G79" s="247"/>
      <c r="H79" s="414">
        <f>IFERROR(VLOOKUP($A79,'FY25 S.3'!$F$10:$AG$151,'FY25 S.3'!$AG$10,FALSE),"")</f>
        <v>0</v>
      </c>
      <c r="I79" s="247"/>
      <c r="J79" s="247" t="str">
        <f>IFERROR(VLOOKUP($A79,#REF!,#REF!,FALSE),"")</f>
        <v/>
      </c>
    </row>
    <row r="80" spans="1:10">
      <c r="A80" s="246" t="s">
        <v>2799</v>
      </c>
      <c r="B80" s="247"/>
      <c r="C80" s="247"/>
      <c r="D80" s="247" t="str">
        <f>IFERROR(VLOOKUP($A80,#REF!,#REF!,FALSE),"")</f>
        <v/>
      </c>
      <c r="E80" s="247"/>
      <c r="F80" s="247" t="str">
        <f>IFERROR(VLOOKUP($A80,#REF!,#REF!,FALSE),"")</f>
        <v/>
      </c>
      <c r="G80" s="247"/>
      <c r="H80" s="414">
        <f>IFERROR(VLOOKUP($A80,'FY25 S.3'!$F$10:$AG$151,'FY25 S.3'!$AG$10,FALSE),"")</f>
        <v>0</v>
      </c>
      <c r="I80" s="247"/>
      <c r="J80" s="247" t="str">
        <f>IFERROR(VLOOKUP($A80,#REF!,#REF!,FALSE),"")</f>
        <v/>
      </c>
    </row>
    <row r="81" spans="1:10" ht="15">
      <c r="A81" s="299" t="s">
        <v>2798</v>
      </c>
      <c r="B81" s="301"/>
      <c r="C81" s="301"/>
      <c r="D81" s="301">
        <f>SUM(D73:D80)</f>
        <v>0</v>
      </c>
      <c r="E81" s="301"/>
      <c r="F81" s="301">
        <f>SUM(F73:F80)</f>
        <v>0</v>
      </c>
      <c r="G81" s="301"/>
      <c r="H81" s="425">
        <f>SUM(H73:H80)</f>
        <v>0</v>
      </c>
      <c r="I81" s="301"/>
      <c r="J81" s="301">
        <f>SUM(J73:J80)</f>
        <v>0</v>
      </c>
    </row>
    <row r="82" spans="1:10">
      <c r="A82" s="306"/>
      <c r="B82" s="260"/>
      <c r="C82" s="260"/>
      <c r="D82" s="260" t="str">
        <f>IFERROR(VLOOKUP($A82,#REF!,#REF!,FALSE),"")</f>
        <v/>
      </c>
      <c r="E82" s="260"/>
      <c r="F82" s="260" t="str">
        <f>IFERROR(VLOOKUP($A82,#REF!,#REF!,FALSE),"")</f>
        <v/>
      </c>
      <c r="G82" s="260"/>
      <c r="H82" s="417" t="str">
        <f>IFERROR(VLOOKUP($A82,'FY25 S.3'!$F$10:$AG$151,'FY25 S.3'!$AG$10,FALSE),"")</f>
        <v/>
      </c>
      <c r="I82" s="260"/>
      <c r="J82" s="260" t="str">
        <f>IFERROR(VLOOKUP($A82,#REF!,#REF!,FALSE),"")</f>
        <v/>
      </c>
    </row>
    <row r="83" spans="1:10" ht="15">
      <c r="A83" s="282" t="s">
        <v>2800</v>
      </c>
      <c r="B83" s="284"/>
      <c r="C83" s="284"/>
      <c r="D83" s="284"/>
      <c r="E83" s="284"/>
      <c r="F83" s="284"/>
      <c r="G83" s="284"/>
      <c r="H83" s="421"/>
      <c r="I83" s="284"/>
      <c r="J83" s="284"/>
    </row>
    <row r="84" spans="1:10">
      <c r="A84" s="246" t="s">
        <v>2707</v>
      </c>
      <c r="B84" s="247"/>
      <c r="C84" s="247"/>
      <c r="D84" s="247" t="str">
        <f>IFERROR(VLOOKUP($A84,#REF!,#REF!,FALSE),"")</f>
        <v/>
      </c>
      <c r="E84" s="247"/>
      <c r="F84" s="247" t="str">
        <f>IFERROR(VLOOKUP($A84,#REF!,#REF!,FALSE),"")</f>
        <v/>
      </c>
      <c r="G84" s="247"/>
      <c r="H84" s="414">
        <f>IFERROR(VLOOKUP($A84,'FY25 S.3'!$F$10:$AG$151,'FY25 S.3'!$AG$10,FALSE),"")</f>
        <v>-19579.78</v>
      </c>
      <c r="I84" s="247"/>
      <c r="J84" s="247" t="str">
        <f>IFERROR(VLOOKUP($A84,#REF!,#REF!,FALSE),"")</f>
        <v/>
      </c>
    </row>
    <row r="85" spans="1:10">
      <c r="A85" s="246" t="s">
        <v>2709</v>
      </c>
      <c r="B85" s="247"/>
      <c r="C85" s="247"/>
      <c r="D85" s="247" t="str">
        <f>IFERROR(VLOOKUP($A85,#REF!,#REF!,FALSE),"")</f>
        <v/>
      </c>
      <c r="E85" s="247"/>
      <c r="F85" s="247" t="str">
        <f>IFERROR(VLOOKUP($A85,#REF!,#REF!,FALSE),"")</f>
        <v/>
      </c>
      <c r="G85" s="247"/>
      <c r="H85" s="414">
        <f>IFERROR(VLOOKUP($A85,'FY25 S.3'!$F$10:$AG$151,'FY25 S.3'!$AG$10,FALSE),"")</f>
        <v>0</v>
      </c>
      <c r="I85" s="247"/>
      <c r="J85" s="247" t="str">
        <f>IFERROR(VLOOKUP($A85,#REF!,#REF!,FALSE),"")</f>
        <v/>
      </c>
    </row>
    <row r="86" spans="1:10">
      <c r="A86" s="246" t="s">
        <v>1546</v>
      </c>
      <c r="B86" s="247"/>
      <c r="C86" s="247"/>
      <c r="D86" s="247" t="str">
        <f>IFERROR(VLOOKUP($A86,#REF!,#REF!,FALSE),"")</f>
        <v/>
      </c>
      <c r="E86" s="247"/>
      <c r="F86" s="247" t="str">
        <f>IFERROR(VLOOKUP($A86,#REF!,#REF!,FALSE),"")</f>
        <v/>
      </c>
      <c r="G86" s="247"/>
      <c r="H86" s="414">
        <f>IFERROR(VLOOKUP($A86,'FY25 S.3'!$F$10:$AG$151,'FY25 S.3'!$AG$10,FALSE),"")</f>
        <v>-9049.9500000000007</v>
      </c>
      <c r="I86" s="247"/>
      <c r="J86" s="247" t="str">
        <f>IFERROR(VLOOKUP($A86,#REF!,#REF!,FALSE),"")</f>
        <v/>
      </c>
    </row>
    <row r="87" spans="1:10">
      <c r="A87" s="246" t="s">
        <v>1873</v>
      </c>
      <c r="B87" s="247"/>
      <c r="C87" s="247"/>
      <c r="D87" s="247" t="str">
        <f>IFERROR(VLOOKUP($A87,#REF!,#REF!,FALSE),"")</f>
        <v/>
      </c>
      <c r="E87" s="247"/>
      <c r="F87" s="247" t="str">
        <f>IFERROR(VLOOKUP($A87,#REF!,#REF!,FALSE),"")</f>
        <v/>
      </c>
      <c r="G87" s="247"/>
      <c r="H87" s="414">
        <f>IFERROR(VLOOKUP($A87,'FY25 S.3'!$F$10:$AG$151,'FY25 S.3'!$AG$10,FALSE),"")</f>
        <v>-185034.42362249998</v>
      </c>
      <c r="I87" s="247"/>
      <c r="J87" s="247" t="str">
        <f>IFERROR(VLOOKUP($A87,#REF!,#REF!,FALSE),"")</f>
        <v/>
      </c>
    </row>
    <row r="88" spans="1:10">
      <c r="A88" s="246" t="s">
        <v>2712</v>
      </c>
      <c r="B88" s="247"/>
      <c r="C88" s="247"/>
      <c r="D88" s="247" t="str">
        <f>IFERROR(VLOOKUP($A88,#REF!,#REF!,FALSE),"")</f>
        <v/>
      </c>
      <c r="E88" s="247"/>
      <c r="F88" s="247" t="str">
        <f>IFERROR(VLOOKUP($A88,#REF!,#REF!,FALSE),"")</f>
        <v/>
      </c>
      <c r="G88" s="247"/>
      <c r="H88" s="414">
        <f>IFERROR(VLOOKUP($A88,'FY25 S.3'!$F$10:$AG$151,'FY25 S.3'!$AG$10,FALSE),"")</f>
        <v>0</v>
      </c>
      <c r="I88" s="247"/>
      <c r="J88" s="247" t="str">
        <f>IFERROR(VLOOKUP($A88,#REF!,#REF!,FALSE),"")</f>
        <v/>
      </c>
    </row>
    <row r="89" spans="1:10">
      <c r="A89" s="246" t="s">
        <v>2713</v>
      </c>
      <c r="B89" s="247"/>
      <c r="C89" s="247"/>
      <c r="D89" s="247" t="str">
        <f>IFERROR(VLOOKUP($A89,#REF!,#REF!,FALSE),"")</f>
        <v/>
      </c>
      <c r="E89" s="247"/>
      <c r="F89" s="247" t="str">
        <f>IFERROR(VLOOKUP($A89,#REF!,#REF!,FALSE),"")</f>
        <v/>
      </c>
      <c r="G89" s="247"/>
      <c r="H89" s="414">
        <f>IFERROR(VLOOKUP($A89,'FY25 S.3'!$F$10:$AG$151,'FY25 S.3'!$AG$10,FALSE),"")</f>
        <v>-13883.843999999999</v>
      </c>
      <c r="I89" s="247"/>
      <c r="J89" s="247" t="str">
        <f>IFERROR(VLOOKUP($A89,#REF!,#REF!,FALSE),"")</f>
        <v/>
      </c>
    </row>
    <row r="90" spans="1:10">
      <c r="A90" s="246" t="s">
        <v>1887</v>
      </c>
      <c r="B90" s="247"/>
      <c r="C90" s="247"/>
      <c r="D90" s="247" t="str">
        <f>IFERROR(VLOOKUP($A90,#REF!,#REF!,FALSE),"")</f>
        <v/>
      </c>
      <c r="E90" s="247"/>
      <c r="F90" s="247" t="str">
        <f>IFERROR(VLOOKUP($A90,#REF!,#REF!,FALSE),"")</f>
        <v/>
      </c>
      <c r="G90" s="247"/>
      <c r="H90" s="414">
        <f>IFERROR(VLOOKUP($A90,'FY25 S.3'!$F$10:$AG$151,'FY25 S.3'!$AG$10,FALSE),"")</f>
        <v>-9480</v>
      </c>
      <c r="I90" s="247"/>
      <c r="J90" s="247" t="str">
        <f>IFERROR(VLOOKUP($A90,#REF!,#REF!,FALSE),"")</f>
        <v/>
      </c>
    </row>
    <row r="91" spans="1:10">
      <c r="A91" s="246" t="s">
        <v>1536</v>
      </c>
      <c r="B91" s="247"/>
      <c r="C91" s="247"/>
      <c r="D91" s="247" t="str">
        <f>IFERROR(VLOOKUP($A91,#REF!,#REF!,FALSE),"")</f>
        <v/>
      </c>
      <c r="E91" s="247"/>
      <c r="F91" s="247" t="str">
        <f>IFERROR(VLOOKUP($A91,#REF!,#REF!,FALSE),"")</f>
        <v/>
      </c>
      <c r="G91" s="247"/>
      <c r="H91" s="414">
        <f>IFERROR(VLOOKUP($A91,'FY25 S.3'!$F$10:$AG$151,'FY25 S.3'!$AG$10,FALSE),"")</f>
        <v>0</v>
      </c>
      <c r="I91" s="247"/>
      <c r="J91" s="247" t="str">
        <f>IFERROR(VLOOKUP($A91,#REF!,#REF!,FALSE),"")</f>
        <v/>
      </c>
    </row>
    <row r="92" spans="1:10">
      <c r="A92" s="246" t="s">
        <v>1666</v>
      </c>
      <c r="B92" s="247"/>
      <c r="C92" s="247"/>
      <c r="D92" s="247" t="str">
        <f>IFERROR(VLOOKUP($A92,#REF!,#REF!,FALSE),"")</f>
        <v/>
      </c>
      <c r="E92" s="247"/>
      <c r="F92" s="247" t="str">
        <f>IFERROR(VLOOKUP($A92,#REF!,#REF!,FALSE),"")</f>
        <v/>
      </c>
      <c r="G92" s="247"/>
      <c r="H92" s="414">
        <f>IFERROR(VLOOKUP($A92,'FY25 S.3'!$F$10:$AG$151,'FY25 S.3'!$AG$10,FALSE),"")</f>
        <v>-38751.647916666661</v>
      </c>
      <c r="I92" s="247"/>
      <c r="J92" s="247" t="str">
        <f>IFERROR(VLOOKUP($A92,#REF!,#REF!,FALSE),"")</f>
        <v/>
      </c>
    </row>
    <row r="93" spans="1:10">
      <c r="A93" s="246" t="s">
        <v>2718</v>
      </c>
      <c r="B93" s="247"/>
      <c r="C93" s="247"/>
      <c r="D93" s="247" t="str">
        <f>IFERROR(VLOOKUP($A93,#REF!,#REF!,FALSE),"")</f>
        <v/>
      </c>
      <c r="E93" s="247"/>
      <c r="F93" s="247" t="str">
        <f>IFERROR(VLOOKUP($A93,#REF!,#REF!,FALSE),"")</f>
        <v/>
      </c>
      <c r="G93" s="247"/>
      <c r="H93" s="414">
        <f>IFERROR(VLOOKUP($A93,'FY25 S.3'!$F$10:$AG$151,'FY25 S.3'!$AG$10,FALSE),"")</f>
        <v>0</v>
      </c>
      <c r="I93" s="247"/>
      <c r="J93" s="247" t="str">
        <f>IFERROR(VLOOKUP($A93,#REF!,#REF!,FALSE),"")</f>
        <v/>
      </c>
    </row>
    <row r="94" spans="1:10">
      <c r="A94" s="246" t="s">
        <v>2719</v>
      </c>
      <c r="B94" s="247"/>
      <c r="C94" s="247"/>
      <c r="D94" s="247" t="str">
        <f>IFERROR(VLOOKUP($A94,#REF!,#REF!,FALSE),"")</f>
        <v/>
      </c>
      <c r="E94" s="247"/>
      <c r="F94" s="247" t="str">
        <f>IFERROR(VLOOKUP($A94,#REF!,#REF!,FALSE),"")</f>
        <v/>
      </c>
      <c r="G94" s="247"/>
      <c r="H94" s="414">
        <f>IFERROR(VLOOKUP($A94,'FY25 S.3'!$F$10:$AG$151,'FY25 S.3'!$AG$10,FALSE),"")</f>
        <v>0</v>
      </c>
      <c r="I94" s="247"/>
      <c r="J94" s="247" t="str">
        <f>IFERROR(VLOOKUP($A94,#REF!,#REF!,FALSE),"")</f>
        <v/>
      </c>
    </row>
    <row r="95" spans="1:10">
      <c r="A95" s="246" t="s">
        <v>2720</v>
      </c>
      <c r="B95" s="247"/>
      <c r="C95" s="247"/>
      <c r="D95" s="247" t="str">
        <f>IFERROR(VLOOKUP($A95,#REF!,#REF!,FALSE),"")</f>
        <v/>
      </c>
      <c r="E95" s="247"/>
      <c r="F95" s="247" t="str">
        <f>IFERROR(VLOOKUP($A95,#REF!,#REF!,FALSE),"")</f>
        <v/>
      </c>
      <c r="G95" s="247"/>
      <c r="H95" s="414">
        <f>IFERROR(VLOOKUP($A95,'FY25 S.3'!$F$10:$AG$151,'FY25 S.3'!$AG$10,FALSE),"")</f>
        <v>0</v>
      </c>
      <c r="I95" s="247"/>
      <c r="J95" s="247" t="str">
        <f>IFERROR(VLOOKUP($A95,#REF!,#REF!,FALSE),"")</f>
        <v/>
      </c>
    </row>
    <row r="96" spans="1:10">
      <c r="A96" s="246" t="s">
        <v>1541</v>
      </c>
      <c r="B96" s="247"/>
      <c r="C96" s="247"/>
      <c r="D96" s="247" t="str">
        <f>IFERROR(VLOOKUP($A96,#REF!,#REF!,FALSE),"")</f>
        <v/>
      </c>
      <c r="E96" s="247"/>
      <c r="F96" s="247" t="str">
        <f>IFERROR(VLOOKUP($A96,#REF!,#REF!,FALSE),"")</f>
        <v/>
      </c>
      <c r="G96" s="247"/>
      <c r="H96" s="414">
        <f>IFERROR(VLOOKUP($A96,'FY25 S.3'!$F$10:$AG$151,'FY25 S.3'!$AG$10,FALSE),"")</f>
        <v>-100000</v>
      </c>
      <c r="I96" s="247"/>
      <c r="J96" s="247" t="str">
        <f>IFERROR(VLOOKUP($A96,#REF!,#REF!,FALSE),"")</f>
        <v/>
      </c>
    </row>
    <row r="97" spans="1:10">
      <c r="A97" s="246" t="s">
        <v>2722</v>
      </c>
      <c r="B97" s="247"/>
      <c r="C97" s="247"/>
      <c r="D97" s="247" t="str">
        <f>IFERROR(VLOOKUP($A97,#REF!,#REF!,FALSE),"")</f>
        <v/>
      </c>
      <c r="E97" s="247"/>
      <c r="F97" s="247" t="str">
        <f>IFERROR(VLOOKUP($A97,#REF!,#REF!,FALSE),"")</f>
        <v/>
      </c>
      <c r="G97" s="247"/>
      <c r="H97" s="414">
        <f>IFERROR(VLOOKUP($A97,'FY25 S.3'!$F$10:$AG$151,'FY25 S.3'!$AG$10,FALSE),"")</f>
        <v>0</v>
      </c>
      <c r="I97" s="247"/>
      <c r="J97" s="247" t="str">
        <f>IFERROR(VLOOKUP($A97,#REF!,#REF!,FALSE),"")</f>
        <v/>
      </c>
    </row>
    <row r="98" spans="1:10">
      <c r="A98" s="246" t="s">
        <v>2801</v>
      </c>
      <c r="B98" s="247"/>
      <c r="C98" s="247"/>
      <c r="D98" s="247" t="str">
        <f>IFERROR(VLOOKUP($A98,#REF!,#REF!,FALSE),"")</f>
        <v/>
      </c>
      <c r="E98" s="247"/>
      <c r="F98" s="247" t="str">
        <f>IFERROR(VLOOKUP($A98,#REF!,#REF!,FALSE),"")</f>
        <v/>
      </c>
      <c r="G98" s="247"/>
      <c r="H98" s="414">
        <f>IFERROR(VLOOKUP($A98,'FY25 S.3'!$F$10:$AG$151,'FY25 S.3'!$AG$10,FALSE),"")</f>
        <v>0</v>
      </c>
      <c r="I98" s="247"/>
      <c r="J98" s="247" t="str">
        <f>IFERROR(VLOOKUP($A98,#REF!,#REF!,FALSE),"")</f>
        <v/>
      </c>
    </row>
    <row r="99" spans="1:10" ht="15">
      <c r="A99" s="299" t="s">
        <v>2800</v>
      </c>
      <c r="B99" s="301"/>
      <c r="C99" s="301"/>
      <c r="D99" s="301">
        <f>SUM(D84:D98)</f>
        <v>0</v>
      </c>
      <c r="E99" s="301"/>
      <c r="F99" s="301">
        <f>SUM(F84:F98)</f>
        <v>0</v>
      </c>
      <c r="G99" s="301"/>
      <c r="H99" s="425">
        <f>SUM(H84:H98)</f>
        <v>-375779.64553916664</v>
      </c>
      <c r="I99" s="301"/>
      <c r="J99" s="301">
        <f>SUM(J84:J98)</f>
        <v>0</v>
      </c>
    </row>
    <row r="100" spans="1:10" ht="15">
      <c r="A100" s="308"/>
      <c r="B100" s="310"/>
      <c r="C100" s="310"/>
      <c r="D100" s="310" t="str">
        <f>IFERROR(VLOOKUP($A100,#REF!,#REF!,FALSE),"")</f>
        <v/>
      </c>
      <c r="E100" s="310"/>
      <c r="F100" s="310" t="str">
        <f>IFERROR(VLOOKUP($A100,#REF!,#REF!,FALSE),"")</f>
        <v/>
      </c>
      <c r="G100" s="310"/>
      <c r="H100" s="427" t="str">
        <f>IFERROR(VLOOKUP($A100,'FY25 S.3'!$F$10:$AG$151,'FY25 S.3'!$AG$10,FALSE),"")</f>
        <v/>
      </c>
      <c r="I100" s="310"/>
      <c r="J100" s="272" t="str">
        <f>IFERROR(VLOOKUP($A100,#REF!,#REF!,FALSE),"")</f>
        <v/>
      </c>
    </row>
    <row r="101" spans="1:10" ht="15">
      <c r="A101" s="282" t="s">
        <v>2802</v>
      </c>
      <c r="B101" s="284"/>
      <c r="C101" s="284"/>
      <c r="D101" s="284"/>
      <c r="E101" s="284"/>
      <c r="F101" s="284"/>
      <c r="G101" s="284"/>
      <c r="H101" s="421"/>
      <c r="I101" s="284"/>
      <c r="J101" s="284"/>
    </row>
    <row r="102" spans="1:10">
      <c r="A102" s="246" t="s">
        <v>1650</v>
      </c>
      <c r="B102" s="247"/>
      <c r="C102" s="247"/>
      <c r="D102" s="247" t="str">
        <f>IFERROR(VLOOKUP($A102,#REF!,#REF!,FALSE),"")</f>
        <v/>
      </c>
      <c r="E102" s="247"/>
      <c r="F102" s="247" t="str">
        <f>IFERROR(VLOOKUP($A102,#REF!,#REF!,FALSE),"")</f>
        <v/>
      </c>
      <c r="G102" s="247"/>
      <c r="H102" s="414">
        <f>IFERROR(VLOOKUP($A102,'FY25 S.3'!$F$10:$AG$151,'FY25 S.3'!$AG$10,FALSE),"")</f>
        <v>-2358.3166666666666</v>
      </c>
      <c r="I102" s="247"/>
      <c r="J102" s="247" t="str">
        <f>IFERROR(VLOOKUP($A102,#REF!,#REF!,FALSE),"")</f>
        <v/>
      </c>
    </row>
    <row r="103" spans="1:10">
      <c r="A103" s="246" t="s">
        <v>2803</v>
      </c>
      <c r="B103" s="247"/>
      <c r="C103" s="247"/>
      <c r="D103" s="247" t="str">
        <f>IFERROR(VLOOKUP($A103,#REF!,#REF!,FALSE),"")</f>
        <v/>
      </c>
      <c r="E103" s="247"/>
      <c r="F103" s="247" t="str">
        <f>IFERROR(VLOOKUP($A103,#REF!,#REF!,FALSE),"")</f>
        <v/>
      </c>
      <c r="G103" s="247"/>
      <c r="H103" s="414">
        <f>IFERROR(VLOOKUP($A103,'FY25 S.3'!$F$10:$AG$151,'FY25 S.3'!$AG$10,FALSE),"")</f>
        <v>-1868.9789999999998</v>
      </c>
      <c r="I103" s="247"/>
      <c r="J103" s="247" t="str">
        <f>IFERROR(VLOOKUP($A103,#REF!,#REF!,FALSE),"")</f>
        <v/>
      </c>
    </row>
    <row r="104" spans="1:10">
      <c r="A104" s="246" t="s">
        <v>2545</v>
      </c>
      <c r="B104" s="247"/>
      <c r="C104" s="247"/>
      <c r="D104" s="247" t="str">
        <f>IFERROR(VLOOKUP($A104,#REF!,#REF!,FALSE),"")</f>
        <v/>
      </c>
      <c r="E104" s="247"/>
      <c r="F104" s="247" t="str">
        <f>IFERROR(VLOOKUP($A104,#REF!,#REF!,FALSE),"")</f>
        <v/>
      </c>
      <c r="G104" s="247"/>
      <c r="H104" s="414">
        <f>IFERROR(VLOOKUP($A104,'FY25 S.3'!$F$10:$AG$151,'FY25 S.3'!$AG$10,FALSE),"")</f>
        <v>-833.33333333333337</v>
      </c>
      <c r="I104" s="247"/>
      <c r="J104" s="247" t="str">
        <f>IFERROR(VLOOKUP($A104,#REF!,#REF!,FALSE),"")</f>
        <v/>
      </c>
    </row>
    <row r="105" spans="1:10">
      <c r="A105" s="246" t="s">
        <v>2804</v>
      </c>
      <c r="B105" s="247"/>
      <c r="C105" s="247"/>
      <c r="D105" s="247" t="str">
        <f>IFERROR(VLOOKUP($A105,#REF!,#REF!,FALSE),"")</f>
        <v/>
      </c>
      <c r="E105" s="247"/>
      <c r="F105" s="247" t="str">
        <f>IFERROR(VLOOKUP($A105,#REF!,#REF!,FALSE),"")</f>
        <v/>
      </c>
      <c r="G105" s="247"/>
      <c r="H105" s="414">
        <f>IFERROR(VLOOKUP($A105,'FY25 S.3'!$F$10:$AG$151,'FY25 S.3'!$AG$10,FALSE),"")</f>
        <v>-855.99600000000009</v>
      </c>
      <c r="I105" s="247"/>
      <c r="J105" s="247" t="str">
        <f>IFERROR(VLOOKUP($A105,#REF!,#REF!,FALSE),"")</f>
        <v/>
      </c>
    </row>
    <row r="106" spans="1:10">
      <c r="A106" s="246" t="s">
        <v>1659</v>
      </c>
      <c r="B106" s="247"/>
      <c r="C106" s="247"/>
      <c r="D106" s="247" t="str">
        <f>IFERROR(VLOOKUP($A106,#REF!,#REF!,FALSE),"")</f>
        <v/>
      </c>
      <c r="E106" s="247"/>
      <c r="F106" s="247" t="str">
        <f>IFERROR(VLOOKUP($A106,#REF!,#REF!,FALSE),"")</f>
        <v/>
      </c>
      <c r="G106" s="247"/>
      <c r="H106" s="414">
        <f>IFERROR(VLOOKUP($A106,'FY25 S.3'!$F$10:$AG$151,'FY25 S.3'!$AG$10,FALSE),"")</f>
        <v>-1097.2447499999998</v>
      </c>
      <c r="I106" s="247"/>
      <c r="J106" s="247" t="str">
        <f>IFERROR(VLOOKUP($A106,#REF!,#REF!,FALSE),"")</f>
        <v/>
      </c>
    </row>
    <row r="107" spans="1:10">
      <c r="A107" s="246" t="s">
        <v>2805</v>
      </c>
      <c r="B107" s="247"/>
      <c r="C107" s="247"/>
      <c r="D107" s="247" t="str">
        <f>IFERROR(VLOOKUP($A107,#REF!,#REF!,FALSE),"")</f>
        <v/>
      </c>
      <c r="E107" s="247"/>
      <c r="F107" s="247" t="str">
        <f>IFERROR(VLOOKUP($A107,#REF!,#REF!,FALSE),"")</f>
        <v/>
      </c>
      <c r="G107" s="247"/>
      <c r="H107" s="414">
        <f>IFERROR(VLOOKUP($A107,'FY25 S.3'!$F$10:$AG$151,'FY25 S.3'!$AG$10,FALSE),"")</f>
        <v>0</v>
      </c>
      <c r="I107" s="247"/>
      <c r="J107" s="247" t="str">
        <f>IFERROR(VLOOKUP($A107,#REF!,#REF!,FALSE),"")</f>
        <v/>
      </c>
    </row>
    <row r="108" spans="1:10">
      <c r="A108" s="246" t="s">
        <v>2806</v>
      </c>
      <c r="B108" s="247"/>
      <c r="C108" s="247"/>
      <c r="D108" s="247" t="str">
        <f>IFERROR(VLOOKUP($A108,#REF!,#REF!,FALSE),"")</f>
        <v/>
      </c>
      <c r="E108" s="247"/>
      <c r="F108" s="247" t="str">
        <f>IFERROR(VLOOKUP($A108,#REF!,#REF!,FALSE),"")</f>
        <v/>
      </c>
      <c r="G108" s="247"/>
      <c r="H108" s="414">
        <f>IFERROR(VLOOKUP($A108,'FY25 S.3'!$F$10:$AG$151,'FY25 S.3'!$AG$10,FALSE),"")</f>
        <v>-2803.4684999999999</v>
      </c>
      <c r="I108" s="247"/>
      <c r="J108" s="247" t="str">
        <f>IFERROR(VLOOKUP($A108,#REF!,#REF!,FALSE),"")</f>
        <v/>
      </c>
    </row>
    <row r="109" spans="1:10">
      <c r="A109" s="246" t="s">
        <v>2807</v>
      </c>
      <c r="B109" s="247"/>
      <c r="C109" s="247"/>
      <c r="D109" s="247" t="str">
        <f>IFERROR(VLOOKUP($A109,#REF!,#REF!,FALSE),"")</f>
        <v/>
      </c>
      <c r="E109" s="247"/>
      <c r="F109" s="247" t="str">
        <f>IFERROR(VLOOKUP($A109,#REF!,#REF!,FALSE),"")</f>
        <v/>
      </c>
      <c r="G109" s="247"/>
      <c r="H109" s="414">
        <f>IFERROR(VLOOKUP($A109,'FY25 S.3'!$F$10:$AG$151,'FY25 S.3'!$AG$10,FALSE),"")</f>
        <v>0</v>
      </c>
      <c r="I109" s="247"/>
      <c r="J109" s="247" t="str">
        <f>IFERROR(VLOOKUP($A109,#REF!,#REF!,FALSE),"")</f>
        <v/>
      </c>
    </row>
    <row r="110" spans="1:10">
      <c r="A110" s="246" t="s">
        <v>2808</v>
      </c>
      <c r="B110" s="247"/>
      <c r="C110" s="247"/>
      <c r="D110" s="247" t="str">
        <f>IFERROR(VLOOKUP($A110,#REF!,#REF!,FALSE),"")</f>
        <v/>
      </c>
      <c r="E110" s="247"/>
      <c r="F110" s="247" t="str">
        <f>IFERROR(VLOOKUP($A110,#REF!,#REF!,FALSE),"")</f>
        <v/>
      </c>
      <c r="G110" s="247"/>
      <c r="H110" s="414">
        <f>IFERROR(VLOOKUP($A110,'FY25 S.3'!$F$10:$AG$151,'FY25 S.3'!$AG$10,FALSE),"")</f>
        <v>-5127.6217606250002</v>
      </c>
      <c r="I110" s="247"/>
      <c r="J110" s="247" t="str">
        <f>IFERROR(VLOOKUP($A110,#REF!,#REF!,FALSE),"")</f>
        <v/>
      </c>
    </row>
    <row r="111" spans="1:10">
      <c r="A111" s="246" t="s">
        <v>2809</v>
      </c>
      <c r="B111" s="247"/>
      <c r="C111" s="247"/>
      <c r="D111" s="247" t="str">
        <f>IFERROR(VLOOKUP($A111,#REF!,#REF!,FALSE),"")</f>
        <v/>
      </c>
      <c r="E111" s="247"/>
      <c r="F111" s="247" t="str">
        <f>IFERROR(VLOOKUP($A111,#REF!,#REF!,FALSE),"")</f>
        <v/>
      </c>
      <c r="G111" s="247"/>
      <c r="H111" s="414">
        <f>IFERROR(VLOOKUP($A111,'FY25 S.3'!$F$10:$AG$151,'FY25 S.3'!$AG$10,FALSE),"")</f>
        <v>-16208.291666666666</v>
      </c>
      <c r="I111" s="247"/>
      <c r="J111" s="247" t="str">
        <f>IFERROR(VLOOKUP($A111,#REF!,#REF!,FALSE),"")</f>
        <v/>
      </c>
    </row>
    <row r="112" spans="1:10">
      <c r="A112" s="246" t="s">
        <v>2810</v>
      </c>
      <c r="B112" s="247"/>
      <c r="C112" s="247"/>
      <c r="D112" s="247" t="str">
        <f>IFERROR(VLOOKUP($A112,#REF!,#REF!,FALSE),"")</f>
        <v/>
      </c>
      <c r="E112" s="247"/>
      <c r="F112" s="247" t="str">
        <f>IFERROR(VLOOKUP($A112,#REF!,#REF!,FALSE),"")</f>
        <v/>
      </c>
      <c r="G112" s="247"/>
      <c r="H112" s="414">
        <f>IFERROR(VLOOKUP($A112,'FY25 S.3'!$F$10:$AG$151,'FY25 S.3'!$AG$10,FALSE),"")</f>
        <v>-2037.4958333333334</v>
      </c>
      <c r="I112" s="247"/>
      <c r="J112" s="247" t="str">
        <f>IFERROR(VLOOKUP($A112,#REF!,#REF!,FALSE),"")</f>
        <v/>
      </c>
    </row>
    <row r="113" spans="1:10">
      <c r="A113" s="246" t="s">
        <v>2811</v>
      </c>
      <c r="B113" s="247"/>
      <c r="C113" s="247"/>
      <c r="D113" s="247" t="str">
        <f>IFERROR(VLOOKUP($A113,#REF!,#REF!,FALSE),"")</f>
        <v/>
      </c>
      <c r="E113" s="247"/>
      <c r="F113" s="247" t="str">
        <f>IFERROR(VLOOKUP($A113,#REF!,#REF!,FALSE),"")</f>
        <v/>
      </c>
      <c r="G113" s="247"/>
      <c r="H113" s="414">
        <f>IFERROR(VLOOKUP($A113,'FY25 S.3'!$F$10:$AG$151,'FY25 S.3'!$AG$10,FALSE),"")</f>
        <v>0</v>
      </c>
      <c r="I113" s="247"/>
      <c r="J113" s="247" t="str">
        <f>IFERROR(VLOOKUP($A113,#REF!,#REF!,FALSE),"")</f>
        <v/>
      </c>
    </row>
    <row r="114" spans="1:10">
      <c r="A114" s="246" t="s">
        <v>2546</v>
      </c>
      <c r="B114" s="247"/>
      <c r="C114" s="247"/>
      <c r="D114" s="247" t="str">
        <f>IFERROR(VLOOKUP($A114,#REF!,#REF!,FALSE),"")</f>
        <v/>
      </c>
      <c r="E114" s="247"/>
      <c r="F114" s="247" t="str">
        <f>IFERROR(VLOOKUP($A114,#REF!,#REF!,FALSE),"")</f>
        <v/>
      </c>
      <c r="G114" s="247"/>
      <c r="H114" s="414">
        <f>IFERROR(VLOOKUP($A114,'FY25 S.3'!$F$10:$AG$151,'FY25 S.3'!$AG$10,FALSE),"")</f>
        <v>-393.07891666666666</v>
      </c>
      <c r="I114" s="247"/>
      <c r="J114" s="247" t="str">
        <f>IFERROR(VLOOKUP($A114,#REF!,#REF!,FALSE),"")</f>
        <v/>
      </c>
    </row>
    <row r="115" spans="1:10">
      <c r="A115" s="246" t="s">
        <v>1551</v>
      </c>
      <c r="B115" s="247"/>
      <c r="C115" s="247"/>
      <c r="D115" s="247" t="str">
        <f>IFERROR(VLOOKUP($A115,#REF!,#REF!,FALSE),"")</f>
        <v/>
      </c>
      <c r="E115" s="247"/>
      <c r="F115" s="247" t="str">
        <f>IFERROR(VLOOKUP($A115,#REF!,#REF!,FALSE),"")</f>
        <v/>
      </c>
      <c r="G115" s="247"/>
      <c r="H115" s="414">
        <f>IFERROR(VLOOKUP($A115,'FY25 S.3'!$F$10:$AG$151,'FY25 S.3'!$AG$10,FALSE),"")</f>
        <v>-612.5</v>
      </c>
      <c r="I115" s="247"/>
      <c r="J115" s="247" t="str">
        <f>IFERROR(VLOOKUP($A115,#REF!,#REF!,FALSE),"")</f>
        <v/>
      </c>
    </row>
    <row r="116" spans="1:10">
      <c r="A116" s="246" t="s">
        <v>2812</v>
      </c>
      <c r="B116" s="247"/>
      <c r="C116" s="247"/>
      <c r="D116" s="247" t="str">
        <f>IFERROR(VLOOKUP($A116,#REF!,#REF!,FALSE),"")</f>
        <v/>
      </c>
      <c r="E116" s="247"/>
      <c r="F116" s="247" t="str">
        <f>IFERROR(VLOOKUP($A116,#REF!,#REF!,FALSE),"")</f>
        <v/>
      </c>
      <c r="G116" s="247"/>
      <c r="H116" s="414">
        <f>IFERROR(VLOOKUP($A116,'FY25 S.3'!$F$10:$AG$151,'FY25 S.3'!$AG$10,FALSE),"")</f>
        <v>-889.9899999999999</v>
      </c>
      <c r="I116" s="247"/>
      <c r="J116" s="247" t="str">
        <f>IFERROR(VLOOKUP($A116,#REF!,#REF!,FALSE),"")</f>
        <v/>
      </c>
    </row>
    <row r="117" spans="1:10">
      <c r="A117" s="246" t="s">
        <v>2813</v>
      </c>
      <c r="B117" s="247"/>
      <c r="C117" s="247"/>
      <c r="D117" s="247" t="str">
        <f>IFERROR(VLOOKUP($A117,#REF!,#REF!,FALSE),"")</f>
        <v/>
      </c>
      <c r="E117" s="247"/>
      <c r="F117" s="247" t="str">
        <f>IFERROR(VLOOKUP($A117,#REF!,#REF!,FALSE),"")</f>
        <v/>
      </c>
      <c r="G117" s="247"/>
      <c r="H117" s="414">
        <f>IFERROR(VLOOKUP($A117,'FY25 S.3'!$F$10:$AG$151,'FY25 S.3'!$AG$10,FALSE),"")</f>
        <v>0</v>
      </c>
      <c r="I117" s="247"/>
      <c r="J117" s="247" t="str">
        <f>IFERROR(VLOOKUP($A117,#REF!,#REF!,FALSE),"")</f>
        <v/>
      </c>
    </row>
    <row r="118" spans="1:10">
      <c r="A118" s="246" t="s">
        <v>2814</v>
      </c>
      <c r="B118" s="247"/>
      <c r="C118" s="247"/>
      <c r="D118" s="247" t="str">
        <f>IFERROR(VLOOKUP($A118,#REF!,#REF!,FALSE),"")</f>
        <v/>
      </c>
      <c r="E118" s="247"/>
      <c r="F118" s="247" t="str">
        <f>IFERROR(VLOOKUP($A118,#REF!,#REF!,FALSE),"")</f>
        <v/>
      </c>
      <c r="G118" s="247"/>
      <c r="H118" s="414">
        <f>IFERROR(VLOOKUP($A118,'FY25 S.3'!$F$10:$AG$151,'FY25 S.3'!$AG$10,FALSE),"")</f>
        <v>0</v>
      </c>
      <c r="I118" s="247"/>
      <c r="J118" s="247" t="str">
        <f>IFERROR(VLOOKUP($A118,#REF!,#REF!,FALSE),"")</f>
        <v/>
      </c>
    </row>
    <row r="119" spans="1:10" ht="15">
      <c r="A119" s="299" t="s">
        <v>2802</v>
      </c>
      <c r="B119" s="301"/>
      <c r="C119" s="301"/>
      <c r="D119" s="301">
        <f>SUM(D102:D118)</f>
        <v>0</v>
      </c>
      <c r="E119" s="301"/>
      <c r="F119" s="301">
        <f>SUM(F102:F118)</f>
        <v>0</v>
      </c>
      <c r="G119" s="301"/>
      <c r="H119" s="425">
        <f>SUM(H102:H118)</f>
        <v>-35086.316427291662</v>
      </c>
      <c r="I119" s="301"/>
      <c r="J119" s="301">
        <f>SUM(J102:J118)</f>
        <v>0</v>
      </c>
    </row>
    <row r="120" spans="1:10" ht="15">
      <c r="A120" s="308"/>
      <c r="B120" s="310"/>
      <c r="C120" s="310"/>
      <c r="D120" s="310"/>
      <c r="E120" s="310"/>
      <c r="F120" s="310"/>
      <c r="G120" s="311"/>
      <c r="H120" s="427"/>
      <c r="I120" s="310"/>
      <c r="J120" s="272"/>
    </row>
    <row r="121" spans="1:10" ht="15">
      <c r="A121" s="282" t="s">
        <v>2815</v>
      </c>
      <c r="B121" s="310"/>
      <c r="C121" s="310"/>
      <c r="D121" s="310"/>
      <c r="E121" s="310"/>
      <c r="F121" s="310"/>
      <c r="G121" s="311"/>
      <c r="H121" s="427"/>
      <c r="I121" s="310"/>
      <c r="J121" s="272"/>
    </row>
    <row r="122" spans="1:10">
      <c r="A122" s="246" t="s">
        <v>2816</v>
      </c>
      <c r="B122" s="247"/>
      <c r="C122" s="247"/>
      <c r="D122" s="247" t="str">
        <f>IFERROR(VLOOKUP($A122,#REF!,#REF!,FALSE),"")</f>
        <v/>
      </c>
      <c r="E122" s="247"/>
      <c r="F122" s="247" t="str">
        <f>IFERROR(VLOOKUP($A122,#REF!,#REF!,FALSE),"")</f>
        <v/>
      </c>
      <c r="G122" s="247"/>
      <c r="H122" s="414">
        <f>IFERROR(VLOOKUP($A122,'FY25 S.3'!$F$10:$AG$151,'FY25 S.3'!$AG$10,FALSE),"")</f>
        <v>0</v>
      </c>
      <c r="I122" s="247"/>
      <c r="J122" s="247" t="str">
        <f>IFERROR(VLOOKUP($A122,#REF!,#REF!,FALSE),"")</f>
        <v/>
      </c>
    </row>
    <row r="123" spans="1:10">
      <c r="A123" s="246" t="s">
        <v>2817</v>
      </c>
      <c r="B123" s="247"/>
      <c r="C123" s="247"/>
      <c r="D123" s="247" t="str">
        <f>IFERROR(VLOOKUP($A123,#REF!,#REF!,FALSE),"")</f>
        <v/>
      </c>
      <c r="E123" s="247"/>
      <c r="F123" s="247" t="str">
        <f>IFERROR(VLOOKUP($A123,#REF!,#REF!,FALSE),"")</f>
        <v/>
      </c>
      <c r="G123" s="247"/>
      <c r="H123" s="414">
        <f>IFERROR(VLOOKUP($A123,'FY25 S.3'!$F$10:$AG$151,'FY25 S.3'!$AG$10,FALSE),"")</f>
        <v>0</v>
      </c>
      <c r="I123" s="247"/>
      <c r="J123" s="247" t="str">
        <f>IFERROR(VLOOKUP($A123,#REF!,#REF!,FALSE),"")</f>
        <v/>
      </c>
    </row>
    <row r="124" spans="1:10">
      <c r="A124" s="246" t="s">
        <v>2818</v>
      </c>
      <c r="B124" s="247"/>
      <c r="C124" s="247"/>
      <c r="D124" s="247" t="str">
        <f>IFERROR(VLOOKUP($A124,#REF!,#REF!,FALSE),"")</f>
        <v/>
      </c>
      <c r="E124" s="247"/>
      <c r="F124" s="247" t="str">
        <f>IFERROR(VLOOKUP($A124,#REF!,#REF!,FALSE),"")</f>
        <v/>
      </c>
      <c r="G124" s="247"/>
      <c r="H124" s="414">
        <f>IFERROR(VLOOKUP($A124,'FY25 S.3'!$F$10:$AG$151,'FY25 S.3'!$AG$10,FALSE),"")</f>
        <v>-8058.3083333333325</v>
      </c>
      <c r="I124" s="247"/>
      <c r="J124" s="247" t="str">
        <f>IFERROR(VLOOKUP($A124,#REF!,#REF!,FALSE),"")</f>
        <v/>
      </c>
    </row>
    <row r="125" spans="1:10" ht="15">
      <c r="A125" s="299" t="s">
        <v>2815</v>
      </c>
      <c r="B125" s="301"/>
      <c r="C125" s="301"/>
      <c r="D125" s="301">
        <f>SUM(D122:D124)</f>
        <v>0</v>
      </c>
      <c r="E125" s="301"/>
      <c r="F125" s="301">
        <f>SUM(F122:F124)</f>
        <v>0</v>
      </c>
      <c r="G125" s="301"/>
      <c r="H125" s="425">
        <f>SUM(H122:H124)</f>
        <v>-8058.3083333333325</v>
      </c>
      <c r="I125" s="301"/>
      <c r="J125" s="301">
        <f>SUM(J122:J124)</f>
        <v>0</v>
      </c>
    </row>
    <row r="126" spans="1:10" ht="15">
      <c r="A126" s="312"/>
      <c r="B126" s="310"/>
      <c r="C126" s="310"/>
      <c r="D126" s="310" t="str">
        <f>IFERROR(VLOOKUP($A126,#REF!,#REF!,FALSE),"")</f>
        <v/>
      </c>
      <c r="E126" s="310"/>
      <c r="F126" s="310" t="str">
        <f>IFERROR(VLOOKUP($A126,#REF!,#REF!,FALSE),"")</f>
        <v/>
      </c>
      <c r="G126" s="310"/>
      <c r="H126" s="427" t="str">
        <f>IFERROR(VLOOKUP($A126,'FY25 S.3'!$F$10:$AG$151,'FY25 S.3'!$AG$10,FALSE),"")</f>
        <v/>
      </c>
      <c r="I126" s="310"/>
      <c r="J126" s="272" t="str">
        <f>IFERROR(VLOOKUP($A126,#REF!,#REF!,FALSE),"")</f>
        <v/>
      </c>
    </row>
    <row r="127" spans="1:10" ht="15">
      <c r="A127" s="265" t="s">
        <v>2819</v>
      </c>
      <c r="B127" s="267"/>
      <c r="C127" s="267"/>
      <c r="D127" s="267" t="str">
        <f>IFERROR(VLOOKUP($A127,#REF!,#REF!,FALSE),"")</f>
        <v/>
      </c>
      <c r="E127" s="267"/>
      <c r="F127" s="267" t="str">
        <f>IFERROR(VLOOKUP($A127,#REF!,#REF!,FALSE),"")</f>
        <v/>
      </c>
      <c r="G127" s="267"/>
      <c r="H127" s="418" t="str">
        <f>IFERROR(VLOOKUP($A127,'FY25 S.3'!$F$10:$AG$151,'FY25 S.3'!$AG$10,FALSE),"")</f>
        <v/>
      </c>
      <c r="I127" s="267"/>
      <c r="J127" s="267" t="str">
        <f>IFERROR(VLOOKUP($A127,#REF!,#REF!,FALSE),"")</f>
        <v/>
      </c>
    </row>
    <row r="128" spans="1:10" ht="15">
      <c r="A128" s="313"/>
      <c r="B128" s="272"/>
      <c r="C128" s="272"/>
      <c r="D128" s="272" t="str">
        <f>IFERROR(VLOOKUP($A128,#REF!,#REF!,FALSE),"")</f>
        <v/>
      </c>
      <c r="E128" s="272"/>
      <c r="F128" s="272" t="str">
        <f>IFERROR(VLOOKUP($A128,#REF!,#REF!,FALSE),"")</f>
        <v/>
      </c>
      <c r="G128" s="272"/>
      <c r="H128" s="419" t="str">
        <f>IFERROR(VLOOKUP($A128,'FY25 S.3'!$F$10:$AG$151,'FY25 S.3'!$AG$10,FALSE),"")</f>
        <v/>
      </c>
      <c r="I128" s="272"/>
      <c r="J128" s="272" t="str">
        <f>IFERROR(VLOOKUP($A128,#REF!,#REF!,FALSE),"")</f>
        <v/>
      </c>
    </row>
    <row r="129" spans="1:10" ht="15">
      <c r="A129" s="265" t="s">
        <v>2820</v>
      </c>
      <c r="B129" s="267"/>
      <c r="C129" s="267"/>
      <c r="D129" s="267" t="str">
        <f>IFERROR(VLOOKUP($A129,#REF!,#REF!,FALSE),"")</f>
        <v/>
      </c>
      <c r="E129" s="267"/>
      <c r="F129" s="267" t="str">
        <f>IFERROR(VLOOKUP($A129,#REF!,#REF!,FALSE),"")</f>
        <v/>
      </c>
      <c r="G129" s="267"/>
      <c r="H129" s="418" t="str">
        <f>IFERROR(VLOOKUP($A129,'FY25 S.3'!$F$10:$AG$151,'FY25 S.3'!$AG$10,FALSE),"")</f>
        <v/>
      </c>
      <c r="I129" s="267"/>
      <c r="J129" s="267" t="str">
        <f>IFERROR(VLOOKUP($A129,#REF!,#REF!,FALSE),"")</f>
        <v/>
      </c>
    </row>
    <row r="130" spans="1:10" ht="15">
      <c r="A130" s="313"/>
      <c r="B130" s="272"/>
      <c r="C130" s="272"/>
      <c r="D130" s="272" t="str">
        <f>IFERROR(VLOOKUP($A130,#REF!,#REF!,FALSE),"")</f>
        <v/>
      </c>
      <c r="E130" s="272"/>
      <c r="F130" s="272" t="str">
        <f>IFERROR(VLOOKUP($A130,#REF!,#REF!,FALSE),"")</f>
        <v/>
      </c>
      <c r="G130" s="272"/>
      <c r="H130" s="419" t="str">
        <f>IFERROR(VLOOKUP($A130,'FY25 S.3'!$F$10:$AG$151,'FY25 S.3'!$AG$10,FALSE),"")</f>
        <v/>
      </c>
      <c r="I130" s="272"/>
      <c r="J130" s="272" t="str">
        <f>IFERROR(VLOOKUP($A130,#REF!,#REF!,FALSE),"")</f>
        <v/>
      </c>
    </row>
    <row r="131" spans="1:10" ht="15">
      <c r="A131" s="428" t="s">
        <v>2821</v>
      </c>
      <c r="B131" s="429"/>
      <c r="C131" s="429"/>
      <c r="D131" s="429" t="str">
        <f>IFERROR(VLOOKUP($A131,#REF!,#REF!,FALSE),"")</f>
        <v/>
      </c>
      <c r="E131" s="429"/>
      <c r="F131" s="429" t="str">
        <f>IFERROR(VLOOKUP($A131,#REF!,#REF!,FALSE),"")</f>
        <v/>
      </c>
      <c r="G131" s="429"/>
      <c r="H131" s="430" t="str">
        <f>IFERROR(VLOOKUP($A131,'FY25 S.3'!$F$10:$AG$151,'FY25 S.3'!$AG$10,FALSE),"")</f>
        <v/>
      </c>
      <c r="I131" s="429"/>
      <c r="J131" s="431" t="str">
        <f>IFERROR(VLOOKUP($A131,#REF!,#REF!,FALSE),"")</f>
        <v/>
      </c>
    </row>
    <row r="132" spans="1:10" ht="15">
      <c r="A132" s="432"/>
      <c r="B132" s="433"/>
      <c r="C132" s="433"/>
      <c r="D132" s="433" t="str">
        <f>IFERROR(VLOOKUP($A132,#REF!,#REF!,FALSE),"")</f>
        <v/>
      </c>
      <c r="E132" s="433"/>
      <c r="F132" s="433" t="str">
        <f>IFERROR(VLOOKUP($A132,#REF!,#REF!,FALSE),"")</f>
        <v/>
      </c>
      <c r="G132" s="433"/>
      <c r="H132" s="434" t="str">
        <f>IFERROR(VLOOKUP($A132,'FY25 S.3'!$F$10:$AG$151,'FY25 S.3'!$AG$10,FALSE),"")</f>
        <v/>
      </c>
      <c r="I132" s="433"/>
      <c r="J132" s="435" t="str">
        <f>IFERROR(VLOOKUP($A132,#REF!,#REF!,FALSE),"")</f>
        <v/>
      </c>
    </row>
    <row r="133" spans="1:10" ht="15">
      <c r="A133" s="432" t="s">
        <v>2822</v>
      </c>
      <c r="B133" s="433"/>
      <c r="C133" s="433"/>
      <c r="D133" s="433" t="str">
        <f>IFERROR(VLOOKUP($A133,#REF!,#REF!,FALSE),"")</f>
        <v/>
      </c>
      <c r="E133" s="433"/>
      <c r="F133" s="433" t="str">
        <f>IFERROR(VLOOKUP($A133,#REF!,#REF!,FALSE),"")</f>
        <v/>
      </c>
      <c r="G133" s="433"/>
      <c r="H133" s="434" t="str">
        <f>IFERROR(VLOOKUP($A133,'FY25 S.3'!$F$10:$AG$151,'FY25 S.3'!$AG$10,FALSE),"")</f>
        <v/>
      </c>
      <c r="I133" s="433"/>
      <c r="J133" s="435" t="str">
        <f>IFERROR(VLOOKUP($A133,#REF!,#REF!,FALSE),"")</f>
        <v/>
      </c>
    </row>
    <row r="134" spans="1:10" ht="15">
      <c r="A134" s="432"/>
      <c r="B134" s="433"/>
      <c r="C134" s="433"/>
      <c r="D134" s="433" t="str">
        <f>IFERROR(VLOOKUP($A134,#REF!,#REF!,FALSE),"")</f>
        <v/>
      </c>
      <c r="E134" s="433"/>
      <c r="F134" s="433" t="str">
        <f>IFERROR(VLOOKUP($A134,#REF!,#REF!,FALSE),"")</f>
        <v/>
      </c>
      <c r="G134" s="433"/>
      <c r="H134" s="434" t="str">
        <f>IFERROR(VLOOKUP($A134,'FY25 S.3'!$F$10:$AG$151,'FY25 S.3'!$AG$10,FALSE),"")</f>
        <v/>
      </c>
      <c r="I134" s="433"/>
      <c r="J134" s="435" t="str">
        <f>IFERROR(VLOOKUP($A134,#REF!,#REF!,FALSE),"")</f>
        <v/>
      </c>
    </row>
    <row r="135" spans="1:10" ht="15">
      <c r="A135" s="432" t="s">
        <v>2823</v>
      </c>
      <c r="B135" s="433"/>
      <c r="C135" s="433"/>
      <c r="D135" s="433"/>
      <c r="E135" s="433"/>
      <c r="F135" s="433"/>
      <c r="G135" s="433"/>
      <c r="H135" s="434"/>
      <c r="I135" s="433"/>
      <c r="J135" s="435"/>
    </row>
    <row r="136" spans="1:10" ht="15">
      <c r="A136" s="436" t="s">
        <v>2824</v>
      </c>
      <c r="B136" s="433"/>
      <c r="C136" s="433"/>
      <c r="D136" s="433" t="str">
        <f>IFERROR(VLOOKUP($A136,#REF!,#REF!,FALSE),"")</f>
        <v/>
      </c>
      <c r="E136" s="433"/>
      <c r="F136" s="433" t="str">
        <f>IFERROR(VLOOKUP($A136,#REF!,#REF!,FALSE),"")</f>
        <v/>
      </c>
      <c r="G136" s="433"/>
      <c r="H136" s="434" t="str">
        <f>IFERROR(VLOOKUP($A136,'FY25 S.3'!$F$10:$AG$151,'FY25 S.3'!$AG$10,FALSE),"")</f>
        <v/>
      </c>
      <c r="I136" s="433"/>
      <c r="J136" s="435" t="str">
        <f>IFERROR(VLOOKUP($A136,#REF!,#REF!,FALSE),"")</f>
        <v/>
      </c>
    </row>
    <row r="137" spans="1:10" ht="15">
      <c r="A137" s="436" t="s">
        <v>2825</v>
      </c>
      <c r="B137" s="433"/>
      <c r="C137" s="433"/>
      <c r="D137" s="433" t="str">
        <f>IFERROR(VLOOKUP($A137,#REF!,#REF!,FALSE),"")</f>
        <v/>
      </c>
      <c r="E137" s="433"/>
      <c r="F137" s="433" t="str">
        <f>IFERROR(VLOOKUP($A137,#REF!,#REF!,FALSE),"")</f>
        <v/>
      </c>
      <c r="G137" s="433"/>
      <c r="H137" s="434" t="str">
        <f>IFERROR(VLOOKUP($A137,'FY25 S.3'!$F$10:$AG$151,'FY25 S.3'!$AG$10,FALSE),"")</f>
        <v/>
      </c>
      <c r="I137" s="433"/>
      <c r="J137" s="435" t="str">
        <f>IFERROR(VLOOKUP($A137,#REF!,#REF!,FALSE),"")</f>
        <v/>
      </c>
    </row>
    <row r="138" spans="1:10" ht="15">
      <c r="A138" s="436" t="s">
        <v>2826</v>
      </c>
      <c r="B138" s="433"/>
      <c r="C138" s="433"/>
      <c r="D138" s="433" t="str">
        <f>IFERROR(VLOOKUP($A138,#REF!,#REF!,FALSE),"")</f>
        <v/>
      </c>
      <c r="E138" s="433"/>
      <c r="F138" s="433" t="str">
        <f>IFERROR(VLOOKUP($A138,#REF!,#REF!,FALSE),"")</f>
        <v/>
      </c>
      <c r="G138" s="433"/>
      <c r="H138" s="434" t="str">
        <f>IFERROR(VLOOKUP($A138,'FY25 S.3'!$F$10:$AG$151,'FY25 S.3'!$AG$10,FALSE),"")</f>
        <v/>
      </c>
      <c r="I138" s="433"/>
      <c r="J138" s="435" t="str">
        <f>IFERROR(VLOOKUP($A138,#REF!,#REF!,FALSE),"")</f>
        <v/>
      </c>
    </row>
    <row r="139" spans="1:10" ht="15">
      <c r="A139" s="436" t="s">
        <v>2827</v>
      </c>
      <c r="B139" s="433"/>
      <c r="C139" s="433"/>
      <c r="D139" s="433" t="str">
        <f>IFERROR(VLOOKUP($A139,#REF!,#REF!,FALSE),"")</f>
        <v/>
      </c>
      <c r="E139" s="433"/>
      <c r="F139" s="433" t="str">
        <f>IFERROR(VLOOKUP($A139,#REF!,#REF!,FALSE),"")</f>
        <v/>
      </c>
      <c r="G139" s="433"/>
      <c r="H139" s="434" t="str">
        <f>IFERROR(VLOOKUP($A139,'FY25 S.3'!$F$10:$AG$151,'FY25 S.3'!$AG$10,FALSE),"")</f>
        <v/>
      </c>
      <c r="I139" s="433"/>
      <c r="J139" s="435" t="str">
        <f>IFERROR(VLOOKUP($A139,#REF!,#REF!,FALSE),"")</f>
        <v/>
      </c>
    </row>
    <row r="140" spans="1:10" ht="15">
      <c r="A140" s="437" t="s">
        <v>2828</v>
      </c>
      <c r="B140" s="438"/>
      <c r="C140" s="438"/>
      <c r="D140" s="438" t="str">
        <f>IFERROR(VLOOKUP($A140,#REF!,#REF!,FALSE),"")</f>
        <v/>
      </c>
      <c r="E140" s="438"/>
      <c r="F140" s="438" t="str">
        <f>IFERROR(VLOOKUP($A140,#REF!,#REF!,FALSE),"")</f>
        <v/>
      </c>
      <c r="G140" s="438"/>
      <c r="H140" s="439" t="str">
        <f>IFERROR(VLOOKUP($A140,'FY25 S.3'!$F$10:$AG$151,'FY25 S.3'!$AG$10,FALSE),"")</f>
        <v/>
      </c>
      <c r="I140" s="438"/>
      <c r="J140" s="440" t="str">
        <f>IFERROR(VLOOKUP($A140,#REF!,#REF!,FALSE),"")</f>
        <v/>
      </c>
    </row>
    <row r="141" spans="1:10" ht="15">
      <c r="A141" s="441"/>
      <c r="B141" s="442"/>
      <c r="C141" s="442"/>
      <c r="D141" s="442" t="str">
        <f>IFERROR(VLOOKUP($A141,#REF!,#REF!,FALSE),"")</f>
        <v/>
      </c>
      <c r="E141" s="442"/>
      <c r="F141" s="442" t="str">
        <f>IFERROR(VLOOKUP($A141,#REF!,#REF!,FALSE),"")</f>
        <v/>
      </c>
      <c r="G141" s="442"/>
      <c r="H141" s="443" t="str">
        <f>IFERROR(VLOOKUP($A141,'FY25 S.3'!$F$10:$AG$151,'FY25 S.3'!$AG$10,FALSE),"")</f>
        <v/>
      </c>
      <c r="I141" s="442"/>
      <c r="J141" s="444" t="str">
        <f>IFERROR(VLOOKUP($A141,#REF!,#REF!,FALSE),"")</f>
        <v/>
      </c>
    </row>
    <row r="142" spans="1:10" ht="15">
      <c r="A142" s="432" t="s">
        <v>2829</v>
      </c>
      <c r="B142" s="442"/>
      <c r="C142" s="442"/>
      <c r="D142" s="442" t="str">
        <f>IFERROR(VLOOKUP($A142,#REF!,#REF!,FALSE),"")</f>
        <v/>
      </c>
      <c r="E142" s="442"/>
      <c r="F142" s="442" t="str">
        <f>IFERROR(VLOOKUP($A142,#REF!,#REF!,FALSE),"")</f>
        <v/>
      </c>
      <c r="G142" s="442"/>
      <c r="H142" s="443" t="str">
        <f>IFERROR(VLOOKUP($A142,'FY25 S.3'!$F$10:$AG$151,'FY25 S.3'!$AG$10,FALSE),"")</f>
        <v/>
      </c>
      <c r="I142" s="442"/>
      <c r="J142" s="444" t="str">
        <f>IFERROR(VLOOKUP($A142,#REF!,#REF!,FALSE),"")</f>
        <v/>
      </c>
    </row>
    <row r="143" spans="1:10" ht="15">
      <c r="A143" s="445" t="s">
        <v>2830</v>
      </c>
      <c r="B143" s="446"/>
      <c r="C143" s="446"/>
      <c r="D143" s="446" t="str">
        <f>IFERROR(VLOOKUP($A143,#REF!,#REF!,FALSE),"")</f>
        <v/>
      </c>
      <c r="E143" s="446"/>
      <c r="F143" s="446" t="str">
        <f>IFERROR(VLOOKUP($A143,#REF!,#REF!,FALSE),"")</f>
        <v/>
      </c>
      <c r="G143" s="446"/>
      <c r="H143" s="447" t="str">
        <f>IFERROR(VLOOKUP($A143,'FY25 S.3'!$F$10:$AG$151,'FY25 S.3'!$AG$10,FALSE),"")</f>
        <v/>
      </c>
      <c r="I143" s="446"/>
      <c r="J143" s="448" t="str">
        <f>IFERROR(VLOOKUP($A143,#REF!,#REF!,FALSE),"")</f>
        <v/>
      </c>
    </row>
    <row r="144" spans="1:10" ht="15">
      <c r="B144" s="305"/>
      <c r="C144" s="305"/>
      <c r="D144" s="305" t="str">
        <f>IFERROR(VLOOKUP($A144,#REF!,#REF!,FALSE),"")</f>
        <v/>
      </c>
      <c r="E144" s="305"/>
      <c r="F144" s="305" t="str">
        <f>IFERROR(VLOOKUP($A144,#REF!,#REF!,FALSE),"")</f>
        <v/>
      </c>
      <c r="G144" s="305"/>
      <c r="H144" s="426" t="str">
        <f>IFERROR(VLOOKUP($A144,'FY25 S.3'!$F$10:$AG$151,'FY25 S.3'!$AG$10,FALSE),"")</f>
        <v/>
      </c>
      <c r="I144" s="305"/>
      <c r="J144" s="305" t="str">
        <f>IFERROR(VLOOKUP($A144,#REF!,#REF!,FALSE),"")</f>
        <v/>
      </c>
    </row>
    <row r="145" spans="1:10" ht="15">
      <c r="A145" s="313"/>
      <c r="B145" s="305"/>
      <c r="C145" s="305"/>
      <c r="D145" s="305" t="str">
        <f>IFERROR(VLOOKUP($A145,#REF!,#REF!,FALSE),"")</f>
        <v/>
      </c>
      <c r="E145" s="305"/>
      <c r="F145" s="305" t="str">
        <f>IFERROR(VLOOKUP($A145,#REF!,#REF!,FALSE),"")</f>
        <v/>
      </c>
      <c r="G145" s="305"/>
      <c r="H145" s="426" t="str">
        <f>IFERROR(VLOOKUP($A145,'FY25 S.3'!$F$10:$AG$151,'FY25 S.3'!$AG$10,FALSE),"")</f>
        <v/>
      </c>
      <c r="I145" s="305"/>
      <c r="J145" s="305" t="str">
        <f>IFERROR(VLOOKUP($A145,#REF!,#REF!,FALSE),"")</f>
        <v/>
      </c>
    </row>
    <row r="146" spans="1:10" ht="15">
      <c r="A146" s="313" t="s">
        <v>2831</v>
      </c>
      <c r="B146" s="272"/>
      <c r="C146" s="272"/>
      <c r="D146" s="272"/>
      <c r="E146" s="272"/>
      <c r="F146" s="272"/>
      <c r="G146" s="272"/>
      <c r="H146" s="419"/>
      <c r="I146" s="272"/>
      <c r="J146" s="272"/>
    </row>
    <row r="147" spans="1:10">
      <c r="A147" s="246" t="s">
        <v>2832</v>
      </c>
      <c r="B147" s="247"/>
      <c r="C147" s="247"/>
      <c r="D147" s="247" t="str">
        <f>IFERROR(VLOOKUP($A147,#REF!,#REF!,FALSE),"")</f>
        <v/>
      </c>
      <c r="E147" s="247"/>
      <c r="F147" s="247" t="str">
        <f>IFERROR(VLOOKUP($A147,#REF!,#REF!,FALSE),"")</f>
        <v/>
      </c>
      <c r="G147" s="247"/>
      <c r="H147" s="414" t="str">
        <f>IFERROR(VLOOKUP($A147,'FY25 S.3'!$F$10:$AG$151,'FY25 S.3'!$AG$10,FALSE),"")</f>
        <v/>
      </c>
      <c r="I147" s="247"/>
      <c r="J147" s="247" t="str">
        <f>IFERROR(VLOOKUP($A147,#REF!,#REF!,FALSE),"")</f>
        <v/>
      </c>
    </row>
    <row r="148" spans="1:10">
      <c r="A148" s="246" t="s">
        <v>2833</v>
      </c>
      <c r="B148" s="247"/>
      <c r="C148" s="247"/>
      <c r="D148" s="247" t="str">
        <f>IFERROR(VLOOKUP($A148,#REF!,#REF!,FALSE),"")</f>
        <v/>
      </c>
      <c r="E148" s="247"/>
      <c r="F148" s="247" t="str">
        <f>IFERROR(VLOOKUP($A148,#REF!,#REF!,FALSE),"")</f>
        <v/>
      </c>
      <c r="G148" s="247"/>
      <c r="H148" s="414" t="str">
        <f>IFERROR(VLOOKUP($A148,'FY25 S.3'!$F$10:$AG$151,'FY25 S.3'!$AG$10,FALSE),"")</f>
        <v/>
      </c>
      <c r="I148" s="247"/>
      <c r="J148" s="247" t="str">
        <f>IFERROR(VLOOKUP($A148,#REF!,#REF!,FALSE),"")</f>
        <v/>
      </c>
    </row>
    <row r="149" spans="1:10">
      <c r="A149" s="246" t="s">
        <v>2834</v>
      </c>
      <c r="B149" s="247"/>
      <c r="C149" s="247"/>
      <c r="D149" s="247" t="str">
        <f>IFERROR(VLOOKUP($A149,#REF!,#REF!,FALSE),"")</f>
        <v/>
      </c>
      <c r="E149" s="247"/>
      <c r="F149" s="247" t="str">
        <f>IFERROR(VLOOKUP($A149,#REF!,#REF!,FALSE),"")</f>
        <v/>
      </c>
      <c r="G149" s="247"/>
      <c r="H149" s="414" t="str">
        <f>IFERROR(VLOOKUP($A149,'FY25 S.3'!$F$10:$AG$151,'FY25 S.3'!$AG$10,FALSE),"")</f>
        <v/>
      </c>
      <c r="I149" s="247"/>
      <c r="J149" s="247" t="str">
        <f>IFERROR(VLOOKUP($A149,#REF!,#REF!,FALSE),"")</f>
        <v/>
      </c>
    </row>
    <row r="150" spans="1:10">
      <c r="A150" s="246" t="s">
        <v>2835</v>
      </c>
      <c r="B150" s="247"/>
      <c r="C150" s="247"/>
      <c r="D150" s="247" t="str">
        <f>IFERROR(VLOOKUP($A150,#REF!,#REF!,FALSE),"")</f>
        <v/>
      </c>
      <c r="E150" s="247"/>
      <c r="F150" s="247" t="str">
        <f>IFERROR(VLOOKUP($A150,#REF!,#REF!,FALSE),"")</f>
        <v/>
      </c>
      <c r="G150" s="247"/>
      <c r="H150" s="414" t="str">
        <f>IFERROR(VLOOKUP($A150,'FY25 S.3'!$F$10:$AG$151,'FY25 S.3'!$AG$10,FALSE),"")</f>
        <v/>
      </c>
      <c r="I150" s="247"/>
      <c r="J150" s="247" t="str">
        <f>IFERROR(VLOOKUP($A150,#REF!,#REF!,FALSE),"")</f>
        <v/>
      </c>
    </row>
    <row r="151" spans="1:10">
      <c r="A151" s="449" t="s">
        <v>2836</v>
      </c>
      <c r="B151" s="247"/>
      <c r="C151" s="247"/>
      <c r="D151" s="247" t="str">
        <f>IFERROR(VLOOKUP($A151,#REF!,#REF!,FALSE),"")</f>
        <v/>
      </c>
      <c r="E151" s="247"/>
      <c r="F151" s="247" t="str">
        <f>IFERROR(VLOOKUP($A151,#REF!,#REF!,FALSE),"")</f>
        <v/>
      </c>
      <c r="G151" s="247"/>
      <c r="H151" s="414" t="str">
        <f>IFERROR(VLOOKUP($A151,'FY25 S.3'!$F$10:$AG$151,'FY25 S.3'!$AG$10,FALSE),"")</f>
        <v/>
      </c>
      <c r="I151" s="247"/>
      <c r="J151" s="247" t="str">
        <f>IFERROR(VLOOKUP($A151,#REF!,#REF!,FALSE),"")</f>
        <v/>
      </c>
    </row>
    <row r="152" spans="1:10">
      <c r="A152" s="449" t="s">
        <v>2837</v>
      </c>
      <c r="B152" s="247"/>
      <c r="C152" s="247"/>
      <c r="D152" s="247" t="str">
        <f>IFERROR(VLOOKUP($A152,#REF!,#REF!,FALSE),"")</f>
        <v/>
      </c>
      <c r="E152" s="247"/>
      <c r="F152" s="247" t="str">
        <f>IFERROR(VLOOKUP($A152,#REF!,#REF!,FALSE),"")</f>
        <v/>
      </c>
      <c r="G152" s="247"/>
      <c r="H152" s="414" t="str">
        <f>IFERROR(VLOOKUP($A152,'FY25 S.3'!$F$10:$AG$151,'FY25 S.3'!$AG$10,FALSE),"")</f>
        <v/>
      </c>
      <c r="I152" s="247"/>
      <c r="J152" s="247" t="str">
        <f>IFERROR(VLOOKUP($A152,#REF!,#REF!,FALSE),"")</f>
        <v/>
      </c>
    </row>
    <row r="153" spans="1:10">
      <c r="A153" s="450" t="s">
        <v>2838</v>
      </c>
      <c r="B153" s="247"/>
      <c r="C153" s="247"/>
      <c r="D153" s="247" t="str">
        <f>IFERROR(VLOOKUP($A153,#REF!,#REF!,FALSE),"")</f>
        <v/>
      </c>
      <c r="E153" s="247"/>
      <c r="F153" s="247" t="str">
        <f>IFERROR(VLOOKUP($A153,#REF!,#REF!,FALSE),"")</f>
        <v/>
      </c>
      <c r="G153" s="247"/>
      <c r="H153" s="414" t="str">
        <f>IFERROR(VLOOKUP($A153,'FY25 S.3'!$F$10:$AG$151,'FY25 S.3'!$AG$10,FALSE),"")</f>
        <v/>
      </c>
      <c r="I153" s="247"/>
      <c r="J153" s="247" t="str">
        <f>IFERROR(VLOOKUP($A153,#REF!,#REF!,FALSE),"")</f>
        <v/>
      </c>
    </row>
    <row r="154" spans="1:10" ht="15">
      <c r="A154" s="451" t="s">
        <v>2839</v>
      </c>
      <c r="B154" s="293"/>
      <c r="C154" s="293"/>
      <c r="D154" s="293" t="str">
        <f>IFERROR(VLOOKUP($A154,#REF!,#REF!,FALSE),"")</f>
        <v/>
      </c>
      <c r="E154" s="293"/>
      <c r="F154" s="293" t="str">
        <f>IFERROR(VLOOKUP($A154,#REF!,#REF!,FALSE),"")</f>
        <v/>
      </c>
      <c r="G154" s="293"/>
      <c r="H154" s="423" t="str">
        <f>IFERROR(VLOOKUP($A154,'FY25 S.3'!$F$10:$AG$151,'FY25 S.3'!$AG$10,FALSE),"")</f>
        <v/>
      </c>
      <c r="I154" s="293"/>
      <c r="J154" s="293" t="str">
        <f>IFERROR(VLOOKUP($A154,#REF!,#REF!,FALSE),"")</f>
        <v/>
      </c>
    </row>
    <row r="155" spans="1:10" ht="15">
      <c r="A155" s="313" t="s">
        <v>2840</v>
      </c>
      <c r="B155" s="310"/>
      <c r="C155" s="310"/>
      <c r="D155" s="310" t="str">
        <f>IFERROR(VLOOKUP($A155,#REF!,#REF!,FALSE),"")</f>
        <v/>
      </c>
      <c r="E155" s="310"/>
      <c r="F155" s="310" t="str">
        <f>IFERROR(VLOOKUP($A155,#REF!,#REF!,FALSE),"")</f>
        <v/>
      </c>
      <c r="G155" s="310"/>
      <c r="H155" s="427" t="str">
        <f>IFERROR(VLOOKUP($A155,'FY25 S.3'!$F$10:$AG$151,'FY25 S.3'!$AG$10,FALSE),"")</f>
        <v/>
      </c>
      <c r="I155" s="310"/>
      <c r="J155" s="272" t="str">
        <f>IFERROR(VLOOKUP($A155,#REF!,#REF!,FALSE),"")</f>
        <v/>
      </c>
    </row>
    <row r="156" spans="1:10">
      <c r="A156" s="246" t="s">
        <v>2841</v>
      </c>
      <c r="B156" s="247"/>
      <c r="C156" s="247"/>
      <c r="D156" s="247" t="str">
        <f>IFERROR(VLOOKUP($A156,#REF!,#REF!,FALSE),"")</f>
        <v/>
      </c>
      <c r="E156" s="247"/>
      <c r="F156" s="247" t="str">
        <f>IFERROR(VLOOKUP($A156,#REF!,#REF!,FALSE),"")</f>
        <v/>
      </c>
      <c r="G156" s="247"/>
      <c r="H156" s="414" t="str">
        <f>IFERROR(VLOOKUP($A156,'FY25 S.3'!$F$10:$AG$151,'FY25 S.3'!$AG$10,FALSE),"")</f>
        <v/>
      </c>
      <c r="I156" s="247"/>
      <c r="J156" s="247" t="str">
        <f>IFERROR(VLOOKUP($A156,#REF!,#REF!,FALSE),"")</f>
        <v/>
      </c>
    </row>
    <row r="157" spans="1:10">
      <c r="A157" s="246" t="s">
        <v>2842</v>
      </c>
      <c r="B157" s="247"/>
      <c r="C157" s="247"/>
      <c r="D157" s="247" t="str">
        <f>IFERROR(VLOOKUP($A157,#REF!,#REF!,FALSE),"")</f>
        <v/>
      </c>
      <c r="E157" s="247"/>
      <c r="F157" s="247" t="str">
        <f>IFERROR(VLOOKUP($A157,#REF!,#REF!,FALSE),"")</f>
        <v/>
      </c>
      <c r="G157" s="247"/>
      <c r="H157" s="414" t="str">
        <f>IFERROR(VLOOKUP($A157,'FY25 S.3'!$F$10:$AG$151,'FY25 S.3'!$AG$10,FALSE),"")</f>
        <v/>
      </c>
      <c r="I157" s="247"/>
      <c r="J157" s="247" t="str">
        <f>IFERROR(VLOOKUP($A157,#REF!,#REF!,FALSE),"")</f>
        <v/>
      </c>
    </row>
    <row r="158" spans="1:10">
      <c r="A158" s="246" t="s">
        <v>2843</v>
      </c>
      <c r="B158" s="247"/>
      <c r="C158" s="247"/>
      <c r="D158" s="247" t="str">
        <f>IFERROR(VLOOKUP($A158,#REF!,#REF!,FALSE),"")</f>
        <v/>
      </c>
      <c r="E158" s="247"/>
      <c r="F158" s="247" t="str">
        <f>IFERROR(VLOOKUP($A158,#REF!,#REF!,FALSE),"")</f>
        <v/>
      </c>
      <c r="G158" s="247"/>
      <c r="H158" s="414" t="str">
        <f>IFERROR(VLOOKUP($A158,'FY25 S.3'!$F$10:$AG$151,'FY25 S.3'!$AG$10,FALSE),"")</f>
        <v/>
      </c>
      <c r="I158" s="247"/>
      <c r="J158" s="247" t="str">
        <f>IFERROR(VLOOKUP($A158,#REF!,#REF!,FALSE),"")</f>
        <v/>
      </c>
    </row>
    <row r="159" spans="1:10">
      <c r="A159" s="449" t="s">
        <v>2844</v>
      </c>
      <c r="B159" s="247"/>
      <c r="C159" s="247"/>
      <c r="D159" s="247" t="str">
        <f>IFERROR(VLOOKUP($A159,#REF!,#REF!,FALSE),"")</f>
        <v/>
      </c>
      <c r="E159" s="247"/>
      <c r="F159" s="247" t="str">
        <f>IFERROR(VLOOKUP($A159,#REF!,#REF!,FALSE),"")</f>
        <v/>
      </c>
      <c r="G159" s="247"/>
      <c r="H159" s="414" t="str">
        <f>IFERROR(VLOOKUP($A159,'FY25 S.3'!$F$10:$AG$151,'FY25 S.3'!$AG$10,FALSE),"")</f>
        <v/>
      </c>
      <c r="I159" s="247"/>
      <c r="J159" s="247" t="str">
        <f>IFERROR(VLOOKUP($A159,#REF!,#REF!,FALSE),"")</f>
        <v/>
      </c>
    </row>
    <row r="160" spans="1:10" ht="15">
      <c r="A160" s="449" t="s">
        <v>2845</v>
      </c>
      <c r="B160" s="311"/>
      <c r="C160" s="311"/>
      <c r="D160" s="311" t="str">
        <f>IFERROR(VLOOKUP($A160,#REF!,#REF!,FALSE),"")</f>
        <v/>
      </c>
      <c r="E160" s="311"/>
      <c r="F160" s="311" t="str">
        <f>IFERROR(VLOOKUP($A160,#REF!,#REF!,FALSE),"")</f>
        <v/>
      </c>
      <c r="G160" s="311"/>
      <c r="H160" s="427" t="str">
        <f>IFERROR(VLOOKUP($A160,'FY25 S.3'!$F$10:$AG$151,'FY25 S.3'!$AG$10,FALSE),"")</f>
        <v/>
      </c>
      <c r="I160" s="310"/>
      <c r="J160" s="272" t="str">
        <f>IFERROR(VLOOKUP($A160,#REF!,#REF!,FALSE),"")</f>
        <v/>
      </c>
    </row>
    <row r="161" spans="1:10" ht="15">
      <c r="A161" s="450" t="s">
        <v>2838</v>
      </c>
      <c r="B161" s="301"/>
      <c r="C161" s="301"/>
      <c r="D161" s="301" t="str">
        <f>IFERROR(VLOOKUP($A161,#REF!,#REF!,FALSE),"")</f>
        <v/>
      </c>
      <c r="E161" s="301"/>
      <c r="F161" s="301" t="str">
        <f>IFERROR(VLOOKUP($A161,#REF!,#REF!,FALSE),"")</f>
        <v/>
      </c>
      <c r="G161" s="301"/>
      <c r="H161" s="425" t="str">
        <f>IFERROR(VLOOKUP($A161,'FY25 S.3'!$F$10:$AG$151,'FY25 S.3'!$AG$10,FALSE),"")</f>
        <v/>
      </c>
      <c r="I161" s="301"/>
      <c r="J161" s="301" t="str">
        <f>IFERROR(VLOOKUP($A161,#REF!,#REF!,FALSE),"")</f>
        <v/>
      </c>
    </row>
    <row r="162" spans="1:10">
      <c r="A162" s="306"/>
      <c r="B162" s="260"/>
      <c r="C162" s="260"/>
      <c r="D162" s="260" t="str">
        <f>IFERROR(VLOOKUP($A162,#REF!,#REF!,FALSE),"")</f>
        <v/>
      </c>
      <c r="E162" s="260"/>
      <c r="F162" s="260" t="str">
        <f>IFERROR(VLOOKUP($A162,#REF!,#REF!,FALSE),"")</f>
        <v/>
      </c>
      <c r="G162" s="260"/>
      <c r="H162" s="417" t="str">
        <f>IFERROR(VLOOKUP($A162,'FY25 S.3'!$F$10:$AG$151,'FY25 S.3'!$AG$10,FALSE),"")</f>
        <v/>
      </c>
      <c r="I162" s="260"/>
      <c r="J162" s="260" t="str">
        <f>IFERROR(VLOOKUP($A162,#REF!,#REF!,FALSE),"")</f>
        <v/>
      </c>
    </row>
    <row r="163" spans="1:10" ht="15">
      <c r="A163" s="326" t="s">
        <v>2846</v>
      </c>
      <c r="B163" s="310"/>
      <c r="C163" s="310"/>
      <c r="D163" s="310" t="str">
        <f>IFERROR(VLOOKUP($A163,#REF!,#REF!,FALSE),"")</f>
        <v/>
      </c>
      <c r="E163" s="310"/>
      <c r="F163" s="310" t="str">
        <f>IFERROR(VLOOKUP($A163,#REF!,#REF!,FALSE),"")</f>
        <v/>
      </c>
      <c r="G163" s="310"/>
      <c r="H163" s="427">
        <f>IFERROR(VLOOKUP($A163,'FY25 S.3'!$F$10:$AG$151,'FY25 S.3'!$AG$10,FALSE),"")</f>
        <v>0</v>
      </c>
      <c r="I163" s="310"/>
      <c r="J163" s="272" t="str">
        <f>IFERROR(VLOOKUP($A163,#REF!,#REF!,FALSE),"")</f>
        <v/>
      </c>
    </row>
    <row r="164" spans="1:10">
      <c r="A164" s="246" t="s">
        <v>2847</v>
      </c>
      <c r="B164" s="247"/>
      <c r="C164" s="247"/>
      <c r="D164" s="247" t="str">
        <f>IFERROR(VLOOKUP($A164,#REF!,#REF!,FALSE),"")</f>
        <v/>
      </c>
      <c r="E164" s="247"/>
      <c r="F164" s="247" t="str">
        <f>IFERROR(VLOOKUP($A164,#REF!,#REF!,FALSE),"")</f>
        <v/>
      </c>
      <c r="G164" s="247"/>
      <c r="H164" s="414">
        <f>IFERROR(VLOOKUP($A164,'FY25 S.3'!$F$10:$AG$151,'FY25 S.3'!$AG$10,FALSE),"")</f>
        <v>0</v>
      </c>
      <c r="I164" s="247"/>
      <c r="J164" s="247" t="str">
        <f>IFERROR(VLOOKUP($A164,#REF!,#REF!,FALSE),"")</f>
        <v/>
      </c>
    </row>
    <row r="165" spans="1:10">
      <c r="A165" s="246" t="s">
        <v>2848</v>
      </c>
      <c r="B165" s="247"/>
      <c r="C165" s="247"/>
      <c r="D165" s="247" t="str">
        <f>IFERROR(VLOOKUP($A165,#REF!,#REF!,FALSE),"")</f>
        <v/>
      </c>
      <c r="E165" s="247"/>
      <c r="F165" s="247" t="str">
        <f>IFERROR(VLOOKUP($A165,#REF!,#REF!,FALSE),"")</f>
        <v/>
      </c>
      <c r="G165" s="247"/>
      <c r="H165" s="414">
        <f>IFERROR(VLOOKUP($A165,'FY25 S.3'!$F$10:$AG$151,'FY25 S.3'!$AG$10,FALSE),"")</f>
        <v>0</v>
      </c>
      <c r="I165" s="247"/>
      <c r="J165" s="247" t="str">
        <f>IFERROR(VLOOKUP($A165,#REF!,#REF!,FALSE),"")</f>
        <v/>
      </c>
    </row>
    <row r="166" spans="1:10">
      <c r="A166" s="246" t="s">
        <v>2635</v>
      </c>
      <c r="B166" s="247"/>
      <c r="C166" s="247"/>
      <c r="D166" s="247" t="str">
        <f>IFERROR(VLOOKUP($A166,#REF!,#REF!,FALSE),"")</f>
        <v/>
      </c>
      <c r="E166" s="247"/>
      <c r="F166" s="247" t="str">
        <f>IFERROR(VLOOKUP($A166,#REF!,#REF!,FALSE),"")</f>
        <v/>
      </c>
      <c r="G166" s="247"/>
      <c r="H166" s="414">
        <f>IFERROR(VLOOKUP($A166,'FY25 S.3'!$F$10:$AG$151,'FY25 S.3'!$AG$10,FALSE),"")</f>
        <v>0</v>
      </c>
      <c r="I166" s="247"/>
      <c r="J166" s="247" t="str">
        <f>IFERROR(VLOOKUP($A166,#REF!,#REF!,FALSE),"")</f>
        <v/>
      </c>
    </row>
    <row r="167" spans="1:10">
      <c r="A167" s="246" t="s">
        <v>2849</v>
      </c>
      <c r="B167" s="247"/>
      <c r="C167" s="247"/>
      <c r="D167" s="247" t="str">
        <f>IFERROR(VLOOKUP($A167,#REF!,#REF!,FALSE),"")</f>
        <v/>
      </c>
      <c r="E167" s="247"/>
      <c r="F167" s="247" t="str">
        <f>IFERROR(VLOOKUP($A167,#REF!,#REF!,FALSE),"")</f>
        <v/>
      </c>
      <c r="G167" s="247"/>
      <c r="H167" s="414">
        <f>IFERROR(VLOOKUP($A167,'FY25 S.3'!$F$10:$AG$151,'FY25 S.3'!$AG$10,FALSE),"")</f>
        <v>0</v>
      </c>
      <c r="I167" s="247"/>
      <c r="J167" s="247" t="str">
        <f>IFERROR(VLOOKUP($A167,#REF!,#REF!,FALSE),"")</f>
        <v/>
      </c>
    </row>
    <row r="168" spans="1:10">
      <c r="A168" s="246" t="s">
        <v>2850</v>
      </c>
      <c r="B168" s="247"/>
      <c r="C168" s="247"/>
      <c r="D168" s="247" t="str">
        <f>IFERROR(VLOOKUP($A168,#REF!,#REF!,FALSE),"")</f>
        <v/>
      </c>
      <c r="E168" s="247"/>
      <c r="F168" s="247" t="str">
        <f>IFERROR(VLOOKUP($A168,#REF!,#REF!,FALSE),"")</f>
        <v/>
      </c>
      <c r="G168" s="247"/>
      <c r="H168" s="414">
        <f>IFERROR(VLOOKUP($A168,'FY25 S.3'!$F$10:$AG$151,'FY25 S.3'!$AG$10,FALSE),"")</f>
        <v>0</v>
      </c>
      <c r="I168" s="247"/>
      <c r="J168" s="247" t="str">
        <f>IFERROR(VLOOKUP($A168,#REF!,#REF!,FALSE),"")</f>
        <v/>
      </c>
    </row>
    <row r="169" spans="1:10" ht="15">
      <c r="A169" s="299" t="s">
        <v>2851</v>
      </c>
      <c r="B169" s="329"/>
      <c r="C169" s="329"/>
      <c r="D169" s="329" t="str">
        <f>IFERROR(VLOOKUP($A169,#REF!,#REF!,FALSE),"")</f>
        <v/>
      </c>
      <c r="E169" s="329"/>
      <c r="F169" s="329" t="str">
        <f>IFERROR(VLOOKUP($A169,#REF!,#REF!,FALSE),"")</f>
        <v/>
      </c>
      <c r="G169" s="329"/>
      <c r="H169" s="452">
        <f>IFERROR(VLOOKUP($A169,'FY25 S.3'!$F$10:$AG$151,'FY25 S.3'!$AG$10,FALSE),"")</f>
        <v>0</v>
      </c>
      <c r="I169" s="329"/>
      <c r="J169" s="329" t="str">
        <f>IFERROR(VLOOKUP($A169,#REF!,#REF!,FALSE),"")</f>
        <v/>
      </c>
    </row>
    <row r="170" spans="1:10" ht="15">
      <c r="A170" s="282"/>
      <c r="B170" s="272"/>
      <c r="C170" s="272"/>
      <c r="D170" s="272" t="str">
        <f>IFERROR(VLOOKUP($A170,#REF!,#REF!,FALSE),"")</f>
        <v/>
      </c>
      <c r="E170" s="272"/>
      <c r="F170" s="272" t="str">
        <f>IFERROR(VLOOKUP($A170,#REF!,#REF!,FALSE),"")</f>
        <v/>
      </c>
      <c r="G170" s="272"/>
      <c r="H170" s="419" t="str">
        <f>IFERROR(VLOOKUP($A170,'FY25 S.3'!$F$10:$AG$151,'FY25 S.3'!$AG$10,FALSE),"")</f>
        <v/>
      </c>
      <c r="I170" s="272"/>
      <c r="J170" s="272" t="str">
        <f>IFERROR(VLOOKUP($A170,#REF!,#REF!,FALSE),"")</f>
        <v/>
      </c>
    </row>
    <row r="171" spans="1:10" ht="15">
      <c r="A171" s="330" t="s">
        <v>2852</v>
      </c>
      <c r="B171" s="332"/>
      <c r="C171" s="332"/>
      <c r="D171" s="332" t="str">
        <f>IFERROR(VLOOKUP($A171,#REF!,#REF!,FALSE),"")</f>
        <v/>
      </c>
      <c r="E171" s="332"/>
      <c r="F171" s="332" t="str">
        <f>IFERROR(VLOOKUP($A171,#REF!,#REF!,FALSE),"")</f>
        <v/>
      </c>
      <c r="G171" s="332"/>
      <c r="H171" s="453">
        <f>IFERROR(VLOOKUP($A171,'FY25 S.3'!$F$10:$AG$151,'FY25 S.3'!$AG$10,FALSE),"")</f>
        <v>0</v>
      </c>
      <c r="I171" s="332"/>
      <c r="J171" s="332" t="str">
        <f>IFERROR(VLOOKUP($A171,#REF!,#REF!,FALSE),"")</f>
        <v/>
      </c>
    </row>
    <row r="172" spans="1:10" ht="15">
      <c r="A172" s="312"/>
      <c r="B172" s="310"/>
      <c r="C172" s="310"/>
      <c r="D172" s="310" t="str">
        <f>IFERROR(VLOOKUP($A172,#REF!,#REF!,FALSE),"")</f>
        <v/>
      </c>
      <c r="E172" s="310"/>
      <c r="F172" s="310" t="str">
        <f>IFERROR(VLOOKUP($A172,#REF!,#REF!,FALSE),"")</f>
        <v/>
      </c>
      <c r="G172" s="310"/>
      <c r="H172" s="427" t="str">
        <f>IFERROR(VLOOKUP($A172,'FY25 S.3'!$F$10:$AG$151,'FY25 S.3'!$AG$10,FALSE),"")</f>
        <v/>
      </c>
      <c r="I172" s="310"/>
      <c r="J172" s="272" t="str">
        <f>IFERROR(VLOOKUP($A172,#REF!,#REF!,FALSE),"")</f>
        <v/>
      </c>
    </row>
    <row r="173" spans="1:10" ht="15">
      <c r="A173" s="326" t="s">
        <v>2853</v>
      </c>
      <c r="B173" s="247"/>
      <c r="C173" s="247"/>
      <c r="D173" s="247" t="str">
        <f>IFERROR(VLOOKUP($A173,#REF!,#REF!,FALSE),"")</f>
        <v/>
      </c>
      <c r="E173" s="247"/>
      <c r="F173" s="247" t="str">
        <f>IFERROR(VLOOKUP($A173,#REF!,#REF!,FALSE),"")</f>
        <v/>
      </c>
      <c r="G173" s="247"/>
      <c r="H173" s="414">
        <f>IFERROR(VLOOKUP($A173,'FY25 S.3'!$F$10:$AG$151,'FY25 S.3'!$AG$10,FALSE),"")</f>
        <v>0</v>
      </c>
      <c r="I173" s="247"/>
      <c r="J173" s="247" t="str">
        <f>IFERROR(VLOOKUP($A173,#REF!,#REF!,FALSE),"")</f>
        <v/>
      </c>
    </row>
    <row r="174" spans="1:10" ht="15">
      <c r="A174" s="326" t="s">
        <v>2854</v>
      </c>
      <c r="B174" s="272"/>
      <c r="C174" s="272"/>
      <c r="D174" s="272" t="str">
        <f>IFERROR(VLOOKUP($A174,#REF!,#REF!,FALSE),"")</f>
        <v/>
      </c>
      <c r="E174" s="272"/>
      <c r="F174" s="272" t="str">
        <f>IFERROR(VLOOKUP($A174,#REF!,#REF!,FALSE),"")</f>
        <v/>
      </c>
      <c r="G174" s="272"/>
      <c r="H174" s="419">
        <f>IFERROR(VLOOKUP($A174,'FY25 S.3'!$F$10:$AG$151,'FY25 S.3'!$AG$10,FALSE),"")</f>
        <v>0</v>
      </c>
      <c r="I174" s="272"/>
      <c r="J174" s="272" t="str">
        <f>IFERROR(VLOOKUP($A174,#REF!,#REF!,FALSE),"")</f>
        <v/>
      </c>
    </row>
    <row r="175" spans="1:10" ht="15">
      <c r="A175" s="312"/>
      <c r="B175" s="310"/>
      <c r="C175" s="310"/>
      <c r="D175" s="310" t="str">
        <f>IFERROR(VLOOKUP($A175,#REF!,#REF!,FALSE),"")</f>
        <v/>
      </c>
      <c r="E175" s="310"/>
      <c r="F175" s="310" t="str">
        <f>IFERROR(VLOOKUP($A175,#REF!,#REF!,FALSE),"")</f>
        <v/>
      </c>
      <c r="G175" s="310"/>
      <c r="H175" s="427" t="str">
        <f>IFERROR(VLOOKUP($A175,'FY25 S.3'!$F$10:$AG$151,'FY25 S.3'!$AG$10,FALSE),"")</f>
        <v/>
      </c>
      <c r="I175" s="310"/>
      <c r="J175" s="272" t="str">
        <f>IFERROR(VLOOKUP($A175,#REF!,#REF!,FALSE),"")</f>
        <v/>
      </c>
    </row>
    <row r="176" spans="1:10" ht="15">
      <c r="A176" s="299" t="s">
        <v>2855</v>
      </c>
      <c r="B176" s="329"/>
      <c r="C176" s="329"/>
      <c r="D176" s="329" t="str">
        <f>IFERROR(VLOOKUP($A176,#REF!,#REF!,FALSE),"")</f>
        <v/>
      </c>
      <c r="E176" s="329"/>
      <c r="F176" s="329" t="str">
        <f>IFERROR(VLOOKUP($A176,#REF!,#REF!,FALSE),"")</f>
        <v/>
      </c>
      <c r="G176" s="329"/>
      <c r="H176" s="452">
        <f>IFERROR(VLOOKUP($A176,'FY25 S.3'!$F$10:$AG$151,'FY25 S.3'!$AG$10,FALSE),"")</f>
        <v>0</v>
      </c>
      <c r="I176" s="329"/>
      <c r="J176" s="329" t="str">
        <f>IFERROR(VLOOKUP($A176,#REF!,#REF!,FALSE),"")</f>
        <v/>
      </c>
    </row>
    <row r="177" spans="1:10" ht="15">
      <c r="A177" s="334"/>
      <c r="B177" s="310"/>
      <c r="C177" s="310"/>
      <c r="D177" s="310" t="str">
        <f>IFERROR(VLOOKUP($A177,#REF!,#REF!,FALSE),"")</f>
        <v/>
      </c>
      <c r="E177" s="310"/>
      <c r="F177" s="310" t="str">
        <f>IFERROR(VLOOKUP($A177,#REF!,#REF!,FALSE),"")</f>
        <v/>
      </c>
      <c r="G177" s="310"/>
      <c r="H177" s="427" t="str">
        <f>IFERROR(VLOOKUP($A177,'FY25 S.3'!$F$10:$AG$151,'FY25 S.3'!$AG$10,FALSE),"")</f>
        <v/>
      </c>
      <c r="I177" s="310"/>
      <c r="J177" s="272" t="str">
        <f>IFERROR(VLOOKUP($A177,#REF!,#REF!,FALSE),"")</f>
        <v/>
      </c>
    </row>
    <row r="178" spans="1:10" ht="15">
      <c r="A178" s="265" t="s">
        <v>2856</v>
      </c>
      <c r="B178" s="267"/>
      <c r="C178" s="267"/>
      <c r="D178" s="267" t="str">
        <f>IFERROR(VLOOKUP($A178,#REF!,#REF!,FALSE),"")</f>
        <v/>
      </c>
      <c r="E178" s="267"/>
      <c r="F178" s="267" t="str">
        <f>IFERROR(VLOOKUP($A178,#REF!,#REF!,FALSE),"")</f>
        <v/>
      </c>
      <c r="G178" s="267"/>
      <c r="H178" s="418" t="str">
        <f>IFERROR(VLOOKUP($A178,'FY25 S.3'!$F$10:$AG$151,'FY25 S.3'!$AG$10,FALSE),"")</f>
        <v/>
      </c>
      <c r="I178" s="267"/>
      <c r="J178" s="267" t="str">
        <f>IFERROR(VLOOKUP($A178,#REF!,#REF!,FALSE),"")</f>
        <v/>
      </c>
    </row>
    <row r="179" spans="1:10" ht="15">
      <c r="A179" s="334"/>
      <c r="B179" s="335"/>
      <c r="C179" s="335"/>
      <c r="D179" s="335"/>
      <c r="E179" s="335"/>
      <c r="F179" s="335"/>
      <c r="G179" s="335"/>
      <c r="H179" s="454"/>
      <c r="I179" s="310"/>
      <c r="J179" s="310"/>
    </row>
    <row r="180" spans="1:10" ht="15">
      <c r="A180" s="334"/>
      <c r="B180" s="310"/>
      <c r="C180" s="310"/>
      <c r="D180" s="310"/>
      <c r="E180" s="310"/>
      <c r="F180" s="310"/>
      <c r="G180" s="310"/>
      <c r="H180" s="310"/>
      <c r="I180" s="310"/>
      <c r="J180" s="272"/>
    </row>
    <row r="181" spans="1:10">
      <c r="B181" s="337"/>
      <c r="C181" s="337"/>
      <c r="D181" s="337"/>
      <c r="E181" s="337"/>
      <c r="F181" s="337"/>
      <c r="G181" s="337"/>
    </row>
  </sheetData>
  <conditionalFormatting sqref="B19:C30">
    <cfRule type="expression" dxfId="63" priority="4">
      <formula>B$14="Actual"</formula>
    </cfRule>
  </conditionalFormatting>
  <conditionalFormatting sqref="B32:C37">
    <cfRule type="expression" dxfId="62" priority="8">
      <formula>B$14="Actual"</formula>
    </cfRule>
  </conditionalFormatting>
  <conditionalFormatting sqref="B44:C48">
    <cfRule type="expression" dxfId="61" priority="6">
      <formula>B$14="Actual"</formula>
    </cfRule>
  </conditionalFormatting>
  <conditionalFormatting sqref="B50:C69">
    <cfRule type="expression" dxfId="60" priority="3">
      <formula>B$14="Actual"</formula>
    </cfRule>
  </conditionalFormatting>
  <conditionalFormatting sqref="B73:C98">
    <cfRule type="expression" dxfId="59" priority="2">
      <formula>B$14="Actual"</formula>
    </cfRule>
  </conditionalFormatting>
  <conditionalFormatting sqref="B100:C119">
    <cfRule type="expression" dxfId="58" priority="1">
      <formula>B$14="Actual"</formula>
    </cfRule>
  </conditionalFormatting>
  <conditionalFormatting sqref="B18:I18">
    <cfRule type="expression" dxfId="57" priority="62">
      <formula>B$14="Actual"</formula>
    </cfRule>
  </conditionalFormatting>
  <conditionalFormatting sqref="B72:I72">
    <cfRule type="expression" dxfId="56" priority="52">
      <formula>B$14="Actual"</formula>
    </cfRule>
  </conditionalFormatting>
  <conditionalFormatting sqref="B180:I180">
    <cfRule type="expression" dxfId="55" priority="67">
      <formula>B$14="Actual"</formula>
    </cfRule>
  </conditionalFormatting>
  <conditionalFormatting sqref="B40:J42">
    <cfRule type="expression" dxfId="54" priority="7">
      <formula>B$14="Actual"</formula>
    </cfRule>
  </conditionalFormatting>
  <conditionalFormatting sqref="B99:J99">
    <cfRule type="expression" dxfId="53" priority="47">
      <formula>B$14="Actual"</formula>
    </cfRule>
  </conditionalFormatting>
  <conditionalFormatting sqref="B122:J125">
    <cfRule type="expression" dxfId="52" priority="10">
      <formula>B$14="Actual"</formula>
    </cfRule>
  </conditionalFormatting>
  <conditionalFormatting sqref="B127:J146">
    <cfRule type="expression" dxfId="51" priority="5">
      <formula>B$14="Actual"</formula>
    </cfRule>
  </conditionalFormatting>
  <conditionalFormatting sqref="B161:J161">
    <cfRule type="expression" dxfId="50" priority="65">
      <formula>B$14="Actual"</formula>
    </cfRule>
  </conditionalFormatting>
  <conditionalFormatting sqref="B164:J169">
    <cfRule type="expression" dxfId="49" priority="15">
      <formula>B$14="Actual"</formula>
    </cfRule>
  </conditionalFormatting>
  <conditionalFormatting sqref="B171:J171">
    <cfRule type="expression" dxfId="48" priority="56">
      <formula>B$14="Actual"</formula>
    </cfRule>
  </conditionalFormatting>
  <conditionalFormatting sqref="B173:J174">
    <cfRule type="expression" dxfId="47" priority="14">
      <formula>B$14="Actual"</formula>
    </cfRule>
  </conditionalFormatting>
  <conditionalFormatting sqref="B176:J176">
    <cfRule type="expression" dxfId="46" priority="64">
      <formula>B$14="Actual"</formula>
    </cfRule>
  </conditionalFormatting>
  <conditionalFormatting sqref="D27:F30">
    <cfRule type="expression" dxfId="45" priority="60">
      <formula>D$14="Actual"</formula>
    </cfRule>
  </conditionalFormatting>
  <conditionalFormatting sqref="D32:I33">
    <cfRule type="expression" dxfId="44" priority="63">
      <formula>D$14="Actual"</formula>
    </cfRule>
  </conditionalFormatting>
  <conditionalFormatting sqref="D47:I48">
    <cfRule type="expression" dxfId="43" priority="59">
      <formula>D$14="Actual"</formula>
    </cfRule>
  </conditionalFormatting>
  <conditionalFormatting sqref="D50:I51">
    <cfRule type="expression" dxfId="42" priority="53">
      <formula>D$14="Actual"</formula>
    </cfRule>
  </conditionalFormatting>
  <conditionalFormatting sqref="D82:I83">
    <cfRule type="expression" dxfId="41" priority="51">
      <formula>D$14="Actual"</formula>
    </cfRule>
  </conditionalFormatting>
  <conditionalFormatting sqref="D100:I101">
    <cfRule type="expression" dxfId="40" priority="50">
      <formula>D$14="Actual"</formula>
    </cfRule>
  </conditionalFormatting>
  <conditionalFormatting sqref="D19:J22">
    <cfRule type="expression" dxfId="39" priority="57">
      <formula>D$14="Actual"</formula>
    </cfRule>
  </conditionalFormatting>
  <conditionalFormatting sqref="D25:J26">
    <cfRule type="expression" dxfId="38" priority="42">
      <formula>D$14="Actual"</formula>
    </cfRule>
  </conditionalFormatting>
  <conditionalFormatting sqref="D34:J37">
    <cfRule type="expression" dxfId="37" priority="46">
      <formula>D$14="Actual"</formula>
    </cfRule>
  </conditionalFormatting>
  <conditionalFormatting sqref="D44:J46">
    <cfRule type="expression" dxfId="36" priority="44">
      <formula>D$14="Actual"</formula>
    </cfRule>
  </conditionalFormatting>
  <conditionalFormatting sqref="D52:J69">
    <cfRule type="expression" dxfId="35" priority="41">
      <formula>D$14="Actual"</formula>
    </cfRule>
  </conditionalFormatting>
  <conditionalFormatting sqref="D73:J81">
    <cfRule type="expression" dxfId="34" priority="48">
      <formula>D$14="Actual"</formula>
    </cfRule>
  </conditionalFormatting>
  <conditionalFormatting sqref="D84:J98">
    <cfRule type="expression" dxfId="33" priority="40">
      <formula>D$14="Actual"</formula>
    </cfRule>
  </conditionalFormatting>
  <conditionalFormatting sqref="D102:J119">
    <cfRule type="expression" dxfId="32" priority="39">
      <formula>D$14="Actual"</formula>
    </cfRule>
  </conditionalFormatting>
  <conditionalFormatting sqref="G23:J23 D23:F24 G24:I24 G27:I27 G28:J28 G29:I30 B38:I39 B43:I43 B49:J49 B70:J71 B120:I124 B126:I126 G147:J153 B147:F160 G154:I155 G156:J159 G160:I160 B162:I163 B170:I170 B172:I172 B175:I175 G177:I177 B177:F179 G178:J179">
    <cfRule type="expression" dxfId="31" priority="61">
      <formula>B$14="Actual"</formula>
    </cfRule>
  </conditionalFormatting>
  <conditionalFormatting sqref="J47">
    <cfRule type="expression" dxfId="30" priority="58">
      <formula>J$14="Actual"</formula>
    </cfRule>
  </conditionalFormatting>
  <pageMargins left="0.7" right="0.7" top="0.75" bottom="0.75" header="0.3" footer="0.3"/>
  <pageSetup paperSize="9" orientation="portrait" r:id="rId1"/>
  <drawing r:id="rId2"/>
  <legacy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1:T67"/>
  <sheetViews>
    <sheetView workbookViewId="0"/>
  </sheetViews>
  <sheetFormatPr defaultColWidth="9" defaultRowHeight="14.25"/>
  <cols>
    <col min="1" max="1" width="3" style="359" customWidth="1"/>
    <col min="2" max="2" width="35.875" style="360" customWidth="1"/>
    <col min="3" max="3" width="11.125" style="359" hidden="1" customWidth="1"/>
    <col min="4" max="4" width="11.5" style="359" customWidth="1"/>
    <col min="5" max="5" width="11.625" style="359" customWidth="1"/>
    <col min="6" max="7" width="13.625" style="359" customWidth="1"/>
    <col min="8" max="8" width="11.875" style="359" customWidth="1"/>
    <col min="9" max="9" width="13.625" style="359" customWidth="1"/>
    <col min="10" max="13" width="11.875" style="359" customWidth="1"/>
    <col min="14" max="14" width="13.625" style="359" customWidth="1"/>
    <col min="15" max="15" width="11.875" style="359" customWidth="1"/>
    <col min="16" max="16" width="12.5" style="359" customWidth="1"/>
    <col min="17" max="17" width="11.875" style="359" customWidth="1"/>
    <col min="18" max="18" width="13.625" style="359" customWidth="1"/>
    <col min="19" max="19" width="9" style="359"/>
    <col min="20" max="20" width="14" style="359" customWidth="1"/>
    <col min="21" max="16384" width="9" style="359"/>
  </cols>
  <sheetData>
    <row r="1" spans="2:20" ht="18" customHeight="1">
      <c r="B1" s="360" t="s">
        <v>2857</v>
      </c>
    </row>
    <row r="2" spans="2:20" s="358" customFormat="1" ht="18" customHeight="1">
      <c r="B2" s="361"/>
      <c r="C2" s="362"/>
      <c r="D2" s="361" t="s">
        <v>2858</v>
      </c>
      <c r="E2" s="363">
        <v>45657</v>
      </c>
      <c r="F2" s="363">
        <v>45688</v>
      </c>
      <c r="G2" s="363">
        <v>45716</v>
      </c>
      <c r="H2" s="363">
        <v>45747</v>
      </c>
      <c r="I2" s="363">
        <v>45777</v>
      </c>
      <c r="J2" s="363">
        <v>45808</v>
      </c>
      <c r="K2" s="363">
        <v>45838</v>
      </c>
      <c r="L2" s="363">
        <v>45869</v>
      </c>
      <c r="M2" s="363">
        <v>45900</v>
      </c>
      <c r="N2" s="363">
        <v>45930</v>
      </c>
      <c r="O2" s="363">
        <v>45961</v>
      </c>
      <c r="P2" s="363">
        <v>45991</v>
      </c>
      <c r="Q2" s="363">
        <v>46022</v>
      </c>
      <c r="R2" s="363" t="s">
        <v>2859</v>
      </c>
    </row>
    <row r="3" spans="2:20" ht="18" customHeight="1">
      <c r="B3" s="364" t="s">
        <v>2860</v>
      </c>
      <c r="C3" s="365"/>
      <c r="D3" s="365"/>
      <c r="E3" s="366">
        <f>E6+E13</f>
        <v>217589.77480219101</v>
      </c>
      <c r="F3" s="366">
        <f t="shared" ref="F3:Q3" si="0">F6+F13</f>
        <v>312497.79452830198</v>
      </c>
      <c r="G3" s="366">
        <f t="shared" si="0"/>
        <v>280860.51452830201</v>
      </c>
      <c r="H3" s="366">
        <f t="shared" si="0"/>
        <v>278017.63452830201</v>
      </c>
      <c r="I3" s="366">
        <f t="shared" si="0"/>
        <v>278059.38452830201</v>
      </c>
      <c r="J3" s="366">
        <f t="shared" si="0"/>
        <v>266774.89452830201</v>
      </c>
      <c r="K3" s="366">
        <f t="shared" si="0"/>
        <v>246388.68823287199</v>
      </c>
      <c r="L3" s="366">
        <f t="shared" si="0"/>
        <v>268941.43387018901</v>
      </c>
      <c r="M3" s="366">
        <f t="shared" si="0"/>
        <v>269116.32713363197</v>
      </c>
      <c r="N3" s="366">
        <f t="shared" si="0"/>
        <v>269416.32713363197</v>
      </c>
      <c r="O3" s="366">
        <f t="shared" si="0"/>
        <v>268276.58330136799</v>
      </c>
      <c r="P3" s="366">
        <f t="shared" si="0"/>
        <v>269776.15635514201</v>
      </c>
      <c r="Q3" s="366">
        <f t="shared" si="0"/>
        <v>271410.87884009402</v>
      </c>
      <c r="R3" s="366">
        <f t="shared" ref="R3:R6" si="1">SUM(F3:Q3)</f>
        <v>3279536.6175084398</v>
      </c>
      <c r="S3" s="367">
        <f>R3/55000000/12</f>
        <v>4.9689948750127897E-3</v>
      </c>
    </row>
    <row r="4" spans="2:20" ht="18" customHeight="1">
      <c r="B4" s="368" t="s">
        <v>2861</v>
      </c>
      <c r="C4" s="365"/>
      <c r="D4" s="365"/>
      <c r="E4" s="366">
        <f>E3*0.2</f>
        <v>43517.954960438197</v>
      </c>
      <c r="F4" s="366">
        <f t="shared" ref="F4:Q4" si="2">F3*0.2</f>
        <v>62499.5589056604</v>
      </c>
      <c r="G4" s="366">
        <f t="shared" si="2"/>
        <v>56172.102905660402</v>
      </c>
      <c r="H4" s="366">
        <f t="shared" si="2"/>
        <v>55603.526905660401</v>
      </c>
      <c r="I4" s="366">
        <f t="shared" si="2"/>
        <v>55611.8769056604</v>
      </c>
      <c r="J4" s="366">
        <f t="shared" si="2"/>
        <v>53354.978905660399</v>
      </c>
      <c r="K4" s="366">
        <f t="shared" si="2"/>
        <v>49277.737646574402</v>
      </c>
      <c r="L4" s="366">
        <f t="shared" si="2"/>
        <v>53788.286774037799</v>
      </c>
      <c r="M4" s="366">
        <f t="shared" si="2"/>
        <v>53823.265426726401</v>
      </c>
      <c r="N4" s="366">
        <f t="shared" si="2"/>
        <v>53883.265426726401</v>
      </c>
      <c r="O4" s="366">
        <f t="shared" si="2"/>
        <v>53655.316660273602</v>
      </c>
      <c r="P4" s="366">
        <f t="shared" si="2"/>
        <v>53955.2312710283</v>
      </c>
      <c r="Q4" s="366">
        <f t="shared" si="2"/>
        <v>54282.175768018897</v>
      </c>
      <c r="R4" s="366">
        <f t="shared" si="1"/>
        <v>655907.32350168796</v>
      </c>
      <c r="S4" s="367"/>
    </row>
    <row r="5" spans="2:20" ht="18" customHeight="1">
      <c r="B5" s="368" t="s">
        <v>2862</v>
      </c>
      <c r="C5" s="365"/>
      <c r="D5" s="365"/>
      <c r="E5" s="366">
        <f>E3*0.8</f>
        <v>174071.81984175299</v>
      </c>
      <c r="F5" s="366">
        <f t="shared" ref="F5:Q5" si="3">F3*0.8</f>
        <v>249998.23562264201</v>
      </c>
      <c r="G5" s="366">
        <f t="shared" si="3"/>
        <v>224688.41162264199</v>
      </c>
      <c r="H5" s="366">
        <f t="shared" si="3"/>
        <v>222414.10762264201</v>
      </c>
      <c r="I5" s="366">
        <f t="shared" si="3"/>
        <v>222447.50762264201</v>
      </c>
      <c r="J5" s="366">
        <f t="shared" si="3"/>
        <v>213419.915622642</v>
      </c>
      <c r="K5" s="366">
        <f t="shared" si="3"/>
        <v>197110.95058629799</v>
      </c>
      <c r="L5" s="366">
        <f t="shared" si="3"/>
        <v>215153.14709615099</v>
      </c>
      <c r="M5" s="366">
        <f t="shared" si="3"/>
        <v>215293.06170690601</v>
      </c>
      <c r="N5" s="366">
        <f t="shared" si="3"/>
        <v>215533.06170690601</v>
      </c>
      <c r="O5" s="366">
        <f t="shared" si="3"/>
        <v>214621.266641094</v>
      </c>
      <c r="P5" s="366">
        <f t="shared" si="3"/>
        <v>215820.925084113</v>
      </c>
      <c r="Q5" s="366">
        <f t="shared" si="3"/>
        <v>217128.70307207599</v>
      </c>
      <c r="R5" s="366">
        <f t="shared" si="1"/>
        <v>2623629.29400675</v>
      </c>
      <c r="S5" s="367"/>
    </row>
    <row r="6" spans="2:20" ht="18" customHeight="1">
      <c r="B6" s="369" t="s">
        <v>2863</v>
      </c>
      <c r="C6" s="370"/>
      <c r="D6" s="370"/>
      <c r="E6" s="366">
        <f>0.12*55000000/1.06/12/31*13</f>
        <v>217589.77480219101</v>
      </c>
      <c r="F6" s="366">
        <f>0.12*55000000/1.06/12</f>
        <v>518867.92452830198</v>
      </c>
      <c r="G6" s="366">
        <f t="shared" ref="G6:Q6" si="4">0.12*55000000/1.06/12</f>
        <v>518867.92452830198</v>
      </c>
      <c r="H6" s="366">
        <f t="shared" si="4"/>
        <v>518867.92452830198</v>
      </c>
      <c r="I6" s="366">
        <f t="shared" si="4"/>
        <v>518867.92452830198</v>
      </c>
      <c r="J6" s="366">
        <f t="shared" si="4"/>
        <v>518867.92452830198</v>
      </c>
      <c r="K6" s="366">
        <f t="shared" si="4"/>
        <v>518867.92452830198</v>
      </c>
      <c r="L6" s="366">
        <f t="shared" si="4"/>
        <v>518867.92452830198</v>
      </c>
      <c r="M6" s="366">
        <f t="shared" si="4"/>
        <v>518867.92452830198</v>
      </c>
      <c r="N6" s="366">
        <f t="shared" si="4"/>
        <v>518867.92452830198</v>
      </c>
      <c r="O6" s="366">
        <f t="shared" si="4"/>
        <v>518867.92452830198</v>
      </c>
      <c r="P6" s="366">
        <f t="shared" si="4"/>
        <v>518867.92452830198</v>
      </c>
      <c r="Q6" s="366">
        <f t="shared" si="4"/>
        <v>518867.92452830198</v>
      </c>
      <c r="R6" s="366">
        <f t="shared" si="1"/>
        <v>6226415.0943396203</v>
      </c>
      <c r="S6" s="367"/>
    </row>
    <row r="7" spans="2:20" ht="33" customHeight="1">
      <c r="B7" s="371" t="s">
        <v>2864</v>
      </c>
      <c r="C7" s="370"/>
      <c r="D7" s="372">
        <f>('[98]预测数-管理费0.12&amp;滚动更新5月实际数'!N77*1000)/([98]科目余额表!F75+[98]科目余额表!O85+[98]科目余额表!O87)</f>
        <v>1.16887662952376</v>
      </c>
      <c r="E7" s="366">
        <f>0.02*55000000/1.06/12/31*13</f>
        <v>36264.962467031903</v>
      </c>
      <c r="F7" s="366">
        <f t="shared" ref="F7:Q7" si="5">0.02*55000000/1.06/12</f>
        <v>86477.987421383601</v>
      </c>
      <c r="G7" s="366">
        <f t="shared" si="5"/>
        <v>86477.987421383601</v>
      </c>
      <c r="H7" s="366">
        <f t="shared" si="5"/>
        <v>86477.987421383601</v>
      </c>
      <c r="I7" s="366">
        <f t="shared" si="5"/>
        <v>86477.987421383601</v>
      </c>
      <c r="J7" s="366">
        <f t="shared" si="5"/>
        <v>86477.987421383601</v>
      </c>
      <c r="K7" s="366">
        <f t="shared" si="5"/>
        <v>86477.987421383601</v>
      </c>
      <c r="L7" s="366">
        <f t="shared" si="5"/>
        <v>86477.987421383601</v>
      </c>
      <c r="M7" s="366">
        <f t="shared" si="5"/>
        <v>86477.987421383601</v>
      </c>
      <c r="N7" s="366">
        <f t="shared" si="5"/>
        <v>86477.987421383601</v>
      </c>
      <c r="O7" s="366">
        <f t="shared" si="5"/>
        <v>86477.987421383601</v>
      </c>
      <c r="P7" s="366">
        <f t="shared" si="5"/>
        <v>86477.987421383601</v>
      </c>
      <c r="Q7" s="366">
        <f t="shared" si="5"/>
        <v>86477.987421383601</v>
      </c>
      <c r="R7" s="366">
        <f t="shared" ref="R7:R10" si="6">SUM(F7:Q7)</f>
        <v>1037735.8490566</v>
      </c>
      <c r="S7" s="367"/>
    </row>
    <row r="8" spans="2:20" ht="18" customHeight="1">
      <c r="B8" s="369" t="s">
        <v>2865</v>
      </c>
      <c r="C8" s="370"/>
      <c r="D8" s="370"/>
      <c r="E8" s="366"/>
      <c r="F8" s="366"/>
      <c r="G8" s="366"/>
      <c r="H8" s="366"/>
      <c r="I8" s="366"/>
      <c r="J8" s="366"/>
      <c r="K8" s="366"/>
      <c r="L8" s="366"/>
      <c r="M8" s="366"/>
      <c r="N8" s="366">
        <v>159516.04</v>
      </c>
      <c r="O8" s="366"/>
      <c r="P8" s="366"/>
      <c r="Q8" s="366"/>
      <c r="R8" s="366">
        <f t="shared" si="6"/>
        <v>159516.04</v>
      </c>
      <c r="S8" s="367"/>
    </row>
    <row r="9" spans="2:20" ht="18" customHeight="1">
      <c r="B9" s="369"/>
      <c r="C9" s="370"/>
      <c r="D9" s="370"/>
      <c r="E9" s="366"/>
      <c r="F9" s="366"/>
      <c r="G9" s="366"/>
      <c r="H9" s="366"/>
      <c r="I9" s="366"/>
      <c r="J9" s="366"/>
      <c r="K9" s="366"/>
      <c r="L9" s="366"/>
      <c r="M9" s="366"/>
      <c r="N9" s="366"/>
      <c r="O9" s="366"/>
      <c r="P9" s="366"/>
      <c r="Q9" s="366"/>
      <c r="R9" s="366">
        <f t="shared" si="6"/>
        <v>0</v>
      </c>
      <c r="S9" s="367"/>
    </row>
    <row r="10" spans="2:20" ht="18" customHeight="1">
      <c r="B10" s="373" t="s">
        <v>2866</v>
      </c>
      <c r="C10" s="374"/>
      <c r="D10" s="374"/>
      <c r="E10" s="375">
        <f>SUM(E6:E9)+E13</f>
        <v>253854.737269223</v>
      </c>
      <c r="F10" s="375">
        <f>SUM(F6:F9)+F13</f>
        <v>398975.781949686</v>
      </c>
      <c r="G10" s="375">
        <f t="shared" ref="G10:Q10" si="7">SUM(G6:G9)+G13</f>
        <v>367338.50194968597</v>
      </c>
      <c r="H10" s="375">
        <f t="shared" si="7"/>
        <v>364495.62194968603</v>
      </c>
      <c r="I10" s="375">
        <f t="shared" si="7"/>
        <v>364537.37194968603</v>
      </c>
      <c r="J10" s="375">
        <f t="shared" si="7"/>
        <v>353252.88194968598</v>
      </c>
      <c r="K10" s="375">
        <f t="shared" si="7"/>
        <v>332866.67565425503</v>
      </c>
      <c r="L10" s="375">
        <f t="shared" si="7"/>
        <v>355419.42129157198</v>
      </c>
      <c r="M10" s="375">
        <f t="shared" si="7"/>
        <v>355594.314555016</v>
      </c>
      <c r="N10" s="375">
        <f t="shared" si="7"/>
        <v>515410.35455501598</v>
      </c>
      <c r="O10" s="375">
        <f t="shared" si="7"/>
        <v>354754.57072275202</v>
      </c>
      <c r="P10" s="375">
        <f t="shared" si="7"/>
        <v>356254.14377652499</v>
      </c>
      <c r="Q10" s="375">
        <f t="shared" si="7"/>
        <v>357888.86626147799</v>
      </c>
      <c r="R10" s="375">
        <f t="shared" si="6"/>
        <v>4476788.50656504</v>
      </c>
      <c r="S10" s="367"/>
    </row>
    <row r="11" spans="2:20">
      <c r="E11" s="367"/>
      <c r="F11" s="367"/>
      <c r="G11" s="367"/>
      <c r="H11" s="367"/>
      <c r="I11" s="367"/>
      <c r="J11" s="367"/>
      <c r="K11" s="367"/>
      <c r="L11" s="367"/>
      <c r="M11" s="367"/>
      <c r="N11" s="367"/>
      <c r="O11" s="367"/>
      <c r="P11" s="367"/>
      <c r="Q11" s="367"/>
      <c r="R11" s="367"/>
      <c r="S11" s="367"/>
    </row>
    <row r="12" spans="2:20" s="358" customFormat="1" ht="18" customHeight="1">
      <c r="B12" s="376" t="s">
        <v>2867</v>
      </c>
      <c r="C12" s="362"/>
      <c r="D12" s="362"/>
      <c r="E12" s="363">
        <v>45657</v>
      </c>
      <c r="F12" s="377">
        <v>45688</v>
      </c>
      <c r="G12" s="377">
        <v>45716</v>
      </c>
      <c r="H12" s="377">
        <v>45747</v>
      </c>
      <c r="I12" s="377">
        <v>45777</v>
      </c>
      <c r="J12" s="377">
        <v>45808</v>
      </c>
      <c r="K12" s="363">
        <v>45838</v>
      </c>
      <c r="L12" s="363">
        <v>45869</v>
      </c>
      <c r="M12" s="363">
        <v>45900</v>
      </c>
      <c r="N12" s="363">
        <v>45930</v>
      </c>
      <c r="O12" s="363">
        <v>45961</v>
      </c>
      <c r="P12" s="363">
        <v>45991</v>
      </c>
      <c r="Q12" s="363">
        <v>46022</v>
      </c>
      <c r="R12" s="363" t="s">
        <v>2859</v>
      </c>
      <c r="T12" s="378"/>
    </row>
    <row r="13" spans="2:20" ht="18" customHeight="1">
      <c r="B13" s="379" t="s">
        <v>2868</v>
      </c>
      <c r="C13" s="380"/>
      <c r="D13" s="380"/>
      <c r="E13" s="381">
        <f t="shared" ref="E13:Q13" si="8">SUM(E14:E25)</f>
        <v>0</v>
      </c>
      <c r="F13" s="381">
        <f t="shared" si="8"/>
        <v>-206370.13</v>
      </c>
      <c r="G13" s="381">
        <f t="shared" si="8"/>
        <v>-238007.41</v>
      </c>
      <c r="H13" s="381">
        <f t="shared" si="8"/>
        <v>-240850.29</v>
      </c>
      <c r="I13" s="381">
        <f t="shared" si="8"/>
        <v>-240808.54</v>
      </c>
      <c r="J13" s="381">
        <f t="shared" si="8"/>
        <v>-252093.03</v>
      </c>
      <c r="K13" s="381">
        <f t="shared" si="8"/>
        <v>-272479.23629542999</v>
      </c>
      <c r="L13" s="381">
        <f t="shared" si="8"/>
        <v>-249926.49065811301</v>
      </c>
      <c r="M13" s="381">
        <f t="shared" si="8"/>
        <v>-249751.59739467001</v>
      </c>
      <c r="N13" s="381">
        <f t="shared" si="8"/>
        <v>-249451.59739467001</v>
      </c>
      <c r="O13" s="381">
        <f t="shared" si="8"/>
        <v>-250591.34122693399</v>
      </c>
      <c r="P13" s="381">
        <f t="shared" si="8"/>
        <v>-249091.76817316</v>
      </c>
      <c r="Q13" s="381">
        <f t="shared" si="8"/>
        <v>-247457.04568820799</v>
      </c>
      <c r="R13" s="381">
        <f>SUM(F13:Q13)</f>
        <v>-2946878.4768311898</v>
      </c>
      <c r="S13" s="367"/>
      <c r="T13" s="382"/>
    </row>
    <row r="14" spans="2:20" ht="18" customHeight="1">
      <c r="B14" s="369" t="s">
        <v>1303</v>
      </c>
      <c r="C14" s="383"/>
      <c r="D14" s="383" t="s">
        <v>1301</v>
      </c>
      <c r="E14" s="384"/>
      <c r="F14" s="384">
        <f>-[98]科目余额表!E97</f>
        <v>-193711.37</v>
      </c>
      <c r="G14" s="384">
        <f>-[98]科目余额表!G97</f>
        <v>-220125.79</v>
      </c>
      <c r="H14" s="384">
        <f>-[98]科目余额表!I97</f>
        <v>-220125.78</v>
      </c>
      <c r="I14" s="384">
        <f>-[98]科目余额表!K97</f>
        <v>-220125.79</v>
      </c>
      <c r="J14" s="384">
        <f>-[98]科目余额表!M97</f>
        <v>-220125.78</v>
      </c>
      <c r="K14" s="384">
        <f>J14</f>
        <v>-220125.78</v>
      </c>
      <c r="L14" s="384">
        <f t="shared" ref="L14:Q14" si="9">K14</f>
        <v>-220125.78</v>
      </c>
      <c r="M14" s="384">
        <f t="shared" si="9"/>
        <v>-220125.78</v>
      </c>
      <c r="N14" s="384">
        <f t="shared" si="9"/>
        <v>-220125.78</v>
      </c>
      <c r="O14" s="384">
        <f t="shared" si="9"/>
        <v>-220125.78</v>
      </c>
      <c r="P14" s="384">
        <f t="shared" si="9"/>
        <v>-220125.78</v>
      </c>
      <c r="Q14" s="384">
        <f t="shared" si="9"/>
        <v>-220125.78</v>
      </c>
      <c r="R14" s="384">
        <f t="shared" ref="R14:R25" si="10">SUM(F14:Q14)</f>
        <v>-2615094.9700000002</v>
      </c>
      <c r="S14" s="367"/>
      <c r="T14" s="382"/>
    </row>
    <row r="15" spans="2:20" ht="18" customHeight="1">
      <c r="B15" s="369" t="s">
        <v>2869</v>
      </c>
      <c r="C15" s="383"/>
      <c r="D15" s="383" t="s">
        <v>1309</v>
      </c>
      <c r="E15" s="384"/>
      <c r="F15" s="384">
        <f>-[98]科目余额表!E99</f>
        <v>0</v>
      </c>
      <c r="G15" s="384">
        <f>-[98]科目余额表!G99</f>
        <v>0</v>
      </c>
      <c r="H15" s="384">
        <f>-[98]科目余额表!I99</f>
        <v>0</v>
      </c>
      <c r="I15" s="384">
        <f>-[98]科目余额表!K99</f>
        <v>0</v>
      </c>
      <c r="J15" s="384">
        <f>-[98]科目余额表!M99</f>
        <v>-10388.049999999999</v>
      </c>
      <c r="K15" s="384">
        <f>(-SUM([98]发电收入!L19:L21)-[98]发电收入!J22)/1.06</f>
        <v>-31670.696295430102</v>
      </c>
      <c r="L15" s="384">
        <f>-[98]发电收入!J23/1.06</f>
        <v>-9117.95065811319</v>
      </c>
      <c r="M15" s="384">
        <f>-[98]发电收入!J24/1.06</f>
        <v>-8643.0573946697896</v>
      </c>
      <c r="N15" s="384">
        <f>-[98]发电收入!J24/1.06</f>
        <v>-8643.0573946697896</v>
      </c>
      <c r="O15" s="384">
        <f>-[98]发电收入!J26/1.06</f>
        <v>-9782.8012269339597</v>
      </c>
      <c r="P15" s="384">
        <f>-[98]发电收入!J27/1.06</f>
        <v>-7883.2281731603598</v>
      </c>
      <c r="Q15" s="384">
        <f>-[98]发电收入!J28/1.06</f>
        <v>-6648.5056882075296</v>
      </c>
      <c r="R15" s="384">
        <f t="shared" si="10"/>
        <v>-92777.346831184695</v>
      </c>
      <c r="S15" s="367"/>
    </row>
    <row r="16" spans="2:20" ht="18" customHeight="1">
      <c r="B16" s="369" t="s">
        <v>1327</v>
      </c>
      <c r="C16" s="383"/>
      <c r="D16" s="383" t="s">
        <v>1325</v>
      </c>
      <c r="E16" s="384"/>
      <c r="F16" s="384">
        <f>-[98]科目余额表!E101</f>
        <v>-8698.36</v>
      </c>
      <c r="G16" s="384">
        <f>-[98]科目余额表!G101</f>
        <v>-8698.36</v>
      </c>
      <c r="H16" s="384">
        <f>-[98]科目余额表!I101</f>
        <v>-8698.36</v>
      </c>
      <c r="I16" s="384">
        <f>-[98]科目余额表!K101</f>
        <v>-8698.36</v>
      </c>
      <c r="J16" s="384">
        <f>-[98]科目余额表!M101</f>
        <v>-8698.36</v>
      </c>
      <c r="K16" s="384">
        <f>J16</f>
        <v>-8698.36</v>
      </c>
      <c r="L16" s="384">
        <f t="shared" ref="L16:Q21" si="11">K16</f>
        <v>-8698.36</v>
      </c>
      <c r="M16" s="384">
        <f t="shared" si="11"/>
        <v>-8698.36</v>
      </c>
      <c r="N16" s="384">
        <f t="shared" si="11"/>
        <v>-8698.36</v>
      </c>
      <c r="O16" s="384">
        <f t="shared" si="11"/>
        <v>-8698.36</v>
      </c>
      <c r="P16" s="384">
        <f t="shared" si="11"/>
        <v>-8698.36</v>
      </c>
      <c r="Q16" s="384">
        <f t="shared" si="11"/>
        <v>-8698.36</v>
      </c>
      <c r="R16" s="384">
        <f t="shared" si="10"/>
        <v>-104380.32</v>
      </c>
      <c r="S16" s="367"/>
    </row>
    <row r="17" spans="2:20" ht="18" customHeight="1">
      <c r="B17" s="369" t="s">
        <v>2870</v>
      </c>
      <c r="C17" s="383"/>
      <c r="D17" s="383" t="s">
        <v>1432</v>
      </c>
      <c r="E17" s="384"/>
      <c r="F17" s="384">
        <f>-[98]科目余额表!E114</f>
        <v>0</v>
      </c>
      <c r="G17" s="384">
        <f>-[98]科目余额表!G114</f>
        <v>-3287.36</v>
      </c>
      <c r="H17" s="384">
        <f>-[98]科目余额表!I114</f>
        <v>-5500</v>
      </c>
      <c r="I17" s="384">
        <f>-[98]科目余额表!K113</f>
        <v>-5500</v>
      </c>
      <c r="J17" s="384">
        <f>-[98]科目余额表!M114</f>
        <v>-5500</v>
      </c>
      <c r="K17" s="384">
        <f>J17</f>
        <v>-5500</v>
      </c>
      <c r="L17" s="384">
        <f t="shared" si="11"/>
        <v>-5500</v>
      </c>
      <c r="M17" s="384">
        <f t="shared" si="11"/>
        <v>-5500</v>
      </c>
      <c r="N17" s="384">
        <f t="shared" si="11"/>
        <v>-5500</v>
      </c>
      <c r="O17" s="384">
        <f t="shared" si="11"/>
        <v>-5500</v>
      </c>
      <c r="P17" s="384">
        <f t="shared" si="11"/>
        <v>-5500</v>
      </c>
      <c r="Q17" s="384">
        <f t="shared" si="11"/>
        <v>-5500</v>
      </c>
      <c r="R17" s="384">
        <f t="shared" si="10"/>
        <v>-58287.360000000001</v>
      </c>
      <c r="S17" s="367"/>
    </row>
    <row r="18" spans="2:20" ht="18" customHeight="1">
      <c r="B18" s="369" t="s">
        <v>2871</v>
      </c>
      <c r="C18" s="383"/>
      <c r="D18" s="383" t="s">
        <v>1497</v>
      </c>
      <c r="E18" s="384"/>
      <c r="F18" s="384">
        <f>-[98]科目余额表!E116</f>
        <v>0</v>
      </c>
      <c r="G18" s="384">
        <f>-[98]科目余额表!G116</f>
        <v>-995.5</v>
      </c>
      <c r="H18" s="384">
        <f>-[98]科目余额表!I116</f>
        <v>-1474</v>
      </c>
      <c r="I18" s="384">
        <f>-[98]科目余额表!K116</f>
        <v>-1474</v>
      </c>
      <c r="J18" s="384">
        <f>-[98]科目余额表!M116</f>
        <v>-1474</v>
      </c>
      <c r="K18" s="384">
        <f>J18</f>
        <v>-1474</v>
      </c>
      <c r="L18" s="384">
        <f t="shared" si="11"/>
        <v>-1474</v>
      </c>
      <c r="M18" s="384">
        <f t="shared" si="11"/>
        <v>-1474</v>
      </c>
      <c r="N18" s="384">
        <f t="shared" si="11"/>
        <v>-1474</v>
      </c>
      <c r="O18" s="384">
        <f t="shared" si="11"/>
        <v>-1474</v>
      </c>
      <c r="P18" s="384">
        <f t="shared" si="11"/>
        <v>-1474</v>
      </c>
      <c r="Q18" s="384">
        <f t="shared" si="11"/>
        <v>-1474</v>
      </c>
      <c r="R18" s="384">
        <f t="shared" si="10"/>
        <v>-15735.5</v>
      </c>
      <c r="S18" s="367"/>
    </row>
    <row r="19" spans="2:20" ht="18" customHeight="1">
      <c r="B19" s="369" t="s">
        <v>2872</v>
      </c>
      <c r="C19" s="383"/>
      <c r="D19" s="383" t="s">
        <v>1502</v>
      </c>
      <c r="E19" s="384"/>
      <c r="F19" s="384">
        <f>-[98]科目余额表!E117</f>
        <v>0</v>
      </c>
      <c r="G19" s="384">
        <f>-[98]科目余额表!G117</f>
        <v>-440</v>
      </c>
      <c r="H19" s="384">
        <f>-[98]科目余额表!I117</f>
        <v>-440</v>
      </c>
      <c r="I19" s="384">
        <f>-[98]科目余额表!K117</f>
        <v>-440</v>
      </c>
      <c r="J19" s="384">
        <f>-[98]科目余额表!M117</f>
        <v>-440</v>
      </c>
      <c r="K19" s="384">
        <f>J19</f>
        <v>-440</v>
      </c>
      <c r="L19" s="384">
        <f t="shared" si="11"/>
        <v>-440</v>
      </c>
      <c r="M19" s="384">
        <f t="shared" si="11"/>
        <v>-440</v>
      </c>
      <c r="N19" s="384">
        <f t="shared" si="11"/>
        <v>-440</v>
      </c>
      <c r="O19" s="384">
        <f t="shared" si="11"/>
        <v>-440</v>
      </c>
      <c r="P19" s="384">
        <f t="shared" si="11"/>
        <v>-440</v>
      </c>
      <c r="Q19" s="384">
        <f t="shared" si="11"/>
        <v>-440</v>
      </c>
      <c r="R19" s="384">
        <f t="shared" si="10"/>
        <v>-4840</v>
      </c>
      <c r="S19" s="367"/>
    </row>
    <row r="20" spans="2:20" ht="18" customHeight="1">
      <c r="B20" s="369" t="s">
        <v>2873</v>
      </c>
      <c r="C20" s="383"/>
      <c r="D20" s="383" t="s">
        <v>1514</v>
      </c>
      <c r="E20" s="384"/>
      <c r="F20" s="384">
        <f>-[98]科目余额表!E119</f>
        <v>-3960.4</v>
      </c>
      <c r="G20" s="385">
        <f>-[98]科目余额表!G119</f>
        <v>-3960.4</v>
      </c>
      <c r="H20" s="385">
        <f>-[98]科目余额表!I119</f>
        <v>-3960.4</v>
      </c>
      <c r="I20" s="385">
        <f>-[98]科目余额表!K119</f>
        <v>-3960.39</v>
      </c>
      <c r="J20" s="385">
        <f>-[98]科目余额表!M119</f>
        <v>-3960.4</v>
      </c>
      <c r="K20" s="384">
        <f>J20</f>
        <v>-3960.4</v>
      </c>
      <c r="L20" s="384">
        <f t="shared" si="11"/>
        <v>-3960.4</v>
      </c>
      <c r="M20" s="384">
        <f t="shared" si="11"/>
        <v>-3960.4</v>
      </c>
      <c r="N20" s="384">
        <f t="shared" si="11"/>
        <v>-3960.4</v>
      </c>
      <c r="O20" s="384">
        <f t="shared" si="11"/>
        <v>-3960.4</v>
      </c>
      <c r="P20" s="384">
        <f t="shared" si="11"/>
        <v>-3960.4</v>
      </c>
      <c r="Q20" s="384">
        <f t="shared" si="11"/>
        <v>-3960.4</v>
      </c>
      <c r="R20" s="384">
        <f t="shared" si="10"/>
        <v>-47524.79</v>
      </c>
      <c r="S20" s="367"/>
    </row>
    <row r="21" spans="2:20" ht="18" customHeight="1">
      <c r="B21" s="369" t="s">
        <v>2874</v>
      </c>
      <c r="C21" s="383"/>
      <c r="D21" s="383" t="s">
        <v>1544</v>
      </c>
      <c r="E21" s="384"/>
      <c r="F21" s="384">
        <f>-[98]科目余额表!E121</f>
        <v>0</v>
      </c>
      <c r="G21" s="384">
        <f>-[98]科目余额表!G121</f>
        <v>-500</v>
      </c>
      <c r="H21" s="384">
        <f>-[98]科目余额表!I121</f>
        <v>0</v>
      </c>
      <c r="I21" s="384">
        <f>-[98]科目余额表!K121</f>
        <v>-500</v>
      </c>
      <c r="J21" s="384">
        <f>-[98]科目余额表!M121</f>
        <v>-1000</v>
      </c>
      <c r="K21" s="384">
        <f>J21/2</f>
        <v>-500</v>
      </c>
      <c r="L21" s="384">
        <f>K21</f>
        <v>-500</v>
      </c>
      <c r="M21" s="384">
        <f t="shared" si="11"/>
        <v>-500</v>
      </c>
      <c r="N21" s="384">
        <f t="shared" si="11"/>
        <v>-500</v>
      </c>
      <c r="O21" s="384">
        <f t="shared" si="11"/>
        <v>-500</v>
      </c>
      <c r="P21" s="384">
        <f t="shared" si="11"/>
        <v>-500</v>
      </c>
      <c r="Q21" s="384">
        <f t="shared" si="11"/>
        <v>-500</v>
      </c>
      <c r="R21" s="384">
        <f t="shared" si="10"/>
        <v>-5500</v>
      </c>
      <c r="S21" s="367"/>
    </row>
    <row r="22" spans="2:20" ht="18" customHeight="1">
      <c r="B22" s="369" t="s">
        <v>2875</v>
      </c>
      <c r="C22" s="383"/>
      <c r="D22" s="383" t="s">
        <v>1646</v>
      </c>
      <c r="E22" s="384"/>
      <c r="F22" s="384">
        <f>-[98]科目余额表!E124</f>
        <v>0</v>
      </c>
      <c r="G22" s="384">
        <f>-[98]科目余额表!G124</f>
        <v>0</v>
      </c>
      <c r="H22" s="384">
        <f>-[98]科目余额表!I124</f>
        <v>-210</v>
      </c>
      <c r="I22" s="384">
        <f>-[98]科目余额表!K124</f>
        <v>0</v>
      </c>
      <c r="J22" s="384">
        <f>-[98]科目余额表!M124</f>
        <v>-33.9</v>
      </c>
      <c r="K22" s="384"/>
      <c r="L22" s="384"/>
      <c r="M22" s="384"/>
      <c r="N22" s="384"/>
      <c r="O22" s="384"/>
      <c r="P22" s="384">
        <v>-100</v>
      </c>
      <c r="Q22" s="384"/>
      <c r="R22" s="384">
        <f t="shared" si="10"/>
        <v>-343.9</v>
      </c>
      <c r="S22" s="367"/>
    </row>
    <row r="23" spans="2:20" ht="18" customHeight="1">
      <c r="B23" s="369" t="s">
        <v>2876</v>
      </c>
      <c r="C23" s="383"/>
      <c r="D23" s="383" t="s">
        <v>1657</v>
      </c>
      <c r="E23" s="384"/>
      <c r="F23" s="384">
        <f>-[98]科目余额表!E125</f>
        <v>0</v>
      </c>
      <c r="G23" s="384">
        <f>-[98]科目余额表!G125</f>
        <v>0</v>
      </c>
      <c r="H23" s="384">
        <f>-[98]科目余额表!I125</f>
        <v>-18</v>
      </c>
      <c r="I23" s="384">
        <f>-[98]科目余额表!K125</f>
        <v>0</v>
      </c>
      <c r="J23" s="384">
        <f>-[98]科目余额表!M125</f>
        <v>0</v>
      </c>
      <c r="K23" s="384"/>
      <c r="L23" s="384"/>
      <c r="M23" s="384"/>
      <c r="N23" s="384"/>
      <c r="O23" s="384"/>
      <c r="P23" s="384"/>
      <c r="Q23" s="384"/>
      <c r="R23" s="384">
        <f t="shared" si="10"/>
        <v>-18</v>
      </c>
      <c r="S23" s="367"/>
    </row>
    <row r="24" spans="2:20" ht="18" customHeight="1">
      <c r="B24" s="369" t="s">
        <v>2877</v>
      </c>
      <c r="C24" s="383"/>
      <c r="D24" s="383" t="s">
        <v>1699</v>
      </c>
      <c r="E24" s="384"/>
      <c r="F24" s="384">
        <f>-[98]科目余额表!E127</f>
        <v>0</v>
      </c>
      <c r="G24" s="384">
        <f>-[98]科目余额表!G127</f>
        <v>0</v>
      </c>
      <c r="H24" s="384">
        <f>-[98]科目余额表!I127</f>
        <v>-248</v>
      </c>
      <c r="I24" s="384">
        <f>-[98]科目余额表!K127</f>
        <v>0</v>
      </c>
      <c r="J24" s="384">
        <f>-[98]科目余额表!M127</f>
        <v>-362.54</v>
      </c>
      <c r="K24" s="384"/>
      <c r="L24" s="384"/>
      <c r="M24" s="384">
        <v>-300</v>
      </c>
      <c r="N24" s="384"/>
      <c r="O24" s="384"/>
      <c r="P24" s="384">
        <v>-300</v>
      </c>
      <c r="Q24" s="384"/>
      <c r="R24" s="384">
        <f t="shared" si="10"/>
        <v>-1210.54</v>
      </c>
      <c r="S24" s="367"/>
    </row>
    <row r="25" spans="2:20" ht="18" customHeight="1">
      <c r="B25" s="369" t="s">
        <v>1877</v>
      </c>
      <c r="C25" s="383"/>
      <c r="D25" s="383" t="s">
        <v>1876</v>
      </c>
      <c r="E25" s="384"/>
      <c r="F25" s="384">
        <f>-[98]科目余额表!E128</f>
        <v>0</v>
      </c>
      <c r="G25" s="384">
        <f>-[98]科目余额表!G128</f>
        <v>0</v>
      </c>
      <c r="H25" s="384">
        <f>-[98]科目余额表!I128</f>
        <v>-175.75</v>
      </c>
      <c r="I25" s="384">
        <f>-[98]科目余额表!K128</f>
        <v>-110</v>
      </c>
      <c r="J25" s="384">
        <f>-[98]科目余额表!M128</f>
        <v>-110</v>
      </c>
      <c r="K25" s="384">
        <f>J25</f>
        <v>-110</v>
      </c>
      <c r="L25" s="384">
        <f t="shared" ref="L25:Q25" si="12">K25</f>
        <v>-110</v>
      </c>
      <c r="M25" s="384">
        <f t="shared" si="12"/>
        <v>-110</v>
      </c>
      <c r="N25" s="384">
        <f t="shared" si="12"/>
        <v>-110</v>
      </c>
      <c r="O25" s="384">
        <f t="shared" si="12"/>
        <v>-110</v>
      </c>
      <c r="P25" s="384">
        <f t="shared" si="12"/>
        <v>-110</v>
      </c>
      <c r="Q25" s="384">
        <f t="shared" si="12"/>
        <v>-110</v>
      </c>
      <c r="R25" s="384">
        <f t="shared" si="10"/>
        <v>-1165.75</v>
      </c>
      <c r="S25" s="367"/>
    </row>
    <row r="26" spans="2:20" ht="18" customHeight="1">
      <c r="B26" s="386"/>
      <c r="C26" s="387"/>
      <c r="D26" s="387"/>
      <c r="E26" s="388"/>
      <c r="F26" s="388"/>
      <c r="G26" s="388"/>
      <c r="H26" s="388"/>
      <c r="I26" s="388"/>
      <c r="J26" s="388"/>
      <c r="K26" s="388"/>
      <c r="L26" s="388"/>
      <c r="M26" s="388"/>
      <c r="N26" s="388"/>
      <c r="O26" s="388"/>
      <c r="P26" s="388"/>
      <c r="Q26" s="388"/>
      <c r="R26" s="388"/>
      <c r="S26" s="367"/>
    </row>
    <row r="27" spans="2:20">
      <c r="E27" s="367"/>
      <c r="F27" s="367"/>
      <c r="G27" s="367"/>
      <c r="H27" s="367"/>
      <c r="I27" s="367"/>
      <c r="J27" s="367"/>
      <c r="K27" s="367"/>
      <c r="L27" s="367"/>
      <c r="M27" s="367"/>
      <c r="N27" s="367"/>
      <c r="O27" s="367"/>
      <c r="P27" s="367"/>
      <c r="Q27" s="367"/>
      <c r="R27" s="367"/>
      <c r="S27" s="367"/>
    </row>
    <row r="28" spans="2:20" s="358" customFormat="1" ht="18" customHeight="1">
      <c r="B28" s="376" t="s">
        <v>2867</v>
      </c>
      <c r="C28" s="389"/>
      <c r="D28" s="389"/>
      <c r="E28" s="377">
        <v>45657</v>
      </c>
      <c r="F28" s="377">
        <v>45688</v>
      </c>
      <c r="G28" s="377">
        <v>45716</v>
      </c>
      <c r="H28" s="377">
        <v>45747</v>
      </c>
      <c r="I28" s="377">
        <v>45777</v>
      </c>
      <c r="J28" s="377">
        <v>45808</v>
      </c>
      <c r="K28" s="363">
        <v>45838</v>
      </c>
      <c r="L28" s="363">
        <v>45869</v>
      </c>
      <c r="M28" s="363">
        <v>45900</v>
      </c>
      <c r="N28" s="363">
        <v>45930</v>
      </c>
      <c r="O28" s="363">
        <v>45961</v>
      </c>
      <c r="P28" s="363">
        <v>45991</v>
      </c>
      <c r="Q28" s="363">
        <v>46022</v>
      </c>
      <c r="R28" s="363" t="s">
        <v>2859</v>
      </c>
      <c r="T28" s="378"/>
    </row>
    <row r="29" spans="2:20" ht="18" customHeight="1">
      <c r="B29" s="379" t="s">
        <v>2878</v>
      </c>
      <c r="C29" s="380"/>
      <c r="D29" s="380"/>
      <c r="E29" s="381">
        <f t="shared" ref="E29:Q29" si="13">SUM(E30:E41)</f>
        <v>0</v>
      </c>
      <c r="F29" s="381">
        <f t="shared" si="13"/>
        <v>0</v>
      </c>
      <c r="G29" s="381">
        <f t="shared" si="13"/>
        <v>-4739.3599999999997</v>
      </c>
      <c r="H29" s="381">
        <f t="shared" si="13"/>
        <v>-707939.25</v>
      </c>
      <c r="I29" s="381">
        <f t="shared" si="13"/>
        <v>-20524</v>
      </c>
      <c r="J29" s="381">
        <f t="shared" si="13"/>
        <v>-18931.77</v>
      </c>
      <c r="K29" s="381">
        <f t="shared" si="13"/>
        <v>-707524</v>
      </c>
      <c r="L29" s="381">
        <f t="shared" si="13"/>
        <v>-45362.811999999998</v>
      </c>
      <c r="M29" s="381">
        <f t="shared" si="13"/>
        <v>-7924</v>
      </c>
      <c r="N29" s="381">
        <f t="shared" si="13"/>
        <v>-735582.79460910603</v>
      </c>
      <c r="O29" s="381">
        <f t="shared" si="13"/>
        <v>-21424</v>
      </c>
      <c r="P29" s="381">
        <f t="shared" si="13"/>
        <v>-7524</v>
      </c>
      <c r="Q29" s="381">
        <f t="shared" si="13"/>
        <v>-734402.14879655</v>
      </c>
      <c r="R29" s="381">
        <f>SUM(F29:Q29)</f>
        <v>-3011878.1354056601</v>
      </c>
      <c r="S29" s="367"/>
      <c r="T29" s="382"/>
    </row>
    <row r="30" spans="2:20" ht="18" customHeight="1">
      <c r="B30" s="369" t="s">
        <v>1303</v>
      </c>
      <c r="C30" s="383"/>
      <c r="D30" s="383"/>
      <c r="E30" s="384"/>
      <c r="F30" s="384"/>
      <c r="G30" s="384"/>
      <c r="H30" s="384">
        <v>-700000</v>
      </c>
      <c r="I30" s="384"/>
      <c r="J30" s="384"/>
      <c r="K30" s="384">
        <v>-700000</v>
      </c>
      <c r="L30" s="384"/>
      <c r="M30" s="384"/>
      <c r="N30" s="384">
        <v>-700000</v>
      </c>
      <c r="O30" s="384"/>
      <c r="P30" s="384"/>
      <c r="Q30" s="384">
        <v>-700000</v>
      </c>
      <c r="R30" s="384">
        <f t="shared" ref="R30:R56" si="14">SUM(F30:Q30)</f>
        <v>-2800000</v>
      </c>
      <c r="S30" s="367"/>
      <c r="T30" s="382"/>
    </row>
    <row r="31" spans="2:20" ht="18" customHeight="1">
      <c r="B31" s="369" t="s">
        <v>2869</v>
      </c>
      <c r="C31" s="383"/>
      <c r="D31" s="383"/>
      <c r="E31" s="384"/>
      <c r="F31" s="384"/>
      <c r="G31" s="384"/>
      <c r="H31" s="384"/>
      <c r="I31" s="384"/>
      <c r="J31" s="384">
        <v>-11011.33</v>
      </c>
      <c r="K31" s="384"/>
      <c r="L31" s="384">
        <f>-([98]发电收入!L19+[98]发电收入!L20+[98]发电收入!L21)*1</f>
        <v>-24338.812000000002</v>
      </c>
      <c r="M31" s="384"/>
      <c r="N31" s="384">
        <f>-([98]发电收入!J22+[98]发电收入!J23+[98]发电收入!J24)*1</f>
        <v>-28058.7946091058</v>
      </c>
      <c r="O31" s="384"/>
      <c r="P31" s="384"/>
      <c r="Q31" s="384">
        <f>-([98]发电收入!J25+[98]发电收入!J26+[98]发电收入!J27)*1</f>
        <v>-26478.148796549998</v>
      </c>
      <c r="R31" s="384">
        <f t="shared" si="14"/>
        <v>-89887.085405655802</v>
      </c>
      <c r="S31" s="367"/>
    </row>
    <row r="32" spans="2:20" ht="18" customHeight="1">
      <c r="B32" s="369" t="s">
        <v>1327</v>
      </c>
      <c r="C32" s="383"/>
      <c r="D32" s="383"/>
      <c r="E32" s="384"/>
      <c r="F32" s="384"/>
      <c r="G32" s="384"/>
      <c r="H32" s="384"/>
      <c r="I32" s="384"/>
      <c r="J32" s="384"/>
      <c r="K32" s="384"/>
      <c r="L32" s="384"/>
      <c r="M32" s="384"/>
      <c r="N32" s="384"/>
      <c r="O32" s="384"/>
      <c r="P32" s="384"/>
      <c r="Q32" s="384"/>
      <c r="R32" s="384">
        <f t="shared" si="14"/>
        <v>0</v>
      </c>
      <c r="S32" s="367"/>
    </row>
    <row r="33" spans="2:19" ht="18" customHeight="1">
      <c r="B33" s="369" t="s">
        <v>2870</v>
      </c>
      <c r="C33" s="383"/>
      <c r="D33" s="383"/>
      <c r="E33" s="384"/>
      <c r="F33" s="384"/>
      <c r="G33" s="384">
        <v>-2407.36</v>
      </c>
      <c r="H33" s="384">
        <v>-4462</v>
      </c>
      <c r="I33" s="384">
        <v>-4478.5</v>
      </c>
      <c r="J33" s="384">
        <v>-4478.5</v>
      </c>
      <c r="K33" s="384">
        <v>-4478.5</v>
      </c>
      <c r="L33" s="384">
        <v>-4478.5</v>
      </c>
      <c r="M33" s="384">
        <v>-4478.5</v>
      </c>
      <c r="N33" s="384">
        <v>-4478.5</v>
      </c>
      <c r="O33" s="384">
        <v>-4478.5</v>
      </c>
      <c r="P33" s="384">
        <v>-4478.5</v>
      </c>
      <c r="Q33" s="384">
        <v>-4478.5</v>
      </c>
      <c r="R33" s="384">
        <f t="shared" si="14"/>
        <v>-47175.86</v>
      </c>
      <c r="S33" s="367"/>
    </row>
    <row r="34" spans="2:19" ht="18" customHeight="1">
      <c r="B34" s="369" t="s">
        <v>2871</v>
      </c>
      <c r="C34" s="383"/>
      <c r="D34" s="383"/>
      <c r="E34" s="384"/>
      <c r="F34" s="384"/>
      <c r="G34" s="384">
        <v>-1452</v>
      </c>
      <c r="H34" s="384">
        <v>-2055.5</v>
      </c>
      <c r="I34" s="384">
        <v>-2055.5</v>
      </c>
      <c r="J34" s="384">
        <v>-2055.5</v>
      </c>
      <c r="K34" s="384">
        <v>-2055.5</v>
      </c>
      <c r="L34" s="384">
        <v>-2055.5</v>
      </c>
      <c r="M34" s="384">
        <v>-2055.5</v>
      </c>
      <c r="N34" s="384">
        <v>-2055.5</v>
      </c>
      <c r="O34" s="384">
        <v>-2055.5</v>
      </c>
      <c r="P34" s="384">
        <v>-2055.5</v>
      </c>
      <c r="Q34" s="384">
        <v>-2055.5</v>
      </c>
      <c r="R34" s="384">
        <f t="shared" si="14"/>
        <v>-22007</v>
      </c>
      <c r="S34" s="367"/>
    </row>
    <row r="35" spans="2:19" ht="18" customHeight="1">
      <c r="B35" s="369" t="s">
        <v>2872</v>
      </c>
      <c r="C35" s="383"/>
      <c r="D35" s="383"/>
      <c r="E35" s="384"/>
      <c r="F35" s="384"/>
      <c r="G35" s="384">
        <v>-880</v>
      </c>
      <c r="H35" s="384">
        <v>-880</v>
      </c>
      <c r="I35" s="384">
        <v>-880</v>
      </c>
      <c r="J35" s="384">
        <v>-880</v>
      </c>
      <c r="K35" s="384">
        <v>-880</v>
      </c>
      <c r="L35" s="384">
        <v>-880</v>
      </c>
      <c r="M35" s="384">
        <v>-880</v>
      </c>
      <c r="N35" s="384">
        <v>-880</v>
      </c>
      <c r="O35" s="384">
        <v>-880</v>
      </c>
      <c r="P35" s="384">
        <v>-880</v>
      </c>
      <c r="Q35" s="384">
        <v>-880</v>
      </c>
      <c r="R35" s="384">
        <f t="shared" si="14"/>
        <v>-9680</v>
      </c>
      <c r="S35" s="367"/>
    </row>
    <row r="36" spans="2:19" ht="18" customHeight="1">
      <c r="B36" s="369" t="s">
        <v>2873</v>
      </c>
      <c r="C36" s="383"/>
      <c r="D36" s="383"/>
      <c r="E36" s="384"/>
      <c r="F36" s="384"/>
      <c r="G36" s="385"/>
      <c r="H36" s="385"/>
      <c r="I36" s="385">
        <v>-12000</v>
      </c>
      <c r="J36" s="385"/>
      <c r="K36" s="384"/>
      <c r="L36" s="384">
        <v>-12000</v>
      </c>
      <c r="M36" s="384"/>
      <c r="N36" s="384"/>
      <c r="O36" s="384">
        <v>-12000</v>
      </c>
      <c r="P36" s="384"/>
      <c r="Q36" s="384"/>
      <c r="R36" s="384">
        <f t="shared" si="14"/>
        <v>-36000</v>
      </c>
      <c r="S36" s="367"/>
    </row>
    <row r="37" spans="2:19" ht="18" customHeight="1">
      <c r="B37" s="369" t="s">
        <v>2874</v>
      </c>
      <c r="C37" s="383"/>
      <c r="D37" s="383"/>
      <c r="E37" s="384"/>
      <c r="F37" s="384"/>
      <c r="G37" s="384"/>
      <c r="H37" s="384"/>
      <c r="I37" s="384">
        <v>-1000</v>
      </c>
      <c r="J37" s="384"/>
      <c r="K37" s="384"/>
      <c r="L37" s="384">
        <v>-1500</v>
      </c>
      <c r="M37" s="384"/>
      <c r="N37" s="384"/>
      <c r="O37" s="384">
        <v>-1500</v>
      </c>
      <c r="P37" s="384"/>
      <c r="Q37" s="384"/>
      <c r="R37" s="384">
        <f t="shared" si="14"/>
        <v>-4000</v>
      </c>
      <c r="S37" s="367"/>
    </row>
    <row r="38" spans="2:19" ht="18" customHeight="1">
      <c r="B38" s="369" t="s">
        <v>2875</v>
      </c>
      <c r="C38" s="383"/>
      <c r="D38" s="383"/>
      <c r="E38" s="384"/>
      <c r="F38" s="384"/>
      <c r="G38" s="384"/>
      <c r="H38" s="384"/>
      <c r="I38" s="384"/>
      <c r="J38" s="384"/>
      <c r="K38" s="384"/>
      <c r="L38" s="384"/>
      <c r="M38" s="384"/>
      <c r="N38" s="384"/>
      <c r="O38" s="384"/>
      <c r="P38" s="384"/>
      <c r="Q38" s="384"/>
      <c r="R38" s="384">
        <f t="shared" si="14"/>
        <v>0</v>
      </c>
      <c r="S38" s="367"/>
    </row>
    <row r="39" spans="2:19" ht="18" customHeight="1">
      <c r="B39" s="369" t="s">
        <v>2876</v>
      </c>
      <c r="C39" s="383"/>
      <c r="D39" s="383"/>
      <c r="E39" s="384"/>
      <c r="F39" s="384"/>
      <c r="G39" s="384"/>
      <c r="H39" s="384"/>
      <c r="I39" s="384"/>
      <c r="J39" s="384"/>
      <c r="K39" s="384"/>
      <c r="L39" s="384"/>
      <c r="M39" s="384"/>
      <c r="N39" s="384"/>
      <c r="O39" s="384"/>
      <c r="P39" s="384"/>
      <c r="Q39" s="384"/>
      <c r="R39" s="384">
        <f t="shared" si="14"/>
        <v>0</v>
      </c>
      <c r="S39" s="367"/>
    </row>
    <row r="40" spans="2:19" ht="18" customHeight="1">
      <c r="B40" s="369" t="s">
        <v>2877</v>
      </c>
      <c r="C40" s="383"/>
      <c r="D40" s="383"/>
      <c r="E40" s="384"/>
      <c r="F40" s="384"/>
      <c r="G40" s="384"/>
      <c r="H40" s="384">
        <v>-476</v>
      </c>
      <c r="I40" s="384"/>
      <c r="J40" s="384">
        <v>-396.44</v>
      </c>
      <c r="K40" s="384"/>
      <c r="L40" s="384"/>
      <c r="M40" s="384">
        <v>-400</v>
      </c>
      <c r="N40" s="384"/>
      <c r="O40" s="384">
        <v>-400</v>
      </c>
      <c r="P40" s="384"/>
      <c r="Q40" s="384">
        <v>-400</v>
      </c>
      <c r="R40" s="384">
        <f t="shared" si="14"/>
        <v>-2072.44</v>
      </c>
      <c r="S40" s="367"/>
    </row>
    <row r="41" spans="2:19" ht="18" customHeight="1">
      <c r="B41" s="369" t="s">
        <v>1877</v>
      </c>
      <c r="C41" s="383"/>
      <c r="D41" s="383"/>
      <c r="E41" s="384"/>
      <c r="F41" s="384"/>
      <c r="G41" s="384"/>
      <c r="H41" s="384">
        <v>-65.75</v>
      </c>
      <c r="I41" s="384">
        <v>-110</v>
      </c>
      <c r="J41" s="384">
        <v>-110</v>
      </c>
      <c r="K41" s="384">
        <v>-110</v>
      </c>
      <c r="L41" s="384">
        <v>-110</v>
      </c>
      <c r="M41" s="384">
        <v>-110</v>
      </c>
      <c r="N41" s="384">
        <v>-110</v>
      </c>
      <c r="O41" s="384">
        <v>-110</v>
      </c>
      <c r="P41" s="384">
        <v>-110</v>
      </c>
      <c r="Q41" s="384">
        <v>-110</v>
      </c>
      <c r="R41" s="384">
        <f t="shared" si="14"/>
        <v>-1055.75</v>
      </c>
      <c r="S41" s="367"/>
    </row>
    <row r="42" spans="2:19" ht="19.5" customHeight="1">
      <c r="B42" s="390" t="s">
        <v>2879</v>
      </c>
      <c r="C42" s="391"/>
      <c r="D42" s="391"/>
      <c r="E42" s="392">
        <f>SUM(E43:E54)</f>
        <v>0</v>
      </c>
      <c r="F42" s="393">
        <f t="shared" ref="F42:Q42" si="15">SUM(F43:F54)</f>
        <v>-2627717</v>
      </c>
      <c r="G42" s="393">
        <f t="shared" si="15"/>
        <v>-1100885</v>
      </c>
      <c r="H42" s="392">
        <f t="shared" si="15"/>
        <v>0</v>
      </c>
      <c r="I42" s="393">
        <f t="shared" si="15"/>
        <v>-1522422.4</v>
      </c>
      <c r="J42" s="393">
        <f t="shared" si="15"/>
        <v>-226878</v>
      </c>
      <c r="K42" s="392">
        <f t="shared" si="15"/>
        <v>0</v>
      </c>
      <c r="L42" s="392">
        <f t="shared" si="15"/>
        <v>-468240</v>
      </c>
      <c r="M42" s="392">
        <f t="shared" si="15"/>
        <v>-69400</v>
      </c>
      <c r="N42" s="392">
        <f t="shared" si="15"/>
        <v>-254127.21</v>
      </c>
      <c r="O42" s="392">
        <f t="shared" si="15"/>
        <v>0</v>
      </c>
      <c r="P42" s="392">
        <f t="shared" si="15"/>
        <v>0</v>
      </c>
      <c r="Q42" s="392">
        <f t="shared" si="15"/>
        <v>0</v>
      </c>
      <c r="R42" s="392">
        <f t="shared" si="14"/>
        <v>-6269669.6100000003</v>
      </c>
    </row>
    <row r="43" spans="2:19" ht="18" customHeight="1">
      <c r="B43" s="369" t="s">
        <v>2880</v>
      </c>
      <c r="C43" s="384">
        <v>-225000</v>
      </c>
      <c r="D43" s="384"/>
      <c r="E43" s="384"/>
      <c r="F43" s="384"/>
      <c r="G43" s="384"/>
      <c r="H43" s="384"/>
      <c r="I43" s="384"/>
      <c r="J43" s="384"/>
      <c r="K43" s="384"/>
      <c r="L43" s="384">
        <f>C43</f>
        <v>-225000</v>
      </c>
      <c r="M43" s="384"/>
      <c r="N43" s="384"/>
      <c r="O43" s="384"/>
      <c r="P43" s="384"/>
      <c r="Q43" s="384"/>
      <c r="R43" s="384">
        <f t="shared" si="14"/>
        <v>-225000</v>
      </c>
    </row>
    <row r="44" spans="2:19" ht="18" customHeight="1">
      <c r="B44" s="369" t="s">
        <v>2881</v>
      </c>
      <c r="C44" s="394">
        <v>-226878</v>
      </c>
      <c r="D44" s="395"/>
      <c r="E44" s="384"/>
      <c r="F44" s="384"/>
      <c r="G44" s="384"/>
      <c r="H44" s="384"/>
      <c r="I44" s="384"/>
      <c r="J44" s="384">
        <v>-226878</v>
      </c>
      <c r="K44" s="384"/>
      <c r="L44" s="384"/>
      <c r="M44" s="384"/>
      <c r="N44" s="384"/>
      <c r="O44" s="384"/>
      <c r="P44" s="384"/>
      <c r="Q44" s="384"/>
      <c r="R44" s="384">
        <f t="shared" si="14"/>
        <v>-226878</v>
      </c>
    </row>
    <row r="45" spans="2:19" ht="18" customHeight="1">
      <c r="B45" s="369" t="s">
        <v>2882</v>
      </c>
      <c r="C45" s="394">
        <v>-75000</v>
      </c>
      <c r="D45" s="395"/>
      <c r="E45" s="384"/>
      <c r="F45" s="384"/>
      <c r="G45" s="384"/>
      <c r="H45" s="384"/>
      <c r="I45" s="384">
        <v>-75000</v>
      </c>
      <c r="J45" s="384"/>
      <c r="K45" s="384"/>
      <c r="L45" s="384"/>
      <c r="M45" s="384"/>
      <c r="N45" s="384"/>
      <c r="O45" s="384"/>
      <c r="P45" s="384"/>
      <c r="Q45" s="384"/>
      <c r="R45" s="384">
        <f t="shared" si="14"/>
        <v>-75000</v>
      </c>
    </row>
    <row r="46" spans="2:19" ht="18" customHeight="1">
      <c r="B46" s="369" t="s">
        <v>2883</v>
      </c>
      <c r="C46" s="394">
        <v>-159000</v>
      </c>
      <c r="D46" s="395"/>
      <c r="E46" s="384"/>
      <c r="F46" s="384"/>
      <c r="G46" s="384"/>
      <c r="H46" s="384"/>
      <c r="I46" s="384">
        <v>-159000</v>
      </c>
      <c r="J46" s="384"/>
      <c r="K46" s="384"/>
      <c r="L46" s="384"/>
      <c r="M46" s="384"/>
      <c r="N46" s="384"/>
      <c r="O46" s="384"/>
      <c r="P46" s="384"/>
      <c r="Q46" s="384"/>
      <c r="R46" s="384">
        <f t="shared" si="14"/>
        <v>-159000</v>
      </c>
    </row>
    <row r="47" spans="2:19" ht="18" customHeight="1">
      <c r="B47" s="369" t="s">
        <v>2884</v>
      </c>
      <c r="C47" s="384">
        <v>-204200</v>
      </c>
      <c r="D47" s="395"/>
      <c r="E47" s="384"/>
      <c r="F47" s="384"/>
      <c r="G47" s="384"/>
      <c r="H47" s="384"/>
      <c r="I47" s="384"/>
      <c r="J47" s="384"/>
      <c r="K47" s="384"/>
      <c r="L47" s="384">
        <f>C47</f>
        <v>-204200</v>
      </c>
      <c r="M47" s="384"/>
      <c r="N47" s="384"/>
      <c r="O47" s="384"/>
      <c r="P47" s="384"/>
      <c r="Q47" s="384"/>
      <c r="R47" s="384">
        <f t="shared" si="14"/>
        <v>-204200</v>
      </c>
    </row>
    <row r="48" spans="2:19" ht="18" customHeight="1">
      <c r="B48" s="369" t="s">
        <v>2885</v>
      </c>
      <c r="C48" s="384">
        <v>-48800</v>
      </c>
      <c r="D48" s="395"/>
      <c r="E48" s="384"/>
      <c r="F48" s="384"/>
      <c r="G48" s="384"/>
      <c r="H48" s="384"/>
      <c r="I48" s="384">
        <v>-9760</v>
      </c>
      <c r="J48" s="384"/>
      <c r="K48" s="384"/>
      <c r="L48" s="384">
        <f>C48-I48</f>
        <v>-39040</v>
      </c>
      <c r="M48" s="384"/>
      <c r="N48" s="384"/>
      <c r="O48" s="384"/>
      <c r="P48" s="384"/>
      <c r="Q48" s="384"/>
      <c r="R48" s="384">
        <f t="shared" si="14"/>
        <v>-48800</v>
      </c>
    </row>
    <row r="49" spans="2:18" ht="18" customHeight="1">
      <c r="B49" s="369" t="s">
        <v>2886</v>
      </c>
      <c r="C49" s="394">
        <v>-62662.400000000001</v>
      </c>
      <c r="D49" s="395"/>
      <c r="E49" s="384"/>
      <c r="F49" s="384"/>
      <c r="G49" s="384"/>
      <c r="H49" s="384"/>
      <c r="I49" s="384">
        <v>-62662.400000000001</v>
      </c>
      <c r="J49" s="384"/>
      <c r="K49" s="384"/>
      <c r="L49" s="384"/>
      <c r="M49" s="384"/>
      <c r="N49" s="384"/>
      <c r="O49" s="384"/>
      <c r="P49" s="384"/>
      <c r="Q49" s="384"/>
      <c r="R49" s="384">
        <f t="shared" si="14"/>
        <v>-62662.400000000001</v>
      </c>
    </row>
    <row r="50" spans="2:18" ht="18" customHeight="1">
      <c r="B50" s="369" t="s">
        <v>2887</v>
      </c>
      <c r="C50" s="384">
        <v>-69400</v>
      </c>
      <c r="D50" s="395"/>
      <c r="E50" s="384"/>
      <c r="F50" s="384"/>
      <c r="G50" s="384"/>
      <c r="H50" s="384"/>
      <c r="I50" s="384"/>
      <c r="J50" s="384"/>
      <c r="K50" s="384"/>
      <c r="L50" s="384"/>
      <c r="M50" s="384">
        <f>C50</f>
        <v>-69400</v>
      </c>
      <c r="N50" s="384"/>
      <c r="O50" s="384"/>
      <c r="P50" s="384"/>
      <c r="Q50" s="384"/>
      <c r="R50" s="384">
        <f t="shared" si="14"/>
        <v>-69400</v>
      </c>
    </row>
    <row r="51" spans="2:18" ht="18" customHeight="1">
      <c r="B51" s="369" t="s">
        <v>2888</v>
      </c>
      <c r="C51" s="394">
        <v>-3729602</v>
      </c>
      <c r="D51" s="395"/>
      <c r="E51" s="384"/>
      <c r="F51" s="384">
        <v>-2627717</v>
      </c>
      <c r="G51" s="384">
        <v>-1100885</v>
      </c>
      <c r="H51" s="384"/>
      <c r="I51" s="384"/>
      <c r="J51" s="384"/>
      <c r="K51" s="384"/>
      <c r="L51" s="384"/>
      <c r="M51" s="384"/>
      <c r="N51" s="384"/>
      <c r="O51" s="384"/>
      <c r="P51" s="384"/>
      <c r="Q51" s="384"/>
      <c r="R51" s="384">
        <f t="shared" si="14"/>
        <v>-3728602</v>
      </c>
    </row>
    <row r="52" spans="2:18" ht="18" customHeight="1">
      <c r="B52" s="369" t="s">
        <v>2889</v>
      </c>
      <c r="C52" s="384">
        <v>-26216000</v>
      </c>
      <c r="D52" s="395"/>
      <c r="E52" s="384"/>
      <c r="F52" s="384"/>
      <c r="G52" s="384"/>
      <c r="H52" s="384"/>
      <c r="I52" s="384">
        <v>-1216000</v>
      </c>
      <c r="J52" s="384"/>
      <c r="K52" s="384"/>
      <c r="L52" s="384"/>
      <c r="M52" s="384"/>
      <c r="N52" s="384"/>
      <c r="O52" s="384"/>
      <c r="P52" s="384"/>
      <c r="Q52" s="384"/>
      <c r="R52" s="384">
        <f t="shared" si="14"/>
        <v>-1216000</v>
      </c>
    </row>
    <row r="53" spans="2:18" ht="18" customHeight="1">
      <c r="B53" s="369" t="s">
        <v>2890</v>
      </c>
      <c r="C53" s="384">
        <v>-56800</v>
      </c>
      <c r="D53" s="384"/>
      <c r="E53" s="384"/>
      <c r="F53" s="384"/>
      <c r="G53" s="384"/>
      <c r="H53" s="384"/>
      <c r="I53" s="384"/>
      <c r="J53" s="384"/>
      <c r="K53" s="384"/>
      <c r="L53" s="384"/>
      <c r="M53" s="384"/>
      <c r="N53" s="384">
        <f>C53</f>
        <v>-56800</v>
      </c>
      <c r="O53" s="384"/>
      <c r="P53" s="384"/>
      <c r="Q53" s="384"/>
      <c r="R53" s="384">
        <f t="shared" si="14"/>
        <v>-56800</v>
      </c>
    </row>
    <row r="54" spans="2:18" ht="18" customHeight="1">
      <c r="B54" s="369" t="s">
        <v>2891</v>
      </c>
      <c r="C54" s="384">
        <v>-197327.21</v>
      </c>
      <c r="D54" s="384"/>
      <c r="E54" s="384"/>
      <c r="F54" s="384"/>
      <c r="G54" s="384"/>
      <c r="H54" s="384"/>
      <c r="I54" s="384"/>
      <c r="J54" s="384"/>
      <c r="K54" s="384"/>
      <c r="L54" s="384"/>
      <c r="M54" s="384"/>
      <c r="N54" s="384">
        <f>C54</f>
        <v>-197327.21</v>
      </c>
      <c r="O54" s="384"/>
      <c r="P54" s="384"/>
      <c r="Q54" s="384"/>
      <c r="R54" s="384">
        <f t="shared" si="14"/>
        <v>-197327.21</v>
      </c>
    </row>
    <row r="55" spans="2:18" ht="18" customHeight="1">
      <c r="B55" s="390" t="s">
        <v>2892</v>
      </c>
      <c r="C55" s="392"/>
      <c r="D55" s="392"/>
      <c r="E55" s="392"/>
      <c r="F55" s="392"/>
      <c r="G55" s="392"/>
      <c r="H55" s="392"/>
      <c r="I55" s="392"/>
      <c r="J55" s="392"/>
      <c r="K55" s="392"/>
      <c r="L55" s="392"/>
      <c r="M55" s="392"/>
      <c r="N55" s="392">
        <f>-SUM(E6:Q6)-N8-N9-SUM(G29:N29)</f>
        <v>-4354992.9225327102</v>
      </c>
      <c r="O55" s="392"/>
      <c r="P55" s="392"/>
      <c r="Q55" s="392">
        <f>-SUM(O6:Q6)-SUM(O29:Q29)</f>
        <v>-793253.62478835601</v>
      </c>
      <c r="R55" s="392">
        <f t="shared" si="14"/>
        <v>-5148246.54732107</v>
      </c>
    </row>
    <row r="56" spans="2:18" ht="18" customHeight="1">
      <c r="B56" s="386" t="s">
        <v>2893</v>
      </c>
      <c r="C56" s="396"/>
      <c r="D56" s="396"/>
      <c r="E56" s="367"/>
      <c r="F56" s="367"/>
      <c r="G56" s="367"/>
      <c r="H56" s="367"/>
      <c r="I56" s="367"/>
      <c r="J56" s="367"/>
      <c r="K56" s="367"/>
      <c r="L56" s="367"/>
      <c r="M56" s="367"/>
      <c r="N56" s="384">
        <f>-SUM(E6:N6)*0.06</f>
        <v>-293244.06573341403</v>
      </c>
      <c r="O56" s="384"/>
      <c r="P56" s="384"/>
      <c r="Q56" s="384">
        <f>-SUM(O6:Q6)*0.06</f>
        <v>-93396.226415094294</v>
      </c>
      <c r="R56" s="384">
        <f t="shared" si="14"/>
        <v>-386640.292148509</v>
      </c>
    </row>
    <row r="57" spans="2:18" ht="18" customHeight="1">
      <c r="B57" s="386"/>
      <c r="C57" s="396"/>
      <c r="D57" s="396"/>
    </row>
    <row r="58" spans="2:18">
      <c r="P58" s="367"/>
      <c r="Q58" s="367"/>
      <c r="R58" s="382"/>
    </row>
    <row r="59" spans="2:18">
      <c r="D59" s="360"/>
      <c r="F59" s="360"/>
      <c r="P59" s="367"/>
      <c r="Q59" s="367"/>
      <c r="R59" s="382"/>
    </row>
    <row r="60" spans="2:18">
      <c r="B60" s="359"/>
      <c r="E60" s="360"/>
      <c r="F60" s="382"/>
      <c r="G60" s="360"/>
      <c r="H60" s="367"/>
      <c r="Q60" s="367"/>
      <c r="R60" s="382"/>
    </row>
    <row r="61" spans="2:18">
      <c r="B61" s="359"/>
      <c r="E61" s="360"/>
      <c r="F61" s="382"/>
      <c r="G61" s="360"/>
      <c r="H61" s="367"/>
      <c r="I61" s="382"/>
      <c r="Q61" s="367"/>
      <c r="R61" s="397" t="s">
        <v>2894</v>
      </c>
    </row>
    <row r="62" spans="2:18">
      <c r="B62" s="359"/>
      <c r="E62" s="360"/>
      <c r="F62" s="382"/>
      <c r="G62" s="360"/>
      <c r="H62" s="367"/>
      <c r="I62" s="382"/>
      <c r="P62" s="367" t="s">
        <v>2895</v>
      </c>
      <c r="R62" s="398">
        <f>-E6-E7-R8-R9</f>
        <v>-413370.77726922301</v>
      </c>
    </row>
    <row r="63" spans="2:18">
      <c r="E63" s="360"/>
      <c r="F63" s="382"/>
      <c r="G63" s="360"/>
      <c r="H63" s="367"/>
      <c r="I63" s="382"/>
      <c r="P63" s="360" t="s">
        <v>2896</v>
      </c>
      <c r="R63" s="398">
        <f>+R42</f>
        <v>-6269669.6100000003</v>
      </c>
    </row>
    <row r="64" spans="2:18">
      <c r="P64" s="360" t="s">
        <v>2897</v>
      </c>
      <c r="R64" s="398">
        <f>-SUM(O6:Q6)</f>
        <v>-1556603.77358491</v>
      </c>
    </row>
    <row r="67" spans="18:18">
      <c r="R67" s="367">
        <f>-('[98]预测数-管理费0.12&amp;滚动更新5月实际数'!O14+'[98]预测数-管理费0.12&amp;滚动更新5月实际数'!O15)*1000</f>
        <v>8399472.0355980601</v>
      </c>
    </row>
  </sheetData>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FF00"/>
  </sheetPr>
  <dimension ref="A1:AJ179"/>
  <sheetViews>
    <sheetView topLeftCell="F1" workbookViewId="0"/>
  </sheetViews>
  <sheetFormatPr defaultColWidth="9" defaultRowHeight="15" outlineLevelRow="1" outlineLevelCol="1"/>
  <cols>
    <col min="1" max="1" width="5.375" style="192" hidden="1" customWidth="1" outlineLevel="1"/>
    <col min="2" max="2" width="8.375" style="192" hidden="1" customWidth="1" outlineLevel="1"/>
    <col min="3" max="4" width="6.875" style="192" hidden="1" customWidth="1" outlineLevel="1"/>
    <col min="5" max="5" width="23" style="193" hidden="1" customWidth="1" outlineLevel="1"/>
    <col min="6" max="6" width="33.375" style="193" customWidth="1" collapsed="1"/>
    <col min="7" max="7" width="13.375" style="193" customWidth="1"/>
    <col min="8" max="8" width="0.375" style="193" customWidth="1"/>
    <col min="9" max="9" width="15.875" style="193" hidden="1" customWidth="1" outlineLevel="1"/>
    <col min="10" max="10" width="16.375" style="193" hidden="1" customWidth="1" outlineLevel="1"/>
    <col min="11" max="11" width="15" style="193" hidden="1" customWidth="1" outlineLevel="1"/>
    <col min="12" max="12" width="14" style="193" hidden="1" customWidth="1" outlineLevel="1"/>
    <col min="13" max="14" width="14.875" style="193" hidden="1" customWidth="1" outlineLevel="1"/>
    <col min="15" max="15" width="15" style="193" customWidth="1" collapsed="1"/>
    <col min="16" max="16" width="15" style="193" customWidth="1"/>
    <col min="17" max="19" width="14" style="193" customWidth="1"/>
    <col min="20" max="20" width="16.125" style="193" customWidth="1"/>
    <col min="21" max="21" width="15.875" style="193" customWidth="1"/>
    <col min="22" max="22" width="16.375" style="193" customWidth="1"/>
    <col min="23" max="23" width="15" style="193" customWidth="1"/>
    <col min="24" max="24" width="14" style="193" customWidth="1"/>
    <col min="25" max="26" width="14.875" style="193" customWidth="1"/>
    <col min="27" max="28" width="15" style="193" customWidth="1"/>
    <col min="29" max="31" width="14" style="193" customWidth="1"/>
    <col min="32" max="32" width="16.125" style="193" customWidth="1"/>
    <col min="33" max="33" width="16.375" style="191" customWidth="1"/>
    <col min="34" max="34" width="2.125" style="191" customWidth="1"/>
    <col min="35" max="16384" width="9" style="193"/>
  </cols>
  <sheetData>
    <row r="1" spans="1:36" s="189" customFormat="1" ht="17.850000000000001" customHeight="1">
      <c r="A1" s="194"/>
      <c r="B1" s="194"/>
      <c r="C1" s="194"/>
      <c r="D1" s="194"/>
      <c r="I1" s="195" t="s">
        <v>2898</v>
      </c>
      <c r="J1" s="196"/>
      <c r="K1" s="197" t="e">
        <f>+SUM($I4:$T4)</f>
        <v>#REF!</v>
      </c>
      <c r="L1" s="198" t="s">
        <v>2046</v>
      </c>
      <c r="O1" s="199"/>
      <c r="P1" s="199"/>
      <c r="Q1" s="199"/>
      <c r="R1" s="200"/>
      <c r="S1" s="201"/>
      <c r="U1" s="195" t="s">
        <v>2898</v>
      </c>
      <c r="V1" s="196"/>
      <c r="W1" s="197" t="e">
        <f>+SUM($I4:$T4)</f>
        <v>#REF!</v>
      </c>
      <c r="X1" s="198" t="s">
        <v>2046</v>
      </c>
      <c r="AA1" s="199"/>
      <c r="AB1" s="199"/>
      <c r="AC1" s="199"/>
      <c r="AD1" s="200"/>
      <c r="AE1" s="201"/>
      <c r="AG1" s="198"/>
      <c r="AH1" s="191"/>
    </row>
    <row r="2" spans="1:36" s="189" customFormat="1" ht="17.850000000000001" customHeight="1">
      <c r="A2" s="194"/>
      <c r="B2" s="194"/>
      <c r="C2" s="194"/>
      <c r="D2" s="194"/>
      <c r="H2" s="202"/>
      <c r="I2" s="203"/>
      <c r="J2" s="204"/>
      <c r="K2" s="197" t="e">
        <f>+SUM($I5:$T5)</f>
        <v>#REF!</v>
      </c>
      <c r="L2" s="198" t="s">
        <v>2409</v>
      </c>
      <c r="N2" s="202"/>
      <c r="O2" s="202"/>
      <c r="P2" s="202"/>
      <c r="Q2" s="202"/>
      <c r="R2" s="202"/>
      <c r="S2" s="202"/>
      <c r="T2" s="202"/>
      <c r="U2" s="203"/>
      <c r="V2" s="204"/>
      <c r="W2" s="197" t="e">
        <f>+SUM($I5:$T5)</f>
        <v>#REF!</v>
      </c>
      <c r="X2" s="198" t="s">
        <v>2409</v>
      </c>
      <c r="Z2" s="202"/>
      <c r="AA2" s="202"/>
      <c r="AB2" s="202"/>
      <c r="AC2" s="202"/>
      <c r="AD2" s="202"/>
      <c r="AE2" s="202"/>
      <c r="AF2" s="202"/>
      <c r="AG2" s="198"/>
      <c r="AH2" s="191"/>
    </row>
    <row r="3" spans="1:36" s="189" customFormat="1" ht="17.850000000000001" customHeight="1">
      <c r="A3" s="194"/>
      <c r="B3" s="194"/>
      <c r="C3" s="194"/>
      <c r="D3" s="194"/>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198"/>
      <c r="AH3" s="191"/>
    </row>
    <row r="4" spans="1:36" s="189" customFormat="1" ht="17.850000000000001" hidden="1" customHeight="1" outlineLevel="1">
      <c r="A4" s="194"/>
      <c r="B4" s="194"/>
      <c r="C4" s="194"/>
      <c r="D4" s="194"/>
      <c r="G4" s="189" t="s">
        <v>2046</v>
      </c>
      <c r="I4" s="206">
        <f t="shared" ref="I4:AF4" si="0">(I149)</f>
        <v>698052.98634920001</v>
      </c>
      <c r="J4" s="207">
        <f t="shared" si="0"/>
        <v>-1796975.3903199399</v>
      </c>
      <c r="K4" s="207">
        <f t="shared" si="0"/>
        <v>-3067895.47008808</v>
      </c>
      <c r="L4" s="207">
        <f t="shared" si="0"/>
        <v>-2180258.6666815602</v>
      </c>
      <c r="M4" s="207">
        <f t="shared" si="0"/>
        <v>-1265534.6713367701</v>
      </c>
      <c r="N4" s="207">
        <f t="shared" si="0"/>
        <v>-2017689.9291445999</v>
      </c>
      <c r="O4" s="207" t="e">
        <f t="shared" si="0"/>
        <v>#REF!</v>
      </c>
      <c r="P4" s="207" t="e">
        <f t="shared" si="0"/>
        <v>#REF!</v>
      </c>
      <c r="Q4" s="207" t="e">
        <f t="shared" si="0"/>
        <v>#REF!</v>
      </c>
      <c r="R4" s="207" t="e">
        <f t="shared" si="0"/>
        <v>#REF!</v>
      </c>
      <c r="S4" s="207" t="e">
        <f t="shared" si="0"/>
        <v>#REF!</v>
      </c>
      <c r="T4" s="208" t="e">
        <f t="shared" si="0"/>
        <v>#REF!</v>
      </c>
      <c r="U4" s="206" t="e">
        <f t="shared" si="0"/>
        <v>#REF!</v>
      </c>
      <c r="V4" s="207" t="e">
        <f t="shared" si="0"/>
        <v>#REF!</v>
      </c>
      <c r="W4" s="207" t="e">
        <f t="shared" si="0"/>
        <v>#REF!</v>
      </c>
      <c r="X4" s="207" t="e">
        <f t="shared" si="0"/>
        <v>#REF!</v>
      </c>
      <c r="Y4" s="207" t="e">
        <f t="shared" si="0"/>
        <v>#REF!</v>
      </c>
      <c r="Z4" s="207" t="e">
        <f t="shared" si="0"/>
        <v>#REF!</v>
      </c>
      <c r="AA4" s="207" t="e">
        <f t="shared" si="0"/>
        <v>#REF!</v>
      </c>
      <c r="AB4" s="207" t="e">
        <f t="shared" si="0"/>
        <v>#REF!</v>
      </c>
      <c r="AC4" s="207" t="e">
        <f t="shared" si="0"/>
        <v>#REF!</v>
      </c>
      <c r="AD4" s="207" t="e">
        <f t="shared" si="0"/>
        <v>#REF!</v>
      </c>
      <c r="AE4" s="207" t="e">
        <f t="shared" si="0"/>
        <v>#REF!</v>
      </c>
      <c r="AF4" s="208" t="e">
        <f t="shared" si="0"/>
        <v>#REF!</v>
      </c>
      <c r="AG4" s="198" t="s">
        <v>2046</v>
      </c>
      <c r="AH4" s="191"/>
    </row>
    <row r="5" spans="1:36" s="189" customFormat="1" ht="17.850000000000001" hidden="1" customHeight="1" outlineLevel="1">
      <c r="A5" s="194"/>
      <c r="B5" s="194"/>
      <c r="C5" s="194"/>
      <c r="D5" s="194"/>
      <c r="G5" s="189" t="s">
        <v>2409</v>
      </c>
      <c r="I5" s="209">
        <f>I$4/HLOOKUP(I$9,'FX Lookup'!$A$2:$Y$6,2,FALSE)</f>
        <v>95828.875571833938</v>
      </c>
      <c r="J5" s="210">
        <f>J$4/HLOOKUP(J$9,'FX Lookup'!$A$2:$Y$6,2,FALSE)</f>
        <v>-246689.19759978418</v>
      </c>
      <c r="K5" s="210">
        <f>K$4/HLOOKUP(K$9,'FX Lookup'!$A$2:$Y$6,2,FALSE)</f>
        <v>-421161.40038027725</v>
      </c>
      <c r="L5" s="210">
        <f>L$4/HLOOKUP(L$9,'FX Lookup'!$A$2:$Y$6,2,FALSE)</f>
        <v>-299306.41451238201</v>
      </c>
      <c r="M5" s="210">
        <f>M$4/HLOOKUP(M$9,'FX Lookup'!$A$2:$Y$6,2,FALSE)</f>
        <v>-173732.89266426198</v>
      </c>
      <c r="N5" s="210">
        <f>N$4/HLOOKUP(N$9,'FX Lookup'!$A$2:$Y$6,2,FALSE)</f>
        <v>-276988.94058712007</v>
      </c>
      <c r="O5" s="210" t="e">
        <f>O$4/HLOOKUP(O$9,'FX Lookup'!$A$2:$Y$6,2,FALSE)</f>
        <v>#REF!</v>
      </c>
      <c r="P5" s="210" t="e">
        <f>P$4/HLOOKUP(P$9,'FX Lookup'!$A$2:$Y$6,2,FALSE)</f>
        <v>#REF!</v>
      </c>
      <c r="Q5" s="210" t="e">
        <f>Q$4/HLOOKUP(Q$9,'FX Lookup'!$A$2:$Y$6,2,FALSE)</f>
        <v>#REF!</v>
      </c>
      <c r="R5" s="210" t="e">
        <f>R$4/HLOOKUP(R$9,'FX Lookup'!$A$2:$Y$6,2,FALSE)</f>
        <v>#REF!</v>
      </c>
      <c r="S5" s="210" t="e">
        <f>S$4/HLOOKUP(S$9,'FX Lookup'!$A$2:$Y$6,2,FALSE)</f>
        <v>#REF!</v>
      </c>
      <c r="T5" s="211" t="e">
        <f>T$4/HLOOKUP(T$9,'FX Lookup'!$A$2:$Y$6,2,FALSE)</f>
        <v>#REF!</v>
      </c>
      <c r="U5" s="209" t="e">
        <f>U$4/HLOOKUP(U$9,'FX Lookup'!$A$2:$Y$6,2,FALSE)</f>
        <v>#REF!</v>
      </c>
      <c r="V5" s="210" t="e">
        <f>V$4/HLOOKUP(V$9,'FX Lookup'!$A$2:$Y$6,2,FALSE)</f>
        <v>#REF!</v>
      </c>
      <c r="W5" s="210" t="e">
        <f>W$4/HLOOKUP(W$9,'FX Lookup'!$A$2:$Y$6,2,FALSE)</f>
        <v>#REF!</v>
      </c>
      <c r="X5" s="210" t="e">
        <f>X$4/HLOOKUP(X$9,'FX Lookup'!$A$2:$Y$6,2,FALSE)</f>
        <v>#REF!</v>
      </c>
      <c r="Y5" s="210" t="e">
        <f>Y$4/HLOOKUP(Y$9,'FX Lookup'!$A$2:$Y$6,2,FALSE)</f>
        <v>#REF!</v>
      </c>
      <c r="Z5" s="210" t="e">
        <f>Z$4/HLOOKUP(Z$9,'FX Lookup'!$A$2:$Y$6,2,FALSE)</f>
        <v>#REF!</v>
      </c>
      <c r="AA5" s="210" t="e">
        <f>AA$4/HLOOKUP(AA$9,'FX Lookup'!$A$2:$Y$6,2,FALSE)</f>
        <v>#REF!</v>
      </c>
      <c r="AB5" s="210" t="e">
        <f>AB$4/HLOOKUP(AB$9,'FX Lookup'!$A$2:$Y$6,2,FALSE)</f>
        <v>#REF!</v>
      </c>
      <c r="AC5" s="210" t="e">
        <f>AC$4/HLOOKUP(AC$9,'FX Lookup'!$A$2:$Y$6,2,FALSE)</f>
        <v>#REF!</v>
      </c>
      <c r="AD5" s="210" t="e">
        <f>AD$4/HLOOKUP(AD$9,'FX Lookup'!$A$2:$Y$6,2,FALSE)</f>
        <v>#REF!</v>
      </c>
      <c r="AE5" s="210" t="e">
        <f>AE$4/HLOOKUP(AE$9,'FX Lookup'!$A$2:$Y$6,2,FALSE)</f>
        <v>#REF!</v>
      </c>
      <c r="AF5" s="211" t="e">
        <f>AF$4/HLOOKUP(AF$9,'FX Lookup'!$A$2:$Y$6,2,FALSE)</f>
        <v>#REF!</v>
      </c>
      <c r="AG5" s="198" t="s">
        <v>2409</v>
      </c>
      <c r="AH5" s="191"/>
    </row>
    <row r="6" spans="1:36" s="189" customFormat="1" ht="14.45" hidden="1" customHeight="1" outlineLevel="1">
      <c r="A6" s="194"/>
      <c r="B6" s="194"/>
      <c r="C6" s="194"/>
      <c r="D6" s="194"/>
      <c r="E6" s="212"/>
      <c r="F6" s="1070" t="s">
        <v>2899</v>
      </c>
      <c r="G6" s="213"/>
      <c r="H6" s="213"/>
      <c r="I6" s="213"/>
      <c r="J6" s="213"/>
      <c r="K6" s="213"/>
      <c r="L6" s="213"/>
      <c r="M6" s="213"/>
      <c r="N6" s="213"/>
      <c r="O6" s="214"/>
      <c r="P6" s="214"/>
      <c r="Q6" s="214"/>
      <c r="R6" s="214"/>
      <c r="S6" s="214"/>
      <c r="T6" s="214"/>
      <c r="U6" s="213"/>
      <c r="V6" s="213"/>
      <c r="W6" s="213"/>
      <c r="X6" s="213"/>
      <c r="Y6" s="213"/>
      <c r="Z6" s="213"/>
      <c r="AA6" s="214"/>
      <c r="AB6" s="214"/>
      <c r="AC6" s="214"/>
      <c r="AD6" s="214"/>
      <c r="AE6" s="214"/>
      <c r="AF6" s="214"/>
      <c r="AG6" s="215"/>
      <c r="AH6" s="191"/>
    </row>
    <row r="7" spans="1:36" ht="15.75" hidden="1" customHeight="1" outlineLevel="1">
      <c r="E7" s="216"/>
      <c r="F7" s="217"/>
      <c r="G7" s="218" t="s">
        <v>2900</v>
      </c>
      <c r="H7" s="218">
        <v>1</v>
      </c>
      <c r="I7" s="219">
        <v>2025</v>
      </c>
      <c r="J7" s="219">
        <f>+I7</f>
        <v>2025</v>
      </c>
      <c r="K7" s="219">
        <f t="shared" ref="K7:T7" si="1">+J7</f>
        <v>2025</v>
      </c>
      <c r="L7" s="219">
        <f t="shared" si="1"/>
        <v>2025</v>
      </c>
      <c r="M7" s="219">
        <f t="shared" si="1"/>
        <v>2025</v>
      </c>
      <c r="N7" s="219">
        <f t="shared" si="1"/>
        <v>2025</v>
      </c>
      <c r="O7" s="219">
        <f t="shared" si="1"/>
        <v>2025</v>
      </c>
      <c r="P7" s="219">
        <f t="shared" si="1"/>
        <v>2025</v>
      </c>
      <c r="Q7" s="219">
        <f t="shared" si="1"/>
        <v>2025</v>
      </c>
      <c r="R7" s="219">
        <f t="shared" si="1"/>
        <v>2025</v>
      </c>
      <c r="S7" s="219">
        <f t="shared" si="1"/>
        <v>2025</v>
      </c>
      <c r="T7" s="219">
        <f t="shared" si="1"/>
        <v>2025</v>
      </c>
      <c r="U7" s="219">
        <v>2026</v>
      </c>
      <c r="V7" s="219">
        <f t="shared" ref="V7" si="2">+U7</f>
        <v>2026</v>
      </c>
      <c r="W7" s="219">
        <f t="shared" ref="W7" si="3">+V7</f>
        <v>2026</v>
      </c>
      <c r="X7" s="219">
        <f t="shared" ref="X7" si="4">+W7</f>
        <v>2026</v>
      </c>
      <c r="Y7" s="219">
        <f t="shared" ref="Y7" si="5">+X7</f>
        <v>2026</v>
      </c>
      <c r="Z7" s="219">
        <f t="shared" ref="Z7" si="6">+Y7</f>
        <v>2026</v>
      </c>
      <c r="AA7" s="219">
        <f t="shared" ref="AA7" si="7">+Z7</f>
        <v>2026</v>
      </c>
      <c r="AB7" s="219">
        <f t="shared" ref="AB7" si="8">+AA7</f>
        <v>2026</v>
      </c>
      <c r="AC7" s="219">
        <f t="shared" ref="AC7" si="9">+AB7</f>
        <v>2026</v>
      </c>
      <c r="AD7" s="219">
        <f t="shared" ref="AD7" si="10">+AC7</f>
        <v>2026</v>
      </c>
      <c r="AE7" s="219">
        <f t="shared" ref="AE7" si="11">+AD7</f>
        <v>2026</v>
      </c>
      <c r="AF7" s="219">
        <f t="shared" ref="AF7" si="12">+AE7</f>
        <v>2026</v>
      </c>
      <c r="AG7" s="1211" t="s">
        <v>2901</v>
      </c>
      <c r="AH7" s="220"/>
    </row>
    <row r="8" spans="1:36" ht="14.45" hidden="1" customHeight="1" outlineLevel="1">
      <c r="E8" s="221"/>
      <c r="F8" s="222"/>
      <c r="G8" s="218" t="s">
        <v>2902</v>
      </c>
      <c r="H8" s="218">
        <v>1</v>
      </c>
      <c r="I8" s="223">
        <v>42736</v>
      </c>
      <c r="J8" s="223">
        <f t="shared" ref="J8:T8" si="13">EOMONTH(I8,1)</f>
        <v>42794</v>
      </c>
      <c r="K8" s="223">
        <f t="shared" si="13"/>
        <v>42825</v>
      </c>
      <c r="L8" s="223">
        <f t="shared" si="13"/>
        <v>42855</v>
      </c>
      <c r="M8" s="223">
        <f t="shared" si="13"/>
        <v>42886</v>
      </c>
      <c r="N8" s="223">
        <f t="shared" si="13"/>
        <v>42916</v>
      </c>
      <c r="O8" s="224">
        <f t="shared" si="13"/>
        <v>42947</v>
      </c>
      <c r="P8" s="224">
        <f t="shared" si="13"/>
        <v>42978</v>
      </c>
      <c r="Q8" s="224">
        <f t="shared" si="13"/>
        <v>43008</v>
      </c>
      <c r="R8" s="224">
        <f t="shared" si="13"/>
        <v>43039</v>
      </c>
      <c r="S8" s="224">
        <f t="shared" si="13"/>
        <v>43069</v>
      </c>
      <c r="T8" s="224">
        <f t="shared" si="13"/>
        <v>43100</v>
      </c>
      <c r="U8" s="223">
        <v>42736</v>
      </c>
      <c r="V8" s="223">
        <f t="shared" ref="V8" si="14">EOMONTH(U8,1)</f>
        <v>42794</v>
      </c>
      <c r="W8" s="223">
        <f t="shared" ref="W8" si="15">EOMONTH(V8,1)</f>
        <v>42825</v>
      </c>
      <c r="X8" s="223">
        <f t="shared" ref="X8" si="16">EOMONTH(W8,1)</f>
        <v>42855</v>
      </c>
      <c r="Y8" s="223">
        <f t="shared" ref="Y8" si="17">EOMONTH(X8,1)</f>
        <v>42886</v>
      </c>
      <c r="Z8" s="223">
        <f t="shared" ref="Z8" si="18">EOMONTH(Y8,1)</f>
        <v>42916</v>
      </c>
      <c r="AA8" s="224">
        <f t="shared" ref="AA8" si="19">EOMONTH(Z8,1)</f>
        <v>42947</v>
      </c>
      <c r="AB8" s="224">
        <f t="shared" ref="AB8" si="20">EOMONTH(AA8,1)</f>
        <v>42978</v>
      </c>
      <c r="AC8" s="224">
        <f t="shared" ref="AC8" si="21">EOMONTH(AB8,1)</f>
        <v>43008</v>
      </c>
      <c r="AD8" s="224">
        <f t="shared" ref="AD8" si="22">EOMONTH(AC8,1)</f>
        <v>43039</v>
      </c>
      <c r="AE8" s="224">
        <f t="shared" ref="AE8" si="23">EOMONTH(AD8,1)</f>
        <v>43069</v>
      </c>
      <c r="AF8" s="224">
        <f t="shared" ref="AF8" si="24">EOMONTH(AE8,1)</f>
        <v>43100</v>
      </c>
      <c r="AG8" s="1212"/>
      <c r="AH8" s="220"/>
    </row>
    <row r="9" spans="1:36" collapsed="1">
      <c r="E9" s="221"/>
      <c r="F9" s="222"/>
      <c r="G9" s="218"/>
      <c r="H9" s="218"/>
      <c r="I9" s="225">
        <v>45658</v>
      </c>
      <c r="J9" s="225">
        <v>45689</v>
      </c>
      <c r="K9" s="225">
        <v>45717</v>
      </c>
      <c r="L9" s="225">
        <v>45748</v>
      </c>
      <c r="M9" s="225">
        <v>45778</v>
      </c>
      <c r="N9" s="225">
        <v>45809</v>
      </c>
      <c r="O9" s="225">
        <v>45839</v>
      </c>
      <c r="P9" s="225">
        <v>45870</v>
      </c>
      <c r="Q9" s="225">
        <v>45901</v>
      </c>
      <c r="R9" s="225">
        <v>45931</v>
      </c>
      <c r="S9" s="225">
        <v>45962</v>
      </c>
      <c r="T9" s="225">
        <v>45992</v>
      </c>
      <c r="U9" s="225">
        <v>46023</v>
      </c>
      <c r="V9" s="225">
        <v>46054</v>
      </c>
      <c r="W9" s="225">
        <v>46082</v>
      </c>
      <c r="X9" s="225">
        <v>46113</v>
      </c>
      <c r="Y9" s="225">
        <v>46143</v>
      </c>
      <c r="Z9" s="225">
        <v>46174</v>
      </c>
      <c r="AA9" s="225">
        <v>46204</v>
      </c>
      <c r="AB9" s="225">
        <v>46235</v>
      </c>
      <c r="AC9" s="225">
        <v>46266</v>
      </c>
      <c r="AD9" s="225">
        <v>46296</v>
      </c>
      <c r="AE9" s="225">
        <v>46327</v>
      </c>
      <c r="AF9" s="225">
        <v>46357</v>
      </c>
      <c r="AG9" s="226" t="s">
        <v>2903</v>
      </c>
      <c r="AH9" s="220"/>
    </row>
    <row r="10" spans="1:36" s="190" customFormat="1">
      <c r="A10" s="227"/>
      <c r="B10" s="227"/>
      <c r="C10" s="227"/>
      <c r="D10" s="227"/>
      <c r="E10" s="228"/>
      <c r="F10" s="229">
        <v>1</v>
      </c>
      <c r="G10" s="230">
        <v>2</v>
      </c>
      <c r="H10" s="230">
        <v>3</v>
      </c>
      <c r="I10" s="230">
        <v>4</v>
      </c>
      <c r="J10" s="230">
        <v>5</v>
      </c>
      <c r="K10" s="230">
        <v>6</v>
      </c>
      <c r="L10" s="230">
        <v>7</v>
      </c>
      <c r="M10" s="230">
        <v>8</v>
      </c>
      <c r="N10" s="230">
        <v>9</v>
      </c>
      <c r="O10" s="230">
        <v>10</v>
      </c>
      <c r="P10" s="230">
        <v>11</v>
      </c>
      <c r="Q10" s="230">
        <v>12</v>
      </c>
      <c r="R10" s="230">
        <v>13</v>
      </c>
      <c r="S10" s="230">
        <v>14</v>
      </c>
      <c r="T10" s="230">
        <v>15</v>
      </c>
      <c r="U10" s="230">
        <v>4</v>
      </c>
      <c r="V10" s="230">
        <v>5</v>
      </c>
      <c r="W10" s="230">
        <v>6</v>
      </c>
      <c r="X10" s="230">
        <v>7</v>
      </c>
      <c r="Y10" s="230">
        <v>8</v>
      </c>
      <c r="Z10" s="230">
        <v>9</v>
      </c>
      <c r="AA10" s="230">
        <v>10</v>
      </c>
      <c r="AB10" s="230">
        <v>11</v>
      </c>
      <c r="AC10" s="230">
        <v>12</v>
      </c>
      <c r="AD10" s="230">
        <v>13</v>
      </c>
      <c r="AE10" s="230">
        <v>14</v>
      </c>
      <c r="AF10" s="230">
        <v>15</v>
      </c>
      <c r="AG10" s="231">
        <v>16</v>
      </c>
      <c r="AH10" s="232"/>
    </row>
    <row r="11" spans="1:36">
      <c r="E11" s="221"/>
      <c r="F11" s="222"/>
      <c r="G11" s="218"/>
      <c r="H11" s="218"/>
      <c r="I11" s="224" t="s">
        <v>2502</v>
      </c>
      <c r="J11" s="224" t="s">
        <v>2502</v>
      </c>
      <c r="K11" s="224" t="s">
        <v>2502</v>
      </c>
      <c r="L11" s="224" t="s">
        <v>2502</v>
      </c>
      <c r="M11" s="224" t="s">
        <v>2502</v>
      </c>
      <c r="N11" s="224" t="s">
        <v>2502</v>
      </c>
      <c r="O11" s="224" t="s">
        <v>2501</v>
      </c>
      <c r="P11" s="224" t="s">
        <v>2501</v>
      </c>
      <c r="Q11" s="224" t="s">
        <v>2501</v>
      </c>
      <c r="R11" s="224" t="s">
        <v>2501</v>
      </c>
      <c r="S11" s="224" t="s">
        <v>2501</v>
      </c>
      <c r="T11" s="224" t="s">
        <v>2501</v>
      </c>
      <c r="U11" s="224" t="s">
        <v>2501</v>
      </c>
      <c r="V11" s="224" t="s">
        <v>2501</v>
      </c>
      <c r="W11" s="224" t="s">
        <v>2501</v>
      </c>
      <c r="X11" s="224" t="s">
        <v>2501</v>
      </c>
      <c r="Y11" s="224" t="s">
        <v>2501</v>
      </c>
      <c r="Z11" s="224" t="s">
        <v>2501</v>
      </c>
      <c r="AA11" s="224" t="s">
        <v>2501</v>
      </c>
      <c r="AB11" s="224" t="s">
        <v>2501</v>
      </c>
      <c r="AC11" s="224" t="s">
        <v>2501</v>
      </c>
      <c r="AD11" s="224" t="s">
        <v>2501</v>
      </c>
      <c r="AE11" s="224" t="s">
        <v>2501</v>
      </c>
      <c r="AF11" s="224" t="s">
        <v>2501</v>
      </c>
      <c r="AG11" s="233"/>
      <c r="AH11" s="234"/>
    </row>
    <row r="12" spans="1:36">
      <c r="B12" s="192" t="s">
        <v>2110</v>
      </c>
      <c r="E12" s="235" t="s">
        <v>2904</v>
      </c>
      <c r="F12" s="235"/>
      <c r="G12" s="236"/>
      <c r="H12" s="237"/>
      <c r="I12" s="238" t="s">
        <v>2046</v>
      </c>
      <c r="J12" s="238" t="s">
        <v>2046</v>
      </c>
      <c r="K12" s="238" t="s">
        <v>2046</v>
      </c>
      <c r="L12" s="238" t="s">
        <v>2046</v>
      </c>
      <c r="M12" s="238" t="s">
        <v>2046</v>
      </c>
      <c r="N12" s="238" t="s">
        <v>2046</v>
      </c>
      <c r="O12" s="238" t="s">
        <v>2046</v>
      </c>
      <c r="P12" s="238" t="s">
        <v>2046</v>
      </c>
      <c r="Q12" s="238" t="s">
        <v>2046</v>
      </c>
      <c r="R12" s="238" t="s">
        <v>2046</v>
      </c>
      <c r="S12" s="238" t="s">
        <v>2046</v>
      </c>
      <c r="T12" s="238" t="s">
        <v>2046</v>
      </c>
      <c r="U12" s="238" t="s">
        <v>2046</v>
      </c>
      <c r="V12" s="238" t="s">
        <v>2046</v>
      </c>
      <c r="W12" s="238" t="s">
        <v>2046</v>
      </c>
      <c r="X12" s="238" t="s">
        <v>2046</v>
      </c>
      <c r="Y12" s="238" t="s">
        <v>2046</v>
      </c>
      <c r="Z12" s="238" t="s">
        <v>2046</v>
      </c>
      <c r="AA12" s="238" t="s">
        <v>2046</v>
      </c>
      <c r="AB12" s="238" t="s">
        <v>2046</v>
      </c>
      <c r="AC12" s="238" t="s">
        <v>2046</v>
      </c>
      <c r="AD12" s="238" t="s">
        <v>2046</v>
      </c>
      <c r="AE12" s="238" t="s">
        <v>2046</v>
      </c>
      <c r="AF12" s="238" t="s">
        <v>2046</v>
      </c>
      <c r="AG12" s="239"/>
      <c r="AH12" s="240"/>
    </row>
    <row r="13" spans="1:36">
      <c r="E13" s="221"/>
      <c r="F13" s="241"/>
      <c r="G13" s="242"/>
      <c r="H13" s="243"/>
      <c r="I13" s="244"/>
      <c r="J13" s="244"/>
      <c r="K13" s="244"/>
      <c r="L13" s="244"/>
      <c r="M13" s="244"/>
      <c r="N13" s="244"/>
      <c r="O13" s="244"/>
      <c r="P13" s="244"/>
      <c r="Q13" s="244"/>
      <c r="R13" s="244"/>
      <c r="S13" s="244"/>
      <c r="T13" s="244"/>
      <c r="U13" s="244"/>
      <c r="V13" s="244"/>
      <c r="W13" s="244"/>
      <c r="X13" s="244"/>
      <c r="Y13" s="244"/>
      <c r="Z13" s="244"/>
      <c r="AA13" s="244"/>
      <c r="AB13" s="244"/>
      <c r="AC13" s="244"/>
      <c r="AD13" s="244"/>
      <c r="AE13" s="244"/>
      <c r="AF13" s="244"/>
      <c r="AG13" s="233"/>
      <c r="AH13" s="234"/>
      <c r="AI13" s="245"/>
      <c r="AJ13" s="245"/>
    </row>
    <row r="14" spans="1:36">
      <c r="E14" s="221"/>
      <c r="F14" s="246" t="s">
        <v>2772</v>
      </c>
      <c r="G14" s="242"/>
      <c r="H14" s="243"/>
      <c r="I14" s="247">
        <v>2291571.38</v>
      </c>
      <c r="J14" s="247">
        <v>0</v>
      </c>
      <c r="K14" s="247">
        <v>0</v>
      </c>
      <c r="L14" s="247">
        <v>0</v>
      </c>
      <c r="M14" s="247">
        <v>1536066.24</v>
      </c>
      <c r="N14" s="247">
        <v>0</v>
      </c>
      <c r="O14" s="247">
        <v>0</v>
      </c>
      <c r="P14" s="247">
        <v>0</v>
      </c>
      <c r="Q14" s="247">
        <v>0</v>
      </c>
      <c r="R14" s="247">
        <v>0</v>
      </c>
      <c r="S14" s="247">
        <v>0</v>
      </c>
      <c r="T14" s="247">
        <v>0</v>
      </c>
      <c r="U14" s="247">
        <v>0</v>
      </c>
      <c r="V14" s="247">
        <v>0</v>
      </c>
      <c r="W14" s="247">
        <v>0</v>
      </c>
      <c r="X14" s="247">
        <v>0</v>
      </c>
      <c r="Y14" s="247">
        <v>0</v>
      </c>
      <c r="Z14" s="247">
        <v>0</v>
      </c>
      <c r="AA14" s="247">
        <v>0</v>
      </c>
      <c r="AB14" s="247">
        <v>0</v>
      </c>
      <c r="AC14" s="247">
        <v>0</v>
      </c>
      <c r="AD14" s="247">
        <v>0</v>
      </c>
      <c r="AE14" s="247">
        <v>0</v>
      </c>
      <c r="AF14" s="247">
        <v>0</v>
      </c>
      <c r="AG14" s="248">
        <f>SUM(O14:AF14)</f>
        <v>0</v>
      </c>
      <c r="AH14" s="249"/>
      <c r="AI14" s="245"/>
      <c r="AJ14" s="245"/>
    </row>
    <row r="15" spans="1:36">
      <c r="E15" s="221"/>
      <c r="F15" s="246" t="s">
        <v>2905</v>
      </c>
      <c r="G15" s="242"/>
      <c r="H15" s="243"/>
      <c r="I15" s="247">
        <v>0</v>
      </c>
      <c r="J15" s="247">
        <v>0</v>
      </c>
      <c r="K15" s="247">
        <v>0</v>
      </c>
      <c r="L15" s="247">
        <v>0</v>
      </c>
      <c r="M15" s="247">
        <v>0</v>
      </c>
      <c r="N15" s="247">
        <v>0</v>
      </c>
      <c r="O15" s="247" t="e">
        <f>INDEX(情形1!$20:$20,MATCH('FY25 S.3'!O$9,情形1!$3:$3))+INDEX(情形1!#REF!,MATCH('FY25 S.3'!O$9,情形1!$3:$3))</f>
        <v>#REF!</v>
      </c>
      <c r="P15" s="247" t="e">
        <f>INDEX(情形1!$20:$20,MATCH('FY25 S.3'!P$9,情形1!$3:$3))+INDEX(情形1!#REF!,MATCH('FY25 S.3'!P$9,情形1!$3:$3))</f>
        <v>#REF!</v>
      </c>
      <c r="Q15" s="247" t="e">
        <f>INDEX(情形1!$20:$20,MATCH('FY25 S.3'!Q$9,情形1!$3:$3))+INDEX(情形1!#REF!,MATCH('FY25 S.3'!Q$9,情形1!$3:$3))</f>
        <v>#REF!</v>
      </c>
      <c r="R15" s="247" t="e">
        <f>INDEX(情形1!$20:$20,MATCH('FY25 S.3'!R$9,情形1!$3:$3))+INDEX(情形1!#REF!,MATCH('FY25 S.3'!R$9,情形1!$3:$3))</f>
        <v>#REF!</v>
      </c>
      <c r="S15" s="247" t="e">
        <f>INDEX(情形1!$20:$20,MATCH('FY25 S.3'!S$9,情形1!$3:$3))+INDEX(情形1!#REF!,MATCH('FY25 S.3'!S$9,情形1!$3:$3))</f>
        <v>#REF!</v>
      </c>
      <c r="T15" s="247" t="e">
        <f>INDEX(情形1!$20:$20,MATCH('FY25 S.3'!T$9,情形1!$3:$3))+INDEX(情形1!#REF!,MATCH('FY25 S.3'!T$9,情形1!$3:$3))</f>
        <v>#REF!</v>
      </c>
      <c r="U15" s="247" t="e">
        <f>INDEX(情形1!$20:$20,MATCH('FY25 S.3'!U$9,情形1!$3:$3))+INDEX(情形1!#REF!,MATCH('FY25 S.3'!U$9,情形1!$3:$3))</f>
        <v>#REF!</v>
      </c>
      <c r="V15" s="247" t="e">
        <f>INDEX(情形1!$20:$20,MATCH('FY25 S.3'!V$9,情形1!$3:$3))+INDEX(情形1!#REF!,MATCH('FY25 S.3'!V$9,情形1!$3:$3))</f>
        <v>#REF!</v>
      </c>
      <c r="W15" s="247" t="e">
        <f>INDEX(情形1!$20:$20,MATCH('FY25 S.3'!W$9,情形1!$3:$3))+INDEX(情形1!#REF!,MATCH('FY25 S.3'!W$9,情形1!$3:$3))</f>
        <v>#REF!</v>
      </c>
      <c r="X15" s="247" t="e">
        <f>INDEX(情形1!$20:$20,MATCH('FY25 S.3'!X$9,情形1!$3:$3))+INDEX(情形1!#REF!,MATCH('FY25 S.3'!X$9,情形1!$3:$3))</f>
        <v>#REF!</v>
      </c>
      <c r="Y15" s="247" t="e">
        <f>INDEX(情形1!$20:$20,MATCH('FY25 S.3'!Y$9,情形1!$3:$3))+INDEX(情形1!#REF!,MATCH('FY25 S.3'!Y$9,情形1!$3:$3))</f>
        <v>#REF!</v>
      </c>
      <c r="Z15" s="247" t="e">
        <f>INDEX(情形1!$20:$20,MATCH('FY25 S.3'!Z$9,情形1!$3:$3))+INDEX(情形1!#REF!,MATCH('FY25 S.3'!Z$9,情形1!$3:$3))</f>
        <v>#REF!</v>
      </c>
      <c r="AA15" s="247" t="e">
        <f>INDEX(情形1!$20:$20,MATCH('FY25 S.3'!AA$9,情形1!$3:$3))+INDEX(情形1!#REF!,MATCH('FY25 S.3'!AA$9,情形1!$3:$3))</f>
        <v>#REF!</v>
      </c>
      <c r="AB15" s="247" t="e">
        <f>INDEX(情形1!$20:$20,MATCH('FY25 S.3'!AB$9,情形1!$3:$3))+INDEX(情形1!#REF!,MATCH('FY25 S.3'!AB$9,情形1!$3:$3))</f>
        <v>#REF!</v>
      </c>
      <c r="AC15" s="247" t="e">
        <f>INDEX(情形1!$20:$20,MATCH('FY25 S.3'!AC$9,情形1!$3:$3))+INDEX(情形1!#REF!,MATCH('FY25 S.3'!AC$9,情形1!$3:$3))</f>
        <v>#REF!</v>
      </c>
      <c r="AD15" s="247" t="e">
        <f>INDEX(情形1!$20:$20,MATCH('FY25 S.3'!AD$9,情形1!$3:$3))+INDEX(情形1!#REF!,MATCH('FY25 S.3'!AD$9,情形1!$3:$3))</f>
        <v>#REF!</v>
      </c>
      <c r="AE15" s="247" t="e">
        <f>INDEX(情形1!$20:$20,MATCH('FY25 S.3'!AE$9,情形1!$3:$3))+INDEX(情形1!#REF!,MATCH('FY25 S.3'!AE$9,情形1!$3:$3))</f>
        <v>#REF!</v>
      </c>
      <c r="AF15" s="247" t="e">
        <f>INDEX(情形1!$20:$20,MATCH('FY25 S.3'!AF$9,情形1!$3:$3))+INDEX(情形1!#REF!,MATCH('FY25 S.3'!AF$9,情形1!$3:$3))</f>
        <v>#REF!</v>
      </c>
      <c r="AG15" s="248" t="e">
        <f t="shared" ref="AG15:AG19" si="25">SUM(O15:AF15)</f>
        <v>#REF!</v>
      </c>
      <c r="AH15" s="249"/>
      <c r="AI15" s="245"/>
      <c r="AJ15" s="245"/>
    </row>
    <row r="16" spans="1:36">
      <c r="E16" s="221"/>
      <c r="F16" s="246" t="s">
        <v>2906</v>
      </c>
      <c r="G16" s="242"/>
      <c r="H16" s="243"/>
      <c r="I16" s="247">
        <v>0</v>
      </c>
      <c r="J16" s="247">
        <v>0</v>
      </c>
      <c r="K16" s="247">
        <v>0</v>
      </c>
      <c r="L16" s="247">
        <v>0</v>
      </c>
      <c r="M16" s="247">
        <v>0</v>
      </c>
      <c r="N16" s="247">
        <v>0</v>
      </c>
      <c r="O16" s="247" t="e">
        <f t="shared" ref="O16:T16" si="26">-O15*30%</f>
        <v>#REF!</v>
      </c>
      <c r="P16" s="247" t="e">
        <f t="shared" si="26"/>
        <v>#REF!</v>
      </c>
      <c r="Q16" s="247" t="e">
        <f t="shared" si="26"/>
        <v>#REF!</v>
      </c>
      <c r="R16" s="247" t="e">
        <f t="shared" si="26"/>
        <v>#REF!</v>
      </c>
      <c r="S16" s="247" t="e">
        <f t="shared" si="26"/>
        <v>#REF!</v>
      </c>
      <c r="T16" s="247" t="e">
        <f t="shared" si="26"/>
        <v>#REF!</v>
      </c>
      <c r="U16" s="247" t="e">
        <f t="shared" ref="U16" si="27">-U15*30%</f>
        <v>#REF!</v>
      </c>
      <c r="V16" s="247" t="e">
        <f t="shared" ref="V16" si="28">-V15*30%</f>
        <v>#REF!</v>
      </c>
      <c r="W16" s="247" t="e">
        <f t="shared" ref="W16" si="29">-W15*30%</f>
        <v>#REF!</v>
      </c>
      <c r="X16" s="247" t="e">
        <f t="shared" ref="X16" si="30">-X15*30%</f>
        <v>#REF!</v>
      </c>
      <c r="Y16" s="247" t="e">
        <f t="shared" ref="Y16" si="31">-Y15*30%</f>
        <v>#REF!</v>
      </c>
      <c r="Z16" s="247" t="e">
        <f t="shared" ref="Z16" si="32">-Z15*30%</f>
        <v>#REF!</v>
      </c>
      <c r="AA16" s="247" t="e">
        <f t="shared" ref="AA16" si="33">-AA15*30%</f>
        <v>#REF!</v>
      </c>
      <c r="AB16" s="247" t="e">
        <f t="shared" ref="AB16" si="34">-AB15*30%</f>
        <v>#REF!</v>
      </c>
      <c r="AC16" s="247" t="e">
        <f t="shared" ref="AC16" si="35">-AC15*30%</f>
        <v>#REF!</v>
      </c>
      <c r="AD16" s="247" t="e">
        <f t="shared" ref="AD16" si="36">-AD15*30%</f>
        <v>#REF!</v>
      </c>
      <c r="AE16" s="247" t="e">
        <f t="shared" ref="AE16" si="37">-AE15*30%</f>
        <v>#REF!</v>
      </c>
      <c r="AF16" s="247" t="e">
        <f t="shared" ref="AF16" si="38">-AF15*30%</f>
        <v>#REF!</v>
      </c>
      <c r="AG16" s="248" t="e">
        <f t="shared" si="25"/>
        <v>#REF!</v>
      </c>
      <c r="AH16" s="249"/>
      <c r="AI16" s="245"/>
      <c r="AJ16" s="245"/>
    </row>
    <row r="17" spans="1:36">
      <c r="E17" s="221"/>
      <c r="F17" s="246" t="s">
        <v>2907</v>
      </c>
      <c r="G17" s="242"/>
      <c r="H17" s="243"/>
      <c r="I17" s="247"/>
      <c r="J17" s="247"/>
      <c r="K17" s="247"/>
      <c r="L17" s="247"/>
      <c r="M17" s="247"/>
      <c r="N17" s="247"/>
      <c r="O17" s="247"/>
      <c r="P17" s="247"/>
      <c r="Q17" s="247"/>
      <c r="R17" s="247"/>
      <c r="S17" s="247"/>
      <c r="T17" s="247"/>
      <c r="U17" s="247" t="e">
        <f>-SUM(O16:T16)*#REF!</f>
        <v>#REF!</v>
      </c>
      <c r="V17" s="247"/>
      <c r="W17" s="247"/>
      <c r="X17" s="247"/>
      <c r="Y17" s="247"/>
      <c r="Z17" s="247"/>
      <c r="AA17" s="247"/>
      <c r="AB17" s="247"/>
      <c r="AC17" s="247"/>
      <c r="AD17" s="247"/>
      <c r="AE17" s="247"/>
      <c r="AF17" s="247"/>
      <c r="AG17" s="248" t="e">
        <f t="shared" si="25"/>
        <v>#REF!</v>
      </c>
      <c r="AH17" s="249"/>
      <c r="AI17" s="245"/>
      <c r="AJ17" s="245"/>
    </row>
    <row r="18" spans="1:36">
      <c r="E18" s="221"/>
      <c r="F18" s="246" t="s">
        <v>2908</v>
      </c>
      <c r="G18" s="242"/>
      <c r="H18" s="243"/>
      <c r="I18" s="247">
        <v>0</v>
      </c>
      <c r="J18" s="247">
        <v>0</v>
      </c>
      <c r="K18" s="247">
        <v>0</v>
      </c>
      <c r="L18" s="247">
        <v>0</v>
      </c>
      <c r="M18" s="247">
        <v>0</v>
      </c>
      <c r="N18" s="247">
        <v>0</v>
      </c>
      <c r="O18" s="247">
        <v>0</v>
      </c>
      <c r="P18" s="247" t="e">
        <f>INDEX(情形1!$G$38:$T$38,MATCH('FY25 S.3'!P$9,情形1!$G$3:$T$3))</f>
        <v>#N/A</v>
      </c>
      <c r="Q18" s="247" t="e">
        <f>INDEX(情形1!$G$38:$T$38,MATCH('FY25 S.3'!Q$9,情形1!$G$3:$T$3))</f>
        <v>#N/A</v>
      </c>
      <c r="R18" s="247" t="e">
        <f>INDEX(情形1!$G$38:$T$38,MATCH('FY25 S.3'!R$9,情形1!$G$3:$T$3))</f>
        <v>#N/A</v>
      </c>
      <c r="S18" s="247" t="e">
        <f>INDEX(情形1!$G$38:$T$38,MATCH('FY25 S.3'!S$9,情形1!$G$3:$T$3))</f>
        <v>#N/A</v>
      </c>
      <c r="T18" s="247">
        <f>INDEX(情形1!$G$38:$T$38,MATCH('FY25 S.3'!T$9,情形1!$G$3:$T$3))</f>
        <v>550</v>
      </c>
      <c r="U18" s="247">
        <f>INDEX(情形1!$G$38:$T$38,MATCH('FY25 S.3'!U$9,情形1!$G$3:$T$3))</f>
        <v>137.5</v>
      </c>
      <c r="V18" s="247">
        <f>INDEX(情形1!$G$38:$T$38,MATCH('FY25 S.3'!V$9,情形1!$G$3:$T$3))</f>
        <v>0</v>
      </c>
      <c r="W18" s="247">
        <f>INDEX(情形1!$G$38:$T$38,MATCH('FY25 S.3'!W$9,情形1!$G$3:$T$3))</f>
        <v>0</v>
      </c>
      <c r="X18" s="247">
        <f>INDEX(情形1!$G$38:$T$38,MATCH('FY25 S.3'!X$9,情形1!$G$3:$T$3))</f>
        <v>137.5</v>
      </c>
      <c r="Y18" s="247">
        <f>INDEX(情形1!$G$38:$T$38,MATCH('FY25 S.3'!Y$9,情形1!$G$3:$T$3))</f>
        <v>0</v>
      </c>
      <c r="Z18" s="247">
        <f>INDEX(情形1!$G$38:$T$38,MATCH('FY25 S.3'!Z$9,情形1!$G$3:$T$3))</f>
        <v>79.452054794520549</v>
      </c>
      <c r="AA18" s="247">
        <f>INDEX(情形1!$G$38:$T$38,MATCH('FY25 S.3'!AA$9,情形1!$G$3:$T$3))</f>
        <v>387.5</v>
      </c>
      <c r="AB18" s="247">
        <f>INDEX(情形1!$G$38:$T$38,MATCH('FY25 S.3'!AB$9,情形1!$G$3:$T$3))</f>
        <v>0</v>
      </c>
      <c r="AC18" s="247">
        <f>INDEX(情形1!$G$38:$T$38,MATCH('FY25 S.3'!AC$9,情形1!$G$3:$T$3))</f>
        <v>0</v>
      </c>
      <c r="AD18" s="247">
        <f>INDEX(情形1!$G$38:$T$38,MATCH('FY25 S.3'!AD$9,情形1!$G$3:$T$3))</f>
        <v>387.5</v>
      </c>
      <c r="AE18" s="247">
        <f>INDEX(情形1!$G$38:$T$38,MATCH('FY25 S.3'!AE$9,情形1!$G$3:$T$3))</f>
        <v>0</v>
      </c>
      <c r="AF18" s="247">
        <f>INDEX(情形1!$G$38:$T$38,MATCH('FY25 S.3'!AF$9,情形1!$G$3:$T$3))</f>
        <v>328.76712328767121</v>
      </c>
      <c r="AG18" s="248" t="e">
        <f t="shared" si="25"/>
        <v>#N/A</v>
      </c>
      <c r="AH18" s="249"/>
      <c r="AI18" s="245"/>
      <c r="AJ18" s="245"/>
    </row>
    <row r="19" spans="1:36">
      <c r="E19" s="221"/>
      <c r="F19" s="246" t="s">
        <v>2909</v>
      </c>
      <c r="G19" s="242"/>
      <c r="H19" s="243"/>
      <c r="I19" s="247">
        <v>0</v>
      </c>
      <c r="J19" s="247">
        <v>0</v>
      </c>
      <c r="K19" s="247">
        <v>0</v>
      </c>
      <c r="L19" s="247">
        <v>0</v>
      </c>
      <c r="M19" s="247">
        <v>0</v>
      </c>
      <c r="N19" s="247">
        <v>0</v>
      </c>
      <c r="O19" s="247"/>
      <c r="P19" s="247"/>
      <c r="Q19" s="247"/>
      <c r="R19" s="247"/>
      <c r="S19" s="247"/>
      <c r="T19" s="247"/>
      <c r="U19" s="247">
        <f>情形1!H47</f>
        <v>0</v>
      </c>
      <c r="V19" s="247"/>
      <c r="W19" s="247"/>
      <c r="X19" s="247"/>
      <c r="Y19" s="247"/>
      <c r="Z19" s="247"/>
      <c r="AA19" s="247"/>
      <c r="AB19" s="247"/>
      <c r="AC19" s="247"/>
      <c r="AD19" s="247"/>
      <c r="AE19" s="247"/>
      <c r="AF19" s="247"/>
      <c r="AG19" s="248">
        <f t="shared" si="25"/>
        <v>0</v>
      </c>
      <c r="AH19" s="249"/>
      <c r="AI19" s="245"/>
      <c r="AJ19" s="245"/>
    </row>
    <row r="20" spans="1:36">
      <c r="E20" s="221"/>
      <c r="F20" s="250"/>
      <c r="G20" s="242"/>
      <c r="H20" s="243"/>
      <c r="I20" s="247"/>
      <c r="J20" s="247"/>
      <c r="K20" s="247"/>
      <c r="L20" s="247"/>
      <c r="M20" s="247"/>
      <c r="N20" s="247"/>
      <c r="O20" s="247"/>
      <c r="P20" s="247"/>
      <c r="Q20" s="247"/>
      <c r="R20" s="247"/>
      <c r="S20" s="247"/>
      <c r="T20" s="247"/>
      <c r="U20" s="247"/>
      <c r="V20" s="247"/>
      <c r="W20" s="247"/>
      <c r="X20" s="247"/>
      <c r="Y20" s="247"/>
      <c r="Z20" s="247"/>
      <c r="AA20" s="247"/>
      <c r="AB20" s="247"/>
      <c r="AC20" s="247"/>
      <c r="AD20" s="247"/>
      <c r="AE20" s="247"/>
      <c r="AF20" s="247"/>
      <c r="AG20" s="251"/>
      <c r="AH20" s="252"/>
      <c r="AI20" s="245"/>
      <c r="AJ20" s="245"/>
    </row>
    <row r="21" spans="1:36">
      <c r="E21" s="221"/>
      <c r="F21" s="253" t="s">
        <v>2775</v>
      </c>
      <c r="G21" s="242"/>
      <c r="H21" s="243"/>
      <c r="I21" s="254">
        <f>SUBTOTAL(9,I14:I20)</f>
        <v>2291571.38</v>
      </c>
      <c r="J21" s="254">
        <f t="shared" ref="J21:U21" si="39">SUBTOTAL(9,J14:J20)</f>
        <v>0</v>
      </c>
      <c r="K21" s="254">
        <f t="shared" si="39"/>
        <v>0</v>
      </c>
      <c r="L21" s="254">
        <f t="shared" si="39"/>
        <v>0</v>
      </c>
      <c r="M21" s="254">
        <f t="shared" si="39"/>
        <v>1536066.24</v>
      </c>
      <c r="N21" s="254">
        <f t="shared" si="39"/>
        <v>0</v>
      </c>
      <c r="O21" s="254" t="e">
        <f t="shared" si="39"/>
        <v>#REF!</v>
      </c>
      <c r="P21" s="254" t="e">
        <f t="shared" si="39"/>
        <v>#REF!</v>
      </c>
      <c r="Q21" s="254" t="e">
        <f t="shared" si="39"/>
        <v>#REF!</v>
      </c>
      <c r="R21" s="254" t="e">
        <f t="shared" si="39"/>
        <v>#REF!</v>
      </c>
      <c r="S21" s="254" t="e">
        <f t="shared" si="39"/>
        <v>#REF!</v>
      </c>
      <c r="T21" s="254" t="e">
        <f t="shared" si="39"/>
        <v>#REF!</v>
      </c>
      <c r="U21" s="254" t="e">
        <f t="shared" si="39"/>
        <v>#REF!</v>
      </c>
      <c r="V21" s="254" t="e">
        <f t="shared" ref="V21:AF21" si="40">SUBTOTAL(9,V14:V20)</f>
        <v>#REF!</v>
      </c>
      <c r="W21" s="254" t="e">
        <f t="shared" si="40"/>
        <v>#REF!</v>
      </c>
      <c r="X21" s="254" t="e">
        <f t="shared" si="40"/>
        <v>#REF!</v>
      </c>
      <c r="Y21" s="254" t="e">
        <f t="shared" si="40"/>
        <v>#REF!</v>
      </c>
      <c r="Z21" s="254" t="e">
        <f t="shared" si="40"/>
        <v>#REF!</v>
      </c>
      <c r="AA21" s="254" t="e">
        <f t="shared" si="40"/>
        <v>#REF!</v>
      </c>
      <c r="AB21" s="254" t="e">
        <f t="shared" si="40"/>
        <v>#REF!</v>
      </c>
      <c r="AC21" s="254" t="e">
        <f t="shared" si="40"/>
        <v>#REF!</v>
      </c>
      <c r="AD21" s="254" t="e">
        <f t="shared" si="40"/>
        <v>#REF!</v>
      </c>
      <c r="AE21" s="254" t="e">
        <f t="shared" si="40"/>
        <v>#REF!</v>
      </c>
      <c r="AF21" s="254" t="e">
        <f t="shared" si="40"/>
        <v>#REF!</v>
      </c>
      <c r="AG21" s="255" t="e">
        <f>SUM(O21:AF21)</f>
        <v>#REF!</v>
      </c>
      <c r="AH21" s="256"/>
      <c r="AI21" s="245"/>
      <c r="AJ21" s="245"/>
    </row>
    <row r="22" spans="1:36">
      <c r="E22" s="221"/>
      <c r="F22" s="253"/>
      <c r="G22" s="242"/>
      <c r="H22" s="243"/>
      <c r="I22" s="257"/>
      <c r="J22" s="257"/>
      <c r="K22" s="257"/>
      <c r="L22" s="257"/>
      <c r="M22" s="257"/>
      <c r="N22" s="257"/>
      <c r="O22" s="257"/>
      <c r="P22" s="257"/>
      <c r="Q22" s="257"/>
      <c r="R22" s="257"/>
      <c r="S22" s="257"/>
      <c r="T22" s="257"/>
      <c r="U22" s="257"/>
      <c r="V22" s="257"/>
      <c r="W22" s="257"/>
      <c r="X22" s="257"/>
      <c r="Y22" s="257"/>
      <c r="Z22" s="257"/>
      <c r="AA22" s="257"/>
      <c r="AB22" s="257"/>
      <c r="AC22" s="257"/>
      <c r="AD22" s="257"/>
      <c r="AE22" s="257"/>
      <c r="AF22" s="257"/>
      <c r="AG22" s="258"/>
      <c r="AH22" s="259"/>
      <c r="AI22" s="245"/>
      <c r="AJ22" s="245"/>
    </row>
    <row r="23" spans="1:36">
      <c r="B23" s="192">
        <v>800100</v>
      </c>
      <c r="E23" s="221"/>
      <c r="F23" s="246" t="s">
        <v>1924</v>
      </c>
      <c r="G23" s="242"/>
      <c r="H23" s="243"/>
      <c r="I23" s="247">
        <v>536.62442580000004</v>
      </c>
      <c r="J23" s="247">
        <v>1648.6270499480199</v>
      </c>
      <c r="K23" s="247">
        <v>21081.590431862998</v>
      </c>
      <c r="L23" s="247">
        <v>227.48327217785501</v>
      </c>
      <c r="M23" s="247">
        <v>517.16672787366895</v>
      </c>
      <c r="N23" s="247">
        <v>2621.0349175000001</v>
      </c>
      <c r="O23" s="247">
        <f t="shared" ref="O23:AF23" si="41">AVERAGE(M130:N130)*0.9%/12</f>
        <v>10923.4770926934</v>
      </c>
      <c r="P23" s="247">
        <f t="shared" si="41"/>
        <v>9692.2678675129191</v>
      </c>
      <c r="Q23" s="247" t="e">
        <f t="shared" si="41"/>
        <v>#REF!</v>
      </c>
      <c r="R23" s="247" t="e">
        <f t="shared" si="41"/>
        <v>#REF!</v>
      </c>
      <c r="S23" s="247" t="e">
        <f t="shared" si="41"/>
        <v>#REF!</v>
      </c>
      <c r="T23" s="247" t="e">
        <f t="shared" si="41"/>
        <v>#REF!</v>
      </c>
      <c r="U23" s="247" t="e">
        <f t="shared" si="41"/>
        <v>#REF!</v>
      </c>
      <c r="V23" s="247" t="e">
        <f t="shared" si="41"/>
        <v>#REF!</v>
      </c>
      <c r="W23" s="247" t="e">
        <f t="shared" si="41"/>
        <v>#REF!</v>
      </c>
      <c r="X23" s="247" t="e">
        <f t="shared" si="41"/>
        <v>#REF!</v>
      </c>
      <c r="Y23" s="247" t="e">
        <f t="shared" si="41"/>
        <v>#REF!</v>
      </c>
      <c r="Z23" s="247" t="e">
        <f t="shared" si="41"/>
        <v>#REF!</v>
      </c>
      <c r="AA23" s="247" t="e">
        <f t="shared" si="41"/>
        <v>#REF!</v>
      </c>
      <c r="AB23" s="247" t="e">
        <f t="shared" si="41"/>
        <v>#REF!</v>
      </c>
      <c r="AC23" s="247" t="e">
        <f t="shared" si="41"/>
        <v>#REF!</v>
      </c>
      <c r="AD23" s="247" t="e">
        <f t="shared" si="41"/>
        <v>#REF!</v>
      </c>
      <c r="AE23" s="247" t="e">
        <f t="shared" si="41"/>
        <v>#REF!</v>
      </c>
      <c r="AF23" s="247" t="e">
        <f t="shared" si="41"/>
        <v>#REF!</v>
      </c>
      <c r="AG23" s="251" t="e">
        <f>SUM(I23:T23)</f>
        <v>#REF!</v>
      </c>
      <c r="AH23" s="252"/>
      <c r="AI23" s="245"/>
      <c r="AJ23" s="245"/>
    </row>
    <row r="24" spans="1:36">
      <c r="B24" s="192">
        <v>800110</v>
      </c>
      <c r="E24" s="221"/>
      <c r="F24" s="246" t="s">
        <v>1957</v>
      </c>
      <c r="G24" s="242"/>
      <c r="H24" s="243"/>
      <c r="I24" s="247">
        <v>1131.28</v>
      </c>
      <c r="J24" s="247">
        <v>7207.78</v>
      </c>
      <c r="K24" s="247">
        <v>2400</v>
      </c>
      <c r="L24" s="247">
        <v>53367.25</v>
      </c>
      <c r="M24" s="247">
        <v>0</v>
      </c>
      <c r="N24" s="247">
        <v>0</v>
      </c>
      <c r="O24" s="247">
        <v>0</v>
      </c>
      <c r="P24" s="247">
        <v>0</v>
      </c>
      <c r="Q24" s="247">
        <v>0</v>
      </c>
      <c r="R24" s="247">
        <v>0</v>
      </c>
      <c r="S24" s="247">
        <v>0</v>
      </c>
      <c r="T24" s="247">
        <v>0</v>
      </c>
      <c r="U24" s="247">
        <v>0</v>
      </c>
      <c r="V24" s="247">
        <v>0</v>
      </c>
      <c r="W24" s="247">
        <v>0</v>
      </c>
      <c r="X24" s="247">
        <v>0</v>
      </c>
      <c r="Y24" s="247">
        <v>0</v>
      </c>
      <c r="Z24" s="247">
        <v>0</v>
      </c>
      <c r="AA24" s="247">
        <v>0</v>
      </c>
      <c r="AB24" s="247">
        <v>0</v>
      </c>
      <c r="AC24" s="247">
        <v>0</v>
      </c>
      <c r="AD24" s="247">
        <v>0</v>
      </c>
      <c r="AE24" s="247">
        <v>0</v>
      </c>
      <c r="AF24" s="247">
        <v>0</v>
      </c>
      <c r="AG24" s="251">
        <f t="shared" ref="AG24" si="42">SUM(I24:T24)</f>
        <v>64106.31</v>
      </c>
      <c r="AH24" s="252"/>
      <c r="AI24" s="245"/>
      <c r="AJ24" s="245"/>
    </row>
    <row r="25" spans="1:36">
      <c r="E25" s="221"/>
      <c r="F25" s="253"/>
      <c r="G25" s="242"/>
      <c r="H25" s="243"/>
      <c r="I25" s="260"/>
      <c r="J25" s="260"/>
      <c r="K25" s="260"/>
      <c r="L25" s="260"/>
      <c r="M25" s="260"/>
      <c r="N25" s="260"/>
      <c r="O25" s="261"/>
      <c r="P25" s="261"/>
      <c r="Q25" s="261"/>
      <c r="R25" s="261"/>
      <c r="S25" s="261"/>
      <c r="T25" s="261"/>
      <c r="U25" s="260"/>
      <c r="V25" s="260"/>
      <c r="W25" s="260"/>
      <c r="X25" s="260"/>
      <c r="Y25" s="260"/>
      <c r="Z25" s="260"/>
      <c r="AA25" s="261"/>
      <c r="AB25" s="261"/>
      <c r="AC25" s="261"/>
      <c r="AD25" s="261"/>
      <c r="AE25" s="261"/>
      <c r="AF25" s="261"/>
      <c r="AG25" s="262"/>
      <c r="AH25" s="263"/>
      <c r="AI25" s="245"/>
      <c r="AJ25" s="245"/>
    </row>
    <row r="26" spans="1:36" s="191" customFormat="1">
      <c r="A26" s="264"/>
      <c r="B26" s="264"/>
      <c r="C26" s="264"/>
      <c r="D26" s="264"/>
      <c r="E26" s="216"/>
      <c r="F26" s="265" t="s">
        <v>2776</v>
      </c>
      <c r="G26" s="266"/>
      <c r="H26" s="243"/>
      <c r="I26" s="267">
        <f t="shared" ref="I26:T26" si="43">SUBTOTAL(9,I13:I24)</f>
        <v>2293239.2844258002</v>
      </c>
      <c r="J26" s="267">
        <f t="shared" si="43"/>
        <v>8856.4070499480204</v>
      </c>
      <c r="K26" s="267">
        <f t="shared" si="43"/>
        <v>23481.590431862998</v>
      </c>
      <c r="L26" s="267">
        <f t="shared" si="43"/>
        <v>53594.733272177902</v>
      </c>
      <c r="M26" s="267">
        <f t="shared" si="43"/>
        <v>1536583.40672787</v>
      </c>
      <c r="N26" s="267">
        <f t="shared" si="43"/>
        <v>2621.0349175000001</v>
      </c>
      <c r="O26" s="267" t="e">
        <f t="shared" si="43"/>
        <v>#REF!</v>
      </c>
      <c r="P26" s="267" t="e">
        <f t="shared" si="43"/>
        <v>#REF!</v>
      </c>
      <c r="Q26" s="267" t="e">
        <f t="shared" si="43"/>
        <v>#REF!</v>
      </c>
      <c r="R26" s="267" t="e">
        <f t="shared" si="43"/>
        <v>#REF!</v>
      </c>
      <c r="S26" s="267" t="e">
        <f t="shared" si="43"/>
        <v>#REF!</v>
      </c>
      <c r="T26" s="267" t="e">
        <f t="shared" si="43"/>
        <v>#REF!</v>
      </c>
      <c r="U26" s="267" t="e">
        <f t="shared" ref="U26:AF26" si="44">SUBTOTAL(9,U13:U24)</f>
        <v>#REF!</v>
      </c>
      <c r="V26" s="267" t="e">
        <f t="shared" si="44"/>
        <v>#REF!</v>
      </c>
      <c r="W26" s="267" t="e">
        <f t="shared" si="44"/>
        <v>#REF!</v>
      </c>
      <c r="X26" s="267" t="e">
        <f t="shared" si="44"/>
        <v>#REF!</v>
      </c>
      <c r="Y26" s="267" t="e">
        <f t="shared" si="44"/>
        <v>#REF!</v>
      </c>
      <c r="Z26" s="267" t="e">
        <f t="shared" si="44"/>
        <v>#REF!</v>
      </c>
      <c r="AA26" s="267" t="e">
        <f t="shared" si="44"/>
        <v>#REF!</v>
      </c>
      <c r="AB26" s="267" t="e">
        <f t="shared" si="44"/>
        <v>#REF!</v>
      </c>
      <c r="AC26" s="267" t="e">
        <f t="shared" si="44"/>
        <v>#REF!</v>
      </c>
      <c r="AD26" s="267" t="e">
        <f t="shared" si="44"/>
        <v>#REF!</v>
      </c>
      <c r="AE26" s="267" t="e">
        <f t="shared" si="44"/>
        <v>#REF!</v>
      </c>
      <c r="AF26" s="267" t="e">
        <f t="shared" si="44"/>
        <v>#REF!</v>
      </c>
      <c r="AG26" s="268" t="e">
        <f>SUM(I26:T26)</f>
        <v>#REF!</v>
      </c>
      <c r="AH26" s="269"/>
      <c r="AI26" s="270"/>
      <c r="AJ26" s="270"/>
    </row>
    <row r="27" spans="1:36" s="191" customFormat="1">
      <c r="A27" s="264"/>
      <c r="B27" s="264"/>
      <c r="C27" s="264"/>
      <c r="D27" s="264"/>
      <c r="E27" s="216"/>
      <c r="F27" s="271"/>
      <c r="G27" s="242"/>
      <c r="H27" s="243"/>
      <c r="I27" s="272"/>
      <c r="J27" s="272"/>
      <c r="K27" s="272"/>
      <c r="L27" s="272"/>
      <c r="M27" s="272"/>
      <c r="N27" s="272"/>
      <c r="O27" s="272"/>
      <c r="P27" s="272"/>
      <c r="Q27" s="272"/>
      <c r="R27" s="272"/>
      <c r="S27" s="272"/>
      <c r="T27" s="272"/>
      <c r="U27" s="272"/>
      <c r="V27" s="272"/>
      <c r="W27" s="272"/>
      <c r="X27" s="272"/>
      <c r="Y27" s="272"/>
      <c r="Z27" s="272"/>
      <c r="AA27" s="272"/>
      <c r="AB27" s="272"/>
      <c r="AC27" s="272"/>
      <c r="AD27" s="272"/>
      <c r="AE27" s="272"/>
      <c r="AF27" s="272"/>
      <c r="AG27" s="248"/>
      <c r="AH27" s="269"/>
      <c r="AI27" s="270"/>
      <c r="AJ27" s="270"/>
    </row>
    <row r="28" spans="1:36" ht="11.25" customHeight="1">
      <c r="E28" s="221"/>
      <c r="F28" s="273"/>
      <c r="G28" s="242"/>
      <c r="H28" s="243"/>
      <c r="I28" s="260"/>
      <c r="J28" s="260"/>
      <c r="K28" s="260"/>
      <c r="L28" s="260"/>
      <c r="M28" s="260"/>
      <c r="N28" s="260"/>
      <c r="O28" s="260"/>
      <c r="P28" s="260"/>
      <c r="Q28" s="260"/>
      <c r="R28" s="260"/>
      <c r="S28" s="260"/>
      <c r="T28" s="260"/>
      <c r="U28" s="260"/>
      <c r="V28" s="260"/>
      <c r="W28" s="260"/>
      <c r="X28" s="260"/>
      <c r="Y28" s="260"/>
      <c r="Z28" s="260"/>
      <c r="AA28" s="260"/>
      <c r="AB28" s="260"/>
      <c r="AC28" s="260"/>
      <c r="AD28" s="260"/>
      <c r="AE28" s="260"/>
      <c r="AF28" s="260"/>
      <c r="AG28" s="248"/>
      <c r="AH28" s="249"/>
      <c r="AI28" s="245"/>
      <c r="AJ28" s="245"/>
    </row>
    <row r="29" spans="1:36">
      <c r="E29" s="274" t="s">
        <v>2910</v>
      </c>
      <c r="F29" s="274"/>
      <c r="G29" s="275"/>
      <c r="H29" s="243"/>
      <c r="I29" s="276"/>
      <c r="J29" s="276"/>
      <c r="K29" s="276"/>
      <c r="L29" s="276"/>
      <c r="M29" s="276"/>
      <c r="N29" s="276"/>
      <c r="O29" s="276"/>
      <c r="P29" s="276"/>
      <c r="Q29" s="276"/>
      <c r="R29" s="276"/>
      <c r="S29" s="276"/>
      <c r="T29" s="276"/>
      <c r="U29" s="276"/>
      <c r="V29" s="276"/>
      <c r="W29" s="276"/>
      <c r="X29" s="276"/>
      <c r="Y29" s="276"/>
      <c r="Z29" s="276"/>
      <c r="AA29" s="276"/>
      <c r="AB29" s="276"/>
      <c r="AC29" s="276"/>
      <c r="AD29" s="276"/>
      <c r="AE29" s="276"/>
      <c r="AF29" s="276"/>
      <c r="AG29" s="277"/>
      <c r="AH29" s="278"/>
      <c r="AI29" s="245"/>
      <c r="AJ29" s="245"/>
    </row>
    <row r="30" spans="1:36">
      <c r="E30" s="279"/>
      <c r="F30" s="280"/>
      <c r="G30" s="242"/>
      <c r="H30" s="243"/>
      <c r="I30" s="272"/>
      <c r="J30" s="272"/>
      <c r="K30" s="272"/>
      <c r="L30" s="272"/>
      <c r="M30" s="272"/>
      <c r="N30" s="272"/>
      <c r="O30" s="281"/>
      <c r="P30" s="281"/>
      <c r="Q30" s="281"/>
      <c r="R30" s="281"/>
      <c r="S30" s="281"/>
      <c r="T30" s="281"/>
      <c r="U30" s="272"/>
      <c r="V30" s="272"/>
      <c r="W30" s="272"/>
      <c r="X30" s="272"/>
      <c r="Y30" s="272"/>
      <c r="Z30" s="272"/>
      <c r="AA30" s="281"/>
      <c r="AB30" s="281"/>
      <c r="AC30" s="281"/>
      <c r="AD30" s="281"/>
      <c r="AE30" s="281"/>
      <c r="AF30" s="281"/>
      <c r="AG30" s="277"/>
      <c r="AH30" s="278"/>
      <c r="AI30" s="245"/>
      <c r="AJ30" s="245"/>
    </row>
    <row r="31" spans="1:36">
      <c r="E31" s="221"/>
      <c r="F31" s="282" t="s">
        <v>2778</v>
      </c>
      <c r="G31" s="283"/>
      <c r="H31" s="243"/>
      <c r="I31" s="284"/>
      <c r="J31" s="284"/>
      <c r="K31" s="284"/>
      <c r="L31" s="284"/>
      <c r="M31" s="284"/>
      <c r="N31" s="284"/>
      <c r="O31" s="284"/>
      <c r="P31" s="284"/>
      <c r="Q31" s="284"/>
      <c r="R31" s="284"/>
      <c r="S31" s="284"/>
      <c r="T31" s="285"/>
      <c r="U31" s="284"/>
      <c r="V31" s="284"/>
      <c r="W31" s="284"/>
      <c r="X31" s="284"/>
      <c r="Y31" s="284"/>
      <c r="Z31" s="284"/>
      <c r="AA31" s="284"/>
      <c r="AB31" s="284"/>
      <c r="AC31" s="284"/>
      <c r="AD31" s="284"/>
      <c r="AE31" s="284"/>
      <c r="AF31" s="285"/>
      <c r="AG31" s="286"/>
      <c r="AH31" s="287"/>
      <c r="AI31" s="245"/>
      <c r="AJ31" s="245"/>
    </row>
    <row r="32" spans="1:36" ht="14.45" customHeight="1">
      <c r="B32" s="192">
        <v>501001</v>
      </c>
      <c r="E32" s="221"/>
      <c r="F32" s="246" t="s">
        <v>2779</v>
      </c>
      <c r="G32" s="283"/>
      <c r="H32" s="243"/>
      <c r="I32" s="247">
        <v>0</v>
      </c>
      <c r="J32" s="247">
        <v>0</v>
      </c>
      <c r="K32" s="247">
        <v>0</v>
      </c>
      <c r="L32" s="247">
        <v>0</v>
      </c>
      <c r="M32" s="247">
        <v>0</v>
      </c>
      <c r="N32" s="247">
        <v>0</v>
      </c>
      <c r="O32" s="247">
        <f>-INDEX('[99]Personnel-HK'!$35:$35,MATCH(O$9,'[99]Personnel-HK'!$22:$22))</f>
        <v>-442596.56800000003</v>
      </c>
      <c r="P32" s="247">
        <f>-INDEX('[99]Personnel-HK'!$35:$35,MATCH(P$9,'[99]Personnel-HK'!$22:$22))</f>
        <v>-442596.56800000003</v>
      </c>
      <c r="Q32" s="247">
        <f>-INDEX('[99]Personnel-HK'!$35:$35,MATCH(Q$9,'[99]Personnel-HK'!$22:$22))</f>
        <v>-442596.56800000003</v>
      </c>
      <c r="R32" s="247">
        <f>-INDEX('[99]Personnel-HK'!$35:$35,MATCH(R$9,'[99]Personnel-HK'!$22:$22))</f>
        <v>-442596.56800000003</v>
      </c>
      <c r="S32" s="247">
        <f>-INDEX('[99]Personnel-HK'!$35:$35,MATCH(S$9,'[99]Personnel-HK'!$22:$22))</f>
        <v>-442596.56800000003</v>
      </c>
      <c r="T32" s="247">
        <f>-INDEX('[99]Personnel-HK'!$35:$35,MATCH(T$9,'[99]Personnel-HK'!$22:$22))</f>
        <v>-442596.56800000003</v>
      </c>
      <c r="U32" s="247">
        <f>-INDEX('[99]Personnel-HK'!$35:$35,MATCH(U$9,'[99]Personnel-HK'!$22:$22))</f>
        <v>-276938.728</v>
      </c>
      <c r="V32" s="247">
        <f>-INDEX('[99]Personnel-HK'!$35:$35,MATCH(V$9,'[99]Personnel-HK'!$22:$22))</f>
        <v>-276938.728</v>
      </c>
      <c r="W32" s="247">
        <f>-INDEX('[99]Personnel-HK'!$35:$35,MATCH(W$9,'[99]Personnel-HK'!$22:$22))</f>
        <v>-276938.728</v>
      </c>
      <c r="X32" s="247">
        <f>-INDEX('[99]Personnel-HK'!$35:$35,MATCH(X$9,'[99]Personnel-HK'!$22:$22))</f>
        <v>-276938.728</v>
      </c>
      <c r="Y32" s="247">
        <f>-INDEX('[99]Personnel-HK'!$35:$35,MATCH(Y$9,'[99]Personnel-HK'!$22:$22))</f>
        <v>-276938.728</v>
      </c>
      <c r="Z32" s="247">
        <f>-INDEX('[99]Personnel-HK'!$35:$35,MATCH(Z$9,'[99]Personnel-HK'!$22:$22))</f>
        <v>-276938.728</v>
      </c>
      <c r="AA32" s="247">
        <f>-INDEX('[99]Personnel-HK'!$35:$35,MATCH(AA$9,'[99]Personnel-HK'!$22:$22))</f>
        <v>-276938.728</v>
      </c>
      <c r="AB32" s="247">
        <f>-INDEX('[99]Personnel-HK'!$35:$35,MATCH(AB$9,'[99]Personnel-HK'!$22:$22))</f>
        <v>-276938.728</v>
      </c>
      <c r="AC32" s="247">
        <f>-INDEX('[99]Personnel-HK'!$35:$35,MATCH(AC$9,'[99]Personnel-HK'!$22:$22))</f>
        <v>-276938.728</v>
      </c>
      <c r="AD32" s="247">
        <f>-INDEX('[99]Personnel-HK'!$35:$35,MATCH(AD$9,'[99]Personnel-HK'!$22:$22))</f>
        <v>-276938.728</v>
      </c>
      <c r="AE32" s="247">
        <f>-INDEX('[99]Personnel-HK'!$35:$35,MATCH(AE$9,'[99]Personnel-HK'!$22:$22))</f>
        <v>-276938.728</v>
      </c>
      <c r="AF32" s="247">
        <f>-INDEX('[99]Personnel-HK'!$35:$35,MATCH(AF$9,'[99]Personnel-HK'!$22:$22))</f>
        <v>-276938.728</v>
      </c>
      <c r="AG32" s="251">
        <f t="shared" ref="AG32:AG36" si="45">SUM(O32:AF32)</f>
        <v>-5978844.1440000003</v>
      </c>
      <c r="AH32" s="252"/>
    </row>
    <row r="33" spans="2:36" ht="14.45" customHeight="1">
      <c r="B33" s="192">
        <v>501002</v>
      </c>
      <c r="E33" s="221"/>
      <c r="F33" s="246" t="s">
        <v>2780</v>
      </c>
      <c r="G33" s="283"/>
      <c r="H33" s="243"/>
      <c r="I33" s="247">
        <v>0</v>
      </c>
      <c r="J33" s="247">
        <v>0</v>
      </c>
      <c r="K33" s="247">
        <v>0</v>
      </c>
      <c r="L33" s="247">
        <v>0</v>
      </c>
      <c r="M33" s="247">
        <v>0</v>
      </c>
      <c r="N33" s="247">
        <v>0</v>
      </c>
      <c r="O33" s="247">
        <f>-INDEX('[99]Personnel-HK'!$36:$36,MATCH(O$9,'[99]Personnel-HK'!$22:$22))</f>
        <v>-274566.357984</v>
      </c>
      <c r="P33" s="247">
        <f>-INDEX('[99]Personnel-HK'!$36:$36,MATCH(P$9,'[99]Personnel-HK'!$22:$22))</f>
        <v>-318041.35153238702</v>
      </c>
      <c r="Q33" s="247">
        <f>-INDEX('[99]Personnel-HK'!$36:$36,MATCH(Q$9,'[99]Personnel-HK'!$22:$22))</f>
        <v>-399043.71798399999</v>
      </c>
      <c r="R33" s="247">
        <f>-INDEX('[99]Personnel-HK'!$36:$36,MATCH(R$9,'[99]Personnel-HK'!$22:$22))</f>
        <v>-399043.71798399999</v>
      </c>
      <c r="S33" s="247">
        <f>-INDEX('[99]Personnel-HK'!$36:$36,MATCH(S$9,'[99]Personnel-HK'!$22:$22))</f>
        <v>-399043.71798399999</v>
      </c>
      <c r="T33" s="247">
        <f>-INDEX('[99]Personnel-HK'!$36:$36,MATCH(T$9,'[99]Personnel-HK'!$22:$22))</f>
        <v>-399043.71798399999</v>
      </c>
      <c r="U33" s="247">
        <f>-INDEX('[99]Personnel-HK'!$36:$36,MATCH(U$9,'[99]Personnel-HK'!$22:$22))</f>
        <v>-399043.71798399999</v>
      </c>
      <c r="V33" s="247">
        <f>-INDEX('[99]Personnel-HK'!$36:$36,MATCH(V$9,'[99]Personnel-HK'!$22:$22))</f>
        <v>-399043.71798399999</v>
      </c>
      <c r="W33" s="247">
        <f>-INDEX('[99]Personnel-HK'!$36:$36,MATCH(W$9,'[99]Personnel-HK'!$22:$22))</f>
        <v>-399043.71798399999</v>
      </c>
      <c r="X33" s="247">
        <f>-INDEX('[99]Personnel-HK'!$36:$36,MATCH(X$9,'[99]Personnel-HK'!$22:$22))</f>
        <v>-399043.71798399999</v>
      </c>
      <c r="Y33" s="247">
        <f>-INDEX('[99]Personnel-HK'!$36:$36,MATCH(Y$9,'[99]Personnel-HK'!$22:$22))</f>
        <v>-399043.71798399999</v>
      </c>
      <c r="Z33" s="247">
        <f>-INDEX('[99]Personnel-HK'!$36:$36,MATCH(Z$9,'[99]Personnel-HK'!$22:$22))</f>
        <v>-399043.71798399999</v>
      </c>
      <c r="AA33" s="247">
        <f>-INDEX('[99]Personnel-HK'!$36:$36,MATCH(AA$9,'[99]Personnel-HK'!$22:$22))</f>
        <v>-399043.71798399999</v>
      </c>
      <c r="AB33" s="247">
        <f>-INDEX('[99]Personnel-HK'!$36:$36,MATCH(AB$9,'[99]Personnel-HK'!$22:$22))</f>
        <v>-399043.71798399999</v>
      </c>
      <c r="AC33" s="247">
        <f>-INDEX('[99]Personnel-HK'!$36:$36,MATCH(AC$9,'[99]Personnel-HK'!$22:$22))</f>
        <v>-399043.71798399999</v>
      </c>
      <c r="AD33" s="247">
        <f>-INDEX('[99]Personnel-HK'!$36:$36,MATCH(AD$9,'[99]Personnel-HK'!$22:$22))</f>
        <v>-399043.71798399999</v>
      </c>
      <c r="AE33" s="247">
        <f>-INDEX('[99]Personnel-HK'!$36:$36,MATCH(AE$9,'[99]Personnel-HK'!$22:$22))</f>
        <v>-399043.71798399999</v>
      </c>
      <c r="AF33" s="247">
        <f>-INDEX('[99]Personnel-HK'!$36:$36,MATCH(AF$9,'[99]Personnel-HK'!$22:$22))</f>
        <v>-399043.71798399999</v>
      </c>
      <c r="AG33" s="251">
        <f t="shared" si="45"/>
        <v>-6977307.19726039</v>
      </c>
      <c r="AH33" s="252"/>
    </row>
    <row r="34" spans="2:36" ht="14.45" customHeight="1">
      <c r="E34" s="221"/>
      <c r="F34" s="246" t="s">
        <v>2781</v>
      </c>
      <c r="G34" s="283"/>
      <c r="H34" s="243"/>
      <c r="I34" s="247">
        <v>0</v>
      </c>
      <c r="J34" s="247">
        <v>0</v>
      </c>
      <c r="K34" s="247">
        <v>0</v>
      </c>
      <c r="L34" s="247">
        <v>0</v>
      </c>
      <c r="M34" s="247">
        <v>0</v>
      </c>
      <c r="N34" s="247">
        <v>0</v>
      </c>
      <c r="O34" s="247" t="e">
        <f>-INDEX(#REF!,MATCH('FY25 S.3'!O$9,#REF!))</f>
        <v>#REF!</v>
      </c>
      <c r="P34" s="247" t="e">
        <f>-INDEX(#REF!,MATCH('FY25 S.3'!P$9,#REF!))</f>
        <v>#REF!</v>
      </c>
      <c r="Q34" s="247" t="e">
        <f>-INDEX(#REF!,MATCH('FY25 S.3'!Q$9,#REF!))</f>
        <v>#REF!</v>
      </c>
      <c r="R34" s="247" t="e">
        <f>-INDEX(#REF!,MATCH('FY25 S.3'!R$9,#REF!))</f>
        <v>#REF!</v>
      </c>
      <c r="S34" s="247" t="e">
        <f>-INDEX(#REF!,MATCH('FY25 S.3'!S$9,#REF!))</f>
        <v>#REF!</v>
      </c>
      <c r="T34" s="247" t="e">
        <f>-INDEX(#REF!,MATCH('FY25 S.3'!T$9,#REF!))</f>
        <v>#REF!</v>
      </c>
      <c r="U34" s="247" t="e">
        <f>-INDEX(#REF!,MATCH('FY25 S.3'!U$9,#REF!))</f>
        <v>#REF!</v>
      </c>
      <c r="V34" s="247" t="e">
        <f>-INDEX(#REF!,MATCH('FY25 S.3'!V$9,#REF!))</f>
        <v>#REF!</v>
      </c>
      <c r="W34" s="247" t="e">
        <f>-INDEX(#REF!,MATCH('FY25 S.3'!W$9,#REF!))</f>
        <v>#REF!</v>
      </c>
      <c r="X34" s="247" t="e">
        <f>-INDEX(#REF!,MATCH('FY25 S.3'!X$9,#REF!))</f>
        <v>#REF!</v>
      </c>
      <c r="Y34" s="247" t="e">
        <f>-INDEX(#REF!,MATCH('FY25 S.3'!Y$9,#REF!))</f>
        <v>#REF!</v>
      </c>
      <c r="Z34" s="247" t="e">
        <f>-INDEX(#REF!,MATCH('FY25 S.3'!Z$9,#REF!))</f>
        <v>#REF!</v>
      </c>
      <c r="AA34" s="247" t="e">
        <f>-INDEX(#REF!,MATCH('FY25 S.3'!AA$9,#REF!))</f>
        <v>#REF!</v>
      </c>
      <c r="AB34" s="247" t="e">
        <f>-INDEX(#REF!,MATCH('FY25 S.3'!AB$9,#REF!))</f>
        <v>#REF!</v>
      </c>
      <c r="AC34" s="247" t="e">
        <f>-INDEX(#REF!,MATCH('FY25 S.3'!AC$9,#REF!))</f>
        <v>#REF!</v>
      </c>
      <c r="AD34" s="247" t="e">
        <f>-INDEX(#REF!,MATCH('FY25 S.3'!AD$9,#REF!))</f>
        <v>#REF!</v>
      </c>
      <c r="AE34" s="247" t="e">
        <f>-INDEX(#REF!,MATCH('FY25 S.3'!AE$9,#REF!))</f>
        <v>#REF!</v>
      </c>
      <c r="AF34" s="247" t="e">
        <f>-INDEX(#REF!,MATCH('FY25 S.3'!AF$9,#REF!))</f>
        <v>#REF!</v>
      </c>
      <c r="AG34" s="251" t="e">
        <f t="shared" si="45"/>
        <v>#REF!</v>
      </c>
      <c r="AH34" s="252"/>
    </row>
    <row r="35" spans="2:36" ht="14.45" customHeight="1">
      <c r="E35" s="221"/>
      <c r="F35" s="246" t="s">
        <v>2911</v>
      </c>
      <c r="G35" s="283"/>
      <c r="H35" s="243"/>
      <c r="I35" s="247">
        <v>-1306514.084</v>
      </c>
      <c r="J35" s="247">
        <v>-1389202.9127822199</v>
      </c>
      <c r="K35" s="247">
        <v>-1532465.0153911901</v>
      </c>
      <c r="L35" s="247">
        <v>-1361800.0263297299</v>
      </c>
      <c r="M35" s="247">
        <v>-1456728.9850936499</v>
      </c>
      <c r="N35" s="247">
        <v>-1721188.315288</v>
      </c>
      <c r="O35" s="247"/>
      <c r="P35" s="247"/>
      <c r="Q35" s="247"/>
      <c r="R35" s="247"/>
      <c r="S35" s="247"/>
      <c r="T35" s="247"/>
      <c r="U35" s="247"/>
      <c r="V35" s="247"/>
      <c r="W35" s="247"/>
      <c r="X35" s="247"/>
      <c r="Y35" s="247"/>
      <c r="Z35" s="247"/>
      <c r="AA35" s="247"/>
      <c r="AB35" s="247"/>
      <c r="AC35" s="247"/>
      <c r="AD35" s="247"/>
      <c r="AE35" s="247"/>
      <c r="AF35" s="247"/>
      <c r="AG35" s="251">
        <f t="shared" si="45"/>
        <v>0</v>
      </c>
      <c r="AH35" s="252"/>
    </row>
    <row r="36" spans="2:36">
      <c r="B36" s="192">
        <v>506031</v>
      </c>
      <c r="E36" s="221"/>
      <c r="F36" s="246" t="s">
        <v>2782</v>
      </c>
      <c r="G36" s="283"/>
      <c r="H36" s="243"/>
      <c r="I36" s="247">
        <v>0</v>
      </c>
      <c r="J36" s="247">
        <v>0</v>
      </c>
      <c r="K36" s="247">
        <v>0</v>
      </c>
      <c r="L36" s="247">
        <v>-599583.44203680602</v>
      </c>
      <c r="M36" s="247">
        <v>0</v>
      </c>
      <c r="N36" s="247">
        <v>0</v>
      </c>
      <c r="O36" s="247">
        <v>0</v>
      </c>
      <c r="P36" s="247">
        <v>0</v>
      </c>
      <c r="Q36" s="247">
        <v>0</v>
      </c>
      <c r="R36" s="247">
        <v>0</v>
      </c>
      <c r="S36" s="247">
        <v>0</v>
      </c>
      <c r="T36" s="247">
        <v>0</v>
      </c>
      <c r="U36" s="247">
        <v>0</v>
      </c>
      <c r="V36" s="247">
        <v>0</v>
      </c>
      <c r="W36" s="247">
        <v>0</v>
      </c>
      <c r="X36" s="247">
        <f>L36*120%</f>
        <v>-719500.13044416695</v>
      </c>
      <c r="Y36" s="247">
        <v>0</v>
      </c>
      <c r="Z36" s="247">
        <v>0</v>
      </c>
      <c r="AA36" s="247">
        <v>0</v>
      </c>
      <c r="AB36" s="247">
        <v>0</v>
      </c>
      <c r="AC36" s="247">
        <v>0</v>
      </c>
      <c r="AD36" s="247">
        <v>0</v>
      </c>
      <c r="AE36" s="247">
        <v>0</v>
      </c>
      <c r="AF36" s="247">
        <v>0</v>
      </c>
      <c r="AG36" s="251">
        <f t="shared" si="45"/>
        <v>-719500.13044416695</v>
      </c>
      <c r="AH36" s="252"/>
    </row>
    <row r="37" spans="2:36" ht="14.1" hidden="1" customHeight="1" outlineLevel="1">
      <c r="E37" s="221"/>
      <c r="F37" s="288" t="s">
        <v>2783</v>
      </c>
      <c r="G37" s="283"/>
      <c r="H37" s="243"/>
      <c r="I37" s="289">
        <f t="shared" ref="I37:T37" si="46">SUM(I32:I36)</f>
        <v>-1306514.084</v>
      </c>
      <c r="J37" s="289">
        <f t="shared" si="46"/>
        <v>-1389202.9127822199</v>
      </c>
      <c r="K37" s="289">
        <f t="shared" si="46"/>
        <v>-1532465.0153911901</v>
      </c>
      <c r="L37" s="289">
        <f t="shared" si="46"/>
        <v>-1961383.46836654</v>
      </c>
      <c r="M37" s="289">
        <f t="shared" si="46"/>
        <v>-1456728.9850936499</v>
      </c>
      <c r="N37" s="289">
        <f t="shared" si="46"/>
        <v>-1721188.315288</v>
      </c>
      <c r="O37" s="289" t="e">
        <f t="shared" si="46"/>
        <v>#REF!</v>
      </c>
      <c r="P37" s="289" t="e">
        <f t="shared" si="46"/>
        <v>#REF!</v>
      </c>
      <c r="Q37" s="289" t="e">
        <f t="shared" si="46"/>
        <v>#REF!</v>
      </c>
      <c r="R37" s="289" t="e">
        <f t="shared" si="46"/>
        <v>#REF!</v>
      </c>
      <c r="S37" s="289" t="e">
        <f t="shared" si="46"/>
        <v>#REF!</v>
      </c>
      <c r="T37" s="289" t="e">
        <f t="shared" si="46"/>
        <v>#REF!</v>
      </c>
      <c r="U37" s="289" t="e">
        <f t="shared" ref="U37:AF37" si="47">SUM(U32:U36)</f>
        <v>#REF!</v>
      </c>
      <c r="V37" s="289" t="e">
        <f t="shared" si="47"/>
        <v>#REF!</v>
      </c>
      <c r="W37" s="289" t="e">
        <f t="shared" si="47"/>
        <v>#REF!</v>
      </c>
      <c r="X37" s="289" t="e">
        <f t="shared" si="47"/>
        <v>#REF!</v>
      </c>
      <c r="Y37" s="289" t="e">
        <f t="shared" si="47"/>
        <v>#REF!</v>
      </c>
      <c r="Z37" s="289" t="e">
        <f t="shared" si="47"/>
        <v>#REF!</v>
      </c>
      <c r="AA37" s="289" t="e">
        <f t="shared" si="47"/>
        <v>#REF!</v>
      </c>
      <c r="AB37" s="289" t="e">
        <f t="shared" si="47"/>
        <v>#REF!</v>
      </c>
      <c r="AC37" s="289" t="e">
        <f t="shared" si="47"/>
        <v>#REF!</v>
      </c>
      <c r="AD37" s="289" t="e">
        <f t="shared" si="47"/>
        <v>#REF!</v>
      </c>
      <c r="AE37" s="289" t="e">
        <f t="shared" si="47"/>
        <v>#REF!</v>
      </c>
      <c r="AF37" s="289" t="e">
        <f t="shared" si="47"/>
        <v>#REF!</v>
      </c>
      <c r="AG37" s="290" t="e">
        <f t="shared" ref="AG37" si="48">SUM(I37:T37)</f>
        <v>#REF!</v>
      </c>
      <c r="AH37" s="291"/>
    </row>
    <row r="38" spans="2:36" ht="14.45" hidden="1" customHeight="1" outlineLevel="1">
      <c r="E38" s="221"/>
      <c r="F38" s="189"/>
      <c r="G38" s="283"/>
      <c r="H38" s="243"/>
      <c r="I38" s="189"/>
      <c r="J38" s="189"/>
      <c r="K38" s="189"/>
      <c r="L38" s="189"/>
      <c r="M38" s="189"/>
      <c r="N38" s="189"/>
      <c r="O38" s="189"/>
      <c r="P38" s="189"/>
      <c r="Q38" s="189"/>
      <c r="R38" s="189"/>
      <c r="S38" s="189"/>
      <c r="T38" s="189"/>
      <c r="U38" s="189"/>
      <c r="V38" s="189"/>
      <c r="W38" s="189"/>
      <c r="X38" s="189"/>
      <c r="Y38" s="189"/>
      <c r="Z38" s="189"/>
      <c r="AA38" s="189"/>
      <c r="AB38" s="189"/>
      <c r="AC38" s="189"/>
      <c r="AD38" s="189"/>
      <c r="AE38" s="189"/>
      <c r="AF38" s="189"/>
      <c r="AG38" s="292"/>
      <c r="AH38" s="193"/>
    </row>
    <row r="39" spans="2:36" ht="14.45" hidden="1" customHeight="1" outlineLevel="1">
      <c r="E39" s="221"/>
      <c r="F39" s="246" t="s">
        <v>2784</v>
      </c>
      <c r="G39" s="283"/>
      <c r="H39" s="243"/>
      <c r="I39" s="247"/>
      <c r="J39" s="247"/>
      <c r="K39" s="247"/>
      <c r="L39" s="247"/>
      <c r="M39" s="247"/>
      <c r="N39" s="247"/>
      <c r="O39" s="247"/>
      <c r="P39" s="247"/>
      <c r="Q39" s="247"/>
      <c r="R39" s="247"/>
      <c r="S39" s="247"/>
      <c r="T39" s="247"/>
      <c r="U39" s="247"/>
      <c r="V39" s="247"/>
      <c r="W39" s="247"/>
      <c r="X39" s="247"/>
      <c r="Y39" s="247"/>
      <c r="Z39" s="247"/>
      <c r="AA39" s="247"/>
      <c r="AB39" s="247"/>
      <c r="AC39" s="247"/>
      <c r="AD39" s="247"/>
      <c r="AE39" s="247"/>
      <c r="AF39" s="247"/>
      <c r="AG39" s="251">
        <f t="shared" ref="AG39:AG40" si="49">SUM(O39:AF39)</f>
        <v>0</v>
      </c>
      <c r="AH39" s="252"/>
    </row>
    <row r="40" spans="2:36" ht="14.45" hidden="1" customHeight="1" outlineLevel="1">
      <c r="B40" s="192">
        <v>501010</v>
      </c>
      <c r="E40" s="221"/>
      <c r="F40" s="246" t="s">
        <v>1456</v>
      </c>
      <c r="G40" s="283"/>
      <c r="H40" s="243"/>
      <c r="I40" s="247"/>
      <c r="J40" s="247"/>
      <c r="K40" s="247"/>
      <c r="L40" s="247"/>
      <c r="M40" s="247"/>
      <c r="N40" s="247"/>
      <c r="O40" s="247"/>
      <c r="P40" s="247"/>
      <c r="Q40" s="247"/>
      <c r="R40" s="247"/>
      <c r="S40" s="247"/>
      <c r="T40" s="247"/>
      <c r="U40" s="247"/>
      <c r="V40" s="247"/>
      <c r="W40" s="247"/>
      <c r="X40" s="247"/>
      <c r="Y40" s="247"/>
      <c r="Z40" s="247"/>
      <c r="AA40" s="247"/>
      <c r="AB40" s="247"/>
      <c r="AC40" s="247"/>
      <c r="AD40" s="247"/>
      <c r="AE40" s="247"/>
      <c r="AF40" s="247"/>
      <c r="AG40" s="251">
        <f t="shared" si="49"/>
        <v>0</v>
      </c>
      <c r="AH40" s="252"/>
    </row>
    <row r="41" spans="2:36" ht="14.1" hidden="1" customHeight="1" outlineLevel="1">
      <c r="E41" s="221"/>
      <c r="F41" s="288" t="s">
        <v>2785</v>
      </c>
      <c r="G41" s="283"/>
      <c r="H41" s="243"/>
      <c r="I41" s="289">
        <f t="shared" ref="I41:T41" si="50">SUM(I39:I40)</f>
        <v>0</v>
      </c>
      <c r="J41" s="289">
        <f t="shared" si="50"/>
        <v>0</v>
      </c>
      <c r="K41" s="289">
        <f t="shared" si="50"/>
        <v>0</v>
      </c>
      <c r="L41" s="289">
        <f t="shared" si="50"/>
        <v>0</v>
      </c>
      <c r="M41" s="289">
        <f t="shared" si="50"/>
        <v>0</v>
      </c>
      <c r="N41" s="289">
        <f t="shared" si="50"/>
        <v>0</v>
      </c>
      <c r="O41" s="289">
        <f t="shared" si="50"/>
        <v>0</v>
      </c>
      <c r="P41" s="289">
        <f t="shared" si="50"/>
        <v>0</v>
      </c>
      <c r="Q41" s="289">
        <f t="shared" si="50"/>
        <v>0</v>
      </c>
      <c r="R41" s="289">
        <f t="shared" si="50"/>
        <v>0</v>
      </c>
      <c r="S41" s="289">
        <f t="shared" si="50"/>
        <v>0</v>
      </c>
      <c r="T41" s="289">
        <f t="shared" si="50"/>
        <v>0</v>
      </c>
      <c r="U41" s="289">
        <f t="shared" ref="U41:AF41" si="51">SUM(U39:U40)</f>
        <v>0</v>
      </c>
      <c r="V41" s="289">
        <f t="shared" si="51"/>
        <v>0</v>
      </c>
      <c r="W41" s="289">
        <f t="shared" si="51"/>
        <v>0</v>
      </c>
      <c r="X41" s="289">
        <f t="shared" si="51"/>
        <v>0</v>
      </c>
      <c r="Y41" s="289">
        <f t="shared" si="51"/>
        <v>0</v>
      </c>
      <c r="Z41" s="289">
        <f t="shared" si="51"/>
        <v>0</v>
      </c>
      <c r="AA41" s="289">
        <f t="shared" si="51"/>
        <v>0</v>
      </c>
      <c r="AB41" s="289">
        <f t="shared" si="51"/>
        <v>0</v>
      </c>
      <c r="AC41" s="289">
        <f t="shared" si="51"/>
        <v>0</v>
      </c>
      <c r="AD41" s="289">
        <f t="shared" si="51"/>
        <v>0</v>
      </c>
      <c r="AE41" s="289">
        <f t="shared" si="51"/>
        <v>0</v>
      </c>
      <c r="AF41" s="289">
        <f t="shared" si="51"/>
        <v>0</v>
      </c>
      <c r="AG41" s="290">
        <f t="shared" ref="AG41" si="52">SUM(I41:T41)</f>
        <v>0</v>
      </c>
      <c r="AH41" s="291"/>
    </row>
    <row r="42" spans="2:36" ht="14.45" hidden="1" customHeight="1" outlineLevel="1">
      <c r="E42" s="221"/>
      <c r="F42" s="189"/>
      <c r="G42" s="283"/>
      <c r="H42" s="243"/>
      <c r="I42" s="189"/>
      <c r="J42" s="189"/>
      <c r="K42" s="189"/>
      <c r="L42" s="189"/>
      <c r="M42" s="189"/>
      <c r="N42" s="189"/>
      <c r="O42" s="189"/>
      <c r="P42" s="189"/>
      <c r="Q42" s="189"/>
      <c r="R42" s="189"/>
      <c r="S42" s="189"/>
      <c r="T42" s="189"/>
      <c r="U42" s="189"/>
      <c r="V42" s="189"/>
      <c r="W42" s="189"/>
      <c r="X42" s="189"/>
      <c r="Y42" s="189"/>
      <c r="Z42" s="189"/>
      <c r="AA42" s="189"/>
      <c r="AB42" s="189"/>
      <c r="AC42" s="189"/>
      <c r="AD42" s="189"/>
      <c r="AE42" s="189"/>
      <c r="AF42" s="189"/>
      <c r="AG42" s="292"/>
      <c r="AH42" s="193"/>
    </row>
    <row r="43" spans="2:36" ht="14.45" hidden="1" customHeight="1" outlineLevel="1">
      <c r="B43" s="192">
        <v>501020</v>
      </c>
      <c r="E43" s="221"/>
      <c r="F43" s="246" t="s">
        <v>2786</v>
      </c>
      <c r="G43" s="283"/>
      <c r="H43" s="243"/>
      <c r="I43" s="247"/>
      <c r="J43" s="247"/>
      <c r="K43" s="247"/>
      <c r="L43" s="247"/>
      <c r="M43" s="247"/>
      <c r="N43" s="247"/>
      <c r="O43" s="247"/>
      <c r="P43" s="247"/>
      <c r="Q43" s="247"/>
      <c r="R43" s="247"/>
      <c r="S43" s="247"/>
      <c r="T43" s="247"/>
      <c r="U43" s="247"/>
      <c r="V43" s="247"/>
      <c r="W43" s="247"/>
      <c r="X43" s="247"/>
      <c r="Y43" s="247"/>
      <c r="Z43" s="247"/>
      <c r="AA43" s="247"/>
      <c r="AB43" s="247"/>
      <c r="AC43" s="247"/>
      <c r="AD43" s="247"/>
      <c r="AE43" s="247"/>
      <c r="AF43" s="247"/>
      <c r="AG43" s="251">
        <f t="shared" ref="AG43:AG45" si="53">SUM(O43:AF43)</f>
        <v>0</v>
      </c>
      <c r="AH43" s="252"/>
    </row>
    <row r="44" spans="2:36" collapsed="1">
      <c r="B44" s="192">
        <v>501021</v>
      </c>
      <c r="E44" s="221"/>
      <c r="F44" s="246" t="s">
        <v>2787</v>
      </c>
      <c r="G44" s="242"/>
      <c r="H44" s="243"/>
      <c r="I44" s="247"/>
      <c r="J44" s="247"/>
      <c r="K44" s="247">
        <v>-991451.66086055001</v>
      </c>
      <c r="L44" s="247">
        <v>0</v>
      </c>
      <c r="M44" s="247">
        <v>0</v>
      </c>
      <c r="N44" s="247"/>
      <c r="O44" s="247"/>
      <c r="P44" s="247"/>
      <c r="Q44" s="247"/>
      <c r="R44" s="247"/>
      <c r="S44" s="247"/>
      <c r="T44" s="247"/>
      <c r="U44" s="247"/>
      <c r="V44" s="247"/>
      <c r="W44" s="247" t="e">
        <f>W37*#REF!</f>
        <v>#REF!</v>
      </c>
      <c r="X44" s="247"/>
      <c r="Y44" s="247"/>
      <c r="Z44" s="247"/>
      <c r="AA44" s="247"/>
      <c r="AB44" s="247"/>
      <c r="AC44" s="247"/>
      <c r="AD44" s="247"/>
      <c r="AE44" s="247"/>
      <c r="AF44" s="247"/>
      <c r="AG44" s="251" t="e">
        <f t="shared" si="53"/>
        <v>#REF!</v>
      </c>
      <c r="AH44" s="252"/>
      <c r="AI44" s="245"/>
      <c r="AJ44" s="245"/>
    </row>
    <row r="45" spans="2:36" ht="14.45" hidden="1" customHeight="1" outlineLevel="1">
      <c r="B45" s="192">
        <v>501022</v>
      </c>
      <c r="E45" s="221"/>
      <c r="F45" s="246" t="s">
        <v>2788</v>
      </c>
      <c r="G45" s="242"/>
      <c r="H45" s="243"/>
      <c r="I45" s="247"/>
      <c r="J45" s="247"/>
      <c r="K45" s="247">
        <v>0</v>
      </c>
      <c r="L45" s="247">
        <v>0</v>
      </c>
      <c r="M45" s="247">
        <v>-280000</v>
      </c>
      <c r="N45" s="247"/>
      <c r="O45" s="247"/>
      <c r="P45" s="247"/>
      <c r="Q45" s="247"/>
      <c r="R45" s="247"/>
      <c r="S45" s="247"/>
      <c r="T45" s="247"/>
      <c r="U45" s="247"/>
      <c r="V45" s="247"/>
      <c r="W45" s="247"/>
      <c r="X45" s="247"/>
      <c r="Y45" s="247"/>
      <c r="Z45" s="247"/>
      <c r="AA45" s="247"/>
      <c r="AB45" s="247"/>
      <c r="AC45" s="247"/>
      <c r="AD45" s="247"/>
      <c r="AE45" s="247"/>
      <c r="AF45" s="247"/>
      <c r="AG45" s="251">
        <f t="shared" si="53"/>
        <v>0</v>
      </c>
      <c r="AH45" s="252"/>
      <c r="AI45" s="245"/>
      <c r="AJ45" s="245"/>
    </row>
    <row r="46" spans="2:36" ht="14.1" hidden="1" customHeight="1" outlineLevel="1">
      <c r="E46" s="221"/>
      <c r="F46" s="288" t="s">
        <v>2789</v>
      </c>
      <c r="G46" s="283"/>
      <c r="H46" s="243"/>
      <c r="I46" s="293">
        <f t="shared" ref="I46:M46" si="54">SUM(I43:I45)</f>
        <v>0</v>
      </c>
      <c r="J46" s="293">
        <f t="shared" si="54"/>
        <v>0</v>
      </c>
      <c r="K46" s="293">
        <f t="shared" si="54"/>
        <v>-991451.66086055001</v>
      </c>
      <c r="L46" s="293">
        <f t="shared" si="54"/>
        <v>0</v>
      </c>
      <c r="M46" s="293">
        <f t="shared" si="54"/>
        <v>-280000</v>
      </c>
      <c r="N46" s="293">
        <f t="shared" ref="N46:X46" si="55">SUM(N43:N45)</f>
        <v>0</v>
      </c>
      <c r="O46" s="293">
        <f t="shared" si="55"/>
        <v>0</v>
      </c>
      <c r="P46" s="293">
        <f t="shared" si="55"/>
        <v>0</v>
      </c>
      <c r="Q46" s="293">
        <f t="shared" si="55"/>
        <v>0</v>
      </c>
      <c r="R46" s="293">
        <f t="shared" si="55"/>
        <v>0</v>
      </c>
      <c r="S46" s="293">
        <f t="shared" si="55"/>
        <v>0</v>
      </c>
      <c r="T46" s="293">
        <f t="shared" si="55"/>
        <v>0</v>
      </c>
      <c r="U46" s="293">
        <f t="shared" si="55"/>
        <v>0</v>
      </c>
      <c r="V46" s="293">
        <f t="shared" si="55"/>
        <v>0</v>
      </c>
      <c r="W46" s="293" t="e">
        <f t="shared" si="55"/>
        <v>#REF!</v>
      </c>
      <c r="X46" s="293">
        <f t="shared" si="55"/>
        <v>0</v>
      </c>
      <c r="Y46" s="293">
        <f>Y44</f>
        <v>0</v>
      </c>
      <c r="Z46" s="293">
        <f t="shared" ref="Z46:AF46" si="56">SUM(Z43:Z45)</f>
        <v>0</v>
      </c>
      <c r="AA46" s="293">
        <f t="shared" si="56"/>
        <v>0</v>
      </c>
      <c r="AB46" s="293">
        <f t="shared" si="56"/>
        <v>0</v>
      </c>
      <c r="AC46" s="293">
        <f t="shared" si="56"/>
        <v>0</v>
      </c>
      <c r="AD46" s="293">
        <f t="shared" si="56"/>
        <v>0</v>
      </c>
      <c r="AE46" s="293">
        <f t="shared" si="56"/>
        <v>0</v>
      </c>
      <c r="AF46" s="293">
        <f t="shared" si="56"/>
        <v>0</v>
      </c>
      <c r="AG46" s="294">
        <f t="shared" ref="AG46" si="57">SUM(I46:T46)</f>
        <v>-1271451.6608605499</v>
      </c>
      <c r="AH46" s="295"/>
      <c r="AI46" s="245"/>
      <c r="AJ46" s="245"/>
    </row>
    <row r="47" spans="2:36" ht="14.45" hidden="1" customHeight="1" outlineLevel="1">
      <c r="E47" s="221"/>
      <c r="F47" s="296"/>
      <c r="G47" s="242"/>
      <c r="H47" s="243"/>
      <c r="I47" s="199"/>
      <c r="J47" s="199"/>
      <c r="K47" s="199"/>
      <c r="L47" s="199"/>
      <c r="M47" s="199"/>
      <c r="N47" s="199"/>
      <c r="O47" s="199"/>
      <c r="P47" s="199"/>
      <c r="Q47" s="199"/>
      <c r="R47" s="199"/>
      <c r="S47" s="199"/>
      <c r="T47" s="199"/>
      <c r="U47" s="199"/>
      <c r="V47" s="199"/>
      <c r="W47" s="199"/>
      <c r="X47" s="199"/>
      <c r="Y47" s="199"/>
      <c r="Z47" s="199"/>
      <c r="AA47" s="199"/>
      <c r="AB47" s="199"/>
      <c r="AC47" s="199"/>
      <c r="AD47" s="199"/>
      <c r="AE47" s="199"/>
      <c r="AF47" s="199"/>
      <c r="AG47" s="297"/>
      <c r="AH47" s="298"/>
      <c r="AI47" s="245"/>
      <c r="AJ47" s="245"/>
    </row>
    <row r="48" spans="2:36" collapsed="1">
      <c r="E48" s="221"/>
      <c r="F48" s="299" t="s">
        <v>2778</v>
      </c>
      <c r="G48" s="300"/>
      <c r="H48" s="243"/>
      <c r="I48" s="301">
        <f>SUBTOTAL(9,I37,I41,I46)</f>
        <v>-1306514.084</v>
      </c>
      <c r="J48" s="301">
        <f>SUBTOTAL(9,J37,J41,J46)</f>
        <v>-1389202.9127822199</v>
      </c>
      <c r="K48" s="301">
        <f>SUBTOTAL(9,K37,K41,K46)</f>
        <v>-2523916.6762517402</v>
      </c>
      <c r="L48" s="301">
        <f>SUBTOTAL(9,L37,L41,L46)</f>
        <v>-1961383.46836654</v>
      </c>
      <c r="M48" s="301">
        <f>SUBTOTAL(9,M37,M41,M46)</f>
        <v>-1736728.9850936499</v>
      </c>
      <c r="N48" s="301">
        <f t="shared" ref="N48:Y48" si="58">SUBTOTAL(9,N37,N41,N46)</f>
        <v>-1721188.315288</v>
      </c>
      <c r="O48" s="301" t="e">
        <f t="shared" si="58"/>
        <v>#REF!</v>
      </c>
      <c r="P48" s="301" t="e">
        <f t="shared" si="58"/>
        <v>#REF!</v>
      </c>
      <c r="Q48" s="301" t="e">
        <f t="shared" si="58"/>
        <v>#REF!</v>
      </c>
      <c r="R48" s="301" t="e">
        <f t="shared" si="58"/>
        <v>#REF!</v>
      </c>
      <c r="S48" s="301" t="e">
        <f t="shared" si="58"/>
        <v>#REF!</v>
      </c>
      <c r="T48" s="301" t="e">
        <f t="shared" si="58"/>
        <v>#REF!</v>
      </c>
      <c r="U48" s="301" t="e">
        <f t="shared" si="58"/>
        <v>#REF!</v>
      </c>
      <c r="V48" s="301" t="e">
        <f t="shared" si="58"/>
        <v>#REF!</v>
      </c>
      <c r="W48" s="301" t="e">
        <f t="shared" si="58"/>
        <v>#REF!</v>
      </c>
      <c r="X48" s="301" t="e">
        <f t="shared" si="58"/>
        <v>#REF!</v>
      </c>
      <c r="Y48" s="301" t="e">
        <f t="shared" si="58"/>
        <v>#REF!</v>
      </c>
      <c r="Z48" s="301" t="e">
        <f t="shared" ref="Z48:AF48" si="59">SUBTOTAL(9,Z37,Z41,Z46)</f>
        <v>#REF!</v>
      </c>
      <c r="AA48" s="301" t="e">
        <f t="shared" si="59"/>
        <v>#REF!</v>
      </c>
      <c r="AB48" s="301" t="e">
        <f t="shared" si="59"/>
        <v>#REF!</v>
      </c>
      <c r="AC48" s="301" t="e">
        <f t="shared" si="59"/>
        <v>#REF!</v>
      </c>
      <c r="AD48" s="301" t="e">
        <f t="shared" si="59"/>
        <v>#REF!</v>
      </c>
      <c r="AE48" s="301" t="e">
        <f t="shared" si="59"/>
        <v>#REF!</v>
      </c>
      <c r="AF48" s="301" t="e">
        <f t="shared" si="59"/>
        <v>#REF!</v>
      </c>
      <c r="AG48" s="302" t="e">
        <f>SUM(I48:T48)</f>
        <v>#REF!</v>
      </c>
      <c r="AH48" s="295"/>
      <c r="AI48" s="245"/>
      <c r="AJ48" s="245"/>
    </row>
    <row r="49" spans="2:36">
      <c r="B49" s="303"/>
      <c r="E49" s="221"/>
      <c r="F49" s="296"/>
      <c r="G49" s="242"/>
      <c r="H49" s="243"/>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297"/>
      <c r="AH49" s="298"/>
      <c r="AI49" s="245"/>
      <c r="AJ49" s="245"/>
    </row>
    <row r="50" spans="2:36">
      <c r="E50" s="221"/>
      <c r="F50" s="282" t="s">
        <v>2611</v>
      </c>
      <c r="G50" s="283"/>
      <c r="H50" s="243"/>
      <c r="I50" s="284"/>
      <c r="J50" s="284"/>
      <c r="K50" s="284"/>
      <c r="L50" s="284"/>
      <c r="M50" s="284"/>
      <c r="N50" s="284"/>
      <c r="O50" s="284"/>
      <c r="P50" s="284"/>
      <c r="Q50" s="284"/>
      <c r="R50" s="284"/>
      <c r="S50" s="284"/>
      <c r="T50" s="285"/>
      <c r="U50" s="284"/>
      <c r="V50" s="284"/>
      <c r="W50" s="284"/>
      <c r="X50" s="284"/>
      <c r="Y50" s="284"/>
      <c r="Z50" s="284"/>
      <c r="AA50" s="284"/>
      <c r="AB50" s="284"/>
      <c r="AC50" s="284"/>
      <c r="AD50" s="284"/>
      <c r="AE50" s="284"/>
      <c r="AF50" s="285"/>
      <c r="AG50" s="286"/>
      <c r="AH50" s="287"/>
      <c r="AI50" s="245"/>
      <c r="AJ50" s="245"/>
    </row>
    <row r="51" spans="2:36">
      <c r="B51" s="192">
        <v>5080010</v>
      </c>
      <c r="E51" s="216"/>
      <c r="F51" s="246" t="s">
        <v>2639</v>
      </c>
      <c r="G51" s="242"/>
      <c r="H51" s="243"/>
      <c r="I51" s="247">
        <v>-93054</v>
      </c>
      <c r="J51" s="247">
        <v>-93658.3903869028</v>
      </c>
      <c r="K51" s="247">
        <v>-93395.970897815496</v>
      </c>
      <c r="L51" s="247">
        <v>-93844.724518811199</v>
      </c>
      <c r="M51" s="247">
        <v>-91810.503121557107</v>
      </c>
      <c r="N51" s="247">
        <v>-91361</v>
      </c>
      <c r="O51" s="247" t="e">
        <f>-SUMIF(SPACE!$G:$G,$F51,SPACE!#REF!)</f>
        <v>#REF!</v>
      </c>
      <c r="P51" s="247" t="e">
        <f>-SUMIF(SPACE!$G:$G,$F51,SPACE!#REF!)</f>
        <v>#REF!</v>
      </c>
      <c r="Q51" s="247" t="e">
        <f>-SUMIF(SPACE!$G:$G,$F51,SPACE!#REF!)</f>
        <v>#REF!</v>
      </c>
      <c r="R51" s="247" t="e">
        <f>-SUMIF(SPACE!$G:$G,$F51,SPACE!#REF!)</f>
        <v>#REF!</v>
      </c>
      <c r="S51" s="247" t="e">
        <f>-SUMIF(SPACE!$G:$G,$F51,SPACE!#REF!)</f>
        <v>#REF!</v>
      </c>
      <c r="T51" s="247" t="e">
        <f>-SUMIF(SPACE!$G:$G,$F51,SPACE!#REF!)</f>
        <v>#REF!</v>
      </c>
      <c r="U51" s="247">
        <f>-SUMIF(SPACE!$G:$G,$F51,SPACE!O:O)</f>
        <v>-88999</v>
      </c>
      <c r="V51" s="247">
        <f>-SUMIF(SPACE!$G:$G,$F51,SPACE!P:P)</f>
        <v>-88220</v>
      </c>
      <c r="W51" s="247">
        <f>-SUMIF(SPACE!$G:$G,$F51,SPACE!Q:Q)</f>
        <v>-88220</v>
      </c>
      <c r="X51" s="247">
        <f>-SUMIF(SPACE!$G:$G,$F51,SPACE!R:R)</f>
        <v>-88220</v>
      </c>
      <c r="Y51" s="247">
        <f>-SUMIF(SPACE!$G:$G,$F51,SPACE!S:S)</f>
        <v>-88220</v>
      </c>
      <c r="Z51" s="247">
        <f>-SUMIF(SPACE!$G:$G,$F51,SPACE!T:T)</f>
        <v>-88220</v>
      </c>
      <c r="AA51" s="247">
        <f>-SUMIF(SPACE!$G:$G,$F51,SPACE!U:U)</f>
        <v>-88220</v>
      </c>
      <c r="AB51" s="247">
        <f>-SUMIF(SPACE!$G:$G,$F51,SPACE!V:V)</f>
        <v>-88220</v>
      </c>
      <c r="AC51" s="247">
        <f>-SUMIF(SPACE!$G:$G,$F51,SPACE!W:W)</f>
        <v>-88220</v>
      </c>
      <c r="AD51" s="247">
        <f>-SUMIF(SPACE!$G:$G,$F51,SPACE!X:X)</f>
        <v>0</v>
      </c>
      <c r="AE51" s="247">
        <f>-SUMIF(SPACE!$G:$G,$F51,SPACE!Y:Y)</f>
        <v>0</v>
      </c>
      <c r="AF51" s="247">
        <f>-SUMIF(SPACE!$G:$G,$F51,SPACE!Z:Z)</f>
        <v>-88220</v>
      </c>
      <c r="AG51" s="251" t="e">
        <f t="shared" ref="AG51:AG68" si="60">SUM(I51:T51)</f>
        <v>#REF!</v>
      </c>
      <c r="AH51" s="252"/>
    </row>
    <row r="52" spans="2:36">
      <c r="B52" s="192">
        <v>5080010</v>
      </c>
      <c r="E52" s="216"/>
      <c r="F52" s="246" t="s">
        <v>2642</v>
      </c>
      <c r="G52" s="242"/>
      <c r="H52" s="243"/>
      <c r="I52" s="247">
        <v>-64000</v>
      </c>
      <c r="J52" s="247">
        <v>0</v>
      </c>
      <c r="K52" s="247">
        <v>0</v>
      </c>
      <c r="L52" s="247">
        <v>0</v>
      </c>
      <c r="M52" s="247">
        <v>-59000</v>
      </c>
      <c r="N52" s="247">
        <v>0</v>
      </c>
      <c r="O52" s="247" t="e">
        <f>-SUMIF(SPACE!$G:$G,$F52,SPACE!#REF!)</f>
        <v>#REF!</v>
      </c>
      <c r="P52" s="247" t="e">
        <f>-SUMIF(SPACE!$G:$G,$F52,SPACE!#REF!)</f>
        <v>#REF!</v>
      </c>
      <c r="Q52" s="247" t="e">
        <f>-SUMIF(SPACE!$G:$G,$F52,SPACE!#REF!)</f>
        <v>#REF!</v>
      </c>
      <c r="R52" s="247" t="e">
        <f>-SUMIF(SPACE!$G:$G,$F52,SPACE!#REF!)</f>
        <v>#REF!</v>
      </c>
      <c r="S52" s="247" t="e">
        <f>-SUMIF(SPACE!$G:$G,$F52,SPACE!#REF!)</f>
        <v>#REF!</v>
      </c>
      <c r="T52" s="247" t="e">
        <f>-SUMIF(SPACE!$G:$G,$F52,SPACE!#REF!)</f>
        <v>#REF!</v>
      </c>
      <c r="U52" s="247">
        <f>-SUMIF(SPACE!$G:$G,$F52,SPACE!O:O)</f>
        <v>-22050</v>
      </c>
      <c r="V52" s="247">
        <f>-SUMIF(SPACE!$G:$G,$F52,SPACE!P:P)</f>
        <v>-22050</v>
      </c>
      <c r="W52" s="247">
        <f>-SUMIF(SPACE!$G:$G,$F52,SPACE!Q:Q)</f>
        <v>-22050</v>
      </c>
      <c r="X52" s="247">
        <f>-SUMIF(SPACE!$G:$G,$F52,SPACE!R:R)</f>
        <v>-22050</v>
      </c>
      <c r="Y52" s="247">
        <f>-SUMIF(SPACE!$G:$G,$F52,SPACE!S:S)</f>
        <v>-22050</v>
      </c>
      <c r="Z52" s="247">
        <f>-SUMIF(SPACE!$G:$G,$F52,SPACE!T:T)</f>
        <v>-22050</v>
      </c>
      <c r="AA52" s="247">
        <f>-SUMIF(SPACE!$G:$G,$F52,SPACE!U:U)</f>
        <v>-22050</v>
      </c>
      <c r="AB52" s="247">
        <f>-SUMIF(SPACE!$G:$G,$F52,SPACE!V:V)</f>
        <v>-22050</v>
      </c>
      <c r="AC52" s="247">
        <f>-SUMIF(SPACE!$G:$G,$F52,SPACE!W:W)</f>
        <v>-22050</v>
      </c>
      <c r="AD52" s="247">
        <f>-SUMIF(SPACE!$G:$G,$F52,SPACE!X:X)</f>
        <v>-22050</v>
      </c>
      <c r="AE52" s="247">
        <f>-SUMIF(SPACE!$G:$G,$F52,SPACE!Y:Y)</f>
        <v>-22050</v>
      </c>
      <c r="AF52" s="247">
        <f>-SUMIF(SPACE!$G:$G,$F52,SPACE!Z:Z)</f>
        <v>-22050</v>
      </c>
      <c r="AG52" s="251" t="e">
        <f t="shared" si="60"/>
        <v>#REF!</v>
      </c>
      <c r="AH52" s="252"/>
    </row>
    <row r="53" spans="2:36">
      <c r="E53" s="216"/>
      <c r="F53" s="246" t="s">
        <v>2790</v>
      </c>
      <c r="G53" s="242"/>
      <c r="H53" s="243"/>
      <c r="I53" s="247">
        <v>0</v>
      </c>
      <c r="J53" s="247">
        <v>0</v>
      </c>
      <c r="K53" s="247">
        <v>-228196.07</v>
      </c>
      <c r="L53" s="247">
        <v>0</v>
      </c>
      <c r="M53" s="247">
        <v>0</v>
      </c>
      <c r="N53" s="247">
        <v>0</v>
      </c>
      <c r="O53" s="247" t="e">
        <f>-SUMIF(SPACE!$G:$G,$F53,SPACE!#REF!)</f>
        <v>#REF!</v>
      </c>
      <c r="P53" s="247" t="e">
        <f>-SUMIF(SPACE!$G:$G,$F53,SPACE!#REF!)</f>
        <v>#REF!</v>
      </c>
      <c r="Q53" s="247" t="e">
        <f>-SUMIF(SPACE!$G:$G,$F53,SPACE!#REF!)</f>
        <v>#REF!</v>
      </c>
      <c r="R53" s="247" t="e">
        <f>-SUMIF(SPACE!$G:$G,$F53,SPACE!#REF!)</f>
        <v>#REF!</v>
      </c>
      <c r="S53" s="247" t="e">
        <f>-SUMIF(SPACE!$G:$G,$F53,SPACE!#REF!)</f>
        <v>#REF!</v>
      </c>
      <c r="T53" s="247" t="e">
        <f>-SUMIF(SPACE!$G:$G,$F53,SPACE!#REF!)</f>
        <v>#REF!</v>
      </c>
      <c r="U53" s="247">
        <f>-SUMIF(SPACE!$G:$G,$F53,SPACE!O:O)</f>
        <v>0</v>
      </c>
      <c r="V53" s="247">
        <f>-SUMIF(SPACE!$G:$G,$F53,SPACE!P:P)</f>
        <v>0</v>
      </c>
      <c r="W53" s="247">
        <f>-SUMIF(SPACE!$G:$G,$F53,SPACE!Q:Q)</f>
        <v>0</v>
      </c>
      <c r="X53" s="247">
        <f>-SUMIF(SPACE!$G:$G,$F53,SPACE!R:R)</f>
        <v>0</v>
      </c>
      <c r="Y53" s="247">
        <f>-SUMIF(SPACE!$G:$G,$F53,SPACE!S:S)</f>
        <v>0</v>
      </c>
      <c r="Z53" s="247">
        <f>-SUMIF(SPACE!$G:$G,$F53,SPACE!T:T)</f>
        <v>0</v>
      </c>
      <c r="AA53" s="247">
        <f>-SUMIF(SPACE!$G:$G,$F53,SPACE!U:U)</f>
        <v>0</v>
      </c>
      <c r="AB53" s="247">
        <f>-SUMIF(SPACE!$G:$G,$F53,SPACE!V:V)</f>
        <v>0</v>
      </c>
      <c r="AC53" s="247">
        <f>-SUMIF(SPACE!$G:$G,$F53,SPACE!W:W)</f>
        <v>0</v>
      </c>
      <c r="AD53" s="247">
        <f>-SUMIF(SPACE!$G:$G,$F53,SPACE!X:X)</f>
        <v>0</v>
      </c>
      <c r="AE53" s="247">
        <f>-SUMIF(SPACE!$G:$G,$F53,SPACE!Y:Y)</f>
        <v>0</v>
      </c>
      <c r="AF53" s="247">
        <f>-SUMIF(SPACE!$G:$G,$F53,SPACE!Z:Z)</f>
        <v>0</v>
      </c>
      <c r="AG53" s="251" t="e">
        <f t="shared" si="60"/>
        <v>#REF!</v>
      </c>
      <c r="AH53" s="252"/>
    </row>
    <row r="54" spans="2:36">
      <c r="B54" s="192">
        <v>5080010</v>
      </c>
      <c r="E54" s="216"/>
      <c r="F54" s="246" t="s">
        <v>2644</v>
      </c>
      <c r="G54" s="242"/>
      <c r="H54" s="243"/>
      <c r="I54" s="247">
        <v>-6666.6</v>
      </c>
      <c r="J54" s="247">
        <v>-6666.6</v>
      </c>
      <c r="K54" s="247">
        <v>-6666.6</v>
      </c>
      <c r="L54" s="247">
        <v>-6666.6</v>
      </c>
      <c r="M54" s="247">
        <v>-6666.6</v>
      </c>
      <c r="N54" s="247">
        <v>-6666.6</v>
      </c>
      <c r="O54" s="247" t="e">
        <f>-SUMIF(SPACE!$G:$G,$F54,SPACE!#REF!)</f>
        <v>#REF!</v>
      </c>
      <c r="P54" s="247" t="e">
        <f>-SUMIF(SPACE!$G:$G,$F54,SPACE!#REF!)</f>
        <v>#REF!</v>
      </c>
      <c r="Q54" s="247" t="e">
        <f>-SUMIF(SPACE!$G:$G,$F54,SPACE!#REF!)</f>
        <v>#REF!</v>
      </c>
      <c r="R54" s="247" t="e">
        <f>-SUMIF(SPACE!$G:$G,$F54,SPACE!#REF!)</f>
        <v>#REF!</v>
      </c>
      <c r="S54" s="247" t="e">
        <f>-SUMIF(SPACE!$G:$G,$F54,SPACE!#REF!)</f>
        <v>#REF!</v>
      </c>
      <c r="T54" s="247" t="e">
        <f>-SUMIF(SPACE!$G:$G,$F54,SPACE!#REF!)</f>
        <v>#REF!</v>
      </c>
      <c r="U54" s="247">
        <f>-SUMIF(SPACE!$G:$G,$F54,SPACE!O:O)</f>
        <v>-6666.6</v>
      </c>
      <c r="V54" s="247">
        <f>-SUMIF(SPACE!$G:$G,$F54,SPACE!P:P)</f>
        <v>-6666.6</v>
      </c>
      <c r="W54" s="247">
        <f>-SUMIF(SPACE!$G:$G,$F54,SPACE!Q:Q)</f>
        <v>-6666.6</v>
      </c>
      <c r="X54" s="247">
        <f>-SUMIF(SPACE!$G:$G,$F54,SPACE!R:R)</f>
        <v>-6666.6</v>
      </c>
      <c r="Y54" s="247">
        <f>-SUMIF(SPACE!$G:$G,$F54,SPACE!S:S)</f>
        <v>-6666.6</v>
      </c>
      <c r="Z54" s="247">
        <f>-SUMIF(SPACE!$G:$G,$F54,SPACE!T:T)</f>
        <v>-6666.6</v>
      </c>
      <c r="AA54" s="247">
        <f>-SUMIF(SPACE!$G:$G,$F54,SPACE!U:U)</f>
        <v>-18722.199999999997</v>
      </c>
      <c r="AB54" s="247">
        <f>-SUMIF(SPACE!$G:$G,$F54,SPACE!V:V)</f>
        <v>-18722.199999999997</v>
      </c>
      <c r="AC54" s="247">
        <f>-SUMIF(SPACE!$G:$G,$F54,SPACE!W:W)</f>
        <v>-18722.199999999997</v>
      </c>
      <c r="AD54" s="247">
        <f>-SUMIF(SPACE!$G:$G,$F54,SPACE!X:X)</f>
        <v>-18722.199999999997</v>
      </c>
      <c r="AE54" s="247">
        <f>-SUMIF(SPACE!$G:$G,$F54,SPACE!Y:Y)</f>
        <v>-18722.199999999997</v>
      </c>
      <c r="AF54" s="247">
        <f>-SUMIF(SPACE!$G:$G,$F54,SPACE!Z:Z)</f>
        <v>-18722.199999999997</v>
      </c>
      <c r="AG54" s="251" t="e">
        <f t="shared" si="60"/>
        <v>#REF!</v>
      </c>
      <c r="AH54" s="252"/>
    </row>
    <row r="55" spans="2:36">
      <c r="E55" s="216"/>
      <c r="F55" s="246" t="s">
        <v>2791</v>
      </c>
      <c r="G55" s="242"/>
      <c r="H55" s="243"/>
      <c r="I55" s="247">
        <v>0</v>
      </c>
      <c r="J55" s="247">
        <v>0</v>
      </c>
      <c r="K55" s="247">
        <v>0</v>
      </c>
      <c r="L55" s="247">
        <v>0</v>
      </c>
      <c r="M55" s="247">
        <v>0</v>
      </c>
      <c r="N55" s="247">
        <v>0</v>
      </c>
      <c r="O55" s="247" t="e">
        <f>-SUMIF(SPACE!$G:$G,$F55,SPACE!#REF!)</f>
        <v>#REF!</v>
      </c>
      <c r="P55" s="247" t="e">
        <f>-SUMIF(SPACE!$G:$G,$F55,SPACE!#REF!)</f>
        <v>#REF!</v>
      </c>
      <c r="Q55" s="247" t="e">
        <f>-SUMIF(SPACE!$G:$G,$F55,SPACE!#REF!)</f>
        <v>#REF!</v>
      </c>
      <c r="R55" s="247" t="e">
        <f>-SUMIF(SPACE!$G:$G,$F55,SPACE!#REF!)</f>
        <v>#REF!</v>
      </c>
      <c r="S55" s="247" t="e">
        <f>-SUMIF(SPACE!$G:$G,$F55,SPACE!#REF!)</f>
        <v>#REF!</v>
      </c>
      <c r="T55" s="247" t="e">
        <f>-SUMIF(SPACE!$G:$G,$F55,SPACE!#REF!)</f>
        <v>#REF!</v>
      </c>
      <c r="U55" s="247">
        <f>-SUMIF(SPACE!$G:$G,$F55,SPACE!O:O)</f>
        <v>0</v>
      </c>
      <c r="V55" s="247">
        <f>-SUMIF(SPACE!$G:$G,$F55,SPACE!P:P)</f>
        <v>0</v>
      </c>
      <c r="W55" s="247">
        <f>-SUMIF(SPACE!$G:$G,$F55,SPACE!Q:Q)</f>
        <v>0</v>
      </c>
      <c r="X55" s="247">
        <f>-SUMIF(SPACE!$G:$G,$F55,SPACE!R:R)</f>
        <v>0</v>
      </c>
      <c r="Y55" s="247">
        <f>-SUMIF(SPACE!$G:$G,$F55,SPACE!S:S)</f>
        <v>0</v>
      </c>
      <c r="Z55" s="247">
        <f>-SUMIF(SPACE!$G:$G,$F55,SPACE!T:T)</f>
        <v>0</v>
      </c>
      <c r="AA55" s="247">
        <f>-SUMIF(SPACE!$G:$G,$F55,SPACE!U:U)</f>
        <v>0</v>
      </c>
      <c r="AB55" s="247">
        <f>-SUMIF(SPACE!$G:$G,$F55,SPACE!V:V)</f>
        <v>0</v>
      </c>
      <c r="AC55" s="247">
        <f>-SUMIF(SPACE!$G:$G,$F55,SPACE!W:W)</f>
        <v>0</v>
      </c>
      <c r="AD55" s="247">
        <f>-SUMIF(SPACE!$G:$G,$F55,SPACE!X:X)</f>
        <v>0</v>
      </c>
      <c r="AE55" s="247">
        <f>-SUMIF(SPACE!$G:$G,$F55,SPACE!Y:Y)</f>
        <v>0</v>
      </c>
      <c r="AF55" s="247">
        <f>-SUMIF(SPACE!$G:$G,$F55,SPACE!Z:Z)</f>
        <v>0</v>
      </c>
      <c r="AG55" s="251">
        <v>0</v>
      </c>
      <c r="AH55" s="252"/>
    </row>
    <row r="56" spans="2:36">
      <c r="B56" s="192">
        <v>5080010</v>
      </c>
      <c r="E56" s="216"/>
      <c r="F56" s="246" t="s">
        <v>2643</v>
      </c>
      <c r="G56" s="242"/>
      <c r="H56" s="243"/>
      <c r="I56" s="247">
        <v>0</v>
      </c>
      <c r="J56" s="247">
        <v>0</v>
      </c>
      <c r="K56" s="247">
        <v>0</v>
      </c>
      <c r="L56" s="247">
        <v>0</v>
      </c>
      <c r="M56" s="247">
        <v>0</v>
      </c>
      <c r="N56" s="247">
        <v>0</v>
      </c>
      <c r="O56" s="247" t="e">
        <f>-SUMIF(SPACE!$G:$G,$F56,SPACE!#REF!)</f>
        <v>#REF!</v>
      </c>
      <c r="P56" s="247" t="e">
        <f>-SUMIF(SPACE!$G:$G,$F56,SPACE!#REF!)</f>
        <v>#REF!</v>
      </c>
      <c r="Q56" s="247" t="e">
        <f>-SUMIF(SPACE!$G:$G,$F56,SPACE!#REF!)</f>
        <v>#REF!</v>
      </c>
      <c r="R56" s="247" t="e">
        <f>-SUMIF(SPACE!$G:$G,$F56,SPACE!#REF!)</f>
        <v>#REF!</v>
      </c>
      <c r="S56" s="247" t="e">
        <f>-SUMIF(SPACE!$G:$G,$F56,SPACE!#REF!)</f>
        <v>#REF!</v>
      </c>
      <c r="T56" s="247" t="e">
        <f>-SUMIF(SPACE!$G:$G,$F56,SPACE!#REF!)</f>
        <v>#REF!</v>
      </c>
      <c r="U56" s="247">
        <f>-SUMIF(SPACE!$G:$G,$F56,SPACE!O:O)</f>
        <v>0</v>
      </c>
      <c r="V56" s="247">
        <f>-SUMIF(SPACE!$G:$G,$F56,SPACE!P:P)</f>
        <v>0</v>
      </c>
      <c r="W56" s="247">
        <f>-SUMIF(SPACE!$G:$G,$F56,SPACE!Q:Q)</f>
        <v>0</v>
      </c>
      <c r="X56" s="247">
        <f>-SUMIF(SPACE!$G:$G,$F56,SPACE!R:R)</f>
        <v>0</v>
      </c>
      <c r="Y56" s="247">
        <f>-SUMIF(SPACE!$G:$G,$F56,SPACE!S:S)</f>
        <v>0</v>
      </c>
      <c r="Z56" s="247">
        <f>-SUMIF(SPACE!$G:$G,$F56,SPACE!T:T)</f>
        <v>0</v>
      </c>
      <c r="AA56" s="247">
        <f>-SUMIF(SPACE!$G:$G,$F56,SPACE!U:U)</f>
        <v>0</v>
      </c>
      <c r="AB56" s="247">
        <f>-SUMIF(SPACE!$G:$G,$F56,SPACE!V:V)</f>
        <v>0</v>
      </c>
      <c r="AC56" s="247">
        <f>-SUMIF(SPACE!$G:$G,$F56,SPACE!W:W)</f>
        <v>0</v>
      </c>
      <c r="AD56" s="247">
        <f>-SUMIF(SPACE!$G:$G,$F56,SPACE!X:X)</f>
        <v>0</v>
      </c>
      <c r="AE56" s="247">
        <f>-SUMIF(SPACE!$G:$G,$F56,SPACE!Y:Y)</f>
        <v>0</v>
      </c>
      <c r="AF56" s="247">
        <f>-SUMIF(SPACE!$G:$G,$F56,SPACE!Z:Z)</f>
        <v>-545844.09600000002</v>
      </c>
      <c r="AG56" s="251" t="e">
        <f t="shared" ref="AG56" si="61">SUM(I56:T56)</f>
        <v>#REF!</v>
      </c>
      <c r="AH56" s="252"/>
    </row>
    <row r="57" spans="2:36">
      <c r="B57" s="192">
        <v>5080011</v>
      </c>
      <c r="E57" s="216"/>
      <c r="F57" s="246" t="s">
        <v>2792</v>
      </c>
      <c r="G57" s="242"/>
      <c r="H57" s="243"/>
      <c r="I57" s="247">
        <v>-32262.752339999999</v>
      </c>
      <c r="J57" s="247">
        <v>-17159.153702784501</v>
      </c>
      <c r="K57" s="247">
        <v>-17111.075828188801</v>
      </c>
      <c r="L57" s="247">
        <v>-32912.283335992302</v>
      </c>
      <c r="M57" s="247">
        <v>-16820.602276900499</v>
      </c>
      <c r="N57" s="247">
        <v>-16738.248810000001</v>
      </c>
      <c r="O57" s="247" t="e">
        <f>-SUMIF(SPACE!$G:$G,"Management fees",SPACE!#REF!)-SUMIF(SPACE!$G:$G,"Government fees",SPACE!#REF!)</f>
        <v>#REF!</v>
      </c>
      <c r="P57" s="247" t="e">
        <f>-SUMIF(SPACE!$G:$G,"Management fees",SPACE!#REF!)-SUMIF(SPACE!$G:$G,"Government fees",SPACE!#REF!)</f>
        <v>#REF!</v>
      </c>
      <c r="Q57" s="247" t="e">
        <f>-SUMIF(SPACE!$G:$G,"Management fees",SPACE!#REF!)-SUMIF(SPACE!$G:$G,"Government fees",SPACE!#REF!)</f>
        <v>#REF!</v>
      </c>
      <c r="R57" s="247" t="e">
        <f>-SUMIF(SPACE!$G:$G,"Management fees",SPACE!#REF!)-SUMIF(SPACE!$G:$G,"Government fees",SPACE!#REF!)</f>
        <v>#REF!</v>
      </c>
      <c r="S57" s="247" t="e">
        <f>-SUMIF(SPACE!$G:$G,"Management fees",SPACE!#REF!)-SUMIF(SPACE!$G:$G,"Government fees",SPACE!#REF!)</f>
        <v>#REF!</v>
      </c>
      <c r="T57" s="247" t="e">
        <f>-SUMIF(SPACE!$G:$G,"Management fees",SPACE!#REF!)-SUMIF(SPACE!$G:$G,"Government fees",SPACE!#REF!)</f>
        <v>#REF!</v>
      </c>
      <c r="U57" s="247">
        <f>-SUMIF(SPACE!$G:$G,"Management fees",SPACE!O:O)-SUMIF(SPACE!$G:$G,"Government fees",SPACE!O:O)</f>
        <v>-17120.782129499999</v>
      </c>
      <c r="V57" s="247">
        <f>-SUMIF(SPACE!$G:$G,"Management fees",SPACE!P:P)-SUMIF(SPACE!$G:$G,"Government fees",SPACE!P:P)</f>
        <v>-16970.925509999997</v>
      </c>
      <c r="W57" s="247">
        <f>-SUMIF(SPACE!$G:$G,"Management fees",SPACE!Q:Q)-SUMIF(SPACE!$G:$G,"Government fees",SPACE!Q:Q)</f>
        <v>-16970.925509999997</v>
      </c>
      <c r="X57" s="247">
        <f>-SUMIF(SPACE!$G:$G,"Management fees",SPACE!R:R)-SUMIF(SPACE!$G:$G,"Government fees",SPACE!R:R)</f>
        <v>-16970.925509999997</v>
      </c>
      <c r="Y57" s="247">
        <f>-SUMIF(SPACE!$G:$G,"Management fees",SPACE!S:S)-SUMIF(SPACE!$G:$G,"Government fees",SPACE!S:S)</f>
        <v>-16970.925509999997</v>
      </c>
      <c r="Z57" s="247">
        <f>-SUMIF(SPACE!$G:$G,"Management fees",SPACE!T:T)-SUMIF(SPACE!$G:$G,"Government fees",SPACE!T:T)</f>
        <v>-16970.925509999997</v>
      </c>
      <c r="AA57" s="247">
        <f>-SUMIF(SPACE!$G:$G,"Management fees",SPACE!U:U)-SUMIF(SPACE!$G:$G,"Government fees",SPACE!U:U)</f>
        <v>-16970.925509999997</v>
      </c>
      <c r="AB57" s="247">
        <f>-SUMIF(SPACE!$G:$G,"Management fees",SPACE!V:V)-SUMIF(SPACE!$G:$G,"Government fees",SPACE!V:V)</f>
        <v>-16970.925509999997</v>
      </c>
      <c r="AC57" s="247">
        <f>-SUMIF(SPACE!$G:$G,"Management fees",SPACE!W:W)-SUMIF(SPACE!$G:$G,"Government fees",SPACE!W:W)</f>
        <v>-16970.925509999997</v>
      </c>
      <c r="AD57" s="247">
        <f>-SUMIF(SPACE!$G:$G,"Management fees",SPACE!X:X)-SUMIF(SPACE!$G:$G,"Government fees",SPACE!X:X)</f>
        <v>-16970.925509999997</v>
      </c>
      <c r="AE57" s="247">
        <f>-SUMIF(SPACE!$G:$G,"Management fees",SPACE!Y:Y)-SUMIF(SPACE!$G:$G,"Government fees",SPACE!Y:Y)</f>
        <v>-16970.925509999997</v>
      </c>
      <c r="AF57" s="247">
        <f>-SUMIF(SPACE!$G:$G,"Management fees",SPACE!Z:Z)-SUMIF(SPACE!$G:$G,"Government fees",SPACE!Z:Z)</f>
        <v>-16970.925509999997</v>
      </c>
      <c r="AG57" s="251" t="e">
        <f t="shared" si="60"/>
        <v>#REF!</v>
      </c>
      <c r="AH57" s="252"/>
    </row>
    <row r="58" spans="2:36">
      <c r="B58" s="192">
        <v>5080061</v>
      </c>
      <c r="E58" s="216"/>
      <c r="F58" s="246" t="s">
        <v>1600</v>
      </c>
      <c r="G58" s="242"/>
      <c r="H58" s="243"/>
      <c r="I58" s="247">
        <v>-725.82119999999998</v>
      </c>
      <c r="J58" s="247">
        <v>-629.38438339998697</v>
      </c>
      <c r="K58" s="247">
        <v>-679.92266813609695</v>
      </c>
      <c r="L58" s="247">
        <v>-804.24928912621203</v>
      </c>
      <c r="M58" s="247">
        <v>-769.37201615864797</v>
      </c>
      <c r="N58" s="247">
        <v>-640.44060999999999</v>
      </c>
      <c r="O58" s="247" t="e">
        <f>-SUMIF(SPACE!$G:$G,$F58,SPACE!#REF!)</f>
        <v>#REF!</v>
      </c>
      <c r="P58" s="247" t="e">
        <f>-SUMIF(SPACE!$G:$G,$F58,SPACE!#REF!)</f>
        <v>#REF!</v>
      </c>
      <c r="Q58" s="247" t="e">
        <f>-SUMIF(SPACE!$G:$G,$F58,SPACE!#REF!)</f>
        <v>#REF!</v>
      </c>
      <c r="R58" s="247" t="e">
        <f>-SUMIF(SPACE!$G:$G,$F58,SPACE!#REF!)</f>
        <v>#REF!</v>
      </c>
      <c r="S58" s="247" t="e">
        <f>-SUMIF(SPACE!$G:$G,$F58,SPACE!#REF!)</f>
        <v>#REF!</v>
      </c>
      <c r="T58" s="247" t="e">
        <f>-SUMIF(SPACE!$G:$G,$F58,SPACE!#REF!)</f>
        <v>#REF!</v>
      </c>
      <c r="U58" s="247">
        <f>-SUMIF(SPACE!$G:$G,$F58,SPACE!O:O)</f>
        <v>-747.59159999999997</v>
      </c>
      <c r="V58" s="247">
        <f>-SUMIF(SPACE!$G:$G,$F58,SPACE!P:P)</f>
        <v>-741.048</v>
      </c>
      <c r="W58" s="247">
        <f>-SUMIF(SPACE!$G:$G,$F58,SPACE!Q:Q)</f>
        <v>-741.048</v>
      </c>
      <c r="X58" s="247">
        <f>-SUMIF(SPACE!$G:$G,$F58,SPACE!R:R)</f>
        <v>-741.048</v>
      </c>
      <c r="Y58" s="247">
        <f>-SUMIF(SPACE!$G:$G,$F58,SPACE!S:S)</f>
        <v>-741.048</v>
      </c>
      <c r="Z58" s="247">
        <f>-SUMIF(SPACE!$G:$G,$F58,SPACE!T:T)</f>
        <v>-741.048</v>
      </c>
      <c r="AA58" s="247">
        <f>-SUMIF(SPACE!$G:$G,$F58,SPACE!U:U)</f>
        <v>-741.048</v>
      </c>
      <c r="AB58" s="247">
        <f>-SUMIF(SPACE!$G:$G,$F58,SPACE!V:V)</f>
        <v>-741.048</v>
      </c>
      <c r="AC58" s="247">
        <f>-SUMIF(SPACE!$G:$G,$F58,SPACE!W:W)</f>
        <v>-741.048</v>
      </c>
      <c r="AD58" s="247">
        <f>-SUMIF(SPACE!$G:$G,$F58,SPACE!X:X)</f>
        <v>-741.048</v>
      </c>
      <c r="AE58" s="247">
        <f>-SUMIF(SPACE!$G:$G,$F58,SPACE!Y:Y)</f>
        <v>-741.048</v>
      </c>
      <c r="AF58" s="247">
        <f>-SUMIF(SPACE!$G:$G,$F58,SPACE!Z:Z)</f>
        <v>-741.048</v>
      </c>
      <c r="AG58" s="251" t="e">
        <f t="shared" si="60"/>
        <v>#REF!</v>
      </c>
      <c r="AH58" s="252"/>
    </row>
    <row r="59" spans="2:36">
      <c r="B59" s="192">
        <v>5080062</v>
      </c>
      <c r="E59" s="216"/>
      <c r="F59" s="246" t="s">
        <v>2630</v>
      </c>
      <c r="G59" s="242"/>
      <c r="H59" s="243"/>
      <c r="I59" s="247">
        <v>0</v>
      </c>
      <c r="J59" s="247">
        <v>0</v>
      </c>
      <c r="K59" s="247">
        <v>0</v>
      </c>
      <c r="L59" s="247">
        <v>0</v>
      </c>
      <c r="M59" s="247">
        <v>0</v>
      </c>
      <c r="N59" s="247">
        <v>0</v>
      </c>
      <c r="O59" s="247" t="e">
        <f>-SUMIF(SPACE!$G:$G,$F59,SPACE!#REF!)</f>
        <v>#REF!</v>
      </c>
      <c r="P59" s="247" t="e">
        <f>-SUMIF(SPACE!$G:$G,$F59,SPACE!#REF!)</f>
        <v>#REF!</v>
      </c>
      <c r="Q59" s="247" t="e">
        <f>-SUMIF(SPACE!$G:$G,$F59,SPACE!#REF!)</f>
        <v>#REF!</v>
      </c>
      <c r="R59" s="247" t="e">
        <f>-SUMIF(SPACE!$G:$G,$F59,SPACE!#REF!)</f>
        <v>#REF!</v>
      </c>
      <c r="S59" s="247" t="e">
        <f>-SUMIF(SPACE!$G:$G,$F59,SPACE!#REF!)</f>
        <v>#REF!</v>
      </c>
      <c r="T59" s="247" t="e">
        <f>-SUMIF(SPACE!$G:$G,$F59,SPACE!#REF!)</f>
        <v>#REF!</v>
      </c>
      <c r="U59" s="247">
        <f>-SUMIF(SPACE!$G:$G,$F59,SPACE!O:O)</f>
        <v>0</v>
      </c>
      <c r="V59" s="247">
        <f>-SUMIF(SPACE!$G:$G,$F59,SPACE!P:P)</f>
        <v>0</v>
      </c>
      <c r="W59" s="247">
        <f>-SUMIF(SPACE!$G:$G,$F59,SPACE!Q:Q)</f>
        <v>0</v>
      </c>
      <c r="X59" s="247">
        <f>-SUMIF(SPACE!$G:$G,$F59,SPACE!R:R)</f>
        <v>0</v>
      </c>
      <c r="Y59" s="247">
        <f>-SUMIF(SPACE!$G:$G,$F59,SPACE!S:S)</f>
        <v>0</v>
      </c>
      <c r="Z59" s="247">
        <f>-SUMIF(SPACE!$G:$G,$F59,SPACE!T:T)</f>
        <v>0</v>
      </c>
      <c r="AA59" s="247">
        <f>-SUMIF(SPACE!$G:$G,$F59,SPACE!U:U)</f>
        <v>0</v>
      </c>
      <c r="AB59" s="247">
        <f>-SUMIF(SPACE!$G:$G,$F59,SPACE!V:V)</f>
        <v>0</v>
      </c>
      <c r="AC59" s="247">
        <f>-SUMIF(SPACE!$G:$G,$F59,SPACE!W:W)</f>
        <v>0</v>
      </c>
      <c r="AD59" s="247">
        <f>-SUMIF(SPACE!$G:$G,$F59,SPACE!X:X)</f>
        <v>0</v>
      </c>
      <c r="AE59" s="247">
        <f>-SUMIF(SPACE!$G:$G,$F59,SPACE!Y:Y)</f>
        <v>0</v>
      </c>
      <c r="AF59" s="247">
        <f>-SUMIF(SPACE!$G:$G,$F59,SPACE!Z:Z)</f>
        <v>0</v>
      </c>
      <c r="AG59" s="251" t="e">
        <f t="shared" si="60"/>
        <v>#REF!</v>
      </c>
      <c r="AH59" s="252"/>
    </row>
    <row r="60" spans="2:36">
      <c r="B60" s="192" t="s">
        <v>2912</v>
      </c>
      <c r="E60" s="216"/>
      <c r="F60" s="246" t="s">
        <v>2612</v>
      </c>
      <c r="G60" s="242"/>
      <c r="H60" s="243"/>
      <c r="I60" s="247">
        <v>-1457.2256400000001</v>
      </c>
      <c r="J60" s="247">
        <v>-1865.6903934589</v>
      </c>
      <c r="K60" s="247">
        <v>-1861.58090425979</v>
      </c>
      <c r="L60" s="247">
        <v>-1868.6083859645801</v>
      </c>
      <c r="M60" s="247">
        <v>-1836.7524788835799</v>
      </c>
      <c r="N60" s="247">
        <v>-1829.71326</v>
      </c>
      <c r="O60" s="247" t="e">
        <f>-SUMIF(SPACE!$G:$G,$F60,SPACE!#REF!)</f>
        <v>#REF!</v>
      </c>
      <c r="P60" s="247" t="e">
        <f>-SUMIF(SPACE!$G:$G,$F60,SPACE!#REF!)</f>
        <v>#REF!</v>
      </c>
      <c r="Q60" s="247" t="e">
        <f>-SUMIF(SPACE!$G:$G,$F60,SPACE!#REF!)</f>
        <v>#REF!</v>
      </c>
      <c r="R60" s="247" t="e">
        <f>-SUMIF(SPACE!$G:$G,$F60,SPACE!#REF!)</f>
        <v>#REF!</v>
      </c>
      <c r="S60" s="247" t="e">
        <f>-SUMIF(SPACE!$G:$G,$F60,SPACE!#REF!)</f>
        <v>#REF!</v>
      </c>
      <c r="T60" s="247" t="e">
        <f>-SUMIF(SPACE!$G:$G,$F60,SPACE!#REF!)</f>
        <v>#REF!</v>
      </c>
      <c r="U60" s="247">
        <f>-SUMIF(SPACE!$G:$G,$F60,SPACE!O:O)</f>
        <v>-1525.360557</v>
      </c>
      <c r="V60" s="247">
        <f>-SUMIF(SPACE!$G:$G,$F60,SPACE!P:P)</f>
        <v>-1512.5514599999999</v>
      </c>
      <c r="W60" s="247">
        <f>-SUMIF(SPACE!$G:$G,$F60,SPACE!Q:Q)</f>
        <v>-1512.5514599999999</v>
      </c>
      <c r="X60" s="247">
        <f>-SUMIF(SPACE!$G:$G,$F60,SPACE!R:R)</f>
        <v>-1512.5514599999999</v>
      </c>
      <c r="Y60" s="247">
        <f>-SUMIF(SPACE!$G:$G,$F60,SPACE!S:S)</f>
        <v>-1512.5514599999999</v>
      </c>
      <c r="Z60" s="247">
        <f>-SUMIF(SPACE!$G:$G,$F60,SPACE!T:T)</f>
        <v>-1512.5514599999999</v>
      </c>
      <c r="AA60" s="247">
        <f>-SUMIF(SPACE!$G:$G,$F60,SPACE!U:U)</f>
        <v>-1512.5514599999999</v>
      </c>
      <c r="AB60" s="247">
        <f>-SUMIF(SPACE!$G:$G,$F60,SPACE!V:V)</f>
        <v>-1512.5514599999999</v>
      </c>
      <c r="AC60" s="247">
        <f>-SUMIF(SPACE!$G:$G,$F60,SPACE!W:W)</f>
        <v>-1512.5514599999999</v>
      </c>
      <c r="AD60" s="247">
        <f>-SUMIF(SPACE!$G:$G,$F60,SPACE!X:X)</f>
        <v>-1512.5514599999999</v>
      </c>
      <c r="AE60" s="247">
        <f>-SUMIF(SPACE!$G:$G,$F60,SPACE!Y:Y)</f>
        <v>-1512.5514599999999</v>
      </c>
      <c r="AF60" s="247">
        <f>-SUMIF(SPACE!$G:$G,$F60,SPACE!Z:Z)</f>
        <v>-1512.5514599999999</v>
      </c>
      <c r="AG60" s="251" t="e">
        <f t="shared" si="60"/>
        <v>#REF!</v>
      </c>
      <c r="AH60" s="252"/>
    </row>
    <row r="61" spans="2:36">
      <c r="B61" s="192">
        <v>505001</v>
      </c>
      <c r="E61" s="216"/>
      <c r="F61" s="246" t="s">
        <v>2615</v>
      </c>
      <c r="G61" s="242"/>
      <c r="H61" s="243"/>
      <c r="I61" s="247">
        <v>0</v>
      </c>
      <c r="J61" s="247">
        <v>0</v>
      </c>
      <c r="K61" s="247">
        <v>0</v>
      </c>
      <c r="L61" s="247">
        <v>0</v>
      </c>
      <c r="M61" s="247">
        <v>0</v>
      </c>
      <c r="N61" s="247">
        <v>0</v>
      </c>
      <c r="O61" s="247" t="e">
        <f>-SUMIF(SPACE!$G:$G,$F61,SPACE!#REF!)</f>
        <v>#REF!</v>
      </c>
      <c r="P61" s="247" t="e">
        <f>-SUMIF(SPACE!$G:$G,$F61,SPACE!#REF!)</f>
        <v>#REF!</v>
      </c>
      <c r="Q61" s="247" t="e">
        <f>-SUMIF(SPACE!$G:$G,$F61,SPACE!#REF!)</f>
        <v>#REF!</v>
      </c>
      <c r="R61" s="247" t="e">
        <f>-SUMIF(SPACE!$G:$G,$F61,SPACE!#REF!)</f>
        <v>#REF!</v>
      </c>
      <c r="S61" s="247" t="e">
        <f>-SUMIF(SPACE!$G:$G,$F61,SPACE!#REF!)</f>
        <v>#REF!</v>
      </c>
      <c r="T61" s="247" t="e">
        <f>-SUMIF(SPACE!$G:$G,$F61,SPACE!#REF!)</f>
        <v>#REF!</v>
      </c>
      <c r="U61" s="247">
        <f>-SUMIF(SPACE!$G:$G,$F61,SPACE!O:O)</f>
        <v>-6988.6707449999994</v>
      </c>
      <c r="V61" s="247">
        <f>-SUMIF(SPACE!$G:$G,$F61,SPACE!P:P)</f>
        <v>-6969.7761</v>
      </c>
      <c r="W61" s="247">
        <f>-SUMIF(SPACE!$G:$G,$F61,SPACE!Q:Q)</f>
        <v>-6969.7761</v>
      </c>
      <c r="X61" s="247">
        <f>-SUMIF(SPACE!$G:$G,$F61,SPACE!R:R)</f>
        <v>-6969.7761</v>
      </c>
      <c r="Y61" s="247">
        <f>-SUMIF(SPACE!$G:$G,$F61,SPACE!S:S)</f>
        <v>-6969.7761</v>
      </c>
      <c r="Z61" s="247">
        <f>-SUMIF(SPACE!$G:$G,$F61,SPACE!T:T)</f>
        <v>-6969.7761</v>
      </c>
      <c r="AA61" s="247">
        <f>-SUMIF(SPACE!$G:$G,$F61,SPACE!U:U)</f>
        <v>-6969.7761</v>
      </c>
      <c r="AB61" s="247">
        <f>-SUMIF(SPACE!$G:$G,$F61,SPACE!V:V)</f>
        <v>-6969.7761</v>
      </c>
      <c r="AC61" s="247">
        <f>-SUMIF(SPACE!$G:$G,$F61,SPACE!W:W)</f>
        <v>-6969.7761</v>
      </c>
      <c r="AD61" s="247">
        <f>-SUMIF(SPACE!$G:$G,$F61,SPACE!X:X)</f>
        <v>-6969.7761</v>
      </c>
      <c r="AE61" s="247">
        <f>-SUMIF(SPACE!$G:$G,$F61,SPACE!Y:Y)</f>
        <v>-6969.7761</v>
      </c>
      <c r="AF61" s="247">
        <f>-SUMIF(SPACE!$G:$G,$F61,SPACE!Z:Z)</f>
        <v>-6969.7761</v>
      </c>
      <c r="AG61" s="251" t="e">
        <f t="shared" si="60"/>
        <v>#REF!</v>
      </c>
      <c r="AH61" s="252"/>
    </row>
    <row r="62" spans="2:36">
      <c r="B62" s="192">
        <v>505002</v>
      </c>
      <c r="E62" s="216"/>
      <c r="F62" s="246" t="s">
        <v>2616</v>
      </c>
      <c r="G62" s="242"/>
      <c r="H62" s="243"/>
      <c r="I62" s="247">
        <v>0</v>
      </c>
      <c r="J62" s="247">
        <v>0</v>
      </c>
      <c r="K62" s="247">
        <v>0</v>
      </c>
      <c r="L62" s="247">
        <v>0</v>
      </c>
      <c r="M62" s="247">
        <v>0</v>
      </c>
      <c r="N62" s="247">
        <v>0</v>
      </c>
      <c r="O62" s="247" t="e">
        <f>-SUMIF(SPACE!$G:$G,$F62,SPACE!#REF!)</f>
        <v>#REF!</v>
      </c>
      <c r="P62" s="247" t="e">
        <f>-SUMIF(SPACE!$G:$G,$F62,SPACE!#REF!)</f>
        <v>#REF!</v>
      </c>
      <c r="Q62" s="247" t="e">
        <f>-SUMIF(SPACE!$G:$G,$F62,SPACE!#REF!)</f>
        <v>#REF!</v>
      </c>
      <c r="R62" s="247" t="e">
        <f>-SUMIF(SPACE!$G:$G,$F62,SPACE!#REF!)</f>
        <v>#REF!</v>
      </c>
      <c r="S62" s="247" t="e">
        <f>-SUMIF(SPACE!$G:$G,$F62,SPACE!#REF!)</f>
        <v>#REF!</v>
      </c>
      <c r="T62" s="247" t="e">
        <f>-SUMIF(SPACE!$G:$G,$F62,SPACE!#REF!)</f>
        <v>#REF!</v>
      </c>
      <c r="U62" s="247">
        <f>-SUMIF(SPACE!$G:$G,$F62,SPACE!O:O)</f>
        <v>0</v>
      </c>
      <c r="V62" s="247">
        <f>-SUMIF(SPACE!$G:$G,$F62,SPACE!P:P)</f>
        <v>0</v>
      </c>
      <c r="W62" s="247">
        <f>-SUMIF(SPACE!$G:$G,$F62,SPACE!Q:Q)</f>
        <v>0</v>
      </c>
      <c r="X62" s="247">
        <f>-SUMIF(SPACE!$G:$G,$F62,SPACE!R:R)</f>
        <v>0</v>
      </c>
      <c r="Y62" s="247">
        <f>-SUMIF(SPACE!$G:$G,$F62,SPACE!S:S)</f>
        <v>0</v>
      </c>
      <c r="Z62" s="247">
        <f>-SUMIF(SPACE!$G:$G,$F62,SPACE!T:T)</f>
        <v>0</v>
      </c>
      <c r="AA62" s="247">
        <f>-SUMIF(SPACE!$G:$G,$F62,SPACE!U:U)</f>
        <v>0</v>
      </c>
      <c r="AB62" s="247">
        <f>-SUMIF(SPACE!$G:$G,$F62,SPACE!V:V)</f>
        <v>0</v>
      </c>
      <c r="AC62" s="247">
        <f>-SUMIF(SPACE!$G:$G,$F62,SPACE!W:W)</f>
        <v>0</v>
      </c>
      <c r="AD62" s="247">
        <f>-SUMIF(SPACE!$G:$G,$F62,SPACE!X:X)</f>
        <v>0</v>
      </c>
      <c r="AE62" s="247">
        <f>-SUMIF(SPACE!$G:$G,$F62,SPACE!Y:Y)</f>
        <v>0</v>
      </c>
      <c r="AF62" s="247">
        <f>-SUMIF(SPACE!$G:$G,$F62,SPACE!Z:Z)</f>
        <v>0</v>
      </c>
      <c r="AG62" s="251" t="e">
        <f t="shared" si="60"/>
        <v>#REF!</v>
      </c>
      <c r="AH62" s="252"/>
    </row>
    <row r="63" spans="2:36">
      <c r="B63" s="192">
        <v>505003</v>
      </c>
      <c r="E63" s="216"/>
      <c r="F63" s="246" t="s">
        <v>2793</v>
      </c>
      <c r="G63" s="242"/>
      <c r="H63" s="243"/>
      <c r="I63" s="247">
        <v>0</v>
      </c>
      <c r="J63" s="247">
        <v>0</v>
      </c>
      <c r="K63" s="247">
        <v>0</v>
      </c>
      <c r="L63" s="247">
        <v>0</v>
      </c>
      <c r="M63" s="247">
        <v>0</v>
      </c>
      <c r="N63" s="247">
        <v>0</v>
      </c>
      <c r="O63" s="247" t="e">
        <f>-SUMIF(SPACE!$G:$G,$F63,SPACE!#REF!)</f>
        <v>#REF!</v>
      </c>
      <c r="P63" s="247" t="e">
        <f>-SUMIF(SPACE!$G:$G,$F63,SPACE!#REF!)</f>
        <v>#REF!</v>
      </c>
      <c r="Q63" s="247" t="e">
        <f>-SUMIF(SPACE!$G:$G,$F63,SPACE!#REF!)</f>
        <v>#REF!</v>
      </c>
      <c r="R63" s="247" t="e">
        <f>-SUMIF(SPACE!$G:$G,$F63,SPACE!#REF!)</f>
        <v>#REF!</v>
      </c>
      <c r="S63" s="247" t="e">
        <f>-SUMIF(SPACE!$G:$G,$F63,SPACE!#REF!)</f>
        <v>#REF!</v>
      </c>
      <c r="T63" s="247" t="e">
        <f>-SUMIF(SPACE!$G:$G,$F63,SPACE!#REF!)</f>
        <v>#REF!</v>
      </c>
      <c r="U63" s="247">
        <f>-SUMIF(SPACE!$G:$G,$F63,SPACE!O:O)</f>
        <v>0</v>
      </c>
      <c r="V63" s="247">
        <f>-SUMIF(SPACE!$G:$G,$F63,SPACE!P:P)</f>
        <v>0</v>
      </c>
      <c r="W63" s="247">
        <f>-SUMIF(SPACE!$G:$G,$F63,SPACE!Q:Q)</f>
        <v>0</v>
      </c>
      <c r="X63" s="247">
        <f>-SUMIF(SPACE!$G:$G,$F63,SPACE!R:R)</f>
        <v>0</v>
      </c>
      <c r="Y63" s="247">
        <f>-SUMIF(SPACE!$G:$G,$F63,SPACE!S:S)</f>
        <v>0</v>
      </c>
      <c r="Z63" s="247">
        <f>-SUMIF(SPACE!$G:$G,$F63,SPACE!T:T)</f>
        <v>0</v>
      </c>
      <c r="AA63" s="247">
        <f>-SUMIF(SPACE!$G:$G,$F63,SPACE!U:U)</f>
        <v>0</v>
      </c>
      <c r="AB63" s="247">
        <f>-SUMIF(SPACE!$G:$G,$F63,SPACE!V:V)</f>
        <v>0</v>
      </c>
      <c r="AC63" s="247">
        <f>-SUMIF(SPACE!$G:$G,$F63,SPACE!W:W)</f>
        <v>0</v>
      </c>
      <c r="AD63" s="247">
        <f>-SUMIF(SPACE!$G:$G,$F63,SPACE!X:X)</f>
        <v>0</v>
      </c>
      <c r="AE63" s="247">
        <f>-SUMIF(SPACE!$G:$G,$F63,SPACE!Y:Y)</f>
        <v>0</v>
      </c>
      <c r="AF63" s="247">
        <f>-SUMIF(SPACE!$G:$G,$F63,SPACE!Z:Z)</f>
        <v>0</v>
      </c>
      <c r="AG63" s="251" t="e">
        <f t="shared" si="60"/>
        <v>#REF!</v>
      </c>
      <c r="AH63" s="252"/>
    </row>
    <row r="64" spans="2:36">
      <c r="B64" s="192">
        <v>5080020</v>
      </c>
      <c r="E64" s="216"/>
      <c r="F64" s="246" t="s">
        <v>2623</v>
      </c>
      <c r="G64" s="242"/>
      <c r="H64" s="243"/>
      <c r="I64" s="247">
        <v>0</v>
      </c>
      <c r="J64" s="247">
        <v>0</v>
      </c>
      <c r="K64" s="247">
        <v>0</v>
      </c>
      <c r="L64" s="247">
        <v>0</v>
      </c>
      <c r="M64" s="247">
        <v>0</v>
      </c>
      <c r="N64" s="247">
        <v>0</v>
      </c>
      <c r="O64" s="247" t="e">
        <f>-SUMIF(SPACE!$G:$G,$F64,SPACE!#REF!)</f>
        <v>#REF!</v>
      </c>
      <c r="P64" s="247" t="e">
        <f>-SUMIF(SPACE!$G:$G,$F64,SPACE!#REF!)</f>
        <v>#REF!</v>
      </c>
      <c r="Q64" s="247" t="e">
        <f>-SUMIF(SPACE!$G:$G,$F64,SPACE!#REF!)</f>
        <v>#REF!</v>
      </c>
      <c r="R64" s="247" t="e">
        <f>-SUMIF(SPACE!$G:$G,$F64,SPACE!#REF!)</f>
        <v>#REF!</v>
      </c>
      <c r="S64" s="247" t="e">
        <f>-SUMIF(SPACE!$G:$G,$F64,SPACE!#REF!)</f>
        <v>#REF!</v>
      </c>
      <c r="T64" s="247" t="e">
        <f>-SUMIF(SPACE!$G:$G,$F64,SPACE!#REF!)</f>
        <v>#REF!</v>
      </c>
      <c r="U64" s="247">
        <f>-SUMIF(SPACE!$G:$G,$F64,SPACE!O:O)</f>
        <v>-2336.2237499999997</v>
      </c>
      <c r="V64" s="247">
        <f>-SUMIF(SPACE!$G:$G,$F64,SPACE!P:P)</f>
        <v>-2315.7750000000001</v>
      </c>
      <c r="W64" s="247">
        <f>-SUMIF(SPACE!$G:$G,$F64,SPACE!Q:Q)</f>
        <v>-2315.7750000000001</v>
      </c>
      <c r="X64" s="247">
        <f>-SUMIF(SPACE!$G:$G,$F64,SPACE!R:R)</f>
        <v>-2315.7750000000001</v>
      </c>
      <c r="Y64" s="247">
        <f>-SUMIF(SPACE!$G:$G,$F64,SPACE!S:S)</f>
        <v>-2315.7750000000001</v>
      </c>
      <c r="Z64" s="247">
        <f>-SUMIF(SPACE!$G:$G,$F64,SPACE!T:T)</f>
        <v>-2315.7750000000001</v>
      </c>
      <c r="AA64" s="247">
        <f>-SUMIF(SPACE!$G:$G,$F64,SPACE!U:U)</f>
        <v>-2315.7750000000001</v>
      </c>
      <c r="AB64" s="247">
        <f>-SUMIF(SPACE!$G:$G,$F64,SPACE!V:V)</f>
        <v>-2315.7750000000001</v>
      </c>
      <c r="AC64" s="247">
        <f>-SUMIF(SPACE!$G:$G,$F64,SPACE!W:W)</f>
        <v>-2315.7750000000001</v>
      </c>
      <c r="AD64" s="247">
        <f>-SUMIF(SPACE!$G:$G,$F64,SPACE!X:X)</f>
        <v>-2315.7750000000001</v>
      </c>
      <c r="AE64" s="247">
        <f>-SUMIF(SPACE!$G:$G,$F64,SPACE!Y:Y)</f>
        <v>-2315.7750000000001</v>
      </c>
      <c r="AF64" s="247">
        <f>-SUMIF(SPACE!$G:$G,$F64,SPACE!Z:Z)</f>
        <v>-2315.7750000000001</v>
      </c>
      <c r="AG64" s="251" t="e">
        <f t="shared" si="60"/>
        <v>#REF!</v>
      </c>
      <c r="AH64" s="252"/>
    </row>
    <row r="65" spans="2:36">
      <c r="B65" s="192" t="s">
        <v>2913</v>
      </c>
      <c r="E65" s="216"/>
      <c r="F65" s="246" t="s">
        <v>2794</v>
      </c>
      <c r="G65" s="242"/>
      <c r="H65" s="243"/>
      <c r="I65" s="247">
        <v>0</v>
      </c>
      <c r="J65" s="247">
        <v>-5200</v>
      </c>
      <c r="K65" s="247">
        <v>0</v>
      </c>
      <c r="L65" s="247">
        <v>0</v>
      </c>
      <c r="M65" s="247">
        <v>0</v>
      </c>
      <c r="N65" s="247">
        <v>0</v>
      </c>
      <c r="O65" s="247" t="e">
        <f>-SUMIF(SPACE!$G:$G,$F65,SPACE!#REF!)</f>
        <v>#REF!</v>
      </c>
      <c r="P65" s="247" t="e">
        <f>-SUMIF(SPACE!$G:$G,$F65,SPACE!#REF!)</f>
        <v>#REF!</v>
      </c>
      <c r="Q65" s="247" t="e">
        <f>-SUMIF(SPACE!$G:$G,$F65,SPACE!#REF!)</f>
        <v>#REF!</v>
      </c>
      <c r="R65" s="247" t="e">
        <f>-SUMIF(SPACE!$G:$G,$F65,SPACE!#REF!)</f>
        <v>#REF!</v>
      </c>
      <c r="S65" s="247" t="e">
        <f>-SUMIF(SPACE!$G:$G,$F65,SPACE!#REF!)</f>
        <v>#REF!</v>
      </c>
      <c r="T65" s="247" t="e">
        <f>-SUMIF(SPACE!$G:$G,$F65,SPACE!#REF!)</f>
        <v>#REF!</v>
      </c>
      <c r="U65" s="247">
        <f>-SUMIF(SPACE!$G:$G,$F65,SPACE!O:O)</f>
        <v>0</v>
      </c>
      <c r="V65" s="247">
        <f>-SUMIF(SPACE!$G:$G,$F65,SPACE!P:P)</f>
        <v>0</v>
      </c>
      <c r="W65" s="247">
        <f>-SUMIF(SPACE!$G:$G,$F65,SPACE!Q:Q)</f>
        <v>0</v>
      </c>
      <c r="X65" s="247">
        <f>-SUMIF(SPACE!$G:$G,$F65,SPACE!R:R)</f>
        <v>0</v>
      </c>
      <c r="Y65" s="247">
        <f>-SUMIF(SPACE!$G:$G,$F65,SPACE!S:S)</f>
        <v>0</v>
      </c>
      <c r="Z65" s="247">
        <f>-SUMIF(SPACE!$G:$G,$F65,SPACE!T:T)</f>
        <v>0</v>
      </c>
      <c r="AA65" s="247">
        <f>-SUMIF(SPACE!$G:$G,$F65,SPACE!U:U)</f>
        <v>0</v>
      </c>
      <c r="AB65" s="247">
        <f>-SUMIF(SPACE!$G:$G,$F65,SPACE!V:V)</f>
        <v>0</v>
      </c>
      <c r="AC65" s="247">
        <f>-SUMIF(SPACE!$G:$G,$F65,SPACE!W:W)</f>
        <v>0</v>
      </c>
      <c r="AD65" s="247">
        <f>-SUMIF(SPACE!$G:$G,$F65,SPACE!X:X)</f>
        <v>0</v>
      </c>
      <c r="AE65" s="247">
        <f>-SUMIF(SPACE!$G:$G,$F65,SPACE!Y:Y)</f>
        <v>0</v>
      </c>
      <c r="AF65" s="247">
        <f>-SUMIF(SPACE!$G:$G,$F65,SPACE!Z:Z)</f>
        <v>0</v>
      </c>
      <c r="AG65" s="251" t="e">
        <f t="shared" si="60"/>
        <v>#REF!</v>
      </c>
      <c r="AH65" s="252"/>
    </row>
    <row r="66" spans="2:36">
      <c r="B66" s="192" t="s">
        <v>2914</v>
      </c>
      <c r="E66" s="216"/>
      <c r="F66" s="246" t="s">
        <v>2795</v>
      </c>
      <c r="G66" s="242"/>
      <c r="H66" s="243"/>
      <c r="I66" s="247">
        <v>0</v>
      </c>
      <c r="J66" s="247">
        <v>0</v>
      </c>
      <c r="K66" s="247">
        <v>0</v>
      </c>
      <c r="L66" s="247">
        <v>0</v>
      </c>
      <c r="M66" s="247">
        <v>0</v>
      </c>
      <c r="N66" s="247">
        <v>0</v>
      </c>
      <c r="O66" s="247" t="e">
        <f>-SUMIF(SPACE!$G:$G,$F66,SPACE!#REF!)</f>
        <v>#REF!</v>
      </c>
      <c r="P66" s="247" t="e">
        <f>-SUMIF(SPACE!$G:$G,$F66,SPACE!#REF!)</f>
        <v>#REF!</v>
      </c>
      <c r="Q66" s="247" t="e">
        <f>-SUMIF(SPACE!$G:$G,$F66,SPACE!#REF!)</f>
        <v>#REF!</v>
      </c>
      <c r="R66" s="247" t="e">
        <f>-SUMIF(SPACE!$G:$G,$F66,SPACE!#REF!)</f>
        <v>#REF!</v>
      </c>
      <c r="S66" s="247" t="e">
        <f>-SUMIF(SPACE!$G:$G,$F66,SPACE!#REF!)</f>
        <v>#REF!</v>
      </c>
      <c r="T66" s="247" t="e">
        <f>-SUMIF(SPACE!$G:$G,$F66,SPACE!#REF!)</f>
        <v>#REF!</v>
      </c>
      <c r="U66" s="247">
        <f>-SUMIF(SPACE!$G:$G,$F66,SPACE!O:O)</f>
        <v>0</v>
      </c>
      <c r="V66" s="247">
        <f>-SUMIF(SPACE!$G:$G,$F66,SPACE!P:P)</f>
        <v>0</v>
      </c>
      <c r="W66" s="247">
        <f>-SUMIF(SPACE!$G:$G,$F66,SPACE!Q:Q)</f>
        <v>0</v>
      </c>
      <c r="X66" s="247">
        <f>-SUMIF(SPACE!$G:$G,$F66,SPACE!R:R)</f>
        <v>0</v>
      </c>
      <c r="Y66" s="247">
        <f>-SUMIF(SPACE!$G:$G,$F66,SPACE!S:S)</f>
        <v>0</v>
      </c>
      <c r="Z66" s="247">
        <f>-SUMIF(SPACE!$G:$G,$F66,SPACE!T:T)</f>
        <v>0</v>
      </c>
      <c r="AA66" s="247">
        <f>-SUMIF(SPACE!$G:$G,$F66,SPACE!U:U)</f>
        <v>0</v>
      </c>
      <c r="AB66" s="247">
        <f>-SUMIF(SPACE!$G:$G,$F66,SPACE!V:V)</f>
        <v>0</v>
      </c>
      <c r="AC66" s="247">
        <f>-SUMIF(SPACE!$G:$G,$F66,SPACE!W:W)</f>
        <v>0</v>
      </c>
      <c r="AD66" s="247">
        <f>-SUMIF(SPACE!$G:$G,$F66,SPACE!X:X)</f>
        <v>0</v>
      </c>
      <c r="AE66" s="247">
        <f>-SUMIF(SPACE!$G:$G,$F66,SPACE!Y:Y)</f>
        <v>0</v>
      </c>
      <c r="AF66" s="247">
        <f>-SUMIF(SPACE!$G:$G,$F66,SPACE!Z:Z)</f>
        <v>0</v>
      </c>
      <c r="AG66" s="251" t="e">
        <f t="shared" si="60"/>
        <v>#REF!</v>
      </c>
      <c r="AH66" s="252"/>
    </row>
    <row r="67" spans="2:36">
      <c r="B67" s="192" t="s">
        <v>2915</v>
      </c>
      <c r="E67" s="216"/>
      <c r="F67" s="246" t="s">
        <v>2796</v>
      </c>
      <c r="G67" s="242"/>
      <c r="H67" s="243"/>
      <c r="I67" s="247">
        <v>0</v>
      </c>
      <c r="J67" s="247">
        <v>0</v>
      </c>
      <c r="K67" s="247">
        <v>0</v>
      </c>
      <c r="L67" s="247">
        <v>0</v>
      </c>
      <c r="M67" s="247">
        <v>0</v>
      </c>
      <c r="N67" s="247">
        <v>0</v>
      </c>
      <c r="O67" s="247" t="e">
        <f>-SUMIF(SPACE!$G:$G,$F67,SPACE!#REF!)</f>
        <v>#REF!</v>
      </c>
      <c r="P67" s="247" t="e">
        <f>-SUMIF(SPACE!$G:$G,$F67,SPACE!#REF!)</f>
        <v>#REF!</v>
      </c>
      <c r="Q67" s="247" t="e">
        <f>-SUMIF(SPACE!$G:$G,$F67,SPACE!#REF!)</f>
        <v>#REF!</v>
      </c>
      <c r="R67" s="247" t="e">
        <f>-SUMIF(SPACE!$G:$G,$F67,SPACE!#REF!)</f>
        <v>#REF!</v>
      </c>
      <c r="S67" s="247" t="e">
        <f>-SUMIF(SPACE!$G:$G,$F67,SPACE!#REF!)</f>
        <v>#REF!</v>
      </c>
      <c r="T67" s="247" t="e">
        <f>-SUMIF(SPACE!$G:$G,$F67,SPACE!#REF!)</f>
        <v>#REF!</v>
      </c>
      <c r="U67" s="247">
        <f>-SUMIF(SPACE!$G:$G,$F67,SPACE!O:O)</f>
        <v>0</v>
      </c>
      <c r="V67" s="247">
        <f>-SUMIF(SPACE!$G:$G,$F67,SPACE!P:P)</f>
        <v>0</v>
      </c>
      <c r="W67" s="247">
        <f>-SUMIF(SPACE!$G:$G,$F67,SPACE!Q:Q)</f>
        <v>0</v>
      </c>
      <c r="X67" s="247">
        <f>-SUMIF(SPACE!$G:$G,$F67,SPACE!R:R)</f>
        <v>0</v>
      </c>
      <c r="Y67" s="247">
        <f>-SUMIF(SPACE!$G:$G,$F67,SPACE!S:S)</f>
        <v>0</v>
      </c>
      <c r="Z67" s="247">
        <f>-SUMIF(SPACE!$G:$G,$F67,SPACE!T:T)</f>
        <v>0</v>
      </c>
      <c r="AA67" s="247">
        <f>-SUMIF(SPACE!$G:$G,$F67,SPACE!U:U)</f>
        <v>0</v>
      </c>
      <c r="AB67" s="247">
        <f>-SUMIF(SPACE!$G:$G,$F67,SPACE!V:V)</f>
        <v>0</v>
      </c>
      <c r="AC67" s="247">
        <f>-SUMIF(SPACE!$G:$G,$F67,SPACE!W:W)</f>
        <v>0</v>
      </c>
      <c r="AD67" s="247">
        <f>-SUMIF(SPACE!$G:$G,$F67,SPACE!X:X)</f>
        <v>0</v>
      </c>
      <c r="AE67" s="247">
        <f>-SUMIF(SPACE!$G:$G,$F67,SPACE!Y:Y)</f>
        <v>0</v>
      </c>
      <c r="AF67" s="247">
        <f>-SUMIF(SPACE!$G:$G,$F67,SPACE!Z:Z)</f>
        <v>0</v>
      </c>
      <c r="AG67" s="251" t="e">
        <f t="shared" si="60"/>
        <v>#REF!</v>
      </c>
      <c r="AH67" s="252"/>
    </row>
    <row r="68" spans="2:36">
      <c r="B68" s="192" t="s">
        <v>2628</v>
      </c>
      <c r="E68" s="216"/>
      <c r="F68" s="246" t="s">
        <v>2797</v>
      </c>
      <c r="G68" s="242"/>
      <c r="H68" s="243"/>
      <c r="I68" s="247">
        <v>0</v>
      </c>
      <c r="J68" s="247">
        <v>0</v>
      </c>
      <c r="K68" s="247">
        <v>0</v>
      </c>
      <c r="L68" s="247">
        <v>0</v>
      </c>
      <c r="M68" s="247">
        <v>0</v>
      </c>
      <c r="N68" s="247">
        <v>0</v>
      </c>
      <c r="O68" s="247" t="e">
        <f>-SUMIF(SPACE!$G:$G,$F68,SPACE!#REF!)</f>
        <v>#REF!</v>
      </c>
      <c r="P68" s="247" t="e">
        <f>-SUMIF(SPACE!$G:$G,$F68,SPACE!#REF!)</f>
        <v>#REF!</v>
      </c>
      <c r="Q68" s="247" t="e">
        <f>-SUMIF(SPACE!$G:$G,$F68,SPACE!#REF!)</f>
        <v>#REF!</v>
      </c>
      <c r="R68" s="247" t="e">
        <f>-SUMIF(SPACE!$G:$G,$F68,SPACE!#REF!)</f>
        <v>#REF!</v>
      </c>
      <c r="S68" s="247" t="e">
        <f>-SUMIF(SPACE!$G:$G,$F68,SPACE!#REF!)</f>
        <v>#REF!</v>
      </c>
      <c r="T68" s="247" t="e">
        <f>-SUMIF(SPACE!$G:$G,$F68,SPACE!#REF!)</f>
        <v>#REF!</v>
      </c>
      <c r="U68" s="247">
        <f>-SUMIF(SPACE!$G:$G,$F68,SPACE!O:O)</f>
        <v>0</v>
      </c>
      <c r="V68" s="247">
        <f>-SUMIF(SPACE!$G:$G,$F68,SPACE!P:P)</f>
        <v>0</v>
      </c>
      <c r="W68" s="247">
        <f>-SUMIF(SPACE!$G:$G,$F68,SPACE!Q:Q)</f>
        <v>0</v>
      </c>
      <c r="X68" s="247">
        <f>-SUMIF(SPACE!$G:$G,$F68,SPACE!R:R)</f>
        <v>0</v>
      </c>
      <c r="Y68" s="247">
        <f>-SUMIF(SPACE!$G:$G,$F68,SPACE!S:S)</f>
        <v>0</v>
      </c>
      <c r="Z68" s="247">
        <f>-SUMIF(SPACE!$G:$G,$F68,SPACE!T:T)</f>
        <v>0</v>
      </c>
      <c r="AA68" s="247">
        <f>-SUMIF(SPACE!$G:$G,$F68,SPACE!U:U)</f>
        <v>0</v>
      </c>
      <c r="AB68" s="247">
        <f>-SUMIF(SPACE!$G:$G,$F68,SPACE!V:V)</f>
        <v>0</v>
      </c>
      <c r="AC68" s="247">
        <f>-SUMIF(SPACE!$G:$G,$F68,SPACE!W:W)</f>
        <v>0</v>
      </c>
      <c r="AD68" s="247">
        <f>-SUMIF(SPACE!$G:$G,$F68,SPACE!X:X)</f>
        <v>0</v>
      </c>
      <c r="AE68" s="247">
        <f>-SUMIF(SPACE!$G:$G,$F68,SPACE!Y:Y)</f>
        <v>0</v>
      </c>
      <c r="AF68" s="247">
        <f>-SUMIF(SPACE!$G:$G,$F68,SPACE!Z:Z)</f>
        <v>0</v>
      </c>
      <c r="AG68" s="251" t="e">
        <f t="shared" si="60"/>
        <v>#REF!</v>
      </c>
      <c r="AH68" s="252"/>
    </row>
    <row r="69" spans="2:36">
      <c r="E69" s="304"/>
      <c r="F69" s="299" t="s">
        <v>2611</v>
      </c>
      <c r="G69" s="300"/>
      <c r="H69" s="243"/>
      <c r="I69" s="301">
        <f>SUBTOTAL(9,I49:I68)</f>
        <v>-198166.39918000001</v>
      </c>
      <c r="J69" s="301">
        <f t="shared" ref="J69:U69" si="62">SUBTOTAL(9,J49:J68)</f>
        <v>-125179.218866546</v>
      </c>
      <c r="K69" s="301">
        <f t="shared" si="62"/>
        <v>-347911.22029839997</v>
      </c>
      <c r="L69" s="301">
        <f t="shared" si="62"/>
        <v>-136096.46552989399</v>
      </c>
      <c r="M69" s="301">
        <f t="shared" si="62"/>
        <v>-176903.82989349999</v>
      </c>
      <c r="N69" s="301">
        <f t="shared" si="62"/>
        <v>-117236.00268000001</v>
      </c>
      <c r="O69" s="301" t="e">
        <f t="shared" si="62"/>
        <v>#REF!</v>
      </c>
      <c r="P69" s="301" t="e">
        <f t="shared" si="62"/>
        <v>#REF!</v>
      </c>
      <c r="Q69" s="301" t="e">
        <f t="shared" si="62"/>
        <v>#REF!</v>
      </c>
      <c r="R69" s="301" t="e">
        <f t="shared" si="62"/>
        <v>#REF!</v>
      </c>
      <c r="S69" s="301" t="e">
        <f t="shared" si="62"/>
        <v>#REF!</v>
      </c>
      <c r="T69" s="301" t="e">
        <f t="shared" si="62"/>
        <v>#REF!</v>
      </c>
      <c r="U69" s="301">
        <f t="shared" si="62"/>
        <v>-146434.22878150005</v>
      </c>
      <c r="V69" s="301">
        <f t="shared" ref="V69:AF69" si="63">SUBTOTAL(9,V49:V68)</f>
        <v>-145446.67606999999</v>
      </c>
      <c r="W69" s="301">
        <f t="shared" si="63"/>
        <v>-145446.67606999999</v>
      </c>
      <c r="X69" s="301">
        <f t="shared" si="63"/>
        <v>-145446.67606999999</v>
      </c>
      <c r="Y69" s="301">
        <f t="shared" si="63"/>
        <v>-145446.67606999999</v>
      </c>
      <c r="Z69" s="301">
        <f t="shared" si="63"/>
        <v>-145446.67606999999</v>
      </c>
      <c r="AA69" s="301">
        <f t="shared" si="63"/>
        <v>-157502.27606999996</v>
      </c>
      <c r="AB69" s="301">
        <f t="shared" si="63"/>
        <v>-157502.27606999996</v>
      </c>
      <c r="AC69" s="301">
        <f t="shared" si="63"/>
        <v>-157502.27606999996</v>
      </c>
      <c r="AD69" s="301">
        <f t="shared" si="63"/>
        <v>-69282.276069999993</v>
      </c>
      <c r="AE69" s="301">
        <f t="shared" si="63"/>
        <v>-69282.276069999993</v>
      </c>
      <c r="AF69" s="301">
        <f t="shared" si="63"/>
        <v>-703346.37206999992</v>
      </c>
      <c r="AG69" s="302" t="e">
        <f>SUBTOTAL(9,AG51:AG68)</f>
        <v>#REF!</v>
      </c>
      <c r="AH69" s="295"/>
    </row>
    <row r="70" spans="2:36">
      <c r="E70" s="304"/>
      <c r="F70" s="282"/>
      <c r="G70" s="242"/>
      <c r="H70" s="243"/>
      <c r="I70" s="305"/>
      <c r="J70" s="305"/>
      <c r="K70" s="305"/>
      <c r="L70" s="305"/>
      <c r="M70" s="305"/>
      <c r="N70" s="305"/>
      <c r="O70" s="305"/>
      <c r="P70" s="305"/>
      <c r="Q70" s="305"/>
      <c r="R70" s="305"/>
      <c r="S70" s="305"/>
      <c r="T70" s="305"/>
      <c r="U70" s="305"/>
      <c r="V70" s="305"/>
      <c r="W70" s="305"/>
      <c r="X70" s="305"/>
      <c r="Y70" s="305"/>
      <c r="Z70" s="305"/>
      <c r="AA70" s="305"/>
      <c r="AB70" s="305"/>
      <c r="AC70" s="305"/>
      <c r="AD70" s="305"/>
      <c r="AE70" s="305"/>
      <c r="AF70" s="305"/>
      <c r="AG70" s="297"/>
      <c r="AH70" s="295"/>
    </row>
    <row r="71" spans="2:36">
      <c r="E71" s="221"/>
      <c r="F71" s="282" t="s">
        <v>2798</v>
      </c>
      <c r="G71" s="283"/>
      <c r="H71" s="243"/>
      <c r="I71" s="284"/>
      <c r="J71" s="284"/>
      <c r="K71" s="284"/>
      <c r="L71" s="284"/>
      <c r="M71" s="284"/>
      <c r="N71" s="284"/>
      <c r="O71" s="284"/>
      <c r="P71" s="284"/>
      <c r="Q71" s="284"/>
      <c r="R71" s="284"/>
      <c r="S71" s="284"/>
      <c r="T71" s="285"/>
      <c r="U71" s="284"/>
      <c r="V71" s="284"/>
      <c r="W71" s="284"/>
      <c r="X71" s="284"/>
      <c r="Y71" s="284"/>
      <c r="Z71" s="284"/>
      <c r="AA71" s="284"/>
      <c r="AB71" s="284"/>
      <c r="AC71" s="284"/>
      <c r="AD71" s="284"/>
      <c r="AE71" s="284"/>
      <c r="AF71" s="285"/>
      <c r="AG71" s="286"/>
      <c r="AH71" s="287"/>
      <c r="AI71" s="245"/>
      <c r="AJ71" s="245"/>
    </row>
    <row r="72" spans="2:36">
      <c r="B72" s="303">
        <v>503010</v>
      </c>
      <c r="E72" s="216"/>
      <c r="F72" s="246" t="s">
        <v>2657</v>
      </c>
      <c r="G72" s="242"/>
      <c r="H72" s="243"/>
      <c r="I72" s="247">
        <v>0</v>
      </c>
      <c r="J72" s="247">
        <v>-24077.521049723298</v>
      </c>
      <c r="K72" s="247">
        <v>0</v>
      </c>
      <c r="L72" s="247">
        <v>0</v>
      </c>
      <c r="M72" s="247">
        <v>-13496.143958868901</v>
      </c>
      <c r="N72" s="247">
        <v>0</v>
      </c>
      <c r="O72" s="247">
        <f>-SUMIF('T&amp;E'!$C:$C,'FY25 S.3'!$F72,'T&amp;E'!S:S)</f>
        <v>0</v>
      </c>
      <c r="P72" s="247">
        <f>-SUMIF('T&amp;E'!$C:$C,'FY25 S.3'!$F72,'T&amp;E'!T:T)</f>
        <v>0</v>
      </c>
      <c r="Q72" s="247">
        <f>-SUMIF('T&amp;E'!$C:$C,'FY25 S.3'!$F72,'T&amp;E'!U:U)</f>
        <v>0</v>
      </c>
      <c r="R72" s="247">
        <f>-SUMIF('T&amp;E'!$C:$C,'FY25 S.3'!$F72,'T&amp;E'!V:V)</f>
        <v>0</v>
      </c>
      <c r="S72" s="247">
        <f>-SUMIF('T&amp;E'!$C:$C,'FY25 S.3'!$F72,'T&amp;E'!W:W)</f>
        <v>0</v>
      </c>
      <c r="T72" s="247">
        <f>-SUMIF('T&amp;E'!$C:$C,'FY25 S.3'!$F72,'T&amp;E'!X:X)</f>
        <v>0</v>
      </c>
      <c r="U72" s="247">
        <f>-SUMIF('T&amp;E'!$C:$C,'FY25 S.3'!$F72,'T&amp;E'!Y:Y)</f>
        <v>0</v>
      </c>
      <c r="V72" s="247">
        <f>-SUMIF('T&amp;E'!$C:$C,'FY25 S.3'!$F72,'T&amp;E'!Z:Z)</f>
        <v>0</v>
      </c>
      <c r="W72" s="247">
        <f>-SUMIF('T&amp;E'!$C:$C,'FY25 S.3'!$F72,'T&amp;E'!AA:AA)</f>
        <v>0</v>
      </c>
      <c r="X72" s="247">
        <f>-SUMIF('T&amp;E'!$C:$C,'FY25 S.3'!$F72,'T&amp;E'!AB:AB)</f>
        <v>0</v>
      </c>
      <c r="Y72" s="247">
        <f>-SUMIF('T&amp;E'!$C:$C,'FY25 S.3'!$F72,'T&amp;E'!AC:AC)</f>
        <v>0</v>
      </c>
      <c r="Z72" s="247">
        <f>-SUMIF('T&amp;E'!$C:$C,'FY25 S.3'!$F72,'T&amp;E'!AD:AD)</f>
        <v>0</v>
      </c>
      <c r="AA72" s="247">
        <f>-SUMIF('T&amp;E'!$C:$C,'FY25 S.3'!$F72,'T&amp;E'!AE:AE)</f>
        <v>0</v>
      </c>
      <c r="AB72" s="247">
        <f>-SUMIF('T&amp;E'!$C:$C,'FY25 S.3'!$F72,'T&amp;E'!AF:AF)</f>
        <v>0</v>
      </c>
      <c r="AC72" s="247">
        <f>-SUMIF('T&amp;E'!$C:$C,'FY25 S.3'!$F72,'T&amp;E'!AG:AG)</f>
        <v>0</v>
      </c>
      <c r="AD72" s="247">
        <f>-SUMIF('T&amp;E'!$C:$C,'FY25 S.3'!$F72,'T&amp;E'!AH:AH)</f>
        <v>0</v>
      </c>
      <c r="AE72" s="247">
        <f>-SUMIF('T&amp;E'!$C:$C,'FY25 S.3'!$F72,'T&amp;E'!AI:AI)</f>
        <v>0</v>
      </c>
      <c r="AF72" s="247">
        <f>-SUMIF('T&amp;E'!$C:$C,'FY25 S.3'!$F72,'T&amp;E'!AJ:AJ)</f>
        <v>0</v>
      </c>
      <c r="AG72" s="251">
        <f t="shared" ref="AG72:AG79" si="64">SUM(I72:T72)</f>
        <v>-37573.665008592201</v>
      </c>
      <c r="AH72" s="252"/>
    </row>
    <row r="73" spans="2:36">
      <c r="B73" s="303">
        <v>503011</v>
      </c>
      <c r="E73" s="216"/>
      <c r="F73" s="246" t="s">
        <v>2658</v>
      </c>
      <c r="G73" s="242"/>
      <c r="H73" s="243"/>
      <c r="I73" s="247">
        <v>0</v>
      </c>
      <c r="J73" s="247">
        <v>-6308.7102584035001</v>
      </c>
      <c r="K73" s="247">
        <v>-6997</v>
      </c>
      <c r="L73" s="247">
        <v>0</v>
      </c>
      <c r="M73" s="247">
        <v>-9048.8990084465695</v>
      </c>
      <c r="N73" s="247">
        <v>-7552</v>
      </c>
      <c r="O73" s="247">
        <f>-SUMIF('T&amp;E'!$C:$C,'FY25 S.3'!$F73,'T&amp;E'!S:S)</f>
        <v>0</v>
      </c>
      <c r="P73" s="247">
        <f>-SUMIF('T&amp;E'!$C:$C,'FY25 S.3'!$F73,'T&amp;E'!T:T)</f>
        <v>0</v>
      </c>
      <c r="Q73" s="247">
        <f>-SUMIF('T&amp;E'!$C:$C,'FY25 S.3'!$F73,'T&amp;E'!U:U)</f>
        <v>0</v>
      </c>
      <c r="R73" s="247">
        <f>-SUMIF('T&amp;E'!$C:$C,'FY25 S.3'!$F73,'T&amp;E'!V:V)</f>
        <v>0</v>
      </c>
      <c r="S73" s="247">
        <f>-SUMIF('T&amp;E'!$C:$C,'FY25 S.3'!$F73,'T&amp;E'!W:W)</f>
        <v>0</v>
      </c>
      <c r="T73" s="247">
        <f>-SUMIF('T&amp;E'!$C:$C,'FY25 S.3'!$F73,'T&amp;E'!X:X)</f>
        <v>0</v>
      </c>
      <c r="U73" s="247">
        <f>-SUMIF('T&amp;E'!$C:$C,'FY25 S.3'!$F73,'T&amp;E'!Y:Y)</f>
        <v>0</v>
      </c>
      <c r="V73" s="247">
        <f>-SUMIF('T&amp;E'!$C:$C,'FY25 S.3'!$F73,'T&amp;E'!Z:Z)</f>
        <v>0</v>
      </c>
      <c r="W73" s="247">
        <f>-SUMIF('T&amp;E'!$C:$C,'FY25 S.3'!$F73,'T&amp;E'!AA:AA)</f>
        <v>0</v>
      </c>
      <c r="X73" s="247">
        <f>-SUMIF('T&amp;E'!$C:$C,'FY25 S.3'!$F73,'T&amp;E'!AB:AB)</f>
        <v>0</v>
      </c>
      <c r="Y73" s="247">
        <f>-SUMIF('T&amp;E'!$C:$C,'FY25 S.3'!$F73,'T&amp;E'!AC:AC)</f>
        <v>0</v>
      </c>
      <c r="Z73" s="247">
        <f>-SUMIF('T&amp;E'!$C:$C,'FY25 S.3'!$F73,'T&amp;E'!AD:AD)</f>
        <v>0</v>
      </c>
      <c r="AA73" s="247">
        <f>-SUMIF('T&amp;E'!$C:$C,'FY25 S.3'!$F73,'T&amp;E'!AE:AE)</f>
        <v>0</v>
      </c>
      <c r="AB73" s="247">
        <f>-SUMIF('T&amp;E'!$C:$C,'FY25 S.3'!$F73,'T&amp;E'!AF:AF)</f>
        <v>0</v>
      </c>
      <c r="AC73" s="247">
        <f>-SUMIF('T&amp;E'!$C:$C,'FY25 S.3'!$F73,'T&amp;E'!AG:AG)</f>
        <v>0</v>
      </c>
      <c r="AD73" s="247">
        <f>-SUMIF('T&amp;E'!$C:$C,'FY25 S.3'!$F73,'T&amp;E'!AH:AH)</f>
        <v>0</v>
      </c>
      <c r="AE73" s="247">
        <f>-SUMIF('T&amp;E'!$C:$C,'FY25 S.3'!$F73,'T&amp;E'!AI:AI)</f>
        <v>0</v>
      </c>
      <c r="AF73" s="247">
        <f>-SUMIF('T&amp;E'!$C:$C,'FY25 S.3'!$F73,'T&amp;E'!AJ:AJ)</f>
        <v>0</v>
      </c>
      <c r="AG73" s="251">
        <f t="shared" si="64"/>
        <v>-29906.609266850071</v>
      </c>
      <c r="AH73" s="252"/>
    </row>
    <row r="74" spans="2:36">
      <c r="B74" s="303">
        <v>503012</v>
      </c>
      <c r="E74" s="216"/>
      <c r="F74" s="246" t="s">
        <v>2660</v>
      </c>
      <c r="G74" s="242"/>
      <c r="H74" s="243"/>
      <c r="I74" s="247">
        <v>0</v>
      </c>
      <c r="J74" s="247">
        <v>-5836.20177763625</v>
      </c>
      <c r="K74" s="247">
        <v>-1365</v>
      </c>
      <c r="L74" s="247">
        <v>0</v>
      </c>
      <c r="M74" s="247">
        <v>-11380.1768857877</v>
      </c>
      <c r="N74" s="247">
        <v>-2113.88</v>
      </c>
      <c r="O74" s="247">
        <f>-SUMIF('T&amp;E'!$C:$C,'FY25 S.3'!$F74,'T&amp;E'!S:S)</f>
        <v>0</v>
      </c>
      <c r="P74" s="247">
        <f>-SUMIF('T&amp;E'!$C:$C,'FY25 S.3'!$F74,'T&amp;E'!T:T)</f>
        <v>0</v>
      </c>
      <c r="Q74" s="247">
        <f>-SUMIF('T&amp;E'!$C:$C,'FY25 S.3'!$F74,'T&amp;E'!U:U)</f>
        <v>0</v>
      </c>
      <c r="R74" s="247">
        <f>-SUMIF('T&amp;E'!$C:$C,'FY25 S.3'!$F74,'T&amp;E'!V:V)</f>
        <v>0</v>
      </c>
      <c r="S74" s="247">
        <f>-SUMIF('T&amp;E'!$C:$C,'FY25 S.3'!$F74,'T&amp;E'!W:W)</f>
        <v>0</v>
      </c>
      <c r="T74" s="247">
        <f>-SUMIF('T&amp;E'!$C:$C,'FY25 S.3'!$F74,'T&amp;E'!X:X)</f>
        <v>0</v>
      </c>
      <c r="U74" s="247">
        <f>-SUMIF('T&amp;E'!$C:$C,'FY25 S.3'!$F74,'T&amp;E'!Y:Y)</f>
        <v>0</v>
      </c>
      <c r="V74" s="247">
        <f>-SUMIF('T&amp;E'!$C:$C,'FY25 S.3'!$F74,'T&amp;E'!Z:Z)</f>
        <v>0</v>
      </c>
      <c r="W74" s="247">
        <f>-SUMIF('T&amp;E'!$C:$C,'FY25 S.3'!$F74,'T&amp;E'!AA:AA)</f>
        <v>0</v>
      </c>
      <c r="X74" s="247">
        <f>-SUMIF('T&amp;E'!$C:$C,'FY25 S.3'!$F74,'T&amp;E'!AB:AB)</f>
        <v>0</v>
      </c>
      <c r="Y74" s="247">
        <f>-SUMIF('T&amp;E'!$C:$C,'FY25 S.3'!$F74,'T&amp;E'!AC:AC)</f>
        <v>0</v>
      </c>
      <c r="Z74" s="247">
        <f>-SUMIF('T&amp;E'!$C:$C,'FY25 S.3'!$F74,'T&amp;E'!AD:AD)</f>
        <v>0</v>
      </c>
      <c r="AA74" s="247">
        <f>-SUMIF('T&amp;E'!$C:$C,'FY25 S.3'!$F74,'T&amp;E'!AE:AE)</f>
        <v>0</v>
      </c>
      <c r="AB74" s="247">
        <f>-SUMIF('T&amp;E'!$C:$C,'FY25 S.3'!$F74,'T&amp;E'!AF:AF)</f>
        <v>0</v>
      </c>
      <c r="AC74" s="247">
        <f>-SUMIF('T&amp;E'!$C:$C,'FY25 S.3'!$F74,'T&amp;E'!AG:AG)</f>
        <v>0</v>
      </c>
      <c r="AD74" s="247">
        <f>-SUMIF('T&amp;E'!$C:$C,'FY25 S.3'!$F74,'T&amp;E'!AH:AH)</f>
        <v>0</v>
      </c>
      <c r="AE74" s="247">
        <f>-SUMIF('T&amp;E'!$C:$C,'FY25 S.3'!$F74,'T&amp;E'!AI:AI)</f>
        <v>0</v>
      </c>
      <c r="AF74" s="247">
        <f>-SUMIF('T&amp;E'!$C:$C,'FY25 S.3'!$F74,'T&amp;E'!AJ:AJ)</f>
        <v>0</v>
      </c>
      <c r="AG74" s="251">
        <f t="shared" si="64"/>
        <v>-20695.258663423952</v>
      </c>
      <c r="AH74" s="252"/>
    </row>
    <row r="75" spans="2:36">
      <c r="B75" s="303">
        <v>503013</v>
      </c>
      <c r="E75" s="216"/>
      <c r="F75" s="246" t="s">
        <v>2659</v>
      </c>
      <c r="G75" s="242"/>
      <c r="H75" s="243"/>
      <c r="I75" s="247">
        <v>-980</v>
      </c>
      <c r="J75" s="247">
        <v>-24125.778057899599</v>
      </c>
      <c r="K75" s="247">
        <v>-4455.7707240055697</v>
      </c>
      <c r="L75" s="247">
        <v>0</v>
      </c>
      <c r="M75" s="247">
        <v>-6858.3434226955596</v>
      </c>
      <c r="N75" s="247">
        <v>-4978.5600000000004</v>
      </c>
      <c r="O75" s="247">
        <f>-SUMIF('T&amp;E'!$C:$C,'FY25 S.3'!$F75,'T&amp;E'!S:S)</f>
        <v>0</v>
      </c>
      <c r="P75" s="247">
        <f>-SUMIF('T&amp;E'!$C:$C,'FY25 S.3'!$F75,'T&amp;E'!T:T)</f>
        <v>0</v>
      </c>
      <c r="Q75" s="247">
        <f>-SUMIF('T&amp;E'!$C:$C,'FY25 S.3'!$F75,'T&amp;E'!U:U)</f>
        <v>0</v>
      </c>
      <c r="R75" s="247">
        <f>-SUMIF('T&amp;E'!$C:$C,'FY25 S.3'!$F75,'T&amp;E'!V:V)</f>
        <v>0</v>
      </c>
      <c r="S75" s="247">
        <f>-SUMIF('T&amp;E'!$C:$C,'FY25 S.3'!$F75,'T&amp;E'!W:W)</f>
        <v>0</v>
      </c>
      <c r="T75" s="247">
        <f>-SUMIF('T&amp;E'!$C:$C,'FY25 S.3'!$F75,'T&amp;E'!X:X)</f>
        <v>0</v>
      </c>
      <c r="U75" s="247">
        <f>-SUMIF('T&amp;E'!$C:$C,'FY25 S.3'!$F75,'T&amp;E'!Y:Y)</f>
        <v>0</v>
      </c>
      <c r="V75" s="247">
        <f>-SUMIF('T&amp;E'!$C:$C,'FY25 S.3'!$F75,'T&amp;E'!Z:Z)</f>
        <v>0</v>
      </c>
      <c r="W75" s="247">
        <f>-SUMIF('T&amp;E'!$C:$C,'FY25 S.3'!$F75,'T&amp;E'!AA:AA)</f>
        <v>0</v>
      </c>
      <c r="X75" s="247">
        <f>-SUMIF('T&amp;E'!$C:$C,'FY25 S.3'!$F75,'T&amp;E'!AB:AB)</f>
        <v>0</v>
      </c>
      <c r="Y75" s="247">
        <f>-SUMIF('T&amp;E'!$C:$C,'FY25 S.3'!$F75,'T&amp;E'!AC:AC)</f>
        <v>0</v>
      </c>
      <c r="Z75" s="247">
        <f>-SUMIF('T&amp;E'!$C:$C,'FY25 S.3'!$F75,'T&amp;E'!AD:AD)</f>
        <v>0</v>
      </c>
      <c r="AA75" s="247">
        <f>-SUMIF('T&amp;E'!$C:$C,'FY25 S.3'!$F75,'T&amp;E'!AE:AE)</f>
        <v>0</v>
      </c>
      <c r="AB75" s="247">
        <f>-SUMIF('T&amp;E'!$C:$C,'FY25 S.3'!$F75,'T&amp;E'!AF:AF)</f>
        <v>0</v>
      </c>
      <c r="AC75" s="247">
        <f>-SUMIF('T&amp;E'!$C:$C,'FY25 S.3'!$F75,'T&amp;E'!AG:AG)</f>
        <v>0</v>
      </c>
      <c r="AD75" s="247">
        <f>-SUMIF('T&amp;E'!$C:$C,'FY25 S.3'!$F75,'T&amp;E'!AH:AH)</f>
        <v>0</v>
      </c>
      <c r="AE75" s="247">
        <f>-SUMIF('T&amp;E'!$C:$C,'FY25 S.3'!$F75,'T&amp;E'!AI:AI)</f>
        <v>0</v>
      </c>
      <c r="AF75" s="247">
        <f>-SUMIF('T&amp;E'!$C:$C,'FY25 S.3'!$F75,'T&amp;E'!AJ:AJ)</f>
        <v>0</v>
      </c>
      <c r="AG75" s="251">
        <f t="shared" si="64"/>
        <v>-41398.452204600726</v>
      </c>
      <c r="AH75" s="252"/>
    </row>
    <row r="76" spans="2:36">
      <c r="E76" s="216"/>
      <c r="F76" s="246" t="s">
        <v>1698</v>
      </c>
      <c r="G76" s="242"/>
      <c r="H76" s="243"/>
      <c r="I76" s="247">
        <v>0</v>
      </c>
      <c r="J76" s="247">
        <v>-11096.727327176901</v>
      </c>
      <c r="K76" s="247">
        <v>-3735.4185540435801</v>
      </c>
      <c r="L76" s="247">
        <v>0</v>
      </c>
      <c r="M76" s="247">
        <v>-689.64027543150996</v>
      </c>
      <c r="N76" s="247">
        <v>-185.44</v>
      </c>
      <c r="O76" s="247">
        <f>-SUMIF('T&amp;E'!$C:$C,'FY25 S.3'!$F76,'T&amp;E'!S:S)</f>
        <v>0</v>
      </c>
      <c r="P76" s="247">
        <f>-SUMIF('T&amp;E'!$C:$C,'FY25 S.3'!$F76,'T&amp;E'!T:T)</f>
        <v>0</v>
      </c>
      <c r="Q76" s="247">
        <f>-SUMIF('T&amp;E'!$C:$C,'FY25 S.3'!$F76,'T&amp;E'!U:U)</f>
        <v>0</v>
      </c>
      <c r="R76" s="247">
        <f>-SUMIF('T&amp;E'!$C:$C,'FY25 S.3'!$F76,'T&amp;E'!V:V)</f>
        <v>0</v>
      </c>
      <c r="S76" s="247">
        <f>-SUMIF('T&amp;E'!$C:$C,'FY25 S.3'!$F76,'T&amp;E'!W:W)</f>
        <v>0</v>
      </c>
      <c r="T76" s="247">
        <f>-SUMIF('T&amp;E'!$C:$C,'FY25 S.3'!$F76,'T&amp;E'!X:X)</f>
        <v>0</v>
      </c>
      <c r="U76" s="247">
        <f>-SUMIF('T&amp;E'!$C:$C,'FY25 S.3'!$F76,'T&amp;E'!Y:Y)</f>
        <v>0</v>
      </c>
      <c r="V76" s="247">
        <f>-SUMIF('T&amp;E'!$C:$C,'FY25 S.3'!$F76,'T&amp;E'!Z:Z)</f>
        <v>0</v>
      </c>
      <c r="W76" s="247">
        <f>-SUMIF('T&amp;E'!$C:$C,'FY25 S.3'!$F76,'T&amp;E'!AA:AA)</f>
        <v>0</v>
      </c>
      <c r="X76" s="247">
        <f>-SUMIF('T&amp;E'!$C:$C,'FY25 S.3'!$F76,'T&amp;E'!AB:AB)</f>
        <v>0</v>
      </c>
      <c r="Y76" s="247">
        <f>-SUMIF('T&amp;E'!$C:$C,'FY25 S.3'!$F76,'T&amp;E'!AC:AC)</f>
        <v>0</v>
      </c>
      <c r="Z76" s="247">
        <f>-SUMIF('T&amp;E'!$C:$C,'FY25 S.3'!$F76,'T&amp;E'!AD:AD)</f>
        <v>0</v>
      </c>
      <c r="AA76" s="247">
        <f>-SUMIF('T&amp;E'!$C:$C,'FY25 S.3'!$F76,'T&amp;E'!AE:AE)</f>
        <v>0</v>
      </c>
      <c r="AB76" s="247">
        <f>-SUMIF('T&amp;E'!$C:$C,'FY25 S.3'!$F76,'T&amp;E'!AF:AF)</f>
        <v>0</v>
      </c>
      <c r="AC76" s="247">
        <f>-SUMIF('T&amp;E'!$C:$C,'FY25 S.3'!$F76,'T&amp;E'!AG:AG)</f>
        <v>0</v>
      </c>
      <c r="AD76" s="247">
        <f>-SUMIF('T&amp;E'!$C:$C,'FY25 S.3'!$F76,'T&amp;E'!AH:AH)</f>
        <v>0</v>
      </c>
      <c r="AE76" s="247">
        <f>-SUMIF('T&amp;E'!$C:$C,'FY25 S.3'!$F76,'T&amp;E'!AI:AI)</f>
        <v>0</v>
      </c>
      <c r="AF76" s="247">
        <f>-SUMIF('T&amp;E'!$C:$C,'FY25 S.3'!$F76,'T&amp;E'!AJ:AJ)</f>
        <v>0</v>
      </c>
      <c r="AG76" s="251">
        <f t="shared" si="64"/>
        <v>-15707.22615665199</v>
      </c>
      <c r="AH76" s="252"/>
    </row>
    <row r="77" spans="2:36">
      <c r="E77" s="216"/>
      <c r="F77" s="246" t="s">
        <v>2700</v>
      </c>
      <c r="G77" s="242"/>
      <c r="H77" s="243"/>
      <c r="I77" s="247">
        <v>0</v>
      </c>
      <c r="J77" s="247">
        <v>-14912.216317164801</v>
      </c>
      <c r="K77" s="247">
        <v>-240.64625734325799</v>
      </c>
      <c r="L77" s="247">
        <v>0</v>
      </c>
      <c r="M77" s="247">
        <v>-2300</v>
      </c>
      <c r="N77" s="247">
        <v>0</v>
      </c>
      <c r="O77" s="247">
        <f>-SUMIF('T&amp;E'!$C:$C,'FY25 S.3'!$F77,'T&amp;E'!S:S)</f>
        <v>0</v>
      </c>
      <c r="P77" s="247">
        <f>-SUMIF('T&amp;E'!$C:$C,'FY25 S.3'!$F77,'T&amp;E'!T:T)</f>
        <v>0</v>
      </c>
      <c r="Q77" s="247">
        <f>-SUMIF('T&amp;E'!$C:$C,'FY25 S.3'!$F77,'T&amp;E'!U:U)</f>
        <v>0</v>
      </c>
      <c r="R77" s="247">
        <f>-SUMIF('T&amp;E'!$C:$C,'FY25 S.3'!$F77,'T&amp;E'!V:V)</f>
        <v>0</v>
      </c>
      <c r="S77" s="247">
        <f>-SUMIF('T&amp;E'!$C:$C,'FY25 S.3'!$F77,'T&amp;E'!W:W)</f>
        <v>0</v>
      </c>
      <c r="T77" s="247">
        <f>-SUMIF('T&amp;E'!$C:$C,'FY25 S.3'!$F77,'T&amp;E'!X:X)</f>
        <v>0</v>
      </c>
      <c r="U77" s="247">
        <f>-SUMIF('T&amp;E'!$C:$C,'FY25 S.3'!$F77,'T&amp;E'!Y:Y)</f>
        <v>0</v>
      </c>
      <c r="V77" s="247">
        <f>-SUMIF('T&amp;E'!$C:$C,'FY25 S.3'!$F77,'T&amp;E'!Z:Z)</f>
        <v>0</v>
      </c>
      <c r="W77" s="247">
        <f>-SUMIF('T&amp;E'!$C:$C,'FY25 S.3'!$F77,'T&amp;E'!AA:AA)</f>
        <v>0</v>
      </c>
      <c r="X77" s="247">
        <f>-SUMIF('T&amp;E'!$C:$C,'FY25 S.3'!$F77,'T&amp;E'!AB:AB)</f>
        <v>0</v>
      </c>
      <c r="Y77" s="247">
        <f>-SUMIF('T&amp;E'!$C:$C,'FY25 S.3'!$F77,'T&amp;E'!AC:AC)</f>
        <v>0</v>
      </c>
      <c r="Z77" s="247">
        <f>-SUMIF('T&amp;E'!$C:$C,'FY25 S.3'!$F77,'T&amp;E'!AD:AD)</f>
        <v>0</v>
      </c>
      <c r="AA77" s="247">
        <f>-SUMIF('T&amp;E'!$C:$C,'FY25 S.3'!$F77,'T&amp;E'!AE:AE)</f>
        <v>0</v>
      </c>
      <c r="AB77" s="247">
        <f>-SUMIF('T&amp;E'!$C:$C,'FY25 S.3'!$F77,'T&amp;E'!AF:AF)</f>
        <v>0</v>
      </c>
      <c r="AC77" s="247">
        <f>-SUMIF('T&amp;E'!$C:$C,'FY25 S.3'!$F77,'T&amp;E'!AG:AG)</f>
        <v>0</v>
      </c>
      <c r="AD77" s="247">
        <f>-SUMIF('T&amp;E'!$C:$C,'FY25 S.3'!$F77,'T&amp;E'!AH:AH)</f>
        <v>0</v>
      </c>
      <c r="AE77" s="247">
        <f>-SUMIF('T&amp;E'!$C:$C,'FY25 S.3'!$F77,'T&amp;E'!AI:AI)</f>
        <v>0</v>
      </c>
      <c r="AF77" s="247">
        <f>-SUMIF('T&amp;E'!$C:$C,'FY25 S.3'!$F77,'T&amp;E'!AJ:AJ)</f>
        <v>0</v>
      </c>
      <c r="AG77" s="251">
        <f t="shared" si="64"/>
        <v>-17452.862574508057</v>
      </c>
      <c r="AH77" s="252"/>
    </row>
    <row r="78" spans="2:36">
      <c r="B78" s="192">
        <v>503014</v>
      </c>
      <c r="E78" s="216"/>
      <c r="F78" s="246" t="s">
        <v>2701</v>
      </c>
      <c r="G78" s="242"/>
      <c r="H78" s="243"/>
      <c r="I78" s="247">
        <v>0</v>
      </c>
      <c r="J78" s="247">
        <v>-45607.413915201701</v>
      </c>
      <c r="K78" s="247">
        <v>-3280.1592640397498</v>
      </c>
      <c r="L78" s="247">
        <v>0</v>
      </c>
      <c r="M78" s="247">
        <v>-6638.9564010282802</v>
      </c>
      <c r="N78" s="247">
        <v>-184.8</v>
      </c>
      <c r="O78" s="247">
        <f>-SUMIF('T&amp;E'!$C:$C,'FY25 S.3'!$F78,'T&amp;E'!S:S)</f>
        <v>0</v>
      </c>
      <c r="P78" s="247">
        <f>-SUMIF('T&amp;E'!$C:$C,'FY25 S.3'!$F78,'T&amp;E'!T:T)</f>
        <v>0</v>
      </c>
      <c r="Q78" s="247">
        <f>-SUMIF('T&amp;E'!$C:$C,'FY25 S.3'!$F78,'T&amp;E'!U:U)</f>
        <v>0</v>
      </c>
      <c r="R78" s="247">
        <f>-SUMIF('T&amp;E'!$C:$C,'FY25 S.3'!$F78,'T&amp;E'!V:V)</f>
        <v>0</v>
      </c>
      <c r="S78" s="247">
        <f>-SUMIF('T&amp;E'!$C:$C,'FY25 S.3'!$F78,'T&amp;E'!W:W)</f>
        <v>0</v>
      </c>
      <c r="T78" s="247">
        <f>-SUMIF('T&amp;E'!$C:$C,'FY25 S.3'!$F78,'T&amp;E'!X:X)</f>
        <v>0</v>
      </c>
      <c r="U78" s="247">
        <f>-SUMIF('T&amp;E'!$C:$C,'FY25 S.3'!$F78,'T&amp;E'!Y:Y)</f>
        <v>0</v>
      </c>
      <c r="V78" s="247">
        <f>-SUMIF('T&amp;E'!$C:$C,'FY25 S.3'!$F78,'T&amp;E'!Z:Z)</f>
        <v>0</v>
      </c>
      <c r="W78" s="247">
        <f>-SUMIF('T&amp;E'!$C:$C,'FY25 S.3'!$F78,'T&amp;E'!AA:AA)</f>
        <v>0</v>
      </c>
      <c r="X78" s="247">
        <f>-SUMIF('T&amp;E'!$C:$C,'FY25 S.3'!$F78,'T&amp;E'!AB:AB)</f>
        <v>0</v>
      </c>
      <c r="Y78" s="247">
        <f>-SUMIF('T&amp;E'!$C:$C,'FY25 S.3'!$F78,'T&amp;E'!AC:AC)</f>
        <v>0</v>
      </c>
      <c r="Z78" s="247">
        <f>-SUMIF('T&amp;E'!$C:$C,'FY25 S.3'!$F78,'T&amp;E'!AD:AD)</f>
        <v>0</v>
      </c>
      <c r="AA78" s="247">
        <f>-SUMIF('T&amp;E'!$C:$C,'FY25 S.3'!$F78,'T&amp;E'!AE:AE)</f>
        <v>0</v>
      </c>
      <c r="AB78" s="247">
        <f>-SUMIF('T&amp;E'!$C:$C,'FY25 S.3'!$F78,'T&amp;E'!AF:AF)</f>
        <v>0</v>
      </c>
      <c r="AC78" s="247">
        <f>-SUMIF('T&amp;E'!$C:$C,'FY25 S.3'!$F78,'T&amp;E'!AG:AG)</f>
        <v>0</v>
      </c>
      <c r="AD78" s="247">
        <f>-SUMIF('T&amp;E'!$C:$C,'FY25 S.3'!$F78,'T&amp;E'!AH:AH)</f>
        <v>0</v>
      </c>
      <c r="AE78" s="247">
        <f>-SUMIF('T&amp;E'!$C:$C,'FY25 S.3'!$F78,'T&amp;E'!AI:AI)</f>
        <v>0</v>
      </c>
      <c r="AF78" s="247">
        <f>-SUMIF('T&amp;E'!$C:$C,'FY25 S.3'!$F78,'T&amp;E'!AJ:AJ)</f>
        <v>0</v>
      </c>
      <c r="AG78" s="251">
        <f t="shared" si="64"/>
        <v>-55711.329580269732</v>
      </c>
      <c r="AH78" s="252"/>
    </row>
    <row r="79" spans="2:36">
      <c r="E79" s="216"/>
      <c r="F79" s="246" t="s">
        <v>2799</v>
      </c>
      <c r="G79" s="242"/>
      <c r="H79" s="243"/>
      <c r="I79" s="247">
        <v>-11233.47</v>
      </c>
      <c r="J79" s="247">
        <v>-26992.05</v>
      </c>
      <c r="K79" s="247">
        <v>-117423.5</v>
      </c>
      <c r="L79" s="247">
        <v>-40000</v>
      </c>
      <c r="M79" s="247">
        <v>-128627.15910392901</v>
      </c>
      <c r="N79" s="247">
        <v>-42448.502282499998</v>
      </c>
      <c r="O79" s="247">
        <f>-SUMIF('T&amp;E'!$C:$C,'FY25 S.3'!$F79,'T&amp;E'!S:S)</f>
        <v>0</v>
      </c>
      <c r="P79" s="247">
        <f>-SUMIF('T&amp;E'!$C:$C,'FY25 S.3'!$F79,'T&amp;E'!T:T)</f>
        <v>0</v>
      </c>
      <c r="Q79" s="247">
        <f>-SUMIF('T&amp;E'!$C:$C,'FY25 S.3'!$F79,'T&amp;E'!U:U)</f>
        <v>0</v>
      </c>
      <c r="R79" s="247">
        <f>-SUMIF('T&amp;E'!$C:$C,'FY25 S.3'!$F79,'T&amp;E'!V:V)</f>
        <v>0</v>
      </c>
      <c r="S79" s="247">
        <f>-SUMIF('T&amp;E'!$C:$C,'FY25 S.3'!$F79,'T&amp;E'!W:W)</f>
        <v>0</v>
      </c>
      <c r="T79" s="247">
        <f>-SUMIF('T&amp;E'!$C:$C,'FY25 S.3'!$F79,'T&amp;E'!X:X)</f>
        <v>0</v>
      </c>
      <c r="U79" s="247">
        <f>-SUMIF('T&amp;E'!$C:$C,'FY25 S.3'!$F79,'T&amp;E'!Y:Y)</f>
        <v>0</v>
      </c>
      <c r="V79" s="247">
        <f>-SUMIF('T&amp;E'!$C:$C,'FY25 S.3'!$F79,'T&amp;E'!Z:Z)</f>
        <v>0</v>
      </c>
      <c r="W79" s="247">
        <f>-SUMIF('T&amp;E'!$C:$C,'FY25 S.3'!$F79,'T&amp;E'!AA:AA)</f>
        <v>0</v>
      </c>
      <c r="X79" s="247">
        <f>-SUMIF('T&amp;E'!$C:$C,'FY25 S.3'!$F79,'T&amp;E'!AB:AB)</f>
        <v>0</v>
      </c>
      <c r="Y79" s="247">
        <f>-SUMIF('T&amp;E'!$C:$C,'FY25 S.3'!$F79,'T&amp;E'!AC:AC)</f>
        <v>0</v>
      </c>
      <c r="Z79" s="247">
        <f>-SUMIF('T&amp;E'!$C:$C,'FY25 S.3'!$F79,'T&amp;E'!AD:AD)</f>
        <v>0</v>
      </c>
      <c r="AA79" s="247">
        <f>-SUMIF('T&amp;E'!$C:$C,'FY25 S.3'!$F79,'T&amp;E'!AE:AE)</f>
        <v>0</v>
      </c>
      <c r="AB79" s="247">
        <f>-SUMIF('T&amp;E'!$C:$C,'FY25 S.3'!$F79,'T&amp;E'!AF:AF)</f>
        <v>0</v>
      </c>
      <c r="AC79" s="247">
        <f>-SUMIF('T&amp;E'!$C:$C,'FY25 S.3'!$F79,'T&amp;E'!AG:AG)</f>
        <v>0</v>
      </c>
      <c r="AD79" s="247">
        <f>-SUMIF('T&amp;E'!$C:$C,'FY25 S.3'!$F79,'T&amp;E'!AH:AH)</f>
        <v>0</v>
      </c>
      <c r="AE79" s="247">
        <f>-SUMIF('T&amp;E'!$C:$C,'FY25 S.3'!$F79,'T&amp;E'!AI:AI)</f>
        <v>0</v>
      </c>
      <c r="AF79" s="247">
        <f>-SUMIF('T&amp;E'!$C:$C,'FY25 S.3'!$F79,'T&amp;E'!AJ:AJ)</f>
        <v>0</v>
      </c>
      <c r="AG79" s="251">
        <f t="shared" si="64"/>
        <v>-366724.68138642894</v>
      </c>
      <c r="AH79" s="252"/>
    </row>
    <row r="80" spans="2:36">
      <c r="E80" s="304"/>
      <c r="F80" s="299" t="s">
        <v>2798</v>
      </c>
      <c r="G80" s="300"/>
      <c r="H80" s="243"/>
      <c r="I80" s="301">
        <f>SUBTOTAL(9,I72:I79)</f>
        <v>-12213.47</v>
      </c>
      <c r="J80" s="301">
        <f t="shared" ref="J80:U80" si="65">SUBTOTAL(9,J72:J79)</f>
        <v>-158956.61870320601</v>
      </c>
      <c r="K80" s="301">
        <f t="shared" si="65"/>
        <v>-137497.494799432</v>
      </c>
      <c r="L80" s="301">
        <f t="shared" si="65"/>
        <v>-40000</v>
      </c>
      <c r="M80" s="301">
        <f t="shared" si="65"/>
        <v>-179039.31905618799</v>
      </c>
      <c r="N80" s="301">
        <f t="shared" si="65"/>
        <v>-57463.182282499998</v>
      </c>
      <c r="O80" s="301">
        <f t="shared" si="65"/>
        <v>0</v>
      </c>
      <c r="P80" s="301">
        <f t="shared" si="65"/>
        <v>0</v>
      </c>
      <c r="Q80" s="301">
        <f t="shared" si="65"/>
        <v>0</v>
      </c>
      <c r="R80" s="301">
        <f t="shared" si="65"/>
        <v>0</v>
      </c>
      <c r="S80" s="301">
        <f t="shared" si="65"/>
        <v>0</v>
      </c>
      <c r="T80" s="301">
        <f t="shared" si="65"/>
        <v>0</v>
      </c>
      <c r="U80" s="301">
        <f t="shared" si="65"/>
        <v>0</v>
      </c>
      <c r="V80" s="301">
        <f t="shared" ref="V80:AG80" si="66">SUBTOTAL(9,V72:V79)</f>
        <v>0</v>
      </c>
      <c r="W80" s="301">
        <f t="shared" si="66"/>
        <v>0</v>
      </c>
      <c r="X80" s="301">
        <f t="shared" si="66"/>
        <v>0</v>
      </c>
      <c r="Y80" s="301">
        <f t="shared" si="66"/>
        <v>0</v>
      </c>
      <c r="Z80" s="301">
        <f t="shared" si="66"/>
        <v>0</v>
      </c>
      <c r="AA80" s="301">
        <f t="shared" si="66"/>
        <v>0</v>
      </c>
      <c r="AB80" s="301">
        <f t="shared" si="66"/>
        <v>0</v>
      </c>
      <c r="AC80" s="301">
        <f t="shared" si="66"/>
        <v>0</v>
      </c>
      <c r="AD80" s="301">
        <f t="shared" si="66"/>
        <v>0</v>
      </c>
      <c r="AE80" s="301">
        <f t="shared" si="66"/>
        <v>0</v>
      </c>
      <c r="AF80" s="301">
        <f t="shared" si="66"/>
        <v>0</v>
      </c>
      <c r="AG80" s="302">
        <f t="shared" si="66"/>
        <v>-585170.08484132565</v>
      </c>
      <c r="AH80" s="295"/>
    </row>
    <row r="81" spans="2:36">
      <c r="E81" s="304"/>
      <c r="F81" s="306"/>
      <c r="G81" s="242"/>
      <c r="H81" s="243"/>
      <c r="I81" s="260"/>
      <c r="J81" s="260"/>
      <c r="K81" s="260"/>
      <c r="L81" s="260"/>
      <c r="M81" s="260"/>
      <c r="N81" s="260"/>
      <c r="O81" s="260"/>
      <c r="P81" s="260"/>
      <c r="Q81" s="260"/>
      <c r="R81" s="260"/>
      <c r="S81" s="260"/>
      <c r="T81" s="260"/>
      <c r="U81" s="260"/>
      <c r="V81" s="260"/>
      <c r="W81" s="260"/>
      <c r="X81" s="260"/>
      <c r="Y81" s="260"/>
      <c r="Z81" s="260"/>
      <c r="AA81" s="260"/>
      <c r="AB81" s="260"/>
      <c r="AC81" s="260"/>
      <c r="AD81" s="260"/>
      <c r="AE81" s="260"/>
      <c r="AF81" s="260"/>
      <c r="AG81" s="248"/>
      <c r="AH81" s="249"/>
    </row>
    <row r="82" spans="2:36">
      <c r="E82" s="221"/>
      <c r="F82" s="282" t="s">
        <v>2800</v>
      </c>
      <c r="G82" s="283"/>
      <c r="H82" s="243"/>
      <c r="I82" s="284"/>
      <c r="J82" s="284"/>
      <c r="K82" s="284"/>
      <c r="L82" s="284"/>
      <c r="M82" s="284"/>
      <c r="N82" s="284"/>
      <c r="O82" s="284"/>
      <c r="P82" s="284"/>
      <c r="Q82" s="284"/>
      <c r="R82" s="284"/>
      <c r="S82" s="284"/>
      <c r="T82" s="285"/>
      <c r="U82" s="284"/>
      <c r="V82" s="284"/>
      <c r="W82" s="284"/>
      <c r="X82" s="284"/>
      <c r="Y82" s="284"/>
      <c r="Z82" s="284"/>
      <c r="AA82" s="284"/>
      <c r="AB82" s="284"/>
      <c r="AC82" s="284"/>
      <c r="AD82" s="284"/>
      <c r="AE82" s="284"/>
      <c r="AF82" s="285"/>
      <c r="AG82" s="286"/>
      <c r="AH82" s="287"/>
      <c r="AI82" s="245"/>
      <c r="AJ82" s="245"/>
    </row>
    <row r="83" spans="2:36" ht="14.1" hidden="1" customHeight="1" outlineLevel="1">
      <c r="B83" s="192">
        <v>507017</v>
      </c>
      <c r="E83" s="216" t="s">
        <v>2916</v>
      </c>
      <c r="F83" s="246" t="s">
        <v>2707</v>
      </c>
      <c r="G83" s="242"/>
      <c r="H83" s="243"/>
      <c r="I83" s="247">
        <v>0</v>
      </c>
      <c r="J83" s="247">
        <v>-40323.162057112902</v>
      </c>
      <c r="K83" s="247">
        <v>0</v>
      </c>
      <c r="L83" s="247">
        <v>0</v>
      </c>
      <c r="M83" s="247">
        <v>-16093</v>
      </c>
      <c r="N83" s="247">
        <v>-70926.285130000004</v>
      </c>
      <c r="O83" s="247">
        <f>-SUMIF('Prof. Fee'!$E:$E,'FY25 S.3'!$F83,'Prof. Fee'!T:T)</f>
        <v>-23023.631999999998</v>
      </c>
      <c r="P83" s="247">
        <f>-SUMIF('Prof. Fee'!$E:$E,'FY25 S.3'!$F83,'Prof. Fee'!U:U)</f>
        <v>-33023.631999999998</v>
      </c>
      <c r="Q83" s="247">
        <f>-SUMIF('Prof. Fee'!$E:$E,'FY25 S.3'!$F83,'Prof. Fee'!V:V)</f>
        <v>-33023.631999999998</v>
      </c>
      <c r="R83" s="247">
        <f>-SUMIF('Prof. Fee'!$E:$E,'FY25 S.3'!$F83,'Prof. Fee'!W:W)</f>
        <v>-33023.631999999998</v>
      </c>
      <c r="S83" s="247">
        <f>-SUMIF('Prof. Fee'!$E:$E,'FY25 S.3'!$F83,'Prof. Fee'!X:X)</f>
        <v>-33023.631999999998</v>
      </c>
      <c r="T83" s="247">
        <f>-SUMIF('Prof. Fee'!$E:$E,'FY25 S.3'!$F83,'Prof. Fee'!Y:Y)</f>
        <v>-33023.631999999998</v>
      </c>
      <c r="U83" s="247">
        <f>-SUMIF('Prof. Fee'!$E:$E,'FY25 S.3'!$F83,'Prof. Fee'!AF:AF)</f>
        <v>-19579.78</v>
      </c>
      <c r="V83" s="247">
        <f>-SUMIF('Prof. Fee'!$E:$E,'FY25 S.3'!$F83,'Prof. Fee'!AG:AG)</f>
        <v>-19408.400000000001</v>
      </c>
      <c r="W83" s="247">
        <f>-SUMIF('Prof. Fee'!$E:$E,'FY25 S.3'!$F83,'Prof. Fee'!AH:AH)</f>
        <v>-19408.400000000001</v>
      </c>
      <c r="X83" s="247">
        <f>-SUMIF('Prof. Fee'!$E:$E,'FY25 S.3'!$F83,'Prof. Fee'!AI:AI)</f>
        <v>-32408.400000000001</v>
      </c>
      <c r="Y83" s="247">
        <f>-SUMIF('Prof. Fee'!$E:$E,'FY25 S.3'!$F83,'Prof. Fee'!AJ:AJ)</f>
        <v>-32408.400000000001</v>
      </c>
      <c r="Z83" s="247">
        <f>-SUMIF('Prof. Fee'!$E:$E,'FY25 S.3'!$F83,'Prof. Fee'!AK:AK)</f>
        <v>-32408.400000000001</v>
      </c>
      <c r="AA83" s="247">
        <f>-SUMIF('Prof. Fee'!$E:$E,'FY25 S.3'!$F83,'Prof. Fee'!AL:AL)</f>
        <v>-32408.400000000001</v>
      </c>
      <c r="AB83" s="247">
        <f>-SUMIF('Prof. Fee'!$E:$E,'FY25 S.3'!$F83,'Prof. Fee'!AM:AM)</f>
        <v>-32408.400000000001</v>
      </c>
      <c r="AC83" s="247">
        <f>-SUMIF('Prof. Fee'!$E:$E,'FY25 S.3'!$F83,'Prof. Fee'!AN:AN)</f>
        <v>-32408.400000000001</v>
      </c>
      <c r="AD83" s="247">
        <f>-SUMIF('Prof. Fee'!$E:$E,'FY25 S.3'!$F83,'Prof. Fee'!AO:AO)</f>
        <v>-32408.400000000001</v>
      </c>
      <c r="AE83" s="247">
        <f>-SUMIF('Prof. Fee'!$E:$E,'FY25 S.3'!$F83,'Prof. Fee'!AP:AP)</f>
        <v>-32408.400000000001</v>
      </c>
      <c r="AF83" s="247">
        <f>-SUMIF('Prof. Fee'!$E:$E,'FY25 S.3'!$F83,'Prof. Fee'!AQ:AQ)</f>
        <v>-32408.400000000001</v>
      </c>
      <c r="AG83" s="251">
        <f t="shared" ref="AG83:AG97" si="67">SUM(I83:T83)</f>
        <v>-315484.23918711283</v>
      </c>
      <c r="AH83" s="252"/>
    </row>
    <row r="84" spans="2:36" ht="14.1" hidden="1" customHeight="1" outlineLevel="1">
      <c r="E84" s="216" t="s">
        <v>2916</v>
      </c>
      <c r="F84" s="246" t="s">
        <v>2709</v>
      </c>
      <c r="G84" s="242"/>
      <c r="H84" s="243"/>
      <c r="I84" s="247">
        <v>0</v>
      </c>
      <c r="J84" s="247">
        <v>0</v>
      </c>
      <c r="K84" s="247">
        <v>0</v>
      </c>
      <c r="L84" s="247">
        <v>0</v>
      </c>
      <c r="M84" s="247">
        <v>0</v>
      </c>
      <c r="N84" s="247">
        <v>-7000</v>
      </c>
      <c r="O84" s="247">
        <f>-SUMIF('Prof. Fee'!$E:$E,'FY25 S.3'!$F84,'Prof. Fee'!T:T)</f>
        <v>0</v>
      </c>
      <c r="P84" s="247">
        <f>-SUMIF('Prof. Fee'!$E:$E,'FY25 S.3'!$F84,'Prof. Fee'!U:U)</f>
        <v>0</v>
      </c>
      <c r="Q84" s="247">
        <f>-SUMIF('Prof. Fee'!$E:$E,'FY25 S.3'!$F84,'Prof. Fee'!V:V)</f>
        <v>0</v>
      </c>
      <c r="R84" s="247">
        <f>-SUMIF('Prof. Fee'!$E:$E,'FY25 S.3'!$F84,'Prof. Fee'!W:W)</f>
        <v>0</v>
      </c>
      <c r="S84" s="247">
        <f>-SUMIF('Prof. Fee'!$E:$E,'FY25 S.3'!$F84,'Prof. Fee'!X:X)</f>
        <v>0</v>
      </c>
      <c r="T84" s="247">
        <f>-SUMIF('Prof. Fee'!$E:$E,'FY25 S.3'!$F84,'Prof. Fee'!Y:Y)</f>
        <v>0</v>
      </c>
      <c r="U84" s="247">
        <f>-SUMIF('Prof. Fee'!$E:$E,'FY25 S.3'!$F84,'Prof. Fee'!AF:AF)</f>
        <v>0</v>
      </c>
      <c r="V84" s="247">
        <f>-SUMIF('Prof. Fee'!$E:$E,'FY25 S.3'!$F84,'Prof. Fee'!AG:AG)</f>
        <v>0</v>
      </c>
      <c r="W84" s="247">
        <f>-SUMIF('Prof. Fee'!$E:$E,'FY25 S.3'!$F84,'Prof. Fee'!AH:AH)</f>
        <v>0</v>
      </c>
      <c r="X84" s="247">
        <f>-SUMIF('Prof. Fee'!$E:$E,'FY25 S.3'!$F84,'Prof. Fee'!AI:AI)</f>
        <v>0</v>
      </c>
      <c r="Y84" s="247">
        <f>-SUMIF('Prof. Fee'!$E:$E,'FY25 S.3'!$F84,'Prof. Fee'!AJ:AJ)</f>
        <v>0</v>
      </c>
      <c r="Z84" s="247">
        <f>-SUMIF('Prof. Fee'!$E:$E,'FY25 S.3'!$F84,'Prof. Fee'!AK:AK)</f>
        <v>-148207.47999999998</v>
      </c>
      <c r="AA84" s="247">
        <f>-SUMIF('Prof. Fee'!$E:$E,'FY25 S.3'!$F84,'Prof. Fee'!AL:AL)</f>
        <v>0</v>
      </c>
      <c r="AB84" s="247">
        <f>-SUMIF('Prof. Fee'!$E:$E,'FY25 S.3'!$F84,'Prof. Fee'!AM:AM)</f>
        <v>0</v>
      </c>
      <c r="AC84" s="247">
        <f>-SUMIF('Prof. Fee'!$E:$E,'FY25 S.3'!$F84,'Prof. Fee'!AN:AN)</f>
        <v>0</v>
      </c>
      <c r="AD84" s="247">
        <f>-SUMIF('Prof. Fee'!$E:$E,'FY25 S.3'!$F84,'Prof. Fee'!AO:AO)</f>
        <v>0</v>
      </c>
      <c r="AE84" s="247">
        <f>-SUMIF('Prof. Fee'!$E:$E,'FY25 S.3'!$F84,'Prof. Fee'!AP:AP)</f>
        <v>0</v>
      </c>
      <c r="AF84" s="247">
        <f>-SUMIF('Prof. Fee'!$E:$E,'FY25 S.3'!$F84,'Prof. Fee'!AQ:AQ)</f>
        <v>0</v>
      </c>
      <c r="AG84" s="251">
        <f t="shared" si="67"/>
        <v>-7000</v>
      </c>
      <c r="AH84" s="252"/>
    </row>
    <row r="85" spans="2:36" ht="14.1" hidden="1" customHeight="1" outlineLevel="1">
      <c r="B85" s="192">
        <v>507018</v>
      </c>
      <c r="E85" s="216" t="s">
        <v>2916</v>
      </c>
      <c r="F85" s="246" t="s">
        <v>1546</v>
      </c>
      <c r="G85" s="242"/>
      <c r="H85" s="243"/>
      <c r="I85" s="247">
        <v>-3200</v>
      </c>
      <c r="J85" s="247">
        <v>-3900</v>
      </c>
      <c r="K85" s="247">
        <v>-4000</v>
      </c>
      <c r="L85" s="247">
        <v>-6500</v>
      </c>
      <c r="M85" s="247">
        <v>-4200</v>
      </c>
      <c r="N85" s="247">
        <v>-1900</v>
      </c>
      <c r="O85" s="247">
        <f>-SUMIF('Prof. Fee'!$E:$E,'FY25 S.3'!$F85,'Prof. Fee'!T:T)</f>
        <v>-9914.2559999999994</v>
      </c>
      <c r="P85" s="247">
        <f>-SUMIF('Prof. Fee'!$E:$E,'FY25 S.3'!$F85,'Prof. Fee'!U:U)</f>
        <v>-9914.2559999999994</v>
      </c>
      <c r="Q85" s="247">
        <f>-SUMIF('Prof. Fee'!$E:$E,'FY25 S.3'!$F85,'Prof. Fee'!V:V)</f>
        <v>-9914.2559999999994</v>
      </c>
      <c r="R85" s="247">
        <f>-SUMIF('Prof. Fee'!$E:$E,'FY25 S.3'!$F85,'Prof. Fee'!W:W)</f>
        <v>-9914.2559999999994</v>
      </c>
      <c r="S85" s="247">
        <f>-SUMIF('Prof. Fee'!$E:$E,'FY25 S.3'!$F85,'Prof. Fee'!X:X)</f>
        <v>-9914.2559999999994</v>
      </c>
      <c r="T85" s="247">
        <f>-SUMIF('Prof. Fee'!$E:$E,'FY25 S.3'!$F85,'Prof. Fee'!Y:Y)</f>
        <v>-9914.2559999999994</v>
      </c>
      <c r="U85" s="247">
        <f>-SUMIF('Prof. Fee'!$E:$E,'FY25 S.3'!$F85,'Prof. Fee'!AF:AF)</f>
        <v>-9049.9500000000007</v>
      </c>
      <c r="V85" s="247">
        <f>-SUMIF('Prof. Fee'!$E:$E,'FY25 S.3'!$F85,'Prof. Fee'!AG:AG)</f>
        <v>-9011</v>
      </c>
      <c r="W85" s="247">
        <f>-SUMIF('Prof. Fee'!$E:$E,'FY25 S.3'!$F85,'Prof. Fee'!AH:AH)</f>
        <v>-9011</v>
      </c>
      <c r="X85" s="247">
        <f>-SUMIF('Prof. Fee'!$E:$E,'FY25 S.3'!$F85,'Prof. Fee'!AI:AI)</f>
        <v>-9011</v>
      </c>
      <c r="Y85" s="247">
        <f>-SUMIF('Prof. Fee'!$E:$E,'FY25 S.3'!$F85,'Prof. Fee'!AJ:AJ)</f>
        <v>-9011</v>
      </c>
      <c r="Z85" s="247">
        <f>-SUMIF('Prof. Fee'!$E:$E,'FY25 S.3'!$F85,'Prof. Fee'!AK:AK)</f>
        <v>-9011</v>
      </c>
      <c r="AA85" s="247">
        <f>-SUMIF('Prof. Fee'!$E:$E,'FY25 S.3'!$F85,'Prof. Fee'!AL:AL)</f>
        <v>-9011</v>
      </c>
      <c r="AB85" s="247">
        <f>-SUMIF('Prof. Fee'!$E:$E,'FY25 S.3'!$F85,'Prof. Fee'!AM:AM)</f>
        <v>-9011</v>
      </c>
      <c r="AC85" s="247">
        <f>-SUMIF('Prof. Fee'!$E:$E,'FY25 S.3'!$F85,'Prof. Fee'!AN:AN)</f>
        <v>-9011</v>
      </c>
      <c r="AD85" s="247">
        <f>-SUMIF('Prof. Fee'!$E:$E,'FY25 S.3'!$F85,'Prof. Fee'!AO:AO)</f>
        <v>-9011</v>
      </c>
      <c r="AE85" s="247">
        <f>-SUMIF('Prof. Fee'!$E:$E,'FY25 S.3'!$F85,'Prof. Fee'!AP:AP)</f>
        <v>-9011</v>
      </c>
      <c r="AF85" s="247">
        <f>-SUMIF('Prof. Fee'!$E:$E,'FY25 S.3'!$F85,'Prof. Fee'!AQ:AQ)</f>
        <v>-9011</v>
      </c>
      <c r="AG85" s="251">
        <f t="shared" si="67"/>
        <v>-83185.535999999993</v>
      </c>
      <c r="AH85" s="252"/>
    </row>
    <row r="86" spans="2:36" ht="14.1" hidden="1" customHeight="1" outlineLevel="1">
      <c r="B86" s="192">
        <v>507015</v>
      </c>
      <c r="E86" s="216" t="s">
        <v>2916</v>
      </c>
      <c r="F86" s="246" t="s">
        <v>1873</v>
      </c>
      <c r="G86" s="242"/>
      <c r="H86" s="243"/>
      <c r="I86" s="247">
        <v>-45952.226300000002</v>
      </c>
      <c r="J86" s="247">
        <v>-1500</v>
      </c>
      <c r="K86" s="247">
        <v>-7107.1569332499002</v>
      </c>
      <c r="L86" s="247">
        <v>-14384.4724518811</v>
      </c>
      <c r="M86" s="247">
        <v>-3250</v>
      </c>
      <c r="N86" s="247">
        <v>0</v>
      </c>
      <c r="O86" s="247">
        <f>-SUMIF('Prof. Fee'!$E:$E,'FY25 S.3'!$F86,'Prof. Fee'!T:T)</f>
        <v>-3600</v>
      </c>
      <c r="P86" s="247">
        <f>-SUMIF('Prof. Fee'!$E:$E,'FY25 S.3'!$F86,'Prof. Fee'!U:U)</f>
        <v>-7400</v>
      </c>
      <c r="Q86" s="247">
        <f>-SUMIF('Prof. Fee'!$E:$E,'FY25 S.3'!$F86,'Prof. Fee'!V:V)</f>
        <v>0</v>
      </c>
      <c r="R86" s="247">
        <f>-SUMIF('Prof. Fee'!$E:$E,'FY25 S.3'!$F86,'Prof. Fee'!W:W)</f>
        <v>0</v>
      </c>
      <c r="S86" s="247">
        <f>-SUMIF('Prof. Fee'!$E:$E,'FY25 S.3'!$F86,'Prof. Fee'!X:X)</f>
        <v>0</v>
      </c>
      <c r="T86" s="247">
        <f>-SUMIF('Prof. Fee'!$E:$E,'FY25 S.3'!$F86,'Prof. Fee'!Y:Y)</f>
        <v>-34613.163944</v>
      </c>
      <c r="U86" s="247">
        <f>-SUMIF('Prof. Fee'!$E:$E,'FY25 S.3'!$F86,'Prof. Fee'!AF:AF)</f>
        <v>-185034.42362249998</v>
      </c>
      <c r="V86" s="247">
        <f>-SUMIF('Prof. Fee'!$E:$E,'FY25 S.3'!$F86,'Prof. Fee'!AG:AG)</f>
        <v>0</v>
      </c>
      <c r="W86" s="247">
        <f>-SUMIF('Prof. Fee'!$E:$E,'FY25 S.3'!$F86,'Prof. Fee'!AH:AH)</f>
        <v>0</v>
      </c>
      <c r="X86" s="247">
        <f>-SUMIF('Prof. Fee'!$E:$E,'FY25 S.3'!$F86,'Prof. Fee'!AI:AI)</f>
        <v>0</v>
      </c>
      <c r="Y86" s="247">
        <f>-SUMIF('Prof. Fee'!$E:$E,'FY25 S.3'!$F86,'Prof. Fee'!AJ:AJ)</f>
        <v>0</v>
      </c>
      <c r="Z86" s="247">
        <f>-SUMIF('Prof. Fee'!$E:$E,'FY25 S.3'!$F86,'Prof. Fee'!AK:AK)</f>
        <v>0</v>
      </c>
      <c r="AA86" s="247">
        <f>-SUMIF('Prof. Fee'!$E:$E,'FY25 S.3'!$F86,'Prof. Fee'!AL:AL)</f>
        <v>-2520</v>
      </c>
      <c r="AB86" s="247">
        <f>-SUMIF('Prof. Fee'!$E:$E,'FY25 S.3'!$F86,'Prof. Fee'!AM:AM)</f>
        <v>-4200</v>
      </c>
      <c r="AC86" s="247">
        <f>-SUMIF('Prof. Fee'!$E:$E,'FY25 S.3'!$F86,'Prof. Fee'!AN:AN)</f>
        <v>0</v>
      </c>
      <c r="AD86" s="247">
        <f>-SUMIF('Prof. Fee'!$E:$E,'FY25 S.3'!$F86,'Prof. Fee'!AO:AO)</f>
        <v>0</v>
      </c>
      <c r="AE86" s="247">
        <f>-SUMIF('Prof. Fee'!$E:$E,'FY25 S.3'!$F86,'Prof. Fee'!AP:AP)</f>
        <v>0</v>
      </c>
      <c r="AF86" s="247">
        <f>-SUMIF('Prof. Fee'!$E:$E,'FY25 S.3'!$F86,'Prof. Fee'!AQ:AQ)</f>
        <v>-53000</v>
      </c>
      <c r="AG86" s="251">
        <f t="shared" si="67"/>
        <v>-117807.019629131</v>
      </c>
      <c r="AH86" s="252"/>
    </row>
    <row r="87" spans="2:36" ht="14.1" hidden="1" customHeight="1" outlineLevel="1">
      <c r="B87" s="192">
        <v>507013</v>
      </c>
      <c r="E87" s="216" t="s">
        <v>2916</v>
      </c>
      <c r="F87" s="246" t="s">
        <v>2712</v>
      </c>
      <c r="G87" s="242"/>
      <c r="H87" s="243"/>
      <c r="I87" s="247">
        <v>0</v>
      </c>
      <c r="J87" s="247">
        <v>0</v>
      </c>
      <c r="K87" s="247">
        <v>-12141.476216716001</v>
      </c>
      <c r="L87" s="247">
        <v>0</v>
      </c>
      <c r="M87" s="247">
        <v>-383144.24805361801</v>
      </c>
      <c r="N87" s="247">
        <v>0</v>
      </c>
      <c r="O87" s="247">
        <f>-SUMIF('Prof. Fee'!$E:$E,'FY25 S.3'!$F87,'Prof. Fee'!T:T)</f>
        <v>0</v>
      </c>
      <c r="P87" s="247">
        <f>-SUMIF('Prof. Fee'!$E:$E,'FY25 S.3'!$F87,'Prof. Fee'!U:U)</f>
        <v>0</v>
      </c>
      <c r="Q87" s="247">
        <f>-SUMIF('Prof. Fee'!$E:$E,'FY25 S.3'!$F87,'Prof. Fee'!V:V)</f>
        <v>0</v>
      </c>
      <c r="R87" s="247">
        <f>-SUMIF('Prof. Fee'!$E:$E,'FY25 S.3'!$F87,'Prof. Fee'!W:W)</f>
        <v>0</v>
      </c>
      <c r="S87" s="247">
        <f>-SUMIF('Prof. Fee'!$E:$E,'FY25 S.3'!$F87,'Prof. Fee'!X:X)</f>
        <v>0</v>
      </c>
      <c r="T87" s="247">
        <f>-SUMIF('Prof. Fee'!$E:$E,'FY25 S.3'!$F87,'Prof. Fee'!Y:Y)</f>
        <v>-42000</v>
      </c>
      <c r="U87" s="247">
        <f>-SUMIF('Prof. Fee'!$E:$E,'FY25 S.3'!$F87,'Prof. Fee'!AF:AF)</f>
        <v>0</v>
      </c>
      <c r="V87" s="247">
        <f>-SUMIF('Prof. Fee'!$E:$E,'FY25 S.3'!$F87,'Prof. Fee'!AG:AG)</f>
        <v>0</v>
      </c>
      <c r="W87" s="247">
        <f>-SUMIF('Prof. Fee'!$E:$E,'FY25 S.3'!$F87,'Prof. Fee'!AH:AH)</f>
        <v>0</v>
      </c>
      <c r="X87" s="247">
        <f>-SUMIF('Prof. Fee'!$E:$E,'FY25 S.3'!$F87,'Prof. Fee'!AI:AI)</f>
        <v>0</v>
      </c>
      <c r="Y87" s="247">
        <f>-SUMIF('Prof. Fee'!$E:$E,'FY25 S.3'!$F87,'Prof. Fee'!AJ:AJ)</f>
        <v>-413751.8</v>
      </c>
      <c r="Z87" s="247">
        <f>-SUMIF('Prof. Fee'!$E:$E,'FY25 S.3'!$F87,'Prof. Fee'!AK:AK)</f>
        <v>-160255</v>
      </c>
      <c r="AA87" s="247">
        <f>-SUMIF('Prof. Fee'!$E:$E,'FY25 S.3'!$F87,'Prof. Fee'!AL:AL)</f>
        <v>0</v>
      </c>
      <c r="AB87" s="247">
        <f>-SUMIF('Prof. Fee'!$E:$E,'FY25 S.3'!$F87,'Prof. Fee'!AM:AM)</f>
        <v>0</v>
      </c>
      <c r="AC87" s="247">
        <f>-SUMIF('Prof. Fee'!$E:$E,'FY25 S.3'!$F87,'Prof. Fee'!AN:AN)</f>
        <v>0</v>
      </c>
      <c r="AD87" s="247">
        <f>-SUMIF('Prof. Fee'!$E:$E,'FY25 S.3'!$F87,'Prof. Fee'!AO:AO)</f>
        <v>0</v>
      </c>
      <c r="AE87" s="247">
        <f>-SUMIF('Prof. Fee'!$E:$E,'FY25 S.3'!$F87,'Prof. Fee'!AP:AP)</f>
        <v>0</v>
      </c>
      <c r="AF87" s="247">
        <f>-SUMIF('Prof. Fee'!$E:$E,'FY25 S.3'!$F87,'Prof. Fee'!AQ:AQ)</f>
        <v>0</v>
      </c>
      <c r="AG87" s="251">
        <f t="shared" si="67"/>
        <v>-437285.724270334</v>
      </c>
      <c r="AH87" s="252"/>
    </row>
    <row r="88" spans="2:36" ht="14.1" hidden="1" customHeight="1" outlineLevel="1">
      <c r="B88" s="192">
        <v>507019</v>
      </c>
      <c r="E88" s="216" t="s">
        <v>2916</v>
      </c>
      <c r="F88" s="246" t="s">
        <v>2713</v>
      </c>
      <c r="G88" s="242"/>
      <c r="H88" s="243"/>
      <c r="I88" s="247">
        <v>0</v>
      </c>
      <c r="J88" s="247">
        <v>-14610.7089003568</v>
      </c>
      <c r="K88" s="247">
        <v>-14569.771460059201</v>
      </c>
      <c r="L88" s="247">
        <v>-14639.777024934499</v>
      </c>
      <c r="M88" s="247">
        <v>-14322.438486962899</v>
      </c>
      <c r="N88" s="247">
        <v>-28504.632000000001</v>
      </c>
      <c r="O88" s="247">
        <f>-SUMIF('Prof. Fee'!$E:$E,'FY25 S.3'!$F88,'Prof. Fee'!T:T)</f>
        <v>-15330.3696</v>
      </c>
      <c r="P88" s="247">
        <f>-SUMIF('Prof. Fee'!$E:$E,'FY25 S.3'!$F88,'Prof. Fee'!U:U)</f>
        <v>-15330.3696</v>
      </c>
      <c r="Q88" s="247">
        <f>-SUMIF('Prof. Fee'!$E:$E,'FY25 S.3'!$F88,'Prof. Fee'!V:V)</f>
        <v>-15330.3696</v>
      </c>
      <c r="R88" s="247">
        <f>-SUMIF('Prof. Fee'!$E:$E,'FY25 S.3'!$F88,'Prof. Fee'!W:W)</f>
        <v>-15330.3696</v>
      </c>
      <c r="S88" s="247">
        <f>-SUMIF('Prof. Fee'!$E:$E,'FY25 S.3'!$F88,'Prof. Fee'!X:X)</f>
        <v>-15330.3696</v>
      </c>
      <c r="T88" s="247">
        <f>-SUMIF('Prof. Fee'!$E:$E,'FY25 S.3'!$F88,'Prof. Fee'!Y:Y)</f>
        <v>-15330.3696</v>
      </c>
      <c r="U88" s="247">
        <f>-SUMIF('Prof. Fee'!$E:$E,'FY25 S.3'!$F88,'Prof. Fee'!AF:AF)</f>
        <v>-13883.843999999999</v>
      </c>
      <c r="V88" s="247">
        <f>-SUMIF('Prof. Fee'!$E:$E,'FY25 S.3'!$F88,'Prof. Fee'!AG:AG)</f>
        <v>-13762.32</v>
      </c>
      <c r="W88" s="247">
        <f>-SUMIF('Prof. Fee'!$E:$E,'FY25 S.3'!$F88,'Prof. Fee'!AH:AH)</f>
        <v>-13762.32</v>
      </c>
      <c r="X88" s="247">
        <f>-SUMIF('Prof. Fee'!$E:$E,'FY25 S.3'!$F88,'Prof. Fee'!AI:AI)</f>
        <v>-13762.32</v>
      </c>
      <c r="Y88" s="247">
        <f>-SUMIF('Prof. Fee'!$E:$E,'FY25 S.3'!$F88,'Prof. Fee'!AJ:AJ)</f>
        <v>-13762.32</v>
      </c>
      <c r="Z88" s="247">
        <f>-SUMIF('Prof. Fee'!$E:$E,'FY25 S.3'!$F88,'Prof. Fee'!AK:AK)</f>
        <v>-13762.32</v>
      </c>
      <c r="AA88" s="247">
        <f>-SUMIF('Prof. Fee'!$E:$E,'FY25 S.3'!$F88,'Prof. Fee'!AL:AL)</f>
        <v>-13762.32</v>
      </c>
      <c r="AB88" s="247">
        <f>-SUMIF('Prof. Fee'!$E:$E,'FY25 S.3'!$F88,'Prof. Fee'!AM:AM)</f>
        <v>-13762.32</v>
      </c>
      <c r="AC88" s="247">
        <f>-SUMIF('Prof. Fee'!$E:$E,'FY25 S.3'!$F88,'Prof. Fee'!AN:AN)</f>
        <v>-13762.32</v>
      </c>
      <c r="AD88" s="247">
        <f>-SUMIF('Prof. Fee'!$E:$E,'FY25 S.3'!$F88,'Prof. Fee'!AO:AO)</f>
        <v>-13762.32</v>
      </c>
      <c r="AE88" s="247">
        <f>-SUMIF('Prof. Fee'!$E:$E,'FY25 S.3'!$F88,'Prof. Fee'!AP:AP)</f>
        <v>-13762.32</v>
      </c>
      <c r="AF88" s="247">
        <f>-SUMIF('Prof. Fee'!$E:$E,'FY25 S.3'!$F88,'Prof. Fee'!AQ:AQ)</f>
        <v>-13762.32</v>
      </c>
      <c r="AG88" s="251">
        <f t="shared" si="67"/>
        <v>-178629.54547231342</v>
      </c>
      <c r="AH88" s="252"/>
    </row>
    <row r="89" spans="2:36" ht="14.1" hidden="1" customHeight="1" outlineLevel="1">
      <c r="B89" s="192">
        <v>507014</v>
      </c>
      <c r="E89" s="216" t="s">
        <v>2916</v>
      </c>
      <c r="F89" s="246" t="s">
        <v>1887</v>
      </c>
      <c r="G89" s="242"/>
      <c r="H89" s="243"/>
      <c r="I89" s="247">
        <v>0</v>
      </c>
      <c r="J89" s="247">
        <v>0</v>
      </c>
      <c r="K89" s="247">
        <v>-4090.7435253243202</v>
      </c>
      <c r="L89" s="247">
        <v>0</v>
      </c>
      <c r="M89" s="247">
        <v>0</v>
      </c>
      <c r="N89" s="247">
        <v>0</v>
      </c>
      <c r="O89" s="247">
        <f>-SUMIF('Prof. Fee'!$E:$E,'FY25 S.3'!$F89,'Prof. Fee'!T:T)</f>
        <v>-2339.7999999999997</v>
      </c>
      <c r="P89" s="247">
        <f>-SUMIF('Prof. Fee'!$E:$E,'FY25 S.3'!$F89,'Prof. Fee'!U:U)</f>
        <v>-2339.7999999999997</v>
      </c>
      <c r="Q89" s="247">
        <f>-SUMIF('Prof. Fee'!$E:$E,'FY25 S.3'!$F89,'Prof. Fee'!V:V)</f>
        <v>-2339.7999999999997</v>
      </c>
      <c r="R89" s="247">
        <f>-SUMIF('Prof. Fee'!$E:$E,'FY25 S.3'!$F89,'Prof. Fee'!W:W)</f>
        <v>-2339.7999999999997</v>
      </c>
      <c r="S89" s="247">
        <f>-SUMIF('Prof. Fee'!$E:$E,'FY25 S.3'!$F89,'Prof. Fee'!X:X)</f>
        <v>-2339.7999999999997</v>
      </c>
      <c r="T89" s="247">
        <f>-SUMIF('Prof. Fee'!$E:$E,'FY25 S.3'!$F89,'Prof. Fee'!Y:Y)</f>
        <v>-2339.7999999999997</v>
      </c>
      <c r="U89" s="247">
        <f>-SUMIF('Prof. Fee'!$E:$E,'FY25 S.3'!$F89,'Prof. Fee'!AF:AF)</f>
        <v>-9480</v>
      </c>
      <c r="V89" s="247">
        <f>-SUMIF('Prof. Fee'!$E:$E,'FY25 S.3'!$F89,'Prof. Fee'!AG:AG)</f>
        <v>-25510</v>
      </c>
      <c r="W89" s="247">
        <f>-SUMIF('Prof. Fee'!$E:$E,'FY25 S.3'!$F89,'Prof. Fee'!AH:AH)</f>
        <v>0</v>
      </c>
      <c r="X89" s="247">
        <f>-SUMIF('Prof. Fee'!$E:$E,'FY25 S.3'!$F89,'Prof. Fee'!AI:AI)</f>
        <v>0</v>
      </c>
      <c r="Y89" s="247">
        <f>-SUMIF('Prof. Fee'!$E:$E,'FY25 S.3'!$F89,'Prof. Fee'!AJ:AJ)</f>
        <v>0</v>
      </c>
      <c r="Z89" s="247">
        <f>-SUMIF('Prof. Fee'!$E:$E,'FY25 S.3'!$F89,'Prof. Fee'!AK:AK)</f>
        <v>-25010</v>
      </c>
      <c r="AA89" s="247">
        <f>-SUMIF('Prof. Fee'!$E:$E,'FY25 S.3'!$F89,'Prof. Fee'!AL:AL)</f>
        <v>0</v>
      </c>
      <c r="AB89" s="247">
        <f>-SUMIF('Prof. Fee'!$E:$E,'FY25 S.3'!$F89,'Prof. Fee'!AM:AM)</f>
        <v>0</v>
      </c>
      <c r="AC89" s="247">
        <f>-SUMIF('Prof. Fee'!$E:$E,'FY25 S.3'!$F89,'Prof. Fee'!AN:AN)</f>
        <v>0</v>
      </c>
      <c r="AD89" s="247">
        <f>-SUMIF('Prof. Fee'!$E:$E,'FY25 S.3'!$F89,'Prof. Fee'!AO:AO)</f>
        <v>0</v>
      </c>
      <c r="AE89" s="247">
        <f>-SUMIF('Prof. Fee'!$E:$E,'FY25 S.3'!$F89,'Prof. Fee'!AP:AP)</f>
        <v>0</v>
      </c>
      <c r="AF89" s="247">
        <f>-SUMIF('Prof. Fee'!$E:$E,'FY25 S.3'!$F89,'Prof. Fee'!AQ:AQ)</f>
        <v>0</v>
      </c>
      <c r="AG89" s="251">
        <f t="shared" si="67"/>
        <v>-18129.543525324316</v>
      </c>
      <c r="AH89" s="252"/>
    </row>
    <row r="90" spans="2:36" ht="14.1" hidden="1" customHeight="1" outlineLevel="1">
      <c r="B90" s="192">
        <v>502040</v>
      </c>
      <c r="E90" s="216"/>
      <c r="F90" s="246" t="s">
        <v>1536</v>
      </c>
      <c r="G90" s="242"/>
      <c r="H90" s="243"/>
      <c r="I90" s="247">
        <v>0</v>
      </c>
      <c r="J90" s="247">
        <v>0</v>
      </c>
      <c r="K90" s="247">
        <v>0</v>
      </c>
      <c r="L90" s="247">
        <v>0</v>
      </c>
      <c r="M90" s="247">
        <v>0</v>
      </c>
      <c r="N90" s="247">
        <v>-274.08300000000003</v>
      </c>
      <c r="O90" s="247">
        <f>-SUMIF('Prof. Fee'!$E:$E,'FY25 S.3'!$F90,'Prof. Fee'!T:T)</f>
        <v>0</v>
      </c>
      <c r="P90" s="247">
        <f>-SUMIF('Prof. Fee'!$E:$E,'FY25 S.3'!$F90,'Prof. Fee'!U:U)</f>
        <v>0</v>
      </c>
      <c r="Q90" s="247">
        <f>-SUMIF('Prof. Fee'!$E:$E,'FY25 S.3'!$F90,'Prof. Fee'!V:V)</f>
        <v>0</v>
      </c>
      <c r="R90" s="247">
        <f>-SUMIF('Prof. Fee'!$E:$E,'FY25 S.3'!$F90,'Prof. Fee'!W:W)</f>
        <v>0</v>
      </c>
      <c r="S90" s="247">
        <f>-SUMIF('Prof. Fee'!$E:$E,'FY25 S.3'!$F90,'Prof. Fee'!X:X)</f>
        <v>0</v>
      </c>
      <c r="T90" s="247">
        <f>-SUMIF('Prof. Fee'!$E:$E,'FY25 S.3'!$F90,'Prof. Fee'!Y:Y)</f>
        <v>0</v>
      </c>
      <c r="U90" s="247">
        <f>-SUMIF('Prof. Fee'!$E:$E,'FY25 S.3'!$F90,'Prof. Fee'!AF:AF)</f>
        <v>0</v>
      </c>
      <c r="V90" s="247">
        <f>-SUMIF('Prof. Fee'!$E:$E,'FY25 S.3'!$F90,'Prof. Fee'!AG:AG)</f>
        <v>-91080</v>
      </c>
      <c r="W90" s="247">
        <f>-SUMIF('Prof. Fee'!$E:$E,'FY25 S.3'!$F90,'Prof. Fee'!AH:AH)</f>
        <v>0</v>
      </c>
      <c r="X90" s="247">
        <f>-SUMIF('Prof. Fee'!$E:$E,'FY25 S.3'!$F90,'Prof. Fee'!AI:AI)</f>
        <v>0</v>
      </c>
      <c r="Y90" s="247">
        <f>-SUMIF('Prof. Fee'!$E:$E,'FY25 S.3'!$F90,'Prof. Fee'!AJ:AJ)</f>
        <v>0</v>
      </c>
      <c r="Z90" s="247">
        <f>-SUMIF('Prof. Fee'!$E:$E,'FY25 S.3'!$F90,'Prof. Fee'!AK:AK)</f>
        <v>-342690</v>
      </c>
      <c r="AA90" s="247">
        <f>-SUMIF('Prof. Fee'!$E:$E,'FY25 S.3'!$F90,'Prof. Fee'!AL:AL)</f>
        <v>0</v>
      </c>
      <c r="AB90" s="247">
        <f>-SUMIF('Prof. Fee'!$E:$E,'FY25 S.3'!$F90,'Prof. Fee'!AM:AM)</f>
        <v>0</v>
      </c>
      <c r="AC90" s="247">
        <f>-SUMIF('Prof. Fee'!$E:$E,'FY25 S.3'!$F90,'Prof. Fee'!AN:AN)</f>
        <v>0</v>
      </c>
      <c r="AD90" s="247">
        <f>-SUMIF('Prof. Fee'!$E:$E,'FY25 S.3'!$F90,'Prof. Fee'!AO:AO)</f>
        <v>0</v>
      </c>
      <c r="AE90" s="247">
        <f>-SUMIF('Prof. Fee'!$E:$E,'FY25 S.3'!$F90,'Prof. Fee'!AP:AP)</f>
        <v>0</v>
      </c>
      <c r="AF90" s="247">
        <f>-SUMIF('Prof. Fee'!$E:$E,'FY25 S.3'!$F90,'Prof. Fee'!AQ:AQ)</f>
        <v>0</v>
      </c>
      <c r="AG90" s="251">
        <f t="shared" si="67"/>
        <v>-274.08300000000003</v>
      </c>
      <c r="AH90" s="252"/>
    </row>
    <row r="91" spans="2:36" ht="14.1" hidden="1" customHeight="1" outlineLevel="1">
      <c r="B91" s="192">
        <v>507021</v>
      </c>
      <c r="E91" s="216"/>
      <c r="F91" s="246" t="s">
        <v>1666</v>
      </c>
      <c r="G91" s="242"/>
      <c r="H91" s="243"/>
      <c r="I91" s="247">
        <v>-6297.8947200000002</v>
      </c>
      <c r="J91" s="247">
        <v>0</v>
      </c>
      <c r="K91" s="247">
        <v>0</v>
      </c>
      <c r="L91" s="247">
        <v>0</v>
      </c>
      <c r="M91" s="247">
        <v>-205593.47227322799</v>
      </c>
      <c r="N91" s="247">
        <v>0</v>
      </c>
      <c r="O91" s="247">
        <f>-SUMIF('Prof. Fee'!$E:$E,'FY25 S.3'!$F91,'Prof. Fee'!T:T)</f>
        <v>0</v>
      </c>
      <c r="P91" s="247">
        <f>-SUMIF('Prof. Fee'!$E:$E,'FY25 S.3'!$F91,'Prof. Fee'!U:U)</f>
        <v>0</v>
      </c>
      <c r="Q91" s="247">
        <f>-SUMIF('Prof. Fee'!$E:$E,'FY25 S.3'!$F91,'Prof. Fee'!V:V)</f>
        <v>0</v>
      </c>
      <c r="R91" s="247">
        <f>-SUMIF('Prof. Fee'!$E:$E,'FY25 S.3'!$F91,'Prof. Fee'!W:W)</f>
        <v>0</v>
      </c>
      <c r="S91" s="247">
        <f>-SUMIF('Prof. Fee'!$E:$E,'FY25 S.3'!$F91,'Prof. Fee'!X:X)</f>
        <v>0</v>
      </c>
      <c r="T91" s="247">
        <f>-SUMIF('Prof. Fee'!$E:$E,'FY25 S.3'!$F91,'Prof. Fee'!Y:Y)</f>
        <v>0</v>
      </c>
      <c r="U91" s="247">
        <f>-SUMIF('Prof. Fee'!$E:$E,'FY25 S.3'!$F91,'Prof. Fee'!AF:AF)</f>
        <v>-38751.647916666661</v>
      </c>
      <c r="V91" s="247">
        <f>-SUMIF('Prof. Fee'!$E:$E,'FY25 S.3'!$F91,'Prof. Fee'!AG:AG)</f>
        <v>-38412.458333333336</v>
      </c>
      <c r="W91" s="247">
        <f>-SUMIF('Prof. Fee'!$E:$E,'FY25 S.3'!$F91,'Prof. Fee'!AH:AH)</f>
        <v>-38412.458333333336</v>
      </c>
      <c r="X91" s="247">
        <f>-SUMIF('Prof. Fee'!$E:$E,'FY25 S.3'!$F91,'Prof. Fee'!AI:AI)</f>
        <v>-38412.458333333336</v>
      </c>
      <c r="Y91" s="247">
        <f>-SUMIF('Prof. Fee'!$E:$E,'FY25 S.3'!$F91,'Prof. Fee'!AJ:AJ)</f>
        <v>-38412.458333333336</v>
      </c>
      <c r="Z91" s="247">
        <f>-SUMIF('Prof. Fee'!$E:$E,'FY25 S.3'!$F91,'Prof. Fee'!AK:AK)</f>
        <v>-38412.458333333336</v>
      </c>
      <c r="AA91" s="247">
        <f>-SUMIF('Prof. Fee'!$E:$E,'FY25 S.3'!$F91,'Prof. Fee'!AL:AL)</f>
        <v>-38412.458333333336</v>
      </c>
      <c r="AB91" s="247">
        <f>-SUMIF('Prof. Fee'!$E:$E,'FY25 S.3'!$F91,'Prof. Fee'!AM:AM)</f>
        <v>-38412.458333333336</v>
      </c>
      <c r="AC91" s="247">
        <f>-SUMIF('Prof. Fee'!$E:$E,'FY25 S.3'!$F91,'Prof. Fee'!AN:AN)</f>
        <v>-38412.458333333336</v>
      </c>
      <c r="AD91" s="247">
        <f>-SUMIF('Prof. Fee'!$E:$E,'FY25 S.3'!$F91,'Prof. Fee'!AO:AO)</f>
        <v>-38412.458333333336</v>
      </c>
      <c r="AE91" s="247">
        <f>-SUMIF('Prof. Fee'!$E:$E,'FY25 S.3'!$F91,'Prof. Fee'!AP:AP)</f>
        <v>-38412.458333333336</v>
      </c>
      <c r="AF91" s="247">
        <f>-SUMIF('Prof. Fee'!$E:$E,'FY25 S.3'!$F91,'Prof. Fee'!AQ:AQ)</f>
        <v>-38412.458333333336</v>
      </c>
      <c r="AG91" s="251">
        <f t="shared" si="67"/>
        <v>-211891.366993228</v>
      </c>
      <c r="AH91" s="252"/>
    </row>
    <row r="92" spans="2:36" ht="14.1" hidden="1" customHeight="1" outlineLevel="1">
      <c r="B92" s="192">
        <v>507022</v>
      </c>
      <c r="E92" s="307" t="s">
        <v>2917</v>
      </c>
      <c r="F92" s="246" t="s">
        <v>2718</v>
      </c>
      <c r="G92" s="242"/>
      <c r="H92" s="243"/>
      <c r="I92" s="247">
        <v>0</v>
      </c>
      <c r="J92" s="247">
        <v>0</v>
      </c>
      <c r="K92" s="247">
        <v>0</v>
      </c>
      <c r="L92" s="247">
        <v>0</v>
      </c>
      <c r="M92" s="247">
        <v>0</v>
      </c>
      <c r="N92" s="247">
        <v>0</v>
      </c>
      <c r="O92" s="247">
        <f>-SUMIF('Prof. Fee'!$E:$E,'FY25 S.3'!$F92,'Prof. Fee'!T:T)</f>
        <v>0</v>
      </c>
      <c r="P92" s="247">
        <f>-SUMIF('Prof. Fee'!$E:$E,'FY25 S.3'!$F92,'Prof. Fee'!U:U)</f>
        <v>0</v>
      </c>
      <c r="Q92" s="247">
        <f>-SUMIF('Prof. Fee'!$E:$E,'FY25 S.3'!$F92,'Prof. Fee'!V:V)</f>
        <v>0</v>
      </c>
      <c r="R92" s="247">
        <f>-SUMIF('Prof. Fee'!$E:$E,'FY25 S.3'!$F92,'Prof. Fee'!W:W)</f>
        <v>0</v>
      </c>
      <c r="S92" s="247">
        <f>-SUMIF('Prof. Fee'!$E:$E,'FY25 S.3'!$F92,'Prof. Fee'!X:X)</f>
        <v>0</v>
      </c>
      <c r="T92" s="247">
        <f>-SUMIF('Prof. Fee'!$E:$E,'FY25 S.3'!$F92,'Prof. Fee'!Y:Y)</f>
        <v>0</v>
      </c>
      <c r="U92" s="247">
        <f>-SUMIF('Prof. Fee'!$E:$E,'FY25 S.3'!$F92,'Prof. Fee'!AF:AF)</f>
        <v>0</v>
      </c>
      <c r="V92" s="247">
        <f>-SUMIF('Prof. Fee'!$E:$E,'FY25 S.3'!$F92,'Prof. Fee'!AG:AG)</f>
        <v>0</v>
      </c>
      <c r="W92" s="247">
        <f>-SUMIF('Prof. Fee'!$E:$E,'FY25 S.3'!$F92,'Prof. Fee'!AH:AH)</f>
        <v>0</v>
      </c>
      <c r="X92" s="247">
        <f>-SUMIF('Prof. Fee'!$E:$E,'FY25 S.3'!$F92,'Prof. Fee'!AI:AI)</f>
        <v>0</v>
      </c>
      <c r="Y92" s="247">
        <f>-SUMIF('Prof. Fee'!$E:$E,'FY25 S.3'!$F92,'Prof. Fee'!AJ:AJ)</f>
        <v>0</v>
      </c>
      <c r="Z92" s="247">
        <f>-SUMIF('Prof. Fee'!$E:$E,'FY25 S.3'!$F92,'Prof. Fee'!AK:AK)</f>
        <v>0</v>
      </c>
      <c r="AA92" s="247">
        <f>-SUMIF('Prof. Fee'!$E:$E,'FY25 S.3'!$F92,'Prof. Fee'!AL:AL)</f>
        <v>0</v>
      </c>
      <c r="AB92" s="247">
        <f>-SUMIF('Prof. Fee'!$E:$E,'FY25 S.3'!$F92,'Prof. Fee'!AM:AM)</f>
        <v>0</v>
      </c>
      <c r="AC92" s="247">
        <f>-SUMIF('Prof. Fee'!$E:$E,'FY25 S.3'!$F92,'Prof. Fee'!AN:AN)</f>
        <v>0</v>
      </c>
      <c r="AD92" s="247">
        <f>-SUMIF('Prof. Fee'!$E:$E,'FY25 S.3'!$F92,'Prof. Fee'!AO:AO)</f>
        <v>0</v>
      </c>
      <c r="AE92" s="247">
        <f>-SUMIF('Prof. Fee'!$E:$E,'FY25 S.3'!$F92,'Prof. Fee'!AP:AP)</f>
        <v>0</v>
      </c>
      <c r="AF92" s="247">
        <f>-SUMIF('Prof. Fee'!$E:$E,'FY25 S.3'!$F92,'Prof. Fee'!AQ:AQ)</f>
        <v>0</v>
      </c>
      <c r="AG92" s="251">
        <f t="shared" si="67"/>
        <v>0</v>
      </c>
      <c r="AH92" s="252"/>
    </row>
    <row r="93" spans="2:36" ht="14.1" hidden="1" customHeight="1" outlineLevel="1">
      <c r="B93" s="192" t="s">
        <v>2918</v>
      </c>
      <c r="E93" s="307" t="s">
        <v>2917</v>
      </c>
      <c r="F93" s="246" t="s">
        <v>2719</v>
      </c>
      <c r="G93" s="242"/>
      <c r="H93" s="243"/>
      <c r="I93" s="247">
        <v>0</v>
      </c>
      <c r="J93" s="247">
        <v>0</v>
      </c>
      <c r="K93" s="247">
        <v>0</v>
      </c>
      <c r="L93" s="247">
        <v>0</v>
      </c>
      <c r="M93" s="247">
        <v>0</v>
      </c>
      <c r="N93" s="247">
        <v>0</v>
      </c>
      <c r="O93" s="247">
        <f>-SUMIF('Prof. Fee'!$E:$E,'FY25 S.3'!$F93,'Prof. Fee'!T:T)</f>
        <v>0</v>
      </c>
      <c r="P93" s="247">
        <f>-SUMIF('Prof. Fee'!$E:$E,'FY25 S.3'!$F93,'Prof. Fee'!U:U)</f>
        <v>0</v>
      </c>
      <c r="Q93" s="247">
        <f>-SUMIF('Prof. Fee'!$E:$E,'FY25 S.3'!$F93,'Prof. Fee'!V:V)</f>
        <v>0</v>
      </c>
      <c r="R93" s="247">
        <f>-SUMIF('Prof. Fee'!$E:$E,'FY25 S.3'!$F93,'Prof. Fee'!W:W)</f>
        <v>0</v>
      </c>
      <c r="S93" s="247">
        <f>-SUMIF('Prof. Fee'!$E:$E,'FY25 S.3'!$F93,'Prof. Fee'!X:X)</f>
        <v>0</v>
      </c>
      <c r="T93" s="247">
        <f>-SUMIF('Prof. Fee'!$E:$E,'FY25 S.3'!$F93,'Prof. Fee'!Y:Y)</f>
        <v>0</v>
      </c>
      <c r="U93" s="247">
        <f>-SUMIF('Prof. Fee'!$E:$E,'FY25 S.3'!$F93,'Prof. Fee'!AF:AF)</f>
        <v>0</v>
      </c>
      <c r="V93" s="247">
        <f>-SUMIF('Prof. Fee'!$E:$E,'FY25 S.3'!$F93,'Prof. Fee'!AG:AG)</f>
        <v>0</v>
      </c>
      <c r="W93" s="247">
        <f>-SUMIF('Prof. Fee'!$E:$E,'FY25 S.3'!$F93,'Prof. Fee'!AH:AH)</f>
        <v>0</v>
      </c>
      <c r="X93" s="247">
        <f>-SUMIF('Prof. Fee'!$E:$E,'FY25 S.3'!$F93,'Prof. Fee'!AI:AI)</f>
        <v>0</v>
      </c>
      <c r="Y93" s="247">
        <f>-SUMIF('Prof. Fee'!$E:$E,'FY25 S.3'!$F93,'Prof. Fee'!AJ:AJ)</f>
        <v>0</v>
      </c>
      <c r="Z93" s="247">
        <f>-SUMIF('Prof. Fee'!$E:$E,'FY25 S.3'!$F93,'Prof. Fee'!AK:AK)</f>
        <v>0</v>
      </c>
      <c r="AA93" s="247">
        <f>-SUMIF('Prof. Fee'!$E:$E,'FY25 S.3'!$F93,'Prof. Fee'!AL:AL)</f>
        <v>0</v>
      </c>
      <c r="AB93" s="247">
        <f>-SUMIF('Prof. Fee'!$E:$E,'FY25 S.3'!$F93,'Prof. Fee'!AM:AM)</f>
        <v>0</v>
      </c>
      <c r="AC93" s="247">
        <f>-SUMIF('Prof. Fee'!$E:$E,'FY25 S.3'!$F93,'Prof. Fee'!AN:AN)</f>
        <v>0</v>
      </c>
      <c r="AD93" s="247">
        <f>-SUMIF('Prof. Fee'!$E:$E,'FY25 S.3'!$F93,'Prof. Fee'!AO:AO)</f>
        <v>0</v>
      </c>
      <c r="AE93" s="247">
        <f>-SUMIF('Prof. Fee'!$E:$E,'FY25 S.3'!$F93,'Prof. Fee'!AP:AP)</f>
        <v>0</v>
      </c>
      <c r="AF93" s="247">
        <f>-SUMIF('Prof. Fee'!$E:$E,'FY25 S.3'!$F93,'Prof. Fee'!AQ:AQ)</f>
        <v>0</v>
      </c>
      <c r="AG93" s="251">
        <f t="shared" si="67"/>
        <v>0</v>
      </c>
      <c r="AH93" s="252"/>
    </row>
    <row r="94" spans="2:36" ht="14.1" hidden="1" customHeight="1" outlineLevel="1">
      <c r="B94" s="192" t="s">
        <v>2919</v>
      </c>
      <c r="E94" s="307" t="s">
        <v>2917</v>
      </c>
      <c r="F94" s="246" t="s">
        <v>2720</v>
      </c>
      <c r="G94" s="242"/>
      <c r="H94" s="243"/>
      <c r="I94" s="247">
        <v>0</v>
      </c>
      <c r="J94" s="247">
        <v>0</v>
      </c>
      <c r="K94" s="247">
        <v>0</v>
      </c>
      <c r="L94" s="247">
        <v>-55000</v>
      </c>
      <c r="M94" s="247">
        <v>0</v>
      </c>
      <c r="N94" s="247">
        <v>0</v>
      </c>
      <c r="O94" s="247">
        <f>-SUMIF('Prof. Fee'!$E:$E,'FY25 S.3'!$F94,'Prof. Fee'!T:T)</f>
        <v>-160000</v>
      </c>
      <c r="P94" s="247">
        <f>-SUMIF('Prof. Fee'!$E:$E,'FY25 S.3'!$F94,'Prof. Fee'!U:U)</f>
        <v>0</v>
      </c>
      <c r="Q94" s="247">
        <f>-SUMIF('Prof. Fee'!$E:$E,'FY25 S.3'!$F94,'Prof. Fee'!V:V)</f>
        <v>0</v>
      </c>
      <c r="R94" s="247">
        <f>-SUMIF('Prof. Fee'!$E:$E,'FY25 S.3'!$F94,'Prof. Fee'!W:W)</f>
        <v>0</v>
      </c>
      <c r="S94" s="247">
        <f>-SUMIF('Prof. Fee'!$E:$E,'FY25 S.3'!$F94,'Prof. Fee'!X:X)</f>
        <v>0</v>
      </c>
      <c r="T94" s="247">
        <f>-SUMIF('Prof. Fee'!$E:$E,'FY25 S.3'!$F94,'Prof. Fee'!Y:Y)</f>
        <v>0</v>
      </c>
      <c r="U94" s="247">
        <f>-SUMIF('Prof. Fee'!$E:$E,'FY25 S.3'!$F94,'Prof. Fee'!AF:AF)</f>
        <v>0</v>
      </c>
      <c r="V94" s="247">
        <f>-SUMIF('Prof. Fee'!$E:$E,'FY25 S.3'!$F94,'Prof. Fee'!AG:AG)</f>
        <v>0</v>
      </c>
      <c r="W94" s="247">
        <f>-SUMIF('Prof. Fee'!$E:$E,'FY25 S.3'!$F94,'Prof. Fee'!AH:AH)</f>
        <v>0</v>
      </c>
      <c r="X94" s="247">
        <f>-SUMIF('Prof. Fee'!$E:$E,'FY25 S.3'!$F94,'Prof. Fee'!AI:AI)</f>
        <v>0</v>
      </c>
      <c r="Y94" s="247">
        <f>-SUMIF('Prof. Fee'!$E:$E,'FY25 S.3'!$F94,'Prof. Fee'!AJ:AJ)</f>
        <v>0</v>
      </c>
      <c r="Z94" s="247">
        <f>-SUMIF('Prof. Fee'!$E:$E,'FY25 S.3'!$F94,'Prof. Fee'!AK:AK)</f>
        <v>0</v>
      </c>
      <c r="AA94" s="247">
        <f>-SUMIF('Prof. Fee'!$E:$E,'FY25 S.3'!$F94,'Prof. Fee'!AL:AL)</f>
        <v>0</v>
      </c>
      <c r="AB94" s="247">
        <f>-SUMIF('Prof. Fee'!$E:$E,'FY25 S.3'!$F94,'Prof. Fee'!AM:AM)</f>
        <v>0</v>
      </c>
      <c r="AC94" s="247">
        <f>-SUMIF('Prof. Fee'!$E:$E,'FY25 S.3'!$F94,'Prof. Fee'!AN:AN)</f>
        <v>0</v>
      </c>
      <c r="AD94" s="247">
        <f>-SUMIF('Prof. Fee'!$E:$E,'FY25 S.3'!$F94,'Prof. Fee'!AO:AO)</f>
        <v>0</v>
      </c>
      <c r="AE94" s="247">
        <f>-SUMIF('Prof. Fee'!$E:$E,'FY25 S.3'!$F94,'Prof. Fee'!AP:AP)</f>
        <v>0</v>
      </c>
      <c r="AF94" s="247">
        <f>-SUMIF('Prof. Fee'!$E:$E,'FY25 S.3'!$F94,'Prof. Fee'!AQ:AQ)</f>
        <v>0</v>
      </c>
      <c r="AG94" s="251">
        <f t="shared" si="67"/>
        <v>-215000</v>
      </c>
      <c r="AH94" s="252"/>
    </row>
    <row r="95" spans="2:36" ht="14.1" hidden="1" customHeight="1" outlineLevel="1">
      <c r="B95" s="192">
        <v>507016</v>
      </c>
      <c r="E95" s="307" t="s">
        <v>2917</v>
      </c>
      <c r="F95" s="246" t="s">
        <v>1541</v>
      </c>
      <c r="G95" s="242"/>
      <c r="H95" s="243"/>
      <c r="I95" s="247">
        <v>0</v>
      </c>
      <c r="J95" s="247">
        <v>-30000</v>
      </c>
      <c r="K95" s="247">
        <v>0</v>
      </c>
      <c r="L95" s="247">
        <v>0</v>
      </c>
      <c r="M95" s="247">
        <v>-5903.41535071612</v>
      </c>
      <c r="N95" s="247">
        <v>0</v>
      </c>
      <c r="O95" s="247">
        <f>-SUMIF('Prof. Fee'!$E:$E,'FY25 S.3'!$F95,'Prof. Fee'!T:T)</f>
        <v>-172365.26666666666</v>
      </c>
      <c r="P95" s="247">
        <f>-SUMIF('Prof. Fee'!$E:$E,'FY25 S.3'!$F95,'Prof. Fee'!U:U)</f>
        <v>-3899.666666666667</v>
      </c>
      <c r="Q95" s="247">
        <f>-SUMIF('Prof. Fee'!$E:$E,'FY25 S.3'!$F95,'Prof. Fee'!V:V)</f>
        <v>-83899.666666666672</v>
      </c>
      <c r="R95" s="247">
        <f>-SUMIF('Prof. Fee'!$E:$E,'FY25 S.3'!$F95,'Prof. Fee'!W:W)</f>
        <v>-3899.666666666667</v>
      </c>
      <c r="S95" s="247">
        <f>-SUMIF('Prof. Fee'!$E:$E,'FY25 S.3'!$F95,'Prof. Fee'!X:X)</f>
        <v>-3899.666666666667</v>
      </c>
      <c r="T95" s="247">
        <f>-SUMIF('Prof. Fee'!$E:$E,'FY25 S.3'!$F95,'Prof. Fee'!Y:Y)</f>
        <v>-66899.666666666672</v>
      </c>
      <c r="U95" s="247">
        <f>-SUMIF('Prof. Fee'!$E:$E,'FY25 S.3'!$F95,'Prof. Fee'!AF:AF)</f>
        <v>-100000</v>
      </c>
      <c r="V95" s="247">
        <f>-SUMIF('Prof. Fee'!$E:$E,'FY25 S.3'!$F95,'Prof. Fee'!AG:AG)</f>
        <v>0</v>
      </c>
      <c r="W95" s="247">
        <f>-SUMIF('Prof. Fee'!$E:$E,'FY25 S.3'!$F95,'Prof. Fee'!AH:AH)</f>
        <v>0</v>
      </c>
      <c r="X95" s="247">
        <f>-SUMIF('Prof. Fee'!$E:$E,'FY25 S.3'!$F95,'Prof. Fee'!AI:AI)</f>
        <v>0</v>
      </c>
      <c r="Y95" s="247">
        <f>-SUMIF('Prof. Fee'!$E:$E,'FY25 S.3'!$F95,'Prof. Fee'!AJ:AJ)</f>
        <v>0</v>
      </c>
      <c r="Z95" s="247">
        <f>-SUMIF('Prof. Fee'!$E:$E,'FY25 S.3'!$F95,'Prof. Fee'!AK:AK)</f>
        <v>-50000</v>
      </c>
      <c r="AA95" s="247">
        <f>-SUMIF('Prof. Fee'!$E:$E,'FY25 S.3'!$F95,'Prof. Fee'!AL:AL)</f>
        <v>0</v>
      </c>
      <c r="AB95" s="247">
        <f>-SUMIF('Prof. Fee'!$E:$E,'FY25 S.3'!$F95,'Prof. Fee'!AM:AM)</f>
        <v>-70576</v>
      </c>
      <c r="AC95" s="247">
        <f>-SUMIF('Prof. Fee'!$E:$E,'FY25 S.3'!$F95,'Prof. Fee'!AN:AN)</f>
        <v>-220576</v>
      </c>
      <c r="AD95" s="247">
        <f>-SUMIF('Prof. Fee'!$E:$E,'FY25 S.3'!$F95,'Prof. Fee'!AO:AO)</f>
        <v>-70576</v>
      </c>
      <c r="AE95" s="247">
        <f>-SUMIF('Prof. Fee'!$E:$E,'FY25 S.3'!$F95,'Prof. Fee'!AP:AP)</f>
        <v>-70576</v>
      </c>
      <c r="AF95" s="247">
        <f>-SUMIF('Prof. Fee'!$E:$E,'FY25 S.3'!$F95,'Prof. Fee'!AQ:AQ)</f>
        <v>-70576</v>
      </c>
      <c r="AG95" s="251">
        <f t="shared" si="67"/>
        <v>-370767.01535071619</v>
      </c>
      <c r="AH95" s="252"/>
    </row>
    <row r="96" spans="2:36" ht="14.1" hidden="1" customHeight="1" outlineLevel="1">
      <c r="B96" s="192">
        <v>507002</v>
      </c>
      <c r="E96" s="216"/>
      <c r="F96" s="246" t="s">
        <v>2722</v>
      </c>
      <c r="G96" s="242"/>
      <c r="H96" s="243"/>
      <c r="I96" s="247">
        <v>0</v>
      </c>
      <c r="J96" s="247">
        <v>0</v>
      </c>
      <c r="K96" s="247">
        <v>0</v>
      </c>
      <c r="L96" s="247">
        <v>0</v>
      </c>
      <c r="M96" s="247">
        <v>0</v>
      </c>
      <c r="N96" s="247">
        <v>0</v>
      </c>
      <c r="O96" s="247">
        <f>-SUMIF('Prof. Fee'!$E:$E,'FY25 S.3'!$F96,'Prof. Fee'!T:T)</f>
        <v>-389.9666666666667</v>
      </c>
      <c r="P96" s="247">
        <f>-SUMIF('Prof. Fee'!$E:$E,'FY25 S.3'!$F96,'Prof. Fee'!U:U)</f>
        <v>-389.9666666666667</v>
      </c>
      <c r="Q96" s="247">
        <f>-SUMIF('Prof. Fee'!$E:$E,'FY25 S.3'!$F96,'Prof. Fee'!V:V)</f>
        <v>-389.9666666666667</v>
      </c>
      <c r="R96" s="247">
        <f>-SUMIF('Prof. Fee'!$E:$E,'FY25 S.3'!$F96,'Prof. Fee'!W:W)</f>
        <v>-389.9666666666667</v>
      </c>
      <c r="S96" s="247">
        <f>-SUMIF('Prof. Fee'!$E:$E,'FY25 S.3'!$F96,'Prof. Fee'!X:X)</f>
        <v>-389.9666666666667</v>
      </c>
      <c r="T96" s="247">
        <f>-SUMIF('Prof. Fee'!$E:$E,'FY25 S.3'!$F96,'Prof. Fee'!Y:Y)</f>
        <v>-389.9666666666667</v>
      </c>
      <c r="U96" s="247">
        <f>-SUMIF('Prof. Fee'!$E:$E,'FY25 S.3'!$F96,'Prof. Fee'!AF:AF)</f>
        <v>0</v>
      </c>
      <c r="V96" s="247">
        <f>-SUMIF('Prof. Fee'!$E:$E,'FY25 S.3'!$F96,'Prof. Fee'!AG:AG)</f>
        <v>0</v>
      </c>
      <c r="W96" s="247">
        <f>-SUMIF('Prof. Fee'!$E:$E,'FY25 S.3'!$F96,'Prof. Fee'!AH:AH)</f>
        <v>0</v>
      </c>
      <c r="X96" s="247">
        <f>-SUMIF('Prof. Fee'!$E:$E,'FY25 S.3'!$F96,'Prof. Fee'!AI:AI)</f>
        <v>0</v>
      </c>
      <c r="Y96" s="247">
        <f>-SUMIF('Prof. Fee'!$E:$E,'FY25 S.3'!$F96,'Prof. Fee'!AJ:AJ)</f>
        <v>0</v>
      </c>
      <c r="Z96" s="247">
        <f>-SUMIF('Prof. Fee'!$E:$E,'FY25 S.3'!$F96,'Prof. Fee'!AK:AK)</f>
        <v>-661.65</v>
      </c>
      <c r="AA96" s="247">
        <f>-SUMIF('Prof. Fee'!$E:$E,'FY25 S.3'!$F96,'Prof. Fee'!AL:AL)</f>
        <v>-661.65</v>
      </c>
      <c r="AB96" s="247">
        <f>-SUMIF('Prof. Fee'!$E:$E,'FY25 S.3'!$F96,'Prof. Fee'!AM:AM)</f>
        <v>-661.65</v>
      </c>
      <c r="AC96" s="247">
        <f>-SUMIF('Prof. Fee'!$E:$E,'FY25 S.3'!$F96,'Prof. Fee'!AN:AN)</f>
        <v>-661.65</v>
      </c>
      <c r="AD96" s="247">
        <f>-SUMIF('Prof. Fee'!$E:$E,'FY25 S.3'!$F96,'Prof. Fee'!AO:AO)</f>
        <v>-661.65</v>
      </c>
      <c r="AE96" s="247">
        <f>-SUMIF('Prof. Fee'!$E:$E,'FY25 S.3'!$F96,'Prof. Fee'!AP:AP)</f>
        <v>-661.65</v>
      </c>
      <c r="AF96" s="247">
        <f>-SUMIF('Prof. Fee'!$E:$E,'FY25 S.3'!$F96,'Prof. Fee'!AQ:AQ)</f>
        <v>-661.65</v>
      </c>
      <c r="AG96" s="251">
        <f t="shared" si="67"/>
        <v>-2339.8000000000002</v>
      </c>
      <c r="AH96" s="252"/>
    </row>
    <row r="97" spans="1:36" ht="14.1" hidden="1" customHeight="1" outlineLevel="1">
      <c r="E97" s="216"/>
      <c r="F97" s="246" t="s">
        <v>2801</v>
      </c>
      <c r="G97" s="242"/>
      <c r="H97" s="243"/>
      <c r="I97" s="247">
        <v>0</v>
      </c>
      <c r="J97" s="247">
        <v>0</v>
      </c>
      <c r="K97" s="247">
        <v>0</v>
      </c>
      <c r="L97" s="247">
        <v>0</v>
      </c>
      <c r="M97" s="247">
        <v>0</v>
      </c>
      <c r="N97" s="247">
        <v>0</v>
      </c>
      <c r="O97" s="247"/>
      <c r="P97" s="247"/>
      <c r="Q97" s="247"/>
      <c r="R97" s="247"/>
      <c r="S97" s="247"/>
      <c r="T97" s="247"/>
      <c r="U97" s="247">
        <f>-SUMIF('Prof. Fee'!$E:$E,'FY25 S.3'!$F97,'Prof. Fee'!AF:AF)</f>
        <v>0</v>
      </c>
      <c r="V97" s="247">
        <f>-SUMIF('Prof. Fee'!$E:$E,'FY25 S.3'!$F97,'Prof. Fee'!AG:AG)</f>
        <v>0</v>
      </c>
      <c r="W97" s="247">
        <f>-SUMIF('Prof. Fee'!$E:$E,'FY25 S.3'!$F97,'Prof. Fee'!AH:AH)</f>
        <v>0</v>
      </c>
      <c r="X97" s="247">
        <f>-SUMIF('Prof. Fee'!$E:$E,'FY25 S.3'!$F97,'Prof. Fee'!AI:AI)</f>
        <v>0</v>
      </c>
      <c r="Y97" s="247">
        <f>-SUMIF('Prof. Fee'!$E:$E,'FY25 S.3'!$F97,'Prof. Fee'!AJ:AJ)</f>
        <v>0</v>
      </c>
      <c r="Z97" s="247">
        <f>-SUMIF('Prof. Fee'!$E:$E,'FY25 S.3'!$F97,'Prof. Fee'!AK:AK)</f>
        <v>0</v>
      </c>
      <c r="AA97" s="247">
        <f>-SUMIF('Prof. Fee'!$E:$E,'FY25 S.3'!$F97,'Prof. Fee'!AL:AL)</f>
        <v>0</v>
      </c>
      <c r="AB97" s="247">
        <f>-SUMIF('Prof. Fee'!$E:$E,'FY25 S.3'!$F97,'Prof. Fee'!AM:AM)</f>
        <v>0</v>
      </c>
      <c r="AC97" s="247">
        <f>-SUMIF('Prof. Fee'!$E:$E,'FY25 S.3'!$F97,'Prof. Fee'!AN:AN)</f>
        <v>0</v>
      </c>
      <c r="AD97" s="247">
        <f>-SUMIF('Prof. Fee'!$E:$E,'FY25 S.3'!$F97,'Prof. Fee'!AO:AO)</f>
        <v>0</v>
      </c>
      <c r="AE97" s="247">
        <f>-SUMIF('Prof. Fee'!$E:$E,'FY25 S.3'!$F97,'Prof. Fee'!AP:AP)</f>
        <v>0</v>
      </c>
      <c r="AF97" s="247">
        <f>-SUMIF('Prof. Fee'!$E:$E,'FY25 S.3'!$F97,'Prof. Fee'!AQ:AQ)</f>
        <v>0</v>
      </c>
      <c r="AG97" s="251">
        <f t="shared" si="67"/>
        <v>0</v>
      </c>
      <c r="AH97" s="252"/>
    </row>
    <row r="98" spans="1:36" collapsed="1">
      <c r="E98" s="304"/>
      <c r="F98" s="299" t="s">
        <v>2800</v>
      </c>
      <c r="G98" s="300"/>
      <c r="H98" s="243"/>
      <c r="I98" s="301">
        <f>SUBTOTAL(9,I81:I97)</f>
        <v>-55450.121019999999</v>
      </c>
      <c r="J98" s="301">
        <f t="shared" ref="J98:U98" si="68">SUBTOTAL(9,J81:J97)</f>
        <v>-90333.870957469699</v>
      </c>
      <c r="K98" s="301">
        <f t="shared" si="68"/>
        <v>-41909.148135349402</v>
      </c>
      <c r="L98" s="301">
        <f t="shared" si="68"/>
        <v>-90524.249476815603</v>
      </c>
      <c r="M98" s="301">
        <f t="shared" si="68"/>
        <v>-632506.57416452502</v>
      </c>
      <c r="N98" s="301">
        <f t="shared" si="68"/>
        <v>-108605.00013</v>
      </c>
      <c r="O98" s="301">
        <f t="shared" si="68"/>
        <v>-386963.29093333334</v>
      </c>
      <c r="P98" s="301">
        <f t="shared" si="68"/>
        <v>-72297.690933333331</v>
      </c>
      <c r="Q98" s="301">
        <f t="shared" si="68"/>
        <v>-144897.69093333336</v>
      </c>
      <c r="R98" s="301">
        <f t="shared" si="68"/>
        <v>-64897.690933333331</v>
      </c>
      <c r="S98" s="301">
        <f t="shared" si="68"/>
        <v>-64897.690933333331</v>
      </c>
      <c r="T98" s="301">
        <f t="shared" si="68"/>
        <v>-204510.85487733333</v>
      </c>
      <c r="U98" s="301">
        <f t="shared" si="68"/>
        <v>-375779.64553916664</v>
      </c>
      <c r="V98" s="301">
        <f t="shared" ref="V98:AF98" si="69">SUBTOTAL(9,V81:V97)</f>
        <v>-197184.17833333334</v>
      </c>
      <c r="W98" s="301">
        <f t="shared" si="69"/>
        <v>-80594.178333333344</v>
      </c>
      <c r="X98" s="301">
        <f t="shared" si="69"/>
        <v>-93594.178333333344</v>
      </c>
      <c r="Y98" s="301">
        <f t="shared" si="69"/>
        <v>-507345.97833333333</v>
      </c>
      <c r="Z98" s="301">
        <f t="shared" si="69"/>
        <v>-820418.30833333335</v>
      </c>
      <c r="AA98" s="301">
        <f t="shared" si="69"/>
        <v>-96775.828333333338</v>
      </c>
      <c r="AB98" s="301">
        <f t="shared" si="69"/>
        <v>-169031.82833333334</v>
      </c>
      <c r="AC98" s="301">
        <f t="shared" si="69"/>
        <v>-314831.82833333337</v>
      </c>
      <c r="AD98" s="301">
        <f t="shared" si="69"/>
        <v>-164831.82833333334</v>
      </c>
      <c r="AE98" s="301">
        <f t="shared" si="69"/>
        <v>-164831.82833333334</v>
      </c>
      <c r="AF98" s="301">
        <f t="shared" si="69"/>
        <v>-217831.82833333334</v>
      </c>
      <c r="AG98" s="302">
        <f>SUBTOTAL(9,AG83:AG97)</f>
        <v>-1957793.8734281599</v>
      </c>
      <c r="AH98" s="295"/>
    </row>
    <row r="99" spans="1:36" s="189" customFormat="1">
      <c r="A99" s="194"/>
      <c r="B99" s="194"/>
      <c r="C99" s="194"/>
      <c r="D99" s="194"/>
      <c r="E99" s="216"/>
      <c r="F99" s="308"/>
      <c r="G99" s="242"/>
      <c r="H99" s="309"/>
      <c r="I99" s="310"/>
      <c r="J99" s="310"/>
      <c r="K99" s="310"/>
      <c r="L99" s="310"/>
      <c r="M99" s="310"/>
      <c r="N99" s="310"/>
      <c r="O99" s="272"/>
      <c r="P99" s="272"/>
      <c r="Q99" s="272"/>
      <c r="R99" s="272"/>
      <c r="S99" s="272"/>
      <c r="T99" s="272"/>
      <c r="U99" s="310"/>
      <c r="V99" s="310"/>
      <c r="W99" s="310"/>
      <c r="X99" s="310"/>
      <c r="Y99" s="310"/>
      <c r="Z99" s="310"/>
      <c r="AA99" s="272"/>
      <c r="AB99" s="272"/>
      <c r="AC99" s="272"/>
      <c r="AD99" s="272"/>
      <c r="AE99" s="272"/>
      <c r="AF99" s="272"/>
      <c r="AG99" s="248"/>
      <c r="AH99" s="269"/>
    </row>
    <row r="100" spans="1:36">
      <c r="E100" s="221"/>
      <c r="F100" s="282" t="s">
        <v>2802</v>
      </c>
      <c r="G100" s="283"/>
      <c r="H100" s="243"/>
      <c r="I100" s="284"/>
      <c r="J100" s="284"/>
      <c r="K100" s="284"/>
      <c r="L100" s="284"/>
      <c r="M100" s="284"/>
      <c r="N100" s="284"/>
      <c r="O100" s="284"/>
      <c r="P100" s="284"/>
      <c r="Q100" s="284"/>
      <c r="R100" s="284"/>
      <c r="S100" s="284"/>
      <c r="T100" s="285"/>
      <c r="U100" s="284"/>
      <c r="V100" s="284"/>
      <c r="W100" s="284"/>
      <c r="X100" s="284"/>
      <c r="Y100" s="284"/>
      <c r="Z100" s="284"/>
      <c r="AA100" s="284"/>
      <c r="AB100" s="284"/>
      <c r="AC100" s="284"/>
      <c r="AD100" s="284"/>
      <c r="AE100" s="284"/>
      <c r="AF100" s="285"/>
      <c r="AG100" s="286"/>
      <c r="AH100" s="287"/>
      <c r="AI100" s="245"/>
      <c r="AJ100" s="245"/>
    </row>
    <row r="101" spans="1:36" ht="14.1" hidden="1" customHeight="1" outlineLevel="1">
      <c r="B101" s="192">
        <v>507003</v>
      </c>
      <c r="E101" s="216" t="s">
        <v>1650</v>
      </c>
      <c r="F101" s="246" t="s">
        <v>1650</v>
      </c>
      <c r="G101" s="242"/>
      <c r="H101" s="243"/>
      <c r="I101" s="247">
        <v>-1591</v>
      </c>
      <c r="J101" s="247">
        <v>-1122</v>
      </c>
      <c r="K101" s="247">
        <v>0</v>
      </c>
      <c r="L101" s="247">
        <v>0</v>
      </c>
      <c r="M101" s="247">
        <v>0</v>
      </c>
      <c r="N101" s="247">
        <v>-6924.55</v>
      </c>
      <c r="O101" s="247">
        <f>-SUMIF('Other Exp'!$F:$F,'FY25 S.3'!$F101,'Other Exp'!U:U)</f>
        <v>-2393.2000000000003</v>
      </c>
      <c r="P101" s="247">
        <f>-SUMIF('Other Exp'!$F:$F,'FY25 S.3'!$F101,'Other Exp'!V:V)</f>
        <v>-2393.2000000000003</v>
      </c>
      <c r="Q101" s="247">
        <f>-SUMIF('Other Exp'!$F:$F,'FY25 S.3'!$F101,'Other Exp'!W:W)</f>
        <v>-2393.2000000000003</v>
      </c>
      <c r="R101" s="247">
        <f>-SUMIF('Other Exp'!$F:$F,'FY25 S.3'!$F101,'Other Exp'!X:X)</f>
        <v>-2393.2000000000003</v>
      </c>
      <c r="S101" s="247">
        <f>-SUMIF('Other Exp'!$F:$F,'FY25 S.3'!$F101,'Other Exp'!Y:Y)</f>
        <v>-2393.2000000000003</v>
      </c>
      <c r="T101" s="247">
        <f>-SUMIF('Other Exp'!$F:$F,'FY25 S.3'!$F101,'Other Exp'!Z:Z)</f>
        <v>-2393.2000000000003</v>
      </c>
      <c r="U101" s="247">
        <f>-SUMIF('Other Exp'!$F:$F,'FY25 S.3'!$F101,'Other Exp'!AG:AG)</f>
        <v>-2358.3166666666666</v>
      </c>
      <c r="V101" s="247">
        <f>-SUMIF('Other Exp'!$F:$F,'FY25 S.3'!$F101,'Other Exp'!AH:AH)</f>
        <v>-2345.3333333333335</v>
      </c>
      <c r="W101" s="247">
        <f>-SUMIF('Other Exp'!$F:$F,'FY25 S.3'!$F101,'Other Exp'!AI:AI)</f>
        <v>-2345.3333333333335</v>
      </c>
      <c r="X101" s="247">
        <f>-SUMIF('Other Exp'!$F:$F,'FY25 S.3'!$F101,'Other Exp'!AJ:AJ)</f>
        <v>-2345.3333333333335</v>
      </c>
      <c r="Y101" s="247">
        <f>-SUMIF('Other Exp'!$F:$F,'FY25 S.3'!$F101,'Other Exp'!AK:AK)</f>
        <v>-2345.3333333333335</v>
      </c>
      <c r="Z101" s="247">
        <f>-SUMIF('Other Exp'!$F:$F,'FY25 S.3'!$F101,'Other Exp'!AL:AL)</f>
        <v>-2345.3333333333335</v>
      </c>
      <c r="AA101" s="247">
        <f>-SUMIF('Other Exp'!$F:$F,'FY25 S.3'!$F101,'Other Exp'!AM:AM)</f>
        <v>-2345.3333333333335</v>
      </c>
      <c r="AB101" s="247">
        <f>-SUMIF('Other Exp'!$F:$F,'FY25 S.3'!$F101,'Other Exp'!AN:AN)</f>
        <v>-2345.3333333333335</v>
      </c>
      <c r="AC101" s="247">
        <f>-SUMIF('Other Exp'!$F:$F,'FY25 S.3'!$F101,'Other Exp'!AO:AO)</f>
        <v>-2345.3333333333335</v>
      </c>
      <c r="AD101" s="247">
        <f>-SUMIF('Other Exp'!$F:$F,'FY25 S.3'!$F101,'Other Exp'!AP:AP)</f>
        <v>-2345.3333333333335</v>
      </c>
      <c r="AE101" s="247">
        <f>-SUMIF('Other Exp'!$F:$F,'FY25 S.3'!$F101,'Other Exp'!AQ:AQ)</f>
        <v>-2345.3333333333335</v>
      </c>
      <c r="AF101" s="247">
        <f>-SUMIF('Other Exp'!$F:$F,'FY25 S.3'!$F101,'Other Exp'!AR:AR)</f>
        <v>-2345.3333333333335</v>
      </c>
      <c r="AG101" s="251">
        <f t="shared" ref="AG101:AG117" si="70">SUM(I101:T101)</f>
        <v>-23996.750000000004</v>
      </c>
      <c r="AH101" s="252"/>
    </row>
    <row r="102" spans="1:36" ht="14.1" hidden="1" customHeight="1" outlineLevel="1">
      <c r="E102" s="216"/>
      <c r="F102" s="246" t="s">
        <v>2803</v>
      </c>
      <c r="G102" s="242"/>
      <c r="H102" s="243"/>
      <c r="I102" s="247">
        <v>-7107.1713245999999</v>
      </c>
      <c r="J102" s="247">
        <v>-1506.0362832604401</v>
      </c>
      <c r="K102" s="247">
        <v>0</v>
      </c>
      <c r="L102" s="247">
        <v>-1398.3614711099001</v>
      </c>
      <c r="M102" s="247">
        <v>-2789.6713183988199</v>
      </c>
      <c r="N102" s="247">
        <v>-3168.1802136000001</v>
      </c>
      <c r="O102" s="247">
        <f>-SUMIF('Other Exp'!$F:$F,'FY25 S.3'!$F102,'Other Exp'!U:U)</f>
        <v>-1965.432</v>
      </c>
      <c r="P102" s="247">
        <f>-SUMIF('Other Exp'!$F:$F,'FY25 S.3'!$F102,'Other Exp'!V:V)</f>
        <v>-1965.432</v>
      </c>
      <c r="Q102" s="247">
        <f>-SUMIF('Other Exp'!$F:$F,'FY25 S.3'!$F102,'Other Exp'!W:W)</f>
        <v>-1965.432</v>
      </c>
      <c r="R102" s="247">
        <f>-SUMIF('Other Exp'!$F:$F,'FY25 S.3'!$F102,'Other Exp'!X:X)</f>
        <v>-1965.432</v>
      </c>
      <c r="S102" s="247">
        <f>-SUMIF('Other Exp'!$F:$F,'FY25 S.3'!$F102,'Other Exp'!Y:Y)</f>
        <v>-1965.432</v>
      </c>
      <c r="T102" s="247">
        <f>-SUMIF('Other Exp'!$F:$F,'FY25 S.3'!$F102,'Other Exp'!Z:Z)</f>
        <v>-1965.432</v>
      </c>
      <c r="U102" s="247">
        <f>-SUMIF('Other Exp'!$F:$F,'FY25 S.3'!$F102,'Other Exp'!AG:AG)</f>
        <v>-1868.9789999999998</v>
      </c>
      <c r="V102" s="247">
        <f>-SUMIF('Other Exp'!$F:$F,'FY25 S.3'!$F102,'Other Exp'!AH:AH)</f>
        <v>-1852.62</v>
      </c>
      <c r="W102" s="247">
        <f>-SUMIF('Other Exp'!$F:$F,'FY25 S.3'!$F102,'Other Exp'!AI:AI)</f>
        <v>-1852.62</v>
      </c>
      <c r="X102" s="247">
        <f>-SUMIF('Other Exp'!$F:$F,'FY25 S.3'!$F102,'Other Exp'!AJ:AJ)</f>
        <v>-1852.62</v>
      </c>
      <c r="Y102" s="247">
        <f>-SUMIF('Other Exp'!$F:$F,'FY25 S.3'!$F102,'Other Exp'!AK:AK)</f>
        <v>-1852.62</v>
      </c>
      <c r="Z102" s="247">
        <f>-SUMIF('Other Exp'!$F:$F,'FY25 S.3'!$F102,'Other Exp'!AL:AL)</f>
        <v>-1852.62</v>
      </c>
      <c r="AA102" s="247">
        <f>-SUMIF('Other Exp'!$F:$F,'FY25 S.3'!$F102,'Other Exp'!AM:AM)</f>
        <v>-1852.62</v>
      </c>
      <c r="AB102" s="247">
        <f>-SUMIF('Other Exp'!$F:$F,'FY25 S.3'!$F102,'Other Exp'!AN:AN)</f>
        <v>-1852.62</v>
      </c>
      <c r="AC102" s="247">
        <f>-SUMIF('Other Exp'!$F:$F,'FY25 S.3'!$F102,'Other Exp'!AO:AO)</f>
        <v>-1852.62</v>
      </c>
      <c r="AD102" s="247">
        <f>-SUMIF('Other Exp'!$F:$F,'FY25 S.3'!$F102,'Other Exp'!AP:AP)</f>
        <v>-1852.62</v>
      </c>
      <c r="AE102" s="247">
        <f>-SUMIF('Other Exp'!$F:$F,'FY25 S.3'!$F102,'Other Exp'!AQ:AQ)</f>
        <v>-1852.62</v>
      </c>
      <c r="AF102" s="247">
        <f>-SUMIF('Other Exp'!$F:$F,'FY25 S.3'!$F102,'Other Exp'!AR:AR)</f>
        <v>-1852.62</v>
      </c>
      <c r="AG102" s="251">
        <f t="shared" ref="AG102" si="71">SUM(I102:T102)</f>
        <v>-27762.012610969163</v>
      </c>
      <c r="AH102" s="252"/>
    </row>
    <row r="103" spans="1:36" ht="14.1" hidden="1" customHeight="1" outlineLevel="1">
      <c r="E103" s="216" t="s">
        <v>2920</v>
      </c>
      <c r="F103" s="246" t="s">
        <v>2545</v>
      </c>
      <c r="G103" s="242"/>
      <c r="H103" s="243"/>
      <c r="I103" s="247">
        <v>0</v>
      </c>
      <c r="J103" s="247">
        <v>0</v>
      </c>
      <c r="K103" s="247">
        <v>0</v>
      </c>
      <c r="L103" s="247">
        <v>0</v>
      </c>
      <c r="M103" s="247">
        <v>0</v>
      </c>
      <c r="N103" s="247">
        <v>0</v>
      </c>
      <c r="O103" s="247">
        <f>-SUMIF('Other Exp'!$F:$F,'FY25 S.3'!$F103,'Other Exp'!U:U)</f>
        <v>0</v>
      </c>
      <c r="P103" s="247">
        <f>-SUMIF('Other Exp'!$F:$F,'FY25 S.3'!$F103,'Other Exp'!V:V)</f>
        <v>0</v>
      </c>
      <c r="Q103" s="247">
        <f>-SUMIF('Other Exp'!$F:$F,'FY25 S.3'!$F103,'Other Exp'!W:W)</f>
        <v>-2161.9751999999999</v>
      </c>
      <c r="R103" s="247">
        <f>-SUMIF('Other Exp'!$F:$F,'FY25 S.3'!$F103,'Other Exp'!X:X)</f>
        <v>-8647.9007999999994</v>
      </c>
      <c r="S103" s="247">
        <f>-SUMIF('Other Exp'!$F:$F,'FY25 S.3'!$F103,'Other Exp'!Y:Y)</f>
        <v>0</v>
      </c>
      <c r="T103" s="247">
        <f>-SUMIF('Other Exp'!$F:$F,'FY25 S.3'!$F103,'Other Exp'!Z:Z)</f>
        <v>-5000</v>
      </c>
      <c r="U103" s="247">
        <f>-SUMIF('Other Exp'!$F:$F,'FY25 S.3'!$F103,'Other Exp'!AG:AG)</f>
        <v>-833.33333333333337</v>
      </c>
      <c r="V103" s="247">
        <f>-SUMIF('Other Exp'!$F:$F,'FY25 S.3'!$F103,'Other Exp'!AH:AH)</f>
        <v>-833.33333333333337</v>
      </c>
      <c r="W103" s="247">
        <f>-SUMIF('Other Exp'!$F:$F,'FY25 S.3'!$F103,'Other Exp'!AI:AI)</f>
        <v>-833.33333333333337</v>
      </c>
      <c r="X103" s="247">
        <f>-SUMIF('Other Exp'!$F:$F,'FY25 S.3'!$F103,'Other Exp'!AJ:AJ)</f>
        <v>-833.33333333333337</v>
      </c>
      <c r="Y103" s="247">
        <f>-SUMIF('Other Exp'!$F:$F,'FY25 S.3'!$F103,'Other Exp'!AK:AK)</f>
        <v>-833.33333333333337</v>
      </c>
      <c r="Z103" s="247">
        <f>-SUMIF('Other Exp'!$F:$F,'FY25 S.3'!$F103,'Other Exp'!AL:AL)</f>
        <v>-833.33333333333337</v>
      </c>
      <c r="AA103" s="247">
        <f>-SUMIF('Other Exp'!$F:$F,'FY25 S.3'!$F103,'Other Exp'!AM:AM)</f>
        <v>0</v>
      </c>
      <c r="AB103" s="247">
        <f>-SUMIF('Other Exp'!$F:$F,'FY25 S.3'!$F103,'Other Exp'!AN:AN)</f>
        <v>0</v>
      </c>
      <c r="AC103" s="247">
        <f>-SUMIF('Other Exp'!$F:$F,'FY25 S.3'!$F103,'Other Exp'!AO:AO)</f>
        <v>-2037.8820000000001</v>
      </c>
      <c r="AD103" s="247">
        <f>-SUMIF('Other Exp'!$F:$F,'FY25 S.3'!$F103,'Other Exp'!AP:AP)</f>
        <v>-8151.5280000000002</v>
      </c>
      <c r="AE103" s="247">
        <f>-SUMIF('Other Exp'!$F:$F,'FY25 S.3'!$F103,'Other Exp'!AQ:AQ)</f>
        <v>0</v>
      </c>
      <c r="AF103" s="247">
        <f>-SUMIF('Other Exp'!$F:$F,'FY25 S.3'!$F103,'Other Exp'!AR:AR)</f>
        <v>0</v>
      </c>
      <c r="AG103" s="251">
        <f t="shared" si="70"/>
        <v>-15809.876</v>
      </c>
      <c r="AH103" s="252"/>
    </row>
    <row r="104" spans="1:36" ht="14.1" hidden="1" customHeight="1" outlineLevel="1">
      <c r="B104" s="192">
        <v>507010</v>
      </c>
      <c r="E104" s="216" t="s">
        <v>2920</v>
      </c>
      <c r="F104" s="246" t="s">
        <v>2804</v>
      </c>
      <c r="G104" s="242"/>
      <c r="H104" s="243"/>
      <c r="I104" s="247">
        <v>-601.31469200000004</v>
      </c>
      <c r="J104" s="247">
        <v>-2156.9247187906799</v>
      </c>
      <c r="K104" s="247">
        <v>169.14400033622599</v>
      </c>
      <c r="L104" s="247">
        <v>-684.68937959252696</v>
      </c>
      <c r="M104" s="247">
        <v>-340.30228424531703</v>
      </c>
      <c r="N104" s="247">
        <v>-455.639478</v>
      </c>
      <c r="O104" s="247">
        <f>-SUMIF('Other Exp'!$F:$F,'FY25 S.3'!$F104,'Other Exp'!U:U)</f>
        <v>-795.7965714285715</v>
      </c>
      <c r="P104" s="247">
        <f>-SUMIF('Other Exp'!$F:$F,'FY25 S.3'!$F104,'Other Exp'!V:V)</f>
        <v>-795.7965714285715</v>
      </c>
      <c r="Q104" s="247">
        <f>-SUMIF('Other Exp'!$F:$F,'FY25 S.3'!$F104,'Other Exp'!W:W)</f>
        <v>-795.7965714285715</v>
      </c>
      <c r="R104" s="247">
        <f>-SUMIF('Other Exp'!$F:$F,'FY25 S.3'!$F104,'Other Exp'!X:X)</f>
        <v>-795.7965714285715</v>
      </c>
      <c r="S104" s="247">
        <f>-SUMIF('Other Exp'!$F:$F,'FY25 S.3'!$F104,'Other Exp'!Y:Y)</f>
        <v>-795.7965714285715</v>
      </c>
      <c r="T104" s="247">
        <f>-SUMIF('Other Exp'!$F:$F,'FY25 S.3'!$F104,'Other Exp'!Z:Z)</f>
        <v>-795.7965714285715</v>
      </c>
      <c r="U104" s="247">
        <f>-SUMIF('Other Exp'!$F:$F,'FY25 S.3'!$F104,'Other Exp'!AG:AG)</f>
        <v>-855.99600000000009</v>
      </c>
      <c r="V104" s="247">
        <f>-SUMIF('Other Exp'!$F:$F,'FY25 S.3'!$F104,'Other Exp'!AH:AH)</f>
        <v>-852.88000000000011</v>
      </c>
      <c r="W104" s="247">
        <f>-SUMIF('Other Exp'!$F:$F,'FY25 S.3'!$F104,'Other Exp'!AI:AI)</f>
        <v>-852.88000000000011</v>
      </c>
      <c r="X104" s="247">
        <f>-SUMIF('Other Exp'!$F:$F,'FY25 S.3'!$F104,'Other Exp'!AJ:AJ)</f>
        <v>-852.88000000000011</v>
      </c>
      <c r="Y104" s="247">
        <f>-SUMIF('Other Exp'!$F:$F,'FY25 S.3'!$F104,'Other Exp'!AK:AK)</f>
        <v>-852.88000000000011</v>
      </c>
      <c r="Z104" s="247">
        <f>-SUMIF('Other Exp'!$F:$F,'FY25 S.3'!$F104,'Other Exp'!AL:AL)</f>
        <v>-852.88000000000011</v>
      </c>
      <c r="AA104" s="247">
        <f>-SUMIF('Other Exp'!$F:$F,'FY25 S.3'!$F104,'Other Exp'!AM:AM)</f>
        <v>-852.88000000000011</v>
      </c>
      <c r="AB104" s="247">
        <f>-SUMIF('Other Exp'!$F:$F,'FY25 S.3'!$F104,'Other Exp'!AN:AN)</f>
        <v>-852.88000000000011</v>
      </c>
      <c r="AC104" s="247">
        <f>-SUMIF('Other Exp'!$F:$F,'FY25 S.3'!$F104,'Other Exp'!AO:AO)</f>
        <v>-852.88000000000011</v>
      </c>
      <c r="AD104" s="247">
        <f>-SUMIF('Other Exp'!$F:$F,'FY25 S.3'!$F104,'Other Exp'!AP:AP)</f>
        <v>-852.88000000000011</v>
      </c>
      <c r="AE104" s="247">
        <f>-SUMIF('Other Exp'!$F:$F,'FY25 S.3'!$F104,'Other Exp'!AQ:AQ)</f>
        <v>-852.88000000000011</v>
      </c>
      <c r="AF104" s="247">
        <f>-SUMIF('Other Exp'!$F:$F,'FY25 S.3'!$F104,'Other Exp'!AR:AR)</f>
        <v>-852.88000000000011</v>
      </c>
      <c r="AG104" s="251">
        <f t="shared" si="70"/>
        <v>-8844.5059808637252</v>
      </c>
      <c r="AH104" s="252"/>
    </row>
    <row r="105" spans="1:36" ht="14.1" hidden="1" customHeight="1" outlineLevel="1">
      <c r="B105" s="192">
        <v>507001</v>
      </c>
      <c r="E105" s="216" t="s">
        <v>2920</v>
      </c>
      <c r="F105" s="246" t="s">
        <v>1659</v>
      </c>
      <c r="G105" s="242"/>
      <c r="H105" s="243"/>
      <c r="I105" s="247">
        <v>-751.11785999999995</v>
      </c>
      <c r="J105" s="247">
        <v>-945.02841595564303</v>
      </c>
      <c r="K105" s="247">
        <v>-1429.7859084159099</v>
      </c>
      <c r="L105" s="247">
        <v>-950.823994219165</v>
      </c>
      <c r="M105" s="247">
        <v>-1316.67719427102</v>
      </c>
      <c r="N105" s="247">
        <v>-719.26399000000004</v>
      </c>
      <c r="O105" s="247">
        <f>-SUMIF('Other Exp'!$F:$F,'FY25 S.3'!$F105,'Other Exp'!U:U)</f>
        <v>-1016.3579999999999</v>
      </c>
      <c r="P105" s="247">
        <f>-SUMIF('Other Exp'!$F:$F,'FY25 S.3'!$F105,'Other Exp'!V:V)</f>
        <v>-1016.3579999999999</v>
      </c>
      <c r="Q105" s="247">
        <f>-SUMIF('Other Exp'!$F:$F,'FY25 S.3'!$F105,'Other Exp'!W:W)</f>
        <v>-1016.3579999999999</v>
      </c>
      <c r="R105" s="247">
        <f>-SUMIF('Other Exp'!$F:$F,'FY25 S.3'!$F105,'Other Exp'!X:X)</f>
        <v>-1016.3579999999999</v>
      </c>
      <c r="S105" s="247">
        <f>-SUMIF('Other Exp'!$F:$F,'FY25 S.3'!$F105,'Other Exp'!Y:Y)</f>
        <v>-1016.3579999999999</v>
      </c>
      <c r="T105" s="247">
        <f>-SUMIF('Other Exp'!$F:$F,'FY25 S.3'!$F105,'Other Exp'!Z:Z)</f>
        <v>-1016.3579999999999</v>
      </c>
      <c r="U105" s="247">
        <f>-SUMIF('Other Exp'!$F:$F,'FY25 S.3'!$F105,'Other Exp'!AG:AG)</f>
        <v>-1097.2447499999998</v>
      </c>
      <c r="V105" s="247">
        <f>-SUMIF('Other Exp'!$F:$F,'FY25 S.3'!$F105,'Other Exp'!AH:AH)</f>
        <v>-1093.155</v>
      </c>
      <c r="W105" s="247">
        <f>-SUMIF('Other Exp'!$F:$F,'FY25 S.3'!$F105,'Other Exp'!AI:AI)</f>
        <v>-1093.155</v>
      </c>
      <c r="X105" s="247">
        <f>-SUMIF('Other Exp'!$F:$F,'FY25 S.3'!$F105,'Other Exp'!AJ:AJ)</f>
        <v>-1093.155</v>
      </c>
      <c r="Y105" s="247">
        <f>-SUMIF('Other Exp'!$F:$F,'FY25 S.3'!$F105,'Other Exp'!AK:AK)</f>
        <v>-1093.155</v>
      </c>
      <c r="Z105" s="247">
        <f>-SUMIF('Other Exp'!$F:$F,'FY25 S.3'!$F105,'Other Exp'!AL:AL)</f>
        <v>-1093.155</v>
      </c>
      <c r="AA105" s="247">
        <f>-SUMIF('Other Exp'!$F:$F,'FY25 S.3'!$F105,'Other Exp'!AM:AM)</f>
        <v>-1093.155</v>
      </c>
      <c r="AB105" s="247">
        <f>-SUMIF('Other Exp'!$F:$F,'FY25 S.3'!$F105,'Other Exp'!AN:AN)</f>
        <v>-1093.155</v>
      </c>
      <c r="AC105" s="247">
        <f>-SUMIF('Other Exp'!$F:$F,'FY25 S.3'!$F105,'Other Exp'!AO:AO)</f>
        <v>-1093.155</v>
      </c>
      <c r="AD105" s="247">
        <f>-SUMIF('Other Exp'!$F:$F,'FY25 S.3'!$F105,'Other Exp'!AP:AP)</f>
        <v>-1093.155</v>
      </c>
      <c r="AE105" s="247">
        <f>-SUMIF('Other Exp'!$F:$F,'FY25 S.3'!$F105,'Other Exp'!AQ:AQ)</f>
        <v>-1093.155</v>
      </c>
      <c r="AF105" s="247">
        <f>-SUMIF('Other Exp'!$F:$F,'FY25 S.3'!$F105,'Other Exp'!AR:AR)</f>
        <v>-1093.155</v>
      </c>
      <c r="AG105" s="251">
        <f t="shared" si="70"/>
        <v>-12210.845362861739</v>
      </c>
      <c r="AH105" s="252"/>
    </row>
    <row r="106" spans="1:36" ht="14.1" hidden="1" customHeight="1" outlineLevel="1">
      <c r="B106" s="192">
        <v>507040</v>
      </c>
      <c r="E106" s="216" t="s">
        <v>2920</v>
      </c>
      <c r="F106" s="246" t="s">
        <v>2805</v>
      </c>
      <c r="G106" s="242"/>
      <c r="H106" s="243"/>
      <c r="I106" s="247">
        <v>0</v>
      </c>
      <c r="J106" s="247">
        <v>-10000</v>
      </c>
      <c r="K106" s="247">
        <v>0</v>
      </c>
      <c r="L106" s="247">
        <v>0</v>
      </c>
      <c r="M106" s="247">
        <v>0</v>
      </c>
      <c r="N106" s="247">
        <v>0</v>
      </c>
      <c r="O106" s="247">
        <f>-SUMIF('Other Exp'!$F:$F,'FY25 S.3'!$F106,'Other Exp'!U:U)</f>
        <v>0</v>
      </c>
      <c r="P106" s="247">
        <f>-SUMIF('Other Exp'!$F:$F,'FY25 S.3'!$F106,'Other Exp'!V:V)</f>
        <v>0</v>
      </c>
      <c r="Q106" s="247">
        <f>-SUMIF('Other Exp'!$F:$F,'FY25 S.3'!$F106,'Other Exp'!W:W)</f>
        <v>-7500</v>
      </c>
      <c r="R106" s="247">
        <f>-SUMIF('Other Exp'!$F:$F,'FY25 S.3'!$F106,'Other Exp'!X:X)</f>
        <v>-7500</v>
      </c>
      <c r="S106" s="247">
        <f>-SUMIF('Other Exp'!$F:$F,'FY25 S.3'!$F106,'Other Exp'!Y:Y)</f>
        <v>0</v>
      </c>
      <c r="T106" s="247">
        <f>-SUMIF('Other Exp'!$F:$F,'FY25 S.3'!$F106,'Other Exp'!Z:Z)</f>
        <v>0</v>
      </c>
      <c r="U106" s="247">
        <f>-SUMIF('Other Exp'!$F:$F,'FY25 S.3'!$F106,'Other Exp'!AG:AG)</f>
        <v>0</v>
      </c>
      <c r="V106" s="247">
        <f>-SUMIF('Other Exp'!$F:$F,'FY25 S.3'!$F106,'Other Exp'!AH:AH)</f>
        <v>-10000</v>
      </c>
      <c r="W106" s="247">
        <f>-SUMIF('Other Exp'!$F:$F,'FY25 S.3'!$F106,'Other Exp'!AI:AI)</f>
        <v>0</v>
      </c>
      <c r="X106" s="247">
        <f>-SUMIF('Other Exp'!$F:$F,'FY25 S.3'!$F106,'Other Exp'!AJ:AJ)</f>
        <v>0</v>
      </c>
      <c r="Y106" s="247">
        <f>-SUMIF('Other Exp'!$F:$F,'FY25 S.3'!$F106,'Other Exp'!AK:AK)</f>
        <v>0</v>
      </c>
      <c r="Z106" s="247">
        <f>-SUMIF('Other Exp'!$F:$F,'FY25 S.3'!$F106,'Other Exp'!AL:AL)</f>
        <v>0</v>
      </c>
      <c r="AA106" s="247">
        <f>-SUMIF('Other Exp'!$F:$F,'FY25 S.3'!$F106,'Other Exp'!AM:AM)</f>
        <v>0</v>
      </c>
      <c r="AB106" s="247">
        <f>-SUMIF('Other Exp'!$F:$F,'FY25 S.3'!$F106,'Other Exp'!AN:AN)</f>
        <v>0</v>
      </c>
      <c r="AC106" s="247">
        <f>-SUMIF('Other Exp'!$F:$F,'FY25 S.3'!$F106,'Other Exp'!AO:AO)</f>
        <v>0</v>
      </c>
      <c r="AD106" s="247">
        <f>-SUMIF('Other Exp'!$F:$F,'FY25 S.3'!$F106,'Other Exp'!AP:AP)</f>
        <v>-10000</v>
      </c>
      <c r="AE106" s="247">
        <f>-SUMIF('Other Exp'!$F:$F,'FY25 S.3'!$F106,'Other Exp'!AQ:AQ)</f>
        <v>0</v>
      </c>
      <c r="AF106" s="247">
        <f>-SUMIF('Other Exp'!$F:$F,'FY25 S.3'!$F106,'Other Exp'!AR:AR)</f>
        <v>0</v>
      </c>
      <c r="AG106" s="251">
        <f t="shared" si="70"/>
        <v>-25000</v>
      </c>
      <c r="AH106" s="252"/>
    </row>
    <row r="107" spans="1:36" ht="14.1" hidden="1" customHeight="1" outlineLevel="1">
      <c r="E107" s="216"/>
      <c r="F107" s="246" t="s">
        <v>2806</v>
      </c>
      <c r="G107" s="242"/>
      <c r="H107" s="243"/>
      <c r="I107" s="247">
        <v>-2791.62</v>
      </c>
      <c r="J107" s="247">
        <v>-5432.1866424403597</v>
      </c>
      <c r="K107" s="247">
        <v>-2801.8791269344601</v>
      </c>
      <c r="L107" s="247">
        <v>-2815.3417355643401</v>
      </c>
      <c r="M107" s="247">
        <v>-2754.31509364671</v>
      </c>
      <c r="N107" s="247">
        <v>-2740.83</v>
      </c>
      <c r="O107" s="247">
        <f>-SUMIF('Other Exp'!$F:$F,'FY25 S.3'!$F107,'Other Exp'!U:U)</f>
        <v>-2948.1480000000001</v>
      </c>
      <c r="P107" s="247">
        <f>-SUMIF('Other Exp'!$F:$F,'FY25 S.3'!$F107,'Other Exp'!V:V)</f>
        <v>-2948.1480000000001</v>
      </c>
      <c r="Q107" s="247">
        <f>-SUMIF('Other Exp'!$F:$F,'FY25 S.3'!$F107,'Other Exp'!W:W)</f>
        <v>-2948.1480000000001</v>
      </c>
      <c r="R107" s="247">
        <f>-SUMIF('Other Exp'!$F:$F,'FY25 S.3'!$F107,'Other Exp'!X:X)</f>
        <v>-2948.1480000000001</v>
      </c>
      <c r="S107" s="247">
        <f>-SUMIF('Other Exp'!$F:$F,'FY25 S.3'!$F107,'Other Exp'!Y:Y)</f>
        <v>-2948.1480000000001</v>
      </c>
      <c r="T107" s="247">
        <f>-SUMIF('Other Exp'!$F:$F,'FY25 S.3'!$F107,'Other Exp'!Z:Z)</f>
        <v>-2948.1480000000001</v>
      </c>
      <c r="U107" s="247">
        <f>-SUMIF('Other Exp'!$F:$F,'FY25 S.3'!$F107,'Other Exp'!AG:AG)</f>
        <v>-2803.4684999999999</v>
      </c>
      <c r="V107" s="247">
        <f>-SUMIF('Other Exp'!$F:$F,'FY25 S.3'!$F107,'Other Exp'!AH:AH)</f>
        <v>-2778.93</v>
      </c>
      <c r="W107" s="247">
        <f>-SUMIF('Other Exp'!$F:$F,'FY25 S.3'!$F107,'Other Exp'!AI:AI)</f>
        <v>-2778.93</v>
      </c>
      <c r="X107" s="247">
        <f>-SUMIF('Other Exp'!$F:$F,'FY25 S.3'!$F107,'Other Exp'!AJ:AJ)</f>
        <v>-2778.93</v>
      </c>
      <c r="Y107" s="247">
        <f>-SUMIF('Other Exp'!$F:$F,'FY25 S.3'!$F107,'Other Exp'!AK:AK)</f>
        <v>-2778.93</v>
      </c>
      <c r="Z107" s="247">
        <f>-SUMIF('Other Exp'!$F:$F,'FY25 S.3'!$F107,'Other Exp'!AL:AL)</f>
        <v>-2778.93</v>
      </c>
      <c r="AA107" s="247">
        <f>-SUMIF('Other Exp'!$F:$F,'FY25 S.3'!$F107,'Other Exp'!AM:AM)</f>
        <v>-2778.93</v>
      </c>
      <c r="AB107" s="247">
        <f>-SUMIF('Other Exp'!$F:$F,'FY25 S.3'!$F107,'Other Exp'!AN:AN)</f>
        <v>-2778.93</v>
      </c>
      <c r="AC107" s="247">
        <f>-SUMIF('Other Exp'!$F:$F,'FY25 S.3'!$F107,'Other Exp'!AO:AO)</f>
        <v>-2778.93</v>
      </c>
      <c r="AD107" s="247">
        <f>-SUMIF('Other Exp'!$F:$F,'FY25 S.3'!$F107,'Other Exp'!AP:AP)</f>
        <v>-2778.93</v>
      </c>
      <c r="AE107" s="247">
        <f>-SUMIF('Other Exp'!$F:$F,'FY25 S.3'!$F107,'Other Exp'!AQ:AQ)</f>
        <v>-2778.93</v>
      </c>
      <c r="AF107" s="247">
        <f>-SUMIF('Other Exp'!$F:$F,'FY25 S.3'!$F107,'Other Exp'!AR:AR)</f>
        <v>-2778.93</v>
      </c>
      <c r="AG107" s="251">
        <f t="shared" si="70"/>
        <v>-37025.060598585878</v>
      </c>
      <c r="AH107" s="252"/>
    </row>
    <row r="108" spans="1:36" ht="14.1" hidden="1" customHeight="1" outlineLevel="1">
      <c r="E108" s="216"/>
      <c r="F108" s="246" t="s">
        <v>2807</v>
      </c>
      <c r="G108" s="242"/>
      <c r="H108" s="243"/>
      <c r="I108" s="247">
        <v>0</v>
      </c>
      <c r="J108" s="247">
        <v>0</v>
      </c>
      <c r="K108" s="247">
        <v>0</v>
      </c>
      <c r="L108" s="247">
        <v>0</v>
      </c>
      <c r="M108" s="247">
        <v>0</v>
      </c>
      <c r="N108" s="247">
        <v>0</v>
      </c>
      <c r="O108" s="247">
        <f>-SUMIF('Other Exp'!$F:$F,'FY25 S.3'!$F108,'Other Exp'!U:U)</f>
        <v>0</v>
      </c>
      <c r="P108" s="247">
        <f>-SUMIF('Other Exp'!$F:$F,'FY25 S.3'!$F108,'Other Exp'!V:V)</f>
        <v>0</v>
      </c>
      <c r="Q108" s="247">
        <f>-SUMIF('Other Exp'!$F:$F,'FY25 S.3'!$F108,'Other Exp'!W:W)</f>
        <v>0</v>
      </c>
      <c r="R108" s="247">
        <f>-SUMIF('Other Exp'!$F:$F,'FY25 S.3'!$F108,'Other Exp'!X:X)</f>
        <v>0</v>
      </c>
      <c r="S108" s="247">
        <f>-SUMIF('Other Exp'!$F:$F,'FY25 S.3'!$F108,'Other Exp'!Y:Y)</f>
        <v>0</v>
      </c>
      <c r="T108" s="247">
        <f>-SUMIF('Other Exp'!$F:$F,'FY25 S.3'!$F108,'Other Exp'!Z:Z)</f>
        <v>0</v>
      </c>
      <c r="U108" s="247">
        <f>-SUMIF('Other Exp'!$F:$F,'FY25 S.3'!$F108,'Other Exp'!AG:AG)</f>
        <v>0</v>
      </c>
      <c r="V108" s="247">
        <f>-SUMIF('Other Exp'!$F:$F,'FY25 S.3'!$F108,'Other Exp'!AH:AH)</f>
        <v>0</v>
      </c>
      <c r="W108" s="247">
        <f>-SUMIF('Other Exp'!$F:$F,'FY25 S.3'!$F108,'Other Exp'!AI:AI)</f>
        <v>0</v>
      </c>
      <c r="X108" s="247">
        <f>-SUMIF('Other Exp'!$F:$F,'FY25 S.3'!$F108,'Other Exp'!AJ:AJ)</f>
        <v>0</v>
      </c>
      <c r="Y108" s="247">
        <f>-SUMIF('Other Exp'!$F:$F,'FY25 S.3'!$F108,'Other Exp'!AK:AK)</f>
        <v>0</v>
      </c>
      <c r="Z108" s="247">
        <f>-SUMIF('Other Exp'!$F:$F,'FY25 S.3'!$F108,'Other Exp'!AL:AL)</f>
        <v>0</v>
      </c>
      <c r="AA108" s="247">
        <f>-SUMIF('Other Exp'!$F:$F,'FY25 S.3'!$F108,'Other Exp'!AM:AM)</f>
        <v>0</v>
      </c>
      <c r="AB108" s="247">
        <f>-SUMIF('Other Exp'!$F:$F,'FY25 S.3'!$F108,'Other Exp'!AN:AN)</f>
        <v>0</v>
      </c>
      <c r="AC108" s="247">
        <f>-SUMIF('Other Exp'!$F:$F,'FY25 S.3'!$F108,'Other Exp'!AO:AO)</f>
        <v>0</v>
      </c>
      <c r="AD108" s="247">
        <f>-SUMIF('Other Exp'!$F:$F,'FY25 S.3'!$F108,'Other Exp'!AP:AP)</f>
        <v>0</v>
      </c>
      <c r="AE108" s="247">
        <f>-SUMIF('Other Exp'!$F:$F,'FY25 S.3'!$F108,'Other Exp'!AQ:AQ)</f>
        <v>0</v>
      </c>
      <c r="AF108" s="247">
        <f>-SUMIF('Other Exp'!$F:$F,'FY25 S.3'!$F108,'Other Exp'!AR:AR)</f>
        <v>0</v>
      </c>
      <c r="AG108" s="251">
        <f t="shared" si="70"/>
        <v>0</v>
      </c>
      <c r="AH108" s="252"/>
    </row>
    <row r="109" spans="1:36" ht="14.1" hidden="1" customHeight="1" outlineLevel="1">
      <c r="B109" s="192">
        <v>507030</v>
      </c>
      <c r="E109" s="216" t="s">
        <v>2916</v>
      </c>
      <c r="F109" s="246" t="s">
        <v>2808</v>
      </c>
      <c r="G109" s="242"/>
      <c r="H109" s="243"/>
      <c r="I109" s="247">
        <v>0</v>
      </c>
      <c r="J109" s="247">
        <v>0</v>
      </c>
      <c r="K109" s="247">
        <v>0</v>
      </c>
      <c r="L109" s="247">
        <v>0</v>
      </c>
      <c r="M109" s="247">
        <v>-53100.4039662137</v>
      </c>
      <c r="N109" s="247">
        <v>0</v>
      </c>
      <c r="O109" s="247">
        <f>-SUMIF('Other Exp'!$F:$F,'FY25 S.3'!$F109,'Other Exp'!U:U)</f>
        <v>0</v>
      </c>
      <c r="P109" s="247">
        <f>-SUMIF('Other Exp'!$F:$F,'FY25 S.3'!$F109,'Other Exp'!V:V)</f>
        <v>-4741.6046999999999</v>
      </c>
      <c r="Q109" s="247">
        <f>-SUMIF('Other Exp'!$F:$F,'FY25 S.3'!$F109,'Other Exp'!W:W)</f>
        <v>0</v>
      </c>
      <c r="R109" s="247">
        <f>-SUMIF('Other Exp'!$F:$F,'FY25 S.3'!$F109,'Other Exp'!X:X)</f>
        <v>0</v>
      </c>
      <c r="S109" s="247">
        <f>-SUMIF('Other Exp'!$F:$F,'FY25 S.3'!$F109,'Other Exp'!Y:Y)</f>
        <v>0</v>
      </c>
      <c r="T109" s="247">
        <f>-SUMIF('Other Exp'!$F:$F,'FY25 S.3'!$F109,'Other Exp'!Z:Z)</f>
        <v>0</v>
      </c>
      <c r="U109" s="247">
        <f>-SUMIF('Other Exp'!$F:$F,'FY25 S.3'!$F109,'Other Exp'!AG:AG)</f>
        <v>-5127.6217606250002</v>
      </c>
      <c r="V109" s="247">
        <f>-SUMIF('Other Exp'!$F:$F,'FY25 S.3'!$F109,'Other Exp'!AH:AH)</f>
        <v>-5082.7401625000002</v>
      </c>
      <c r="W109" s="247">
        <f>-SUMIF('Other Exp'!$F:$F,'FY25 S.3'!$F109,'Other Exp'!AI:AI)</f>
        <v>-5082.7401625000002</v>
      </c>
      <c r="X109" s="247">
        <f>-SUMIF('Other Exp'!$F:$F,'FY25 S.3'!$F109,'Other Exp'!AJ:AJ)</f>
        <v>-5082.7401625000002</v>
      </c>
      <c r="Y109" s="247">
        <f>-SUMIF('Other Exp'!$F:$F,'FY25 S.3'!$F109,'Other Exp'!AK:AK)</f>
        <v>-5082.7401625000002</v>
      </c>
      <c r="Z109" s="247">
        <f>-SUMIF('Other Exp'!$F:$F,'FY25 S.3'!$F109,'Other Exp'!AL:AL)</f>
        <v>-5082.7401625000002</v>
      </c>
      <c r="AA109" s="247">
        <f>-SUMIF('Other Exp'!$F:$F,'FY25 S.3'!$F109,'Other Exp'!AM:AM)</f>
        <v>-5082.7401625000002</v>
      </c>
      <c r="AB109" s="247">
        <f>-SUMIF('Other Exp'!$F:$F,'FY25 S.3'!$F109,'Other Exp'!AN:AN)</f>
        <v>-5082.7401625000002</v>
      </c>
      <c r="AC109" s="247">
        <f>-SUMIF('Other Exp'!$F:$F,'FY25 S.3'!$F109,'Other Exp'!AO:AO)</f>
        <v>-5082.7401625000002</v>
      </c>
      <c r="AD109" s="247">
        <f>-SUMIF('Other Exp'!$F:$F,'FY25 S.3'!$F109,'Other Exp'!AP:AP)</f>
        <v>-5082.7401625000002</v>
      </c>
      <c r="AE109" s="247">
        <f>-SUMIF('Other Exp'!$F:$F,'FY25 S.3'!$F109,'Other Exp'!AQ:AQ)</f>
        <v>-5082.7401625000002</v>
      </c>
      <c r="AF109" s="247">
        <f>-SUMIF('Other Exp'!$F:$F,'FY25 S.3'!$F109,'Other Exp'!AR:AR)</f>
        <v>-5082.7401625000002</v>
      </c>
      <c r="AG109" s="251">
        <f t="shared" si="70"/>
        <v>-57842.008666213704</v>
      </c>
      <c r="AH109" s="252"/>
    </row>
    <row r="110" spans="1:36" ht="14.1" hidden="1" customHeight="1" outlineLevel="1">
      <c r="B110" s="192">
        <v>1</v>
      </c>
      <c r="E110" s="221"/>
      <c r="F110" s="246" t="s">
        <v>2809</v>
      </c>
      <c r="G110" s="242"/>
      <c r="H110" s="243"/>
      <c r="I110" s="247">
        <v>0</v>
      </c>
      <c r="J110" s="247">
        <v>0</v>
      </c>
      <c r="K110" s="247">
        <v>0</v>
      </c>
      <c r="L110" s="247">
        <v>0</v>
      </c>
      <c r="M110" s="247">
        <v>0</v>
      </c>
      <c r="N110" s="247">
        <v>0</v>
      </c>
      <c r="O110" s="247">
        <f>-SUMIF('Other Exp'!$F:$F,'FY25 S.3'!$F110,'Other Exp'!U:U)</f>
        <v>-8066.3333333333339</v>
      </c>
      <c r="P110" s="247">
        <f>-SUMIF('Other Exp'!$F:$F,'FY25 S.3'!$F110,'Other Exp'!V:V)</f>
        <v>-8066.3333333333339</v>
      </c>
      <c r="Q110" s="247">
        <f>-SUMIF('Other Exp'!$F:$F,'FY25 S.3'!$F110,'Other Exp'!W:W)</f>
        <v>-8066.3333333333339</v>
      </c>
      <c r="R110" s="247">
        <f>-SUMIF('Other Exp'!$F:$F,'FY25 S.3'!$F110,'Other Exp'!X:X)</f>
        <v>-8066.3333333333339</v>
      </c>
      <c r="S110" s="247">
        <f>-SUMIF('Other Exp'!$F:$F,'FY25 S.3'!$F110,'Other Exp'!Y:Y)</f>
        <v>-8066.3333333333339</v>
      </c>
      <c r="T110" s="247">
        <f>-SUMIF('Other Exp'!$F:$F,'FY25 S.3'!$F110,'Other Exp'!Z:Z)</f>
        <v>-8066.3333333333339</v>
      </c>
      <c r="U110" s="247">
        <f>-SUMIF('Other Exp'!$F:$F,'FY25 S.3'!$F110,'Other Exp'!AG:AG)</f>
        <v>-16208.291666666666</v>
      </c>
      <c r="V110" s="247">
        <f>-SUMIF('Other Exp'!$F:$F,'FY25 S.3'!$F110,'Other Exp'!AH:AH)</f>
        <v>-16175.833333333334</v>
      </c>
      <c r="W110" s="247">
        <f>-SUMIF('Other Exp'!$F:$F,'FY25 S.3'!$F110,'Other Exp'!AI:AI)</f>
        <v>-16175.833333333334</v>
      </c>
      <c r="X110" s="247">
        <f>-SUMIF('Other Exp'!$F:$F,'FY25 S.3'!$F110,'Other Exp'!AJ:AJ)</f>
        <v>-16175.833333333334</v>
      </c>
      <c r="Y110" s="247">
        <f>-SUMIF('Other Exp'!$F:$F,'FY25 S.3'!$F110,'Other Exp'!AK:AK)</f>
        <v>-16175.833333333334</v>
      </c>
      <c r="Z110" s="247">
        <f>-SUMIF('Other Exp'!$F:$F,'FY25 S.3'!$F110,'Other Exp'!AL:AL)</f>
        <v>-16175.833333333334</v>
      </c>
      <c r="AA110" s="247">
        <f>-SUMIF('Other Exp'!$F:$F,'FY25 S.3'!$F110,'Other Exp'!AM:AM)</f>
        <v>-16175.833333333334</v>
      </c>
      <c r="AB110" s="247">
        <f>-SUMIF('Other Exp'!$F:$F,'FY25 S.3'!$F110,'Other Exp'!AN:AN)</f>
        <v>-16175.833333333334</v>
      </c>
      <c r="AC110" s="247">
        <f>-SUMIF('Other Exp'!$F:$F,'FY25 S.3'!$F110,'Other Exp'!AO:AO)</f>
        <v>-16175.833333333334</v>
      </c>
      <c r="AD110" s="247">
        <f>-SUMIF('Other Exp'!$F:$F,'FY25 S.3'!$F110,'Other Exp'!AP:AP)</f>
        <v>-16175.833333333334</v>
      </c>
      <c r="AE110" s="247">
        <f>-SUMIF('Other Exp'!$F:$F,'FY25 S.3'!$F110,'Other Exp'!AQ:AQ)</f>
        <v>-16175.833333333334</v>
      </c>
      <c r="AF110" s="247">
        <f>-SUMIF('Other Exp'!$F:$F,'FY25 S.3'!$F110,'Other Exp'!AR:AR)</f>
        <v>-16175.833333333334</v>
      </c>
      <c r="AG110" s="251">
        <f t="shared" si="70"/>
        <v>-48398.000000000007</v>
      </c>
      <c r="AH110" s="252"/>
    </row>
    <row r="111" spans="1:36" ht="14.1" hidden="1" customHeight="1" outlineLevel="1">
      <c r="B111" s="192">
        <v>502010</v>
      </c>
      <c r="E111" s="221"/>
      <c r="F111" s="246" t="s">
        <v>2810</v>
      </c>
      <c r="G111" s="242"/>
      <c r="H111" s="243"/>
      <c r="I111" s="247">
        <v>0</v>
      </c>
      <c r="J111" s="247">
        <v>0</v>
      </c>
      <c r="K111" s="247">
        <v>-5800</v>
      </c>
      <c r="L111" s="247">
        <v>0</v>
      </c>
      <c r="M111" s="247">
        <v>0</v>
      </c>
      <c r="N111" s="247">
        <v>0</v>
      </c>
      <c r="O111" s="247">
        <f>-SUMIF('Other Exp'!$F:$F,'FY25 S.3'!$F111,'Other Exp'!U:U)</f>
        <v>-1223.3000000000002</v>
      </c>
      <c r="P111" s="247">
        <f>-SUMIF('Other Exp'!$F:$F,'FY25 S.3'!$F111,'Other Exp'!V:V)</f>
        <v>-1223.3000000000002</v>
      </c>
      <c r="Q111" s="247">
        <f>-SUMIF('Other Exp'!$F:$F,'FY25 S.3'!$F111,'Other Exp'!W:W)</f>
        <v>-1223.3000000000002</v>
      </c>
      <c r="R111" s="247">
        <f>-SUMIF('Other Exp'!$F:$F,'FY25 S.3'!$F111,'Other Exp'!X:X)</f>
        <v>-1223.3000000000002</v>
      </c>
      <c r="S111" s="247">
        <f>-SUMIF('Other Exp'!$F:$F,'FY25 S.3'!$F111,'Other Exp'!Y:Y)</f>
        <v>-1223.3000000000002</v>
      </c>
      <c r="T111" s="247">
        <f>-SUMIF('Other Exp'!$F:$F,'FY25 S.3'!$F111,'Other Exp'!Z:Z)</f>
        <v>-1223.3000000000002</v>
      </c>
      <c r="U111" s="247">
        <f>-SUMIF('Other Exp'!$F:$F,'FY25 S.3'!$F111,'Other Exp'!AG:AG)</f>
        <v>-2037.4958333333334</v>
      </c>
      <c r="V111" s="247">
        <f>-SUMIF('Other Exp'!$F:$F,'FY25 S.3'!$F111,'Other Exp'!AH:AH)</f>
        <v>-2034.25</v>
      </c>
      <c r="W111" s="247">
        <f>-SUMIF('Other Exp'!$F:$F,'FY25 S.3'!$F111,'Other Exp'!AI:AI)</f>
        <v>-2034.25</v>
      </c>
      <c r="X111" s="247">
        <f>-SUMIF('Other Exp'!$F:$F,'FY25 S.3'!$F111,'Other Exp'!AJ:AJ)</f>
        <v>-2034.25</v>
      </c>
      <c r="Y111" s="247">
        <f>-SUMIF('Other Exp'!$F:$F,'FY25 S.3'!$F111,'Other Exp'!AK:AK)</f>
        <v>-2034.25</v>
      </c>
      <c r="Z111" s="247">
        <f>-SUMIF('Other Exp'!$F:$F,'FY25 S.3'!$F111,'Other Exp'!AL:AL)</f>
        <v>-2034.25</v>
      </c>
      <c r="AA111" s="247">
        <f>-SUMIF('Other Exp'!$F:$F,'FY25 S.3'!$F111,'Other Exp'!AM:AM)</f>
        <v>-2034.25</v>
      </c>
      <c r="AB111" s="247">
        <f>-SUMIF('Other Exp'!$F:$F,'FY25 S.3'!$F111,'Other Exp'!AN:AN)</f>
        <v>-2034.25</v>
      </c>
      <c r="AC111" s="247">
        <f>-SUMIF('Other Exp'!$F:$F,'FY25 S.3'!$F111,'Other Exp'!AO:AO)</f>
        <v>-2034.25</v>
      </c>
      <c r="AD111" s="247">
        <f>-SUMIF('Other Exp'!$F:$F,'FY25 S.3'!$F111,'Other Exp'!AP:AP)</f>
        <v>-2034.25</v>
      </c>
      <c r="AE111" s="247">
        <f>-SUMIF('Other Exp'!$F:$F,'FY25 S.3'!$F111,'Other Exp'!AQ:AQ)</f>
        <v>-2034.25</v>
      </c>
      <c r="AF111" s="247">
        <f>-SUMIF('Other Exp'!$F:$F,'FY25 S.3'!$F111,'Other Exp'!AR:AR)</f>
        <v>-2034.25</v>
      </c>
      <c r="AG111" s="251">
        <f t="shared" si="70"/>
        <v>-13139.8</v>
      </c>
      <c r="AH111" s="252"/>
    </row>
    <row r="112" spans="1:36" ht="14.1" hidden="1" customHeight="1" outlineLevel="1">
      <c r="B112" s="192">
        <v>3</v>
      </c>
      <c r="E112" s="221"/>
      <c r="F112" s="246" t="s">
        <v>2811</v>
      </c>
      <c r="G112" s="242"/>
      <c r="H112" s="243"/>
      <c r="I112" s="247">
        <v>0</v>
      </c>
      <c r="J112" s="247">
        <v>0</v>
      </c>
      <c r="K112" s="247">
        <v>0</v>
      </c>
      <c r="L112" s="247">
        <v>0</v>
      </c>
      <c r="M112" s="247">
        <v>0</v>
      </c>
      <c r="N112" s="247">
        <v>0</v>
      </c>
      <c r="O112" s="247">
        <f>-SUMIF('Other Exp'!$F:$F,'FY25 S.3'!$F112,'Other Exp'!U:U)</f>
        <v>0</v>
      </c>
      <c r="P112" s="247">
        <f>-SUMIF('Other Exp'!$F:$F,'FY25 S.3'!$F112,'Other Exp'!V:V)</f>
        <v>0</v>
      </c>
      <c r="Q112" s="247">
        <f>-SUMIF('Other Exp'!$F:$F,'FY25 S.3'!$F112,'Other Exp'!W:W)</f>
        <v>0</v>
      </c>
      <c r="R112" s="247">
        <f>-SUMIF('Other Exp'!$F:$F,'FY25 S.3'!$F112,'Other Exp'!X:X)</f>
        <v>0</v>
      </c>
      <c r="S112" s="247">
        <f>-SUMIF('Other Exp'!$F:$F,'FY25 S.3'!$F112,'Other Exp'!Y:Y)</f>
        <v>0</v>
      </c>
      <c r="T112" s="247">
        <f>-SUMIF('Other Exp'!$F:$F,'FY25 S.3'!$F112,'Other Exp'!Z:Z)</f>
        <v>0</v>
      </c>
      <c r="U112" s="247">
        <f>-SUMIF('Other Exp'!$F:$F,'FY25 S.3'!$F112,'Other Exp'!AG:AG)</f>
        <v>0</v>
      </c>
      <c r="V112" s="247">
        <f>-SUMIF('Other Exp'!$F:$F,'FY25 S.3'!$F112,'Other Exp'!AH:AH)</f>
        <v>0</v>
      </c>
      <c r="W112" s="247">
        <f>-SUMIF('Other Exp'!$F:$F,'FY25 S.3'!$F112,'Other Exp'!AI:AI)</f>
        <v>0</v>
      </c>
      <c r="X112" s="247">
        <f>-SUMIF('Other Exp'!$F:$F,'FY25 S.3'!$F112,'Other Exp'!AJ:AJ)</f>
        <v>0</v>
      </c>
      <c r="Y112" s="247">
        <f>-SUMIF('Other Exp'!$F:$F,'FY25 S.3'!$F112,'Other Exp'!AK:AK)</f>
        <v>0</v>
      </c>
      <c r="Z112" s="247">
        <f>-SUMIF('Other Exp'!$F:$F,'FY25 S.3'!$F112,'Other Exp'!AL:AL)</f>
        <v>0</v>
      </c>
      <c r="AA112" s="247">
        <f>-SUMIF('Other Exp'!$F:$F,'FY25 S.3'!$F112,'Other Exp'!AM:AM)</f>
        <v>0</v>
      </c>
      <c r="AB112" s="247">
        <f>-SUMIF('Other Exp'!$F:$F,'FY25 S.3'!$F112,'Other Exp'!AN:AN)</f>
        <v>0</v>
      </c>
      <c r="AC112" s="247">
        <f>-SUMIF('Other Exp'!$F:$F,'FY25 S.3'!$F112,'Other Exp'!AO:AO)</f>
        <v>0</v>
      </c>
      <c r="AD112" s="247">
        <f>-SUMIF('Other Exp'!$F:$F,'FY25 S.3'!$F112,'Other Exp'!AP:AP)</f>
        <v>0</v>
      </c>
      <c r="AE112" s="247">
        <f>-SUMIF('Other Exp'!$F:$F,'FY25 S.3'!$F112,'Other Exp'!AQ:AQ)</f>
        <v>0</v>
      </c>
      <c r="AF112" s="247">
        <f>-SUMIF('Other Exp'!$F:$F,'FY25 S.3'!$F112,'Other Exp'!AR:AR)</f>
        <v>0</v>
      </c>
      <c r="AG112" s="251">
        <f t="shared" si="70"/>
        <v>0</v>
      </c>
      <c r="AH112" s="252"/>
    </row>
    <row r="113" spans="1:36" ht="14.1" hidden="1" customHeight="1" outlineLevel="1">
      <c r="B113" s="192">
        <v>4</v>
      </c>
      <c r="E113" s="221"/>
      <c r="F113" s="246" t="s">
        <v>2546</v>
      </c>
      <c r="G113" s="242"/>
      <c r="H113" s="243"/>
      <c r="I113" s="247">
        <v>0</v>
      </c>
      <c r="J113" s="247">
        <v>0</v>
      </c>
      <c r="K113" s="247">
        <v>0</v>
      </c>
      <c r="L113" s="247">
        <v>0</v>
      </c>
      <c r="M113" s="247">
        <v>0</v>
      </c>
      <c r="N113" s="247">
        <v>0</v>
      </c>
      <c r="O113" s="247">
        <f>-SUMIF('Other Exp'!$F:$F,'FY25 S.3'!$F113,'Other Exp'!U:U)</f>
        <v>-413.36466666666666</v>
      </c>
      <c r="P113" s="247">
        <f>-SUMIF('Other Exp'!$F:$F,'FY25 S.3'!$F113,'Other Exp'!V:V)</f>
        <v>-413.36466666666666</v>
      </c>
      <c r="Q113" s="247">
        <f>-SUMIF('Other Exp'!$F:$F,'FY25 S.3'!$F113,'Other Exp'!W:W)</f>
        <v>-413.36466666666666</v>
      </c>
      <c r="R113" s="247">
        <f>-SUMIF('Other Exp'!$F:$F,'FY25 S.3'!$F113,'Other Exp'!X:X)</f>
        <v>-413.36466666666666</v>
      </c>
      <c r="S113" s="247">
        <f>-SUMIF('Other Exp'!$F:$F,'FY25 S.3'!$F113,'Other Exp'!Y:Y)</f>
        <v>-413.36466666666666</v>
      </c>
      <c r="T113" s="247">
        <f>-SUMIF('Other Exp'!$F:$F,'FY25 S.3'!$F113,'Other Exp'!Z:Z)</f>
        <v>-413.36466666666666</v>
      </c>
      <c r="U113" s="247">
        <f>-SUMIF('Other Exp'!$F:$F,'FY25 S.3'!$F113,'Other Exp'!AG:AG)</f>
        <v>-393.07891666666666</v>
      </c>
      <c r="V113" s="247">
        <f>-SUMIF('Other Exp'!$F:$F,'FY25 S.3'!$F113,'Other Exp'!AH:AH)</f>
        <v>-389.63833333333332</v>
      </c>
      <c r="W113" s="247">
        <f>-SUMIF('Other Exp'!$F:$F,'FY25 S.3'!$F113,'Other Exp'!AI:AI)</f>
        <v>-389.63833333333332</v>
      </c>
      <c r="X113" s="247">
        <f>-SUMIF('Other Exp'!$F:$F,'FY25 S.3'!$F113,'Other Exp'!AJ:AJ)</f>
        <v>-389.63833333333332</v>
      </c>
      <c r="Y113" s="247">
        <f>-SUMIF('Other Exp'!$F:$F,'FY25 S.3'!$F113,'Other Exp'!AK:AK)</f>
        <v>-389.63833333333332</v>
      </c>
      <c r="Z113" s="247">
        <f>-SUMIF('Other Exp'!$F:$F,'FY25 S.3'!$F113,'Other Exp'!AL:AL)</f>
        <v>-389.63833333333332</v>
      </c>
      <c r="AA113" s="247">
        <f>-SUMIF('Other Exp'!$F:$F,'FY25 S.3'!$F113,'Other Exp'!AM:AM)</f>
        <v>-389.63833333333332</v>
      </c>
      <c r="AB113" s="247">
        <f>-SUMIF('Other Exp'!$F:$F,'FY25 S.3'!$F113,'Other Exp'!AN:AN)</f>
        <v>-389.63833333333332</v>
      </c>
      <c r="AC113" s="247">
        <f>-SUMIF('Other Exp'!$F:$F,'FY25 S.3'!$F113,'Other Exp'!AO:AO)</f>
        <v>-389.63833333333332</v>
      </c>
      <c r="AD113" s="247">
        <f>-SUMIF('Other Exp'!$F:$F,'FY25 S.3'!$F113,'Other Exp'!AP:AP)</f>
        <v>-389.63833333333332</v>
      </c>
      <c r="AE113" s="247">
        <f>-SUMIF('Other Exp'!$F:$F,'FY25 S.3'!$F113,'Other Exp'!AQ:AQ)</f>
        <v>-389.63833333333332</v>
      </c>
      <c r="AF113" s="247">
        <f>-SUMIF('Other Exp'!$F:$F,'FY25 S.3'!$F113,'Other Exp'!AR:AR)</f>
        <v>-389.63833333333332</v>
      </c>
      <c r="AG113" s="251">
        <f t="shared" si="70"/>
        <v>-2480.1880000000001</v>
      </c>
      <c r="AH113" s="252"/>
    </row>
    <row r="114" spans="1:36" ht="14.1" hidden="1" customHeight="1" outlineLevel="1">
      <c r="B114" s="192">
        <v>502041</v>
      </c>
      <c r="E114" s="221"/>
      <c r="F114" s="246" t="s">
        <v>1551</v>
      </c>
      <c r="G114" s="242"/>
      <c r="H114" s="243"/>
      <c r="I114" s="247">
        <v>0</v>
      </c>
      <c r="J114" s="247">
        <v>0</v>
      </c>
      <c r="K114" s="247">
        <v>0</v>
      </c>
      <c r="L114" s="247">
        <v>0</v>
      </c>
      <c r="M114" s="247">
        <v>-2640</v>
      </c>
      <c r="N114" s="247">
        <v>-1810</v>
      </c>
      <c r="O114" s="247">
        <f>-SUMIF('Other Exp'!$F:$F,'FY25 S.3'!$F114,'Other Exp'!U:U)</f>
        <v>-293.33333333333331</v>
      </c>
      <c r="P114" s="247">
        <f>-SUMIF('Other Exp'!$F:$F,'FY25 S.3'!$F114,'Other Exp'!V:V)</f>
        <v>-293.33333333333331</v>
      </c>
      <c r="Q114" s="247">
        <f>-SUMIF('Other Exp'!$F:$F,'FY25 S.3'!$F114,'Other Exp'!W:W)</f>
        <v>-293.33333333333331</v>
      </c>
      <c r="R114" s="247">
        <f>-SUMIF('Other Exp'!$F:$F,'FY25 S.3'!$F114,'Other Exp'!X:X)</f>
        <v>-293.33333333333331</v>
      </c>
      <c r="S114" s="247">
        <f>-SUMIF('Other Exp'!$F:$F,'FY25 S.3'!$F114,'Other Exp'!Y:Y)</f>
        <v>-293.33333333333331</v>
      </c>
      <c r="T114" s="247">
        <f>-SUMIF('Other Exp'!$F:$F,'FY25 S.3'!$F114,'Other Exp'!Z:Z)</f>
        <v>-293.33333333333331</v>
      </c>
      <c r="U114" s="247">
        <f>-SUMIF('Other Exp'!$F:$F,'FY25 S.3'!$F114,'Other Exp'!AG:AG)</f>
        <v>-612.5</v>
      </c>
      <c r="V114" s="247">
        <f>-SUMIF('Other Exp'!$F:$F,'FY25 S.3'!$F114,'Other Exp'!AH:AH)</f>
        <v>-612.5</v>
      </c>
      <c r="W114" s="247">
        <f>-SUMIF('Other Exp'!$F:$F,'FY25 S.3'!$F114,'Other Exp'!AI:AI)</f>
        <v>-612.5</v>
      </c>
      <c r="X114" s="247">
        <f>-SUMIF('Other Exp'!$F:$F,'FY25 S.3'!$F114,'Other Exp'!AJ:AJ)</f>
        <v>-612.5</v>
      </c>
      <c r="Y114" s="247">
        <f>-SUMIF('Other Exp'!$F:$F,'FY25 S.3'!$F114,'Other Exp'!AK:AK)</f>
        <v>-612.5</v>
      </c>
      <c r="Z114" s="247">
        <f>-SUMIF('Other Exp'!$F:$F,'FY25 S.3'!$F114,'Other Exp'!AL:AL)</f>
        <v>-612.5</v>
      </c>
      <c r="AA114" s="247">
        <f>-SUMIF('Other Exp'!$F:$F,'FY25 S.3'!$F114,'Other Exp'!AM:AM)</f>
        <v>-612.5</v>
      </c>
      <c r="AB114" s="247">
        <f>-SUMIF('Other Exp'!$F:$F,'FY25 S.3'!$F114,'Other Exp'!AN:AN)</f>
        <v>-612.5</v>
      </c>
      <c r="AC114" s="247">
        <f>-SUMIF('Other Exp'!$F:$F,'FY25 S.3'!$F114,'Other Exp'!AO:AO)</f>
        <v>-612.5</v>
      </c>
      <c r="AD114" s="247">
        <f>-SUMIF('Other Exp'!$F:$F,'FY25 S.3'!$F114,'Other Exp'!AP:AP)</f>
        <v>-612.5</v>
      </c>
      <c r="AE114" s="247">
        <f>-SUMIF('Other Exp'!$F:$F,'FY25 S.3'!$F114,'Other Exp'!AQ:AQ)</f>
        <v>-612.5</v>
      </c>
      <c r="AF114" s="247">
        <f>-SUMIF('Other Exp'!$F:$F,'FY25 S.3'!$F114,'Other Exp'!AR:AR)</f>
        <v>-612.5</v>
      </c>
      <c r="AG114" s="251">
        <f t="shared" si="70"/>
        <v>-6209.9999999999982</v>
      </c>
      <c r="AH114" s="252"/>
    </row>
    <row r="115" spans="1:36" ht="14.1" hidden="1" customHeight="1" outlineLevel="1">
      <c r="B115" s="192">
        <v>502050</v>
      </c>
      <c r="E115" s="221"/>
      <c r="F115" s="246" t="s">
        <v>2812</v>
      </c>
      <c r="G115" s="242"/>
      <c r="H115" s="243"/>
      <c r="I115" s="247">
        <v>0</v>
      </c>
      <c r="J115" s="247">
        <v>0</v>
      </c>
      <c r="K115" s="247">
        <v>0</v>
      </c>
      <c r="L115" s="247">
        <v>0</v>
      </c>
      <c r="M115" s="247">
        <v>0</v>
      </c>
      <c r="N115" s="247">
        <v>0</v>
      </c>
      <c r="O115" s="247">
        <f>-SUMIF('Other Exp'!$F:$F,'FY25 S.3'!$F115,'Other Exp'!U:U)</f>
        <v>-935.92</v>
      </c>
      <c r="P115" s="247">
        <f>-SUMIF('Other Exp'!$F:$F,'FY25 S.3'!$F115,'Other Exp'!V:V)</f>
        <v>-935.92</v>
      </c>
      <c r="Q115" s="247">
        <f>-SUMIF('Other Exp'!$F:$F,'FY25 S.3'!$F115,'Other Exp'!W:W)</f>
        <v>-935.92</v>
      </c>
      <c r="R115" s="247">
        <f>-SUMIF('Other Exp'!$F:$F,'FY25 S.3'!$F115,'Other Exp'!X:X)</f>
        <v>-935.92</v>
      </c>
      <c r="S115" s="247">
        <f>-SUMIF('Other Exp'!$F:$F,'FY25 S.3'!$F115,'Other Exp'!Y:Y)</f>
        <v>-935.92</v>
      </c>
      <c r="T115" s="247">
        <f>-SUMIF('Other Exp'!$F:$F,'FY25 S.3'!$F115,'Other Exp'!Z:Z)</f>
        <v>-935.92</v>
      </c>
      <c r="U115" s="247">
        <f>-SUMIF('Other Exp'!$F:$F,'FY25 S.3'!$F115,'Other Exp'!AG:AG)</f>
        <v>-889.9899999999999</v>
      </c>
      <c r="V115" s="247">
        <f>-SUMIF('Other Exp'!$F:$F,'FY25 S.3'!$F115,'Other Exp'!AH:AH)</f>
        <v>-882.19999999999993</v>
      </c>
      <c r="W115" s="247">
        <f>-SUMIF('Other Exp'!$F:$F,'FY25 S.3'!$F115,'Other Exp'!AI:AI)</f>
        <v>-882.19999999999993</v>
      </c>
      <c r="X115" s="247">
        <f>-SUMIF('Other Exp'!$F:$F,'FY25 S.3'!$F115,'Other Exp'!AJ:AJ)</f>
        <v>-882.19999999999993</v>
      </c>
      <c r="Y115" s="247">
        <f>-SUMIF('Other Exp'!$F:$F,'FY25 S.3'!$F115,'Other Exp'!AK:AK)</f>
        <v>-882.19999999999993</v>
      </c>
      <c r="Z115" s="247">
        <f>-SUMIF('Other Exp'!$F:$F,'FY25 S.3'!$F115,'Other Exp'!AL:AL)</f>
        <v>-882.19999999999993</v>
      </c>
      <c r="AA115" s="247">
        <f>-SUMIF('Other Exp'!$F:$F,'FY25 S.3'!$F115,'Other Exp'!AM:AM)</f>
        <v>-882.19999999999993</v>
      </c>
      <c r="AB115" s="247">
        <f>-SUMIF('Other Exp'!$F:$F,'FY25 S.3'!$F115,'Other Exp'!AN:AN)</f>
        <v>-882.19999999999993</v>
      </c>
      <c r="AC115" s="247">
        <f>-SUMIF('Other Exp'!$F:$F,'FY25 S.3'!$F115,'Other Exp'!AO:AO)</f>
        <v>-882.19999999999993</v>
      </c>
      <c r="AD115" s="247">
        <f>-SUMIF('Other Exp'!$F:$F,'FY25 S.3'!$F115,'Other Exp'!AP:AP)</f>
        <v>-882.19999999999993</v>
      </c>
      <c r="AE115" s="247">
        <f>-SUMIF('Other Exp'!$F:$F,'FY25 S.3'!$F115,'Other Exp'!AQ:AQ)</f>
        <v>-882.19999999999993</v>
      </c>
      <c r="AF115" s="247">
        <f>-SUMIF('Other Exp'!$F:$F,'FY25 S.3'!$F115,'Other Exp'!AR:AR)</f>
        <v>-882.19999999999993</v>
      </c>
      <c r="AG115" s="251">
        <f t="shared" si="70"/>
        <v>-5615.5199999999995</v>
      </c>
      <c r="AH115" s="252"/>
    </row>
    <row r="116" spans="1:36" ht="14.1" hidden="1" customHeight="1" outlineLevel="1">
      <c r="E116" s="221"/>
      <c r="F116" s="246" t="s">
        <v>2813</v>
      </c>
      <c r="G116" s="242"/>
      <c r="H116" s="243"/>
      <c r="I116" s="247">
        <v>0</v>
      </c>
      <c r="J116" s="247">
        <v>0</v>
      </c>
      <c r="K116" s="247">
        <v>0</v>
      </c>
      <c r="L116" s="247">
        <v>0</v>
      </c>
      <c r="M116" s="247">
        <v>0</v>
      </c>
      <c r="N116" s="247">
        <v>0</v>
      </c>
      <c r="O116" s="247">
        <f>-SUMIF('Other Exp'!$F:$F,'FY25 S.3'!$F116,'Other Exp'!U:U)</f>
        <v>0</v>
      </c>
      <c r="P116" s="247">
        <f>-SUMIF('Other Exp'!$F:$F,'FY25 S.3'!$F116,'Other Exp'!V:V)</f>
        <v>0</v>
      </c>
      <c r="Q116" s="247">
        <f>-SUMIF('Other Exp'!$F:$F,'FY25 S.3'!$F116,'Other Exp'!W:W)</f>
        <v>0</v>
      </c>
      <c r="R116" s="247">
        <f>-SUMIF('Other Exp'!$F:$F,'FY25 S.3'!$F116,'Other Exp'!X:X)</f>
        <v>0</v>
      </c>
      <c r="S116" s="247">
        <f>-SUMIF('Other Exp'!$F:$F,'FY25 S.3'!$F116,'Other Exp'!Y:Y)</f>
        <v>-4183.422012</v>
      </c>
      <c r="T116" s="247">
        <f>-SUMIF('Other Exp'!$F:$F,'FY25 S.3'!$F116,'Other Exp'!Z:Z)</f>
        <v>0</v>
      </c>
      <c r="U116" s="247">
        <f>-SUMIF('Other Exp'!$F:$F,'FY25 S.3'!$F116,'Other Exp'!AG:AG)</f>
        <v>0</v>
      </c>
      <c r="V116" s="247">
        <f>-SUMIF('Other Exp'!$F:$F,'FY25 S.3'!$F116,'Other Exp'!AH:AH)</f>
        <v>0</v>
      </c>
      <c r="W116" s="247">
        <f>-SUMIF('Other Exp'!$F:$F,'FY25 S.3'!$F116,'Other Exp'!AI:AI)</f>
        <v>0</v>
      </c>
      <c r="X116" s="247">
        <f>-SUMIF('Other Exp'!$F:$F,'FY25 S.3'!$F116,'Other Exp'!AJ:AJ)</f>
        <v>0</v>
      </c>
      <c r="Y116" s="247">
        <f>-SUMIF('Other Exp'!$F:$F,'FY25 S.3'!$F116,'Other Exp'!AK:AK)</f>
        <v>0</v>
      </c>
      <c r="Z116" s="247">
        <f>-SUMIF('Other Exp'!$F:$F,'FY25 S.3'!$F116,'Other Exp'!AL:AL)</f>
        <v>0</v>
      </c>
      <c r="AA116" s="247">
        <f>-SUMIF('Other Exp'!$F:$F,'FY25 S.3'!$F116,'Other Exp'!AM:AM)</f>
        <v>0</v>
      </c>
      <c r="AB116" s="247">
        <f>-SUMIF('Other Exp'!$F:$F,'FY25 S.3'!$F116,'Other Exp'!AN:AN)</f>
        <v>0</v>
      </c>
      <c r="AC116" s="247">
        <f>-SUMIF('Other Exp'!$F:$F,'FY25 S.3'!$F116,'Other Exp'!AO:AO)</f>
        <v>0</v>
      </c>
      <c r="AD116" s="247">
        <f>-SUMIF('Other Exp'!$F:$F,'FY25 S.3'!$F116,'Other Exp'!AP:AP)</f>
        <v>0</v>
      </c>
      <c r="AE116" s="247">
        <f>-SUMIF('Other Exp'!$F:$F,'FY25 S.3'!$F116,'Other Exp'!AQ:AQ)</f>
        <v>-3943.3016700000003</v>
      </c>
      <c r="AF116" s="247">
        <f>-SUMIF('Other Exp'!$F:$F,'FY25 S.3'!$F116,'Other Exp'!AR:AR)</f>
        <v>0</v>
      </c>
      <c r="AG116" s="251">
        <f t="shared" ref="AG116" si="72">SUM(I116:T116)</f>
        <v>-4183.422012</v>
      </c>
      <c r="AH116" s="252"/>
    </row>
    <row r="117" spans="1:36" ht="14.1" hidden="1" customHeight="1" outlineLevel="1">
      <c r="B117" s="192">
        <v>507012</v>
      </c>
      <c r="E117" s="216"/>
      <c r="F117" s="246" t="s">
        <v>2814</v>
      </c>
      <c r="G117" s="242"/>
      <c r="H117" s="243"/>
      <c r="I117" s="247">
        <v>0</v>
      </c>
      <c r="J117" s="247">
        <v>0</v>
      </c>
      <c r="K117" s="247">
        <v>0</v>
      </c>
      <c r="L117" s="247">
        <v>0</v>
      </c>
      <c r="M117" s="247">
        <v>0</v>
      </c>
      <c r="N117" s="247">
        <v>0</v>
      </c>
      <c r="O117" s="247">
        <f>-SUMIF('Other Exp'!$F:$F,'FY25 S.3'!$F117,'Other Exp'!U:U)</f>
        <v>0</v>
      </c>
      <c r="P117" s="247">
        <f>-SUMIF('Other Exp'!$F:$F,'FY25 S.3'!$F117,'Other Exp'!V:V)</f>
        <v>0</v>
      </c>
      <c r="Q117" s="247">
        <f>-SUMIF('Other Exp'!$F:$F,'FY25 S.3'!$F117,'Other Exp'!W:W)</f>
        <v>0</v>
      </c>
      <c r="R117" s="247">
        <f>-SUMIF('Other Exp'!$F:$F,'FY25 S.3'!$F117,'Other Exp'!X:X)</f>
        <v>0</v>
      </c>
      <c r="S117" s="247">
        <f>-SUMIF('Other Exp'!$F:$F,'FY25 S.3'!$F117,'Other Exp'!Y:Y)</f>
        <v>0</v>
      </c>
      <c r="T117" s="247">
        <f>-SUMIF('Other Exp'!$F:$F,'FY25 S.3'!$F117,'Other Exp'!Z:Z)</f>
        <v>0</v>
      </c>
      <c r="U117" s="247">
        <f>-SUMIF('Other Exp'!$F:$F,'FY25 S.3'!$F117,'Other Exp'!AG:AG)</f>
        <v>0</v>
      </c>
      <c r="V117" s="247">
        <f>-SUMIF('Other Exp'!$F:$F,'FY25 S.3'!$F117,'Other Exp'!AH:AH)</f>
        <v>0</v>
      </c>
      <c r="W117" s="247">
        <f>-SUMIF('Other Exp'!$F:$F,'FY25 S.3'!$F117,'Other Exp'!AI:AI)</f>
        <v>0</v>
      </c>
      <c r="X117" s="247">
        <f>-SUMIF('Other Exp'!$F:$F,'FY25 S.3'!$F117,'Other Exp'!AJ:AJ)</f>
        <v>0</v>
      </c>
      <c r="Y117" s="247">
        <f>-SUMIF('Other Exp'!$F:$F,'FY25 S.3'!$F117,'Other Exp'!AK:AK)</f>
        <v>0</v>
      </c>
      <c r="Z117" s="247">
        <f>-SUMIF('Other Exp'!$F:$F,'FY25 S.3'!$F117,'Other Exp'!AL:AL)</f>
        <v>0</v>
      </c>
      <c r="AA117" s="247">
        <f>-SUMIF('Other Exp'!$F:$F,'FY25 S.3'!$F117,'Other Exp'!AM:AM)</f>
        <v>0</v>
      </c>
      <c r="AB117" s="247">
        <f>-SUMIF('Other Exp'!$F:$F,'FY25 S.3'!$F117,'Other Exp'!AN:AN)</f>
        <v>0</v>
      </c>
      <c r="AC117" s="247">
        <f>-SUMIF('Other Exp'!$F:$F,'FY25 S.3'!$F117,'Other Exp'!AO:AO)</f>
        <v>0</v>
      </c>
      <c r="AD117" s="247">
        <f>-SUMIF('Other Exp'!$F:$F,'FY25 S.3'!$F117,'Other Exp'!AP:AP)</f>
        <v>0</v>
      </c>
      <c r="AE117" s="247">
        <f>-SUMIF('Other Exp'!$F:$F,'FY25 S.3'!$F117,'Other Exp'!AQ:AQ)</f>
        <v>0</v>
      </c>
      <c r="AF117" s="247">
        <f>-SUMIF('Other Exp'!$F:$F,'FY25 S.3'!$F117,'Other Exp'!AR:AR)</f>
        <v>0</v>
      </c>
      <c r="AG117" s="251">
        <f t="shared" si="70"/>
        <v>0</v>
      </c>
      <c r="AH117" s="252"/>
    </row>
    <row r="118" spans="1:36" collapsed="1">
      <c r="E118" s="304"/>
      <c r="F118" s="299" t="s">
        <v>2802</v>
      </c>
      <c r="G118" s="300"/>
      <c r="H118" s="243"/>
      <c r="I118" s="301">
        <f t="shared" ref="I118:T118" si="73">SUBTOTAL(9,I99:I117)</f>
        <v>-12842.223876599999</v>
      </c>
      <c r="J118" s="301">
        <f t="shared" si="73"/>
        <v>-21162.176060447098</v>
      </c>
      <c r="K118" s="301">
        <f t="shared" si="73"/>
        <v>-9862.5210350141406</v>
      </c>
      <c r="L118" s="301">
        <f t="shared" si="73"/>
        <v>-5849.2165804859296</v>
      </c>
      <c r="M118" s="301">
        <f t="shared" si="73"/>
        <v>-62941.3698567756</v>
      </c>
      <c r="N118" s="301">
        <f t="shared" si="73"/>
        <v>-15818.4636816</v>
      </c>
      <c r="O118" s="301">
        <f t="shared" si="73"/>
        <v>-20051.185904761907</v>
      </c>
      <c r="P118" s="301">
        <f t="shared" si="73"/>
        <v>-24792.790604761904</v>
      </c>
      <c r="Q118" s="301">
        <f t="shared" si="73"/>
        <v>-29713.161104761901</v>
      </c>
      <c r="R118" s="301">
        <f t="shared" si="73"/>
        <v>-36199.08670476191</v>
      </c>
      <c r="S118" s="301">
        <f t="shared" si="73"/>
        <v>-24234.607916761906</v>
      </c>
      <c r="T118" s="301">
        <f t="shared" si="73"/>
        <v>-25051.185904761907</v>
      </c>
      <c r="U118" s="301">
        <f t="shared" ref="U118:AF118" si="74">SUBTOTAL(9,U99:U117)</f>
        <v>-35086.316427291662</v>
      </c>
      <c r="V118" s="301">
        <f t="shared" si="74"/>
        <v>-44933.413495833338</v>
      </c>
      <c r="W118" s="301">
        <f t="shared" si="74"/>
        <v>-34933.413495833331</v>
      </c>
      <c r="X118" s="301">
        <f t="shared" si="74"/>
        <v>-34933.413495833331</v>
      </c>
      <c r="Y118" s="301">
        <f t="shared" si="74"/>
        <v>-34933.413495833331</v>
      </c>
      <c r="Z118" s="301">
        <f t="shared" si="74"/>
        <v>-34933.413495833331</v>
      </c>
      <c r="AA118" s="301">
        <f t="shared" si="74"/>
        <v>-34100.080162500002</v>
      </c>
      <c r="AB118" s="301">
        <f t="shared" si="74"/>
        <v>-34100.080162500002</v>
      </c>
      <c r="AC118" s="301">
        <f t="shared" si="74"/>
        <v>-36137.9621625</v>
      </c>
      <c r="AD118" s="301">
        <f t="shared" si="74"/>
        <v>-52251.608162500001</v>
      </c>
      <c r="AE118" s="301">
        <f t="shared" si="74"/>
        <v>-38043.381832500003</v>
      </c>
      <c r="AF118" s="301">
        <f t="shared" si="74"/>
        <v>-34100.080162500002</v>
      </c>
      <c r="AG118" s="302">
        <f>SUBTOTAL(9,AG101:AG117)</f>
        <v>-288517.98923149426</v>
      </c>
      <c r="AH118" s="295"/>
    </row>
    <row r="119" spans="1:36">
      <c r="E119" s="216"/>
      <c r="F119" s="308"/>
      <c r="G119" s="242"/>
      <c r="H119" s="243"/>
      <c r="I119" s="310"/>
      <c r="J119" s="310"/>
      <c r="K119" s="310"/>
      <c r="L119" s="311"/>
      <c r="M119" s="310"/>
      <c r="N119" s="310"/>
      <c r="O119" s="272"/>
      <c r="P119" s="272"/>
      <c r="Q119" s="272"/>
      <c r="R119" s="272"/>
      <c r="S119" s="272"/>
      <c r="T119" s="272"/>
      <c r="U119" s="310"/>
      <c r="V119" s="310"/>
      <c r="W119" s="310"/>
      <c r="X119" s="311"/>
      <c r="Y119" s="310"/>
      <c r="Z119" s="310"/>
      <c r="AA119" s="272"/>
      <c r="AB119" s="272"/>
      <c r="AC119" s="272"/>
      <c r="AD119" s="272"/>
      <c r="AE119" s="272"/>
      <c r="AF119" s="272"/>
      <c r="AG119" s="248"/>
      <c r="AH119" s="269"/>
    </row>
    <row r="120" spans="1:36">
      <c r="E120" s="216"/>
      <c r="F120" s="282" t="s">
        <v>2815</v>
      </c>
      <c r="G120" s="242"/>
      <c r="H120" s="243"/>
      <c r="I120" s="310"/>
      <c r="J120" s="310"/>
      <c r="K120" s="310"/>
      <c r="L120" s="311"/>
      <c r="M120" s="310"/>
      <c r="N120" s="310"/>
      <c r="O120" s="272"/>
      <c r="P120" s="272"/>
      <c r="Q120" s="272"/>
      <c r="R120" s="272"/>
      <c r="S120" s="272"/>
      <c r="T120" s="272"/>
      <c r="U120" s="310"/>
      <c r="V120" s="310"/>
      <c r="W120" s="310"/>
      <c r="X120" s="311"/>
      <c r="Y120" s="310"/>
      <c r="Z120" s="310"/>
      <c r="AA120" s="272"/>
      <c r="AB120" s="272"/>
      <c r="AC120" s="272"/>
      <c r="AD120" s="272"/>
      <c r="AE120" s="272"/>
      <c r="AF120" s="272"/>
      <c r="AG120" s="248"/>
      <c r="AH120" s="269"/>
    </row>
    <row r="121" spans="1:36" ht="14.1" hidden="1" customHeight="1" outlineLevel="1">
      <c r="B121" s="192" t="s">
        <v>2921</v>
      </c>
      <c r="E121" s="216" t="s">
        <v>2922</v>
      </c>
      <c r="F121" s="246" t="s">
        <v>2816</v>
      </c>
      <c r="G121" s="242"/>
      <c r="H121" s="243"/>
      <c r="I121" s="247">
        <v>0</v>
      </c>
      <c r="J121" s="247">
        <v>0</v>
      </c>
      <c r="K121" s="247">
        <v>0</v>
      </c>
      <c r="L121" s="247">
        <v>0</v>
      </c>
      <c r="M121" s="247">
        <v>0</v>
      </c>
      <c r="N121" s="247"/>
      <c r="O121" s="247">
        <f>-SUMIF('Other Exp'!$F:$F,'FY25 S.3'!$F121,'Other Exp'!U:U)</f>
        <v>0</v>
      </c>
      <c r="P121" s="247">
        <f>-SUMIF('Other Exp'!$F:$F,'FY25 S.3'!$F121,'Other Exp'!V:V)</f>
        <v>0</v>
      </c>
      <c r="Q121" s="247">
        <f>-SUMIF('Other Exp'!$F:$F,'FY25 S.3'!$F121,'Other Exp'!W:W)</f>
        <v>0</v>
      </c>
      <c r="R121" s="247">
        <f>-SUMIF('Other Exp'!$F:$F,'FY25 S.3'!$F121,'Other Exp'!X:X)</f>
        <v>0</v>
      </c>
      <c r="S121" s="247">
        <f>-SUMIF('Other Exp'!$F:$F,'FY25 S.3'!$F121,'Other Exp'!Y:Y)</f>
        <v>0</v>
      </c>
      <c r="T121" s="247">
        <f>-SUMIF('Other Exp'!$F:$F,'FY25 S.3'!$F121,'Other Exp'!Z:Z)</f>
        <v>0</v>
      </c>
      <c r="U121" s="247">
        <f>-SUMIF('Other Exp'!$F:$F,'FY25 S.3'!$F121,'Other Exp'!AG:AG)</f>
        <v>0</v>
      </c>
      <c r="V121" s="247">
        <f>-SUMIF('Other Exp'!$F:$F,'FY25 S.3'!$F121,'Other Exp'!AH:AH)</f>
        <v>0</v>
      </c>
      <c r="W121" s="247">
        <f>-SUMIF('Other Exp'!$F:$F,'FY25 S.3'!$F121,'Other Exp'!AI:AI)</f>
        <v>0</v>
      </c>
      <c r="X121" s="247">
        <f>-SUMIF('Other Exp'!$F:$F,'FY25 S.3'!$F121,'Other Exp'!AJ:AJ)</f>
        <v>0</v>
      </c>
      <c r="Y121" s="247">
        <f>-SUMIF('Other Exp'!$F:$F,'FY25 S.3'!$F121,'Other Exp'!AK:AK)</f>
        <v>0</v>
      </c>
      <c r="Z121" s="247">
        <f>-SUMIF('Other Exp'!$F:$F,'FY25 S.3'!$F121,'Other Exp'!AL:AL)</f>
        <v>0</v>
      </c>
      <c r="AA121" s="247">
        <f>-SUMIF('Other Exp'!$F:$F,'FY25 S.3'!$F121,'Other Exp'!AM:AM)</f>
        <v>0</v>
      </c>
      <c r="AB121" s="247">
        <f>-SUMIF('Other Exp'!$F:$F,'FY25 S.3'!$F121,'Other Exp'!AN:AN)</f>
        <v>0</v>
      </c>
      <c r="AC121" s="247">
        <f>-SUMIF('Other Exp'!$F:$F,'FY25 S.3'!$F121,'Other Exp'!AO:AO)</f>
        <v>0</v>
      </c>
      <c r="AD121" s="247">
        <f>-SUMIF('Other Exp'!$F:$F,'FY25 S.3'!$F121,'Other Exp'!AP:AP)</f>
        <v>0</v>
      </c>
      <c r="AE121" s="247">
        <f>-SUMIF('Other Exp'!$F:$F,'FY25 S.3'!$F121,'Other Exp'!AQ:AQ)</f>
        <v>0</v>
      </c>
      <c r="AF121" s="247">
        <f>-SUMIF('Other Exp'!$F:$F,'FY25 S.3'!$F121,'Other Exp'!AR:AR)</f>
        <v>0</v>
      </c>
      <c r="AG121" s="251">
        <f>SUM(I121:T121)</f>
        <v>0</v>
      </c>
      <c r="AH121" s="252"/>
    </row>
    <row r="122" spans="1:36" ht="14.1" hidden="1" customHeight="1" outlineLevel="1">
      <c r="B122" s="192">
        <v>502030</v>
      </c>
      <c r="E122" s="221"/>
      <c r="F122" s="246" t="s">
        <v>2817</v>
      </c>
      <c r="G122" s="242"/>
      <c r="H122" s="243"/>
      <c r="I122" s="247">
        <v>-10000</v>
      </c>
      <c r="J122" s="247">
        <v>0</v>
      </c>
      <c r="K122" s="247">
        <v>-30280</v>
      </c>
      <c r="L122" s="247">
        <v>0</v>
      </c>
      <c r="M122" s="247">
        <v>0</v>
      </c>
      <c r="N122" s="247"/>
      <c r="O122" s="247">
        <f>-SUMIF('Other Exp'!$F:$F,'FY25 S.3'!$F122,'Other Exp'!U:U)</f>
        <v>0</v>
      </c>
      <c r="P122" s="247">
        <f>-SUMIF('Other Exp'!$F:$F,'FY25 S.3'!$F122,'Other Exp'!V:V)</f>
        <v>0</v>
      </c>
      <c r="Q122" s="247">
        <f>-SUMIF('Other Exp'!$F:$F,'FY25 S.3'!$F122,'Other Exp'!W:W)</f>
        <v>0</v>
      </c>
      <c r="R122" s="247">
        <f>-SUMIF('Other Exp'!$F:$F,'FY25 S.3'!$F122,'Other Exp'!X:X)</f>
        <v>0</v>
      </c>
      <c r="S122" s="247">
        <f>-SUMIF('Other Exp'!$F:$F,'FY25 S.3'!$F122,'Other Exp'!Y:Y)</f>
        <v>0</v>
      </c>
      <c r="T122" s="247">
        <f>-SUMIF('Other Exp'!$F:$F,'FY25 S.3'!$F122,'Other Exp'!Z:Z)</f>
        <v>0</v>
      </c>
      <c r="U122" s="247">
        <f>-SUMIF('Other Exp'!$F:$F,'FY25 S.3'!$F122,'Other Exp'!AG:AG)</f>
        <v>0</v>
      </c>
      <c r="V122" s="247">
        <f>-SUMIF('Other Exp'!$F:$F,'FY25 S.3'!$F122,'Other Exp'!AH:AH)</f>
        <v>0</v>
      </c>
      <c r="W122" s="247">
        <f>-SUMIF('Other Exp'!$F:$F,'FY25 S.3'!$F122,'Other Exp'!AI:AI)</f>
        <v>-31794</v>
      </c>
      <c r="X122" s="247">
        <f>-SUMIF('Other Exp'!$F:$F,'FY25 S.3'!$F122,'Other Exp'!AJ:AJ)</f>
        <v>0</v>
      </c>
      <c r="Y122" s="247">
        <f>-SUMIF('Other Exp'!$F:$F,'FY25 S.3'!$F122,'Other Exp'!AK:AK)</f>
        <v>0</v>
      </c>
      <c r="Z122" s="247">
        <f>-SUMIF('Other Exp'!$F:$F,'FY25 S.3'!$F122,'Other Exp'!AL:AL)</f>
        <v>0</v>
      </c>
      <c r="AA122" s="247">
        <f>-SUMIF('Other Exp'!$F:$F,'FY25 S.3'!$F122,'Other Exp'!AM:AM)</f>
        <v>0</v>
      </c>
      <c r="AB122" s="247">
        <f>-SUMIF('Other Exp'!$F:$F,'FY25 S.3'!$F122,'Other Exp'!AN:AN)</f>
        <v>0</v>
      </c>
      <c r="AC122" s="247">
        <f>-SUMIF('Other Exp'!$F:$F,'FY25 S.3'!$F122,'Other Exp'!AO:AO)</f>
        <v>0</v>
      </c>
      <c r="AD122" s="247">
        <f>-SUMIF('Other Exp'!$F:$F,'FY25 S.3'!$F122,'Other Exp'!AP:AP)</f>
        <v>0</v>
      </c>
      <c r="AE122" s="247">
        <f>-SUMIF('Other Exp'!$F:$F,'FY25 S.3'!$F122,'Other Exp'!AQ:AQ)</f>
        <v>0</v>
      </c>
      <c r="AF122" s="247">
        <f>-SUMIF('Other Exp'!$F:$F,'FY25 S.3'!$F122,'Other Exp'!AR:AR)</f>
        <v>0</v>
      </c>
      <c r="AG122" s="251">
        <f>SUM(I122:T122)</f>
        <v>-40280</v>
      </c>
      <c r="AH122" s="252"/>
    </row>
    <row r="123" spans="1:36" collapsed="1">
      <c r="B123" s="192" t="s">
        <v>2923</v>
      </c>
      <c r="E123" s="216" t="s">
        <v>2922</v>
      </c>
      <c r="F123" s="246" t="s">
        <v>2818</v>
      </c>
      <c r="G123" s="242"/>
      <c r="H123" s="243"/>
      <c r="I123" s="247">
        <v>0</v>
      </c>
      <c r="J123" s="247">
        <v>-20997</v>
      </c>
      <c r="K123" s="247">
        <v>0</v>
      </c>
      <c r="L123" s="247">
        <v>0</v>
      </c>
      <c r="M123" s="247">
        <v>-13998</v>
      </c>
      <c r="N123" s="247">
        <v>0</v>
      </c>
      <c r="O123" s="247">
        <f>-SUMIF('Other Exp'!$F:$F,'FY25 S.3'!$F123,'Other Exp'!U:U)</f>
        <v>-4839.7999999999993</v>
      </c>
      <c r="P123" s="247">
        <f>-SUMIF('Other Exp'!$F:$F,'FY25 S.3'!$F123,'Other Exp'!V:V)</f>
        <v>-4839.7999999999993</v>
      </c>
      <c r="Q123" s="247">
        <f>-SUMIF('Other Exp'!$F:$F,'FY25 S.3'!$F123,'Other Exp'!W:W)</f>
        <v>-4839.7999999999993</v>
      </c>
      <c r="R123" s="247">
        <f>-SUMIF('Other Exp'!$F:$F,'FY25 S.3'!$F123,'Other Exp'!X:X)</f>
        <v>-4839.7999999999993</v>
      </c>
      <c r="S123" s="247">
        <f>-SUMIF('Other Exp'!$F:$F,'FY25 S.3'!$F123,'Other Exp'!Y:Y)</f>
        <v>-4839.7999999999993</v>
      </c>
      <c r="T123" s="247">
        <f>-SUMIF('Other Exp'!$F:$F,'FY25 S.3'!$F123,'Other Exp'!Z:Z)</f>
        <v>-4839.7999999999993</v>
      </c>
      <c r="U123" s="247">
        <f>-SUMIF('Other Exp'!$F:$F,'FY25 S.3'!$F123,'Other Exp'!AG:AG)</f>
        <v>-8058.3083333333325</v>
      </c>
      <c r="V123" s="247">
        <f>-SUMIF('Other Exp'!$F:$F,'FY25 S.3'!$F123,'Other Exp'!AH:AH)</f>
        <v>-8038.833333333333</v>
      </c>
      <c r="W123" s="247">
        <f>-SUMIF('Other Exp'!$F:$F,'FY25 S.3'!$F123,'Other Exp'!AI:AI)</f>
        <v>-8038.833333333333</v>
      </c>
      <c r="X123" s="247">
        <f>-SUMIF('Other Exp'!$F:$F,'FY25 S.3'!$F123,'Other Exp'!AJ:AJ)</f>
        <v>-8038.833333333333</v>
      </c>
      <c r="Y123" s="247">
        <f>-SUMIF('Other Exp'!$F:$F,'FY25 S.3'!$F123,'Other Exp'!AK:AK)</f>
        <v>-8038.833333333333</v>
      </c>
      <c r="Z123" s="247">
        <f>-SUMIF('Other Exp'!$F:$F,'FY25 S.3'!$F123,'Other Exp'!AL:AL)</f>
        <v>-8038.833333333333</v>
      </c>
      <c r="AA123" s="247">
        <f>-SUMIF('Other Exp'!$F:$F,'FY25 S.3'!$F123,'Other Exp'!AM:AM)</f>
        <v>-8038.833333333333</v>
      </c>
      <c r="AB123" s="247">
        <f>-SUMIF('Other Exp'!$F:$F,'FY25 S.3'!$F123,'Other Exp'!AN:AN)</f>
        <v>-8038.833333333333</v>
      </c>
      <c r="AC123" s="247">
        <f>-SUMIF('Other Exp'!$F:$F,'FY25 S.3'!$F123,'Other Exp'!AO:AO)</f>
        <v>-8038.833333333333</v>
      </c>
      <c r="AD123" s="247">
        <f>-SUMIF('Other Exp'!$F:$F,'FY25 S.3'!$F123,'Other Exp'!AP:AP)</f>
        <v>-8038.833333333333</v>
      </c>
      <c r="AE123" s="247">
        <f>-SUMIF('Other Exp'!$F:$F,'FY25 S.3'!$F123,'Other Exp'!AQ:AQ)</f>
        <v>-8038.833333333333</v>
      </c>
      <c r="AF123" s="247">
        <f>-SUMIF('Other Exp'!$F:$F,'FY25 S.3'!$F123,'Other Exp'!AR:AR)</f>
        <v>-8038.833333333333</v>
      </c>
      <c r="AG123" s="251">
        <f>SUM(I123:T123)</f>
        <v>-64033.800000000017</v>
      </c>
      <c r="AH123" s="252"/>
    </row>
    <row r="124" spans="1:36">
      <c r="E124" s="304"/>
      <c r="F124" s="299" t="s">
        <v>2815</v>
      </c>
      <c r="G124" s="300"/>
      <c r="H124" s="243"/>
      <c r="I124" s="301">
        <f>SUBTOTAL(9,I121:I123)</f>
        <v>-10000</v>
      </c>
      <c r="J124" s="301">
        <f>SUBTOTAL(9,J121:J123)</f>
        <v>-20997</v>
      </c>
      <c r="K124" s="301">
        <f t="shared" ref="K124:V124" si="75">SUBTOTAL(9,K121:K123)</f>
        <v>-30280</v>
      </c>
      <c r="L124" s="301">
        <f t="shared" si="75"/>
        <v>0</v>
      </c>
      <c r="M124" s="301">
        <f t="shared" si="75"/>
        <v>-13998</v>
      </c>
      <c r="N124" s="301">
        <f t="shared" si="75"/>
        <v>0</v>
      </c>
      <c r="O124" s="301">
        <f t="shared" si="75"/>
        <v>-4839.7999999999993</v>
      </c>
      <c r="P124" s="301">
        <f t="shared" si="75"/>
        <v>-4839.7999999999993</v>
      </c>
      <c r="Q124" s="301">
        <f t="shared" si="75"/>
        <v>-4839.7999999999993</v>
      </c>
      <c r="R124" s="301">
        <f t="shared" si="75"/>
        <v>-4839.7999999999993</v>
      </c>
      <c r="S124" s="301">
        <f t="shared" si="75"/>
        <v>-4839.7999999999993</v>
      </c>
      <c r="T124" s="301">
        <f t="shared" si="75"/>
        <v>-4839.7999999999993</v>
      </c>
      <c r="U124" s="301">
        <f t="shared" si="75"/>
        <v>-8058.3083333333325</v>
      </c>
      <c r="V124" s="301">
        <f t="shared" si="75"/>
        <v>-8038.833333333333</v>
      </c>
      <c r="W124" s="301">
        <f t="shared" ref="W124:AG124" si="76">SUBTOTAL(9,W121:W123)</f>
        <v>-39832.833333333336</v>
      </c>
      <c r="X124" s="301">
        <f t="shared" si="76"/>
        <v>-8038.833333333333</v>
      </c>
      <c r="Y124" s="301">
        <f t="shared" si="76"/>
        <v>-8038.833333333333</v>
      </c>
      <c r="Z124" s="301">
        <f t="shared" si="76"/>
        <v>-8038.833333333333</v>
      </c>
      <c r="AA124" s="301">
        <f t="shared" si="76"/>
        <v>-8038.833333333333</v>
      </c>
      <c r="AB124" s="301">
        <f t="shared" si="76"/>
        <v>-8038.833333333333</v>
      </c>
      <c r="AC124" s="301">
        <f t="shared" si="76"/>
        <v>-8038.833333333333</v>
      </c>
      <c r="AD124" s="301">
        <f t="shared" si="76"/>
        <v>-8038.833333333333</v>
      </c>
      <c r="AE124" s="301">
        <f t="shared" si="76"/>
        <v>-8038.833333333333</v>
      </c>
      <c r="AF124" s="301">
        <f t="shared" si="76"/>
        <v>-8038.833333333333</v>
      </c>
      <c r="AG124" s="302">
        <f t="shared" si="76"/>
        <v>-104313.80000000002</v>
      </c>
      <c r="AH124" s="295"/>
    </row>
    <row r="125" spans="1:36" s="191" customFormat="1" ht="15" customHeight="1">
      <c r="A125" s="264"/>
      <c r="B125" s="264"/>
      <c r="C125" s="264"/>
      <c r="D125" s="264"/>
      <c r="E125" s="216"/>
      <c r="F125" s="312"/>
      <c r="G125" s="242"/>
      <c r="H125" s="243"/>
      <c r="I125" s="310"/>
      <c r="J125" s="310"/>
      <c r="K125" s="310"/>
      <c r="L125" s="310"/>
      <c r="M125" s="310"/>
      <c r="N125" s="310"/>
      <c r="O125" s="272"/>
      <c r="P125" s="272"/>
      <c r="Q125" s="272"/>
      <c r="R125" s="272"/>
      <c r="S125" s="272"/>
      <c r="T125" s="272"/>
      <c r="U125" s="310"/>
      <c r="V125" s="310"/>
      <c r="W125" s="310"/>
      <c r="X125" s="310"/>
      <c r="Y125" s="310"/>
      <c r="Z125" s="310"/>
      <c r="AA125" s="272"/>
      <c r="AB125" s="272"/>
      <c r="AC125" s="272"/>
      <c r="AD125" s="272"/>
      <c r="AE125" s="272"/>
      <c r="AF125" s="272"/>
      <c r="AG125" s="248"/>
      <c r="AH125" s="269"/>
      <c r="AI125" s="270"/>
      <c r="AJ125" s="270"/>
    </row>
    <row r="126" spans="1:36" s="191" customFormat="1">
      <c r="A126" s="264"/>
      <c r="B126" s="264"/>
      <c r="C126" s="264"/>
      <c r="D126" s="264"/>
      <c r="E126" s="216"/>
      <c r="F126" s="265" t="s">
        <v>2819</v>
      </c>
      <c r="G126" s="266"/>
      <c r="H126" s="243"/>
      <c r="I126" s="267">
        <f t="shared" ref="I126:T126" si="77">I48+I69+I80+I98+I118+I124</f>
        <v>-1595186.2980766001</v>
      </c>
      <c r="J126" s="267">
        <f t="shared" si="77"/>
        <v>-1805831.7973698899</v>
      </c>
      <c r="K126" s="267">
        <f t="shared" si="77"/>
        <v>-3091377.0605199402</v>
      </c>
      <c r="L126" s="267">
        <f t="shared" si="77"/>
        <v>-2233853.3999537402</v>
      </c>
      <c r="M126" s="267">
        <f t="shared" si="77"/>
        <v>-2802118.0780646401</v>
      </c>
      <c r="N126" s="267">
        <f t="shared" si="77"/>
        <v>-2020310.9640621</v>
      </c>
      <c r="O126" s="267" t="e">
        <f t="shared" si="77"/>
        <v>#REF!</v>
      </c>
      <c r="P126" s="267" t="e">
        <f t="shared" si="77"/>
        <v>#REF!</v>
      </c>
      <c r="Q126" s="267" t="e">
        <f t="shared" si="77"/>
        <v>#REF!</v>
      </c>
      <c r="R126" s="267" t="e">
        <f t="shared" si="77"/>
        <v>#REF!</v>
      </c>
      <c r="S126" s="267" t="e">
        <f t="shared" si="77"/>
        <v>#REF!</v>
      </c>
      <c r="T126" s="267" t="e">
        <f t="shared" si="77"/>
        <v>#REF!</v>
      </c>
      <c r="U126" s="267" t="e">
        <f t="shared" ref="U126:AF126" si="78">U48+U69+U80+U98+U118+U124</f>
        <v>#REF!</v>
      </c>
      <c r="V126" s="267" t="e">
        <f t="shared" si="78"/>
        <v>#REF!</v>
      </c>
      <c r="W126" s="267" t="e">
        <f t="shared" si="78"/>
        <v>#REF!</v>
      </c>
      <c r="X126" s="267" t="e">
        <f t="shared" si="78"/>
        <v>#REF!</v>
      </c>
      <c r="Y126" s="267" t="e">
        <f t="shared" si="78"/>
        <v>#REF!</v>
      </c>
      <c r="Z126" s="267" t="e">
        <f t="shared" si="78"/>
        <v>#REF!</v>
      </c>
      <c r="AA126" s="267" t="e">
        <f t="shared" si="78"/>
        <v>#REF!</v>
      </c>
      <c r="AB126" s="267" t="e">
        <f t="shared" si="78"/>
        <v>#REF!</v>
      </c>
      <c r="AC126" s="267" t="e">
        <f t="shared" si="78"/>
        <v>#REF!</v>
      </c>
      <c r="AD126" s="267" t="e">
        <f t="shared" si="78"/>
        <v>#REF!</v>
      </c>
      <c r="AE126" s="267" t="e">
        <f t="shared" si="78"/>
        <v>#REF!</v>
      </c>
      <c r="AF126" s="267" t="e">
        <f t="shared" si="78"/>
        <v>#REF!</v>
      </c>
      <c r="AG126" s="268" t="e">
        <f>SUM(I126:T126)</f>
        <v>#REF!</v>
      </c>
      <c r="AH126" s="269"/>
      <c r="AI126" s="270"/>
      <c r="AJ126" s="270"/>
    </row>
    <row r="127" spans="1:36" s="191" customFormat="1">
      <c r="A127" s="264"/>
      <c r="B127" s="264"/>
      <c r="C127" s="264"/>
      <c r="D127" s="264"/>
      <c r="E127" s="216"/>
      <c r="F127" s="313"/>
      <c r="G127" s="242"/>
      <c r="H127" s="243"/>
      <c r="I127" s="272"/>
      <c r="J127" s="272"/>
      <c r="K127" s="272"/>
      <c r="L127" s="272"/>
      <c r="M127" s="272"/>
      <c r="N127" s="272"/>
      <c r="O127" s="272"/>
      <c r="P127" s="272"/>
      <c r="Q127" s="272"/>
      <c r="R127" s="272"/>
      <c r="S127" s="272"/>
      <c r="T127" s="272"/>
      <c r="U127" s="272"/>
      <c r="V127" s="272"/>
      <c r="W127" s="272"/>
      <c r="X127" s="272"/>
      <c r="Y127" s="272"/>
      <c r="Z127" s="272"/>
      <c r="AA127" s="272"/>
      <c r="AB127" s="272"/>
      <c r="AC127" s="272"/>
      <c r="AD127" s="272"/>
      <c r="AE127" s="272"/>
      <c r="AF127" s="272"/>
      <c r="AG127" s="248"/>
      <c r="AH127" s="269"/>
      <c r="AI127" s="270"/>
      <c r="AJ127" s="270"/>
    </row>
    <row r="128" spans="1:36" s="191" customFormat="1">
      <c r="A128" s="264"/>
      <c r="B128" s="264"/>
      <c r="C128" s="264"/>
      <c r="D128" s="264"/>
      <c r="E128" s="216"/>
      <c r="F128" s="265" t="s">
        <v>2820</v>
      </c>
      <c r="G128" s="266"/>
      <c r="H128" s="243"/>
      <c r="I128" s="267">
        <f t="shared" ref="I128:N128" si="79">I26+I126</f>
        <v>698052.98634920001</v>
      </c>
      <c r="J128" s="267">
        <f t="shared" si="79"/>
        <v>-1796975.3903199399</v>
      </c>
      <c r="K128" s="267">
        <f t="shared" si="79"/>
        <v>-3067895.47008808</v>
      </c>
      <c r="L128" s="267">
        <f t="shared" si="79"/>
        <v>-2180258.6666815602</v>
      </c>
      <c r="M128" s="267">
        <f t="shared" si="79"/>
        <v>-1265534.6713367701</v>
      </c>
      <c r="N128" s="267">
        <f t="shared" si="79"/>
        <v>-2017689.9291445999</v>
      </c>
      <c r="O128" s="267" t="e">
        <f t="shared" ref="O128:AG128" si="80">O26+O126</f>
        <v>#REF!</v>
      </c>
      <c r="P128" s="267" t="e">
        <f t="shared" si="80"/>
        <v>#REF!</v>
      </c>
      <c r="Q128" s="267" t="e">
        <f t="shared" si="80"/>
        <v>#REF!</v>
      </c>
      <c r="R128" s="267" t="e">
        <f t="shared" si="80"/>
        <v>#REF!</v>
      </c>
      <c r="S128" s="267" t="e">
        <f t="shared" si="80"/>
        <v>#REF!</v>
      </c>
      <c r="T128" s="267" t="e">
        <f t="shared" si="80"/>
        <v>#REF!</v>
      </c>
      <c r="U128" s="267" t="e">
        <f t="shared" si="80"/>
        <v>#REF!</v>
      </c>
      <c r="V128" s="267" t="e">
        <f t="shared" si="80"/>
        <v>#REF!</v>
      </c>
      <c r="W128" s="267" t="e">
        <f t="shared" si="80"/>
        <v>#REF!</v>
      </c>
      <c r="X128" s="267" t="e">
        <f t="shared" si="80"/>
        <v>#REF!</v>
      </c>
      <c r="Y128" s="267" t="e">
        <f t="shared" si="80"/>
        <v>#REF!</v>
      </c>
      <c r="Z128" s="267" t="e">
        <f t="shared" si="80"/>
        <v>#REF!</v>
      </c>
      <c r="AA128" s="267" t="e">
        <f t="shared" si="80"/>
        <v>#REF!</v>
      </c>
      <c r="AB128" s="267" t="e">
        <f t="shared" si="80"/>
        <v>#REF!</v>
      </c>
      <c r="AC128" s="267" t="e">
        <f t="shared" si="80"/>
        <v>#REF!</v>
      </c>
      <c r="AD128" s="267" t="e">
        <f t="shared" si="80"/>
        <v>#REF!</v>
      </c>
      <c r="AE128" s="267" t="e">
        <f t="shared" si="80"/>
        <v>#REF!</v>
      </c>
      <c r="AF128" s="267" t="e">
        <f t="shared" si="80"/>
        <v>#REF!</v>
      </c>
      <c r="AG128" s="268" t="e">
        <f t="shared" si="80"/>
        <v>#REF!</v>
      </c>
      <c r="AH128" s="269"/>
      <c r="AI128" s="270"/>
      <c r="AJ128" s="270"/>
    </row>
    <row r="129" spans="1:36" s="191" customFormat="1">
      <c r="A129" s="264"/>
      <c r="B129" s="264"/>
      <c r="C129" s="264"/>
      <c r="D129" s="264"/>
      <c r="E129" s="216"/>
      <c r="F129" s="313"/>
      <c r="G129" s="242"/>
      <c r="H129" s="243"/>
      <c r="I129" s="272"/>
      <c r="J129" s="272"/>
      <c r="K129" s="272"/>
      <c r="L129" s="272"/>
      <c r="M129" s="272"/>
      <c r="N129" s="272"/>
      <c r="O129" s="272"/>
      <c r="P129" s="272"/>
      <c r="Q129" s="272"/>
      <c r="R129" s="272"/>
      <c r="S129" s="272"/>
      <c r="T129" s="272"/>
      <c r="U129" s="272"/>
      <c r="V129" s="272"/>
      <c r="W129" s="272"/>
      <c r="X129" s="272"/>
      <c r="Y129" s="272"/>
      <c r="Z129" s="272"/>
      <c r="AA129" s="272"/>
      <c r="AB129" s="272"/>
      <c r="AC129" s="272"/>
      <c r="AD129" s="272"/>
      <c r="AE129" s="272"/>
      <c r="AF129" s="272"/>
      <c r="AG129" s="248"/>
      <c r="AH129" s="269"/>
      <c r="AI129" s="270"/>
      <c r="AJ129" s="270"/>
    </row>
    <row r="130" spans="1:36" s="191" customFormat="1">
      <c r="A130" s="314"/>
      <c r="B130" s="315"/>
      <c r="C130" s="315"/>
      <c r="D130" s="315"/>
      <c r="E130" s="316"/>
      <c r="F130" s="317" t="s">
        <v>2821</v>
      </c>
      <c r="G130" s="318"/>
      <c r="H130" s="319"/>
      <c r="I130" s="320">
        <v>26644480</v>
      </c>
      <c r="J130" s="321">
        <f t="shared" ref="J130:T130" si="81">I162</f>
        <v>27342532.986349199</v>
      </c>
      <c r="K130" s="321">
        <f t="shared" si="81"/>
        <v>20445557.5960293</v>
      </c>
      <c r="L130" s="321">
        <f t="shared" si="81"/>
        <v>17377662.125941198</v>
      </c>
      <c r="M130" s="321">
        <f t="shared" si="81"/>
        <v>15197403.459259599</v>
      </c>
      <c r="N130" s="321">
        <f t="shared" si="81"/>
        <v>13931868.7879229</v>
      </c>
      <c r="O130" s="321">
        <f t="shared" si="81"/>
        <v>11914178.8587783</v>
      </c>
      <c r="P130" s="321" t="e">
        <f t="shared" si="81"/>
        <v>#REF!</v>
      </c>
      <c r="Q130" s="321" t="e">
        <f t="shared" si="81"/>
        <v>#REF!</v>
      </c>
      <c r="R130" s="321" t="e">
        <f t="shared" si="81"/>
        <v>#REF!</v>
      </c>
      <c r="S130" s="321" t="e">
        <f t="shared" si="81"/>
        <v>#REF!</v>
      </c>
      <c r="T130" s="321" t="e">
        <f t="shared" si="81"/>
        <v>#REF!</v>
      </c>
      <c r="U130" s="321" t="e">
        <f t="shared" ref="U130:V130" si="82">T162</f>
        <v>#REF!</v>
      </c>
      <c r="V130" s="321" t="e">
        <f t="shared" si="82"/>
        <v>#REF!</v>
      </c>
      <c r="W130" s="321" t="e">
        <f t="shared" ref="W130" si="83">V162</f>
        <v>#REF!</v>
      </c>
      <c r="X130" s="321" t="e">
        <f t="shared" ref="X130" si="84">W162</f>
        <v>#REF!</v>
      </c>
      <c r="Y130" s="321" t="e">
        <f t="shared" ref="Y130" si="85">X162</f>
        <v>#REF!</v>
      </c>
      <c r="Z130" s="321" t="e">
        <f t="shared" ref="Z130" si="86">Y162</f>
        <v>#REF!</v>
      </c>
      <c r="AA130" s="321" t="e">
        <f t="shared" ref="AA130" si="87">Z162</f>
        <v>#REF!</v>
      </c>
      <c r="AB130" s="321" t="e">
        <f t="shared" ref="AB130" si="88">AA162</f>
        <v>#REF!</v>
      </c>
      <c r="AC130" s="321" t="e">
        <f t="shared" ref="AC130" si="89">AB162</f>
        <v>#REF!</v>
      </c>
      <c r="AD130" s="321" t="e">
        <f t="shared" ref="AD130" si="90">AC162</f>
        <v>#REF!</v>
      </c>
      <c r="AE130" s="321" t="e">
        <f t="shared" ref="AE130" si="91">AD162</f>
        <v>#REF!</v>
      </c>
      <c r="AF130" s="321" t="e">
        <f t="shared" ref="AF130" si="92">AE162</f>
        <v>#REF!</v>
      </c>
      <c r="AG130" s="322">
        <f>I130</f>
        <v>26644480</v>
      </c>
      <c r="AH130" s="269"/>
      <c r="AI130" s="270"/>
      <c r="AJ130" s="270"/>
    </row>
    <row r="131" spans="1:36" s="191" customFormat="1">
      <c r="A131" s="323"/>
      <c r="B131" s="264"/>
      <c r="C131" s="264"/>
      <c r="D131" s="264"/>
      <c r="E131" s="216"/>
      <c r="F131" s="324"/>
      <c r="G131" s="242"/>
      <c r="H131" s="243"/>
      <c r="I131" s="272"/>
      <c r="J131" s="272"/>
      <c r="K131" s="272"/>
      <c r="L131" s="272"/>
      <c r="M131" s="272"/>
      <c r="N131" s="272"/>
      <c r="O131" s="272"/>
      <c r="P131" s="272"/>
      <c r="Q131" s="272"/>
      <c r="R131" s="272"/>
      <c r="S131" s="272"/>
      <c r="T131" s="272"/>
      <c r="U131" s="272"/>
      <c r="V131" s="272"/>
      <c r="W131" s="272"/>
      <c r="X131" s="272"/>
      <c r="Y131" s="272"/>
      <c r="Z131" s="272"/>
      <c r="AA131" s="272"/>
      <c r="AB131" s="272"/>
      <c r="AC131" s="272"/>
      <c r="AD131" s="272"/>
      <c r="AE131" s="272"/>
      <c r="AF131" s="272"/>
      <c r="AG131" s="325"/>
      <c r="AH131" s="269"/>
      <c r="AI131" s="270"/>
      <c r="AJ131" s="270"/>
    </row>
    <row r="132" spans="1:36" s="191" customFormat="1">
      <c r="A132" s="323"/>
      <c r="B132" s="264"/>
      <c r="C132" s="264"/>
      <c r="D132" s="264"/>
      <c r="E132" s="216"/>
      <c r="F132" s="324" t="s">
        <v>2822</v>
      </c>
      <c r="G132" s="242"/>
      <c r="H132" s="243"/>
      <c r="I132" s="272">
        <f t="shared" ref="I132:T132" si="93">I128</f>
        <v>698052.98634920001</v>
      </c>
      <c r="J132" s="272">
        <f t="shared" si="93"/>
        <v>-1796975.3903199399</v>
      </c>
      <c r="K132" s="272">
        <f t="shared" si="93"/>
        <v>-3067895.47008808</v>
      </c>
      <c r="L132" s="272">
        <f t="shared" si="93"/>
        <v>-2180258.6666815602</v>
      </c>
      <c r="M132" s="272">
        <f t="shared" si="93"/>
        <v>-1265534.6713367701</v>
      </c>
      <c r="N132" s="272">
        <f t="shared" si="93"/>
        <v>-2017689.9291445999</v>
      </c>
      <c r="O132" s="272" t="e">
        <f t="shared" si="93"/>
        <v>#REF!</v>
      </c>
      <c r="P132" s="272" t="e">
        <f t="shared" si="93"/>
        <v>#REF!</v>
      </c>
      <c r="Q132" s="272" t="e">
        <f t="shared" si="93"/>
        <v>#REF!</v>
      </c>
      <c r="R132" s="272" t="e">
        <f t="shared" si="93"/>
        <v>#REF!</v>
      </c>
      <c r="S132" s="272" t="e">
        <f t="shared" si="93"/>
        <v>#REF!</v>
      </c>
      <c r="T132" s="272" t="e">
        <f t="shared" si="93"/>
        <v>#REF!</v>
      </c>
      <c r="U132" s="272" t="e">
        <f t="shared" ref="U132:AF132" si="94">U128</f>
        <v>#REF!</v>
      </c>
      <c r="V132" s="272" t="e">
        <f t="shared" si="94"/>
        <v>#REF!</v>
      </c>
      <c r="W132" s="272" t="e">
        <f t="shared" si="94"/>
        <v>#REF!</v>
      </c>
      <c r="X132" s="272" t="e">
        <f t="shared" si="94"/>
        <v>#REF!</v>
      </c>
      <c r="Y132" s="272" t="e">
        <f t="shared" si="94"/>
        <v>#REF!</v>
      </c>
      <c r="Z132" s="272" t="e">
        <f t="shared" si="94"/>
        <v>#REF!</v>
      </c>
      <c r="AA132" s="272" t="e">
        <f t="shared" si="94"/>
        <v>#REF!</v>
      </c>
      <c r="AB132" s="272" t="e">
        <f t="shared" si="94"/>
        <v>#REF!</v>
      </c>
      <c r="AC132" s="272" t="e">
        <f t="shared" si="94"/>
        <v>#REF!</v>
      </c>
      <c r="AD132" s="272" t="e">
        <f t="shared" si="94"/>
        <v>#REF!</v>
      </c>
      <c r="AE132" s="272" t="e">
        <f t="shared" si="94"/>
        <v>#REF!</v>
      </c>
      <c r="AF132" s="272" t="e">
        <f t="shared" si="94"/>
        <v>#REF!</v>
      </c>
      <c r="AG132" s="325" t="e">
        <f>SUM(I132:T132)</f>
        <v>#REF!</v>
      </c>
      <c r="AH132" s="269"/>
      <c r="AI132" s="270"/>
      <c r="AJ132" s="270"/>
    </row>
    <row r="133" spans="1:36" s="191" customFormat="1">
      <c r="A133" s="323"/>
      <c r="B133" s="264"/>
      <c r="C133" s="264"/>
      <c r="D133" s="264"/>
      <c r="E133" s="216"/>
      <c r="F133" s="324"/>
      <c r="G133" s="242"/>
      <c r="H133" s="243"/>
      <c r="I133" s="272"/>
      <c r="J133" s="272"/>
      <c r="K133" s="272"/>
      <c r="L133" s="272"/>
      <c r="M133" s="272"/>
      <c r="N133" s="272"/>
      <c r="O133" s="272"/>
      <c r="P133" s="272"/>
      <c r="Q133" s="272"/>
      <c r="R133" s="272"/>
      <c r="S133" s="272"/>
      <c r="T133" s="272"/>
      <c r="U133" s="272"/>
      <c r="V133" s="272"/>
      <c r="W133" s="272"/>
      <c r="X133" s="272"/>
      <c r="Y133" s="272"/>
      <c r="Z133" s="272"/>
      <c r="AA133" s="272"/>
      <c r="AB133" s="272"/>
      <c r="AC133" s="272"/>
      <c r="AD133" s="272"/>
      <c r="AE133" s="272"/>
      <c r="AF133" s="272"/>
      <c r="AG133" s="325"/>
      <c r="AH133" s="269"/>
      <c r="AI133" s="270"/>
      <c r="AJ133" s="270"/>
    </row>
    <row r="134" spans="1:36" ht="14.1" hidden="1" customHeight="1" outlineLevel="1">
      <c r="E134" s="216"/>
      <c r="F134" s="326" t="s">
        <v>2846</v>
      </c>
      <c r="G134" s="242"/>
      <c r="H134" s="243"/>
      <c r="I134" s="310"/>
      <c r="J134" s="310"/>
      <c r="K134" s="310"/>
      <c r="L134" s="310"/>
      <c r="M134" s="310"/>
      <c r="N134" s="310"/>
      <c r="O134" s="272"/>
      <c r="P134" s="272"/>
      <c r="Q134" s="272"/>
      <c r="R134" s="272"/>
      <c r="S134" s="272"/>
      <c r="T134" s="272"/>
      <c r="U134" s="310"/>
      <c r="V134" s="310"/>
      <c r="W134" s="310"/>
      <c r="X134" s="310"/>
      <c r="Y134" s="310"/>
      <c r="Z134" s="310"/>
      <c r="AA134" s="272"/>
      <c r="AB134" s="272"/>
      <c r="AC134" s="272"/>
      <c r="AD134" s="272"/>
      <c r="AE134" s="272"/>
      <c r="AF134" s="272"/>
      <c r="AG134" s="327"/>
      <c r="AH134" s="328"/>
    </row>
    <row r="135" spans="1:36" ht="14.45" hidden="1" customHeight="1" outlineLevel="1">
      <c r="B135" s="192">
        <v>504011</v>
      </c>
      <c r="E135" s="216"/>
      <c r="F135" s="246" t="s">
        <v>2847</v>
      </c>
      <c r="G135" s="242"/>
      <c r="H135" s="243"/>
      <c r="I135" s="247"/>
      <c r="J135" s="247"/>
      <c r="K135" s="247"/>
      <c r="L135" s="247"/>
      <c r="M135" s="247"/>
      <c r="N135" s="247"/>
      <c r="O135" s="247"/>
      <c r="P135" s="247"/>
      <c r="Q135" s="247"/>
      <c r="R135" s="247"/>
      <c r="S135" s="247"/>
      <c r="T135" s="247"/>
      <c r="U135" s="247"/>
      <c r="V135" s="247"/>
      <c r="W135" s="247"/>
      <c r="X135" s="247"/>
      <c r="Y135" s="247"/>
      <c r="Z135" s="247"/>
      <c r="AA135" s="247"/>
      <c r="AB135" s="247"/>
      <c r="AC135" s="247"/>
      <c r="AD135" s="247"/>
      <c r="AE135" s="247"/>
      <c r="AF135" s="247"/>
      <c r="AG135" s="248">
        <f t="shared" ref="AG135:AG140" si="95">SUM(I135:T135)</f>
        <v>0</v>
      </c>
      <c r="AH135" s="249"/>
    </row>
    <row r="136" spans="1:36" ht="14.45" hidden="1" customHeight="1" outlineLevel="1">
      <c r="B136" s="192">
        <v>504014</v>
      </c>
      <c r="E136" s="216"/>
      <c r="F136" s="246" t="s">
        <v>2848</v>
      </c>
      <c r="G136" s="242"/>
      <c r="H136" s="243"/>
      <c r="I136" s="247"/>
      <c r="J136" s="247"/>
      <c r="K136" s="247"/>
      <c r="L136" s="247"/>
      <c r="M136" s="247"/>
      <c r="N136" s="247"/>
      <c r="O136" s="247"/>
      <c r="P136" s="247"/>
      <c r="Q136" s="247"/>
      <c r="R136" s="247"/>
      <c r="S136" s="247"/>
      <c r="T136" s="247"/>
      <c r="U136" s="247"/>
      <c r="V136" s="247"/>
      <c r="W136" s="247"/>
      <c r="X136" s="247"/>
      <c r="Y136" s="247"/>
      <c r="Z136" s="247"/>
      <c r="AA136" s="247"/>
      <c r="AB136" s="247"/>
      <c r="AC136" s="247"/>
      <c r="AD136" s="247"/>
      <c r="AE136" s="247"/>
      <c r="AF136" s="247"/>
      <c r="AG136" s="248">
        <f t="shared" si="95"/>
        <v>0</v>
      </c>
      <c r="AH136" s="249"/>
    </row>
    <row r="137" spans="1:36" ht="14.45" hidden="1" customHeight="1" outlineLevel="1">
      <c r="B137" s="192">
        <v>504015</v>
      </c>
      <c r="E137" s="216"/>
      <c r="F137" s="246" t="s">
        <v>2635</v>
      </c>
      <c r="G137" s="242"/>
      <c r="H137" s="243"/>
      <c r="I137" s="247"/>
      <c r="J137" s="247"/>
      <c r="K137" s="247"/>
      <c r="L137" s="247"/>
      <c r="M137" s="247"/>
      <c r="N137" s="247"/>
      <c r="O137" s="247"/>
      <c r="P137" s="247"/>
      <c r="Q137" s="247"/>
      <c r="R137" s="247"/>
      <c r="S137" s="247"/>
      <c r="T137" s="247"/>
      <c r="U137" s="247"/>
      <c r="V137" s="247"/>
      <c r="W137" s="247"/>
      <c r="X137" s="247"/>
      <c r="Y137" s="247"/>
      <c r="Z137" s="247"/>
      <c r="AA137" s="247"/>
      <c r="AB137" s="247"/>
      <c r="AC137" s="247"/>
      <c r="AD137" s="247"/>
      <c r="AE137" s="247"/>
      <c r="AF137" s="247"/>
      <c r="AG137" s="248">
        <f t="shared" si="95"/>
        <v>0</v>
      </c>
      <c r="AH137" s="249"/>
    </row>
    <row r="138" spans="1:36" ht="15" hidden="1" customHeight="1" outlineLevel="1">
      <c r="E138" s="216"/>
      <c r="F138" s="246" t="s">
        <v>2849</v>
      </c>
      <c r="G138" s="242"/>
      <c r="H138" s="243"/>
      <c r="I138" s="247"/>
      <c r="J138" s="247"/>
      <c r="K138" s="247"/>
      <c r="L138" s="247"/>
      <c r="M138" s="247"/>
      <c r="N138" s="247"/>
      <c r="O138" s="247"/>
      <c r="P138" s="247"/>
      <c r="Q138" s="247"/>
      <c r="R138" s="247"/>
      <c r="S138" s="247"/>
      <c r="T138" s="247"/>
      <c r="U138" s="247"/>
      <c r="V138" s="247"/>
      <c r="W138" s="247"/>
      <c r="X138" s="247"/>
      <c r="Y138" s="247"/>
      <c r="Z138" s="247"/>
      <c r="AA138" s="247"/>
      <c r="AB138" s="247"/>
      <c r="AC138" s="247"/>
      <c r="AD138" s="247"/>
      <c r="AE138" s="247"/>
      <c r="AF138" s="247"/>
      <c r="AG138" s="248">
        <f t="shared" si="95"/>
        <v>0</v>
      </c>
      <c r="AH138" s="249"/>
    </row>
    <row r="139" spans="1:36" ht="14.45" hidden="1" customHeight="1" outlineLevel="1">
      <c r="B139" s="192">
        <v>504016</v>
      </c>
      <c r="E139" s="216"/>
      <c r="F139" s="246" t="s">
        <v>2850</v>
      </c>
      <c r="G139" s="242"/>
      <c r="H139" s="243"/>
      <c r="I139" s="247"/>
      <c r="J139" s="247"/>
      <c r="K139" s="247"/>
      <c r="L139" s="247"/>
      <c r="M139" s="247"/>
      <c r="N139" s="247"/>
      <c r="O139" s="247"/>
      <c r="P139" s="247"/>
      <c r="Q139" s="247"/>
      <c r="R139" s="247"/>
      <c r="S139" s="247"/>
      <c r="T139" s="247"/>
      <c r="U139" s="247"/>
      <c r="V139" s="247"/>
      <c r="W139" s="247"/>
      <c r="X139" s="247"/>
      <c r="Y139" s="247"/>
      <c r="Z139" s="247"/>
      <c r="AA139" s="247"/>
      <c r="AB139" s="247"/>
      <c r="AC139" s="247"/>
      <c r="AD139" s="247"/>
      <c r="AE139" s="247"/>
      <c r="AF139" s="247"/>
      <c r="AG139" s="248">
        <f t="shared" si="95"/>
        <v>0</v>
      </c>
      <c r="AH139" s="249"/>
    </row>
    <row r="140" spans="1:36" ht="14.45" hidden="1" customHeight="1" outlineLevel="1">
      <c r="E140" s="216"/>
      <c r="F140" s="299" t="s">
        <v>2851</v>
      </c>
      <c r="G140" s="300"/>
      <c r="H140" s="243"/>
      <c r="I140" s="329">
        <f t="shared" ref="I140:T140" si="96">SUBTOTAL(9,I134:I139)</f>
        <v>0</v>
      </c>
      <c r="J140" s="329">
        <f t="shared" si="96"/>
        <v>0</v>
      </c>
      <c r="K140" s="329">
        <f t="shared" si="96"/>
        <v>0</v>
      </c>
      <c r="L140" s="329">
        <f t="shared" si="96"/>
        <v>0</v>
      </c>
      <c r="M140" s="329">
        <f t="shared" si="96"/>
        <v>0</v>
      </c>
      <c r="N140" s="329">
        <f t="shared" si="96"/>
        <v>0</v>
      </c>
      <c r="O140" s="329">
        <f t="shared" si="96"/>
        <v>0</v>
      </c>
      <c r="P140" s="329">
        <f t="shared" si="96"/>
        <v>0</v>
      </c>
      <c r="Q140" s="329">
        <f t="shared" si="96"/>
        <v>0</v>
      </c>
      <c r="R140" s="329">
        <f t="shared" si="96"/>
        <v>0</v>
      </c>
      <c r="S140" s="329">
        <f t="shared" si="96"/>
        <v>0</v>
      </c>
      <c r="T140" s="329">
        <f t="shared" si="96"/>
        <v>0</v>
      </c>
      <c r="U140" s="329">
        <f t="shared" ref="U140:AF140" si="97">SUBTOTAL(9,U134:U139)</f>
        <v>0</v>
      </c>
      <c r="V140" s="329">
        <f t="shared" si="97"/>
        <v>0</v>
      </c>
      <c r="W140" s="329">
        <f t="shared" si="97"/>
        <v>0</v>
      </c>
      <c r="X140" s="329">
        <f t="shared" si="97"/>
        <v>0</v>
      </c>
      <c r="Y140" s="329">
        <f t="shared" si="97"/>
        <v>0</v>
      </c>
      <c r="Z140" s="329">
        <f t="shared" si="97"/>
        <v>0</v>
      </c>
      <c r="AA140" s="329">
        <f t="shared" si="97"/>
        <v>0</v>
      </c>
      <c r="AB140" s="329">
        <f t="shared" si="97"/>
        <v>0</v>
      </c>
      <c r="AC140" s="329">
        <f t="shared" si="97"/>
        <v>0</v>
      </c>
      <c r="AD140" s="329">
        <f t="shared" si="97"/>
        <v>0</v>
      </c>
      <c r="AE140" s="329">
        <f t="shared" si="97"/>
        <v>0</v>
      </c>
      <c r="AF140" s="329">
        <f t="shared" si="97"/>
        <v>0</v>
      </c>
      <c r="AG140" s="248">
        <f t="shared" si="95"/>
        <v>0</v>
      </c>
      <c r="AH140" s="249"/>
    </row>
    <row r="141" spans="1:36" ht="14.1" hidden="1" customHeight="1" outlineLevel="1">
      <c r="E141" s="216"/>
      <c r="F141" s="282"/>
      <c r="G141" s="242"/>
      <c r="H141" s="243"/>
      <c r="I141" s="272"/>
      <c r="J141" s="272"/>
      <c r="K141" s="272"/>
      <c r="L141" s="272"/>
      <c r="M141" s="272"/>
      <c r="N141" s="272"/>
      <c r="O141" s="272"/>
      <c r="P141" s="272"/>
      <c r="Q141" s="272"/>
      <c r="R141" s="272"/>
      <c r="S141" s="272"/>
      <c r="T141" s="272"/>
      <c r="U141" s="272"/>
      <c r="V141" s="272"/>
      <c r="W141" s="272"/>
      <c r="X141" s="272"/>
      <c r="Y141" s="272"/>
      <c r="Z141" s="272"/>
      <c r="AA141" s="272"/>
      <c r="AB141" s="272"/>
      <c r="AC141" s="272"/>
      <c r="AD141" s="272"/>
      <c r="AE141" s="272"/>
      <c r="AF141" s="272"/>
      <c r="AG141" s="327"/>
      <c r="AH141" s="328"/>
    </row>
    <row r="142" spans="1:36" s="191" customFormat="1" ht="15" hidden="1" customHeight="1" outlineLevel="1">
      <c r="A142" s="264"/>
      <c r="B142" s="192">
        <v>800001</v>
      </c>
      <c r="C142" s="264"/>
      <c r="D142" s="264"/>
      <c r="E142" s="216"/>
      <c r="F142" s="330" t="s">
        <v>2852</v>
      </c>
      <c r="G142" s="300"/>
      <c r="H142" s="331"/>
      <c r="I142" s="332">
        <v>0</v>
      </c>
      <c r="J142" s="332">
        <v>0</v>
      </c>
      <c r="K142" s="332">
        <v>0</v>
      </c>
      <c r="L142" s="332">
        <v>0</v>
      </c>
      <c r="M142" s="332">
        <v>0</v>
      </c>
      <c r="N142" s="332">
        <v>0</v>
      </c>
      <c r="O142" s="332">
        <v>0</v>
      </c>
      <c r="P142" s="332">
        <v>0</v>
      </c>
      <c r="Q142" s="332">
        <v>0</v>
      </c>
      <c r="R142" s="332">
        <v>0</v>
      </c>
      <c r="S142" s="332">
        <v>0</v>
      </c>
      <c r="T142" s="332">
        <v>0</v>
      </c>
      <c r="U142" s="332">
        <v>0</v>
      </c>
      <c r="V142" s="332">
        <v>0</v>
      </c>
      <c r="W142" s="332">
        <v>0</v>
      </c>
      <c r="X142" s="332">
        <v>0</v>
      </c>
      <c r="Y142" s="332">
        <v>0</v>
      </c>
      <c r="Z142" s="332">
        <v>0</v>
      </c>
      <c r="AA142" s="332">
        <v>0</v>
      </c>
      <c r="AB142" s="332">
        <v>0</v>
      </c>
      <c r="AC142" s="332">
        <v>0</v>
      </c>
      <c r="AD142" s="332">
        <v>0</v>
      </c>
      <c r="AE142" s="332">
        <v>0</v>
      </c>
      <c r="AF142" s="332">
        <v>0</v>
      </c>
      <c r="AG142" s="248">
        <f>SUM(I142:T142)</f>
        <v>0</v>
      </c>
      <c r="AH142" s="249"/>
      <c r="AI142" s="270"/>
      <c r="AJ142" s="270"/>
    </row>
    <row r="143" spans="1:36" s="191" customFormat="1" ht="15" hidden="1" customHeight="1" outlineLevel="1">
      <c r="A143" s="264"/>
      <c r="B143" s="264"/>
      <c r="C143" s="264"/>
      <c r="D143" s="264"/>
      <c r="E143" s="216"/>
      <c r="F143" s="312"/>
      <c r="G143" s="242"/>
      <c r="H143" s="243"/>
      <c r="I143" s="310"/>
      <c r="J143" s="310"/>
      <c r="K143" s="310"/>
      <c r="L143" s="310"/>
      <c r="M143" s="310"/>
      <c r="N143" s="310"/>
      <c r="O143" s="272"/>
      <c r="P143" s="272"/>
      <c r="Q143" s="272"/>
      <c r="R143" s="272"/>
      <c r="S143" s="272"/>
      <c r="T143" s="272"/>
      <c r="U143" s="310"/>
      <c r="V143" s="310"/>
      <c r="W143" s="310"/>
      <c r="X143" s="310"/>
      <c r="Y143" s="310"/>
      <c r="Z143" s="310"/>
      <c r="AA143" s="272"/>
      <c r="AB143" s="272"/>
      <c r="AC143" s="272"/>
      <c r="AD143" s="272"/>
      <c r="AE143" s="272"/>
      <c r="AF143" s="272"/>
      <c r="AG143" s="327"/>
      <c r="AH143" s="333"/>
      <c r="AI143" s="270"/>
      <c r="AJ143" s="270"/>
    </row>
    <row r="144" spans="1:36" s="191" customFormat="1" ht="16.5" hidden="1" customHeight="1" outlineLevel="1">
      <c r="A144" s="264"/>
      <c r="B144" s="264"/>
      <c r="C144" s="264"/>
      <c r="D144" s="264"/>
      <c r="E144" s="216"/>
      <c r="F144" s="326" t="s">
        <v>2853</v>
      </c>
      <c r="G144" s="242"/>
      <c r="H144" s="243"/>
      <c r="I144" s="247">
        <f>+'[100]FY24 (HK01)'!I209+'[100]FY24 (HK02)'!I209+'[100]FY24 (HK03)'!I209+'[100]FY23 (HK04)'!I207+'[100]FY24 (CN01)'!I209+'[100]FY24 (CN02) '!I209+'[100]FY24 (CN03)'!I209+'[100]FY24 (CN04)'!I209+'[100]FY24 (KY01)'!I209</f>
        <v>0</v>
      </c>
      <c r="J144" s="247">
        <f>+'[100]FY24 (HK01)'!J209+'[100]FY24 (HK02)'!J209+'[100]FY24 (HK03)'!J209+'[100]FY23 (HK04)'!J207+'[100]FY24 (CN01)'!J209+'[100]FY24 (CN02) '!J209+'[100]FY24 (CN03)'!J209+'[100]FY24 (CN04)'!J209+'[100]FY24 (KY01)'!J209</f>
        <v>0</v>
      </c>
      <c r="K144" s="247">
        <f>+'[100]FY24 (HK01)'!K209+'[100]FY24 (HK02)'!K209+'[100]FY24 (HK03)'!K209+'[100]FY23 (HK04)'!K207+'[100]FY24 (CN01)'!K209+'[100]FY24 (CN02) '!K209+'[100]FY24 (CN03)'!K209+'[100]FY24 (CN04)'!K209+'[100]FY24 (KY01)'!K209</f>
        <v>0</v>
      </c>
      <c r="L144" s="247">
        <f>+'[100]FY24 (HK01)'!L209+'[100]FY24 (HK02)'!L209+'[100]FY24 (HK03)'!L209+'[100]FY23 (HK04)'!L207+'[100]FY24 (CN01)'!L209+'[100]FY24 (CN02) '!L209+'[100]FY24 (CN03)'!L209+'[100]FY24 (CN04)'!L209+'[100]FY24 (KY01)'!L209</f>
        <v>0</v>
      </c>
      <c r="M144" s="247">
        <f>+'[100]FY24 (HK01)'!M209+'[100]FY24 (HK02)'!M209+'[100]FY24 (HK03)'!M209+'[100]FY23 (HK04)'!M207+'[100]FY24 (CN01)'!M209+'[100]FY24 (CN02) '!M209+'[100]FY24 (CN03)'!M209+'[100]FY24 (CN04)'!M209+'[100]FY24 (KY01)'!M209</f>
        <v>0</v>
      </c>
      <c r="N144" s="247">
        <f>+'[100]FY24 (HK01)'!N209+'[100]FY24 (HK02)'!N209+'[100]FY24 (HK03)'!N209+'[100]FY23 (HK04)'!N207+'[100]FY24 (CN01)'!N209+'[100]FY24 (CN02) '!N209+'[100]FY24 (CN03)'!N209+'[100]FY24 (CN04)'!N209+'[100]FY24 (KY01)'!N209</f>
        <v>0</v>
      </c>
      <c r="O144" s="247">
        <f>+'[100]FY24 (HK01)'!O209+'[100]FY24 (HK02)'!O209+'[100]FY24 (HK03)'!O209+'[100]FY23 (HK04)'!O207+'[100]FY24 (CN01)'!O209+'[100]FY24 (CN02) '!O209+'[100]FY24 (CN03)'!O209+'[100]FY24 (CN04)'!O209+'[100]FY24 (KY01)'!O209</f>
        <v>0</v>
      </c>
      <c r="P144" s="247">
        <f>+'[100]FY24 (HK01)'!P209+'[100]FY24 (HK02)'!P209+'[100]FY24 (HK03)'!P209+'[100]FY23 (HK04)'!P207+'[100]FY24 (CN01)'!P209+'[100]FY24 (CN02) '!P209+'[100]FY24 (CN03)'!P209+'[100]FY24 (CN04)'!P209+'[100]FY24 (KY01)'!P209</f>
        <v>0</v>
      </c>
      <c r="Q144" s="247">
        <f>+'[100]FY24 (HK01)'!Q209+'[100]FY24 (HK02)'!Q209+'[100]FY24 (HK03)'!Q209+'[100]FY23 (HK04)'!Q207+'[100]FY24 (CN01)'!Q209+'[100]FY24 (CN02) '!Q209+'[100]FY24 (CN03)'!Q209+'[100]FY24 (CN04)'!Q209+'[100]FY24 (KY01)'!Q209</f>
        <v>0</v>
      </c>
      <c r="R144" s="247">
        <f>+'[100]FY24 (HK01)'!R209+'[100]FY24 (HK02)'!R209+'[100]FY24 (HK03)'!R209+'[100]FY23 (HK04)'!R207+'[100]FY24 (CN01)'!R209+'[100]FY24 (CN02) '!R209+'[100]FY24 (CN03)'!R209+'[100]FY24 (CN04)'!R209+'[100]FY24 (KY01)'!R209</f>
        <v>0</v>
      </c>
      <c r="S144" s="247">
        <f>+'[100]FY24 (HK01)'!S209+'[100]FY24 (HK02)'!S209+'[100]FY24 (HK03)'!S209+'[100]FY23 (HK04)'!S207+'[100]FY24 (CN01)'!S209+'[100]FY24 (CN02) '!S209+'[100]FY24 (CN03)'!S209+'[100]FY24 (CN04)'!S209+'[100]FY24 (KY01)'!S209</f>
        <v>0</v>
      </c>
      <c r="T144" s="247">
        <f>+'[100]FY24 (HK01)'!T209+'[100]FY24 (HK02)'!T209+'[100]FY24 (HK03)'!T209+'[100]FY23 (HK04)'!T207+'[100]FY24 (CN01)'!T209+'[100]FY24 (CN02) '!T209+'[100]FY24 (CN03)'!T209+'[100]FY24 (CN04)'!T209+'[100]FY24 (KY01)'!T209</f>
        <v>0</v>
      </c>
      <c r="U144" s="247">
        <f>+'[100]FY24 (HK01)'!U209+'[100]FY24 (HK02)'!U209+'[100]FY24 (HK03)'!U209+'[100]FY23 (HK04)'!U207+'[100]FY24 (CN01)'!U209+'[100]FY24 (CN02) '!U209+'[100]FY24 (CN03)'!U209+'[100]FY24 (CN04)'!U209+'[100]FY24 (KY01)'!U209</f>
        <v>0</v>
      </c>
      <c r="V144" s="247">
        <f>+'[100]FY24 (HK01)'!V209+'[100]FY24 (HK02)'!V209+'[100]FY24 (HK03)'!V209+'[100]FY23 (HK04)'!V207+'[100]FY24 (CN01)'!V209+'[100]FY24 (CN02) '!V209+'[100]FY24 (CN03)'!V209+'[100]FY24 (CN04)'!V209+'[100]FY24 (KY01)'!V209</f>
        <v>0</v>
      </c>
      <c r="W144" s="247">
        <f>+'[100]FY24 (HK01)'!W209+'[100]FY24 (HK02)'!W209+'[100]FY24 (HK03)'!W209+'[100]FY23 (HK04)'!W207+'[100]FY24 (CN01)'!W209+'[100]FY24 (CN02) '!W209+'[100]FY24 (CN03)'!W209+'[100]FY24 (CN04)'!W209+'[100]FY24 (KY01)'!W209</f>
        <v>0</v>
      </c>
      <c r="X144" s="247">
        <f>+'[100]FY24 (HK01)'!X209+'[100]FY24 (HK02)'!X209+'[100]FY24 (HK03)'!X209+'[100]FY23 (HK04)'!X207+'[100]FY24 (CN01)'!X209+'[100]FY24 (CN02) '!X209+'[100]FY24 (CN03)'!X209+'[100]FY24 (CN04)'!X209+'[100]FY24 (KY01)'!X209</f>
        <v>0</v>
      </c>
      <c r="Y144" s="247">
        <f>+'[100]FY24 (HK01)'!Y209+'[100]FY24 (HK02)'!Y209+'[100]FY24 (HK03)'!Y209+'[100]FY23 (HK04)'!Y207+'[100]FY24 (CN01)'!Y209+'[100]FY24 (CN02) '!Y209+'[100]FY24 (CN03)'!Y209+'[100]FY24 (CN04)'!Y209+'[100]FY24 (KY01)'!Y209</f>
        <v>0</v>
      </c>
      <c r="Z144" s="247">
        <f>+'[100]FY24 (HK01)'!Z209+'[100]FY24 (HK02)'!Z209+'[100]FY24 (HK03)'!Z209+'[100]FY23 (HK04)'!Z207+'[100]FY24 (CN01)'!Z209+'[100]FY24 (CN02) '!Z209+'[100]FY24 (CN03)'!Z209+'[100]FY24 (CN04)'!Z209+'[100]FY24 (KY01)'!Z209</f>
        <v>0</v>
      </c>
      <c r="AA144" s="247">
        <f>+'[100]FY24 (HK01)'!AA209+'[100]FY24 (HK02)'!AA209+'[100]FY24 (HK03)'!AA209+'[100]FY23 (HK04)'!AA207+'[100]FY24 (CN01)'!AA209+'[100]FY24 (CN02) '!AA209+'[100]FY24 (CN03)'!AA209+'[100]FY24 (CN04)'!AA209+'[100]FY24 (KY01)'!AA209</f>
        <v>0</v>
      </c>
      <c r="AB144" s="247">
        <f>+'[100]FY24 (HK01)'!AB209+'[100]FY24 (HK02)'!AB209+'[100]FY24 (HK03)'!AB209+'[100]FY23 (HK04)'!AB207+'[100]FY24 (CN01)'!AB209+'[100]FY24 (CN02) '!AB209+'[100]FY24 (CN03)'!AB209+'[100]FY24 (CN04)'!AB209+'[100]FY24 (KY01)'!AB209</f>
        <v>0</v>
      </c>
      <c r="AC144" s="247">
        <f>+'[100]FY24 (HK01)'!AC209+'[100]FY24 (HK02)'!AC209+'[100]FY24 (HK03)'!AC209+'[100]FY23 (HK04)'!AC207+'[100]FY24 (CN01)'!AC209+'[100]FY24 (CN02) '!AC209+'[100]FY24 (CN03)'!AC209+'[100]FY24 (CN04)'!AC209+'[100]FY24 (KY01)'!AC209</f>
        <v>0</v>
      </c>
      <c r="AD144" s="247">
        <f>+'[100]FY24 (HK01)'!AD209+'[100]FY24 (HK02)'!AD209+'[100]FY24 (HK03)'!AD209+'[100]FY23 (HK04)'!AD207+'[100]FY24 (CN01)'!AD209+'[100]FY24 (CN02) '!AD209+'[100]FY24 (CN03)'!AD209+'[100]FY24 (CN04)'!AD209+'[100]FY24 (KY01)'!AD209</f>
        <v>0</v>
      </c>
      <c r="AE144" s="247">
        <f>+'[100]FY24 (HK01)'!AE209+'[100]FY24 (HK02)'!AE209+'[100]FY24 (HK03)'!AE209+'[100]FY23 (HK04)'!AE207+'[100]FY24 (CN01)'!AE209+'[100]FY24 (CN02) '!AE209+'[100]FY24 (CN03)'!AE209+'[100]FY24 (CN04)'!AE209+'[100]FY24 (KY01)'!AE209</f>
        <v>0</v>
      </c>
      <c r="AF144" s="247">
        <f>+'[100]FY24 (HK01)'!AF209+'[100]FY24 (HK02)'!AF209+'[100]FY24 (HK03)'!AF209+'[100]FY23 (HK04)'!AF207+'[100]FY24 (CN01)'!AF209+'[100]FY24 (CN02) '!AF209+'[100]FY24 (CN03)'!AF209+'[100]FY24 (CN04)'!AF209+'[100]FY24 (KY01)'!AF209</f>
        <v>0</v>
      </c>
      <c r="AG144" s="248">
        <f>SUM(I144:T144)</f>
        <v>0</v>
      </c>
      <c r="AH144" s="249"/>
      <c r="AI144" s="270"/>
      <c r="AJ144" s="270"/>
    </row>
    <row r="145" spans="1:36" s="191" customFormat="1" ht="16.5" hidden="1" customHeight="1" outlineLevel="1">
      <c r="A145" s="264"/>
      <c r="B145" s="264"/>
      <c r="C145" s="264"/>
      <c r="D145" s="264"/>
      <c r="E145" s="216"/>
      <c r="F145" s="326" t="s">
        <v>2854</v>
      </c>
      <c r="G145" s="242"/>
      <c r="H145" s="243"/>
      <c r="I145" s="272">
        <f>SUBTOTAL(9,I144)</f>
        <v>0</v>
      </c>
      <c r="J145" s="272">
        <f t="shared" ref="J145:U145" si="98">SUBTOTAL(9,J144)</f>
        <v>0</v>
      </c>
      <c r="K145" s="272">
        <f t="shared" si="98"/>
        <v>0</v>
      </c>
      <c r="L145" s="272">
        <f t="shared" si="98"/>
        <v>0</v>
      </c>
      <c r="M145" s="272">
        <f t="shared" si="98"/>
        <v>0</v>
      </c>
      <c r="N145" s="272">
        <f t="shared" si="98"/>
        <v>0</v>
      </c>
      <c r="O145" s="272">
        <f t="shared" si="98"/>
        <v>0</v>
      </c>
      <c r="P145" s="272">
        <f t="shared" si="98"/>
        <v>0</v>
      </c>
      <c r="Q145" s="272">
        <f t="shared" si="98"/>
        <v>0</v>
      </c>
      <c r="R145" s="272">
        <f t="shared" si="98"/>
        <v>0</v>
      </c>
      <c r="S145" s="272">
        <f t="shared" si="98"/>
        <v>0</v>
      </c>
      <c r="T145" s="272">
        <f t="shared" si="98"/>
        <v>0</v>
      </c>
      <c r="U145" s="272">
        <f t="shared" si="98"/>
        <v>0</v>
      </c>
      <c r="V145" s="272">
        <f t="shared" ref="V145:AF145" si="99">SUBTOTAL(9,V144)</f>
        <v>0</v>
      </c>
      <c r="W145" s="272">
        <f t="shared" si="99"/>
        <v>0</v>
      </c>
      <c r="X145" s="272">
        <f t="shared" si="99"/>
        <v>0</v>
      </c>
      <c r="Y145" s="272">
        <f t="shared" si="99"/>
        <v>0</v>
      </c>
      <c r="Z145" s="272">
        <f t="shared" si="99"/>
        <v>0</v>
      </c>
      <c r="AA145" s="272">
        <f t="shared" si="99"/>
        <v>0</v>
      </c>
      <c r="AB145" s="272">
        <f t="shared" si="99"/>
        <v>0</v>
      </c>
      <c r="AC145" s="272">
        <f t="shared" si="99"/>
        <v>0</v>
      </c>
      <c r="AD145" s="272">
        <f t="shared" si="99"/>
        <v>0</v>
      </c>
      <c r="AE145" s="272">
        <f t="shared" si="99"/>
        <v>0</v>
      </c>
      <c r="AF145" s="272">
        <f t="shared" si="99"/>
        <v>0</v>
      </c>
      <c r="AG145" s="248">
        <f>SUM(I145:T145)</f>
        <v>0</v>
      </c>
      <c r="AH145" s="249"/>
      <c r="AI145" s="270"/>
      <c r="AJ145" s="270"/>
    </row>
    <row r="146" spans="1:36" s="191" customFormat="1" ht="15" hidden="1" customHeight="1" outlineLevel="1">
      <c r="A146" s="264"/>
      <c r="B146" s="264"/>
      <c r="C146" s="264"/>
      <c r="D146" s="264"/>
      <c r="E146" s="216"/>
      <c r="F146" s="312"/>
      <c r="G146" s="242"/>
      <c r="H146" s="243"/>
      <c r="I146" s="310"/>
      <c r="J146" s="310"/>
      <c r="K146" s="310"/>
      <c r="L146" s="310"/>
      <c r="M146" s="310"/>
      <c r="N146" s="310"/>
      <c r="O146" s="272"/>
      <c r="P146" s="272"/>
      <c r="Q146" s="272"/>
      <c r="R146" s="272"/>
      <c r="S146" s="272"/>
      <c r="T146" s="272"/>
      <c r="U146" s="310"/>
      <c r="V146" s="310"/>
      <c r="W146" s="310"/>
      <c r="X146" s="310"/>
      <c r="Y146" s="310"/>
      <c r="Z146" s="310"/>
      <c r="AA146" s="272"/>
      <c r="AB146" s="272"/>
      <c r="AC146" s="272"/>
      <c r="AD146" s="272"/>
      <c r="AE146" s="272"/>
      <c r="AF146" s="272"/>
      <c r="AG146" s="327"/>
      <c r="AH146" s="328"/>
      <c r="AI146" s="270"/>
      <c r="AJ146" s="270"/>
    </row>
    <row r="147" spans="1:36" s="191" customFormat="1" ht="15" hidden="1" customHeight="1" outlineLevel="1">
      <c r="A147" s="264"/>
      <c r="B147" s="264"/>
      <c r="C147" s="264"/>
      <c r="D147" s="264"/>
      <c r="E147" s="216"/>
      <c r="F147" s="299" t="s">
        <v>2855</v>
      </c>
      <c r="G147" s="300"/>
      <c r="H147" s="243"/>
      <c r="I147" s="329">
        <f>SUBTOTAL(9,I144:I145)</f>
        <v>0</v>
      </c>
      <c r="J147" s="329">
        <f>SUBTOTAL(9,J144:J145)</f>
        <v>0</v>
      </c>
      <c r="K147" s="329">
        <f>SUBTOTAL(9,K144:K145)</f>
        <v>0</v>
      </c>
      <c r="L147" s="329">
        <f>SUBTOTAL(9,L144:L145)</f>
        <v>0</v>
      </c>
      <c r="M147" s="329">
        <f t="shared" ref="M147:X147" si="100">SUBTOTAL(9,M144:M145)</f>
        <v>0</v>
      </c>
      <c r="N147" s="329">
        <f t="shared" si="100"/>
        <v>0</v>
      </c>
      <c r="O147" s="329">
        <f t="shared" si="100"/>
        <v>0</v>
      </c>
      <c r="P147" s="329">
        <f t="shared" si="100"/>
        <v>0</v>
      </c>
      <c r="Q147" s="329">
        <f t="shared" si="100"/>
        <v>0</v>
      </c>
      <c r="R147" s="329">
        <f t="shared" si="100"/>
        <v>0</v>
      </c>
      <c r="S147" s="329">
        <f t="shared" si="100"/>
        <v>0</v>
      </c>
      <c r="T147" s="329">
        <f t="shared" si="100"/>
        <v>0</v>
      </c>
      <c r="U147" s="329">
        <f t="shared" si="100"/>
        <v>0</v>
      </c>
      <c r="V147" s="329">
        <f t="shared" si="100"/>
        <v>0</v>
      </c>
      <c r="W147" s="329">
        <f t="shared" si="100"/>
        <v>0</v>
      </c>
      <c r="X147" s="329">
        <f t="shared" si="100"/>
        <v>0</v>
      </c>
      <c r="Y147" s="329">
        <f t="shared" ref="Y147:AF147" si="101">SUBTOTAL(9,Y144:Y145)</f>
        <v>0</v>
      </c>
      <c r="Z147" s="329">
        <f t="shared" si="101"/>
        <v>0</v>
      </c>
      <c r="AA147" s="329">
        <f t="shared" si="101"/>
        <v>0</v>
      </c>
      <c r="AB147" s="329">
        <f t="shared" si="101"/>
        <v>0</v>
      </c>
      <c r="AC147" s="329">
        <f t="shared" si="101"/>
        <v>0</v>
      </c>
      <c r="AD147" s="329">
        <f t="shared" si="101"/>
        <v>0</v>
      </c>
      <c r="AE147" s="329">
        <f t="shared" si="101"/>
        <v>0</v>
      </c>
      <c r="AF147" s="329">
        <f t="shared" si="101"/>
        <v>0</v>
      </c>
      <c r="AG147" s="248">
        <f>SUM(I147:T147)</f>
        <v>0</v>
      </c>
      <c r="AH147" s="249"/>
      <c r="AI147" s="270"/>
      <c r="AJ147" s="270"/>
    </row>
    <row r="148" spans="1:36" s="191" customFormat="1" ht="15" hidden="1" customHeight="1" outlineLevel="1">
      <c r="A148" s="264"/>
      <c r="B148" s="264"/>
      <c r="C148" s="264"/>
      <c r="D148" s="264"/>
      <c r="E148" s="216"/>
      <c r="F148" s="334"/>
      <c r="G148" s="242"/>
      <c r="H148" s="243"/>
      <c r="I148" s="310"/>
      <c r="J148" s="310"/>
      <c r="K148" s="310"/>
      <c r="L148" s="310"/>
      <c r="M148" s="310"/>
      <c r="N148" s="310"/>
      <c r="O148" s="272"/>
      <c r="P148" s="272"/>
      <c r="Q148" s="272"/>
      <c r="R148" s="272"/>
      <c r="S148" s="272"/>
      <c r="T148" s="272"/>
      <c r="U148" s="310"/>
      <c r="V148" s="310"/>
      <c r="W148" s="310"/>
      <c r="X148" s="310"/>
      <c r="Y148" s="310"/>
      <c r="Z148" s="310"/>
      <c r="AA148" s="272"/>
      <c r="AB148" s="272"/>
      <c r="AC148" s="272"/>
      <c r="AD148" s="272"/>
      <c r="AE148" s="272"/>
      <c r="AF148" s="272"/>
      <c r="AG148" s="327"/>
      <c r="AH148" s="328"/>
      <c r="AI148" s="270"/>
      <c r="AJ148" s="270"/>
    </row>
    <row r="149" spans="1:36" s="191" customFormat="1" ht="21.75" hidden="1" customHeight="1" outlineLevel="1">
      <c r="A149" s="264"/>
      <c r="B149" s="264"/>
      <c r="C149" s="264"/>
      <c r="D149" s="264"/>
      <c r="E149" s="216"/>
      <c r="F149" s="265" t="s">
        <v>2856</v>
      </c>
      <c r="G149" s="266"/>
      <c r="H149" s="243"/>
      <c r="I149" s="267">
        <f t="shared" ref="I149:AF149" si="102">I128+I140+I142+I147</f>
        <v>698052.98634920001</v>
      </c>
      <c r="J149" s="267">
        <f t="shared" si="102"/>
        <v>-1796975.3903199399</v>
      </c>
      <c r="K149" s="267">
        <f t="shared" si="102"/>
        <v>-3067895.47008808</v>
      </c>
      <c r="L149" s="267">
        <f t="shared" si="102"/>
        <v>-2180258.6666815602</v>
      </c>
      <c r="M149" s="267">
        <f t="shared" si="102"/>
        <v>-1265534.6713367701</v>
      </c>
      <c r="N149" s="267">
        <f t="shared" si="102"/>
        <v>-2017689.9291445999</v>
      </c>
      <c r="O149" s="267" t="e">
        <f t="shared" si="102"/>
        <v>#REF!</v>
      </c>
      <c r="P149" s="267" t="e">
        <f t="shared" si="102"/>
        <v>#REF!</v>
      </c>
      <c r="Q149" s="267" t="e">
        <f t="shared" si="102"/>
        <v>#REF!</v>
      </c>
      <c r="R149" s="267" t="e">
        <f t="shared" si="102"/>
        <v>#REF!</v>
      </c>
      <c r="S149" s="267" t="e">
        <f t="shared" si="102"/>
        <v>#REF!</v>
      </c>
      <c r="T149" s="267" t="e">
        <f t="shared" si="102"/>
        <v>#REF!</v>
      </c>
      <c r="U149" s="267" t="e">
        <f t="shared" si="102"/>
        <v>#REF!</v>
      </c>
      <c r="V149" s="267" t="e">
        <f t="shared" si="102"/>
        <v>#REF!</v>
      </c>
      <c r="W149" s="267" t="e">
        <f t="shared" si="102"/>
        <v>#REF!</v>
      </c>
      <c r="X149" s="267" t="e">
        <f t="shared" si="102"/>
        <v>#REF!</v>
      </c>
      <c r="Y149" s="267" t="e">
        <f t="shared" si="102"/>
        <v>#REF!</v>
      </c>
      <c r="Z149" s="267" t="e">
        <f t="shared" si="102"/>
        <v>#REF!</v>
      </c>
      <c r="AA149" s="267" t="e">
        <f t="shared" si="102"/>
        <v>#REF!</v>
      </c>
      <c r="AB149" s="267" t="e">
        <f t="shared" si="102"/>
        <v>#REF!</v>
      </c>
      <c r="AC149" s="267" t="e">
        <f t="shared" si="102"/>
        <v>#REF!</v>
      </c>
      <c r="AD149" s="267" t="e">
        <f t="shared" si="102"/>
        <v>#REF!</v>
      </c>
      <c r="AE149" s="267" t="e">
        <f t="shared" si="102"/>
        <v>#REF!</v>
      </c>
      <c r="AF149" s="267" t="e">
        <f t="shared" si="102"/>
        <v>#REF!</v>
      </c>
      <c r="AG149" s="248" t="e">
        <f>SUM(I149:T149)</f>
        <v>#REF!</v>
      </c>
      <c r="AH149" s="249"/>
      <c r="AI149" s="270"/>
      <c r="AJ149" s="270"/>
    </row>
    <row r="150" spans="1:36" s="191" customFormat="1" ht="20.25" hidden="1" customHeight="1" outlineLevel="1">
      <c r="A150" s="264"/>
      <c r="B150" s="264"/>
      <c r="C150" s="264"/>
      <c r="D150" s="264"/>
      <c r="E150" s="216"/>
      <c r="F150" s="334"/>
      <c r="G150" s="242"/>
      <c r="H150" s="243"/>
      <c r="I150" s="335" t="b">
        <f>IF(I11="actual",ROUND(I149,0)=ROUND(SUM([100]PL_HK!H51,[100]PL_HK!H113,[100]PL_HK!H176,[100]PL_KY!H51,[100]PL_CN!W119,[100]PL_CN!W241),0))</f>
        <v>0</v>
      </c>
      <c r="J150" s="335" t="b">
        <f>IF(J11="actual",ROUND(J149,0)=ROUND(SUM([100]PL_HK!I51,[100]PL_HK!I113,[100]PL_HK!I176,[100]PL_KY!I51,[100]PL_CN!X119,[100]PL_CN!X241),0))</f>
        <v>0</v>
      </c>
      <c r="K150" s="335" t="b">
        <f>IF(K11="actual",ROUND(K149,0)=ROUND(SUM([100]PL_HK!J51,[100]PL_HK!J113,[100]PL_HK!J176,[100]PL_KY!J51,[100]PL_CN!Y119,[100]PL_CN!Y241),0))</f>
        <v>0</v>
      </c>
      <c r="L150" s="335" t="b">
        <f>IF(L11="actual",ROUND(L149,0)=ROUND(SUM([100]PL_HK!K51,[100]PL_HK!K113,[100]PL_HK!K176,[100]PL_KY!K51,[100]PL_CN!Z119,[100]PL_CN!Z241),0))</f>
        <v>0</v>
      </c>
      <c r="M150" s="335"/>
      <c r="N150" s="310"/>
      <c r="O150" s="310"/>
      <c r="P150" s="310"/>
      <c r="Q150" s="310"/>
      <c r="R150" s="310"/>
      <c r="S150" s="310"/>
      <c r="T150" s="310"/>
      <c r="U150" s="335" t="b">
        <f>IF(U11="actual",ROUND(U149,0)=ROUND(SUM([100]PL_HK!T51,[100]PL_HK!T113,[100]PL_HK!T176,[100]PL_KY!T51,[100]PL_CN!AI119,[100]PL_CN!AI241),0))</f>
        <v>0</v>
      </c>
      <c r="V150" s="335" t="b">
        <f>IF(V11="actual",ROUND(V149,0)=ROUND(SUM([100]PL_HK!U51,[100]PL_HK!U113,[100]PL_HK!U176,[100]PL_KY!U51,[100]PL_CN!AJ119,[100]PL_CN!AJ241),0))</f>
        <v>0</v>
      </c>
      <c r="W150" s="335" t="b">
        <f>IF(W11="actual",ROUND(W149,0)=ROUND(SUM([100]PL_HK!V51,[100]PL_HK!V113,[100]PL_HK!V176,[100]PL_KY!V51,[100]PL_CN!AK119,[100]PL_CN!AK241),0))</f>
        <v>0</v>
      </c>
      <c r="X150" s="335" t="b">
        <f>IF(X11="actual",ROUND(X149,0)=ROUND(SUM([100]PL_HK!W51,[100]PL_HK!W113,[100]PL_HK!W176,[100]PL_KY!W51,[100]PL_CN!AL119,[100]PL_CN!AL241),0))</f>
        <v>0</v>
      </c>
      <c r="Y150" s="335"/>
      <c r="Z150" s="310"/>
      <c r="AA150" s="310"/>
      <c r="AB150" s="310"/>
      <c r="AC150" s="310"/>
      <c r="AD150" s="310"/>
      <c r="AE150" s="310"/>
      <c r="AF150" s="310"/>
      <c r="AG150" s="327"/>
      <c r="AH150" s="328"/>
      <c r="AI150" s="270"/>
      <c r="AJ150" s="270"/>
    </row>
    <row r="151" spans="1:36" s="191" customFormat="1" ht="15" hidden="1" customHeight="1" outlineLevel="1">
      <c r="A151" s="264"/>
      <c r="B151" s="264"/>
      <c r="C151" s="264"/>
      <c r="D151" s="264"/>
      <c r="E151" s="216"/>
      <c r="F151" s="334"/>
      <c r="G151" s="242"/>
      <c r="H151" s="243"/>
      <c r="I151" s="310"/>
      <c r="J151" s="310"/>
      <c r="K151" s="310"/>
      <c r="L151" s="310"/>
      <c r="M151" s="310"/>
      <c r="N151" s="310"/>
      <c r="O151" s="272"/>
      <c r="P151" s="272"/>
      <c r="Q151" s="272"/>
      <c r="R151" s="272"/>
      <c r="S151" s="272"/>
      <c r="T151" s="272"/>
      <c r="U151" s="310"/>
      <c r="V151" s="310"/>
      <c r="W151" s="310"/>
      <c r="X151" s="310"/>
      <c r="Y151" s="310"/>
      <c r="Z151" s="310"/>
      <c r="AA151" s="272"/>
      <c r="AB151" s="272"/>
      <c r="AC151" s="272"/>
      <c r="AD151" s="272"/>
      <c r="AE151" s="272"/>
      <c r="AF151" s="272"/>
      <c r="AG151" s="336"/>
      <c r="AH151" s="328"/>
      <c r="AI151" s="270"/>
      <c r="AJ151" s="270"/>
    </row>
    <row r="152" spans="1:36" s="191" customFormat="1" collapsed="1">
      <c r="A152" s="192"/>
      <c r="B152" s="192"/>
      <c r="C152" s="192"/>
      <c r="D152" s="192"/>
      <c r="E152" s="193"/>
      <c r="F152" s="193"/>
      <c r="G152" s="193"/>
      <c r="H152" s="193"/>
      <c r="I152" s="337"/>
      <c r="J152" s="337"/>
      <c r="K152" s="337"/>
      <c r="L152" s="337"/>
      <c r="M152" s="193"/>
      <c r="N152" s="193"/>
      <c r="O152" s="193"/>
      <c r="P152" s="193"/>
      <c r="Q152" s="193"/>
      <c r="R152" s="193"/>
      <c r="S152" s="338"/>
      <c r="T152" s="338"/>
      <c r="U152" s="337"/>
      <c r="V152" s="337"/>
      <c r="W152" s="337"/>
      <c r="X152" s="337"/>
      <c r="Y152" s="193"/>
      <c r="Z152" s="193"/>
      <c r="AA152" s="193"/>
      <c r="AB152" s="193"/>
      <c r="AC152" s="193"/>
      <c r="AD152" s="193"/>
      <c r="AE152" s="338"/>
      <c r="AF152" s="338"/>
      <c r="AG152" s="339"/>
      <c r="AH152" s="339"/>
      <c r="AI152" s="193"/>
      <c r="AJ152" s="193"/>
    </row>
    <row r="153" spans="1:36" s="191" customFormat="1">
      <c r="A153" s="323"/>
      <c r="B153" s="264"/>
      <c r="C153" s="264"/>
      <c r="D153" s="264"/>
      <c r="E153" s="216"/>
      <c r="F153" s="324" t="s">
        <v>2823</v>
      </c>
      <c r="G153" s="242"/>
      <c r="H153" s="243"/>
      <c r="I153" s="272"/>
      <c r="J153" s="272"/>
      <c r="K153" s="272"/>
      <c r="L153" s="272"/>
      <c r="M153" s="272"/>
      <c r="N153" s="272"/>
      <c r="O153" s="272"/>
      <c r="P153" s="272"/>
      <c r="Q153" s="272"/>
      <c r="R153" s="272"/>
      <c r="S153" s="272"/>
      <c r="T153" s="272"/>
      <c r="U153" s="272"/>
      <c r="V153" s="272"/>
      <c r="W153" s="272"/>
      <c r="X153" s="272"/>
      <c r="Y153" s="272"/>
      <c r="Z153" s="272"/>
      <c r="AA153" s="272"/>
      <c r="AB153" s="272"/>
      <c r="AC153" s="272"/>
      <c r="AD153" s="272"/>
      <c r="AE153" s="272"/>
      <c r="AF153" s="272"/>
      <c r="AG153" s="325"/>
      <c r="AH153" s="269"/>
      <c r="AI153" s="270"/>
      <c r="AJ153" s="270"/>
    </row>
    <row r="154" spans="1:36" s="191" customFormat="1">
      <c r="A154" s="323"/>
      <c r="B154" s="264"/>
      <c r="C154" s="264"/>
      <c r="D154" s="264"/>
      <c r="E154" s="216"/>
      <c r="F154" s="324"/>
      <c r="G154" s="242"/>
      <c r="H154" s="243"/>
      <c r="I154" s="272"/>
      <c r="J154" s="272"/>
      <c r="K154" s="272"/>
      <c r="L154" s="272"/>
      <c r="M154" s="272"/>
      <c r="N154" s="272"/>
      <c r="O154" s="272"/>
      <c r="P154" s="272"/>
      <c r="Q154" s="272"/>
      <c r="R154" s="272"/>
      <c r="S154" s="272"/>
      <c r="T154" s="272"/>
      <c r="U154" s="272"/>
      <c r="V154" s="272"/>
      <c r="W154" s="272"/>
      <c r="X154" s="272"/>
      <c r="Y154" s="272"/>
      <c r="Z154" s="272"/>
      <c r="AA154" s="272"/>
      <c r="AB154" s="272"/>
      <c r="AC154" s="272"/>
      <c r="AD154" s="272"/>
      <c r="AE154" s="272"/>
      <c r="AF154" s="272"/>
      <c r="AG154" s="325"/>
      <c r="AH154" s="269"/>
      <c r="AI154" s="270"/>
      <c r="AJ154" s="270"/>
    </row>
    <row r="155" spans="1:36" s="191" customFormat="1">
      <c r="A155" s="323"/>
      <c r="B155" s="264"/>
      <c r="C155" s="264"/>
      <c r="D155" s="264"/>
      <c r="E155" s="216"/>
      <c r="F155" s="340" t="s">
        <v>2924</v>
      </c>
      <c r="G155" s="341"/>
      <c r="H155" s="243"/>
      <c r="I155" s="272"/>
      <c r="J155" s="272"/>
      <c r="K155" s="272"/>
      <c r="L155" s="272"/>
      <c r="M155" s="272"/>
      <c r="N155" s="272"/>
      <c r="O155" s="272"/>
      <c r="P155" s="272"/>
      <c r="Q155" s="272"/>
      <c r="R155" s="272">
        <v>25000000</v>
      </c>
      <c r="S155" s="272"/>
      <c r="T155" s="272"/>
      <c r="U155" s="272"/>
      <c r="V155" s="272"/>
      <c r="W155" s="272"/>
      <c r="X155" s="272"/>
      <c r="Y155" s="272"/>
      <c r="Z155" s="272"/>
      <c r="AA155" s="272"/>
      <c r="AB155" s="272"/>
      <c r="AC155" s="272"/>
      <c r="AD155" s="272"/>
      <c r="AE155" s="272"/>
      <c r="AF155" s="272"/>
      <c r="AG155" s="325"/>
      <c r="AH155" s="269"/>
      <c r="AI155" s="270"/>
      <c r="AJ155" s="270"/>
    </row>
    <row r="156" spans="1:36" s="191" customFormat="1">
      <c r="A156" s="323"/>
      <c r="B156" s="264"/>
      <c r="C156" s="264"/>
      <c r="D156" s="264"/>
      <c r="E156" s="216"/>
      <c r="F156" s="340" t="s">
        <v>2925</v>
      </c>
      <c r="G156" s="341"/>
      <c r="H156" s="243"/>
      <c r="I156" s="272"/>
      <c r="J156" s="272"/>
      <c r="K156" s="272"/>
      <c r="L156" s="272"/>
      <c r="M156" s="272"/>
      <c r="N156" s="272"/>
      <c r="O156" s="272"/>
      <c r="P156" s="272"/>
      <c r="Q156" s="272"/>
      <c r="R156" s="272"/>
      <c r="S156" s="272">
        <f>-R155</f>
        <v>-25000000</v>
      </c>
      <c r="T156" s="272"/>
      <c r="U156" s="272"/>
      <c r="V156" s="272"/>
      <c r="W156" s="272"/>
      <c r="X156" s="272"/>
      <c r="Y156" s="272"/>
      <c r="Z156" s="272"/>
      <c r="AA156" s="272"/>
      <c r="AB156" s="272"/>
      <c r="AC156" s="272"/>
      <c r="AD156" s="272"/>
      <c r="AE156" s="272"/>
      <c r="AF156" s="272"/>
      <c r="AG156" s="325"/>
      <c r="AH156" s="269"/>
      <c r="AI156" s="270"/>
      <c r="AJ156" s="270"/>
    </row>
    <row r="157" spans="1:36" s="191" customFormat="1">
      <c r="A157" s="323"/>
      <c r="B157" s="264"/>
      <c r="C157" s="264"/>
      <c r="D157" s="264"/>
      <c r="E157" s="216"/>
      <c r="F157" s="340" t="s">
        <v>2825</v>
      </c>
      <c r="G157" s="341"/>
      <c r="H157" s="243"/>
      <c r="I157" s="272">
        <v>0</v>
      </c>
      <c r="J157" s="272">
        <v>0</v>
      </c>
      <c r="K157" s="272">
        <v>0</v>
      </c>
      <c r="L157" s="272">
        <v>0</v>
      </c>
      <c r="M157" s="272"/>
      <c r="N157" s="272"/>
      <c r="O157" s="272">
        <v>0</v>
      </c>
      <c r="P157" s="272">
        <v>0</v>
      </c>
      <c r="Q157" s="272">
        <v>0</v>
      </c>
      <c r="R157" s="272">
        <v>0</v>
      </c>
      <c r="S157" s="342">
        <v>43500000</v>
      </c>
      <c r="T157" s="272">
        <v>0</v>
      </c>
      <c r="U157" s="272">
        <v>0</v>
      </c>
      <c r="V157" s="272">
        <v>0</v>
      </c>
      <c r="W157" s="272">
        <v>0</v>
      </c>
      <c r="X157" s="272">
        <v>0</v>
      </c>
      <c r="Y157" s="272">
        <v>43550000</v>
      </c>
      <c r="Z157" s="272">
        <v>0</v>
      </c>
      <c r="AA157" s="272">
        <v>0</v>
      </c>
      <c r="AB157" s="272">
        <v>0</v>
      </c>
      <c r="AC157" s="272">
        <v>0</v>
      </c>
      <c r="AD157" s="272">
        <v>0</v>
      </c>
      <c r="AE157" s="272">
        <v>0</v>
      </c>
      <c r="AF157" s="272">
        <v>0</v>
      </c>
      <c r="AG157" s="325">
        <f t="shared" ref="AG157:AG160" si="103">SUM(I157:T157)</f>
        <v>43500000</v>
      </c>
      <c r="AH157" s="269"/>
      <c r="AI157" s="270"/>
      <c r="AJ157" s="270"/>
    </row>
    <row r="158" spans="1:36" s="191" customFormat="1">
      <c r="A158" s="323"/>
      <c r="B158" s="264"/>
      <c r="C158" s="264"/>
      <c r="D158" s="264"/>
      <c r="E158" s="216"/>
      <c r="F158" s="343" t="s">
        <v>2926</v>
      </c>
      <c r="G158" s="242"/>
      <c r="H158" s="243"/>
      <c r="I158" s="272">
        <v>0</v>
      </c>
      <c r="J158" s="272">
        <v>0</v>
      </c>
      <c r="K158" s="272">
        <v>0</v>
      </c>
      <c r="L158" s="272">
        <v>0</v>
      </c>
      <c r="M158" s="272"/>
      <c r="N158" s="272"/>
      <c r="O158" s="272">
        <v>0</v>
      </c>
      <c r="P158" s="272" t="e">
        <f>-SUMIF(情形1!$C:$C,'FY25 S.3'!$F158,情形1!#REF!)</f>
        <v>#REF!</v>
      </c>
      <c r="Q158" s="272" t="e">
        <f>-SUMIF(情形1!$C:$C,'FY25 S.3'!$F158,情形1!#REF!)</f>
        <v>#REF!</v>
      </c>
      <c r="R158" s="272" t="e">
        <f>-SUMIF(情形1!$C:$C,'FY25 S.3'!$F158,情形1!#REF!)</f>
        <v>#REF!</v>
      </c>
      <c r="S158" s="272" t="e">
        <f>-SUMIF(情形1!$C:$C,'FY25 S.3'!$F158,情形1!#REF!)</f>
        <v>#REF!</v>
      </c>
      <c r="T158" s="272">
        <f>-SUMIF(情形1!$C:$C,'FY25 S.3'!$F158,情形1!G:G)</f>
        <v>0</v>
      </c>
      <c r="U158" s="272">
        <f>-SUMIF(情形1!$C:$C,'FY25 S.3'!$F158,情形1!H:H)</f>
        <v>0</v>
      </c>
      <c r="V158" s="272">
        <f>-SUMIF(情形1!$C:$C,'FY25 S.3'!$F158,情形1!I:I)</f>
        <v>0</v>
      </c>
      <c r="W158" s="272">
        <f>-SUMIF(情形1!$C:$C,'FY25 S.3'!$F158,情形1!J:J)</f>
        <v>0</v>
      </c>
      <c r="X158" s="272">
        <f>-SUMIF(情形1!$C:$C,'FY25 S.3'!$F158,情形1!K:K)</f>
        <v>0</v>
      </c>
      <c r="Y158" s="272">
        <f>-SUMIF(情形1!$C:$C,'FY25 S.3'!$F158,情形1!L:L)</f>
        <v>0</v>
      </c>
      <c r="Z158" s="272">
        <f>-SUMIF(情形1!$C:$C,'FY25 S.3'!$F158,情形1!M:M)</f>
        <v>0</v>
      </c>
      <c r="AA158" s="272">
        <f>-SUMIF(情形1!$C:$C,'FY25 S.3'!$F158,情形1!N:N)</f>
        <v>0</v>
      </c>
      <c r="AB158" s="272">
        <f>-SUMIF(情形1!$C:$C,'FY25 S.3'!$F158,情形1!O:O)</f>
        <v>0</v>
      </c>
      <c r="AC158" s="272">
        <f>-SUMIF(情形1!$C:$C,'FY25 S.3'!$F158,情形1!P:P)</f>
        <v>0</v>
      </c>
      <c r="AD158" s="272">
        <f>-SUMIF(情形1!$C:$C,'FY25 S.3'!$F158,情形1!Q:Q)</f>
        <v>0</v>
      </c>
      <c r="AE158" s="272">
        <f>-SUMIF(情形1!$C:$C,'FY25 S.3'!$F158,情形1!R:R)</f>
        <v>0</v>
      </c>
      <c r="AF158" s="272">
        <f>-SUMIF(情形1!$C:$C,'FY25 S.3'!$F158,情形1!S:S)</f>
        <v>0</v>
      </c>
      <c r="AG158" s="325" t="e">
        <f t="shared" si="103"/>
        <v>#REF!</v>
      </c>
      <c r="AH158" s="269"/>
      <c r="AI158" s="270"/>
      <c r="AJ158" s="270"/>
    </row>
    <row r="159" spans="1:36" s="191" customFormat="1">
      <c r="A159" s="323"/>
      <c r="B159" s="264"/>
      <c r="C159" s="264"/>
      <c r="D159" s="264"/>
      <c r="E159" s="216"/>
      <c r="F159" s="343" t="s">
        <v>2827</v>
      </c>
      <c r="G159" s="242"/>
      <c r="H159" s="243"/>
      <c r="I159" s="272">
        <v>0</v>
      </c>
      <c r="J159" s="272">
        <v>-5100000</v>
      </c>
      <c r="K159" s="272">
        <v>0</v>
      </c>
      <c r="L159" s="272">
        <v>0</v>
      </c>
      <c r="M159" s="272"/>
      <c r="N159" s="272"/>
      <c r="O159" s="272">
        <v>0</v>
      </c>
      <c r="P159" s="272">
        <v>0</v>
      </c>
      <c r="Q159" s="272">
        <v>0</v>
      </c>
      <c r="R159" s="272">
        <v>0</v>
      </c>
      <c r="S159" s="272">
        <v>0</v>
      </c>
      <c r="T159" s="272">
        <v>0</v>
      </c>
      <c r="U159" s="272">
        <v>-5100000</v>
      </c>
      <c r="V159" s="272">
        <v>0</v>
      </c>
      <c r="W159" s="272">
        <v>0</v>
      </c>
      <c r="X159" s="272">
        <v>0</v>
      </c>
      <c r="Y159" s="272">
        <v>0</v>
      </c>
      <c r="Z159" s="272">
        <v>0</v>
      </c>
      <c r="AA159" s="272">
        <v>0</v>
      </c>
      <c r="AB159" s="272">
        <v>0</v>
      </c>
      <c r="AC159" s="272">
        <v>0</v>
      </c>
      <c r="AD159" s="272">
        <v>0</v>
      </c>
      <c r="AE159" s="272">
        <v>0</v>
      </c>
      <c r="AF159" s="272">
        <v>0</v>
      </c>
      <c r="AG159" s="325">
        <f t="shared" si="103"/>
        <v>-5100000</v>
      </c>
      <c r="AH159" s="269"/>
      <c r="AI159" s="270"/>
      <c r="AJ159" s="270"/>
    </row>
    <row r="160" spans="1:36">
      <c r="A160" s="344"/>
      <c r="E160" s="304"/>
      <c r="F160" s="345" t="s">
        <v>2828</v>
      </c>
      <c r="G160" s="300"/>
      <c r="H160" s="243"/>
      <c r="I160" s="301">
        <f t="shared" ref="I160:X160" si="104">SUBTOTAL(9,I154:I159)</f>
        <v>0</v>
      </c>
      <c r="J160" s="301">
        <f t="shared" si="104"/>
        <v>-5100000</v>
      </c>
      <c r="K160" s="301">
        <f t="shared" si="104"/>
        <v>0</v>
      </c>
      <c r="L160" s="301">
        <f t="shared" si="104"/>
        <v>0</v>
      </c>
      <c r="M160" s="301">
        <f t="shared" si="104"/>
        <v>0</v>
      </c>
      <c r="N160" s="301">
        <f t="shared" si="104"/>
        <v>0</v>
      </c>
      <c r="O160" s="301">
        <f t="shared" si="104"/>
        <v>0</v>
      </c>
      <c r="P160" s="301" t="e">
        <f t="shared" si="104"/>
        <v>#REF!</v>
      </c>
      <c r="Q160" s="301" t="e">
        <f t="shared" si="104"/>
        <v>#REF!</v>
      </c>
      <c r="R160" s="301" t="e">
        <f t="shared" si="104"/>
        <v>#REF!</v>
      </c>
      <c r="S160" s="301" t="e">
        <f t="shared" si="104"/>
        <v>#REF!</v>
      </c>
      <c r="T160" s="301">
        <f t="shared" si="104"/>
        <v>0</v>
      </c>
      <c r="U160" s="301">
        <f t="shared" si="104"/>
        <v>-5100000</v>
      </c>
      <c r="V160" s="301">
        <f t="shared" si="104"/>
        <v>0</v>
      </c>
      <c r="W160" s="301">
        <f t="shared" si="104"/>
        <v>0</v>
      </c>
      <c r="X160" s="301">
        <f t="shared" si="104"/>
        <v>0</v>
      </c>
      <c r="Y160" s="301">
        <f t="shared" ref="Y160:AF160" si="105">SUBTOTAL(9,Y154:Y159)</f>
        <v>43550000</v>
      </c>
      <c r="Z160" s="301">
        <f t="shared" si="105"/>
        <v>0</v>
      </c>
      <c r="AA160" s="301">
        <f t="shared" si="105"/>
        <v>0</v>
      </c>
      <c r="AB160" s="301">
        <f t="shared" si="105"/>
        <v>0</v>
      </c>
      <c r="AC160" s="301">
        <f t="shared" si="105"/>
        <v>0</v>
      </c>
      <c r="AD160" s="301">
        <f t="shared" si="105"/>
        <v>0</v>
      </c>
      <c r="AE160" s="301">
        <f t="shared" si="105"/>
        <v>0</v>
      </c>
      <c r="AF160" s="301">
        <f t="shared" si="105"/>
        <v>0</v>
      </c>
      <c r="AG160" s="346" t="e">
        <f t="shared" si="103"/>
        <v>#REF!</v>
      </c>
      <c r="AH160" s="295"/>
    </row>
    <row r="161" spans="1:36">
      <c r="A161" s="344"/>
      <c r="E161" s="304"/>
      <c r="F161" s="347"/>
      <c r="G161" s="242"/>
      <c r="H161" s="243"/>
      <c r="I161" s="305"/>
      <c r="J161" s="305"/>
      <c r="K161" s="305"/>
      <c r="L161" s="305"/>
      <c r="M161" s="305"/>
      <c r="N161" s="305"/>
      <c r="O161" s="305"/>
      <c r="P161" s="305"/>
      <c r="Q161" s="305"/>
      <c r="R161" s="305"/>
      <c r="S161" s="305"/>
      <c r="T161" s="305"/>
      <c r="U161" s="305"/>
      <c r="V161" s="305"/>
      <c r="W161" s="305"/>
      <c r="X161" s="305"/>
      <c r="Y161" s="305"/>
      <c r="Z161" s="305"/>
      <c r="AA161" s="305"/>
      <c r="AB161" s="305"/>
      <c r="AC161" s="305"/>
      <c r="AD161" s="305"/>
      <c r="AE161" s="305"/>
      <c r="AF161" s="305"/>
      <c r="AG161" s="348"/>
      <c r="AH161" s="295"/>
    </row>
    <row r="162" spans="1:36">
      <c r="A162" s="344"/>
      <c r="E162" s="304"/>
      <c r="F162" s="324" t="s">
        <v>2829</v>
      </c>
      <c r="G162" s="242"/>
      <c r="H162" s="243"/>
      <c r="I162" s="305">
        <f t="shared" ref="I162:T162" si="106">SUM(I130,I132,I160)</f>
        <v>27342532.986349199</v>
      </c>
      <c r="J162" s="305">
        <f t="shared" si="106"/>
        <v>20445557.5960293</v>
      </c>
      <c r="K162" s="305">
        <f t="shared" si="106"/>
        <v>17377662.125941198</v>
      </c>
      <c r="L162" s="305">
        <f t="shared" si="106"/>
        <v>15197403.459259599</v>
      </c>
      <c r="M162" s="305">
        <f t="shared" si="106"/>
        <v>13931868.7879229</v>
      </c>
      <c r="N162" s="305">
        <f t="shared" si="106"/>
        <v>11914178.8587783</v>
      </c>
      <c r="O162" s="305" t="e">
        <f t="shared" si="106"/>
        <v>#REF!</v>
      </c>
      <c r="P162" s="305" t="e">
        <f t="shared" si="106"/>
        <v>#REF!</v>
      </c>
      <c r="Q162" s="305" t="e">
        <f t="shared" si="106"/>
        <v>#REF!</v>
      </c>
      <c r="R162" s="305" t="e">
        <f t="shared" si="106"/>
        <v>#REF!</v>
      </c>
      <c r="S162" s="305" t="e">
        <f t="shared" si="106"/>
        <v>#REF!</v>
      </c>
      <c r="T162" s="305" t="e">
        <f t="shared" si="106"/>
        <v>#REF!</v>
      </c>
      <c r="U162" s="305" t="e">
        <f t="shared" ref="U162:AG162" si="107">SUM(U130,U132,U160)</f>
        <v>#REF!</v>
      </c>
      <c r="V162" s="305" t="e">
        <f t="shared" si="107"/>
        <v>#REF!</v>
      </c>
      <c r="W162" s="305" t="e">
        <f t="shared" si="107"/>
        <v>#REF!</v>
      </c>
      <c r="X162" s="305" t="e">
        <f t="shared" si="107"/>
        <v>#REF!</v>
      </c>
      <c r="Y162" s="305" t="e">
        <f t="shared" si="107"/>
        <v>#REF!</v>
      </c>
      <c r="Z162" s="305" t="e">
        <f t="shared" si="107"/>
        <v>#REF!</v>
      </c>
      <c r="AA162" s="305" t="e">
        <f t="shared" si="107"/>
        <v>#REF!</v>
      </c>
      <c r="AB162" s="305" t="e">
        <f t="shared" si="107"/>
        <v>#REF!</v>
      </c>
      <c r="AC162" s="305" t="e">
        <f t="shared" si="107"/>
        <v>#REF!</v>
      </c>
      <c r="AD162" s="305" t="e">
        <f t="shared" si="107"/>
        <v>#REF!</v>
      </c>
      <c r="AE162" s="305" t="e">
        <f t="shared" si="107"/>
        <v>#REF!</v>
      </c>
      <c r="AF162" s="305" t="e">
        <f t="shared" si="107"/>
        <v>#REF!</v>
      </c>
      <c r="AG162" s="348" t="e">
        <f t="shared" si="107"/>
        <v>#REF!</v>
      </c>
      <c r="AH162" s="295"/>
    </row>
    <row r="163" spans="1:36">
      <c r="A163" s="349"/>
      <c r="B163" s="350"/>
      <c r="C163" s="350"/>
      <c r="D163" s="350"/>
      <c r="E163" s="351"/>
      <c r="F163" s="352" t="s">
        <v>2830</v>
      </c>
      <c r="G163" s="353"/>
      <c r="H163" s="354"/>
      <c r="I163" s="355">
        <v>8029091.9969359897</v>
      </c>
      <c r="J163" s="355">
        <v>7379580.7468830002</v>
      </c>
      <c r="K163" s="355">
        <v>7000313.3571215002</v>
      </c>
      <c r="L163" s="355">
        <v>6662159.5987438001</v>
      </c>
      <c r="M163" s="355">
        <v>6198128.1977252997</v>
      </c>
      <c r="N163" s="355">
        <v>5321271</v>
      </c>
      <c r="O163" s="355">
        <f t="shared" ref="O163:T163" si="108">N163-350000</f>
        <v>4971271</v>
      </c>
      <c r="P163" s="355">
        <f t="shared" si="108"/>
        <v>4621271</v>
      </c>
      <c r="Q163" s="355">
        <f t="shared" si="108"/>
        <v>4271271</v>
      </c>
      <c r="R163" s="355">
        <f t="shared" si="108"/>
        <v>3921271</v>
      </c>
      <c r="S163" s="355">
        <f t="shared" si="108"/>
        <v>3571271</v>
      </c>
      <c r="T163" s="355">
        <f t="shared" si="108"/>
        <v>3221271</v>
      </c>
      <c r="U163" s="355">
        <f>8000000-350000</f>
        <v>7650000</v>
      </c>
      <c r="V163" s="355">
        <f t="shared" ref="V163" si="109">U163-350000</f>
        <v>7300000</v>
      </c>
      <c r="W163" s="355">
        <f t="shared" ref="W163" si="110">V163-350000</f>
        <v>6950000</v>
      </c>
      <c r="X163" s="355">
        <f t="shared" ref="X163" si="111">W163-350000</f>
        <v>6600000</v>
      </c>
      <c r="Y163" s="355">
        <f t="shared" ref="Y163" si="112">X163-350000</f>
        <v>6250000</v>
      </c>
      <c r="Z163" s="355">
        <f t="shared" ref="Z163" si="113">Y163-350000</f>
        <v>5900000</v>
      </c>
      <c r="AA163" s="355">
        <f t="shared" ref="AA163" si="114">Z163-350000</f>
        <v>5550000</v>
      </c>
      <c r="AB163" s="355">
        <f t="shared" ref="AB163" si="115">AA163-350000</f>
        <v>5200000</v>
      </c>
      <c r="AC163" s="355">
        <f t="shared" ref="AC163" si="116">AB163-350000</f>
        <v>4850000</v>
      </c>
      <c r="AD163" s="355">
        <f t="shared" ref="AD163" si="117">AC163-350000</f>
        <v>4500000</v>
      </c>
      <c r="AE163" s="355">
        <f t="shared" ref="AE163" si="118">AD163-350000</f>
        <v>4150000</v>
      </c>
      <c r="AF163" s="355">
        <f t="shared" ref="AF163" si="119">AE163-350000</f>
        <v>3800000</v>
      </c>
      <c r="AG163" s="356"/>
      <c r="AH163" s="295"/>
    </row>
    <row r="164" spans="1:36">
      <c r="E164" s="304"/>
      <c r="G164" s="242"/>
      <c r="H164" s="243"/>
      <c r="I164" s="305"/>
      <c r="J164" s="305"/>
      <c r="K164" s="305"/>
      <c r="L164" s="305"/>
      <c r="M164" s="305"/>
      <c r="N164" s="305"/>
      <c r="O164" s="305"/>
      <c r="P164" s="305"/>
      <c r="Q164" s="305"/>
      <c r="R164" s="305"/>
      <c r="S164" s="305"/>
      <c r="T164" s="305"/>
      <c r="U164" s="305"/>
      <c r="V164" s="305"/>
      <c r="W164" s="305"/>
      <c r="X164" s="305"/>
      <c r="Y164" s="305"/>
      <c r="Z164" s="305"/>
      <c r="AA164" s="305"/>
      <c r="AB164" s="305"/>
      <c r="AC164" s="305"/>
      <c r="AD164" s="305"/>
      <c r="AE164" s="305"/>
      <c r="AF164" s="305"/>
      <c r="AG164" s="297"/>
      <c r="AH164" s="295"/>
    </row>
    <row r="165" spans="1:36">
      <c r="E165" s="304"/>
      <c r="F165" s="313"/>
      <c r="G165" s="242"/>
      <c r="H165" s="243"/>
      <c r="I165" s="305"/>
      <c r="J165" s="305"/>
      <c r="K165" s="305"/>
      <c r="L165" s="305"/>
      <c r="M165" s="305"/>
      <c r="N165" s="305"/>
      <c r="O165" s="305"/>
      <c r="P165" s="305"/>
      <c r="Q165" s="305"/>
      <c r="R165" s="305"/>
      <c r="S165" s="305"/>
      <c r="T165" s="305"/>
      <c r="U165" s="305"/>
      <c r="V165" s="305"/>
      <c r="W165" s="305"/>
      <c r="X165" s="305"/>
      <c r="Y165" s="305"/>
      <c r="Z165" s="305"/>
      <c r="AA165" s="305"/>
      <c r="AB165" s="305"/>
      <c r="AC165" s="305"/>
      <c r="AD165" s="305"/>
      <c r="AE165" s="305"/>
      <c r="AF165" s="305"/>
      <c r="AG165" s="297"/>
      <c r="AH165" s="295"/>
    </row>
    <row r="166" spans="1:36">
      <c r="I166" s="337"/>
      <c r="J166" s="337"/>
      <c r="K166" s="337"/>
      <c r="L166" s="337"/>
      <c r="M166" s="337"/>
      <c r="N166" s="337"/>
      <c r="O166" s="337"/>
      <c r="P166" s="337"/>
      <c r="Q166" s="337"/>
      <c r="R166" s="337"/>
      <c r="S166" s="337"/>
      <c r="T166" s="337"/>
      <c r="U166" s="337"/>
      <c r="V166" s="337"/>
      <c r="W166" s="337"/>
      <c r="X166" s="337"/>
      <c r="Y166" s="337"/>
      <c r="Z166" s="337"/>
      <c r="AA166" s="337"/>
      <c r="AB166" s="337"/>
      <c r="AC166" s="337"/>
      <c r="AD166" s="337"/>
      <c r="AE166" s="337"/>
      <c r="AF166" s="337"/>
    </row>
    <row r="167" spans="1:36" s="191" customFormat="1">
      <c r="A167" s="192"/>
      <c r="B167" s="192"/>
      <c r="C167" s="192"/>
      <c r="D167" s="192"/>
      <c r="E167" s="193"/>
      <c r="F167" s="193"/>
      <c r="G167" s="193"/>
      <c r="H167" s="193"/>
      <c r="I167" s="337"/>
      <c r="J167" s="337"/>
      <c r="K167" s="337"/>
      <c r="L167" s="337"/>
      <c r="M167" s="193"/>
      <c r="N167" s="357"/>
      <c r="O167" s="193"/>
      <c r="P167" s="193"/>
      <c r="Q167" s="193"/>
      <c r="R167" s="193"/>
      <c r="S167" s="338"/>
      <c r="T167" s="338"/>
      <c r="U167" s="337"/>
      <c r="V167" s="337"/>
      <c r="W167" s="337"/>
      <c r="X167" s="337"/>
      <c r="Y167" s="193"/>
      <c r="Z167" s="357"/>
      <c r="AA167" s="193"/>
      <c r="AB167" s="193"/>
      <c r="AC167" s="193"/>
      <c r="AD167" s="193"/>
      <c r="AE167" s="338"/>
      <c r="AF167" s="338"/>
      <c r="AI167" s="193"/>
      <c r="AJ167" s="193"/>
    </row>
    <row r="168" spans="1:36">
      <c r="I168" s="337"/>
      <c r="J168" s="337"/>
      <c r="K168" s="337"/>
      <c r="L168" s="337"/>
      <c r="U168" s="337"/>
      <c r="V168" s="337"/>
      <c r="W168" s="337"/>
      <c r="X168" s="337"/>
    </row>
    <row r="169" spans="1:36">
      <c r="I169" s="337"/>
      <c r="J169" s="337"/>
      <c r="K169" s="337"/>
      <c r="L169" s="337"/>
      <c r="U169" s="337"/>
      <c r="V169" s="337"/>
      <c r="W169" s="337"/>
      <c r="X169" s="337"/>
    </row>
    <row r="170" spans="1:36">
      <c r="I170" s="337"/>
      <c r="J170" s="337"/>
      <c r="K170" s="337"/>
      <c r="L170" s="337"/>
      <c r="U170" s="337"/>
      <c r="V170" s="337"/>
      <c r="W170" s="337"/>
      <c r="X170" s="337"/>
    </row>
    <row r="171" spans="1:36">
      <c r="I171" s="337"/>
      <c r="J171" s="337"/>
      <c r="K171" s="337"/>
      <c r="L171" s="337"/>
      <c r="U171" s="337"/>
      <c r="V171" s="337"/>
      <c r="W171" s="337"/>
      <c r="X171" s="337"/>
    </row>
    <row r="172" spans="1:36">
      <c r="I172" s="337"/>
      <c r="J172" s="337"/>
      <c r="K172" s="337"/>
      <c r="U172" s="337"/>
      <c r="V172" s="337"/>
      <c r="W172" s="337"/>
    </row>
    <row r="173" spans="1:36">
      <c r="I173" s="337"/>
      <c r="J173" s="337"/>
      <c r="K173" s="337"/>
      <c r="L173" s="357"/>
      <c r="U173" s="337"/>
      <c r="V173" s="337"/>
      <c r="W173" s="337"/>
      <c r="X173" s="357"/>
    </row>
    <row r="174" spans="1:36">
      <c r="I174" s="337"/>
      <c r="J174" s="337"/>
      <c r="K174" s="337"/>
      <c r="U174" s="337"/>
      <c r="V174" s="337"/>
      <c r="W174" s="337"/>
    </row>
    <row r="175" spans="1:36">
      <c r="I175" s="337"/>
      <c r="J175" s="337"/>
      <c r="K175" s="337"/>
      <c r="U175" s="337"/>
      <c r="V175" s="337"/>
      <c r="W175" s="337"/>
    </row>
    <row r="176" spans="1:36">
      <c r="I176" s="337"/>
      <c r="J176" s="337"/>
      <c r="K176" s="337"/>
      <c r="U176" s="337"/>
      <c r="V176" s="337"/>
      <c r="W176" s="337"/>
    </row>
    <row r="177" spans="9:24">
      <c r="I177" s="337"/>
      <c r="J177" s="337"/>
      <c r="K177" s="337"/>
      <c r="U177" s="337"/>
      <c r="V177" s="337"/>
      <c r="W177" s="337"/>
    </row>
    <row r="179" spans="9:24">
      <c r="I179" s="357"/>
      <c r="J179" s="357"/>
      <c r="K179" s="357"/>
      <c r="L179" s="357"/>
      <c r="U179" s="357"/>
      <c r="V179" s="357"/>
      <c r="W179" s="357"/>
      <c r="X179" s="357"/>
    </row>
  </sheetData>
  <mergeCells count="1">
    <mergeCell ref="AG7:AG8"/>
  </mergeCells>
  <conditionalFormatting sqref="I21:I28">
    <cfRule type="expression" dxfId="29" priority="1">
      <formula>I$11="Actual"</formula>
    </cfRule>
  </conditionalFormatting>
  <conditionalFormatting sqref="I6:N11">
    <cfRule type="expression" dxfId="28" priority="15">
      <formula>"i$9=""Actual"""</formula>
    </cfRule>
  </conditionalFormatting>
  <conditionalFormatting sqref="I13:N13">
    <cfRule type="expression" dxfId="27" priority="126">
      <formula>I$11="Actual"</formula>
    </cfRule>
  </conditionalFormatting>
  <conditionalFormatting sqref="I30:N31">
    <cfRule type="expression" dxfId="26" priority="127">
      <formula>I$11="Actual"</formula>
    </cfRule>
  </conditionalFormatting>
  <conditionalFormatting sqref="I46:N47">
    <cfRule type="expression" dxfId="25" priority="123">
      <formula>I$11="Actual"</formula>
    </cfRule>
  </conditionalFormatting>
  <conditionalFormatting sqref="I49:N50">
    <cfRule type="expression" dxfId="24" priority="87">
      <formula>I$11="Actual"</formula>
    </cfRule>
  </conditionalFormatting>
  <conditionalFormatting sqref="I71:N71">
    <cfRule type="expression" dxfId="23" priority="86">
      <formula>I$11="Actual"</formula>
    </cfRule>
  </conditionalFormatting>
  <conditionalFormatting sqref="I81:N82">
    <cfRule type="expression" dxfId="22" priority="85">
      <formula>I$11="Actual"</formula>
    </cfRule>
  </conditionalFormatting>
  <conditionalFormatting sqref="I99:N100">
    <cfRule type="expression" dxfId="21" priority="84">
      <formula>I$11="Actual"</formula>
    </cfRule>
  </conditionalFormatting>
  <conditionalFormatting sqref="I151:N151">
    <cfRule type="expression" dxfId="20" priority="183">
      <formula>I$11="Actual"</formula>
    </cfRule>
  </conditionalFormatting>
  <conditionalFormatting sqref="I14:AF20">
    <cfRule type="expression" dxfId="19" priority="121">
      <formula>I$11="Actual"</formula>
    </cfRule>
  </conditionalFormatting>
  <conditionalFormatting sqref="I135:AF140">
    <cfRule type="expression" dxfId="18" priority="97">
      <formula>I$11="Actual"</formula>
    </cfRule>
  </conditionalFormatting>
  <conditionalFormatting sqref="I142:AF142">
    <cfRule type="expression" dxfId="17" priority="120">
      <formula>I$11="Actual"</formula>
    </cfRule>
  </conditionalFormatting>
  <conditionalFormatting sqref="I144:AF145">
    <cfRule type="expression" dxfId="16" priority="94">
      <formula>I$11="Actual"</formula>
    </cfRule>
  </conditionalFormatting>
  <conditionalFormatting sqref="I147:AF147">
    <cfRule type="expression" dxfId="15" priority="128">
      <formula>I$11="Actual"</formula>
    </cfRule>
  </conditionalFormatting>
  <conditionalFormatting sqref="I32:AH36">
    <cfRule type="expression" dxfId="14" priority="2">
      <formula>I$11="Actual"</formula>
    </cfRule>
  </conditionalFormatting>
  <conditionalFormatting sqref="I72:AH80">
    <cfRule type="expression" dxfId="13" priority="32">
      <formula>I$11="Actual"</formula>
    </cfRule>
  </conditionalFormatting>
  <conditionalFormatting sqref="J25:N25">
    <cfRule type="expression" dxfId="12" priority="124">
      <formula>J$11="Actual"</formula>
    </cfRule>
  </conditionalFormatting>
  <conditionalFormatting sqref="J21:T21">
    <cfRule type="expression" dxfId="11" priority="135">
      <formula>J$11="Actual"</formula>
    </cfRule>
  </conditionalFormatting>
  <conditionalFormatting sqref="U6:Z6 U8:Z8 U10:Z11">
    <cfRule type="expression" dxfId="10" priority="5">
      <formula>"i$9=""Actual"""</formula>
    </cfRule>
  </conditionalFormatting>
  <conditionalFormatting sqref="U13:Z13">
    <cfRule type="expression" dxfId="9" priority="12">
      <formula>U$11="Actual"</formula>
    </cfRule>
  </conditionalFormatting>
  <conditionalFormatting sqref="U30:Z31">
    <cfRule type="expression" dxfId="8" priority="13">
      <formula>U$11="Actual"</formula>
    </cfRule>
  </conditionalFormatting>
  <conditionalFormatting sqref="U46:Z47">
    <cfRule type="expression" dxfId="7" priority="10">
      <formula>U$11="Actual"</formula>
    </cfRule>
  </conditionalFormatting>
  <conditionalFormatting sqref="U49:Z50">
    <cfRule type="expression" dxfId="6" priority="9">
      <formula>U$11="Actual"</formula>
    </cfRule>
  </conditionalFormatting>
  <conditionalFormatting sqref="U71:Z71">
    <cfRule type="expression" dxfId="5" priority="8">
      <formula>U$11="Actual"</formula>
    </cfRule>
  </conditionalFormatting>
  <conditionalFormatting sqref="U81:Z82">
    <cfRule type="expression" dxfId="4" priority="7">
      <formula>U$11="Actual"</formula>
    </cfRule>
  </conditionalFormatting>
  <conditionalFormatting sqref="U99:Z100">
    <cfRule type="expression" dxfId="3" priority="6">
      <formula>U$11="Actual"</formula>
    </cfRule>
  </conditionalFormatting>
  <conditionalFormatting sqref="U151:Z151">
    <cfRule type="expression" dxfId="2" priority="14">
      <formula>U$11="Actual"</formula>
    </cfRule>
  </conditionalFormatting>
  <conditionalFormatting sqref="V25:Z25">
    <cfRule type="expression" dxfId="1" priority="11">
      <formula>V$11="Actual"</formula>
    </cfRule>
  </conditionalFormatting>
  <conditionalFormatting sqref="AG20:AH20 V21:AH21 U21:U22 J22:N22 V22:Z22 J23:AH24 U25:U28 J26:T26 V26:AH26 J27:N28 V27:Z28 I37:N38 U37:Z38 I39:AH41 I42:N42 U42:Z42 I43:AH46 I48:AH48 I51:AH70 I83:AH98 I101:AH118 I119:N123 U119:Z123 I121:AH124 I125:N125 U125:Z125 I126:AH165">
    <cfRule type="expression" dxfId="0" priority="125">
      <formula>I$11="Actual"</formula>
    </cfRule>
  </conditionalFormatting>
  <printOptions horizontalCentered="1" headings="1" gridLines="1"/>
  <pageMargins left="0" right="0" top="0.511811023622047" bottom="0.23622047244094499" header="0.31496062992126" footer="0.118110236220472"/>
  <pageSetup paperSize="8" scale="67" fitToHeight="4" orientation="landscape" r:id="rId1"/>
  <headerFooter>
    <oddHeader>&amp;C&amp;G</oddHeader>
    <oddFooter>&amp;L&amp;"Arial,Regular"&amp;8FN: &amp;F&amp;C&amp;G&amp;R&amp;8&amp;D</oddFooter>
  </headerFooter>
  <rowBreaks count="2" manualBreakCount="2">
    <brk id="80" max="16383" man="1"/>
    <brk id="133" max="20" man="1"/>
  </rowBreaks>
  <drawing r:id="rId2"/>
  <legacyDrawing r:id="rId3"/>
  <legacyDrawingHF r:id="rId4"/>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4" tint="0.59999389629810485"/>
  </sheetPr>
  <dimension ref="A1:BG197"/>
  <sheetViews>
    <sheetView topLeftCell="AF1" workbookViewId="0">
      <selection activeCell="F33" sqref="F33"/>
    </sheetView>
  </sheetViews>
  <sheetFormatPr defaultColWidth="8.875" defaultRowHeight="12.75" outlineLevelRow="1" outlineLevelCol="1"/>
  <cols>
    <col min="1" max="1" width="3.375" style="152" customWidth="1"/>
    <col min="2" max="3" width="9" style="152" customWidth="1"/>
    <col min="4" max="4" width="29.75" style="152" customWidth="1"/>
    <col min="5" max="5" width="11.875" style="152" customWidth="1"/>
    <col min="6" max="6" width="27.75" style="152" customWidth="1"/>
    <col min="7" max="7" width="14.625" style="152" hidden="1" customWidth="1" outlineLevel="1"/>
    <col min="8" max="11" width="8" style="152" hidden="1" customWidth="1" outlineLevel="1"/>
    <col min="12" max="13" width="11.75" style="153" hidden="1" customWidth="1" outlineLevel="1"/>
    <col min="14" max="14" width="8" style="152" hidden="1" customWidth="1" outlineLevel="1"/>
    <col min="15" max="26" width="10.125" style="152" hidden="1" customWidth="1" outlineLevel="1"/>
    <col min="27" max="27" width="10" style="152" hidden="1" customWidth="1" outlineLevel="1"/>
    <col min="28" max="28" width="8" style="152" customWidth="1" collapsed="1"/>
    <col min="29" max="29" width="9.75" style="152" customWidth="1"/>
    <col min="30" max="31" width="11.75" style="153" customWidth="1"/>
    <col min="32" max="32" width="8" style="152" customWidth="1"/>
    <col min="33" max="44" width="10.125" style="152" customWidth="1" outlineLevel="1"/>
    <col min="45" max="45" width="10" style="152" customWidth="1"/>
    <col min="46" max="46" width="3.25" style="152" customWidth="1"/>
    <col min="47" max="58" width="10.125" style="152" customWidth="1" outlineLevel="1"/>
    <col min="59" max="59" width="10" style="152" customWidth="1"/>
    <col min="60" max="251" width="8.875" style="152"/>
    <col min="252" max="252" width="3.375" style="152" customWidth="1"/>
    <col min="253" max="253" width="38.375" style="152" customWidth="1"/>
    <col min="254" max="254" width="8" style="152" customWidth="1"/>
    <col min="255" max="266" width="9.375" style="152" customWidth="1"/>
    <col min="267" max="267" width="9.125" style="152" customWidth="1"/>
    <col min="268" max="507" width="8.875" style="152"/>
    <col min="508" max="508" width="3.375" style="152" customWidth="1"/>
    <col min="509" max="509" width="38.375" style="152" customWidth="1"/>
    <col min="510" max="510" width="8" style="152" customWidth="1"/>
    <col min="511" max="522" width="9.375" style="152" customWidth="1"/>
    <col min="523" max="523" width="9.125" style="152" customWidth="1"/>
    <col min="524" max="763" width="8.875" style="152"/>
    <col min="764" max="764" width="3.375" style="152" customWidth="1"/>
    <col min="765" max="765" width="38.375" style="152" customWidth="1"/>
    <col min="766" max="766" width="8" style="152" customWidth="1"/>
    <col min="767" max="778" width="9.375" style="152" customWidth="1"/>
    <col min="779" max="779" width="9.125" style="152" customWidth="1"/>
    <col min="780" max="1019" width="8.875" style="152"/>
    <col min="1020" max="1020" width="3.375" style="152" customWidth="1"/>
    <col min="1021" max="1021" width="38.375" style="152" customWidth="1"/>
    <col min="1022" max="1022" width="8" style="152" customWidth="1"/>
    <col min="1023" max="1034" width="9.375" style="152" customWidth="1"/>
    <col min="1035" max="1035" width="9.125" style="152" customWidth="1"/>
    <col min="1036" max="1275" width="8.875" style="152"/>
    <col min="1276" max="1276" width="3.375" style="152" customWidth="1"/>
    <col min="1277" max="1277" width="38.375" style="152" customWidth="1"/>
    <col min="1278" max="1278" width="8" style="152" customWidth="1"/>
    <col min="1279" max="1290" width="9.375" style="152" customWidth="1"/>
    <col min="1291" max="1291" width="9.125" style="152" customWidth="1"/>
    <col min="1292" max="1531" width="8.875" style="152"/>
    <col min="1532" max="1532" width="3.375" style="152" customWidth="1"/>
    <col min="1533" max="1533" width="38.375" style="152" customWidth="1"/>
    <col min="1534" max="1534" width="8" style="152" customWidth="1"/>
    <col min="1535" max="1546" width="9.375" style="152" customWidth="1"/>
    <col min="1547" max="1547" width="9.125" style="152" customWidth="1"/>
    <col min="1548" max="1787" width="8.875" style="152"/>
    <col min="1788" max="1788" width="3.375" style="152" customWidth="1"/>
    <col min="1789" max="1789" width="38.375" style="152" customWidth="1"/>
    <col min="1790" max="1790" width="8" style="152" customWidth="1"/>
    <col min="1791" max="1802" width="9.375" style="152" customWidth="1"/>
    <col min="1803" max="1803" width="9.125" style="152" customWidth="1"/>
    <col min="1804" max="2043" width="8.875" style="152"/>
    <col min="2044" max="2044" width="3.375" style="152" customWidth="1"/>
    <col min="2045" max="2045" width="38.375" style="152" customWidth="1"/>
    <col min="2046" max="2046" width="8" style="152" customWidth="1"/>
    <col min="2047" max="2058" width="9.375" style="152" customWidth="1"/>
    <col min="2059" max="2059" width="9.125" style="152" customWidth="1"/>
    <col min="2060" max="2299" width="8.875" style="152"/>
    <col min="2300" max="2300" width="3.375" style="152" customWidth="1"/>
    <col min="2301" max="2301" width="38.375" style="152" customWidth="1"/>
    <col min="2302" max="2302" width="8" style="152" customWidth="1"/>
    <col min="2303" max="2314" width="9.375" style="152" customWidth="1"/>
    <col min="2315" max="2315" width="9.125" style="152" customWidth="1"/>
    <col min="2316" max="2555" width="8.875" style="152"/>
    <col min="2556" max="2556" width="3.375" style="152" customWidth="1"/>
    <col min="2557" max="2557" width="38.375" style="152" customWidth="1"/>
    <col min="2558" max="2558" width="8" style="152" customWidth="1"/>
    <col min="2559" max="2570" width="9.375" style="152" customWidth="1"/>
    <col min="2571" max="2571" width="9.125" style="152" customWidth="1"/>
    <col min="2572" max="2811" width="8.875" style="152"/>
    <col min="2812" max="2812" width="3.375" style="152" customWidth="1"/>
    <col min="2813" max="2813" width="38.375" style="152" customWidth="1"/>
    <col min="2814" max="2814" width="8" style="152" customWidth="1"/>
    <col min="2815" max="2826" width="9.375" style="152" customWidth="1"/>
    <col min="2827" max="2827" width="9.125" style="152" customWidth="1"/>
    <col min="2828" max="3067" width="8.875" style="152"/>
    <col min="3068" max="3068" width="3.375" style="152" customWidth="1"/>
    <col min="3069" max="3069" width="38.375" style="152" customWidth="1"/>
    <col min="3070" max="3070" width="8" style="152" customWidth="1"/>
    <col min="3071" max="3082" width="9.375" style="152" customWidth="1"/>
    <col min="3083" max="3083" width="9.125" style="152" customWidth="1"/>
    <col min="3084" max="3323" width="8.875" style="152"/>
    <col min="3324" max="3324" width="3.375" style="152" customWidth="1"/>
    <col min="3325" max="3325" width="38.375" style="152" customWidth="1"/>
    <col min="3326" max="3326" width="8" style="152" customWidth="1"/>
    <col min="3327" max="3338" width="9.375" style="152" customWidth="1"/>
    <col min="3339" max="3339" width="9.125" style="152" customWidth="1"/>
    <col min="3340" max="3579" width="8.875" style="152"/>
    <col min="3580" max="3580" width="3.375" style="152" customWidth="1"/>
    <col min="3581" max="3581" width="38.375" style="152" customWidth="1"/>
    <col min="3582" max="3582" width="8" style="152" customWidth="1"/>
    <col min="3583" max="3594" width="9.375" style="152" customWidth="1"/>
    <col min="3595" max="3595" width="9.125" style="152" customWidth="1"/>
    <col min="3596" max="3835" width="8.875" style="152"/>
    <col min="3836" max="3836" width="3.375" style="152" customWidth="1"/>
    <col min="3837" max="3837" width="38.375" style="152" customWidth="1"/>
    <col min="3838" max="3838" width="8" style="152" customWidth="1"/>
    <col min="3839" max="3850" width="9.375" style="152" customWidth="1"/>
    <col min="3851" max="3851" width="9.125" style="152" customWidth="1"/>
    <col min="3852" max="4091" width="8.875" style="152"/>
    <col min="4092" max="4092" width="3.375" style="152" customWidth="1"/>
    <col min="4093" max="4093" width="38.375" style="152" customWidth="1"/>
    <col min="4094" max="4094" width="8" style="152" customWidth="1"/>
    <col min="4095" max="4106" width="9.375" style="152" customWidth="1"/>
    <col min="4107" max="4107" width="9.125" style="152" customWidth="1"/>
    <col min="4108" max="4347" width="8.875" style="152"/>
    <col min="4348" max="4348" width="3.375" style="152" customWidth="1"/>
    <col min="4349" max="4349" width="38.375" style="152" customWidth="1"/>
    <col min="4350" max="4350" width="8" style="152" customWidth="1"/>
    <col min="4351" max="4362" width="9.375" style="152" customWidth="1"/>
    <col min="4363" max="4363" width="9.125" style="152" customWidth="1"/>
    <col min="4364" max="4603" width="8.875" style="152"/>
    <col min="4604" max="4604" width="3.375" style="152" customWidth="1"/>
    <col min="4605" max="4605" width="38.375" style="152" customWidth="1"/>
    <col min="4606" max="4606" width="8" style="152" customWidth="1"/>
    <col min="4607" max="4618" width="9.375" style="152" customWidth="1"/>
    <col min="4619" max="4619" width="9.125" style="152" customWidth="1"/>
    <col min="4620" max="4859" width="8.875" style="152"/>
    <col min="4860" max="4860" width="3.375" style="152" customWidth="1"/>
    <col min="4861" max="4861" width="38.375" style="152" customWidth="1"/>
    <col min="4862" max="4862" width="8" style="152" customWidth="1"/>
    <col min="4863" max="4874" width="9.375" style="152" customWidth="1"/>
    <col min="4875" max="4875" width="9.125" style="152" customWidth="1"/>
    <col min="4876" max="5115" width="8.875" style="152"/>
    <col min="5116" max="5116" width="3.375" style="152" customWidth="1"/>
    <col min="5117" max="5117" width="38.375" style="152" customWidth="1"/>
    <col min="5118" max="5118" width="8" style="152" customWidth="1"/>
    <col min="5119" max="5130" width="9.375" style="152" customWidth="1"/>
    <col min="5131" max="5131" width="9.125" style="152" customWidth="1"/>
    <col min="5132" max="5371" width="8.875" style="152"/>
    <col min="5372" max="5372" width="3.375" style="152" customWidth="1"/>
    <col min="5373" max="5373" width="38.375" style="152" customWidth="1"/>
    <col min="5374" max="5374" width="8" style="152" customWidth="1"/>
    <col min="5375" max="5386" width="9.375" style="152" customWidth="1"/>
    <col min="5387" max="5387" width="9.125" style="152" customWidth="1"/>
    <col min="5388" max="5627" width="8.875" style="152"/>
    <col min="5628" max="5628" width="3.375" style="152" customWidth="1"/>
    <col min="5629" max="5629" width="38.375" style="152" customWidth="1"/>
    <col min="5630" max="5630" width="8" style="152" customWidth="1"/>
    <col min="5631" max="5642" width="9.375" style="152" customWidth="1"/>
    <col min="5643" max="5643" width="9.125" style="152" customWidth="1"/>
    <col min="5644" max="5883" width="8.875" style="152"/>
    <col min="5884" max="5884" width="3.375" style="152" customWidth="1"/>
    <col min="5885" max="5885" width="38.375" style="152" customWidth="1"/>
    <col min="5886" max="5886" width="8" style="152" customWidth="1"/>
    <col min="5887" max="5898" width="9.375" style="152" customWidth="1"/>
    <col min="5899" max="5899" width="9.125" style="152" customWidth="1"/>
    <col min="5900" max="6139" width="8.875" style="152"/>
    <col min="6140" max="6140" width="3.375" style="152" customWidth="1"/>
    <col min="6141" max="6141" width="38.375" style="152" customWidth="1"/>
    <col min="6142" max="6142" width="8" style="152" customWidth="1"/>
    <col min="6143" max="6154" width="9.375" style="152" customWidth="1"/>
    <col min="6155" max="6155" width="9.125" style="152" customWidth="1"/>
    <col min="6156" max="6395" width="8.875" style="152"/>
    <col min="6396" max="6396" width="3.375" style="152" customWidth="1"/>
    <col min="6397" max="6397" width="38.375" style="152" customWidth="1"/>
    <col min="6398" max="6398" width="8" style="152" customWidth="1"/>
    <col min="6399" max="6410" width="9.375" style="152" customWidth="1"/>
    <col min="6411" max="6411" width="9.125" style="152" customWidth="1"/>
    <col min="6412" max="6651" width="8.875" style="152"/>
    <col min="6652" max="6652" width="3.375" style="152" customWidth="1"/>
    <col min="6653" max="6653" width="38.375" style="152" customWidth="1"/>
    <col min="6654" max="6654" width="8" style="152" customWidth="1"/>
    <col min="6655" max="6666" width="9.375" style="152" customWidth="1"/>
    <col min="6667" max="6667" width="9.125" style="152" customWidth="1"/>
    <col min="6668" max="6907" width="8.875" style="152"/>
    <col min="6908" max="6908" width="3.375" style="152" customWidth="1"/>
    <col min="6909" max="6909" width="38.375" style="152" customWidth="1"/>
    <col min="6910" max="6910" width="8" style="152" customWidth="1"/>
    <col min="6911" max="6922" width="9.375" style="152" customWidth="1"/>
    <col min="6923" max="6923" width="9.125" style="152" customWidth="1"/>
    <col min="6924" max="7163" width="8.875" style="152"/>
    <col min="7164" max="7164" width="3.375" style="152" customWidth="1"/>
    <col min="7165" max="7165" width="38.375" style="152" customWidth="1"/>
    <col min="7166" max="7166" width="8" style="152" customWidth="1"/>
    <col min="7167" max="7178" width="9.375" style="152" customWidth="1"/>
    <col min="7179" max="7179" width="9.125" style="152" customWidth="1"/>
    <col min="7180" max="7419" width="8.875" style="152"/>
    <col min="7420" max="7420" width="3.375" style="152" customWidth="1"/>
    <col min="7421" max="7421" width="38.375" style="152" customWidth="1"/>
    <col min="7422" max="7422" width="8" style="152" customWidth="1"/>
    <col min="7423" max="7434" width="9.375" style="152" customWidth="1"/>
    <col min="7435" max="7435" width="9.125" style="152" customWidth="1"/>
    <col min="7436" max="7675" width="8.875" style="152"/>
    <col min="7676" max="7676" width="3.375" style="152" customWidth="1"/>
    <col min="7677" max="7677" width="38.375" style="152" customWidth="1"/>
    <col min="7678" max="7678" width="8" style="152" customWidth="1"/>
    <col min="7679" max="7690" width="9.375" style="152" customWidth="1"/>
    <col min="7691" max="7691" width="9.125" style="152" customWidth="1"/>
    <col min="7692" max="7931" width="8.875" style="152"/>
    <col min="7932" max="7932" width="3.375" style="152" customWidth="1"/>
    <col min="7933" max="7933" width="38.375" style="152" customWidth="1"/>
    <col min="7934" max="7934" width="8" style="152" customWidth="1"/>
    <col min="7935" max="7946" width="9.375" style="152" customWidth="1"/>
    <col min="7947" max="7947" width="9.125" style="152" customWidth="1"/>
    <col min="7948" max="8187" width="8.875" style="152"/>
    <col min="8188" max="8188" width="3.375" style="152" customWidth="1"/>
    <col min="8189" max="8189" width="38.375" style="152" customWidth="1"/>
    <col min="8190" max="8190" width="8" style="152" customWidth="1"/>
    <col min="8191" max="8202" width="9.375" style="152" customWidth="1"/>
    <col min="8203" max="8203" width="9.125" style="152" customWidth="1"/>
    <col min="8204" max="8443" width="8.875" style="152"/>
    <col min="8444" max="8444" width="3.375" style="152" customWidth="1"/>
    <col min="8445" max="8445" width="38.375" style="152" customWidth="1"/>
    <col min="8446" max="8446" width="8" style="152" customWidth="1"/>
    <col min="8447" max="8458" width="9.375" style="152" customWidth="1"/>
    <col min="8459" max="8459" width="9.125" style="152" customWidth="1"/>
    <col min="8460" max="8699" width="8.875" style="152"/>
    <col min="8700" max="8700" width="3.375" style="152" customWidth="1"/>
    <col min="8701" max="8701" width="38.375" style="152" customWidth="1"/>
    <col min="8702" max="8702" width="8" style="152" customWidth="1"/>
    <col min="8703" max="8714" width="9.375" style="152" customWidth="1"/>
    <col min="8715" max="8715" width="9.125" style="152" customWidth="1"/>
    <col min="8716" max="8955" width="8.875" style="152"/>
    <col min="8956" max="8956" width="3.375" style="152" customWidth="1"/>
    <col min="8957" max="8957" width="38.375" style="152" customWidth="1"/>
    <col min="8958" max="8958" width="8" style="152" customWidth="1"/>
    <col min="8959" max="8970" width="9.375" style="152" customWidth="1"/>
    <col min="8971" max="8971" width="9.125" style="152" customWidth="1"/>
    <col min="8972" max="9211" width="8.875" style="152"/>
    <col min="9212" max="9212" width="3.375" style="152" customWidth="1"/>
    <col min="9213" max="9213" width="38.375" style="152" customWidth="1"/>
    <col min="9214" max="9214" width="8" style="152" customWidth="1"/>
    <col min="9215" max="9226" width="9.375" style="152" customWidth="1"/>
    <col min="9227" max="9227" width="9.125" style="152" customWidth="1"/>
    <col min="9228" max="9467" width="8.875" style="152"/>
    <col min="9468" max="9468" width="3.375" style="152" customWidth="1"/>
    <col min="9469" max="9469" width="38.375" style="152" customWidth="1"/>
    <col min="9470" max="9470" width="8" style="152" customWidth="1"/>
    <col min="9471" max="9482" width="9.375" style="152" customWidth="1"/>
    <col min="9483" max="9483" width="9.125" style="152" customWidth="1"/>
    <col min="9484" max="9723" width="8.875" style="152"/>
    <col min="9724" max="9724" width="3.375" style="152" customWidth="1"/>
    <col min="9725" max="9725" width="38.375" style="152" customWidth="1"/>
    <col min="9726" max="9726" width="8" style="152" customWidth="1"/>
    <col min="9727" max="9738" width="9.375" style="152" customWidth="1"/>
    <col min="9739" max="9739" width="9.125" style="152" customWidth="1"/>
    <col min="9740" max="9979" width="8.875" style="152"/>
    <col min="9980" max="9980" width="3.375" style="152" customWidth="1"/>
    <col min="9981" max="9981" width="38.375" style="152" customWidth="1"/>
    <col min="9982" max="9982" width="8" style="152" customWidth="1"/>
    <col min="9983" max="9994" width="9.375" style="152" customWidth="1"/>
    <col min="9995" max="9995" width="9.125" style="152" customWidth="1"/>
    <col min="9996" max="10235" width="8.875" style="152"/>
    <col min="10236" max="10236" width="3.375" style="152" customWidth="1"/>
    <col min="10237" max="10237" width="38.375" style="152" customWidth="1"/>
    <col min="10238" max="10238" width="8" style="152" customWidth="1"/>
    <col min="10239" max="10250" width="9.375" style="152" customWidth="1"/>
    <col min="10251" max="10251" width="9.125" style="152" customWidth="1"/>
    <col min="10252" max="10491" width="8.875" style="152"/>
    <col min="10492" max="10492" width="3.375" style="152" customWidth="1"/>
    <col min="10493" max="10493" width="38.375" style="152" customWidth="1"/>
    <col min="10494" max="10494" width="8" style="152" customWidth="1"/>
    <col min="10495" max="10506" width="9.375" style="152" customWidth="1"/>
    <col min="10507" max="10507" width="9.125" style="152" customWidth="1"/>
    <col min="10508" max="10747" width="8.875" style="152"/>
    <col min="10748" max="10748" width="3.375" style="152" customWidth="1"/>
    <col min="10749" max="10749" width="38.375" style="152" customWidth="1"/>
    <col min="10750" max="10750" width="8" style="152" customWidth="1"/>
    <col min="10751" max="10762" width="9.375" style="152" customWidth="1"/>
    <col min="10763" max="10763" width="9.125" style="152" customWidth="1"/>
    <col min="10764" max="11003" width="8.875" style="152"/>
    <col min="11004" max="11004" width="3.375" style="152" customWidth="1"/>
    <col min="11005" max="11005" width="38.375" style="152" customWidth="1"/>
    <col min="11006" max="11006" width="8" style="152" customWidth="1"/>
    <col min="11007" max="11018" width="9.375" style="152" customWidth="1"/>
    <col min="11019" max="11019" width="9.125" style="152" customWidth="1"/>
    <col min="11020" max="11259" width="8.875" style="152"/>
    <col min="11260" max="11260" width="3.375" style="152" customWidth="1"/>
    <col min="11261" max="11261" width="38.375" style="152" customWidth="1"/>
    <col min="11262" max="11262" width="8" style="152" customWidth="1"/>
    <col min="11263" max="11274" width="9.375" style="152" customWidth="1"/>
    <col min="11275" max="11275" width="9.125" style="152" customWidth="1"/>
    <col min="11276" max="11515" width="8.875" style="152"/>
    <col min="11516" max="11516" width="3.375" style="152" customWidth="1"/>
    <col min="11517" max="11517" width="38.375" style="152" customWidth="1"/>
    <col min="11518" max="11518" width="8" style="152" customWidth="1"/>
    <col min="11519" max="11530" width="9.375" style="152" customWidth="1"/>
    <col min="11531" max="11531" width="9.125" style="152" customWidth="1"/>
    <col min="11532" max="11771" width="8.875" style="152"/>
    <col min="11772" max="11772" width="3.375" style="152" customWidth="1"/>
    <col min="11773" max="11773" width="38.375" style="152" customWidth="1"/>
    <col min="11774" max="11774" width="8" style="152" customWidth="1"/>
    <col min="11775" max="11786" width="9.375" style="152" customWidth="1"/>
    <col min="11787" max="11787" width="9.125" style="152" customWidth="1"/>
    <col min="11788" max="12027" width="8.875" style="152"/>
    <col min="12028" max="12028" width="3.375" style="152" customWidth="1"/>
    <col min="12029" max="12029" width="38.375" style="152" customWidth="1"/>
    <col min="12030" max="12030" width="8" style="152" customWidth="1"/>
    <col min="12031" max="12042" width="9.375" style="152" customWidth="1"/>
    <col min="12043" max="12043" width="9.125" style="152" customWidth="1"/>
    <col min="12044" max="12283" width="8.875" style="152"/>
    <col min="12284" max="12284" width="3.375" style="152" customWidth="1"/>
    <col min="12285" max="12285" width="38.375" style="152" customWidth="1"/>
    <col min="12286" max="12286" width="8" style="152" customWidth="1"/>
    <col min="12287" max="12298" width="9.375" style="152" customWidth="1"/>
    <col min="12299" max="12299" width="9.125" style="152" customWidth="1"/>
    <col min="12300" max="12539" width="8.875" style="152"/>
    <col min="12540" max="12540" width="3.375" style="152" customWidth="1"/>
    <col min="12541" max="12541" width="38.375" style="152" customWidth="1"/>
    <col min="12542" max="12542" width="8" style="152" customWidth="1"/>
    <col min="12543" max="12554" width="9.375" style="152" customWidth="1"/>
    <col min="12555" max="12555" width="9.125" style="152" customWidth="1"/>
    <col min="12556" max="12795" width="8.875" style="152"/>
    <col min="12796" max="12796" width="3.375" style="152" customWidth="1"/>
    <col min="12797" max="12797" width="38.375" style="152" customWidth="1"/>
    <col min="12798" max="12798" width="8" style="152" customWidth="1"/>
    <col min="12799" max="12810" width="9.375" style="152" customWidth="1"/>
    <col min="12811" max="12811" width="9.125" style="152" customWidth="1"/>
    <col min="12812" max="13051" width="8.875" style="152"/>
    <col min="13052" max="13052" width="3.375" style="152" customWidth="1"/>
    <col min="13053" max="13053" width="38.375" style="152" customWidth="1"/>
    <col min="13054" max="13054" width="8" style="152" customWidth="1"/>
    <col min="13055" max="13066" width="9.375" style="152" customWidth="1"/>
    <col min="13067" max="13067" width="9.125" style="152" customWidth="1"/>
    <col min="13068" max="13307" width="8.875" style="152"/>
    <col min="13308" max="13308" width="3.375" style="152" customWidth="1"/>
    <col min="13309" max="13309" width="38.375" style="152" customWidth="1"/>
    <col min="13310" max="13310" width="8" style="152" customWidth="1"/>
    <col min="13311" max="13322" width="9.375" style="152" customWidth="1"/>
    <col min="13323" max="13323" width="9.125" style="152" customWidth="1"/>
    <col min="13324" max="13563" width="8.875" style="152"/>
    <col min="13564" max="13564" width="3.375" style="152" customWidth="1"/>
    <col min="13565" max="13565" width="38.375" style="152" customWidth="1"/>
    <col min="13566" max="13566" width="8" style="152" customWidth="1"/>
    <col min="13567" max="13578" width="9.375" style="152" customWidth="1"/>
    <col min="13579" max="13579" width="9.125" style="152" customWidth="1"/>
    <col min="13580" max="13819" width="8.875" style="152"/>
    <col min="13820" max="13820" width="3.375" style="152" customWidth="1"/>
    <col min="13821" max="13821" width="38.375" style="152" customWidth="1"/>
    <col min="13822" max="13822" width="8" style="152" customWidth="1"/>
    <col min="13823" max="13834" width="9.375" style="152" customWidth="1"/>
    <col min="13835" max="13835" width="9.125" style="152" customWidth="1"/>
    <col min="13836" max="14075" width="8.875" style="152"/>
    <col min="14076" max="14076" width="3.375" style="152" customWidth="1"/>
    <col min="14077" max="14077" width="38.375" style="152" customWidth="1"/>
    <col min="14078" max="14078" width="8" style="152" customWidth="1"/>
    <col min="14079" max="14090" width="9.375" style="152" customWidth="1"/>
    <col min="14091" max="14091" width="9.125" style="152" customWidth="1"/>
    <col min="14092" max="14331" width="8.875" style="152"/>
    <col min="14332" max="14332" width="3.375" style="152" customWidth="1"/>
    <col min="14333" max="14333" width="38.375" style="152" customWidth="1"/>
    <col min="14334" max="14334" width="8" style="152" customWidth="1"/>
    <col min="14335" max="14346" width="9.375" style="152" customWidth="1"/>
    <col min="14347" max="14347" width="9.125" style="152" customWidth="1"/>
    <col min="14348" max="14587" width="8.875" style="152"/>
    <col min="14588" max="14588" width="3.375" style="152" customWidth="1"/>
    <col min="14589" max="14589" width="38.375" style="152" customWidth="1"/>
    <col min="14590" max="14590" width="8" style="152" customWidth="1"/>
    <col min="14591" max="14602" width="9.375" style="152" customWidth="1"/>
    <col min="14603" max="14603" width="9.125" style="152" customWidth="1"/>
    <col min="14604" max="14843" width="8.875" style="152"/>
    <col min="14844" max="14844" width="3.375" style="152" customWidth="1"/>
    <col min="14845" max="14845" width="38.375" style="152" customWidth="1"/>
    <col min="14846" max="14846" width="8" style="152" customWidth="1"/>
    <col min="14847" max="14858" width="9.375" style="152" customWidth="1"/>
    <col min="14859" max="14859" width="9.125" style="152" customWidth="1"/>
    <col min="14860" max="15099" width="8.875" style="152"/>
    <col min="15100" max="15100" width="3.375" style="152" customWidth="1"/>
    <col min="15101" max="15101" width="38.375" style="152" customWidth="1"/>
    <col min="15102" max="15102" width="8" style="152" customWidth="1"/>
    <col min="15103" max="15114" width="9.375" style="152" customWidth="1"/>
    <col min="15115" max="15115" width="9.125" style="152" customWidth="1"/>
    <col min="15116" max="15355" width="8.875" style="152"/>
    <col min="15356" max="15356" width="3.375" style="152" customWidth="1"/>
    <col min="15357" max="15357" width="38.375" style="152" customWidth="1"/>
    <col min="15358" max="15358" width="8" style="152" customWidth="1"/>
    <col min="15359" max="15370" width="9.375" style="152" customWidth="1"/>
    <col min="15371" max="15371" width="9.125" style="152" customWidth="1"/>
    <col min="15372" max="15611" width="8.875" style="152"/>
    <col min="15612" max="15612" width="3.375" style="152" customWidth="1"/>
    <col min="15613" max="15613" width="38.375" style="152" customWidth="1"/>
    <col min="15614" max="15614" width="8" style="152" customWidth="1"/>
    <col min="15615" max="15626" width="9.375" style="152" customWidth="1"/>
    <col min="15627" max="15627" width="9.125" style="152" customWidth="1"/>
    <col min="15628" max="15867" width="8.875" style="152"/>
    <col min="15868" max="15868" width="3.375" style="152" customWidth="1"/>
    <col min="15869" max="15869" width="38.375" style="152" customWidth="1"/>
    <col min="15870" max="15870" width="8" style="152" customWidth="1"/>
    <col min="15871" max="15882" width="9.375" style="152" customWidth="1"/>
    <col min="15883" max="15883" width="9.125" style="152" customWidth="1"/>
    <col min="15884" max="16123" width="8.875" style="152"/>
    <col min="16124" max="16124" width="3.375" style="152" customWidth="1"/>
    <col min="16125" max="16125" width="38.375" style="152" customWidth="1"/>
    <col min="16126" max="16126" width="8" style="152" customWidth="1"/>
    <col min="16127" max="16138" width="9.375" style="152" customWidth="1"/>
    <col min="16139" max="16139" width="9.125" style="152" customWidth="1"/>
    <col min="16140" max="16384" width="8.875" style="152"/>
  </cols>
  <sheetData>
    <row r="1" spans="1:59">
      <c r="A1" s="154"/>
      <c r="B1" s="154"/>
      <c r="C1" s="154"/>
      <c r="D1" s="154"/>
      <c r="E1" s="154"/>
      <c r="F1" s="155" t="s">
        <v>2927</v>
      </c>
      <c r="G1" s="155"/>
      <c r="H1" s="155"/>
      <c r="I1" s="155"/>
      <c r="J1" s="155"/>
      <c r="K1" s="156">
        <v>0.05</v>
      </c>
      <c r="L1" s="157"/>
      <c r="M1" s="157"/>
      <c r="N1" s="155"/>
      <c r="O1" s="154"/>
      <c r="P1" s="154"/>
      <c r="Q1" s="154"/>
      <c r="R1" s="154"/>
      <c r="S1" s="158"/>
      <c r="T1" s="154"/>
      <c r="U1" s="154"/>
      <c r="V1" s="158"/>
      <c r="W1" s="158"/>
      <c r="X1" s="158"/>
      <c r="Y1" s="158"/>
      <c r="Z1" s="158"/>
      <c r="AB1" s="159" t="s">
        <v>2928</v>
      </c>
      <c r="AC1" s="156">
        <v>0.05</v>
      </c>
      <c r="AD1" s="157"/>
      <c r="AE1" s="157"/>
      <c r="AF1" s="155"/>
      <c r="AG1" s="154"/>
      <c r="AH1" s="154"/>
      <c r="AI1" s="154"/>
      <c r="AJ1" s="154"/>
      <c r="AK1" s="158"/>
      <c r="AL1" s="154"/>
      <c r="AM1" s="154"/>
      <c r="AN1" s="158"/>
      <c r="AO1" s="158"/>
      <c r="AP1" s="158"/>
      <c r="AQ1" s="158"/>
      <c r="AR1" s="158"/>
      <c r="AU1" s="455">
        <v>0.05</v>
      </c>
      <c r="AV1" s="154"/>
      <c r="AW1" s="154"/>
      <c r="AX1" s="154"/>
      <c r="AY1" s="158"/>
      <c r="AZ1" s="154"/>
      <c r="BA1" s="154"/>
      <c r="BB1" s="158"/>
      <c r="BC1" s="158"/>
      <c r="BD1" s="158"/>
      <c r="BE1" s="158"/>
      <c r="BF1" s="158"/>
    </row>
    <row r="2" spans="1:59">
      <c r="A2" s="154"/>
      <c r="B2" s="154"/>
      <c r="C2" s="154"/>
      <c r="D2" s="154"/>
      <c r="E2" s="154"/>
      <c r="F2" s="154"/>
      <c r="G2" s="154"/>
      <c r="H2" s="154"/>
      <c r="I2" s="154"/>
      <c r="J2" s="154"/>
      <c r="K2" s="154"/>
      <c r="L2" s="160"/>
      <c r="M2" s="160"/>
      <c r="N2" s="154"/>
      <c r="O2" s="154"/>
      <c r="P2" s="154"/>
      <c r="Q2" s="154"/>
      <c r="R2" s="154"/>
      <c r="S2" s="158"/>
      <c r="T2" s="154"/>
      <c r="U2" s="154"/>
      <c r="V2" s="158"/>
      <c r="W2" s="158"/>
      <c r="X2" s="158"/>
      <c r="Y2" s="158"/>
      <c r="Z2" s="158"/>
      <c r="AB2" s="161" t="s">
        <v>2929</v>
      </c>
      <c r="AC2" s="154"/>
      <c r="AD2" s="160"/>
      <c r="AE2" s="160"/>
      <c r="AF2" s="154"/>
      <c r="AG2" s="154"/>
      <c r="AH2" s="154"/>
      <c r="AI2" s="154"/>
      <c r="AJ2" s="154"/>
      <c r="AK2" s="158"/>
      <c r="AL2" s="154"/>
      <c r="AM2" s="154"/>
      <c r="AN2" s="158"/>
      <c r="AO2" s="158"/>
      <c r="AP2" s="158"/>
      <c r="AQ2" s="158"/>
      <c r="AR2" s="158"/>
      <c r="AU2" s="154"/>
      <c r="AV2" s="154"/>
      <c r="AW2" s="154"/>
      <c r="AX2" s="154"/>
      <c r="AY2" s="158"/>
      <c r="AZ2" s="154"/>
      <c r="BA2" s="154"/>
      <c r="BB2" s="158"/>
      <c r="BC2" s="158"/>
      <c r="BD2" s="158"/>
      <c r="BE2" s="158"/>
      <c r="BF2" s="158"/>
    </row>
    <row r="3" spans="1:59" s="150" customFormat="1" ht="13.5" customHeight="1">
      <c r="A3" s="162"/>
      <c r="B3" s="162" t="s">
        <v>2598</v>
      </c>
      <c r="C3" s="162" t="s">
        <v>2704</v>
      </c>
      <c r="D3" s="162" t="s">
        <v>2602</v>
      </c>
      <c r="E3" s="162" t="s">
        <v>2401</v>
      </c>
      <c r="F3" s="163" t="s">
        <v>2930</v>
      </c>
      <c r="G3" s="163" t="s">
        <v>2603</v>
      </c>
      <c r="H3" s="164" t="s">
        <v>2604</v>
      </c>
      <c r="I3" s="164" t="s">
        <v>2605</v>
      </c>
      <c r="J3" s="165" t="s">
        <v>2606</v>
      </c>
      <c r="K3" s="166" t="s">
        <v>2607</v>
      </c>
      <c r="L3" s="167" t="s">
        <v>2608</v>
      </c>
      <c r="M3" s="167" t="s">
        <v>2609</v>
      </c>
      <c r="N3" s="166" t="s">
        <v>2610</v>
      </c>
      <c r="O3" s="69">
        <v>45658</v>
      </c>
      <c r="P3" s="69">
        <v>45689</v>
      </c>
      <c r="Q3" s="69">
        <v>45717</v>
      </c>
      <c r="R3" s="69">
        <v>45748</v>
      </c>
      <c r="S3" s="69">
        <v>45778</v>
      </c>
      <c r="T3" s="69">
        <v>45809</v>
      </c>
      <c r="U3" s="69">
        <v>45839</v>
      </c>
      <c r="V3" s="69">
        <v>45870</v>
      </c>
      <c r="W3" s="69">
        <v>45901</v>
      </c>
      <c r="X3" s="69">
        <v>45931</v>
      </c>
      <c r="Y3" s="69">
        <v>45962</v>
      </c>
      <c r="Z3" s="69">
        <v>45992</v>
      </c>
      <c r="AA3" s="168" t="s">
        <v>2705</v>
      </c>
      <c r="AB3" s="165" t="s">
        <v>2606</v>
      </c>
      <c r="AC3" s="166" t="s">
        <v>2607</v>
      </c>
      <c r="AD3" s="167" t="s">
        <v>2608</v>
      </c>
      <c r="AE3" s="167" t="s">
        <v>2609</v>
      </c>
      <c r="AF3" s="166" t="s">
        <v>2610</v>
      </c>
      <c r="AG3" s="69">
        <v>46023</v>
      </c>
      <c r="AH3" s="69">
        <v>46054</v>
      </c>
      <c r="AI3" s="69">
        <v>46082</v>
      </c>
      <c r="AJ3" s="69">
        <v>46113</v>
      </c>
      <c r="AK3" s="69">
        <v>46143</v>
      </c>
      <c r="AL3" s="69">
        <v>46174</v>
      </c>
      <c r="AM3" s="69">
        <v>46204</v>
      </c>
      <c r="AN3" s="69">
        <v>46235</v>
      </c>
      <c r="AO3" s="69">
        <v>46266</v>
      </c>
      <c r="AP3" s="69">
        <v>46296</v>
      </c>
      <c r="AQ3" s="69">
        <v>46327</v>
      </c>
      <c r="AR3" s="69">
        <v>46357</v>
      </c>
      <c r="AS3" s="168" t="s">
        <v>2706</v>
      </c>
      <c r="AU3" s="69">
        <f>'Prof. Fee'!AT$3</f>
        <v>46388</v>
      </c>
      <c r="AV3" s="69">
        <f>'Prof. Fee'!AU$3</f>
        <v>46419</v>
      </c>
      <c r="AW3" s="69">
        <f>'Prof. Fee'!AV$3</f>
        <v>46447</v>
      </c>
      <c r="AX3" s="69">
        <f>'Prof. Fee'!AW$3</f>
        <v>46478</v>
      </c>
      <c r="AY3" s="69">
        <f>'Prof. Fee'!AX$3</f>
        <v>46508</v>
      </c>
      <c r="AZ3" s="69">
        <f>'Prof. Fee'!AY$3</f>
        <v>46539</v>
      </c>
      <c r="BA3" s="69">
        <f>'Prof. Fee'!AZ$3</f>
        <v>46569</v>
      </c>
      <c r="BB3" s="69">
        <f>'Prof. Fee'!BA$3</f>
        <v>46600</v>
      </c>
      <c r="BC3" s="69">
        <f>'Prof. Fee'!BB$3</f>
        <v>46631</v>
      </c>
      <c r="BD3" s="69">
        <f>'Prof. Fee'!BC$3</f>
        <v>46661</v>
      </c>
      <c r="BE3" s="69">
        <f>'Prof. Fee'!BD$3</f>
        <v>46692</v>
      </c>
      <c r="BF3" s="69">
        <f>'Prof. Fee'!BE$3</f>
        <v>46722</v>
      </c>
      <c r="BG3" s="168" t="str">
        <f>'Prof. Fee'!BF$3</f>
        <v>2027Total</v>
      </c>
    </row>
    <row r="4" spans="1:59" s="150" customFormat="1" ht="13.5" customHeight="1">
      <c r="A4" s="162"/>
      <c r="B4" s="162"/>
      <c r="C4" s="162"/>
      <c r="D4" s="162"/>
      <c r="E4" s="162"/>
      <c r="F4" s="163"/>
      <c r="G4" s="163"/>
      <c r="H4" s="164"/>
      <c r="I4" s="164"/>
      <c r="J4" s="165"/>
      <c r="K4" s="166"/>
      <c r="L4" s="167"/>
      <c r="M4" s="167"/>
      <c r="N4" s="166"/>
      <c r="O4" s="69" t="s">
        <v>2046</v>
      </c>
      <c r="P4" s="69" t="s">
        <v>2046</v>
      </c>
      <c r="Q4" s="69" t="s">
        <v>2046</v>
      </c>
      <c r="R4" s="69" t="s">
        <v>2046</v>
      </c>
      <c r="S4" s="69" t="s">
        <v>2046</v>
      </c>
      <c r="T4" s="69" t="s">
        <v>2046</v>
      </c>
      <c r="U4" s="69" t="s">
        <v>2046</v>
      </c>
      <c r="V4" s="69" t="s">
        <v>2046</v>
      </c>
      <c r="W4" s="69" t="s">
        <v>2046</v>
      </c>
      <c r="X4" s="69" t="s">
        <v>2046</v>
      </c>
      <c r="Y4" s="69" t="s">
        <v>2046</v>
      </c>
      <c r="Z4" s="69" t="s">
        <v>2046</v>
      </c>
      <c r="AA4" s="168" t="s">
        <v>2046</v>
      </c>
      <c r="AB4" s="165"/>
      <c r="AC4" s="166"/>
      <c r="AD4" s="167"/>
      <c r="AE4" s="167"/>
      <c r="AF4" s="166"/>
      <c r="AG4" s="69" t="s">
        <v>2046</v>
      </c>
      <c r="AH4" s="69" t="s">
        <v>2046</v>
      </c>
      <c r="AI4" s="69" t="s">
        <v>2046</v>
      </c>
      <c r="AJ4" s="69" t="s">
        <v>2046</v>
      </c>
      <c r="AK4" s="69" t="s">
        <v>2046</v>
      </c>
      <c r="AL4" s="69" t="s">
        <v>2046</v>
      </c>
      <c r="AM4" s="69" t="s">
        <v>2046</v>
      </c>
      <c r="AN4" s="69" t="s">
        <v>2046</v>
      </c>
      <c r="AO4" s="69" t="s">
        <v>2046</v>
      </c>
      <c r="AP4" s="69" t="s">
        <v>2046</v>
      </c>
      <c r="AQ4" s="69" t="s">
        <v>2046</v>
      </c>
      <c r="AR4" s="69" t="s">
        <v>2046</v>
      </c>
      <c r="AS4" s="168" t="s">
        <v>2046</v>
      </c>
      <c r="AU4" s="69" t="s">
        <v>2046</v>
      </c>
      <c r="AV4" s="69" t="s">
        <v>2046</v>
      </c>
      <c r="AW4" s="69" t="s">
        <v>2046</v>
      </c>
      <c r="AX4" s="69" t="s">
        <v>2046</v>
      </c>
      <c r="AY4" s="69" t="s">
        <v>2046</v>
      </c>
      <c r="AZ4" s="69" t="s">
        <v>2046</v>
      </c>
      <c r="BA4" s="69" t="s">
        <v>2046</v>
      </c>
      <c r="BB4" s="69" t="s">
        <v>2046</v>
      </c>
      <c r="BC4" s="69" t="s">
        <v>2046</v>
      </c>
      <c r="BD4" s="69" t="s">
        <v>2046</v>
      </c>
      <c r="BE4" s="69" t="s">
        <v>2046</v>
      </c>
      <c r="BF4" s="69" t="s">
        <v>2046</v>
      </c>
      <c r="BG4" s="168" t="s">
        <v>2046</v>
      </c>
    </row>
    <row r="5" spans="1:59" s="150" customFormat="1" ht="13.5" customHeight="1" outlineLevel="1">
      <c r="A5" s="162"/>
      <c r="B5" s="162"/>
      <c r="C5" s="162"/>
      <c r="D5" s="162"/>
      <c r="E5" s="162"/>
      <c r="F5" s="169">
        <v>1</v>
      </c>
      <c r="G5" s="169">
        <v>2</v>
      </c>
      <c r="H5" s="169">
        <v>3</v>
      </c>
      <c r="I5" s="169">
        <v>4</v>
      </c>
      <c r="J5" s="169">
        <v>5</v>
      </c>
      <c r="K5" s="169">
        <v>6</v>
      </c>
      <c r="L5" s="170">
        <v>7</v>
      </c>
      <c r="M5" s="170">
        <v>8</v>
      </c>
      <c r="N5" s="169">
        <v>9</v>
      </c>
      <c r="O5" s="169">
        <v>10</v>
      </c>
      <c r="P5" s="169">
        <v>11</v>
      </c>
      <c r="Q5" s="169">
        <v>12</v>
      </c>
      <c r="R5" s="169">
        <v>13</v>
      </c>
      <c r="S5" s="169">
        <v>14</v>
      </c>
      <c r="T5" s="169">
        <v>15</v>
      </c>
      <c r="U5" s="169">
        <v>16</v>
      </c>
      <c r="V5" s="169">
        <v>17</v>
      </c>
      <c r="W5" s="169">
        <v>18</v>
      </c>
      <c r="X5" s="169">
        <v>19</v>
      </c>
      <c r="Y5" s="169">
        <v>20</v>
      </c>
      <c r="Z5" s="169">
        <v>21</v>
      </c>
      <c r="AA5" s="168"/>
      <c r="AB5" s="169">
        <v>5</v>
      </c>
      <c r="AC5" s="169">
        <v>6</v>
      </c>
      <c r="AD5" s="170">
        <v>7</v>
      </c>
      <c r="AE5" s="170">
        <v>8</v>
      </c>
      <c r="AF5" s="169">
        <v>9</v>
      </c>
      <c r="AG5" s="169">
        <v>10</v>
      </c>
      <c r="AH5" s="169">
        <v>11</v>
      </c>
      <c r="AI5" s="169">
        <v>12</v>
      </c>
      <c r="AJ5" s="169">
        <v>13</v>
      </c>
      <c r="AK5" s="169">
        <v>14</v>
      </c>
      <c r="AL5" s="169">
        <v>15</v>
      </c>
      <c r="AM5" s="169">
        <v>16</v>
      </c>
      <c r="AN5" s="169">
        <v>17</v>
      </c>
      <c r="AO5" s="169">
        <v>18</v>
      </c>
      <c r="AP5" s="169">
        <v>19</v>
      </c>
      <c r="AQ5" s="169">
        <v>20</v>
      </c>
      <c r="AR5" s="169">
        <v>21</v>
      </c>
      <c r="AS5" s="168"/>
      <c r="AU5" s="169"/>
      <c r="AV5" s="169"/>
      <c r="AW5" s="169"/>
      <c r="AX5" s="169"/>
      <c r="AY5" s="169"/>
      <c r="AZ5" s="169"/>
      <c r="BA5" s="169"/>
      <c r="BB5" s="169"/>
      <c r="BC5" s="169"/>
      <c r="BD5" s="169"/>
      <c r="BE5" s="169"/>
      <c r="BF5" s="169"/>
      <c r="BG5" s="168"/>
    </row>
    <row r="6" spans="1:59" ht="13.5" customHeight="1">
      <c r="A6" s="171">
        <v>1</v>
      </c>
      <c r="B6" s="171" t="s">
        <v>2110</v>
      </c>
      <c r="C6" s="171" t="s">
        <v>1646</v>
      </c>
      <c r="D6" s="171" t="str">
        <f>'CF-ACPL（合并）'!A27</f>
        <v>支付的其他与经营活动有关的现金（其他）</v>
      </c>
      <c r="E6" s="171" t="s">
        <v>2299</v>
      </c>
      <c r="F6" s="172" t="s">
        <v>1650</v>
      </c>
      <c r="G6" s="172"/>
      <c r="H6" s="77" t="s">
        <v>2613</v>
      </c>
      <c r="I6" s="173" t="s">
        <v>2614</v>
      </c>
      <c r="J6" s="173" t="s">
        <v>2368</v>
      </c>
      <c r="K6" s="174">
        <v>20000</v>
      </c>
      <c r="L6" s="175">
        <v>45658</v>
      </c>
      <c r="M6" s="175">
        <v>46022</v>
      </c>
      <c r="N6" s="176">
        <f>IF(AND(L6="",M6=""),"-",IF(M6="",12,DATEDIF(L6,M6,"M")+1))</f>
        <v>12</v>
      </c>
      <c r="O6" s="177">
        <f>IF(AND($L6&lt;=O$3,O$3&lt;=$M6),$K6/$N6*HLOOKUP(O$3,'FX Lookup'!$A$2:$Y$4,3,FALSE),0)</f>
        <v>1559.8666666666668</v>
      </c>
      <c r="P6" s="177">
        <f>IF(AND($L6&lt;=P$3,P$3&lt;=$M6),$K6/$N6*HLOOKUP(P$3,'FX Lookup'!$A$2:$Y$4,3,FALSE),0)</f>
        <v>1559.8666666666668</v>
      </c>
      <c r="Q6" s="177">
        <f>IF(AND($L6&lt;=Q$3,Q$3&lt;=$M6),$K6/$N6*HLOOKUP(Q$3,'FX Lookup'!$A$2:$Y$4,3,FALSE),0)</f>
        <v>1559.8666666666668</v>
      </c>
      <c r="R6" s="177">
        <f>IF(AND($L6&lt;=R$3,R$3&lt;=$M6),$K6/$N6*HLOOKUP(R$3,'FX Lookup'!$A$2:$Y$4,3,FALSE),0)</f>
        <v>1559.8666666666668</v>
      </c>
      <c r="S6" s="177">
        <f>IF(AND($L6&lt;=S$3,S$3&lt;=$M6),$K6/$N6*HLOOKUP(S$3,'FX Lookup'!$A$2:$Y$4,3,FALSE),0)</f>
        <v>1559.8666666666668</v>
      </c>
      <c r="T6" s="177">
        <f>IF(AND($L6&lt;=T$3,T$3&lt;=$M6),$K6/$N6*HLOOKUP(T$3,'FX Lookup'!$A$2:$Y$4,3,FALSE),0)</f>
        <v>1559.8666666666668</v>
      </c>
      <c r="U6" s="177">
        <f>IF(AND($L6&lt;=U$3,U$3&lt;=$M6),$K6/$N6*HLOOKUP(U$3,'FX Lookup'!$A$2:$Y$4,3,FALSE),0)</f>
        <v>1559.8666666666668</v>
      </c>
      <c r="V6" s="177">
        <f>IF(AND($L6&lt;=V$3,V$3&lt;=$M6),$K6/$N6*HLOOKUP(V$3,'FX Lookup'!$A$2:$Y$4,3,FALSE),0)</f>
        <v>1559.8666666666668</v>
      </c>
      <c r="W6" s="177">
        <f>IF(AND($L6&lt;=W$3,W$3&lt;=$M6),$K6/$N6*HLOOKUP(W$3,'FX Lookup'!$A$2:$Y$4,3,FALSE),0)</f>
        <v>1559.8666666666668</v>
      </c>
      <c r="X6" s="177">
        <f>IF(AND($L6&lt;=X$3,X$3&lt;=$M6),$K6/$N6*HLOOKUP(X$3,'FX Lookup'!$A$2:$Y$4,3,FALSE),0)</f>
        <v>1559.8666666666668</v>
      </c>
      <c r="Y6" s="177">
        <f>IF(AND($L6&lt;=Y$3,Y$3&lt;=$M6),$K6/$N6*HLOOKUP(Y$3,'FX Lookup'!$A$2:$Y$4,3,FALSE),0)</f>
        <v>1559.8666666666668</v>
      </c>
      <c r="Z6" s="177">
        <f>IF(AND($L6&lt;=Z$3,Z$3&lt;=$M6),$K6/$N6*HLOOKUP(Z$3,'FX Lookup'!$A$2:$Y$4,3,FALSE),0)</f>
        <v>1559.8666666666668</v>
      </c>
      <c r="AA6" s="178">
        <f t="shared" ref="AA6" si="0">SUM(O6:Z6)</f>
        <v>18718.400000000001</v>
      </c>
      <c r="AB6" s="173" t="s">
        <v>2368</v>
      </c>
      <c r="AC6" s="174">
        <v>20000</v>
      </c>
      <c r="AD6" s="175">
        <v>46023</v>
      </c>
      <c r="AE6" s="175">
        <v>46387</v>
      </c>
      <c r="AF6" s="176">
        <f t="shared" ref="AF6:AF25" si="1">IF(AND(AD6="",AE6=""),"-",IF(AE6="",12,DATEDIF(AD6,AE6,"M")+1))</f>
        <v>12</v>
      </c>
      <c r="AG6" s="177">
        <f>IF(AND($AD6&lt;=AG$3,AG$3&lt;=$AE6),$AC6/$AF6*HLOOKUP(AG$3,'FX Lookup'!$A$2:$Y$4,3,FALSE),0)</f>
        <v>1483.3166666666666</v>
      </c>
      <c r="AH6" s="177">
        <f>IF(AND($AD6&lt;=AH$3,AH$3&lt;=$AE6),$AC6/$AF6*HLOOKUP(AH$3,'FX Lookup'!$A$2:$Y$4,3,FALSE),0)</f>
        <v>1470.3333333333335</v>
      </c>
      <c r="AI6" s="177">
        <f>IF(AND($AD6&lt;=AI$3,AI$3&lt;=$AE6),$AC6/$AF6*HLOOKUP(AI$3,'FX Lookup'!$A$2:$Y$4,3,FALSE),0)</f>
        <v>1470.3333333333335</v>
      </c>
      <c r="AJ6" s="177">
        <f>IF(AND($AD6&lt;=AJ$3,AJ$3&lt;=$AE6),$AC6/$AF6*HLOOKUP(AJ$3,'FX Lookup'!$A$2:$Y$4,3,FALSE),0)</f>
        <v>1470.3333333333335</v>
      </c>
      <c r="AK6" s="177">
        <f>IF(AND($AD6&lt;=AK$3,AK$3&lt;=$AE6),$AC6/$AF6*HLOOKUP(AK$3,'FX Lookup'!$A$2:$Y$4,3,FALSE),0)</f>
        <v>1470.3333333333335</v>
      </c>
      <c r="AL6" s="177">
        <f>IF(AND($AD6&lt;=AL$3,AL$3&lt;=$AE6),$AC6/$AF6*HLOOKUP(AL$3,'FX Lookup'!$A$2:$Y$4,3,FALSE),0)</f>
        <v>1470.3333333333335</v>
      </c>
      <c r="AM6" s="177">
        <f>IF(AND($AD6&lt;=AM$3,AM$3&lt;=$AE6),$AC6/$AF6*HLOOKUP(AM$3,'FX Lookup'!$A$2:$Y$4,3,FALSE),0)</f>
        <v>1470.3333333333335</v>
      </c>
      <c r="AN6" s="177">
        <f>IF(AND($AD6&lt;=AN$3,AN$3&lt;=$AE6),$AC6/$AF6*HLOOKUP(AN$3,'FX Lookup'!$A$2:$Y$4,3,FALSE),0)</f>
        <v>1470.3333333333335</v>
      </c>
      <c r="AO6" s="177">
        <f>IF(AND($AD6&lt;=AO$3,AO$3&lt;=$AE6),$AC6/$AF6*HLOOKUP(AO$3,'FX Lookup'!$A$2:$Y$4,3,FALSE),0)</f>
        <v>1470.3333333333335</v>
      </c>
      <c r="AP6" s="177">
        <f>IF(AND($AD6&lt;=AP$3,AP$3&lt;=$AE6),$AC6/$AF6*HLOOKUP(AP$3,'FX Lookup'!$A$2:$Y$4,3,FALSE),0)</f>
        <v>1470.3333333333335</v>
      </c>
      <c r="AQ6" s="177">
        <f>IF(AND($AD6&lt;=AQ$3,AQ$3&lt;=$AE6),$AC6/$AF6*HLOOKUP(AQ$3,'FX Lookup'!$A$2:$Y$4,3,FALSE),0)</f>
        <v>1470.3333333333335</v>
      </c>
      <c r="AR6" s="177">
        <f>IF(AND($AD6&lt;=AR$3,AR$3&lt;=$AE6),$AC6/$AF6*HLOOKUP(AR$3,'FX Lookup'!$A$2:$Y$4,3,FALSE),0)</f>
        <v>1470.3333333333335</v>
      </c>
      <c r="AS6" s="178">
        <f>SUM(AG6:AR6)</f>
        <v>17656.983333333337</v>
      </c>
      <c r="AU6" s="177">
        <f t="shared" ref="AU6:AU25" si="2">AG6*(1+$AU$1)</f>
        <v>1557.4825000000001</v>
      </c>
      <c r="AV6" s="177">
        <f t="shared" ref="AV6:AV25" si="3">AH6*(1+$AU$1)</f>
        <v>1543.8500000000001</v>
      </c>
      <c r="AW6" s="177">
        <f t="shared" ref="AW6:AW25" si="4">AI6*(1+$AU$1)</f>
        <v>1543.8500000000001</v>
      </c>
      <c r="AX6" s="177">
        <f t="shared" ref="AX6:AX25" si="5">AJ6*(1+$AU$1)</f>
        <v>1543.8500000000001</v>
      </c>
      <c r="AY6" s="177">
        <f t="shared" ref="AY6:AY25" si="6">AK6*(1+$AU$1)</f>
        <v>1543.8500000000001</v>
      </c>
      <c r="AZ6" s="177">
        <f t="shared" ref="AZ6:AZ25" si="7">AL6*(1+$AU$1)</f>
        <v>1543.8500000000001</v>
      </c>
      <c r="BA6" s="177">
        <f t="shared" ref="BA6:BA25" si="8">AM6*(1+$AU$1)</f>
        <v>1543.8500000000001</v>
      </c>
      <c r="BB6" s="177">
        <f t="shared" ref="BB6:BB25" si="9">AN6*(1+$AU$1)</f>
        <v>1543.8500000000001</v>
      </c>
      <c r="BC6" s="177">
        <f t="shared" ref="BC6:BC25" si="10">AO6*(1+$AU$1)</f>
        <v>1543.8500000000001</v>
      </c>
      <c r="BD6" s="177">
        <f t="shared" ref="BD6:BD25" si="11">AP6*(1+$AU$1)</f>
        <v>1543.8500000000001</v>
      </c>
      <c r="BE6" s="177">
        <f t="shared" ref="BE6:BE25" si="12">AQ6*(1+$AU$1)</f>
        <v>1543.8500000000001</v>
      </c>
      <c r="BF6" s="177">
        <f t="shared" ref="BF6:BF25" si="13">AR6*(1+$AU$1)</f>
        <v>1543.8500000000001</v>
      </c>
      <c r="BG6" s="178">
        <f>SUM(AU6:BF6)</f>
        <v>18539.8325</v>
      </c>
    </row>
    <row r="7" spans="1:59" ht="13.5" customHeight="1">
      <c r="A7" s="171">
        <f t="shared" ref="A7:A21" si="14">IF(A6&lt;=0,FALSE,A6+1)</f>
        <v>2</v>
      </c>
      <c r="B7" s="171" t="s">
        <v>2110</v>
      </c>
      <c r="C7" s="171" t="s">
        <v>1844</v>
      </c>
      <c r="D7" s="171" t="str">
        <f>'CF-ACPL（合并）'!A27</f>
        <v>支付的其他与经营活动有关的现金（其他）</v>
      </c>
      <c r="E7" s="171" t="s">
        <v>2931</v>
      </c>
      <c r="F7" s="172" t="s">
        <v>2545</v>
      </c>
      <c r="G7" s="172"/>
      <c r="H7" s="77" t="s">
        <v>2613</v>
      </c>
      <c r="I7" s="173" t="s">
        <v>2614</v>
      </c>
      <c r="J7" s="173" t="s">
        <v>2368</v>
      </c>
      <c r="K7" s="174">
        <f>2200*(1+$K$1)*4</f>
        <v>9240</v>
      </c>
      <c r="L7" s="175">
        <v>45931</v>
      </c>
      <c r="M7" s="175">
        <v>45961</v>
      </c>
      <c r="N7" s="176">
        <f t="shared" ref="N7:N21" si="15">IF(AND(L7="",M7=""),"-",IF(M7="",12,DATEDIF(L7,M7,"M")+1))</f>
        <v>1</v>
      </c>
      <c r="O7" s="177">
        <f>IF(AND($L7&lt;=O$3,O$3&lt;=$M7),$K7/$N7*HLOOKUP(O$3,'FX Lookup'!$A$2:$Y$4,3,FALSE),0)</f>
        <v>0</v>
      </c>
      <c r="P7" s="177">
        <f>IF(AND($L7&lt;=P$3,P$3&lt;=$M7),$K7/$N7*HLOOKUP(P$3,'FX Lookup'!$A$2:$Y$4,3,FALSE),0)</f>
        <v>0</v>
      </c>
      <c r="Q7" s="177">
        <f>IF(AND($L7&lt;=Q$3,Q$3&lt;=$M7),$K7/$N7*HLOOKUP(Q$3,'FX Lookup'!$A$2:$Y$4,3,FALSE),0)</f>
        <v>0</v>
      </c>
      <c r="R7" s="177">
        <f>IF(AND($L7&lt;=R$3,R$3&lt;=$M7),$K7/$N7*HLOOKUP(R$3,'FX Lookup'!$A$2:$Y$4,3,FALSE),0)</f>
        <v>0</v>
      </c>
      <c r="S7" s="177">
        <f>IF(AND($L7&lt;=S$3,S$3&lt;=$M7),$K7/$N7*HLOOKUP(S$3,'FX Lookup'!$A$2:$Y$4,3,FALSE),0)</f>
        <v>0</v>
      </c>
      <c r="T7" s="177">
        <f>IF(AND($L7&lt;=T$3,T$3&lt;=$M7),$K7/$N7*HLOOKUP(T$3,'FX Lookup'!$A$2:$Y$4,3,FALSE),0)</f>
        <v>0</v>
      </c>
      <c r="U7" s="177">
        <f>IF(AND($L7&lt;=U$3,U$3&lt;=$M7),$K7/$N7*HLOOKUP(U$3,'FX Lookup'!$A$2:$Y$4,3,FALSE),0)</f>
        <v>0</v>
      </c>
      <c r="V7" s="177">
        <f>IF(AND($L7&lt;=V$3,V$3&lt;=$M7),$K7/$N7*HLOOKUP(V$3,'FX Lookup'!$A$2:$Y$4,3,FALSE),0)</f>
        <v>0</v>
      </c>
      <c r="W7" s="177">
        <f>IF(AND($L7&lt;=W$3,W$3&lt;=$M7),$K7/$N7*HLOOKUP(W$3,'FX Lookup'!$A$2:$Y$4,3,FALSE),0)</f>
        <v>0</v>
      </c>
      <c r="X7" s="177">
        <f>IF(AND($L7&lt;=X$3,X$3&lt;=$M7),$K7/$N7*HLOOKUP(X$3,'FX Lookup'!$A$2:$Y$4,3,FALSE),0)</f>
        <v>8647.9007999999994</v>
      </c>
      <c r="Y7" s="177">
        <f>IF(AND($L7&lt;=Y$3,Y$3&lt;=$M7),$K7/$N7*HLOOKUP(Y$3,'FX Lookup'!$A$2:$Y$4,3,FALSE),0)</f>
        <v>0</v>
      </c>
      <c r="Z7" s="177">
        <f>IF(AND($L7&lt;=Z$3,Z$3&lt;=$M7),$K7/$N7*HLOOKUP(Z$3,'FX Lookup'!$A$2:$Y$4,3,FALSE),0)</f>
        <v>0</v>
      </c>
      <c r="AA7" s="178">
        <f t="shared" ref="AA7:AA25" si="16">SUM(O7:Z7)</f>
        <v>8647.9007999999994</v>
      </c>
      <c r="AB7" s="173" t="s">
        <v>2368</v>
      </c>
      <c r="AC7" s="174">
        <f>2200*(1+$AC$1)*4</f>
        <v>9240</v>
      </c>
      <c r="AD7" s="175">
        <v>46296</v>
      </c>
      <c r="AE7" s="175">
        <v>46326</v>
      </c>
      <c r="AF7" s="176">
        <f t="shared" si="1"/>
        <v>1</v>
      </c>
      <c r="AG7" s="177">
        <f>IF(AND($AD7&lt;=AG$3,AG$3&lt;=$AE7),$AC7/$AF7*HLOOKUP(AG$3,'FX Lookup'!$A$2:$Y$4,3,FALSE),0)</f>
        <v>0</v>
      </c>
      <c r="AH7" s="177">
        <f>IF(AND($AD7&lt;=AH$3,AH$3&lt;=$AE7),$AC7/$AF7*HLOOKUP(AH$3,'FX Lookup'!$A$2:$Y$4,3,FALSE),0)</f>
        <v>0</v>
      </c>
      <c r="AI7" s="177">
        <f>IF(AND($AD7&lt;=AI$3,AI$3&lt;=$AE7),$AC7/$AF7*HLOOKUP(AI$3,'FX Lookup'!$A$2:$Y$4,3,FALSE),0)</f>
        <v>0</v>
      </c>
      <c r="AJ7" s="177">
        <f>IF(AND($AD7&lt;=AJ$3,AJ$3&lt;=$AE7),$AC7/$AF7*HLOOKUP(AJ$3,'FX Lookup'!$A$2:$Y$4,3,FALSE),0)</f>
        <v>0</v>
      </c>
      <c r="AK7" s="177">
        <f>IF(AND($AD7&lt;=AK$3,AK$3&lt;=$AE7),$AC7/$AF7*HLOOKUP(AK$3,'FX Lookup'!$A$2:$Y$4,3,FALSE),0)</f>
        <v>0</v>
      </c>
      <c r="AL7" s="177">
        <f>IF(AND($AD7&lt;=AL$3,AL$3&lt;=$AE7),$AC7/$AF7*HLOOKUP(AL$3,'FX Lookup'!$A$2:$Y$4,3,FALSE),0)</f>
        <v>0</v>
      </c>
      <c r="AM7" s="177">
        <f>IF(AND($AD7&lt;=AM$3,AM$3&lt;=$AE7),$AC7/$AF7*HLOOKUP(AM$3,'FX Lookup'!$A$2:$Y$4,3,FALSE),0)</f>
        <v>0</v>
      </c>
      <c r="AN7" s="177">
        <f>IF(AND($AD7&lt;=AN$3,AN$3&lt;=$AE7),$AC7/$AF7*HLOOKUP(AN$3,'FX Lookup'!$A$2:$Y$4,3,FALSE),0)</f>
        <v>0</v>
      </c>
      <c r="AO7" s="177">
        <f>IF(AND($AD7&lt;=AO$3,AO$3&lt;=$AE7),$AC7/$AF7*HLOOKUP(AO$3,'FX Lookup'!$A$2:$Y$4,3,FALSE),0)</f>
        <v>0</v>
      </c>
      <c r="AP7" s="177">
        <f>IF(AND($AD7&lt;=AP$3,AP$3&lt;=$AE7),$AC7/$AF7*HLOOKUP(AP$3,'FX Lookup'!$A$2:$Y$4,3,FALSE),0)</f>
        <v>8151.5280000000002</v>
      </c>
      <c r="AQ7" s="177">
        <f>IF(AND($AD7&lt;=AQ$3,AQ$3&lt;=$AE7),$AC7/$AF7*HLOOKUP(AQ$3,'FX Lookup'!$A$2:$Y$4,3,FALSE),0)</f>
        <v>0</v>
      </c>
      <c r="AR7" s="177">
        <f>IF(AND($AD7&lt;=AR$3,AR$3&lt;=$AE7),$AC7/$AF7*HLOOKUP(AR$3,'FX Lookup'!$A$2:$Y$4,3,FALSE),0)</f>
        <v>0</v>
      </c>
      <c r="AS7" s="178">
        <f t="shared" ref="AS7:AS25" si="17">SUM(AG7:AR7)</f>
        <v>8151.5280000000002</v>
      </c>
      <c r="AU7" s="177">
        <f t="shared" si="2"/>
        <v>0</v>
      </c>
      <c r="AV7" s="177">
        <f t="shared" si="3"/>
        <v>0</v>
      </c>
      <c r="AW7" s="177">
        <f t="shared" si="4"/>
        <v>0</v>
      </c>
      <c r="AX7" s="177">
        <f t="shared" si="5"/>
        <v>0</v>
      </c>
      <c r="AY7" s="177">
        <f t="shared" si="6"/>
        <v>0</v>
      </c>
      <c r="AZ7" s="177">
        <f t="shared" si="7"/>
        <v>0</v>
      </c>
      <c r="BA7" s="177">
        <f t="shared" si="8"/>
        <v>0</v>
      </c>
      <c r="BB7" s="177">
        <f t="shared" si="9"/>
        <v>0</v>
      </c>
      <c r="BC7" s="177">
        <f t="shared" si="10"/>
        <v>0</v>
      </c>
      <c r="BD7" s="177">
        <f t="shared" si="11"/>
        <v>8559.1044000000002</v>
      </c>
      <c r="BE7" s="177">
        <f t="shared" si="12"/>
        <v>0</v>
      </c>
      <c r="BF7" s="177">
        <f t="shared" si="13"/>
        <v>0</v>
      </c>
      <c r="BG7" s="178">
        <f t="shared" ref="BG7:BG25" si="18">SUM(AU7:BF7)</f>
        <v>8559.1044000000002</v>
      </c>
    </row>
    <row r="8" spans="1:59" ht="13.5" customHeight="1">
      <c r="A8" s="171">
        <f t="shared" si="14"/>
        <v>3</v>
      </c>
      <c r="B8" s="171" t="s">
        <v>2110</v>
      </c>
      <c r="C8" s="171" t="s">
        <v>1918</v>
      </c>
      <c r="D8" s="171" t="str">
        <f>'CF-ACPL（合并）'!A27</f>
        <v>支付的其他与经营活动有关的现金（其他）</v>
      </c>
      <c r="E8" s="171"/>
      <c r="F8" s="172" t="s">
        <v>2804</v>
      </c>
      <c r="G8" s="172"/>
      <c r="H8" s="77" t="s">
        <v>2613</v>
      </c>
      <c r="I8" s="173" t="s">
        <v>2614</v>
      </c>
      <c r="J8" s="173" t="s">
        <v>2368</v>
      </c>
      <c r="K8" s="174">
        <f>200*12</f>
        <v>2400</v>
      </c>
      <c r="L8" s="175">
        <v>45658</v>
      </c>
      <c r="M8" s="175">
        <v>46022</v>
      </c>
      <c r="N8" s="176">
        <f t="shared" si="15"/>
        <v>12</v>
      </c>
      <c r="O8" s="177">
        <f>IF(AND($L8&lt;=O$3,O$3&lt;=$M8),$K8/$N8*HLOOKUP(O$3,'FX Lookup'!$A$2:$Y$4,3,FALSE),0)</f>
        <v>187.184</v>
      </c>
      <c r="P8" s="177">
        <f>IF(AND($L8&lt;=P$3,P$3&lt;=$M8),$K8/$N8*HLOOKUP(P$3,'FX Lookup'!$A$2:$Y$4,3,FALSE),0)</f>
        <v>187.184</v>
      </c>
      <c r="Q8" s="177">
        <f>IF(AND($L8&lt;=Q$3,Q$3&lt;=$M8),$K8/$N8*HLOOKUP(Q$3,'FX Lookup'!$A$2:$Y$4,3,FALSE),0)</f>
        <v>187.184</v>
      </c>
      <c r="R8" s="177">
        <f>IF(AND($L8&lt;=R$3,R$3&lt;=$M8),$K8/$N8*HLOOKUP(R$3,'FX Lookup'!$A$2:$Y$4,3,FALSE),0)</f>
        <v>187.184</v>
      </c>
      <c r="S8" s="177">
        <f>IF(AND($L8&lt;=S$3,S$3&lt;=$M8),$K8/$N8*HLOOKUP(S$3,'FX Lookup'!$A$2:$Y$4,3,FALSE),0)</f>
        <v>187.184</v>
      </c>
      <c r="T8" s="177">
        <f>IF(AND($L8&lt;=T$3,T$3&lt;=$M8),$K8/$N8*HLOOKUP(T$3,'FX Lookup'!$A$2:$Y$4,3,FALSE),0)</f>
        <v>187.184</v>
      </c>
      <c r="U8" s="177">
        <f>IF(AND($L8&lt;=U$3,U$3&lt;=$M8),$K8/$N8*HLOOKUP(U$3,'FX Lookup'!$A$2:$Y$4,3,FALSE),0)</f>
        <v>187.184</v>
      </c>
      <c r="V8" s="177">
        <f>IF(AND($L8&lt;=V$3,V$3&lt;=$M8),$K8/$N8*HLOOKUP(V$3,'FX Lookup'!$A$2:$Y$4,3,FALSE),0)</f>
        <v>187.184</v>
      </c>
      <c r="W8" s="177">
        <f>IF(AND($L8&lt;=W$3,W$3&lt;=$M8),$K8/$N8*HLOOKUP(W$3,'FX Lookup'!$A$2:$Y$4,3,FALSE),0)</f>
        <v>187.184</v>
      </c>
      <c r="X8" s="177">
        <f>IF(AND($L8&lt;=X$3,X$3&lt;=$M8),$K8/$N8*HLOOKUP(X$3,'FX Lookup'!$A$2:$Y$4,3,FALSE),0)</f>
        <v>187.184</v>
      </c>
      <c r="Y8" s="177">
        <f>IF(AND($L8&lt;=Y$3,Y$3&lt;=$M8),$K8/$N8*HLOOKUP(Y$3,'FX Lookup'!$A$2:$Y$4,3,FALSE),0)</f>
        <v>187.184</v>
      </c>
      <c r="Z8" s="177">
        <f>IF(AND($L8&lt;=Z$3,Z$3&lt;=$M8),$K8/$N8*HLOOKUP(Z$3,'FX Lookup'!$A$2:$Y$4,3,FALSE),0)</f>
        <v>187.184</v>
      </c>
      <c r="AA8" s="178">
        <f t="shared" si="16"/>
        <v>2246.2080000000001</v>
      </c>
      <c r="AB8" s="173" t="s">
        <v>2368</v>
      </c>
      <c r="AC8" s="174">
        <f>200*12</f>
        <v>2400</v>
      </c>
      <c r="AD8" s="175">
        <v>46023</v>
      </c>
      <c r="AE8" s="175">
        <v>46387</v>
      </c>
      <c r="AF8" s="176">
        <f t="shared" si="1"/>
        <v>12</v>
      </c>
      <c r="AG8" s="177">
        <f>IF(AND($AD8&lt;=AG$3,AG$3&lt;=$AE8),$AC8/$AF8*HLOOKUP(AG$3,'FX Lookup'!$A$2:$Y$4,3,FALSE),0)</f>
        <v>177.99799999999999</v>
      </c>
      <c r="AH8" s="177">
        <f>IF(AND($AD8&lt;=AH$3,AH$3&lt;=$AE8),$AC8/$AF8*HLOOKUP(AH$3,'FX Lookup'!$A$2:$Y$4,3,FALSE),0)</f>
        <v>176.44</v>
      </c>
      <c r="AI8" s="177">
        <f>IF(AND($AD8&lt;=AI$3,AI$3&lt;=$AE8),$AC8/$AF8*HLOOKUP(AI$3,'FX Lookup'!$A$2:$Y$4,3,FALSE),0)</f>
        <v>176.44</v>
      </c>
      <c r="AJ8" s="177">
        <f>IF(AND($AD8&lt;=AJ$3,AJ$3&lt;=$AE8),$AC8/$AF8*HLOOKUP(AJ$3,'FX Lookup'!$A$2:$Y$4,3,FALSE),0)</f>
        <v>176.44</v>
      </c>
      <c r="AK8" s="177">
        <f>IF(AND($AD8&lt;=AK$3,AK$3&lt;=$AE8),$AC8/$AF8*HLOOKUP(AK$3,'FX Lookup'!$A$2:$Y$4,3,FALSE),0)</f>
        <v>176.44</v>
      </c>
      <c r="AL8" s="177">
        <f>IF(AND($AD8&lt;=AL$3,AL$3&lt;=$AE8),$AC8/$AF8*HLOOKUP(AL$3,'FX Lookup'!$A$2:$Y$4,3,FALSE),0)</f>
        <v>176.44</v>
      </c>
      <c r="AM8" s="177">
        <f>IF(AND($AD8&lt;=AM$3,AM$3&lt;=$AE8),$AC8/$AF8*HLOOKUP(AM$3,'FX Lookup'!$A$2:$Y$4,3,FALSE),0)</f>
        <v>176.44</v>
      </c>
      <c r="AN8" s="177">
        <f>IF(AND($AD8&lt;=AN$3,AN$3&lt;=$AE8),$AC8/$AF8*HLOOKUP(AN$3,'FX Lookup'!$A$2:$Y$4,3,FALSE),0)</f>
        <v>176.44</v>
      </c>
      <c r="AO8" s="177">
        <f>IF(AND($AD8&lt;=AO$3,AO$3&lt;=$AE8),$AC8/$AF8*HLOOKUP(AO$3,'FX Lookup'!$A$2:$Y$4,3,FALSE),0)</f>
        <v>176.44</v>
      </c>
      <c r="AP8" s="177">
        <f>IF(AND($AD8&lt;=AP$3,AP$3&lt;=$AE8),$AC8/$AF8*HLOOKUP(AP$3,'FX Lookup'!$A$2:$Y$4,3,FALSE),0)</f>
        <v>176.44</v>
      </c>
      <c r="AQ8" s="177">
        <f>IF(AND($AD8&lt;=AQ$3,AQ$3&lt;=$AE8),$AC8/$AF8*HLOOKUP(AQ$3,'FX Lookup'!$A$2:$Y$4,3,FALSE),0)</f>
        <v>176.44</v>
      </c>
      <c r="AR8" s="177">
        <f>IF(AND($AD8&lt;=AR$3,AR$3&lt;=$AE8),$AC8/$AF8*HLOOKUP(AR$3,'FX Lookup'!$A$2:$Y$4,3,FALSE),0)</f>
        <v>176.44</v>
      </c>
      <c r="AS8" s="178">
        <f t="shared" si="17"/>
        <v>2118.8380000000002</v>
      </c>
      <c r="AU8" s="177">
        <f t="shared" si="2"/>
        <v>186.89789999999999</v>
      </c>
      <c r="AV8" s="177">
        <f t="shared" si="3"/>
        <v>185.262</v>
      </c>
      <c r="AW8" s="177">
        <f t="shared" si="4"/>
        <v>185.262</v>
      </c>
      <c r="AX8" s="177">
        <f t="shared" si="5"/>
        <v>185.262</v>
      </c>
      <c r="AY8" s="177">
        <f t="shared" si="6"/>
        <v>185.262</v>
      </c>
      <c r="AZ8" s="177">
        <f t="shared" si="7"/>
        <v>185.262</v>
      </c>
      <c r="BA8" s="177">
        <f t="shared" si="8"/>
        <v>185.262</v>
      </c>
      <c r="BB8" s="177">
        <f t="shared" si="9"/>
        <v>185.262</v>
      </c>
      <c r="BC8" s="177">
        <f t="shared" si="10"/>
        <v>185.262</v>
      </c>
      <c r="BD8" s="177">
        <f t="shared" si="11"/>
        <v>185.262</v>
      </c>
      <c r="BE8" s="177">
        <f t="shared" si="12"/>
        <v>185.262</v>
      </c>
      <c r="BF8" s="177">
        <f t="shared" si="13"/>
        <v>185.262</v>
      </c>
      <c r="BG8" s="178">
        <f t="shared" si="18"/>
        <v>2224.7798999999995</v>
      </c>
    </row>
    <row r="9" spans="1:59" ht="13.5" customHeight="1">
      <c r="A9" s="171">
        <f t="shared" si="14"/>
        <v>4</v>
      </c>
      <c r="B9" s="171" t="s">
        <v>2110</v>
      </c>
      <c r="C9" s="171" t="s">
        <v>1657</v>
      </c>
      <c r="D9" s="171" t="str">
        <f>'CF-ACPL（合并）'!A27</f>
        <v>支付的其他与经营活动有关的现金（其他）</v>
      </c>
      <c r="E9" s="171" t="s">
        <v>2932</v>
      </c>
      <c r="F9" s="172" t="s">
        <v>1659</v>
      </c>
      <c r="G9" s="172"/>
      <c r="H9" s="77" t="s">
        <v>2613</v>
      </c>
      <c r="I9" s="173" t="s">
        <v>2614</v>
      </c>
      <c r="J9" s="173" t="s">
        <v>2368</v>
      </c>
      <c r="K9" s="174">
        <f>500*(1+K1)*12</f>
        <v>6300</v>
      </c>
      <c r="L9" s="175">
        <v>45658</v>
      </c>
      <c r="M9" s="175">
        <v>46022</v>
      </c>
      <c r="N9" s="176">
        <f t="shared" si="15"/>
        <v>12</v>
      </c>
      <c r="O9" s="177">
        <f>IF(AND($L9&lt;=O$3,O$3&lt;=$M9),$K9/$N9*HLOOKUP(O$3,'FX Lookup'!$A$2:$Y$4,3,FALSE),0)</f>
        <v>491.358</v>
      </c>
      <c r="P9" s="177">
        <f>IF(AND($L9&lt;=P$3,P$3&lt;=$M9),$K9/$N9*HLOOKUP(P$3,'FX Lookup'!$A$2:$Y$4,3,FALSE),0)</f>
        <v>491.358</v>
      </c>
      <c r="Q9" s="177">
        <f>IF(AND($L9&lt;=Q$3,Q$3&lt;=$M9),$K9/$N9*HLOOKUP(Q$3,'FX Lookup'!$A$2:$Y$4,3,FALSE),0)</f>
        <v>491.358</v>
      </c>
      <c r="R9" s="177">
        <f>IF(AND($L9&lt;=R$3,R$3&lt;=$M9),$K9/$N9*HLOOKUP(R$3,'FX Lookup'!$A$2:$Y$4,3,FALSE),0)</f>
        <v>491.358</v>
      </c>
      <c r="S9" s="177">
        <f>IF(AND($L9&lt;=S$3,S$3&lt;=$M9),$K9/$N9*HLOOKUP(S$3,'FX Lookup'!$A$2:$Y$4,3,FALSE),0)</f>
        <v>491.358</v>
      </c>
      <c r="T9" s="177">
        <f>IF(AND($L9&lt;=T$3,T$3&lt;=$M9),$K9/$N9*HLOOKUP(T$3,'FX Lookup'!$A$2:$Y$4,3,FALSE),0)</f>
        <v>491.358</v>
      </c>
      <c r="U9" s="177">
        <f>IF(AND($L9&lt;=U$3,U$3&lt;=$M9),$K9/$N9*HLOOKUP(U$3,'FX Lookup'!$A$2:$Y$4,3,FALSE),0)</f>
        <v>491.358</v>
      </c>
      <c r="V9" s="177">
        <f>IF(AND($L9&lt;=V$3,V$3&lt;=$M9),$K9/$N9*HLOOKUP(V$3,'FX Lookup'!$A$2:$Y$4,3,FALSE),0)</f>
        <v>491.358</v>
      </c>
      <c r="W9" s="177">
        <f>IF(AND($L9&lt;=W$3,W$3&lt;=$M9),$K9/$N9*HLOOKUP(W$3,'FX Lookup'!$A$2:$Y$4,3,FALSE),0)</f>
        <v>491.358</v>
      </c>
      <c r="X9" s="177">
        <f>IF(AND($L9&lt;=X$3,X$3&lt;=$M9),$K9/$N9*HLOOKUP(X$3,'FX Lookup'!$A$2:$Y$4,3,FALSE),0)</f>
        <v>491.358</v>
      </c>
      <c r="Y9" s="177">
        <f>IF(AND($L9&lt;=Y$3,Y$3&lt;=$M9),$K9/$N9*HLOOKUP(Y$3,'FX Lookup'!$A$2:$Y$4,3,FALSE),0)</f>
        <v>491.358</v>
      </c>
      <c r="Z9" s="177">
        <f>IF(AND($L9&lt;=Z$3,Z$3&lt;=$M9),$K9/$N9*HLOOKUP(Z$3,'FX Lookup'!$A$2:$Y$4,3,FALSE),0)</f>
        <v>491.358</v>
      </c>
      <c r="AA9" s="178">
        <f t="shared" si="16"/>
        <v>5896.2960000000012</v>
      </c>
      <c r="AB9" s="173" t="s">
        <v>2368</v>
      </c>
      <c r="AC9" s="174">
        <f>500*(1+AC1)*12</f>
        <v>6300</v>
      </c>
      <c r="AD9" s="175">
        <v>46023</v>
      </c>
      <c r="AE9" s="175">
        <v>46387</v>
      </c>
      <c r="AF9" s="176">
        <f t="shared" si="1"/>
        <v>12</v>
      </c>
      <c r="AG9" s="177">
        <f>IF(AND($AD9&lt;=AG$3,AG$3&lt;=$AE9),$AC9/$AF9*HLOOKUP(AG$3,'FX Lookup'!$A$2:$Y$4,3,FALSE),0)</f>
        <v>467.24474999999995</v>
      </c>
      <c r="AH9" s="177">
        <f>IF(AND($AD9&lt;=AH$3,AH$3&lt;=$AE9),$AC9/$AF9*HLOOKUP(AH$3,'FX Lookup'!$A$2:$Y$4,3,FALSE),0)</f>
        <v>463.15499999999997</v>
      </c>
      <c r="AI9" s="177">
        <f>IF(AND($AD9&lt;=AI$3,AI$3&lt;=$AE9),$AC9/$AF9*HLOOKUP(AI$3,'FX Lookup'!$A$2:$Y$4,3,FALSE),0)</f>
        <v>463.15499999999997</v>
      </c>
      <c r="AJ9" s="177">
        <f>IF(AND($AD9&lt;=AJ$3,AJ$3&lt;=$AE9),$AC9/$AF9*HLOOKUP(AJ$3,'FX Lookup'!$A$2:$Y$4,3,FALSE),0)</f>
        <v>463.15499999999997</v>
      </c>
      <c r="AK9" s="177">
        <f>IF(AND($AD9&lt;=AK$3,AK$3&lt;=$AE9),$AC9/$AF9*HLOOKUP(AK$3,'FX Lookup'!$A$2:$Y$4,3,FALSE),0)</f>
        <v>463.15499999999997</v>
      </c>
      <c r="AL9" s="177">
        <f>IF(AND($AD9&lt;=AL$3,AL$3&lt;=$AE9),$AC9/$AF9*HLOOKUP(AL$3,'FX Lookup'!$A$2:$Y$4,3,FALSE),0)</f>
        <v>463.15499999999997</v>
      </c>
      <c r="AM9" s="177">
        <f>IF(AND($AD9&lt;=AM$3,AM$3&lt;=$AE9),$AC9/$AF9*HLOOKUP(AM$3,'FX Lookup'!$A$2:$Y$4,3,FALSE),0)</f>
        <v>463.15499999999997</v>
      </c>
      <c r="AN9" s="177">
        <f>IF(AND($AD9&lt;=AN$3,AN$3&lt;=$AE9),$AC9/$AF9*HLOOKUP(AN$3,'FX Lookup'!$A$2:$Y$4,3,FALSE),0)</f>
        <v>463.15499999999997</v>
      </c>
      <c r="AO9" s="177">
        <f>IF(AND($AD9&lt;=AO$3,AO$3&lt;=$AE9),$AC9/$AF9*HLOOKUP(AO$3,'FX Lookup'!$A$2:$Y$4,3,FALSE),0)</f>
        <v>463.15499999999997</v>
      </c>
      <c r="AP9" s="177">
        <f>IF(AND($AD9&lt;=AP$3,AP$3&lt;=$AE9),$AC9/$AF9*HLOOKUP(AP$3,'FX Lookup'!$A$2:$Y$4,3,FALSE),0)</f>
        <v>463.15499999999997</v>
      </c>
      <c r="AQ9" s="177">
        <f>IF(AND($AD9&lt;=AQ$3,AQ$3&lt;=$AE9),$AC9/$AF9*HLOOKUP(AQ$3,'FX Lookup'!$A$2:$Y$4,3,FALSE),0)</f>
        <v>463.15499999999997</v>
      </c>
      <c r="AR9" s="177">
        <f>IF(AND($AD9&lt;=AR$3,AR$3&lt;=$AE9),$AC9/$AF9*HLOOKUP(AR$3,'FX Lookup'!$A$2:$Y$4,3,FALSE),0)</f>
        <v>463.15499999999997</v>
      </c>
      <c r="AS9" s="178">
        <f t="shared" si="17"/>
        <v>5561.9497499999979</v>
      </c>
      <c r="AU9" s="177">
        <f t="shared" si="2"/>
        <v>490.60698749999995</v>
      </c>
      <c r="AV9" s="177">
        <f t="shared" si="3"/>
        <v>486.31274999999999</v>
      </c>
      <c r="AW9" s="177">
        <f t="shared" si="4"/>
        <v>486.31274999999999</v>
      </c>
      <c r="AX9" s="177">
        <f t="shared" si="5"/>
        <v>486.31274999999999</v>
      </c>
      <c r="AY9" s="177">
        <f t="shared" si="6"/>
        <v>486.31274999999999</v>
      </c>
      <c r="AZ9" s="177">
        <f t="shared" si="7"/>
        <v>486.31274999999999</v>
      </c>
      <c r="BA9" s="177">
        <f t="shared" si="8"/>
        <v>486.31274999999999</v>
      </c>
      <c r="BB9" s="177">
        <f t="shared" si="9"/>
        <v>486.31274999999999</v>
      </c>
      <c r="BC9" s="177">
        <f t="shared" si="10"/>
        <v>486.31274999999999</v>
      </c>
      <c r="BD9" s="177">
        <f t="shared" si="11"/>
        <v>486.31274999999999</v>
      </c>
      <c r="BE9" s="177">
        <f t="shared" si="12"/>
        <v>486.31274999999999</v>
      </c>
      <c r="BF9" s="177">
        <f t="shared" si="13"/>
        <v>486.31274999999999</v>
      </c>
      <c r="BG9" s="178">
        <f t="shared" si="18"/>
        <v>5840.0472374999999</v>
      </c>
    </row>
    <row r="10" spans="1:59" ht="13.5" customHeight="1">
      <c r="A10" s="171">
        <f t="shared" si="14"/>
        <v>5</v>
      </c>
      <c r="B10" s="171" t="s">
        <v>2110</v>
      </c>
      <c r="C10" s="171" t="s">
        <v>1862</v>
      </c>
      <c r="D10" s="171" t="str">
        <f>'CF-ACPL（合并）'!A27</f>
        <v>支付的其他与经营活动有关的现金（其他）</v>
      </c>
      <c r="E10" s="171"/>
      <c r="F10" s="172" t="s">
        <v>2805</v>
      </c>
      <c r="G10" s="172"/>
      <c r="H10" s="77" t="s">
        <v>2613</v>
      </c>
      <c r="I10" s="173" t="s">
        <v>2614</v>
      </c>
      <c r="J10" s="173" t="s">
        <v>2368</v>
      </c>
      <c r="K10" s="77">
        <v>0</v>
      </c>
      <c r="L10" s="175">
        <v>45658</v>
      </c>
      <c r="M10" s="175">
        <v>46022</v>
      </c>
      <c r="N10" s="176">
        <f t="shared" si="15"/>
        <v>12</v>
      </c>
      <c r="O10" s="177">
        <f>IF(AND($L10&lt;=O$3,O$3&lt;=$M10),$K10/$N10*HLOOKUP(O$3,'FX Lookup'!$A$2:$Y$4,3,FALSE),0)</f>
        <v>0</v>
      </c>
      <c r="P10" s="177">
        <f>IF(AND($L10&lt;=P$3,P$3&lt;=$M10),$K10/$N10*HLOOKUP(P$3,'FX Lookup'!$A$2:$Y$4,3,FALSE),0)</f>
        <v>0</v>
      </c>
      <c r="Q10" s="177">
        <f>IF(AND($L10&lt;=Q$3,Q$3&lt;=$M10),$K10/$N10*HLOOKUP(Q$3,'FX Lookup'!$A$2:$Y$4,3,FALSE),0)</f>
        <v>0</v>
      </c>
      <c r="R10" s="177">
        <f>IF(AND($L10&lt;=R$3,R$3&lt;=$M10),$K10/$N10*HLOOKUP(R$3,'FX Lookup'!$A$2:$Y$4,3,FALSE),0)</f>
        <v>0</v>
      </c>
      <c r="S10" s="177">
        <f>IF(AND($L10&lt;=S$3,S$3&lt;=$M10),$K10/$N10*HLOOKUP(S$3,'FX Lookup'!$A$2:$Y$4,3,FALSE),0)</f>
        <v>0</v>
      </c>
      <c r="T10" s="177">
        <f>IF(AND($L10&lt;=T$3,T$3&lt;=$M10),$K10/$N10*HLOOKUP(T$3,'FX Lookup'!$A$2:$Y$4,3,FALSE),0)</f>
        <v>0</v>
      </c>
      <c r="U10" s="177">
        <f>IF(AND($L10&lt;=U$3,U$3&lt;=$M10),$K10/$N10*HLOOKUP(U$3,'FX Lookup'!$A$2:$Y$4,3,FALSE),0)</f>
        <v>0</v>
      </c>
      <c r="V10" s="177">
        <f>IF(AND($L10&lt;=V$3,V$3&lt;=$M10),$K10/$N10*HLOOKUP(V$3,'FX Lookup'!$A$2:$Y$4,3,FALSE),0)</f>
        <v>0</v>
      </c>
      <c r="W10" s="177">
        <f>IF(AND($L10&lt;=W$3,W$3&lt;=$M10),$K10/$N10*HLOOKUP(W$3,'FX Lookup'!$A$2:$Y$4,3,FALSE),0)</f>
        <v>0</v>
      </c>
      <c r="X10" s="177">
        <f>IF(AND($L10&lt;=X$3,X$3&lt;=$M10),$K10/$N10*HLOOKUP(X$3,'FX Lookup'!$A$2:$Y$4,3,FALSE),0)</f>
        <v>0</v>
      </c>
      <c r="Y10" s="177">
        <f>IF(AND($L10&lt;=Y$3,Y$3&lt;=$M10),$K10/$N10*HLOOKUP(Y$3,'FX Lookup'!$A$2:$Y$4,3,FALSE),0)</f>
        <v>0</v>
      </c>
      <c r="Z10" s="177">
        <f>IF(AND($L10&lt;=Z$3,Z$3&lt;=$M10),$K10/$N10*HLOOKUP(Z$3,'FX Lookup'!$A$2:$Y$4,3,FALSE),0)</f>
        <v>0</v>
      </c>
      <c r="AA10" s="178">
        <f t="shared" si="16"/>
        <v>0</v>
      </c>
      <c r="AB10" s="173" t="s">
        <v>2368</v>
      </c>
      <c r="AC10" s="77">
        <v>0</v>
      </c>
      <c r="AD10" s="175">
        <v>46023</v>
      </c>
      <c r="AE10" s="175">
        <v>46387</v>
      </c>
      <c r="AF10" s="176">
        <f t="shared" si="1"/>
        <v>12</v>
      </c>
      <c r="AG10" s="177">
        <f>IF(AND($AD10&lt;=AG$3,AG$3&lt;=$AE10),$AC10/$AF10*HLOOKUP(AG$3,'FX Lookup'!$A$2:$Y$4,3,FALSE),0)</f>
        <v>0</v>
      </c>
      <c r="AH10" s="177">
        <f>IF(AND($AD10&lt;=AH$3,AH$3&lt;=$AE10),$AC10/$AF10*HLOOKUP(AH$3,'FX Lookup'!$A$2:$Y$4,3,FALSE),0)</f>
        <v>0</v>
      </c>
      <c r="AI10" s="177">
        <f>IF(AND($AD10&lt;=AI$3,AI$3&lt;=$AE10),$AC10/$AF10*HLOOKUP(AI$3,'FX Lookup'!$A$2:$Y$4,3,FALSE),0)</f>
        <v>0</v>
      </c>
      <c r="AJ10" s="177">
        <f>IF(AND($AD10&lt;=AJ$3,AJ$3&lt;=$AE10),$AC10/$AF10*HLOOKUP(AJ$3,'FX Lookup'!$A$2:$Y$4,3,FALSE),0)</f>
        <v>0</v>
      </c>
      <c r="AK10" s="177">
        <f>IF(AND($AD10&lt;=AK$3,AK$3&lt;=$AE10),$AC10/$AF10*HLOOKUP(AK$3,'FX Lookup'!$A$2:$Y$4,3,FALSE),0)</f>
        <v>0</v>
      </c>
      <c r="AL10" s="177">
        <f>IF(AND($AD10&lt;=AL$3,AL$3&lt;=$AE10),$AC10/$AF10*HLOOKUP(AL$3,'FX Lookup'!$A$2:$Y$4,3,FALSE),0)</f>
        <v>0</v>
      </c>
      <c r="AM10" s="177">
        <f>IF(AND($AD10&lt;=AM$3,AM$3&lt;=$AE10),$AC10/$AF10*HLOOKUP(AM$3,'FX Lookup'!$A$2:$Y$4,3,FALSE),0)</f>
        <v>0</v>
      </c>
      <c r="AN10" s="177">
        <f>IF(AND($AD10&lt;=AN$3,AN$3&lt;=$AE10),$AC10/$AF10*HLOOKUP(AN$3,'FX Lookup'!$A$2:$Y$4,3,FALSE),0)</f>
        <v>0</v>
      </c>
      <c r="AO10" s="177">
        <f>IF(AND($AD10&lt;=AO$3,AO$3&lt;=$AE10),$AC10/$AF10*HLOOKUP(AO$3,'FX Lookup'!$A$2:$Y$4,3,FALSE),0)</f>
        <v>0</v>
      </c>
      <c r="AP10" s="177">
        <f>IF(AND($AD10&lt;=AP$3,AP$3&lt;=$AE10),$AC10/$AF10*HLOOKUP(AP$3,'FX Lookup'!$A$2:$Y$4,3,FALSE),0)</f>
        <v>0</v>
      </c>
      <c r="AQ10" s="177">
        <f>IF(AND($AD10&lt;=AQ$3,AQ$3&lt;=$AE10),$AC10/$AF10*HLOOKUP(AQ$3,'FX Lookup'!$A$2:$Y$4,3,FALSE),0)</f>
        <v>0</v>
      </c>
      <c r="AR10" s="177">
        <f>IF(AND($AD10&lt;=AR$3,AR$3&lt;=$AE10),$AC10/$AF10*HLOOKUP(AR$3,'FX Lookup'!$A$2:$Y$4,3,FALSE),0)</f>
        <v>0</v>
      </c>
      <c r="AS10" s="178">
        <f t="shared" si="17"/>
        <v>0</v>
      </c>
      <c r="AU10" s="177">
        <f t="shared" si="2"/>
        <v>0</v>
      </c>
      <c r="AV10" s="177">
        <f t="shared" si="3"/>
        <v>0</v>
      </c>
      <c r="AW10" s="177">
        <f t="shared" si="4"/>
        <v>0</v>
      </c>
      <c r="AX10" s="177">
        <f t="shared" si="5"/>
        <v>0</v>
      </c>
      <c r="AY10" s="177">
        <f t="shared" si="6"/>
        <v>0</v>
      </c>
      <c r="AZ10" s="177">
        <f t="shared" si="7"/>
        <v>0</v>
      </c>
      <c r="BA10" s="177">
        <f t="shared" si="8"/>
        <v>0</v>
      </c>
      <c r="BB10" s="177">
        <f t="shared" si="9"/>
        <v>0</v>
      </c>
      <c r="BC10" s="177">
        <f t="shared" si="10"/>
        <v>0</v>
      </c>
      <c r="BD10" s="177">
        <f t="shared" si="11"/>
        <v>0</v>
      </c>
      <c r="BE10" s="177">
        <f t="shared" si="12"/>
        <v>0</v>
      </c>
      <c r="BF10" s="177">
        <f t="shared" si="13"/>
        <v>0</v>
      </c>
      <c r="BG10" s="178">
        <f t="shared" si="18"/>
        <v>0</v>
      </c>
    </row>
    <row r="11" spans="1:59" ht="13.5" customHeight="1">
      <c r="A11" s="171">
        <f t="shared" si="14"/>
        <v>6</v>
      </c>
      <c r="B11" s="171" t="s">
        <v>2110</v>
      </c>
      <c r="C11" s="171" t="s">
        <v>1676</v>
      </c>
      <c r="D11" s="171" t="str">
        <f>'CF-ACPL（合并）'!A27</f>
        <v>支付的其他与经营活动有关的现金（其他）</v>
      </c>
      <c r="E11" s="171"/>
      <c r="F11" s="172" t="s">
        <v>1679</v>
      </c>
      <c r="G11" s="172"/>
      <c r="H11" s="77" t="s">
        <v>2613</v>
      </c>
      <c r="I11" s="173" t="s">
        <v>2614</v>
      </c>
      <c r="J11" s="173" t="s">
        <v>2368</v>
      </c>
      <c r="K11" s="174">
        <f>3000*(1+$K$1)*12</f>
        <v>37800</v>
      </c>
      <c r="L11" s="175">
        <v>45658</v>
      </c>
      <c r="M11" s="175">
        <v>46022</v>
      </c>
      <c r="N11" s="176">
        <f t="shared" si="15"/>
        <v>12</v>
      </c>
      <c r="O11" s="177">
        <f>IF(AND($L11&lt;=O$3,O$3&lt;=$M11),$K11/$N11*HLOOKUP(O$3,'FX Lookup'!$A$2:$Y$4,3,FALSE),0)</f>
        <v>2948.1480000000001</v>
      </c>
      <c r="P11" s="177">
        <f>IF(AND($L11&lt;=P$3,P$3&lt;=$M11),$K11/$N11*HLOOKUP(P$3,'FX Lookup'!$A$2:$Y$4,3,FALSE),0)</f>
        <v>2948.1480000000001</v>
      </c>
      <c r="Q11" s="177">
        <f>IF(AND($L11&lt;=Q$3,Q$3&lt;=$M11),$K11/$N11*HLOOKUP(Q$3,'FX Lookup'!$A$2:$Y$4,3,FALSE),0)</f>
        <v>2948.1480000000001</v>
      </c>
      <c r="R11" s="177">
        <f>IF(AND($L11&lt;=R$3,R$3&lt;=$M11),$K11/$N11*HLOOKUP(R$3,'FX Lookup'!$A$2:$Y$4,3,FALSE),0)</f>
        <v>2948.1480000000001</v>
      </c>
      <c r="S11" s="177">
        <f>IF(AND($L11&lt;=S$3,S$3&lt;=$M11),$K11/$N11*HLOOKUP(S$3,'FX Lookup'!$A$2:$Y$4,3,FALSE),0)</f>
        <v>2948.1480000000001</v>
      </c>
      <c r="T11" s="177">
        <f>IF(AND($L11&lt;=T$3,T$3&lt;=$M11),$K11/$N11*HLOOKUP(T$3,'FX Lookup'!$A$2:$Y$4,3,FALSE),0)</f>
        <v>2948.1480000000001</v>
      </c>
      <c r="U11" s="177">
        <f>IF(AND($L11&lt;=U$3,U$3&lt;=$M11),$K11/$N11*HLOOKUP(U$3,'FX Lookup'!$A$2:$Y$4,3,FALSE),0)</f>
        <v>2948.1480000000001</v>
      </c>
      <c r="V11" s="177">
        <f>IF(AND($L11&lt;=V$3,V$3&lt;=$M11),$K11/$N11*HLOOKUP(V$3,'FX Lookup'!$A$2:$Y$4,3,FALSE),0)</f>
        <v>2948.1480000000001</v>
      </c>
      <c r="W11" s="177">
        <f>IF(AND($L11&lt;=W$3,W$3&lt;=$M11),$K11/$N11*HLOOKUP(W$3,'FX Lookup'!$A$2:$Y$4,3,FALSE),0)</f>
        <v>2948.1480000000001</v>
      </c>
      <c r="X11" s="177">
        <f>IF(AND($L11&lt;=X$3,X$3&lt;=$M11),$K11/$N11*HLOOKUP(X$3,'FX Lookup'!$A$2:$Y$4,3,FALSE),0)</f>
        <v>2948.1480000000001</v>
      </c>
      <c r="Y11" s="177">
        <f>IF(AND($L11&lt;=Y$3,Y$3&lt;=$M11),$K11/$N11*HLOOKUP(Y$3,'FX Lookup'!$A$2:$Y$4,3,FALSE),0)</f>
        <v>2948.1480000000001</v>
      </c>
      <c r="Z11" s="177">
        <f>IF(AND($L11&lt;=Z$3,Z$3&lt;=$M11),$K11/$N11*HLOOKUP(Z$3,'FX Lookup'!$A$2:$Y$4,3,FALSE),0)</f>
        <v>2948.1480000000001</v>
      </c>
      <c r="AA11" s="178">
        <f t="shared" si="16"/>
        <v>35377.776000000005</v>
      </c>
      <c r="AB11" s="173" t="s">
        <v>2368</v>
      </c>
      <c r="AC11" s="174">
        <f>3000*(1+$AC$1)*12</f>
        <v>37800</v>
      </c>
      <c r="AD11" s="175">
        <v>46023</v>
      </c>
      <c r="AE11" s="175">
        <v>46387</v>
      </c>
      <c r="AF11" s="176">
        <f t="shared" si="1"/>
        <v>12</v>
      </c>
      <c r="AG11" s="177">
        <f>IF(AND($AD11&lt;=AG$3,AG$3&lt;=$AE11),$AC11/$AF11*HLOOKUP(AG$3,'FX Lookup'!$A$2:$Y$4,3,FALSE),0)</f>
        <v>2803.4684999999999</v>
      </c>
      <c r="AH11" s="177">
        <f>IF(AND($AD11&lt;=AH$3,AH$3&lt;=$AE11),$AC11/$AF11*HLOOKUP(AH$3,'FX Lookup'!$A$2:$Y$4,3,FALSE),0)</f>
        <v>2778.93</v>
      </c>
      <c r="AI11" s="177">
        <f>IF(AND($AD11&lt;=AI$3,AI$3&lt;=$AE11),$AC11/$AF11*HLOOKUP(AI$3,'FX Lookup'!$A$2:$Y$4,3,FALSE),0)</f>
        <v>2778.93</v>
      </c>
      <c r="AJ11" s="177">
        <f>IF(AND($AD11&lt;=AJ$3,AJ$3&lt;=$AE11),$AC11/$AF11*HLOOKUP(AJ$3,'FX Lookup'!$A$2:$Y$4,3,FALSE),0)</f>
        <v>2778.93</v>
      </c>
      <c r="AK11" s="177">
        <f>IF(AND($AD11&lt;=AK$3,AK$3&lt;=$AE11),$AC11/$AF11*HLOOKUP(AK$3,'FX Lookup'!$A$2:$Y$4,3,FALSE),0)</f>
        <v>2778.93</v>
      </c>
      <c r="AL11" s="177">
        <f>IF(AND($AD11&lt;=AL$3,AL$3&lt;=$AE11),$AC11/$AF11*HLOOKUP(AL$3,'FX Lookup'!$A$2:$Y$4,3,FALSE),0)</f>
        <v>2778.93</v>
      </c>
      <c r="AM11" s="177">
        <f>IF(AND($AD11&lt;=AM$3,AM$3&lt;=$AE11),$AC11/$AF11*HLOOKUP(AM$3,'FX Lookup'!$A$2:$Y$4,3,FALSE),0)</f>
        <v>2778.93</v>
      </c>
      <c r="AN11" s="177">
        <f>IF(AND($AD11&lt;=AN$3,AN$3&lt;=$AE11),$AC11/$AF11*HLOOKUP(AN$3,'FX Lookup'!$A$2:$Y$4,3,FALSE),0)</f>
        <v>2778.93</v>
      </c>
      <c r="AO11" s="177">
        <f>IF(AND($AD11&lt;=AO$3,AO$3&lt;=$AE11),$AC11/$AF11*HLOOKUP(AO$3,'FX Lookup'!$A$2:$Y$4,3,FALSE),0)</f>
        <v>2778.93</v>
      </c>
      <c r="AP11" s="177">
        <f>IF(AND($AD11&lt;=AP$3,AP$3&lt;=$AE11),$AC11/$AF11*HLOOKUP(AP$3,'FX Lookup'!$A$2:$Y$4,3,FALSE),0)</f>
        <v>2778.93</v>
      </c>
      <c r="AQ11" s="177">
        <f>IF(AND($AD11&lt;=AQ$3,AQ$3&lt;=$AE11),$AC11/$AF11*HLOOKUP(AQ$3,'FX Lookup'!$A$2:$Y$4,3,FALSE),0)</f>
        <v>2778.93</v>
      </c>
      <c r="AR11" s="177">
        <f>IF(AND($AD11&lt;=AR$3,AR$3&lt;=$AE11),$AC11/$AF11*HLOOKUP(AR$3,'FX Lookup'!$A$2:$Y$4,3,FALSE),0)</f>
        <v>2778.93</v>
      </c>
      <c r="AS11" s="178">
        <f t="shared" si="17"/>
        <v>33371.698499999999</v>
      </c>
      <c r="AU11" s="177">
        <f t="shared" si="2"/>
        <v>2943.6419249999999</v>
      </c>
      <c r="AV11" s="177">
        <f t="shared" si="3"/>
        <v>2917.8764999999999</v>
      </c>
      <c r="AW11" s="177">
        <f t="shared" si="4"/>
        <v>2917.8764999999999</v>
      </c>
      <c r="AX11" s="177">
        <f t="shared" si="5"/>
        <v>2917.8764999999999</v>
      </c>
      <c r="AY11" s="177">
        <f t="shared" si="6"/>
        <v>2917.8764999999999</v>
      </c>
      <c r="AZ11" s="177">
        <f t="shared" si="7"/>
        <v>2917.8764999999999</v>
      </c>
      <c r="BA11" s="177">
        <f t="shared" si="8"/>
        <v>2917.8764999999999</v>
      </c>
      <c r="BB11" s="177">
        <f t="shared" si="9"/>
        <v>2917.8764999999999</v>
      </c>
      <c r="BC11" s="177">
        <f t="shared" si="10"/>
        <v>2917.8764999999999</v>
      </c>
      <c r="BD11" s="177">
        <f t="shared" si="11"/>
        <v>2917.8764999999999</v>
      </c>
      <c r="BE11" s="177">
        <f t="shared" si="12"/>
        <v>2917.8764999999999</v>
      </c>
      <c r="BF11" s="177">
        <f t="shared" si="13"/>
        <v>2917.8764999999999</v>
      </c>
      <c r="BG11" s="178">
        <f t="shared" si="18"/>
        <v>35040.283424999994</v>
      </c>
    </row>
    <row r="12" spans="1:59" ht="13.5" customHeight="1">
      <c r="A12" s="171">
        <f t="shared" si="14"/>
        <v>7</v>
      </c>
      <c r="B12" s="171" t="s">
        <v>2110</v>
      </c>
      <c r="C12" s="171" t="s">
        <v>1684</v>
      </c>
      <c r="D12" s="171" t="str">
        <f>'CF-ACPL（合并）'!A27</f>
        <v>支付的其他与经营活动有关的现金（其他）</v>
      </c>
      <c r="E12" s="171"/>
      <c r="F12" s="172" t="s">
        <v>2807</v>
      </c>
      <c r="G12" s="172"/>
      <c r="H12" s="77" t="s">
        <v>2613</v>
      </c>
      <c r="I12" s="173" t="s">
        <v>2614</v>
      </c>
      <c r="J12" s="173" t="s">
        <v>2368</v>
      </c>
      <c r="K12" s="77"/>
      <c r="L12" s="175">
        <v>45658</v>
      </c>
      <c r="M12" s="175">
        <v>46022</v>
      </c>
      <c r="N12" s="176">
        <f t="shared" si="15"/>
        <v>12</v>
      </c>
      <c r="O12" s="177">
        <f>IF(AND($L12&lt;=O$3,O$3&lt;=$M12),$K12/$N12*HLOOKUP(O$3,'FX Lookup'!$A$2:$Y$4,3,FALSE),0)</f>
        <v>0</v>
      </c>
      <c r="P12" s="177">
        <f>IF(AND($L12&lt;=P$3,P$3&lt;=$M12),$K12/$N12*HLOOKUP(P$3,'FX Lookup'!$A$2:$Y$4,3,FALSE),0)</f>
        <v>0</v>
      </c>
      <c r="Q12" s="177">
        <f>IF(AND($L12&lt;=Q$3,Q$3&lt;=$M12),$K12/$N12*HLOOKUP(Q$3,'FX Lookup'!$A$2:$Y$4,3,FALSE),0)</f>
        <v>0</v>
      </c>
      <c r="R12" s="177">
        <f>IF(AND($L12&lt;=R$3,R$3&lt;=$M12),$K12/$N12*HLOOKUP(R$3,'FX Lookup'!$A$2:$Y$4,3,FALSE),0)</f>
        <v>0</v>
      </c>
      <c r="S12" s="177">
        <f>IF(AND($L12&lt;=S$3,S$3&lt;=$M12),$K12/$N12*HLOOKUP(S$3,'FX Lookup'!$A$2:$Y$4,3,FALSE),0)</f>
        <v>0</v>
      </c>
      <c r="T12" s="177">
        <f>IF(AND($L12&lt;=T$3,T$3&lt;=$M12),$K12/$N12*HLOOKUP(T$3,'FX Lookup'!$A$2:$Y$4,3,FALSE),0)</f>
        <v>0</v>
      </c>
      <c r="U12" s="177">
        <f>IF(AND($L12&lt;=U$3,U$3&lt;=$M12),$K12/$N12*HLOOKUP(U$3,'FX Lookup'!$A$2:$Y$4,3,FALSE),0)</f>
        <v>0</v>
      </c>
      <c r="V12" s="177">
        <f>IF(AND($L12&lt;=V$3,V$3&lt;=$M12),$K12/$N12*HLOOKUP(V$3,'FX Lookup'!$A$2:$Y$4,3,FALSE),0)</f>
        <v>0</v>
      </c>
      <c r="W12" s="177">
        <f>IF(AND($L12&lt;=W$3,W$3&lt;=$M12),$K12/$N12*HLOOKUP(W$3,'FX Lookup'!$A$2:$Y$4,3,FALSE),0)</f>
        <v>0</v>
      </c>
      <c r="X12" s="177">
        <f>IF(AND($L12&lt;=X$3,X$3&lt;=$M12),$K12/$N12*HLOOKUP(X$3,'FX Lookup'!$A$2:$Y$4,3,FALSE),0)</f>
        <v>0</v>
      </c>
      <c r="Y12" s="177">
        <f>IF(AND($L12&lt;=Y$3,Y$3&lt;=$M12),$K12/$N12*HLOOKUP(Y$3,'FX Lookup'!$A$2:$Y$4,3,FALSE),0)</f>
        <v>0</v>
      </c>
      <c r="Z12" s="177">
        <f>IF(AND($L12&lt;=Z$3,Z$3&lt;=$M12),$K12/$N12*HLOOKUP(Z$3,'FX Lookup'!$A$2:$Y$4,3,FALSE),0)</f>
        <v>0</v>
      </c>
      <c r="AA12" s="178">
        <f t="shared" si="16"/>
        <v>0</v>
      </c>
      <c r="AB12" s="173" t="s">
        <v>2368</v>
      </c>
      <c r="AC12" s="77"/>
      <c r="AD12" s="175">
        <v>46023</v>
      </c>
      <c r="AE12" s="175">
        <v>46387</v>
      </c>
      <c r="AF12" s="176">
        <f t="shared" si="1"/>
        <v>12</v>
      </c>
      <c r="AG12" s="177">
        <f>IF(AND($AD12&lt;=AG$3,AG$3&lt;=$AE12),$AC12/$AF12*HLOOKUP(AG$3,'FX Lookup'!$A$2:$Y$4,3,FALSE),0)</f>
        <v>0</v>
      </c>
      <c r="AH12" s="177">
        <f>IF(AND($AD12&lt;=AH$3,AH$3&lt;=$AE12),$AC12/$AF12*HLOOKUP(AH$3,'FX Lookup'!$A$2:$Y$4,3,FALSE),0)</f>
        <v>0</v>
      </c>
      <c r="AI12" s="177">
        <f>IF(AND($AD12&lt;=AI$3,AI$3&lt;=$AE12),$AC12/$AF12*HLOOKUP(AI$3,'FX Lookup'!$A$2:$Y$4,3,FALSE),0)</f>
        <v>0</v>
      </c>
      <c r="AJ12" s="177">
        <f>IF(AND($AD12&lt;=AJ$3,AJ$3&lt;=$AE12),$AC12/$AF12*HLOOKUP(AJ$3,'FX Lookup'!$A$2:$Y$4,3,FALSE),0)</f>
        <v>0</v>
      </c>
      <c r="AK12" s="177">
        <f>IF(AND($AD12&lt;=AK$3,AK$3&lt;=$AE12),$AC12/$AF12*HLOOKUP(AK$3,'FX Lookup'!$A$2:$Y$4,3,FALSE),0)</f>
        <v>0</v>
      </c>
      <c r="AL12" s="177">
        <f>IF(AND($AD12&lt;=AL$3,AL$3&lt;=$AE12),$AC12/$AF12*HLOOKUP(AL$3,'FX Lookup'!$A$2:$Y$4,3,FALSE),0)</f>
        <v>0</v>
      </c>
      <c r="AM12" s="177">
        <f>IF(AND($AD12&lt;=AM$3,AM$3&lt;=$AE12),$AC12/$AF12*HLOOKUP(AM$3,'FX Lookup'!$A$2:$Y$4,3,FALSE),0)</f>
        <v>0</v>
      </c>
      <c r="AN12" s="177">
        <f>IF(AND($AD12&lt;=AN$3,AN$3&lt;=$AE12),$AC12/$AF12*HLOOKUP(AN$3,'FX Lookup'!$A$2:$Y$4,3,FALSE),0)</f>
        <v>0</v>
      </c>
      <c r="AO12" s="177">
        <f>IF(AND($AD12&lt;=AO$3,AO$3&lt;=$AE12),$AC12/$AF12*HLOOKUP(AO$3,'FX Lookup'!$A$2:$Y$4,3,FALSE),0)</f>
        <v>0</v>
      </c>
      <c r="AP12" s="177">
        <f>IF(AND($AD12&lt;=AP$3,AP$3&lt;=$AE12),$AC12/$AF12*HLOOKUP(AP$3,'FX Lookup'!$A$2:$Y$4,3,FALSE),0)</f>
        <v>0</v>
      </c>
      <c r="AQ12" s="177">
        <f>IF(AND($AD12&lt;=AQ$3,AQ$3&lt;=$AE12),$AC12/$AF12*HLOOKUP(AQ$3,'FX Lookup'!$A$2:$Y$4,3,FALSE),0)</f>
        <v>0</v>
      </c>
      <c r="AR12" s="177">
        <f>IF(AND($AD12&lt;=AR$3,AR$3&lt;=$AE12),$AC12/$AF12*HLOOKUP(AR$3,'FX Lookup'!$A$2:$Y$4,3,FALSE),0)</f>
        <v>0</v>
      </c>
      <c r="AS12" s="178">
        <f t="shared" si="17"/>
        <v>0</v>
      </c>
      <c r="AU12" s="177">
        <f t="shared" si="2"/>
        <v>0</v>
      </c>
      <c r="AV12" s="177">
        <f t="shared" si="3"/>
        <v>0</v>
      </c>
      <c r="AW12" s="177">
        <f t="shared" si="4"/>
        <v>0</v>
      </c>
      <c r="AX12" s="177">
        <f t="shared" si="5"/>
        <v>0</v>
      </c>
      <c r="AY12" s="177">
        <f t="shared" si="6"/>
        <v>0</v>
      </c>
      <c r="AZ12" s="177">
        <f t="shared" si="7"/>
        <v>0</v>
      </c>
      <c r="BA12" s="177">
        <f t="shared" si="8"/>
        <v>0</v>
      </c>
      <c r="BB12" s="177">
        <f t="shared" si="9"/>
        <v>0</v>
      </c>
      <c r="BC12" s="177">
        <f t="shared" si="10"/>
        <v>0</v>
      </c>
      <c r="BD12" s="177">
        <f t="shared" si="11"/>
        <v>0</v>
      </c>
      <c r="BE12" s="177">
        <f t="shared" si="12"/>
        <v>0</v>
      </c>
      <c r="BF12" s="177">
        <f t="shared" si="13"/>
        <v>0</v>
      </c>
      <c r="BG12" s="178">
        <f t="shared" si="18"/>
        <v>0</v>
      </c>
    </row>
    <row r="13" spans="1:59" ht="13.5" customHeight="1">
      <c r="A13" s="171">
        <f t="shared" si="14"/>
        <v>8</v>
      </c>
      <c r="B13" s="171" t="s">
        <v>2110</v>
      </c>
      <c r="C13" s="171" t="s">
        <v>1894</v>
      </c>
      <c r="D13" s="171" t="str">
        <f>'CF-ACPL（合并）'!A54</f>
        <v>汇率变动对现金的影响额</v>
      </c>
      <c r="E13" s="171"/>
      <c r="F13" s="172" t="s">
        <v>2814</v>
      </c>
      <c r="G13" s="172"/>
      <c r="H13" s="77" t="s">
        <v>2613</v>
      </c>
      <c r="I13" s="173" t="s">
        <v>2614</v>
      </c>
      <c r="J13" s="173" t="s">
        <v>2368</v>
      </c>
      <c r="K13" s="77"/>
      <c r="L13" s="175">
        <v>45658</v>
      </c>
      <c r="M13" s="175">
        <v>46022</v>
      </c>
      <c r="N13" s="176">
        <f t="shared" si="15"/>
        <v>12</v>
      </c>
      <c r="O13" s="177">
        <f>IF(AND($L13&lt;=O$3,O$3&lt;=$M13),$K13/$N13*HLOOKUP(O$3,'FX Lookup'!$A$2:$Y$4,3,FALSE),0)</f>
        <v>0</v>
      </c>
      <c r="P13" s="177">
        <f>IF(AND($L13&lt;=P$3,P$3&lt;=$M13),$K13/$N13*HLOOKUP(P$3,'FX Lookup'!$A$2:$Y$4,3,FALSE),0)</f>
        <v>0</v>
      </c>
      <c r="Q13" s="177">
        <f>IF(AND($L13&lt;=Q$3,Q$3&lt;=$M13),$K13/$N13*HLOOKUP(Q$3,'FX Lookup'!$A$2:$Y$4,3,FALSE),0)</f>
        <v>0</v>
      </c>
      <c r="R13" s="177">
        <f>IF(AND($L13&lt;=R$3,R$3&lt;=$M13),$K13/$N13*HLOOKUP(R$3,'FX Lookup'!$A$2:$Y$4,3,FALSE),0)</f>
        <v>0</v>
      </c>
      <c r="S13" s="177">
        <f>IF(AND($L13&lt;=S$3,S$3&lt;=$M13),$K13/$N13*HLOOKUP(S$3,'FX Lookup'!$A$2:$Y$4,3,FALSE),0)</f>
        <v>0</v>
      </c>
      <c r="T13" s="177">
        <f>IF(AND($L13&lt;=T$3,T$3&lt;=$M13),$K13/$N13*HLOOKUP(T$3,'FX Lookup'!$A$2:$Y$4,3,FALSE),0)</f>
        <v>0</v>
      </c>
      <c r="U13" s="177">
        <f>IF(AND($L13&lt;=U$3,U$3&lt;=$M13),$K13/$N13*HLOOKUP(U$3,'FX Lookup'!$A$2:$Y$4,3,FALSE),0)</f>
        <v>0</v>
      </c>
      <c r="V13" s="177">
        <f>IF(AND($L13&lt;=V$3,V$3&lt;=$M13),$K13/$N13*HLOOKUP(V$3,'FX Lookup'!$A$2:$Y$4,3,FALSE),0)</f>
        <v>0</v>
      </c>
      <c r="W13" s="177">
        <f>IF(AND($L13&lt;=W$3,W$3&lt;=$M13),$K13/$N13*HLOOKUP(W$3,'FX Lookup'!$A$2:$Y$4,3,FALSE),0)</f>
        <v>0</v>
      </c>
      <c r="X13" s="177">
        <f>IF(AND($L13&lt;=X$3,X$3&lt;=$M13),$K13/$N13*HLOOKUP(X$3,'FX Lookup'!$A$2:$Y$4,3,FALSE),0)</f>
        <v>0</v>
      </c>
      <c r="Y13" s="177">
        <f>IF(AND($L13&lt;=Y$3,Y$3&lt;=$M13),$K13/$N13*HLOOKUP(Y$3,'FX Lookup'!$A$2:$Y$4,3,FALSE),0)</f>
        <v>0</v>
      </c>
      <c r="Z13" s="177">
        <f>IF(AND($L13&lt;=Z$3,Z$3&lt;=$M13),$K13/$N13*HLOOKUP(Z$3,'FX Lookup'!$A$2:$Y$4,3,FALSE),0)</f>
        <v>0</v>
      </c>
      <c r="AA13" s="178">
        <f t="shared" si="16"/>
        <v>0</v>
      </c>
      <c r="AB13" s="173" t="s">
        <v>2368</v>
      </c>
      <c r="AC13" s="77"/>
      <c r="AD13" s="175">
        <v>46023</v>
      </c>
      <c r="AE13" s="175">
        <v>46387</v>
      </c>
      <c r="AF13" s="176">
        <f t="shared" si="1"/>
        <v>12</v>
      </c>
      <c r="AG13" s="177">
        <f>IF(AND($AD13&lt;=AG$3,AG$3&lt;=$AE13),$AC13/$AF13*HLOOKUP(AG$3,'FX Lookup'!$A$2:$Y$4,3,FALSE),0)</f>
        <v>0</v>
      </c>
      <c r="AH13" s="177">
        <f>IF(AND($AD13&lt;=AH$3,AH$3&lt;=$AE13),$AC13/$AF13*HLOOKUP(AH$3,'FX Lookup'!$A$2:$Y$4,3,FALSE),0)</f>
        <v>0</v>
      </c>
      <c r="AI13" s="177">
        <f>IF(AND($AD13&lt;=AI$3,AI$3&lt;=$AE13),$AC13/$AF13*HLOOKUP(AI$3,'FX Lookup'!$A$2:$Y$4,3,FALSE),0)</f>
        <v>0</v>
      </c>
      <c r="AJ13" s="177">
        <f>IF(AND($AD13&lt;=AJ$3,AJ$3&lt;=$AE13),$AC13/$AF13*HLOOKUP(AJ$3,'FX Lookup'!$A$2:$Y$4,3,FALSE),0)</f>
        <v>0</v>
      </c>
      <c r="AK13" s="177">
        <f>IF(AND($AD13&lt;=AK$3,AK$3&lt;=$AE13),$AC13/$AF13*HLOOKUP(AK$3,'FX Lookup'!$A$2:$Y$4,3,FALSE),0)</f>
        <v>0</v>
      </c>
      <c r="AL13" s="177">
        <f>IF(AND($AD13&lt;=AL$3,AL$3&lt;=$AE13),$AC13/$AF13*HLOOKUP(AL$3,'FX Lookup'!$A$2:$Y$4,3,FALSE),0)</f>
        <v>0</v>
      </c>
      <c r="AM13" s="177">
        <f>IF(AND($AD13&lt;=AM$3,AM$3&lt;=$AE13),$AC13/$AF13*HLOOKUP(AM$3,'FX Lookup'!$A$2:$Y$4,3,FALSE),0)</f>
        <v>0</v>
      </c>
      <c r="AN13" s="177">
        <f>IF(AND($AD13&lt;=AN$3,AN$3&lt;=$AE13),$AC13/$AF13*HLOOKUP(AN$3,'FX Lookup'!$A$2:$Y$4,3,FALSE),0)</f>
        <v>0</v>
      </c>
      <c r="AO13" s="177">
        <f>IF(AND($AD13&lt;=AO$3,AO$3&lt;=$AE13),$AC13/$AF13*HLOOKUP(AO$3,'FX Lookup'!$A$2:$Y$4,3,FALSE),0)</f>
        <v>0</v>
      </c>
      <c r="AP13" s="177">
        <f>IF(AND($AD13&lt;=AP$3,AP$3&lt;=$AE13),$AC13/$AF13*HLOOKUP(AP$3,'FX Lookup'!$A$2:$Y$4,3,FALSE),0)</f>
        <v>0</v>
      </c>
      <c r="AQ13" s="177">
        <f>IF(AND($AD13&lt;=AQ$3,AQ$3&lt;=$AE13),$AC13/$AF13*HLOOKUP(AQ$3,'FX Lookup'!$A$2:$Y$4,3,FALSE),0)</f>
        <v>0</v>
      </c>
      <c r="AR13" s="177">
        <f>IF(AND($AD13&lt;=AR$3,AR$3&lt;=$AE13),$AC13/$AF13*HLOOKUP(AR$3,'FX Lookup'!$A$2:$Y$4,3,FALSE),0)</f>
        <v>0</v>
      </c>
      <c r="AS13" s="178">
        <f t="shared" si="17"/>
        <v>0</v>
      </c>
      <c r="AU13" s="177">
        <f t="shared" si="2"/>
        <v>0</v>
      </c>
      <c r="AV13" s="177">
        <f t="shared" si="3"/>
        <v>0</v>
      </c>
      <c r="AW13" s="177">
        <f t="shared" si="4"/>
        <v>0</v>
      </c>
      <c r="AX13" s="177">
        <f t="shared" si="5"/>
        <v>0</v>
      </c>
      <c r="AY13" s="177">
        <f t="shared" si="6"/>
        <v>0</v>
      </c>
      <c r="AZ13" s="177">
        <f t="shared" si="7"/>
        <v>0</v>
      </c>
      <c r="BA13" s="177">
        <f t="shared" si="8"/>
        <v>0</v>
      </c>
      <c r="BB13" s="177">
        <f t="shared" si="9"/>
        <v>0</v>
      </c>
      <c r="BC13" s="177">
        <f t="shared" si="10"/>
        <v>0</v>
      </c>
      <c r="BD13" s="177">
        <f t="shared" si="11"/>
        <v>0</v>
      </c>
      <c r="BE13" s="177">
        <f t="shared" si="12"/>
        <v>0</v>
      </c>
      <c r="BF13" s="177">
        <f t="shared" si="13"/>
        <v>0</v>
      </c>
      <c r="BG13" s="178">
        <f t="shared" si="18"/>
        <v>0</v>
      </c>
    </row>
    <row r="14" spans="1:59" ht="13.5" customHeight="1">
      <c r="A14" s="171">
        <f t="shared" si="14"/>
        <v>9</v>
      </c>
      <c r="B14" s="171" t="s">
        <v>2110</v>
      </c>
      <c r="C14" s="171" t="s">
        <v>1646</v>
      </c>
      <c r="D14" s="171" t="str">
        <f>'CF-ACPL（合并）'!A27</f>
        <v>支付的其他与经营活动有关的现金（其他）</v>
      </c>
      <c r="E14" s="171"/>
      <c r="F14" s="172" t="s">
        <v>2803</v>
      </c>
      <c r="G14" s="172"/>
      <c r="H14" s="77" t="s">
        <v>2613</v>
      </c>
      <c r="I14" s="173" t="s">
        <v>2614</v>
      </c>
      <c r="J14" s="173" t="s">
        <v>2368</v>
      </c>
      <c r="K14" s="77"/>
      <c r="L14" s="175">
        <v>45658</v>
      </c>
      <c r="M14" s="175">
        <v>46022</v>
      </c>
      <c r="N14" s="176">
        <f t="shared" si="15"/>
        <v>12</v>
      </c>
      <c r="O14" s="177">
        <f>IF(AND($L14&lt;=O$3,O$3&lt;=$M14),$K14/$N14*HLOOKUP(O$3,'FX Lookup'!$A$2:$Y$4,3,FALSE),0)</f>
        <v>0</v>
      </c>
      <c r="P14" s="177">
        <f>IF(AND($L14&lt;=P$3,P$3&lt;=$M14),$K14/$N14*HLOOKUP(P$3,'FX Lookup'!$A$2:$Y$4,3,FALSE),0)</f>
        <v>0</v>
      </c>
      <c r="Q14" s="177">
        <f>IF(AND($L14&lt;=Q$3,Q$3&lt;=$M14),$K14/$N14*HLOOKUP(Q$3,'FX Lookup'!$A$2:$Y$4,3,FALSE),0)</f>
        <v>0</v>
      </c>
      <c r="R14" s="177">
        <f>IF(AND($L14&lt;=R$3,R$3&lt;=$M14),$K14/$N14*HLOOKUP(R$3,'FX Lookup'!$A$2:$Y$4,3,FALSE),0)</f>
        <v>0</v>
      </c>
      <c r="S14" s="177">
        <f>IF(AND($L14&lt;=S$3,S$3&lt;=$M14),$K14/$N14*HLOOKUP(S$3,'FX Lookup'!$A$2:$Y$4,3,FALSE),0)</f>
        <v>0</v>
      </c>
      <c r="T14" s="177">
        <f>IF(AND($L14&lt;=T$3,T$3&lt;=$M14),$K14/$N14*HLOOKUP(T$3,'FX Lookup'!$A$2:$Y$4,3,FALSE),0)</f>
        <v>0</v>
      </c>
      <c r="U14" s="177">
        <f>IF(AND($L14&lt;=U$3,U$3&lt;=$M14),$K14/$N14*HLOOKUP(U$3,'FX Lookup'!$A$2:$Y$4,3,FALSE),0)</f>
        <v>0</v>
      </c>
      <c r="V14" s="177">
        <f>IF(AND($L14&lt;=V$3,V$3&lt;=$M14),$K14/$N14*HLOOKUP(V$3,'FX Lookup'!$A$2:$Y$4,3,FALSE),0)</f>
        <v>0</v>
      </c>
      <c r="W14" s="177">
        <f>IF(AND($L14&lt;=W$3,W$3&lt;=$M14),$K14/$N14*HLOOKUP(W$3,'FX Lookup'!$A$2:$Y$4,3,FALSE),0)</f>
        <v>0</v>
      </c>
      <c r="X14" s="177">
        <f>IF(AND($L14&lt;=X$3,X$3&lt;=$M14),$K14/$N14*HLOOKUP(X$3,'FX Lookup'!$A$2:$Y$4,3,FALSE),0)</f>
        <v>0</v>
      </c>
      <c r="Y14" s="177">
        <f>IF(AND($L14&lt;=Y$3,Y$3&lt;=$M14),$K14/$N14*HLOOKUP(Y$3,'FX Lookup'!$A$2:$Y$4,3,FALSE),0)</f>
        <v>0</v>
      </c>
      <c r="Z14" s="177">
        <f>IF(AND($L14&lt;=Z$3,Z$3&lt;=$M14),$K14/$N14*HLOOKUP(Z$3,'FX Lookup'!$A$2:$Y$4,3,FALSE),0)</f>
        <v>0</v>
      </c>
      <c r="AA14" s="178">
        <f t="shared" si="16"/>
        <v>0</v>
      </c>
      <c r="AB14" s="173" t="s">
        <v>2368</v>
      </c>
      <c r="AC14" s="77"/>
      <c r="AD14" s="175">
        <v>46023</v>
      </c>
      <c r="AE14" s="175">
        <v>46387</v>
      </c>
      <c r="AF14" s="176">
        <f t="shared" si="1"/>
        <v>12</v>
      </c>
      <c r="AG14" s="177">
        <f>IF(AND($AD14&lt;=AG$3,AG$3&lt;=$AE14),$AC14/$AF14*HLOOKUP(AG$3,'FX Lookup'!$A$2:$Y$4,3,FALSE),0)</f>
        <v>0</v>
      </c>
      <c r="AH14" s="177">
        <f>IF(AND($AD14&lt;=AH$3,AH$3&lt;=$AE14),$AC14/$AF14*HLOOKUP(AH$3,'FX Lookup'!$A$2:$Y$4,3,FALSE),0)</f>
        <v>0</v>
      </c>
      <c r="AI14" s="177">
        <f>IF(AND($AD14&lt;=AI$3,AI$3&lt;=$AE14),$AC14/$AF14*HLOOKUP(AI$3,'FX Lookup'!$A$2:$Y$4,3,FALSE),0)</f>
        <v>0</v>
      </c>
      <c r="AJ14" s="177">
        <f>IF(AND($AD14&lt;=AJ$3,AJ$3&lt;=$AE14),$AC14/$AF14*HLOOKUP(AJ$3,'FX Lookup'!$A$2:$Y$4,3,FALSE),0)</f>
        <v>0</v>
      </c>
      <c r="AK14" s="177">
        <f>IF(AND($AD14&lt;=AK$3,AK$3&lt;=$AE14),$AC14/$AF14*HLOOKUP(AK$3,'FX Lookup'!$A$2:$Y$4,3,FALSE),0)</f>
        <v>0</v>
      </c>
      <c r="AL14" s="177">
        <f>IF(AND($AD14&lt;=AL$3,AL$3&lt;=$AE14),$AC14/$AF14*HLOOKUP(AL$3,'FX Lookup'!$A$2:$Y$4,3,FALSE),0)</f>
        <v>0</v>
      </c>
      <c r="AM14" s="177">
        <f>IF(AND($AD14&lt;=AM$3,AM$3&lt;=$AE14),$AC14/$AF14*HLOOKUP(AM$3,'FX Lookup'!$A$2:$Y$4,3,FALSE),0)</f>
        <v>0</v>
      </c>
      <c r="AN14" s="177">
        <f>IF(AND($AD14&lt;=AN$3,AN$3&lt;=$AE14),$AC14/$AF14*HLOOKUP(AN$3,'FX Lookup'!$A$2:$Y$4,3,FALSE),0)</f>
        <v>0</v>
      </c>
      <c r="AO14" s="177">
        <f>IF(AND($AD14&lt;=AO$3,AO$3&lt;=$AE14),$AC14/$AF14*HLOOKUP(AO$3,'FX Lookup'!$A$2:$Y$4,3,FALSE),0)</f>
        <v>0</v>
      </c>
      <c r="AP14" s="177">
        <f>IF(AND($AD14&lt;=AP$3,AP$3&lt;=$AE14),$AC14/$AF14*HLOOKUP(AP$3,'FX Lookup'!$A$2:$Y$4,3,FALSE),0)</f>
        <v>0</v>
      </c>
      <c r="AQ14" s="177">
        <f>IF(AND($AD14&lt;=AQ$3,AQ$3&lt;=$AE14),$AC14/$AF14*HLOOKUP(AQ$3,'FX Lookup'!$A$2:$Y$4,3,FALSE),0)</f>
        <v>0</v>
      </c>
      <c r="AR14" s="177">
        <f>IF(AND($AD14&lt;=AR$3,AR$3&lt;=$AE14),$AC14/$AF14*HLOOKUP(AR$3,'FX Lookup'!$A$2:$Y$4,3,FALSE),0)</f>
        <v>0</v>
      </c>
      <c r="AS14" s="178">
        <f t="shared" si="17"/>
        <v>0</v>
      </c>
      <c r="AU14" s="177">
        <f t="shared" si="2"/>
        <v>0</v>
      </c>
      <c r="AV14" s="177">
        <f t="shared" si="3"/>
        <v>0</v>
      </c>
      <c r="AW14" s="177">
        <f t="shared" si="4"/>
        <v>0</v>
      </c>
      <c r="AX14" s="177">
        <f t="shared" si="5"/>
        <v>0</v>
      </c>
      <c r="AY14" s="177">
        <f t="shared" si="6"/>
        <v>0</v>
      </c>
      <c r="AZ14" s="177">
        <f t="shared" si="7"/>
        <v>0</v>
      </c>
      <c r="BA14" s="177">
        <f t="shared" si="8"/>
        <v>0</v>
      </c>
      <c r="BB14" s="177">
        <f t="shared" si="9"/>
        <v>0</v>
      </c>
      <c r="BC14" s="177">
        <f t="shared" si="10"/>
        <v>0</v>
      </c>
      <c r="BD14" s="177">
        <f t="shared" si="11"/>
        <v>0</v>
      </c>
      <c r="BE14" s="177">
        <f t="shared" si="12"/>
        <v>0</v>
      </c>
      <c r="BF14" s="177">
        <f t="shared" si="13"/>
        <v>0</v>
      </c>
      <c r="BG14" s="178">
        <f t="shared" si="18"/>
        <v>0</v>
      </c>
    </row>
    <row r="15" spans="1:59" ht="13.5" customHeight="1">
      <c r="A15" s="171">
        <f t="shared" si="14"/>
        <v>10</v>
      </c>
      <c r="B15" s="171" t="s">
        <v>2110</v>
      </c>
      <c r="C15" s="171"/>
      <c r="D15" s="171" t="str">
        <f>'CF-ACPL（合并）'!A38</f>
        <v>购建固定资产、无形资产和其他长期资产支付的现金</v>
      </c>
      <c r="E15" s="171"/>
      <c r="F15" s="172" t="s">
        <v>2816</v>
      </c>
      <c r="G15" s="172"/>
      <c r="H15" s="77" t="s">
        <v>2613</v>
      </c>
      <c r="I15" s="173" t="s">
        <v>2614</v>
      </c>
      <c r="J15" s="173" t="s">
        <v>2368</v>
      </c>
      <c r="K15" s="77"/>
      <c r="L15" s="175">
        <v>45658</v>
      </c>
      <c r="M15" s="175">
        <v>46022</v>
      </c>
      <c r="N15" s="176">
        <f t="shared" si="15"/>
        <v>12</v>
      </c>
      <c r="O15" s="177">
        <f>IF(AND($L15&lt;=O$3,O$3&lt;=$M15),$K15/$N15*HLOOKUP(O$3,'FX Lookup'!$A$2:$Y$4,3,FALSE),0)</f>
        <v>0</v>
      </c>
      <c r="P15" s="177">
        <f>IF(AND($L15&lt;=P$3,P$3&lt;=$M15),$K15/$N15*HLOOKUP(P$3,'FX Lookup'!$A$2:$Y$4,3,FALSE),0)</f>
        <v>0</v>
      </c>
      <c r="Q15" s="177">
        <f>IF(AND($L15&lt;=Q$3,Q$3&lt;=$M15),$K15/$N15*HLOOKUP(Q$3,'FX Lookup'!$A$2:$Y$4,3,FALSE),0)</f>
        <v>0</v>
      </c>
      <c r="R15" s="177">
        <f>IF(AND($L15&lt;=R$3,R$3&lt;=$M15),$K15/$N15*HLOOKUP(R$3,'FX Lookup'!$A$2:$Y$4,3,FALSE),0)</f>
        <v>0</v>
      </c>
      <c r="S15" s="177">
        <f>IF(AND($L15&lt;=S$3,S$3&lt;=$M15),$K15/$N15*HLOOKUP(S$3,'FX Lookup'!$A$2:$Y$4,3,FALSE),0)</f>
        <v>0</v>
      </c>
      <c r="T15" s="177">
        <f>IF(AND($L15&lt;=T$3,T$3&lt;=$M15),$K15/$N15*HLOOKUP(T$3,'FX Lookup'!$A$2:$Y$4,3,FALSE),0)</f>
        <v>0</v>
      </c>
      <c r="U15" s="177">
        <f>IF(AND($L15&lt;=U$3,U$3&lt;=$M15),$K15/$N15*HLOOKUP(U$3,'FX Lookup'!$A$2:$Y$4,3,FALSE),0)</f>
        <v>0</v>
      </c>
      <c r="V15" s="177">
        <f>IF(AND($L15&lt;=V$3,V$3&lt;=$M15),$K15/$N15*HLOOKUP(V$3,'FX Lookup'!$A$2:$Y$4,3,FALSE),0)</f>
        <v>0</v>
      </c>
      <c r="W15" s="177">
        <f>IF(AND($L15&lt;=W$3,W$3&lt;=$M15),$K15/$N15*HLOOKUP(W$3,'FX Lookup'!$A$2:$Y$4,3,FALSE),0)</f>
        <v>0</v>
      </c>
      <c r="X15" s="177">
        <f>IF(AND($L15&lt;=X$3,X$3&lt;=$M15),$K15/$N15*HLOOKUP(X$3,'FX Lookup'!$A$2:$Y$4,3,FALSE),0)</f>
        <v>0</v>
      </c>
      <c r="Y15" s="177">
        <f>IF(AND($L15&lt;=Y$3,Y$3&lt;=$M15),$K15/$N15*HLOOKUP(Y$3,'FX Lookup'!$A$2:$Y$4,3,FALSE),0)</f>
        <v>0</v>
      </c>
      <c r="Z15" s="177">
        <f>IF(AND($L15&lt;=Z$3,Z$3&lt;=$M15),$K15/$N15*HLOOKUP(Z$3,'FX Lookup'!$A$2:$Y$4,3,FALSE),0)</f>
        <v>0</v>
      </c>
      <c r="AA15" s="178">
        <f t="shared" si="16"/>
        <v>0</v>
      </c>
      <c r="AB15" s="173" t="s">
        <v>2368</v>
      </c>
      <c r="AC15" s="77"/>
      <c r="AD15" s="175">
        <v>46023</v>
      </c>
      <c r="AE15" s="175">
        <v>46387</v>
      </c>
      <c r="AF15" s="176">
        <f t="shared" si="1"/>
        <v>12</v>
      </c>
      <c r="AG15" s="177">
        <f>IF(AND($AD15&lt;=AG$3,AG$3&lt;=$AE15),$AC15/$AF15*HLOOKUP(AG$3,'FX Lookup'!$A$2:$Y$4,3,FALSE),0)</f>
        <v>0</v>
      </c>
      <c r="AH15" s="177">
        <f>IF(AND($AD15&lt;=AH$3,AH$3&lt;=$AE15),$AC15/$AF15*HLOOKUP(AH$3,'FX Lookup'!$A$2:$Y$4,3,FALSE),0)</f>
        <v>0</v>
      </c>
      <c r="AI15" s="177">
        <f>IF(AND($AD15&lt;=AI$3,AI$3&lt;=$AE15),$AC15/$AF15*HLOOKUP(AI$3,'FX Lookup'!$A$2:$Y$4,3,FALSE),0)</f>
        <v>0</v>
      </c>
      <c r="AJ15" s="177">
        <f>IF(AND($AD15&lt;=AJ$3,AJ$3&lt;=$AE15),$AC15/$AF15*HLOOKUP(AJ$3,'FX Lookup'!$A$2:$Y$4,3,FALSE),0)</f>
        <v>0</v>
      </c>
      <c r="AK15" s="177">
        <f>IF(AND($AD15&lt;=AK$3,AK$3&lt;=$AE15),$AC15/$AF15*HLOOKUP(AK$3,'FX Lookup'!$A$2:$Y$4,3,FALSE),0)</f>
        <v>0</v>
      </c>
      <c r="AL15" s="177">
        <f>IF(AND($AD15&lt;=AL$3,AL$3&lt;=$AE15),$AC15/$AF15*HLOOKUP(AL$3,'FX Lookup'!$A$2:$Y$4,3,FALSE),0)</f>
        <v>0</v>
      </c>
      <c r="AM15" s="177">
        <f>IF(AND($AD15&lt;=AM$3,AM$3&lt;=$AE15),$AC15/$AF15*HLOOKUP(AM$3,'FX Lookup'!$A$2:$Y$4,3,FALSE),0)</f>
        <v>0</v>
      </c>
      <c r="AN15" s="177">
        <f>IF(AND($AD15&lt;=AN$3,AN$3&lt;=$AE15),$AC15/$AF15*HLOOKUP(AN$3,'FX Lookup'!$A$2:$Y$4,3,FALSE),0)</f>
        <v>0</v>
      </c>
      <c r="AO15" s="177">
        <f>IF(AND($AD15&lt;=AO$3,AO$3&lt;=$AE15),$AC15/$AF15*HLOOKUP(AO$3,'FX Lookup'!$A$2:$Y$4,3,FALSE),0)</f>
        <v>0</v>
      </c>
      <c r="AP15" s="177">
        <f>IF(AND($AD15&lt;=AP$3,AP$3&lt;=$AE15),$AC15/$AF15*HLOOKUP(AP$3,'FX Lookup'!$A$2:$Y$4,3,FALSE),0)</f>
        <v>0</v>
      </c>
      <c r="AQ15" s="177">
        <f>IF(AND($AD15&lt;=AQ$3,AQ$3&lt;=$AE15),$AC15/$AF15*HLOOKUP(AQ$3,'FX Lookup'!$A$2:$Y$4,3,FALSE),0)</f>
        <v>0</v>
      </c>
      <c r="AR15" s="177">
        <f>IF(AND($AD15&lt;=AR$3,AR$3&lt;=$AE15),$AC15/$AF15*HLOOKUP(AR$3,'FX Lookup'!$A$2:$Y$4,3,FALSE),0)</f>
        <v>0</v>
      </c>
      <c r="AS15" s="178">
        <f t="shared" si="17"/>
        <v>0</v>
      </c>
      <c r="AU15" s="177">
        <f t="shared" si="2"/>
        <v>0</v>
      </c>
      <c r="AV15" s="177">
        <f t="shared" si="3"/>
        <v>0</v>
      </c>
      <c r="AW15" s="177">
        <f t="shared" si="4"/>
        <v>0</v>
      </c>
      <c r="AX15" s="177">
        <f t="shared" si="5"/>
        <v>0</v>
      </c>
      <c r="AY15" s="177">
        <f t="shared" si="6"/>
        <v>0</v>
      </c>
      <c r="AZ15" s="177">
        <f t="shared" si="7"/>
        <v>0</v>
      </c>
      <c r="BA15" s="177">
        <f t="shared" si="8"/>
        <v>0</v>
      </c>
      <c r="BB15" s="177">
        <f t="shared" si="9"/>
        <v>0</v>
      </c>
      <c r="BC15" s="177">
        <f t="shared" si="10"/>
        <v>0</v>
      </c>
      <c r="BD15" s="177">
        <f t="shared" si="11"/>
        <v>0</v>
      </c>
      <c r="BE15" s="177">
        <f t="shared" si="12"/>
        <v>0</v>
      </c>
      <c r="BF15" s="177">
        <f t="shared" si="13"/>
        <v>0</v>
      </c>
      <c r="BG15" s="178">
        <f t="shared" si="18"/>
        <v>0</v>
      </c>
    </row>
    <row r="16" spans="1:59" ht="13.5" customHeight="1">
      <c r="A16" s="171">
        <f t="shared" si="14"/>
        <v>11</v>
      </c>
      <c r="B16" s="171" t="s">
        <v>2110</v>
      </c>
      <c r="C16" s="171"/>
      <c r="D16" s="171" t="str">
        <f>'CF-ACPL（合并）'!A38</f>
        <v>购建固定资产、无形资产和其他长期资产支付的现金</v>
      </c>
      <c r="E16" s="171"/>
      <c r="F16" s="172" t="s">
        <v>2818</v>
      </c>
      <c r="G16" s="172"/>
      <c r="H16" s="77" t="s">
        <v>2613</v>
      </c>
      <c r="I16" s="173" t="s">
        <v>2614</v>
      </c>
      <c r="J16" s="173" t="s">
        <v>2368</v>
      </c>
      <c r="K16" s="174">
        <v>30000</v>
      </c>
      <c r="L16" s="175">
        <v>45658</v>
      </c>
      <c r="M16" s="175">
        <v>46022</v>
      </c>
      <c r="N16" s="176">
        <f t="shared" si="15"/>
        <v>12</v>
      </c>
      <c r="O16" s="177">
        <f>IF(AND($L16&lt;=O$3,O$3&lt;=$M16),$K16/$N16*HLOOKUP(O$3,'FX Lookup'!$A$2:$Y$4,3,FALSE),0)</f>
        <v>2339.7999999999997</v>
      </c>
      <c r="P16" s="177">
        <f>IF(AND($L16&lt;=P$3,P$3&lt;=$M16),$K16/$N16*HLOOKUP(P$3,'FX Lookup'!$A$2:$Y$4,3,FALSE),0)</f>
        <v>2339.7999999999997</v>
      </c>
      <c r="Q16" s="177">
        <f>IF(AND($L16&lt;=Q$3,Q$3&lt;=$M16),$K16/$N16*HLOOKUP(Q$3,'FX Lookup'!$A$2:$Y$4,3,FALSE),0)</f>
        <v>2339.7999999999997</v>
      </c>
      <c r="R16" s="177">
        <f>IF(AND($L16&lt;=R$3,R$3&lt;=$M16),$K16/$N16*HLOOKUP(R$3,'FX Lookup'!$A$2:$Y$4,3,FALSE),0)</f>
        <v>2339.7999999999997</v>
      </c>
      <c r="S16" s="177">
        <f>IF(AND($L16&lt;=S$3,S$3&lt;=$M16),$K16/$N16*HLOOKUP(S$3,'FX Lookup'!$A$2:$Y$4,3,FALSE),0)</f>
        <v>2339.7999999999997</v>
      </c>
      <c r="T16" s="177">
        <f>IF(AND($L16&lt;=T$3,T$3&lt;=$M16),$K16/$N16*HLOOKUP(T$3,'FX Lookup'!$A$2:$Y$4,3,FALSE),0)</f>
        <v>2339.7999999999997</v>
      </c>
      <c r="U16" s="177">
        <f>IF(AND($L16&lt;=U$3,U$3&lt;=$M16),$K16/$N16*HLOOKUP(U$3,'FX Lookup'!$A$2:$Y$4,3,FALSE),0)</f>
        <v>2339.7999999999997</v>
      </c>
      <c r="V16" s="177">
        <f>IF(AND($L16&lt;=V$3,V$3&lt;=$M16),$K16/$N16*HLOOKUP(V$3,'FX Lookup'!$A$2:$Y$4,3,FALSE),0)</f>
        <v>2339.7999999999997</v>
      </c>
      <c r="W16" s="177">
        <f>IF(AND($L16&lt;=W$3,W$3&lt;=$M16),$K16/$N16*HLOOKUP(W$3,'FX Lookup'!$A$2:$Y$4,3,FALSE),0)</f>
        <v>2339.7999999999997</v>
      </c>
      <c r="X16" s="177">
        <f>IF(AND($L16&lt;=X$3,X$3&lt;=$M16),$K16/$N16*HLOOKUP(X$3,'FX Lookup'!$A$2:$Y$4,3,FALSE),0)</f>
        <v>2339.7999999999997</v>
      </c>
      <c r="Y16" s="177">
        <f>IF(AND($L16&lt;=Y$3,Y$3&lt;=$M16),$K16/$N16*HLOOKUP(Y$3,'FX Lookup'!$A$2:$Y$4,3,FALSE),0)</f>
        <v>2339.7999999999997</v>
      </c>
      <c r="Z16" s="177">
        <f>IF(AND($L16&lt;=Z$3,Z$3&lt;=$M16),$K16/$N16*HLOOKUP(Z$3,'FX Lookup'!$A$2:$Y$4,3,FALSE),0)</f>
        <v>2339.7999999999997</v>
      </c>
      <c r="AA16" s="178">
        <f t="shared" si="16"/>
        <v>28077.599999999995</v>
      </c>
      <c r="AB16" s="173" t="s">
        <v>2368</v>
      </c>
      <c r="AC16" s="174">
        <v>30000</v>
      </c>
      <c r="AD16" s="175">
        <v>46023</v>
      </c>
      <c r="AE16" s="175">
        <v>46387</v>
      </c>
      <c r="AF16" s="176">
        <f t="shared" si="1"/>
        <v>12</v>
      </c>
      <c r="AG16" s="177">
        <f>IF(AND($AD16&lt;=AG$3,AG$3&lt;=$AE16),$AC16/$AF16*HLOOKUP(AG$3,'FX Lookup'!$A$2:$Y$4,3,FALSE),0)</f>
        <v>2224.9749999999999</v>
      </c>
      <c r="AH16" s="177">
        <f>IF(AND($AD16&lt;=AH$3,AH$3&lt;=$AE16),$AC16/$AF16*HLOOKUP(AH$3,'FX Lookup'!$A$2:$Y$4,3,FALSE),0)</f>
        <v>2205.5</v>
      </c>
      <c r="AI16" s="177">
        <f>IF(AND($AD16&lt;=AI$3,AI$3&lt;=$AE16),$AC16/$AF16*HLOOKUP(AI$3,'FX Lookup'!$A$2:$Y$4,3,FALSE),0)</f>
        <v>2205.5</v>
      </c>
      <c r="AJ16" s="177">
        <f>IF(AND($AD16&lt;=AJ$3,AJ$3&lt;=$AE16),$AC16/$AF16*HLOOKUP(AJ$3,'FX Lookup'!$A$2:$Y$4,3,FALSE),0)</f>
        <v>2205.5</v>
      </c>
      <c r="AK16" s="177">
        <f>IF(AND($AD16&lt;=AK$3,AK$3&lt;=$AE16),$AC16/$AF16*HLOOKUP(AK$3,'FX Lookup'!$A$2:$Y$4,3,FALSE),0)</f>
        <v>2205.5</v>
      </c>
      <c r="AL16" s="177">
        <f>IF(AND($AD16&lt;=AL$3,AL$3&lt;=$AE16),$AC16/$AF16*HLOOKUP(AL$3,'FX Lookup'!$A$2:$Y$4,3,FALSE),0)</f>
        <v>2205.5</v>
      </c>
      <c r="AM16" s="177">
        <f>IF(AND($AD16&lt;=AM$3,AM$3&lt;=$AE16),$AC16/$AF16*HLOOKUP(AM$3,'FX Lookup'!$A$2:$Y$4,3,FALSE),0)</f>
        <v>2205.5</v>
      </c>
      <c r="AN16" s="177">
        <f>IF(AND($AD16&lt;=AN$3,AN$3&lt;=$AE16),$AC16/$AF16*HLOOKUP(AN$3,'FX Lookup'!$A$2:$Y$4,3,FALSE),0)</f>
        <v>2205.5</v>
      </c>
      <c r="AO16" s="177">
        <f>IF(AND($AD16&lt;=AO$3,AO$3&lt;=$AE16),$AC16/$AF16*HLOOKUP(AO$3,'FX Lookup'!$A$2:$Y$4,3,FALSE),0)</f>
        <v>2205.5</v>
      </c>
      <c r="AP16" s="177">
        <f>IF(AND($AD16&lt;=AP$3,AP$3&lt;=$AE16),$AC16/$AF16*HLOOKUP(AP$3,'FX Lookup'!$A$2:$Y$4,3,FALSE),0)</f>
        <v>2205.5</v>
      </c>
      <c r="AQ16" s="177">
        <f>IF(AND($AD16&lt;=AQ$3,AQ$3&lt;=$AE16),$AC16/$AF16*HLOOKUP(AQ$3,'FX Lookup'!$A$2:$Y$4,3,FALSE),0)</f>
        <v>2205.5</v>
      </c>
      <c r="AR16" s="177">
        <f>IF(AND($AD16&lt;=AR$3,AR$3&lt;=$AE16),$AC16/$AF16*HLOOKUP(AR$3,'FX Lookup'!$A$2:$Y$4,3,FALSE),0)</f>
        <v>2205.5</v>
      </c>
      <c r="AS16" s="178">
        <f t="shared" si="17"/>
        <v>26485.474999999999</v>
      </c>
      <c r="AU16" s="177">
        <f t="shared" si="2"/>
        <v>2336.2237500000001</v>
      </c>
      <c r="AV16" s="177">
        <f t="shared" si="3"/>
        <v>2315.7750000000001</v>
      </c>
      <c r="AW16" s="177">
        <f t="shared" si="4"/>
        <v>2315.7750000000001</v>
      </c>
      <c r="AX16" s="177">
        <f t="shared" si="5"/>
        <v>2315.7750000000001</v>
      </c>
      <c r="AY16" s="177">
        <f t="shared" si="6"/>
        <v>2315.7750000000001</v>
      </c>
      <c r="AZ16" s="177">
        <f t="shared" si="7"/>
        <v>2315.7750000000001</v>
      </c>
      <c r="BA16" s="177">
        <f t="shared" si="8"/>
        <v>2315.7750000000001</v>
      </c>
      <c r="BB16" s="177">
        <f t="shared" si="9"/>
        <v>2315.7750000000001</v>
      </c>
      <c r="BC16" s="177">
        <f t="shared" si="10"/>
        <v>2315.7750000000001</v>
      </c>
      <c r="BD16" s="177">
        <f t="shared" si="11"/>
        <v>2315.7750000000001</v>
      </c>
      <c r="BE16" s="177">
        <f t="shared" si="12"/>
        <v>2315.7750000000001</v>
      </c>
      <c r="BF16" s="177">
        <f t="shared" si="13"/>
        <v>2315.7750000000001</v>
      </c>
      <c r="BG16" s="178">
        <f t="shared" si="18"/>
        <v>27809.748750000006</v>
      </c>
    </row>
    <row r="17" spans="1:59" ht="13.5" customHeight="1">
      <c r="A17" s="171">
        <f t="shared" si="14"/>
        <v>12</v>
      </c>
      <c r="B17" s="171" t="s">
        <v>2110</v>
      </c>
      <c r="C17" s="171"/>
      <c r="D17" s="171" t="str">
        <f>'CF-ACPL（合并）'!A27</f>
        <v>支付的其他与经营活动有关的现金（其他）</v>
      </c>
      <c r="E17" s="171"/>
      <c r="F17" s="172" t="s">
        <v>2813</v>
      </c>
      <c r="G17" s="172"/>
      <c r="H17" s="77" t="s">
        <v>2613</v>
      </c>
      <c r="I17" s="173" t="s">
        <v>2614</v>
      </c>
      <c r="J17" s="173" t="s">
        <v>2368</v>
      </c>
      <c r="K17" s="77"/>
      <c r="L17" s="175">
        <v>45658</v>
      </c>
      <c r="M17" s="175">
        <v>46022</v>
      </c>
      <c r="N17" s="176">
        <f t="shared" si="15"/>
        <v>12</v>
      </c>
      <c r="O17" s="177">
        <f>IF(AND($L17&lt;=O$3,O$3&lt;=$M17),$K17/$N17*HLOOKUP(O$3,'FX Lookup'!$A$2:$Y$4,3,FALSE),0)</f>
        <v>0</v>
      </c>
      <c r="P17" s="177">
        <f>IF(AND($L17&lt;=P$3,P$3&lt;=$M17),$K17/$N17*HLOOKUP(P$3,'FX Lookup'!$A$2:$Y$4,3,FALSE),0)</f>
        <v>0</v>
      </c>
      <c r="Q17" s="177">
        <f>IF(AND($L17&lt;=Q$3,Q$3&lt;=$M17),$K17/$N17*HLOOKUP(Q$3,'FX Lookup'!$A$2:$Y$4,3,FALSE),0)</f>
        <v>0</v>
      </c>
      <c r="R17" s="177">
        <f>IF(AND($L17&lt;=R$3,R$3&lt;=$M17),$K17/$N17*HLOOKUP(R$3,'FX Lookup'!$A$2:$Y$4,3,FALSE),0)</f>
        <v>0</v>
      </c>
      <c r="S17" s="177">
        <f>IF(AND($L17&lt;=S$3,S$3&lt;=$M17),$K17/$N17*HLOOKUP(S$3,'FX Lookup'!$A$2:$Y$4,3,FALSE),0)</f>
        <v>0</v>
      </c>
      <c r="T17" s="177">
        <f>IF(AND($L17&lt;=T$3,T$3&lt;=$M17),$K17/$N17*HLOOKUP(T$3,'FX Lookup'!$A$2:$Y$4,3,FALSE),0)</f>
        <v>0</v>
      </c>
      <c r="U17" s="177">
        <f>IF(AND($L17&lt;=U$3,U$3&lt;=$M17),$K17/$N17*HLOOKUP(U$3,'FX Lookup'!$A$2:$Y$4,3,FALSE),0)</f>
        <v>0</v>
      </c>
      <c r="V17" s="177">
        <f>IF(AND($L17&lt;=V$3,V$3&lt;=$M17),$K17/$N17*HLOOKUP(V$3,'FX Lookup'!$A$2:$Y$4,3,FALSE),0)</f>
        <v>0</v>
      </c>
      <c r="W17" s="177">
        <f>IF(AND($L17&lt;=W$3,W$3&lt;=$M17),$K17/$N17*HLOOKUP(W$3,'FX Lookup'!$A$2:$Y$4,3,FALSE),0)</f>
        <v>0</v>
      </c>
      <c r="X17" s="177">
        <f>IF(AND($L17&lt;=X$3,X$3&lt;=$M17),$K17/$N17*HLOOKUP(X$3,'FX Lookup'!$A$2:$Y$4,3,FALSE),0)</f>
        <v>0</v>
      </c>
      <c r="Y17" s="177">
        <f>IF(AND($L17&lt;=Y$3,Y$3&lt;=$M17),$K17/$N17*HLOOKUP(Y$3,'FX Lookup'!$A$2:$Y$4,3,FALSE),0)</f>
        <v>0</v>
      </c>
      <c r="Z17" s="177">
        <f>IF(AND($L17&lt;=Z$3,Z$3&lt;=$M17),$K17/$N17*HLOOKUP(Z$3,'FX Lookup'!$A$2:$Y$4,3,FALSE),0)</f>
        <v>0</v>
      </c>
      <c r="AA17" s="178">
        <f t="shared" si="16"/>
        <v>0</v>
      </c>
      <c r="AB17" s="173" t="s">
        <v>2368</v>
      </c>
      <c r="AC17" s="77"/>
      <c r="AD17" s="175">
        <v>46023</v>
      </c>
      <c r="AE17" s="175">
        <v>46387</v>
      </c>
      <c r="AF17" s="176">
        <f t="shared" si="1"/>
        <v>12</v>
      </c>
      <c r="AG17" s="177">
        <f>IF(AND($AD17&lt;=AG$3,AG$3&lt;=$AE17),$AC17/$AF17*HLOOKUP(AG$3,'FX Lookup'!$A$2:$Y$4,3,FALSE),0)</f>
        <v>0</v>
      </c>
      <c r="AH17" s="177">
        <f>IF(AND($AD17&lt;=AH$3,AH$3&lt;=$AE17),$AC17/$AF17*HLOOKUP(AH$3,'FX Lookup'!$A$2:$Y$4,3,FALSE),0)</f>
        <v>0</v>
      </c>
      <c r="AI17" s="177">
        <f>IF(AND($AD17&lt;=AI$3,AI$3&lt;=$AE17),$AC17/$AF17*HLOOKUP(AI$3,'FX Lookup'!$A$2:$Y$4,3,FALSE),0)</f>
        <v>0</v>
      </c>
      <c r="AJ17" s="177">
        <f>IF(AND($AD17&lt;=AJ$3,AJ$3&lt;=$AE17),$AC17/$AF17*HLOOKUP(AJ$3,'FX Lookup'!$A$2:$Y$4,3,FALSE),0)</f>
        <v>0</v>
      </c>
      <c r="AK17" s="177">
        <f>IF(AND($AD17&lt;=AK$3,AK$3&lt;=$AE17),$AC17/$AF17*HLOOKUP(AK$3,'FX Lookup'!$A$2:$Y$4,3,FALSE),0)</f>
        <v>0</v>
      </c>
      <c r="AL17" s="177">
        <f>IF(AND($AD17&lt;=AL$3,AL$3&lt;=$AE17),$AC17/$AF17*HLOOKUP(AL$3,'FX Lookup'!$A$2:$Y$4,3,FALSE),0)</f>
        <v>0</v>
      </c>
      <c r="AM17" s="177">
        <f>IF(AND($AD17&lt;=AM$3,AM$3&lt;=$AE17),$AC17/$AF17*HLOOKUP(AM$3,'FX Lookup'!$A$2:$Y$4,3,FALSE),0)</f>
        <v>0</v>
      </c>
      <c r="AN17" s="177">
        <f>IF(AND($AD17&lt;=AN$3,AN$3&lt;=$AE17),$AC17/$AF17*HLOOKUP(AN$3,'FX Lookup'!$A$2:$Y$4,3,FALSE),0)</f>
        <v>0</v>
      </c>
      <c r="AO17" s="177">
        <f>IF(AND($AD17&lt;=AO$3,AO$3&lt;=$AE17),$AC17/$AF17*HLOOKUP(AO$3,'FX Lookup'!$A$2:$Y$4,3,FALSE),0)</f>
        <v>0</v>
      </c>
      <c r="AP17" s="177">
        <f>IF(AND($AD17&lt;=AP$3,AP$3&lt;=$AE17),$AC17/$AF17*HLOOKUP(AP$3,'FX Lookup'!$A$2:$Y$4,3,FALSE),0)</f>
        <v>0</v>
      </c>
      <c r="AQ17" s="177">
        <f>IF(AND($AD17&lt;=AQ$3,AQ$3&lt;=$AE17),$AC17/$AF17*HLOOKUP(AQ$3,'FX Lookup'!$A$2:$Y$4,3,FALSE),0)</f>
        <v>0</v>
      </c>
      <c r="AR17" s="177">
        <f>IF(AND($AD17&lt;=AR$3,AR$3&lt;=$AE17),$AC17/$AF17*HLOOKUP(AR$3,'FX Lookup'!$A$2:$Y$4,3,FALSE),0)</f>
        <v>0</v>
      </c>
      <c r="AS17" s="178">
        <f t="shared" si="17"/>
        <v>0</v>
      </c>
      <c r="AU17" s="177">
        <f t="shared" si="2"/>
        <v>0</v>
      </c>
      <c r="AV17" s="177">
        <f t="shared" si="3"/>
        <v>0</v>
      </c>
      <c r="AW17" s="177">
        <f t="shared" si="4"/>
        <v>0</v>
      </c>
      <c r="AX17" s="177">
        <f t="shared" si="5"/>
        <v>0</v>
      </c>
      <c r="AY17" s="177">
        <f t="shared" si="6"/>
        <v>0</v>
      </c>
      <c r="AZ17" s="177">
        <f t="shared" si="7"/>
        <v>0</v>
      </c>
      <c r="BA17" s="177">
        <f t="shared" si="8"/>
        <v>0</v>
      </c>
      <c r="BB17" s="177">
        <f t="shared" si="9"/>
        <v>0</v>
      </c>
      <c r="BC17" s="177">
        <f t="shared" si="10"/>
        <v>0</v>
      </c>
      <c r="BD17" s="177">
        <f t="shared" si="11"/>
        <v>0</v>
      </c>
      <c r="BE17" s="177">
        <f t="shared" si="12"/>
        <v>0</v>
      </c>
      <c r="BF17" s="177">
        <f t="shared" si="13"/>
        <v>0</v>
      </c>
      <c r="BG17" s="178">
        <f t="shared" si="18"/>
        <v>0</v>
      </c>
    </row>
    <row r="18" spans="1:59" ht="13.5" customHeight="1">
      <c r="A18" s="171">
        <f t="shared" si="14"/>
        <v>13</v>
      </c>
      <c r="B18" s="171" t="s">
        <v>2110</v>
      </c>
      <c r="C18" s="171" t="s">
        <v>1652</v>
      </c>
      <c r="D18" s="171" t="str">
        <f>'CF-ACPL（合并）'!A27</f>
        <v>支付的其他与经营活动有关的现金（其他）</v>
      </c>
      <c r="E18" s="171" t="s">
        <v>2324</v>
      </c>
      <c r="F18" s="172" t="s">
        <v>2808</v>
      </c>
      <c r="G18" s="172" t="s">
        <v>2933</v>
      </c>
      <c r="H18" s="77" t="s">
        <v>2613</v>
      </c>
      <c r="I18" s="173" t="s">
        <v>2614</v>
      </c>
      <c r="J18" s="173" t="s">
        <v>2368</v>
      </c>
      <c r="K18" s="174">
        <f>4825*(1+K1)</f>
        <v>5066.25</v>
      </c>
      <c r="L18" s="175">
        <v>45870</v>
      </c>
      <c r="M18" s="175">
        <v>45900</v>
      </c>
      <c r="N18" s="176">
        <f t="shared" si="15"/>
        <v>1</v>
      </c>
      <c r="O18" s="177">
        <f>IF(AND($L18&lt;=O$3,O$3&lt;=$M18),$K18/$N18*HLOOKUP(O$3,'FX Lookup'!$A$2:$Y$4,3,FALSE),0)</f>
        <v>0</v>
      </c>
      <c r="P18" s="177">
        <f>IF(AND($L18&lt;=P$3,P$3&lt;=$M18),$K18/$N18*HLOOKUP(P$3,'FX Lookup'!$A$2:$Y$4,3,FALSE),0)</f>
        <v>0</v>
      </c>
      <c r="Q18" s="177">
        <f>IF(AND($L18&lt;=Q$3,Q$3&lt;=$M18),$K18/$N18*HLOOKUP(Q$3,'FX Lookup'!$A$2:$Y$4,3,FALSE),0)</f>
        <v>0</v>
      </c>
      <c r="R18" s="177">
        <f>IF(AND($L18&lt;=R$3,R$3&lt;=$M18),$K18/$N18*HLOOKUP(R$3,'FX Lookup'!$A$2:$Y$4,3,FALSE),0)</f>
        <v>0</v>
      </c>
      <c r="S18" s="177">
        <f>IF(AND($L18&lt;=S$3,S$3&lt;=$M18),$K18/$N18*HLOOKUP(S$3,'FX Lookup'!$A$2:$Y$4,3,FALSE),0)</f>
        <v>0</v>
      </c>
      <c r="T18" s="177">
        <f>IF(AND($L18&lt;=T$3,T$3&lt;=$M18),$K18/$N18*HLOOKUP(T$3,'FX Lookup'!$A$2:$Y$4,3,FALSE),0)</f>
        <v>0</v>
      </c>
      <c r="U18" s="177">
        <f>IF(AND($L18&lt;=U$3,U$3&lt;=$M18),$K18/$N18*HLOOKUP(U$3,'FX Lookup'!$A$2:$Y$4,3,FALSE),0)</f>
        <v>0</v>
      </c>
      <c r="V18" s="177">
        <f>IF(AND($L18&lt;=V$3,V$3&lt;=$M18),$K18/$N18*HLOOKUP(V$3,'FX Lookup'!$A$2:$Y$4,3,FALSE),0)</f>
        <v>4741.6046999999999</v>
      </c>
      <c r="W18" s="177">
        <f>IF(AND($L18&lt;=W$3,W$3&lt;=$M18),$K18/$N18*HLOOKUP(W$3,'FX Lookup'!$A$2:$Y$4,3,FALSE),0)</f>
        <v>0</v>
      </c>
      <c r="X18" s="177">
        <f>IF(AND($L18&lt;=X$3,X$3&lt;=$M18),$K18/$N18*HLOOKUP(X$3,'FX Lookup'!$A$2:$Y$4,3,FALSE),0)</f>
        <v>0</v>
      </c>
      <c r="Y18" s="177">
        <f>IF(AND($L18&lt;=Y$3,Y$3&lt;=$M18),$K18/$N18*HLOOKUP(Y$3,'FX Lookup'!$A$2:$Y$4,3,FALSE),0)</f>
        <v>0</v>
      </c>
      <c r="Z18" s="177">
        <f>IF(AND($L18&lt;=Z$3,Z$3&lt;=$M18),$K18/$N18*HLOOKUP(Z$3,'FX Lookup'!$A$2:$Y$4,3,FALSE),0)</f>
        <v>0</v>
      </c>
      <c r="AA18" s="178">
        <f t="shared" si="16"/>
        <v>4741.6046999999999</v>
      </c>
      <c r="AB18" s="173" t="s">
        <v>2368</v>
      </c>
      <c r="AC18" s="174">
        <f>4825*(1+AC1)</f>
        <v>5066.25</v>
      </c>
      <c r="AD18" s="175">
        <v>46023</v>
      </c>
      <c r="AE18" s="175">
        <v>46387</v>
      </c>
      <c r="AF18" s="176">
        <f t="shared" si="1"/>
        <v>12</v>
      </c>
      <c r="AG18" s="177">
        <f>IF(AND($AD18&lt;=AG$3,AG$3&lt;=$AE18),$AC18/$AF18*HLOOKUP(AG$3,'FX Lookup'!$A$2:$Y$4,3,FALSE),0)</f>
        <v>375.742653125</v>
      </c>
      <c r="AH18" s="177">
        <f>IF(AND($AD18&lt;=AH$3,AH$3&lt;=$AE18),$AC18/$AF18*HLOOKUP(AH$3,'FX Lookup'!$A$2:$Y$4,3,FALSE),0)</f>
        <v>372.45381249999997</v>
      </c>
      <c r="AI18" s="177">
        <f>IF(AND($AD18&lt;=AI$3,AI$3&lt;=$AE18),$AC18/$AF18*HLOOKUP(AI$3,'FX Lookup'!$A$2:$Y$4,3,FALSE),0)</f>
        <v>372.45381249999997</v>
      </c>
      <c r="AJ18" s="177">
        <f>IF(AND($AD18&lt;=AJ$3,AJ$3&lt;=$AE18),$AC18/$AF18*HLOOKUP(AJ$3,'FX Lookup'!$A$2:$Y$4,3,FALSE),0)</f>
        <v>372.45381249999997</v>
      </c>
      <c r="AK18" s="177">
        <f>IF(AND($AD18&lt;=AK$3,AK$3&lt;=$AE18),$AC18/$AF18*HLOOKUP(AK$3,'FX Lookup'!$A$2:$Y$4,3,FALSE),0)</f>
        <v>372.45381249999997</v>
      </c>
      <c r="AL18" s="177">
        <f>IF(AND($AD18&lt;=AL$3,AL$3&lt;=$AE18),$AC18/$AF18*HLOOKUP(AL$3,'FX Lookup'!$A$2:$Y$4,3,FALSE),0)</f>
        <v>372.45381249999997</v>
      </c>
      <c r="AM18" s="177">
        <f>IF(AND($AD18&lt;=AM$3,AM$3&lt;=$AE18),$AC18/$AF18*HLOOKUP(AM$3,'FX Lookup'!$A$2:$Y$4,3,FALSE),0)</f>
        <v>372.45381249999997</v>
      </c>
      <c r="AN18" s="177">
        <f>IF(AND($AD18&lt;=AN$3,AN$3&lt;=$AE18),$AC18/$AF18*HLOOKUP(AN$3,'FX Lookup'!$A$2:$Y$4,3,FALSE),0)</f>
        <v>372.45381249999997</v>
      </c>
      <c r="AO18" s="177">
        <f>IF(AND($AD18&lt;=AO$3,AO$3&lt;=$AE18),$AC18/$AF18*HLOOKUP(AO$3,'FX Lookup'!$A$2:$Y$4,3,FALSE),0)</f>
        <v>372.45381249999997</v>
      </c>
      <c r="AP18" s="177">
        <f>IF(AND($AD18&lt;=AP$3,AP$3&lt;=$AE18),$AC18/$AF18*HLOOKUP(AP$3,'FX Lookup'!$A$2:$Y$4,3,FALSE),0)</f>
        <v>372.45381249999997</v>
      </c>
      <c r="AQ18" s="177">
        <f>IF(AND($AD18&lt;=AQ$3,AQ$3&lt;=$AE18),$AC18/$AF18*HLOOKUP(AQ$3,'FX Lookup'!$A$2:$Y$4,3,FALSE),0)</f>
        <v>372.45381249999997</v>
      </c>
      <c r="AR18" s="177">
        <f>IF(AND($AD18&lt;=AR$3,AR$3&lt;=$AE18),$AC18/$AF18*HLOOKUP(AR$3,'FX Lookup'!$A$2:$Y$4,3,FALSE),0)</f>
        <v>372.45381249999997</v>
      </c>
      <c r="AS18" s="178">
        <f t="shared" si="17"/>
        <v>4472.7345906249993</v>
      </c>
      <c r="AU18" s="177">
        <f t="shared" si="2"/>
        <v>394.52978578125004</v>
      </c>
      <c r="AV18" s="177">
        <f t="shared" si="3"/>
        <v>391.07650312499999</v>
      </c>
      <c r="AW18" s="177">
        <f t="shared" si="4"/>
        <v>391.07650312499999</v>
      </c>
      <c r="AX18" s="177">
        <f t="shared" si="5"/>
        <v>391.07650312499999</v>
      </c>
      <c r="AY18" s="177">
        <f t="shared" si="6"/>
        <v>391.07650312499999</v>
      </c>
      <c r="AZ18" s="177">
        <f t="shared" si="7"/>
        <v>391.07650312499999</v>
      </c>
      <c r="BA18" s="177">
        <f t="shared" si="8"/>
        <v>391.07650312499999</v>
      </c>
      <c r="BB18" s="177">
        <f t="shared" si="9"/>
        <v>391.07650312499999</v>
      </c>
      <c r="BC18" s="177">
        <f t="shared" si="10"/>
        <v>391.07650312499999</v>
      </c>
      <c r="BD18" s="177">
        <f t="shared" si="11"/>
        <v>391.07650312499999</v>
      </c>
      <c r="BE18" s="177">
        <f t="shared" si="12"/>
        <v>391.07650312499999</v>
      </c>
      <c r="BF18" s="177">
        <f t="shared" si="13"/>
        <v>391.07650312499999</v>
      </c>
      <c r="BG18" s="178">
        <f t="shared" si="18"/>
        <v>4696.3713201562496</v>
      </c>
    </row>
    <row r="19" spans="1:59" ht="13.5" customHeight="1">
      <c r="A19" s="171">
        <f t="shared" si="14"/>
        <v>14</v>
      </c>
      <c r="B19" s="171" t="s">
        <v>2110</v>
      </c>
      <c r="C19" s="171" t="s">
        <v>1480</v>
      </c>
      <c r="D19" s="171" t="str">
        <f>'CF-ACPL（合并）'!A27</f>
        <v>支付的其他与经营活动有关的现金（其他）</v>
      </c>
      <c r="E19" s="171"/>
      <c r="F19" s="172" t="s">
        <v>2809</v>
      </c>
      <c r="G19" s="172"/>
      <c r="H19" s="77" t="s">
        <v>2613</v>
      </c>
      <c r="I19" s="173" t="s">
        <v>2614</v>
      </c>
      <c r="J19" s="173" t="s">
        <v>2368</v>
      </c>
      <c r="K19" s="77"/>
      <c r="L19" s="175">
        <v>45658</v>
      </c>
      <c r="M19" s="175">
        <v>46022</v>
      </c>
      <c r="N19" s="176">
        <f t="shared" si="15"/>
        <v>12</v>
      </c>
      <c r="O19" s="177">
        <f>IF(AND($L19&lt;=O$3,O$3&lt;=$M19),$K19/$N19*HLOOKUP(O$3,'FX Lookup'!$A$2:$Y$4,3,FALSE),0)</f>
        <v>0</v>
      </c>
      <c r="P19" s="177">
        <f>IF(AND($L19&lt;=P$3,P$3&lt;=$M19),$K19/$N19*HLOOKUP(P$3,'FX Lookup'!$A$2:$Y$4,3,FALSE),0)</f>
        <v>0</v>
      </c>
      <c r="Q19" s="177">
        <f>IF(AND($L19&lt;=Q$3,Q$3&lt;=$M19),$K19/$N19*HLOOKUP(Q$3,'FX Lookup'!$A$2:$Y$4,3,FALSE),0)</f>
        <v>0</v>
      </c>
      <c r="R19" s="177">
        <f>IF(AND($L19&lt;=R$3,R$3&lt;=$M19),$K19/$N19*HLOOKUP(R$3,'FX Lookup'!$A$2:$Y$4,3,FALSE),0)</f>
        <v>0</v>
      </c>
      <c r="S19" s="177">
        <f>IF(AND($L19&lt;=S$3,S$3&lt;=$M19),$K19/$N19*HLOOKUP(S$3,'FX Lookup'!$A$2:$Y$4,3,FALSE),0)</f>
        <v>0</v>
      </c>
      <c r="T19" s="177">
        <f>IF(AND($L19&lt;=T$3,T$3&lt;=$M19),$K19/$N19*HLOOKUP(T$3,'FX Lookup'!$A$2:$Y$4,3,FALSE),0)</f>
        <v>0</v>
      </c>
      <c r="U19" s="177">
        <f>IF(AND($L19&lt;=U$3,U$3&lt;=$M19),$K19/$N19*HLOOKUP(U$3,'FX Lookup'!$A$2:$Y$4,3,FALSE),0)</f>
        <v>0</v>
      </c>
      <c r="V19" s="177">
        <f>IF(AND($L19&lt;=V$3,V$3&lt;=$M19),$K19/$N19*HLOOKUP(V$3,'FX Lookup'!$A$2:$Y$4,3,FALSE),0)</f>
        <v>0</v>
      </c>
      <c r="W19" s="177">
        <f>IF(AND($L19&lt;=W$3,W$3&lt;=$M19),$K19/$N19*HLOOKUP(W$3,'FX Lookup'!$A$2:$Y$4,3,FALSE),0)</f>
        <v>0</v>
      </c>
      <c r="X19" s="177">
        <f>IF(AND($L19&lt;=X$3,X$3&lt;=$M19),$K19/$N19*HLOOKUP(X$3,'FX Lookup'!$A$2:$Y$4,3,FALSE),0)</f>
        <v>0</v>
      </c>
      <c r="Y19" s="177">
        <f>IF(AND($L19&lt;=Y$3,Y$3&lt;=$M19),$K19/$N19*HLOOKUP(Y$3,'FX Lookup'!$A$2:$Y$4,3,FALSE),0)</f>
        <v>0</v>
      </c>
      <c r="Z19" s="177">
        <f>IF(AND($L19&lt;=Z$3,Z$3&lt;=$M19),$K19/$N19*HLOOKUP(Z$3,'FX Lookup'!$A$2:$Y$4,3,FALSE),0)</f>
        <v>0</v>
      </c>
      <c r="AA19" s="178">
        <f t="shared" si="16"/>
        <v>0</v>
      </c>
      <c r="AB19" s="173" t="s">
        <v>2368</v>
      </c>
      <c r="AC19" s="77"/>
      <c r="AD19" s="175">
        <v>46023</v>
      </c>
      <c r="AE19" s="175">
        <v>46387</v>
      </c>
      <c r="AF19" s="176">
        <f t="shared" si="1"/>
        <v>12</v>
      </c>
      <c r="AG19" s="177">
        <f>IF(AND($AD19&lt;=AG$3,AG$3&lt;=$AE19),$AC19/$AF19*HLOOKUP(AG$3,'FX Lookup'!$A$2:$Y$4,3,FALSE),0)</f>
        <v>0</v>
      </c>
      <c r="AH19" s="177">
        <f>IF(AND($AD19&lt;=AH$3,AH$3&lt;=$AE19),$AC19/$AF19*HLOOKUP(AH$3,'FX Lookup'!$A$2:$Y$4,3,FALSE),0)</f>
        <v>0</v>
      </c>
      <c r="AI19" s="177">
        <f>IF(AND($AD19&lt;=AI$3,AI$3&lt;=$AE19),$AC19/$AF19*HLOOKUP(AI$3,'FX Lookup'!$A$2:$Y$4,3,FALSE),0)</f>
        <v>0</v>
      </c>
      <c r="AJ19" s="177">
        <f>IF(AND($AD19&lt;=AJ$3,AJ$3&lt;=$AE19),$AC19/$AF19*HLOOKUP(AJ$3,'FX Lookup'!$A$2:$Y$4,3,FALSE),0)</f>
        <v>0</v>
      </c>
      <c r="AK19" s="177">
        <f>IF(AND($AD19&lt;=AK$3,AK$3&lt;=$AE19),$AC19/$AF19*HLOOKUP(AK$3,'FX Lookup'!$A$2:$Y$4,3,FALSE),0)</f>
        <v>0</v>
      </c>
      <c r="AL19" s="177">
        <f>IF(AND($AD19&lt;=AL$3,AL$3&lt;=$AE19),$AC19/$AF19*HLOOKUP(AL$3,'FX Lookup'!$A$2:$Y$4,3,FALSE),0)</f>
        <v>0</v>
      </c>
      <c r="AM19" s="177">
        <f>IF(AND($AD19&lt;=AM$3,AM$3&lt;=$AE19),$AC19/$AF19*HLOOKUP(AM$3,'FX Lookup'!$A$2:$Y$4,3,FALSE),0)</f>
        <v>0</v>
      </c>
      <c r="AN19" s="177">
        <f>IF(AND($AD19&lt;=AN$3,AN$3&lt;=$AE19),$AC19/$AF19*HLOOKUP(AN$3,'FX Lookup'!$A$2:$Y$4,3,FALSE),0)</f>
        <v>0</v>
      </c>
      <c r="AO19" s="177">
        <f>IF(AND($AD19&lt;=AO$3,AO$3&lt;=$AE19),$AC19/$AF19*HLOOKUP(AO$3,'FX Lookup'!$A$2:$Y$4,3,FALSE),0)</f>
        <v>0</v>
      </c>
      <c r="AP19" s="177">
        <f>IF(AND($AD19&lt;=AP$3,AP$3&lt;=$AE19),$AC19/$AF19*HLOOKUP(AP$3,'FX Lookup'!$A$2:$Y$4,3,FALSE),0)</f>
        <v>0</v>
      </c>
      <c r="AQ19" s="177">
        <f>IF(AND($AD19&lt;=AQ$3,AQ$3&lt;=$AE19),$AC19/$AF19*HLOOKUP(AQ$3,'FX Lookup'!$A$2:$Y$4,3,FALSE),0)</f>
        <v>0</v>
      </c>
      <c r="AR19" s="177">
        <f>IF(AND($AD19&lt;=AR$3,AR$3&lt;=$AE19),$AC19/$AF19*HLOOKUP(AR$3,'FX Lookup'!$A$2:$Y$4,3,FALSE),0)</f>
        <v>0</v>
      </c>
      <c r="AS19" s="178">
        <f t="shared" si="17"/>
        <v>0</v>
      </c>
      <c r="AU19" s="177">
        <f t="shared" si="2"/>
        <v>0</v>
      </c>
      <c r="AV19" s="177">
        <f t="shared" si="3"/>
        <v>0</v>
      </c>
      <c r="AW19" s="177">
        <f t="shared" si="4"/>
        <v>0</v>
      </c>
      <c r="AX19" s="177">
        <f t="shared" si="5"/>
        <v>0</v>
      </c>
      <c r="AY19" s="177">
        <f t="shared" si="6"/>
        <v>0</v>
      </c>
      <c r="AZ19" s="177">
        <f t="shared" si="7"/>
        <v>0</v>
      </c>
      <c r="BA19" s="177">
        <f t="shared" si="8"/>
        <v>0</v>
      </c>
      <c r="BB19" s="177">
        <f t="shared" si="9"/>
        <v>0</v>
      </c>
      <c r="BC19" s="177">
        <f t="shared" si="10"/>
        <v>0</v>
      </c>
      <c r="BD19" s="177">
        <f t="shared" si="11"/>
        <v>0</v>
      </c>
      <c r="BE19" s="177">
        <f t="shared" si="12"/>
        <v>0</v>
      </c>
      <c r="BF19" s="177">
        <f t="shared" si="13"/>
        <v>0</v>
      </c>
      <c r="BG19" s="178">
        <f t="shared" si="18"/>
        <v>0</v>
      </c>
    </row>
    <row r="20" spans="1:59" ht="13.5" customHeight="1">
      <c r="A20" s="171">
        <f t="shared" si="14"/>
        <v>15</v>
      </c>
      <c r="B20" s="171" t="s">
        <v>2110</v>
      </c>
      <c r="C20" s="171" t="s">
        <v>1867</v>
      </c>
      <c r="D20" s="171" t="str">
        <f>'CF-ACPL（合并）'!A27</f>
        <v>支付的其他与经营活动有关的现金（其他）</v>
      </c>
      <c r="E20" s="171"/>
      <c r="F20" s="172" t="s">
        <v>2810</v>
      </c>
      <c r="G20" s="172"/>
      <c r="H20" s="77" t="s">
        <v>2613</v>
      </c>
      <c r="I20" s="173" t="s">
        <v>2614</v>
      </c>
      <c r="J20" s="173" t="s">
        <v>2368</v>
      </c>
      <c r="K20" s="77"/>
      <c r="L20" s="175">
        <v>45658</v>
      </c>
      <c r="M20" s="175">
        <v>46022</v>
      </c>
      <c r="N20" s="176">
        <f t="shared" si="15"/>
        <v>12</v>
      </c>
      <c r="O20" s="177">
        <f>IF(AND($L20&lt;=O$3,O$3&lt;=$M20),$K20/$N20*HLOOKUP(O$3,'FX Lookup'!$A$2:$Y$4,3,FALSE),0)</f>
        <v>0</v>
      </c>
      <c r="P20" s="177">
        <f>IF(AND($L20&lt;=P$3,P$3&lt;=$M20),$K20/$N20*HLOOKUP(P$3,'FX Lookup'!$A$2:$Y$4,3,FALSE),0)</f>
        <v>0</v>
      </c>
      <c r="Q20" s="177">
        <f>IF(AND($L20&lt;=Q$3,Q$3&lt;=$M20),$K20/$N20*HLOOKUP(Q$3,'FX Lookup'!$A$2:$Y$4,3,FALSE),0)</f>
        <v>0</v>
      </c>
      <c r="R20" s="177">
        <f>IF(AND($L20&lt;=R$3,R$3&lt;=$M20),$K20/$N20*HLOOKUP(R$3,'FX Lookup'!$A$2:$Y$4,3,FALSE),0)</f>
        <v>0</v>
      </c>
      <c r="S20" s="177">
        <f>IF(AND($L20&lt;=S$3,S$3&lt;=$M20),$K20/$N20*HLOOKUP(S$3,'FX Lookup'!$A$2:$Y$4,3,FALSE),0)</f>
        <v>0</v>
      </c>
      <c r="T20" s="177">
        <f>IF(AND($L20&lt;=T$3,T$3&lt;=$M20),$K20/$N20*HLOOKUP(T$3,'FX Lookup'!$A$2:$Y$4,3,FALSE),0)</f>
        <v>0</v>
      </c>
      <c r="U20" s="177">
        <f>IF(AND($L20&lt;=U$3,U$3&lt;=$M20),$K20/$N20*HLOOKUP(U$3,'FX Lookup'!$A$2:$Y$4,3,FALSE),0)</f>
        <v>0</v>
      </c>
      <c r="V20" s="177">
        <f>IF(AND($L20&lt;=V$3,V$3&lt;=$M20),$K20/$N20*HLOOKUP(V$3,'FX Lookup'!$A$2:$Y$4,3,FALSE),0)</f>
        <v>0</v>
      </c>
      <c r="W20" s="177">
        <f>IF(AND($L20&lt;=W$3,W$3&lt;=$M20),$K20/$N20*HLOOKUP(W$3,'FX Lookup'!$A$2:$Y$4,3,FALSE),0)</f>
        <v>0</v>
      </c>
      <c r="X20" s="177">
        <f>IF(AND($L20&lt;=X$3,X$3&lt;=$M20),$K20/$N20*HLOOKUP(X$3,'FX Lookup'!$A$2:$Y$4,3,FALSE),0)</f>
        <v>0</v>
      </c>
      <c r="Y20" s="177">
        <f>IF(AND($L20&lt;=Y$3,Y$3&lt;=$M20),$K20/$N20*HLOOKUP(Y$3,'FX Lookup'!$A$2:$Y$4,3,FALSE),0)</f>
        <v>0</v>
      </c>
      <c r="Z20" s="177">
        <f>IF(AND($L20&lt;=Z$3,Z$3&lt;=$M20),$K20/$N20*HLOOKUP(Z$3,'FX Lookup'!$A$2:$Y$4,3,FALSE),0)</f>
        <v>0</v>
      </c>
      <c r="AA20" s="178">
        <f t="shared" si="16"/>
        <v>0</v>
      </c>
      <c r="AB20" s="173" t="s">
        <v>2368</v>
      </c>
      <c r="AC20" s="77"/>
      <c r="AD20" s="175">
        <v>46023</v>
      </c>
      <c r="AE20" s="175">
        <v>46387</v>
      </c>
      <c r="AF20" s="176">
        <f t="shared" si="1"/>
        <v>12</v>
      </c>
      <c r="AG20" s="177">
        <f>IF(AND($AD20&lt;=AG$3,AG$3&lt;=$AE20),$AC20/$AF20*HLOOKUP(AG$3,'FX Lookup'!$A$2:$Y$4,3,FALSE),0)</f>
        <v>0</v>
      </c>
      <c r="AH20" s="177">
        <f>IF(AND($AD20&lt;=AH$3,AH$3&lt;=$AE20),$AC20/$AF20*HLOOKUP(AH$3,'FX Lookup'!$A$2:$Y$4,3,FALSE),0)</f>
        <v>0</v>
      </c>
      <c r="AI20" s="177">
        <f>IF(AND($AD20&lt;=AI$3,AI$3&lt;=$AE20),$AC20/$AF20*HLOOKUP(AI$3,'FX Lookup'!$A$2:$Y$4,3,FALSE),0)</f>
        <v>0</v>
      </c>
      <c r="AJ20" s="177">
        <f>IF(AND($AD20&lt;=AJ$3,AJ$3&lt;=$AE20),$AC20/$AF20*HLOOKUP(AJ$3,'FX Lookup'!$A$2:$Y$4,3,FALSE),0)</f>
        <v>0</v>
      </c>
      <c r="AK20" s="177">
        <f>IF(AND($AD20&lt;=AK$3,AK$3&lt;=$AE20),$AC20/$AF20*HLOOKUP(AK$3,'FX Lookup'!$A$2:$Y$4,3,FALSE),0)</f>
        <v>0</v>
      </c>
      <c r="AL20" s="177">
        <f>IF(AND($AD20&lt;=AL$3,AL$3&lt;=$AE20),$AC20/$AF20*HLOOKUP(AL$3,'FX Lookup'!$A$2:$Y$4,3,FALSE),0)</f>
        <v>0</v>
      </c>
      <c r="AM20" s="177">
        <f>IF(AND($AD20&lt;=AM$3,AM$3&lt;=$AE20),$AC20/$AF20*HLOOKUP(AM$3,'FX Lookup'!$A$2:$Y$4,3,FALSE),0)</f>
        <v>0</v>
      </c>
      <c r="AN20" s="177">
        <f>IF(AND($AD20&lt;=AN$3,AN$3&lt;=$AE20),$AC20/$AF20*HLOOKUP(AN$3,'FX Lookup'!$A$2:$Y$4,3,FALSE),0)</f>
        <v>0</v>
      </c>
      <c r="AO20" s="177">
        <f>IF(AND($AD20&lt;=AO$3,AO$3&lt;=$AE20),$AC20/$AF20*HLOOKUP(AO$3,'FX Lookup'!$A$2:$Y$4,3,FALSE),0)</f>
        <v>0</v>
      </c>
      <c r="AP20" s="177">
        <f>IF(AND($AD20&lt;=AP$3,AP$3&lt;=$AE20),$AC20/$AF20*HLOOKUP(AP$3,'FX Lookup'!$A$2:$Y$4,3,FALSE),0)</f>
        <v>0</v>
      </c>
      <c r="AQ20" s="177">
        <f>IF(AND($AD20&lt;=AQ$3,AQ$3&lt;=$AE20),$AC20/$AF20*HLOOKUP(AQ$3,'FX Lookup'!$A$2:$Y$4,3,FALSE),0)</f>
        <v>0</v>
      </c>
      <c r="AR20" s="177">
        <f>IF(AND($AD20&lt;=AR$3,AR$3&lt;=$AE20),$AC20/$AF20*HLOOKUP(AR$3,'FX Lookup'!$A$2:$Y$4,3,FALSE),0)</f>
        <v>0</v>
      </c>
      <c r="AS20" s="178">
        <f t="shared" si="17"/>
        <v>0</v>
      </c>
      <c r="AU20" s="177">
        <f t="shared" si="2"/>
        <v>0</v>
      </c>
      <c r="AV20" s="177">
        <f t="shared" si="3"/>
        <v>0</v>
      </c>
      <c r="AW20" s="177">
        <f t="shared" si="4"/>
        <v>0</v>
      </c>
      <c r="AX20" s="177">
        <f t="shared" si="5"/>
        <v>0</v>
      </c>
      <c r="AY20" s="177">
        <f t="shared" si="6"/>
        <v>0</v>
      </c>
      <c r="AZ20" s="177">
        <f t="shared" si="7"/>
        <v>0</v>
      </c>
      <c r="BA20" s="177">
        <f t="shared" si="8"/>
        <v>0</v>
      </c>
      <c r="BB20" s="177">
        <f t="shared" si="9"/>
        <v>0</v>
      </c>
      <c r="BC20" s="177">
        <f t="shared" si="10"/>
        <v>0</v>
      </c>
      <c r="BD20" s="177">
        <f t="shared" si="11"/>
        <v>0</v>
      </c>
      <c r="BE20" s="177">
        <f t="shared" si="12"/>
        <v>0</v>
      </c>
      <c r="BF20" s="177">
        <f t="shared" si="13"/>
        <v>0</v>
      </c>
      <c r="BG20" s="178">
        <f t="shared" si="18"/>
        <v>0</v>
      </c>
    </row>
    <row r="21" spans="1:59" ht="13.5" customHeight="1">
      <c r="A21" s="171">
        <f t="shared" si="14"/>
        <v>16</v>
      </c>
      <c r="B21" s="171" t="s">
        <v>2110</v>
      </c>
      <c r="C21" s="171" t="s">
        <v>1684</v>
      </c>
      <c r="D21" s="171" t="str">
        <f>'CF-ACPL（合并）'!A27</f>
        <v>支付的其他与经营活动有关的现金（其他）</v>
      </c>
      <c r="E21" s="171"/>
      <c r="F21" s="172" t="s">
        <v>2811</v>
      </c>
      <c r="G21" s="172"/>
      <c r="H21" s="77" t="s">
        <v>2613</v>
      </c>
      <c r="I21" s="173" t="s">
        <v>2614</v>
      </c>
      <c r="J21" s="173" t="s">
        <v>2368</v>
      </c>
      <c r="K21" s="77"/>
      <c r="L21" s="175">
        <v>45658</v>
      </c>
      <c r="M21" s="175">
        <v>46022</v>
      </c>
      <c r="N21" s="176">
        <f t="shared" si="15"/>
        <v>12</v>
      </c>
      <c r="O21" s="177">
        <f>IF(AND($L21&lt;=O$3,O$3&lt;=$M21),$K21/$N21*HLOOKUP(O$3,'FX Lookup'!$A$2:$Y$4,3,FALSE),0)</f>
        <v>0</v>
      </c>
      <c r="P21" s="177">
        <f>IF(AND($L21&lt;=P$3,P$3&lt;=$M21),$K21/$N21*HLOOKUP(P$3,'FX Lookup'!$A$2:$Y$4,3,FALSE),0)</f>
        <v>0</v>
      </c>
      <c r="Q21" s="177">
        <f>IF(AND($L21&lt;=Q$3,Q$3&lt;=$M21),$K21/$N21*HLOOKUP(Q$3,'FX Lookup'!$A$2:$Y$4,3,FALSE),0)</f>
        <v>0</v>
      </c>
      <c r="R21" s="177">
        <f>IF(AND($L21&lt;=R$3,R$3&lt;=$M21),$K21/$N21*HLOOKUP(R$3,'FX Lookup'!$A$2:$Y$4,3,FALSE),0)</f>
        <v>0</v>
      </c>
      <c r="S21" s="177">
        <f>IF(AND($L21&lt;=S$3,S$3&lt;=$M21),$K21/$N21*HLOOKUP(S$3,'FX Lookup'!$A$2:$Y$4,3,FALSE),0)</f>
        <v>0</v>
      </c>
      <c r="T21" s="177">
        <f>IF(AND($L21&lt;=T$3,T$3&lt;=$M21),$K21/$N21*HLOOKUP(T$3,'FX Lookup'!$A$2:$Y$4,3,FALSE),0)</f>
        <v>0</v>
      </c>
      <c r="U21" s="177">
        <f>IF(AND($L21&lt;=U$3,U$3&lt;=$M21),$K21/$N21*HLOOKUP(U$3,'FX Lookup'!$A$2:$Y$4,3,FALSE),0)</f>
        <v>0</v>
      </c>
      <c r="V21" s="177">
        <f>IF(AND($L21&lt;=V$3,V$3&lt;=$M21),$K21/$N21*HLOOKUP(V$3,'FX Lookup'!$A$2:$Y$4,3,FALSE),0)</f>
        <v>0</v>
      </c>
      <c r="W21" s="177">
        <f>IF(AND($L21&lt;=W$3,W$3&lt;=$M21),$K21/$N21*HLOOKUP(W$3,'FX Lookup'!$A$2:$Y$4,3,FALSE),0)</f>
        <v>0</v>
      </c>
      <c r="X21" s="177">
        <f>IF(AND($L21&lt;=X$3,X$3&lt;=$M21),$K21/$N21*HLOOKUP(X$3,'FX Lookup'!$A$2:$Y$4,3,FALSE),0)</f>
        <v>0</v>
      </c>
      <c r="Y21" s="177">
        <f>IF(AND($L21&lt;=Y$3,Y$3&lt;=$M21),$K21/$N21*HLOOKUP(Y$3,'FX Lookup'!$A$2:$Y$4,3,FALSE),0)</f>
        <v>0</v>
      </c>
      <c r="Z21" s="177">
        <f>IF(AND($L21&lt;=Z$3,Z$3&lt;=$M21),$K21/$N21*HLOOKUP(Z$3,'FX Lookup'!$A$2:$Y$4,3,FALSE),0)</f>
        <v>0</v>
      </c>
      <c r="AA21" s="178">
        <f t="shared" si="16"/>
        <v>0</v>
      </c>
      <c r="AB21" s="173" t="s">
        <v>2368</v>
      </c>
      <c r="AC21" s="77"/>
      <c r="AD21" s="175">
        <v>46023</v>
      </c>
      <c r="AE21" s="175">
        <v>46387</v>
      </c>
      <c r="AF21" s="176">
        <f t="shared" si="1"/>
        <v>12</v>
      </c>
      <c r="AG21" s="177">
        <f>IF(AND($AD21&lt;=AG$3,AG$3&lt;=$AE21),$AC21/$AF21*HLOOKUP(AG$3,'FX Lookup'!$A$2:$Y$4,3,FALSE),0)</f>
        <v>0</v>
      </c>
      <c r="AH21" s="177">
        <f>IF(AND($AD21&lt;=AH$3,AH$3&lt;=$AE21),$AC21/$AF21*HLOOKUP(AH$3,'FX Lookup'!$A$2:$Y$4,3,FALSE),0)</f>
        <v>0</v>
      </c>
      <c r="AI21" s="177">
        <f>IF(AND($AD21&lt;=AI$3,AI$3&lt;=$AE21),$AC21/$AF21*HLOOKUP(AI$3,'FX Lookup'!$A$2:$Y$4,3,FALSE),0)</f>
        <v>0</v>
      </c>
      <c r="AJ21" s="177">
        <f>IF(AND($AD21&lt;=AJ$3,AJ$3&lt;=$AE21),$AC21/$AF21*HLOOKUP(AJ$3,'FX Lookup'!$A$2:$Y$4,3,FALSE),0)</f>
        <v>0</v>
      </c>
      <c r="AK21" s="177">
        <f>IF(AND($AD21&lt;=AK$3,AK$3&lt;=$AE21),$AC21/$AF21*HLOOKUP(AK$3,'FX Lookup'!$A$2:$Y$4,3,FALSE),0)</f>
        <v>0</v>
      </c>
      <c r="AL21" s="177">
        <f>IF(AND($AD21&lt;=AL$3,AL$3&lt;=$AE21),$AC21/$AF21*HLOOKUP(AL$3,'FX Lookup'!$A$2:$Y$4,3,FALSE),0)</f>
        <v>0</v>
      </c>
      <c r="AM21" s="177">
        <f>IF(AND($AD21&lt;=AM$3,AM$3&lt;=$AE21),$AC21/$AF21*HLOOKUP(AM$3,'FX Lookup'!$A$2:$Y$4,3,FALSE),0)</f>
        <v>0</v>
      </c>
      <c r="AN21" s="177">
        <f>IF(AND($AD21&lt;=AN$3,AN$3&lt;=$AE21),$AC21/$AF21*HLOOKUP(AN$3,'FX Lookup'!$A$2:$Y$4,3,FALSE),0)</f>
        <v>0</v>
      </c>
      <c r="AO21" s="177">
        <f>IF(AND($AD21&lt;=AO$3,AO$3&lt;=$AE21),$AC21/$AF21*HLOOKUP(AO$3,'FX Lookup'!$A$2:$Y$4,3,FALSE),0)</f>
        <v>0</v>
      </c>
      <c r="AP21" s="177">
        <f>IF(AND($AD21&lt;=AP$3,AP$3&lt;=$AE21),$AC21/$AF21*HLOOKUP(AP$3,'FX Lookup'!$A$2:$Y$4,3,FALSE),0)</f>
        <v>0</v>
      </c>
      <c r="AQ21" s="177">
        <f>IF(AND($AD21&lt;=AQ$3,AQ$3&lt;=$AE21),$AC21/$AF21*HLOOKUP(AQ$3,'FX Lookup'!$A$2:$Y$4,3,FALSE),0)</f>
        <v>0</v>
      </c>
      <c r="AR21" s="177">
        <f>IF(AND($AD21&lt;=AR$3,AR$3&lt;=$AE21),$AC21/$AF21*HLOOKUP(AR$3,'FX Lookup'!$A$2:$Y$4,3,FALSE),0)</f>
        <v>0</v>
      </c>
      <c r="AS21" s="178">
        <f t="shared" si="17"/>
        <v>0</v>
      </c>
      <c r="AU21" s="177">
        <f t="shared" si="2"/>
        <v>0</v>
      </c>
      <c r="AV21" s="177">
        <f t="shared" si="3"/>
        <v>0</v>
      </c>
      <c r="AW21" s="177">
        <f t="shared" si="4"/>
        <v>0</v>
      </c>
      <c r="AX21" s="177">
        <f t="shared" si="5"/>
        <v>0</v>
      </c>
      <c r="AY21" s="177">
        <f t="shared" si="6"/>
        <v>0</v>
      </c>
      <c r="AZ21" s="177">
        <f t="shared" si="7"/>
        <v>0</v>
      </c>
      <c r="BA21" s="177">
        <f t="shared" si="8"/>
        <v>0</v>
      </c>
      <c r="BB21" s="177">
        <f t="shared" si="9"/>
        <v>0</v>
      </c>
      <c r="BC21" s="177">
        <f t="shared" si="10"/>
        <v>0</v>
      </c>
      <c r="BD21" s="177">
        <f t="shared" si="11"/>
        <v>0</v>
      </c>
      <c r="BE21" s="177">
        <f t="shared" si="12"/>
        <v>0</v>
      </c>
      <c r="BF21" s="177">
        <f t="shared" si="13"/>
        <v>0</v>
      </c>
      <c r="BG21" s="178">
        <f t="shared" si="18"/>
        <v>0</v>
      </c>
    </row>
    <row r="22" spans="1:59" ht="13.5" customHeight="1">
      <c r="A22" s="171">
        <f t="shared" ref="A22:A25" si="19">IF(A21&lt;=0,FALSE,A21+1)</f>
        <v>17</v>
      </c>
      <c r="B22" s="171" t="s">
        <v>2110</v>
      </c>
      <c r="C22" s="171" t="s">
        <v>1867</v>
      </c>
      <c r="D22" s="171" t="str">
        <f>'CF-ACPL（合并）'!A27</f>
        <v>支付的其他与经营活动有关的现金（其他）</v>
      </c>
      <c r="E22" s="171"/>
      <c r="F22" s="172" t="s">
        <v>2546</v>
      </c>
      <c r="G22" s="172"/>
      <c r="H22" s="77" t="s">
        <v>2613</v>
      </c>
      <c r="I22" s="173" t="s">
        <v>2614</v>
      </c>
      <c r="J22" s="173" t="s">
        <v>2368</v>
      </c>
      <c r="K22" s="174">
        <f>2650*2</f>
        <v>5300</v>
      </c>
      <c r="L22" s="175">
        <v>45658</v>
      </c>
      <c r="M22" s="175">
        <v>46022</v>
      </c>
      <c r="N22" s="176">
        <f t="shared" ref="N22:N25" si="20">IF(AND(L22="",M22=""),"-",IF(M22="",12,DATEDIF(L22,M22,"M")+1))</f>
        <v>12</v>
      </c>
      <c r="O22" s="177">
        <f>IF(AND($L22&lt;=O$3,O$3&lt;=$M22),$K22/$N22*HLOOKUP(O$3,'FX Lookup'!$A$2:$Y$4,3,FALSE),0)</f>
        <v>413.36466666666666</v>
      </c>
      <c r="P22" s="177">
        <f>IF(AND($L22&lt;=P$3,P$3&lt;=$M22),$K22/$N22*HLOOKUP(P$3,'FX Lookup'!$A$2:$Y$4,3,FALSE),0)</f>
        <v>413.36466666666666</v>
      </c>
      <c r="Q22" s="177">
        <f>IF(AND($L22&lt;=Q$3,Q$3&lt;=$M22),$K22/$N22*HLOOKUP(Q$3,'FX Lookup'!$A$2:$Y$4,3,FALSE),0)</f>
        <v>413.36466666666666</v>
      </c>
      <c r="R22" s="177">
        <f>IF(AND($L22&lt;=R$3,R$3&lt;=$M22),$K22/$N22*HLOOKUP(R$3,'FX Lookup'!$A$2:$Y$4,3,FALSE),0)</f>
        <v>413.36466666666666</v>
      </c>
      <c r="S22" s="177">
        <f>IF(AND($L22&lt;=S$3,S$3&lt;=$M22),$K22/$N22*HLOOKUP(S$3,'FX Lookup'!$A$2:$Y$4,3,FALSE),0)</f>
        <v>413.36466666666666</v>
      </c>
      <c r="T22" s="177">
        <f>IF(AND($L22&lt;=T$3,T$3&lt;=$M22),$K22/$N22*HLOOKUP(T$3,'FX Lookup'!$A$2:$Y$4,3,FALSE),0)</f>
        <v>413.36466666666666</v>
      </c>
      <c r="U22" s="177">
        <f>IF(AND($L22&lt;=U$3,U$3&lt;=$M22),$K22/$N22*HLOOKUP(U$3,'FX Lookup'!$A$2:$Y$4,3,FALSE),0)</f>
        <v>413.36466666666666</v>
      </c>
      <c r="V22" s="177">
        <f>IF(AND($L22&lt;=V$3,V$3&lt;=$M22),$K22/$N22*HLOOKUP(V$3,'FX Lookup'!$A$2:$Y$4,3,FALSE),0)</f>
        <v>413.36466666666666</v>
      </c>
      <c r="W22" s="177">
        <f>IF(AND($L22&lt;=W$3,W$3&lt;=$M22),$K22/$N22*HLOOKUP(W$3,'FX Lookup'!$A$2:$Y$4,3,FALSE),0)</f>
        <v>413.36466666666666</v>
      </c>
      <c r="X22" s="177">
        <f>IF(AND($L22&lt;=X$3,X$3&lt;=$M22),$K22/$N22*HLOOKUP(X$3,'FX Lookup'!$A$2:$Y$4,3,FALSE),0)</f>
        <v>413.36466666666666</v>
      </c>
      <c r="Y22" s="177">
        <f>IF(AND($L22&lt;=Y$3,Y$3&lt;=$M22),$K22/$N22*HLOOKUP(Y$3,'FX Lookup'!$A$2:$Y$4,3,FALSE),0)</f>
        <v>413.36466666666666</v>
      </c>
      <c r="Z22" s="177">
        <f>IF(AND($L22&lt;=Z$3,Z$3&lt;=$M22),$K22/$N22*HLOOKUP(Z$3,'FX Lookup'!$A$2:$Y$4,3,FALSE),0)</f>
        <v>413.36466666666666</v>
      </c>
      <c r="AA22" s="178">
        <f t="shared" si="16"/>
        <v>4960.3760000000002</v>
      </c>
      <c r="AB22" s="173" t="s">
        <v>2368</v>
      </c>
      <c r="AC22" s="174">
        <f>2650*2</f>
        <v>5300</v>
      </c>
      <c r="AD22" s="175">
        <v>46023</v>
      </c>
      <c r="AE22" s="175">
        <v>46387</v>
      </c>
      <c r="AF22" s="176">
        <f t="shared" si="1"/>
        <v>12</v>
      </c>
      <c r="AG22" s="177">
        <f>IF(AND($AD22&lt;=AG$3,AG$3&lt;=$AE22),$AC22/$AF22*HLOOKUP(AG$3,'FX Lookup'!$A$2:$Y$4,3,FALSE),0)</f>
        <v>393.07891666666666</v>
      </c>
      <c r="AH22" s="177">
        <f>IF(AND($AD22&lt;=AH$3,AH$3&lt;=$AE22),$AC22/$AF22*HLOOKUP(AH$3,'FX Lookup'!$A$2:$Y$4,3,FALSE),0)</f>
        <v>389.63833333333332</v>
      </c>
      <c r="AI22" s="177">
        <f>IF(AND($AD22&lt;=AI$3,AI$3&lt;=$AE22),$AC22/$AF22*HLOOKUP(AI$3,'FX Lookup'!$A$2:$Y$4,3,FALSE),0)</f>
        <v>389.63833333333332</v>
      </c>
      <c r="AJ22" s="177">
        <f>IF(AND($AD22&lt;=AJ$3,AJ$3&lt;=$AE22),$AC22/$AF22*HLOOKUP(AJ$3,'FX Lookup'!$A$2:$Y$4,3,FALSE),0)</f>
        <v>389.63833333333332</v>
      </c>
      <c r="AK22" s="177">
        <f>IF(AND($AD22&lt;=AK$3,AK$3&lt;=$AE22),$AC22/$AF22*HLOOKUP(AK$3,'FX Lookup'!$A$2:$Y$4,3,FALSE),0)</f>
        <v>389.63833333333332</v>
      </c>
      <c r="AL22" s="177">
        <f>IF(AND($AD22&lt;=AL$3,AL$3&lt;=$AE22),$AC22/$AF22*HLOOKUP(AL$3,'FX Lookup'!$A$2:$Y$4,3,FALSE),0)</f>
        <v>389.63833333333332</v>
      </c>
      <c r="AM22" s="177">
        <f>IF(AND($AD22&lt;=AM$3,AM$3&lt;=$AE22),$AC22/$AF22*HLOOKUP(AM$3,'FX Lookup'!$A$2:$Y$4,3,FALSE),0)</f>
        <v>389.63833333333332</v>
      </c>
      <c r="AN22" s="177">
        <f>IF(AND($AD22&lt;=AN$3,AN$3&lt;=$AE22),$AC22/$AF22*HLOOKUP(AN$3,'FX Lookup'!$A$2:$Y$4,3,FALSE),0)</f>
        <v>389.63833333333332</v>
      </c>
      <c r="AO22" s="177">
        <f>IF(AND($AD22&lt;=AO$3,AO$3&lt;=$AE22),$AC22/$AF22*HLOOKUP(AO$3,'FX Lookup'!$A$2:$Y$4,3,FALSE),0)</f>
        <v>389.63833333333332</v>
      </c>
      <c r="AP22" s="177">
        <f>IF(AND($AD22&lt;=AP$3,AP$3&lt;=$AE22),$AC22/$AF22*HLOOKUP(AP$3,'FX Lookup'!$A$2:$Y$4,3,FALSE),0)</f>
        <v>389.63833333333332</v>
      </c>
      <c r="AQ22" s="177">
        <f>IF(AND($AD22&lt;=AQ$3,AQ$3&lt;=$AE22),$AC22/$AF22*HLOOKUP(AQ$3,'FX Lookup'!$A$2:$Y$4,3,FALSE),0)</f>
        <v>389.63833333333332</v>
      </c>
      <c r="AR22" s="177">
        <f>IF(AND($AD22&lt;=AR$3,AR$3&lt;=$AE22),$AC22/$AF22*HLOOKUP(AR$3,'FX Lookup'!$A$2:$Y$4,3,FALSE),0)</f>
        <v>389.63833333333332</v>
      </c>
      <c r="AS22" s="178">
        <f t="shared" si="17"/>
        <v>4679.1005833333329</v>
      </c>
      <c r="AU22" s="177">
        <f t="shared" si="2"/>
        <v>412.73286250000001</v>
      </c>
      <c r="AV22" s="177">
        <f t="shared" si="3"/>
        <v>409.12025</v>
      </c>
      <c r="AW22" s="177">
        <f t="shared" si="4"/>
        <v>409.12025</v>
      </c>
      <c r="AX22" s="177">
        <f t="shared" si="5"/>
        <v>409.12025</v>
      </c>
      <c r="AY22" s="177">
        <f t="shared" si="6"/>
        <v>409.12025</v>
      </c>
      <c r="AZ22" s="177">
        <f t="shared" si="7"/>
        <v>409.12025</v>
      </c>
      <c r="BA22" s="177">
        <f t="shared" si="8"/>
        <v>409.12025</v>
      </c>
      <c r="BB22" s="177">
        <f t="shared" si="9"/>
        <v>409.12025</v>
      </c>
      <c r="BC22" s="177">
        <f t="shared" si="10"/>
        <v>409.12025</v>
      </c>
      <c r="BD22" s="177">
        <f t="shared" si="11"/>
        <v>409.12025</v>
      </c>
      <c r="BE22" s="177">
        <f t="shared" si="12"/>
        <v>409.12025</v>
      </c>
      <c r="BF22" s="177">
        <f t="shared" si="13"/>
        <v>409.12025</v>
      </c>
      <c r="BG22" s="178">
        <f t="shared" si="18"/>
        <v>4913.0556124999994</v>
      </c>
    </row>
    <row r="23" spans="1:59" ht="13.5" customHeight="1">
      <c r="A23" s="171">
        <f t="shared" si="19"/>
        <v>18</v>
      </c>
      <c r="B23" s="171" t="s">
        <v>2110</v>
      </c>
      <c r="C23" s="171" t="s">
        <v>1672</v>
      </c>
      <c r="D23" s="171" t="str">
        <f>'CF-ACPL（合并）'!A27</f>
        <v>支付的其他与经营活动有关的现金（其他）</v>
      </c>
      <c r="E23" s="171"/>
      <c r="F23" s="172" t="s">
        <v>2817</v>
      </c>
      <c r="G23" s="172"/>
      <c r="H23" s="77" t="s">
        <v>2613</v>
      </c>
      <c r="I23" s="173" t="s">
        <v>2614</v>
      </c>
      <c r="J23" s="173" t="s">
        <v>2368</v>
      </c>
      <c r="K23" s="77"/>
      <c r="L23" s="175">
        <v>45658</v>
      </c>
      <c r="M23" s="175">
        <v>46022</v>
      </c>
      <c r="N23" s="176">
        <f t="shared" si="20"/>
        <v>12</v>
      </c>
      <c r="O23" s="177">
        <f>IF(AND($L23&lt;=O$3,O$3&lt;=$M23),$K23/$N23*HLOOKUP(O$3,'FX Lookup'!$A$2:$Y$4,3,FALSE),0)</f>
        <v>0</v>
      </c>
      <c r="P23" s="177">
        <f>IF(AND($L23&lt;=P$3,P$3&lt;=$M23),$K23/$N23*HLOOKUP(P$3,'FX Lookup'!$A$2:$Y$4,3,FALSE),0)</f>
        <v>0</v>
      </c>
      <c r="Q23" s="177">
        <f>IF(AND($L23&lt;=Q$3,Q$3&lt;=$M23),$K23/$N23*HLOOKUP(Q$3,'FX Lookup'!$A$2:$Y$4,3,FALSE),0)</f>
        <v>0</v>
      </c>
      <c r="R23" s="177">
        <f>IF(AND($L23&lt;=R$3,R$3&lt;=$M23),$K23/$N23*HLOOKUP(R$3,'FX Lookup'!$A$2:$Y$4,3,FALSE),0)</f>
        <v>0</v>
      </c>
      <c r="S23" s="177">
        <f>IF(AND($L23&lt;=S$3,S$3&lt;=$M23),$K23/$N23*HLOOKUP(S$3,'FX Lookup'!$A$2:$Y$4,3,FALSE),0)</f>
        <v>0</v>
      </c>
      <c r="T23" s="177">
        <f>IF(AND($L23&lt;=T$3,T$3&lt;=$M23),$K23/$N23*HLOOKUP(T$3,'FX Lookup'!$A$2:$Y$4,3,FALSE),0)</f>
        <v>0</v>
      </c>
      <c r="U23" s="177">
        <f>IF(AND($L23&lt;=U$3,U$3&lt;=$M23),$K23/$N23*HLOOKUP(U$3,'FX Lookup'!$A$2:$Y$4,3,FALSE),0)</f>
        <v>0</v>
      </c>
      <c r="V23" s="177">
        <f>IF(AND($L23&lt;=V$3,V$3&lt;=$M23),$K23/$N23*HLOOKUP(V$3,'FX Lookup'!$A$2:$Y$4,3,FALSE),0)</f>
        <v>0</v>
      </c>
      <c r="W23" s="177">
        <f>IF(AND($L23&lt;=W$3,W$3&lt;=$M23),$K23/$N23*HLOOKUP(W$3,'FX Lookup'!$A$2:$Y$4,3,FALSE),0)</f>
        <v>0</v>
      </c>
      <c r="X23" s="177">
        <f>IF(AND($L23&lt;=X$3,X$3&lt;=$M23),$K23/$N23*HLOOKUP(X$3,'FX Lookup'!$A$2:$Y$4,3,FALSE),0)</f>
        <v>0</v>
      </c>
      <c r="Y23" s="177">
        <f>IF(AND($L23&lt;=Y$3,Y$3&lt;=$M23),$K23/$N23*HLOOKUP(Y$3,'FX Lookup'!$A$2:$Y$4,3,FALSE),0)</f>
        <v>0</v>
      </c>
      <c r="Z23" s="177">
        <f>IF(AND($L23&lt;=Z$3,Z$3&lt;=$M23),$K23/$N23*HLOOKUP(Z$3,'FX Lookup'!$A$2:$Y$4,3,FALSE),0)</f>
        <v>0</v>
      </c>
      <c r="AA23" s="178">
        <f t="shared" si="16"/>
        <v>0</v>
      </c>
      <c r="AB23" s="173" t="s">
        <v>2368</v>
      </c>
      <c r="AC23" s="77"/>
      <c r="AD23" s="175">
        <v>46023</v>
      </c>
      <c r="AE23" s="175">
        <v>46387</v>
      </c>
      <c r="AF23" s="176">
        <f t="shared" si="1"/>
        <v>12</v>
      </c>
      <c r="AG23" s="177">
        <f>IF(AND($AD23&lt;=AG$3,AG$3&lt;=$AE23),$AC23/$AF23*HLOOKUP(AG$3,'FX Lookup'!$A$2:$Y$4,3,FALSE),0)</f>
        <v>0</v>
      </c>
      <c r="AH23" s="177">
        <f>IF(AND($AD23&lt;=AH$3,AH$3&lt;=$AE23),$AC23/$AF23*HLOOKUP(AH$3,'FX Lookup'!$A$2:$Y$4,3,FALSE),0)</f>
        <v>0</v>
      </c>
      <c r="AI23" s="177">
        <f>IF(AND($AD23&lt;=AI$3,AI$3&lt;=$AE23),$AC23/$AF23*HLOOKUP(AI$3,'FX Lookup'!$A$2:$Y$4,3,FALSE),0)</f>
        <v>0</v>
      </c>
      <c r="AJ23" s="177">
        <f>IF(AND($AD23&lt;=AJ$3,AJ$3&lt;=$AE23),$AC23/$AF23*HLOOKUP(AJ$3,'FX Lookup'!$A$2:$Y$4,3,FALSE),0)</f>
        <v>0</v>
      </c>
      <c r="AK23" s="177">
        <f>IF(AND($AD23&lt;=AK$3,AK$3&lt;=$AE23),$AC23/$AF23*HLOOKUP(AK$3,'FX Lookup'!$A$2:$Y$4,3,FALSE),0)</f>
        <v>0</v>
      </c>
      <c r="AL23" s="177">
        <f>IF(AND($AD23&lt;=AL$3,AL$3&lt;=$AE23),$AC23/$AF23*HLOOKUP(AL$3,'FX Lookup'!$A$2:$Y$4,3,FALSE),0)</f>
        <v>0</v>
      </c>
      <c r="AM23" s="177">
        <f>IF(AND($AD23&lt;=AM$3,AM$3&lt;=$AE23),$AC23/$AF23*HLOOKUP(AM$3,'FX Lookup'!$A$2:$Y$4,3,FALSE),0)</f>
        <v>0</v>
      </c>
      <c r="AN23" s="177">
        <f>IF(AND($AD23&lt;=AN$3,AN$3&lt;=$AE23),$AC23/$AF23*HLOOKUP(AN$3,'FX Lookup'!$A$2:$Y$4,3,FALSE),0)</f>
        <v>0</v>
      </c>
      <c r="AO23" s="177">
        <f>IF(AND($AD23&lt;=AO$3,AO$3&lt;=$AE23),$AC23/$AF23*HLOOKUP(AO$3,'FX Lookup'!$A$2:$Y$4,3,FALSE),0)</f>
        <v>0</v>
      </c>
      <c r="AP23" s="177">
        <f>IF(AND($AD23&lt;=AP$3,AP$3&lt;=$AE23),$AC23/$AF23*HLOOKUP(AP$3,'FX Lookup'!$A$2:$Y$4,3,FALSE),0)</f>
        <v>0</v>
      </c>
      <c r="AQ23" s="177">
        <f>IF(AND($AD23&lt;=AQ$3,AQ$3&lt;=$AE23),$AC23/$AF23*HLOOKUP(AQ$3,'FX Lookup'!$A$2:$Y$4,3,FALSE),0)</f>
        <v>0</v>
      </c>
      <c r="AR23" s="177">
        <f>IF(AND($AD23&lt;=AR$3,AR$3&lt;=$AE23),$AC23/$AF23*HLOOKUP(AR$3,'FX Lookup'!$A$2:$Y$4,3,FALSE),0)</f>
        <v>0</v>
      </c>
      <c r="AS23" s="178">
        <f t="shared" si="17"/>
        <v>0</v>
      </c>
      <c r="AU23" s="177">
        <f t="shared" si="2"/>
        <v>0</v>
      </c>
      <c r="AV23" s="177">
        <f t="shared" si="3"/>
        <v>0</v>
      </c>
      <c r="AW23" s="177">
        <f t="shared" si="4"/>
        <v>0</v>
      </c>
      <c r="AX23" s="177">
        <f t="shared" si="5"/>
        <v>0</v>
      </c>
      <c r="AY23" s="177">
        <f t="shared" si="6"/>
        <v>0</v>
      </c>
      <c r="AZ23" s="177">
        <f t="shared" si="7"/>
        <v>0</v>
      </c>
      <c r="BA23" s="177">
        <f t="shared" si="8"/>
        <v>0</v>
      </c>
      <c r="BB23" s="177">
        <f t="shared" si="9"/>
        <v>0</v>
      </c>
      <c r="BC23" s="177">
        <f t="shared" si="10"/>
        <v>0</v>
      </c>
      <c r="BD23" s="177">
        <f t="shared" si="11"/>
        <v>0</v>
      </c>
      <c r="BE23" s="177">
        <f t="shared" si="12"/>
        <v>0</v>
      </c>
      <c r="BF23" s="177">
        <f t="shared" si="13"/>
        <v>0</v>
      </c>
      <c r="BG23" s="178">
        <f t="shared" si="18"/>
        <v>0</v>
      </c>
    </row>
    <row r="24" spans="1:59" ht="13.5" customHeight="1">
      <c r="A24" s="171">
        <f t="shared" si="19"/>
        <v>19</v>
      </c>
      <c r="B24" s="171" t="s">
        <v>2110</v>
      </c>
      <c r="C24" s="171" t="s">
        <v>1549</v>
      </c>
      <c r="D24" s="171" t="str">
        <f>'CF-ACPL（合并）'!A27</f>
        <v>支付的其他与经营活动有关的现金（其他）</v>
      </c>
      <c r="E24" s="171"/>
      <c r="F24" s="172" t="s">
        <v>1551</v>
      </c>
      <c r="G24" s="172"/>
      <c r="H24" s="77" t="s">
        <v>2613</v>
      </c>
      <c r="I24" s="173" t="s">
        <v>2614</v>
      </c>
      <c r="J24" s="173" t="s">
        <v>2368</v>
      </c>
      <c r="K24" s="77"/>
      <c r="L24" s="175">
        <v>45658</v>
      </c>
      <c r="M24" s="175">
        <v>46022</v>
      </c>
      <c r="N24" s="176">
        <f t="shared" si="20"/>
        <v>12</v>
      </c>
      <c r="O24" s="177">
        <f>IF(AND($L24&lt;=O$3,O$3&lt;=$M24),$K24/$N24*HLOOKUP(O$3,'FX Lookup'!$A$2:$Y$4,3,FALSE),0)</f>
        <v>0</v>
      </c>
      <c r="P24" s="177">
        <f>IF(AND($L24&lt;=P$3,P$3&lt;=$M24),$K24/$N24*HLOOKUP(P$3,'FX Lookup'!$A$2:$Y$4,3,FALSE),0)</f>
        <v>0</v>
      </c>
      <c r="Q24" s="177">
        <f>IF(AND($L24&lt;=Q$3,Q$3&lt;=$M24),$K24/$N24*HLOOKUP(Q$3,'FX Lookup'!$A$2:$Y$4,3,FALSE),0)</f>
        <v>0</v>
      </c>
      <c r="R24" s="177">
        <f>IF(AND($L24&lt;=R$3,R$3&lt;=$M24),$K24/$N24*HLOOKUP(R$3,'FX Lookup'!$A$2:$Y$4,3,FALSE),0)</f>
        <v>0</v>
      </c>
      <c r="S24" s="177">
        <f>IF(AND($L24&lt;=S$3,S$3&lt;=$M24),$K24/$N24*HLOOKUP(S$3,'FX Lookup'!$A$2:$Y$4,3,FALSE),0)</f>
        <v>0</v>
      </c>
      <c r="T24" s="177">
        <f>IF(AND($L24&lt;=T$3,T$3&lt;=$M24),$K24/$N24*HLOOKUP(T$3,'FX Lookup'!$A$2:$Y$4,3,FALSE),0)</f>
        <v>0</v>
      </c>
      <c r="U24" s="177">
        <f>IF(AND($L24&lt;=U$3,U$3&lt;=$M24),$K24/$N24*HLOOKUP(U$3,'FX Lookup'!$A$2:$Y$4,3,FALSE),0)</f>
        <v>0</v>
      </c>
      <c r="V24" s="177">
        <f>IF(AND($L24&lt;=V$3,V$3&lt;=$M24),$K24/$N24*HLOOKUP(V$3,'FX Lookup'!$A$2:$Y$4,3,FALSE),0)</f>
        <v>0</v>
      </c>
      <c r="W24" s="177">
        <f>IF(AND($L24&lt;=W$3,W$3&lt;=$M24),$K24/$N24*HLOOKUP(W$3,'FX Lookup'!$A$2:$Y$4,3,FALSE),0)</f>
        <v>0</v>
      </c>
      <c r="X24" s="177">
        <f>IF(AND($L24&lt;=X$3,X$3&lt;=$M24),$K24/$N24*HLOOKUP(X$3,'FX Lookup'!$A$2:$Y$4,3,FALSE),0)</f>
        <v>0</v>
      </c>
      <c r="Y24" s="177">
        <f>IF(AND($L24&lt;=Y$3,Y$3&lt;=$M24),$K24/$N24*HLOOKUP(Y$3,'FX Lookup'!$A$2:$Y$4,3,FALSE),0)</f>
        <v>0</v>
      </c>
      <c r="Z24" s="177">
        <f>IF(AND($L24&lt;=Z$3,Z$3&lt;=$M24),$K24/$N24*HLOOKUP(Z$3,'FX Lookup'!$A$2:$Y$4,3,FALSE),0)</f>
        <v>0</v>
      </c>
      <c r="AA24" s="178">
        <f t="shared" si="16"/>
        <v>0</v>
      </c>
      <c r="AB24" s="173" t="s">
        <v>2368</v>
      </c>
      <c r="AC24" s="77"/>
      <c r="AD24" s="175">
        <v>46023</v>
      </c>
      <c r="AE24" s="175">
        <v>46387</v>
      </c>
      <c r="AF24" s="176">
        <f t="shared" si="1"/>
        <v>12</v>
      </c>
      <c r="AG24" s="177">
        <f>IF(AND($AD24&lt;=AG$3,AG$3&lt;=$AE24),$AC24/$AF24*HLOOKUP(AG$3,'FX Lookup'!$A$2:$Y$4,3,FALSE),0)</f>
        <v>0</v>
      </c>
      <c r="AH24" s="177">
        <f>IF(AND($AD24&lt;=AH$3,AH$3&lt;=$AE24),$AC24/$AF24*HLOOKUP(AH$3,'FX Lookup'!$A$2:$Y$4,3,FALSE),0)</f>
        <v>0</v>
      </c>
      <c r="AI24" s="177">
        <f>IF(AND($AD24&lt;=AI$3,AI$3&lt;=$AE24),$AC24/$AF24*HLOOKUP(AI$3,'FX Lookup'!$A$2:$Y$4,3,FALSE),0)</f>
        <v>0</v>
      </c>
      <c r="AJ24" s="177">
        <f>IF(AND($AD24&lt;=AJ$3,AJ$3&lt;=$AE24),$AC24/$AF24*HLOOKUP(AJ$3,'FX Lookup'!$A$2:$Y$4,3,FALSE),0)</f>
        <v>0</v>
      </c>
      <c r="AK24" s="177">
        <f>IF(AND($AD24&lt;=AK$3,AK$3&lt;=$AE24),$AC24/$AF24*HLOOKUP(AK$3,'FX Lookup'!$A$2:$Y$4,3,FALSE),0)</f>
        <v>0</v>
      </c>
      <c r="AL24" s="177">
        <f>IF(AND($AD24&lt;=AL$3,AL$3&lt;=$AE24),$AC24/$AF24*HLOOKUP(AL$3,'FX Lookup'!$A$2:$Y$4,3,FALSE),0)</f>
        <v>0</v>
      </c>
      <c r="AM24" s="177">
        <f>IF(AND($AD24&lt;=AM$3,AM$3&lt;=$AE24),$AC24/$AF24*HLOOKUP(AM$3,'FX Lookup'!$A$2:$Y$4,3,FALSE),0)</f>
        <v>0</v>
      </c>
      <c r="AN24" s="177">
        <f>IF(AND($AD24&lt;=AN$3,AN$3&lt;=$AE24),$AC24/$AF24*HLOOKUP(AN$3,'FX Lookup'!$A$2:$Y$4,3,FALSE),0)</f>
        <v>0</v>
      </c>
      <c r="AO24" s="177">
        <f>IF(AND($AD24&lt;=AO$3,AO$3&lt;=$AE24),$AC24/$AF24*HLOOKUP(AO$3,'FX Lookup'!$A$2:$Y$4,3,FALSE),0)</f>
        <v>0</v>
      </c>
      <c r="AP24" s="177">
        <f>IF(AND($AD24&lt;=AP$3,AP$3&lt;=$AE24),$AC24/$AF24*HLOOKUP(AP$3,'FX Lookup'!$A$2:$Y$4,3,FALSE),0)</f>
        <v>0</v>
      </c>
      <c r="AQ24" s="177">
        <f>IF(AND($AD24&lt;=AQ$3,AQ$3&lt;=$AE24),$AC24/$AF24*HLOOKUP(AQ$3,'FX Lookup'!$A$2:$Y$4,3,FALSE),0)</f>
        <v>0</v>
      </c>
      <c r="AR24" s="177">
        <f>IF(AND($AD24&lt;=AR$3,AR$3&lt;=$AE24),$AC24/$AF24*HLOOKUP(AR$3,'FX Lookup'!$A$2:$Y$4,3,FALSE),0)</f>
        <v>0</v>
      </c>
      <c r="AS24" s="178">
        <f t="shared" si="17"/>
        <v>0</v>
      </c>
      <c r="AU24" s="177">
        <f t="shared" si="2"/>
        <v>0</v>
      </c>
      <c r="AV24" s="177">
        <f t="shared" si="3"/>
        <v>0</v>
      </c>
      <c r="AW24" s="177">
        <f t="shared" si="4"/>
        <v>0</v>
      </c>
      <c r="AX24" s="177">
        <f t="shared" si="5"/>
        <v>0</v>
      </c>
      <c r="AY24" s="177">
        <f t="shared" si="6"/>
        <v>0</v>
      </c>
      <c r="AZ24" s="177">
        <f t="shared" si="7"/>
        <v>0</v>
      </c>
      <c r="BA24" s="177">
        <f t="shared" si="8"/>
        <v>0</v>
      </c>
      <c r="BB24" s="177">
        <f t="shared" si="9"/>
        <v>0</v>
      </c>
      <c r="BC24" s="177">
        <f t="shared" si="10"/>
        <v>0</v>
      </c>
      <c r="BD24" s="177">
        <f t="shared" si="11"/>
        <v>0</v>
      </c>
      <c r="BE24" s="177">
        <f t="shared" si="12"/>
        <v>0</v>
      </c>
      <c r="BF24" s="177">
        <f t="shared" si="13"/>
        <v>0</v>
      </c>
      <c r="BG24" s="178">
        <f t="shared" si="18"/>
        <v>0</v>
      </c>
    </row>
    <row r="25" spans="1:59" ht="13.5" customHeight="1">
      <c r="A25" s="171">
        <f t="shared" si="19"/>
        <v>20</v>
      </c>
      <c r="B25" s="171" t="s">
        <v>2110</v>
      </c>
      <c r="C25" s="171" t="s">
        <v>1867</v>
      </c>
      <c r="D25" s="171" t="str">
        <f>'CF-ACPL（合并）'!A27</f>
        <v>支付的其他与经营活动有关的现金（其他）</v>
      </c>
      <c r="E25" s="171"/>
      <c r="F25" s="172" t="s">
        <v>2812</v>
      </c>
      <c r="G25" s="172"/>
      <c r="H25" s="77" t="s">
        <v>2613</v>
      </c>
      <c r="I25" s="173" t="s">
        <v>2614</v>
      </c>
      <c r="J25" s="173" t="s">
        <v>2368</v>
      </c>
      <c r="K25" s="77"/>
      <c r="L25" s="175">
        <v>45658</v>
      </c>
      <c r="M25" s="175">
        <v>46022</v>
      </c>
      <c r="N25" s="176">
        <f t="shared" si="20"/>
        <v>12</v>
      </c>
      <c r="O25" s="177">
        <f>IF(AND($L25&lt;=O$3,O$3&lt;=$M25),$K25/$N25*HLOOKUP(O$3,'FX Lookup'!$A$2:$Y$4,3,FALSE),0)</f>
        <v>0</v>
      </c>
      <c r="P25" s="177">
        <f>IF(AND($L25&lt;=P$3,P$3&lt;=$M25),$K25/$N25*HLOOKUP(P$3,'FX Lookup'!$A$2:$Y$4,3,FALSE),0)</f>
        <v>0</v>
      </c>
      <c r="Q25" s="177">
        <f>IF(AND($L25&lt;=Q$3,Q$3&lt;=$M25),$K25/$N25*HLOOKUP(Q$3,'FX Lookup'!$A$2:$Y$4,3,FALSE),0)</f>
        <v>0</v>
      </c>
      <c r="R25" s="177">
        <f>IF(AND($L25&lt;=R$3,R$3&lt;=$M25),$K25/$N25*HLOOKUP(R$3,'FX Lookup'!$A$2:$Y$4,3,FALSE),0)</f>
        <v>0</v>
      </c>
      <c r="S25" s="177">
        <f>IF(AND($L25&lt;=S$3,S$3&lt;=$M25),$K25/$N25*HLOOKUP(S$3,'FX Lookup'!$A$2:$Y$4,3,FALSE),0)</f>
        <v>0</v>
      </c>
      <c r="T25" s="177">
        <f>IF(AND($L25&lt;=T$3,T$3&lt;=$M25),$K25/$N25*HLOOKUP(T$3,'FX Lookup'!$A$2:$Y$4,3,FALSE),0)</f>
        <v>0</v>
      </c>
      <c r="U25" s="177">
        <f>IF(AND($L25&lt;=U$3,U$3&lt;=$M25),$K25/$N25*HLOOKUP(U$3,'FX Lookup'!$A$2:$Y$4,3,FALSE),0)</f>
        <v>0</v>
      </c>
      <c r="V25" s="177">
        <f>IF(AND($L25&lt;=V$3,V$3&lt;=$M25),$K25/$N25*HLOOKUP(V$3,'FX Lookup'!$A$2:$Y$4,3,FALSE),0)</f>
        <v>0</v>
      </c>
      <c r="W25" s="177">
        <f>IF(AND($L25&lt;=W$3,W$3&lt;=$M25),$K25/$N25*HLOOKUP(W$3,'FX Lookup'!$A$2:$Y$4,3,FALSE),0)</f>
        <v>0</v>
      </c>
      <c r="X25" s="177">
        <f>IF(AND($L25&lt;=X$3,X$3&lt;=$M25),$K25/$N25*HLOOKUP(X$3,'FX Lookup'!$A$2:$Y$4,3,FALSE),0)</f>
        <v>0</v>
      </c>
      <c r="Y25" s="177">
        <f>IF(AND($L25&lt;=Y$3,Y$3&lt;=$M25),$K25/$N25*HLOOKUP(Y$3,'FX Lookup'!$A$2:$Y$4,3,FALSE),0)</f>
        <v>0</v>
      </c>
      <c r="Z25" s="177">
        <f>IF(AND($L25&lt;=Z$3,Z$3&lt;=$M25),$K25/$N25*HLOOKUP(Z$3,'FX Lookup'!$A$2:$Y$4,3,FALSE),0)</f>
        <v>0</v>
      </c>
      <c r="AA25" s="178">
        <f t="shared" si="16"/>
        <v>0</v>
      </c>
      <c r="AB25" s="173" t="s">
        <v>2368</v>
      </c>
      <c r="AC25" s="77"/>
      <c r="AD25" s="175">
        <v>46023</v>
      </c>
      <c r="AE25" s="175">
        <v>46387</v>
      </c>
      <c r="AF25" s="176">
        <f t="shared" si="1"/>
        <v>12</v>
      </c>
      <c r="AG25" s="177">
        <f>IF(AND($AD25&lt;=AG$3,AG$3&lt;=$AE25),$AC25/$AF25*HLOOKUP(AG$3,'FX Lookup'!$A$2:$Y$4,3,FALSE),0)</f>
        <v>0</v>
      </c>
      <c r="AH25" s="177">
        <f>IF(AND($AD25&lt;=AH$3,AH$3&lt;=$AE25),$AC25/$AF25*HLOOKUP(AH$3,'FX Lookup'!$A$2:$Y$4,3,FALSE),0)</f>
        <v>0</v>
      </c>
      <c r="AI25" s="177">
        <f>IF(AND($AD25&lt;=AI$3,AI$3&lt;=$AE25),$AC25/$AF25*HLOOKUP(AI$3,'FX Lookup'!$A$2:$Y$4,3,FALSE),0)</f>
        <v>0</v>
      </c>
      <c r="AJ25" s="177">
        <f>IF(AND($AD25&lt;=AJ$3,AJ$3&lt;=$AE25),$AC25/$AF25*HLOOKUP(AJ$3,'FX Lookup'!$A$2:$Y$4,3,FALSE),0)</f>
        <v>0</v>
      </c>
      <c r="AK25" s="177">
        <f>IF(AND($AD25&lt;=AK$3,AK$3&lt;=$AE25),$AC25/$AF25*HLOOKUP(AK$3,'FX Lookup'!$A$2:$Y$4,3,FALSE),0)</f>
        <v>0</v>
      </c>
      <c r="AL25" s="177">
        <f>IF(AND($AD25&lt;=AL$3,AL$3&lt;=$AE25),$AC25/$AF25*HLOOKUP(AL$3,'FX Lookup'!$A$2:$Y$4,3,FALSE),0)</f>
        <v>0</v>
      </c>
      <c r="AM25" s="177">
        <f>IF(AND($AD25&lt;=AM$3,AM$3&lt;=$AE25),$AC25/$AF25*HLOOKUP(AM$3,'FX Lookup'!$A$2:$Y$4,3,FALSE),0)</f>
        <v>0</v>
      </c>
      <c r="AN25" s="177">
        <f>IF(AND($AD25&lt;=AN$3,AN$3&lt;=$AE25),$AC25/$AF25*HLOOKUP(AN$3,'FX Lookup'!$A$2:$Y$4,3,FALSE),0)</f>
        <v>0</v>
      </c>
      <c r="AO25" s="177">
        <f>IF(AND($AD25&lt;=AO$3,AO$3&lt;=$AE25),$AC25/$AF25*HLOOKUP(AO$3,'FX Lookup'!$A$2:$Y$4,3,FALSE),0)</f>
        <v>0</v>
      </c>
      <c r="AP25" s="177">
        <f>IF(AND($AD25&lt;=AP$3,AP$3&lt;=$AE25),$AC25/$AF25*HLOOKUP(AP$3,'FX Lookup'!$A$2:$Y$4,3,FALSE),0)</f>
        <v>0</v>
      </c>
      <c r="AQ25" s="177">
        <f>IF(AND($AD25&lt;=AQ$3,AQ$3&lt;=$AE25),$AC25/$AF25*HLOOKUP(AQ$3,'FX Lookup'!$A$2:$Y$4,3,FALSE),0)</f>
        <v>0</v>
      </c>
      <c r="AR25" s="177">
        <f>IF(AND($AD25&lt;=AR$3,AR$3&lt;=$AE25),$AC25/$AF25*HLOOKUP(AR$3,'FX Lookup'!$A$2:$Y$4,3,FALSE),0)</f>
        <v>0</v>
      </c>
      <c r="AS25" s="178">
        <f t="shared" si="17"/>
        <v>0</v>
      </c>
      <c r="AU25" s="177">
        <f t="shared" si="2"/>
        <v>0</v>
      </c>
      <c r="AV25" s="177">
        <f t="shared" si="3"/>
        <v>0</v>
      </c>
      <c r="AW25" s="177">
        <f t="shared" si="4"/>
        <v>0</v>
      </c>
      <c r="AX25" s="177">
        <f t="shared" si="5"/>
        <v>0</v>
      </c>
      <c r="AY25" s="177">
        <f t="shared" si="6"/>
        <v>0</v>
      </c>
      <c r="AZ25" s="177">
        <f t="shared" si="7"/>
        <v>0</v>
      </c>
      <c r="BA25" s="177">
        <f t="shared" si="8"/>
        <v>0</v>
      </c>
      <c r="BB25" s="177">
        <f t="shared" si="9"/>
        <v>0</v>
      </c>
      <c r="BC25" s="177">
        <f t="shared" si="10"/>
        <v>0</v>
      </c>
      <c r="BD25" s="177">
        <f t="shared" si="11"/>
        <v>0</v>
      </c>
      <c r="BE25" s="177">
        <f t="shared" si="12"/>
        <v>0</v>
      </c>
      <c r="BF25" s="177">
        <f t="shared" si="13"/>
        <v>0</v>
      </c>
      <c r="BG25" s="178">
        <f t="shared" si="18"/>
        <v>0</v>
      </c>
    </row>
    <row r="26" spans="1:59">
      <c r="K26" s="153"/>
      <c r="O26" s="179"/>
      <c r="P26" s="179"/>
      <c r="Q26" s="179"/>
      <c r="R26" s="179"/>
      <c r="S26" s="179"/>
      <c r="T26" s="179"/>
      <c r="U26" s="179"/>
      <c r="V26" s="179"/>
      <c r="W26" s="179"/>
      <c r="X26" s="179"/>
      <c r="Y26" s="179"/>
      <c r="Z26" s="179"/>
      <c r="AA26" s="179"/>
      <c r="AC26" s="153"/>
      <c r="AG26" s="179"/>
      <c r="AH26" s="179"/>
      <c r="AI26" s="179"/>
      <c r="AJ26" s="179"/>
      <c r="AK26" s="179"/>
      <c r="AL26" s="179"/>
      <c r="AM26" s="179"/>
      <c r="AN26" s="179"/>
      <c r="AO26" s="179"/>
      <c r="AP26" s="179"/>
      <c r="AQ26" s="179"/>
      <c r="AR26" s="179"/>
      <c r="AS26" s="179"/>
      <c r="AU26" s="179"/>
      <c r="AV26" s="179"/>
      <c r="AW26" s="179"/>
      <c r="AX26" s="179"/>
      <c r="AY26" s="179"/>
      <c r="AZ26" s="179"/>
      <c r="BA26" s="179"/>
      <c r="BB26" s="179"/>
      <c r="BC26" s="179"/>
      <c r="BD26" s="179"/>
      <c r="BE26" s="179"/>
      <c r="BF26" s="179"/>
      <c r="BG26" s="179"/>
    </row>
    <row r="27" spans="1:59" s="151" customFormat="1" ht="13.5" thickBot="1">
      <c r="K27" s="180"/>
      <c r="L27" s="180"/>
      <c r="M27" s="180"/>
      <c r="O27" s="181">
        <f>SUM(O6:O26)</f>
        <v>7939.721333333333</v>
      </c>
      <c r="P27" s="181">
        <f t="shared" ref="P27:Z27" si="21">SUM(P6:P26)</f>
        <v>7939.721333333333</v>
      </c>
      <c r="Q27" s="181">
        <f t="shared" si="21"/>
        <v>7939.721333333333</v>
      </c>
      <c r="R27" s="181">
        <f t="shared" si="21"/>
        <v>7939.721333333333</v>
      </c>
      <c r="S27" s="181">
        <f t="shared" si="21"/>
        <v>7939.721333333333</v>
      </c>
      <c r="T27" s="181">
        <f t="shared" si="21"/>
        <v>7939.721333333333</v>
      </c>
      <c r="U27" s="181">
        <f t="shared" si="21"/>
        <v>7939.721333333333</v>
      </c>
      <c r="V27" s="181">
        <f t="shared" si="21"/>
        <v>12681.326033333333</v>
      </c>
      <c r="W27" s="181">
        <f t="shared" si="21"/>
        <v>7939.721333333333</v>
      </c>
      <c r="X27" s="181">
        <f t="shared" si="21"/>
        <v>16587.622133333334</v>
      </c>
      <c r="Y27" s="181">
        <f t="shared" si="21"/>
        <v>7939.721333333333</v>
      </c>
      <c r="Z27" s="181">
        <f t="shared" si="21"/>
        <v>7939.721333333333</v>
      </c>
      <c r="AA27" s="182">
        <f>SUBTOTAL(9,O27:Z27)</f>
        <v>108666.16150000002</v>
      </c>
      <c r="AC27" s="181">
        <f>SUM(AC6:AC26)</f>
        <v>116106.25</v>
      </c>
      <c r="AD27" s="180"/>
      <c r="AE27" s="180"/>
      <c r="AG27" s="181">
        <f>SUM(AG6:AG26)</f>
        <v>7925.824486458333</v>
      </c>
      <c r="AH27" s="181">
        <f t="shared" ref="AH27:AR27" si="22">SUM(AH6:AH26)</f>
        <v>7856.4504791666668</v>
      </c>
      <c r="AI27" s="181">
        <f t="shared" si="22"/>
        <v>7856.4504791666668</v>
      </c>
      <c r="AJ27" s="181">
        <f t="shared" si="22"/>
        <v>7856.4504791666668</v>
      </c>
      <c r="AK27" s="181">
        <f t="shared" si="22"/>
        <v>7856.4504791666668</v>
      </c>
      <c r="AL27" s="181">
        <f t="shared" si="22"/>
        <v>7856.4504791666668</v>
      </c>
      <c r="AM27" s="181">
        <f t="shared" si="22"/>
        <v>7856.4504791666668</v>
      </c>
      <c r="AN27" s="181">
        <f t="shared" si="22"/>
        <v>7856.4504791666668</v>
      </c>
      <c r="AO27" s="181">
        <f t="shared" si="22"/>
        <v>7856.4504791666668</v>
      </c>
      <c r="AP27" s="181">
        <f t="shared" si="22"/>
        <v>16007.978479166668</v>
      </c>
      <c r="AQ27" s="181">
        <f t="shared" si="22"/>
        <v>7856.4504791666668</v>
      </c>
      <c r="AR27" s="181">
        <f t="shared" si="22"/>
        <v>7856.4504791666668</v>
      </c>
      <c r="AS27" s="182">
        <f>SUBTOTAL(9,AG27:AR27)</f>
        <v>102498.30775729168</v>
      </c>
      <c r="AU27" s="181">
        <f>SUM(AU6:AU26)</f>
        <v>8322.1157107812505</v>
      </c>
      <c r="AV27" s="181">
        <f t="shared" ref="AV27:BF27" si="23">SUM(AV6:AV26)</f>
        <v>8249.2730031250012</v>
      </c>
      <c r="AW27" s="181">
        <f t="shared" si="23"/>
        <v>8249.2730031250012</v>
      </c>
      <c r="AX27" s="181">
        <f t="shared" si="23"/>
        <v>8249.2730031250012</v>
      </c>
      <c r="AY27" s="181">
        <f t="shared" si="23"/>
        <v>8249.2730031250012</v>
      </c>
      <c r="AZ27" s="181">
        <f t="shared" si="23"/>
        <v>8249.2730031250012</v>
      </c>
      <c r="BA27" s="181">
        <f t="shared" si="23"/>
        <v>8249.2730031250012</v>
      </c>
      <c r="BB27" s="181">
        <f t="shared" si="23"/>
        <v>8249.2730031250012</v>
      </c>
      <c r="BC27" s="181">
        <f t="shared" si="23"/>
        <v>8249.2730031250012</v>
      </c>
      <c r="BD27" s="181">
        <f t="shared" si="23"/>
        <v>16808.377403125</v>
      </c>
      <c r="BE27" s="181">
        <f t="shared" si="23"/>
        <v>8249.2730031250012</v>
      </c>
      <c r="BF27" s="181">
        <f t="shared" si="23"/>
        <v>8249.2730031250012</v>
      </c>
      <c r="BG27" s="182">
        <f>SUBTOTAL(9,AU27:BF27)</f>
        <v>107623.22314515625</v>
      </c>
    </row>
    <row r="28" spans="1:59" ht="13.5" thickTop="1">
      <c r="K28" s="153"/>
      <c r="O28" s="179"/>
      <c r="P28" s="179"/>
      <c r="Q28" s="179"/>
      <c r="R28" s="179"/>
      <c r="S28" s="179"/>
      <c r="T28" s="179"/>
      <c r="U28" s="179"/>
      <c r="V28" s="179"/>
      <c r="W28" s="179"/>
      <c r="X28" s="179"/>
      <c r="Y28" s="179"/>
      <c r="Z28" s="179"/>
      <c r="AC28" s="153"/>
      <c r="AG28" s="179"/>
      <c r="AH28" s="179"/>
      <c r="AI28" s="179"/>
      <c r="AJ28" s="179"/>
      <c r="AK28" s="179"/>
      <c r="AL28" s="179"/>
      <c r="AM28" s="179"/>
      <c r="AN28" s="179"/>
      <c r="AO28" s="179"/>
      <c r="AP28" s="179"/>
      <c r="AQ28" s="179"/>
      <c r="AR28" s="179"/>
      <c r="AU28" s="179"/>
      <c r="AV28" s="179"/>
      <c r="AW28" s="179"/>
      <c r="AX28" s="179"/>
      <c r="AY28" s="179"/>
      <c r="AZ28" s="179"/>
      <c r="BA28" s="179"/>
      <c r="BB28" s="179"/>
      <c r="BC28" s="179"/>
      <c r="BD28" s="179"/>
      <c r="BE28" s="179"/>
      <c r="BF28" s="179"/>
    </row>
    <row r="29" spans="1:59" s="150" customFormat="1" ht="13.5" customHeight="1">
      <c r="A29" s="162"/>
      <c r="B29" s="162" t="s">
        <v>2598</v>
      </c>
      <c r="C29" s="162" t="s">
        <v>2704</v>
      </c>
      <c r="D29" s="162" t="s">
        <v>2602</v>
      </c>
      <c r="E29" s="162" t="s">
        <v>2401</v>
      </c>
      <c r="F29" s="163" t="s">
        <v>2930</v>
      </c>
      <c r="G29" s="163" t="s">
        <v>2603</v>
      </c>
      <c r="H29" s="164" t="s">
        <v>2604</v>
      </c>
      <c r="I29" s="164" t="s">
        <v>2605</v>
      </c>
      <c r="J29" s="165" t="s">
        <v>2606</v>
      </c>
      <c r="K29" s="166" t="s">
        <v>2607</v>
      </c>
      <c r="L29" s="167" t="s">
        <v>2608</v>
      </c>
      <c r="M29" s="167" t="s">
        <v>2609</v>
      </c>
      <c r="N29" s="166" t="s">
        <v>2610</v>
      </c>
      <c r="O29" s="69">
        <v>45658</v>
      </c>
      <c r="P29" s="69">
        <v>45689</v>
      </c>
      <c r="Q29" s="69">
        <v>45717</v>
      </c>
      <c r="R29" s="69">
        <v>45748</v>
      </c>
      <c r="S29" s="69">
        <v>45778</v>
      </c>
      <c r="T29" s="69">
        <v>45809</v>
      </c>
      <c r="U29" s="69">
        <v>45839</v>
      </c>
      <c r="V29" s="69">
        <v>45870</v>
      </c>
      <c r="W29" s="69">
        <v>45901</v>
      </c>
      <c r="X29" s="69">
        <v>45931</v>
      </c>
      <c r="Y29" s="69">
        <v>45962</v>
      </c>
      <c r="Z29" s="69">
        <v>45992</v>
      </c>
      <c r="AA29" s="168" t="s">
        <v>2115</v>
      </c>
      <c r="AB29" s="165" t="s">
        <v>2606</v>
      </c>
      <c r="AC29" s="166" t="s">
        <v>2607</v>
      </c>
      <c r="AD29" s="167" t="s">
        <v>2608</v>
      </c>
      <c r="AE29" s="167" t="s">
        <v>2609</v>
      </c>
      <c r="AF29" s="166" t="s">
        <v>2610</v>
      </c>
      <c r="AG29" s="69">
        <v>46023</v>
      </c>
      <c r="AH29" s="69">
        <v>46054</v>
      </c>
      <c r="AI29" s="69">
        <v>46082</v>
      </c>
      <c r="AJ29" s="69">
        <v>46113</v>
      </c>
      <c r="AK29" s="69">
        <v>46143</v>
      </c>
      <c r="AL29" s="69">
        <v>46174</v>
      </c>
      <c r="AM29" s="69">
        <v>46204</v>
      </c>
      <c r="AN29" s="69">
        <v>46235</v>
      </c>
      <c r="AO29" s="69">
        <v>46266</v>
      </c>
      <c r="AP29" s="69">
        <v>46296</v>
      </c>
      <c r="AQ29" s="69">
        <v>46327</v>
      </c>
      <c r="AR29" s="69">
        <v>46357</v>
      </c>
      <c r="AS29" s="168" t="s">
        <v>2706</v>
      </c>
      <c r="AU29" s="69">
        <f t="shared" ref="AU29:BG29" si="24">AU3</f>
        <v>46388</v>
      </c>
      <c r="AV29" s="69">
        <f t="shared" si="24"/>
        <v>46419</v>
      </c>
      <c r="AW29" s="69">
        <f t="shared" si="24"/>
        <v>46447</v>
      </c>
      <c r="AX29" s="69">
        <f t="shared" si="24"/>
        <v>46478</v>
      </c>
      <c r="AY29" s="69">
        <f t="shared" si="24"/>
        <v>46508</v>
      </c>
      <c r="AZ29" s="69">
        <f t="shared" si="24"/>
        <v>46539</v>
      </c>
      <c r="BA29" s="69">
        <f t="shared" si="24"/>
        <v>46569</v>
      </c>
      <c r="BB29" s="69">
        <f t="shared" si="24"/>
        <v>46600</v>
      </c>
      <c r="BC29" s="69">
        <f t="shared" si="24"/>
        <v>46631</v>
      </c>
      <c r="BD29" s="69">
        <f t="shared" si="24"/>
        <v>46661</v>
      </c>
      <c r="BE29" s="69">
        <f t="shared" si="24"/>
        <v>46692</v>
      </c>
      <c r="BF29" s="69">
        <f t="shared" si="24"/>
        <v>46722</v>
      </c>
      <c r="BG29" s="168" t="str">
        <f t="shared" si="24"/>
        <v>2027Total</v>
      </c>
    </row>
    <row r="30" spans="1:59" ht="13.5" customHeight="1">
      <c r="A30" s="171">
        <v>1</v>
      </c>
      <c r="B30" s="171" t="s">
        <v>2109</v>
      </c>
      <c r="C30" s="171" t="s">
        <v>1646</v>
      </c>
      <c r="D30" s="171" t="str">
        <f>$D6</f>
        <v>支付的其他与经营活动有关的现金（其他）</v>
      </c>
      <c r="E30" s="171"/>
      <c r="F30" s="172" t="str">
        <f>IF(F6="","",F6)</f>
        <v>Office Supplies</v>
      </c>
      <c r="G30" s="172"/>
      <c r="H30" s="77" t="s">
        <v>2613</v>
      </c>
      <c r="I30" s="173" t="s">
        <v>2614</v>
      </c>
      <c r="J30" s="173" t="s">
        <v>2368</v>
      </c>
      <c r="K30" s="77"/>
      <c r="L30" s="175">
        <v>45658</v>
      </c>
      <c r="M30" s="175">
        <v>46022</v>
      </c>
      <c r="N30" s="176">
        <f>IF(AND(L30="",M30=""),"-",IF(M30="",12,DATEDIF(L30,M30,"M")+1))</f>
        <v>12</v>
      </c>
      <c r="O30" s="177">
        <f>IF(AND($L30&lt;=O$3,O$3&lt;=$M30),$K30/$N30*HLOOKUP(O$3,'FX Lookup'!$A$2:$Y$4,3,FALSE),0)</f>
        <v>0</v>
      </c>
      <c r="P30" s="177">
        <f>IF(AND($L30&lt;=P$3,P$3&lt;=$M30),$K30/$N30*HLOOKUP(P$3,'FX Lookup'!$A$2:$Y$4,3,FALSE),0)</f>
        <v>0</v>
      </c>
      <c r="Q30" s="177">
        <f>IF(AND($L30&lt;=Q$3,Q$3&lt;=$M30),$K30/$N30*HLOOKUP(Q$3,'FX Lookup'!$A$2:$Y$4,3,FALSE),0)</f>
        <v>0</v>
      </c>
      <c r="R30" s="177">
        <f>IF(AND($L30&lt;=R$3,R$3&lt;=$M30),$K30/$N30*HLOOKUP(R$3,'FX Lookup'!$A$2:$Y$4,3,FALSE),0)</f>
        <v>0</v>
      </c>
      <c r="S30" s="177">
        <f>IF(AND($L30&lt;=S$3,S$3&lt;=$M30),$K30/$N30*HLOOKUP(S$3,'FX Lookup'!$A$2:$Y$4,3,FALSE),0)</f>
        <v>0</v>
      </c>
      <c r="T30" s="177">
        <f>IF(AND($L30&lt;=T$3,T$3&lt;=$M30),$K30/$N30*HLOOKUP(T$3,'FX Lookup'!$A$2:$Y$4,3,FALSE),0)</f>
        <v>0</v>
      </c>
      <c r="U30" s="177">
        <f>IF(AND($L30&lt;=U$3,U$3&lt;=$M30),$K30/$N30*HLOOKUP(U$3,'FX Lookup'!$A$2:$Y$4,3,FALSE),0)</f>
        <v>0</v>
      </c>
      <c r="V30" s="177">
        <f>IF(AND($L30&lt;=V$3,V$3&lt;=$M30),$K30/$N30*HLOOKUP(V$3,'FX Lookup'!$A$2:$Y$4,3,FALSE),0)</f>
        <v>0</v>
      </c>
      <c r="W30" s="177">
        <f>IF(AND($L30&lt;=W$3,W$3&lt;=$M30),$K30/$N30*HLOOKUP(W$3,'FX Lookup'!$A$2:$Y$4,3,FALSE),0)</f>
        <v>0</v>
      </c>
      <c r="X30" s="177">
        <f>IF(AND($L30&lt;=X$3,X$3&lt;=$M30),$K30/$N30*HLOOKUP(X$3,'FX Lookup'!$A$2:$Y$4,3,FALSE),0)</f>
        <v>0</v>
      </c>
      <c r="Y30" s="177">
        <f>IF(AND($L30&lt;=Y$3,Y$3&lt;=$M30),$K30/$N30*HLOOKUP(Y$3,'FX Lookup'!$A$2:$Y$4,3,FALSE),0)</f>
        <v>0</v>
      </c>
      <c r="Z30" s="177">
        <f>IF(AND($L30&lt;=Z$3,Z$3&lt;=$M30),$K30/$N30*HLOOKUP(Z$3,'FX Lookup'!$A$2:$Y$4,3,FALSE),0)</f>
        <v>0</v>
      </c>
      <c r="AA30" s="178">
        <f>SUM(O30:Z30)</f>
        <v>0</v>
      </c>
      <c r="AB30" s="173" t="s">
        <v>2368</v>
      </c>
      <c r="AC30" s="77"/>
      <c r="AD30" s="175">
        <v>46023</v>
      </c>
      <c r="AE30" s="175">
        <v>46387</v>
      </c>
      <c r="AF30" s="176">
        <f t="shared" ref="AF30:AF49" si="25">IF(AND(AD30="",AE30=""),"-",IF(AE30="",12,DATEDIF(AD30,AE30,"M")+1))</f>
        <v>12</v>
      </c>
      <c r="AG30" s="177">
        <f>IF(AND($AD30&lt;=AG$3,AG$3&lt;=$AE30),$AC30/$AF30*HLOOKUP(AG$3,'FX Lookup'!$A$2:$Y$4,3,FALSE),0)</f>
        <v>0</v>
      </c>
      <c r="AH30" s="177">
        <f>IF(AND($AD30&lt;=AH$3,AH$3&lt;=$AE30),$AC30/$AF30*HLOOKUP(AH$3,'FX Lookup'!$A$2:$Y$4,3,FALSE),0)</f>
        <v>0</v>
      </c>
      <c r="AI30" s="177">
        <f>IF(AND($AD30&lt;=AI$3,AI$3&lt;=$AE30),$AC30/$AF30*HLOOKUP(AI$3,'FX Lookup'!$A$2:$Y$4,3,FALSE),0)</f>
        <v>0</v>
      </c>
      <c r="AJ30" s="177">
        <f>IF(AND($AD30&lt;=AJ$3,AJ$3&lt;=$AE30),$AC30/$AF30*HLOOKUP(AJ$3,'FX Lookup'!$A$2:$Y$4,3,FALSE),0)</f>
        <v>0</v>
      </c>
      <c r="AK30" s="177">
        <f>IF(AND($AD30&lt;=AK$3,AK$3&lt;=$AE30),$AC30/$AF30*HLOOKUP(AK$3,'FX Lookup'!$A$2:$Y$4,3,FALSE),0)</f>
        <v>0</v>
      </c>
      <c r="AL30" s="177">
        <f>IF(AND($AD30&lt;=AL$3,AL$3&lt;=$AE30),$AC30/$AF30*HLOOKUP(AL$3,'FX Lookup'!$A$2:$Y$4,3,FALSE),0)</f>
        <v>0</v>
      </c>
      <c r="AM30" s="177">
        <f>IF(AND($AD30&lt;=AM$3,AM$3&lt;=$AE30),$AC30/$AF30*HLOOKUP(AM$3,'FX Lookup'!$A$2:$Y$4,3,FALSE),0)</f>
        <v>0</v>
      </c>
      <c r="AN30" s="177">
        <f>IF(AND($AD30&lt;=AN$3,AN$3&lt;=$AE30),$AC30/$AF30*HLOOKUP(AN$3,'FX Lookup'!$A$2:$Y$4,3,FALSE),0)</f>
        <v>0</v>
      </c>
      <c r="AO30" s="177">
        <f>IF(AND($AD30&lt;=AO$3,AO$3&lt;=$AE30),$AC30/$AF30*HLOOKUP(AO$3,'FX Lookup'!$A$2:$Y$4,3,FALSE),0)</f>
        <v>0</v>
      </c>
      <c r="AP30" s="177">
        <f>IF(AND($AD30&lt;=AP$3,AP$3&lt;=$AE30),$AC30/$AF30*HLOOKUP(AP$3,'FX Lookup'!$A$2:$Y$4,3,FALSE),0)</f>
        <v>0</v>
      </c>
      <c r="AQ30" s="177">
        <f>IF(AND($AD30&lt;=AQ$3,AQ$3&lt;=$AE30),$AC30/$AF30*HLOOKUP(AQ$3,'FX Lookup'!$A$2:$Y$4,3,FALSE),0)</f>
        <v>0</v>
      </c>
      <c r="AR30" s="177">
        <f>IF(AND($AD30&lt;=AR$3,AR$3&lt;=$AE30),$AC30/$AF30*HLOOKUP(AR$3,'FX Lookup'!$A$2:$Y$4,3,FALSE),0)</f>
        <v>0</v>
      </c>
      <c r="AS30" s="178">
        <f t="shared" ref="AS30:AS49" si="26">SUM(AG30:AR30)</f>
        <v>0</v>
      </c>
      <c r="AU30" s="177">
        <f t="shared" ref="AU30:AU49" si="27">AG30*(1+$AU$1)</f>
        <v>0</v>
      </c>
      <c r="AV30" s="177">
        <f t="shared" ref="AV30:AV49" si="28">AH30*(1+$AU$1)</f>
        <v>0</v>
      </c>
      <c r="AW30" s="177">
        <f t="shared" ref="AW30:AW49" si="29">AI30*(1+$AU$1)</f>
        <v>0</v>
      </c>
      <c r="AX30" s="177">
        <f t="shared" ref="AX30:AX49" si="30">AJ30*(1+$AU$1)</f>
        <v>0</v>
      </c>
      <c r="AY30" s="177">
        <f t="shared" ref="AY30:AY49" si="31">AK30*(1+$AU$1)</f>
        <v>0</v>
      </c>
      <c r="AZ30" s="177">
        <f t="shared" ref="AZ30:AZ49" si="32">AL30*(1+$AU$1)</f>
        <v>0</v>
      </c>
      <c r="BA30" s="177">
        <f t="shared" ref="BA30:BA49" si="33">AM30*(1+$AU$1)</f>
        <v>0</v>
      </c>
      <c r="BB30" s="177">
        <f t="shared" ref="BB30:BB49" si="34">AN30*(1+$AU$1)</f>
        <v>0</v>
      </c>
      <c r="BC30" s="177">
        <f t="shared" ref="BC30:BC49" si="35">AO30*(1+$AU$1)</f>
        <v>0</v>
      </c>
      <c r="BD30" s="177">
        <f t="shared" ref="BD30:BD49" si="36">AP30*(1+$AU$1)</f>
        <v>0</v>
      </c>
      <c r="BE30" s="177">
        <f t="shared" ref="BE30:BE49" si="37">AQ30*(1+$AU$1)</f>
        <v>0</v>
      </c>
      <c r="BF30" s="177">
        <f t="shared" ref="BF30:BF49" si="38">AR30*(1+$AU$1)</f>
        <v>0</v>
      </c>
      <c r="BG30" s="178">
        <f t="shared" ref="BG30:BG49" si="39">SUM(AU30:BF30)</f>
        <v>0</v>
      </c>
    </row>
    <row r="31" spans="1:59" ht="13.5" customHeight="1">
      <c r="A31" s="171">
        <f t="shared" ref="A31:A45" si="40">IF(A30&lt;=0,FALSE,A30+1)</f>
        <v>2</v>
      </c>
      <c r="B31" s="171" t="str">
        <f>+B30</f>
        <v>ACPLHK</v>
      </c>
      <c r="C31" s="171" t="s">
        <v>1844</v>
      </c>
      <c r="D31" s="171" t="str">
        <f t="shared" ref="D31:D49" si="41">$D7</f>
        <v>支付的其他与经营活动有关的现金（其他）</v>
      </c>
      <c r="E31" s="171" t="s">
        <v>2931</v>
      </c>
      <c r="F31" s="172" t="str">
        <f>IF(F7="","",F7)</f>
        <v>Business registration fees</v>
      </c>
      <c r="G31" s="172"/>
      <c r="H31" s="77" t="s">
        <v>2613</v>
      </c>
      <c r="I31" s="173" t="s">
        <v>2614</v>
      </c>
      <c r="J31" s="173" t="s">
        <v>2368</v>
      </c>
      <c r="K31" s="174">
        <f>2200*(1+$K$1)</f>
        <v>2310</v>
      </c>
      <c r="L31" s="175">
        <v>45901</v>
      </c>
      <c r="M31" s="175">
        <v>45930</v>
      </c>
      <c r="N31" s="176">
        <f t="shared" ref="N31:N45" si="42">IF(AND(L31="",M31=""),"-",IF(M31="",12,DATEDIF(L31,M31,"M")+1))</f>
        <v>1</v>
      </c>
      <c r="O31" s="177">
        <f>IF(AND($L31&lt;=O$3,O$3&lt;=$M31),$K31/$N31*HLOOKUP(O$3,'FX Lookup'!$A$2:$Y$4,3,FALSE),0)</f>
        <v>0</v>
      </c>
      <c r="P31" s="177">
        <f>IF(AND($L31&lt;=P$3,P$3&lt;=$M31),$K31/$N31*HLOOKUP(P$3,'FX Lookup'!$A$2:$Y$4,3,FALSE),0)</f>
        <v>0</v>
      </c>
      <c r="Q31" s="177">
        <f>IF(AND($L31&lt;=Q$3,Q$3&lt;=$M31),$K31/$N31*HLOOKUP(Q$3,'FX Lookup'!$A$2:$Y$4,3,FALSE),0)</f>
        <v>0</v>
      </c>
      <c r="R31" s="177">
        <f>IF(AND($L31&lt;=R$3,R$3&lt;=$M31),$K31/$N31*HLOOKUP(R$3,'FX Lookup'!$A$2:$Y$4,3,FALSE),0)</f>
        <v>0</v>
      </c>
      <c r="S31" s="177">
        <f>IF(AND($L31&lt;=S$3,S$3&lt;=$M31),$K31/$N31*HLOOKUP(S$3,'FX Lookup'!$A$2:$Y$4,3,FALSE),0)</f>
        <v>0</v>
      </c>
      <c r="T31" s="177">
        <f>IF(AND($L31&lt;=T$3,T$3&lt;=$M31),$K31/$N31*HLOOKUP(T$3,'FX Lookup'!$A$2:$Y$4,3,FALSE),0)</f>
        <v>0</v>
      </c>
      <c r="U31" s="177">
        <f>IF(AND($L31&lt;=U$3,U$3&lt;=$M31),$K31/$N31*HLOOKUP(U$3,'FX Lookup'!$A$2:$Y$4,3,FALSE),0)</f>
        <v>0</v>
      </c>
      <c r="V31" s="177">
        <f>IF(AND($L31&lt;=V$3,V$3&lt;=$M31),$K31/$N31*HLOOKUP(V$3,'FX Lookup'!$A$2:$Y$4,3,FALSE),0)</f>
        <v>0</v>
      </c>
      <c r="W31" s="177">
        <f>IF(AND($L31&lt;=W$3,W$3&lt;=$M31),$K31/$N31*HLOOKUP(W$3,'FX Lookup'!$A$2:$Y$4,3,FALSE),0)</f>
        <v>2161.9751999999999</v>
      </c>
      <c r="X31" s="177">
        <f>IF(AND($L31&lt;=X$3,X$3&lt;=$M31),$K31/$N31*HLOOKUP(X$3,'FX Lookup'!$A$2:$Y$4,3,FALSE),0)</f>
        <v>0</v>
      </c>
      <c r="Y31" s="177">
        <f>IF(AND($L31&lt;=Y$3,Y$3&lt;=$M31),$K31/$N31*HLOOKUP(Y$3,'FX Lookup'!$A$2:$Y$4,3,FALSE),0)</f>
        <v>0</v>
      </c>
      <c r="Z31" s="177">
        <f>IF(AND($L31&lt;=Z$3,Z$3&lt;=$M31),$K31/$N31*HLOOKUP(Z$3,'FX Lookup'!$A$2:$Y$4,3,FALSE),0)</f>
        <v>0</v>
      </c>
      <c r="AA31" s="178">
        <f t="shared" ref="AA31:AA49" si="43">SUM(O31:Z31)</f>
        <v>2161.9751999999999</v>
      </c>
      <c r="AB31" s="173" t="s">
        <v>2368</v>
      </c>
      <c r="AC31" s="174">
        <f>2200*(1+$AC$1)</f>
        <v>2310</v>
      </c>
      <c r="AD31" s="175">
        <v>46266</v>
      </c>
      <c r="AE31" s="175">
        <v>46295</v>
      </c>
      <c r="AF31" s="176">
        <f t="shared" si="25"/>
        <v>1</v>
      </c>
      <c r="AG31" s="177">
        <f>IF(AND($AD31&lt;=AG$3,AG$3&lt;=$AE31),$AC31/$AF31*HLOOKUP(AG$3,'FX Lookup'!$A$2:$Y$4,3,FALSE),0)</f>
        <v>0</v>
      </c>
      <c r="AH31" s="177">
        <f>IF(AND($AD31&lt;=AH$3,AH$3&lt;=$AE31),$AC31/$AF31*HLOOKUP(AH$3,'FX Lookup'!$A$2:$Y$4,3,FALSE),0)</f>
        <v>0</v>
      </c>
      <c r="AI31" s="177">
        <f>IF(AND($AD31&lt;=AI$3,AI$3&lt;=$AE31),$AC31/$AF31*HLOOKUP(AI$3,'FX Lookup'!$A$2:$Y$4,3,FALSE),0)</f>
        <v>0</v>
      </c>
      <c r="AJ31" s="177">
        <f>IF(AND($AD31&lt;=AJ$3,AJ$3&lt;=$AE31),$AC31/$AF31*HLOOKUP(AJ$3,'FX Lookup'!$A$2:$Y$4,3,FALSE),0)</f>
        <v>0</v>
      </c>
      <c r="AK31" s="177">
        <f>IF(AND($AD31&lt;=AK$3,AK$3&lt;=$AE31),$AC31/$AF31*HLOOKUP(AK$3,'FX Lookup'!$A$2:$Y$4,3,FALSE),0)</f>
        <v>0</v>
      </c>
      <c r="AL31" s="177">
        <f>IF(AND($AD31&lt;=AL$3,AL$3&lt;=$AE31),$AC31/$AF31*HLOOKUP(AL$3,'FX Lookup'!$A$2:$Y$4,3,FALSE),0)</f>
        <v>0</v>
      </c>
      <c r="AM31" s="177">
        <f>IF(AND($AD31&lt;=AM$3,AM$3&lt;=$AE31),$AC31/$AF31*HLOOKUP(AM$3,'FX Lookup'!$A$2:$Y$4,3,FALSE),0)</f>
        <v>0</v>
      </c>
      <c r="AN31" s="177">
        <f>IF(AND($AD31&lt;=AN$3,AN$3&lt;=$AE31),$AC31/$AF31*HLOOKUP(AN$3,'FX Lookup'!$A$2:$Y$4,3,FALSE),0)</f>
        <v>0</v>
      </c>
      <c r="AO31" s="177">
        <f>IF(AND($AD31&lt;=AO$3,AO$3&lt;=$AE31),$AC31/$AF31*HLOOKUP(AO$3,'FX Lookup'!$A$2:$Y$4,3,FALSE),0)</f>
        <v>2037.8820000000001</v>
      </c>
      <c r="AP31" s="177">
        <f>IF(AND($AD31&lt;=AP$3,AP$3&lt;=$AE31),$AC31/$AF31*HLOOKUP(AP$3,'FX Lookup'!$A$2:$Y$4,3,FALSE),0)</f>
        <v>0</v>
      </c>
      <c r="AQ31" s="177">
        <f>IF(AND($AD31&lt;=AQ$3,AQ$3&lt;=$AE31),$AC31/$AF31*HLOOKUP(AQ$3,'FX Lookup'!$A$2:$Y$4,3,FALSE),0)</f>
        <v>0</v>
      </c>
      <c r="AR31" s="177">
        <f>IF(AND($AD31&lt;=AR$3,AR$3&lt;=$AE31),$AC31/$AF31*HLOOKUP(AR$3,'FX Lookup'!$A$2:$Y$4,3,FALSE),0)</f>
        <v>0</v>
      </c>
      <c r="AS31" s="178">
        <f t="shared" si="26"/>
        <v>2037.8820000000001</v>
      </c>
      <c r="AU31" s="177">
        <f t="shared" si="27"/>
        <v>0</v>
      </c>
      <c r="AV31" s="177">
        <f t="shared" si="28"/>
        <v>0</v>
      </c>
      <c r="AW31" s="177">
        <f t="shared" si="29"/>
        <v>0</v>
      </c>
      <c r="AX31" s="177">
        <f t="shared" si="30"/>
        <v>0</v>
      </c>
      <c r="AY31" s="177">
        <f t="shared" si="31"/>
        <v>0</v>
      </c>
      <c r="AZ31" s="177">
        <f t="shared" si="32"/>
        <v>0</v>
      </c>
      <c r="BA31" s="177">
        <f t="shared" si="33"/>
        <v>0</v>
      </c>
      <c r="BB31" s="177">
        <f t="shared" si="34"/>
        <v>0</v>
      </c>
      <c r="BC31" s="177">
        <f t="shared" si="35"/>
        <v>2139.7761</v>
      </c>
      <c r="BD31" s="177">
        <f t="shared" si="36"/>
        <v>0</v>
      </c>
      <c r="BE31" s="177">
        <f t="shared" si="37"/>
        <v>0</v>
      </c>
      <c r="BF31" s="177">
        <f t="shared" si="38"/>
        <v>0</v>
      </c>
      <c r="BG31" s="178">
        <f t="shared" si="39"/>
        <v>2139.7761</v>
      </c>
    </row>
    <row r="32" spans="1:59" ht="13.5" customHeight="1">
      <c r="A32" s="171">
        <f t="shared" si="40"/>
        <v>3</v>
      </c>
      <c r="B32" s="171" t="str">
        <f t="shared" ref="B32:B45" si="44">+B31</f>
        <v>ACPLHK</v>
      </c>
      <c r="C32" s="171" t="s">
        <v>1918</v>
      </c>
      <c r="D32" s="171" t="str">
        <f t="shared" si="41"/>
        <v>支付的其他与经营活动有关的现金（其他）</v>
      </c>
      <c r="E32" s="171"/>
      <c r="F32" s="172" t="str">
        <f>IF(F8="","",F8)</f>
        <v>Bank Handling Charges</v>
      </c>
      <c r="G32" s="172"/>
      <c r="H32" s="77" t="s">
        <v>2613</v>
      </c>
      <c r="I32" s="173" t="s">
        <v>2614</v>
      </c>
      <c r="J32" s="173" t="s">
        <v>2368</v>
      </c>
      <c r="K32" s="174">
        <f>200*12</f>
        <v>2400</v>
      </c>
      <c r="L32" s="175">
        <v>45658</v>
      </c>
      <c r="M32" s="175">
        <v>46022</v>
      </c>
      <c r="N32" s="176">
        <f t="shared" si="42"/>
        <v>12</v>
      </c>
      <c r="O32" s="177">
        <f>IF(AND($L32&lt;=O$3,O$3&lt;=$M32),$K32/$N32*HLOOKUP(O$3,'FX Lookup'!$A$2:$Y$4,3,FALSE),0)</f>
        <v>187.184</v>
      </c>
      <c r="P32" s="177">
        <f>IF(AND($L32&lt;=P$3,P$3&lt;=$M32),$K32/$N32*HLOOKUP(P$3,'FX Lookup'!$A$2:$Y$4,3,FALSE),0)</f>
        <v>187.184</v>
      </c>
      <c r="Q32" s="177">
        <f>IF(AND($L32&lt;=Q$3,Q$3&lt;=$M32),$K32/$N32*HLOOKUP(Q$3,'FX Lookup'!$A$2:$Y$4,3,FALSE),0)</f>
        <v>187.184</v>
      </c>
      <c r="R32" s="177">
        <f>IF(AND($L32&lt;=R$3,R$3&lt;=$M32),$K32/$N32*HLOOKUP(R$3,'FX Lookup'!$A$2:$Y$4,3,FALSE),0)</f>
        <v>187.184</v>
      </c>
      <c r="S32" s="177">
        <f>IF(AND($L32&lt;=S$3,S$3&lt;=$M32),$K32/$N32*HLOOKUP(S$3,'FX Lookup'!$A$2:$Y$4,3,FALSE),0)</f>
        <v>187.184</v>
      </c>
      <c r="T32" s="177">
        <f>IF(AND($L32&lt;=T$3,T$3&lt;=$M32),$K32/$N32*HLOOKUP(T$3,'FX Lookup'!$A$2:$Y$4,3,FALSE),0)</f>
        <v>187.184</v>
      </c>
      <c r="U32" s="177">
        <f>IF(AND($L32&lt;=U$3,U$3&lt;=$M32),$K32/$N32*HLOOKUP(U$3,'FX Lookup'!$A$2:$Y$4,3,FALSE),0)</f>
        <v>187.184</v>
      </c>
      <c r="V32" s="177">
        <f>IF(AND($L32&lt;=V$3,V$3&lt;=$M32),$K32/$N32*HLOOKUP(V$3,'FX Lookup'!$A$2:$Y$4,3,FALSE),0)</f>
        <v>187.184</v>
      </c>
      <c r="W32" s="177">
        <f>IF(AND($L32&lt;=W$3,W$3&lt;=$M32),$K32/$N32*HLOOKUP(W$3,'FX Lookup'!$A$2:$Y$4,3,FALSE),0)</f>
        <v>187.184</v>
      </c>
      <c r="X32" s="177">
        <f>IF(AND($L32&lt;=X$3,X$3&lt;=$M32),$K32/$N32*HLOOKUP(X$3,'FX Lookup'!$A$2:$Y$4,3,FALSE),0)</f>
        <v>187.184</v>
      </c>
      <c r="Y32" s="177">
        <f>IF(AND($L32&lt;=Y$3,Y$3&lt;=$M32),$K32/$N32*HLOOKUP(Y$3,'FX Lookup'!$A$2:$Y$4,3,FALSE),0)</f>
        <v>187.184</v>
      </c>
      <c r="Z32" s="177">
        <f>IF(AND($L32&lt;=Z$3,Z$3&lt;=$M32),$K32/$N32*HLOOKUP(Z$3,'FX Lookup'!$A$2:$Y$4,3,FALSE),0)</f>
        <v>187.184</v>
      </c>
      <c r="AA32" s="178">
        <f t="shared" si="43"/>
        <v>2246.2080000000001</v>
      </c>
      <c r="AB32" s="173" t="s">
        <v>2368</v>
      </c>
      <c r="AC32" s="174">
        <f>200*12</f>
        <v>2400</v>
      </c>
      <c r="AD32" s="175">
        <v>46023</v>
      </c>
      <c r="AE32" s="175">
        <v>46387</v>
      </c>
      <c r="AF32" s="176">
        <f t="shared" si="25"/>
        <v>12</v>
      </c>
      <c r="AG32" s="177">
        <f>IF(AND($AD32&lt;=AG$3,AG$3&lt;=$AE32),$AC32/$AF32*HLOOKUP(AG$3,'FX Lookup'!$A$2:$Y$4,3,FALSE),0)</f>
        <v>177.99799999999999</v>
      </c>
      <c r="AH32" s="177">
        <f>IF(AND($AD32&lt;=AH$3,AH$3&lt;=$AE32),$AC32/$AF32*HLOOKUP(AH$3,'FX Lookup'!$A$2:$Y$4,3,FALSE),0)</f>
        <v>176.44</v>
      </c>
      <c r="AI32" s="177">
        <f>IF(AND($AD32&lt;=AI$3,AI$3&lt;=$AE32),$AC32/$AF32*HLOOKUP(AI$3,'FX Lookup'!$A$2:$Y$4,3,FALSE),0)</f>
        <v>176.44</v>
      </c>
      <c r="AJ32" s="177">
        <f>IF(AND($AD32&lt;=AJ$3,AJ$3&lt;=$AE32),$AC32/$AF32*HLOOKUP(AJ$3,'FX Lookup'!$A$2:$Y$4,3,FALSE),0)</f>
        <v>176.44</v>
      </c>
      <c r="AK32" s="177">
        <f>IF(AND($AD32&lt;=AK$3,AK$3&lt;=$AE32),$AC32/$AF32*HLOOKUP(AK$3,'FX Lookup'!$A$2:$Y$4,3,FALSE),0)</f>
        <v>176.44</v>
      </c>
      <c r="AL32" s="177">
        <f>IF(AND($AD32&lt;=AL$3,AL$3&lt;=$AE32),$AC32/$AF32*HLOOKUP(AL$3,'FX Lookup'!$A$2:$Y$4,3,FALSE),0)</f>
        <v>176.44</v>
      </c>
      <c r="AM32" s="177">
        <f>IF(AND($AD32&lt;=AM$3,AM$3&lt;=$AE32),$AC32/$AF32*HLOOKUP(AM$3,'FX Lookup'!$A$2:$Y$4,3,FALSE),0)</f>
        <v>176.44</v>
      </c>
      <c r="AN32" s="177">
        <f>IF(AND($AD32&lt;=AN$3,AN$3&lt;=$AE32),$AC32/$AF32*HLOOKUP(AN$3,'FX Lookup'!$A$2:$Y$4,3,FALSE),0)</f>
        <v>176.44</v>
      </c>
      <c r="AO32" s="177">
        <f>IF(AND($AD32&lt;=AO$3,AO$3&lt;=$AE32),$AC32/$AF32*HLOOKUP(AO$3,'FX Lookup'!$A$2:$Y$4,3,FALSE),0)</f>
        <v>176.44</v>
      </c>
      <c r="AP32" s="177">
        <f>IF(AND($AD32&lt;=AP$3,AP$3&lt;=$AE32),$AC32/$AF32*HLOOKUP(AP$3,'FX Lookup'!$A$2:$Y$4,3,FALSE),0)</f>
        <v>176.44</v>
      </c>
      <c r="AQ32" s="177">
        <f>IF(AND($AD32&lt;=AQ$3,AQ$3&lt;=$AE32),$AC32/$AF32*HLOOKUP(AQ$3,'FX Lookup'!$A$2:$Y$4,3,FALSE),0)</f>
        <v>176.44</v>
      </c>
      <c r="AR32" s="177">
        <f>IF(AND($AD32&lt;=AR$3,AR$3&lt;=$AE32),$AC32/$AF32*HLOOKUP(AR$3,'FX Lookup'!$A$2:$Y$4,3,FALSE),0)</f>
        <v>176.44</v>
      </c>
      <c r="AS32" s="178">
        <f t="shared" si="26"/>
        <v>2118.8380000000002</v>
      </c>
      <c r="AU32" s="177">
        <f t="shared" si="27"/>
        <v>186.89789999999999</v>
      </c>
      <c r="AV32" s="177">
        <f t="shared" si="28"/>
        <v>185.262</v>
      </c>
      <c r="AW32" s="177">
        <f t="shared" si="29"/>
        <v>185.262</v>
      </c>
      <c r="AX32" s="177">
        <f t="shared" si="30"/>
        <v>185.262</v>
      </c>
      <c r="AY32" s="177">
        <f t="shared" si="31"/>
        <v>185.262</v>
      </c>
      <c r="AZ32" s="177">
        <f t="shared" si="32"/>
        <v>185.262</v>
      </c>
      <c r="BA32" s="177">
        <f t="shared" si="33"/>
        <v>185.262</v>
      </c>
      <c r="BB32" s="177">
        <f t="shared" si="34"/>
        <v>185.262</v>
      </c>
      <c r="BC32" s="177">
        <f t="shared" si="35"/>
        <v>185.262</v>
      </c>
      <c r="BD32" s="177">
        <f t="shared" si="36"/>
        <v>185.262</v>
      </c>
      <c r="BE32" s="177">
        <f t="shared" si="37"/>
        <v>185.262</v>
      </c>
      <c r="BF32" s="177">
        <f t="shared" si="38"/>
        <v>185.262</v>
      </c>
      <c r="BG32" s="178">
        <f t="shared" si="39"/>
        <v>2224.7798999999995</v>
      </c>
    </row>
    <row r="33" spans="1:59" ht="13.5" customHeight="1">
      <c r="A33" s="171">
        <f t="shared" si="40"/>
        <v>4</v>
      </c>
      <c r="B33" s="171" t="str">
        <f t="shared" si="44"/>
        <v>ACPLHK</v>
      </c>
      <c r="C33" s="171" t="s">
        <v>1657</v>
      </c>
      <c r="D33" s="171" t="str">
        <f t="shared" si="41"/>
        <v>支付的其他与经营活动有关的现金（其他）</v>
      </c>
      <c r="E33" s="171"/>
      <c r="F33" s="172" t="str">
        <f>IF(F9="","",F9)</f>
        <v>Postage / Freight / Delivery</v>
      </c>
      <c r="G33" s="172"/>
      <c r="H33" s="77" t="s">
        <v>2613</v>
      </c>
      <c r="I33" s="173" t="s">
        <v>2614</v>
      </c>
      <c r="J33" s="173" t="s">
        <v>2368</v>
      </c>
      <c r="K33" s="77"/>
      <c r="L33" s="175">
        <v>45658</v>
      </c>
      <c r="M33" s="175">
        <v>46022</v>
      </c>
      <c r="N33" s="176">
        <f t="shared" si="42"/>
        <v>12</v>
      </c>
      <c r="O33" s="177">
        <f>IF(AND($L33&lt;=O$3,O$3&lt;=$M33),$K33/$N33*HLOOKUP(O$3,'FX Lookup'!$A$2:$Y$4,3,FALSE),0)</f>
        <v>0</v>
      </c>
      <c r="P33" s="177">
        <f>IF(AND($L33&lt;=P$3,P$3&lt;=$M33),$K33/$N33*HLOOKUP(P$3,'FX Lookup'!$A$2:$Y$4,3,FALSE),0)</f>
        <v>0</v>
      </c>
      <c r="Q33" s="177">
        <f>IF(AND($L33&lt;=Q$3,Q$3&lt;=$M33),$K33/$N33*HLOOKUP(Q$3,'FX Lookup'!$A$2:$Y$4,3,FALSE),0)</f>
        <v>0</v>
      </c>
      <c r="R33" s="177">
        <f>IF(AND($L33&lt;=R$3,R$3&lt;=$M33),$K33/$N33*HLOOKUP(R$3,'FX Lookup'!$A$2:$Y$4,3,FALSE),0)</f>
        <v>0</v>
      </c>
      <c r="S33" s="177">
        <f>IF(AND($L33&lt;=S$3,S$3&lt;=$M33),$K33/$N33*HLOOKUP(S$3,'FX Lookup'!$A$2:$Y$4,3,FALSE),0)</f>
        <v>0</v>
      </c>
      <c r="T33" s="177">
        <f>IF(AND($L33&lt;=T$3,T$3&lt;=$M33),$K33/$N33*HLOOKUP(T$3,'FX Lookup'!$A$2:$Y$4,3,FALSE),0)</f>
        <v>0</v>
      </c>
      <c r="U33" s="177">
        <f>IF(AND($L33&lt;=U$3,U$3&lt;=$M33),$K33/$N33*HLOOKUP(U$3,'FX Lookup'!$A$2:$Y$4,3,FALSE),0)</f>
        <v>0</v>
      </c>
      <c r="V33" s="177">
        <f>IF(AND($L33&lt;=V$3,V$3&lt;=$M33),$K33/$N33*HLOOKUP(V$3,'FX Lookup'!$A$2:$Y$4,3,FALSE),0)</f>
        <v>0</v>
      </c>
      <c r="W33" s="177">
        <f>IF(AND($L33&lt;=W$3,W$3&lt;=$M33),$K33/$N33*HLOOKUP(W$3,'FX Lookup'!$A$2:$Y$4,3,FALSE),0)</f>
        <v>0</v>
      </c>
      <c r="X33" s="177">
        <f>IF(AND($L33&lt;=X$3,X$3&lt;=$M33),$K33/$N33*HLOOKUP(X$3,'FX Lookup'!$A$2:$Y$4,3,FALSE),0)</f>
        <v>0</v>
      </c>
      <c r="Y33" s="177">
        <f>IF(AND($L33&lt;=Y$3,Y$3&lt;=$M33),$K33/$N33*HLOOKUP(Y$3,'FX Lookup'!$A$2:$Y$4,3,FALSE),0)</f>
        <v>0</v>
      </c>
      <c r="Z33" s="177">
        <f>IF(AND($L33&lt;=Z$3,Z$3&lt;=$M33),$K33/$N33*HLOOKUP(Z$3,'FX Lookup'!$A$2:$Y$4,3,FALSE),0)</f>
        <v>0</v>
      </c>
      <c r="AA33" s="178">
        <f t="shared" si="43"/>
        <v>0</v>
      </c>
      <c r="AB33" s="173" t="s">
        <v>2368</v>
      </c>
      <c r="AC33" s="77"/>
      <c r="AD33" s="175">
        <v>46023</v>
      </c>
      <c r="AE33" s="175">
        <v>46387</v>
      </c>
      <c r="AF33" s="176">
        <f t="shared" si="25"/>
        <v>12</v>
      </c>
      <c r="AG33" s="177">
        <f>IF(AND($AD33&lt;=AG$3,AG$3&lt;=$AE33),$AC33/$AF33*HLOOKUP(AG$3,'FX Lookup'!$A$2:$Y$4,3,FALSE),0)</f>
        <v>0</v>
      </c>
      <c r="AH33" s="177">
        <f>IF(AND($AD33&lt;=AH$3,AH$3&lt;=$AE33),$AC33/$AF33*HLOOKUP(AH$3,'FX Lookup'!$A$2:$Y$4,3,FALSE),0)</f>
        <v>0</v>
      </c>
      <c r="AI33" s="177">
        <f>IF(AND($AD33&lt;=AI$3,AI$3&lt;=$AE33),$AC33/$AF33*HLOOKUP(AI$3,'FX Lookup'!$A$2:$Y$4,3,FALSE),0)</f>
        <v>0</v>
      </c>
      <c r="AJ33" s="177">
        <f>IF(AND($AD33&lt;=AJ$3,AJ$3&lt;=$AE33),$AC33/$AF33*HLOOKUP(AJ$3,'FX Lookup'!$A$2:$Y$4,3,FALSE),0)</f>
        <v>0</v>
      </c>
      <c r="AK33" s="177">
        <f>IF(AND($AD33&lt;=AK$3,AK$3&lt;=$AE33),$AC33/$AF33*HLOOKUP(AK$3,'FX Lookup'!$A$2:$Y$4,3,FALSE),0)</f>
        <v>0</v>
      </c>
      <c r="AL33" s="177">
        <f>IF(AND($AD33&lt;=AL$3,AL$3&lt;=$AE33),$AC33/$AF33*HLOOKUP(AL$3,'FX Lookup'!$A$2:$Y$4,3,FALSE),0)</f>
        <v>0</v>
      </c>
      <c r="AM33" s="177">
        <f>IF(AND($AD33&lt;=AM$3,AM$3&lt;=$AE33),$AC33/$AF33*HLOOKUP(AM$3,'FX Lookup'!$A$2:$Y$4,3,FALSE),0)</f>
        <v>0</v>
      </c>
      <c r="AN33" s="177">
        <f>IF(AND($AD33&lt;=AN$3,AN$3&lt;=$AE33),$AC33/$AF33*HLOOKUP(AN$3,'FX Lookup'!$A$2:$Y$4,3,FALSE),0)</f>
        <v>0</v>
      </c>
      <c r="AO33" s="177">
        <f>IF(AND($AD33&lt;=AO$3,AO$3&lt;=$AE33),$AC33/$AF33*HLOOKUP(AO$3,'FX Lookup'!$A$2:$Y$4,3,FALSE),0)</f>
        <v>0</v>
      </c>
      <c r="AP33" s="177">
        <f>IF(AND($AD33&lt;=AP$3,AP$3&lt;=$AE33),$AC33/$AF33*HLOOKUP(AP$3,'FX Lookup'!$A$2:$Y$4,3,FALSE),0)</f>
        <v>0</v>
      </c>
      <c r="AQ33" s="177">
        <f>IF(AND($AD33&lt;=AQ$3,AQ$3&lt;=$AE33),$AC33/$AF33*HLOOKUP(AQ$3,'FX Lookup'!$A$2:$Y$4,3,FALSE),0)</f>
        <v>0</v>
      </c>
      <c r="AR33" s="177">
        <f>IF(AND($AD33&lt;=AR$3,AR$3&lt;=$AE33),$AC33/$AF33*HLOOKUP(AR$3,'FX Lookup'!$A$2:$Y$4,3,FALSE),0)</f>
        <v>0</v>
      </c>
      <c r="AS33" s="178">
        <f t="shared" si="26"/>
        <v>0</v>
      </c>
      <c r="AU33" s="177">
        <f t="shared" si="27"/>
        <v>0</v>
      </c>
      <c r="AV33" s="177">
        <f t="shared" si="28"/>
        <v>0</v>
      </c>
      <c r="AW33" s="177">
        <f t="shared" si="29"/>
        <v>0</v>
      </c>
      <c r="AX33" s="177">
        <f t="shared" si="30"/>
        <v>0</v>
      </c>
      <c r="AY33" s="177">
        <f t="shared" si="31"/>
        <v>0</v>
      </c>
      <c r="AZ33" s="177">
        <f t="shared" si="32"/>
        <v>0</v>
      </c>
      <c r="BA33" s="177">
        <f t="shared" si="33"/>
        <v>0</v>
      </c>
      <c r="BB33" s="177">
        <f t="shared" si="34"/>
        <v>0</v>
      </c>
      <c r="BC33" s="177">
        <f t="shared" si="35"/>
        <v>0</v>
      </c>
      <c r="BD33" s="177">
        <f t="shared" si="36"/>
        <v>0</v>
      </c>
      <c r="BE33" s="177">
        <f t="shared" si="37"/>
        <v>0</v>
      </c>
      <c r="BF33" s="177">
        <f t="shared" si="38"/>
        <v>0</v>
      </c>
      <c r="BG33" s="178">
        <f t="shared" si="39"/>
        <v>0</v>
      </c>
    </row>
    <row r="34" spans="1:59" ht="13.5" customHeight="1">
      <c r="A34" s="171">
        <f t="shared" si="40"/>
        <v>5</v>
      </c>
      <c r="B34" s="171" t="str">
        <f t="shared" si="44"/>
        <v>ACPLHK</v>
      </c>
      <c r="C34" s="171" t="s">
        <v>1862</v>
      </c>
      <c r="D34" s="171" t="str">
        <f t="shared" si="41"/>
        <v>支付的其他与经营活动有关的现金（其他）</v>
      </c>
      <c r="E34" s="171"/>
      <c r="F34" s="172" t="str">
        <f>IF(F10="","",F10)</f>
        <v>Corp. Membership Fee</v>
      </c>
      <c r="G34" s="172" t="s">
        <v>2934</v>
      </c>
      <c r="H34" s="77" t="s">
        <v>2613</v>
      </c>
      <c r="I34" s="173" t="s">
        <v>2614</v>
      </c>
      <c r="J34" s="173" t="s">
        <v>2935</v>
      </c>
      <c r="K34" s="77">
        <v>0</v>
      </c>
      <c r="L34" s="175">
        <v>45992</v>
      </c>
      <c r="M34" s="175">
        <v>46022</v>
      </c>
      <c r="N34" s="176">
        <f t="shared" si="42"/>
        <v>1</v>
      </c>
      <c r="O34" s="177">
        <f>IF(AND($L34&lt;=O$3,O$3&lt;=$M34),$K34/$N34*HLOOKUP(O$3,'FX Lookup'!$A$2:$Y$5,4,FALSE),0)</f>
        <v>0</v>
      </c>
      <c r="P34" s="177">
        <f>IF(AND($L34&lt;=P$3,P$3&lt;=$M34),$K34/$N34*HLOOKUP(P$3,'FX Lookup'!$A$2:$Y$5,4,FALSE),0)</f>
        <v>0</v>
      </c>
      <c r="Q34" s="177">
        <f>IF(AND($L34&lt;=Q$3,Q$3&lt;=$M34),$K34/$N34*HLOOKUP(Q$3,'FX Lookup'!$A$2:$Y$5,4,FALSE),0)</f>
        <v>0</v>
      </c>
      <c r="R34" s="177">
        <f>IF(AND($L34&lt;=R$3,R$3&lt;=$M34),$K34/$N34*HLOOKUP(R$3,'FX Lookup'!$A$2:$Y$5,4,FALSE),0)</f>
        <v>0</v>
      </c>
      <c r="S34" s="177">
        <f>IF(AND($L34&lt;=S$3,S$3&lt;=$M34),$K34/$N34*HLOOKUP(S$3,'FX Lookup'!$A$2:$Y$5,4,FALSE),0)</f>
        <v>0</v>
      </c>
      <c r="T34" s="177">
        <f>IF(AND($L34&lt;=T$3,T$3&lt;=$M34),$K34/$N34*HLOOKUP(T$3,'FX Lookup'!$A$2:$Y$5,4,FALSE),0)</f>
        <v>0</v>
      </c>
      <c r="U34" s="177">
        <f>IF(AND($L34&lt;=U$3,U$3&lt;=$M34),$K34/$N34*HLOOKUP(U$3,'FX Lookup'!$A$2:$Y$5,4,FALSE),0)</f>
        <v>0</v>
      </c>
      <c r="V34" s="177">
        <f>IF(AND($L34&lt;=V$3,V$3&lt;=$M34),$K34/$N34*HLOOKUP(V$3,'FX Lookup'!$A$2:$Y$5,4,FALSE),0)</f>
        <v>0</v>
      </c>
      <c r="W34" s="177">
        <f>IF(AND($L34&lt;=W$3,W$3&lt;=$M34),$K34/$N34*HLOOKUP(W$3,'FX Lookup'!$A$2:$Y$5,4,FALSE),0)</f>
        <v>0</v>
      </c>
      <c r="X34" s="177">
        <f>IF(AND($L34&lt;=X$3,X$3&lt;=$M34),$K34/$N34*HLOOKUP(X$3,'FX Lookup'!$A$2:$Y$5,4,FALSE),0)</f>
        <v>0</v>
      </c>
      <c r="Y34" s="177">
        <f>IF(AND($L34&lt;=Y$3,Y$3&lt;=$M34),$K34/$N34*HLOOKUP(Y$3,'FX Lookup'!$A$2:$Y$5,4,FALSE),0)</f>
        <v>0</v>
      </c>
      <c r="Z34" s="177">
        <f>IF(AND($L34&lt;=Z$3,Z$3&lt;=$M34),$K34/$N34*HLOOKUP(Z$3,'FX Lookup'!$A$2:$Y$5,4,FALSE),0)</f>
        <v>0</v>
      </c>
      <c r="AA34" s="178">
        <f t="shared" si="43"/>
        <v>0</v>
      </c>
      <c r="AB34" s="173" t="s">
        <v>2935</v>
      </c>
      <c r="AC34" s="77">
        <v>0</v>
      </c>
      <c r="AD34" s="175">
        <v>46357</v>
      </c>
      <c r="AE34" s="175">
        <v>46387</v>
      </c>
      <c r="AF34" s="176">
        <f t="shared" si="25"/>
        <v>1</v>
      </c>
      <c r="AG34" s="177">
        <f>IF(AND($AD34&lt;=AG$3,AG$3&lt;=$AE34),$AC34/$AF34*HLOOKUP(AG$3,'FX Lookup'!$A$2:$Y$4,3,FALSE),0)</f>
        <v>0</v>
      </c>
      <c r="AH34" s="177">
        <f>IF(AND($AD34&lt;=AH$3,AH$3&lt;=$AE34),$AC34/$AF34*HLOOKUP(AH$3,'FX Lookup'!$A$2:$Y$4,3,FALSE),0)</f>
        <v>0</v>
      </c>
      <c r="AI34" s="177">
        <f>IF(AND($AD34&lt;=AI$3,AI$3&lt;=$AE34),$AC34/$AF34*HLOOKUP(AI$3,'FX Lookup'!$A$2:$Y$4,3,FALSE),0)</f>
        <v>0</v>
      </c>
      <c r="AJ34" s="177">
        <f>IF(AND($AD34&lt;=AJ$3,AJ$3&lt;=$AE34),$AC34/$AF34*HLOOKUP(AJ$3,'FX Lookup'!$A$2:$Y$4,3,FALSE),0)</f>
        <v>0</v>
      </c>
      <c r="AK34" s="177">
        <f>IF(AND($AD34&lt;=AK$3,AK$3&lt;=$AE34),$AC34/$AF34*HLOOKUP(AK$3,'FX Lookup'!$A$2:$Y$4,3,FALSE),0)</f>
        <v>0</v>
      </c>
      <c r="AL34" s="177">
        <f>IF(AND($AD34&lt;=AL$3,AL$3&lt;=$AE34),$AC34/$AF34*HLOOKUP(AL$3,'FX Lookup'!$A$2:$Y$4,3,FALSE),0)</f>
        <v>0</v>
      </c>
      <c r="AM34" s="177">
        <f>IF(AND($AD34&lt;=AM$3,AM$3&lt;=$AE34),$AC34/$AF34*HLOOKUP(AM$3,'FX Lookup'!$A$2:$Y$4,3,FALSE),0)</f>
        <v>0</v>
      </c>
      <c r="AN34" s="177">
        <f>IF(AND($AD34&lt;=AN$3,AN$3&lt;=$AE34),$AC34/$AF34*HLOOKUP(AN$3,'FX Lookup'!$A$2:$Y$4,3,FALSE),0)</f>
        <v>0</v>
      </c>
      <c r="AO34" s="177">
        <f>IF(AND($AD34&lt;=AO$3,AO$3&lt;=$AE34),$AC34/$AF34*HLOOKUP(AO$3,'FX Lookup'!$A$2:$Y$4,3,FALSE),0)</f>
        <v>0</v>
      </c>
      <c r="AP34" s="177">
        <f>IF(AND($AD34&lt;=AP$3,AP$3&lt;=$AE34),$AC34/$AF34*HLOOKUP(AP$3,'FX Lookup'!$A$2:$Y$4,3,FALSE),0)</f>
        <v>0</v>
      </c>
      <c r="AQ34" s="177">
        <f>IF(AND($AD34&lt;=AQ$3,AQ$3&lt;=$AE34),$AC34/$AF34*HLOOKUP(AQ$3,'FX Lookup'!$A$2:$Y$4,3,FALSE),0)</f>
        <v>0</v>
      </c>
      <c r="AR34" s="177">
        <f>IF(AND($AD34&lt;=AR$3,AR$3&lt;=$AE34),$AC34/$AF34*HLOOKUP(AR$3,'FX Lookup'!$A$2:$Y$6,4,FALSE),0)</f>
        <v>0</v>
      </c>
      <c r="AS34" s="178">
        <f t="shared" si="26"/>
        <v>0</v>
      </c>
      <c r="AU34" s="177">
        <f t="shared" si="27"/>
        <v>0</v>
      </c>
      <c r="AV34" s="177">
        <f t="shared" si="28"/>
        <v>0</v>
      </c>
      <c r="AW34" s="177">
        <f t="shared" si="29"/>
        <v>0</v>
      </c>
      <c r="AX34" s="177">
        <f t="shared" si="30"/>
        <v>0</v>
      </c>
      <c r="AY34" s="177">
        <f t="shared" si="31"/>
        <v>0</v>
      </c>
      <c r="AZ34" s="177">
        <f t="shared" si="32"/>
        <v>0</v>
      </c>
      <c r="BA34" s="177">
        <f t="shared" si="33"/>
        <v>0</v>
      </c>
      <c r="BB34" s="177">
        <f t="shared" si="34"/>
        <v>0</v>
      </c>
      <c r="BC34" s="177">
        <f t="shared" si="35"/>
        <v>0</v>
      </c>
      <c r="BD34" s="177">
        <f t="shared" si="36"/>
        <v>0</v>
      </c>
      <c r="BE34" s="177">
        <f t="shared" si="37"/>
        <v>0</v>
      </c>
      <c r="BF34" s="177">
        <f t="shared" si="38"/>
        <v>0</v>
      </c>
      <c r="BG34" s="178">
        <f t="shared" si="39"/>
        <v>0</v>
      </c>
    </row>
    <row r="35" spans="1:59" ht="13.5" customHeight="1">
      <c r="A35" s="171">
        <f t="shared" si="40"/>
        <v>6</v>
      </c>
      <c r="B35" s="171" t="str">
        <f t="shared" si="44"/>
        <v>ACPLHK</v>
      </c>
      <c r="C35" s="171" t="s">
        <v>1676</v>
      </c>
      <c r="D35" s="171" t="str">
        <f t="shared" si="41"/>
        <v>支付的其他与经营活动有关的现金（其他）</v>
      </c>
      <c r="E35" s="171"/>
      <c r="F35" s="172" t="s">
        <v>1679</v>
      </c>
      <c r="G35" s="172"/>
      <c r="H35" s="77" t="s">
        <v>2613</v>
      </c>
      <c r="I35" s="173" t="s">
        <v>2614</v>
      </c>
      <c r="J35" s="173" t="s">
        <v>2368</v>
      </c>
      <c r="K35" s="77"/>
      <c r="L35" s="175">
        <v>45658</v>
      </c>
      <c r="M35" s="175">
        <v>46022</v>
      </c>
      <c r="N35" s="176">
        <f t="shared" si="42"/>
        <v>12</v>
      </c>
      <c r="O35" s="177">
        <f>IF(AND($L35&lt;=O$3,O$3&lt;=$M35),$K35/$N35*HLOOKUP(O$3,'FX Lookup'!$A$2:$Y$4,3,FALSE),0)</f>
        <v>0</v>
      </c>
      <c r="P35" s="177">
        <f>IF(AND($L35&lt;=P$3,P$3&lt;=$M35),$K35/$N35*HLOOKUP(P$3,'FX Lookup'!$A$2:$Y$4,3,FALSE),0)</f>
        <v>0</v>
      </c>
      <c r="Q35" s="177">
        <f>IF(AND($L35&lt;=Q$3,Q$3&lt;=$M35),$K35/$N35*HLOOKUP(Q$3,'FX Lookup'!$A$2:$Y$4,3,FALSE),0)</f>
        <v>0</v>
      </c>
      <c r="R35" s="177">
        <f>IF(AND($L35&lt;=R$3,R$3&lt;=$M35),$K35/$N35*HLOOKUP(R$3,'FX Lookup'!$A$2:$Y$4,3,FALSE),0)</f>
        <v>0</v>
      </c>
      <c r="S35" s="177">
        <f>IF(AND($L35&lt;=S$3,S$3&lt;=$M35),$K35/$N35*HLOOKUP(S$3,'FX Lookup'!$A$2:$Y$4,3,FALSE),0)</f>
        <v>0</v>
      </c>
      <c r="T35" s="177">
        <f>IF(AND($L35&lt;=T$3,T$3&lt;=$M35),$K35/$N35*HLOOKUP(T$3,'FX Lookup'!$A$2:$Y$4,3,FALSE),0)</f>
        <v>0</v>
      </c>
      <c r="U35" s="177">
        <f>IF(AND($L35&lt;=U$3,U$3&lt;=$M35),$K35/$N35*HLOOKUP(U$3,'FX Lookup'!$A$2:$Y$4,3,FALSE),0)</f>
        <v>0</v>
      </c>
      <c r="V35" s="177">
        <f>IF(AND($L35&lt;=V$3,V$3&lt;=$M35),$K35/$N35*HLOOKUP(V$3,'FX Lookup'!$A$2:$Y$4,3,FALSE),0)</f>
        <v>0</v>
      </c>
      <c r="W35" s="177">
        <f>IF(AND($L35&lt;=W$3,W$3&lt;=$M35),$K35/$N35*HLOOKUP(W$3,'FX Lookup'!$A$2:$Y$4,3,FALSE),0)</f>
        <v>0</v>
      </c>
      <c r="X35" s="177">
        <f>IF(AND($L35&lt;=X$3,X$3&lt;=$M35),$K35/$N35*HLOOKUP(X$3,'FX Lookup'!$A$2:$Y$4,3,FALSE),0)</f>
        <v>0</v>
      </c>
      <c r="Y35" s="177">
        <f>IF(AND($L35&lt;=Y$3,Y$3&lt;=$M35),$K35/$N35*HLOOKUP(Y$3,'FX Lookup'!$A$2:$Y$4,3,FALSE),0)</f>
        <v>0</v>
      </c>
      <c r="Z35" s="177">
        <f>IF(AND($L35&lt;=Z$3,Z$3&lt;=$M35),$K35/$N35*HLOOKUP(Z$3,'FX Lookup'!$A$2:$Y$4,3,FALSE),0)</f>
        <v>0</v>
      </c>
      <c r="AA35" s="178">
        <f t="shared" si="43"/>
        <v>0</v>
      </c>
      <c r="AB35" s="173" t="s">
        <v>2368</v>
      </c>
      <c r="AC35" s="77"/>
      <c r="AD35" s="175">
        <v>46023</v>
      </c>
      <c r="AE35" s="175">
        <v>46387</v>
      </c>
      <c r="AF35" s="176">
        <f t="shared" si="25"/>
        <v>12</v>
      </c>
      <c r="AG35" s="177">
        <f>IF(AND($AD35&lt;=AG$3,AG$3&lt;=$AE35),$AC35/$AF35*HLOOKUP(AG$3,'FX Lookup'!$A$2:$Y$4,3,FALSE),0)</f>
        <v>0</v>
      </c>
      <c r="AH35" s="177">
        <f>IF(AND($AD35&lt;=AH$3,AH$3&lt;=$AE35),$AC35/$AF35*HLOOKUP(AH$3,'FX Lookup'!$A$2:$Y$4,3,FALSE),0)</f>
        <v>0</v>
      </c>
      <c r="AI35" s="177">
        <f>IF(AND($AD35&lt;=AI$3,AI$3&lt;=$AE35),$AC35/$AF35*HLOOKUP(AI$3,'FX Lookup'!$A$2:$Y$4,3,FALSE),0)</f>
        <v>0</v>
      </c>
      <c r="AJ35" s="177">
        <f>IF(AND($AD35&lt;=AJ$3,AJ$3&lt;=$AE35),$AC35/$AF35*HLOOKUP(AJ$3,'FX Lookup'!$A$2:$Y$4,3,FALSE),0)</f>
        <v>0</v>
      </c>
      <c r="AK35" s="177">
        <f>IF(AND($AD35&lt;=AK$3,AK$3&lt;=$AE35),$AC35/$AF35*HLOOKUP(AK$3,'FX Lookup'!$A$2:$Y$4,3,FALSE),0)</f>
        <v>0</v>
      </c>
      <c r="AL35" s="177">
        <f>IF(AND($AD35&lt;=AL$3,AL$3&lt;=$AE35),$AC35/$AF35*HLOOKUP(AL$3,'FX Lookup'!$A$2:$Y$4,3,FALSE),0)</f>
        <v>0</v>
      </c>
      <c r="AM35" s="177">
        <f>IF(AND($AD35&lt;=AM$3,AM$3&lt;=$AE35),$AC35/$AF35*HLOOKUP(AM$3,'FX Lookup'!$A$2:$Y$4,3,FALSE),0)</f>
        <v>0</v>
      </c>
      <c r="AN35" s="177">
        <f>IF(AND($AD35&lt;=AN$3,AN$3&lt;=$AE35),$AC35/$AF35*HLOOKUP(AN$3,'FX Lookup'!$A$2:$Y$4,3,FALSE),0)</f>
        <v>0</v>
      </c>
      <c r="AO35" s="177">
        <f>IF(AND($AD35&lt;=AO$3,AO$3&lt;=$AE35),$AC35/$AF35*HLOOKUP(AO$3,'FX Lookup'!$A$2:$Y$4,3,FALSE),0)</f>
        <v>0</v>
      </c>
      <c r="AP35" s="177">
        <f>IF(AND($AD35&lt;=AP$3,AP$3&lt;=$AE35),$AC35/$AF35*HLOOKUP(AP$3,'FX Lookup'!$A$2:$Y$4,3,FALSE),0)</f>
        <v>0</v>
      </c>
      <c r="AQ35" s="177">
        <f>IF(AND($AD35&lt;=AQ$3,AQ$3&lt;=$AE35),$AC35/$AF35*HLOOKUP(AQ$3,'FX Lookup'!$A$2:$Y$4,3,FALSE),0)</f>
        <v>0</v>
      </c>
      <c r="AR35" s="177">
        <f>IF(AND($AD35&lt;=AR$3,AR$3&lt;=$AE35),$AC35/$AF35*HLOOKUP(AR$3,'FX Lookup'!$A$2:$Y$4,3,FALSE),0)</f>
        <v>0</v>
      </c>
      <c r="AS35" s="178">
        <f t="shared" si="26"/>
        <v>0</v>
      </c>
      <c r="AU35" s="177">
        <f t="shared" si="27"/>
        <v>0</v>
      </c>
      <c r="AV35" s="177">
        <f t="shared" si="28"/>
        <v>0</v>
      </c>
      <c r="AW35" s="177">
        <f t="shared" si="29"/>
        <v>0</v>
      </c>
      <c r="AX35" s="177">
        <f t="shared" si="30"/>
        <v>0</v>
      </c>
      <c r="AY35" s="177">
        <f t="shared" si="31"/>
        <v>0</v>
      </c>
      <c r="AZ35" s="177">
        <f t="shared" si="32"/>
        <v>0</v>
      </c>
      <c r="BA35" s="177">
        <f t="shared" si="33"/>
        <v>0</v>
      </c>
      <c r="BB35" s="177">
        <f t="shared" si="34"/>
        <v>0</v>
      </c>
      <c r="BC35" s="177">
        <f t="shared" si="35"/>
        <v>0</v>
      </c>
      <c r="BD35" s="177">
        <f t="shared" si="36"/>
        <v>0</v>
      </c>
      <c r="BE35" s="177">
        <f t="shared" si="37"/>
        <v>0</v>
      </c>
      <c r="BF35" s="177">
        <f t="shared" si="38"/>
        <v>0</v>
      </c>
      <c r="BG35" s="178">
        <f t="shared" si="39"/>
        <v>0</v>
      </c>
    </row>
    <row r="36" spans="1:59" ht="13.5" customHeight="1">
      <c r="A36" s="171">
        <f t="shared" si="40"/>
        <v>7</v>
      </c>
      <c r="B36" s="171" t="str">
        <f t="shared" si="44"/>
        <v>ACPLHK</v>
      </c>
      <c r="C36" s="171" t="s">
        <v>1684</v>
      </c>
      <c r="D36" s="171" t="str">
        <f t="shared" si="41"/>
        <v>支付的其他与经营活动有关的现金（其他）</v>
      </c>
      <c r="E36" s="171" t="s">
        <v>2936</v>
      </c>
      <c r="F36" s="172" t="str">
        <f t="shared" ref="F36:F45" si="45">IF(F12="","",F12)</f>
        <v>Water Dispenser Inspection Fee</v>
      </c>
      <c r="G36" s="172"/>
      <c r="H36" s="77" t="s">
        <v>2613</v>
      </c>
      <c r="I36" s="173" t="s">
        <v>2614</v>
      </c>
      <c r="J36" s="173" t="s">
        <v>2368</v>
      </c>
      <c r="K36" s="77">
        <v>0</v>
      </c>
      <c r="L36" s="175">
        <v>45962</v>
      </c>
      <c r="M36" s="175">
        <v>45991</v>
      </c>
      <c r="N36" s="176">
        <f t="shared" si="42"/>
        <v>1</v>
      </c>
      <c r="O36" s="177">
        <f>IF(AND($L36&lt;=O$3,O$3&lt;=$M36),$K36/$N36*HLOOKUP(O$3,'FX Lookup'!$A$2:$Y$4,3,FALSE),0)</f>
        <v>0</v>
      </c>
      <c r="P36" s="177">
        <f>IF(AND($L36&lt;=P$3,P$3&lt;=$M36),$K36/$N36*HLOOKUP(P$3,'FX Lookup'!$A$2:$Y$4,3,FALSE),0)</f>
        <v>0</v>
      </c>
      <c r="Q36" s="177">
        <f>IF(AND($L36&lt;=Q$3,Q$3&lt;=$M36),$K36/$N36*HLOOKUP(Q$3,'FX Lookup'!$A$2:$Y$4,3,FALSE),0)</f>
        <v>0</v>
      </c>
      <c r="R36" s="177">
        <f>IF(AND($L36&lt;=R$3,R$3&lt;=$M36),$K36/$N36*HLOOKUP(R$3,'FX Lookup'!$A$2:$Y$4,3,FALSE),0)</f>
        <v>0</v>
      </c>
      <c r="S36" s="177">
        <f>IF(AND($L36&lt;=S$3,S$3&lt;=$M36),$K36/$N36*HLOOKUP(S$3,'FX Lookup'!$A$2:$Y$4,3,FALSE),0)</f>
        <v>0</v>
      </c>
      <c r="T36" s="177">
        <f>IF(AND($L36&lt;=T$3,T$3&lt;=$M36),$K36/$N36*HLOOKUP(T$3,'FX Lookup'!$A$2:$Y$4,3,FALSE),0)</f>
        <v>0</v>
      </c>
      <c r="U36" s="177">
        <f>IF(AND($L36&lt;=U$3,U$3&lt;=$M36),$K36/$N36*HLOOKUP(U$3,'FX Lookup'!$A$2:$Y$4,3,FALSE),0)</f>
        <v>0</v>
      </c>
      <c r="V36" s="177">
        <f>IF(AND($L36&lt;=V$3,V$3&lt;=$M36),$K36/$N36*HLOOKUP(V$3,'FX Lookup'!$A$2:$Y$4,3,FALSE),0)</f>
        <v>0</v>
      </c>
      <c r="W36" s="177">
        <f>IF(AND($L36&lt;=W$3,W$3&lt;=$M36),$K36/$N36*HLOOKUP(W$3,'FX Lookup'!$A$2:$Y$4,3,FALSE),0)</f>
        <v>0</v>
      </c>
      <c r="X36" s="177">
        <f>IF(AND($L36&lt;=X$3,X$3&lt;=$M36),$K36/$N36*HLOOKUP(X$3,'FX Lookup'!$A$2:$Y$4,3,FALSE),0)</f>
        <v>0</v>
      </c>
      <c r="Y36" s="177">
        <f>IF(AND($L36&lt;=Y$3,Y$3&lt;=$M36),$K36/$N36*HLOOKUP(Y$3,'FX Lookup'!$A$2:$Y$4,3,FALSE),0)</f>
        <v>0</v>
      </c>
      <c r="Z36" s="177">
        <f>IF(AND($L36&lt;=Z$3,Z$3&lt;=$M36),$K36/$N36*HLOOKUP(Z$3,'FX Lookup'!$A$2:$Y$4,3,FALSE),0)</f>
        <v>0</v>
      </c>
      <c r="AA36" s="178">
        <f t="shared" si="43"/>
        <v>0</v>
      </c>
      <c r="AB36" s="173" t="s">
        <v>2368</v>
      </c>
      <c r="AC36" s="77">
        <v>0</v>
      </c>
      <c r="AD36" s="175">
        <v>46023</v>
      </c>
      <c r="AE36" s="175">
        <v>46387</v>
      </c>
      <c r="AF36" s="176">
        <f t="shared" si="25"/>
        <v>12</v>
      </c>
      <c r="AG36" s="177">
        <f>IF(AND($AD36&lt;=AG$3,AG$3&lt;=$AE36),$AC36/$AF36*HLOOKUP(AG$3,'FX Lookup'!$A$2:$Y$4,3,FALSE),0)</f>
        <v>0</v>
      </c>
      <c r="AH36" s="177">
        <f>IF(AND($AD36&lt;=AH$3,AH$3&lt;=$AE36),$AC36/$AF36*HLOOKUP(AH$3,'FX Lookup'!$A$2:$Y$4,3,FALSE),0)</f>
        <v>0</v>
      </c>
      <c r="AI36" s="177">
        <f>IF(AND($AD36&lt;=AI$3,AI$3&lt;=$AE36),$AC36/$AF36*HLOOKUP(AI$3,'FX Lookup'!$A$2:$Y$4,3,FALSE),0)</f>
        <v>0</v>
      </c>
      <c r="AJ36" s="177">
        <f>IF(AND($AD36&lt;=AJ$3,AJ$3&lt;=$AE36),$AC36/$AF36*HLOOKUP(AJ$3,'FX Lookup'!$A$2:$Y$4,3,FALSE),0)</f>
        <v>0</v>
      </c>
      <c r="AK36" s="177">
        <f>IF(AND($AD36&lt;=AK$3,AK$3&lt;=$AE36),$AC36/$AF36*HLOOKUP(AK$3,'FX Lookup'!$A$2:$Y$4,3,FALSE),0)</f>
        <v>0</v>
      </c>
      <c r="AL36" s="177">
        <f>IF(AND($AD36&lt;=AL$3,AL$3&lt;=$AE36),$AC36/$AF36*HLOOKUP(AL$3,'FX Lookup'!$A$2:$Y$4,3,FALSE),0)</f>
        <v>0</v>
      </c>
      <c r="AM36" s="177">
        <f>IF(AND($AD36&lt;=AM$3,AM$3&lt;=$AE36),$AC36/$AF36*HLOOKUP(AM$3,'FX Lookup'!$A$2:$Y$4,3,FALSE),0)</f>
        <v>0</v>
      </c>
      <c r="AN36" s="177">
        <f>IF(AND($AD36&lt;=AN$3,AN$3&lt;=$AE36),$AC36/$AF36*HLOOKUP(AN$3,'FX Lookup'!$A$2:$Y$4,3,FALSE),0)</f>
        <v>0</v>
      </c>
      <c r="AO36" s="177">
        <f>IF(AND($AD36&lt;=AO$3,AO$3&lt;=$AE36),$AC36/$AF36*HLOOKUP(AO$3,'FX Lookup'!$A$2:$Y$4,3,FALSE),0)</f>
        <v>0</v>
      </c>
      <c r="AP36" s="177">
        <f>IF(AND($AD36&lt;=AP$3,AP$3&lt;=$AE36),$AC36/$AF36*HLOOKUP(AP$3,'FX Lookup'!$A$2:$Y$4,3,FALSE),0)</f>
        <v>0</v>
      </c>
      <c r="AQ36" s="177">
        <f>IF(AND($AD36&lt;=AQ$3,AQ$3&lt;=$AE36),$AC36/$AF36*HLOOKUP(AQ$3,'FX Lookup'!$A$2:$Y$4,3,FALSE),0)</f>
        <v>0</v>
      </c>
      <c r="AR36" s="177">
        <f>IF(AND($AD36&lt;=AR$3,AR$3&lt;=$AE36),$AC36/$AF36*HLOOKUP(AR$3,'FX Lookup'!$A$2:$Y$4,3,FALSE),0)</f>
        <v>0</v>
      </c>
      <c r="AS36" s="178">
        <f t="shared" si="26"/>
        <v>0</v>
      </c>
      <c r="AU36" s="177">
        <f t="shared" si="27"/>
        <v>0</v>
      </c>
      <c r="AV36" s="177">
        <f t="shared" si="28"/>
        <v>0</v>
      </c>
      <c r="AW36" s="177">
        <f t="shared" si="29"/>
        <v>0</v>
      </c>
      <c r="AX36" s="177">
        <f t="shared" si="30"/>
        <v>0</v>
      </c>
      <c r="AY36" s="177">
        <f t="shared" si="31"/>
        <v>0</v>
      </c>
      <c r="AZ36" s="177">
        <f t="shared" si="32"/>
        <v>0</v>
      </c>
      <c r="BA36" s="177">
        <f t="shared" si="33"/>
        <v>0</v>
      </c>
      <c r="BB36" s="177">
        <f t="shared" si="34"/>
        <v>0</v>
      </c>
      <c r="BC36" s="177">
        <f t="shared" si="35"/>
        <v>0</v>
      </c>
      <c r="BD36" s="177">
        <f t="shared" si="36"/>
        <v>0</v>
      </c>
      <c r="BE36" s="177">
        <f t="shared" si="37"/>
        <v>0</v>
      </c>
      <c r="BF36" s="177">
        <f t="shared" si="38"/>
        <v>0</v>
      </c>
      <c r="BG36" s="178">
        <f t="shared" si="39"/>
        <v>0</v>
      </c>
    </row>
    <row r="37" spans="1:59" ht="13.5" customHeight="1">
      <c r="A37" s="171">
        <f t="shared" si="40"/>
        <v>8</v>
      </c>
      <c r="B37" s="171" t="str">
        <f t="shared" si="44"/>
        <v>ACPLHK</v>
      </c>
      <c r="C37" s="171" t="s">
        <v>1894</v>
      </c>
      <c r="D37" s="171" t="str">
        <f t="shared" si="41"/>
        <v>汇率变动对现金的影响额</v>
      </c>
      <c r="E37" s="171"/>
      <c r="F37" s="172" t="str">
        <f t="shared" si="45"/>
        <v>FX Gain / Loss Net</v>
      </c>
      <c r="G37" s="172"/>
      <c r="H37" s="77" t="s">
        <v>2613</v>
      </c>
      <c r="I37" s="173" t="s">
        <v>2614</v>
      </c>
      <c r="J37" s="173" t="s">
        <v>2368</v>
      </c>
      <c r="K37" s="77"/>
      <c r="L37" s="175">
        <v>45658</v>
      </c>
      <c r="M37" s="175">
        <v>46022</v>
      </c>
      <c r="N37" s="176">
        <f t="shared" si="42"/>
        <v>12</v>
      </c>
      <c r="O37" s="177">
        <f>IF(AND($L37&lt;=O$3,O$3&lt;=$M37),$K37/$N37*HLOOKUP(O$3,'FX Lookup'!$A$2:$Y$4,3,FALSE),0)</f>
        <v>0</v>
      </c>
      <c r="P37" s="177">
        <f>IF(AND($L37&lt;=P$3,P$3&lt;=$M37),$K37/$N37*HLOOKUP(P$3,'FX Lookup'!$A$2:$Y$4,3,FALSE),0)</f>
        <v>0</v>
      </c>
      <c r="Q37" s="177">
        <f>IF(AND($L37&lt;=Q$3,Q$3&lt;=$M37),$K37/$N37*HLOOKUP(Q$3,'FX Lookup'!$A$2:$Y$4,3,FALSE),0)</f>
        <v>0</v>
      </c>
      <c r="R37" s="177">
        <f>IF(AND($L37&lt;=R$3,R$3&lt;=$M37),$K37/$N37*HLOOKUP(R$3,'FX Lookup'!$A$2:$Y$4,3,FALSE),0)</f>
        <v>0</v>
      </c>
      <c r="S37" s="177">
        <f>IF(AND($L37&lt;=S$3,S$3&lt;=$M37),$K37/$N37*HLOOKUP(S$3,'FX Lookup'!$A$2:$Y$4,3,FALSE),0)</f>
        <v>0</v>
      </c>
      <c r="T37" s="177">
        <f>IF(AND($L37&lt;=T$3,T$3&lt;=$M37),$K37/$N37*HLOOKUP(T$3,'FX Lookup'!$A$2:$Y$4,3,FALSE),0)</f>
        <v>0</v>
      </c>
      <c r="U37" s="177">
        <f>IF(AND($L37&lt;=U$3,U$3&lt;=$M37),$K37/$N37*HLOOKUP(U$3,'FX Lookup'!$A$2:$Y$4,3,FALSE),0)</f>
        <v>0</v>
      </c>
      <c r="V37" s="177">
        <f>IF(AND($L37&lt;=V$3,V$3&lt;=$M37),$K37/$N37*HLOOKUP(V$3,'FX Lookup'!$A$2:$Y$4,3,FALSE),0)</f>
        <v>0</v>
      </c>
      <c r="W37" s="177">
        <f>IF(AND($L37&lt;=W$3,W$3&lt;=$M37),$K37/$N37*HLOOKUP(W$3,'FX Lookup'!$A$2:$Y$4,3,FALSE),0)</f>
        <v>0</v>
      </c>
      <c r="X37" s="177">
        <f>IF(AND($L37&lt;=X$3,X$3&lt;=$M37),$K37/$N37*HLOOKUP(X$3,'FX Lookup'!$A$2:$Y$4,3,FALSE),0)</f>
        <v>0</v>
      </c>
      <c r="Y37" s="177">
        <f>IF(AND($L37&lt;=Y$3,Y$3&lt;=$M37),$K37/$N37*HLOOKUP(Y$3,'FX Lookup'!$A$2:$Y$4,3,FALSE),0)</f>
        <v>0</v>
      </c>
      <c r="Z37" s="177">
        <f>IF(AND($L37&lt;=Z$3,Z$3&lt;=$M37),$K37/$N37*HLOOKUP(Z$3,'FX Lookup'!$A$2:$Y$4,3,FALSE),0)</f>
        <v>0</v>
      </c>
      <c r="AA37" s="178">
        <f t="shared" si="43"/>
        <v>0</v>
      </c>
      <c r="AB37" s="173" t="s">
        <v>2368</v>
      </c>
      <c r="AC37" s="77"/>
      <c r="AD37" s="175">
        <v>46023</v>
      </c>
      <c r="AE37" s="175">
        <v>46387</v>
      </c>
      <c r="AF37" s="176">
        <f t="shared" si="25"/>
        <v>12</v>
      </c>
      <c r="AG37" s="177">
        <f>IF(AND($AD37&lt;=AG$3,AG$3&lt;=$AE37),$AC37/$AF37*HLOOKUP(AG$3,'FX Lookup'!$A$2:$Y$4,3,FALSE),0)</f>
        <v>0</v>
      </c>
      <c r="AH37" s="177">
        <f>IF(AND($AD37&lt;=AH$3,AH$3&lt;=$AE37),$AC37/$AF37*HLOOKUP(AH$3,'FX Lookup'!$A$2:$Y$4,3,FALSE),0)</f>
        <v>0</v>
      </c>
      <c r="AI37" s="177">
        <f>IF(AND($AD37&lt;=AI$3,AI$3&lt;=$AE37),$AC37/$AF37*HLOOKUP(AI$3,'FX Lookup'!$A$2:$Y$4,3,FALSE),0)</f>
        <v>0</v>
      </c>
      <c r="AJ37" s="177">
        <f>IF(AND($AD37&lt;=AJ$3,AJ$3&lt;=$AE37),$AC37/$AF37*HLOOKUP(AJ$3,'FX Lookup'!$A$2:$Y$4,3,FALSE),0)</f>
        <v>0</v>
      </c>
      <c r="AK37" s="177">
        <f>IF(AND($AD37&lt;=AK$3,AK$3&lt;=$AE37),$AC37/$AF37*HLOOKUP(AK$3,'FX Lookup'!$A$2:$Y$4,3,FALSE),0)</f>
        <v>0</v>
      </c>
      <c r="AL37" s="177">
        <f>IF(AND($AD37&lt;=AL$3,AL$3&lt;=$AE37),$AC37/$AF37*HLOOKUP(AL$3,'FX Lookup'!$A$2:$Y$4,3,FALSE),0)</f>
        <v>0</v>
      </c>
      <c r="AM37" s="177">
        <f>IF(AND($AD37&lt;=AM$3,AM$3&lt;=$AE37),$AC37/$AF37*HLOOKUP(AM$3,'FX Lookup'!$A$2:$Y$4,3,FALSE),0)</f>
        <v>0</v>
      </c>
      <c r="AN37" s="177">
        <f>IF(AND($AD37&lt;=AN$3,AN$3&lt;=$AE37),$AC37/$AF37*HLOOKUP(AN$3,'FX Lookup'!$A$2:$Y$4,3,FALSE),0)</f>
        <v>0</v>
      </c>
      <c r="AO37" s="177">
        <f>IF(AND($AD37&lt;=AO$3,AO$3&lt;=$AE37),$AC37/$AF37*HLOOKUP(AO$3,'FX Lookup'!$A$2:$Y$4,3,FALSE),0)</f>
        <v>0</v>
      </c>
      <c r="AP37" s="177">
        <f>IF(AND($AD37&lt;=AP$3,AP$3&lt;=$AE37),$AC37/$AF37*HLOOKUP(AP$3,'FX Lookup'!$A$2:$Y$4,3,FALSE),0)</f>
        <v>0</v>
      </c>
      <c r="AQ37" s="177">
        <f>IF(AND($AD37&lt;=AQ$3,AQ$3&lt;=$AE37),$AC37/$AF37*HLOOKUP(AQ$3,'FX Lookup'!$A$2:$Y$4,3,FALSE),0)</f>
        <v>0</v>
      </c>
      <c r="AR37" s="177">
        <f>IF(AND($AD37&lt;=AR$3,AR$3&lt;=$AE37),$AC37/$AF37*HLOOKUP(AR$3,'FX Lookup'!$A$2:$Y$4,3,FALSE),0)</f>
        <v>0</v>
      </c>
      <c r="AS37" s="178">
        <f t="shared" si="26"/>
        <v>0</v>
      </c>
      <c r="AU37" s="177">
        <f t="shared" si="27"/>
        <v>0</v>
      </c>
      <c r="AV37" s="177">
        <f t="shared" si="28"/>
        <v>0</v>
      </c>
      <c r="AW37" s="177">
        <f t="shared" si="29"/>
        <v>0</v>
      </c>
      <c r="AX37" s="177">
        <f t="shared" si="30"/>
        <v>0</v>
      </c>
      <c r="AY37" s="177">
        <f t="shared" si="31"/>
        <v>0</v>
      </c>
      <c r="AZ37" s="177">
        <f t="shared" si="32"/>
        <v>0</v>
      </c>
      <c r="BA37" s="177">
        <f t="shared" si="33"/>
        <v>0</v>
      </c>
      <c r="BB37" s="177">
        <f t="shared" si="34"/>
        <v>0</v>
      </c>
      <c r="BC37" s="177">
        <f t="shared" si="35"/>
        <v>0</v>
      </c>
      <c r="BD37" s="177">
        <f t="shared" si="36"/>
        <v>0</v>
      </c>
      <c r="BE37" s="177">
        <f t="shared" si="37"/>
        <v>0</v>
      </c>
      <c r="BF37" s="177">
        <f t="shared" si="38"/>
        <v>0</v>
      </c>
      <c r="BG37" s="178">
        <f t="shared" si="39"/>
        <v>0</v>
      </c>
    </row>
    <row r="38" spans="1:59" ht="13.5" customHeight="1">
      <c r="A38" s="171">
        <f t="shared" si="40"/>
        <v>9</v>
      </c>
      <c r="B38" s="171" t="str">
        <f t="shared" si="44"/>
        <v>ACPLHK</v>
      </c>
      <c r="C38" s="171" t="s">
        <v>1646</v>
      </c>
      <c r="D38" s="171" t="str">
        <f t="shared" si="41"/>
        <v>支付的其他与经营活动有关的现金（其他）</v>
      </c>
      <c r="E38" s="171" t="s">
        <v>2937</v>
      </c>
      <c r="F38" s="172" t="str">
        <f t="shared" si="45"/>
        <v>Printing</v>
      </c>
      <c r="G38" s="172"/>
      <c r="H38" s="77" t="s">
        <v>2613</v>
      </c>
      <c r="I38" s="173" t="s">
        <v>2614</v>
      </c>
      <c r="J38" s="173" t="s">
        <v>2368</v>
      </c>
      <c r="K38" s="174">
        <f>2000*(1+$K$1)*12</f>
        <v>25200</v>
      </c>
      <c r="L38" s="175">
        <v>45658</v>
      </c>
      <c r="M38" s="175">
        <v>46022</v>
      </c>
      <c r="N38" s="176">
        <f t="shared" si="42"/>
        <v>12</v>
      </c>
      <c r="O38" s="177">
        <f>IF(AND($L38&lt;=O$3,O$3&lt;=$M38),$K38/$N38*HLOOKUP(O$3,'FX Lookup'!$A$2:$Y$4,3,FALSE),0)</f>
        <v>1965.432</v>
      </c>
      <c r="P38" s="177">
        <f>IF(AND($L38&lt;=P$3,P$3&lt;=$M38),$K38/$N38*HLOOKUP(P$3,'FX Lookup'!$A$2:$Y$4,3,FALSE),0)</f>
        <v>1965.432</v>
      </c>
      <c r="Q38" s="177">
        <f>IF(AND($L38&lt;=Q$3,Q$3&lt;=$M38),$K38/$N38*HLOOKUP(Q$3,'FX Lookup'!$A$2:$Y$4,3,FALSE),0)</f>
        <v>1965.432</v>
      </c>
      <c r="R38" s="177">
        <f>IF(AND($L38&lt;=R$3,R$3&lt;=$M38),$K38/$N38*HLOOKUP(R$3,'FX Lookup'!$A$2:$Y$4,3,FALSE),0)</f>
        <v>1965.432</v>
      </c>
      <c r="S38" s="177">
        <f>IF(AND($L38&lt;=S$3,S$3&lt;=$M38),$K38/$N38*HLOOKUP(S$3,'FX Lookup'!$A$2:$Y$4,3,FALSE),0)</f>
        <v>1965.432</v>
      </c>
      <c r="T38" s="177">
        <f>IF(AND($L38&lt;=T$3,T$3&lt;=$M38),$K38/$N38*HLOOKUP(T$3,'FX Lookup'!$A$2:$Y$4,3,FALSE),0)</f>
        <v>1965.432</v>
      </c>
      <c r="U38" s="177">
        <f>IF(AND($L38&lt;=U$3,U$3&lt;=$M38),$K38/$N38*HLOOKUP(U$3,'FX Lookup'!$A$2:$Y$4,3,FALSE),0)</f>
        <v>1965.432</v>
      </c>
      <c r="V38" s="177">
        <f>IF(AND($L38&lt;=V$3,V$3&lt;=$M38),$K38/$N38*HLOOKUP(V$3,'FX Lookup'!$A$2:$Y$4,3,FALSE),0)</f>
        <v>1965.432</v>
      </c>
      <c r="W38" s="177">
        <f>IF(AND($L38&lt;=W$3,W$3&lt;=$M38),$K38/$N38*HLOOKUP(W$3,'FX Lookup'!$A$2:$Y$4,3,FALSE),0)</f>
        <v>1965.432</v>
      </c>
      <c r="X38" s="177">
        <f>IF(AND($L38&lt;=X$3,X$3&lt;=$M38),$K38/$N38*HLOOKUP(X$3,'FX Lookup'!$A$2:$Y$4,3,FALSE),0)</f>
        <v>1965.432</v>
      </c>
      <c r="Y38" s="177">
        <f>IF(AND($L38&lt;=Y$3,Y$3&lt;=$M38),$K38/$N38*HLOOKUP(Y$3,'FX Lookup'!$A$2:$Y$4,3,FALSE),0)</f>
        <v>1965.432</v>
      </c>
      <c r="Z38" s="177">
        <f>IF(AND($L38&lt;=Z$3,Z$3&lt;=$M38),$K38/$N38*HLOOKUP(Z$3,'FX Lookup'!$A$2:$Y$4,3,FALSE),0)</f>
        <v>1965.432</v>
      </c>
      <c r="AA38" s="178">
        <f t="shared" si="43"/>
        <v>23585.184000000005</v>
      </c>
      <c r="AB38" s="173" t="s">
        <v>2368</v>
      </c>
      <c r="AC38" s="174">
        <f>2000*(1+$AC$1)*12</f>
        <v>25200</v>
      </c>
      <c r="AD38" s="175">
        <v>46023</v>
      </c>
      <c r="AE38" s="175">
        <v>46387</v>
      </c>
      <c r="AF38" s="176">
        <f t="shared" si="25"/>
        <v>12</v>
      </c>
      <c r="AG38" s="177">
        <f>IF(AND($AD38&lt;=AG$3,AG$3&lt;=$AE38),$AC38/$AF38*HLOOKUP(AG$3,'FX Lookup'!$A$2:$Y$4,3,FALSE),0)</f>
        <v>1868.9789999999998</v>
      </c>
      <c r="AH38" s="177">
        <f>IF(AND($AD38&lt;=AH$3,AH$3&lt;=$AE38),$AC38/$AF38*HLOOKUP(AH$3,'FX Lookup'!$A$2:$Y$4,3,FALSE),0)</f>
        <v>1852.62</v>
      </c>
      <c r="AI38" s="177">
        <f>IF(AND($AD38&lt;=AI$3,AI$3&lt;=$AE38),$AC38/$AF38*HLOOKUP(AI$3,'FX Lookup'!$A$2:$Y$4,3,FALSE),0)</f>
        <v>1852.62</v>
      </c>
      <c r="AJ38" s="177">
        <f>IF(AND($AD38&lt;=AJ$3,AJ$3&lt;=$AE38),$AC38/$AF38*HLOOKUP(AJ$3,'FX Lookup'!$A$2:$Y$4,3,FALSE),0)</f>
        <v>1852.62</v>
      </c>
      <c r="AK38" s="177">
        <f>IF(AND($AD38&lt;=AK$3,AK$3&lt;=$AE38),$AC38/$AF38*HLOOKUP(AK$3,'FX Lookup'!$A$2:$Y$4,3,FALSE),0)</f>
        <v>1852.62</v>
      </c>
      <c r="AL38" s="177">
        <f>IF(AND($AD38&lt;=AL$3,AL$3&lt;=$AE38),$AC38/$AF38*HLOOKUP(AL$3,'FX Lookup'!$A$2:$Y$4,3,FALSE),0)</f>
        <v>1852.62</v>
      </c>
      <c r="AM38" s="177">
        <f>IF(AND($AD38&lt;=AM$3,AM$3&lt;=$AE38),$AC38/$AF38*HLOOKUP(AM$3,'FX Lookup'!$A$2:$Y$4,3,FALSE),0)</f>
        <v>1852.62</v>
      </c>
      <c r="AN38" s="177">
        <f>IF(AND($AD38&lt;=AN$3,AN$3&lt;=$AE38),$AC38/$AF38*HLOOKUP(AN$3,'FX Lookup'!$A$2:$Y$4,3,FALSE),0)</f>
        <v>1852.62</v>
      </c>
      <c r="AO38" s="177">
        <f>IF(AND($AD38&lt;=AO$3,AO$3&lt;=$AE38),$AC38/$AF38*HLOOKUP(AO$3,'FX Lookup'!$A$2:$Y$4,3,FALSE),0)</f>
        <v>1852.62</v>
      </c>
      <c r="AP38" s="177">
        <f>IF(AND($AD38&lt;=AP$3,AP$3&lt;=$AE38),$AC38/$AF38*HLOOKUP(AP$3,'FX Lookup'!$A$2:$Y$4,3,FALSE),0)</f>
        <v>1852.62</v>
      </c>
      <c r="AQ38" s="177">
        <f>IF(AND($AD38&lt;=AQ$3,AQ$3&lt;=$AE38),$AC38/$AF38*HLOOKUP(AQ$3,'FX Lookup'!$A$2:$Y$4,3,FALSE),0)</f>
        <v>1852.62</v>
      </c>
      <c r="AR38" s="177">
        <f>IF(AND($AD38&lt;=AR$3,AR$3&lt;=$AE38),$AC38/$AF38*HLOOKUP(AR$3,'FX Lookup'!$A$2:$Y$4,3,FALSE),0)</f>
        <v>1852.62</v>
      </c>
      <c r="AS38" s="178">
        <f t="shared" si="26"/>
        <v>22247.798999999992</v>
      </c>
      <c r="AU38" s="177">
        <f t="shared" si="27"/>
        <v>1962.4279499999998</v>
      </c>
      <c r="AV38" s="177">
        <f t="shared" si="28"/>
        <v>1945.251</v>
      </c>
      <c r="AW38" s="177">
        <f t="shared" si="29"/>
        <v>1945.251</v>
      </c>
      <c r="AX38" s="177">
        <f t="shared" si="30"/>
        <v>1945.251</v>
      </c>
      <c r="AY38" s="177">
        <f t="shared" si="31"/>
        <v>1945.251</v>
      </c>
      <c r="AZ38" s="177">
        <f t="shared" si="32"/>
        <v>1945.251</v>
      </c>
      <c r="BA38" s="177">
        <f t="shared" si="33"/>
        <v>1945.251</v>
      </c>
      <c r="BB38" s="177">
        <f t="shared" si="34"/>
        <v>1945.251</v>
      </c>
      <c r="BC38" s="177">
        <f t="shared" si="35"/>
        <v>1945.251</v>
      </c>
      <c r="BD38" s="177">
        <f t="shared" si="36"/>
        <v>1945.251</v>
      </c>
      <c r="BE38" s="177">
        <f t="shared" si="37"/>
        <v>1945.251</v>
      </c>
      <c r="BF38" s="177">
        <f t="shared" si="38"/>
        <v>1945.251</v>
      </c>
      <c r="BG38" s="178">
        <f t="shared" si="39"/>
        <v>23360.18895</v>
      </c>
    </row>
    <row r="39" spans="1:59" ht="13.5" customHeight="1">
      <c r="A39" s="171">
        <f t="shared" si="40"/>
        <v>10</v>
      </c>
      <c r="B39" s="171" t="str">
        <f t="shared" si="44"/>
        <v>ACPLHK</v>
      </c>
      <c r="C39" s="171"/>
      <c r="D39" s="171" t="str">
        <f t="shared" si="41"/>
        <v>购建固定资产、无形资产和其他长期资产支付的现金</v>
      </c>
      <c r="E39" s="171"/>
      <c r="F39" s="172" t="str">
        <f t="shared" si="45"/>
        <v>Purchase Furniture</v>
      </c>
      <c r="G39" s="172"/>
      <c r="H39" s="77" t="s">
        <v>2613</v>
      </c>
      <c r="I39" s="173" t="s">
        <v>2614</v>
      </c>
      <c r="J39" s="173" t="s">
        <v>2368</v>
      </c>
      <c r="K39" s="77"/>
      <c r="L39" s="175">
        <v>45658</v>
      </c>
      <c r="M39" s="175">
        <v>46022</v>
      </c>
      <c r="N39" s="176">
        <f t="shared" si="42"/>
        <v>12</v>
      </c>
      <c r="O39" s="177">
        <f>IF(AND($L39&lt;=O$3,O$3&lt;=$M39),$K39/$N39*HLOOKUP(O$3,'FX Lookup'!$A$2:$Y$4,3,FALSE),0)</f>
        <v>0</v>
      </c>
      <c r="P39" s="177">
        <f>IF(AND($L39&lt;=P$3,P$3&lt;=$M39),$K39/$N39*HLOOKUP(P$3,'FX Lookup'!$A$2:$Y$4,3,FALSE),0)</f>
        <v>0</v>
      </c>
      <c r="Q39" s="177">
        <f>IF(AND($L39&lt;=Q$3,Q$3&lt;=$M39),$K39/$N39*HLOOKUP(Q$3,'FX Lookup'!$A$2:$Y$4,3,FALSE),0)</f>
        <v>0</v>
      </c>
      <c r="R39" s="177">
        <f>IF(AND($L39&lt;=R$3,R$3&lt;=$M39),$K39/$N39*HLOOKUP(R$3,'FX Lookup'!$A$2:$Y$4,3,FALSE),0)</f>
        <v>0</v>
      </c>
      <c r="S39" s="177">
        <f>IF(AND($L39&lt;=S$3,S$3&lt;=$M39),$K39/$N39*HLOOKUP(S$3,'FX Lookup'!$A$2:$Y$4,3,FALSE),0)</f>
        <v>0</v>
      </c>
      <c r="T39" s="177">
        <f>IF(AND($L39&lt;=T$3,T$3&lt;=$M39),$K39/$N39*HLOOKUP(T$3,'FX Lookup'!$A$2:$Y$4,3,FALSE),0)</f>
        <v>0</v>
      </c>
      <c r="U39" s="177">
        <f>IF(AND($L39&lt;=U$3,U$3&lt;=$M39),$K39/$N39*HLOOKUP(U$3,'FX Lookup'!$A$2:$Y$4,3,FALSE),0)</f>
        <v>0</v>
      </c>
      <c r="V39" s="177">
        <f>IF(AND($L39&lt;=V$3,V$3&lt;=$M39),$K39/$N39*HLOOKUP(V$3,'FX Lookup'!$A$2:$Y$4,3,FALSE),0)</f>
        <v>0</v>
      </c>
      <c r="W39" s="177">
        <f>IF(AND($L39&lt;=W$3,W$3&lt;=$M39),$K39/$N39*HLOOKUP(W$3,'FX Lookup'!$A$2:$Y$4,3,FALSE),0)</f>
        <v>0</v>
      </c>
      <c r="X39" s="177">
        <f>IF(AND($L39&lt;=X$3,X$3&lt;=$M39),$K39/$N39*HLOOKUP(X$3,'FX Lookup'!$A$2:$Y$4,3,FALSE),0)</f>
        <v>0</v>
      </c>
      <c r="Y39" s="177">
        <f>IF(AND($L39&lt;=Y$3,Y$3&lt;=$M39),$K39/$N39*HLOOKUP(Y$3,'FX Lookup'!$A$2:$Y$4,3,FALSE),0)</f>
        <v>0</v>
      </c>
      <c r="Z39" s="177">
        <f>IF(AND($L39&lt;=Z$3,Z$3&lt;=$M39),$K39/$N39*HLOOKUP(Z$3,'FX Lookup'!$A$2:$Y$4,3,FALSE),0)</f>
        <v>0</v>
      </c>
      <c r="AA39" s="178">
        <f t="shared" si="43"/>
        <v>0</v>
      </c>
      <c r="AB39" s="173" t="s">
        <v>2368</v>
      </c>
      <c r="AC39" s="77"/>
      <c r="AD39" s="175">
        <v>46023</v>
      </c>
      <c r="AE39" s="175">
        <v>46387</v>
      </c>
      <c r="AF39" s="176">
        <f t="shared" si="25"/>
        <v>12</v>
      </c>
      <c r="AG39" s="177">
        <f>IF(AND($AD39&lt;=AG$3,AG$3&lt;=$AE39),$AC39/$AF39*HLOOKUP(AG$3,'FX Lookup'!$A$2:$Y$4,3,FALSE),0)</f>
        <v>0</v>
      </c>
      <c r="AH39" s="177">
        <f>IF(AND($AD39&lt;=AH$3,AH$3&lt;=$AE39),$AC39/$AF39*HLOOKUP(AH$3,'FX Lookup'!$A$2:$Y$4,3,FALSE),0)</f>
        <v>0</v>
      </c>
      <c r="AI39" s="177">
        <f>IF(AND($AD39&lt;=AI$3,AI$3&lt;=$AE39),$AC39/$AF39*HLOOKUP(AI$3,'FX Lookup'!$A$2:$Y$4,3,FALSE),0)</f>
        <v>0</v>
      </c>
      <c r="AJ39" s="177">
        <f>IF(AND($AD39&lt;=AJ$3,AJ$3&lt;=$AE39),$AC39/$AF39*HLOOKUP(AJ$3,'FX Lookup'!$A$2:$Y$4,3,FALSE),0)</f>
        <v>0</v>
      </c>
      <c r="AK39" s="177">
        <f>IF(AND($AD39&lt;=AK$3,AK$3&lt;=$AE39),$AC39/$AF39*HLOOKUP(AK$3,'FX Lookup'!$A$2:$Y$4,3,FALSE),0)</f>
        <v>0</v>
      </c>
      <c r="AL39" s="177">
        <f>IF(AND($AD39&lt;=AL$3,AL$3&lt;=$AE39),$AC39/$AF39*HLOOKUP(AL$3,'FX Lookup'!$A$2:$Y$4,3,FALSE),0)</f>
        <v>0</v>
      </c>
      <c r="AM39" s="177">
        <f>IF(AND($AD39&lt;=AM$3,AM$3&lt;=$AE39),$AC39/$AF39*HLOOKUP(AM$3,'FX Lookup'!$A$2:$Y$4,3,FALSE),0)</f>
        <v>0</v>
      </c>
      <c r="AN39" s="177">
        <f>IF(AND($AD39&lt;=AN$3,AN$3&lt;=$AE39),$AC39/$AF39*HLOOKUP(AN$3,'FX Lookup'!$A$2:$Y$4,3,FALSE),0)</f>
        <v>0</v>
      </c>
      <c r="AO39" s="177">
        <f>IF(AND($AD39&lt;=AO$3,AO$3&lt;=$AE39),$AC39/$AF39*HLOOKUP(AO$3,'FX Lookup'!$A$2:$Y$4,3,FALSE),0)</f>
        <v>0</v>
      </c>
      <c r="AP39" s="177">
        <f>IF(AND($AD39&lt;=AP$3,AP$3&lt;=$AE39),$AC39/$AF39*HLOOKUP(AP$3,'FX Lookup'!$A$2:$Y$4,3,FALSE),0)</f>
        <v>0</v>
      </c>
      <c r="AQ39" s="177">
        <f>IF(AND($AD39&lt;=AQ$3,AQ$3&lt;=$AE39),$AC39/$AF39*HLOOKUP(AQ$3,'FX Lookup'!$A$2:$Y$4,3,FALSE),0)</f>
        <v>0</v>
      </c>
      <c r="AR39" s="177">
        <f>IF(AND($AD39&lt;=AR$3,AR$3&lt;=$AE39),$AC39/$AF39*HLOOKUP(AR$3,'FX Lookup'!$A$2:$Y$4,3,FALSE),0)</f>
        <v>0</v>
      </c>
      <c r="AS39" s="178">
        <f t="shared" si="26"/>
        <v>0</v>
      </c>
      <c r="AU39" s="177">
        <f t="shared" si="27"/>
        <v>0</v>
      </c>
      <c r="AV39" s="177">
        <f t="shared" si="28"/>
        <v>0</v>
      </c>
      <c r="AW39" s="177">
        <f t="shared" si="29"/>
        <v>0</v>
      </c>
      <c r="AX39" s="177">
        <f t="shared" si="30"/>
        <v>0</v>
      </c>
      <c r="AY39" s="177">
        <f t="shared" si="31"/>
        <v>0</v>
      </c>
      <c r="AZ39" s="177">
        <f t="shared" si="32"/>
        <v>0</v>
      </c>
      <c r="BA39" s="177">
        <f t="shared" si="33"/>
        <v>0</v>
      </c>
      <c r="BB39" s="177">
        <f t="shared" si="34"/>
        <v>0</v>
      </c>
      <c r="BC39" s="177">
        <f t="shared" si="35"/>
        <v>0</v>
      </c>
      <c r="BD39" s="177">
        <f t="shared" si="36"/>
        <v>0</v>
      </c>
      <c r="BE39" s="177">
        <f t="shared" si="37"/>
        <v>0</v>
      </c>
      <c r="BF39" s="177">
        <f t="shared" si="38"/>
        <v>0</v>
      </c>
      <c r="BG39" s="178">
        <f t="shared" si="39"/>
        <v>0</v>
      </c>
    </row>
    <row r="40" spans="1:59" ht="13.5" customHeight="1">
      <c r="A40" s="171">
        <f t="shared" si="40"/>
        <v>11</v>
      </c>
      <c r="B40" s="171" t="str">
        <f t="shared" si="44"/>
        <v>ACPLHK</v>
      </c>
      <c r="C40" s="171"/>
      <c r="D40" s="171" t="str">
        <f t="shared" si="41"/>
        <v>购建固定资产、无形资产和其他长期资产支付的现金</v>
      </c>
      <c r="E40" s="171"/>
      <c r="F40" s="172" t="str">
        <f t="shared" si="45"/>
        <v>Purchase Equipment</v>
      </c>
      <c r="G40" s="172"/>
      <c r="H40" s="77" t="s">
        <v>2613</v>
      </c>
      <c r="I40" s="173" t="s">
        <v>2614</v>
      </c>
      <c r="J40" s="173" t="s">
        <v>2368</v>
      </c>
      <c r="K40" s="77"/>
      <c r="L40" s="175">
        <v>45658</v>
      </c>
      <c r="M40" s="175">
        <v>46022</v>
      </c>
      <c r="N40" s="176">
        <f t="shared" si="42"/>
        <v>12</v>
      </c>
      <c r="O40" s="177">
        <f>IF(AND($L40&lt;=O$3,O$3&lt;=$M40),$K40/$N40*HLOOKUP(O$3,'FX Lookup'!$A$2:$Y$4,3,FALSE),0)</f>
        <v>0</v>
      </c>
      <c r="P40" s="177">
        <f>IF(AND($L40&lt;=P$3,P$3&lt;=$M40),$K40/$N40*HLOOKUP(P$3,'FX Lookup'!$A$2:$Y$4,3,FALSE),0)</f>
        <v>0</v>
      </c>
      <c r="Q40" s="177">
        <f>IF(AND($L40&lt;=Q$3,Q$3&lt;=$M40),$K40/$N40*HLOOKUP(Q$3,'FX Lookup'!$A$2:$Y$4,3,FALSE),0)</f>
        <v>0</v>
      </c>
      <c r="R40" s="177">
        <f>IF(AND($L40&lt;=R$3,R$3&lt;=$M40),$K40/$N40*HLOOKUP(R$3,'FX Lookup'!$A$2:$Y$4,3,FALSE),0)</f>
        <v>0</v>
      </c>
      <c r="S40" s="177">
        <f>IF(AND($L40&lt;=S$3,S$3&lt;=$M40),$K40/$N40*HLOOKUP(S$3,'FX Lookup'!$A$2:$Y$4,3,FALSE),0)</f>
        <v>0</v>
      </c>
      <c r="T40" s="177">
        <f>IF(AND($L40&lt;=T$3,T$3&lt;=$M40),$K40/$N40*HLOOKUP(T$3,'FX Lookup'!$A$2:$Y$4,3,FALSE),0)</f>
        <v>0</v>
      </c>
      <c r="U40" s="177">
        <f>IF(AND($L40&lt;=U$3,U$3&lt;=$M40),$K40/$N40*HLOOKUP(U$3,'FX Lookup'!$A$2:$Y$4,3,FALSE),0)</f>
        <v>0</v>
      </c>
      <c r="V40" s="177">
        <f>IF(AND($L40&lt;=V$3,V$3&lt;=$M40),$K40/$N40*HLOOKUP(V$3,'FX Lookup'!$A$2:$Y$4,3,FALSE),0)</f>
        <v>0</v>
      </c>
      <c r="W40" s="177">
        <f>IF(AND($L40&lt;=W$3,W$3&lt;=$M40),$K40/$N40*HLOOKUP(W$3,'FX Lookup'!$A$2:$Y$4,3,FALSE),0)</f>
        <v>0</v>
      </c>
      <c r="X40" s="177">
        <f>IF(AND($L40&lt;=X$3,X$3&lt;=$M40),$K40/$N40*HLOOKUP(X$3,'FX Lookup'!$A$2:$Y$4,3,FALSE),0)</f>
        <v>0</v>
      </c>
      <c r="Y40" s="177">
        <f>IF(AND($L40&lt;=Y$3,Y$3&lt;=$M40),$K40/$N40*HLOOKUP(Y$3,'FX Lookup'!$A$2:$Y$4,3,FALSE),0)</f>
        <v>0</v>
      </c>
      <c r="Z40" s="177">
        <f>IF(AND($L40&lt;=Z$3,Z$3&lt;=$M40),$K40/$N40*HLOOKUP(Z$3,'FX Lookup'!$A$2:$Y$4,3,FALSE),0)</f>
        <v>0</v>
      </c>
      <c r="AA40" s="178">
        <f t="shared" si="43"/>
        <v>0</v>
      </c>
      <c r="AB40" s="173" t="s">
        <v>2368</v>
      </c>
      <c r="AC40" s="77"/>
      <c r="AD40" s="175">
        <v>46023</v>
      </c>
      <c r="AE40" s="175">
        <v>46387</v>
      </c>
      <c r="AF40" s="176">
        <f t="shared" si="25"/>
        <v>12</v>
      </c>
      <c r="AG40" s="177">
        <f>IF(AND($AD40&lt;=AG$3,AG$3&lt;=$AE40),$AC40/$AF40*HLOOKUP(AG$3,'FX Lookup'!$A$2:$Y$4,3,FALSE),0)</f>
        <v>0</v>
      </c>
      <c r="AH40" s="177">
        <f>IF(AND($AD40&lt;=AH$3,AH$3&lt;=$AE40),$AC40/$AF40*HLOOKUP(AH$3,'FX Lookup'!$A$2:$Y$4,3,FALSE),0)</f>
        <v>0</v>
      </c>
      <c r="AI40" s="177">
        <f>IF(AND($AD40&lt;=AI$3,AI$3&lt;=$AE40),$AC40/$AF40*HLOOKUP(AI$3,'FX Lookup'!$A$2:$Y$4,3,FALSE),0)</f>
        <v>0</v>
      </c>
      <c r="AJ40" s="177">
        <f>IF(AND($AD40&lt;=AJ$3,AJ$3&lt;=$AE40),$AC40/$AF40*HLOOKUP(AJ$3,'FX Lookup'!$A$2:$Y$4,3,FALSE),0)</f>
        <v>0</v>
      </c>
      <c r="AK40" s="177">
        <f>IF(AND($AD40&lt;=AK$3,AK$3&lt;=$AE40),$AC40/$AF40*HLOOKUP(AK$3,'FX Lookup'!$A$2:$Y$4,3,FALSE),0)</f>
        <v>0</v>
      </c>
      <c r="AL40" s="177">
        <f>IF(AND($AD40&lt;=AL$3,AL$3&lt;=$AE40),$AC40/$AF40*HLOOKUP(AL$3,'FX Lookup'!$A$2:$Y$4,3,FALSE),0)</f>
        <v>0</v>
      </c>
      <c r="AM40" s="177">
        <f>IF(AND($AD40&lt;=AM$3,AM$3&lt;=$AE40),$AC40/$AF40*HLOOKUP(AM$3,'FX Lookup'!$A$2:$Y$4,3,FALSE),0)</f>
        <v>0</v>
      </c>
      <c r="AN40" s="177">
        <f>IF(AND($AD40&lt;=AN$3,AN$3&lt;=$AE40),$AC40/$AF40*HLOOKUP(AN$3,'FX Lookup'!$A$2:$Y$4,3,FALSE),0)</f>
        <v>0</v>
      </c>
      <c r="AO40" s="177">
        <f>IF(AND($AD40&lt;=AO$3,AO$3&lt;=$AE40),$AC40/$AF40*HLOOKUP(AO$3,'FX Lookup'!$A$2:$Y$4,3,FALSE),0)</f>
        <v>0</v>
      </c>
      <c r="AP40" s="177">
        <f>IF(AND($AD40&lt;=AP$3,AP$3&lt;=$AE40),$AC40/$AF40*HLOOKUP(AP$3,'FX Lookup'!$A$2:$Y$4,3,FALSE),0)</f>
        <v>0</v>
      </c>
      <c r="AQ40" s="177">
        <f>IF(AND($AD40&lt;=AQ$3,AQ$3&lt;=$AE40),$AC40/$AF40*HLOOKUP(AQ$3,'FX Lookup'!$A$2:$Y$4,3,FALSE),0)</f>
        <v>0</v>
      </c>
      <c r="AR40" s="177">
        <f>IF(AND($AD40&lt;=AR$3,AR$3&lt;=$AE40),$AC40/$AF40*HLOOKUP(AR$3,'FX Lookup'!$A$2:$Y$4,3,FALSE),0)</f>
        <v>0</v>
      </c>
      <c r="AS40" s="178">
        <f t="shared" si="26"/>
        <v>0</v>
      </c>
      <c r="AU40" s="177">
        <f t="shared" si="27"/>
        <v>0</v>
      </c>
      <c r="AV40" s="177">
        <f t="shared" si="28"/>
        <v>0</v>
      </c>
      <c r="AW40" s="177">
        <f t="shared" si="29"/>
        <v>0</v>
      </c>
      <c r="AX40" s="177">
        <f t="shared" si="30"/>
        <v>0</v>
      </c>
      <c r="AY40" s="177">
        <f t="shared" si="31"/>
        <v>0</v>
      </c>
      <c r="AZ40" s="177">
        <f t="shared" si="32"/>
        <v>0</v>
      </c>
      <c r="BA40" s="177">
        <f t="shared" si="33"/>
        <v>0</v>
      </c>
      <c r="BB40" s="177">
        <f t="shared" si="34"/>
        <v>0</v>
      </c>
      <c r="BC40" s="177">
        <f t="shared" si="35"/>
        <v>0</v>
      </c>
      <c r="BD40" s="177">
        <f t="shared" si="36"/>
        <v>0</v>
      </c>
      <c r="BE40" s="177">
        <f t="shared" si="37"/>
        <v>0</v>
      </c>
      <c r="BF40" s="177">
        <f t="shared" si="38"/>
        <v>0</v>
      </c>
      <c r="BG40" s="178">
        <f t="shared" si="39"/>
        <v>0</v>
      </c>
    </row>
    <row r="41" spans="1:59" ht="13.5" customHeight="1">
      <c r="A41" s="171">
        <f t="shared" si="40"/>
        <v>12</v>
      </c>
      <c r="B41" s="171" t="str">
        <f t="shared" si="44"/>
        <v>ACPLHK</v>
      </c>
      <c r="C41" s="171" t="s">
        <v>1888</v>
      </c>
      <c r="D41" s="171" t="str">
        <f t="shared" si="41"/>
        <v>支付的其他与经营活动有关的现金（其他）</v>
      </c>
      <c r="E41" s="171" t="s">
        <v>2938</v>
      </c>
      <c r="F41" s="172" t="str">
        <f t="shared" si="45"/>
        <v>Physical Security Systems</v>
      </c>
      <c r="G41" s="172" t="s">
        <v>2939</v>
      </c>
      <c r="H41" s="77" t="s">
        <v>2613</v>
      </c>
      <c r="I41" s="173" t="s">
        <v>2614</v>
      </c>
      <c r="J41" s="173" t="s">
        <v>2368</v>
      </c>
      <c r="K41" s="174">
        <f>4257*(1+$K$1)</f>
        <v>4469.8500000000004</v>
      </c>
      <c r="L41" s="175">
        <v>45962</v>
      </c>
      <c r="M41" s="175">
        <v>45991</v>
      </c>
      <c r="N41" s="176">
        <f t="shared" si="42"/>
        <v>1</v>
      </c>
      <c r="O41" s="177">
        <f>IF(AND($L41&lt;=O$3,O$3&lt;=$M41),$K41/$N41*HLOOKUP(O$3,'FX Lookup'!$A$2:$Y$4,3,FALSE),0)</f>
        <v>0</v>
      </c>
      <c r="P41" s="177">
        <f>IF(AND($L41&lt;=P$3,P$3&lt;=$M41),$K41/$N41*HLOOKUP(P$3,'FX Lookup'!$A$2:$Y$4,3,FALSE),0)</f>
        <v>0</v>
      </c>
      <c r="Q41" s="177">
        <f>IF(AND($L41&lt;=Q$3,Q$3&lt;=$M41),$K41/$N41*HLOOKUP(Q$3,'FX Lookup'!$A$2:$Y$4,3,FALSE),0)</f>
        <v>0</v>
      </c>
      <c r="R41" s="177">
        <f>IF(AND($L41&lt;=R$3,R$3&lt;=$M41),$K41/$N41*HLOOKUP(R$3,'FX Lookup'!$A$2:$Y$4,3,FALSE),0)</f>
        <v>0</v>
      </c>
      <c r="S41" s="177">
        <f>IF(AND($L41&lt;=S$3,S$3&lt;=$M41),$K41/$N41*HLOOKUP(S$3,'FX Lookup'!$A$2:$Y$4,3,FALSE),0)</f>
        <v>0</v>
      </c>
      <c r="T41" s="177">
        <f>IF(AND($L41&lt;=T$3,T$3&lt;=$M41),$K41/$N41*HLOOKUP(T$3,'FX Lookup'!$A$2:$Y$4,3,FALSE),0)</f>
        <v>0</v>
      </c>
      <c r="U41" s="177">
        <f>IF(AND($L41&lt;=U$3,U$3&lt;=$M41),$K41/$N41*HLOOKUP(U$3,'FX Lookup'!$A$2:$Y$4,3,FALSE),0)</f>
        <v>0</v>
      </c>
      <c r="V41" s="177">
        <f>IF(AND($L41&lt;=V$3,V$3&lt;=$M41),$K41/$N41*HLOOKUP(V$3,'FX Lookup'!$A$2:$Y$4,3,FALSE),0)</f>
        <v>0</v>
      </c>
      <c r="W41" s="177">
        <f>IF(AND($L41&lt;=W$3,W$3&lt;=$M41),$K41/$N41*HLOOKUP(W$3,'FX Lookup'!$A$2:$Y$4,3,FALSE),0)</f>
        <v>0</v>
      </c>
      <c r="X41" s="177">
        <f>IF(AND($L41&lt;=X$3,X$3&lt;=$M41),$K41/$N41*HLOOKUP(X$3,'FX Lookup'!$A$2:$Y$4,3,FALSE),0)</f>
        <v>0</v>
      </c>
      <c r="Y41" s="177">
        <f>IF(AND($L41&lt;=Y$3,Y$3&lt;=$M41),$K41/$N41*HLOOKUP(Y$3,'FX Lookup'!$A$2:$Y$4,3,FALSE),0)</f>
        <v>4183.422012</v>
      </c>
      <c r="Z41" s="177">
        <f>IF(AND($L41&lt;=Z$3,Z$3&lt;=$M41),$K41/$N41*HLOOKUP(Z$3,'FX Lookup'!$A$2:$Y$4,3,FALSE),0)</f>
        <v>0</v>
      </c>
      <c r="AA41" s="178">
        <f t="shared" si="43"/>
        <v>4183.422012</v>
      </c>
      <c r="AB41" s="173" t="s">
        <v>2368</v>
      </c>
      <c r="AC41" s="174">
        <f>4257*(1+$AC$1)</f>
        <v>4469.8500000000004</v>
      </c>
      <c r="AD41" s="175">
        <v>46327</v>
      </c>
      <c r="AE41" s="175">
        <v>46356</v>
      </c>
      <c r="AF41" s="176">
        <f t="shared" si="25"/>
        <v>1</v>
      </c>
      <c r="AG41" s="177">
        <f>IF(AND($AD41&lt;=AG$3,AG$3&lt;=$AE41),$AC41/$AF41*HLOOKUP(AG$3,'FX Lookup'!$A$2:$Y$4,3,FALSE),0)</f>
        <v>0</v>
      </c>
      <c r="AH41" s="177">
        <f>IF(AND($AD41&lt;=AH$3,AH$3&lt;=$AE41),$AC41/$AF41*HLOOKUP(AH$3,'FX Lookup'!$A$2:$Y$4,3,FALSE),0)</f>
        <v>0</v>
      </c>
      <c r="AI41" s="177">
        <f>IF(AND($AD41&lt;=AI$3,AI$3&lt;=$AE41),$AC41/$AF41*HLOOKUP(AI$3,'FX Lookup'!$A$2:$Y$4,3,FALSE),0)</f>
        <v>0</v>
      </c>
      <c r="AJ41" s="177">
        <f>IF(AND($AD41&lt;=AJ$3,AJ$3&lt;=$AE41),$AC41/$AF41*HLOOKUP(AJ$3,'FX Lookup'!$A$2:$Y$4,3,FALSE),0)</f>
        <v>0</v>
      </c>
      <c r="AK41" s="177">
        <f>IF(AND($AD41&lt;=AK$3,AK$3&lt;=$AE41),$AC41/$AF41*HLOOKUP(AK$3,'FX Lookup'!$A$2:$Y$4,3,FALSE),0)</f>
        <v>0</v>
      </c>
      <c r="AL41" s="177">
        <f>IF(AND($AD41&lt;=AL$3,AL$3&lt;=$AE41),$AC41/$AF41*HLOOKUP(AL$3,'FX Lookup'!$A$2:$Y$4,3,FALSE),0)</f>
        <v>0</v>
      </c>
      <c r="AM41" s="177">
        <f>IF(AND($AD41&lt;=AM$3,AM$3&lt;=$AE41),$AC41/$AF41*HLOOKUP(AM$3,'FX Lookup'!$A$2:$Y$4,3,FALSE),0)</f>
        <v>0</v>
      </c>
      <c r="AN41" s="177">
        <f>IF(AND($AD41&lt;=AN$3,AN$3&lt;=$AE41),$AC41/$AF41*HLOOKUP(AN$3,'FX Lookup'!$A$2:$Y$4,3,FALSE),0)</f>
        <v>0</v>
      </c>
      <c r="AO41" s="177">
        <f>IF(AND($AD41&lt;=AO$3,AO$3&lt;=$AE41),$AC41/$AF41*HLOOKUP(AO$3,'FX Lookup'!$A$2:$Y$4,3,FALSE),0)</f>
        <v>0</v>
      </c>
      <c r="AP41" s="177">
        <f>IF(AND($AD41&lt;=AP$3,AP$3&lt;=$AE41),$AC41/$AF41*HLOOKUP(AP$3,'FX Lookup'!$A$2:$Y$4,3,FALSE),0)</f>
        <v>0</v>
      </c>
      <c r="AQ41" s="177">
        <f>IF(AND($AD41&lt;=AQ$3,AQ$3&lt;=$AE41),$AC41/$AF41*HLOOKUP(AQ$3,'FX Lookup'!$A$2:$Y$4,3,FALSE),0)</f>
        <v>3943.3016700000003</v>
      </c>
      <c r="AR41" s="177">
        <f>IF(AND($AD41&lt;=AR$3,AR$3&lt;=$AE41),$AC41/$AF41*HLOOKUP(AR$3,'FX Lookup'!$A$2:$Y$4,3,FALSE),0)</f>
        <v>0</v>
      </c>
      <c r="AS41" s="178">
        <f t="shared" si="26"/>
        <v>3943.3016700000003</v>
      </c>
      <c r="AU41" s="177">
        <f t="shared" si="27"/>
        <v>0</v>
      </c>
      <c r="AV41" s="177">
        <f t="shared" si="28"/>
        <v>0</v>
      </c>
      <c r="AW41" s="177">
        <f t="shared" si="29"/>
        <v>0</v>
      </c>
      <c r="AX41" s="177">
        <f t="shared" si="30"/>
        <v>0</v>
      </c>
      <c r="AY41" s="177">
        <f t="shared" si="31"/>
        <v>0</v>
      </c>
      <c r="AZ41" s="177">
        <f t="shared" si="32"/>
        <v>0</v>
      </c>
      <c r="BA41" s="177">
        <f t="shared" si="33"/>
        <v>0</v>
      </c>
      <c r="BB41" s="177">
        <f t="shared" si="34"/>
        <v>0</v>
      </c>
      <c r="BC41" s="177">
        <f t="shared" si="35"/>
        <v>0</v>
      </c>
      <c r="BD41" s="177">
        <f t="shared" si="36"/>
        <v>0</v>
      </c>
      <c r="BE41" s="177">
        <f t="shared" si="37"/>
        <v>4140.4667535000008</v>
      </c>
      <c r="BF41" s="177">
        <f t="shared" si="38"/>
        <v>0</v>
      </c>
      <c r="BG41" s="178">
        <f t="shared" si="39"/>
        <v>4140.4667535000008</v>
      </c>
    </row>
    <row r="42" spans="1:59" ht="13.5" customHeight="1">
      <c r="A42" s="171">
        <f t="shared" si="40"/>
        <v>13</v>
      </c>
      <c r="B42" s="171" t="str">
        <f t="shared" si="44"/>
        <v>ACPLHK</v>
      </c>
      <c r="C42" s="171" t="s">
        <v>1652</v>
      </c>
      <c r="D42" s="171" t="str">
        <f t="shared" si="41"/>
        <v>支付的其他与经营活动有关的现金（其他）</v>
      </c>
      <c r="E42" s="171" t="s">
        <v>2324</v>
      </c>
      <c r="F42" s="172" t="str">
        <f t="shared" si="45"/>
        <v>Office Package/Travel Insurance</v>
      </c>
      <c r="G42" s="172" t="s">
        <v>2940</v>
      </c>
      <c r="H42" s="77" t="s">
        <v>2613</v>
      </c>
      <c r="I42" s="173" t="s">
        <v>2614</v>
      </c>
      <c r="J42" s="173" t="s">
        <v>2368</v>
      </c>
      <c r="K42" s="174">
        <f>61020*(1+$K$1)</f>
        <v>64071</v>
      </c>
      <c r="L42" s="175">
        <v>45748</v>
      </c>
      <c r="M42" s="175">
        <v>45777</v>
      </c>
      <c r="N42" s="176">
        <f t="shared" si="42"/>
        <v>1</v>
      </c>
      <c r="O42" s="177">
        <f>IF(AND($L42&lt;=O$3,O$3&lt;=$M42),$K42/$N42*HLOOKUP(O$3,'FX Lookup'!$A$2:$Y$4,3,FALSE),0)</f>
        <v>0</v>
      </c>
      <c r="P42" s="177">
        <f>IF(AND($L42&lt;=P$3,P$3&lt;=$M42),$K42/$N42*HLOOKUP(P$3,'FX Lookup'!$A$2:$Y$4,3,FALSE),0)</f>
        <v>0</v>
      </c>
      <c r="Q42" s="177">
        <f>IF(AND($L42&lt;=Q$3,Q$3&lt;=$M42),$K42/$N42*HLOOKUP(Q$3,'FX Lookup'!$A$2:$Y$4,3,FALSE),0)</f>
        <v>0</v>
      </c>
      <c r="R42" s="177">
        <f>IF(AND($L42&lt;=R$3,R$3&lt;=$M42),$K42/$N42*HLOOKUP(R$3,'FX Lookup'!$A$2:$Y$4,3,FALSE),0)</f>
        <v>59965.330320000001</v>
      </c>
      <c r="S42" s="177">
        <f>IF(AND($L42&lt;=S$3,S$3&lt;=$M42),$K42/$N42*HLOOKUP(S$3,'FX Lookup'!$A$2:$Y$4,3,FALSE),0)</f>
        <v>0</v>
      </c>
      <c r="T42" s="177">
        <f>IF(AND($L42&lt;=T$3,T$3&lt;=$M42),$K42/$N42*HLOOKUP(T$3,'FX Lookup'!$A$2:$Y$4,3,FALSE),0)</f>
        <v>0</v>
      </c>
      <c r="U42" s="177">
        <f>IF(AND($L42&lt;=U$3,U$3&lt;=$M42),$K42/$N42*HLOOKUP(U$3,'FX Lookup'!$A$2:$Y$4,3,FALSE),0)</f>
        <v>0</v>
      </c>
      <c r="V42" s="177">
        <f>IF(AND($L42&lt;=V$3,V$3&lt;=$M42),$K42/$N42*HLOOKUP(V$3,'FX Lookup'!$A$2:$Y$4,3,FALSE),0)</f>
        <v>0</v>
      </c>
      <c r="W42" s="177">
        <f>IF(AND($L42&lt;=W$3,W$3&lt;=$M42),$K42/$N42*HLOOKUP(W$3,'FX Lookup'!$A$2:$Y$4,3,FALSE),0)</f>
        <v>0</v>
      </c>
      <c r="X42" s="177">
        <f>IF(AND($L42&lt;=X$3,X$3&lt;=$M42),$K42/$N42*HLOOKUP(X$3,'FX Lookup'!$A$2:$Y$4,3,FALSE),0)</f>
        <v>0</v>
      </c>
      <c r="Y42" s="177">
        <f>IF(AND($L42&lt;=Y$3,Y$3&lt;=$M42),$K42/$N42*HLOOKUP(Y$3,'FX Lookup'!$A$2:$Y$4,3,FALSE),0)</f>
        <v>0</v>
      </c>
      <c r="Z42" s="177">
        <f>IF(AND($L42&lt;=Z$3,Z$3&lt;=$M42),$K42/$N42*HLOOKUP(Z$3,'FX Lookup'!$A$2:$Y$4,3,FALSE),0)</f>
        <v>0</v>
      </c>
      <c r="AA42" s="178">
        <f t="shared" si="43"/>
        <v>59965.330320000001</v>
      </c>
      <c r="AB42" s="173" t="s">
        <v>2368</v>
      </c>
      <c r="AC42" s="174">
        <f>61020*(1+$AC$1)</f>
        <v>64071</v>
      </c>
      <c r="AD42" s="175">
        <v>46023</v>
      </c>
      <c r="AE42" s="175">
        <v>46387</v>
      </c>
      <c r="AF42" s="176">
        <f t="shared" si="25"/>
        <v>12</v>
      </c>
      <c r="AG42" s="177">
        <f>IF(AND($AD42&lt;=AG$3,AG$3&lt;=$AE42),$AC42/$AF42*HLOOKUP(AG$3,'FX Lookup'!$A$2:$Y$4,3,FALSE),0)</f>
        <v>4751.8791074999999</v>
      </c>
      <c r="AH42" s="177">
        <f>IF(AND($AD42&lt;=AH$3,AH$3&lt;=$AE42),$AC42/$AF42*HLOOKUP(AH$3,'FX Lookup'!$A$2:$Y$4,3,FALSE),0)</f>
        <v>4710.2863500000003</v>
      </c>
      <c r="AI42" s="177">
        <f>IF(AND($AD42&lt;=AI$3,AI$3&lt;=$AE42),$AC42/$AF42*HLOOKUP(AI$3,'FX Lookup'!$A$2:$Y$4,3,FALSE),0)</f>
        <v>4710.2863500000003</v>
      </c>
      <c r="AJ42" s="177">
        <f>IF(AND($AD42&lt;=AJ$3,AJ$3&lt;=$AE42),$AC42/$AF42*HLOOKUP(AJ$3,'FX Lookup'!$A$2:$Y$4,3,FALSE),0)</f>
        <v>4710.2863500000003</v>
      </c>
      <c r="AK42" s="177">
        <f>IF(AND($AD42&lt;=AK$3,AK$3&lt;=$AE42),$AC42/$AF42*HLOOKUP(AK$3,'FX Lookup'!$A$2:$Y$4,3,FALSE),0)</f>
        <v>4710.2863500000003</v>
      </c>
      <c r="AL42" s="177">
        <f>IF(AND($AD42&lt;=AL$3,AL$3&lt;=$AE42),$AC42/$AF42*HLOOKUP(AL$3,'FX Lookup'!$A$2:$Y$4,3,FALSE),0)</f>
        <v>4710.2863500000003</v>
      </c>
      <c r="AM42" s="177">
        <f>IF(AND($AD42&lt;=AM$3,AM$3&lt;=$AE42),$AC42/$AF42*HLOOKUP(AM$3,'FX Lookup'!$A$2:$Y$4,3,FALSE),0)</f>
        <v>4710.2863500000003</v>
      </c>
      <c r="AN42" s="177">
        <f>IF(AND($AD42&lt;=AN$3,AN$3&lt;=$AE42),$AC42/$AF42*HLOOKUP(AN$3,'FX Lookup'!$A$2:$Y$4,3,FALSE),0)</f>
        <v>4710.2863500000003</v>
      </c>
      <c r="AO42" s="177">
        <f>IF(AND($AD42&lt;=AO$3,AO$3&lt;=$AE42),$AC42/$AF42*HLOOKUP(AO$3,'FX Lookup'!$A$2:$Y$4,3,FALSE),0)</f>
        <v>4710.2863500000003</v>
      </c>
      <c r="AP42" s="177">
        <f>IF(AND($AD42&lt;=AP$3,AP$3&lt;=$AE42),$AC42/$AF42*HLOOKUP(AP$3,'FX Lookup'!$A$2:$Y$4,3,FALSE),0)</f>
        <v>4710.2863500000003</v>
      </c>
      <c r="AQ42" s="177">
        <f>IF(AND($AD42&lt;=AQ$3,AQ$3&lt;=$AE42),$AC42/$AF42*HLOOKUP(AQ$3,'FX Lookup'!$A$2:$Y$4,3,FALSE),0)</f>
        <v>4710.2863500000003</v>
      </c>
      <c r="AR42" s="177">
        <f>IF(AND($AD42&lt;=AR$3,AR$3&lt;=$AE42),$AC42/$AF42*HLOOKUP(AR$3,'FX Lookup'!$A$2:$Y$4,3,FALSE),0)</f>
        <v>4710.2863500000003</v>
      </c>
      <c r="AS42" s="178">
        <f t="shared" si="26"/>
        <v>56565.028957500013</v>
      </c>
      <c r="AU42" s="177">
        <f t="shared" si="27"/>
        <v>4989.4730628750003</v>
      </c>
      <c r="AV42" s="177">
        <f t="shared" si="28"/>
        <v>4945.8006675000006</v>
      </c>
      <c r="AW42" s="177">
        <f t="shared" si="29"/>
        <v>4945.8006675000006</v>
      </c>
      <c r="AX42" s="177">
        <f t="shared" si="30"/>
        <v>4945.8006675000006</v>
      </c>
      <c r="AY42" s="177">
        <f t="shared" si="31"/>
        <v>4945.8006675000006</v>
      </c>
      <c r="AZ42" s="177">
        <f t="shared" si="32"/>
        <v>4945.8006675000006</v>
      </c>
      <c r="BA42" s="177">
        <f t="shared" si="33"/>
        <v>4945.8006675000006</v>
      </c>
      <c r="BB42" s="177">
        <f t="shared" si="34"/>
        <v>4945.8006675000006</v>
      </c>
      <c r="BC42" s="177">
        <f t="shared" si="35"/>
        <v>4945.8006675000006</v>
      </c>
      <c r="BD42" s="177">
        <f t="shared" si="36"/>
        <v>4945.8006675000006</v>
      </c>
      <c r="BE42" s="177">
        <f t="shared" si="37"/>
        <v>4945.8006675000006</v>
      </c>
      <c r="BF42" s="177">
        <f t="shared" si="38"/>
        <v>4945.8006675000006</v>
      </c>
      <c r="BG42" s="178">
        <f t="shared" si="39"/>
        <v>59393.280405375001</v>
      </c>
    </row>
    <row r="43" spans="1:59" ht="13.5" customHeight="1">
      <c r="A43" s="171">
        <f t="shared" si="40"/>
        <v>14</v>
      </c>
      <c r="B43" s="171" t="str">
        <f t="shared" si="44"/>
        <v>ACPLHK</v>
      </c>
      <c r="C43" s="171" t="s">
        <v>1480</v>
      </c>
      <c r="D43" s="171" t="str">
        <f t="shared" si="41"/>
        <v>支付的其他与经营活动有关的现金（其他）</v>
      </c>
      <c r="E43" s="171"/>
      <c r="F43" s="172" t="str">
        <f t="shared" si="45"/>
        <v>Company Activities</v>
      </c>
      <c r="G43" s="172"/>
      <c r="H43" s="77" t="s">
        <v>2613</v>
      </c>
      <c r="I43" s="173" t="s">
        <v>2614</v>
      </c>
      <c r="J43" s="173" t="s">
        <v>2368</v>
      </c>
      <c r="K43" s="174">
        <v>50000</v>
      </c>
      <c r="L43" s="175">
        <v>45658</v>
      </c>
      <c r="M43" s="175">
        <v>46022</v>
      </c>
      <c r="N43" s="176">
        <f t="shared" si="42"/>
        <v>12</v>
      </c>
      <c r="O43" s="177">
        <f>IF(AND($L43&lt;=O$3,O$3&lt;=$M43),$K43/$N43*HLOOKUP(O$3,'FX Lookup'!$A$2:$Y$4,3,FALSE),0)</f>
        <v>3899.666666666667</v>
      </c>
      <c r="P43" s="177">
        <f>IF(AND($L43&lt;=P$3,P$3&lt;=$M43),$K43/$N43*HLOOKUP(P$3,'FX Lookup'!$A$2:$Y$4,3,FALSE),0)</f>
        <v>3899.666666666667</v>
      </c>
      <c r="Q43" s="177">
        <f>IF(AND($L43&lt;=Q$3,Q$3&lt;=$M43),$K43/$N43*HLOOKUP(Q$3,'FX Lookup'!$A$2:$Y$4,3,FALSE),0)</f>
        <v>3899.666666666667</v>
      </c>
      <c r="R43" s="177">
        <f>IF(AND($L43&lt;=R$3,R$3&lt;=$M43),$K43/$N43*HLOOKUP(R$3,'FX Lookup'!$A$2:$Y$4,3,FALSE),0)</f>
        <v>3899.666666666667</v>
      </c>
      <c r="S43" s="177">
        <f>IF(AND($L43&lt;=S$3,S$3&lt;=$M43),$K43/$N43*HLOOKUP(S$3,'FX Lookup'!$A$2:$Y$4,3,FALSE),0)</f>
        <v>3899.666666666667</v>
      </c>
      <c r="T43" s="177">
        <f>IF(AND($L43&lt;=T$3,T$3&lt;=$M43),$K43/$N43*HLOOKUP(T$3,'FX Lookup'!$A$2:$Y$4,3,FALSE),0)</f>
        <v>3899.666666666667</v>
      </c>
      <c r="U43" s="177">
        <f>IF(AND($L43&lt;=U$3,U$3&lt;=$M43),$K43/$N43*HLOOKUP(U$3,'FX Lookup'!$A$2:$Y$4,3,FALSE),0)</f>
        <v>3899.666666666667</v>
      </c>
      <c r="V43" s="177">
        <f>IF(AND($L43&lt;=V$3,V$3&lt;=$M43),$K43/$N43*HLOOKUP(V$3,'FX Lookup'!$A$2:$Y$4,3,FALSE),0)</f>
        <v>3899.666666666667</v>
      </c>
      <c r="W43" s="177">
        <f>IF(AND($L43&lt;=W$3,W$3&lt;=$M43),$K43/$N43*HLOOKUP(W$3,'FX Lookup'!$A$2:$Y$4,3,FALSE),0)</f>
        <v>3899.666666666667</v>
      </c>
      <c r="X43" s="177">
        <f>IF(AND($L43&lt;=X$3,X$3&lt;=$M43),$K43/$N43*HLOOKUP(X$3,'FX Lookup'!$A$2:$Y$4,3,FALSE),0)</f>
        <v>3899.666666666667</v>
      </c>
      <c r="Y43" s="177">
        <f>IF(AND($L43&lt;=Y$3,Y$3&lt;=$M43),$K43/$N43*HLOOKUP(Y$3,'FX Lookup'!$A$2:$Y$4,3,FALSE),0)</f>
        <v>3899.666666666667</v>
      </c>
      <c r="Z43" s="177">
        <f>IF(AND($L43&lt;=Z$3,Z$3&lt;=$M43),$K43/$N43*HLOOKUP(Z$3,'FX Lookup'!$A$2:$Y$4,3,FALSE),0)</f>
        <v>3899.666666666667</v>
      </c>
      <c r="AA43" s="178">
        <f t="shared" si="43"/>
        <v>46796</v>
      </c>
      <c r="AB43" s="173" t="s">
        <v>2368</v>
      </c>
      <c r="AC43" s="174">
        <v>50000</v>
      </c>
      <c r="AD43" s="175">
        <v>46023</v>
      </c>
      <c r="AE43" s="175">
        <v>46387</v>
      </c>
      <c r="AF43" s="176">
        <f t="shared" si="25"/>
        <v>12</v>
      </c>
      <c r="AG43" s="177">
        <f>IF(AND($AD43&lt;=AG$3,AG$3&lt;=$AE43),$AC43/$AF43*HLOOKUP(AG$3,'FX Lookup'!$A$2:$Y$4,3,FALSE),0)</f>
        <v>3708.2916666666665</v>
      </c>
      <c r="AH43" s="177">
        <f>IF(AND($AD43&lt;=AH$3,AH$3&lt;=$AE43),$AC43/$AF43*HLOOKUP(AH$3,'FX Lookup'!$A$2:$Y$4,3,FALSE),0)</f>
        <v>3675.8333333333335</v>
      </c>
      <c r="AI43" s="177">
        <f>IF(AND($AD43&lt;=AI$3,AI$3&lt;=$AE43),$AC43/$AF43*HLOOKUP(AI$3,'FX Lookup'!$A$2:$Y$4,3,FALSE),0)</f>
        <v>3675.8333333333335</v>
      </c>
      <c r="AJ43" s="177">
        <f>IF(AND($AD43&lt;=AJ$3,AJ$3&lt;=$AE43),$AC43/$AF43*HLOOKUP(AJ$3,'FX Lookup'!$A$2:$Y$4,3,FALSE),0)</f>
        <v>3675.8333333333335</v>
      </c>
      <c r="AK43" s="177">
        <f>IF(AND($AD43&lt;=AK$3,AK$3&lt;=$AE43),$AC43/$AF43*HLOOKUP(AK$3,'FX Lookup'!$A$2:$Y$4,3,FALSE),0)</f>
        <v>3675.8333333333335</v>
      </c>
      <c r="AL43" s="177">
        <f>IF(AND($AD43&lt;=AL$3,AL$3&lt;=$AE43),$AC43/$AF43*HLOOKUP(AL$3,'FX Lookup'!$A$2:$Y$4,3,FALSE),0)</f>
        <v>3675.8333333333335</v>
      </c>
      <c r="AM43" s="177">
        <f>IF(AND($AD43&lt;=AM$3,AM$3&lt;=$AE43),$AC43/$AF43*HLOOKUP(AM$3,'FX Lookup'!$A$2:$Y$4,3,FALSE),0)</f>
        <v>3675.8333333333335</v>
      </c>
      <c r="AN43" s="177">
        <f>IF(AND($AD43&lt;=AN$3,AN$3&lt;=$AE43),$AC43/$AF43*HLOOKUP(AN$3,'FX Lookup'!$A$2:$Y$4,3,FALSE),0)</f>
        <v>3675.8333333333335</v>
      </c>
      <c r="AO43" s="177">
        <f>IF(AND($AD43&lt;=AO$3,AO$3&lt;=$AE43),$AC43/$AF43*HLOOKUP(AO$3,'FX Lookup'!$A$2:$Y$4,3,FALSE),0)</f>
        <v>3675.8333333333335</v>
      </c>
      <c r="AP43" s="177">
        <f>IF(AND($AD43&lt;=AP$3,AP$3&lt;=$AE43),$AC43/$AF43*HLOOKUP(AP$3,'FX Lookup'!$A$2:$Y$4,3,FALSE),0)</f>
        <v>3675.8333333333335</v>
      </c>
      <c r="AQ43" s="177">
        <f>IF(AND($AD43&lt;=AQ$3,AQ$3&lt;=$AE43),$AC43/$AF43*HLOOKUP(AQ$3,'FX Lookup'!$A$2:$Y$4,3,FALSE),0)</f>
        <v>3675.8333333333335</v>
      </c>
      <c r="AR43" s="177">
        <f>IF(AND($AD43&lt;=AR$3,AR$3&lt;=$AE43),$AC43/$AF43*HLOOKUP(AR$3,'FX Lookup'!$A$2:$Y$4,3,FALSE),0)</f>
        <v>3675.8333333333335</v>
      </c>
      <c r="AS43" s="178">
        <f t="shared" si="26"/>
        <v>44142.458333333336</v>
      </c>
      <c r="AU43" s="177">
        <f t="shared" si="27"/>
        <v>3893.7062500000002</v>
      </c>
      <c r="AV43" s="177">
        <f t="shared" si="28"/>
        <v>3859.6250000000005</v>
      </c>
      <c r="AW43" s="177">
        <f t="shared" si="29"/>
        <v>3859.6250000000005</v>
      </c>
      <c r="AX43" s="177">
        <f t="shared" si="30"/>
        <v>3859.6250000000005</v>
      </c>
      <c r="AY43" s="177">
        <f t="shared" si="31"/>
        <v>3859.6250000000005</v>
      </c>
      <c r="AZ43" s="177">
        <f t="shared" si="32"/>
        <v>3859.6250000000005</v>
      </c>
      <c r="BA43" s="177">
        <f t="shared" si="33"/>
        <v>3859.6250000000005</v>
      </c>
      <c r="BB43" s="177">
        <f t="shared" si="34"/>
        <v>3859.6250000000005</v>
      </c>
      <c r="BC43" s="177">
        <f t="shared" si="35"/>
        <v>3859.6250000000005</v>
      </c>
      <c r="BD43" s="177">
        <f t="shared" si="36"/>
        <v>3859.6250000000005</v>
      </c>
      <c r="BE43" s="177">
        <f t="shared" si="37"/>
        <v>3859.6250000000005</v>
      </c>
      <c r="BF43" s="177">
        <f t="shared" si="38"/>
        <v>3859.6250000000005</v>
      </c>
      <c r="BG43" s="178">
        <f t="shared" si="39"/>
        <v>46349.581250000003</v>
      </c>
    </row>
    <row r="44" spans="1:59" ht="13.5" customHeight="1">
      <c r="A44" s="171">
        <f t="shared" si="40"/>
        <v>15</v>
      </c>
      <c r="B44" s="171" t="str">
        <f t="shared" si="44"/>
        <v>ACPLHK</v>
      </c>
      <c r="C44" s="171" t="s">
        <v>1867</v>
      </c>
      <c r="D44" s="171" t="str">
        <f t="shared" si="41"/>
        <v>支付的其他与经营活动有关的现金（其他）</v>
      </c>
      <c r="E44" s="171"/>
      <c r="F44" s="172" t="str">
        <f t="shared" si="45"/>
        <v>Outside Seminars</v>
      </c>
      <c r="G44" s="172"/>
      <c r="H44" s="77" t="s">
        <v>2613</v>
      </c>
      <c r="I44" s="173" t="s">
        <v>2614</v>
      </c>
      <c r="J44" s="173" t="s">
        <v>2368</v>
      </c>
      <c r="K44" s="174">
        <v>5000</v>
      </c>
      <c r="L44" s="175">
        <v>45658</v>
      </c>
      <c r="M44" s="175">
        <v>46022</v>
      </c>
      <c r="N44" s="176">
        <f t="shared" si="42"/>
        <v>12</v>
      </c>
      <c r="O44" s="177">
        <f>IF(AND($L44&lt;=O$3,O$3&lt;=$M44),$K44/$N44*HLOOKUP(O$3,'FX Lookup'!$A$2:$Y$4,3,FALSE),0)</f>
        <v>389.9666666666667</v>
      </c>
      <c r="P44" s="177">
        <f>IF(AND($L44&lt;=P$3,P$3&lt;=$M44),$K44/$N44*HLOOKUP(P$3,'FX Lookup'!$A$2:$Y$4,3,FALSE),0)</f>
        <v>389.9666666666667</v>
      </c>
      <c r="Q44" s="177">
        <f>IF(AND($L44&lt;=Q$3,Q$3&lt;=$M44),$K44/$N44*HLOOKUP(Q$3,'FX Lookup'!$A$2:$Y$4,3,FALSE),0)</f>
        <v>389.9666666666667</v>
      </c>
      <c r="R44" s="177">
        <f>IF(AND($L44&lt;=R$3,R$3&lt;=$M44),$K44/$N44*HLOOKUP(R$3,'FX Lookup'!$A$2:$Y$4,3,FALSE),0)</f>
        <v>389.9666666666667</v>
      </c>
      <c r="S44" s="177">
        <f>IF(AND($L44&lt;=S$3,S$3&lt;=$M44),$K44/$N44*HLOOKUP(S$3,'FX Lookup'!$A$2:$Y$4,3,FALSE),0)</f>
        <v>389.9666666666667</v>
      </c>
      <c r="T44" s="177">
        <f>IF(AND($L44&lt;=T$3,T$3&lt;=$M44),$K44/$N44*HLOOKUP(T$3,'FX Lookup'!$A$2:$Y$4,3,FALSE),0)</f>
        <v>389.9666666666667</v>
      </c>
      <c r="U44" s="177">
        <f>IF(AND($L44&lt;=U$3,U$3&lt;=$M44),$K44/$N44*HLOOKUP(U$3,'FX Lookup'!$A$2:$Y$4,3,FALSE),0)</f>
        <v>389.9666666666667</v>
      </c>
      <c r="V44" s="177">
        <f>IF(AND($L44&lt;=V$3,V$3&lt;=$M44),$K44/$N44*HLOOKUP(V$3,'FX Lookup'!$A$2:$Y$4,3,FALSE),0)</f>
        <v>389.9666666666667</v>
      </c>
      <c r="W44" s="177">
        <f>IF(AND($L44&lt;=W$3,W$3&lt;=$M44),$K44/$N44*HLOOKUP(W$3,'FX Lookup'!$A$2:$Y$4,3,FALSE),0)</f>
        <v>389.9666666666667</v>
      </c>
      <c r="X44" s="177">
        <f>IF(AND($L44&lt;=X$3,X$3&lt;=$M44),$K44/$N44*HLOOKUP(X$3,'FX Lookup'!$A$2:$Y$4,3,FALSE),0)</f>
        <v>389.9666666666667</v>
      </c>
      <c r="Y44" s="177">
        <f>IF(AND($L44&lt;=Y$3,Y$3&lt;=$M44),$K44/$N44*HLOOKUP(Y$3,'FX Lookup'!$A$2:$Y$4,3,FALSE),0)</f>
        <v>389.9666666666667</v>
      </c>
      <c r="Z44" s="177">
        <f>IF(AND($L44&lt;=Z$3,Z$3&lt;=$M44),$K44/$N44*HLOOKUP(Z$3,'FX Lookup'!$A$2:$Y$4,3,FALSE),0)</f>
        <v>389.9666666666667</v>
      </c>
      <c r="AA44" s="178">
        <f t="shared" si="43"/>
        <v>4679.6000000000004</v>
      </c>
      <c r="AB44" s="173" t="s">
        <v>2368</v>
      </c>
      <c r="AC44" s="174">
        <v>5000</v>
      </c>
      <c r="AD44" s="175">
        <v>46023</v>
      </c>
      <c r="AE44" s="175">
        <v>46387</v>
      </c>
      <c r="AF44" s="176">
        <f t="shared" si="25"/>
        <v>12</v>
      </c>
      <c r="AG44" s="177">
        <f>IF(AND($AD44&lt;=AG$3,AG$3&lt;=$AE44),$AC44/$AF44*HLOOKUP(AG$3,'FX Lookup'!$A$2:$Y$4,3,FALSE),0)</f>
        <v>370.82916666666665</v>
      </c>
      <c r="AH44" s="177">
        <f>IF(AND($AD44&lt;=AH$3,AH$3&lt;=$AE44),$AC44/$AF44*HLOOKUP(AH$3,'FX Lookup'!$A$2:$Y$4,3,FALSE),0)</f>
        <v>367.58333333333337</v>
      </c>
      <c r="AI44" s="177">
        <f>IF(AND($AD44&lt;=AI$3,AI$3&lt;=$AE44),$AC44/$AF44*HLOOKUP(AI$3,'FX Lookup'!$A$2:$Y$4,3,FALSE),0)</f>
        <v>367.58333333333337</v>
      </c>
      <c r="AJ44" s="177">
        <f>IF(AND($AD44&lt;=AJ$3,AJ$3&lt;=$AE44),$AC44/$AF44*HLOOKUP(AJ$3,'FX Lookup'!$A$2:$Y$4,3,FALSE),0)</f>
        <v>367.58333333333337</v>
      </c>
      <c r="AK44" s="177">
        <f>IF(AND($AD44&lt;=AK$3,AK$3&lt;=$AE44),$AC44/$AF44*HLOOKUP(AK$3,'FX Lookup'!$A$2:$Y$4,3,FALSE),0)</f>
        <v>367.58333333333337</v>
      </c>
      <c r="AL44" s="177">
        <f>IF(AND($AD44&lt;=AL$3,AL$3&lt;=$AE44),$AC44/$AF44*HLOOKUP(AL$3,'FX Lookup'!$A$2:$Y$4,3,FALSE),0)</f>
        <v>367.58333333333337</v>
      </c>
      <c r="AM44" s="177">
        <f>IF(AND($AD44&lt;=AM$3,AM$3&lt;=$AE44),$AC44/$AF44*HLOOKUP(AM$3,'FX Lookup'!$A$2:$Y$4,3,FALSE),0)</f>
        <v>367.58333333333337</v>
      </c>
      <c r="AN44" s="177">
        <f>IF(AND($AD44&lt;=AN$3,AN$3&lt;=$AE44),$AC44/$AF44*HLOOKUP(AN$3,'FX Lookup'!$A$2:$Y$4,3,FALSE),0)</f>
        <v>367.58333333333337</v>
      </c>
      <c r="AO44" s="177">
        <f>IF(AND($AD44&lt;=AO$3,AO$3&lt;=$AE44),$AC44/$AF44*HLOOKUP(AO$3,'FX Lookup'!$A$2:$Y$4,3,FALSE),0)</f>
        <v>367.58333333333337</v>
      </c>
      <c r="AP44" s="177">
        <f>IF(AND($AD44&lt;=AP$3,AP$3&lt;=$AE44),$AC44/$AF44*HLOOKUP(AP$3,'FX Lookup'!$A$2:$Y$4,3,FALSE),0)</f>
        <v>367.58333333333337</v>
      </c>
      <c r="AQ44" s="177">
        <f>IF(AND($AD44&lt;=AQ$3,AQ$3&lt;=$AE44),$AC44/$AF44*HLOOKUP(AQ$3,'FX Lookup'!$A$2:$Y$4,3,FALSE),0)</f>
        <v>367.58333333333337</v>
      </c>
      <c r="AR44" s="177">
        <f>IF(AND($AD44&lt;=AR$3,AR$3&lt;=$AE44),$AC44/$AF44*HLOOKUP(AR$3,'FX Lookup'!$A$2:$Y$4,3,FALSE),0)</f>
        <v>367.58333333333337</v>
      </c>
      <c r="AS44" s="178">
        <f t="shared" si="26"/>
        <v>4414.2458333333343</v>
      </c>
      <c r="AU44" s="177">
        <f t="shared" si="27"/>
        <v>389.37062500000002</v>
      </c>
      <c r="AV44" s="177">
        <f t="shared" si="28"/>
        <v>385.96250000000003</v>
      </c>
      <c r="AW44" s="177">
        <f t="shared" si="29"/>
        <v>385.96250000000003</v>
      </c>
      <c r="AX44" s="177">
        <f t="shared" si="30"/>
        <v>385.96250000000003</v>
      </c>
      <c r="AY44" s="177">
        <f t="shared" si="31"/>
        <v>385.96250000000003</v>
      </c>
      <c r="AZ44" s="177">
        <f t="shared" si="32"/>
        <v>385.96250000000003</v>
      </c>
      <c r="BA44" s="177">
        <f t="shared" si="33"/>
        <v>385.96250000000003</v>
      </c>
      <c r="BB44" s="177">
        <f t="shared" si="34"/>
        <v>385.96250000000003</v>
      </c>
      <c r="BC44" s="177">
        <f t="shared" si="35"/>
        <v>385.96250000000003</v>
      </c>
      <c r="BD44" s="177">
        <f t="shared" si="36"/>
        <v>385.96250000000003</v>
      </c>
      <c r="BE44" s="177">
        <f t="shared" si="37"/>
        <v>385.96250000000003</v>
      </c>
      <c r="BF44" s="177">
        <f t="shared" si="38"/>
        <v>385.96250000000003</v>
      </c>
      <c r="BG44" s="178">
        <f t="shared" si="39"/>
        <v>4634.9581250000001</v>
      </c>
    </row>
    <row r="45" spans="1:59" ht="13.5" customHeight="1">
      <c r="A45" s="171">
        <f t="shared" si="40"/>
        <v>16</v>
      </c>
      <c r="B45" s="171" t="str">
        <f t="shared" si="44"/>
        <v>ACPLHK</v>
      </c>
      <c r="C45" s="171" t="s">
        <v>1684</v>
      </c>
      <c r="D45" s="171" t="str">
        <f t="shared" si="41"/>
        <v>支付的其他与经营活动有关的现金（其他）</v>
      </c>
      <c r="E45" s="171"/>
      <c r="F45" s="172" t="str">
        <f t="shared" si="45"/>
        <v>Subscription</v>
      </c>
      <c r="G45" s="172"/>
      <c r="H45" s="77" t="s">
        <v>2613</v>
      </c>
      <c r="I45" s="173" t="s">
        <v>2614</v>
      </c>
      <c r="J45" s="173" t="s">
        <v>2368</v>
      </c>
      <c r="K45" s="77"/>
      <c r="L45" s="175">
        <v>45658</v>
      </c>
      <c r="M45" s="175">
        <v>46022</v>
      </c>
      <c r="N45" s="176">
        <f t="shared" si="42"/>
        <v>12</v>
      </c>
      <c r="O45" s="177">
        <f>IF(AND($L45&lt;=O$3,O$3&lt;=$M45),$K45/$N45*HLOOKUP(O$3,'FX Lookup'!$A$2:$Y$4,3,FALSE),0)</f>
        <v>0</v>
      </c>
      <c r="P45" s="177">
        <f>IF(AND($L45&lt;=P$3,P$3&lt;=$M45),$K45/$N45*HLOOKUP(P$3,'FX Lookup'!$A$2:$Y$4,3,FALSE),0)</f>
        <v>0</v>
      </c>
      <c r="Q45" s="177">
        <f>IF(AND($L45&lt;=Q$3,Q$3&lt;=$M45),$K45/$N45*HLOOKUP(Q$3,'FX Lookup'!$A$2:$Y$4,3,FALSE),0)</f>
        <v>0</v>
      </c>
      <c r="R45" s="177">
        <f>IF(AND($L45&lt;=R$3,R$3&lt;=$M45),$K45/$N45*HLOOKUP(R$3,'FX Lookup'!$A$2:$Y$4,3,FALSE),0)</f>
        <v>0</v>
      </c>
      <c r="S45" s="177">
        <f>IF(AND($L45&lt;=S$3,S$3&lt;=$M45),$K45/$N45*HLOOKUP(S$3,'FX Lookup'!$A$2:$Y$4,3,FALSE),0)</f>
        <v>0</v>
      </c>
      <c r="T45" s="177">
        <f>IF(AND($L45&lt;=T$3,T$3&lt;=$M45),$K45/$N45*HLOOKUP(T$3,'FX Lookup'!$A$2:$Y$4,3,FALSE),0)</f>
        <v>0</v>
      </c>
      <c r="U45" s="177">
        <f>IF(AND($L45&lt;=U$3,U$3&lt;=$M45),$K45/$N45*HLOOKUP(U$3,'FX Lookup'!$A$2:$Y$4,3,FALSE),0)</f>
        <v>0</v>
      </c>
      <c r="V45" s="177">
        <f>IF(AND($L45&lt;=V$3,V$3&lt;=$M45),$K45/$N45*HLOOKUP(V$3,'FX Lookup'!$A$2:$Y$4,3,FALSE),0)</f>
        <v>0</v>
      </c>
      <c r="W45" s="177">
        <f>IF(AND($L45&lt;=W$3,W$3&lt;=$M45),$K45/$N45*HLOOKUP(W$3,'FX Lookup'!$A$2:$Y$4,3,FALSE),0)</f>
        <v>0</v>
      </c>
      <c r="X45" s="177">
        <f>IF(AND($L45&lt;=X$3,X$3&lt;=$M45),$K45/$N45*HLOOKUP(X$3,'FX Lookup'!$A$2:$Y$4,3,FALSE),0)</f>
        <v>0</v>
      </c>
      <c r="Y45" s="177">
        <f>IF(AND($L45&lt;=Y$3,Y$3&lt;=$M45),$K45/$N45*HLOOKUP(Y$3,'FX Lookup'!$A$2:$Y$4,3,FALSE),0)</f>
        <v>0</v>
      </c>
      <c r="Z45" s="177">
        <f>IF(AND($L45&lt;=Z$3,Z$3&lt;=$M45),$K45/$N45*HLOOKUP(Z$3,'FX Lookup'!$A$2:$Y$4,3,FALSE),0)</f>
        <v>0</v>
      </c>
      <c r="AA45" s="178">
        <f t="shared" si="43"/>
        <v>0</v>
      </c>
      <c r="AB45" s="173" t="s">
        <v>2368</v>
      </c>
      <c r="AC45" s="77"/>
      <c r="AD45" s="175">
        <v>46023</v>
      </c>
      <c r="AE45" s="175">
        <v>46387</v>
      </c>
      <c r="AF45" s="176">
        <f t="shared" si="25"/>
        <v>12</v>
      </c>
      <c r="AG45" s="177">
        <f>IF(AND($AD45&lt;=AG$3,AG$3&lt;=$AE45),$AC45/$AF45*HLOOKUP(AG$3,'FX Lookup'!$A$2:$Y$4,3,FALSE),0)</f>
        <v>0</v>
      </c>
      <c r="AH45" s="177">
        <f>IF(AND($AD45&lt;=AH$3,AH$3&lt;=$AE45),$AC45/$AF45*HLOOKUP(AH$3,'FX Lookup'!$A$2:$Y$4,3,FALSE),0)</f>
        <v>0</v>
      </c>
      <c r="AI45" s="177">
        <f>IF(AND($AD45&lt;=AI$3,AI$3&lt;=$AE45),$AC45/$AF45*HLOOKUP(AI$3,'FX Lookup'!$A$2:$Y$4,3,FALSE),0)</f>
        <v>0</v>
      </c>
      <c r="AJ45" s="177">
        <f>IF(AND($AD45&lt;=AJ$3,AJ$3&lt;=$AE45),$AC45/$AF45*HLOOKUP(AJ$3,'FX Lookup'!$A$2:$Y$4,3,FALSE),0)</f>
        <v>0</v>
      </c>
      <c r="AK45" s="177">
        <f>IF(AND($AD45&lt;=AK$3,AK$3&lt;=$AE45),$AC45/$AF45*HLOOKUP(AK$3,'FX Lookup'!$A$2:$Y$4,3,FALSE),0)</f>
        <v>0</v>
      </c>
      <c r="AL45" s="177">
        <f>IF(AND($AD45&lt;=AL$3,AL$3&lt;=$AE45),$AC45/$AF45*HLOOKUP(AL$3,'FX Lookup'!$A$2:$Y$4,3,FALSE),0)</f>
        <v>0</v>
      </c>
      <c r="AM45" s="177">
        <f>IF(AND($AD45&lt;=AM$3,AM$3&lt;=$AE45),$AC45/$AF45*HLOOKUP(AM$3,'FX Lookup'!$A$2:$Y$4,3,FALSE),0)</f>
        <v>0</v>
      </c>
      <c r="AN45" s="177">
        <f>IF(AND($AD45&lt;=AN$3,AN$3&lt;=$AE45),$AC45/$AF45*HLOOKUP(AN$3,'FX Lookup'!$A$2:$Y$4,3,FALSE),0)</f>
        <v>0</v>
      </c>
      <c r="AO45" s="177">
        <f>IF(AND($AD45&lt;=AO$3,AO$3&lt;=$AE45),$AC45/$AF45*HLOOKUP(AO$3,'FX Lookup'!$A$2:$Y$4,3,FALSE),0)</f>
        <v>0</v>
      </c>
      <c r="AP45" s="177">
        <f>IF(AND($AD45&lt;=AP$3,AP$3&lt;=$AE45),$AC45/$AF45*HLOOKUP(AP$3,'FX Lookup'!$A$2:$Y$4,3,FALSE),0)</f>
        <v>0</v>
      </c>
      <c r="AQ45" s="177">
        <f>IF(AND($AD45&lt;=AQ$3,AQ$3&lt;=$AE45),$AC45/$AF45*HLOOKUP(AQ$3,'FX Lookup'!$A$2:$Y$4,3,FALSE),0)</f>
        <v>0</v>
      </c>
      <c r="AR45" s="177">
        <f>IF(AND($AD45&lt;=AR$3,AR$3&lt;=$AE45),$AC45/$AF45*HLOOKUP(AR$3,'FX Lookup'!$A$2:$Y$4,3,FALSE),0)</f>
        <v>0</v>
      </c>
      <c r="AS45" s="178">
        <f t="shared" si="26"/>
        <v>0</v>
      </c>
      <c r="AU45" s="177">
        <f t="shared" si="27"/>
        <v>0</v>
      </c>
      <c r="AV45" s="177">
        <f t="shared" si="28"/>
        <v>0</v>
      </c>
      <c r="AW45" s="177">
        <f t="shared" si="29"/>
        <v>0</v>
      </c>
      <c r="AX45" s="177">
        <f t="shared" si="30"/>
        <v>0</v>
      </c>
      <c r="AY45" s="177">
        <f t="shared" si="31"/>
        <v>0</v>
      </c>
      <c r="AZ45" s="177">
        <f t="shared" si="32"/>
        <v>0</v>
      </c>
      <c r="BA45" s="177">
        <f t="shared" si="33"/>
        <v>0</v>
      </c>
      <c r="BB45" s="177">
        <f t="shared" si="34"/>
        <v>0</v>
      </c>
      <c r="BC45" s="177">
        <f t="shared" si="35"/>
        <v>0</v>
      </c>
      <c r="BD45" s="177">
        <f t="shared" si="36"/>
        <v>0</v>
      </c>
      <c r="BE45" s="177">
        <f t="shared" si="37"/>
        <v>0</v>
      </c>
      <c r="BF45" s="177">
        <f t="shared" si="38"/>
        <v>0</v>
      </c>
      <c r="BG45" s="178">
        <f t="shared" si="39"/>
        <v>0</v>
      </c>
    </row>
    <row r="46" spans="1:59" ht="13.5" customHeight="1">
      <c r="A46" s="171">
        <f t="shared" ref="A46" si="46">IF(A45&lt;=0,FALSE,A45+1)</f>
        <v>17</v>
      </c>
      <c r="B46" s="171" t="str">
        <f t="shared" ref="B46" si="47">+B45</f>
        <v>ACPLHK</v>
      </c>
      <c r="C46" s="171" t="s">
        <v>1867</v>
      </c>
      <c r="D46" s="171" t="str">
        <f t="shared" si="41"/>
        <v>支付的其他与经营活动有关的现金（其他）</v>
      </c>
      <c r="E46" s="171"/>
      <c r="F46" s="172" t="str">
        <f t="shared" ref="F46:F49" si="48">IF(F22="","",F22)</f>
        <v>Professional Body Membership Fee</v>
      </c>
      <c r="G46" s="172"/>
      <c r="H46" s="77" t="s">
        <v>2613</v>
      </c>
      <c r="I46" s="173" t="s">
        <v>2614</v>
      </c>
      <c r="J46" s="173" t="s">
        <v>2409</v>
      </c>
      <c r="K46" s="77">
        <v>0</v>
      </c>
      <c r="L46" s="175">
        <v>45658</v>
      </c>
      <c r="M46" s="175">
        <v>46022</v>
      </c>
      <c r="N46" s="176">
        <f t="shared" ref="N46:N48" si="49">IF(AND(L46="",M46=""),"-",IF(M46="",12,DATEDIF(L46,M46,"M")+1))</f>
        <v>12</v>
      </c>
      <c r="O46" s="177">
        <f>IF(AND($L46&lt;=O$3,O$3&lt;=$M46),$K46/$N46*HLOOKUP(O$3,'FX Lookup'!$A$2:$Y$4,2,FALSE),0)</f>
        <v>0</v>
      </c>
      <c r="P46" s="177">
        <f>IF(AND($L46&lt;=P$3,P$3&lt;=$M46),$K46/$N46*HLOOKUP(P$3,'FX Lookup'!$A$2:$Y$4,2,FALSE),0)</f>
        <v>0</v>
      </c>
      <c r="Q46" s="177">
        <f>IF(AND($L46&lt;=Q$3,Q$3&lt;=$M46),$K46/$N46*HLOOKUP(Q$3,'FX Lookup'!$A$2:$Y$4,2,FALSE),0)</f>
        <v>0</v>
      </c>
      <c r="R46" s="177">
        <f>IF(AND($L46&lt;=R$3,R$3&lt;=$M46),$K46/$N46*HLOOKUP(R$3,'FX Lookup'!$A$2:$Y$4,2,FALSE),0)</f>
        <v>0</v>
      </c>
      <c r="S46" s="177">
        <f>IF(AND($L46&lt;=S$3,S$3&lt;=$M46),$K46/$N46*HLOOKUP(S$3,'FX Lookup'!$A$2:$Y$4,2,FALSE),0)</f>
        <v>0</v>
      </c>
      <c r="T46" s="177">
        <f>IF(AND($L46&lt;=T$3,T$3&lt;=$M46),$K46/$N46*HLOOKUP(T$3,'FX Lookup'!$A$2:$Y$4,2,FALSE),0)</f>
        <v>0</v>
      </c>
      <c r="U46" s="177">
        <f>IF(AND($L46&lt;=U$3,U$3&lt;=$M46),$K46/$N46*HLOOKUP(U$3,'FX Lookup'!$A$2:$Y$4,2,FALSE),0)</f>
        <v>0</v>
      </c>
      <c r="V46" s="177">
        <f>IF(AND($L46&lt;=V$3,V$3&lt;=$M46),$K46/$N46*HLOOKUP(V$3,'FX Lookup'!$A$2:$Y$4,2,FALSE),0)</f>
        <v>0</v>
      </c>
      <c r="W46" s="177">
        <f>IF(AND($L46&lt;=W$3,W$3&lt;=$M46),$K46/$N46*HLOOKUP(W$3,'FX Lookup'!$A$2:$Y$4,2,FALSE),0)</f>
        <v>0</v>
      </c>
      <c r="X46" s="177">
        <f>IF(AND($L46&lt;=X$3,X$3&lt;=$M46),$K46/$N46*HLOOKUP(X$3,'FX Lookup'!$A$2:$Y$4,2,FALSE),0)</f>
        <v>0</v>
      </c>
      <c r="Y46" s="177">
        <f>IF(AND($L46&lt;=Y$3,Y$3&lt;=$M46),$K46/$N46*HLOOKUP(Y$3,'FX Lookup'!$A$2:$Y$4,2,FALSE),0)</f>
        <v>0</v>
      </c>
      <c r="Z46" s="177">
        <f>IF(AND($L46&lt;=Z$3,Z$3&lt;=$M46),$K46/$N46*HLOOKUP(Z$3,'FX Lookup'!$A$2:$Y$4,2,FALSE),0)</f>
        <v>0</v>
      </c>
      <c r="AA46" s="178">
        <f t="shared" si="43"/>
        <v>0</v>
      </c>
      <c r="AB46" s="173" t="s">
        <v>2409</v>
      </c>
      <c r="AC46" s="77">
        <v>0</v>
      </c>
      <c r="AD46" s="175">
        <v>46023</v>
      </c>
      <c r="AE46" s="175">
        <v>46387</v>
      </c>
      <c r="AF46" s="176">
        <f t="shared" si="25"/>
        <v>12</v>
      </c>
      <c r="AG46" s="177">
        <f>IF(AND($AD46&lt;=AG$3,AG$3&lt;=$AE46),$AC46/$AF46*HLOOKUP(AG$3,'FX Lookup'!$A$2:$Y$4,2,FALSE),0)</f>
        <v>0</v>
      </c>
      <c r="AH46" s="177">
        <f>IF(AND($AD46&lt;=AH$3,AH$3&lt;=$AE46),$AC46/$AF46*HLOOKUP(AH$3,'FX Lookup'!$A$2:$Y$4,2,FALSE),0)</f>
        <v>0</v>
      </c>
      <c r="AI46" s="177">
        <f>IF(AND($AD46&lt;=AI$3,AI$3&lt;=$AE46),$AC46/$AF46*HLOOKUP(AI$3,'FX Lookup'!$A$2:$Y$4,2,FALSE),0)</f>
        <v>0</v>
      </c>
      <c r="AJ46" s="177">
        <f>IF(AND($AD46&lt;=AJ$3,AJ$3&lt;=$AE46),$AC46/$AF46*HLOOKUP(AJ$3,'FX Lookup'!$A$2:$Y$4,2,FALSE),0)</f>
        <v>0</v>
      </c>
      <c r="AK46" s="177">
        <f>IF(AND($AD46&lt;=AK$3,AK$3&lt;=$AE46),$AC46/$AF46*HLOOKUP(AK$3,'FX Lookup'!$A$2:$Y$4,2,FALSE),0)</f>
        <v>0</v>
      </c>
      <c r="AL46" s="177">
        <f>IF(AND($AD46&lt;=AL$3,AL$3&lt;=$AE46),$AC46/$AF46*HLOOKUP(AL$3,'FX Lookup'!$A$2:$Y$4,2,FALSE),0)</f>
        <v>0</v>
      </c>
      <c r="AM46" s="177">
        <f>IF(AND($AD46&lt;=AM$3,AM$3&lt;=$AE46),$AC46/$AF46*HLOOKUP(AM$3,'FX Lookup'!$A$2:$Y$4,2,FALSE),0)</f>
        <v>0</v>
      </c>
      <c r="AN46" s="177">
        <f>IF(AND($AD46&lt;=AN$3,AN$3&lt;=$AE46),$AC46/$AF46*HLOOKUP(AN$3,'FX Lookup'!$A$2:$Y$4,2,FALSE),0)</f>
        <v>0</v>
      </c>
      <c r="AO46" s="177">
        <f>IF(AND($AD46&lt;=AO$3,AO$3&lt;=$AE46),$AC46/$AF46*HLOOKUP(AO$3,'FX Lookup'!$A$2:$Y$4,2,FALSE),0)</f>
        <v>0</v>
      </c>
      <c r="AP46" s="177">
        <f>IF(AND($AD46&lt;=AP$3,AP$3&lt;=$AE46),$AC46/$AF46*HLOOKUP(AP$3,'FX Lookup'!$A$2:$Y$4,2,FALSE),0)</f>
        <v>0</v>
      </c>
      <c r="AQ46" s="177">
        <f>IF(AND($AD46&lt;=AQ$3,AQ$3&lt;=$AE46),$AC46/$AF46*HLOOKUP(AQ$3,'FX Lookup'!$A$2:$Y$4,2,FALSE),0)</f>
        <v>0</v>
      </c>
      <c r="AR46" s="177">
        <f>IF(AND($AD46&lt;=AR$3,AR$3&lt;=$AE46),$AC46/$AF46*HLOOKUP(AR$3,'FX Lookup'!$A$2:$Y$4,2,FALSE),0)</f>
        <v>0</v>
      </c>
      <c r="AS46" s="178">
        <f t="shared" si="26"/>
        <v>0</v>
      </c>
      <c r="AU46" s="177">
        <f t="shared" si="27"/>
        <v>0</v>
      </c>
      <c r="AV46" s="177">
        <f t="shared" si="28"/>
        <v>0</v>
      </c>
      <c r="AW46" s="177">
        <f t="shared" si="29"/>
        <v>0</v>
      </c>
      <c r="AX46" s="177">
        <f t="shared" si="30"/>
        <v>0</v>
      </c>
      <c r="AY46" s="177">
        <f t="shared" si="31"/>
        <v>0</v>
      </c>
      <c r="AZ46" s="177">
        <f t="shared" si="32"/>
        <v>0</v>
      </c>
      <c r="BA46" s="177">
        <f t="shared" si="33"/>
        <v>0</v>
      </c>
      <c r="BB46" s="177">
        <f t="shared" si="34"/>
        <v>0</v>
      </c>
      <c r="BC46" s="177">
        <f t="shared" si="35"/>
        <v>0</v>
      </c>
      <c r="BD46" s="177">
        <f t="shared" si="36"/>
        <v>0</v>
      </c>
      <c r="BE46" s="177">
        <f t="shared" si="37"/>
        <v>0</v>
      </c>
      <c r="BF46" s="177">
        <f t="shared" si="38"/>
        <v>0</v>
      </c>
      <c r="BG46" s="178">
        <f t="shared" si="39"/>
        <v>0</v>
      </c>
    </row>
    <row r="47" spans="1:59" ht="13.5" customHeight="1">
      <c r="A47" s="171">
        <f t="shared" ref="A47" si="50">IF(A46&lt;=0,FALSE,A46+1)</f>
        <v>18</v>
      </c>
      <c r="B47" s="171" t="str">
        <f t="shared" ref="B47" si="51">+B46</f>
        <v>ACPLHK</v>
      </c>
      <c r="C47" s="171" t="s">
        <v>1672</v>
      </c>
      <c r="D47" s="171" t="str">
        <f t="shared" si="41"/>
        <v>支付的其他与经营活动有关的现金（其他）</v>
      </c>
      <c r="E47" s="171"/>
      <c r="F47" s="172" t="str">
        <f t="shared" si="48"/>
        <v>Purchase system</v>
      </c>
      <c r="G47" s="172"/>
      <c r="H47" s="77" t="s">
        <v>2613</v>
      </c>
      <c r="I47" s="173" t="s">
        <v>2614</v>
      </c>
      <c r="J47" s="173" t="s">
        <v>2368</v>
      </c>
      <c r="K47" s="77">
        <v>0</v>
      </c>
      <c r="L47" s="175">
        <v>45658</v>
      </c>
      <c r="M47" s="175">
        <v>46022</v>
      </c>
      <c r="N47" s="176">
        <f t="shared" si="49"/>
        <v>12</v>
      </c>
      <c r="O47" s="177">
        <f>IF(AND($L47&lt;=O$3,O$3&lt;=$M47),$K47/$N47*HLOOKUP(O$3,'FX Lookup'!$A$2:$Y$4,3,FALSE),0)</f>
        <v>0</v>
      </c>
      <c r="P47" s="177">
        <f>IF(AND($L47&lt;=P$3,P$3&lt;=$M47),$K47/$N47*HLOOKUP(P$3,'FX Lookup'!$A$2:$Y$4,3,FALSE),0)</f>
        <v>0</v>
      </c>
      <c r="Q47" s="177">
        <f>IF(AND($L47&lt;=Q$3,Q$3&lt;=$M47),$K47/$N47*HLOOKUP(Q$3,'FX Lookup'!$A$2:$Y$4,3,FALSE),0)</f>
        <v>0</v>
      </c>
      <c r="R47" s="177">
        <f>IF(AND($L47&lt;=R$3,R$3&lt;=$M47),$K47/$N47*HLOOKUP(R$3,'FX Lookup'!$A$2:$Y$4,3,FALSE),0)</f>
        <v>0</v>
      </c>
      <c r="S47" s="177">
        <f>IF(AND($L47&lt;=S$3,S$3&lt;=$M47),$K47/$N47*HLOOKUP(S$3,'FX Lookup'!$A$2:$Y$4,3,FALSE),0)</f>
        <v>0</v>
      </c>
      <c r="T47" s="177">
        <f>IF(AND($L47&lt;=T$3,T$3&lt;=$M47),$K47/$N47*HLOOKUP(T$3,'FX Lookup'!$A$2:$Y$4,3,FALSE),0)</f>
        <v>0</v>
      </c>
      <c r="U47" s="177">
        <f>IF(AND($L47&lt;=U$3,U$3&lt;=$M47),$K47/$N47*HLOOKUP(U$3,'FX Lookup'!$A$2:$Y$4,3,FALSE),0)</f>
        <v>0</v>
      </c>
      <c r="V47" s="177">
        <f>IF(AND($L47&lt;=V$3,V$3&lt;=$M47),$K47/$N47*HLOOKUP(V$3,'FX Lookup'!$A$2:$Y$4,3,FALSE),0)</f>
        <v>0</v>
      </c>
      <c r="W47" s="177">
        <f>IF(AND($L47&lt;=W$3,W$3&lt;=$M47),$K47/$N47*HLOOKUP(W$3,'FX Lookup'!$A$2:$Y$4,3,FALSE),0)</f>
        <v>0</v>
      </c>
      <c r="X47" s="177">
        <f>IF(AND($L47&lt;=X$3,X$3&lt;=$M47),$K47/$N47*HLOOKUP(X$3,'FX Lookup'!$A$2:$Y$4,3,FALSE),0)</f>
        <v>0</v>
      </c>
      <c r="Y47" s="177">
        <f>IF(AND($L47&lt;=Y$3,Y$3&lt;=$M47),$K47/$N47*HLOOKUP(Y$3,'FX Lookup'!$A$2:$Y$4,3,FALSE),0)</f>
        <v>0</v>
      </c>
      <c r="Z47" s="177">
        <f>IF(AND($L47&lt;=Z$3,Z$3&lt;=$M47),$K47/$N47*HLOOKUP(Z$3,'FX Lookup'!$A$2:$Y$4,3,FALSE),0)</f>
        <v>0</v>
      </c>
      <c r="AA47" s="178">
        <f t="shared" si="43"/>
        <v>0</v>
      </c>
      <c r="AB47" s="173" t="s">
        <v>2368</v>
      </c>
      <c r="AC47" s="77">
        <v>0</v>
      </c>
      <c r="AD47" s="175">
        <v>46023</v>
      </c>
      <c r="AE47" s="175">
        <v>46387</v>
      </c>
      <c r="AF47" s="176">
        <f t="shared" si="25"/>
        <v>12</v>
      </c>
      <c r="AG47" s="177">
        <f>IF(AND($AD47&lt;=AG$3,AG$3&lt;=$AE47),$AC47/$AF47*HLOOKUP(AG$3,'FX Lookup'!$A$2:$Y$4,3,FALSE),0)</f>
        <v>0</v>
      </c>
      <c r="AH47" s="177">
        <f>IF(AND($AD47&lt;=AH$3,AH$3&lt;=$AE47),$AC47/$AF47*HLOOKUP(AH$3,'FX Lookup'!$A$2:$Y$4,3,FALSE),0)</f>
        <v>0</v>
      </c>
      <c r="AI47" s="177">
        <f>IF(AND($AD47&lt;=AI$3,AI$3&lt;=$AE47),$AC47/$AF47*HLOOKUP(AI$3,'FX Lookup'!$A$2:$Y$4,3,FALSE),0)</f>
        <v>0</v>
      </c>
      <c r="AJ47" s="177">
        <f>IF(AND($AD47&lt;=AJ$3,AJ$3&lt;=$AE47),$AC47/$AF47*HLOOKUP(AJ$3,'FX Lookup'!$A$2:$Y$4,3,FALSE),0)</f>
        <v>0</v>
      </c>
      <c r="AK47" s="177">
        <f>IF(AND($AD47&lt;=AK$3,AK$3&lt;=$AE47),$AC47/$AF47*HLOOKUP(AK$3,'FX Lookup'!$A$2:$Y$4,3,FALSE),0)</f>
        <v>0</v>
      </c>
      <c r="AL47" s="177">
        <f>IF(AND($AD47&lt;=AL$3,AL$3&lt;=$AE47),$AC47/$AF47*HLOOKUP(AL$3,'FX Lookup'!$A$2:$Y$4,3,FALSE),0)</f>
        <v>0</v>
      </c>
      <c r="AM47" s="177">
        <f>IF(AND($AD47&lt;=AM$3,AM$3&lt;=$AE47),$AC47/$AF47*HLOOKUP(AM$3,'FX Lookup'!$A$2:$Y$4,3,FALSE),0)</f>
        <v>0</v>
      </c>
      <c r="AN47" s="177">
        <f>IF(AND($AD47&lt;=AN$3,AN$3&lt;=$AE47),$AC47/$AF47*HLOOKUP(AN$3,'FX Lookup'!$A$2:$Y$4,3,FALSE),0)</f>
        <v>0</v>
      </c>
      <c r="AO47" s="177">
        <f>IF(AND($AD47&lt;=AO$3,AO$3&lt;=$AE47),$AC47/$AF47*HLOOKUP(AO$3,'FX Lookup'!$A$2:$Y$4,3,FALSE),0)</f>
        <v>0</v>
      </c>
      <c r="AP47" s="177">
        <f>IF(AND($AD47&lt;=AP$3,AP$3&lt;=$AE47),$AC47/$AF47*HLOOKUP(AP$3,'FX Lookup'!$A$2:$Y$4,3,FALSE),0)</f>
        <v>0</v>
      </c>
      <c r="AQ47" s="177">
        <f>IF(AND($AD47&lt;=AQ$3,AQ$3&lt;=$AE47),$AC47/$AF47*HLOOKUP(AQ$3,'FX Lookup'!$A$2:$Y$4,3,FALSE),0)</f>
        <v>0</v>
      </c>
      <c r="AR47" s="177">
        <f>IF(AND($AD47&lt;=AR$3,AR$3&lt;=$AE47),$AC47/$AF47*HLOOKUP(AR$3,'FX Lookup'!$A$2:$Y$4,3,FALSE),0)</f>
        <v>0</v>
      </c>
      <c r="AS47" s="178">
        <f t="shared" si="26"/>
        <v>0</v>
      </c>
      <c r="AU47" s="177">
        <f t="shared" si="27"/>
        <v>0</v>
      </c>
      <c r="AV47" s="177">
        <f t="shared" si="28"/>
        <v>0</v>
      </c>
      <c r="AW47" s="177">
        <f t="shared" si="29"/>
        <v>0</v>
      </c>
      <c r="AX47" s="177">
        <f t="shared" si="30"/>
        <v>0</v>
      </c>
      <c r="AY47" s="177">
        <f t="shared" si="31"/>
        <v>0</v>
      </c>
      <c r="AZ47" s="177">
        <f t="shared" si="32"/>
        <v>0</v>
      </c>
      <c r="BA47" s="177">
        <f t="shared" si="33"/>
        <v>0</v>
      </c>
      <c r="BB47" s="177">
        <f t="shared" si="34"/>
        <v>0</v>
      </c>
      <c r="BC47" s="177">
        <f t="shared" si="35"/>
        <v>0</v>
      </c>
      <c r="BD47" s="177">
        <f t="shared" si="36"/>
        <v>0</v>
      </c>
      <c r="BE47" s="177">
        <f t="shared" si="37"/>
        <v>0</v>
      </c>
      <c r="BF47" s="177">
        <f t="shared" si="38"/>
        <v>0</v>
      </c>
      <c r="BG47" s="178">
        <f t="shared" si="39"/>
        <v>0</v>
      </c>
    </row>
    <row r="48" spans="1:59" ht="13.5" customHeight="1">
      <c r="A48" s="171">
        <f t="shared" ref="A48:A49" si="52">IF(A47&lt;=0,FALSE,A47+1)</f>
        <v>19</v>
      </c>
      <c r="B48" s="171" t="str">
        <f t="shared" ref="B48:B49" si="53">+B47</f>
        <v>ACPLHK</v>
      </c>
      <c r="C48" s="171" t="s">
        <v>1549</v>
      </c>
      <c r="D48" s="171" t="str">
        <f t="shared" si="41"/>
        <v>支付的其他与经营活动有关的现金（其他）</v>
      </c>
      <c r="E48" s="171"/>
      <c r="F48" s="172" t="str">
        <f t="shared" si="48"/>
        <v>Employee Background Check</v>
      </c>
      <c r="G48" s="172"/>
      <c r="H48" s="77" t="s">
        <v>2613</v>
      </c>
      <c r="I48" s="173" t="s">
        <v>2614</v>
      </c>
      <c r="J48" s="173" t="s">
        <v>2368</v>
      </c>
      <c r="K48" s="77">
        <v>0</v>
      </c>
      <c r="L48" s="175">
        <v>45658</v>
      </c>
      <c r="M48" s="175">
        <v>46022</v>
      </c>
      <c r="N48" s="176">
        <f t="shared" si="49"/>
        <v>12</v>
      </c>
      <c r="O48" s="177">
        <f>IF(AND($L48&lt;=O$3,O$3&lt;=$M48),$K48/$N48*HLOOKUP(O$3,'FX Lookup'!$A$2:$Y$4,3,FALSE),0)</f>
        <v>0</v>
      </c>
      <c r="P48" s="177">
        <f>IF(AND($L48&lt;=P$3,P$3&lt;=$M48),$K48/$N48*HLOOKUP(P$3,'FX Lookup'!$A$2:$Y$4,3,FALSE),0)</f>
        <v>0</v>
      </c>
      <c r="Q48" s="177">
        <f>IF(AND($L48&lt;=Q$3,Q$3&lt;=$M48),$K48/$N48*HLOOKUP(Q$3,'FX Lookup'!$A$2:$Y$4,3,FALSE),0)</f>
        <v>0</v>
      </c>
      <c r="R48" s="177">
        <f>IF(AND($L48&lt;=R$3,R$3&lt;=$M48),$K48/$N48*HLOOKUP(R$3,'FX Lookup'!$A$2:$Y$4,3,FALSE),0)</f>
        <v>0</v>
      </c>
      <c r="S48" s="177">
        <f>IF(AND($L48&lt;=S$3,S$3&lt;=$M48),$K48/$N48*HLOOKUP(S$3,'FX Lookup'!$A$2:$Y$4,3,FALSE),0)</f>
        <v>0</v>
      </c>
      <c r="T48" s="177">
        <f>IF(AND($L48&lt;=T$3,T$3&lt;=$M48),$K48/$N48*HLOOKUP(T$3,'FX Lookup'!$A$2:$Y$4,3,FALSE),0)</f>
        <v>0</v>
      </c>
      <c r="U48" s="177">
        <f>IF(AND($L48&lt;=U$3,U$3&lt;=$M48),$K48/$N48*HLOOKUP(U$3,'FX Lookup'!$A$2:$Y$4,3,FALSE),0)</f>
        <v>0</v>
      </c>
      <c r="V48" s="177">
        <f>IF(AND($L48&lt;=V$3,V$3&lt;=$M48),$K48/$N48*HLOOKUP(V$3,'FX Lookup'!$A$2:$Y$4,3,FALSE),0)</f>
        <v>0</v>
      </c>
      <c r="W48" s="177">
        <f>IF(AND($L48&lt;=W$3,W$3&lt;=$M48),$K48/$N48*HLOOKUP(W$3,'FX Lookup'!$A$2:$Y$4,3,FALSE),0)</f>
        <v>0</v>
      </c>
      <c r="X48" s="177">
        <f>IF(AND($L48&lt;=X$3,X$3&lt;=$M48),$K48/$N48*HLOOKUP(X$3,'FX Lookup'!$A$2:$Y$4,3,FALSE),0)</f>
        <v>0</v>
      </c>
      <c r="Y48" s="177">
        <f>IF(AND($L48&lt;=Y$3,Y$3&lt;=$M48),$K48/$N48*HLOOKUP(Y$3,'FX Lookup'!$A$2:$Y$4,3,FALSE),0)</f>
        <v>0</v>
      </c>
      <c r="Z48" s="177">
        <f>IF(AND($L48&lt;=Z$3,Z$3&lt;=$M48),$K48/$N48*HLOOKUP(Z$3,'FX Lookup'!$A$2:$Y$4,3,FALSE),0)</f>
        <v>0</v>
      </c>
      <c r="AA48" s="178">
        <f t="shared" si="43"/>
        <v>0</v>
      </c>
      <c r="AB48" s="173" t="s">
        <v>2368</v>
      </c>
      <c r="AC48" s="77">
        <v>0</v>
      </c>
      <c r="AD48" s="175">
        <v>46023</v>
      </c>
      <c r="AE48" s="175">
        <v>46387</v>
      </c>
      <c r="AF48" s="176">
        <f t="shared" si="25"/>
        <v>12</v>
      </c>
      <c r="AG48" s="177">
        <f>IF(AND($AD48&lt;=AG$3,AG$3&lt;=$AE48),$AC48/$AF48*HLOOKUP(AG$3,'FX Lookup'!$A$2:$Y$4,3,FALSE),0)</f>
        <v>0</v>
      </c>
      <c r="AH48" s="177">
        <f>IF(AND($AD48&lt;=AH$3,AH$3&lt;=$AE48),$AC48/$AF48*HLOOKUP(AH$3,'FX Lookup'!$A$2:$Y$4,3,FALSE),0)</f>
        <v>0</v>
      </c>
      <c r="AI48" s="177">
        <f>IF(AND($AD48&lt;=AI$3,AI$3&lt;=$AE48),$AC48/$AF48*HLOOKUP(AI$3,'FX Lookup'!$A$2:$Y$4,3,FALSE),0)</f>
        <v>0</v>
      </c>
      <c r="AJ48" s="177">
        <f>IF(AND($AD48&lt;=AJ$3,AJ$3&lt;=$AE48),$AC48/$AF48*HLOOKUP(AJ$3,'FX Lookup'!$A$2:$Y$4,3,FALSE),0)</f>
        <v>0</v>
      </c>
      <c r="AK48" s="177">
        <f>IF(AND($AD48&lt;=AK$3,AK$3&lt;=$AE48),$AC48/$AF48*HLOOKUP(AK$3,'FX Lookup'!$A$2:$Y$4,3,FALSE),0)</f>
        <v>0</v>
      </c>
      <c r="AL48" s="177">
        <f>IF(AND($AD48&lt;=AL$3,AL$3&lt;=$AE48),$AC48/$AF48*HLOOKUP(AL$3,'FX Lookup'!$A$2:$Y$4,3,FALSE),0)</f>
        <v>0</v>
      </c>
      <c r="AM48" s="177">
        <f>IF(AND($AD48&lt;=AM$3,AM$3&lt;=$AE48),$AC48/$AF48*HLOOKUP(AM$3,'FX Lookup'!$A$2:$Y$4,3,FALSE),0)</f>
        <v>0</v>
      </c>
      <c r="AN48" s="177">
        <f>IF(AND($AD48&lt;=AN$3,AN$3&lt;=$AE48),$AC48/$AF48*HLOOKUP(AN$3,'FX Lookup'!$A$2:$Y$4,3,FALSE),0)</f>
        <v>0</v>
      </c>
      <c r="AO48" s="177">
        <f>IF(AND($AD48&lt;=AO$3,AO$3&lt;=$AE48),$AC48/$AF48*HLOOKUP(AO$3,'FX Lookup'!$A$2:$Y$4,3,FALSE),0)</f>
        <v>0</v>
      </c>
      <c r="AP48" s="177">
        <f>IF(AND($AD48&lt;=AP$3,AP$3&lt;=$AE48),$AC48/$AF48*HLOOKUP(AP$3,'FX Lookup'!$A$2:$Y$4,3,FALSE),0)</f>
        <v>0</v>
      </c>
      <c r="AQ48" s="177">
        <f>IF(AND($AD48&lt;=AQ$3,AQ$3&lt;=$AE48),$AC48/$AF48*HLOOKUP(AQ$3,'FX Lookup'!$A$2:$Y$4,3,FALSE),0)</f>
        <v>0</v>
      </c>
      <c r="AR48" s="177">
        <f>IF(AND($AD48&lt;=AR$3,AR$3&lt;=$AE48),$AC48/$AF48*HLOOKUP(AR$3,'FX Lookup'!$A$2:$Y$4,3,FALSE),0)</f>
        <v>0</v>
      </c>
      <c r="AS48" s="178">
        <f t="shared" si="26"/>
        <v>0</v>
      </c>
      <c r="AU48" s="177">
        <f t="shared" si="27"/>
        <v>0</v>
      </c>
      <c r="AV48" s="177">
        <f t="shared" si="28"/>
        <v>0</v>
      </c>
      <c r="AW48" s="177">
        <f t="shared" si="29"/>
        <v>0</v>
      </c>
      <c r="AX48" s="177">
        <f t="shared" si="30"/>
        <v>0</v>
      </c>
      <c r="AY48" s="177">
        <f t="shared" si="31"/>
        <v>0</v>
      </c>
      <c r="AZ48" s="177">
        <f t="shared" si="32"/>
        <v>0</v>
      </c>
      <c r="BA48" s="177">
        <f t="shared" si="33"/>
        <v>0</v>
      </c>
      <c r="BB48" s="177">
        <f t="shared" si="34"/>
        <v>0</v>
      </c>
      <c r="BC48" s="177">
        <f t="shared" si="35"/>
        <v>0</v>
      </c>
      <c r="BD48" s="177">
        <f t="shared" si="36"/>
        <v>0</v>
      </c>
      <c r="BE48" s="177">
        <f t="shared" si="37"/>
        <v>0</v>
      </c>
      <c r="BF48" s="177">
        <f t="shared" si="38"/>
        <v>0</v>
      </c>
      <c r="BG48" s="178">
        <f t="shared" si="39"/>
        <v>0</v>
      </c>
    </row>
    <row r="49" spans="1:59" ht="13.5" customHeight="1">
      <c r="A49" s="171">
        <f t="shared" si="52"/>
        <v>20</v>
      </c>
      <c r="B49" s="171" t="str">
        <f t="shared" si="53"/>
        <v>ACPLHK</v>
      </c>
      <c r="C49" s="171" t="s">
        <v>1867</v>
      </c>
      <c r="D49" s="171" t="str">
        <f t="shared" si="41"/>
        <v>支付的其他与经营活动有关的现金（其他）</v>
      </c>
      <c r="E49" s="171"/>
      <c r="F49" s="172" t="str">
        <f t="shared" si="48"/>
        <v>Training Fees</v>
      </c>
      <c r="G49" s="172" t="s">
        <v>2941</v>
      </c>
      <c r="H49" s="77" t="s">
        <v>2613</v>
      </c>
      <c r="I49" s="173" t="s">
        <v>2614</v>
      </c>
      <c r="J49" s="173" t="s">
        <v>2368</v>
      </c>
      <c r="K49" s="174">
        <v>12000</v>
      </c>
      <c r="L49" s="175">
        <v>45658</v>
      </c>
      <c r="M49" s="175">
        <v>46022</v>
      </c>
      <c r="N49" s="176">
        <f t="shared" ref="N49" si="54">IF(AND(L49="",M49=""),"-",IF(M49="",12,DATEDIF(L49,M49,"M")+1))</f>
        <v>12</v>
      </c>
      <c r="O49" s="177">
        <f>IF(AND($L49&lt;=O$3,O$3&lt;=$M49),$K49/$N49*HLOOKUP(O$3,'FX Lookup'!$A$2:$Y$4,3,FALSE),0)</f>
        <v>935.92</v>
      </c>
      <c r="P49" s="177">
        <f>IF(AND($L49&lt;=P$3,P$3&lt;=$M49),$K49/$N49*HLOOKUP(P$3,'FX Lookup'!$A$2:$Y$4,3,FALSE),0)</f>
        <v>935.92</v>
      </c>
      <c r="Q49" s="177">
        <f>IF(AND($L49&lt;=Q$3,Q$3&lt;=$M49),$K49/$N49*HLOOKUP(Q$3,'FX Lookup'!$A$2:$Y$4,3,FALSE),0)</f>
        <v>935.92</v>
      </c>
      <c r="R49" s="177">
        <f>IF(AND($L49&lt;=R$3,R$3&lt;=$M49),$K49/$N49*HLOOKUP(R$3,'FX Lookup'!$A$2:$Y$4,3,FALSE),0)</f>
        <v>935.92</v>
      </c>
      <c r="S49" s="177">
        <f>IF(AND($L49&lt;=S$3,S$3&lt;=$M49),$K49/$N49*HLOOKUP(S$3,'FX Lookup'!$A$2:$Y$4,3,FALSE),0)</f>
        <v>935.92</v>
      </c>
      <c r="T49" s="177">
        <f>IF(AND($L49&lt;=T$3,T$3&lt;=$M49),$K49/$N49*HLOOKUP(T$3,'FX Lookup'!$A$2:$Y$4,3,FALSE),0)</f>
        <v>935.92</v>
      </c>
      <c r="U49" s="177">
        <f>IF(AND($L49&lt;=U$3,U$3&lt;=$M49),$K49/$N49*HLOOKUP(U$3,'FX Lookup'!$A$2:$Y$4,3,FALSE),0)</f>
        <v>935.92</v>
      </c>
      <c r="V49" s="177">
        <f>IF(AND($L49&lt;=V$3,V$3&lt;=$M49),$K49/$N49*HLOOKUP(V$3,'FX Lookup'!$A$2:$Y$4,3,FALSE),0)</f>
        <v>935.92</v>
      </c>
      <c r="W49" s="177">
        <f>IF(AND($L49&lt;=W$3,W$3&lt;=$M49),$K49/$N49*HLOOKUP(W$3,'FX Lookup'!$A$2:$Y$4,3,FALSE),0)</f>
        <v>935.92</v>
      </c>
      <c r="X49" s="177">
        <f>IF(AND($L49&lt;=X$3,X$3&lt;=$M49),$K49/$N49*HLOOKUP(X$3,'FX Lookup'!$A$2:$Y$4,3,FALSE),0)</f>
        <v>935.92</v>
      </c>
      <c r="Y49" s="177">
        <f>IF(AND($L49&lt;=Y$3,Y$3&lt;=$M49),$K49/$N49*HLOOKUP(Y$3,'FX Lookup'!$A$2:$Y$4,3,FALSE),0)</f>
        <v>935.92</v>
      </c>
      <c r="Z49" s="177">
        <f>IF(AND($L49&lt;=Z$3,Z$3&lt;=$M49),$K49/$N49*HLOOKUP(Z$3,'FX Lookup'!$A$2:$Y$4,3,FALSE),0)</f>
        <v>935.92</v>
      </c>
      <c r="AA49" s="178">
        <f t="shared" si="43"/>
        <v>11231.039999999999</v>
      </c>
      <c r="AB49" s="173" t="s">
        <v>2368</v>
      </c>
      <c r="AC49" s="174">
        <v>12000</v>
      </c>
      <c r="AD49" s="175">
        <v>46023</v>
      </c>
      <c r="AE49" s="175">
        <v>46387</v>
      </c>
      <c r="AF49" s="176">
        <f t="shared" si="25"/>
        <v>12</v>
      </c>
      <c r="AG49" s="177">
        <f>IF(AND($AD49&lt;=AG$3,AG$3&lt;=$AE49),$AC49/$AF49*HLOOKUP(AG$3,'FX Lookup'!$A$2:$Y$4,3,FALSE),0)</f>
        <v>889.9899999999999</v>
      </c>
      <c r="AH49" s="177">
        <f>IF(AND($AD49&lt;=AH$3,AH$3&lt;=$AE49),$AC49/$AF49*HLOOKUP(AH$3,'FX Lookup'!$A$2:$Y$4,3,FALSE),0)</f>
        <v>882.19999999999993</v>
      </c>
      <c r="AI49" s="177">
        <f>IF(AND($AD49&lt;=AI$3,AI$3&lt;=$AE49),$AC49/$AF49*HLOOKUP(AI$3,'FX Lookup'!$A$2:$Y$4,3,FALSE),0)</f>
        <v>882.19999999999993</v>
      </c>
      <c r="AJ49" s="177">
        <f>IF(AND($AD49&lt;=AJ$3,AJ$3&lt;=$AE49),$AC49/$AF49*HLOOKUP(AJ$3,'FX Lookup'!$A$2:$Y$4,3,FALSE),0)</f>
        <v>882.19999999999993</v>
      </c>
      <c r="AK49" s="177">
        <f>IF(AND($AD49&lt;=AK$3,AK$3&lt;=$AE49),$AC49/$AF49*HLOOKUP(AK$3,'FX Lookup'!$A$2:$Y$4,3,FALSE),0)</f>
        <v>882.19999999999993</v>
      </c>
      <c r="AL49" s="177">
        <f>IF(AND($AD49&lt;=AL$3,AL$3&lt;=$AE49),$AC49/$AF49*HLOOKUP(AL$3,'FX Lookup'!$A$2:$Y$4,3,FALSE),0)</f>
        <v>882.19999999999993</v>
      </c>
      <c r="AM49" s="177">
        <f>IF(AND($AD49&lt;=AM$3,AM$3&lt;=$AE49),$AC49/$AF49*HLOOKUP(AM$3,'FX Lookup'!$A$2:$Y$4,3,FALSE),0)</f>
        <v>882.19999999999993</v>
      </c>
      <c r="AN49" s="177">
        <f>IF(AND($AD49&lt;=AN$3,AN$3&lt;=$AE49),$AC49/$AF49*HLOOKUP(AN$3,'FX Lookup'!$A$2:$Y$4,3,FALSE),0)</f>
        <v>882.19999999999993</v>
      </c>
      <c r="AO49" s="177">
        <f>IF(AND($AD49&lt;=AO$3,AO$3&lt;=$AE49),$AC49/$AF49*HLOOKUP(AO$3,'FX Lookup'!$A$2:$Y$4,3,FALSE),0)</f>
        <v>882.19999999999993</v>
      </c>
      <c r="AP49" s="177">
        <f>IF(AND($AD49&lt;=AP$3,AP$3&lt;=$AE49),$AC49/$AF49*HLOOKUP(AP$3,'FX Lookup'!$A$2:$Y$4,3,FALSE),0)</f>
        <v>882.19999999999993</v>
      </c>
      <c r="AQ49" s="177">
        <f>IF(AND($AD49&lt;=AQ$3,AQ$3&lt;=$AE49),$AC49/$AF49*HLOOKUP(AQ$3,'FX Lookup'!$A$2:$Y$4,3,FALSE),0)</f>
        <v>882.19999999999993</v>
      </c>
      <c r="AR49" s="177">
        <f>IF(AND($AD49&lt;=AR$3,AR$3&lt;=$AE49),$AC49/$AF49*HLOOKUP(AR$3,'FX Lookup'!$A$2:$Y$4,3,FALSE),0)</f>
        <v>882.19999999999993</v>
      </c>
      <c r="AS49" s="178">
        <f t="shared" si="26"/>
        <v>10594.19</v>
      </c>
      <c r="AU49" s="177">
        <f t="shared" si="27"/>
        <v>934.48949999999991</v>
      </c>
      <c r="AV49" s="177">
        <f t="shared" si="28"/>
        <v>926.31</v>
      </c>
      <c r="AW49" s="177">
        <f t="shared" si="29"/>
        <v>926.31</v>
      </c>
      <c r="AX49" s="177">
        <f t="shared" si="30"/>
        <v>926.31</v>
      </c>
      <c r="AY49" s="177">
        <f t="shared" si="31"/>
        <v>926.31</v>
      </c>
      <c r="AZ49" s="177">
        <f t="shared" si="32"/>
        <v>926.31</v>
      </c>
      <c r="BA49" s="177">
        <f t="shared" si="33"/>
        <v>926.31</v>
      </c>
      <c r="BB49" s="177">
        <f t="shared" si="34"/>
        <v>926.31</v>
      </c>
      <c r="BC49" s="177">
        <f t="shared" si="35"/>
        <v>926.31</v>
      </c>
      <c r="BD49" s="177">
        <f t="shared" si="36"/>
        <v>926.31</v>
      </c>
      <c r="BE49" s="177">
        <f t="shared" si="37"/>
        <v>926.31</v>
      </c>
      <c r="BF49" s="177">
        <f t="shared" si="38"/>
        <v>926.31</v>
      </c>
      <c r="BG49" s="178">
        <f t="shared" si="39"/>
        <v>11123.899499999996</v>
      </c>
    </row>
    <row r="50" spans="1:59">
      <c r="AA50" s="179"/>
      <c r="AS50" s="179"/>
      <c r="BG50" s="179"/>
    </row>
    <row r="51" spans="1:59" s="151" customFormat="1" ht="13.5" thickBot="1">
      <c r="L51" s="180"/>
      <c r="M51" s="180"/>
      <c r="O51" s="181">
        <f>SUM(O30:O50)</f>
        <v>7378.1693333333333</v>
      </c>
      <c r="P51" s="181">
        <f t="shared" ref="P51" si="55">SUM(P30:P50)</f>
        <v>7378.1693333333333</v>
      </c>
      <c r="Q51" s="181">
        <f t="shared" ref="Q51" si="56">SUM(Q30:Q50)</f>
        <v>7378.1693333333333</v>
      </c>
      <c r="R51" s="181">
        <f t="shared" ref="R51" si="57">SUM(R30:R50)</f>
        <v>67343.499653333332</v>
      </c>
      <c r="S51" s="181">
        <f t="shared" ref="S51" si="58">SUM(S30:S50)</f>
        <v>7378.1693333333333</v>
      </c>
      <c r="T51" s="181">
        <f t="shared" ref="T51" si="59">SUM(T30:T50)</f>
        <v>7378.1693333333333</v>
      </c>
      <c r="U51" s="181">
        <f t="shared" ref="U51" si="60">SUM(U30:U50)</f>
        <v>7378.1693333333333</v>
      </c>
      <c r="V51" s="181">
        <f t="shared" ref="V51" si="61">SUM(V30:V50)</f>
        <v>7378.1693333333333</v>
      </c>
      <c r="W51" s="181">
        <f t="shared" ref="W51" si="62">SUM(W30:W50)</f>
        <v>9540.144533333334</v>
      </c>
      <c r="X51" s="181">
        <f t="shared" ref="X51" si="63">SUM(X30:X50)</f>
        <v>7378.1693333333333</v>
      </c>
      <c r="Y51" s="181">
        <f t="shared" ref="Y51" si="64">SUM(Y30:Y50)</f>
        <v>11561.591345333334</v>
      </c>
      <c r="Z51" s="181">
        <f t="shared" ref="Z51" si="65">SUM(Z30:Z50)</f>
        <v>7378.1693333333333</v>
      </c>
      <c r="AA51" s="182">
        <f>SUBTOTAL(9,O51:Z51)</f>
        <v>154848.759532</v>
      </c>
      <c r="AC51" s="181">
        <f>SUM(AC30:AC50)</f>
        <v>165450.85</v>
      </c>
      <c r="AD51" s="180"/>
      <c r="AE51" s="180"/>
      <c r="AG51" s="181">
        <f>SUM(AG30:AG50)</f>
        <v>11767.966940833332</v>
      </c>
      <c r="AH51" s="181">
        <f t="shared" ref="AH51:AR51" si="66">SUM(AH30:AH50)</f>
        <v>11664.963016666668</v>
      </c>
      <c r="AI51" s="181">
        <f t="shared" si="66"/>
        <v>11664.963016666668</v>
      </c>
      <c r="AJ51" s="181">
        <f t="shared" si="66"/>
        <v>11664.963016666668</v>
      </c>
      <c r="AK51" s="181">
        <f t="shared" si="66"/>
        <v>11664.963016666668</v>
      </c>
      <c r="AL51" s="181">
        <f t="shared" si="66"/>
        <v>11664.963016666668</v>
      </c>
      <c r="AM51" s="181">
        <f t="shared" si="66"/>
        <v>11664.963016666668</v>
      </c>
      <c r="AN51" s="181">
        <f t="shared" si="66"/>
        <v>11664.963016666668</v>
      </c>
      <c r="AO51" s="181">
        <f t="shared" si="66"/>
        <v>13702.84501666667</v>
      </c>
      <c r="AP51" s="181">
        <f t="shared" si="66"/>
        <v>11664.963016666668</v>
      </c>
      <c r="AQ51" s="181">
        <f t="shared" si="66"/>
        <v>15608.264686666669</v>
      </c>
      <c r="AR51" s="181">
        <f t="shared" si="66"/>
        <v>11664.963016666668</v>
      </c>
      <c r="AS51" s="182">
        <f>SUBTOTAL(9,AG51:AR51)</f>
        <v>146063.74379416669</v>
      </c>
      <c r="AU51" s="181">
        <f>SUM(AU30:AU50)</f>
        <v>12356.365287875</v>
      </c>
      <c r="AV51" s="181">
        <f t="shared" ref="AV51:BF51" si="67">SUM(AV30:AV50)</f>
        <v>12248.2111675</v>
      </c>
      <c r="AW51" s="181">
        <f t="shared" si="67"/>
        <v>12248.2111675</v>
      </c>
      <c r="AX51" s="181">
        <f t="shared" si="67"/>
        <v>12248.2111675</v>
      </c>
      <c r="AY51" s="181">
        <f t="shared" si="67"/>
        <v>12248.2111675</v>
      </c>
      <c r="AZ51" s="181">
        <f t="shared" si="67"/>
        <v>12248.2111675</v>
      </c>
      <c r="BA51" s="181">
        <f t="shared" si="67"/>
        <v>12248.2111675</v>
      </c>
      <c r="BB51" s="181">
        <f t="shared" si="67"/>
        <v>12248.2111675</v>
      </c>
      <c r="BC51" s="181">
        <f t="shared" si="67"/>
        <v>14387.987267500001</v>
      </c>
      <c r="BD51" s="181">
        <f t="shared" si="67"/>
        <v>12248.2111675</v>
      </c>
      <c r="BE51" s="181">
        <f t="shared" si="67"/>
        <v>16388.677921000002</v>
      </c>
      <c r="BF51" s="181">
        <f t="shared" si="67"/>
        <v>12248.2111675</v>
      </c>
      <c r="BG51" s="182">
        <f>SUBTOTAL(9,AU51:BF51)</f>
        <v>153366.93098387501</v>
      </c>
    </row>
    <row r="52" spans="1:59" ht="13.5" thickTop="1"/>
    <row r="53" spans="1:59" s="150" customFormat="1" ht="13.5" customHeight="1">
      <c r="A53" s="162"/>
      <c r="B53" s="162" t="s">
        <v>2598</v>
      </c>
      <c r="C53" s="162" t="s">
        <v>2704</v>
      </c>
      <c r="D53" s="162" t="s">
        <v>2602</v>
      </c>
      <c r="E53" s="162" t="s">
        <v>2401</v>
      </c>
      <c r="F53" s="163" t="s">
        <v>2930</v>
      </c>
      <c r="G53" s="163" t="s">
        <v>2603</v>
      </c>
      <c r="H53" s="164" t="s">
        <v>2604</v>
      </c>
      <c r="I53" s="164" t="s">
        <v>2605</v>
      </c>
      <c r="J53" s="165" t="s">
        <v>2606</v>
      </c>
      <c r="K53" s="166" t="s">
        <v>2607</v>
      </c>
      <c r="L53" s="167" t="s">
        <v>2608</v>
      </c>
      <c r="M53" s="167" t="s">
        <v>2609</v>
      </c>
      <c r="N53" s="166" t="s">
        <v>2610</v>
      </c>
      <c r="O53" s="69">
        <v>45658</v>
      </c>
      <c r="P53" s="69">
        <v>45689</v>
      </c>
      <c r="Q53" s="69">
        <v>45717</v>
      </c>
      <c r="R53" s="69">
        <v>45748</v>
      </c>
      <c r="S53" s="69">
        <v>45778</v>
      </c>
      <c r="T53" s="69">
        <v>45809</v>
      </c>
      <c r="U53" s="69">
        <v>45839</v>
      </c>
      <c r="V53" s="69">
        <v>45870</v>
      </c>
      <c r="W53" s="69">
        <v>45901</v>
      </c>
      <c r="X53" s="69">
        <v>45931</v>
      </c>
      <c r="Y53" s="69">
        <v>45962</v>
      </c>
      <c r="Z53" s="69">
        <v>45992</v>
      </c>
      <c r="AA53" s="168" t="s">
        <v>2115</v>
      </c>
      <c r="AB53" s="165" t="s">
        <v>2606</v>
      </c>
      <c r="AC53" s="166" t="s">
        <v>2607</v>
      </c>
      <c r="AD53" s="167" t="s">
        <v>2608</v>
      </c>
      <c r="AE53" s="167" t="s">
        <v>2609</v>
      </c>
      <c r="AF53" s="166" t="s">
        <v>2610</v>
      </c>
      <c r="AG53" s="69">
        <v>46023</v>
      </c>
      <c r="AH53" s="69">
        <v>46054</v>
      </c>
      <c r="AI53" s="69">
        <v>46082</v>
      </c>
      <c r="AJ53" s="69">
        <v>46113</v>
      </c>
      <c r="AK53" s="69">
        <v>46143</v>
      </c>
      <c r="AL53" s="69">
        <v>46174</v>
      </c>
      <c r="AM53" s="69">
        <v>46204</v>
      </c>
      <c r="AN53" s="69">
        <v>46235</v>
      </c>
      <c r="AO53" s="69">
        <v>46266</v>
      </c>
      <c r="AP53" s="69">
        <v>46296</v>
      </c>
      <c r="AQ53" s="69">
        <v>46327</v>
      </c>
      <c r="AR53" s="69">
        <v>46357</v>
      </c>
      <c r="AS53" s="168" t="s">
        <v>2706</v>
      </c>
      <c r="AU53" s="69">
        <f t="shared" ref="AU53:BG53" si="68">AU3</f>
        <v>46388</v>
      </c>
      <c r="AV53" s="69">
        <f t="shared" si="68"/>
        <v>46419</v>
      </c>
      <c r="AW53" s="69">
        <f t="shared" si="68"/>
        <v>46447</v>
      </c>
      <c r="AX53" s="69">
        <f t="shared" si="68"/>
        <v>46478</v>
      </c>
      <c r="AY53" s="69">
        <f t="shared" si="68"/>
        <v>46508</v>
      </c>
      <c r="AZ53" s="69">
        <f t="shared" si="68"/>
        <v>46539</v>
      </c>
      <c r="BA53" s="69">
        <f t="shared" si="68"/>
        <v>46569</v>
      </c>
      <c r="BB53" s="69">
        <f t="shared" si="68"/>
        <v>46600</v>
      </c>
      <c r="BC53" s="69">
        <f t="shared" si="68"/>
        <v>46631</v>
      </c>
      <c r="BD53" s="69">
        <f t="shared" si="68"/>
        <v>46661</v>
      </c>
      <c r="BE53" s="69">
        <f t="shared" si="68"/>
        <v>46692</v>
      </c>
      <c r="BF53" s="69">
        <f t="shared" si="68"/>
        <v>46722</v>
      </c>
      <c r="BG53" s="168" t="str">
        <f t="shared" si="68"/>
        <v>2027Total</v>
      </c>
    </row>
    <row r="54" spans="1:59" ht="13.5" customHeight="1">
      <c r="A54" s="171">
        <v>1</v>
      </c>
      <c r="B54" s="171" t="s">
        <v>2113</v>
      </c>
      <c r="C54" s="171" t="s">
        <v>1646</v>
      </c>
      <c r="D54" s="171" t="str">
        <f>$D6</f>
        <v>支付的其他与经营活动有关的现金（其他）</v>
      </c>
      <c r="E54" s="171"/>
      <c r="F54" s="172" t="str">
        <f>IF(F6="","",F6)</f>
        <v>Office Supplies</v>
      </c>
      <c r="G54" s="172"/>
      <c r="H54" s="77" t="s">
        <v>2613</v>
      </c>
      <c r="I54" s="173" t="s">
        <v>2614</v>
      </c>
      <c r="J54" s="173" t="s">
        <v>2046</v>
      </c>
      <c r="K54" s="77"/>
      <c r="L54" s="175">
        <v>45658</v>
      </c>
      <c r="M54" s="175">
        <v>46022</v>
      </c>
      <c r="N54" s="176">
        <f>IF(AND(L54="",M54=""),"-",IF(M54="",12,DATEDIF(L54,M54,"M")+1))</f>
        <v>12</v>
      </c>
      <c r="O54" s="177">
        <f t="shared" ref="O54:Z70" si="69">IF(AND($L54&lt;=O$3,O$3&lt;=$M54),$K54/$N54,0)</f>
        <v>0</v>
      </c>
      <c r="P54" s="177">
        <f t="shared" si="69"/>
        <v>0</v>
      </c>
      <c r="Q54" s="177">
        <f t="shared" si="69"/>
        <v>0</v>
      </c>
      <c r="R54" s="177">
        <f t="shared" si="69"/>
        <v>0</v>
      </c>
      <c r="S54" s="177">
        <f t="shared" si="69"/>
        <v>0</v>
      </c>
      <c r="T54" s="177">
        <f t="shared" si="69"/>
        <v>0</v>
      </c>
      <c r="U54" s="177">
        <f t="shared" si="69"/>
        <v>0</v>
      </c>
      <c r="V54" s="177">
        <f t="shared" si="69"/>
        <v>0</v>
      </c>
      <c r="W54" s="177">
        <f t="shared" si="69"/>
        <v>0</v>
      </c>
      <c r="X54" s="177">
        <f t="shared" si="69"/>
        <v>0</v>
      </c>
      <c r="Y54" s="177">
        <f t="shared" si="69"/>
        <v>0</v>
      </c>
      <c r="Z54" s="177">
        <f t="shared" si="69"/>
        <v>0</v>
      </c>
      <c r="AA54" s="178">
        <f>SUM(O54:Z54)</f>
        <v>0</v>
      </c>
      <c r="AB54" s="173" t="s">
        <v>2046</v>
      </c>
      <c r="AC54" s="77"/>
      <c r="AD54" s="175">
        <v>46023</v>
      </c>
      <c r="AE54" s="175">
        <v>46387</v>
      </c>
      <c r="AF54" s="176">
        <f t="shared" ref="AF54:AF73" si="70">IF(AND(AD54="",AE54=""),"-",IF(AE54="",12,DATEDIF(AD54,AE54,"M")+1))</f>
        <v>12</v>
      </c>
      <c r="AG54" s="177">
        <f>IF(AND($AD54&lt;=AG$3,AG$3&lt;=$AE54),$AC54/$AF54,0)</f>
        <v>0</v>
      </c>
      <c r="AH54" s="177">
        <f t="shared" ref="AH54:AR54" si="71">IF(AND($AD54&lt;=AH$3,AH$3&lt;=$AE54),$AC54/$AF54,0)</f>
        <v>0</v>
      </c>
      <c r="AI54" s="177">
        <f t="shared" si="71"/>
        <v>0</v>
      </c>
      <c r="AJ54" s="177">
        <f t="shared" si="71"/>
        <v>0</v>
      </c>
      <c r="AK54" s="177">
        <f t="shared" si="71"/>
        <v>0</v>
      </c>
      <c r="AL54" s="177">
        <f t="shared" si="71"/>
        <v>0</v>
      </c>
      <c r="AM54" s="177">
        <f t="shared" si="71"/>
        <v>0</v>
      </c>
      <c r="AN54" s="177">
        <f t="shared" si="71"/>
        <v>0</v>
      </c>
      <c r="AO54" s="177">
        <f t="shared" si="71"/>
        <v>0</v>
      </c>
      <c r="AP54" s="177">
        <f t="shared" si="71"/>
        <v>0</v>
      </c>
      <c r="AQ54" s="177">
        <f t="shared" si="71"/>
        <v>0</v>
      </c>
      <c r="AR54" s="177">
        <f t="shared" si="71"/>
        <v>0</v>
      </c>
      <c r="AS54" s="178">
        <f t="shared" ref="AS54:AS73" si="72">SUM(AG54:AR54)</f>
        <v>0</v>
      </c>
      <c r="AU54" s="177">
        <f t="shared" ref="AU54:AU73" si="73">AG54*(1+$AU$1)</f>
        <v>0</v>
      </c>
      <c r="AV54" s="177">
        <f t="shared" ref="AV54:AV73" si="74">AH54*(1+$AU$1)</f>
        <v>0</v>
      </c>
      <c r="AW54" s="177">
        <f t="shared" ref="AW54:AW73" si="75">AI54*(1+$AU$1)</f>
        <v>0</v>
      </c>
      <c r="AX54" s="177">
        <f t="shared" ref="AX54:AX73" si="76">AJ54*(1+$AU$1)</f>
        <v>0</v>
      </c>
      <c r="AY54" s="177">
        <f t="shared" ref="AY54:AY73" si="77">AK54*(1+$AU$1)</f>
        <v>0</v>
      </c>
      <c r="AZ54" s="177">
        <f t="shared" ref="AZ54:AZ73" si="78">AL54*(1+$AU$1)</f>
        <v>0</v>
      </c>
      <c r="BA54" s="177">
        <f t="shared" ref="BA54:BA73" si="79">AM54*(1+$AU$1)</f>
        <v>0</v>
      </c>
      <c r="BB54" s="177">
        <f t="shared" ref="BB54:BB73" si="80">AN54*(1+$AU$1)</f>
        <v>0</v>
      </c>
      <c r="BC54" s="177">
        <f t="shared" ref="BC54:BC73" si="81">AO54*(1+$AU$1)</f>
        <v>0</v>
      </c>
      <c r="BD54" s="177">
        <f t="shared" ref="BD54:BD73" si="82">AP54*(1+$AU$1)</f>
        <v>0</v>
      </c>
      <c r="BE54" s="177">
        <f t="shared" ref="BE54:BE73" si="83">AQ54*(1+$AU$1)</f>
        <v>0</v>
      </c>
      <c r="BF54" s="177">
        <f t="shared" ref="BF54:BF73" si="84">AR54*(1+$AU$1)</f>
        <v>0</v>
      </c>
      <c r="BG54" s="178">
        <f t="shared" ref="BG54:BG73" si="85">SUM(AU54:BF54)</f>
        <v>0</v>
      </c>
    </row>
    <row r="55" spans="1:59" ht="13.5" customHeight="1">
      <c r="A55" s="171">
        <f t="shared" ref="A55:A68" si="86">IF(A54&lt;=0,FALSE,A54+1)</f>
        <v>2</v>
      </c>
      <c r="B55" s="171" t="str">
        <f>+B54</f>
        <v>ACPLGZ</v>
      </c>
      <c r="C55" s="171" t="s">
        <v>1844</v>
      </c>
      <c r="D55" s="171" t="str">
        <f t="shared" ref="D55:D73" si="87">$D7</f>
        <v>支付的其他与经营活动有关的现金（其他）</v>
      </c>
      <c r="E55" s="171"/>
      <c r="F55" s="172" t="str">
        <f>IF(F7="","",F7)</f>
        <v>Business registration fees</v>
      </c>
      <c r="G55" s="172"/>
      <c r="H55" s="77" t="s">
        <v>2613</v>
      </c>
      <c r="I55" s="173" t="s">
        <v>2614</v>
      </c>
      <c r="J55" s="173" t="s">
        <v>2046</v>
      </c>
      <c r="K55" s="77"/>
      <c r="L55" s="175">
        <v>45901</v>
      </c>
      <c r="M55" s="175">
        <v>45930</v>
      </c>
      <c r="N55" s="176">
        <f t="shared" ref="N55:N69" si="88">IF(AND(L55="",M55=""),"-",IF(M55="",12,DATEDIF(L55,M55,"M")+1))</f>
        <v>1</v>
      </c>
      <c r="O55" s="177">
        <f t="shared" si="69"/>
        <v>0</v>
      </c>
      <c r="P55" s="177">
        <f t="shared" si="69"/>
        <v>0</v>
      </c>
      <c r="Q55" s="177">
        <f t="shared" si="69"/>
        <v>0</v>
      </c>
      <c r="R55" s="177">
        <f t="shared" si="69"/>
        <v>0</v>
      </c>
      <c r="S55" s="177">
        <f t="shared" si="69"/>
        <v>0</v>
      </c>
      <c r="T55" s="177">
        <f t="shared" si="69"/>
        <v>0</v>
      </c>
      <c r="U55" s="177">
        <f t="shared" si="69"/>
        <v>0</v>
      </c>
      <c r="V55" s="177">
        <f t="shared" si="69"/>
        <v>0</v>
      </c>
      <c r="W55" s="177">
        <f t="shared" si="69"/>
        <v>0</v>
      </c>
      <c r="X55" s="177">
        <f t="shared" si="69"/>
        <v>0</v>
      </c>
      <c r="Y55" s="177">
        <f t="shared" si="69"/>
        <v>0</v>
      </c>
      <c r="Z55" s="177">
        <f t="shared" si="69"/>
        <v>0</v>
      </c>
      <c r="AA55" s="178">
        <f t="shared" ref="AA55:AA69" si="89">SUM(O55:Z55)</f>
        <v>0</v>
      </c>
      <c r="AB55" s="173" t="s">
        <v>2046</v>
      </c>
      <c r="AC55" s="77"/>
      <c r="AD55" s="175">
        <v>46266</v>
      </c>
      <c r="AE55" s="175">
        <v>46295</v>
      </c>
      <c r="AF55" s="176">
        <f t="shared" si="70"/>
        <v>1</v>
      </c>
      <c r="AG55" s="177">
        <f t="shared" ref="AG55:AG73" si="90">IF(AND($AD55&lt;=AG$3,AG$3&lt;=$AE55),$AC55/$AF55,0)</f>
        <v>0</v>
      </c>
      <c r="AH55" s="177">
        <f t="shared" ref="AH55:AH73" si="91">IF(AND($AD55&lt;=AH$3,AH$3&lt;=$AE55),$AC55/$AF55,0)</f>
        <v>0</v>
      </c>
      <c r="AI55" s="177">
        <f t="shared" ref="AI55:AI73" si="92">IF(AND($AD55&lt;=AI$3,AI$3&lt;=$AE55),$AC55/$AF55,0)</f>
        <v>0</v>
      </c>
      <c r="AJ55" s="177">
        <f t="shared" ref="AJ55:AJ73" si="93">IF(AND($AD55&lt;=AJ$3,AJ$3&lt;=$AE55),$AC55/$AF55,0)</f>
        <v>0</v>
      </c>
      <c r="AK55" s="177">
        <f t="shared" ref="AK55:AK73" si="94">IF(AND($AD55&lt;=AK$3,AK$3&lt;=$AE55),$AC55/$AF55,0)</f>
        <v>0</v>
      </c>
      <c r="AL55" s="177">
        <f t="shared" ref="AL55:AL73" si="95">IF(AND($AD55&lt;=AL$3,AL$3&lt;=$AE55),$AC55/$AF55,0)</f>
        <v>0</v>
      </c>
      <c r="AM55" s="177">
        <f t="shared" ref="AM55:AM73" si="96">IF(AND($AD55&lt;=AM$3,AM$3&lt;=$AE55),$AC55/$AF55,0)</f>
        <v>0</v>
      </c>
      <c r="AN55" s="177">
        <f t="shared" ref="AN55:AN73" si="97">IF(AND($AD55&lt;=AN$3,AN$3&lt;=$AE55),$AC55/$AF55,0)</f>
        <v>0</v>
      </c>
      <c r="AO55" s="177">
        <f t="shared" ref="AO55:AO73" si="98">IF(AND($AD55&lt;=AO$3,AO$3&lt;=$AE55),$AC55/$AF55,0)</f>
        <v>0</v>
      </c>
      <c r="AP55" s="177">
        <f t="shared" ref="AP55:AP73" si="99">IF(AND($AD55&lt;=AP$3,AP$3&lt;=$AE55),$AC55/$AF55,0)</f>
        <v>0</v>
      </c>
      <c r="AQ55" s="177">
        <f t="shared" ref="AQ55:AQ73" si="100">IF(AND($AD55&lt;=AQ$3,AQ$3&lt;=$AE55),$AC55/$AF55,0)</f>
        <v>0</v>
      </c>
      <c r="AR55" s="177">
        <f t="shared" ref="AR55:AR73" si="101">IF(AND($AD55&lt;=AR$3,AR$3&lt;=$AE55),$AC55/$AF55,0)</f>
        <v>0</v>
      </c>
      <c r="AS55" s="178">
        <f t="shared" si="72"/>
        <v>0</v>
      </c>
      <c r="AU55" s="177">
        <f t="shared" si="73"/>
        <v>0</v>
      </c>
      <c r="AV55" s="177">
        <f t="shared" si="74"/>
        <v>0</v>
      </c>
      <c r="AW55" s="177">
        <f t="shared" si="75"/>
        <v>0</v>
      </c>
      <c r="AX55" s="177">
        <f t="shared" si="76"/>
        <v>0</v>
      </c>
      <c r="AY55" s="177">
        <f t="shared" si="77"/>
        <v>0</v>
      </c>
      <c r="AZ55" s="177">
        <f t="shared" si="78"/>
        <v>0</v>
      </c>
      <c r="BA55" s="177">
        <f t="shared" si="79"/>
        <v>0</v>
      </c>
      <c r="BB55" s="177">
        <f t="shared" si="80"/>
        <v>0</v>
      </c>
      <c r="BC55" s="177">
        <f t="shared" si="81"/>
        <v>0</v>
      </c>
      <c r="BD55" s="177">
        <f t="shared" si="82"/>
        <v>0</v>
      </c>
      <c r="BE55" s="177">
        <f t="shared" si="83"/>
        <v>0</v>
      </c>
      <c r="BF55" s="177">
        <f t="shared" si="84"/>
        <v>0</v>
      </c>
      <c r="BG55" s="178">
        <f t="shared" si="85"/>
        <v>0</v>
      </c>
    </row>
    <row r="56" spans="1:59" ht="13.5" customHeight="1">
      <c r="A56" s="171">
        <f t="shared" si="86"/>
        <v>3</v>
      </c>
      <c r="B56" s="171" t="str">
        <f>+B55</f>
        <v>ACPLGZ</v>
      </c>
      <c r="C56" s="171" t="s">
        <v>1918</v>
      </c>
      <c r="D56" s="171" t="str">
        <f t="shared" si="87"/>
        <v>支付的其他与经营活动有关的现金（其他）</v>
      </c>
      <c r="E56" s="171"/>
      <c r="F56" s="172" t="str">
        <f>IF(F8="","",F8)</f>
        <v>Bank Handling Charges</v>
      </c>
      <c r="G56" s="172"/>
      <c r="H56" s="77" t="s">
        <v>2613</v>
      </c>
      <c r="I56" s="173" t="s">
        <v>2614</v>
      </c>
      <c r="J56" s="173" t="s">
        <v>2046</v>
      </c>
      <c r="K56" s="183">
        <v>1200</v>
      </c>
      <c r="L56" s="175">
        <v>45658</v>
      </c>
      <c r="M56" s="175">
        <v>46022</v>
      </c>
      <c r="N56" s="176">
        <f t="shared" si="88"/>
        <v>12</v>
      </c>
      <c r="O56" s="177">
        <f t="shared" si="69"/>
        <v>100</v>
      </c>
      <c r="P56" s="177">
        <f t="shared" si="69"/>
        <v>100</v>
      </c>
      <c r="Q56" s="177">
        <f t="shared" si="69"/>
        <v>100</v>
      </c>
      <c r="R56" s="177">
        <f t="shared" si="69"/>
        <v>100</v>
      </c>
      <c r="S56" s="177">
        <f t="shared" si="69"/>
        <v>100</v>
      </c>
      <c r="T56" s="177">
        <f t="shared" si="69"/>
        <v>100</v>
      </c>
      <c r="U56" s="177">
        <f t="shared" si="69"/>
        <v>100</v>
      </c>
      <c r="V56" s="177">
        <f t="shared" si="69"/>
        <v>100</v>
      </c>
      <c r="W56" s="177">
        <f t="shared" si="69"/>
        <v>100</v>
      </c>
      <c r="X56" s="177">
        <f t="shared" si="69"/>
        <v>100</v>
      </c>
      <c r="Y56" s="177">
        <f t="shared" si="69"/>
        <v>100</v>
      </c>
      <c r="Z56" s="177">
        <f t="shared" si="69"/>
        <v>100</v>
      </c>
      <c r="AA56" s="178">
        <f t="shared" si="89"/>
        <v>1200</v>
      </c>
      <c r="AB56" s="173" t="s">
        <v>2046</v>
      </c>
      <c r="AC56" s="184">
        <v>3000</v>
      </c>
      <c r="AD56" s="175">
        <v>46023</v>
      </c>
      <c r="AE56" s="175">
        <v>46387</v>
      </c>
      <c r="AF56" s="176">
        <f t="shared" si="70"/>
        <v>12</v>
      </c>
      <c r="AG56" s="177">
        <f t="shared" si="90"/>
        <v>250</v>
      </c>
      <c r="AH56" s="177">
        <f t="shared" si="91"/>
        <v>250</v>
      </c>
      <c r="AI56" s="177">
        <f t="shared" si="92"/>
        <v>250</v>
      </c>
      <c r="AJ56" s="177">
        <f t="shared" si="93"/>
        <v>250</v>
      </c>
      <c r="AK56" s="177">
        <f t="shared" si="94"/>
        <v>250</v>
      </c>
      <c r="AL56" s="177">
        <f t="shared" si="95"/>
        <v>250</v>
      </c>
      <c r="AM56" s="177">
        <f t="shared" si="96"/>
        <v>250</v>
      </c>
      <c r="AN56" s="177">
        <f t="shared" si="97"/>
        <v>250</v>
      </c>
      <c r="AO56" s="177">
        <f t="shared" si="98"/>
        <v>250</v>
      </c>
      <c r="AP56" s="177">
        <f t="shared" si="99"/>
        <v>250</v>
      </c>
      <c r="AQ56" s="177">
        <f t="shared" si="100"/>
        <v>250</v>
      </c>
      <c r="AR56" s="177">
        <f t="shared" si="101"/>
        <v>250</v>
      </c>
      <c r="AS56" s="178">
        <f t="shared" si="72"/>
        <v>3000</v>
      </c>
      <c r="AU56" s="177">
        <f t="shared" si="73"/>
        <v>262.5</v>
      </c>
      <c r="AV56" s="177">
        <f t="shared" si="74"/>
        <v>262.5</v>
      </c>
      <c r="AW56" s="177">
        <f t="shared" si="75"/>
        <v>262.5</v>
      </c>
      <c r="AX56" s="177">
        <f t="shared" si="76"/>
        <v>262.5</v>
      </c>
      <c r="AY56" s="177">
        <f t="shared" si="77"/>
        <v>262.5</v>
      </c>
      <c r="AZ56" s="177">
        <f t="shared" si="78"/>
        <v>262.5</v>
      </c>
      <c r="BA56" s="177">
        <f t="shared" si="79"/>
        <v>262.5</v>
      </c>
      <c r="BB56" s="177">
        <f t="shared" si="80"/>
        <v>262.5</v>
      </c>
      <c r="BC56" s="177">
        <f t="shared" si="81"/>
        <v>262.5</v>
      </c>
      <c r="BD56" s="177">
        <f t="shared" si="82"/>
        <v>262.5</v>
      </c>
      <c r="BE56" s="177">
        <f t="shared" si="83"/>
        <v>262.5</v>
      </c>
      <c r="BF56" s="177">
        <f t="shared" si="84"/>
        <v>262.5</v>
      </c>
      <c r="BG56" s="178">
        <f t="shared" si="85"/>
        <v>3150</v>
      </c>
    </row>
    <row r="57" spans="1:59" ht="13.5" customHeight="1">
      <c r="A57" s="171">
        <f t="shared" si="86"/>
        <v>4</v>
      </c>
      <c r="B57" s="171" t="str">
        <f t="shared" ref="B57:B68" si="102">+B56</f>
        <v>ACPLGZ</v>
      </c>
      <c r="C57" s="171" t="s">
        <v>1657</v>
      </c>
      <c r="D57" s="171" t="str">
        <f t="shared" si="87"/>
        <v>支付的其他与经营活动有关的现金（其他）</v>
      </c>
      <c r="E57" s="171"/>
      <c r="F57" s="172" t="str">
        <f>IF(F9="","",F9)</f>
        <v>Postage / Freight / Delivery</v>
      </c>
      <c r="G57" s="172"/>
      <c r="H57" s="77" t="s">
        <v>2613</v>
      </c>
      <c r="I57" s="173" t="s">
        <v>2614</v>
      </c>
      <c r="J57" s="173" t="s">
        <v>2046</v>
      </c>
      <c r="K57" s="77"/>
      <c r="L57" s="175">
        <v>45658</v>
      </c>
      <c r="M57" s="175">
        <v>46022</v>
      </c>
      <c r="N57" s="176">
        <f t="shared" si="88"/>
        <v>12</v>
      </c>
      <c r="O57" s="177">
        <f t="shared" si="69"/>
        <v>0</v>
      </c>
      <c r="P57" s="177">
        <f t="shared" si="69"/>
        <v>0</v>
      </c>
      <c r="Q57" s="177">
        <f t="shared" si="69"/>
        <v>0</v>
      </c>
      <c r="R57" s="177">
        <f t="shared" si="69"/>
        <v>0</v>
      </c>
      <c r="S57" s="177">
        <f t="shared" si="69"/>
        <v>0</v>
      </c>
      <c r="T57" s="177">
        <f t="shared" si="69"/>
        <v>0</v>
      </c>
      <c r="U57" s="177">
        <f t="shared" si="69"/>
        <v>0</v>
      </c>
      <c r="V57" s="177">
        <f t="shared" si="69"/>
        <v>0</v>
      </c>
      <c r="W57" s="177">
        <f t="shared" si="69"/>
        <v>0</v>
      </c>
      <c r="X57" s="177">
        <f t="shared" si="69"/>
        <v>0</v>
      </c>
      <c r="Y57" s="177">
        <f t="shared" si="69"/>
        <v>0</v>
      </c>
      <c r="Z57" s="177">
        <f t="shared" si="69"/>
        <v>0</v>
      </c>
      <c r="AA57" s="178">
        <f t="shared" si="89"/>
        <v>0</v>
      </c>
      <c r="AB57" s="173" t="s">
        <v>2046</v>
      </c>
      <c r="AC57" s="77"/>
      <c r="AD57" s="175">
        <v>46023</v>
      </c>
      <c r="AE57" s="175">
        <v>46387</v>
      </c>
      <c r="AF57" s="176">
        <f t="shared" si="70"/>
        <v>12</v>
      </c>
      <c r="AG57" s="177">
        <f t="shared" si="90"/>
        <v>0</v>
      </c>
      <c r="AH57" s="177">
        <f t="shared" si="91"/>
        <v>0</v>
      </c>
      <c r="AI57" s="177">
        <f t="shared" si="92"/>
        <v>0</v>
      </c>
      <c r="AJ57" s="177">
        <f t="shared" si="93"/>
        <v>0</v>
      </c>
      <c r="AK57" s="177">
        <f t="shared" si="94"/>
        <v>0</v>
      </c>
      <c r="AL57" s="177">
        <f t="shared" si="95"/>
        <v>0</v>
      </c>
      <c r="AM57" s="177">
        <f t="shared" si="96"/>
        <v>0</v>
      </c>
      <c r="AN57" s="177">
        <f t="shared" si="97"/>
        <v>0</v>
      </c>
      <c r="AO57" s="177">
        <f t="shared" si="98"/>
        <v>0</v>
      </c>
      <c r="AP57" s="177">
        <f t="shared" si="99"/>
        <v>0</v>
      </c>
      <c r="AQ57" s="177">
        <f t="shared" si="100"/>
        <v>0</v>
      </c>
      <c r="AR57" s="177">
        <f t="shared" si="101"/>
        <v>0</v>
      </c>
      <c r="AS57" s="178">
        <f t="shared" si="72"/>
        <v>0</v>
      </c>
      <c r="AU57" s="177">
        <f t="shared" si="73"/>
        <v>0</v>
      </c>
      <c r="AV57" s="177">
        <f t="shared" si="74"/>
        <v>0</v>
      </c>
      <c r="AW57" s="177">
        <f t="shared" si="75"/>
        <v>0</v>
      </c>
      <c r="AX57" s="177">
        <f t="shared" si="76"/>
        <v>0</v>
      </c>
      <c r="AY57" s="177">
        <f t="shared" si="77"/>
        <v>0</v>
      </c>
      <c r="AZ57" s="177">
        <f t="shared" si="78"/>
        <v>0</v>
      </c>
      <c r="BA57" s="177">
        <f t="shared" si="79"/>
        <v>0</v>
      </c>
      <c r="BB57" s="177">
        <f t="shared" si="80"/>
        <v>0</v>
      </c>
      <c r="BC57" s="177">
        <f t="shared" si="81"/>
        <v>0</v>
      </c>
      <c r="BD57" s="177">
        <f t="shared" si="82"/>
        <v>0</v>
      </c>
      <c r="BE57" s="177">
        <f t="shared" si="83"/>
        <v>0</v>
      </c>
      <c r="BF57" s="177">
        <f t="shared" si="84"/>
        <v>0</v>
      </c>
      <c r="BG57" s="178">
        <f t="shared" si="85"/>
        <v>0</v>
      </c>
    </row>
    <row r="58" spans="1:59" ht="13.5" customHeight="1">
      <c r="A58" s="171">
        <f t="shared" si="86"/>
        <v>5</v>
      </c>
      <c r="B58" s="171" t="str">
        <f t="shared" si="102"/>
        <v>ACPLGZ</v>
      </c>
      <c r="C58" s="171" t="s">
        <v>1862</v>
      </c>
      <c r="D58" s="171" t="str">
        <f t="shared" si="87"/>
        <v>支付的其他与经营活动有关的现金（其他）</v>
      </c>
      <c r="E58" s="171"/>
      <c r="F58" s="172" t="str">
        <f>IF(F10="","",F10)</f>
        <v>Corp. Membership Fee</v>
      </c>
      <c r="G58" s="172"/>
      <c r="H58" s="77" t="s">
        <v>2613</v>
      </c>
      <c r="I58" s="173" t="s">
        <v>2614</v>
      </c>
      <c r="J58" s="173" t="s">
        <v>2046</v>
      </c>
      <c r="K58" s="77"/>
      <c r="L58" s="175">
        <v>45658</v>
      </c>
      <c r="M58" s="175">
        <v>46022</v>
      </c>
      <c r="N58" s="176">
        <f t="shared" si="88"/>
        <v>12</v>
      </c>
      <c r="O58" s="177">
        <f t="shared" si="69"/>
        <v>0</v>
      </c>
      <c r="P58" s="177">
        <f t="shared" si="69"/>
        <v>0</v>
      </c>
      <c r="Q58" s="177">
        <f t="shared" si="69"/>
        <v>0</v>
      </c>
      <c r="R58" s="177">
        <f t="shared" si="69"/>
        <v>0</v>
      </c>
      <c r="S58" s="177">
        <f t="shared" si="69"/>
        <v>0</v>
      </c>
      <c r="T58" s="177">
        <f t="shared" si="69"/>
        <v>0</v>
      </c>
      <c r="U58" s="177">
        <f t="shared" si="69"/>
        <v>0</v>
      </c>
      <c r="V58" s="177">
        <f t="shared" si="69"/>
        <v>0</v>
      </c>
      <c r="W58" s="177">
        <f t="shared" si="69"/>
        <v>0</v>
      </c>
      <c r="X58" s="177">
        <f t="shared" si="69"/>
        <v>0</v>
      </c>
      <c r="Y58" s="177">
        <f t="shared" si="69"/>
        <v>0</v>
      </c>
      <c r="Z58" s="177">
        <f t="shared" si="69"/>
        <v>0</v>
      </c>
      <c r="AA58" s="178">
        <f t="shared" si="89"/>
        <v>0</v>
      </c>
      <c r="AB58" s="173" t="s">
        <v>2046</v>
      </c>
      <c r="AC58" s="77"/>
      <c r="AD58" s="175">
        <v>46023</v>
      </c>
      <c r="AE58" s="175">
        <v>46387</v>
      </c>
      <c r="AF58" s="176">
        <f t="shared" si="70"/>
        <v>12</v>
      </c>
      <c r="AG58" s="177">
        <f t="shared" si="90"/>
        <v>0</v>
      </c>
      <c r="AH58" s="177">
        <f t="shared" si="91"/>
        <v>0</v>
      </c>
      <c r="AI58" s="177">
        <f t="shared" si="92"/>
        <v>0</v>
      </c>
      <c r="AJ58" s="177">
        <f t="shared" si="93"/>
        <v>0</v>
      </c>
      <c r="AK58" s="177">
        <f t="shared" si="94"/>
        <v>0</v>
      </c>
      <c r="AL58" s="177">
        <f t="shared" si="95"/>
        <v>0</v>
      </c>
      <c r="AM58" s="177">
        <f t="shared" si="96"/>
        <v>0</v>
      </c>
      <c r="AN58" s="177">
        <f t="shared" si="97"/>
        <v>0</v>
      </c>
      <c r="AO58" s="177">
        <f t="shared" si="98"/>
        <v>0</v>
      </c>
      <c r="AP58" s="177">
        <f t="shared" si="99"/>
        <v>0</v>
      </c>
      <c r="AQ58" s="177">
        <f t="shared" si="100"/>
        <v>0</v>
      </c>
      <c r="AR58" s="177">
        <f t="shared" si="101"/>
        <v>0</v>
      </c>
      <c r="AS58" s="178">
        <f t="shared" si="72"/>
        <v>0</v>
      </c>
      <c r="AU58" s="177">
        <f t="shared" si="73"/>
        <v>0</v>
      </c>
      <c r="AV58" s="177">
        <f t="shared" si="74"/>
        <v>0</v>
      </c>
      <c r="AW58" s="177">
        <f t="shared" si="75"/>
        <v>0</v>
      </c>
      <c r="AX58" s="177">
        <f t="shared" si="76"/>
        <v>0</v>
      </c>
      <c r="AY58" s="177">
        <f t="shared" si="77"/>
        <v>0</v>
      </c>
      <c r="AZ58" s="177">
        <f t="shared" si="78"/>
        <v>0</v>
      </c>
      <c r="BA58" s="177">
        <f t="shared" si="79"/>
        <v>0</v>
      </c>
      <c r="BB58" s="177">
        <f t="shared" si="80"/>
        <v>0</v>
      </c>
      <c r="BC58" s="177">
        <f t="shared" si="81"/>
        <v>0</v>
      </c>
      <c r="BD58" s="177">
        <f t="shared" si="82"/>
        <v>0</v>
      </c>
      <c r="BE58" s="177">
        <f t="shared" si="83"/>
        <v>0</v>
      </c>
      <c r="BF58" s="177">
        <f t="shared" si="84"/>
        <v>0</v>
      </c>
      <c r="BG58" s="178">
        <f t="shared" si="85"/>
        <v>0</v>
      </c>
    </row>
    <row r="59" spans="1:59" ht="13.5" customHeight="1">
      <c r="A59" s="171">
        <f t="shared" si="86"/>
        <v>6</v>
      </c>
      <c r="B59" s="171" t="str">
        <f t="shared" si="102"/>
        <v>ACPLGZ</v>
      </c>
      <c r="C59" s="171" t="s">
        <v>1676</v>
      </c>
      <c r="D59" s="171" t="str">
        <f t="shared" si="87"/>
        <v>支付的其他与经营活动有关的现金（其他）</v>
      </c>
      <c r="E59" s="171"/>
      <c r="F59" s="172" t="s">
        <v>1679</v>
      </c>
      <c r="G59" s="172"/>
      <c r="H59" s="77" t="s">
        <v>2613</v>
      </c>
      <c r="I59" s="173" t="s">
        <v>2614</v>
      </c>
      <c r="J59" s="173" t="s">
        <v>2046</v>
      </c>
      <c r="K59" s="77"/>
      <c r="L59" s="175">
        <v>45658</v>
      </c>
      <c r="M59" s="175">
        <v>46022</v>
      </c>
      <c r="N59" s="176">
        <f t="shared" si="88"/>
        <v>12</v>
      </c>
      <c r="O59" s="177">
        <f t="shared" si="69"/>
        <v>0</v>
      </c>
      <c r="P59" s="177">
        <f t="shared" si="69"/>
        <v>0</v>
      </c>
      <c r="Q59" s="177">
        <f t="shared" si="69"/>
        <v>0</v>
      </c>
      <c r="R59" s="177">
        <f t="shared" si="69"/>
        <v>0</v>
      </c>
      <c r="S59" s="177">
        <f t="shared" si="69"/>
        <v>0</v>
      </c>
      <c r="T59" s="177">
        <f t="shared" si="69"/>
        <v>0</v>
      </c>
      <c r="U59" s="177">
        <f t="shared" si="69"/>
        <v>0</v>
      </c>
      <c r="V59" s="177">
        <f t="shared" si="69"/>
        <v>0</v>
      </c>
      <c r="W59" s="177">
        <f t="shared" si="69"/>
        <v>0</v>
      </c>
      <c r="X59" s="177">
        <f t="shared" si="69"/>
        <v>0</v>
      </c>
      <c r="Y59" s="177">
        <f t="shared" si="69"/>
        <v>0</v>
      </c>
      <c r="Z59" s="177">
        <f t="shared" si="69"/>
        <v>0</v>
      </c>
      <c r="AA59" s="178">
        <f t="shared" si="89"/>
        <v>0</v>
      </c>
      <c r="AB59" s="173" t="s">
        <v>2046</v>
      </c>
      <c r="AC59" s="77"/>
      <c r="AD59" s="175">
        <v>46023</v>
      </c>
      <c r="AE59" s="175">
        <v>46387</v>
      </c>
      <c r="AF59" s="176">
        <f t="shared" si="70"/>
        <v>12</v>
      </c>
      <c r="AG59" s="177">
        <f t="shared" si="90"/>
        <v>0</v>
      </c>
      <c r="AH59" s="177">
        <f t="shared" si="91"/>
        <v>0</v>
      </c>
      <c r="AI59" s="177">
        <f t="shared" si="92"/>
        <v>0</v>
      </c>
      <c r="AJ59" s="177">
        <f t="shared" si="93"/>
        <v>0</v>
      </c>
      <c r="AK59" s="177">
        <f t="shared" si="94"/>
        <v>0</v>
      </c>
      <c r="AL59" s="177">
        <f t="shared" si="95"/>
        <v>0</v>
      </c>
      <c r="AM59" s="177">
        <f t="shared" si="96"/>
        <v>0</v>
      </c>
      <c r="AN59" s="177">
        <f t="shared" si="97"/>
        <v>0</v>
      </c>
      <c r="AO59" s="177">
        <f t="shared" si="98"/>
        <v>0</v>
      </c>
      <c r="AP59" s="177">
        <f t="shared" si="99"/>
        <v>0</v>
      </c>
      <c r="AQ59" s="177">
        <f t="shared" si="100"/>
        <v>0</v>
      </c>
      <c r="AR59" s="177">
        <f t="shared" si="101"/>
        <v>0</v>
      </c>
      <c r="AS59" s="178">
        <f t="shared" si="72"/>
        <v>0</v>
      </c>
      <c r="AU59" s="177">
        <f t="shared" si="73"/>
        <v>0</v>
      </c>
      <c r="AV59" s="177">
        <f t="shared" si="74"/>
        <v>0</v>
      </c>
      <c r="AW59" s="177">
        <f t="shared" si="75"/>
        <v>0</v>
      </c>
      <c r="AX59" s="177">
        <f t="shared" si="76"/>
        <v>0</v>
      </c>
      <c r="AY59" s="177">
        <f t="shared" si="77"/>
        <v>0</v>
      </c>
      <c r="AZ59" s="177">
        <f t="shared" si="78"/>
        <v>0</v>
      </c>
      <c r="BA59" s="177">
        <f t="shared" si="79"/>
        <v>0</v>
      </c>
      <c r="BB59" s="177">
        <f t="shared" si="80"/>
        <v>0</v>
      </c>
      <c r="BC59" s="177">
        <f t="shared" si="81"/>
        <v>0</v>
      </c>
      <c r="BD59" s="177">
        <f t="shared" si="82"/>
        <v>0</v>
      </c>
      <c r="BE59" s="177">
        <f t="shared" si="83"/>
        <v>0</v>
      </c>
      <c r="BF59" s="177">
        <f t="shared" si="84"/>
        <v>0</v>
      </c>
      <c r="BG59" s="178">
        <f t="shared" si="85"/>
        <v>0</v>
      </c>
    </row>
    <row r="60" spans="1:59" ht="13.5" customHeight="1">
      <c r="A60" s="171">
        <f t="shared" si="86"/>
        <v>7</v>
      </c>
      <c r="B60" s="171" t="str">
        <f t="shared" si="102"/>
        <v>ACPLGZ</v>
      </c>
      <c r="C60" s="171" t="s">
        <v>1684</v>
      </c>
      <c r="D60" s="171" t="str">
        <f t="shared" si="87"/>
        <v>支付的其他与经营活动有关的现金（其他）</v>
      </c>
      <c r="E60" s="171"/>
      <c r="F60" s="172" t="str">
        <f t="shared" ref="F60:F68" si="103">IF(F12="","",F12)</f>
        <v>Water Dispenser Inspection Fee</v>
      </c>
      <c r="G60" s="172"/>
      <c r="H60" s="77" t="s">
        <v>2613</v>
      </c>
      <c r="I60" s="173" t="s">
        <v>2614</v>
      </c>
      <c r="J60" s="173" t="s">
        <v>2046</v>
      </c>
      <c r="K60" s="77"/>
      <c r="L60" s="175">
        <v>45962</v>
      </c>
      <c r="M60" s="175">
        <v>45991</v>
      </c>
      <c r="N60" s="176">
        <f t="shared" si="88"/>
        <v>1</v>
      </c>
      <c r="O60" s="177">
        <f t="shared" si="69"/>
        <v>0</v>
      </c>
      <c r="P60" s="177">
        <f t="shared" si="69"/>
        <v>0</v>
      </c>
      <c r="Q60" s="177">
        <f t="shared" si="69"/>
        <v>0</v>
      </c>
      <c r="R60" s="177">
        <f t="shared" si="69"/>
        <v>0</v>
      </c>
      <c r="S60" s="177">
        <f t="shared" si="69"/>
        <v>0</v>
      </c>
      <c r="T60" s="177">
        <f t="shared" si="69"/>
        <v>0</v>
      </c>
      <c r="U60" s="177">
        <f t="shared" si="69"/>
        <v>0</v>
      </c>
      <c r="V60" s="177">
        <f t="shared" si="69"/>
        <v>0</v>
      </c>
      <c r="W60" s="177">
        <f t="shared" si="69"/>
        <v>0</v>
      </c>
      <c r="X60" s="177">
        <f t="shared" si="69"/>
        <v>0</v>
      </c>
      <c r="Y60" s="177">
        <f t="shared" si="69"/>
        <v>0</v>
      </c>
      <c r="Z60" s="177">
        <f t="shared" si="69"/>
        <v>0</v>
      </c>
      <c r="AA60" s="178">
        <f t="shared" si="89"/>
        <v>0</v>
      </c>
      <c r="AB60" s="173" t="s">
        <v>2046</v>
      </c>
      <c r="AC60" s="77"/>
      <c r="AD60" s="175">
        <v>46327</v>
      </c>
      <c r="AE60" s="175">
        <v>46356</v>
      </c>
      <c r="AF60" s="176">
        <f t="shared" si="70"/>
        <v>1</v>
      </c>
      <c r="AG60" s="177">
        <f t="shared" si="90"/>
        <v>0</v>
      </c>
      <c r="AH60" s="177">
        <f t="shared" si="91"/>
        <v>0</v>
      </c>
      <c r="AI60" s="177">
        <f t="shared" si="92"/>
        <v>0</v>
      </c>
      <c r="AJ60" s="177">
        <f t="shared" si="93"/>
        <v>0</v>
      </c>
      <c r="AK60" s="177">
        <f t="shared" si="94"/>
        <v>0</v>
      </c>
      <c r="AL60" s="177">
        <f t="shared" si="95"/>
        <v>0</v>
      </c>
      <c r="AM60" s="177">
        <f t="shared" si="96"/>
        <v>0</v>
      </c>
      <c r="AN60" s="177">
        <f t="shared" si="97"/>
        <v>0</v>
      </c>
      <c r="AO60" s="177">
        <f t="shared" si="98"/>
        <v>0</v>
      </c>
      <c r="AP60" s="177">
        <f t="shared" si="99"/>
        <v>0</v>
      </c>
      <c r="AQ60" s="177">
        <f t="shared" si="100"/>
        <v>0</v>
      </c>
      <c r="AR60" s="177">
        <f t="shared" si="101"/>
        <v>0</v>
      </c>
      <c r="AS60" s="178">
        <f t="shared" si="72"/>
        <v>0</v>
      </c>
      <c r="AU60" s="177">
        <f t="shared" si="73"/>
        <v>0</v>
      </c>
      <c r="AV60" s="177">
        <f t="shared" si="74"/>
        <v>0</v>
      </c>
      <c r="AW60" s="177">
        <f t="shared" si="75"/>
        <v>0</v>
      </c>
      <c r="AX60" s="177">
        <f t="shared" si="76"/>
        <v>0</v>
      </c>
      <c r="AY60" s="177">
        <f t="shared" si="77"/>
        <v>0</v>
      </c>
      <c r="AZ60" s="177">
        <f t="shared" si="78"/>
        <v>0</v>
      </c>
      <c r="BA60" s="177">
        <f t="shared" si="79"/>
        <v>0</v>
      </c>
      <c r="BB60" s="177">
        <f t="shared" si="80"/>
        <v>0</v>
      </c>
      <c r="BC60" s="177">
        <f t="shared" si="81"/>
        <v>0</v>
      </c>
      <c r="BD60" s="177">
        <f t="shared" si="82"/>
        <v>0</v>
      </c>
      <c r="BE60" s="177">
        <f t="shared" si="83"/>
        <v>0</v>
      </c>
      <c r="BF60" s="177">
        <f t="shared" si="84"/>
        <v>0</v>
      </c>
      <c r="BG60" s="178">
        <f t="shared" si="85"/>
        <v>0</v>
      </c>
    </row>
    <row r="61" spans="1:59" ht="13.5" customHeight="1">
      <c r="A61" s="171">
        <f t="shared" si="86"/>
        <v>8</v>
      </c>
      <c r="B61" s="171" t="str">
        <f t="shared" si="102"/>
        <v>ACPLGZ</v>
      </c>
      <c r="C61" s="171" t="s">
        <v>1894</v>
      </c>
      <c r="D61" s="171" t="str">
        <f t="shared" si="87"/>
        <v>汇率变动对现金的影响额</v>
      </c>
      <c r="E61" s="171"/>
      <c r="F61" s="172" t="str">
        <f t="shared" si="103"/>
        <v>FX Gain / Loss Net</v>
      </c>
      <c r="G61" s="172"/>
      <c r="H61" s="77" t="s">
        <v>2613</v>
      </c>
      <c r="I61" s="173" t="s">
        <v>2614</v>
      </c>
      <c r="J61" s="173" t="s">
        <v>2046</v>
      </c>
      <c r="K61" s="77"/>
      <c r="L61" s="175">
        <v>45658</v>
      </c>
      <c r="M61" s="175">
        <v>46022</v>
      </c>
      <c r="N61" s="176">
        <f t="shared" si="88"/>
        <v>12</v>
      </c>
      <c r="O61" s="177">
        <f t="shared" si="69"/>
        <v>0</v>
      </c>
      <c r="P61" s="177">
        <f t="shared" si="69"/>
        <v>0</v>
      </c>
      <c r="Q61" s="177">
        <f t="shared" si="69"/>
        <v>0</v>
      </c>
      <c r="R61" s="177">
        <f t="shared" si="69"/>
        <v>0</v>
      </c>
      <c r="S61" s="177">
        <f t="shared" si="69"/>
        <v>0</v>
      </c>
      <c r="T61" s="177">
        <f t="shared" si="69"/>
        <v>0</v>
      </c>
      <c r="U61" s="177">
        <f t="shared" si="69"/>
        <v>0</v>
      </c>
      <c r="V61" s="177">
        <f t="shared" si="69"/>
        <v>0</v>
      </c>
      <c r="W61" s="177">
        <f t="shared" si="69"/>
        <v>0</v>
      </c>
      <c r="X61" s="177">
        <f t="shared" si="69"/>
        <v>0</v>
      </c>
      <c r="Y61" s="177">
        <f t="shared" si="69"/>
        <v>0</v>
      </c>
      <c r="Z61" s="177">
        <f t="shared" si="69"/>
        <v>0</v>
      </c>
      <c r="AA61" s="178">
        <f t="shared" si="89"/>
        <v>0</v>
      </c>
      <c r="AB61" s="173" t="s">
        <v>2046</v>
      </c>
      <c r="AC61" s="77"/>
      <c r="AD61" s="175">
        <v>46023</v>
      </c>
      <c r="AE61" s="175">
        <v>46387</v>
      </c>
      <c r="AF61" s="176">
        <f t="shared" si="70"/>
        <v>12</v>
      </c>
      <c r="AG61" s="177">
        <f t="shared" si="90"/>
        <v>0</v>
      </c>
      <c r="AH61" s="177">
        <f t="shared" si="91"/>
        <v>0</v>
      </c>
      <c r="AI61" s="177">
        <f t="shared" si="92"/>
        <v>0</v>
      </c>
      <c r="AJ61" s="177">
        <f t="shared" si="93"/>
        <v>0</v>
      </c>
      <c r="AK61" s="177">
        <f t="shared" si="94"/>
        <v>0</v>
      </c>
      <c r="AL61" s="177">
        <f t="shared" si="95"/>
        <v>0</v>
      </c>
      <c r="AM61" s="177">
        <f t="shared" si="96"/>
        <v>0</v>
      </c>
      <c r="AN61" s="177">
        <f t="shared" si="97"/>
        <v>0</v>
      </c>
      <c r="AO61" s="177">
        <f t="shared" si="98"/>
        <v>0</v>
      </c>
      <c r="AP61" s="177">
        <f t="shared" si="99"/>
        <v>0</v>
      </c>
      <c r="AQ61" s="177">
        <f t="shared" si="100"/>
        <v>0</v>
      </c>
      <c r="AR61" s="177">
        <f t="shared" si="101"/>
        <v>0</v>
      </c>
      <c r="AS61" s="178">
        <f t="shared" si="72"/>
        <v>0</v>
      </c>
      <c r="AU61" s="177">
        <f t="shared" si="73"/>
        <v>0</v>
      </c>
      <c r="AV61" s="177">
        <f t="shared" si="74"/>
        <v>0</v>
      </c>
      <c r="AW61" s="177">
        <f t="shared" si="75"/>
        <v>0</v>
      </c>
      <c r="AX61" s="177">
        <f t="shared" si="76"/>
        <v>0</v>
      </c>
      <c r="AY61" s="177">
        <f t="shared" si="77"/>
        <v>0</v>
      </c>
      <c r="AZ61" s="177">
        <f t="shared" si="78"/>
        <v>0</v>
      </c>
      <c r="BA61" s="177">
        <f t="shared" si="79"/>
        <v>0</v>
      </c>
      <c r="BB61" s="177">
        <f t="shared" si="80"/>
        <v>0</v>
      </c>
      <c r="BC61" s="177">
        <f t="shared" si="81"/>
        <v>0</v>
      </c>
      <c r="BD61" s="177">
        <f t="shared" si="82"/>
        <v>0</v>
      </c>
      <c r="BE61" s="177">
        <f t="shared" si="83"/>
        <v>0</v>
      </c>
      <c r="BF61" s="177">
        <f t="shared" si="84"/>
        <v>0</v>
      </c>
      <c r="BG61" s="178">
        <f t="shared" si="85"/>
        <v>0</v>
      </c>
    </row>
    <row r="62" spans="1:59" ht="13.5" customHeight="1">
      <c r="A62" s="171">
        <f t="shared" si="86"/>
        <v>9</v>
      </c>
      <c r="B62" s="171" t="str">
        <f t="shared" si="102"/>
        <v>ACPLGZ</v>
      </c>
      <c r="C62" s="171" t="s">
        <v>1646</v>
      </c>
      <c r="D62" s="171" t="str">
        <f t="shared" si="87"/>
        <v>支付的其他与经营活动有关的现金（其他）</v>
      </c>
      <c r="E62" s="171"/>
      <c r="F62" s="172" t="str">
        <f t="shared" si="103"/>
        <v>Printing</v>
      </c>
      <c r="G62" s="172"/>
      <c r="H62" s="77" t="s">
        <v>2613</v>
      </c>
      <c r="I62" s="173" t="s">
        <v>2614</v>
      </c>
      <c r="J62" s="173" t="s">
        <v>2046</v>
      </c>
      <c r="K62" s="77"/>
      <c r="L62" s="175">
        <v>45658</v>
      </c>
      <c r="M62" s="175">
        <v>46022</v>
      </c>
      <c r="N62" s="176">
        <f t="shared" si="88"/>
        <v>12</v>
      </c>
      <c r="O62" s="177">
        <f t="shared" si="69"/>
        <v>0</v>
      </c>
      <c r="P62" s="177">
        <f t="shared" si="69"/>
        <v>0</v>
      </c>
      <c r="Q62" s="177">
        <f t="shared" si="69"/>
        <v>0</v>
      </c>
      <c r="R62" s="177">
        <f t="shared" si="69"/>
        <v>0</v>
      </c>
      <c r="S62" s="177">
        <f t="shared" si="69"/>
        <v>0</v>
      </c>
      <c r="T62" s="177">
        <f t="shared" si="69"/>
        <v>0</v>
      </c>
      <c r="U62" s="177">
        <f t="shared" si="69"/>
        <v>0</v>
      </c>
      <c r="V62" s="177">
        <f t="shared" si="69"/>
        <v>0</v>
      </c>
      <c r="W62" s="177">
        <f t="shared" si="69"/>
        <v>0</v>
      </c>
      <c r="X62" s="177">
        <f t="shared" si="69"/>
        <v>0</v>
      </c>
      <c r="Y62" s="177">
        <f t="shared" si="69"/>
        <v>0</v>
      </c>
      <c r="Z62" s="177">
        <f t="shared" si="69"/>
        <v>0</v>
      </c>
      <c r="AA62" s="178">
        <f t="shared" si="89"/>
        <v>0</v>
      </c>
      <c r="AB62" s="173" t="s">
        <v>2046</v>
      </c>
      <c r="AC62" s="77"/>
      <c r="AD62" s="175">
        <v>46023</v>
      </c>
      <c r="AE62" s="175">
        <v>46387</v>
      </c>
      <c r="AF62" s="176">
        <f t="shared" si="70"/>
        <v>12</v>
      </c>
      <c r="AG62" s="177">
        <f t="shared" si="90"/>
        <v>0</v>
      </c>
      <c r="AH62" s="177">
        <f t="shared" si="91"/>
        <v>0</v>
      </c>
      <c r="AI62" s="177">
        <f t="shared" si="92"/>
        <v>0</v>
      </c>
      <c r="AJ62" s="177">
        <f t="shared" si="93"/>
        <v>0</v>
      </c>
      <c r="AK62" s="177">
        <f t="shared" si="94"/>
        <v>0</v>
      </c>
      <c r="AL62" s="177">
        <f t="shared" si="95"/>
        <v>0</v>
      </c>
      <c r="AM62" s="177">
        <f t="shared" si="96"/>
        <v>0</v>
      </c>
      <c r="AN62" s="177">
        <f t="shared" si="97"/>
        <v>0</v>
      </c>
      <c r="AO62" s="177">
        <f t="shared" si="98"/>
        <v>0</v>
      </c>
      <c r="AP62" s="177">
        <f t="shared" si="99"/>
        <v>0</v>
      </c>
      <c r="AQ62" s="177">
        <f t="shared" si="100"/>
        <v>0</v>
      </c>
      <c r="AR62" s="177">
        <f t="shared" si="101"/>
        <v>0</v>
      </c>
      <c r="AS62" s="178">
        <f t="shared" si="72"/>
        <v>0</v>
      </c>
      <c r="AU62" s="177">
        <f t="shared" si="73"/>
        <v>0</v>
      </c>
      <c r="AV62" s="177">
        <f t="shared" si="74"/>
        <v>0</v>
      </c>
      <c r="AW62" s="177">
        <f t="shared" si="75"/>
        <v>0</v>
      </c>
      <c r="AX62" s="177">
        <f t="shared" si="76"/>
        <v>0</v>
      </c>
      <c r="AY62" s="177">
        <f t="shared" si="77"/>
        <v>0</v>
      </c>
      <c r="AZ62" s="177">
        <f t="shared" si="78"/>
        <v>0</v>
      </c>
      <c r="BA62" s="177">
        <f t="shared" si="79"/>
        <v>0</v>
      </c>
      <c r="BB62" s="177">
        <f t="shared" si="80"/>
        <v>0</v>
      </c>
      <c r="BC62" s="177">
        <f t="shared" si="81"/>
        <v>0</v>
      </c>
      <c r="BD62" s="177">
        <f t="shared" si="82"/>
        <v>0</v>
      </c>
      <c r="BE62" s="177">
        <f t="shared" si="83"/>
        <v>0</v>
      </c>
      <c r="BF62" s="177">
        <f t="shared" si="84"/>
        <v>0</v>
      </c>
      <c r="BG62" s="178">
        <f t="shared" si="85"/>
        <v>0</v>
      </c>
    </row>
    <row r="63" spans="1:59" ht="13.5" customHeight="1">
      <c r="A63" s="171">
        <f t="shared" si="86"/>
        <v>10</v>
      </c>
      <c r="B63" s="171" t="str">
        <f t="shared" si="102"/>
        <v>ACPLGZ</v>
      </c>
      <c r="C63" s="171"/>
      <c r="D63" s="171" t="str">
        <f t="shared" si="87"/>
        <v>购建固定资产、无形资产和其他长期资产支付的现金</v>
      </c>
      <c r="E63" s="171"/>
      <c r="F63" s="172" t="str">
        <f t="shared" si="103"/>
        <v>Purchase Furniture</v>
      </c>
      <c r="G63" s="172"/>
      <c r="H63" s="77" t="s">
        <v>2613</v>
      </c>
      <c r="I63" s="173" t="s">
        <v>2614</v>
      </c>
      <c r="J63" s="173" t="s">
        <v>2046</v>
      </c>
      <c r="K63" s="77"/>
      <c r="L63" s="175">
        <v>45658</v>
      </c>
      <c r="M63" s="175">
        <v>46022</v>
      </c>
      <c r="N63" s="176">
        <f t="shared" si="88"/>
        <v>12</v>
      </c>
      <c r="O63" s="177">
        <f t="shared" si="69"/>
        <v>0</v>
      </c>
      <c r="P63" s="177">
        <f t="shared" si="69"/>
        <v>0</v>
      </c>
      <c r="Q63" s="177">
        <f t="shared" si="69"/>
        <v>0</v>
      </c>
      <c r="R63" s="177">
        <f t="shared" si="69"/>
        <v>0</v>
      </c>
      <c r="S63" s="177">
        <f t="shared" si="69"/>
        <v>0</v>
      </c>
      <c r="T63" s="177">
        <f t="shared" si="69"/>
        <v>0</v>
      </c>
      <c r="U63" s="177">
        <f t="shared" si="69"/>
        <v>0</v>
      </c>
      <c r="V63" s="177">
        <f t="shared" si="69"/>
        <v>0</v>
      </c>
      <c r="W63" s="177">
        <f t="shared" si="69"/>
        <v>0</v>
      </c>
      <c r="X63" s="177">
        <f t="shared" si="69"/>
        <v>0</v>
      </c>
      <c r="Y63" s="177">
        <f t="shared" si="69"/>
        <v>0</v>
      </c>
      <c r="Z63" s="177">
        <f t="shared" si="69"/>
        <v>0</v>
      </c>
      <c r="AA63" s="178">
        <f t="shared" si="89"/>
        <v>0</v>
      </c>
      <c r="AB63" s="173" t="s">
        <v>2046</v>
      </c>
      <c r="AC63" s="77"/>
      <c r="AD63" s="175">
        <v>46023</v>
      </c>
      <c r="AE63" s="175">
        <v>46387</v>
      </c>
      <c r="AF63" s="176">
        <f t="shared" si="70"/>
        <v>12</v>
      </c>
      <c r="AG63" s="177">
        <f t="shared" si="90"/>
        <v>0</v>
      </c>
      <c r="AH63" s="177">
        <f t="shared" si="91"/>
        <v>0</v>
      </c>
      <c r="AI63" s="177">
        <f t="shared" si="92"/>
        <v>0</v>
      </c>
      <c r="AJ63" s="177">
        <f t="shared" si="93"/>
        <v>0</v>
      </c>
      <c r="AK63" s="177">
        <f t="shared" si="94"/>
        <v>0</v>
      </c>
      <c r="AL63" s="177">
        <f t="shared" si="95"/>
        <v>0</v>
      </c>
      <c r="AM63" s="177">
        <f t="shared" si="96"/>
        <v>0</v>
      </c>
      <c r="AN63" s="177">
        <f t="shared" si="97"/>
        <v>0</v>
      </c>
      <c r="AO63" s="177">
        <f t="shared" si="98"/>
        <v>0</v>
      </c>
      <c r="AP63" s="177">
        <f t="shared" si="99"/>
        <v>0</v>
      </c>
      <c r="AQ63" s="177">
        <f t="shared" si="100"/>
        <v>0</v>
      </c>
      <c r="AR63" s="177">
        <f t="shared" si="101"/>
        <v>0</v>
      </c>
      <c r="AS63" s="178">
        <f t="shared" si="72"/>
        <v>0</v>
      </c>
      <c r="AU63" s="177">
        <f t="shared" si="73"/>
        <v>0</v>
      </c>
      <c r="AV63" s="177">
        <f t="shared" si="74"/>
        <v>0</v>
      </c>
      <c r="AW63" s="177">
        <f t="shared" si="75"/>
        <v>0</v>
      </c>
      <c r="AX63" s="177">
        <f t="shared" si="76"/>
        <v>0</v>
      </c>
      <c r="AY63" s="177">
        <f t="shared" si="77"/>
        <v>0</v>
      </c>
      <c r="AZ63" s="177">
        <f t="shared" si="78"/>
        <v>0</v>
      </c>
      <c r="BA63" s="177">
        <f t="shared" si="79"/>
        <v>0</v>
      </c>
      <c r="BB63" s="177">
        <f t="shared" si="80"/>
        <v>0</v>
      </c>
      <c r="BC63" s="177">
        <f t="shared" si="81"/>
        <v>0</v>
      </c>
      <c r="BD63" s="177">
        <f t="shared" si="82"/>
        <v>0</v>
      </c>
      <c r="BE63" s="177">
        <f t="shared" si="83"/>
        <v>0</v>
      </c>
      <c r="BF63" s="177">
        <f t="shared" si="84"/>
        <v>0</v>
      </c>
      <c r="BG63" s="178">
        <f t="shared" si="85"/>
        <v>0</v>
      </c>
    </row>
    <row r="64" spans="1:59" ht="13.5" customHeight="1">
      <c r="A64" s="171">
        <f t="shared" si="86"/>
        <v>11</v>
      </c>
      <c r="B64" s="171" t="str">
        <f t="shared" si="102"/>
        <v>ACPLGZ</v>
      </c>
      <c r="C64" s="171"/>
      <c r="D64" s="171" t="str">
        <f t="shared" si="87"/>
        <v>购建固定资产、无形资产和其他长期资产支付的现金</v>
      </c>
      <c r="E64" s="171"/>
      <c r="F64" s="172" t="str">
        <f t="shared" si="103"/>
        <v>Purchase Equipment</v>
      </c>
      <c r="G64" s="172"/>
      <c r="H64" s="77" t="s">
        <v>2613</v>
      </c>
      <c r="I64" s="173" t="s">
        <v>2614</v>
      </c>
      <c r="J64" s="173" t="s">
        <v>2046</v>
      </c>
      <c r="K64" s="77"/>
      <c r="L64" s="175">
        <v>45658</v>
      </c>
      <c r="M64" s="175">
        <v>46022</v>
      </c>
      <c r="N64" s="176">
        <f t="shared" si="88"/>
        <v>12</v>
      </c>
      <c r="O64" s="177">
        <f t="shared" si="69"/>
        <v>0</v>
      </c>
      <c r="P64" s="177">
        <f t="shared" si="69"/>
        <v>0</v>
      </c>
      <c r="Q64" s="177">
        <f t="shared" si="69"/>
        <v>0</v>
      </c>
      <c r="R64" s="177">
        <f t="shared" si="69"/>
        <v>0</v>
      </c>
      <c r="S64" s="177">
        <f t="shared" si="69"/>
        <v>0</v>
      </c>
      <c r="T64" s="177">
        <f t="shared" si="69"/>
        <v>0</v>
      </c>
      <c r="U64" s="177">
        <f t="shared" si="69"/>
        <v>0</v>
      </c>
      <c r="V64" s="177">
        <f t="shared" si="69"/>
        <v>0</v>
      </c>
      <c r="W64" s="177">
        <f t="shared" si="69"/>
        <v>0</v>
      </c>
      <c r="X64" s="177">
        <f t="shared" si="69"/>
        <v>0</v>
      </c>
      <c r="Y64" s="177">
        <f t="shared" si="69"/>
        <v>0</v>
      </c>
      <c r="Z64" s="177">
        <f t="shared" si="69"/>
        <v>0</v>
      </c>
      <c r="AA64" s="178">
        <f t="shared" si="89"/>
        <v>0</v>
      </c>
      <c r="AB64" s="173" t="s">
        <v>2046</v>
      </c>
      <c r="AC64" s="77"/>
      <c r="AD64" s="175">
        <v>46023</v>
      </c>
      <c r="AE64" s="175">
        <v>46387</v>
      </c>
      <c r="AF64" s="176">
        <f t="shared" si="70"/>
        <v>12</v>
      </c>
      <c r="AG64" s="177">
        <f t="shared" si="90"/>
        <v>0</v>
      </c>
      <c r="AH64" s="177">
        <f t="shared" si="91"/>
        <v>0</v>
      </c>
      <c r="AI64" s="177">
        <f t="shared" si="92"/>
        <v>0</v>
      </c>
      <c r="AJ64" s="177">
        <f t="shared" si="93"/>
        <v>0</v>
      </c>
      <c r="AK64" s="177">
        <f t="shared" si="94"/>
        <v>0</v>
      </c>
      <c r="AL64" s="177">
        <f t="shared" si="95"/>
        <v>0</v>
      </c>
      <c r="AM64" s="177">
        <f t="shared" si="96"/>
        <v>0</v>
      </c>
      <c r="AN64" s="177">
        <f t="shared" si="97"/>
        <v>0</v>
      </c>
      <c r="AO64" s="177">
        <f t="shared" si="98"/>
        <v>0</v>
      </c>
      <c r="AP64" s="177">
        <f t="shared" si="99"/>
        <v>0</v>
      </c>
      <c r="AQ64" s="177">
        <f t="shared" si="100"/>
        <v>0</v>
      </c>
      <c r="AR64" s="177">
        <f t="shared" si="101"/>
        <v>0</v>
      </c>
      <c r="AS64" s="178">
        <f t="shared" si="72"/>
        <v>0</v>
      </c>
      <c r="AU64" s="177">
        <f t="shared" si="73"/>
        <v>0</v>
      </c>
      <c r="AV64" s="177">
        <f t="shared" si="74"/>
        <v>0</v>
      </c>
      <c r="AW64" s="177">
        <f t="shared" si="75"/>
        <v>0</v>
      </c>
      <c r="AX64" s="177">
        <f t="shared" si="76"/>
        <v>0</v>
      </c>
      <c r="AY64" s="177">
        <f t="shared" si="77"/>
        <v>0</v>
      </c>
      <c r="AZ64" s="177">
        <f t="shared" si="78"/>
        <v>0</v>
      </c>
      <c r="BA64" s="177">
        <f t="shared" si="79"/>
        <v>0</v>
      </c>
      <c r="BB64" s="177">
        <f t="shared" si="80"/>
        <v>0</v>
      </c>
      <c r="BC64" s="177">
        <f t="shared" si="81"/>
        <v>0</v>
      </c>
      <c r="BD64" s="177">
        <f t="shared" si="82"/>
        <v>0</v>
      </c>
      <c r="BE64" s="177">
        <f t="shared" si="83"/>
        <v>0</v>
      </c>
      <c r="BF64" s="177">
        <f t="shared" si="84"/>
        <v>0</v>
      </c>
      <c r="BG64" s="178">
        <f t="shared" si="85"/>
        <v>0</v>
      </c>
    </row>
    <row r="65" spans="1:59" ht="13.5" customHeight="1">
      <c r="A65" s="171">
        <f t="shared" si="86"/>
        <v>12</v>
      </c>
      <c r="B65" s="171" t="str">
        <f t="shared" si="102"/>
        <v>ACPLGZ</v>
      </c>
      <c r="C65" s="171"/>
      <c r="D65" s="171" t="str">
        <f t="shared" si="87"/>
        <v>支付的其他与经营活动有关的现金（其他）</v>
      </c>
      <c r="E65" s="171"/>
      <c r="F65" s="172" t="str">
        <f t="shared" si="103"/>
        <v>Physical Security Systems</v>
      </c>
      <c r="G65" s="172"/>
      <c r="H65" s="77" t="s">
        <v>2613</v>
      </c>
      <c r="I65" s="173" t="s">
        <v>2614</v>
      </c>
      <c r="J65" s="173" t="s">
        <v>2046</v>
      </c>
      <c r="K65" s="77"/>
      <c r="L65" s="175">
        <v>45962</v>
      </c>
      <c r="M65" s="175">
        <v>45991</v>
      </c>
      <c r="N65" s="176">
        <f t="shared" si="88"/>
        <v>1</v>
      </c>
      <c r="O65" s="177">
        <f t="shared" si="69"/>
        <v>0</v>
      </c>
      <c r="P65" s="177">
        <f t="shared" si="69"/>
        <v>0</v>
      </c>
      <c r="Q65" s="177">
        <f t="shared" si="69"/>
        <v>0</v>
      </c>
      <c r="R65" s="177">
        <f t="shared" si="69"/>
        <v>0</v>
      </c>
      <c r="S65" s="177">
        <f t="shared" si="69"/>
        <v>0</v>
      </c>
      <c r="T65" s="177">
        <f t="shared" si="69"/>
        <v>0</v>
      </c>
      <c r="U65" s="177">
        <f t="shared" si="69"/>
        <v>0</v>
      </c>
      <c r="V65" s="177">
        <f t="shared" si="69"/>
        <v>0</v>
      </c>
      <c r="W65" s="177">
        <f t="shared" si="69"/>
        <v>0</v>
      </c>
      <c r="X65" s="177">
        <f t="shared" si="69"/>
        <v>0</v>
      </c>
      <c r="Y65" s="177">
        <f t="shared" si="69"/>
        <v>0</v>
      </c>
      <c r="Z65" s="177">
        <f t="shared" si="69"/>
        <v>0</v>
      </c>
      <c r="AA65" s="178">
        <f t="shared" si="89"/>
        <v>0</v>
      </c>
      <c r="AB65" s="173" t="s">
        <v>2046</v>
      </c>
      <c r="AC65" s="77"/>
      <c r="AD65" s="175">
        <v>46327</v>
      </c>
      <c r="AE65" s="175">
        <v>46356</v>
      </c>
      <c r="AF65" s="176">
        <f t="shared" si="70"/>
        <v>1</v>
      </c>
      <c r="AG65" s="177">
        <f t="shared" si="90"/>
        <v>0</v>
      </c>
      <c r="AH65" s="177">
        <f t="shared" si="91"/>
        <v>0</v>
      </c>
      <c r="AI65" s="177">
        <f t="shared" si="92"/>
        <v>0</v>
      </c>
      <c r="AJ65" s="177">
        <f t="shared" si="93"/>
        <v>0</v>
      </c>
      <c r="AK65" s="177">
        <f t="shared" si="94"/>
        <v>0</v>
      </c>
      <c r="AL65" s="177">
        <f t="shared" si="95"/>
        <v>0</v>
      </c>
      <c r="AM65" s="177">
        <f t="shared" si="96"/>
        <v>0</v>
      </c>
      <c r="AN65" s="177">
        <f t="shared" si="97"/>
        <v>0</v>
      </c>
      <c r="AO65" s="177">
        <f t="shared" si="98"/>
        <v>0</v>
      </c>
      <c r="AP65" s="177">
        <f t="shared" si="99"/>
        <v>0</v>
      </c>
      <c r="AQ65" s="177">
        <f t="shared" si="100"/>
        <v>0</v>
      </c>
      <c r="AR65" s="177">
        <f t="shared" si="101"/>
        <v>0</v>
      </c>
      <c r="AS65" s="178">
        <f t="shared" si="72"/>
        <v>0</v>
      </c>
      <c r="AU65" s="177">
        <f t="shared" si="73"/>
        <v>0</v>
      </c>
      <c r="AV65" s="177">
        <f t="shared" si="74"/>
        <v>0</v>
      </c>
      <c r="AW65" s="177">
        <f t="shared" si="75"/>
        <v>0</v>
      </c>
      <c r="AX65" s="177">
        <f t="shared" si="76"/>
        <v>0</v>
      </c>
      <c r="AY65" s="177">
        <f t="shared" si="77"/>
        <v>0</v>
      </c>
      <c r="AZ65" s="177">
        <f t="shared" si="78"/>
        <v>0</v>
      </c>
      <c r="BA65" s="177">
        <f t="shared" si="79"/>
        <v>0</v>
      </c>
      <c r="BB65" s="177">
        <f t="shared" si="80"/>
        <v>0</v>
      </c>
      <c r="BC65" s="177">
        <f t="shared" si="81"/>
        <v>0</v>
      </c>
      <c r="BD65" s="177">
        <f t="shared" si="82"/>
        <v>0</v>
      </c>
      <c r="BE65" s="177">
        <f t="shared" si="83"/>
        <v>0</v>
      </c>
      <c r="BF65" s="177">
        <f t="shared" si="84"/>
        <v>0</v>
      </c>
      <c r="BG65" s="178">
        <f t="shared" si="85"/>
        <v>0</v>
      </c>
    </row>
    <row r="66" spans="1:59" ht="13.5" customHeight="1">
      <c r="A66" s="171">
        <f t="shared" si="86"/>
        <v>13</v>
      </c>
      <c r="B66" s="171" t="str">
        <f t="shared" si="102"/>
        <v>ACPLGZ</v>
      </c>
      <c r="C66" s="171" t="s">
        <v>1652</v>
      </c>
      <c r="D66" s="171" t="str">
        <f t="shared" si="87"/>
        <v>支付的其他与经营活动有关的现金（其他）</v>
      </c>
      <c r="E66" s="171"/>
      <c r="F66" s="172" t="str">
        <f t="shared" si="103"/>
        <v>Office Package/Travel Insurance</v>
      </c>
      <c r="G66" s="172"/>
      <c r="H66" s="77" t="s">
        <v>2613</v>
      </c>
      <c r="I66" s="173" t="s">
        <v>2614</v>
      </c>
      <c r="J66" s="173" t="s">
        <v>2046</v>
      </c>
      <c r="K66" s="77"/>
      <c r="L66" s="175">
        <v>45658</v>
      </c>
      <c r="M66" s="175">
        <v>46022</v>
      </c>
      <c r="N66" s="176">
        <f t="shared" si="88"/>
        <v>12</v>
      </c>
      <c r="O66" s="177">
        <f t="shared" si="69"/>
        <v>0</v>
      </c>
      <c r="P66" s="177">
        <f t="shared" si="69"/>
        <v>0</v>
      </c>
      <c r="Q66" s="177">
        <f t="shared" si="69"/>
        <v>0</v>
      </c>
      <c r="R66" s="177">
        <f t="shared" si="69"/>
        <v>0</v>
      </c>
      <c r="S66" s="177">
        <f t="shared" si="69"/>
        <v>0</v>
      </c>
      <c r="T66" s="177">
        <f t="shared" si="69"/>
        <v>0</v>
      </c>
      <c r="U66" s="177">
        <f t="shared" si="69"/>
        <v>0</v>
      </c>
      <c r="V66" s="177">
        <f t="shared" si="69"/>
        <v>0</v>
      </c>
      <c r="W66" s="177">
        <f t="shared" si="69"/>
        <v>0</v>
      </c>
      <c r="X66" s="177">
        <f t="shared" si="69"/>
        <v>0</v>
      </c>
      <c r="Y66" s="177">
        <f t="shared" si="69"/>
        <v>0</v>
      </c>
      <c r="Z66" s="177">
        <f t="shared" si="69"/>
        <v>0</v>
      </c>
      <c r="AA66" s="178">
        <f t="shared" si="89"/>
        <v>0</v>
      </c>
      <c r="AB66" s="173" t="s">
        <v>2046</v>
      </c>
      <c r="AC66" s="77"/>
      <c r="AD66" s="175">
        <v>46023</v>
      </c>
      <c r="AE66" s="175">
        <v>46387</v>
      </c>
      <c r="AF66" s="176">
        <f t="shared" si="70"/>
        <v>12</v>
      </c>
      <c r="AG66" s="177">
        <f t="shared" si="90"/>
        <v>0</v>
      </c>
      <c r="AH66" s="177">
        <f t="shared" si="91"/>
        <v>0</v>
      </c>
      <c r="AI66" s="177">
        <f t="shared" si="92"/>
        <v>0</v>
      </c>
      <c r="AJ66" s="177">
        <f t="shared" si="93"/>
        <v>0</v>
      </c>
      <c r="AK66" s="177">
        <f t="shared" si="94"/>
        <v>0</v>
      </c>
      <c r="AL66" s="177">
        <f t="shared" si="95"/>
        <v>0</v>
      </c>
      <c r="AM66" s="177">
        <f t="shared" si="96"/>
        <v>0</v>
      </c>
      <c r="AN66" s="177">
        <f t="shared" si="97"/>
        <v>0</v>
      </c>
      <c r="AO66" s="177">
        <f t="shared" si="98"/>
        <v>0</v>
      </c>
      <c r="AP66" s="177">
        <f t="shared" si="99"/>
        <v>0</v>
      </c>
      <c r="AQ66" s="177">
        <f t="shared" si="100"/>
        <v>0</v>
      </c>
      <c r="AR66" s="177">
        <f t="shared" si="101"/>
        <v>0</v>
      </c>
      <c r="AS66" s="178">
        <f t="shared" si="72"/>
        <v>0</v>
      </c>
      <c r="AU66" s="177">
        <f t="shared" si="73"/>
        <v>0</v>
      </c>
      <c r="AV66" s="177">
        <f t="shared" si="74"/>
        <v>0</v>
      </c>
      <c r="AW66" s="177">
        <f t="shared" si="75"/>
        <v>0</v>
      </c>
      <c r="AX66" s="177">
        <f t="shared" si="76"/>
        <v>0</v>
      </c>
      <c r="AY66" s="177">
        <f t="shared" si="77"/>
        <v>0</v>
      </c>
      <c r="AZ66" s="177">
        <f t="shared" si="78"/>
        <v>0</v>
      </c>
      <c r="BA66" s="177">
        <f t="shared" si="79"/>
        <v>0</v>
      </c>
      <c r="BB66" s="177">
        <f t="shared" si="80"/>
        <v>0</v>
      </c>
      <c r="BC66" s="177">
        <f t="shared" si="81"/>
        <v>0</v>
      </c>
      <c r="BD66" s="177">
        <f t="shared" si="82"/>
        <v>0</v>
      </c>
      <c r="BE66" s="177">
        <f t="shared" si="83"/>
        <v>0</v>
      </c>
      <c r="BF66" s="177">
        <f t="shared" si="84"/>
        <v>0</v>
      </c>
      <c r="BG66" s="178">
        <f t="shared" si="85"/>
        <v>0</v>
      </c>
    </row>
    <row r="67" spans="1:59" ht="13.5" customHeight="1">
      <c r="A67" s="171">
        <f t="shared" si="86"/>
        <v>14</v>
      </c>
      <c r="B67" s="171" t="str">
        <f t="shared" si="102"/>
        <v>ACPLGZ</v>
      </c>
      <c r="C67" s="171" t="s">
        <v>1480</v>
      </c>
      <c r="D67" s="171" t="str">
        <f t="shared" si="87"/>
        <v>支付的其他与经营活动有关的现金（其他）</v>
      </c>
      <c r="E67" s="171"/>
      <c r="F67" s="172" t="str">
        <f t="shared" si="103"/>
        <v>Company Activities</v>
      </c>
      <c r="G67" s="172"/>
      <c r="H67" s="77" t="s">
        <v>2613</v>
      </c>
      <c r="I67" s="173" t="s">
        <v>2614</v>
      </c>
      <c r="J67" s="173" t="s">
        <v>2046</v>
      </c>
      <c r="K67" s="77"/>
      <c r="L67" s="175">
        <v>45658</v>
      </c>
      <c r="M67" s="175">
        <v>46022</v>
      </c>
      <c r="N67" s="176">
        <f t="shared" si="88"/>
        <v>12</v>
      </c>
      <c r="O67" s="177">
        <f t="shared" si="69"/>
        <v>0</v>
      </c>
      <c r="P67" s="177">
        <f t="shared" si="69"/>
        <v>0</v>
      </c>
      <c r="Q67" s="177">
        <f t="shared" si="69"/>
        <v>0</v>
      </c>
      <c r="R67" s="177">
        <f t="shared" si="69"/>
        <v>0</v>
      </c>
      <c r="S67" s="177">
        <f t="shared" si="69"/>
        <v>0</v>
      </c>
      <c r="T67" s="177">
        <f t="shared" si="69"/>
        <v>0</v>
      </c>
      <c r="U67" s="177">
        <f t="shared" si="69"/>
        <v>0</v>
      </c>
      <c r="V67" s="177">
        <f t="shared" si="69"/>
        <v>0</v>
      </c>
      <c r="W67" s="177">
        <f t="shared" si="69"/>
        <v>0</v>
      </c>
      <c r="X67" s="177">
        <f t="shared" si="69"/>
        <v>0</v>
      </c>
      <c r="Y67" s="177">
        <f t="shared" si="69"/>
        <v>0</v>
      </c>
      <c r="Z67" s="177">
        <f t="shared" si="69"/>
        <v>0</v>
      </c>
      <c r="AA67" s="178">
        <f t="shared" si="89"/>
        <v>0</v>
      </c>
      <c r="AB67" s="173" t="s">
        <v>2046</v>
      </c>
      <c r="AC67" s="77"/>
      <c r="AD67" s="175">
        <v>46023</v>
      </c>
      <c r="AE67" s="175">
        <v>46387</v>
      </c>
      <c r="AF67" s="176">
        <f t="shared" si="70"/>
        <v>12</v>
      </c>
      <c r="AG67" s="177">
        <f t="shared" si="90"/>
        <v>0</v>
      </c>
      <c r="AH67" s="177">
        <f t="shared" si="91"/>
        <v>0</v>
      </c>
      <c r="AI67" s="177">
        <f t="shared" si="92"/>
        <v>0</v>
      </c>
      <c r="AJ67" s="177">
        <f t="shared" si="93"/>
        <v>0</v>
      </c>
      <c r="AK67" s="177">
        <f t="shared" si="94"/>
        <v>0</v>
      </c>
      <c r="AL67" s="177">
        <f t="shared" si="95"/>
        <v>0</v>
      </c>
      <c r="AM67" s="177">
        <f t="shared" si="96"/>
        <v>0</v>
      </c>
      <c r="AN67" s="177">
        <f t="shared" si="97"/>
        <v>0</v>
      </c>
      <c r="AO67" s="177">
        <f t="shared" si="98"/>
        <v>0</v>
      </c>
      <c r="AP67" s="177">
        <f t="shared" si="99"/>
        <v>0</v>
      </c>
      <c r="AQ67" s="177">
        <f t="shared" si="100"/>
        <v>0</v>
      </c>
      <c r="AR67" s="177">
        <f t="shared" si="101"/>
        <v>0</v>
      </c>
      <c r="AS67" s="178">
        <f t="shared" si="72"/>
        <v>0</v>
      </c>
      <c r="AU67" s="177">
        <f t="shared" si="73"/>
        <v>0</v>
      </c>
      <c r="AV67" s="177">
        <f t="shared" si="74"/>
        <v>0</v>
      </c>
      <c r="AW67" s="177">
        <f t="shared" si="75"/>
        <v>0</v>
      </c>
      <c r="AX67" s="177">
        <f t="shared" si="76"/>
        <v>0</v>
      </c>
      <c r="AY67" s="177">
        <f t="shared" si="77"/>
        <v>0</v>
      </c>
      <c r="AZ67" s="177">
        <f t="shared" si="78"/>
        <v>0</v>
      </c>
      <c r="BA67" s="177">
        <f t="shared" si="79"/>
        <v>0</v>
      </c>
      <c r="BB67" s="177">
        <f t="shared" si="80"/>
        <v>0</v>
      </c>
      <c r="BC67" s="177">
        <f t="shared" si="81"/>
        <v>0</v>
      </c>
      <c r="BD67" s="177">
        <f t="shared" si="82"/>
        <v>0</v>
      </c>
      <c r="BE67" s="177">
        <f t="shared" si="83"/>
        <v>0</v>
      </c>
      <c r="BF67" s="177">
        <f t="shared" si="84"/>
        <v>0</v>
      </c>
      <c r="BG67" s="178">
        <f t="shared" si="85"/>
        <v>0</v>
      </c>
    </row>
    <row r="68" spans="1:59" ht="13.5" customHeight="1">
      <c r="A68" s="171">
        <f t="shared" si="86"/>
        <v>15</v>
      </c>
      <c r="B68" s="171" t="str">
        <f t="shared" si="102"/>
        <v>ACPLGZ</v>
      </c>
      <c r="C68" s="171" t="s">
        <v>1867</v>
      </c>
      <c r="D68" s="171" t="str">
        <f t="shared" si="87"/>
        <v>支付的其他与经营活动有关的现金（其他）</v>
      </c>
      <c r="E68" s="171"/>
      <c r="F68" s="172" t="str">
        <f t="shared" si="103"/>
        <v>Outside Seminars</v>
      </c>
      <c r="G68" s="172"/>
      <c r="H68" s="77" t="s">
        <v>2613</v>
      </c>
      <c r="I68" s="173" t="s">
        <v>2614</v>
      </c>
      <c r="J68" s="173" t="s">
        <v>2046</v>
      </c>
      <c r="K68" s="77"/>
      <c r="L68" s="175">
        <v>45658</v>
      </c>
      <c r="M68" s="175">
        <v>46022</v>
      </c>
      <c r="N68" s="176">
        <f t="shared" si="88"/>
        <v>12</v>
      </c>
      <c r="O68" s="177">
        <f t="shared" si="69"/>
        <v>0</v>
      </c>
      <c r="P68" s="177">
        <f t="shared" si="69"/>
        <v>0</v>
      </c>
      <c r="Q68" s="177">
        <f t="shared" si="69"/>
        <v>0</v>
      </c>
      <c r="R68" s="177">
        <f t="shared" si="69"/>
        <v>0</v>
      </c>
      <c r="S68" s="177">
        <f t="shared" si="69"/>
        <v>0</v>
      </c>
      <c r="T68" s="177">
        <f t="shared" si="69"/>
        <v>0</v>
      </c>
      <c r="U68" s="177">
        <f t="shared" si="69"/>
        <v>0</v>
      </c>
      <c r="V68" s="177">
        <f t="shared" si="69"/>
        <v>0</v>
      </c>
      <c r="W68" s="177">
        <f t="shared" si="69"/>
        <v>0</v>
      </c>
      <c r="X68" s="177">
        <f t="shared" si="69"/>
        <v>0</v>
      </c>
      <c r="Y68" s="177">
        <f t="shared" si="69"/>
        <v>0</v>
      </c>
      <c r="Z68" s="177">
        <f t="shared" si="69"/>
        <v>0</v>
      </c>
      <c r="AA68" s="178">
        <f t="shared" si="89"/>
        <v>0</v>
      </c>
      <c r="AB68" s="173" t="s">
        <v>2046</v>
      </c>
      <c r="AC68" s="77"/>
      <c r="AD68" s="175">
        <v>46023</v>
      </c>
      <c r="AE68" s="175">
        <v>46387</v>
      </c>
      <c r="AF68" s="176">
        <f t="shared" si="70"/>
        <v>12</v>
      </c>
      <c r="AG68" s="177">
        <f t="shared" si="90"/>
        <v>0</v>
      </c>
      <c r="AH68" s="177">
        <f t="shared" si="91"/>
        <v>0</v>
      </c>
      <c r="AI68" s="177">
        <f t="shared" si="92"/>
        <v>0</v>
      </c>
      <c r="AJ68" s="177">
        <f t="shared" si="93"/>
        <v>0</v>
      </c>
      <c r="AK68" s="177">
        <f t="shared" si="94"/>
        <v>0</v>
      </c>
      <c r="AL68" s="177">
        <f t="shared" si="95"/>
        <v>0</v>
      </c>
      <c r="AM68" s="177">
        <f t="shared" si="96"/>
        <v>0</v>
      </c>
      <c r="AN68" s="177">
        <f t="shared" si="97"/>
        <v>0</v>
      </c>
      <c r="AO68" s="177">
        <f t="shared" si="98"/>
        <v>0</v>
      </c>
      <c r="AP68" s="177">
        <f t="shared" si="99"/>
        <v>0</v>
      </c>
      <c r="AQ68" s="177">
        <f t="shared" si="100"/>
        <v>0</v>
      </c>
      <c r="AR68" s="177">
        <f t="shared" si="101"/>
        <v>0</v>
      </c>
      <c r="AS68" s="178">
        <f t="shared" si="72"/>
        <v>0</v>
      </c>
      <c r="AU68" s="177">
        <f t="shared" si="73"/>
        <v>0</v>
      </c>
      <c r="AV68" s="177">
        <f t="shared" si="74"/>
        <v>0</v>
      </c>
      <c r="AW68" s="177">
        <f t="shared" si="75"/>
        <v>0</v>
      </c>
      <c r="AX68" s="177">
        <f t="shared" si="76"/>
        <v>0</v>
      </c>
      <c r="AY68" s="177">
        <f t="shared" si="77"/>
        <v>0</v>
      </c>
      <c r="AZ68" s="177">
        <f t="shared" si="78"/>
        <v>0</v>
      </c>
      <c r="BA68" s="177">
        <f t="shared" si="79"/>
        <v>0</v>
      </c>
      <c r="BB68" s="177">
        <f t="shared" si="80"/>
        <v>0</v>
      </c>
      <c r="BC68" s="177">
        <f t="shared" si="81"/>
        <v>0</v>
      </c>
      <c r="BD68" s="177">
        <f t="shared" si="82"/>
        <v>0</v>
      </c>
      <c r="BE68" s="177">
        <f t="shared" si="83"/>
        <v>0</v>
      </c>
      <c r="BF68" s="177">
        <f t="shared" si="84"/>
        <v>0</v>
      </c>
      <c r="BG68" s="178">
        <f t="shared" si="85"/>
        <v>0</v>
      </c>
    </row>
    <row r="69" spans="1:59" ht="13.5" customHeight="1">
      <c r="A69" s="171">
        <f t="shared" ref="A69:A73" si="104">IF(A68&lt;=0,FALSE,A68+1)</f>
        <v>16</v>
      </c>
      <c r="B69" s="171" t="str">
        <f t="shared" ref="B69:B73" si="105">+B68</f>
        <v>ACPLGZ</v>
      </c>
      <c r="C69" s="171" t="s">
        <v>1684</v>
      </c>
      <c r="D69" s="171" t="str">
        <f t="shared" si="87"/>
        <v>支付的其他与经营活动有关的现金（其他）</v>
      </c>
      <c r="E69" s="171"/>
      <c r="F69" s="172" t="str">
        <f t="shared" ref="F69:F73" si="106">IF(F21="","",F21)</f>
        <v>Subscription</v>
      </c>
      <c r="G69" s="172"/>
      <c r="H69" s="77" t="s">
        <v>2613</v>
      </c>
      <c r="I69" s="173" t="s">
        <v>2614</v>
      </c>
      <c r="J69" s="173" t="s">
        <v>2046</v>
      </c>
      <c r="K69" s="77"/>
      <c r="L69" s="175">
        <v>45658</v>
      </c>
      <c r="M69" s="175">
        <v>46022</v>
      </c>
      <c r="N69" s="176">
        <f t="shared" si="88"/>
        <v>12</v>
      </c>
      <c r="O69" s="177">
        <f t="shared" si="69"/>
        <v>0</v>
      </c>
      <c r="P69" s="177">
        <f t="shared" si="69"/>
        <v>0</v>
      </c>
      <c r="Q69" s="177">
        <f t="shared" si="69"/>
        <v>0</v>
      </c>
      <c r="R69" s="177">
        <f t="shared" si="69"/>
        <v>0</v>
      </c>
      <c r="S69" s="177">
        <f t="shared" si="69"/>
        <v>0</v>
      </c>
      <c r="T69" s="177">
        <f t="shared" si="69"/>
        <v>0</v>
      </c>
      <c r="U69" s="177">
        <f t="shared" si="69"/>
        <v>0</v>
      </c>
      <c r="V69" s="177">
        <f t="shared" si="69"/>
        <v>0</v>
      </c>
      <c r="W69" s="177">
        <f t="shared" si="69"/>
        <v>0</v>
      </c>
      <c r="X69" s="177">
        <f t="shared" si="69"/>
        <v>0</v>
      </c>
      <c r="Y69" s="177">
        <f t="shared" si="69"/>
        <v>0</v>
      </c>
      <c r="Z69" s="177">
        <f t="shared" si="69"/>
        <v>0</v>
      </c>
      <c r="AA69" s="178">
        <f t="shared" si="89"/>
        <v>0</v>
      </c>
      <c r="AB69" s="173" t="s">
        <v>2046</v>
      </c>
      <c r="AC69" s="77"/>
      <c r="AD69" s="175">
        <v>46023</v>
      </c>
      <c r="AE69" s="175">
        <v>46387</v>
      </c>
      <c r="AF69" s="176">
        <f t="shared" si="70"/>
        <v>12</v>
      </c>
      <c r="AG69" s="177">
        <f t="shared" si="90"/>
        <v>0</v>
      </c>
      <c r="AH69" s="177">
        <f t="shared" si="91"/>
        <v>0</v>
      </c>
      <c r="AI69" s="177">
        <f t="shared" si="92"/>
        <v>0</v>
      </c>
      <c r="AJ69" s="177">
        <f t="shared" si="93"/>
        <v>0</v>
      </c>
      <c r="AK69" s="177">
        <f t="shared" si="94"/>
        <v>0</v>
      </c>
      <c r="AL69" s="177">
        <f t="shared" si="95"/>
        <v>0</v>
      </c>
      <c r="AM69" s="177">
        <f t="shared" si="96"/>
        <v>0</v>
      </c>
      <c r="AN69" s="177">
        <f t="shared" si="97"/>
        <v>0</v>
      </c>
      <c r="AO69" s="177">
        <f t="shared" si="98"/>
        <v>0</v>
      </c>
      <c r="AP69" s="177">
        <f t="shared" si="99"/>
        <v>0</v>
      </c>
      <c r="AQ69" s="177">
        <f t="shared" si="100"/>
        <v>0</v>
      </c>
      <c r="AR69" s="177">
        <f t="shared" si="101"/>
        <v>0</v>
      </c>
      <c r="AS69" s="178">
        <f t="shared" si="72"/>
        <v>0</v>
      </c>
      <c r="AU69" s="177">
        <f t="shared" si="73"/>
        <v>0</v>
      </c>
      <c r="AV69" s="177">
        <f t="shared" si="74"/>
        <v>0</v>
      </c>
      <c r="AW69" s="177">
        <f t="shared" si="75"/>
        <v>0</v>
      </c>
      <c r="AX69" s="177">
        <f t="shared" si="76"/>
        <v>0</v>
      </c>
      <c r="AY69" s="177">
        <f t="shared" si="77"/>
        <v>0</v>
      </c>
      <c r="AZ69" s="177">
        <f t="shared" si="78"/>
        <v>0</v>
      </c>
      <c r="BA69" s="177">
        <f t="shared" si="79"/>
        <v>0</v>
      </c>
      <c r="BB69" s="177">
        <f t="shared" si="80"/>
        <v>0</v>
      </c>
      <c r="BC69" s="177">
        <f t="shared" si="81"/>
        <v>0</v>
      </c>
      <c r="BD69" s="177">
        <f t="shared" si="82"/>
        <v>0</v>
      </c>
      <c r="BE69" s="177">
        <f t="shared" si="83"/>
        <v>0</v>
      </c>
      <c r="BF69" s="177">
        <f t="shared" si="84"/>
        <v>0</v>
      </c>
      <c r="BG69" s="178">
        <f t="shared" si="85"/>
        <v>0</v>
      </c>
    </row>
    <row r="70" spans="1:59" ht="13.5" customHeight="1">
      <c r="A70" s="171">
        <f t="shared" si="104"/>
        <v>17</v>
      </c>
      <c r="B70" s="171" t="str">
        <f t="shared" si="105"/>
        <v>ACPLGZ</v>
      </c>
      <c r="C70" s="171" t="s">
        <v>1867</v>
      </c>
      <c r="D70" s="171" t="str">
        <f t="shared" si="87"/>
        <v>支付的其他与经营活动有关的现金（其他）</v>
      </c>
      <c r="E70" s="171"/>
      <c r="F70" s="172" t="str">
        <f t="shared" si="106"/>
        <v>Professional Body Membership Fee</v>
      </c>
      <c r="G70" s="172"/>
      <c r="H70" s="77" t="s">
        <v>2613</v>
      </c>
      <c r="I70" s="173" t="s">
        <v>2614</v>
      </c>
      <c r="J70" s="173" t="s">
        <v>2046</v>
      </c>
      <c r="K70" s="77"/>
      <c r="L70" s="175">
        <v>45658</v>
      </c>
      <c r="M70" s="175">
        <v>46022</v>
      </c>
      <c r="N70" s="176">
        <f t="shared" ref="N70:N73" si="107">IF(AND(L70="",M70=""),"-",IF(M70="",12,DATEDIF(L70,M70,"M")+1))</f>
        <v>12</v>
      </c>
      <c r="O70" s="177">
        <f t="shared" si="69"/>
        <v>0</v>
      </c>
      <c r="P70" s="177">
        <f t="shared" si="69"/>
        <v>0</v>
      </c>
      <c r="Q70" s="177">
        <f t="shared" si="69"/>
        <v>0</v>
      </c>
      <c r="R70" s="177">
        <f t="shared" si="69"/>
        <v>0</v>
      </c>
      <c r="S70" s="177">
        <f t="shared" si="69"/>
        <v>0</v>
      </c>
      <c r="T70" s="177">
        <f t="shared" si="69"/>
        <v>0</v>
      </c>
      <c r="U70" s="177">
        <f t="shared" si="69"/>
        <v>0</v>
      </c>
      <c r="V70" s="177">
        <f t="shared" si="69"/>
        <v>0</v>
      </c>
      <c r="W70" s="177">
        <f t="shared" si="69"/>
        <v>0</v>
      </c>
      <c r="X70" s="177">
        <f t="shared" si="69"/>
        <v>0</v>
      </c>
      <c r="Y70" s="177">
        <f t="shared" si="69"/>
        <v>0</v>
      </c>
      <c r="Z70" s="177">
        <f t="shared" si="69"/>
        <v>0</v>
      </c>
      <c r="AA70" s="178">
        <f t="shared" ref="AA70:AA73" si="108">SUM(O70:Z70)</f>
        <v>0</v>
      </c>
      <c r="AB70" s="173" t="s">
        <v>2046</v>
      </c>
      <c r="AC70" s="77"/>
      <c r="AD70" s="175">
        <v>46023</v>
      </c>
      <c r="AE70" s="175">
        <v>46387</v>
      </c>
      <c r="AF70" s="176">
        <f t="shared" si="70"/>
        <v>12</v>
      </c>
      <c r="AG70" s="177">
        <f t="shared" si="90"/>
        <v>0</v>
      </c>
      <c r="AH70" s="177">
        <f t="shared" si="91"/>
        <v>0</v>
      </c>
      <c r="AI70" s="177">
        <f t="shared" si="92"/>
        <v>0</v>
      </c>
      <c r="AJ70" s="177">
        <f t="shared" si="93"/>
        <v>0</v>
      </c>
      <c r="AK70" s="177">
        <f t="shared" si="94"/>
        <v>0</v>
      </c>
      <c r="AL70" s="177">
        <f t="shared" si="95"/>
        <v>0</v>
      </c>
      <c r="AM70" s="177">
        <f t="shared" si="96"/>
        <v>0</v>
      </c>
      <c r="AN70" s="177">
        <f t="shared" si="97"/>
        <v>0</v>
      </c>
      <c r="AO70" s="177">
        <f t="shared" si="98"/>
        <v>0</v>
      </c>
      <c r="AP70" s="177">
        <f t="shared" si="99"/>
        <v>0</v>
      </c>
      <c r="AQ70" s="177">
        <f t="shared" si="100"/>
        <v>0</v>
      </c>
      <c r="AR70" s="177">
        <f t="shared" si="101"/>
        <v>0</v>
      </c>
      <c r="AS70" s="178">
        <f t="shared" si="72"/>
        <v>0</v>
      </c>
      <c r="AU70" s="177">
        <f t="shared" si="73"/>
        <v>0</v>
      </c>
      <c r="AV70" s="177">
        <f t="shared" si="74"/>
        <v>0</v>
      </c>
      <c r="AW70" s="177">
        <f t="shared" si="75"/>
        <v>0</v>
      </c>
      <c r="AX70" s="177">
        <f t="shared" si="76"/>
        <v>0</v>
      </c>
      <c r="AY70" s="177">
        <f t="shared" si="77"/>
        <v>0</v>
      </c>
      <c r="AZ70" s="177">
        <f t="shared" si="78"/>
        <v>0</v>
      </c>
      <c r="BA70" s="177">
        <f t="shared" si="79"/>
        <v>0</v>
      </c>
      <c r="BB70" s="177">
        <f t="shared" si="80"/>
        <v>0</v>
      </c>
      <c r="BC70" s="177">
        <f t="shared" si="81"/>
        <v>0</v>
      </c>
      <c r="BD70" s="177">
        <f t="shared" si="82"/>
        <v>0</v>
      </c>
      <c r="BE70" s="177">
        <f t="shared" si="83"/>
        <v>0</v>
      </c>
      <c r="BF70" s="177">
        <f t="shared" si="84"/>
        <v>0</v>
      </c>
      <c r="BG70" s="178">
        <f t="shared" si="85"/>
        <v>0</v>
      </c>
    </row>
    <row r="71" spans="1:59" ht="13.5" customHeight="1">
      <c r="A71" s="171">
        <f t="shared" si="104"/>
        <v>18</v>
      </c>
      <c r="B71" s="171" t="str">
        <f t="shared" si="105"/>
        <v>ACPLGZ</v>
      </c>
      <c r="C71" s="171" t="s">
        <v>1672</v>
      </c>
      <c r="D71" s="171" t="str">
        <f t="shared" si="87"/>
        <v>支付的其他与经营活动有关的现金（其他）</v>
      </c>
      <c r="E71" s="171"/>
      <c r="F71" s="172" t="str">
        <f t="shared" si="106"/>
        <v>Purchase system</v>
      </c>
      <c r="G71" s="172"/>
      <c r="H71" s="77" t="s">
        <v>2613</v>
      </c>
      <c r="I71" s="173" t="s">
        <v>2614</v>
      </c>
      <c r="J71" s="173" t="s">
        <v>2046</v>
      </c>
      <c r="K71" s="77"/>
      <c r="L71" s="175">
        <v>45658</v>
      </c>
      <c r="M71" s="175">
        <v>46022</v>
      </c>
      <c r="N71" s="176">
        <f t="shared" si="107"/>
        <v>12</v>
      </c>
      <c r="O71" s="177">
        <f t="shared" ref="O71:Z73" si="109">IF(AND($L71&lt;=O$3,O$3&lt;=$M71),$K71/$N71,0)</f>
        <v>0</v>
      </c>
      <c r="P71" s="177">
        <f t="shared" si="109"/>
        <v>0</v>
      </c>
      <c r="Q71" s="177">
        <f t="shared" si="109"/>
        <v>0</v>
      </c>
      <c r="R71" s="177">
        <f t="shared" si="109"/>
        <v>0</v>
      </c>
      <c r="S71" s="177">
        <f t="shared" si="109"/>
        <v>0</v>
      </c>
      <c r="T71" s="177">
        <f t="shared" si="109"/>
        <v>0</v>
      </c>
      <c r="U71" s="177">
        <f t="shared" si="109"/>
        <v>0</v>
      </c>
      <c r="V71" s="177">
        <f t="shared" si="109"/>
        <v>0</v>
      </c>
      <c r="W71" s="177">
        <f t="shared" si="109"/>
        <v>0</v>
      </c>
      <c r="X71" s="177">
        <f t="shared" si="109"/>
        <v>0</v>
      </c>
      <c r="Y71" s="177">
        <f t="shared" si="109"/>
        <v>0</v>
      </c>
      <c r="Z71" s="177">
        <f t="shared" si="109"/>
        <v>0</v>
      </c>
      <c r="AA71" s="178">
        <f t="shared" si="108"/>
        <v>0</v>
      </c>
      <c r="AB71" s="173" t="s">
        <v>2046</v>
      </c>
      <c r="AC71" s="77"/>
      <c r="AD71" s="175">
        <v>46023</v>
      </c>
      <c r="AE71" s="175">
        <v>46387</v>
      </c>
      <c r="AF71" s="176">
        <f t="shared" si="70"/>
        <v>12</v>
      </c>
      <c r="AG71" s="177">
        <f t="shared" si="90"/>
        <v>0</v>
      </c>
      <c r="AH71" s="177">
        <f t="shared" si="91"/>
        <v>0</v>
      </c>
      <c r="AI71" s="177">
        <f t="shared" si="92"/>
        <v>0</v>
      </c>
      <c r="AJ71" s="177">
        <f t="shared" si="93"/>
        <v>0</v>
      </c>
      <c r="AK71" s="177">
        <f t="shared" si="94"/>
        <v>0</v>
      </c>
      <c r="AL71" s="177">
        <f t="shared" si="95"/>
        <v>0</v>
      </c>
      <c r="AM71" s="177">
        <f t="shared" si="96"/>
        <v>0</v>
      </c>
      <c r="AN71" s="177">
        <f t="shared" si="97"/>
        <v>0</v>
      </c>
      <c r="AO71" s="177">
        <f t="shared" si="98"/>
        <v>0</v>
      </c>
      <c r="AP71" s="177">
        <f t="shared" si="99"/>
        <v>0</v>
      </c>
      <c r="AQ71" s="177">
        <f t="shared" si="100"/>
        <v>0</v>
      </c>
      <c r="AR71" s="177">
        <f t="shared" si="101"/>
        <v>0</v>
      </c>
      <c r="AS71" s="178">
        <f t="shared" si="72"/>
        <v>0</v>
      </c>
      <c r="AU71" s="177">
        <f t="shared" si="73"/>
        <v>0</v>
      </c>
      <c r="AV71" s="177">
        <f t="shared" si="74"/>
        <v>0</v>
      </c>
      <c r="AW71" s="177">
        <f t="shared" si="75"/>
        <v>0</v>
      </c>
      <c r="AX71" s="177">
        <f t="shared" si="76"/>
        <v>0</v>
      </c>
      <c r="AY71" s="177">
        <f t="shared" si="77"/>
        <v>0</v>
      </c>
      <c r="AZ71" s="177">
        <f t="shared" si="78"/>
        <v>0</v>
      </c>
      <c r="BA71" s="177">
        <f t="shared" si="79"/>
        <v>0</v>
      </c>
      <c r="BB71" s="177">
        <f t="shared" si="80"/>
        <v>0</v>
      </c>
      <c r="BC71" s="177">
        <f t="shared" si="81"/>
        <v>0</v>
      </c>
      <c r="BD71" s="177">
        <f t="shared" si="82"/>
        <v>0</v>
      </c>
      <c r="BE71" s="177">
        <f t="shared" si="83"/>
        <v>0</v>
      </c>
      <c r="BF71" s="177">
        <f t="shared" si="84"/>
        <v>0</v>
      </c>
      <c r="BG71" s="178">
        <f t="shared" si="85"/>
        <v>0</v>
      </c>
    </row>
    <row r="72" spans="1:59" ht="13.5" customHeight="1">
      <c r="A72" s="171">
        <f t="shared" si="104"/>
        <v>19</v>
      </c>
      <c r="B72" s="171" t="str">
        <f t="shared" si="105"/>
        <v>ACPLGZ</v>
      </c>
      <c r="C72" s="171" t="s">
        <v>1549</v>
      </c>
      <c r="D72" s="171" t="str">
        <f t="shared" si="87"/>
        <v>支付的其他与经营活动有关的现金（其他）</v>
      </c>
      <c r="E72" s="171"/>
      <c r="F72" s="172" t="str">
        <f t="shared" si="106"/>
        <v>Employee Background Check</v>
      </c>
      <c r="G72" s="172"/>
      <c r="H72" s="77" t="s">
        <v>2613</v>
      </c>
      <c r="I72" s="173" t="s">
        <v>2614</v>
      </c>
      <c r="J72" s="173" t="s">
        <v>2046</v>
      </c>
      <c r="K72" s="77"/>
      <c r="L72" s="175">
        <v>45658</v>
      </c>
      <c r="M72" s="175">
        <v>46022</v>
      </c>
      <c r="N72" s="176">
        <f t="shared" si="107"/>
        <v>12</v>
      </c>
      <c r="O72" s="177">
        <f t="shared" si="109"/>
        <v>0</v>
      </c>
      <c r="P72" s="177">
        <f t="shared" si="109"/>
        <v>0</v>
      </c>
      <c r="Q72" s="177">
        <f t="shared" si="109"/>
        <v>0</v>
      </c>
      <c r="R72" s="177">
        <f t="shared" si="109"/>
        <v>0</v>
      </c>
      <c r="S72" s="177">
        <f t="shared" si="109"/>
        <v>0</v>
      </c>
      <c r="T72" s="177">
        <f t="shared" si="109"/>
        <v>0</v>
      </c>
      <c r="U72" s="177">
        <f t="shared" si="109"/>
        <v>0</v>
      </c>
      <c r="V72" s="177">
        <f t="shared" si="109"/>
        <v>0</v>
      </c>
      <c r="W72" s="177">
        <f t="shared" si="109"/>
        <v>0</v>
      </c>
      <c r="X72" s="177">
        <f t="shared" si="109"/>
        <v>0</v>
      </c>
      <c r="Y72" s="177">
        <f t="shared" si="109"/>
        <v>0</v>
      </c>
      <c r="Z72" s="177">
        <f t="shared" si="109"/>
        <v>0</v>
      </c>
      <c r="AA72" s="178">
        <f t="shared" si="108"/>
        <v>0</v>
      </c>
      <c r="AB72" s="173" t="s">
        <v>2046</v>
      </c>
      <c r="AC72" s="77"/>
      <c r="AD72" s="175">
        <v>46023</v>
      </c>
      <c r="AE72" s="175">
        <v>46387</v>
      </c>
      <c r="AF72" s="176">
        <f t="shared" si="70"/>
        <v>12</v>
      </c>
      <c r="AG72" s="177">
        <f t="shared" si="90"/>
        <v>0</v>
      </c>
      <c r="AH72" s="177">
        <f t="shared" si="91"/>
        <v>0</v>
      </c>
      <c r="AI72" s="177">
        <f t="shared" si="92"/>
        <v>0</v>
      </c>
      <c r="AJ72" s="177">
        <f t="shared" si="93"/>
        <v>0</v>
      </c>
      <c r="AK72" s="177">
        <f t="shared" si="94"/>
        <v>0</v>
      </c>
      <c r="AL72" s="177">
        <f t="shared" si="95"/>
        <v>0</v>
      </c>
      <c r="AM72" s="177">
        <f t="shared" si="96"/>
        <v>0</v>
      </c>
      <c r="AN72" s="177">
        <f t="shared" si="97"/>
        <v>0</v>
      </c>
      <c r="AO72" s="177">
        <f t="shared" si="98"/>
        <v>0</v>
      </c>
      <c r="AP72" s="177">
        <f t="shared" si="99"/>
        <v>0</v>
      </c>
      <c r="AQ72" s="177">
        <f t="shared" si="100"/>
        <v>0</v>
      </c>
      <c r="AR72" s="177">
        <f t="shared" si="101"/>
        <v>0</v>
      </c>
      <c r="AS72" s="178">
        <f t="shared" si="72"/>
        <v>0</v>
      </c>
      <c r="AU72" s="177">
        <f t="shared" si="73"/>
        <v>0</v>
      </c>
      <c r="AV72" s="177">
        <f t="shared" si="74"/>
        <v>0</v>
      </c>
      <c r="AW72" s="177">
        <f t="shared" si="75"/>
        <v>0</v>
      </c>
      <c r="AX72" s="177">
        <f t="shared" si="76"/>
        <v>0</v>
      </c>
      <c r="AY72" s="177">
        <f t="shared" si="77"/>
        <v>0</v>
      </c>
      <c r="AZ72" s="177">
        <f t="shared" si="78"/>
        <v>0</v>
      </c>
      <c r="BA72" s="177">
        <f t="shared" si="79"/>
        <v>0</v>
      </c>
      <c r="BB72" s="177">
        <f t="shared" si="80"/>
        <v>0</v>
      </c>
      <c r="BC72" s="177">
        <f t="shared" si="81"/>
        <v>0</v>
      </c>
      <c r="BD72" s="177">
        <f t="shared" si="82"/>
        <v>0</v>
      </c>
      <c r="BE72" s="177">
        <f t="shared" si="83"/>
        <v>0</v>
      </c>
      <c r="BF72" s="177">
        <f t="shared" si="84"/>
        <v>0</v>
      </c>
      <c r="BG72" s="178">
        <f t="shared" si="85"/>
        <v>0</v>
      </c>
    </row>
    <row r="73" spans="1:59" ht="13.5" customHeight="1">
      <c r="A73" s="171">
        <f t="shared" si="104"/>
        <v>20</v>
      </c>
      <c r="B73" s="171" t="str">
        <f t="shared" si="105"/>
        <v>ACPLGZ</v>
      </c>
      <c r="C73" s="171" t="s">
        <v>1867</v>
      </c>
      <c r="D73" s="171" t="str">
        <f t="shared" si="87"/>
        <v>支付的其他与经营活动有关的现金（其他）</v>
      </c>
      <c r="E73" s="171"/>
      <c r="F73" s="172" t="str">
        <f t="shared" si="106"/>
        <v>Training Fees</v>
      </c>
      <c r="G73" s="172"/>
      <c r="H73" s="77" t="s">
        <v>2613</v>
      </c>
      <c r="I73" s="173" t="s">
        <v>2614</v>
      </c>
      <c r="J73" s="173" t="s">
        <v>2046</v>
      </c>
      <c r="K73" s="77"/>
      <c r="L73" s="175">
        <v>45658</v>
      </c>
      <c r="M73" s="175">
        <v>46022</v>
      </c>
      <c r="N73" s="176">
        <f t="shared" si="107"/>
        <v>12</v>
      </c>
      <c r="O73" s="177">
        <f t="shared" si="109"/>
        <v>0</v>
      </c>
      <c r="P73" s="177">
        <f t="shared" si="109"/>
        <v>0</v>
      </c>
      <c r="Q73" s="177">
        <f t="shared" si="109"/>
        <v>0</v>
      </c>
      <c r="R73" s="177">
        <f t="shared" si="109"/>
        <v>0</v>
      </c>
      <c r="S73" s="177">
        <f t="shared" si="109"/>
        <v>0</v>
      </c>
      <c r="T73" s="177">
        <f t="shared" si="109"/>
        <v>0</v>
      </c>
      <c r="U73" s="177">
        <f t="shared" si="109"/>
        <v>0</v>
      </c>
      <c r="V73" s="177">
        <f t="shared" si="109"/>
        <v>0</v>
      </c>
      <c r="W73" s="177">
        <f t="shared" si="109"/>
        <v>0</v>
      </c>
      <c r="X73" s="177">
        <f t="shared" si="109"/>
        <v>0</v>
      </c>
      <c r="Y73" s="177">
        <f t="shared" si="109"/>
        <v>0</v>
      </c>
      <c r="Z73" s="177">
        <f t="shared" si="109"/>
        <v>0</v>
      </c>
      <c r="AA73" s="178">
        <f t="shared" si="108"/>
        <v>0</v>
      </c>
      <c r="AB73" s="173" t="s">
        <v>2046</v>
      </c>
      <c r="AC73" s="77"/>
      <c r="AD73" s="175">
        <v>46023</v>
      </c>
      <c r="AE73" s="175">
        <v>46387</v>
      </c>
      <c r="AF73" s="176">
        <f t="shared" si="70"/>
        <v>12</v>
      </c>
      <c r="AG73" s="177">
        <f t="shared" si="90"/>
        <v>0</v>
      </c>
      <c r="AH73" s="177">
        <f t="shared" si="91"/>
        <v>0</v>
      </c>
      <c r="AI73" s="177">
        <f t="shared" si="92"/>
        <v>0</v>
      </c>
      <c r="AJ73" s="177">
        <f t="shared" si="93"/>
        <v>0</v>
      </c>
      <c r="AK73" s="177">
        <f t="shared" si="94"/>
        <v>0</v>
      </c>
      <c r="AL73" s="177">
        <f t="shared" si="95"/>
        <v>0</v>
      </c>
      <c r="AM73" s="177">
        <f t="shared" si="96"/>
        <v>0</v>
      </c>
      <c r="AN73" s="177">
        <f t="shared" si="97"/>
        <v>0</v>
      </c>
      <c r="AO73" s="177">
        <f t="shared" si="98"/>
        <v>0</v>
      </c>
      <c r="AP73" s="177">
        <f t="shared" si="99"/>
        <v>0</v>
      </c>
      <c r="AQ73" s="177">
        <f t="shared" si="100"/>
        <v>0</v>
      </c>
      <c r="AR73" s="177">
        <f t="shared" si="101"/>
        <v>0</v>
      </c>
      <c r="AS73" s="178">
        <f t="shared" si="72"/>
        <v>0</v>
      </c>
      <c r="AU73" s="177">
        <f t="shared" si="73"/>
        <v>0</v>
      </c>
      <c r="AV73" s="177">
        <f t="shared" si="74"/>
        <v>0</v>
      </c>
      <c r="AW73" s="177">
        <f t="shared" si="75"/>
        <v>0</v>
      </c>
      <c r="AX73" s="177">
        <f t="shared" si="76"/>
        <v>0</v>
      </c>
      <c r="AY73" s="177">
        <f t="shared" si="77"/>
        <v>0</v>
      </c>
      <c r="AZ73" s="177">
        <f t="shared" si="78"/>
        <v>0</v>
      </c>
      <c r="BA73" s="177">
        <f t="shared" si="79"/>
        <v>0</v>
      </c>
      <c r="BB73" s="177">
        <f t="shared" si="80"/>
        <v>0</v>
      </c>
      <c r="BC73" s="177">
        <f t="shared" si="81"/>
        <v>0</v>
      </c>
      <c r="BD73" s="177">
        <f t="shared" si="82"/>
        <v>0</v>
      </c>
      <c r="BE73" s="177">
        <f t="shared" si="83"/>
        <v>0</v>
      </c>
      <c r="BF73" s="177">
        <f t="shared" si="84"/>
        <v>0</v>
      </c>
      <c r="BG73" s="178">
        <f t="shared" si="85"/>
        <v>0</v>
      </c>
    </row>
    <row r="75" spans="1:59" s="151" customFormat="1" ht="13.5" thickBot="1">
      <c r="L75" s="180"/>
      <c r="M75" s="180"/>
      <c r="O75" s="185">
        <f>SUM(O54:O74)</f>
        <v>100</v>
      </c>
      <c r="P75" s="185">
        <f t="shared" ref="P75:Z75" si="110">SUM(P54:P74)</f>
        <v>100</v>
      </c>
      <c r="Q75" s="185">
        <f t="shared" si="110"/>
        <v>100</v>
      </c>
      <c r="R75" s="185">
        <f t="shared" si="110"/>
        <v>100</v>
      </c>
      <c r="S75" s="185">
        <f t="shared" si="110"/>
        <v>100</v>
      </c>
      <c r="T75" s="185">
        <f t="shared" si="110"/>
        <v>100</v>
      </c>
      <c r="U75" s="185">
        <f t="shared" si="110"/>
        <v>100</v>
      </c>
      <c r="V75" s="185">
        <f t="shared" si="110"/>
        <v>100</v>
      </c>
      <c r="W75" s="185">
        <f t="shared" si="110"/>
        <v>100</v>
      </c>
      <c r="X75" s="185">
        <f t="shared" si="110"/>
        <v>100</v>
      </c>
      <c r="Y75" s="185">
        <f t="shared" si="110"/>
        <v>100</v>
      </c>
      <c r="Z75" s="185">
        <f t="shared" si="110"/>
        <v>100</v>
      </c>
      <c r="AA75" s="182">
        <f>SUBTOTAL(9,O75:Z75)</f>
        <v>1200</v>
      </c>
      <c r="AC75" s="185">
        <f>SUM(AC54:AC74)</f>
        <v>3000</v>
      </c>
      <c r="AD75" s="180"/>
      <c r="AE75" s="180"/>
      <c r="AG75" s="185">
        <f>SUM(AG54:AG74)</f>
        <v>250</v>
      </c>
      <c r="AH75" s="185">
        <f t="shared" ref="AH75:AR75" si="111">SUM(AH54:AH74)</f>
        <v>250</v>
      </c>
      <c r="AI75" s="185">
        <f t="shared" si="111"/>
        <v>250</v>
      </c>
      <c r="AJ75" s="185">
        <f t="shared" si="111"/>
        <v>250</v>
      </c>
      <c r="AK75" s="185">
        <f t="shared" si="111"/>
        <v>250</v>
      </c>
      <c r="AL75" s="185">
        <f t="shared" si="111"/>
        <v>250</v>
      </c>
      <c r="AM75" s="185">
        <f t="shared" si="111"/>
        <v>250</v>
      </c>
      <c r="AN75" s="185">
        <f t="shared" si="111"/>
        <v>250</v>
      </c>
      <c r="AO75" s="185">
        <f t="shared" si="111"/>
        <v>250</v>
      </c>
      <c r="AP75" s="185">
        <f t="shared" si="111"/>
        <v>250</v>
      </c>
      <c r="AQ75" s="185">
        <f t="shared" si="111"/>
        <v>250</v>
      </c>
      <c r="AR75" s="185">
        <f t="shared" si="111"/>
        <v>250</v>
      </c>
      <c r="AS75" s="182">
        <f>SUBTOTAL(9,AG75:AR75)</f>
        <v>3000</v>
      </c>
      <c r="AU75" s="185">
        <f>SUM(AU54:AU74)</f>
        <v>262.5</v>
      </c>
      <c r="AV75" s="185">
        <f t="shared" ref="AV75:BF75" si="112">SUM(AV54:AV74)</f>
        <v>262.5</v>
      </c>
      <c r="AW75" s="185">
        <f t="shared" si="112"/>
        <v>262.5</v>
      </c>
      <c r="AX75" s="185">
        <f t="shared" si="112"/>
        <v>262.5</v>
      </c>
      <c r="AY75" s="185">
        <f t="shared" si="112"/>
        <v>262.5</v>
      </c>
      <c r="AZ75" s="185">
        <f t="shared" si="112"/>
        <v>262.5</v>
      </c>
      <c r="BA75" s="185">
        <f t="shared" si="112"/>
        <v>262.5</v>
      </c>
      <c r="BB75" s="185">
        <f t="shared" si="112"/>
        <v>262.5</v>
      </c>
      <c r="BC75" s="185">
        <f t="shared" si="112"/>
        <v>262.5</v>
      </c>
      <c r="BD75" s="185">
        <f t="shared" si="112"/>
        <v>262.5</v>
      </c>
      <c r="BE75" s="185">
        <f t="shared" si="112"/>
        <v>262.5</v>
      </c>
      <c r="BF75" s="185">
        <f t="shared" si="112"/>
        <v>262.5</v>
      </c>
      <c r="BG75" s="182">
        <f>SUBTOTAL(9,AU75:BF75)</f>
        <v>3150</v>
      </c>
    </row>
    <row r="76" spans="1:59" ht="13.5" thickTop="1"/>
    <row r="77" spans="1:59" s="150" customFormat="1" ht="13.5" customHeight="1">
      <c r="A77" s="162"/>
      <c r="B77" s="162" t="s">
        <v>2598</v>
      </c>
      <c r="C77" s="162" t="s">
        <v>2704</v>
      </c>
      <c r="D77" s="162" t="s">
        <v>2602</v>
      </c>
      <c r="E77" s="162" t="s">
        <v>2401</v>
      </c>
      <c r="F77" s="163" t="s">
        <v>2930</v>
      </c>
      <c r="G77" s="163" t="s">
        <v>2603</v>
      </c>
      <c r="H77" s="164" t="s">
        <v>2604</v>
      </c>
      <c r="I77" s="164" t="s">
        <v>2605</v>
      </c>
      <c r="J77" s="165" t="s">
        <v>2606</v>
      </c>
      <c r="K77" s="166" t="s">
        <v>2607</v>
      </c>
      <c r="L77" s="167" t="s">
        <v>2608</v>
      </c>
      <c r="M77" s="167" t="s">
        <v>2609</v>
      </c>
      <c r="N77" s="166" t="s">
        <v>2610</v>
      </c>
      <c r="O77" s="69">
        <v>45658</v>
      </c>
      <c r="P77" s="69">
        <v>45689</v>
      </c>
      <c r="Q77" s="69">
        <v>45717</v>
      </c>
      <c r="R77" s="69">
        <v>45748</v>
      </c>
      <c r="S77" s="69">
        <v>45778</v>
      </c>
      <c r="T77" s="69">
        <v>45809</v>
      </c>
      <c r="U77" s="69">
        <v>45839</v>
      </c>
      <c r="V77" s="69">
        <v>45870</v>
      </c>
      <c r="W77" s="69">
        <v>45901</v>
      </c>
      <c r="X77" s="69">
        <v>45931</v>
      </c>
      <c r="Y77" s="69">
        <v>45962</v>
      </c>
      <c r="Z77" s="69">
        <v>45992</v>
      </c>
      <c r="AA77" s="168" t="s">
        <v>2115</v>
      </c>
      <c r="AB77" s="165" t="s">
        <v>2606</v>
      </c>
      <c r="AC77" s="166" t="s">
        <v>2607</v>
      </c>
      <c r="AD77" s="167" t="s">
        <v>2608</v>
      </c>
      <c r="AE77" s="167" t="s">
        <v>2609</v>
      </c>
      <c r="AF77" s="166" t="s">
        <v>2610</v>
      </c>
      <c r="AG77" s="69">
        <v>46023</v>
      </c>
      <c r="AH77" s="69">
        <v>46054</v>
      </c>
      <c r="AI77" s="69">
        <v>46082</v>
      </c>
      <c r="AJ77" s="69">
        <v>46113</v>
      </c>
      <c r="AK77" s="69">
        <v>46143</v>
      </c>
      <c r="AL77" s="69">
        <v>46174</v>
      </c>
      <c r="AM77" s="69">
        <v>46204</v>
      </c>
      <c r="AN77" s="69">
        <v>46235</v>
      </c>
      <c r="AO77" s="69">
        <v>46266</v>
      </c>
      <c r="AP77" s="69">
        <v>46296</v>
      </c>
      <c r="AQ77" s="69">
        <v>46327</v>
      </c>
      <c r="AR77" s="69">
        <v>46357</v>
      </c>
      <c r="AS77" s="168" t="s">
        <v>2706</v>
      </c>
      <c r="AU77" s="69">
        <f t="shared" ref="AU77:BG77" si="113">AU3</f>
        <v>46388</v>
      </c>
      <c r="AV77" s="69">
        <f t="shared" si="113"/>
        <v>46419</v>
      </c>
      <c r="AW77" s="69">
        <f t="shared" si="113"/>
        <v>46447</v>
      </c>
      <c r="AX77" s="69">
        <f t="shared" si="113"/>
        <v>46478</v>
      </c>
      <c r="AY77" s="69">
        <f t="shared" si="113"/>
        <v>46508</v>
      </c>
      <c r="AZ77" s="69">
        <f t="shared" si="113"/>
        <v>46539</v>
      </c>
      <c r="BA77" s="69">
        <f t="shared" si="113"/>
        <v>46569</v>
      </c>
      <c r="BB77" s="69">
        <f t="shared" si="113"/>
        <v>46600</v>
      </c>
      <c r="BC77" s="69">
        <f t="shared" si="113"/>
        <v>46631</v>
      </c>
      <c r="BD77" s="69">
        <f t="shared" si="113"/>
        <v>46661</v>
      </c>
      <c r="BE77" s="69">
        <f t="shared" si="113"/>
        <v>46692</v>
      </c>
      <c r="BF77" s="69">
        <f t="shared" si="113"/>
        <v>46722</v>
      </c>
      <c r="BG77" s="168" t="str">
        <f t="shared" si="113"/>
        <v>2027Total</v>
      </c>
    </row>
    <row r="78" spans="1:59" ht="13.5" customHeight="1">
      <c r="A78" s="171">
        <v>1</v>
      </c>
      <c r="B78" s="171" t="s">
        <v>2111</v>
      </c>
      <c r="C78" s="171" t="s">
        <v>1646</v>
      </c>
      <c r="D78" s="171" t="str">
        <f>$D6</f>
        <v>支付的其他与经营活动有关的现金（其他）</v>
      </c>
      <c r="E78" s="171"/>
      <c r="F78" s="172" t="str">
        <f>IF(F6="","",F6)</f>
        <v>Office Supplies</v>
      </c>
      <c r="G78" s="172"/>
      <c r="H78" s="77" t="s">
        <v>2613</v>
      </c>
      <c r="I78" s="173" t="s">
        <v>2614</v>
      </c>
      <c r="J78" s="173" t="s">
        <v>2046</v>
      </c>
      <c r="K78" s="186">
        <v>10000</v>
      </c>
      <c r="L78" s="175">
        <v>45658</v>
      </c>
      <c r="M78" s="175">
        <v>46022</v>
      </c>
      <c r="N78" s="176">
        <f>IF(AND(L78="",M78=""),"-",IF(M78="",12,DATEDIF(L78,M78,"M")+1))</f>
        <v>12</v>
      </c>
      <c r="O78" s="177">
        <f t="shared" ref="O78:Z94" si="114">IF(AND($L78&lt;=O$3,O$3&lt;=$M78),$K78/$N78,0)</f>
        <v>833.33333333333337</v>
      </c>
      <c r="P78" s="177">
        <f t="shared" si="114"/>
        <v>833.33333333333337</v>
      </c>
      <c r="Q78" s="177">
        <f t="shared" si="114"/>
        <v>833.33333333333337</v>
      </c>
      <c r="R78" s="177">
        <f t="shared" si="114"/>
        <v>833.33333333333337</v>
      </c>
      <c r="S78" s="177">
        <f t="shared" si="114"/>
        <v>833.33333333333337</v>
      </c>
      <c r="T78" s="177">
        <f t="shared" si="114"/>
        <v>833.33333333333337</v>
      </c>
      <c r="U78" s="177">
        <f t="shared" si="114"/>
        <v>833.33333333333337</v>
      </c>
      <c r="V78" s="177">
        <f t="shared" si="114"/>
        <v>833.33333333333337</v>
      </c>
      <c r="W78" s="177">
        <f t="shared" si="114"/>
        <v>833.33333333333337</v>
      </c>
      <c r="X78" s="177">
        <f t="shared" si="114"/>
        <v>833.33333333333337</v>
      </c>
      <c r="Y78" s="177">
        <f t="shared" si="114"/>
        <v>833.33333333333337</v>
      </c>
      <c r="Z78" s="177">
        <f t="shared" si="114"/>
        <v>833.33333333333337</v>
      </c>
      <c r="AA78" s="178">
        <f>SUM(O78:Z78)</f>
        <v>10000</v>
      </c>
      <c r="AB78" s="173" t="s">
        <v>2046</v>
      </c>
      <c r="AC78" s="184">
        <f>10000*(1+AC1)</f>
        <v>10500</v>
      </c>
      <c r="AD78" s="175">
        <v>46023</v>
      </c>
      <c r="AE78" s="175">
        <v>46387</v>
      </c>
      <c r="AF78" s="176">
        <f t="shared" ref="AF78:AF97" si="115">IF(AND(AD78="",AE78=""),"-",IF(AE78="",12,DATEDIF(AD78,AE78,"M")+1))</f>
        <v>12</v>
      </c>
      <c r="AG78" s="177">
        <f t="shared" ref="AG78:AR78" si="116">IF(AND($AD78&lt;=AG$3,AG$3&lt;=$AE78),$AC78/$AF78,0)</f>
        <v>875</v>
      </c>
      <c r="AH78" s="177">
        <f t="shared" si="116"/>
        <v>875</v>
      </c>
      <c r="AI78" s="177">
        <f t="shared" si="116"/>
        <v>875</v>
      </c>
      <c r="AJ78" s="177">
        <f t="shared" si="116"/>
        <v>875</v>
      </c>
      <c r="AK78" s="177">
        <f t="shared" si="116"/>
        <v>875</v>
      </c>
      <c r="AL78" s="177">
        <f t="shared" si="116"/>
        <v>875</v>
      </c>
      <c r="AM78" s="177">
        <f t="shared" si="116"/>
        <v>875</v>
      </c>
      <c r="AN78" s="177">
        <f t="shared" si="116"/>
        <v>875</v>
      </c>
      <c r="AO78" s="177">
        <f t="shared" si="116"/>
        <v>875</v>
      </c>
      <c r="AP78" s="177">
        <f t="shared" si="116"/>
        <v>875</v>
      </c>
      <c r="AQ78" s="177">
        <f t="shared" si="116"/>
        <v>875</v>
      </c>
      <c r="AR78" s="177">
        <f t="shared" si="116"/>
        <v>875</v>
      </c>
      <c r="AS78" s="178">
        <f t="shared" ref="AS78:AS97" si="117">SUM(AG78:AR78)</f>
        <v>10500</v>
      </c>
      <c r="AU78" s="177">
        <f t="shared" ref="AU78:AU97" si="118">AG78*(1+$AU$1)</f>
        <v>918.75</v>
      </c>
      <c r="AV78" s="177">
        <f t="shared" ref="AV78:AV97" si="119">AH78*(1+$AU$1)</f>
        <v>918.75</v>
      </c>
      <c r="AW78" s="177">
        <f t="shared" ref="AW78:AW97" si="120">AI78*(1+$AU$1)</f>
        <v>918.75</v>
      </c>
      <c r="AX78" s="177">
        <f t="shared" ref="AX78:AX97" si="121">AJ78*(1+$AU$1)</f>
        <v>918.75</v>
      </c>
      <c r="AY78" s="177">
        <f t="shared" ref="AY78:AY97" si="122">AK78*(1+$AU$1)</f>
        <v>918.75</v>
      </c>
      <c r="AZ78" s="177">
        <f t="shared" ref="AZ78:AZ97" si="123">AL78*(1+$AU$1)</f>
        <v>918.75</v>
      </c>
      <c r="BA78" s="177">
        <f t="shared" ref="BA78:BA97" si="124">AM78*(1+$AU$1)</f>
        <v>918.75</v>
      </c>
      <c r="BB78" s="177">
        <f t="shared" ref="BB78:BB97" si="125">AN78*(1+$AU$1)</f>
        <v>918.75</v>
      </c>
      <c r="BC78" s="177">
        <f t="shared" ref="BC78:BC97" si="126">AO78*(1+$AU$1)</f>
        <v>918.75</v>
      </c>
      <c r="BD78" s="177">
        <f t="shared" ref="BD78:BD97" si="127">AP78*(1+$AU$1)</f>
        <v>918.75</v>
      </c>
      <c r="BE78" s="177">
        <f t="shared" ref="BE78:BE97" si="128">AQ78*(1+$AU$1)</f>
        <v>918.75</v>
      </c>
      <c r="BF78" s="177">
        <f t="shared" ref="BF78:BF97" si="129">AR78*(1+$AU$1)</f>
        <v>918.75</v>
      </c>
      <c r="BG78" s="178">
        <f t="shared" ref="BG78:BG97" si="130">SUM(AU78:BF78)</f>
        <v>11025</v>
      </c>
    </row>
    <row r="79" spans="1:59" ht="13.5" customHeight="1">
      <c r="A79" s="171">
        <f t="shared" ref="A79:A97" si="131">IF(A78&lt;=0,FALSE,A78+1)</f>
        <v>2</v>
      </c>
      <c r="B79" s="171" t="str">
        <f t="shared" ref="B79:B84" si="132">+B78</f>
        <v>ACPLSZ</v>
      </c>
      <c r="C79" s="171" t="s">
        <v>1844</v>
      </c>
      <c r="D79" s="171" t="str">
        <f t="shared" ref="D79:D97" si="133">$D7</f>
        <v>支付的其他与经营活动有关的现金（其他）</v>
      </c>
      <c r="E79" s="171"/>
      <c r="F79" s="172" t="str">
        <f>IF(F7="","",F7)</f>
        <v>Business registration fees</v>
      </c>
      <c r="G79" s="172"/>
      <c r="H79" s="77" t="s">
        <v>2613</v>
      </c>
      <c r="I79" s="173" t="s">
        <v>2614</v>
      </c>
      <c r="J79" s="173" t="s">
        <v>2046</v>
      </c>
      <c r="K79" s="77"/>
      <c r="L79" s="175">
        <v>45901</v>
      </c>
      <c r="M79" s="175">
        <v>45930</v>
      </c>
      <c r="N79" s="176">
        <f t="shared" ref="N79:N93" si="134">IF(AND(L79="",M79=""),"-",IF(M79="",12,DATEDIF(L79,M79,"M")+1))</f>
        <v>1</v>
      </c>
      <c r="O79" s="177">
        <f t="shared" si="114"/>
        <v>0</v>
      </c>
      <c r="P79" s="177">
        <f t="shared" si="114"/>
        <v>0</v>
      </c>
      <c r="Q79" s="177">
        <f t="shared" si="114"/>
        <v>0</v>
      </c>
      <c r="R79" s="177">
        <f t="shared" si="114"/>
        <v>0</v>
      </c>
      <c r="S79" s="177">
        <f t="shared" si="114"/>
        <v>0</v>
      </c>
      <c r="T79" s="177">
        <f t="shared" si="114"/>
        <v>0</v>
      </c>
      <c r="U79" s="177">
        <f t="shared" si="114"/>
        <v>0</v>
      </c>
      <c r="V79" s="177">
        <f t="shared" si="114"/>
        <v>0</v>
      </c>
      <c r="W79" s="177">
        <f t="shared" si="114"/>
        <v>0</v>
      </c>
      <c r="X79" s="177">
        <f t="shared" si="114"/>
        <v>0</v>
      </c>
      <c r="Y79" s="177">
        <f t="shared" si="114"/>
        <v>0</v>
      </c>
      <c r="Z79" s="177">
        <f t="shared" si="114"/>
        <v>0</v>
      </c>
      <c r="AA79" s="178">
        <f t="shared" ref="AA79:AA93" si="135">SUM(O79:Z79)</f>
        <v>0</v>
      </c>
      <c r="AB79" s="173" t="s">
        <v>2046</v>
      </c>
      <c r="AC79" s="184"/>
      <c r="AD79" s="175">
        <v>46266</v>
      </c>
      <c r="AE79" s="175">
        <v>46295</v>
      </c>
      <c r="AF79" s="176">
        <f t="shared" si="115"/>
        <v>1</v>
      </c>
      <c r="AG79" s="177">
        <f t="shared" ref="AG79:AR79" si="136">IF(AND($AD79&lt;=AG$3,AG$3&lt;=$AE79),$AC79/$AF79,0)</f>
        <v>0</v>
      </c>
      <c r="AH79" s="177">
        <f t="shared" si="136"/>
        <v>0</v>
      </c>
      <c r="AI79" s="177">
        <f t="shared" si="136"/>
        <v>0</v>
      </c>
      <c r="AJ79" s="177">
        <f t="shared" si="136"/>
        <v>0</v>
      </c>
      <c r="AK79" s="177">
        <f t="shared" si="136"/>
        <v>0</v>
      </c>
      <c r="AL79" s="177">
        <f t="shared" si="136"/>
        <v>0</v>
      </c>
      <c r="AM79" s="177">
        <f t="shared" si="136"/>
        <v>0</v>
      </c>
      <c r="AN79" s="177">
        <f t="shared" si="136"/>
        <v>0</v>
      </c>
      <c r="AO79" s="177">
        <f t="shared" si="136"/>
        <v>0</v>
      </c>
      <c r="AP79" s="177">
        <f t="shared" si="136"/>
        <v>0</v>
      </c>
      <c r="AQ79" s="177">
        <f t="shared" si="136"/>
        <v>0</v>
      </c>
      <c r="AR79" s="177">
        <f t="shared" si="136"/>
        <v>0</v>
      </c>
      <c r="AS79" s="178">
        <f t="shared" si="117"/>
        <v>0</v>
      </c>
      <c r="AU79" s="177">
        <f t="shared" si="118"/>
        <v>0</v>
      </c>
      <c r="AV79" s="177">
        <f t="shared" si="119"/>
        <v>0</v>
      </c>
      <c r="AW79" s="177">
        <f t="shared" si="120"/>
        <v>0</v>
      </c>
      <c r="AX79" s="177">
        <f t="shared" si="121"/>
        <v>0</v>
      </c>
      <c r="AY79" s="177">
        <f t="shared" si="122"/>
        <v>0</v>
      </c>
      <c r="AZ79" s="177">
        <f t="shared" si="123"/>
        <v>0</v>
      </c>
      <c r="BA79" s="177">
        <f t="shared" si="124"/>
        <v>0</v>
      </c>
      <c r="BB79" s="177">
        <f t="shared" si="125"/>
        <v>0</v>
      </c>
      <c r="BC79" s="177">
        <f t="shared" si="126"/>
        <v>0</v>
      </c>
      <c r="BD79" s="177">
        <f t="shared" si="127"/>
        <v>0</v>
      </c>
      <c r="BE79" s="177">
        <f t="shared" si="128"/>
        <v>0</v>
      </c>
      <c r="BF79" s="177">
        <f t="shared" si="129"/>
        <v>0</v>
      </c>
      <c r="BG79" s="178">
        <f t="shared" si="130"/>
        <v>0</v>
      </c>
    </row>
    <row r="80" spans="1:59" ht="13.5" customHeight="1">
      <c r="A80" s="171">
        <f t="shared" si="131"/>
        <v>3</v>
      </c>
      <c r="B80" s="171" t="str">
        <f t="shared" si="132"/>
        <v>ACPLSZ</v>
      </c>
      <c r="C80" s="171" t="s">
        <v>1918</v>
      </c>
      <c r="D80" s="171" t="str">
        <f t="shared" si="133"/>
        <v>支付的其他与经营活动有关的现金（其他）</v>
      </c>
      <c r="E80" s="171"/>
      <c r="F80" s="172" t="str">
        <f>IF(F8="","",F8)</f>
        <v>Bank Handling Charges</v>
      </c>
      <c r="G80" s="172"/>
      <c r="H80" s="77" t="s">
        <v>2613</v>
      </c>
      <c r="I80" s="173" t="s">
        <v>2614</v>
      </c>
      <c r="J80" s="173" t="s">
        <v>2046</v>
      </c>
      <c r="K80" s="186">
        <v>1000</v>
      </c>
      <c r="L80" s="175">
        <v>45658</v>
      </c>
      <c r="M80" s="175">
        <v>46022</v>
      </c>
      <c r="N80" s="176">
        <f t="shared" si="134"/>
        <v>12</v>
      </c>
      <c r="O80" s="177">
        <f t="shared" si="114"/>
        <v>83.333333333333329</v>
      </c>
      <c r="P80" s="177">
        <f t="shared" si="114"/>
        <v>83.333333333333329</v>
      </c>
      <c r="Q80" s="177">
        <f t="shared" si="114"/>
        <v>83.333333333333329</v>
      </c>
      <c r="R80" s="177">
        <f t="shared" si="114"/>
        <v>83.333333333333329</v>
      </c>
      <c r="S80" s="177">
        <f t="shared" si="114"/>
        <v>83.333333333333329</v>
      </c>
      <c r="T80" s="177">
        <f t="shared" si="114"/>
        <v>83.333333333333329</v>
      </c>
      <c r="U80" s="177">
        <f t="shared" si="114"/>
        <v>83.333333333333329</v>
      </c>
      <c r="V80" s="177">
        <f t="shared" si="114"/>
        <v>83.333333333333329</v>
      </c>
      <c r="W80" s="177">
        <f t="shared" si="114"/>
        <v>83.333333333333329</v>
      </c>
      <c r="X80" s="177">
        <f t="shared" si="114"/>
        <v>83.333333333333329</v>
      </c>
      <c r="Y80" s="177">
        <f t="shared" si="114"/>
        <v>83.333333333333329</v>
      </c>
      <c r="Z80" s="177">
        <f t="shared" si="114"/>
        <v>83.333333333333329</v>
      </c>
      <c r="AA80" s="178">
        <f t="shared" si="135"/>
        <v>1000.0000000000001</v>
      </c>
      <c r="AB80" s="173" t="s">
        <v>2046</v>
      </c>
      <c r="AC80" s="184">
        <v>1000</v>
      </c>
      <c r="AD80" s="175">
        <v>46023</v>
      </c>
      <c r="AE80" s="175">
        <v>46387</v>
      </c>
      <c r="AF80" s="176">
        <f t="shared" si="115"/>
        <v>12</v>
      </c>
      <c r="AG80" s="177">
        <f t="shared" ref="AG80:AR80" si="137">IF(AND($AD80&lt;=AG$3,AG$3&lt;=$AE80),$AC80/$AF80,0)</f>
        <v>83.333333333333329</v>
      </c>
      <c r="AH80" s="177">
        <f t="shared" si="137"/>
        <v>83.333333333333329</v>
      </c>
      <c r="AI80" s="177">
        <f t="shared" si="137"/>
        <v>83.333333333333329</v>
      </c>
      <c r="AJ80" s="177">
        <f t="shared" si="137"/>
        <v>83.333333333333329</v>
      </c>
      <c r="AK80" s="177">
        <f t="shared" si="137"/>
        <v>83.333333333333329</v>
      </c>
      <c r="AL80" s="177">
        <f t="shared" si="137"/>
        <v>83.333333333333329</v>
      </c>
      <c r="AM80" s="177">
        <f t="shared" si="137"/>
        <v>83.333333333333329</v>
      </c>
      <c r="AN80" s="177">
        <f t="shared" si="137"/>
        <v>83.333333333333329</v>
      </c>
      <c r="AO80" s="177">
        <f t="shared" si="137"/>
        <v>83.333333333333329</v>
      </c>
      <c r="AP80" s="177">
        <f t="shared" si="137"/>
        <v>83.333333333333329</v>
      </c>
      <c r="AQ80" s="177">
        <f t="shared" si="137"/>
        <v>83.333333333333329</v>
      </c>
      <c r="AR80" s="177">
        <f t="shared" si="137"/>
        <v>83.333333333333329</v>
      </c>
      <c r="AS80" s="178">
        <f t="shared" si="117"/>
        <v>1000.0000000000001</v>
      </c>
      <c r="AU80" s="177">
        <f t="shared" si="118"/>
        <v>87.5</v>
      </c>
      <c r="AV80" s="177">
        <f t="shared" si="119"/>
        <v>87.5</v>
      </c>
      <c r="AW80" s="177">
        <f t="shared" si="120"/>
        <v>87.5</v>
      </c>
      <c r="AX80" s="177">
        <f t="shared" si="121"/>
        <v>87.5</v>
      </c>
      <c r="AY80" s="177">
        <f t="shared" si="122"/>
        <v>87.5</v>
      </c>
      <c r="AZ80" s="177">
        <f t="shared" si="123"/>
        <v>87.5</v>
      </c>
      <c r="BA80" s="177">
        <f t="shared" si="124"/>
        <v>87.5</v>
      </c>
      <c r="BB80" s="177">
        <f t="shared" si="125"/>
        <v>87.5</v>
      </c>
      <c r="BC80" s="177">
        <f t="shared" si="126"/>
        <v>87.5</v>
      </c>
      <c r="BD80" s="177">
        <f t="shared" si="127"/>
        <v>87.5</v>
      </c>
      <c r="BE80" s="177">
        <f t="shared" si="128"/>
        <v>87.5</v>
      </c>
      <c r="BF80" s="177">
        <f t="shared" si="129"/>
        <v>87.5</v>
      </c>
      <c r="BG80" s="178">
        <f t="shared" si="130"/>
        <v>1050</v>
      </c>
    </row>
    <row r="81" spans="1:59" ht="13.5" customHeight="1">
      <c r="A81" s="171">
        <f t="shared" si="131"/>
        <v>4</v>
      </c>
      <c r="B81" s="171" t="str">
        <f t="shared" si="132"/>
        <v>ACPLSZ</v>
      </c>
      <c r="C81" s="171" t="s">
        <v>1657</v>
      </c>
      <c r="D81" s="171" t="str">
        <f t="shared" si="133"/>
        <v>支付的其他与经营活动有关的现金（其他）</v>
      </c>
      <c r="E81" s="171" t="s">
        <v>2932</v>
      </c>
      <c r="F81" s="172" t="str">
        <f>IF(F9="","",F9)</f>
        <v>Postage / Freight / Delivery</v>
      </c>
      <c r="G81" s="172"/>
      <c r="H81" s="77" t="s">
        <v>2613</v>
      </c>
      <c r="I81" s="173" t="s">
        <v>2614</v>
      </c>
      <c r="J81" s="173" t="s">
        <v>2046</v>
      </c>
      <c r="K81" s="77">
        <f>500*(1+$K$1)*12</f>
        <v>6300</v>
      </c>
      <c r="L81" s="175">
        <v>45658</v>
      </c>
      <c r="M81" s="175">
        <v>46022</v>
      </c>
      <c r="N81" s="176">
        <f t="shared" si="134"/>
        <v>12</v>
      </c>
      <c r="O81" s="177">
        <f t="shared" si="114"/>
        <v>525</v>
      </c>
      <c r="P81" s="177">
        <f t="shared" si="114"/>
        <v>525</v>
      </c>
      <c r="Q81" s="177">
        <f t="shared" si="114"/>
        <v>525</v>
      </c>
      <c r="R81" s="177">
        <f t="shared" si="114"/>
        <v>525</v>
      </c>
      <c r="S81" s="177">
        <f t="shared" si="114"/>
        <v>525</v>
      </c>
      <c r="T81" s="177">
        <f t="shared" si="114"/>
        <v>525</v>
      </c>
      <c r="U81" s="177">
        <f t="shared" si="114"/>
        <v>525</v>
      </c>
      <c r="V81" s="177">
        <f t="shared" si="114"/>
        <v>525</v>
      </c>
      <c r="W81" s="177">
        <f t="shared" si="114"/>
        <v>525</v>
      </c>
      <c r="X81" s="177">
        <f t="shared" si="114"/>
        <v>525</v>
      </c>
      <c r="Y81" s="177">
        <f t="shared" si="114"/>
        <v>525</v>
      </c>
      <c r="Z81" s="177">
        <f t="shared" si="114"/>
        <v>525</v>
      </c>
      <c r="AA81" s="178">
        <f t="shared" si="135"/>
        <v>6300</v>
      </c>
      <c r="AB81" s="173" t="s">
        <v>2046</v>
      </c>
      <c r="AC81" s="184">
        <f>600*(1+$AC$1)*12</f>
        <v>7560</v>
      </c>
      <c r="AD81" s="175">
        <v>46023</v>
      </c>
      <c r="AE81" s="175">
        <v>46387</v>
      </c>
      <c r="AF81" s="176">
        <f t="shared" si="115"/>
        <v>12</v>
      </c>
      <c r="AG81" s="177">
        <f t="shared" ref="AG81:AR81" si="138">IF(AND($AD81&lt;=AG$3,AG$3&lt;=$AE81),$AC81/$AF81,0)</f>
        <v>630</v>
      </c>
      <c r="AH81" s="177">
        <f t="shared" si="138"/>
        <v>630</v>
      </c>
      <c r="AI81" s="177">
        <f t="shared" si="138"/>
        <v>630</v>
      </c>
      <c r="AJ81" s="177">
        <f t="shared" si="138"/>
        <v>630</v>
      </c>
      <c r="AK81" s="177">
        <f t="shared" si="138"/>
        <v>630</v>
      </c>
      <c r="AL81" s="177">
        <f t="shared" si="138"/>
        <v>630</v>
      </c>
      <c r="AM81" s="177">
        <f t="shared" si="138"/>
        <v>630</v>
      </c>
      <c r="AN81" s="177">
        <f t="shared" si="138"/>
        <v>630</v>
      </c>
      <c r="AO81" s="177">
        <f t="shared" si="138"/>
        <v>630</v>
      </c>
      <c r="AP81" s="177">
        <f t="shared" si="138"/>
        <v>630</v>
      </c>
      <c r="AQ81" s="177">
        <f t="shared" si="138"/>
        <v>630</v>
      </c>
      <c r="AR81" s="177">
        <f t="shared" si="138"/>
        <v>630</v>
      </c>
      <c r="AS81" s="178">
        <f t="shared" si="117"/>
        <v>7560</v>
      </c>
      <c r="AU81" s="177">
        <f t="shared" si="118"/>
        <v>661.5</v>
      </c>
      <c r="AV81" s="177">
        <f t="shared" si="119"/>
        <v>661.5</v>
      </c>
      <c r="AW81" s="177">
        <f t="shared" si="120"/>
        <v>661.5</v>
      </c>
      <c r="AX81" s="177">
        <f t="shared" si="121"/>
        <v>661.5</v>
      </c>
      <c r="AY81" s="177">
        <f t="shared" si="122"/>
        <v>661.5</v>
      </c>
      <c r="AZ81" s="177">
        <f t="shared" si="123"/>
        <v>661.5</v>
      </c>
      <c r="BA81" s="177">
        <f t="shared" si="124"/>
        <v>661.5</v>
      </c>
      <c r="BB81" s="177">
        <f t="shared" si="125"/>
        <v>661.5</v>
      </c>
      <c r="BC81" s="177">
        <f t="shared" si="126"/>
        <v>661.5</v>
      </c>
      <c r="BD81" s="177">
        <f t="shared" si="127"/>
        <v>661.5</v>
      </c>
      <c r="BE81" s="177">
        <f t="shared" si="128"/>
        <v>661.5</v>
      </c>
      <c r="BF81" s="177">
        <f t="shared" si="129"/>
        <v>661.5</v>
      </c>
      <c r="BG81" s="178">
        <f t="shared" si="130"/>
        <v>7938</v>
      </c>
    </row>
    <row r="82" spans="1:59" ht="13.5" customHeight="1">
      <c r="A82" s="171">
        <f t="shared" si="131"/>
        <v>5</v>
      </c>
      <c r="B82" s="171" t="str">
        <f t="shared" si="132"/>
        <v>ACPLSZ</v>
      </c>
      <c r="C82" s="171" t="s">
        <v>1862</v>
      </c>
      <c r="D82" s="171" t="str">
        <f t="shared" si="133"/>
        <v>支付的其他与经营活动有关的现金（其他）</v>
      </c>
      <c r="E82" s="171"/>
      <c r="F82" s="172" t="str">
        <f>IF(F10="","",F10)</f>
        <v>Corp. Membership Fee</v>
      </c>
      <c r="G82" s="172"/>
      <c r="H82" s="77" t="s">
        <v>2613</v>
      </c>
      <c r="I82" s="173" t="s">
        <v>2614</v>
      </c>
      <c r="J82" s="173" t="s">
        <v>2046</v>
      </c>
      <c r="K82" s="77"/>
      <c r="L82" s="175">
        <v>45658</v>
      </c>
      <c r="M82" s="175">
        <v>46022</v>
      </c>
      <c r="N82" s="176">
        <f t="shared" si="134"/>
        <v>12</v>
      </c>
      <c r="O82" s="177">
        <f t="shared" si="114"/>
        <v>0</v>
      </c>
      <c r="P82" s="177">
        <f t="shared" si="114"/>
        <v>0</v>
      </c>
      <c r="Q82" s="177">
        <f t="shared" si="114"/>
        <v>0</v>
      </c>
      <c r="R82" s="177">
        <f t="shared" si="114"/>
        <v>0</v>
      </c>
      <c r="S82" s="177">
        <f t="shared" si="114"/>
        <v>0</v>
      </c>
      <c r="T82" s="177">
        <f t="shared" si="114"/>
        <v>0</v>
      </c>
      <c r="U82" s="177">
        <f t="shared" si="114"/>
        <v>0</v>
      </c>
      <c r="V82" s="177">
        <f t="shared" si="114"/>
        <v>0</v>
      </c>
      <c r="W82" s="177">
        <f t="shared" si="114"/>
        <v>0</v>
      </c>
      <c r="X82" s="177">
        <f t="shared" si="114"/>
        <v>0</v>
      </c>
      <c r="Y82" s="177">
        <f t="shared" si="114"/>
        <v>0</v>
      </c>
      <c r="Z82" s="177">
        <f t="shared" si="114"/>
        <v>0</v>
      </c>
      <c r="AA82" s="178">
        <f t="shared" si="135"/>
        <v>0</v>
      </c>
      <c r="AB82" s="173" t="s">
        <v>2046</v>
      </c>
      <c r="AC82" s="184"/>
      <c r="AD82" s="175">
        <v>46023</v>
      </c>
      <c r="AE82" s="175">
        <v>46387</v>
      </c>
      <c r="AF82" s="176">
        <f t="shared" si="115"/>
        <v>12</v>
      </c>
      <c r="AG82" s="177">
        <f t="shared" ref="AG82:AR82" si="139">IF(AND($AD82&lt;=AG$3,AG$3&lt;=$AE82),$AC82/$AF82,0)</f>
        <v>0</v>
      </c>
      <c r="AH82" s="177">
        <f t="shared" si="139"/>
        <v>0</v>
      </c>
      <c r="AI82" s="177">
        <f t="shared" si="139"/>
        <v>0</v>
      </c>
      <c r="AJ82" s="177">
        <f t="shared" si="139"/>
        <v>0</v>
      </c>
      <c r="AK82" s="177">
        <f t="shared" si="139"/>
        <v>0</v>
      </c>
      <c r="AL82" s="177">
        <f t="shared" si="139"/>
        <v>0</v>
      </c>
      <c r="AM82" s="177">
        <f t="shared" si="139"/>
        <v>0</v>
      </c>
      <c r="AN82" s="177">
        <f t="shared" si="139"/>
        <v>0</v>
      </c>
      <c r="AO82" s="177">
        <f t="shared" si="139"/>
        <v>0</v>
      </c>
      <c r="AP82" s="177">
        <f t="shared" si="139"/>
        <v>0</v>
      </c>
      <c r="AQ82" s="177">
        <f t="shared" si="139"/>
        <v>0</v>
      </c>
      <c r="AR82" s="177">
        <f t="shared" si="139"/>
        <v>0</v>
      </c>
      <c r="AS82" s="178">
        <f t="shared" si="117"/>
        <v>0</v>
      </c>
      <c r="AU82" s="177">
        <f t="shared" si="118"/>
        <v>0</v>
      </c>
      <c r="AV82" s="177">
        <f t="shared" si="119"/>
        <v>0</v>
      </c>
      <c r="AW82" s="177">
        <f t="shared" si="120"/>
        <v>0</v>
      </c>
      <c r="AX82" s="177">
        <f t="shared" si="121"/>
        <v>0</v>
      </c>
      <c r="AY82" s="177">
        <f t="shared" si="122"/>
        <v>0</v>
      </c>
      <c r="AZ82" s="177">
        <f t="shared" si="123"/>
        <v>0</v>
      </c>
      <c r="BA82" s="177">
        <f t="shared" si="124"/>
        <v>0</v>
      </c>
      <c r="BB82" s="177">
        <f t="shared" si="125"/>
        <v>0</v>
      </c>
      <c r="BC82" s="177">
        <f t="shared" si="126"/>
        <v>0</v>
      </c>
      <c r="BD82" s="177">
        <f t="shared" si="127"/>
        <v>0</v>
      </c>
      <c r="BE82" s="177">
        <f t="shared" si="128"/>
        <v>0</v>
      </c>
      <c r="BF82" s="177">
        <f t="shared" si="129"/>
        <v>0</v>
      </c>
      <c r="BG82" s="178">
        <f t="shared" si="130"/>
        <v>0</v>
      </c>
    </row>
    <row r="83" spans="1:59" ht="13.5" customHeight="1">
      <c r="A83" s="171">
        <f t="shared" si="131"/>
        <v>6</v>
      </c>
      <c r="B83" s="171" t="str">
        <f t="shared" si="132"/>
        <v>ACPLSZ</v>
      </c>
      <c r="C83" s="171" t="s">
        <v>1676</v>
      </c>
      <c r="D83" s="171" t="str">
        <f t="shared" si="133"/>
        <v>支付的其他与经营活动有关的现金（其他）</v>
      </c>
      <c r="E83" s="171"/>
      <c r="F83" s="172" t="s">
        <v>1679</v>
      </c>
      <c r="G83" s="172"/>
      <c r="H83" s="77" t="s">
        <v>2613</v>
      </c>
      <c r="I83" s="173" t="s">
        <v>2614</v>
      </c>
      <c r="J83" s="173" t="s">
        <v>2046</v>
      </c>
      <c r="K83" s="77"/>
      <c r="L83" s="175">
        <v>45658</v>
      </c>
      <c r="M83" s="175">
        <v>46022</v>
      </c>
      <c r="N83" s="176">
        <f t="shared" si="134"/>
        <v>12</v>
      </c>
      <c r="O83" s="177">
        <f t="shared" si="114"/>
        <v>0</v>
      </c>
      <c r="P83" s="177">
        <f t="shared" si="114"/>
        <v>0</v>
      </c>
      <c r="Q83" s="177">
        <f t="shared" si="114"/>
        <v>0</v>
      </c>
      <c r="R83" s="177">
        <f t="shared" si="114"/>
        <v>0</v>
      </c>
      <c r="S83" s="177">
        <f t="shared" si="114"/>
        <v>0</v>
      </c>
      <c r="T83" s="177">
        <f t="shared" si="114"/>
        <v>0</v>
      </c>
      <c r="U83" s="177">
        <f t="shared" si="114"/>
        <v>0</v>
      </c>
      <c r="V83" s="177">
        <f t="shared" si="114"/>
        <v>0</v>
      </c>
      <c r="W83" s="177">
        <f t="shared" si="114"/>
        <v>0</v>
      </c>
      <c r="X83" s="177">
        <f t="shared" si="114"/>
        <v>0</v>
      </c>
      <c r="Y83" s="177">
        <f t="shared" si="114"/>
        <v>0</v>
      </c>
      <c r="Z83" s="177">
        <f t="shared" si="114"/>
        <v>0</v>
      </c>
      <c r="AA83" s="178">
        <f t="shared" si="135"/>
        <v>0</v>
      </c>
      <c r="AB83" s="173" t="s">
        <v>2046</v>
      </c>
      <c r="AC83" s="184"/>
      <c r="AD83" s="175">
        <v>46023</v>
      </c>
      <c r="AE83" s="175">
        <v>46387</v>
      </c>
      <c r="AF83" s="176">
        <f t="shared" si="115"/>
        <v>12</v>
      </c>
      <c r="AG83" s="177">
        <f t="shared" ref="AG83:AR83" si="140">IF(AND($AD83&lt;=AG$3,AG$3&lt;=$AE83),$AC83/$AF83,0)</f>
        <v>0</v>
      </c>
      <c r="AH83" s="177">
        <f t="shared" si="140"/>
        <v>0</v>
      </c>
      <c r="AI83" s="177">
        <f t="shared" si="140"/>
        <v>0</v>
      </c>
      <c r="AJ83" s="177">
        <f t="shared" si="140"/>
        <v>0</v>
      </c>
      <c r="AK83" s="177">
        <f t="shared" si="140"/>
        <v>0</v>
      </c>
      <c r="AL83" s="177">
        <f t="shared" si="140"/>
        <v>0</v>
      </c>
      <c r="AM83" s="177">
        <f t="shared" si="140"/>
        <v>0</v>
      </c>
      <c r="AN83" s="177">
        <f t="shared" si="140"/>
        <v>0</v>
      </c>
      <c r="AO83" s="177">
        <f t="shared" si="140"/>
        <v>0</v>
      </c>
      <c r="AP83" s="177">
        <f t="shared" si="140"/>
        <v>0</v>
      </c>
      <c r="AQ83" s="177">
        <f t="shared" si="140"/>
        <v>0</v>
      </c>
      <c r="AR83" s="177">
        <f t="shared" si="140"/>
        <v>0</v>
      </c>
      <c r="AS83" s="178">
        <f t="shared" si="117"/>
        <v>0</v>
      </c>
      <c r="AU83" s="177">
        <f t="shared" si="118"/>
        <v>0</v>
      </c>
      <c r="AV83" s="177">
        <f t="shared" si="119"/>
        <v>0</v>
      </c>
      <c r="AW83" s="177">
        <f t="shared" si="120"/>
        <v>0</v>
      </c>
      <c r="AX83" s="177">
        <f t="shared" si="121"/>
        <v>0</v>
      </c>
      <c r="AY83" s="177">
        <f t="shared" si="122"/>
        <v>0</v>
      </c>
      <c r="AZ83" s="177">
        <f t="shared" si="123"/>
        <v>0</v>
      </c>
      <c r="BA83" s="177">
        <f t="shared" si="124"/>
        <v>0</v>
      </c>
      <c r="BB83" s="177">
        <f t="shared" si="125"/>
        <v>0</v>
      </c>
      <c r="BC83" s="177">
        <f t="shared" si="126"/>
        <v>0</v>
      </c>
      <c r="BD83" s="177">
        <f t="shared" si="127"/>
        <v>0</v>
      </c>
      <c r="BE83" s="177">
        <f t="shared" si="128"/>
        <v>0</v>
      </c>
      <c r="BF83" s="177">
        <f t="shared" si="129"/>
        <v>0</v>
      </c>
      <c r="BG83" s="178">
        <f t="shared" si="130"/>
        <v>0</v>
      </c>
    </row>
    <row r="84" spans="1:59" ht="13.5" customHeight="1">
      <c r="A84" s="171">
        <f t="shared" si="131"/>
        <v>7</v>
      </c>
      <c r="B84" s="171" t="str">
        <f t="shared" si="132"/>
        <v>ACPLSZ</v>
      </c>
      <c r="C84" s="171" t="s">
        <v>1684</v>
      </c>
      <c r="D84" s="171" t="str">
        <f t="shared" si="133"/>
        <v>支付的其他与经营活动有关的现金（其他）</v>
      </c>
      <c r="E84" s="171"/>
      <c r="F84" s="172" t="str">
        <f t="shared" ref="F84:F93" si="141">IF(F12="","",F12)</f>
        <v>Water Dispenser Inspection Fee</v>
      </c>
      <c r="G84" s="172"/>
      <c r="H84" s="77" t="s">
        <v>2613</v>
      </c>
      <c r="I84" s="173" t="s">
        <v>2614</v>
      </c>
      <c r="J84" s="173" t="s">
        <v>2046</v>
      </c>
      <c r="K84" s="77"/>
      <c r="L84" s="175">
        <v>45962</v>
      </c>
      <c r="M84" s="175">
        <v>45991</v>
      </c>
      <c r="N84" s="176">
        <f t="shared" si="134"/>
        <v>1</v>
      </c>
      <c r="O84" s="177">
        <f t="shared" si="114"/>
        <v>0</v>
      </c>
      <c r="P84" s="177">
        <f t="shared" si="114"/>
        <v>0</v>
      </c>
      <c r="Q84" s="177">
        <f t="shared" si="114"/>
        <v>0</v>
      </c>
      <c r="R84" s="177">
        <f t="shared" si="114"/>
        <v>0</v>
      </c>
      <c r="S84" s="177">
        <f t="shared" si="114"/>
        <v>0</v>
      </c>
      <c r="T84" s="177">
        <f t="shared" si="114"/>
        <v>0</v>
      </c>
      <c r="U84" s="177">
        <f t="shared" si="114"/>
        <v>0</v>
      </c>
      <c r="V84" s="177">
        <f t="shared" si="114"/>
        <v>0</v>
      </c>
      <c r="W84" s="177">
        <f t="shared" si="114"/>
        <v>0</v>
      </c>
      <c r="X84" s="177">
        <f t="shared" si="114"/>
        <v>0</v>
      </c>
      <c r="Y84" s="177">
        <f t="shared" si="114"/>
        <v>0</v>
      </c>
      <c r="Z84" s="177">
        <f t="shared" si="114"/>
        <v>0</v>
      </c>
      <c r="AA84" s="178">
        <f t="shared" si="135"/>
        <v>0</v>
      </c>
      <c r="AB84" s="173" t="s">
        <v>2046</v>
      </c>
      <c r="AC84" s="184"/>
      <c r="AD84" s="175">
        <v>46327</v>
      </c>
      <c r="AE84" s="175">
        <v>46356</v>
      </c>
      <c r="AF84" s="176">
        <f t="shared" si="115"/>
        <v>1</v>
      </c>
      <c r="AG84" s="177">
        <f t="shared" ref="AG84:AR84" si="142">IF(AND($AD84&lt;=AG$3,AG$3&lt;=$AE84),$AC84/$AF84,0)</f>
        <v>0</v>
      </c>
      <c r="AH84" s="177">
        <f t="shared" si="142"/>
        <v>0</v>
      </c>
      <c r="AI84" s="177">
        <f t="shared" si="142"/>
        <v>0</v>
      </c>
      <c r="AJ84" s="177">
        <f t="shared" si="142"/>
        <v>0</v>
      </c>
      <c r="AK84" s="177">
        <f t="shared" si="142"/>
        <v>0</v>
      </c>
      <c r="AL84" s="177">
        <f t="shared" si="142"/>
        <v>0</v>
      </c>
      <c r="AM84" s="177">
        <f t="shared" si="142"/>
        <v>0</v>
      </c>
      <c r="AN84" s="177">
        <f t="shared" si="142"/>
        <v>0</v>
      </c>
      <c r="AO84" s="177">
        <f t="shared" si="142"/>
        <v>0</v>
      </c>
      <c r="AP84" s="177">
        <f t="shared" si="142"/>
        <v>0</v>
      </c>
      <c r="AQ84" s="177">
        <f t="shared" si="142"/>
        <v>0</v>
      </c>
      <c r="AR84" s="177">
        <f t="shared" si="142"/>
        <v>0</v>
      </c>
      <c r="AS84" s="178">
        <f t="shared" si="117"/>
        <v>0</v>
      </c>
      <c r="AU84" s="177">
        <f t="shared" si="118"/>
        <v>0</v>
      </c>
      <c r="AV84" s="177">
        <f t="shared" si="119"/>
        <v>0</v>
      </c>
      <c r="AW84" s="177">
        <f t="shared" si="120"/>
        <v>0</v>
      </c>
      <c r="AX84" s="177">
        <f t="shared" si="121"/>
        <v>0</v>
      </c>
      <c r="AY84" s="177">
        <f t="shared" si="122"/>
        <v>0</v>
      </c>
      <c r="AZ84" s="177">
        <f t="shared" si="123"/>
        <v>0</v>
      </c>
      <c r="BA84" s="177">
        <f t="shared" si="124"/>
        <v>0</v>
      </c>
      <c r="BB84" s="177">
        <f t="shared" si="125"/>
        <v>0</v>
      </c>
      <c r="BC84" s="177">
        <f t="shared" si="126"/>
        <v>0</v>
      </c>
      <c r="BD84" s="177">
        <f t="shared" si="127"/>
        <v>0</v>
      </c>
      <c r="BE84" s="177">
        <f t="shared" si="128"/>
        <v>0</v>
      </c>
      <c r="BF84" s="177">
        <f t="shared" si="129"/>
        <v>0</v>
      </c>
      <c r="BG84" s="178">
        <f t="shared" si="130"/>
        <v>0</v>
      </c>
    </row>
    <row r="85" spans="1:59" ht="13.5" customHeight="1">
      <c r="A85" s="171">
        <f t="shared" si="131"/>
        <v>8</v>
      </c>
      <c r="B85" s="171" t="s">
        <v>2111</v>
      </c>
      <c r="C85" s="171" t="s">
        <v>1894</v>
      </c>
      <c r="D85" s="171" t="str">
        <f t="shared" si="133"/>
        <v>汇率变动对现金的影响额</v>
      </c>
      <c r="E85" s="171"/>
      <c r="F85" s="172" t="str">
        <f t="shared" si="141"/>
        <v>FX Gain / Loss Net</v>
      </c>
      <c r="G85" s="172"/>
      <c r="H85" s="77" t="s">
        <v>2613</v>
      </c>
      <c r="I85" s="173" t="s">
        <v>2614</v>
      </c>
      <c r="J85" s="173" t="s">
        <v>2046</v>
      </c>
      <c r="K85" s="77"/>
      <c r="L85" s="175">
        <v>45658</v>
      </c>
      <c r="M85" s="175">
        <v>46022</v>
      </c>
      <c r="N85" s="176">
        <f t="shared" si="134"/>
        <v>12</v>
      </c>
      <c r="O85" s="177">
        <f t="shared" si="114"/>
        <v>0</v>
      </c>
      <c r="P85" s="177">
        <f t="shared" si="114"/>
        <v>0</v>
      </c>
      <c r="Q85" s="177">
        <f t="shared" si="114"/>
        <v>0</v>
      </c>
      <c r="R85" s="177">
        <f t="shared" si="114"/>
        <v>0</v>
      </c>
      <c r="S85" s="177">
        <f t="shared" si="114"/>
        <v>0</v>
      </c>
      <c r="T85" s="177">
        <f t="shared" si="114"/>
        <v>0</v>
      </c>
      <c r="U85" s="177">
        <f t="shared" si="114"/>
        <v>0</v>
      </c>
      <c r="V85" s="177">
        <f t="shared" si="114"/>
        <v>0</v>
      </c>
      <c r="W85" s="177">
        <f t="shared" si="114"/>
        <v>0</v>
      </c>
      <c r="X85" s="177">
        <f t="shared" si="114"/>
        <v>0</v>
      </c>
      <c r="Y85" s="177">
        <f t="shared" si="114"/>
        <v>0</v>
      </c>
      <c r="Z85" s="177">
        <f t="shared" si="114"/>
        <v>0</v>
      </c>
      <c r="AA85" s="178">
        <f t="shared" si="135"/>
        <v>0</v>
      </c>
      <c r="AB85" s="173" t="s">
        <v>2046</v>
      </c>
      <c r="AC85" s="184"/>
      <c r="AD85" s="175">
        <v>46023</v>
      </c>
      <c r="AE85" s="175">
        <v>46387</v>
      </c>
      <c r="AF85" s="176">
        <f t="shared" si="115"/>
        <v>12</v>
      </c>
      <c r="AG85" s="177">
        <f t="shared" ref="AG85:AR85" si="143">IF(AND($AD85&lt;=AG$3,AG$3&lt;=$AE85),$AC85/$AF85,0)</f>
        <v>0</v>
      </c>
      <c r="AH85" s="177">
        <f t="shared" si="143"/>
        <v>0</v>
      </c>
      <c r="AI85" s="177">
        <f t="shared" si="143"/>
        <v>0</v>
      </c>
      <c r="AJ85" s="177">
        <f t="shared" si="143"/>
        <v>0</v>
      </c>
      <c r="AK85" s="177">
        <f t="shared" si="143"/>
        <v>0</v>
      </c>
      <c r="AL85" s="177">
        <f t="shared" si="143"/>
        <v>0</v>
      </c>
      <c r="AM85" s="177">
        <f t="shared" si="143"/>
        <v>0</v>
      </c>
      <c r="AN85" s="177">
        <f t="shared" si="143"/>
        <v>0</v>
      </c>
      <c r="AO85" s="177">
        <f t="shared" si="143"/>
        <v>0</v>
      </c>
      <c r="AP85" s="177">
        <f t="shared" si="143"/>
        <v>0</v>
      </c>
      <c r="AQ85" s="177">
        <f t="shared" si="143"/>
        <v>0</v>
      </c>
      <c r="AR85" s="177">
        <f t="shared" si="143"/>
        <v>0</v>
      </c>
      <c r="AS85" s="178">
        <f t="shared" si="117"/>
        <v>0</v>
      </c>
      <c r="AU85" s="177">
        <f t="shared" si="118"/>
        <v>0</v>
      </c>
      <c r="AV85" s="177">
        <f t="shared" si="119"/>
        <v>0</v>
      </c>
      <c r="AW85" s="177">
        <f t="shared" si="120"/>
        <v>0</v>
      </c>
      <c r="AX85" s="177">
        <f t="shared" si="121"/>
        <v>0</v>
      </c>
      <c r="AY85" s="177">
        <f t="shared" si="122"/>
        <v>0</v>
      </c>
      <c r="AZ85" s="177">
        <f t="shared" si="123"/>
        <v>0</v>
      </c>
      <c r="BA85" s="177">
        <f t="shared" si="124"/>
        <v>0</v>
      </c>
      <c r="BB85" s="177">
        <f t="shared" si="125"/>
        <v>0</v>
      </c>
      <c r="BC85" s="177">
        <f t="shared" si="126"/>
        <v>0</v>
      </c>
      <c r="BD85" s="177">
        <f t="shared" si="127"/>
        <v>0</v>
      </c>
      <c r="BE85" s="177">
        <f t="shared" si="128"/>
        <v>0</v>
      </c>
      <c r="BF85" s="177">
        <f t="shared" si="129"/>
        <v>0</v>
      </c>
      <c r="BG85" s="178">
        <f t="shared" si="130"/>
        <v>0</v>
      </c>
    </row>
    <row r="86" spans="1:59" ht="13.5" customHeight="1">
      <c r="A86" s="171">
        <f t="shared" si="131"/>
        <v>9</v>
      </c>
      <c r="B86" s="171" t="s">
        <v>2111</v>
      </c>
      <c r="C86" s="171" t="s">
        <v>1646</v>
      </c>
      <c r="D86" s="171" t="str">
        <f t="shared" si="133"/>
        <v>支付的其他与经营活动有关的现金（其他）</v>
      </c>
      <c r="E86" s="171"/>
      <c r="F86" s="172" t="str">
        <f t="shared" si="141"/>
        <v>Printing</v>
      </c>
      <c r="G86" s="172"/>
      <c r="H86" s="77" t="s">
        <v>2613</v>
      </c>
      <c r="I86" s="173" t="s">
        <v>2614</v>
      </c>
      <c r="J86" s="173" t="s">
        <v>2046</v>
      </c>
      <c r="K86" s="183">
        <v>0</v>
      </c>
      <c r="L86" s="175">
        <v>45778</v>
      </c>
      <c r="M86" s="175">
        <v>45808</v>
      </c>
      <c r="N86" s="176">
        <f t="shared" si="134"/>
        <v>1</v>
      </c>
      <c r="O86" s="177">
        <f t="shared" si="114"/>
        <v>0</v>
      </c>
      <c r="P86" s="177">
        <f t="shared" si="114"/>
        <v>0</v>
      </c>
      <c r="Q86" s="177">
        <f t="shared" si="114"/>
        <v>0</v>
      </c>
      <c r="R86" s="177">
        <f t="shared" si="114"/>
        <v>0</v>
      </c>
      <c r="S86" s="177">
        <f t="shared" si="114"/>
        <v>0</v>
      </c>
      <c r="T86" s="177">
        <f t="shared" si="114"/>
        <v>0</v>
      </c>
      <c r="U86" s="177">
        <f t="shared" si="114"/>
        <v>0</v>
      </c>
      <c r="V86" s="177">
        <f t="shared" si="114"/>
        <v>0</v>
      </c>
      <c r="W86" s="177">
        <f t="shared" si="114"/>
        <v>0</v>
      </c>
      <c r="X86" s="177">
        <f t="shared" si="114"/>
        <v>0</v>
      </c>
      <c r="Y86" s="177">
        <f t="shared" si="114"/>
        <v>0</v>
      </c>
      <c r="Z86" s="177">
        <f t="shared" si="114"/>
        <v>0</v>
      </c>
      <c r="AA86" s="178">
        <f t="shared" si="135"/>
        <v>0</v>
      </c>
      <c r="AB86" s="173" t="s">
        <v>2046</v>
      </c>
      <c r="AC86" s="184">
        <v>0</v>
      </c>
      <c r="AD86" s="175">
        <v>46143</v>
      </c>
      <c r="AE86" s="175">
        <v>46173</v>
      </c>
      <c r="AF86" s="176">
        <f t="shared" si="115"/>
        <v>1</v>
      </c>
      <c r="AG86" s="177">
        <f t="shared" ref="AG86:AR86" si="144">IF(AND($AD86&lt;=AG$3,AG$3&lt;=$AE86),$AC86/$AF86,0)</f>
        <v>0</v>
      </c>
      <c r="AH86" s="177">
        <f t="shared" si="144"/>
        <v>0</v>
      </c>
      <c r="AI86" s="177">
        <f t="shared" si="144"/>
        <v>0</v>
      </c>
      <c r="AJ86" s="177">
        <f t="shared" si="144"/>
        <v>0</v>
      </c>
      <c r="AK86" s="177">
        <f t="shared" si="144"/>
        <v>0</v>
      </c>
      <c r="AL86" s="177">
        <f t="shared" si="144"/>
        <v>0</v>
      </c>
      <c r="AM86" s="177">
        <f t="shared" si="144"/>
        <v>0</v>
      </c>
      <c r="AN86" s="177">
        <f t="shared" si="144"/>
        <v>0</v>
      </c>
      <c r="AO86" s="177">
        <f t="shared" si="144"/>
        <v>0</v>
      </c>
      <c r="AP86" s="177">
        <f t="shared" si="144"/>
        <v>0</v>
      </c>
      <c r="AQ86" s="177">
        <f t="shared" si="144"/>
        <v>0</v>
      </c>
      <c r="AR86" s="177">
        <f t="shared" si="144"/>
        <v>0</v>
      </c>
      <c r="AS86" s="178">
        <f t="shared" si="117"/>
        <v>0</v>
      </c>
      <c r="AU86" s="177">
        <f t="shared" si="118"/>
        <v>0</v>
      </c>
      <c r="AV86" s="177">
        <f t="shared" si="119"/>
        <v>0</v>
      </c>
      <c r="AW86" s="177">
        <f t="shared" si="120"/>
        <v>0</v>
      </c>
      <c r="AX86" s="177">
        <f t="shared" si="121"/>
        <v>0</v>
      </c>
      <c r="AY86" s="177">
        <f t="shared" si="122"/>
        <v>0</v>
      </c>
      <c r="AZ86" s="177">
        <f t="shared" si="123"/>
        <v>0</v>
      </c>
      <c r="BA86" s="177">
        <f t="shared" si="124"/>
        <v>0</v>
      </c>
      <c r="BB86" s="177">
        <f t="shared" si="125"/>
        <v>0</v>
      </c>
      <c r="BC86" s="177">
        <f t="shared" si="126"/>
        <v>0</v>
      </c>
      <c r="BD86" s="177">
        <f t="shared" si="127"/>
        <v>0</v>
      </c>
      <c r="BE86" s="177">
        <f t="shared" si="128"/>
        <v>0</v>
      </c>
      <c r="BF86" s="177">
        <f t="shared" si="129"/>
        <v>0</v>
      </c>
      <c r="BG86" s="178">
        <f t="shared" si="130"/>
        <v>0</v>
      </c>
    </row>
    <row r="87" spans="1:59" ht="13.5" customHeight="1">
      <c r="A87" s="171">
        <f t="shared" si="131"/>
        <v>10</v>
      </c>
      <c r="B87" s="171" t="s">
        <v>2111</v>
      </c>
      <c r="C87" s="171"/>
      <c r="D87" s="171" t="str">
        <f t="shared" si="133"/>
        <v>购建固定资产、无形资产和其他长期资产支付的现金</v>
      </c>
      <c r="E87" s="171"/>
      <c r="F87" s="172" t="str">
        <f t="shared" si="141"/>
        <v>Purchase Furniture</v>
      </c>
      <c r="G87" s="172"/>
      <c r="H87" s="77" t="s">
        <v>2613</v>
      </c>
      <c r="I87" s="173" t="s">
        <v>2614</v>
      </c>
      <c r="J87" s="173" t="s">
        <v>2046</v>
      </c>
      <c r="K87" s="77"/>
      <c r="L87" s="175">
        <v>45658</v>
      </c>
      <c r="M87" s="175">
        <v>46022</v>
      </c>
      <c r="N87" s="176">
        <f t="shared" si="134"/>
        <v>12</v>
      </c>
      <c r="O87" s="177">
        <f t="shared" si="114"/>
        <v>0</v>
      </c>
      <c r="P87" s="177">
        <f t="shared" si="114"/>
        <v>0</v>
      </c>
      <c r="Q87" s="177">
        <f t="shared" si="114"/>
        <v>0</v>
      </c>
      <c r="R87" s="177">
        <f t="shared" si="114"/>
        <v>0</v>
      </c>
      <c r="S87" s="177">
        <f t="shared" si="114"/>
        <v>0</v>
      </c>
      <c r="T87" s="177">
        <f t="shared" si="114"/>
        <v>0</v>
      </c>
      <c r="U87" s="177">
        <f t="shared" si="114"/>
        <v>0</v>
      </c>
      <c r="V87" s="177">
        <f t="shared" si="114"/>
        <v>0</v>
      </c>
      <c r="W87" s="177">
        <f t="shared" si="114"/>
        <v>0</v>
      </c>
      <c r="X87" s="177">
        <f t="shared" si="114"/>
        <v>0</v>
      </c>
      <c r="Y87" s="177">
        <f t="shared" si="114"/>
        <v>0</v>
      </c>
      <c r="Z87" s="177">
        <f t="shared" si="114"/>
        <v>0</v>
      </c>
      <c r="AA87" s="178">
        <f t="shared" si="135"/>
        <v>0</v>
      </c>
      <c r="AB87" s="173" t="s">
        <v>2046</v>
      </c>
      <c r="AC87" s="184"/>
      <c r="AD87" s="175">
        <v>46023</v>
      </c>
      <c r="AE87" s="175">
        <v>46387</v>
      </c>
      <c r="AF87" s="176">
        <f t="shared" si="115"/>
        <v>12</v>
      </c>
      <c r="AG87" s="177">
        <f t="shared" ref="AG87:AR87" si="145">IF(AND($AD87&lt;=AG$3,AG$3&lt;=$AE87),$AC87/$AF87,0)</f>
        <v>0</v>
      </c>
      <c r="AH87" s="177">
        <f t="shared" si="145"/>
        <v>0</v>
      </c>
      <c r="AI87" s="177">
        <f t="shared" si="145"/>
        <v>0</v>
      </c>
      <c r="AJ87" s="177">
        <f t="shared" si="145"/>
        <v>0</v>
      </c>
      <c r="AK87" s="177">
        <f t="shared" si="145"/>
        <v>0</v>
      </c>
      <c r="AL87" s="177">
        <f t="shared" si="145"/>
        <v>0</v>
      </c>
      <c r="AM87" s="177">
        <f t="shared" si="145"/>
        <v>0</v>
      </c>
      <c r="AN87" s="177">
        <f t="shared" si="145"/>
        <v>0</v>
      </c>
      <c r="AO87" s="177">
        <f t="shared" si="145"/>
        <v>0</v>
      </c>
      <c r="AP87" s="177">
        <f t="shared" si="145"/>
        <v>0</v>
      </c>
      <c r="AQ87" s="177">
        <f t="shared" si="145"/>
        <v>0</v>
      </c>
      <c r="AR87" s="177">
        <f t="shared" si="145"/>
        <v>0</v>
      </c>
      <c r="AS87" s="178">
        <f t="shared" si="117"/>
        <v>0</v>
      </c>
      <c r="AU87" s="177">
        <f t="shared" si="118"/>
        <v>0</v>
      </c>
      <c r="AV87" s="177">
        <f t="shared" si="119"/>
        <v>0</v>
      </c>
      <c r="AW87" s="177">
        <f t="shared" si="120"/>
        <v>0</v>
      </c>
      <c r="AX87" s="177">
        <f t="shared" si="121"/>
        <v>0</v>
      </c>
      <c r="AY87" s="177">
        <f t="shared" si="122"/>
        <v>0</v>
      </c>
      <c r="AZ87" s="177">
        <f t="shared" si="123"/>
        <v>0</v>
      </c>
      <c r="BA87" s="177">
        <f t="shared" si="124"/>
        <v>0</v>
      </c>
      <c r="BB87" s="177">
        <f t="shared" si="125"/>
        <v>0</v>
      </c>
      <c r="BC87" s="177">
        <f t="shared" si="126"/>
        <v>0</v>
      </c>
      <c r="BD87" s="177">
        <f t="shared" si="127"/>
        <v>0</v>
      </c>
      <c r="BE87" s="177">
        <f t="shared" si="128"/>
        <v>0</v>
      </c>
      <c r="BF87" s="177">
        <f t="shared" si="129"/>
        <v>0</v>
      </c>
      <c r="BG87" s="178">
        <f t="shared" si="130"/>
        <v>0</v>
      </c>
    </row>
    <row r="88" spans="1:59" ht="13.5" customHeight="1">
      <c r="A88" s="171">
        <f t="shared" si="131"/>
        <v>11</v>
      </c>
      <c r="B88" s="171" t="s">
        <v>2111</v>
      </c>
      <c r="C88" s="171"/>
      <c r="D88" s="171" t="str">
        <f t="shared" si="133"/>
        <v>购建固定资产、无形资产和其他长期资产支付的现金</v>
      </c>
      <c r="E88" s="171"/>
      <c r="F88" s="172" t="str">
        <f t="shared" si="141"/>
        <v>Purchase Equipment</v>
      </c>
      <c r="G88" s="172"/>
      <c r="H88" s="77" t="s">
        <v>2613</v>
      </c>
      <c r="I88" s="173" t="s">
        <v>2614</v>
      </c>
      <c r="J88" s="173" t="s">
        <v>2046</v>
      </c>
      <c r="K88" s="184">
        <f>10000*3</f>
        <v>30000</v>
      </c>
      <c r="L88" s="175">
        <v>45658</v>
      </c>
      <c r="M88" s="175">
        <v>46022</v>
      </c>
      <c r="N88" s="176">
        <f t="shared" si="134"/>
        <v>12</v>
      </c>
      <c r="O88" s="177">
        <f t="shared" si="114"/>
        <v>2500</v>
      </c>
      <c r="P88" s="177">
        <f t="shared" si="114"/>
        <v>2500</v>
      </c>
      <c r="Q88" s="177">
        <f t="shared" si="114"/>
        <v>2500</v>
      </c>
      <c r="R88" s="177">
        <f t="shared" si="114"/>
        <v>2500</v>
      </c>
      <c r="S88" s="177">
        <f t="shared" si="114"/>
        <v>2500</v>
      </c>
      <c r="T88" s="177">
        <f t="shared" si="114"/>
        <v>2500</v>
      </c>
      <c r="U88" s="177">
        <f t="shared" si="114"/>
        <v>2500</v>
      </c>
      <c r="V88" s="177">
        <f t="shared" si="114"/>
        <v>2500</v>
      </c>
      <c r="W88" s="177">
        <f t="shared" si="114"/>
        <v>2500</v>
      </c>
      <c r="X88" s="177">
        <f t="shared" si="114"/>
        <v>2500</v>
      </c>
      <c r="Y88" s="177">
        <f t="shared" si="114"/>
        <v>2500</v>
      </c>
      <c r="Z88" s="177">
        <f t="shared" si="114"/>
        <v>2500</v>
      </c>
      <c r="AA88" s="178">
        <f t="shared" si="135"/>
        <v>30000</v>
      </c>
      <c r="AB88" s="173" t="s">
        <v>2046</v>
      </c>
      <c r="AC88" s="184">
        <f>10000*7</f>
        <v>70000</v>
      </c>
      <c r="AD88" s="175">
        <v>46023</v>
      </c>
      <c r="AE88" s="175">
        <v>46387</v>
      </c>
      <c r="AF88" s="176">
        <f t="shared" si="115"/>
        <v>12</v>
      </c>
      <c r="AG88" s="177">
        <f t="shared" ref="AG88:AR88" si="146">IF(AND($AD88&lt;=AG$3,AG$3&lt;=$AE88),$AC88/$AF88,0)</f>
        <v>5833.333333333333</v>
      </c>
      <c r="AH88" s="177">
        <f t="shared" si="146"/>
        <v>5833.333333333333</v>
      </c>
      <c r="AI88" s="177">
        <f t="shared" si="146"/>
        <v>5833.333333333333</v>
      </c>
      <c r="AJ88" s="177">
        <f t="shared" si="146"/>
        <v>5833.333333333333</v>
      </c>
      <c r="AK88" s="177">
        <f t="shared" si="146"/>
        <v>5833.333333333333</v>
      </c>
      <c r="AL88" s="177">
        <f t="shared" si="146"/>
        <v>5833.333333333333</v>
      </c>
      <c r="AM88" s="177">
        <f t="shared" si="146"/>
        <v>5833.333333333333</v>
      </c>
      <c r="AN88" s="177">
        <f t="shared" si="146"/>
        <v>5833.333333333333</v>
      </c>
      <c r="AO88" s="177">
        <f t="shared" si="146"/>
        <v>5833.333333333333</v>
      </c>
      <c r="AP88" s="177">
        <f t="shared" si="146"/>
        <v>5833.333333333333</v>
      </c>
      <c r="AQ88" s="177">
        <f t="shared" si="146"/>
        <v>5833.333333333333</v>
      </c>
      <c r="AR88" s="177">
        <f t="shared" si="146"/>
        <v>5833.333333333333</v>
      </c>
      <c r="AS88" s="178">
        <f t="shared" si="117"/>
        <v>70000.000000000015</v>
      </c>
      <c r="AU88" s="177">
        <f t="shared" si="118"/>
        <v>6125</v>
      </c>
      <c r="AV88" s="177">
        <f t="shared" si="119"/>
        <v>6125</v>
      </c>
      <c r="AW88" s="177">
        <f t="shared" si="120"/>
        <v>6125</v>
      </c>
      <c r="AX88" s="177">
        <f t="shared" si="121"/>
        <v>6125</v>
      </c>
      <c r="AY88" s="177">
        <f t="shared" si="122"/>
        <v>6125</v>
      </c>
      <c r="AZ88" s="177">
        <f t="shared" si="123"/>
        <v>6125</v>
      </c>
      <c r="BA88" s="177">
        <f t="shared" si="124"/>
        <v>6125</v>
      </c>
      <c r="BB88" s="177">
        <f t="shared" si="125"/>
        <v>6125</v>
      </c>
      <c r="BC88" s="177">
        <f t="shared" si="126"/>
        <v>6125</v>
      </c>
      <c r="BD88" s="177">
        <f t="shared" si="127"/>
        <v>6125</v>
      </c>
      <c r="BE88" s="177">
        <f t="shared" si="128"/>
        <v>6125</v>
      </c>
      <c r="BF88" s="177">
        <f t="shared" si="129"/>
        <v>6125</v>
      </c>
      <c r="BG88" s="178">
        <f t="shared" si="130"/>
        <v>73500</v>
      </c>
    </row>
    <row r="89" spans="1:59" ht="13.5" customHeight="1">
      <c r="A89" s="171">
        <f t="shared" si="131"/>
        <v>12</v>
      </c>
      <c r="B89" s="171" t="s">
        <v>2111</v>
      </c>
      <c r="C89" s="171"/>
      <c r="D89" s="171" t="str">
        <f t="shared" si="133"/>
        <v>支付的其他与经营活动有关的现金（其他）</v>
      </c>
      <c r="E89" s="171"/>
      <c r="F89" s="172" t="str">
        <f t="shared" si="141"/>
        <v>Physical Security Systems</v>
      </c>
      <c r="G89" s="172"/>
      <c r="H89" s="77" t="s">
        <v>2613</v>
      </c>
      <c r="I89" s="173" t="s">
        <v>2614</v>
      </c>
      <c r="J89" s="173" t="s">
        <v>2046</v>
      </c>
      <c r="K89" s="77"/>
      <c r="L89" s="175">
        <v>45962</v>
      </c>
      <c r="M89" s="175">
        <v>45991</v>
      </c>
      <c r="N89" s="176">
        <f t="shared" si="134"/>
        <v>1</v>
      </c>
      <c r="O89" s="177">
        <f t="shared" si="114"/>
        <v>0</v>
      </c>
      <c r="P89" s="177">
        <f t="shared" si="114"/>
        <v>0</v>
      </c>
      <c r="Q89" s="177">
        <f t="shared" si="114"/>
        <v>0</v>
      </c>
      <c r="R89" s="177">
        <f t="shared" si="114"/>
        <v>0</v>
      </c>
      <c r="S89" s="177">
        <f t="shared" si="114"/>
        <v>0</v>
      </c>
      <c r="T89" s="177">
        <f t="shared" si="114"/>
        <v>0</v>
      </c>
      <c r="U89" s="177">
        <f t="shared" si="114"/>
        <v>0</v>
      </c>
      <c r="V89" s="177">
        <f t="shared" si="114"/>
        <v>0</v>
      </c>
      <c r="W89" s="177">
        <f t="shared" si="114"/>
        <v>0</v>
      </c>
      <c r="X89" s="177">
        <f t="shared" si="114"/>
        <v>0</v>
      </c>
      <c r="Y89" s="177">
        <f t="shared" si="114"/>
        <v>0</v>
      </c>
      <c r="Z89" s="177">
        <f t="shared" si="114"/>
        <v>0</v>
      </c>
      <c r="AA89" s="178">
        <f t="shared" si="135"/>
        <v>0</v>
      </c>
      <c r="AB89" s="173" t="s">
        <v>2046</v>
      </c>
      <c r="AC89" s="184"/>
      <c r="AD89" s="175">
        <v>46327</v>
      </c>
      <c r="AE89" s="175">
        <v>46356</v>
      </c>
      <c r="AF89" s="176">
        <f t="shared" si="115"/>
        <v>1</v>
      </c>
      <c r="AG89" s="177">
        <f t="shared" ref="AG89:AR89" si="147">IF(AND($AD89&lt;=AG$3,AG$3&lt;=$AE89),$AC89/$AF89,0)</f>
        <v>0</v>
      </c>
      <c r="AH89" s="177">
        <f t="shared" si="147"/>
        <v>0</v>
      </c>
      <c r="AI89" s="177">
        <f t="shared" si="147"/>
        <v>0</v>
      </c>
      <c r="AJ89" s="177">
        <f t="shared" si="147"/>
        <v>0</v>
      </c>
      <c r="AK89" s="177">
        <f t="shared" si="147"/>
        <v>0</v>
      </c>
      <c r="AL89" s="177">
        <f t="shared" si="147"/>
        <v>0</v>
      </c>
      <c r="AM89" s="177">
        <f t="shared" si="147"/>
        <v>0</v>
      </c>
      <c r="AN89" s="177">
        <f t="shared" si="147"/>
        <v>0</v>
      </c>
      <c r="AO89" s="177">
        <f t="shared" si="147"/>
        <v>0</v>
      </c>
      <c r="AP89" s="177">
        <f t="shared" si="147"/>
        <v>0</v>
      </c>
      <c r="AQ89" s="177">
        <f t="shared" si="147"/>
        <v>0</v>
      </c>
      <c r="AR89" s="177">
        <f t="shared" si="147"/>
        <v>0</v>
      </c>
      <c r="AS89" s="178">
        <f t="shared" si="117"/>
        <v>0</v>
      </c>
      <c r="AU89" s="177">
        <f t="shared" si="118"/>
        <v>0</v>
      </c>
      <c r="AV89" s="177">
        <f t="shared" si="119"/>
        <v>0</v>
      </c>
      <c r="AW89" s="177">
        <f t="shared" si="120"/>
        <v>0</v>
      </c>
      <c r="AX89" s="177">
        <f t="shared" si="121"/>
        <v>0</v>
      </c>
      <c r="AY89" s="177">
        <f t="shared" si="122"/>
        <v>0</v>
      </c>
      <c r="AZ89" s="177">
        <f t="shared" si="123"/>
        <v>0</v>
      </c>
      <c r="BA89" s="177">
        <f t="shared" si="124"/>
        <v>0</v>
      </c>
      <c r="BB89" s="177">
        <f t="shared" si="125"/>
        <v>0</v>
      </c>
      <c r="BC89" s="177">
        <f t="shared" si="126"/>
        <v>0</v>
      </c>
      <c r="BD89" s="177">
        <f t="shared" si="127"/>
        <v>0</v>
      </c>
      <c r="BE89" s="177">
        <f t="shared" si="128"/>
        <v>0</v>
      </c>
      <c r="BF89" s="177">
        <f t="shared" si="129"/>
        <v>0</v>
      </c>
      <c r="BG89" s="178">
        <f t="shared" si="130"/>
        <v>0</v>
      </c>
    </row>
    <row r="90" spans="1:59" ht="13.5" customHeight="1">
      <c r="A90" s="171">
        <f t="shared" si="131"/>
        <v>13</v>
      </c>
      <c r="B90" s="171" t="s">
        <v>2111</v>
      </c>
      <c r="C90" s="171" t="s">
        <v>1652</v>
      </c>
      <c r="D90" s="171" t="str">
        <f t="shared" si="133"/>
        <v>支付的其他与经营活动有关的现金（其他）</v>
      </c>
      <c r="E90" s="171"/>
      <c r="F90" s="172" t="str">
        <f t="shared" si="141"/>
        <v>Office Package/Travel Insurance</v>
      </c>
      <c r="G90" s="172"/>
      <c r="H90" s="77" t="s">
        <v>2613</v>
      </c>
      <c r="I90" s="173" t="s">
        <v>2614</v>
      </c>
      <c r="J90" s="173" t="s">
        <v>2046</v>
      </c>
      <c r="K90" s="77"/>
      <c r="L90" s="175">
        <v>45658</v>
      </c>
      <c r="M90" s="175">
        <v>46022</v>
      </c>
      <c r="N90" s="176">
        <f t="shared" si="134"/>
        <v>12</v>
      </c>
      <c r="O90" s="177">
        <f t="shared" si="114"/>
        <v>0</v>
      </c>
      <c r="P90" s="177">
        <f t="shared" si="114"/>
        <v>0</v>
      </c>
      <c r="Q90" s="177">
        <f t="shared" si="114"/>
        <v>0</v>
      </c>
      <c r="R90" s="177">
        <f t="shared" si="114"/>
        <v>0</v>
      </c>
      <c r="S90" s="177">
        <f t="shared" si="114"/>
        <v>0</v>
      </c>
      <c r="T90" s="177">
        <f t="shared" si="114"/>
        <v>0</v>
      </c>
      <c r="U90" s="177">
        <f t="shared" si="114"/>
        <v>0</v>
      </c>
      <c r="V90" s="177">
        <f t="shared" si="114"/>
        <v>0</v>
      </c>
      <c r="W90" s="177">
        <f t="shared" si="114"/>
        <v>0</v>
      </c>
      <c r="X90" s="177">
        <f t="shared" si="114"/>
        <v>0</v>
      </c>
      <c r="Y90" s="177">
        <f t="shared" si="114"/>
        <v>0</v>
      </c>
      <c r="Z90" s="177">
        <f t="shared" si="114"/>
        <v>0</v>
      </c>
      <c r="AA90" s="178">
        <f t="shared" si="135"/>
        <v>0</v>
      </c>
      <c r="AB90" s="173" t="s">
        <v>2046</v>
      </c>
      <c r="AC90" s="187">
        <f>1500000*汇总!$E$70</f>
        <v>0</v>
      </c>
      <c r="AD90" s="175">
        <v>46023</v>
      </c>
      <c r="AE90" s="175">
        <v>46387</v>
      </c>
      <c r="AF90" s="176">
        <f t="shared" si="115"/>
        <v>12</v>
      </c>
      <c r="AG90" s="177">
        <f t="shared" ref="AG90:AR90" si="148">IF(AND($AD90&lt;=AG$3,AG$3&lt;=$AE90),$AC90/$AF90,0)</f>
        <v>0</v>
      </c>
      <c r="AH90" s="177">
        <f t="shared" si="148"/>
        <v>0</v>
      </c>
      <c r="AI90" s="177">
        <f t="shared" si="148"/>
        <v>0</v>
      </c>
      <c r="AJ90" s="177">
        <f t="shared" si="148"/>
        <v>0</v>
      </c>
      <c r="AK90" s="177">
        <f t="shared" si="148"/>
        <v>0</v>
      </c>
      <c r="AL90" s="177">
        <f t="shared" si="148"/>
        <v>0</v>
      </c>
      <c r="AM90" s="177">
        <f t="shared" si="148"/>
        <v>0</v>
      </c>
      <c r="AN90" s="177">
        <f t="shared" si="148"/>
        <v>0</v>
      </c>
      <c r="AO90" s="177">
        <f t="shared" si="148"/>
        <v>0</v>
      </c>
      <c r="AP90" s="177">
        <f t="shared" si="148"/>
        <v>0</v>
      </c>
      <c r="AQ90" s="177">
        <f t="shared" si="148"/>
        <v>0</v>
      </c>
      <c r="AR90" s="177">
        <f t="shared" si="148"/>
        <v>0</v>
      </c>
      <c r="AS90" s="178">
        <f t="shared" si="117"/>
        <v>0</v>
      </c>
      <c r="AU90" s="177">
        <f t="shared" si="118"/>
        <v>0</v>
      </c>
      <c r="AV90" s="177">
        <f t="shared" si="119"/>
        <v>0</v>
      </c>
      <c r="AW90" s="177">
        <f t="shared" si="120"/>
        <v>0</v>
      </c>
      <c r="AX90" s="177">
        <f t="shared" si="121"/>
        <v>0</v>
      </c>
      <c r="AY90" s="177">
        <f t="shared" si="122"/>
        <v>0</v>
      </c>
      <c r="AZ90" s="177">
        <f t="shared" si="123"/>
        <v>0</v>
      </c>
      <c r="BA90" s="177">
        <f t="shared" si="124"/>
        <v>0</v>
      </c>
      <c r="BB90" s="177">
        <f t="shared" si="125"/>
        <v>0</v>
      </c>
      <c r="BC90" s="177">
        <f t="shared" si="126"/>
        <v>0</v>
      </c>
      <c r="BD90" s="177">
        <f t="shared" si="127"/>
        <v>0</v>
      </c>
      <c r="BE90" s="177">
        <f t="shared" si="128"/>
        <v>0</v>
      </c>
      <c r="BF90" s="177">
        <f t="shared" si="129"/>
        <v>0</v>
      </c>
      <c r="BG90" s="178">
        <f t="shared" si="130"/>
        <v>0</v>
      </c>
    </row>
    <row r="91" spans="1:59" ht="13.5" customHeight="1">
      <c r="A91" s="171">
        <f t="shared" si="131"/>
        <v>14</v>
      </c>
      <c r="B91" s="171" t="s">
        <v>2111</v>
      </c>
      <c r="C91" s="171" t="s">
        <v>1480</v>
      </c>
      <c r="D91" s="171" t="str">
        <f t="shared" si="133"/>
        <v>支付的其他与经营活动有关的现金（其他）</v>
      </c>
      <c r="E91" s="171"/>
      <c r="F91" s="172" t="str">
        <f t="shared" si="141"/>
        <v>Company Activities</v>
      </c>
      <c r="G91" s="172"/>
      <c r="H91" s="77" t="s">
        <v>2613</v>
      </c>
      <c r="I91" s="173" t="s">
        <v>2614</v>
      </c>
      <c r="J91" s="173" t="s">
        <v>2046</v>
      </c>
      <c r="K91" s="184">
        <v>50000</v>
      </c>
      <c r="L91" s="175">
        <v>45658</v>
      </c>
      <c r="M91" s="175">
        <v>46022</v>
      </c>
      <c r="N91" s="176">
        <f t="shared" si="134"/>
        <v>12</v>
      </c>
      <c r="O91" s="177">
        <f t="shared" si="114"/>
        <v>4166.666666666667</v>
      </c>
      <c r="P91" s="177">
        <f t="shared" si="114"/>
        <v>4166.666666666667</v>
      </c>
      <c r="Q91" s="177">
        <f t="shared" si="114"/>
        <v>4166.666666666667</v>
      </c>
      <c r="R91" s="177">
        <f t="shared" si="114"/>
        <v>4166.666666666667</v>
      </c>
      <c r="S91" s="177">
        <f t="shared" si="114"/>
        <v>4166.666666666667</v>
      </c>
      <c r="T91" s="177">
        <f t="shared" si="114"/>
        <v>4166.666666666667</v>
      </c>
      <c r="U91" s="177">
        <f t="shared" si="114"/>
        <v>4166.666666666667</v>
      </c>
      <c r="V91" s="177">
        <f t="shared" si="114"/>
        <v>4166.666666666667</v>
      </c>
      <c r="W91" s="177">
        <f t="shared" si="114"/>
        <v>4166.666666666667</v>
      </c>
      <c r="X91" s="177">
        <f t="shared" si="114"/>
        <v>4166.666666666667</v>
      </c>
      <c r="Y91" s="177">
        <f t="shared" si="114"/>
        <v>4166.666666666667</v>
      </c>
      <c r="Z91" s="177">
        <f t="shared" si="114"/>
        <v>4166.666666666667</v>
      </c>
      <c r="AA91" s="178">
        <f t="shared" si="135"/>
        <v>49999.999999999993</v>
      </c>
      <c r="AB91" s="173" t="s">
        <v>2046</v>
      </c>
      <c r="AC91" s="184">
        <f>25*6000</f>
        <v>150000</v>
      </c>
      <c r="AD91" s="175">
        <v>46023</v>
      </c>
      <c r="AE91" s="175">
        <v>46387</v>
      </c>
      <c r="AF91" s="176">
        <f t="shared" si="115"/>
        <v>12</v>
      </c>
      <c r="AG91" s="177">
        <f t="shared" ref="AG91:AR91" si="149">IF(AND($AD91&lt;=AG$3,AG$3&lt;=$AE91),$AC91/$AF91,0)</f>
        <v>12500</v>
      </c>
      <c r="AH91" s="177">
        <f t="shared" si="149"/>
        <v>12500</v>
      </c>
      <c r="AI91" s="177">
        <f t="shared" si="149"/>
        <v>12500</v>
      </c>
      <c r="AJ91" s="177">
        <f t="shared" si="149"/>
        <v>12500</v>
      </c>
      <c r="AK91" s="177">
        <f t="shared" si="149"/>
        <v>12500</v>
      </c>
      <c r="AL91" s="177">
        <f t="shared" si="149"/>
        <v>12500</v>
      </c>
      <c r="AM91" s="177">
        <f t="shared" si="149"/>
        <v>12500</v>
      </c>
      <c r="AN91" s="177">
        <f t="shared" si="149"/>
        <v>12500</v>
      </c>
      <c r="AO91" s="177">
        <f t="shared" si="149"/>
        <v>12500</v>
      </c>
      <c r="AP91" s="177">
        <f t="shared" si="149"/>
        <v>12500</v>
      </c>
      <c r="AQ91" s="177">
        <f t="shared" si="149"/>
        <v>12500</v>
      </c>
      <c r="AR91" s="177">
        <f t="shared" si="149"/>
        <v>12500</v>
      </c>
      <c r="AS91" s="178">
        <f t="shared" si="117"/>
        <v>150000</v>
      </c>
      <c r="AU91" s="177">
        <f t="shared" si="118"/>
        <v>13125</v>
      </c>
      <c r="AV91" s="177">
        <f t="shared" si="119"/>
        <v>13125</v>
      </c>
      <c r="AW91" s="177">
        <f t="shared" si="120"/>
        <v>13125</v>
      </c>
      <c r="AX91" s="177">
        <f t="shared" si="121"/>
        <v>13125</v>
      </c>
      <c r="AY91" s="177">
        <f t="shared" si="122"/>
        <v>13125</v>
      </c>
      <c r="AZ91" s="177">
        <f t="shared" si="123"/>
        <v>13125</v>
      </c>
      <c r="BA91" s="177">
        <f t="shared" si="124"/>
        <v>13125</v>
      </c>
      <c r="BB91" s="177">
        <f t="shared" si="125"/>
        <v>13125</v>
      </c>
      <c r="BC91" s="177">
        <f t="shared" si="126"/>
        <v>13125</v>
      </c>
      <c r="BD91" s="177">
        <f t="shared" si="127"/>
        <v>13125</v>
      </c>
      <c r="BE91" s="177">
        <f t="shared" si="128"/>
        <v>13125</v>
      </c>
      <c r="BF91" s="177">
        <f t="shared" si="129"/>
        <v>13125</v>
      </c>
      <c r="BG91" s="178">
        <f t="shared" si="130"/>
        <v>157500</v>
      </c>
    </row>
    <row r="92" spans="1:59" ht="13.5" customHeight="1">
      <c r="A92" s="171">
        <f t="shared" si="131"/>
        <v>15</v>
      </c>
      <c r="B92" s="171" t="s">
        <v>2111</v>
      </c>
      <c r="C92" s="171" t="s">
        <v>1867</v>
      </c>
      <c r="D92" s="171" t="str">
        <f t="shared" si="133"/>
        <v>支付的其他与经营活动有关的现金（其他）</v>
      </c>
      <c r="E92" s="171"/>
      <c r="F92" s="172" t="str">
        <f t="shared" si="141"/>
        <v>Outside Seminars</v>
      </c>
      <c r="G92" s="172"/>
      <c r="H92" s="77" t="s">
        <v>2613</v>
      </c>
      <c r="I92" s="173" t="s">
        <v>2614</v>
      </c>
      <c r="J92" s="173" t="s">
        <v>2046</v>
      </c>
      <c r="K92" s="77"/>
      <c r="L92" s="175">
        <v>45658</v>
      </c>
      <c r="M92" s="175">
        <v>46022</v>
      </c>
      <c r="N92" s="176">
        <f t="shared" si="134"/>
        <v>12</v>
      </c>
      <c r="O92" s="177">
        <f t="shared" si="114"/>
        <v>0</v>
      </c>
      <c r="P92" s="177">
        <f t="shared" si="114"/>
        <v>0</v>
      </c>
      <c r="Q92" s="177">
        <f t="shared" si="114"/>
        <v>0</v>
      </c>
      <c r="R92" s="177">
        <f t="shared" si="114"/>
        <v>0</v>
      </c>
      <c r="S92" s="177">
        <f t="shared" si="114"/>
        <v>0</v>
      </c>
      <c r="T92" s="177">
        <f t="shared" si="114"/>
        <v>0</v>
      </c>
      <c r="U92" s="177">
        <f t="shared" si="114"/>
        <v>0</v>
      </c>
      <c r="V92" s="177">
        <f t="shared" si="114"/>
        <v>0</v>
      </c>
      <c r="W92" s="177">
        <f t="shared" si="114"/>
        <v>0</v>
      </c>
      <c r="X92" s="177">
        <f t="shared" si="114"/>
        <v>0</v>
      </c>
      <c r="Y92" s="177">
        <f t="shared" si="114"/>
        <v>0</v>
      </c>
      <c r="Z92" s="177">
        <f t="shared" si="114"/>
        <v>0</v>
      </c>
      <c r="AA92" s="178">
        <f t="shared" si="135"/>
        <v>0</v>
      </c>
      <c r="AB92" s="173" t="s">
        <v>2046</v>
      </c>
      <c r="AC92" s="184">
        <v>10000</v>
      </c>
      <c r="AD92" s="175">
        <v>46023</v>
      </c>
      <c r="AE92" s="175">
        <v>46387</v>
      </c>
      <c r="AF92" s="176">
        <f t="shared" si="115"/>
        <v>12</v>
      </c>
      <c r="AG92" s="177">
        <f t="shared" ref="AG92:AR92" si="150">IF(AND($AD92&lt;=AG$3,AG$3&lt;=$AE92),$AC92/$AF92,0)</f>
        <v>833.33333333333337</v>
      </c>
      <c r="AH92" s="177">
        <f t="shared" si="150"/>
        <v>833.33333333333337</v>
      </c>
      <c r="AI92" s="177">
        <f t="shared" si="150"/>
        <v>833.33333333333337</v>
      </c>
      <c r="AJ92" s="177">
        <f t="shared" si="150"/>
        <v>833.33333333333337</v>
      </c>
      <c r="AK92" s="177">
        <f t="shared" si="150"/>
        <v>833.33333333333337</v>
      </c>
      <c r="AL92" s="177">
        <f t="shared" si="150"/>
        <v>833.33333333333337</v>
      </c>
      <c r="AM92" s="177">
        <f t="shared" si="150"/>
        <v>833.33333333333337</v>
      </c>
      <c r="AN92" s="177">
        <f t="shared" si="150"/>
        <v>833.33333333333337</v>
      </c>
      <c r="AO92" s="177">
        <f t="shared" si="150"/>
        <v>833.33333333333337</v>
      </c>
      <c r="AP92" s="177">
        <f t="shared" si="150"/>
        <v>833.33333333333337</v>
      </c>
      <c r="AQ92" s="177">
        <f t="shared" si="150"/>
        <v>833.33333333333337</v>
      </c>
      <c r="AR92" s="177">
        <f t="shared" si="150"/>
        <v>833.33333333333337</v>
      </c>
      <c r="AS92" s="178">
        <f t="shared" si="117"/>
        <v>10000</v>
      </c>
      <c r="AU92" s="177">
        <f t="shared" si="118"/>
        <v>875.00000000000011</v>
      </c>
      <c r="AV92" s="177">
        <f t="shared" si="119"/>
        <v>875.00000000000011</v>
      </c>
      <c r="AW92" s="177">
        <f t="shared" si="120"/>
        <v>875.00000000000011</v>
      </c>
      <c r="AX92" s="177">
        <f t="shared" si="121"/>
        <v>875.00000000000011</v>
      </c>
      <c r="AY92" s="177">
        <f t="shared" si="122"/>
        <v>875.00000000000011</v>
      </c>
      <c r="AZ92" s="177">
        <f t="shared" si="123"/>
        <v>875.00000000000011</v>
      </c>
      <c r="BA92" s="177">
        <f t="shared" si="124"/>
        <v>875.00000000000011</v>
      </c>
      <c r="BB92" s="177">
        <f t="shared" si="125"/>
        <v>875.00000000000011</v>
      </c>
      <c r="BC92" s="177">
        <f t="shared" si="126"/>
        <v>875.00000000000011</v>
      </c>
      <c r="BD92" s="177">
        <f t="shared" si="127"/>
        <v>875.00000000000011</v>
      </c>
      <c r="BE92" s="177">
        <f t="shared" si="128"/>
        <v>875.00000000000011</v>
      </c>
      <c r="BF92" s="177">
        <f t="shared" si="129"/>
        <v>875.00000000000011</v>
      </c>
      <c r="BG92" s="178">
        <f t="shared" si="130"/>
        <v>10500.000000000002</v>
      </c>
    </row>
    <row r="93" spans="1:59" ht="13.5" customHeight="1">
      <c r="A93" s="171">
        <f t="shared" si="131"/>
        <v>16</v>
      </c>
      <c r="B93" s="171" t="s">
        <v>2111</v>
      </c>
      <c r="C93" s="171" t="s">
        <v>1684</v>
      </c>
      <c r="D93" s="171" t="str">
        <f t="shared" si="133"/>
        <v>支付的其他与经营活动有关的现金（其他）</v>
      </c>
      <c r="E93" s="171"/>
      <c r="F93" s="172" t="str">
        <f t="shared" si="141"/>
        <v>Subscription</v>
      </c>
      <c r="G93" s="172"/>
      <c r="H93" s="77" t="s">
        <v>2613</v>
      </c>
      <c r="I93" s="173" t="s">
        <v>2614</v>
      </c>
      <c r="J93" s="173" t="s">
        <v>2046</v>
      </c>
      <c r="K93" s="77"/>
      <c r="L93" s="175">
        <v>45658</v>
      </c>
      <c r="M93" s="175">
        <v>46022</v>
      </c>
      <c r="N93" s="176">
        <f t="shared" si="134"/>
        <v>12</v>
      </c>
      <c r="O93" s="177">
        <f t="shared" si="114"/>
        <v>0</v>
      </c>
      <c r="P93" s="177">
        <f t="shared" si="114"/>
        <v>0</v>
      </c>
      <c r="Q93" s="177">
        <f t="shared" si="114"/>
        <v>0</v>
      </c>
      <c r="R93" s="177">
        <f t="shared" si="114"/>
        <v>0</v>
      </c>
      <c r="S93" s="177">
        <f t="shared" si="114"/>
        <v>0</v>
      </c>
      <c r="T93" s="177">
        <f t="shared" si="114"/>
        <v>0</v>
      </c>
      <c r="U93" s="177">
        <f t="shared" si="114"/>
        <v>0</v>
      </c>
      <c r="V93" s="177">
        <f t="shared" si="114"/>
        <v>0</v>
      </c>
      <c r="W93" s="177">
        <f t="shared" si="114"/>
        <v>0</v>
      </c>
      <c r="X93" s="177">
        <f t="shared" si="114"/>
        <v>0</v>
      </c>
      <c r="Y93" s="177">
        <f t="shared" si="114"/>
        <v>0</v>
      </c>
      <c r="Z93" s="177">
        <f t="shared" si="114"/>
        <v>0</v>
      </c>
      <c r="AA93" s="178">
        <f t="shared" si="135"/>
        <v>0</v>
      </c>
      <c r="AB93" s="173" t="s">
        <v>2046</v>
      </c>
      <c r="AC93" s="184"/>
      <c r="AD93" s="175">
        <v>46023</v>
      </c>
      <c r="AE93" s="175">
        <v>46387</v>
      </c>
      <c r="AF93" s="176">
        <f t="shared" si="115"/>
        <v>12</v>
      </c>
      <c r="AG93" s="177">
        <f t="shared" ref="AG93:AR93" si="151">IF(AND($AD93&lt;=AG$3,AG$3&lt;=$AE93),$AC93/$AF93,0)</f>
        <v>0</v>
      </c>
      <c r="AH93" s="177">
        <f t="shared" si="151"/>
        <v>0</v>
      </c>
      <c r="AI93" s="177">
        <f t="shared" si="151"/>
        <v>0</v>
      </c>
      <c r="AJ93" s="177">
        <f t="shared" si="151"/>
        <v>0</v>
      </c>
      <c r="AK93" s="177">
        <f t="shared" si="151"/>
        <v>0</v>
      </c>
      <c r="AL93" s="177">
        <f t="shared" si="151"/>
        <v>0</v>
      </c>
      <c r="AM93" s="177">
        <f t="shared" si="151"/>
        <v>0</v>
      </c>
      <c r="AN93" s="177">
        <f t="shared" si="151"/>
        <v>0</v>
      </c>
      <c r="AO93" s="177">
        <f t="shared" si="151"/>
        <v>0</v>
      </c>
      <c r="AP93" s="177">
        <f t="shared" si="151"/>
        <v>0</v>
      </c>
      <c r="AQ93" s="177">
        <f t="shared" si="151"/>
        <v>0</v>
      </c>
      <c r="AR93" s="177">
        <f t="shared" si="151"/>
        <v>0</v>
      </c>
      <c r="AS93" s="178">
        <f t="shared" si="117"/>
        <v>0</v>
      </c>
      <c r="AU93" s="177">
        <f t="shared" si="118"/>
        <v>0</v>
      </c>
      <c r="AV93" s="177">
        <f t="shared" si="119"/>
        <v>0</v>
      </c>
      <c r="AW93" s="177">
        <f t="shared" si="120"/>
        <v>0</v>
      </c>
      <c r="AX93" s="177">
        <f t="shared" si="121"/>
        <v>0</v>
      </c>
      <c r="AY93" s="177">
        <f t="shared" si="122"/>
        <v>0</v>
      </c>
      <c r="AZ93" s="177">
        <f t="shared" si="123"/>
        <v>0</v>
      </c>
      <c r="BA93" s="177">
        <f t="shared" si="124"/>
        <v>0</v>
      </c>
      <c r="BB93" s="177">
        <f t="shared" si="125"/>
        <v>0</v>
      </c>
      <c r="BC93" s="177">
        <f t="shared" si="126"/>
        <v>0</v>
      </c>
      <c r="BD93" s="177">
        <f t="shared" si="127"/>
        <v>0</v>
      </c>
      <c r="BE93" s="177">
        <f t="shared" si="128"/>
        <v>0</v>
      </c>
      <c r="BF93" s="177">
        <f t="shared" si="129"/>
        <v>0</v>
      </c>
      <c r="BG93" s="178">
        <f t="shared" si="130"/>
        <v>0</v>
      </c>
    </row>
    <row r="94" spans="1:59" ht="13.5" customHeight="1">
      <c r="A94" s="171">
        <f t="shared" si="131"/>
        <v>17</v>
      </c>
      <c r="B94" s="171" t="s">
        <v>2111</v>
      </c>
      <c r="C94" s="171" t="s">
        <v>1867</v>
      </c>
      <c r="D94" s="171" t="str">
        <f t="shared" si="133"/>
        <v>支付的其他与经营活动有关的现金（其他）</v>
      </c>
      <c r="E94" s="171"/>
      <c r="F94" s="172" t="str">
        <f t="shared" ref="F94:F97" si="152">IF(F22="","",F22)</f>
        <v>Professional Body Membership Fee</v>
      </c>
      <c r="G94" s="172"/>
      <c r="H94" s="77" t="s">
        <v>2613</v>
      </c>
      <c r="I94" s="173" t="s">
        <v>2614</v>
      </c>
      <c r="J94" s="173" t="s">
        <v>2046</v>
      </c>
      <c r="K94" s="77"/>
      <c r="L94" s="175">
        <v>45658</v>
      </c>
      <c r="M94" s="175">
        <v>46022</v>
      </c>
      <c r="N94" s="176">
        <f t="shared" ref="N94:N97" si="153">IF(AND(L94="",M94=""),"-",IF(M94="",12,DATEDIF(L94,M94,"M")+1))</f>
        <v>12</v>
      </c>
      <c r="O94" s="177">
        <f t="shared" si="114"/>
        <v>0</v>
      </c>
      <c r="P94" s="177">
        <f t="shared" si="114"/>
        <v>0</v>
      </c>
      <c r="Q94" s="177">
        <f t="shared" si="114"/>
        <v>0</v>
      </c>
      <c r="R94" s="177">
        <f t="shared" si="114"/>
        <v>0</v>
      </c>
      <c r="S94" s="177">
        <f t="shared" si="114"/>
        <v>0</v>
      </c>
      <c r="T94" s="177">
        <f t="shared" si="114"/>
        <v>0</v>
      </c>
      <c r="U94" s="177">
        <f t="shared" si="114"/>
        <v>0</v>
      </c>
      <c r="V94" s="177">
        <f t="shared" si="114"/>
        <v>0</v>
      </c>
      <c r="W94" s="177">
        <f t="shared" si="114"/>
        <v>0</v>
      </c>
      <c r="X94" s="177">
        <f t="shared" si="114"/>
        <v>0</v>
      </c>
      <c r="Y94" s="177">
        <f t="shared" si="114"/>
        <v>0</v>
      </c>
      <c r="Z94" s="177">
        <f t="shared" si="114"/>
        <v>0</v>
      </c>
      <c r="AA94" s="178">
        <f t="shared" ref="AA94:AA97" si="154">SUM(O94:Z94)</f>
        <v>0</v>
      </c>
      <c r="AB94" s="173" t="s">
        <v>2046</v>
      </c>
      <c r="AC94" s="184"/>
      <c r="AD94" s="175">
        <v>46023</v>
      </c>
      <c r="AE94" s="175">
        <v>46387</v>
      </c>
      <c r="AF94" s="176">
        <f t="shared" si="115"/>
        <v>12</v>
      </c>
      <c r="AG94" s="177">
        <f t="shared" ref="AG94:AR94" si="155">IF(AND($AD94&lt;=AG$3,AG$3&lt;=$AE94),$AC94/$AF94,0)</f>
        <v>0</v>
      </c>
      <c r="AH94" s="177">
        <f t="shared" si="155"/>
        <v>0</v>
      </c>
      <c r="AI94" s="177">
        <f t="shared" si="155"/>
        <v>0</v>
      </c>
      <c r="AJ94" s="177">
        <f t="shared" si="155"/>
        <v>0</v>
      </c>
      <c r="AK94" s="177">
        <f t="shared" si="155"/>
        <v>0</v>
      </c>
      <c r="AL94" s="177">
        <f t="shared" si="155"/>
        <v>0</v>
      </c>
      <c r="AM94" s="177">
        <f t="shared" si="155"/>
        <v>0</v>
      </c>
      <c r="AN94" s="177">
        <f t="shared" si="155"/>
        <v>0</v>
      </c>
      <c r="AO94" s="177">
        <f t="shared" si="155"/>
        <v>0</v>
      </c>
      <c r="AP94" s="177">
        <f t="shared" si="155"/>
        <v>0</v>
      </c>
      <c r="AQ94" s="177">
        <f t="shared" si="155"/>
        <v>0</v>
      </c>
      <c r="AR94" s="177">
        <f t="shared" si="155"/>
        <v>0</v>
      </c>
      <c r="AS94" s="178">
        <f t="shared" si="117"/>
        <v>0</v>
      </c>
      <c r="AU94" s="177">
        <f t="shared" si="118"/>
        <v>0</v>
      </c>
      <c r="AV94" s="177">
        <f t="shared" si="119"/>
        <v>0</v>
      </c>
      <c r="AW94" s="177">
        <f t="shared" si="120"/>
        <v>0</v>
      </c>
      <c r="AX94" s="177">
        <f t="shared" si="121"/>
        <v>0</v>
      </c>
      <c r="AY94" s="177">
        <f t="shared" si="122"/>
        <v>0</v>
      </c>
      <c r="AZ94" s="177">
        <f t="shared" si="123"/>
        <v>0</v>
      </c>
      <c r="BA94" s="177">
        <f t="shared" si="124"/>
        <v>0</v>
      </c>
      <c r="BB94" s="177">
        <f t="shared" si="125"/>
        <v>0</v>
      </c>
      <c r="BC94" s="177">
        <f t="shared" si="126"/>
        <v>0</v>
      </c>
      <c r="BD94" s="177">
        <f t="shared" si="127"/>
        <v>0</v>
      </c>
      <c r="BE94" s="177">
        <f t="shared" si="128"/>
        <v>0</v>
      </c>
      <c r="BF94" s="177">
        <f t="shared" si="129"/>
        <v>0</v>
      </c>
      <c r="BG94" s="178">
        <f t="shared" si="130"/>
        <v>0</v>
      </c>
    </row>
    <row r="95" spans="1:59" ht="13.5" customHeight="1">
      <c r="A95" s="171">
        <f t="shared" si="131"/>
        <v>18</v>
      </c>
      <c r="B95" s="171" t="s">
        <v>2111</v>
      </c>
      <c r="C95" s="171" t="s">
        <v>1672</v>
      </c>
      <c r="D95" s="171" t="str">
        <f t="shared" si="133"/>
        <v>支付的其他与经营活动有关的现金（其他）</v>
      </c>
      <c r="E95" s="171"/>
      <c r="F95" s="172" t="str">
        <f t="shared" si="152"/>
        <v>Purchase system</v>
      </c>
      <c r="G95" s="172" t="s">
        <v>2942</v>
      </c>
      <c r="H95" s="77" t="s">
        <v>2613</v>
      </c>
      <c r="I95" s="173" t="s">
        <v>2614</v>
      </c>
      <c r="J95" s="173" t="s">
        <v>2046</v>
      </c>
      <c r="K95" s="183">
        <f>30280+15000</f>
        <v>45280</v>
      </c>
      <c r="L95" s="188">
        <v>45717</v>
      </c>
      <c r="M95" s="188">
        <v>45747</v>
      </c>
      <c r="N95" s="176">
        <f t="shared" si="153"/>
        <v>1</v>
      </c>
      <c r="O95" s="177">
        <f t="shared" ref="O95:Z97" si="156">IF(AND($L95&lt;=O$3,O$3&lt;=$M95),$K95/$N95,0)</f>
        <v>0</v>
      </c>
      <c r="P95" s="177">
        <f t="shared" si="156"/>
        <v>0</v>
      </c>
      <c r="Q95" s="177">
        <f t="shared" si="156"/>
        <v>45280</v>
      </c>
      <c r="R95" s="177">
        <f t="shared" si="156"/>
        <v>0</v>
      </c>
      <c r="S95" s="177">
        <f t="shared" si="156"/>
        <v>0</v>
      </c>
      <c r="T95" s="177">
        <f t="shared" si="156"/>
        <v>0</v>
      </c>
      <c r="U95" s="177">
        <f t="shared" si="156"/>
        <v>0</v>
      </c>
      <c r="V95" s="177">
        <f t="shared" si="156"/>
        <v>0</v>
      </c>
      <c r="W95" s="177">
        <f t="shared" si="156"/>
        <v>0</v>
      </c>
      <c r="X95" s="177">
        <f t="shared" si="156"/>
        <v>0</v>
      </c>
      <c r="Y95" s="177">
        <f t="shared" si="156"/>
        <v>0</v>
      </c>
      <c r="Z95" s="177">
        <f t="shared" si="156"/>
        <v>0</v>
      </c>
      <c r="AA95" s="178">
        <f t="shared" si="154"/>
        <v>45280</v>
      </c>
      <c r="AB95" s="173" t="s">
        <v>2046</v>
      </c>
      <c r="AC95" s="184">
        <f>30280*(1+AC1)</f>
        <v>31794</v>
      </c>
      <c r="AD95" s="175">
        <v>46082</v>
      </c>
      <c r="AE95" s="175">
        <v>46112</v>
      </c>
      <c r="AF95" s="176">
        <f t="shared" si="115"/>
        <v>1</v>
      </c>
      <c r="AG95" s="177">
        <f t="shared" ref="AG95:AR95" si="157">IF(AND($AD95&lt;=AG$3,AG$3&lt;=$AE95),$AC95/$AF95,0)</f>
        <v>0</v>
      </c>
      <c r="AH95" s="177">
        <f t="shared" si="157"/>
        <v>0</v>
      </c>
      <c r="AI95" s="177">
        <f t="shared" si="157"/>
        <v>31794</v>
      </c>
      <c r="AJ95" s="177">
        <f t="shared" si="157"/>
        <v>0</v>
      </c>
      <c r="AK95" s="177">
        <f t="shared" si="157"/>
        <v>0</v>
      </c>
      <c r="AL95" s="177">
        <f t="shared" si="157"/>
        <v>0</v>
      </c>
      <c r="AM95" s="177">
        <f t="shared" si="157"/>
        <v>0</v>
      </c>
      <c r="AN95" s="177">
        <f t="shared" si="157"/>
        <v>0</v>
      </c>
      <c r="AO95" s="177">
        <f t="shared" si="157"/>
        <v>0</v>
      </c>
      <c r="AP95" s="177">
        <f t="shared" si="157"/>
        <v>0</v>
      </c>
      <c r="AQ95" s="177">
        <f t="shared" si="157"/>
        <v>0</v>
      </c>
      <c r="AR95" s="177">
        <f t="shared" si="157"/>
        <v>0</v>
      </c>
      <c r="AS95" s="178">
        <f t="shared" si="117"/>
        <v>31794</v>
      </c>
      <c r="AU95" s="177">
        <f t="shared" si="118"/>
        <v>0</v>
      </c>
      <c r="AV95" s="177">
        <f t="shared" si="119"/>
        <v>0</v>
      </c>
      <c r="AW95" s="177">
        <f t="shared" si="120"/>
        <v>33383.700000000004</v>
      </c>
      <c r="AX95" s="177">
        <f t="shared" si="121"/>
        <v>0</v>
      </c>
      <c r="AY95" s="177">
        <f t="shared" si="122"/>
        <v>0</v>
      </c>
      <c r="AZ95" s="177">
        <f t="shared" si="123"/>
        <v>0</v>
      </c>
      <c r="BA95" s="177">
        <f t="shared" si="124"/>
        <v>0</v>
      </c>
      <c r="BB95" s="177">
        <f t="shared" si="125"/>
        <v>0</v>
      </c>
      <c r="BC95" s="177">
        <f t="shared" si="126"/>
        <v>0</v>
      </c>
      <c r="BD95" s="177">
        <f t="shared" si="127"/>
        <v>0</v>
      </c>
      <c r="BE95" s="177">
        <f t="shared" si="128"/>
        <v>0</v>
      </c>
      <c r="BF95" s="177">
        <f t="shared" si="129"/>
        <v>0</v>
      </c>
      <c r="BG95" s="178">
        <f t="shared" si="130"/>
        <v>33383.700000000004</v>
      </c>
    </row>
    <row r="96" spans="1:59" ht="13.5" customHeight="1">
      <c r="A96" s="171">
        <f t="shared" si="131"/>
        <v>19</v>
      </c>
      <c r="B96" s="171" t="s">
        <v>2111</v>
      </c>
      <c r="C96" s="171" t="s">
        <v>1549</v>
      </c>
      <c r="D96" s="171" t="str">
        <f t="shared" si="133"/>
        <v>支付的其他与经营活动有关的现金（其他）</v>
      </c>
      <c r="E96" s="171"/>
      <c r="F96" s="172" t="str">
        <f t="shared" si="152"/>
        <v>Employee Background Check</v>
      </c>
      <c r="G96" s="172"/>
      <c r="H96" s="77" t="s">
        <v>2613</v>
      </c>
      <c r="I96" s="173" t="s">
        <v>2614</v>
      </c>
      <c r="J96" s="173" t="s">
        <v>2046</v>
      </c>
      <c r="K96" s="183">
        <f>880*4</f>
        <v>3520</v>
      </c>
      <c r="L96" s="175">
        <v>45658</v>
      </c>
      <c r="M96" s="175">
        <v>46022</v>
      </c>
      <c r="N96" s="176">
        <f t="shared" si="153"/>
        <v>12</v>
      </c>
      <c r="O96" s="177">
        <f t="shared" si="156"/>
        <v>293.33333333333331</v>
      </c>
      <c r="P96" s="177">
        <f t="shared" si="156"/>
        <v>293.33333333333331</v>
      </c>
      <c r="Q96" s="177">
        <f t="shared" si="156"/>
        <v>293.33333333333331</v>
      </c>
      <c r="R96" s="177">
        <f t="shared" si="156"/>
        <v>293.33333333333331</v>
      </c>
      <c r="S96" s="177">
        <f t="shared" si="156"/>
        <v>293.33333333333331</v>
      </c>
      <c r="T96" s="177">
        <f t="shared" si="156"/>
        <v>293.33333333333331</v>
      </c>
      <c r="U96" s="177">
        <f t="shared" si="156"/>
        <v>293.33333333333331</v>
      </c>
      <c r="V96" s="177">
        <f t="shared" si="156"/>
        <v>293.33333333333331</v>
      </c>
      <c r="W96" s="177">
        <f t="shared" si="156"/>
        <v>293.33333333333331</v>
      </c>
      <c r="X96" s="177">
        <f t="shared" si="156"/>
        <v>293.33333333333331</v>
      </c>
      <c r="Y96" s="177">
        <f t="shared" si="156"/>
        <v>293.33333333333331</v>
      </c>
      <c r="Z96" s="177">
        <f t="shared" si="156"/>
        <v>293.33333333333331</v>
      </c>
      <c r="AA96" s="178">
        <f t="shared" si="154"/>
        <v>3520.0000000000005</v>
      </c>
      <c r="AB96" s="173" t="s">
        <v>2046</v>
      </c>
      <c r="AC96" s="184">
        <f>1000*(1+$AC$1)*7</f>
        <v>7350</v>
      </c>
      <c r="AD96" s="175">
        <v>46023</v>
      </c>
      <c r="AE96" s="175">
        <v>46387</v>
      </c>
      <c r="AF96" s="176">
        <f t="shared" si="115"/>
        <v>12</v>
      </c>
      <c r="AG96" s="177">
        <f t="shared" ref="AG96:AR96" si="158">IF(AND($AD96&lt;=AG$3,AG$3&lt;=$AE96),$AC96/$AF96,0)</f>
        <v>612.5</v>
      </c>
      <c r="AH96" s="177">
        <f t="shared" si="158"/>
        <v>612.5</v>
      </c>
      <c r="AI96" s="177">
        <f t="shared" si="158"/>
        <v>612.5</v>
      </c>
      <c r="AJ96" s="177">
        <f t="shared" si="158"/>
        <v>612.5</v>
      </c>
      <c r="AK96" s="177">
        <f t="shared" si="158"/>
        <v>612.5</v>
      </c>
      <c r="AL96" s="177">
        <f t="shared" si="158"/>
        <v>612.5</v>
      </c>
      <c r="AM96" s="177">
        <f t="shared" si="158"/>
        <v>612.5</v>
      </c>
      <c r="AN96" s="177">
        <f t="shared" si="158"/>
        <v>612.5</v>
      </c>
      <c r="AO96" s="177">
        <f t="shared" si="158"/>
        <v>612.5</v>
      </c>
      <c r="AP96" s="177">
        <f t="shared" si="158"/>
        <v>612.5</v>
      </c>
      <c r="AQ96" s="177">
        <f t="shared" si="158"/>
        <v>612.5</v>
      </c>
      <c r="AR96" s="177">
        <f t="shared" si="158"/>
        <v>612.5</v>
      </c>
      <c r="AS96" s="178">
        <f t="shared" si="117"/>
        <v>7350</v>
      </c>
      <c r="AU96" s="177">
        <f t="shared" si="118"/>
        <v>643.125</v>
      </c>
      <c r="AV96" s="177">
        <f t="shared" si="119"/>
        <v>643.125</v>
      </c>
      <c r="AW96" s="177">
        <f t="shared" si="120"/>
        <v>643.125</v>
      </c>
      <c r="AX96" s="177">
        <f t="shared" si="121"/>
        <v>643.125</v>
      </c>
      <c r="AY96" s="177">
        <f t="shared" si="122"/>
        <v>643.125</v>
      </c>
      <c r="AZ96" s="177">
        <f t="shared" si="123"/>
        <v>643.125</v>
      </c>
      <c r="BA96" s="177">
        <f t="shared" si="124"/>
        <v>643.125</v>
      </c>
      <c r="BB96" s="177">
        <f t="shared" si="125"/>
        <v>643.125</v>
      </c>
      <c r="BC96" s="177">
        <f t="shared" si="126"/>
        <v>643.125</v>
      </c>
      <c r="BD96" s="177">
        <f t="shared" si="127"/>
        <v>643.125</v>
      </c>
      <c r="BE96" s="177">
        <f t="shared" si="128"/>
        <v>643.125</v>
      </c>
      <c r="BF96" s="177">
        <f t="shared" si="129"/>
        <v>643.125</v>
      </c>
      <c r="BG96" s="178">
        <f t="shared" si="130"/>
        <v>7717.5</v>
      </c>
    </row>
    <row r="97" spans="1:59" ht="13.5" customHeight="1">
      <c r="A97" s="171">
        <f t="shared" si="131"/>
        <v>20</v>
      </c>
      <c r="B97" s="171" t="s">
        <v>2111</v>
      </c>
      <c r="C97" s="171" t="s">
        <v>1867</v>
      </c>
      <c r="D97" s="171" t="str">
        <f t="shared" si="133"/>
        <v>支付的其他与经营活动有关的现金（其他）</v>
      </c>
      <c r="E97" s="171"/>
      <c r="F97" s="172" t="str">
        <f t="shared" si="152"/>
        <v>Training Fees</v>
      </c>
      <c r="G97" s="172"/>
      <c r="H97" s="77" t="s">
        <v>2613</v>
      </c>
      <c r="I97" s="173" t="s">
        <v>2614</v>
      </c>
      <c r="J97" s="173" t="s">
        <v>2046</v>
      </c>
      <c r="K97" s="77"/>
      <c r="L97" s="175">
        <v>45658</v>
      </c>
      <c r="M97" s="175">
        <v>46022</v>
      </c>
      <c r="N97" s="176">
        <f t="shared" si="153"/>
        <v>12</v>
      </c>
      <c r="O97" s="177">
        <f t="shared" si="156"/>
        <v>0</v>
      </c>
      <c r="P97" s="177">
        <f t="shared" si="156"/>
        <v>0</v>
      </c>
      <c r="Q97" s="177">
        <f t="shared" si="156"/>
        <v>0</v>
      </c>
      <c r="R97" s="177">
        <f t="shared" si="156"/>
        <v>0</v>
      </c>
      <c r="S97" s="177">
        <f t="shared" si="156"/>
        <v>0</v>
      </c>
      <c r="T97" s="177">
        <f t="shared" si="156"/>
        <v>0</v>
      </c>
      <c r="U97" s="177">
        <f t="shared" si="156"/>
        <v>0</v>
      </c>
      <c r="V97" s="177">
        <f t="shared" si="156"/>
        <v>0</v>
      </c>
      <c r="W97" s="177">
        <f t="shared" si="156"/>
        <v>0</v>
      </c>
      <c r="X97" s="177">
        <f t="shared" si="156"/>
        <v>0</v>
      </c>
      <c r="Y97" s="177">
        <f t="shared" si="156"/>
        <v>0</v>
      </c>
      <c r="Z97" s="177">
        <f t="shared" si="156"/>
        <v>0</v>
      </c>
      <c r="AA97" s="178">
        <f t="shared" si="154"/>
        <v>0</v>
      </c>
      <c r="AB97" s="173" t="s">
        <v>2046</v>
      </c>
      <c r="AC97" s="184"/>
      <c r="AD97" s="175">
        <v>46023</v>
      </c>
      <c r="AE97" s="175">
        <v>46387</v>
      </c>
      <c r="AF97" s="176">
        <f t="shared" si="115"/>
        <v>12</v>
      </c>
      <c r="AG97" s="177">
        <f t="shared" ref="AG97:AR97" si="159">IF(AND($AD97&lt;=AG$3,AG$3&lt;=$AE97),$AC97/$AF97,0)</f>
        <v>0</v>
      </c>
      <c r="AH97" s="177">
        <f t="shared" si="159"/>
        <v>0</v>
      </c>
      <c r="AI97" s="177">
        <f t="shared" si="159"/>
        <v>0</v>
      </c>
      <c r="AJ97" s="177">
        <f t="shared" si="159"/>
        <v>0</v>
      </c>
      <c r="AK97" s="177">
        <f t="shared" si="159"/>
        <v>0</v>
      </c>
      <c r="AL97" s="177">
        <f t="shared" si="159"/>
        <v>0</v>
      </c>
      <c r="AM97" s="177">
        <f t="shared" si="159"/>
        <v>0</v>
      </c>
      <c r="AN97" s="177">
        <f t="shared" si="159"/>
        <v>0</v>
      </c>
      <c r="AO97" s="177">
        <f t="shared" si="159"/>
        <v>0</v>
      </c>
      <c r="AP97" s="177">
        <f t="shared" si="159"/>
        <v>0</v>
      </c>
      <c r="AQ97" s="177">
        <f t="shared" si="159"/>
        <v>0</v>
      </c>
      <c r="AR97" s="177">
        <f t="shared" si="159"/>
        <v>0</v>
      </c>
      <c r="AS97" s="178">
        <f t="shared" si="117"/>
        <v>0</v>
      </c>
      <c r="AU97" s="177">
        <f t="shared" si="118"/>
        <v>0</v>
      </c>
      <c r="AV97" s="177">
        <f t="shared" si="119"/>
        <v>0</v>
      </c>
      <c r="AW97" s="177">
        <f t="shared" si="120"/>
        <v>0</v>
      </c>
      <c r="AX97" s="177">
        <f t="shared" si="121"/>
        <v>0</v>
      </c>
      <c r="AY97" s="177">
        <f t="shared" si="122"/>
        <v>0</v>
      </c>
      <c r="AZ97" s="177">
        <f t="shared" si="123"/>
        <v>0</v>
      </c>
      <c r="BA97" s="177">
        <f t="shared" si="124"/>
        <v>0</v>
      </c>
      <c r="BB97" s="177">
        <f t="shared" si="125"/>
        <v>0</v>
      </c>
      <c r="BC97" s="177">
        <f t="shared" si="126"/>
        <v>0</v>
      </c>
      <c r="BD97" s="177">
        <f t="shared" si="127"/>
        <v>0</v>
      </c>
      <c r="BE97" s="177">
        <f t="shared" si="128"/>
        <v>0</v>
      </c>
      <c r="BF97" s="177">
        <f t="shared" si="129"/>
        <v>0</v>
      </c>
      <c r="BG97" s="178">
        <f t="shared" si="130"/>
        <v>0</v>
      </c>
    </row>
    <row r="99" spans="1:59" s="151" customFormat="1" ht="13.5" thickBot="1">
      <c r="K99" s="185">
        <f>SUM(K78:K98)</f>
        <v>146100</v>
      </c>
      <c r="L99" s="180"/>
      <c r="M99" s="180"/>
      <c r="O99" s="185">
        <f>SUM(O78:O98)</f>
        <v>8401.6666666666679</v>
      </c>
      <c r="P99" s="185">
        <f t="shared" ref="P99" si="160">SUM(P78:P98)</f>
        <v>8401.6666666666679</v>
      </c>
      <c r="Q99" s="185">
        <f t="shared" ref="Q99" si="161">SUM(Q78:Q98)</f>
        <v>53681.666666666672</v>
      </c>
      <c r="R99" s="185">
        <f t="shared" ref="R99" si="162">SUM(R78:R98)</f>
        <v>8401.6666666666679</v>
      </c>
      <c r="S99" s="185">
        <f t="shared" ref="S99" si="163">SUM(S78:S98)</f>
        <v>8401.6666666666679</v>
      </c>
      <c r="T99" s="185">
        <f t="shared" ref="T99" si="164">SUM(T78:T98)</f>
        <v>8401.6666666666679</v>
      </c>
      <c r="U99" s="185">
        <f t="shared" ref="U99" si="165">SUM(U78:U98)</f>
        <v>8401.6666666666679</v>
      </c>
      <c r="V99" s="185">
        <f t="shared" ref="V99" si="166">SUM(V78:V98)</f>
        <v>8401.6666666666679</v>
      </c>
      <c r="W99" s="185">
        <f t="shared" ref="W99" si="167">SUM(W78:W98)</f>
        <v>8401.6666666666679</v>
      </c>
      <c r="X99" s="185">
        <f t="shared" ref="X99" si="168">SUM(X78:X98)</f>
        <v>8401.6666666666679</v>
      </c>
      <c r="Y99" s="185">
        <f t="shared" ref="Y99" si="169">SUM(Y78:Y98)</f>
        <v>8401.6666666666679</v>
      </c>
      <c r="Z99" s="185">
        <f t="shared" ref="Z99" si="170">SUM(Z78:Z98)</f>
        <v>8401.6666666666679</v>
      </c>
      <c r="AA99" s="182">
        <f>SUBTOTAL(9,O99:Z99)</f>
        <v>146100.00000000003</v>
      </c>
      <c r="AC99" s="185">
        <f>SUM(AC78:AC98)</f>
        <v>288204</v>
      </c>
      <c r="AD99" s="180"/>
      <c r="AE99" s="180"/>
      <c r="AG99" s="185">
        <f>SUM(AG78:AG98)</f>
        <v>21367.499999999996</v>
      </c>
      <c r="AH99" s="185">
        <f t="shared" ref="AH99:AR99" si="171">SUM(AH78:AH98)</f>
        <v>21367.499999999996</v>
      </c>
      <c r="AI99" s="185">
        <f t="shared" si="171"/>
        <v>53161.5</v>
      </c>
      <c r="AJ99" s="185">
        <f t="shared" si="171"/>
        <v>21367.499999999996</v>
      </c>
      <c r="AK99" s="185">
        <f t="shared" si="171"/>
        <v>21367.499999999996</v>
      </c>
      <c r="AL99" s="185">
        <f t="shared" si="171"/>
        <v>21367.499999999996</v>
      </c>
      <c r="AM99" s="185">
        <f t="shared" si="171"/>
        <v>21367.499999999996</v>
      </c>
      <c r="AN99" s="185">
        <f t="shared" si="171"/>
        <v>21367.499999999996</v>
      </c>
      <c r="AO99" s="185">
        <f t="shared" si="171"/>
        <v>21367.499999999996</v>
      </c>
      <c r="AP99" s="185">
        <f t="shared" si="171"/>
        <v>21367.499999999996</v>
      </c>
      <c r="AQ99" s="185">
        <f t="shared" si="171"/>
        <v>21367.499999999996</v>
      </c>
      <c r="AR99" s="185">
        <f t="shared" si="171"/>
        <v>21367.499999999996</v>
      </c>
      <c r="AS99" s="182">
        <f>SUBTOTAL(9,AG99:AR99)</f>
        <v>288204</v>
      </c>
      <c r="AU99" s="185">
        <f>SUM(AU78:AU98)</f>
        <v>22435.875</v>
      </c>
      <c r="AV99" s="185">
        <f t="shared" ref="AV99:BF99" si="172">SUM(AV78:AV98)</f>
        <v>22435.875</v>
      </c>
      <c r="AW99" s="185">
        <f t="shared" si="172"/>
        <v>55819.575000000004</v>
      </c>
      <c r="AX99" s="185">
        <f t="shared" si="172"/>
        <v>22435.875</v>
      </c>
      <c r="AY99" s="185">
        <f t="shared" si="172"/>
        <v>22435.875</v>
      </c>
      <c r="AZ99" s="185">
        <f t="shared" si="172"/>
        <v>22435.875</v>
      </c>
      <c r="BA99" s="185">
        <f t="shared" si="172"/>
        <v>22435.875</v>
      </c>
      <c r="BB99" s="185">
        <f t="shared" si="172"/>
        <v>22435.875</v>
      </c>
      <c r="BC99" s="185">
        <f t="shared" si="172"/>
        <v>22435.875</v>
      </c>
      <c r="BD99" s="185">
        <f t="shared" si="172"/>
        <v>22435.875</v>
      </c>
      <c r="BE99" s="185">
        <f t="shared" si="172"/>
        <v>22435.875</v>
      </c>
      <c r="BF99" s="185">
        <f t="shared" si="172"/>
        <v>22435.875</v>
      </c>
      <c r="BG99" s="182">
        <f>SUBTOTAL(9,AU99:BF99)</f>
        <v>302614.2</v>
      </c>
    </row>
    <row r="100" spans="1:59" ht="13.5" thickTop="1"/>
    <row r="101" spans="1:59" s="150" customFormat="1" ht="13.5" customHeight="1">
      <c r="A101" s="162"/>
      <c r="B101" s="162" t="s">
        <v>2598</v>
      </c>
      <c r="C101" s="162" t="s">
        <v>2704</v>
      </c>
      <c r="D101" s="162" t="s">
        <v>2602</v>
      </c>
      <c r="E101" s="162" t="s">
        <v>2401</v>
      </c>
      <c r="F101" s="163" t="s">
        <v>2930</v>
      </c>
      <c r="G101" s="163" t="s">
        <v>2603</v>
      </c>
      <c r="H101" s="164" t="s">
        <v>2604</v>
      </c>
      <c r="I101" s="164" t="s">
        <v>2605</v>
      </c>
      <c r="J101" s="165" t="s">
        <v>2606</v>
      </c>
      <c r="K101" s="166" t="s">
        <v>2607</v>
      </c>
      <c r="L101" s="167" t="s">
        <v>2608</v>
      </c>
      <c r="M101" s="167" t="s">
        <v>2609</v>
      </c>
      <c r="N101" s="166" t="s">
        <v>2610</v>
      </c>
      <c r="O101" s="69">
        <v>45658</v>
      </c>
      <c r="P101" s="69">
        <v>45689</v>
      </c>
      <c r="Q101" s="69">
        <v>45717</v>
      </c>
      <c r="R101" s="69">
        <v>45748</v>
      </c>
      <c r="S101" s="69">
        <v>45778</v>
      </c>
      <c r="T101" s="69">
        <v>45809</v>
      </c>
      <c r="U101" s="69">
        <v>45839</v>
      </c>
      <c r="V101" s="69">
        <v>45870</v>
      </c>
      <c r="W101" s="69">
        <v>45901</v>
      </c>
      <c r="X101" s="69">
        <v>45931</v>
      </c>
      <c r="Y101" s="69">
        <v>45962</v>
      </c>
      <c r="Z101" s="69">
        <v>45992</v>
      </c>
      <c r="AA101" s="168" t="s">
        <v>2115</v>
      </c>
      <c r="AB101" s="165" t="s">
        <v>2606</v>
      </c>
      <c r="AC101" s="166" t="s">
        <v>2607</v>
      </c>
      <c r="AD101" s="167" t="s">
        <v>2608</v>
      </c>
      <c r="AE101" s="167" t="s">
        <v>2609</v>
      </c>
      <c r="AF101" s="166" t="s">
        <v>2610</v>
      </c>
      <c r="AG101" s="69">
        <v>46023</v>
      </c>
      <c r="AH101" s="69">
        <v>46054</v>
      </c>
      <c r="AI101" s="69">
        <v>46082</v>
      </c>
      <c r="AJ101" s="69">
        <v>46113</v>
      </c>
      <c r="AK101" s="69">
        <v>46143</v>
      </c>
      <c r="AL101" s="69">
        <v>46174</v>
      </c>
      <c r="AM101" s="69">
        <v>46204</v>
      </c>
      <c r="AN101" s="69">
        <v>46235</v>
      </c>
      <c r="AO101" s="69">
        <v>46266</v>
      </c>
      <c r="AP101" s="69">
        <v>46296</v>
      </c>
      <c r="AQ101" s="69">
        <v>46327</v>
      </c>
      <c r="AR101" s="69">
        <v>46357</v>
      </c>
      <c r="AS101" s="168" t="s">
        <v>2706</v>
      </c>
      <c r="AU101" s="69">
        <f t="shared" ref="AU101:BG101" si="173">AU3</f>
        <v>46388</v>
      </c>
      <c r="AV101" s="69">
        <f t="shared" si="173"/>
        <v>46419</v>
      </c>
      <c r="AW101" s="69">
        <f t="shared" si="173"/>
        <v>46447</v>
      </c>
      <c r="AX101" s="69">
        <f t="shared" si="173"/>
        <v>46478</v>
      </c>
      <c r="AY101" s="69">
        <f t="shared" si="173"/>
        <v>46508</v>
      </c>
      <c r="AZ101" s="69">
        <f t="shared" si="173"/>
        <v>46539</v>
      </c>
      <c r="BA101" s="69">
        <f t="shared" si="173"/>
        <v>46569</v>
      </c>
      <c r="BB101" s="69">
        <f t="shared" si="173"/>
        <v>46600</v>
      </c>
      <c r="BC101" s="69">
        <f t="shared" si="173"/>
        <v>46631</v>
      </c>
      <c r="BD101" s="69">
        <f t="shared" si="173"/>
        <v>46661</v>
      </c>
      <c r="BE101" s="69">
        <f t="shared" si="173"/>
        <v>46692</v>
      </c>
      <c r="BF101" s="69">
        <f t="shared" si="173"/>
        <v>46722</v>
      </c>
      <c r="BG101" s="168" t="str">
        <f t="shared" si="173"/>
        <v>2027Total</v>
      </c>
    </row>
    <row r="102" spans="1:59" ht="13.5" customHeight="1">
      <c r="A102" s="171">
        <v>1</v>
      </c>
      <c r="B102" s="171" t="s">
        <v>2242</v>
      </c>
      <c r="C102" s="171" t="s">
        <v>1646</v>
      </c>
      <c r="D102" s="171" t="str">
        <f>$D6</f>
        <v>支付的其他与经营活动有关的现金（其他）</v>
      </c>
      <c r="E102" s="171"/>
      <c r="F102" s="172" t="str">
        <f>IF(F6="","",F6)</f>
        <v>Office Supplies</v>
      </c>
      <c r="G102" s="172"/>
      <c r="H102" s="77" t="s">
        <v>2613</v>
      </c>
      <c r="I102" s="173" t="s">
        <v>2614</v>
      </c>
      <c r="J102" s="173" t="s">
        <v>2046</v>
      </c>
      <c r="K102" s="77"/>
      <c r="L102" s="175">
        <v>45658</v>
      </c>
      <c r="M102" s="175">
        <v>46022</v>
      </c>
      <c r="N102" s="176">
        <f>IF(AND(L102="",M102=""),"-",IF(M102="",12,DATEDIF(L102,M102,"M")+1))</f>
        <v>12</v>
      </c>
      <c r="O102" s="177">
        <f t="shared" ref="O102:Z118" si="174">IF(AND($L102&lt;=O$3,O$3&lt;=$M102),$K102/$N102,0)</f>
        <v>0</v>
      </c>
      <c r="P102" s="177">
        <f t="shared" si="174"/>
        <v>0</v>
      </c>
      <c r="Q102" s="177">
        <f t="shared" si="174"/>
        <v>0</v>
      </c>
      <c r="R102" s="177">
        <f t="shared" si="174"/>
        <v>0</v>
      </c>
      <c r="S102" s="177">
        <f t="shared" si="174"/>
        <v>0</v>
      </c>
      <c r="T102" s="177">
        <f t="shared" si="174"/>
        <v>0</v>
      </c>
      <c r="U102" s="177">
        <f t="shared" si="174"/>
        <v>0</v>
      </c>
      <c r="V102" s="177">
        <f t="shared" si="174"/>
        <v>0</v>
      </c>
      <c r="W102" s="177">
        <f t="shared" si="174"/>
        <v>0</v>
      </c>
      <c r="X102" s="177">
        <f t="shared" si="174"/>
        <v>0</v>
      </c>
      <c r="Y102" s="177">
        <f t="shared" si="174"/>
        <v>0</v>
      </c>
      <c r="Z102" s="177">
        <f t="shared" si="174"/>
        <v>0</v>
      </c>
      <c r="AA102" s="178">
        <f>SUM(O102:Z102)</f>
        <v>0</v>
      </c>
      <c r="AB102" s="173" t="s">
        <v>2046</v>
      </c>
      <c r="AC102" s="77"/>
      <c r="AD102" s="175">
        <v>46023</v>
      </c>
      <c r="AE102" s="175">
        <v>46387</v>
      </c>
      <c r="AF102" s="176">
        <f t="shared" ref="AF102:AF121" si="175">IF(AND(AD102="",AE102=""),"-",IF(AE102="",12,DATEDIF(AD102,AE102,"M")+1))</f>
        <v>12</v>
      </c>
      <c r="AG102" s="177">
        <f t="shared" ref="AG102:AR102" si="176">IF(AND($AD102&lt;=AG$3,AG$3&lt;=$AE102),$AC102/$AF102,0)</f>
        <v>0</v>
      </c>
      <c r="AH102" s="177">
        <f t="shared" si="176"/>
        <v>0</v>
      </c>
      <c r="AI102" s="177">
        <f t="shared" si="176"/>
        <v>0</v>
      </c>
      <c r="AJ102" s="177">
        <f t="shared" si="176"/>
        <v>0</v>
      </c>
      <c r="AK102" s="177">
        <f t="shared" si="176"/>
        <v>0</v>
      </c>
      <c r="AL102" s="177">
        <f t="shared" si="176"/>
        <v>0</v>
      </c>
      <c r="AM102" s="177">
        <f t="shared" si="176"/>
        <v>0</v>
      </c>
      <c r="AN102" s="177">
        <f t="shared" si="176"/>
        <v>0</v>
      </c>
      <c r="AO102" s="177">
        <f t="shared" si="176"/>
        <v>0</v>
      </c>
      <c r="AP102" s="177">
        <f t="shared" si="176"/>
        <v>0</v>
      </c>
      <c r="AQ102" s="177">
        <f t="shared" si="176"/>
        <v>0</v>
      </c>
      <c r="AR102" s="177">
        <f t="shared" si="176"/>
        <v>0</v>
      </c>
      <c r="AS102" s="178">
        <f t="shared" ref="AS102:AS121" si="177">SUM(AG102:AR102)</f>
        <v>0</v>
      </c>
      <c r="AU102" s="177">
        <f t="shared" ref="AU102:AU121" si="178">AG102*(1+$AU$1)</f>
        <v>0</v>
      </c>
      <c r="AV102" s="177">
        <f t="shared" ref="AV102:AV121" si="179">AH102*(1+$AU$1)</f>
        <v>0</v>
      </c>
      <c r="AW102" s="177">
        <f t="shared" ref="AW102:AW121" si="180">AI102*(1+$AU$1)</f>
        <v>0</v>
      </c>
      <c r="AX102" s="177">
        <f t="shared" ref="AX102:AX121" si="181">AJ102*(1+$AU$1)</f>
        <v>0</v>
      </c>
      <c r="AY102" s="177">
        <f t="shared" ref="AY102:AY121" si="182">AK102*(1+$AU$1)</f>
        <v>0</v>
      </c>
      <c r="AZ102" s="177">
        <f t="shared" ref="AZ102:AZ121" si="183">AL102*(1+$AU$1)</f>
        <v>0</v>
      </c>
      <c r="BA102" s="177">
        <f t="shared" ref="BA102:BA121" si="184">AM102*(1+$AU$1)</f>
        <v>0</v>
      </c>
      <c r="BB102" s="177">
        <f t="shared" ref="BB102:BB121" si="185">AN102*(1+$AU$1)</f>
        <v>0</v>
      </c>
      <c r="BC102" s="177">
        <f t="shared" ref="BC102:BC121" si="186">AO102*(1+$AU$1)</f>
        <v>0</v>
      </c>
      <c r="BD102" s="177">
        <f t="shared" ref="BD102:BD121" si="187">AP102*(1+$AU$1)</f>
        <v>0</v>
      </c>
      <c r="BE102" s="177">
        <f t="shared" ref="BE102:BE121" si="188">AQ102*(1+$AU$1)</f>
        <v>0</v>
      </c>
      <c r="BF102" s="177">
        <f t="shared" ref="BF102:BF121" si="189">AR102*(1+$AU$1)</f>
        <v>0</v>
      </c>
      <c r="BG102" s="178">
        <f t="shared" ref="BG102:BG121" si="190">SUM(AU102:BF102)</f>
        <v>0</v>
      </c>
    </row>
    <row r="103" spans="1:59" ht="13.5" customHeight="1">
      <c r="A103" s="171">
        <f t="shared" ref="A103:A121" si="191">IF(A102&lt;=0,FALSE,A102+1)</f>
        <v>2</v>
      </c>
      <c r="B103" s="171" t="s">
        <v>2242</v>
      </c>
      <c r="C103" s="171" t="s">
        <v>1844</v>
      </c>
      <c r="D103" s="171" t="str">
        <f t="shared" ref="D103:D121" si="192">$D7</f>
        <v>支付的其他与经营活动有关的现金（其他）</v>
      </c>
      <c r="E103" s="171"/>
      <c r="F103" s="172" t="str">
        <f>IF(F7="","",F7)</f>
        <v>Business registration fees</v>
      </c>
      <c r="G103" s="172" t="s">
        <v>2943</v>
      </c>
      <c r="H103" s="77" t="s">
        <v>2613</v>
      </c>
      <c r="I103" s="173" t="s">
        <v>2614</v>
      </c>
      <c r="J103" s="173" t="s">
        <v>2046</v>
      </c>
      <c r="K103" s="77">
        <v>5000</v>
      </c>
      <c r="L103" s="188">
        <v>45992</v>
      </c>
      <c r="M103" s="188">
        <v>46022</v>
      </c>
      <c r="N103" s="176">
        <f t="shared" ref="N103:N117" si="193">IF(AND(L103="",M103=""),"-",IF(M103="",12,DATEDIF(L103,M103,"M")+1))</f>
        <v>1</v>
      </c>
      <c r="O103" s="177">
        <f t="shared" si="174"/>
        <v>0</v>
      </c>
      <c r="P103" s="177">
        <f t="shared" si="174"/>
        <v>0</v>
      </c>
      <c r="Q103" s="177">
        <f t="shared" si="174"/>
        <v>0</v>
      </c>
      <c r="R103" s="177">
        <f t="shared" si="174"/>
        <v>0</v>
      </c>
      <c r="S103" s="177">
        <f t="shared" si="174"/>
        <v>0</v>
      </c>
      <c r="T103" s="177">
        <f t="shared" si="174"/>
        <v>0</v>
      </c>
      <c r="U103" s="177">
        <f t="shared" si="174"/>
        <v>0</v>
      </c>
      <c r="V103" s="177">
        <f t="shared" si="174"/>
        <v>0</v>
      </c>
      <c r="W103" s="177">
        <f t="shared" si="174"/>
        <v>0</v>
      </c>
      <c r="X103" s="177">
        <f t="shared" si="174"/>
        <v>0</v>
      </c>
      <c r="Y103" s="177">
        <f t="shared" si="174"/>
        <v>0</v>
      </c>
      <c r="Z103" s="177">
        <f t="shared" si="174"/>
        <v>5000</v>
      </c>
      <c r="AA103" s="178">
        <f t="shared" ref="AA103:AA117" si="194">SUM(O103:Z103)</f>
        <v>5000</v>
      </c>
      <c r="AB103" s="173" t="s">
        <v>2046</v>
      </c>
      <c r="AC103" s="174">
        <v>5000</v>
      </c>
      <c r="AD103" s="175">
        <v>46023</v>
      </c>
      <c r="AE103" s="175">
        <v>46203</v>
      </c>
      <c r="AF103" s="176">
        <f t="shared" si="175"/>
        <v>6</v>
      </c>
      <c r="AG103" s="177">
        <f t="shared" ref="AG103:AR103" si="195">IF(AND($AD103&lt;=AG$3,AG$3&lt;=$AE103),$AC103/$AF103,0)</f>
        <v>833.33333333333337</v>
      </c>
      <c r="AH103" s="177">
        <f t="shared" si="195"/>
        <v>833.33333333333337</v>
      </c>
      <c r="AI103" s="177">
        <f t="shared" si="195"/>
        <v>833.33333333333337</v>
      </c>
      <c r="AJ103" s="177">
        <f t="shared" si="195"/>
        <v>833.33333333333337</v>
      </c>
      <c r="AK103" s="177">
        <f t="shared" si="195"/>
        <v>833.33333333333337</v>
      </c>
      <c r="AL103" s="177">
        <f t="shared" si="195"/>
        <v>833.33333333333337</v>
      </c>
      <c r="AM103" s="177">
        <f t="shared" si="195"/>
        <v>0</v>
      </c>
      <c r="AN103" s="177">
        <f t="shared" si="195"/>
        <v>0</v>
      </c>
      <c r="AO103" s="177">
        <f t="shared" si="195"/>
        <v>0</v>
      </c>
      <c r="AP103" s="177">
        <f t="shared" si="195"/>
        <v>0</v>
      </c>
      <c r="AQ103" s="177">
        <f t="shared" si="195"/>
        <v>0</v>
      </c>
      <c r="AR103" s="177">
        <f t="shared" si="195"/>
        <v>0</v>
      </c>
      <c r="AS103" s="178">
        <f t="shared" si="177"/>
        <v>5000</v>
      </c>
      <c r="AU103" s="177">
        <f t="shared" si="178"/>
        <v>875.00000000000011</v>
      </c>
      <c r="AV103" s="177">
        <f t="shared" si="179"/>
        <v>875.00000000000011</v>
      </c>
      <c r="AW103" s="177">
        <f t="shared" si="180"/>
        <v>875.00000000000011</v>
      </c>
      <c r="AX103" s="177">
        <f t="shared" si="181"/>
        <v>875.00000000000011</v>
      </c>
      <c r="AY103" s="177">
        <f t="shared" si="182"/>
        <v>875.00000000000011</v>
      </c>
      <c r="AZ103" s="177">
        <f t="shared" si="183"/>
        <v>875.00000000000011</v>
      </c>
      <c r="BA103" s="177">
        <f t="shared" si="184"/>
        <v>0</v>
      </c>
      <c r="BB103" s="177">
        <f t="shared" si="185"/>
        <v>0</v>
      </c>
      <c r="BC103" s="177">
        <f t="shared" si="186"/>
        <v>0</v>
      </c>
      <c r="BD103" s="177">
        <f t="shared" si="187"/>
        <v>0</v>
      </c>
      <c r="BE103" s="177">
        <f t="shared" si="188"/>
        <v>0</v>
      </c>
      <c r="BF103" s="177">
        <f t="shared" si="189"/>
        <v>0</v>
      </c>
      <c r="BG103" s="178">
        <f t="shared" si="190"/>
        <v>5250.0000000000009</v>
      </c>
    </row>
    <row r="104" spans="1:59" ht="13.5" customHeight="1">
      <c r="A104" s="171">
        <f t="shared" si="191"/>
        <v>3</v>
      </c>
      <c r="B104" s="171" t="s">
        <v>2242</v>
      </c>
      <c r="C104" s="171" t="s">
        <v>1918</v>
      </c>
      <c r="D104" s="171" t="str">
        <f t="shared" si="192"/>
        <v>支付的其他与经营活动有关的现金（其他）</v>
      </c>
      <c r="E104" s="171"/>
      <c r="F104" s="172" t="str">
        <f>IF(F8="","",F8)</f>
        <v>Bank Handling Charges</v>
      </c>
      <c r="G104" s="172"/>
      <c r="H104" s="77" t="s">
        <v>2613</v>
      </c>
      <c r="I104" s="173" t="s">
        <v>2614</v>
      </c>
      <c r="J104" s="173" t="s">
        <v>2046</v>
      </c>
      <c r="K104" s="186">
        <v>1000</v>
      </c>
      <c r="L104" s="175">
        <v>45658</v>
      </c>
      <c r="M104" s="175">
        <v>46022</v>
      </c>
      <c r="N104" s="176">
        <f t="shared" si="193"/>
        <v>12</v>
      </c>
      <c r="O104" s="177">
        <f t="shared" si="174"/>
        <v>83.333333333333329</v>
      </c>
      <c r="P104" s="177">
        <f t="shared" si="174"/>
        <v>83.333333333333329</v>
      </c>
      <c r="Q104" s="177">
        <f t="shared" si="174"/>
        <v>83.333333333333329</v>
      </c>
      <c r="R104" s="177">
        <f t="shared" si="174"/>
        <v>83.333333333333329</v>
      </c>
      <c r="S104" s="177">
        <f t="shared" si="174"/>
        <v>83.333333333333329</v>
      </c>
      <c r="T104" s="177">
        <f t="shared" si="174"/>
        <v>83.333333333333329</v>
      </c>
      <c r="U104" s="177">
        <f t="shared" si="174"/>
        <v>83.333333333333329</v>
      </c>
      <c r="V104" s="177">
        <f t="shared" si="174"/>
        <v>83.333333333333329</v>
      </c>
      <c r="W104" s="177">
        <f t="shared" si="174"/>
        <v>83.333333333333329</v>
      </c>
      <c r="X104" s="177">
        <f t="shared" si="174"/>
        <v>83.333333333333329</v>
      </c>
      <c r="Y104" s="177">
        <f t="shared" si="174"/>
        <v>83.333333333333329</v>
      </c>
      <c r="Z104" s="177">
        <f t="shared" si="174"/>
        <v>83.333333333333329</v>
      </c>
      <c r="AA104" s="178">
        <f t="shared" si="194"/>
        <v>1000.0000000000001</v>
      </c>
      <c r="AB104" s="173" t="s">
        <v>2046</v>
      </c>
      <c r="AC104" s="184">
        <v>1000</v>
      </c>
      <c r="AD104" s="175">
        <v>46023</v>
      </c>
      <c r="AE104" s="175">
        <v>46387</v>
      </c>
      <c r="AF104" s="176">
        <f t="shared" si="175"/>
        <v>12</v>
      </c>
      <c r="AG104" s="177">
        <f t="shared" ref="AG104:AR104" si="196">IF(AND($AD104&lt;=AG$3,AG$3&lt;=$AE104),$AC104/$AF104,0)</f>
        <v>83.333333333333329</v>
      </c>
      <c r="AH104" s="177">
        <f t="shared" si="196"/>
        <v>83.333333333333329</v>
      </c>
      <c r="AI104" s="177">
        <f t="shared" si="196"/>
        <v>83.333333333333329</v>
      </c>
      <c r="AJ104" s="177">
        <f t="shared" si="196"/>
        <v>83.333333333333329</v>
      </c>
      <c r="AK104" s="177">
        <f t="shared" si="196"/>
        <v>83.333333333333329</v>
      </c>
      <c r="AL104" s="177">
        <f t="shared" si="196"/>
        <v>83.333333333333329</v>
      </c>
      <c r="AM104" s="177">
        <f t="shared" si="196"/>
        <v>83.333333333333329</v>
      </c>
      <c r="AN104" s="177">
        <f t="shared" si="196"/>
        <v>83.333333333333329</v>
      </c>
      <c r="AO104" s="177">
        <f t="shared" si="196"/>
        <v>83.333333333333329</v>
      </c>
      <c r="AP104" s="177">
        <f t="shared" si="196"/>
        <v>83.333333333333329</v>
      </c>
      <c r="AQ104" s="177">
        <f t="shared" si="196"/>
        <v>83.333333333333329</v>
      </c>
      <c r="AR104" s="177">
        <f t="shared" si="196"/>
        <v>83.333333333333329</v>
      </c>
      <c r="AS104" s="178">
        <f t="shared" si="177"/>
        <v>1000.0000000000001</v>
      </c>
      <c r="AU104" s="177">
        <f t="shared" si="178"/>
        <v>87.5</v>
      </c>
      <c r="AV104" s="177">
        <f t="shared" si="179"/>
        <v>87.5</v>
      </c>
      <c r="AW104" s="177">
        <f t="shared" si="180"/>
        <v>87.5</v>
      </c>
      <c r="AX104" s="177">
        <f t="shared" si="181"/>
        <v>87.5</v>
      </c>
      <c r="AY104" s="177">
        <f t="shared" si="182"/>
        <v>87.5</v>
      </c>
      <c r="AZ104" s="177">
        <f t="shared" si="183"/>
        <v>87.5</v>
      </c>
      <c r="BA104" s="177">
        <f t="shared" si="184"/>
        <v>87.5</v>
      </c>
      <c r="BB104" s="177">
        <f t="shared" si="185"/>
        <v>87.5</v>
      </c>
      <c r="BC104" s="177">
        <f t="shared" si="186"/>
        <v>87.5</v>
      </c>
      <c r="BD104" s="177">
        <f t="shared" si="187"/>
        <v>87.5</v>
      </c>
      <c r="BE104" s="177">
        <f t="shared" si="188"/>
        <v>87.5</v>
      </c>
      <c r="BF104" s="177">
        <f t="shared" si="189"/>
        <v>87.5</v>
      </c>
      <c r="BG104" s="178">
        <f t="shared" si="190"/>
        <v>1050</v>
      </c>
    </row>
    <row r="105" spans="1:59" ht="13.5" customHeight="1">
      <c r="A105" s="171">
        <f t="shared" si="191"/>
        <v>4</v>
      </c>
      <c r="B105" s="171" t="s">
        <v>2242</v>
      </c>
      <c r="C105" s="171" t="s">
        <v>1657</v>
      </c>
      <c r="D105" s="171" t="str">
        <f t="shared" si="192"/>
        <v>支付的其他与经营活动有关的现金（其他）</v>
      </c>
      <c r="E105" s="171"/>
      <c r="F105" s="172" t="str">
        <f>IF(F9="","",F9)</f>
        <v>Postage / Freight / Delivery</v>
      </c>
      <c r="G105" s="172"/>
      <c r="H105" s="77" t="s">
        <v>2613</v>
      </c>
      <c r="I105" s="173" t="s">
        <v>2614</v>
      </c>
      <c r="J105" s="173" t="s">
        <v>2046</v>
      </c>
      <c r="K105" s="77"/>
      <c r="L105" s="175">
        <v>45658</v>
      </c>
      <c r="M105" s="175">
        <v>46022</v>
      </c>
      <c r="N105" s="176">
        <f t="shared" si="193"/>
        <v>12</v>
      </c>
      <c r="O105" s="177">
        <f t="shared" si="174"/>
        <v>0</v>
      </c>
      <c r="P105" s="177">
        <f t="shared" si="174"/>
        <v>0</v>
      </c>
      <c r="Q105" s="177">
        <f t="shared" si="174"/>
        <v>0</v>
      </c>
      <c r="R105" s="177">
        <f t="shared" si="174"/>
        <v>0</v>
      </c>
      <c r="S105" s="177">
        <f t="shared" si="174"/>
        <v>0</v>
      </c>
      <c r="T105" s="177">
        <f t="shared" si="174"/>
        <v>0</v>
      </c>
      <c r="U105" s="177">
        <f t="shared" si="174"/>
        <v>0</v>
      </c>
      <c r="V105" s="177">
        <f t="shared" si="174"/>
        <v>0</v>
      </c>
      <c r="W105" s="177">
        <f t="shared" si="174"/>
        <v>0</v>
      </c>
      <c r="X105" s="177">
        <f t="shared" si="174"/>
        <v>0</v>
      </c>
      <c r="Y105" s="177">
        <f t="shared" si="174"/>
        <v>0</v>
      </c>
      <c r="Z105" s="177">
        <f t="shared" si="174"/>
        <v>0</v>
      </c>
      <c r="AA105" s="178">
        <f t="shared" si="194"/>
        <v>0</v>
      </c>
      <c r="AB105" s="173" t="s">
        <v>2046</v>
      </c>
      <c r="AC105" s="77"/>
      <c r="AD105" s="175">
        <v>46023</v>
      </c>
      <c r="AE105" s="175">
        <v>46387</v>
      </c>
      <c r="AF105" s="176">
        <f t="shared" si="175"/>
        <v>12</v>
      </c>
      <c r="AG105" s="177">
        <f t="shared" ref="AG105:AR105" si="197">IF(AND($AD105&lt;=AG$3,AG$3&lt;=$AE105),$AC105/$AF105,0)</f>
        <v>0</v>
      </c>
      <c r="AH105" s="177">
        <f t="shared" si="197"/>
        <v>0</v>
      </c>
      <c r="AI105" s="177">
        <f t="shared" si="197"/>
        <v>0</v>
      </c>
      <c r="AJ105" s="177">
        <f t="shared" si="197"/>
        <v>0</v>
      </c>
      <c r="AK105" s="177">
        <f t="shared" si="197"/>
        <v>0</v>
      </c>
      <c r="AL105" s="177">
        <f t="shared" si="197"/>
        <v>0</v>
      </c>
      <c r="AM105" s="177">
        <f t="shared" si="197"/>
        <v>0</v>
      </c>
      <c r="AN105" s="177">
        <f t="shared" si="197"/>
        <v>0</v>
      </c>
      <c r="AO105" s="177">
        <f t="shared" si="197"/>
        <v>0</v>
      </c>
      <c r="AP105" s="177">
        <f t="shared" si="197"/>
        <v>0</v>
      </c>
      <c r="AQ105" s="177">
        <f t="shared" si="197"/>
        <v>0</v>
      </c>
      <c r="AR105" s="177">
        <f t="shared" si="197"/>
        <v>0</v>
      </c>
      <c r="AS105" s="178">
        <f t="shared" si="177"/>
        <v>0</v>
      </c>
      <c r="AU105" s="177">
        <f t="shared" si="178"/>
        <v>0</v>
      </c>
      <c r="AV105" s="177">
        <f t="shared" si="179"/>
        <v>0</v>
      </c>
      <c r="AW105" s="177">
        <f t="shared" si="180"/>
        <v>0</v>
      </c>
      <c r="AX105" s="177">
        <f t="shared" si="181"/>
        <v>0</v>
      </c>
      <c r="AY105" s="177">
        <f t="shared" si="182"/>
        <v>0</v>
      </c>
      <c r="AZ105" s="177">
        <f t="shared" si="183"/>
        <v>0</v>
      </c>
      <c r="BA105" s="177">
        <f t="shared" si="184"/>
        <v>0</v>
      </c>
      <c r="BB105" s="177">
        <f t="shared" si="185"/>
        <v>0</v>
      </c>
      <c r="BC105" s="177">
        <f t="shared" si="186"/>
        <v>0</v>
      </c>
      <c r="BD105" s="177">
        <f t="shared" si="187"/>
        <v>0</v>
      </c>
      <c r="BE105" s="177">
        <f t="shared" si="188"/>
        <v>0</v>
      </c>
      <c r="BF105" s="177">
        <f t="shared" si="189"/>
        <v>0</v>
      </c>
      <c r="BG105" s="178">
        <f t="shared" si="190"/>
        <v>0</v>
      </c>
    </row>
    <row r="106" spans="1:59" ht="13.5" customHeight="1">
      <c r="A106" s="171">
        <f t="shared" si="191"/>
        <v>5</v>
      </c>
      <c r="B106" s="171" t="s">
        <v>2242</v>
      </c>
      <c r="C106" s="171" t="s">
        <v>1862</v>
      </c>
      <c r="D106" s="171" t="str">
        <f t="shared" si="192"/>
        <v>支付的其他与经营活动有关的现金（其他）</v>
      </c>
      <c r="E106" s="171" t="s">
        <v>2944</v>
      </c>
      <c r="F106" s="172" t="str">
        <f>IF(F10="","",F10)</f>
        <v>Corp. Membership Fee</v>
      </c>
      <c r="G106" s="172" t="s">
        <v>2945</v>
      </c>
      <c r="H106" s="77" t="s">
        <v>2613</v>
      </c>
      <c r="I106" s="173" t="s">
        <v>2614</v>
      </c>
      <c r="J106" s="173" t="s">
        <v>2046</v>
      </c>
      <c r="K106" s="77">
        <f>10000+5000</f>
        <v>15000</v>
      </c>
      <c r="L106" s="175">
        <v>45901</v>
      </c>
      <c r="M106" s="175">
        <v>45960</v>
      </c>
      <c r="N106" s="176">
        <f t="shared" si="193"/>
        <v>2</v>
      </c>
      <c r="O106" s="177">
        <f t="shared" si="174"/>
        <v>0</v>
      </c>
      <c r="P106" s="177">
        <f t="shared" si="174"/>
        <v>0</v>
      </c>
      <c r="Q106" s="177">
        <f t="shared" si="174"/>
        <v>0</v>
      </c>
      <c r="R106" s="177">
        <f t="shared" si="174"/>
        <v>0</v>
      </c>
      <c r="S106" s="177">
        <f t="shared" si="174"/>
        <v>0</v>
      </c>
      <c r="T106" s="177">
        <f t="shared" si="174"/>
        <v>0</v>
      </c>
      <c r="U106" s="177">
        <f t="shared" si="174"/>
        <v>0</v>
      </c>
      <c r="V106" s="177">
        <f t="shared" si="174"/>
        <v>0</v>
      </c>
      <c r="W106" s="177">
        <f t="shared" si="174"/>
        <v>7500</v>
      </c>
      <c r="X106" s="177">
        <f t="shared" si="174"/>
        <v>7500</v>
      </c>
      <c r="Y106" s="177">
        <f t="shared" si="174"/>
        <v>0</v>
      </c>
      <c r="Z106" s="177">
        <f t="shared" si="174"/>
        <v>0</v>
      </c>
      <c r="AA106" s="178">
        <f t="shared" si="194"/>
        <v>15000</v>
      </c>
      <c r="AB106" s="173" t="s">
        <v>2046</v>
      </c>
      <c r="AC106" s="77">
        <f>10000+10000</f>
        <v>20000</v>
      </c>
      <c r="AD106" s="175">
        <v>46054</v>
      </c>
      <c r="AE106" s="175">
        <v>46325</v>
      </c>
      <c r="AF106" s="176">
        <f t="shared" si="175"/>
        <v>9</v>
      </c>
      <c r="AG106" s="177">
        <f>IF(AND($AD106&lt;=AG$3,AG$3&lt;=$AE106),$AC106/$AF106,0)</f>
        <v>0</v>
      </c>
      <c r="AH106" s="177">
        <v>10000</v>
      </c>
      <c r="AI106" s="177"/>
      <c r="AJ106" s="177"/>
      <c r="AK106" s="177"/>
      <c r="AL106" s="177"/>
      <c r="AM106" s="177"/>
      <c r="AN106" s="177"/>
      <c r="AO106" s="177"/>
      <c r="AP106" s="177">
        <v>10000</v>
      </c>
      <c r="AQ106" s="177">
        <f>IF(AND($AD106&lt;=AQ$3,AQ$3&lt;=$AE106),$AC106/$AF106,0)</f>
        <v>0</v>
      </c>
      <c r="AR106" s="177">
        <f>IF(AND($AD106&lt;=AR$3,AR$3&lt;=$AE106),$AC106/$AF106,0)</f>
        <v>0</v>
      </c>
      <c r="AS106" s="178">
        <f t="shared" si="177"/>
        <v>20000</v>
      </c>
      <c r="AU106" s="177">
        <f t="shared" si="178"/>
        <v>0</v>
      </c>
      <c r="AV106" s="177">
        <f t="shared" si="179"/>
        <v>10500</v>
      </c>
      <c r="AW106" s="177">
        <f t="shared" si="180"/>
        <v>0</v>
      </c>
      <c r="AX106" s="177">
        <f t="shared" si="181"/>
        <v>0</v>
      </c>
      <c r="AY106" s="177">
        <f t="shared" si="182"/>
        <v>0</v>
      </c>
      <c r="AZ106" s="177">
        <f t="shared" si="183"/>
        <v>0</v>
      </c>
      <c r="BA106" s="177">
        <f t="shared" si="184"/>
        <v>0</v>
      </c>
      <c r="BB106" s="177">
        <f t="shared" si="185"/>
        <v>0</v>
      </c>
      <c r="BC106" s="177">
        <f t="shared" si="186"/>
        <v>0</v>
      </c>
      <c r="BD106" s="177">
        <f t="shared" si="187"/>
        <v>10500</v>
      </c>
      <c r="BE106" s="177">
        <f t="shared" si="188"/>
        <v>0</v>
      </c>
      <c r="BF106" s="177">
        <f t="shared" si="189"/>
        <v>0</v>
      </c>
      <c r="BG106" s="178">
        <f t="shared" si="190"/>
        <v>21000</v>
      </c>
    </row>
    <row r="107" spans="1:59" ht="13.5" customHeight="1">
      <c r="A107" s="171">
        <f t="shared" si="191"/>
        <v>6</v>
      </c>
      <c r="B107" s="171" t="s">
        <v>2242</v>
      </c>
      <c r="C107" s="171" t="s">
        <v>1676</v>
      </c>
      <c r="D107" s="171" t="str">
        <f t="shared" si="192"/>
        <v>支付的其他与经营活动有关的现金（其他）</v>
      </c>
      <c r="E107" s="171"/>
      <c r="F107" s="172" t="s">
        <v>1679</v>
      </c>
      <c r="G107" s="172"/>
      <c r="H107" s="77" t="s">
        <v>2613</v>
      </c>
      <c r="I107" s="173" t="s">
        <v>2614</v>
      </c>
      <c r="J107" s="173" t="s">
        <v>2046</v>
      </c>
      <c r="K107" s="77"/>
      <c r="L107" s="175">
        <v>45658</v>
      </c>
      <c r="M107" s="175">
        <v>46022</v>
      </c>
      <c r="N107" s="176">
        <f t="shared" si="193"/>
        <v>12</v>
      </c>
      <c r="O107" s="177">
        <f t="shared" si="174"/>
        <v>0</v>
      </c>
      <c r="P107" s="177">
        <f t="shared" si="174"/>
        <v>0</v>
      </c>
      <c r="Q107" s="177">
        <f t="shared" si="174"/>
        <v>0</v>
      </c>
      <c r="R107" s="177">
        <f t="shared" si="174"/>
        <v>0</v>
      </c>
      <c r="S107" s="177">
        <f t="shared" si="174"/>
        <v>0</v>
      </c>
      <c r="T107" s="177">
        <f t="shared" si="174"/>
        <v>0</v>
      </c>
      <c r="U107" s="177">
        <f t="shared" si="174"/>
        <v>0</v>
      </c>
      <c r="V107" s="177">
        <f t="shared" si="174"/>
        <v>0</v>
      </c>
      <c r="W107" s="177">
        <f t="shared" si="174"/>
        <v>0</v>
      </c>
      <c r="X107" s="177">
        <f t="shared" si="174"/>
        <v>0</v>
      </c>
      <c r="Y107" s="177">
        <f t="shared" si="174"/>
        <v>0</v>
      </c>
      <c r="Z107" s="177">
        <f t="shared" si="174"/>
        <v>0</v>
      </c>
      <c r="AA107" s="178">
        <f t="shared" si="194"/>
        <v>0</v>
      </c>
      <c r="AB107" s="173" t="s">
        <v>2046</v>
      </c>
      <c r="AC107" s="77"/>
      <c r="AD107" s="175">
        <v>46023</v>
      </c>
      <c r="AE107" s="175">
        <v>46387</v>
      </c>
      <c r="AF107" s="176">
        <f t="shared" si="175"/>
        <v>12</v>
      </c>
      <c r="AG107" s="177">
        <f t="shared" ref="AG107:AR107" si="198">IF(AND($AD107&lt;=AG$3,AG$3&lt;=$AE107),$AC107/$AF107,0)</f>
        <v>0</v>
      </c>
      <c r="AH107" s="177">
        <f t="shared" si="198"/>
        <v>0</v>
      </c>
      <c r="AI107" s="177">
        <f t="shared" si="198"/>
        <v>0</v>
      </c>
      <c r="AJ107" s="177">
        <f t="shared" si="198"/>
        <v>0</v>
      </c>
      <c r="AK107" s="177">
        <f t="shared" si="198"/>
        <v>0</v>
      </c>
      <c r="AL107" s="177">
        <f t="shared" si="198"/>
        <v>0</v>
      </c>
      <c r="AM107" s="177">
        <f t="shared" si="198"/>
        <v>0</v>
      </c>
      <c r="AN107" s="177">
        <f t="shared" si="198"/>
        <v>0</v>
      </c>
      <c r="AO107" s="177">
        <f t="shared" si="198"/>
        <v>0</v>
      </c>
      <c r="AP107" s="177">
        <f t="shared" si="198"/>
        <v>0</v>
      </c>
      <c r="AQ107" s="177">
        <f t="shared" si="198"/>
        <v>0</v>
      </c>
      <c r="AR107" s="177">
        <f t="shared" si="198"/>
        <v>0</v>
      </c>
      <c r="AS107" s="178">
        <f t="shared" si="177"/>
        <v>0</v>
      </c>
      <c r="AU107" s="177">
        <f t="shared" si="178"/>
        <v>0</v>
      </c>
      <c r="AV107" s="177">
        <f t="shared" si="179"/>
        <v>0</v>
      </c>
      <c r="AW107" s="177">
        <f t="shared" si="180"/>
        <v>0</v>
      </c>
      <c r="AX107" s="177">
        <f t="shared" si="181"/>
        <v>0</v>
      </c>
      <c r="AY107" s="177">
        <f t="shared" si="182"/>
        <v>0</v>
      </c>
      <c r="AZ107" s="177">
        <f t="shared" si="183"/>
        <v>0</v>
      </c>
      <c r="BA107" s="177">
        <f t="shared" si="184"/>
        <v>0</v>
      </c>
      <c r="BB107" s="177">
        <f t="shared" si="185"/>
        <v>0</v>
      </c>
      <c r="BC107" s="177">
        <f t="shared" si="186"/>
        <v>0</v>
      </c>
      <c r="BD107" s="177">
        <f t="shared" si="187"/>
        <v>0</v>
      </c>
      <c r="BE107" s="177">
        <f t="shared" si="188"/>
        <v>0</v>
      </c>
      <c r="BF107" s="177">
        <f t="shared" si="189"/>
        <v>0</v>
      </c>
      <c r="BG107" s="178">
        <f t="shared" si="190"/>
        <v>0</v>
      </c>
    </row>
    <row r="108" spans="1:59" ht="13.5" customHeight="1">
      <c r="A108" s="171">
        <f t="shared" si="191"/>
        <v>7</v>
      </c>
      <c r="B108" s="171" t="s">
        <v>2242</v>
      </c>
      <c r="C108" s="171" t="s">
        <v>1684</v>
      </c>
      <c r="D108" s="171" t="str">
        <f t="shared" si="192"/>
        <v>支付的其他与经营活动有关的现金（其他）</v>
      </c>
      <c r="E108" s="171"/>
      <c r="F108" s="172" t="str">
        <f t="shared" ref="F108:F117" si="199">IF(F12="","",F12)</f>
        <v>Water Dispenser Inspection Fee</v>
      </c>
      <c r="G108" s="172"/>
      <c r="H108" s="77" t="s">
        <v>2613</v>
      </c>
      <c r="I108" s="173" t="s">
        <v>2614</v>
      </c>
      <c r="J108" s="173" t="s">
        <v>2046</v>
      </c>
      <c r="K108" s="77"/>
      <c r="L108" s="175">
        <v>45962</v>
      </c>
      <c r="M108" s="175">
        <v>45991</v>
      </c>
      <c r="N108" s="176">
        <f t="shared" si="193"/>
        <v>1</v>
      </c>
      <c r="O108" s="177">
        <f t="shared" si="174"/>
        <v>0</v>
      </c>
      <c r="P108" s="177">
        <f t="shared" si="174"/>
        <v>0</v>
      </c>
      <c r="Q108" s="177">
        <f t="shared" si="174"/>
        <v>0</v>
      </c>
      <c r="R108" s="177">
        <f t="shared" si="174"/>
        <v>0</v>
      </c>
      <c r="S108" s="177">
        <f t="shared" si="174"/>
        <v>0</v>
      </c>
      <c r="T108" s="177">
        <f t="shared" si="174"/>
        <v>0</v>
      </c>
      <c r="U108" s="177">
        <f t="shared" si="174"/>
        <v>0</v>
      </c>
      <c r="V108" s="177">
        <f t="shared" si="174"/>
        <v>0</v>
      </c>
      <c r="W108" s="177">
        <f t="shared" si="174"/>
        <v>0</v>
      </c>
      <c r="X108" s="177">
        <f t="shared" si="174"/>
        <v>0</v>
      </c>
      <c r="Y108" s="177">
        <f t="shared" si="174"/>
        <v>0</v>
      </c>
      <c r="Z108" s="177">
        <f t="shared" si="174"/>
        <v>0</v>
      </c>
      <c r="AA108" s="178">
        <f t="shared" si="194"/>
        <v>0</v>
      </c>
      <c r="AB108" s="173" t="s">
        <v>2046</v>
      </c>
      <c r="AC108" s="77"/>
      <c r="AD108" s="175">
        <v>46327</v>
      </c>
      <c r="AE108" s="175">
        <v>46356</v>
      </c>
      <c r="AF108" s="176">
        <f t="shared" si="175"/>
        <v>1</v>
      </c>
      <c r="AG108" s="177">
        <f t="shared" ref="AG108:AR108" si="200">IF(AND($AD108&lt;=AG$3,AG$3&lt;=$AE108),$AC108/$AF108,0)</f>
        <v>0</v>
      </c>
      <c r="AH108" s="177">
        <f t="shared" si="200"/>
        <v>0</v>
      </c>
      <c r="AI108" s="177">
        <f t="shared" si="200"/>
        <v>0</v>
      </c>
      <c r="AJ108" s="177">
        <f t="shared" si="200"/>
        <v>0</v>
      </c>
      <c r="AK108" s="177">
        <f t="shared" si="200"/>
        <v>0</v>
      </c>
      <c r="AL108" s="177">
        <f t="shared" si="200"/>
        <v>0</v>
      </c>
      <c r="AM108" s="177">
        <f t="shared" si="200"/>
        <v>0</v>
      </c>
      <c r="AN108" s="177">
        <f t="shared" si="200"/>
        <v>0</v>
      </c>
      <c r="AO108" s="177">
        <f t="shared" si="200"/>
        <v>0</v>
      </c>
      <c r="AP108" s="177">
        <f t="shared" si="200"/>
        <v>0</v>
      </c>
      <c r="AQ108" s="177">
        <f t="shared" si="200"/>
        <v>0</v>
      </c>
      <c r="AR108" s="177">
        <f t="shared" si="200"/>
        <v>0</v>
      </c>
      <c r="AS108" s="178">
        <f t="shared" si="177"/>
        <v>0</v>
      </c>
      <c r="AU108" s="177">
        <f t="shared" si="178"/>
        <v>0</v>
      </c>
      <c r="AV108" s="177">
        <f t="shared" si="179"/>
        <v>0</v>
      </c>
      <c r="AW108" s="177">
        <f t="shared" si="180"/>
        <v>0</v>
      </c>
      <c r="AX108" s="177">
        <f t="shared" si="181"/>
        <v>0</v>
      </c>
      <c r="AY108" s="177">
        <f t="shared" si="182"/>
        <v>0</v>
      </c>
      <c r="AZ108" s="177">
        <f t="shared" si="183"/>
        <v>0</v>
      </c>
      <c r="BA108" s="177">
        <f t="shared" si="184"/>
        <v>0</v>
      </c>
      <c r="BB108" s="177">
        <f t="shared" si="185"/>
        <v>0</v>
      </c>
      <c r="BC108" s="177">
        <f t="shared" si="186"/>
        <v>0</v>
      </c>
      <c r="BD108" s="177">
        <f t="shared" si="187"/>
        <v>0</v>
      </c>
      <c r="BE108" s="177">
        <f t="shared" si="188"/>
        <v>0</v>
      </c>
      <c r="BF108" s="177">
        <f t="shared" si="189"/>
        <v>0</v>
      </c>
      <c r="BG108" s="178">
        <f t="shared" si="190"/>
        <v>0</v>
      </c>
    </row>
    <row r="109" spans="1:59" ht="13.5" customHeight="1">
      <c r="A109" s="171">
        <f t="shared" si="191"/>
        <v>8</v>
      </c>
      <c r="B109" s="171" t="s">
        <v>2242</v>
      </c>
      <c r="C109" s="171" t="s">
        <v>1894</v>
      </c>
      <c r="D109" s="171" t="str">
        <f t="shared" si="192"/>
        <v>汇率变动对现金的影响额</v>
      </c>
      <c r="E109" s="171"/>
      <c r="F109" s="172" t="str">
        <f t="shared" si="199"/>
        <v>FX Gain / Loss Net</v>
      </c>
      <c r="G109" s="172"/>
      <c r="H109" s="77" t="s">
        <v>2613</v>
      </c>
      <c r="I109" s="173" t="s">
        <v>2614</v>
      </c>
      <c r="J109" s="173" t="s">
        <v>2046</v>
      </c>
      <c r="K109" s="77"/>
      <c r="L109" s="175">
        <v>45658</v>
      </c>
      <c r="M109" s="175">
        <v>46022</v>
      </c>
      <c r="N109" s="176">
        <f t="shared" si="193"/>
        <v>12</v>
      </c>
      <c r="O109" s="177">
        <f t="shared" si="174"/>
        <v>0</v>
      </c>
      <c r="P109" s="177">
        <f t="shared" si="174"/>
        <v>0</v>
      </c>
      <c r="Q109" s="177">
        <f t="shared" si="174"/>
        <v>0</v>
      </c>
      <c r="R109" s="177">
        <f t="shared" si="174"/>
        <v>0</v>
      </c>
      <c r="S109" s="177">
        <f t="shared" si="174"/>
        <v>0</v>
      </c>
      <c r="T109" s="177">
        <f t="shared" si="174"/>
        <v>0</v>
      </c>
      <c r="U109" s="177">
        <f t="shared" si="174"/>
        <v>0</v>
      </c>
      <c r="V109" s="177">
        <f t="shared" si="174"/>
        <v>0</v>
      </c>
      <c r="W109" s="177">
        <f t="shared" si="174"/>
        <v>0</v>
      </c>
      <c r="X109" s="177">
        <f t="shared" si="174"/>
        <v>0</v>
      </c>
      <c r="Y109" s="177">
        <f t="shared" si="174"/>
        <v>0</v>
      </c>
      <c r="Z109" s="177">
        <f t="shared" si="174"/>
        <v>0</v>
      </c>
      <c r="AA109" s="178">
        <f t="shared" si="194"/>
        <v>0</v>
      </c>
      <c r="AB109" s="173" t="s">
        <v>2046</v>
      </c>
      <c r="AC109" s="77"/>
      <c r="AD109" s="175">
        <v>46023</v>
      </c>
      <c r="AE109" s="175">
        <v>46387</v>
      </c>
      <c r="AF109" s="176">
        <f t="shared" si="175"/>
        <v>12</v>
      </c>
      <c r="AG109" s="177">
        <f t="shared" ref="AG109:AR109" si="201">IF(AND($AD109&lt;=AG$3,AG$3&lt;=$AE109),$AC109/$AF109,0)</f>
        <v>0</v>
      </c>
      <c r="AH109" s="177">
        <f t="shared" si="201"/>
        <v>0</v>
      </c>
      <c r="AI109" s="177">
        <f t="shared" si="201"/>
        <v>0</v>
      </c>
      <c r="AJ109" s="177">
        <f t="shared" si="201"/>
        <v>0</v>
      </c>
      <c r="AK109" s="177">
        <f t="shared" si="201"/>
        <v>0</v>
      </c>
      <c r="AL109" s="177">
        <f t="shared" si="201"/>
        <v>0</v>
      </c>
      <c r="AM109" s="177">
        <f t="shared" si="201"/>
        <v>0</v>
      </c>
      <c r="AN109" s="177">
        <f t="shared" si="201"/>
        <v>0</v>
      </c>
      <c r="AO109" s="177">
        <f t="shared" si="201"/>
        <v>0</v>
      </c>
      <c r="AP109" s="177">
        <f t="shared" si="201"/>
        <v>0</v>
      </c>
      <c r="AQ109" s="177">
        <f t="shared" si="201"/>
        <v>0</v>
      </c>
      <c r="AR109" s="177">
        <f t="shared" si="201"/>
        <v>0</v>
      </c>
      <c r="AS109" s="178">
        <f t="shared" si="177"/>
        <v>0</v>
      </c>
      <c r="AU109" s="177">
        <f t="shared" si="178"/>
        <v>0</v>
      </c>
      <c r="AV109" s="177">
        <f t="shared" si="179"/>
        <v>0</v>
      </c>
      <c r="AW109" s="177">
        <f t="shared" si="180"/>
        <v>0</v>
      </c>
      <c r="AX109" s="177">
        <f t="shared" si="181"/>
        <v>0</v>
      </c>
      <c r="AY109" s="177">
        <f t="shared" si="182"/>
        <v>0</v>
      </c>
      <c r="AZ109" s="177">
        <f t="shared" si="183"/>
        <v>0</v>
      </c>
      <c r="BA109" s="177">
        <f t="shared" si="184"/>
        <v>0</v>
      </c>
      <c r="BB109" s="177">
        <f t="shared" si="185"/>
        <v>0</v>
      </c>
      <c r="BC109" s="177">
        <f t="shared" si="186"/>
        <v>0</v>
      </c>
      <c r="BD109" s="177">
        <f t="shared" si="187"/>
        <v>0</v>
      </c>
      <c r="BE109" s="177">
        <f t="shared" si="188"/>
        <v>0</v>
      </c>
      <c r="BF109" s="177">
        <f t="shared" si="189"/>
        <v>0</v>
      </c>
      <c r="BG109" s="178">
        <f t="shared" si="190"/>
        <v>0</v>
      </c>
    </row>
    <row r="110" spans="1:59" ht="13.5" customHeight="1">
      <c r="A110" s="171">
        <f t="shared" si="191"/>
        <v>9</v>
      </c>
      <c r="B110" s="171" t="s">
        <v>2242</v>
      </c>
      <c r="C110" s="171" t="s">
        <v>1646</v>
      </c>
      <c r="D110" s="171" t="str">
        <f t="shared" si="192"/>
        <v>支付的其他与经营活动有关的现金（其他）</v>
      </c>
      <c r="E110" s="171"/>
      <c r="F110" s="172" t="str">
        <f t="shared" si="199"/>
        <v>Printing</v>
      </c>
      <c r="G110" s="172"/>
      <c r="H110" s="77" t="s">
        <v>2613</v>
      </c>
      <c r="I110" s="173" t="s">
        <v>2614</v>
      </c>
      <c r="J110" s="173" t="s">
        <v>2046</v>
      </c>
      <c r="K110" s="77"/>
      <c r="L110" s="175">
        <v>45658</v>
      </c>
      <c r="M110" s="175">
        <v>46022</v>
      </c>
      <c r="N110" s="176">
        <f t="shared" si="193"/>
        <v>12</v>
      </c>
      <c r="O110" s="177">
        <f t="shared" si="174"/>
        <v>0</v>
      </c>
      <c r="P110" s="177">
        <f t="shared" si="174"/>
        <v>0</v>
      </c>
      <c r="Q110" s="177">
        <f t="shared" si="174"/>
        <v>0</v>
      </c>
      <c r="R110" s="177">
        <f t="shared" si="174"/>
        <v>0</v>
      </c>
      <c r="S110" s="177">
        <f t="shared" si="174"/>
        <v>0</v>
      </c>
      <c r="T110" s="177">
        <f t="shared" si="174"/>
        <v>0</v>
      </c>
      <c r="U110" s="177">
        <f t="shared" si="174"/>
        <v>0</v>
      </c>
      <c r="V110" s="177">
        <f t="shared" si="174"/>
        <v>0</v>
      </c>
      <c r="W110" s="177">
        <f t="shared" si="174"/>
        <v>0</v>
      </c>
      <c r="X110" s="177">
        <f t="shared" si="174"/>
        <v>0</v>
      </c>
      <c r="Y110" s="177">
        <f t="shared" si="174"/>
        <v>0</v>
      </c>
      <c r="Z110" s="177">
        <f t="shared" si="174"/>
        <v>0</v>
      </c>
      <c r="AA110" s="178">
        <f t="shared" si="194"/>
        <v>0</v>
      </c>
      <c r="AB110" s="173" t="s">
        <v>2046</v>
      </c>
      <c r="AC110" s="77"/>
      <c r="AD110" s="175">
        <v>46023</v>
      </c>
      <c r="AE110" s="175">
        <v>46387</v>
      </c>
      <c r="AF110" s="176">
        <f t="shared" si="175"/>
        <v>12</v>
      </c>
      <c r="AG110" s="177">
        <f t="shared" ref="AG110:AR110" si="202">IF(AND($AD110&lt;=AG$3,AG$3&lt;=$AE110),$AC110/$AF110,0)</f>
        <v>0</v>
      </c>
      <c r="AH110" s="177">
        <f t="shared" si="202"/>
        <v>0</v>
      </c>
      <c r="AI110" s="177">
        <f t="shared" si="202"/>
        <v>0</v>
      </c>
      <c r="AJ110" s="177">
        <f t="shared" si="202"/>
        <v>0</v>
      </c>
      <c r="AK110" s="177">
        <f t="shared" si="202"/>
        <v>0</v>
      </c>
      <c r="AL110" s="177">
        <f t="shared" si="202"/>
        <v>0</v>
      </c>
      <c r="AM110" s="177">
        <f t="shared" si="202"/>
        <v>0</v>
      </c>
      <c r="AN110" s="177">
        <f t="shared" si="202"/>
        <v>0</v>
      </c>
      <c r="AO110" s="177">
        <f t="shared" si="202"/>
        <v>0</v>
      </c>
      <c r="AP110" s="177">
        <f t="shared" si="202"/>
        <v>0</v>
      </c>
      <c r="AQ110" s="177">
        <f t="shared" si="202"/>
        <v>0</v>
      </c>
      <c r="AR110" s="177">
        <f t="shared" si="202"/>
        <v>0</v>
      </c>
      <c r="AS110" s="178">
        <f t="shared" si="177"/>
        <v>0</v>
      </c>
      <c r="AU110" s="177">
        <f t="shared" si="178"/>
        <v>0</v>
      </c>
      <c r="AV110" s="177">
        <f t="shared" si="179"/>
        <v>0</v>
      </c>
      <c r="AW110" s="177">
        <f t="shared" si="180"/>
        <v>0</v>
      </c>
      <c r="AX110" s="177">
        <f t="shared" si="181"/>
        <v>0</v>
      </c>
      <c r="AY110" s="177">
        <f t="shared" si="182"/>
        <v>0</v>
      </c>
      <c r="AZ110" s="177">
        <f t="shared" si="183"/>
        <v>0</v>
      </c>
      <c r="BA110" s="177">
        <f t="shared" si="184"/>
        <v>0</v>
      </c>
      <c r="BB110" s="177">
        <f t="shared" si="185"/>
        <v>0</v>
      </c>
      <c r="BC110" s="177">
        <f t="shared" si="186"/>
        <v>0</v>
      </c>
      <c r="BD110" s="177">
        <f t="shared" si="187"/>
        <v>0</v>
      </c>
      <c r="BE110" s="177">
        <f t="shared" si="188"/>
        <v>0</v>
      </c>
      <c r="BF110" s="177">
        <f t="shared" si="189"/>
        <v>0</v>
      </c>
      <c r="BG110" s="178">
        <f t="shared" si="190"/>
        <v>0</v>
      </c>
    </row>
    <row r="111" spans="1:59" ht="13.5" customHeight="1">
      <c r="A111" s="171">
        <f t="shared" si="191"/>
        <v>10</v>
      </c>
      <c r="B111" s="171" t="s">
        <v>2242</v>
      </c>
      <c r="C111" s="171"/>
      <c r="D111" s="171" t="str">
        <f t="shared" si="192"/>
        <v>购建固定资产、无形资产和其他长期资产支付的现金</v>
      </c>
      <c r="E111" s="171"/>
      <c r="F111" s="172" t="str">
        <f t="shared" si="199"/>
        <v>Purchase Furniture</v>
      </c>
      <c r="G111" s="172"/>
      <c r="H111" s="77" t="s">
        <v>2613</v>
      </c>
      <c r="I111" s="173" t="s">
        <v>2614</v>
      </c>
      <c r="J111" s="173" t="s">
        <v>2046</v>
      </c>
      <c r="K111" s="77"/>
      <c r="L111" s="175">
        <v>45658</v>
      </c>
      <c r="M111" s="175">
        <v>46022</v>
      </c>
      <c r="N111" s="176">
        <f t="shared" si="193"/>
        <v>12</v>
      </c>
      <c r="O111" s="177">
        <f t="shared" si="174"/>
        <v>0</v>
      </c>
      <c r="P111" s="177">
        <f t="shared" si="174"/>
        <v>0</v>
      </c>
      <c r="Q111" s="177">
        <f t="shared" si="174"/>
        <v>0</v>
      </c>
      <c r="R111" s="177">
        <f t="shared" si="174"/>
        <v>0</v>
      </c>
      <c r="S111" s="177">
        <f t="shared" si="174"/>
        <v>0</v>
      </c>
      <c r="T111" s="177">
        <f t="shared" si="174"/>
        <v>0</v>
      </c>
      <c r="U111" s="177">
        <f t="shared" si="174"/>
        <v>0</v>
      </c>
      <c r="V111" s="177">
        <f t="shared" si="174"/>
        <v>0</v>
      </c>
      <c r="W111" s="177">
        <f t="shared" si="174"/>
        <v>0</v>
      </c>
      <c r="X111" s="177">
        <f t="shared" si="174"/>
        <v>0</v>
      </c>
      <c r="Y111" s="177">
        <f t="shared" si="174"/>
        <v>0</v>
      </c>
      <c r="Z111" s="177">
        <f t="shared" si="174"/>
        <v>0</v>
      </c>
      <c r="AA111" s="178">
        <f t="shared" si="194"/>
        <v>0</v>
      </c>
      <c r="AB111" s="173" t="s">
        <v>2046</v>
      </c>
      <c r="AC111" s="77"/>
      <c r="AD111" s="175">
        <v>46023</v>
      </c>
      <c r="AE111" s="175">
        <v>46387</v>
      </c>
      <c r="AF111" s="176">
        <f t="shared" si="175"/>
        <v>12</v>
      </c>
      <c r="AG111" s="177">
        <f t="shared" ref="AG111:AR111" si="203">IF(AND($AD111&lt;=AG$3,AG$3&lt;=$AE111),$AC111/$AF111,0)</f>
        <v>0</v>
      </c>
      <c r="AH111" s="177">
        <f t="shared" si="203"/>
        <v>0</v>
      </c>
      <c r="AI111" s="177">
        <f t="shared" si="203"/>
        <v>0</v>
      </c>
      <c r="AJ111" s="177">
        <f t="shared" si="203"/>
        <v>0</v>
      </c>
      <c r="AK111" s="177">
        <f t="shared" si="203"/>
        <v>0</v>
      </c>
      <c r="AL111" s="177">
        <f t="shared" si="203"/>
        <v>0</v>
      </c>
      <c r="AM111" s="177">
        <f t="shared" si="203"/>
        <v>0</v>
      </c>
      <c r="AN111" s="177">
        <f t="shared" si="203"/>
        <v>0</v>
      </c>
      <c r="AO111" s="177">
        <f t="shared" si="203"/>
        <v>0</v>
      </c>
      <c r="AP111" s="177">
        <f t="shared" si="203"/>
        <v>0</v>
      </c>
      <c r="AQ111" s="177">
        <f t="shared" si="203"/>
        <v>0</v>
      </c>
      <c r="AR111" s="177">
        <f t="shared" si="203"/>
        <v>0</v>
      </c>
      <c r="AS111" s="178">
        <f t="shared" si="177"/>
        <v>0</v>
      </c>
      <c r="AU111" s="177">
        <f t="shared" si="178"/>
        <v>0</v>
      </c>
      <c r="AV111" s="177">
        <f t="shared" si="179"/>
        <v>0</v>
      </c>
      <c r="AW111" s="177">
        <f t="shared" si="180"/>
        <v>0</v>
      </c>
      <c r="AX111" s="177">
        <f t="shared" si="181"/>
        <v>0</v>
      </c>
      <c r="AY111" s="177">
        <f t="shared" si="182"/>
        <v>0</v>
      </c>
      <c r="AZ111" s="177">
        <f t="shared" si="183"/>
        <v>0</v>
      </c>
      <c r="BA111" s="177">
        <f t="shared" si="184"/>
        <v>0</v>
      </c>
      <c r="BB111" s="177">
        <f t="shared" si="185"/>
        <v>0</v>
      </c>
      <c r="BC111" s="177">
        <f t="shared" si="186"/>
        <v>0</v>
      </c>
      <c r="BD111" s="177">
        <f t="shared" si="187"/>
        <v>0</v>
      </c>
      <c r="BE111" s="177">
        <f t="shared" si="188"/>
        <v>0</v>
      </c>
      <c r="BF111" s="177">
        <f t="shared" si="189"/>
        <v>0</v>
      </c>
      <c r="BG111" s="178">
        <f t="shared" si="190"/>
        <v>0</v>
      </c>
    </row>
    <row r="112" spans="1:59" ht="13.5" customHeight="1">
      <c r="A112" s="171">
        <f t="shared" si="191"/>
        <v>11</v>
      </c>
      <c r="B112" s="171" t="s">
        <v>2242</v>
      </c>
      <c r="C112" s="171"/>
      <c r="D112" s="171" t="str">
        <f t="shared" si="192"/>
        <v>购建固定资产、无形资产和其他长期资产支付的现金</v>
      </c>
      <c r="E112" s="171"/>
      <c r="F112" s="172" t="str">
        <f t="shared" si="199"/>
        <v>Purchase Equipment</v>
      </c>
      <c r="G112" s="172"/>
      <c r="H112" s="77" t="s">
        <v>2613</v>
      </c>
      <c r="I112" s="173" t="s">
        <v>2614</v>
      </c>
      <c r="J112" s="173" t="s">
        <v>2046</v>
      </c>
      <c r="K112" s="77"/>
      <c r="L112" s="175">
        <v>45658</v>
      </c>
      <c r="M112" s="175">
        <v>46022</v>
      </c>
      <c r="N112" s="176">
        <f t="shared" si="193"/>
        <v>12</v>
      </c>
      <c r="O112" s="177">
        <f t="shared" si="174"/>
        <v>0</v>
      </c>
      <c r="P112" s="177">
        <f t="shared" si="174"/>
        <v>0</v>
      </c>
      <c r="Q112" s="177">
        <f t="shared" si="174"/>
        <v>0</v>
      </c>
      <c r="R112" s="177">
        <f t="shared" si="174"/>
        <v>0</v>
      </c>
      <c r="S112" s="177">
        <f t="shared" si="174"/>
        <v>0</v>
      </c>
      <c r="T112" s="177">
        <f t="shared" si="174"/>
        <v>0</v>
      </c>
      <c r="U112" s="177">
        <f t="shared" si="174"/>
        <v>0</v>
      </c>
      <c r="V112" s="177">
        <f t="shared" si="174"/>
        <v>0</v>
      </c>
      <c r="W112" s="177">
        <f t="shared" si="174"/>
        <v>0</v>
      </c>
      <c r="X112" s="177">
        <f t="shared" si="174"/>
        <v>0</v>
      </c>
      <c r="Y112" s="177">
        <f t="shared" si="174"/>
        <v>0</v>
      </c>
      <c r="Z112" s="177">
        <f t="shared" si="174"/>
        <v>0</v>
      </c>
      <c r="AA112" s="178">
        <f t="shared" si="194"/>
        <v>0</v>
      </c>
      <c r="AB112" s="173" t="s">
        <v>2046</v>
      </c>
      <c r="AC112" s="77"/>
      <c r="AD112" s="175">
        <v>46023</v>
      </c>
      <c r="AE112" s="175">
        <v>46387</v>
      </c>
      <c r="AF112" s="176">
        <f t="shared" si="175"/>
        <v>12</v>
      </c>
      <c r="AG112" s="177">
        <f t="shared" ref="AG112:AR112" si="204">IF(AND($AD112&lt;=AG$3,AG$3&lt;=$AE112),$AC112/$AF112,0)</f>
        <v>0</v>
      </c>
      <c r="AH112" s="177">
        <f t="shared" si="204"/>
        <v>0</v>
      </c>
      <c r="AI112" s="177">
        <f t="shared" si="204"/>
        <v>0</v>
      </c>
      <c r="AJ112" s="177">
        <f t="shared" si="204"/>
        <v>0</v>
      </c>
      <c r="AK112" s="177">
        <f t="shared" si="204"/>
        <v>0</v>
      </c>
      <c r="AL112" s="177">
        <f t="shared" si="204"/>
        <v>0</v>
      </c>
      <c r="AM112" s="177">
        <f t="shared" si="204"/>
        <v>0</v>
      </c>
      <c r="AN112" s="177">
        <f t="shared" si="204"/>
        <v>0</v>
      </c>
      <c r="AO112" s="177">
        <f t="shared" si="204"/>
        <v>0</v>
      </c>
      <c r="AP112" s="177">
        <f t="shared" si="204"/>
        <v>0</v>
      </c>
      <c r="AQ112" s="177">
        <f t="shared" si="204"/>
        <v>0</v>
      </c>
      <c r="AR112" s="177">
        <f t="shared" si="204"/>
        <v>0</v>
      </c>
      <c r="AS112" s="178">
        <f t="shared" si="177"/>
        <v>0</v>
      </c>
      <c r="AU112" s="177">
        <f t="shared" si="178"/>
        <v>0</v>
      </c>
      <c r="AV112" s="177">
        <f t="shared" si="179"/>
        <v>0</v>
      </c>
      <c r="AW112" s="177">
        <f t="shared" si="180"/>
        <v>0</v>
      </c>
      <c r="AX112" s="177">
        <f t="shared" si="181"/>
        <v>0</v>
      </c>
      <c r="AY112" s="177">
        <f t="shared" si="182"/>
        <v>0</v>
      </c>
      <c r="AZ112" s="177">
        <f t="shared" si="183"/>
        <v>0</v>
      </c>
      <c r="BA112" s="177">
        <f t="shared" si="184"/>
        <v>0</v>
      </c>
      <c r="BB112" s="177">
        <f t="shared" si="185"/>
        <v>0</v>
      </c>
      <c r="BC112" s="177">
        <f t="shared" si="186"/>
        <v>0</v>
      </c>
      <c r="BD112" s="177">
        <f t="shared" si="187"/>
        <v>0</v>
      </c>
      <c r="BE112" s="177">
        <f t="shared" si="188"/>
        <v>0</v>
      </c>
      <c r="BF112" s="177">
        <f t="shared" si="189"/>
        <v>0</v>
      </c>
      <c r="BG112" s="178">
        <f t="shared" si="190"/>
        <v>0</v>
      </c>
    </row>
    <row r="113" spans="1:59" ht="13.5" customHeight="1">
      <c r="A113" s="171">
        <f t="shared" si="191"/>
        <v>12</v>
      </c>
      <c r="B113" s="171" t="s">
        <v>2242</v>
      </c>
      <c r="C113" s="171"/>
      <c r="D113" s="171" t="str">
        <f t="shared" si="192"/>
        <v>支付的其他与经营活动有关的现金（其他）</v>
      </c>
      <c r="E113" s="171"/>
      <c r="F113" s="172" t="str">
        <f t="shared" si="199"/>
        <v>Physical Security Systems</v>
      </c>
      <c r="G113" s="172"/>
      <c r="H113" s="77" t="s">
        <v>2613</v>
      </c>
      <c r="I113" s="173" t="s">
        <v>2614</v>
      </c>
      <c r="J113" s="173" t="s">
        <v>2046</v>
      </c>
      <c r="K113" s="77"/>
      <c r="L113" s="175">
        <v>45962</v>
      </c>
      <c r="M113" s="175">
        <v>45991</v>
      </c>
      <c r="N113" s="176">
        <f t="shared" si="193"/>
        <v>1</v>
      </c>
      <c r="O113" s="177">
        <f t="shared" si="174"/>
        <v>0</v>
      </c>
      <c r="P113" s="177">
        <f t="shared" si="174"/>
        <v>0</v>
      </c>
      <c r="Q113" s="177">
        <f t="shared" si="174"/>
        <v>0</v>
      </c>
      <c r="R113" s="177">
        <f t="shared" si="174"/>
        <v>0</v>
      </c>
      <c r="S113" s="177">
        <f t="shared" si="174"/>
        <v>0</v>
      </c>
      <c r="T113" s="177">
        <f t="shared" si="174"/>
        <v>0</v>
      </c>
      <c r="U113" s="177">
        <f t="shared" si="174"/>
        <v>0</v>
      </c>
      <c r="V113" s="177">
        <f t="shared" si="174"/>
        <v>0</v>
      </c>
      <c r="W113" s="177">
        <f t="shared" si="174"/>
        <v>0</v>
      </c>
      <c r="X113" s="177">
        <f t="shared" si="174"/>
        <v>0</v>
      </c>
      <c r="Y113" s="177">
        <f t="shared" si="174"/>
        <v>0</v>
      </c>
      <c r="Z113" s="177">
        <f t="shared" si="174"/>
        <v>0</v>
      </c>
      <c r="AA113" s="178">
        <f t="shared" si="194"/>
        <v>0</v>
      </c>
      <c r="AB113" s="173" t="s">
        <v>2046</v>
      </c>
      <c r="AC113" s="77"/>
      <c r="AD113" s="175">
        <v>46327</v>
      </c>
      <c r="AE113" s="175">
        <v>46356</v>
      </c>
      <c r="AF113" s="176">
        <f t="shared" si="175"/>
        <v>1</v>
      </c>
      <c r="AG113" s="177">
        <f t="shared" ref="AG113:AR113" si="205">IF(AND($AD113&lt;=AG$3,AG$3&lt;=$AE113),$AC113/$AF113,0)</f>
        <v>0</v>
      </c>
      <c r="AH113" s="177">
        <f t="shared" si="205"/>
        <v>0</v>
      </c>
      <c r="AI113" s="177">
        <f t="shared" si="205"/>
        <v>0</v>
      </c>
      <c r="AJ113" s="177">
        <f t="shared" si="205"/>
        <v>0</v>
      </c>
      <c r="AK113" s="177">
        <f t="shared" si="205"/>
        <v>0</v>
      </c>
      <c r="AL113" s="177">
        <f t="shared" si="205"/>
        <v>0</v>
      </c>
      <c r="AM113" s="177">
        <f t="shared" si="205"/>
        <v>0</v>
      </c>
      <c r="AN113" s="177">
        <f t="shared" si="205"/>
        <v>0</v>
      </c>
      <c r="AO113" s="177">
        <f t="shared" si="205"/>
        <v>0</v>
      </c>
      <c r="AP113" s="177">
        <f t="shared" si="205"/>
        <v>0</v>
      </c>
      <c r="AQ113" s="177">
        <f t="shared" si="205"/>
        <v>0</v>
      </c>
      <c r="AR113" s="177">
        <f t="shared" si="205"/>
        <v>0</v>
      </c>
      <c r="AS113" s="178">
        <f t="shared" si="177"/>
        <v>0</v>
      </c>
      <c r="AU113" s="177">
        <f t="shared" si="178"/>
        <v>0</v>
      </c>
      <c r="AV113" s="177">
        <f t="shared" si="179"/>
        <v>0</v>
      </c>
      <c r="AW113" s="177">
        <f t="shared" si="180"/>
        <v>0</v>
      </c>
      <c r="AX113" s="177">
        <f t="shared" si="181"/>
        <v>0</v>
      </c>
      <c r="AY113" s="177">
        <f t="shared" si="182"/>
        <v>0</v>
      </c>
      <c r="AZ113" s="177">
        <f t="shared" si="183"/>
        <v>0</v>
      </c>
      <c r="BA113" s="177">
        <f t="shared" si="184"/>
        <v>0</v>
      </c>
      <c r="BB113" s="177">
        <f t="shared" si="185"/>
        <v>0</v>
      </c>
      <c r="BC113" s="177">
        <f t="shared" si="186"/>
        <v>0</v>
      </c>
      <c r="BD113" s="177">
        <f t="shared" si="187"/>
        <v>0</v>
      </c>
      <c r="BE113" s="177">
        <f t="shared" si="188"/>
        <v>0</v>
      </c>
      <c r="BF113" s="177">
        <f t="shared" si="189"/>
        <v>0</v>
      </c>
      <c r="BG113" s="178">
        <f t="shared" si="190"/>
        <v>0</v>
      </c>
    </row>
    <row r="114" spans="1:59" ht="13.5" customHeight="1">
      <c r="A114" s="171">
        <f t="shared" si="191"/>
        <v>13</v>
      </c>
      <c r="B114" s="171" t="s">
        <v>2242</v>
      </c>
      <c r="C114" s="171" t="s">
        <v>1652</v>
      </c>
      <c r="D114" s="171" t="str">
        <f t="shared" si="192"/>
        <v>支付的其他与经营活动有关的现金（其他）</v>
      </c>
      <c r="E114" s="171"/>
      <c r="F114" s="172" t="str">
        <f t="shared" si="199"/>
        <v>Office Package/Travel Insurance</v>
      </c>
      <c r="G114" s="172"/>
      <c r="H114" s="77" t="s">
        <v>2613</v>
      </c>
      <c r="I114" s="173" t="s">
        <v>2614</v>
      </c>
      <c r="J114" s="173" t="s">
        <v>2046</v>
      </c>
      <c r="K114" s="77"/>
      <c r="L114" s="175">
        <v>45658</v>
      </c>
      <c r="M114" s="175">
        <v>46022</v>
      </c>
      <c r="N114" s="176">
        <f t="shared" si="193"/>
        <v>12</v>
      </c>
      <c r="O114" s="177">
        <f t="shared" si="174"/>
        <v>0</v>
      </c>
      <c r="P114" s="177">
        <f t="shared" si="174"/>
        <v>0</v>
      </c>
      <c r="Q114" s="177">
        <f t="shared" si="174"/>
        <v>0</v>
      </c>
      <c r="R114" s="177">
        <f t="shared" si="174"/>
        <v>0</v>
      </c>
      <c r="S114" s="177">
        <f t="shared" si="174"/>
        <v>0</v>
      </c>
      <c r="T114" s="177">
        <f t="shared" si="174"/>
        <v>0</v>
      </c>
      <c r="U114" s="177">
        <f t="shared" si="174"/>
        <v>0</v>
      </c>
      <c r="V114" s="177">
        <f t="shared" si="174"/>
        <v>0</v>
      </c>
      <c r="W114" s="177">
        <f t="shared" si="174"/>
        <v>0</v>
      </c>
      <c r="X114" s="177">
        <f t="shared" si="174"/>
        <v>0</v>
      </c>
      <c r="Y114" s="177">
        <f t="shared" si="174"/>
        <v>0</v>
      </c>
      <c r="Z114" s="177">
        <f t="shared" si="174"/>
        <v>0</v>
      </c>
      <c r="AA114" s="178">
        <f t="shared" si="194"/>
        <v>0</v>
      </c>
      <c r="AB114" s="173" t="s">
        <v>2046</v>
      </c>
      <c r="AC114" s="77"/>
      <c r="AD114" s="175">
        <v>46023</v>
      </c>
      <c r="AE114" s="175">
        <v>46387</v>
      </c>
      <c r="AF114" s="176">
        <f t="shared" si="175"/>
        <v>12</v>
      </c>
      <c r="AG114" s="177">
        <f t="shared" ref="AG114:AR114" si="206">IF(AND($AD114&lt;=AG$3,AG$3&lt;=$AE114),$AC114/$AF114,0)</f>
        <v>0</v>
      </c>
      <c r="AH114" s="177">
        <f t="shared" si="206"/>
        <v>0</v>
      </c>
      <c r="AI114" s="177">
        <f t="shared" si="206"/>
        <v>0</v>
      </c>
      <c r="AJ114" s="177">
        <f t="shared" si="206"/>
        <v>0</v>
      </c>
      <c r="AK114" s="177">
        <f t="shared" si="206"/>
        <v>0</v>
      </c>
      <c r="AL114" s="177">
        <f t="shared" si="206"/>
        <v>0</v>
      </c>
      <c r="AM114" s="177">
        <f t="shared" si="206"/>
        <v>0</v>
      </c>
      <c r="AN114" s="177">
        <f t="shared" si="206"/>
        <v>0</v>
      </c>
      <c r="AO114" s="177">
        <f t="shared" si="206"/>
        <v>0</v>
      </c>
      <c r="AP114" s="177">
        <f t="shared" si="206"/>
        <v>0</v>
      </c>
      <c r="AQ114" s="177">
        <f t="shared" si="206"/>
        <v>0</v>
      </c>
      <c r="AR114" s="177">
        <f t="shared" si="206"/>
        <v>0</v>
      </c>
      <c r="AS114" s="178">
        <f t="shared" si="177"/>
        <v>0</v>
      </c>
      <c r="AU114" s="177">
        <f t="shared" si="178"/>
        <v>0</v>
      </c>
      <c r="AV114" s="177">
        <f t="shared" si="179"/>
        <v>0</v>
      </c>
      <c r="AW114" s="177">
        <f t="shared" si="180"/>
        <v>0</v>
      </c>
      <c r="AX114" s="177">
        <f t="shared" si="181"/>
        <v>0</v>
      </c>
      <c r="AY114" s="177">
        <f t="shared" si="182"/>
        <v>0</v>
      </c>
      <c r="AZ114" s="177">
        <f t="shared" si="183"/>
        <v>0</v>
      </c>
      <c r="BA114" s="177">
        <f t="shared" si="184"/>
        <v>0</v>
      </c>
      <c r="BB114" s="177">
        <f t="shared" si="185"/>
        <v>0</v>
      </c>
      <c r="BC114" s="177">
        <f t="shared" si="186"/>
        <v>0</v>
      </c>
      <c r="BD114" s="177">
        <f t="shared" si="187"/>
        <v>0</v>
      </c>
      <c r="BE114" s="177">
        <f t="shared" si="188"/>
        <v>0</v>
      </c>
      <c r="BF114" s="177">
        <f t="shared" si="189"/>
        <v>0</v>
      </c>
      <c r="BG114" s="178">
        <f t="shared" si="190"/>
        <v>0</v>
      </c>
    </row>
    <row r="115" spans="1:59" ht="13.5" customHeight="1">
      <c r="A115" s="171">
        <f t="shared" si="191"/>
        <v>14</v>
      </c>
      <c r="B115" s="171" t="s">
        <v>2242</v>
      </c>
      <c r="C115" s="171" t="s">
        <v>1480</v>
      </c>
      <c r="D115" s="171" t="str">
        <f t="shared" si="192"/>
        <v>支付的其他与经营活动有关的现金（其他）</v>
      </c>
      <c r="E115" s="171"/>
      <c r="F115" s="172" t="str">
        <f t="shared" si="199"/>
        <v>Company Activities</v>
      </c>
      <c r="G115" s="172"/>
      <c r="H115" s="77" t="s">
        <v>2613</v>
      </c>
      <c r="I115" s="173" t="s">
        <v>2614</v>
      </c>
      <c r="J115" s="173" t="s">
        <v>2046</v>
      </c>
      <c r="K115" s="77"/>
      <c r="L115" s="175">
        <v>45658</v>
      </c>
      <c r="M115" s="175">
        <v>46022</v>
      </c>
      <c r="N115" s="176">
        <f t="shared" si="193"/>
        <v>12</v>
      </c>
      <c r="O115" s="177">
        <f t="shared" si="174"/>
        <v>0</v>
      </c>
      <c r="P115" s="177">
        <f t="shared" si="174"/>
        <v>0</v>
      </c>
      <c r="Q115" s="177">
        <f t="shared" si="174"/>
        <v>0</v>
      </c>
      <c r="R115" s="177">
        <f t="shared" si="174"/>
        <v>0</v>
      </c>
      <c r="S115" s="177">
        <f t="shared" si="174"/>
        <v>0</v>
      </c>
      <c r="T115" s="177">
        <f t="shared" si="174"/>
        <v>0</v>
      </c>
      <c r="U115" s="177">
        <f t="shared" si="174"/>
        <v>0</v>
      </c>
      <c r="V115" s="177">
        <f t="shared" si="174"/>
        <v>0</v>
      </c>
      <c r="W115" s="177">
        <f t="shared" si="174"/>
        <v>0</v>
      </c>
      <c r="X115" s="177">
        <f t="shared" si="174"/>
        <v>0</v>
      </c>
      <c r="Y115" s="177">
        <f t="shared" si="174"/>
        <v>0</v>
      </c>
      <c r="Z115" s="177">
        <f t="shared" si="174"/>
        <v>0</v>
      </c>
      <c r="AA115" s="178">
        <f t="shared" si="194"/>
        <v>0</v>
      </c>
      <c r="AB115" s="173" t="s">
        <v>2046</v>
      </c>
      <c r="AC115" s="77"/>
      <c r="AD115" s="175">
        <v>46023</v>
      </c>
      <c r="AE115" s="175">
        <v>46387</v>
      </c>
      <c r="AF115" s="176">
        <f t="shared" si="175"/>
        <v>12</v>
      </c>
      <c r="AG115" s="177">
        <f t="shared" ref="AG115:AR115" si="207">IF(AND($AD115&lt;=AG$3,AG$3&lt;=$AE115),$AC115/$AF115,0)</f>
        <v>0</v>
      </c>
      <c r="AH115" s="177">
        <f t="shared" si="207"/>
        <v>0</v>
      </c>
      <c r="AI115" s="177">
        <f t="shared" si="207"/>
        <v>0</v>
      </c>
      <c r="AJ115" s="177">
        <f t="shared" si="207"/>
        <v>0</v>
      </c>
      <c r="AK115" s="177">
        <f t="shared" si="207"/>
        <v>0</v>
      </c>
      <c r="AL115" s="177">
        <f t="shared" si="207"/>
        <v>0</v>
      </c>
      <c r="AM115" s="177">
        <f t="shared" si="207"/>
        <v>0</v>
      </c>
      <c r="AN115" s="177">
        <f t="shared" si="207"/>
        <v>0</v>
      </c>
      <c r="AO115" s="177">
        <f t="shared" si="207"/>
        <v>0</v>
      </c>
      <c r="AP115" s="177">
        <f t="shared" si="207"/>
        <v>0</v>
      </c>
      <c r="AQ115" s="177">
        <f t="shared" si="207"/>
        <v>0</v>
      </c>
      <c r="AR115" s="177">
        <f t="shared" si="207"/>
        <v>0</v>
      </c>
      <c r="AS115" s="178">
        <f t="shared" si="177"/>
        <v>0</v>
      </c>
      <c r="AU115" s="177">
        <f t="shared" si="178"/>
        <v>0</v>
      </c>
      <c r="AV115" s="177">
        <f t="shared" si="179"/>
        <v>0</v>
      </c>
      <c r="AW115" s="177">
        <f t="shared" si="180"/>
        <v>0</v>
      </c>
      <c r="AX115" s="177">
        <f t="shared" si="181"/>
        <v>0</v>
      </c>
      <c r="AY115" s="177">
        <f t="shared" si="182"/>
        <v>0</v>
      </c>
      <c r="AZ115" s="177">
        <f t="shared" si="183"/>
        <v>0</v>
      </c>
      <c r="BA115" s="177">
        <f t="shared" si="184"/>
        <v>0</v>
      </c>
      <c r="BB115" s="177">
        <f t="shared" si="185"/>
        <v>0</v>
      </c>
      <c r="BC115" s="177">
        <f t="shared" si="186"/>
        <v>0</v>
      </c>
      <c r="BD115" s="177">
        <f t="shared" si="187"/>
        <v>0</v>
      </c>
      <c r="BE115" s="177">
        <f t="shared" si="188"/>
        <v>0</v>
      </c>
      <c r="BF115" s="177">
        <f t="shared" si="189"/>
        <v>0</v>
      </c>
      <c r="BG115" s="178">
        <f t="shared" si="190"/>
        <v>0</v>
      </c>
    </row>
    <row r="116" spans="1:59" ht="13.5" customHeight="1">
      <c r="A116" s="171">
        <f t="shared" si="191"/>
        <v>15</v>
      </c>
      <c r="B116" s="171" t="s">
        <v>2242</v>
      </c>
      <c r="C116" s="171" t="s">
        <v>1867</v>
      </c>
      <c r="D116" s="171" t="str">
        <f t="shared" si="192"/>
        <v>支付的其他与经营活动有关的现金（其他）</v>
      </c>
      <c r="E116" s="171"/>
      <c r="F116" s="172" t="str">
        <f t="shared" si="199"/>
        <v>Outside Seminars</v>
      </c>
      <c r="G116" s="172"/>
      <c r="H116" s="77" t="s">
        <v>2613</v>
      </c>
      <c r="I116" s="173" t="s">
        <v>2614</v>
      </c>
      <c r="J116" s="173" t="s">
        <v>2046</v>
      </c>
      <c r="K116" s="183">
        <v>10000</v>
      </c>
      <c r="L116" s="175">
        <v>45658</v>
      </c>
      <c r="M116" s="175">
        <v>46022</v>
      </c>
      <c r="N116" s="176">
        <f t="shared" si="193"/>
        <v>12</v>
      </c>
      <c r="O116" s="177">
        <f t="shared" si="174"/>
        <v>833.33333333333337</v>
      </c>
      <c r="P116" s="177">
        <f t="shared" si="174"/>
        <v>833.33333333333337</v>
      </c>
      <c r="Q116" s="177">
        <f t="shared" si="174"/>
        <v>833.33333333333337</v>
      </c>
      <c r="R116" s="177">
        <f t="shared" si="174"/>
        <v>833.33333333333337</v>
      </c>
      <c r="S116" s="177">
        <f t="shared" si="174"/>
        <v>833.33333333333337</v>
      </c>
      <c r="T116" s="177">
        <f t="shared" si="174"/>
        <v>833.33333333333337</v>
      </c>
      <c r="U116" s="177">
        <f t="shared" si="174"/>
        <v>833.33333333333337</v>
      </c>
      <c r="V116" s="177">
        <f t="shared" si="174"/>
        <v>833.33333333333337</v>
      </c>
      <c r="W116" s="177">
        <f t="shared" si="174"/>
        <v>833.33333333333337</v>
      </c>
      <c r="X116" s="177">
        <f t="shared" si="174"/>
        <v>833.33333333333337</v>
      </c>
      <c r="Y116" s="177">
        <f t="shared" si="174"/>
        <v>833.33333333333337</v>
      </c>
      <c r="Z116" s="177">
        <f t="shared" si="174"/>
        <v>833.33333333333337</v>
      </c>
      <c r="AA116" s="178">
        <f t="shared" si="194"/>
        <v>10000</v>
      </c>
      <c r="AB116" s="173" t="s">
        <v>2046</v>
      </c>
      <c r="AC116" s="77">
        <v>10000</v>
      </c>
      <c r="AD116" s="175">
        <v>46023</v>
      </c>
      <c r="AE116" s="175">
        <v>46387</v>
      </c>
      <c r="AF116" s="176">
        <f t="shared" si="175"/>
        <v>12</v>
      </c>
      <c r="AG116" s="177">
        <f t="shared" ref="AG116:AR116" si="208">IF(AND($AD116&lt;=AG$3,AG$3&lt;=$AE116),$AC116/$AF116,0)</f>
        <v>833.33333333333337</v>
      </c>
      <c r="AH116" s="177">
        <f t="shared" si="208"/>
        <v>833.33333333333337</v>
      </c>
      <c r="AI116" s="177">
        <f t="shared" si="208"/>
        <v>833.33333333333337</v>
      </c>
      <c r="AJ116" s="177">
        <f t="shared" si="208"/>
        <v>833.33333333333337</v>
      </c>
      <c r="AK116" s="177">
        <f t="shared" si="208"/>
        <v>833.33333333333337</v>
      </c>
      <c r="AL116" s="177">
        <f t="shared" si="208"/>
        <v>833.33333333333337</v>
      </c>
      <c r="AM116" s="177">
        <f t="shared" si="208"/>
        <v>833.33333333333337</v>
      </c>
      <c r="AN116" s="177">
        <f t="shared" si="208"/>
        <v>833.33333333333337</v>
      </c>
      <c r="AO116" s="177">
        <f t="shared" si="208"/>
        <v>833.33333333333337</v>
      </c>
      <c r="AP116" s="177">
        <f t="shared" si="208"/>
        <v>833.33333333333337</v>
      </c>
      <c r="AQ116" s="177">
        <f t="shared" si="208"/>
        <v>833.33333333333337</v>
      </c>
      <c r="AR116" s="177">
        <f t="shared" si="208"/>
        <v>833.33333333333337</v>
      </c>
      <c r="AS116" s="178">
        <f t="shared" si="177"/>
        <v>10000</v>
      </c>
      <c r="AU116" s="177">
        <f t="shared" si="178"/>
        <v>875.00000000000011</v>
      </c>
      <c r="AV116" s="177">
        <f t="shared" si="179"/>
        <v>875.00000000000011</v>
      </c>
      <c r="AW116" s="177">
        <f t="shared" si="180"/>
        <v>875.00000000000011</v>
      </c>
      <c r="AX116" s="177">
        <f t="shared" si="181"/>
        <v>875.00000000000011</v>
      </c>
      <c r="AY116" s="177">
        <f t="shared" si="182"/>
        <v>875.00000000000011</v>
      </c>
      <c r="AZ116" s="177">
        <f t="shared" si="183"/>
        <v>875.00000000000011</v>
      </c>
      <c r="BA116" s="177">
        <f t="shared" si="184"/>
        <v>875.00000000000011</v>
      </c>
      <c r="BB116" s="177">
        <f t="shared" si="185"/>
        <v>875.00000000000011</v>
      </c>
      <c r="BC116" s="177">
        <f t="shared" si="186"/>
        <v>875.00000000000011</v>
      </c>
      <c r="BD116" s="177">
        <f t="shared" si="187"/>
        <v>875.00000000000011</v>
      </c>
      <c r="BE116" s="177">
        <f t="shared" si="188"/>
        <v>875.00000000000011</v>
      </c>
      <c r="BF116" s="177">
        <f t="shared" si="189"/>
        <v>875.00000000000011</v>
      </c>
      <c r="BG116" s="178">
        <f t="shared" si="190"/>
        <v>10500.000000000002</v>
      </c>
    </row>
    <row r="117" spans="1:59" ht="13.5" customHeight="1">
      <c r="A117" s="171">
        <f t="shared" si="191"/>
        <v>16</v>
      </c>
      <c r="B117" s="171" t="s">
        <v>2242</v>
      </c>
      <c r="C117" s="171" t="s">
        <v>1684</v>
      </c>
      <c r="D117" s="171" t="str">
        <f t="shared" si="192"/>
        <v>支付的其他与经营活动有关的现金（其他）</v>
      </c>
      <c r="E117" s="171"/>
      <c r="F117" s="172" t="str">
        <f t="shared" si="199"/>
        <v>Subscription</v>
      </c>
      <c r="G117" s="172"/>
      <c r="H117" s="77" t="s">
        <v>2613</v>
      </c>
      <c r="I117" s="173" t="s">
        <v>2614</v>
      </c>
      <c r="J117" s="173" t="s">
        <v>2046</v>
      </c>
      <c r="K117" s="77"/>
      <c r="L117" s="175">
        <v>45658</v>
      </c>
      <c r="M117" s="175">
        <v>46022</v>
      </c>
      <c r="N117" s="176">
        <f t="shared" si="193"/>
        <v>12</v>
      </c>
      <c r="O117" s="177">
        <f t="shared" si="174"/>
        <v>0</v>
      </c>
      <c r="P117" s="177">
        <f t="shared" si="174"/>
        <v>0</v>
      </c>
      <c r="Q117" s="177">
        <f t="shared" si="174"/>
        <v>0</v>
      </c>
      <c r="R117" s="177">
        <f t="shared" si="174"/>
        <v>0</v>
      </c>
      <c r="S117" s="177">
        <f t="shared" si="174"/>
        <v>0</v>
      </c>
      <c r="T117" s="177">
        <f t="shared" si="174"/>
        <v>0</v>
      </c>
      <c r="U117" s="177">
        <f t="shared" si="174"/>
        <v>0</v>
      </c>
      <c r="V117" s="177">
        <f t="shared" si="174"/>
        <v>0</v>
      </c>
      <c r="W117" s="177">
        <f t="shared" si="174"/>
        <v>0</v>
      </c>
      <c r="X117" s="177">
        <f t="shared" si="174"/>
        <v>0</v>
      </c>
      <c r="Y117" s="177">
        <f t="shared" si="174"/>
        <v>0</v>
      </c>
      <c r="Z117" s="177">
        <f t="shared" si="174"/>
        <v>0</v>
      </c>
      <c r="AA117" s="178">
        <f t="shared" si="194"/>
        <v>0</v>
      </c>
      <c r="AB117" s="173" t="s">
        <v>2046</v>
      </c>
      <c r="AC117" s="77"/>
      <c r="AD117" s="175">
        <v>46023</v>
      </c>
      <c r="AE117" s="175">
        <v>46387</v>
      </c>
      <c r="AF117" s="176">
        <f t="shared" si="175"/>
        <v>12</v>
      </c>
      <c r="AG117" s="177">
        <f t="shared" ref="AG117:AR117" si="209">IF(AND($AD117&lt;=AG$3,AG$3&lt;=$AE117),$AC117/$AF117,0)</f>
        <v>0</v>
      </c>
      <c r="AH117" s="177">
        <f t="shared" si="209"/>
        <v>0</v>
      </c>
      <c r="AI117" s="177">
        <f t="shared" si="209"/>
        <v>0</v>
      </c>
      <c r="AJ117" s="177">
        <f t="shared" si="209"/>
        <v>0</v>
      </c>
      <c r="AK117" s="177">
        <f t="shared" si="209"/>
        <v>0</v>
      </c>
      <c r="AL117" s="177">
        <f t="shared" si="209"/>
        <v>0</v>
      </c>
      <c r="AM117" s="177">
        <f t="shared" si="209"/>
        <v>0</v>
      </c>
      <c r="AN117" s="177">
        <f t="shared" si="209"/>
        <v>0</v>
      </c>
      <c r="AO117" s="177">
        <f t="shared" si="209"/>
        <v>0</v>
      </c>
      <c r="AP117" s="177">
        <f t="shared" si="209"/>
        <v>0</v>
      </c>
      <c r="AQ117" s="177">
        <f t="shared" si="209"/>
        <v>0</v>
      </c>
      <c r="AR117" s="177">
        <f t="shared" si="209"/>
        <v>0</v>
      </c>
      <c r="AS117" s="178">
        <f t="shared" si="177"/>
        <v>0</v>
      </c>
      <c r="AU117" s="177">
        <f t="shared" si="178"/>
        <v>0</v>
      </c>
      <c r="AV117" s="177">
        <f t="shared" si="179"/>
        <v>0</v>
      </c>
      <c r="AW117" s="177">
        <f t="shared" si="180"/>
        <v>0</v>
      </c>
      <c r="AX117" s="177">
        <f t="shared" si="181"/>
        <v>0</v>
      </c>
      <c r="AY117" s="177">
        <f t="shared" si="182"/>
        <v>0</v>
      </c>
      <c r="AZ117" s="177">
        <f t="shared" si="183"/>
        <v>0</v>
      </c>
      <c r="BA117" s="177">
        <f t="shared" si="184"/>
        <v>0</v>
      </c>
      <c r="BB117" s="177">
        <f t="shared" si="185"/>
        <v>0</v>
      </c>
      <c r="BC117" s="177">
        <f t="shared" si="186"/>
        <v>0</v>
      </c>
      <c r="BD117" s="177">
        <f t="shared" si="187"/>
        <v>0</v>
      </c>
      <c r="BE117" s="177">
        <f t="shared" si="188"/>
        <v>0</v>
      </c>
      <c r="BF117" s="177">
        <f t="shared" si="189"/>
        <v>0</v>
      </c>
      <c r="BG117" s="178">
        <f t="shared" si="190"/>
        <v>0</v>
      </c>
    </row>
    <row r="118" spans="1:59" ht="13.5" customHeight="1">
      <c r="A118" s="171">
        <f t="shared" si="191"/>
        <v>17</v>
      </c>
      <c r="B118" s="171" t="s">
        <v>2242</v>
      </c>
      <c r="C118" s="171" t="s">
        <v>1867</v>
      </c>
      <c r="D118" s="171" t="str">
        <f t="shared" si="192"/>
        <v>支付的其他与经营活动有关的现金（其他）</v>
      </c>
      <c r="E118" s="171"/>
      <c r="F118" s="172" t="str">
        <f t="shared" ref="F118:F121" si="210">IF(F22="","",F22)</f>
        <v>Professional Body Membership Fee</v>
      </c>
      <c r="G118" s="172"/>
      <c r="H118" s="77" t="s">
        <v>2613</v>
      </c>
      <c r="I118" s="173" t="s">
        <v>2614</v>
      </c>
      <c r="J118" s="173" t="s">
        <v>2046</v>
      </c>
      <c r="K118" s="77"/>
      <c r="L118" s="175">
        <v>45658</v>
      </c>
      <c r="M118" s="175">
        <v>46022</v>
      </c>
      <c r="N118" s="176">
        <f t="shared" ref="N118:N121" si="211">IF(AND(L118="",M118=""),"-",IF(M118="",12,DATEDIF(L118,M118,"M")+1))</f>
        <v>12</v>
      </c>
      <c r="O118" s="177">
        <f t="shared" si="174"/>
        <v>0</v>
      </c>
      <c r="P118" s="177">
        <f t="shared" si="174"/>
        <v>0</v>
      </c>
      <c r="Q118" s="177">
        <f t="shared" si="174"/>
        <v>0</v>
      </c>
      <c r="R118" s="177">
        <f t="shared" si="174"/>
        <v>0</v>
      </c>
      <c r="S118" s="177">
        <f t="shared" si="174"/>
        <v>0</v>
      </c>
      <c r="T118" s="177">
        <f t="shared" si="174"/>
        <v>0</v>
      </c>
      <c r="U118" s="177">
        <f t="shared" si="174"/>
        <v>0</v>
      </c>
      <c r="V118" s="177">
        <f t="shared" si="174"/>
        <v>0</v>
      </c>
      <c r="W118" s="177">
        <f t="shared" si="174"/>
        <v>0</v>
      </c>
      <c r="X118" s="177">
        <f t="shared" si="174"/>
        <v>0</v>
      </c>
      <c r="Y118" s="177">
        <f t="shared" si="174"/>
        <v>0</v>
      </c>
      <c r="Z118" s="177">
        <f t="shared" si="174"/>
        <v>0</v>
      </c>
      <c r="AA118" s="178">
        <f t="shared" ref="AA118:AA121" si="212">SUM(O118:Z118)</f>
        <v>0</v>
      </c>
      <c r="AB118" s="173" t="s">
        <v>2046</v>
      </c>
      <c r="AC118" s="77"/>
      <c r="AD118" s="175">
        <v>46023</v>
      </c>
      <c r="AE118" s="175">
        <v>46387</v>
      </c>
      <c r="AF118" s="176">
        <f t="shared" si="175"/>
        <v>12</v>
      </c>
      <c r="AG118" s="177">
        <f t="shared" ref="AG118:AR118" si="213">IF(AND($AD118&lt;=AG$3,AG$3&lt;=$AE118),$AC118/$AF118,0)</f>
        <v>0</v>
      </c>
      <c r="AH118" s="177">
        <f t="shared" si="213"/>
        <v>0</v>
      </c>
      <c r="AI118" s="177">
        <f t="shared" si="213"/>
        <v>0</v>
      </c>
      <c r="AJ118" s="177">
        <f t="shared" si="213"/>
        <v>0</v>
      </c>
      <c r="AK118" s="177">
        <f t="shared" si="213"/>
        <v>0</v>
      </c>
      <c r="AL118" s="177">
        <f t="shared" si="213"/>
        <v>0</v>
      </c>
      <c r="AM118" s="177">
        <f t="shared" si="213"/>
        <v>0</v>
      </c>
      <c r="AN118" s="177">
        <f t="shared" si="213"/>
        <v>0</v>
      </c>
      <c r="AO118" s="177">
        <f t="shared" si="213"/>
        <v>0</v>
      </c>
      <c r="AP118" s="177">
        <f t="shared" si="213"/>
        <v>0</v>
      </c>
      <c r="AQ118" s="177">
        <f t="shared" si="213"/>
        <v>0</v>
      </c>
      <c r="AR118" s="177">
        <f t="shared" si="213"/>
        <v>0</v>
      </c>
      <c r="AS118" s="178">
        <f t="shared" si="177"/>
        <v>0</v>
      </c>
      <c r="AU118" s="177">
        <f t="shared" si="178"/>
        <v>0</v>
      </c>
      <c r="AV118" s="177">
        <f t="shared" si="179"/>
        <v>0</v>
      </c>
      <c r="AW118" s="177">
        <f t="shared" si="180"/>
        <v>0</v>
      </c>
      <c r="AX118" s="177">
        <f t="shared" si="181"/>
        <v>0</v>
      </c>
      <c r="AY118" s="177">
        <f t="shared" si="182"/>
        <v>0</v>
      </c>
      <c r="AZ118" s="177">
        <f t="shared" si="183"/>
        <v>0</v>
      </c>
      <c r="BA118" s="177">
        <f t="shared" si="184"/>
        <v>0</v>
      </c>
      <c r="BB118" s="177">
        <f t="shared" si="185"/>
        <v>0</v>
      </c>
      <c r="BC118" s="177">
        <f t="shared" si="186"/>
        <v>0</v>
      </c>
      <c r="BD118" s="177">
        <f t="shared" si="187"/>
        <v>0</v>
      </c>
      <c r="BE118" s="177">
        <f t="shared" si="188"/>
        <v>0</v>
      </c>
      <c r="BF118" s="177">
        <f t="shared" si="189"/>
        <v>0</v>
      </c>
      <c r="BG118" s="178">
        <f t="shared" si="190"/>
        <v>0</v>
      </c>
    </row>
    <row r="119" spans="1:59" ht="13.5" customHeight="1">
      <c r="A119" s="171">
        <f t="shared" si="191"/>
        <v>18</v>
      </c>
      <c r="B119" s="171" t="s">
        <v>2242</v>
      </c>
      <c r="C119" s="171" t="s">
        <v>1672</v>
      </c>
      <c r="D119" s="171" t="str">
        <f t="shared" si="192"/>
        <v>支付的其他与经营活动有关的现金（其他）</v>
      </c>
      <c r="E119" s="171"/>
      <c r="F119" s="172" t="str">
        <f t="shared" si="210"/>
        <v>Purchase system</v>
      </c>
      <c r="G119" s="172"/>
      <c r="H119" s="77" t="s">
        <v>2613</v>
      </c>
      <c r="I119" s="173" t="s">
        <v>2614</v>
      </c>
      <c r="J119" s="173" t="s">
        <v>2046</v>
      </c>
      <c r="K119" s="77"/>
      <c r="L119" s="175">
        <v>45658</v>
      </c>
      <c r="M119" s="175">
        <v>46022</v>
      </c>
      <c r="N119" s="176">
        <f t="shared" si="211"/>
        <v>12</v>
      </c>
      <c r="O119" s="177">
        <f t="shared" ref="O119:Z121" si="214">IF(AND($L119&lt;=O$3,O$3&lt;=$M119),$K119/$N119,0)</f>
        <v>0</v>
      </c>
      <c r="P119" s="177">
        <f t="shared" si="214"/>
        <v>0</v>
      </c>
      <c r="Q119" s="177">
        <f t="shared" si="214"/>
        <v>0</v>
      </c>
      <c r="R119" s="177">
        <f t="shared" si="214"/>
        <v>0</v>
      </c>
      <c r="S119" s="177">
        <f t="shared" si="214"/>
        <v>0</v>
      </c>
      <c r="T119" s="177">
        <f t="shared" si="214"/>
        <v>0</v>
      </c>
      <c r="U119" s="177">
        <f t="shared" si="214"/>
        <v>0</v>
      </c>
      <c r="V119" s="177">
        <f t="shared" si="214"/>
        <v>0</v>
      </c>
      <c r="W119" s="177">
        <f t="shared" si="214"/>
        <v>0</v>
      </c>
      <c r="X119" s="177">
        <f t="shared" si="214"/>
        <v>0</v>
      </c>
      <c r="Y119" s="177">
        <f t="shared" si="214"/>
        <v>0</v>
      </c>
      <c r="Z119" s="177">
        <f t="shared" si="214"/>
        <v>0</v>
      </c>
      <c r="AA119" s="178">
        <f t="shared" si="212"/>
        <v>0</v>
      </c>
      <c r="AB119" s="173" t="s">
        <v>2046</v>
      </c>
      <c r="AC119" s="77"/>
      <c r="AD119" s="175">
        <v>46023</v>
      </c>
      <c r="AE119" s="175">
        <v>46387</v>
      </c>
      <c r="AF119" s="176">
        <f t="shared" si="175"/>
        <v>12</v>
      </c>
      <c r="AG119" s="177">
        <f t="shared" ref="AG119:AR119" si="215">IF(AND($AD119&lt;=AG$3,AG$3&lt;=$AE119),$AC119/$AF119,0)</f>
        <v>0</v>
      </c>
      <c r="AH119" s="177">
        <f t="shared" si="215"/>
        <v>0</v>
      </c>
      <c r="AI119" s="177">
        <f t="shared" si="215"/>
        <v>0</v>
      </c>
      <c r="AJ119" s="177">
        <f t="shared" si="215"/>
        <v>0</v>
      </c>
      <c r="AK119" s="177">
        <f t="shared" si="215"/>
        <v>0</v>
      </c>
      <c r="AL119" s="177">
        <f t="shared" si="215"/>
        <v>0</v>
      </c>
      <c r="AM119" s="177">
        <f t="shared" si="215"/>
        <v>0</v>
      </c>
      <c r="AN119" s="177">
        <f t="shared" si="215"/>
        <v>0</v>
      </c>
      <c r="AO119" s="177">
        <f t="shared" si="215"/>
        <v>0</v>
      </c>
      <c r="AP119" s="177">
        <f t="shared" si="215"/>
        <v>0</v>
      </c>
      <c r="AQ119" s="177">
        <f t="shared" si="215"/>
        <v>0</v>
      </c>
      <c r="AR119" s="177">
        <f t="shared" si="215"/>
        <v>0</v>
      </c>
      <c r="AS119" s="178">
        <f t="shared" si="177"/>
        <v>0</v>
      </c>
      <c r="AU119" s="177">
        <f t="shared" si="178"/>
        <v>0</v>
      </c>
      <c r="AV119" s="177">
        <f t="shared" si="179"/>
        <v>0</v>
      </c>
      <c r="AW119" s="177">
        <f t="shared" si="180"/>
        <v>0</v>
      </c>
      <c r="AX119" s="177">
        <f t="shared" si="181"/>
        <v>0</v>
      </c>
      <c r="AY119" s="177">
        <f t="shared" si="182"/>
        <v>0</v>
      </c>
      <c r="AZ119" s="177">
        <f t="shared" si="183"/>
        <v>0</v>
      </c>
      <c r="BA119" s="177">
        <f t="shared" si="184"/>
        <v>0</v>
      </c>
      <c r="BB119" s="177">
        <f t="shared" si="185"/>
        <v>0</v>
      </c>
      <c r="BC119" s="177">
        <f t="shared" si="186"/>
        <v>0</v>
      </c>
      <c r="BD119" s="177">
        <f t="shared" si="187"/>
        <v>0</v>
      </c>
      <c r="BE119" s="177">
        <f t="shared" si="188"/>
        <v>0</v>
      </c>
      <c r="BF119" s="177">
        <f t="shared" si="189"/>
        <v>0</v>
      </c>
      <c r="BG119" s="178">
        <f t="shared" si="190"/>
        <v>0</v>
      </c>
    </row>
    <row r="120" spans="1:59" ht="13.5" customHeight="1">
      <c r="A120" s="171">
        <f t="shared" si="191"/>
        <v>19</v>
      </c>
      <c r="B120" s="171" t="s">
        <v>2242</v>
      </c>
      <c r="C120" s="171" t="s">
        <v>1549</v>
      </c>
      <c r="D120" s="171" t="str">
        <f t="shared" si="192"/>
        <v>支付的其他与经营活动有关的现金（其他）</v>
      </c>
      <c r="E120" s="171"/>
      <c r="F120" s="172" t="str">
        <f t="shared" si="210"/>
        <v>Employee Background Check</v>
      </c>
      <c r="G120" s="172"/>
      <c r="H120" s="77" t="s">
        <v>2613</v>
      </c>
      <c r="I120" s="173" t="s">
        <v>2614</v>
      </c>
      <c r="J120" s="173" t="s">
        <v>2046</v>
      </c>
      <c r="K120" s="183">
        <f>880*2</f>
        <v>1760</v>
      </c>
      <c r="L120" s="175">
        <v>45658</v>
      </c>
      <c r="M120" s="175">
        <v>45838</v>
      </c>
      <c r="N120" s="176">
        <f t="shared" si="211"/>
        <v>6</v>
      </c>
      <c r="O120" s="177">
        <f>IF(AND($L120&lt;=O$3,O$3&lt;=$M120),$K120/$N120,0)</f>
        <v>293.33333333333331</v>
      </c>
      <c r="P120" s="177">
        <f t="shared" si="214"/>
        <v>293.33333333333331</v>
      </c>
      <c r="Q120" s="177">
        <f t="shared" si="214"/>
        <v>293.33333333333331</v>
      </c>
      <c r="R120" s="177">
        <f t="shared" si="214"/>
        <v>293.33333333333331</v>
      </c>
      <c r="S120" s="177">
        <f t="shared" si="214"/>
        <v>293.33333333333331</v>
      </c>
      <c r="T120" s="177">
        <f t="shared" si="214"/>
        <v>293.33333333333331</v>
      </c>
      <c r="U120" s="177">
        <f t="shared" si="214"/>
        <v>0</v>
      </c>
      <c r="V120" s="177">
        <f t="shared" si="214"/>
        <v>0</v>
      </c>
      <c r="W120" s="177">
        <f t="shared" si="214"/>
        <v>0</v>
      </c>
      <c r="X120" s="177">
        <f t="shared" si="214"/>
        <v>0</v>
      </c>
      <c r="Y120" s="177">
        <f t="shared" si="214"/>
        <v>0</v>
      </c>
      <c r="Z120" s="177">
        <f t="shared" si="214"/>
        <v>0</v>
      </c>
      <c r="AA120" s="178">
        <f t="shared" si="212"/>
        <v>1759.9999999999998</v>
      </c>
      <c r="AB120" s="173" t="s">
        <v>2046</v>
      </c>
      <c r="AC120" s="77">
        <v>0</v>
      </c>
      <c r="AD120" s="175">
        <v>46023</v>
      </c>
      <c r="AE120" s="175">
        <v>46387</v>
      </c>
      <c r="AF120" s="176">
        <f t="shared" si="175"/>
        <v>12</v>
      </c>
      <c r="AG120" s="177">
        <f t="shared" ref="AG120:AR120" si="216">IF(AND($AD120&lt;=AG$3,AG$3&lt;=$AE120),$AC120/$AF120,0)</f>
        <v>0</v>
      </c>
      <c r="AH120" s="177">
        <f t="shared" si="216"/>
        <v>0</v>
      </c>
      <c r="AI120" s="177">
        <f t="shared" si="216"/>
        <v>0</v>
      </c>
      <c r="AJ120" s="177">
        <f t="shared" si="216"/>
        <v>0</v>
      </c>
      <c r="AK120" s="177">
        <f t="shared" si="216"/>
        <v>0</v>
      </c>
      <c r="AL120" s="177">
        <f t="shared" si="216"/>
        <v>0</v>
      </c>
      <c r="AM120" s="177">
        <f t="shared" si="216"/>
        <v>0</v>
      </c>
      <c r="AN120" s="177">
        <f t="shared" si="216"/>
        <v>0</v>
      </c>
      <c r="AO120" s="177">
        <f t="shared" si="216"/>
        <v>0</v>
      </c>
      <c r="AP120" s="177">
        <f t="shared" si="216"/>
        <v>0</v>
      </c>
      <c r="AQ120" s="177">
        <f t="shared" si="216"/>
        <v>0</v>
      </c>
      <c r="AR120" s="177">
        <f t="shared" si="216"/>
        <v>0</v>
      </c>
      <c r="AS120" s="178">
        <f t="shared" si="177"/>
        <v>0</v>
      </c>
      <c r="AU120" s="177">
        <f t="shared" si="178"/>
        <v>0</v>
      </c>
      <c r="AV120" s="177">
        <f t="shared" si="179"/>
        <v>0</v>
      </c>
      <c r="AW120" s="177">
        <f t="shared" si="180"/>
        <v>0</v>
      </c>
      <c r="AX120" s="177">
        <f t="shared" si="181"/>
        <v>0</v>
      </c>
      <c r="AY120" s="177">
        <f t="shared" si="182"/>
        <v>0</v>
      </c>
      <c r="AZ120" s="177">
        <f t="shared" si="183"/>
        <v>0</v>
      </c>
      <c r="BA120" s="177">
        <f t="shared" si="184"/>
        <v>0</v>
      </c>
      <c r="BB120" s="177">
        <f t="shared" si="185"/>
        <v>0</v>
      </c>
      <c r="BC120" s="177">
        <f t="shared" si="186"/>
        <v>0</v>
      </c>
      <c r="BD120" s="177">
        <f t="shared" si="187"/>
        <v>0</v>
      </c>
      <c r="BE120" s="177">
        <f t="shared" si="188"/>
        <v>0</v>
      </c>
      <c r="BF120" s="177">
        <f t="shared" si="189"/>
        <v>0</v>
      </c>
      <c r="BG120" s="178">
        <f t="shared" si="190"/>
        <v>0</v>
      </c>
    </row>
    <row r="121" spans="1:59" ht="13.5" customHeight="1">
      <c r="A121" s="171">
        <f t="shared" si="191"/>
        <v>20</v>
      </c>
      <c r="B121" s="171" t="s">
        <v>2242</v>
      </c>
      <c r="C121" s="171" t="s">
        <v>1867</v>
      </c>
      <c r="D121" s="171" t="str">
        <f t="shared" si="192"/>
        <v>支付的其他与经营活动有关的现金（其他）</v>
      </c>
      <c r="E121" s="171"/>
      <c r="F121" s="172" t="str">
        <f t="shared" si="210"/>
        <v>Training Fees</v>
      </c>
      <c r="G121" s="172"/>
      <c r="H121" s="77" t="s">
        <v>2613</v>
      </c>
      <c r="I121" s="173" t="s">
        <v>2614</v>
      </c>
      <c r="J121" s="173" t="s">
        <v>2046</v>
      </c>
      <c r="K121" s="77"/>
      <c r="L121" s="175">
        <v>45658</v>
      </c>
      <c r="M121" s="175">
        <v>46022</v>
      </c>
      <c r="N121" s="176">
        <f t="shared" si="211"/>
        <v>12</v>
      </c>
      <c r="O121" s="177">
        <f t="shared" si="214"/>
        <v>0</v>
      </c>
      <c r="P121" s="177">
        <f t="shared" si="214"/>
        <v>0</v>
      </c>
      <c r="Q121" s="177">
        <f t="shared" si="214"/>
        <v>0</v>
      </c>
      <c r="R121" s="177">
        <f t="shared" si="214"/>
        <v>0</v>
      </c>
      <c r="S121" s="177">
        <f t="shared" si="214"/>
        <v>0</v>
      </c>
      <c r="T121" s="177">
        <f t="shared" si="214"/>
        <v>0</v>
      </c>
      <c r="U121" s="177">
        <f t="shared" si="214"/>
        <v>0</v>
      </c>
      <c r="V121" s="177">
        <f t="shared" si="214"/>
        <v>0</v>
      </c>
      <c r="W121" s="177">
        <f t="shared" si="214"/>
        <v>0</v>
      </c>
      <c r="X121" s="177">
        <f t="shared" si="214"/>
        <v>0</v>
      </c>
      <c r="Y121" s="177">
        <f t="shared" si="214"/>
        <v>0</v>
      </c>
      <c r="Z121" s="177">
        <f t="shared" si="214"/>
        <v>0</v>
      </c>
      <c r="AA121" s="178">
        <f t="shared" si="212"/>
        <v>0</v>
      </c>
      <c r="AB121" s="173" t="s">
        <v>2046</v>
      </c>
      <c r="AC121" s="77"/>
      <c r="AD121" s="175">
        <v>46023</v>
      </c>
      <c r="AE121" s="175">
        <v>46387</v>
      </c>
      <c r="AF121" s="176">
        <f t="shared" si="175"/>
        <v>12</v>
      </c>
      <c r="AG121" s="177">
        <f t="shared" ref="AG121:AR121" si="217">IF(AND($AD121&lt;=AG$3,AG$3&lt;=$AE121),$AC121/$AF121,0)</f>
        <v>0</v>
      </c>
      <c r="AH121" s="177">
        <f t="shared" si="217"/>
        <v>0</v>
      </c>
      <c r="AI121" s="177">
        <f t="shared" si="217"/>
        <v>0</v>
      </c>
      <c r="AJ121" s="177">
        <f t="shared" si="217"/>
        <v>0</v>
      </c>
      <c r="AK121" s="177">
        <f t="shared" si="217"/>
        <v>0</v>
      </c>
      <c r="AL121" s="177">
        <f t="shared" si="217"/>
        <v>0</v>
      </c>
      <c r="AM121" s="177">
        <f t="shared" si="217"/>
        <v>0</v>
      </c>
      <c r="AN121" s="177">
        <f t="shared" si="217"/>
        <v>0</v>
      </c>
      <c r="AO121" s="177">
        <f t="shared" si="217"/>
        <v>0</v>
      </c>
      <c r="AP121" s="177">
        <f t="shared" si="217"/>
        <v>0</v>
      </c>
      <c r="AQ121" s="177">
        <f t="shared" si="217"/>
        <v>0</v>
      </c>
      <c r="AR121" s="177">
        <f t="shared" si="217"/>
        <v>0</v>
      </c>
      <c r="AS121" s="178">
        <f t="shared" si="177"/>
        <v>0</v>
      </c>
      <c r="AU121" s="177">
        <f t="shared" si="178"/>
        <v>0</v>
      </c>
      <c r="AV121" s="177">
        <f t="shared" si="179"/>
        <v>0</v>
      </c>
      <c r="AW121" s="177">
        <f t="shared" si="180"/>
        <v>0</v>
      </c>
      <c r="AX121" s="177">
        <f t="shared" si="181"/>
        <v>0</v>
      </c>
      <c r="AY121" s="177">
        <f t="shared" si="182"/>
        <v>0</v>
      </c>
      <c r="AZ121" s="177">
        <f t="shared" si="183"/>
        <v>0</v>
      </c>
      <c r="BA121" s="177">
        <f t="shared" si="184"/>
        <v>0</v>
      </c>
      <c r="BB121" s="177">
        <f t="shared" si="185"/>
        <v>0</v>
      </c>
      <c r="BC121" s="177">
        <f t="shared" si="186"/>
        <v>0</v>
      </c>
      <c r="BD121" s="177">
        <f t="shared" si="187"/>
        <v>0</v>
      </c>
      <c r="BE121" s="177">
        <f t="shared" si="188"/>
        <v>0</v>
      </c>
      <c r="BF121" s="177">
        <f t="shared" si="189"/>
        <v>0</v>
      </c>
      <c r="BG121" s="178">
        <f t="shared" si="190"/>
        <v>0</v>
      </c>
    </row>
    <row r="123" spans="1:59" s="151" customFormat="1" ht="13.5" thickBot="1">
      <c r="L123" s="180"/>
      <c r="M123" s="180"/>
      <c r="O123" s="185">
        <f>SUM(O102:O122)</f>
        <v>1210</v>
      </c>
      <c r="P123" s="185">
        <f t="shared" ref="P123:Z123" si="218">SUM(P102:P122)</f>
        <v>1210</v>
      </c>
      <c r="Q123" s="185">
        <f t="shared" si="218"/>
        <v>1210</v>
      </c>
      <c r="R123" s="185">
        <f t="shared" si="218"/>
        <v>1210</v>
      </c>
      <c r="S123" s="185">
        <f t="shared" si="218"/>
        <v>1210</v>
      </c>
      <c r="T123" s="185">
        <f t="shared" si="218"/>
        <v>1210</v>
      </c>
      <c r="U123" s="185">
        <f t="shared" si="218"/>
        <v>916.66666666666674</v>
      </c>
      <c r="V123" s="185">
        <f t="shared" si="218"/>
        <v>916.66666666666674</v>
      </c>
      <c r="W123" s="185">
        <f t="shared" si="218"/>
        <v>8416.6666666666661</v>
      </c>
      <c r="X123" s="185">
        <f t="shared" si="218"/>
        <v>8416.6666666666661</v>
      </c>
      <c r="Y123" s="185">
        <f t="shared" si="218"/>
        <v>916.66666666666674</v>
      </c>
      <c r="Z123" s="185">
        <f t="shared" si="218"/>
        <v>5916.6666666666661</v>
      </c>
      <c r="AA123" s="182">
        <f>SUBTOTAL(9,O123:Z123)</f>
        <v>32760</v>
      </c>
      <c r="AC123" s="185">
        <f>SUM(AC102:AC122)</f>
        <v>36000</v>
      </c>
      <c r="AD123" s="180"/>
      <c r="AE123" s="180"/>
      <c r="AG123" s="185">
        <f t="shared" ref="AG123:AR123" si="219">SUM(AG102:AG122)</f>
        <v>1750</v>
      </c>
      <c r="AH123" s="185">
        <f t="shared" si="219"/>
        <v>11750</v>
      </c>
      <c r="AI123" s="185">
        <f t="shared" si="219"/>
        <v>1750</v>
      </c>
      <c r="AJ123" s="185">
        <f t="shared" si="219"/>
        <v>1750</v>
      </c>
      <c r="AK123" s="185">
        <f t="shared" si="219"/>
        <v>1750</v>
      </c>
      <c r="AL123" s="185">
        <f t="shared" si="219"/>
        <v>1750</v>
      </c>
      <c r="AM123" s="185">
        <f t="shared" si="219"/>
        <v>916.66666666666674</v>
      </c>
      <c r="AN123" s="185">
        <f t="shared" si="219"/>
        <v>916.66666666666674</v>
      </c>
      <c r="AO123" s="185">
        <f t="shared" si="219"/>
        <v>916.66666666666674</v>
      </c>
      <c r="AP123" s="185">
        <f t="shared" si="219"/>
        <v>10916.666666666668</v>
      </c>
      <c r="AQ123" s="185">
        <f t="shared" si="219"/>
        <v>916.66666666666674</v>
      </c>
      <c r="AR123" s="185">
        <f t="shared" si="219"/>
        <v>916.66666666666674</v>
      </c>
      <c r="AS123" s="182">
        <f>SUBTOTAL(9,AG123:AR123)</f>
        <v>36000</v>
      </c>
      <c r="AU123" s="185">
        <f t="shared" ref="AU123:BF123" si="220">SUM(AU102:AU122)</f>
        <v>1837.5000000000002</v>
      </c>
      <c r="AV123" s="185">
        <f t="shared" si="220"/>
        <v>12337.5</v>
      </c>
      <c r="AW123" s="185">
        <f t="shared" si="220"/>
        <v>1837.5000000000002</v>
      </c>
      <c r="AX123" s="185">
        <f t="shared" si="220"/>
        <v>1837.5000000000002</v>
      </c>
      <c r="AY123" s="185">
        <f t="shared" si="220"/>
        <v>1837.5000000000002</v>
      </c>
      <c r="AZ123" s="185">
        <f t="shared" si="220"/>
        <v>1837.5000000000002</v>
      </c>
      <c r="BA123" s="185">
        <f t="shared" si="220"/>
        <v>962.50000000000011</v>
      </c>
      <c r="BB123" s="185">
        <f t="shared" si="220"/>
        <v>962.50000000000011</v>
      </c>
      <c r="BC123" s="185">
        <f t="shared" si="220"/>
        <v>962.50000000000011</v>
      </c>
      <c r="BD123" s="185">
        <f t="shared" si="220"/>
        <v>11462.5</v>
      </c>
      <c r="BE123" s="185">
        <f t="shared" si="220"/>
        <v>962.50000000000011</v>
      </c>
      <c r="BF123" s="185">
        <f t="shared" si="220"/>
        <v>962.50000000000011</v>
      </c>
      <c r="BG123" s="182">
        <f>SUBTOTAL(9,AU123:BF123)</f>
        <v>37800</v>
      </c>
    </row>
    <row r="124" spans="1:59" ht="13.5" thickTop="1"/>
    <row r="125" spans="1:59" s="150" customFormat="1" ht="13.5" customHeight="1">
      <c r="A125" s="162"/>
      <c r="B125" s="162" t="s">
        <v>2598</v>
      </c>
      <c r="C125" s="162" t="s">
        <v>2704</v>
      </c>
      <c r="D125" s="162" t="s">
        <v>2602</v>
      </c>
      <c r="E125" s="162" t="s">
        <v>2401</v>
      </c>
      <c r="F125" s="163" t="s">
        <v>2930</v>
      </c>
      <c r="G125" s="163" t="s">
        <v>2603</v>
      </c>
      <c r="H125" s="164" t="s">
        <v>2604</v>
      </c>
      <c r="I125" s="164" t="s">
        <v>2605</v>
      </c>
      <c r="J125" s="165" t="s">
        <v>2606</v>
      </c>
      <c r="K125" s="166" t="s">
        <v>2607</v>
      </c>
      <c r="L125" s="167" t="s">
        <v>2608</v>
      </c>
      <c r="M125" s="167" t="s">
        <v>2609</v>
      </c>
      <c r="N125" s="166" t="s">
        <v>2610</v>
      </c>
      <c r="O125" s="69">
        <v>45658</v>
      </c>
      <c r="P125" s="69">
        <v>45689</v>
      </c>
      <c r="Q125" s="69">
        <v>45717</v>
      </c>
      <c r="R125" s="69">
        <v>45748</v>
      </c>
      <c r="S125" s="69">
        <v>45778</v>
      </c>
      <c r="T125" s="69">
        <v>45809</v>
      </c>
      <c r="U125" s="69">
        <v>45839</v>
      </c>
      <c r="V125" s="69">
        <v>45870</v>
      </c>
      <c r="W125" s="69">
        <v>45901</v>
      </c>
      <c r="X125" s="69">
        <v>45931</v>
      </c>
      <c r="Y125" s="69">
        <v>45962</v>
      </c>
      <c r="Z125" s="69">
        <v>45992</v>
      </c>
      <c r="AA125" s="168" t="s">
        <v>2115</v>
      </c>
      <c r="AB125" s="165" t="s">
        <v>2606</v>
      </c>
      <c r="AC125" s="166" t="s">
        <v>2607</v>
      </c>
      <c r="AD125" s="167" t="s">
        <v>2608</v>
      </c>
      <c r="AE125" s="167" t="s">
        <v>2609</v>
      </c>
      <c r="AF125" s="166" t="s">
        <v>2610</v>
      </c>
      <c r="AG125" s="69">
        <v>46023</v>
      </c>
      <c r="AH125" s="69">
        <v>46054</v>
      </c>
      <c r="AI125" s="69">
        <v>46082</v>
      </c>
      <c r="AJ125" s="69">
        <v>46113</v>
      </c>
      <c r="AK125" s="69">
        <v>46143</v>
      </c>
      <c r="AL125" s="69">
        <v>46174</v>
      </c>
      <c r="AM125" s="69">
        <v>46204</v>
      </c>
      <c r="AN125" s="69">
        <v>46235</v>
      </c>
      <c r="AO125" s="69">
        <v>46266</v>
      </c>
      <c r="AP125" s="69">
        <v>46296</v>
      </c>
      <c r="AQ125" s="69">
        <v>46327</v>
      </c>
      <c r="AR125" s="69">
        <v>46357</v>
      </c>
      <c r="AS125" s="168" t="s">
        <v>2706</v>
      </c>
      <c r="AU125" s="69">
        <f t="shared" ref="AU125:BG125" si="221">AU3</f>
        <v>46388</v>
      </c>
      <c r="AV125" s="69">
        <f t="shared" si="221"/>
        <v>46419</v>
      </c>
      <c r="AW125" s="69">
        <f t="shared" si="221"/>
        <v>46447</v>
      </c>
      <c r="AX125" s="69">
        <f t="shared" si="221"/>
        <v>46478</v>
      </c>
      <c r="AY125" s="69">
        <f t="shared" si="221"/>
        <v>46508</v>
      </c>
      <c r="AZ125" s="69">
        <f t="shared" si="221"/>
        <v>46539</v>
      </c>
      <c r="BA125" s="69">
        <f t="shared" si="221"/>
        <v>46569</v>
      </c>
      <c r="BB125" s="69">
        <f t="shared" si="221"/>
        <v>46600</v>
      </c>
      <c r="BC125" s="69">
        <f t="shared" si="221"/>
        <v>46631</v>
      </c>
      <c r="BD125" s="69">
        <f t="shared" si="221"/>
        <v>46661</v>
      </c>
      <c r="BE125" s="69">
        <f t="shared" si="221"/>
        <v>46692</v>
      </c>
      <c r="BF125" s="69">
        <f t="shared" si="221"/>
        <v>46722</v>
      </c>
      <c r="BG125" s="168" t="str">
        <f t="shared" si="221"/>
        <v>2027Total</v>
      </c>
    </row>
    <row r="126" spans="1:59" ht="13.5" customHeight="1">
      <c r="A126" s="171">
        <v>1</v>
      </c>
      <c r="B126" s="171" t="s">
        <v>2553</v>
      </c>
      <c r="C126" s="171" t="s">
        <v>1646</v>
      </c>
      <c r="D126" s="171" t="str">
        <f>$D6</f>
        <v>支付的其他与经营活动有关的现金（其他）</v>
      </c>
      <c r="E126" s="171"/>
      <c r="F126" s="172" t="str">
        <f>IF(F6="","",F6)</f>
        <v>Office Supplies</v>
      </c>
      <c r="G126" s="172"/>
      <c r="H126" s="77" t="s">
        <v>2613</v>
      </c>
      <c r="I126" s="173" t="s">
        <v>2614</v>
      </c>
      <c r="J126" s="173" t="s">
        <v>2046</v>
      </c>
      <c r="K126" s="77"/>
      <c r="L126" s="175">
        <v>45658</v>
      </c>
      <c r="M126" s="175">
        <v>46022</v>
      </c>
      <c r="N126" s="176">
        <f>IF(AND(L126="",M126=""),"-",IF(M126="",12,DATEDIF(L126,M126,"M")+1))</f>
        <v>12</v>
      </c>
      <c r="O126" s="177">
        <f t="shared" ref="O126:Z142" si="222">IF(AND($L126&lt;=O$3,O$3&lt;=$M126),$K126/$N126,0)</f>
        <v>0</v>
      </c>
      <c r="P126" s="177">
        <f t="shared" si="222"/>
        <v>0</v>
      </c>
      <c r="Q126" s="177">
        <f t="shared" si="222"/>
        <v>0</v>
      </c>
      <c r="R126" s="177">
        <f t="shared" si="222"/>
        <v>0</v>
      </c>
      <c r="S126" s="177">
        <f t="shared" si="222"/>
        <v>0</v>
      </c>
      <c r="T126" s="177">
        <f t="shared" si="222"/>
        <v>0</v>
      </c>
      <c r="U126" s="177">
        <f t="shared" si="222"/>
        <v>0</v>
      </c>
      <c r="V126" s="177">
        <f t="shared" si="222"/>
        <v>0</v>
      </c>
      <c r="W126" s="177">
        <f t="shared" si="222"/>
        <v>0</v>
      </c>
      <c r="X126" s="177">
        <f t="shared" si="222"/>
        <v>0</v>
      </c>
      <c r="Y126" s="177">
        <f t="shared" si="222"/>
        <v>0</v>
      </c>
      <c r="Z126" s="177">
        <f t="shared" si="222"/>
        <v>0</v>
      </c>
      <c r="AA126" s="178">
        <f>SUM(O126:Z126)</f>
        <v>0</v>
      </c>
      <c r="AB126" s="173" t="s">
        <v>2046</v>
      </c>
      <c r="AC126" s="77"/>
      <c r="AD126" s="175">
        <v>46023</v>
      </c>
      <c r="AE126" s="175">
        <v>46387</v>
      </c>
      <c r="AF126" s="176">
        <f t="shared" ref="AF126:AF145" si="223">IF(AND(AD126="",AE126=""),"-",IF(AE126="",12,DATEDIF(AD126,AE126,"M")+1))</f>
        <v>12</v>
      </c>
      <c r="AG126" s="177">
        <f t="shared" ref="AG126:AR126" si="224">IF(AND($AD126&lt;=AG$3,AG$3&lt;=$AE126),$AC126/$AF126,0)</f>
        <v>0</v>
      </c>
      <c r="AH126" s="177">
        <f t="shared" si="224"/>
        <v>0</v>
      </c>
      <c r="AI126" s="177">
        <f t="shared" si="224"/>
        <v>0</v>
      </c>
      <c r="AJ126" s="177">
        <f t="shared" si="224"/>
        <v>0</v>
      </c>
      <c r="AK126" s="177">
        <f t="shared" si="224"/>
        <v>0</v>
      </c>
      <c r="AL126" s="177">
        <f t="shared" si="224"/>
        <v>0</v>
      </c>
      <c r="AM126" s="177">
        <f t="shared" si="224"/>
        <v>0</v>
      </c>
      <c r="AN126" s="177">
        <f t="shared" si="224"/>
        <v>0</v>
      </c>
      <c r="AO126" s="177">
        <f t="shared" si="224"/>
        <v>0</v>
      </c>
      <c r="AP126" s="177">
        <f t="shared" si="224"/>
        <v>0</v>
      </c>
      <c r="AQ126" s="177">
        <f t="shared" si="224"/>
        <v>0</v>
      </c>
      <c r="AR126" s="177">
        <f t="shared" si="224"/>
        <v>0</v>
      </c>
      <c r="AS126" s="178">
        <f t="shared" ref="AS126:AS145" si="225">SUM(AG126:AR126)</f>
        <v>0</v>
      </c>
      <c r="AU126" s="177">
        <f t="shared" ref="AU126:AU145" si="226">AG126*(1+$AU$1)</f>
        <v>0</v>
      </c>
      <c r="AV126" s="177">
        <f t="shared" ref="AV126:AV145" si="227">AH126*(1+$AU$1)</f>
        <v>0</v>
      </c>
      <c r="AW126" s="177">
        <f t="shared" ref="AW126:AW145" si="228">AI126*(1+$AU$1)</f>
        <v>0</v>
      </c>
      <c r="AX126" s="177">
        <f t="shared" ref="AX126:AX145" si="229">AJ126*(1+$AU$1)</f>
        <v>0</v>
      </c>
      <c r="AY126" s="177">
        <f t="shared" ref="AY126:AY145" si="230">AK126*(1+$AU$1)</f>
        <v>0</v>
      </c>
      <c r="AZ126" s="177">
        <f t="shared" ref="AZ126:AZ145" si="231">AL126*(1+$AU$1)</f>
        <v>0</v>
      </c>
      <c r="BA126" s="177">
        <f t="shared" ref="BA126:BA145" si="232">AM126*(1+$AU$1)</f>
        <v>0</v>
      </c>
      <c r="BB126" s="177">
        <f t="shared" ref="BB126:BB145" si="233">AN126*(1+$AU$1)</f>
        <v>0</v>
      </c>
      <c r="BC126" s="177">
        <f t="shared" ref="BC126:BC145" si="234">AO126*(1+$AU$1)</f>
        <v>0</v>
      </c>
      <c r="BD126" s="177">
        <f t="shared" ref="BD126:BD145" si="235">AP126*(1+$AU$1)</f>
        <v>0</v>
      </c>
      <c r="BE126" s="177">
        <f t="shared" ref="BE126:BE145" si="236">AQ126*(1+$AU$1)</f>
        <v>0</v>
      </c>
      <c r="BF126" s="177">
        <f t="shared" ref="BF126:BF145" si="237">AR126*(1+$AU$1)</f>
        <v>0</v>
      </c>
      <c r="BG126" s="178">
        <f t="shared" ref="BG126:BG145" si="238">SUM(AU126:BF126)</f>
        <v>0</v>
      </c>
    </row>
    <row r="127" spans="1:59" ht="13.5" customHeight="1">
      <c r="A127" s="171">
        <f t="shared" ref="A127:A145" si="239">IF(A126&lt;=0,FALSE,A126+1)</f>
        <v>2</v>
      </c>
      <c r="B127" s="171" t="s">
        <v>2553</v>
      </c>
      <c r="C127" s="171" t="s">
        <v>1844</v>
      </c>
      <c r="D127" s="171" t="str">
        <f t="shared" ref="D127:D145" si="240">$D7</f>
        <v>支付的其他与经营活动有关的现金（其他）</v>
      </c>
      <c r="E127" s="171"/>
      <c r="F127" s="172" t="str">
        <f>IF(F7="","",F7)</f>
        <v>Business registration fees</v>
      </c>
      <c r="G127" s="172"/>
      <c r="H127" s="77" t="s">
        <v>2613</v>
      </c>
      <c r="I127" s="173" t="s">
        <v>2614</v>
      </c>
      <c r="J127" s="173" t="s">
        <v>2046</v>
      </c>
      <c r="K127" s="77">
        <v>2640</v>
      </c>
      <c r="L127" s="175">
        <v>45658</v>
      </c>
      <c r="M127" s="175">
        <v>45688</v>
      </c>
      <c r="N127" s="176">
        <f t="shared" ref="N127:N141" si="241">IF(AND(L127="",M127=""),"-",IF(M127="",12,DATEDIF(L127,M127,"M")+1))</f>
        <v>1</v>
      </c>
      <c r="O127" s="177">
        <f t="shared" si="222"/>
        <v>2640</v>
      </c>
      <c r="P127" s="177">
        <f t="shared" si="222"/>
        <v>0</v>
      </c>
      <c r="Q127" s="177">
        <f t="shared" si="222"/>
        <v>0</v>
      </c>
      <c r="R127" s="177">
        <f t="shared" si="222"/>
        <v>0</v>
      </c>
      <c r="S127" s="177">
        <f t="shared" si="222"/>
        <v>0</v>
      </c>
      <c r="T127" s="177">
        <f t="shared" si="222"/>
        <v>0</v>
      </c>
      <c r="U127" s="177">
        <f t="shared" si="222"/>
        <v>0</v>
      </c>
      <c r="V127" s="177">
        <f t="shared" si="222"/>
        <v>0</v>
      </c>
      <c r="W127" s="177">
        <f t="shared" si="222"/>
        <v>0</v>
      </c>
      <c r="X127" s="177">
        <f t="shared" si="222"/>
        <v>0</v>
      </c>
      <c r="Y127" s="177">
        <f t="shared" si="222"/>
        <v>0</v>
      </c>
      <c r="Z127" s="177">
        <f t="shared" si="222"/>
        <v>0</v>
      </c>
      <c r="AA127" s="178">
        <f t="shared" ref="AA127:AA141" si="242">SUM(O127:Z127)</f>
        <v>2640</v>
      </c>
      <c r="AB127" s="173" t="s">
        <v>2046</v>
      </c>
      <c r="AC127" s="77"/>
      <c r="AD127" s="175">
        <v>46023</v>
      </c>
      <c r="AE127" s="175">
        <v>46053</v>
      </c>
      <c r="AF127" s="176">
        <f t="shared" si="223"/>
        <v>1</v>
      </c>
      <c r="AG127" s="177">
        <f t="shared" ref="AG127:AR127" si="243">IF(AND($AD127&lt;=AG$3,AG$3&lt;=$AE127),$AC127/$AF127,0)</f>
        <v>0</v>
      </c>
      <c r="AH127" s="177">
        <f t="shared" si="243"/>
        <v>0</v>
      </c>
      <c r="AI127" s="177">
        <f t="shared" si="243"/>
        <v>0</v>
      </c>
      <c r="AJ127" s="177">
        <f t="shared" si="243"/>
        <v>0</v>
      </c>
      <c r="AK127" s="177">
        <f t="shared" si="243"/>
        <v>0</v>
      </c>
      <c r="AL127" s="177">
        <f t="shared" si="243"/>
        <v>0</v>
      </c>
      <c r="AM127" s="177">
        <f t="shared" si="243"/>
        <v>0</v>
      </c>
      <c r="AN127" s="177">
        <f t="shared" si="243"/>
        <v>0</v>
      </c>
      <c r="AO127" s="177">
        <f t="shared" si="243"/>
        <v>0</v>
      </c>
      <c r="AP127" s="177">
        <f t="shared" si="243"/>
        <v>0</v>
      </c>
      <c r="AQ127" s="177">
        <f t="shared" si="243"/>
        <v>0</v>
      </c>
      <c r="AR127" s="177">
        <f t="shared" si="243"/>
        <v>0</v>
      </c>
      <c r="AS127" s="178">
        <f t="shared" si="225"/>
        <v>0</v>
      </c>
      <c r="AU127" s="177">
        <f t="shared" si="226"/>
        <v>0</v>
      </c>
      <c r="AV127" s="177">
        <f t="shared" si="227"/>
        <v>0</v>
      </c>
      <c r="AW127" s="177">
        <f t="shared" si="228"/>
        <v>0</v>
      </c>
      <c r="AX127" s="177">
        <f t="shared" si="229"/>
        <v>0</v>
      </c>
      <c r="AY127" s="177">
        <f t="shared" si="230"/>
        <v>0</v>
      </c>
      <c r="AZ127" s="177">
        <f t="shared" si="231"/>
        <v>0</v>
      </c>
      <c r="BA127" s="177">
        <f t="shared" si="232"/>
        <v>0</v>
      </c>
      <c r="BB127" s="177">
        <f t="shared" si="233"/>
        <v>0</v>
      </c>
      <c r="BC127" s="177">
        <f t="shared" si="234"/>
        <v>0</v>
      </c>
      <c r="BD127" s="177">
        <f t="shared" si="235"/>
        <v>0</v>
      </c>
      <c r="BE127" s="177">
        <f t="shared" si="236"/>
        <v>0</v>
      </c>
      <c r="BF127" s="177">
        <f t="shared" si="237"/>
        <v>0</v>
      </c>
      <c r="BG127" s="178">
        <f t="shared" si="238"/>
        <v>0</v>
      </c>
    </row>
    <row r="128" spans="1:59" ht="13.5" customHeight="1">
      <c r="A128" s="171">
        <f t="shared" si="239"/>
        <v>3</v>
      </c>
      <c r="B128" s="171" t="s">
        <v>2553</v>
      </c>
      <c r="C128" s="171" t="s">
        <v>1918</v>
      </c>
      <c r="D128" s="171" t="str">
        <f t="shared" si="240"/>
        <v>支付的其他与经营活动有关的现金（其他）</v>
      </c>
      <c r="E128" s="171"/>
      <c r="F128" s="172" t="str">
        <f>IF(F8="","",F8)</f>
        <v>Bank Handling Charges</v>
      </c>
      <c r="G128" s="172"/>
      <c r="H128" s="77" t="s">
        <v>2613</v>
      </c>
      <c r="I128" s="173" t="s">
        <v>2614</v>
      </c>
      <c r="J128" s="173" t="s">
        <v>2046</v>
      </c>
      <c r="K128" s="186">
        <v>1000</v>
      </c>
      <c r="L128" s="175">
        <v>45658</v>
      </c>
      <c r="M128" s="175">
        <v>46022</v>
      </c>
      <c r="N128" s="176">
        <f t="shared" si="241"/>
        <v>12</v>
      </c>
      <c r="O128" s="177">
        <f t="shared" si="222"/>
        <v>83.333333333333329</v>
      </c>
      <c r="P128" s="177">
        <f t="shared" si="222"/>
        <v>83.333333333333329</v>
      </c>
      <c r="Q128" s="177">
        <f t="shared" si="222"/>
        <v>83.333333333333329</v>
      </c>
      <c r="R128" s="177">
        <f t="shared" si="222"/>
        <v>83.333333333333329</v>
      </c>
      <c r="S128" s="177">
        <f t="shared" si="222"/>
        <v>83.333333333333329</v>
      </c>
      <c r="T128" s="177">
        <f t="shared" si="222"/>
        <v>83.333333333333329</v>
      </c>
      <c r="U128" s="177">
        <f t="shared" si="222"/>
        <v>83.333333333333329</v>
      </c>
      <c r="V128" s="177">
        <f t="shared" si="222"/>
        <v>83.333333333333329</v>
      </c>
      <c r="W128" s="177">
        <f t="shared" si="222"/>
        <v>83.333333333333329</v>
      </c>
      <c r="X128" s="177">
        <f t="shared" si="222"/>
        <v>83.333333333333329</v>
      </c>
      <c r="Y128" s="177">
        <f t="shared" si="222"/>
        <v>83.333333333333329</v>
      </c>
      <c r="Z128" s="177">
        <f t="shared" si="222"/>
        <v>83.333333333333329</v>
      </c>
      <c r="AA128" s="178">
        <f t="shared" si="242"/>
        <v>1000.0000000000001</v>
      </c>
      <c r="AB128" s="173" t="s">
        <v>2046</v>
      </c>
      <c r="AC128" s="184">
        <v>1000</v>
      </c>
      <c r="AD128" s="175">
        <v>46023</v>
      </c>
      <c r="AE128" s="175">
        <v>46387</v>
      </c>
      <c r="AF128" s="176">
        <f t="shared" si="223"/>
        <v>12</v>
      </c>
      <c r="AG128" s="177">
        <f t="shared" ref="AG128:AR128" si="244">IF(AND($AD128&lt;=AG$3,AG$3&lt;=$AE128),$AC128/$AF128,0)</f>
        <v>83.333333333333329</v>
      </c>
      <c r="AH128" s="177">
        <f t="shared" si="244"/>
        <v>83.333333333333329</v>
      </c>
      <c r="AI128" s="177">
        <f t="shared" si="244"/>
        <v>83.333333333333329</v>
      </c>
      <c r="AJ128" s="177">
        <f t="shared" si="244"/>
        <v>83.333333333333329</v>
      </c>
      <c r="AK128" s="177">
        <f t="shared" si="244"/>
        <v>83.333333333333329</v>
      </c>
      <c r="AL128" s="177">
        <f t="shared" si="244"/>
        <v>83.333333333333329</v>
      </c>
      <c r="AM128" s="177">
        <f t="shared" si="244"/>
        <v>83.333333333333329</v>
      </c>
      <c r="AN128" s="177">
        <f t="shared" si="244"/>
        <v>83.333333333333329</v>
      </c>
      <c r="AO128" s="177">
        <f t="shared" si="244"/>
        <v>83.333333333333329</v>
      </c>
      <c r="AP128" s="177">
        <f t="shared" si="244"/>
        <v>83.333333333333329</v>
      </c>
      <c r="AQ128" s="177">
        <f t="shared" si="244"/>
        <v>83.333333333333329</v>
      </c>
      <c r="AR128" s="177">
        <f t="shared" si="244"/>
        <v>83.333333333333329</v>
      </c>
      <c r="AS128" s="178">
        <f t="shared" si="225"/>
        <v>1000.0000000000001</v>
      </c>
      <c r="AU128" s="177">
        <f t="shared" si="226"/>
        <v>87.5</v>
      </c>
      <c r="AV128" s="177">
        <f t="shared" si="227"/>
        <v>87.5</v>
      </c>
      <c r="AW128" s="177">
        <f t="shared" si="228"/>
        <v>87.5</v>
      </c>
      <c r="AX128" s="177">
        <f t="shared" si="229"/>
        <v>87.5</v>
      </c>
      <c r="AY128" s="177">
        <f t="shared" si="230"/>
        <v>87.5</v>
      </c>
      <c r="AZ128" s="177">
        <f t="shared" si="231"/>
        <v>87.5</v>
      </c>
      <c r="BA128" s="177">
        <f t="shared" si="232"/>
        <v>87.5</v>
      </c>
      <c r="BB128" s="177">
        <f t="shared" si="233"/>
        <v>87.5</v>
      </c>
      <c r="BC128" s="177">
        <f t="shared" si="234"/>
        <v>87.5</v>
      </c>
      <c r="BD128" s="177">
        <f t="shared" si="235"/>
        <v>87.5</v>
      </c>
      <c r="BE128" s="177">
        <f t="shared" si="236"/>
        <v>87.5</v>
      </c>
      <c r="BF128" s="177">
        <f t="shared" si="237"/>
        <v>87.5</v>
      </c>
      <c r="BG128" s="178">
        <f t="shared" si="238"/>
        <v>1050</v>
      </c>
    </row>
    <row r="129" spans="1:59" ht="13.5" customHeight="1">
      <c r="A129" s="171">
        <f t="shared" si="239"/>
        <v>4</v>
      </c>
      <c r="B129" s="171" t="s">
        <v>2553</v>
      </c>
      <c r="C129" s="171" t="s">
        <v>1657</v>
      </c>
      <c r="D129" s="171" t="str">
        <f t="shared" si="240"/>
        <v>支付的其他与经营活动有关的现金（其他）</v>
      </c>
      <c r="E129" s="171"/>
      <c r="F129" s="172" t="str">
        <f>IF(F9="","",F9)</f>
        <v>Postage / Freight / Delivery</v>
      </c>
      <c r="G129" s="172"/>
      <c r="H129" s="77" t="s">
        <v>2613</v>
      </c>
      <c r="I129" s="173" t="s">
        <v>2614</v>
      </c>
      <c r="J129" s="173" t="s">
        <v>2046</v>
      </c>
      <c r="K129" s="77"/>
      <c r="L129" s="175">
        <v>45658</v>
      </c>
      <c r="M129" s="175">
        <v>46022</v>
      </c>
      <c r="N129" s="176">
        <f t="shared" si="241"/>
        <v>12</v>
      </c>
      <c r="O129" s="177">
        <f t="shared" si="222"/>
        <v>0</v>
      </c>
      <c r="P129" s="177">
        <f t="shared" si="222"/>
        <v>0</v>
      </c>
      <c r="Q129" s="177">
        <f t="shared" si="222"/>
        <v>0</v>
      </c>
      <c r="R129" s="177">
        <f t="shared" si="222"/>
        <v>0</v>
      </c>
      <c r="S129" s="177">
        <f t="shared" si="222"/>
        <v>0</v>
      </c>
      <c r="T129" s="177">
        <f t="shared" si="222"/>
        <v>0</v>
      </c>
      <c r="U129" s="177">
        <f t="shared" si="222"/>
        <v>0</v>
      </c>
      <c r="V129" s="177">
        <f t="shared" si="222"/>
        <v>0</v>
      </c>
      <c r="W129" s="177">
        <f t="shared" si="222"/>
        <v>0</v>
      </c>
      <c r="X129" s="177">
        <f t="shared" si="222"/>
        <v>0</v>
      </c>
      <c r="Y129" s="177">
        <f t="shared" si="222"/>
        <v>0</v>
      </c>
      <c r="Z129" s="177">
        <f t="shared" si="222"/>
        <v>0</v>
      </c>
      <c r="AA129" s="178">
        <f t="shared" si="242"/>
        <v>0</v>
      </c>
      <c r="AB129" s="173" t="s">
        <v>2046</v>
      </c>
      <c r="AC129" s="77"/>
      <c r="AD129" s="175">
        <v>46023</v>
      </c>
      <c r="AE129" s="175">
        <v>46387</v>
      </c>
      <c r="AF129" s="176">
        <f t="shared" si="223"/>
        <v>12</v>
      </c>
      <c r="AG129" s="177">
        <f t="shared" ref="AG129:AR129" si="245">IF(AND($AD129&lt;=AG$3,AG$3&lt;=$AE129),$AC129/$AF129,0)</f>
        <v>0</v>
      </c>
      <c r="AH129" s="177">
        <f t="shared" si="245"/>
        <v>0</v>
      </c>
      <c r="AI129" s="177">
        <f t="shared" si="245"/>
        <v>0</v>
      </c>
      <c r="AJ129" s="177">
        <f t="shared" si="245"/>
        <v>0</v>
      </c>
      <c r="AK129" s="177">
        <f t="shared" si="245"/>
        <v>0</v>
      </c>
      <c r="AL129" s="177">
        <f t="shared" si="245"/>
        <v>0</v>
      </c>
      <c r="AM129" s="177">
        <f t="shared" si="245"/>
        <v>0</v>
      </c>
      <c r="AN129" s="177">
        <f t="shared" si="245"/>
        <v>0</v>
      </c>
      <c r="AO129" s="177">
        <f t="shared" si="245"/>
        <v>0</v>
      </c>
      <c r="AP129" s="177">
        <f t="shared" si="245"/>
        <v>0</v>
      </c>
      <c r="AQ129" s="177">
        <f t="shared" si="245"/>
        <v>0</v>
      </c>
      <c r="AR129" s="177">
        <f t="shared" si="245"/>
        <v>0</v>
      </c>
      <c r="AS129" s="178">
        <f t="shared" si="225"/>
        <v>0</v>
      </c>
      <c r="AU129" s="177">
        <f t="shared" si="226"/>
        <v>0</v>
      </c>
      <c r="AV129" s="177">
        <f t="shared" si="227"/>
        <v>0</v>
      </c>
      <c r="AW129" s="177">
        <f t="shared" si="228"/>
        <v>0</v>
      </c>
      <c r="AX129" s="177">
        <f t="shared" si="229"/>
        <v>0</v>
      </c>
      <c r="AY129" s="177">
        <f t="shared" si="230"/>
        <v>0</v>
      </c>
      <c r="AZ129" s="177">
        <f t="shared" si="231"/>
        <v>0</v>
      </c>
      <c r="BA129" s="177">
        <f t="shared" si="232"/>
        <v>0</v>
      </c>
      <c r="BB129" s="177">
        <f t="shared" si="233"/>
        <v>0</v>
      </c>
      <c r="BC129" s="177">
        <f t="shared" si="234"/>
        <v>0</v>
      </c>
      <c r="BD129" s="177">
        <f t="shared" si="235"/>
        <v>0</v>
      </c>
      <c r="BE129" s="177">
        <f t="shared" si="236"/>
        <v>0</v>
      </c>
      <c r="BF129" s="177">
        <f t="shared" si="237"/>
        <v>0</v>
      </c>
      <c r="BG129" s="178">
        <f t="shared" si="238"/>
        <v>0</v>
      </c>
    </row>
    <row r="130" spans="1:59" ht="13.5" customHeight="1">
      <c r="A130" s="171">
        <f t="shared" si="239"/>
        <v>5</v>
      </c>
      <c r="B130" s="171" t="s">
        <v>2553</v>
      </c>
      <c r="C130" s="171" t="s">
        <v>1862</v>
      </c>
      <c r="D130" s="171" t="str">
        <f t="shared" si="240"/>
        <v>支付的其他与经营活动有关的现金（其他）</v>
      </c>
      <c r="E130" s="171"/>
      <c r="F130" s="172" t="str">
        <f>IF(F10="","",F10)</f>
        <v>Corp. Membership Fee</v>
      </c>
      <c r="G130" s="172"/>
      <c r="H130" s="77" t="s">
        <v>2613</v>
      </c>
      <c r="I130" s="173" t="s">
        <v>2614</v>
      </c>
      <c r="J130" s="173" t="s">
        <v>2046</v>
      </c>
      <c r="K130" s="77"/>
      <c r="L130" s="175">
        <v>45901</v>
      </c>
      <c r="M130" s="175">
        <v>45960</v>
      </c>
      <c r="N130" s="176">
        <f t="shared" si="241"/>
        <v>2</v>
      </c>
      <c r="O130" s="177">
        <f t="shared" si="222"/>
        <v>0</v>
      </c>
      <c r="P130" s="177">
        <f t="shared" si="222"/>
        <v>0</v>
      </c>
      <c r="Q130" s="177">
        <f t="shared" si="222"/>
        <v>0</v>
      </c>
      <c r="R130" s="177">
        <f t="shared" si="222"/>
        <v>0</v>
      </c>
      <c r="S130" s="177">
        <f t="shared" si="222"/>
        <v>0</v>
      </c>
      <c r="T130" s="177">
        <f t="shared" si="222"/>
        <v>0</v>
      </c>
      <c r="U130" s="177">
        <f t="shared" si="222"/>
        <v>0</v>
      </c>
      <c r="V130" s="177">
        <f t="shared" si="222"/>
        <v>0</v>
      </c>
      <c r="W130" s="177">
        <f t="shared" si="222"/>
        <v>0</v>
      </c>
      <c r="X130" s="177">
        <f t="shared" si="222"/>
        <v>0</v>
      </c>
      <c r="Y130" s="177">
        <f t="shared" si="222"/>
        <v>0</v>
      </c>
      <c r="Z130" s="177">
        <f t="shared" si="222"/>
        <v>0</v>
      </c>
      <c r="AA130" s="178">
        <f t="shared" si="242"/>
        <v>0</v>
      </c>
      <c r="AB130" s="173" t="s">
        <v>2046</v>
      </c>
      <c r="AC130" s="77"/>
      <c r="AD130" s="175">
        <v>46266</v>
      </c>
      <c r="AE130" s="175">
        <v>46325</v>
      </c>
      <c r="AF130" s="176">
        <f t="shared" si="223"/>
        <v>2</v>
      </c>
      <c r="AG130" s="177">
        <f t="shared" ref="AG130:AR130" si="246">IF(AND($AD130&lt;=AG$3,AG$3&lt;=$AE130),$AC130/$AF130,0)</f>
        <v>0</v>
      </c>
      <c r="AH130" s="177">
        <f t="shared" si="246"/>
        <v>0</v>
      </c>
      <c r="AI130" s="177">
        <f t="shared" si="246"/>
        <v>0</v>
      </c>
      <c r="AJ130" s="177">
        <f t="shared" si="246"/>
        <v>0</v>
      </c>
      <c r="AK130" s="177">
        <f t="shared" si="246"/>
        <v>0</v>
      </c>
      <c r="AL130" s="177">
        <f t="shared" si="246"/>
        <v>0</v>
      </c>
      <c r="AM130" s="177">
        <f t="shared" si="246"/>
        <v>0</v>
      </c>
      <c r="AN130" s="177">
        <f t="shared" si="246"/>
        <v>0</v>
      </c>
      <c r="AO130" s="177">
        <f t="shared" si="246"/>
        <v>0</v>
      </c>
      <c r="AP130" s="177">
        <f t="shared" si="246"/>
        <v>0</v>
      </c>
      <c r="AQ130" s="177">
        <f t="shared" si="246"/>
        <v>0</v>
      </c>
      <c r="AR130" s="177">
        <f t="shared" si="246"/>
        <v>0</v>
      </c>
      <c r="AS130" s="178">
        <f t="shared" si="225"/>
        <v>0</v>
      </c>
      <c r="AU130" s="177">
        <f t="shared" si="226"/>
        <v>0</v>
      </c>
      <c r="AV130" s="177">
        <f t="shared" si="227"/>
        <v>0</v>
      </c>
      <c r="AW130" s="177">
        <f t="shared" si="228"/>
        <v>0</v>
      </c>
      <c r="AX130" s="177">
        <f t="shared" si="229"/>
        <v>0</v>
      </c>
      <c r="AY130" s="177">
        <f t="shared" si="230"/>
        <v>0</v>
      </c>
      <c r="AZ130" s="177">
        <f t="shared" si="231"/>
        <v>0</v>
      </c>
      <c r="BA130" s="177">
        <f t="shared" si="232"/>
        <v>0</v>
      </c>
      <c r="BB130" s="177">
        <f t="shared" si="233"/>
        <v>0</v>
      </c>
      <c r="BC130" s="177">
        <f t="shared" si="234"/>
        <v>0</v>
      </c>
      <c r="BD130" s="177">
        <f t="shared" si="235"/>
        <v>0</v>
      </c>
      <c r="BE130" s="177">
        <f t="shared" si="236"/>
        <v>0</v>
      </c>
      <c r="BF130" s="177">
        <f t="shared" si="237"/>
        <v>0</v>
      </c>
      <c r="BG130" s="178">
        <f t="shared" si="238"/>
        <v>0</v>
      </c>
    </row>
    <row r="131" spans="1:59" ht="13.5" customHeight="1">
      <c r="A131" s="171">
        <f t="shared" si="239"/>
        <v>6</v>
      </c>
      <c r="B131" s="171" t="s">
        <v>2553</v>
      </c>
      <c r="C131" s="171" t="s">
        <v>1676</v>
      </c>
      <c r="D131" s="171" t="str">
        <f t="shared" si="240"/>
        <v>支付的其他与经营活动有关的现金（其他）</v>
      </c>
      <c r="E131" s="171"/>
      <c r="F131" s="172" t="s">
        <v>1679</v>
      </c>
      <c r="G131" s="172"/>
      <c r="H131" s="77" t="s">
        <v>2613</v>
      </c>
      <c r="I131" s="173" t="s">
        <v>2614</v>
      </c>
      <c r="J131" s="173" t="s">
        <v>2046</v>
      </c>
      <c r="K131" s="77"/>
      <c r="L131" s="175">
        <v>45658</v>
      </c>
      <c r="M131" s="175">
        <v>46022</v>
      </c>
      <c r="N131" s="176">
        <f t="shared" si="241"/>
        <v>12</v>
      </c>
      <c r="O131" s="177">
        <f t="shared" si="222"/>
        <v>0</v>
      </c>
      <c r="P131" s="177">
        <f t="shared" si="222"/>
        <v>0</v>
      </c>
      <c r="Q131" s="177">
        <f t="shared" si="222"/>
        <v>0</v>
      </c>
      <c r="R131" s="177">
        <f t="shared" si="222"/>
        <v>0</v>
      </c>
      <c r="S131" s="177">
        <f t="shared" si="222"/>
        <v>0</v>
      </c>
      <c r="T131" s="177">
        <f t="shared" si="222"/>
        <v>0</v>
      </c>
      <c r="U131" s="177">
        <f t="shared" si="222"/>
        <v>0</v>
      </c>
      <c r="V131" s="177">
        <f t="shared" si="222"/>
        <v>0</v>
      </c>
      <c r="W131" s="177">
        <f t="shared" si="222"/>
        <v>0</v>
      </c>
      <c r="X131" s="177">
        <f t="shared" si="222"/>
        <v>0</v>
      </c>
      <c r="Y131" s="177">
        <f t="shared" si="222"/>
        <v>0</v>
      </c>
      <c r="Z131" s="177">
        <f t="shared" si="222"/>
        <v>0</v>
      </c>
      <c r="AA131" s="178">
        <f t="shared" si="242"/>
        <v>0</v>
      </c>
      <c r="AB131" s="173" t="s">
        <v>2046</v>
      </c>
      <c r="AC131" s="77"/>
      <c r="AD131" s="175">
        <v>46023</v>
      </c>
      <c r="AE131" s="175">
        <v>46387</v>
      </c>
      <c r="AF131" s="176">
        <f t="shared" si="223"/>
        <v>12</v>
      </c>
      <c r="AG131" s="177">
        <f t="shared" ref="AG131:AR131" si="247">IF(AND($AD131&lt;=AG$3,AG$3&lt;=$AE131),$AC131/$AF131,0)</f>
        <v>0</v>
      </c>
      <c r="AH131" s="177">
        <f t="shared" si="247"/>
        <v>0</v>
      </c>
      <c r="AI131" s="177">
        <f t="shared" si="247"/>
        <v>0</v>
      </c>
      <c r="AJ131" s="177">
        <f t="shared" si="247"/>
        <v>0</v>
      </c>
      <c r="AK131" s="177">
        <f t="shared" si="247"/>
        <v>0</v>
      </c>
      <c r="AL131" s="177">
        <f t="shared" si="247"/>
        <v>0</v>
      </c>
      <c r="AM131" s="177">
        <f t="shared" si="247"/>
        <v>0</v>
      </c>
      <c r="AN131" s="177">
        <f t="shared" si="247"/>
        <v>0</v>
      </c>
      <c r="AO131" s="177">
        <f t="shared" si="247"/>
        <v>0</v>
      </c>
      <c r="AP131" s="177">
        <f t="shared" si="247"/>
        <v>0</v>
      </c>
      <c r="AQ131" s="177">
        <f t="shared" si="247"/>
        <v>0</v>
      </c>
      <c r="AR131" s="177">
        <f t="shared" si="247"/>
        <v>0</v>
      </c>
      <c r="AS131" s="178">
        <f t="shared" si="225"/>
        <v>0</v>
      </c>
      <c r="AU131" s="177">
        <f t="shared" si="226"/>
        <v>0</v>
      </c>
      <c r="AV131" s="177">
        <f t="shared" si="227"/>
        <v>0</v>
      </c>
      <c r="AW131" s="177">
        <f t="shared" si="228"/>
        <v>0</v>
      </c>
      <c r="AX131" s="177">
        <f t="shared" si="229"/>
        <v>0</v>
      </c>
      <c r="AY131" s="177">
        <f t="shared" si="230"/>
        <v>0</v>
      </c>
      <c r="AZ131" s="177">
        <f t="shared" si="231"/>
        <v>0</v>
      </c>
      <c r="BA131" s="177">
        <f t="shared" si="232"/>
        <v>0</v>
      </c>
      <c r="BB131" s="177">
        <f t="shared" si="233"/>
        <v>0</v>
      </c>
      <c r="BC131" s="177">
        <f t="shared" si="234"/>
        <v>0</v>
      </c>
      <c r="BD131" s="177">
        <f t="shared" si="235"/>
        <v>0</v>
      </c>
      <c r="BE131" s="177">
        <f t="shared" si="236"/>
        <v>0</v>
      </c>
      <c r="BF131" s="177">
        <f t="shared" si="237"/>
        <v>0</v>
      </c>
      <c r="BG131" s="178">
        <f t="shared" si="238"/>
        <v>0</v>
      </c>
    </row>
    <row r="132" spans="1:59" ht="13.5" customHeight="1">
      <c r="A132" s="171">
        <f t="shared" si="239"/>
        <v>7</v>
      </c>
      <c r="B132" s="171" t="s">
        <v>2553</v>
      </c>
      <c r="C132" s="171" t="s">
        <v>1684</v>
      </c>
      <c r="D132" s="171" t="str">
        <f t="shared" si="240"/>
        <v>支付的其他与经营活动有关的现金（其他）</v>
      </c>
      <c r="E132" s="171"/>
      <c r="F132" s="172" t="str">
        <f t="shared" ref="F132:F141" si="248">IF(F12="","",F12)</f>
        <v>Water Dispenser Inspection Fee</v>
      </c>
      <c r="G132" s="172"/>
      <c r="H132" s="77" t="s">
        <v>2613</v>
      </c>
      <c r="I132" s="173" t="s">
        <v>2614</v>
      </c>
      <c r="J132" s="173" t="s">
        <v>2046</v>
      </c>
      <c r="K132" s="77"/>
      <c r="L132" s="175">
        <v>45962</v>
      </c>
      <c r="M132" s="175">
        <v>45991</v>
      </c>
      <c r="N132" s="176">
        <f t="shared" si="241"/>
        <v>1</v>
      </c>
      <c r="O132" s="177">
        <f t="shared" si="222"/>
        <v>0</v>
      </c>
      <c r="P132" s="177">
        <f t="shared" si="222"/>
        <v>0</v>
      </c>
      <c r="Q132" s="177">
        <f t="shared" si="222"/>
        <v>0</v>
      </c>
      <c r="R132" s="177">
        <f t="shared" si="222"/>
        <v>0</v>
      </c>
      <c r="S132" s="177">
        <f t="shared" si="222"/>
        <v>0</v>
      </c>
      <c r="T132" s="177">
        <f t="shared" si="222"/>
        <v>0</v>
      </c>
      <c r="U132" s="177">
        <f t="shared" si="222"/>
        <v>0</v>
      </c>
      <c r="V132" s="177">
        <f t="shared" si="222"/>
        <v>0</v>
      </c>
      <c r="W132" s="177">
        <f t="shared" si="222"/>
        <v>0</v>
      </c>
      <c r="X132" s="177">
        <f t="shared" si="222"/>
        <v>0</v>
      </c>
      <c r="Y132" s="177">
        <f t="shared" si="222"/>
        <v>0</v>
      </c>
      <c r="Z132" s="177">
        <f t="shared" si="222"/>
        <v>0</v>
      </c>
      <c r="AA132" s="178">
        <f t="shared" si="242"/>
        <v>0</v>
      </c>
      <c r="AB132" s="173" t="s">
        <v>2046</v>
      </c>
      <c r="AC132" s="77"/>
      <c r="AD132" s="175">
        <v>46327</v>
      </c>
      <c r="AE132" s="175">
        <v>46356</v>
      </c>
      <c r="AF132" s="176">
        <f t="shared" si="223"/>
        <v>1</v>
      </c>
      <c r="AG132" s="177">
        <f t="shared" ref="AG132:AR132" si="249">IF(AND($AD132&lt;=AG$3,AG$3&lt;=$AE132),$AC132/$AF132,0)</f>
        <v>0</v>
      </c>
      <c r="AH132" s="177">
        <f t="shared" si="249"/>
        <v>0</v>
      </c>
      <c r="AI132" s="177">
        <f t="shared" si="249"/>
        <v>0</v>
      </c>
      <c r="AJ132" s="177">
        <f t="shared" si="249"/>
        <v>0</v>
      </c>
      <c r="AK132" s="177">
        <f t="shared" si="249"/>
        <v>0</v>
      </c>
      <c r="AL132" s="177">
        <f t="shared" si="249"/>
        <v>0</v>
      </c>
      <c r="AM132" s="177">
        <f t="shared" si="249"/>
        <v>0</v>
      </c>
      <c r="AN132" s="177">
        <f t="shared" si="249"/>
        <v>0</v>
      </c>
      <c r="AO132" s="177">
        <f t="shared" si="249"/>
        <v>0</v>
      </c>
      <c r="AP132" s="177">
        <f t="shared" si="249"/>
        <v>0</v>
      </c>
      <c r="AQ132" s="177">
        <f t="shared" si="249"/>
        <v>0</v>
      </c>
      <c r="AR132" s="177">
        <f t="shared" si="249"/>
        <v>0</v>
      </c>
      <c r="AS132" s="178">
        <f t="shared" si="225"/>
        <v>0</v>
      </c>
      <c r="AU132" s="177">
        <f t="shared" si="226"/>
        <v>0</v>
      </c>
      <c r="AV132" s="177">
        <f t="shared" si="227"/>
        <v>0</v>
      </c>
      <c r="AW132" s="177">
        <f t="shared" si="228"/>
        <v>0</v>
      </c>
      <c r="AX132" s="177">
        <f t="shared" si="229"/>
        <v>0</v>
      </c>
      <c r="AY132" s="177">
        <f t="shared" si="230"/>
        <v>0</v>
      </c>
      <c r="AZ132" s="177">
        <f t="shared" si="231"/>
        <v>0</v>
      </c>
      <c r="BA132" s="177">
        <f t="shared" si="232"/>
        <v>0</v>
      </c>
      <c r="BB132" s="177">
        <f t="shared" si="233"/>
        <v>0</v>
      </c>
      <c r="BC132" s="177">
        <f t="shared" si="234"/>
        <v>0</v>
      </c>
      <c r="BD132" s="177">
        <f t="shared" si="235"/>
        <v>0</v>
      </c>
      <c r="BE132" s="177">
        <f t="shared" si="236"/>
        <v>0</v>
      </c>
      <c r="BF132" s="177">
        <f t="shared" si="237"/>
        <v>0</v>
      </c>
      <c r="BG132" s="178">
        <f t="shared" si="238"/>
        <v>0</v>
      </c>
    </row>
    <row r="133" spans="1:59" ht="13.5" customHeight="1">
      <c r="A133" s="171">
        <f t="shared" si="239"/>
        <v>8</v>
      </c>
      <c r="B133" s="171" t="s">
        <v>2553</v>
      </c>
      <c r="C133" s="171" t="s">
        <v>1894</v>
      </c>
      <c r="D133" s="171" t="str">
        <f t="shared" si="240"/>
        <v>汇率变动对现金的影响额</v>
      </c>
      <c r="E133" s="171"/>
      <c r="F133" s="172" t="str">
        <f t="shared" si="248"/>
        <v>FX Gain / Loss Net</v>
      </c>
      <c r="G133" s="172"/>
      <c r="H133" s="77" t="s">
        <v>2613</v>
      </c>
      <c r="I133" s="173" t="s">
        <v>2614</v>
      </c>
      <c r="J133" s="173" t="s">
        <v>2046</v>
      </c>
      <c r="K133" s="77"/>
      <c r="L133" s="175">
        <v>45658</v>
      </c>
      <c r="M133" s="175">
        <v>46022</v>
      </c>
      <c r="N133" s="176">
        <f t="shared" si="241"/>
        <v>12</v>
      </c>
      <c r="O133" s="177">
        <f t="shared" si="222"/>
        <v>0</v>
      </c>
      <c r="P133" s="177">
        <f t="shared" si="222"/>
        <v>0</v>
      </c>
      <c r="Q133" s="177">
        <f t="shared" si="222"/>
        <v>0</v>
      </c>
      <c r="R133" s="177">
        <f t="shared" si="222"/>
        <v>0</v>
      </c>
      <c r="S133" s="177">
        <f t="shared" si="222"/>
        <v>0</v>
      </c>
      <c r="T133" s="177">
        <f t="shared" si="222"/>
        <v>0</v>
      </c>
      <c r="U133" s="177">
        <f t="shared" si="222"/>
        <v>0</v>
      </c>
      <c r="V133" s="177">
        <f t="shared" si="222"/>
        <v>0</v>
      </c>
      <c r="W133" s="177">
        <f t="shared" si="222"/>
        <v>0</v>
      </c>
      <c r="X133" s="177">
        <f t="shared" si="222"/>
        <v>0</v>
      </c>
      <c r="Y133" s="177">
        <f t="shared" si="222"/>
        <v>0</v>
      </c>
      <c r="Z133" s="177">
        <f t="shared" si="222"/>
        <v>0</v>
      </c>
      <c r="AA133" s="178">
        <f t="shared" si="242"/>
        <v>0</v>
      </c>
      <c r="AB133" s="173" t="s">
        <v>2046</v>
      </c>
      <c r="AC133" s="77"/>
      <c r="AD133" s="175">
        <v>46023</v>
      </c>
      <c r="AE133" s="175">
        <v>46387</v>
      </c>
      <c r="AF133" s="176">
        <f t="shared" si="223"/>
        <v>12</v>
      </c>
      <c r="AG133" s="177">
        <f t="shared" ref="AG133:AR133" si="250">IF(AND($AD133&lt;=AG$3,AG$3&lt;=$AE133),$AC133/$AF133,0)</f>
        <v>0</v>
      </c>
      <c r="AH133" s="177">
        <f t="shared" si="250"/>
        <v>0</v>
      </c>
      <c r="AI133" s="177">
        <f t="shared" si="250"/>
        <v>0</v>
      </c>
      <c r="AJ133" s="177">
        <f t="shared" si="250"/>
        <v>0</v>
      </c>
      <c r="AK133" s="177">
        <f t="shared" si="250"/>
        <v>0</v>
      </c>
      <c r="AL133" s="177">
        <f t="shared" si="250"/>
        <v>0</v>
      </c>
      <c r="AM133" s="177">
        <f t="shared" si="250"/>
        <v>0</v>
      </c>
      <c r="AN133" s="177">
        <f t="shared" si="250"/>
        <v>0</v>
      </c>
      <c r="AO133" s="177">
        <f t="shared" si="250"/>
        <v>0</v>
      </c>
      <c r="AP133" s="177">
        <f t="shared" si="250"/>
        <v>0</v>
      </c>
      <c r="AQ133" s="177">
        <f t="shared" si="250"/>
        <v>0</v>
      </c>
      <c r="AR133" s="177">
        <f t="shared" si="250"/>
        <v>0</v>
      </c>
      <c r="AS133" s="178">
        <f t="shared" si="225"/>
        <v>0</v>
      </c>
      <c r="AU133" s="177">
        <f t="shared" si="226"/>
        <v>0</v>
      </c>
      <c r="AV133" s="177">
        <f t="shared" si="227"/>
        <v>0</v>
      </c>
      <c r="AW133" s="177">
        <f t="shared" si="228"/>
        <v>0</v>
      </c>
      <c r="AX133" s="177">
        <f t="shared" si="229"/>
        <v>0</v>
      </c>
      <c r="AY133" s="177">
        <f t="shared" si="230"/>
        <v>0</v>
      </c>
      <c r="AZ133" s="177">
        <f t="shared" si="231"/>
        <v>0</v>
      </c>
      <c r="BA133" s="177">
        <f t="shared" si="232"/>
        <v>0</v>
      </c>
      <c r="BB133" s="177">
        <f t="shared" si="233"/>
        <v>0</v>
      </c>
      <c r="BC133" s="177">
        <f t="shared" si="234"/>
        <v>0</v>
      </c>
      <c r="BD133" s="177">
        <f t="shared" si="235"/>
        <v>0</v>
      </c>
      <c r="BE133" s="177">
        <f t="shared" si="236"/>
        <v>0</v>
      </c>
      <c r="BF133" s="177">
        <f t="shared" si="237"/>
        <v>0</v>
      </c>
      <c r="BG133" s="178">
        <f t="shared" si="238"/>
        <v>0</v>
      </c>
    </row>
    <row r="134" spans="1:59" ht="13.5" customHeight="1">
      <c r="A134" s="171">
        <f t="shared" si="239"/>
        <v>9</v>
      </c>
      <c r="B134" s="171" t="s">
        <v>2553</v>
      </c>
      <c r="C134" s="171" t="s">
        <v>1646</v>
      </c>
      <c r="D134" s="171" t="str">
        <f t="shared" si="240"/>
        <v>支付的其他与经营活动有关的现金（其他）</v>
      </c>
      <c r="E134" s="171"/>
      <c r="F134" s="172" t="str">
        <f t="shared" si="248"/>
        <v>Printing</v>
      </c>
      <c r="G134" s="172"/>
      <c r="H134" s="77" t="s">
        <v>2613</v>
      </c>
      <c r="I134" s="173" t="s">
        <v>2614</v>
      </c>
      <c r="J134" s="173" t="s">
        <v>2046</v>
      </c>
      <c r="K134" s="77"/>
      <c r="L134" s="175">
        <v>45658</v>
      </c>
      <c r="M134" s="175">
        <v>46022</v>
      </c>
      <c r="N134" s="176">
        <f t="shared" si="241"/>
        <v>12</v>
      </c>
      <c r="O134" s="177">
        <f t="shared" si="222"/>
        <v>0</v>
      </c>
      <c r="P134" s="177">
        <f t="shared" si="222"/>
        <v>0</v>
      </c>
      <c r="Q134" s="177">
        <f t="shared" si="222"/>
        <v>0</v>
      </c>
      <c r="R134" s="177">
        <f t="shared" si="222"/>
        <v>0</v>
      </c>
      <c r="S134" s="177">
        <f t="shared" si="222"/>
        <v>0</v>
      </c>
      <c r="T134" s="177">
        <f t="shared" si="222"/>
        <v>0</v>
      </c>
      <c r="U134" s="177">
        <f t="shared" si="222"/>
        <v>0</v>
      </c>
      <c r="V134" s="177">
        <f t="shared" si="222"/>
        <v>0</v>
      </c>
      <c r="W134" s="177">
        <f t="shared" si="222"/>
        <v>0</v>
      </c>
      <c r="X134" s="177">
        <f t="shared" si="222"/>
        <v>0</v>
      </c>
      <c r="Y134" s="177">
        <f t="shared" si="222"/>
        <v>0</v>
      </c>
      <c r="Z134" s="177">
        <f t="shared" si="222"/>
        <v>0</v>
      </c>
      <c r="AA134" s="178">
        <f t="shared" si="242"/>
        <v>0</v>
      </c>
      <c r="AB134" s="173" t="s">
        <v>2046</v>
      </c>
      <c r="AC134" s="77"/>
      <c r="AD134" s="175">
        <v>46023</v>
      </c>
      <c r="AE134" s="175">
        <v>46387</v>
      </c>
      <c r="AF134" s="176">
        <f t="shared" si="223"/>
        <v>12</v>
      </c>
      <c r="AG134" s="177">
        <f t="shared" ref="AG134:AR134" si="251">IF(AND($AD134&lt;=AG$3,AG$3&lt;=$AE134),$AC134/$AF134,0)</f>
        <v>0</v>
      </c>
      <c r="AH134" s="177">
        <f t="shared" si="251"/>
        <v>0</v>
      </c>
      <c r="AI134" s="177">
        <f t="shared" si="251"/>
        <v>0</v>
      </c>
      <c r="AJ134" s="177">
        <f t="shared" si="251"/>
        <v>0</v>
      </c>
      <c r="AK134" s="177">
        <f t="shared" si="251"/>
        <v>0</v>
      </c>
      <c r="AL134" s="177">
        <f t="shared" si="251"/>
        <v>0</v>
      </c>
      <c r="AM134" s="177">
        <f t="shared" si="251"/>
        <v>0</v>
      </c>
      <c r="AN134" s="177">
        <f t="shared" si="251"/>
        <v>0</v>
      </c>
      <c r="AO134" s="177">
        <f t="shared" si="251"/>
        <v>0</v>
      </c>
      <c r="AP134" s="177">
        <f t="shared" si="251"/>
        <v>0</v>
      </c>
      <c r="AQ134" s="177">
        <f t="shared" si="251"/>
        <v>0</v>
      </c>
      <c r="AR134" s="177">
        <f t="shared" si="251"/>
        <v>0</v>
      </c>
      <c r="AS134" s="178">
        <f t="shared" si="225"/>
        <v>0</v>
      </c>
      <c r="AU134" s="177">
        <f t="shared" si="226"/>
        <v>0</v>
      </c>
      <c r="AV134" s="177">
        <f t="shared" si="227"/>
        <v>0</v>
      </c>
      <c r="AW134" s="177">
        <f t="shared" si="228"/>
        <v>0</v>
      </c>
      <c r="AX134" s="177">
        <f t="shared" si="229"/>
        <v>0</v>
      </c>
      <c r="AY134" s="177">
        <f t="shared" si="230"/>
        <v>0</v>
      </c>
      <c r="AZ134" s="177">
        <f t="shared" si="231"/>
        <v>0</v>
      </c>
      <c r="BA134" s="177">
        <f t="shared" si="232"/>
        <v>0</v>
      </c>
      <c r="BB134" s="177">
        <f t="shared" si="233"/>
        <v>0</v>
      </c>
      <c r="BC134" s="177">
        <f t="shared" si="234"/>
        <v>0</v>
      </c>
      <c r="BD134" s="177">
        <f t="shared" si="235"/>
        <v>0</v>
      </c>
      <c r="BE134" s="177">
        <f t="shared" si="236"/>
        <v>0</v>
      </c>
      <c r="BF134" s="177">
        <f t="shared" si="237"/>
        <v>0</v>
      </c>
      <c r="BG134" s="178">
        <f t="shared" si="238"/>
        <v>0</v>
      </c>
    </row>
    <row r="135" spans="1:59" ht="13.5" customHeight="1">
      <c r="A135" s="171">
        <f t="shared" si="239"/>
        <v>10</v>
      </c>
      <c r="B135" s="171" t="s">
        <v>2553</v>
      </c>
      <c r="C135" s="171"/>
      <c r="D135" s="171" t="str">
        <f t="shared" si="240"/>
        <v>购建固定资产、无形资产和其他长期资产支付的现金</v>
      </c>
      <c r="E135" s="171"/>
      <c r="F135" s="172" t="str">
        <f t="shared" si="248"/>
        <v>Purchase Furniture</v>
      </c>
      <c r="G135" s="172"/>
      <c r="H135" s="77" t="s">
        <v>2613</v>
      </c>
      <c r="I135" s="173" t="s">
        <v>2614</v>
      </c>
      <c r="J135" s="173" t="s">
        <v>2046</v>
      </c>
      <c r="K135" s="77"/>
      <c r="L135" s="175">
        <v>45658</v>
      </c>
      <c r="M135" s="175">
        <v>46022</v>
      </c>
      <c r="N135" s="176">
        <f t="shared" si="241"/>
        <v>12</v>
      </c>
      <c r="O135" s="177">
        <f t="shared" si="222"/>
        <v>0</v>
      </c>
      <c r="P135" s="177">
        <f t="shared" si="222"/>
        <v>0</v>
      </c>
      <c r="Q135" s="177">
        <f t="shared" si="222"/>
        <v>0</v>
      </c>
      <c r="R135" s="177">
        <f t="shared" si="222"/>
        <v>0</v>
      </c>
      <c r="S135" s="177">
        <f t="shared" si="222"/>
        <v>0</v>
      </c>
      <c r="T135" s="177">
        <f t="shared" si="222"/>
        <v>0</v>
      </c>
      <c r="U135" s="177">
        <f t="shared" si="222"/>
        <v>0</v>
      </c>
      <c r="V135" s="177">
        <f t="shared" si="222"/>
        <v>0</v>
      </c>
      <c r="W135" s="177">
        <f t="shared" si="222"/>
        <v>0</v>
      </c>
      <c r="X135" s="177">
        <f t="shared" si="222"/>
        <v>0</v>
      </c>
      <c r="Y135" s="177">
        <f t="shared" si="222"/>
        <v>0</v>
      </c>
      <c r="Z135" s="177">
        <f t="shared" si="222"/>
        <v>0</v>
      </c>
      <c r="AA135" s="178">
        <f t="shared" si="242"/>
        <v>0</v>
      </c>
      <c r="AB135" s="173" t="s">
        <v>2046</v>
      </c>
      <c r="AC135" s="77"/>
      <c r="AD135" s="175">
        <v>46023</v>
      </c>
      <c r="AE135" s="175">
        <v>46387</v>
      </c>
      <c r="AF135" s="176">
        <f t="shared" si="223"/>
        <v>12</v>
      </c>
      <c r="AG135" s="177">
        <f t="shared" ref="AG135:AR135" si="252">IF(AND($AD135&lt;=AG$3,AG$3&lt;=$AE135),$AC135/$AF135,0)</f>
        <v>0</v>
      </c>
      <c r="AH135" s="177">
        <f t="shared" si="252"/>
        <v>0</v>
      </c>
      <c r="AI135" s="177">
        <f t="shared" si="252"/>
        <v>0</v>
      </c>
      <c r="AJ135" s="177">
        <f t="shared" si="252"/>
        <v>0</v>
      </c>
      <c r="AK135" s="177">
        <f t="shared" si="252"/>
        <v>0</v>
      </c>
      <c r="AL135" s="177">
        <f t="shared" si="252"/>
        <v>0</v>
      </c>
      <c r="AM135" s="177">
        <f t="shared" si="252"/>
        <v>0</v>
      </c>
      <c r="AN135" s="177">
        <f t="shared" si="252"/>
        <v>0</v>
      </c>
      <c r="AO135" s="177">
        <f t="shared" si="252"/>
        <v>0</v>
      </c>
      <c r="AP135" s="177">
        <f t="shared" si="252"/>
        <v>0</v>
      </c>
      <c r="AQ135" s="177">
        <f t="shared" si="252"/>
        <v>0</v>
      </c>
      <c r="AR135" s="177">
        <f t="shared" si="252"/>
        <v>0</v>
      </c>
      <c r="AS135" s="178">
        <f t="shared" si="225"/>
        <v>0</v>
      </c>
      <c r="AU135" s="177">
        <f t="shared" si="226"/>
        <v>0</v>
      </c>
      <c r="AV135" s="177">
        <f t="shared" si="227"/>
        <v>0</v>
      </c>
      <c r="AW135" s="177">
        <f t="shared" si="228"/>
        <v>0</v>
      </c>
      <c r="AX135" s="177">
        <f t="shared" si="229"/>
        <v>0</v>
      </c>
      <c r="AY135" s="177">
        <f t="shared" si="230"/>
        <v>0</v>
      </c>
      <c r="AZ135" s="177">
        <f t="shared" si="231"/>
        <v>0</v>
      </c>
      <c r="BA135" s="177">
        <f t="shared" si="232"/>
        <v>0</v>
      </c>
      <c r="BB135" s="177">
        <f t="shared" si="233"/>
        <v>0</v>
      </c>
      <c r="BC135" s="177">
        <f t="shared" si="234"/>
        <v>0</v>
      </c>
      <c r="BD135" s="177">
        <f t="shared" si="235"/>
        <v>0</v>
      </c>
      <c r="BE135" s="177">
        <f t="shared" si="236"/>
        <v>0</v>
      </c>
      <c r="BF135" s="177">
        <f t="shared" si="237"/>
        <v>0</v>
      </c>
      <c r="BG135" s="178">
        <f t="shared" si="238"/>
        <v>0</v>
      </c>
    </row>
    <row r="136" spans="1:59" ht="13.5" customHeight="1">
      <c r="A136" s="171">
        <f t="shared" si="239"/>
        <v>11</v>
      </c>
      <c r="B136" s="171" t="s">
        <v>2553</v>
      </c>
      <c r="C136" s="171"/>
      <c r="D136" s="171" t="str">
        <f t="shared" si="240"/>
        <v>购建固定资产、无形资产和其他长期资产支付的现金</v>
      </c>
      <c r="E136" s="171"/>
      <c r="F136" s="172" t="str">
        <f t="shared" si="248"/>
        <v>Purchase Equipment</v>
      </c>
      <c r="G136" s="172"/>
      <c r="H136" s="77" t="s">
        <v>2613</v>
      </c>
      <c r="I136" s="173" t="s">
        <v>2614</v>
      </c>
      <c r="J136" s="173" t="s">
        <v>2046</v>
      </c>
      <c r="K136" s="77"/>
      <c r="L136" s="175">
        <v>45658</v>
      </c>
      <c r="M136" s="175">
        <v>46022</v>
      </c>
      <c r="N136" s="176">
        <f t="shared" si="241"/>
        <v>12</v>
      </c>
      <c r="O136" s="177">
        <f t="shared" si="222"/>
        <v>0</v>
      </c>
      <c r="P136" s="177">
        <f t="shared" si="222"/>
        <v>0</v>
      </c>
      <c r="Q136" s="177">
        <f t="shared" si="222"/>
        <v>0</v>
      </c>
      <c r="R136" s="177">
        <f t="shared" si="222"/>
        <v>0</v>
      </c>
      <c r="S136" s="177">
        <f t="shared" si="222"/>
        <v>0</v>
      </c>
      <c r="T136" s="177">
        <f t="shared" si="222"/>
        <v>0</v>
      </c>
      <c r="U136" s="177">
        <f t="shared" si="222"/>
        <v>0</v>
      </c>
      <c r="V136" s="177">
        <f t="shared" si="222"/>
        <v>0</v>
      </c>
      <c r="W136" s="177">
        <f t="shared" si="222"/>
        <v>0</v>
      </c>
      <c r="X136" s="177">
        <f t="shared" si="222"/>
        <v>0</v>
      </c>
      <c r="Y136" s="177">
        <f t="shared" si="222"/>
        <v>0</v>
      </c>
      <c r="Z136" s="177">
        <f t="shared" si="222"/>
        <v>0</v>
      </c>
      <c r="AA136" s="178">
        <f t="shared" si="242"/>
        <v>0</v>
      </c>
      <c r="AB136" s="173" t="s">
        <v>2046</v>
      </c>
      <c r="AC136" s="77"/>
      <c r="AD136" s="175">
        <v>46023</v>
      </c>
      <c r="AE136" s="175">
        <v>46387</v>
      </c>
      <c r="AF136" s="176">
        <f t="shared" si="223"/>
        <v>12</v>
      </c>
      <c r="AG136" s="177">
        <f t="shared" ref="AG136:AR136" si="253">IF(AND($AD136&lt;=AG$3,AG$3&lt;=$AE136),$AC136/$AF136,0)</f>
        <v>0</v>
      </c>
      <c r="AH136" s="177">
        <f t="shared" si="253"/>
        <v>0</v>
      </c>
      <c r="AI136" s="177">
        <f t="shared" si="253"/>
        <v>0</v>
      </c>
      <c r="AJ136" s="177">
        <f t="shared" si="253"/>
        <v>0</v>
      </c>
      <c r="AK136" s="177">
        <f t="shared" si="253"/>
        <v>0</v>
      </c>
      <c r="AL136" s="177">
        <f t="shared" si="253"/>
        <v>0</v>
      </c>
      <c r="AM136" s="177">
        <f t="shared" si="253"/>
        <v>0</v>
      </c>
      <c r="AN136" s="177">
        <f t="shared" si="253"/>
        <v>0</v>
      </c>
      <c r="AO136" s="177">
        <f t="shared" si="253"/>
        <v>0</v>
      </c>
      <c r="AP136" s="177">
        <f t="shared" si="253"/>
        <v>0</v>
      </c>
      <c r="AQ136" s="177">
        <f t="shared" si="253"/>
        <v>0</v>
      </c>
      <c r="AR136" s="177">
        <f t="shared" si="253"/>
        <v>0</v>
      </c>
      <c r="AS136" s="178">
        <f t="shared" si="225"/>
        <v>0</v>
      </c>
      <c r="AU136" s="177">
        <f t="shared" si="226"/>
        <v>0</v>
      </c>
      <c r="AV136" s="177">
        <f t="shared" si="227"/>
        <v>0</v>
      </c>
      <c r="AW136" s="177">
        <f t="shared" si="228"/>
        <v>0</v>
      </c>
      <c r="AX136" s="177">
        <f t="shared" si="229"/>
        <v>0</v>
      </c>
      <c r="AY136" s="177">
        <f t="shared" si="230"/>
        <v>0</v>
      </c>
      <c r="AZ136" s="177">
        <f t="shared" si="231"/>
        <v>0</v>
      </c>
      <c r="BA136" s="177">
        <f t="shared" si="232"/>
        <v>0</v>
      </c>
      <c r="BB136" s="177">
        <f t="shared" si="233"/>
        <v>0</v>
      </c>
      <c r="BC136" s="177">
        <f t="shared" si="234"/>
        <v>0</v>
      </c>
      <c r="BD136" s="177">
        <f t="shared" si="235"/>
        <v>0</v>
      </c>
      <c r="BE136" s="177">
        <f t="shared" si="236"/>
        <v>0</v>
      </c>
      <c r="BF136" s="177">
        <f t="shared" si="237"/>
        <v>0</v>
      </c>
      <c r="BG136" s="178">
        <f t="shared" si="238"/>
        <v>0</v>
      </c>
    </row>
    <row r="137" spans="1:59" ht="13.5" customHeight="1">
      <c r="A137" s="171">
        <f t="shared" si="239"/>
        <v>12</v>
      </c>
      <c r="B137" s="171" t="s">
        <v>2553</v>
      </c>
      <c r="C137" s="171"/>
      <c r="D137" s="171" t="str">
        <f t="shared" si="240"/>
        <v>支付的其他与经营活动有关的现金（其他）</v>
      </c>
      <c r="E137" s="171"/>
      <c r="F137" s="172" t="str">
        <f t="shared" si="248"/>
        <v>Physical Security Systems</v>
      </c>
      <c r="G137" s="172"/>
      <c r="H137" s="77" t="s">
        <v>2613</v>
      </c>
      <c r="I137" s="173" t="s">
        <v>2614</v>
      </c>
      <c r="J137" s="173" t="s">
        <v>2046</v>
      </c>
      <c r="K137" s="77"/>
      <c r="L137" s="175">
        <v>45962</v>
      </c>
      <c r="M137" s="175">
        <v>45991</v>
      </c>
      <c r="N137" s="176">
        <f t="shared" si="241"/>
        <v>1</v>
      </c>
      <c r="O137" s="177">
        <f t="shared" si="222"/>
        <v>0</v>
      </c>
      <c r="P137" s="177">
        <f t="shared" si="222"/>
        <v>0</v>
      </c>
      <c r="Q137" s="177">
        <f t="shared" si="222"/>
        <v>0</v>
      </c>
      <c r="R137" s="177">
        <f t="shared" si="222"/>
        <v>0</v>
      </c>
      <c r="S137" s="177">
        <f t="shared" si="222"/>
        <v>0</v>
      </c>
      <c r="T137" s="177">
        <f t="shared" si="222"/>
        <v>0</v>
      </c>
      <c r="U137" s="177">
        <f t="shared" si="222"/>
        <v>0</v>
      </c>
      <c r="V137" s="177">
        <f t="shared" si="222"/>
        <v>0</v>
      </c>
      <c r="W137" s="177">
        <f t="shared" si="222"/>
        <v>0</v>
      </c>
      <c r="X137" s="177">
        <f t="shared" si="222"/>
        <v>0</v>
      </c>
      <c r="Y137" s="177">
        <f t="shared" si="222"/>
        <v>0</v>
      </c>
      <c r="Z137" s="177">
        <f t="shared" si="222"/>
        <v>0</v>
      </c>
      <c r="AA137" s="178">
        <f t="shared" si="242"/>
        <v>0</v>
      </c>
      <c r="AB137" s="173" t="s">
        <v>2046</v>
      </c>
      <c r="AC137" s="77"/>
      <c r="AD137" s="175">
        <v>46327</v>
      </c>
      <c r="AE137" s="175">
        <v>46356</v>
      </c>
      <c r="AF137" s="176">
        <f t="shared" si="223"/>
        <v>1</v>
      </c>
      <c r="AG137" s="177">
        <f t="shared" ref="AG137:AR137" si="254">IF(AND($AD137&lt;=AG$3,AG$3&lt;=$AE137),$AC137/$AF137,0)</f>
        <v>0</v>
      </c>
      <c r="AH137" s="177">
        <f t="shared" si="254"/>
        <v>0</v>
      </c>
      <c r="AI137" s="177">
        <f t="shared" si="254"/>
        <v>0</v>
      </c>
      <c r="AJ137" s="177">
        <f t="shared" si="254"/>
        <v>0</v>
      </c>
      <c r="AK137" s="177">
        <f t="shared" si="254"/>
        <v>0</v>
      </c>
      <c r="AL137" s="177">
        <f t="shared" si="254"/>
        <v>0</v>
      </c>
      <c r="AM137" s="177">
        <f t="shared" si="254"/>
        <v>0</v>
      </c>
      <c r="AN137" s="177">
        <f t="shared" si="254"/>
        <v>0</v>
      </c>
      <c r="AO137" s="177">
        <f t="shared" si="254"/>
        <v>0</v>
      </c>
      <c r="AP137" s="177">
        <f t="shared" si="254"/>
        <v>0</v>
      </c>
      <c r="AQ137" s="177">
        <f t="shared" si="254"/>
        <v>0</v>
      </c>
      <c r="AR137" s="177">
        <f t="shared" si="254"/>
        <v>0</v>
      </c>
      <c r="AS137" s="178">
        <f t="shared" si="225"/>
        <v>0</v>
      </c>
      <c r="AU137" s="177">
        <f t="shared" si="226"/>
        <v>0</v>
      </c>
      <c r="AV137" s="177">
        <f t="shared" si="227"/>
        <v>0</v>
      </c>
      <c r="AW137" s="177">
        <f t="shared" si="228"/>
        <v>0</v>
      </c>
      <c r="AX137" s="177">
        <f t="shared" si="229"/>
        <v>0</v>
      </c>
      <c r="AY137" s="177">
        <f t="shared" si="230"/>
        <v>0</v>
      </c>
      <c r="AZ137" s="177">
        <f t="shared" si="231"/>
        <v>0</v>
      </c>
      <c r="BA137" s="177">
        <f t="shared" si="232"/>
        <v>0</v>
      </c>
      <c r="BB137" s="177">
        <f t="shared" si="233"/>
        <v>0</v>
      </c>
      <c r="BC137" s="177">
        <f t="shared" si="234"/>
        <v>0</v>
      </c>
      <c r="BD137" s="177">
        <f t="shared" si="235"/>
        <v>0</v>
      </c>
      <c r="BE137" s="177">
        <f t="shared" si="236"/>
        <v>0</v>
      </c>
      <c r="BF137" s="177">
        <f t="shared" si="237"/>
        <v>0</v>
      </c>
      <c r="BG137" s="178">
        <f t="shared" si="238"/>
        <v>0</v>
      </c>
    </row>
    <row r="138" spans="1:59" ht="13.5" customHeight="1">
      <c r="A138" s="171">
        <f t="shared" si="239"/>
        <v>13</v>
      </c>
      <c r="B138" s="171" t="s">
        <v>2553</v>
      </c>
      <c r="C138" s="171" t="s">
        <v>1652</v>
      </c>
      <c r="D138" s="171" t="str">
        <f t="shared" si="240"/>
        <v>支付的其他与经营活动有关的现金（其他）</v>
      </c>
      <c r="E138" s="171"/>
      <c r="F138" s="172" t="str">
        <f t="shared" si="248"/>
        <v>Office Package/Travel Insurance</v>
      </c>
      <c r="G138" s="172"/>
      <c r="H138" s="77" t="s">
        <v>2613</v>
      </c>
      <c r="I138" s="173" t="s">
        <v>2614</v>
      </c>
      <c r="J138" s="173" t="s">
        <v>2046</v>
      </c>
      <c r="K138" s="77"/>
      <c r="L138" s="175">
        <v>45658</v>
      </c>
      <c r="M138" s="175">
        <v>46022</v>
      </c>
      <c r="N138" s="176">
        <f t="shared" si="241"/>
        <v>12</v>
      </c>
      <c r="O138" s="177">
        <f t="shared" si="222"/>
        <v>0</v>
      </c>
      <c r="P138" s="177">
        <f t="shared" si="222"/>
        <v>0</v>
      </c>
      <c r="Q138" s="177">
        <f t="shared" si="222"/>
        <v>0</v>
      </c>
      <c r="R138" s="177">
        <f t="shared" si="222"/>
        <v>0</v>
      </c>
      <c r="S138" s="177">
        <f t="shared" si="222"/>
        <v>0</v>
      </c>
      <c r="T138" s="177">
        <f t="shared" si="222"/>
        <v>0</v>
      </c>
      <c r="U138" s="177">
        <f t="shared" si="222"/>
        <v>0</v>
      </c>
      <c r="V138" s="177">
        <f t="shared" si="222"/>
        <v>0</v>
      </c>
      <c r="W138" s="177">
        <f t="shared" si="222"/>
        <v>0</v>
      </c>
      <c r="X138" s="177">
        <f t="shared" si="222"/>
        <v>0</v>
      </c>
      <c r="Y138" s="177">
        <f t="shared" si="222"/>
        <v>0</v>
      </c>
      <c r="Z138" s="177">
        <f t="shared" si="222"/>
        <v>0</v>
      </c>
      <c r="AA138" s="178">
        <f t="shared" si="242"/>
        <v>0</v>
      </c>
      <c r="AB138" s="173" t="s">
        <v>2046</v>
      </c>
      <c r="AC138" s="77"/>
      <c r="AD138" s="175">
        <v>46023</v>
      </c>
      <c r="AE138" s="175">
        <v>46387</v>
      </c>
      <c r="AF138" s="176">
        <f t="shared" si="223"/>
        <v>12</v>
      </c>
      <c r="AG138" s="177">
        <f t="shared" ref="AG138:AR138" si="255">IF(AND($AD138&lt;=AG$3,AG$3&lt;=$AE138),$AC138/$AF138,0)</f>
        <v>0</v>
      </c>
      <c r="AH138" s="177">
        <f t="shared" si="255"/>
        <v>0</v>
      </c>
      <c r="AI138" s="177">
        <f t="shared" si="255"/>
        <v>0</v>
      </c>
      <c r="AJ138" s="177">
        <f t="shared" si="255"/>
        <v>0</v>
      </c>
      <c r="AK138" s="177">
        <f t="shared" si="255"/>
        <v>0</v>
      </c>
      <c r="AL138" s="177">
        <f t="shared" si="255"/>
        <v>0</v>
      </c>
      <c r="AM138" s="177">
        <f t="shared" si="255"/>
        <v>0</v>
      </c>
      <c r="AN138" s="177">
        <f t="shared" si="255"/>
        <v>0</v>
      </c>
      <c r="AO138" s="177">
        <f t="shared" si="255"/>
        <v>0</v>
      </c>
      <c r="AP138" s="177">
        <f t="shared" si="255"/>
        <v>0</v>
      </c>
      <c r="AQ138" s="177">
        <f t="shared" si="255"/>
        <v>0</v>
      </c>
      <c r="AR138" s="177">
        <f t="shared" si="255"/>
        <v>0</v>
      </c>
      <c r="AS138" s="178">
        <f t="shared" si="225"/>
        <v>0</v>
      </c>
      <c r="AU138" s="177">
        <f t="shared" si="226"/>
        <v>0</v>
      </c>
      <c r="AV138" s="177">
        <f t="shared" si="227"/>
        <v>0</v>
      </c>
      <c r="AW138" s="177">
        <f t="shared" si="228"/>
        <v>0</v>
      </c>
      <c r="AX138" s="177">
        <f t="shared" si="229"/>
        <v>0</v>
      </c>
      <c r="AY138" s="177">
        <f t="shared" si="230"/>
        <v>0</v>
      </c>
      <c r="AZ138" s="177">
        <f t="shared" si="231"/>
        <v>0</v>
      </c>
      <c r="BA138" s="177">
        <f t="shared" si="232"/>
        <v>0</v>
      </c>
      <c r="BB138" s="177">
        <f t="shared" si="233"/>
        <v>0</v>
      </c>
      <c r="BC138" s="177">
        <f t="shared" si="234"/>
        <v>0</v>
      </c>
      <c r="BD138" s="177">
        <f t="shared" si="235"/>
        <v>0</v>
      </c>
      <c r="BE138" s="177">
        <f t="shared" si="236"/>
        <v>0</v>
      </c>
      <c r="BF138" s="177">
        <f t="shared" si="237"/>
        <v>0</v>
      </c>
      <c r="BG138" s="178">
        <f t="shared" si="238"/>
        <v>0</v>
      </c>
    </row>
    <row r="139" spans="1:59" ht="13.5" customHeight="1">
      <c r="A139" s="171">
        <f t="shared" si="239"/>
        <v>14</v>
      </c>
      <c r="B139" s="171" t="s">
        <v>2553</v>
      </c>
      <c r="C139" s="171" t="s">
        <v>1480</v>
      </c>
      <c r="D139" s="171" t="str">
        <f t="shared" si="240"/>
        <v>支付的其他与经营活动有关的现金（其他）</v>
      </c>
      <c r="E139" s="171"/>
      <c r="F139" s="172" t="str">
        <f t="shared" si="248"/>
        <v>Company Activities</v>
      </c>
      <c r="G139" s="172"/>
      <c r="H139" s="77" t="s">
        <v>2613</v>
      </c>
      <c r="I139" s="173" t="s">
        <v>2614</v>
      </c>
      <c r="J139" s="173" t="s">
        <v>2046</v>
      </c>
      <c r="K139" s="77"/>
      <c r="L139" s="175">
        <v>45658</v>
      </c>
      <c r="M139" s="175">
        <v>46022</v>
      </c>
      <c r="N139" s="176">
        <f t="shared" si="241"/>
        <v>12</v>
      </c>
      <c r="O139" s="177">
        <f t="shared" si="222"/>
        <v>0</v>
      </c>
      <c r="P139" s="177">
        <f t="shared" si="222"/>
        <v>0</v>
      </c>
      <c r="Q139" s="177">
        <f t="shared" si="222"/>
        <v>0</v>
      </c>
      <c r="R139" s="177">
        <f t="shared" si="222"/>
        <v>0</v>
      </c>
      <c r="S139" s="177">
        <f t="shared" si="222"/>
        <v>0</v>
      </c>
      <c r="T139" s="177">
        <f t="shared" si="222"/>
        <v>0</v>
      </c>
      <c r="U139" s="177">
        <f t="shared" si="222"/>
        <v>0</v>
      </c>
      <c r="V139" s="177">
        <f t="shared" si="222"/>
        <v>0</v>
      </c>
      <c r="W139" s="177">
        <f t="shared" si="222"/>
        <v>0</v>
      </c>
      <c r="X139" s="177">
        <f t="shared" si="222"/>
        <v>0</v>
      </c>
      <c r="Y139" s="177">
        <f t="shared" si="222"/>
        <v>0</v>
      </c>
      <c r="Z139" s="177">
        <f t="shared" si="222"/>
        <v>0</v>
      </c>
      <c r="AA139" s="178">
        <f t="shared" si="242"/>
        <v>0</v>
      </c>
      <c r="AB139" s="173" t="s">
        <v>2046</v>
      </c>
      <c r="AC139" s="77"/>
      <c r="AD139" s="175">
        <v>46023</v>
      </c>
      <c r="AE139" s="175">
        <v>46387</v>
      </c>
      <c r="AF139" s="176">
        <f t="shared" si="223"/>
        <v>12</v>
      </c>
      <c r="AG139" s="177">
        <f t="shared" ref="AG139:AR139" si="256">IF(AND($AD139&lt;=AG$3,AG$3&lt;=$AE139),$AC139/$AF139,0)</f>
        <v>0</v>
      </c>
      <c r="AH139" s="177">
        <f t="shared" si="256"/>
        <v>0</v>
      </c>
      <c r="AI139" s="177">
        <f t="shared" si="256"/>
        <v>0</v>
      </c>
      <c r="AJ139" s="177">
        <f t="shared" si="256"/>
        <v>0</v>
      </c>
      <c r="AK139" s="177">
        <f t="shared" si="256"/>
        <v>0</v>
      </c>
      <c r="AL139" s="177">
        <f t="shared" si="256"/>
        <v>0</v>
      </c>
      <c r="AM139" s="177">
        <f t="shared" si="256"/>
        <v>0</v>
      </c>
      <c r="AN139" s="177">
        <f t="shared" si="256"/>
        <v>0</v>
      </c>
      <c r="AO139" s="177">
        <f t="shared" si="256"/>
        <v>0</v>
      </c>
      <c r="AP139" s="177">
        <f t="shared" si="256"/>
        <v>0</v>
      </c>
      <c r="AQ139" s="177">
        <f t="shared" si="256"/>
        <v>0</v>
      </c>
      <c r="AR139" s="177">
        <f t="shared" si="256"/>
        <v>0</v>
      </c>
      <c r="AS139" s="178">
        <f t="shared" si="225"/>
        <v>0</v>
      </c>
      <c r="AU139" s="177">
        <f t="shared" si="226"/>
        <v>0</v>
      </c>
      <c r="AV139" s="177">
        <f t="shared" si="227"/>
        <v>0</v>
      </c>
      <c r="AW139" s="177">
        <f t="shared" si="228"/>
        <v>0</v>
      </c>
      <c r="AX139" s="177">
        <f t="shared" si="229"/>
        <v>0</v>
      </c>
      <c r="AY139" s="177">
        <f t="shared" si="230"/>
        <v>0</v>
      </c>
      <c r="AZ139" s="177">
        <f t="shared" si="231"/>
        <v>0</v>
      </c>
      <c r="BA139" s="177">
        <f t="shared" si="232"/>
        <v>0</v>
      </c>
      <c r="BB139" s="177">
        <f t="shared" si="233"/>
        <v>0</v>
      </c>
      <c r="BC139" s="177">
        <f t="shared" si="234"/>
        <v>0</v>
      </c>
      <c r="BD139" s="177">
        <f t="shared" si="235"/>
        <v>0</v>
      </c>
      <c r="BE139" s="177">
        <f t="shared" si="236"/>
        <v>0</v>
      </c>
      <c r="BF139" s="177">
        <f t="shared" si="237"/>
        <v>0</v>
      </c>
      <c r="BG139" s="178">
        <f t="shared" si="238"/>
        <v>0</v>
      </c>
    </row>
    <row r="140" spans="1:59" ht="13.5" customHeight="1">
      <c r="A140" s="171">
        <f t="shared" si="239"/>
        <v>15</v>
      </c>
      <c r="B140" s="171" t="s">
        <v>2553</v>
      </c>
      <c r="C140" s="171" t="s">
        <v>1867</v>
      </c>
      <c r="D140" s="171" t="str">
        <f t="shared" si="240"/>
        <v>支付的其他与经营活动有关的现金（其他）</v>
      </c>
      <c r="E140" s="171"/>
      <c r="F140" s="172" t="str">
        <f t="shared" si="248"/>
        <v>Outside Seminars</v>
      </c>
      <c r="G140" s="172"/>
      <c r="H140" s="77" t="s">
        <v>2613</v>
      </c>
      <c r="I140" s="173" t="s">
        <v>2614</v>
      </c>
      <c r="J140" s="173" t="s">
        <v>2046</v>
      </c>
      <c r="K140" s="77"/>
      <c r="L140" s="175">
        <v>45658</v>
      </c>
      <c r="M140" s="175">
        <v>46022</v>
      </c>
      <c r="N140" s="176">
        <f t="shared" si="241"/>
        <v>12</v>
      </c>
      <c r="O140" s="177">
        <f t="shared" si="222"/>
        <v>0</v>
      </c>
      <c r="P140" s="177">
        <f t="shared" si="222"/>
        <v>0</v>
      </c>
      <c r="Q140" s="177">
        <f t="shared" si="222"/>
        <v>0</v>
      </c>
      <c r="R140" s="177">
        <f t="shared" si="222"/>
        <v>0</v>
      </c>
      <c r="S140" s="177">
        <f t="shared" si="222"/>
        <v>0</v>
      </c>
      <c r="T140" s="177">
        <f t="shared" si="222"/>
        <v>0</v>
      </c>
      <c r="U140" s="177">
        <f t="shared" si="222"/>
        <v>0</v>
      </c>
      <c r="V140" s="177">
        <f t="shared" si="222"/>
        <v>0</v>
      </c>
      <c r="W140" s="177">
        <f t="shared" si="222"/>
        <v>0</v>
      </c>
      <c r="X140" s="177">
        <f t="shared" si="222"/>
        <v>0</v>
      </c>
      <c r="Y140" s="177">
        <f t="shared" si="222"/>
        <v>0</v>
      </c>
      <c r="Z140" s="177">
        <f t="shared" si="222"/>
        <v>0</v>
      </c>
      <c r="AA140" s="178">
        <f t="shared" si="242"/>
        <v>0</v>
      </c>
      <c r="AB140" s="173" t="s">
        <v>2046</v>
      </c>
      <c r="AC140" s="77"/>
      <c r="AD140" s="175">
        <v>46023</v>
      </c>
      <c r="AE140" s="175">
        <v>46387</v>
      </c>
      <c r="AF140" s="176">
        <f t="shared" si="223"/>
        <v>12</v>
      </c>
      <c r="AG140" s="177">
        <f t="shared" ref="AG140:AR140" si="257">IF(AND($AD140&lt;=AG$3,AG$3&lt;=$AE140),$AC140/$AF140,0)</f>
        <v>0</v>
      </c>
      <c r="AH140" s="177">
        <f t="shared" si="257"/>
        <v>0</v>
      </c>
      <c r="AI140" s="177">
        <f t="shared" si="257"/>
        <v>0</v>
      </c>
      <c r="AJ140" s="177">
        <f t="shared" si="257"/>
        <v>0</v>
      </c>
      <c r="AK140" s="177">
        <f t="shared" si="257"/>
        <v>0</v>
      </c>
      <c r="AL140" s="177">
        <f t="shared" si="257"/>
        <v>0</v>
      </c>
      <c r="AM140" s="177">
        <f t="shared" si="257"/>
        <v>0</v>
      </c>
      <c r="AN140" s="177">
        <f t="shared" si="257"/>
        <v>0</v>
      </c>
      <c r="AO140" s="177">
        <f t="shared" si="257"/>
        <v>0</v>
      </c>
      <c r="AP140" s="177">
        <f t="shared" si="257"/>
        <v>0</v>
      </c>
      <c r="AQ140" s="177">
        <f t="shared" si="257"/>
        <v>0</v>
      </c>
      <c r="AR140" s="177">
        <f t="shared" si="257"/>
        <v>0</v>
      </c>
      <c r="AS140" s="178">
        <f t="shared" si="225"/>
        <v>0</v>
      </c>
      <c r="AU140" s="177">
        <f t="shared" si="226"/>
        <v>0</v>
      </c>
      <c r="AV140" s="177">
        <f t="shared" si="227"/>
        <v>0</v>
      </c>
      <c r="AW140" s="177">
        <f t="shared" si="228"/>
        <v>0</v>
      </c>
      <c r="AX140" s="177">
        <f t="shared" si="229"/>
        <v>0</v>
      </c>
      <c r="AY140" s="177">
        <f t="shared" si="230"/>
        <v>0</v>
      </c>
      <c r="AZ140" s="177">
        <f t="shared" si="231"/>
        <v>0</v>
      </c>
      <c r="BA140" s="177">
        <f t="shared" si="232"/>
        <v>0</v>
      </c>
      <c r="BB140" s="177">
        <f t="shared" si="233"/>
        <v>0</v>
      </c>
      <c r="BC140" s="177">
        <f t="shared" si="234"/>
        <v>0</v>
      </c>
      <c r="BD140" s="177">
        <f t="shared" si="235"/>
        <v>0</v>
      </c>
      <c r="BE140" s="177">
        <f t="shared" si="236"/>
        <v>0</v>
      </c>
      <c r="BF140" s="177">
        <f t="shared" si="237"/>
        <v>0</v>
      </c>
      <c r="BG140" s="178">
        <f t="shared" si="238"/>
        <v>0</v>
      </c>
    </row>
    <row r="141" spans="1:59" ht="13.5" customHeight="1">
      <c r="A141" s="171">
        <f t="shared" si="239"/>
        <v>16</v>
      </c>
      <c r="B141" s="171" t="s">
        <v>2553</v>
      </c>
      <c r="C141" s="171" t="s">
        <v>1684</v>
      </c>
      <c r="D141" s="171" t="str">
        <f t="shared" si="240"/>
        <v>支付的其他与经营活动有关的现金（其他）</v>
      </c>
      <c r="E141" s="171"/>
      <c r="F141" s="172" t="str">
        <f t="shared" si="248"/>
        <v>Subscription</v>
      </c>
      <c r="G141" s="172"/>
      <c r="H141" s="77" t="s">
        <v>2613</v>
      </c>
      <c r="I141" s="173" t="s">
        <v>2614</v>
      </c>
      <c r="J141" s="173" t="s">
        <v>2046</v>
      </c>
      <c r="K141" s="77"/>
      <c r="L141" s="175">
        <v>45658</v>
      </c>
      <c r="M141" s="175">
        <v>46022</v>
      </c>
      <c r="N141" s="176">
        <f t="shared" si="241"/>
        <v>12</v>
      </c>
      <c r="O141" s="177">
        <f t="shared" si="222"/>
        <v>0</v>
      </c>
      <c r="P141" s="177">
        <f t="shared" si="222"/>
        <v>0</v>
      </c>
      <c r="Q141" s="177">
        <f t="shared" si="222"/>
        <v>0</v>
      </c>
      <c r="R141" s="177">
        <f t="shared" si="222"/>
        <v>0</v>
      </c>
      <c r="S141" s="177">
        <f t="shared" si="222"/>
        <v>0</v>
      </c>
      <c r="T141" s="177">
        <f t="shared" si="222"/>
        <v>0</v>
      </c>
      <c r="U141" s="177">
        <f t="shared" si="222"/>
        <v>0</v>
      </c>
      <c r="V141" s="177">
        <f t="shared" si="222"/>
        <v>0</v>
      </c>
      <c r="W141" s="177">
        <f t="shared" si="222"/>
        <v>0</v>
      </c>
      <c r="X141" s="177">
        <f t="shared" si="222"/>
        <v>0</v>
      </c>
      <c r="Y141" s="177">
        <f t="shared" si="222"/>
        <v>0</v>
      </c>
      <c r="Z141" s="177">
        <f t="shared" si="222"/>
        <v>0</v>
      </c>
      <c r="AA141" s="178">
        <f t="shared" si="242"/>
        <v>0</v>
      </c>
      <c r="AB141" s="173" t="s">
        <v>2046</v>
      </c>
      <c r="AC141" s="77"/>
      <c r="AD141" s="175">
        <v>46023</v>
      </c>
      <c r="AE141" s="175">
        <v>46387</v>
      </c>
      <c r="AF141" s="176">
        <f t="shared" si="223"/>
        <v>12</v>
      </c>
      <c r="AG141" s="177">
        <f t="shared" ref="AG141:AR141" si="258">IF(AND($AD141&lt;=AG$3,AG$3&lt;=$AE141),$AC141/$AF141,0)</f>
        <v>0</v>
      </c>
      <c r="AH141" s="177">
        <f t="shared" si="258"/>
        <v>0</v>
      </c>
      <c r="AI141" s="177">
        <f t="shared" si="258"/>
        <v>0</v>
      </c>
      <c r="AJ141" s="177">
        <f t="shared" si="258"/>
        <v>0</v>
      </c>
      <c r="AK141" s="177">
        <f t="shared" si="258"/>
        <v>0</v>
      </c>
      <c r="AL141" s="177">
        <f t="shared" si="258"/>
        <v>0</v>
      </c>
      <c r="AM141" s="177">
        <f t="shared" si="258"/>
        <v>0</v>
      </c>
      <c r="AN141" s="177">
        <f t="shared" si="258"/>
        <v>0</v>
      </c>
      <c r="AO141" s="177">
        <f t="shared" si="258"/>
        <v>0</v>
      </c>
      <c r="AP141" s="177">
        <f t="shared" si="258"/>
        <v>0</v>
      </c>
      <c r="AQ141" s="177">
        <f t="shared" si="258"/>
        <v>0</v>
      </c>
      <c r="AR141" s="177">
        <f t="shared" si="258"/>
        <v>0</v>
      </c>
      <c r="AS141" s="178">
        <f t="shared" si="225"/>
        <v>0</v>
      </c>
      <c r="AU141" s="177">
        <f t="shared" si="226"/>
        <v>0</v>
      </c>
      <c r="AV141" s="177">
        <f t="shared" si="227"/>
        <v>0</v>
      </c>
      <c r="AW141" s="177">
        <f t="shared" si="228"/>
        <v>0</v>
      </c>
      <c r="AX141" s="177">
        <f t="shared" si="229"/>
        <v>0</v>
      </c>
      <c r="AY141" s="177">
        <f t="shared" si="230"/>
        <v>0</v>
      </c>
      <c r="AZ141" s="177">
        <f t="shared" si="231"/>
        <v>0</v>
      </c>
      <c r="BA141" s="177">
        <f t="shared" si="232"/>
        <v>0</v>
      </c>
      <c r="BB141" s="177">
        <f t="shared" si="233"/>
        <v>0</v>
      </c>
      <c r="BC141" s="177">
        <f t="shared" si="234"/>
        <v>0</v>
      </c>
      <c r="BD141" s="177">
        <f t="shared" si="235"/>
        <v>0</v>
      </c>
      <c r="BE141" s="177">
        <f t="shared" si="236"/>
        <v>0</v>
      </c>
      <c r="BF141" s="177">
        <f t="shared" si="237"/>
        <v>0</v>
      </c>
      <c r="BG141" s="178">
        <f t="shared" si="238"/>
        <v>0</v>
      </c>
    </row>
    <row r="142" spans="1:59" ht="13.5" customHeight="1">
      <c r="A142" s="171">
        <f t="shared" si="239"/>
        <v>17</v>
      </c>
      <c r="B142" s="171" t="s">
        <v>2553</v>
      </c>
      <c r="C142" s="171" t="s">
        <v>1867</v>
      </c>
      <c r="D142" s="171" t="str">
        <f t="shared" si="240"/>
        <v>支付的其他与经营活动有关的现金（其他）</v>
      </c>
      <c r="E142" s="171"/>
      <c r="F142" s="172" t="str">
        <f t="shared" ref="F142:F145" si="259">IF(F22="","",F22)</f>
        <v>Professional Body Membership Fee</v>
      </c>
      <c r="G142" s="172"/>
      <c r="H142" s="77" t="s">
        <v>2613</v>
      </c>
      <c r="I142" s="173" t="s">
        <v>2614</v>
      </c>
      <c r="J142" s="173" t="s">
        <v>2046</v>
      </c>
      <c r="K142" s="77"/>
      <c r="L142" s="175">
        <v>45658</v>
      </c>
      <c r="M142" s="175">
        <v>46022</v>
      </c>
      <c r="N142" s="176">
        <f t="shared" ref="N142:N145" si="260">IF(AND(L142="",M142=""),"-",IF(M142="",12,DATEDIF(L142,M142,"M")+1))</f>
        <v>12</v>
      </c>
      <c r="O142" s="177">
        <f t="shared" si="222"/>
        <v>0</v>
      </c>
      <c r="P142" s="177">
        <f t="shared" si="222"/>
        <v>0</v>
      </c>
      <c r="Q142" s="177">
        <f t="shared" si="222"/>
        <v>0</v>
      </c>
      <c r="R142" s="177">
        <f t="shared" si="222"/>
        <v>0</v>
      </c>
      <c r="S142" s="177">
        <f t="shared" si="222"/>
        <v>0</v>
      </c>
      <c r="T142" s="177">
        <f t="shared" si="222"/>
        <v>0</v>
      </c>
      <c r="U142" s="177">
        <f t="shared" si="222"/>
        <v>0</v>
      </c>
      <c r="V142" s="177">
        <f t="shared" si="222"/>
        <v>0</v>
      </c>
      <c r="W142" s="177">
        <f t="shared" si="222"/>
        <v>0</v>
      </c>
      <c r="X142" s="177">
        <f t="shared" si="222"/>
        <v>0</v>
      </c>
      <c r="Y142" s="177">
        <f t="shared" si="222"/>
        <v>0</v>
      </c>
      <c r="Z142" s="177">
        <f t="shared" si="222"/>
        <v>0</v>
      </c>
      <c r="AA142" s="178">
        <f t="shared" ref="AA142:AA145" si="261">SUM(O142:Z142)</f>
        <v>0</v>
      </c>
      <c r="AB142" s="173" t="s">
        <v>2046</v>
      </c>
      <c r="AC142" s="77"/>
      <c r="AD142" s="175">
        <v>46023</v>
      </c>
      <c r="AE142" s="175">
        <v>46387</v>
      </c>
      <c r="AF142" s="176">
        <f t="shared" si="223"/>
        <v>12</v>
      </c>
      <c r="AG142" s="177">
        <f t="shared" ref="AG142:AR142" si="262">IF(AND($AD142&lt;=AG$3,AG$3&lt;=$AE142),$AC142/$AF142,0)</f>
        <v>0</v>
      </c>
      <c r="AH142" s="177">
        <f t="shared" si="262"/>
        <v>0</v>
      </c>
      <c r="AI142" s="177">
        <f t="shared" si="262"/>
        <v>0</v>
      </c>
      <c r="AJ142" s="177">
        <f t="shared" si="262"/>
        <v>0</v>
      </c>
      <c r="AK142" s="177">
        <f t="shared" si="262"/>
        <v>0</v>
      </c>
      <c r="AL142" s="177">
        <f t="shared" si="262"/>
        <v>0</v>
      </c>
      <c r="AM142" s="177">
        <f t="shared" si="262"/>
        <v>0</v>
      </c>
      <c r="AN142" s="177">
        <f t="shared" si="262"/>
        <v>0</v>
      </c>
      <c r="AO142" s="177">
        <f t="shared" si="262"/>
        <v>0</v>
      </c>
      <c r="AP142" s="177">
        <f t="shared" si="262"/>
        <v>0</v>
      </c>
      <c r="AQ142" s="177">
        <f t="shared" si="262"/>
        <v>0</v>
      </c>
      <c r="AR142" s="177">
        <f t="shared" si="262"/>
        <v>0</v>
      </c>
      <c r="AS142" s="178">
        <f t="shared" si="225"/>
        <v>0</v>
      </c>
      <c r="AU142" s="177">
        <f t="shared" si="226"/>
        <v>0</v>
      </c>
      <c r="AV142" s="177">
        <f t="shared" si="227"/>
        <v>0</v>
      </c>
      <c r="AW142" s="177">
        <f t="shared" si="228"/>
        <v>0</v>
      </c>
      <c r="AX142" s="177">
        <f t="shared" si="229"/>
        <v>0</v>
      </c>
      <c r="AY142" s="177">
        <f t="shared" si="230"/>
        <v>0</v>
      </c>
      <c r="AZ142" s="177">
        <f t="shared" si="231"/>
        <v>0</v>
      </c>
      <c r="BA142" s="177">
        <f t="shared" si="232"/>
        <v>0</v>
      </c>
      <c r="BB142" s="177">
        <f t="shared" si="233"/>
        <v>0</v>
      </c>
      <c r="BC142" s="177">
        <f t="shared" si="234"/>
        <v>0</v>
      </c>
      <c r="BD142" s="177">
        <f t="shared" si="235"/>
        <v>0</v>
      </c>
      <c r="BE142" s="177">
        <f t="shared" si="236"/>
        <v>0</v>
      </c>
      <c r="BF142" s="177">
        <f t="shared" si="237"/>
        <v>0</v>
      </c>
      <c r="BG142" s="178">
        <f t="shared" si="238"/>
        <v>0</v>
      </c>
    </row>
    <row r="143" spans="1:59" ht="13.5" customHeight="1">
      <c r="A143" s="171">
        <f t="shared" si="239"/>
        <v>18</v>
      </c>
      <c r="B143" s="171" t="s">
        <v>2553</v>
      </c>
      <c r="C143" s="171" t="s">
        <v>1672</v>
      </c>
      <c r="D143" s="171" t="str">
        <f t="shared" si="240"/>
        <v>支付的其他与经营活动有关的现金（其他）</v>
      </c>
      <c r="E143" s="171"/>
      <c r="F143" s="172" t="str">
        <f t="shared" si="259"/>
        <v>Purchase system</v>
      </c>
      <c r="G143" s="172"/>
      <c r="H143" s="77" t="s">
        <v>2613</v>
      </c>
      <c r="I143" s="173" t="s">
        <v>2614</v>
      </c>
      <c r="J143" s="173" t="s">
        <v>2046</v>
      </c>
      <c r="K143" s="77"/>
      <c r="L143" s="175">
        <v>45658</v>
      </c>
      <c r="M143" s="175">
        <v>46022</v>
      </c>
      <c r="N143" s="176">
        <f t="shared" si="260"/>
        <v>12</v>
      </c>
      <c r="O143" s="177">
        <f t="shared" ref="O143:Z145" si="263">IF(AND($L143&lt;=O$3,O$3&lt;=$M143),$K143/$N143,0)</f>
        <v>0</v>
      </c>
      <c r="P143" s="177">
        <f t="shared" si="263"/>
        <v>0</v>
      </c>
      <c r="Q143" s="177">
        <f t="shared" si="263"/>
        <v>0</v>
      </c>
      <c r="R143" s="177">
        <f t="shared" si="263"/>
        <v>0</v>
      </c>
      <c r="S143" s="177">
        <f t="shared" si="263"/>
        <v>0</v>
      </c>
      <c r="T143" s="177">
        <f t="shared" si="263"/>
        <v>0</v>
      </c>
      <c r="U143" s="177">
        <f t="shared" si="263"/>
        <v>0</v>
      </c>
      <c r="V143" s="177">
        <f t="shared" si="263"/>
        <v>0</v>
      </c>
      <c r="W143" s="177">
        <f t="shared" si="263"/>
        <v>0</v>
      </c>
      <c r="X143" s="177">
        <f t="shared" si="263"/>
        <v>0</v>
      </c>
      <c r="Y143" s="177">
        <f t="shared" si="263"/>
        <v>0</v>
      </c>
      <c r="Z143" s="177">
        <f t="shared" si="263"/>
        <v>0</v>
      </c>
      <c r="AA143" s="178">
        <f t="shared" si="261"/>
        <v>0</v>
      </c>
      <c r="AB143" s="173" t="s">
        <v>2046</v>
      </c>
      <c r="AC143" s="77"/>
      <c r="AD143" s="175">
        <v>46023</v>
      </c>
      <c r="AE143" s="175">
        <v>46387</v>
      </c>
      <c r="AF143" s="176">
        <f t="shared" si="223"/>
        <v>12</v>
      </c>
      <c r="AG143" s="177">
        <f t="shared" ref="AG143:AR143" si="264">IF(AND($AD143&lt;=AG$3,AG$3&lt;=$AE143),$AC143/$AF143,0)</f>
        <v>0</v>
      </c>
      <c r="AH143" s="177">
        <f t="shared" si="264"/>
        <v>0</v>
      </c>
      <c r="AI143" s="177">
        <f t="shared" si="264"/>
        <v>0</v>
      </c>
      <c r="AJ143" s="177">
        <f t="shared" si="264"/>
        <v>0</v>
      </c>
      <c r="AK143" s="177">
        <f t="shared" si="264"/>
        <v>0</v>
      </c>
      <c r="AL143" s="177">
        <f t="shared" si="264"/>
        <v>0</v>
      </c>
      <c r="AM143" s="177">
        <f t="shared" si="264"/>
        <v>0</v>
      </c>
      <c r="AN143" s="177">
        <f t="shared" si="264"/>
        <v>0</v>
      </c>
      <c r="AO143" s="177">
        <f t="shared" si="264"/>
        <v>0</v>
      </c>
      <c r="AP143" s="177">
        <f t="shared" si="264"/>
        <v>0</v>
      </c>
      <c r="AQ143" s="177">
        <f t="shared" si="264"/>
        <v>0</v>
      </c>
      <c r="AR143" s="177">
        <f t="shared" si="264"/>
        <v>0</v>
      </c>
      <c r="AS143" s="178">
        <f t="shared" si="225"/>
        <v>0</v>
      </c>
      <c r="AU143" s="177">
        <f t="shared" si="226"/>
        <v>0</v>
      </c>
      <c r="AV143" s="177">
        <f t="shared" si="227"/>
        <v>0</v>
      </c>
      <c r="AW143" s="177">
        <f t="shared" si="228"/>
        <v>0</v>
      </c>
      <c r="AX143" s="177">
        <f t="shared" si="229"/>
        <v>0</v>
      </c>
      <c r="AY143" s="177">
        <f t="shared" si="230"/>
        <v>0</v>
      </c>
      <c r="AZ143" s="177">
        <f t="shared" si="231"/>
        <v>0</v>
      </c>
      <c r="BA143" s="177">
        <f t="shared" si="232"/>
        <v>0</v>
      </c>
      <c r="BB143" s="177">
        <f t="shared" si="233"/>
        <v>0</v>
      </c>
      <c r="BC143" s="177">
        <f t="shared" si="234"/>
        <v>0</v>
      </c>
      <c r="BD143" s="177">
        <f t="shared" si="235"/>
        <v>0</v>
      </c>
      <c r="BE143" s="177">
        <f t="shared" si="236"/>
        <v>0</v>
      </c>
      <c r="BF143" s="177">
        <f t="shared" si="237"/>
        <v>0</v>
      </c>
      <c r="BG143" s="178">
        <f t="shared" si="238"/>
        <v>0</v>
      </c>
    </row>
    <row r="144" spans="1:59" ht="13.5" customHeight="1">
      <c r="A144" s="171">
        <f t="shared" si="239"/>
        <v>19</v>
      </c>
      <c r="B144" s="171" t="s">
        <v>2553</v>
      </c>
      <c r="C144" s="171" t="s">
        <v>1549</v>
      </c>
      <c r="D144" s="171" t="str">
        <f t="shared" si="240"/>
        <v>支付的其他与经营活动有关的现金（其他）</v>
      </c>
      <c r="E144" s="171"/>
      <c r="F144" s="172" t="str">
        <f t="shared" si="259"/>
        <v>Employee Background Check</v>
      </c>
      <c r="G144" s="172"/>
      <c r="H144" s="77" t="s">
        <v>2613</v>
      </c>
      <c r="I144" s="173" t="s">
        <v>2614</v>
      </c>
      <c r="J144" s="173" t="s">
        <v>2046</v>
      </c>
      <c r="K144" s="77"/>
      <c r="L144" s="175">
        <v>45658</v>
      </c>
      <c r="M144" s="175">
        <v>46022</v>
      </c>
      <c r="N144" s="176">
        <f t="shared" si="260"/>
        <v>12</v>
      </c>
      <c r="O144" s="177">
        <f t="shared" si="263"/>
        <v>0</v>
      </c>
      <c r="P144" s="177">
        <f t="shared" si="263"/>
        <v>0</v>
      </c>
      <c r="Q144" s="177">
        <f t="shared" si="263"/>
        <v>0</v>
      </c>
      <c r="R144" s="177">
        <f t="shared" si="263"/>
        <v>0</v>
      </c>
      <c r="S144" s="177">
        <f t="shared" si="263"/>
        <v>0</v>
      </c>
      <c r="T144" s="177">
        <f t="shared" si="263"/>
        <v>0</v>
      </c>
      <c r="U144" s="177">
        <f t="shared" si="263"/>
        <v>0</v>
      </c>
      <c r="V144" s="177">
        <f t="shared" si="263"/>
        <v>0</v>
      </c>
      <c r="W144" s="177">
        <f t="shared" si="263"/>
        <v>0</v>
      </c>
      <c r="X144" s="177">
        <f t="shared" si="263"/>
        <v>0</v>
      </c>
      <c r="Y144" s="177">
        <f t="shared" si="263"/>
        <v>0</v>
      </c>
      <c r="Z144" s="177">
        <f t="shared" si="263"/>
        <v>0</v>
      </c>
      <c r="AA144" s="178">
        <f t="shared" si="261"/>
        <v>0</v>
      </c>
      <c r="AB144" s="173" t="s">
        <v>2046</v>
      </c>
      <c r="AC144" s="77"/>
      <c r="AD144" s="175">
        <v>46023</v>
      </c>
      <c r="AE144" s="175">
        <v>46387</v>
      </c>
      <c r="AF144" s="176">
        <f t="shared" si="223"/>
        <v>12</v>
      </c>
      <c r="AG144" s="177">
        <f t="shared" ref="AG144:AR144" si="265">IF(AND($AD144&lt;=AG$3,AG$3&lt;=$AE144),$AC144/$AF144,0)</f>
        <v>0</v>
      </c>
      <c r="AH144" s="177">
        <f t="shared" si="265"/>
        <v>0</v>
      </c>
      <c r="AI144" s="177">
        <f t="shared" si="265"/>
        <v>0</v>
      </c>
      <c r="AJ144" s="177">
        <f t="shared" si="265"/>
        <v>0</v>
      </c>
      <c r="AK144" s="177">
        <f t="shared" si="265"/>
        <v>0</v>
      </c>
      <c r="AL144" s="177">
        <f t="shared" si="265"/>
        <v>0</v>
      </c>
      <c r="AM144" s="177">
        <f t="shared" si="265"/>
        <v>0</v>
      </c>
      <c r="AN144" s="177">
        <f t="shared" si="265"/>
        <v>0</v>
      </c>
      <c r="AO144" s="177">
        <f t="shared" si="265"/>
        <v>0</v>
      </c>
      <c r="AP144" s="177">
        <f t="shared" si="265"/>
        <v>0</v>
      </c>
      <c r="AQ144" s="177">
        <f t="shared" si="265"/>
        <v>0</v>
      </c>
      <c r="AR144" s="177">
        <f t="shared" si="265"/>
        <v>0</v>
      </c>
      <c r="AS144" s="178">
        <f t="shared" si="225"/>
        <v>0</v>
      </c>
      <c r="AU144" s="177">
        <f t="shared" si="226"/>
        <v>0</v>
      </c>
      <c r="AV144" s="177">
        <f t="shared" si="227"/>
        <v>0</v>
      </c>
      <c r="AW144" s="177">
        <f t="shared" si="228"/>
        <v>0</v>
      </c>
      <c r="AX144" s="177">
        <f t="shared" si="229"/>
        <v>0</v>
      </c>
      <c r="AY144" s="177">
        <f t="shared" si="230"/>
        <v>0</v>
      </c>
      <c r="AZ144" s="177">
        <f t="shared" si="231"/>
        <v>0</v>
      </c>
      <c r="BA144" s="177">
        <f t="shared" si="232"/>
        <v>0</v>
      </c>
      <c r="BB144" s="177">
        <f t="shared" si="233"/>
        <v>0</v>
      </c>
      <c r="BC144" s="177">
        <f t="shared" si="234"/>
        <v>0</v>
      </c>
      <c r="BD144" s="177">
        <f t="shared" si="235"/>
        <v>0</v>
      </c>
      <c r="BE144" s="177">
        <f t="shared" si="236"/>
        <v>0</v>
      </c>
      <c r="BF144" s="177">
        <f t="shared" si="237"/>
        <v>0</v>
      </c>
      <c r="BG144" s="178">
        <f t="shared" si="238"/>
        <v>0</v>
      </c>
    </row>
    <row r="145" spans="1:59" ht="13.5" customHeight="1">
      <c r="A145" s="171">
        <f t="shared" si="239"/>
        <v>20</v>
      </c>
      <c r="B145" s="171" t="s">
        <v>2553</v>
      </c>
      <c r="C145" s="171" t="s">
        <v>1867</v>
      </c>
      <c r="D145" s="171" t="str">
        <f t="shared" si="240"/>
        <v>支付的其他与经营活动有关的现金（其他）</v>
      </c>
      <c r="E145" s="171"/>
      <c r="F145" s="172" t="str">
        <f t="shared" si="259"/>
        <v>Training Fees</v>
      </c>
      <c r="G145" s="172"/>
      <c r="H145" s="77" t="s">
        <v>2613</v>
      </c>
      <c r="I145" s="173" t="s">
        <v>2614</v>
      </c>
      <c r="J145" s="173" t="s">
        <v>2046</v>
      </c>
      <c r="K145" s="77"/>
      <c r="L145" s="175">
        <v>45658</v>
      </c>
      <c r="M145" s="175">
        <v>46022</v>
      </c>
      <c r="N145" s="176">
        <f t="shared" si="260"/>
        <v>12</v>
      </c>
      <c r="O145" s="177">
        <f t="shared" si="263"/>
        <v>0</v>
      </c>
      <c r="P145" s="177">
        <f t="shared" si="263"/>
        <v>0</v>
      </c>
      <c r="Q145" s="177">
        <f t="shared" si="263"/>
        <v>0</v>
      </c>
      <c r="R145" s="177">
        <f t="shared" si="263"/>
        <v>0</v>
      </c>
      <c r="S145" s="177">
        <f t="shared" si="263"/>
        <v>0</v>
      </c>
      <c r="T145" s="177">
        <f t="shared" si="263"/>
        <v>0</v>
      </c>
      <c r="U145" s="177">
        <f t="shared" si="263"/>
        <v>0</v>
      </c>
      <c r="V145" s="177">
        <f t="shared" si="263"/>
        <v>0</v>
      </c>
      <c r="W145" s="177">
        <f t="shared" si="263"/>
        <v>0</v>
      </c>
      <c r="X145" s="177">
        <f t="shared" si="263"/>
        <v>0</v>
      </c>
      <c r="Y145" s="177">
        <f t="shared" si="263"/>
        <v>0</v>
      </c>
      <c r="Z145" s="177">
        <f t="shared" si="263"/>
        <v>0</v>
      </c>
      <c r="AA145" s="178">
        <f t="shared" si="261"/>
        <v>0</v>
      </c>
      <c r="AB145" s="173" t="s">
        <v>2046</v>
      </c>
      <c r="AC145" s="77"/>
      <c r="AD145" s="175">
        <v>46023</v>
      </c>
      <c r="AE145" s="175">
        <v>46387</v>
      </c>
      <c r="AF145" s="176">
        <f t="shared" si="223"/>
        <v>12</v>
      </c>
      <c r="AG145" s="177">
        <f t="shared" ref="AG145:AR145" si="266">IF(AND($AD145&lt;=AG$3,AG$3&lt;=$AE145),$AC145/$AF145,0)</f>
        <v>0</v>
      </c>
      <c r="AH145" s="177">
        <f t="shared" si="266"/>
        <v>0</v>
      </c>
      <c r="AI145" s="177">
        <f t="shared" si="266"/>
        <v>0</v>
      </c>
      <c r="AJ145" s="177">
        <f t="shared" si="266"/>
        <v>0</v>
      </c>
      <c r="AK145" s="177">
        <f t="shared" si="266"/>
        <v>0</v>
      </c>
      <c r="AL145" s="177">
        <f t="shared" si="266"/>
        <v>0</v>
      </c>
      <c r="AM145" s="177">
        <f t="shared" si="266"/>
        <v>0</v>
      </c>
      <c r="AN145" s="177">
        <f t="shared" si="266"/>
        <v>0</v>
      </c>
      <c r="AO145" s="177">
        <f t="shared" si="266"/>
        <v>0</v>
      </c>
      <c r="AP145" s="177">
        <f t="shared" si="266"/>
        <v>0</v>
      </c>
      <c r="AQ145" s="177">
        <f t="shared" si="266"/>
        <v>0</v>
      </c>
      <c r="AR145" s="177">
        <f t="shared" si="266"/>
        <v>0</v>
      </c>
      <c r="AS145" s="178">
        <f t="shared" si="225"/>
        <v>0</v>
      </c>
      <c r="AU145" s="177">
        <f t="shared" si="226"/>
        <v>0</v>
      </c>
      <c r="AV145" s="177">
        <f t="shared" si="227"/>
        <v>0</v>
      </c>
      <c r="AW145" s="177">
        <f t="shared" si="228"/>
        <v>0</v>
      </c>
      <c r="AX145" s="177">
        <f t="shared" si="229"/>
        <v>0</v>
      </c>
      <c r="AY145" s="177">
        <f t="shared" si="230"/>
        <v>0</v>
      </c>
      <c r="AZ145" s="177">
        <f t="shared" si="231"/>
        <v>0</v>
      </c>
      <c r="BA145" s="177">
        <f t="shared" si="232"/>
        <v>0</v>
      </c>
      <c r="BB145" s="177">
        <f t="shared" si="233"/>
        <v>0</v>
      </c>
      <c r="BC145" s="177">
        <f t="shared" si="234"/>
        <v>0</v>
      </c>
      <c r="BD145" s="177">
        <f t="shared" si="235"/>
        <v>0</v>
      </c>
      <c r="BE145" s="177">
        <f t="shared" si="236"/>
        <v>0</v>
      </c>
      <c r="BF145" s="177">
        <f t="shared" si="237"/>
        <v>0</v>
      </c>
      <c r="BG145" s="178">
        <f t="shared" si="238"/>
        <v>0</v>
      </c>
    </row>
    <row r="147" spans="1:59" s="151" customFormat="1" ht="13.5" thickBot="1">
      <c r="L147" s="180"/>
      <c r="M147" s="180"/>
      <c r="O147" s="185">
        <f>SUM(O126:O146)</f>
        <v>2723.3333333333335</v>
      </c>
      <c r="P147" s="185">
        <f t="shared" ref="P147:Z147" si="267">SUM(P126:P146)</f>
        <v>83.333333333333329</v>
      </c>
      <c r="Q147" s="185">
        <f t="shared" si="267"/>
        <v>83.333333333333329</v>
      </c>
      <c r="R147" s="185">
        <f t="shared" si="267"/>
        <v>83.333333333333329</v>
      </c>
      <c r="S147" s="185">
        <f t="shared" si="267"/>
        <v>83.333333333333329</v>
      </c>
      <c r="T147" s="185">
        <f t="shared" si="267"/>
        <v>83.333333333333329</v>
      </c>
      <c r="U147" s="185">
        <f t="shared" si="267"/>
        <v>83.333333333333329</v>
      </c>
      <c r="V147" s="185">
        <f t="shared" si="267"/>
        <v>83.333333333333329</v>
      </c>
      <c r="W147" s="185">
        <f t="shared" si="267"/>
        <v>83.333333333333329</v>
      </c>
      <c r="X147" s="185">
        <f t="shared" si="267"/>
        <v>83.333333333333329</v>
      </c>
      <c r="Y147" s="185">
        <f t="shared" si="267"/>
        <v>83.333333333333329</v>
      </c>
      <c r="Z147" s="185">
        <f t="shared" si="267"/>
        <v>83.333333333333329</v>
      </c>
      <c r="AA147" s="182">
        <f>SUBTOTAL(9,O147:Z147)</f>
        <v>3640.0000000000018</v>
      </c>
      <c r="AC147" s="185">
        <f>SUM(AC126:AC146)</f>
        <v>1000</v>
      </c>
      <c r="AD147" s="180"/>
      <c r="AE147" s="180"/>
      <c r="AG147" s="185">
        <f t="shared" ref="AG147:AR147" si="268">SUM(AG126:AG146)</f>
        <v>83.333333333333329</v>
      </c>
      <c r="AH147" s="185">
        <f t="shared" si="268"/>
        <v>83.333333333333329</v>
      </c>
      <c r="AI147" s="185">
        <f t="shared" si="268"/>
        <v>83.333333333333329</v>
      </c>
      <c r="AJ147" s="185">
        <f t="shared" si="268"/>
        <v>83.333333333333329</v>
      </c>
      <c r="AK147" s="185">
        <f t="shared" si="268"/>
        <v>83.333333333333329</v>
      </c>
      <c r="AL147" s="185">
        <f t="shared" si="268"/>
        <v>83.333333333333329</v>
      </c>
      <c r="AM147" s="185">
        <f t="shared" si="268"/>
        <v>83.333333333333329</v>
      </c>
      <c r="AN147" s="185">
        <f t="shared" si="268"/>
        <v>83.333333333333329</v>
      </c>
      <c r="AO147" s="185">
        <f t="shared" si="268"/>
        <v>83.333333333333329</v>
      </c>
      <c r="AP147" s="185">
        <f t="shared" si="268"/>
        <v>83.333333333333329</v>
      </c>
      <c r="AQ147" s="185">
        <f t="shared" si="268"/>
        <v>83.333333333333329</v>
      </c>
      <c r="AR147" s="185">
        <f t="shared" si="268"/>
        <v>83.333333333333329</v>
      </c>
      <c r="AS147" s="182">
        <f>SUBTOTAL(9,AG147:AR147)</f>
        <v>1000.0000000000001</v>
      </c>
      <c r="AU147" s="185">
        <f t="shared" ref="AU147:BF147" si="269">SUM(AU126:AU146)</f>
        <v>87.5</v>
      </c>
      <c r="AV147" s="185">
        <f t="shared" si="269"/>
        <v>87.5</v>
      </c>
      <c r="AW147" s="185">
        <f t="shared" si="269"/>
        <v>87.5</v>
      </c>
      <c r="AX147" s="185">
        <f t="shared" si="269"/>
        <v>87.5</v>
      </c>
      <c r="AY147" s="185">
        <f t="shared" si="269"/>
        <v>87.5</v>
      </c>
      <c r="AZ147" s="185">
        <f t="shared" si="269"/>
        <v>87.5</v>
      </c>
      <c r="BA147" s="185">
        <f t="shared" si="269"/>
        <v>87.5</v>
      </c>
      <c r="BB147" s="185">
        <f t="shared" si="269"/>
        <v>87.5</v>
      </c>
      <c r="BC147" s="185">
        <f t="shared" si="269"/>
        <v>87.5</v>
      </c>
      <c r="BD147" s="185">
        <f t="shared" si="269"/>
        <v>87.5</v>
      </c>
      <c r="BE147" s="185">
        <f t="shared" si="269"/>
        <v>87.5</v>
      </c>
      <c r="BF147" s="185">
        <f t="shared" si="269"/>
        <v>87.5</v>
      </c>
      <c r="BG147" s="182">
        <f>SUBTOTAL(9,AU147:BF147)</f>
        <v>1050</v>
      </c>
    </row>
    <row r="148" spans="1:59" ht="13.5" thickTop="1"/>
    <row r="149" spans="1:59" s="150" customFormat="1" ht="13.5" customHeight="1">
      <c r="A149" s="162"/>
      <c r="B149" s="162" t="s">
        <v>2598</v>
      </c>
      <c r="C149" s="162" t="s">
        <v>2704</v>
      </c>
      <c r="D149" s="162" t="s">
        <v>2602</v>
      </c>
      <c r="E149" s="162" t="s">
        <v>2401</v>
      </c>
      <c r="F149" s="163" t="s">
        <v>2930</v>
      </c>
      <c r="G149" s="163" t="s">
        <v>2603</v>
      </c>
      <c r="H149" s="164" t="s">
        <v>2604</v>
      </c>
      <c r="I149" s="164" t="s">
        <v>2605</v>
      </c>
      <c r="J149" s="165" t="s">
        <v>2606</v>
      </c>
      <c r="K149" s="166" t="s">
        <v>2607</v>
      </c>
      <c r="L149" s="167" t="s">
        <v>2608</v>
      </c>
      <c r="M149" s="167" t="s">
        <v>2609</v>
      </c>
      <c r="N149" s="166" t="s">
        <v>2610</v>
      </c>
      <c r="O149" s="69">
        <v>45658</v>
      </c>
      <c r="P149" s="69">
        <v>45689</v>
      </c>
      <c r="Q149" s="69">
        <v>45717</v>
      </c>
      <c r="R149" s="69">
        <v>45748</v>
      </c>
      <c r="S149" s="69">
        <v>45778</v>
      </c>
      <c r="T149" s="69">
        <v>45809</v>
      </c>
      <c r="U149" s="69">
        <v>45839</v>
      </c>
      <c r="V149" s="69">
        <v>45870</v>
      </c>
      <c r="W149" s="69">
        <v>45901</v>
      </c>
      <c r="X149" s="69">
        <v>45931</v>
      </c>
      <c r="Y149" s="69">
        <v>45962</v>
      </c>
      <c r="Z149" s="69">
        <v>45992</v>
      </c>
      <c r="AA149" s="168" t="s">
        <v>2115</v>
      </c>
      <c r="AB149" s="165" t="s">
        <v>2606</v>
      </c>
      <c r="AC149" s="166" t="s">
        <v>2607</v>
      </c>
      <c r="AD149" s="167" t="s">
        <v>2608</v>
      </c>
      <c r="AE149" s="167" t="s">
        <v>2609</v>
      </c>
      <c r="AF149" s="166" t="s">
        <v>2610</v>
      </c>
      <c r="AG149" s="69">
        <v>46023</v>
      </c>
      <c r="AH149" s="69">
        <v>46054</v>
      </c>
      <c r="AI149" s="69">
        <v>46082</v>
      </c>
      <c r="AJ149" s="69">
        <v>46113</v>
      </c>
      <c r="AK149" s="69">
        <v>46143</v>
      </c>
      <c r="AL149" s="69">
        <v>46174</v>
      </c>
      <c r="AM149" s="69">
        <v>46204</v>
      </c>
      <c r="AN149" s="69">
        <v>46235</v>
      </c>
      <c r="AO149" s="69">
        <v>46266</v>
      </c>
      <c r="AP149" s="69">
        <v>46296</v>
      </c>
      <c r="AQ149" s="69">
        <v>46327</v>
      </c>
      <c r="AR149" s="69">
        <v>46357</v>
      </c>
      <c r="AS149" s="168" t="s">
        <v>2706</v>
      </c>
      <c r="AU149" s="69">
        <f t="shared" ref="AU149:BG149" si="270">AU3</f>
        <v>46388</v>
      </c>
      <c r="AV149" s="69">
        <f t="shared" si="270"/>
        <v>46419</v>
      </c>
      <c r="AW149" s="69">
        <f t="shared" si="270"/>
        <v>46447</v>
      </c>
      <c r="AX149" s="69">
        <f t="shared" si="270"/>
        <v>46478</v>
      </c>
      <c r="AY149" s="69">
        <f t="shared" si="270"/>
        <v>46508</v>
      </c>
      <c r="AZ149" s="69">
        <f t="shared" si="270"/>
        <v>46539</v>
      </c>
      <c r="BA149" s="69">
        <f t="shared" si="270"/>
        <v>46569</v>
      </c>
      <c r="BB149" s="69">
        <f t="shared" si="270"/>
        <v>46600</v>
      </c>
      <c r="BC149" s="69">
        <f t="shared" si="270"/>
        <v>46631</v>
      </c>
      <c r="BD149" s="69">
        <f t="shared" si="270"/>
        <v>46661</v>
      </c>
      <c r="BE149" s="69">
        <f t="shared" si="270"/>
        <v>46692</v>
      </c>
      <c r="BF149" s="69">
        <f t="shared" si="270"/>
        <v>46722</v>
      </c>
      <c r="BG149" s="168" t="str">
        <f t="shared" si="270"/>
        <v>2027Total</v>
      </c>
    </row>
    <row r="150" spans="1:59" ht="13.5" customHeight="1">
      <c r="A150" s="171">
        <v>1</v>
      </c>
      <c r="B150" s="171" t="s">
        <v>2946</v>
      </c>
      <c r="C150" s="171" t="s">
        <v>1646</v>
      </c>
      <c r="D150" s="171" t="str">
        <f>$D6</f>
        <v>支付的其他与经营活动有关的现金（其他）</v>
      </c>
      <c r="E150" s="171"/>
      <c r="F150" s="172" t="str">
        <f>IF(F6="","",F6)</f>
        <v>Office Supplies</v>
      </c>
      <c r="G150" s="172"/>
      <c r="H150" s="77" t="s">
        <v>2613</v>
      </c>
      <c r="I150" s="173" t="s">
        <v>2614</v>
      </c>
      <c r="J150" s="173" t="s">
        <v>2046</v>
      </c>
      <c r="K150" s="77"/>
      <c r="L150" s="175">
        <v>45658</v>
      </c>
      <c r="M150" s="175">
        <v>46022</v>
      </c>
      <c r="N150" s="176">
        <f>IF(AND(L150="",M150=""),"-",IF(M150="",12,DATEDIF(L150,M150,"M")+1))</f>
        <v>12</v>
      </c>
      <c r="O150" s="177">
        <f t="shared" ref="O150:Z166" si="271">IF(AND($L150&lt;=O$3,O$3&lt;=$M150),$K150/$N150,0)</f>
        <v>0</v>
      </c>
      <c r="P150" s="177">
        <f t="shared" si="271"/>
        <v>0</v>
      </c>
      <c r="Q150" s="177">
        <f t="shared" si="271"/>
        <v>0</v>
      </c>
      <c r="R150" s="177">
        <f t="shared" si="271"/>
        <v>0</v>
      </c>
      <c r="S150" s="177">
        <f t="shared" si="271"/>
        <v>0</v>
      </c>
      <c r="T150" s="177">
        <f t="shared" si="271"/>
        <v>0</v>
      </c>
      <c r="U150" s="177">
        <f t="shared" si="271"/>
        <v>0</v>
      </c>
      <c r="V150" s="177">
        <f t="shared" si="271"/>
        <v>0</v>
      </c>
      <c r="W150" s="177">
        <f t="shared" si="271"/>
        <v>0</v>
      </c>
      <c r="X150" s="177">
        <f t="shared" si="271"/>
        <v>0</v>
      </c>
      <c r="Y150" s="177">
        <f t="shared" si="271"/>
        <v>0</v>
      </c>
      <c r="Z150" s="177">
        <f t="shared" si="271"/>
        <v>0</v>
      </c>
      <c r="AA150" s="178">
        <f>SUM(O150:Z150)</f>
        <v>0</v>
      </c>
      <c r="AB150" s="173" t="s">
        <v>2046</v>
      </c>
      <c r="AC150" s="77"/>
      <c r="AD150" s="175">
        <v>46023</v>
      </c>
      <c r="AE150" s="175">
        <v>46387</v>
      </c>
      <c r="AF150" s="176">
        <f t="shared" ref="AF150:AF169" si="272">IF(AND(AD150="",AE150=""),"-",IF(AE150="",12,DATEDIF(AD150,AE150,"M")+1))</f>
        <v>12</v>
      </c>
      <c r="AG150" s="177">
        <f t="shared" ref="AG150:AR150" si="273">IF(AND($AD150&lt;=AG$3,AG$3&lt;=$AE150),$AC150/$AF150,0)</f>
        <v>0</v>
      </c>
      <c r="AH150" s="177">
        <f t="shared" si="273"/>
        <v>0</v>
      </c>
      <c r="AI150" s="177">
        <f t="shared" si="273"/>
        <v>0</v>
      </c>
      <c r="AJ150" s="177">
        <f t="shared" si="273"/>
        <v>0</v>
      </c>
      <c r="AK150" s="177">
        <f t="shared" si="273"/>
        <v>0</v>
      </c>
      <c r="AL150" s="177">
        <f t="shared" si="273"/>
        <v>0</v>
      </c>
      <c r="AM150" s="177">
        <f t="shared" si="273"/>
        <v>0</v>
      </c>
      <c r="AN150" s="177">
        <f t="shared" si="273"/>
        <v>0</v>
      </c>
      <c r="AO150" s="177">
        <f t="shared" si="273"/>
        <v>0</v>
      </c>
      <c r="AP150" s="177">
        <f t="shared" si="273"/>
        <v>0</v>
      </c>
      <c r="AQ150" s="177">
        <f t="shared" si="273"/>
        <v>0</v>
      </c>
      <c r="AR150" s="177">
        <f t="shared" si="273"/>
        <v>0</v>
      </c>
      <c r="AS150" s="178">
        <f t="shared" ref="AS150:AS169" si="274">SUM(AG150:AR150)</f>
        <v>0</v>
      </c>
      <c r="AU150" s="177">
        <f t="shared" ref="AU150:AU169" si="275">AG150*(1+$AU$1)</f>
        <v>0</v>
      </c>
      <c r="AV150" s="177">
        <f t="shared" ref="AV150:AV169" si="276">AH150*(1+$AU$1)</f>
        <v>0</v>
      </c>
      <c r="AW150" s="177">
        <f t="shared" ref="AW150:AW169" si="277">AI150*(1+$AU$1)</f>
        <v>0</v>
      </c>
      <c r="AX150" s="177">
        <f t="shared" ref="AX150:AX169" si="278">AJ150*(1+$AU$1)</f>
        <v>0</v>
      </c>
      <c r="AY150" s="177">
        <f t="shared" ref="AY150:AY169" si="279">AK150*(1+$AU$1)</f>
        <v>0</v>
      </c>
      <c r="AZ150" s="177">
        <f t="shared" ref="AZ150:AZ169" si="280">AL150*(1+$AU$1)</f>
        <v>0</v>
      </c>
      <c r="BA150" s="177">
        <f t="shared" ref="BA150:BA169" si="281">AM150*(1+$AU$1)</f>
        <v>0</v>
      </c>
      <c r="BB150" s="177">
        <f t="shared" ref="BB150:BB169" si="282">AN150*(1+$AU$1)</f>
        <v>0</v>
      </c>
      <c r="BC150" s="177">
        <f t="shared" ref="BC150:BC169" si="283">AO150*(1+$AU$1)</f>
        <v>0</v>
      </c>
      <c r="BD150" s="177">
        <f t="shared" ref="BD150:BD169" si="284">AP150*(1+$AU$1)</f>
        <v>0</v>
      </c>
      <c r="BE150" s="177">
        <f t="shared" ref="BE150:BE169" si="285">AQ150*(1+$AU$1)</f>
        <v>0</v>
      </c>
      <c r="BF150" s="177">
        <f t="shared" ref="BF150:BF169" si="286">AR150*(1+$AU$1)</f>
        <v>0</v>
      </c>
      <c r="BG150" s="178">
        <f t="shared" ref="BG150:BG169" si="287">SUM(AU150:BF150)</f>
        <v>0</v>
      </c>
    </row>
    <row r="151" spans="1:59" ht="13.5" customHeight="1">
      <c r="A151" s="171">
        <f t="shared" ref="A151:A169" si="288">IF(A150&lt;=0,FALSE,A150+1)</f>
        <v>2</v>
      </c>
      <c r="B151" s="171" t="s">
        <v>2946</v>
      </c>
      <c r="C151" s="171" t="s">
        <v>1844</v>
      </c>
      <c r="D151" s="171" t="str">
        <f t="shared" ref="D151:D169" si="289">$D7</f>
        <v>支付的其他与经营活动有关的现金（其他）</v>
      </c>
      <c r="E151" s="171"/>
      <c r="F151" s="172" t="str">
        <f>IF(F7="","",F7)</f>
        <v>Business registration fees</v>
      </c>
      <c r="G151" s="172"/>
      <c r="H151" s="77" t="s">
        <v>2613</v>
      </c>
      <c r="I151" s="173" t="s">
        <v>2614</v>
      </c>
      <c r="J151" s="173" t="s">
        <v>2046</v>
      </c>
      <c r="K151" s="77"/>
      <c r="L151" s="175">
        <v>45658</v>
      </c>
      <c r="M151" s="175">
        <v>45688</v>
      </c>
      <c r="N151" s="176">
        <f t="shared" ref="N151:N165" si="290">IF(AND(L151="",M151=""),"-",IF(M151="",12,DATEDIF(L151,M151,"M")+1))</f>
        <v>1</v>
      </c>
      <c r="O151" s="177">
        <f t="shared" si="271"/>
        <v>0</v>
      </c>
      <c r="P151" s="177">
        <f t="shared" si="271"/>
        <v>0</v>
      </c>
      <c r="Q151" s="177">
        <f t="shared" si="271"/>
        <v>0</v>
      </c>
      <c r="R151" s="177">
        <f t="shared" si="271"/>
        <v>0</v>
      </c>
      <c r="S151" s="177">
        <f t="shared" si="271"/>
        <v>0</v>
      </c>
      <c r="T151" s="177">
        <f t="shared" si="271"/>
        <v>0</v>
      </c>
      <c r="U151" s="177">
        <f t="shared" si="271"/>
        <v>0</v>
      </c>
      <c r="V151" s="177">
        <f t="shared" si="271"/>
        <v>0</v>
      </c>
      <c r="W151" s="177">
        <f t="shared" si="271"/>
        <v>0</v>
      </c>
      <c r="X151" s="177">
        <f t="shared" si="271"/>
        <v>0</v>
      </c>
      <c r="Y151" s="177">
        <f t="shared" si="271"/>
        <v>0</v>
      </c>
      <c r="Z151" s="177">
        <f t="shared" si="271"/>
        <v>0</v>
      </c>
      <c r="AA151" s="178">
        <f t="shared" ref="AA151:AA165" si="291">SUM(O151:Z151)</f>
        <v>0</v>
      </c>
      <c r="AB151" s="173" t="s">
        <v>2046</v>
      </c>
      <c r="AC151" s="77"/>
      <c r="AD151" s="175">
        <v>46357</v>
      </c>
      <c r="AE151" s="175">
        <v>46387</v>
      </c>
      <c r="AF151" s="176">
        <f t="shared" si="272"/>
        <v>1</v>
      </c>
      <c r="AG151" s="177">
        <f t="shared" ref="AG151:AR151" si="292">IF(AND($AD151&lt;=AG$3,AG$3&lt;=$AE151),$AC151/$AF151,0)</f>
        <v>0</v>
      </c>
      <c r="AH151" s="177">
        <f t="shared" si="292"/>
        <v>0</v>
      </c>
      <c r="AI151" s="177">
        <f t="shared" si="292"/>
        <v>0</v>
      </c>
      <c r="AJ151" s="177">
        <f t="shared" si="292"/>
        <v>0</v>
      </c>
      <c r="AK151" s="177">
        <f t="shared" si="292"/>
        <v>0</v>
      </c>
      <c r="AL151" s="177">
        <f t="shared" si="292"/>
        <v>0</v>
      </c>
      <c r="AM151" s="177">
        <f t="shared" si="292"/>
        <v>0</v>
      </c>
      <c r="AN151" s="177">
        <f t="shared" si="292"/>
        <v>0</v>
      </c>
      <c r="AO151" s="177">
        <f t="shared" si="292"/>
        <v>0</v>
      </c>
      <c r="AP151" s="177">
        <f t="shared" si="292"/>
        <v>0</v>
      </c>
      <c r="AQ151" s="177">
        <f t="shared" si="292"/>
        <v>0</v>
      </c>
      <c r="AR151" s="177">
        <f t="shared" si="292"/>
        <v>0</v>
      </c>
      <c r="AS151" s="178">
        <f t="shared" si="274"/>
        <v>0</v>
      </c>
      <c r="AU151" s="177">
        <f t="shared" si="275"/>
        <v>0</v>
      </c>
      <c r="AV151" s="177">
        <f t="shared" si="276"/>
        <v>0</v>
      </c>
      <c r="AW151" s="177">
        <f t="shared" si="277"/>
        <v>0</v>
      </c>
      <c r="AX151" s="177">
        <f t="shared" si="278"/>
        <v>0</v>
      </c>
      <c r="AY151" s="177">
        <f t="shared" si="279"/>
        <v>0</v>
      </c>
      <c r="AZ151" s="177">
        <f t="shared" si="280"/>
        <v>0</v>
      </c>
      <c r="BA151" s="177">
        <f t="shared" si="281"/>
        <v>0</v>
      </c>
      <c r="BB151" s="177">
        <f t="shared" si="282"/>
        <v>0</v>
      </c>
      <c r="BC151" s="177">
        <f t="shared" si="283"/>
        <v>0</v>
      </c>
      <c r="BD151" s="177">
        <f t="shared" si="284"/>
        <v>0</v>
      </c>
      <c r="BE151" s="177">
        <f t="shared" si="285"/>
        <v>0</v>
      </c>
      <c r="BF151" s="177">
        <f t="shared" si="286"/>
        <v>0</v>
      </c>
      <c r="BG151" s="178">
        <f t="shared" si="287"/>
        <v>0</v>
      </c>
    </row>
    <row r="152" spans="1:59" ht="13.5" customHeight="1">
      <c r="A152" s="171">
        <f t="shared" si="288"/>
        <v>3</v>
      </c>
      <c r="B152" s="171" t="s">
        <v>2946</v>
      </c>
      <c r="C152" s="171" t="s">
        <v>1918</v>
      </c>
      <c r="D152" s="171" t="str">
        <f t="shared" si="289"/>
        <v>支付的其他与经营活动有关的现金（其他）</v>
      </c>
      <c r="E152" s="171"/>
      <c r="F152" s="172" t="str">
        <f>IF(F8="","",F8)</f>
        <v>Bank Handling Charges</v>
      </c>
      <c r="G152" s="172"/>
      <c r="H152" s="77" t="s">
        <v>2613</v>
      </c>
      <c r="I152" s="173" t="s">
        <v>2614</v>
      </c>
      <c r="J152" s="173" t="s">
        <v>2046</v>
      </c>
      <c r="K152" s="183">
        <v>500</v>
      </c>
      <c r="L152" s="188">
        <v>45809</v>
      </c>
      <c r="M152" s="188">
        <v>46022</v>
      </c>
      <c r="N152" s="176">
        <f t="shared" si="290"/>
        <v>7</v>
      </c>
      <c r="O152" s="177">
        <f t="shared" si="271"/>
        <v>0</v>
      </c>
      <c r="P152" s="177">
        <f t="shared" si="271"/>
        <v>0</v>
      </c>
      <c r="Q152" s="177">
        <f t="shared" si="271"/>
        <v>0</v>
      </c>
      <c r="R152" s="177">
        <f t="shared" si="271"/>
        <v>0</v>
      </c>
      <c r="S152" s="177">
        <f t="shared" si="271"/>
        <v>0</v>
      </c>
      <c r="T152" s="177">
        <f t="shared" si="271"/>
        <v>71.428571428571431</v>
      </c>
      <c r="U152" s="177">
        <f t="shared" si="271"/>
        <v>71.428571428571431</v>
      </c>
      <c r="V152" s="177">
        <f t="shared" si="271"/>
        <v>71.428571428571431</v>
      </c>
      <c r="W152" s="177">
        <f t="shared" si="271"/>
        <v>71.428571428571431</v>
      </c>
      <c r="X152" s="177">
        <f t="shared" si="271"/>
        <v>71.428571428571431</v>
      </c>
      <c r="Y152" s="177">
        <f t="shared" si="271"/>
        <v>71.428571428571431</v>
      </c>
      <c r="Z152" s="177">
        <f t="shared" si="271"/>
        <v>71.428571428571431</v>
      </c>
      <c r="AA152" s="178">
        <f t="shared" si="291"/>
        <v>500.00000000000006</v>
      </c>
      <c r="AB152" s="173" t="s">
        <v>2046</v>
      </c>
      <c r="AC152" s="184"/>
      <c r="AD152" s="175">
        <v>46023</v>
      </c>
      <c r="AE152" s="175">
        <v>46387</v>
      </c>
      <c r="AF152" s="176">
        <f t="shared" si="272"/>
        <v>12</v>
      </c>
      <c r="AG152" s="177">
        <f t="shared" ref="AG152:AR152" si="293">IF(AND($AD152&lt;=AG$3,AG$3&lt;=$AE152),$AC152/$AF152,0)</f>
        <v>0</v>
      </c>
      <c r="AH152" s="177">
        <f t="shared" si="293"/>
        <v>0</v>
      </c>
      <c r="AI152" s="177">
        <f t="shared" si="293"/>
        <v>0</v>
      </c>
      <c r="AJ152" s="177">
        <f t="shared" si="293"/>
        <v>0</v>
      </c>
      <c r="AK152" s="177">
        <f t="shared" si="293"/>
        <v>0</v>
      </c>
      <c r="AL152" s="177">
        <f t="shared" si="293"/>
        <v>0</v>
      </c>
      <c r="AM152" s="177">
        <f t="shared" si="293"/>
        <v>0</v>
      </c>
      <c r="AN152" s="177">
        <f t="shared" si="293"/>
        <v>0</v>
      </c>
      <c r="AO152" s="177">
        <f t="shared" si="293"/>
        <v>0</v>
      </c>
      <c r="AP152" s="177">
        <f t="shared" si="293"/>
        <v>0</v>
      </c>
      <c r="AQ152" s="177">
        <f t="shared" si="293"/>
        <v>0</v>
      </c>
      <c r="AR152" s="177">
        <f t="shared" si="293"/>
        <v>0</v>
      </c>
      <c r="AS152" s="178">
        <f t="shared" si="274"/>
        <v>0</v>
      </c>
      <c r="AU152" s="177">
        <f t="shared" si="275"/>
        <v>0</v>
      </c>
      <c r="AV152" s="177">
        <f t="shared" si="276"/>
        <v>0</v>
      </c>
      <c r="AW152" s="177">
        <f t="shared" si="277"/>
        <v>0</v>
      </c>
      <c r="AX152" s="177">
        <f t="shared" si="278"/>
        <v>0</v>
      </c>
      <c r="AY152" s="177">
        <f t="shared" si="279"/>
        <v>0</v>
      </c>
      <c r="AZ152" s="177">
        <f t="shared" si="280"/>
        <v>0</v>
      </c>
      <c r="BA152" s="177">
        <f t="shared" si="281"/>
        <v>0</v>
      </c>
      <c r="BB152" s="177">
        <f t="shared" si="282"/>
        <v>0</v>
      </c>
      <c r="BC152" s="177">
        <f t="shared" si="283"/>
        <v>0</v>
      </c>
      <c r="BD152" s="177">
        <f t="shared" si="284"/>
        <v>0</v>
      </c>
      <c r="BE152" s="177">
        <f t="shared" si="285"/>
        <v>0</v>
      </c>
      <c r="BF152" s="177">
        <f t="shared" si="286"/>
        <v>0</v>
      </c>
      <c r="BG152" s="178">
        <f t="shared" si="287"/>
        <v>0</v>
      </c>
    </row>
    <row r="153" spans="1:59" ht="13.5" customHeight="1">
      <c r="A153" s="171">
        <f t="shared" si="288"/>
        <v>4</v>
      </c>
      <c r="B153" s="171" t="s">
        <v>2946</v>
      </c>
      <c r="C153" s="171" t="s">
        <v>1657</v>
      </c>
      <c r="D153" s="171" t="str">
        <f t="shared" si="289"/>
        <v>支付的其他与经营活动有关的现金（其他）</v>
      </c>
      <c r="E153" s="171"/>
      <c r="F153" s="172" t="str">
        <f>IF(F9="","",F9)</f>
        <v>Postage / Freight / Delivery</v>
      </c>
      <c r="G153" s="172"/>
      <c r="H153" s="77" t="s">
        <v>2613</v>
      </c>
      <c r="I153" s="173" t="s">
        <v>2614</v>
      </c>
      <c r="J153" s="173" t="s">
        <v>2046</v>
      </c>
      <c r="K153" s="77"/>
      <c r="L153" s="175">
        <v>45658</v>
      </c>
      <c r="M153" s="175">
        <v>46022</v>
      </c>
      <c r="N153" s="176">
        <f t="shared" si="290"/>
        <v>12</v>
      </c>
      <c r="O153" s="177">
        <f t="shared" si="271"/>
        <v>0</v>
      </c>
      <c r="P153" s="177">
        <f t="shared" si="271"/>
        <v>0</v>
      </c>
      <c r="Q153" s="177">
        <f t="shared" si="271"/>
        <v>0</v>
      </c>
      <c r="R153" s="177">
        <f t="shared" si="271"/>
        <v>0</v>
      </c>
      <c r="S153" s="177">
        <f t="shared" si="271"/>
        <v>0</v>
      </c>
      <c r="T153" s="177">
        <f t="shared" si="271"/>
        <v>0</v>
      </c>
      <c r="U153" s="177">
        <f t="shared" si="271"/>
        <v>0</v>
      </c>
      <c r="V153" s="177">
        <f t="shared" si="271"/>
        <v>0</v>
      </c>
      <c r="W153" s="177">
        <f t="shared" si="271"/>
        <v>0</v>
      </c>
      <c r="X153" s="177">
        <f t="shared" si="271"/>
        <v>0</v>
      </c>
      <c r="Y153" s="177">
        <f t="shared" si="271"/>
        <v>0</v>
      </c>
      <c r="Z153" s="177">
        <f t="shared" si="271"/>
        <v>0</v>
      </c>
      <c r="AA153" s="178">
        <f t="shared" si="291"/>
        <v>0</v>
      </c>
      <c r="AB153" s="173" t="s">
        <v>2046</v>
      </c>
      <c r="AC153" s="77"/>
      <c r="AD153" s="175">
        <v>46023</v>
      </c>
      <c r="AE153" s="175">
        <v>46387</v>
      </c>
      <c r="AF153" s="176">
        <f t="shared" si="272"/>
        <v>12</v>
      </c>
      <c r="AG153" s="177">
        <f t="shared" ref="AG153:AR153" si="294">IF(AND($AD153&lt;=AG$3,AG$3&lt;=$AE153),$AC153/$AF153,0)</f>
        <v>0</v>
      </c>
      <c r="AH153" s="177">
        <f t="shared" si="294"/>
        <v>0</v>
      </c>
      <c r="AI153" s="177">
        <f t="shared" si="294"/>
        <v>0</v>
      </c>
      <c r="AJ153" s="177">
        <f t="shared" si="294"/>
        <v>0</v>
      </c>
      <c r="AK153" s="177">
        <f t="shared" si="294"/>
        <v>0</v>
      </c>
      <c r="AL153" s="177">
        <f t="shared" si="294"/>
        <v>0</v>
      </c>
      <c r="AM153" s="177">
        <f t="shared" si="294"/>
        <v>0</v>
      </c>
      <c r="AN153" s="177">
        <f t="shared" si="294"/>
        <v>0</v>
      </c>
      <c r="AO153" s="177">
        <f t="shared" si="294"/>
        <v>0</v>
      </c>
      <c r="AP153" s="177">
        <f t="shared" si="294"/>
        <v>0</v>
      </c>
      <c r="AQ153" s="177">
        <f t="shared" si="294"/>
        <v>0</v>
      </c>
      <c r="AR153" s="177">
        <f t="shared" si="294"/>
        <v>0</v>
      </c>
      <c r="AS153" s="178">
        <f t="shared" si="274"/>
        <v>0</v>
      </c>
      <c r="AU153" s="177">
        <f t="shared" si="275"/>
        <v>0</v>
      </c>
      <c r="AV153" s="177">
        <f t="shared" si="276"/>
        <v>0</v>
      </c>
      <c r="AW153" s="177">
        <f t="shared" si="277"/>
        <v>0</v>
      </c>
      <c r="AX153" s="177">
        <f t="shared" si="278"/>
        <v>0</v>
      </c>
      <c r="AY153" s="177">
        <f t="shared" si="279"/>
        <v>0</v>
      </c>
      <c r="AZ153" s="177">
        <f t="shared" si="280"/>
        <v>0</v>
      </c>
      <c r="BA153" s="177">
        <f t="shared" si="281"/>
        <v>0</v>
      </c>
      <c r="BB153" s="177">
        <f t="shared" si="282"/>
        <v>0</v>
      </c>
      <c r="BC153" s="177">
        <f t="shared" si="283"/>
        <v>0</v>
      </c>
      <c r="BD153" s="177">
        <f t="shared" si="284"/>
        <v>0</v>
      </c>
      <c r="BE153" s="177">
        <f t="shared" si="285"/>
        <v>0</v>
      </c>
      <c r="BF153" s="177">
        <f t="shared" si="286"/>
        <v>0</v>
      </c>
      <c r="BG153" s="178">
        <f t="shared" si="287"/>
        <v>0</v>
      </c>
    </row>
    <row r="154" spans="1:59" ht="13.5" customHeight="1">
      <c r="A154" s="171">
        <f t="shared" si="288"/>
        <v>5</v>
      </c>
      <c r="B154" s="171" t="s">
        <v>2946</v>
      </c>
      <c r="C154" s="171" t="s">
        <v>1862</v>
      </c>
      <c r="D154" s="171" t="str">
        <f t="shared" si="289"/>
        <v>支付的其他与经营活动有关的现金（其他）</v>
      </c>
      <c r="E154" s="171"/>
      <c r="F154" s="172" t="str">
        <f>IF(F10="","",F10)</f>
        <v>Corp. Membership Fee</v>
      </c>
      <c r="G154" s="172"/>
      <c r="H154" s="77" t="s">
        <v>2613</v>
      </c>
      <c r="I154" s="173" t="s">
        <v>2614</v>
      </c>
      <c r="J154" s="173" t="s">
        <v>2046</v>
      </c>
      <c r="K154" s="77"/>
      <c r="L154" s="175">
        <v>45901</v>
      </c>
      <c r="M154" s="175">
        <v>45960</v>
      </c>
      <c r="N154" s="176">
        <f t="shared" si="290"/>
        <v>2</v>
      </c>
      <c r="O154" s="177">
        <f t="shared" si="271"/>
        <v>0</v>
      </c>
      <c r="P154" s="177">
        <f t="shared" si="271"/>
        <v>0</v>
      </c>
      <c r="Q154" s="177">
        <f t="shared" si="271"/>
        <v>0</v>
      </c>
      <c r="R154" s="177">
        <f t="shared" si="271"/>
        <v>0</v>
      </c>
      <c r="S154" s="177">
        <f t="shared" si="271"/>
        <v>0</v>
      </c>
      <c r="T154" s="177">
        <f t="shared" si="271"/>
        <v>0</v>
      </c>
      <c r="U154" s="177">
        <f t="shared" si="271"/>
        <v>0</v>
      </c>
      <c r="V154" s="177">
        <f t="shared" si="271"/>
        <v>0</v>
      </c>
      <c r="W154" s="177">
        <f t="shared" si="271"/>
        <v>0</v>
      </c>
      <c r="X154" s="177">
        <f t="shared" si="271"/>
        <v>0</v>
      </c>
      <c r="Y154" s="177">
        <f t="shared" si="271"/>
        <v>0</v>
      </c>
      <c r="Z154" s="177">
        <f t="shared" si="271"/>
        <v>0</v>
      </c>
      <c r="AA154" s="178">
        <f t="shared" si="291"/>
        <v>0</v>
      </c>
      <c r="AB154" s="173" t="s">
        <v>2046</v>
      </c>
      <c r="AC154" s="77"/>
      <c r="AD154" s="175">
        <v>46266</v>
      </c>
      <c r="AE154" s="175">
        <v>46325</v>
      </c>
      <c r="AF154" s="176">
        <f t="shared" si="272"/>
        <v>2</v>
      </c>
      <c r="AG154" s="177">
        <f t="shared" ref="AG154:AR154" si="295">IF(AND($AD154&lt;=AG$3,AG$3&lt;=$AE154),$AC154/$AF154,0)</f>
        <v>0</v>
      </c>
      <c r="AH154" s="177">
        <f t="shared" si="295"/>
        <v>0</v>
      </c>
      <c r="AI154" s="177">
        <f t="shared" si="295"/>
        <v>0</v>
      </c>
      <c r="AJ154" s="177">
        <f t="shared" si="295"/>
        <v>0</v>
      </c>
      <c r="AK154" s="177">
        <f t="shared" si="295"/>
        <v>0</v>
      </c>
      <c r="AL154" s="177">
        <f t="shared" si="295"/>
        <v>0</v>
      </c>
      <c r="AM154" s="177">
        <f t="shared" si="295"/>
        <v>0</v>
      </c>
      <c r="AN154" s="177">
        <f t="shared" si="295"/>
        <v>0</v>
      </c>
      <c r="AO154" s="177">
        <f t="shared" si="295"/>
        <v>0</v>
      </c>
      <c r="AP154" s="177">
        <f t="shared" si="295"/>
        <v>0</v>
      </c>
      <c r="AQ154" s="177">
        <f t="shared" si="295"/>
        <v>0</v>
      </c>
      <c r="AR154" s="177">
        <f t="shared" si="295"/>
        <v>0</v>
      </c>
      <c r="AS154" s="178">
        <f t="shared" si="274"/>
        <v>0</v>
      </c>
      <c r="AU154" s="177">
        <f t="shared" si="275"/>
        <v>0</v>
      </c>
      <c r="AV154" s="177">
        <f t="shared" si="276"/>
        <v>0</v>
      </c>
      <c r="AW154" s="177">
        <f t="shared" si="277"/>
        <v>0</v>
      </c>
      <c r="AX154" s="177">
        <f t="shared" si="278"/>
        <v>0</v>
      </c>
      <c r="AY154" s="177">
        <f t="shared" si="279"/>
        <v>0</v>
      </c>
      <c r="AZ154" s="177">
        <f t="shared" si="280"/>
        <v>0</v>
      </c>
      <c r="BA154" s="177">
        <f t="shared" si="281"/>
        <v>0</v>
      </c>
      <c r="BB154" s="177">
        <f t="shared" si="282"/>
        <v>0</v>
      </c>
      <c r="BC154" s="177">
        <f t="shared" si="283"/>
        <v>0</v>
      </c>
      <c r="BD154" s="177">
        <f t="shared" si="284"/>
        <v>0</v>
      </c>
      <c r="BE154" s="177">
        <f t="shared" si="285"/>
        <v>0</v>
      </c>
      <c r="BF154" s="177">
        <f t="shared" si="286"/>
        <v>0</v>
      </c>
      <c r="BG154" s="178">
        <f t="shared" si="287"/>
        <v>0</v>
      </c>
    </row>
    <row r="155" spans="1:59" ht="13.5" customHeight="1">
      <c r="A155" s="171">
        <f t="shared" si="288"/>
        <v>6</v>
      </c>
      <c r="B155" s="171" t="s">
        <v>2946</v>
      </c>
      <c r="C155" s="171" t="s">
        <v>1676</v>
      </c>
      <c r="D155" s="171" t="str">
        <f t="shared" si="289"/>
        <v>支付的其他与经营活动有关的现金（其他）</v>
      </c>
      <c r="E155" s="171"/>
      <c r="F155" s="172" t="s">
        <v>1679</v>
      </c>
      <c r="G155" s="172"/>
      <c r="H155" s="77" t="s">
        <v>2613</v>
      </c>
      <c r="I155" s="173" t="s">
        <v>2614</v>
      </c>
      <c r="J155" s="173" t="s">
        <v>2046</v>
      </c>
      <c r="K155" s="77"/>
      <c r="L155" s="175">
        <v>45658</v>
      </c>
      <c r="M155" s="175">
        <v>46022</v>
      </c>
      <c r="N155" s="176">
        <f t="shared" si="290"/>
        <v>12</v>
      </c>
      <c r="O155" s="177">
        <f t="shared" si="271"/>
        <v>0</v>
      </c>
      <c r="P155" s="177">
        <f t="shared" si="271"/>
        <v>0</v>
      </c>
      <c r="Q155" s="177">
        <f t="shared" si="271"/>
        <v>0</v>
      </c>
      <c r="R155" s="177">
        <f t="shared" si="271"/>
        <v>0</v>
      </c>
      <c r="S155" s="177">
        <f t="shared" si="271"/>
        <v>0</v>
      </c>
      <c r="T155" s="177">
        <f t="shared" si="271"/>
        <v>0</v>
      </c>
      <c r="U155" s="177">
        <f t="shared" si="271"/>
        <v>0</v>
      </c>
      <c r="V155" s="177">
        <f t="shared" si="271"/>
        <v>0</v>
      </c>
      <c r="W155" s="177">
        <f t="shared" si="271"/>
        <v>0</v>
      </c>
      <c r="X155" s="177">
        <f t="shared" si="271"/>
        <v>0</v>
      </c>
      <c r="Y155" s="177">
        <f t="shared" si="271"/>
        <v>0</v>
      </c>
      <c r="Z155" s="177">
        <f t="shared" si="271"/>
        <v>0</v>
      </c>
      <c r="AA155" s="178">
        <f t="shared" si="291"/>
        <v>0</v>
      </c>
      <c r="AB155" s="173" t="s">
        <v>2046</v>
      </c>
      <c r="AC155" s="77"/>
      <c r="AD155" s="175">
        <v>46023</v>
      </c>
      <c r="AE155" s="175">
        <v>46387</v>
      </c>
      <c r="AF155" s="176">
        <f t="shared" si="272"/>
        <v>12</v>
      </c>
      <c r="AG155" s="177">
        <f t="shared" ref="AG155:AR155" si="296">IF(AND($AD155&lt;=AG$3,AG$3&lt;=$AE155),$AC155/$AF155,0)</f>
        <v>0</v>
      </c>
      <c r="AH155" s="177">
        <f t="shared" si="296"/>
        <v>0</v>
      </c>
      <c r="AI155" s="177">
        <f t="shared" si="296"/>
        <v>0</v>
      </c>
      <c r="AJ155" s="177">
        <f t="shared" si="296"/>
        <v>0</v>
      </c>
      <c r="AK155" s="177">
        <f t="shared" si="296"/>
        <v>0</v>
      </c>
      <c r="AL155" s="177">
        <f t="shared" si="296"/>
        <v>0</v>
      </c>
      <c r="AM155" s="177">
        <f t="shared" si="296"/>
        <v>0</v>
      </c>
      <c r="AN155" s="177">
        <f t="shared" si="296"/>
        <v>0</v>
      </c>
      <c r="AO155" s="177">
        <f t="shared" si="296"/>
        <v>0</v>
      </c>
      <c r="AP155" s="177">
        <f t="shared" si="296"/>
        <v>0</v>
      </c>
      <c r="AQ155" s="177">
        <f t="shared" si="296"/>
        <v>0</v>
      </c>
      <c r="AR155" s="177">
        <f t="shared" si="296"/>
        <v>0</v>
      </c>
      <c r="AS155" s="178">
        <f t="shared" si="274"/>
        <v>0</v>
      </c>
      <c r="AU155" s="177">
        <f t="shared" si="275"/>
        <v>0</v>
      </c>
      <c r="AV155" s="177">
        <f t="shared" si="276"/>
        <v>0</v>
      </c>
      <c r="AW155" s="177">
        <f t="shared" si="277"/>
        <v>0</v>
      </c>
      <c r="AX155" s="177">
        <f t="shared" si="278"/>
        <v>0</v>
      </c>
      <c r="AY155" s="177">
        <f t="shared" si="279"/>
        <v>0</v>
      </c>
      <c r="AZ155" s="177">
        <f t="shared" si="280"/>
        <v>0</v>
      </c>
      <c r="BA155" s="177">
        <f t="shared" si="281"/>
        <v>0</v>
      </c>
      <c r="BB155" s="177">
        <f t="shared" si="282"/>
        <v>0</v>
      </c>
      <c r="BC155" s="177">
        <f t="shared" si="283"/>
        <v>0</v>
      </c>
      <c r="BD155" s="177">
        <f t="shared" si="284"/>
        <v>0</v>
      </c>
      <c r="BE155" s="177">
        <f t="shared" si="285"/>
        <v>0</v>
      </c>
      <c r="BF155" s="177">
        <f t="shared" si="286"/>
        <v>0</v>
      </c>
      <c r="BG155" s="178">
        <f t="shared" si="287"/>
        <v>0</v>
      </c>
    </row>
    <row r="156" spans="1:59" ht="13.5" customHeight="1">
      <c r="A156" s="171">
        <f t="shared" si="288"/>
        <v>7</v>
      </c>
      <c r="B156" s="171" t="s">
        <v>2946</v>
      </c>
      <c r="C156" s="171" t="s">
        <v>1684</v>
      </c>
      <c r="D156" s="171" t="str">
        <f t="shared" si="289"/>
        <v>支付的其他与经营活动有关的现金（其他）</v>
      </c>
      <c r="E156" s="171"/>
      <c r="F156" s="172" t="str">
        <f t="shared" ref="F156:F165" si="297">IF(F12="","",F12)</f>
        <v>Water Dispenser Inspection Fee</v>
      </c>
      <c r="G156" s="172"/>
      <c r="H156" s="77" t="s">
        <v>2613</v>
      </c>
      <c r="I156" s="173" t="s">
        <v>2614</v>
      </c>
      <c r="J156" s="173" t="s">
        <v>2046</v>
      </c>
      <c r="K156" s="77"/>
      <c r="L156" s="175">
        <v>45962</v>
      </c>
      <c r="M156" s="175">
        <v>45991</v>
      </c>
      <c r="N156" s="176">
        <f t="shared" si="290"/>
        <v>1</v>
      </c>
      <c r="O156" s="177">
        <f t="shared" si="271"/>
        <v>0</v>
      </c>
      <c r="P156" s="177">
        <f t="shared" si="271"/>
        <v>0</v>
      </c>
      <c r="Q156" s="177">
        <f t="shared" si="271"/>
        <v>0</v>
      </c>
      <c r="R156" s="177">
        <f t="shared" si="271"/>
        <v>0</v>
      </c>
      <c r="S156" s="177">
        <f t="shared" si="271"/>
        <v>0</v>
      </c>
      <c r="T156" s="177">
        <f t="shared" si="271"/>
        <v>0</v>
      </c>
      <c r="U156" s="177">
        <f t="shared" si="271"/>
        <v>0</v>
      </c>
      <c r="V156" s="177">
        <f t="shared" si="271"/>
        <v>0</v>
      </c>
      <c r="W156" s="177">
        <f t="shared" si="271"/>
        <v>0</v>
      </c>
      <c r="X156" s="177">
        <f t="shared" si="271"/>
        <v>0</v>
      </c>
      <c r="Y156" s="177">
        <f t="shared" si="271"/>
        <v>0</v>
      </c>
      <c r="Z156" s="177">
        <f t="shared" si="271"/>
        <v>0</v>
      </c>
      <c r="AA156" s="178">
        <f t="shared" si="291"/>
        <v>0</v>
      </c>
      <c r="AB156" s="173" t="s">
        <v>2046</v>
      </c>
      <c r="AC156" s="77"/>
      <c r="AD156" s="175">
        <v>46327</v>
      </c>
      <c r="AE156" s="175">
        <v>46356</v>
      </c>
      <c r="AF156" s="176">
        <f t="shared" si="272"/>
        <v>1</v>
      </c>
      <c r="AG156" s="177">
        <f t="shared" ref="AG156:AR156" si="298">IF(AND($AD156&lt;=AG$3,AG$3&lt;=$AE156),$AC156/$AF156,0)</f>
        <v>0</v>
      </c>
      <c r="AH156" s="177">
        <f t="shared" si="298"/>
        <v>0</v>
      </c>
      <c r="AI156" s="177">
        <f t="shared" si="298"/>
        <v>0</v>
      </c>
      <c r="AJ156" s="177">
        <f t="shared" si="298"/>
        <v>0</v>
      </c>
      <c r="AK156" s="177">
        <f t="shared" si="298"/>
        <v>0</v>
      </c>
      <c r="AL156" s="177">
        <f t="shared" si="298"/>
        <v>0</v>
      </c>
      <c r="AM156" s="177">
        <f t="shared" si="298"/>
        <v>0</v>
      </c>
      <c r="AN156" s="177">
        <f t="shared" si="298"/>
        <v>0</v>
      </c>
      <c r="AO156" s="177">
        <f t="shared" si="298"/>
        <v>0</v>
      </c>
      <c r="AP156" s="177">
        <f t="shared" si="298"/>
        <v>0</v>
      </c>
      <c r="AQ156" s="177">
        <f t="shared" si="298"/>
        <v>0</v>
      </c>
      <c r="AR156" s="177">
        <f t="shared" si="298"/>
        <v>0</v>
      </c>
      <c r="AS156" s="178">
        <f t="shared" si="274"/>
        <v>0</v>
      </c>
      <c r="AU156" s="177">
        <f t="shared" si="275"/>
        <v>0</v>
      </c>
      <c r="AV156" s="177">
        <f t="shared" si="276"/>
        <v>0</v>
      </c>
      <c r="AW156" s="177">
        <f t="shared" si="277"/>
        <v>0</v>
      </c>
      <c r="AX156" s="177">
        <f t="shared" si="278"/>
        <v>0</v>
      </c>
      <c r="AY156" s="177">
        <f t="shared" si="279"/>
        <v>0</v>
      </c>
      <c r="AZ156" s="177">
        <f t="shared" si="280"/>
        <v>0</v>
      </c>
      <c r="BA156" s="177">
        <f t="shared" si="281"/>
        <v>0</v>
      </c>
      <c r="BB156" s="177">
        <f t="shared" si="282"/>
        <v>0</v>
      </c>
      <c r="BC156" s="177">
        <f t="shared" si="283"/>
        <v>0</v>
      </c>
      <c r="BD156" s="177">
        <f t="shared" si="284"/>
        <v>0</v>
      </c>
      <c r="BE156" s="177">
        <f t="shared" si="285"/>
        <v>0</v>
      </c>
      <c r="BF156" s="177">
        <f t="shared" si="286"/>
        <v>0</v>
      </c>
      <c r="BG156" s="178">
        <f t="shared" si="287"/>
        <v>0</v>
      </c>
    </row>
    <row r="157" spans="1:59" ht="13.5" customHeight="1">
      <c r="A157" s="171">
        <f t="shared" si="288"/>
        <v>8</v>
      </c>
      <c r="B157" s="171" t="s">
        <v>2946</v>
      </c>
      <c r="C157" s="171" t="s">
        <v>1894</v>
      </c>
      <c r="D157" s="171" t="str">
        <f t="shared" si="289"/>
        <v>汇率变动对现金的影响额</v>
      </c>
      <c r="E157" s="171"/>
      <c r="F157" s="172" t="str">
        <f t="shared" si="297"/>
        <v>FX Gain / Loss Net</v>
      </c>
      <c r="G157" s="172"/>
      <c r="H157" s="77" t="s">
        <v>2613</v>
      </c>
      <c r="I157" s="173" t="s">
        <v>2614</v>
      </c>
      <c r="J157" s="173" t="s">
        <v>2046</v>
      </c>
      <c r="K157" s="77"/>
      <c r="L157" s="175">
        <v>45658</v>
      </c>
      <c r="M157" s="175">
        <v>46022</v>
      </c>
      <c r="N157" s="176">
        <f t="shared" si="290"/>
        <v>12</v>
      </c>
      <c r="O157" s="177">
        <f t="shared" si="271"/>
        <v>0</v>
      </c>
      <c r="P157" s="177">
        <f t="shared" si="271"/>
        <v>0</v>
      </c>
      <c r="Q157" s="177">
        <f t="shared" si="271"/>
        <v>0</v>
      </c>
      <c r="R157" s="177">
        <f t="shared" si="271"/>
        <v>0</v>
      </c>
      <c r="S157" s="177">
        <f t="shared" si="271"/>
        <v>0</v>
      </c>
      <c r="T157" s="177">
        <f t="shared" si="271"/>
        <v>0</v>
      </c>
      <c r="U157" s="177">
        <f t="shared" si="271"/>
        <v>0</v>
      </c>
      <c r="V157" s="177">
        <f t="shared" si="271"/>
        <v>0</v>
      </c>
      <c r="W157" s="177">
        <f t="shared" si="271"/>
        <v>0</v>
      </c>
      <c r="X157" s="177">
        <f t="shared" si="271"/>
        <v>0</v>
      </c>
      <c r="Y157" s="177">
        <f t="shared" si="271"/>
        <v>0</v>
      </c>
      <c r="Z157" s="177">
        <f t="shared" si="271"/>
        <v>0</v>
      </c>
      <c r="AA157" s="178">
        <f t="shared" si="291"/>
        <v>0</v>
      </c>
      <c r="AB157" s="173" t="s">
        <v>2046</v>
      </c>
      <c r="AC157" s="77"/>
      <c r="AD157" s="175">
        <v>46023</v>
      </c>
      <c r="AE157" s="175">
        <v>46387</v>
      </c>
      <c r="AF157" s="176">
        <f t="shared" si="272"/>
        <v>12</v>
      </c>
      <c r="AG157" s="177">
        <f t="shared" ref="AG157:AR157" si="299">IF(AND($AD157&lt;=AG$3,AG$3&lt;=$AE157),$AC157/$AF157,0)</f>
        <v>0</v>
      </c>
      <c r="AH157" s="177">
        <f t="shared" si="299"/>
        <v>0</v>
      </c>
      <c r="AI157" s="177">
        <f t="shared" si="299"/>
        <v>0</v>
      </c>
      <c r="AJ157" s="177">
        <f t="shared" si="299"/>
        <v>0</v>
      </c>
      <c r="AK157" s="177">
        <f t="shared" si="299"/>
        <v>0</v>
      </c>
      <c r="AL157" s="177">
        <f t="shared" si="299"/>
        <v>0</v>
      </c>
      <c r="AM157" s="177">
        <f t="shared" si="299"/>
        <v>0</v>
      </c>
      <c r="AN157" s="177">
        <f t="shared" si="299"/>
        <v>0</v>
      </c>
      <c r="AO157" s="177">
        <f t="shared" si="299"/>
        <v>0</v>
      </c>
      <c r="AP157" s="177">
        <f t="shared" si="299"/>
        <v>0</v>
      </c>
      <c r="AQ157" s="177">
        <f t="shared" si="299"/>
        <v>0</v>
      </c>
      <c r="AR157" s="177">
        <f t="shared" si="299"/>
        <v>0</v>
      </c>
      <c r="AS157" s="178">
        <f t="shared" si="274"/>
        <v>0</v>
      </c>
      <c r="AU157" s="177">
        <f t="shared" si="275"/>
        <v>0</v>
      </c>
      <c r="AV157" s="177">
        <f t="shared" si="276"/>
        <v>0</v>
      </c>
      <c r="AW157" s="177">
        <f t="shared" si="277"/>
        <v>0</v>
      </c>
      <c r="AX157" s="177">
        <f t="shared" si="278"/>
        <v>0</v>
      </c>
      <c r="AY157" s="177">
        <f t="shared" si="279"/>
        <v>0</v>
      </c>
      <c r="AZ157" s="177">
        <f t="shared" si="280"/>
        <v>0</v>
      </c>
      <c r="BA157" s="177">
        <f t="shared" si="281"/>
        <v>0</v>
      </c>
      <c r="BB157" s="177">
        <f t="shared" si="282"/>
        <v>0</v>
      </c>
      <c r="BC157" s="177">
        <f t="shared" si="283"/>
        <v>0</v>
      </c>
      <c r="BD157" s="177">
        <f t="shared" si="284"/>
        <v>0</v>
      </c>
      <c r="BE157" s="177">
        <f t="shared" si="285"/>
        <v>0</v>
      </c>
      <c r="BF157" s="177">
        <f t="shared" si="286"/>
        <v>0</v>
      </c>
      <c r="BG157" s="178">
        <f t="shared" si="287"/>
        <v>0</v>
      </c>
    </row>
    <row r="158" spans="1:59" ht="13.5" customHeight="1">
      <c r="A158" s="171">
        <f t="shared" si="288"/>
        <v>9</v>
      </c>
      <c r="B158" s="171" t="s">
        <v>2946</v>
      </c>
      <c r="C158" s="171" t="s">
        <v>1646</v>
      </c>
      <c r="D158" s="171" t="str">
        <f t="shared" si="289"/>
        <v>支付的其他与经营活动有关的现金（其他）</v>
      </c>
      <c r="E158" s="171"/>
      <c r="F158" s="172" t="str">
        <f t="shared" si="297"/>
        <v>Printing</v>
      </c>
      <c r="G158" s="172"/>
      <c r="H158" s="77" t="s">
        <v>2613</v>
      </c>
      <c r="I158" s="173" t="s">
        <v>2614</v>
      </c>
      <c r="J158" s="173" t="s">
        <v>2046</v>
      </c>
      <c r="K158" s="77"/>
      <c r="L158" s="175">
        <v>45658</v>
      </c>
      <c r="M158" s="175">
        <v>46022</v>
      </c>
      <c r="N158" s="176">
        <f t="shared" si="290"/>
        <v>12</v>
      </c>
      <c r="O158" s="177">
        <f t="shared" si="271"/>
        <v>0</v>
      </c>
      <c r="P158" s="177">
        <f t="shared" si="271"/>
        <v>0</v>
      </c>
      <c r="Q158" s="177">
        <f t="shared" si="271"/>
        <v>0</v>
      </c>
      <c r="R158" s="177">
        <f t="shared" si="271"/>
        <v>0</v>
      </c>
      <c r="S158" s="177">
        <f t="shared" si="271"/>
        <v>0</v>
      </c>
      <c r="T158" s="177">
        <f t="shared" si="271"/>
        <v>0</v>
      </c>
      <c r="U158" s="177">
        <f t="shared" si="271"/>
        <v>0</v>
      </c>
      <c r="V158" s="177">
        <f t="shared" si="271"/>
        <v>0</v>
      </c>
      <c r="W158" s="177">
        <f t="shared" si="271"/>
        <v>0</v>
      </c>
      <c r="X158" s="177">
        <f t="shared" si="271"/>
        <v>0</v>
      </c>
      <c r="Y158" s="177">
        <f t="shared" si="271"/>
        <v>0</v>
      </c>
      <c r="Z158" s="177">
        <f t="shared" si="271"/>
        <v>0</v>
      </c>
      <c r="AA158" s="178">
        <f t="shared" si="291"/>
        <v>0</v>
      </c>
      <c r="AB158" s="173" t="s">
        <v>2046</v>
      </c>
      <c r="AC158" s="77"/>
      <c r="AD158" s="175">
        <v>46023</v>
      </c>
      <c r="AE158" s="175">
        <v>46387</v>
      </c>
      <c r="AF158" s="176">
        <f t="shared" si="272"/>
        <v>12</v>
      </c>
      <c r="AG158" s="177">
        <f t="shared" ref="AG158:AR158" si="300">IF(AND($AD158&lt;=AG$3,AG$3&lt;=$AE158),$AC158/$AF158,0)</f>
        <v>0</v>
      </c>
      <c r="AH158" s="177">
        <f t="shared" si="300"/>
        <v>0</v>
      </c>
      <c r="AI158" s="177">
        <f t="shared" si="300"/>
        <v>0</v>
      </c>
      <c r="AJ158" s="177">
        <f t="shared" si="300"/>
        <v>0</v>
      </c>
      <c r="AK158" s="177">
        <f t="shared" si="300"/>
        <v>0</v>
      </c>
      <c r="AL158" s="177">
        <f t="shared" si="300"/>
        <v>0</v>
      </c>
      <c r="AM158" s="177">
        <f t="shared" si="300"/>
        <v>0</v>
      </c>
      <c r="AN158" s="177">
        <f t="shared" si="300"/>
        <v>0</v>
      </c>
      <c r="AO158" s="177">
        <f t="shared" si="300"/>
        <v>0</v>
      </c>
      <c r="AP158" s="177">
        <f t="shared" si="300"/>
        <v>0</v>
      </c>
      <c r="AQ158" s="177">
        <f t="shared" si="300"/>
        <v>0</v>
      </c>
      <c r="AR158" s="177">
        <f t="shared" si="300"/>
        <v>0</v>
      </c>
      <c r="AS158" s="178">
        <f t="shared" si="274"/>
        <v>0</v>
      </c>
      <c r="AU158" s="177">
        <f t="shared" si="275"/>
        <v>0</v>
      </c>
      <c r="AV158" s="177">
        <f t="shared" si="276"/>
        <v>0</v>
      </c>
      <c r="AW158" s="177">
        <f t="shared" si="277"/>
        <v>0</v>
      </c>
      <c r="AX158" s="177">
        <f t="shared" si="278"/>
        <v>0</v>
      </c>
      <c r="AY158" s="177">
        <f t="shared" si="279"/>
        <v>0</v>
      </c>
      <c r="AZ158" s="177">
        <f t="shared" si="280"/>
        <v>0</v>
      </c>
      <c r="BA158" s="177">
        <f t="shared" si="281"/>
        <v>0</v>
      </c>
      <c r="BB158" s="177">
        <f t="shared" si="282"/>
        <v>0</v>
      </c>
      <c r="BC158" s="177">
        <f t="shared" si="283"/>
        <v>0</v>
      </c>
      <c r="BD158" s="177">
        <f t="shared" si="284"/>
        <v>0</v>
      </c>
      <c r="BE158" s="177">
        <f t="shared" si="285"/>
        <v>0</v>
      </c>
      <c r="BF158" s="177">
        <f t="shared" si="286"/>
        <v>0</v>
      </c>
      <c r="BG158" s="178">
        <f t="shared" si="287"/>
        <v>0</v>
      </c>
    </row>
    <row r="159" spans="1:59" ht="13.5" customHeight="1">
      <c r="A159" s="171">
        <f t="shared" si="288"/>
        <v>10</v>
      </c>
      <c r="B159" s="171" t="s">
        <v>2946</v>
      </c>
      <c r="C159" s="171"/>
      <c r="D159" s="171" t="str">
        <f t="shared" si="289"/>
        <v>购建固定资产、无形资产和其他长期资产支付的现金</v>
      </c>
      <c r="E159" s="171"/>
      <c r="F159" s="172" t="str">
        <f t="shared" si="297"/>
        <v>Purchase Furniture</v>
      </c>
      <c r="G159" s="172"/>
      <c r="H159" s="77" t="s">
        <v>2613</v>
      </c>
      <c r="I159" s="173" t="s">
        <v>2614</v>
      </c>
      <c r="J159" s="173" t="s">
        <v>2046</v>
      </c>
      <c r="K159" s="77"/>
      <c r="L159" s="175">
        <v>45658</v>
      </c>
      <c r="M159" s="175">
        <v>46022</v>
      </c>
      <c r="N159" s="176">
        <f t="shared" si="290"/>
        <v>12</v>
      </c>
      <c r="O159" s="177">
        <f t="shared" si="271"/>
        <v>0</v>
      </c>
      <c r="P159" s="177">
        <f t="shared" si="271"/>
        <v>0</v>
      </c>
      <c r="Q159" s="177">
        <f t="shared" si="271"/>
        <v>0</v>
      </c>
      <c r="R159" s="177">
        <f t="shared" si="271"/>
        <v>0</v>
      </c>
      <c r="S159" s="177">
        <f t="shared" si="271"/>
        <v>0</v>
      </c>
      <c r="T159" s="177">
        <f t="shared" si="271"/>
        <v>0</v>
      </c>
      <c r="U159" s="177">
        <f t="shared" si="271"/>
        <v>0</v>
      </c>
      <c r="V159" s="177">
        <f t="shared" si="271"/>
        <v>0</v>
      </c>
      <c r="W159" s="177">
        <f t="shared" si="271"/>
        <v>0</v>
      </c>
      <c r="X159" s="177">
        <f t="shared" si="271"/>
        <v>0</v>
      </c>
      <c r="Y159" s="177">
        <f t="shared" si="271"/>
        <v>0</v>
      </c>
      <c r="Z159" s="177">
        <f t="shared" si="271"/>
        <v>0</v>
      </c>
      <c r="AA159" s="178">
        <f t="shared" si="291"/>
        <v>0</v>
      </c>
      <c r="AB159" s="173" t="s">
        <v>2046</v>
      </c>
      <c r="AC159" s="77"/>
      <c r="AD159" s="175">
        <v>46023</v>
      </c>
      <c r="AE159" s="175">
        <v>46387</v>
      </c>
      <c r="AF159" s="176">
        <f t="shared" si="272"/>
        <v>12</v>
      </c>
      <c r="AG159" s="177">
        <f t="shared" ref="AG159:AR159" si="301">IF(AND($AD159&lt;=AG$3,AG$3&lt;=$AE159),$AC159/$AF159,0)</f>
        <v>0</v>
      </c>
      <c r="AH159" s="177">
        <f t="shared" si="301"/>
        <v>0</v>
      </c>
      <c r="AI159" s="177">
        <f t="shared" si="301"/>
        <v>0</v>
      </c>
      <c r="AJ159" s="177">
        <f t="shared" si="301"/>
        <v>0</v>
      </c>
      <c r="AK159" s="177">
        <f t="shared" si="301"/>
        <v>0</v>
      </c>
      <c r="AL159" s="177">
        <f t="shared" si="301"/>
        <v>0</v>
      </c>
      <c r="AM159" s="177">
        <f t="shared" si="301"/>
        <v>0</v>
      </c>
      <c r="AN159" s="177">
        <f t="shared" si="301"/>
        <v>0</v>
      </c>
      <c r="AO159" s="177">
        <f t="shared" si="301"/>
        <v>0</v>
      </c>
      <c r="AP159" s="177">
        <f t="shared" si="301"/>
        <v>0</v>
      </c>
      <c r="AQ159" s="177">
        <f t="shared" si="301"/>
        <v>0</v>
      </c>
      <c r="AR159" s="177">
        <f t="shared" si="301"/>
        <v>0</v>
      </c>
      <c r="AS159" s="178">
        <f t="shared" si="274"/>
        <v>0</v>
      </c>
      <c r="AU159" s="177">
        <f t="shared" si="275"/>
        <v>0</v>
      </c>
      <c r="AV159" s="177">
        <f t="shared" si="276"/>
        <v>0</v>
      </c>
      <c r="AW159" s="177">
        <f t="shared" si="277"/>
        <v>0</v>
      </c>
      <c r="AX159" s="177">
        <f t="shared" si="278"/>
        <v>0</v>
      </c>
      <c r="AY159" s="177">
        <f t="shared" si="279"/>
        <v>0</v>
      </c>
      <c r="AZ159" s="177">
        <f t="shared" si="280"/>
        <v>0</v>
      </c>
      <c r="BA159" s="177">
        <f t="shared" si="281"/>
        <v>0</v>
      </c>
      <c r="BB159" s="177">
        <f t="shared" si="282"/>
        <v>0</v>
      </c>
      <c r="BC159" s="177">
        <f t="shared" si="283"/>
        <v>0</v>
      </c>
      <c r="BD159" s="177">
        <f t="shared" si="284"/>
        <v>0</v>
      </c>
      <c r="BE159" s="177">
        <f t="shared" si="285"/>
        <v>0</v>
      </c>
      <c r="BF159" s="177">
        <f t="shared" si="286"/>
        <v>0</v>
      </c>
      <c r="BG159" s="178">
        <f t="shared" si="287"/>
        <v>0</v>
      </c>
    </row>
    <row r="160" spans="1:59" ht="13.5" customHeight="1">
      <c r="A160" s="171">
        <f t="shared" si="288"/>
        <v>11</v>
      </c>
      <c r="B160" s="171" t="s">
        <v>2946</v>
      </c>
      <c r="C160" s="171"/>
      <c r="D160" s="171" t="str">
        <f t="shared" si="289"/>
        <v>购建固定资产、无形资产和其他长期资产支付的现金</v>
      </c>
      <c r="E160" s="171"/>
      <c r="F160" s="172" t="str">
        <f t="shared" si="297"/>
        <v>Purchase Equipment</v>
      </c>
      <c r="G160" s="172"/>
      <c r="H160" s="77" t="s">
        <v>2613</v>
      </c>
      <c r="I160" s="173" t="s">
        <v>2614</v>
      </c>
      <c r="J160" s="173" t="s">
        <v>2046</v>
      </c>
      <c r="K160" s="77"/>
      <c r="L160" s="175">
        <v>45658</v>
      </c>
      <c r="M160" s="175">
        <v>46022</v>
      </c>
      <c r="N160" s="176">
        <f t="shared" si="290"/>
        <v>12</v>
      </c>
      <c r="O160" s="177">
        <f t="shared" si="271"/>
        <v>0</v>
      </c>
      <c r="P160" s="177">
        <f t="shared" si="271"/>
        <v>0</v>
      </c>
      <c r="Q160" s="177">
        <f t="shared" si="271"/>
        <v>0</v>
      </c>
      <c r="R160" s="177">
        <f t="shared" si="271"/>
        <v>0</v>
      </c>
      <c r="S160" s="177">
        <f t="shared" si="271"/>
        <v>0</v>
      </c>
      <c r="T160" s="177">
        <f t="shared" si="271"/>
        <v>0</v>
      </c>
      <c r="U160" s="177">
        <f t="shared" si="271"/>
        <v>0</v>
      </c>
      <c r="V160" s="177">
        <f t="shared" si="271"/>
        <v>0</v>
      </c>
      <c r="W160" s="177">
        <f t="shared" si="271"/>
        <v>0</v>
      </c>
      <c r="X160" s="177">
        <f t="shared" si="271"/>
        <v>0</v>
      </c>
      <c r="Y160" s="177">
        <f t="shared" si="271"/>
        <v>0</v>
      </c>
      <c r="Z160" s="177">
        <f t="shared" si="271"/>
        <v>0</v>
      </c>
      <c r="AA160" s="178">
        <f t="shared" si="291"/>
        <v>0</v>
      </c>
      <c r="AB160" s="173" t="s">
        <v>2046</v>
      </c>
      <c r="AC160" s="77"/>
      <c r="AD160" s="175">
        <v>46023</v>
      </c>
      <c r="AE160" s="175">
        <v>46387</v>
      </c>
      <c r="AF160" s="176">
        <f t="shared" si="272"/>
        <v>12</v>
      </c>
      <c r="AG160" s="177">
        <f t="shared" ref="AG160:AR160" si="302">IF(AND($AD160&lt;=AG$3,AG$3&lt;=$AE160),$AC160/$AF160,0)</f>
        <v>0</v>
      </c>
      <c r="AH160" s="177">
        <f t="shared" si="302"/>
        <v>0</v>
      </c>
      <c r="AI160" s="177">
        <f t="shared" si="302"/>
        <v>0</v>
      </c>
      <c r="AJ160" s="177">
        <f t="shared" si="302"/>
        <v>0</v>
      </c>
      <c r="AK160" s="177">
        <f t="shared" si="302"/>
        <v>0</v>
      </c>
      <c r="AL160" s="177">
        <f t="shared" si="302"/>
        <v>0</v>
      </c>
      <c r="AM160" s="177">
        <f t="shared" si="302"/>
        <v>0</v>
      </c>
      <c r="AN160" s="177">
        <f t="shared" si="302"/>
        <v>0</v>
      </c>
      <c r="AO160" s="177">
        <f t="shared" si="302"/>
        <v>0</v>
      </c>
      <c r="AP160" s="177">
        <f t="shared" si="302"/>
        <v>0</v>
      </c>
      <c r="AQ160" s="177">
        <f t="shared" si="302"/>
        <v>0</v>
      </c>
      <c r="AR160" s="177">
        <f t="shared" si="302"/>
        <v>0</v>
      </c>
      <c r="AS160" s="178">
        <f t="shared" si="274"/>
        <v>0</v>
      </c>
      <c r="AU160" s="177">
        <f t="shared" si="275"/>
        <v>0</v>
      </c>
      <c r="AV160" s="177">
        <f t="shared" si="276"/>
        <v>0</v>
      </c>
      <c r="AW160" s="177">
        <f t="shared" si="277"/>
        <v>0</v>
      </c>
      <c r="AX160" s="177">
        <f t="shared" si="278"/>
        <v>0</v>
      </c>
      <c r="AY160" s="177">
        <f t="shared" si="279"/>
        <v>0</v>
      </c>
      <c r="AZ160" s="177">
        <f t="shared" si="280"/>
        <v>0</v>
      </c>
      <c r="BA160" s="177">
        <f t="shared" si="281"/>
        <v>0</v>
      </c>
      <c r="BB160" s="177">
        <f t="shared" si="282"/>
        <v>0</v>
      </c>
      <c r="BC160" s="177">
        <f t="shared" si="283"/>
        <v>0</v>
      </c>
      <c r="BD160" s="177">
        <f t="shared" si="284"/>
        <v>0</v>
      </c>
      <c r="BE160" s="177">
        <f t="shared" si="285"/>
        <v>0</v>
      </c>
      <c r="BF160" s="177">
        <f t="shared" si="286"/>
        <v>0</v>
      </c>
      <c r="BG160" s="178">
        <f t="shared" si="287"/>
        <v>0</v>
      </c>
    </row>
    <row r="161" spans="1:59" ht="13.5" customHeight="1">
      <c r="A161" s="171">
        <f t="shared" si="288"/>
        <v>12</v>
      </c>
      <c r="B161" s="171" t="s">
        <v>2946</v>
      </c>
      <c r="C161" s="171"/>
      <c r="D161" s="171" t="str">
        <f t="shared" si="289"/>
        <v>支付的其他与经营活动有关的现金（其他）</v>
      </c>
      <c r="E161" s="171"/>
      <c r="F161" s="172" t="str">
        <f t="shared" si="297"/>
        <v>Physical Security Systems</v>
      </c>
      <c r="G161" s="172"/>
      <c r="H161" s="77" t="s">
        <v>2613</v>
      </c>
      <c r="I161" s="173" t="s">
        <v>2614</v>
      </c>
      <c r="J161" s="173" t="s">
        <v>2046</v>
      </c>
      <c r="K161" s="77"/>
      <c r="L161" s="175">
        <v>45962</v>
      </c>
      <c r="M161" s="175">
        <v>45991</v>
      </c>
      <c r="N161" s="176">
        <f t="shared" si="290"/>
        <v>1</v>
      </c>
      <c r="O161" s="177">
        <f t="shared" si="271"/>
        <v>0</v>
      </c>
      <c r="P161" s="177">
        <f t="shared" si="271"/>
        <v>0</v>
      </c>
      <c r="Q161" s="177">
        <f t="shared" si="271"/>
        <v>0</v>
      </c>
      <c r="R161" s="177">
        <f t="shared" si="271"/>
        <v>0</v>
      </c>
      <c r="S161" s="177">
        <f t="shared" si="271"/>
        <v>0</v>
      </c>
      <c r="T161" s="177">
        <f t="shared" si="271"/>
        <v>0</v>
      </c>
      <c r="U161" s="177">
        <f t="shared" si="271"/>
        <v>0</v>
      </c>
      <c r="V161" s="177">
        <f t="shared" si="271"/>
        <v>0</v>
      </c>
      <c r="W161" s="177">
        <f t="shared" si="271"/>
        <v>0</v>
      </c>
      <c r="X161" s="177">
        <f t="shared" si="271"/>
        <v>0</v>
      </c>
      <c r="Y161" s="177">
        <f t="shared" si="271"/>
        <v>0</v>
      </c>
      <c r="Z161" s="177">
        <f t="shared" si="271"/>
        <v>0</v>
      </c>
      <c r="AA161" s="178">
        <f t="shared" si="291"/>
        <v>0</v>
      </c>
      <c r="AB161" s="173" t="s">
        <v>2046</v>
      </c>
      <c r="AC161" s="77"/>
      <c r="AD161" s="175">
        <v>46327</v>
      </c>
      <c r="AE161" s="175">
        <v>46356</v>
      </c>
      <c r="AF161" s="176">
        <f t="shared" si="272"/>
        <v>1</v>
      </c>
      <c r="AG161" s="177">
        <f t="shared" ref="AG161:AR161" si="303">IF(AND($AD161&lt;=AG$3,AG$3&lt;=$AE161),$AC161/$AF161,0)</f>
        <v>0</v>
      </c>
      <c r="AH161" s="177">
        <f t="shared" si="303"/>
        <v>0</v>
      </c>
      <c r="AI161" s="177">
        <f t="shared" si="303"/>
        <v>0</v>
      </c>
      <c r="AJ161" s="177">
        <f t="shared" si="303"/>
        <v>0</v>
      </c>
      <c r="AK161" s="177">
        <f t="shared" si="303"/>
        <v>0</v>
      </c>
      <c r="AL161" s="177">
        <f t="shared" si="303"/>
        <v>0</v>
      </c>
      <c r="AM161" s="177">
        <f t="shared" si="303"/>
        <v>0</v>
      </c>
      <c r="AN161" s="177">
        <f t="shared" si="303"/>
        <v>0</v>
      </c>
      <c r="AO161" s="177">
        <f t="shared" si="303"/>
        <v>0</v>
      </c>
      <c r="AP161" s="177">
        <f t="shared" si="303"/>
        <v>0</v>
      </c>
      <c r="AQ161" s="177">
        <f t="shared" si="303"/>
        <v>0</v>
      </c>
      <c r="AR161" s="177">
        <f t="shared" si="303"/>
        <v>0</v>
      </c>
      <c r="AS161" s="178">
        <f t="shared" si="274"/>
        <v>0</v>
      </c>
      <c r="AU161" s="177">
        <f t="shared" si="275"/>
        <v>0</v>
      </c>
      <c r="AV161" s="177">
        <f t="shared" si="276"/>
        <v>0</v>
      </c>
      <c r="AW161" s="177">
        <f t="shared" si="277"/>
        <v>0</v>
      </c>
      <c r="AX161" s="177">
        <f t="shared" si="278"/>
        <v>0</v>
      </c>
      <c r="AY161" s="177">
        <f t="shared" si="279"/>
        <v>0</v>
      </c>
      <c r="AZ161" s="177">
        <f t="shared" si="280"/>
        <v>0</v>
      </c>
      <c r="BA161" s="177">
        <f t="shared" si="281"/>
        <v>0</v>
      </c>
      <c r="BB161" s="177">
        <f t="shared" si="282"/>
        <v>0</v>
      </c>
      <c r="BC161" s="177">
        <f t="shared" si="283"/>
        <v>0</v>
      </c>
      <c r="BD161" s="177">
        <f t="shared" si="284"/>
        <v>0</v>
      </c>
      <c r="BE161" s="177">
        <f t="shared" si="285"/>
        <v>0</v>
      </c>
      <c r="BF161" s="177">
        <f t="shared" si="286"/>
        <v>0</v>
      </c>
      <c r="BG161" s="178">
        <f t="shared" si="287"/>
        <v>0</v>
      </c>
    </row>
    <row r="162" spans="1:59" ht="13.5" customHeight="1">
      <c r="A162" s="171">
        <f t="shared" si="288"/>
        <v>13</v>
      </c>
      <c r="B162" s="171" t="s">
        <v>2946</v>
      </c>
      <c r="C162" s="171" t="s">
        <v>1652</v>
      </c>
      <c r="D162" s="171" t="str">
        <f t="shared" si="289"/>
        <v>支付的其他与经营活动有关的现金（其他）</v>
      </c>
      <c r="E162" s="171"/>
      <c r="F162" s="172" t="str">
        <f t="shared" si="297"/>
        <v>Office Package/Travel Insurance</v>
      </c>
      <c r="G162" s="172"/>
      <c r="H162" s="77" t="s">
        <v>2613</v>
      </c>
      <c r="I162" s="173" t="s">
        <v>2614</v>
      </c>
      <c r="J162" s="173" t="s">
        <v>2046</v>
      </c>
      <c r="K162" s="77"/>
      <c r="L162" s="175">
        <v>45658</v>
      </c>
      <c r="M162" s="175">
        <v>46022</v>
      </c>
      <c r="N162" s="176">
        <f t="shared" si="290"/>
        <v>12</v>
      </c>
      <c r="O162" s="177">
        <f t="shared" si="271"/>
        <v>0</v>
      </c>
      <c r="P162" s="177">
        <f t="shared" si="271"/>
        <v>0</v>
      </c>
      <c r="Q162" s="177">
        <f t="shared" si="271"/>
        <v>0</v>
      </c>
      <c r="R162" s="177">
        <f t="shared" si="271"/>
        <v>0</v>
      </c>
      <c r="S162" s="177">
        <f t="shared" si="271"/>
        <v>0</v>
      </c>
      <c r="T162" s="177">
        <f t="shared" si="271"/>
        <v>0</v>
      </c>
      <c r="U162" s="177">
        <f t="shared" si="271"/>
        <v>0</v>
      </c>
      <c r="V162" s="177">
        <f t="shared" si="271"/>
        <v>0</v>
      </c>
      <c r="W162" s="177">
        <f t="shared" si="271"/>
        <v>0</v>
      </c>
      <c r="X162" s="177">
        <f t="shared" si="271"/>
        <v>0</v>
      </c>
      <c r="Y162" s="177">
        <f t="shared" si="271"/>
        <v>0</v>
      </c>
      <c r="Z162" s="177">
        <f t="shared" si="271"/>
        <v>0</v>
      </c>
      <c r="AA162" s="178">
        <f t="shared" si="291"/>
        <v>0</v>
      </c>
      <c r="AB162" s="173" t="s">
        <v>2046</v>
      </c>
      <c r="AC162" s="77"/>
      <c r="AD162" s="175">
        <v>46023</v>
      </c>
      <c r="AE162" s="175">
        <v>46387</v>
      </c>
      <c r="AF162" s="176">
        <f t="shared" si="272"/>
        <v>12</v>
      </c>
      <c r="AG162" s="177">
        <f t="shared" ref="AG162:AR162" si="304">IF(AND($AD162&lt;=AG$3,AG$3&lt;=$AE162),$AC162/$AF162,0)</f>
        <v>0</v>
      </c>
      <c r="AH162" s="177">
        <f t="shared" si="304"/>
        <v>0</v>
      </c>
      <c r="AI162" s="177">
        <f t="shared" si="304"/>
        <v>0</v>
      </c>
      <c r="AJ162" s="177">
        <f t="shared" si="304"/>
        <v>0</v>
      </c>
      <c r="AK162" s="177">
        <f t="shared" si="304"/>
        <v>0</v>
      </c>
      <c r="AL162" s="177">
        <f t="shared" si="304"/>
        <v>0</v>
      </c>
      <c r="AM162" s="177">
        <f t="shared" si="304"/>
        <v>0</v>
      </c>
      <c r="AN162" s="177">
        <f t="shared" si="304"/>
        <v>0</v>
      </c>
      <c r="AO162" s="177">
        <f t="shared" si="304"/>
        <v>0</v>
      </c>
      <c r="AP162" s="177">
        <f t="shared" si="304"/>
        <v>0</v>
      </c>
      <c r="AQ162" s="177">
        <f t="shared" si="304"/>
        <v>0</v>
      </c>
      <c r="AR162" s="177">
        <f t="shared" si="304"/>
        <v>0</v>
      </c>
      <c r="AS162" s="178">
        <f t="shared" si="274"/>
        <v>0</v>
      </c>
      <c r="AU162" s="177">
        <f t="shared" si="275"/>
        <v>0</v>
      </c>
      <c r="AV162" s="177">
        <f t="shared" si="276"/>
        <v>0</v>
      </c>
      <c r="AW162" s="177">
        <f t="shared" si="277"/>
        <v>0</v>
      </c>
      <c r="AX162" s="177">
        <f t="shared" si="278"/>
        <v>0</v>
      </c>
      <c r="AY162" s="177">
        <f t="shared" si="279"/>
        <v>0</v>
      </c>
      <c r="AZ162" s="177">
        <f t="shared" si="280"/>
        <v>0</v>
      </c>
      <c r="BA162" s="177">
        <f t="shared" si="281"/>
        <v>0</v>
      </c>
      <c r="BB162" s="177">
        <f t="shared" si="282"/>
        <v>0</v>
      </c>
      <c r="BC162" s="177">
        <f t="shared" si="283"/>
        <v>0</v>
      </c>
      <c r="BD162" s="177">
        <f t="shared" si="284"/>
        <v>0</v>
      </c>
      <c r="BE162" s="177">
        <f t="shared" si="285"/>
        <v>0</v>
      </c>
      <c r="BF162" s="177">
        <f t="shared" si="286"/>
        <v>0</v>
      </c>
      <c r="BG162" s="178">
        <f t="shared" si="287"/>
        <v>0</v>
      </c>
    </row>
    <row r="163" spans="1:59" ht="13.5" customHeight="1">
      <c r="A163" s="171">
        <f t="shared" si="288"/>
        <v>14</v>
      </c>
      <c r="B163" s="171" t="s">
        <v>2946</v>
      </c>
      <c r="C163" s="171" t="s">
        <v>1480</v>
      </c>
      <c r="D163" s="171" t="str">
        <f t="shared" si="289"/>
        <v>支付的其他与经营活动有关的现金（其他）</v>
      </c>
      <c r="E163" s="171"/>
      <c r="F163" s="172" t="str">
        <f t="shared" si="297"/>
        <v>Company Activities</v>
      </c>
      <c r="G163" s="172"/>
      <c r="H163" s="77" t="s">
        <v>2613</v>
      </c>
      <c r="I163" s="173" t="s">
        <v>2614</v>
      </c>
      <c r="J163" s="173" t="s">
        <v>2046</v>
      </c>
      <c r="K163" s="77"/>
      <c r="L163" s="175">
        <v>45658</v>
      </c>
      <c r="M163" s="175">
        <v>46022</v>
      </c>
      <c r="N163" s="176">
        <f t="shared" si="290"/>
        <v>12</v>
      </c>
      <c r="O163" s="177">
        <f t="shared" si="271"/>
        <v>0</v>
      </c>
      <c r="P163" s="177">
        <f t="shared" si="271"/>
        <v>0</v>
      </c>
      <c r="Q163" s="177">
        <f t="shared" si="271"/>
        <v>0</v>
      </c>
      <c r="R163" s="177">
        <f t="shared" si="271"/>
        <v>0</v>
      </c>
      <c r="S163" s="177">
        <f t="shared" si="271"/>
        <v>0</v>
      </c>
      <c r="T163" s="177">
        <f t="shared" si="271"/>
        <v>0</v>
      </c>
      <c r="U163" s="177">
        <f t="shared" si="271"/>
        <v>0</v>
      </c>
      <c r="V163" s="177">
        <f t="shared" si="271"/>
        <v>0</v>
      </c>
      <c r="W163" s="177">
        <f t="shared" si="271"/>
        <v>0</v>
      </c>
      <c r="X163" s="177">
        <f t="shared" si="271"/>
        <v>0</v>
      </c>
      <c r="Y163" s="177">
        <f t="shared" si="271"/>
        <v>0</v>
      </c>
      <c r="Z163" s="177">
        <f t="shared" si="271"/>
        <v>0</v>
      </c>
      <c r="AA163" s="178">
        <f t="shared" si="291"/>
        <v>0</v>
      </c>
      <c r="AB163" s="173" t="s">
        <v>2046</v>
      </c>
      <c r="AC163" s="77"/>
      <c r="AD163" s="175">
        <v>46023</v>
      </c>
      <c r="AE163" s="175">
        <v>46387</v>
      </c>
      <c r="AF163" s="176">
        <f t="shared" si="272"/>
        <v>12</v>
      </c>
      <c r="AG163" s="177">
        <f t="shared" ref="AG163:AR163" si="305">IF(AND($AD163&lt;=AG$3,AG$3&lt;=$AE163),$AC163/$AF163,0)</f>
        <v>0</v>
      </c>
      <c r="AH163" s="177">
        <f t="shared" si="305"/>
        <v>0</v>
      </c>
      <c r="AI163" s="177">
        <f t="shared" si="305"/>
        <v>0</v>
      </c>
      <c r="AJ163" s="177">
        <f t="shared" si="305"/>
        <v>0</v>
      </c>
      <c r="AK163" s="177">
        <f t="shared" si="305"/>
        <v>0</v>
      </c>
      <c r="AL163" s="177">
        <f t="shared" si="305"/>
        <v>0</v>
      </c>
      <c r="AM163" s="177">
        <f t="shared" si="305"/>
        <v>0</v>
      </c>
      <c r="AN163" s="177">
        <f t="shared" si="305"/>
        <v>0</v>
      </c>
      <c r="AO163" s="177">
        <f t="shared" si="305"/>
        <v>0</v>
      </c>
      <c r="AP163" s="177">
        <f t="shared" si="305"/>
        <v>0</v>
      </c>
      <c r="AQ163" s="177">
        <f t="shared" si="305"/>
        <v>0</v>
      </c>
      <c r="AR163" s="177">
        <f t="shared" si="305"/>
        <v>0</v>
      </c>
      <c r="AS163" s="178">
        <f t="shared" si="274"/>
        <v>0</v>
      </c>
      <c r="AU163" s="177">
        <f t="shared" si="275"/>
        <v>0</v>
      </c>
      <c r="AV163" s="177">
        <f t="shared" si="276"/>
        <v>0</v>
      </c>
      <c r="AW163" s="177">
        <f t="shared" si="277"/>
        <v>0</v>
      </c>
      <c r="AX163" s="177">
        <f t="shared" si="278"/>
        <v>0</v>
      </c>
      <c r="AY163" s="177">
        <f t="shared" si="279"/>
        <v>0</v>
      </c>
      <c r="AZ163" s="177">
        <f t="shared" si="280"/>
        <v>0</v>
      </c>
      <c r="BA163" s="177">
        <f t="shared" si="281"/>
        <v>0</v>
      </c>
      <c r="BB163" s="177">
        <f t="shared" si="282"/>
        <v>0</v>
      </c>
      <c r="BC163" s="177">
        <f t="shared" si="283"/>
        <v>0</v>
      </c>
      <c r="BD163" s="177">
        <f t="shared" si="284"/>
        <v>0</v>
      </c>
      <c r="BE163" s="177">
        <f t="shared" si="285"/>
        <v>0</v>
      </c>
      <c r="BF163" s="177">
        <f t="shared" si="286"/>
        <v>0</v>
      </c>
      <c r="BG163" s="178">
        <f t="shared" si="287"/>
        <v>0</v>
      </c>
    </row>
    <row r="164" spans="1:59" ht="13.5" customHeight="1">
      <c r="A164" s="171">
        <f t="shared" si="288"/>
        <v>15</v>
      </c>
      <c r="B164" s="171" t="s">
        <v>2946</v>
      </c>
      <c r="C164" s="171" t="s">
        <v>1867</v>
      </c>
      <c r="D164" s="171" t="str">
        <f t="shared" si="289"/>
        <v>支付的其他与经营活动有关的现金（其他）</v>
      </c>
      <c r="E164" s="171"/>
      <c r="F164" s="172" t="str">
        <f t="shared" si="297"/>
        <v>Outside Seminars</v>
      </c>
      <c r="G164" s="172"/>
      <c r="H164" s="77" t="s">
        <v>2613</v>
      </c>
      <c r="I164" s="173" t="s">
        <v>2614</v>
      </c>
      <c r="J164" s="173" t="s">
        <v>2046</v>
      </c>
      <c r="K164" s="77"/>
      <c r="L164" s="175">
        <v>45658</v>
      </c>
      <c r="M164" s="175">
        <v>46022</v>
      </c>
      <c r="N164" s="176">
        <f t="shared" si="290"/>
        <v>12</v>
      </c>
      <c r="O164" s="177">
        <f t="shared" si="271"/>
        <v>0</v>
      </c>
      <c r="P164" s="177">
        <f t="shared" si="271"/>
        <v>0</v>
      </c>
      <c r="Q164" s="177">
        <f t="shared" si="271"/>
        <v>0</v>
      </c>
      <c r="R164" s="177">
        <f t="shared" si="271"/>
        <v>0</v>
      </c>
      <c r="S164" s="177">
        <f t="shared" si="271"/>
        <v>0</v>
      </c>
      <c r="T164" s="177">
        <f t="shared" si="271"/>
        <v>0</v>
      </c>
      <c r="U164" s="177">
        <f t="shared" si="271"/>
        <v>0</v>
      </c>
      <c r="V164" s="177">
        <f t="shared" si="271"/>
        <v>0</v>
      </c>
      <c r="W164" s="177">
        <f t="shared" si="271"/>
        <v>0</v>
      </c>
      <c r="X164" s="177">
        <f t="shared" si="271"/>
        <v>0</v>
      </c>
      <c r="Y164" s="177">
        <f t="shared" si="271"/>
        <v>0</v>
      </c>
      <c r="Z164" s="177">
        <f t="shared" si="271"/>
        <v>0</v>
      </c>
      <c r="AA164" s="178">
        <f t="shared" si="291"/>
        <v>0</v>
      </c>
      <c r="AB164" s="173" t="s">
        <v>2046</v>
      </c>
      <c r="AC164" s="77"/>
      <c r="AD164" s="175">
        <v>46023</v>
      </c>
      <c r="AE164" s="175">
        <v>46387</v>
      </c>
      <c r="AF164" s="176">
        <f t="shared" si="272"/>
        <v>12</v>
      </c>
      <c r="AG164" s="177">
        <f t="shared" ref="AG164:AR164" si="306">IF(AND($AD164&lt;=AG$3,AG$3&lt;=$AE164),$AC164/$AF164,0)</f>
        <v>0</v>
      </c>
      <c r="AH164" s="177">
        <f t="shared" si="306"/>
        <v>0</v>
      </c>
      <c r="AI164" s="177">
        <f t="shared" si="306"/>
        <v>0</v>
      </c>
      <c r="AJ164" s="177">
        <f t="shared" si="306"/>
        <v>0</v>
      </c>
      <c r="AK164" s="177">
        <f t="shared" si="306"/>
        <v>0</v>
      </c>
      <c r="AL164" s="177">
        <f t="shared" si="306"/>
        <v>0</v>
      </c>
      <c r="AM164" s="177">
        <f t="shared" si="306"/>
        <v>0</v>
      </c>
      <c r="AN164" s="177">
        <f t="shared" si="306"/>
        <v>0</v>
      </c>
      <c r="AO164" s="177">
        <f t="shared" si="306"/>
        <v>0</v>
      </c>
      <c r="AP164" s="177">
        <f t="shared" si="306"/>
        <v>0</v>
      </c>
      <c r="AQ164" s="177">
        <f t="shared" si="306"/>
        <v>0</v>
      </c>
      <c r="AR164" s="177">
        <f t="shared" si="306"/>
        <v>0</v>
      </c>
      <c r="AS164" s="178">
        <f t="shared" si="274"/>
        <v>0</v>
      </c>
      <c r="AU164" s="177">
        <f t="shared" si="275"/>
        <v>0</v>
      </c>
      <c r="AV164" s="177">
        <f t="shared" si="276"/>
        <v>0</v>
      </c>
      <c r="AW164" s="177">
        <f t="shared" si="277"/>
        <v>0</v>
      </c>
      <c r="AX164" s="177">
        <f t="shared" si="278"/>
        <v>0</v>
      </c>
      <c r="AY164" s="177">
        <f t="shared" si="279"/>
        <v>0</v>
      </c>
      <c r="AZ164" s="177">
        <f t="shared" si="280"/>
        <v>0</v>
      </c>
      <c r="BA164" s="177">
        <f t="shared" si="281"/>
        <v>0</v>
      </c>
      <c r="BB164" s="177">
        <f t="shared" si="282"/>
        <v>0</v>
      </c>
      <c r="BC164" s="177">
        <f t="shared" si="283"/>
        <v>0</v>
      </c>
      <c r="BD164" s="177">
        <f t="shared" si="284"/>
        <v>0</v>
      </c>
      <c r="BE164" s="177">
        <f t="shared" si="285"/>
        <v>0</v>
      </c>
      <c r="BF164" s="177">
        <f t="shared" si="286"/>
        <v>0</v>
      </c>
      <c r="BG164" s="178">
        <f t="shared" si="287"/>
        <v>0</v>
      </c>
    </row>
    <row r="165" spans="1:59" ht="13.5" customHeight="1">
      <c r="A165" s="171">
        <f t="shared" si="288"/>
        <v>16</v>
      </c>
      <c r="B165" s="171" t="s">
        <v>2946</v>
      </c>
      <c r="C165" s="171" t="s">
        <v>1684</v>
      </c>
      <c r="D165" s="171" t="str">
        <f t="shared" si="289"/>
        <v>支付的其他与经营活动有关的现金（其他）</v>
      </c>
      <c r="E165" s="171"/>
      <c r="F165" s="172" t="str">
        <f t="shared" si="297"/>
        <v>Subscription</v>
      </c>
      <c r="G165" s="172"/>
      <c r="H165" s="77" t="s">
        <v>2613</v>
      </c>
      <c r="I165" s="173" t="s">
        <v>2614</v>
      </c>
      <c r="J165" s="173" t="s">
        <v>2046</v>
      </c>
      <c r="K165" s="77"/>
      <c r="L165" s="175">
        <v>45658</v>
      </c>
      <c r="M165" s="175">
        <v>46022</v>
      </c>
      <c r="N165" s="176">
        <f t="shared" si="290"/>
        <v>12</v>
      </c>
      <c r="O165" s="177">
        <f t="shared" si="271"/>
        <v>0</v>
      </c>
      <c r="P165" s="177">
        <f t="shared" si="271"/>
        <v>0</v>
      </c>
      <c r="Q165" s="177">
        <f t="shared" si="271"/>
        <v>0</v>
      </c>
      <c r="R165" s="177">
        <f t="shared" si="271"/>
        <v>0</v>
      </c>
      <c r="S165" s="177">
        <f t="shared" si="271"/>
        <v>0</v>
      </c>
      <c r="T165" s="177">
        <f t="shared" si="271"/>
        <v>0</v>
      </c>
      <c r="U165" s="177">
        <f t="shared" si="271"/>
        <v>0</v>
      </c>
      <c r="V165" s="177">
        <f t="shared" si="271"/>
        <v>0</v>
      </c>
      <c r="W165" s="177">
        <f t="shared" si="271"/>
        <v>0</v>
      </c>
      <c r="X165" s="177">
        <f t="shared" si="271"/>
        <v>0</v>
      </c>
      <c r="Y165" s="177">
        <f t="shared" si="271"/>
        <v>0</v>
      </c>
      <c r="Z165" s="177">
        <f t="shared" si="271"/>
        <v>0</v>
      </c>
      <c r="AA165" s="178">
        <f t="shared" si="291"/>
        <v>0</v>
      </c>
      <c r="AB165" s="173" t="s">
        <v>2046</v>
      </c>
      <c r="AC165" s="77"/>
      <c r="AD165" s="175">
        <v>46023</v>
      </c>
      <c r="AE165" s="175">
        <v>46387</v>
      </c>
      <c r="AF165" s="176">
        <f t="shared" si="272"/>
        <v>12</v>
      </c>
      <c r="AG165" s="177">
        <f t="shared" ref="AG165:AR165" si="307">IF(AND($AD165&lt;=AG$3,AG$3&lt;=$AE165),$AC165/$AF165,0)</f>
        <v>0</v>
      </c>
      <c r="AH165" s="177">
        <f t="shared" si="307"/>
        <v>0</v>
      </c>
      <c r="AI165" s="177">
        <f t="shared" si="307"/>
        <v>0</v>
      </c>
      <c r="AJ165" s="177">
        <f t="shared" si="307"/>
        <v>0</v>
      </c>
      <c r="AK165" s="177">
        <f t="shared" si="307"/>
        <v>0</v>
      </c>
      <c r="AL165" s="177">
        <f t="shared" si="307"/>
        <v>0</v>
      </c>
      <c r="AM165" s="177">
        <f t="shared" si="307"/>
        <v>0</v>
      </c>
      <c r="AN165" s="177">
        <f t="shared" si="307"/>
        <v>0</v>
      </c>
      <c r="AO165" s="177">
        <f t="shared" si="307"/>
        <v>0</v>
      </c>
      <c r="AP165" s="177">
        <f t="shared" si="307"/>
        <v>0</v>
      </c>
      <c r="AQ165" s="177">
        <f t="shared" si="307"/>
        <v>0</v>
      </c>
      <c r="AR165" s="177">
        <f t="shared" si="307"/>
        <v>0</v>
      </c>
      <c r="AS165" s="178">
        <f t="shared" si="274"/>
        <v>0</v>
      </c>
      <c r="AU165" s="177">
        <f t="shared" si="275"/>
        <v>0</v>
      </c>
      <c r="AV165" s="177">
        <f t="shared" si="276"/>
        <v>0</v>
      </c>
      <c r="AW165" s="177">
        <f t="shared" si="277"/>
        <v>0</v>
      </c>
      <c r="AX165" s="177">
        <f t="shared" si="278"/>
        <v>0</v>
      </c>
      <c r="AY165" s="177">
        <f t="shared" si="279"/>
        <v>0</v>
      </c>
      <c r="AZ165" s="177">
        <f t="shared" si="280"/>
        <v>0</v>
      </c>
      <c r="BA165" s="177">
        <f t="shared" si="281"/>
        <v>0</v>
      </c>
      <c r="BB165" s="177">
        <f t="shared" si="282"/>
        <v>0</v>
      </c>
      <c r="BC165" s="177">
        <f t="shared" si="283"/>
        <v>0</v>
      </c>
      <c r="BD165" s="177">
        <f t="shared" si="284"/>
        <v>0</v>
      </c>
      <c r="BE165" s="177">
        <f t="shared" si="285"/>
        <v>0</v>
      </c>
      <c r="BF165" s="177">
        <f t="shared" si="286"/>
        <v>0</v>
      </c>
      <c r="BG165" s="178">
        <f t="shared" si="287"/>
        <v>0</v>
      </c>
    </row>
    <row r="166" spans="1:59" ht="13.5" customHeight="1">
      <c r="A166" s="171">
        <f t="shared" si="288"/>
        <v>17</v>
      </c>
      <c r="B166" s="171" t="s">
        <v>2946</v>
      </c>
      <c r="C166" s="171" t="s">
        <v>1867</v>
      </c>
      <c r="D166" s="171" t="str">
        <f t="shared" si="289"/>
        <v>支付的其他与经营活动有关的现金（其他）</v>
      </c>
      <c r="E166" s="171"/>
      <c r="F166" s="172" t="str">
        <f t="shared" ref="F166:F169" si="308">IF(F22="","",F22)</f>
        <v>Professional Body Membership Fee</v>
      </c>
      <c r="G166" s="172"/>
      <c r="H166" s="77" t="s">
        <v>2613</v>
      </c>
      <c r="I166" s="173" t="s">
        <v>2614</v>
      </c>
      <c r="J166" s="173" t="s">
        <v>2046</v>
      </c>
      <c r="K166" s="77"/>
      <c r="L166" s="175">
        <v>45658</v>
      </c>
      <c r="M166" s="175">
        <v>46022</v>
      </c>
      <c r="N166" s="176">
        <f t="shared" ref="N166:N169" si="309">IF(AND(L166="",M166=""),"-",IF(M166="",12,DATEDIF(L166,M166,"M")+1))</f>
        <v>12</v>
      </c>
      <c r="O166" s="177">
        <f t="shared" si="271"/>
        <v>0</v>
      </c>
      <c r="P166" s="177">
        <f t="shared" si="271"/>
        <v>0</v>
      </c>
      <c r="Q166" s="177">
        <f t="shared" si="271"/>
        <v>0</v>
      </c>
      <c r="R166" s="177">
        <f t="shared" si="271"/>
        <v>0</v>
      </c>
      <c r="S166" s="177">
        <f t="shared" si="271"/>
        <v>0</v>
      </c>
      <c r="T166" s="177">
        <f t="shared" si="271"/>
        <v>0</v>
      </c>
      <c r="U166" s="177">
        <f t="shared" si="271"/>
        <v>0</v>
      </c>
      <c r="V166" s="177">
        <f t="shared" si="271"/>
        <v>0</v>
      </c>
      <c r="W166" s="177">
        <f t="shared" si="271"/>
        <v>0</v>
      </c>
      <c r="X166" s="177">
        <f t="shared" si="271"/>
        <v>0</v>
      </c>
      <c r="Y166" s="177">
        <f t="shared" si="271"/>
        <v>0</v>
      </c>
      <c r="Z166" s="177">
        <f t="shared" si="271"/>
        <v>0</v>
      </c>
      <c r="AA166" s="178">
        <f t="shared" ref="AA166:AA169" si="310">SUM(O166:Z166)</f>
        <v>0</v>
      </c>
      <c r="AB166" s="173" t="s">
        <v>2046</v>
      </c>
      <c r="AC166" s="77"/>
      <c r="AD166" s="175">
        <v>46023</v>
      </c>
      <c r="AE166" s="175">
        <v>46387</v>
      </c>
      <c r="AF166" s="176">
        <f t="shared" si="272"/>
        <v>12</v>
      </c>
      <c r="AG166" s="177">
        <f t="shared" ref="AG166:AR166" si="311">IF(AND($AD166&lt;=AG$3,AG$3&lt;=$AE166),$AC166/$AF166,0)</f>
        <v>0</v>
      </c>
      <c r="AH166" s="177">
        <f t="shared" si="311"/>
        <v>0</v>
      </c>
      <c r="AI166" s="177">
        <f t="shared" si="311"/>
        <v>0</v>
      </c>
      <c r="AJ166" s="177">
        <f t="shared" si="311"/>
        <v>0</v>
      </c>
      <c r="AK166" s="177">
        <f t="shared" si="311"/>
        <v>0</v>
      </c>
      <c r="AL166" s="177">
        <f t="shared" si="311"/>
        <v>0</v>
      </c>
      <c r="AM166" s="177">
        <f t="shared" si="311"/>
        <v>0</v>
      </c>
      <c r="AN166" s="177">
        <f t="shared" si="311"/>
        <v>0</v>
      </c>
      <c r="AO166" s="177">
        <f t="shared" si="311"/>
        <v>0</v>
      </c>
      <c r="AP166" s="177">
        <f t="shared" si="311"/>
        <v>0</v>
      </c>
      <c r="AQ166" s="177">
        <f t="shared" si="311"/>
        <v>0</v>
      </c>
      <c r="AR166" s="177">
        <f t="shared" si="311"/>
        <v>0</v>
      </c>
      <c r="AS166" s="178">
        <f t="shared" si="274"/>
        <v>0</v>
      </c>
      <c r="AU166" s="177">
        <f t="shared" si="275"/>
        <v>0</v>
      </c>
      <c r="AV166" s="177">
        <f t="shared" si="276"/>
        <v>0</v>
      </c>
      <c r="AW166" s="177">
        <f t="shared" si="277"/>
        <v>0</v>
      </c>
      <c r="AX166" s="177">
        <f t="shared" si="278"/>
        <v>0</v>
      </c>
      <c r="AY166" s="177">
        <f t="shared" si="279"/>
        <v>0</v>
      </c>
      <c r="AZ166" s="177">
        <f t="shared" si="280"/>
        <v>0</v>
      </c>
      <c r="BA166" s="177">
        <f t="shared" si="281"/>
        <v>0</v>
      </c>
      <c r="BB166" s="177">
        <f t="shared" si="282"/>
        <v>0</v>
      </c>
      <c r="BC166" s="177">
        <f t="shared" si="283"/>
        <v>0</v>
      </c>
      <c r="BD166" s="177">
        <f t="shared" si="284"/>
        <v>0</v>
      </c>
      <c r="BE166" s="177">
        <f t="shared" si="285"/>
        <v>0</v>
      </c>
      <c r="BF166" s="177">
        <f t="shared" si="286"/>
        <v>0</v>
      </c>
      <c r="BG166" s="178">
        <f t="shared" si="287"/>
        <v>0</v>
      </c>
    </row>
    <row r="167" spans="1:59" ht="13.5" customHeight="1">
      <c r="A167" s="171">
        <f t="shared" si="288"/>
        <v>18</v>
      </c>
      <c r="B167" s="171" t="s">
        <v>2946</v>
      </c>
      <c r="C167" s="171" t="s">
        <v>1672</v>
      </c>
      <c r="D167" s="171" t="str">
        <f t="shared" si="289"/>
        <v>支付的其他与经营活动有关的现金（其他）</v>
      </c>
      <c r="E167" s="171"/>
      <c r="F167" s="172" t="str">
        <f t="shared" si="308"/>
        <v>Purchase system</v>
      </c>
      <c r="G167" s="172"/>
      <c r="H167" s="77" t="s">
        <v>2613</v>
      </c>
      <c r="I167" s="173" t="s">
        <v>2614</v>
      </c>
      <c r="J167" s="173" t="s">
        <v>2046</v>
      </c>
      <c r="K167" s="77"/>
      <c r="L167" s="175">
        <v>45658</v>
      </c>
      <c r="M167" s="175">
        <v>46022</v>
      </c>
      <c r="N167" s="176">
        <f t="shared" si="309"/>
        <v>12</v>
      </c>
      <c r="O167" s="177">
        <f t="shared" ref="O167:Z169" si="312">IF(AND($L167&lt;=O$3,O$3&lt;=$M167),$K167/$N167,0)</f>
        <v>0</v>
      </c>
      <c r="P167" s="177">
        <f t="shared" si="312"/>
        <v>0</v>
      </c>
      <c r="Q167" s="177">
        <f t="shared" si="312"/>
        <v>0</v>
      </c>
      <c r="R167" s="177">
        <f t="shared" si="312"/>
        <v>0</v>
      </c>
      <c r="S167" s="177">
        <f t="shared" si="312"/>
        <v>0</v>
      </c>
      <c r="T167" s="177">
        <f t="shared" si="312"/>
        <v>0</v>
      </c>
      <c r="U167" s="177">
        <f t="shared" si="312"/>
        <v>0</v>
      </c>
      <c r="V167" s="177">
        <f t="shared" si="312"/>
        <v>0</v>
      </c>
      <c r="W167" s="177">
        <f t="shared" si="312"/>
        <v>0</v>
      </c>
      <c r="X167" s="177">
        <f t="shared" si="312"/>
        <v>0</v>
      </c>
      <c r="Y167" s="177">
        <f t="shared" si="312"/>
        <v>0</v>
      </c>
      <c r="Z167" s="177">
        <f t="shared" si="312"/>
        <v>0</v>
      </c>
      <c r="AA167" s="178">
        <f t="shared" si="310"/>
        <v>0</v>
      </c>
      <c r="AB167" s="173" t="s">
        <v>2046</v>
      </c>
      <c r="AC167" s="77"/>
      <c r="AD167" s="175">
        <v>46023</v>
      </c>
      <c r="AE167" s="175">
        <v>46387</v>
      </c>
      <c r="AF167" s="176">
        <f t="shared" si="272"/>
        <v>12</v>
      </c>
      <c r="AG167" s="177">
        <f t="shared" ref="AG167:AR167" si="313">IF(AND($AD167&lt;=AG$3,AG$3&lt;=$AE167),$AC167/$AF167,0)</f>
        <v>0</v>
      </c>
      <c r="AH167" s="177">
        <f t="shared" si="313"/>
        <v>0</v>
      </c>
      <c r="AI167" s="177">
        <f t="shared" si="313"/>
        <v>0</v>
      </c>
      <c r="AJ167" s="177">
        <f t="shared" si="313"/>
        <v>0</v>
      </c>
      <c r="AK167" s="177">
        <f t="shared" si="313"/>
        <v>0</v>
      </c>
      <c r="AL167" s="177">
        <f t="shared" si="313"/>
        <v>0</v>
      </c>
      <c r="AM167" s="177">
        <f t="shared" si="313"/>
        <v>0</v>
      </c>
      <c r="AN167" s="177">
        <f t="shared" si="313"/>
        <v>0</v>
      </c>
      <c r="AO167" s="177">
        <f t="shared" si="313"/>
        <v>0</v>
      </c>
      <c r="AP167" s="177">
        <f t="shared" si="313"/>
        <v>0</v>
      </c>
      <c r="AQ167" s="177">
        <f t="shared" si="313"/>
        <v>0</v>
      </c>
      <c r="AR167" s="177">
        <f t="shared" si="313"/>
        <v>0</v>
      </c>
      <c r="AS167" s="178">
        <f t="shared" si="274"/>
        <v>0</v>
      </c>
      <c r="AU167" s="177">
        <f t="shared" si="275"/>
        <v>0</v>
      </c>
      <c r="AV167" s="177">
        <f t="shared" si="276"/>
        <v>0</v>
      </c>
      <c r="AW167" s="177">
        <f t="shared" si="277"/>
        <v>0</v>
      </c>
      <c r="AX167" s="177">
        <f t="shared" si="278"/>
        <v>0</v>
      </c>
      <c r="AY167" s="177">
        <f t="shared" si="279"/>
        <v>0</v>
      </c>
      <c r="AZ167" s="177">
        <f t="shared" si="280"/>
        <v>0</v>
      </c>
      <c r="BA167" s="177">
        <f t="shared" si="281"/>
        <v>0</v>
      </c>
      <c r="BB167" s="177">
        <f t="shared" si="282"/>
        <v>0</v>
      </c>
      <c r="BC167" s="177">
        <f t="shared" si="283"/>
        <v>0</v>
      </c>
      <c r="BD167" s="177">
        <f t="shared" si="284"/>
        <v>0</v>
      </c>
      <c r="BE167" s="177">
        <f t="shared" si="285"/>
        <v>0</v>
      </c>
      <c r="BF167" s="177">
        <f t="shared" si="286"/>
        <v>0</v>
      </c>
      <c r="BG167" s="178">
        <f t="shared" si="287"/>
        <v>0</v>
      </c>
    </row>
    <row r="168" spans="1:59" ht="13.5" customHeight="1">
      <c r="A168" s="171">
        <f t="shared" si="288"/>
        <v>19</v>
      </c>
      <c r="B168" s="171" t="s">
        <v>2946</v>
      </c>
      <c r="C168" s="171" t="s">
        <v>1549</v>
      </c>
      <c r="D168" s="171" t="str">
        <f t="shared" si="289"/>
        <v>支付的其他与经营活动有关的现金（其他）</v>
      </c>
      <c r="E168" s="171"/>
      <c r="F168" s="172" t="str">
        <f t="shared" si="308"/>
        <v>Employee Background Check</v>
      </c>
      <c r="G168" s="172"/>
      <c r="H168" s="77" t="s">
        <v>2613</v>
      </c>
      <c r="I168" s="173" t="s">
        <v>2614</v>
      </c>
      <c r="J168" s="173" t="s">
        <v>2046</v>
      </c>
      <c r="K168" s="77"/>
      <c r="L168" s="175">
        <v>45658</v>
      </c>
      <c r="M168" s="175">
        <v>46022</v>
      </c>
      <c r="N168" s="176">
        <f t="shared" si="309"/>
        <v>12</v>
      </c>
      <c r="O168" s="177">
        <f t="shared" si="312"/>
        <v>0</v>
      </c>
      <c r="P168" s="177">
        <f t="shared" si="312"/>
        <v>0</v>
      </c>
      <c r="Q168" s="177">
        <f t="shared" si="312"/>
        <v>0</v>
      </c>
      <c r="R168" s="177">
        <f t="shared" si="312"/>
        <v>0</v>
      </c>
      <c r="S168" s="177">
        <f t="shared" si="312"/>
        <v>0</v>
      </c>
      <c r="T168" s="177">
        <f t="shared" si="312"/>
        <v>0</v>
      </c>
      <c r="U168" s="177">
        <f t="shared" si="312"/>
        <v>0</v>
      </c>
      <c r="V168" s="177">
        <f t="shared" si="312"/>
        <v>0</v>
      </c>
      <c r="W168" s="177">
        <f t="shared" si="312"/>
        <v>0</v>
      </c>
      <c r="X168" s="177">
        <f t="shared" si="312"/>
        <v>0</v>
      </c>
      <c r="Y168" s="177">
        <f t="shared" si="312"/>
        <v>0</v>
      </c>
      <c r="Z168" s="177">
        <f t="shared" si="312"/>
        <v>0</v>
      </c>
      <c r="AA168" s="178">
        <f t="shared" si="310"/>
        <v>0</v>
      </c>
      <c r="AB168" s="173" t="s">
        <v>2046</v>
      </c>
      <c r="AC168" s="77"/>
      <c r="AD168" s="175">
        <v>46023</v>
      </c>
      <c r="AE168" s="175">
        <v>46387</v>
      </c>
      <c r="AF168" s="176">
        <f t="shared" si="272"/>
        <v>12</v>
      </c>
      <c r="AG168" s="177">
        <f t="shared" ref="AG168:AR168" si="314">IF(AND($AD168&lt;=AG$3,AG$3&lt;=$AE168),$AC168/$AF168,0)</f>
        <v>0</v>
      </c>
      <c r="AH168" s="177">
        <f t="shared" si="314"/>
        <v>0</v>
      </c>
      <c r="AI168" s="177">
        <f t="shared" si="314"/>
        <v>0</v>
      </c>
      <c r="AJ168" s="177">
        <f t="shared" si="314"/>
        <v>0</v>
      </c>
      <c r="AK168" s="177">
        <f t="shared" si="314"/>
        <v>0</v>
      </c>
      <c r="AL168" s="177">
        <f t="shared" si="314"/>
        <v>0</v>
      </c>
      <c r="AM168" s="177">
        <f t="shared" si="314"/>
        <v>0</v>
      </c>
      <c r="AN168" s="177">
        <f t="shared" si="314"/>
        <v>0</v>
      </c>
      <c r="AO168" s="177">
        <f t="shared" si="314"/>
        <v>0</v>
      </c>
      <c r="AP168" s="177">
        <f t="shared" si="314"/>
        <v>0</v>
      </c>
      <c r="AQ168" s="177">
        <f t="shared" si="314"/>
        <v>0</v>
      </c>
      <c r="AR168" s="177">
        <f t="shared" si="314"/>
        <v>0</v>
      </c>
      <c r="AS168" s="178">
        <f t="shared" si="274"/>
        <v>0</v>
      </c>
      <c r="AU168" s="177">
        <f t="shared" si="275"/>
        <v>0</v>
      </c>
      <c r="AV168" s="177">
        <f t="shared" si="276"/>
        <v>0</v>
      </c>
      <c r="AW168" s="177">
        <f t="shared" si="277"/>
        <v>0</v>
      </c>
      <c r="AX168" s="177">
        <f t="shared" si="278"/>
        <v>0</v>
      </c>
      <c r="AY168" s="177">
        <f t="shared" si="279"/>
        <v>0</v>
      </c>
      <c r="AZ168" s="177">
        <f t="shared" si="280"/>
        <v>0</v>
      </c>
      <c r="BA168" s="177">
        <f t="shared" si="281"/>
        <v>0</v>
      </c>
      <c r="BB168" s="177">
        <f t="shared" si="282"/>
        <v>0</v>
      </c>
      <c r="BC168" s="177">
        <f t="shared" si="283"/>
        <v>0</v>
      </c>
      <c r="BD168" s="177">
        <f t="shared" si="284"/>
        <v>0</v>
      </c>
      <c r="BE168" s="177">
        <f t="shared" si="285"/>
        <v>0</v>
      </c>
      <c r="BF168" s="177">
        <f t="shared" si="286"/>
        <v>0</v>
      </c>
      <c r="BG168" s="178">
        <f t="shared" si="287"/>
        <v>0</v>
      </c>
    </row>
    <row r="169" spans="1:59" ht="13.5" customHeight="1">
      <c r="A169" s="171">
        <f t="shared" si="288"/>
        <v>20</v>
      </c>
      <c r="B169" s="171" t="s">
        <v>2946</v>
      </c>
      <c r="C169" s="171" t="s">
        <v>1867</v>
      </c>
      <c r="D169" s="171" t="str">
        <f t="shared" si="289"/>
        <v>支付的其他与经营活动有关的现金（其他）</v>
      </c>
      <c r="E169" s="171"/>
      <c r="F169" s="172" t="str">
        <f t="shared" si="308"/>
        <v>Training Fees</v>
      </c>
      <c r="G169" s="172"/>
      <c r="H169" s="77" t="s">
        <v>2613</v>
      </c>
      <c r="I169" s="173" t="s">
        <v>2614</v>
      </c>
      <c r="J169" s="173" t="s">
        <v>2046</v>
      </c>
      <c r="K169" s="77"/>
      <c r="L169" s="175">
        <v>45658</v>
      </c>
      <c r="M169" s="175">
        <v>46022</v>
      </c>
      <c r="N169" s="176">
        <f t="shared" si="309"/>
        <v>12</v>
      </c>
      <c r="O169" s="177">
        <f t="shared" si="312"/>
        <v>0</v>
      </c>
      <c r="P169" s="177">
        <f t="shared" si="312"/>
        <v>0</v>
      </c>
      <c r="Q169" s="177">
        <f t="shared" si="312"/>
        <v>0</v>
      </c>
      <c r="R169" s="177">
        <f t="shared" si="312"/>
        <v>0</v>
      </c>
      <c r="S169" s="177">
        <f t="shared" si="312"/>
        <v>0</v>
      </c>
      <c r="T169" s="177">
        <f t="shared" si="312"/>
        <v>0</v>
      </c>
      <c r="U169" s="177">
        <f t="shared" si="312"/>
        <v>0</v>
      </c>
      <c r="V169" s="177">
        <f t="shared" si="312"/>
        <v>0</v>
      </c>
      <c r="W169" s="177">
        <f t="shared" si="312"/>
        <v>0</v>
      </c>
      <c r="X169" s="177">
        <f t="shared" si="312"/>
        <v>0</v>
      </c>
      <c r="Y169" s="177">
        <f t="shared" si="312"/>
        <v>0</v>
      </c>
      <c r="Z169" s="177">
        <f t="shared" si="312"/>
        <v>0</v>
      </c>
      <c r="AA169" s="178">
        <f t="shared" si="310"/>
        <v>0</v>
      </c>
      <c r="AB169" s="173" t="s">
        <v>2046</v>
      </c>
      <c r="AC169" s="77"/>
      <c r="AD169" s="175">
        <v>46023</v>
      </c>
      <c r="AE169" s="175">
        <v>46387</v>
      </c>
      <c r="AF169" s="176">
        <f t="shared" si="272"/>
        <v>12</v>
      </c>
      <c r="AG169" s="177">
        <f t="shared" ref="AG169:AR169" si="315">IF(AND($AD169&lt;=AG$3,AG$3&lt;=$AE169),$AC169/$AF169,0)</f>
        <v>0</v>
      </c>
      <c r="AH169" s="177">
        <f t="shared" si="315"/>
        <v>0</v>
      </c>
      <c r="AI169" s="177">
        <f t="shared" si="315"/>
        <v>0</v>
      </c>
      <c r="AJ169" s="177">
        <f t="shared" si="315"/>
        <v>0</v>
      </c>
      <c r="AK169" s="177">
        <f t="shared" si="315"/>
        <v>0</v>
      </c>
      <c r="AL169" s="177">
        <f t="shared" si="315"/>
        <v>0</v>
      </c>
      <c r="AM169" s="177">
        <f t="shared" si="315"/>
        <v>0</v>
      </c>
      <c r="AN169" s="177">
        <f t="shared" si="315"/>
        <v>0</v>
      </c>
      <c r="AO169" s="177">
        <f t="shared" si="315"/>
        <v>0</v>
      </c>
      <c r="AP169" s="177">
        <f t="shared" si="315"/>
        <v>0</v>
      </c>
      <c r="AQ169" s="177">
        <f t="shared" si="315"/>
        <v>0</v>
      </c>
      <c r="AR169" s="177">
        <f t="shared" si="315"/>
        <v>0</v>
      </c>
      <c r="AS169" s="178">
        <f t="shared" si="274"/>
        <v>0</v>
      </c>
      <c r="AU169" s="177">
        <f t="shared" si="275"/>
        <v>0</v>
      </c>
      <c r="AV169" s="177">
        <f t="shared" si="276"/>
        <v>0</v>
      </c>
      <c r="AW169" s="177">
        <f t="shared" si="277"/>
        <v>0</v>
      </c>
      <c r="AX169" s="177">
        <f t="shared" si="278"/>
        <v>0</v>
      </c>
      <c r="AY169" s="177">
        <f t="shared" si="279"/>
        <v>0</v>
      </c>
      <c r="AZ169" s="177">
        <f t="shared" si="280"/>
        <v>0</v>
      </c>
      <c r="BA169" s="177">
        <f t="shared" si="281"/>
        <v>0</v>
      </c>
      <c r="BB169" s="177">
        <f t="shared" si="282"/>
        <v>0</v>
      </c>
      <c r="BC169" s="177">
        <f t="shared" si="283"/>
        <v>0</v>
      </c>
      <c r="BD169" s="177">
        <f t="shared" si="284"/>
        <v>0</v>
      </c>
      <c r="BE169" s="177">
        <f t="shared" si="285"/>
        <v>0</v>
      </c>
      <c r="BF169" s="177">
        <f t="shared" si="286"/>
        <v>0</v>
      </c>
      <c r="BG169" s="178">
        <f t="shared" si="287"/>
        <v>0</v>
      </c>
    </row>
    <row r="171" spans="1:59" s="151" customFormat="1" ht="13.5" thickBot="1">
      <c r="L171" s="180"/>
      <c r="M171" s="180"/>
      <c r="O171" s="185">
        <f>SUM(O150:O170)</f>
        <v>0</v>
      </c>
      <c r="P171" s="185">
        <f t="shared" ref="P171:Z171" si="316">SUM(P150:P170)</f>
        <v>0</v>
      </c>
      <c r="Q171" s="185">
        <f t="shared" si="316"/>
        <v>0</v>
      </c>
      <c r="R171" s="185">
        <f t="shared" si="316"/>
        <v>0</v>
      </c>
      <c r="S171" s="185">
        <f t="shared" si="316"/>
        <v>0</v>
      </c>
      <c r="T171" s="185">
        <f t="shared" si="316"/>
        <v>71.428571428571431</v>
      </c>
      <c r="U171" s="185">
        <f t="shared" si="316"/>
        <v>71.428571428571431</v>
      </c>
      <c r="V171" s="185">
        <f t="shared" si="316"/>
        <v>71.428571428571431</v>
      </c>
      <c r="W171" s="185">
        <f t="shared" si="316"/>
        <v>71.428571428571431</v>
      </c>
      <c r="X171" s="185">
        <f t="shared" si="316"/>
        <v>71.428571428571431</v>
      </c>
      <c r="Y171" s="185">
        <f t="shared" si="316"/>
        <v>71.428571428571431</v>
      </c>
      <c r="Z171" s="185">
        <f t="shared" si="316"/>
        <v>71.428571428571431</v>
      </c>
      <c r="AA171" s="182">
        <f>SUBTOTAL(9,O171:Z171)</f>
        <v>500.00000000000006</v>
      </c>
      <c r="AC171" s="185">
        <f>SUM(AC150:AC170)</f>
        <v>0</v>
      </c>
      <c r="AD171" s="180"/>
      <c r="AE171" s="180"/>
      <c r="AG171" s="185">
        <f t="shared" ref="AG171:AR171" si="317">SUM(AG150:AG170)</f>
        <v>0</v>
      </c>
      <c r="AH171" s="185">
        <f t="shared" si="317"/>
        <v>0</v>
      </c>
      <c r="AI171" s="185">
        <f t="shared" si="317"/>
        <v>0</v>
      </c>
      <c r="AJ171" s="185">
        <f t="shared" si="317"/>
        <v>0</v>
      </c>
      <c r="AK171" s="185">
        <f t="shared" si="317"/>
        <v>0</v>
      </c>
      <c r="AL171" s="185">
        <f t="shared" si="317"/>
        <v>0</v>
      </c>
      <c r="AM171" s="185">
        <f t="shared" si="317"/>
        <v>0</v>
      </c>
      <c r="AN171" s="185">
        <f t="shared" si="317"/>
        <v>0</v>
      </c>
      <c r="AO171" s="185">
        <f t="shared" si="317"/>
        <v>0</v>
      </c>
      <c r="AP171" s="185">
        <f t="shared" si="317"/>
        <v>0</v>
      </c>
      <c r="AQ171" s="185">
        <f t="shared" si="317"/>
        <v>0</v>
      </c>
      <c r="AR171" s="185">
        <f t="shared" si="317"/>
        <v>0</v>
      </c>
      <c r="AS171" s="182">
        <f>SUBTOTAL(9,AG171:AR171)</f>
        <v>0</v>
      </c>
      <c r="AU171" s="185">
        <f t="shared" ref="AU171:BF171" si="318">SUM(AU150:AU170)</f>
        <v>0</v>
      </c>
      <c r="AV171" s="185">
        <f t="shared" si="318"/>
        <v>0</v>
      </c>
      <c r="AW171" s="185">
        <f t="shared" si="318"/>
        <v>0</v>
      </c>
      <c r="AX171" s="185">
        <f t="shared" si="318"/>
        <v>0</v>
      </c>
      <c r="AY171" s="185">
        <f t="shared" si="318"/>
        <v>0</v>
      </c>
      <c r="AZ171" s="185">
        <f t="shared" si="318"/>
        <v>0</v>
      </c>
      <c r="BA171" s="185">
        <f t="shared" si="318"/>
        <v>0</v>
      </c>
      <c r="BB171" s="185">
        <f t="shared" si="318"/>
        <v>0</v>
      </c>
      <c r="BC171" s="185">
        <f t="shared" si="318"/>
        <v>0</v>
      </c>
      <c r="BD171" s="185">
        <f t="shared" si="318"/>
        <v>0</v>
      </c>
      <c r="BE171" s="185">
        <f t="shared" si="318"/>
        <v>0</v>
      </c>
      <c r="BF171" s="185">
        <f t="shared" si="318"/>
        <v>0</v>
      </c>
      <c r="BG171" s="182">
        <f>SUBTOTAL(9,AU171:BF171)</f>
        <v>0</v>
      </c>
    </row>
    <row r="172" spans="1:59" ht="13.5" thickTop="1"/>
    <row r="174" spans="1:59" s="150" customFormat="1" ht="13.5" customHeight="1">
      <c r="A174" s="162"/>
      <c r="B174" s="162" t="s">
        <v>2598</v>
      </c>
      <c r="C174" s="162" t="s">
        <v>2704</v>
      </c>
      <c r="D174" s="162" t="s">
        <v>2602</v>
      </c>
      <c r="E174" s="162" t="s">
        <v>2401</v>
      </c>
      <c r="F174" s="163" t="s">
        <v>2930</v>
      </c>
      <c r="G174" s="163" t="s">
        <v>2603</v>
      </c>
      <c r="H174" s="164" t="s">
        <v>2604</v>
      </c>
      <c r="I174" s="164" t="s">
        <v>2605</v>
      </c>
      <c r="J174" s="165" t="s">
        <v>2606</v>
      </c>
      <c r="K174" s="166" t="s">
        <v>2607</v>
      </c>
      <c r="L174" s="167" t="s">
        <v>2608</v>
      </c>
      <c r="M174" s="167" t="s">
        <v>2609</v>
      </c>
      <c r="N174" s="166" t="s">
        <v>2610</v>
      </c>
      <c r="O174" s="69">
        <v>45658</v>
      </c>
      <c r="P174" s="69">
        <v>45689</v>
      </c>
      <c r="Q174" s="69">
        <v>45717</v>
      </c>
      <c r="R174" s="69">
        <v>45748</v>
      </c>
      <c r="S174" s="69">
        <v>45778</v>
      </c>
      <c r="T174" s="69">
        <v>45809</v>
      </c>
      <c r="U174" s="69">
        <v>45839</v>
      </c>
      <c r="V174" s="69">
        <v>45870</v>
      </c>
      <c r="W174" s="69">
        <v>45901</v>
      </c>
      <c r="X174" s="69">
        <v>45931</v>
      </c>
      <c r="Y174" s="69">
        <v>45962</v>
      </c>
      <c r="Z174" s="69">
        <v>45992</v>
      </c>
      <c r="AA174" s="168" t="s">
        <v>2115</v>
      </c>
      <c r="AB174" s="165" t="s">
        <v>2606</v>
      </c>
      <c r="AC174" s="166" t="s">
        <v>2607</v>
      </c>
      <c r="AD174" s="167" t="s">
        <v>2608</v>
      </c>
      <c r="AE174" s="167" t="s">
        <v>2609</v>
      </c>
      <c r="AF174" s="166" t="s">
        <v>2610</v>
      </c>
      <c r="AG174" s="69">
        <v>46023</v>
      </c>
      <c r="AH174" s="69">
        <v>46054</v>
      </c>
      <c r="AI174" s="69">
        <v>46082</v>
      </c>
      <c r="AJ174" s="69">
        <v>46113</v>
      </c>
      <c r="AK174" s="69">
        <v>46143</v>
      </c>
      <c r="AL174" s="69">
        <v>46174</v>
      </c>
      <c r="AM174" s="69">
        <v>46204</v>
      </c>
      <c r="AN174" s="69">
        <v>46235</v>
      </c>
      <c r="AO174" s="69">
        <v>46266</v>
      </c>
      <c r="AP174" s="69">
        <v>46296</v>
      </c>
      <c r="AQ174" s="69">
        <v>46327</v>
      </c>
      <c r="AR174" s="69">
        <v>46357</v>
      </c>
      <c r="AS174" s="168" t="s">
        <v>2706</v>
      </c>
      <c r="AU174" s="69">
        <f t="shared" ref="AU174:BG174" si="319">AU3</f>
        <v>46388</v>
      </c>
      <c r="AV174" s="69">
        <f t="shared" si="319"/>
        <v>46419</v>
      </c>
      <c r="AW174" s="69">
        <f t="shared" si="319"/>
        <v>46447</v>
      </c>
      <c r="AX174" s="69">
        <f t="shared" si="319"/>
        <v>46478</v>
      </c>
      <c r="AY174" s="69">
        <f t="shared" si="319"/>
        <v>46508</v>
      </c>
      <c r="AZ174" s="69">
        <f t="shared" si="319"/>
        <v>46539</v>
      </c>
      <c r="BA174" s="69">
        <f t="shared" si="319"/>
        <v>46569</v>
      </c>
      <c r="BB174" s="69">
        <f t="shared" si="319"/>
        <v>46600</v>
      </c>
      <c r="BC174" s="69">
        <f t="shared" si="319"/>
        <v>46631</v>
      </c>
      <c r="BD174" s="69">
        <f t="shared" si="319"/>
        <v>46661</v>
      </c>
      <c r="BE174" s="69">
        <f t="shared" si="319"/>
        <v>46692</v>
      </c>
      <c r="BF174" s="69">
        <f t="shared" si="319"/>
        <v>46722</v>
      </c>
      <c r="BG174" s="168" t="str">
        <f t="shared" si="319"/>
        <v>2027Total</v>
      </c>
    </row>
    <row r="175" spans="1:59" ht="13.5" customHeight="1">
      <c r="A175" s="171">
        <v>1</v>
      </c>
      <c r="B175" s="171" t="s">
        <v>2741</v>
      </c>
      <c r="C175" s="171" t="s">
        <v>1646</v>
      </c>
      <c r="D175" s="171" t="str">
        <f>$D6</f>
        <v>支付的其他与经营活动有关的现金（其他）</v>
      </c>
      <c r="E175" s="171"/>
      <c r="F175" s="172" t="str">
        <f>IF(F30="","",F30)</f>
        <v>Office Supplies</v>
      </c>
      <c r="G175" s="172"/>
      <c r="H175" s="77" t="s">
        <v>2613</v>
      </c>
      <c r="I175" s="173" t="s">
        <v>2614</v>
      </c>
      <c r="J175" s="173" t="s">
        <v>2409</v>
      </c>
      <c r="K175" s="77"/>
      <c r="L175" s="175">
        <v>45658</v>
      </c>
      <c r="M175" s="175">
        <v>46022</v>
      </c>
      <c r="N175" s="176">
        <f>IF(AND(L175="",M175=""),"-",IF(M175="",12,DATEDIF(L175,M175,"M")+1))</f>
        <v>12</v>
      </c>
      <c r="O175" s="177">
        <f t="shared" ref="O175:Z190" si="320">IF(AND($L175&lt;=O$3,O$3&lt;=$M175),$K175/$N175,0)</f>
        <v>0</v>
      </c>
      <c r="P175" s="177">
        <f t="shared" si="320"/>
        <v>0</v>
      </c>
      <c r="Q175" s="177">
        <f t="shared" si="320"/>
        <v>0</v>
      </c>
      <c r="R175" s="177">
        <f t="shared" si="320"/>
        <v>0</v>
      </c>
      <c r="S175" s="177">
        <f t="shared" si="320"/>
        <v>0</v>
      </c>
      <c r="T175" s="177">
        <f t="shared" si="320"/>
        <v>0</v>
      </c>
      <c r="U175" s="177">
        <f t="shared" si="320"/>
        <v>0</v>
      </c>
      <c r="V175" s="177">
        <f t="shared" si="320"/>
        <v>0</v>
      </c>
      <c r="W175" s="177">
        <f t="shared" si="320"/>
        <v>0</v>
      </c>
      <c r="X175" s="177">
        <f t="shared" si="320"/>
        <v>0</v>
      </c>
      <c r="Y175" s="177">
        <f t="shared" si="320"/>
        <v>0</v>
      </c>
      <c r="Z175" s="177">
        <f t="shared" si="320"/>
        <v>0</v>
      </c>
      <c r="AA175" s="178">
        <f>SUM(O175:Z175)</f>
        <v>0</v>
      </c>
      <c r="AB175" s="173" t="s">
        <v>2409</v>
      </c>
      <c r="AC175" s="77"/>
      <c r="AD175" s="175">
        <v>46023</v>
      </c>
      <c r="AE175" s="175">
        <v>46387</v>
      </c>
      <c r="AF175" s="176">
        <f t="shared" ref="AF175:AF194" si="321">IF(AND(AD175="",AE175=""),"-",IF(AE175="",12,DATEDIF(AD175,AE175,"M")+1))</f>
        <v>12</v>
      </c>
      <c r="AG175" s="177">
        <f>IF(AND($AD175&lt;=AG$3,AG$3&lt;=$AE175),$AC175/$AF175*HLOOKUP(AG$3,'FX Lookup'!$A$2:$Y$4,3,FALSE),0)</f>
        <v>0</v>
      </c>
      <c r="AH175" s="177">
        <f>IF(AND($AD175&lt;=AH$3,AH$3&lt;=$AE175),$AC175/$AF175*HLOOKUP(AH$3,'FX Lookup'!$A$2:$Y$4,3,FALSE),0)</f>
        <v>0</v>
      </c>
      <c r="AI175" s="177">
        <f>IF(AND($AD175&lt;=AI$3,AI$3&lt;=$AE175),$AC175/$AF175*HLOOKUP(AI$3,'FX Lookup'!$A$2:$Y$4,3,FALSE),0)</f>
        <v>0</v>
      </c>
      <c r="AJ175" s="177">
        <f>IF(AND($AD175&lt;=AJ$3,AJ$3&lt;=$AE175),$AC175/$AF175*HLOOKUP(AJ$3,'FX Lookup'!$A$2:$Y$4,3,FALSE),0)</f>
        <v>0</v>
      </c>
      <c r="AK175" s="177">
        <f>IF(AND($AD175&lt;=AK$3,AK$3&lt;=$AE175),$AC175/$AF175*HLOOKUP(AK$3,'FX Lookup'!$A$2:$Y$4,3,FALSE),0)</f>
        <v>0</v>
      </c>
      <c r="AL175" s="177">
        <f>IF(AND($AD175&lt;=AL$3,AL$3&lt;=$AE175),$AC175/$AF175*HLOOKUP(AL$3,'FX Lookup'!$A$2:$Y$4,3,FALSE),0)</f>
        <v>0</v>
      </c>
      <c r="AM175" s="177">
        <f>IF(AND($AD175&lt;=AM$3,AM$3&lt;=$AE175),$AC175/$AF175*HLOOKUP(AM$3,'FX Lookup'!$A$2:$Y$4,3,FALSE),0)</f>
        <v>0</v>
      </c>
      <c r="AN175" s="177">
        <f>IF(AND($AD175&lt;=AN$3,AN$3&lt;=$AE175),$AC175/$AF175*HLOOKUP(AN$3,'FX Lookup'!$A$2:$Y$4,3,FALSE),0)</f>
        <v>0</v>
      </c>
      <c r="AO175" s="177">
        <f>IF(AND($AD175&lt;=AO$3,AO$3&lt;=$AE175),$AC175/$AF175*HLOOKUP(AO$3,'FX Lookup'!$A$2:$Y$4,3,FALSE),0)</f>
        <v>0</v>
      </c>
      <c r="AP175" s="177">
        <f>IF(AND($AD175&lt;=AP$3,AP$3&lt;=$AE175),$AC175/$AF175*HLOOKUP(AP$3,'FX Lookup'!$A$2:$Y$4,3,FALSE),0)</f>
        <v>0</v>
      </c>
      <c r="AQ175" s="177">
        <f>IF(AND($AD175&lt;=AQ$3,AQ$3&lt;=$AE175),$AC175/$AF175*HLOOKUP(AQ$3,'FX Lookup'!$A$2:$Y$4,3,FALSE),0)</f>
        <v>0</v>
      </c>
      <c r="AR175" s="177">
        <f>IF(AND($AD175&lt;=AR$3,AR$3&lt;=$AE175),$AC175/$AF175*HLOOKUP(AR$3,'FX Lookup'!$A$2:$Y$4,3,FALSE),0)</f>
        <v>0</v>
      </c>
      <c r="AS175" s="178">
        <f t="shared" ref="AS175:AS194" si="322">SUM(AG175:AR175)</f>
        <v>0</v>
      </c>
      <c r="AU175" s="177">
        <f t="shared" ref="AU175:AU194" si="323">AG175*(1+$AU$1)</f>
        <v>0</v>
      </c>
      <c r="AV175" s="177">
        <f t="shared" ref="AV175:AV194" si="324">AH175*(1+$AU$1)</f>
        <v>0</v>
      </c>
      <c r="AW175" s="177">
        <f t="shared" ref="AW175:AW194" si="325">AI175*(1+$AU$1)</f>
        <v>0</v>
      </c>
      <c r="AX175" s="177">
        <f t="shared" ref="AX175:AX194" si="326">AJ175*(1+$AU$1)</f>
        <v>0</v>
      </c>
      <c r="AY175" s="177">
        <f t="shared" ref="AY175:AY194" si="327">AK175*(1+$AU$1)</f>
        <v>0</v>
      </c>
      <c r="AZ175" s="177">
        <f t="shared" ref="AZ175:AZ194" si="328">AL175*(1+$AU$1)</f>
        <v>0</v>
      </c>
      <c r="BA175" s="177">
        <f t="shared" ref="BA175:BA194" si="329">AM175*(1+$AU$1)</f>
        <v>0</v>
      </c>
      <c r="BB175" s="177">
        <f t="shared" ref="BB175:BB194" si="330">AN175*(1+$AU$1)</f>
        <v>0</v>
      </c>
      <c r="BC175" s="177">
        <f t="shared" ref="BC175:BC194" si="331">AO175*(1+$AU$1)</f>
        <v>0</v>
      </c>
      <c r="BD175" s="177">
        <f t="shared" ref="BD175:BD194" si="332">AP175*(1+$AU$1)</f>
        <v>0</v>
      </c>
      <c r="BE175" s="177">
        <f t="shared" ref="BE175:BE194" si="333">AQ175*(1+$AU$1)</f>
        <v>0</v>
      </c>
      <c r="BF175" s="177">
        <f t="shared" ref="BF175:BF194" si="334">AR175*(1+$AU$1)</f>
        <v>0</v>
      </c>
      <c r="BG175" s="178">
        <f t="shared" ref="BG175:BG194" si="335">SUM(AU175:BF175)</f>
        <v>0</v>
      </c>
    </row>
    <row r="176" spans="1:59" ht="13.5" customHeight="1">
      <c r="A176" s="171">
        <f t="shared" ref="A176:A194" si="336">IF(A175&lt;=0,FALSE,A175+1)</f>
        <v>2</v>
      </c>
      <c r="B176" s="171" t="s">
        <v>2741</v>
      </c>
      <c r="C176" s="171" t="s">
        <v>1844</v>
      </c>
      <c r="D176" s="171" t="str">
        <f t="shared" ref="D176:D194" si="337">$D7</f>
        <v>支付的其他与经营活动有关的现金（其他）</v>
      </c>
      <c r="E176" s="171"/>
      <c r="F176" s="172" t="str">
        <f>IF(F31="","",F31)</f>
        <v>Business registration fees</v>
      </c>
      <c r="G176" s="172"/>
      <c r="H176" s="77" t="s">
        <v>2613</v>
      </c>
      <c r="I176" s="173" t="s">
        <v>2614</v>
      </c>
      <c r="J176" s="173" t="s">
        <v>2409</v>
      </c>
      <c r="K176" s="77"/>
      <c r="L176" s="175">
        <v>45658</v>
      </c>
      <c r="M176" s="175">
        <v>45688</v>
      </c>
      <c r="N176" s="176">
        <f t="shared" ref="N176:N194" si="338">IF(AND(L176="",M176=""),"-",IF(M176="",12,DATEDIF(L176,M176,"M")+1))</f>
        <v>1</v>
      </c>
      <c r="O176" s="177">
        <f t="shared" si="320"/>
        <v>0</v>
      </c>
      <c r="P176" s="177">
        <f t="shared" si="320"/>
        <v>0</v>
      </c>
      <c r="Q176" s="177">
        <f t="shared" si="320"/>
        <v>0</v>
      </c>
      <c r="R176" s="177">
        <f t="shared" si="320"/>
        <v>0</v>
      </c>
      <c r="S176" s="177">
        <f t="shared" si="320"/>
        <v>0</v>
      </c>
      <c r="T176" s="177">
        <f t="shared" si="320"/>
        <v>0</v>
      </c>
      <c r="U176" s="177">
        <f t="shared" si="320"/>
        <v>0</v>
      </c>
      <c r="V176" s="177">
        <f t="shared" si="320"/>
        <v>0</v>
      </c>
      <c r="W176" s="177">
        <f t="shared" si="320"/>
        <v>0</v>
      </c>
      <c r="X176" s="177">
        <f t="shared" si="320"/>
        <v>0</v>
      </c>
      <c r="Y176" s="177">
        <f t="shared" si="320"/>
        <v>0</v>
      </c>
      <c r="Z176" s="177">
        <f t="shared" si="320"/>
        <v>0</v>
      </c>
      <c r="AA176" s="178">
        <f t="shared" ref="AA176:AA194" si="339">SUM(O176:Z176)</f>
        <v>0</v>
      </c>
      <c r="AB176" s="173" t="s">
        <v>2409</v>
      </c>
      <c r="AC176" s="77"/>
      <c r="AD176" s="175">
        <v>46023</v>
      </c>
      <c r="AE176" s="175">
        <v>46053</v>
      </c>
      <c r="AF176" s="176">
        <f t="shared" si="321"/>
        <v>1</v>
      </c>
      <c r="AG176" s="177">
        <f>IF(AND($AD176&lt;=AG$3,AG$3&lt;=$AE176),$AC176/$AF176*HLOOKUP(AG$3,'FX Lookup'!$A$2:$Y$4,3,FALSE),0)</f>
        <v>0</v>
      </c>
      <c r="AH176" s="177">
        <f>IF(AND($AD176&lt;=AH$3,AH$3&lt;=$AE176),$AC176/$AF176*HLOOKUP(AH$3,'FX Lookup'!$A$2:$Y$4,3,FALSE),0)</f>
        <v>0</v>
      </c>
      <c r="AI176" s="177">
        <f>IF(AND($AD176&lt;=AI$3,AI$3&lt;=$AE176),$AC176/$AF176*HLOOKUP(AI$3,'FX Lookup'!$A$2:$Y$4,3,FALSE),0)</f>
        <v>0</v>
      </c>
      <c r="AJ176" s="177">
        <f>IF(AND($AD176&lt;=AJ$3,AJ$3&lt;=$AE176),$AC176/$AF176*HLOOKUP(AJ$3,'FX Lookup'!$A$2:$Y$4,3,FALSE),0)</f>
        <v>0</v>
      </c>
      <c r="AK176" s="177">
        <f>IF(AND($AD176&lt;=AK$3,AK$3&lt;=$AE176),$AC176/$AF176*HLOOKUP(AK$3,'FX Lookup'!$A$2:$Y$4,3,FALSE),0)</f>
        <v>0</v>
      </c>
      <c r="AL176" s="177">
        <f>IF(AND($AD176&lt;=AL$3,AL$3&lt;=$AE176),$AC176/$AF176*HLOOKUP(AL$3,'FX Lookup'!$A$2:$Y$4,3,FALSE),0)</f>
        <v>0</v>
      </c>
      <c r="AM176" s="177">
        <f>IF(AND($AD176&lt;=AM$3,AM$3&lt;=$AE176),$AC176/$AF176*HLOOKUP(AM$3,'FX Lookup'!$A$2:$Y$4,3,FALSE),0)</f>
        <v>0</v>
      </c>
      <c r="AN176" s="177">
        <f>IF(AND($AD176&lt;=AN$3,AN$3&lt;=$AE176),$AC176/$AF176*HLOOKUP(AN$3,'FX Lookup'!$A$2:$Y$4,3,FALSE),0)</f>
        <v>0</v>
      </c>
      <c r="AO176" s="177">
        <f>IF(AND($AD176&lt;=AO$3,AO$3&lt;=$AE176),$AC176/$AF176*HLOOKUP(AO$3,'FX Lookup'!$A$2:$Y$4,3,FALSE),0)</f>
        <v>0</v>
      </c>
      <c r="AP176" s="177">
        <f>IF(AND($AD176&lt;=AP$3,AP$3&lt;=$AE176),$AC176/$AF176*HLOOKUP(AP$3,'FX Lookup'!$A$2:$Y$4,3,FALSE),0)</f>
        <v>0</v>
      </c>
      <c r="AQ176" s="177">
        <f>IF(AND($AD176&lt;=AQ$3,AQ$3&lt;=$AE176),$AC176/$AF176*HLOOKUP(AQ$3,'FX Lookup'!$A$2:$Y$4,3,FALSE),0)</f>
        <v>0</v>
      </c>
      <c r="AR176" s="177">
        <f>IF(AND($AD176&lt;=AR$3,AR$3&lt;=$AE176),$AC176/$AF176*HLOOKUP(AR$3,'FX Lookup'!$A$2:$Y$4,3,FALSE),0)</f>
        <v>0</v>
      </c>
      <c r="AS176" s="178">
        <f t="shared" si="322"/>
        <v>0</v>
      </c>
      <c r="AU176" s="177">
        <f t="shared" si="323"/>
        <v>0</v>
      </c>
      <c r="AV176" s="177">
        <f t="shared" si="324"/>
        <v>0</v>
      </c>
      <c r="AW176" s="177">
        <f t="shared" si="325"/>
        <v>0</v>
      </c>
      <c r="AX176" s="177">
        <f t="shared" si="326"/>
        <v>0</v>
      </c>
      <c r="AY176" s="177">
        <f t="shared" si="327"/>
        <v>0</v>
      </c>
      <c r="AZ176" s="177">
        <f t="shared" si="328"/>
        <v>0</v>
      </c>
      <c r="BA176" s="177">
        <f t="shared" si="329"/>
        <v>0</v>
      </c>
      <c r="BB176" s="177">
        <f t="shared" si="330"/>
        <v>0</v>
      </c>
      <c r="BC176" s="177">
        <f t="shared" si="331"/>
        <v>0</v>
      </c>
      <c r="BD176" s="177">
        <f t="shared" si="332"/>
        <v>0</v>
      </c>
      <c r="BE176" s="177">
        <f t="shared" si="333"/>
        <v>0</v>
      </c>
      <c r="BF176" s="177">
        <f t="shared" si="334"/>
        <v>0</v>
      </c>
      <c r="BG176" s="178">
        <f t="shared" si="335"/>
        <v>0</v>
      </c>
    </row>
    <row r="177" spans="1:59" ht="13.5" customHeight="1">
      <c r="A177" s="171">
        <f t="shared" si="336"/>
        <v>3</v>
      </c>
      <c r="B177" s="171" t="s">
        <v>2741</v>
      </c>
      <c r="C177" s="171" t="s">
        <v>1918</v>
      </c>
      <c r="D177" s="171" t="str">
        <f t="shared" si="337"/>
        <v>支付的其他与经营活动有关的现金（其他）</v>
      </c>
      <c r="E177" s="171"/>
      <c r="F177" s="172" t="str">
        <f>IF(F32="","",F32)</f>
        <v>Bank Handling Charges</v>
      </c>
      <c r="G177" s="172"/>
      <c r="H177" s="77" t="s">
        <v>2613</v>
      </c>
      <c r="I177" s="173" t="s">
        <v>2614</v>
      </c>
      <c r="J177" s="173" t="s">
        <v>2409</v>
      </c>
      <c r="K177" s="77"/>
      <c r="L177" s="175">
        <v>45658</v>
      </c>
      <c r="M177" s="175">
        <v>46022</v>
      </c>
      <c r="N177" s="176">
        <f t="shared" si="338"/>
        <v>12</v>
      </c>
      <c r="O177" s="177">
        <f>IF(AND($L177&lt;=O$3,O$3&lt;=$M177),$K177/$N177,0)</f>
        <v>0</v>
      </c>
      <c r="P177" s="177">
        <f t="shared" si="320"/>
        <v>0</v>
      </c>
      <c r="Q177" s="177">
        <f t="shared" si="320"/>
        <v>0</v>
      </c>
      <c r="R177" s="177">
        <f t="shared" si="320"/>
        <v>0</v>
      </c>
      <c r="S177" s="177">
        <f t="shared" si="320"/>
        <v>0</v>
      </c>
      <c r="T177" s="177">
        <f t="shared" si="320"/>
        <v>0</v>
      </c>
      <c r="U177" s="177">
        <f t="shared" si="320"/>
        <v>0</v>
      </c>
      <c r="V177" s="177">
        <f t="shared" si="320"/>
        <v>0</v>
      </c>
      <c r="W177" s="177">
        <f t="shared" si="320"/>
        <v>0</v>
      </c>
      <c r="X177" s="177">
        <f t="shared" si="320"/>
        <v>0</v>
      </c>
      <c r="Y177" s="177">
        <f t="shared" si="320"/>
        <v>0</v>
      </c>
      <c r="Z177" s="177">
        <f t="shared" si="320"/>
        <v>0</v>
      </c>
      <c r="AA177" s="178">
        <f t="shared" si="339"/>
        <v>0</v>
      </c>
      <c r="AB177" s="173" t="s">
        <v>2409</v>
      </c>
      <c r="AC177" s="77"/>
      <c r="AD177" s="175">
        <v>46023</v>
      </c>
      <c r="AE177" s="175">
        <v>46387</v>
      </c>
      <c r="AF177" s="176">
        <f t="shared" si="321"/>
        <v>12</v>
      </c>
      <c r="AG177" s="177">
        <f>IF(AND($AD177&lt;=AG$3,AG$3&lt;=$AE177),$AC177/$AF177*HLOOKUP(AG$3,'FX Lookup'!$A$2:$Y$4,3,FALSE),0)</f>
        <v>0</v>
      </c>
      <c r="AH177" s="177">
        <f>IF(AND($AD177&lt;=AH$3,AH$3&lt;=$AE177),$AC177/$AF177*HLOOKUP(AH$3,'FX Lookup'!$A$2:$Y$4,3,FALSE),0)</f>
        <v>0</v>
      </c>
      <c r="AI177" s="177">
        <f>IF(AND($AD177&lt;=AI$3,AI$3&lt;=$AE177),$AC177/$AF177*HLOOKUP(AI$3,'FX Lookup'!$A$2:$Y$4,3,FALSE),0)</f>
        <v>0</v>
      </c>
      <c r="AJ177" s="177">
        <f>IF(AND($AD177&lt;=AJ$3,AJ$3&lt;=$AE177),$AC177/$AF177*HLOOKUP(AJ$3,'FX Lookup'!$A$2:$Y$4,3,FALSE),0)</f>
        <v>0</v>
      </c>
      <c r="AK177" s="177">
        <f>IF(AND($AD177&lt;=AK$3,AK$3&lt;=$AE177),$AC177/$AF177*HLOOKUP(AK$3,'FX Lookup'!$A$2:$Y$4,3,FALSE),0)</f>
        <v>0</v>
      </c>
      <c r="AL177" s="177">
        <f>IF(AND($AD177&lt;=AL$3,AL$3&lt;=$AE177),$AC177/$AF177*HLOOKUP(AL$3,'FX Lookup'!$A$2:$Y$4,3,FALSE),0)</f>
        <v>0</v>
      </c>
      <c r="AM177" s="177">
        <f>IF(AND($AD177&lt;=AM$3,AM$3&lt;=$AE177),$AC177/$AF177*HLOOKUP(AM$3,'FX Lookup'!$A$2:$Y$4,3,FALSE),0)</f>
        <v>0</v>
      </c>
      <c r="AN177" s="177">
        <f>IF(AND($AD177&lt;=AN$3,AN$3&lt;=$AE177),$AC177/$AF177*HLOOKUP(AN$3,'FX Lookup'!$A$2:$Y$4,3,FALSE),0)</f>
        <v>0</v>
      </c>
      <c r="AO177" s="177">
        <f>IF(AND($AD177&lt;=AO$3,AO$3&lt;=$AE177),$AC177/$AF177*HLOOKUP(AO$3,'FX Lookup'!$A$2:$Y$4,3,FALSE),0)</f>
        <v>0</v>
      </c>
      <c r="AP177" s="177">
        <f>IF(AND($AD177&lt;=AP$3,AP$3&lt;=$AE177),$AC177/$AF177*HLOOKUP(AP$3,'FX Lookup'!$A$2:$Y$4,3,FALSE),0)</f>
        <v>0</v>
      </c>
      <c r="AQ177" s="177">
        <f>IF(AND($AD177&lt;=AQ$3,AQ$3&lt;=$AE177),$AC177/$AF177*HLOOKUP(AQ$3,'FX Lookup'!$A$2:$Y$4,3,FALSE),0)</f>
        <v>0</v>
      </c>
      <c r="AR177" s="177">
        <f>IF(AND($AD177&lt;=AR$3,AR$3&lt;=$AE177),$AC177/$AF177*HLOOKUP(AR$3,'FX Lookup'!$A$2:$Y$4,3,FALSE),0)</f>
        <v>0</v>
      </c>
      <c r="AS177" s="178">
        <f t="shared" si="322"/>
        <v>0</v>
      </c>
      <c r="AU177" s="177">
        <f t="shared" si="323"/>
        <v>0</v>
      </c>
      <c r="AV177" s="177">
        <f t="shared" si="324"/>
        <v>0</v>
      </c>
      <c r="AW177" s="177">
        <f t="shared" si="325"/>
        <v>0</v>
      </c>
      <c r="AX177" s="177">
        <f t="shared" si="326"/>
        <v>0</v>
      </c>
      <c r="AY177" s="177">
        <f t="shared" si="327"/>
        <v>0</v>
      </c>
      <c r="AZ177" s="177">
        <f t="shared" si="328"/>
        <v>0</v>
      </c>
      <c r="BA177" s="177">
        <f t="shared" si="329"/>
        <v>0</v>
      </c>
      <c r="BB177" s="177">
        <f t="shared" si="330"/>
        <v>0</v>
      </c>
      <c r="BC177" s="177">
        <f t="shared" si="331"/>
        <v>0</v>
      </c>
      <c r="BD177" s="177">
        <f t="shared" si="332"/>
        <v>0</v>
      </c>
      <c r="BE177" s="177">
        <f t="shared" si="333"/>
        <v>0</v>
      </c>
      <c r="BF177" s="177">
        <f t="shared" si="334"/>
        <v>0</v>
      </c>
      <c r="BG177" s="178">
        <f t="shared" si="335"/>
        <v>0</v>
      </c>
    </row>
    <row r="178" spans="1:59" ht="13.5" customHeight="1">
      <c r="A178" s="171">
        <f t="shared" si="336"/>
        <v>4</v>
      </c>
      <c r="B178" s="171" t="s">
        <v>2741</v>
      </c>
      <c r="C178" s="171" t="s">
        <v>1657</v>
      </c>
      <c r="D178" s="171" t="str">
        <f t="shared" si="337"/>
        <v>支付的其他与经营活动有关的现金（其他）</v>
      </c>
      <c r="E178" s="171"/>
      <c r="F178" s="172" t="str">
        <f>IF(F33="","",F33)</f>
        <v>Postage / Freight / Delivery</v>
      </c>
      <c r="G178" s="172"/>
      <c r="H178" s="77" t="s">
        <v>2613</v>
      </c>
      <c r="I178" s="173" t="s">
        <v>2614</v>
      </c>
      <c r="J178" s="173" t="s">
        <v>2409</v>
      </c>
      <c r="K178" s="77"/>
      <c r="L178" s="175">
        <v>45658</v>
      </c>
      <c r="M178" s="175">
        <v>46022</v>
      </c>
      <c r="N178" s="176">
        <f t="shared" si="338"/>
        <v>12</v>
      </c>
      <c r="O178" s="177">
        <f t="shared" ref="O178:Z193" si="340">IF(AND($L178&lt;=O$3,O$3&lt;=$M178),$K178/$N178,0)</f>
        <v>0</v>
      </c>
      <c r="P178" s="177">
        <f t="shared" si="320"/>
        <v>0</v>
      </c>
      <c r="Q178" s="177">
        <f t="shared" si="320"/>
        <v>0</v>
      </c>
      <c r="R178" s="177">
        <f t="shared" si="320"/>
        <v>0</v>
      </c>
      <c r="S178" s="177">
        <f t="shared" si="320"/>
        <v>0</v>
      </c>
      <c r="T178" s="177">
        <f t="shared" si="320"/>
        <v>0</v>
      </c>
      <c r="U178" s="177">
        <f t="shared" si="320"/>
        <v>0</v>
      </c>
      <c r="V178" s="177">
        <f t="shared" si="320"/>
        <v>0</v>
      </c>
      <c r="W178" s="177">
        <f t="shared" si="320"/>
        <v>0</v>
      </c>
      <c r="X178" s="177">
        <f t="shared" si="320"/>
        <v>0</v>
      </c>
      <c r="Y178" s="177">
        <f t="shared" si="320"/>
        <v>0</v>
      </c>
      <c r="Z178" s="177">
        <f t="shared" si="320"/>
        <v>0</v>
      </c>
      <c r="AA178" s="178">
        <f t="shared" si="339"/>
        <v>0</v>
      </c>
      <c r="AB178" s="173" t="s">
        <v>2409</v>
      </c>
      <c r="AC178" s="77"/>
      <c r="AD178" s="175">
        <v>46023</v>
      </c>
      <c r="AE178" s="175">
        <v>46387</v>
      </c>
      <c r="AF178" s="176">
        <f t="shared" si="321"/>
        <v>12</v>
      </c>
      <c r="AG178" s="177">
        <f>IF(AND($AD178&lt;=AG$3,AG$3&lt;=$AE178),$AC178/$AF178*HLOOKUP(AG$3,'FX Lookup'!$A$2:$Y$4,3,FALSE),0)</f>
        <v>0</v>
      </c>
      <c r="AH178" s="177">
        <f>IF(AND($AD178&lt;=AH$3,AH$3&lt;=$AE178),$AC178/$AF178*HLOOKUP(AH$3,'FX Lookup'!$A$2:$Y$4,3,FALSE),0)</f>
        <v>0</v>
      </c>
      <c r="AI178" s="177">
        <f>IF(AND($AD178&lt;=AI$3,AI$3&lt;=$AE178),$AC178/$AF178*HLOOKUP(AI$3,'FX Lookup'!$A$2:$Y$4,3,FALSE),0)</f>
        <v>0</v>
      </c>
      <c r="AJ178" s="177">
        <f>IF(AND($AD178&lt;=AJ$3,AJ$3&lt;=$AE178),$AC178/$AF178*HLOOKUP(AJ$3,'FX Lookup'!$A$2:$Y$4,3,FALSE),0)</f>
        <v>0</v>
      </c>
      <c r="AK178" s="177">
        <f>IF(AND($AD178&lt;=AK$3,AK$3&lt;=$AE178),$AC178/$AF178*HLOOKUP(AK$3,'FX Lookup'!$A$2:$Y$4,3,FALSE),0)</f>
        <v>0</v>
      </c>
      <c r="AL178" s="177">
        <f>IF(AND($AD178&lt;=AL$3,AL$3&lt;=$AE178),$AC178/$AF178*HLOOKUP(AL$3,'FX Lookup'!$A$2:$Y$4,3,FALSE),0)</f>
        <v>0</v>
      </c>
      <c r="AM178" s="177">
        <f>IF(AND($AD178&lt;=AM$3,AM$3&lt;=$AE178),$AC178/$AF178*HLOOKUP(AM$3,'FX Lookup'!$A$2:$Y$4,3,FALSE),0)</f>
        <v>0</v>
      </c>
      <c r="AN178" s="177">
        <f>IF(AND($AD178&lt;=AN$3,AN$3&lt;=$AE178),$AC178/$AF178*HLOOKUP(AN$3,'FX Lookup'!$A$2:$Y$4,3,FALSE),0)</f>
        <v>0</v>
      </c>
      <c r="AO178" s="177">
        <f>IF(AND($AD178&lt;=AO$3,AO$3&lt;=$AE178),$AC178/$AF178*HLOOKUP(AO$3,'FX Lookup'!$A$2:$Y$4,3,FALSE),0)</f>
        <v>0</v>
      </c>
      <c r="AP178" s="177">
        <f>IF(AND($AD178&lt;=AP$3,AP$3&lt;=$AE178),$AC178/$AF178*HLOOKUP(AP$3,'FX Lookup'!$A$2:$Y$4,3,FALSE),0)</f>
        <v>0</v>
      </c>
      <c r="AQ178" s="177">
        <f>IF(AND($AD178&lt;=AQ$3,AQ$3&lt;=$AE178),$AC178/$AF178*HLOOKUP(AQ$3,'FX Lookup'!$A$2:$Y$4,3,FALSE),0)</f>
        <v>0</v>
      </c>
      <c r="AR178" s="177">
        <f>IF(AND($AD178&lt;=AR$3,AR$3&lt;=$AE178),$AC178/$AF178*HLOOKUP(AR$3,'FX Lookup'!$A$2:$Y$4,3,FALSE),0)</f>
        <v>0</v>
      </c>
      <c r="AS178" s="178">
        <f t="shared" si="322"/>
        <v>0</v>
      </c>
      <c r="AU178" s="177">
        <f t="shared" si="323"/>
        <v>0</v>
      </c>
      <c r="AV178" s="177">
        <f t="shared" si="324"/>
        <v>0</v>
      </c>
      <c r="AW178" s="177">
        <f t="shared" si="325"/>
        <v>0</v>
      </c>
      <c r="AX178" s="177">
        <f t="shared" si="326"/>
        <v>0</v>
      </c>
      <c r="AY178" s="177">
        <f t="shared" si="327"/>
        <v>0</v>
      </c>
      <c r="AZ178" s="177">
        <f t="shared" si="328"/>
        <v>0</v>
      </c>
      <c r="BA178" s="177">
        <f t="shared" si="329"/>
        <v>0</v>
      </c>
      <c r="BB178" s="177">
        <f t="shared" si="330"/>
        <v>0</v>
      </c>
      <c r="BC178" s="177">
        <f t="shared" si="331"/>
        <v>0</v>
      </c>
      <c r="BD178" s="177">
        <f t="shared" si="332"/>
        <v>0</v>
      </c>
      <c r="BE178" s="177">
        <f t="shared" si="333"/>
        <v>0</v>
      </c>
      <c r="BF178" s="177">
        <f t="shared" si="334"/>
        <v>0</v>
      </c>
      <c r="BG178" s="178">
        <f t="shared" si="335"/>
        <v>0</v>
      </c>
    </row>
    <row r="179" spans="1:59" ht="13.5" customHeight="1">
      <c r="A179" s="171">
        <f t="shared" si="336"/>
        <v>5</v>
      </c>
      <c r="B179" s="171" t="s">
        <v>2741</v>
      </c>
      <c r="C179" s="171" t="s">
        <v>1862</v>
      </c>
      <c r="D179" s="171" t="str">
        <f t="shared" si="337"/>
        <v>支付的其他与经营活动有关的现金（其他）</v>
      </c>
      <c r="E179" s="171"/>
      <c r="F179" s="172" t="str">
        <f>IF(F34="","",F34)</f>
        <v>Corp. Membership Fee</v>
      </c>
      <c r="G179" s="172"/>
      <c r="H179" s="77" t="s">
        <v>2613</v>
      </c>
      <c r="I179" s="173" t="s">
        <v>2614</v>
      </c>
      <c r="J179" s="173" t="s">
        <v>2409</v>
      </c>
      <c r="K179" s="77"/>
      <c r="L179" s="175">
        <v>45901</v>
      </c>
      <c r="M179" s="175">
        <v>45960</v>
      </c>
      <c r="N179" s="176">
        <f t="shared" si="338"/>
        <v>2</v>
      </c>
      <c r="O179" s="177">
        <f t="shared" si="340"/>
        <v>0</v>
      </c>
      <c r="P179" s="177">
        <f t="shared" si="320"/>
        <v>0</v>
      </c>
      <c r="Q179" s="177">
        <f t="shared" si="320"/>
        <v>0</v>
      </c>
      <c r="R179" s="177">
        <f t="shared" si="320"/>
        <v>0</v>
      </c>
      <c r="S179" s="177">
        <f t="shared" si="320"/>
        <v>0</v>
      </c>
      <c r="T179" s="177">
        <f t="shared" si="320"/>
        <v>0</v>
      </c>
      <c r="U179" s="177">
        <f t="shared" si="320"/>
        <v>0</v>
      </c>
      <c r="V179" s="177">
        <f t="shared" si="320"/>
        <v>0</v>
      </c>
      <c r="W179" s="177">
        <f t="shared" si="320"/>
        <v>0</v>
      </c>
      <c r="X179" s="177">
        <f t="shared" si="320"/>
        <v>0</v>
      </c>
      <c r="Y179" s="177">
        <f t="shared" si="320"/>
        <v>0</v>
      </c>
      <c r="Z179" s="177">
        <f t="shared" si="320"/>
        <v>0</v>
      </c>
      <c r="AA179" s="178">
        <f t="shared" si="339"/>
        <v>0</v>
      </c>
      <c r="AB179" s="173" t="s">
        <v>2409</v>
      </c>
      <c r="AC179" s="77"/>
      <c r="AD179" s="175">
        <v>46266</v>
      </c>
      <c r="AE179" s="175">
        <v>46325</v>
      </c>
      <c r="AF179" s="176">
        <f t="shared" si="321"/>
        <v>2</v>
      </c>
      <c r="AG179" s="177">
        <f>IF(AND($AD179&lt;=AG$3,AG$3&lt;=$AE179),$AC179/$AF179*HLOOKUP(AG$3,'FX Lookup'!$A$2:$Y$4,3,FALSE),0)</f>
        <v>0</v>
      </c>
      <c r="AH179" s="177">
        <f>IF(AND($AD179&lt;=AH$3,AH$3&lt;=$AE179),$AC179/$AF179*HLOOKUP(AH$3,'FX Lookup'!$A$2:$Y$4,3,FALSE),0)</f>
        <v>0</v>
      </c>
      <c r="AI179" s="177">
        <f>IF(AND($AD179&lt;=AI$3,AI$3&lt;=$AE179),$AC179/$AF179*HLOOKUP(AI$3,'FX Lookup'!$A$2:$Y$4,3,FALSE),0)</f>
        <v>0</v>
      </c>
      <c r="AJ179" s="177">
        <f>IF(AND($AD179&lt;=AJ$3,AJ$3&lt;=$AE179),$AC179/$AF179*HLOOKUP(AJ$3,'FX Lookup'!$A$2:$Y$4,3,FALSE),0)</f>
        <v>0</v>
      </c>
      <c r="AK179" s="177">
        <f>IF(AND($AD179&lt;=AK$3,AK$3&lt;=$AE179),$AC179/$AF179*HLOOKUP(AK$3,'FX Lookup'!$A$2:$Y$4,3,FALSE),0)</f>
        <v>0</v>
      </c>
      <c r="AL179" s="177">
        <f>IF(AND($AD179&lt;=AL$3,AL$3&lt;=$AE179),$AC179/$AF179*HLOOKUP(AL$3,'FX Lookup'!$A$2:$Y$4,3,FALSE),0)</f>
        <v>0</v>
      </c>
      <c r="AM179" s="177">
        <f>IF(AND($AD179&lt;=AM$3,AM$3&lt;=$AE179),$AC179/$AF179*HLOOKUP(AM$3,'FX Lookup'!$A$2:$Y$4,3,FALSE),0)</f>
        <v>0</v>
      </c>
      <c r="AN179" s="177">
        <f>IF(AND($AD179&lt;=AN$3,AN$3&lt;=$AE179),$AC179/$AF179*HLOOKUP(AN$3,'FX Lookup'!$A$2:$Y$4,3,FALSE),0)</f>
        <v>0</v>
      </c>
      <c r="AO179" s="177">
        <f>IF(AND($AD179&lt;=AO$3,AO$3&lt;=$AE179),$AC179/$AF179*HLOOKUP(AO$3,'FX Lookup'!$A$2:$Y$4,3,FALSE),0)</f>
        <v>0</v>
      </c>
      <c r="AP179" s="177">
        <f>IF(AND($AD179&lt;=AP$3,AP$3&lt;=$AE179),$AC179/$AF179*HLOOKUP(AP$3,'FX Lookup'!$A$2:$Y$4,3,FALSE),0)</f>
        <v>0</v>
      </c>
      <c r="AQ179" s="177">
        <f>IF(AND($AD179&lt;=AQ$3,AQ$3&lt;=$AE179),$AC179/$AF179*HLOOKUP(AQ$3,'FX Lookup'!$A$2:$Y$4,3,FALSE),0)</f>
        <v>0</v>
      </c>
      <c r="AR179" s="177">
        <f>IF(AND($AD179&lt;=AR$3,AR$3&lt;=$AE179),$AC179/$AF179*HLOOKUP(AR$3,'FX Lookup'!$A$2:$Y$4,3,FALSE),0)</f>
        <v>0</v>
      </c>
      <c r="AS179" s="178">
        <f t="shared" si="322"/>
        <v>0</v>
      </c>
      <c r="AU179" s="177">
        <f t="shared" si="323"/>
        <v>0</v>
      </c>
      <c r="AV179" s="177">
        <f t="shared" si="324"/>
        <v>0</v>
      </c>
      <c r="AW179" s="177">
        <f t="shared" si="325"/>
        <v>0</v>
      </c>
      <c r="AX179" s="177">
        <f t="shared" si="326"/>
        <v>0</v>
      </c>
      <c r="AY179" s="177">
        <f t="shared" si="327"/>
        <v>0</v>
      </c>
      <c r="AZ179" s="177">
        <f t="shared" si="328"/>
        <v>0</v>
      </c>
      <c r="BA179" s="177">
        <f t="shared" si="329"/>
        <v>0</v>
      </c>
      <c r="BB179" s="177">
        <f t="shared" si="330"/>
        <v>0</v>
      </c>
      <c r="BC179" s="177">
        <f t="shared" si="331"/>
        <v>0</v>
      </c>
      <c r="BD179" s="177">
        <f t="shared" si="332"/>
        <v>0</v>
      </c>
      <c r="BE179" s="177">
        <f t="shared" si="333"/>
        <v>0</v>
      </c>
      <c r="BF179" s="177">
        <f t="shared" si="334"/>
        <v>0</v>
      </c>
      <c r="BG179" s="178">
        <f t="shared" si="335"/>
        <v>0</v>
      </c>
    </row>
    <row r="180" spans="1:59" ht="13.5" customHeight="1">
      <c r="A180" s="171">
        <f t="shared" si="336"/>
        <v>6</v>
      </c>
      <c r="B180" s="171" t="s">
        <v>2741</v>
      </c>
      <c r="C180" s="171" t="s">
        <v>1676</v>
      </c>
      <c r="D180" s="171" t="str">
        <f t="shared" si="337"/>
        <v>支付的其他与经营活动有关的现金（其他）</v>
      </c>
      <c r="E180" s="171"/>
      <c r="F180" s="172" t="s">
        <v>1679</v>
      </c>
      <c r="G180" s="172"/>
      <c r="H180" s="77" t="s">
        <v>2613</v>
      </c>
      <c r="I180" s="173" t="s">
        <v>2614</v>
      </c>
      <c r="J180" s="173" t="s">
        <v>2409</v>
      </c>
      <c r="K180" s="77"/>
      <c r="L180" s="175">
        <v>45658</v>
      </c>
      <c r="M180" s="175">
        <v>46022</v>
      </c>
      <c r="N180" s="176">
        <f t="shared" si="338"/>
        <v>12</v>
      </c>
      <c r="O180" s="177">
        <f t="shared" si="340"/>
        <v>0</v>
      </c>
      <c r="P180" s="177">
        <f t="shared" si="320"/>
        <v>0</v>
      </c>
      <c r="Q180" s="177">
        <f t="shared" si="320"/>
        <v>0</v>
      </c>
      <c r="R180" s="177">
        <f t="shared" si="320"/>
        <v>0</v>
      </c>
      <c r="S180" s="177">
        <f t="shared" si="320"/>
        <v>0</v>
      </c>
      <c r="T180" s="177">
        <f t="shared" si="320"/>
        <v>0</v>
      </c>
      <c r="U180" s="177">
        <f t="shared" si="320"/>
        <v>0</v>
      </c>
      <c r="V180" s="177">
        <f t="shared" si="320"/>
        <v>0</v>
      </c>
      <c r="W180" s="177">
        <f t="shared" si="320"/>
        <v>0</v>
      </c>
      <c r="X180" s="177">
        <f t="shared" si="320"/>
        <v>0</v>
      </c>
      <c r="Y180" s="177">
        <f t="shared" si="320"/>
        <v>0</v>
      </c>
      <c r="Z180" s="177">
        <f t="shared" si="320"/>
        <v>0</v>
      </c>
      <c r="AA180" s="178">
        <f t="shared" si="339"/>
        <v>0</v>
      </c>
      <c r="AB180" s="173" t="s">
        <v>2409</v>
      </c>
      <c r="AC180" s="77"/>
      <c r="AD180" s="175">
        <v>46023</v>
      </c>
      <c r="AE180" s="175">
        <v>46387</v>
      </c>
      <c r="AF180" s="176">
        <f t="shared" si="321"/>
        <v>12</v>
      </c>
      <c r="AG180" s="177">
        <f>IF(AND($AD180&lt;=AG$3,AG$3&lt;=$AE180),$AC180/$AF180*HLOOKUP(AG$3,'FX Lookup'!$A$2:$Y$4,3,FALSE),0)</f>
        <v>0</v>
      </c>
      <c r="AH180" s="177">
        <f>IF(AND($AD180&lt;=AH$3,AH$3&lt;=$AE180),$AC180/$AF180*HLOOKUP(AH$3,'FX Lookup'!$A$2:$Y$4,3,FALSE),0)</f>
        <v>0</v>
      </c>
      <c r="AI180" s="177">
        <f>IF(AND($AD180&lt;=AI$3,AI$3&lt;=$AE180),$AC180/$AF180*HLOOKUP(AI$3,'FX Lookup'!$A$2:$Y$4,3,FALSE),0)</f>
        <v>0</v>
      </c>
      <c r="AJ180" s="177">
        <f>IF(AND($AD180&lt;=AJ$3,AJ$3&lt;=$AE180),$AC180/$AF180*HLOOKUP(AJ$3,'FX Lookup'!$A$2:$Y$4,3,FALSE),0)</f>
        <v>0</v>
      </c>
      <c r="AK180" s="177">
        <f>IF(AND($AD180&lt;=AK$3,AK$3&lt;=$AE180),$AC180/$AF180*HLOOKUP(AK$3,'FX Lookup'!$A$2:$Y$4,3,FALSE),0)</f>
        <v>0</v>
      </c>
      <c r="AL180" s="177">
        <f>IF(AND($AD180&lt;=AL$3,AL$3&lt;=$AE180),$AC180/$AF180*HLOOKUP(AL$3,'FX Lookup'!$A$2:$Y$4,3,FALSE),0)</f>
        <v>0</v>
      </c>
      <c r="AM180" s="177">
        <f>IF(AND($AD180&lt;=AM$3,AM$3&lt;=$AE180),$AC180/$AF180*HLOOKUP(AM$3,'FX Lookup'!$A$2:$Y$4,3,FALSE),0)</f>
        <v>0</v>
      </c>
      <c r="AN180" s="177">
        <f>IF(AND($AD180&lt;=AN$3,AN$3&lt;=$AE180),$AC180/$AF180*HLOOKUP(AN$3,'FX Lookup'!$A$2:$Y$4,3,FALSE),0)</f>
        <v>0</v>
      </c>
      <c r="AO180" s="177">
        <f>IF(AND($AD180&lt;=AO$3,AO$3&lt;=$AE180),$AC180/$AF180*HLOOKUP(AO$3,'FX Lookup'!$A$2:$Y$4,3,FALSE),0)</f>
        <v>0</v>
      </c>
      <c r="AP180" s="177">
        <f>IF(AND($AD180&lt;=AP$3,AP$3&lt;=$AE180),$AC180/$AF180*HLOOKUP(AP$3,'FX Lookup'!$A$2:$Y$4,3,FALSE),0)</f>
        <v>0</v>
      </c>
      <c r="AQ180" s="177">
        <f>IF(AND($AD180&lt;=AQ$3,AQ$3&lt;=$AE180),$AC180/$AF180*HLOOKUP(AQ$3,'FX Lookup'!$A$2:$Y$4,3,FALSE),0)</f>
        <v>0</v>
      </c>
      <c r="AR180" s="177">
        <f>IF(AND($AD180&lt;=AR$3,AR$3&lt;=$AE180),$AC180/$AF180*HLOOKUP(AR$3,'FX Lookup'!$A$2:$Y$4,3,FALSE),0)</f>
        <v>0</v>
      </c>
      <c r="AS180" s="178">
        <f t="shared" si="322"/>
        <v>0</v>
      </c>
      <c r="AU180" s="177">
        <f t="shared" si="323"/>
        <v>0</v>
      </c>
      <c r="AV180" s="177">
        <f t="shared" si="324"/>
        <v>0</v>
      </c>
      <c r="AW180" s="177">
        <f t="shared" si="325"/>
        <v>0</v>
      </c>
      <c r="AX180" s="177">
        <f t="shared" si="326"/>
        <v>0</v>
      </c>
      <c r="AY180" s="177">
        <f t="shared" si="327"/>
        <v>0</v>
      </c>
      <c r="AZ180" s="177">
        <f t="shared" si="328"/>
        <v>0</v>
      </c>
      <c r="BA180" s="177">
        <f t="shared" si="329"/>
        <v>0</v>
      </c>
      <c r="BB180" s="177">
        <f t="shared" si="330"/>
        <v>0</v>
      </c>
      <c r="BC180" s="177">
        <f t="shared" si="331"/>
        <v>0</v>
      </c>
      <c r="BD180" s="177">
        <f t="shared" si="332"/>
        <v>0</v>
      </c>
      <c r="BE180" s="177">
        <f t="shared" si="333"/>
        <v>0</v>
      </c>
      <c r="BF180" s="177">
        <f t="shared" si="334"/>
        <v>0</v>
      </c>
      <c r="BG180" s="178">
        <f t="shared" si="335"/>
        <v>0</v>
      </c>
    </row>
    <row r="181" spans="1:59" ht="13.5" customHeight="1">
      <c r="A181" s="171">
        <f t="shared" si="336"/>
        <v>7</v>
      </c>
      <c r="B181" s="171" t="s">
        <v>2741</v>
      </c>
      <c r="C181" s="171" t="s">
        <v>1684</v>
      </c>
      <c r="D181" s="171" t="str">
        <f t="shared" si="337"/>
        <v>支付的其他与经营活动有关的现金（其他）</v>
      </c>
      <c r="E181" s="171"/>
      <c r="F181" s="172" t="str">
        <f t="shared" ref="F181:F194" si="341">IF(F36="","",F36)</f>
        <v>Water Dispenser Inspection Fee</v>
      </c>
      <c r="G181" s="172"/>
      <c r="H181" s="77" t="s">
        <v>2613</v>
      </c>
      <c r="I181" s="173" t="s">
        <v>2614</v>
      </c>
      <c r="J181" s="173" t="s">
        <v>2409</v>
      </c>
      <c r="K181" s="77"/>
      <c r="L181" s="175">
        <v>45962</v>
      </c>
      <c r="M181" s="175">
        <v>45991</v>
      </c>
      <c r="N181" s="176">
        <f t="shared" si="338"/>
        <v>1</v>
      </c>
      <c r="O181" s="177">
        <f t="shared" si="340"/>
        <v>0</v>
      </c>
      <c r="P181" s="177">
        <f t="shared" si="320"/>
        <v>0</v>
      </c>
      <c r="Q181" s="177">
        <f t="shared" si="320"/>
        <v>0</v>
      </c>
      <c r="R181" s="177">
        <f t="shared" si="320"/>
        <v>0</v>
      </c>
      <c r="S181" s="177">
        <f t="shared" si="320"/>
        <v>0</v>
      </c>
      <c r="T181" s="177">
        <f t="shared" si="320"/>
        <v>0</v>
      </c>
      <c r="U181" s="177">
        <f t="shared" si="320"/>
        <v>0</v>
      </c>
      <c r="V181" s="177">
        <f t="shared" si="320"/>
        <v>0</v>
      </c>
      <c r="W181" s="177">
        <f t="shared" si="320"/>
        <v>0</v>
      </c>
      <c r="X181" s="177">
        <f t="shared" si="320"/>
        <v>0</v>
      </c>
      <c r="Y181" s="177">
        <f t="shared" si="320"/>
        <v>0</v>
      </c>
      <c r="Z181" s="177">
        <f t="shared" si="320"/>
        <v>0</v>
      </c>
      <c r="AA181" s="178">
        <f t="shared" si="339"/>
        <v>0</v>
      </c>
      <c r="AB181" s="173" t="s">
        <v>2409</v>
      </c>
      <c r="AC181" s="77"/>
      <c r="AD181" s="175">
        <v>46327</v>
      </c>
      <c r="AE181" s="175">
        <v>46356</v>
      </c>
      <c r="AF181" s="176">
        <f t="shared" si="321"/>
        <v>1</v>
      </c>
      <c r="AG181" s="177">
        <f>IF(AND($AD181&lt;=AG$3,AG$3&lt;=$AE181),$AC181/$AF181*HLOOKUP(AG$3,'FX Lookup'!$A$2:$Y$4,3,FALSE),0)</f>
        <v>0</v>
      </c>
      <c r="AH181" s="177">
        <f>IF(AND($AD181&lt;=AH$3,AH$3&lt;=$AE181),$AC181/$AF181*HLOOKUP(AH$3,'FX Lookup'!$A$2:$Y$4,3,FALSE),0)</f>
        <v>0</v>
      </c>
      <c r="AI181" s="177">
        <f>IF(AND($AD181&lt;=AI$3,AI$3&lt;=$AE181),$AC181/$AF181*HLOOKUP(AI$3,'FX Lookup'!$A$2:$Y$4,3,FALSE),0)</f>
        <v>0</v>
      </c>
      <c r="AJ181" s="177">
        <f>IF(AND($AD181&lt;=AJ$3,AJ$3&lt;=$AE181),$AC181/$AF181*HLOOKUP(AJ$3,'FX Lookup'!$A$2:$Y$4,3,FALSE),0)</f>
        <v>0</v>
      </c>
      <c r="AK181" s="177">
        <f>IF(AND($AD181&lt;=AK$3,AK$3&lt;=$AE181),$AC181/$AF181*HLOOKUP(AK$3,'FX Lookup'!$A$2:$Y$4,3,FALSE),0)</f>
        <v>0</v>
      </c>
      <c r="AL181" s="177">
        <f>IF(AND($AD181&lt;=AL$3,AL$3&lt;=$AE181),$AC181/$AF181*HLOOKUP(AL$3,'FX Lookup'!$A$2:$Y$4,3,FALSE),0)</f>
        <v>0</v>
      </c>
      <c r="AM181" s="177">
        <f>IF(AND($AD181&lt;=AM$3,AM$3&lt;=$AE181),$AC181/$AF181*HLOOKUP(AM$3,'FX Lookup'!$A$2:$Y$4,3,FALSE),0)</f>
        <v>0</v>
      </c>
      <c r="AN181" s="177">
        <f>IF(AND($AD181&lt;=AN$3,AN$3&lt;=$AE181),$AC181/$AF181*HLOOKUP(AN$3,'FX Lookup'!$A$2:$Y$4,3,FALSE),0)</f>
        <v>0</v>
      </c>
      <c r="AO181" s="177">
        <f>IF(AND($AD181&lt;=AO$3,AO$3&lt;=$AE181),$AC181/$AF181*HLOOKUP(AO$3,'FX Lookup'!$A$2:$Y$4,3,FALSE),0)</f>
        <v>0</v>
      </c>
      <c r="AP181" s="177">
        <f>IF(AND($AD181&lt;=AP$3,AP$3&lt;=$AE181),$AC181/$AF181*HLOOKUP(AP$3,'FX Lookup'!$A$2:$Y$4,3,FALSE),0)</f>
        <v>0</v>
      </c>
      <c r="AQ181" s="177">
        <f>IF(AND($AD181&lt;=AQ$3,AQ$3&lt;=$AE181),$AC181/$AF181*HLOOKUP(AQ$3,'FX Lookup'!$A$2:$Y$4,3,FALSE),0)</f>
        <v>0</v>
      </c>
      <c r="AR181" s="177">
        <f>IF(AND($AD181&lt;=AR$3,AR$3&lt;=$AE181),$AC181/$AF181*HLOOKUP(AR$3,'FX Lookup'!$A$2:$Y$4,3,FALSE),0)</f>
        <v>0</v>
      </c>
      <c r="AS181" s="178">
        <f t="shared" si="322"/>
        <v>0</v>
      </c>
      <c r="AU181" s="177">
        <f t="shared" si="323"/>
        <v>0</v>
      </c>
      <c r="AV181" s="177">
        <f t="shared" si="324"/>
        <v>0</v>
      </c>
      <c r="AW181" s="177">
        <f t="shared" si="325"/>
        <v>0</v>
      </c>
      <c r="AX181" s="177">
        <f t="shared" si="326"/>
        <v>0</v>
      </c>
      <c r="AY181" s="177">
        <f t="shared" si="327"/>
        <v>0</v>
      </c>
      <c r="AZ181" s="177">
        <f t="shared" si="328"/>
        <v>0</v>
      </c>
      <c r="BA181" s="177">
        <f t="shared" si="329"/>
        <v>0</v>
      </c>
      <c r="BB181" s="177">
        <f t="shared" si="330"/>
        <v>0</v>
      </c>
      <c r="BC181" s="177">
        <f t="shared" si="331"/>
        <v>0</v>
      </c>
      <c r="BD181" s="177">
        <f t="shared" si="332"/>
        <v>0</v>
      </c>
      <c r="BE181" s="177">
        <f t="shared" si="333"/>
        <v>0</v>
      </c>
      <c r="BF181" s="177">
        <f t="shared" si="334"/>
        <v>0</v>
      </c>
      <c r="BG181" s="178">
        <f t="shared" si="335"/>
        <v>0</v>
      </c>
    </row>
    <row r="182" spans="1:59" ht="13.5" customHeight="1">
      <c r="A182" s="171">
        <f t="shared" si="336"/>
        <v>8</v>
      </c>
      <c r="B182" s="171" t="s">
        <v>2741</v>
      </c>
      <c r="C182" s="171" t="s">
        <v>1894</v>
      </c>
      <c r="D182" s="171" t="str">
        <f t="shared" si="337"/>
        <v>汇率变动对现金的影响额</v>
      </c>
      <c r="E182" s="171"/>
      <c r="F182" s="172" t="str">
        <f t="shared" si="341"/>
        <v>FX Gain / Loss Net</v>
      </c>
      <c r="G182" s="172"/>
      <c r="H182" s="77" t="s">
        <v>2613</v>
      </c>
      <c r="I182" s="173" t="s">
        <v>2614</v>
      </c>
      <c r="J182" s="173" t="s">
        <v>2409</v>
      </c>
      <c r="K182" s="77"/>
      <c r="L182" s="175">
        <v>45658</v>
      </c>
      <c r="M182" s="175">
        <v>46022</v>
      </c>
      <c r="N182" s="176">
        <f t="shared" si="338"/>
        <v>12</v>
      </c>
      <c r="O182" s="177">
        <f t="shared" si="340"/>
        <v>0</v>
      </c>
      <c r="P182" s="177">
        <f t="shared" si="320"/>
        <v>0</v>
      </c>
      <c r="Q182" s="177">
        <f t="shared" si="320"/>
        <v>0</v>
      </c>
      <c r="R182" s="177">
        <f t="shared" si="320"/>
        <v>0</v>
      </c>
      <c r="S182" s="177">
        <f t="shared" si="320"/>
        <v>0</v>
      </c>
      <c r="T182" s="177">
        <f t="shared" si="320"/>
        <v>0</v>
      </c>
      <c r="U182" s="177">
        <f t="shared" si="320"/>
        <v>0</v>
      </c>
      <c r="V182" s="177">
        <f t="shared" si="320"/>
        <v>0</v>
      </c>
      <c r="W182" s="177">
        <f t="shared" si="320"/>
        <v>0</v>
      </c>
      <c r="X182" s="177">
        <f t="shared" si="320"/>
        <v>0</v>
      </c>
      <c r="Y182" s="177">
        <f t="shared" si="320"/>
        <v>0</v>
      </c>
      <c r="Z182" s="177">
        <f t="shared" si="320"/>
        <v>0</v>
      </c>
      <c r="AA182" s="178">
        <f t="shared" si="339"/>
        <v>0</v>
      </c>
      <c r="AB182" s="173" t="s">
        <v>2409</v>
      </c>
      <c r="AC182" s="77"/>
      <c r="AD182" s="175">
        <v>46023</v>
      </c>
      <c r="AE182" s="175">
        <v>46387</v>
      </c>
      <c r="AF182" s="176">
        <f t="shared" si="321"/>
        <v>12</v>
      </c>
      <c r="AG182" s="177">
        <f>IF(AND($AD182&lt;=AG$3,AG$3&lt;=$AE182),$AC182/$AF182*HLOOKUP(AG$3,'FX Lookup'!$A$2:$Y$4,3,FALSE),0)</f>
        <v>0</v>
      </c>
      <c r="AH182" s="177">
        <f>IF(AND($AD182&lt;=AH$3,AH$3&lt;=$AE182),$AC182/$AF182*HLOOKUP(AH$3,'FX Lookup'!$A$2:$Y$4,3,FALSE),0)</f>
        <v>0</v>
      </c>
      <c r="AI182" s="177">
        <f>IF(AND($AD182&lt;=AI$3,AI$3&lt;=$AE182),$AC182/$AF182*HLOOKUP(AI$3,'FX Lookup'!$A$2:$Y$4,3,FALSE),0)</f>
        <v>0</v>
      </c>
      <c r="AJ182" s="177">
        <f>IF(AND($AD182&lt;=AJ$3,AJ$3&lt;=$AE182),$AC182/$AF182*HLOOKUP(AJ$3,'FX Lookup'!$A$2:$Y$4,3,FALSE),0)</f>
        <v>0</v>
      </c>
      <c r="AK182" s="177">
        <f>IF(AND($AD182&lt;=AK$3,AK$3&lt;=$AE182),$AC182/$AF182*HLOOKUP(AK$3,'FX Lookup'!$A$2:$Y$4,3,FALSE),0)</f>
        <v>0</v>
      </c>
      <c r="AL182" s="177">
        <f>IF(AND($AD182&lt;=AL$3,AL$3&lt;=$AE182),$AC182/$AF182*HLOOKUP(AL$3,'FX Lookup'!$A$2:$Y$4,3,FALSE),0)</f>
        <v>0</v>
      </c>
      <c r="AM182" s="177">
        <f>IF(AND($AD182&lt;=AM$3,AM$3&lt;=$AE182),$AC182/$AF182*HLOOKUP(AM$3,'FX Lookup'!$A$2:$Y$4,3,FALSE),0)</f>
        <v>0</v>
      </c>
      <c r="AN182" s="177">
        <f>IF(AND($AD182&lt;=AN$3,AN$3&lt;=$AE182),$AC182/$AF182*HLOOKUP(AN$3,'FX Lookup'!$A$2:$Y$4,3,FALSE),0)</f>
        <v>0</v>
      </c>
      <c r="AO182" s="177">
        <f>IF(AND($AD182&lt;=AO$3,AO$3&lt;=$AE182),$AC182/$AF182*HLOOKUP(AO$3,'FX Lookup'!$A$2:$Y$4,3,FALSE),0)</f>
        <v>0</v>
      </c>
      <c r="AP182" s="177">
        <f>IF(AND($AD182&lt;=AP$3,AP$3&lt;=$AE182),$AC182/$AF182*HLOOKUP(AP$3,'FX Lookup'!$A$2:$Y$4,3,FALSE),0)</f>
        <v>0</v>
      </c>
      <c r="AQ182" s="177">
        <f>IF(AND($AD182&lt;=AQ$3,AQ$3&lt;=$AE182),$AC182/$AF182*HLOOKUP(AQ$3,'FX Lookup'!$A$2:$Y$4,3,FALSE),0)</f>
        <v>0</v>
      </c>
      <c r="AR182" s="177">
        <f>IF(AND($AD182&lt;=AR$3,AR$3&lt;=$AE182),$AC182/$AF182*HLOOKUP(AR$3,'FX Lookup'!$A$2:$Y$4,3,FALSE),0)</f>
        <v>0</v>
      </c>
      <c r="AS182" s="178">
        <f t="shared" si="322"/>
        <v>0</v>
      </c>
      <c r="AU182" s="177">
        <f t="shared" si="323"/>
        <v>0</v>
      </c>
      <c r="AV182" s="177">
        <f t="shared" si="324"/>
        <v>0</v>
      </c>
      <c r="AW182" s="177">
        <f t="shared" si="325"/>
        <v>0</v>
      </c>
      <c r="AX182" s="177">
        <f t="shared" si="326"/>
        <v>0</v>
      </c>
      <c r="AY182" s="177">
        <f t="shared" si="327"/>
        <v>0</v>
      </c>
      <c r="AZ182" s="177">
        <f t="shared" si="328"/>
        <v>0</v>
      </c>
      <c r="BA182" s="177">
        <f t="shared" si="329"/>
        <v>0</v>
      </c>
      <c r="BB182" s="177">
        <f t="shared" si="330"/>
        <v>0</v>
      </c>
      <c r="BC182" s="177">
        <f t="shared" si="331"/>
        <v>0</v>
      </c>
      <c r="BD182" s="177">
        <f t="shared" si="332"/>
        <v>0</v>
      </c>
      <c r="BE182" s="177">
        <f t="shared" si="333"/>
        <v>0</v>
      </c>
      <c r="BF182" s="177">
        <f t="shared" si="334"/>
        <v>0</v>
      </c>
      <c r="BG182" s="178">
        <f t="shared" si="335"/>
        <v>0</v>
      </c>
    </row>
    <row r="183" spans="1:59" ht="13.5" customHeight="1">
      <c r="A183" s="171">
        <f t="shared" si="336"/>
        <v>9</v>
      </c>
      <c r="B183" s="171" t="s">
        <v>2741</v>
      </c>
      <c r="C183" s="171" t="s">
        <v>1646</v>
      </c>
      <c r="D183" s="171" t="str">
        <f t="shared" si="337"/>
        <v>支付的其他与经营活动有关的现金（其他）</v>
      </c>
      <c r="E183" s="171"/>
      <c r="F183" s="172" t="str">
        <f t="shared" si="341"/>
        <v>Printing</v>
      </c>
      <c r="G183" s="172"/>
      <c r="H183" s="77" t="s">
        <v>2613</v>
      </c>
      <c r="I183" s="173" t="s">
        <v>2614</v>
      </c>
      <c r="J183" s="173" t="s">
        <v>2409</v>
      </c>
      <c r="K183" s="77"/>
      <c r="L183" s="175">
        <v>45658</v>
      </c>
      <c r="M183" s="175">
        <v>46022</v>
      </c>
      <c r="N183" s="176">
        <f t="shared" si="338"/>
        <v>12</v>
      </c>
      <c r="O183" s="177">
        <f t="shared" si="340"/>
        <v>0</v>
      </c>
      <c r="P183" s="177">
        <f t="shared" si="320"/>
        <v>0</v>
      </c>
      <c r="Q183" s="177">
        <f t="shared" si="320"/>
        <v>0</v>
      </c>
      <c r="R183" s="177">
        <f t="shared" si="320"/>
        <v>0</v>
      </c>
      <c r="S183" s="177">
        <f t="shared" si="320"/>
        <v>0</v>
      </c>
      <c r="T183" s="177">
        <f t="shared" si="320"/>
        <v>0</v>
      </c>
      <c r="U183" s="177">
        <f t="shared" si="320"/>
        <v>0</v>
      </c>
      <c r="V183" s="177">
        <f t="shared" si="320"/>
        <v>0</v>
      </c>
      <c r="W183" s="177">
        <f t="shared" si="320"/>
        <v>0</v>
      </c>
      <c r="X183" s="177">
        <f t="shared" si="320"/>
        <v>0</v>
      </c>
      <c r="Y183" s="177">
        <f t="shared" si="320"/>
        <v>0</v>
      </c>
      <c r="Z183" s="177">
        <f t="shared" si="320"/>
        <v>0</v>
      </c>
      <c r="AA183" s="178">
        <f t="shared" si="339"/>
        <v>0</v>
      </c>
      <c r="AB183" s="173" t="s">
        <v>2409</v>
      </c>
      <c r="AC183" s="77"/>
      <c r="AD183" s="175">
        <v>46023</v>
      </c>
      <c r="AE183" s="175">
        <v>46387</v>
      </c>
      <c r="AF183" s="176">
        <f t="shared" si="321"/>
        <v>12</v>
      </c>
      <c r="AG183" s="177">
        <f>IF(AND($AD183&lt;=AG$3,AG$3&lt;=$AE183),$AC183/$AF183*HLOOKUP(AG$3,'FX Lookup'!$A$2:$Y$4,3,FALSE),0)</f>
        <v>0</v>
      </c>
      <c r="AH183" s="177">
        <f>IF(AND($AD183&lt;=AH$3,AH$3&lt;=$AE183),$AC183/$AF183*HLOOKUP(AH$3,'FX Lookup'!$A$2:$Y$4,3,FALSE),0)</f>
        <v>0</v>
      </c>
      <c r="AI183" s="177">
        <f>IF(AND($AD183&lt;=AI$3,AI$3&lt;=$AE183),$AC183/$AF183*HLOOKUP(AI$3,'FX Lookup'!$A$2:$Y$4,3,FALSE),0)</f>
        <v>0</v>
      </c>
      <c r="AJ183" s="177">
        <f>IF(AND($AD183&lt;=AJ$3,AJ$3&lt;=$AE183),$AC183/$AF183*HLOOKUP(AJ$3,'FX Lookup'!$A$2:$Y$4,3,FALSE),0)</f>
        <v>0</v>
      </c>
      <c r="AK183" s="177">
        <f>IF(AND($AD183&lt;=AK$3,AK$3&lt;=$AE183),$AC183/$AF183*HLOOKUP(AK$3,'FX Lookup'!$A$2:$Y$4,3,FALSE),0)</f>
        <v>0</v>
      </c>
      <c r="AL183" s="177">
        <f>IF(AND($AD183&lt;=AL$3,AL$3&lt;=$AE183),$AC183/$AF183*HLOOKUP(AL$3,'FX Lookup'!$A$2:$Y$4,3,FALSE),0)</f>
        <v>0</v>
      </c>
      <c r="AM183" s="177">
        <f>IF(AND($AD183&lt;=AM$3,AM$3&lt;=$AE183),$AC183/$AF183*HLOOKUP(AM$3,'FX Lookup'!$A$2:$Y$4,3,FALSE),0)</f>
        <v>0</v>
      </c>
      <c r="AN183" s="177">
        <f>IF(AND($AD183&lt;=AN$3,AN$3&lt;=$AE183),$AC183/$AF183*HLOOKUP(AN$3,'FX Lookup'!$A$2:$Y$4,3,FALSE),0)</f>
        <v>0</v>
      </c>
      <c r="AO183" s="177">
        <f>IF(AND($AD183&lt;=AO$3,AO$3&lt;=$AE183),$AC183/$AF183*HLOOKUP(AO$3,'FX Lookup'!$A$2:$Y$4,3,FALSE),0)</f>
        <v>0</v>
      </c>
      <c r="AP183" s="177">
        <f>IF(AND($AD183&lt;=AP$3,AP$3&lt;=$AE183),$AC183/$AF183*HLOOKUP(AP$3,'FX Lookup'!$A$2:$Y$4,3,FALSE),0)</f>
        <v>0</v>
      </c>
      <c r="AQ183" s="177">
        <f>IF(AND($AD183&lt;=AQ$3,AQ$3&lt;=$AE183),$AC183/$AF183*HLOOKUP(AQ$3,'FX Lookup'!$A$2:$Y$4,3,FALSE),0)</f>
        <v>0</v>
      </c>
      <c r="AR183" s="177">
        <f>IF(AND($AD183&lt;=AR$3,AR$3&lt;=$AE183),$AC183/$AF183*HLOOKUP(AR$3,'FX Lookup'!$A$2:$Y$4,3,FALSE),0)</f>
        <v>0</v>
      </c>
      <c r="AS183" s="178">
        <f t="shared" si="322"/>
        <v>0</v>
      </c>
      <c r="AU183" s="177">
        <f t="shared" si="323"/>
        <v>0</v>
      </c>
      <c r="AV183" s="177">
        <f t="shared" si="324"/>
        <v>0</v>
      </c>
      <c r="AW183" s="177">
        <f t="shared" si="325"/>
        <v>0</v>
      </c>
      <c r="AX183" s="177">
        <f t="shared" si="326"/>
        <v>0</v>
      </c>
      <c r="AY183" s="177">
        <f t="shared" si="327"/>
        <v>0</v>
      </c>
      <c r="AZ183" s="177">
        <f t="shared" si="328"/>
        <v>0</v>
      </c>
      <c r="BA183" s="177">
        <f t="shared" si="329"/>
        <v>0</v>
      </c>
      <c r="BB183" s="177">
        <f t="shared" si="330"/>
        <v>0</v>
      </c>
      <c r="BC183" s="177">
        <f t="shared" si="331"/>
        <v>0</v>
      </c>
      <c r="BD183" s="177">
        <f t="shared" si="332"/>
        <v>0</v>
      </c>
      <c r="BE183" s="177">
        <f t="shared" si="333"/>
        <v>0</v>
      </c>
      <c r="BF183" s="177">
        <f t="shared" si="334"/>
        <v>0</v>
      </c>
      <c r="BG183" s="178">
        <f t="shared" si="335"/>
        <v>0</v>
      </c>
    </row>
    <row r="184" spans="1:59" ht="13.5" customHeight="1">
      <c r="A184" s="171">
        <f t="shared" si="336"/>
        <v>10</v>
      </c>
      <c r="B184" s="171" t="s">
        <v>2741</v>
      </c>
      <c r="C184" s="171"/>
      <c r="D184" s="171" t="str">
        <f t="shared" si="337"/>
        <v>购建固定资产、无形资产和其他长期资产支付的现金</v>
      </c>
      <c r="E184" s="171"/>
      <c r="F184" s="172" t="str">
        <f t="shared" si="341"/>
        <v>Purchase Furniture</v>
      </c>
      <c r="G184" s="172"/>
      <c r="H184" s="77" t="s">
        <v>2613</v>
      </c>
      <c r="I184" s="173" t="s">
        <v>2614</v>
      </c>
      <c r="J184" s="173" t="s">
        <v>2409</v>
      </c>
      <c r="K184" s="77"/>
      <c r="L184" s="175">
        <v>45658</v>
      </c>
      <c r="M184" s="175">
        <v>46022</v>
      </c>
      <c r="N184" s="176">
        <f t="shared" si="338"/>
        <v>12</v>
      </c>
      <c r="O184" s="177">
        <f t="shared" si="340"/>
        <v>0</v>
      </c>
      <c r="P184" s="177">
        <f t="shared" si="320"/>
        <v>0</v>
      </c>
      <c r="Q184" s="177">
        <f t="shared" si="320"/>
        <v>0</v>
      </c>
      <c r="R184" s="177">
        <f t="shared" si="320"/>
        <v>0</v>
      </c>
      <c r="S184" s="177">
        <f t="shared" si="320"/>
        <v>0</v>
      </c>
      <c r="T184" s="177">
        <f t="shared" si="320"/>
        <v>0</v>
      </c>
      <c r="U184" s="177">
        <f t="shared" si="320"/>
        <v>0</v>
      </c>
      <c r="V184" s="177">
        <f t="shared" si="320"/>
        <v>0</v>
      </c>
      <c r="W184" s="177">
        <f t="shared" si="320"/>
        <v>0</v>
      </c>
      <c r="X184" s="177">
        <f t="shared" si="320"/>
        <v>0</v>
      </c>
      <c r="Y184" s="177">
        <f t="shared" si="320"/>
        <v>0</v>
      </c>
      <c r="Z184" s="177">
        <f t="shared" si="320"/>
        <v>0</v>
      </c>
      <c r="AA184" s="178">
        <f t="shared" si="339"/>
        <v>0</v>
      </c>
      <c r="AB184" s="173" t="s">
        <v>2409</v>
      </c>
      <c r="AC184" s="77"/>
      <c r="AD184" s="175">
        <v>46023</v>
      </c>
      <c r="AE184" s="175">
        <v>46387</v>
      </c>
      <c r="AF184" s="176">
        <f t="shared" si="321"/>
        <v>12</v>
      </c>
      <c r="AG184" s="177">
        <f>IF(AND($AD184&lt;=AG$3,AG$3&lt;=$AE184),$AC184/$AF184*HLOOKUP(AG$3,'FX Lookup'!$A$2:$Y$4,3,FALSE),0)</f>
        <v>0</v>
      </c>
      <c r="AH184" s="177">
        <f>IF(AND($AD184&lt;=AH$3,AH$3&lt;=$AE184),$AC184/$AF184*HLOOKUP(AH$3,'FX Lookup'!$A$2:$Y$4,3,FALSE),0)</f>
        <v>0</v>
      </c>
      <c r="AI184" s="177">
        <f>IF(AND($AD184&lt;=AI$3,AI$3&lt;=$AE184),$AC184/$AF184*HLOOKUP(AI$3,'FX Lookup'!$A$2:$Y$4,3,FALSE),0)</f>
        <v>0</v>
      </c>
      <c r="AJ184" s="177">
        <f>IF(AND($AD184&lt;=AJ$3,AJ$3&lt;=$AE184),$AC184/$AF184*HLOOKUP(AJ$3,'FX Lookup'!$A$2:$Y$4,3,FALSE),0)</f>
        <v>0</v>
      </c>
      <c r="AK184" s="177">
        <f>IF(AND($AD184&lt;=AK$3,AK$3&lt;=$AE184),$AC184/$AF184*HLOOKUP(AK$3,'FX Lookup'!$A$2:$Y$4,3,FALSE),0)</f>
        <v>0</v>
      </c>
      <c r="AL184" s="177">
        <f>IF(AND($AD184&lt;=AL$3,AL$3&lt;=$AE184),$AC184/$AF184*HLOOKUP(AL$3,'FX Lookup'!$A$2:$Y$4,3,FALSE),0)</f>
        <v>0</v>
      </c>
      <c r="AM184" s="177">
        <f>IF(AND($AD184&lt;=AM$3,AM$3&lt;=$AE184),$AC184/$AF184*HLOOKUP(AM$3,'FX Lookup'!$A$2:$Y$4,3,FALSE),0)</f>
        <v>0</v>
      </c>
      <c r="AN184" s="177">
        <f>IF(AND($AD184&lt;=AN$3,AN$3&lt;=$AE184),$AC184/$AF184*HLOOKUP(AN$3,'FX Lookup'!$A$2:$Y$4,3,FALSE),0)</f>
        <v>0</v>
      </c>
      <c r="AO184" s="177">
        <f>IF(AND($AD184&lt;=AO$3,AO$3&lt;=$AE184),$AC184/$AF184*HLOOKUP(AO$3,'FX Lookup'!$A$2:$Y$4,3,FALSE),0)</f>
        <v>0</v>
      </c>
      <c r="AP184" s="177">
        <f>IF(AND($AD184&lt;=AP$3,AP$3&lt;=$AE184),$AC184/$AF184*HLOOKUP(AP$3,'FX Lookup'!$A$2:$Y$4,3,FALSE),0)</f>
        <v>0</v>
      </c>
      <c r="AQ184" s="177">
        <f>IF(AND($AD184&lt;=AQ$3,AQ$3&lt;=$AE184),$AC184/$AF184*HLOOKUP(AQ$3,'FX Lookup'!$A$2:$Y$4,3,FALSE),0)</f>
        <v>0</v>
      </c>
      <c r="AR184" s="177">
        <f>IF(AND($AD184&lt;=AR$3,AR$3&lt;=$AE184),$AC184/$AF184*HLOOKUP(AR$3,'FX Lookup'!$A$2:$Y$4,3,FALSE),0)</f>
        <v>0</v>
      </c>
      <c r="AS184" s="178">
        <f t="shared" si="322"/>
        <v>0</v>
      </c>
      <c r="AU184" s="177">
        <f t="shared" si="323"/>
        <v>0</v>
      </c>
      <c r="AV184" s="177">
        <f t="shared" si="324"/>
        <v>0</v>
      </c>
      <c r="AW184" s="177">
        <f t="shared" si="325"/>
        <v>0</v>
      </c>
      <c r="AX184" s="177">
        <f t="shared" si="326"/>
        <v>0</v>
      </c>
      <c r="AY184" s="177">
        <f t="shared" si="327"/>
        <v>0</v>
      </c>
      <c r="AZ184" s="177">
        <f t="shared" si="328"/>
        <v>0</v>
      </c>
      <c r="BA184" s="177">
        <f t="shared" si="329"/>
        <v>0</v>
      </c>
      <c r="BB184" s="177">
        <f t="shared" si="330"/>
        <v>0</v>
      </c>
      <c r="BC184" s="177">
        <f t="shared" si="331"/>
        <v>0</v>
      </c>
      <c r="BD184" s="177">
        <f t="shared" si="332"/>
        <v>0</v>
      </c>
      <c r="BE184" s="177">
        <f t="shared" si="333"/>
        <v>0</v>
      </c>
      <c r="BF184" s="177">
        <f t="shared" si="334"/>
        <v>0</v>
      </c>
      <c r="BG184" s="178">
        <f t="shared" si="335"/>
        <v>0</v>
      </c>
    </row>
    <row r="185" spans="1:59" ht="13.5" customHeight="1">
      <c r="A185" s="171">
        <f t="shared" si="336"/>
        <v>11</v>
      </c>
      <c r="B185" s="171" t="s">
        <v>2741</v>
      </c>
      <c r="C185" s="171"/>
      <c r="D185" s="171" t="str">
        <f t="shared" si="337"/>
        <v>购建固定资产、无形资产和其他长期资产支付的现金</v>
      </c>
      <c r="E185" s="171"/>
      <c r="F185" s="172" t="str">
        <f t="shared" si="341"/>
        <v>Purchase Equipment</v>
      </c>
      <c r="G185" s="172"/>
      <c r="H185" s="77" t="s">
        <v>2613</v>
      </c>
      <c r="I185" s="173" t="s">
        <v>2614</v>
      </c>
      <c r="J185" s="173" t="s">
        <v>2409</v>
      </c>
      <c r="K185" s="77"/>
      <c r="L185" s="175">
        <v>45658</v>
      </c>
      <c r="M185" s="175">
        <v>46022</v>
      </c>
      <c r="N185" s="176">
        <f t="shared" si="338"/>
        <v>12</v>
      </c>
      <c r="O185" s="177">
        <f t="shared" si="340"/>
        <v>0</v>
      </c>
      <c r="P185" s="177">
        <f t="shared" si="320"/>
        <v>0</v>
      </c>
      <c r="Q185" s="177">
        <f t="shared" si="320"/>
        <v>0</v>
      </c>
      <c r="R185" s="177">
        <f t="shared" si="320"/>
        <v>0</v>
      </c>
      <c r="S185" s="177">
        <f t="shared" si="320"/>
        <v>0</v>
      </c>
      <c r="T185" s="177">
        <f t="shared" si="320"/>
        <v>0</v>
      </c>
      <c r="U185" s="177">
        <f t="shared" si="320"/>
        <v>0</v>
      </c>
      <c r="V185" s="177">
        <f t="shared" si="320"/>
        <v>0</v>
      </c>
      <c r="W185" s="177">
        <f t="shared" si="320"/>
        <v>0</v>
      </c>
      <c r="X185" s="177">
        <f t="shared" si="320"/>
        <v>0</v>
      </c>
      <c r="Y185" s="177">
        <f t="shared" si="320"/>
        <v>0</v>
      </c>
      <c r="Z185" s="177">
        <f t="shared" si="320"/>
        <v>0</v>
      </c>
      <c r="AA185" s="178">
        <f t="shared" si="339"/>
        <v>0</v>
      </c>
      <c r="AB185" s="173" t="s">
        <v>2409</v>
      </c>
      <c r="AC185" s="77"/>
      <c r="AD185" s="175">
        <v>46023</v>
      </c>
      <c r="AE185" s="175">
        <v>46387</v>
      </c>
      <c r="AF185" s="176">
        <f t="shared" si="321"/>
        <v>12</v>
      </c>
      <c r="AG185" s="177">
        <f>IF(AND($AD185&lt;=AG$3,AG$3&lt;=$AE185),$AC185/$AF185*HLOOKUP(AG$3,'FX Lookup'!$A$2:$Y$4,3,FALSE),0)</f>
        <v>0</v>
      </c>
      <c r="AH185" s="177">
        <f>IF(AND($AD185&lt;=AH$3,AH$3&lt;=$AE185),$AC185/$AF185*HLOOKUP(AH$3,'FX Lookup'!$A$2:$Y$4,3,FALSE),0)</f>
        <v>0</v>
      </c>
      <c r="AI185" s="177">
        <f>IF(AND($AD185&lt;=AI$3,AI$3&lt;=$AE185),$AC185/$AF185*HLOOKUP(AI$3,'FX Lookup'!$A$2:$Y$4,3,FALSE),0)</f>
        <v>0</v>
      </c>
      <c r="AJ185" s="177">
        <f>IF(AND($AD185&lt;=AJ$3,AJ$3&lt;=$AE185),$AC185/$AF185*HLOOKUP(AJ$3,'FX Lookup'!$A$2:$Y$4,3,FALSE),0)</f>
        <v>0</v>
      </c>
      <c r="AK185" s="177">
        <f>IF(AND($AD185&lt;=AK$3,AK$3&lt;=$AE185),$AC185/$AF185*HLOOKUP(AK$3,'FX Lookup'!$A$2:$Y$4,3,FALSE),0)</f>
        <v>0</v>
      </c>
      <c r="AL185" s="177">
        <f>IF(AND($AD185&lt;=AL$3,AL$3&lt;=$AE185),$AC185/$AF185*HLOOKUP(AL$3,'FX Lookup'!$A$2:$Y$4,3,FALSE),0)</f>
        <v>0</v>
      </c>
      <c r="AM185" s="177">
        <f>IF(AND($AD185&lt;=AM$3,AM$3&lt;=$AE185),$AC185/$AF185*HLOOKUP(AM$3,'FX Lookup'!$A$2:$Y$4,3,FALSE),0)</f>
        <v>0</v>
      </c>
      <c r="AN185" s="177">
        <f>IF(AND($AD185&lt;=AN$3,AN$3&lt;=$AE185),$AC185/$AF185*HLOOKUP(AN$3,'FX Lookup'!$A$2:$Y$4,3,FALSE),0)</f>
        <v>0</v>
      </c>
      <c r="AO185" s="177">
        <f>IF(AND($AD185&lt;=AO$3,AO$3&lt;=$AE185),$AC185/$AF185*HLOOKUP(AO$3,'FX Lookup'!$A$2:$Y$4,3,FALSE),0)</f>
        <v>0</v>
      </c>
      <c r="AP185" s="177">
        <f>IF(AND($AD185&lt;=AP$3,AP$3&lt;=$AE185),$AC185/$AF185*HLOOKUP(AP$3,'FX Lookup'!$A$2:$Y$4,3,FALSE),0)</f>
        <v>0</v>
      </c>
      <c r="AQ185" s="177">
        <f>IF(AND($AD185&lt;=AQ$3,AQ$3&lt;=$AE185),$AC185/$AF185*HLOOKUP(AQ$3,'FX Lookup'!$A$2:$Y$4,3,FALSE),0)</f>
        <v>0</v>
      </c>
      <c r="AR185" s="177">
        <f>IF(AND($AD185&lt;=AR$3,AR$3&lt;=$AE185),$AC185/$AF185*HLOOKUP(AR$3,'FX Lookup'!$A$2:$Y$4,3,FALSE),0)</f>
        <v>0</v>
      </c>
      <c r="AS185" s="178">
        <f t="shared" si="322"/>
        <v>0</v>
      </c>
      <c r="AU185" s="177">
        <f t="shared" si="323"/>
        <v>0</v>
      </c>
      <c r="AV185" s="177">
        <f t="shared" si="324"/>
        <v>0</v>
      </c>
      <c r="AW185" s="177">
        <f t="shared" si="325"/>
        <v>0</v>
      </c>
      <c r="AX185" s="177">
        <f t="shared" si="326"/>
        <v>0</v>
      </c>
      <c r="AY185" s="177">
        <f t="shared" si="327"/>
        <v>0</v>
      </c>
      <c r="AZ185" s="177">
        <f t="shared" si="328"/>
        <v>0</v>
      </c>
      <c r="BA185" s="177">
        <f t="shared" si="329"/>
        <v>0</v>
      </c>
      <c r="BB185" s="177">
        <f t="shared" si="330"/>
        <v>0</v>
      </c>
      <c r="BC185" s="177">
        <f t="shared" si="331"/>
        <v>0</v>
      </c>
      <c r="BD185" s="177">
        <f t="shared" si="332"/>
        <v>0</v>
      </c>
      <c r="BE185" s="177">
        <f t="shared" si="333"/>
        <v>0</v>
      </c>
      <c r="BF185" s="177">
        <f t="shared" si="334"/>
        <v>0</v>
      </c>
      <c r="BG185" s="178">
        <f t="shared" si="335"/>
        <v>0</v>
      </c>
    </row>
    <row r="186" spans="1:59" ht="13.5" customHeight="1">
      <c r="A186" s="171">
        <f t="shared" si="336"/>
        <v>12</v>
      </c>
      <c r="B186" s="171" t="s">
        <v>2741</v>
      </c>
      <c r="C186" s="171"/>
      <c r="D186" s="171" t="str">
        <f t="shared" si="337"/>
        <v>支付的其他与经营活动有关的现金（其他）</v>
      </c>
      <c r="E186" s="171"/>
      <c r="F186" s="172" t="str">
        <f t="shared" si="341"/>
        <v>Physical Security Systems</v>
      </c>
      <c r="G186" s="172"/>
      <c r="H186" s="77" t="s">
        <v>2613</v>
      </c>
      <c r="I186" s="173" t="s">
        <v>2614</v>
      </c>
      <c r="J186" s="173" t="s">
        <v>2409</v>
      </c>
      <c r="K186" s="77"/>
      <c r="L186" s="175">
        <v>45962</v>
      </c>
      <c r="M186" s="175">
        <v>45991</v>
      </c>
      <c r="N186" s="176">
        <f t="shared" si="338"/>
        <v>1</v>
      </c>
      <c r="O186" s="177">
        <f t="shared" si="340"/>
        <v>0</v>
      </c>
      <c r="P186" s="177">
        <f t="shared" si="320"/>
        <v>0</v>
      </c>
      <c r="Q186" s="177">
        <f t="shared" si="320"/>
        <v>0</v>
      </c>
      <c r="R186" s="177">
        <f t="shared" si="320"/>
        <v>0</v>
      </c>
      <c r="S186" s="177">
        <f t="shared" si="320"/>
        <v>0</v>
      </c>
      <c r="T186" s="177">
        <f t="shared" si="320"/>
        <v>0</v>
      </c>
      <c r="U186" s="177">
        <f t="shared" si="320"/>
        <v>0</v>
      </c>
      <c r="V186" s="177">
        <f t="shared" si="320"/>
        <v>0</v>
      </c>
      <c r="W186" s="177">
        <f t="shared" si="320"/>
        <v>0</v>
      </c>
      <c r="X186" s="177">
        <f t="shared" si="320"/>
        <v>0</v>
      </c>
      <c r="Y186" s="177">
        <f t="shared" si="320"/>
        <v>0</v>
      </c>
      <c r="Z186" s="177">
        <f t="shared" si="320"/>
        <v>0</v>
      </c>
      <c r="AA186" s="178">
        <f t="shared" si="339"/>
        <v>0</v>
      </c>
      <c r="AB186" s="173" t="s">
        <v>2409</v>
      </c>
      <c r="AC186" s="77"/>
      <c r="AD186" s="175">
        <v>46327</v>
      </c>
      <c r="AE186" s="175">
        <v>46356</v>
      </c>
      <c r="AF186" s="176">
        <f t="shared" si="321"/>
        <v>1</v>
      </c>
      <c r="AG186" s="177">
        <f>IF(AND($AD186&lt;=AG$3,AG$3&lt;=$AE186),$AC186/$AF186*HLOOKUP(AG$3,'FX Lookup'!$A$2:$Y$4,3,FALSE),0)</f>
        <v>0</v>
      </c>
      <c r="AH186" s="177">
        <f>IF(AND($AD186&lt;=AH$3,AH$3&lt;=$AE186),$AC186/$AF186*HLOOKUP(AH$3,'FX Lookup'!$A$2:$Y$4,3,FALSE),0)</f>
        <v>0</v>
      </c>
      <c r="AI186" s="177">
        <f>IF(AND($AD186&lt;=AI$3,AI$3&lt;=$AE186),$AC186/$AF186*HLOOKUP(AI$3,'FX Lookup'!$A$2:$Y$4,3,FALSE),0)</f>
        <v>0</v>
      </c>
      <c r="AJ186" s="177">
        <f>IF(AND($AD186&lt;=AJ$3,AJ$3&lt;=$AE186),$AC186/$AF186*HLOOKUP(AJ$3,'FX Lookup'!$A$2:$Y$4,3,FALSE),0)</f>
        <v>0</v>
      </c>
      <c r="AK186" s="177">
        <f>IF(AND($AD186&lt;=AK$3,AK$3&lt;=$AE186),$AC186/$AF186*HLOOKUP(AK$3,'FX Lookup'!$A$2:$Y$4,3,FALSE),0)</f>
        <v>0</v>
      </c>
      <c r="AL186" s="177">
        <f>IF(AND($AD186&lt;=AL$3,AL$3&lt;=$AE186),$AC186/$AF186*HLOOKUP(AL$3,'FX Lookup'!$A$2:$Y$4,3,FALSE),0)</f>
        <v>0</v>
      </c>
      <c r="AM186" s="177">
        <f>IF(AND($AD186&lt;=AM$3,AM$3&lt;=$AE186),$AC186/$AF186*HLOOKUP(AM$3,'FX Lookup'!$A$2:$Y$4,3,FALSE),0)</f>
        <v>0</v>
      </c>
      <c r="AN186" s="177">
        <f>IF(AND($AD186&lt;=AN$3,AN$3&lt;=$AE186),$AC186/$AF186*HLOOKUP(AN$3,'FX Lookup'!$A$2:$Y$4,3,FALSE),0)</f>
        <v>0</v>
      </c>
      <c r="AO186" s="177">
        <f>IF(AND($AD186&lt;=AO$3,AO$3&lt;=$AE186),$AC186/$AF186*HLOOKUP(AO$3,'FX Lookup'!$A$2:$Y$4,3,FALSE),0)</f>
        <v>0</v>
      </c>
      <c r="AP186" s="177">
        <f>IF(AND($AD186&lt;=AP$3,AP$3&lt;=$AE186),$AC186/$AF186*HLOOKUP(AP$3,'FX Lookup'!$A$2:$Y$4,3,FALSE),0)</f>
        <v>0</v>
      </c>
      <c r="AQ186" s="177">
        <f>IF(AND($AD186&lt;=AQ$3,AQ$3&lt;=$AE186),$AC186/$AF186*HLOOKUP(AQ$3,'FX Lookup'!$A$2:$Y$4,3,FALSE),0)</f>
        <v>0</v>
      </c>
      <c r="AR186" s="177">
        <f>IF(AND($AD186&lt;=AR$3,AR$3&lt;=$AE186),$AC186/$AF186*HLOOKUP(AR$3,'FX Lookup'!$A$2:$Y$4,3,FALSE),0)</f>
        <v>0</v>
      </c>
      <c r="AS186" s="178">
        <f t="shared" si="322"/>
        <v>0</v>
      </c>
      <c r="AU186" s="177">
        <f t="shared" si="323"/>
        <v>0</v>
      </c>
      <c r="AV186" s="177">
        <f t="shared" si="324"/>
        <v>0</v>
      </c>
      <c r="AW186" s="177">
        <f t="shared" si="325"/>
        <v>0</v>
      </c>
      <c r="AX186" s="177">
        <f t="shared" si="326"/>
        <v>0</v>
      </c>
      <c r="AY186" s="177">
        <f t="shared" si="327"/>
        <v>0</v>
      </c>
      <c r="AZ186" s="177">
        <f t="shared" si="328"/>
        <v>0</v>
      </c>
      <c r="BA186" s="177">
        <f t="shared" si="329"/>
        <v>0</v>
      </c>
      <c r="BB186" s="177">
        <f t="shared" si="330"/>
        <v>0</v>
      </c>
      <c r="BC186" s="177">
        <f t="shared" si="331"/>
        <v>0</v>
      </c>
      <c r="BD186" s="177">
        <f t="shared" si="332"/>
        <v>0</v>
      </c>
      <c r="BE186" s="177">
        <f t="shared" si="333"/>
        <v>0</v>
      </c>
      <c r="BF186" s="177">
        <f t="shared" si="334"/>
        <v>0</v>
      </c>
      <c r="BG186" s="178">
        <f t="shared" si="335"/>
        <v>0</v>
      </c>
    </row>
    <row r="187" spans="1:59" ht="13.5" customHeight="1">
      <c r="A187" s="171">
        <f t="shared" si="336"/>
        <v>13</v>
      </c>
      <c r="B187" s="171" t="s">
        <v>2741</v>
      </c>
      <c r="C187" s="171" t="s">
        <v>1652</v>
      </c>
      <c r="D187" s="171" t="str">
        <f t="shared" si="337"/>
        <v>支付的其他与经营活动有关的现金（其他）</v>
      </c>
      <c r="E187" s="171"/>
      <c r="F187" s="172" t="str">
        <f t="shared" si="341"/>
        <v>Office Package/Travel Insurance</v>
      </c>
      <c r="G187" s="172"/>
      <c r="H187" s="77" t="s">
        <v>2613</v>
      </c>
      <c r="I187" s="173" t="s">
        <v>2614</v>
      </c>
      <c r="J187" s="173" t="s">
        <v>2409</v>
      </c>
      <c r="K187" s="77"/>
      <c r="L187" s="175">
        <v>45658</v>
      </c>
      <c r="M187" s="175">
        <v>46022</v>
      </c>
      <c r="N187" s="176">
        <f t="shared" si="338"/>
        <v>12</v>
      </c>
      <c r="O187" s="177">
        <f t="shared" si="340"/>
        <v>0</v>
      </c>
      <c r="P187" s="177">
        <f t="shared" si="320"/>
        <v>0</v>
      </c>
      <c r="Q187" s="177">
        <f t="shared" si="320"/>
        <v>0</v>
      </c>
      <c r="R187" s="177">
        <f t="shared" si="320"/>
        <v>0</v>
      </c>
      <c r="S187" s="177">
        <f t="shared" si="320"/>
        <v>0</v>
      </c>
      <c r="T187" s="177">
        <f t="shared" si="320"/>
        <v>0</v>
      </c>
      <c r="U187" s="177">
        <f t="shared" si="320"/>
        <v>0</v>
      </c>
      <c r="V187" s="177">
        <f t="shared" si="320"/>
        <v>0</v>
      </c>
      <c r="W187" s="177">
        <f t="shared" si="320"/>
        <v>0</v>
      </c>
      <c r="X187" s="177">
        <f t="shared" si="320"/>
        <v>0</v>
      </c>
      <c r="Y187" s="177">
        <f t="shared" si="320"/>
        <v>0</v>
      </c>
      <c r="Z187" s="177">
        <f t="shared" si="320"/>
        <v>0</v>
      </c>
      <c r="AA187" s="178">
        <f t="shared" si="339"/>
        <v>0</v>
      </c>
      <c r="AB187" s="173" t="s">
        <v>2409</v>
      </c>
      <c r="AC187" s="77"/>
      <c r="AD187" s="175">
        <v>46023</v>
      </c>
      <c r="AE187" s="175">
        <v>46387</v>
      </c>
      <c r="AF187" s="176">
        <f t="shared" si="321"/>
        <v>12</v>
      </c>
      <c r="AG187" s="177">
        <f>IF(AND($AD187&lt;=AG$3,AG$3&lt;=$AE187),$AC187/$AF187*HLOOKUP(AG$3,'FX Lookup'!$A$2:$Y$4,3,FALSE),0)</f>
        <v>0</v>
      </c>
      <c r="AH187" s="177">
        <f>IF(AND($AD187&lt;=AH$3,AH$3&lt;=$AE187),$AC187/$AF187*HLOOKUP(AH$3,'FX Lookup'!$A$2:$Y$4,3,FALSE),0)</f>
        <v>0</v>
      </c>
      <c r="AI187" s="177">
        <f>IF(AND($AD187&lt;=AI$3,AI$3&lt;=$AE187),$AC187/$AF187*HLOOKUP(AI$3,'FX Lookup'!$A$2:$Y$4,3,FALSE),0)</f>
        <v>0</v>
      </c>
      <c r="AJ187" s="177">
        <f>IF(AND($AD187&lt;=AJ$3,AJ$3&lt;=$AE187),$AC187/$AF187*HLOOKUP(AJ$3,'FX Lookup'!$A$2:$Y$4,3,FALSE),0)</f>
        <v>0</v>
      </c>
      <c r="AK187" s="177">
        <f>IF(AND($AD187&lt;=AK$3,AK$3&lt;=$AE187),$AC187/$AF187*HLOOKUP(AK$3,'FX Lookup'!$A$2:$Y$4,3,FALSE),0)</f>
        <v>0</v>
      </c>
      <c r="AL187" s="177">
        <f>IF(AND($AD187&lt;=AL$3,AL$3&lt;=$AE187),$AC187/$AF187*HLOOKUP(AL$3,'FX Lookup'!$A$2:$Y$4,3,FALSE),0)</f>
        <v>0</v>
      </c>
      <c r="AM187" s="177">
        <f>IF(AND($AD187&lt;=AM$3,AM$3&lt;=$AE187),$AC187/$AF187*HLOOKUP(AM$3,'FX Lookup'!$A$2:$Y$4,3,FALSE),0)</f>
        <v>0</v>
      </c>
      <c r="AN187" s="177">
        <f>IF(AND($AD187&lt;=AN$3,AN$3&lt;=$AE187),$AC187/$AF187*HLOOKUP(AN$3,'FX Lookup'!$A$2:$Y$4,3,FALSE),0)</f>
        <v>0</v>
      </c>
      <c r="AO187" s="177">
        <f>IF(AND($AD187&lt;=AO$3,AO$3&lt;=$AE187),$AC187/$AF187*HLOOKUP(AO$3,'FX Lookup'!$A$2:$Y$4,3,FALSE),0)</f>
        <v>0</v>
      </c>
      <c r="AP187" s="177">
        <f>IF(AND($AD187&lt;=AP$3,AP$3&lt;=$AE187),$AC187/$AF187*HLOOKUP(AP$3,'FX Lookup'!$A$2:$Y$4,3,FALSE),0)</f>
        <v>0</v>
      </c>
      <c r="AQ187" s="177">
        <f>IF(AND($AD187&lt;=AQ$3,AQ$3&lt;=$AE187),$AC187/$AF187*HLOOKUP(AQ$3,'FX Lookup'!$A$2:$Y$4,3,FALSE),0)</f>
        <v>0</v>
      </c>
      <c r="AR187" s="177">
        <f>IF(AND($AD187&lt;=AR$3,AR$3&lt;=$AE187),$AC187/$AF187*HLOOKUP(AR$3,'FX Lookup'!$A$2:$Y$4,3,FALSE),0)</f>
        <v>0</v>
      </c>
      <c r="AS187" s="178">
        <f t="shared" si="322"/>
        <v>0</v>
      </c>
      <c r="AU187" s="177">
        <f t="shared" si="323"/>
        <v>0</v>
      </c>
      <c r="AV187" s="177">
        <f t="shared" si="324"/>
        <v>0</v>
      </c>
      <c r="AW187" s="177">
        <f t="shared" si="325"/>
        <v>0</v>
      </c>
      <c r="AX187" s="177">
        <f t="shared" si="326"/>
        <v>0</v>
      </c>
      <c r="AY187" s="177">
        <f t="shared" si="327"/>
        <v>0</v>
      </c>
      <c r="AZ187" s="177">
        <f t="shared" si="328"/>
        <v>0</v>
      </c>
      <c r="BA187" s="177">
        <f t="shared" si="329"/>
        <v>0</v>
      </c>
      <c r="BB187" s="177">
        <f t="shared" si="330"/>
        <v>0</v>
      </c>
      <c r="BC187" s="177">
        <f t="shared" si="331"/>
        <v>0</v>
      </c>
      <c r="BD187" s="177">
        <f t="shared" si="332"/>
        <v>0</v>
      </c>
      <c r="BE187" s="177">
        <f t="shared" si="333"/>
        <v>0</v>
      </c>
      <c r="BF187" s="177">
        <f t="shared" si="334"/>
        <v>0</v>
      </c>
      <c r="BG187" s="178">
        <f t="shared" si="335"/>
        <v>0</v>
      </c>
    </row>
    <row r="188" spans="1:59" ht="13.5" customHeight="1">
      <c r="A188" s="171">
        <f t="shared" si="336"/>
        <v>14</v>
      </c>
      <c r="B188" s="171" t="s">
        <v>2741</v>
      </c>
      <c r="C188" s="171" t="s">
        <v>1480</v>
      </c>
      <c r="D188" s="171" t="str">
        <f t="shared" si="337"/>
        <v>支付的其他与经营活动有关的现金（其他）</v>
      </c>
      <c r="E188" s="171"/>
      <c r="F188" s="172" t="str">
        <f t="shared" si="341"/>
        <v>Company Activities</v>
      </c>
      <c r="G188" s="172"/>
      <c r="H188" s="77" t="s">
        <v>2613</v>
      </c>
      <c r="I188" s="173" t="s">
        <v>2614</v>
      </c>
      <c r="J188" s="173" t="s">
        <v>2409</v>
      </c>
      <c r="K188" s="77"/>
      <c r="L188" s="175">
        <v>45658</v>
      </c>
      <c r="M188" s="175">
        <v>46022</v>
      </c>
      <c r="N188" s="176">
        <f t="shared" si="338"/>
        <v>12</v>
      </c>
      <c r="O188" s="177">
        <f t="shared" si="340"/>
        <v>0</v>
      </c>
      <c r="P188" s="177">
        <f t="shared" si="320"/>
        <v>0</v>
      </c>
      <c r="Q188" s="177">
        <f t="shared" si="320"/>
        <v>0</v>
      </c>
      <c r="R188" s="177">
        <f t="shared" si="320"/>
        <v>0</v>
      </c>
      <c r="S188" s="177">
        <f t="shared" si="320"/>
        <v>0</v>
      </c>
      <c r="T188" s="177">
        <f t="shared" si="320"/>
        <v>0</v>
      </c>
      <c r="U188" s="177">
        <f t="shared" si="320"/>
        <v>0</v>
      </c>
      <c r="V188" s="177">
        <f t="shared" si="320"/>
        <v>0</v>
      </c>
      <c r="W188" s="177">
        <f t="shared" si="320"/>
        <v>0</v>
      </c>
      <c r="X188" s="177">
        <f t="shared" si="320"/>
        <v>0</v>
      </c>
      <c r="Y188" s="177">
        <f t="shared" si="320"/>
        <v>0</v>
      </c>
      <c r="Z188" s="177">
        <f t="shared" si="320"/>
        <v>0</v>
      </c>
      <c r="AA188" s="178">
        <f t="shared" si="339"/>
        <v>0</v>
      </c>
      <c r="AB188" s="173" t="s">
        <v>2409</v>
      </c>
      <c r="AC188" s="77"/>
      <c r="AD188" s="175">
        <v>46023</v>
      </c>
      <c r="AE188" s="175">
        <v>46387</v>
      </c>
      <c r="AF188" s="176">
        <f t="shared" si="321"/>
        <v>12</v>
      </c>
      <c r="AG188" s="177">
        <f>IF(AND($AD188&lt;=AG$3,AG$3&lt;=$AE188),$AC188/$AF188*HLOOKUP(AG$3,'FX Lookup'!$A$2:$Y$4,3,FALSE),0)</f>
        <v>0</v>
      </c>
      <c r="AH188" s="177">
        <f>IF(AND($AD188&lt;=AH$3,AH$3&lt;=$AE188),$AC188/$AF188*HLOOKUP(AH$3,'FX Lookup'!$A$2:$Y$4,3,FALSE),0)</f>
        <v>0</v>
      </c>
      <c r="AI188" s="177">
        <f>IF(AND($AD188&lt;=AI$3,AI$3&lt;=$AE188),$AC188/$AF188*HLOOKUP(AI$3,'FX Lookup'!$A$2:$Y$4,3,FALSE),0)</f>
        <v>0</v>
      </c>
      <c r="AJ188" s="177">
        <f>IF(AND($AD188&lt;=AJ$3,AJ$3&lt;=$AE188),$AC188/$AF188*HLOOKUP(AJ$3,'FX Lookup'!$A$2:$Y$4,3,FALSE),0)</f>
        <v>0</v>
      </c>
      <c r="AK188" s="177">
        <f>IF(AND($AD188&lt;=AK$3,AK$3&lt;=$AE188),$AC188/$AF188*HLOOKUP(AK$3,'FX Lookup'!$A$2:$Y$4,3,FALSE),0)</f>
        <v>0</v>
      </c>
      <c r="AL188" s="177">
        <f>IF(AND($AD188&lt;=AL$3,AL$3&lt;=$AE188),$AC188/$AF188*HLOOKUP(AL$3,'FX Lookup'!$A$2:$Y$4,3,FALSE),0)</f>
        <v>0</v>
      </c>
      <c r="AM188" s="177">
        <f>IF(AND($AD188&lt;=AM$3,AM$3&lt;=$AE188),$AC188/$AF188*HLOOKUP(AM$3,'FX Lookup'!$A$2:$Y$4,3,FALSE),0)</f>
        <v>0</v>
      </c>
      <c r="AN188" s="177">
        <f>IF(AND($AD188&lt;=AN$3,AN$3&lt;=$AE188),$AC188/$AF188*HLOOKUP(AN$3,'FX Lookup'!$A$2:$Y$4,3,FALSE),0)</f>
        <v>0</v>
      </c>
      <c r="AO188" s="177">
        <f>IF(AND($AD188&lt;=AO$3,AO$3&lt;=$AE188),$AC188/$AF188*HLOOKUP(AO$3,'FX Lookup'!$A$2:$Y$4,3,FALSE),0)</f>
        <v>0</v>
      </c>
      <c r="AP188" s="177">
        <f>IF(AND($AD188&lt;=AP$3,AP$3&lt;=$AE188),$AC188/$AF188*HLOOKUP(AP$3,'FX Lookup'!$A$2:$Y$4,3,FALSE),0)</f>
        <v>0</v>
      </c>
      <c r="AQ188" s="177">
        <f>IF(AND($AD188&lt;=AQ$3,AQ$3&lt;=$AE188),$AC188/$AF188*HLOOKUP(AQ$3,'FX Lookup'!$A$2:$Y$4,3,FALSE),0)</f>
        <v>0</v>
      </c>
      <c r="AR188" s="177">
        <f>IF(AND($AD188&lt;=AR$3,AR$3&lt;=$AE188),$AC188/$AF188*HLOOKUP(AR$3,'FX Lookup'!$A$2:$Y$4,3,FALSE),0)</f>
        <v>0</v>
      </c>
      <c r="AS188" s="178">
        <f t="shared" si="322"/>
        <v>0</v>
      </c>
      <c r="AU188" s="177">
        <f t="shared" si="323"/>
        <v>0</v>
      </c>
      <c r="AV188" s="177">
        <f t="shared" si="324"/>
        <v>0</v>
      </c>
      <c r="AW188" s="177">
        <f t="shared" si="325"/>
        <v>0</v>
      </c>
      <c r="AX188" s="177">
        <f t="shared" si="326"/>
        <v>0</v>
      </c>
      <c r="AY188" s="177">
        <f t="shared" si="327"/>
        <v>0</v>
      </c>
      <c r="AZ188" s="177">
        <f t="shared" si="328"/>
        <v>0</v>
      </c>
      <c r="BA188" s="177">
        <f t="shared" si="329"/>
        <v>0</v>
      </c>
      <c r="BB188" s="177">
        <f t="shared" si="330"/>
        <v>0</v>
      </c>
      <c r="BC188" s="177">
        <f t="shared" si="331"/>
        <v>0</v>
      </c>
      <c r="BD188" s="177">
        <f t="shared" si="332"/>
        <v>0</v>
      </c>
      <c r="BE188" s="177">
        <f t="shared" si="333"/>
        <v>0</v>
      </c>
      <c r="BF188" s="177">
        <f t="shared" si="334"/>
        <v>0</v>
      </c>
      <c r="BG188" s="178">
        <f t="shared" si="335"/>
        <v>0</v>
      </c>
    </row>
    <row r="189" spans="1:59" ht="13.5" customHeight="1">
      <c r="A189" s="171">
        <f t="shared" si="336"/>
        <v>15</v>
      </c>
      <c r="B189" s="171" t="s">
        <v>2741</v>
      </c>
      <c r="C189" s="171" t="s">
        <v>1867</v>
      </c>
      <c r="D189" s="171" t="str">
        <f t="shared" si="337"/>
        <v>支付的其他与经营活动有关的现金（其他）</v>
      </c>
      <c r="E189" s="171"/>
      <c r="F189" s="172" t="str">
        <f t="shared" si="341"/>
        <v>Outside Seminars</v>
      </c>
      <c r="G189" s="172"/>
      <c r="H189" s="77" t="s">
        <v>2613</v>
      </c>
      <c r="I189" s="173" t="s">
        <v>2614</v>
      </c>
      <c r="J189" s="173" t="s">
        <v>2409</v>
      </c>
      <c r="K189" s="77"/>
      <c r="L189" s="175">
        <v>45658</v>
      </c>
      <c r="M189" s="175">
        <v>46022</v>
      </c>
      <c r="N189" s="176">
        <f t="shared" si="338"/>
        <v>12</v>
      </c>
      <c r="O189" s="177">
        <f t="shared" si="340"/>
        <v>0</v>
      </c>
      <c r="P189" s="177">
        <f t="shared" si="320"/>
        <v>0</v>
      </c>
      <c r="Q189" s="177">
        <f t="shared" si="320"/>
        <v>0</v>
      </c>
      <c r="R189" s="177">
        <f t="shared" si="320"/>
        <v>0</v>
      </c>
      <c r="S189" s="177">
        <f t="shared" si="320"/>
        <v>0</v>
      </c>
      <c r="T189" s="177">
        <f t="shared" si="320"/>
        <v>0</v>
      </c>
      <c r="U189" s="177">
        <f t="shared" si="320"/>
        <v>0</v>
      </c>
      <c r="V189" s="177">
        <f t="shared" si="320"/>
        <v>0</v>
      </c>
      <c r="W189" s="177">
        <f t="shared" si="320"/>
        <v>0</v>
      </c>
      <c r="X189" s="177">
        <f t="shared" si="320"/>
        <v>0</v>
      </c>
      <c r="Y189" s="177">
        <f t="shared" si="320"/>
        <v>0</v>
      </c>
      <c r="Z189" s="177">
        <f t="shared" si="320"/>
        <v>0</v>
      </c>
      <c r="AA189" s="178">
        <f t="shared" si="339"/>
        <v>0</v>
      </c>
      <c r="AB189" s="173" t="s">
        <v>2409</v>
      </c>
      <c r="AC189" s="77"/>
      <c r="AD189" s="175">
        <v>46023</v>
      </c>
      <c r="AE189" s="175">
        <v>46387</v>
      </c>
      <c r="AF189" s="176">
        <f t="shared" si="321"/>
        <v>12</v>
      </c>
      <c r="AG189" s="177">
        <f>IF(AND($AD189&lt;=AG$3,AG$3&lt;=$AE189),$AC189/$AF189*HLOOKUP(AG$3,'FX Lookup'!$A$2:$Y$4,3,FALSE),0)</f>
        <v>0</v>
      </c>
      <c r="AH189" s="177">
        <f>IF(AND($AD189&lt;=AH$3,AH$3&lt;=$AE189),$AC189/$AF189*HLOOKUP(AH$3,'FX Lookup'!$A$2:$Y$4,3,FALSE),0)</f>
        <v>0</v>
      </c>
      <c r="AI189" s="177">
        <f>IF(AND($AD189&lt;=AI$3,AI$3&lt;=$AE189),$AC189/$AF189*HLOOKUP(AI$3,'FX Lookup'!$A$2:$Y$4,3,FALSE),0)</f>
        <v>0</v>
      </c>
      <c r="AJ189" s="177">
        <f>IF(AND($AD189&lt;=AJ$3,AJ$3&lt;=$AE189),$AC189/$AF189*HLOOKUP(AJ$3,'FX Lookup'!$A$2:$Y$4,3,FALSE),0)</f>
        <v>0</v>
      </c>
      <c r="AK189" s="177">
        <f>IF(AND($AD189&lt;=AK$3,AK$3&lt;=$AE189),$AC189/$AF189*HLOOKUP(AK$3,'FX Lookup'!$A$2:$Y$4,3,FALSE),0)</f>
        <v>0</v>
      </c>
      <c r="AL189" s="177">
        <f>IF(AND($AD189&lt;=AL$3,AL$3&lt;=$AE189),$AC189/$AF189*HLOOKUP(AL$3,'FX Lookup'!$A$2:$Y$4,3,FALSE),0)</f>
        <v>0</v>
      </c>
      <c r="AM189" s="177">
        <f>IF(AND($AD189&lt;=AM$3,AM$3&lt;=$AE189),$AC189/$AF189*HLOOKUP(AM$3,'FX Lookup'!$A$2:$Y$4,3,FALSE),0)</f>
        <v>0</v>
      </c>
      <c r="AN189" s="177">
        <f>IF(AND($AD189&lt;=AN$3,AN$3&lt;=$AE189),$AC189/$AF189*HLOOKUP(AN$3,'FX Lookup'!$A$2:$Y$4,3,FALSE),0)</f>
        <v>0</v>
      </c>
      <c r="AO189" s="177">
        <f>IF(AND($AD189&lt;=AO$3,AO$3&lt;=$AE189),$AC189/$AF189*HLOOKUP(AO$3,'FX Lookup'!$A$2:$Y$4,3,FALSE),0)</f>
        <v>0</v>
      </c>
      <c r="AP189" s="177">
        <f>IF(AND($AD189&lt;=AP$3,AP$3&lt;=$AE189),$AC189/$AF189*HLOOKUP(AP$3,'FX Lookup'!$A$2:$Y$4,3,FALSE),0)</f>
        <v>0</v>
      </c>
      <c r="AQ189" s="177">
        <f>IF(AND($AD189&lt;=AQ$3,AQ$3&lt;=$AE189),$AC189/$AF189*HLOOKUP(AQ$3,'FX Lookup'!$A$2:$Y$4,3,FALSE),0)</f>
        <v>0</v>
      </c>
      <c r="AR189" s="177">
        <f>IF(AND($AD189&lt;=AR$3,AR$3&lt;=$AE189),$AC189/$AF189*HLOOKUP(AR$3,'FX Lookup'!$A$2:$Y$4,3,FALSE),0)</f>
        <v>0</v>
      </c>
      <c r="AS189" s="178">
        <f t="shared" si="322"/>
        <v>0</v>
      </c>
      <c r="AU189" s="177">
        <f t="shared" si="323"/>
        <v>0</v>
      </c>
      <c r="AV189" s="177">
        <f t="shared" si="324"/>
        <v>0</v>
      </c>
      <c r="AW189" s="177">
        <f t="shared" si="325"/>
        <v>0</v>
      </c>
      <c r="AX189" s="177">
        <f t="shared" si="326"/>
        <v>0</v>
      </c>
      <c r="AY189" s="177">
        <f t="shared" si="327"/>
        <v>0</v>
      </c>
      <c r="AZ189" s="177">
        <f t="shared" si="328"/>
        <v>0</v>
      </c>
      <c r="BA189" s="177">
        <f t="shared" si="329"/>
        <v>0</v>
      </c>
      <c r="BB189" s="177">
        <f t="shared" si="330"/>
        <v>0</v>
      </c>
      <c r="BC189" s="177">
        <f t="shared" si="331"/>
        <v>0</v>
      </c>
      <c r="BD189" s="177">
        <f t="shared" si="332"/>
        <v>0</v>
      </c>
      <c r="BE189" s="177">
        <f t="shared" si="333"/>
        <v>0</v>
      </c>
      <c r="BF189" s="177">
        <f t="shared" si="334"/>
        <v>0</v>
      </c>
      <c r="BG189" s="178">
        <f t="shared" si="335"/>
        <v>0</v>
      </c>
    </row>
    <row r="190" spans="1:59" ht="13.5" customHeight="1">
      <c r="A190" s="171">
        <f t="shared" si="336"/>
        <v>16</v>
      </c>
      <c r="B190" s="171" t="s">
        <v>2741</v>
      </c>
      <c r="C190" s="171" t="s">
        <v>1684</v>
      </c>
      <c r="D190" s="171" t="str">
        <f t="shared" si="337"/>
        <v>支付的其他与经营活动有关的现金（其他）</v>
      </c>
      <c r="E190" s="171"/>
      <c r="F190" s="172" t="str">
        <f t="shared" si="341"/>
        <v>Subscription</v>
      </c>
      <c r="G190" s="172"/>
      <c r="H190" s="77" t="s">
        <v>2613</v>
      </c>
      <c r="I190" s="173" t="s">
        <v>2614</v>
      </c>
      <c r="J190" s="173" t="s">
        <v>2409</v>
      </c>
      <c r="K190" s="77"/>
      <c r="L190" s="175">
        <v>45658</v>
      </c>
      <c r="M190" s="175">
        <v>46022</v>
      </c>
      <c r="N190" s="176">
        <f t="shared" si="338"/>
        <v>12</v>
      </c>
      <c r="O190" s="177">
        <f t="shared" si="340"/>
        <v>0</v>
      </c>
      <c r="P190" s="177">
        <f t="shared" si="320"/>
        <v>0</v>
      </c>
      <c r="Q190" s="177">
        <f t="shared" si="320"/>
        <v>0</v>
      </c>
      <c r="R190" s="177">
        <f t="shared" si="320"/>
        <v>0</v>
      </c>
      <c r="S190" s="177">
        <f t="shared" si="320"/>
        <v>0</v>
      </c>
      <c r="T190" s="177">
        <f t="shared" si="320"/>
        <v>0</v>
      </c>
      <c r="U190" s="177">
        <f t="shared" si="320"/>
        <v>0</v>
      </c>
      <c r="V190" s="177">
        <f t="shared" si="320"/>
        <v>0</v>
      </c>
      <c r="W190" s="177">
        <f t="shared" si="320"/>
        <v>0</v>
      </c>
      <c r="X190" s="177">
        <f t="shared" si="320"/>
        <v>0</v>
      </c>
      <c r="Y190" s="177">
        <f t="shared" si="320"/>
        <v>0</v>
      </c>
      <c r="Z190" s="177">
        <f t="shared" si="320"/>
        <v>0</v>
      </c>
      <c r="AA190" s="178">
        <f t="shared" si="339"/>
        <v>0</v>
      </c>
      <c r="AB190" s="173" t="s">
        <v>2409</v>
      </c>
      <c r="AC190" s="77"/>
      <c r="AD190" s="175">
        <v>46023</v>
      </c>
      <c r="AE190" s="175">
        <v>46387</v>
      </c>
      <c r="AF190" s="176">
        <f t="shared" si="321"/>
        <v>12</v>
      </c>
      <c r="AG190" s="177">
        <f>IF(AND($AD190&lt;=AG$3,AG$3&lt;=$AE190),$AC190/$AF190*HLOOKUP(AG$3,'FX Lookup'!$A$2:$Y$4,3,FALSE),0)</f>
        <v>0</v>
      </c>
      <c r="AH190" s="177">
        <f>IF(AND($AD190&lt;=AH$3,AH$3&lt;=$AE190),$AC190/$AF190*HLOOKUP(AH$3,'FX Lookup'!$A$2:$Y$4,3,FALSE),0)</f>
        <v>0</v>
      </c>
      <c r="AI190" s="177">
        <f>IF(AND($AD190&lt;=AI$3,AI$3&lt;=$AE190),$AC190/$AF190*HLOOKUP(AI$3,'FX Lookup'!$A$2:$Y$4,3,FALSE),0)</f>
        <v>0</v>
      </c>
      <c r="AJ190" s="177">
        <f>IF(AND($AD190&lt;=AJ$3,AJ$3&lt;=$AE190),$AC190/$AF190*HLOOKUP(AJ$3,'FX Lookup'!$A$2:$Y$4,3,FALSE),0)</f>
        <v>0</v>
      </c>
      <c r="AK190" s="177">
        <f>IF(AND($AD190&lt;=AK$3,AK$3&lt;=$AE190),$AC190/$AF190*HLOOKUP(AK$3,'FX Lookup'!$A$2:$Y$4,3,FALSE),0)</f>
        <v>0</v>
      </c>
      <c r="AL190" s="177">
        <f>IF(AND($AD190&lt;=AL$3,AL$3&lt;=$AE190),$AC190/$AF190*HLOOKUP(AL$3,'FX Lookup'!$A$2:$Y$4,3,FALSE),0)</f>
        <v>0</v>
      </c>
      <c r="AM190" s="177">
        <f>IF(AND($AD190&lt;=AM$3,AM$3&lt;=$AE190),$AC190/$AF190*HLOOKUP(AM$3,'FX Lookup'!$A$2:$Y$4,3,FALSE),0)</f>
        <v>0</v>
      </c>
      <c r="AN190" s="177">
        <f>IF(AND($AD190&lt;=AN$3,AN$3&lt;=$AE190),$AC190/$AF190*HLOOKUP(AN$3,'FX Lookup'!$A$2:$Y$4,3,FALSE),0)</f>
        <v>0</v>
      </c>
      <c r="AO190" s="177">
        <f>IF(AND($AD190&lt;=AO$3,AO$3&lt;=$AE190),$AC190/$AF190*HLOOKUP(AO$3,'FX Lookup'!$A$2:$Y$4,3,FALSE),0)</f>
        <v>0</v>
      </c>
      <c r="AP190" s="177">
        <f>IF(AND($AD190&lt;=AP$3,AP$3&lt;=$AE190),$AC190/$AF190*HLOOKUP(AP$3,'FX Lookup'!$A$2:$Y$4,3,FALSE),0)</f>
        <v>0</v>
      </c>
      <c r="AQ190" s="177">
        <f>IF(AND($AD190&lt;=AQ$3,AQ$3&lt;=$AE190),$AC190/$AF190*HLOOKUP(AQ$3,'FX Lookup'!$A$2:$Y$4,3,FALSE),0)</f>
        <v>0</v>
      </c>
      <c r="AR190" s="177">
        <f>IF(AND($AD190&lt;=AR$3,AR$3&lt;=$AE190),$AC190/$AF190*HLOOKUP(AR$3,'FX Lookup'!$A$2:$Y$4,3,FALSE),0)</f>
        <v>0</v>
      </c>
      <c r="AS190" s="178">
        <f t="shared" si="322"/>
        <v>0</v>
      </c>
      <c r="AU190" s="177">
        <f t="shared" si="323"/>
        <v>0</v>
      </c>
      <c r="AV190" s="177">
        <f t="shared" si="324"/>
        <v>0</v>
      </c>
      <c r="AW190" s="177">
        <f t="shared" si="325"/>
        <v>0</v>
      </c>
      <c r="AX190" s="177">
        <f t="shared" si="326"/>
        <v>0</v>
      </c>
      <c r="AY190" s="177">
        <f t="shared" si="327"/>
        <v>0</v>
      </c>
      <c r="AZ190" s="177">
        <f t="shared" si="328"/>
        <v>0</v>
      </c>
      <c r="BA190" s="177">
        <f t="shared" si="329"/>
        <v>0</v>
      </c>
      <c r="BB190" s="177">
        <f t="shared" si="330"/>
        <v>0</v>
      </c>
      <c r="BC190" s="177">
        <f t="shared" si="331"/>
        <v>0</v>
      </c>
      <c r="BD190" s="177">
        <f t="shared" si="332"/>
        <v>0</v>
      </c>
      <c r="BE190" s="177">
        <f t="shared" si="333"/>
        <v>0</v>
      </c>
      <c r="BF190" s="177">
        <f t="shared" si="334"/>
        <v>0</v>
      </c>
      <c r="BG190" s="178">
        <f t="shared" si="335"/>
        <v>0</v>
      </c>
    </row>
    <row r="191" spans="1:59" ht="13.5" customHeight="1">
      <c r="A191" s="171">
        <f t="shared" si="336"/>
        <v>17</v>
      </c>
      <c r="B191" s="171" t="s">
        <v>2741</v>
      </c>
      <c r="C191" s="171" t="s">
        <v>1867</v>
      </c>
      <c r="D191" s="171" t="str">
        <f t="shared" si="337"/>
        <v>支付的其他与经营活动有关的现金（其他）</v>
      </c>
      <c r="E191" s="171"/>
      <c r="F191" s="172" t="str">
        <f t="shared" si="341"/>
        <v>Professional Body Membership Fee</v>
      </c>
      <c r="G191" s="172"/>
      <c r="H191" s="77" t="s">
        <v>2613</v>
      </c>
      <c r="I191" s="173" t="s">
        <v>2614</v>
      </c>
      <c r="J191" s="173" t="s">
        <v>2409</v>
      </c>
      <c r="K191" s="77"/>
      <c r="L191" s="175">
        <v>45658</v>
      </c>
      <c r="M191" s="175">
        <v>46022</v>
      </c>
      <c r="N191" s="176">
        <f t="shared" si="338"/>
        <v>12</v>
      </c>
      <c r="O191" s="177">
        <f t="shared" si="340"/>
        <v>0</v>
      </c>
      <c r="P191" s="177">
        <f t="shared" si="340"/>
        <v>0</v>
      </c>
      <c r="Q191" s="177">
        <f t="shared" si="340"/>
        <v>0</v>
      </c>
      <c r="R191" s="177">
        <f t="shared" si="340"/>
        <v>0</v>
      </c>
      <c r="S191" s="177">
        <f t="shared" si="340"/>
        <v>0</v>
      </c>
      <c r="T191" s="177">
        <f t="shared" si="340"/>
        <v>0</v>
      </c>
      <c r="U191" s="177">
        <f t="shared" si="340"/>
        <v>0</v>
      </c>
      <c r="V191" s="177">
        <f t="shared" si="340"/>
        <v>0</v>
      </c>
      <c r="W191" s="177">
        <f t="shared" si="340"/>
        <v>0</v>
      </c>
      <c r="X191" s="177">
        <f t="shared" si="340"/>
        <v>0</v>
      </c>
      <c r="Y191" s="177">
        <f t="shared" si="340"/>
        <v>0</v>
      </c>
      <c r="Z191" s="177">
        <f t="shared" si="340"/>
        <v>0</v>
      </c>
      <c r="AA191" s="178">
        <f t="shared" si="339"/>
        <v>0</v>
      </c>
      <c r="AB191" s="173" t="s">
        <v>2409</v>
      </c>
      <c r="AC191" s="77"/>
      <c r="AD191" s="175">
        <v>46023</v>
      </c>
      <c r="AE191" s="175">
        <v>46387</v>
      </c>
      <c r="AF191" s="176">
        <f t="shared" si="321"/>
        <v>12</v>
      </c>
      <c r="AG191" s="177">
        <f>IF(AND($AD191&lt;=AG$3,AG$3&lt;=$AE191),$AC191/$AF191*HLOOKUP(AG$3,'FX Lookup'!$A$2:$Y$4,3,FALSE),0)</f>
        <v>0</v>
      </c>
      <c r="AH191" s="177">
        <f>IF(AND($AD191&lt;=AH$3,AH$3&lt;=$AE191),$AC191/$AF191*HLOOKUP(AH$3,'FX Lookup'!$A$2:$Y$4,3,FALSE),0)</f>
        <v>0</v>
      </c>
      <c r="AI191" s="177">
        <f>IF(AND($AD191&lt;=AI$3,AI$3&lt;=$AE191),$AC191/$AF191*HLOOKUP(AI$3,'FX Lookup'!$A$2:$Y$4,3,FALSE),0)</f>
        <v>0</v>
      </c>
      <c r="AJ191" s="177">
        <f>IF(AND($AD191&lt;=AJ$3,AJ$3&lt;=$AE191),$AC191/$AF191*HLOOKUP(AJ$3,'FX Lookup'!$A$2:$Y$4,3,FALSE),0)</f>
        <v>0</v>
      </c>
      <c r="AK191" s="177">
        <f>IF(AND($AD191&lt;=AK$3,AK$3&lt;=$AE191),$AC191/$AF191*HLOOKUP(AK$3,'FX Lookup'!$A$2:$Y$4,3,FALSE),0)</f>
        <v>0</v>
      </c>
      <c r="AL191" s="177">
        <f>IF(AND($AD191&lt;=AL$3,AL$3&lt;=$AE191),$AC191/$AF191*HLOOKUP(AL$3,'FX Lookup'!$A$2:$Y$4,3,FALSE),0)</f>
        <v>0</v>
      </c>
      <c r="AM191" s="177">
        <f>IF(AND($AD191&lt;=AM$3,AM$3&lt;=$AE191),$AC191/$AF191*HLOOKUP(AM$3,'FX Lookup'!$A$2:$Y$4,3,FALSE),0)</f>
        <v>0</v>
      </c>
      <c r="AN191" s="177">
        <f>IF(AND($AD191&lt;=AN$3,AN$3&lt;=$AE191),$AC191/$AF191*HLOOKUP(AN$3,'FX Lookup'!$A$2:$Y$4,3,FALSE),0)</f>
        <v>0</v>
      </c>
      <c r="AO191" s="177">
        <f>IF(AND($AD191&lt;=AO$3,AO$3&lt;=$AE191),$AC191/$AF191*HLOOKUP(AO$3,'FX Lookup'!$A$2:$Y$4,3,FALSE),0)</f>
        <v>0</v>
      </c>
      <c r="AP191" s="177">
        <f>IF(AND($AD191&lt;=AP$3,AP$3&lt;=$AE191),$AC191/$AF191*HLOOKUP(AP$3,'FX Lookup'!$A$2:$Y$4,3,FALSE),0)</f>
        <v>0</v>
      </c>
      <c r="AQ191" s="177">
        <f>IF(AND($AD191&lt;=AQ$3,AQ$3&lt;=$AE191),$AC191/$AF191*HLOOKUP(AQ$3,'FX Lookup'!$A$2:$Y$4,3,FALSE),0)</f>
        <v>0</v>
      </c>
      <c r="AR191" s="177">
        <f>IF(AND($AD191&lt;=AR$3,AR$3&lt;=$AE191),$AC191/$AF191*HLOOKUP(AR$3,'FX Lookup'!$A$2:$Y$4,3,FALSE),0)</f>
        <v>0</v>
      </c>
      <c r="AS191" s="178">
        <f t="shared" si="322"/>
        <v>0</v>
      </c>
      <c r="AU191" s="177">
        <f t="shared" si="323"/>
        <v>0</v>
      </c>
      <c r="AV191" s="177">
        <f t="shared" si="324"/>
        <v>0</v>
      </c>
      <c r="AW191" s="177">
        <f t="shared" si="325"/>
        <v>0</v>
      </c>
      <c r="AX191" s="177">
        <f t="shared" si="326"/>
        <v>0</v>
      </c>
      <c r="AY191" s="177">
        <f t="shared" si="327"/>
        <v>0</v>
      </c>
      <c r="AZ191" s="177">
        <f t="shared" si="328"/>
        <v>0</v>
      </c>
      <c r="BA191" s="177">
        <f t="shared" si="329"/>
        <v>0</v>
      </c>
      <c r="BB191" s="177">
        <f t="shared" si="330"/>
        <v>0</v>
      </c>
      <c r="BC191" s="177">
        <f t="shared" si="331"/>
        <v>0</v>
      </c>
      <c r="BD191" s="177">
        <f t="shared" si="332"/>
        <v>0</v>
      </c>
      <c r="BE191" s="177">
        <f t="shared" si="333"/>
        <v>0</v>
      </c>
      <c r="BF191" s="177">
        <f t="shared" si="334"/>
        <v>0</v>
      </c>
      <c r="BG191" s="178">
        <f t="shared" si="335"/>
        <v>0</v>
      </c>
    </row>
    <row r="192" spans="1:59" ht="13.5" customHeight="1">
      <c r="A192" s="171">
        <f t="shared" si="336"/>
        <v>18</v>
      </c>
      <c r="B192" s="171" t="s">
        <v>2741</v>
      </c>
      <c r="C192" s="171" t="s">
        <v>1672</v>
      </c>
      <c r="D192" s="171" t="str">
        <f t="shared" si="337"/>
        <v>支付的其他与经营活动有关的现金（其他）</v>
      </c>
      <c r="E192" s="171"/>
      <c r="F192" s="172" t="str">
        <f t="shared" si="341"/>
        <v>Purchase system</v>
      </c>
      <c r="G192" s="172"/>
      <c r="H192" s="77" t="s">
        <v>2613</v>
      </c>
      <c r="I192" s="173" t="s">
        <v>2614</v>
      </c>
      <c r="J192" s="173" t="s">
        <v>2409</v>
      </c>
      <c r="K192" s="77"/>
      <c r="L192" s="175">
        <v>45658</v>
      </c>
      <c r="M192" s="175">
        <v>46022</v>
      </c>
      <c r="N192" s="176">
        <f t="shared" si="338"/>
        <v>12</v>
      </c>
      <c r="O192" s="177">
        <f t="shared" si="340"/>
        <v>0</v>
      </c>
      <c r="P192" s="177">
        <f t="shared" si="340"/>
        <v>0</v>
      </c>
      <c r="Q192" s="177">
        <f t="shared" si="340"/>
        <v>0</v>
      </c>
      <c r="R192" s="177">
        <f t="shared" si="340"/>
        <v>0</v>
      </c>
      <c r="S192" s="177">
        <f t="shared" si="340"/>
        <v>0</v>
      </c>
      <c r="T192" s="177">
        <f t="shared" si="340"/>
        <v>0</v>
      </c>
      <c r="U192" s="177">
        <f t="shared" si="340"/>
        <v>0</v>
      </c>
      <c r="V192" s="177">
        <f t="shared" si="340"/>
        <v>0</v>
      </c>
      <c r="W192" s="177">
        <f t="shared" si="340"/>
        <v>0</v>
      </c>
      <c r="X192" s="177">
        <f t="shared" si="340"/>
        <v>0</v>
      </c>
      <c r="Y192" s="177">
        <f t="shared" si="340"/>
        <v>0</v>
      </c>
      <c r="Z192" s="177">
        <f t="shared" si="340"/>
        <v>0</v>
      </c>
      <c r="AA192" s="178">
        <f t="shared" si="339"/>
        <v>0</v>
      </c>
      <c r="AB192" s="173" t="s">
        <v>2409</v>
      </c>
      <c r="AC192" s="77"/>
      <c r="AD192" s="175">
        <v>46023</v>
      </c>
      <c r="AE192" s="175">
        <v>46387</v>
      </c>
      <c r="AF192" s="176">
        <f t="shared" si="321"/>
        <v>12</v>
      </c>
      <c r="AG192" s="177">
        <f>IF(AND($AD192&lt;=AG$3,AG$3&lt;=$AE192),$AC192/$AF192*HLOOKUP(AG$3,'FX Lookup'!$A$2:$Y$4,3,FALSE),0)</f>
        <v>0</v>
      </c>
      <c r="AH192" s="177">
        <f>IF(AND($AD192&lt;=AH$3,AH$3&lt;=$AE192),$AC192/$AF192*HLOOKUP(AH$3,'FX Lookup'!$A$2:$Y$4,3,FALSE),0)</f>
        <v>0</v>
      </c>
      <c r="AI192" s="177">
        <f>IF(AND($AD192&lt;=AI$3,AI$3&lt;=$AE192),$AC192/$AF192*HLOOKUP(AI$3,'FX Lookup'!$A$2:$Y$4,3,FALSE),0)</f>
        <v>0</v>
      </c>
      <c r="AJ192" s="177">
        <f>IF(AND($AD192&lt;=AJ$3,AJ$3&lt;=$AE192),$AC192/$AF192*HLOOKUP(AJ$3,'FX Lookup'!$A$2:$Y$4,3,FALSE),0)</f>
        <v>0</v>
      </c>
      <c r="AK192" s="177">
        <f>IF(AND($AD192&lt;=AK$3,AK$3&lt;=$AE192),$AC192/$AF192*HLOOKUP(AK$3,'FX Lookup'!$A$2:$Y$4,3,FALSE),0)</f>
        <v>0</v>
      </c>
      <c r="AL192" s="177">
        <f>IF(AND($AD192&lt;=AL$3,AL$3&lt;=$AE192),$AC192/$AF192*HLOOKUP(AL$3,'FX Lookup'!$A$2:$Y$4,3,FALSE),0)</f>
        <v>0</v>
      </c>
      <c r="AM192" s="177">
        <f>IF(AND($AD192&lt;=AM$3,AM$3&lt;=$AE192),$AC192/$AF192*HLOOKUP(AM$3,'FX Lookup'!$A$2:$Y$4,3,FALSE),0)</f>
        <v>0</v>
      </c>
      <c r="AN192" s="177">
        <f>IF(AND($AD192&lt;=AN$3,AN$3&lt;=$AE192),$AC192/$AF192*HLOOKUP(AN$3,'FX Lookup'!$A$2:$Y$4,3,FALSE),0)</f>
        <v>0</v>
      </c>
      <c r="AO192" s="177">
        <f>IF(AND($AD192&lt;=AO$3,AO$3&lt;=$AE192),$AC192/$AF192*HLOOKUP(AO$3,'FX Lookup'!$A$2:$Y$4,3,FALSE),0)</f>
        <v>0</v>
      </c>
      <c r="AP192" s="177">
        <f>IF(AND($AD192&lt;=AP$3,AP$3&lt;=$AE192),$AC192/$AF192*HLOOKUP(AP$3,'FX Lookup'!$A$2:$Y$4,3,FALSE),0)</f>
        <v>0</v>
      </c>
      <c r="AQ192" s="177">
        <f>IF(AND($AD192&lt;=AQ$3,AQ$3&lt;=$AE192),$AC192/$AF192*HLOOKUP(AQ$3,'FX Lookup'!$A$2:$Y$4,3,FALSE),0)</f>
        <v>0</v>
      </c>
      <c r="AR192" s="177">
        <f>IF(AND($AD192&lt;=AR$3,AR$3&lt;=$AE192),$AC192/$AF192*HLOOKUP(AR$3,'FX Lookup'!$A$2:$Y$4,3,FALSE),0)</f>
        <v>0</v>
      </c>
      <c r="AS192" s="178">
        <f t="shared" si="322"/>
        <v>0</v>
      </c>
      <c r="AU192" s="177">
        <f t="shared" si="323"/>
        <v>0</v>
      </c>
      <c r="AV192" s="177">
        <f t="shared" si="324"/>
        <v>0</v>
      </c>
      <c r="AW192" s="177">
        <f t="shared" si="325"/>
        <v>0</v>
      </c>
      <c r="AX192" s="177">
        <f t="shared" si="326"/>
        <v>0</v>
      </c>
      <c r="AY192" s="177">
        <f t="shared" si="327"/>
        <v>0</v>
      </c>
      <c r="AZ192" s="177">
        <f t="shared" si="328"/>
        <v>0</v>
      </c>
      <c r="BA192" s="177">
        <f t="shared" si="329"/>
        <v>0</v>
      </c>
      <c r="BB192" s="177">
        <f t="shared" si="330"/>
        <v>0</v>
      </c>
      <c r="BC192" s="177">
        <f t="shared" si="331"/>
        <v>0</v>
      </c>
      <c r="BD192" s="177">
        <f t="shared" si="332"/>
        <v>0</v>
      </c>
      <c r="BE192" s="177">
        <f t="shared" si="333"/>
        <v>0</v>
      </c>
      <c r="BF192" s="177">
        <f t="shared" si="334"/>
        <v>0</v>
      </c>
      <c r="BG192" s="178">
        <f t="shared" si="335"/>
        <v>0</v>
      </c>
    </row>
    <row r="193" spans="1:59" ht="13.5" customHeight="1">
      <c r="A193" s="171">
        <f t="shared" si="336"/>
        <v>19</v>
      </c>
      <c r="B193" s="171" t="s">
        <v>2741</v>
      </c>
      <c r="C193" s="171" t="s">
        <v>1549</v>
      </c>
      <c r="D193" s="171" t="str">
        <f t="shared" si="337"/>
        <v>支付的其他与经营活动有关的现金（其他）</v>
      </c>
      <c r="E193" s="171"/>
      <c r="F193" s="172" t="str">
        <f t="shared" si="341"/>
        <v>Employee Background Check</v>
      </c>
      <c r="G193" s="172"/>
      <c r="H193" s="77" t="s">
        <v>2613</v>
      </c>
      <c r="I193" s="173" t="s">
        <v>2614</v>
      </c>
      <c r="J193" s="173" t="s">
        <v>2409</v>
      </c>
      <c r="K193" s="77"/>
      <c r="L193" s="175">
        <v>45658</v>
      </c>
      <c r="M193" s="175">
        <v>46022</v>
      </c>
      <c r="N193" s="176">
        <f t="shared" si="338"/>
        <v>12</v>
      </c>
      <c r="O193" s="177">
        <f t="shared" si="340"/>
        <v>0</v>
      </c>
      <c r="P193" s="177">
        <f t="shared" si="340"/>
        <v>0</v>
      </c>
      <c r="Q193" s="177">
        <f t="shared" si="340"/>
        <v>0</v>
      </c>
      <c r="R193" s="177">
        <f t="shared" si="340"/>
        <v>0</v>
      </c>
      <c r="S193" s="177">
        <f t="shared" si="340"/>
        <v>0</v>
      </c>
      <c r="T193" s="177">
        <f t="shared" si="340"/>
        <v>0</v>
      </c>
      <c r="U193" s="177">
        <f t="shared" si="340"/>
        <v>0</v>
      </c>
      <c r="V193" s="177">
        <f t="shared" si="340"/>
        <v>0</v>
      </c>
      <c r="W193" s="177">
        <f t="shared" si="340"/>
        <v>0</v>
      </c>
      <c r="X193" s="177">
        <f t="shared" si="340"/>
        <v>0</v>
      </c>
      <c r="Y193" s="177">
        <f t="shared" si="340"/>
        <v>0</v>
      </c>
      <c r="Z193" s="177">
        <f t="shared" si="340"/>
        <v>0</v>
      </c>
      <c r="AA193" s="178">
        <f t="shared" si="339"/>
        <v>0</v>
      </c>
      <c r="AB193" s="173" t="s">
        <v>2409</v>
      </c>
      <c r="AC193" s="77"/>
      <c r="AD193" s="175">
        <v>46023</v>
      </c>
      <c r="AE193" s="175">
        <v>46387</v>
      </c>
      <c r="AF193" s="176">
        <f t="shared" si="321"/>
        <v>12</v>
      </c>
      <c r="AG193" s="177">
        <f>IF(AND($AD193&lt;=AG$3,AG$3&lt;=$AE193),$AC193/$AF193*HLOOKUP(AG$3,'FX Lookup'!$A$2:$Y$4,3,FALSE),0)</f>
        <v>0</v>
      </c>
      <c r="AH193" s="177">
        <f>IF(AND($AD193&lt;=AH$3,AH$3&lt;=$AE193),$AC193/$AF193*HLOOKUP(AH$3,'FX Lookup'!$A$2:$Y$4,3,FALSE),0)</f>
        <v>0</v>
      </c>
      <c r="AI193" s="177">
        <f>IF(AND($AD193&lt;=AI$3,AI$3&lt;=$AE193),$AC193/$AF193*HLOOKUP(AI$3,'FX Lookup'!$A$2:$Y$4,3,FALSE),0)</f>
        <v>0</v>
      </c>
      <c r="AJ193" s="177">
        <f>IF(AND($AD193&lt;=AJ$3,AJ$3&lt;=$AE193),$AC193/$AF193*HLOOKUP(AJ$3,'FX Lookup'!$A$2:$Y$4,3,FALSE),0)</f>
        <v>0</v>
      </c>
      <c r="AK193" s="177">
        <f>IF(AND($AD193&lt;=AK$3,AK$3&lt;=$AE193),$AC193/$AF193*HLOOKUP(AK$3,'FX Lookup'!$A$2:$Y$4,3,FALSE),0)</f>
        <v>0</v>
      </c>
      <c r="AL193" s="177">
        <f>IF(AND($AD193&lt;=AL$3,AL$3&lt;=$AE193),$AC193/$AF193*HLOOKUP(AL$3,'FX Lookup'!$A$2:$Y$4,3,FALSE),0)</f>
        <v>0</v>
      </c>
      <c r="AM193" s="177">
        <f>IF(AND($AD193&lt;=AM$3,AM$3&lt;=$AE193),$AC193/$AF193*HLOOKUP(AM$3,'FX Lookup'!$A$2:$Y$4,3,FALSE),0)</f>
        <v>0</v>
      </c>
      <c r="AN193" s="177">
        <f>IF(AND($AD193&lt;=AN$3,AN$3&lt;=$AE193),$AC193/$AF193*HLOOKUP(AN$3,'FX Lookup'!$A$2:$Y$4,3,FALSE),0)</f>
        <v>0</v>
      </c>
      <c r="AO193" s="177">
        <f>IF(AND($AD193&lt;=AO$3,AO$3&lt;=$AE193),$AC193/$AF193*HLOOKUP(AO$3,'FX Lookup'!$A$2:$Y$4,3,FALSE),0)</f>
        <v>0</v>
      </c>
      <c r="AP193" s="177">
        <f>IF(AND($AD193&lt;=AP$3,AP$3&lt;=$AE193),$AC193/$AF193*HLOOKUP(AP$3,'FX Lookup'!$A$2:$Y$4,3,FALSE),0)</f>
        <v>0</v>
      </c>
      <c r="AQ193" s="177">
        <f>IF(AND($AD193&lt;=AQ$3,AQ$3&lt;=$AE193),$AC193/$AF193*HLOOKUP(AQ$3,'FX Lookup'!$A$2:$Y$4,3,FALSE),0)</f>
        <v>0</v>
      </c>
      <c r="AR193" s="177">
        <f>IF(AND($AD193&lt;=AR$3,AR$3&lt;=$AE193),$AC193/$AF193*HLOOKUP(AR$3,'FX Lookup'!$A$2:$Y$4,3,FALSE),0)</f>
        <v>0</v>
      </c>
      <c r="AS193" s="178">
        <f t="shared" si="322"/>
        <v>0</v>
      </c>
      <c r="AU193" s="177">
        <f t="shared" si="323"/>
        <v>0</v>
      </c>
      <c r="AV193" s="177">
        <f t="shared" si="324"/>
        <v>0</v>
      </c>
      <c r="AW193" s="177">
        <f t="shared" si="325"/>
        <v>0</v>
      </c>
      <c r="AX193" s="177">
        <f t="shared" si="326"/>
        <v>0</v>
      </c>
      <c r="AY193" s="177">
        <f t="shared" si="327"/>
        <v>0</v>
      </c>
      <c r="AZ193" s="177">
        <f t="shared" si="328"/>
        <v>0</v>
      </c>
      <c r="BA193" s="177">
        <f t="shared" si="329"/>
        <v>0</v>
      </c>
      <c r="BB193" s="177">
        <f t="shared" si="330"/>
        <v>0</v>
      </c>
      <c r="BC193" s="177">
        <f t="shared" si="331"/>
        <v>0</v>
      </c>
      <c r="BD193" s="177">
        <f t="shared" si="332"/>
        <v>0</v>
      </c>
      <c r="BE193" s="177">
        <f t="shared" si="333"/>
        <v>0</v>
      </c>
      <c r="BF193" s="177">
        <f t="shared" si="334"/>
        <v>0</v>
      </c>
      <c r="BG193" s="178">
        <f t="shared" si="335"/>
        <v>0</v>
      </c>
    </row>
    <row r="194" spans="1:59" ht="13.5" customHeight="1">
      <c r="A194" s="171">
        <f t="shared" si="336"/>
        <v>20</v>
      </c>
      <c r="B194" s="171" t="s">
        <v>2741</v>
      </c>
      <c r="C194" s="171" t="s">
        <v>1867</v>
      </c>
      <c r="D194" s="171" t="str">
        <f t="shared" si="337"/>
        <v>支付的其他与经营活动有关的现金（其他）</v>
      </c>
      <c r="E194" s="171"/>
      <c r="F194" s="172" t="str">
        <f t="shared" si="341"/>
        <v>Training Fees</v>
      </c>
      <c r="G194" s="172"/>
      <c r="H194" s="77" t="s">
        <v>2613</v>
      </c>
      <c r="I194" s="173" t="s">
        <v>2614</v>
      </c>
      <c r="J194" s="173" t="s">
        <v>2409</v>
      </c>
      <c r="K194" s="77"/>
      <c r="L194" s="175">
        <v>45658</v>
      </c>
      <c r="M194" s="175">
        <v>46022</v>
      </c>
      <c r="N194" s="176">
        <f t="shared" si="338"/>
        <v>12</v>
      </c>
      <c r="O194" s="177">
        <f t="shared" ref="O194:Z194" si="342">IF(AND($L194&lt;=O$3,O$3&lt;=$M194),$K194/$N194,0)</f>
        <v>0</v>
      </c>
      <c r="P194" s="177">
        <f t="shared" si="342"/>
        <v>0</v>
      </c>
      <c r="Q194" s="177">
        <f t="shared" si="342"/>
        <v>0</v>
      </c>
      <c r="R194" s="177">
        <f t="shared" si="342"/>
        <v>0</v>
      </c>
      <c r="S194" s="177">
        <f t="shared" si="342"/>
        <v>0</v>
      </c>
      <c r="T194" s="177">
        <f t="shared" si="342"/>
        <v>0</v>
      </c>
      <c r="U194" s="177">
        <f t="shared" si="342"/>
        <v>0</v>
      </c>
      <c r="V194" s="177">
        <f t="shared" si="342"/>
        <v>0</v>
      </c>
      <c r="W194" s="177">
        <f t="shared" si="342"/>
        <v>0</v>
      </c>
      <c r="X194" s="177">
        <f t="shared" si="342"/>
        <v>0</v>
      </c>
      <c r="Y194" s="177">
        <f t="shared" si="342"/>
        <v>0</v>
      </c>
      <c r="Z194" s="177">
        <f t="shared" si="342"/>
        <v>0</v>
      </c>
      <c r="AA194" s="178">
        <f t="shared" si="339"/>
        <v>0</v>
      </c>
      <c r="AB194" s="173" t="s">
        <v>2409</v>
      </c>
      <c r="AC194" s="77"/>
      <c r="AD194" s="175">
        <v>46023</v>
      </c>
      <c r="AE194" s="175">
        <v>46387</v>
      </c>
      <c r="AF194" s="176">
        <f t="shared" si="321"/>
        <v>12</v>
      </c>
      <c r="AG194" s="177">
        <f>IF(AND($AD194&lt;=AG$3,AG$3&lt;=$AE194),$AC194/$AF194*HLOOKUP(AG$3,'FX Lookup'!$A$2:$Y$4,3,FALSE),0)</f>
        <v>0</v>
      </c>
      <c r="AH194" s="177">
        <f>IF(AND($AD194&lt;=AH$3,AH$3&lt;=$AE194),$AC194/$AF194*HLOOKUP(AH$3,'FX Lookup'!$A$2:$Y$4,3,FALSE),0)</f>
        <v>0</v>
      </c>
      <c r="AI194" s="177">
        <f>IF(AND($AD194&lt;=AI$3,AI$3&lt;=$AE194),$AC194/$AF194*HLOOKUP(AI$3,'FX Lookup'!$A$2:$Y$4,3,FALSE),0)</f>
        <v>0</v>
      </c>
      <c r="AJ194" s="177">
        <f>IF(AND($AD194&lt;=AJ$3,AJ$3&lt;=$AE194),$AC194/$AF194*HLOOKUP(AJ$3,'FX Lookup'!$A$2:$Y$4,3,FALSE),0)</f>
        <v>0</v>
      </c>
      <c r="AK194" s="177">
        <f>IF(AND($AD194&lt;=AK$3,AK$3&lt;=$AE194),$AC194/$AF194*HLOOKUP(AK$3,'FX Lookup'!$A$2:$Y$4,3,FALSE),0)</f>
        <v>0</v>
      </c>
      <c r="AL194" s="177">
        <f>IF(AND($AD194&lt;=AL$3,AL$3&lt;=$AE194),$AC194/$AF194*HLOOKUP(AL$3,'FX Lookup'!$A$2:$Y$4,3,FALSE),0)</f>
        <v>0</v>
      </c>
      <c r="AM194" s="177">
        <f>IF(AND($AD194&lt;=AM$3,AM$3&lt;=$AE194),$AC194/$AF194*HLOOKUP(AM$3,'FX Lookup'!$A$2:$Y$4,3,FALSE),0)</f>
        <v>0</v>
      </c>
      <c r="AN194" s="177">
        <f>IF(AND($AD194&lt;=AN$3,AN$3&lt;=$AE194),$AC194/$AF194*HLOOKUP(AN$3,'FX Lookup'!$A$2:$Y$4,3,FALSE),0)</f>
        <v>0</v>
      </c>
      <c r="AO194" s="177">
        <f>IF(AND($AD194&lt;=AO$3,AO$3&lt;=$AE194),$AC194/$AF194*HLOOKUP(AO$3,'FX Lookup'!$A$2:$Y$4,3,FALSE),0)</f>
        <v>0</v>
      </c>
      <c r="AP194" s="177">
        <f>IF(AND($AD194&lt;=AP$3,AP$3&lt;=$AE194),$AC194/$AF194*HLOOKUP(AP$3,'FX Lookup'!$A$2:$Y$4,3,FALSE),0)</f>
        <v>0</v>
      </c>
      <c r="AQ194" s="177">
        <f>IF(AND($AD194&lt;=AQ$3,AQ$3&lt;=$AE194),$AC194/$AF194*HLOOKUP(AQ$3,'FX Lookup'!$A$2:$Y$4,3,FALSE),0)</f>
        <v>0</v>
      </c>
      <c r="AR194" s="177">
        <f>IF(AND($AD194&lt;=AR$3,AR$3&lt;=$AE194),$AC194/$AF194*HLOOKUP(AR$3,'FX Lookup'!$A$2:$Y$4,3,FALSE),0)</f>
        <v>0</v>
      </c>
      <c r="AS194" s="178">
        <f t="shared" si="322"/>
        <v>0</v>
      </c>
      <c r="AU194" s="177">
        <f t="shared" si="323"/>
        <v>0</v>
      </c>
      <c r="AV194" s="177">
        <f t="shared" si="324"/>
        <v>0</v>
      </c>
      <c r="AW194" s="177">
        <f t="shared" si="325"/>
        <v>0</v>
      </c>
      <c r="AX194" s="177">
        <f t="shared" si="326"/>
        <v>0</v>
      </c>
      <c r="AY194" s="177">
        <f t="shared" si="327"/>
        <v>0</v>
      </c>
      <c r="AZ194" s="177">
        <f t="shared" si="328"/>
        <v>0</v>
      </c>
      <c r="BA194" s="177">
        <f t="shared" si="329"/>
        <v>0</v>
      </c>
      <c r="BB194" s="177">
        <f t="shared" si="330"/>
        <v>0</v>
      </c>
      <c r="BC194" s="177">
        <f t="shared" si="331"/>
        <v>0</v>
      </c>
      <c r="BD194" s="177">
        <f t="shared" si="332"/>
        <v>0</v>
      </c>
      <c r="BE194" s="177">
        <f t="shared" si="333"/>
        <v>0</v>
      </c>
      <c r="BF194" s="177">
        <f t="shared" si="334"/>
        <v>0</v>
      </c>
      <c r="BG194" s="178">
        <f t="shared" si="335"/>
        <v>0</v>
      </c>
    </row>
    <row r="196" spans="1:59" s="151" customFormat="1" ht="13.5" thickBot="1">
      <c r="L196" s="180"/>
      <c r="M196" s="180"/>
      <c r="O196" s="185">
        <f>SUM(O175:O195)</f>
        <v>0</v>
      </c>
      <c r="P196" s="185">
        <f t="shared" ref="P196" si="343">SUM(P175:P195)</f>
        <v>0</v>
      </c>
      <c r="Q196" s="185">
        <f t="shared" ref="Q196" si="344">SUM(Q175:Q195)</f>
        <v>0</v>
      </c>
      <c r="R196" s="185">
        <f t="shared" ref="R196" si="345">SUM(R175:R195)</f>
        <v>0</v>
      </c>
      <c r="S196" s="185">
        <f t="shared" ref="S196" si="346">SUM(S175:S195)</f>
        <v>0</v>
      </c>
      <c r="T196" s="185">
        <f t="shared" ref="T196" si="347">SUM(T175:T195)</f>
        <v>0</v>
      </c>
      <c r="U196" s="185">
        <f t="shared" ref="U196" si="348">SUM(U175:U195)</f>
        <v>0</v>
      </c>
      <c r="V196" s="185">
        <f t="shared" ref="V196" si="349">SUM(V175:V195)</f>
        <v>0</v>
      </c>
      <c r="W196" s="185">
        <f t="shared" ref="W196" si="350">SUM(W175:W195)</f>
        <v>0</v>
      </c>
      <c r="X196" s="185">
        <f t="shared" ref="X196" si="351">SUM(X175:X195)</f>
        <v>0</v>
      </c>
      <c r="Y196" s="185">
        <f t="shared" ref="Y196" si="352">SUM(Y175:Y195)</f>
        <v>0</v>
      </c>
      <c r="Z196" s="185">
        <f t="shared" ref="Z196" si="353">SUM(Z175:Z195)</f>
        <v>0</v>
      </c>
      <c r="AA196" s="182">
        <f>SUBTOTAL(9,O196:Z196)</f>
        <v>0</v>
      </c>
      <c r="AC196" s="185">
        <f>SUM(AC175:AC195)</f>
        <v>0</v>
      </c>
      <c r="AD196" s="180"/>
      <c r="AE196" s="180"/>
      <c r="AG196" s="185">
        <f t="shared" ref="AG196:AR196" si="354">SUM(AG175:AG195)</f>
        <v>0</v>
      </c>
      <c r="AH196" s="185">
        <f t="shared" si="354"/>
        <v>0</v>
      </c>
      <c r="AI196" s="185">
        <f t="shared" si="354"/>
        <v>0</v>
      </c>
      <c r="AJ196" s="185">
        <f t="shared" si="354"/>
        <v>0</v>
      </c>
      <c r="AK196" s="185">
        <f t="shared" si="354"/>
        <v>0</v>
      </c>
      <c r="AL196" s="185">
        <f t="shared" si="354"/>
        <v>0</v>
      </c>
      <c r="AM196" s="185">
        <f t="shared" si="354"/>
        <v>0</v>
      </c>
      <c r="AN196" s="185">
        <f t="shared" si="354"/>
        <v>0</v>
      </c>
      <c r="AO196" s="185">
        <f t="shared" si="354"/>
        <v>0</v>
      </c>
      <c r="AP196" s="185">
        <f t="shared" si="354"/>
        <v>0</v>
      </c>
      <c r="AQ196" s="185">
        <f t="shared" si="354"/>
        <v>0</v>
      </c>
      <c r="AR196" s="185">
        <f t="shared" si="354"/>
        <v>0</v>
      </c>
      <c r="AS196" s="182">
        <f>SUBTOTAL(9,AG196:AR196)</f>
        <v>0</v>
      </c>
      <c r="AU196" s="185">
        <f t="shared" ref="AU196:BF196" si="355">SUM(AU175:AU195)</f>
        <v>0</v>
      </c>
      <c r="AV196" s="185">
        <f t="shared" si="355"/>
        <v>0</v>
      </c>
      <c r="AW196" s="185">
        <f t="shared" si="355"/>
        <v>0</v>
      </c>
      <c r="AX196" s="185">
        <f t="shared" si="355"/>
        <v>0</v>
      </c>
      <c r="AY196" s="185">
        <f t="shared" si="355"/>
        <v>0</v>
      </c>
      <c r="AZ196" s="185">
        <f t="shared" si="355"/>
        <v>0</v>
      </c>
      <c r="BA196" s="185">
        <f t="shared" si="355"/>
        <v>0</v>
      </c>
      <c r="BB196" s="185">
        <f t="shared" si="355"/>
        <v>0</v>
      </c>
      <c r="BC196" s="185">
        <f t="shared" si="355"/>
        <v>0</v>
      </c>
      <c r="BD196" s="185">
        <f t="shared" si="355"/>
        <v>0</v>
      </c>
      <c r="BE196" s="185">
        <f t="shared" si="355"/>
        <v>0</v>
      </c>
      <c r="BF196" s="185">
        <f t="shared" si="355"/>
        <v>0</v>
      </c>
      <c r="BG196" s="182">
        <f>SUBTOTAL(9,AU196:BF196)</f>
        <v>0</v>
      </c>
    </row>
    <row r="197" spans="1:59" ht="13.5" thickTop="1">
      <c r="AS197" s="152">
        <f>AS27+AS51+AS75+AS99+AS123+AS147</f>
        <v>576766.05155145843</v>
      </c>
      <c r="BG197" s="152">
        <f>BG27+BG51+BG75+BG99+BG123+BG147</f>
        <v>605604.3541290313</v>
      </c>
    </row>
  </sheetData>
  <sheetProtection formatCells="0" formatColumns="0" formatRows="0" insertColumns="0" insertRows="0" autoFilter="0"/>
  <autoFilter ref="A3:AA194" xr:uid="{00000000-0009-0000-0000-000022000000}"/>
  <pageMargins left="0.75" right="0.75" top="1" bottom="1" header="0.5" footer="0.5"/>
  <pageSetup paperSize="9" orientation="portrait" r:id="rId1"/>
  <headerFooter alignWithMargins="0">
    <oddHeader>&amp;C&amp;G</oddHeader>
    <oddFooter>&amp;C&amp;G</oddFooter>
  </headerFooter>
  <legacyDrawing r:id="rId2"/>
  <legacyDrawingHF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4" tint="0.59999389629810485"/>
  </sheetPr>
  <dimension ref="A1:N43"/>
  <sheetViews>
    <sheetView workbookViewId="0">
      <selection activeCell="D22" sqref="D22"/>
    </sheetView>
  </sheetViews>
  <sheetFormatPr defaultColWidth="8.625" defaultRowHeight="17.25" customHeight="1"/>
  <cols>
    <col min="1" max="1" width="11" style="3" customWidth="1"/>
    <col min="2" max="2" width="14.375" style="3" customWidth="1"/>
    <col min="3" max="3" width="11.875" style="3" customWidth="1"/>
    <col min="4" max="6" width="11.125" style="3" customWidth="1"/>
    <col min="7" max="7" width="11" style="3" customWidth="1"/>
    <col min="8" max="8" width="14.375" style="3" customWidth="1"/>
    <col min="9" max="9" width="11.875" style="3" customWidth="1"/>
    <col min="10" max="10" width="10.25" style="3" customWidth="1"/>
    <col min="11" max="11" width="8.625" style="3" customWidth="1"/>
    <col min="12" max="12" width="9.875" style="3" customWidth="1"/>
    <col min="13" max="13" width="11.125" style="3" customWidth="1"/>
    <col min="14" max="14" width="11.625" style="3" customWidth="1"/>
    <col min="15" max="15" width="8.625" style="3" customWidth="1"/>
    <col min="16" max="16384" width="8.625" style="3"/>
  </cols>
  <sheetData>
    <row r="1" spans="1:10" ht="17.25" customHeight="1">
      <c r="B1" s="3" t="s">
        <v>2947</v>
      </c>
      <c r="C1" s="60">
        <v>0.05</v>
      </c>
      <c r="I1" s="60"/>
    </row>
    <row r="2" spans="1:10" ht="17.25" customHeight="1">
      <c r="A2" s="4" t="s">
        <v>2948</v>
      </c>
      <c r="G2" s="4"/>
    </row>
    <row r="4" spans="1:10" ht="17.25" customHeight="1">
      <c r="B4" s="142" t="s">
        <v>2949</v>
      </c>
      <c r="C4" s="142" t="s">
        <v>2954</v>
      </c>
      <c r="D4" s="142"/>
      <c r="E4" s="142"/>
      <c r="F4" s="142"/>
      <c r="H4" s="142"/>
      <c r="I4" s="142"/>
    </row>
    <row r="5" spans="1:10" ht="17.25" customHeight="1">
      <c r="A5" s="3" t="s">
        <v>2950</v>
      </c>
      <c r="B5" s="143">
        <v>8</v>
      </c>
      <c r="C5" s="143">
        <f>SUMIF($C$18:$C$36,$A5,$D$18:$D$36)</f>
        <v>6</v>
      </c>
      <c r="D5" s="144"/>
      <c r="E5" s="144"/>
      <c r="F5" s="144"/>
      <c r="H5" s="145"/>
      <c r="I5" s="145"/>
    </row>
    <row r="6" spans="1:10" ht="17.25" customHeight="1">
      <c r="A6" s="3" t="s">
        <v>2951</v>
      </c>
      <c r="B6" s="143">
        <v>7</v>
      </c>
      <c r="C6" s="143">
        <f>SUMIF($C$18:$C$36,$A6,$D$18:$D$36)</f>
        <v>5</v>
      </c>
      <c r="D6" s="144"/>
      <c r="E6" s="144"/>
      <c r="F6" s="144"/>
      <c r="H6" s="145"/>
      <c r="I6" s="145"/>
    </row>
    <row r="7" spans="1:10" ht="17.25" customHeight="1">
      <c r="A7" s="3" t="s">
        <v>2952</v>
      </c>
      <c r="B7" s="143">
        <v>10</v>
      </c>
      <c r="C7" s="143">
        <f>SUMIF($C$18:$C$36,$A7,$D$18:$D$36)</f>
        <v>6</v>
      </c>
      <c r="D7" s="144"/>
      <c r="E7" s="144"/>
      <c r="F7" s="144"/>
      <c r="H7" s="145"/>
      <c r="I7" s="145"/>
    </row>
    <row r="8" spans="1:10" ht="17.25" customHeight="1">
      <c r="B8" s="146">
        <v>25</v>
      </c>
      <c r="C8" s="146">
        <f>SUM(C5:C7)</f>
        <v>17</v>
      </c>
      <c r="D8" s="144"/>
      <c r="E8" s="144"/>
      <c r="F8" s="144"/>
      <c r="H8" s="147"/>
      <c r="I8" s="147"/>
    </row>
    <row r="9" spans="1:10" ht="17.25" customHeight="1">
      <c r="B9" s="147"/>
      <c r="C9" s="147"/>
      <c r="D9" s="144"/>
      <c r="E9" s="144"/>
      <c r="F9" s="144"/>
      <c r="H9" s="147"/>
      <c r="I9" s="147"/>
    </row>
    <row r="10" spans="1:10" ht="17.25" customHeight="1">
      <c r="A10" s="3" t="s">
        <v>2110</v>
      </c>
      <c r="B10" s="144">
        <v>321525</v>
      </c>
      <c r="C10" s="144">
        <f>250000/2</f>
        <v>125000</v>
      </c>
      <c r="D10" s="147"/>
      <c r="E10" s="144"/>
      <c r="F10" s="147"/>
      <c r="H10" s="145"/>
      <c r="I10" s="145"/>
    </row>
    <row r="11" spans="1:10" ht="17.25" customHeight="1">
      <c r="A11" s="3" t="s">
        <v>2109</v>
      </c>
      <c r="B11" s="148">
        <v>317093</v>
      </c>
      <c r="C11" s="144">
        <f>250000/2</f>
        <v>125000</v>
      </c>
      <c r="D11" s="147"/>
      <c r="F11" s="147"/>
      <c r="H11" s="145"/>
      <c r="I11" s="145"/>
      <c r="J11" s="147"/>
    </row>
    <row r="12" spans="1:10" ht="17.25" customHeight="1">
      <c r="A12" s="3" t="s">
        <v>2115</v>
      </c>
      <c r="B12" s="144">
        <v>638618</v>
      </c>
      <c r="C12" s="144">
        <f>SUM(C10:C11)</f>
        <v>250000</v>
      </c>
      <c r="D12" s="149">
        <f>C12*'FX Lookup'!Q4</f>
        <v>220550</v>
      </c>
      <c r="F12" s="147"/>
      <c r="H12" s="145"/>
      <c r="I12" s="145"/>
      <c r="J12" s="147"/>
    </row>
    <row r="13" spans="1:10" ht="17.25" customHeight="1">
      <c r="C13" s="147"/>
      <c r="D13" s="144"/>
      <c r="I13" s="147"/>
    </row>
    <row r="14" spans="1:10" ht="17.25" customHeight="1">
      <c r="A14" s="3" t="s">
        <v>2953</v>
      </c>
      <c r="B14" s="149">
        <f>B12/B8</f>
        <v>25544.720000000001</v>
      </c>
      <c r="C14" s="149">
        <f>B14*1.45</f>
        <v>37039.843999999997</v>
      </c>
      <c r="D14" s="144"/>
      <c r="E14" s="1169"/>
      <c r="H14" s="149"/>
      <c r="I14" s="149"/>
    </row>
    <row r="15" spans="1:10" ht="17.25" customHeight="1">
      <c r="B15" s="144"/>
      <c r="C15" s="149"/>
      <c r="D15" s="144"/>
      <c r="I15" s="147"/>
    </row>
    <row r="16" spans="1:10" ht="17.25" customHeight="1">
      <c r="C16" s="149"/>
      <c r="D16" s="144"/>
      <c r="I16" s="147"/>
    </row>
    <row r="17" spans="1:14" ht="17.25" customHeight="1">
      <c r="A17" s="142" t="s">
        <v>2954</v>
      </c>
      <c r="G17" s="142" t="s">
        <v>2949</v>
      </c>
    </row>
    <row r="18" spans="1:14" ht="17.25" customHeight="1">
      <c r="A18" s="3" t="s">
        <v>2110</v>
      </c>
      <c r="B18" s="3" t="s">
        <v>2955</v>
      </c>
      <c r="C18" s="3" t="s">
        <v>2950</v>
      </c>
      <c r="D18" s="3">
        <v>1</v>
      </c>
      <c r="G18" s="3" t="s">
        <v>2110</v>
      </c>
      <c r="H18" s="3" t="s">
        <v>2956</v>
      </c>
      <c r="I18" s="3" t="s">
        <v>2950</v>
      </c>
      <c r="J18" s="3">
        <v>1</v>
      </c>
    </row>
    <row r="19" spans="1:14" ht="17.25" customHeight="1">
      <c r="A19" s="3" t="s">
        <v>2110</v>
      </c>
      <c r="B19" s="3" t="s">
        <v>2957</v>
      </c>
      <c r="C19" s="3" t="s">
        <v>2950</v>
      </c>
      <c r="D19" s="3">
        <v>1</v>
      </c>
      <c r="G19" s="3" t="s">
        <v>2110</v>
      </c>
      <c r="H19" s="3" t="s">
        <v>2958</v>
      </c>
      <c r="I19" s="3" t="s">
        <v>2951</v>
      </c>
      <c r="J19" s="3">
        <v>1</v>
      </c>
      <c r="L19" s="147"/>
    </row>
    <row r="20" spans="1:14" ht="17.25" customHeight="1">
      <c r="A20" s="3" t="s">
        <v>2110</v>
      </c>
      <c r="B20" s="3" t="s">
        <v>2959</v>
      </c>
      <c r="C20" s="3" t="s">
        <v>2951</v>
      </c>
      <c r="D20" s="3">
        <v>1</v>
      </c>
      <c r="G20" s="3" t="s">
        <v>2110</v>
      </c>
      <c r="H20" s="3" t="s">
        <v>2960</v>
      </c>
      <c r="I20" s="3" t="s">
        <v>2952</v>
      </c>
      <c r="J20" s="3">
        <v>2</v>
      </c>
    </row>
    <row r="21" spans="1:14" ht="17.25" customHeight="1">
      <c r="A21" s="3" t="s">
        <v>2110</v>
      </c>
      <c r="B21" s="3" t="s">
        <v>2961</v>
      </c>
      <c r="C21" s="3" t="s">
        <v>2952</v>
      </c>
      <c r="D21" s="3">
        <v>1</v>
      </c>
      <c r="E21" s="3" t="s">
        <v>2962</v>
      </c>
      <c r="G21" s="3" t="s">
        <v>2110</v>
      </c>
      <c r="H21" s="3" t="s">
        <v>2955</v>
      </c>
      <c r="I21" s="3" t="s">
        <v>2950</v>
      </c>
      <c r="J21" s="3">
        <v>1</v>
      </c>
    </row>
    <row r="22" spans="1:14" ht="17.25" customHeight="1">
      <c r="A22" s="3" t="s">
        <v>2109</v>
      </c>
      <c r="B22" s="3" t="s">
        <v>2963</v>
      </c>
      <c r="C22" s="3" t="s">
        <v>2950</v>
      </c>
      <c r="D22" s="3">
        <v>1</v>
      </c>
      <c r="G22" s="3" t="s">
        <v>2110</v>
      </c>
      <c r="H22" s="3" t="s">
        <v>2957</v>
      </c>
      <c r="I22" s="3" t="s">
        <v>2950</v>
      </c>
      <c r="J22" s="3">
        <v>1</v>
      </c>
      <c r="N22" s="147"/>
    </row>
    <row r="23" spans="1:14" ht="17.25" customHeight="1">
      <c r="A23" s="3" t="s">
        <v>2109</v>
      </c>
      <c r="B23" s="3" t="s">
        <v>2964</v>
      </c>
      <c r="C23" s="3" t="s">
        <v>2951</v>
      </c>
      <c r="D23" s="3">
        <v>1</v>
      </c>
      <c r="G23" s="3" t="s">
        <v>2110</v>
      </c>
      <c r="H23" s="3" t="s">
        <v>2959</v>
      </c>
      <c r="I23" s="3" t="s">
        <v>2951</v>
      </c>
      <c r="J23" s="3">
        <v>1</v>
      </c>
    </row>
    <row r="24" spans="1:14" ht="17.25" customHeight="1">
      <c r="A24" s="3" t="s">
        <v>2109</v>
      </c>
      <c r="B24" s="3" t="s">
        <v>2965</v>
      </c>
      <c r="C24" s="3" t="s">
        <v>2952</v>
      </c>
      <c r="D24" s="3">
        <v>1</v>
      </c>
      <c r="G24" s="3" t="s">
        <v>2110</v>
      </c>
      <c r="H24" s="3" t="s">
        <v>2961</v>
      </c>
      <c r="I24" s="3" t="s">
        <v>2952</v>
      </c>
      <c r="J24" s="3">
        <v>1</v>
      </c>
      <c r="K24" s="3" t="s">
        <v>2962</v>
      </c>
    </row>
    <row r="25" spans="1:14" ht="17.25" customHeight="1">
      <c r="A25" s="3" t="s">
        <v>2110</v>
      </c>
      <c r="B25" s="3" t="s">
        <v>1161</v>
      </c>
      <c r="C25" s="3" t="s">
        <v>2950</v>
      </c>
      <c r="D25" s="3">
        <v>1</v>
      </c>
      <c r="G25" s="3" t="s">
        <v>2110</v>
      </c>
      <c r="H25" s="3" t="s">
        <v>2963</v>
      </c>
      <c r="I25" s="3" t="s">
        <v>2950</v>
      </c>
      <c r="J25" s="3">
        <v>1</v>
      </c>
    </row>
    <row r="26" spans="1:14" ht="17.25" customHeight="1">
      <c r="A26" s="3" t="s">
        <v>2110</v>
      </c>
      <c r="B26" s="3" t="s">
        <v>2966</v>
      </c>
      <c r="C26" s="3" t="s">
        <v>2951</v>
      </c>
      <c r="D26" s="3">
        <v>1</v>
      </c>
      <c r="G26" s="3" t="s">
        <v>2110</v>
      </c>
      <c r="H26" s="3" t="s">
        <v>2964</v>
      </c>
      <c r="I26" s="3" t="s">
        <v>2951</v>
      </c>
      <c r="J26" s="3">
        <v>1</v>
      </c>
      <c r="N26" s="147"/>
    </row>
    <row r="27" spans="1:14" ht="17.25" customHeight="1">
      <c r="A27" s="3" t="s">
        <v>2110</v>
      </c>
      <c r="B27" s="3" t="s">
        <v>2967</v>
      </c>
      <c r="C27" s="3" t="s">
        <v>2952</v>
      </c>
      <c r="D27" s="3">
        <v>2</v>
      </c>
      <c r="G27" s="3" t="s">
        <v>2110</v>
      </c>
      <c r="H27" s="3" t="s">
        <v>2965</v>
      </c>
      <c r="I27" s="3" t="s">
        <v>2952</v>
      </c>
      <c r="J27" s="3">
        <v>1</v>
      </c>
      <c r="N27" s="147"/>
    </row>
    <row r="28" spans="1:14" ht="17.25" customHeight="1">
      <c r="A28" s="3" t="s">
        <v>2109</v>
      </c>
      <c r="B28" s="3" t="s">
        <v>2968</v>
      </c>
      <c r="C28" s="3" t="s">
        <v>2950</v>
      </c>
      <c r="D28" s="3">
        <v>1</v>
      </c>
      <c r="G28" s="3" t="s">
        <v>2110</v>
      </c>
      <c r="H28" s="3" t="s">
        <v>1161</v>
      </c>
      <c r="I28" s="3" t="s">
        <v>2950</v>
      </c>
      <c r="J28" s="3">
        <v>1</v>
      </c>
    </row>
    <row r="29" spans="1:14" ht="17.25" customHeight="1">
      <c r="A29" s="3" t="s">
        <v>2109</v>
      </c>
      <c r="B29" s="3" t="s">
        <v>2969</v>
      </c>
      <c r="C29" s="3" t="s">
        <v>2951</v>
      </c>
      <c r="D29" s="3">
        <v>1</v>
      </c>
      <c r="G29" s="3" t="s">
        <v>2110</v>
      </c>
      <c r="H29" s="3" t="s">
        <v>2966</v>
      </c>
      <c r="I29" s="3" t="s">
        <v>2951</v>
      </c>
      <c r="J29" s="3">
        <v>1</v>
      </c>
    </row>
    <row r="30" spans="1:14" ht="17.25" customHeight="1">
      <c r="A30" s="3" t="s">
        <v>2109</v>
      </c>
      <c r="B30" s="3" t="s">
        <v>2970</v>
      </c>
      <c r="C30" s="3" t="s">
        <v>2952</v>
      </c>
      <c r="D30" s="3">
        <v>2</v>
      </c>
      <c r="G30" s="3" t="s">
        <v>2110</v>
      </c>
      <c r="H30" s="3" t="s">
        <v>2967</v>
      </c>
      <c r="I30" s="3" t="s">
        <v>2952</v>
      </c>
      <c r="J30" s="3">
        <v>2</v>
      </c>
    </row>
    <row r="31" spans="1:14" ht="17.25" customHeight="1">
      <c r="A31" s="3" t="s">
        <v>2109</v>
      </c>
      <c r="B31" s="3" t="s">
        <v>2679</v>
      </c>
      <c r="C31" s="3" t="s">
        <v>2950</v>
      </c>
      <c r="D31" s="3">
        <v>1</v>
      </c>
      <c r="G31" s="3" t="s">
        <v>2109</v>
      </c>
      <c r="H31" s="3" t="s">
        <v>2968</v>
      </c>
      <c r="I31" s="3" t="s">
        <v>2950</v>
      </c>
      <c r="J31" s="3">
        <v>1</v>
      </c>
    </row>
    <row r="32" spans="1:14" ht="17.25" customHeight="1">
      <c r="A32" s="3" t="s">
        <v>2109</v>
      </c>
      <c r="B32" s="3" t="s">
        <v>2971</v>
      </c>
      <c r="C32" s="3" t="s">
        <v>2951</v>
      </c>
      <c r="D32" s="3">
        <v>1</v>
      </c>
      <c r="G32" s="3" t="s">
        <v>2109</v>
      </c>
      <c r="H32" s="3" t="s">
        <v>2969</v>
      </c>
      <c r="I32" s="3" t="s">
        <v>2951</v>
      </c>
      <c r="J32" s="3">
        <v>1</v>
      </c>
    </row>
    <row r="33" spans="7:10" ht="17.25" customHeight="1">
      <c r="G33" s="3" t="s">
        <v>2109</v>
      </c>
      <c r="H33" s="3" t="s">
        <v>2970</v>
      </c>
      <c r="I33" s="3" t="s">
        <v>2952</v>
      </c>
      <c r="J33" s="3">
        <v>2</v>
      </c>
    </row>
    <row r="34" spans="7:10" ht="17.25" customHeight="1">
      <c r="G34" s="3" t="s">
        <v>2109</v>
      </c>
      <c r="H34" s="3" t="s">
        <v>2972</v>
      </c>
      <c r="I34" s="3" t="s">
        <v>2950</v>
      </c>
      <c r="J34" s="3">
        <v>1</v>
      </c>
    </row>
    <row r="35" spans="7:10" ht="17.25" customHeight="1">
      <c r="G35" s="3" t="s">
        <v>2109</v>
      </c>
      <c r="H35" s="3" t="s">
        <v>2973</v>
      </c>
      <c r="I35" s="3" t="s">
        <v>2951</v>
      </c>
      <c r="J35" s="3">
        <v>1</v>
      </c>
    </row>
    <row r="36" spans="7:10" ht="17.25" customHeight="1">
      <c r="G36" s="3" t="s">
        <v>2109</v>
      </c>
      <c r="H36" s="3" t="s">
        <v>2974</v>
      </c>
      <c r="I36" s="3" t="s">
        <v>2952</v>
      </c>
      <c r="J36" s="3">
        <v>2</v>
      </c>
    </row>
    <row r="37" spans="7:10" ht="17.25" customHeight="1">
      <c r="G37" s="3" t="s">
        <v>2109</v>
      </c>
      <c r="H37" s="3" t="s">
        <v>2679</v>
      </c>
      <c r="I37" s="3" t="s">
        <v>2950</v>
      </c>
      <c r="J37" s="3">
        <v>1</v>
      </c>
    </row>
    <row r="38" spans="7:10" ht="17.25" customHeight="1">
      <c r="G38" s="3" t="s">
        <v>2109</v>
      </c>
      <c r="H38" s="3" t="s">
        <v>2971</v>
      </c>
      <c r="I38" s="3" t="s">
        <v>2951</v>
      </c>
      <c r="J38" s="3">
        <v>1</v>
      </c>
    </row>
    <row r="39" spans="7:10" ht="17.25" customHeight="1">
      <c r="G39" s="3" t="s">
        <v>2109</v>
      </c>
      <c r="H39" s="3" t="s">
        <v>2973</v>
      </c>
      <c r="I39" s="3" t="s">
        <v>2951</v>
      </c>
    </row>
    <row r="40" spans="7:10" ht="17.25" customHeight="1">
      <c r="G40" s="3" t="s">
        <v>2109</v>
      </c>
      <c r="H40" s="3" t="s">
        <v>2975</v>
      </c>
      <c r="I40" s="3" t="s">
        <v>2952</v>
      </c>
    </row>
    <row r="41" spans="7:10" ht="17.25" customHeight="1">
      <c r="G41" s="3" t="s">
        <v>2109</v>
      </c>
      <c r="H41" s="3" t="s">
        <v>2976</v>
      </c>
      <c r="I41" s="3" t="s">
        <v>2952</v>
      </c>
    </row>
    <row r="42" spans="7:10" ht="17.25" customHeight="1">
      <c r="G42" s="3" t="s">
        <v>2109</v>
      </c>
      <c r="H42" s="3" t="s">
        <v>2977</v>
      </c>
      <c r="I42" s="3" t="s">
        <v>2950</v>
      </c>
    </row>
    <row r="43" spans="7:10" ht="17.25" customHeight="1">
      <c r="G43" s="3" t="s">
        <v>2109</v>
      </c>
      <c r="H43" s="3" t="s">
        <v>2971</v>
      </c>
      <c r="I43" s="3" t="s">
        <v>2951</v>
      </c>
    </row>
  </sheetData>
  <pageMargins left="0.7" right="0.7" top="0.75" bottom="0.75" header="0.3" footer="0.3"/>
  <pageSetup paperSize="9" orientation="portrait" r:id="rId1"/>
  <headerFooter>
    <oddHeader>&amp;C&amp;G</oddHeader>
    <oddFooter>&amp;C&amp;G</oddFooter>
  </headerFooter>
  <legacyDrawingHF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7" tint="0.59999389629810485"/>
    <pageSetUpPr fitToPage="1"/>
  </sheetPr>
  <dimension ref="A2:BA344"/>
  <sheetViews>
    <sheetView zoomScale="114" zoomScaleNormal="70" workbookViewId="0">
      <pane xSplit="8" ySplit="15" topLeftCell="AU19" activePane="bottomRight" state="frozen"/>
      <selection pane="topRight" activeCell="I1" sqref="I1"/>
      <selection pane="bottomLeft" activeCell="A16" sqref="A16"/>
      <selection pane="bottomRight" activeCell="AV30" sqref="AV30"/>
    </sheetView>
  </sheetViews>
  <sheetFormatPr defaultColWidth="8.625" defaultRowHeight="12.75" outlineLevelRow="1" outlineLevelCol="1"/>
  <cols>
    <col min="1" max="2" width="8.625" style="17"/>
    <col min="3" max="3" width="13.375" style="17" hidden="1" customWidth="1" outlineLevel="1"/>
    <col min="4" max="4" width="11.125" style="17" hidden="1" customWidth="1" outlineLevel="1" collapsed="1"/>
    <col min="5" max="5" width="7.625" style="17" hidden="1" customWidth="1" outlineLevel="1"/>
    <col min="6" max="7" width="9.125" style="18" hidden="1" customWidth="1" outlineLevel="1"/>
    <col min="8" max="8" width="10.5" style="17" customWidth="1" collapsed="1"/>
    <col min="9" max="9" width="12.875" style="19" hidden="1" customWidth="1" outlineLevel="1"/>
    <col min="10" max="10" width="1" style="17" customWidth="1" collapsed="1"/>
    <col min="11" max="11" width="8.625" style="17" hidden="1" customWidth="1" outlineLevel="1"/>
    <col min="12" max="12" width="9.375" style="17" hidden="1" customWidth="1" outlineLevel="1"/>
    <col min="13" max="13" width="8.375" style="17" hidden="1" customWidth="1" outlineLevel="1"/>
    <col min="14" max="14" width="10" style="17" hidden="1" customWidth="1" outlineLevel="1"/>
    <col min="15" max="22" width="8.625" style="17" hidden="1" customWidth="1" outlineLevel="1"/>
    <col min="23" max="23" width="11.875" style="18" customWidth="1" collapsed="1"/>
    <col min="24" max="47" width="11.875" style="18" customWidth="1"/>
    <col min="48" max="48" width="15.25" style="20" customWidth="1"/>
    <col min="49" max="49" width="9.5" style="18" customWidth="1"/>
    <col min="50" max="50" width="8.625" style="18" customWidth="1"/>
    <col min="51" max="16384" width="8.625" style="17"/>
  </cols>
  <sheetData>
    <row r="2" spans="2:53" s="13" customFormat="1" ht="38.25" hidden="1" outlineLevel="1">
      <c r="F2" s="21"/>
      <c r="G2" s="21"/>
      <c r="I2" s="22"/>
      <c r="W2" s="23"/>
      <c r="X2" s="24" t="s">
        <v>2978</v>
      </c>
      <c r="Y2" s="25" t="s">
        <v>2979</v>
      </c>
      <c r="Z2" s="25" t="s">
        <v>2979</v>
      </c>
      <c r="AA2" s="26" t="s">
        <v>2980</v>
      </c>
      <c r="AB2" s="27" t="s">
        <v>2981</v>
      </c>
      <c r="AC2" s="27" t="s">
        <v>2981</v>
      </c>
      <c r="AD2" s="28" t="s">
        <v>2982</v>
      </c>
      <c r="AE2" s="28" t="s">
        <v>2983</v>
      </c>
      <c r="AF2" s="25" t="s">
        <v>2984</v>
      </c>
      <c r="AG2" s="25" t="s">
        <v>2984</v>
      </c>
      <c r="AH2" s="26" t="s">
        <v>2985</v>
      </c>
      <c r="AI2" s="26" t="s">
        <v>2986</v>
      </c>
      <c r="AJ2" s="26" t="s">
        <v>2987</v>
      </c>
      <c r="AK2" s="29" t="s">
        <v>2988</v>
      </c>
      <c r="AL2" s="30" t="s">
        <v>2989</v>
      </c>
      <c r="AM2" s="31" t="s">
        <v>2990</v>
      </c>
      <c r="AN2" s="26"/>
      <c r="AO2" s="26"/>
      <c r="AP2" s="26"/>
      <c r="AQ2" s="26"/>
      <c r="AR2" s="26"/>
      <c r="AS2" s="26"/>
      <c r="AT2" s="26"/>
      <c r="AV2" s="32"/>
      <c r="AW2" s="33"/>
      <c r="AX2" s="34"/>
      <c r="AY2" s="35"/>
      <c r="AZ2" s="36"/>
      <c r="BA2" s="37"/>
    </row>
    <row r="3" spans="2:53" s="13" customFormat="1" hidden="1" outlineLevel="1">
      <c r="F3" s="21"/>
      <c r="G3" s="21"/>
      <c r="I3" s="22"/>
      <c r="W3" s="23"/>
      <c r="X3" s="24"/>
      <c r="Y3" s="25" t="s">
        <v>2991</v>
      </c>
      <c r="Z3" s="38" t="s">
        <v>2992</v>
      </c>
      <c r="AA3" s="26"/>
      <c r="AB3" s="27" t="s">
        <v>2991</v>
      </c>
      <c r="AC3" s="23" t="s">
        <v>2992</v>
      </c>
      <c r="AD3" s="28"/>
      <c r="AE3" s="28"/>
      <c r="AF3" s="25" t="s">
        <v>2991</v>
      </c>
      <c r="AG3" s="38" t="s">
        <v>2992</v>
      </c>
      <c r="AH3" s="26"/>
      <c r="AI3" s="26"/>
      <c r="AJ3" s="26"/>
      <c r="AK3" s="26"/>
      <c r="AL3" s="26"/>
      <c r="AM3" s="26"/>
      <c r="AN3" s="26"/>
      <c r="AO3" s="26"/>
      <c r="AP3" s="26"/>
      <c r="AQ3" s="26"/>
      <c r="AR3" s="26"/>
      <c r="AS3" s="26"/>
      <c r="AT3" s="26"/>
      <c r="AV3" s="32"/>
      <c r="AW3" s="33"/>
      <c r="AX3" s="39"/>
      <c r="AY3" s="35"/>
      <c r="AZ3" s="36"/>
      <c r="BA3" s="37"/>
    </row>
    <row r="4" spans="2:53" hidden="1" outlineLevel="1">
      <c r="W4" s="40"/>
      <c r="X4" s="24"/>
      <c r="Y4" s="41"/>
      <c r="Z4" s="42"/>
      <c r="AA4" s="43"/>
      <c r="AB4" s="44"/>
      <c r="AC4" s="40"/>
      <c r="AD4" s="45"/>
      <c r="AE4" s="45"/>
      <c r="AF4" s="41"/>
      <c r="AG4" s="42"/>
      <c r="AH4" s="43"/>
      <c r="AI4" s="43"/>
      <c r="AJ4" s="43"/>
      <c r="AK4" s="43"/>
      <c r="AL4" s="43"/>
      <c r="AM4" s="43"/>
      <c r="AN4" s="43"/>
      <c r="AO4" s="43"/>
      <c r="AP4" s="43"/>
      <c r="AQ4" s="43"/>
      <c r="AR4" s="43"/>
      <c r="AS4" s="43"/>
      <c r="AT4" s="43"/>
      <c r="AV4" s="46"/>
      <c r="AW4" s="47"/>
      <c r="AX4" s="47"/>
      <c r="AY4" s="48"/>
      <c r="AZ4" s="49"/>
      <c r="BA4" s="3"/>
    </row>
    <row r="5" spans="2:53" hidden="1" outlineLevel="1">
      <c r="W5" s="50" t="s">
        <v>2993</v>
      </c>
      <c r="X5" s="50" t="s">
        <v>2994</v>
      </c>
      <c r="Y5" s="51">
        <v>35811</v>
      </c>
      <c r="Z5" s="51">
        <v>7162</v>
      </c>
      <c r="AA5" s="52">
        <v>0.16</v>
      </c>
      <c r="AB5" s="51">
        <v>35811</v>
      </c>
      <c r="AC5" s="51">
        <v>7162</v>
      </c>
      <c r="AD5" s="52">
        <v>9.8000000000000004E-2</v>
      </c>
      <c r="AE5" s="52"/>
      <c r="AF5" s="51">
        <v>35811</v>
      </c>
      <c r="AG5" s="51">
        <v>7162</v>
      </c>
      <c r="AH5" s="52">
        <v>5.0000000000000001E-3</v>
      </c>
      <c r="AI5" s="53">
        <v>35811</v>
      </c>
      <c r="AJ5" s="54">
        <v>4.0000000000000001E-3</v>
      </c>
      <c r="AK5" s="42">
        <v>35811</v>
      </c>
      <c r="AL5" s="55">
        <v>0.12</v>
      </c>
      <c r="AM5" s="56"/>
      <c r="AN5" s="55"/>
      <c r="AO5" s="55"/>
      <c r="AP5" s="55"/>
      <c r="AQ5" s="55"/>
      <c r="AR5" s="55"/>
      <c r="AS5" s="55"/>
      <c r="AT5" s="55"/>
      <c r="AV5" s="57"/>
      <c r="AW5" s="58"/>
      <c r="AX5" s="47"/>
      <c r="AY5" s="59"/>
      <c r="AZ5" s="49"/>
      <c r="BA5" s="60"/>
    </row>
    <row r="6" spans="2:53" hidden="1" outlineLevel="1">
      <c r="W6" s="50"/>
      <c r="X6" s="50" t="s">
        <v>2995</v>
      </c>
      <c r="Y6" s="51">
        <v>25620</v>
      </c>
      <c r="Z6" s="51">
        <v>5124</v>
      </c>
      <c r="AA6" s="52">
        <v>0.16</v>
      </c>
      <c r="AB6" s="51">
        <f>Y6</f>
        <v>25620</v>
      </c>
      <c r="AC6" s="51">
        <f>Z6</f>
        <v>5124</v>
      </c>
      <c r="AD6" s="52">
        <v>0.1</v>
      </c>
      <c r="AE6" s="52">
        <v>5.0000000000000001E-3</v>
      </c>
      <c r="AF6" s="51">
        <f>Y6</f>
        <v>25620</v>
      </c>
      <c r="AG6" s="51">
        <f>Z6</f>
        <v>5124</v>
      </c>
      <c r="AH6" s="52">
        <v>5.0000000000000001E-3</v>
      </c>
      <c r="AI6" s="53">
        <f>Y6</f>
        <v>25620</v>
      </c>
      <c r="AJ6" s="54">
        <v>7.0000000000000001E-3</v>
      </c>
      <c r="AK6" s="42">
        <v>27861</v>
      </c>
      <c r="AL6" s="55">
        <v>0.11</v>
      </c>
      <c r="AM6" s="56"/>
      <c r="AN6" s="55"/>
      <c r="AO6" s="55"/>
      <c r="AP6" s="55"/>
      <c r="AQ6" s="55"/>
      <c r="AR6" s="55"/>
      <c r="AS6" s="55"/>
      <c r="AT6" s="55"/>
      <c r="AV6" s="57"/>
      <c r="AW6" s="58"/>
      <c r="AX6" s="47"/>
      <c r="AY6" s="59"/>
      <c r="AZ6" s="49"/>
      <c r="BA6" s="60"/>
    </row>
    <row r="7" spans="2:53" hidden="1" outlineLevel="1">
      <c r="W7" s="40"/>
      <c r="X7" s="50"/>
      <c r="Y7" s="51"/>
      <c r="Z7" s="51"/>
      <c r="AA7" s="61"/>
      <c r="AB7" s="51"/>
      <c r="AC7" s="51"/>
      <c r="AD7" s="61"/>
      <c r="AE7" s="61"/>
      <c r="AF7" s="51"/>
      <c r="AG7" s="51"/>
      <c r="AH7" s="61"/>
      <c r="AI7" s="61"/>
      <c r="AJ7" s="61"/>
      <c r="AK7" s="42"/>
      <c r="AL7" s="43"/>
      <c r="AM7" s="56"/>
      <c r="AN7" s="43"/>
      <c r="AO7" s="43"/>
      <c r="AP7" s="43"/>
      <c r="AQ7" s="43"/>
      <c r="AR7" s="43"/>
      <c r="AS7" s="43"/>
      <c r="AT7" s="43"/>
      <c r="AV7" s="46"/>
      <c r="AW7" s="47"/>
      <c r="AX7" s="47"/>
      <c r="AY7" s="48"/>
      <c r="AZ7" s="49"/>
      <c r="BA7" s="3"/>
    </row>
    <row r="8" spans="2:53" ht="38.25" hidden="1" outlineLevel="1">
      <c r="W8" s="50" t="s">
        <v>2996</v>
      </c>
      <c r="X8" s="50" t="s">
        <v>2997</v>
      </c>
      <c r="Y8" s="51">
        <v>27549</v>
      </c>
      <c r="Z8" s="51">
        <v>4775</v>
      </c>
      <c r="AA8" s="52">
        <v>0.17</v>
      </c>
      <c r="AB8" s="51">
        <v>33666</v>
      </c>
      <c r="AC8" s="51">
        <v>6733</v>
      </c>
      <c r="AD8" s="52">
        <v>0.05</v>
      </c>
      <c r="AE8" s="52">
        <v>5.0000000000000001E-3</v>
      </c>
      <c r="AF8" s="51">
        <v>44265</v>
      </c>
      <c r="AG8" s="51">
        <v>2520</v>
      </c>
      <c r="AH8" s="52">
        <v>8.0000000000000002E-3</v>
      </c>
      <c r="AI8" s="52" t="s">
        <v>2998</v>
      </c>
      <c r="AJ8" s="54">
        <v>2E-3</v>
      </c>
      <c r="AK8" s="42">
        <v>44265</v>
      </c>
      <c r="AL8" s="55">
        <v>0.12</v>
      </c>
      <c r="AM8" s="56">
        <f>ROUND(14553*0.3%,2)</f>
        <v>43.66</v>
      </c>
      <c r="AN8" s="55"/>
      <c r="AO8" s="55"/>
      <c r="AP8" s="55"/>
      <c r="AQ8" s="55"/>
      <c r="AR8" s="55"/>
      <c r="AS8" s="55"/>
      <c r="AT8" s="55"/>
      <c r="AV8" s="57"/>
      <c r="AW8" s="58"/>
      <c r="AX8" s="47"/>
      <c r="AY8" s="59"/>
      <c r="AZ8" s="49"/>
      <c r="BA8" s="60"/>
    </row>
    <row r="9" spans="2:53" hidden="1" outlineLevel="1">
      <c r="W9" s="50"/>
      <c r="X9" s="50" t="s">
        <v>2999</v>
      </c>
      <c r="Y9" s="51">
        <v>27549</v>
      </c>
      <c r="Z9" s="51">
        <v>4775</v>
      </c>
      <c r="AA9" s="52">
        <v>0.16</v>
      </c>
      <c r="AB9" s="51">
        <v>33666</v>
      </c>
      <c r="AC9" s="51">
        <v>6733</v>
      </c>
      <c r="AD9" s="52">
        <v>0.05</v>
      </c>
      <c r="AE9" s="52">
        <v>5.0000000000000001E-3</v>
      </c>
      <c r="AF9" s="51">
        <v>44265</v>
      </c>
      <c r="AG9" s="51">
        <v>2520</v>
      </c>
      <c r="AH9" s="52">
        <v>8.0000000000000002E-3</v>
      </c>
      <c r="AI9" s="52" t="s">
        <v>2998</v>
      </c>
      <c r="AJ9" s="54">
        <v>2E-3</v>
      </c>
      <c r="AK9" s="42">
        <v>44265</v>
      </c>
      <c r="AL9" s="55">
        <v>0.12</v>
      </c>
      <c r="AM9" s="56">
        <f>ROUND(14553*0.3%,2)</f>
        <v>43.66</v>
      </c>
      <c r="AN9" s="55"/>
      <c r="AO9" s="55"/>
      <c r="AP9" s="55"/>
      <c r="AQ9" s="55"/>
      <c r="AR9" s="55"/>
      <c r="AS9" s="55"/>
      <c r="AT9" s="55"/>
      <c r="AV9" s="57"/>
      <c r="AW9" s="58"/>
      <c r="AX9" s="47"/>
      <c r="AY9" s="59"/>
      <c r="AZ9" s="49"/>
      <c r="BA9" s="60"/>
    </row>
    <row r="10" spans="2:53" ht="38.25" hidden="1" outlineLevel="1">
      <c r="W10" s="40"/>
      <c r="X10" s="50" t="s">
        <v>3000</v>
      </c>
      <c r="Y10" s="40"/>
      <c r="Z10" s="40"/>
      <c r="AA10" s="45"/>
      <c r="AB10" s="40"/>
      <c r="AC10" s="40"/>
      <c r="AD10" s="45"/>
      <c r="AE10" s="45"/>
      <c r="AF10" s="42"/>
      <c r="AG10" s="42"/>
      <c r="AH10" s="43"/>
      <c r="AI10" s="43"/>
      <c r="AJ10" s="62">
        <v>4.0000000000000001E-3</v>
      </c>
      <c r="AK10" s="43"/>
      <c r="AL10" s="43"/>
      <c r="AM10" s="43"/>
      <c r="AN10" s="43"/>
      <c r="AO10" s="43"/>
      <c r="AP10" s="43"/>
      <c r="AQ10" s="43"/>
      <c r="AR10" s="43"/>
      <c r="AS10" s="43"/>
      <c r="AT10" s="43"/>
      <c r="AV10" s="46"/>
      <c r="AW10" s="47"/>
      <c r="AX10" s="47"/>
      <c r="AY10" s="48"/>
      <c r="AZ10" s="49"/>
      <c r="BA10" s="3"/>
    </row>
    <row r="11" spans="2:53" collapsed="1">
      <c r="M11" s="63"/>
      <c r="N11" s="63"/>
      <c r="O11" s="63"/>
      <c r="P11" s="63"/>
      <c r="Q11" s="63"/>
      <c r="W11" s="63"/>
      <c r="X11" s="63"/>
      <c r="Y11" s="63"/>
    </row>
    <row r="13" spans="2:53">
      <c r="AJ13" s="64">
        <v>0.05</v>
      </c>
    </row>
    <row r="14" spans="2:53">
      <c r="B14" s="65" t="s">
        <v>3001</v>
      </c>
      <c r="J14" s="66"/>
      <c r="K14" s="1213" t="s">
        <v>3002</v>
      </c>
      <c r="L14" s="1214"/>
      <c r="M14" s="1214"/>
      <c r="N14" s="1214"/>
      <c r="O14" s="1214"/>
      <c r="P14" s="1214"/>
      <c r="Q14" s="1214"/>
      <c r="R14" s="1214"/>
      <c r="S14" s="1214"/>
      <c r="T14" s="1214"/>
      <c r="U14" s="1214"/>
      <c r="V14" s="1215"/>
      <c r="W14" s="1216" t="s">
        <v>3003</v>
      </c>
      <c r="X14" s="1217"/>
      <c r="Y14" s="1217"/>
      <c r="Z14" s="1217"/>
      <c r="AA14" s="1217"/>
      <c r="AB14" s="1217"/>
      <c r="AC14" s="1217"/>
      <c r="AD14" s="1217"/>
      <c r="AE14" s="1217"/>
      <c r="AF14" s="1217"/>
      <c r="AG14" s="1217"/>
      <c r="AH14" s="1218"/>
      <c r="AI14" s="1217"/>
      <c r="AJ14" s="1216" t="s">
        <v>3004</v>
      </c>
      <c r="AK14" s="1217"/>
      <c r="AL14" s="1217"/>
      <c r="AM14" s="1217"/>
      <c r="AN14" s="1217"/>
      <c r="AO14" s="1217"/>
      <c r="AP14" s="1217"/>
      <c r="AQ14" s="1217"/>
      <c r="AR14" s="1217"/>
      <c r="AS14" s="1217"/>
      <c r="AT14" s="1217"/>
      <c r="AU14" s="1218"/>
      <c r="AV14" s="1217"/>
    </row>
    <row r="15" spans="2:53" s="14" customFormat="1">
      <c r="B15" s="67" t="s">
        <v>3005</v>
      </c>
      <c r="C15" s="67" t="s">
        <v>3006</v>
      </c>
      <c r="D15" s="67" t="s">
        <v>3007</v>
      </c>
      <c r="E15" s="67" t="s">
        <v>3008</v>
      </c>
      <c r="F15" s="68" t="s">
        <v>3009</v>
      </c>
      <c r="G15" s="68" t="s">
        <v>3010</v>
      </c>
      <c r="H15" s="69"/>
      <c r="I15" s="70" t="s">
        <v>3011</v>
      </c>
      <c r="J15" s="69"/>
      <c r="K15" s="69">
        <v>46023</v>
      </c>
      <c r="L15" s="69">
        <v>46054</v>
      </c>
      <c r="M15" s="69">
        <v>46082</v>
      </c>
      <c r="N15" s="69">
        <v>46113</v>
      </c>
      <c r="O15" s="69">
        <v>46143</v>
      </c>
      <c r="P15" s="69">
        <v>46174</v>
      </c>
      <c r="Q15" s="69">
        <v>46204</v>
      </c>
      <c r="R15" s="69">
        <v>46235</v>
      </c>
      <c r="S15" s="69">
        <v>46266</v>
      </c>
      <c r="T15" s="69">
        <v>46296</v>
      </c>
      <c r="U15" s="69">
        <v>46327</v>
      </c>
      <c r="V15" s="69">
        <v>46357</v>
      </c>
      <c r="W15" s="71">
        <f t="shared" ref="W15:AH15" si="0">+K15</f>
        <v>46023</v>
      </c>
      <c r="X15" s="71">
        <f t="shared" si="0"/>
        <v>46054</v>
      </c>
      <c r="Y15" s="71">
        <f t="shared" si="0"/>
        <v>46082</v>
      </c>
      <c r="Z15" s="71">
        <f t="shared" si="0"/>
        <v>46113</v>
      </c>
      <c r="AA15" s="71">
        <f t="shared" si="0"/>
        <v>46143</v>
      </c>
      <c r="AB15" s="71">
        <f t="shared" si="0"/>
        <v>46174</v>
      </c>
      <c r="AC15" s="71">
        <f t="shared" si="0"/>
        <v>46204</v>
      </c>
      <c r="AD15" s="71">
        <f t="shared" si="0"/>
        <v>46235</v>
      </c>
      <c r="AE15" s="71">
        <f t="shared" si="0"/>
        <v>46266</v>
      </c>
      <c r="AF15" s="71">
        <f t="shared" si="0"/>
        <v>46296</v>
      </c>
      <c r="AG15" s="71">
        <f t="shared" si="0"/>
        <v>46327</v>
      </c>
      <c r="AH15" s="71">
        <f t="shared" si="0"/>
        <v>46357</v>
      </c>
      <c r="AI15" s="72" t="s">
        <v>3012</v>
      </c>
      <c r="AJ15" s="71">
        <v>46388</v>
      </c>
      <c r="AK15" s="71">
        <v>46419</v>
      </c>
      <c r="AL15" s="71">
        <v>46447</v>
      </c>
      <c r="AM15" s="71">
        <v>46478</v>
      </c>
      <c r="AN15" s="71">
        <v>46508</v>
      </c>
      <c r="AO15" s="71">
        <v>46539</v>
      </c>
      <c r="AP15" s="71">
        <v>46569</v>
      </c>
      <c r="AQ15" s="71">
        <v>46600</v>
      </c>
      <c r="AR15" s="71">
        <v>46631</v>
      </c>
      <c r="AS15" s="71">
        <v>46661</v>
      </c>
      <c r="AT15" s="71">
        <v>46692</v>
      </c>
      <c r="AU15" s="71">
        <v>46722</v>
      </c>
      <c r="AV15" s="73" t="s">
        <v>3013</v>
      </c>
      <c r="AW15" s="74" t="s">
        <v>2747</v>
      </c>
      <c r="AX15" s="75"/>
      <c r="AY15" s="75"/>
    </row>
    <row r="16" spans="2:53">
      <c r="B16" s="76"/>
      <c r="C16" s="76"/>
      <c r="D16" s="76"/>
      <c r="E16" s="76"/>
      <c r="F16" s="77"/>
      <c r="G16" s="77"/>
      <c r="H16" s="76">
        <v>1</v>
      </c>
      <c r="I16" s="76">
        <v>2</v>
      </c>
      <c r="J16" s="76">
        <v>3</v>
      </c>
      <c r="K16" s="76">
        <v>4</v>
      </c>
      <c r="L16" s="76">
        <v>5</v>
      </c>
      <c r="M16" s="76">
        <v>6</v>
      </c>
      <c r="N16" s="76">
        <v>7</v>
      </c>
      <c r="O16" s="76">
        <v>8</v>
      </c>
      <c r="P16" s="76">
        <v>9</v>
      </c>
      <c r="Q16" s="76">
        <v>10</v>
      </c>
      <c r="R16" s="76">
        <v>11</v>
      </c>
      <c r="S16" s="76">
        <v>12</v>
      </c>
      <c r="T16" s="76">
        <v>13</v>
      </c>
      <c r="U16" s="76">
        <v>14</v>
      </c>
      <c r="V16" s="76">
        <v>15</v>
      </c>
      <c r="W16" s="77">
        <v>16</v>
      </c>
      <c r="X16" s="77">
        <v>17</v>
      </c>
      <c r="Y16" s="77">
        <v>18</v>
      </c>
      <c r="Z16" s="77">
        <v>19</v>
      </c>
      <c r="AA16" s="77">
        <v>20</v>
      </c>
      <c r="AB16" s="77">
        <v>21</v>
      </c>
      <c r="AC16" s="77">
        <v>22</v>
      </c>
      <c r="AD16" s="77">
        <v>23</v>
      </c>
      <c r="AE16" s="77">
        <v>24</v>
      </c>
      <c r="AF16" s="77">
        <v>25</v>
      </c>
      <c r="AG16" s="77">
        <v>26</v>
      </c>
      <c r="AH16" s="77">
        <v>27</v>
      </c>
      <c r="AI16" s="78">
        <v>28</v>
      </c>
      <c r="AJ16" s="77">
        <v>29</v>
      </c>
      <c r="AK16" s="77">
        <v>30</v>
      </c>
      <c r="AL16" s="77">
        <v>31</v>
      </c>
      <c r="AM16" s="77">
        <v>32</v>
      </c>
      <c r="AN16" s="77">
        <v>33</v>
      </c>
      <c r="AO16" s="77">
        <v>34</v>
      </c>
      <c r="AP16" s="77">
        <v>35</v>
      </c>
      <c r="AQ16" s="77">
        <v>36</v>
      </c>
      <c r="AR16" s="77">
        <v>37</v>
      </c>
      <c r="AS16" s="77">
        <v>38</v>
      </c>
      <c r="AT16" s="77">
        <v>39</v>
      </c>
      <c r="AU16" s="77">
        <v>40</v>
      </c>
      <c r="AV16" s="77">
        <v>41</v>
      </c>
      <c r="AW16" s="20"/>
      <c r="AY16" s="18"/>
    </row>
    <row r="17" spans="1:51">
      <c r="A17" s="79" t="s">
        <v>3001</v>
      </c>
      <c r="B17" s="80" t="s">
        <v>2242</v>
      </c>
      <c r="C17" s="80" t="s">
        <v>3014</v>
      </c>
      <c r="D17" s="80" t="s">
        <v>3015</v>
      </c>
      <c r="E17" s="80"/>
      <c r="F17" s="81">
        <v>83000</v>
      </c>
      <c r="G17" s="81"/>
      <c r="H17" s="82" t="s">
        <v>2692</v>
      </c>
      <c r="I17" s="83">
        <v>0</v>
      </c>
      <c r="J17" s="82"/>
      <c r="K17" s="84">
        <v>1</v>
      </c>
      <c r="L17" s="84">
        <v>1</v>
      </c>
      <c r="M17" s="84">
        <v>1</v>
      </c>
      <c r="N17" s="84">
        <v>1</v>
      </c>
      <c r="O17" s="84">
        <v>1</v>
      </c>
      <c r="P17" s="84">
        <v>1</v>
      </c>
      <c r="Q17" s="84">
        <v>1</v>
      </c>
      <c r="R17" s="84">
        <v>1</v>
      </c>
      <c r="S17" s="84">
        <v>1</v>
      </c>
      <c r="T17" s="84">
        <v>1</v>
      </c>
      <c r="U17" s="84">
        <v>1</v>
      </c>
      <c r="V17" s="84">
        <v>1</v>
      </c>
      <c r="W17" s="85">
        <f>$F17*(1+$I17)*K17</f>
        <v>83000</v>
      </c>
      <c r="X17" s="85">
        <f t="shared" ref="X17:AH18" si="1">$F17*(1+$I17)*L17</f>
        <v>83000</v>
      </c>
      <c r="Y17" s="85">
        <f t="shared" si="1"/>
        <v>83000</v>
      </c>
      <c r="Z17" s="85">
        <f t="shared" si="1"/>
        <v>83000</v>
      </c>
      <c r="AA17" s="85">
        <f t="shared" si="1"/>
        <v>83000</v>
      </c>
      <c r="AB17" s="85">
        <f t="shared" si="1"/>
        <v>83000</v>
      </c>
      <c r="AC17" s="85">
        <f t="shared" si="1"/>
        <v>83000</v>
      </c>
      <c r="AD17" s="85">
        <f t="shared" si="1"/>
        <v>83000</v>
      </c>
      <c r="AE17" s="85">
        <f t="shared" si="1"/>
        <v>83000</v>
      </c>
      <c r="AF17" s="85">
        <f t="shared" si="1"/>
        <v>83000</v>
      </c>
      <c r="AG17" s="85">
        <f t="shared" si="1"/>
        <v>83000</v>
      </c>
      <c r="AH17" s="85">
        <f t="shared" si="1"/>
        <v>83000</v>
      </c>
      <c r="AI17" s="86">
        <f t="shared" ref="AI17:AI23" si="2">SUM(W17:AH17)</f>
        <v>996000</v>
      </c>
      <c r="AJ17" s="85">
        <f t="shared" ref="AJ17:AJ23" si="3">AH17*(1+$AJ$13)</f>
        <v>87150</v>
      </c>
      <c r="AK17" s="85">
        <f t="shared" ref="AK17:AU17" si="4">AJ17</f>
        <v>87150</v>
      </c>
      <c r="AL17" s="85">
        <f t="shared" si="4"/>
        <v>87150</v>
      </c>
      <c r="AM17" s="85">
        <f t="shared" si="4"/>
        <v>87150</v>
      </c>
      <c r="AN17" s="85">
        <f t="shared" si="4"/>
        <v>87150</v>
      </c>
      <c r="AO17" s="85">
        <f t="shared" si="4"/>
        <v>87150</v>
      </c>
      <c r="AP17" s="85">
        <f t="shared" si="4"/>
        <v>87150</v>
      </c>
      <c r="AQ17" s="85">
        <f t="shared" si="4"/>
        <v>87150</v>
      </c>
      <c r="AR17" s="85">
        <f t="shared" si="4"/>
        <v>87150</v>
      </c>
      <c r="AS17" s="85">
        <f t="shared" si="4"/>
        <v>87150</v>
      </c>
      <c r="AT17" s="85">
        <f t="shared" si="4"/>
        <v>87150</v>
      </c>
      <c r="AU17" s="85">
        <f t="shared" si="4"/>
        <v>87150</v>
      </c>
      <c r="AV17" s="85">
        <f t="shared" ref="AV17:AV23" si="5">SUM(AJ17:AU17)</f>
        <v>1045800</v>
      </c>
      <c r="AW17" s="87"/>
      <c r="AX17" s="88"/>
      <c r="AY17" s="88"/>
    </row>
    <row r="18" spans="1:51">
      <c r="A18" s="79" t="s">
        <v>3001</v>
      </c>
      <c r="B18" s="80" t="s">
        <v>2242</v>
      </c>
      <c r="C18" s="80" t="s">
        <v>3014</v>
      </c>
      <c r="D18" s="80" t="s">
        <v>3015</v>
      </c>
      <c r="E18" s="80"/>
      <c r="F18" s="81">
        <v>70000</v>
      </c>
      <c r="G18" s="81"/>
      <c r="H18" s="82" t="s">
        <v>2693</v>
      </c>
      <c r="I18" s="83">
        <v>0</v>
      </c>
      <c r="J18" s="82"/>
      <c r="K18" s="84">
        <f>IF(K$15&lt;汇总!$E$22,1,0)</f>
        <v>0</v>
      </c>
      <c r="L18" s="84">
        <v>0</v>
      </c>
      <c r="M18" s="84">
        <v>0</v>
      </c>
      <c r="N18" s="84">
        <f>IF(N$15&lt;汇总!$E$22,1,0)</f>
        <v>0</v>
      </c>
      <c r="O18" s="84">
        <f>IF(O$15&lt;汇总!$E$22,1,0)</f>
        <v>0</v>
      </c>
      <c r="P18" s="84">
        <f>IF(P$15&lt;汇总!$E$22,1,0)</f>
        <v>0</v>
      </c>
      <c r="Q18" s="84">
        <f>IF(Q$15&lt;汇总!$E$22,1,0)</f>
        <v>0</v>
      </c>
      <c r="R18" s="84">
        <f>IF(R$15&lt;汇总!$E$22,1,0)</f>
        <v>0</v>
      </c>
      <c r="S18" s="84">
        <f>IF(S$15&lt;汇总!$E$22,1,0)</f>
        <v>0</v>
      </c>
      <c r="T18" s="84">
        <f>IF(T$15&lt;汇总!$E$22,1,0)</f>
        <v>0</v>
      </c>
      <c r="U18" s="84">
        <f>IF(U$15&lt;汇总!$E$22,1,0)</f>
        <v>0</v>
      </c>
      <c r="V18" s="84">
        <f>IF(V$15&lt;汇总!$E$22,1,0)</f>
        <v>0</v>
      </c>
      <c r="W18" s="85">
        <f>$F18*(1+$I18)*K18</f>
        <v>0</v>
      </c>
      <c r="X18" s="85">
        <f t="shared" ref="X18:Y18" si="6">$F18*(1+$I18)*L18</f>
        <v>0</v>
      </c>
      <c r="Y18" s="85">
        <f t="shared" si="6"/>
        <v>0</v>
      </c>
      <c r="Z18" s="85">
        <f t="shared" si="1"/>
        <v>0</v>
      </c>
      <c r="AA18" s="85">
        <f t="shared" si="1"/>
        <v>0</v>
      </c>
      <c r="AB18" s="85">
        <f t="shared" si="1"/>
        <v>0</v>
      </c>
      <c r="AC18" s="85">
        <f t="shared" si="1"/>
        <v>0</v>
      </c>
      <c r="AD18" s="85">
        <f t="shared" si="1"/>
        <v>0</v>
      </c>
      <c r="AE18" s="85">
        <f t="shared" si="1"/>
        <v>0</v>
      </c>
      <c r="AF18" s="85">
        <f t="shared" si="1"/>
        <v>0</v>
      </c>
      <c r="AG18" s="85">
        <f t="shared" si="1"/>
        <v>0</v>
      </c>
      <c r="AH18" s="85">
        <f t="shared" si="1"/>
        <v>0</v>
      </c>
      <c r="AI18" s="86">
        <f t="shared" si="2"/>
        <v>0</v>
      </c>
      <c r="AJ18" s="85">
        <f t="shared" si="3"/>
        <v>0</v>
      </c>
      <c r="AK18" s="85">
        <f t="shared" ref="AK18:AU18" si="7">AJ18</f>
        <v>0</v>
      </c>
      <c r="AL18" s="85">
        <f t="shared" si="7"/>
        <v>0</v>
      </c>
      <c r="AM18" s="85">
        <f t="shared" si="7"/>
        <v>0</v>
      </c>
      <c r="AN18" s="85">
        <f t="shared" si="7"/>
        <v>0</v>
      </c>
      <c r="AO18" s="85">
        <f t="shared" si="7"/>
        <v>0</v>
      </c>
      <c r="AP18" s="85">
        <f t="shared" si="7"/>
        <v>0</v>
      </c>
      <c r="AQ18" s="85">
        <f t="shared" si="7"/>
        <v>0</v>
      </c>
      <c r="AR18" s="85">
        <f t="shared" si="7"/>
        <v>0</v>
      </c>
      <c r="AS18" s="85">
        <f t="shared" si="7"/>
        <v>0</v>
      </c>
      <c r="AT18" s="85">
        <f t="shared" si="7"/>
        <v>0</v>
      </c>
      <c r="AU18" s="85">
        <f t="shared" si="7"/>
        <v>0</v>
      </c>
      <c r="AV18" s="85">
        <f t="shared" si="5"/>
        <v>0</v>
      </c>
      <c r="AW18" s="87"/>
      <c r="AX18" s="88"/>
      <c r="AY18" s="88"/>
    </row>
    <row r="19" spans="1:51">
      <c r="A19" s="79" t="s">
        <v>3001</v>
      </c>
      <c r="B19" s="80" t="s">
        <v>2242</v>
      </c>
      <c r="C19" s="80" t="s">
        <v>3014</v>
      </c>
      <c r="D19" s="80" t="s">
        <v>3015</v>
      </c>
      <c r="E19" s="80"/>
      <c r="F19" s="81">
        <v>27000</v>
      </c>
      <c r="G19" s="81"/>
      <c r="H19" s="82" t="s">
        <v>2696</v>
      </c>
      <c r="I19" s="83">
        <v>0</v>
      </c>
      <c r="J19" s="82"/>
      <c r="K19" s="84">
        <v>1</v>
      </c>
      <c r="L19" s="84">
        <v>1</v>
      </c>
      <c r="M19" s="84">
        <v>1</v>
      </c>
      <c r="N19" s="84">
        <v>1</v>
      </c>
      <c r="O19" s="84">
        <v>1</v>
      </c>
      <c r="P19" s="84">
        <v>1</v>
      </c>
      <c r="Q19" s="84">
        <v>1</v>
      </c>
      <c r="R19" s="84">
        <v>1</v>
      </c>
      <c r="S19" s="84">
        <v>1</v>
      </c>
      <c r="T19" s="84">
        <v>1</v>
      </c>
      <c r="U19" s="84">
        <v>1</v>
      </c>
      <c r="V19" s="84">
        <v>1</v>
      </c>
      <c r="W19" s="85">
        <f t="shared" ref="W19:AH19" si="8">$F19*(1+$I19)*K19</f>
        <v>27000</v>
      </c>
      <c r="X19" s="85">
        <f t="shared" si="8"/>
        <v>27000</v>
      </c>
      <c r="Y19" s="85">
        <f t="shared" si="8"/>
        <v>27000</v>
      </c>
      <c r="Z19" s="85">
        <f t="shared" si="8"/>
        <v>27000</v>
      </c>
      <c r="AA19" s="85">
        <f t="shared" si="8"/>
        <v>27000</v>
      </c>
      <c r="AB19" s="85">
        <f t="shared" si="8"/>
        <v>27000</v>
      </c>
      <c r="AC19" s="85">
        <f t="shared" si="8"/>
        <v>27000</v>
      </c>
      <c r="AD19" s="85">
        <f t="shared" si="8"/>
        <v>27000</v>
      </c>
      <c r="AE19" s="85">
        <f t="shared" si="8"/>
        <v>27000</v>
      </c>
      <c r="AF19" s="85">
        <f t="shared" si="8"/>
        <v>27000</v>
      </c>
      <c r="AG19" s="85">
        <f t="shared" si="8"/>
        <v>27000</v>
      </c>
      <c r="AH19" s="85">
        <f t="shared" si="8"/>
        <v>27000</v>
      </c>
      <c r="AI19" s="86">
        <f t="shared" si="2"/>
        <v>324000</v>
      </c>
      <c r="AJ19" s="85">
        <f t="shared" si="3"/>
        <v>28350</v>
      </c>
      <c r="AK19" s="85">
        <f t="shared" ref="AK19:AU19" si="9">AJ19</f>
        <v>28350</v>
      </c>
      <c r="AL19" s="85">
        <f t="shared" si="9"/>
        <v>28350</v>
      </c>
      <c r="AM19" s="85">
        <f t="shared" si="9"/>
        <v>28350</v>
      </c>
      <c r="AN19" s="85">
        <f t="shared" si="9"/>
        <v>28350</v>
      </c>
      <c r="AO19" s="85">
        <f t="shared" si="9"/>
        <v>28350</v>
      </c>
      <c r="AP19" s="85">
        <f t="shared" si="9"/>
        <v>28350</v>
      </c>
      <c r="AQ19" s="85">
        <f t="shared" si="9"/>
        <v>28350</v>
      </c>
      <c r="AR19" s="85">
        <f t="shared" si="9"/>
        <v>28350</v>
      </c>
      <c r="AS19" s="85">
        <f t="shared" si="9"/>
        <v>28350</v>
      </c>
      <c r="AT19" s="85">
        <f t="shared" si="9"/>
        <v>28350</v>
      </c>
      <c r="AU19" s="85">
        <f t="shared" si="9"/>
        <v>28350</v>
      </c>
      <c r="AV19" s="85">
        <f t="shared" si="5"/>
        <v>340200</v>
      </c>
      <c r="AW19" s="87"/>
      <c r="AX19" s="88"/>
      <c r="AY19" s="88"/>
    </row>
    <row r="20" spans="1:51">
      <c r="A20" s="79" t="s">
        <v>3001</v>
      </c>
      <c r="B20" s="80" t="s">
        <v>2111</v>
      </c>
      <c r="C20" s="80" t="s">
        <v>3014</v>
      </c>
      <c r="D20" s="80" t="s">
        <v>3015</v>
      </c>
      <c r="E20" s="80"/>
      <c r="F20" s="81">
        <v>17000</v>
      </c>
      <c r="G20" s="81"/>
      <c r="H20" s="82" t="s">
        <v>2689</v>
      </c>
      <c r="I20" s="83">
        <f>'[90]Bonus 2026'!$G$25*汇总!$D$30</f>
        <v>8.8235294117646967E-2</v>
      </c>
      <c r="J20" s="82"/>
      <c r="K20" s="84">
        <v>1</v>
      </c>
      <c r="L20" s="84">
        <v>1</v>
      </c>
      <c r="M20" s="84">
        <v>1</v>
      </c>
      <c r="N20" s="84">
        <v>1</v>
      </c>
      <c r="O20" s="84">
        <v>1</v>
      </c>
      <c r="P20" s="84">
        <v>1</v>
      </c>
      <c r="Q20" s="84">
        <v>1</v>
      </c>
      <c r="R20" s="84">
        <v>1</v>
      </c>
      <c r="S20" s="84">
        <v>1</v>
      </c>
      <c r="T20" s="84">
        <v>1</v>
      </c>
      <c r="U20" s="84">
        <v>1</v>
      </c>
      <c r="V20" s="84">
        <v>1</v>
      </c>
      <c r="W20" s="90">
        <f>$F20*K20</f>
        <v>17000</v>
      </c>
      <c r="X20" s="90">
        <f>$F20*L20</f>
        <v>17000</v>
      </c>
      <c r="Y20" s="90">
        <f>$F20*M20</f>
        <v>17000</v>
      </c>
      <c r="Z20" s="85">
        <f t="shared" ref="Z20:AA20" si="10">$F20*(1+$I20)*N20</f>
        <v>18500</v>
      </c>
      <c r="AA20" s="85">
        <f t="shared" si="10"/>
        <v>18500</v>
      </c>
      <c r="AB20" s="85">
        <f t="shared" ref="AB20:AH20" si="11">$F20*(1+$I20)*P20</f>
        <v>18500</v>
      </c>
      <c r="AC20" s="85">
        <f t="shared" si="11"/>
        <v>18500</v>
      </c>
      <c r="AD20" s="85">
        <f t="shared" si="11"/>
        <v>18500</v>
      </c>
      <c r="AE20" s="85">
        <f t="shared" si="11"/>
        <v>18500</v>
      </c>
      <c r="AF20" s="85">
        <f t="shared" si="11"/>
        <v>18500</v>
      </c>
      <c r="AG20" s="85">
        <f t="shared" si="11"/>
        <v>18500</v>
      </c>
      <c r="AH20" s="85">
        <f t="shared" si="11"/>
        <v>18500</v>
      </c>
      <c r="AI20" s="86">
        <f t="shared" si="2"/>
        <v>217500</v>
      </c>
      <c r="AJ20" s="85">
        <f t="shared" si="3"/>
        <v>19425</v>
      </c>
      <c r="AK20" s="85">
        <f t="shared" ref="AK20:AU20" si="12">AJ20</f>
        <v>19425</v>
      </c>
      <c r="AL20" s="85">
        <f t="shared" si="12"/>
        <v>19425</v>
      </c>
      <c r="AM20" s="85">
        <f t="shared" si="12"/>
        <v>19425</v>
      </c>
      <c r="AN20" s="85">
        <f t="shared" si="12"/>
        <v>19425</v>
      </c>
      <c r="AO20" s="85">
        <f t="shared" si="12"/>
        <v>19425</v>
      </c>
      <c r="AP20" s="85">
        <f t="shared" si="12"/>
        <v>19425</v>
      </c>
      <c r="AQ20" s="85">
        <f t="shared" si="12"/>
        <v>19425</v>
      </c>
      <c r="AR20" s="85">
        <f t="shared" si="12"/>
        <v>19425</v>
      </c>
      <c r="AS20" s="85">
        <f t="shared" si="12"/>
        <v>19425</v>
      </c>
      <c r="AT20" s="85">
        <f t="shared" si="12"/>
        <v>19425</v>
      </c>
      <c r="AU20" s="85">
        <f t="shared" si="12"/>
        <v>19425</v>
      </c>
      <c r="AV20" s="85">
        <f t="shared" si="5"/>
        <v>233100</v>
      </c>
      <c r="AW20" s="89" t="s">
        <v>3016</v>
      </c>
      <c r="AX20" s="88"/>
      <c r="AY20" s="88"/>
    </row>
    <row r="21" spans="1:51">
      <c r="A21" s="79" t="s">
        <v>3001</v>
      </c>
      <c r="B21" s="80" t="s">
        <v>2242</v>
      </c>
      <c r="C21" s="80" t="s">
        <v>3014</v>
      </c>
      <c r="D21" s="80" t="s">
        <v>3015</v>
      </c>
      <c r="E21" s="80"/>
      <c r="F21" s="82">
        <v>20000</v>
      </c>
      <c r="G21" s="82"/>
      <c r="H21" s="82" t="s">
        <v>2697</v>
      </c>
      <c r="I21" s="83">
        <v>0</v>
      </c>
      <c r="J21" s="82"/>
      <c r="K21" s="84">
        <v>1</v>
      </c>
      <c r="L21" s="84">
        <v>1</v>
      </c>
      <c r="M21" s="84">
        <v>1</v>
      </c>
      <c r="N21" s="84">
        <v>1</v>
      </c>
      <c r="O21" s="84">
        <v>1</v>
      </c>
      <c r="P21" s="84">
        <v>1</v>
      </c>
      <c r="Q21" s="84">
        <v>1</v>
      </c>
      <c r="R21" s="84">
        <v>1</v>
      </c>
      <c r="S21" s="84">
        <v>1</v>
      </c>
      <c r="T21" s="84">
        <v>1</v>
      </c>
      <c r="U21" s="84">
        <v>1</v>
      </c>
      <c r="V21" s="84">
        <v>1</v>
      </c>
      <c r="W21" s="85">
        <f t="shared" ref="W21:W28" si="13">$F21*(1+$I21)*K21</f>
        <v>20000</v>
      </c>
      <c r="X21" s="85">
        <f t="shared" ref="X21:AH21" si="14">$F21*(1+$I21)*L21</f>
        <v>20000</v>
      </c>
      <c r="Y21" s="85">
        <f t="shared" si="14"/>
        <v>20000</v>
      </c>
      <c r="Z21" s="85">
        <f t="shared" si="14"/>
        <v>20000</v>
      </c>
      <c r="AA21" s="85">
        <f t="shared" si="14"/>
        <v>20000</v>
      </c>
      <c r="AB21" s="85">
        <f t="shared" si="14"/>
        <v>20000</v>
      </c>
      <c r="AC21" s="85">
        <f t="shared" si="14"/>
        <v>20000</v>
      </c>
      <c r="AD21" s="85">
        <f t="shared" si="14"/>
        <v>20000</v>
      </c>
      <c r="AE21" s="85">
        <f t="shared" si="14"/>
        <v>20000</v>
      </c>
      <c r="AF21" s="85">
        <f t="shared" si="14"/>
        <v>20000</v>
      </c>
      <c r="AG21" s="85">
        <f t="shared" si="14"/>
        <v>20000</v>
      </c>
      <c r="AH21" s="85">
        <f t="shared" si="14"/>
        <v>20000</v>
      </c>
      <c r="AI21" s="86">
        <f t="shared" si="2"/>
        <v>240000</v>
      </c>
      <c r="AJ21" s="85">
        <f t="shared" si="3"/>
        <v>21000</v>
      </c>
      <c r="AK21" s="85">
        <f t="shared" ref="AK21:AU21" si="15">AJ21</f>
        <v>21000</v>
      </c>
      <c r="AL21" s="85">
        <f t="shared" si="15"/>
        <v>21000</v>
      </c>
      <c r="AM21" s="85">
        <f t="shared" si="15"/>
        <v>21000</v>
      </c>
      <c r="AN21" s="85">
        <f t="shared" si="15"/>
        <v>21000</v>
      </c>
      <c r="AO21" s="85">
        <f t="shared" si="15"/>
        <v>21000</v>
      </c>
      <c r="AP21" s="85">
        <f t="shared" si="15"/>
        <v>21000</v>
      </c>
      <c r="AQ21" s="85">
        <f t="shared" si="15"/>
        <v>21000</v>
      </c>
      <c r="AR21" s="85">
        <f t="shared" si="15"/>
        <v>21000</v>
      </c>
      <c r="AS21" s="85">
        <f t="shared" si="15"/>
        <v>21000</v>
      </c>
      <c r="AT21" s="85">
        <f t="shared" si="15"/>
        <v>21000</v>
      </c>
      <c r="AU21" s="85">
        <f t="shared" si="15"/>
        <v>21000</v>
      </c>
      <c r="AV21" s="85">
        <f t="shared" si="5"/>
        <v>252000</v>
      </c>
      <c r="AW21" s="87" t="s">
        <v>3017</v>
      </c>
      <c r="AX21" s="88"/>
      <c r="AY21" s="88"/>
    </row>
    <row r="22" spans="1:51">
      <c r="A22" s="79" t="s">
        <v>3001</v>
      </c>
      <c r="B22" s="80" t="s">
        <v>2242</v>
      </c>
      <c r="C22" s="80" t="s">
        <v>2999</v>
      </c>
      <c r="D22" s="80" t="s">
        <v>3015</v>
      </c>
      <c r="E22" s="80"/>
      <c r="F22" s="82">
        <v>50000</v>
      </c>
      <c r="G22" s="82"/>
      <c r="H22" s="82" t="s">
        <v>2695</v>
      </c>
      <c r="I22" s="83">
        <v>0</v>
      </c>
      <c r="J22" s="82"/>
      <c r="K22" s="84">
        <v>1</v>
      </c>
      <c r="L22" s="84">
        <v>1</v>
      </c>
      <c r="M22" s="84">
        <v>1</v>
      </c>
      <c r="N22" s="84">
        <v>1</v>
      </c>
      <c r="O22" s="84">
        <v>1</v>
      </c>
      <c r="P22" s="84">
        <v>1</v>
      </c>
      <c r="Q22" s="84">
        <v>1</v>
      </c>
      <c r="R22" s="84">
        <v>1</v>
      </c>
      <c r="S22" s="84">
        <v>1</v>
      </c>
      <c r="T22" s="84">
        <v>1</v>
      </c>
      <c r="U22" s="84">
        <v>1</v>
      </c>
      <c r="V22" s="84">
        <v>1</v>
      </c>
      <c r="W22" s="85">
        <f t="shared" si="13"/>
        <v>50000</v>
      </c>
      <c r="X22" s="85">
        <f t="shared" ref="X22:AH22" si="16">$F22*(1+$I22)*L22</f>
        <v>50000</v>
      </c>
      <c r="Y22" s="85">
        <f t="shared" si="16"/>
        <v>50000</v>
      </c>
      <c r="Z22" s="85">
        <f t="shared" si="16"/>
        <v>50000</v>
      </c>
      <c r="AA22" s="85">
        <f t="shared" si="16"/>
        <v>50000</v>
      </c>
      <c r="AB22" s="85">
        <f t="shared" si="16"/>
        <v>50000</v>
      </c>
      <c r="AC22" s="85">
        <f t="shared" si="16"/>
        <v>50000</v>
      </c>
      <c r="AD22" s="85">
        <f t="shared" si="16"/>
        <v>50000</v>
      </c>
      <c r="AE22" s="85">
        <f t="shared" si="16"/>
        <v>50000</v>
      </c>
      <c r="AF22" s="85">
        <f t="shared" si="16"/>
        <v>50000</v>
      </c>
      <c r="AG22" s="85">
        <f t="shared" si="16"/>
        <v>50000</v>
      </c>
      <c r="AH22" s="85">
        <f t="shared" si="16"/>
        <v>50000</v>
      </c>
      <c r="AI22" s="86">
        <f t="shared" si="2"/>
        <v>600000</v>
      </c>
      <c r="AJ22" s="85">
        <f t="shared" si="3"/>
        <v>52500</v>
      </c>
      <c r="AK22" s="85">
        <f t="shared" ref="AK22:AU22" si="17">AJ22</f>
        <v>52500</v>
      </c>
      <c r="AL22" s="85">
        <f t="shared" si="17"/>
        <v>52500</v>
      </c>
      <c r="AM22" s="85">
        <f t="shared" si="17"/>
        <v>52500</v>
      </c>
      <c r="AN22" s="85">
        <f t="shared" si="17"/>
        <v>52500</v>
      </c>
      <c r="AO22" s="85">
        <f t="shared" si="17"/>
        <v>52500</v>
      </c>
      <c r="AP22" s="85">
        <f t="shared" si="17"/>
        <v>52500</v>
      </c>
      <c r="AQ22" s="85">
        <f t="shared" si="17"/>
        <v>52500</v>
      </c>
      <c r="AR22" s="85">
        <f t="shared" si="17"/>
        <v>52500</v>
      </c>
      <c r="AS22" s="85">
        <f t="shared" si="17"/>
        <v>52500</v>
      </c>
      <c r="AT22" s="85">
        <f t="shared" si="17"/>
        <v>52500</v>
      </c>
      <c r="AU22" s="85">
        <f t="shared" si="17"/>
        <v>52500</v>
      </c>
      <c r="AV22" s="85">
        <f t="shared" si="5"/>
        <v>630000</v>
      </c>
      <c r="AW22" s="89" t="s">
        <v>3018</v>
      </c>
      <c r="AX22" s="88"/>
      <c r="AY22" s="88"/>
    </row>
    <row r="23" spans="1:51">
      <c r="A23" s="79" t="s">
        <v>3001</v>
      </c>
      <c r="B23" s="80" t="s">
        <v>2242</v>
      </c>
      <c r="C23" s="80" t="s">
        <v>3014</v>
      </c>
      <c r="D23" s="80" t="s">
        <v>3015</v>
      </c>
      <c r="E23" s="80"/>
      <c r="F23" s="82">
        <v>35000</v>
      </c>
      <c r="G23" s="82"/>
      <c r="H23" s="82" t="s">
        <v>2694</v>
      </c>
      <c r="I23" s="83">
        <f>'[90]Bonus 2026'!$G$26*汇总!$D$30</f>
        <v>0.14285714285714279</v>
      </c>
      <c r="J23" s="82"/>
      <c r="K23" s="84">
        <v>1</v>
      </c>
      <c r="L23" s="84">
        <v>1</v>
      </c>
      <c r="M23" s="84">
        <v>1</v>
      </c>
      <c r="N23" s="84">
        <v>1</v>
      </c>
      <c r="O23" s="84">
        <v>1</v>
      </c>
      <c r="P23" s="84">
        <v>1</v>
      </c>
      <c r="Q23" s="84">
        <v>1</v>
      </c>
      <c r="R23" s="84">
        <v>1</v>
      </c>
      <c r="S23" s="84">
        <v>1</v>
      </c>
      <c r="T23" s="84">
        <v>1</v>
      </c>
      <c r="U23" s="84">
        <v>1</v>
      </c>
      <c r="V23" s="84">
        <v>1</v>
      </c>
      <c r="W23" s="90">
        <f t="shared" ref="W23:Y24" si="18">$F23*K23</f>
        <v>35000</v>
      </c>
      <c r="X23" s="90">
        <f t="shared" si="18"/>
        <v>35000</v>
      </c>
      <c r="Y23" s="90">
        <f t="shared" si="18"/>
        <v>35000</v>
      </c>
      <c r="Z23" s="85">
        <f t="shared" ref="Z23:AH23" si="19">$F23*(1+$I23)*N23</f>
        <v>40000</v>
      </c>
      <c r="AA23" s="85">
        <f t="shared" si="19"/>
        <v>40000</v>
      </c>
      <c r="AB23" s="85">
        <f t="shared" si="19"/>
        <v>40000</v>
      </c>
      <c r="AC23" s="85">
        <f t="shared" si="19"/>
        <v>40000</v>
      </c>
      <c r="AD23" s="85">
        <f t="shared" si="19"/>
        <v>40000</v>
      </c>
      <c r="AE23" s="85">
        <f t="shared" si="19"/>
        <v>40000</v>
      </c>
      <c r="AF23" s="85">
        <f t="shared" si="19"/>
        <v>40000</v>
      </c>
      <c r="AG23" s="85">
        <f t="shared" si="19"/>
        <v>40000</v>
      </c>
      <c r="AH23" s="85">
        <f t="shared" si="19"/>
        <v>40000</v>
      </c>
      <c r="AI23" s="86">
        <f t="shared" si="2"/>
        <v>465000</v>
      </c>
      <c r="AJ23" s="85">
        <f t="shared" si="3"/>
        <v>42000</v>
      </c>
      <c r="AK23" s="85">
        <f t="shared" ref="AK23:AU23" si="20">AJ23</f>
        <v>42000</v>
      </c>
      <c r="AL23" s="85">
        <f t="shared" si="20"/>
        <v>42000</v>
      </c>
      <c r="AM23" s="85">
        <f t="shared" si="20"/>
        <v>42000</v>
      </c>
      <c r="AN23" s="85">
        <f t="shared" si="20"/>
        <v>42000</v>
      </c>
      <c r="AO23" s="85">
        <f t="shared" si="20"/>
        <v>42000</v>
      </c>
      <c r="AP23" s="85">
        <f t="shared" si="20"/>
        <v>42000</v>
      </c>
      <c r="AQ23" s="85">
        <f t="shared" si="20"/>
        <v>42000</v>
      </c>
      <c r="AR23" s="85">
        <f t="shared" si="20"/>
        <v>42000</v>
      </c>
      <c r="AS23" s="85">
        <f t="shared" si="20"/>
        <v>42000</v>
      </c>
      <c r="AT23" s="85">
        <f t="shared" si="20"/>
        <v>42000</v>
      </c>
      <c r="AU23" s="85">
        <f t="shared" si="20"/>
        <v>42000</v>
      </c>
      <c r="AV23" s="85">
        <f t="shared" si="5"/>
        <v>504000</v>
      </c>
      <c r="AW23" s="89" t="s">
        <v>3019</v>
      </c>
      <c r="AX23" s="88"/>
      <c r="AY23" s="88"/>
    </row>
    <row r="24" spans="1:51">
      <c r="A24" s="79" t="s">
        <v>3001</v>
      </c>
      <c r="B24" s="80" t="s">
        <v>2111</v>
      </c>
      <c r="C24" s="80" t="s">
        <v>2999</v>
      </c>
      <c r="D24" s="80" t="s">
        <v>3015</v>
      </c>
      <c r="E24" s="80"/>
      <c r="F24" s="81">
        <v>44250</v>
      </c>
      <c r="G24" s="81"/>
      <c r="H24" s="82" t="s">
        <v>2680</v>
      </c>
      <c r="I24" s="83">
        <f>'[90]Bonus 2026'!$G$22*汇总!$D$30</f>
        <v>0.12994350282485878</v>
      </c>
      <c r="J24" s="82"/>
      <c r="K24" s="84">
        <v>1</v>
      </c>
      <c r="L24" s="84">
        <v>1</v>
      </c>
      <c r="M24" s="84">
        <v>1</v>
      </c>
      <c r="N24" s="84">
        <v>1</v>
      </c>
      <c r="O24" s="84">
        <v>1</v>
      </c>
      <c r="P24" s="84">
        <v>1</v>
      </c>
      <c r="Q24" s="84">
        <v>1</v>
      </c>
      <c r="R24" s="84">
        <v>1</v>
      </c>
      <c r="S24" s="84">
        <v>1</v>
      </c>
      <c r="T24" s="84">
        <v>1</v>
      </c>
      <c r="U24" s="84">
        <v>1</v>
      </c>
      <c r="V24" s="84">
        <v>1</v>
      </c>
      <c r="W24" s="90">
        <f t="shared" si="18"/>
        <v>44250</v>
      </c>
      <c r="X24" s="90">
        <f t="shared" si="18"/>
        <v>44250</v>
      </c>
      <c r="Y24" s="90">
        <f t="shared" si="18"/>
        <v>44250</v>
      </c>
      <c r="Z24" s="85">
        <f t="shared" ref="Z24:AH24" si="21">$F24*(1+$I24)*N24</f>
        <v>50000</v>
      </c>
      <c r="AA24" s="85">
        <f t="shared" si="21"/>
        <v>50000</v>
      </c>
      <c r="AB24" s="85">
        <f t="shared" si="21"/>
        <v>50000</v>
      </c>
      <c r="AC24" s="85">
        <f t="shared" si="21"/>
        <v>50000</v>
      </c>
      <c r="AD24" s="85">
        <f t="shared" si="21"/>
        <v>50000</v>
      </c>
      <c r="AE24" s="85">
        <f t="shared" si="21"/>
        <v>50000</v>
      </c>
      <c r="AF24" s="85">
        <f t="shared" si="21"/>
        <v>50000</v>
      </c>
      <c r="AG24" s="85">
        <f t="shared" si="21"/>
        <v>50000</v>
      </c>
      <c r="AH24" s="85">
        <f t="shared" si="21"/>
        <v>50000</v>
      </c>
      <c r="AI24" s="86">
        <f t="shared" ref="AI24:AI36" si="22">SUM(W24:AH24)</f>
        <v>582750</v>
      </c>
      <c r="AJ24" s="85">
        <f t="shared" ref="AJ24:AJ34" si="23">AH24*(1+$AJ$13)</f>
        <v>52500</v>
      </c>
      <c r="AK24" s="85">
        <f t="shared" ref="AK24:AU24" si="24">AJ24</f>
        <v>52500</v>
      </c>
      <c r="AL24" s="85">
        <f t="shared" si="24"/>
        <v>52500</v>
      </c>
      <c r="AM24" s="85">
        <f t="shared" si="24"/>
        <v>52500</v>
      </c>
      <c r="AN24" s="85">
        <f t="shared" si="24"/>
        <v>52500</v>
      </c>
      <c r="AO24" s="85">
        <f t="shared" si="24"/>
        <v>52500</v>
      </c>
      <c r="AP24" s="85">
        <f t="shared" si="24"/>
        <v>52500</v>
      </c>
      <c r="AQ24" s="85">
        <f t="shared" si="24"/>
        <v>52500</v>
      </c>
      <c r="AR24" s="85">
        <f t="shared" si="24"/>
        <v>52500</v>
      </c>
      <c r="AS24" s="85">
        <f t="shared" si="24"/>
        <v>52500</v>
      </c>
      <c r="AT24" s="85">
        <f t="shared" si="24"/>
        <v>52500</v>
      </c>
      <c r="AU24" s="85">
        <f t="shared" si="24"/>
        <v>52500</v>
      </c>
      <c r="AV24" s="85">
        <f t="shared" ref="AV24:AV34" si="25">SUM(AJ24:AU24)</f>
        <v>630000</v>
      </c>
      <c r="AW24" s="87"/>
      <c r="AX24" s="88"/>
      <c r="AY24" s="88"/>
    </row>
    <row r="25" spans="1:51">
      <c r="A25" s="79" t="s">
        <v>3001</v>
      </c>
      <c r="B25" s="80" t="s">
        <v>2111</v>
      </c>
      <c r="C25" s="80" t="s">
        <v>2995</v>
      </c>
      <c r="D25" s="80" t="s">
        <v>3015</v>
      </c>
      <c r="E25" s="80"/>
      <c r="F25" s="81">
        <v>44250</v>
      </c>
      <c r="G25" s="81"/>
      <c r="H25" s="82" t="s">
        <v>2681</v>
      </c>
      <c r="I25" s="83">
        <v>0</v>
      </c>
      <c r="J25" s="82"/>
      <c r="K25" s="84">
        <v>1</v>
      </c>
      <c r="L25" s="84">
        <v>1</v>
      </c>
      <c r="M25" s="84"/>
      <c r="N25" s="84"/>
      <c r="O25" s="84"/>
      <c r="P25" s="84"/>
      <c r="Q25" s="84"/>
      <c r="R25" s="84"/>
      <c r="S25" s="84"/>
      <c r="T25" s="84"/>
      <c r="U25" s="84"/>
      <c r="V25" s="84"/>
      <c r="W25" s="85">
        <f t="shared" si="13"/>
        <v>44250</v>
      </c>
      <c r="X25" s="85">
        <f t="shared" ref="X25:AH25" si="26">$F25*(1+$I25)*L25</f>
        <v>44250</v>
      </c>
      <c r="Y25" s="85">
        <f t="shared" si="26"/>
        <v>0</v>
      </c>
      <c r="Z25" s="85">
        <f t="shared" si="26"/>
        <v>0</v>
      </c>
      <c r="AA25" s="85">
        <f t="shared" si="26"/>
        <v>0</v>
      </c>
      <c r="AB25" s="85">
        <f t="shared" si="26"/>
        <v>0</v>
      </c>
      <c r="AC25" s="85">
        <f t="shared" si="26"/>
        <v>0</v>
      </c>
      <c r="AD25" s="85">
        <f t="shared" si="26"/>
        <v>0</v>
      </c>
      <c r="AE25" s="85">
        <f t="shared" si="26"/>
        <v>0</v>
      </c>
      <c r="AF25" s="85">
        <f t="shared" si="26"/>
        <v>0</v>
      </c>
      <c r="AG25" s="85">
        <f t="shared" si="26"/>
        <v>0</v>
      </c>
      <c r="AH25" s="85">
        <f t="shared" si="26"/>
        <v>0</v>
      </c>
      <c r="AI25" s="86">
        <f t="shared" si="22"/>
        <v>88500</v>
      </c>
      <c r="AJ25" s="85">
        <f>X25</f>
        <v>44250</v>
      </c>
      <c r="AK25" s="85">
        <f t="shared" ref="AK25:AU25" si="27">AJ25</f>
        <v>44250</v>
      </c>
      <c r="AL25" s="85">
        <f t="shared" si="27"/>
        <v>44250</v>
      </c>
      <c r="AM25" s="85">
        <f t="shared" si="27"/>
        <v>44250</v>
      </c>
      <c r="AN25" s="85">
        <f t="shared" si="27"/>
        <v>44250</v>
      </c>
      <c r="AO25" s="85">
        <f t="shared" si="27"/>
        <v>44250</v>
      </c>
      <c r="AP25" s="85">
        <f t="shared" si="27"/>
        <v>44250</v>
      </c>
      <c r="AQ25" s="85">
        <f t="shared" si="27"/>
        <v>44250</v>
      </c>
      <c r="AR25" s="85">
        <f t="shared" si="27"/>
        <v>44250</v>
      </c>
      <c r="AS25" s="85">
        <f t="shared" si="27"/>
        <v>44250</v>
      </c>
      <c r="AT25" s="85">
        <f t="shared" si="27"/>
        <v>44250</v>
      </c>
      <c r="AU25" s="85">
        <f t="shared" si="27"/>
        <v>44250</v>
      </c>
      <c r="AV25" s="85">
        <f t="shared" si="25"/>
        <v>531000</v>
      </c>
      <c r="AW25" s="87"/>
      <c r="AX25" s="88"/>
      <c r="AY25" s="88"/>
    </row>
    <row r="26" spans="1:51">
      <c r="A26" s="79" t="s">
        <v>3001</v>
      </c>
      <c r="B26" s="80" t="s">
        <v>2111</v>
      </c>
      <c r="C26" s="80" t="s">
        <v>3014</v>
      </c>
      <c r="D26" s="80" t="s">
        <v>3015</v>
      </c>
      <c r="E26" s="80"/>
      <c r="F26" s="81">
        <v>39000</v>
      </c>
      <c r="G26" s="81"/>
      <c r="H26" s="82" t="s">
        <v>2682</v>
      </c>
      <c r="I26" s="83">
        <v>0</v>
      </c>
      <c r="J26" s="82"/>
      <c r="K26" s="84">
        <v>1</v>
      </c>
      <c r="L26" s="84">
        <v>1</v>
      </c>
      <c r="M26" s="84">
        <v>1</v>
      </c>
      <c r="N26" s="84">
        <v>1</v>
      </c>
      <c r="O26" s="84">
        <v>1</v>
      </c>
      <c r="P26" s="84">
        <v>1</v>
      </c>
      <c r="Q26" s="84">
        <v>1</v>
      </c>
      <c r="R26" s="84">
        <v>1</v>
      </c>
      <c r="S26" s="84">
        <v>1</v>
      </c>
      <c r="T26" s="84">
        <v>1</v>
      </c>
      <c r="U26" s="84">
        <v>1</v>
      </c>
      <c r="V26" s="84">
        <v>1</v>
      </c>
      <c r="W26" s="85">
        <f t="shared" si="13"/>
        <v>39000</v>
      </c>
      <c r="X26" s="85">
        <f t="shared" ref="X26:AH26" si="28">$F26*(1+$I26)*L26</f>
        <v>39000</v>
      </c>
      <c r="Y26" s="85">
        <f t="shared" si="28"/>
        <v>39000</v>
      </c>
      <c r="Z26" s="85">
        <f t="shared" si="28"/>
        <v>39000</v>
      </c>
      <c r="AA26" s="85">
        <f t="shared" si="28"/>
        <v>39000</v>
      </c>
      <c r="AB26" s="85">
        <f t="shared" si="28"/>
        <v>39000</v>
      </c>
      <c r="AC26" s="85">
        <f t="shared" si="28"/>
        <v>39000</v>
      </c>
      <c r="AD26" s="85">
        <f t="shared" si="28"/>
        <v>39000</v>
      </c>
      <c r="AE26" s="85">
        <f t="shared" si="28"/>
        <v>39000</v>
      </c>
      <c r="AF26" s="85">
        <f t="shared" si="28"/>
        <v>39000</v>
      </c>
      <c r="AG26" s="85">
        <f t="shared" si="28"/>
        <v>39000</v>
      </c>
      <c r="AH26" s="85">
        <f t="shared" si="28"/>
        <v>39000</v>
      </c>
      <c r="AI26" s="86">
        <f t="shared" si="22"/>
        <v>468000</v>
      </c>
      <c r="AJ26" s="85">
        <f t="shared" si="23"/>
        <v>40950</v>
      </c>
      <c r="AK26" s="85">
        <f t="shared" ref="AK26:AU26" si="29">AJ26</f>
        <v>40950</v>
      </c>
      <c r="AL26" s="85">
        <f t="shared" si="29"/>
        <v>40950</v>
      </c>
      <c r="AM26" s="85">
        <f t="shared" si="29"/>
        <v>40950</v>
      </c>
      <c r="AN26" s="85">
        <f t="shared" si="29"/>
        <v>40950</v>
      </c>
      <c r="AO26" s="85">
        <f t="shared" si="29"/>
        <v>40950</v>
      </c>
      <c r="AP26" s="85">
        <f t="shared" si="29"/>
        <v>40950</v>
      </c>
      <c r="AQ26" s="85">
        <f t="shared" si="29"/>
        <v>40950</v>
      </c>
      <c r="AR26" s="85">
        <f t="shared" si="29"/>
        <v>40950</v>
      </c>
      <c r="AS26" s="85">
        <f t="shared" si="29"/>
        <v>40950</v>
      </c>
      <c r="AT26" s="85">
        <f t="shared" si="29"/>
        <v>40950</v>
      </c>
      <c r="AU26" s="85">
        <f t="shared" si="29"/>
        <v>40950</v>
      </c>
      <c r="AV26" s="85">
        <f t="shared" si="25"/>
        <v>491400</v>
      </c>
      <c r="AW26" s="87"/>
      <c r="AX26" s="88"/>
      <c r="AY26" s="88"/>
    </row>
    <row r="27" spans="1:51">
      <c r="A27" s="79" t="s">
        <v>3001</v>
      </c>
      <c r="B27" s="80" t="s">
        <v>2111</v>
      </c>
      <c r="C27" s="80" t="s">
        <v>2999</v>
      </c>
      <c r="D27" s="80" t="s">
        <v>3015</v>
      </c>
      <c r="E27" s="80"/>
      <c r="F27" s="81">
        <v>26000</v>
      </c>
      <c r="G27" s="81"/>
      <c r="H27" s="82" t="s">
        <v>2687</v>
      </c>
      <c r="I27" s="83">
        <v>0</v>
      </c>
      <c r="J27" s="82"/>
      <c r="K27" s="84">
        <v>1</v>
      </c>
      <c r="L27" s="84">
        <v>1</v>
      </c>
      <c r="M27" s="84">
        <v>1</v>
      </c>
      <c r="N27" s="84">
        <v>1</v>
      </c>
      <c r="O27" s="84">
        <v>1</v>
      </c>
      <c r="P27" s="84">
        <v>1</v>
      </c>
      <c r="Q27" s="84">
        <v>1</v>
      </c>
      <c r="R27" s="84">
        <v>1</v>
      </c>
      <c r="S27" s="84">
        <v>1</v>
      </c>
      <c r="T27" s="84">
        <v>1</v>
      </c>
      <c r="U27" s="84">
        <v>1</v>
      </c>
      <c r="V27" s="84">
        <v>1</v>
      </c>
      <c r="W27" s="85">
        <f t="shared" si="13"/>
        <v>26000</v>
      </c>
      <c r="X27" s="85">
        <f t="shared" ref="X27:AH27" si="30">$F27*(1+$I27)*L27</f>
        <v>26000</v>
      </c>
      <c r="Y27" s="85">
        <f t="shared" si="30"/>
        <v>26000</v>
      </c>
      <c r="Z27" s="85">
        <f t="shared" si="30"/>
        <v>26000</v>
      </c>
      <c r="AA27" s="85">
        <f t="shared" si="30"/>
        <v>26000</v>
      </c>
      <c r="AB27" s="85">
        <f t="shared" si="30"/>
        <v>26000</v>
      </c>
      <c r="AC27" s="85">
        <f t="shared" si="30"/>
        <v>26000</v>
      </c>
      <c r="AD27" s="85">
        <f t="shared" si="30"/>
        <v>26000</v>
      </c>
      <c r="AE27" s="85">
        <f t="shared" si="30"/>
        <v>26000</v>
      </c>
      <c r="AF27" s="85">
        <f t="shared" si="30"/>
        <v>26000</v>
      </c>
      <c r="AG27" s="85">
        <f t="shared" si="30"/>
        <v>26000</v>
      </c>
      <c r="AH27" s="85">
        <f t="shared" si="30"/>
        <v>26000</v>
      </c>
      <c r="AI27" s="86">
        <f t="shared" si="22"/>
        <v>312000</v>
      </c>
      <c r="AJ27" s="85">
        <f t="shared" si="23"/>
        <v>27300</v>
      </c>
      <c r="AK27" s="85">
        <f t="shared" ref="AK27:AU27" si="31">AJ27</f>
        <v>27300</v>
      </c>
      <c r="AL27" s="85">
        <f t="shared" si="31"/>
        <v>27300</v>
      </c>
      <c r="AM27" s="85">
        <f t="shared" si="31"/>
        <v>27300</v>
      </c>
      <c r="AN27" s="85">
        <f t="shared" si="31"/>
        <v>27300</v>
      </c>
      <c r="AO27" s="85">
        <f t="shared" si="31"/>
        <v>27300</v>
      </c>
      <c r="AP27" s="85">
        <f t="shared" si="31"/>
        <v>27300</v>
      </c>
      <c r="AQ27" s="85">
        <f t="shared" si="31"/>
        <v>27300</v>
      </c>
      <c r="AR27" s="85">
        <f t="shared" si="31"/>
        <v>27300</v>
      </c>
      <c r="AS27" s="85">
        <f t="shared" si="31"/>
        <v>27300</v>
      </c>
      <c r="AT27" s="85">
        <f t="shared" si="31"/>
        <v>27300</v>
      </c>
      <c r="AU27" s="85">
        <f t="shared" si="31"/>
        <v>27300</v>
      </c>
      <c r="AV27" s="85">
        <f t="shared" si="25"/>
        <v>327600</v>
      </c>
      <c r="AW27" s="87"/>
      <c r="AX27" s="88"/>
      <c r="AY27" s="88"/>
    </row>
    <row r="28" spans="1:51">
      <c r="A28" s="79" t="s">
        <v>3001</v>
      </c>
      <c r="B28" s="80" t="s">
        <v>2111</v>
      </c>
      <c r="C28" s="80" t="s">
        <v>2999</v>
      </c>
      <c r="D28" s="80" t="s">
        <v>3015</v>
      </c>
      <c r="E28" s="80"/>
      <c r="F28" s="81">
        <v>50000</v>
      </c>
      <c r="G28" s="81"/>
      <c r="H28" s="82" t="s">
        <v>2688</v>
      </c>
      <c r="I28" s="83">
        <v>0</v>
      </c>
      <c r="J28" s="82"/>
      <c r="K28" s="84">
        <v>1</v>
      </c>
      <c r="L28" s="84">
        <v>1</v>
      </c>
      <c r="M28" s="84">
        <v>1</v>
      </c>
      <c r="N28" s="84">
        <v>1</v>
      </c>
      <c r="O28" s="84">
        <v>1</v>
      </c>
      <c r="P28" s="84">
        <v>1</v>
      </c>
      <c r="Q28" s="84">
        <v>1</v>
      </c>
      <c r="R28" s="84">
        <v>1</v>
      </c>
      <c r="S28" s="84">
        <v>1</v>
      </c>
      <c r="T28" s="84">
        <v>1</v>
      </c>
      <c r="U28" s="84">
        <v>1</v>
      </c>
      <c r="V28" s="84">
        <v>1</v>
      </c>
      <c r="W28" s="85">
        <f t="shared" si="13"/>
        <v>50000</v>
      </c>
      <c r="X28" s="85">
        <f t="shared" ref="X28:AH28" si="32">$F28*(1+$I28)*L28</f>
        <v>50000</v>
      </c>
      <c r="Y28" s="85">
        <f t="shared" si="32"/>
        <v>50000</v>
      </c>
      <c r="Z28" s="85">
        <f t="shared" si="32"/>
        <v>50000</v>
      </c>
      <c r="AA28" s="85">
        <f t="shared" si="32"/>
        <v>50000</v>
      </c>
      <c r="AB28" s="85">
        <f t="shared" si="32"/>
        <v>50000</v>
      </c>
      <c r="AC28" s="85">
        <f t="shared" si="32"/>
        <v>50000</v>
      </c>
      <c r="AD28" s="85">
        <f t="shared" si="32"/>
        <v>50000</v>
      </c>
      <c r="AE28" s="85">
        <f t="shared" si="32"/>
        <v>50000</v>
      </c>
      <c r="AF28" s="85">
        <f t="shared" si="32"/>
        <v>50000</v>
      </c>
      <c r="AG28" s="85">
        <f t="shared" si="32"/>
        <v>50000</v>
      </c>
      <c r="AH28" s="85">
        <f t="shared" si="32"/>
        <v>50000</v>
      </c>
      <c r="AI28" s="86">
        <f t="shared" si="22"/>
        <v>600000</v>
      </c>
      <c r="AJ28" s="85">
        <f t="shared" si="23"/>
        <v>52500</v>
      </c>
      <c r="AK28" s="85">
        <f t="shared" ref="AK28:AU28" si="33">AJ28</f>
        <v>52500</v>
      </c>
      <c r="AL28" s="85">
        <f t="shared" si="33"/>
        <v>52500</v>
      </c>
      <c r="AM28" s="85">
        <f t="shared" si="33"/>
        <v>52500</v>
      </c>
      <c r="AN28" s="85">
        <f t="shared" si="33"/>
        <v>52500</v>
      </c>
      <c r="AO28" s="85">
        <f t="shared" si="33"/>
        <v>52500</v>
      </c>
      <c r="AP28" s="85">
        <f t="shared" si="33"/>
        <v>52500</v>
      </c>
      <c r="AQ28" s="85">
        <f t="shared" si="33"/>
        <v>52500</v>
      </c>
      <c r="AR28" s="85">
        <f t="shared" si="33"/>
        <v>52500</v>
      </c>
      <c r="AS28" s="85">
        <f t="shared" si="33"/>
        <v>52500</v>
      </c>
      <c r="AT28" s="85">
        <f t="shared" si="33"/>
        <v>52500</v>
      </c>
      <c r="AU28" s="85">
        <f t="shared" si="33"/>
        <v>52500</v>
      </c>
      <c r="AV28" s="85">
        <f t="shared" si="25"/>
        <v>630000</v>
      </c>
      <c r="AW28" s="87"/>
      <c r="AX28" s="88"/>
      <c r="AY28" s="88"/>
    </row>
    <row r="29" spans="1:51">
      <c r="A29" s="79" t="s">
        <v>3001</v>
      </c>
      <c r="B29" s="80" t="s">
        <v>2111</v>
      </c>
      <c r="C29" s="91" t="s">
        <v>3020</v>
      </c>
      <c r="D29" s="80" t="s">
        <v>3015</v>
      </c>
      <c r="E29" s="80"/>
      <c r="F29" s="82">
        <v>90000</v>
      </c>
      <c r="G29" s="82" t="s">
        <v>3021</v>
      </c>
      <c r="H29" s="82" t="s">
        <v>2683</v>
      </c>
      <c r="I29" s="83">
        <f>'[90]Bonus 2026'!$G$23*汇总!$D$30</f>
        <v>0.21428571428571419</v>
      </c>
      <c r="J29" s="82"/>
      <c r="K29" s="84"/>
      <c r="L29" s="84"/>
      <c r="M29" s="84"/>
      <c r="N29" s="84"/>
      <c r="O29" s="84"/>
      <c r="P29" s="84"/>
      <c r="Q29" s="84"/>
      <c r="R29" s="84"/>
      <c r="S29" s="84"/>
      <c r="T29" s="84"/>
      <c r="U29" s="84"/>
      <c r="V29" s="84">
        <v>12</v>
      </c>
      <c r="W29" s="90">
        <f t="shared" ref="W29:Y30" si="34">$F29*K29</f>
        <v>0</v>
      </c>
      <c r="X29" s="90">
        <f t="shared" si="34"/>
        <v>0</v>
      </c>
      <c r="Y29" s="90">
        <f t="shared" si="34"/>
        <v>0</v>
      </c>
      <c r="Z29" s="85">
        <f t="shared" ref="Z29:AH29" si="35">$F29*(1+$I29)*N29</f>
        <v>0</v>
      </c>
      <c r="AA29" s="85">
        <f t="shared" si="35"/>
        <v>0</v>
      </c>
      <c r="AB29" s="85">
        <f t="shared" si="35"/>
        <v>0</v>
      </c>
      <c r="AC29" s="85">
        <f t="shared" si="35"/>
        <v>0</v>
      </c>
      <c r="AD29" s="85">
        <f t="shared" si="35"/>
        <v>0</v>
      </c>
      <c r="AE29" s="85">
        <f t="shared" si="35"/>
        <v>0</v>
      </c>
      <c r="AF29" s="85">
        <f t="shared" si="35"/>
        <v>0</v>
      </c>
      <c r="AG29" s="85">
        <f t="shared" si="35"/>
        <v>0</v>
      </c>
      <c r="AH29" s="85">
        <f t="shared" si="35"/>
        <v>1311428.5714285714</v>
      </c>
      <c r="AI29" s="86">
        <f t="shared" si="22"/>
        <v>1311428.5714285714</v>
      </c>
      <c r="AJ29" s="85"/>
      <c r="AK29" s="85"/>
      <c r="AL29" s="85"/>
      <c r="AM29" s="85"/>
      <c r="AN29" s="85"/>
      <c r="AO29" s="85"/>
      <c r="AP29" s="85"/>
      <c r="AQ29" s="85"/>
      <c r="AR29" s="85"/>
      <c r="AS29" s="85"/>
      <c r="AT29" s="85"/>
      <c r="AU29" s="85">
        <f>AH29*(1+$AJ$13)</f>
        <v>1377000</v>
      </c>
      <c r="AV29" s="85">
        <f t="shared" si="25"/>
        <v>1377000</v>
      </c>
      <c r="AW29" s="87"/>
      <c r="AX29" s="88"/>
      <c r="AY29" s="88"/>
    </row>
    <row r="30" spans="1:51">
      <c r="A30" s="79" t="s">
        <v>3001</v>
      </c>
      <c r="B30" s="80" t="s">
        <v>2111</v>
      </c>
      <c r="C30" s="91" t="s">
        <v>3020</v>
      </c>
      <c r="D30" s="80" t="s">
        <v>3015</v>
      </c>
      <c r="E30" s="80"/>
      <c r="F30" s="82">
        <f>30000</f>
        <v>30000</v>
      </c>
      <c r="G30" s="82"/>
      <c r="H30" s="82" t="s">
        <v>2684</v>
      </c>
      <c r="I30" s="83">
        <f>'[90]Bonus 2026'!$G$24*汇总!$D$30</f>
        <v>0.33333333333333326</v>
      </c>
      <c r="J30" s="82"/>
      <c r="K30" s="84">
        <v>1</v>
      </c>
      <c r="L30" s="84">
        <v>1</v>
      </c>
      <c r="M30" s="84">
        <v>1</v>
      </c>
      <c r="N30" s="84">
        <v>1</v>
      </c>
      <c r="O30" s="84">
        <v>1</v>
      </c>
      <c r="P30" s="84">
        <v>1</v>
      </c>
      <c r="Q30" s="84">
        <v>1</v>
      </c>
      <c r="R30" s="84">
        <v>1</v>
      </c>
      <c r="S30" s="84">
        <v>1</v>
      </c>
      <c r="T30" s="84">
        <v>1</v>
      </c>
      <c r="U30" s="84">
        <v>1</v>
      </c>
      <c r="V30" s="84">
        <v>1</v>
      </c>
      <c r="W30" s="90">
        <f t="shared" si="34"/>
        <v>30000</v>
      </c>
      <c r="X30" s="90">
        <f t="shared" si="34"/>
        <v>30000</v>
      </c>
      <c r="Y30" s="90">
        <f t="shared" si="34"/>
        <v>30000</v>
      </c>
      <c r="Z30" s="85">
        <f t="shared" ref="Z30:AH30" si="36">$F30*(1+$I30)*N30</f>
        <v>40000</v>
      </c>
      <c r="AA30" s="85">
        <f t="shared" si="36"/>
        <v>40000</v>
      </c>
      <c r="AB30" s="85">
        <f t="shared" si="36"/>
        <v>40000</v>
      </c>
      <c r="AC30" s="85">
        <f t="shared" si="36"/>
        <v>40000</v>
      </c>
      <c r="AD30" s="85">
        <f t="shared" si="36"/>
        <v>40000</v>
      </c>
      <c r="AE30" s="85">
        <f t="shared" si="36"/>
        <v>40000</v>
      </c>
      <c r="AF30" s="85">
        <f t="shared" si="36"/>
        <v>40000</v>
      </c>
      <c r="AG30" s="85">
        <f t="shared" si="36"/>
        <v>40000</v>
      </c>
      <c r="AH30" s="85">
        <f t="shared" si="36"/>
        <v>40000</v>
      </c>
      <c r="AI30" s="86">
        <f t="shared" si="22"/>
        <v>450000</v>
      </c>
      <c r="AJ30" s="85">
        <f t="shared" si="23"/>
        <v>42000</v>
      </c>
      <c r="AK30" s="85">
        <f t="shared" ref="AK30:AU30" si="37">AJ30</f>
        <v>42000</v>
      </c>
      <c r="AL30" s="85">
        <f t="shared" si="37"/>
        <v>42000</v>
      </c>
      <c r="AM30" s="85">
        <f t="shared" si="37"/>
        <v>42000</v>
      </c>
      <c r="AN30" s="85">
        <f t="shared" si="37"/>
        <v>42000</v>
      </c>
      <c r="AO30" s="85">
        <f t="shared" si="37"/>
        <v>42000</v>
      </c>
      <c r="AP30" s="85">
        <f t="shared" si="37"/>
        <v>42000</v>
      </c>
      <c r="AQ30" s="85">
        <f t="shared" si="37"/>
        <v>42000</v>
      </c>
      <c r="AR30" s="85">
        <f t="shared" si="37"/>
        <v>42000</v>
      </c>
      <c r="AS30" s="85">
        <f t="shared" si="37"/>
        <v>42000</v>
      </c>
      <c r="AT30" s="85">
        <f t="shared" si="37"/>
        <v>42000</v>
      </c>
      <c r="AU30" s="85">
        <f t="shared" si="37"/>
        <v>42000</v>
      </c>
      <c r="AV30" s="85">
        <f t="shared" si="25"/>
        <v>504000</v>
      </c>
      <c r="AW30" s="87"/>
      <c r="AX30" s="88"/>
      <c r="AY30" s="88"/>
    </row>
    <row r="31" spans="1:51">
      <c r="A31" s="79" t="s">
        <v>3001</v>
      </c>
      <c r="B31" s="80" t="s">
        <v>2111</v>
      </c>
      <c r="C31" s="91" t="s">
        <v>3020</v>
      </c>
      <c r="D31" s="80" t="s">
        <v>3015</v>
      </c>
      <c r="E31" s="80"/>
      <c r="F31" s="82">
        <v>50000</v>
      </c>
      <c r="G31" s="82"/>
      <c r="H31" s="82" t="s">
        <v>2685</v>
      </c>
      <c r="I31" s="83">
        <v>0</v>
      </c>
      <c r="J31" s="82"/>
      <c r="K31" s="84">
        <v>1</v>
      </c>
      <c r="L31" s="84">
        <v>1</v>
      </c>
      <c r="M31" s="84">
        <v>1</v>
      </c>
      <c r="N31" s="84">
        <v>1</v>
      </c>
      <c r="O31" s="84">
        <v>1</v>
      </c>
      <c r="P31" s="84">
        <v>1</v>
      </c>
      <c r="Q31" s="84">
        <v>1</v>
      </c>
      <c r="R31" s="84">
        <v>1</v>
      </c>
      <c r="S31" s="84">
        <v>1</v>
      </c>
      <c r="T31" s="84">
        <v>1</v>
      </c>
      <c r="U31" s="84">
        <v>1</v>
      </c>
      <c r="V31" s="84">
        <v>1</v>
      </c>
      <c r="W31" s="85">
        <f t="shared" ref="W31:Y38" si="38">$F31*(1+$I31)*K31</f>
        <v>50000</v>
      </c>
      <c r="X31" s="85">
        <f t="shared" ref="X31:AH38" si="39">$F31*(1+$I31)*L31</f>
        <v>50000</v>
      </c>
      <c r="Y31" s="85">
        <f t="shared" si="39"/>
        <v>50000</v>
      </c>
      <c r="Z31" s="85">
        <f t="shared" si="39"/>
        <v>50000</v>
      </c>
      <c r="AA31" s="85">
        <f t="shared" si="39"/>
        <v>50000</v>
      </c>
      <c r="AB31" s="85">
        <f t="shared" si="39"/>
        <v>50000</v>
      </c>
      <c r="AC31" s="85">
        <f t="shared" si="39"/>
        <v>50000</v>
      </c>
      <c r="AD31" s="85">
        <f t="shared" si="39"/>
        <v>50000</v>
      </c>
      <c r="AE31" s="85">
        <f t="shared" si="39"/>
        <v>50000</v>
      </c>
      <c r="AF31" s="85">
        <f t="shared" si="39"/>
        <v>50000</v>
      </c>
      <c r="AG31" s="85">
        <f t="shared" si="39"/>
        <v>50000</v>
      </c>
      <c r="AH31" s="85">
        <f t="shared" si="39"/>
        <v>50000</v>
      </c>
      <c r="AI31" s="86">
        <f t="shared" si="22"/>
        <v>600000</v>
      </c>
      <c r="AJ31" s="85">
        <f t="shared" si="23"/>
        <v>52500</v>
      </c>
      <c r="AK31" s="85">
        <f t="shared" ref="AK31:AU31" si="40">AJ31</f>
        <v>52500</v>
      </c>
      <c r="AL31" s="85">
        <f t="shared" si="40"/>
        <v>52500</v>
      </c>
      <c r="AM31" s="85">
        <f t="shared" si="40"/>
        <v>52500</v>
      </c>
      <c r="AN31" s="85">
        <f t="shared" si="40"/>
        <v>52500</v>
      </c>
      <c r="AO31" s="85">
        <f t="shared" si="40"/>
        <v>52500</v>
      </c>
      <c r="AP31" s="85">
        <f t="shared" si="40"/>
        <v>52500</v>
      </c>
      <c r="AQ31" s="85">
        <f t="shared" si="40"/>
        <v>52500</v>
      </c>
      <c r="AR31" s="85">
        <f t="shared" si="40"/>
        <v>52500</v>
      </c>
      <c r="AS31" s="85">
        <f t="shared" si="40"/>
        <v>52500</v>
      </c>
      <c r="AT31" s="85">
        <f t="shared" si="40"/>
        <v>52500</v>
      </c>
      <c r="AU31" s="85">
        <f t="shared" si="40"/>
        <v>52500</v>
      </c>
      <c r="AV31" s="85">
        <f t="shared" si="25"/>
        <v>630000</v>
      </c>
      <c r="AW31" s="87"/>
      <c r="AX31" s="88"/>
      <c r="AY31" s="88"/>
    </row>
    <row r="32" spans="1:51">
      <c r="A32" s="79" t="s">
        <v>3001</v>
      </c>
      <c r="B32" s="80" t="s">
        <v>2111</v>
      </c>
      <c r="C32" s="91" t="s">
        <v>3022</v>
      </c>
      <c r="D32" s="80" t="s">
        <v>3015</v>
      </c>
      <c r="E32" s="80"/>
      <c r="F32" s="82">
        <v>90000</v>
      </c>
      <c r="G32" s="82" t="s">
        <v>3021</v>
      </c>
      <c r="H32" s="82" t="s">
        <v>2686</v>
      </c>
      <c r="I32" s="83">
        <v>0</v>
      </c>
      <c r="J32" s="82"/>
      <c r="K32" s="84">
        <f>汇总!$D$26</f>
        <v>0</v>
      </c>
      <c r="L32" s="84">
        <f>汇总!$D$26</f>
        <v>0</v>
      </c>
      <c r="M32" s="84">
        <f>汇总!$D$26</f>
        <v>0</v>
      </c>
      <c r="N32" s="84">
        <f>汇总!$D$26</f>
        <v>0</v>
      </c>
      <c r="O32" s="84">
        <f>汇总!$D$26</f>
        <v>0</v>
      </c>
      <c r="P32" s="84">
        <f>汇总!$D$26</f>
        <v>0</v>
      </c>
      <c r="Q32" s="84">
        <f>汇总!$D$26</f>
        <v>0</v>
      </c>
      <c r="R32" s="84">
        <f>汇总!$D$26</f>
        <v>0</v>
      </c>
      <c r="S32" s="84">
        <f>汇总!$D$26</f>
        <v>0</v>
      </c>
      <c r="T32" s="84">
        <f>汇总!$D$26</f>
        <v>0</v>
      </c>
      <c r="U32" s="84">
        <f>汇总!$D$26</f>
        <v>0</v>
      </c>
      <c r="V32" s="84">
        <f>汇总!$D$26</f>
        <v>0</v>
      </c>
      <c r="W32" s="85">
        <f t="shared" si="38"/>
        <v>0</v>
      </c>
      <c r="X32" s="85">
        <f t="shared" si="38"/>
        <v>0</v>
      </c>
      <c r="Y32" s="85">
        <f t="shared" si="39"/>
        <v>0</v>
      </c>
      <c r="Z32" s="85">
        <f t="shared" si="39"/>
        <v>0</v>
      </c>
      <c r="AA32" s="85">
        <f t="shared" si="39"/>
        <v>0</v>
      </c>
      <c r="AB32" s="85">
        <f t="shared" si="39"/>
        <v>0</v>
      </c>
      <c r="AC32" s="85">
        <f t="shared" si="39"/>
        <v>0</v>
      </c>
      <c r="AD32" s="85">
        <f t="shared" si="39"/>
        <v>0</v>
      </c>
      <c r="AE32" s="85">
        <f t="shared" si="39"/>
        <v>0</v>
      </c>
      <c r="AF32" s="85">
        <f t="shared" ref="AF32:AH32" si="41">$F32*(1+$I32)*T32</f>
        <v>0</v>
      </c>
      <c r="AG32" s="85">
        <f t="shared" si="41"/>
        <v>0</v>
      </c>
      <c r="AH32" s="85">
        <f t="shared" si="41"/>
        <v>0</v>
      </c>
      <c r="AI32" s="86">
        <f t="shared" si="22"/>
        <v>0</v>
      </c>
      <c r="AJ32" s="85">
        <f t="shared" si="23"/>
        <v>0</v>
      </c>
      <c r="AK32" s="85">
        <f t="shared" ref="AK32:AU32" si="42">AJ32</f>
        <v>0</v>
      </c>
      <c r="AL32" s="85">
        <f t="shared" si="42"/>
        <v>0</v>
      </c>
      <c r="AM32" s="85">
        <f t="shared" si="42"/>
        <v>0</v>
      </c>
      <c r="AN32" s="85">
        <f t="shared" si="42"/>
        <v>0</v>
      </c>
      <c r="AO32" s="85">
        <f t="shared" si="42"/>
        <v>0</v>
      </c>
      <c r="AP32" s="85">
        <f t="shared" si="42"/>
        <v>0</v>
      </c>
      <c r="AQ32" s="85">
        <f t="shared" si="42"/>
        <v>0</v>
      </c>
      <c r="AR32" s="85">
        <f t="shared" si="42"/>
        <v>0</v>
      </c>
      <c r="AS32" s="85">
        <f t="shared" si="42"/>
        <v>0</v>
      </c>
      <c r="AT32" s="85">
        <f t="shared" si="42"/>
        <v>0</v>
      </c>
      <c r="AU32" s="85">
        <f t="shared" si="42"/>
        <v>0</v>
      </c>
      <c r="AV32" s="85">
        <f t="shared" si="25"/>
        <v>0</v>
      </c>
      <c r="AW32" s="87"/>
      <c r="AX32" s="88"/>
      <c r="AY32" s="88"/>
    </row>
    <row r="33" spans="1:51" s="15" customFormat="1">
      <c r="A33" s="79" t="s">
        <v>3001</v>
      </c>
      <c r="B33" s="80" t="s">
        <v>2242</v>
      </c>
      <c r="C33" s="80" t="s">
        <v>3014</v>
      </c>
      <c r="D33" s="80" t="s">
        <v>3015</v>
      </c>
      <c r="E33" s="80"/>
      <c r="F33" s="92">
        <f>VLOOKUP($H33,汇总!$C$7:$D$18,2,FALSE)</f>
        <v>35000</v>
      </c>
      <c r="G33" s="81"/>
      <c r="H33" s="90" t="s">
        <v>2045</v>
      </c>
      <c r="I33" s="83">
        <v>0</v>
      </c>
      <c r="J33" s="82"/>
      <c r="K33" s="84">
        <f>IF(K$15&lt;汇总!$E7,0,1)</f>
        <v>0</v>
      </c>
      <c r="L33" s="84">
        <f>IF(L$15&lt;汇总!$E7,0,1)</f>
        <v>0</v>
      </c>
      <c r="M33" s="84">
        <f>IF(M$15&lt;汇总!$E7,0,1)</f>
        <v>0</v>
      </c>
      <c r="N33" s="84">
        <f>IF(N$15&lt;汇总!$E7,0,1)</f>
        <v>1</v>
      </c>
      <c r="O33" s="84">
        <f>IF(O$15&lt;汇总!$E7,0,1)</f>
        <v>1</v>
      </c>
      <c r="P33" s="84">
        <f>IF(P$15&lt;汇总!$E7,0,1)</f>
        <v>1</v>
      </c>
      <c r="Q33" s="84">
        <f>IF(Q$15&lt;汇总!$E7,0,1)</f>
        <v>1</v>
      </c>
      <c r="R33" s="84">
        <f>IF(R$15&lt;汇总!$E7,0,1)</f>
        <v>1</v>
      </c>
      <c r="S33" s="84">
        <f>IF(S$15&lt;汇总!$E7,0,1)</f>
        <v>1</v>
      </c>
      <c r="T33" s="84">
        <f>IF(T$15&lt;汇总!$E7,0,1)</f>
        <v>1</v>
      </c>
      <c r="U33" s="84">
        <f>IF(U$15&lt;汇总!$E7,0,1)</f>
        <v>1</v>
      </c>
      <c r="V33" s="84">
        <f>IF(V$15&lt;汇总!$E7,0,1)</f>
        <v>1</v>
      </c>
      <c r="W33" s="85">
        <f t="shared" si="38"/>
        <v>0</v>
      </c>
      <c r="X33" s="85">
        <f t="shared" si="38"/>
        <v>0</v>
      </c>
      <c r="Y33" s="85">
        <f t="shared" si="38"/>
        <v>0</v>
      </c>
      <c r="Z33" s="85">
        <f t="shared" si="39"/>
        <v>35000</v>
      </c>
      <c r="AA33" s="85">
        <f t="shared" si="39"/>
        <v>35000</v>
      </c>
      <c r="AB33" s="85">
        <f t="shared" si="39"/>
        <v>35000</v>
      </c>
      <c r="AC33" s="85">
        <f t="shared" si="39"/>
        <v>35000</v>
      </c>
      <c r="AD33" s="85">
        <f t="shared" si="39"/>
        <v>35000</v>
      </c>
      <c r="AE33" s="85">
        <f t="shared" si="39"/>
        <v>35000</v>
      </c>
      <c r="AF33" s="85">
        <f t="shared" ref="AF33:AH33" si="43">$F33*(1+$I33)*T33</f>
        <v>35000</v>
      </c>
      <c r="AG33" s="85">
        <f t="shared" si="43"/>
        <v>35000</v>
      </c>
      <c r="AH33" s="85">
        <f t="shared" si="43"/>
        <v>35000</v>
      </c>
      <c r="AI33" s="86">
        <f t="shared" si="22"/>
        <v>315000</v>
      </c>
      <c r="AJ33" s="85">
        <f t="shared" si="23"/>
        <v>36750</v>
      </c>
      <c r="AK33" s="85">
        <f t="shared" ref="AK33:AU33" si="44">AJ33</f>
        <v>36750</v>
      </c>
      <c r="AL33" s="85">
        <f t="shared" si="44"/>
        <v>36750</v>
      </c>
      <c r="AM33" s="85">
        <f t="shared" si="44"/>
        <v>36750</v>
      </c>
      <c r="AN33" s="85">
        <f t="shared" si="44"/>
        <v>36750</v>
      </c>
      <c r="AO33" s="85">
        <f t="shared" si="44"/>
        <v>36750</v>
      </c>
      <c r="AP33" s="85">
        <f t="shared" si="44"/>
        <v>36750</v>
      </c>
      <c r="AQ33" s="85">
        <f t="shared" si="44"/>
        <v>36750</v>
      </c>
      <c r="AR33" s="85">
        <f t="shared" si="44"/>
        <v>36750</v>
      </c>
      <c r="AS33" s="85">
        <f t="shared" si="44"/>
        <v>36750</v>
      </c>
      <c r="AT33" s="85">
        <f t="shared" si="44"/>
        <v>36750</v>
      </c>
      <c r="AU33" s="85">
        <f t="shared" si="44"/>
        <v>36750</v>
      </c>
      <c r="AV33" s="85">
        <f t="shared" si="25"/>
        <v>441000</v>
      </c>
      <c r="AW33" s="87"/>
      <c r="AX33" s="88"/>
      <c r="AY33" s="88"/>
    </row>
    <row r="34" spans="1:51" s="15" customFormat="1">
      <c r="A34" s="79" t="s">
        <v>3001</v>
      </c>
      <c r="B34" s="80" t="s">
        <v>2111</v>
      </c>
      <c r="C34" s="80" t="s">
        <v>3014</v>
      </c>
      <c r="D34" s="80" t="s">
        <v>3015</v>
      </c>
      <c r="E34" s="80"/>
      <c r="F34" s="92">
        <f>VLOOKUP($H34,汇总!$C$7:$D$18,2,FALSE)</f>
        <v>33000</v>
      </c>
      <c r="G34" s="81"/>
      <c r="H34" s="90" t="s">
        <v>2047</v>
      </c>
      <c r="I34" s="83">
        <v>0</v>
      </c>
      <c r="J34" s="82"/>
      <c r="K34" s="84">
        <f>IF(K$15&lt;汇总!$E8,0,1)</f>
        <v>0</v>
      </c>
      <c r="L34" s="84">
        <f>IF(L$15&lt;汇总!$E8,0,1)</f>
        <v>1</v>
      </c>
      <c r="M34" s="84">
        <f>IF(M$15&lt;汇总!$E8,0,1)</f>
        <v>1</v>
      </c>
      <c r="N34" s="84">
        <f>IF(N$15&lt;汇总!$E8,0,1)</f>
        <v>1</v>
      </c>
      <c r="O34" s="84">
        <f>IF(O$15&lt;汇总!$E8,0,1)</f>
        <v>1</v>
      </c>
      <c r="P34" s="84">
        <f>IF(P$15&lt;汇总!$E8,0,1)</f>
        <v>1</v>
      </c>
      <c r="Q34" s="84">
        <f>IF(Q$15&lt;汇总!$E8,0,1)</f>
        <v>1</v>
      </c>
      <c r="R34" s="84">
        <f>IF(R$15&lt;汇总!$E8,0,1)</f>
        <v>1</v>
      </c>
      <c r="S34" s="84">
        <f>IF(S$15&lt;汇总!$E8,0,1)</f>
        <v>1</v>
      </c>
      <c r="T34" s="84">
        <f>IF(T$15&lt;汇总!$E8,0,1)</f>
        <v>1</v>
      </c>
      <c r="U34" s="84">
        <f>IF(U$15&lt;汇总!$E8,0,1)</f>
        <v>1</v>
      </c>
      <c r="V34" s="84">
        <f>IF(V$15&lt;汇总!$E8,0,1)</f>
        <v>1</v>
      </c>
      <c r="W34" s="85">
        <f t="shared" si="38"/>
        <v>0</v>
      </c>
      <c r="X34" s="85">
        <f t="shared" si="38"/>
        <v>33000</v>
      </c>
      <c r="Y34" s="85">
        <f t="shared" si="39"/>
        <v>33000</v>
      </c>
      <c r="Z34" s="85">
        <f t="shared" si="39"/>
        <v>33000</v>
      </c>
      <c r="AA34" s="85">
        <f t="shared" si="39"/>
        <v>33000</v>
      </c>
      <c r="AB34" s="85">
        <f t="shared" si="39"/>
        <v>33000</v>
      </c>
      <c r="AC34" s="85">
        <f t="shared" si="39"/>
        <v>33000</v>
      </c>
      <c r="AD34" s="85">
        <f t="shared" si="39"/>
        <v>33000</v>
      </c>
      <c r="AE34" s="85">
        <f t="shared" si="39"/>
        <v>33000</v>
      </c>
      <c r="AF34" s="85">
        <f t="shared" ref="AF34:AH34" si="45">$F34*(1+$I34)*T34</f>
        <v>33000</v>
      </c>
      <c r="AG34" s="85">
        <f t="shared" si="45"/>
        <v>33000</v>
      </c>
      <c r="AH34" s="85">
        <f t="shared" si="45"/>
        <v>33000</v>
      </c>
      <c r="AI34" s="86">
        <f t="shared" si="22"/>
        <v>363000</v>
      </c>
      <c r="AJ34" s="85">
        <f t="shared" si="23"/>
        <v>34650</v>
      </c>
      <c r="AK34" s="85">
        <f t="shared" ref="AK34:AU34" si="46">AJ34</f>
        <v>34650</v>
      </c>
      <c r="AL34" s="85">
        <f t="shared" si="46"/>
        <v>34650</v>
      </c>
      <c r="AM34" s="85">
        <f t="shared" si="46"/>
        <v>34650</v>
      </c>
      <c r="AN34" s="85">
        <f t="shared" si="46"/>
        <v>34650</v>
      </c>
      <c r="AO34" s="85">
        <f t="shared" si="46"/>
        <v>34650</v>
      </c>
      <c r="AP34" s="85">
        <f t="shared" si="46"/>
        <v>34650</v>
      </c>
      <c r="AQ34" s="85">
        <f t="shared" si="46"/>
        <v>34650</v>
      </c>
      <c r="AR34" s="85">
        <f t="shared" si="46"/>
        <v>34650</v>
      </c>
      <c r="AS34" s="85">
        <f t="shared" si="46"/>
        <v>34650</v>
      </c>
      <c r="AT34" s="85">
        <f t="shared" si="46"/>
        <v>34650</v>
      </c>
      <c r="AU34" s="85">
        <f t="shared" si="46"/>
        <v>34650</v>
      </c>
      <c r="AV34" s="85">
        <f t="shared" si="25"/>
        <v>415800</v>
      </c>
      <c r="AW34" s="87"/>
      <c r="AX34" s="88"/>
      <c r="AY34" s="88"/>
    </row>
    <row r="35" spans="1:51" s="15" customFormat="1">
      <c r="A35" s="79" t="s">
        <v>3001</v>
      </c>
      <c r="B35" s="80" t="s">
        <v>2111</v>
      </c>
      <c r="C35" s="80" t="s">
        <v>3014</v>
      </c>
      <c r="D35" s="80" t="s">
        <v>3015</v>
      </c>
      <c r="E35" s="80"/>
      <c r="F35" s="92">
        <f>VLOOKUP($H35,汇总!$C$7:$D$18,2,FALSE)</f>
        <v>60000</v>
      </c>
      <c r="G35" s="81"/>
      <c r="H35" s="90" t="s">
        <v>2048</v>
      </c>
      <c r="I35" s="83">
        <v>0</v>
      </c>
      <c r="J35" s="82"/>
      <c r="K35" s="84">
        <f>IF(K$15&lt;汇总!$E9,0,1)</f>
        <v>0</v>
      </c>
      <c r="L35" s="84">
        <f>IF(L$15&lt;汇总!$E9,0,1)</f>
        <v>0</v>
      </c>
      <c r="M35" s="84">
        <f>IF(M$15&lt;汇总!$E9,0,1)</f>
        <v>0</v>
      </c>
      <c r="N35" s="84">
        <f>IF(N$15&lt;汇总!$E9,0,1)</f>
        <v>0</v>
      </c>
      <c r="O35" s="84">
        <f>IF(O$15&lt;汇总!$E9,0,1)</f>
        <v>1</v>
      </c>
      <c r="P35" s="84">
        <f>IF(P$15&lt;汇总!$E9,0,1)</f>
        <v>1</v>
      </c>
      <c r="Q35" s="84">
        <f>IF(Q$15&lt;汇总!$E9,0,1)</f>
        <v>1</v>
      </c>
      <c r="R35" s="84">
        <f>IF(R$15&lt;汇总!$E9,0,1)</f>
        <v>1</v>
      </c>
      <c r="S35" s="84">
        <f>IF(S$15&lt;汇总!$E9,0,1)</f>
        <v>1</v>
      </c>
      <c r="T35" s="84">
        <f>IF(T$15&lt;汇总!$E9,0,1)</f>
        <v>1</v>
      </c>
      <c r="U35" s="84">
        <f>IF(U$15&lt;汇总!$E9,0,1)</f>
        <v>1</v>
      </c>
      <c r="V35" s="84">
        <f>IF(V$15&lt;汇总!$E9,0,1)</f>
        <v>1</v>
      </c>
      <c r="W35" s="85">
        <f t="shared" si="38"/>
        <v>0</v>
      </c>
      <c r="X35" s="85">
        <f t="shared" si="38"/>
        <v>0</v>
      </c>
      <c r="Y35" s="85">
        <f t="shared" si="39"/>
        <v>0</v>
      </c>
      <c r="Z35" s="85">
        <f t="shared" si="39"/>
        <v>0</v>
      </c>
      <c r="AA35" s="85">
        <f t="shared" si="39"/>
        <v>60000</v>
      </c>
      <c r="AB35" s="85">
        <f t="shared" si="39"/>
        <v>60000</v>
      </c>
      <c r="AC35" s="85">
        <f t="shared" si="39"/>
        <v>60000</v>
      </c>
      <c r="AD35" s="85">
        <f t="shared" si="39"/>
        <v>60000</v>
      </c>
      <c r="AE35" s="85">
        <f t="shared" si="39"/>
        <v>60000</v>
      </c>
      <c r="AF35" s="85">
        <f t="shared" ref="AF35:AH35" si="47">$F35*(1+$I35)*T35</f>
        <v>60000</v>
      </c>
      <c r="AG35" s="85">
        <f t="shared" si="47"/>
        <v>60000</v>
      </c>
      <c r="AH35" s="85">
        <f t="shared" si="47"/>
        <v>60000</v>
      </c>
      <c r="AI35" s="86">
        <f t="shared" si="22"/>
        <v>480000</v>
      </c>
      <c r="AJ35" s="85">
        <f t="shared" ref="AJ35:AJ38" si="48">AH35*(1+$AJ$13)</f>
        <v>63000</v>
      </c>
      <c r="AK35" s="85">
        <f t="shared" ref="AK35:AK38" si="49">AJ35</f>
        <v>63000</v>
      </c>
      <c r="AL35" s="85">
        <f t="shared" ref="AL35:AL38" si="50">AK35</f>
        <v>63000</v>
      </c>
      <c r="AM35" s="85">
        <f t="shared" ref="AM35:AM38" si="51">AL35</f>
        <v>63000</v>
      </c>
      <c r="AN35" s="85">
        <f t="shared" ref="AN35:AN38" si="52">AM35</f>
        <v>63000</v>
      </c>
      <c r="AO35" s="85">
        <f t="shared" ref="AO35:AO38" si="53">AN35</f>
        <v>63000</v>
      </c>
      <c r="AP35" s="85">
        <f t="shared" ref="AP35:AP38" si="54">AO35</f>
        <v>63000</v>
      </c>
      <c r="AQ35" s="85">
        <f t="shared" ref="AQ35:AQ38" si="55">AP35</f>
        <v>63000</v>
      </c>
      <c r="AR35" s="85">
        <f t="shared" ref="AR35:AR38" si="56">AQ35</f>
        <v>63000</v>
      </c>
      <c r="AS35" s="85">
        <f t="shared" ref="AS35:AS38" si="57">AR35</f>
        <v>63000</v>
      </c>
      <c r="AT35" s="85">
        <f t="shared" ref="AT35:AT38" si="58">AS35</f>
        <v>63000</v>
      </c>
      <c r="AU35" s="85">
        <f t="shared" ref="AU35:AU38" si="59">AT35</f>
        <v>63000</v>
      </c>
      <c r="AV35" s="85">
        <f t="shared" ref="AV35:AV38" si="60">SUM(AJ35:AU35)</f>
        <v>756000</v>
      </c>
      <c r="AW35" s="87"/>
      <c r="AX35" s="88"/>
      <c r="AY35" s="88"/>
    </row>
    <row r="36" spans="1:51" s="15" customFormat="1">
      <c r="A36" s="79" t="s">
        <v>3001</v>
      </c>
      <c r="B36" s="80" t="s">
        <v>2111</v>
      </c>
      <c r="C36" s="80" t="s">
        <v>3014</v>
      </c>
      <c r="D36" s="80" t="s">
        <v>3015</v>
      </c>
      <c r="E36" s="80"/>
      <c r="F36" s="92">
        <f>VLOOKUP($H36,汇总!$C$7:$D$18,2,FALSE)</f>
        <v>26000</v>
      </c>
      <c r="G36" s="81"/>
      <c r="H36" s="90" t="s">
        <v>2049</v>
      </c>
      <c r="I36" s="83">
        <v>0</v>
      </c>
      <c r="J36" s="82"/>
      <c r="K36" s="84">
        <f>IF(K$15&lt;汇总!$E10,0,1)</f>
        <v>0</v>
      </c>
      <c r="L36" s="84">
        <f>IF(L$15&lt;汇总!$E10,0,1)</f>
        <v>0</v>
      </c>
      <c r="M36" s="84">
        <f>IF(M$15&lt;汇总!$E10,0,1)</f>
        <v>0</v>
      </c>
      <c r="N36" s="84">
        <f>IF(N$15&lt;汇总!$E10,0,1)</f>
        <v>0</v>
      </c>
      <c r="O36" s="84">
        <f>IF(O$15&lt;汇总!$E10,0,1)</f>
        <v>1</v>
      </c>
      <c r="P36" s="84">
        <f>IF(P$15&lt;汇总!$E10,0,1)</f>
        <v>1</v>
      </c>
      <c r="Q36" s="84">
        <f>IF(Q$15&lt;汇总!$E10,0,1)</f>
        <v>1</v>
      </c>
      <c r="R36" s="84">
        <f>IF(R$15&lt;汇总!$E10,0,1)</f>
        <v>1</v>
      </c>
      <c r="S36" s="84">
        <f>IF(S$15&lt;汇总!$E10,0,1)</f>
        <v>1</v>
      </c>
      <c r="T36" s="84">
        <f>IF(T$15&lt;汇总!$E10,0,1)</f>
        <v>1</v>
      </c>
      <c r="U36" s="84">
        <f>IF(U$15&lt;汇总!$E10,0,1)</f>
        <v>1</v>
      </c>
      <c r="V36" s="84">
        <f>IF(V$15&lt;汇总!$E10,0,1)</f>
        <v>1</v>
      </c>
      <c r="W36" s="85">
        <f t="shared" si="38"/>
        <v>0</v>
      </c>
      <c r="X36" s="85">
        <f t="shared" si="38"/>
        <v>0</v>
      </c>
      <c r="Y36" s="85">
        <f t="shared" si="39"/>
        <v>0</v>
      </c>
      <c r="Z36" s="85">
        <f t="shared" si="39"/>
        <v>0</v>
      </c>
      <c r="AA36" s="85">
        <f t="shared" si="39"/>
        <v>26000</v>
      </c>
      <c r="AB36" s="85">
        <f t="shared" si="39"/>
        <v>26000</v>
      </c>
      <c r="AC36" s="85">
        <f t="shared" si="39"/>
        <v>26000</v>
      </c>
      <c r="AD36" s="85">
        <f t="shared" si="39"/>
        <v>26000</v>
      </c>
      <c r="AE36" s="85">
        <f t="shared" si="39"/>
        <v>26000</v>
      </c>
      <c r="AF36" s="85">
        <f t="shared" ref="AF36:AH36" si="61">$F36*(1+$I36)*T36</f>
        <v>26000</v>
      </c>
      <c r="AG36" s="85">
        <f t="shared" si="61"/>
        <v>26000</v>
      </c>
      <c r="AH36" s="85">
        <f t="shared" si="61"/>
        <v>26000</v>
      </c>
      <c r="AI36" s="86">
        <f t="shared" si="22"/>
        <v>208000</v>
      </c>
      <c r="AJ36" s="85">
        <f t="shared" si="48"/>
        <v>27300</v>
      </c>
      <c r="AK36" s="85">
        <f t="shared" si="49"/>
        <v>27300</v>
      </c>
      <c r="AL36" s="85">
        <f t="shared" si="50"/>
        <v>27300</v>
      </c>
      <c r="AM36" s="85">
        <f t="shared" si="51"/>
        <v>27300</v>
      </c>
      <c r="AN36" s="85">
        <f t="shared" si="52"/>
        <v>27300</v>
      </c>
      <c r="AO36" s="85">
        <f t="shared" si="53"/>
        <v>27300</v>
      </c>
      <c r="AP36" s="85">
        <f t="shared" si="54"/>
        <v>27300</v>
      </c>
      <c r="AQ36" s="85">
        <f t="shared" si="55"/>
        <v>27300</v>
      </c>
      <c r="AR36" s="85">
        <f t="shared" si="56"/>
        <v>27300</v>
      </c>
      <c r="AS36" s="85">
        <f t="shared" si="57"/>
        <v>27300</v>
      </c>
      <c r="AT36" s="85">
        <f t="shared" si="58"/>
        <v>27300</v>
      </c>
      <c r="AU36" s="85">
        <f t="shared" si="59"/>
        <v>27300</v>
      </c>
      <c r="AV36" s="85">
        <f t="shared" si="60"/>
        <v>327600</v>
      </c>
      <c r="AW36" s="87"/>
      <c r="AX36" s="88"/>
      <c r="AY36" s="88"/>
    </row>
    <row r="37" spans="1:51">
      <c r="A37" s="79" t="s">
        <v>3001</v>
      </c>
      <c r="B37" s="80" t="s">
        <v>2111</v>
      </c>
      <c r="C37" s="80" t="s">
        <v>3014</v>
      </c>
      <c r="D37" s="80" t="s">
        <v>3015</v>
      </c>
      <c r="E37" s="80"/>
      <c r="F37" s="92">
        <f>VLOOKUP($H37,汇总!$C$7:$D$18,2,FALSE)</f>
        <v>17000</v>
      </c>
      <c r="G37" s="82"/>
      <c r="H37" s="90" t="s">
        <v>2050</v>
      </c>
      <c r="I37" s="83">
        <v>0</v>
      </c>
      <c r="J37" s="82"/>
      <c r="K37" s="84">
        <f>IF(K$15&lt;汇总!$E11,0,1)</f>
        <v>0</v>
      </c>
      <c r="L37" s="84">
        <f>IF(L$15&lt;汇总!$E11,0,1)</f>
        <v>0</v>
      </c>
      <c r="M37" s="84">
        <f>IF(M$15&lt;汇总!$E11,0,1)</f>
        <v>0</v>
      </c>
      <c r="N37" s="84">
        <f>IF(N$15&lt;汇总!$E11,0,1)</f>
        <v>0</v>
      </c>
      <c r="O37" s="84">
        <f>IF(O$15&lt;汇总!$E11,0,1)</f>
        <v>0</v>
      </c>
      <c r="P37" s="84">
        <f>IF(P$15&lt;汇总!$E11,0,1)</f>
        <v>0</v>
      </c>
      <c r="Q37" s="84">
        <f>IF(Q$15&lt;汇总!$E11,0,1)</f>
        <v>0</v>
      </c>
      <c r="R37" s="84">
        <f>IF(R$15&lt;汇总!$E11,0,1)</f>
        <v>1</v>
      </c>
      <c r="S37" s="84">
        <f>IF(S$15&lt;汇总!$E11,0,1)</f>
        <v>1</v>
      </c>
      <c r="T37" s="84">
        <f>IF(T$15&lt;汇总!$E11,0,1)</f>
        <v>1</v>
      </c>
      <c r="U37" s="84">
        <f>IF(U$15&lt;汇总!$E11,0,1)</f>
        <v>1</v>
      </c>
      <c r="V37" s="84">
        <f>IF(V$15&lt;汇总!$E11,0,1)</f>
        <v>1</v>
      </c>
      <c r="W37" s="85">
        <f t="shared" si="38"/>
        <v>0</v>
      </c>
      <c r="X37" s="85">
        <f t="shared" si="38"/>
        <v>0</v>
      </c>
      <c r="Y37" s="85">
        <f t="shared" si="39"/>
        <v>0</v>
      </c>
      <c r="Z37" s="85">
        <f t="shared" si="39"/>
        <v>0</v>
      </c>
      <c r="AA37" s="85">
        <f t="shared" si="39"/>
        <v>0</v>
      </c>
      <c r="AB37" s="85">
        <f t="shared" si="39"/>
        <v>0</v>
      </c>
      <c r="AC37" s="85">
        <f t="shared" si="39"/>
        <v>0</v>
      </c>
      <c r="AD37" s="85">
        <f t="shared" si="39"/>
        <v>17000</v>
      </c>
      <c r="AE37" s="85">
        <f t="shared" si="39"/>
        <v>17000</v>
      </c>
      <c r="AF37" s="85">
        <f t="shared" ref="AF37:AF38" si="62">$F37*(1+$I37)*T37</f>
        <v>17000</v>
      </c>
      <c r="AG37" s="85">
        <f t="shared" ref="AG37:AG38" si="63">$F37*(1+$I37)*U37</f>
        <v>17000</v>
      </c>
      <c r="AH37" s="85">
        <f t="shared" ref="AH37:AH38" si="64">$F37*(1+$I37)*V37</f>
        <v>17000</v>
      </c>
      <c r="AI37" s="86">
        <f t="shared" ref="AI37:AI38" si="65">SUM(W37:AH37)</f>
        <v>85000</v>
      </c>
      <c r="AJ37" s="1176">
        <f>AH37*(1+$AJ$13)*2</f>
        <v>35700</v>
      </c>
      <c r="AK37" s="85">
        <f t="shared" si="49"/>
        <v>35700</v>
      </c>
      <c r="AL37" s="85">
        <f t="shared" si="50"/>
        <v>35700</v>
      </c>
      <c r="AM37" s="85">
        <f t="shared" si="51"/>
        <v>35700</v>
      </c>
      <c r="AN37" s="85">
        <f t="shared" si="52"/>
        <v>35700</v>
      </c>
      <c r="AO37" s="85">
        <f t="shared" si="53"/>
        <v>35700</v>
      </c>
      <c r="AP37" s="85">
        <f t="shared" si="54"/>
        <v>35700</v>
      </c>
      <c r="AQ37" s="85">
        <f t="shared" si="55"/>
        <v>35700</v>
      </c>
      <c r="AR37" s="85">
        <f t="shared" si="56"/>
        <v>35700</v>
      </c>
      <c r="AS37" s="85">
        <f t="shared" si="57"/>
        <v>35700</v>
      </c>
      <c r="AT37" s="85">
        <f t="shared" si="58"/>
        <v>35700</v>
      </c>
      <c r="AU37" s="85">
        <f t="shared" si="59"/>
        <v>35700</v>
      </c>
      <c r="AV37" s="85">
        <f t="shared" si="60"/>
        <v>428400</v>
      </c>
      <c r="AW37" s="87"/>
      <c r="AX37" s="88"/>
      <c r="AY37" s="88"/>
    </row>
    <row r="38" spans="1:51">
      <c r="A38" s="79" t="s">
        <v>3001</v>
      </c>
      <c r="B38" s="80" t="s">
        <v>2111</v>
      </c>
      <c r="C38" s="80" t="s">
        <v>3014</v>
      </c>
      <c r="D38" s="80" t="s">
        <v>3015</v>
      </c>
      <c r="E38" s="80"/>
      <c r="F38" s="92">
        <f>VLOOKUP($H38,汇总!$C$7:$D$18,2,FALSE)</f>
        <v>12000</v>
      </c>
      <c r="G38" s="82"/>
      <c r="H38" s="90" t="s">
        <v>2051</v>
      </c>
      <c r="I38" s="83">
        <v>0</v>
      </c>
      <c r="J38" s="82"/>
      <c r="K38" s="84">
        <f>IF(K$15&lt;汇总!$E12,0,1)</f>
        <v>0</v>
      </c>
      <c r="L38" s="84">
        <f>IF(L$15&lt;汇总!$E12,0,1)</f>
        <v>0</v>
      </c>
      <c r="M38" s="84">
        <f>IF(M$15&lt;汇总!$E12,0,1)</f>
        <v>0</v>
      </c>
      <c r="N38" s="84">
        <f>IF(N$15&lt;汇总!$E12,0,1)</f>
        <v>0</v>
      </c>
      <c r="O38" s="84">
        <f>IF(O$15&lt;汇总!$E12,0,1)</f>
        <v>0</v>
      </c>
      <c r="P38" s="84">
        <f>IF(P$15&lt;汇总!$E12,0,1)</f>
        <v>0</v>
      </c>
      <c r="Q38" s="84">
        <f>IF(Q$15&lt;汇总!$E12,0,1)</f>
        <v>0</v>
      </c>
      <c r="R38" s="84">
        <f>IF(R$15&lt;汇总!$E12,0,1)</f>
        <v>0</v>
      </c>
      <c r="S38" s="84">
        <f>IF(S$15&lt;汇总!$E12,0,1)</f>
        <v>0</v>
      </c>
      <c r="T38" s="84">
        <f>IF(T$15&lt;汇总!$E12,0,1)</f>
        <v>0</v>
      </c>
      <c r="U38" s="84">
        <f>IF(U$15&lt;汇总!$E12,0,1)</f>
        <v>0</v>
      </c>
      <c r="V38" s="84">
        <f>IF(V$15&lt;汇总!$E12,0,1)</f>
        <v>1</v>
      </c>
      <c r="W38" s="85">
        <f t="shared" si="38"/>
        <v>0</v>
      </c>
      <c r="X38" s="85">
        <f t="shared" si="38"/>
        <v>0</v>
      </c>
      <c r="Y38" s="85">
        <f t="shared" si="39"/>
        <v>0</v>
      </c>
      <c r="Z38" s="85">
        <f t="shared" si="39"/>
        <v>0</v>
      </c>
      <c r="AA38" s="85">
        <f t="shared" si="39"/>
        <v>0</v>
      </c>
      <c r="AB38" s="85">
        <f t="shared" si="39"/>
        <v>0</v>
      </c>
      <c r="AC38" s="85">
        <f t="shared" si="39"/>
        <v>0</v>
      </c>
      <c r="AD38" s="85">
        <f t="shared" si="39"/>
        <v>0</v>
      </c>
      <c r="AE38" s="85">
        <f t="shared" si="39"/>
        <v>0</v>
      </c>
      <c r="AF38" s="85">
        <f t="shared" si="62"/>
        <v>0</v>
      </c>
      <c r="AG38" s="85">
        <f t="shared" si="63"/>
        <v>0</v>
      </c>
      <c r="AH38" s="85">
        <f t="shared" si="64"/>
        <v>12000</v>
      </c>
      <c r="AI38" s="86">
        <f t="shared" si="65"/>
        <v>12000</v>
      </c>
      <c r="AJ38" s="85">
        <f t="shared" si="48"/>
        <v>12600</v>
      </c>
      <c r="AK38" s="85">
        <f t="shared" si="49"/>
        <v>12600</v>
      </c>
      <c r="AL38" s="85">
        <f t="shared" si="50"/>
        <v>12600</v>
      </c>
      <c r="AM38" s="85">
        <f t="shared" si="51"/>
        <v>12600</v>
      </c>
      <c r="AN38" s="85">
        <f t="shared" si="52"/>
        <v>12600</v>
      </c>
      <c r="AO38" s="85">
        <f t="shared" si="53"/>
        <v>12600</v>
      </c>
      <c r="AP38" s="85">
        <f t="shared" si="54"/>
        <v>12600</v>
      </c>
      <c r="AQ38" s="85">
        <f t="shared" si="55"/>
        <v>12600</v>
      </c>
      <c r="AR38" s="85">
        <f t="shared" si="56"/>
        <v>12600</v>
      </c>
      <c r="AS38" s="85">
        <f t="shared" si="57"/>
        <v>12600</v>
      </c>
      <c r="AT38" s="85">
        <f t="shared" si="58"/>
        <v>12600</v>
      </c>
      <c r="AU38" s="85">
        <f t="shared" si="59"/>
        <v>12600</v>
      </c>
      <c r="AV38" s="85">
        <f t="shared" si="60"/>
        <v>151200</v>
      </c>
      <c r="AW38" s="87"/>
      <c r="AX38" s="88"/>
      <c r="AY38" s="88"/>
    </row>
    <row r="39" spans="1:51">
      <c r="A39" s="79" t="s">
        <v>3001</v>
      </c>
      <c r="B39" s="80" t="s">
        <v>2111</v>
      </c>
      <c r="C39" s="91" t="s">
        <v>3020</v>
      </c>
      <c r="D39" s="80" t="s">
        <v>3015</v>
      </c>
      <c r="E39" s="80"/>
      <c r="F39" s="92">
        <f>VLOOKUP($H39,汇总!$C$7:$D$18,2,FALSE)</f>
        <v>100000</v>
      </c>
      <c r="G39" s="82"/>
      <c r="H39" s="90" t="s">
        <v>2055</v>
      </c>
      <c r="I39" s="83">
        <v>0</v>
      </c>
      <c r="J39" s="82"/>
      <c r="K39" s="84">
        <f>IF(K$15&lt;汇总!$E15,0,1)</f>
        <v>0</v>
      </c>
      <c r="L39" s="84">
        <f>IF(L$15&lt;汇总!$E15,0,1)</f>
        <v>0</v>
      </c>
      <c r="M39" s="84">
        <f>IF(M$15&lt;汇总!$E15,0,1)</f>
        <v>0</v>
      </c>
      <c r="N39" s="84">
        <f>IF(N$15&lt;汇总!$E15,0,1)</f>
        <v>0</v>
      </c>
      <c r="O39" s="84">
        <f>IF(O$15&lt;汇总!$E15,0,1)</f>
        <v>1</v>
      </c>
      <c r="P39" s="84">
        <f>IF(P$15&lt;汇总!$E15,0,1)</f>
        <v>1</v>
      </c>
      <c r="Q39" s="84">
        <f>IF(Q$15&lt;汇总!$E15,0,1)</f>
        <v>1</v>
      </c>
      <c r="R39" s="84">
        <f>IF(R$15&lt;汇总!$E15,0,1)</f>
        <v>1</v>
      </c>
      <c r="S39" s="84">
        <f>IF(S$15&lt;汇总!$E15,0,1)</f>
        <v>1</v>
      </c>
      <c r="T39" s="84">
        <f>IF(T$15&lt;汇总!$E15,0,1)</f>
        <v>1</v>
      </c>
      <c r="U39" s="84">
        <f>IF(U$15&lt;汇总!$E15,0,1)</f>
        <v>1</v>
      </c>
      <c r="V39" s="84">
        <f>IF(V$15&lt;汇总!$E15,0,1)</f>
        <v>1</v>
      </c>
      <c r="W39" s="85">
        <f t="shared" ref="W39:W40" si="66">$F39*(1+$I39)*K39</f>
        <v>0</v>
      </c>
      <c r="X39" s="85">
        <f t="shared" ref="X39:X40" si="67">$F39*(1+$I39)*L39</f>
        <v>0</v>
      </c>
      <c r="Y39" s="85">
        <f t="shared" ref="Y39:Y40" si="68">$F39*(1+$I39)*M39</f>
        <v>0</v>
      </c>
      <c r="Z39" s="85">
        <f t="shared" ref="Z39:Z40" si="69">$F39*(1+$I39)*N39</f>
        <v>0</v>
      </c>
      <c r="AA39" s="85">
        <f t="shared" ref="AA39:AA40" si="70">$F39*(1+$I39)*O39</f>
        <v>100000</v>
      </c>
      <c r="AB39" s="85">
        <f t="shared" ref="AB39:AB40" si="71">$F39*(1+$I39)*P39</f>
        <v>100000</v>
      </c>
      <c r="AC39" s="85">
        <f t="shared" ref="AC39:AC40" si="72">$F39*(1+$I39)*Q39</f>
        <v>100000</v>
      </c>
      <c r="AD39" s="85">
        <f t="shared" ref="AD39:AD40" si="73">$F39*(1+$I39)*R39</f>
        <v>100000</v>
      </c>
      <c r="AE39" s="85">
        <f t="shared" ref="AE39:AE40" si="74">$F39*(1+$I39)*S39</f>
        <v>100000</v>
      </c>
      <c r="AF39" s="85">
        <f t="shared" ref="AF39:AF40" si="75">$F39*(1+$I39)*T39</f>
        <v>100000</v>
      </c>
      <c r="AG39" s="85">
        <f t="shared" ref="AG39:AG40" si="76">$F39*(1+$I39)*U39</f>
        <v>100000</v>
      </c>
      <c r="AH39" s="85">
        <f t="shared" ref="AH39:AH40" si="77">$F39*(1+$I39)*V39</f>
        <v>100000</v>
      </c>
      <c r="AI39" s="86">
        <f t="shared" ref="AI39:AI40" si="78">SUM(W39:AH39)</f>
        <v>800000</v>
      </c>
      <c r="AJ39" s="85">
        <f t="shared" ref="AJ39:AJ40" si="79">AH39*(1+$AJ$13)</f>
        <v>105000</v>
      </c>
      <c r="AK39" s="85">
        <f t="shared" ref="AK39:AK40" si="80">AJ39</f>
        <v>105000</v>
      </c>
      <c r="AL39" s="85">
        <f t="shared" ref="AL39:AL40" si="81">AK39</f>
        <v>105000</v>
      </c>
      <c r="AM39" s="85">
        <f t="shared" ref="AM39:AM40" si="82">AL39</f>
        <v>105000</v>
      </c>
      <c r="AN39" s="85">
        <f t="shared" ref="AN39:AN40" si="83">AM39</f>
        <v>105000</v>
      </c>
      <c r="AO39" s="85">
        <f t="shared" ref="AO39:AO40" si="84">AN39</f>
        <v>105000</v>
      </c>
      <c r="AP39" s="85">
        <f t="shared" ref="AP39:AP40" si="85">AO39</f>
        <v>105000</v>
      </c>
      <c r="AQ39" s="85">
        <f t="shared" ref="AQ39:AQ40" si="86">AP39</f>
        <v>105000</v>
      </c>
      <c r="AR39" s="85">
        <f t="shared" ref="AR39:AR40" si="87">AQ39</f>
        <v>105000</v>
      </c>
      <c r="AS39" s="85">
        <f t="shared" ref="AS39:AS40" si="88">AR39</f>
        <v>105000</v>
      </c>
      <c r="AT39" s="85">
        <f t="shared" ref="AT39:AT40" si="89">AS39</f>
        <v>105000</v>
      </c>
      <c r="AU39" s="85">
        <f t="shared" ref="AU39:AU40" si="90">AT39</f>
        <v>105000</v>
      </c>
      <c r="AV39" s="85">
        <f t="shared" ref="AV39:AV40" si="91">SUM(AJ39:AU39)</f>
        <v>1260000</v>
      </c>
      <c r="AW39" s="87"/>
      <c r="AX39" s="88"/>
      <c r="AY39" s="88"/>
    </row>
    <row r="40" spans="1:51">
      <c r="A40" s="79" t="s">
        <v>3001</v>
      </c>
      <c r="B40" s="80" t="s">
        <v>2111</v>
      </c>
      <c r="C40" s="91" t="s">
        <v>3020</v>
      </c>
      <c r="D40" s="80" t="s">
        <v>3015</v>
      </c>
      <c r="E40" s="80"/>
      <c r="F40" s="92">
        <f>VLOOKUP($H40,汇总!$C$7:$D$18,2,FALSE)</f>
        <v>80000</v>
      </c>
      <c r="G40" s="82"/>
      <c r="H40" s="90" t="s">
        <v>2056</v>
      </c>
      <c r="I40" s="83">
        <v>0</v>
      </c>
      <c r="J40" s="82"/>
      <c r="K40" s="84">
        <f>IF(K$15&lt;汇总!$E16,0,1)</f>
        <v>0</v>
      </c>
      <c r="L40" s="84">
        <f>IF(L$15&lt;汇总!$E16,0,1)</f>
        <v>0</v>
      </c>
      <c r="M40" s="84">
        <f>IF(M$15&lt;汇总!$E16,0,1)</f>
        <v>0</v>
      </c>
      <c r="N40" s="84">
        <f>IF(N$15&lt;汇总!$E16,0,1)</f>
        <v>0</v>
      </c>
      <c r="O40" s="84">
        <f>IF(O$15&lt;汇总!$E16,0,1)</f>
        <v>1</v>
      </c>
      <c r="P40" s="84">
        <f>IF(P$15&lt;汇总!$E16,0,1)</f>
        <v>1</v>
      </c>
      <c r="Q40" s="84">
        <f>IF(Q$15&lt;汇总!$E16,0,1)</f>
        <v>1</v>
      </c>
      <c r="R40" s="84">
        <f>IF(R$15&lt;汇总!$E16,0,1)</f>
        <v>1</v>
      </c>
      <c r="S40" s="84">
        <f>IF(S$15&lt;汇总!$E16,0,1)</f>
        <v>1</v>
      </c>
      <c r="T40" s="84">
        <f>IF(T$15&lt;汇总!$E16,0,1)</f>
        <v>1</v>
      </c>
      <c r="U40" s="84">
        <f>IF(U$15&lt;汇总!$E16,0,1)</f>
        <v>1</v>
      </c>
      <c r="V40" s="84">
        <f>IF(V$15&lt;汇总!$E16,0,1)</f>
        <v>1</v>
      </c>
      <c r="W40" s="85">
        <f t="shared" si="66"/>
        <v>0</v>
      </c>
      <c r="X40" s="85">
        <f t="shared" si="67"/>
        <v>0</v>
      </c>
      <c r="Y40" s="85">
        <f t="shared" si="68"/>
        <v>0</v>
      </c>
      <c r="Z40" s="85">
        <f t="shared" si="69"/>
        <v>0</v>
      </c>
      <c r="AA40" s="85">
        <f t="shared" si="70"/>
        <v>80000</v>
      </c>
      <c r="AB40" s="85">
        <f t="shared" si="71"/>
        <v>80000</v>
      </c>
      <c r="AC40" s="85">
        <f t="shared" si="72"/>
        <v>80000</v>
      </c>
      <c r="AD40" s="85">
        <f t="shared" si="73"/>
        <v>80000</v>
      </c>
      <c r="AE40" s="85">
        <f t="shared" si="74"/>
        <v>80000</v>
      </c>
      <c r="AF40" s="85">
        <f t="shared" si="75"/>
        <v>80000</v>
      </c>
      <c r="AG40" s="85">
        <f t="shared" si="76"/>
        <v>80000</v>
      </c>
      <c r="AH40" s="85">
        <f t="shared" si="77"/>
        <v>80000</v>
      </c>
      <c r="AI40" s="86">
        <f t="shared" si="78"/>
        <v>640000</v>
      </c>
      <c r="AJ40" s="85">
        <f t="shared" si="79"/>
        <v>84000</v>
      </c>
      <c r="AK40" s="85">
        <f t="shared" si="80"/>
        <v>84000</v>
      </c>
      <c r="AL40" s="85">
        <f t="shared" si="81"/>
        <v>84000</v>
      </c>
      <c r="AM40" s="85">
        <f t="shared" si="82"/>
        <v>84000</v>
      </c>
      <c r="AN40" s="85">
        <f t="shared" si="83"/>
        <v>84000</v>
      </c>
      <c r="AO40" s="85">
        <f t="shared" si="84"/>
        <v>84000</v>
      </c>
      <c r="AP40" s="85">
        <f t="shared" si="85"/>
        <v>84000</v>
      </c>
      <c r="AQ40" s="85">
        <f t="shared" si="86"/>
        <v>84000</v>
      </c>
      <c r="AR40" s="85">
        <f t="shared" si="87"/>
        <v>84000</v>
      </c>
      <c r="AS40" s="85">
        <f t="shared" si="88"/>
        <v>84000</v>
      </c>
      <c r="AT40" s="85">
        <f t="shared" si="89"/>
        <v>84000</v>
      </c>
      <c r="AU40" s="85">
        <f t="shared" si="90"/>
        <v>84000</v>
      </c>
      <c r="AV40" s="85">
        <f t="shared" si="91"/>
        <v>1008000</v>
      </c>
      <c r="AW40" s="87"/>
      <c r="AX40" s="88"/>
      <c r="AY40" s="88"/>
    </row>
    <row r="41" spans="1:51">
      <c r="A41" s="79" t="s">
        <v>3001</v>
      </c>
      <c r="B41" s="80" t="s">
        <v>2111</v>
      </c>
      <c r="C41" s="91"/>
      <c r="D41" s="80"/>
      <c r="E41" s="80"/>
      <c r="F41" s="82"/>
      <c r="G41" s="82"/>
      <c r="H41" s="82"/>
      <c r="I41" s="83">
        <v>0</v>
      </c>
      <c r="J41" s="82"/>
      <c r="K41" s="84"/>
      <c r="L41" s="84"/>
      <c r="M41" s="84"/>
      <c r="N41" s="84"/>
      <c r="O41" s="84"/>
      <c r="P41" s="84"/>
      <c r="Q41" s="84"/>
      <c r="R41" s="84"/>
      <c r="S41" s="84"/>
      <c r="T41" s="84"/>
      <c r="U41" s="84"/>
      <c r="V41" s="84"/>
      <c r="W41" s="85"/>
      <c r="X41" s="85"/>
      <c r="Y41" s="85"/>
      <c r="Z41" s="85"/>
      <c r="AA41" s="85"/>
      <c r="AB41" s="85"/>
      <c r="AC41" s="85"/>
      <c r="AD41" s="85"/>
      <c r="AE41" s="85"/>
      <c r="AF41" s="85"/>
      <c r="AG41" s="85"/>
      <c r="AH41" s="85"/>
      <c r="AI41" s="86"/>
      <c r="AJ41" s="85"/>
      <c r="AK41" s="85"/>
      <c r="AL41" s="85"/>
      <c r="AM41" s="85"/>
      <c r="AN41" s="85"/>
      <c r="AO41" s="85"/>
      <c r="AP41" s="85"/>
      <c r="AQ41" s="85"/>
      <c r="AR41" s="85"/>
      <c r="AS41" s="85"/>
      <c r="AT41" s="85"/>
      <c r="AU41" s="85"/>
      <c r="AV41" s="85"/>
      <c r="AW41" s="87"/>
      <c r="AX41" s="88"/>
      <c r="AY41" s="88"/>
    </row>
    <row r="42" spans="1:51">
      <c r="A42" s="93"/>
      <c r="B42" s="93"/>
      <c r="C42" s="93"/>
      <c r="D42" s="93"/>
      <c r="E42" s="93"/>
      <c r="F42" s="88"/>
      <c r="G42" s="88"/>
      <c r="H42" s="93"/>
      <c r="I42" s="94"/>
      <c r="J42" s="93"/>
      <c r="K42" s="93"/>
      <c r="L42" s="93"/>
      <c r="M42" s="93"/>
      <c r="N42" s="93"/>
      <c r="O42" s="93"/>
      <c r="P42" s="93"/>
      <c r="Q42" s="93"/>
      <c r="R42" s="93"/>
      <c r="S42" s="93"/>
      <c r="T42" s="93"/>
      <c r="U42" s="93"/>
      <c r="V42" s="93"/>
      <c r="W42" s="88"/>
      <c r="X42" s="88"/>
      <c r="Y42" s="88"/>
      <c r="Z42" s="88"/>
      <c r="AA42" s="88"/>
      <c r="AB42" s="88"/>
      <c r="AC42" s="88"/>
      <c r="AD42" s="88"/>
      <c r="AE42" s="88"/>
      <c r="AF42" s="88"/>
      <c r="AG42" s="88"/>
      <c r="AH42" s="88"/>
      <c r="AI42" s="95"/>
      <c r="AJ42" s="88"/>
      <c r="AK42" s="88"/>
      <c r="AL42" s="88"/>
      <c r="AM42" s="88"/>
      <c r="AN42" s="88"/>
      <c r="AO42" s="88"/>
      <c r="AP42" s="88"/>
      <c r="AQ42" s="88"/>
      <c r="AR42" s="88"/>
      <c r="AS42" s="88"/>
      <c r="AT42" s="88"/>
      <c r="AU42" s="88"/>
      <c r="AV42" s="88"/>
      <c r="AW42" s="87"/>
      <c r="AX42" s="88"/>
      <c r="AY42" s="88"/>
    </row>
    <row r="43" spans="1:51">
      <c r="A43" s="93"/>
      <c r="B43" s="93"/>
      <c r="C43" s="93"/>
      <c r="D43" s="93"/>
      <c r="E43" s="93"/>
      <c r="F43" s="88"/>
      <c r="G43" s="88"/>
      <c r="H43" s="93"/>
      <c r="I43" s="94"/>
      <c r="J43" s="93"/>
      <c r="K43" s="93"/>
      <c r="L43" s="93"/>
      <c r="M43" s="93"/>
      <c r="N43" s="93"/>
      <c r="O43" s="93"/>
      <c r="P43" s="93"/>
      <c r="Q43" s="93"/>
      <c r="R43" s="93"/>
      <c r="S43" s="93"/>
      <c r="T43" s="93"/>
      <c r="U43" s="93"/>
      <c r="V43" s="93"/>
      <c r="W43" s="88"/>
      <c r="X43" s="88"/>
      <c r="Y43" s="88"/>
      <c r="Z43" s="88"/>
      <c r="AA43" s="88"/>
      <c r="AB43" s="88"/>
      <c r="AC43" s="88"/>
      <c r="AD43" s="88"/>
      <c r="AE43" s="88"/>
      <c r="AF43" s="88"/>
      <c r="AG43" s="88"/>
      <c r="AH43" s="88"/>
      <c r="AI43" s="95"/>
      <c r="AJ43" s="88"/>
      <c r="AK43" s="88"/>
      <c r="AL43" s="88"/>
      <c r="AM43" s="88"/>
      <c r="AN43" s="88"/>
      <c r="AO43" s="88"/>
      <c r="AP43" s="88"/>
      <c r="AQ43" s="88"/>
      <c r="AR43" s="88"/>
      <c r="AS43" s="88"/>
      <c r="AT43" s="88"/>
      <c r="AU43" s="88"/>
      <c r="AV43" s="88"/>
      <c r="AW43" s="87"/>
      <c r="AX43" s="88"/>
      <c r="AY43" s="88"/>
    </row>
    <row r="44" spans="1:51">
      <c r="A44" s="79" t="s">
        <v>3001</v>
      </c>
      <c r="B44" s="93" t="s">
        <v>2111</v>
      </c>
      <c r="C44" s="93"/>
      <c r="D44" s="93"/>
      <c r="E44" s="93"/>
      <c r="F44" s="88"/>
      <c r="G44" s="88"/>
      <c r="H44" s="93"/>
      <c r="I44" s="94"/>
      <c r="J44" s="93"/>
      <c r="K44" s="93"/>
      <c r="L44" s="93"/>
      <c r="M44" s="93"/>
      <c r="N44" s="93"/>
      <c r="O44" s="93"/>
      <c r="P44" s="93"/>
      <c r="Q44" s="93"/>
      <c r="R44" s="93"/>
      <c r="S44" s="93"/>
      <c r="T44" s="93"/>
      <c r="U44" s="93"/>
      <c r="V44" s="93"/>
      <c r="W44" s="96">
        <f ca="1">SUMIF($B$17:$AV$43,$B44,W17:W43)</f>
        <v>300500</v>
      </c>
      <c r="X44" s="96">
        <f t="shared" ref="X44:AV44" ca="1" si="92">SUMIF($B$17:$AV$43,$B44,X17:X43)</f>
        <v>333500</v>
      </c>
      <c r="Y44" s="96">
        <f t="shared" ca="1" si="92"/>
        <v>289250</v>
      </c>
      <c r="Z44" s="96">
        <f t="shared" ca="1" si="92"/>
        <v>306500</v>
      </c>
      <c r="AA44" s="96">
        <f t="shared" ca="1" si="92"/>
        <v>572500</v>
      </c>
      <c r="AB44" s="96">
        <f t="shared" ca="1" si="92"/>
        <v>572500</v>
      </c>
      <c r="AC44" s="96">
        <f t="shared" ca="1" si="92"/>
        <v>572500</v>
      </c>
      <c r="AD44" s="96">
        <f t="shared" ca="1" si="92"/>
        <v>589500</v>
      </c>
      <c r="AE44" s="96">
        <f t="shared" ca="1" si="92"/>
        <v>589500</v>
      </c>
      <c r="AF44" s="96">
        <f t="shared" ca="1" si="92"/>
        <v>589500</v>
      </c>
      <c r="AG44" s="96">
        <f t="shared" ca="1" si="92"/>
        <v>589500</v>
      </c>
      <c r="AH44" s="96">
        <f t="shared" ca="1" si="92"/>
        <v>1912928.5714285714</v>
      </c>
      <c r="AI44" s="96">
        <f t="shared" ca="1" si="92"/>
        <v>7218178.5714285709</v>
      </c>
      <c r="AJ44" s="96">
        <f t="shared" ca="1" si="92"/>
        <v>693675</v>
      </c>
      <c r="AK44" s="96">
        <f t="shared" ca="1" si="92"/>
        <v>693675</v>
      </c>
      <c r="AL44" s="96">
        <f t="shared" ca="1" si="92"/>
        <v>693675</v>
      </c>
      <c r="AM44" s="96">
        <f t="shared" ca="1" si="92"/>
        <v>693675</v>
      </c>
      <c r="AN44" s="96">
        <f t="shared" ca="1" si="92"/>
        <v>693675</v>
      </c>
      <c r="AO44" s="96">
        <f t="shared" ca="1" si="92"/>
        <v>693675</v>
      </c>
      <c r="AP44" s="96">
        <f t="shared" ca="1" si="92"/>
        <v>693675</v>
      </c>
      <c r="AQ44" s="96">
        <f t="shared" ca="1" si="92"/>
        <v>693675</v>
      </c>
      <c r="AR44" s="96">
        <f t="shared" ca="1" si="92"/>
        <v>693675</v>
      </c>
      <c r="AS44" s="96">
        <f t="shared" ca="1" si="92"/>
        <v>693675</v>
      </c>
      <c r="AT44" s="96">
        <f t="shared" ca="1" si="92"/>
        <v>693675</v>
      </c>
      <c r="AU44" s="96">
        <f t="shared" ca="1" si="92"/>
        <v>2070675</v>
      </c>
      <c r="AV44" s="96">
        <f t="shared" ca="1" si="92"/>
        <v>9701100</v>
      </c>
      <c r="AW44" s="87"/>
      <c r="AX44" s="88"/>
      <c r="AY44" s="88"/>
    </row>
    <row r="45" spans="1:51">
      <c r="A45" s="79" t="s">
        <v>3001</v>
      </c>
      <c r="B45" s="93" t="s">
        <v>2242</v>
      </c>
      <c r="C45" s="93"/>
      <c r="D45" s="93"/>
      <c r="E45" s="93"/>
      <c r="F45" s="88"/>
      <c r="G45" s="88"/>
      <c r="H45" s="93"/>
      <c r="I45" s="94"/>
      <c r="J45" s="93"/>
      <c r="K45" s="93"/>
      <c r="L45" s="93"/>
      <c r="M45" s="93"/>
      <c r="N45" s="93"/>
      <c r="O45" s="93"/>
      <c r="P45" s="93"/>
      <c r="Q45" s="93"/>
      <c r="R45" s="93"/>
      <c r="S45" s="93"/>
      <c r="T45" s="93"/>
      <c r="U45" s="93"/>
      <c r="V45" s="93"/>
      <c r="W45" s="96">
        <f ca="1">SUMIF($B$17:$AV$43,$B45,W17:W43)</f>
        <v>215000</v>
      </c>
      <c r="X45" s="96">
        <f t="shared" ref="X45:AV45" ca="1" si="93">SUMIF($B$17:$AV$43,$B45,X17:X43)</f>
        <v>215000</v>
      </c>
      <c r="Y45" s="96">
        <f t="shared" ca="1" si="93"/>
        <v>215000</v>
      </c>
      <c r="Z45" s="96">
        <f t="shared" ca="1" si="93"/>
        <v>255000</v>
      </c>
      <c r="AA45" s="96">
        <f t="shared" ca="1" si="93"/>
        <v>255000</v>
      </c>
      <c r="AB45" s="96">
        <f t="shared" ca="1" si="93"/>
        <v>255000</v>
      </c>
      <c r="AC45" s="96">
        <f t="shared" ca="1" si="93"/>
        <v>255000</v>
      </c>
      <c r="AD45" s="96">
        <f t="shared" ca="1" si="93"/>
        <v>255000</v>
      </c>
      <c r="AE45" s="96">
        <f t="shared" ca="1" si="93"/>
        <v>255000</v>
      </c>
      <c r="AF45" s="96">
        <f t="shared" ca="1" si="93"/>
        <v>255000</v>
      </c>
      <c r="AG45" s="96">
        <f t="shared" ca="1" si="93"/>
        <v>255000</v>
      </c>
      <c r="AH45" s="96">
        <f t="shared" ca="1" si="93"/>
        <v>255000</v>
      </c>
      <c r="AI45" s="96">
        <f t="shared" ca="1" si="93"/>
        <v>2940000</v>
      </c>
      <c r="AJ45" s="96">
        <f t="shared" ca="1" si="93"/>
        <v>267750</v>
      </c>
      <c r="AK45" s="96">
        <f t="shared" ca="1" si="93"/>
        <v>267750</v>
      </c>
      <c r="AL45" s="96">
        <f t="shared" ca="1" si="93"/>
        <v>267750</v>
      </c>
      <c r="AM45" s="96">
        <f t="shared" ca="1" si="93"/>
        <v>267750</v>
      </c>
      <c r="AN45" s="96">
        <f t="shared" ca="1" si="93"/>
        <v>267750</v>
      </c>
      <c r="AO45" s="96">
        <f t="shared" ca="1" si="93"/>
        <v>267750</v>
      </c>
      <c r="AP45" s="96">
        <f t="shared" ca="1" si="93"/>
        <v>267750</v>
      </c>
      <c r="AQ45" s="96">
        <f t="shared" ca="1" si="93"/>
        <v>267750</v>
      </c>
      <c r="AR45" s="96">
        <f t="shared" ca="1" si="93"/>
        <v>267750</v>
      </c>
      <c r="AS45" s="96">
        <f t="shared" ca="1" si="93"/>
        <v>267750</v>
      </c>
      <c r="AT45" s="96">
        <f t="shared" ca="1" si="93"/>
        <v>267750</v>
      </c>
      <c r="AU45" s="96">
        <f t="shared" ca="1" si="93"/>
        <v>267750</v>
      </c>
      <c r="AV45" s="96">
        <f t="shared" ca="1" si="93"/>
        <v>3213000</v>
      </c>
      <c r="AW45" s="87"/>
      <c r="AX45" s="88"/>
      <c r="AY45" s="88"/>
    </row>
    <row r="46" spans="1:51">
      <c r="A46" s="93"/>
      <c r="B46" s="93"/>
      <c r="C46" s="93"/>
      <c r="D46" s="93"/>
      <c r="E46" s="93"/>
      <c r="F46" s="97" t="s">
        <v>3023</v>
      </c>
      <c r="G46" s="97"/>
      <c r="H46" s="93"/>
      <c r="I46" s="94"/>
      <c r="J46" s="98"/>
      <c r="K46" s="99">
        <f t="shared" ref="K46:V46" si="94">SUM(K17:K45)</f>
        <v>13</v>
      </c>
      <c r="L46" s="99">
        <f t="shared" si="94"/>
        <v>14</v>
      </c>
      <c r="M46" s="99">
        <f t="shared" si="94"/>
        <v>13</v>
      </c>
      <c r="N46" s="99">
        <f t="shared" si="94"/>
        <v>14</v>
      </c>
      <c r="O46" s="99">
        <f t="shared" si="94"/>
        <v>18</v>
      </c>
      <c r="P46" s="99">
        <f t="shared" si="94"/>
        <v>18</v>
      </c>
      <c r="Q46" s="99">
        <f t="shared" si="94"/>
        <v>18</v>
      </c>
      <c r="R46" s="99">
        <f t="shared" si="94"/>
        <v>19</v>
      </c>
      <c r="S46" s="99">
        <f t="shared" si="94"/>
        <v>19</v>
      </c>
      <c r="T46" s="99">
        <f t="shared" si="94"/>
        <v>19</v>
      </c>
      <c r="U46" s="99">
        <f t="shared" si="94"/>
        <v>19</v>
      </c>
      <c r="V46" s="99">
        <f t="shared" si="94"/>
        <v>32</v>
      </c>
      <c r="W46" s="100">
        <f>SUM(W17:W43)</f>
        <v>515500</v>
      </c>
      <c r="X46" s="100">
        <f t="shared" ref="X46:AV46" si="95">SUM(X17:X43)</f>
        <v>548500</v>
      </c>
      <c r="Y46" s="100">
        <f t="shared" si="95"/>
        <v>504250</v>
      </c>
      <c r="Z46" s="100">
        <f t="shared" si="95"/>
        <v>561500</v>
      </c>
      <c r="AA46" s="100">
        <f t="shared" si="95"/>
        <v>827500</v>
      </c>
      <c r="AB46" s="100">
        <f t="shared" si="95"/>
        <v>827500</v>
      </c>
      <c r="AC46" s="100">
        <f t="shared" si="95"/>
        <v>827500</v>
      </c>
      <c r="AD46" s="100">
        <f t="shared" si="95"/>
        <v>844500</v>
      </c>
      <c r="AE46" s="100">
        <f t="shared" si="95"/>
        <v>844500</v>
      </c>
      <c r="AF46" s="100">
        <f t="shared" si="95"/>
        <v>844500</v>
      </c>
      <c r="AG46" s="100">
        <f t="shared" si="95"/>
        <v>844500</v>
      </c>
      <c r="AH46" s="100">
        <f t="shared" si="95"/>
        <v>2167928.5714285714</v>
      </c>
      <c r="AI46" s="100">
        <f t="shared" si="95"/>
        <v>10158178.571428571</v>
      </c>
      <c r="AJ46" s="100">
        <f t="shared" si="95"/>
        <v>961425</v>
      </c>
      <c r="AK46" s="100">
        <f t="shared" si="95"/>
        <v>961425</v>
      </c>
      <c r="AL46" s="100">
        <f t="shared" si="95"/>
        <v>961425</v>
      </c>
      <c r="AM46" s="100">
        <f t="shared" si="95"/>
        <v>961425</v>
      </c>
      <c r="AN46" s="100">
        <f t="shared" si="95"/>
        <v>961425</v>
      </c>
      <c r="AO46" s="100">
        <f t="shared" si="95"/>
        <v>961425</v>
      </c>
      <c r="AP46" s="100">
        <f t="shared" si="95"/>
        <v>961425</v>
      </c>
      <c r="AQ46" s="100">
        <f t="shared" si="95"/>
        <v>961425</v>
      </c>
      <c r="AR46" s="100">
        <f t="shared" si="95"/>
        <v>961425</v>
      </c>
      <c r="AS46" s="100">
        <f t="shared" si="95"/>
        <v>961425</v>
      </c>
      <c r="AT46" s="100">
        <f t="shared" si="95"/>
        <v>961425</v>
      </c>
      <c r="AU46" s="100">
        <f t="shared" si="95"/>
        <v>2338425</v>
      </c>
      <c r="AV46" s="100">
        <f t="shared" si="95"/>
        <v>12914100</v>
      </c>
      <c r="AW46" s="87"/>
      <c r="AX46" s="88"/>
      <c r="AY46" s="88"/>
    </row>
    <row r="47" spans="1:51">
      <c r="A47" s="93"/>
      <c r="B47" s="93"/>
      <c r="C47" s="93"/>
      <c r="D47" s="93"/>
      <c r="E47" s="101"/>
      <c r="F47" s="88"/>
      <c r="G47" s="88"/>
      <c r="H47" s="93"/>
      <c r="I47" s="94"/>
      <c r="J47" s="102"/>
      <c r="K47" s="102"/>
      <c r="L47" s="102"/>
      <c r="M47" s="102"/>
      <c r="N47" s="102"/>
      <c r="O47" s="102"/>
      <c r="P47" s="102"/>
      <c r="Q47" s="102"/>
      <c r="R47" s="102"/>
      <c r="S47" s="102"/>
      <c r="T47" s="102"/>
      <c r="U47" s="102"/>
      <c r="V47" s="102"/>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7"/>
      <c r="AW47" s="88"/>
      <c r="AX47" s="88"/>
      <c r="AY47" s="93"/>
    </row>
    <row r="48" spans="1:51">
      <c r="A48" s="93"/>
      <c r="B48" s="79" t="s">
        <v>3024</v>
      </c>
      <c r="C48" s="93"/>
      <c r="D48" s="93"/>
      <c r="E48" s="93"/>
      <c r="F48" s="88"/>
      <c r="G48" s="88"/>
      <c r="H48" s="93"/>
      <c r="I48" s="94"/>
      <c r="J48" s="103"/>
      <c r="K48" s="1219" t="s">
        <v>3002</v>
      </c>
      <c r="L48" s="1220"/>
      <c r="M48" s="1220"/>
      <c r="N48" s="1220"/>
      <c r="O48" s="1220"/>
      <c r="P48" s="1220"/>
      <c r="Q48" s="1220"/>
      <c r="R48" s="1220"/>
      <c r="S48" s="1220"/>
      <c r="T48" s="1220"/>
      <c r="U48" s="1220"/>
      <c r="V48" s="1221"/>
      <c r="W48" s="1222" t="s">
        <v>3003</v>
      </c>
      <c r="X48" s="1223"/>
      <c r="Y48" s="1223"/>
      <c r="Z48" s="1223"/>
      <c r="AA48" s="1223"/>
      <c r="AB48" s="1223"/>
      <c r="AC48" s="1223"/>
      <c r="AD48" s="1223"/>
      <c r="AE48" s="1223"/>
      <c r="AF48" s="1223"/>
      <c r="AG48" s="1223"/>
      <c r="AH48" s="1224"/>
      <c r="AI48" s="1223"/>
      <c r="AJ48" s="1222" t="s">
        <v>3004</v>
      </c>
      <c r="AK48" s="1223"/>
      <c r="AL48" s="1223"/>
      <c r="AM48" s="1223"/>
      <c r="AN48" s="1223"/>
      <c r="AO48" s="1223"/>
      <c r="AP48" s="1223"/>
      <c r="AQ48" s="1223"/>
      <c r="AR48" s="1223"/>
      <c r="AS48" s="1223"/>
      <c r="AT48" s="1223"/>
      <c r="AU48" s="1224"/>
      <c r="AV48" s="1223"/>
      <c r="AW48" s="88"/>
      <c r="AX48" s="88"/>
      <c r="AY48" s="93"/>
    </row>
    <row r="49" spans="1:51" s="14" customFormat="1">
      <c r="A49" s="104"/>
      <c r="B49" s="105" t="s">
        <v>3005</v>
      </c>
      <c r="C49" s="105" t="s">
        <v>3006</v>
      </c>
      <c r="D49" s="105" t="s">
        <v>3007</v>
      </c>
      <c r="E49" s="105" t="s">
        <v>3008</v>
      </c>
      <c r="F49" s="106" t="s">
        <v>3009</v>
      </c>
      <c r="G49" s="106"/>
      <c r="H49" s="107"/>
      <c r="I49" s="108" t="s">
        <v>3011</v>
      </c>
      <c r="J49" s="107"/>
      <c r="K49" s="107">
        <v>46023</v>
      </c>
      <c r="L49" s="107">
        <v>46054</v>
      </c>
      <c r="M49" s="107">
        <v>46082</v>
      </c>
      <c r="N49" s="107">
        <v>46113</v>
      </c>
      <c r="O49" s="107">
        <v>46143</v>
      </c>
      <c r="P49" s="107">
        <v>46174</v>
      </c>
      <c r="Q49" s="107">
        <v>46204</v>
      </c>
      <c r="R49" s="107">
        <v>46235</v>
      </c>
      <c r="S49" s="107">
        <v>46266</v>
      </c>
      <c r="T49" s="107">
        <v>46296</v>
      </c>
      <c r="U49" s="107">
        <v>46327</v>
      </c>
      <c r="V49" s="107">
        <v>46357</v>
      </c>
      <c r="W49" s="73">
        <f t="shared" ref="W49:AH49" si="96">+K49</f>
        <v>46023</v>
      </c>
      <c r="X49" s="73">
        <f t="shared" si="96"/>
        <v>46054</v>
      </c>
      <c r="Y49" s="73">
        <f t="shared" si="96"/>
        <v>46082</v>
      </c>
      <c r="Z49" s="73">
        <f t="shared" si="96"/>
        <v>46113</v>
      </c>
      <c r="AA49" s="73">
        <f t="shared" si="96"/>
        <v>46143</v>
      </c>
      <c r="AB49" s="73">
        <f t="shared" si="96"/>
        <v>46174</v>
      </c>
      <c r="AC49" s="73">
        <f t="shared" si="96"/>
        <v>46204</v>
      </c>
      <c r="AD49" s="73">
        <f t="shared" si="96"/>
        <v>46235</v>
      </c>
      <c r="AE49" s="73">
        <f t="shared" si="96"/>
        <v>46266</v>
      </c>
      <c r="AF49" s="73">
        <f t="shared" si="96"/>
        <v>46296</v>
      </c>
      <c r="AG49" s="73">
        <f t="shared" si="96"/>
        <v>46327</v>
      </c>
      <c r="AH49" s="73">
        <f t="shared" si="96"/>
        <v>46357</v>
      </c>
      <c r="AI49" s="109" t="str">
        <f>$AI$15</f>
        <v>Total 2026</v>
      </c>
      <c r="AJ49" s="73">
        <f t="shared" ref="AJ49:AU49" si="97">AJ$15</f>
        <v>46388</v>
      </c>
      <c r="AK49" s="73">
        <f t="shared" si="97"/>
        <v>46419</v>
      </c>
      <c r="AL49" s="73">
        <f t="shared" si="97"/>
        <v>46447</v>
      </c>
      <c r="AM49" s="73">
        <f t="shared" si="97"/>
        <v>46478</v>
      </c>
      <c r="AN49" s="73">
        <f t="shared" si="97"/>
        <v>46508</v>
      </c>
      <c r="AO49" s="73">
        <f t="shared" si="97"/>
        <v>46539</v>
      </c>
      <c r="AP49" s="73">
        <f t="shared" si="97"/>
        <v>46569</v>
      </c>
      <c r="AQ49" s="73">
        <f t="shared" si="97"/>
        <v>46600</v>
      </c>
      <c r="AR49" s="73">
        <f t="shared" si="97"/>
        <v>46631</v>
      </c>
      <c r="AS49" s="73">
        <f t="shared" si="97"/>
        <v>46661</v>
      </c>
      <c r="AT49" s="73">
        <f t="shared" si="97"/>
        <v>46692</v>
      </c>
      <c r="AU49" s="73">
        <f t="shared" si="97"/>
        <v>46722</v>
      </c>
      <c r="AV49" s="73" t="s">
        <v>3013</v>
      </c>
      <c r="AW49" s="110"/>
      <c r="AX49" s="111"/>
      <c r="AY49" s="111"/>
    </row>
    <row r="50" spans="1:51">
      <c r="A50" s="93"/>
      <c r="B50" s="80"/>
      <c r="C50" s="80"/>
      <c r="D50" s="80"/>
      <c r="E50" s="80"/>
      <c r="F50" s="82"/>
      <c r="G50" s="82"/>
      <c r="H50" s="80"/>
      <c r="I50" s="112"/>
      <c r="J50" s="80"/>
      <c r="K50" s="84"/>
      <c r="L50" s="84"/>
      <c r="M50" s="84"/>
      <c r="N50" s="84"/>
      <c r="O50" s="84"/>
      <c r="P50" s="84"/>
      <c r="Q50" s="84"/>
      <c r="R50" s="84"/>
      <c r="S50" s="84"/>
      <c r="T50" s="84"/>
      <c r="U50" s="84"/>
      <c r="V50" s="84"/>
      <c r="W50" s="85"/>
      <c r="X50" s="85"/>
      <c r="Y50" s="85"/>
      <c r="Z50" s="85"/>
      <c r="AA50" s="85"/>
      <c r="AB50" s="85"/>
      <c r="AC50" s="85"/>
      <c r="AD50" s="85"/>
      <c r="AE50" s="85"/>
      <c r="AF50" s="85"/>
      <c r="AG50" s="85"/>
      <c r="AH50" s="85"/>
      <c r="AI50" s="86"/>
      <c r="AJ50" s="85"/>
      <c r="AK50" s="85"/>
      <c r="AL50" s="85"/>
      <c r="AM50" s="85"/>
      <c r="AN50" s="85"/>
      <c r="AO50" s="85"/>
      <c r="AP50" s="85"/>
      <c r="AQ50" s="85"/>
      <c r="AR50" s="85"/>
      <c r="AS50" s="85"/>
      <c r="AT50" s="85"/>
      <c r="AU50" s="85"/>
      <c r="AV50" s="85"/>
      <c r="AW50" s="87"/>
      <c r="AX50" s="88"/>
      <c r="AY50" s="88"/>
    </row>
    <row r="51" spans="1:51">
      <c r="A51" s="79" t="s">
        <v>3024</v>
      </c>
      <c r="B51" s="80" t="str">
        <f t="shared" ref="B51:B70" si="98">B17</f>
        <v>ACPSZL</v>
      </c>
      <c r="C51" s="80" t="str">
        <f t="shared" ref="C51:C62" si="99">C17</f>
        <v>深圳户籍</v>
      </c>
      <c r="D51" s="80" t="str">
        <f t="shared" ref="D51:D70" si="100">D17</f>
        <v>Professional</v>
      </c>
      <c r="E51" s="80">
        <f t="shared" ref="E51:E70" si="101">E17</f>
        <v>0</v>
      </c>
      <c r="F51" s="81">
        <f t="shared" ref="F51:F70" si="102">F17</f>
        <v>83000</v>
      </c>
      <c r="G51" s="81"/>
      <c r="H51" s="82" t="str">
        <f t="shared" ref="H51:H70" si="103">H17</f>
        <v>郭宗林</v>
      </c>
      <c r="I51" s="83">
        <f t="shared" ref="I51:I70" si="104">I17</f>
        <v>0</v>
      </c>
      <c r="J51" s="82"/>
      <c r="K51" s="84"/>
      <c r="L51" s="84"/>
      <c r="M51" s="84"/>
      <c r="N51" s="84"/>
      <c r="O51" s="84"/>
      <c r="P51" s="84"/>
      <c r="Q51" s="84"/>
      <c r="R51" s="84"/>
      <c r="S51" s="84"/>
      <c r="T51" s="84"/>
      <c r="U51" s="84"/>
      <c r="V51" s="84"/>
      <c r="W51" s="85">
        <v>0</v>
      </c>
      <c r="X51" s="85">
        <v>0</v>
      </c>
      <c r="Y51" s="85">
        <v>0</v>
      </c>
      <c r="Z51" s="85">
        <v>0</v>
      </c>
      <c r="AA51" s="85">
        <v>0</v>
      </c>
      <c r="AB51" s="85">
        <v>0</v>
      </c>
      <c r="AC51" s="85">
        <v>0</v>
      </c>
      <c r="AD51" s="85">
        <v>0</v>
      </c>
      <c r="AE51" s="85">
        <v>0</v>
      </c>
      <c r="AF51" s="85">
        <v>0</v>
      </c>
      <c r="AG51" s="85">
        <v>0</v>
      </c>
      <c r="AH51" s="85">
        <v>0</v>
      </c>
      <c r="AI51" s="86">
        <f>SUM(W51:AH51)</f>
        <v>0</v>
      </c>
      <c r="AJ51" s="85">
        <v>0</v>
      </c>
      <c r="AK51" s="85">
        <v>0</v>
      </c>
      <c r="AL51" s="85">
        <v>0</v>
      </c>
      <c r="AM51" s="85">
        <v>0</v>
      </c>
      <c r="AN51" s="85">
        <v>0</v>
      </c>
      <c r="AO51" s="85">
        <v>0</v>
      </c>
      <c r="AP51" s="85">
        <v>0</v>
      </c>
      <c r="AQ51" s="85">
        <v>0</v>
      </c>
      <c r="AR51" s="85">
        <v>0</v>
      </c>
      <c r="AS51" s="85">
        <v>0</v>
      </c>
      <c r="AT51" s="85">
        <v>0</v>
      </c>
      <c r="AU51" s="85">
        <v>0</v>
      </c>
      <c r="AV51" s="86">
        <f t="shared" ref="AV51:AV57" si="105">SUM(AJ51:AU51)</f>
        <v>0</v>
      </c>
      <c r="AW51" s="87"/>
      <c r="AX51" s="88"/>
      <c r="AY51" s="88"/>
    </row>
    <row r="52" spans="1:51">
      <c r="A52" s="79" t="s">
        <v>3024</v>
      </c>
      <c r="B52" s="80" t="str">
        <f t="shared" si="98"/>
        <v>ACPSZL</v>
      </c>
      <c r="C52" s="80" t="str">
        <f t="shared" si="99"/>
        <v>深圳户籍</v>
      </c>
      <c r="D52" s="80" t="str">
        <f t="shared" si="100"/>
        <v>Professional</v>
      </c>
      <c r="E52" s="80">
        <f t="shared" si="101"/>
        <v>0</v>
      </c>
      <c r="F52" s="81">
        <f t="shared" si="102"/>
        <v>70000</v>
      </c>
      <c r="G52" s="81"/>
      <c r="H52" s="82" t="str">
        <f t="shared" si="103"/>
        <v>陈灿</v>
      </c>
      <c r="I52" s="83">
        <f t="shared" si="104"/>
        <v>0</v>
      </c>
      <c r="J52" s="82"/>
      <c r="K52" s="84"/>
      <c r="L52" s="84"/>
      <c r="M52" s="84"/>
      <c r="N52" s="84"/>
      <c r="O52" s="84"/>
      <c r="P52" s="84"/>
      <c r="Q52" s="84"/>
      <c r="R52" s="84"/>
      <c r="S52" s="84"/>
      <c r="T52" s="84"/>
      <c r="U52" s="84"/>
      <c r="V52" s="84"/>
      <c r="W52" s="85">
        <f>IF(VLOOKUP($H52,$H$15:$AH$46,W$16,FALSE)&gt;$Y$8,$Y$8*$AA$8,VLOOKUP($H52,$H$15:$AH$46,W$16,FALSE)*$AA$8)</f>
        <v>0</v>
      </c>
      <c r="X52" s="85">
        <f t="shared" ref="X52:AG52" si="106">IF(VLOOKUP($H52,$H$15:$AH$46,X$16,FALSE)&gt;$Y$8,$Y$8*$AA$8,VLOOKUP($H52,$H$15:$AH$46,X$16,FALSE)*$AA$8)</f>
        <v>0</v>
      </c>
      <c r="Y52" s="85">
        <f t="shared" si="106"/>
        <v>0</v>
      </c>
      <c r="Z52" s="85">
        <f t="shared" si="106"/>
        <v>0</v>
      </c>
      <c r="AA52" s="85">
        <f t="shared" si="106"/>
        <v>0</v>
      </c>
      <c r="AB52" s="85">
        <f t="shared" si="106"/>
        <v>0</v>
      </c>
      <c r="AC52" s="85">
        <f t="shared" si="106"/>
        <v>0</v>
      </c>
      <c r="AD52" s="85">
        <f t="shared" si="106"/>
        <v>0</v>
      </c>
      <c r="AE52" s="85">
        <f t="shared" si="106"/>
        <v>0</v>
      </c>
      <c r="AF52" s="85">
        <f t="shared" si="106"/>
        <v>0</v>
      </c>
      <c r="AG52" s="85">
        <f t="shared" si="106"/>
        <v>0</v>
      </c>
      <c r="AH52" s="85">
        <f>IF(VLOOKUP($H52,$H$15:$AU$46,AH$16,FALSE)&gt;$Y$8,$Y$8*$AA$8,VLOOKUP($H52,$H$15:$AU$46,AH$16,FALSE)*$AA$8)</f>
        <v>0</v>
      </c>
      <c r="AI52" s="86">
        <f t="shared" ref="AI52:AI70" si="107">SUM(W52:AH52)</f>
        <v>0</v>
      </c>
      <c r="AJ52" s="85">
        <f t="shared" ref="AJ52:AU52" si="108">IF(VLOOKUP($H52,$H$15:$AU$46,AJ$16,FALSE)&gt;$Y$8,$Y$8*$AA$8,VLOOKUP($H52,$H$15:$AU$46,AJ$16,FALSE)*$AA$8)</f>
        <v>0</v>
      </c>
      <c r="AK52" s="85">
        <f t="shared" si="108"/>
        <v>0</v>
      </c>
      <c r="AL52" s="85">
        <f t="shared" si="108"/>
        <v>0</v>
      </c>
      <c r="AM52" s="85">
        <f t="shared" si="108"/>
        <v>0</v>
      </c>
      <c r="AN52" s="85">
        <f t="shared" si="108"/>
        <v>0</v>
      </c>
      <c r="AO52" s="85">
        <f t="shared" si="108"/>
        <v>0</v>
      </c>
      <c r="AP52" s="85">
        <f t="shared" si="108"/>
        <v>0</v>
      </c>
      <c r="AQ52" s="85">
        <f t="shared" si="108"/>
        <v>0</v>
      </c>
      <c r="AR52" s="85">
        <f t="shared" si="108"/>
        <v>0</v>
      </c>
      <c r="AS52" s="85">
        <f t="shared" si="108"/>
        <v>0</v>
      </c>
      <c r="AT52" s="85">
        <f t="shared" si="108"/>
        <v>0</v>
      </c>
      <c r="AU52" s="85">
        <f t="shared" si="108"/>
        <v>0</v>
      </c>
      <c r="AV52" s="86">
        <f t="shared" si="105"/>
        <v>0</v>
      </c>
      <c r="AW52" s="87"/>
      <c r="AX52" s="88"/>
      <c r="AY52" s="88"/>
    </row>
    <row r="53" spans="1:51">
      <c r="A53" s="79" t="s">
        <v>3024</v>
      </c>
      <c r="B53" s="80" t="str">
        <f t="shared" si="98"/>
        <v>ACPSZL</v>
      </c>
      <c r="C53" s="80" t="str">
        <f t="shared" si="99"/>
        <v>深圳户籍</v>
      </c>
      <c r="D53" s="80" t="str">
        <f t="shared" si="100"/>
        <v>Professional</v>
      </c>
      <c r="E53" s="80">
        <f t="shared" si="101"/>
        <v>0</v>
      </c>
      <c r="F53" s="81">
        <f t="shared" si="102"/>
        <v>27000</v>
      </c>
      <c r="G53" s="81"/>
      <c r="H53" s="82" t="str">
        <f t="shared" si="103"/>
        <v>林秋蝶</v>
      </c>
      <c r="I53" s="83">
        <f t="shared" si="104"/>
        <v>0</v>
      </c>
      <c r="J53" s="82"/>
      <c r="K53" s="84"/>
      <c r="L53" s="84"/>
      <c r="M53" s="84"/>
      <c r="N53" s="84"/>
      <c r="O53" s="84"/>
      <c r="P53" s="84"/>
      <c r="Q53" s="84"/>
      <c r="R53" s="84"/>
      <c r="S53" s="84"/>
      <c r="T53" s="84"/>
      <c r="U53" s="84"/>
      <c r="V53" s="84"/>
      <c r="W53" s="85">
        <f t="shared" ref="W53:AG53" si="109">IF(VLOOKUP($H53,$H$15:$AH$46,W$16,FALSE)&gt;$Y$8,$Y$8*$AA$8,VLOOKUP($H53,$H$15:$AH$46,W$16,FALSE)*$AA$8)</f>
        <v>4590</v>
      </c>
      <c r="X53" s="85">
        <f t="shared" si="109"/>
        <v>4590</v>
      </c>
      <c r="Y53" s="85">
        <f t="shared" si="109"/>
        <v>4590</v>
      </c>
      <c r="Z53" s="85">
        <f t="shared" si="109"/>
        <v>4590</v>
      </c>
      <c r="AA53" s="85">
        <f t="shared" si="109"/>
        <v>4590</v>
      </c>
      <c r="AB53" s="85">
        <f t="shared" si="109"/>
        <v>4590</v>
      </c>
      <c r="AC53" s="85">
        <f t="shared" si="109"/>
        <v>4590</v>
      </c>
      <c r="AD53" s="85">
        <f t="shared" si="109"/>
        <v>4590</v>
      </c>
      <c r="AE53" s="85">
        <f t="shared" si="109"/>
        <v>4590</v>
      </c>
      <c r="AF53" s="85">
        <f t="shared" si="109"/>
        <v>4590</v>
      </c>
      <c r="AG53" s="85">
        <f t="shared" si="109"/>
        <v>4590</v>
      </c>
      <c r="AH53" s="85">
        <f>IF(VLOOKUP($H53,$H$15:$AU$46,AH$16,FALSE)&gt;$Y$8,$Y$8*$AA$8,VLOOKUP($H53,$H$15:$AU$46,AH$16,FALSE)*$AA$8)</f>
        <v>4590</v>
      </c>
      <c r="AI53" s="86">
        <f t="shared" si="107"/>
        <v>55080</v>
      </c>
      <c r="AJ53" s="85">
        <f t="shared" ref="AJ53:AU53" si="110">IF(VLOOKUP($H53,$H$15:$AU$46,AJ$16,FALSE)&gt;$Y$8,$Y$8*$AA$8,VLOOKUP($H53,$H$15:$AU$46,AJ$16,FALSE)*$AA$8)</f>
        <v>4683.33</v>
      </c>
      <c r="AK53" s="85">
        <f t="shared" si="110"/>
        <v>4683.33</v>
      </c>
      <c r="AL53" s="85">
        <f t="shared" si="110"/>
        <v>4683.33</v>
      </c>
      <c r="AM53" s="85">
        <f t="shared" si="110"/>
        <v>4683.33</v>
      </c>
      <c r="AN53" s="85">
        <f t="shared" si="110"/>
        <v>4683.33</v>
      </c>
      <c r="AO53" s="85">
        <f t="shared" si="110"/>
        <v>4683.33</v>
      </c>
      <c r="AP53" s="85">
        <f t="shared" si="110"/>
        <v>4683.33</v>
      </c>
      <c r="AQ53" s="85">
        <f t="shared" si="110"/>
        <v>4683.33</v>
      </c>
      <c r="AR53" s="85">
        <f t="shared" si="110"/>
        <v>4683.33</v>
      </c>
      <c r="AS53" s="85">
        <f t="shared" si="110"/>
        <v>4683.33</v>
      </c>
      <c r="AT53" s="85">
        <f t="shared" si="110"/>
        <v>4683.33</v>
      </c>
      <c r="AU53" s="85">
        <f t="shared" si="110"/>
        <v>4683.33</v>
      </c>
      <c r="AV53" s="86">
        <f t="shared" si="105"/>
        <v>56199.960000000014</v>
      </c>
      <c r="AW53" s="87"/>
      <c r="AX53" s="88"/>
      <c r="AY53" s="88"/>
    </row>
    <row r="54" spans="1:51">
      <c r="A54" s="79" t="s">
        <v>3024</v>
      </c>
      <c r="B54" s="80" t="str">
        <f t="shared" si="98"/>
        <v>ACPLSZ</v>
      </c>
      <c r="C54" s="80" t="str">
        <f t="shared" si="99"/>
        <v>深圳户籍</v>
      </c>
      <c r="D54" s="80" t="str">
        <f t="shared" si="100"/>
        <v>Professional</v>
      </c>
      <c r="E54" s="80">
        <f t="shared" si="101"/>
        <v>0</v>
      </c>
      <c r="F54" s="81">
        <f t="shared" si="102"/>
        <v>17000</v>
      </c>
      <c r="G54" s="81"/>
      <c r="H54" s="82" t="str">
        <f t="shared" si="103"/>
        <v>陈斌捷</v>
      </c>
      <c r="I54" s="83">
        <f t="shared" si="104"/>
        <v>8.8235294117646967E-2</v>
      </c>
      <c r="J54" s="82"/>
      <c r="K54" s="84"/>
      <c r="L54" s="84"/>
      <c r="M54" s="84"/>
      <c r="N54" s="84"/>
      <c r="O54" s="84"/>
      <c r="P54" s="84"/>
      <c r="Q54" s="84"/>
      <c r="R54" s="84"/>
      <c r="S54" s="84"/>
      <c r="T54" s="84"/>
      <c r="U54" s="84"/>
      <c r="V54" s="84"/>
      <c r="W54" s="85">
        <f>IF(VLOOKUP($H54,$H$15:$AH$46,W$16,FALSE)&gt;$Y$8,$Y$8*$AA$8,VLOOKUP($H54,$H$15:$AH$46,W$16,FALSE)*$AA$8)</f>
        <v>2890</v>
      </c>
      <c r="X54" s="85">
        <f>IF(VLOOKUP($H54,$H$15:$AH$46,X$16,FALSE)&gt;$Y$8,$Y$8*$AA$8,VLOOKUP($H54,$H$15:$AH$46,X$16,FALSE)*$AA$8)</f>
        <v>2890</v>
      </c>
      <c r="Y54" s="85">
        <f>IF(VLOOKUP($H54,$H$15:$AH$46,Y$16,FALSE)&gt;$Y$8,$Y$8*$AA$8,VLOOKUP($H54,$H$15:$AH$46,Y$16,FALSE)*$AA$8)</f>
        <v>2890</v>
      </c>
      <c r="Z54" s="85">
        <f>IF(VLOOKUP($H54,$H$15:$AH$46,Z$16,FALSE)&gt;$Y$8,$Y$8*$AA$8,VLOOKUP($H54,$H$15:$AH$46,Z$16,FALSE)*$AA$8)</f>
        <v>3145</v>
      </c>
      <c r="AA54" s="85">
        <f>IF(VLOOKUP($H54,$H$15:$AH$46,AA$16,FALSE)&gt;$Y$8,$Y$8*$AA$8,VLOOKUP($H54,$H$15:$AH$46,AA$16,FALSE)*$AA$8)</f>
        <v>3145</v>
      </c>
      <c r="AB54" s="85">
        <v>2890</v>
      </c>
      <c r="AC54" s="85">
        <f>IF(VLOOKUP($H54,$H$15:$AH$46,AC$16,FALSE)&gt;$Y$8,$Y$8*$AA$8,VLOOKUP($H54,$H$15:$AH$46,AC$16,FALSE)*$AA$8)</f>
        <v>3145</v>
      </c>
      <c r="AD54" s="85">
        <f>IF(VLOOKUP($H54,$H$15:$AH$46,AD$16,FALSE)&gt;$Y$8,$Y$8*$AA$8,VLOOKUP($H54,$H$15:$AH$46,AD$16,FALSE)*$AA$8)</f>
        <v>3145</v>
      </c>
      <c r="AE54" s="85">
        <f>IF(VLOOKUP($H54,$H$15:$AH$46,AE$16,FALSE)&gt;$Y$8,$Y$8*$AA$8,VLOOKUP($H54,$H$15:$AH$46,AE$16,FALSE)*$AA$8)</f>
        <v>3145</v>
      </c>
      <c r="AF54" s="85">
        <f>IF(VLOOKUP($H54,$H$15:$AH$46,AF$16,FALSE)&gt;$Y$8,$Y$8*$AA$8,VLOOKUP($H54,$H$15:$AH$46,AF$16,FALSE)*$AA$8)</f>
        <v>3145</v>
      </c>
      <c r="AG54" s="85">
        <f>IF(VLOOKUP($H54,$H$15:$AH$46,AG$16,FALSE)&gt;$Y$8,$Y$8*$AA$8,VLOOKUP($H54,$H$15:$AH$46,AG$16,FALSE)*$AA$8)</f>
        <v>3145</v>
      </c>
      <c r="AH54" s="85">
        <f>IF(VLOOKUP($H54,$H$15:$AU$46,AH$16,FALSE)&gt;$Y$8,$Y$8*$AA$8,VLOOKUP($H54,$H$15:$AU$46,AH$16,FALSE)*$AA$8)</f>
        <v>3145</v>
      </c>
      <c r="AI54" s="86">
        <f t="shared" si="107"/>
        <v>36720</v>
      </c>
      <c r="AJ54" s="85">
        <f t="shared" ref="AJ54:AU54" si="111">IF(VLOOKUP($H54,$H$15:$AU$46,AJ$16,FALSE)&gt;$Y$8,$Y$8*$AA$8,VLOOKUP($H54,$H$15:$AU$46,AJ$16,FALSE)*$AA$8)</f>
        <v>3302.2500000000005</v>
      </c>
      <c r="AK54" s="85">
        <f t="shared" si="111"/>
        <v>3302.2500000000005</v>
      </c>
      <c r="AL54" s="85">
        <f t="shared" si="111"/>
        <v>3302.2500000000005</v>
      </c>
      <c r="AM54" s="85">
        <f t="shared" si="111"/>
        <v>3302.2500000000005</v>
      </c>
      <c r="AN54" s="85">
        <f t="shared" si="111"/>
        <v>3302.2500000000005</v>
      </c>
      <c r="AO54" s="85">
        <f t="shared" si="111"/>
        <v>3302.2500000000005</v>
      </c>
      <c r="AP54" s="85">
        <f t="shared" si="111"/>
        <v>3302.2500000000005</v>
      </c>
      <c r="AQ54" s="85">
        <f t="shared" si="111"/>
        <v>3302.2500000000005</v>
      </c>
      <c r="AR54" s="85">
        <f t="shared" si="111"/>
        <v>3302.2500000000005</v>
      </c>
      <c r="AS54" s="85">
        <f t="shared" si="111"/>
        <v>3302.2500000000005</v>
      </c>
      <c r="AT54" s="85">
        <f t="shared" si="111"/>
        <v>3302.2500000000005</v>
      </c>
      <c r="AU54" s="85">
        <f t="shared" si="111"/>
        <v>3302.2500000000005</v>
      </c>
      <c r="AV54" s="86">
        <f t="shared" si="105"/>
        <v>39627.000000000007</v>
      </c>
      <c r="AW54" s="87"/>
      <c r="AX54" s="88"/>
      <c r="AY54" s="88"/>
    </row>
    <row r="55" spans="1:51">
      <c r="A55" s="79" t="s">
        <v>3024</v>
      </c>
      <c r="B55" s="80" t="str">
        <f t="shared" si="98"/>
        <v>ACPSZL</v>
      </c>
      <c r="C55" s="80" t="str">
        <f t="shared" si="99"/>
        <v>深圳户籍</v>
      </c>
      <c r="D55" s="80" t="str">
        <f t="shared" si="100"/>
        <v>Professional</v>
      </c>
      <c r="E55" s="80">
        <f t="shared" si="101"/>
        <v>0</v>
      </c>
      <c r="F55" s="82">
        <f t="shared" si="102"/>
        <v>20000</v>
      </c>
      <c r="G55" s="82"/>
      <c r="H55" s="82" t="str">
        <f t="shared" si="103"/>
        <v>陈广华</v>
      </c>
      <c r="I55" s="83">
        <f t="shared" si="104"/>
        <v>0</v>
      </c>
      <c r="J55" s="82"/>
      <c r="K55" s="84"/>
      <c r="L55" s="84"/>
      <c r="M55" s="84"/>
      <c r="N55" s="84"/>
      <c r="O55" s="84"/>
      <c r="P55" s="84"/>
      <c r="Q55" s="84"/>
      <c r="R55" s="84"/>
      <c r="S55" s="84"/>
      <c r="T55" s="84"/>
      <c r="U55" s="84"/>
      <c r="V55" s="84"/>
      <c r="W55" s="85">
        <f t="shared" ref="W55:AG55" si="112">IF(VLOOKUP($H55,$H$15:$AH$46,W$16,FALSE)&gt;$Y$8,$Y$8*$AA$8,VLOOKUP($H55,$H$15:$AH$46,W$16,FALSE)*$AA$8)</f>
        <v>3400.0000000000005</v>
      </c>
      <c r="X55" s="85">
        <f t="shared" si="112"/>
        <v>3400.0000000000005</v>
      </c>
      <c r="Y55" s="85">
        <f t="shared" si="112"/>
        <v>3400.0000000000005</v>
      </c>
      <c r="Z55" s="85">
        <f t="shared" si="112"/>
        <v>3400.0000000000005</v>
      </c>
      <c r="AA55" s="85">
        <f t="shared" si="112"/>
        <v>3400.0000000000005</v>
      </c>
      <c r="AB55" s="85">
        <f t="shared" si="112"/>
        <v>3400.0000000000005</v>
      </c>
      <c r="AC55" s="85">
        <f t="shared" si="112"/>
        <v>3400.0000000000005</v>
      </c>
      <c r="AD55" s="85">
        <f t="shared" si="112"/>
        <v>3400.0000000000005</v>
      </c>
      <c r="AE55" s="85">
        <f t="shared" si="112"/>
        <v>3400.0000000000005</v>
      </c>
      <c r="AF55" s="85">
        <f t="shared" si="112"/>
        <v>3400.0000000000005</v>
      </c>
      <c r="AG55" s="85">
        <f t="shared" si="112"/>
        <v>3400.0000000000005</v>
      </c>
      <c r="AH55" s="85">
        <f>IF(VLOOKUP($H55,$H$15:$AU$46,AH$16,FALSE)&gt;$Y$8,$Y$8*$AA$8,VLOOKUP($H55,$H$15:$AU$46,AH$16,FALSE)*$AA$8)</f>
        <v>3400.0000000000005</v>
      </c>
      <c r="AI55" s="86">
        <f t="shared" si="107"/>
        <v>40800.000000000007</v>
      </c>
      <c r="AJ55" s="85">
        <f t="shared" ref="AJ55:AU55" si="113">IF(VLOOKUP($H55,$H$15:$AU$46,AJ$16,FALSE)&gt;$Y$8,$Y$8*$AA$8,VLOOKUP($H55,$H$15:$AU$46,AJ$16,FALSE)*$AA$8)</f>
        <v>3570.0000000000005</v>
      </c>
      <c r="AK55" s="85">
        <f t="shared" si="113"/>
        <v>3570.0000000000005</v>
      </c>
      <c r="AL55" s="85">
        <f t="shared" si="113"/>
        <v>3570.0000000000005</v>
      </c>
      <c r="AM55" s="85">
        <f t="shared" si="113"/>
        <v>3570.0000000000005</v>
      </c>
      <c r="AN55" s="85">
        <f t="shared" si="113"/>
        <v>3570.0000000000005</v>
      </c>
      <c r="AO55" s="85">
        <f t="shared" si="113"/>
        <v>3570.0000000000005</v>
      </c>
      <c r="AP55" s="85">
        <f t="shared" si="113"/>
        <v>3570.0000000000005</v>
      </c>
      <c r="AQ55" s="85">
        <f t="shared" si="113"/>
        <v>3570.0000000000005</v>
      </c>
      <c r="AR55" s="85">
        <f t="shared" si="113"/>
        <v>3570.0000000000005</v>
      </c>
      <c r="AS55" s="85">
        <f t="shared" si="113"/>
        <v>3570.0000000000005</v>
      </c>
      <c r="AT55" s="85">
        <f t="shared" si="113"/>
        <v>3570.0000000000005</v>
      </c>
      <c r="AU55" s="85">
        <f t="shared" si="113"/>
        <v>3570.0000000000005</v>
      </c>
      <c r="AV55" s="86">
        <f t="shared" si="105"/>
        <v>42840.000000000007</v>
      </c>
      <c r="AW55" s="87"/>
      <c r="AX55" s="88"/>
      <c r="AY55" s="88"/>
    </row>
    <row r="56" spans="1:51">
      <c r="A56" s="79" t="s">
        <v>3024</v>
      </c>
      <c r="B56" s="80" t="str">
        <f t="shared" si="98"/>
        <v>ACPSZL</v>
      </c>
      <c r="C56" s="80" t="str">
        <f t="shared" si="99"/>
        <v>非深圳户籍</v>
      </c>
      <c r="D56" s="80" t="str">
        <f t="shared" si="100"/>
        <v>Professional</v>
      </c>
      <c r="E56" s="80">
        <f t="shared" si="101"/>
        <v>0</v>
      </c>
      <c r="F56" s="82">
        <f t="shared" si="102"/>
        <v>50000</v>
      </c>
      <c r="G56" s="82"/>
      <c r="H56" s="82" t="str">
        <f t="shared" si="103"/>
        <v>冷雨尘</v>
      </c>
      <c r="I56" s="83">
        <f t="shared" si="104"/>
        <v>0</v>
      </c>
      <c r="J56" s="82"/>
      <c r="K56" s="84"/>
      <c r="L56" s="84"/>
      <c r="M56" s="84"/>
      <c r="N56" s="84"/>
      <c r="O56" s="84"/>
      <c r="P56" s="84"/>
      <c r="Q56" s="84"/>
      <c r="R56" s="84"/>
      <c r="S56" s="84"/>
      <c r="T56" s="84"/>
      <c r="U56" s="84"/>
      <c r="V56" s="84"/>
      <c r="W56" s="85">
        <f t="shared" ref="W56:AH56" si="114">IF(VLOOKUP($H56,$H$15:$AH$46,W$16,FALSE)&gt;$Y$8,$Y$8*$AA$9,VLOOKUP($H56,$H$15:$AH$46,W$16,FALSE)*$AA$9)</f>
        <v>4407.84</v>
      </c>
      <c r="X56" s="85">
        <f t="shared" si="114"/>
        <v>4407.84</v>
      </c>
      <c r="Y56" s="85">
        <f t="shared" si="114"/>
        <v>4407.84</v>
      </c>
      <c r="Z56" s="85">
        <f t="shared" si="114"/>
        <v>4407.84</v>
      </c>
      <c r="AA56" s="85">
        <f t="shared" si="114"/>
        <v>4407.84</v>
      </c>
      <c r="AB56" s="85">
        <f t="shared" si="114"/>
        <v>4407.84</v>
      </c>
      <c r="AC56" s="85">
        <f t="shared" si="114"/>
        <v>4407.84</v>
      </c>
      <c r="AD56" s="85">
        <f t="shared" si="114"/>
        <v>4407.84</v>
      </c>
      <c r="AE56" s="85">
        <f t="shared" si="114"/>
        <v>4407.84</v>
      </c>
      <c r="AF56" s="85">
        <f t="shared" si="114"/>
        <v>4407.84</v>
      </c>
      <c r="AG56" s="85">
        <f t="shared" si="114"/>
        <v>4407.84</v>
      </c>
      <c r="AH56" s="85">
        <f t="shared" si="114"/>
        <v>4407.84</v>
      </c>
      <c r="AI56" s="86">
        <f t="shared" si="107"/>
        <v>52894.079999999987</v>
      </c>
      <c r="AJ56" s="85">
        <f t="shared" ref="AJ56:AU56" si="115">IF(VLOOKUP($H56,$H$15:$AU$46,AJ$16,FALSE)&gt;$Y$8,$Y$8*$AA$8,VLOOKUP($H56,$H$15:$AU$46,AJ$16,FALSE)*$AA$8)</f>
        <v>4683.33</v>
      </c>
      <c r="AK56" s="85">
        <f t="shared" si="115"/>
        <v>4683.33</v>
      </c>
      <c r="AL56" s="85">
        <f t="shared" si="115"/>
        <v>4683.33</v>
      </c>
      <c r="AM56" s="85">
        <f t="shared" si="115"/>
        <v>4683.33</v>
      </c>
      <c r="AN56" s="85">
        <f t="shared" si="115"/>
        <v>4683.33</v>
      </c>
      <c r="AO56" s="85">
        <f t="shared" si="115"/>
        <v>4683.33</v>
      </c>
      <c r="AP56" s="85">
        <f t="shared" si="115"/>
        <v>4683.33</v>
      </c>
      <c r="AQ56" s="85">
        <f t="shared" si="115"/>
        <v>4683.33</v>
      </c>
      <c r="AR56" s="85">
        <f t="shared" si="115"/>
        <v>4683.33</v>
      </c>
      <c r="AS56" s="85">
        <f t="shared" si="115"/>
        <v>4683.33</v>
      </c>
      <c r="AT56" s="85">
        <f t="shared" si="115"/>
        <v>4683.33</v>
      </c>
      <c r="AU56" s="85">
        <f t="shared" si="115"/>
        <v>4683.33</v>
      </c>
      <c r="AV56" s="86">
        <f t="shared" si="105"/>
        <v>56199.960000000014</v>
      </c>
      <c r="AW56" s="87"/>
      <c r="AX56" s="88"/>
      <c r="AY56" s="88"/>
    </row>
    <row r="57" spans="1:51">
      <c r="A57" s="79" t="s">
        <v>3024</v>
      </c>
      <c r="B57" s="80" t="str">
        <f t="shared" si="98"/>
        <v>ACPSZL</v>
      </c>
      <c r="C57" s="80" t="str">
        <f t="shared" si="99"/>
        <v>深圳户籍</v>
      </c>
      <c r="D57" s="80" t="str">
        <f t="shared" si="100"/>
        <v>Professional</v>
      </c>
      <c r="E57" s="80">
        <f t="shared" si="101"/>
        <v>0</v>
      </c>
      <c r="F57" s="82">
        <f t="shared" si="102"/>
        <v>35000</v>
      </c>
      <c r="G57" s="82"/>
      <c r="H57" s="82" t="str">
        <f t="shared" si="103"/>
        <v>李敏宽</v>
      </c>
      <c r="I57" s="83">
        <f t="shared" si="104"/>
        <v>0.14285714285714279</v>
      </c>
      <c r="J57" s="82"/>
      <c r="K57" s="84"/>
      <c r="L57" s="84"/>
      <c r="M57" s="84"/>
      <c r="N57" s="84"/>
      <c r="O57" s="84"/>
      <c r="P57" s="84"/>
      <c r="Q57" s="84"/>
      <c r="R57" s="84"/>
      <c r="S57" s="84"/>
      <c r="T57" s="84"/>
      <c r="U57" s="84"/>
      <c r="V57" s="84"/>
      <c r="W57" s="85">
        <f>IF(VLOOKUP($H57,$H$15:$AH$46,W$16,FALSE)&gt;$Y$8,$Y$8*$AA$8,VLOOKUP($H57,$H$15:$AH$46,W$16,FALSE)*$AA$8)</f>
        <v>4683.33</v>
      </c>
      <c r="X57" s="85">
        <f>IF(VLOOKUP($H57,$H$15:$AH$46,X$16,FALSE)&gt;$Y$8,$Y$8*$AA$8,VLOOKUP($H57,$H$15:$AH$46,X$16,FALSE)*$AA$8)</f>
        <v>4683.33</v>
      </c>
      <c r="Y57" s="85">
        <f t="shared" ref="Y57:AG57" si="116">IF(VLOOKUP($H57,$H$15:$AH$46,Y$16,FALSE)&gt;$Y$8,$Y$8*$AA$8,VLOOKUP($H57,$H$15:$AH$46,Y$16,FALSE)*$AA$8)</f>
        <v>4683.33</v>
      </c>
      <c r="Z57" s="85">
        <f t="shared" si="116"/>
        <v>4683.33</v>
      </c>
      <c r="AA57" s="85">
        <f t="shared" si="116"/>
        <v>4683.33</v>
      </c>
      <c r="AB57" s="85">
        <f t="shared" si="116"/>
        <v>4683.33</v>
      </c>
      <c r="AC57" s="85">
        <f t="shared" si="116"/>
        <v>4683.33</v>
      </c>
      <c r="AD57" s="85">
        <f t="shared" si="116"/>
        <v>4683.33</v>
      </c>
      <c r="AE57" s="85">
        <f t="shared" si="116"/>
        <v>4683.33</v>
      </c>
      <c r="AF57" s="85">
        <f t="shared" si="116"/>
        <v>4683.33</v>
      </c>
      <c r="AG57" s="85">
        <f t="shared" si="116"/>
        <v>4683.33</v>
      </c>
      <c r="AH57" s="85">
        <f>IF(VLOOKUP($H57,$H$15:$AU$46,AH$16,FALSE)&gt;$Y$8,$Y$8*$AA$8,VLOOKUP($H57,$H$15:$AU$46,AH$16,FALSE)*$AA$8)</f>
        <v>4683.33</v>
      </c>
      <c r="AI57" s="86">
        <f t="shared" si="107"/>
        <v>56199.960000000014</v>
      </c>
      <c r="AJ57" s="85">
        <f t="shared" ref="AJ57:AU57" si="117">IF(VLOOKUP($H57,$H$15:$AU$46,AJ$16,FALSE)&gt;$Y$8,$Y$8*$AA$8,VLOOKUP($H57,$H$15:$AU$46,AJ$16,FALSE)*$AA$8)</f>
        <v>4683.33</v>
      </c>
      <c r="AK57" s="85">
        <f t="shared" si="117"/>
        <v>4683.33</v>
      </c>
      <c r="AL57" s="85">
        <f t="shared" si="117"/>
        <v>4683.33</v>
      </c>
      <c r="AM57" s="85">
        <f t="shared" si="117"/>
        <v>4683.33</v>
      </c>
      <c r="AN57" s="85">
        <f t="shared" si="117"/>
        <v>4683.33</v>
      </c>
      <c r="AO57" s="85">
        <f t="shared" si="117"/>
        <v>4683.33</v>
      </c>
      <c r="AP57" s="85">
        <f t="shared" si="117"/>
        <v>4683.33</v>
      </c>
      <c r="AQ57" s="85">
        <f t="shared" si="117"/>
        <v>4683.33</v>
      </c>
      <c r="AR57" s="85">
        <f t="shared" si="117"/>
        <v>4683.33</v>
      </c>
      <c r="AS57" s="85">
        <f t="shared" si="117"/>
        <v>4683.33</v>
      </c>
      <c r="AT57" s="85">
        <f t="shared" si="117"/>
        <v>4683.33</v>
      </c>
      <c r="AU57" s="85">
        <f t="shared" si="117"/>
        <v>4683.33</v>
      </c>
      <c r="AV57" s="86">
        <f t="shared" si="105"/>
        <v>56199.960000000014</v>
      </c>
      <c r="AW57" s="87"/>
      <c r="AX57" s="88"/>
      <c r="AY57" s="88"/>
    </row>
    <row r="58" spans="1:51">
      <c r="A58" s="79" t="s">
        <v>3024</v>
      </c>
      <c r="B58" s="80" t="str">
        <f t="shared" si="98"/>
        <v>ACPLSZ</v>
      </c>
      <c r="C58" s="80" t="str">
        <f t="shared" si="99"/>
        <v>非深圳户籍</v>
      </c>
      <c r="D58" s="80" t="str">
        <f t="shared" si="100"/>
        <v>Professional</v>
      </c>
      <c r="E58" s="80">
        <f t="shared" si="101"/>
        <v>0</v>
      </c>
      <c r="F58" s="81">
        <f t="shared" si="102"/>
        <v>44250</v>
      </c>
      <c r="G58" s="81"/>
      <c r="H58" s="82" t="str">
        <f t="shared" si="103"/>
        <v>高焙</v>
      </c>
      <c r="I58" s="83">
        <f t="shared" si="104"/>
        <v>0.12994350282485878</v>
      </c>
      <c r="J58" s="82"/>
      <c r="K58" s="84"/>
      <c r="L58" s="84"/>
      <c r="M58" s="84"/>
      <c r="N58" s="84"/>
      <c r="O58" s="84"/>
      <c r="P58" s="84"/>
      <c r="Q58" s="84"/>
      <c r="R58" s="84"/>
      <c r="S58" s="84"/>
      <c r="T58" s="84"/>
      <c r="U58" s="84"/>
      <c r="V58" s="84"/>
      <c r="W58" s="85">
        <f t="shared" ref="W58:AH58" si="118">IF(VLOOKUP($H58,$H$15:$AH$46,W$16,FALSE)&gt;$Y$9,$Y$9*$AA$9,VLOOKUP($H58,$H$15:$AH$46,W$16,FALSE)*$AA$9)</f>
        <v>4407.84</v>
      </c>
      <c r="X58" s="85">
        <f t="shared" si="118"/>
        <v>4407.84</v>
      </c>
      <c r="Y58" s="85">
        <f t="shared" si="118"/>
        <v>4407.84</v>
      </c>
      <c r="Z58" s="85">
        <f t="shared" si="118"/>
        <v>4407.84</v>
      </c>
      <c r="AA58" s="85">
        <f t="shared" si="118"/>
        <v>4407.84</v>
      </c>
      <c r="AB58" s="85">
        <f t="shared" si="118"/>
        <v>4407.84</v>
      </c>
      <c r="AC58" s="85">
        <f t="shared" si="118"/>
        <v>4407.84</v>
      </c>
      <c r="AD58" s="85">
        <f t="shared" si="118"/>
        <v>4407.84</v>
      </c>
      <c r="AE58" s="85">
        <f t="shared" si="118"/>
        <v>4407.84</v>
      </c>
      <c r="AF58" s="85">
        <f t="shared" si="118"/>
        <v>4407.84</v>
      </c>
      <c r="AG58" s="85">
        <f t="shared" si="118"/>
        <v>4407.84</v>
      </c>
      <c r="AH58" s="85">
        <f t="shared" si="118"/>
        <v>4407.84</v>
      </c>
      <c r="AI58" s="86">
        <f t="shared" si="107"/>
        <v>52894.079999999987</v>
      </c>
      <c r="AJ58" s="85">
        <f t="shared" ref="AJ58:AU58" si="119">IF(VLOOKUP($H58,$H$15:$AU$46,AJ$16,FALSE)&gt;$Y$9,$Y$9*$AA$9,VLOOKUP($H58,$H$15:$AU$46,AJ$16,FALSE)*$AA$9)</f>
        <v>4407.84</v>
      </c>
      <c r="AK58" s="85">
        <f t="shared" si="119"/>
        <v>4407.84</v>
      </c>
      <c r="AL58" s="85">
        <f t="shared" si="119"/>
        <v>4407.84</v>
      </c>
      <c r="AM58" s="85">
        <f t="shared" si="119"/>
        <v>4407.84</v>
      </c>
      <c r="AN58" s="85">
        <f t="shared" si="119"/>
        <v>4407.84</v>
      </c>
      <c r="AO58" s="85">
        <f t="shared" si="119"/>
        <v>4407.84</v>
      </c>
      <c r="AP58" s="85">
        <f t="shared" si="119"/>
        <v>4407.84</v>
      </c>
      <c r="AQ58" s="85">
        <f t="shared" si="119"/>
        <v>4407.84</v>
      </c>
      <c r="AR58" s="85">
        <f t="shared" si="119"/>
        <v>4407.84</v>
      </c>
      <c r="AS58" s="85">
        <f t="shared" si="119"/>
        <v>4407.84</v>
      </c>
      <c r="AT58" s="85">
        <f t="shared" si="119"/>
        <v>4407.84</v>
      </c>
      <c r="AU58" s="85">
        <f t="shared" si="119"/>
        <v>4407.84</v>
      </c>
      <c r="AV58" s="86">
        <f t="shared" ref="AV58:AV72" si="120">SUM(AJ58:AU58)</f>
        <v>52894.079999999987</v>
      </c>
      <c r="AW58" s="87"/>
      <c r="AX58" s="88"/>
      <c r="AY58" s="88"/>
    </row>
    <row r="59" spans="1:51">
      <c r="A59" s="79" t="s">
        <v>3024</v>
      </c>
      <c r="B59" s="80" t="str">
        <f t="shared" si="98"/>
        <v>ACPLSZ</v>
      </c>
      <c r="C59" s="80" t="str">
        <f t="shared" si="99"/>
        <v>天津</v>
      </c>
      <c r="D59" s="80" t="str">
        <f t="shared" si="100"/>
        <v>Professional</v>
      </c>
      <c r="E59" s="80">
        <f t="shared" si="101"/>
        <v>0</v>
      </c>
      <c r="F59" s="81">
        <f t="shared" si="102"/>
        <v>44250</v>
      </c>
      <c r="G59" s="81"/>
      <c r="H59" s="82" t="str">
        <f t="shared" si="103"/>
        <v>袁玉杰</v>
      </c>
      <c r="I59" s="83">
        <f t="shared" si="104"/>
        <v>0</v>
      </c>
      <c r="J59" s="82"/>
      <c r="K59" s="84"/>
      <c r="L59" s="84"/>
      <c r="M59" s="84"/>
      <c r="N59" s="84"/>
      <c r="O59" s="84"/>
      <c r="P59" s="84"/>
      <c r="Q59" s="84"/>
      <c r="R59" s="84"/>
      <c r="S59" s="84"/>
      <c r="T59" s="84"/>
      <c r="U59" s="84"/>
      <c r="V59" s="84"/>
      <c r="W59" s="85">
        <f t="shared" ref="W59:AH59" si="121">IF(VLOOKUP($H59,$H$15:$AH$46,W$16,FALSE)&gt;$Y$6,$Y$6*$AA$6,VLOOKUP($H59,$H$15:$AH$46,W$16,FALSE)*$AA$6)</f>
        <v>4099.2</v>
      </c>
      <c r="X59" s="85">
        <f t="shared" si="121"/>
        <v>4099.2</v>
      </c>
      <c r="Y59" s="85">
        <f t="shared" si="121"/>
        <v>0</v>
      </c>
      <c r="Z59" s="85">
        <f t="shared" si="121"/>
        <v>0</v>
      </c>
      <c r="AA59" s="85">
        <f t="shared" si="121"/>
        <v>0</v>
      </c>
      <c r="AB59" s="85">
        <f t="shared" si="121"/>
        <v>0</v>
      </c>
      <c r="AC59" s="85">
        <f t="shared" si="121"/>
        <v>0</v>
      </c>
      <c r="AD59" s="85">
        <f t="shared" si="121"/>
        <v>0</v>
      </c>
      <c r="AE59" s="85">
        <f t="shared" si="121"/>
        <v>0</v>
      </c>
      <c r="AF59" s="85">
        <f t="shared" si="121"/>
        <v>0</v>
      </c>
      <c r="AG59" s="85">
        <f t="shared" si="121"/>
        <v>0</v>
      </c>
      <c r="AH59" s="85">
        <f t="shared" si="121"/>
        <v>0</v>
      </c>
      <c r="AI59" s="86">
        <f t="shared" si="107"/>
        <v>8198.4</v>
      </c>
      <c r="AJ59" s="85">
        <f t="shared" ref="AJ59:AU59" si="122">IF(VLOOKUP($H59,$H$15:$AU$46,AJ$16,FALSE)&gt;$Y$6,$Y$6*$AA$6,VLOOKUP($H59,$H$15:$AU$46,AJ$16,FALSE)*$AA$6)</f>
        <v>4099.2</v>
      </c>
      <c r="AK59" s="85">
        <f t="shared" si="122"/>
        <v>4099.2</v>
      </c>
      <c r="AL59" s="85">
        <f t="shared" si="122"/>
        <v>4099.2</v>
      </c>
      <c r="AM59" s="85">
        <f t="shared" si="122"/>
        <v>4099.2</v>
      </c>
      <c r="AN59" s="85">
        <f t="shared" si="122"/>
        <v>4099.2</v>
      </c>
      <c r="AO59" s="85">
        <f t="shared" si="122"/>
        <v>4099.2</v>
      </c>
      <c r="AP59" s="85">
        <f t="shared" si="122"/>
        <v>4099.2</v>
      </c>
      <c r="AQ59" s="85">
        <f t="shared" si="122"/>
        <v>4099.2</v>
      </c>
      <c r="AR59" s="85">
        <f t="shared" si="122"/>
        <v>4099.2</v>
      </c>
      <c r="AS59" s="85">
        <f t="shared" si="122"/>
        <v>4099.2</v>
      </c>
      <c r="AT59" s="85">
        <f t="shared" si="122"/>
        <v>4099.2</v>
      </c>
      <c r="AU59" s="85">
        <f t="shared" si="122"/>
        <v>4099.2</v>
      </c>
      <c r="AV59" s="86">
        <f t="shared" si="120"/>
        <v>49190.399999999987</v>
      </c>
      <c r="AW59" s="87"/>
      <c r="AX59" s="88"/>
      <c r="AY59" s="88"/>
    </row>
    <row r="60" spans="1:51">
      <c r="A60" s="79" t="s">
        <v>3024</v>
      </c>
      <c r="B60" s="80" t="str">
        <f t="shared" si="98"/>
        <v>ACPLSZ</v>
      </c>
      <c r="C60" s="80" t="str">
        <f t="shared" si="99"/>
        <v>深圳户籍</v>
      </c>
      <c r="D60" s="80" t="str">
        <f t="shared" si="100"/>
        <v>Professional</v>
      </c>
      <c r="E60" s="80">
        <f t="shared" si="101"/>
        <v>0</v>
      </c>
      <c r="F60" s="81">
        <f t="shared" si="102"/>
        <v>39000</v>
      </c>
      <c r="G60" s="81"/>
      <c r="H60" s="82" t="str">
        <f t="shared" si="103"/>
        <v>何梅春</v>
      </c>
      <c r="I60" s="83">
        <f t="shared" si="104"/>
        <v>0</v>
      </c>
      <c r="J60" s="82"/>
      <c r="K60" s="84"/>
      <c r="L60" s="84"/>
      <c r="M60" s="84"/>
      <c r="N60" s="84"/>
      <c r="O60" s="84"/>
      <c r="P60" s="84"/>
      <c r="Q60" s="84"/>
      <c r="R60" s="84"/>
      <c r="S60" s="84"/>
      <c r="T60" s="84"/>
      <c r="U60" s="84"/>
      <c r="V60" s="84"/>
      <c r="W60" s="85">
        <f t="shared" ref="W60:AG60" si="123">IF(VLOOKUP($H60,$H$15:$AH$46,W$16,FALSE)&gt;$Y$8,$Y$8*$AA$8,VLOOKUP($H60,$H$15:$AH$46,W$16,FALSE)*$AA$8)</f>
        <v>4683.33</v>
      </c>
      <c r="X60" s="85">
        <f t="shared" si="123"/>
        <v>4683.33</v>
      </c>
      <c r="Y60" s="85">
        <f t="shared" si="123"/>
        <v>4683.33</v>
      </c>
      <c r="Z60" s="85">
        <f t="shared" si="123"/>
        <v>4683.33</v>
      </c>
      <c r="AA60" s="85">
        <f t="shared" si="123"/>
        <v>4683.33</v>
      </c>
      <c r="AB60" s="85">
        <f t="shared" si="123"/>
        <v>4683.33</v>
      </c>
      <c r="AC60" s="85">
        <f t="shared" si="123"/>
        <v>4683.33</v>
      </c>
      <c r="AD60" s="85">
        <f t="shared" si="123"/>
        <v>4683.33</v>
      </c>
      <c r="AE60" s="85">
        <f t="shared" si="123"/>
        <v>4683.33</v>
      </c>
      <c r="AF60" s="85">
        <f t="shared" si="123"/>
        <v>4683.33</v>
      </c>
      <c r="AG60" s="85">
        <f t="shared" si="123"/>
        <v>4683.33</v>
      </c>
      <c r="AH60" s="85">
        <f>IF(VLOOKUP($H60,$H$15:$AU$46,AH$16,FALSE)&gt;$Y$8,$Y$8*$AA$8,VLOOKUP($H60,$H$15:$AU$46,AH$16,FALSE)*$AA$8)</f>
        <v>4683.33</v>
      </c>
      <c r="AI60" s="86">
        <f t="shared" si="107"/>
        <v>56199.960000000014</v>
      </c>
      <c r="AJ60" s="85">
        <f t="shared" ref="AJ60:AU60" si="124">IF(VLOOKUP($H60,$H$15:$AU$46,AJ$16,FALSE)&gt;$Y$8,$Y$8*$AA$8,VLOOKUP($H60,$H$15:$AU$46,AJ$16,FALSE)*$AA$8)</f>
        <v>4683.33</v>
      </c>
      <c r="AK60" s="85">
        <f t="shared" si="124"/>
        <v>4683.33</v>
      </c>
      <c r="AL60" s="85">
        <f t="shared" si="124"/>
        <v>4683.33</v>
      </c>
      <c r="AM60" s="85">
        <f t="shared" si="124"/>
        <v>4683.33</v>
      </c>
      <c r="AN60" s="85">
        <f t="shared" si="124"/>
        <v>4683.33</v>
      </c>
      <c r="AO60" s="85">
        <f t="shared" si="124"/>
        <v>4683.33</v>
      </c>
      <c r="AP60" s="85">
        <f t="shared" si="124"/>
        <v>4683.33</v>
      </c>
      <c r="AQ60" s="85">
        <f t="shared" si="124"/>
        <v>4683.33</v>
      </c>
      <c r="AR60" s="85">
        <f t="shared" si="124"/>
        <v>4683.33</v>
      </c>
      <c r="AS60" s="85">
        <f t="shared" si="124"/>
        <v>4683.33</v>
      </c>
      <c r="AT60" s="85">
        <f t="shared" si="124"/>
        <v>4683.33</v>
      </c>
      <c r="AU60" s="85">
        <f t="shared" si="124"/>
        <v>4683.33</v>
      </c>
      <c r="AV60" s="86">
        <f t="shared" si="120"/>
        <v>56199.960000000014</v>
      </c>
      <c r="AW60" s="87"/>
      <c r="AX60" s="88"/>
      <c r="AY60" s="88"/>
    </row>
    <row r="61" spans="1:51">
      <c r="A61" s="79" t="s">
        <v>3024</v>
      </c>
      <c r="B61" s="80" t="str">
        <f t="shared" si="98"/>
        <v>ACPLSZ</v>
      </c>
      <c r="C61" s="80" t="str">
        <f t="shared" si="99"/>
        <v>非深圳户籍</v>
      </c>
      <c r="D61" s="80" t="str">
        <f t="shared" si="100"/>
        <v>Professional</v>
      </c>
      <c r="E61" s="80">
        <f t="shared" si="101"/>
        <v>0</v>
      </c>
      <c r="F61" s="81">
        <f t="shared" si="102"/>
        <v>26000</v>
      </c>
      <c r="G61" s="81"/>
      <c r="H61" s="82" t="str">
        <f t="shared" si="103"/>
        <v>闫凯</v>
      </c>
      <c r="I61" s="83">
        <f t="shared" si="104"/>
        <v>0</v>
      </c>
      <c r="J61" s="82"/>
      <c r="K61" s="84"/>
      <c r="L61" s="84"/>
      <c r="M61" s="84"/>
      <c r="N61" s="84"/>
      <c r="O61" s="84"/>
      <c r="P61" s="84"/>
      <c r="Q61" s="84"/>
      <c r="R61" s="84"/>
      <c r="S61" s="84"/>
      <c r="T61" s="84"/>
      <c r="U61" s="84"/>
      <c r="V61" s="84"/>
      <c r="W61" s="85">
        <f t="shared" ref="W61:AH61" si="125">IF(VLOOKUP($H61,$H$15:$AH$46,W$16,FALSE)&gt;$Y$9,$Y$9*$AA$9,VLOOKUP($H61,$H$15:$AH$46,W$16,FALSE)*$AA$9)</f>
        <v>4160</v>
      </c>
      <c r="X61" s="85">
        <f t="shared" si="125"/>
        <v>4160</v>
      </c>
      <c r="Y61" s="85">
        <f t="shared" si="125"/>
        <v>4160</v>
      </c>
      <c r="Z61" s="85">
        <f t="shared" si="125"/>
        <v>4160</v>
      </c>
      <c r="AA61" s="85">
        <f t="shared" si="125"/>
        <v>4160</v>
      </c>
      <c r="AB61" s="85">
        <f t="shared" si="125"/>
        <v>4160</v>
      </c>
      <c r="AC61" s="85">
        <f t="shared" si="125"/>
        <v>4160</v>
      </c>
      <c r="AD61" s="85">
        <f t="shared" si="125"/>
        <v>4160</v>
      </c>
      <c r="AE61" s="85">
        <f t="shared" si="125"/>
        <v>4160</v>
      </c>
      <c r="AF61" s="85">
        <f t="shared" si="125"/>
        <v>4160</v>
      </c>
      <c r="AG61" s="85">
        <f t="shared" si="125"/>
        <v>4160</v>
      </c>
      <c r="AH61" s="85">
        <f t="shared" si="125"/>
        <v>4160</v>
      </c>
      <c r="AI61" s="86">
        <f t="shared" si="107"/>
        <v>49920</v>
      </c>
      <c r="AJ61" s="85">
        <f t="shared" ref="AJ61:AU61" si="126">IF(VLOOKUP($H61,$H$15:$AU$46,AJ$16,FALSE)&gt;$Y$9,$Y$9*$AA$9,VLOOKUP($H61,$H$15:$AU$46,AJ$16,FALSE)*$AA$9)</f>
        <v>4368</v>
      </c>
      <c r="AK61" s="85">
        <f t="shared" si="126"/>
        <v>4368</v>
      </c>
      <c r="AL61" s="85">
        <f t="shared" si="126"/>
        <v>4368</v>
      </c>
      <c r="AM61" s="85">
        <f t="shared" si="126"/>
        <v>4368</v>
      </c>
      <c r="AN61" s="85">
        <f t="shared" si="126"/>
        <v>4368</v>
      </c>
      <c r="AO61" s="85">
        <f t="shared" si="126"/>
        <v>4368</v>
      </c>
      <c r="AP61" s="85">
        <f t="shared" si="126"/>
        <v>4368</v>
      </c>
      <c r="AQ61" s="85">
        <f t="shared" si="126"/>
        <v>4368</v>
      </c>
      <c r="AR61" s="85">
        <f t="shared" si="126"/>
        <v>4368</v>
      </c>
      <c r="AS61" s="85">
        <f t="shared" si="126"/>
        <v>4368</v>
      </c>
      <c r="AT61" s="85">
        <f t="shared" si="126"/>
        <v>4368</v>
      </c>
      <c r="AU61" s="85">
        <f t="shared" si="126"/>
        <v>4368</v>
      </c>
      <c r="AV61" s="86">
        <f t="shared" si="120"/>
        <v>52416</v>
      </c>
      <c r="AW61" s="87"/>
      <c r="AX61" s="88"/>
      <c r="AY61" s="88"/>
    </row>
    <row r="62" spans="1:51">
      <c r="A62" s="79" t="s">
        <v>3024</v>
      </c>
      <c r="B62" s="80" t="str">
        <f t="shared" si="98"/>
        <v>ACPLSZ</v>
      </c>
      <c r="C62" s="80" t="str">
        <f t="shared" si="99"/>
        <v>非深圳户籍</v>
      </c>
      <c r="D62" s="80" t="str">
        <f t="shared" si="100"/>
        <v>Professional</v>
      </c>
      <c r="E62" s="80">
        <f t="shared" si="101"/>
        <v>0</v>
      </c>
      <c r="F62" s="81">
        <f t="shared" si="102"/>
        <v>50000</v>
      </c>
      <c r="G62" s="81"/>
      <c r="H62" s="82" t="str">
        <f t="shared" si="103"/>
        <v>叶亚峰</v>
      </c>
      <c r="I62" s="83">
        <f t="shared" si="104"/>
        <v>0</v>
      </c>
      <c r="J62" s="82"/>
      <c r="K62" s="84"/>
      <c r="L62" s="84"/>
      <c r="M62" s="84"/>
      <c r="N62" s="84"/>
      <c r="O62" s="84"/>
      <c r="P62" s="84"/>
      <c r="Q62" s="84"/>
      <c r="R62" s="84"/>
      <c r="S62" s="84"/>
      <c r="T62" s="84"/>
      <c r="U62" s="84"/>
      <c r="V62" s="84"/>
      <c r="W62" s="85">
        <f t="shared" ref="W62:AH62" si="127">IF(VLOOKUP($H62,$H$15:$AH$46,W$16,FALSE)&gt;$Y$9,$Y$9*$AA$9,VLOOKUP($H62,$H$15:$AH$46,W$16,FALSE)*$AA$9)</f>
        <v>4407.84</v>
      </c>
      <c r="X62" s="85">
        <f t="shared" si="127"/>
        <v>4407.84</v>
      </c>
      <c r="Y62" s="85">
        <f t="shared" si="127"/>
        <v>4407.84</v>
      </c>
      <c r="Z62" s="85">
        <f t="shared" si="127"/>
        <v>4407.84</v>
      </c>
      <c r="AA62" s="85">
        <f t="shared" si="127"/>
        <v>4407.84</v>
      </c>
      <c r="AB62" s="85">
        <f t="shared" si="127"/>
        <v>4407.84</v>
      </c>
      <c r="AC62" s="85">
        <f t="shared" si="127"/>
        <v>4407.84</v>
      </c>
      <c r="AD62" s="85">
        <f t="shared" si="127"/>
        <v>4407.84</v>
      </c>
      <c r="AE62" s="85">
        <f t="shared" si="127"/>
        <v>4407.84</v>
      </c>
      <c r="AF62" s="85">
        <f t="shared" si="127"/>
        <v>4407.84</v>
      </c>
      <c r="AG62" s="85">
        <f t="shared" si="127"/>
        <v>4407.84</v>
      </c>
      <c r="AH62" s="85">
        <f t="shared" si="127"/>
        <v>4407.84</v>
      </c>
      <c r="AI62" s="86">
        <f t="shared" si="107"/>
        <v>52894.079999999987</v>
      </c>
      <c r="AJ62" s="85">
        <f t="shared" ref="AJ62:AU62" si="128">IF(VLOOKUP($H62,$H$15:$AU$46,AJ$16,FALSE)&gt;$Y$9,$Y$9*$AA$9,VLOOKUP($H62,$H$15:$AU$46,AJ$16,FALSE)*$AA$9)</f>
        <v>4407.84</v>
      </c>
      <c r="AK62" s="85">
        <f t="shared" si="128"/>
        <v>4407.84</v>
      </c>
      <c r="AL62" s="85">
        <f t="shared" si="128"/>
        <v>4407.84</v>
      </c>
      <c r="AM62" s="85">
        <f t="shared" si="128"/>
        <v>4407.84</v>
      </c>
      <c r="AN62" s="85">
        <f t="shared" si="128"/>
        <v>4407.84</v>
      </c>
      <c r="AO62" s="85">
        <f t="shared" si="128"/>
        <v>4407.84</v>
      </c>
      <c r="AP62" s="85">
        <f t="shared" si="128"/>
        <v>4407.84</v>
      </c>
      <c r="AQ62" s="85">
        <f t="shared" si="128"/>
        <v>4407.84</v>
      </c>
      <c r="AR62" s="85">
        <f t="shared" si="128"/>
        <v>4407.84</v>
      </c>
      <c r="AS62" s="85">
        <f t="shared" si="128"/>
        <v>4407.84</v>
      </c>
      <c r="AT62" s="85">
        <f t="shared" si="128"/>
        <v>4407.84</v>
      </c>
      <c r="AU62" s="85">
        <f t="shared" si="128"/>
        <v>4407.84</v>
      </c>
      <c r="AV62" s="86">
        <f t="shared" si="120"/>
        <v>52894.079999999987</v>
      </c>
      <c r="AW62" s="87"/>
      <c r="AX62" s="88"/>
      <c r="AY62" s="88"/>
    </row>
    <row r="63" spans="1:51">
      <c r="A63" s="79" t="s">
        <v>3024</v>
      </c>
      <c r="B63" s="80" t="str">
        <f t="shared" si="98"/>
        <v>ACPLSZ</v>
      </c>
      <c r="C63" s="91" t="s">
        <v>3020</v>
      </c>
      <c r="D63" s="80" t="str">
        <f t="shared" si="100"/>
        <v>Professional</v>
      </c>
      <c r="E63" s="80">
        <f t="shared" si="101"/>
        <v>0</v>
      </c>
      <c r="F63" s="82">
        <f t="shared" si="102"/>
        <v>90000</v>
      </c>
      <c r="G63" s="82" t="s">
        <v>3021</v>
      </c>
      <c r="H63" s="82" t="str">
        <f t="shared" si="103"/>
        <v>张乃文</v>
      </c>
      <c r="I63" s="83">
        <f t="shared" si="104"/>
        <v>0.21428571428571419</v>
      </c>
      <c r="J63" s="82"/>
      <c r="K63" s="84"/>
      <c r="L63" s="84"/>
      <c r="M63" s="84"/>
      <c r="N63" s="84"/>
      <c r="O63" s="84"/>
      <c r="P63" s="84"/>
      <c r="Q63" s="84"/>
      <c r="R63" s="84"/>
      <c r="S63" s="84"/>
      <c r="T63" s="84"/>
      <c r="U63" s="84"/>
      <c r="V63" s="84"/>
      <c r="W63" s="85">
        <v>0</v>
      </c>
      <c r="X63" s="85">
        <v>0</v>
      </c>
      <c r="Y63" s="85">
        <v>0</v>
      </c>
      <c r="Z63" s="85">
        <v>0</v>
      </c>
      <c r="AA63" s="85">
        <v>0</v>
      </c>
      <c r="AB63" s="85">
        <v>0</v>
      </c>
      <c r="AC63" s="85">
        <v>0</v>
      </c>
      <c r="AD63" s="85">
        <v>0</v>
      </c>
      <c r="AE63" s="85">
        <v>0</v>
      </c>
      <c r="AF63" s="85">
        <v>0</v>
      </c>
      <c r="AG63" s="85">
        <v>0</v>
      </c>
      <c r="AH63" s="85">
        <v>0</v>
      </c>
      <c r="AI63" s="86">
        <f t="shared" si="107"/>
        <v>0</v>
      </c>
      <c r="AJ63" s="85">
        <v>0</v>
      </c>
      <c r="AK63" s="85">
        <v>0</v>
      </c>
      <c r="AL63" s="85">
        <v>0</v>
      </c>
      <c r="AM63" s="85">
        <v>0</v>
      </c>
      <c r="AN63" s="85">
        <v>0</v>
      </c>
      <c r="AO63" s="85">
        <v>0</v>
      </c>
      <c r="AP63" s="85">
        <v>0</v>
      </c>
      <c r="AQ63" s="85">
        <v>0</v>
      </c>
      <c r="AR63" s="85">
        <v>0</v>
      </c>
      <c r="AS63" s="85">
        <v>0</v>
      </c>
      <c r="AT63" s="85">
        <v>0</v>
      </c>
      <c r="AU63" s="85">
        <v>0</v>
      </c>
      <c r="AV63" s="86">
        <f t="shared" si="120"/>
        <v>0</v>
      </c>
      <c r="AW63" s="87"/>
      <c r="AX63" s="88"/>
      <c r="AY63" s="88"/>
    </row>
    <row r="64" spans="1:51">
      <c r="A64" s="79" t="s">
        <v>3024</v>
      </c>
      <c r="B64" s="80" t="str">
        <f t="shared" si="98"/>
        <v>ACPLSZ</v>
      </c>
      <c r="C64" s="91" t="s">
        <v>3020</v>
      </c>
      <c r="D64" s="80" t="str">
        <f t="shared" si="100"/>
        <v>Professional</v>
      </c>
      <c r="E64" s="80">
        <f t="shared" si="101"/>
        <v>0</v>
      </c>
      <c r="F64" s="82">
        <f t="shared" si="102"/>
        <v>30000</v>
      </c>
      <c r="G64" s="82"/>
      <c r="H64" s="82" t="str">
        <f t="shared" si="103"/>
        <v>邓天卓</v>
      </c>
      <c r="I64" s="83">
        <f t="shared" si="104"/>
        <v>0.33333333333333326</v>
      </c>
      <c r="J64" s="82"/>
      <c r="K64" s="84"/>
      <c r="L64" s="84"/>
      <c r="M64" s="84"/>
      <c r="N64" s="84"/>
      <c r="O64" s="84"/>
      <c r="P64" s="84"/>
      <c r="Q64" s="84"/>
      <c r="R64" s="84"/>
      <c r="S64" s="84"/>
      <c r="T64" s="84"/>
      <c r="U64" s="84"/>
      <c r="V64" s="84"/>
      <c r="W64" s="85">
        <f t="shared" ref="W64:AG64" si="129">IF(VLOOKUP($H64,$H$15:$AH$46,W$16,FALSE)&gt;$Y$5,$Y$5*$AA$5,VLOOKUP($H64,$H$15:$AH$46,W$16,FALSE)*$AA$5)</f>
        <v>4800</v>
      </c>
      <c r="X64" s="85">
        <f t="shared" si="129"/>
        <v>4800</v>
      </c>
      <c r="Y64" s="85">
        <f t="shared" si="129"/>
        <v>4800</v>
      </c>
      <c r="Z64" s="85">
        <f t="shared" si="129"/>
        <v>5729.76</v>
      </c>
      <c r="AA64" s="85">
        <f t="shared" si="129"/>
        <v>5729.76</v>
      </c>
      <c r="AB64" s="85">
        <f t="shared" si="129"/>
        <v>5729.76</v>
      </c>
      <c r="AC64" s="85">
        <f t="shared" si="129"/>
        <v>5729.76</v>
      </c>
      <c r="AD64" s="85">
        <f t="shared" si="129"/>
        <v>5729.76</v>
      </c>
      <c r="AE64" s="85">
        <f t="shared" si="129"/>
        <v>5729.76</v>
      </c>
      <c r="AF64" s="85">
        <f t="shared" si="129"/>
        <v>5729.76</v>
      </c>
      <c r="AG64" s="85">
        <f t="shared" si="129"/>
        <v>5729.76</v>
      </c>
      <c r="AH64" s="85">
        <f>IF(VLOOKUP($H64,$H$15:$AU$46,AH$16,FALSE)&gt;$Y$5,$Y$5*$AA$5,VLOOKUP($H64,$H$15:$AU$46,AH$16,FALSE)*$AA$5)</f>
        <v>5729.76</v>
      </c>
      <c r="AI64" s="86">
        <f t="shared" si="107"/>
        <v>65967.840000000011</v>
      </c>
      <c r="AJ64" s="85">
        <f t="shared" ref="AJ64:AU64" si="130">IF(VLOOKUP($H64,$H$15:$AU$46,AJ$16,FALSE)&gt;$Y$5,$Y$5*$AA$5,VLOOKUP($H64,$H$15:$AU$46,AJ$16,FALSE)*$AA$5)</f>
        <v>5729.76</v>
      </c>
      <c r="AK64" s="85">
        <f t="shared" si="130"/>
        <v>5729.76</v>
      </c>
      <c r="AL64" s="85">
        <f t="shared" si="130"/>
        <v>5729.76</v>
      </c>
      <c r="AM64" s="85">
        <f t="shared" si="130"/>
        <v>5729.76</v>
      </c>
      <c r="AN64" s="85">
        <f t="shared" si="130"/>
        <v>5729.76</v>
      </c>
      <c r="AO64" s="85">
        <f t="shared" si="130"/>
        <v>5729.76</v>
      </c>
      <c r="AP64" s="85">
        <f t="shared" si="130"/>
        <v>5729.76</v>
      </c>
      <c r="AQ64" s="85">
        <f t="shared" si="130"/>
        <v>5729.76</v>
      </c>
      <c r="AR64" s="85">
        <f t="shared" si="130"/>
        <v>5729.76</v>
      </c>
      <c r="AS64" s="85">
        <f t="shared" si="130"/>
        <v>5729.76</v>
      </c>
      <c r="AT64" s="85">
        <f t="shared" si="130"/>
        <v>5729.76</v>
      </c>
      <c r="AU64" s="85">
        <f t="shared" si="130"/>
        <v>5729.76</v>
      </c>
      <c r="AV64" s="86">
        <f t="shared" si="120"/>
        <v>68757.12000000001</v>
      </c>
      <c r="AW64" s="87"/>
      <c r="AX64" s="88"/>
      <c r="AY64" s="88"/>
    </row>
    <row r="65" spans="1:51">
      <c r="A65" s="79" t="s">
        <v>3024</v>
      </c>
      <c r="B65" s="80" t="str">
        <f t="shared" si="98"/>
        <v>ACPLSZ</v>
      </c>
      <c r="C65" s="91" t="s">
        <v>3020</v>
      </c>
      <c r="D65" s="80" t="str">
        <f t="shared" si="100"/>
        <v>Professional</v>
      </c>
      <c r="E65" s="80">
        <f t="shared" si="101"/>
        <v>0</v>
      </c>
      <c r="F65" s="82">
        <f t="shared" si="102"/>
        <v>50000</v>
      </c>
      <c r="G65" s="82"/>
      <c r="H65" s="82" t="str">
        <f t="shared" si="103"/>
        <v>王志强</v>
      </c>
      <c r="I65" s="83">
        <f t="shared" si="104"/>
        <v>0</v>
      </c>
      <c r="J65" s="82"/>
      <c r="K65" s="84"/>
      <c r="L65" s="84"/>
      <c r="M65" s="84"/>
      <c r="N65" s="84"/>
      <c r="O65" s="84"/>
      <c r="P65" s="84"/>
      <c r="Q65" s="84"/>
      <c r="R65" s="84"/>
      <c r="S65" s="84"/>
      <c r="T65" s="84"/>
      <c r="U65" s="84"/>
      <c r="V65" s="84"/>
      <c r="W65" s="85">
        <f t="shared" ref="W65:AG65" si="131">IF(VLOOKUP($H65,$H$15:$AH$46,W$16,FALSE)&gt;$Y$5,$Y$5*$AA$5,VLOOKUP($H65,$H$15:$AH$46,W$16,FALSE)*$AA$5)</f>
        <v>5729.76</v>
      </c>
      <c r="X65" s="85">
        <f t="shared" si="131"/>
        <v>5729.76</v>
      </c>
      <c r="Y65" s="85">
        <f t="shared" si="131"/>
        <v>5729.76</v>
      </c>
      <c r="Z65" s="85">
        <f t="shared" si="131"/>
        <v>5729.76</v>
      </c>
      <c r="AA65" s="85">
        <f t="shared" si="131"/>
        <v>5729.76</v>
      </c>
      <c r="AB65" s="85">
        <f t="shared" si="131"/>
        <v>5729.76</v>
      </c>
      <c r="AC65" s="85">
        <f t="shared" si="131"/>
        <v>5729.76</v>
      </c>
      <c r="AD65" s="85">
        <f t="shared" si="131"/>
        <v>5729.76</v>
      </c>
      <c r="AE65" s="85">
        <f t="shared" si="131"/>
        <v>5729.76</v>
      </c>
      <c r="AF65" s="85">
        <f t="shared" si="131"/>
        <v>5729.76</v>
      </c>
      <c r="AG65" s="85">
        <f t="shared" si="131"/>
        <v>5729.76</v>
      </c>
      <c r="AH65" s="85">
        <f>IF(VLOOKUP($H65,$H$15:$AU$46,AH$16,FALSE)&gt;$Y$5,$Y$5*$AA$5,VLOOKUP($H65,$H$15:$AU$46,AH$16,FALSE)*$AA$5)</f>
        <v>5729.76</v>
      </c>
      <c r="AI65" s="86">
        <f t="shared" si="107"/>
        <v>68757.12000000001</v>
      </c>
      <c r="AJ65" s="85">
        <f t="shared" ref="AJ65:AU65" si="132">IF(VLOOKUP($H65,$H$15:$AU$46,AJ$16,FALSE)&gt;$Y$5,$Y$5*$AA$5,VLOOKUP($H65,$H$15:$AU$46,AJ$16,FALSE)*$AA$5)</f>
        <v>5729.76</v>
      </c>
      <c r="AK65" s="85">
        <f t="shared" si="132"/>
        <v>5729.76</v>
      </c>
      <c r="AL65" s="85">
        <f t="shared" si="132"/>
        <v>5729.76</v>
      </c>
      <c r="AM65" s="85">
        <f t="shared" si="132"/>
        <v>5729.76</v>
      </c>
      <c r="AN65" s="85">
        <f t="shared" si="132"/>
        <v>5729.76</v>
      </c>
      <c r="AO65" s="85">
        <f t="shared" si="132"/>
        <v>5729.76</v>
      </c>
      <c r="AP65" s="85">
        <f t="shared" si="132"/>
        <v>5729.76</v>
      </c>
      <c r="AQ65" s="85">
        <f t="shared" si="132"/>
        <v>5729.76</v>
      </c>
      <c r="AR65" s="85">
        <f t="shared" si="132"/>
        <v>5729.76</v>
      </c>
      <c r="AS65" s="85">
        <f t="shared" si="132"/>
        <v>5729.76</v>
      </c>
      <c r="AT65" s="85">
        <f t="shared" si="132"/>
        <v>5729.76</v>
      </c>
      <c r="AU65" s="85">
        <f t="shared" si="132"/>
        <v>5729.76</v>
      </c>
      <c r="AV65" s="86">
        <f t="shared" si="120"/>
        <v>68757.12000000001</v>
      </c>
      <c r="AW65" s="87"/>
      <c r="AX65" s="88"/>
      <c r="AY65" s="88"/>
    </row>
    <row r="66" spans="1:51">
      <c r="A66" s="79" t="s">
        <v>3024</v>
      </c>
      <c r="B66" s="80" t="str">
        <f t="shared" si="98"/>
        <v>ACPLSZ</v>
      </c>
      <c r="C66" s="91" t="s">
        <v>3022</v>
      </c>
      <c r="D66" s="80" t="str">
        <f t="shared" si="100"/>
        <v>Professional</v>
      </c>
      <c r="E66" s="80">
        <f t="shared" si="101"/>
        <v>0</v>
      </c>
      <c r="F66" s="82">
        <f t="shared" si="102"/>
        <v>90000</v>
      </c>
      <c r="G66" s="82" t="s">
        <v>3021</v>
      </c>
      <c r="H66" s="82" t="str">
        <f t="shared" si="103"/>
        <v>顾顺聪</v>
      </c>
      <c r="I66" s="83">
        <f t="shared" si="104"/>
        <v>0</v>
      </c>
      <c r="J66" s="82"/>
      <c r="K66" s="84"/>
      <c r="L66" s="84"/>
      <c r="M66" s="84"/>
      <c r="N66" s="84"/>
      <c r="O66" s="84"/>
      <c r="P66" s="84"/>
      <c r="Q66" s="84"/>
      <c r="R66" s="84"/>
      <c r="S66" s="84"/>
      <c r="T66" s="84"/>
      <c r="U66" s="84"/>
      <c r="V66" s="84"/>
      <c r="W66" s="85">
        <v>0</v>
      </c>
      <c r="X66" s="85">
        <v>0</v>
      </c>
      <c r="Y66" s="85">
        <v>0</v>
      </c>
      <c r="Z66" s="85">
        <v>0</v>
      </c>
      <c r="AA66" s="85">
        <v>0</v>
      </c>
      <c r="AB66" s="85">
        <v>0</v>
      </c>
      <c r="AC66" s="85">
        <v>0</v>
      </c>
      <c r="AD66" s="85">
        <v>0</v>
      </c>
      <c r="AE66" s="85">
        <v>0</v>
      </c>
      <c r="AF66" s="85">
        <v>0</v>
      </c>
      <c r="AG66" s="85">
        <v>0</v>
      </c>
      <c r="AH66" s="85">
        <v>0</v>
      </c>
      <c r="AI66" s="86">
        <f t="shared" si="107"/>
        <v>0</v>
      </c>
      <c r="AJ66" s="85">
        <v>0</v>
      </c>
      <c r="AK66" s="85">
        <v>0</v>
      </c>
      <c r="AL66" s="85">
        <v>0</v>
      </c>
      <c r="AM66" s="85">
        <v>0</v>
      </c>
      <c r="AN66" s="85">
        <v>0</v>
      </c>
      <c r="AO66" s="85">
        <v>0</v>
      </c>
      <c r="AP66" s="85">
        <v>0</v>
      </c>
      <c r="AQ66" s="85">
        <v>0</v>
      </c>
      <c r="AR66" s="85">
        <v>0</v>
      </c>
      <c r="AS66" s="85">
        <v>0</v>
      </c>
      <c r="AT66" s="85">
        <v>0</v>
      </c>
      <c r="AU66" s="85">
        <v>0</v>
      </c>
      <c r="AV66" s="86">
        <f t="shared" si="120"/>
        <v>0</v>
      </c>
      <c r="AW66" s="87"/>
      <c r="AX66" s="88"/>
      <c r="AY66" s="88"/>
    </row>
    <row r="67" spans="1:51">
      <c r="A67" s="79" t="s">
        <v>3024</v>
      </c>
      <c r="B67" s="80" t="str">
        <f t="shared" si="98"/>
        <v>ACPSZL</v>
      </c>
      <c r="C67" s="91" t="str">
        <f>C33</f>
        <v>深圳户籍</v>
      </c>
      <c r="D67" s="80" t="str">
        <f t="shared" si="100"/>
        <v>Professional</v>
      </c>
      <c r="E67" s="80">
        <f t="shared" si="101"/>
        <v>0</v>
      </c>
      <c r="F67" s="81">
        <f t="shared" si="102"/>
        <v>35000</v>
      </c>
      <c r="G67" s="81"/>
      <c r="H67" s="90" t="str">
        <f t="shared" si="103"/>
        <v>风资源工程师</v>
      </c>
      <c r="I67" s="83">
        <f t="shared" si="104"/>
        <v>0</v>
      </c>
      <c r="J67" s="82"/>
      <c r="K67" s="84"/>
      <c r="L67" s="84"/>
      <c r="M67" s="84"/>
      <c r="N67" s="84"/>
      <c r="O67" s="84"/>
      <c r="P67" s="84"/>
      <c r="Q67" s="84"/>
      <c r="R67" s="84"/>
      <c r="S67" s="84"/>
      <c r="T67" s="84"/>
      <c r="U67" s="84"/>
      <c r="V67" s="84"/>
      <c r="W67" s="85">
        <f>IF(VLOOKUP($H67,$H$15:$AH$46,W$16,FALSE)&gt;$Y$8,$Y$8*$AA$8,VLOOKUP($H67,$H$15:$AH$46,W$16,FALSE)*$AA$8)</f>
        <v>0</v>
      </c>
      <c r="X67" s="85">
        <f t="shared" ref="X67:AG67" si="133">IF(VLOOKUP($H67,$H$15:$AH$46,X$16,FALSE)&gt;$Y$8,$Y$8*$AA$8,VLOOKUP($H67,$H$15:$AH$46,X$16,FALSE)*$AA$8)</f>
        <v>0</v>
      </c>
      <c r="Y67" s="85">
        <f t="shared" si="133"/>
        <v>0</v>
      </c>
      <c r="Z67" s="85">
        <f t="shared" si="133"/>
        <v>4683.33</v>
      </c>
      <c r="AA67" s="85">
        <f t="shared" si="133"/>
        <v>4683.33</v>
      </c>
      <c r="AB67" s="85">
        <f t="shared" si="133"/>
        <v>4683.33</v>
      </c>
      <c r="AC67" s="85">
        <f t="shared" si="133"/>
        <v>4683.33</v>
      </c>
      <c r="AD67" s="85">
        <f t="shared" si="133"/>
        <v>4683.33</v>
      </c>
      <c r="AE67" s="85">
        <f t="shared" si="133"/>
        <v>4683.33</v>
      </c>
      <c r="AF67" s="85">
        <f t="shared" si="133"/>
        <v>4683.33</v>
      </c>
      <c r="AG67" s="85">
        <f t="shared" si="133"/>
        <v>4683.33</v>
      </c>
      <c r="AH67" s="85">
        <f>IF(VLOOKUP($H67,$H$15:$AU$46,AH$16,FALSE)&gt;$Y$8,$Y$8*$AA$8,VLOOKUP($H67,$H$15:$AU$46,AH$16,FALSE)*$AA$8)</f>
        <v>4683.33</v>
      </c>
      <c r="AI67" s="86">
        <f t="shared" si="107"/>
        <v>42149.970000000008</v>
      </c>
      <c r="AJ67" s="85">
        <f t="shared" ref="AJ67:AU67" si="134">IF(VLOOKUP($H67,$H$15:$AU$46,AJ$16,FALSE)&gt;$Y$8,$Y$8*$AA$8,VLOOKUP($H67,$H$15:$AU$46,AJ$16,FALSE)*$AA$8)</f>
        <v>4683.33</v>
      </c>
      <c r="AK67" s="85">
        <f t="shared" si="134"/>
        <v>4683.33</v>
      </c>
      <c r="AL67" s="85">
        <f t="shared" si="134"/>
        <v>4683.33</v>
      </c>
      <c r="AM67" s="85">
        <f t="shared" si="134"/>
        <v>4683.33</v>
      </c>
      <c r="AN67" s="85">
        <f t="shared" si="134"/>
        <v>4683.33</v>
      </c>
      <c r="AO67" s="85">
        <f t="shared" si="134"/>
        <v>4683.33</v>
      </c>
      <c r="AP67" s="85">
        <f t="shared" si="134"/>
        <v>4683.33</v>
      </c>
      <c r="AQ67" s="85">
        <f t="shared" si="134"/>
        <v>4683.33</v>
      </c>
      <c r="AR67" s="85">
        <f t="shared" si="134"/>
        <v>4683.33</v>
      </c>
      <c r="AS67" s="85">
        <f t="shared" si="134"/>
        <v>4683.33</v>
      </c>
      <c r="AT67" s="85">
        <f t="shared" si="134"/>
        <v>4683.33</v>
      </c>
      <c r="AU67" s="85">
        <f t="shared" si="134"/>
        <v>4683.33</v>
      </c>
      <c r="AV67" s="86">
        <f t="shared" si="120"/>
        <v>56199.960000000014</v>
      </c>
      <c r="AW67" s="87"/>
      <c r="AX67" s="88"/>
      <c r="AY67" s="88"/>
    </row>
    <row r="68" spans="1:51">
      <c r="A68" s="79" t="s">
        <v>3024</v>
      </c>
      <c r="B68" s="80" t="str">
        <f t="shared" si="98"/>
        <v>ACPLSZ</v>
      </c>
      <c r="C68" s="80" t="str">
        <f>C34</f>
        <v>深圳户籍</v>
      </c>
      <c r="D68" s="80" t="str">
        <f t="shared" si="100"/>
        <v>Professional</v>
      </c>
      <c r="E68" s="80">
        <f t="shared" si="101"/>
        <v>0</v>
      </c>
      <c r="F68" s="82">
        <f t="shared" si="102"/>
        <v>33000</v>
      </c>
      <c r="G68" s="82"/>
      <c r="H68" s="90" t="str">
        <f t="shared" si="103"/>
        <v>电力交易员</v>
      </c>
      <c r="I68" s="83">
        <f t="shared" si="104"/>
        <v>0</v>
      </c>
      <c r="J68" s="82"/>
      <c r="K68" s="84"/>
      <c r="L68" s="84"/>
      <c r="M68" s="84"/>
      <c r="N68" s="84"/>
      <c r="O68" s="84"/>
      <c r="P68" s="84"/>
      <c r="Q68" s="84"/>
      <c r="R68" s="84"/>
      <c r="S68" s="84"/>
      <c r="T68" s="84"/>
      <c r="U68" s="84"/>
      <c r="V68" s="84"/>
      <c r="W68" s="85">
        <f t="shared" ref="W68:AH68" si="135">IF(VLOOKUP($H68,$H$15:$AH$46,W$16,FALSE)&gt;$Y$8,$Y$8*$AA$8,VLOOKUP($H68,$H$15:$AH$46,W$16,FALSE)*$AA$8)</f>
        <v>0</v>
      </c>
      <c r="X68" s="85">
        <f t="shared" si="135"/>
        <v>4683.33</v>
      </c>
      <c r="Y68" s="85">
        <f t="shared" si="135"/>
        <v>4683.33</v>
      </c>
      <c r="Z68" s="85">
        <f t="shared" si="135"/>
        <v>4683.33</v>
      </c>
      <c r="AA68" s="85">
        <f t="shared" si="135"/>
        <v>4683.33</v>
      </c>
      <c r="AB68" s="85">
        <f t="shared" si="135"/>
        <v>4683.33</v>
      </c>
      <c r="AC68" s="85">
        <f t="shared" si="135"/>
        <v>4683.33</v>
      </c>
      <c r="AD68" s="85">
        <f t="shared" si="135"/>
        <v>4683.33</v>
      </c>
      <c r="AE68" s="85">
        <f t="shared" si="135"/>
        <v>4683.33</v>
      </c>
      <c r="AF68" s="85">
        <f t="shared" si="135"/>
        <v>4683.33</v>
      </c>
      <c r="AG68" s="85">
        <f t="shared" si="135"/>
        <v>4683.33</v>
      </c>
      <c r="AH68" s="85">
        <f t="shared" si="135"/>
        <v>4683.33</v>
      </c>
      <c r="AI68" s="86">
        <f t="shared" si="107"/>
        <v>51516.630000000012</v>
      </c>
      <c r="AJ68" s="85">
        <f t="shared" ref="AJ68:AU68" si="136">IF(VLOOKUP($H68,$H$15:$AU$46,AJ$16,FALSE)&gt;$Y$8,$Y$8*$AA$8,VLOOKUP($H68,$H$15:$AU$46,AJ$16,FALSE)*$AA$8)</f>
        <v>4683.33</v>
      </c>
      <c r="AK68" s="85">
        <f t="shared" si="136"/>
        <v>4683.33</v>
      </c>
      <c r="AL68" s="85">
        <f t="shared" si="136"/>
        <v>4683.33</v>
      </c>
      <c r="AM68" s="85">
        <f t="shared" si="136"/>
        <v>4683.33</v>
      </c>
      <c r="AN68" s="85">
        <f t="shared" si="136"/>
        <v>4683.33</v>
      </c>
      <c r="AO68" s="85">
        <f t="shared" si="136"/>
        <v>4683.33</v>
      </c>
      <c r="AP68" s="85">
        <f t="shared" si="136"/>
        <v>4683.33</v>
      </c>
      <c r="AQ68" s="85">
        <f t="shared" si="136"/>
        <v>4683.33</v>
      </c>
      <c r="AR68" s="85">
        <f t="shared" si="136"/>
        <v>4683.33</v>
      </c>
      <c r="AS68" s="85">
        <f t="shared" si="136"/>
        <v>4683.33</v>
      </c>
      <c r="AT68" s="85">
        <f t="shared" si="136"/>
        <v>4683.33</v>
      </c>
      <c r="AU68" s="85">
        <f t="shared" si="136"/>
        <v>4683.33</v>
      </c>
      <c r="AV68" s="86">
        <f t="shared" si="120"/>
        <v>56199.960000000014</v>
      </c>
      <c r="AW68" s="87"/>
      <c r="AX68" s="88"/>
      <c r="AY68" s="88"/>
    </row>
    <row r="69" spans="1:51">
      <c r="A69" s="79" t="s">
        <v>3024</v>
      </c>
      <c r="B69" s="80" t="str">
        <f t="shared" si="98"/>
        <v>ACPLSZ</v>
      </c>
      <c r="C69" s="80" t="str">
        <f>C35</f>
        <v>深圳户籍</v>
      </c>
      <c r="D69" s="80" t="str">
        <f t="shared" si="100"/>
        <v>Professional</v>
      </c>
      <c r="E69" s="80">
        <f t="shared" si="101"/>
        <v>0</v>
      </c>
      <c r="F69" s="82">
        <f t="shared" si="102"/>
        <v>60000</v>
      </c>
      <c r="G69" s="82"/>
      <c r="H69" s="90" t="str">
        <f t="shared" si="103"/>
        <v>律师</v>
      </c>
      <c r="I69" s="83">
        <f t="shared" si="104"/>
        <v>0</v>
      </c>
      <c r="J69" s="82"/>
      <c r="K69" s="84"/>
      <c r="L69" s="84"/>
      <c r="M69" s="84"/>
      <c r="N69" s="84"/>
      <c r="O69" s="84"/>
      <c r="P69" s="84"/>
      <c r="Q69" s="84"/>
      <c r="R69" s="84"/>
      <c r="S69" s="84"/>
      <c r="T69" s="84"/>
      <c r="U69" s="84"/>
      <c r="V69" s="84"/>
      <c r="W69" s="85">
        <f t="shared" ref="W69:AH69" si="137">IF(VLOOKUP($H69,$H$15:$AH$46,W$16,FALSE)&gt;$Y$8,$Y$8*$AA$8,VLOOKUP($H69,$H$15:$AH$46,W$16,FALSE)*$AA$8)</f>
        <v>0</v>
      </c>
      <c r="X69" s="85">
        <f t="shared" si="137"/>
        <v>0</v>
      </c>
      <c r="Y69" s="85">
        <f t="shared" si="137"/>
        <v>0</v>
      </c>
      <c r="Z69" s="85">
        <f t="shared" si="137"/>
        <v>0</v>
      </c>
      <c r="AA69" s="85">
        <f t="shared" si="137"/>
        <v>4683.33</v>
      </c>
      <c r="AB69" s="85">
        <f t="shared" si="137"/>
        <v>4683.33</v>
      </c>
      <c r="AC69" s="85">
        <f t="shared" si="137"/>
        <v>4683.33</v>
      </c>
      <c r="AD69" s="85">
        <f t="shared" si="137"/>
        <v>4683.33</v>
      </c>
      <c r="AE69" s="85">
        <f t="shared" si="137"/>
        <v>4683.33</v>
      </c>
      <c r="AF69" s="85">
        <f t="shared" si="137"/>
        <v>4683.33</v>
      </c>
      <c r="AG69" s="85">
        <f t="shared" si="137"/>
        <v>4683.33</v>
      </c>
      <c r="AH69" s="85">
        <f t="shared" si="137"/>
        <v>4683.33</v>
      </c>
      <c r="AI69" s="86">
        <f t="shared" si="107"/>
        <v>37466.640000000007</v>
      </c>
      <c r="AJ69" s="85">
        <f t="shared" ref="AJ69:AU69" si="138">IF(VLOOKUP($H69,$H$15:$AU$46,AJ$16,FALSE)&gt;$Y$8,$Y$8*$AA$8,VLOOKUP($H69,$H$15:$AU$46,AJ$16,FALSE)*$AA$8)</f>
        <v>4683.33</v>
      </c>
      <c r="AK69" s="85">
        <f t="shared" si="138"/>
        <v>4683.33</v>
      </c>
      <c r="AL69" s="85">
        <f t="shared" si="138"/>
        <v>4683.33</v>
      </c>
      <c r="AM69" s="85">
        <f t="shared" si="138"/>
        <v>4683.33</v>
      </c>
      <c r="AN69" s="85">
        <f t="shared" si="138"/>
        <v>4683.33</v>
      </c>
      <c r="AO69" s="85">
        <f t="shared" si="138"/>
        <v>4683.33</v>
      </c>
      <c r="AP69" s="85">
        <f t="shared" si="138"/>
        <v>4683.33</v>
      </c>
      <c r="AQ69" s="85">
        <f t="shared" si="138"/>
        <v>4683.33</v>
      </c>
      <c r="AR69" s="85">
        <f t="shared" si="138"/>
        <v>4683.33</v>
      </c>
      <c r="AS69" s="85">
        <f t="shared" si="138"/>
        <v>4683.33</v>
      </c>
      <c r="AT69" s="85">
        <f t="shared" si="138"/>
        <v>4683.33</v>
      </c>
      <c r="AU69" s="85">
        <f t="shared" si="138"/>
        <v>4683.33</v>
      </c>
      <c r="AV69" s="86">
        <f t="shared" si="120"/>
        <v>56199.960000000014</v>
      </c>
      <c r="AW69" s="87"/>
      <c r="AX69" s="88"/>
      <c r="AY69" s="88"/>
    </row>
    <row r="70" spans="1:51">
      <c r="A70" s="79" t="s">
        <v>3024</v>
      </c>
      <c r="B70" s="80" t="str">
        <f t="shared" si="98"/>
        <v>ACPLSZ</v>
      </c>
      <c r="C70" s="80" t="str">
        <f>C36</f>
        <v>深圳户籍</v>
      </c>
      <c r="D70" s="80" t="str">
        <f t="shared" si="100"/>
        <v>Professional</v>
      </c>
      <c r="E70" s="80">
        <f t="shared" si="101"/>
        <v>0</v>
      </c>
      <c r="F70" s="82">
        <f t="shared" si="102"/>
        <v>26000</v>
      </c>
      <c r="G70" s="82"/>
      <c r="H70" s="90" t="str">
        <f t="shared" si="103"/>
        <v>区域副总</v>
      </c>
      <c r="I70" s="83">
        <f t="shared" si="104"/>
        <v>0</v>
      </c>
      <c r="J70" s="82"/>
      <c r="K70" s="84"/>
      <c r="L70" s="84"/>
      <c r="M70" s="84"/>
      <c r="N70" s="84"/>
      <c r="O70" s="84"/>
      <c r="P70" s="84"/>
      <c r="Q70" s="84"/>
      <c r="R70" s="84"/>
      <c r="S70" s="84"/>
      <c r="T70" s="84"/>
      <c r="U70" s="84"/>
      <c r="V70" s="84"/>
      <c r="W70" s="85">
        <f t="shared" ref="W70:AH70" si="139">IF(VLOOKUP($H70,$H$15:$AH$46,W$16,FALSE)&gt;$Y$8,$Y$8*$AA$8,VLOOKUP($H70,$H$15:$AH$46,W$16,FALSE)*$AA$8)</f>
        <v>0</v>
      </c>
      <c r="X70" s="85">
        <f t="shared" si="139"/>
        <v>0</v>
      </c>
      <c r="Y70" s="85">
        <f t="shared" si="139"/>
        <v>0</v>
      </c>
      <c r="Z70" s="85">
        <f t="shared" si="139"/>
        <v>0</v>
      </c>
      <c r="AA70" s="85">
        <f t="shared" si="139"/>
        <v>4420</v>
      </c>
      <c r="AB70" s="85">
        <f t="shared" si="139"/>
        <v>4420</v>
      </c>
      <c r="AC70" s="85">
        <f t="shared" si="139"/>
        <v>4420</v>
      </c>
      <c r="AD70" s="85">
        <f t="shared" si="139"/>
        <v>4420</v>
      </c>
      <c r="AE70" s="85">
        <f t="shared" si="139"/>
        <v>4420</v>
      </c>
      <c r="AF70" s="85">
        <f t="shared" si="139"/>
        <v>4420</v>
      </c>
      <c r="AG70" s="85">
        <f t="shared" si="139"/>
        <v>4420</v>
      </c>
      <c r="AH70" s="85">
        <f t="shared" si="139"/>
        <v>4420</v>
      </c>
      <c r="AI70" s="86">
        <f t="shared" si="107"/>
        <v>35360</v>
      </c>
      <c r="AJ70" s="85">
        <f t="shared" ref="AJ70:AU70" si="140">IF(VLOOKUP($H70,$H$15:$AU$46,AJ$16,FALSE)&gt;$Y$8,$Y$8*$AA$8,VLOOKUP($H70,$H$15:$AU$46,AJ$16,FALSE)*$AA$8)</f>
        <v>4641</v>
      </c>
      <c r="AK70" s="85">
        <f t="shared" si="140"/>
        <v>4641</v>
      </c>
      <c r="AL70" s="85">
        <f t="shared" si="140"/>
        <v>4641</v>
      </c>
      <c r="AM70" s="85">
        <f t="shared" si="140"/>
        <v>4641</v>
      </c>
      <c r="AN70" s="85">
        <f t="shared" si="140"/>
        <v>4641</v>
      </c>
      <c r="AO70" s="85">
        <f t="shared" si="140"/>
        <v>4641</v>
      </c>
      <c r="AP70" s="85">
        <f t="shared" si="140"/>
        <v>4641</v>
      </c>
      <c r="AQ70" s="85">
        <f t="shared" si="140"/>
        <v>4641</v>
      </c>
      <c r="AR70" s="85">
        <f t="shared" si="140"/>
        <v>4641</v>
      </c>
      <c r="AS70" s="85">
        <f t="shared" si="140"/>
        <v>4641</v>
      </c>
      <c r="AT70" s="85">
        <f t="shared" si="140"/>
        <v>4641</v>
      </c>
      <c r="AU70" s="85">
        <f t="shared" si="140"/>
        <v>4641</v>
      </c>
      <c r="AV70" s="86">
        <f t="shared" si="120"/>
        <v>55692</v>
      </c>
      <c r="AW70" s="87"/>
      <c r="AX70" s="88"/>
      <c r="AY70" s="88"/>
    </row>
    <row r="71" spans="1:51">
      <c r="A71" s="79" t="s">
        <v>3024</v>
      </c>
      <c r="B71" s="80" t="str">
        <f t="shared" ref="B71:F71" si="141">B37</f>
        <v>ACPLSZ</v>
      </c>
      <c r="C71" s="80" t="str">
        <f t="shared" si="141"/>
        <v>深圳户籍</v>
      </c>
      <c r="D71" s="80" t="str">
        <f t="shared" si="141"/>
        <v>Professional</v>
      </c>
      <c r="E71" s="80">
        <f t="shared" si="141"/>
        <v>0</v>
      </c>
      <c r="F71" s="82">
        <f t="shared" si="141"/>
        <v>17000</v>
      </c>
      <c r="G71" s="82"/>
      <c r="H71" s="90" t="str">
        <f t="shared" ref="H71:I71" si="142">H37</f>
        <v>项目会计</v>
      </c>
      <c r="I71" s="83">
        <f t="shared" si="142"/>
        <v>0</v>
      </c>
      <c r="J71" s="82"/>
      <c r="K71" s="84"/>
      <c r="L71" s="84"/>
      <c r="M71" s="84"/>
      <c r="N71" s="84"/>
      <c r="O71" s="84"/>
      <c r="P71" s="84"/>
      <c r="Q71" s="84"/>
      <c r="R71" s="84"/>
      <c r="S71" s="84"/>
      <c r="T71" s="84"/>
      <c r="U71" s="84"/>
      <c r="V71" s="84"/>
      <c r="W71" s="85">
        <f t="shared" ref="W71:AH71" si="143">IF(VLOOKUP($H71,$H$15:$AH$46,W$16,FALSE)&gt;$Y$8,$Y$8*$AA$8,VLOOKUP($H71,$H$15:$AH$46,W$16,FALSE)*$AA$8)</f>
        <v>0</v>
      </c>
      <c r="X71" s="85">
        <f t="shared" si="143"/>
        <v>0</v>
      </c>
      <c r="Y71" s="85">
        <f t="shared" si="143"/>
        <v>0</v>
      </c>
      <c r="Z71" s="85">
        <f t="shared" si="143"/>
        <v>0</v>
      </c>
      <c r="AA71" s="85">
        <f t="shared" si="143"/>
        <v>0</v>
      </c>
      <c r="AB71" s="85">
        <f t="shared" si="143"/>
        <v>0</v>
      </c>
      <c r="AC71" s="85">
        <f t="shared" si="143"/>
        <v>0</v>
      </c>
      <c r="AD71" s="85">
        <f t="shared" si="143"/>
        <v>2890</v>
      </c>
      <c r="AE71" s="85">
        <f t="shared" si="143"/>
        <v>2890</v>
      </c>
      <c r="AF71" s="85">
        <f t="shared" si="143"/>
        <v>2890</v>
      </c>
      <c r="AG71" s="85">
        <f t="shared" si="143"/>
        <v>2890</v>
      </c>
      <c r="AH71" s="85">
        <f t="shared" si="143"/>
        <v>2890</v>
      </c>
      <c r="AI71" s="86">
        <f t="shared" ref="AI71:AI72" si="144">SUM(W71:AH71)</f>
        <v>14450</v>
      </c>
      <c r="AJ71" s="85">
        <f t="shared" ref="AJ71:AU71" si="145">IF(VLOOKUP($H71,$H$15:$AU$46,AJ$16,FALSE)&gt;$Y$8,$Y$8*$AA$8,VLOOKUP($H71,$H$15:$AU$46,AJ$16,FALSE)*$AA$8)</f>
        <v>4683.33</v>
      </c>
      <c r="AK71" s="85">
        <f t="shared" si="145"/>
        <v>4683.33</v>
      </c>
      <c r="AL71" s="85">
        <f t="shared" si="145"/>
        <v>4683.33</v>
      </c>
      <c r="AM71" s="85">
        <f t="shared" si="145"/>
        <v>4683.33</v>
      </c>
      <c r="AN71" s="85">
        <f t="shared" si="145"/>
        <v>4683.33</v>
      </c>
      <c r="AO71" s="85">
        <f t="shared" si="145"/>
        <v>4683.33</v>
      </c>
      <c r="AP71" s="85">
        <f t="shared" si="145"/>
        <v>4683.33</v>
      </c>
      <c r="AQ71" s="85">
        <f t="shared" si="145"/>
        <v>4683.33</v>
      </c>
      <c r="AR71" s="85">
        <f t="shared" si="145"/>
        <v>4683.33</v>
      </c>
      <c r="AS71" s="85">
        <f t="shared" si="145"/>
        <v>4683.33</v>
      </c>
      <c r="AT71" s="85">
        <f t="shared" si="145"/>
        <v>4683.33</v>
      </c>
      <c r="AU71" s="85">
        <f t="shared" si="145"/>
        <v>4683.33</v>
      </c>
      <c r="AV71" s="86">
        <f t="shared" si="120"/>
        <v>56199.960000000014</v>
      </c>
      <c r="AW71" s="87"/>
      <c r="AX71" s="88"/>
      <c r="AY71" s="88"/>
    </row>
    <row r="72" spans="1:51">
      <c r="A72" s="79" t="s">
        <v>3024</v>
      </c>
      <c r="B72" s="80" t="str">
        <f t="shared" ref="B72:F72" si="146">B38</f>
        <v>ACPLSZ</v>
      </c>
      <c r="C72" s="80" t="str">
        <f t="shared" si="146"/>
        <v>深圳户籍</v>
      </c>
      <c r="D72" s="80" t="str">
        <f t="shared" si="146"/>
        <v>Professional</v>
      </c>
      <c r="E72" s="80">
        <f t="shared" si="146"/>
        <v>0</v>
      </c>
      <c r="F72" s="82">
        <f t="shared" si="146"/>
        <v>12000</v>
      </c>
      <c r="G72" s="82"/>
      <c r="H72" s="90" t="str">
        <f t="shared" ref="H72:I72" si="147">H38</f>
        <v>档案管理员</v>
      </c>
      <c r="I72" s="83">
        <f t="shared" si="147"/>
        <v>0</v>
      </c>
      <c r="J72" s="82"/>
      <c r="K72" s="84"/>
      <c r="L72" s="84"/>
      <c r="M72" s="84"/>
      <c r="N72" s="84"/>
      <c r="O72" s="84"/>
      <c r="P72" s="84"/>
      <c r="Q72" s="84"/>
      <c r="R72" s="84"/>
      <c r="S72" s="84"/>
      <c r="T72" s="84"/>
      <c r="U72" s="84"/>
      <c r="V72" s="84"/>
      <c r="W72" s="85">
        <f t="shared" ref="W72:AH74" si="148">IF(VLOOKUP($H72,$H$15:$AH$46,W$16,FALSE)&gt;$Y$8,$Y$8*$AA$8,VLOOKUP($H72,$H$15:$AH$46,W$16,FALSE)*$AA$8)</f>
        <v>0</v>
      </c>
      <c r="X72" s="85">
        <f t="shared" si="148"/>
        <v>0</v>
      </c>
      <c r="Y72" s="85">
        <f t="shared" si="148"/>
        <v>0</v>
      </c>
      <c r="Z72" s="85">
        <f t="shared" si="148"/>
        <v>0</v>
      </c>
      <c r="AA72" s="85">
        <f t="shared" si="148"/>
        <v>0</v>
      </c>
      <c r="AB72" s="85">
        <f t="shared" si="148"/>
        <v>0</v>
      </c>
      <c r="AC72" s="85">
        <f t="shared" si="148"/>
        <v>0</v>
      </c>
      <c r="AD72" s="85">
        <f t="shared" si="148"/>
        <v>0</v>
      </c>
      <c r="AE72" s="85">
        <f t="shared" si="148"/>
        <v>0</v>
      </c>
      <c r="AF72" s="85">
        <f t="shared" si="148"/>
        <v>0</v>
      </c>
      <c r="AG72" s="85">
        <f t="shared" si="148"/>
        <v>0</v>
      </c>
      <c r="AH72" s="85">
        <f t="shared" si="148"/>
        <v>2040.0000000000002</v>
      </c>
      <c r="AI72" s="86">
        <f t="shared" si="144"/>
        <v>2040.0000000000002</v>
      </c>
      <c r="AJ72" s="85">
        <f t="shared" ref="AJ72:AU74" si="149">IF(VLOOKUP($H72,$H$15:$AU$46,AJ$16,FALSE)&gt;$Y$8,$Y$8*$AA$8,VLOOKUP($H72,$H$15:$AU$46,AJ$16,FALSE)*$AA$8)</f>
        <v>2142</v>
      </c>
      <c r="AK72" s="85">
        <f t="shared" si="149"/>
        <v>2142</v>
      </c>
      <c r="AL72" s="85">
        <f t="shared" si="149"/>
        <v>2142</v>
      </c>
      <c r="AM72" s="85">
        <f t="shared" si="149"/>
        <v>2142</v>
      </c>
      <c r="AN72" s="85">
        <f t="shared" si="149"/>
        <v>2142</v>
      </c>
      <c r="AO72" s="85">
        <f t="shared" si="149"/>
        <v>2142</v>
      </c>
      <c r="AP72" s="85">
        <f t="shared" si="149"/>
        <v>2142</v>
      </c>
      <c r="AQ72" s="85">
        <f t="shared" si="149"/>
        <v>2142</v>
      </c>
      <c r="AR72" s="85">
        <f t="shared" si="149"/>
        <v>2142</v>
      </c>
      <c r="AS72" s="85">
        <f t="shared" si="149"/>
        <v>2142</v>
      </c>
      <c r="AT72" s="85">
        <f t="shared" si="149"/>
        <v>2142</v>
      </c>
      <c r="AU72" s="85">
        <f t="shared" si="149"/>
        <v>2142</v>
      </c>
      <c r="AV72" s="86">
        <f t="shared" si="120"/>
        <v>25704</v>
      </c>
      <c r="AW72" s="87"/>
      <c r="AX72" s="88"/>
      <c r="AY72" s="88"/>
    </row>
    <row r="73" spans="1:51">
      <c r="A73" s="79" t="s">
        <v>3024</v>
      </c>
      <c r="B73" s="80" t="str">
        <f t="shared" ref="B73:F73" si="150">B39</f>
        <v>ACPLSZ</v>
      </c>
      <c r="C73" s="80" t="str">
        <f t="shared" si="150"/>
        <v>北京户籍</v>
      </c>
      <c r="D73" s="80" t="str">
        <f t="shared" si="150"/>
        <v>Professional</v>
      </c>
      <c r="E73" s="80">
        <f t="shared" si="150"/>
        <v>0</v>
      </c>
      <c r="F73" s="82">
        <f t="shared" si="150"/>
        <v>100000</v>
      </c>
      <c r="G73" s="82"/>
      <c r="H73" s="90" t="str">
        <f t="shared" ref="H73:I73" si="151">H39</f>
        <v>Head of Origination</v>
      </c>
      <c r="I73" s="83">
        <f t="shared" si="151"/>
        <v>0</v>
      </c>
      <c r="J73" s="82"/>
      <c r="K73" s="84"/>
      <c r="L73" s="84"/>
      <c r="M73" s="84"/>
      <c r="N73" s="84"/>
      <c r="O73" s="84"/>
      <c r="P73" s="84"/>
      <c r="Q73" s="84"/>
      <c r="R73" s="84"/>
      <c r="S73" s="84"/>
      <c r="T73" s="84"/>
      <c r="U73" s="84"/>
      <c r="V73" s="84"/>
      <c r="W73" s="85">
        <f t="shared" si="148"/>
        <v>0</v>
      </c>
      <c r="X73" s="85">
        <f t="shared" si="148"/>
        <v>0</v>
      </c>
      <c r="Y73" s="85">
        <f t="shared" si="148"/>
        <v>0</v>
      </c>
      <c r="Z73" s="85">
        <f t="shared" si="148"/>
        <v>0</v>
      </c>
      <c r="AA73" s="85">
        <f t="shared" si="148"/>
        <v>4683.33</v>
      </c>
      <c r="AB73" s="85">
        <f t="shared" si="148"/>
        <v>4683.33</v>
      </c>
      <c r="AC73" s="85">
        <f t="shared" si="148"/>
        <v>4683.33</v>
      </c>
      <c r="AD73" s="85">
        <f t="shared" si="148"/>
        <v>4683.33</v>
      </c>
      <c r="AE73" s="85">
        <f t="shared" si="148"/>
        <v>4683.33</v>
      </c>
      <c r="AF73" s="85">
        <f t="shared" si="148"/>
        <v>4683.33</v>
      </c>
      <c r="AG73" s="85">
        <f t="shared" si="148"/>
        <v>4683.33</v>
      </c>
      <c r="AH73" s="85">
        <f t="shared" si="148"/>
        <v>4683.33</v>
      </c>
      <c r="AI73" s="86">
        <f t="shared" ref="AI73:AI74" si="152">SUM(W73:AH73)</f>
        <v>37466.640000000007</v>
      </c>
      <c r="AJ73" s="85">
        <f t="shared" si="149"/>
        <v>4683.33</v>
      </c>
      <c r="AK73" s="85">
        <f t="shared" si="149"/>
        <v>4683.33</v>
      </c>
      <c r="AL73" s="85">
        <f t="shared" si="149"/>
        <v>4683.33</v>
      </c>
      <c r="AM73" s="85">
        <f t="shared" si="149"/>
        <v>4683.33</v>
      </c>
      <c r="AN73" s="85">
        <f t="shared" si="149"/>
        <v>4683.33</v>
      </c>
      <c r="AO73" s="85">
        <f t="shared" si="149"/>
        <v>4683.33</v>
      </c>
      <c r="AP73" s="85">
        <f t="shared" si="149"/>
        <v>4683.33</v>
      </c>
      <c r="AQ73" s="85">
        <f t="shared" si="149"/>
        <v>4683.33</v>
      </c>
      <c r="AR73" s="85">
        <f t="shared" si="149"/>
        <v>4683.33</v>
      </c>
      <c r="AS73" s="85">
        <f t="shared" si="149"/>
        <v>4683.33</v>
      </c>
      <c r="AT73" s="85">
        <f t="shared" si="149"/>
        <v>4683.33</v>
      </c>
      <c r="AU73" s="85">
        <f t="shared" si="149"/>
        <v>4683.33</v>
      </c>
      <c r="AV73" s="86">
        <f t="shared" ref="AV73:AV74" si="153">SUM(AJ73:AU73)</f>
        <v>56199.960000000014</v>
      </c>
      <c r="AW73" s="87"/>
      <c r="AX73" s="88"/>
      <c r="AY73" s="88"/>
    </row>
    <row r="74" spans="1:51">
      <c r="A74" s="79" t="s">
        <v>3024</v>
      </c>
      <c r="B74" s="80" t="str">
        <f t="shared" ref="B74:F74" si="154">B40</f>
        <v>ACPLSZ</v>
      </c>
      <c r="C74" s="80" t="str">
        <f t="shared" si="154"/>
        <v>北京户籍</v>
      </c>
      <c r="D74" s="80" t="str">
        <f t="shared" si="154"/>
        <v>Professional</v>
      </c>
      <c r="E74" s="80">
        <f t="shared" si="154"/>
        <v>0</v>
      </c>
      <c r="F74" s="82">
        <f t="shared" si="154"/>
        <v>80000</v>
      </c>
      <c r="G74" s="82"/>
      <c r="H74" s="82" t="str">
        <f t="shared" ref="H74:I74" si="155">H40</f>
        <v>Op Partner - ZJX</v>
      </c>
      <c r="I74" s="83">
        <f t="shared" si="155"/>
        <v>0</v>
      </c>
      <c r="J74" s="82"/>
      <c r="K74" s="84"/>
      <c r="L74" s="84"/>
      <c r="M74" s="84"/>
      <c r="N74" s="84"/>
      <c r="O74" s="84"/>
      <c r="P74" s="84"/>
      <c r="Q74" s="84"/>
      <c r="R74" s="84"/>
      <c r="S74" s="84"/>
      <c r="T74" s="84"/>
      <c r="U74" s="84"/>
      <c r="V74" s="84"/>
      <c r="W74" s="85">
        <f t="shared" si="148"/>
        <v>0</v>
      </c>
      <c r="X74" s="85">
        <f t="shared" si="148"/>
        <v>0</v>
      </c>
      <c r="Y74" s="85">
        <f t="shared" si="148"/>
        <v>0</v>
      </c>
      <c r="Z74" s="85">
        <f t="shared" si="148"/>
        <v>0</v>
      </c>
      <c r="AA74" s="85">
        <f t="shared" si="148"/>
        <v>4683.33</v>
      </c>
      <c r="AB74" s="85">
        <f t="shared" si="148"/>
        <v>4683.33</v>
      </c>
      <c r="AC74" s="85">
        <f t="shared" si="148"/>
        <v>4683.33</v>
      </c>
      <c r="AD74" s="85">
        <f t="shared" si="148"/>
        <v>4683.33</v>
      </c>
      <c r="AE74" s="85">
        <f t="shared" si="148"/>
        <v>4683.33</v>
      </c>
      <c r="AF74" s="85">
        <f t="shared" si="148"/>
        <v>4683.33</v>
      </c>
      <c r="AG74" s="85">
        <f t="shared" si="148"/>
        <v>4683.33</v>
      </c>
      <c r="AH74" s="85">
        <f t="shared" si="148"/>
        <v>4683.33</v>
      </c>
      <c r="AI74" s="86">
        <f t="shared" si="152"/>
        <v>37466.640000000007</v>
      </c>
      <c r="AJ74" s="85">
        <f t="shared" si="149"/>
        <v>4683.33</v>
      </c>
      <c r="AK74" s="85">
        <f t="shared" si="149"/>
        <v>4683.33</v>
      </c>
      <c r="AL74" s="85">
        <f t="shared" si="149"/>
        <v>4683.33</v>
      </c>
      <c r="AM74" s="85">
        <f t="shared" si="149"/>
        <v>4683.33</v>
      </c>
      <c r="AN74" s="85">
        <f t="shared" si="149"/>
        <v>4683.33</v>
      </c>
      <c r="AO74" s="85">
        <f t="shared" si="149"/>
        <v>4683.33</v>
      </c>
      <c r="AP74" s="85">
        <f t="shared" si="149"/>
        <v>4683.33</v>
      </c>
      <c r="AQ74" s="85">
        <f t="shared" si="149"/>
        <v>4683.33</v>
      </c>
      <c r="AR74" s="85">
        <f t="shared" si="149"/>
        <v>4683.33</v>
      </c>
      <c r="AS74" s="85">
        <f t="shared" si="149"/>
        <v>4683.33</v>
      </c>
      <c r="AT74" s="85">
        <f t="shared" si="149"/>
        <v>4683.33</v>
      </c>
      <c r="AU74" s="85">
        <f t="shared" si="149"/>
        <v>4683.33</v>
      </c>
      <c r="AV74" s="86">
        <f t="shared" si="153"/>
        <v>56199.960000000014</v>
      </c>
      <c r="AW74" s="87"/>
      <c r="AX74" s="88"/>
      <c r="AY74" s="88"/>
    </row>
    <row r="75" spans="1:51">
      <c r="A75" s="79" t="s">
        <v>3024</v>
      </c>
      <c r="B75" s="80" t="str">
        <f t="shared" ref="B75:F75" si="156">B41</f>
        <v>ACPLSZ</v>
      </c>
      <c r="C75" s="80">
        <f t="shared" si="156"/>
        <v>0</v>
      </c>
      <c r="D75" s="80">
        <f t="shared" si="156"/>
        <v>0</v>
      </c>
      <c r="E75" s="80">
        <f t="shared" si="156"/>
        <v>0</v>
      </c>
      <c r="F75" s="82">
        <f t="shared" si="156"/>
        <v>0</v>
      </c>
      <c r="G75" s="82"/>
      <c r="H75" s="82">
        <f t="shared" ref="H75:I75" si="157">H41</f>
        <v>0</v>
      </c>
      <c r="I75" s="83">
        <f t="shared" si="157"/>
        <v>0</v>
      </c>
      <c r="J75" s="82"/>
      <c r="K75" s="84"/>
      <c r="L75" s="84"/>
      <c r="M75" s="84"/>
      <c r="N75" s="84"/>
      <c r="O75" s="84"/>
      <c r="P75" s="84"/>
      <c r="Q75" s="84"/>
      <c r="R75" s="84"/>
      <c r="S75" s="84"/>
      <c r="T75" s="84"/>
      <c r="U75" s="84"/>
      <c r="V75" s="84"/>
      <c r="W75" s="85"/>
      <c r="X75" s="85"/>
      <c r="Y75" s="85"/>
      <c r="Z75" s="85"/>
      <c r="AA75" s="85"/>
      <c r="AB75" s="85"/>
      <c r="AC75" s="85"/>
      <c r="AD75" s="85"/>
      <c r="AE75" s="85"/>
      <c r="AF75" s="85"/>
      <c r="AG75" s="85"/>
      <c r="AH75" s="85"/>
      <c r="AI75" s="86"/>
      <c r="AJ75" s="85"/>
      <c r="AK75" s="85"/>
      <c r="AL75" s="85"/>
      <c r="AM75" s="85"/>
      <c r="AN75" s="85"/>
      <c r="AO75" s="85"/>
      <c r="AP75" s="85"/>
      <c r="AQ75" s="85"/>
      <c r="AR75" s="85"/>
      <c r="AS75" s="85"/>
      <c r="AT75" s="85"/>
      <c r="AU75" s="85"/>
      <c r="AV75" s="86"/>
      <c r="AW75" s="87"/>
      <c r="AX75" s="88"/>
      <c r="AY75" s="88"/>
    </row>
    <row r="76" spans="1:51">
      <c r="A76" s="79" t="s">
        <v>3024</v>
      </c>
      <c r="B76" s="80">
        <f t="shared" ref="B76:F76" si="158">B42</f>
        <v>0</v>
      </c>
      <c r="C76" s="80">
        <f t="shared" si="158"/>
        <v>0</v>
      </c>
      <c r="D76" s="80">
        <f t="shared" si="158"/>
        <v>0</v>
      </c>
      <c r="E76" s="80">
        <f t="shared" si="158"/>
        <v>0</v>
      </c>
      <c r="F76" s="82">
        <f t="shared" si="158"/>
        <v>0</v>
      </c>
      <c r="G76" s="82"/>
      <c r="H76" s="82">
        <f t="shared" ref="H76:I76" si="159">H42</f>
        <v>0</v>
      </c>
      <c r="I76" s="83">
        <f t="shared" si="159"/>
        <v>0</v>
      </c>
      <c r="J76" s="82"/>
      <c r="K76" s="84"/>
      <c r="L76" s="84"/>
      <c r="M76" s="84"/>
      <c r="N76" s="84"/>
      <c r="O76" s="84"/>
      <c r="P76" s="84"/>
      <c r="Q76" s="84"/>
      <c r="R76" s="84"/>
      <c r="S76" s="84"/>
      <c r="T76" s="84"/>
      <c r="U76" s="84"/>
      <c r="V76" s="84"/>
      <c r="W76" s="85"/>
      <c r="X76" s="85"/>
      <c r="Y76" s="85"/>
      <c r="Z76" s="85"/>
      <c r="AA76" s="85"/>
      <c r="AB76" s="85"/>
      <c r="AC76" s="85"/>
      <c r="AD76" s="85"/>
      <c r="AE76" s="85"/>
      <c r="AF76" s="85"/>
      <c r="AG76" s="85"/>
      <c r="AH76" s="85"/>
      <c r="AI76" s="86"/>
      <c r="AJ76" s="85"/>
      <c r="AK76" s="85"/>
      <c r="AL76" s="85"/>
      <c r="AM76" s="85"/>
      <c r="AN76" s="85"/>
      <c r="AO76" s="85"/>
      <c r="AP76" s="85"/>
      <c r="AQ76" s="85"/>
      <c r="AR76" s="85"/>
      <c r="AS76" s="85"/>
      <c r="AT76" s="85"/>
      <c r="AU76" s="85"/>
      <c r="AV76" s="86"/>
      <c r="AW76" s="87"/>
      <c r="AX76" s="88"/>
      <c r="AY76" s="88"/>
    </row>
    <row r="77" spans="1:51">
      <c r="A77" s="79" t="s">
        <v>3024</v>
      </c>
      <c r="B77" s="80">
        <f t="shared" ref="B77:F77" si="160">B43</f>
        <v>0</v>
      </c>
      <c r="C77" s="80">
        <f t="shared" si="160"/>
        <v>0</v>
      </c>
      <c r="D77" s="80">
        <f t="shared" si="160"/>
        <v>0</v>
      </c>
      <c r="E77" s="80">
        <f t="shared" si="160"/>
        <v>0</v>
      </c>
      <c r="F77" s="82">
        <f t="shared" si="160"/>
        <v>0</v>
      </c>
      <c r="G77" s="82"/>
      <c r="H77" s="82">
        <f t="shared" ref="H77:I77" si="161">H43</f>
        <v>0</v>
      </c>
      <c r="I77" s="83">
        <f t="shared" si="161"/>
        <v>0</v>
      </c>
      <c r="J77" s="82"/>
      <c r="K77" s="84"/>
      <c r="L77" s="84"/>
      <c r="M77" s="84"/>
      <c r="N77" s="84"/>
      <c r="O77" s="84"/>
      <c r="P77" s="84"/>
      <c r="Q77" s="84"/>
      <c r="R77" s="84"/>
      <c r="S77" s="84"/>
      <c r="T77" s="84"/>
      <c r="U77" s="84"/>
      <c r="V77" s="84"/>
      <c r="W77" s="85"/>
      <c r="X77" s="85"/>
      <c r="Y77" s="85"/>
      <c r="Z77" s="85"/>
      <c r="AA77" s="85"/>
      <c r="AB77" s="85"/>
      <c r="AC77" s="85"/>
      <c r="AD77" s="85"/>
      <c r="AE77" s="85"/>
      <c r="AF77" s="85"/>
      <c r="AG77" s="85"/>
      <c r="AH77" s="85"/>
      <c r="AI77" s="86"/>
      <c r="AJ77" s="85"/>
      <c r="AK77" s="85"/>
      <c r="AL77" s="85"/>
      <c r="AM77" s="85"/>
      <c r="AN77" s="85"/>
      <c r="AO77" s="85"/>
      <c r="AP77" s="85"/>
      <c r="AQ77" s="85"/>
      <c r="AR77" s="85"/>
      <c r="AS77" s="85"/>
      <c r="AT77" s="85"/>
      <c r="AU77" s="85"/>
      <c r="AV77" s="86"/>
      <c r="AW77" s="87"/>
      <c r="AX77" s="88"/>
      <c r="AY77" s="88"/>
    </row>
    <row r="78" spans="1:51">
      <c r="A78" s="79"/>
      <c r="B78" s="93"/>
      <c r="C78" s="93"/>
      <c r="D78" s="93"/>
      <c r="E78" s="93"/>
      <c r="F78" s="113"/>
      <c r="G78" s="113"/>
      <c r="H78" s="113"/>
      <c r="I78" s="114"/>
      <c r="J78" s="113"/>
      <c r="K78" s="115"/>
      <c r="L78" s="115"/>
      <c r="M78" s="115"/>
      <c r="N78" s="115"/>
      <c r="O78" s="115"/>
      <c r="P78" s="115"/>
      <c r="Q78" s="115"/>
      <c r="R78" s="115"/>
      <c r="S78" s="115"/>
      <c r="T78" s="115"/>
      <c r="U78" s="115"/>
      <c r="V78" s="115"/>
      <c r="W78" s="113"/>
      <c r="X78" s="113"/>
      <c r="Y78" s="113"/>
      <c r="Z78" s="113"/>
      <c r="AA78" s="113"/>
      <c r="AB78" s="113"/>
      <c r="AC78" s="113"/>
      <c r="AD78" s="113"/>
      <c r="AE78" s="113"/>
      <c r="AF78" s="113"/>
      <c r="AG78" s="113"/>
      <c r="AH78" s="113"/>
      <c r="AI78" s="113"/>
      <c r="AJ78" s="113"/>
      <c r="AK78" s="113"/>
      <c r="AL78" s="113"/>
      <c r="AM78" s="113"/>
      <c r="AN78" s="113"/>
      <c r="AO78" s="113"/>
      <c r="AP78" s="113"/>
      <c r="AQ78" s="113"/>
      <c r="AR78" s="113"/>
      <c r="AS78" s="113"/>
      <c r="AT78" s="113"/>
      <c r="AU78" s="113"/>
      <c r="AV78" s="113"/>
      <c r="AW78" s="116"/>
      <c r="AX78" s="113"/>
      <c r="AY78" s="113"/>
    </row>
    <row r="79" spans="1:51">
      <c r="A79" s="79" t="s">
        <v>3024</v>
      </c>
      <c r="B79" s="93" t="str">
        <f>B45</f>
        <v>ACPSZL</v>
      </c>
      <c r="C79" s="93"/>
      <c r="D79" s="93"/>
      <c r="E79" s="93"/>
      <c r="F79" s="88"/>
      <c r="G79" s="88"/>
      <c r="H79" s="93"/>
      <c r="I79" s="94"/>
      <c r="J79" s="93"/>
      <c r="K79" s="93"/>
      <c r="L79" s="93"/>
      <c r="M79" s="93"/>
      <c r="N79" s="93"/>
      <c r="O79" s="93"/>
      <c r="P79" s="93"/>
      <c r="Q79" s="93"/>
      <c r="R79" s="93"/>
      <c r="S79" s="93"/>
      <c r="T79" s="93"/>
      <c r="U79" s="93"/>
      <c r="V79" s="93"/>
      <c r="W79" s="96">
        <f ca="1">SUMIF($B$51:$AV$78,$B79,W$51:W$78)</f>
        <v>17081.169999999998</v>
      </c>
      <c r="X79" s="96">
        <f t="shared" ref="X79:AV80" ca="1" si="162">SUMIF($B$51:$AV$78,$B79,X$51:X$78)</f>
        <v>17081.169999999998</v>
      </c>
      <c r="Y79" s="96">
        <f t="shared" ca="1" si="162"/>
        <v>17081.169999999998</v>
      </c>
      <c r="Z79" s="96">
        <f t="shared" ca="1" si="162"/>
        <v>21764.5</v>
      </c>
      <c r="AA79" s="96">
        <f t="shared" ca="1" si="162"/>
        <v>21764.5</v>
      </c>
      <c r="AB79" s="96">
        <f t="shared" ca="1" si="162"/>
        <v>21764.5</v>
      </c>
      <c r="AC79" s="96">
        <f t="shared" ca="1" si="162"/>
        <v>21764.5</v>
      </c>
      <c r="AD79" s="96">
        <f t="shared" ca="1" si="162"/>
        <v>21764.5</v>
      </c>
      <c r="AE79" s="96">
        <f t="shared" ca="1" si="162"/>
        <v>21764.5</v>
      </c>
      <c r="AF79" s="96">
        <f t="shared" ca="1" si="162"/>
        <v>21764.5</v>
      </c>
      <c r="AG79" s="96">
        <f t="shared" ca="1" si="162"/>
        <v>21764.5</v>
      </c>
      <c r="AH79" s="96">
        <f t="shared" ca="1" si="162"/>
        <v>21764.5</v>
      </c>
      <c r="AI79" s="96">
        <f t="shared" ca="1" si="162"/>
        <v>247124.01</v>
      </c>
      <c r="AJ79" s="96">
        <f t="shared" ca="1" si="162"/>
        <v>22303.32</v>
      </c>
      <c r="AK79" s="96">
        <f t="shared" ca="1" si="162"/>
        <v>22303.32</v>
      </c>
      <c r="AL79" s="96">
        <f t="shared" ca="1" si="162"/>
        <v>22303.32</v>
      </c>
      <c r="AM79" s="96">
        <f t="shared" ca="1" si="162"/>
        <v>22303.32</v>
      </c>
      <c r="AN79" s="96">
        <f t="shared" ca="1" si="162"/>
        <v>22303.32</v>
      </c>
      <c r="AO79" s="96">
        <f t="shared" ca="1" si="162"/>
        <v>22303.32</v>
      </c>
      <c r="AP79" s="96">
        <f t="shared" ca="1" si="162"/>
        <v>22303.32</v>
      </c>
      <c r="AQ79" s="96">
        <f t="shared" ca="1" si="162"/>
        <v>22303.32</v>
      </c>
      <c r="AR79" s="96">
        <f t="shared" ca="1" si="162"/>
        <v>22303.32</v>
      </c>
      <c r="AS79" s="96">
        <f t="shared" ca="1" si="162"/>
        <v>22303.32</v>
      </c>
      <c r="AT79" s="96">
        <f t="shared" ca="1" si="162"/>
        <v>22303.32</v>
      </c>
      <c r="AU79" s="96">
        <f t="shared" ca="1" si="162"/>
        <v>22303.32</v>
      </c>
      <c r="AV79" s="96">
        <f t="shared" ca="1" si="162"/>
        <v>267639.84000000008</v>
      </c>
      <c r="AW79" s="87"/>
      <c r="AX79" s="88"/>
      <c r="AY79" s="88"/>
    </row>
    <row r="80" spans="1:51">
      <c r="A80" s="79" t="s">
        <v>3024</v>
      </c>
      <c r="B80" s="93" t="str">
        <f>B44</f>
        <v>ACPLSZ</v>
      </c>
      <c r="C80" s="93"/>
      <c r="D80" s="93"/>
      <c r="E80" s="93"/>
      <c r="F80" s="88"/>
      <c r="G80" s="88"/>
      <c r="H80" s="93"/>
      <c r="I80" s="94"/>
      <c r="J80" s="93"/>
      <c r="K80" s="93"/>
      <c r="L80" s="93"/>
      <c r="M80" s="93"/>
      <c r="N80" s="93"/>
      <c r="O80" s="93"/>
      <c r="P80" s="93"/>
      <c r="Q80" s="93"/>
      <c r="R80" s="93"/>
      <c r="S80" s="93"/>
      <c r="T80" s="93"/>
      <c r="U80" s="93"/>
      <c r="V80" s="93"/>
      <c r="W80" s="96">
        <f ca="1">SUMIF($B$51:$AV$78,$B80,W$51:W$78)</f>
        <v>35177.97</v>
      </c>
      <c r="X80" s="96">
        <f t="shared" ca="1" si="162"/>
        <v>39861.300000000003</v>
      </c>
      <c r="Y80" s="96">
        <f t="shared" ca="1" si="162"/>
        <v>35762.100000000006</v>
      </c>
      <c r="Z80" s="96">
        <f t="shared" ca="1" si="162"/>
        <v>36946.86</v>
      </c>
      <c r="AA80" s="96">
        <f t="shared" ca="1" si="162"/>
        <v>55416.850000000006</v>
      </c>
      <c r="AB80" s="96">
        <f t="shared" ca="1" si="162"/>
        <v>55161.850000000013</v>
      </c>
      <c r="AC80" s="96">
        <f t="shared" ca="1" si="162"/>
        <v>55416.850000000006</v>
      </c>
      <c r="AD80" s="96">
        <f t="shared" ca="1" si="162"/>
        <v>58306.850000000006</v>
      </c>
      <c r="AE80" s="96">
        <f t="shared" ca="1" si="162"/>
        <v>58306.850000000006</v>
      </c>
      <c r="AF80" s="96">
        <f t="shared" ca="1" si="162"/>
        <v>58306.850000000006</v>
      </c>
      <c r="AG80" s="96">
        <f t="shared" ca="1" si="162"/>
        <v>58306.850000000006</v>
      </c>
      <c r="AH80" s="96">
        <f t="shared" ca="1" si="162"/>
        <v>60346.850000000006</v>
      </c>
      <c r="AI80" s="96">
        <f t="shared" ca="1" si="162"/>
        <v>607318.03</v>
      </c>
      <c r="AJ80" s="96">
        <f t="shared" ca="1" si="162"/>
        <v>66927.63</v>
      </c>
      <c r="AK80" s="96">
        <f t="shared" ca="1" si="162"/>
        <v>66927.63</v>
      </c>
      <c r="AL80" s="96">
        <f t="shared" ca="1" si="162"/>
        <v>66927.63</v>
      </c>
      <c r="AM80" s="96">
        <f t="shared" ca="1" si="162"/>
        <v>66927.63</v>
      </c>
      <c r="AN80" s="96">
        <f t="shared" ca="1" si="162"/>
        <v>66927.63</v>
      </c>
      <c r="AO80" s="96">
        <f t="shared" ca="1" si="162"/>
        <v>66927.63</v>
      </c>
      <c r="AP80" s="96">
        <f t="shared" ca="1" si="162"/>
        <v>66927.63</v>
      </c>
      <c r="AQ80" s="96">
        <f t="shared" ca="1" si="162"/>
        <v>66927.63</v>
      </c>
      <c r="AR80" s="96">
        <f t="shared" ca="1" si="162"/>
        <v>66927.63</v>
      </c>
      <c r="AS80" s="96">
        <f t="shared" ca="1" si="162"/>
        <v>66927.63</v>
      </c>
      <c r="AT80" s="96">
        <f t="shared" ca="1" si="162"/>
        <v>66927.63</v>
      </c>
      <c r="AU80" s="96">
        <f t="shared" ca="1" si="162"/>
        <v>66927.63</v>
      </c>
      <c r="AV80" s="96">
        <f t="shared" ca="1" si="162"/>
        <v>803131.55999999994</v>
      </c>
      <c r="AW80" s="87"/>
      <c r="AX80" s="88"/>
      <c r="AY80" s="88"/>
    </row>
    <row r="81" spans="1:51">
      <c r="A81" s="93"/>
      <c r="B81" s="93"/>
      <c r="C81" s="93"/>
      <c r="D81" s="93"/>
      <c r="E81" s="93"/>
      <c r="F81" s="97" t="s">
        <v>3023</v>
      </c>
      <c r="G81" s="97"/>
      <c r="H81" s="93"/>
      <c r="I81" s="94"/>
      <c r="J81" s="98"/>
      <c r="K81" s="99"/>
      <c r="L81" s="99"/>
      <c r="M81" s="99"/>
      <c r="N81" s="99"/>
      <c r="O81" s="99"/>
      <c r="P81" s="99"/>
      <c r="Q81" s="99"/>
      <c r="R81" s="99"/>
      <c r="S81" s="99"/>
      <c r="T81" s="99"/>
      <c r="U81" s="99"/>
      <c r="V81" s="99"/>
      <c r="W81" s="100">
        <f>SUM(W50:W78)</f>
        <v>52259.140000000007</v>
      </c>
      <c r="X81" s="100">
        <f t="shared" ref="X81:AV81" si="163">SUM(X50:X78)</f>
        <v>56942.470000000008</v>
      </c>
      <c r="Y81" s="100">
        <f t="shared" si="163"/>
        <v>52843.27</v>
      </c>
      <c r="Z81" s="100">
        <f t="shared" si="163"/>
        <v>58711.360000000001</v>
      </c>
      <c r="AA81" s="100">
        <f t="shared" si="163"/>
        <v>77181.350000000006</v>
      </c>
      <c r="AB81" s="100">
        <f t="shared" si="163"/>
        <v>76926.350000000006</v>
      </c>
      <c r="AC81" s="100">
        <f t="shared" si="163"/>
        <v>77181.350000000006</v>
      </c>
      <c r="AD81" s="100">
        <f t="shared" si="163"/>
        <v>80071.350000000006</v>
      </c>
      <c r="AE81" s="100">
        <f t="shared" si="163"/>
        <v>80071.350000000006</v>
      </c>
      <c r="AF81" s="100">
        <f t="shared" si="163"/>
        <v>80071.350000000006</v>
      </c>
      <c r="AG81" s="100">
        <f t="shared" si="163"/>
        <v>80071.350000000006</v>
      </c>
      <c r="AH81" s="100">
        <f t="shared" si="163"/>
        <v>82111.350000000006</v>
      </c>
      <c r="AI81" s="100">
        <f t="shared" si="163"/>
        <v>854442.04</v>
      </c>
      <c r="AJ81" s="100">
        <f t="shared" si="163"/>
        <v>89230.950000000012</v>
      </c>
      <c r="AK81" s="100">
        <f t="shared" si="163"/>
        <v>89230.950000000012</v>
      </c>
      <c r="AL81" s="100">
        <f t="shared" si="163"/>
        <v>89230.950000000012</v>
      </c>
      <c r="AM81" s="100">
        <f t="shared" si="163"/>
        <v>89230.950000000012</v>
      </c>
      <c r="AN81" s="100">
        <f t="shared" si="163"/>
        <v>89230.950000000012</v>
      </c>
      <c r="AO81" s="100">
        <f t="shared" si="163"/>
        <v>89230.950000000012</v>
      </c>
      <c r="AP81" s="100">
        <f t="shared" si="163"/>
        <v>89230.950000000012</v>
      </c>
      <c r="AQ81" s="100">
        <f t="shared" si="163"/>
        <v>89230.950000000012</v>
      </c>
      <c r="AR81" s="100">
        <f t="shared" si="163"/>
        <v>89230.950000000012</v>
      </c>
      <c r="AS81" s="100">
        <f t="shared" si="163"/>
        <v>89230.950000000012</v>
      </c>
      <c r="AT81" s="100">
        <f t="shared" si="163"/>
        <v>89230.950000000012</v>
      </c>
      <c r="AU81" s="100">
        <f t="shared" si="163"/>
        <v>89230.950000000012</v>
      </c>
      <c r="AV81" s="100">
        <f t="shared" si="163"/>
        <v>1070771.3999999999</v>
      </c>
      <c r="AW81" s="87"/>
      <c r="AX81" s="88"/>
      <c r="AY81" s="88"/>
    </row>
    <row r="82" spans="1:51">
      <c r="A82" s="93"/>
      <c r="B82" s="93"/>
      <c r="C82" s="93"/>
      <c r="D82" s="93"/>
      <c r="E82" s="93"/>
      <c r="F82" s="88"/>
      <c r="G82" s="88"/>
      <c r="H82" s="93"/>
      <c r="I82" s="94"/>
      <c r="J82" s="93"/>
      <c r="K82" s="93"/>
      <c r="L82" s="93"/>
      <c r="M82" s="93"/>
      <c r="N82" s="93"/>
      <c r="O82" s="93"/>
      <c r="P82" s="93"/>
      <c r="Q82" s="93"/>
      <c r="R82" s="93"/>
      <c r="S82" s="93"/>
      <c r="T82" s="93"/>
      <c r="U82" s="93"/>
      <c r="V82" s="93"/>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7"/>
      <c r="AW82" s="88"/>
      <c r="AX82" s="88"/>
      <c r="AY82" s="93"/>
    </row>
    <row r="83" spans="1:51">
      <c r="A83" s="93"/>
      <c r="B83" s="79" t="s">
        <v>3025</v>
      </c>
      <c r="C83" s="93"/>
      <c r="D83" s="93"/>
      <c r="E83" s="93"/>
      <c r="F83" s="88"/>
      <c r="G83" s="88"/>
      <c r="H83" s="93"/>
      <c r="I83" s="94"/>
      <c r="J83" s="103"/>
      <c r="K83" s="1219" t="s">
        <v>3002</v>
      </c>
      <c r="L83" s="1220"/>
      <c r="M83" s="1220"/>
      <c r="N83" s="1220"/>
      <c r="O83" s="1220"/>
      <c r="P83" s="1220"/>
      <c r="Q83" s="1220"/>
      <c r="R83" s="1220"/>
      <c r="S83" s="1220"/>
      <c r="T83" s="1220"/>
      <c r="U83" s="1220"/>
      <c r="V83" s="1221"/>
      <c r="W83" s="1222" t="s">
        <v>3026</v>
      </c>
      <c r="X83" s="1223"/>
      <c r="Y83" s="1223"/>
      <c r="Z83" s="1223"/>
      <c r="AA83" s="1223"/>
      <c r="AB83" s="1223"/>
      <c r="AC83" s="1223"/>
      <c r="AD83" s="1223"/>
      <c r="AE83" s="1223"/>
      <c r="AF83" s="1223"/>
      <c r="AG83" s="1223"/>
      <c r="AH83" s="1224"/>
      <c r="AI83" s="1223"/>
      <c r="AJ83" s="1222" t="s">
        <v>3003</v>
      </c>
      <c r="AK83" s="1223"/>
      <c r="AL83" s="1223"/>
      <c r="AM83" s="1223"/>
      <c r="AN83" s="1223"/>
      <c r="AO83" s="1223"/>
      <c r="AP83" s="1223"/>
      <c r="AQ83" s="1223"/>
      <c r="AR83" s="1223"/>
      <c r="AS83" s="1223"/>
      <c r="AT83" s="1223"/>
      <c r="AU83" s="1224"/>
      <c r="AV83" s="1223"/>
      <c r="AW83" s="88"/>
      <c r="AX83" s="88"/>
      <c r="AY83" s="93"/>
    </row>
    <row r="84" spans="1:51" s="14" customFormat="1">
      <c r="A84" s="117" t="s">
        <v>3025</v>
      </c>
      <c r="B84" s="105" t="s">
        <v>3005</v>
      </c>
      <c r="C84" s="105" t="s">
        <v>3006</v>
      </c>
      <c r="D84" s="105" t="s">
        <v>3007</v>
      </c>
      <c r="E84" s="105" t="s">
        <v>3008</v>
      </c>
      <c r="F84" s="106" t="s">
        <v>3009</v>
      </c>
      <c r="G84" s="106"/>
      <c r="H84" s="107"/>
      <c r="I84" s="108" t="s">
        <v>3011</v>
      </c>
      <c r="J84" s="107"/>
      <c r="K84" s="107">
        <v>46023</v>
      </c>
      <c r="L84" s="107">
        <v>46054</v>
      </c>
      <c r="M84" s="107">
        <v>46082</v>
      </c>
      <c r="N84" s="107">
        <v>46113</v>
      </c>
      <c r="O84" s="107">
        <v>46143</v>
      </c>
      <c r="P84" s="107">
        <v>46174</v>
      </c>
      <c r="Q84" s="107">
        <v>46204</v>
      </c>
      <c r="R84" s="107">
        <v>46235</v>
      </c>
      <c r="S84" s="107">
        <v>46266</v>
      </c>
      <c r="T84" s="107">
        <v>46296</v>
      </c>
      <c r="U84" s="107">
        <v>46327</v>
      </c>
      <c r="V84" s="107">
        <v>46357</v>
      </c>
      <c r="W84" s="73">
        <f t="shared" ref="W84:AH84" si="164">+K84</f>
        <v>46023</v>
      </c>
      <c r="X84" s="73">
        <f t="shared" si="164"/>
        <v>46054</v>
      </c>
      <c r="Y84" s="73">
        <f t="shared" si="164"/>
        <v>46082</v>
      </c>
      <c r="Z84" s="73">
        <f t="shared" si="164"/>
        <v>46113</v>
      </c>
      <c r="AA84" s="73">
        <f t="shared" si="164"/>
        <v>46143</v>
      </c>
      <c r="AB84" s="73">
        <f t="shared" si="164"/>
        <v>46174</v>
      </c>
      <c r="AC84" s="73">
        <f t="shared" si="164"/>
        <v>46204</v>
      </c>
      <c r="AD84" s="73">
        <f t="shared" si="164"/>
        <v>46235</v>
      </c>
      <c r="AE84" s="73">
        <f t="shared" si="164"/>
        <v>46266</v>
      </c>
      <c r="AF84" s="73">
        <f t="shared" si="164"/>
        <v>46296</v>
      </c>
      <c r="AG84" s="73">
        <f t="shared" si="164"/>
        <v>46327</v>
      </c>
      <c r="AH84" s="73">
        <f t="shared" si="164"/>
        <v>46357</v>
      </c>
      <c r="AI84" s="109" t="str">
        <f>$AI$15</f>
        <v>Total 2026</v>
      </c>
      <c r="AJ84" s="73">
        <f t="shared" ref="AJ84:AU84" si="165">AJ$15</f>
        <v>46388</v>
      </c>
      <c r="AK84" s="73">
        <f t="shared" si="165"/>
        <v>46419</v>
      </c>
      <c r="AL84" s="73">
        <f t="shared" si="165"/>
        <v>46447</v>
      </c>
      <c r="AM84" s="73">
        <f t="shared" si="165"/>
        <v>46478</v>
      </c>
      <c r="AN84" s="73">
        <f t="shared" si="165"/>
        <v>46508</v>
      </c>
      <c r="AO84" s="73">
        <f t="shared" si="165"/>
        <v>46539</v>
      </c>
      <c r="AP84" s="73">
        <f t="shared" si="165"/>
        <v>46569</v>
      </c>
      <c r="AQ84" s="73">
        <f t="shared" si="165"/>
        <v>46600</v>
      </c>
      <c r="AR84" s="73">
        <f t="shared" si="165"/>
        <v>46631</v>
      </c>
      <c r="AS84" s="73">
        <f t="shared" si="165"/>
        <v>46661</v>
      </c>
      <c r="AT84" s="73">
        <f t="shared" si="165"/>
        <v>46692</v>
      </c>
      <c r="AU84" s="73">
        <f t="shared" si="165"/>
        <v>46722</v>
      </c>
      <c r="AV84" s="73" t="s">
        <v>3013</v>
      </c>
      <c r="AW84" s="118"/>
      <c r="AX84" s="111"/>
      <c r="AY84" s="111"/>
    </row>
    <row r="85" spans="1:51">
      <c r="A85" s="79" t="s">
        <v>3025</v>
      </c>
      <c r="B85" s="80"/>
      <c r="C85" s="80"/>
      <c r="D85" s="80"/>
      <c r="E85" s="80"/>
      <c r="F85" s="82"/>
      <c r="G85" s="82"/>
      <c r="H85" s="80"/>
      <c r="I85" s="112"/>
      <c r="J85" s="80"/>
      <c r="K85" s="84"/>
      <c r="L85" s="84"/>
      <c r="M85" s="84"/>
      <c r="N85" s="84"/>
      <c r="O85" s="84"/>
      <c r="P85" s="84"/>
      <c r="Q85" s="84"/>
      <c r="R85" s="84"/>
      <c r="S85" s="84"/>
      <c r="T85" s="84"/>
      <c r="U85" s="84"/>
      <c r="V85" s="84"/>
      <c r="W85" s="85"/>
      <c r="X85" s="85"/>
      <c r="Y85" s="85"/>
      <c r="Z85" s="85"/>
      <c r="AA85" s="85"/>
      <c r="AB85" s="85"/>
      <c r="AC85" s="85"/>
      <c r="AD85" s="85"/>
      <c r="AE85" s="85"/>
      <c r="AF85" s="85"/>
      <c r="AG85" s="85"/>
      <c r="AH85" s="85"/>
      <c r="AI85" s="85"/>
      <c r="AJ85" s="85"/>
      <c r="AK85" s="85"/>
      <c r="AL85" s="85"/>
      <c r="AM85" s="85"/>
      <c r="AN85" s="85"/>
      <c r="AO85" s="85"/>
      <c r="AP85" s="85"/>
      <c r="AQ85" s="85"/>
      <c r="AR85" s="85"/>
      <c r="AS85" s="85"/>
      <c r="AT85" s="85"/>
      <c r="AU85" s="85"/>
      <c r="AV85" s="85"/>
      <c r="AW85" s="116"/>
      <c r="AX85" s="88"/>
      <c r="AY85" s="88"/>
    </row>
    <row r="86" spans="1:51">
      <c r="A86" s="79" t="s">
        <v>3025</v>
      </c>
      <c r="B86" s="80" t="str">
        <f t="shared" ref="B86:B105" si="166">B17</f>
        <v>ACPSZL</v>
      </c>
      <c r="C86" s="80" t="str">
        <f t="shared" ref="C86:C105" si="167">C17</f>
        <v>深圳户籍</v>
      </c>
      <c r="D86" s="80" t="str">
        <f t="shared" ref="D86:D105" si="168">D17</f>
        <v>Professional</v>
      </c>
      <c r="E86" s="80">
        <f t="shared" ref="E86:E105" si="169">E17</f>
        <v>0</v>
      </c>
      <c r="F86" s="81">
        <f t="shared" ref="F86:F105" si="170">F17</f>
        <v>83000</v>
      </c>
      <c r="G86" s="81"/>
      <c r="H86" s="82" t="str">
        <f t="shared" ref="H86:H105" si="171">H17</f>
        <v>郭宗林</v>
      </c>
      <c r="I86" s="83">
        <f t="shared" ref="I86:I105" si="172">I17</f>
        <v>0</v>
      </c>
      <c r="J86" s="82"/>
      <c r="K86" s="84"/>
      <c r="L86" s="84"/>
      <c r="M86" s="84"/>
      <c r="N86" s="84"/>
      <c r="O86" s="84"/>
      <c r="P86" s="84"/>
      <c r="Q86" s="84"/>
      <c r="R86" s="84"/>
      <c r="S86" s="84"/>
      <c r="T86" s="84"/>
      <c r="U86" s="84"/>
      <c r="V86" s="84"/>
      <c r="W86" s="85">
        <v>0</v>
      </c>
      <c r="X86" s="85">
        <v>0</v>
      </c>
      <c r="Y86" s="85">
        <v>0</v>
      </c>
      <c r="Z86" s="85">
        <v>0</v>
      </c>
      <c r="AA86" s="85">
        <v>0</v>
      </c>
      <c r="AB86" s="85">
        <v>0</v>
      </c>
      <c r="AC86" s="85">
        <v>0</v>
      </c>
      <c r="AD86" s="85">
        <v>0</v>
      </c>
      <c r="AE86" s="85">
        <v>0</v>
      </c>
      <c r="AF86" s="85">
        <v>0</v>
      </c>
      <c r="AG86" s="85">
        <v>0</v>
      </c>
      <c r="AH86" s="85">
        <v>0</v>
      </c>
      <c r="AI86" s="86">
        <f t="shared" ref="AI86:AI94" si="173">SUM(W86:AH86)</f>
        <v>0</v>
      </c>
      <c r="AJ86" s="85"/>
      <c r="AK86" s="85"/>
      <c r="AL86" s="85"/>
      <c r="AM86" s="85"/>
      <c r="AN86" s="85"/>
      <c r="AO86" s="85"/>
      <c r="AP86" s="85"/>
      <c r="AQ86" s="85"/>
      <c r="AR86" s="85"/>
      <c r="AS86" s="85"/>
      <c r="AT86" s="85"/>
      <c r="AU86" s="85"/>
      <c r="AV86" s="86">
        <f t="shared" ref="AV86:AV92" si="174">SUM(AJ86:AU86)</f>
        <v>0</v>
      </c>
      <c r="AW86" s="116"/>
      <c r="AX86" s="88"/>
      <c r="AY86" s="88"/>
    </row>
    <row r="87" spans="1:51">
      <c r="A87" s="79" t="s">
        <v>3025</v>
      </c>
      <c r="B87" s="80" t="str">
        <f t="shared" si="166"/>
        <v>ACPSZL</v>
      </c>
      <c r="C87" s="80" t="str">
        <f t="shared" si="167"/>
        <v>深圳户籍</v>
      </c>
      <c r="D87" s="80" t="str">
        <f t="shared" si="168"/>
        <v>Professional</v>
      </c>
      <c r="E87" s="80">
        <f t="shared" si="169"/>
        <v>0</v>
      </c>
      <c r="F87" s="81">
        <f t="shared" si="170"/>
        <v>70000</v>
      </c>
      <c r="G87" s="81"/>
      <c r="H87" s="82" t="str">
        <f t="shared" si="171"/>
        <v>陈灿</v>
      </c>
      <c r="I87" s="83">
        <f t="shared" si="172"/>
        <v>0</v>
      </c>
      <c r="J87" s="82"/>
      <c r="K87" s="84"/>
      <c r="L87" s="84"/>
      <c r="M87" s="84"/>
      <c r="N87" s="84"/>
      <c r="O87" s="84"/>
      <c r="P87" s="84"/>
      <c r="Q87" s="84"/>
      <c r="R87" s="84"/>
      <c r="S87" s="84"/>
      <c r="T87" s="84"/>
      <c r="U87" s="84"/>
      <c r="V87" s="84"/>
      <c r="W87" s="85">
        <f t="shared" ref="W87:AH87" si="175">IF(VLOOKUP($H87,$H$15:$AH$46,W$16,FALSE)&gt;$AB$8,$AB$8*($AD$8+$AE$8),VLOOKUP($H87,$H$15:$AH$46,W$16,FALSE)*($AD$8+$AE$8))</f>
        <v>0</v>
      </c>
      <c r="X87" s="85">
        <f t="shared" si="175"/>
        <v>0</v>
      </c>
      <c r="Y87" s="85">
        <f t="shared" si="175"/>
        <v>0</v>
      </c>
      <c r="Z87" s="85">
        <f t="shared" si="175"/>
        <v>0</v>
      </c>
      <c r="AA87" s="85">
        <f t="shared" si="175"/>
        <v>0</v>
      </c>
      <c r="AB87" s="85">
        <f t="shared" si="175"/>
        <v>0</v>
      </c>
      <c r="AC87" s="85">
        <f t="shared" si="175"/>
        <v>0</v>
      </c>
      <c r="AD87" s="85">
        <f t="shared" si="175"/>
        <v>0</v>
      </c>
      <c r="AE87" s="85">
        <f t="shared" si="175"/>
        <v>0</v>
      </c>
      <c r="AF87" s="85">
        <f t="shared" si="175"/>
        <v>0</v>
      </c>
      <c r="AG87" s="85">
        <f t="shared" si="175"/>
        <v>0</v>
      </c>
      <c r="AH87" s="85">
        <f t="shared" si="175"/>
        <v>0</v>
      </c>
      <c r="AI87" s="86">
        <f t="shared" si="173"/>
        <v>0</v>
      </c>
      <c r="AJ87" s="85">
        <f t="shared" ref="AJ87:AU87" si="176">IF(VLOOKUP($H87,$H$15:$AU$46,AJ$16,FALSE)&gt;$AB$8,$AB$8*($AD$8+$AE$8),VLOOKUP($H87,$H$15:$AU$46,AJ$16,FALSE)*($AD$8+$AE$8))</f>
        <v>0</v>
      </c>
      <c r="AK87" s="85">
        <f t="shared" si="176"/>
        <v>0</v>
      </c>
      <c r="AL87" s="85">
        <f t="shared" si="176"/>
        <v>0</v>
      </c>
      <c r="AM87" s="85">
        <f t="shared" si="176"/>
        <v>0</v>
      </c>
      <c r="AN87" s="85">
        <f t="shared" si="176"/>
        <v>0</v>
      </c>
      <c r="AO87" s="85">
        <f t="shared" si="176"/>
        <v>0</v>
      </c>
      <c r="AP87" s="85">
        <f t="shared" si="176"/>
        <v>0</v>
      </c>
      <c r="AQ87" s="85">
        <f t="shared" si="176"/>
        <v>0</v>
      </c>
      <c r="AR87" s="85">
        <f t="shared" si="176"/>
        <v>0</v>
      </c>
      <c r="AS87" s="85">
        <f t="shared" si="176"/>
        <v>0</v>
      </c>
      <c r="AT87" s="85">
        <f t="shared" si="176"/>
        <v>0</v>
      </c>
      <c r="AU87" s="85">
        <f t="shared" si="176"/>
        <v>0</v>
      </c>
      <c r="AV87" s="86">
        <f t="shared" si="174"/>
        <v>0</v>
      </c>
      <c r="AW87" s="116"/>
      <c r="AX87" s="88"/>
      <c r="AY87" s="88"/>
    </row>
    <row r="88" spans="1:51">
      <c r="A88" s="79" t="s">
        <v>3025</v>
      </c>
      <c r="B88" s="80" t="str">
        <f t="shared" si="166"/>
        <v>ACPSZL</v>
      </c>
      <c r="C88" s="80" t="str">
        <f t="shared" si="167"/>
        <v>深圳户籍</v>
      </c>
      <c r="D88" s="80" t="str">
        <f t="shared" si="168"/>
        <v>Professional</v>
      </c>
      <c r="E88" s="80">
        <f t="shared" si="169"/>
        <v>0</v>
      </c>
      <c r="F88" s="81">
        <f t="shared" si="170"/>
        <v>27000</v>
      </c>
      <c r="G88" s="81"/>
      <c r="H88" s="82" t="str">
        <f t="shared" si="171"/>
        <v>林秋蝶</v>
      </c>
      <c r="I88" s="83">
        <f t="shared" si="172"/>
        <v>0</v>
      </c>
      <c r="J88" s="82"/>
      <c r="K88" s="84"/>
      <c r="L88" s="84"/>
      <c r="M88" s="84"/>
      <c r="N88" s="84"/>
      <c r="O88" s="84"/>
      <c r="P88" s="84"/>
      <c r="Q88" s="84"/>
      <c r="R88" s="84"/>
      <c r="S88" s="84"/>
      <c r="T88" s="84"/>
      <c r="U88" s="84"/>
      <c r="V88" s="84"/>
      <c r="W88" s="85">
        <f t="shared" ref="W88:AH88" si="177">IF(VLOOKUP($H88,$H$15:$AH$46,W$16,FALSE)&gt;$AB$8,$AB$8*($AD$8+$AE$8),VLOOKUP($H88,$H$15:$AH$46,W$16,FALSE)*($AD$8+$AE$8))</f>
        <v>1485</v>
      </c>
      <c r="X88" s="85">
        <f t="shared" si="177"/>
        <v>1485</v>
      </c>
      <c r="Y88" s="85">
        <f t="shared" si="177"/>
        <v>1485</v>
      </c>
      <c r="Z88" s="85">
        <f t="shared" si="177"/>
        <v>1485</v>
      </c>
      <c r="AA88" s="85">
        <f t="shared" si="177"/>
        <v>1485</v>
      </c>
      <c r="AB88" s="85">
        <f t="shared" si="177"/>
        <v>1485</v>
      </c>
      <c r="AC88" s="85">
        <f t="shared" si="177"/>
        <v>1485</v>
      </c>
      <c r="AD88" s="85">
        <f t="shared" si="177"/>
        <v>1485</v>
      </c>
      <c r="AE88" s="85">
        <f t="shared" si="177"/>
        <v>1485</v>
      </c>
      <c r="AF88" s="85">
        <f t="shared" si="177"/>
        <v>1485</v>
      </c>
      <c r="AG88" s="85">
        <f t="shared" si="177"/>
        <v>1485</v>
      </c>
      <c r="AH88" s="85">
        <f t="shared" si="177"/>
        <v>1485</v>
      </c>
      <c r="AI88" s="86">
        <f t="shared" si="173"/>
        <v>17820</v>
      </c>
      <c r="AJ88" s="85">
        <f t="shared" ref="AJ88:AU88" si="178">IF(VLOOKUP($H88,$H$15:$AU$46,AJ$16,FALSE)&gt;$AB$8,$AB$8*($AD$8+$AE$8),VLOOKUP($H88,$H$15:$AU$46,AJ$16,FALSE)*($AD$8+$AE$8))</f>
        <v>1559.25</v>
      </c>
      <c r="AK88" s="85">
        <f t="shared" si="178"/>
        <v>1559.25</v>
      </c>
      <c r="AL88" s="85">
        <f t="shared" si="178"/>
        <v>1559.25</v>
      </c>
      <c r="AM88" s="85">
        <f t="shared" si="178"/>
        <v>1559.25</v>
      </c>
      <c r="AN88" s="85">
        <f t="shared" si="178"/>
        <v>1559.25</v>
      </c>
      <c r="AO88" s="85">
        <f t="shared" si="178"/>
        <v>1559.25</v>
      </c>
      <c r="AP88" s="85">
        <f t="shared" si="178"/>
        <v>1559.25</v>
      </c>
      <c r="AQ88" s="85">
        <f t="shared" si="178"/>
        <v>1559.25</v>
      </c>
      <c r="AR88" s="85">
        <f t="shared" si="178"/>
        <v>1559.25</v>
      </c>
      <c r="AS88" s="85">
        <f t="shared" si="178"/>
        <v>1559.25</v>
      </c>
      <c r="AT88" s="85">
        <f t="shared" si="178"/>
        <v>1559.25</v>
      </c>
      <c r="AU88" s="85">
        <f t="shared" si="178"/>
        <v>1559.25</v>
      </c>
      <c r="AV88" s="86">
        <f t="shared" si="174"/>
        <v>18711</v>
      </c>
      <c r="AW88" s="116"/>
      <c r="AX88" s="88"/>
      <c r="AY88" s="88"/>
    </row>
    <row r="89" spans="1:51">
      <c r="A89" s="79" t="s">
        <v>3025</v>
      </c>
      <c r="B89" s="80" t="str">
        <f t="shared" si="166"/>
        <v>ACPLSZ</v>
      </c>
      <c r="C89" s="80" t="str">
        <f t="shared" si="167"/>
        <v>深圳户籍</v>
      </c>
      <c r="D89" s="80" t="str">
        <f t="shared" si="168"/>
        <v>Professional</v>
      </c>
      <c r="E89" s="80">
        <f t="shared" si="169"/>
        <v>0</v>
      </c>
      <c r="F89" s="81">
        <f t="shared" si="170"/>
        <v>17000</v>
      </c>
      <c r="G89" s="81"/>
      <c r="H89" s="82" t="str">
        <f t="shared" si="171"/>
        <v>陈斌捷</v>
      </c>
      <c r="I89" s="83">
        <f t="shared" si="172"/>
        <v>8.8235294117646967E-2</v>
      </c>
      <c r="J89" s="82"/>
      <c r="K89" s="84"/>
      <c r="L89" s="84"/>
      <c r="M89" s="84"/>
      <c r="N89" s="84"/>
      <c r="O89" s="84"/>
      <c r="P89" s="84"/>
      <c r="Q89" s="84"/>
      <c r="R89" s="84"/>
      <c r="S89" s="84"/>
      <c r="T89" s="84"/>
      <c r="U89" s="84"/>
      <c r="V89" s="84"/>
      <c r="W89" s="85">
        <f t="shared" ref="W89:AH89" si="179">IF(VLOOKUP($H89,$H$15:$AH$46,W$16,FALSE)&gt;$AB$8,$AB$8*($AD$8+$AE$8),VLOOKUP($H89,$H$15:$AH$46,W$16,FALSE)*($AD$8+$AE$8))</f>
        <v>935</v>
      </c>
      <c r="X89" s="85">
        <f t="shared" si="179"/>
        <v>935</v>
      </c>
      <c r="Y89" s="85">
        <f t="shared" si="179"/>
        <v>935</v>
      </c>
      <c r="Z89" s="85">
        <f t="shared" si="179"/>
        <v>1017.5</v>
      </c>
      <c r="AA89" s="85">
        <f t="shared" si="179"/>
        <v>1017.5</v>
      </c>
      <c r="AB89" s="85">
        <f t="shared" si="179"/>
        <v>1017.5</v>
      </c>
      <c r="AC89" s="85">
        <f t="shared" si="179"/>
        <v>1017.5</v>
      </c>
      <c r="AD89" s="85">
        <f t="shared" si="179"/>
        <v>1017.5</v>
      </c>
      <c r="AE89" s="85">
        <f t="shared" si="179"/>
        <v>1017.5</v>
      </c>
      <c r="AF89" s="85">
        <f t="shared" si="179"/>
        <v>1017.5</v>
      </c>
      <c r="AG89" s="85">
        <f t="shared" si="179"/>
        <v>1017.5</v>
      </c>
      <c r="AH89" s="85">
        <f t="shared" si="179"/>
        <v>1017.5</v>
      </c>
      <c r="AI89" s="86">
        <f t="shared" si="173"/>
        <v>11962.5</v>
      </c>
      <c r="AJ89" s="85">
        <f t="shared" ref="AJ89:AU89" si="180">IF(VLOOKUP($H89,$H$15:$AU$46,AJ$16,FALSE)&gt;$AB$8,$AB$8*($AD$8+$AE$8),VLOOKUP($H89,$H$15:$AU$46,AJ$16,FALSE)*($AD$8+$AE$8))</f>
        <v>1068.375</v>
      </c>
      <c r="AK89" s="85">
        <f t="shared" si="180"/>
        <v>1068.375</v>
      </c>
      <c r="AL89" s="85">
        <f t="shared" si="180"/>
        <v>1068.375</v>
      </c>
      <c r="AM89" s="85">
        <f t="shared" si="180"/>
        <v>1068.375</v>
      </c>
      <c r="AN89" s="85">
        <f t="shared" si="180"/>
        <v>1068.375</v>
      </c>
      <c r="AO89" s="85">
        <f t="shared" si="180"/>
        <v>1068.375</v>
      </c>
      <c r="AP89" s="85">
        <f t="shared" si="180"/>
        <v>1068.375</v>
      </c>
      <c r="AQ89" s="85">
        <f t="shared" si="180"/>
        <v>1068.375</v>
      </c>
      <c r="AR89" s="85">
        <f t="shared" si="180"/>
        <v>1068.375</v>
      </c>
      <c r="AS89" s="85">
        <f t="shared" si="180"/>
        <v>1068.375</v>
      </c>
      <c r="AT89" s="85">
        <f t="shared" si="180"/>
        <v>1068.375</v>
      </c>
      <c r="AU89" s="85">
        <f t="shared" si="180"/>
        <v>1068.375</v>
      </c>
      <c r="AV89" s="86">
        <f t="shared" si="174"/>
        <v>12820.5</v>
      </c>
      <c r="AW89" s="116"/>
      <c r="AX89" s="88"/>
      <c r="AY89" s="88"/>
    </row>
    <row r="90" spans="1:51">
      <c r="A90" s="79" t="s">
        <v>3025</v>
      </c>
      <c r="B90" s="80" t="str">
        <f t="shared" si="166"/>
        <v>ACPSZL</v>
      </c>
      <c r="C90" s="80" t="str">
        <f t="shared" si="167"/>
        <v>深圳户籍</v>
      </c>
      <c r="D90" s="80" t="str">
        <f t="shared" si="168"/>
        <v>Professional</v>
      </c>
      <c r="E90" s="80">
        <f t="shared" si="169"/>
        <v>0</v>
      </c>
      <c r="F90" s="82">
        <f t="shared" si="170"/>
        <v>20000</v>
      </c>
      <c r="G90" s="82"/>
      <c r="H90" s="82" t="str">
        <f t="shared" si="171"/>
        <v>陈广华</v>
      </c>
      <c r="I90" s="83">
        <f t="shared" si="172"/>
        <v>0</v>
      </c>
      <c r="J90" s="82"/>
      <c r="K90" s="84"/>
      <c r="L90" s="84"/>
      <c r="M90" s="84"/>
      <c r="N90" s="84"/>
      <c r="O90" s="84"/>
      <c r="P90" s="84"/>
      <c r="Q90" s="84"/>
      <c r="R90" s="84"/>
      <c r="S90" s="84"/>
      <c r="T90" s="84"/>
      <c r="U90" s="84"/>
      <c r="V90" s="84"/>
      <c r="W90" s="85">
        <f t="shared" ref="W90:AH90" si="181">IF(VLOOKUP($H90,$H$15:$AH$46,W$16,FALSE)&gt;$AB$8,$AB$8*($AD$8+$AE$8),VLOOKUP($H90,$H$15:$AH$46,W$16,FALSE)*($AD$8+$AE$8))</f>
        <v>1100</v>
      </c>
      <c r="X90" s="85">
        <f t="shared" si="181"/>
        <v>1100</v>
      </c>
      <c r="Y90" s="85">
        <f t="shared" si="181"/>
        <v>1100</v>
      </c>
      <c r="Z90" s="85">
        <f t="shared" si="181"/>
        <v>1100</v>
      </c>
      <c r="AA90" s="85">
        <f t="shared" si="181"/>
        <v>1100</v>
      </c>
      <c r="AB90" s="85">
        <f t="shared" si="181"/>
        <v>1100</v>
      </c>
      <c r="AC90" s="85">
        <f t="shared" si="181"/>
        <v>1100</v>
      </c>
      <c r="AD90" s="85">
        <f t="shared" si="181"/>
        <v>1100</v>
      </c>
      <c r="AE90" s="85">
        <f t="shared" si="181"/>
        <v>1100</v>
      </c>
      <c r="AF90" s="85">
        <f t="shared" si="181"/>
        <v>1100</v>
      </c>
      <c r="AG90" s="85">
        <f t="shared" si="181"/>
        <v>1100</v>
      </c>
      <c r="AH90" s="85">
        <f t="shared" si="181"/>
        <v>1100</v>
      </c>
      <c r="AI90" s="86">
        <f t="shared" si="173"/>
        <v>13200</v>
      </c>
      <c r="AJ90" s="85">
        <f t="shared" ref="AJ90:AU90" si="182">IF(VLOOKUP($H90,$H$15:$AU$46,AJ$16,FALSE)&gt;$AB$8,$AB$8*($AD$8+$AE$8),VLOOKUP($H90,$H$15:$AU$46,AJ$16,FALSE)*($AD$8+$AE$8))</f>
        <v>1155</v>
      </c>
      <c r="AK90" s="85">
        <f t="shared" si="182"/>
        <v>1155</v>
      </c>
      <c r="AL90" s="85">
        <f t="shared" si="182"/>
        <v>1155</v>
      </c>
      <c r="AM90" s="85">
        <f t="shared" si="182"/>
        <v>1155</v>
      </c>
      <c r="AN90" s="85">
        <f t="shared" si="182"/>
        <v>1155</v>
      </c>
      <c r="AO90" s="85">
        <f t="shared" si="182"/>
        <v>1155</v>
      </c>
      <c r="AP90" s="85">
        <f t="shared" si="182"/>
        <v>1155</v>
      </c>
      <c r="AQ90" s="85">
        <f t="shared" si="182"/>
        <v>1155</v>
      </c>
      <c r="AR90" s="85">
        <f t="shared" si="182"/>
        <v>1155</v>
      </c>
      <c r="AS90" s="85">
        <f t="shared" si="182"/>
        <v>1155</v>
      </c>
      <c r="AT90" s="85">
        <f t="shared" si="182"/>
        <v>1155</v>
      </c>
      <c r="AU90" s="85">
        <f t="shared" si="182"/>
        <v>1155</v>
      </c>
      <c r="AV90" s="86">
        <f t="shared" si="174"/>
        <v>13860</v>
      </c>
      <c r="AW90" s="116"/>
      <c r="AX90" s="88"/>
      <c r="AY90" s="88"/>
    </row>
    <row r="91" spans="1:51">
      <c r="A91" s="79" t="s">
        <v>3025</v>
      </c>
      <c r="B91" s="80" t="str">
        <f t="shared" si="166"/>
        <v>ACPSZL</v>
      </c>
      <c r="C91" s="80" t="str">
        <f t="shared" si="167"/>
        <v>非深圳户籍</v>
      </c>
      <c r="D91" s="80" t="str">
        <f t="shared" si="168"/>
        <v>Professional</v>
      </c>
      <c r="E91" s="80">
        <f t="shared" si="169"/>
        <v>0</v>
      </c>
      <c r="F91" s="82">
        <f t="shared" si="170"/>
        <v>50000</v>
      </c>
      <c r="G91" s="82"/>
      <c r="H91" s="82" t="str">
        <f t="shared" si="171"/>
        <v>冷雨尘</v>
      </c>
      <c r="I91" s="83">
        <f t="shared" si="172"/>
        <v>0</v>
      </c>
      <c r="J91" s="82"/>
      <c r="K91" s="84"/>
      <c r="L91" s="84"/>
      <c r="M91" s="84"/>
      <c r="N91" s="84"/>
      <c r="O91" s="84"/>
      <c r="P91" s="84"/>
      <c r="Q91" s="84"/>
      <c r="R91" s="84"/>
      <c r="S91" s="84"/>
      <c r="T91" s="84"/>
      <c r="U91" s="84"/>
      <c r="V91" s="84"/>
      <c r="W91" s="85">
        <f t="shared" ref="W91:AH91" si="183">IF(VLOOKUP($H91,$H$15:$AH$46,W$16,FALSE)&gt;$AB$8,$AB$8*($AD$8+$AE$8),VLOOKUP($H91,$H$15:$AH$46,W$16,FALSE)*($AD$8+$AE$8))</f>
        <v>1851.63</v>
      </c>
      <c r="X91" s="85">
        <f t="shared" si="183"/>
        <v>1851.63</v>
      </c>
      <c r="Y91" s="85">
        <f t="shared" si="183"/>
        <v>1851.63</v>
      </c>
      <c r="Z91" s="85">
        <f t="shared" si="183"/>
        <v>1851.63</v>
      </c>
      <c r="AA91" s="85">
        <f t="shared" si="183"/>
        <v>1851.63</v>
      </c>
      <c r="AB91" s="85">
        <f t="shared" si="183"/>
        <v>1851.63</v>
      </c>
      <c r="AC91" s="85">
        <f t="shared" si="183"/>
        <v>1851.63</v>
      </c>
      <c r="AD91" s="85">
        <f t="shared" si="183"/>
        <v>1851.63</v>
      </c>
      <c r="AE91" s="85">
        <f t="shared" si="183"/>
        <v>1851.63</v>
      </c>
      <c r="AF91" s="85">
        <f t="shared" si="183"/>
        <v>1851.63</v>
      </c>
      <c r="AG91" s="85">
        <f t="shared" si="183"/>
        <v>1851.63</v>
      </c>
      <c r="AH91" s="85">
        <f t="shared" si="183"/>
        <v>1851.63</v>
      </c>
      <c r="AI91" s="86">
        <f t="shared" si="173"/>
        <v>22219.560000000009</v>
      </c>
      <c r="AJ91" s="85">
        <f t="shared" ref="AJ91:AU91" si="184">IF(VLOOKUP($H91,$H$15:$AU$46,AJ$16,FALSE)&gt;$AB$8,$AB$8*($AD$8+$AE$8),VLOOKUP($H91,$H$15:$AU$46,AJ$16,FALSE)*($AD$8+$AE$8))</f>
        <v>1851.63</v>
      </c>
      <c r="AK91" s="85">
        <f t="shared" si="184"/>
        <v>1851.63</v>
      </c>
      <c r="AL91" s="85">
        <f t="shared" si="184"/>
        <v>1851.63</v>
      </c>
      <c r="AM91" s="85">
        <f t="shared" si="184"/>
        <v>1851.63</v>
      </c>
      <c r="AN91" s="85">
        <f t="shared" si="184"/>
        <v>1851.63</v>
      </c>
      <c r="AO91" s="85">
        <f t="shared" si="184"/>
        <v>1851.63</v>
      </c>
      <c r="AP91" s="85">
        <f t="shared" si="184"/>
        <v>1851.63</v>
      </c>
      <c r="AQ91" s="85">
        <f t="shared" si="184"/>
        <v>1851.63</v>
      </c>
      <c r="AR91" s="85">
        <f t="shared" si="184"/>
        <v>1851.63</v>
      </c>
      <c r="AS91" s="85">
        <f t="shared" si="184"/>
        <v>1851.63</v>
      </c>
      <c r="AT91" s="85">
        <f t="shared" si="184"/>
        <v>1851.63</v>
      </c>
      <c r="AU91" s="85">
        <f t="shared" si="184"/>
        <v>1851.63</v>
      </c>
      <c r="AV91" s="86">
        <f t="shared" si="174"/>
        <v>22219.560000000009</v>
      </c>
      <c r="AW91" s="116"/>
      <c r="AX91" s="88"/>
      <c r="AY91" s="88"/>
    </row>
    <row r="92" spans="1:51">
      <c r="A92" s="79" t="s">
        <v>3025</v>
      </c>
      <c r="B92" s="80" t="str">
        <f t="shared" si="166"/>
        <v>ACPSZL</v>
      </c>
      <c r="C92" s="80" t="str">
        <f t="shared" si="167"/>
        <v>深圳户籍</v>
      </c>
      <c r="D92" s="80" t="str">
        <f t="shared" si="168"/>
        <v>Professional</v>
      </c>
      <c r="E92" s="80">
        <f t="shared" si="169"/>
        <v>0</v>
      </c>
      <c r="F92" s="82">
        <f t="shared" si="170"/>
        <v>35000</v>
      </c>
      <c r="G92" s="82"/>
      <c r="H92" s="82" t="str">
        <f t="shared" si="171"/>
        <v>李敏宽</v>
      </c>
      <c r="I92" s="83">
        <f t="shared" si="172"/>
        <v>0.14285714285714279</v>
      </c>
      <c r="J92" s="82"/>
      <c r="K92" s="84"/>
      <c r="L92" s="84"/>
      <c r="M92" s="84"/>
      <c r="N92" s="84"/>
      <c r="O92" s="84"/>
      <c r="P92" s="84"/>
      <c r="Q92" s="84"/>
      <c r="R92" s="84"/>
      <c r="S92" s="84"/>
      <c r="T92" s="84"/>
      <c r="U92" s="84"/>
      <c r="V92" s="84"/>
      <c r="W92" s="85">
        <f t="shared" ref="W92:AH92" si="185">IF(VLOOKUP($H92,$H$15:$AH$46,W$16,FALSE)&gt;$AB$8,$AB$8*($AD$8+$AE$8),VLOOKUP($H92,$H$15:$AH$46,W$16,FALSE)*($AD$8+$AE$8))</f>
        <v>1851.63</v>
      </c>
      <c r="X92" s="85">
        <f t="shared" si="185"/>
        <v>1851.63</v>
      </c>
      <c r="Y92" s="85">
        <f t="shared" si="185"/>
        <v>1851.63</v>
      </c>
      <c r="Z92" s="85">
        <f t="shared" si="185"/>
        <v>1851.63</v>
      </c>
      <c r="AA92" s="85">
        <f t="shared" si="185"/>
        <v>1851.63</v>
      </c>
      <c r="AB92" s="85">
        <f t="shared" si="185"/>
        <v>1851.63</v>
      </c>
      <c r="AC92" s="85">
        <f t="shared" si="185"/>
        <v>1851.63</v>
      </c>
      <c r="AD92" s="85">
        <f t="shared" si="185"/>
        <v>1851.63</v>
      </c>
      <c r="AE92" s="85">
        <f t="shared" si="185"/>
        <v>1851.63</v>
      </c>
      <c r="AF92" s="85">
        <f t="shared" si="185"/>
        <v>1851.63</v>
      </c>
      <c r="AG92" s="85">
        <f t="shared" si="185"/>
        <v>1851.63</v>
      </c>
      <c r="AH92" s="85">
        <f t="shared" si="185"/>
        <v>1851.63</v>
      </c>
      <c r="AI92" s="86">
        <f t="shared" si="173"/>
        <v>22219.560000000009</v>
      </c>
      <c r="AJ92" s="85">
        <f t="shared" ref="AJ92:AU92" si="186">IF(VLOOKUP($H92,$H$15:$AU$46,AJ$16,FALSE)&gt;$AB$8,$AB$8*($AD$8+$AE$8),VLOOKUP($H92,$H$15:$AU$46,AJ$16,FALSE)*($AD$8+$AE$8))</f>
        <v>1851.63</v>
      </c>
      <c r="AK92" s="85">
        <f t="shared" si="186"/>
        <v>1851.63</v>
      </c>
      <c r="AL92" s="85">
        <f t="shared" si="186"/>
        <v>1851.63</v>
      </c>
      <c r="AM92" s="85">
        <f t="shared" si="186"/>
        <v>1851.63</v>
      </c>
      <c r="AN92" s="85">
        <f t="shared" si="186"/>
        <v>1851.63</v>
      </c>
      <c r="AO92" s="85">
        <f t="shared" si="186"/>
        <v>1851.63</v>
      </c>
      <c r="AP92" s="85">
        <f t="shared" si="186"/>
        <v>1851.63</v>
      </c>
      <c r="AQ92" s="85">
        <f t="shared" si="186"/>
        <v>1851.63</v>
      </c>
      <c r="AR92" s="85">
        <f t="shared" si="186"/>
        <v>1851.63</v>
      </c>
      <c r="AS92" s="85">
        <f t="shared" si="186"/>
        <v>1851.63</v>
      </c>
      <c r="AT92" s="85">
        <f t="shared" si="186"/>
        <v>1851.63</v>
      </c>
      <c r="AU92" s="85">
        <f t="shared" si="186"/>
        <v>1851.63</v>
      </c>
      <c r="AV92" s="86">
        <f t="shared" si="174"/>
        <v>22219.560000000009</v>
      </c>
      <c r="AW92" s="116"/>
      <c r="AX92" s="88"/>
      <c r="AY92" s="88"/>
    </row>
    <row r="93" spans="1:51">
      <c r="A93" s="79" t="s">
        <v>3025</v>
      </c>
      <c r="B93" s="80" t="str">
        <f t="shared" si="166"/>
        <v>ACPLSZ</v>
      </c>
      <c r="C93" s="80" t="str">
        <f t="shared" si="167"/>
        <v>非深圳户籍</v>
      </c>
      <c r="D93" s="80" t="str">
        <f t="shared" si="168"/>
        <v>Professional</v>
      </c>
      <c r="E93" s="80">
        <f t="shared" si="169"/>
        <v>0</v>
      </c>
      <c r="F93" s="81">
        <f t="shared" si="170"/>
        <v>44250</v>
      </c>
      <c r="G93" s="81"/>
      <c r="H93" s="82" t="str">
        <f t="shared" si="171"/>
        <v>高焙</v>
      </c>
      <c r="I93" s="83">
        <f t="shared" si="172"/>
        <v>0.12994350282485878</v>
      </c>
      <c r="J93" s="82"/>
      <c r="K93" s="84"/>
      <c r="L93" s="84"/>
      <c r="M93" s="84"/>
      <c r="N93" s="84"/>
      <c r="O93" s="84"/>
      <c r="P93" s="84"/>
      <c r="Q93" s="84"/>
      <c r="R93" s="84"/>
      <c r="S93" s="84"/>
      <c r="T93" s="84"/>
      <c r="U93" s="84"/>
      <c r="V93" s="84"/>
      <c r="W93" s="85">
        <f t="shared" ref="W93:AH93" si="187">IF(VLOOKUP($H93,$H$15:$AH$46,W$16,FALSE)&gt;$AB$8,$AB$8*($AD$8+$AE$8),VLOOKUP($H93,$H$15:$AH$46,W$16,FALSE)*($AD$8+$AE$8))</f>
        <v>1851.63</v>
      </c>
      <c r="X93" s="85">
        <f t="shared" si="187"/>
        <v>1851.63</v>
      </c>
      <c r="Y93" s="85">
        <f t="shared" si="187"/>
        <v>1851.63</v>
      </c>
      <c r="Z93" s="85">
        <f t="shared" si="187"/>
        <v>1851.63</v>
      </c>
      <c r="AA93" s="85">
        <f t="shared" si="187"/>
        <v>1851.63</v>
      </c>
      <c r="AB93" s="85">
        <f t="shared" si="187"/>
        <v>1851.63</v>
      </c>
      <c r="AC93" s="85">
        <f t="shared" si="187"/>
        <v>1851.63</v>
      </c>
      <c r="AD93" s="85">
        <f t="shared" si="187"/>
        <v>1851.63</v>
      </c>
      <c r="AE93" s="85">
        <f t="shared" si="187"/>
        <v>1851.63</v>
      </c>
      <c r="AF93" s="85">
        <f t="shared" si="187"/>
        <v>1851.63</v>
      </c>
      <c r="AG93" s="85">
        <f t="shared" si="187"/>
        <v>1851.63</v>
      </c>
      <c r="AH93" s="85">
        <f t="shared" si="187"/>
        <v>1851.63</v>
      </c>
      <c r="AI93" s="86">
        <f t="shared" si="173"/>
        <v>22219.560000000009</v>
      </c>
      <c r="AJ93" s="85">
        <f t="shared" ref="AJ93:AU93" si="188">IF(VLOOKUP($H93,$H$15:$AU$46,AJ$16,FALSE)&gt;$AB$8,$AB$8*($AD$8+$AE$8),VLOOKUP($H93,$H$15:$AU$46,AJ$16,FALSE)*($AD$8+$AE$8))</f>
        <v>1851.63</v>
      </c>
      <c r="AK93" s="85">
        <f t="shared" si="188"/>
        <v>1851.63</v>
      </c>
      <c r="AL93" s="85">
        <f t="shared" si="188"/>
        <v>1851.63</v>
      </c>
      <c r="AM93" s="85">
        <f t="shared" si="188"/>
        <v>1851.63</v>
      </c>
      <c r="AN93" s="85">
        <f t="shared" si="188"/>
        <v>1851.63</v>
      </c>
      <c r="AO93" s="85">
        <f t="shared" si="188"/>
        <v>1851.63</v>
      </c>
      <c r="AP93" s="85">
        <f t="shared" si="188"/>
        <v>1851.63</v>
      </c>
      <c r="AQ93" s="85">
        <f t="shared" si="188"/>
        <v>1851.63</v>
      </c>
      <c r="AR93" s="85">
        <f t="shared" si="188"/>
        <v>1851.63</v>
      </c>
      <c r="AS93" s="85">
        <f t="shared" si="188"/>
        <v>1851.63</v>
      </c>
      <c r="AT93" s="85">
        <f t="shared" si="188"/>
        <v>1851.63</v>
      </c>
      <c r="AU93" s="85">
        <f t="shared" si="188"/>
        <v>1851.63</v>
      </c>
      <c r="AV93" s="86">
        <f t="shared" ref="AV93:AV106" si="189">SUM(AJ93:AU93)</f>
        <v>22219.560000000009</v>
      </c>
      <c r="AW93" s="116"/>
      <c r="AX93" s="88"/>
      <c r="AY93" s="88"/>
    </row>
    <row r="94" spans="1:51">
      <c r="A94" s="79" t="s">
        <v>3025</v>
      </c>
      <c r="B94" s="80" t="str">
        <f t="shared" si="166"/>
        <v>ACPLSZ</v>
      </c>
      <c r="C94" s="80" t="str">
        <f t="shared" si="167"/>
        <v>天津</v>
      </c>
      <c r="D94" s="80" t="str">
        <f t="shared" si="168"/>
        <v>Professional</v>
      </c>
      <c r="E94" s="80">
        <f t="shared" si="169"/>
        <v>0</v>
      </c>
      <c r="F94" s="81">
        <f t="shared" si="170"/>
        <v>44250</v>
      </c>
      <c r="G94" s="81"/>
      <c r="H94" s="82" t="str">
        <f t="shared" si="171"/>
        <v>袁玉杰</v>
      </c>
      <c r="I94" s="83">
        <f t="shared" si="172"/>
        <v>0</v>
      </c>
      <c r="J94" s="82"/>
      <c r="K94" s="84"/>
      <c r="L94" s="84"/>
      <c r="M94" s="84"/>
      <c r="N94" s="84"/>
      <c r="O94" s="84"/>
      <c r="P94" s="84"/>
      <c r="Q94" s="84"/>
      <c r="R94" s="84"/>
      <c r="S94" s="84"/>
      <c r="T94" s="84"/>
      <c r="U94" s="84"/>
      <c r="V94" s="84"/>
      <c r="W94" s="85">
        <f t="shared" ref="W94:AH94" si="190">IF(VLOOKUP($H94,$H$15:$AH$46,W$16,FALSE)&gt;$AB$6,$AB$6*($AD$6+$AE$6),VLOOKUP($H94,$H$15:$AH$46,W$16,FALSE)*($AD$6+$AE$6))</f>
        <v>2690.1000000000004</v>
      </c>
      <c r="X94" s="85">
        <f t="shared" si="190"/>
        <v>2690.1000000000004</v>
      </c>
      <c r="Y94" s="85">
        <f t="shared" si="190"/>
        <v>0</v>
      </c>
      <c r="Z94" s="85">
        <f t="shared" si="190"/>
        <v>0</v>
      </c>
      <c r="AA94" s="85">
        <f t="shared" si="190"/>
        <v>0</v>
      </c>
      <c r="AB94" s="85">
        <f t="shared" si="190"/>
        <v>0</v>
      </c>
      <c r="AC94" s="85">
        <f t="shared" si="190"/>
        <v>0</v>
      </c>
      <c r="AD94" s="85">
        <f t="shared" si="190"/>
        <v>0</v>
      </c>
      <c r="AE94" s="85">
        <f t="shared" si="190"/>
        <v>0</v>
      </c>
      <c r="AF94" s="85">
        <f t="shared" si="190"/>
        <v>0</v>
      </c>
      <c r="AG94" s="85">
        <f t="shared" si="190"/>
        <v>0</v>
      </c>
      <c r="AH94" s="85">
        <f t="shared" si="190"/>
        <v>0</v>
      </c>
      <c r="AI94" s="86">
        <f t="shared" si="173"/>
        <v>5380.2000000000007</v>
      </c>
      <c r="AJ94" s="85">
        <f t="shared" ref="AJ94:AU94" si="191">IF(VLOOKUP($H94,$H$15:$AU$46,AJ$16,FALSE)&gt;$AB$8,$AB$8*($AD$8+$AE$8),VLOOKUP($H94,$H$15:$AU$46,AJ$16,FALSE)*($AD$8+$AE$8))</f>
        <v>1851.63</v>
      </c>
      <c r="AK94" s="85">
        <f t="shared" si="191"/>
        <v>1851.63</v>
      </c>
      <c r="AL94" s="85">
        <f t="shared" si="191"/>
        <v>1851.63</v>
      </c>
      <c r="AM94" s="85">
        <f t="shared" si="191"/>
        <v>1851.63</v>
      </c>
      <c r="AN94" s="85">
        <f t="shared" si="191"/>
        <v>1851.63</v>
      </c>
      <c r="AO94" s="85">
        <f t="shared" si="191"/>
        <v>1851.63</v>
      </c>
      <c r="AP94" s="85">
        <f t="shared" si="191"/>
        <v>1851.63</v>
      </c>
      <c r="AQ94" s="85">
        <f t="shared" si="191"/>
        <v>1851.63</v>
      </c>
      <c r="AR94" s="85">
        <f t="shared" si="191"/>
        <v>1851.63</v>
      </c>
      <c r="AS94" s="85">
        <f t="shared" si="191"/>
        <v>1851.63</v>
      </c>
      <c r="AT94" s="85">
        <f t="shared" si="191"/>
        <v>1851.63</v>
      </c>
      <c r="AU94" s="85">
        <f t="shared" si="191"/>
        <v>1851.63</v>
      </c>
      <c r="AV94" s="86">
        <f t="shared" si="189"/>
        <v>22219.560000000009</v>
      </c>
      <c r="AW94" s="116"/>
      <c r="AX94" s="88"/>
      <c r="AY94" s="88"/>
    </row>
    <row r="95" spans="1:51">
      <c r="A95" s="79" t="s">
        <v>3025</v>
      </c>
      <c r="B95" s="80" t="str">
        <f t="shared" si="166"/>
        <v>ACPLSZ</v>
      </c>
      <c r="C95" s="80" t="str">
        <f t="shared" si="167"/>
        <v>深圳户籍</v>
      </c>
      <c r="D95" s="80" t="str">
        <f t="shared" si="168"/>
        <v>Professional</v>
      </c>
      <c r="E95" s="80">
        <f t="shared" si="169"/>
        <v>0</v>
      </c>
      <c r="F95" s="81">
        <f t="shared" si="170"/>
        <v>39000</v>
      </c>
      <c r="G95" s="81"/>
      <c r="H95" s="82" t="str">
        <f t="shared" si="171"/>
        <v>何梅春</v>
      </c>
      <c r="I95" s="83">
        <f t="shared" si="172"/>
        <v>0</v>
      </c>
      <c r="J95" s="82"/>
      <c r="K95" s="84"/>
      <c r="L95" s="84"/>
      <c r="M95" s="84"/>
      <c r="N95" s="84"/>
      <c r="O95" s="84"/>
      <c r="P95" s="84"/>
      <c r="Q95" s="84"/>
      <c r="R95" s="84"/>
      <c r="S95" s="84"/>
      <c r="T95" s="84"/>
      <c r="U95" s="84"/>
      <c r="V95" s="84"/>
      <c r="W95" s="85">
        <f t="shared" ref="W95:AH95" si="192">30603*($AD$8+$AE$8)</f>
        <v>1683.165</v>
      </c>
      <c r="X95" s="85">
        <f t="shared" si="192"/>
        <v>1683.165</v>
      </c>
      <c r="Y95" s="85">
        <f t="shared" si="192"/>
        <v>1683.165</v>
      </c>
      <c r="Z95" s="85">
        <f t="shared" si="192"/>
        <v>1683.165</v>
      </c>
      <c r="AA95" s="85">
        <f t="shared" si="192"/>
        <v>1683.165</v>
      </c>
      <c r="AB95" s="85">
        <f t="shared" si="192"/>
        <v>1683.165</v>
      </c>
      <c r="AC95" s="85">
        <f t="shared" si="192"/>
        <v>1683.165</v>
      </c>
      <c r="AD95" s="85">
        <f t="shared" si="192"/>
        <v>1683.165</v>
      </c>
      <c r="AE95" s="85">
        <f t="shared" si="192"/>
        <v>1683.165</v>
      </c>
      <c r="AF95" s="85">
        <f t="shared" si="192"/>
        <v>1683.165</v>
      </c>
      <c r="AG95" s="85">
        <f t="shared" si="192"/>
        <v>1683.165</v>
      </c>
      <c r="AH95" s="85">
        <f t="shared" si="192"/>
        <v>1683.165</v>
      </c>
      <c r="AI95" s="86">
        <f t="shared" ref="AI95:AI97" si="193">SUM(W95:AH95)</f>
        <v>20197.98</v>
      </c>
      <c r="AJ95" s="85">
        <f t="shared" ref="AJ95:AO95" si="194">30603*($AD$8+$AE$8)</f>
        <v>1683.165</v>
      </c>
      <c r="AK95" s="85">
        <f t="shared" si="194"/>
        <v>1683.165</v>
      </c>
      <c r="AL95" s="85">
        <f t="shared" si="194"/>
        <v>1683.165</v>
      </c>
      <c r="AM95" s="85">
        <f t="shared" si="194"/>
        <v>1683.165</v>
      </c>
      <c r="AN95" s="85">
        <f t="shared" si="194"/>
        <v>1683.165</v>
      </c>
      <c r="AO95" s="85">
        <f t="shared" si="194"/>
        <v>1683.165</v>
      </c>
      <c r="AP95" s="85">
        <f t="shared" ref="AP95:AU95" si="195">IF(VLOOKUP($H95,$H$15:$AU$46,AP$16,FALSE)&gt;$AB$8,$AB$8*($AD$8+$AE$8),VLOOKUP($H95,$H$15:$AU$46,AP$16,FALSE)*($AD$8+$AE$8))</f>
        <v>1851.63</v>
      </c>
      <c r="AQ95" s="85">
        <f t="shared" si="195"/>
        <v>1851.63</v>
      </c>
      <c r="AR95" s="85">
        <f t="shared" si="195"/>
        <v>1851.63</v>
      </c>
      <c r="AS95" s="85">
        <f t="shared" si="195"/>
        <v>1851.63</v>
      </c>
      <c r="AT95" s="85">
        <f t="shared" si="195"/>
        <v>1851.63</v>
      </c>
      <c r="AU95" s="85">
        <f t="shared" si="195"/>
        <v>1851.63</v>
      </c>
      <c r="AV95" s="86">
        <f t="shared" si="189"/>
        <v>21208.770000000008</v>
      </c>
      <c r="AW95" s="116"/>
      <c r="AX95" s="88"/>
      <c r="AY95" s="88"/>
    </row>
    <row r="96" spans="1:51">
      <c r="A96" s="79" t="s">
        <v>3025</v>
      </c>
      <c r="B96" s="80" t="str">
        <f t="shared" si="166"/>
        <v>ACPLSZ</v>
      </c>
      <c r="C96" s="80" t="str">
        <f t="shared" si="167"/>
        <v>非深圳户籍</v>
      </c>
      <c r="D96" s="80" t="str">
        <f t="shared" si="168"/>
        <v>Professional</v>
      </c>
      <c r="E96" s="80">
        <f t="shared" si="169"/>
        <v>0</v>
      </c>
      <c r="F96" s="81">
        <f t="shared" si="170"/>
        <v>26000</v>
      </c>
      <c r="G96" s="81"/>
      <c r="H96" s="82" t="str">
        <f t="shared" si="171"/>
        <v>闫凯</v>
      </c>
      <c r="I96" s="83">
        <f t="shared" si="172"/>
        <v>0</v>
      </c>
      <c r="J96" s="82"/>
      <c r="K96" s="84"/>
      <c r="L96" s="84"/>
      <c r="M96" s="84"/>
      <c r="N96" s="84"/>
      <c r="O96" s="84"/>
      <c r="P96" s="84"/>
      <c r="Q96" s="84"/>
      <c r="R96" s="84"/>
      <c r="S96" s="84"/>
      <c r="T96" s="84"/>
      <c r="U96" s="84"/>
      <c r="V96" s="84"/>
      <c r="W96" s="85">
        <f t="shared" ref="W96:AH96" si="196">IF(VLOOKUP($H96,$H$15:$AH$46,W$16,FALSE)&gt;$AB$8,$AB$8*($AD$8+$AE$8),VLOOKUP($H96,$H$15:$AH$46,W$16,FALSE)*($AD$8+$AE$8))</f>
        <v>1430</v>
      </c>
      <c r="X96" s="85">
        <f t="shared" si="196"/>
        <v>1430</v>
      </c>
      <c r="Y96" s="85">
        <f t="shared" si="196"/>
        <v>1430</v>
      </c>
      <c r="Z96" s="85">
        <f t="shared" si="196"/>
        <v>1430</v>
      </c>
      <c r="AA96" s="85">
        <f t="shared" si="196"/>
        <v>1430</v>
      </c>
      <c r="AB96" s="85">
        <f t="shared" si="196"/>
        <v>1430</v>
      </c>
      <c r="AC96" s="85">
        <f t="shared" si="196"/>
        <v>1430</v>
      </c>
      <c r="AD96" s="85">
        <f t="shared" si="196"/>
        <v>1430</v>
      </c>
      <c r="AE96" s="85">
        <f t="shared" si="196"/>
        <v>1430</v>
      </c>
      <c r="AF96" s="85">
        <f t="shared" si="196"/>
        <v>1430</v>
      </c>
      <c r="AG96" s="85">
        <f t="shared" si="196"/>
        <v>1430</v>
      </c>
      <c r="AH96" s="85">
        <f t="shared" si="196"/>
        <v>1430</v>
      </c>
      <c r="AI96" s="86">
        <f t="shared" si="193"/>
        <v>17160</v>
      </c>
      <c r="AJ96" s="85">
        <f t="shared" ref="AJ96:AU96" si="197">IF(VLOOKUP($H96,$H$15:$AU$46,AJ$16,FALSE)&gt;$AB$8,$AB$8*($AD$8+$AE$8),VLOOKUP($H96,$H$15:$AU$46,AJ$16,FALSE)*($AD$8+$AE$8))</f>
        <v>1501.5</v>
      </c>
      <c r="AK96" s="85">
        <f t="shared" si="197"/>
        <v>1501.5</v>
      </c>
      <c r="AL96" s="85">
        <f t="shared" si="197"/>
        <v>1501.5</v>
      </c>
      <c r="AM96" s="85">
        <f t="shared" si="197"/>
        <v>1501.5</v>
      </c>
      <c r="AN96" s="85">
        <f t="shared" si="197"/>
        <v>1501.5</v>
      </c>
      <c r="AO96" s="85">
        <f t="shared" si="197"/>
        <v>1501.5</v>
      </c>
      <c r="AP96" s="85">
        <f t="shared" si="197"/>
        <v>1501.5</v>
      </c>
      <c r="AQ96" s="85">
        <f t="shared" si="197"/>
        <v>1501.5</v>
      </c>
      <c r="AR96" s="85">
        <f t="shared" si="197"/>
        <v>1501.5</v>
      </c>
      <c r="AS96" s="85">
        <f t="shared" si="197"/>
        <v>1501.5</v>
      </c>
      <c r="AT96" s="85">
        <f t="shared" si="197"/>
        <v>1501.5</v>
      </c>
      <c r="AU96" s="85">
        <f t="shared" si="197"/>
        <v>1501.5</v>
      </c>
      <c r="AV96" s="86">
        <f t="shared" si="189"/>
        <v>18018</v>
      </c>
      <c r="AW96" s="116"/>
      <c r="AX96" s="88"/>
      <c r="AY96" s="88"/>
    </row>
    <row r="97" spans="1:51">
      <c r="A97" s="79" t="s">
        <v>3025</v>
      </c>
      <c r="B97" s="80" t="str">
        <f t="shared" si="166"/>
        <v>ACPLSZ</v>
      </c>
      <c r="C97" s="80" t="str">
        <f t="shared" si="167"/>
        <v>非深圳户籍</v>
      </c>
      <c r="D97" s="80" t="str">
        <f t="shared" si="168"/>
        <v>Professional</v>
      </c>
      <c r="E97" s="80">
        <f t="shared" si="169"/>
        <v>0</v>
      </c>
      <c r="F97" s="81">
        <f t="shared" si="170"/>
        <v>50000</v>
      </c>
      <c r="G97" s="81"/>
      <c r="H97" s="82" t="str">
        <f t="shared" si="171"/>
        <v>叶亚峰</v>
      </c>
      <c r="I97" s="83">
        <f t="shared" si="172"/>
        <v>0</v>
      </c>
      <c r="J97" s="82"/>
      <c r="K97" s="84"/>
      <c r="L97" s="84"/>
      <c r="M97" s="84"/>
      <c r="N97" s="84"/>
      <c r="O97" s="84"/>
      <c r="P97" s="84"/>
      <c r="Q97" s="84"/>
      <c r="R97" s="84"/>
      <c r="S97" s="84"/>
      <c r="T97" s="84"/>
      <c r="U97" s="84"/>
      <c r="V97" s="84"/>
      <c r="W97" s="85">
        <f t="shared" ref="W97:AH97" si="198">IF(VLOOKUP($H97,$H$15:$AH$46,W$16,FALSE)&gt;$AB$8,$AB$8*($AD$8+$AE$8),VLOOKUP($H97,$H$15:$AH$46,W$16,FALSE)*($AD$8+$AE$8))</f>
        <v>1851.63</v>
      </c>
      <c r="X97" s="85">
        <f t="shared" si="198"/>
        <v>1851.63</v>
      </c>
      <c r="Y97" s="85">
        <f t="shared" si="198"/>
        <v>1851.63</v>
      </c>
      <c r="Z97" s="85">
        <f t="shared" si="198"/>
        <v>1851.63</v>
      </c>
      <c r="AA97" s="85">
        <f t="shared" si="198"/>
        <v>1851.63</v>
      </c>
      <c r="AB97" s="85">
        <f t="shared" si="198"/>
        <v>1851.63</v>
      </c>
      <c r="AC97" s="85">
        <f t="shared" si="198"/>
        <v>1851.63</v>
      </c>
      <c r="AD97" s="85">
        <f t="shared" si="198"/>
        <v>1851.63</v>
      </c>
      <c r="AE97" s="85">
        <f t="shared" si="198"/>
        <v>1851.63</v>
      </c>
      <c r="AF97" s="85">
        <f t="shared" si="198"/>
        <v>1851.63</v>
      </c>
      <c r="AG97" s="85">
        <f t="shared" si="198"/>
        <v>1851.63</v>
      </c>
      <c r="AH97" s="85">
        <f t="shared" si="198"/>
        <v>1851.63</v>
      </c>
      <c r="AI97" s="86">
        <f t="shared" si="193"/>
        <v>22219.560000000009</v>
      </c>
      <c r="AJ97" s="85">
        <f t="shared" ref="AJ97:AU97" si="199">IF(VLOOKUP($H97,$H$15:$AU$46,AJ$16,FALSE)&gt;$AB$8,$AB$8*($AD$8+$AE$8),VLOOKUP($H97,$H$15:$AU$46,AJ$16,FALSE)*($AD$8+$AE$8))</f>
        <v>1851.63</v>
      </c>
      <c r="AK97" s="85">
        <f t="shared" si="199"/>
        <v>1851.63</v>
      </c>
      <c r="AL97" s="85">
        <f t="shared" si="199"/>
        <v>1851.63</v>
      </c>
      <c r="AM97" s="85">
        <f t="shared" si="199"/>
        <v>1851.63</v>
      </c>
      <c r="AN97" s="85">
        <f t="shared" si="199"/>
        <v>1851.63</v>
      </c>
      <c r="AO97" s="85">
        <f t="shared" si="199"/>
        <v>1851.63</v>
      </c>
      <c r="AP97" s="85">
        <f t="shared" si="199"/>
        <v>1851.63</v>
      </c>
      <c r="AQ97" s="85">
        <f t="shared" si="199"/>
        <v>1851.63</v>
      </c>
      <c r="AR97" s="85">
        <f t="shared" si="199"/>
        <v>1851.63</v>
      </c>
      <c r="AS97" s="85">
        <f t="shared" si="199"/>
        <v>1851.63</v>
      </c>
      <c r="AT97" s="85">
        <f t="shared" si="199"/>
        <v>1851.63</v>
      </c>
      <c r="AU97" s="85">
        <f t="shared" si="199"/>
        <v>1851.63</v>
      </c>
      <c r="AV97" s="86">
        <f t="shared" si="189"/>
        <v>22219.560000000009</v>
      </c>
      <c r="AW97" s="116"/>
      <c r="AX97" s="88"/>
      <c r="AY97" s="88"/>
    </row>
    <row r="98" spans="1:51">
      <c r="A98" s="79" t="s">
        <v>3025</v>
      </c>
      <c r="B98" s="80" t="str">
        <f t="shared" si="166"/>
        <v>ACPLSZ</v>
      </c>
      <c r="C98" s="80" t="str">
        <f t="shared" si="167"/>
        <v>北京户籍</v>
      </c>
      <c r="D98" s="80" t="str">
        <f t="shared" si="168"/>
        <v>Professional</v>
      </c>
      <c r="E98" s="80">
        <f t="shared" si="169"/>
        <v>0</v>
      </c>
      <c r="F98" s="82">
        <f t="shared" si="170"/>
        <v>90000</v>
      </c>
      <c r="G98" s="82"/>
      <c r="H98" s="82" t="str">
        <f t="shared" si="171"/>
        <v>张乃文</v>
      </c>
      <c r="I98" s="83">
        <f t="shared" si="172"/>
        <v>0.21428571428571419</v>
      </c>
      <c r="J98" s="82"/>
      <c r="K98" s="84"/>
      <c r="L98" s="84"/>
      <c r="M98" s="84"/>
      <c r="N98" s="84"/>
      <c r="O98" s="84"/>
      <c r="P98" s="84"/>
      <c r="Q98" s="84"/>
      <c r="R98" s="84"/>
      <c r="S98" s="84"/>
      <c r="T98" s="84"/>
      <c r="U98" s="84"/>
      <c r="V98" s="84"/>
      <c r="W98" s="85">
        <v>0</v>
      </c>
      <c r="X98" s="85">
        <v>0</v>
      </c>
      <c r="Y98" s="85">
        <v>0</v>
      </c>
      <c r="Z98" s="85">
        <v>0</v>
      </c>
      <c r="AA98" s="85">
        <v>0</v>
      </c>
      <c r="AB98" s="85">
        <v>0</v>
      </c>
      <c r="AC98" s="85">
        <v>0</v>
      </c>
      <c r="AD98" s="85">
        <v>0</v>
      </c>
      <c r="AE98" s="85">
        <v>0</v>
      </c>
      <c r="AF98" s="85">
        <v>0</v>
      </c>
      <c r="AG98" s="85">
        <v>0</v>
      </c>
      <c r="AH98" s="85">
        <v>0</v>
      </c>
      <c r="AI98" s="86">
        <f t="shared" ref="AI98:AI105" si="200">SUM(W98:AH98)</f>
        <v>0</v>
      </c>
      <c r="AJ98" s="85">
        <v>0</v>
      </c>
      <c r="AK98" s="85">
        <v>0</v>
      </c>
      <c r="AL98" s="85">
        <v>0</v>
      </c>
      <c r="AM98" s="85">
        <v>0</v>
      </c>
      <c r="AN98" s="85">
        <v>0</v>
      </c>
      <c r="AO98" s="85">
        <v>0</v>
      </c>
      <c r="AP98" s="85">
        <v>0</v>
      </c>
      <c r="AQ98" s="85">
        <v>0</v>
      </c>
      <c r="AR98" s="85">
        <v>0</v>
      </c>
      <c r="AS98" s="85">
        <v>0</v>
      </c>
      <c r="AT98" s="85">
        <v>0</v>
      </c>
      <c r="AU98" s="85">
        <v>0</v>
      </c>
      <c r="AV98" s="86">
        <f t="shared" si="189"/>
        <v>0</v>
      </c>
      <c r="AW98" s="116"/>
      <c r="AX98" s="88"/>
      <c r="AY98" s="88"/>
    </row>
    <row r="99" spans="1:51">
      <c r="A99" s="79" t="s">
        <v>3025</v>
      </c>
      <c r="B99" s="80" t="str">
        <f t="shared" si="166"/>
        <v>ACPLSZ</v>
      </c>
      <c r="C99" s="80" t="str">
        <f t="shared" si="167"/>
        <v>北京户籍</v>
      </c>
      <c r="D99" s="80" t="str">
        <f t="shared" si="168"/>
        <v>Professional</v>
      </c>
      <c r="E99" s="80">
        <f t="shared" si="169"/>
        <v>0</v>
      </c>
      <c r="F99" s="82">
        <f t="shared" si="170"/>
        <v>30000</v>
      </c>
      <c r="G99" s="82"/>
      <c r="H99" s="82" t="str">
        <f t="shared" si="171"/>
        <v>邓天卓</v>
      </c>
      <c r="I99" s="83">
        <f t="shared" si="172"/>
        <v>0.33333333333333326</v>
      </c>
      <c r="J99" s="82"/>
      <c r="K99" s="84"/>
      <c r="L99" s="84"/>
      <c r="M99" s="84"/>
      <c r="N99" s="84"/>
      <c r="O99" s="84"/>
      <c r="P99" s="84"/>
      <c r="Q99" s="84"/>
      <c r="R99" s="84"/>
      <c r="S99" s="84"/>
      <c r="T99" s="84"/>
      <c r="U99" s="84"/>
      <c r="V99" s="84"/>
      <c r="W99" s="85">
        <f t="shared" ref="W99:AH99" si="201">IF(VLOOKUP($H99,$H$15:$AU$46,W$16,FALSE)&gt;$AB$5,$AB$5*($AD$5+$AE$5),VLOOKUP($H99,$H$15:$AU$46,W$16,FALSE)*($AD$5+$AE$5))</f>
        <v>2940</v>
      </c>
      <c r="X99" s="85">
        <f t="shared" si="201"/>
        <v>2940</v>
      </c>
      <c r="Y99" s="85">
        <f t="shared" si="201"/>
        <v>2940</v>
      </c>
      <c r="Z99" s="85">
        <f t="shared" si="201"/>
        <v>3509.4780000000001</v>
      </c>
      <c r="AA99" s="85">
        <f t="shared" si="201"/>
        <v>3509.4780000000001</v>
      </c>
      <c r="AB99" s="85">
        <f t="shared" si="201"/>
        <v>3509.4780000000001</v>
      </c>
      <c r="AC99" s="85">
        <f t="shared" si="201"/>
        <v>3509.4780000000001</v>
      </c>
      <c r="AD99" s="85">
        <f t="shared" si="201"/>
        <v>3509.4780000000001</v>
      </c>
      <c r="AE99" s="85">
        <f t="shared" si="201"/>
        <v>3509.4780000000001</v>
      </c>
      <c r="AF99" s="85">
        <f t="shared" si="201"/>
        <v>3509.4780000000001</v>
      </c>
      <c r="AG99" s="85">
        <f t="shared" si="201"/>
        <v>3509.4780000000001</v>
      </c>
      <c r="AH99" s="85">
        <f t="shared" si="201"/>
        <v>3509.4780000000001</v>
      </c>
      <c r="AI99" s="86">
        <f t="shared" si="200"/>
        <v>40405.302000000003</v>
      </c>
      <c r="AJ99" s="85">
        <f t="shared" ref="AJ99:AU99" si="202">IF(VLOOKUP($H99,$H$15:$AU$46,AJ$16,FALSE)&gt;$AB$5,$AB$5*($AD$5+$AE$5),VLOOKUP($H99,$H$15:$AU$46,AJ$16,FALSE)*($AD$5+$AE$5))</f>
        <v>3509.4780000000001</v>
      </c>
      <c r="AK99" s="85">
        <f t="shared" si="202"/>
        <v>3509.4780000000001</v>
      </c>
      <c r="AL99" s="85">
        <f t="shared" si="202"/>
        <v>3509.4780000000001</v>
      </c>
      <c r="AM99" s="85">
        <f t="shared" si="202"/>
        <v>3509.4780000000001</v>
      </c>
      <c r="AN99" s="85">
        <f t="shared" si="202"/>
        <v>3509.4780000000001</v>
      </c>
      <c r="AO99" s="85">
        <f t="shared" si="202"/>
        <v>3509.4780000000001</v>
      </c>
      <c r="AP99" s="85">
        <f t="shared" si="202"/>
        <v>3509.4780000000001</v>
      </c>
      <c r="AQ99" s="85">
        <f t="shared" si="202"/>
        <v>3509.4780000000001</v>
      </c>
      <c r="AR99" s="85">
        <f t="shared" si="202"/>
        <v>3509.4780000000001</v>
      </c>
      <c r="AS99" s="85">
        <f t="shared" si="202"/>
        <v>3509.4780000000001</v>
      </c>
      <c r="AT99" s="85">
        <f t="shared" si="202"/>
        <v>3509.4780000000001</v>
      </c>
      <c r="AU99" s="85">
        <f t="shared" si="202"/>
        <v>3509.4780000000001</v>
      </c>
      <c r="AV99" s="86">
        <f t="shared" si="189"/>
        <v>42113.736000000004</v>
      </c>
      <c r="AW99" s="116"/>
      <c r="AX99" s="88"/>
      <c r="AY99" s="88"/>
    </row>
    <row r="100" spans="1:51">
      <c r="A100" s="79" t="s">
        <v>3025</v>
      </c>
      <c r="B100" s="80" t="str">
        <f t="shared" si="166"/>
        <v>ACPLSZ</v>
      </c>
      <c r="C100" s="80" t="str">
        <f t="shared" si="167"/>
        <v>北京户籍</v>
      </c>
      <c r="D100" s="80" t="str">
        <f t="shared" si="168"/>
        <v>Professional</v>
      </c>
      <c r="E100" s="80">
        <f t="shared" si="169"/>
        <v>0</v>
      </c>
      <c r="F100" s="82">
        <f t="shared" si="170"/>
        <v>50000</v>
      </c>
      <c r="G100" s="82"/>
      <c r="H100" s="82" t="str">
        <f t="shared" si="171"/>
        <v>王志强</v>
      </c>
      <c r="I100" s="83">
        <f t="shared" si="172"/>
        <v>0</v>
      </c>
      <c r="J100" s="82"/>
      <c r="K100" s="84"/>
      <c r="L100" s="84"/>
      <c r="M100" s="84"/>
      <c r="N100" s="84"/>
      <c r="O100" s="84"/>
      <c r="P100" s="84"/>
      <c r="Q100" s="84"/>
      <c r="R100" s="84"/>
      <c r="S100" s="84"/>
      <c r="T100" s="84"/>
      <c r="U100" s="84"/>
      <c r="V100" s="84"/>
      <c r="W100" s="85">
        <f t="shared" ref="W100:AG100" si="203">IF(VLOOKUP($H100,$H$15:$AH$46,W$16,FALSE)&gt;$AB$5,$AB$5*($AD$5+$AE$5),VLOOKUP($H100,$H$15:$AH$46,W$16,FALSE)*($AD$5+$AE$5))</f>
        <v>3509.4780000000001</v>
      </c>
      <c r="X100" s="85">
        <f t="shared" si="203"/>
        <v>3509.4780000000001</v>
      </c>
      <c r="Y100" s="85">
        <f t="shared" si="203"/>
        <v>3509.4780000000001</v>
      </c>
      <c r="Z100" s="85">
        <f t="shared" si="203"/>
        <v>3509.4780000000001</v>
      </c>
      <c r="AA100" s="85">
        <f t="shared" si="203"/>
        <v>3509.4780000000001</v>
      </c>
      <c r="AB100" s="85">
        <f t="shared" si="203"/>
        <v>3509.4780000000001</v>
      </c>
      <c r="AC100" s="85">
        <f t="shared" si="203"/>
        <v>3509.4780000000001</v>
      </c>
      <c r="AD100" s="85">
        <f t="shared" si="203"/>
        <v>3509.4780000000001</v>
      </c>
      <c r="AE100" s="85">
        <f t="shared" si="203"/>
        <v>3509.4780000000001</v>
      </c>
      <c r="AF100" s="85">
        <f t="shared" si="203"/>
        <v>3509.4780000000001</v>
      </c>
      <c r="AG100" s="85">
        <f t="shared" si="203"/>
        <v>3509.4780000000001</v>
      </c>
      <c r="AH100" s="85">
        <f>IF(VLOOKUP($H100,$H$15:$AU$46,AH$16,FALSE)&gt;$AB$5,$AB$5*($AD$5+$AE$5),VLOOKUP($H100,$H$15:$AU$46,AH$16,FALSE)*($AD$5+$AE$5))</f>
        <v>3509.4780000000001</v>
      </c>
      <c r="AI100" s="86">
        <f t="shared" si="200"/>
        <v>42113.736000000004</v>
      </c>
      <c r="AJ100" s="85">
        <f t="shared" ref="AJ100:AU100" si="204">IF(VLOOKUP($H100,$H$15:$AU$46,AJ$16,FALSE)&gt;$AB$5,$AB$5*($AD$5+$AE$5),VLOOKUP($H100,$H$15:$AU$46,AJ$16,FALSE)*($AD$5+$AE$5))</f>
        <v>3509.4780000000001</v>
      </c>
      <c r="AK100" s="85">
        <f t="shared" si="204"/>
        <v>3509.4780000000001</v>
      </c>
      <c r="AL100" s="85">
        <f t="shared" si="204"/>
        <v>3509.4780000000001</v>
      </c>
      <c r="AM100" s="85">
        <f t="shared" si="204"/>
        <v>3509.4780000000001</v>
      </c>
      <c r="AN100" s="85">
        <f t="shared" si="204"/>
        <v>3509.4780000000001</v>
      </c>
      <c r="AO100" s="85">
        <f t="shared" si="204"/>
        <v>3509.4780000000001</v>
      </c>
      <c r="AP100" s="85">
        <f t="shared" si="204"/>
        <v>3509.4780000000001</v>
      </c>
      <c r="AQ100" s="85">
        <f t="shared" si="204"/>
        <v>3509.4780000000001</v>
      </c>
      <c r="AR100" s="85">
        <f t="shared" si="204"/>
        <v>3509.4780000000001</v>
      </c>
      <c r="AS100" s="85">
        <f t="shared" si="204"/>
        <v>3509.4780000000001</v>
      </c>
      <c r="AT100" s="85">
        <f t="shared" si="204"/>
        <v>3509.4780000000001</v>
      </c>
      <c r="AU100" s="85">
        <f t="shared" si="204"/>
        <v>3509.4780000000001</v>
      </c>
      <c r="AV100" s="86">
        <f t="shared" si="189"/>
        <v>42113.736000000004</v>
      </c>
      <c r="AW100" s="116"/>
      <c r="AX100" s="88"/>
      <c r="AY100" s="88"/>
    </row>
    <row r="101" spans="1:51">
      <c r="A101" s="79" t="s">
        <v>3025</v>
      </c>
      <c r="B101" s="80" t="str">
        <f t="shared" si="166"/>
        <v>ACPLSZ</v>
      </c>
      <c r="C101" s="80" t="str">
        <f t="shared" si="167"/>
        <v>上海户籍</v>
      </c>
      <c r="D101" s="80" t="str">
        <f t="shared" si="168"/>
        <v>Professional</v>
      </c>
      <c r="E101" s="80">
        <f t="shared" si="169"/>
        <v>0</v>
      </c>
      <c r="F101" s="82">
        <f t="shared" si="170"/>
        <v>90000</v>
      </c>
      <c r="G101" s="82"/>
      <c r="H101" s="82" t="str">
        <f t="shared" si="171"/>
        <v>顾顺聪</v>
      </c>
      <c r="I101" s="83">
        <f t="shared" si="172"/>
        <v>0</v>
      </c>
      <c r="J101" s="82"/>
      <c r="K101" s="84"/>
      <c r="L101" s="84"/>
      <c r="M101" s="84"/>
      <c r="N101" s="84"/>
      <c r="O101" s="84"/>
      <c r="P101" s="84"/>
      <c r="Q101" s="84"/>
      <c r="R101" s="84"/>
      <c r="S101" s="84"/>
      <c r="T101" s="84"/>
      <c r="U101" s="84"/>
      <c r="V101" s="84"/>
      <c r="W101" s="85">
        <v>0</v>
      </c>
      <c r="X101" s="85">
        <v>0</v>
      </c>
      <c r="Y101" s="85">
        <v>0</v>
      </c>
      <c r="Z101" s="85">
        <v>0</v>
      </c>
      <c r="AA101" s="85">
        <v>0</v>
      </c>
      <c r="AB101" s="85">
        <v>0</v>
      </c>
      <c r="AC101" s="85">
        <v>0</v>
      </c>
      <c r="AD101" s="85">
        <v>0</v>
      </c>
      <c r="AE101" s="85">
        <v>0</v>
      </c>
      <c r="AF101" s="85">
        <v>0</v>
      </c>
      <c r="AG101" s="85">
        <v>0</v>
      </c>
      <c r="AH101" s="85">
        <v>0</v>
      </c>
      <c r="AI101" s="86">
        <f t="shared" si="200"/>
        <v>0</v>
      </c>
      <c r="AJ101" s="85">
        <v>0</v>
      </c>
      <c r="AK101" s="85">
        <v>0</v>
      </c>
      <c r="AL101" s="85">
        <v>0</v>
      </c>
      <c r="AM101" s="85">
        <v>0</v>
      </c>
      <c r="AN101" s="85">
        <v>0</v>
      </c>
      <c r="AO101" s="85">
        <v>0</v>
      </c>
      <c r="AP101" s="85">
        <v>0</v>
      </c>
      <c r="AQ101" s="85">
        <v>0</v>
      </c>
      <c r="AR101" s="85">
        <v>0</v>
      </c>
      <c r="AS101" s="85">
        <v>0</v>
      </c>
      <c r="AT101" s="85">
        <v>0</v>
      </c>
      <c r="AU101" s="85">
        <v>0</v>
      </c>
      <c r="AV101" s="86">
        <f t="shared" si="189"/>
        <v>0</v>
      </c>
      <c r="AW101" s="116"/>
      <c r="AX101" s="88"/>
      <c r="AY101" s="88"/>
    </row>
    <row r="102" spans="1:51">
      <c r="A102" s="79" t="s">
        <v>3025</v>
      </c>
      <c r="B102" s="80" t="str">
        <f t="shared" si="166"/>
        <v>ACPSZL</v>
      </c>
      <c r="C102" s="80" t="str">
        <f t="shared" si="167"/>
        <v>深圳户籍</v>
      </c>
      <c r="D102" s="80" t="str">
        <f t="shared" si="168"/>
        <v>Professional</v>
      </c>
      <c r="E102" s="80">
        <f t="shared" si="169"/>
        <v>0</v>
      </c>
      <c r="F102" s="81">
        <f t="shared" si="170"/>
        <v>35000</v>
      </c>
      <c r="G102" s="81"/>
      <c r="H102" s="90" t="str">
        <f t="shared" si="171"/>
        <v>风资源工程师</v>
      </c>
      <c r="I102" s="83">
        <f t="shared" si="172"/>
        <v>0</v>
      </c>
      <c r="J102" s="82"/>
      <c r="K102" s="84"/>
      <c r="L102" s="84"/>
      <c r="M102" s="84"/>
      <c r="N102" s="84"/>
      <c r="O102" s="84"/>
      <c r="P102" s="84"/>
      <c r="Q102" s="84"/>
      <c r="R102" s="84"/>
      <c r="S102" s="84"/>
      <c r="T102" s="84"/>
      <c r="U102" s="84"/>
      <c r="V102" s="84"/>
      <c r="W102" s="85">
        <f t="shared" ref="W102:AH102" si="205">IF(VLOOKUP($H102,$H$15:$AH$46,W$16,FALSE)&gt;$AB$8,$AB$8*($AD$8+$AE$8),VLOOKUP($H102,$H$15:$AH$46,W$16,FALSE)*($AD$8+$AE$8))</f>
        <v>0</v>
      </c>
      <c r="X102" s="85">
        <f t="shared" si="205"/>
        <v>0</v>
      </c>
      <c r="Y102" s="85">
        <f t="shared" si="205"/>
        <v>0</v>
      </c>
      <c r="Z102" s="85">
        <f t="shared" si="205"/>
        <v>1851.63</v>
      </c>
      <c r="AA102" s="85">
        <f t="shared" si="205"/>
        <v>1851.63</v>
      </c>
      <c r="AB102" s="85">
        <f t="shared" si="205"/>
        <v>1851.63</v>
      </c>
      <c r="AC102" s="85">
        <f t="shared" si="205"/>
        <v>1851.63</v>
      </c>
      <c r="AD102" s="85">
        <f t="shared" si="205"/>
        <v>1851.63</v>
      </c>
      <c r="AE102" s="85">
        <f t="shared" si="205"/>
        <v>1851.63</v>
      </c>
      <c r="AF102" s="85">
        <f t="shared" si="205"/>
        <v>1851.63</v>
      </c>
      <c r="AG102" s="85">
        <f t="shared" si="205"/>
        <v>1851.63</v>
      </c>
      <c r="AH102" s="85">
        <f t="shared" si="205"/>
        <v>1851.63</v>
      </c>
      <c r="AI102" s="86">
        <f t="shared" si="200"/>
        <v>16664.670000000006</v>
      </c>
      <c r="AJ102" s="85">
        <f t="shared" ref="AJ102:AU102" si="206">IF(VLOOKUP($H102,$H$15:$AU$46,AJ$16,FALSE)&gt;$AB$8,$AB$8*($AD$8+$AE$8),VLOOKUP($H102,$H$15:$AU$46,AJ$16,FALSE)*($AD$8+$AE$8))</f>
        <v>1851.63</v>
      </c>
      <c r="AK102" s="85">
        <f t="shared" si="206"/>
        <v>1851.63</v>
      </c>
      <c r="AL102" s="85">
        <f t="shared" si="206"/>
        <v>1851.63</v>
      </c>
      <c r="AM102" s="85">
        <f t="shared" si="206"/>
        <v>1851.63</v>
      </c>
      <c r="AN102" s="85">
        <f t="shared" si="206"/>
        <v>1851.63</v>
      </c>
      <c r="AO102" s="85">
        <f t="shared" si="206"/>
        <v>1851.63</v>
      </c>
      <c r="AP102" s="85">
        <f t="shared" si="206"/>
        <v>1851.63</v>
      </c>
      <c r="AQ102" s="85">
        <f t="shared" si="206"/>
        <v>1851.63</v>
      </c>
      <c r="AR102" s="85">
        <f t="shared" si="206"/>
        <v>1851.63</v>
      </c>
      <c r="AS102" s="85">
        <f t="shared" si="206"/>
        <v>1851.63</v>
      </c>
      <c r="AT102" s="85">
        <f t="shared" si="206"/>
        <v>1851.63</v>
      </c>
      <c r="AU102" s="85">
        <f t="shared" si="206"/>
        <v>1851.63</v>
      </c>
      <c r="AV102" s="86">
        <f t="shared" si="189"/>
        <v>22219.560000000009</v>
      </c>
      <c r="AW102" s="116"/>
      <c r="AX102" s="88"/>
      <c r="AY102" s="88"/>
    </row>
    <row r="103" spans="1:51">
      <c r="A103" s="79" t="s">
        <v>3025</v>
      </c>
      <c r="B103" s="80" t="str">
        <f t="shared" si="166"/>
        <v>ACPLSZ</v>
      </c>
      <c r="C103" s="80" t="str">
        <f t="shared" si="167"/>
        <v>深圳户籍</v>
      </c>
      <c r="D103" s="80" t="str">
        <f t="shared" si="168"/>
        <v>Professional</v>
      </c>
      <c r="E103" s="80">
        <f t="shared" si="169"/>
        <v>0</v>
      </c>
      <c r="F103" s="82">
        <f t="shared" si="170"/>
        <v>33000</v>
      </c>
      <c r="G103" s="82"/>
      <c r="H103" s="90" t="str">
        <f t="shared" si="171"/>
        <v>电力交易员</v>
      </c>
      <c r="I103" s="83">
        <f t="shared" si="172"/>
        <v>0</v>
      </c>
      <c r="J103" s="82"/>
      <c r="K103" s="84"/>
      <c r="L103" s="84"/>
      <c r="M103" s="84"/>
      <c r="N103" s="84"/>
      <c r="O103" s="84"/>
      <c r="P103" s="84"/>
      <c r="Q103" s="84"/>
      <c r="R103" s="84"/>
      <c r="S103" s="84"/>
      <c r="T103" s="84"/>
      <c r="U103" s="84"/>
      <c r="V103" s="84"/>
      <c r="W103" s="85">
        <f t="shared" ref="W103:AH103" si="207">IF(VLOOKUP($H103,$H$15:$AH$46,W$16,FALSE)&gt;$AB$8,$AB$8*($AD$8+$AE$8),VLOOKUP($H103,$H$15:$AH$46,W$16,FALSE)*($AD$8+$AE$8))</f>
        <v>0</v>
      </c>
      <c r="X103" s="85">
        <f t="shared" si="207"/>
        <v>1815</v>
      </c>
      <c r="Y103" s="85">
        <f t="shared" si="207"/>
        <v>1815</v>
      </c>
      <c r="Z103" s="85">
        <f t="shared" si="207"/>
        <v>1815</v>
      </c>
      <c r="AA103" s="85">
        <f t="shared" si="207"/>
        <v>1815</v>
      </c>
      <c r="AB103" s="85">
        <f t="shared" si="207"/>
        <v>1815</v>
      </c>
      <c r="AC103" s="85">
        <f t="shared" si="207"/>
        <v>1815</v>
      </c>
      <c r="AD103" s="85">
        <f t="shared" si="207"/>
        <v>1815</v>
      </c>
      <c r="AE103" s="85">
        <f t="shared" si="207"/>
        <v>1815</v>
      </c>
      <c r="AF103" s="85">
        <f t="shared" si="207"/>
        <v>1815</v>
      </c>
      <c r="AG103" s="85">
        <f t="shared" si="207"/>
        <v>1815</v>
      </c>
      <c r="AH103" s="85">
        <f t="shared" si="207"/>
        <v>1815</v>
      </c>
      <c r="AI103" s="86">
        <f t="shared" si="200"/>
        <v>19965</v>
      </c>
      <c r="AJ103" s="85">
        <f t="shared" ref="AJ103:AU103" si="208">IF(VLOOKUP($H103,$H$15:$AU$46,AJ$16,FALSE)&gt;$AB$8,$AB$8*($AD$8+$AE$8),VLOOKUP($H103,$H$15:$AU$46,AJ$16,FALSE)*($AD$8+$AE$8))</f>
        <v>1851.63</v>
      </c>
      <c r="AK103" s="85">
        <f t="shared" si="208"/>
        <v>1851.63</v>
      </c>
      <c r="AL103" s="85">
        <f t="shared" si="208"/>
        <v>1851.63</v>
      </c>
      <c r="AM103" s="85">
        <f t="shared" si="208"/>
        <v>1851.63</v>
      </c>
      <c r="AN103" s="85">
        <f t="shared" si="208"/>
        <v>1851.63</v>
      </c>
      <c r="AO103" s="85">
        <f t="shared" si="208"/>
        <v>1851.63</v>
      </c>
      <c r="AP103" s="85">
        <f t="shared" si="208"/>
        <v>1851.63</v>
      </c>
      <c r="AQ103" s="85">
        <f t="shared" si="208"/>
        <v>1851.63</v>
      </c>
      <c r="AR103" s="85">
        <f t="shared" si="208"/>
        <v>1851.63</v>
      </c>
      <c r="AS103" s="85">
        <f t="shared" si="208"/>
        <v>1851.63</v>
      </c>
      <c r="AT103" s="85">
        <f t="shared" si="208"/>
        <v>1851.63</v>
      </c>
      <c r="AU103" s="85">
        <f t="shared" si="208"/>
        <v>1851.63</v>
      </c>
      <c r="AV103" s="86">
        <f t="shared" si="189"/>
        <v>22219.560000000009</v>
      </c>
      <c r="AW103" s="116"/>
      <c r="AX103" s="88"/>
      <c r="AY103" s="88"/>
    </row>
    <row r="104" spans="1:51">
      <c r="A104" s="79" t="s">
        <v>3025</v>
      </c>
      <c r="B104" s="80" t="str">
        <f t="shared" si="166"/>
        <v>ACPLSZ</v>
      </c>
      <c r="C104" s="80" t="str">
        <f t="shared" si="167"/>
        <v>深圳户籍</v>
      </c>
      <c r="D104" s="80" t="str">
        <f t="shared" si="168"/>
        <v>Professional</v>
      </c>
      <c r="E104" s="80">
        <f t="shared" si="169"/>
        <v>0</v>
      </c>
      <c r="F104" s="82">
        <f t="shared" si="170"/>
        <v>60000</v>
      </c>
      <c r="G104" s="82"/>
      <c r="H104" s="90" t="str">
        <f t="shared" si="171"/>
        <v>律师</v>
      </c>
      <c r="I104" s="83">
        <f t="shared" si="172"/>
        <v>0</v>
      </c>
      <c r="J104" s="82"/>
      <c r="K104" s="84"/>
      <c r="L104" s="84"/>
      <c r="M104" s="84"/>
      <c r="N104" s="84"/>
      <c r="O104" s="84"/>
      <c r="P104" s="84"/>
      <c r="Q104" s="84"/>
      <c r="R104" s="84"/>
      <c r="S104" s="84"/>
      <c r="T104" s="84"/>
      <c r="U104" s="84"/>
      <c r="V104" s="84"/>
      <c r="W104" s="85">
        <f t="shared" ref="W104:AH104" si="209">IF(VLOOKUP($H104,$H$15:$AH$46,W$16,FALSE)&gt;$AB$8,$AB$8*($AD$8+$AE$8),VLOOKUP($H104,$H$15:$AH$46,W$16,FALSE)*($AD$8+$AE$8))</f>
        <v>0</v>
      </c>
      <c r="X104" s="85">
        <f t="shared" si="209"/>
        <v>0</v>
      </c>
      <c r="Y104" s="85">
        <f t="shared" si="209"/>
        <v>0</v>
      </c>
      <c r="Z104" s="85">
        <f t="shared" si="209"/>
        <v>0</v>
      </c>
      <c r="AA104" s="85">
        <f t="shared" si="209"/>
        <v>1851.63</v>
      </c>
      <c r="AB104" s="85">
        <f t="shared" si="209"/>
        <v>1851.63</v>
      </c>
      <c r="AC104" s="85">
        <f t="shared" si="209"/>
        <v>1851.63</v>
      </c>
      <c r="AD104" s="85">
        <f t="shared" si="209"/>
        <v>1851.63</v>
      </c>
      <c r="AE104" s="85">
        <f t="shared" si="209"/>
        <v>1851.63</v>
      </c>
      <c r="AF104" s="85">
        <f t="shared" si="209"/>
        <v>1851.63</v>
      </c>
      <c r="AG104" s="85">
        <f t="shared" si="209"/>
        <v>1851.63</v>
      </c>
      <c r="AH104" s="85">
        <f t="shared" si="209"/>
        <v>1851.63</v>
      </c>
      <c r="AI104" s="86">
        <f t="shared" si="200"/>
        <v>14813.040000000005</v>
      </c>
      <c r="AJ104" s="85">
        <f t="shared" ref="AJ104:AU104" si="210">IF(VLOOKUP($H104,$H$15:$AU$46,AJ$16,FALSE)&gt;$AB$8,$AB$8*($AD$8+$AE$8),VLOOKUP($H104,$H$15:$AU$46,AJ$16,FALSE)*($AD$8+$AE$8))</f>
        <v>1851.63</v>
      </c>
      <c r="AK104" s="85">
        <f t="shared" si="210"/>
        <v>1851.63</v>
      </c>
      <c r="AL104" s="85">
        <f t="shared" si="210"/>
        <v>1851.63</v>
      </c>
      <c r="AM104" s="85">
        <f t="shared" si="210"/>
        <v>1851.63</v>
      </c>
      <c r="AN104" s="85">
        <f t="shared" si="210"/>
        <v>1851.63</v>
      </c>
      <c r="AO104" s="85">
        <f t="shared" si="210"/>
        <v>1851.63</v>
      </c>
      <c r="AP104" s="85">
        <f t="shared" si="210"/>
        <v>1851.63</v>
      </c>
      <c r="AQ104" s="85">
        <f t="shared" si="210"/>
        <v>1851.63</v>
      </c>
      <c r="AR104" s="85">
        <f t="shared" si="210"/>
        <v>1851.63</v>
      </c>
      <c r="AS104" s="85">
        <f t="shared" si="210"/>
        <v>1851.63</v>
      </c>
      <c r="AT104" s="85">
        <f t="shared" si="210"/>
        <v>1851.63</v>
      </c>
      <c r="AU104" s="85">
        <f t="shared" si="210"/>
        <v>1851.63</v>
      </c>
      <c r="AV104" s="86">
        <f t="shared" si="189"/>
        <v>22219.560000000009</v>
      </c>
      <c r="AW104" s="116"/>
      <c r="AX104" s="88"/>
      <c r="AY104" s="88"/>
    </row>
    <row r="105" spans="1:51">
      <c r="A105" s="79" t="s">
        <v>3025</v>
      </c>
      <c r="B105" s="80" t="str">
        <f t="shared" si="166"/>
        <v>ACPLSZ</v>
      </c>
      <c r="C105" s="80" t="str">
        <f t="shared" si="167"/>
        <v>深圳户籍</v>
      </c>
      <c r="D105" s="80" t="str">
        <f t="shared" si="168"/>
        <v>Professional</v>
      </c>
      <c r="E105" s="80">
        <f t="shared" si="169"/>
        <v>0</v>
      </c>
      <c r="F105" s="82">
        <f t="shared" si="170"/>
        <v>26000</v>
      </c>
      <c r="G105" s="82"/>
      <c r="H105" s="90" t="str">
        <f t="shared" si="171"/>
        <v>区域副总</v>
      </c>
      <c r="I105" s="83">
        <f t="shared" si="172"/>
        <v>0</v>
      </c>
      <c r="J105" s="82"/>
      <c r="K105" s="84"/>
      <c r="L105" s="84"/>
      <c r="M105" s="84"/>
      <c r="N105" s="84"/>
      <c r="O105" s="84"/>
      <c r="P105" s="84"/>
      <c r="Q105" s="84"/>
      <c r="R105" s="84"/>
      <c r="S105" s="84"/>
      <c r="T105" s="84"/>
      <c r="U105" s="84"/>
      <c r="V105" s="84"/>
      <c r="W105" s="85">
        <f t="shared" ref="W105:AH105" si="211">IF(VLOOKUP($H105,$H$15:$AH$46,W$16,FALSE)&gt;$AB$8,$AB$8*($AD$8+$AE$8),VLOOKUP($H105,$H$15:$AH$46,W$16,FALSE)*($AD$8+$AE$8))</f>
        <v>0</v>
      </c>
      <c r="X105" s="85">
        <f t="shared" si="211"/>
        <v>0</v>
      </c>
      <c r="Y105" s="85">
        <f t="shared" si="211"/>
        <v>0</v>
      </c>
      <c r="Z105" s="85">
        <f t="shared" si="211"/>
        <v>0</v>
      </c>
      <c r="AA105" s="85">
        <f t="shared" si="211"/>
        <v>1430</v>
      </c>
      <c r="AB105" s="85">
        <f t="shared" si="211"/>
        <v>1430</v>
      </c>
      <c r="AC105" s="85">
        <f t="shared" si="211"/>
        <v>1430</v>
      </c>
      <c r="AD105" s="85">
        <f t="shared" si="211"/>
        <v>1430</v>
      </c>
      <c r="AE105" s="85">
        <f t="shared" si="211"/>
        <v>1430</v>
      </c>
      <c r="AF105" s="85">
        <f t="shared" si="211"/>
        <v>1430</v>
      </c>
      <c r="AG105" s="85">
        <f t="shared" si="211"/>
        <v>1430</v>
      </c>
      <c r="AH105" s="85">
        <f t="shared" si="211"/>
        <v>1430</v>
      </c>
      <c r="AI105" s="86">
        <f t="shared" si="200"/>
        <v>11440</v>
      </c>
      <c r="AJ105" s="85">
        <f t="shared" ref="AJ105:AU105" si="212">IF(VLOOKUP($H105,$H$15:$AU$46,AJ$16,FALSE)&gt;$AB$8,$AB$8*($AD$8+$AE$8),VLOOKUP($H105,$H$15:$AU$46,AJ$16,FALSE)*($AD$8+$AE$8))</f>
        <v>1501.5</v>
      </c>
      <c r="AK105" s="85">
        <f t="shared" si="212"/>
        <v>1501.5</v>
      </c>
      <c r="AL105" s="85">
        <f t="shared" si="212"/>
        <v>1501.5</v>
      </c>
      <c r="AM105" s="85">
        <f t="shared" si="212"/>
        <v>1501.5</v>
      </c>
      <c r="AN105" s="85">
        <f t="shared" si="212"/>
        <v>1501.5</v>
      </c>
      <c r="AO105" s="85">
        <f t="shared" si="212"/>
        <v>1501.5</v>
      </c>
      <c r="AP105" s="85">
        <f t="shared" si="212"/>
        <v>1501.5</v>
      </c>
      <c r="AQ105" s="85">
        <f t="shared" si="212"/>
        <v>1501.5</v>
      </c>
      <c r="AR105" s="85">
        <f t="shared" si="212"/>
        <v>1501.5</v>
      </c>
      <c r="AS105" s="85">
        <f t="shared" si="212"/>
        <v>1501.5</v>
      </c>
      <c r="AT105" s="85">
        <f t="shared" si="212"/>
        <v>1501.5</v>
      </c>
      <c r="AU105" s="85">
        <f t="shared" si="212"/>
        <v>1501.5</v>
      </c>
      <c r="AV105" s="86">
        <f t="shared" si="189"/>
        <v>18018</v>
      </c>
      <c r="AW105" s="116"/>
      <c r="AX105" s="88"/>
      <c r="AY105" s="88"/>
    </row>
    <row r="106" spans="1:51">
      <c r="A106" s="79" t="s">
        <v>3025</v>
      </c>
      <c r="B106" s="80" t="str">
        <f t="shared" ref="B106:F106" si="213">B37</f>
        <v>ACPLSZ</v>
      </c>
      <c r="C106" s="80" t="str">
        <f t="shared" si="213"/>
        <v>深圳户籍</v>
      </c>
      <c r="D106" s="80" t="str">
        <f t="shared" si="213"/>
        <v>Professional</v>
      </c>
      <c r="E106" s="80">
        <f t="shared" si="213"/>
        <v>0</v>
      </c>
      <c r="F106" s="82">
        <f t="shared" si="213"/>
        <v>17000</v>
      </c>
      <c r="G106" s="82"/>
      <c r="H106" s="90" t="str">
        <f t="shared" ref="H106:I106" si="214">H37</f>
        <v>项目会计</v>
      </c>
      <c r="I106" s="83">
        <f t="shared" si="214"/>
        <v>0</v>
      </c>
      <c r="J106" s="82"/>
      <c r="K106" s="84"/>
      <c r="L106" s="84"/>
      <c r="M106" s="84"/>
      <c r="N106" s="84"/>
      <c r="O106" s="84"/>
      <c r="P106" s="84"/>
      <c r="Q106" s="84"/>
      <c r="R106" s="84"/>
      <c r="S106" s="84"/>
      <c r="T106" s="84"/>
      <c r="U106" s="84"/>
      <c r="V106" s="84"/>
      <c r="W106" s="85">
        <f t="shared" ref="W106:AH108" si="215">IF(VLOOKUP($H106,$H$15:$AH$46,W$16,FALSE)&gt;$AB$8,$AB$8*($AD$8+$AE$8),VLOOKUP($H106,$H$15:$AH$46,W$16,FALSE)*($AD$8+$AE$8))</f>
        <v>0</v>
      </c>
      <c r="X106" s="85">
        <f t="shared" si="215"/>
        <v>0</v>
      </c>
      <c r="Y106" s="85">
        <f t="shared" si="215"/>
        <v>0</v>
      </c>
      <c r="Z106" s="85">
        <f t="shared" si="215"/>
        <v>0</v>
      </c>
      <c r="AA106" s="85">
        <f t="shared" si="215"/>
        <v>0</v>
      </c>
      <c r="AB106" s="85">
        <f t="shared" si="215"/>
        <v>0</v>
      </c>
      <c r="AC106" s="85">
        <f t="shared" si="215"/>
        <v>0</v>
      </c>
      <c r="AD106" s="85">
        <f t="shared" si="215"/>
        <v>935</v>
      </c>
      <c r="AE106" s="85">
        <f t="shared" si="215"/>
        <v>935</v>
      </c>
      <c r="AF106" s="85">
        <f t="shared" si="215"/>
        <v>935</v>
      </c>
      <c r="AG106" s="85">
        <f t="shared" si="215"/>
        <v>935</v>
      </c>
      <c r="AH106" s="85">
        <f t="shared" si="215"/>
        <v>935</v>
      </c>
      <c r="AI106" s="86">
        <f t="shared" ref="AI106" si="216">SUM(W106:AH106)</f>
        <v>4675</v>
      </c>
      <c r="AJ106" s="85">
        <f t="shared" ref="AJ106:AU108" si="217">IF(VLOOKUP($H106,$H$15:$AU$46,AJ$16,FALSE)&gt;$AB$8,$AB$8*($AD$8+$AE$8),VLOOKUP($H106,$H$15:$AU$46,AJ$16,FALSE)*($AD$8+$AE$8))</f>
        <v>1851.63</v>
      </c>
      <c r="AK106" s="85">
        <f t="shared" si="217"/>
        <v>1851.63</v>
      </c>
      <c r="AL106" s="85">
        <f t="shared" si="217"/>
        <v>1851.63</v>
      </c>
      <c r="AM106" s="85">
        <f t="shared" si="217"/>
        <v>1851.63</v>
      </c>
      <c r="AN106" s="85">
        <f t="shared" si="217"/>
        <v>1851.63</v>
      </c>
      <c r="AO106" s="85">
        <f t="shared" si="217"/>
        <v>1851.63</v>
      </c>
      <c r="AP106" s="85">
        <f t="shared" si="217"/>
        <v>1851.63</v>
      </c>
      <c r="AQ106" s="85">
        <f t="shared" si="217"/>
        <v>1851.63</v>
      </c>
      <c r="AR106" s="85">
        <f t="shared" si="217"/>
        <v>1851.63</v>
      </c>
      <c r="AS106" s="85">
        <f t="shared" si="217"/>
        <v>1851.63</v>
      </c>
      <c r="AT106" s="85">
        <f t="shared" si="217"/>
        <v>1851.63</v>
      </c>
      <c r="AU106" s="85">
        <f t="shared" si="217"/>
        <v>1851.63</v>
      </c>
      <c r="AV106" s="86">
        <f t="shared" si="189"/>
        <v>22219.560000000009</v>
      </c>
      <c r="AW106" s="116"/>
      <c r="AX106" s="88"/>
      <c r="AY106" s="88"/>
    </row>
    <row r="107" spans="1:51">
      <c r="A107" s="79" t="s">
        <v>3025</v>
      </c>
      <c r="B107" s="80" t="str">
        <f t="shared" ref="B107:F107" si="218">B38</f>
        <v>ACPLSZ</v>
      </c>
      <c r="C107" s="80" t="str">
        <f t="shared" si="218"/>
        <v>深圳户籍</v>
      </c>
      <c r="D107" s="80" t="str">
        <f t="shared" si="218"/>
        <v>Professional</v>
      </c>
      <c r="E107" s="80">
        <f t="shared" si="218"/>
        <v>0</v>
      </c>
      <c r="F107" s="82">
        <f t="shared" si="218"/>
        <v>12000</v>
      </c>
      <c r="G107" s="82"/>
      <c r="H107" s="90" t="str">
        <f t="shared" ref="H107:I107" si="219">H38</f>
        <v>档案管理员</v>
      </c>
      <c r="I107" s="83">
        <f t="shared" si="219"/>
        <v>0</v>
      </c>
      <c r="J107" s="82"/>
      <c r="K107" s="84"/>
      <c r="L107" s="84"/>
      <c r="M107" s="84"/>
      <c r="N107" s="84"/>
      <c r="O107" s="84"/>
      <c r="P107" s="84"/>
      <c r="Q107" s="84"/>
      <c r="R107" s="84"/>
      <c r="S107" s="84"/>
      <c r="T107" s="84"/>
      <c r="U107" s="84"/>
      <c r="V107" s="84"/>
      <c r="W107" s="85">
        <f t="shared" si="215"/>
        <v>0</v>
      </c>
      <c r="X107" s="85">
        <f t="shared" si="215"/>
        <v>0</v>
      </c>
      <c r="Y107" s="85">
        <f t="shared" si="215"/>
        <v>0</v>
      </c>
      <c r="Z107" s="85">
        <f t="shared" si="215"/>
        <v>0</v>
      </c>
      <c r="AA107" s="85">
        <f t="shared" si="215"/>
        <v>0</v>
      </c>
      <c r="AB107" s="85">
        <f t="shared" si="215"/>
        <v>0</v>
      </c>
      <c r="AC107" s="85">
        <f t="shared" si="215"/>
        <v>0</v>
      </c>
      <c r="AD107" s="85">
        <f t="shared" si="215"/>
        <v>0</v>
      </c>
      <c r="AE107" s="85">
        <f t="shared" si="215"/>
        <v>0</v>
      </c>
      <c r="AF107" s="85">
        <f t="shared" si="215"/>
        <v>0</v>
      </c>
      <c r="AG107" s="85">
        <f t="shared" si="215"/>
        <v>0</v>
      </c>
      <c r="AH107" s="85">
        <f t="shared" si="215"/>
        <v>660</v>
      </c>
      <c r="AI107" s="86">
        <f t="shared" ref="AI107:AI108" si="220">SUM(W107:AH107)</f>
        <v>660</v>
      </c>
      <c r="AJ107" s="85">
        <f t="shared" si="217"/>
        <v>693</v>
      </c>
      <c r="AK107" s="85">
        <f t="shared" si="217"/>
        <v>693</v>
      </c>
      <c r="AL107" s="85">
        <f t="shared" si="217"/>
        <v>693</v>
      </c>
      <c r="AM107" s="85">
        <f t="shared" si="217"/>
        <v>693</v>
      </c>
      <c r="AN107" s="85">
        <f t="shared" si="217"/>
        <v>693</v>
      </c>
      <c r="AO107" s="85">
        <f t="shared" si="217"/>
        <v>693</v>
      </c>
      <c r="AP107" s="85">
        <f t="shared" si="217"/>
        <v>693</v>
      </c>
      <c r="AQ107" s="85">
        <f t="shared" si="217"/>
        <v>693</v>
      </c>
      <c r="AR107" s="85">
        <f t="shared" si="217"/>
        <v>693</v>
      </c>
      <c r="AS107" s="85">
        <f t="shared" si="217"/>
        <v>693</v>
      </c>
      <c r="AT107" s="85">
        <f t="shared" si="217"/>
        <v>693</v>
      </c>
      <c r="AU107" s="85">
        <f t="shared" si="217"/>
        <v>693</v>
      </c>
      <c r="AV107" s="86">
        <f t="shared" ref="AV107:AV108" si="221">SUM(AJ107:AU107)</f>
        <v>8316</v>
      </c>
      <c r="AW107" s="116"/>
      <c r="AX107" s="88"/>
      <c r="AY107" s="88"/>
    </row>
    <row r="108" spans="1:51">
      <c r="A108" s="79" t="s">
        <v>3025</v>
      </c>
      <c r="B108" s="80" t="str">
        <f t="shared" ref="B108:F108" si="222">B39</f>
        <v>ACPLSZ</v>
      </c>
      <c r="C108" s="80" t="str">
        <f t="shared" si="222"/>
        <v>北京户籍</v>
      </c>
      <c r="D108" s="80" t="str">
        <f t="shared" si="222"/>
        <v>Professional</v>
      </c>
      <c r="E108" s="80">
        <f t="shared" si="222"/>
        <v>0</v>
      </c>
      <c r="F108" s="82">
        <f t="shared" si="222"/>
        <v>100000</v>
      </c>
      <c r="G108" s="82"/>
      <c r="H108" s="90" t="str">
        <f t="shared" ref="H108:I108" si="223">H39</f>
        <v>Head of Origination</v>
      </c>
      <c r="I108" s="83">
        <f t="shared" si="223"/>
        <v>0</v>
      </c>
      <c r="J108" s="82"/>
      <c r="K108" s="84"/>
      <c r="L108" s="84"/>
      <c r="M108" s="84"/>
      <c r="N108" s="84"/>
      <c r="O108" s="84"/>
      <c r="P108" s="84"/>
      <c r="Q108" s="84"/>
      <c r="R108" s="84"/>
      <c r="S108" s="84"/>
      <c r="T108" s="84"/>
      <c r="U108" s="84"/>
      <c r="V108" s="84"/>
      <c r="W108" s="85">
        <f t="shared" si="215"/>
        <v>0</v>
      </c>
      <c r="X108" s="85">
        <f t="shared" si="215"/>
        <v>0</v>
      </c>
      <c r="Y108" s="85">
        <f t="shared" si="215"/>
        <v>0</v>
      </c>
      <c r="Z108" s="85">
        <f t="shared" si="215"/>
        <v>0</v>
      </c>
      <c r="AA108" s="85">
        <f t="shared" si="215"/>
        <v>1851.63</v>
      </c>
      <c r="AB108" s="85">
        <f t="shared" si="215"/>
        <v>1851.63</v>
      </c>
      <c r="AC108" s="85">
        <f t="shared" si="215"/>
        <v>1851.63</v>
      </c>
      <c r="AD108" s="85">
        <f t="shared" si="215"/>
        <v>1851.63</v>
      </c>
      <c r="AE108" s="85">
        <f t="shared" si="215"/>
        <v>1851.63</v>
      </c>
      <c r="AF108" s="85">
        <f t="shared" si="215"/>
        <v>1851.63</v>
      </c>
      <c r="AG108" s="85">
        <f t="shared" si="215"/>
        <v>1851.63</v>
      </c>
      <c r="AH108" s="85">
        <f t="shared" si="215"/>
        <v>1851.63</v>
      </c>
      <c r="AI108" s="86">
        <f t="shared" si="220"/>
        <v>14813.040000000005</v>
      </c>
      <c r="AJ108" s="85">
        <f t="shared" si="217"/>
        <v>1851.63</v>
      </c>
      <c r="AK108" s="85">
        <f t="shared" si="217"/>
        <v>1851.63</v>
      </c>
      <c r="AL108" s="85">
        <f t="shared" si="217"/>
        <v>1851.63</v>
      </c>
      <c r="AM108" s="85">
        <f t="shared" si="217"/>
        <v>1851.63</v>
      </c>
      <c r="AN108" s="85">
        <f t="shared" si="217"/>
        <v>1851.63</v>
      </c>
      <c r="AO108" s="85">
        <f t="shared" si="217"/>
        <v>1851.63</v>
      </c>
      <c r="AP108" s="85">
        <f t="shared" si="217"/>
        <v>1851.63</v>
      </c>
      <c r="AQ108" s="85">
        <f t="shared" si="217"/>
        <v>1851.63</v>
      </c>
      <c r="AR108" s="85">
        <f t="shared" si="217"/>
        <v>1851.63</v>
      </c>
      <c r="AS108" s="85">
        <f t="shared" si="217"/>
        <v>1851.63</v>
      </c>
      <c r="AT108" s="85">
        <f t="shared" si="217"/>
        <v>1851.63</v>
      </c>
      <c r="AU108" s="85">
        <f t="shared" si="217"/>
        <v>1851.63</v>
      </c>
      <c r="AV108" s="86">
        <f t="shared" si="221"/>
        <v>22219.560000000009</v>
      </c>
      <c r="AW108" s="116"/>
      <c r="AX108" s="88"/>
      <c r="AY108" s="88"/>
    </row>
    <row r="109" spans="1:51">
      <c r="A109" s="79" t="s">
        <v>3025</v>
      </c>
      <c r="B109" s="80" t="str">
        <f t="shared" ref="B109:F109" si="224">B40</f>
        <v>ACPLSZ</v>
      </c>
      <c r="C109" s="80" t="str">
        <f t="shared" si="224"/>
        <v>北京户籍</v>
      </c>
      <c r="D109" s="80" t="str">
        <f t="shared" si="224"/>
        <v>Professional</v>
      </c>
      <c r="E109" s="80">
        <f t="shared" si="224"/>
        <v>0</v>
      </c>
      <c r="F109" s="82">
        <f t="shared" si="224"/>
        <v>80000</v>
      </c>
      <c r="G109" s="82"/>
      <c r="H109" s="82"/>
      <c r="I109" s="83"/>
      <c r="J109" s="82"/>
      <c r="K109" s="84"/>
      <c r="L109" s="84"/>
      <c r="M109" s="84"/>
      <c r="N109" s="84"/>
      <c r="O109" s="84"/>
      <c r="P109" s="84"/>
      <c r="Q109" s="84"/>
      <c r="R109" s="84"/>
      <c r="S109" s="84"/>
      <c r="T109" s="84"/>
      <c r="U109" s="84"/>
      <c r="V109" s="84"/>
      <c r="W109" s="85"/>
      <c r="X109" s="85"/>
      <c r="Y109" s="85"/>
      <c r="Z109" s="85"/>
      <c r="AA109" s="85"/>
      <c r="AB109" s="85"/>
      <c r="AC109" s="85"/>
      <c r="AD109" s="85"/>
      <c r="AE109" s="85"/>
      <c r="AF109" s="85"/>
      <c r="AG109" s="85"/>
      <c r="AH109" s="85"/>
      <c r="AI109" s="86"/>
      <c r="AJ109" s="85"/>
      <c r="AK109" s="85"/>
      <c r="AL109" s="85"/>
      <c r="AM109" s="85"/>
      <c r="AN109" s="85"/>
      <c r="AO109" s="85"/>
      <c r="AP109" s="85"/>
      <c r="AQ109" s="85"/>
      <c r="AR109" s="85"/>
      <c r="AS109" s="85"/>
      <c r="AT109" s="85"/>
      <c r="AU109" s="85"/>
      <c r="AV109" s="86"/>
      <c r="AW109" s="116"/>
      <c r="AX109" s="88"/>
      <c r="AY109" s="88"/>
    </row>
    <row r="110" spans="1:51">
      <c r="A110" s="79" t="s">
        <v>3025</v>
      </c>
      <c r="B110" s="80" t="str">
        <f t="shared" ref="B110:F110" si="225">B41</f>
        <v>ACPLSZ</v>
      </c>
      <c r="C110" s="80">
        <f t="shared" si="225"/>
        <v>0</v>
      </c>
      <c r="D110" s="80">
        <f t="shared" si="225"/>
        <v>0</v>
      </c>
      <c r="E110" s="80">
        <f t="shared" si="225"/>
        <v>0</v>
      </c>
      <c r="F110" s="82">
        <f t="shared" si="225"/>
        <v>0</v>
      </c>
      <c r="G110" s="82"/>
      <c r="H110" s="82"/>
      <c r="I110" s="83"/>
      <c r="J110" s="82"/>
      <c r="K110" s="84"/>
      <c r="L110" s="84"/>
      <c r="M110" s="84"/>
      <c r="N110" s="84"/>
      <c r="O110" s="84"/>
      <c r="P110" s="84"/>
      <c r="Q110" s="84"/>
      <c r="R110" s="84"/>
      <c r="S110" s="84"/>
      <c r="T110" s="84"/>
      <c r="U110" s="84"/>
      <c r="V110" s="84"/>
      <c r="W110" s="85"/>
      <c r="X110" s="85"/>
      <c r="Y110" s="85"/>
      <c r="Z110" s="85"/>
      <c r="AA110" s="85"/>
      <c r="AB110" s="85"/>
      <c r="AC110" s="85"/>
      <c r="AD110" s="85"/>
      <c r="AE110" s="85"/>
      <c r="AF110" s="85"/>
      <c r="AG110" s="85"/>
      <c r="AH110" s="85"/>
      <c r="AI110" s="86"/>
      <c r="AJ110" s="85"/>
      <c r="AK110" s="85"/>
      <c r="AL110" s="85"/>
      <c r="AM110" s="85"/>
      <c r="AN110" s="85"/>
      <c r="AO110" s="85"/>
      <c r="AP110" s="85"/>
      <c r="AQ110" s="85"/>
      <c r="AR110" s="85"/>
      <c r="AS110" s="85"/>
      <c r="AT110" s="85"/>
      <c r="AU110" s="85"/>
      <c r="AV110" s="86"/>
      <c r="AW110" s="116"/>
      <c r="AX110" s="88"/>
      <c r="AY110" s="88"/>
    </row>
    <row r="111" spans="1:51">
      <c r="A111" s="79" t="s">
        <v>3025</v>
      </c>
      <c r="B111" s="80">
        <f t="shared" ref="B111:F111" si="226">B42</f>
        <v>0</v>
      </c>
      <c r="C111" s="80">
        <f t="shared" si="226"/>
        <v>0</v>
      </c>
      <c r="D111" s="80">
        <f t="shared" si="226"/>
        <v>0</v>
      </c>
      <c r="E111" s="80">
        <f t="shared" si="226"/>
        <v>0</v>
      </c>
      <c r="F111" s="82">
        <f t="shared" si="226"/>
        <v>0</v>
      </c>
      <c r="G111" s="82"/>
      <c r="H111" s="82"/>
      <c r="I111" s="83"/>
      <c r="J111" s="82"/>
      <c r="K111" s="84"/>
      <c r="L111" s="84"/>
      <c r="M111" s="84"/>
      <c r="N111" s="84"/>
      <c r="O111" s="84"/>
      <c r="P111" s="84"/>
      <c r="Q111" s="84"/>
      <c r="R111" s="84"/>
      <c r="S111" s="84"/>
      <c r="T111" s="84"/>
      <c r="U111" s="84"/>
      <c r="V111" s="84"/>
      <c r="W111" s="85"/>
      <c r="X111" s="85"/>
      <c r="Y111" s="85"/>
      <c r="Z111" s="85"/>
      <c r="AA111" s="85"/>
      <c r="AB111" s="85"/>
      <c r="AC111" s="85"/>
      <c r="AD111" s="85"/>
      <c r="AE111" s="85"/>
      <c r="AF111" s="85"/>
      <c r="AG111" s="85"/>
      <c r="AH111" s="85"/>
      <c r="AI111" s="86"/>
      <c r="AJ111" s="85"/>
      <c r="AK111" s="85"/>
      <c r="AL111" s="85"/>
      <c r="AM111" s="85"/>
      <c r="AN111" s="85"/>
      <c r="AO111" s="85"/>
      <c r="AP111" s="85"/>
      <c r="AQ111" s="85"/>
      <c r="AR111" s="85"/>
      <c r="AS111" s="85"/>
      <c r="AT111" s="85"/>
      <c r="AU111" s="85"/>
      <c r="AV111" s="86"/>
      <c r="AW111" s="116"/>
      <c r="AX111" s="88"/>
      <c r="AY111" s="88"/>
    </row>
    <row r="112" spans="1:51">
      <c r="A112" s="79" t="s">
        <v>3025</v>
      </c>
      <c r="B112" s="80">
        <f t="shared" ref="B112:F112" si="227">B43</f>
        <v>0</v>
      </c>
      <c r="C112" s="80">
        <f t="shared" si="227"/>
        <v>0</v>
      </c>
      <c r="D112" s="80">
        <f t="shared" si="227"/>
        <v>0</v>
      </c>
      <c r="E112" s="80">
        <f t="shared" si="227"/>
        <v>0</v>
      </c>
      <c r="F112" s="82">
        <f t="shared" si="227"/>
        <v>0</v>
      </c>
      <c r="G112" s="82"/>
      <c r="H112" s="82"/>
      <c r="I112" s="83"/>
      <c r="J112" s="82"/>
      <c r="K112" s="84"/>
      <c r="L112" s="84"/>
      <c r="M112" s="84"/>
      <c r="N112" s="84"/>
      <c r="O112" s="84"/>
      <c r="P112" s="84"/>
      <c r="Q112" s="84"/>
      <c r="R112" s="84"/>
      <c r="S112" s="84"/>
      <c r="T112" s="84"/>
      <c r="U112" s="84"/>
      <c r="V112" s="84"/>
      <c r="W112" s="85"/>
      <c r="X112" s="85"/>
      <c r="Y112" s="85"/>
      <c r="Z112" s="85"/>
      <c r="AA112" s="85"/>
      <c r="AB112" s="85"/>
      <c r="AC112" s="85"/>
      <c r="AD112" s="85"/>
      <c r="AE112" s="85"/>
      <c r="AF112" s="85"/>
      <c r="AG112" s="85"/>
      <c r="AH112" s="85"/>
      <c r="AI112" s="86"/>
      <c r="AJ112" s="85"/>
      <c r="AK112" s="85"/>
      <c r="AL112" s="85"/>
      <c r="AM112" s="85"/>
      <c r="AN112" s="85"/>
      <c r="AO112" s="85"/>
      <c r="AP112" s="85"/>
      <c r="AQ112" s="85"/>
      <c r="AR112" s="85"/>
      <c r="AS112" s="85"/>
      <c r="AT112" s="85"/>
      <c r="AU112" s="85"/>
      <c r="AV112" s="86"/>
      <c r="AW112" s="116"/>
      <c r="AX112" s="88"/>
      <c r="AY112" s="88"/>
    </row>
    <row r="113" spans="1:51">
      <c r="A113" s="79"/>
      <c r="B113" s="93"/>
      <c r="C113" s="93"/>
      <c r="D113" s="93"/>
      <c r="E113" s="93"/>
      <c r="F113" s="113"/>
      <c r="G113" s="113"/>
      <c r="H113" s="113"/>
      <c r="I113" s="114"/>
      <c r="J113" s="113"/>
      <c r="K113" s="115"/>
      <c r="L113" s="115"/>
      <c r="M113" s="115"/>
      <c r="N113" s="115"/>
      <c r="O113" s="115"/>
      <c r="P113" s="115"/>
      <c r="Q113" s="115"/>
      <c r="R113" s="115"/>
      <c r="S113" s="115"/>
      <c r="T113" s="115"/>
      <c r="U113" s="115"/>
      <c r="V113" s="115"/>
      <c r="W113" s="113"/>
      <c r="X113" s="113"/>
      <c r="Y113" s="113"/>
      <c r="Z113" s="113"/>
      <c r="AA113" s="113"/>
      <c r="AB113" s="113"/>
      <c r="AC113" s="113"/>
      <c r="AD113" s="113"/>
      <c r="AE113" s="113"/>
      <c r="AF113" s="113"/>
      <c r="AG113" s="113"/>
      <c r="AH113" s="113"/>
      <c r="AI113" s="113"/>
      <c r="AJ113" s="113"/>
      <c r="AK113" s="113"/>
      <c r="AL113" s="113"/>
      <c r="AM113" s="113"/>
      <c r="AN113" s="113"/>
      <c r="AO113" s="113"/>
      <c r="AP113" s="113"/>
      <c r="AQ113" s="113"/>
      <c r="AR113" s="113"/>
      <c r="AS113" s="113"/>
      <c r="AT113" s="113"/>
      <c r="AU113" s="113"/>
      <c r="AV113" s="113"/>
      <c r="AW113" s="116"/>
      <c r="AX113" s="113"/>
      <c r="AY113" s="113"/>
    </row>
    <row r="114" spans="1:51">
      <c r="A114" s="79"/>
      <c r="B114" s="93" t="str">
        <f>B80</f>
        <v>ACPLSZ</v>
      </c>
      <c r="C114" s="93"/>
      <c r="D114" s="93"/>
      <c r="E114" s="93"/>
      <c r="F114" s="113"/>
      <c r="G114" s="113"/>
      <c r="H114" s="88"/>
      <c r="I114" s="114"/>
      <c r="J114" s="88"/>
      <c r="K114" s="119"/>
      <c r="L114" s="119"/>
      <c r="M114" s="119"/>
      <c r="N114" s="119"/>
      <c r="O114" s="119"/>
      <c r="P114" s="119"/>
      <c r="Q114" s="119"/>
      <c r="R114" s="119"/>
      <c r="S114" s="119"/>
      <c r="T114" s="119"/>
      <c r="U114" s="119"/>
      <c r="V114" s="119"/>
      <c r="W114" s="96">
        <f ca="1">SUMIF($B$86:$AV$112,$B114,W$86:W$112)</f>
        <v>16891.003000000001</v>
      </c>
      <c r="X114" s="96">
        <f t="shared" ref="X114:AV115" ca="1" si="228">SUMIF($B$86:$AV$112,$B114,X$86:X$112)</f>
        <v>18706.003000000001</v>
      </c>
      <c r="Y114" s="96">
        <f t="shared" ca="1" si="228"/>
        <v>16015.902999999998</v>
      </c>
      <c r="Z114" s="96">
        <f t="shared" ca="1" si="228"/>
        <v>16667.881000000001</v>
      </c>
      <c r="AA114" s="96">
        <f t="shared" ca="1" si="228"/>
        <v>21801.141000000003</v>
      </c>
      <c r="AB114" s="96">
        <f t="shared" ca="1" si="228"/>
        <v>21801.141000000003</v>
      </c>
      <c r="AC114" s="96">
        <f t="shared" ca="1" si="228"/>
        <v>21801.141000000003</v>
      </c>
      <c r="AD114" s="96">
        <f t="shared" ca="1" si="228"/>
        <v>22736.141000000003</v>
      </c>
      <c r="AE114" s="96">
        <f t="shared" ca="1" si="228"/>
        <v>22736.141000000003</v>
      </c>
      <c r="AF114" s="96">
        <f t="shared" ca="1" si="228"/>
        <v>22736.141000000003</v>
      </c>
      <c r="AG114" s="96">
        <f t="shared" ca="1" si="228"/>
        <v>22736.141000000003</v>
      </c>
      <c r="AH114" s="96">
        <f t="shared" ca="1" si="228"/>
        <v>23396.141000000003</v>
      </c>
      <c r="AI114" s="96">
        <f t="shared" ca="1" si="228"/>
        <v>248024.91800000003</v>
      </c>
      <c r="AJ114" s="96">
        <f t="shared" ca="1" si="228"/>
        <v>26427.906000000003</v>
      </c>
      <c r="AK114" s="96">
        <f t="shared" ca="1" si="228"/>
        <v>26427.906000000003</v>
      </c>
      <c r="AL114" s="96">
        <f t="shared" ca="1" si="228"/>
        <v>26427.906000000003</v>
      </c>
      <c r="AM114" s="96">
        <f t="shared" ca="1" si="228"/>
        <v>26427.906000000003</v>
      </c>
      <c r="AN114" s="96">
        <f t="shared" ca="1" si="228"/>
        <v>26427.906000000003</v>
      </c>
      <c r="AO114" s="96">
        <f t="shared" ca="1" si="228"/>
        <v>26427.906000000003</v>
      </c>
      <c r="AP114" s="96">
        <f t="shared" ca="1" si="228"/>
        <v>26596.371000000003</v>
      </c>
      <c r="AQ114" s="96">
        <f t="shared" ca="1" si="228"/>
        <v>26596.371000000003</v>
      </c>
      <c r="AR114" s="96">
        <f t="shared" ca="1" si="228"/>
        <v>26596.371000000003</v>
      </c>
      <c r="AS114" s="96">
        <f t="shared" ca="1" si="228"/>
        <v>26596.371000000003</v>
      </c>
      <c r="AT114" s="96">
        <f t="shared" ca="1" si="228"/>
        <v>26596.371000000003</v>
      </c>
      <c r="AU114" s="96">
        <f t="shared" ca="1" si="228"/>
        <v>26596.371000000003</v>
      </c>
      <c r="AV114" s="96">
        <f t="shared" ca="1" si="228"/>
        <v>318145.66200000001</v>
      </c>
      <c r="AW114" s="116"/>
      <c r="AX114" s="113"/>
      <c r="AY114" s="113"/>
    </row>
    <row r="115" spans="1:51">
      <c r="A115" s="79"/>
      <c r="B115" s="93" t="str">
        <f>B79</f>
        <v>ACPSZL</v>
      </c>
      <c r="C115" s="93"/>
      <c r="D115" s="93"/>
      <c r="E115" s="93"/>
      <c r="F115" s="113"/>
      <c r="G115" s="113"/>
      <c r="H115" s="93"/>
      <c r="I115" s="120"/>
      <c r="J115" s="93"/>
      <c r="K115" s="93"/>
      <c r="L115" s="93"/>
      <c r="M115" s="93"/>
      <c r="N115" s="93"/>
      <c r="O115" s="93"/>
      <c r="P115" s="93"/>
      <c r="Q115" s="93"/>
      <c r="R115" s="93"/>
      <c r="S115" s="93"/>
      <c r="T115" s="93"/>
      <c r="U115" s="93"/>
      <c r="V115" s="93"/>
      <c r="W115" s="96">
        <f ca="1">SUMIF($B$86:$AV$112,$B115,W$86:W$112)</f>
        <v>6288.26</v>
      </c>
      <c r="X115" s="96">
        <f t="shared" ca="1" si="228"/>
        <v>6288.26</v>
      </c>
      <c r="Y115" s="96">
        <f t="shared" ca="1" si="228"/>
        <v>6288.26</v>
      </c>
      <c r="Z115" s="96">
        <f t="shared" ca="1" si="228"/>
        <v>8139.89</v>
      </c>
      <c r="AA115" s="96">
        <f t="shared" ca="1" si="228"/>
        <v>8139.89</v>
      </c>
      <c r="AB115" s="96">
        <f t="shared" ca="1" si="228"/>
        <v>8139.89</v>
      </c>
      <c r="AC115" s="96">
        <f t="shared" ca="1" si="228"/>
        <v>8139.89</v>
      </c>
      <c r="AD115" s="96">
        <f t="shared" ca="1" si="228"/>
        <v>8139.89</v>
      </c>
      <c r="AE115" s="96">
        <f t="shared" ca="1" si="228"/>
        <v>8139.89</v>
      </c>
      <c r="AF115" s="96">
        <f t="shared" ca="1" si="228"/>
        <v>8139.89</v>
      </c>
      <c r="AG115" s="96">
        <f t="shared" ca="1" si="228"/>
        <v>8139.89</v>
      </c>
      <c r="AH115" s="96">
        <f t="shared" ca="1" si="228"/>
        <v>8139.89</v>
      </c>
      <c r="AI115" s="96">
        <f t="shared" ca="1" si="228"/>
        <v>92123.790000000037</v>
      </c>
      <c r="AJ115" s="96">
        <f t="shared" ca="1" si="228"/>
        <v>8269.14</v>
      </c>
      <c r="AK115" s="96">
        <f t="shared" ca="1" si="228"/>
        <v>8269.14</v>
      </c>
      <c r="AL115" s="96">
        <f t="shared" ca="1" si="228"/>
        <v>8269.14</v>
      </c>
      <c r="AM115" s="96">
        <f t="shared" ca="1" si="228"/>
        <v>8269.14</v>
      </c>
      <c r="AN115" s="96">
        <f t="shared" ca="1" si="228"/>
        <v>8269.14</v>
      </c>
      <c r="AO115" s="96">
        <f t="shared" ca="1" si="228"/>
        <v>8269.14</v>
      </c>
      <c r="AP115" s="96">
        <f t="shared" ca="1" si="228"/>
        <v>8269.14</v>
      </c>
      <c r="AQ115" s="96">
        <f t="shared" ca="1" si="228"/>
        <v>8269.14</v>
      </c>
      <c r="AR115" s="96">
        <f t="shared" ca="1" si="228"/>
        <v>8269.14</v>
      </c>
      <c r="AS115" s="96">
        <f t="shared" ca="1" si="228"/>
        <v>8269.14</v>
      </c>
      <c r="AT115" s="96">
        <f t="shared" ca="1" si="228"/>
        <v>8269.14</v>
      </c>
      <c r="AU115" s="96">
        <f t="shared" ca="1" si="228"/>
        <v>8269.14</v>
      </c>
      <c r="AV115" s="96">
        <f t="shared" ca="1" si="228"/>
        <v>99229.680000000037</v>
      </c>
      <c r="AW115" s="116"/>
      <c r="AX115" s="113"/>
      <c r="AY115" s="113"/>
    </row>
    <row r="116" spans="1:51">
      <c r="A116" s="93"/>
      <c r="B116" s="93"/>
      <c r="C116" s="93"/>
      <c r="D116" s="93"/>
      <c r="E116" s="93"/>
      <c r="F116" s="97" t="s">
        <v>3023</v>
      </c>
      <c r="G116" s="97"/>
      <c r="H116" s="93"/>
      <c r="I116" s="94"/>
      <c r="J116" s="98"/>
      <c r="K116" s="99"/>
      <c r="L116" s="99"/>
      <c r="M116" s="99"/>
      <c r="N116" s="99"/>
      <c r="O116" s="99"/>
      <c r="P116" s="99"/>
      <c r="Q116" s="99"/>
      <c r="R116" s="99"/>
      <c r="S116" s="99"/>
      <c r="T116" s="99"/>
      <c r="U116" s="99"/>
      <c r="V116" s="99"/>
      <c r="W116" s="100">
        <f>SUM(W85:W113)</f>
        <v>23179.262999999999</v>
      </c>
      <c r="X116" s="100">
        <f t="shared" ref="X116:AV116" si="229">SUM(X85:X113)</f>
        <v>24994.262999999999</v>
      </c>
      <c r="Y116" s="100">
        <f t="shared" si="229"/>
        <v>22304.163</v>
      </c>
      <c r="Z116" s="100">
        <f t="shared" si="229"/>
        <v>24807.771000000001</v>
      </c>
      <c r="AA116" s="100">
        <f t="shared" si="229"/>
        <v>29941.031000000003</v>
      </c>
      <c r="AB116" s="100">
        <f t="shared" si="229"/>
        <v>29941.031000000003</v>
      </c>
      <c r="AC116" s="100">
        <f t="shared" si="229"/>
        <v>29941.031000000003</v>
      </c>
      <c r="AD116" s="100">
        <f t="shared" si="229"/>
        <v>30876.031000000003</v>
      </c>
      <c r="AE116" s="100">
        <f t="shared" si="229"/>
        <v>30876.031000000003</v>
      </c>
      <c r="AF116" s="100">
        <f t="shared" si="229"/>
        <v>30876.031000000003</v>
      </c>
      <c r="AG116" s="100">
        <f t="shared" si="229"/>
        <v>30876.031000000003</v>
      </c>
      <c r="AH116" s="100">
        <f t="shared" si="229"/>
        <v>31536.031000000003</v>
      </c>
      <c r="AI116" s="100">
        <f t="shared" si="229"/>
        <v>340148.70799999998</v>
      </c>
      <c r="AJ116" s="100">
        <f t="shared" si="229"/>
        <v>34697.046000000002</v>
      </c>
      <c r="AK116" s="100">
        <f t="shared" si="229"/>
        <v>34697.046000000002</v>
      </c>
      <c r="AL116" s="100">
        <f t="shared" si="229"/>
        <v>34697.046000000002</v>
      </c>
      <c r="AM116" s="100">
        <f t="shared" si="229"/>
        <v>34697.046000000002</v>
      </c>
      <c r="AN116" s="100">
        <f t="shared" si="229"/>
        <v>34697.046000000002</v>
      </c>
      <c r="AO116" s="100">
        <f t="shared" si="229"/>
        <v>34697.046000000002</v>
      </c>
      <c r="AP116" s="100">
        <f t="shared" si="229"/>
        <v>34865.511000000006</v>
      </c>
      <c r="AQ116" s="100">
        <f t="shared" si="229"/>
        <v>34865.511000000006</v>
      </c>
      <c r="AR116" s="100">
        <f t="shared" si="229"/>
        <v>34865.511000000006</v>
      </c>
      <c r="AS116" s="100">
        <f t="shared" si="229"/>
        <v>34865.511000000006</v>
      </c>
      <c r="AT116" s="100">
        <f t="shared" si="229"/>
        <v>34865.511000000006</v>
      </c>
      <c r="AU116" s="100">
        <f t="shared" si="229"/>
        <v>34865.511000000006</v>
      </c>
      <c r="AV116" s="100">
        <f t="shared" si="229"/>
        <v>417375.34200000006</v>
      </c>
      <c r="AW116" s="87"/>
      <c r="AX116" s="88"/>
      <c r="AY116" s="88"/>
    </row>
    <row r="117" spans="1:51">
      <c r="A117" s="93"/>
      <c r="B117" s="93"/>
      <c r="C117" s="93"/>
      <c r="D117" s="93"/>
      <c r="E117" s="93"/>
      <c r="F117" s="88"/>
      <c r="G117" s="88"/>
      <c r="H117" s="93"/>
      <c r="I117" s="94"/>
      <c r="J117" s="93"/>
      <c r="K117" s="93"/>
      <c r="L117" s="93"/>
      <c r="M117" s="93"/>
      <c r="N117" s="93"/>
      <c r="O117" s="93"/>
      <c r="P117" s="93"/>
      <c r="Q117" s="93"/>
      <c r="R117" s="93"/>
      <c r="S117" s="93"/>
      <c r="T117" s="93"/>
      <c r="U117" s="93"/>
      <c r="V117" s="93"/>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7"/>
      <c r="AX117" s="88"/>
      <c r="AY117" s="88"/>
    </row>
    <row r="118" spans="1:51">
      <c r="A118" s="93"/>
      <c r="B118" s="79" t="s">
        <v>3027</v>
      </c>
      <c r="C118" s="93"/>
      <c r="D118" s="93"/>
      <c r="E118" s="93"/>
      <c r="F118" s="88"/>
      <c r="G118" s="88"/>
      <c r="H118" s="93"/>
      <c r="I118" s="94"/>
      <c r="J118" s="103"/>
      <c r="K118" s="1219" t="s">
        <v>3002</v>
      </c>
      <c r="L118" s="1220"/>
      <c r="M118" s="1220"/>
      <c r="N118" s="1220"/>
      <c r="O118" s="1220"/>
      <c r="P118" s="1220"/>
      <c r="Q118" s="1220"/>
      <c r="R118" s="1220"/>
      <c r="S118" s="1220"/>
      <c r="T118" s="1220"/>
      <c r="U118" s="1220"/>
      <c r="V118" s="1221"/>
      <c r="W118" s="1222" t="s">
        <v>3026</v>
      </c>
      <c r="X118" s="1223"/>
      <c r="Y118" s="1223"/>
      <c r="Z118" s="1223"/>
      <c r="AA118" s="1223"/>
      <c r="AB118" s="1223"/>
      <c r="AC118" s="1223"/>
      <c r="AD118" s="1223"/>
      <c r="AE118" s="1223"/>
      <c r="AF118" s="1223"/>
      <c r="AG118" s="1223"/>
      <c r="AH118" s="1224"/>
      <c r="AI118" s="1223"/>
      <c r="AJ118" s="1222" t="s">
        <v>3003</v>
      </c>
      <c r="AK118" s="1223"/>
      <c r="AL118" s="1223"/>
      <c r="AM118" s="1223"/>
      <c r="AN118" s="1223"/>
      <c r="AO118" s="1223"/>
      <c r="AP118" s="1223"/>
      <c r="AQ118" s="1223"/>
      <c r="AR118" s="1223"/>
      <c r="AS118" s="1223"/>
      <c r="AT118" s="1223"/>
      <c r="AU118" s="1224"/>
      <c r="AV118" s="1223"/>
      <c r="AW118" s="87"/>
      <c r="AX118" s="88"/>
      <c r="AY118" s="88"/>
    </row>
    <row r="119" spans="1:51" s="14" customFormat="1">
      <c r="A119" s="104"/>
      <c r="B119" s="105" t="s">
        <v>3005</v>
      </c>
      <c r="C119" s="105" t="s">
        <v>3006</v>
      </c>
      <c r="D119" s="105" t="s">
        <v>3007</v>
      </c>
      <c r="E119" s="105" t="s">
        <v>3008</v>
      </c>
      <c r="F119" s="106" t="s">
        <v>3009</v>
      </c>
      <c r="G119" s="106"/>
      <c r="H119" s="107"/>
      <c r="I119" s="108" t="s">
        <v>3011</v>
      </c>
      <c r="J119" s="107"/>
      <c r="K119" s="107">
        <v>46023</v>
      </c>
      <c r="L119" s="107">
        <v>46054</v>
      </c>
      <c r="M119" s="107">
        <v>46082</v>
      </c>
      <c r="N119" s="107">
        <v>46113</v>
      </c>
      <c r="O119" s="107">
        <v>46143</v>
      </c>
      <c r="P119" s="107">
        <v>46174</v>
      </c>
      <c r="Q119" s="107">
        <v>46204</v>
      </c>
      <c r="R119" s="107">
        <v>46235</v>
      </c>
      <c r="S119" s="107">
        <v>46266</v>
      </c>
      <c r="T119" s="107">
        <v>46296</v>
      </c>
      <c r="U119" s="107">
        <v>46327</v>
      </c>
      <c r="V119" s="107">
        <v>46357</v>
      </c>
      <c r="W119" s="73">
        <f t="shared" ref="W119:AH119" si="230">+K119</f>
        <v>46023</v>
      </c>
      <c r="X119" s="73">
        <f t="shared" si="230"/>
        <v>46054</v>
      </c>
      <c r="Y119" s="73">
        <f t="shared" si="230"/>
        <v>46082</v>
      </c>
      <c r="Z119" s="73">
        <f t="shared" si="230"/>
        <v>46113</v>
      </c>
      <c r="AA119" s="73">
        <f t="shared" si="230"/>
        <v>46143</v>
      </c>
      <c r="AB119" s="73">
        <f t="shared" si="230"/>
        <v>46174</v>
      </c>
      <c r="AC119" s="73">
        <f t="shared" si="230"/>
        <v>46204</v>
      </c>
      <c r="AD119" s="73">
        <f t="shared" si="230"/>
        <v>46235</v>
      </c>
      <c r="AE119" s="73">
        <f t="shared" si="230"/>
        <v>46266</v>
      </c>
      <c r="AF119" s="73">
        <f t="shared" si="230"/>
        <v>46296</v>
      </c>
      <c r="AG119" s="73">
        <f t="shared" si="230"/>
        <v>46327</v>
      </c>
      <c r="AH119" s="73">
        <f t="shared" si="230"/>
        <v>46357</v>
      </c>
      <c r="AI119" s="109" t="str">
        <f>$AI$15</f>
        <v>Total 2026</v>
      </c>
      <c r="AJ119" s="73">
        <f t="shared" ref="AJ119:AU119" si="231">AJ$15</f>
        <v>46388</v>
      </c>
      <c r="AK119" s="73">
        <f t="shared" si="231"/>
        <v>46419</v>
      </c>
      <c r="AL119" s="73">
        <f t="shared" si="231"/>
        <v>46447</v>
      </c>
      <c r="AM119" s="73">
        <f t="shared" si="231"/>
        <v>46478</v>
      </c>
      <c r="AN119" s="73">
        <f t="shared" si="231"/>
        <v>46508</v>
      </c>
      <c r="AO119" s="73">
        <f t="shared" si="231"/>
        <v>46539</v>
      </c>
      <c r="AP119" s="73">
        <f t="shared" si="231"/>
        <v>46569</v>
      </c>
      <c r="AQ119" s="73">
        <f t="shared" si="231"/>
        <v>46600</v>
      </c>
      <c r="AR119" s="73">
        <f t="shared" si="231"/>
        <v>46631</v>
      </c>
      <c r="AS119" s="73">
        <f t="shared" si="231"/>
        <v>46661</v>
      </c>
      <c r="AT119" s="73">
        <f t="shared" si="231"/>
        <v>46692</v>
      </c>
      <c r="AU119" s="73">
        <f t="shared" si="231"/>
        <v>46722</v>
      </c>
      <c r="AV119" s="73" t="s">
        <v>3013</v>
      </c>
      <c r="AW119" s="110"/>
      <c r="AX119" s="111"/>
      <c r="AY119" s="111"/>
    </row>
    <row r="120" spans="1:51">
      <c r="A120" s="93"/>
      <c r="B120" s="80"/>
      <c r="C120" s="80"/>
      <c r="D120" s="80"/>
      <c r="E120" s="80"/>
      <c r="F120" s="82"/>
      <c r="G120" s="82"/>
      <c r="H120" s="80"/>
      <c r="I120" s="112"/>
      <c r="J120" s="80"/>
      <c r="K120" s="84"/>
      <c r="L120" s="84"/>
      <c r="M120" s="84"/>
      <c r="N120" s="84"/>
      <c r="O120" s="84"/>
      <c r="P120" s="84"/>
      <c r="Q120" s="84"/>
      <c r="R120" s="84"/>
      <c r="S120" s="84"/>
      <c r="T120" s="84"/>
      <c r="U120" s="84"/>
      <c r="V120" s="84"/>
      <c r="W120" s="85"/>
      <c r="X120" s="85"/>
      <c r="Y120" s="85"/>
      <c r="Z120" s="85"/>
      <c r="AA120" s="85"/>
      <c r="AB120" s="85"/>
      <c r="AC120" s="85"/>
      <c r="AD120" s="85"/>
      <c r="AE120" s="85"/>
      <c r="AF120" s="85"/>
      <c r="AG120" s="85"/>
      <c r="AH120" s="85"/>
      <c r="AI120" s="85"/>
      <c r="AJ120" s="85"/>
      <c r="AK120" s="85"/>
      <c r="AL120" s="85"/>
      <c r="AM120" s="85"/>
      <c r="AN120" s="85"/>
      <c r="AO120" s="85"/>
      <c r="AP120" s="85"/>
      <c r="AQ120" s="85"/>
      <c r="AR120" s="85"/>
      <c r="AS120" s="85"/>
      <c r="AT120" s="85"/>
      <c r="AU120" s="85"/>
      <c r="AV120" s="85"/>
      <c r="AW120" s="87"/>
      <c r="AX120" s="88"/>
      <c r="AY120" s="88"/>
    </row>
    <row r="121" spans="1:51">
      <c r="A121" s="79" t="s">
        <v>3027</v>
      </c>
      <c r="B121" s="80" t="str">
        <f t="shared" ref="B121:B140" si="232">B17</f>
        <v>ACPSZL</v>
      </c>
      <c r="C121" s="80" t="str">
        <f t="shared" ref="C121:C140" si="233">C17</f>
        <v>深圳户籍</v>
      </c>
      <c r="D121" s="80" t="str">
        <f t="shared" ref="D121:D140" si="234">D17</f>
        <v>Professional</v>
      </c>
      <c r="E121" s="80">
        <f t="shared" ref="E121:E140" si="235">E17</f>
        <v>0</v>
      </c>
      <c r="F121" s="81">
        <f t="shared" ref="F121:F140" si="236">F17</f>
        <v>83000</v>
      </c>
      <c r="G121" s="81"/>
      <c r="H121" s="82" t="str">
        <f t="shared" ref="H121:H140" si="237">H17</f>
        <v>郭宗林</v>
      </c>
      <c r="I121" s="83">
        <f t="shared" ref="I121:I140" si="238">I17</f>
        <v>0</v>
      </c>
      <c r="J121" s="82"/>
      <c r="K121" s="84"/>
      <c r="L121" s="84"/>
      <c r="M121" s="84"/>
      <c r="N121" s="84"/>
      <c r="O121" s="84"/>
      <c r="P121" s="84"/>
      <c r="Q121" s="84"/>
      <c r="R121" s="84"/>
      <c r="S121" s="84"/>
      <c r="T121" s="84"/>
      <c r="U121" s="84"/>
      <c r="V121" s="84"/>
      <c r="W121" s="85">
        <v>0</v>
      </c>
      <c r="X121" s="85">
        <v>0</v>
      </c>
      <c r="Y121" s="85">
        <v>0</v>
      </c>
      <c r="Z121" s="85">
        <v>0</v>
      </c>
      <c r="AA121" s="85">
        <v>0</v>
      </c>
      <c r="AB121" s="85">
        <v>0</v>
      </c>
      <c r="AC121" s="85">
        <v>0</v>
      </c>
      <c r="AD121" s="85">
        <v>0</v>
      </c>
      <c r="AE121" s="85">
        <v>0</v>
      </c>
      <c r="AF121" s="85">
        <v>0</v>
      </c>
      <c r="AG121" s="85">
        <v>0</v>
      </c>
      <c r="AH121" s="85">
        <v>0</v>
      </c>
      <c r="AI121" s="86">
        <f t="shared" ref="AI121:AI127" si="239">SUM(W121:AH121)</f>
        <v>0</v>
      </c>
      <c r="AJ121" s="85">
        <v>0</v>
      </c>
      <c r="AK121" s="85"/>
      <c r="AL121" s="85"/>
      <c r="AM121" s="85"/>
      <c r="AN121" s="85"/>
      <c r="AO121" s="85"/>
      <c r="AP121" s="85"/>
      <c r="AQ121" s="85"/>
      <c r="AR121" s="85"/>
      <c r="AS121" s="85"/>
      <c r="AT121" s="85"/>
      <c r="AU121" s="85"/>
      <c r="AV121" s="86">
        <f t="shared" ref="AV121:AV127" si="240">SUM(AJ121:AU121)</f>
        <v>0</v>
      </c>
      <c r="AW121" s="87"/>
      <c r="AX121" s="88"/>
      <c r="AY121" s="88"/>
    </row>
    <row r="122" spans="1:51">
      <c r="A122" s="79" t="s">
        <v>3027</v>
      </c>
      <c r="B122" s="80" t="str">
        <f t="shared" si="232"/>
        <v>ACPSZL</v>
      </c>
      <c r="C122" s="80" t="str">
        <f t="shared" si="233"/>
        <v>深圳户籍</v>
      </c>
      <c r="D122" s="80" t="str">
        <f t="shared" si="234"/>
        <v>Professional</v>
      </c>
      <c r="E122" s="80">
        <f t="shared" si="235"/>
        <v>0</v>
      </c>
      <c r="F122" s="81">
        <f t="shared" si="236"/>
        <v>70000</v>
      </c>
      <c r="G122" s="81"/>
      <c r="H122" s="82" t="str">
        <f t="shared" si="237"/>
        <v>陈灿</v>
      </c>
      <c r="I122" s="83">
        <f t="shared" si="238"/>
        <v>0</v>
      </c>
      <c r="J122" s="82"/>
      <c r="K122" s="84"/>
      <c r="L122" s="84"/>
      <c r="M122" s="84"/>
      <c r="N122" s="84"/>
      <c r="O122" s="84"/>
      <c r="P122" s="84"/>
      <c r="Q122" s="84"/>
      <c r="R122" s="84"/>
      <c r="S122" s="84"/>
      <c r="T122" s="84"/>
      <c r="U122" s="84"/>
      <c r="V122" s="84"/>
      <c r="W122" s="85">
        <f t="shared" ref="W122:AH122" si="241">IF(VLOOKUP($H122,$H$15:$AH$46,W$16,FALSE)&gt;$AF$8,$AF$8*$AH$8,VLOOKUP($H122,$H$15:$AH$46,W$16,FALSE)*$AH$8)</f>
        <v>0</v>
      </c>
      <c r="X122" s="85">
        <f t="shared" si="241"/>
        <v>0</v>
      </c>
      <c r="Y122" s="85">
        <f t="shared" si="241"/>
        <v>0</v>
      </c>
      <c r="Z122" s="85">
        <f t="shared" si="241"/>
        <v>0</v>
      </c>
      <c r="AA122" s="85">
        <f t="shared" si="241"/>
        <v>0</v>
      </c>
      <c r="AB122" s="85">
        <f t="shared" si="241"/>
        <v>0</v>
      </c>
      <c r="AC122" s="85">
        <f t="shared" si="241"/>
        <v>0</v>
      </c>
      <c r="AD122" s="85">
        <f t="shared" si="241"/>
        <v>0</v>
      </c>
      <c r="AE122" s="85">
        <f t="shared" si="241"/>
        <v>0</v>
      </c>
      <c r="AF122" s="85">
        <f t="shared" si="241"/>
        <v>0</v>
      </c>
      <c r="AG122" s="85">
        <f t="shared" si="241"/>
        <v>0</v>
      </c>
      <c r="AH122" s="85">
        <f t="shared" si="241"/>
        <v>0</v>
      </c>
      <c r="AI122" s="86">
        <f t="shared" si="239"/>
        <v>0</v>
      </c>
      <c r="AJ122" s="85">
        <f t="shared" ref="AJ122:AU122" si="242">IF(VLOOKUP($H122,$H$15:$AU$46,AJ$16,FALSE)&gt;$AF$8,$AF$8*$AH$8,VLOOKUP($H122,$H$15:$AU$46,AJ$16,FALSE)*$AH$8)</f>
        <v>0</v>
      </c>
      <c r="AK122" s="85">
        <f t="shared" si="242"/>
        <v>0</v>
      </c>
      <c r="AL122" s="85">
        <f t="shared" si="242"/>
        <v>0</v>
      </c>
      <c r="AM122" s="85">
        <f t="shared" si="242"/>
        <v>0</v>
      </c>
      <c r="AN122" s="85">
        <f t="shared" si="242"/>
        <v>0</v>
      </c>
      <c r="AO122" s="85">
        <f t="shared" si="242"/>
        <v>0</v>
      </c>
      <c r="AP122" s="85">
        <f t="shared" si="242"/>
        <v>0</v>
      </c>
      <c r="AQ122" s="85">
        <f t="shared" si="242"/>
        <v>0</v>
      </c>
      <c r="AR122" s="85">
        <f t="shared" si="242"/>
        <v>0</v>
      </c>
      <c r="AS122" s="85">
        <f t="shared" si="242"/>
        <v>0</v>
      </c>
      <c r="AT122" s="85">
        <f t="shared" si="242"/>
        <v>0</v>
      </c>
      <c r="AU122" s="85">
        <f t="shared" si="242"/>
        <v>0</v>
      </c>
      <c r="AV122" s="86">
        <f t="shared" si="240"/>
        <v>0</v>
      </c>
      <c r="AW122" s="87"/>
      <c r="AX122" s="88"/>
      <c r="AY122" s="88"/>
    </row>
    <row r="123" spans="1:51">
      <c r="A123" s="79" t="s">
        <v>3027</v>
      </c>
      <c r="B123" s="80" t="str">
        <f t="shared" si="232"/>
        <v>ACPSZL</v>
      </c>
      <c r="C123" s="80" t="str">
        <f t="shared" si="233"/>
        <v>深圳户籍</v>
      </c>
      <c r="D123" s="80" t="str">
        <f t="shared" si="234"/>
        <v>Professional</v>
      </c>
      <c r="E123" s="80">
        <f t="shared" si="235"/>
        <v>0</v>
      </c>
      <c r="F123" s="81">
        <f t="shared" si="236"/>
        <v>27000</v>
      </c>
      <c r="G123" s="81"/>
      <c r="H123" s="82" t="str">
        <f t="shared" si="237"/>
        <v>林秋蝶</v>
      </c>
      <c r="I123" s="83">
        <f t="shared" si="238"/>
        <v>0</v>
      </c>
      <c r="J123" s="82"/>
      <c r="K123" s="84"/>
      <c r="L123" s="84"/>
      <c r="M123" s="84"/>
      <c r="N123" s="84"/>
      <c r="O123" s="84"/>
      <c r="P123" s="84"/>
      <c r="Q123" s="84"/>
      <c r="R123" s="84"/>
      <c r="S123" s="84"/>
      <c r="T123" s="84"/>
      <c r="U123" s="84"/>
      <c r="V123" s="84"/>
      <c r="W123" s="85">
        <f t="shared" ref="W123:AH123" si="243">IF(VLOOKUP($H123,$H$15:$AH$46,W$16,FALSE)&gt;$AF$8,$AF$8*$AH$8,VLOOKUP($H123,$H$15:$AH$46,W$16,FALSE)*$AH$8)</f>
        <v>216</v>
      </c>
      <c r="X123" s="85">
        <f t="shared" si="243"/>
        <v>216</v>
      </c>
      <c r="Y123" s="85">
        <f t="shared" si="243"/>
        <v>216</v>
      </c>
      <c r="Z123" s="85">
        <f t="shared" si="243"/>
        <v>216</v>
      </c>
      <c r="AA123" s="85">
        <f t="shared" si="243"/>
        <v>216</v>
      </c>
      <c r="AB123" s="85">
        <f t="shared" si="243"/>
        <v>216</v>
      </c>
      <c r="AC123" s="85">
        <f t="shared" si="243"/>
        <v>216</v>
      </c>
      <c r="AD123" s="85">
        <f t="shared" si="243"/>
        <v>216</v>
      </c>
      <c r="AE123" s="85">
        <f t="shared" si="243"/>
        <v>216</v>
      </c>
      <c r="AF123" s="85">
        <f t="shared" si="243"/>
        <v>216</v>
      </c>
      <c r="AG123" s="85">
        <f t="shared" si="243"/>
        <v>216</v>
      </c>
      <c r="AH123" s="85">
        <f t="shared" si="243"/>
        <v>216</v>
      </c>
      <c r="AI123" s="86">
        <f t="shared" si="239"/>
        <v>2592</v>
      </c>
      <c r="AJ123" s="85">
        <f t="shared" ref="AJ123:AU123" si="244">IF(VLOOKUP($H123,$H$15:$AU$46,AJ$16,FALSE)&gt;$AF$8,$AF$8*$AH$8,VLOOKUP($H123,$H$15:$AU$46,AJ$16,FALSE)*$AH$8)</f>
        <v>226.8</v>
      </c>
      <c r="AK123" s="85">
        <f t="shared" si="244"/>
        <v>226.8</v>
      </c>
      <c r="AL123" s="85">
        <f t="shared" si="244"/>
        <v>226.8</v>
      </c>
      <c r="AM123" s="85">
        <f t="shared" si="244"/>
        <v>226.8</v>
      </c>
      <c r="AN123" s="85">
        <f t="shared" si="244"/>
        <v>226.8</v>
      </c>
      <c r="AO123" s="85">
        <f t="shared" si="244"/>
        <v>226.8</v>
      </c>
      <c r="AP123" s="85">
        <f t="shared" si="244"/>
        <v>226.8</v>
      </c>
      <c r="AQ123" s="85">
        <f t="shared" si="244"/>
        <v>226.8</v>
      </c>
      <c r="AR123" s="85">
        <f t="shared" si="244"/>
        <v>226.8</v>
      </c>
      <c r="AS123" s="85">
        <f t="shared" si="244"/>
        <v>226.8</v>
      </c>
      <c r="AT123" s="85">
        <f t="shared" si="244"/>
        <v>226.8</v>
      </c>
      <c r="AU123" s="85">
        <f t="shared" si="244"/>
        <v>226.8</v>
      </c>
      <c r="AV123" s="86">
        <f t="shared" si="240"/>
        <v>2721.6000000000004</v>
      </c>
      <c r="AW123" s="87"/>
      <c r="AX123" s="88"/>
      <c r="AY123" s="88"/>
    </row>
    <row r="124" spans="1:51">
      <c r="A124" s="79" t="s">
        <v>3027</v>
      </c>
      <c r="B124" s="80" t="str">
        <f t="shared" si="232"/>
        <v>ACPLSZ</v>
      </c>
      <c r="C124" s="80" t="str">
        <f t="shared" si="233"/>
        <v>深圳户籍</v>
      </c>
      <c r="D124" s="80" t="str">
        <f t="shared" si="234"/>
        <v>Professional</v>
      </c>
      <c r="E124" s="80">
        <f t="shared" si="235"/>
        <v>0</v>
      </c>
      <c r="F124" s="81">
        <f t="shared" si="236"/>
        <v>17000</v>
      </c>
      <c r="G124" s="81"/>
      <c r="H124" s="82" t="str">
        <f t="shared" si="237"/>
        <v>陈斌捷</v>
      </c>
      <c r="I124" s="83">
        <f t="shared" si="238"/>
        <v>8.8235294117646967E-2</v>
      </c>
      <c r="J124" s="82"/>
      <c r="K124" s="84"/>
      <c r="L124" s="84"/>
      <c r="M124" s="84"/>
      <c r="N124" s="84"/>
      <c r="O124" s="84"/>
      <c r="P124" s="84"/>
      <c r="Q124" s="84"/>
      <c r="R124" s="84"/>
      <c r="S124" s="84"/>
      <c r="T124" s="84"/>
      <c r="U124" s="84"/>
      <c r="V124" s="84"/>
      <c r="W124" s="85">
        <f>IF(VLOOKUP($H124,$H$15:$AH$46,W$16,FALSE)&gt;$AF$8,$AF$8*$AH$8,VLOOKUP($H124,$H$15:$AH$46,W$16,FALSE)*$AH$8)</f>
        <v>136</v>
      </c>
      <c r="X124" s="85">
        <f>IF(VLOOKUP($H124,$H$15:$AH$46,X$16,FALSE)&gt;$AF$8,$AF$8*$AH$8,VLOOKUP($H124,$H$15:$AH$46,X$16,FALSE)*$AH$8)</f>
        <v>136</v>
      </c>
      <c r="Y124" s="85">
        <f>IF(VLOOKUP($H124,$H$15:$AH$46,Y$16,FALSE)&gt;$AF$8,$AF$8*$AH$8,VLOOKUP($H124,$H$15:$AH$46,Y$16,FALSE)*$AH$8)</f>
        <v>136</v>
      </c>
      <c r="Z124" s="85">
        <f>IF(VLOOKUP($H124,$H$15:$AH$46,Z$16,FALSE)&gt;$AF$8,$AF$8*$AH$8,VLOOKUP($H124,$H$15:$AH$46,Z$16,FALSE)*$AH$8)</f>
        <v>148</v>
      </c>
      <c r="AA124" s="85">
        <f>IF(VLOOKUP($H124,$H$15:$AH$46,AA$16,FALSE)&gt;$AF$8,$AF$8*$AH$8,VLOOKUP($H124,$H$15:$AH$46,AA$16,FALSE)*$AH$8)</f>
        <v>148</v>
      </c>
      <c r="AB124" s="85">
        <f>17000*AH8</f>
        <v>136</v>
      </c>
      <c r="AC124" s="85">
        <f t="shared" ref="AC124:AH124" si="245">IF(VLOOKUP($H124,$H$15:$AH$46,AC$16,FALSE)&gt;$AF$8,$AF$8*$AH$8,VLOOKUP($H124,$H$15:$AH$46,AC$16,FALSE)*$AH$8)</f>
        <v>148</v>
      </c>
      <c r="AD124" s="85">
        <f t="shared" si="245"/>
        <v>148</v>
      </c>
      <c r="AE124" s="85">
        <f t="shared" si="245"/>
        <v>148</v>
      </c>
      <c r="AF124" s="85">
        <f t="shared" si="245"/>
        <v>148</v>
      </c>
      <c r="AG124" s="85">
        <f t="shared" si="245"/>
        <v>148</v>
      </c>
      <c r="AH124" s="85">
        <f t="shared" si="245"/>
        <v>148</v>
      </c>
      <c r="AI124" s="86">
        <f t="shared" si="239"/>
        <v>1728</v>
      </c>
      <c r="AJ124" s="85">
        <f t="shared" ref="AJ124:AU124" si="246">IF(VLOOKUP($H124,$H$15:$AU$46,AJ$16,FALSE)&gt;$AF$8,$AF$8*$AH$8,VLOOKUP($H124,$H$15:$AU$46,AJ$16,FALSE)*$AH$8)</f>
        <v>155.4</v>
      </c>
      <c r="AK124" s="85">
        <f t="shared" si="246"/>
        <v>155.4</v>
      </c>
      <c r="AL124" s="85">
        <f t="shared" si="246"/>
        <v>155.4</v>
      </c>
      <c r="AM124" s="85">
        <f t="shared" si="246"/>
        <v>155.4</v>
      </c>
      <c r="AN124" s="85">
        <f t="shared" si="246"/>
        <v>155.4</v>
      </c>
      <c r="AO124" s="85">
        <f t="shared" si="246"/>
        <v>155.4</v>
      </c>
      <c r="AP124" s="85">
        <f t="shared" si="246"/>
        <v>155.4</v>
      </c>
      <c r="AQ124" s="85">
        <f t="shared" si="246"/>
        <v>155.4</v>
      </c>
      <c r="AR124" s="85">
        <f t="shared" si="246"/>
        <v>155.4</v>
      </c>
      <c r="AS124" s="85">
        <f t="shared" si="246"/>
        <v>155.4</v>
      </c>
      <c r="AT124" s="85">
        <f t="shared" si="246"/>
        <v>155.4</v>
      </c>
      <c r="AU124" s="85">
        <f t="shared" si="246"/>
        <v>155.4</v>
      </c>
      <c r="AV124" s="86">
        <f t="shared" si="240"/>
        <v>1864.8000000000004</v>
      </c>
      <c r="AW124" s="87"/>
      <c r="AX124" s="88"/>
      <c r="AY124" s="88"/>
    </row>
    <row r="125" spans="1:51">
      <c r="A125" s="79" t="s">
        <v>3027</v>
      </c>
      <c r="B125" s="80" t="str">
        <f t="shared" si="232"/>
        <v>ACPSZL</v>
      </c>
      <c r="C125" s="80" t="str">
        <f t="shared" si="233"/>
        <v>深圳户籍</v>
      </c>
      <c r="D125" s="80" t="str">
        <f t="shared" si="234"/>
        <v>Professional</v>
      </c>
      <c r="E125" s="80">
        <f t="shared" si="235"/>
        <v>0</v>
      </c>
      <c r="F125" s="82">
        <f t="shared" si="236"/>
        <v>20000</v>
      </c>
      <c r="G125" s="82"/>
      <c r="H125" s="82" t="str">
        <f t="shared" si="237"/>
        <v>陈广华</v>
      </c>
      <c r="I125" s="83">
        <f t="shared" si="238"/>
        <v>0</v>
      </c>
      <c r="J125" s="82"/>
      <c r="K125" s="84"/>
      <c r="L125" s="84"/>
      <c r="M125" s="84"/>
      <c r="N125" s="84"/>
      <c r="O125" s="84"/>
      <c r="P125" s="84"/>
      <c r="Q125" s="84"/>
      <c r="R125" s="84"/>
      <c r="S125" s="84"/>
      <c r="T125" s="84"/>
      <c r="U125" s="84"/>
      <c r="V125" s="84"/>
      <c r="W125" s="85">
        <f t="shared" ref="W125:AH125" si="247">IF(VLOOKUP($H125,$H$15:$AH$46,W$16,FALSE)&gt;$AF$8,$AF$8*$AH$8,VLOOKUP($H125,$H$15:$AH$46,W$16,FALSE)*$AH$8)</f>
        <v>160</v>
      </c>
      <c r="X125" s="85">
        <f t="shared" si="247"/>
        <v>160</v>
      </c>
      <c r="Y125" s="85">
        <f t="shared" si="247"/>
        <v>160</v>
      </c>
      <c r="Z125" s="85">
        <f t="shared" si="247"/>
        <v>160</v>
      </c>
      <c r="AA125" s="85">
        <f t="shared" si="247"/>
        <v>160</v>
      </c>
      <c r="AB125" s="85">
        <f t="shared" si="247"/>
        <v>160</v>
      </c>
      <c r="AC125" s="85">
        <f t="shared" si="247"/>
        <v>160</v>
      </c>
      <c r="AD125" s="85">
        <f t="shared" si="247"/>
        <v>160</v>
      </c>
      <c r="AE125" s="85">
        <f t="shared" si="247"/>
        <v>160</v>
      </c>
      <c r="AF125" s="85">
        <f t="shared" si="247"/>
        <v>160</v>
      </c>
      <c r="AG125" s="85">
        <f t="shared" si="247"/>
        <v>160</v>
      </c>
      <c r="AH125" s="85">
        <f t="shared" si="247"/>
        <v>160</v>
      </c>
      <c r="AI125" s="86">
        <f t="shared" si="239"/>
        <v>1920</v>
      </c>
      <c r="AJ125" s="85">
        <f t="shared" ref="AJ125:AU125" si="248">IF(VLOOKUP($H125,$H$15:$AU$46,AJ$16,FALSE)&gt;$AF$8,$AF$8*$AH$8,VLOOKUP($H125,$H$15:$AU$46,AJ$16,FALSE)*$AH$8)</f>
        <v>168</v>
      </c>
      <c r="AK125" s="85">
        <f t="shared" si="248"/>
        <v>168</v>
      </c>
      <c r="AL125" s="85">
        <f t="shared" si="248"/>
        <v>168</v>
      </c>
      <c r="AM125" s="85">
        <f t="shared" si="248"/>
        <v>168</v>
      </c>
      <c r="AN125" s="85">
        <f t="shared" si="248"/>
        <v>168</v>
      </c>
      <c r="AO125" s="85">
        <f t="shared" si="248"/>
        <v>168</v>
      </c>
      <c r="AP125" s="85">
        <f t="shared" si="248"/>
        <v>168</v>
      </c>
      <c r="AQ125" s="85">
        <f t="shared" si="248"/>
        <v>168</v>
      </c>
      <c r="AR125" s="85">
        <f t="shared" si="248"/>
        <v>168</v>
      </c>
      <c r="AS125" s="85">
        <f t="shared" si="248"/>
        <v>168</v>
      </c>
      <c r="AT125" s="85">
        <f t="shared" si="248"/>
        <v>168</v>
      </c>
      <c r="AU125" s="85">
        <f t="shared" si="248"/>
        <v>168</v>
      </c>
      <c r="AV125" s="86">
        <f t="shared" si="240"/>
        <v>2016</v>
      </c>
      <c r="AW125" s="87"/>
      <c r="AX125" s="88"/>
      <c r="AY125" s="88"/>
    </row>
    <row r="126" spans="1:51">
      <c r="A126" s="79" t="s">
        <v>3027</v>
      </c>
      <c r="B126" s="80" t="str">
        <f t="shared" si="232"/>
        <v>ACPSZL</v>
      </c>
      <c r="C126" s="80" t="str">
        <f t="shared" si="233"/>
        <v>非深圳户籍</v>
      </c>
      <c r="D126" s="80" t="str">
        <f t="shared" si="234"/>
        <v>Professional</v>
      </c>
      <c r="E126" s="80">
        <f t="shared" si="235"/>
        <v>0</v>
      </c>
      <c r="F126" s="82">
        <f t="shared" si="236"/>
        <v>50000</v>
      </c>
      <c r="G126" s="82"/>
      <c r="H126" s="82" t="str">
        <f t="shared" si="237"/>
        <v>冷雨尘</v>
      </c>
      <c r="I126" s="83">
        <f t="shared" si="238"/>
        <v>0</v>
      </c>
      <c r="J126" s="82"/>
      <c r="K126" s="84"/>
      <c r="L126" s="84"/>
      <c r="M126" s="84"/>
      <c r="N126" s="84"/>
      <c r="O126" s="84"/>
      <c r="P126" s="84"/>
      <c r="Q126" s="84"/>
      <c r="R126" s="84"/>
      <c r="S126" s="84"/>
      <c r="T126" s="84"/>
      <c r="U126" s="84"/>
      <c r="V126" s="84"/>
      <c r="W126" s="85">
        <f t="shared" ref="W126:AH126" si="249">IF(VLOOKUP($H126,$H$15:$AH$46,W$16,FALSE)&gt;$AF$8,$AF$8*$AH$8,VLOOKUP($H126,$H$15:$AH$46,W$16,FALSE)*$AH$8)</f>
        <v>354.12</v>
      </c>
      <c r="X126" s="85">
        <f t="shared" si="249"/>
        <v>354.12</v>
      </c>
      <c r="Y126" s="85">
        <f t="shared" si="249"/>
        <v>354.12</v>
      </c>
      <c r="Z126" s="85">
        <f t="shared" si="249"/>
        <v>354.12</v>
      </c>
      <c r="AA126" s="85">
        <f t="shared" si="249"/>
        <v>354.12</v>
      </c>
      <c r="AB126" s="85">
        <f t="shared" si="249"/>
        <v>354.12</v>
      </c>
      <c r="AC126" s="85">
        <f t="shared" si="249"/>
        <v>354.12</v>
      </c>
      <c r="AD126" s="85">
        <f t="shared" si="249"/>
        <v>354.12</v>
      </c>
      <c r="AE126" s="85">
        <f t="shared" si="249"/>
        <v>354.12</v>
      </c>
      <c r="AF126" s="85">
        <f t="shared" si="249"/>
        <v>354.12</v>
      </c>
      <c r="AG126" s="85">
        <f t="shared" si="249"/>
        <v>354.12</v>
      </c>
      <c r="AH126" s="85">
        <f t="shared" si="249"/>
        <v>354.12</v>
      </c>
      <c r="AI126" s="86">
        <f t="shared" si="239"/>
        <v>4249.4399999999996</v>
      </c>
      <c r="AJ126" s="85">
        <f t="shared" ref="AJ126:AU126" si="250">IF(VLOOKUP($H126,$H$15:$AU$46,AJ$16,FALSE)&gt;$AF$8,$AF$8*$AH$8,VLOOKUP($H126,$H$15:$AU$46,AJ$16,FALSE)*$AH$8)</f>
        <v>354.12</v>
      </c>
      <c r="AK126" s="85">
        <f t="shared" si="250"/>
        <v>354.12</v>
      </c>
      <c r="AL126" s="85">
        <f t="shared" si="250"/>
        <v>354.12</v>
      </c>
      <c r="AM126" s="85">
        <f t="shared" si="250"/>
        <v>354.12</v>
      </c>
      <c r="AN126" s="85">
        <f t="shared" si="250"/>
        <v>354.12</v>
      </c>
      <c r="AO126" s="85">
        <f t="shared" si="250"/>
        <v>354.12</v>
      </c>
      <c r="AP126" s="85">
        <f t="shared" si="250"/>
        <v>354.12</v>
      </c>
      <c r="AQ126" s="85">
        <f t="shared" si="250"/>
        <v>354.12</v>
      </c>
      <c r="AR126" s="85">
        <f t="shared" si="250"/>
        <v>354.12</v>
      </c>
      <c r="AS126" s="85">
        <f t="shared" si="250"/>
        <v>354.12</v>
      </c>
      <c r="AT126" s="85">
        <f t="shared" si="250"/>
        <v>354.12</v>
      </c>
      <c r="AU126" s="85">
        <f t="shared" si="250"/>
        <v>354.12</v>
      </c>
      <c r="AV126" s="86">
        <f t="shared" si="240"/>
        <v>4249.4399999999996</v>
      </c>
      <c r="AW126" s="87"/>
      <c r="AX126" s="88"/>
      <c r="AY126" s="88"/>
    </row>
    <row r="127" spans="1:51">
      <c r="A127" s="79" t="s">
        <v>3027</v>
      </c>
      <c r="B127" s="80" t="str">
        <f t="shared" si="232"/>
        <v>ACPSZL</v>
      </c>
      <c r="C127" s="80" t="str">
        <f t="shared" si="233"/>
        <v>深圳户籍</v>
      </c>
      <c r="D127" s="80" t="str">
        <f t="shared" si="234"/>
        <v>Professional</v>
      </c>
      <c r="E127" s="80">
        <f t="shared" si="235"/>
        <v>0</v>
      </c>
      <c r="F127" s="82">
        <f t="shared" si="236"/>
        <v>35000</v>
      </c>
      <c r="G127" s="82"/>
      <c r="H127" s="82" t="str">
        <f t="shared" si="237"/>
        <v>李敏宽</v>
      </c>
      <c r="I127" s="83">
        <f t="shared" si="238"/>
        <v>0.14285714285714279</v>
      </c>
      <c r="J127" s="82"/>
      <c r="K127" s="84"/>
      <c r="L127" s="84"/>
      <c r="M127" s="84"/>
      <c r="N127" s="84"/>
      <c r="O127" s="84"/>
      <c r="P127" s="84"/>
      <c r="Q127" s="84"/>
      <c r="R127" s="84"/>
      <c r="S127" s="84"/>
      <c r="T127" s="84"/>
      <c r="U127" s="84"/>
      <c r="V127" s="84"/>
      <c r="W127" s="85">
        <f>IF(VLOOKUP($H127,$H$15:$AH$46,W$16,FALSE)&gt;$AF$8,$AF$8*$AH$8,VLOOKUP($H127,$H$15:$AH$46,W$16,FALSE)*$AH$8)</f>
        <v>280</v>
      </c>
      <c r="X127" s="85">
        <f>35000*AH8</f>
        <v>280</v>
      </c>
      <c r="Y127" s="85">
        <f t="shared" ref="Y127:AH127" si="251">IF(VLOOKUP($H127,$H$15:$AH$46,Y$16,FALSE)&gt;$AF$8,$AF$8*$AH$8,VLOOKUP($H127,$H$15:$AH$46,Y$16,FALSE)*$AH$8)</f>
        <v>280</v>
      </c>
      <c r="Z127" s="85">
        <f t="shared" si="251"/>
        <v>320</v>
      </c>
      <c r="AA127" s="85">
        <f t="shared" si="251"/>
        <v>320</v>
      </c>
      <c r="AB127" s="85">
        <f t="shared" si="251"/>
        <v>320</v>
      </c>
      <c r="AC127" s="85">
        <f t="shared" si="251"/>
        <v>320</v>
      </c>
      <c r="AD127" s="85">
        <f t="shared" si="251"/>
        <v>320</v>
      </c>
      <c r="AE127" s="85">
        <f t="shared" si="251"/>
        <v>320</v>
      </c>
      <c r="AF127" s="85">
        <f t="shared" si="251"/>
        <v>320</v>
      </c>
      <c r="AG127" s="85">
        <f t="shared" si="251"/>
        <v>320</v>
      </c>
      <c r="AH127" s="85">
        <f t="shared" si="251"/>
        <v>320</v>
      </c>
      <c r="AI127" s="86">
        <f t="shared" si="239"/>
        <v>3720</v>
      </c>
      <c r="AJ127" s="85">
        <f t="shared" ref="AJ127:AU127" si="252">IF(VLOOKUP($H127,$H$15:$AU$46,AJ$16,FALSE)&gt;$AF$8,$AF$8*$AH$8,VLOOKUP($H127,$H$15:$AU$46,AJ$16,FALSE)*$AH$8)</f>
        <v>336</v>
      </c>
      <c r="AK127" s="85">
        <f t="shared" si="252"/>
        <v>336</v>
      </c>
      <c r="AL127" s="85">
        <f t="shared" si="252"/>
        <v>336</v>
      </c>
      <c r="AM127" s="85">
        <f t="shared" si="252"/>
        <v>336</v>
      </c>
      <c r="AN127" s="85">
        <f t="shared" si="252"/>
        <v>336</v>
      </c>
      <c r="AO127" s="85">
        <f t="shared" si="252"/>
        <v>336</v>
      </c>
      <c r="AP127" s="85">
        <f t="shared" si="252"/>
        <v>336</v>
      </c>
      <c r="AQ127" s="85">
        <f t="shared" si="252"/>
        <v>336</v>
      </c>
      <c r="AR127" s="85">
        <f t="shared" si="252"/>
        <v>336</v>
      </c>
      <c r="AS127" s="85">
        <f t="shared" si="252"/>
        <v>336</v>
      </c>
      <c r="AT127" s="85">
        <f t="shared" si="252"/>
        <v>336</v>
      </c>
      <c r="AU127" s="85">
        <f t="shared" si="252"/>
        <v>336</v>
      </c>
      <c r="AV127" s="86">
        <f t="shared" si="240"/>
        <v>4032</v>
      </c>
      <c r="AW127" s="87"/>
      <c r="AX127" s="88"/>
      <c r="AY127" s="88"/>
    </row>
    <row r="128" spans="1:51">
      <c r="A128" s="79" t="s">
        <v>3027</v>
      </c>
      <c r="B128" s="80" t="str">
        <f t="shared" si="232"/>
        <v>ACPLSZ</v>
      </c>
      <c r="C128" s="80" t="str">
        <f t="shared" si="233"/>
        <v>非深圳户籍</v>
      </c>
      <c r="D128" s="80" t="str">
        <f t="shared" si="234"/>
        <v>Professional</v>
      </c>
      <c r="E128" s="80">
        <f t="shared" si="235"/>
        <v>0</v>
      </c>
      <c r="F128" s="81">
        <f t="shared" si="236"/>
        <v>44250</v>
      </c>
      <c r="G128" s="81"/>
      <c r="H128" s="82" t="str">
        <f t="shared" si="237"/>
        <v>高焙</v>
      </c>
      <c r="I128" s="83">
        <f t="shared" si="238"/>
        <v>0.12994350282485878</v>
      </c>
      <c r="J128" s="82"/>
      <c r="K128" s="84"/>
      <c r="L128" s="84"/>
      <c r="M128" s="84"/>
      <c r="N128" s="84"/>
      <c r="O128" s="84"/>
      <c r="P128" s="84"/>
      <c r="Q128" s="84"/>
      <c r="R128" s="84"/>
      <c r="S128" s="84"/>
      <c r="T128" s="84"/>
      <c r="U128" s="84"/>
      <c r="V128" s="84"/>
      <c r="W128" s="85">
        <f t="shared" ref="W128:AH128" si="253">IF(VLOOKUP($H128,$H$15:$AH$46,W$16,FALSE)&gt;$AF$8,$AF$8*$AH$8,VLOOKUP($H128,$H$15:$AH$46,W$16,FALSE)*$AH$8)</f>
        <v>354</v>
      </c>
      <c r="X128" s="85">
        <f t="shared" si="253"/>
        <v>354</v>
      </c>
      <c r="Y128" s="85">
        <f t="shared" si="253"/>
        <v>354</v>
      </c>
      <c r="Z128" s="85">
        <f t="shared" si="253"/>
        <v>354.12</v>
      </c>
      <c r="AA128" s="85">
        <f t="shared" si="253"/>
        <v>354.12</v>
      </c>
      <c r="AB128" s="85">
        <f t="shared" si="253"/>
        <v>354.12</v>
      </c>
      <c r="AC128" s="85">
        <f t="shared" si="253"/>
        <v>354.12</v>
      </c>
      <c r="AD128" s="85">
        <f t="shared" si="253"/>
        <v>354.12</v>
      </c>
      <c r="AE128" s="85">
        <f t="shared" si="253"/>
        <v>354.12</v>
      </c>
      <c r="AF128" s="85">
        <f t="shared" si="253"/>
        <v>354.12</v>
      </c>
      <c r="AG128" s="85">
        <f t="shared" si="253"/>
        <v>354.12</v>
      </c>
      <c r="AH128" s="85">
        <f t="shared" si="253"/>
        <v>354.12</v>
      </c>
      <c r="AI128" s="86">
        <f t="shared" ref="AI128:AI140" si="254">SUM(W128:AH128)</f>
        <v>4249.079999999999</v>
      </c>
      <c r="AJ128" s="85">
        <f t="shared" ref="AJ128:AU128" si="255">IF(VLOOKUP($H128,$H$15:$AU$46,AJ$16,FALSE)&gt;$AF$8,$AF$8*$AH$8,VLOOKUP($H128,$H$15:$AU$46,AJ$16,FALSE)*$AH$8)</f>
        <v>354.12</v>
      </c>
      <c r="AK128" s="85">
        <f t="shared" si="255"/>
        <v>354.12</v>
      </c>
      <c r="AL128" s="85">
        <f t="shared" si="255"/>
        <v>354.12</v>
      </c>
      <c r="AM128" s="85">
        <f t="shared" si="255"/>
        <v>354.12</v>
      </c>
      <c r="AN128" s="85">
        <f t="shared" si="255"/>
        <v>354.12</v>
      </c>
      <c r="AO128" s="85">
        <f t="shared" si="255"/>
        <v>354.12</v>
      </c>
      <c r="AP128" s="85">
        <f t="shared" si="255"/>
        <v>354.12</v>
      </c>
      <c r="AQ128" s="85">
        <f t="shared" si="255"/>
        <v>354.12</v>
      </c>
      <c r="AR128" s="85">
        <f t="shared" si="255"/>
        <v>354.12</v>
      </c>
      <c r="AS128" s="85">
        <f t="shared" si="255"/>
        <v>354.12</v>
      </c>
      <c r="AT128" s="85">
        <f t="shared" si="255"/>
        <v>354.12</v>
      </c>
      <c r="AU128" s="85">
        <f t="shared" si="255"/>
        <v>354.12</v>
      </c>
      <c r="AV128" s="86">
        <f t="shared" ref="AV128:AV142" si="256">SUM(AJ128:AU128)</f>
        <v>4249.4399999999996</v>
      </c>
      <c r="AW128" s="87"/>
      <c r="AX128" s="88"/>
      <c r="AY128" s="88"/>
    </row>
    <row r="129" spans="1:51">
      <c r="A129" s="79" t="s">
        <v>3027</v>
      </c>
      <c r="B129" s="80" t="str">
        <f t="shared" si="232"/>
        <v>ACPLSZ</v>
      </c>
      <c r="C129" s="80" t="str">
        <f t="shared" si="233"/>
        <v>天津</v>
      </c>
      <c r="D129" s="80" t="str">
        <f t="shared" si="234"/>
        <v>Professional</v>
      </c>
      <c r="E129" s="80">
        <f t="shared" si="235"/>
        <v>0</v>
      </c>
      <c r="F129" s="81">
        <f t="shared" si="236"/>
        <v>44250</v>
      </c>
      <c r="G129" s="81"/>
      <c r="H129" s="82" t="str">
        <f t="shared" si="237"/>
        <v>袁玉杰</v>
      </c>
      <c r="I129" s="83">
        <f t="shared" si="238"/>
        <v>0</v>
      </c>
      <c r="J129" s="82"/>
      <c r="K129" s="84"/>
      <c r="L129" s="84"/>
      <c r="M129" s="84"/>
      <c r="N129" s="84"/>
      <c r="O129" s="84"/>
      <c r="P129" s="84"/>
      <c r="Q129" s="84"/>
      <c r="R129" s="84"/>
      <c r="S129" s="84"/>
      <c r="T129" s="84"/>
      <c r="U129" s="84"/>
      <c r="V129" s="84"/>
      <c r="W129" s="85">
        <f t="shared" ref="W129:AH129" si="257">IF(VLOOKUP($H129,$H$15:$AH$46,W$16,FALSE)&gt;$AF$6,$AF$6*$AH$6,VLOOKUP($H129,$H$15:$AH$46,W$16,FALSE)*$AH$6)</f>
        <v>128.1</v>
      </c>
      <c r="X129" s="85">
        <f t="shared" si="257"/>
        <v>128.1</v>
      </c>
      <c r="Y129" s="85">
        <f t="shared" si="257"/>
        <v>0</v>
      </c>
      <c r="Z129" s="85">
        <f t="shared" si="257"/>
        <v>0</v>
      </c>
      <c r="AA129" s="85">
        <f t="shared" si="257"/>
        <v>0</v>
      </c>
      <c r="AB129" s="85">
        <f t="shared" si="257"/>
        <v>0</v>
      </c>
      <c r="AC129" s="85">
        <f t="shared" si="257"/>
        <v>0</v>
      </c>
      <c r="AD129" s="85">
        <f t="shared" si="257"/>
        <v>0</v>
      </c>
      <c r="AE129" s="85">
        <f t="shared" si="257"/>
        <v>0</v>
      </c>
      <c r="AF129" s="85">
        <f t="shared" si="257"/>
        <v>0</v>
      </c>
      <c r="AG129" s="85">
        <f t="shared" si="257"/>
        <v>0</v>
      </c>
      <c r="AH129" s="85">
        <f t="shared" si="257"/>
        <v>0</v>
      </c>
      <c r="AI129" s="86">
        <f t="shared" si="254"/>
        <v>256.2</v>
      </c>
      <c r="AJ129" s="85">
        <f t="shared" ref="AJ129:AU129" si="258">IF(VLOOKUP($H129,$H$15:$AU$46,AJ$16,FALSE)&gt;$AF$8,$AF$8*$AH$8,VLOOKUP($H129,$H$15:$AU$46,AJ$16,FALSE)*$AH$8)</f>
        <v>354</v>
      </c>
      <c r="AK129" s="85">
        <f t="shared" si="258"/>
        <v>354</v>
      </c>
      <c r="AL129" s="85">
        <f t="shared" si="258"/>
        <v>354</v>
      </c>
      <c r="AM129" s="85">
        <f t="shared" si="258"/>
        <v>354</v>
      </c>
      <c r="AN129" s="85">
        <f t="shared" si="258"/>
        <v>354</v>
      </c>
      <c r="AO129" s="85">
        <f t="shared" si="258"/>
        <v>354</v>
      </c>
      <c r="AP129" s="85">
        <f t="shared" si="258"/>
        <v>354</v>
      </c>
      <c r="AQ129" s="85">
        <f t="shared" si="258"/>
        <v>354</v>
      </c>
      <c r="AR129" s="85">
        <f t="shared" si="258"/>
        <v>354</v>
      </c>
      <c r="AS129" s="85">
        <f t="shared" si="258"/>
        <v>354</v>
      </c>
      <c r="AT129" s="85">
        <f t="shared" si="258"/>
        <v>354</v>
      </c>
      <c r="AU129" s="85">
        <f t="shared" si="258"/>
        <v>354</v>
      </c>
      <c r="AV129" s="86">
        <f t="shared" si="256"/>
        <v>4248</v>
      </c>
      <c r="AW129" s="87"/>
      <c r="AX129" s="88"/>
      <c r="AY129" s="88"/>
    </row>
    <row r="130" spans="1:51">
      <c r="A130" s="79" t="s">
        <v>3027</v>
      </c>
      <c r="B130" s="80" t="str">
        <f t="shared" si="232"/>
        <v>ACPLSZ</v>
      </c>
      <c r="C130" s="80" t="str">
        <f t="shared" si="233"/>
        <v>深圳户籍</v>
      </c>
      <c r="D130" s="80" t="str">
        <f t="shared" si="234"/>
        <v>Professional</v>
      </c>
      <c r="E130" s="80">
        <f t="shared" si="235"/>
        <v>0</v>
      </c>
      <c r="F130" s="81">
        <f t="shared" si="236"/>
        <v>39000</v>
      </c>
      <c r="G130" s="81"/>
      <c r="H130" s="82" t="str">
        <f t="shared" si="237"/>
        <v>何梅春</v>
      </c>
      <c r="I130" s="83">
        <f t="shared" si="238"/>
        <v>0</v>
      </c>
      <c r="J130" s="82"/>
      <c r="K130" s="84"/>
      <c r="L130" s="84"/>
      <c r="M130" s="84"/>
      <c r="N130" s="84"/>
      <c r="O130" s="84"/>
      <c r="P130" s="84"/>
      <c r="Q130" s="84"/>
      <c r="R130" s="84"/>
      <c r="S130" s="84"/>
      <c r="T130" s="84"/>
      <c r="U130" s="84"/>
      <c r="V130" s="84"/>
      <c r="W130" s="85">
        <f t="shared" ref="W130:AB130" si="259">30603*$AH$8</f>
        <v>244.82400000000001</v>
      </c>
      <c r="X130" s="85">
        <f t="shared" si="259"/>
        <v>244.82400000000001</v>
      </c>
      <c r="Y130" s="85">
        <f t="shared" si="259"/>
        <v>244.82400000000001</v>
      </c>
      <c r="Z130" s="85">
        <f t="shared" si="259"/>
        <v>244.82400000000001</v>
      </c>
      <c r="AA130" s="85">
        <f t="shared" si="259"/>
        <v>244.82400000000001</v>
      </c>
      <c r="AB130" s="85">
        <f t="shared" si="259"/>
        <v>244.82400000000001</v>
      </c>
      <c r="AC130" s="85">
        <f t="shared" ref="AC130:AH130" si="260">30603*$AH$8</f>
        <v>244.82400000000001</v>
      </c>
      <c r="AD130" s="85">
        <f t="shared" si="260"/>
        <v>244.82400000000001</v>
      </c>
      <c r="AE130" s="85">
        <f t="shared" si="260"/>
        <v>244.82400000000001</v>
      </c>
      <c r="AF130" s="85">
        <f t="shared" si="260"/>
        <v>244.82400000000001</v>
      </c>
      <c r="AG130" s="85">
        <f t="shared" si="260"/>
        <v>244.82400000000001</v>
      </c>
      <c r="AH130" s="85">
        <f t="shared" si="260"/>
        <v>244.82400000000001</v>
      </c>
      <c r="AI130" s="86">
        <f t="shared" si="254"/>
        <v>2937.8879999999999</v>
      </c>
      <c r="AJ130" s="85">
        <f t="shared" ref="AJ130:AO130" si="261">30603*$AH$8</f>
        <v>244.82400000000001</v>
      </c>
      <c r="AK130" s="85">
        <f t="shared" si="261"/>
        <v>244.82400000000001</v>
      </c>
      <c r="AL130" s="85">
        <f t="shared" si="261"/>
        <v>244.82400000000001</v>
      </c>
      <c r="AM130" s="85">
        <f t="shared" si="261"/>
        <v>244.82400000000001</v>
      </c>
      <c r="AN130" s="85">
        <f t="shared" si="261"/>
        <v>244.82400000000001</v>
      </c>
      <c r="AO130" s="85">
        <f t="shared" si="261"/>
        <v>244.82400000000001</v>
      </c>
      <c r="AP130" s="85">
        <f t="shared" ref="AP130:AU130" si="262">IF(VLOOKUP($H130,$H$15:$AU$46,AP$16,FALSE)&gt;$AF$8,$AF$8*$AH$8,VLOOKUP($H130,$H$15:$AU$46,AP$16,FALSE)*$AH$8)</f>
        <v>327.60000000000002</v>
      </c>
      <c r="AQ130" s="85">
        <f t="shared" si="262"/>
        <v>327.60000000000002</v>
      </c>
      <c r="AR130" s="85">
        <f t="shared" si="262"/>
        <v>327.60000000000002</v>
      </c>
      <c r="AS130" s="85">
        <f t="shared" si="262"/>
        <v>327.60000000000002</v>
      </c>
      <c r="AT130" s="85">
        <f t="shared" si="262"/>
        <v>327.60000000000002</v>
      </c>
      <c r="AU130" s="85">
        <f t="shared" si="262"/>
        <v>327.60000000000002</v>
      </c>
      <c r="AV130" s="86">
        <f t="shared" si="256"/>
        <v>3434.5439999999999</v>
      </c>
      <c r="AW130" s="87"/>
      <c r="AX130" s="88"/>
      <c r="AY130" s="88"/>
    </row>
    <row r="131" spans="1:51">
      <c r="A131" s="79" t="s">
        <v>3027</v>
      </c>
      <c r="B131" s="80" t="str">
        <f t="shared" si="232"/>
        <v>ACPLSZ</v>
      </c>
      <c r="C131" s="80" t="str">
        <f t="shared" si="233"/>
        <v>非深圳户籍</v>
      </c>
      <c r="D131" s="80" t="str">
        <f t="shared" si="234"/>
        <v>Professional</v>
      </c>
      <c r="E131" s="80">
        <f t="shared" si="235"/>
        <v>0</v>
      </c>
      <c r="F131" s="81">
        <f t="shared" si="236"/>
        <v>26000</v>
      </c>
      <c r="G131" s="81"/>
      <c r="H131" s="82" t="str">
        <f t="shared" si="237"/>
        <v>闫凯</v>
      </c>
      <c r="I131" s="83">
        <f t="shared" si="238"/>
        <v>0</v>
      </c>
      <c r="J131" s="82"/>
      <c r="K131" s="84"/>
      <c r="L131" s="84"/>
      <c r="M131" s="84"/>
      <c r="N131" s="84"/>
      <c r="O131" s="84"/>
      <c r="P131" s="84"/>
      <c r="Q131" s="84"/>
      <c r="R131" s="84"/>
      <c r="S131" s="84"/>
      <c r="T131" s="84"/>
      <c r="U131" s="84"/>
      <c r="V131" s="84"/>
      <c r="W131" s="85">
        <f t="shared" ref="W131:AH131" si="263">IF(VLOOKUP($H131,$H$15:$AH$46,W$16,FALSE)&gt;$AF$8,$AF$8*$AH$8,VLOOKUP($H131,$H$15:$AH$46,W$16,FALSE)*$AH$8)</f>
        <v>208</v>
      </c>
      <c r="X131" s="85">
        <f t="shared" si="263"/>
        <v>208</v>
      </c>
      <c r="Y131" s="85">
        <f t="shared" si="263"/>
        <v>208</v>
      </c>
      <c r="Z131" s="85">
        <f t="shared" si="263"/>
        <v>208</v>
      </c>
      <c r="AA131" s="85">
        <f t="shared" si="263"/>
        <v>208</v>
      </c>
      <c r="AB131" s="85">
        <f t="shared" si="263"/>
        <v>208</v>
      </c>
      <c r="AC131" s="85">
        <f t="shared" si="263"/>
        <v>208</v>
      </c>
      <c r="AD131" s="85">
        <f t="shared" si="263"/>
        <v>208</v>
      </c>
      <c r="AE131" s="85">
        <f t="shared" si="263"/>
        <v>208</v>
      </c>
      <c r="AF131" s="85">
        <f t="shared" si="263"/>
        <v>208</v>
      </c>
      <c r="AG131" s="85">
        <f t="shared" si="263"/>
        <v>208</v>
      </c>
      <c r="AH131" s="85">
        <f t="shared" si="263"/>
        <v>208</v>
      </c>
      <c r="AI131" s="86">
        <f t="shared" si="254"/>
        <v>2496</v>
      </c>
      <c r="AJ131" s="85">
        <f t="shared" ref="AJ131:AU131" si="264">IF(VLOOKUP($H131,$H$15:$AU$46,AJ$16,FALSE)&gt;$AF$8,$AF$8*$AH$8,VLOOKUP($H131,$H$15:$AU$46,AJ$16,FALSE)*$AH$8)</f>
        <v>218.4</v>
      </c>
      <c r="AK131" s="85">
        <f t="shared" si="264"/>
        <v>218.4</v>
      </c>
      <c r="AL131" s="85">
        <f t="shared" si="264"/>
        <v>218.4</v>
      </c>
      <c r="AM131" s="85">
        <f t="shared" si="264"/>
        <v>218.4</v>
      </c>
      <c r="AN131" s="85">
        <f t="shared" si="264"/>
        <v>218.4</v>
      </c>
      <c r="AO131" s="85">
        <f t="shared" si="264"/>
        <v>218.4</v>
      </c>
      <c r="AP131" s="85">
        <f t="shared" si="264"/>
        <v>218.4</v>
      </c>
      <c r="AQ131" s="85">
        <f t="shared" si="264"/>
        <v>218.4</v>
      </c>
      <c r="AR131" s="85">
        <f t="shared" si="264"/>
        <v>218.4</v>
      </c>
      <c r="AS131" s="85">
        <f t="shared" si="264"/>
        <v>218.4</v>
      </c>
      <c r="AT131" s="85">
        <f t="shared" si="264"/>
        <v>218.4</v>
      </c>
      <c r="AU131" s="85">
        <f t="shared" si="264"/>
        <v>218.4</v>
      </c>
      <c r="AV131" s="86">
        <f t="shared" si="256"/>
        <v>2620.8000000000006</v>
      </c>
      <c r="AW131" s="87"/>
      <c r="AX131" s="88"/>
      <c r="AY131" s="88"/>
    </row>
    <row r="132" spans="1:51">
      <c r="A132" s="79" t="s">
        <v>3027</v>
      </c>
      <c r="B132" s="80" t="str">
        <f t="shared" si="232"/>
        <v>ACPLSZ</v>
      </c>
      <c r="C132" s="80" t="str">
        <f t="shared" si="233"/>
        <v>非深圳户籍</v>
      </c>
      <c r="D132" s="80" t="str">
        <f t="shared" si="234"/>
        <v>Professional</v>
      </c>
      <c r="E132" s="80">
        <f t="shared" si="235"/>
        <v>0</v>
      </c>
      <c r="F132" s="81">
        <f t="shared" si="236"/>
        <v>50000</v>
      </c>
      <c r="G132" s="81"/>
      <c r="H132" s="82" t="str">
        <f t="shared" si="237"/>
        <v>叶亚峰</v>
      </c>
      <c r="I132" s="83">
        <f t="shared" si="238"/>
        <v>0</v>
      </c>
      <c r="J132" s="82"/>
      <c r="K132" s="84"/>
      <c r="L132" s="84"/>
      <c r="M132" s="84"/>
      <c r="N132" s="84"/>
      <c r="O132" s="84"/>
      <c r="P132" s="84"/>
      <c r="Q132" s="84"/>
      <c r="R132" s="84"/>
      <c r="S132" s="84"/>
      <c r="T132" s="84"/>
      <c r="U132" s="84"/>
      <c r="V132" s="84"/>
      <c r="W132" s="85">
        <f t="shared" ref="W132:AH132" si="265">IF(VLOOKUP($H132,$H$15:$AH$46,W$16,FALSE)&gt;$AF$8,$AF$8*$AH$8,VLOOKUP($H132,$H$15:$AH$46,W$16,FALSE)*$AH$8)</f>
        <v>354.12</v>
      </c>
      <c r="X132" s="85">
        <f t="shared" si="265"/>
        <v>354.12</v>
      </c>
      <c r="Y132" s="85">
        <f t="shared" si="265"/>
        <v>354.12</v>
      </c>
      <c r="Z132" s="85">
        <f t="shared" si="265"/>
        <v>354.12</v>
      </c>
      <c r="AA132" s="85">
        <f t="shared" si="265"/>
        <v>354.12</v>
      </c>
      <c r="AB132" s="85">
        <f t="shared" si="265"/>
        <v>354.12</v>
      </c>
      <c r="AC132" s="85">
        <f t="shared" si="265"/>
        <v>354.12</v>
      </c>
      <c r="AD132" s="85">
        <f t="shared" si="265"/>
        <v>354.12</v>
      </c>
      <c r="AE132" s="85">
        <f t="shared" si="265"/>
        <v>354.12</v>
      </c>
      <c r="AF132" s="85">
        <f t="shared" si="265"/>
        <v>354.12</v>
      </c>
      <c r="AG132" s="85">
        <f t="shared" si="265"/>
        <v>354.12</v>
      </c>
      <c r="AH132" s="85">
        <f t="shared" si="265"/>
        <v>354.12</v>
      </c>
      <c r="AI132" s="86">
        <f t="shared" si="254"/>
        <v>4249.4399999999996</v>
      </c>
      <c r="AJ132" s="85">
        <f t="shared" ref="AJ132:AU132" si="266">IF(VLOOKUP($H132,$H$15:$AU$46,AJ$16,FALSE)&gt;$AF$8,$AF$8*$AH$8,VLOOKUP($H132,$H$15:$AU$46,AJ$16,FALSE)*$AH$8)</f>
        <v>354.12</v>
      </c>
      <c r="AK132" s="85">
        <f t="shared" si="266"/>
        <v>354.12</v>
      </c>
      <c r="AL132" s="85">
        <f t="shared" si="266"/>
        <v>354.12</v>
      </c>
      <c r="AM132" s="85">
        <f t="shared" si="266"/>
        <v>354.12</v>
      </c>
      <c r="AN132" s="85">
        <f t="shared" si="266"/>
        <v>354.12</v>
      </c>
      <c r="AO132" s="85">
        <f t="shared" si="266"/>
        <v>354.12</v>
      </c>
      <c r="AP132" s="85">
        <f t="shared" si="266"/>
        <v>354.12</v>
      </c>
      <c r="AQ132" s="85">
        <f t="shared" si="266"/>
        <v>354.12</v>
      </c>
      <c r="AR132" s="85">
        <f t="shared" si="266"/>
        <v>354.12</v>
      </c>
      <c r="AS132" s="85">
        <f t="shared" si="266"/>
        <v>354.12</v>
      </c>
      <c r="AT132" s="85">
        <f t="shared" si="266"/>
        <v>354.12</v>
      </c>
      <c r="AU132" s="85">
        <f t="shared" si="266"/>
        <v>354.12</v>
      </c>
      <c r="AV132" s="86">
        <f t="shared" si="256"/>
        <v>4249.4399999999996</v>
      </c>
      <c r="AW132" s="87"/>
      <c r="AX132" s="88"/>
      <c r="AY132" s="88"/>
    </row>
    <row r="133" spans="1:51">
      <c r="A133" s="79" t="s">
        <v>3027</v>
      </c>
      <c r="B133" s="80" t="str">
        <f t="shared" si="232"/>
        <v>ACPLSZ</v>
      </c>
      <c r="C133" s="80" t="str">
        <f t="shared" si="233"/>
        <v>北京户籍</v>
      </c>
      <c r="D133" s="80" t="str">
        <f t="shared" si="234"/>
        <v>Professional</v>
      </c>
      <c r="E133" s="80">
        <f t="shared" si="235"/>
        <v>0</v>
      </c>
      <c r="F133" s="82">
        <f t="shared" si="236"/>
        <v>90000</v>
      </c>
      <c r="G133" s="82"/>
      <c r="H133" s="82" t="str">
        <f t="shared" si="237"/>
        <v>张乃文</v>
      </c>
      <c r="I133" s="83">
        <f t="shared" si="238"/>
        <v>0.21428571428571419</v>
      </c>
      <c r="J133" s="82"/>
      <c r="K133" s="84"/>
      <c r="L133" s="84"/>
      <c r="M133" s="84"/>
      <c r="N133" s="84"/>
      <c r="O133" s="84"/>
      <c r="P133" s="84"/>
      <c r="Q133" s="84"/>
      <c r="R133" s="84"/>
      <c r="S133" s="84"/>
      <c r="T133" s="84"/>
      <c r="U133" s="84"/>
      <c r="V133" s="84"/>
      <c r="W133" s="85">
        <f t="shared" ref="W133:AH133" si="267">$F133*(1+$I133)*K133</f>
        <v>0</v>
      </c>
      <c r="X133" s="85">
        <f t="shared" si="267"/>
        <v>0</v>
      </c>
      <c r="Y133" s="85">
        <f t="shared" si="267"/>
        <v>0</v>
      </c>
      <c r="Z133" s="85">
        <f t="shared" si="267"/>
        <v>0</v>
      </c>
      <c r="AA133" s="85">
        <f t="shared" si="267"/>
        <v>0</v>
      </c>
      <c r="AB133" s="85">
        <f t="shared" si="267"/>
        <v>0</v>
      </c>
      <c r="AC133" s="85">
        <f t="shared" si="267"/>
        <v>0</v>
      </c>
      <c r="AD133" s="85">
        <f t="shared" si="267"/>
        <v>0</v>
      </c>
      <c r="AE133" s="85">
        <f t="shared" si="267"/>
        <v>0</v>
      </c>
      <c r="AF133" s="85">
        <f t="shared" si="267"/>
        <v>0</v>
      </c>
      <c r="AG133" s="85">
        <f t="shared" si="267"/>
        <v>0</v>
      </c>
      <c r="AH133" s="85">
        <f t="shared" si="267"/>
        <v>0</v>
      </c>
      <c r="AI133" s="86">
        <f t="shared" si="254"/>
        <v>0</v>
      </c>
      <c r="AJ133" s="85">
        <v>0</v>
      </c>
      <c r="AK133" s="85">
        <v>0</v>
      </c>
      <c r="AL133" s="85">
        <v>0</v>
      </c>
      <c r="AM133" s="85">
        <v>0</v>
      </c>
      <c r="AN133" s="85">
        <v>0</v>
      </c>
      <c r="AO133" s="85">
        <v>0</v>
      </c>
      <c r="AP133" s="85">
        <v>0</v>
      </c>
      <c r="AQ133" s="85">
        <v>0</v>
      </c>
      <c r="AR133" s="85">
        <v>0</v>
      </c>
      <c r="AS133" s="85">
        <v>0</v>
      </c>
      <c r="AT133" s="85">
        <v>0</v>
      </c>
      <c r="AU133" s="85">
        <v>0</v>
      </c>
      <c r="AV133" s="86">
        <f t="shared" si="256"/>
        <v>0</v>
      </c>
      <c r="AW133" s="87"/>
      <c r="AX133" s="88"/>
      <c r="AY133" s="88"/>
    </row>
    <row r="134" spans="1:51">
      <c r="A134" s="79" t="s">
        <v>3027</v>
      </c>
      <c r="B134" s="80" t="str">
        <f t="shared" si="232"/>
        <v>ACPLSZ</v>
      </c>
      <c r="C134" s="80" t="str">
        <f t="shared" si="233"/>
        <v>北京户籍</v>
      </c>
      <c r="D134" s="80" t="str">
        <f t="shared" si="234"/>
        <v>Professional</v>
      </c>
      <c r="E134" s="80">
        <f t="shared" si="235"/>
        <v>0</v>
      </c>
      <c r="F134" s="82">
        <f t="shared" si="236"/>
        <v>30000</v>
      </c>
      <c r="G134" s="82"/>
      <c r="H134" s="82" t="str">
        <f t="shared" si="237"/>
        <v>邓天卓</v>
      </c>
      <c r="I134" s="83">
        <f t="shared" si="238"/>
        <v>0.33333333333333326</v>
      </c>
      <c r="J134" s="82"/>
      <c r="K134" s="84"/>
      <c r="L134" s="84"/>
      <c r="M134" s="84"/>
      <c r="N134" s="84"/>
      <c r="O134" s="84"/>
      <c r="P134" s="84"/>
      <c r="Q134" s="84"/>
      <c r="R134" s="84"/>
      <c r="S134" s="84"/>
      <c r="T134" s="84"/>
      <c r="U134" s="84"/>
      <c r="V134" s="84"/>
      <c r="W134" s="85">
        <f t="shared" ref="W134:AH134" si="268">IF(VLOOKUP($H134,$H$15:$AU$46,W$16,FALSE)&gt;$AF$5,$AF$5*$AH$5,VLOOKUP($H134,$H$15:$AU$46,W$16,FALSE)*$AH$5)</f>
        <v>150</v>
      </c>
      <c r="X134" s="85">
        <f t="shared" si="268"/>
        <v>150</v>
      </c>
      <c r="Y134" s="85">
        <f t="shared" si="268"/>
        <v>150</v>
      </c>
      <c r="Z134" s="85">
        <f t="shared" si="268"/>
        <v>179.05500000000001</v>
      </c>
      <c r="AA134" s="85">
        <f t="shared" si="268"/>
        <v>179.05500000000001</v>
      </c>
      <c r="AB134" s="85">
        <f t="shared" si="268"/>
        <v>179.05500000000001</v>
      </c>
      <c r="AC134" s="85">
        <f t="shared" si="268"/>
        <v>179.05500000000001</v>
      </c>
      <c r="AD134" s="85">
        <f t="shared" si="268"/>
        <v>179.05500000000001</v>
      </c>
      <c r="AE134" s="85">
        <f t="shared" si="268"/>
        <v>179.05500000000001</v>
      </c>
      <c r="AF134" s="85">
        <f t="shared" si="268"/>
        <v>179.05500000000001</v>
      </c>
      <c r="AG134" s="85">
        <f t="shared" si="268"/>
        <v>179.05500000000001</v>
      </c>
      <c r="AH134" s="85">
        <f t="shared" si="268"/>
        <v>179.05500000000001</v>
      </c>
      <c r="AI134" s="86">
        <f t="shared" si="254"/>
        <v>2061.4950000000003</v>
      </c>
      <c r="AJ134" s="85">
        <f t="shared" ref="AJ134:AU134" si="269">IF(VLOOKUP($H134,$H$15:$AU$46,AJ$16,FALSE)&gt;$AF$5,$AF$5*$AH$5,VLOOKUP($H134,$H$15:$AU$46,AJ$16,FALSE)*$AH$5)</f>
        <v>179.05500000000001</v>
      </c>
      <c r="AK134" s="85">
        <f t="shared" si="269"/>
        <v>179.05500000000001</v>
      </c>
      <c r="AL134" s="85">
        <f t="shared" si="269"/>
        <v>179.05500000000001</v>
      </c>
      <c r="AM134" s="85">
        <f t="shared" si="269"/>
        <v>179.05500000000001</v>
      </c>
      <c r="AN134" s="85">
        <f t="shared" si="269"/>
        <v>179.05500000000001</v>
      </c>
      <c r="AO134" s="85">
        <f t="shared" si="269"/>
        <v>179.05500000000001</v>
      </c>
      <c r="AP134" s="85">
        <f t="shared" si="269"/>
        <v>179.05500000000001</v>
      </c>
      <c r="AQ134" s="85">
        <f t="shared" si="269"/>
        <v>179.05500000000001</v>
      </c>
      <c r="AR134" s="85">
        <f t="shared" si="269"/>
        <v>179.05500000000001</v>
      </c>
      <c r="AS134" s="85">
        <f t="shared" si="269"/>
        <v>179.05500000000001</v>
      </c>
      <c r="AT134" s="85">
        <f t="shared" si="269"/>
        <v>179.05500000000001</v>
      </c>
      <c r="AU134" s="85">
        <f t="shared" si="269"/>
        <v>179.05500000000001</v>
      </c>
      <c r="AV134" s="86">
        <f t="shared" si="256"/>
        <v>2148.6600000000003</v>
      </c>
      <c r="AW134" s="87"/>
      <c r="AX134" s="88"/>
      <c r="AY134" s="88"/>
    </row>
    <row r="135" spans="1:51">
      <c r="A135" s="79" t="s">
        <v>3027</v>
      </c>
      <c r="B135" s="80" t="str">
        <f t="shared" si="232"/>
        <v>ACPLSZ</v>
      </c>
      <c r="C135" s="80" t="str">
        <f t="shared" si="233"/>
        <v>北京户籍</v>
      </c>
      <c r="D135" s="80" t="str">
        <f t="shared" si="234"/>
        <v>Professional</v>
      </c>
      <c r="E135" s="80">
        <f t="shared" si="235"/>
        <v>0</v>
      </c>
      <c r="F135" s="82">
        <f t="shared" si="236"/>
        <v>50000</v>
      </c>
      <c r="G135" s="82"/>
      <c r="H135" s="82" t="str">
        <f t="shared" si="237"/>
        <v>王志强</v>
      </c>
      <c r="I135" s="83">
        <f t="shared" si="238"/>
        <v>0</v>
      </c>
      <c r="J135" s="82"/>
      <c r="K135" s="84"/>
      <c r="L135" s="84"/>
      <c r="M135" s="84"/>
      <c r="N135" s="84"/>
      <c r="O135" s="84"/>
      <c r="P135" s="84"/>
      <c r="Q135" s="84"/>
      <c r="R135" s="84"/>
      <c r="S135" s="84"/>
      <c r="T135" s="84"/>
      <c r="U135" s="84"/>
      <c r="V135" s="84"/>
      <c r="W135" s="85">
        <f t="shared" ref="W135:AH135" si="270">IF(VLOOKUP($H135,$H$15:$AU$46,W$16,FALSE)&gt;$AF$5,$AF$5*$AH$5,VLOOKUP($H135,$H$15:$AU$46,W$16,FALSE)*$AH$5)</f>
        <v>179.05500000000001</v>
      </c>
      <c r="X135" s="85">
        <f t="shared" si="270"/>
        <v>179.05500000000001</v>
      </c>
      <c r="Y135" s="85">
        <f t="shared" si="270"/>
        <v>179.05500000000001</v>
      </c>
      <c r="Z135" s="85">
        <f t="shared" si="270"/>
        <v>179.05500000000001</v>
      </c>
      <c r="AA135" s="85">
        <f t="shared" si="270"/>
        <v>179.05500000000001</v>
      </c>
      <c r="AB135" s="85">
        <f t="shared" si="270"/>
        <v>179.05500000000001</v>
      </c>
      <c r="AC135" s="85">
        <f t="shared" si="270"/>
        <v>179.05500000000001</v>
      </c>
      <c r="AD135" s="85">
        <f t="shared" si="270"/>
        <v>179.05500000000001</v>
      </c>
      <c r="AE135" s="85">
        <f t="shared" si="270"/>
        <v>179.05500000000001</v>
      </c>
      <c r="AF135" s="85">
        <f t="shared" si="270"/>
        <v>179.05500000000001</v>
      </c>
      <c r="AG135" s="85">
        <f t="shared" si="270"/>
        <v>179.05500000000001</v>
      </c>
      <c r="AH135" s="85">
        <f t="shared" si="270"/>
        <v>179.05500000000001</v>
      </c>
      <c r="AI135" s="86">
        <f t="shared" si="254"/>
        <v>2148.6600000000003</v>
      </c>
      <c r="AJ135" s="85">
        <f t="shared" ref="AJ135:AU135" si="271">IF(VLOOKUP($H135,$H$15:$AU$46,AJ$16,FALSE)&gt;$AF$5,$AF$5*$AH$5,VLOOKUP($H135,$H$15:$AU$46,AJ$16,FALSE)*$AH$5)</f>
        <v>179.05500000000001</v>
      </c>
      <c r="AK135" s="85">
        <f t="shared" si="271"/>
        <v>179.05500000000001</v>
      </c>
      <c r="AL135" s="85">
        <f t="shared" si="271"/>
        <v>179.05500000000001</v>
      </c>
      <c r="AM135" s="85">
        <f t="shared" si="271"/>
        <v>179.05500000000001</v>
      </c>
      <c r="AN135" s="85">
        <f t="shared" si="271"/>
        <v>179.05500000000001</v>
      </c>
      <c r="AO135" s="85">
        <f t="shared" si="271"/>
        <v>179.05500000000001</v>
      </c>
      <c r="AP135" s="85">
        <f t="shared" si="271"/>
        <v>179.05500000000001</v>
      </c>
      <c r="AQ135" s="85">
        <f t="shared" si="271"/>
        <v>179.05500000000001</v>
      </c>
      <c r="AR135" s="85">
        <f t="shared" si="271"/>
        <v>179.05500000000001</v>
      </c>
      <c r="AS135" s="85">
        <f t="shared" si="271"/>
        <v>179.05500000000001</v>
      </c>
      <c r="AT135" s="85">
        <f t="shared" si="271"/>
        <v>179.05500000000001</v>
      </c>
      <c r="AU135" s="85">
        <f t="shared" si="271"/>
        <v>179.05500000000001</v>
      </c>
      <c r="AV135" s="86">
        <f t="shared" si="256"/>
        <v>2148.6600000000003</v>
      </c>
      <c r="AW135" s="87"/>
      <c r="AX135" s="88"/>
      <c r="AY135" s="88"/>
    </row>
    <row r="136" spans="1:51">
      <c r="A136" s="79" t="s">
        <v>3027</v>
      </c>
      <c r="B136" s="80" t="str">
        <f t="shared" si="232"/>
        <v>ACPLSZ</v>
      </c>
      <c r="C136" s="80" t="str">
        <f t="shared" si="233"/>
        <v>上海户籍</v>
      </c>
      <c r="D136" s="80" t="str">
        <f t="shared" si="234"/>
        <v>Professional</v>
      </c>
      <c r="E136" s="80">
        <f t="shared" si="235"/>
        <v>0</v>
      </c>
      <c r="F136" s="82">
        <f t="shared" si="236"/>
        <v>90000</v>
      </c>
      <c r="G136" s="82"/>
      <c r="H136" s="82" t="str">
        <f t="shared" si="237"/>
        <v>顾顺聪</v>
      </c>
      <c r="I136" s="83">
        <f t="shared" si="238"/>
        <v>0</v>
      </c>
      <c r="J136" s="82"/>
      <c r="K136" s="84"/>
      <c r="L136" s="84"/>
      <c r="M136" s="84"/>
      <c r="N136" s="84"/>
      <c r="O136" s="84"/>
      <c r="P136" s="84"/>
      <c r="Q136" s="84"/>
      <c r="R136" s="84"/>
      <c r="S136" s="84"/>
      <c r="T136" s="84"/>
      <c r="U136" s="84"/>
      <c r="V136" s="84"/>
      <c r="W136" s="85">
        <f t="shared" ref="W136:AH136" si="272">$F136*(1+$I136)*K136</f>
        <v>0</v>
      </c>
      <c r="X136" s="85">
        <f t="shared" si="272"/>
        <v>0</v>
      </c>
      <c r="Y136" s="85">
        <f t="shared" si="272"/>
        <v>0</v>
      </c>
      <c r="Z136" s="85">
        <f t="shared" si="272"/>
        <v>0</v>
      </c>
      <c r="AA136" s="85">
        <f t="shared" si="272"/>
        <v>0</v>
      </c>
      <c r="AB136" s="85">
        <f t="shared" si="272"/>
        <v>0</v>
      </c>
      <c r="AC136" s="85">
        <f t="shared" si="272"/>
        <v>0</v>
      </c>
      <c r="AD136" s="85">
        <f t="shared" si="272"/>
        <v>0</v>
      </c>
      <c r="AE136" s="85">
        <f t="shared" si="272"/>
        <v>0</v>
      </c>
      <c r="AF136" s="85">
        <f t="shared" si="272"/>
        <v>0</v>
      </c>
      <c r="AG136" s="85">
        <f t="shared" si="272"/>
        <v>0</v>
      </c>
      <c r="AH136" s="85">
        <f t="shared" si="272"/>
        <v>0</v>
      </c>
      <c r="AI136" s="86">
        <f t="shared" si="254"/>
        <v>0</v>
      </c>
      <c r="AJ136" s="85">
        <v>0</v>
      </c>
      <c r="AK136" s="85">
        <v>0</v>
      </c>
      <c r="AL136" s="85">
        <v>0</v>
      </c>
      <c r="AM136" s="85">
        <v>0</v>
      </c>
      <c r="AN136" s="85">
        <v>0</v>
      </c>
      <c r="AO136" s="85">
        <v>0</v>
      </c>
      <c r="AP136" s="85">
        <v>0</v>
      </c>
      <c r="AQ136" s="85">
        <v>0</v>
      </c>
      <c r="AR136" s="85">
        <v>0</v>
      </c>
      <c r="AS136" s="85">
        <v>0</v>
      </c>
      <c r="AT136" s="85">
        <v>0</v>
      </c>
      <c r="AU136" s="85">
        <v>0</v>
      </c>
      <c r="AV136" s="86">
        <f t="shared" si="256"/>
        <v>0</v>
      </c>
      <c r="AW136" s="87"/>
      <c r="AX136" s="88"/>
      <c r="AY136" s="88"/>
    </row>
    <row r="137" spans="1:51">
      <c r="A137" s="79" t="s">
        <v>3027</v>
      </c>
      <c r="B137" s="80" t="str">
        <f t="shared" si="232"/>
        <v>ACPSZL</v>
      </c>
      <c r="C137" s="80" t="str">
        <f t="shared" si="233"/>
        <v>深圳户籍</v>
      </c>
      <c r="D137" s="80" t="str">
        <f t="shared" si="234"/>
        <v>Professional</v>
      </c>
      <c r="E137" s="80">
        <f t="shared" si="235"/>
        <v>0</v>
      </c>
      <c r="F137" s="81">
        <f t="shared" si="236"/>
        <v>35000</v>
      </c>
      <c r="G137" s="81"/>
      <c r="H137" s="90" t="str">
        <f t="shared" si="237"/>
        <v>风资源工程师</v>
      </c>
      <c r="I137" s="83">
        <f t="shared" si="238"/>
        <v>0</v>
      </c>
      <c r="J137" s="82"/>
      <c r="K137" s="84"/>
      <c r="L137" s="84"/>
      <c r="M137" s="84"/>
      <c r="N137" s="84"/>
      <c r="O137" s="84"/>
      <c r="P137" s="84"/>
      <c r="Q137" s="84"/>
      <c r="R137" s="84"/>
      <c r="S137" s="84"/>
      <c r="T137" s="84"/>
      <c r="U137" s="84"/>
      <c r="V137" s="84"/>
      <c r="W137" s="85">
        <f t="shared" ref="W137:AH137" si="273">IF(VLOOKUP($H137,$H$15:$AH$46,W$16,FALSE)&gt;$AF$8,$AF$8*$AH$8,VLOOKUP($H137,$H$15:$AH$46,W$16,FALSE)*$AH$8)</f>
        <v>0</v>
      </c>
      <c r="X137" s="85">
        <f t="shared" si="273"/>
        <v>0</v>
      </c>
      <c r="Y137" s="85">
        <f t="shared" si="273"/>
        <v>0</v>
      </c>
      <c r="Z137" s="85">
        <f t="shared" si="273"/>
        <v>280</v>
      </c>
      <c r="AA137" s="85">
        <f t="shared" si="273"/>
        <v>280</v>
      </c>
      <c r="AB137" s="85">
        <f t="shared" si="273"/>
        <v>280</v>
      </c>
      <c r="AC137" s="85">
        <f t="shared" si="273"/>
        <v>280</v>
      </c>
      <c r="AD137" s="85">
        <f t="shared" si="273"/>
        <v>280</v>
      </c>
      <c r="AE137" s="85">
        <f t="shared" si="273"/>
        <v>280</v>
      </c>
      <c r="AF137" s="85">
        <f t="shared" si="273"/>
        <v>280</v>
      </c>
      <c r="AG137" s="85">
        <f t="shared" si="273"/>
        <v>280</v>
      </c>
      <c r="AH137" s="85">
        <f t="shared" si="273"/>
        <v>280</v>
      </c>
      <c r="AI137" s="86">
        <f t="shared" si="254"/>
        <v>2520</v>
      </c>
      <c r="AJ137" s="85">
        <f t="shared" ref="AJ137:AU137" si="274">IF(VLOOKUP($H137,$H$15:$AU$46,AJ$16,FALSE)&gt;$AF$8,$AF$8*$AH$8,VLOOKUP($H137,$H$15:$AU$46,AJ$16,FALSE)*$AH$8)</f>
        <v>294</v>
      </c>
      <c r="AK137" s="85">
        <f t="shared" si="274"/>
        <v>294</v>
      </c>
      <c r="AL137" s="85">
        <f t="shared" si="274"/>
        <v>294</v>
      </c>
      <c r="AM137" s="85">
        <f t="shared" si="274"/>
        <v>294</v>
      </c>
      <c r="AN137" s="85">
        <f t="shared" si="274"/>
        <v>294</v>
      </c>
      <c r="AO137" s="85">
        <f t="shared" si="274"/>
        <v>294</v>
      </c>
      <c r="AP137" s="85">
        <f t="shared" si="274"/>
        <v>294</v>
      </c>
      <c r="AQ137" s="85">
        <f t="shared" si="274"/>
        <v>294</v>
      </c>
      <c r="AR137" s="85">
        <f t="shared" si="274"/>
        <v>294</v>
      </c>
      <c r="AS137" s="85">
        <f t="shared" si="274"/>
        <v>294</v>
      </c>
      <c r="AT137" s="85">
        <f t="shared" si="274"/>
        <v>294</v>
      </c>
      <c r="AU137" s="85">
        <f t="shared" si="274"/>
        <v>294</v>
      </c>
      <c r="AV137" s="86">
        <f t="shared" si="256"/>
        <v>3528</v>
      </c>
      <c r="AW137" s="87"/>
      <c r="AX137" s="88"/>
      <c r="AY137" s="88"/>
    </row>
    <row r="138" spans="1:51">
      <c r="A138" s="79" t="s">
        <v>3027</v>
      </c>
      <c r="B138" s="80" t="str">
        <f t="shared" si="232"/>
        <v>ACPLSZ</v>
      </c>
      <c r="C138" s="80" t="str">
        <f t="shared" si="233"/>
        <v>深圳户籍</v>
      </c>
      <c r="D138" s="80" t="str">
        <f t="shared" si="234"/>
        <v>Professional</v>
      </c>
      <c r="E138" s="80">
        <f t="shared" si="235"/>
        <v>0</v>
      </c>
      <c r="F138" s="82">
        <f t="shared" si="236"/>
        <v>33000</v>
      </c>
      <c r="G138" s="82"/>
      <c r="H138" s="90" t="str">
        <f t="shared" si="237"/>
        <v>电力交易员</v>
      </c>
      <c r="I138" s="83">
        <f t="shared" si="238"/>
        <v>0</v>
      </c>
      <c r="J138" s="82"/>
      <c r="K138" s="84"/>
      <c r="L138" s="84"/>
      <c r="M138" s="84"/>
      <c r="N138" s="84"/>
      <c r="O138" s="84"/>
      <c r="P138" s="84"/>
      <c r="Q138" s="84"/>
      <c r="R138" s="84"/>
      <c r="S138" s="84"/>
      <c r="T138" s="84"/>
      <c r="U138" s="84"/>
      <c r="V138" s="84"/>
      <c r="W138" s="85">
        <f t="shared" ref="W138:AH138" si="275">IF(VLOOKUP($H138,$H$15:$AH$46,W$16,FALSE)&gt;$AF$8,$AF$8*$AH$8,VLOOKUP($H138,$H$15:$AH$46,W$16,FALSE)*$AH$8)</f>
        <v>0</v>
      </c>
      <c r="X138" s="85">
        <f t="shared" si="275"/>
        <v>264</v>
      </c>
      <c r="Y138" s="85">
        <f t="shared" si="275"/>
        <v>264</v>
      </c>
      <c r="Z138" s="85">
        <f t="shared" si="275"/>
        <v>264</v>
      </c>
      <c r="AA138" s="85">
        <f t="shared" si="275"/>
        <v>264</v>
      </c>
      <c r="AB138" s="85">
        <f t="shared" si="275"/>
        <v>264</v>
      </c>
      <c r="AC138" s="85">
        <f t="shared" si="275"/>
        <v>264</v>
      </c>
      <c r="AD138" s="85">
        <f t="shared" si="275"/>
        <v>264</v>
      </c>
      <c r="AE138" s="85">
        <f t="shared" si="275"/>
        <v>264</v>
      </c>
      <c r="AF138" s="85">
        <f t="shared" si="275"/>
        <v>264</v>
      </c>
      <c r="AG138" s="85">
        <f t="shared" si="275"/>
        <v>264</v>
      </c>
      <c r="AH138" s="85">
        <f t="shared" si="275"/>
        <v>264</v>
      </c>
      <c r="AI138" s="86">
        <f t="shared" si="254"/>
        <v>2904</v>
      </c>
      <c r="AJ138" s="85">
        <f t="shared" ref="AJ138:AU138" si="276">IF(VLOOKUP($H138,$H$15:$AU$46,AJ$16,FALSE)&gt;$AF$8,$AF$8*$AH$8,VLOOKUP($H138,$H$15:$AU$46,AJ$16,FALSE)*$AH$8)</f>
        <v>277.2</v>
      </c>
      <c r="AK138" s="85">
        <f t="shared" si="276"/>
        <v>277.2</v>
      </c>
      <c r="AL138" s="85">
        <f t="shared" si="276"/>
        <v>277.2</v>
      </c>
      <c r="AM138" s="85">
        <f t="shared" si="276"/>
        <v>277.2</v>
      </c>
      <c r="AN138" s="85">
        <f t="shared" si="276"/>
        <v>277.2</v>
      </c>
      <c r="AO138" s="85">
        <f t="shared" si="276"/>
        <v>277.2</v>
      </c>
      <c r="AP138" s="85">
        <f t="shared" si="276"/>
        <v>277.2</v>
      </c>
      <c r="AQ138" s="85">
        <f t="shared" si="276"/>
        <v>277.2</v>
      </c>
      <c r="AR138" s="85">
        <f t="shared" si="276"/>
        <v>277.2</v>
      </c>
      <c r="AS138" s="85">
        <f t="shared" si="276"/>
        <v>277.2</v>
      </c>
      <c r="AT138" s="85">
        <f t="shared" si="276"/>
        <v>277.2</v>
      </c>
      <c r="AU138" s="85">
        <f t="shared" si="276"/>
        <v>277.2</v>
      </c>
      <c r="AV138" s="86">
        <f t="shared" si="256"/>
        <v>3326.3999999999992</v>
      </c>
      <c r="AW138" s="87"/>
      <c r="AX138" s="88"/>
      <c r="AY138" s="88"/>
    </row>
    <row r="139" spans="1:51">
      <c r="A139" s="79" t="s">
        <v>3027</v>
      </c>
      <c r="B139" s="80" t="str">
        <f t="shared" si="232"/>
        <v>ACPLSZ</v>
      </c>
      <c r="C139" s="80" t="str">
        <f t="shared" si="233"/>
        <v>深圳户籍</v>
      </c>
      <c r="D139" s="80" t="str">
        <f t="shared" si="234"/>
        <v>Professional</v>
      </c>
      <c r="E139" s="80">
        <f t="shared" si="235"/>
        <v>0</v>
      </c>
      <c r="F139" s="82">
        <f t="shared" si="236"/>
        <v>60000</v>
      </c>
      <c r="G139" s="82"/>
      <c r="H139" s="90" t="str">
        <f t="shared" si="237"/>
        <v>律师</v>
      </c>
      <c r="I139" s="83">
        <f t="shared" si="238"/>
        <v>0</v>
      </c>
      <c r="J139" s="82"/>
      <c r="K139" s="84"/>
      <c r="L139" s="84"/>
      <c r="M139" s="84"/>
      <c r="N139" s="84"/>
      <c r="O139" s="84"/>
      <c r="P139" s="84"/>
      <c r="Q139" s="84"/>
      <c r="R139" s="84"/>
      <c r="S139" s="84"/>
      <c r="T139" s="84"/>
      <c r="U139" s="84"/>
      <c r="V139" s="84"/>
      <c r="W139" s="85">
        <f t="shared" ref="W139:AH139" si="277">IF(VLOOKUP($H139,$H$15:$AH$46,W$16,FALSE)&gt;$AF$8,$AF$8*$AH$8,VLOOKUP($H139,$H$15:$AH$46,W$16,FALSE)*$AH$8)</f>
        <v>0</v>
      </c>
      <c r="X139" s="85">
        <f t="shared" si="277"/>
        <v>0</v>
      </c>
      <c r="Y139" s="85">
        <f t="shared" si="277"/>
        <v>0</v>
      </c>
      <c r="Z139" s="85">
        <f t="shared" si="277"/>
        <v>0</v>
      </c>
      <c r="AA139" s="85">
        <f t="shared" si="277"/>
        <v>354.12</v>
      </c>
      <c r="AB139" s="85">
        <f t="shared" si="277"/>
        <v>354.12</v>
      </c>
      <c r="AC139" s="85">
        <f t="shared" si="277"/>
        <v>354.12</v>
      </c>
      <c r="AD139" s="85">
        <f t="shared" si="277"/>
        <v>354.12</v>
      </c>
      <c r="AE139" s="85">
        <f t="shared" si="277"/>
        <v>354.12</v>
      </c>
      <c r="AF139" s="85">
        <f t="shared" si="277"/>
        <v>354.12</v>
      </c>
      <c r="AG139" s="85">
        <f t="shared" si="277"/>
        <v>354.12</v>
      </c>
      <c r="AH139" s="85">
        <f t="shared" si="277"/>
        <v>354.12</v>
      </c>
      <c r="AI139" s="86">
        <f t="shared" si="254"/>
        <v>2832.9599999999996</v>
      </c>
      <c r="AJ139" s="85">
        <f t="shared" ref="AJ139:AU139" si="278">IF(VLOOKUP($H139,$H$15:$AU$46,AJ$16,FALSE)&gt;$AF$8,$AF$8*$AH$8,VLOOKUP($H139,$H$15:$AU$46,AJ$16,FALSE)*$AH$8)</f>
        <v>354.12</v>
      </c>
      <c r="AK139" s="85">
        <f t="shared" si="278"/>
        <v>354.12</v>
      </c>
      <c r="AL139" s="85">
        <f t="shared" si="278"/>
        <v>354.12</v>
      </c>
      <c r="AM139" s="85">
        <f t="shared" si="278"/>
        <v>354.12</v>
      </c>
      <c r="AN139" s="85">
        <f t="shared" si="278"/>
        <v>354.12</v>
      </c>
      <c r="AO139" s="85">
        <f t="shared" si="278"/>
        <v>354.12</v>
      </c>
      <c r="AP139" s="85">
        <f t="shared" si="278"/>
        <v>354.12</v>
      </c>
      <c r="AQ139" s="85">
        <f t="shared" si="278"/>
        <v>354.12</v>
      </c>
      <c r="AR139" s="85">
        <f t="shared" si="278"/>
        <v>354.12</v>
      </c>
      <c r="AS139" s="85">
        <f t="shared" si="278"/>
        <v>354.12</v>
      </c>
      <c r="AT139" s="85">
        <f t="shared" si="278"/>
        <v>354.12</v>
      </c>
      <c r="AU139" s="85">
        <f t="shared" si="278"/>
        <v>354.12</v>
      </c>
      <c r="AV139" s="86">
        <f t="shared" si="256"/>
        <v>4249.4399999999996</v>
      </c>
      <c r="AW139" s="87"/>
      <c r="AX139" s="88"/>
      <c r="AY139" s="88"/>
    </row>
    <row r="140" spans="1:51">
      <c r="A140" s="79" t="s">
        <v>3027</v>
      </c>
      <c r="B140" s="80" t="str">
        <f t="shared" si="232"/>
        <v>ACPLSZ</v>
      </c>
      <c r="C140" s="80" t="str">
        <f t="shared" si="233"/>
        <v>深圳户籍</v>
      </c>
      <c r="D140" s="80" t="str">
        <f t="shared" si="234"/>
        <v>Professional</v>
      </c>
      <c r="E140" s="80">
        <f t="shared" si="235"/>
        <v>0</v>
      </c>
      <c r="F140" s="82">
        <f t="shared" si="236"/>
        <v>26000</v>
      </c>
      <c r="G140" s="82"/>
      <c r="H140" s="90" t="str">
        <f t="shared" si="237"/>
        <v>区域副总</v>
      </c>
      <c r="I140" s="83">
        <f t="shared" si="238"/>
        <v>0</v>
      </c>
      <c r="J140" s="82"/>
      <c r="K140" s="84"/>
      <c r="L140" s="84"/>
      <c r="M140" s="84"/>
      <c r="N140" s="84"/>
      <c r="O140" s="84"/>
      <c r="P140" s="84"/>
      <c r="Q140" s="84"/>
      <c r="R140" s="84"/>
      <c r="S140" s="84"/>
      <c r="T140" s="84"/>
      <c r="U140" s="84"/>
      <c r="V140" s="84"/>
      <c r="W140" s="85">
        <f t="shared" ref="W140:AH140" si="279">IF(VLOOKUP($H140,$H$15:$AH$46,W$16,FALSE)&gt;$AF$8,$AF$8*$AH$8,VLOOKUP($H140,$H$15:$AH$46,W$16,FALSE)*$AH$8)</f>
        <v>0</v>
      </c>
      <c r="X140" s="85">
        <f t="shared" si="279"/>
        <v>0</v>
      </c>
      <c r="Y140" s="85">
        <f t="shared" si="279"/>
        <v>0</v>
      </c>
      <c r="Z140" s="85">
        <f t="shared" si="279"/>
        <v>0</v>
      </c>
      <c r="AA140" s="85">
        <f t="shared" si="279"/>
        <v>208</v>
      </c>
      <c r="AB140" s="85">
        <f t="shared" si="279"/>
        <v>208</v>
      </c>
      <c r="AC140" s="85">
        <f t="shared" si="279"/>
        <v>208</v>
      </c>
      <c r="AD140" s="85">
        <f t="shared" si="279"/>
        <v>208</v>
      </c>
      <c r="AE140" s="85">
        <f t="shared" si="279"/>
        <v>208</v>
      </c>
      <c r="AF140" s="85">
        <f t="shared" si="279"/>
        <v>208</v>
      </c>
      <c r="AG140" s="85">
        <f t="shared" si="279"/>
        <v>208</v>
      </c>
      <c r="AH140" s="85">
        <f t="shared" si="279"/>
        <v>208</v>
      </c>
      <c r="AI140" s="86">
        <f t="shared" si="254"/>
        <v>1664</v>
      </c>
      <c r="AJ140" s="85">
        <f t="shared" ref="AJ140:AU140" si="280">IF(VLOOKUP($H140,$H$15:$AU$46,AJ$16,FALSE)&gt;$AF$8,$AF$8*$AH$8,VLOOKUP($H140,$H$15:$AU$46,AJ$16,FALSE)*$AH$8)</f>
        <v>218.4</v>
      </c>
      <c r="AK140" s="85">
        <f t="shared" si="280"/>
        <v>218.4</v>
      </c>
      <c r="AL140" s="85">
        <f t="shared" si="280"/>
        <v>218.4</v>
      </c>
      <c r="AM140" s="85">
        <f t="shared" si="280"/>
        <v>218.4</v>
      </c>
      <c r="AN140" s="85">
        <f t="shared" si="280"/>
        <v>218.4</v>
      </c>
      <c r="AO140" s="85">
        <f t="shared" si="280"/>
        <v>218.4</v>
      </c>
      <c r="AP140" s="85">
        <f t="shared" si="280"/>
        <v>218.4</v>
      </c>
      <c r="AQ140" s="85">
        <f t="shared" si="280"/>
        <v>218.4</v>
      </c>
      <c r="AR140" s="85">
        <f t="shared" si="280"/>
        <v>218.4</v>
      </c>
      <c r="AS140" s="85">
        <f t="shared" si="280"/>
        <v>218.4</v>
      </c>
      <c r="AT140" s="85">
        <f t="shared" si="280"/>
        <v>218.4</v>
      </c>
      <c r="AU140" s="85">
        <f t="shared" si="280"/>
        <v>218.4</v>
      </c>
      <c r="AV140" s="86">
        <f t="shared" si="256"/>
        <v>2620.8000000000006</v>
      </c>
      <c r="AW140" s="87"/>
      <c r="AX140" s="88"/>
      <c r="AY140" s="88"/>
    </row>
    <row r="141" spans="1:51">
      <c r="A141" s="79" t="s">
        <v>3027</v>
      </c>
      <c r="B141" s="80" t="str">
        <f t="shared" ref="B141:F141" si="281">B37</f>
        <v>ACPLSZ</v>
      </c>
      <c r="C141" s="80" t="str">
        <f t="shared" si="281"/>
        <v>深圳户籍</v>
      </c>
      <c r="D141" s="80" t="str">
        <f t="shared" si="281"/>
        <v>Professional</v>
      </c>
      <c r="E141" s="80">
        <f t="shared" si="281"/>
        <v>0</v>
      </c>
      <c r="F141" s="82">
        <f t="shared" si="281"/>
        <v>17000</v>
      </c>
      <c r="G141" s="82"/>
      <c r="H141" s="90" t="str">
        <f t="shared" ref="H141:I141" si="282">H37</f>
        <v>项目会计</v>
      </c>
      <c r="I141" s="83">
        <f t="shared" si="282"/>
        <v>0</v>
      </c>
      <c r="J141" s="82"/>
      <c r="K141" s="84"/>
      <c r="L141" s="84"/>
      <c r="M141" s="84"/>
      <c r="N141" s="84"/>
      <c r="O141" s="84"/>
      <c r="P141" s="84"/>
      <c r="Q141" s="84"/>
      <c r="R141" s="84"/>
      <c r="S141" s="84"/>
      <c r="T141" s="84"/>
      <c r="U141" s="84"/>
      <c r="V141" s="84"/>
      <c r="W141" s="85">
        <f t="shared" ref="W141:AH144" si="283">IF(VLOOKUP($H141,$H$15:$AH$46,W$16,FALSE)&gt;$AF$8,$AF$8*$AH$8,VLOOKUP($H141,$H$15:$AH$46,W$16,FALSE)*$AH$8)</f>
        <v>0</v>
      </c>
      <c r="X141" s="85">
        <f t="shared" si="283"/>
        <v>0</v>
      </c>
      <c r="Y141" s="85">
        <f t="shared" si="283"/>
        <v>0</v>
      </c>
      <c r="Z141" s="85">
        <f t="shared" si="283"/>
        <v>0</v>
      </c>
      <c r="AA141" s="85">
        <f t="shared" si="283"/>
        <v>0</v>
      </c>
      <c r="AB141" s="85">
        <f t="shared" si="283"/>
        <v>0</v>
      </c>
      <c r="AC141" s="85">
        <f t="shared" si="283"/>
        <v>0</v>
      </c>
      <c r="AD141" s="85">
        <f t="shared" si="283"/>
        <v>136</v>
      </c>
      <c r="AE141" s="85">
        <f t="shared" si="283"/>
        <v>136</v>
      </c>
      <c r="AF141" s="85">
        <f t="shared" si="283"/>
        <v>136</v>
      </c>
      <c r="AG141" s="85">
        <f t="shared" si="283"/>
        <v>136</v>
      </c>
      <c r="AH141" s="85">
        <f t="shared" si="283"/>
        <v>136</v>
      </c>
      <c r="AI141" s="86">
        <f t="shared" ref="AI141:AI142" si="284">SUM(W141:AH141)</f>
        <v>680</v>
      </c>
      <c r="AJ141" s="85">
        <f t="shared" ref="AJ141:AU141" si="285">IF(VLOOKUP($H141,$H$15:$AU$46,AJ$16,FALSE)&gt;$AF$8,$AF$8*$AH$8,VLOOKUP($H141,$H$15:$AU$46,AJ$16,FALSE)*$AH$8)</f>
        <v>285.60000000000002</v>
      </c>
      <c r="AK141" s="85">
        <f t="shared" si="285"/>
        <v>285.60000000000002</v>
      </c>
      <c r="AL141" s="85">
        <f t="shared" si="285"/>
        <v>285.60000000000002</v>
      </c>
      <c r="AM141" s="85">
        <f t="shared" si="285"/>
        <v>285.60000000000002</v>
      </c>
      <c r="AN141" s="85">
        <f t="shared" si="285"/>
        <v>285.60000000000002</v>
      </c>
      <c r="AO141" s="85">
        <f t="shared" si="285"/>
        <v>285.60000000000002</v>
      </c>
      <c r="AP141" s="85">
        <f t="shared" si="285"/>
        <v>285.60000000000002</v>
      </c>
      <c r="AQ141" s="85">
        <f t="shared" si="285"/>
        <v>285.60000000000002</v>
      </c>
      <c r="AR141" s="85">
        <f t="shared" si="285"/>
        <v>285.60000000000002</v>
      </c>
      <c r="AS141" s="85">
        <f t="shared" si="285"/>
        <v>285.60000000000002</v>
      </c>
      <c r="AT141" s="85">
        <f t="shared" si="285"/>
        <v>285.60000000000002</v>
      </c>
      <c r="AU141" s="85">
        <f t="shared" si="285"/>
        <v>285.60000000000002</v>
      </c>
      <c r="AV141" s="86">
        <f t="shared" si="256"/>
        <v>3427.1999999999994</v>
      </c>
      <c r="AW141" s="87"/>
      <c r="AX141" s="88"/>
      <c r="AY141" s="88"/>
    </row>
    <row r="142" spans="1:51">
      <c r="A142" s="79" t="s">
        <v>3027</v>
      </c>
      <c r="B142" s="80" t="str">
        <f t="shared" ref="B142:F142" si="286">B38</f>
        <v>ACPLSZ</v>
      </c>
      <c r="C142" s="80" t="str">
        <f t="shared" si="286"/>
        <v>深圳户籍</v>
      </c>
      <c r="D142" s="80" t="str">
        <f t="shared" si="286"/>
        <v>Professional</v>
      </c>
      <c r="E142" s="80">
        <f t="shared" si="286"/>
        <v>0</v>
      </c>
      <c r="F142" s="82">
        <f t="shared" si="286"/>
        <v>12000</v>
      </c>
      <c r="G142" s="82"/>
      <c r="H142" s="90" t="str">
        <f t="shared" ref="H142:I142" si="287">H38</f>
        <v>档案管理员</v>
      </c>
      <c r="I142" s="83">
        <f t="shared" si="287"/>
        <v>0</v>
      </c>
      <c r="J142" s="82"/>
      <c r="K142" s="84"/>
      <c r="L142" s="84"/>
      <c r="M142" s="84"/>
      <c r="N142" s="84"/>
      <c r="O142" s="84"/>
      <c r="P142" s="84"/>
      <c r="Q142" s="84"/>
      <c r="R142" s="84"/>
      <c r="S142" s="84"/>
      <c r="T142" s="84"/>
      <c r="U142" s="84"/>
      <c r="V142" s="84"/>
      <c r="W142" s="85">
        <f t="shared" si="283"/>
        <v>0</v>
      </c>
      <c r="X142" s="85">
        <f t="shared" si="283"/>
        <v>0</v>
      </c>
      <c r="Y142" s="85">
        <f t="shared" si="283"/>
        <v>0</v>
      </c>
      <c r="Z142" s="85">
        <f t="shared" si="283"/>
        <v>0</v>
      </c>
      <c r="AA142" s="85">
        <f t="shared" si="283"/>
        <v>0</v>
      </c>
      <c r="AB142" s="85">
        <f t="shared" si="283"/>
        <v>0</v>
      </c>
      <c r="AC142" s="85">
        <f t="shared" si="283"/>
        <v>0</v>
      </c>
      <c r="AD142" s="85">
        <f t="shared" si="283"/>
        <v>0</v>
      </c>
      <c r="AE142" s="85">
        <f t="shared" si="283"/>
        <v>0</v>
      </c>
      <c r="AF142" s="85">
        <f t="shared" si="283"/>
        <v>0</v>
      </c>
      <c r="AG142" s="85">
        <f t="shared" si="283"/>
        <v>0</v>
      </c>
      <c r="AH142" s="85">
        <f t="shared" si="283"/>
        <v>96</v>
      </c>
      <c r="AI142" s="86">
        <f t="shared" si="284"/>
        <v>96</v>
      </c>
      <c r="AJ142" s="85">
        <f t="shared" ref="AJ142:AU144" si="288">IF(VLOOKUP($H142,$H$15:$AU$46,AJ$16,FALSE)&gt;$AF$8,$AF$8*$AH$8,VLOOKUP($H142,$H$15:$AU$46,AJ$16,FALSE)*$AH$8)</f>
        <v>100.8</v>
      </c>
      <c r="AK142" s="85">
        <f t="shared" si="288"/>
        <v>100.8</v>
      </c>
      <c r="AL142" s="85">
        <f t="shared" si="288"/>
        <v>100.8</v>
      </c>
      <c r="AM142" s="85">
        <f t="shared" si="288"/>
        <v>100.8</v>
      </c>
      <c r="AN142" s="85">
        <f t="shared" si="288"/>
        <v>100.8</v>
      </c>
      <c r="AO142" s="85">
        <f t="shared" si="288"/>
        <v>100.8</v>
      </c>
      <c r="AP142" s="85">
        <f t="shared" si="288"/>
        <v>100.8</v>
      </c>
      <c r="AQ142" s="85">
        <f t="shared" si="288"/>
        <v>100.8</v>
      </c>
      <c r="AR142" s="85">
        <f t="shared" si="288"/>
        <v>100.8</v>
      </c>
      <c r="AS142" s="85">
        <f t="shared" si="288"/>
        <v>100.8</v>
      </c>
      <c r="AT142" s="85">
        <f t="shared" si="288"/>
        <v>100.8</v>
      </c>
      <c r="AU142" s="85">
        <f t="shared" si="288"/>
        <v>100.8</v>
      </c>
      <c r="AV142" s="86">
        <f t="shared" si="256"/>
        <v>1209.5999999999997</v>
      </c>
      <c r="AW142" s="87"/>
      <c r="AX142" s="88"/>
      <c r="AY142" s="88"/>
    </row>
    <row r="143" spans="1:51">
      <c r="A143" s="79" t="s">
        <v>3027</v>
      </c>
      <c r="B143" s="80" t="str">
        <f t="shared" ref="B143:F143" si="289">B39</f>
        <v>ACPLSZ</v>
      </c>
      <c r="C143" s="80" t="str">
        <f t="shared" si="289"/>
        <v>北京户籍</v>
      </c>
      <c r="D143" s="80" t="str">
        <f t="shared" si="289"/>
        <v>Professional</v>
      </c>
      <c r="E143" s="80">
        <f t="shared" si="289"/>
        <v>0</v>
      </c>
      <c r="F143" s="82">
        <f t="shared" si="289"/>
        <v>100000</v>
      </c>
      <c r="G143" s="82"/>
      <c r="H143" s="82" t="str">
        <f t="shared" ref="H143:I143" si="290">H39</f>
        <v>Head of Origination</v>
      </c>
      <c r="I143" s="83">
        <f t="shared" si="290"/>
        <v>0</v>
      </c>
      <c r="J143" s="82"/>
      <c r="K143" s="84"/>
      <c r="L143" s="84"/>
      <c r="M143" s="84"/>
      <c r="N143" s="84"/>
      <c r="O143" s="84"/>
      <c r="P143" s="84"/>
      <c r="Q143" s="84"/>
      <c r="R143" s="84"/>
      <c r="S143" s="84"/>
      <c r="T143" s="84"/>
      <c r="U143" s="84"/>
      <c r="V143" s="84"/>
      <c r="W143" s="85">
        <f t="shared" si="283"/>
        <v>0</v>
      </c>
      <c r="X143" s="85">
        <f t="shared" si="283"/>
        <v>0</v>
      </c>
      <c r="Y143" s="85">
        <f t="shared" si="283"/>
        <v>0</v>
      </c>
      <c r="Z143" s="85">
        <f t="shared" si="283"/>
        <v>0</v>
      </c>
      <c r="AA143" s="85">
        <f t="shared" si="283"/>
        <v>354.12</v>
      </c>
      <c r="AB143" s="85">
        <f t="shared" si="283"/>
        <v>354.12</v>
      </c>
      <c r="AC143" s="85">
        <f t="shared" si="283"/>
        <v>354.12</v>
      </c>
      <c r="AD143" s="85">
        <f t="shared" si="283"/>
        <v>354.12</v>
      </c>
      <c r="AE143" s="85">
        <f t="shared" si="283"/>
        <v>354.12</v>
      </c>
      <c r="AF143" s="85">
        <f t="shared" si="283"/>
        <v>354.12</v>
      </c>
      <c r="AG143" s="85">
        <f t="shared" si="283"/>
        <v>354.12</v>
      </c>
      <c r="AH143" s="85">
        <f t="shared" si="283"/>
        <v>354.12</v>
      </c>
      <c r="AI143" s="86">
        <f t="shared" ref="AI143:AI144" si="291">SUM(W143:AH143)</f>
        <v>2832.9599999999996</v>
      </c>
      <c r="AJ143" s="85">
        <f t="shared" si="288"/>
        <v>354.12</v>
      </c>
      <c r="AK143" s="85">
        <f t="shared" si="288"/>
        <v>354.12</v>
      </c>
      <c r="AL143" s="85">
        <f t="shared" si="288"/>
        <v>354.12</v>
      </c>
      <c r="AM143" s="85">
        <f t="shared" si="288"/>
        <v>354.12</v>
      </c>
      <c r="AN143" s="85">
        <f t="shared" si="288"/>
        <v>354.12</v>
      </c>
      <c r="AO143" s="85">
        <f t="shared" si="288"/>
        <v>354.12</v>
      </c>
      <c r="AP143" s="85">
        <f t="shared" si="288"/>
        <v>354.12</v>
      </c>
      <c r="AQ143" s="85">
        <f t="shared" si="288"/>
        <v>354.12</v>
      </c>
      <c r="AR143" s="85">
        <f t="shared" si="288"/>
        <v>354.12</v>
      </c>
      <c r="AS143" s="85">
        <f t="shared" si="288"/>
        <v>354.12</v>
      </c>
      <c r="AT143" s="85">
        <f t="shared" si="288"/>
        <v>354.12</v>
      </c>
      <c r="AU143" s="85">
        <f t="shared" si="288"/>
        <v>354.12</v>
      </c>
      <c r="AV143" s="86">
        <f t="shared" ref="AV143:AV144" si="292">SUM(AJ143:AU143)</f>
        <v>4249.4399999999996</v>
      </c>
      <c r="AW143" s="87"/>
      <c r="AX143" s="88"/>
      <c r="AY143" s="88"/>
    </row>
    <row r="144" spans="1:51">
      <c r="A144" s="79" t="s">
        <v>3027</v>
      </c>
      <c r="B144" s="80" t="str">
        <f t="shared" ref="B144:F144" si="293">B40</f>
        <v>ACPLSZ</v>
      </c>
      <c r="C144" s="80" t="str">
        <f t="shared" si="293"/>
        <v>北京户籍</v>
      </c>
      <c r="D144" s="80" t="str">
        <f t="shared" si="293"/>
        <v>Professional</v>
      </c>
      <c r="E144" s="80">
        <f t="shared" si="293"/>
        <v>0</v>
      </c>
      <c r="F144" s="82">
        <f t="shared" si="293"/>
        <v>80000</v>
      </c>
      <c r="G144" s="82"/>
      <c r="H144" s="82" t="str">
        <f t="shared" ref="H144:I144" si="294">H40</f>
        <v>Op Partner - ZJX</v>
      </c>
      <c r="I144" s="83">
        <f t="shared" si="294"/>
        <v>0</v>
      </c>
      <c r="J144" s="82"/>
      <c r="K144" s="84"/>
      <c r="L144" s="84"/>
      <c r="M144" s="84"/>
      <c r="N144" s="84"/>
      <c r="O144" s="84"/>
      <c r="P144" s="84"/>
      <c r="Q144" s="84"/>
      <c r="R144" s="84"/>
      <c r="S144" s="84"/>
      <c r="T144" s="84"/>
      <c r="U144" s="84"/>
      <c r="V144" s="84"/>
      <c r="W144" s="85">
        <f t="shared" si="283"/>
        <v>0</v>
      </c>
      <c r="X144" s="85">
        <f t="shared" si="283"/>
        <v>0</v>
      </c>
      <c r="Y144" s="85">
        <f t="shared" si="283"/>
        <v>0</v>
      </c>
      <c r="Z144" s="85">
        <f t="shared" si="283"/>
        <v>0</v>
      </c>
      <c r="AA144" s="85">
        <f t="shared" si="283"/>
        <v>354.12</v>
      </c>
      <c r="AB144" s="85">
        <f t="shared" si="283"/>
        <v>354.12</v>
      </c>
      <c r="AC144" s="85">
        <f t="shared" si="283"/>
        <v>354.12</v>
      </c>
      <c r="AD144" s="85">
        <f t="shared" si="283"/>
        <v>354.12</v>
      </c>
      <c r="AE144" s="85">
        <f t="shared" si="283"/>
        <v>354.12</v>
      </c>
      <c r="AF144" s="85">
        <f t="shared" si="283"/>
        <v>354.12</v>
      </c>
      <c r="AG144" s="85">
        <f t="shared" si="283"/>
        <v>354.12</v>
      </c>
      <c r="AH144" s="85">
        <f t="shared" si="283"/>
        <v>354.12</v>
      </c>
      <c r="AI144" s="86">
        <f t="shared" si="291"/>
        <v>2832.9599999999996</v>
      </c>
      <c r="AJ144" s="85">
        <f t="shared" si="288"/>
        <v>354.12</v>
      </c>
      <c r="AK144" s="85">
        <f t="shared" si="288"/>
        <v>354.12</v>
      </c>
      <c r="AL144" s="85">
        <f t="shared" si="288"/>
        <v>354.12</v>
      </c>
      <c r="AM144" s="85">
        <f t="shared" si="288"/>
        <v>354.12</v>
      </c>
      <c r="AN144" s="85">
        <f t="shared" si="288"/>
        <v>354.12</v>
      </c>
      <c r="AO144" s="85">
        <f t="shared" si="288"/>
        <v>354.12</v>
      </c>
      <c r="AP144" s="85">
        <f t="shared" si="288"/>
        <v>354.12</v>
      </c>
      <c r="AQ144" s="85">
        <f t="shared" si="288"/>
        <v>354.12</v>
      </c>
      <c r="AR144" s="85">
        <f t="shared" si="288"/>
        <v>354.12</v>
      </c>
      <c r="AS144" s="85">
        <f t="shared" si="288"/>
        <v>354.12</v>
      </c>
      <c r="AT144" s="85">
        <f t="shared" si="288"/>
        <v>354.12</v>
      </c>
      <c r="AU144" s="85">
        <f t="shared" si="288"/>
        <v>354.12</v>
      </c>
      <c r="AV144" s="86">
        <f t="shared" si="292"/>
        <v>4249.4399999999996</v>
      </c>
      <c r="AW144" s="87"/>
      <c r="AX144" s="88"/>
      <c r="AY144" s="88"/>
    </row>
    <row r="145" spans="1:51">
      <c r="A145" s="79" t="s">
        <v>3027</v>
      </c>
      <c r="B145" s="80" t="str">
        <f t="shared" ref="B145:F145" si="295">B41</f>
        <v>ACPLSZ</v>
      </c>
      <c r="C145" s="80">
        <f t="shared" si="295"/>
        <v>0</v>
      </c>
      <c r="D145" s="80">
        <f t="shared" si="295"/>
        <v>0</v>
      </c>
      <c r="E145" s="80">
        <f t="shared" si="295"/>
        <v>0</v>
      </c>
      <c r="F145" s="82">
        <f t="shared" si="295"/>
        <v>0</v>
      </c>
      <c r="G145" s="82"/>
      <c r="H145" s="82">
        <f t="shared" ref="H145:I145" si="296">H41</f>
        <v>0</v>
      </c>
      <c r="I145" s="83">
        <f t="shared" si="296"/>
        <v>0</v>
      </c>
      <c r="J145" s="82"/>
      <c r="K145" s="84"/>
      <c r="L145" s="84"/>
      <c r="M145" s="84"/>
      <c r="N145" s="84"/>
      <c r="O145" s="84"/>
      <c r="P145" s="84"/>
      <c r="Q145" s="84"/>
      <c r="R145" s="84"/>
      <c r="S145" s="84"/>
      <c r="T145" s="84"/>
      <c r="U145" s="84"/>
      <c r="V145" s="84"/>
      <c r="W145" s="85"/>
      <c r="X145" s="85"/>
      <c r="Y145" s="85"/>
      <c r="Z145" s="85"/>
      <c r="AA145" s="85"/>
      <c r="AB145" s="85"/>
      <c r="AC145" s="85"/>
      <c r="AD145" s="85"/>
      <c r="AE145" s="85"/>
      <c r="AF145" s="85"/>
      <c r="AG145" s="85"/>
      <c r="AH145" s="85"/>
      <c r="AI145" s="86"/>
      <c r="AJ145" s="85"/>
      <c r="AK145" s="85"/>
      <c r="AL145" s="85"/>
      <c r="AM145" s="85"/>
      <c r="AN145" s="85"/>
      <c r="AO145" s="85"/>
      <c r="AP145" s="85"/>
      <c r="AQ145" s="85"/>
      <c r="AR145" s="85"/>
      <c r="AS145" s="85"/>
      <c r="AT145" s="85"/>
      <c r="AU145" s="85"/>
      <c r="AV145" s="86"/>
      <c r="AW145" s="87"/>
      <c r="AX145" s="88"/>
      <c r="AY145" s="88"/>
    </row>
    <row r="146" spans="1:51">
      <c r="A146" s="79" t="s">
        <v>3027</v>
      </c>
      <c r="B146" s="80">
        <f t="shared" ref="B146:F146" si="297">B42</f>
        <v>0</v>
      </c>
      <c r="C146" s="80">
        <f t="shared" si="297"/>
        <v>0</v>
      </c>
      <c r="D146" s="80">
        <f t="shared" si="297"/>
        <v>0</v>
      </c>
      <c r="E146" s="80">
        <f t="shared" si="297"/>
        <v>0</v>
      </c>
      <c r="F146" s="82">
        <f t="shared" si="297"/>
        <v>0</v>
      </c>
      <c r="G146" s="82"/>
      <c r="H146" s="82">
        <f t="shared" ref="H146:I146" si="298">H42</f>
        <v>0</v>
      </c>
      <c r="I146" s="83">
        <f t="shared" si="298"/>
        <v>0</v>
      </c>
      <c r="J146" s="82"/>
      <c r="K146" s="84"/>
      <c r="L146" s="84"/>
      <c r="M146" s="84"/>
      <c r="N146" s="84"/>
      <c r="O146" s="84"/>
      <c r="P146" s="84"/>
      <c r="Q146" s="84"/>
      <c r="R146" s="84"/>
      <c r="S146" s="84"/>
      <c r="T146" s="84"/>
      <c r="U146" s="84"/>
      <c r="V146" s="84"/>
      <c r="W146" s="85"/>
      <c r="X146" s="85"/>
      <c r="Y146" s="85"/>
      <c r="Z146" s="85"/>
      <c r="AA146" s="85"/>
      <c r="AB146" s="85"/>
      <c r="AC146" s="85"/>
      <c r="AD146" s="85"/>
      <c r="AE146" s="85"/>
      <c r="AF146" s="85"/>
      <c r="AG146" s="85"/>
      <c r="AH146" s="85"/>
      <c r="AI146" s="86"/>
      <c r="AJ146" s="85"/>
      <c r="AK146" s="85"/>
      <c r="AL146" s="85"/>
      <c r="AM146" s="85"/>
      <c r="AN146" s="85"/>
      <c r="AO146" s="85"/>
      <c r="AP146" s="85"/>
      <c r="AQ146" s="85"/>
      <c r="AR146" s="85"/>
      <c r="AS146" s="85"/>
      <c r="AT146" s="85"/>
      <c r="AU146" s="85"/>
      <c r="AV146" s="86"/>
      <c r="AW146" s="87"/>
      <c r="AX146" s="88"/>
      <c r="AY146" s="88"/>
    </row>
    <row r="147" spans="1:51">
      <c r="A147" s="79" t="s">
        <v>3027</v>
      </c>
      <c r="B147" s="80">
        <f t="shared" ref="B147:F147" si="299">B43</f>
        <v>0</v>
      </c>
      <c r="C147" s="80">
        <f t="shared" si="299"/>
        <v>0</v>
      </c>
      <c r="D147" s="80">
        <f t="shared" si="299"/>
        <v>0</v>
      </c>
      <c r="E147" s="80">
        <f t="shared" si="299"/>
        <v>0</v>
      </c>
      <c r="F147" s="82">
        <f t="shared" si="299"/>
        <v>0</v>
      </c>
      <c r="G147" s="82"/>
      <c r="H147" s="82">
        <f t="shared" ref="H147:I147" si="300">H43</f>
        <v>0</v>
      </c>
      <c r="I147" s="83">
        <f t="shared" si="300"/>
        <v>0</v>
      </c>
      <c r="J147" s="82"/>
      <c r="K147" s="84"/>
      <c r="L147" s="84"/>
      <c r="M147" s="84"/>
      <c r="N147" s="84"/>
      <c r="O147" s="84"/>
      <c r="P147" s="84"/>
      <c r="Q147" s="84"/>
      <c r="R147" s="84"/>
      <c r="S147" s="84"/>
      <c r="T147" s="84"/>
      <c r="U147" s="84"/>
      <c r="V147" s="84"/>
      <c r="W147" s="85"/>
      <c r="X147" s="85"/>
      <c r="Y147" s="85"/>
      <c r="Z147" s="85"/>
      <c r="AA147" s="85"/>
      <c r="AB147" s="85"/>
      <c r="AC147" s="85"/>
      <c r="AD147" s="85"/>
      <c r="AE147" s="85"/>
      <c r="AF147" s="85"/>
      <c r="AG147" s="85"/>
      <c r="AH147" s="85"/>
      <c r="AI147" s="86"/>
      <c r="AJ147" s="85"/>
      <c r="AK147" s="85"/>
      <c r="AL147" s="85"/>
      <c r="AM147" s="85"/>
      <c r="AN147" s="85"/>
      <c r="AO147" s="85"/>
      <c r="AP147" s="85"/>
      <c r="AQ147" s="85"/>
      <c r="AR147" s="85"/>
      <c r="AS147" s="85"/>
      <c r="AT147" s="85"/>
      <c r="AU147" s="85"/>
      <c r="AV147" s="86"/>
      <c r="AW147" s="87"/>
      <c r="AX147" s="88"/>
      <c r="AY147" s="88"/>
    </row>
    <row r="148" spans="1:51">
      <c r="A148" s="79"/>
      <c r="B148" s="93"/>
      <c r="C148" s="93"/>
      <c r="D148" s="93"/>
      <c r="E148" s="93"/>
      <c r="F148" s="113"/>
      <c r="G148" s="113"/>
      <c r="H148" s="113"/>
      <c r="I148" s="114"/>
      <c r="J148" s="113"/>
      <c r="K148" s="115"/>
      <c r="L148" s="115"/>
      <c r="M148" s="115"/>
      <c r="N148" s="115"/>
      <c r="O148" s="115"/>
      <c r="P148" s="115"/>
      <c r="Q148" s="115"/>
      <c r="R148" s="115"/>
      <c r="S148" s="115"/>
      <c r="T148" s="115"/>
      <c r="U148" s="115"/>
      <c r="V148" s="115"/>
      <c r="W148" s="113"/>
      <c r="X148" s="113"/>
      <c r="Y148" s="113"/>
      <c r="Z148" s="113"/>
      <c r="AA148" s="113"/>
      <c r="AB148" s="113"/>
      <c r="AC148" s="113"/>
      <c r="AD148" s="113"/>
      <c r="AE148" s="113"/>
      <c r="AF148" s="113"/>
      <c r="AG148" s="113"/>
      <c r="AH148" s="113"/>
      <c r="AI148" s="113"/>
      <c r="AJ148" s="113"/>
      <c r="AK148" s="113"/>
      <c r="AL148" s="113"/>
      <c r="AM148" s="113"/>
      <c r="AN148" s="113"/>
      <c r="AO148" s="113"/>
      <c r="AP148" s="113"/>
      <c r="AQ148" s="113"/>
      <c r="AR148" s="113"/>
      <c r="AS148" s="113"/>
      <c r="AT148" s="113"/>
      <c r="AU148" s="113"/>
      <c r="AV148" s="113"/>
      <c r="AW148" s="116"/>
      <c r="AX148" s="113"/>
      <c r="AY148" s="113"/>
    </row>
    <row r="149" spans="1:51">
      <c r="A149" s="79"/>
      <c r="B149" s="93" t="str">
        <f>B115</f>
        <v>ACPSZL</v>
      </c>
      <c r="C149" s="93"/>
      <c r="D149" s="93"/>
      <c r="E149" s="93"/>
      <c r="F149" s="113"/>
      <c r="G149" s="113"/>
      <c r="H149" s="88"/>
      <c r="I149" s="114"/>
      <c r="J149" s="88"/>
      <c r="K149" s="119"/>
      <c r="L149" s="119"/>
      <c r="M149" s="119"/>
      <c r="N149" s="119"/>
      <c r="O149" s="119"/>
      <c r="P149" s="119"/>
      <c r="Q149" s="119"/>
      <c r="R149" s="119"/>
      <c r="S149" s="119"/>
      <c r="T149" s="119"/>
      <c r="U149" s="119"/>
      <c r="V149" s="119"/>
      <c r="W149" s="96">
        <f ca="1">SUMIF($B$121:$AV$147,$B149,W$121:W$147)</f>
        <v>1010.12</v>
      </c>
      <c r="X149" s="96">
        <f t="shared" ref="X149:AV150" ca="1" si="301">SUMIF($B$121:$AV$147,$B149,X$121:X$147)</f>
        <v>1010.12</v>
      </c>
      <c r="Y149" s="96">
        <f t="shared" ca="1" si="301"/>
        <v>1010.12</v>
      </c>
      <c r="Z149" s="96">
        <f t="shared" ca="1" si="301"/>
        <v>1330.12</v>
      </c>
      <c r="AA149" s="96">
        <f t="shared" ca="1" si="301"/>
        <v>1330.12</v>
      </c>
      <c r="AB149" s="96">
        <f t="shared" ca="1" si="301"/>
        <v>1330.12</v>
      </c>
      <c r="AC149" s="96">
        <f t="shared" ca="1" si="301"/>
        <v>1330.12</v>
      </c>
      <c r="AD149" s="96">
        <f t="shared" ca="1" si="301"/>
        <v>1330.12</v>
      </c>
      <c r="AE149" s="96">
        <f t="shared" ca="1" si="301"/>
        <v>1330.12</v>
      </c>
      <c r="AF149" s="96">
        <f t="shared" ca="1" si="301"/>
        <v>1330.12</v>
      </c>
      <c r="AG149" s="96">
        <f t="shared" ca="1" si="301"/>
        <v>1330.12</v>
      </c>
      <c r="AH149" s="96">
        <f t="shared" ca="1" si="301"/>
        <v>1330.12</v>
      </c>
      <c r="AI149" s="96">
        <f t="shared" ca="1" si="301"/>
        <v>15001.439999999999</v>
      </c>
      <c r="AJ149" s="96">
        <f t="shared" ca="1" si="301"/>
        <v>1378.92</v>
      </c>
      <c r="AK149" s="96">
        <f t="shared" ca="1" si="301"/>
        <v>1378.92</v>
      </c>
      <c r="AL149" s="96">
        <f t="shared" ca="1" si="301"/>
        <v>1378.92</v>
      </c>
      <c r="AM149" s="96">
        <f t="shared" ca="1" si="301"/>
        <v>1378.92</v>
      </c>
      <c r="AN149" s="96">
        <f t="shared" ca="1" si="301"/>
        <v>1378.92</v>
      </c>
      <c r="AO149" s="96">
        <f t="shared" ca="1" si="301"/>
        <v>1378.92</v>
      </c>
      <c r="AP149" s="96">
        <f t="shared" ca="1" si="301"/>
        <v>1378.92</v>
      </c>
      <c r="AQ149" s="96">
        <f t="shared" ca="1" si="301"/>
        <v>1378.92</v>
      </c>
      <c r="AR149" s="96">
        <f t="shared" ca="1" si="301"/>
        <v>1378.92</v>
      </c>
      <c r="AS149" s="96">
        <f t="shared" ca="1" si="301"/>
        <v>1378.92</v>
      </c>
      <c r="AT149" s="96">
        <f t="shared" ca="1" si="301"/>
        <v>1378.92</v>
      </c>
      <c r="AU149" s="96">
        <f t="shared" ca="1" si="301"/>
        <v>1378.92</v>
      </c>
      <c r="AV149" s="96">
        <f t="shared" ca="1" si="301"/>
        <v>16547.04</v>
      </c>
      <c r="AW149" s="116"/>
      <c r="AX149" s="113"/>
      <c r="AY149" s="113"/>
    </row>
    <row r="150" spans="1:51">
      <c r="A150" s="79"/>
      <c r="B150" s="93" t="str">
        <f>B114</f>
        <v>ACPLSZ</v>
      </c>
      <c r="C150" s="93"/>
      <c r="D150" s="93"/>
      <c r="E150" s="93"/>
      <c r="F150" s="113"/>
      <c r="G150" s="113"/>
      <c r="H150" s="93"/>
      <c r="I150" s="120"/>
      <c r="J150" s="93"/>
      <c r="K150" s="93"/>
      <c r="L150" s="93"/>
      <c r="M150" s="93"/>
      <c r="N150" s="93"/>
      <c r="O150" s="93"/>
      <c r="P150" s="93"/>
      <c r="Q150" s="93"/>
      <c r="R150" s="93"/>
      <c r="S150" s="93"/>
      <c r="T150" s="93"/>
      <c r="U150" s="93"/>
      <c r="V150" s="93"/>
      <c r="W150" s="96">
        <f ca="1">SUMIF($B$121:$AV$147,$B150,W$121:W$147)</f>
        <v>1754.0989999999999</v>
      </c>
      <c r="X150" s="96">
        <f t="shared" ca="1" si="301"/>
        <v>2018.0989999999999</v>
      </c>
      <c r="Y150" s="96">
        <f t="shared" ca="1" si="301"/>
        <v>1889.999</v>
      </c>
      <c r="Z150" s="96">
        <f t="shared" ca="1" si="301"/>
        <v>1931.174</v>
      </c>
      <c r="AA150" s="96">
        <f t="shared" ca="1" si="301"/>
        <v>3201.5339999999997</v>
      </c>
      <c r="AB150" s="96">
        <f t="shared" ca="1" si="301"/>
        <v>3189.5339999999997</v>
      </c>
      <c r="AC150" s="96">
        <f t="shared" ca="1" si="301"/>
        <v>3201.5339999999997</v>
      </c>
      <c r="AD150" s="96">
        <f t="shared" ca="1" si="301"/>
        <v>3337.5339999999997</v>
      </c>
      <c r="AE150" s="96">
        <f t="shared" ca="1" si="301"/>
        <v>3337.5339999999997</v>
      </c>
      <c r="AF150" s="96">
        <f t="shared" ca="1" si="301"/>
        <v>3337.5339999999997</v>
      </c>
      <c r="AG150" s="96">
        <f t="shared" ca="1" si="301"/>
        <v>3337.5339999999997</v>
      </c>
      <c r="AH150" s="96">
        <f t="shared" ca="1" si="301"/>
        <v>3433.5339999999997</v>
      </c>
      <c r="AI150" s="96">
        <f t="shared" ca="1" si="301"/>
        <v>33969.642999999996</v>
      </c>
      <c r="AJ150" s="96">
        <f t="shared" ca="1" si="301"/>
        <v>3983.3339999999998</v>
      </c>
      <c r="AK150" s="96">
        <f t="shared" ca="1" si="301"/>
        <v>3983.3339999999998</v>
      </c>
      <c r="AL150" s="96">
        <f t="shared" ca="1" si="301"/>
        <v>3983.3339999999998</v>
      </c>
      <c r="AM150" s="96">
        <f t="shared" ca="1" si="301"/>
        <v>3983.3339999999998</v>
      </c>
      <c r="AN150" s="96">
        <f t="shared" ca="1" si="301"/>
        <v>3983.3339999999998</v>
      </c>
      <c r="AO150" s="96">
        <f t="shared" ca="1" si="301"/>
        <v>3983.3339999999998</v>
      </c>
      <c r="AP150" s="96">
        <f t="shared" ca="1" si="301"/>
        <v>4066.1099999999997</v>
      </c>
      <c r="AQ150" s="96">
        <f t="shared" ca="1" si="301"/>
        <v>4066.1099999999997</v>
      </c>
      <c r="AR150" s="96">
        <f t="shared" ca="1" si="301"/>
        <v>4066.1099999999997</v>
      </c>
      <c r="AS150" s="96">
        <f t="shared" ca="1" si="301"/>
        <v>4066.1099999999997</v>
      </c>
      <c r="AT150" s="96">
        <f t="shared" ca="1" si="301"/>
        <v>4066.1099999999997</v>
      </c>
      <c r="AU150" s="96">
        <f t="shared" ca="1" si="301"/>
        <v>4066.1099999999997</v>
      </c>
      <c r="AV150" s="96">
        <f t="shared" ca="1" si="301"/>
        <v>48296.663999999997</v>
      </c>
      <c r="AW150" s="116"/>
      <c r="AX150" s="113"/>
      <c r="AY150" s="113"/>
    </row>
    <row r="151" spans="1:51">
      <c r="A151" s="93"/>
      <c r="B151" s="93"/>
      <c r="C151" s="93"/>
      <c r="D151" s="93"/>
      <c r="E151" s="93"/>
      <c r="F151" s="97" t="s">
        <v>3023</v>
      </c>
      <c r="G151" s="97"/>
      <c r="H151" s="93"/>
      <c r="I151" s="94"/>
      <c r="J151" s="98"/>
      <c r="K151" s="99"/>
      <c r="L151" s="99"/>
      <c r="M151" s="99"/>
      <c r="N151" s="99"/>
      <c r="O151" s="99"/>
      <c r="P151" s="99"/>
      <c r="Q151" s="99"/>
      <c r="R151" s="99"/>
      <c r="S151" s="99"/>
      <c r="T151" s="99"/>
      <c r="U151" s="99"/>
      <c r="V151" s="99"/>
      <c r="W151" s="100">
        <f>SUM(W120:W147)</f>
        <v>2764.2189999999996</v>
      </c>
      <c r="X151" s="100">
        <f t="shared" ref="X151:AV151" si="302">SUM(X120:X147)</f>
        <v>3028.2189999999996</v>
      </c>
      <c r="Y151" s="100">
        <f t="shared" si="302"/>
        <v>2900.1189999999997</v>
      </c>
      <c r="Z151" s="100">
        <f t="shared" si="302"/>
        <v>3261.2939999999994</v>
      </c>
      <c r="AA151" s="100">
        <f t="shared" si="302"/>
        <v>4531.6539999999995</v>
      </c>
      <c r="AB151" s="100">
        <f t="shared" si="302"/>
        <v>4519.6539999999995</v>
      </c>
      <c r="AC151" s="100">
        <f t="shared" si="302"/>
        <v>4531.6539999999995</v>
      </c>
      <c r="AD151" s="100">
        <f t="shared" si="302"/>
        <v>4667.6539999999995</v>
      </c>
      <c r="AE151" s="100">
        <f t="shared" si="302"/>
        <v>4667.6539999999995</v>
      </c>
      <c r="AF151" s="100">
        <f t="shared" si="302"/>
        <v>4667.6539999999995</v>
      </c>
      <c r="AG151" s="100">
        <f t="shared" si="302"/>
        <v>4667.6539999999995</v>
      </c>
      <c r="AH151" s="100">
        <f t="shared" si="302"/>
        <v>4763.6539999999995</v>
      </c>
      <c r="AI151" s="100">
        <f t="shared" si="302"/>
        <v>48971.082999999991</v>
      </c>
      <c r="AJ151" s="100">
        <f t="shared" si="302"/>
        <v>5362.2539999999999</v>
      </c>
      <c r="AK151" s="100">
        <f t="shared" si="302"/>
        <v>5362.2539999999999</v>
      </c>
      <c r="AL151" s="100">
        <f t="shared" si="302"/>
        <v>5362.2539999999999</v>
      </c>
      <c r="AM151" s="100">
        <f t="shared" si="302"/>
        <v>5362.2539999999999</v>
      </c>
      <c r="AN151" s="100">
        <f t="shared" si="302"/>
        <v>5362.2539999999999</v>
      </c>
      <c r="AO151" s="100">
        <f t="shared" si="302"/>
        <v>5362.2539999999999</v>
      </c>
      <c r="AP151" s="100">
        <f t="shared" si="302"/>
        <v>5445.03</v>
      </c>
      <c r="AQ151" s="100">
        <f t="shared" si="302"/>
        <v>5445.03</v>
      </c>
      <c r="AR151" s="100">
        <f t="shared" si="302"/>
        <v>5445.03</v>
      </c>
      <c r="AS151" s="100">
        <f t="shared" si="302"/>
        <v>5445.03</v>
      </c>
      <c r="AT151" s="100">
        <f t="shared" si="302"/>
        <v>5445.03</v>
      </c>
      <c r="AU151" s="100">
        <f t="shared" si="302"/>
        <v>5445.03</v>
      </c>
      <c r="AV151" s="100">
        <f t="shared" si="302"/>
        <v>64843.704000000012</v>
      </c>
      <c r="AW151" s="87"/>
      <c r="AX151" s="88"/>
      <c r="AY151" s="88"/>
    </row>
    <row r="152" spans="1:51">
      <c r="A152" s="93"/>
      <c r="B152" s="93"/>
      <c r="C152" s="93"/>
      <c r="D152" s="93"/>
      <c r="E152" s="93"/>
      <c r="F152" s="88"/>
      <c r="G152" s="88"/>
      <c r="H152" s="93"/>
      <c r="I152" s="94"/>
      <c r="J152" s="93"/>
      <c r="K152" s="93"/>
      <c r="L152" s="93"/>
      <c r="M152" s="93"/>
      <c r="N152" s="93"/>
      <c r="O152" s="93"/>
      <c r="P152" s="93"/>
      <c r="Q152" s="93"/>
      <c r="R152" s="93"/>
      <c r="S152" s="93"/>
      <c r="T152" s="93"/>
      <c r="U152" s="93"/>
      <c r="V152" s="93"/>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7"/>
      <c r="AX152" s="88"/>
      <c r="AY152" s="88"/>
    </row>
    <row r="153" spans="1:51">
      <c r="A153" s="93"/>
      <c r="B153" s="79" t="s">
        <v>3028</v>
      </c>
      <c r="C153" s="93"/>
      <c r="D153" s="93"/>
      <c r="E153" s="93"/>
      <c r="F153" s="88"/>
      <c r="G153" s="88"/>
      <c r="H153" s="93"/>
      <c r="I153" s="94"/>
      <c r="J153" s="103"/>
      <c r="K153" s="1219" t="s">
        <v>3002</v>
      </c>
      <c r="L153" s="1220"/>
      <c r="M153" s="1220"/>
      <c r="N153" s="1220"/>
      <c r="O153" s="1220"/>
      <c r="P153" s="1220"/>
      <c r="Q153" s="1220"/>
      <c r="R153" s="1220"/>
      <c r="S153" s="1220"/>
      <c r="T153" s="1220"/>
      <c r="U153" s="1220"/>
      <c r="V153" s="1221"/>
      <c r="W153" s="1222" t="s">
        <v>3026</v>
      </c>
      <c r="X153" s="1223"/>
      <c r="Y153" s="1223"/>
      <c r="Z153" s="1223"/>
      <c r="AA153" s="1223"/>
      <c r="AB153" s="1223"/>
      <c r="AC153" s="1223"/>
      <c r="AD153" s="1223"/>
      <c r="AE153" s="1223"/>
      <c r="AF153" s="1223"/>
      <c r="AG153" s="1223"/>
      <c r="AH153" s="1224"/>
      <c r="AI153" s="1223"/>
      <c r="AJ153" s="1222" t="s">
        <v>3003</v>
      </c>
      <c r="AK153" s="1223"/>
      <c r="AL153" s="1223"/>
      <c r="AM153" s="1223"/>
      <c r="AN153" s="1223"/>
      <c r="AO153" s="1223"/>
      <c r="AP153" s="1223"/>
      <c r="AQ153" s="1223"/>
      <c r="AR153" s="1223"/>
      <c r="AS153" s="1223"/>
      <c r="AT153" s="1223"/>
      <c r="AU153" s="1224"/>
      <c r="AV153" s="1223"/>
      <c r="AW153" s="87"/>
      <c r="AX153" s="88"/>
      <c r="AY153" s="88"/>
    </row>
    <row r="154" spans="1:51" s="14" customFormat="1">
      <c r="A154" s="104"/>
      <c r="B154" s="105" t="s">
        <v>3005</v>
      </c>
      <c r="C154" s="105" t="s">
        <v>3006</v>
      </c>
      <c r="D154" s="105" t="s">
        <v>3007</v>
      </c>
      <c r="E154" s="105" t="s">
        <v>3008</v>
      </c>
      <c r="F154" s="106" t="s">
        <v>3009</v>
      </c>
      <c r="G154" s="106"/>
      <c r="H154" s="107"/>
      <c r="I154" s="108" t="s">
        <v>3011</v>
      </c>
      <c r="J154" s="107"/>
      <c r="K154" s="107">
        <v>46023</v>
      </c>
      <c r="L154" s="107">
        <v>46054</v>
      </c>
      <c r="M154" s="107">
        <v>46082</v>
      </c>
      <c r="N154" s="107">
        <v>46113</v>
      </c>
      <c r="O154" s="107">
        <v>46143</v>
      </c>
      <c r="P154" s="107">
        <v>46174</v>
      </c>
      <c r="Q154" s="107">
        <v>46204</v>
      </c>
      <c r="R154" s="107">
        <v>46235</v>
      </c>
      <c r="S154" s="107">
        <v>46266</v>
      </c>
      <c r="T154" s="107">
        <v>46296</v>
      </c>
      <c r="U154" s="107">
        <v>46327</v>
      </c>
      <c r="V154" s="107">
        <v>46357</v>
      </c>
      <c r="W154" s="73">
        <f t="shared" ref="W154:AH154" si="303">+K154</f>
        <v>46023</v>
      </c>
      <c r="X154" s="73">
        <f t="shared" si="303"/>
        <v>46054</v>
      </c>
      <c r="Y154" s="73">
        <f t="shared" si="303"/>
        <v>46082</v>
      </c>
      <c r="Z154" s="73">
        <f t="shared" si="303"/>
        <v>46113</v>
      </c>
      <c r="AA154" s="73">
        <f t="shared" si="303"/>
        <v>46143</v>
      </c>
      <c r="AB154" s="73">
        <f t="shared" si="303"/>
        <v>46174</v>
      </c>
      <c r="AC154" s="73">
        <f t="shared" si="303"/>
        <v>46204</v>
      </c>
      <c r="AD154" s="73">
        <f t="shared" si="303"/>
        <v>46235</v>
      </c>
      <c r="AE154" s="73">
        <f t="shared" si="303"/>
        <v>46266</v>
      </c>
      <c r="AF154" s="73">
        <f t="shared" si="303"/>
        <v>46296</v>
      </c>
      <c r="AG154" s="73">
        <f t="shared" si="303"/>
        <v>46327</v>
      </c>
      <c r="AH154" s="73">
        <f t="shared" si="303"/>
        <v>46357</v>
      </c>
      <c r="AI154" s="109" t="str">
        <f>$AI$15</f>
        <v>Total 2026</v>
      </c>
      <c r="AJ154" s="73">
        <f t="shared" ref="AJ154:AU154" si="304">AJ$15</f>
        <v>46388</v>
      </c>
      <c r="AK154" s="73">
        <f t="shared" si="304"/>
        <v>46419</v>
      </c>
      <c r="AL154" s="73">
        <f t="shared" si="304"/>
        <v>46447</v>
      </c>
      <c r="AM154" s="73">
        <f t="shared" si="304"/>
        <v>46478</v>
      </c>
      <c r="AN154" s="73">
        <f t="shared" si="304"/>
        <v>46508</v>
      </c>
      <c r="AO154" s="73">
        <f t="shared" si="304"/>
        <v>46539</v>
      </c>
      <c r="AP154" s="73">
        <f t="shared" si="304"/>
        <v>46569</v>
      </c>
      <c r="AQ154" s="73">
        <f t="shared" si="304"/>
        <v>46600</v>
      </c>
      <c r="AR154" s="73">
        <f t="shared" si="304"/>
        <v>46631</v>
      </c>
      <c r="AS154" s="73">
        <f t="shared" si="304"/>
        <v>46661</v>
      </c>
      <c r="AT154" s="73">
        <f t="shared" si="304"/>
        <v>46692</v>
      </c>
      <c r="AU154" s="73">
        <f t="shared" si="304"/>
        <v>46722</v>
      </c>
      <c r="AV154" s="73" t="s">
        <v>3013</v>
      </c>
      <c r="AW154" s="110"/>
      <c r="AX154" s="111"/>
      <c r="AY154" s="111"/>
    </row>
    <row r="155" spans="1:51">
      <c r="A155" s="93"/>
      <c r="B155" s="80"/>
      <c r="C155" s="80"/>
      <c r="D155" s="80"/>
      <c r="E155" s="80"/>
      <c r="F155" s="82"/>
      <c r="G155" s="82"/>
      <c r="H155" s="80"/>
      <c r="I155" s="112"/>
      <c r="J155" s="80"/>
      <c r="K155" s="84"/>
      <c r="L155" s="84"/>
      <c r="M155" s="84"/>
      <c r="N155" s="84"/>
      <c r="O155" s="84"/>
      <c r="P155" s="84"/>
      <c r="Q155" s="84"/>
      <c r="R155" s="84"/>
      <c r="S155" s="84"/>
      <c r="T155" s="84"/>
      <c r="U155" s="84"/>
      <c r="V155" s="84"/>
      <c r="W155" s="85"/>
      <c r="X155" s="85"/>
      <c r="Y155" s="85"/>
      <c r="Z155" s="85"/>
      <c r="AA155" s="85"/>
      <c r="AB155" s="85"/>
      <c r="AC155" s="85"/>
      <c r="AD155" s="85"/>
      <c r="AE155" s="85"/>
      <c r="AF155" s="85"/>
      <c r="AG155" s="85"/>
      <c r="AH155" s="85"/>
      <c r="AI155" s="85"/>
      <c r="AJ155" s="85"/>
      <c r="AK155" s="85"/>
      <c r="AL155" s="85"/>
      <c r="AM155" s="85"/>
      <c r="AN155" s="85"/>
      <c r="AO155" s="85"/>
      <c r="AP155" s="85"/>
      <c r="AQ155" s="85"/>
      <c r="AR155" s="85"/>
      <c r="AS155" s="85"/>
      <c r="AT155" s="85"/>
      <c r="AU155" s="85"/>
      <c r="AV155" s="85"/>
      <c r="AW155" s="87"/>
      <c r="AX155" s="88"/>
      <c r="AY155" s="88"/>
    </row>
    <row r="156" spans="1:51">
      <c r="A156" s="79" t="s">
        <v>3028</v>
      </c>
      <c r="B156" s="80" t="str">
        <f t="shared" ref="B156:B175" si="305">B17</f>
        <v>ACPSZL</v>
      </c>
      <c r="C156" s="80" t="str">
        <f t="shared" ref="C156:C175" si="306">C17</f>
        <v>深圳户籍</v>
      </c>
      <c r="D156" s="80" t="str">
        <f t="shared" ref="D156:D175" si="307">D17</f>
        <v>Professional</v>
      </c>
      <c r="E156" s="80">
        <f t="shared" ref="E156:E175" si="308">E17</f>
        <v>0</v>
      </c>
      <c r="F156" s="81">
        <f t="shared" ref="F156:F175" si="309">F17</f>
        <v>83000</v>
      </c>
      <c r="G156" s="81"/>
      <c r="H156" s="82" t="str">
        <f t="shared" ref="H156:H175" si="310">H17</f>
        <v>郭宗林</v>
      </c>
      <c r="I156" s="83">
        <f t="shared" ref="I156:I175" si="311">I17</f>
        <v>0</v>
      </c>
      <c r="J156" s="82"/>
      <c r="K156" s="84"/>
      <c r="L156" s="84"/>
      <c r="M156" s="84"/>
      <c r="N156" s="84"/>
      <c r="O156" s="84"/>
      <c r="P156" s="84"/>
      <c r="Q156" s="84"/>
      <c r="R156" s="84"/>
      <c r="S156" s="84"/>
      <c r="T156" s="84"/>
      <c r="U156" s="84"/>
      <c r="V156" s="84"/>
      <c r="W156" s="85">
        <v>0</v>
      </c>
      <c r="X156" s="85">
        <v>0</v>
      </c>
      <c r="Y156" s="85">
        <v>0</v>
      </c>
      <c r="Z156" s="85">
        <v>0</v>
      </c>
      <c r="AA156" s="85">
        <v>0</v>
      </c>
      <c r="AB156" s="85">
        <v>0</v>
      </c>
      <c r="AC156" s="85">
        <v>0</v>
      </c>
      <c r="AD156" s="85">
        <v>0</v>
      </c>
      <c r="AE156" s="85">
        <v>0</v>
      </c>
      <c r="AF156" s="85">
        <v>0</v>
      </c>
      <c r="AG156" s="85">
        <v>0</v>
      </c>
      <c r="AH156" s="85">
        <v>0</v>
      </c>
      <c r="AI156" s="86">
        <f t="shared" ref="AI156:AI162" si="312">SUM(W156:AH156)</f>
        <v>0</v>
      </c>
      <c r="AJ156" s="85">
        <v>0</v>
      </c>
      <c r="AK156" s="85"/>
      <c r="AL156" s="85"/>
      <c r="AM156" s="85"/>
      <c r="AN156" s="85"/>
      <c r="AO156" s="85"/>
      <c r="AP156" s="85"/>
      <c r="AQ156" s="85"/>
      <c r="AR156" s="85"/>
      <c r="AS156" s="85"/>
      <c r="AT156" s="85"/>
      <c r="AU156" s="85"/>
      <c r="AV156" s="86">
        <f t="shared" ref="AV156:AV162" si="313">SUM(AJ156:AU156)</f>
        <v>0</v>
      </c>
      <c r="AW156" s="87"/>
      <c r="AX156" s="88"/>
      <c r="AY156" s="88"/>
    </row>
    <row r="157" spans="1:51">
      <c r="A157" s="79" t="s">
        <v>3028</v>
      </c>
      <c r="B157" s="80" t="str">
        <f t="shared" si="305"/>
        <v>ACPSZL</v>
      </c>
      <c r="C157" s="80" t="str">
        <f t="shared" si="306"/>
        <v>深圳户籍</v>
      </c>
      <c r="D157" s="80" t="str">
        <f t="shared" si="307"/>
        <v>Professional</v>
      </c>
      <c r="E157" s="80">
        <f t="shared" si="308"/>
        <v>0</v>
      </c>
      <c r="F157" s="81">
        <f t="shared" si="309"/>
        <v>70000</v>
      </c>
      <c r="G157" s="81"/>
      <c r="H157" s="82" t="str">
        <f t="shared" si="310"/>
        <v>陈灿</v>
      </c>
      <c r="I157" s="83">
        <f t="shared" si="311"/>
        <v>0</v>
      </c>
      <c r="J157" s="82"/>
      <c r="K157" s="84"/>
      <c r="L157" s="84"/>
      <c r="M157" s="84"/>
      <c r="N157" s="84"/>
      <c r="O157" s="84"/>
      <c r="P157" s="84"/>
      <c r="Q157" s="84"/>
      <c r="R157" s="84"/>
      <c r="S157" s="84"/>
      <c r="T157" s="84"/>
      <c r="U157" s="84"/>
      <c r="V157" s="84"/>
      <c r="W157" s="85">
        <f>65000*$AJ$8</f>
        <v>130</v>
      </c>
      <c r="X157" s="85"/>
      <c r="Y157" s="85"/>
      <c r="Z157" s="85"/>
      <c r="AA157" s="85"/>
      <c r="AB157" s="85"/>
      <c r="AC157" s="85"/>
      <c r="AD157" s="85"/>
      <c r="AE157" s="85"/>
      <c r="AF157" s="85"/>
      <c r="AG157" s="85"/>
      <c r="AH157" s="85"/>
      <c r="AI157" s="86">
        <f t="shared" si="312"/>
        <v>130</v>
      </c>
      <c r="AJ157" s="121"/>
      <c r="AK157" s="121"/>
      <c r="AL157" s="121"/>
      <c r="AM157" s="121"/>
      <c r="AN157" s="121"/>
      <c r="AO157" s="121"/>
      <c r="AP157" s="121"/>
      <c r="AQ157" s="121"/>
      <c r="AR157" s="121"/>
      <c r="AS157" s="121"/>
      <c r="AT157" s="121"/>
      <c r="AU157" s="121"/>
      <c r="AV157" s="86">
        <f t="shared" si="313"/>
        <v>0</v>
      </c>
      <c r="AW157" s="87"/>
      <c r="AX157" s="88"/>
      <c r="AY157" s="88"/>
    </row>
    <row r="158" spans="1:51">
      <c r="A158" s="79" t="s">
        <v>3028</v>
      </c>
      <c r="B158" s="80" t="str">
        <f t="shared" si="305"/>
        <v>ACPSZL</v>
      </c>
      <c r="C158" s="80" t="str">
        <f t="shared" si="306"/>
        <v>深圳户籍</v>
      </c>
      <c r="D158" s="80" t="str">
        <f t="shared" si="307"/>
        <v>Professional</v>
      </c>
      <c r="E158" s="80">
        <f t="shared" si="308"/>
        <v>0</v>
      </c>
      <c r="F158" s="81">
        <f t="shared" si="309"/>
        <v>27000</v>
      </c>
      <c r="G158" s="81"/>
      <c r="H158" s="82" t="str">
        <f t="shared" si="310"/>
        <v>林秋蝶</v>
      </c>
      <c r="I158" s="83">
        <f t="shared" si="311"/>
        <v>0</v>
      </c>
      <c r="J158" s="82"/>
      <c r="K158" s="84"/>
      <c r="L158" s="84"/>
      <c r="M158" s="84"/>
      <c r="N158" s="84"/>
      <c r="O158" s="84"/>
      <c r="P158" s="84"/>
      <c r="Q158" s="84"/>
      <c r="R158" s="84"/>
      <c r="S158" s="84"/>
      <c r="T158" s="84"/>
      <c r="U158" s="84"/>
      <c r="V158" s="84"/>
      <c r="W158" s="85">
        <f>VLOOKUP($H158,$H$15:$AH$46,W$16,FALSE)*$AJ$8</f>
        <v>54</v>
      </c>
      <c r="X158" s="85">
        <f t="shared" ref="X158:AH158" si="314">VLOOKUP($H158,$H$15:$AH$46,X$16,FALSE)*$AJ$8</f>
        <v>54</v>
      </c>
      <c r="Y158" s="85">
        <f t="shared" si="314"/>
        <v>54</v>
      </c>
      <c r="Z158" s="85">
        <f t="shared" si="314"/>
        <v>54</v>
      </c>
      <c r="AA158" s="85">
        <f t="shared" si="314"/>
        <v>54</v>
      </c>
      <c r="AB158" s="85">
        <f t="shared" si="314"/>
        <v>54</v>
      </c>
      <c r="AC158" s="85">
        <f t="shared" si="314"/>
        <v>54</v>
      </c>
      <c r="AD158" s="85">
        <f t="shared" si="314"/>
        <v>54</v>
      </c>
      <c r="AE158" s="85">
        <f t="shared" si="314"/>
        <v>54</v>
      </c>
      <c r="AF158" s="85">
        <f t="shared" si="314"/>
        <v>54</v>
      </c>
      <c r="AG158" s="85">
        <f t="shared" si="314"/>
        <v>54</v>
      </c>
      <c r="AH158" s="85">
        <f t="shared" si="314"/>
        <v>54</v>
      </c>
      <c r="AI158" s="86">
        <f t="shared" si="312"/>
        <v>648</v>
      </c>
      <c r="AJ158" s="85">
        <f>VLOOKUP($H158,$H$15:$AU$46,AJ$16,FALSE)*$AJ$8</f>
        <v>56.7</v>
      </c>
      <c r="AK158" s="85">
        <f t="shared" ref="AK158:AU158" si="315">VLOOKUP($H158,$H$15:$AU$46,AK$16,FALSE)*$AJ$8</f>
        <v>56.7</v>
      </c>
      <c r="AL158" s="85">
        <f t="shared" si="315"/>
        <v>56.7</v>
      </c>
      <c r="AM158" s="85">
        <f t="shared" si="315"/>
        <v>56.7</v>
      </c>
      <c r="AN158" s="85">
        <f t="shared" si="315"/>
        <v>56.7</v>
      </c>
      <c r="AO158" s="85">
        <f t="shared" si="315"/>
        <v>56.7</v>
      </c>
      <c r="AP158" s="85">
        <f t="shared" si="315"/>
        <v>56.7</v>
      </c>
      <c r="AQ158" s="85">
        <f t="shared" si="315"/>
        <v>56.7</v>
      </c>
      <c r="AR158" s="85">
        <f t="shared" si="315"/>
        <v>56.7</v>
      </c>
      <c r="AS158" s="85">
        <f t="shared" si="315"/>
        <v>56.7</v>
      </c>
      <c r="AT158" s="85">
        <f t="shared" si="315"/>
        <v>56.7</v>
      </c>
      <c r="AU158" s="85">
        <f t="shared" si="315"/>
        <v>56.7</v>
      </c>
      <c r="AV158" s="86">
        <f t="shared" si="313"/>
        <v>680.40000000000009</v>
      </c>
      <c r="AW158" s="87"/>
      <c r="AX158" s="88"/>
      <c r="AY158" s="88"/>
    </row>
    <row r="159" spans="1:51">
      <c r="A159" s="79" t="s">
        <v>3028</v>
      </c>
      <c r="B159" s="80" t="str">
        <f t="shared" si="305"/>
        <v>ACPLSZ</v>
      </c>
      <c r="C159" s="80" t="str">
        <f t="shared" si="306"/>
        <v>深圳户籍</v>
      </c>
      <c r="D159" s="80" t="str">
        <f t="shared" si="307"/>
        <v>Professional</v>
      </c>
      <c r="E159" s="80">
        <f t="shared" si="308"/>
        <v>0</v>
      </c>
      <c r="F159" s="81">
        <f t="shared" si="309"/>
        <v>17000</v>
      </c>
      <c r="G159" s="81"/>
      <c r="H159" s="82" t="str">
        <f t="shared" si="310"/>
        <v>陈斌捷</v>
      </c>
      <c r="I159" s="83">
        <f t="shared" si="311"/>
        <v>8.8235294117646967E-2</v>
      </c>
      <c r="J159" s="82"/>
      <c r="K159" s="84"/>
      <c r="L159" s="84"/>
      <c r="M159" s="84"/>
      <c r="N159" s="84"/>
      <c r="O159" s="84"/>
      <c r="P159" s="84"/>
      <c r="Q159" s="84"/>
      <c r="R159" s="84"/>
      <c r="S159" s="84"/>
      <c r="T159" s="84"/>
      <c r="U159" s="84"/>
      <c r="V159" s="84"/>
      <c r="W159" s="85">
        <f>VLOOKUP($H159,$H$15:$AH$46,W$16,FALSE)*$AJ$10</f>
        <v>68</v>
      </c>
      <c r="X159" s="85">
        <f t="shared" ref="X159:AH159" si="316">VLOOKUP($H159,$H$15:$AH$46,X$16,FALSE)*$AJ$10</f>
        <v>68</v>
      </c>
      <c r="Y159" s="85">
        <f t="shared" si="316"/>
        <v>68</v>
      </c>
      <c r="Z159" s="85">
        <f t="shared" si="316"/>
        <v>74</v>
      </c>
      <c r="AA159" s="85">
        <f t="shared" si="316"/>
        <v>74</v>
      </c>
      <c r="AB159" s="85">
        <f t="shared" si="316"/>
        <v>74</v>
      </c>
      <c r="AC159" s="85">
        <f t="shared" si="316"/>
        <v>74</v>
      </c>
      <c r="AD159" s="85">
        <f t="shared" si="316"/>
        <v>74</v>
      </c>
      <c r="AE159" s="85">
        <f t="shared" si="316"/>
        <v>74</v>
      </c>
      <c r="AF159" s="85">
        <f t="shared" si="316"/>
        <v>74</v>
      </c>
      <c r="AG159" s="85">
        <f t="shared" si="316"/>
        <v>74</v>
      </c>
      <c r="AH159" s="85">
        <f t="shared" si="316"/>
        <v>74</v>
      </c>
      <c r="AI159" s="86">
        <f t="shared" si="312"/>
        <v>870</v>
      </c>
      <c r="AJ159" s="121">
        <f>VLOOKUP($H159,$H$15:$AU$46,AJ$16,FALSE)*$AJ$10</f>
        <v>77.7</v>
      </c>
      <c r="AK159" s="121">
        <f t="shared" ref="AK159:AU159" si="317">VLOOKUP($H159,$H$15:$AU$46,AK$16,FALSE)*$AJ$10</f>
        <v>77.7</v>
      </c>
      <c r="AL159" s="121">
        <f t="shared" si="317"/>
        <v>77.7</v>
      </c>
      <c r="AM159" s="121">
        <f t="shared" si="317"/>
        <v>77.7</v>
      </c>
      <c r="AN159" s="121">
        <f t="shared" si="317"/>
        <v>77.7</v>
      </c>
      <c r="AO159" s="121">
        <f t="shared" si="317"/>
        <v>77.7</v>
      </c>
      <c r="AP159" s="121">
        <f t="shared" si="317"/>
        <v>77.7</v>
      </c>
      <c r="AQ159" s="121">
        <f t="shared" si="317"/>
        <v>77.7</v>
      </c>
      <c r="AR159" s="121">
        <f t="shared" si="317"/>
        <v>77.7</v>
      </c>
      <c r="AS159" s="121">
        <f t="shared" si="317"/>
        <v>77.7</v>
      </c>
      <c r="AT159" s="121">
        <f t="shared" si="317"/>
        <v>77.7</v>
      </c>
      <c r="AU159" s="121">
        <f t="shared" si="317"/>
        <v>77.7</v>
      </c>
      <c r="AV159" s="86">
        <f t="shared" si="313"/>
        <v>932.4000000000002</v>
      </c>
      <c r="AW159" s="87"/>
      <c r="AX159" s="88"/>
      <c r="AY159" s="88"/>
    </row>
    <row r="160" spans="1:51">
      <c r="A160" s="79" t="s">
        <v>3028</v>
      </c>
      <c r="B160" s="80" t="str">
        <f t="shared" si="305"/>
        <v>ACPSZL</v>
      </c>
      <c r="C160" s="80" t="str">
        <f t="shared" si="306"/>
        <v>深圳户籍</v>
      </c>
      <c r="D160" s="80" t="str">
        <f t="shared" si="307"/>
        <v>Professional</v>
      </c>
      <c r="E160" s="80">
        <f t="shared" si="308"/>
        <v>0</v>
      </c>
      <c r="F160" s="82">
        <f t="shared" si="309"/>
        <v>20000</v>
      </c>
      <c r="G160" s="82"/>
      <c r="H160" s="82" t="str">
        <f t="shared" si="310"/>
        <v>陈广华</v>
      </c>
      <c r="I160" s="83">
        <f t="shared" si="311"/>
        <v>0</v>
      </c>
      <c r="J160" s="82"/>
      <c r="K160" s="84"/>
      <c r="L160" s="84"/>
      <c r="M160" s="84"/>
      <c r="N160" s="84"/>
      <c r="O160" s="84"/>
      <c r="P160" s="84"/>
      <c r="Q160" s="84"/>
      <c r="R160" s="84"/>
      <c r="S160" s="84"/>
      <c r="T160" s="84"/>
      <c r="U160" s="84"/>
      <c r="V160" s="84"/>
      <c r="W160" s="85">
        <f t="shared" ref="W160:AH160" si="318">VLOOKUP($H160,$H$15:$AH$46,W$16,FALSE)*$AJ$8</f>
        <v>40</v>
      </c>
      <c r="X160" s="85">
        <f t="shared" si="318"/>
        <v>40</v>
      </c>
      <c r="Y160" s="85">
        <f t="shared" si="318"/>
        <v>40</v>
      </c>
      <c r="Z160" s="85">
        <f t="shared" si="318"/>
        <v>40</v>
      </c>
      <c r="AA160" s="85">
        <f t="shared" si="318"/>
        <v>40</v>
      </c>
      <c r="AB160" s="85">
        <f t="shared" si="318"/>
        <v>40</v>
      </c>
      <c r="AC160" s="85">
        <f t="shared" si="318"/>
        <v>40</v>
      </c>
      <c r="AD160" s="85">
        <f t="shared" si="318"/>
        <v>40</v>
      </c>
      <c r="AE160" s="85">
        <f t="shared" si="318"/>
        <v>40</v>
      </c>
      <c r="AF160" s="85">
        <f t="shared" si="318"/>
        <v>40</v>
      </c>
      <c r="AG160" s="85">
        <f t="shared" si="318"/>
        <v>40</v>
      </c>
      <c r="AH160" s="85">
        <f t="shared" si="318"/>
        <v>40</v>
      </c>
      <c r="AI160" s="86">
        <f t="shared" si="312"/>
        <v>480</v>
      </c>
      <c r="AJ160" s="85">
        <f t="shared" ref="AJ160:AU160" si="319">VLOOKUP($H160,$H$15:$AU$46,AJ$16,FALSE)*$AJ$8</f>
        <v>42</v>
      </c>
      <c r="AK160" s="85">
        <f t="shared" si="319"/>
        <v>42</v>
      </c>
      <c r="AL160" s="85">
        <f t="shared" si="319"/>
        <v>42</v>
      </c>
      <c r="AM160" s="85">
        <f t="shared" si="319"/>
        <v>42</v>
      </c>
      <c r="AN160" s="85">
        <f t="shared" si="319"/>
        <v>42</v>
      </c>
      <c r="AO160" s="85">
        <f t="shared" si="319"/>
        <v>42</v>
      </c>
      <c r="AP160" s="85">
        <f t="shared" si="319"/>
        <v>42</v>
      </c>
      <c r="AQ160" s="85">
        <f t="shared" si="319"/>
        <v>42</v>
      </c>
      <c r="AR160" s="85">
        <f t="shared" si="319"/>
        <v>42</v>
      </c>
      <c r="AS160" s="85">
        <f t="shared" si="319"/>
        <v>42</v>
      </c>
      <c r="AT160" s="85">
        <f t="shared" si="319"/>
        <v>42</v>
      </c>
      <c r="AU160" s="85">
        <f t="shared" si="319"/>
        <v>42</v>
      </c>
      <c r="AV160" s="86">
        <f t="shared" si="313"/>
        <v>504</v>
      </c>
      <c r="AW160" s="87"/>
      <c r="AX160" s="88"/>
      <c r="AY160" s="88"/>
    </row>
    <row r="161" spans="1:51">
      <c r="A161" s="79" t="s">
        <v>3028</v>
      </c>
      <c r="B161" s="80" t="str">
        <f t="shared" si="305"/>
        <v>ACPSZL</v>
      </c>
      <c r="C161" s="80" t="str">
        <f t="shared" si="306"/>
        <v>非深圳户籍</v>
      </c>
      <c r="D161" s="80" t="str">
        <f t="shared" si="307"/>
        <v>Professional</v>
      </c>
      <c r="E161" s="80">
        <f t="shared" si="308"/>
        <v>0</v>
      </c>
      <c r="F161" s="82">
        <f t="shared" si="309"/>
        <v>50000</v>
      </c>
      <c r="G161" s="82"/>
      <c r="H161" s="82" t="str">
        <f t="shared" si="310"/>
        <v>冷雨尘</v>
      </c>
      <c r="I161" s="83">
        <f t="shared" si="311"/>
        <v>0</v>
      </c>
      <c r="J161" s="82"/>
      <c r="K161" s="84"/>
      <c r="L161" s="84"/>
      <c r="M161" s="84"/>
      <c r="N161" s="84"/>
      <c r="O161" s="84"/>
      <c r="P161" s="84"/>
      <c r="Q161" s="84"/>
      <c r="R161" s="84"/>
      <c r="S161" s="84"/>
      <c r="T161" s="84"/>
      <c r="U161" s="84"/>
      <c r="V161" s="84"/>
      <c r="W161" s="85">
        <f t="shared" ref="W161:AH161" si="320">VLOOKUP($H161,$H$15:$AH$46,W$16,FALSE)*$AJ$8</f>
        <v>100</v>
      </c>
      <c r="X161" s="85">
        <f t="shared" si="320"/>
        <v>100</v>
      </c>
      <c r="Y161" s="85">
        <f t="shared" si="320"/>
        <v>100</v>
      </c>
      <c r="Z161" s="85">
        <f t="shared" si="320"/>
        <v>100</v>
      </c>
      <c r="AA161" s="85">
        <f t="shared" si="320"/>
        <v>100</v>
      </c>
      <c r="AB161" s="85">
        <f t="shared" si="320"/>
        <v>100</v>
      </c>
      <c r="AC161" s="85">
        <f t="shared" si="320"/>
        <v>100</v>
      </c>
      <c r="AD161" s="85">
        <f t="shared" si="320"/>
        <v>100</v>
      </c>
      <c r="AE161" s="85">
        <f t="shared" si="320"/>
        <v>100</v>
      </c>
      <c r="AF161" s="85">
        <f t="shared" si="320"/>
        <v>100</v>
      </c>
      <c r="AG161" s="85">
        <f t="shared" si="320"/>
        <v>100</v>
      </c>
      <c r="AH161" s="85">
        <f t="shared" si="320"/>
        <v>100</v>
      </c>
      <c r="AI161" s="86">
        <f t="shared" si="312"/>
        <v>1200</v>
      </c>
      <c r="AJ161" s="85">
        <f t="shared" ref="AJ161:AU161" si="321">VLOOKUP($H161,$H$15:$AU$46,AJ$16,FALSE)*$AJ$9</f>
        <v>105</v>
      </c>
      <c r="AK161" s="85">
        <f t="shared" si="321"/>
        <v>105</v>
      </c>
      <c r="AL161" s="85">
        <f t="shared" si="321"/>
        <v>105</v>
      </c>
      <c r="AM161" s="85">
        <f t="shared" si="321"/>
        <v>105</v>
      </c>
      <c r="AN161" s="85">
        <f t="shared" si="321"/>
        <v>105</v>
      </c>
      <c r="AO161" s="85">
        <f t="shared" si="321"/>
        <v>105</v>
      </c>
      <c r="AP161" s="85">
        <f t="shared" si="321"/>
        <v>105</v>
      </c>
      <c r="AQ161" s="85">
        <f t="shared" si="321"/>
        <v>105</v>
      </c>
      <c r="AR161" s="85">
        <f t="shared" si="321"/>
        <v>105</v>
      </c>
      <c r="AS161" s="85">
        <f t="shared" si="321"/>
        <v>105</v>
      </c>
      <c r="AT161" s="85">
        <f t="shared" si="321"/>
        <v>105</v>
      </c>
      <c r="AU161" s="85">
        <f t="shared" si="321"/>
        <v>105</v>
      </c>
      <c r="AV161" s="86">
        <f t="shared" si="313"/>
        <v>1260</v>
      </c>
      <c r="AW161" s="87"/>
      <c r="AX161" s="88"/>
      <c r="AY161" s="88"/>
    </row>
    <row r="162" spans="1:51">
      <c r="A162" s="79" t="s">
        <v>3028</v>
      </c>
      <c r="B162" s="80" t="str">
        <f t="shared" si="305"/>
        <v>ACPSZL</v>
      </c>
      <c r="C162" s="80" t="str">
        <f t="shared" si="306"/>
        <v>深圳户籍</v>
      </c>
      <c r="D162" s="80" t="str">
        <f t="shared" si="307"/>
        <v>Professional</v>
      </c>
      <c r="E162" s="80">
        <f t="shared" si="308"/>
        <v>0</v>
      </c>
      <c r="F162" s="82">
        <f t="shared" si="309"/>
        <v>35000</v>
      </c>
      <c r="G162" s="82"/>
      <c r="H162" s="82" t="str">
        <f t="shared" si="310"/>
        <v>李敏宽</v>
      </c>
      <c r="I162" s="83">
        <f t="shared" si="311"/>
        <v>0.14285714285714279</v>
      </c>
      <c r="J162" s="82"/>
      <c r="K162" s="84"/>
      <c r="L162" s="84"/>
      <c r="M162" s="84"/>
      <c r="N162" s="84"/>
      <c r="O162" s="84"/>
      <c r="P162" s="84"/>
      <c r="Q162" s="84"/>
      <c r="R162" s="84"/>
      <c r="S162" s="84"/>
      <c r="T162" s="84"/>
      <c r="U162" s="84"/>
      <c r="V162" s="84"/>
      <c r="W162" s="85">
        <f t="shared" ref="W162:AH162" si="322">VLOOKUP($H162,$H$15:$AH$46,W$16,FALSE)*$AJ$8</f>
        <v>70</v>
      </c>
      <c r="X162" s="85">
        <f t="shared" si="322"/>
        <v>70</v>
      </c>
      <c r="Y162" s="85">
        <f t="shared" si="322"/>
        <v>70</v>
      </c>
      <c r="Z162" s="85">
        <f t="shared" si="322"/>
        <v>80</v>
      </c>
      <c r="AA162" s="85">
        <f t="shared" si="322"/>
        <v>80</v>
      </c>
      <c r="AB162" s="85">
        <f t="shared" si="322"/>
        <v>80</v>
      </c>
      <c r="AC162" s="85">
        <f t="shared" si="322"/>
        <v>80</v>
      </c>
      <c r="AD162" s="85">
        <f t="shared" si="322"/>
        <v>80</v>
      </c>
      <c r="AE162" s="85">
        <f t="shared" si="322"/>
        <v>80</v>
      </c>
      <c r="AF162" s="85">
        <f t="shared" si="322"/>
        <v>80</v>
      </c>
      <c r="AG162" s="85">
        <f t="shared" si="322"/>
        <v>80</v>
      </c>
      <c r="AH162" s="85">
        <f t="shared" si="322"/>
        <v>80</v>
      </c>
      <c r="AI162" s="86">
        <f t="shared" si="312"/>
        <v>930</v>
      </c>
      <c r="AJ162" s="85">
        <f>VLOOKUP($H162,$H$15:$AU$46,AJ$16,FALSE)*$AJ$8</f>
        <v>84</v>
      </c>
      <c r="AK162" s="85">
        <f t="shared" ref="AK162:AU162" si="323">VLOOKUP($H162,$H$15:$AU$46,AK$16,FALSE)*$AJ$8</f>
        <v>84</v>
      </c>
      <c r="AL162" s="85">
        <f t="shared" si="323"/>
        <v>84</v>
      </c>
      <c r="AM162" s="85">
        <f t="shared" si="323"/>
        <v>84</v>
      </c>
      <c r="AN162" s="85">
        <f t="shared" si="323"/>
        <v>84</v>
      </c>
      <c r="AO162" s="85">
        <f t="shared" si="323"/>
        <v>84</v>
      </c>
      <c r="AP162" s="85">
        <f t="shared" si="323"/>
        <v>84</v>
      </c>
      <c r="AQ162" s="85">
        <f t="shared" si="323"/>
        <v>84</v>
      </c>
      <c r="AR162" s="85">
        <f t="shared" si="323"/>
        <v>84</v>
      </c>
      <c r="AS162" s="85">
        <f t="shared" si="323"/>
        <v>84</v>
      </c>
      <c r="AT162" s="85">
        <f t="shared" si="323"/>
        <v>84</v>
      </c>
      <c r="AU162" s="85">
        <f t="shared" si="323"/>
        <v>84</v>
      </c>
      <c r="AV162" s="86">
        <f t="shared" si="313"/>
        <v>1008</v>
      </c>
      <c r="AW162" s="87"/>
      <c r="AX162" s="88"/>
      <c r="AY162" s="88"/>
    </row>
    <row r="163" spans="1:51">
      <c r="A163" s="79" t="s">
        <v>3028</v>
      </c>
      <c r="B163" s="80" t="str">
        <f t="shared" si="305"/>
        <v>ACPLSZ</v>
      </c>
      <c r="C163" s="80" t="str">
        <f t="shared" si="306"/>
        <v>非深圳户籍</v>
      </c>
      <c r="D163" s="80" t="str">
        <f t="shared" si="307"/>
        <v>Professional</v>
      </c>
      <c r="E163" s="80">
        <f t="shared" si="308"/>
        <v>0</v>
      </c>
      <c r="F163" s="81">
        <f t="shared" si="309"/>
        <v>44250</v>
      </c>
      <c r="G163" s="81"/>
      <c r="H163" s="82" t="str">
        <f t="shared" si="310"/>
        <v>高焙</v>
      </c>
      <c r="I163" s="83">
        <f t="shared" si="311"/>
        <v>0.12994350282485878</v>
      </c>
      <c r="J163" s="82"/>
      <c r="K163" s="84"/>
      <c r="L163" s="84"/>
      <c r="M163" s="84"/>
      <c r="N163" s="84"/>
      <c r="O163" s="84"/>
      <c r="P163" s="84"/>
      <c r="Q163" s="84"/>
      <c r="R163" s="84"/>
      <c r="S163" s="84"/>
      <c r="T163" s="84"/>
      <c r="U163" s="84"/>
      <c r="V163" s="84"/>
      <c r="W163" s="121">
        <f>44250*$AJ$10</f>
        <v>177</v>
      </c>
      <c r="X163" s="121">
        <f t="shared" ref="X163:AH163" si="324">44250*$AJ$10</f>
        <v>177</v>
      </c>
      <c r="Y163" s="121">
        <f t="shared" si="324"/>
        <v>177</v>
      </c>
      <c r="Z163" s="121">
        <f t="shared" si="324"/>
        <v>177</v>
      </c>
      <c r="AA163" s="121">
        <f t="shared" si="324"/>
        <v>177</v>
      </c>
      <c r="AB163" s="121">
        <f t="shared" si="324"/>
        <v>177</v>
      </c>
      <c r="AC163" s="121">
        <f t="shared" si="324"/>
        <v>177</v>
      </c>
      <c r="AD163" s="121">
        <f t="shared" si="324"/>
        <v>177</v>
      </c>
      <c r="AE163" s="121">
        <f t="shared" si="324"/>
        <v>177</v>
      </c>
      <c r="AF163" s="121">
        <f t="shared" si="324"/>
        <v>177</v>
      </c>
      <c r="AG163" s="121">
        <f t="shared" si="324"/>
        <v>177</v>
      </c>
      <c r="AH163" s="121">
        <f t="shared" si="324"/>
        <v>177</v>
      </c>
      <c r="AI163" s="86">
        <f t="shared" ref="AI163:AI175" si="325">SUM(W163:AH163)</f>
        <v>2124</v>
      </c>
      <c r="AJ163" s="85">
        <f t="shared" ref="AJ163:AU163" si="326">VLOOKUP($H163,$H$15:$AU$46,AJ$16,FALSE)*$AJ$10</f>
        <v>210</v>
      </c>
      <c r="AK163" s="85">
        <f t="shared" si="326"/>
        <v>210</v>
      </c>
      <c r="AL163" s="85">
        <f t="shared" si="326"/>
        <v>210</v>
      </c>
      <c r="AM163" s="85">
        <f t="shared" si="326"/>
        <v>210</v>
      </c>
      <c r="AN163" s="85">
        <f t="shared" si="326"/>
        <v>210</v>
      </c>
      <c r="AO163" s="85">
        <f t="shared" si="326"/>
        <v>210</v>
      </c>
      <c r="AP163" s="85">
        <f t="shared" si="326"/>
        <v>210</v>
      </c>
      <c r="AQ163" s="85">
        <f t="shared" si="326"/>
        <v>210</v>
      </c>
      <c r="AR163" s="85">
        <f t="shared" si="326"/>
        <v>210</v>
      </c>
      <c r="AS163" s="85">
        <f t="shared" si="326"/>
        <v>210</v>
      </c>
      <c r="AT163" s="85">
        <f t="shared" si="326"/>
        <v>210</v>
      </c>
      <c r="AU163" s="85">
        <f t="shared" si="326"/>
        <v>210</v>
      </c>
      <c r="AV163" s="86">
        <f t="shared" ref="AV163:AV177" si="327">SUM(AJ163:AU163)</f>
        <v>2520</v>
      </c>
      <c r="AW163" s="87"/>
      <c r="AX163" s="88"/>
      <c r="AY163" s="88"/>
    </row>
    <row r="164" spans="1:51">
      <c r="A164" s="79" t="s">
        <v>3028</v>
      </c>
      <c r="B164" s="80" t="str">
        <f t="shared" si="305"/>
        <v>ACPLSZ</v>
      </c>
      <c r="C164" s="80" t="str">
        <f t="shared" si="306"/>
        <v>天津</v>
      </c>
      <c r="D164" s="80" t="str">
        <f t="shared" si="307"/>
        <v>Professional</v>
      </c>
      <c r="E164" s="80">
        <f t="shared" si="308"/>
        <v>0</v>
      </c>
      <c r="F164" s="81">
        <f t="shared" si="309"/>
        <v>44250</v>
      </c>
      <c r="G164" s="81"/>
      <c r="H164" s="82" t="str">
        <f t="shared" si="310"/>
        <v>袁玉杰</v>
      </c>
      <c r="I164" s="83">
        <f t="shared" si="311"/>
        <v>0</v>
      </c>
      <c r="J164" s="82"/>
      <c r="K164" s="84"/>
      <c r="L164" s="84"/>
      <c r="M164" s="84"/>
      <c r="N164" s="84"/>
      <c r="O164" s="84"/>
      <c r="P164" s="84"/>
      <c r="Q164" s="84"/>
      <c r="R164" s="84"/>
      <c r="S164" s="84"/>
      <c r="T164" s="84"/>
      <c r="U164" s="84"/>
      <c r="V164" s="84"/>
      <c r="W164" s="121">
        <f>$AI$6*0.7%</f>
        <v>179.34</v>
      </c>
      <c r="X164" s="121">
        <f t="shared" ref="X164:AH164" si="328">$AI$6*0.7%</f>
        <v>179.34</v>
      </c>
      <c r="Y164" s="121">
        <f t="shared" si="328"/>
        <v>179.34</v>
      </c>
      <c r="Z164" s="121">
        <f t="shared" si="328"/>
        <v>179.34</v>
      </c>
      <c r="AA164" s="121">
        <f t="shared" si="328"/>
        <v>179.34</v>
      </c>
      <c r="AB164" s="121">
        <f t="shared" si="328"/>
        <v>179.34</v>
      </c>
      <c r="AC164" s="121">
        <f t="shared" si="328"/>
        <v>179.34</v>
      </c>
      <c r="AD164" s="121">
        <f t="shared" si="328"/>
        <v>179.34</v>
      </c>
      <c r="AE164" s="121">
        <f t="shared" si="328"/>
        <v>179.34</v>
      </c>
      <c r="AF164" s="121">
        <f t="shared" si="328"/>
        <v>179.34</v>
      </c>
      <c r="AG164" s="121">
        <f t="shared" si="328"/>
        <v>179.34</v>
      </c>
      <c r="AH164" s="121">
        <f t="shared" si="328"/>
        <v>179.34</v>
      </c>
      <c r="AI164" s="86">
        <f t="shared" si="325"/>
        <v>2152.08</v>
      </c>
      <c r="AJ164" s="85">
        <f t="shared" ref="AJ164:AU164" si="329">IF(VLOOKUP($H164,$H$15:$AU$46,AJ$16,FALSE)&gt;$AI$6,$AI$6*$AJ$6,VLOOKUP($H164,$H$15:$AU$46,AJ$16,FALSE)*$AJ$6)</f>
        <v>179.34</v>
      </c>
      <c r="AK164" s="85">
        <f t="shared" si="329"/>
        <v>179.34</v>
      </c>
      <c r="AL164" s="85">
        <f t="shared" si="329"/>
        <v>179.34</v>
      </c>
      <c r="AM164" s="85">
        <f t="shared" si="329"/>
        <v>179.34</v>
      </c>
      <c r="AN164" s="85">
        <f t="shared" si="329"/>
        <v>179.34</v>
      </c>
      <c r="AO164" s="85">
        <f t="shared" si="329"/>
        <v>179.34</v>
      </c>
      <c r="AP164" s="85">
        <f t="shared" si="329"/>
        <v>179.34</v>
      </c>
      <c r="AQ164" s="85">
        <f t="shared" si="329"/>
        <v>179.34</v>
      </c>
      <c r="AR164" s="85">
        <f t="shared" si="329"/>
        <v>179.34</v>
      </c>
      <c r="AS164" s="85">
        <f t="shared" si="329"/>
        <v>179.34</v>
      </c>
      <c r="AT164" s="85">
        <f t="shared" si="329"/>
        <v>179.34</v>
      </c>
      <c r="AU164" s="85">
        <f t="shared" si="329"/>
        <v>179.34</v>
      </c>
      <c r="AV164" s="86">
        <f t="shared" si="327"/>
        <v>2152.0799999999995</v>
      </c>
      <c r="AW164" s="87"/>
      <c r="AX164" s="88"/>
      <c r="AY164" s="88"/>
    </row>
    <row r="165" spans="1:51">
      <c r="A165" s="79" t="s">
        <v>3028</v>
      </c>
      <c r="B165" s="80" t="str">
        <f t="shared" si="305"/>
        <v>ACPLSZ</v>
      </c>
      <c r="C165" s="80" t="str">
        <f t="shared" si="306"/>
        <v>深圳户籍</v>
      </c>
      <c r="D165" s="80" t="str">
        <f t="shared" si="307"/>
        <v>Professional</v>
      </c>
      <c r="E165" s="80">
        <f t="shared" si="308"/>
        <v>0</v>
      </c>
      <c r="F165" s="81">
        <f t="shared" si="309"/>
        <v>39000</v>
      </c>
      <c r="G165" s="81"/>
      <c r="H165" s="82" t="str">
        <f t="shared" si="310"/>
        <v>何梅春</v>
      </c>
      <c r="I165" s="83">
        <f t="shared" si="311"/>
        <v>0</v>
      </c>
      <c r="J165" s="82"/>
      <c r="K165" s="84"/>
      <c r="L165" s="84"/>
      <c r="M165" s="84"/>
      <c r="N165" s="84"/>
      <c r="O165" s="84"/>
      <c r="P165" s="84"/>
      <c r="Q165" s="84"/>
      <c r="R165" s="84"/>
      <c r="S165" s="84"/>
      <c r="T165" s="84"/>
      <c r="U165" s="84"/>
      <c r="V165" s="84"/>
      <c r="W165" s="85">
        <f>30603*$AJ$10</f>
        <v>122.41200000000001</v>
      </c>
      <c r="X165" s="85">
        <f t="shared" ref="X165:AH165" si="330">30603*$AJ$10</f>
        <v>122.41200000000001</v>
      </c>
      <c r="Y165" s="85">
        <f t="shared" si="330"/>
        <v>122.41200000000001</v>
      </c>
      <c r="Z165" s="85">
        <f t="shared" si="330"/>
        <v>122.41200000000001</v>
      </c>
      <c r="AA165" s="85">
        <f t="shared" si="330"/>
        <v>122.41200000000001</v>
      </c>
      <c r="AB165" s="85">
        <f t="shared" si="330"/>
        <v>122.41200000000001</v>
      </c>
      <c r="AC165" s="85">
        <f t="shared" si="330"/>
        <v>122.41200000000001</v>
      </c>
      <c r="AD165" s="85">
        <f t="shared" si="330"/>
        <v>122.41200000000001</v>
      </c>
      <c r="AE165" s="85">
        <f t="shared" si="330"/>
        <v>122.41200000000001</v>
      </c>
      <c r="AF165" s="85">
        <f t="shared" si="330"/>
        <v>122.41200000000001</v>
      </c>
      <c r="AG165" s="85">
        <f t="shared" si="330"/>
        <v>122.41200000000001</v>
      </c>
      <c r="AH165" s="85">
        <f t="shared" si="330"/>
        <v>122.41200000000001</v>
      </c>
      <c r="AI165" s="86">
        <f t="shared" si="325"/>
        <v>1468.944</v>
      </c>
      <c r="AJ165" s="85">
        <f t="shared" ref="AJ165:AO165" si="331">30603*$AJ$10</f>
        <v>122.41200000000001</v>
      </c>
      <c r="AK165" s="85">
        <f t="shared" si="331"/>
        <v>122.41200000000001</v>
      </c>
      <c r="AL165" s="85">
        <f t="shared" si="331"/>
        <v>122.41200000000001</v>
      </c>
      <c r="AM165" s="85">
        <f t="shared" si="331"/>
        <v>122.41200000000001</v>
      </c>
      <c r="AN165" s="85">
        <f t="shared" si="331"/>
        <v>122.41200000000001</v>
      </c>
      <c r="AO165" s="85">
        <f t="shared" si="331"/>
        <v>122.41200000000001</v>
      </c>
      <c r="AP165" s="85">
        <f t="shared" ref="AP165:AU165" si="332">VLOOKUP($H165,$H$15:$AU$46,AP$16,FALSE)*$AJ$10</f>
        <v>163.80000000000001</v>
      </c>
      <c r="AQ165" s="85">
        <f t="shared" si="332"/>
        <v>163.80000000000001</v>
      </c>
      <c r="AR165" s="85">
        <f t="shared" si="332"/>
        <v>163.80000000000001</v>
      </c>
      <c r="AS165" s="85">
        <f t="shared" si="332"/>
        <v>163.80000000000001</v>
      </c>
      <c r="AT165" s="85">
        <f t="shared" si="332"/>
        <v>163.80000000000001</v>
      </c>
      <c r="AU165" s="85">
        <f t="shared" si="332"/>
        <v>163.80000000000001</v>
      </c>
      <c r="AV165" s="86">
        <f t="shared" si="327"/>
        <v>1717.2719999999999</v>
      </c>
      <c r="AW165" s="87"/>
      <c r="AX165" s="88"/>
      <c r="AY165" s="88"/>
    </row>
    <row r="166" spans="1:51">
      <c r="A166" s="79" t="s">
        <v>3028</v>
      </c>
      <c r="B166" s="80" t="str">
        <f t="shared" si="305"/>
        <v>ACPLSZ</v>
      </c>
      <c r="C166" s="80" t="str">
        <f t="shared" si="306"/>
        <v>非深圳户籍</v>
      </c>
      <c r="D166" s="80" t="str">
        <f t="shared" si="307"/>
        <v>Professional</v>
      </c>
      <c r="E166" s="80">
        <f t="shared" si="308"/>
        <v>0</v>
      </c>
      <c r="F166" s="81">
        <f t="shared" si="309"/>
        <v>26000</v>
      </c>
      <c r="G166" s="81"/>
      <c r="H166" s="82" t="str">
        <f t="shared" si="310"/>
        <v>闫凯</v>
      </c>
      <c r="I166" s="83">
        <f t="shared" si="311"/>
        <v>0</v>
      </c>
      <c r="J166" s="82"/>
      <c r="K166" s="84"/>
      <c r="L166" s="84"/>
      <c r="M166" s="84"/>
      <c r="N166" s="84"/>
      <c r="O166" s="84"/>
      <c r="P166" s="84"/>
      <c r="Q166" s="84"/>
      <c r="R166" s="84"/>
      <c r="S166" s="84"/>
      <c r="T166" s="84"/>
      <c r="U166" s="84"/>
      <c r="V166" s="84"/>
      <c r="W166" s="85">
        <f t="shared" ref="W166:AH166" si="333">VLOOKUP($H166,$H$15:$AH$46,W$16,FALSE)*$AJ$10</f>
        <v>104</v>
      </c>
      <c r="X166" s="85">
        <f t="shared" si="333"/>
        <v>104</v>
      </c>
      <c r="Y166" s="85">
        <f t="shared" si="333"/>
        <v>104</v>
      </c>
      <c r="Z166" s="85">
        <f t="shared" si="333"/>
        <v>104</v>
      </c>
      <c r="AA166" s="85">
        <f t="shared" si="333"/>
        <v>104</v>
      </c>
      <c r="AB166" s="85">
        <f t="shared" si="333"/>
        <v>104</v>
      </c>
      <c r="AC166" s="85">
        <f t="shared" si="333"/>
        <v>104</v>
      </c>
      <c r="AD166" s="85">
        <f t="shared" si="333"/>
        <v>104</v>
      </c>
      <c r="AE166" s="85">
        <f t="shared" si="333"/>
        <v>104</v>
      </c>
      <c r="AF166" s="85">
        <f t="shared" si="333"/>
        <v>104</v>
      </c>
      <c r="AG166" s="85">
        <f t="shared" si="333"/>
        <v>104</v>
      </c>
      <c r="AH166" s="85">
        <f t="shared" si="333"/>
        <v>104</v>
      </c>
      <c r="AI166" s="86">
        <f t="shared" si="325"/>
        <v>1248</v>
      </c>
      <c r="AJ166" s="85">
        <f t="shared" ref="AJ166:AU166" si="334">VLOOKUP($H166,$H$15:$AU$46,AJ$16,FALSE)*$AJ$10</f>
        <v>109.2</v>
      </c>
      <c r="AK166" s="85">
        <f t="shared" si="334"/>
        <v>109.2</v>
      </c>
      <c r="AL166" s="85">
        <f t="shared" si="334"/>
        <v>109.2</v>
      </c>
      <c r="AM166" s="85">
        <f t="shared" si="334"/>
        <v>109.2</v>
      </c>
      <c r="AN166" s="85">
        <f t="shared" si="334"/>
        <v>109.2</v>
      </c>
      <c r="AO166" s="85">
        <f t="shared" si="334"/>
        <v>109.2</v>
      </c>
      <c r="AP166" s="85">
        <f t="shared" si="334"/>
        <v>109.2</v>
      </c>
      <c r="AQ166" s="85">
        <f t="shared" si="334"/>
        <v>109.2</v>
      </c>
      <c r="AR166" s="85">
        <f t="shared" si="334"/>
        <v>109.2</v>
      </c>
      <c r="AS166" s="85">
        <f t="shared" si="334"/>
        <v>109.2</v>
      </c>
      <c r="AT166" s="85">
        <f t="shared" si="334"/>
        <v>109.2</v>
      </c>
      <c r="AU166" s="85">
        <f t="shared" si="334"/>
        <v>109.2</v>
      </c>
      <c r="AV166" s="86">
        <f t="shared" si="327"/>
        <v>1310.4000000000003</v>
      </c>
      <c r="AW166" s="87"/>
      <c r="AX166" s="88"/>
      <c r="AY166" s="88"/>
    </row>
    <row r="167" spans="1:51">
      <c r="A167" s="79" t="s">
        <v>3028</v>
      </c>
      <c r="B167" s="80" t="str">
        <f t="shared" si="305"/>
        <v>ACPLSZ</v>
      </c>
      <c r="C167" s="80" t="str">
        <f t="shared" si="306"/>
        <v>非深圳户籍</v>
      </c>
      <c r="D167" s="80" t="str">
        <f t="shared" si="307"/>
        <v>Professional</v>
      </c>
      <c r="E167" s="80">
        <f t="shared" si="308"/>
        <v>0</v>
      </c>
      <c r="F167" s="81">
        <f t="shared" si="309"/>
        <v>50000</v>
      </c>
      <c r="G167" s="81"/>
      <c r="H167" s="82" t="str">
        <f t="shared" si="310"/>
        <v>叶亚峰</v>
      </c>
      <c r="I167" s="83">
        <f t="shared" si="311"/>
        <v>0</v>
      </c>
      <c r="J167" s="82"/>
      <c r="K167" s="84"/>
      <c r="L167" s="84"/>
      <c r="M167" s="84"/>
      <c r="N167" s="84"/>
      <c r="O167" s="84"/>
      <c r="P167" s="84"/>
      <c r="Q167" s="84"/>
      <c r="R167" s="84"/>
      <c r="S167" s="84"/>
      <c r="T167" s="84"/>
      <c r="U167" s="84"/>
      <c r="V167" s="84"/>
      <c r="W167" s="85">
        <f t="shared" ref="W167:AH167" si="335">VLOOKUP($H167,$H$15:$AH$46,W$16,FALSE)*$AJ$10</f>
        <v>200</v>
      </c>
      <c r="X167" s="85">
        <f t="shared" si="335"/>
        <v>200</v>
      </c>
      <c r="Y167" s="85">
        <f t="shared" si="335"/>
        <v>200</v>
      </c>
      <c r="Z167" s="85">
        <f t="shared" si="335"/>
        <v>200</v>
      </c>
      <c r="AA167" s="85">
        <f t="shared" si="335"/>
        <v>200</v>
      </c>
      <c r="AB167" s="85">
        <f t="shared" si="335"/>
        <v>200</v>
      </c>
      <c r="AC167" s="85">
        <f t="shared" si="335"/>
        <v>200</v>
      </c>
      <c r="AD167" s="85">
        <f t="shared" si="335"/>
        <v>200</v>
      </c>
      <c r="AE167" s="85">
        <f t="shared" si="335"/>
        <v>200</v>
      </c>
      <c r="AF167" s="85">
        <f t="shared" si="335"/>
        <v>200</v>
      </c>
      <c r="AG167" s="85">
        <f t="shared" si="335"/>
        <v>200</v>
      </c>
      <c r="AH167" s="85">
        <f t="shared" si="335"/>
        <v>200</v>
      </c>
      <c r="AI167" s="86">
        <f t="shared" si="325"/>
        <v>2400</v>
      </c>
      <c r="AJ167" s="85">
        <f t="shared" ref="AJ167:AU167" si="336">VLOOKUP($H167,$H$15:$AU$46,AJ$16,FALSE)*$AJ$10</f>
        <v>210</v>
      </c>
      <c r="AK167" s="85">
        <f t="shared" si="336"/>
        <v>210</v>
      </c>
      <c r="AL167" s="85">
        <f t="shared" si="336"/>
        <v>210</v>
      </c>
      <c r="AM167" s="85">
        <f t="shared" si="336"/>
        <v>210</v>
      </c>
      <c r="AN167" s="85">
        <f t="shared" si="336"/>
        <v>210</v>
      </c>
      <c r="AO167" s="85">
        <f t="shared" si="336"/>
        <v>210</v>
      </c>
      <c r="AP167" s="85">
        <f t="shared" si="336"/>
        <v>210</v>
      </c>
      <c r="AQ167" s="85">
        <f t="shared" si="336"/>
        <v>210</v>
      </c>
      <c r="AR167" s="85">
        <f t="shared" si="336"/>
        <v>210</v>
      </c>
      <c r="AS167" s="85">
        <f t="shared" si="336"/>
        <v>210</v>
      </c>
      <c r="AT167" s="85">
        <f t="shared" si="336"/>
        <v>210</v>
      </c>
      <c r="AU167" s="85">
        <f t="shared" si="336"/>
        <v>210</v>
      </c>
      <c r="AV167" s="86">
        <f t="shared" si="327"/>
        <v>2520</v>
      </c>
      <c r="AW167" s="87"/>
      <c r="AX167" s="88"/>
      <c r="AY167" s="88"/>
    </row>
    <row r="168" spans="1:51">
      <c r="A168" s="79" t="s">
        <v>3028</v>
      </c>
      <c r="B168" s="80" t="str">
        <f t="shared" si="305"/>
        <v>ACPLSZ</v>
      </c>
      <c r="C168" s="80" t="str">
        <f t="shared" si="306"/>
        <v>北京户籍</v>
      </c>
      <c r="D168" s="80" t="str">
        <f t="shared" si="307"/>
        <v>Professional</v>
      </c>
      <c r="E168" s="80">
        <f t="shared" si="308"/>
        <v>0</v>
      </c>
      <c r="F168" s="82">
        <f t="shared" si="309"/>
        <v>90000</v>
      </c>
      <c r="G168" s="82"/>
      <c r="H168" s="82" t="str">
        <f t="shared" si="310"/>
        <v>张乃文</v>
      </c>
      <c r="I168" s="83">
        <f t="shared" si="311"/>
        <v>0.21428571428571419</v>
      </c>
      <c r="J168" s="82"/>
      <c r="K168" s="84"/>
      <c r="L168" s="84"/>
      <c r="M168" s="84"/>
      <c r="N168" s="84"/>
      <c r="O168" s="84"/>
      <c r="P168" s="84"/>
      <c r="Q168" s="84"/>
      <c r="R168" s="84"/>
      <c r="S168" s="84"/>
      <c r="T168" s="84"/>
      <c r="U168" s="84"/>
      <c r="V168" s="84"/>
      <c r="W168" s="85">
        <v>0</v>
      </c>
      <c r="X168" s="85">
        <v>0</v>
      </c>
      <c r="Y168" s="85">
        <v>0</v>
      </c>
      <c r="Z168" s="85">
        <v>0</v>
      </c>
      <c r="AA168" s="85">
        <v>0</v>
      </c>
      <c r="AB168" s="85">
        <v>0</v>
      </c>
      <c r="AC168" s="85">
        <v>0</v>
      </c>
      <c r="AD168" s="85">
        <v>0</v>
      </c>
      <c r="AE168" s="85">
        <v>0</v>
      </c>
      <c r="AF168" s="85">
        <v>0</v>
      </c>
      <c r="AG168" s="85">
        <v>0</v>
      </c>
      <c r="AH168" s="85">
        <v>0</v>
      </c>
      <c r="AI168" s="86">
        <f t="shared" si="325"/>
        <v>0</v>
      </c>
      <c r="AJ168" s="85">
        <v>0</v>
      </c>
      <c r="AK168" s="85">
        <v>0</v>
      </c>
      <c r="AL168" s="85">
        <v>0</v>
      </c>
      <c r="AM168" s="85">
        <v>0</v>
      </c>
      <c r="AN168" s="85">
        <v>0</v>
      </c>
      <c r="AO168" s="85">
        <v>0</v>
      </c>
      <c r="AP168" s="85">
        <v>0</v>
      </c>
      <c r="AQ168" s="85">
        <v>0</v>
      </c>
      <c r="AR168" s="85">
        <v>0</v>
      </c>
      <c r="AS168" s="85">
        <v>0</v>
      </c>
      <c r="AT168" s="85">
        <v>0</v>
      </c>
      <c r="AU168" s="85">
        <v>0</v>
      </c>
      <c r="AV168" s="86">
        <f t="shared" si="327"/>
        <v>0</v>
      </c>
      <c r="AW168" s="87"/>
      <c r="AX168" s="88"/>
      <c r="AY168" s="88"/>
    </row>
    <row r="169" spans="1:51">
      <c r="A169" s="79" t="s">
        <v>3028</v>
      </c>
      <c r="B169" s="80" t="str">
        <f t="shared" si="305"/>
        <v>ACPLSZ</v>
      </c>
      <c r="C169" s="80" t="str">
        <f t="shared" si="306"/>
        <v>北京户籍</v>
      </c>
      <c r="D169" s="80" t="str">
        <f t="shared" si="307"/>
        <v>Professional</v>
      </c>
      <c r="E169" s="80">
        <f t="shared" si="308"/>
        <v>0</v>
      </c>
      <c r="F169" s="82">
        <f t="shared" si="309"/>
        <v>30000</v>
      </c>
      <c r="G169" s="82"/>
      <c r="H169" s="82" t="str">
        <f t="shared" si="310"/>
        <v>邓天卓</v>
      </c>
      <c r="I169" s="83">
        <f t="shared" si="311"/>
        <v>0.33333333333333326</v>
      </c>
      <c r="J169" s="82"/>
      <c r="K169" s="84"/>
      <c r="L169" s="84"/>
      <c r="M169" s="84"/>
      <c r="N169" s="84"/>
      <c r="O169" s="84"/>
      <c r="P169" s="84"/>
      <c r="Q169" s="84"/>
      <c r="R169" s="84"/>
      <c r="S169" s="84"/>
      <c r="T169" s="84"/>
      <c r="U169" s="84"/>
      <c r="V169" s="84"/>
      <c r="W169" s="121">
        <f t="shared" ref="W169:AH169" si="337">IF(VLOOKUP($H169,$H$15:$AU$46,W$16,FALSE)&gt;$AI$5,$AI$5*$AJ$5,VLOOKUP($H169,$H$15:$AU$46,W$16,FALSE)*$AJ$5)</f>
        <v>120</v>
      </c>
      <c r="X169" s="121">
        <f t="shared" si="337"/>
        <v>120</v>
      </c>
      <c r="Y169" s="121">
        <f t="shared" si="337"/>
        <v>120</v>
      </c>
      <c r="Z169" s="121">
        <f t="shared" si="337"/>
        <v>143.244</v>
      </c>
      <c r="AA169" s="121">
        <f t="shared" si="337"/>
        <v>143.244</v>
      </c>
      <c r="AB169" s="121">
        <f t="shared" si="337"/>
        <v>143.244</v>
      </c>
      <c r="AC169" s="121">
        <f t="shared" si="337"/>
        <v>143.244</v>
      </c>
      <c r="AD169" s="121">
        <f t="shared" si="337"/>
        <v>143.244</v>
      </c>
      <c r="AE169" s="121">
        <f t="shared" si="337"/>
        <v>143.244</v>
      </c>
      <c r="AF169" s="121">
        <f t="shared" si="337"/>
        <v>143.244</v>
      </c>
      <c r="AG169" s="121">
        <f t="shared" si="337"/>
        <v>143.244</v>
      </c>
      <c r="AH169" s="121">
        <f t="shared" si="337"/>
        <v>143.244</v>
      </c>
      <c r="AI169" s="86">
        <f t="shared" si="325"/>
        <v>1649.1959999999997</v>
      </c>
      <c r="AJ169" s="85">
        <f t="shared" ref="AJ169:AU169" si="338">IF(VLOOKUP($H169,$H$15:$AU$46,AJ$16,FALSE)&gt;$AI$5,$AI$5*$AJ$5,VLOOKUP($H169,$H$15:$AU$46,AJ$16,FALSE)*$AJ$5)</f>
        <v>143.244</v>
      </c>
      <c r="AK169" s="85">
        <f t="shared" si="338"/>
        <v>143.244</v>
      </c>
      <c r="AL169" s="85">
        <f t="shared" si="338"/>
        <v>143.244</v>
      </c>
      <c r="AM169" s="85">
        <f t="shared" si="338"/>
        <v>143.244</v>
      </c>
      <c r="AN169" s="85">
        <f t="shared" si="338"/>
        <v>143.244</v>
      </c>
      <c r="AO169" s="85">
        <f t="shared" si="338"/>
        <v>143.244</v>
      </c>
      <c r="AP169" s="85">
        <f t="shared" si="338"/>
        <v>143.244</v>
      </c>
      <c r="AQ169" s="85">
        <f t="shared" si="338"/>
        <v>143.244</v>
      </c>
      <c r="AR169" s="85">
        <f t="shared" si="338"/>
        <v>143.244</v>
      </c>
      <c r="AS169" s="85">
        <f t="shared" si="338"/>
        <v>143.244</v>
      </c>
      <c r="AT169" s="85">
        <f t="shared" si="338"/>
        <v>143.244</v>
      </c>
      <c r="AU169" s="85">
        <f t="shared" si="338"/>
        <v>143.244</v>
      </c>
      <c r="AV169" s="86">
        <f t="shared" si="327"/>
        <v>1718.9279999999997</v>
      </c>
      <c r="AW169" s="87"/>
      <c r="AX169" s="88"/>
      <c r="AY169" s="88"/>
    </row>
    <row r="170" spans="1:51">
      <c r="A170" s="79" t="s">
        <v>3028</v>
      </c>
      <c r="B170" s="80" t="str">
        <f t="shared" si="305"/>
        <v>ACPLSZ</v>
      </c>
      <c r="C170" s="80" t="str">
        <f t="shared" si="306"/>
        <v>北京户籍</v>
      </c>
      <c r="D170" s="80" t="str">
        <f t="shared" si="307"/>
        <v>Professional</v>
      </c>
      <c r="E170" s="80">
        <f t="shared" si="308"/>
        <v>0</v>
      </c>
      <c r="F170" s="82">
        <f t="shared" si="309"/>
        <v>50000</v>
      </c>
      <c r="G170" s="82"/>
      <c r="H170" s="82" t="str">
        <f t="shared" si="310"/>
        <v>王志强</v>
      </c>
      <c r="I170" s="83">
        <f t="shared" si="311"/>
        <v>0</v>
      </c>
      <c r="J170" s="82"/>
      <c r="K170" s="84"/>
      <c r="L170" s="84"/>
      <c r="M170" s="84"/>
      <c r="N170" s="84"/>
      <c r="O170" s="84"/>
      <c r="P170" s="84"/>
      <c r="Q170" s="84"/>
      <c r="R170" s="84"/>
      <c r="S170" s="84"/>
      <c r="T170" s="84"/>
      <c r="U170" s="84"/>
      <c r="V170" s="84"/>
      <c r="W170" s="121">
        <f t="shared" ref="W170:AH170" si="339">IF(VLOOKUP($H170,$H$15:$AU$46,W$16,FALSE)&gt;$AI$5,$AI$5*$AJ$5,VLOOKUP($H170,$H$15:$AU$46,W$16,FALSE)*$AJ$5)</f>
        <v>143.244</v>
      </c>
      <c r="X170" s="121">
        <f t="shared" si="339"/>
        <v>143.244</v>
      </c>
      <c r="Y170" s="121">
        <f t="shared" si="339"/>
        <v>143.244</v>
      </c>
      <c r="Z170" s="121">
        <f t="shared" si="339"/>
        <v>143.244</v>
      </c>
      <c r="AA170" s="121">
        <f t="shared" si="339"/>
        <v>143.244</v>
      </c>
      <c r="AB170" s="121">
        <f t="shared" si="339"/>
        <v>143.244</v>
      </c>
      <c r="AC170" s="121">
        <f t="shared" si="339"/>
        <v>143.244</v>
      </c>
      <c r="AD170" s="121">
        <f t="shared" si="339"/>
        <v>143.244</v>
      </c>
      <c r="AE170" s="121">
        <f t="shared" si="339"/>
        <v>143.244</v>
      </c>
      <c r="AF170" s="121">
        <f t="shared" si="339"/>
        <v>143.244</v>
      </c>
      <c r="AG170" s="121">
        <f t="shared" si="339"/>
        <v>143.244</v>
      </c>
      <c r="AH170" s="121">
        <f t="shared" si="339"/>
        <v>143.244</v>
      </c>
      <c r="AI170" s="86">
        <f t="shared" si="325"/>
        <v>1718.9279999999997</v>
      </c>
      <c r="AJ170" s="85">
        <f>IF(VLOOKUP($H170,$H$15:$AU$46,AJ$16,FALSE)&gt;$AI$5,$AI$5*$AJ$5,VLOOKUP($H170,$H$15:$AU$46,AJ$16,FALSE)*$AJ$5)</f>
        <v>143.244</v>
      </c>
      <c r="AK170" s="85">
        <f t="shared" ref="AK170:AU170" si="340">IF(VLOOKUP($H170,$H$15:$AU$46,AK$16,FALSE)&gt;$AI$5,$AI$5*$AJ$5,VLOOKUP($H170,$H$15:$AU$46,AK$16,FALSE)*$AJ$5)</f>
        <v>143.244</v>
      </c>
      <c r="AL170" s="85">
        <f t="shared" si="340"/>
        <v>143.244</v>
      </c>
      <c r="AM170" s="85">
        <f t="shared" si="340"/>
        <v>143.244</v>
      </c>
      <c r="AN170" s="85">
        <f t="shared" si="340"/>
        <v>143.244</v>
      </c>
      <c r="AO170" s="85">
        <f t="shared" si="340"/>
        <v>143.244</v>
      </c>
      <c r="AP170" s="85">
        <f t="shared" si="340"/>
        <v>143.244</v>
      </c>
      <c r="AQ170" s="85">
        <f t="shared" si="340"/>
        <v>143.244</v>
      </c>
      <c r="AR170" s="85">
        <f t="shared" si="340"/>
        <v>143.244</v>
      </c>
      <c r="AS170" s="85">
        <f t="shared" si="340"/>
        <v>143.244</v>
      </c>
      <c r="AT170" s="85">
        <f t="shared" si="340"/>
        <v>143.244</v>
      </c>
      <c r="AU170" s="85">
        <f t="shared" si="340"/>
        <v>143.244</v>
      </c>
      <c r="AV170" s="86">
        <f t="shared" si="327"/>
        <v>1718.9279999999997</v>
      </c>
      <c r="AW170" s="87"/>
      <c r="AX170" s="88"/>
      <c r="AY170" s="88"/>
    </row>
    <row r="171" spans="1:51">
      <c r="A171" s="79" t="s">
        <v>3028</v>
      </c>
      <c r="B171" s="80" t="str">
        <f t="shared" si="305"/>
        <v>ACPLSZ</v>
      </c>
      <c r="C171" s="80" t="str">
        <f t="shared" si="306"/>
        <v>上海户籍</v>
      </c>
      <c r="D171" s="80" t="str">
        <f t="shared" si="307"/>
        <v>Professional</v>
      </c>
      <c r="E171" s="80">
        <f t="shared" si="308"/>
        <v>0</v>
      </c>
      <c r="F171" s="82">
        <f t="shared" si="309"/>
        <v>90000</v>
      </c>
      <c r="G171" s="82"/>
      <c r="H171" s="82" t="str">
        <f t="shared" si="310"/>
        <v>顾顺聪</v>
      </c>
      <c r="I171" s="83">
        <f t="shared" si="311"/>
        <v>0</v>
      </c>
      <c r="J171" s="82"/>
      <c r="K171" s="84"/>
      <c r="L171" s="84"/>
      <c r="M171" s="84"/>
      <c r="N171" s="84"/>
      <c r="O171" s="84"/>
      <c r="P171" s="84"/>
      <c r="Q171" s="84"/>
      <c r="R171" s="84"/>
      <c r="S171" s="84"/>
      <c r="T171" s="84"/>
      <c r="U171" s="84"/>
      <c r="V171" s="84"/>
      <c r="W171" s="85">
        <v>0</v>
      </c>
      <c r="X171" s="85">
        <v>0</v>
      </c>
      <c r="Y171" s="85">
        <v>0</v>
      </c>
      <c r="Z171" s="85">
        <v>0</v>
      </c>
      <c r="AA171" s="85">
        <v>0</v>
      </c>
      <c r="AB171" s="85">
        <v>0</v>
      </c>
      <c r="AC171" s="85">
        <v>0</v>
      </c>
      <c r="AD171" s="85">
        <v>0</v>
      </c>
      <c r="AE171" s="85">
        <v>0</v>
      </c>
      <c r="AF171" s="85">
        <v>0</v>
      </c>
      <c r="AG171" s="85">
        <v>0</v>
      </c>
      <c r="AH171" s="85">
        <v>0</v>
      </c>
      <c r="AI171" s="86">
        <f t="shared" si="325"/>
        <v>0</v>
      </c>
      <c r="AJ171" s="85">
        <v>0</v>
      </c>
      <c r="AK171" s="85">
        <v>0</v>
      </c>
      <c r="AL171" s="85">
        <v>0</v>
      </c>
      <c r="AM171" s="85">
        <v>0</v>
      </c>
      <c r="AN171" s="85">
        <v>0</v>
      </c>
      <c r="AO171" s="85">
        <v>0</v>
      </c>
      <c r="AP171" s="85">
        <v>0</v>
      </c>
      <c r="AQ171" s="85">
        <v>0</v>
      </c>
      <c r="AR171" s="85">
        <v>0</v>
      </c>
      <c r="AS171" s="85">
        <v>0</v>
      </c>
      <c r="AT171" s="85">
        <v>0</v>
      </c>
      <c r="AU171" s="85">
        <v>0</v>
      </c>
      <c r="AV171" s="86">
        <f t="shared" si="327"/>
        <v>0</v>
      </c>
      <c r="AW171" s="87"/>
      <c r="AX171" s="88"/>
      <c r="AY171" s="88"/>
    </row>
    <row r="172" spans="1:51">
      <c r="A172" s="79" t="s">
        <v>3028</v>
      </c>
      <c r="B172" s="80" t="str">
        <f t="shared" si="305"/>
        <v>ACPSZL</v>
      </c>
      <c r="C172" s="80" t="str">
        <f t="shared" si="306"/>
        <v>深圳户籍</v>
      </c>
      <c r="D172" s="80" t="str">
        <f t="shared" si="307"/>
        <v>Professional</v>
      </c>
      <c r="E172" s="80">
        <f t="shared" si="308"/>
        <v>0</v>
      </c>
      <c r="F172" s="81">
        <f t="shared" si="309"/>
        <v>35000</v>
      </c>
      <c r="G172" s="81"/>
      <c r="H172" s="90" t="str">
        <f t="shared" si="310"/>
        <v>风资源工程师</v>
      </c>
      <c r="I172" s="83">
        <f t="shared" si="311"/>
        <v>0</v>
      </c>
      <c r="J172" s="82"/>
      <c r="K172" s="84"/>
      <c r="L172" s="84"/>
      <c r="M172" s="84"/>
      <c r="N172" s="84"/>
      <c r="O172" s="84"/>
      <c r="P172" s="84"/>
      <c r="Q172" s="84"/>
      <c r="R172" s="84"/>
      <c r="S172" s="84"/>
      <c r="T172" s="84"/>
      <c r="U172" s="84"/>
      <c r="V172" s="84"/>
      <c r="W172" s="85">
        <f>VLOOKUP($H172,$H$15:$AH$46,W$16,FALSE)*$AJ$10</f>
        <v>0</v>
      </c>
      <c r="X172" s="85">
        <f t="shared" ref="X172:AH172" si="341">VLOOKUP($H172,$H$15:$AH$46,X$16,FALSE)*$AJ$10</f>
        <v>0</v>
      </c>
      <c r="Y172" s="85">
        <f t="shared" si="341"/>
        <v>0</v>
      </c>
      <c r="Z172" s="85">
        <f t="shared" si="341"/>
        <v>140</v>
      </c>
      <c r="AA172" s="85">
        <f t="shared" si="341"/>
        <v>140</v>
      </c>
      <c r="AB172" s="85">
        <f t="shared" si="341"/>
        <v>140</v>
      </c>
      <c r="AC172" s="85">
        <f t="shared" si="341"/>
        <v>140</v>
      </c>
      <c r="AD172" s="85">
        <f t="shared" si="341"/>
        <v>140</v>
      </c>
      <c r="AE172" s="85">
        <f t="shared" si="341"/>
        <v>140</v>
      </c>
      <c r="AF172" s="85">
        <f t="shared" si="341"/>
        <v>140</v>
      </c>
      <c r="AG172" s="85">
        <f t="shared" si="341"/>
        <v>140</v>
      </c>
      <c r="AH172" s="85">
        <f t="shared" si="341"/>
        <v>140</v>
      </c>
      <c r="AI172" s="86">
        <f t="shared" si="325"/>
        <v>1260</v>
      </c>
      <c r="AJ172" s="85">
        <f>VLOOKUP($H172,$H$15:$AU$46,AJ$16,FALSE)*$AJ$10</f>
        <v>147</v>
      </c>
      <c r="AK172" s="85">
        <f t="shared" ref="AK172:AU172" si="342">VLOOKUP($H172,$H$15:$AU$46,AK$16,FALSE)*$AJ$10</f>
        <v>147</v>
      </c>
      <c r="AL172" s="85">
        <f t="shared" si="342"/>
        <v>147</v>
      </c>
      <c r="AM172" s="85">
        <f t="shared" si="342"/>
        <v>147</v>
      </c>
      <c r="AN172" s="85">
        <f t="shared" si="342"/>
        <v>147</v>
      </c>
      <c r="AO172" s="85">
        <f t="shared" si="342"/>
        <v>147</v>
      </c>
      <c r="AP172" s="85">
        <f t="shared" si="342"/>
        <v>147</v>
      </c>
      <c r="AQ172" s="85">
        <f t="shared" si="342"/>
        <v>147</v>
      </c>
      <c r="AR172" s="85">
        <f t="shared" si="342"/>
        <v>147</v>
      </c>
      <c r="AS172" s="85">
        <f t="shared" si="342"/>
        <v>147</v>
      </c>
      <c r="AT172" s="85">
        <f t="shared" si="342"/>
        <v>147</v>
      </c>
      <c r="AU172" s="85">
        <f t="shared" si="342"/>
        <v>147</v>
      </c>
      <c r="AV172" s="86">
        <f t="shared" si="327"/>
        <v>1764</v>
      </c>
      <c r="AW172" s="87"/>
      <c r="AX172" s="88"/>
      <c r="AY172" s="88"/>
    </row>
    <row r="173" spans="1:51">
      <c r="A173" s="79" t="s">
        <v>3028</v>
      </c>
      <c r="B173" s="80" t="str">
        <f t="shared" si="305"/>
        <v>ACPLSZ</v>
      </c>
      <c r="C173" s="80" t="str">
        <f t="shared" si="306"/>
        <v>深圳户籍</v>
      </c>
      <c r="D173" s="80" t="str">
        <f t="shared" si="307"/>
        <v>Professional</v>
      </c>
      <c r="E173" s="80">
        <f t="shared" si="308"/>
        <v>0</v>
      </c>
      <c r="F173" s="82">
        <f t="shared" si="309"/>
        <v>33000</v>
      </c>
      <c r="G173" s="82"/>
      <c r="H173" s="90" t="str">
        <f t="shared" si="310"/>
        <v>电力交易员</v>
      </c>
      <c r="I173" s="83">
        <f t="shared" si="311"/>
        <v>0</v>
      </c>
      <c r="J173" s="82"/>
      <c r="K173" s="84"/>
      <c r="L173" s="84"/>
      <c r="M173" s="84"/>
      <c r="N173" s="84"/>
      <c r="O173" s="84"/>
      <c r="P173" s="84"/>
      <c r="Q173" s="84"/>
      <c r="R173" s="84"/>
      <c r="S173" s="84"/>
      <c r="T173" s="84"/>
      <c r="U173" s="84"/>
      <c r="V173" s="84"/>
      <c r="W173" s="85">
        <f t="shared" ref="W173:AH173" si="343">VLOOKUP($H173,$H$15:$AH$46,W$16,FALSE)*$AJ$10</f>
        <v>0</v>
      </c>
      <c r="X173" s="85">
        <f t="shared" si="343"/>
        <v>132</v>
      </c>
      <c r="Y173" s="85">
        <f t="shared" si="343"/>
        <v>132</v>
      </c>
      <c r="Z173" s="85">
        <f t="shared" si="343"/>
        <v>132</v>
      </c>
      <c r="AA173" s="85">
        <f t="shared" si="343"/>
        <v>132</v>
      </c>
      <c r="AB173" s="85">
        <f t="shared" si="343"/>
        <v>132</v>
      </c>
      <c r="AC173" s="85">
        <f t="shared" si="343"/>
        <v>132</v>
      </c>
      <c r="AD173" s="85">
        <f t="shared" si="343"/>
        <v>132</v>
      </c>
      <c r="AE173" s="85">
        <f t="shared" si="343"/>
        <v>132</v>
      </c>
      <c r="AF173" s="85">
        <f t="shared" si="343"/>
        <v>132</v>
      </c>
      <c r="AG173" s="85">
        <f t="shared" si="343"/>
        <v>132</v>
      </c>
      <c r="AH173" s="85">
        <f t="shared" si="343"/>
        <v>132</v>
      </c>
      <c r="AI173" s="86">
        <f t="shared" si="325"/>
        <v>1452</v>
      </c>
      <c r="AJ173" s="85">
        <f>VLOOKUP($H173,$H$15:$AU$46,AJ$16,FALSE)*$AJ$10</f>
        <v>138.6</v>
      </c>
      <c r="AK173" s="85">
        <f t="shared" ref="AK173:AU173" si="344">VLOOKUP($H173,$H$15:$AU$46,AK$16,FALSE)*$AJ$10</f>
        <v>138.6</v>
      </c>
      <c r="AL173" s="85">
        <f t="shared" si="344"/>
        <v>138.6</v>
      </c>
      <c r="AM173" s="85">
        <f t="shared" si="344"/>
        <v>138.6</v>
      </c>
      <c r="AN173" s="85">
        <f t="shared" si="344"/>
        <v>138.6</v>
      </c>
      <c r="AO173" s="85">
        <f t="shared" si="344"/>
        <v>138.6</v>
      </c>
      <c r="AP173" s="85">
        <f t="shared" si="344"/>
        <v>138.6</v>
      </c>
      <c r="AQ173" s="85">
        <f t="shared" si="344"/>
        <v>138.6</v>
      </c>
      <c r="AR173" s="85">
        <f t="shared" si="344"/>
        <v>138.6</v>
      </c>
      <c r="AS173" s="85">
        <f t="shared" si="344"/>
        <v>138.6</v>
      </c>
      <c r="AT173" s="85">
        <f t="shared" si="344"/>
        <v>138.6</v>
      </c>
      <c r="AU173" s="85">
        <f t="shared" si="344"/>
        <v>138.6</v>
      </c>
      <c r="AV173" s="86">
        <f t="shared" si="327"/>
        <v>1663.1999999999996</v>
      </c>
      <c r="AW173" s="87"/>
      <c r="AX173" s="88"/>
      <c r="AY173" s="88"/>
    </row>
    <row r="174" spans="1:51">
      <c r="A174" s="79" t="s">
        <v>3028</v>
      </c>
      <c r="B174" s="80" t="str">
        <f t="shared" si="305"/>
        <v>ACPLSZ</v>
      </c>
      <c r="C174" s="80" t="str">
        <f t="shared" si="306"/>
        <v>深圳户籍</v>
      </c>
      <c r="D174" s="80" t="str">
        <f t="shared" si="307"/>
        <v>Professional</v>
      </c>
      <c r="E174" s="80">
        <f t="shared" si="308"/>
        <v>0</v>
      </c>
      <c r="F174" s="82">
        <f t="shared" si="309"/>
        <v>60000</v>
      </c>
      <c r="G174" s="82"/>
      <c r="H174" s="90" t="str">
        <f t="shared" si="310"/>
        <v>律师</v>
      </c>
      <c r="I174" s="83">
        <f t="shared" si="311"/>
        <v>0</v>
      </c>
      <c r="J174" s="82"/>
      <c r="K174" s="84"/>
      <c r="L174" s="84"/>
      <c r="M174" s="84"/>
      <c r="N174" s="84"/>
      <c r="O174" s="84"/>
      <c r="P174" s="84"/>
      <c r="Q174" s="84"/>
      <c r="R174" s="84"/>
      <c r="S174" s="84"/>
      <c r="T174" s="84"/>
      <c r="U174" s="84"/>
      <c r="V174" s="84"/>
      <c r="W174" s="85">
        <f t="shared" ref="W174:AH174" si="345">VLOOKUP($H174,$H$15:$AH$46,W$16,FALSE)*$AJ$10</f>
        <v>0</v>
      </c>
      <c r="X174" s="85">
        <f t="shared" si="345"/>
        <v>0</v>
      </c>
      <c r="Y174" s="85">
        <f t="shared" si="345"/>
        <v>0</v>
      </c>
      <c r="Z174" s="85">
        <f t="shared" si="345"/>
        <v>0</v>
      </c>
      <c r="AA174" s="85">
        <f t="shared" si="345"/>
        <v>240</v>
      </c>
      <c r="AB174" s="85">
        <f t="shared" si="345"/>
        <v>240</v>
      </c>
      <c r="AC174" s="85">
        <f t="shared" si="345"/>
        <v>240</v>
      </c>
      <c r="AD174" s="85">
        <f t="shared" si="345"/>
        <v>240</v>
      </c>
      <c r="AE174" s="85">
        <f t="shared" si="345"/>
        <v>240</v>
      </c>
      <c r="AF174" s="85">
        <f t="shared" si="345"/>
        <v>240</v>
      </c>
      <c r="AG174" s="85">
        <f t="shared" si="345"/>
        <v>240</v>
      </c>
      <c r="AH174" s="85">
        <f t="shared" si="345"/>
        <v>240</v>
      </c>
      <c r="AI174" s="86">
        <f t="shared" si="325"/>
        <v>1920</v>
      </c>
      <c r="AJ174" s="85">
        <f t="shared" ref="AJ174:AU174" si="346">VLOOKUP($H174,$H$15:$AU$46,AJ$16,FALSE)*$AJ$10</f>
        <v>252</v>
      </c>
      <c r="AK174" s="85">
        <f t="shared" si="346"/>
        <v>252</v>
      </c>
      <c r="AL174" s="85">
        <f t="shared" si="346"/>
        <v>252</v>
      </c>
      <c r="AM174" s="85">
        <f t="shared" si="346"/>
        <v>252</v>
      </c>
      <c r="AN174" s="85">
        <f t="shared" si="346"/>
        <v>252</v>
      </c>
      <c r="AO174" s="85">
        <f t="shared" si="346"/>
        <v>252</v>
      </c>
      <c r="AP174" s="85">
        <f t="shared" si="346"/>
        <v>252</v>
      </c>
      <c r="AQ174" s="85">
        <f t="shared" si="346"/>
        <v>252</v>
      </c>
      <c r="AR174" s="85">
        <f t="shared" si="346"/>
        <v>252</v>
      </c>
      <c r="AS174" s="85">
        <f t="shared" si="346"/>
        <v>252</v>
      </c>
      <c r="AT174" s="85">
        <f t="shared" si="346"/>
        <v>252</v>
      </c>
      <c r="AU174" s="85">
        <f t="shared" si="346"/>
        <v>252</v>
      </c>
      <c r="AV174" s="86">
        <f t="shared" si="327"/>
        <v>3024</v>
      </c>
      <c r="AW174" s="87"/>
      <c r="AX174" s="88"/>
      <c r="AY174" s="88"/>
    </row>
    <row r="175" spans="1:51">
      <c r="A175" s="79" t="s">
        <v>3028</v>
      </c>
      <c r="B175" s="80" t="str">
        <f t="shared" si="305"/>
        <v>ACPLSZ</v>
      </c>
      <c r="C175" s="80" t="str">
        <f t="shared" si="306"/>
        <v>深圳户籍</v>
      </c>
      <c r="D175" s="80" t="str">
        <f t="shared" si="307"/>
        <v>Professional</v>
      </c>
      <c r="E175" s="80">
        <f t="shared" si="308"/>
        <v>0</v>
      </c>
      <c r="F175" s="82">
        <f t="shared" si="309"/>
        <v>26000</v>
      </c>
      <c r="G175" s="82"/>
      <c r="H175" s="90" t="str">
        <f t="shared" si="310"/>
        <v>区域副总</v>
      </c>
      <c r="I175" s="83">
        <f t="shared" si="311"/>
        <v>0</v>
      </c>
      <c r="J175" s="82"/>
      <c r="K175" s="84"/>
      <c r="L175" s="84"/>
      <c r="M175" s="84"/>
      <c r="N175" s="84"/>
      <c r="O175" s="84"/>
      <c r="P175" s="84"/>
      <c r="Q175" s="84"/>
      <c r="R175" s="84"/>
      <c r="S175" s="84"/>
      <c r="T175" s="84"/>
      <c r="U175" s="84"/>
      <c r="V175" s="84"/>
      <c r="W175" s="85">
        <f t="shared" ref="W175:AH175" si="347">VLOOKUP($H175,$H$15:$AH$46,W$16,FALSE)*$AJ$10</f>
        <v>0</v>
      </c>
      <c r="X175" s="85">
        <f t="shared" si="347"/>
        <v>0</v>
      </c>
      <c r="Y175" s="85">
        <f t="shared" si="347"/>
        <v>0</v>
      </c>
      <c r="Z175" s="85">
        <f t="shared" si="347"/>
        <v>0</v>
      </c>
      <c r="AA175" s="85">
        <f t="shared" si="347"/>
        <v>104</v>
      </c>
      <c r="AB175" s="85">
        <f t="shared" si="347"/>
        <v>104</v>
      </c>
      <c r="AC175" s="85">
        <f t="shared" si="347"/>
        <v>104</v>
      </c>
      <c r="AD175" s="85">
        <f t="shared" si="347"/>
        <v>104</v>
      </c>
      <c r="AE175" s="85">
        <f t="shared" si="347"/>
        <v>104</v>
      </c>
      <c r="AF175" s="85">
        <f t="shared" si="347"/>
        <v>104</v>
      </c>
      <c r="AG175" s="85">
        <f t="shared" si="347"/>
        <v>104</v>
      </c>
      <c r="AH175" s="85">
        <f t="shared" si="347"/>
        <v>104</v>
      </c>
      <c r="AI175" s="86">
        <f t="shared" si="325"/>
        <v>832</v>
      </c>
      <c r="AJ175" s="85">
        <f t="shared" ref="AJ175:AU175" si="348">VLOOKUP($H175,$H$15:$AU$46,AJ$16,FALSE)*$AJ$10</f>
        <v>109.2</v>
      </c>
      <c r="AK175" s="85">
        <f t="shared" si="348"/>
        <v>109.2</v>
      </c>
      <c r="AL175" s="85">
        <f t="shared" si="348"/>
        <v>109.2</v>
      </c>
      <c r="AM175" s="85">
        <f t="shared" si="348"/>
        <v>109.2</v>
      </c>
      <c r="AN175" s="85">
        <f t="shared" si="348"/>
        <v>109.2</v>
      </c>
      <c r="AO175" s="85">
        <f t="shared" si="348"/>
        <v>109.2</v>
      </c>
      <c r="AP175" s="85">
        <f t="shared" si="348"/>
        <v>109.2</v>
      </c>
      <c r="AQ175" s="85">
        <f t="shared" si="348"/>
        <v>109.2</v>
      </c>
      <c r="AR175" s="85">
        <f t="shared" si="348"/>
        <v>109.2</v>
      </c>
      <c r="AS175" s="85">
        <f t="shared" si="348"/>
        <v>109.2</v>
      </c>
      <c r="AT175" s="85">
        <f t="shared" si="348"/>
        <v>109.2</v>
      </c>
      <c r="AU175" s="85">
        <f t="shared" si="348"/>
        <v>109.2</v>
      </c>
      <c r="AV175" s="86">
        <f t="shared" si="327"/>
        <v>1310.4000000000003</v>
      </c>
      <c r="AW175" s="87"/>
      <c r="AX175" s="88"/>
      <c r="AY175" s="88"/>
    </row>
    <row r="176" spans="1:51">
      <c r="A176" s="79" t="s">
        <v>3028</v>
      </c>
      <c r="B176" s="80" t="str">
        <f t="shared" ref="B176:F176" si="349">B37</f>
        <v>ACPLSZ</v>
      </c>
      <c r="C176" s="80" t="str">
        <f t="shared" si="349"/>
        <v>深圳户籍</v>
      </c>
      <c r="D176" s="80" t="str">
        <f t="shared" si="349"/>
        <v>Professional</v>
      </c>
      <c r="E176" s="80">
        <f t="shared" si="349"/>
        <v>0</v>
      </c>
      <c r="F176" s="82">
        <f t="shared" si="349"/>
        <v>17000</v>
      </c>
      <c r="G176" s="82"/>
      <c r="H176" s="90" t="str">
        <f t="shared" ref="H176:I176" si="350">H37</f>
        <v>项目会计</v>
      </c>
      <c r="I176" s="83">
        <f t="shared" si="350"/>
        <v>0</v>
      </c>
      <c r="J176" s="82"/>
      <c r="K176" s="84"/>
      <c r="L176" s="84"/>
      <c r="M176" s="84"/>
      <c r="N176" s="84"/>
      <c r="O176" s="84"/>
      <c r="P176" s="84"/>
      <c r="Q176" s="84"/>
      <c r="R176" s="84"/>
      <c r="S176" s="84"/>
      <c r="T176" s="84"/>
      <c r="U176" s="84"/>
      <c r="V176" s="84"/>
      <c r="W176" s="85">
        <f t="shared" ref="W176:AH179" si="351">VLOOKUP($H176,$H$15:$AH$46,W$16,FALSE)*$AJ$10</f>
        <v>0</v>
      </c>
      <c r="X176" s="85">
        <f t="shared" si="351"/>
        <v>0</v>
      </c>
      <c r="Y176" s="85">
        <f t="shared" si="351"/>
        <v>0</v>
      </c>
      <c r="Z176" s="85">
        <f t="shared" si="351"/>
        <v>0</v>
      </c>
      <c r="AA176" s="85">
        <f t="shared" si="351"/>
        <v>0</v>
      </c>
      <c r="AB176" s="85">
        <f t="shared" si="351"/>
        <v>0</v>
      </c>
      <c r="AC176" s="85">
        <f t="shared" si="351"/>
        <v>0</v>
      </c>
      <c r="AD176" s="85">
        <f t="shared" si="351"/>
        <v>68</v>
      </c>
      <c r="AE176" s="85">
        <f t="shared" si="351"/>
        <v>68</v>
      </c>
      <c r="AF176" s="85">
        <f t="shared" si="351"/>
        <v>68</v>
      </c>
      <c r="AG176" s="85">
        <f t="shared" si="351"/>
        <v>68</v>
      </c>
      <c r="AH176" s="85">
        <f t="shared" si="351"/>
        <v>68</v>
      </c>
      <c r="AI176" s="86">
        <f t="shared" ref="AI176:AI177" si="352">SUM(W176:AH176)</f>
        <v>340</v>
      </c>
      <c r="AJ176" s="85">
        <f t="shared" ref="AJ176:AU176" si="353">VLOOKUP($H176,$H$15:$AU$46,AJ$16,FALSE)*$AJ$10</f>
        <v>142.80000000000001</v>
      </c>
      <c r="AK176" s="85">
        <f t="shared" si="353"/>
        <v>142.80000000000001</v>
      </c>
      <c r="AL176" s="85">
        <f t="shared" si="353"/>
        <v>142.80000000000001</v>
      </c>
      <c r="AM176" s="85">
        <f t="shared" si="353"/>
        <v>142.80000000000001</v>
      </c>
      <c r="AN176" s="85">
        <f t="shared" si="353"/>
        <v>142.80000000000001</v>
      </c>
      <c r="AO176" s="85">
        <f t="shared" si="353"/>
        <v>142.80000000000001</v>
      </c>
      <c r="AP176" s="85">
        <f t="shared" si="353"/>
        <v>142.80000000000001</v>
      </c>
      <c r="AQ176" s="85">
        <f t="shared" si="353"/>
        <v>142.80000000000001</v>
      </c>
      <c r="AR176" s="85">
        <f t="shared" si="353"/>
        <v>142.80000000000001</v>
      </c>
      <c r="AS176" s="85">
        <f t="shared" si="353"/>
        <v>142.80000000000001</v>
      </c>
      <c r="AT176" s="85">
        <f t="shared" si="353"/>
        <v>142.80000000000001</v>
      </c>
      <c r="AU176" s="85">
        <f t="shared" si="353"/>
        <v>142.80000000000001</v>
      </c>
      <c r="AV176" s="86">
        <f t="shared" si="327"/>
        <v>1713.5999999999997</v>
      </c>
      <c r="AW176" s="87"/>
      <c r="AX176" s="88"/>
      <c r="AY176" s="88"/>
    </row>
    <row r="177" spans="1:51">
      <c r="A177" s="79" t="s">
        <v>3028</v>
      </c>
      <c r="B177" s="80" t="str">
        <f t="shared" ref="B177:F177" si="354">B38</f>
        <v>ACPLSZ</v>
      </c>
      <c r="C177" s="80" t="str">
        <f t="shared" si="354"/>
        <v>深圳户籍</v>
      </c>
      <c r="D177" s="80" t="str">
        <f t="shared" si="354"/>
        <v>Professional</v>
      </c>
      <c r="E177" s="80">
        <f t="shared" si="354"/>
        <v>0</v>
      </c>
      <c r="F177" s="82">
        <f t="shared" si="354"/>
        <v>12000</v>
      </c>
      <c r="G177" s="82"/>
      <c r="H177" s="90" t="str">
        <f t="shared" ref="H177:I177" si="355">H38</f>
        <v>档案管理员</v>
      </c>
      <c r="I177" s="83">
        <f t="shared" si="355"/>
        <v>0</v>
      </c>
      <c r="J177" s="82"/>
      <c r="K177" s="84"/>
      <c r="L177" s="84"/>
      <c r="M177" s="84"/>
      <c r="N177" s="84"/>
      <c r="O177" s="84"/>
      <c r="P177" s="84"/>
      <c r="Q177" s="84"/>
      <c r="R177" s="84"/>
      <c r="S177" s="84"/>
      <c r="T177" s="84"/>
      <c r="U177" s="84"/>
      <c r="V177" s="84"/>
      <c r="W177" s="85">
        <f t="shared" si="351"/>
        <v>0</v>
      </c>
      <c r="X177" s="85">
        <f t="shared" si="351"/>
        <v>0</v>
      </c>
      <c r="Y177" s="85">
        <f t="shared" si="351"/>
        <v>0</v>
      </c>
      <c r="Z177" s="85">
        <f t="shared" si="351"/>
        <v>0</v>
      </c>
      <c r="AA177" s="85">
        <f t="shared" si="351"/>
        <v>0</v>
      </c>
      <c r="AB177" s="85">
        <f t="shared" si="351"/>
        <v>0</v>
      </c>
      <c r="AC177" s="85">
        <f t="shared" si="351"/>
        <v>0</v>
      </c>
      <c r="AD177" s="85">
        <f t="shared" si="351"/>
        <v>0</v>
      </c>
      <c r="AE177" s="85">
        <f t="shared" si="351"/>
        <v>0</v>
      </c>
      <c r="AF177" s="85">
        <f t="shared" si="351"/>
        <v>0</v>
      </c>
      <c r="AG177" s="85">
        <f t="shared" si="351"/>
        <v>0</v>
      </c>
      <c r="AH177" s="85">
        <f t="shared" si="351"/>
        <v>48</v>
      </c>
      <c r="AI177" s="86">
        <f t="shared" si="352"/>
        <v>48</v>
      </c>
      <c r="AJ177" s="85">
        <f t="shared" ref="AJ177:AU179" si="356">VLOOKUP($H177,$H$15:$AU$46,AJ$16,FALSE)*$AJ$10</f>
        <v>50.4</v>
      </c>
      <c r="AK177" s="85">
        <f t="shared" si="356"/>
        <v>50.4</v>
      </c>
      <c r="AL177" s="85">
        <f t="shared" si="356"/>
        <v>50.4</v>
      </c>
      <c r="AM177" s="85">
        <f t="shared" si="356"/>
        <v>50.4</v>
      </c>
      <c r="AN177" s="85">
        <f t="shared" si="356"/>
        <v>50.4</v>
      </c>
      <c r="AO177" s="85">
        <f t="shared" si="356"/>
        <v>50.4</v>
      </c>
      <c r="AP177" s="85">
        <f t="shared" si="356"/>
        <v>50.4</v>
      </c>
      <c r="AQ177" s="85">
        <f t="shared" si="356"/>
        <v>50.4</v>
      </c>
      <c r="AR177" s="85">
        <f t="shared" si="356"/>
        <v>50.4</v>
      </c>
      <c r="AS177" s="85">
        <f t="shared" si="356"/>
        <v>50.4</v>
      </c>
      <c r="AT177" s="85">
        <f t="shared" si="356"/>
        <v>50.4</v>
      </c>
      <c r="AU177" s="85">
        <f t="shared" si="356"/>
        <v>50.4</v>
      </c>
      <c r="AV177" s="86">
        <f t="shared" si="327"/>
        <v>604.79999999999984</v>
      </c>
      <c r="AW177" s="87"/>
      <c r="AX177" s="88"/>
      <c r="AY177" s="88"/>
    </row>
    <row r="178" spans="1:51">
      <c r="A178" s="79" t="s">
        <v>3028</v>
      </c>
      <c r="B178" s="80" t="str">
        <f t="shared" ref="B178:F178" si="357">B39</f>
        <v>ACPLSZ</v>
      </c>
      <c r="C178" s="80" t="str">
        <f t="shared" si="357"/>
        <v>北京户籍</v>
      </c>
      <c r="D178" s="80" t="str">
        <f t="shared" si="357"/>
        <v>Professional</v>
      </c>
      <c r="E178" s="80">
        <f t="shared" si="357"/>
        <v>0</v>
      </c>
      <c r="F178" s="82">
        <f t="shared" si="357"/>
        <v>100000</v>
      </c>
      <c r="G178" s="82"/>
      <c r="H178" s="82" t="str">
        <f t="shared" ref="H178:I178" si="358">H39</f>
        <v>Head of Origination</v>
      </c>
      <c r="I178" s="83">
        <f t="shared" si="358"/>
        <v>0</v>
      </c>
      <c r="J178" s="82"/>
      <c r="K178" s="84"/>
      <c r="L178" s="84"/>
      <c r="M178" s="84"/>
      <c r="N178" s="84"/>
      <c r="O178" s="84"/>
      <c r="P178" s="84"/>
      <c r="Q178" s="84"/>
      <c r="R178" s="84"/>
      <c r="S178" s="84"/>
      <c r="T178" s="84"/>
      <c r="U178" s="84"/>
      <c r="V178" s="84"/>
      <c r="W178" s="85">
        <f t="shared" si="351"/>
        <v>0</v>
      </c>
      <c r="X178" s="85">
        <f t="shared" si="351"/>
        <v>0</v>
      </c>
      <c r="Y178" s="85">
        <f t="shared" si="351"/>
        <v>0</v>
      </c>
      <c r="Z178" s="85">
        <f t="shared" si="351"/>
        <v>0</v>
      </c>
      <c r="AA178" s="85">
        <f t="shared" si="351"/>
        <v>400</v>
      </c>
      <c r="AB178" s="85">
        <f t="shared" si="351"/>
        <v>400</v>
      </c>
      <c r="AC178" s="85">
        <f t="shared" si="351"/>
        <v>400</v>
      </c>
      <c r="AD178" s="85">
        <f t="shared" si="351"/>
        <v>400</v>
      </c>
      <c r="AE178" s="85">
        <f t="shared" si="351"/>
        <v>400</v>
      </c>
      <c r="AF178" s="85">
        <f t="shared" si="351"/>
        <v>400</v>
      </c>
      <c r="AG178" s="85">
        <f t="shared" si="351"/>
        <v>400</v>
      </c>
      <c r="AH178" s="85">
        <f t="shared" si="351"/>
        <v>400</v>
      </c>
      <c r="AI178" s="86">
        <f t="shared" ref="AI178:AI179" si="359">SUM(W178:AH178)</f>
        <v>3200</v>
      </c>
      <c r="AJ178" s="85">
        <f t="shared" si="356"/>
        <v>420</v>
      </c>
      <c r="AK178" s="85">
        <f t="shared" si="356"/>
        <v>420</v>
      </c>
      <c r="AL178" s="85">
        <f t="shared" si="356"/>
        <v>420</v>
      </c>
      <c r="AM178" s="85">
        <f t="shared" si="356"/>
        <v>420</v>
      </c>
      <c r="AN178" s="85">
        <f t="shared" si="356"/>
        <v>420</v>
      </c>
      <c r="AO178" s="85">
        <f t="shared" si="356"/>
        <v>420</v>
      </c>
      <c r="AP178" s="85">
        <f t="shared" si="356"/>
        <v>420</v>
      </c>
      <c r="AQ178" s="85">
        <f t="shared" si="356"/>
        <v>420</v>
      </c>
      <c r="AR178" s="85">
        <f t="shared" si="356"/>
        <v>420</v>
      </c>
      <c r="AS178" s="85">
        <f t="shared" si="356"/>
        <v>420</v>
      </c>
      <c r="AT178" s="85">
        <f t="shared" si="356"/>
        <v>420</v>
      </c>
      <c r="AU178" s="85">
        <f t="shared" si="356"/>
        <v>420</v>
      </c>
      <c r="AV178" s="86">
        <f t="shared" ref="AV178:AV179" si="360">SUM(AJ178:AU178)</f>
        <v>5040</v>
      </c>
      <c r="AW178" s="87"/>
      <c r="AX178" s="88"/>
      <c r="AY178" s="88"/>
    </row>
    <row r="179" spans="1:51">
      <c r="A179" s="79" t="s">
        <v>3028</v>
      </c>
      <c r="B179" s="80" t="str">
        <f t="shared" ref="B179:F179" si="361">B40</f>
        <v>ACPLSZ</v>
      </c>
      <c r="C179" s="80" t="str">
        <f t="shared" si="361"/>
        <v>北京户籍</v>
      </c>
      <c r="D179" s="80" t="str">
        <f t="shared" si="361"/>
        <v>Professional</v>
      </c>
      <c r="E179" s="80">
        <f t="shared" si="361"/>
        <v>0</v>
      </c>
      <c r="F179" s="82">
        <f t="shared" si="361"/>
        <v>80000</v>
      </c>
      <c r="G179" s="82"/>
      <c r="H179" s="82" t="str">
        <f t="shared" ref="H179:I179" si="362">H40</f>
        <v>Op Partner - ZJX</v>
      </c>
      <c r="I179" s="83">
        <f t="shared" si="362"/>
        <v>0</v>
      </c>
      <c r="J179" s="82"/>
      <c r="K179" s="84"/>
      <c r="L179" s="84"/>
      <c r="M179" s="84"/>
      <c r="N179" s="84"/>
      <c r="O179" s="84"/>
      <c r="P179" s="84"/>
      <c r="Q179" s="84"/>
      <c r="R179" s="84"/>
      <c r="S179" s="84"/>
      <c r="T179" s="84"/>
      <c r="U179" s="84"/>
      <c r="V179" s="84"/>
      <c r="W179" s="85">
        <f t="shared" si="351"/>
        <v>0</v>
      </c>
      <c r="X179" s="85">
        <f t="shared" si="351"/>
        <v>0</v>
      </c>
      <c r="Y179" s="85">
        <f t="shared" si="351"/>
        <v>0</v>
      </c>
      <c r="Z179" s="85">
        <f t="shared" si="351"/>
        <v>0</v>
      </c>
      <c r="AA179" s="85">
        <f t="shared" si="351"/>
        <v>320</v>
      </c>
      <c r="AB179" s="85">
        <f t="shared" si="351"/>
        <v>320</v>
      </c>
      <c r="AC179" s="85">
        <f t="shared" si="351"/>
        <v>320</v>
      </c>
      <c r="AD179" s="85">
        <f t="shared" si="351"/>
        <v>320</v>
      </c>
      <c r="AE179" s="85">
        <f t="shared" si="351"/>
        <v>320</v>
      </c>
      <c r="AF179" s="85">
        <f t="shared" si="351"/>
        <v>320</v>
      </c>
      <c r="AG179" s="85">
        <f t="shared" si="351"/>
        <v>320</v>
      </c>
      <c r="AH179" s="85">
        <f t="shared" si="351"/>
        <v>320</v>
      </c>
      <c r="AI179" s="86">
        <f t="shared" si="359"/>
        <v>2560</v>
      </c>
      <c r="AJ179" s="85">
        <f t="shared" si="356"/>
        <v>336</v>
      </c>
      <c r="AK179" s="85">
        <f t="shared" si="356"/>
        <v>336</v>
      </c>
      <c r="AL179" s="85">
        <f t="shared" si="356"/>
        <v>336</v>
      </c>
      <c r="AM179" s="85">
        <f t="shared" si="356"/>
        <v>336</v>
      </c>
      <c r="AN179" s="85">
        <f t="shared" si="356"/>
        <v>336</v>
      </c>
      <c r="AO179" s="85">
        <f t="shared" si="356"/>
        <v>336</v>
      </c>
      <c r="AP179" s="85">
        <f t="shared" si="356"/>
        <v>336</v>
      </c>
      <c r="AQ179" s="85">
        <f t="shared" si="356"/>
        <v>336</v>
      </c>
      <c r="AR179" s="85">
        <f t="shared" si="356"/>
        <v>336</v>
      </c>
      <c r="AS179" s="85">
        <f t="shared" si="356"/>
        <v>336</v>
      </c>
      <c r="AT179" s="85">
        <f t="shared" si="356"/>
        <v>336</v>
      </c>
      <c r="AU179" s="85">
        <f t="shared" si="356"/>
        <v>336</v>
      </c>
      <c r="AV179" s="86">
        <f t="shared" si="360"/>
        <v>4032</v>
      </c>
      <c r="AW179" s="87"/>
      <c r="AX179" s="88"/>
      <c r="AY179" s="88"/>
    </row>
    <row r="180" spans="1:51">
      <c r="A180" s="79" t="s">
        <v>3028</v>
      </c>
      <c r="B180" s="80" t="str">
        <f t="shared" ref="B180:F180" si="363">B41</f>
        <v>ACPLSZ</v>
      </c>
      <c r="C180" s="80">
        <f t="shared" si="363"/>
        <v>0</v>
      </c>
      <c r="D180" s="80">
        <f t="shared" si="363"/>
        <v>0</v>
      </c>
      <c r="E180" s="80">
        <f t="shared" si="363"/>
        <v>0</v>
      </c>
      <c r="F180" s="82">
        <f t="shared" si="363"/>
        <v>0</v>
      </c>
      <c r="G180" s="82"/>
      <c r="H180" s="82">
        <f t="shared" ref="H180:I180" si="364">H41</f>
        <v>0</v>
      </c>
      <c r="I180" s="83">
        <f t="shared" si="364"/>
        <v>0</v>
      </c>
      <c r="J180" s="82"/>
      <c r="K180" s="84"/>
      <c r="L180" s="84"/>
      <c r="M180" s="84"/>
      <c r="N180" s="84"/>
      <c r="O180" s="84"/>
      <c r="P180" s="84"/>
      <c r="Q180" s="84"/>
      <c r="R180" s="84"/>
      <c r="S180" s="84"/>
      <c r="T180" s="84"/>
      <c r="U180" s="84"/>
      <c r="V180" s="84"/>
      <c r="W180" s="85"/>
      <c r="X180" s="85"/>
      <c r="Y180" s="85"/>
      <c r="Z180" s="85"/>
      <c r="AA180" s="85"/>
      <c r="AB180" s="85"/>
      <c r="AC180" s="85"/>
      <c r="AD180" s="85"/>
      <c r="AE180" s="85"/>
      <c r="AF180" s="85"/>
      <c r="AG180" s="85"/>
      <c r="AH180" s="85"/>
      <c r="AI180" s="86"/>
      <c r="AJ180" s="85"/>
      <c r="AK180" s="85"/>
      <c r="AL180" s="85"/>
      <c r="AM180" s="85"/>
      <c r="AN180" s="85"/>
      <c r="AO180" s="85"/>
      <c r="AP180" s="85"/>
      <c r="AQ180" s="85"/>
      <c r="AR180" s="85"/>
      <c r="AS180" s="85"/>
      <c r="AT180" s="85"/>
      <c r="AU180" s="85"/>
      <c r="AV180" s="86"/>
      <c r="AW180" s="87"/>
      <c r="AX180" s="88"/>
      <c r="AY180" s="88"/>
    </row>
    <row r="181" spans="1:51">
      <c r="A181" s="79" t="s">
        <v>3028</v>
      </c>
      <c r="B181" s="80">
        <f t="shared" ref="B181:F181" si="365">B42</f>
        <v>0</v>
      </c>
      <c r="C181" s="80">
        <f t="shared" si="365"/>
        <v>0</v>
      </c>
      <c r="D181" s="80">
        <f t="shared" si="365"/>
        <v>0</v>
      </c>
      <c r="E181" s="80">
        <f t="shared" si="365"/>
        <v>0</v>
      </c>
      <c r="F181" s="82">
        <f t="shared" si="365"/>
        <v>0</v>
      </c>
      <c r="G181" s="82"/>
      <c r="H181" s="82">
        <f t="shared" ref="H181:I181" si="366">H42</f>
        <v>0</v>
      </c>
      <c r="I181" s="83">
        <f t="shared" si="366"/>
        <v>0</v>
      </c>
      <c r="J181" s="82"/>
      <c r="K181" s="84"/>
      <c r="L181" s="84"/>
      <c r="M181" s="84"/>
      <c r="N181" s="84"/>
      <c r="O181" s="84"/>
      <c r="P181" s="84"/>
      <c r="Q181" s="84"/>
      <c r="R181" s="84"/>
      <c r="S181" s="84"/>
      <c r="T181" s="84"/>
      <c r="U181" s="84"/>
      <c r="V181" s="84"/>
      <c r="W181" s="85"/>
      <c r="X181" s="85"/>
      <c r="Y181" s="85"/>
      <c r="Z181" s="85"/>
      <c r="AA181" s="85"/>
      <c r="AB181" s="85"/>
      <c r="AC181" s="85"/>
      <c r="AD181" s="85"/>
      <c r="AE181" s="85"/>
      <c r="AF181" s="85"/>
      <c r="AG181" s="85"/>
      <c r="AH181" s="85"/>
      <c r="AI181" s="86"/>
      <c r="AJ181" s="85"/>
      <c r="AK181" s="85"/>
      <c r="AL181" s="85"/>
      <c r="AM181" s="85"/>
      <c r="AN181" s="85"/>
      <c r="AO181" s="85"/>
      <c r="AP181" s="85"/>
      <c r="AQ181" s="85"/>
      <c r="AR181" s="85"/>
      <c r="AS181" s="85"/>
      <c r="AT181" s="85"/>
      <c r="AU181" s="85"/>
      <c r="AV181" s="86"/>
      <c r="AW181" s="87"/>
      <c r="AX181" s="88"/>
      <c r="AY181" s="88"/>
    </row>
    <row r="182" spans="1:51">
      <c r="A182" s="79" t="s">
        <v>3028</v>
      </c>
      <c r="B182" s="80">
        <f t="shared" ref="B182:F182" si="367">B43</f>
        <v>0</v>
      </c>
      <c r="C182" s="80">
        <f t="shared" si="367"/>
        <v>0</v>
      </c>
      <c r="D182" s="80">
        <f t="shared" si="367"/>
        <v>0</v>
      </c>
      <c r="E182" s="80">
        <f t="shared" si="367"/>
        <v>0</v>
      </c>
      <c r="F182" s="82">
        <f t="shared" si="367"/>
        <v>0</v>
      </c>
      <c r="G182" s="82"/>
      <c r="H182" s="82">
        <f t="shared" ref="H182:I182" si="368">H43</f>
        <v>0</v>
      </c>
      <c r="I182" s="83">
        <f t="shared" si="368"/>
        <v>0</v>
      </c>
      <c r="J182" s="82"/>
      <c r="K182" s="84"/>
      <c r="L182" s="84"/>
      <c r="M182" s="84"/>
      <c r="N182" s="84"/>
      <c r="O182" s="84"/>
      <c r="P182" s="84"/>
      <c r="Q182" s="84"/>
      <c r="R182" s="84"/>
      <c r="S182" s="84"/>
      <c r="T182" s="84"/>
      <c r="U182" s="84"/>
      <c r="V182" s="84"/>
      <c r="W182" s="85"/>
      <c r="X182" s="85"/>
      <c r="Y182" s="85"/>
      <c r="Z182" s="85"/>
      <c r="AA182" s="85"/>
      <c r="AB182" s="85"/>
      <c r="AC182" s="85"/>
      <c r="AD182" s="85"/>
      <c r="AE182" s="85"/>
      <c r="AF182" s="85"/>
      <c r="AG182" s="85"/>
      <c r="AH182" s="85"/>
      <c r="AI182" s="86"/>
      <c r="AJ182" s="85"/>
      <c r="AK182" s="85"/>
      <c r="AL182" s="85"/>
      <c r="AM182" s="85"/>
      <c r="AN182" s="85"/>
      <c r="AO182" s="85"/>
      <c r="AP182" s="85"/>
      <c r="AQ182" s="85"/>
      <c r="AR182" s="85"/>
      <c r="AS182" s="85"/>
      <c r="AT182" s="85"/>
      <c r="AU182" s="85"/>
      <c r="AV182" s="86"/>
      <c r="AW182" s="87"/>
      <c r="AX182" s="88"/>
      <c r="AY182" s="88"/>
    </row>
    <row r="183" spans="1:51">
      <c r="A183" s="79"/>
      <c r="B183" s="93"/>
      <c r="C183" s="93"/>
      <c r="D183" s="93"/>
      <c r="E183" s="93"/>
      <c r="F183" s="113"/>
      <c r="G183" s="113"/>
      <c r="H183" s="113"/>
      <c r="I183" s="114"/>
      <c r="J183" s="113"/>
      <c r="K183" s="115"/>
      <c r="L183" s="115"/>
      <c r="M183" s="115"/>
      <c r="N183" s="115"/>
      <c r="O183" s="115"/>
      <c r="P183" s="115"/>
      <c r="Q183" s="115"/>
      <c r="R183" s="115"/>
      <c r="S183" s="115"/>
      <c r="T183" s="115"/>
      <c r="U183" s="115"/>
      <c r="V183" s="115"/>
      <c r="W183" s="113"/>
      <c r="X183" s="113"/>
      <c r="Y183" s="113"/>
      <c r="Z183" s="113"/>
      <c r="AA183" s="113"/>
      <c r="AB183" s="113"/>
      <c r="AC183" s="113"/>
      <c r="AD183" s="113"/>
      <c r="AE183" s="113"/>
      <c r="AF183" s="113"/>
      <c r="AG183" s="113"/>
      <c r="AH183" s="113"/>
      <c r="AI183" s="113"/>
      <c r="AJ183" s="113"/>
      <c r="AK183" s="113"/>
      <c r="AL183" s="113"/>
      <c r="AM183" s="113"/>
      <c r="AN183" s="113"/>
      <c r="AO183" s="113"/>
      <c r="AP183" s="113"/>
      <c r="AQ183" s="113"/>
      <c r="AR183" s="113"/>
      <c r="AS183" s="113"/>
      <c r="AT183" s="113"/>
      <c r="AU183" s="113"/>
      <c r="AV183" s="113"/>
      <c r="AW183" s="116"/>
      <c r="AX183" s="113"/>
      <c r="AY183" s="113"/>
    </row>
    <row r="184" spans="1:51">
      <c r="A184" s="79"/>
      <c r="B184" s="93" t="str">
        <f>B150</f>
        <v>ACPLSZ</v>
      </c>
      <c r="C184" s="93"/>
      <c r="D184" s="93"/>
      <c r="E184" s="93"/>
      <c r="F184" s="88"/>
      <c r="G184" s="88"/>
      <c r="H184" s="88"/>
      <c r="I184" s="122"/>
      <c r="J184" s="88"/>
      <c r="K184" s="119"/>
      <c r="L184" s="119"/>
      <c r="M184" s="119"/>
      <c r="N184" s="119"/>
      <c r="O184" s="119"/>
      <c r="P184" s="119"/>
      <c r="Q184" s="119"/>
      <c r="R184" s="119"/>
      <c r="S184" s="119"/>
      <c r="T184" s="119"/>
      <c r="U184" s="119"/>
      <c r="V184" s="119"/>
      <c r="W184" s="96">
        <f ca="1">SUMIF($B$156:$AV$183,$B184,W$156:W$183)</f>
        <v>1113.9960000000001</v>
      </c>
      <c r="X184" s="96">
        <f t="shared" ref="X184:AV185" ca="1" si="369">SUMIF($B$156:$AV$183,$B184,X$156:X$183)</f>
        <v>1245.9960000000001</v>
      </c>
      <c r="Y184" s="96">
        <f t="shared" ca="1" si="369"/>
        <v>1245.9960000000001</v>
      </c>
      <c r="Z184" s="96">
        <f t="shared" ca="1" si="369"/>
        <v>1275.24</v>
      </c>
      <c r="AA184" s="96">
        <f t="shared" ca="1" si="369"/>
        <v>2339.2399999999998</v>
      </c>
      <c r="AB184" s="96">
        <f t="shared" ca="1" si="369"/>
        <v>2339.2399999999998</v>
      </c>
      <c r="AC184" s="96">
        <f t="shared" ca="1" si="369"/>
        <v>2339.2399999999998</v>
      </c>
      <c r="AD184" s="96">
        <f t="shared" ca="1" si="369"/>
        <v>2407.2399999999998</v>
      </c>
      <c r="AE184" s="96">
        <f t="shared" ca="1" si="369"/>
        <v>2407.2399999999998</v>
      </c>
      <c r="AF184" s="96">
        <f t="shared" ca="1" si="369"/>
        <v>2407.2399999999998</v>
      </c>
      <c r="AG184" s="96">
        <f t="shared" ca="1" si="369"/>
        <v>2407.2399999999998</v>
      </c>
      <c r="AH184" s="96">
        <f t="shared" ca="1" si="369"/>
        <v>2455.2399999999998</v>
      </c>
      <c r="AI184" s="96">
        <f t="shared" ca="1" si="369"/>
        <v>23983.148000000001</v>
      </c>
      <c r="AJ184" s="96">
        <f t="shared" ca="1" si="369"/>
        <v>2644.14</v>
      </c>
      <c r="AK184" s="96">
        <f t="shared" ca="1" si="369"/>
        <v>2644.14</v>
      </c>
      <c r="AL184" s="96">
        <f t="shared" ca="1" si="369"/>
        <v>2644.14</v>
      </c>
      <c r="AM184" s="96">
        <f t="shared" ca="1" si="369"/>
        <v>2644.14</v>
      </c>
      <c r="AN184" s="96">
        <f t="shared" ca="1" si="369"/>
        <v>2644.14</v>
      </c>
      <c r="AO184" s="96">
        <f t="shared" ca="1" si="369"/>
        <v>2644.14</v>
      </c>
      <c r="AP184" s="96">
        <f t="shared" ca="1" si="369"/>
        <v>2685.5279999999998</v>
      </c>
      <c r="AQ184" s="96">
        <f t="shared" ca="1" si="369"/>
        <v>2685.5279999999998</v>
      </c>
      <c r="AR184" s="96">
        <f t="shared" ca="1" si="369"/>
        <v>2685.5279999999998</v>
      </c>
      <c r="AS184" s="96">
        <f t="shared" ca="1" si="369"/>
        <v>2685.5279999999998</v>
      </c>
      <c r="AT184" s="96">
        <f t="shared" ca="1" si="369"/>
        <v>2685.5279999999998</v>
      </c>
      <c r="AU184" s="96">
        <f t="shared" ca="1" si="369"/>
        <v>2685.5279999999998</v>
      </c>
      <c r="AV184" s="96">
        <f t="shared" ca="1" si="369"/>
        <v>31978.007999999998</v>
      </c>
      <c r="AW184" s="87"/>
      <c r="AX184" s="88"/>
      <c r="AY184" s="88"/>
    </row>
    <row r="185" spans="1:51">
      <c r="A185" s="79"/>
      <c r="B185" s="93" t="str">
        <f>B149</f>
        <v>ACPSZL</v>
      </c>
      <c r="C185" s="93"/>
      <c r="D185" s="93"/>
      <c r="E185" s="93"/>
      <c r="F185" s="88"/>
      <c r="G185" s="88"/>
      <c r="H185" s="93"/>
      <c r="I185" s="94"/>
      <c r="J185" s="93"/>
      <c r="K185" s="93"/>
      <c r="L185" s="93"/>
      <c r="M185" s="93"/>
      <c r="N185" s="93"/>
      <c r="O185" s="93"/>
      <c r="P185" s="93"/>
      <c r="Q185" s="93"/>
      <c r="R185" s="93"/>
      <c r="S185" s="93"/>
      <c r="T185" s="93"/>
      <c r="U185" s="93"/>
      <c r="V185" s="93"/>
      <c r="W185" s="96">
        <f ca="1">SUMIF($B$156:$AV$183,$B185,W$156:W$183)</f>
        <v>394</v>
      </c>
      <c r="X185" s="96">
        <f t="shared" ca="1" si="369"/>
        <v>264</v>
      </c>
      <c r="Y185" s="96">
        <f t="shared" ca="1" si="369"/>
        <v>264</v>
      </c>
      <c r="Z185" s="96">
        <f t="shared" ca="1" si="369"/>
        <v>414</v>
      </c>
      <c r="AA185" s="96">
        <f t="shared" ca="1" si="369"/>
        <v>414</v>
      </c>
      <c r="AB185" s="96">
        <f t="shared" ca="1" si="369"/>
        <v>414</v>
      </c>
      <c r="AC185" s="96">
        <f t="shared" ca="1" si="369"/>
        <v>414</v>
      </c>
      <c r="AD185" s="96">
        <f t="shared" ca="1" si="369"/>
        <v>414</v>
      </c>
      <c r="AE185" s="96">
        <f t="shared" ca="1" si="369"/>
        <v>414</v>
      </c>
      <c r="AF185" s="96">
        <f t="shared" ca="1" si="369"/>
        <v>414</v>
      </c>
      <c r="AG185" s="96">
        <f t="shared" ca="1" si="369"/>
        <v>414</v>
      </c>
      <c r="AH185" s="96">
        <f t="shared" ca="1" si="369"/>
        <v>414</v>
      </c>
      <c r="AI185" s="96">
        <f t="shared" ca="1" si="369"/>
        <v>4648</v>
      </c>
      <c r="AJ185" s="96">
        <f t="shared" ca="1" si="369"/>
        <v>434.7</v>
      </c>
      <c r="AK185" s="96">
        <f t="shared" ca="1" si="369"/>
        <v>434.7</v>
      </c>
      <c r="AL185" s="96">
        <f t="shared" ca="1" si="369"/>
        <v>434.7</v>
      </c>
      <c r="AM185" s="96">
        <f t="shared" ca="1" si="369"/>
        <v>434.7</v>
      </c>
      <c r="AN185" s="96">
        <f t="shared" ca="1" si="369"/>
        <v>434.7</v>
      </c>
      <c r="AO185" s="96">
        <f t="shared" ca="1" si="369"/>
        <v>434.7</v>
      </c>
      <c r="AP185" s="96">
        <f t="shared" ca="1" si="369"/>
        <v>434.7</v>
      </c>
      <c r="AQ185" s="96">
        <f t="shared" ca="1" si="369"/>
        <v>434.7</v>
      </c>
      <c r="AR185" s="96">
        <f t="shared" ca="1" si="369"/>
        <v>434.7</v>
      </c>
      <c r="AS185" s="96">
        <f t="shared" ca="1" si="369"/>
        <v>434.7</v>
      </c>
      <c r="AT185" s="96">
        <f t="shared" ca="1" si="369"/>
        <v>434.7</v>
      </c>
      <c r="AU185" s="96">
        <f t="shared" ca="1" si="369"/>
        <v>434.7</v>
      </c>
      <c r="AV185" s="96">
        <f t="shared" ca="1" si="369"/>
        <v>5216.3999999999996</v>
      </c>
      <c r="AW185" s="87"/>
      <c r="AX185" s="88"/>
      <c r="AY185" s="88"/>
    </row>
    <row r="186" spans="1:51">
      <c r="A186" s="93"/>
      <c r="B186" s="93"/>
      <c r="C186" s="93"/>
      <c r="D186" s="93"/>
      <c r="E186" s="93"/>
      <c r="F186" s="97" t="s">
        <v>3023</v>
      </c>
      <c r="G186" s="97"/>
      <c r="H186" s="93"/>
      <c r="I186" s="94"/>
      <c r="J186" s="98"/>
      <c r="K186" s="99"/>
      <c r="L186" s="99"/>
      <c r="M186" s="99"/>
      <c r="N186" s="99"/>
      <c r="O186" s="99"/>
      <c r="P186" s="99"/>
      <c r="Q186" s="99"/>
      <c r="R186" s="99"/>
      <c r="S186" s="99"/>
      <c r="T186" s="99"/>
      <c r="U186" s="99"/>
      <c r="V186" s="99"/>
      <c r="W186" s="100">
        <f>SUM(W155:W183)</f>
        <v>1507.9959999999999</v>
      </c>
      <c r="X186" s="100">
        <f t="shared" ref="X186:AV186" si="370">SUM(X155:X183)</f>
        <v>1509.9959999999999</v>
      </c>
      <c r="Y186" s="100">
        <f t="shared" si="370"/>
        <v>1509.9959999999999</v>
      </c>
      <c r="Z186" s="100">
        <f t="shared" si="370"/>
        <v>1689.2399999999998</v>
      </c>
      <c r="AA186" s="100">
        <f t="shared" si="370"/>
        <v>2753.24</v>
      </c>
      <c r="AB186" s="100">
        <f t="shared" si="370"/>
        <v>2753.24</v>
      </c>
      <c r="AC186" s="100">
        <f t="shared" si="370"/>
        <v>2753.24</v>
      </c>
      <c r="AD186" s="100">
        <f t="shared" si="370"/>
        <v>2821.24</v>
      </c>
      <c r="AE186" s="100">
        <f t="shared" si="370"/>
        <v>2821.24</v>
      </c>
      <c r="AF186" s="100">
        <f t="shared" si="370"/>
        <v>2821.24</v>
      </c>
      <c r="AG186" s="100">
        <f t="shared" si="370"/>
        <v>2821.24</v>
      </c>
      <c r="AH186" s="100">
        <f t="shared" si="370"/>
        <v>2869.24</v>
      </c>
      <c r="AI186" s="100">
        <f t="shared" si="370"/>
        <v>28631.147999999997</v>
      </c>
      <c r="AJ186" s="100">
        <f t="shared" si="370"/>
        <v>3078.84</v>
      </c>
      <c r="AK186" s="100">
        <f t="shared" si="370"/>
        <v>3078.84</v>
      </c>
      <c r="AL186" s="100">
        <f t="shared" si="370"/>
        <v>3078.84</v>
      </c>
      <c r="AM186" s="100">
        <f t="shared" si="370"/>
        <v>3078.84</v>
      </c>
      <c r="AN186" s="100">
        <f t="shared" si="370"/>
        <v>3078.84</v>
      </c>
      <c r="AO186" s="100">
        <f t="shared" si="370"/>
        <v>3078.84</v>
      </c>
      <c r="AP186" s="100">
        <f t="shared" si="370"/>
        <v>3120.2279999999996</v>
      </c>
      <c r="AQ186" s="100">
        <f t="shared" si="370"/>
        <v>3120.2279999999996</v>
      </c>
      <c r="AR186" s="100">
        <f t="shared" si="370"/>
        <v>3120.2279999999996</v>
      </c>
      <c r="AS186" s="100">
        <f t="shared" si="370"/>
        <v>3120.2279999999996</v>
      </c>
      <c r="AT186" s="100">
        <f t="shared" si="370"/>
        <v>3120.2279999999996</v>
      </c>
      <c r="AU186" s="100">
        <f t="shared" si="370"/>
        <v>3120.2279999999996</v>
      </c>
      <c r="AV186" s="100">
        <f t="shared" si="370"/>
        <v>37194.407999999996</v>
      </c>
      <c r="AW186" s="87"/>
      <c r="AX186" s="88"/>
      <c r="AY186" s="88"/>
    </row>
    <row r="187" spans="1:51">
      <c r="A187" s="93"/>
      <c r="B187" s="93"/>
      <c r="C187" s="93"/>
      <c r="D187" s="93"/>
      <c r="E187" s="93"/>
      <c r="F187" s="97"/>
      <c r="G187" s="97"/>
      <c r="H187" s="93"/>
      <c r="I187" s="94"/>
      <c r="J187" s="123"/>
      <c r="K187" s="124"/>
      <c r="L187" s="124"/>
      <c r="M187" s="124"/>
      <c r="N187" s="124"/>
      <c r="O187" s="124"/>
      <c r="P187" s="124"/>
      <c r="Q187" s="124"/>
      <c r="R187" s="124"/>
      <c r="S187" s="124"/>
      <c r="T187" s="124"/>
      <c r="U187" s="124"/>
      <c r="V187" s="124"/>
      <c r="W187" s="125"/>
      <c r="X187" s="125"/>
      <c r="Y187" s="125"/>
      <c r="Z187" s="125"/>
      <c r="AA187" s="125"/>
      <c r="AB187" s="125"/>
      <c r="AC187" s="125"/>
      <c r="AD187" s="125"/>
      <c r="AE187" s="125"/>
      <c r="AF187" s="125"/>
      <c r="AG187" s="125"/>
      <c r="AH187" s="125"/>
      <c r="AI187" s="125"/>
      <c r="AJ187" s="125"/>
      <c r="AK187" s="125"/>
      <c r="AL187" s="125"/>
      <c r="AM187" s="125"/>
      <c r="AN187" s="125"/>
      <c r="AO187" s="125"/>
      <c r="AP187" s="125"/>
      <c r="AQ187" s="125"/>
      <c r="AR187" s="125"/>
      <c r="AS187" s="125"/>
      <c r="AT187" s="125"/>
      <c r="AU187" s="125"/>
      <c r="AV187" s="125"/>
      <c r="AW187" s="87"/>
      <c r="AX187" s="88"/>
      <c r="AY187" s="88"/>
    </row>
    <row r="188" spans="1:51">
      <c r="A188" s="93"/>
      <c r="B188" s="79" t="s">
        <v>2990</v>
      </c>
      <c r="C188" s="93"/>
      <c r="D188" s="93"/>
      <c r="E188" s="93"/>
      <c r="F188" s="88"/>
      <c r="G188" s="88"/>
      <c r="H188" s="93"/>
      <c r="I188" s="94"/>
      <c r="J188" s="103"/>
      <c r="K188" s="1219" t="s">
        <v>3002</v>
      </c>
      <c r="L188" s="1220"/>
      <c r="M188" s="1220"/>
      <c r="N188" s="1220"/>
      <c r="O188" s="1220"/>
      <c r="P188" s="1220"/>
      <c r="Q188" s="1220"/>
      <c r="R188" s="1220"/>
      <c r="S188" s="1220"/>
      <c r="T188" s="1220"/>
      <c r="U188" s="1220"/>
      <c r="V188" s="1221"/>
      <c r="W188" s="1222" t="s">
        <v>3026</v>
      </c>
      <c r="X188" s="1223"/>
      <c r="Y188" s="1223"/>
      <c r="Z188" s="1223"/>
      <c r="AA188" s="1223"/>
      <c r="AB188" s="1223"/>
      <c r="AC188" s="1223"/>
      <c r="AD188" s="1223"/>
      <c r="AE188" s="1223"/>
      <c r="AF188" s="1223"/>
      <c r="AG188" s="1223"/>
      <c r="AH188" s="1224"/>
      <c r="AI188" s="1223"/>
      <c r="AJ188" s="1222" t="s">
        <v>3003</v>
      </c>
      <c r="AK188" s="1223"/>
      <c r="AL188" s="1223"/>
      <c r="AM188" s="1223"/>
      <c r="AN188" s="1223"/>
      <c r="AO188" s="1223"/>
      <c r="AP188" s="1223"/>
      <c r="AQ188" s="1223"/>
      <c r="AR188" s="1223"/>
      <c r="AS188" s="1223"/>
      <c r="AT188" s="1223"/>
      <c r="AU188" s="1224"/>
      <c r="AV188" s="1223"/>
      <c r="AW188" s="87"/>
      <c r="AX188" s="88"/>
      <c r="AY188" s="88"/>
    </row>
    <row r="189" spans="1:51" s="14" customFormat="1">
      <c r="A189" s="104"/>
      <c r="B189" s="105" t="s">
        <v>3005</v>
      </c>
      <c r="C189" s="105" t="s">
        <v>3006</v>
      </c>
      <c r="D189" s="105" t="s">
        <v>3007</v>
      </c>
      <c r="E189" s="105" t="s">
        <v>3008</v>
      </c>
      <c r="F189" s="106" t="s">
        <v>3009</v>
      </c>
      <c r="G189" s="106"/>
      <c r="H189" s="107"/>
      <c r="I189" s="108" t="s">
        <v>3011</v>
      </c>
      <c r="J189" s="107"/>
      <c r="K189" s="107">
        <v>46023</v>
      </c>
      <c r="L189" s="107">
        <v>46054</v>
      </c>
      <c r="M189" s="107">
        <v>46082</v>
      </c>
      <c r="N189" s="107">
        <v>46113</v>
      </c>
      <c r="O189" s="107">
        <v>46143</v>
      </c>
      <c r="P189" s="107">
        <v>46174</v>
      </c>
      <c r="Q189" s="107">
        <v>46204</v>
      </c>
      <c r="R189" s="107">
        <v>46235</v>
      </c>
      <c r="S189" s="107">
        <v>46266</v>
      </c>
      <c r="T189" s="107">
        <v>46296</v>
      </c>
      <c r="U189" s="107">
        <v>46327</v>
      </c>
      <c r="V189" s="107">
        <v>46357</v>
      </c>
      <c r="W189" s="73">
        <f t="shared" ref="W189:AH189" si="371">+K189</f>
        <v>46023</v>
      </c>
      <c r="X189" s="73">
        <f t="shared" si="371"/>
        <v>46054</v>
      </c>
      <c r="Y189" s="73">
        <f t="shared" si="371"/>
        <v>46082</v>
      </c>
      <c r="Z189" s="73">
        <f t="shared" si="371"/>
        <v>46113</v>
      </c>
      <c r="AA189" s="73">
        <f t="shared" si="371"/>
        <v>46143</v>
      </c>
      <c r="AB189" s="73">
        <f t="shared" si="371"/>
        <v>46174</v>
      </c>
      <c r="AC189" s="73">
        <f t="shared" si="371"/>
        <v>46204</v>
      </c>
      <c r="AD189" s="73">
        <f t="shared" si="371"/>
        <v>46235</v>
      </c>
      <c r="AE189" s="73">
        <f t="shared" si="371"/>
        <v>46266</v>
      </c>
      <c r="AF189" s="73">
        <f t="shared" si="371"/>
        <v>46296</v>
      </c>
      <c r="AG189" s="73">
        <f t="shared" si="371"/>
        <v>46327</v>
      </c>
      <c r="AH189" s="73">
        <f t="shared" si="371"/>
        <v>46357</v>
      </c>
      <c r="AI189" s="109" t="str">
        <f>$AI$15</f>
        <v>Total 2026</v>
      </c>
      <c r="AJ189" s="73">
        <f t="shared" ref="AJ189:AU189" si="372">AJ$15</f>
        <v>46388</v>
      </c>
      <c r="AK189" s="73">
        <f t="shared" si="372"/>
        <v>46419</v>
      </c>
      <c r="AL189" s="73">
        <f t="shared" si="372"/>
        <v>46447</v>
      </c>
      <c r="AM189" s="73">
        <f t="shared" si="372"/>
        <v>46478</v>
      </c>
      <c r="AN189" s="73">
        <f t="shared" si="372"/>
        <v>46508</v>
      </c>
      <c r="AO189" s="73">
        <f t="shared" si="372"/>
        <v>46539</v>
      </c>
      <c r="AP189" s="73">
        <f t="shared" si="372"/>
        <v>46569</v>
      </c>
      <c r="AQ189" s="73">
        <f t="shared" si="372"/>
        <v>46600</v>
      </c>
      <c r="AR189" s="73">
        <f t="shared" si="372"/>
        <v>46631</v>
      </c>
      <c r="AS189" s="73">
        <f t="shared" si="372"/>
        <v>46661</v>
      </c>
      <c r="AT189" s="73">
        <f t="shared" si="372"/>
        <v>46692</v>
      </c>
      <c r="AU189" s="73">
        <f t="shared" si="372"/>
        <v>46722</v>
      </c>
      <c r="AV189" s="73" t="s">
        <v>3013</v>
      </c>
      <c r="AW189" s="110"/>
      <c r="AX189" s="111"/>
      <c r="AY189" s="111"/>
    </row>
    <row r="190" spans="1:51">
      <c r="A190" s="93"/>
      <c r="B190" s="80"/>
      <c r="C190" s="80"/>
      <c r="D190" s="80"/>
      <c r="E190" s="80"/>
      <c r="F190" s="82"/>
      <c r="G190" s="82"/>
      <c r="H190" s="80"/>
      <c r="I190" s="112"/>
      <c r="J190" s="80"/>
      <c r="K190" s="84"/>
      <c r="L190" s="84"/>
      <c r="M190" s="84"/>
      <c r="N190" s="84"/>
      <c r="O190" s="84"/>
      <c r="P190" s="84"/>
      <c r="Q190" s="84"/>
      <c r="R190" s="84"/>
      <c r="S190" s="84"/>
      <c r="T190" s="84"/>
      <c r="U190" s="84"/>
      <c r="V190" s="84"/>
      <c r="W190" s="85"/>
      <c r="X190" s="85"/>
      <c r="Y190" s="85"/>
      <c r="Z190" s="85"/>
      <c r="AA190" s="85"/>
      <c r="AB190" s="85"/>
      <c r="AC190" s="85"/>
      <c r="AD190" s="85"/>
      <c r="AE190" s="85"/>
      <c r="AF190" s="85"/>
      <c r="AG190" s="85"/>
      <c r="AH190" s="85"/>
      <c r="AI190" s="85"/>
      <c r="AJ190" s="85"/>
      <c r="AK190" s="85"/>
      <c r="AL190" s="85"/>
      <c r="AM190" s="85"/>
      <c r="AN190" s="85"/>
      <c r="AO190" s="85"/>
      <c r="AP190" s="85"/>
      <c r="AQ190" s="85"/>
      <c r="AR190" s="85"/>
      <c r="AS190" s="85"/>
      <c r="AT190" s="85"/>
      <c r="AU190" s="85"/>
      <c r="AV190" s="85"/>
      <c r="AW190" s="87"/>
      <c r="AX190" s="88"/>
      <c r="AY190" s="88"/>
    </row>
    <row r="191" spans="1:51">
      <c r="A191" s="79" t="s">
        <v>2990</v>
      </c>
      <c r="B191" s="80" t="str">
        <f t="shared" ref="B191:B210" si="373">B17</f>
        <v>ACPSZL</v>
      </c>
      <c r="C191" s="80" t="str">
        <f t="shared" ref="C191:C210" si="374">C17</f>
        <v>深圳户籍</v>
      </c>
      <c r="D191" s="80" t="str">
        <f t="shared" ref="D191:D210" si="375">D17</f>
        <v>Professional</v>
      </c>
      <c r="E191" s="80">
        <f t="shared" ref="E191:E210" si="376">E17</f>
        <v>0</v>
      </c>
      <c r="F191" s="81">
        <f t="shared" ref="F191:F210" si="377">F17</f>
        <v>83000</v>
      </c>
      <c r="G191" s="81"/>
      <c r="H191" s="82" t="str">
        <f t="shared" ref="H191:H210" si="378">H17</f>
        <v>郭宗林</v>
      </c>
      <c r="I191" s="83">
        <f t="shared" ref="I191:I210" si="379">I17</f>
        <v>0</v>
      </c>
      <c r="J191" s="82"/>
      <c r="K191" s="84"/>
      <c r="L191" s="84"/>
      <c r="M191" s="84"/>
      <c r="N191" s="84"/>
      <c r="O191" s="84"/>
      <c r="P191" s="84"/>
      <c r="Q191" s="84"/>
      <c r="R191" s="84"/>
      <c r="S191" s="84"/>
      <c r="T191" s="84"/>
      <c r="U191" s="84"/>
      <c r="V191" s="84"/>
      <c r="W191" s="85">
        <v>0</v>
      </c>
      <c r="X191" s="85">
        <v>0</v>
      </c>
      <c r="Y191" s="85">
        <v>0</v>
      </c>
      <c r="Z191" s="85">
        <v>0</v>
      </c>
      <c r="AA191" s="85">
        <v>0</v>
      </c>
      <c r="AB191" s="85">
        <v>0</v>
      </c>
      <c r="AC191" s="85">
        <v>0</v>
      </c>
      <c r="AD191" s="85">
        <v>0</v>
      </c>
      <c r="AE191" s="85">
        <v>0</v>
      </c>
      <c r="AF191" s="85">
        <v>0</v>
      </c>
      <c r="AG191" s="85">
        <v>0</v>
      </c>
      <c r="AH191" s="85">
        <v>0</v>
      </c>
      <c r="AI191" s="86">
        <f t="shared" ref="AI191:AI197" si="380">SUM(W191:AH191)</f>
        <v>0</v>
      </c>
      <c r="AJ191" s="85"/>
      <c r="AK191" s="85"/>
      <c r="AL191" s="85"/>
      <c r="AM191" s="85"/>
      <c r="AN191" s="85"/>
      <c r="AO191" s="85"/>
      <c r="AP191" s="85"/>
      <c r="AQ191" s="85"/>
      <c r="AR191" s="85"/>
      <c r="AS191" s="85"/>
      <c r="AT191" s="85"/>
      <c r="AU191" s="85"/>
      <c r="AV191" s="86">
        <f t="shared" ref="AV191:AV197" si="381">SUM(AJ191:AU191)</f>
        <v>0</v>
      </c>
      <c r="AW191" s="87"/>
      <c r="AX191" s="88"/>
      <c r="AY191" s="88"/>
    </row>
    <row r="192" spans="1:51">
      <c r="A192" s="79" t="s">
        <v>2990</v>
      </c>
      <c r="B192" s="80" t="str">
        <f t="shared" si="373"/>
        <v>ACPSZL</v>
      </c>
      <c r="C192" s="80" t="str">
        <f t="shared" si="374"/>
        <v>深圳户籍</v>
      </c>
      <c r="D192" s="80" t="str">
        <f t="shared" si="375"/>
        <v>Professional</v>
      </c>
      <c r="E192" s="80">
        <f t="shared" si="376"/>
        <v>0</v>
      </c>
      <c r="F192" s="81">
        <f t="shared" si="377"/>
        <v>70000</v>
      </c>
      <c r="G192" s="81"/>
      <c r="H192" s="82" t="str">
        <f t="shared" si="378"/>
        <v>陈灿</v>
      </c>
      <c r="I192" s="83">
        <f t="shared" si="379"/>
        <v>0</v>
      </c>
      <c r="J192" s="82"/>
      <c r="K192" s="84"/>
      <c r="L192" s="84"/>
      <c r="M192" s="84"/>
      <c r="N192" s="84"/>
      <c r="O192" s="84"/>
      <c r="P192" s="84"/>
      <c r="Q192" s="84"/>
      <c r="R192" s="84"/>
      <c r="S192" s="84"/>
      <c r="T192" s="84"/>
      <c r="U192" s="84"/>
      <c r="V192" s="84"/>
      <c r="W192" s="85">
        <f t="shared" ref="W192:AH192" si="382">$F192*(1+$I192)*K192</f>
        <v>0</v>
      </c>
      <c r="X192" s="85">
        <f t="shared" si="382"/>
        <v>0</v>
      </c>
      <c r="Y192" s="85">
        <f t="shared" si="382"/>
        <v>0</v>
      </c>
      <c r="Z192" s="85">
        <f t="shared" si="382"/>
        <v>0</v>
      </c>
      <c r="AA192" s="85">
        <f t="shared" si="382"/>
        <v>0</v>
      </c>
      <c r="AB192" s="85">
        <f t="shared" si="382"/>
        <v>0</v>
      </c>
      <c r="AC192" s="85">
        <f t="shared" si="382"/>
        <v>0</v>
      </c>
      <c r="AD192" s="85">
        <f t="shared" si="382"/>
        <v>0</v>
      </c>
      <c r="AE192" s="85">
        <f t="shared" si="382"/>
        <v>0</v>
      </c>
      <c r="AF192" s="85">
        <f t="shared" si="382"/>
        <v>0</v>
      </c>
      <c r="AG192" s="85">
        <f t="shared" si="382"/>
        <v>0</v>
      </c>
      <c r="AH192" s="85">
        <f t="shared" si="382"/>
        <v>0</v>
      </c>
      <c r="AI192" s="86">
        <f t="shared" si="380"/>
        <v>0</v>
      </c>
      <c r="AJ192" s="85">
        <f>$F192*(1+$I192)*W192</f>
        <v>0</v>
      </c>
      <c r="AK192" s="85"/>
      <c r="AL192" s="85"/>
      <c r="AM192" s="85"/>
      <c r="AN192" s="85"/>
      <c r="AO192" s="85"/>
      <c r="AP192" s="85"/>
      <c r="AQ192" s="85"/>
      <c r="AR192" s="85"/>
      <c r="AS192" s="85"/>
      <c r="AT192" s="85"/>
      <c r="AU192" s="85"/>
      <c r="AV192" s="86">
        <f t="shared" si="381"/>
        <v>0</v>
      </c>
      <c r="AW192" s="87"/>
      <c r="AX192" s="88"/>
      <c r="AY192" s="88"/>
    </row>
    <row r="193" spans="1:51">
      <c r="A193" s="79" t="s">
        <v>2990</v>
      </c>
      <c r="B193" s="80" t="str">
        <f t="shared" si="373"/>
        <v>ACPSZL</v>
      </c>
      <c r="C193" s="80" t="str">
        <f t="shared" si="374"/>
        <v>深圳户籍</v>
      </c>
      <c r="D193" s="80" t="str">
        <f t="shared" si="375"/>
        <v>Professional</v>
      </c>
      <c r="E193" s="80">
        <f t="shared" si="376"/>
        <v>0</v>
      </c>
      <c r="F193" s="81">
        <f t="shared" si="377"/>
        <v>27000</v>
      </c>
      <c r="G193" s="81"/>
      <c r="H193" s="82" t="str">
        <f t="shared" si="378"/>
        <v>林秋蝶</v>
      </c>
      <c r="I193" s="83">
        <f t="shared" si="379"/>
        <v>0</v>
      </c>
      <c r="J193" s="82"/>
      <c r="K193" s="84"/>
      <c r="L193" s="84"/>
      <c r="M193" s="84"/>
      <c r="N193" s="84"/>
      <c r="O193" s="84"/>
      <c r="P193" s="84"/>
      <c r="Q193" s="84"/>
      <c r="R193" s="84"/>
      <c r="S193" s="84"/>
      <c r="T193" s="84"/>
      <c r="U193" s="84"/>
      <c r="V193" s="84"/>
      <c r="W193" s="85">
        <f t="shared" ref="W193:AH193" si="383">$F193*(1+$I193)*K193</f>
        <v>0</v>
      </c>
      <c r="X193" s="85">
        <f t="shared" si="383"/>
        <v>0</v>
      </c>
      <c r="Y193" s="85">
        <f t="shared" si="383"/>
        <v>0</v>
      </c>
      <c r="Z193" s="85">
        <f t="shared" si="383"/>
        <v>0</v>
      </c>
      <c r="AA193" s="85">
        <f t="shared" si="383"/>
        <v>0</v>
      </c>
      <c r="AB193" s="85">
        <f t="shared" si="383"/>
        <v>0</v>
      </c>
      <c r="AC193" s="85">
        <f t="shared" si="383"/>
        <v>0</v>
      </c>
      <c r="AD193" s="85">
        <f t="shared" si="383"/>
        <v>0</v>
      </c>
      <c r="AE193" s="85">
        <f t="shared" si="383"/>
        <v>0</v>
      </c>
      <c r="AF193" s="85">
        <f t="shared" si="383"/>
        <v>0</v>
      </c>
      <c r="AG193" s="85">
        <f t="shared" si="383"/>
        <v>0</v>
      </c>
      <c r="AH193" s="85">
        <f t="shared" si="383"/>
        <v>0</v>
      </c>
      <c r="AI193" s="86">
        <f t="shared" si="380"/>
        <v>0</v>
      </c>
      <c r="AJ193" s="85"/>
      <c r="AK193" s="85"/>
      <c r="AL193" s="85"/>
      <c r="AM193" s="85"/>
      <c r="AN193" s="85"/>
      <c r="AO193" s="85"/>
      <c r="AP193" s="85"/>
      <c r="AQ193" s="85"/>
      <c r="AR193" s="85"/>
      <c r="AS193" s="85"/>
      <c r="AT193" s="85"/>
      <c r="AU193" s="85"/>
      <c r="AV193" s="86">
        <f t="shared" si="381"/>
        <v>0</v>
      </c>
      <c r="AW193" s="87"/>
      <c r="AX193" s="88"/>
      <c r="AY193" s="88"/>
    </row>
    <row r="194" spans="1:51">
      <c r="A194" s="79" t="s">
        <v>2990</v>
      </c>
      <c r="B194" s="80" t="str">
        <f t="shared" si="373"/>
        <v>ACPLSZ</v>
      </c>
      <c r="C194" s="80" t="str">
        <f t="shared" si="374"/>
        <v>深圳户籍</v>
      </c>
      <c r="D194" s="80" t="str">
        <f t="shared" si="375"/>
        <v>Professional</v>
      </c>
      <c r="E194" s="80">
        <f t="shared" si="376"/>
        <v>0</v>
      </c>
      <c r="F194" s="81">
        <f t="shared" si="377"/>
        <v>17000</v>
      </c>
      <c r="G194" s="81"/>
      <c r="H194" s="82" t="str">
        <f t="shared" si="378"/>
        <v>陈斌捷</v>
      </c>
      <c r="I194" s="83">
        <f t="shared" si="379"/>
        <v>8.8235294117646967E-2</v>
      </c>
      <c r="J194" s="82"/>
      <c r="K194" s="84"/>
      <c r="L194" s="84"/>
      <c r="M194" s="84"/>
      <c r="N194" s="84"/>
      <c r="O194" s="84"/>
      <c r="P194" s="84"/>
      <c r="Q194" s="84"/>
      <c r="R194" s="84"/>
      <c r="S194" s="84"/>
      <c r="T194" s="84"/>
      <c r="U194" s="84"/>
      <c r="V194" s="84"/>
      <c r="W194" s="85">
        <f t="shared" ref="W194:AA194" si="384">ROUND(14553*0.3%,2)</f>
        <v>43.66</v>
      </c>
      <c r="X194" s="85">
        <f t="shared" si="384"/>
        <v>43.66</v>
      </c>
      <c r="Y194" s="85">
        <f t="shared" si="384"/>
        <v>43.66</v>
      </c>
      <c r="Z194" s="85">
        <f t="shared" si="384"/>
        <v>43.66</v>
      </c>
      <c r="AA194" s="85">
        <f t="shared" si="384"/>
        <v>43.66</v>
      </c>
      <c r="AB194" s="85">
        <f t="shared" ref="AB194:AH194" si="385">ROUND(14553*0.3%,2)</f>
        <v>43.66</v>
      </c>
      <c r="AC194" s="85">
        <f t="shared" si="385"/>
        <v>43.66</v>
      </c>
      <c r="AD194" s="85">
        <f t="shared" si="385"/>
        <v>43.66</v>
      </c>
      <c r="AE194" s="85">
        <f t="shared" si="385"/>
        <v>43.66</v>
      </c>
      <c r="AF194" s="85">
        <f t="shared" si="385"/>
        <v>43.66</v>
      </c>
      <c r="AG194" s="85">
        <f t="shared" si="385"/>
        <v>43.66</v>
      </c>
      <c r="AH194" s="85">
        <f t="shared" si="385"/>
        <v>43.66</v>
      </c>
      <c r="AI194" s="86">
        <f t="shared" si="380"/>
        <v>523.91999999999996</v>
      </c>
      <c r="AJ194" s="85">
        <f t="shared" ref="AJ194:AU194" si="386">ROUND(14553*0.3%,2)</f>
        <v>43.66</v>
      </c>
      <c r="AK194" s="85">
        <f t="shared" si="386"/>
        <v>43.66</v>
      </c>
      <c r="AL194" s="85">
        <f t="shared" si="386"/>
        <v>43.66</v>
      </c>
      <c r="AM194" s="85">
        <f t="shared" si="386"/>
        <v>43.66</v>
      </c>
      <c r="AN194" s="85">
        <f t="shared" si="386"/>
        <v>43.66</v>
      </c>
      <c r="AO194" s="85">
        <f t="shared" si="386"/>
        <v>43.66</v>
      </c>
      <c r="AP194" s="85">
        <f t="shared" si="386"/>
        <v>43.66</v>
      </c>
      <c r="AQ194" s="85">
        <f t="shared" si="386"/>
        <v>43.66</v>
      </c>
      <c r="AR194" s="85">
        <f t="shared" si="386"/>
        <v>43.66</v>
      </c>
      <c r="AS194" s="85">
        <f t="shared" si="386"/>
        <v>43.66</v>
      </c>
      <c r="AT194" s="85">
        <f t="shared" si="386"/>
        <v>43.66</v>
      </c>
      <c r="AU194" s="85">
        <f t="shared" si="386"/>
        <v>43.66</v>
      </c>
      <c r="AV194" s="86">
        <f t="shared" si="381"/>
        <v>523.91999999999996</v>
      </c>
      <c r="AW194" s="87"/>
      <c r="AX194" s="88"/>
      <c r="AY194" s="88"/>
    </row>
    <row r="195" spans="1:51">
      <c r="A195" s="79" t="s">
        <v>2990</v>
      </c>
      <c r="B195" s="80" t="str">
        <f t="shared" si="373"/>
        <v>ACPSZL</v>
      </c>
      <c r="C195" s="80" t="str">
        <f t="shared" si="374"/>
        <v>深圳户籍</v>
      </c>
      <c r="D195" s="80" t="str">
        <f t="shared" si="375"/>
        <v>Professional</v>
      </c>
      <c r="E195" s="80">
        <f t="shared" si="376"/>
        <v>0</v>
      </c>
      <c r="F195" s="82">
        <f t="shared" si="377"/>
        <v>20000</v>
      </c>
      <c r="G195" s="82"/>
      <c r="H195" s="82" t="str">
        <f t="shared" si="378"/>
        <v>陈广华</v>
      </c>
      <c r="I195" s="83">
        <f t="shared" si="379"/>
        <v>0</v>
      </c>
      <c r="J195" s="82"/>
      <c r="K195" s="84"/>
      <c r="L195" s="84"/>
      <c r="M195" s="84"/>
      <c r="N195" s="84"/>
      <c r="O195" s="84"/>
      <c r="P195" s="84"/>
      <c r="Q195" s="84"/>
      <c r="R195" s="84"/>
      <c r="S195" s="84"/>
      <c r="T195" s="84"/>
      <c r="U195" s="84"/>
      <c r="V195" s="84"/>
      <c r="W195" s="85">
        <f t="shared" ref="W195:AH195" si="387">$F195*(1+$I195)*K195</f>
        <v>0</v>
      </c>
      <c r="X195" s="85">
        <f t="shared" si="387"/>
        <v>0</v>
      </c>
      <c r="Y195" s="85">
        <f t="shared" si="387"/>
        <v>0</v>
      </c>
      <c r="Z195" s="85">
        <f t="shared" si="387"/>
        <v>0</v>
      </c>
      <c r="AA195" s="85">
        <f t="shared" si="387"/>
        <v>0</v>
      </c>
      <c r="AB195" s="85">
        <f t="shared" si="387"/>
        <v>0</v>
      </c>
      <c r="AC195" s="85">
        <f t="shared" si="387"/>
        <v>0</v>
      </c>
      <c r="AD195" s="85">
        <f t="shared" si="387"/>
        <v>0</v>
      </c>
      <c r="AE195" s="85">
        <f t="shared" si="387"/>
        <v>0</v>
      </c>
      <c r="AF195" s="85">
        <f t="shared" si="387"/>
        <v>0</v>
      </c>
      <c r="AG195" s="85">
        <f t="shared" si="387"/>
        <v>0</v>
      </c>
      <c r="AH195" s="85">
        <f t="shared" si="387"/>
        <v>0</v>
      </c>
      <c r="AI195" s="86">
        <f t="shared" si="380"/>
        <v>0</v>
      </c>
      <c r="AJ195" s="85"/>
      <c r="AK195" s="85"/>
      <c r="AL195" s="85"/>
      <c r="AM195" s="85"/>
      <c r="AN195" s="85"/>
      <c r="AO195" s="85"/>
      <c r="AP195" s="85"/>
      <c r="AQ195" s="85"/>
      <c r="AR195" s="85"/>
      <c r="AS195" s="85"/>
      <c r="AT195" s="85"/>
      <c r="AU195" s="85"/>
      <c r="AV195" s="86">
        <f t="shared" si="381"/>
        <v>0</v>
      </c>
      <c r="AW195" s="87"/>
      <c r="AX195" s="88"/>
      <c r="AY195" s="88"/>
    </row>
    <row r="196" spans="1:51">
      <c r="A196" s="79" t="s">
        <v>2990</v>
      </c>
      <c r="B196" s="80" t="str">
        <f t="shared" si="373"/>
        <v>ACPSZL</v>
      </c>
      <c r="C196" s="80" t="str">
        <f t="shared" si="374"/>
        <v>非深圳户籍</v>
      </c>
      <c r="D196" s="80" t="str">
        <f t="shared" si="375"/>
        <v>Professional</v>
      </c>
      <c r="E196" s="80">
        <f t="shared" si="376"/>
        <v>0</v>
      </c>
      <c r="F196" s="82">
        <f t="shared" si="377"/>
        <v>50000</v>
      </c>
      <c r="G196" s="82"/>
      <c r="H196" s="82" t="str">
        <f t="shared" si="378"/>
        <v>冷雨尘</v>
      </c>
      <c r="I196" s="83">
        <f t="shared" si="379"/>
        <v>0</v>
      </c>
      <c r="J196" s="82"/>
      <c r="K196" s="84"/>
      <c r="L196" s="84"/>
      <c r="M196" s="84"/>
      <c r="N196" s="84"/>
      <c r="O196" s="84"/>
      <c r="P196" s="84"/>
      <c r="Q196" s="84"/>
      <c r="R196" s="84"/>
      <c r="S196" s="84"/>
      <c r="T196" s="84"/>
      <c r="U196" s="84"/>
      <c r="V196" s="84"/>
      <c r="W196" s="85">
        <f t="shared" ref="W196:AH196" si="388">$F196*(1+$I196)*K196</f>
        <v>0</v>
      </c>
      <c r="X196" s="85">
        <f t="shared" si="388"/>
        <v>0</v>
      </c>
      <c r="Y196" s="85">
        <f t="shared" si="388"/>
        <v>0</v>
      </c>
      <c r="Z196" s="85">
        <f t="shared" si="388"/>
        <v>0</v>
      </c>
      <c r="AA196" s="85">
        <f t="shared" si="388"/>
        <v>0</v>
      </c>
      <c r="AB196" s="85">
        <f t="shared" si="388"/>
        <v>0</v>
      </c>
      <c r="AC196" s="85">
        <f t="shared" si="388"/>
        <v>0</v>
      </c>
      <c r="AD196" s="85">
        <f t="shared" si="388"/>
        <v>0</v>
      </c>
      <c r="AE196" s="85">
        <f t="shared" si="388"/>
        <v>0</v>
      </c>
      <c r="AF196" s="85">
        <f t="shared" si="388"/>
        <v>0</v>
      </c>
      <c r="AG196" s="85">
        <f t="shared" si="388"/>
        <v>0</v>
      </c>
      <c r="AH196" s="85">
        <f t="shared" si="388"/>
        <v>0</v>
      </c>
      <c r="AI196" s="86">
        <f t="shared" si="380"/>
        <v>0</v>
      </c>
      <c r="AJ196" s="85"/>
      <c r="AK196" s="85"/>
      <c r="AL196" s="85"/>
      <c r="AM196" s="85"/>
      <c r="AN196" s="85"/>
      <c r="AO196" s="85"/>
      <c r="AP196" s="85"/>
      <c r="AQ196" s="85"/>
      <c r="AR196" s="85"/>
      <c r="AS196" s="85"/>
      <c r="AT196" s="85"/>
      <c r="AU196" s="85"/>
      <c r="AV196" s="86">
        <f t="shared" si="381"/>
        <v>0</v>
      </c>
      <c r="AW196" s="87"/>
      <c r="AX196" s="88"/>
      <c r="AY196" s="88"/>
    </row>
    <row r="197" spans="1:51">
      <c r="A197" s="79" t="s">
        <v>2990</v>
      </c>
      <c r="B197" s="80" t="str">
        <f t="shared" si="373"/>
        <v>ACPSZL</v>
      </c>
      <c r="C197" s="80" t="str">
        <f t="shared" si="374"/>
        <v>深圳户籍</v>
      </c>
      <c r="D197" s="80" t="str">
        <f t="shared" si="375"/>
        <v>Professional</v>
      </c>
      <c r="E197" s="80">
        <f t="shared" si="376"/>
        <v>0</v>
      </c>
      <c r="F197" s="82">
        <f t="shared" si="377"/>
        <v>35000</v>
      </c>
      <c r="G197" s="82"/>
      <c r="H197" s="82" t="str">
        <f t="shared" si="378"/>
        <v>李敏宽</v>
      </c>
      <c r="I197" s="83">
        <f t="shared" si="379"/>
        <v>0.14285714285714279</v>
      </c>
      <c r="J197" s="82"/>
      <c r="K197" s="84"/>
      <c r="L197" s="84"/>
      <c r="M197" s="84"/>
      <c r="N197" s="84"/>
      <c r="O197" s="84"/>
      <c r="P197" s="84"/>
      <c r="Q197" s="84"/>
      <c r="R197" s="84"/>
      <c r="S197" s="84"/>
      <c r="T197" s="84"/>
      <c r="U197" s="84"/>
      <c r="V197" s="84"/>
      <c r="W197" s="85">
        <f t="shared" ref="W197:AH197" si="389">$F197*(1+$I197)*K197</f>
        <v>0</v>
      </c>
      <c r="X197" s="85">
        <f t="shared" si="389"/>
        <v>0</v>
      </c>
      <c r="Y197" s="85">
        <f t="shared" si="389"/>
        <v>0</v>
      </c>
      <c r="Z197" s="85">
        <f t="shared" si="389"/>
        <v>0</v>
      </c>
      <c r="AA197" s="85">
        <f t="shared" si="389"/>
        <v>0</v>
      </c>
      <c r="AB197" s="85">
        <f t="shared" si="389"/>
        <v>0</v>
      </c>
      <c r="AC197" s="85">
        <f t="shared" si="389"/>
        <v>0</v>
      </c>
      <c r="AD197" s="85">
        <f t="shared" si="389"/>
        <v>0</v>
      </c>
      <c r="AE197" s="85">
        <f t="shared" si="389"/>
        <v>0</v>
      </c>
      <c r="AF197" s="85">
        <f t="shared" si="389"/>
        <v>0</v>
      </c>
      <c r="AG197" s="85">
        <f t="shared" si="389"/>
        <v>0</v>
      </c>
      <c r="AH197" s="85">
        <f t="shared" si="389"/>
        <v>0</v>
      </c>
      <c r="AI197" s="86">
        <f t="shared" si="380"/>
        <v>0</v>
      </c>
      <c r="AJ197" s="85"/>
      <c r="AK197" s="85"/>
      <c r="AL197" s="85"/>
      <c r="AM197" s="85"/>
      <c r="AN197" s="85"/>
      <c r="AO197" s="85"/>
      <c r="AP197" s="85"/>
      <c r="AQ197" s="85"/>
      <c r="AR197" s="85"/>
      <c r="AS197" s="85"/>
      <c r="AT197" s="85"/>
      <c r="AU197" s="85"/>
      <c r="AV197" s="86">
        <f t="shared" si="381"/>
        <v>0</v>
      </c>
      <c r="AW197" s="87"/>
      <c r="AX197" s="88"/>
      <c r="AY197" s="88"/>
    </row>
    <row r="198" spans="1:51">
      <c r="A198" s="79" t="s">
        <v>2990</v>
      </c>
      <c r="B198" s="80" t="str">
        <f t="shared" si="373"/>
        <v>ACPLSZ</v>
      </c>
      <c r="C198" s="80" t="str">
        <f t="shared" si="374"/>
        <v>非深圳户籍</v>
      </c>
      <c r="D198" s="80" t="str">
        <f t="shared" si="375"/>
        <v>Professional</v>
      </c>
      <c r="E198" s="80">
        <f t="shared" si="376"/>
        <v>0</v>
      </c>
      <c r="F198" s="81">
        <f t="shared" si="377"/>
        <v>44250</v>
      </c>
      <c r="G198" s="81"/>
      <c r="H198" s="82" t="str">
        <f t="shared" si="378"/>
        <v>高焙</v>
      </c>
      <c r="I198" s="83">
        <f t="shared" si="379"/>
        <v>0.12994350282485878</v>
      </c>
      <c r="J198" s="82"/>
      <c r="K198" s="84"/>
      <c r="L198" s="84"/>
      <c r="M198" s="84"/>
      <c r="N198" s="84"/>
      <c r="O198" s="84"/>
      <c r="P198" s="84"/>
      <c r="Q198" s="84"/>
      <c r="R198" s="84"/>
      <c r="S198" s="84"/>
      <c r="T198" s="84"/>
      <c r="U198" s="84"/>
      <c r="V198" s="84"/>
      <c r="W198" s="85">
        <f t="shared" ref="W198:AH198" si="390">ROUND(14553*0.3%,2)</f>
        <v>43.66</v>
      </c>
      <c r="X198" s="85">
        <f t="shared" si="390"/>
        <v>43.66</v>
      </c>
      <c r="Y198" s="85">
        <f t="shared" si="390"/>
        <v>43.66</v>
      </c>
      <c r="Z198" s="85">
        <f t="shared" si="390"/>
        <v>43.66</v>
      </c>
      <c r="AA198" s="85">
        <f t="shared" si="390"/>
        <v>43.66</v>
      </c>
      <c r="AB198" s="85">
        <f t="shared" si="390"/>
        <v>43.66</v>
      </c>
      <c r="AC198" s="85">
        <f t="shared" si="390"/>
        <v>43.66</v>
      </c>
      <c r="AD198" s="85">
        <f t="shared" si="390"/>
        <v>43.66</v>
      </c>
      <c r="AE198" s="85">
        <f t="shared" si="390"/>
        <v>43.66</v>
      </c>
      <c r="AF198" s="85">
        <f t="shared" si="390"/>
        <v>43.66</v>
      </c>
      <c r="AG198" s="85">
        <f t="shared" si="390"/>
        <v>43.66</v>
      </c>
      <c r="AH198" s="85">
        <f t="shared" si="390"/>
        <v>43.66</v>
      </c>
      <c r="AI198" s="86">
        <f t="shared" ref="AI198:AI209" si="391">SUM(W198:AH198)</f>
        <v>523.91999999999996</v>
      </c>
      <c r="AJ198" s="85">
        <f t="shared" ref="AJ198:AU198" si="392">ROUND(14553*0.3%,2)</f>
        <v>43.66</v>
      </c>
      <c r="AK198" s="85">
        <f t="shared" si="392"/>
        <v>43.66</v>
      </c>
      <c r="AL198" s="85">
        <f t="shared" si="392"/>
        <v>43.66</v>
      </c>
      <c r="AM198" s="85">
        <f t="shared" si="392"/>
        <v>43.66</v>
      </c>
      <c r="AN198" s="85">
        <f t="shared" si="392"/>
        <v>43.66</v>
      </c>
      <c r="AO198" s="85">
        <f t="shared" si="392"/>
        <v>43.66</v>
      </c>
      <c r="AP198" s="85">
        <f t="shared" si="392"/>
        <v>43.66</v>
      </c>
      <c r="AQ198" s="85">
        <f t="shared" si="392"/>
        <v>43.66</v>
      </c>
      <c r="AR198" s="85">
        <f t="shared" si="392"/>
        <v>43.66</v>
      </c>
      <c r="AS198" s="85">
        <f t="shared" si="392"/>
        <v>43.66</v>
      </c>
      <c r="AT198" s="85">
        <f t="shared" si="392"/>
        <v>43.66</v>
      </c>
      <c r="AU198" s="85">
        <f t="shared" si="392"/>
        <v>43.66</v>
      </c>
      <c r="AV198" s="86">
        <f t="shared" ref="AV198:AV212" si="393">SUM(AJ198:AU198)</f>
        <v>523.91999999999996</v>
      </c>
      <c r="AW198" s="87"/>
      <c r="AX198" s="88"/>
      <c r="AY198" s="88"/>
    </row>
    <row r="199" spans="1:51">
      <c r="A199" s="79" t="s">
        <v>2990</v>
      </c>
      <c r="B199" s="80" t="str">
        <f t="shared" si="373"/>
        <v>ACPLSZ</v>
      </c>
      <c r="C199" s="80" t="str">
        <f t="shared" si="374"/>
        <v>天津</v>
      </c>
      <c r="D199" s="80" t="str">
        <f t="shared" si="375"/>
        <v>Professional</v>
      </c>
      <c r="E199" s="80">
        <f t="shared" si="376"/>
        <v>0</v>
      </c>
      <c r="F199" s="81">
        <f t="shared" si="377"/>
        <v>44250</v>
      </c>
      <c r="G199" s="81"/>
      <c r="H199" s="82" t="str">
        <f t="shared" si="378"/>
        <v>袁玉杰</v>
      </c>
      <c r="I199" s="83">
        <f t="shared" si="379"/>
        <v>0</v>
      </c>
      <c r="J199" s="82"/>
      <c r="K199" s="84"/>
      <c r="L199" s="84"/>
      <c r="M199" s="84"/>
      <c r="N199" s="84"/>
      <c r="O199" s="84"/>
      <c r="P199" s="84"/>
      <c r="Q199" s="84"/>
      <c r="R199" s="84"/>
      <c r="S199" s="84"/>
      <c r="T199" s="84"/>
      <c r="U199" s="84"/>
      <c r="V199" s="84"/>
      <c r="W199" s="85">
        <f t="shared" ref="W199:AH199" si="394">$F199*(1+$I199)*K199</f>
        <v>0</v>
      </c>
      <c r="X199" s="85">
        <f t="shared" si="394"/>
        <v>0</v>
      </c>
      <c r="Y199" s="85">
        <f t="shared" si="394"/>
        <v>0</v>
      </c>
      <c r="Z199" s="85">
        <f t="shared" si="394"/>
        <v>0</v>
      </c>
      <c r="AA199" s="85">
        <f t="shared" si="394"/>
        <v>0</v>
      </c>
      <c r="AB199" s="85">
        <f t="shared" si="394"/>
        <v>0</v>
      </c>
      <c r="AC199" s="85">
        <f t="shared" si="394"/>
        <v>0</v>
      </c>
      <c r="AD199" s="85">
        <f t="shared" si="394"/>
        <v>0</v>
      </c>
      <c r="AE199" s="85">
        <f t="shared" si="394"/>
        <v>0</v>
      </c>
      <c r="AF199" s="85">
        <f t="shared" si="394"/>
        <v>0</v>
      </c>
      <c r="AG199" s="85">
        <f t="shared" si="394"/>
        <v>0</v>
      </c>
      <c r="AH199" s="85">
        <f t="shared" si="394"/>
        <v>0</v>
      </c>
      <c r="AI199" s="86">
        <f t="shared" si="391"/>
        <v>0</v>
      </c>
      <c r="AJ199" s="85"/>
      <c r="AK199" s="85"/>
      <c r="AL199" s="85"/>
      <c r="AM199" s="85"/>
      <c r="AN199" s="85"/>
      <c r="AO199" s="85"/>
      <c r="AP199" s="85"/>
      <c r="AQ199" s="85"/>
      <c r="AR199" s="85"/>
      <c r="AS199" s="85"/>
      <c r="AT199" s="85"/>
      <c r="AU199" s="85"/>
      <c r="AV199" s="86">
        <f t="shared" si="393"/>
        <v>0</v>
      </c>
      <c r="AW199" s="87"/>
      <c r="AX199" s="88"/>
      <c r="AY199" s="88"/>
    </row>
    <row r="200" spans="1:51">
      <c r="A200" s="79" t="s">
        <v>2990</v>
      </c>
      <c r="B200" s="80" t="str">
        <f t="shared" si="373"/>
        <v>ACPLSZ</v>
      </c>
      <c r="C200" s="80" t="str">
        <f t="shared" si="374"/>
        <v>深圳户籍</v>
      </c>
      <c r="D200" s="80" t="str">
        <f t="shared" si="375"/>
        <v>Professional</v>
      </c>
      <c r="E200" s="80">
        <f t="shared" si="376"/>
        <v>0</v>
      </c>
      <c r="F200" s="81">
        <f t="shared" si="377"/>
        <v>39000</v>
      </c>
      <c r="G200" s="81"/>
      <c r="H200" s="82" t="str">
        <f t="shared" si="378"/>
        <v>何梅春</v>
      </c>
      <c r="I200" s="83">
        <f t="shared" si="379"/>
        <v>0</v>
      </c>
      <c r="J200" s="82"/>
      <c r="K200" s="84"/>
      <c r="L200" s="84"/>
      <c r="M200" s="84"/>
      <c r="N200" s="84"/>
      <c r="O200" s="84"/>
      <c r="P200" s="84"/>
      <c r="Q200" s="84"/>
      <c r="R200" s="84"/>
      <c r="S200" s="84"/>
      <c r="T200" s="84"/>
      <c r="U200" s="84"/>
      <c r="V200" s="84"/>
      <c r="W200" s="85">
        <f t="shared" ref="W200:AH200" si="395">ROUND(14553*0.3%,2)</f>
        <v>43.66</v>
      </c>
      <c r="X200" s="85">
        <f t="shared" si="395"/>
        <v>43.66</v>
      </c>
      <c r="Y200" s="85">
        <f t="shared" si="395"/>
        <v>43.66</v>
      </c>
      <c r="Z200" s="85">
        <f t="shared" si="395"/>
        <v>43.66</v>
      </c>
      <c r="AA200" s="85">
        <f t="shared" si="395"/>
        <v>43.66</v>
      </c>
      <c r="AB200" s="85">
        <f t="shared" si="395"/>
        <v>43.66</v>
      </c>
      <c r="AC200" s="85">
        <f t="shared" si="395"/>
        <v>43.66</v>
      </c>
      <c r="AD200" s="85">
        <f t="shared" si="395"/>
        <v>43.66</v>
      </c>
      <c r="AE200" s="85">
        <f t="shared" si="395"/>
        <v>43.66</v>
      </c>
      <c r="AF200" s="85">
        <f t="shared" si="395"/>
        <v>43.66</v>
      </c>
      <c r="AG200" s="85">
        <f t="shared" si="395"/>
        <v>43.66</v>
      </c>
      <c r="AH200" s="85">
        <f t="shared" si="395"/>
        <v>43.66</v>
      </c>
      <c r="AI200" s="86">
        <f t="shared" si="391"/>
        <v>523.91999999999996</v>
      </c>
      <c r="AJ200" s="85">
        <f t="shared" ref="AJ200:AU200" si="396">ROUND(14553*0.3%,2)</f>
        <v>43.66</v>
      </c>
      <c r="AK200" s="85">
        <f t="shared" si="396"/>
        <v>43.66</v>
      </c>
      <c r="AL200" s="85">
        <f t="shared" si="396"/>
        <v>43.66</v>
      </c>
      <c r="AM200" s="85">
        <f t="shared" si="396"/>
        <v>43.66</v>
      </c>
      <c r="AN200" s="85">
        <f t="shared" si="396"/>
        <v>43.66</v>
      </c>
      <c r="AO200" s="85">
        <f t="shared" si="396"/>
        <v>43.66</v>
      </c>
      <c r="AP200" s="85">
        <f t="shared" si="396"/>
        <v>43.66</v>
      </c>
      <c r="AQ200" s="85">
        <f t="shared" si="396"/>
        <v>43.66</v>
      </c>
      <c r="AR200" s="85">
        <f t="shared" si="396"/>
        <v>43.66</v>
      </c>
      <c r="AS200" s="85">
        <f t="shared" si="396"/>
        <v>43.66</v>
      </c>
      <c r="AT200" s="85">
        <f t="shared" si="396"/>
        <v>43.66</v>
      </c>
      <c r="AU200" s="85">
        <f t="shared" si="396"/>
        <v>43.66</v>
      </c>
      <c r="AV200" s="86">
        <f t="shared" si="393"/>
        <v>523.91999999999996</v>
      </c>
      <c r="AW200" s="87"/>
      <c r="AX200" s="88"/>
      <c r="AY200" s="88"/>
    </row>
    <row r="201" spans="1:51">
      <c r="A201" s="79" t="s">
        <v>2990</v>
      </c>
      <c r="B201" s="80" t="str">
        <f t="shared" si="373"/>
        <v>ACPLSZ</v>
      </c>
      <c r="C201" s="80" t="str">
        <f t="shared" si="374"/>
        <v>非深圳户籍</v>
      </c>
      <c r="D201" s="80" t="str">
        <f t="shared" si="375"/>
        <v>Professional</v>
      </c>
      <c r="E201" s="80">
        <f t="shared" si="376"/>
        <v>0</v>
      </c>
      <c r="F201" s="81">
        <f t="shared" si="377"/>
        <v>26000</v>
      </c>
      <c r="G201" s="81"/>
      <c r="H201" s="82" t="str">
        <f t="shared" si="378"/>
        <v>闫凯</v>
      </c>
      <c r="I201" s="83">
        <f t="shared" si="379"/>
        <v>0</v>
      </c>
      <c r="J201" s="82"/>
      <c r="K201" s="84"/>
      <c r="L201" s="84"/>
      <c r="M201" s="84"/>
      <c r="N201" s="84"/>
      <c r="O201" s="84"/>
      <c r="P201" s="84"/>
      <c r="Q201" s="84"/>
      <c r="R201" s="84"/>
      <c r="S201" s="84"/>
      <c r="T201" s="84"/>
      <c r="U201" s="84"/>
      <c r="V201" s="84"/>
      <c r="W201" s="85">
        <f t="shared" ref="W201:Z201" si="397">ROUND(14553*0.3%,2)</f>
        <v>43.66</v>
      </c>
      <c r="X201" s="85">
        <f t="shared" si="397"/>
        <v>43.66</v>
      </c>
      <c r="Y201" s="85">
        <f t="shared" si="397"/>
        <v>43.66</v>
      </c>
      <c r="Z201" s="85">
        <f t="shared" si="397"/>
        <v>43.66</v>
      </c>
      <c r="AA201" s="85">
        <f t="shared" ref="AA201:AH201" si="398">ROUND(14553*0.3%,2)</f>
        <v>43.66</v>
      </c>
      <c r="AB201" s="85">
        <f t="shared" si="398"/>
        <v>43.66</v>
      </c>
      <c r="AC201" s="85">
        <f t="shared" si="398"/>
        <v>43.66</v>
      </c>
      <c r="AD201" s="85">
        <f t="shared" si="398"/>
        <v>43.66</v>
      </c>
      <c r="AE201" s="85">
        <f t="shared" si="398"/>
        <v>43.66</v>
      </c>
      <c r="AF201" s="85">
        <f t="shared" si="398"/>
        <v>43.66</v>
      </c>
      <c r="AG201" s="85">
        <f t="shared" si="398"/>
        <v>43.66</v>
      </c>
      <c r="AH201" s="85">
        <f t="shared" si="398"/>
        <v>43.66</v>
      </c>
      <c r="AI201" s="86">
        <f t="shared" si="391"/>
        <v>523.91999999999996</v>
      </c>
      <c r="AJ201" s="85">
        <f t="shared" ref="AJ201:AU201" si="399">ROUND(14553*0.3%,2)</f>
        <v>43.66</v>
      </c>
      <c r="AK201" s="85">
        <f t="shared" si="399"/>
        <v>43.66</v>
      </c>
      <c r="AL201" s="85">
        <f t="shared" si="399"/>
        <v>43.66</v>
      </c>
      <c r="AM201" s="85">
        <f t="shared" si="399"/>
        <v>43.66</v>
      </c>
      <c r="AN201" s="85">
        <f t="shared" si="399"/>
        <v>43.66</v>
      </c>
      <c r="AO201" s="85">
        <f t="shared" si="399"/>
        <v>43.66</v>
      </c>
      <c r="AP201" s="85">
        <f t="shared" si="399"/>
        <v>43.66</v>
      </c>
      <c r="AQ201" s="85">
        <f t="shared" si="399"/>
        <v>43.66</v>
      </c>
      <c r="AR201" s="85">
        <f t="shared" si="399"/>
        <v>43.66</v>
      </c>
      <c r="AS201" s="85">
        <f t="shared" si="399"/>
        <v>43.66</v>
      </c>
      <c r="AT201" s="85">
        <f t="shared" si="399"/>
        <v>43.66</v>
      </c>
      <c r="AU201" s="85">
        <f t="shared" si="399"/>
        <v>43.66</v>
      </c>
      <c r="AV201" s="86">
        <f t="shared" si="393"/>
        <v>523.91999999999996</v>
      </c>
      <c r="AW201" s="87"/>
      <c r="AX201" s="88"/>
      <c r="AY201" s="88"/>
    </row>
    <row r="202" spans="1:51">
      <c r="A202" s="79" t="s">
        <v>2990</v>
      </c>
      <c r="B202" s="80" t="str">
        <f t="shared" si="373"/>
        <v>ACPLSZ</v>
      </c>
      <c r="C202" s="80" t="str">
        <f t="shared" si="374"/>
        <v>非深圳户籍</v>
      </c>
      <c r="D202" s="80" t="str">
        <f t="shared" si="375"/>
        <v>Professional</v>
      </c>
      <c r="E202" s="80">
        <f t="shared" si="376"/>
        <v>0</v>
      </c>
      <c r="F202" s="81">
        <f t="shared" si="377"/>
        <v>50000</v>
      </c>
      <c r="G202" s="81"/>
      <c r="H202" s="82" t="str">
        <f t="shared" si="378"/>
        <v>叶亚峰</v>
      </c>
      <c r="I202" s="83">
        <f t="shared" si="379"/>
        <v>0</v>
      </c>
      <c r="J202" s="82"/>
      <c r="K202" s="84"/>
      <c r="L202" s="84"/>
      <c r="M202" s="84"/>
      <c r="N202" s="84"/>
      <c r="O202" s="84"/>
      <c r="P202" s="84"/>
      <c r="Q202" s="84"/>
      <c r="R202" s="84"/>
      <c r="S202" s="84"/>
      <c r="T202" s="84"/>
      <c r="U202" s="84"/>
      <c r="V202" s="84"/>
      <c r="W202" s="85">
        <f t="shared" ref="W202:AA202" si="400">ROUND(14553*0.3%,2)</f>
        <v>43.66</v>
      </c>
      <c r="X202" s="85">
        <f t="shared" si="400"/>
        <v>43.66</v>
      </c>
      <c r="Y202" s="85">
        <f t="shared" si="400"/>
        <v>43.66</v>
      </c>
      <c r="Z202" s="85">
        <f t="shared" si="400"/>
        <v>43.66</v>
      </c>
      <c r="AA202" s="85">
        <f t="shared" si="400"/>
        <v>43.66</v>
      </c>
      <c r="AB202" s="85">
        <f t="shared" ref="AB202:AH202" si="401">ROUND(14553*0.3%,2)</f>
        <v>43.66</v>
      </c>
      <c r="AC202" s="85">
        <f t="shared" si="401"/>
        <v>43.66</v>
      </c>
      <c r="AD202" s="85">
        <f t="shared" si="401"/>
        <v>43.66</v>
      </c>
      <c r="AE202" s="85">
        <f t="shared" si="401"/>
        <v>43.66</v>
      </c>
      <c r="AF202" s="85">
        <f t="shared" si="401"/>
        <v>43.66</v>
      </c>
      <c r="AG202" s="85">
        <f t="shared" si="401"/>
        <v>43.66</v>
      </c>
      <c r="AH202" s="85">
        <f t="shared" si="401"/>
        <v>43.66</v>
      </c>
      <c r="AI202" s="86">
        <f t="shared" si="391"/>
        <v>523.91999999999996</v>
      </c>
      <c r="AJ202" s="85">
        <f t="shared" ref="AJ202:AU202" si="402">ROUND(14553*0.3%,2)</f>
        <v>43.66</v>
      </c>
      <c r="AK202" s="85">
        <f t="shared" si="402"/>
        <v>43.66</v>
      </c>
      <c r="AL202" s="85">
        <f t="shared" si="402"/>
        <v>43.66</v>
      </c>
      <c r="AM202" s="85">
        <f t="shared" si="402"/>
        <v>43.66</v>
      </c>
      <c r="AN202" s="85">
        <f t="shared" si="402"/>
        <v>43.66</v>
      </c>
      <c r="AO202" s="85">
        <f t="shared" si="402"/>
        <v>43.66</v>
      </c>
      <c r="AP202" s="85">
        <f t="shared" si="402"/>
        <v>43.66</v>
      </c>
      <c r="AQ202" s="85">
        <f t="shared" si="402"/>
        <v>43.66</v>
      </c>
      <c r="AR202" s="85">
        <f t="shared" si="402"/>
        <v>43.66</v>
      </c>
      <c r="AS202" s="85">
        <f t="shared" si="402"/>
        <v>43.66</v>
      </c>
      <c r="AT202" s="85">
        <f t="shared" si="402"/>
        <v>43.66</v>
      </c>
      <c r="AU202" s="85">
        <f t="shared" si="402"/>
        <v>43.66</v>
      </c>
      <c r="AV202" s="86">
        <f t="shared" si="393"/>
        <v>523.91999999999996</v>
      </c>
      <c r="AW202" s="87"/>
      <c r="AX202" s="88"/>
      <c r="AY202" s="88"/>
    </row>
    <row r="203" spans="1:51">
      <c r="A203" s="79" t="s">
        <v>2990</v>
      </c>
      <c r="B203" s="80" t="str">
        <f t="shared" si="373"/>
        <v>ACPLSZ</v>
      </c>
      <c r="C203" s="80" t="str">
        <f t="shared" si="374"/>
        <v>北京户籍</v>
      </c>
      <c r="D203" s="80" t="str">
        <f t="shared" si="375"/>
        <v>Professional</v>
      </c>
      <c r="E203" s="80">
        <f t="shared" si="376"/>
        <v>0</v>
      </c>
      <c r="F203" s="82">
        <f t="shared" si="377"/>
        <v>90000</v>
      </c>
      <c r="G203" s="82"/>
      <c r="H203" s="82" t="str">
        <f t="shared" si="378"/>
        <v>张乃文</v>
      </c>
      <c r="I203" s="83">
        <f t="shared" si="379"/>
        <v>0.21428571428571419</v>
      </c>
      <c r="J203" s="82"/>
      <c r="K203" s="84"/>
      <c r="L203" s="84"/>
      <c r="M203" s="84"/>
      <c r="N203" s="84"/>
      <c r="O203" s="84"/>
      <c r="P203" s="84"/>
      <c r="Q203" s="84"/>
      <c r="R203" s="84"/>
      <c r="S203" s="84"/>
      <c r="T203" s="84"/>
      <c r="U203" s="84"/>
      <c r="V203" s="84"/>
      <c r="W203" s="85">
        <f t="shared" ref="W203:AH203" si="403">$F203*(1+$I203)*K203</f>
        <v>0</v>
      </c>
      <c r="X203" s="85">
        <f t="shared" si="403"/>
        <v>0</v>
      </c>
      <c r="Y203" s="85">
        <f t="shared" si="403"/>
        <v>0</v>
      </c>
      <c r="Z203" s="85">
        <f t="shared" si="403"/>
        <v>0</v>
      </c>
      <c r="AA203" s="85">
        <f t="shared" si="403"/>
        <v>0</v>
      </c>
      <c r="AB203" s="85">
        <f t="shared" si="403"/>
        <v>0</v>
      </c>
      <c r="AC203" s="85">
        <f t="shared" si="403"/>
        <v>0</v>
      </c>
      <c r="AD203" s="85">
        <f t="shared" si="403"/>
        <v>0</v>
      </c>
      <c r="AE203" s="85">
        <f t="shared" si="403"/>
        <v>0</v>
      </c>
      <c r="AF203" s="85">
        <f t="shared" si="403"/>
        <v>0</v>
      </c>
      <c r="AG203" s="85">
        <f t="shared" si="403"/>
        <v>0</v>
      </c>
      <c r="AH203" s="85">
        <f t="shared" si="403"/>
        <v>0</v>
      </c>
      <c r="AI203" s="86">
        <f t="shared" si="391"/>
        <v>0</v>
      </c>
      <c r="AJ203" s="85"/>
      <c r="AK203" s="85"/>
      <c r="AL203" s="85"/>
      <c r="AM203" s="85"/>
      <c r="AN203" s="85"/>
      <c r="AO203" s="85"/>
      <c r="AP203" s="85"/>
      <c r="AQ203" s="85"/>
      <c r="AR203" s="85"/>
      <c r="AS203" s="85"/>
      <c r="AT203" s="85"/>
      <c r="AU203" s="85"/>
      <c r="AV203" s="86">
        <f t="shared" si="393"/>
        <v>0</v>
      </c>
      <c r="AW203" s="87"/>
      <c r="AX203" s="88"/>
      <c r="AY203" s="88"/>
    </row>
    <row r="204" spans="1:51">
      <c r="A204" s="79" t="s">
        <v>2990</v>
      </c>
      <c r="B204" s="80" t="str">
        <f t="shared" si="373"/>
        <v>ACPLSZ</v>
      </c>
      <c r="C204" s="80" t="str">
        <f t="shared" si="374"/>
        <v>北京户籍</v>
      </c>
      <c r="D204" s="80" t="str">
        <f t="shared" si="375"/>
        <v>Professional</v>
      </c>
      <c r="E204" s="80">
        <f t="shared" si="376"/>
        <v>0</v>
      </c>
      <c r="F204" s="82">
        <f t="shared" si="377"/>
        <v>30000</v>
      </c>
      <c r="G204" s="82"/>
      <c r="H204" s="82" t="str">
        <f t="shared" si="378"/>
        <v>邓天卓</v>
      </c>
      <c r="I204" s="83">
        <f t="shared" si="379"/>
        <v>0.33333333333333326</v>
      </c>
      <c r="J204" s="82"/>
      <c r="K204" s="84"/>
      <c r="L204" s="84"/>
      <c r="M204" s="84"/>
      <c r="N204" s="84"/>
      <c r="O204" s="84"/>
      <c r="P204" s="84"/>
      <c r="Q204" s="84"/>
      <c r="R204" s="84"/>
      <c r="S204" s="84"/>
      <c r="T204" s="84"/>
      <c r="U204" s="84"/>
      <c r="V204" s="84"/>
      <c r="W204" s="85">
        <f t="shared" ref="W204:AH204" si="404">$F204*(1+$I204)*K204</f>
        <v>0</v>
      </c>
      <c r="X204" s="85">
        <f t="shared" si="404"/>
        <v>0</v>
      </c>
      <c r="Y204" s="85">
        <f t="shared" si="404"/>
        <v>0</v>
      </c>
      <c r="Z204" s="85">
        <f t="shared" si="404"/>
        <v>0</v>
      </c>
      <c r="AA204" s="85">
        <f t="shared" si="404"/>
        <v>0</v>
      </c>
      <c r="AB204" s="85">
        <f t="shared" si="404"/>
        <v>0</v>
      </c>
      <c r="AC204" s="85">
        <f t="shared" si="404"/>
        <v>0</v>
      </c>
      <c r="AD204" s="85">
        <f t="shared" si="404"/>
        <v>0</v>
      </c>
      <c r="AE204" s="85">
        <f t="shared" si="404"/>
        <v>0</v>
      </c>
      <c r="AF204" s="85">
        <f t="shared" si="404"/>
        <v>0</v>
      </c>
      <c r="AG204" s="85">
        <f t="shared" si="404"/>
        <v>0</v>
      </c>
      <c r="AH204" s="85">
        <f t="shared" si="404"/>
        <v>0</v>
      </c>
      <c r="AI204" s="86">
        <f t="shared" si="391"/>
        <v>0</v>
      </c>
      <c r="AJ204" s="85"/>
      <c r="AK204" s="85"/>
      <c r="AL204" s="85"/>
      <c r="AM204" s="85"/>
      <c r="AN204" s="85"/>
      <c r="AO204" s="85"/>
      <c r="AP204" s="85"/>
      <c r="AQ204" s="85"/>
      <c r="AR204" s="85"/>
      <c r="AS204" s="85"/>
      <c r="AT204" s="85"/>
      <c r="AU204" s="85"/>
      <c r="AV204" s="86">
        <f t="shared" si="393"/>
        <v>0</v>
      </c>
      <c r="AW204" s="87"/>
      <c r="AX204" s="88"/>
      <c r="AY204" s="88"/>
    </row>
    <row r="205" spans="1:51">
      <c r="A205" s="79" t="s">
        <v>2990</v>
      </c>
      <c r="B205" s="80" t="str">
        <f t="shared" si="373"/>
        <v>ACPLSZ</v>
      </c>
      <c r="C205" s="80" t="str">
        <f t="shared" si="374"/>
        <v>北京户籍</v>
      </c>
      <c r="D205" s="80" t="str">
        <f t="shared" si="375"/>
        <v>Professional</v>
      </c>
      <c r="E205" s="80">
        <f t="shared" si="376"/>
        <v>0</v>
      </c>
      <c r="F205" s="82">
        <f t="shared" si="377"/>
        <v>50000</v>
      </c>
      <c r="G205" s="82"/>
      <c r="H205" s="82" t="str">
        <f t="shared" si="378"/>
        <v>王志强</v>
      </c>
      <c r="I205" s="83">
        <f t="shared" si="379"/>
        <v>0</v>
      </c>
      <c r="J205" s="82"/>
      <c r="K205" s="84"/>
      <c r="L205" s="84"/>
      <c r="M205" s="84"/>
      <c r="N205" s="84"/>
      <c r="O205" s="84"/>
      <c r="P205" s="84"/>
      <c r="Q205" s="84"/>
      <c r="R205" s="84"/>
      <c r="S205" s="84"/>
      <c r="T205" s="84"/>
      <c r="U205" s="84"/>
      <c r="V205" s="84"/>
      <c r="W205" s="85">
        <f t="shared" ref="W205:AH205" si="405">$F205*(1+$I205)*K205</f>
        <v>0</v>
      </c>
      <c r="X205" s="85">
        <f t="shared" si="405"/>
        <v>0</v>
      </c>
      <c r="Y205" s="85">
        <f t="shared" si="405"/>
        <v>0</v>
      </c>
      <c r="Z205" s="85">
        <f t="shared" si="405"/>
        <v>0</v>
      </c>
      <c r="AA205" s="85">
        <f t="shared" si="405"/>
        <v>0</v>
      </c>
      <c r="AB205" s="85">
        <f t="shared" si="405"/>
        <v>0</v>
      </c>
      <c r="AC205" s="85">
        <f t="shared" si="405"/>
        <v>0</v>
      </c>
      <c r="AD205" s="85">
        <f t="shared" si="405"/>
        <v>0</v>
      </c>
      <c r="AE205" s="85">
        <f t="shared" si="405"/>
        <v>0</v>
      </c>
      <c r="AF205" s="85">
        <f t="shared" si="405"/>
        <v>0</v>
      </c>
      <c r="AG205" s="85">
        <f t="shared" si="405"/>
        <v>0</v>
      </c>
      <c r="AH205" s="85">
        <f t="shared" si="405"/>
        <v>0</v>
      </c>
      <c r="AI205" s="86">
        <f t="shared" si="391"/>
        <v>0</v>
      </c>
      <c r="AJ205" s="85"/>
      <c r="AK205" s="85"/>
      <c r="AL205" s="85"/>
      <c r="AM205" s="85"/>
      <c r="AN205" s="85"/>
      <c r="AO205" s="85"/>
      <c r="AP205" s="85"/>
      <c r="AQ205" s="85"/>
      <c r="AR205" s="85"/>
      <c r="AS205" s="85"/>
      <c r="AT205" s="85"/>
      <c r="AU205" s="85"/>
      <c r="AV205" s="86">
        <f t="shared" si="393"/>
        <v>0</v>
      </c>
      <c r="AW205" s="87"/>
      <c r="AX205" s="88"/>
      <c r="AY205" s="88"/>
    </row>
    <row r="206" spans="1:51">
      <c r="A206" s="79" t="s">
        <v>2990</v>
      </c>
      <c r="B206" s="80" t="str">
        <f t="shared" si="373"/>
        <v>ACPLSZ</v>
      </c>
      <c r="C206" s="80" t="str">
        <f t="shared" si="374"/>
        <v>上海户籍</v>
      </c>
      <c r="D206" s="80" t="str">
        <f t="shared" si="375"/>
        <v>Professional</v>
      </c>
      <c r="E206" s="80">
        <f t="shared" si="376"/>
        <v>0</v>
      </c>
      <c r="F206" s="82">
        <f t="shared" si="377"/>
        <v>90000</v>
      </c>
      <c r="G206" s="82"/>
      <c r="H206" s="82" t="str">
        <f t="shared" si="378"/>
        <v>顾顺聪</v>
      </c>
      <c r="I206" s="83">
        <f t="shared" si="379"/>
        <v>0</v>
      </c>
      <c r="J206" s="82"/>
      <c r="K206" s="84"/>
      <c r="L206" s="84"/>
      <c r="M206" s="84"/>
      <c r="N206" s="84"/>
      <c r="O206" s="84"/>
      <c r="P206" s="84"/>
      <c r="Q206" s="84"/>
      <c r="R206" s="84"/>
      <c r="S206" s="84"/>
      <c r="T206" s="84"/>
      <c r="U206" s="84"/>
      <c r="V206" s="84"/>
      <c r="W206" s="85">
        <f t="shared" ref="W206:AH206" si="406">$F206*(1+$I206)*K206</f>
        <v>0</v>
      </c>
      <c r="X206" s="85">
        <f t="shared" si="406"/>
        <v>0</v>
      </c>
      <c r="Y206" s="85">
        <f t="shared" si="406"/>
        <v>0</v>
      </c>
      <c r="Z206" s="85">
        <f t="shared" si="406"/>
        <v>0</v>
      </c>
      <c r="AA206" s="85">
        <f t="shared" si="406"/>
        <v>0</v>
      </c>
      <c r="AB206" s="85">
        <f t="shared" si="406"/>
        <v>0</v>
      </c>
      <c r="AC206" s="85">
        <f t="shared" si="406"/>
        <v>0</v>
      </c>
      <c r="AD206" s="85">
        <f t="shared" si="406"/>
        <v>0</v>
      </c>
      <c r="AE206" s="85">
        <f t="shared" si="406"/>
        <v>0</v>
      </c>
      <c r="AF206" s="85">
        <f t="shared" si="406"/>
        <v>0</v>
      </c>
      <c r="AG206" s="85">
        <f t="shared" si="406"/>
        <v>0</v>
      </c>
      <c r="AH206" s="85">
        <f t="shared" si="406"/>
        <v>0</v>
      </c>
      <c r="AI206" s="86">
        <f t="shared" si="391"/>
        <v>0</v>
      </c>
      <c r="AJ206" s="85"/>
      <c r="AK206" s="85"/>
      <c r="AL206" s="85"/>
      <c r="AM206" s="85"/>
      <c r="AN206" s="85"/>
      <c r="AO206" s="85"/>
      <c r="AP206" s="85"/>
      <c r="AQ206" s="85"/>
      <c r="AR206" s="85"/>
      <c r="AS206" s="85"/>
      <c r="AT206" s="85"/>
      <c r="AU206" s="85"/>
      <c r="AV206" s="86">
        <f t="shared" si="393"/>
        <v>0</v>
      </c>
      <c r="AW206" s="87"/>
      <c r="AX206" s="88"/>
      <c r="AY206" s="88"/>
    </row>
    <row r="207" spans="1:51">
      <c r="A207" s="79" t="s">
        <v>2990</v>
      </c>
      <c r="B207" s="80" t="str">
        <f t="shared" si="373"/>
        <v>ACPSZL</v>
      </c>
      <c r="C207" s="80" t="str">
        <f t="shared" si="374"/>
        <v>深圳户籍</v>
      </c>
      <c r="D207" s="80" t="str">
        <f t="shared" si="375"/>
        <v>Professional</v>
      </c>
      <c r="E207" s="80">
        <f t="shared" si="376"/>
        <v>0</v>
      </c>
      <c r="F207" s="81">
        <f t="shared" si="377"/>
        <v>35000</v>
      </c>
      <c r="G207" s="81"/>
      <c r="H207" s="90" t="str">
        <f t="shared" si="378"/>
        <v>风资源工程师</v>
      </c>
      <c r="I207" s="83">
        <f t="shared" si="379"/>
        <v>0</v>
      </c>
      <c r="J207" s="82"/>
      <c r="K207" s="84"/>
      <c r="L207" s="84"/>
      <c r="M207" s="84"/>
      <c r="N207" s="84"/>
      <c r="O207" s="84"/>
      <c r="P207" s="84"/>
      <c r="Q207" s="84"/>
      <c r="R207" s="84"/>
      <c r="S207" s="84"/>
      <c r="T207" s="84"/>
      <c r="U207" s="84"/>
      <c r="V207" s="84"/>
      <c r="W207" s="85">
        <f t="shared" ref="W207:AC207" si="407">ROUND(14553*0.3%,2)</f>
        <v>43.66</v>
      </c>
      <c r="X207" s="85">
        <f t="shared" si="407"/>
        <v>43.66</v>
      </c>
      <c r="Y207" s="85">
        <f t="shared" si="407"/>
        <v>43.66</v>
      </c>
      <c r="Z207" s="85">
        <f t="shared" si="407"/>
        <v>43.66</v>
      </c>
      <c r="AA207" s="85">
        <f t="shared" si="407"/>
        <v>43.66</v>
      </c>
      <c r="AB207" s="85">
        <f t="shared" si="407"/>
        <v>43.66</v>
      </c>
      <c r="AC207" s="85">
        <f t="shared" si="407"/>
        <v>43.66</v>
      </c>
      <c r="AD207" s="85">
        <f t="shared" ref="AD207:AH207" si="408">ROUND(14553*0.3%,2)</f>
        <v>43.66</v>
      </c>
      <c r="AE207" s="85">
        <f t="shared" si="408"/>
        <v>43.66</v>
      </c>
      <c r="AF207" s="85">
        <f t="shared" si="408"/>
        <v>43.66</v>
      </c>
      <c r="AG207" s="85">
        <f t="shared" si="408"/>
        <v>43.66</v>
      </c>
      <c r="AH207" s="85">
        <f t="shared" si="408"/>
        <v>43.66</v>
      </c>
      <c r="AI207" s="86">
        <f t="shared" si="391"/>
        <v>523.91999999999996</v>
      </c>
      <c r="AJ207" s="85">
        <f>ROUND(14553*0.3%,2)</f>
        <v>43.66</v>
      </c>
      <c r="AK207" s="85">
        <f t="shared" ref="AK207:AU207" si="409">ROUND(14553*0.3%,2)</f>
        <v>43.66</v>
      </c>
      <c r="AL207" s="85">
        <f t="shared" si="409"/>
        <v>43.66</v>
      </c>
      <c r="AM207" s="85">
        <f t="shared" si="409"/>
        <v>43.66</v>
      </c>
      <c r="AN207" s="85">
        <f t="shared" si="409"/>
        <v>43.66</v>
      </c>
      <c r="AO207" s="85">
        <f t="shared" si="409"/>
        <v>43.66</v>
      </c>
      <c r="AP207" s="85">
        <f t="shared" si="409"/>
        <v>43.66</v>
      </c>
      <c r="AQ207" s="85">
        <f t="shared" si="409"/>
        <v>43.66</v>
      </c>
      <c r="AR207" s="85">
        <f t="shared" si="409"/>
        <v>43.66</v>
      </c>
      <c r="AS207" s="85">
        <f t="shared" si="409"/>
        <v>43.66</v>
      </c>
      <c r="AT207" s="85">
        <f t="shared" si="409"/>
        <v>43.66</v>
      </c>
      <c r="AU207" s="85">
        <f t="shared" si="409"/>
        <v>43.66</v>
      </c>
      <c r="AV207" s="86">
        <f t="shared" si="393"/>
        <v>523.91999999999996</v>
      </c>
      <c r="AW207" s="87"/>
      <c r="AX207" s="88"/>
      <c r="AY207" s="88"/>
    </row>
    <row r="208" spans="1:51">
      <c r="A208" s="79" t="s">
        <v>2990</v>
      </c>
      <c r="B208" s="80" t="str">
        <f t="shared" si="373"/>
        <v>ACPLSZ</v>
      </c>
      <c r="C208" s="80" t="str">
        <f t="shared" si="374"/>
        <v>深圳户籍</v>
      </c>
      <c r="D208" s="80" t="str">
        <f t="shared" si="375"/>
        <v>Professional</v>
      </c>
      <c r="E208" s="80">
        <f t="shared" si="376"/>
        <v>0</v>
      </c>
      <c r="F208" s="82">
        <f t="shared" si="377"/>
        <v>33000</v>
      </c>
      <c r="G208" s="82"/>
      <c r="H208" s="90" t="str">
        <f t="shared" si="378"/>
        <v>电力交易员</v>
      </c>
      <c r="I208" s="83">
        <f t="shared" si="379"/>
        <v>0</v>
      </c>
      <c r="J208" s="82"/>
      <c r="K208" s="84"/>
      <c r="L208" s="84"/>
      <c r="M208" s="84"/>
      <c r="N208" s="84"/>
      <c r="O208" s="84"/>
      <c r="P208" s="84"/>
      <c r="Q208" s="84"/>
      <c r="R208" s="84"/>
      <c r="S208" s="84"/>
      <c r="T208" s="84"/>
      <c r="U208" s="84"/>
      <c r="V208" s="84"/>
      <c r="W208" s="85">
        <f t="shared" ref="W208:AH208" si="410">ROUND(14553*0.3%,2)</f>
        <v>43.66</v>
      </c>
      <c r="X208" s="85">
        <f t="shared" si="410"/>
        <v>43.66</v>
      </c>
      <c r="Y208" s="85">
        <f t="shared" si="410"/>
        <v>43.66</v>
      </c>
      <c r="Z208" s="85">
        <f t="shared" si="410"/>
        <v>43.66</v>
      </c>
      <c r="AA208" s="85">
        <f t="shared" si="410"/>
        <v>43.66</v>
      </c>
      <c r="AB208" s="85">
        <f t="shared" si="410"/>
        <v>43.66</v>
      </c>
      <c r="AC208" s="85">
        <f t="shared" si="410"/>
        <v>43.66</v>
      </c>
      <c r="AD208" s="85">
        <f t="shared" si="410"/>
        <v>43.66</v>
      </c>
      <c r="AE208" s="85">
        <f t="shared" si="410"/>
        <v>43.66</v>
      </c>
      <c r="AF208" s="85">
        <f t="shared" si="410"/>
        <v>43.66</v>
      </c>
      <c r="AG208" s="85">
        <f t="shared" si="410"/>
        <v>43.66</v>
      </c>
      <c r="AH208" s="85">
        <f t="shared" si="410"/>
        <v>43.66</v>
      </c>
      <c r="AI208" s="86">
        <f t="shared" si="391"/>
        <v>523.91999999999996</v>
      </c>
      <c r="AJ208" s="85">
        <f t="shared" ref="AJ208:AU208" si="411">ROUND(14553*0.3%,2)</f>
        <v>43.66</v>
      </c>
      <c r="AK208" s="85">
        <f t="shared" si="411"/>
        <v>43.66</v>
      </c>
      <c r="AL208" s="85">
        <f t="shared" si="411"/>
        <v>43.66</v>
      </c>
      <c r="AM208" s="85">
        <f t="shared" si="411"/>
        <v>43.66</v>
      </c>
      <c r="AN208" s="85">
        <f t="shared" si="411"/>
        <v>43.66</v>
      </c>
      <c r="AO208" s="85">
        <f t="shared" si="411"/>
        <v>43.66</v>
      </c>
      <c r="AP208" s="85">
        <f t="shared" si="411"/>
        <v>43.66</v>
      </c>
      <c r="AQ208" s="85">
        <f t="shared" si="411"/>
        <v>43.66</v>
      </c>
      <c r="AR208" s="85">
        <f t="shared" si="411"/>
        <v>43.66</v>
      </c>
      <c r="AS208" s="85">
        <f t="shared" si="411"/>
        <v>43.66</v>
      </c>
      <c r="AT208" s="85">
        <f t="shared" si="411"/>
        <v>43.66</v>
      </c>
      <c r="AU208" s="85">
        <f t="shared" si="411"/>
        <v>43.66</v>
      </c>
      <c r="AV208" s="86">
        <f t="shared" si="393"/>
        <v>523.91999999999996</v>
      </c>
      <c r="AW208" s="87"/>
      <c r="AX208" s="88"/>
      <c r="AY208" s="88"/>
    </row>
    <row r="209" spans="1:51">
      <c r="A209" s="79" t="s">
        <v>2990</v>
      </c>
      <c r="B209" s="80" t="str">
        <f t="shared" si="373"/>
        <v>ACPLSZ</v>
      </c>
      <c r="C209" s="80" t="str">
        <f t="shared" si="374"/>
        <v>深圳户籍</v>
      </c>
      <c r="D209" s="80" t="str">
        <f t="shared" si="375"/>
        <v>Professional</v>
      </c>
      <c r="E209" s="80">
        <f t="shared" si="376"/>
        <v>0</v>
      </c>
      <c r="F209" s="82">
        <f t="shared" si="377"/>
        <v>60000</v>
      </c>
      <c r="G209" s="82"/>
      <c r="H209" s="90" t="str">
        <f t="shared" si="378"/>
        <v>律师</v>
      </c>
      <c r="I209" s="83">
        <f t="shared" si="379"/>
        <v>0</v>
      </c>
      <c r="J209" s="82"/>
      <c r="K209" s="84"/>
      <c r="L209" s="84"/>
      <c r="M209" s="84"/>
      <c r="N209" s="84"/>
      <c r="O209" s="84"/>
      <c r="P209" s="84"/>
      <c r="Q209" s="84"/>
      <c r="R209" s="84"/>
      <c r="S209" s="84"/>
      <c r="T209" s="84"/>
      <c r="U209" s="84"/>
      <c r="V209" s="84"/>
      <c r="W209" s="85">
        <f t="shared" ref="W209:AH210" si="412">ROUND(14553*0.3%,2)</f>
        <v>43.66</v>
      </c>
      <c r="X209" s="85">
        <f t="shared" si="412"/>
        <v>43.66</v>
      </c>
      <c r="Y209" s="85">
        <f t="shared" si="412"/>
        <v>43.66</v>
      </c>
      <c r="Z209" s="85">
        <f t="shared" si="412"/>
        <v>43.66</v>
      </c>
      <c r="AA209" s="85">
        <f t="shared" si="412"/>
        <v>43.66</v>
      </c>
      <c r="AB209" s="85">
        <f t="shared" si="412"/>
        <v>43.66</v>
      </c>
      <c r="AC209" s="85">
        <f t="shared" si="412"/>
        <v>43.66</v>
      </c>
      <c r="AD209" s="85">
        <f t="shared" si="412"/>
        <v>43.66</v>
      </c>
      <c r="AE209" s="85">
        <f t="shared" si="412"/>
        <v>43.66</v>
      </c>
      <c r="AF209" s="85">
        <f t="shared" si="412"/>
        <v>43.66</v>
      </c>
      <c r="AG209" s="85">
        <f t="shared" si="412"/>
        <v>43.66</v>
      </c>
      <c r="AH209" s="85">
        <f t="shared" si="412"/>
        <v>43.66</v>
      </c>
      <c r="AI209" s="86">
        <f t="shared" si="391"/>
        <v>523.91999999999996</v>
      </c>
      <c r="AJ209" s="85">
        <f t="shared" ref="AJ209:AU210" si="413">ROUND(14553*0.3%,2)</f>
        <v>43.66</v>
      </c>
      <c r="AK209" s="85">
        <f t="shared" si="413"/>
        <v>43.66</v>
      </c>
      <c r="AL209" s="85">
        <f t="shared" si="413"/>
        <v>43.66</v>
      </c>
      <c r="AM209" s="85">
        <f t="shared" si="413"/>
        <v>43.66</v>
      </c>
      <c r="AN209" s="85">
        <f t="shared" si="413"/>
        <v>43.66</v>
      </c>
      <c r="AO209" s="85">
        <f t="shared" si="413"/>
        <v>43.66</v>
      </c>
      <c r="AP209" s="85">
        <f t="shared" si="413"/>
        <v>43.66</v>
      </c>
      <c r="AQ209" s="85">
        <f t="shared" si="413"/>
        <v>43.66</v>
      </c>
      <c r="AR209" s="85">
        <f t="shared" si="413"/>
        <v>43.66</v>
      </c>
      <c r="AS209" s="85">
        <f t="shared" si="413"/>
        <v>43.66</v>
      </c>
      <c r="AT209" s="85">
        <f t="shared" si="413"/>
        <v>43.66</v>
      </c>
      <c r="AU209" s="85">
        <f t="shared" si="413"/>
        <v>43.66</v>
      </c>
      <c r="AV209" s="86">
        <f t="shared" si="393"/>
        <v>523.91999999999996</v>
      </c>
      <c r="AW209" s="87"/>
      <c r="AX209" s="88"/>
      <c r="AY209" s="88"/>
    </row>
    <row r="210" spans="1:51">
      <c r="A210" s="79" t="s">
        <v>2990</v>
      </c>
      <c r="B210" s="80" t="str">
        <f t="shared" si="373"/>
        <v>ACPLSZ</v>
      </c>
      <c r="C210" s="80" t="str">
        <f t="shared" si="374"/>
        <v>深圳户籍</v>
      </c>
      <c r="D210" s="80" t="str">
        <f t="shared" si="375"/>
        <v>Professional</v>
      </c>
      <c r="E210" s="80">
        <f t="shared" si="376"/>
        <v>0</v>
      </c>
      <c r="F210" s="82">
        <f t="shared" si="377"/>
        <v>26000</v>
      </c>
      <c r="G210" s="82"/>
      <c r="H210" s="90" t="str">
        <f t="shared" si="378"/>
        <v>区域副总</v>
      </c>
      <c r="I210" s="83">
        <f t="shared" si="379"/>
        <v>0</v>
      </c>
      <c r="J210" s="82"/>
      <c r="K210" s="84"/>
      <c r="L210" s="84"/>
      <c r="M210" s="84"/>
      <c r="N210" s="84"/>
      <c r="O210" s="84"/>
      <c r="P210" s="84"/>
      <c r="Q210" s="84"/>
      <c r="R210" s="84"/>
      <c r="S210" s="84"/>
      <c r="T210" s="84"/>
      <c r="U210" s="84"/>
      <c r="V210" s="84"/>
      <c r="W210" s="85">
        <f t="shared" si="412"/>
        <v>43.66</v>
      </c>
      <c r="X210" s="85">
        <f t="shared" si="412"/>
        <v>43.66</v>
      </c>
      <c r="Y210" s="85">
        <f t="shared" si="412"/>
        <v>43.66</v>
      </c>
      <c r="Z210" s="85">
        <f t="shared" si="412"/>
        <v>43.66</v>
      </c>
      <c r="AA210" s="85">
        <f t="shared" si="412"/>
        <v>43.66</v>
      </c>
      <c r="AB210" s="85">
        <f t="shared" si="412"/>
        <v>43.66</v>
      </c>
      <c r="AC210" s="85">
        <f t="shared" si="412"/>
        <v>43.66</v>
      </c>
      <c r="AD210" s="85">
        <f t="shared" si="412"/>
        <v>43.66</v>
      </c>
      <c r="AE210" s="85">
        <f t="shared" si="412"/>
        <v>43.66</v>
      </c>
      <c r="AF210" s="85">
        <f t="shared" si="412"/>
        <v>43.66</v>
      </c>
      <c r="AG210" s="85">
        <f t="shared" si="412"/>
        <v>43.66</v>
      </c>
      <c r="AH210" s="85">
        <f t="shared" si="412"/>
        <v>43.66</v>
      </c>
      <c r="AI210" s="86">
        <f t="shared" ref="AI210" si="414">SUM(W210:AH210)</f>
        <v>523.91999999999985</v>
      </c>
      <c r="AJ210" s="85">
        <f t="shared" si="413"/>
        <v>43.66</v>
      </c>
      <c r="AK210" s="85">
        <f t="shared" si="413"/>
        <v>43.66</v>
      </c>
      <c r="AL210" s="85">
        <f t="shared" si="413"/>
        <v>43.66</v>
      </c>
      <c r="AM210" s="85">
        <f t="shared" si="413"/>
        <v>43.66</v>
      </c>
      <c r="AN210" s="85">
        <f t="shared" si="413"/>
        <v>43.66</v>
      </c>
      <c r="AO210" s="85">
        <f t="shared" si="413"/>
        <v>43.66</v>
      </c>
      <c r="AP210" s="85">
        <f t="shared" si="413"/>
        <v>43.66</v>
      </c>
      <c r="AQ210" s="85">
        <f t="shared" si="413"/>
        <v>43.66</v>
      </c>
      <c r="AR210" s="85">
        <f t="shared" si="413"/>
        <v>43.66</v>
      </c>
      <c r="AS210" s="85">
        <f t="shared" si="413"/>
        <v>43.66</v>
      </c>
      <c r="AT210" s="85">
        <f t="shared" si="413"/>
        <v>43.66</v>
      </c>
      <c r="AU210" s="85">
        <f t="shared" si="413"/>
        <v>43.66</v>
      </c>
      <c r="AV210" s="86">
        <f t="shared" ref="AV210" si="415">SUM(AJ210:AU210)</f>
        <v>523.91999999999985</v>
      </c>
      <c r="AW210" s="87"/>
      <c r="AX210" s="88"/>
      <c r="AY210" s="88"/>
    </row>
    <row r="211" spans="1:51">
      <c r="A211" s="79" t="s">
        <v>2990</v>
      </c>
      <c r="B211" s="80" t="str">
        <f t="shared" ref="B211:F211" si="416">B37</f>
        <v>ACPLSZ</v>
      </c>
      <c r="C211" s="80" t="str">
        <f t="shared" si="416"/>
        <v>深圳户籍</v>
      </c>
      <c r="D211" s="80" t="str">
        <f t="shared" si="416"/>
        <v>Professional</v>
      </c>
      <c r="E211" s="80">
        <f t="shared" si="416"/>
        <v>0</v>
      </c>
      <c r="F211" s="82">
        <f t="shared" si="416"/>
        <v>17000</v>
      </c>
      <c r="G211" s="82"/>
      <c r="H211" s="90" t="str">
        <f t="shared" ref="H211:I211" si="417">H37</f>
        <v>项目会计</v>
      </c>
      <c r="I211" s="83">
        <f t="shared" si="417"/>
        <v>0</v>
      </c>
      <c r="J211" s="82"/>
      <c r="K211" s="84"/>
      <c r="L211" s="84"/>
      <c r="M211" s="84"/>
      <c r="N211" s="84"/>
      <c r="O211" s="84"/>
      <c r="P211" s="84"/>
      <c r="Q211" s="84"/>
      <c r="R211" s="84"/>
      <c r="S211" s="84"/>
      <c r="T211" s="84"/>
      <c r="U211" s="84"/>
      <c r="V211" s="84"/>
      <c r="W211" s="85">
        <f t="shared" ref="W211:AH211" si="418">ROUND(14553*0.3%,2)</f>
        <v>43.66</v>
      </c>
      <c r="X211" s="85">
        <f t="shared" si="418"/>
        <v>43.66</v>
      </c>
      <c r="Y211" s="85">
        <f t="shared" si="418"/>
        <v>43.66</v>
      </c>
      <c r="Z211" s="85">
        <f t="shared" si="418"/>
        <v>43.66</v>
      </c>
      <c r="AA211" s="85">
        <f t="shared" si="418"/>
        <v>43.66</v>
      </c>
      <c r="AB211" s="85">
        <f t="shared" si="418"/>
        <v>43.66</v>
      </c>
      <c r="AC211" s="85">
        <f t="shared" si="418"/>
        <v>43.66</v>
      </c>
      <c r="AD211" s="85">
        <f t="shared" si="418"/>
        <v>43.66</v>
      </c>
      <c r="AE211" s="85">
        <f t="shared" si="418"/>
        <v>43.66</v>
      </c>
      <c r="AF211" s="85">
        <f t="shared" si="418"/>
        <v>43.66</v>
      </c>
      <c r="AG211" s="85">
        <f t="shared" si="418"/>
        <v>43.66</v>
      </c>
      <c r="AH211" s="85">
        <f t="shared" si="418"/>
        <v>43.66</v>
      </c>
      <c r="AI211" s="86">
        <f t="shared" ref="AI211:AI217" si="419">SUM(W211:AH211)</f>
        <v>523.91999999999996</v>
      </c>
      <c r="AJ211" s="85">
        <f t="shared" ref="AJ211:AU211" si="420">ROUND(14553*0.3%,2)</f>
        <v>43.66</v>
      </c>
      <c r="AK211" s="85">
        <f t="shared" si="420"/>
        <v>43.66</v>
      </c>
      <c r="AL211" s="85">
        <f t="shared" si="420"/>
        <v>43.66</v>
      </c>
      <c r="AM211" s="85">
        <f t="shared" si="420"/>
        <v>43.66</v>
      </c>
      <c r="AN211" s="85">
        <f t="shared" si="420"/>
        <v>43.66</v>
      </c>
      <c r="AO211" s="85">
        <f t="shared" si="420"/>
        <v>43.66</v>
      </c>
      <c r="AP211" s="85">
        <f t="shared" si="420"/>
        <v>43.66</v>
      </c>
      <c r="AQ211" s="85">
        <f t="shared" si="420"/>
        <v>43.66</v>
      </c>
      <c r="AR211" s="85">
        <f t="shared" si="420"/>
        <v>43.66</v>
      </c>
      <c r="AS211" s="85">
        <f t="shared" si="420"/>
        <v>43.66</v>
      </c>
      <c r="AT211" s="85">
        <f t="shared" si="420"/>
        <v>43.66</v>
      </c>
      <c r="AU211" s="85">
        <f t="shared" si="420"/>
        <v>43.66</v>
      </c>
      <c r="AV211" s="86">
        <f t="shared" si="393"/>
        <v>523.91999999999996</v>
      </c>
      <c r="AW211" s="87"/>
      <c r="AX211" s="88"/>
      <c r="AY211" s="88"/>
    </row>
    <row r="212" spans="1:51">
      <c r="A212" s="79" t="s">
        <v>2990</v>
      </c>
      <c r="B212" s="80" t="str">
        <f t="shared" ref="B212:F212" si="421">B38</f>
        <v>ACPLSZ</v>
      </c>
      <c r="C212" s="80" t="str">
        <f t="shared" si="421"/>
        <v>深圳户籍</v>
      </c>
      <c r="D212" s="80" t="str">
        <f t="shared" si="421"/>
        <v>Professional</v>
      </c>
      <c r="E212" s="80">
        <f t="shared" si="421"/>
        <v>0</v>
      </c>
      <c r="F212" s="82">
        <f t="shared" si="421"/>
        <v>12000</v>
      </c>
      <c r="G212" s="82"/>
      <c r="H212" s="90" t="str">
        <f t="shared" ref="H212:I212" si="422">H38</f>
        <v>档案管理员</v>
      </c>
      <c r="I212" s="83">
        <f t="shared" si="422"/>
        <v>0</v>
      </c>
      <c r="J212" s="82"/>
      <c r="K212" s="84"/>
      <c r="L212" s="84"/>
      <c r="M212" s="84"/>
      <c r="N212" s="84"/>
      <c r="O212" s="84"/>
      <c r="P212" s="84"/>
      <c r="Q212" s="84"/>
      <c r="R212" s="84"/>
      <c r="S212" s="84"/>
      <c r="T212" s="84"/>
      <c r="U212" s="84"/>
      <c r="V212" s="84"/>
      <c r="W212" s="85">
        <f t="shared" ref="W212:AH214" si="423">ROUND(14553*0.3%,2)</f>
        <v>43.66</v>
      </c>
      <c r="X212" s="85">
        <f t="shared" si="423"/>
        <v>43.66</v>
      </c>
      <c r="Y212" s="85">
        <f t="shared" si="423"/>
        <v>43.66</v>
      </c>
      <c r="Z212" s="85">
        <f t="shared" si="423"/>
        <v>43.66</v>
      </c>
      <c r="AA212" s="85">
        <f t="shared" si="423"/>
        <v>43.66</v>
      </c>
      <c r="AB212" s="85">
        <f t="shared" si="423"/>
        <v>43.66</v>
      </c>
      <c r="AC212" s="85">
        <f t="shared" si="423"/>
        <v>43.66</v>
      </c>
      <c r="AD212" s="85">
        <f t="shared" si="423"/>
        <v>43.66</v>
      </c>
      <c r="AE212" s="85">
        <f t="shared" si="423"/>
        <v>43.66</v>
      </c>
      <c r="AF212" s="85">
        <f t="shared" si="423"/>
        <v>43.66</v>
      </c>
      <c r="AG212" s="85">
        <f t="shared" si="423"/>
        <v>43.66</v>
      </c>
      <c r="AH212" s="85">
        <f t="shared" si="423"/>
        <v>43.66</v>
      </c>
      <c r="AI212" s="86">
        <f t="shared" si="419"/>
        <v>523.91999999999996</v>
      </c>
      <c r="AJ212" s="85">
        <f t="shared" ref="AJ212:AU214" si="424">ROUND(14553*0.3%,2)</f>
        <v>43.66</v>
      </c>
      <c r="AK212" s="85">
        <f t="shared" si="424"/>
        <v>43.66</v>
      </c>
      <c r="AL212" s="85">
        <f t="shared" si="424"/>
        <v>43.66</v>
      </c>
      <c r="AM212" s="85">
        <f t="shared" si="424"/>
        <v>43.66</v>
      </c>
      <c r="AN212" s="85">
        <f t="shared" si="424"/>
        <v>43.66</v>
      </c>
      <c r="AO212" s="85">
        <f t="shared" si="424"/>
        <v>43.66</v>
      </c>
      <c r="AP212" s="85">
        <f t="shared" si="424"/>
        <v>43.66</v>
      </c>
      <c r="AQ212" s="85">
        <f t="shared" si="424"/>
        <v>43.66</v>
      </c>
      <c r="AR212" s="85">
        <f t="shared" si="424"/>
        <v>43.66</v>
      </c>
      <c r="AS212" s="85">
        <f t="shared" si="424"/>
        <v>43.66</v>
      </c>
      <c r="AT212" s="85">
        <f t="shared" si="424"/>
        <v>43.66</v>
      </c>
      <c r="AU212" s="85">
        <f t="shared" si="424"/>
        <v>43.66</v>
      </c>
      <c r="AV212" s="86">
        <f t="shared" si="393"/>
        <v>523.91999999999996</v>
      </c>
      <c r="AW212" s="87"/>
      <c r="AX212" s="88"/>
      <c r="AY212" s="88"/>
    </row>
    <row r="213" spans="1:51">
      <c r="A213" s="79" t="s">
        <v>2990</v>
      </c>
      <c r="B213" s="80" t="str">
        <f t="shared" ref="B213:F213" si="425">B39</f>
        <v>ACPLSZ</v>
      </c>
      <c r="C213" s="80" t="str">
        <f t="shared" si="425"/>
        <v>北京户籍</v>
      </c>
      <c r="D213" s="80" t="str">
        <f t="shared" si="425"/>
        <v>Professional</v>
      </c>
      <c r="E213" s="80">
        <f t="shared" si="425"/>
        <v>0</v>
      </c>
      <c r="F213" s="82">
        <f t="shared" si="425"/>
        <v>100000</v>
      </c>
      <c r="G213" s="82"/>
      <c r="H213" s="82" t="str">
        <f t="shared" ref="H213:I213" si="426">H39</f>
        <v>Head of Origination</v>
      </c>
      <c r="I213" s="83">
        <f t="shared" si="426"/>
        <v>0</v>
      </c>
      <c r="J213" s="82"/>
      <c r="K213" s="84"/>
      <c r="L213" s="84"/>
      <c r="M213" s="84"/>
      <c r="N213" s="84"/>
      <c r="O213" s="84"/>
      <c r="P213" s="84"/>
      <c r="Q213" s="84"/>
      <c r="R213" s="84"/>
      <c r="S213" s="84"/>
      <c r="T213" s="84"/>
      <c r="U213" s="84"/>
      <c r="V213" s="84"/>
      <c r="W213" s="85">
        <f t="shared" si="423"/>
        <v>43.66</v>
      </c>
      <c r="X213" s="85">
        <f t="shared" si="423"/>
        <v>43.66</v>
      </c>
      <c r="Y213" s="85">
        <f t="shared" si="423"/>
        <v>43.66</v>
      </c>
      <c r="Z213" s="85">
        <f t="shared" si="423"/>
        <v>43.66</v>
      </c>
      <c r="AA213" s="85">
        <f t="shared" si="423"/>
        <v>43.66</v>
      </c>
      <c r="AB213" s="85">
        <f t="shared" si="423"/>
        <v>43.66</v>
      </c>
      <c r="AC213" s="85">
        <f t="shared" si="423"/>
        <v>43.66</v>
      </c>
      <c r="AD213" s="85">
        <f t="shared" si="423"/>
        <v>43.66</v>
      </c>
      <c r="AE213" s="85">
        <f t="shared" si="423"/>
        <v>43.66</v>
      </c>
      <c r="AF213" s="85">
        <f t="shared" si="423"/>
        <v>43.66</v>
      </c>
      <c r="AG213" s="85">
        <f t="shared" si="423"/>
        <v>43.66</v>
      </c>
      <c r="AH213" s="85">
        <f t="shared" si="423"/>
        <v>43.66</v>
      </c>
      <c r="AI213" s="86">
        <f t="shared" si="419"/>
        <v>523.91999999999985</v>
      </c>
      <c r="AJ213" s="85">
        <f t="shared" si="424"/>
        <v>43.66</v>
      </c>
      <c r="AK213" s="85">
        <f t="shared" si="424"/>
        <v>43.66</v>
      </c>
      <c r="AL213" s="85">
        <f t="shared" si="424"/>
        <v>43.66</v>
      </c>
      <c r="AM213" s="85">
        <f t="shared" si="424"/>
        <v>43.66</v>
      </c>
      <c r="AN213" s="85">
        <f t="shared" si="424"/>
        <v>43.66</v>
      </c>
      <c r="AO213" s="85">
        <f t="shared" si="424"/>
        <v>43.66</v>
      </c>
      <c r="AP213" s="85">
        <f t="shared" si="424"/>
        <v>43.66</v>
      </c>
      <c r="AQ213" s="85">
        <f t="shared" si="424"/>
        <v>43.66</v>
      </c>
      <c r="AR213" s="85">
        <f t="shared" si="424"/>
        <v>43.66</v>
      </c>
      <c r="AS213" s="85">
        <f t="shared" si="424"/>
        <v>43.66</v>
      </c>
      <c r="AT213" s="85">
        <f t="shared" si="424"/>
        <v>43.66</v>
      </c>
      <c r="AU213" s="85">
        <f t="shared" si="424"/>
        <v>43.66</v>
      </c>
      <c r="AV213" s="86">
        <f t="shared" ref="AV213:AV214" si="427">SUM(AJ213:AU213)</f>
        <v>523.91999999999985</v>
      </c>
      <c r="AW213" s="87"/>
      <c r="AX213" s="88"/>
      <c r="AY213" s="88"/>
    </row>
    <row r="214" spans="1:51">
      <c r="A214" s="79" t="s">
        <v>2990</v>
      </c>
      <c r="B214" s="80" t="str">
        <f t="shared" ref="B214:F214" si="428">B40</f>
        <v>ACPLSZ</v>
      </c>
      <c r="C214" s="80" t="str">
        <f t="shared" si="428"/>
        <v>北京户籍</v>
      </c>
      <c r="D214" s="80" t="str">
        <f t="shared" si="428"/>
        <v>Professional</v>
      </c>
      <c r="E214" s="80">
        <f t="shared" si="428"/>
        <v>0</v>
      </c>
      <c r="F214" s="82">
        <f t="shared" si="428"/>
        <v>80000</v>
      </c>
      <c r="G214" s="82"/>
      <c r="H214" s="82" t="str">
        <f t="shared" ref="H214:I214" si="429">H40</f>
        <v>Op Partner - ZJX</v>
      </c>
      <c r="I214" s="83">
        <f t="shared" si="429"/>
        <v>0</v>
      </c>
      <c r="J214" s="82"/>
      <c r="K214" s="84"/>
      <c r="L214" s="84"/>
      <c r="M214" s="84"/>
      <c r="N214" s="84"/>
      <c r="O214" s="84"/>
      <c r="P214" s="84"/>
      <c r="Q214" s="84"/>
      <c r="R214" s="84"/>
      <c r="S214" s="84"/>
      <c r="T214" s="84"/>
      <c r="U214" s="84"/>
      <c r="V214" s="84"/>
      <c r="W214" s="85">
        <f t="shared" si="423"/>
        <v>43.66</v>
      </c>
      <c r="X214" s="85">
        <f t="shared" si="423"/>
        <v>43.66</v>
      </c>
      <c r="Y214" s="85">
        <f t="shared" si="423"/>
        <v>43.66</v>
      </c>
      <c r="Z214" s="85">
        <f t="shared" si="423"/>
        <v>43.66</v>
      </c>
      <c r="AA214" s="85">
        <f t="shared" si="423"/>
        <v>43.66</v>
      </c>
      <c r="AB214" s="85">
        <f t="shared" si="423"/>
        <v>43.66</v>
      </c>
      <c r="AC214" s="85">
        <f t="shared" si="423"/>
        <v>43.66</v>
      </c>
      <c r="AD214" s="85">
        <f t="shared" si="423"/>
        <v>43.66</v>
      </c>
      <c r="AE214" s="85">
        <f t="shared" si="423"/>
        <v>43.66</v>
      </c>
      <c r="AF214" s="85">
        <f t="shared" si="423"/>
        <v>43.66</v>
      </c>
      <c r="AG214" s="85">
        <f t="shared" si="423"/>
        <v>43.66</v>
      </c>
      <c r="AH214" s="85">
        <f t="shared" si="423"/>
        <v>43.66</v>
      </c>
      <c r="AI214" s="86">
        <f t="shared" si="419"/>
        <v>523.91999999999985</v>
      </c>
      <c r="AJ214" s="85">
        <f t="shared" si="424"/>
        <v>43.66</v>
      </c>
      <c r="AK214" s="85">
        <f t="shared" si="424"/>
        <v>43.66</v>
      </c>
      <c r="AL214" s="85">
        <f t="shared" si="424"/>
        <v>43.66</v>
      </c>
      <c r="AM214" s="85">
        <f t="shared" si="424"/>
        <v>43.66</v>
      </c>
      <c r="AN214" s="85">
        <f t="shared" si="424"/>
        <v>43.66</v>
      </c>
      <c r="AO214" s="85">
        <f t="shared" si="424"/>
        <v>43.66</v>
      </c>
      <c r="AP214" s="85">
        <f t="shared" si="424"/>
        <v>43.66</v>
      </c>
      <c r="AQ214" s="85">
        <f t="shared" si="424"/>
        <v>43.66</v>
      </c>
      <c r="AR214" s="85">
        <f t="shared" si="424"/>
        <v>43.66</v>
      </c>
      <c r="AS214" s="85">
        <f t="shared" si="424"/>
        <v>43.66</v>
      </c>
      <c r="AT214" s="85">
        <f t="shared" si="424"/>
        <v>43.66</v>
      </c>
      <c r="AU214" s="85">
        <f t="shared" si="424"/>
        <v>43.66</v>
      </c>
      <c r="AV214" s="86">
        <f t="shared" si="427"/>
        <v>523.91999999999985</v>
      </c>
      <c r="AW214" s="87"/>
      <c r="AX214" s="88"/>
      <c r="AY214" s="88"/>
    </row>
    <row r="215" spans="1:51">
      <c r="A215" s="79" t="s">
        <v>2990</v>
      </c>
      <c r="B215" s="80" t="str">
        <f t="shared" ref="B215:F215" si="430">B41</f>
        <v>ACPLSZ</v>
      </c>
      <c r="C215" s="80">
        <f t="shared" si="430"/>
        <v>0</v>
      </c>
      <c r="D215" s="80">
        <f t="shared" si="430"/>
        <v>0</v>
      </c>
      <c r="E215" s="80">
        <f t="shared" si="430"/>
        <v>0</v>
      </c>
      <c r="F215" s="82">
        <f t="shared" si="430"/>
        <v>0</v>
      </c>
      <c r="G215" s="82"/>
      <c r="H215" s="82">
        <f t="shared" ref="H215:I215" si="431">H41</f>
        <v>0</v>
      </c>
      <c r="I215" s="83">
        <f t="shared" si="431"/>
        <v>0</v>
      </c>
      <c r="J215" s="82"/>
      <c r="K215" s="84"/>
      <c r="L215" s="84"/>
      <c r="M215" s="84"/>
      <c r="N215" s="84"/>
      <c r="O215" s="84"/>
      <c r="P215" s="84"/>
      <c r="Q215" s="84"/>
      <c r="R215" s="84"/>
      <c r="S215" s="84"/>
      <c r="T215" s="84"/>
      <c r="U215" s="84"/>
      <c r="V215" s="84"/>
      <c r="W215" s="85"/>
      <c r="X215" s="85"/>
      <c r="Y215" s="85"/>
      <c r="Z215" s="85"/>
      <c r="AA215" s="85"/>
      <c r="AB215" s="85"/>
      <c r="AC215" s="85"/>
      <c r="AD215" s="85"/>
      <c r="AE215" s="85"/>
      <c r="AF215" s="85"/>
      <c r="AG215" s="85"/>
      <c r="AH215" s="85"/>
      <c r="AI215" s="86">
        <f t="shared" si="419"/>
        <v>0</v>
      </c>
      <c r="AJ215" s="85"/>
      <c r="AK215" s="85"/>
      <c r="AL215" s="85"/>
      <c r="AM215" s="85"/>
      <c r="AN215" s="85"/>
      <c r="AO215" s="85"/>
      <c r="AP215" s="85"/>
      <c r="AQ215" s="85"/>
      <c r="AR215" s="85"/>
      <c r="AS215" s="85"/>
      <c r="AT215" s="85"/>
      <c r="AU215" s="85"/>
      <c r="AV215" s="86"/>
      <c r="AW215" s="87"/>
      <c r="AX215" s="88"/>
      <c r="AY215" s="88"/>
    </row>
    <row r="216" spans="1:51">
      <c r="A216" s="79" t="s">
        <v>2990</v>
      </c>
      <c r="B216" s="80">
        <f t="shared" ref="B216:F216" si="432">B42</f>
        <v>0</v>
      </c>
      <c r="C216" s="80">
        <f t="shared" si="432"/>
        <v>0</v>
      </c>
      <c r="D216" s="80">
        <f t="shared" si="432"/>
        <v>0</v>
      </c>
      <c r="E216" s="80">
        <f t="shared" si="432"/>
        <v>0</v>
      </c>
      <c r="F216" s="82">
        <f t="shared" si="432"/>
        <v>0</v>
      </c>
      <c r="G216" s="82"/>
      <c r="H216" s="82">
        <f t="shared" ref="H216:I216" si="433">H42</f>
        <v>0</v>
      </c>
      <c r="I216" s="83">
        <f t="shared" si="433"/>
        <v>0</v>
      </c>
      <c r="J216" s="82"/>
      <c r="K216" s="84"/>
      <c r="L216" s="84"/>
      <c r="M216" s="84"/>
      <c r="N216" s="84"/>
      <c r="O216" s="84"/>
      <c r="P216" s="84"/>
      <c r="Q216" s="84"/>
      <c r="R216" s="84"/>
      <c r="S216" s="84"/>
      <c r="T216" s="84"/>
      <c r="U216" s="84"/>
      <c r="V216" s="84"/>
      <c r="W216" s="85"/>
      <c r="X216" s="85"/>
      <c r="Y216" s="85"/>
      <c r="Z216" s="85"/>
      <c r="AA216" s="85"/>
      <c r="AB216" s="85"/>
      <c r="AC216" s="85"/>
      <c r="AD216" s="85"/>
      <c r="AE216" s="85"/>
      <c r="AF216" s="85"/>
      <c r="AG216" s="85"/>
      <c r="AH216" s="85"/>
      <c r="AI216" s="86">
        <f t="shared" si="419"/>
        <v>0</v>
      </c>
      <c r="AJ216" s="85"/>
      <c r="AK216" s="85"/>
      <c r="AL216" s="85"/>
      <c r="AM216" s="85"/>
      <c r="AN216" s="85"/>
      <c r="AO216" s="85"/>
      <c r="AP216" s="85"/>
      <c r="AQ216" s="85"/>
      <c r="AR216" s="85"/>
      <c r="AS216" s="85"/>
      <c r="AT216" s="85"/>
      <c r="AU216" s="85"/>
      <c r="AV216" s="86"/>
      <c r="AW216" s="87"/>
      <c r="AX216" s="88"/>
      <c r="AY216" s="88"/>
    </row>
    <row r="217" spans="1:51">
      <c r="A217" s="79" t="s">
        <v>2990</v>
      </c>
      <c r="B217" s="80">
        <f t="shared" ref="B217:F217" si="434">B43</f>
        <v>0</v>
      </c>
      <c r="C217" s="80">
        <f t="shared" si="434"/>
        <v>0</v>
      </c>
      <c r="D217" s="80">
        <f t="shared" si="434"/>
        <v>0</v>
      </c>
      <c r="E217" s="80">
        <f t="shared" si="434"/>
        <v>0</v>
      </c>
      <c r="F217" s="82">
        <f t="shared" si="434"/>
        <v>0</v>
      </c>
      <c r="G217" s="82"/>
      <c r="H217" s="82">
        <f t="shared" ref="H217:I217" si="435">H43</f>
        <v>0</v>
      </c>
      <c r="I217" s="83">
        <f t="shared" si="435"/>
        <v>0</v>
      </c>
      <c r="J217" s="82"/>
      <c r="K217" s="84"/>
      <c r="L217" s="84"/>
      <c r="M217" s="84"/>
      <c r="N217" s="84"/>
      <c r="O217" s="84"/>
      <c r="P217" s="84"/>
      <c r="Q217" s="84"/>
      <c r="R217" s="84"/>
      <c r="S217" s="84"/>
      <c r="T217" s="84"/>
      <c r="U217" s="84"/>
      <c r="V217" s="84"/>
      <c r="W217" s="85"/>
      <c r="X217" s="85"/>
      <c r="Y217" s="85"/>
      <c r="Z217" s="85"/>
      <c r="AA217" s="85"/>
      <c r="AB217" s="85"/>
      <c r="AC217" s="85"/>
      <c r="AD217" s="85"/>
      <c r="AE217" s="85"/>
      <c r="AF217" s="85"/>
      <c r="AG217" s="85"/>
      <c r="AH217" s="85"/>
      <c r="AI217" s="86">
        <f t="shared" si="419"/>
        <v>0</v>
      </c>
      <c r="AJ217" s="85"/>
      <c r="AK217" s="85"/>
      <c r="AL217" s="85"/>
      <c r="AM217" s="85"/>
      <c r="AN217" s="85"/>
      <c r="AO217" s="85"/>
      <c r="AP217" s="85"/>
      <c r="AQ217" s="85"/>
      <c r="AR217" s="85"/>
      <c r="AS217" s="85"/>
      <c r="AT217" s="85"/>
      <c r="AU217" s="85"/>
      <c r="AV217" s="86"/>
      <c r="AW217" s="87"/>
      <c r="AX217" s="88"/>
      <c r="AY217" s="88"/>
    </row>
    <row r="218" spans="1:51">
      <c r="A218" s="79"/>
      <c r="B218" s="93"/>
      <c r="C218" s="93"/>
      <c r="D218" s="93"/>
      <c r="E218" s="93"/>
      <c r="F218" s="113"/>
      <c r="G218" s="113"/>
      <c r="H218" s="113"/>
      <c r="I218" s="114"/>
      <c r="J218" s="113"/>
      <c r="K218" s="115"/>
      <c r="L218" s="115"/>
      <c r="M218" s="115"/>
      <c r="N218" s="115"/>
      <c r="O218" s="115"/>
      <c r="P218" s="115"/>
      <c r="Q218" s="115"/>
      <c r="R218" s="115"/>
      <c r="S218" s="115"/>
      <c r="T218" s="115"/>
      <c r="U218" s="115"/>
      <c r="V218" s="115"/>
      <c r="W218" s="113"/>
      <c r="X218" s="113"/>
      <c r="Y218" s="113"/>
      <c r="Z218" s="113"/>
      <c r="AA218" s="113"/>
      <c r="AB218" s="113"/>
      <c r="AC218" s="113"/>
      <c r="AD218" s="113"/>
      <c r="AE218" s="113"/>
      <c r="AF218" s="113"/>
      <c r="AG218" s="113"/>
      <c r="AH218" s="113"/>
      <c r="AI218" s="113"/>
      <c r="AJ218" s="113"/>
      <c r="AK218" s="113"/>
      <c r="AL218" s="113"/>
      <c r="AM218" s="113"/>
      <c r="AN218" s="113"/>
      <c r="AO218" s="113"/>
      <c r="AP218" s="113"/>
      <c r="AQ218" s="113"/>
      <c r="AR218" s="113"/>
      <c r="AS218" s="113"/>
      <c r="AT218" s="113"/>
      <c r="AU218" s="113"/>
      <c r="AV218" s="113"/>
      <c r="AW218" s="116"/>
      <c r="AX218" s="113"/>
      <c r="AY218" s="113"/>
    </row>
    <row r="219" spans="1:51">
      <c r="A219" s="79"/>
      <c r="B219" s="93"/>
      <c r="C219" s="93"/>
      <c r="D219" s="93"/>
      <c r="E219" s="93"/>
      <c r="F219" s="113"/>
      <c r="G219" s="113"/>
      <c r="H219" s="93"/>
      <c r="I219" s="120"/>
      <c r="J219" s="93"/>
      <c r="K219" s="93"/>
      <c r="L219" s="93"/>
      <c r="M219" s="93"/>
      <c r="N219" s="93"/>
      <c r="O219" s="93"/>
      <c r="P219" s="93"/>
      <c r="Q219" s="93"/>
      <c r="R219" s="93"/>
      <c r="S219" s="93"/>
      <c r="T219" s="93"/>
      <c r="U219" s="93"/>
      <c r="V219" s="93"/>
      <c r="W219" s="113"/>
      <c r="X219" s="113"/>
      <c r="Y219" s="113"/>
      <c r="Z219" s="113"/>
      <c r="AA219" s="113"/>
      <c r="AB219" s="113"/>
      <c r="AC219" s="113"/>
      <c r="AD219" s="113"/>
      <c r="AE219" s="113"/>
      <c r="AF219" s="113"/>
      <c r="AG219" s="113"/>
      <c r="AH219" s="113"/>
      <c r="AI219" s="113"/>
      <c r="AJ219" s="113"/>
      <c r="AK219" s="113"/>
      <c r="AL219" s="113"/>
      <c r="AM219" s="113"/>
      <c r="AN219" s="113"/>
      <c r="AO219" s="113"/>
      <c r="AP219" s="113"/>
      <c r="AQ219" s="113"/>
      <c r="AR219" s="113"/>
      <c r="AS219" s="113"/>
      <c r="AT219" s="113"/>
      <c r="AU219" s="113"/>
      <c r="AV219" s="113"/>
      <c r="AW219" s="116"/>
      <c r="AX219" s="113"/>
      <c r="AY219" s="113"/>
    </row>
    <row r="220" spans="1:51">
      <c r="A220" s="93"/>
      <c r="B220" s="93"/>
      <c r="C220" s="93"/>
      <c r="D220" s="93"/>
      <c r="E220" s="93"/>
      <c r="F220" s="97" t="s">
        <v>3023</v>
      </c>
      <c r="G220" s="97"/>
      <c r="H220" s="93"/>
      <c r="I220" s="94"/>
      <c r="J220" s="98"/>
      <c r="K220" s="99"/>
      <c r="L220" s="99"/>
      <c r="M220" s="99"/>
      <c r="N220" s="99"/>
      <c r="O220" s="99"/>
      <c r="P220" s="99"/>
      <c r="Q220" s="99"/>
      <c r="R220" s="99"/>
      <c r="S220" s="99"/>
      <c r="T220" s="99"/>
      <c r="U220" s="99"/>
      <c r="V220" s="99"/>
      <c r="W220" s="100">
        <f t="shared" ref="W220:AV220" si="436">SUM(W190:W219)</f>
        <v>567.57999999999981</v>
      </c>
      <c r="X220" s="100">
        <f t="shared" si="436"/>
        <v>567.57999999999981</v>
      </c>
      <c r="Y220" s="100">
        <f t="shared" si="436"/>
        <v>567.57999999999981</v>
      </c>
      <c r="Z220" s="100">
        <f t="shared" si="436"/>
        <v>567.57999999999981</v>
      </c>
      <c r="AA220" s="100">
        <f t="shared" si="436"/>
        <v>567.57999999999981</v>
      </c>
      <c r="AB220" s="100">
        <f t="shared" si="436"/>
        <v>567.57999999999981</v>
      </c>
      <c r="AC220" s="100">
        <f t="shared" si="436"/>
        <v>567.57999999999981</v>
      </c>
      <c r="AD220" s="100">
        <f t="shared" si="436"/>
        <v>567.57999999999981</v>
      </c>
      <c r="AE220" s="100">
        <f t="shared" si="436"/>
        <v>567.57999999999981</v>
      </c>
      <c r="AF220" s="100">
        <f t="shared" si="436"/>
        <v>567.57999999999981</v>
      </c>
      <c r="AG220" s="100">
        <f t="shared" si="436"/>
        <v>567.57999999999981</v>
      </c>
      <c r="AH220" s="100">
        <f t="shared" si="436"/>
        <v>567.57999999999981</v>
      </c>
      <c r="AI220" s="100">
        <f t="shared" si="436"/>
        <v>6810.96</v>
      </c>
      <c r="AJ220" s="100">
        <f t="shared" si="436"/>
        <v>567.57999999999981</v>
      </c>
      <c r="AK220" s="100">
        <f t="shared" si="436"/>
        <v>567.57999999999981</v>
      </c>
      <c r="AL220" s="100">
        <f t="shared" si="436"/>
        <v>567.57999999999981</v>
      </c>
      <c r="AM220" s="100">
        <f t="shared" si="436"/>
        <v>567.57999999999981</v>
      </c>
      <c r="AN220" s="100">
        <f t="shared" si="436"/>
        <v>567.57999999999981</v>
      </c>
      <c r="AO220" s="100">
        <f t="shared" si="436"/>
        <v>567.57999999999981</v>
      </c>
      <c r="AP220" s="100">
        <f t="shared" si="436"/>
        <v>567.57999999999981</v>
      </c>
      <c r="AQ220" s="100">
        <f t="shared" si="436"/>
        <v>567.57999999999981</v>
      </c>
      <c r="AR220" s="100">
        <f t="shared" si="436"/>
        <v>567.57999999999981</v>
      </c>
      <c r="AS220" s="100">
        <f t="shared" si="436"/>
        <v>567.57999999999981</v>
      </c>
      <c r="AT220" s="100">
        <f t="shared" si="436"/>
        <v>567.57999999999981</v>
      </c>
      <c r="AU220" s="100">
        <f t="shared" si="436"/>
        <v>567.57999999999981</v>
      </c>
      <c r="AV220" s="100">
        <f t="shared" si="436"/>
        <v>6810.96</v>
      </c>
      <c r="AW220" s="87"/>
      <c r="AX220" s="88"/>
      <c r="AY220" s="88"/>
    </row>
    <row r="221" spans="1:51">
      <c r="A221" s="93"/>
      <c r="B221" s="93"/>
      <c r="C221" s="93"/>
      <c r="D221" s="93"/>
      <c r="E221" s="93"/>
      <c r="F221" s="97"/>
      <c r="G221" s="97"/>
      <c r="H221" s="93"/>
      <c r="I221" s="94"/>
      <c r="J221" s="126"/>
      <c r="K221" s="127"/>
      <c r="L221" s="127"/>
      <c r="M221" s="127"/>
      <c r="N221" s="127"/>
      <c r="O221" s="127"/>
      <c r="P221" s="127"/>
      <c r="Q221" s="127"/>
      <c r="R221" s="127"/>
      <c r="S221" s="127"/>
      <c r="T221" s="127"/>
      <c r="U221" s="127"/>
      <c r="V221" s="127"/>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87"/>
      <c r="AX221" s="88"/>
      <c r="AY221" s="88"/>
    </row>
    <row r="222" spans="1:51">
      <c r="A222" s="93"/>
      <c r="B222" s="93"/>
      <c r="C222" s="93"/>
      <c r="D222" s="93"/>
      <c r="E222" s="93"/>
      <c r="F222" s="88"/>
      <c r="G222" s="88"/>
      <c r="H222" s="93"/>
      <c r="I222" s="94"/>
      <c r="J222" s="93"/>
      <c r="K222" s="93"/>
      <c r="L222" s="93"/>
      <c r="M222" s="93"/>
      <c r="N222" s="93"/>
      <c r="O222" s="93"/>
      <c r="P222" s="93"/>
      <c r="Q222" s="93"/>
      <c r="R222" s="93"/>
      <c r="S222" s="93"/>
      <c r="T222" s="93"/>
      <c r="U222" s="93"/>
      <c r="V222" s="93"/>
      <c r="W222" s="88"/>
      <c r="X222" s="88"/>
      <c r="Y222" s="88"/>
      <c r="Z222" s="88"/>
      <c r="AA222" s="88"/>
      <c r="AB222" s="88"/>
      <c r="AC222" s="88"/>
      <c r="AD222" s="88"/>
      <c r="AE222" s="88"/>
      <c r="AF222" s="88"/>
      <c r="AG222" s="88"/>
      <c r="AH222" s="88"/>
      <c r="AI222" s="88"/>
      <c r="AJ222" s="88"/>
      <c r="AK222" s="88"/>
      <c r="AL222" s="88"/>
      <c r="AM222" s="88"/>
      <c r="AN222" s="88"/>
      <c r="AO222" s="88"/>
      <c r="AP222" s="88"/>
      <c r="AQ222" s="88"/>
      <c r="AR222" s="88"/>
      <c r="AS222" s="88"/>
      <c r="AT222" s="88"/>
      <c r="AU222" s="88"/>
      <c r="AV222" s="88"/>
      <c r="AW222" s="87"/>
      <c r="AX222" s="88"/>
      <c r="AY222" s="88"/>
    </row>
    <row r="223" spans="1:51">
      <c r="A223" s="93"/>
      <c r="B223" s="79" t="s">
        <v>3029</v>
      </c>
      <c r="C223" s="93"/>
      <c r="D223" s="93"/>
      <c r="E223" s="93"/>
      <c r="F223" s="88"/>
      <c r="G223" s="88"/>
      <c r="H223" s="93"/>
      <c r="I223" s="94"/>
      <c r="J223" s="103"/>
      <c r="K223" s="1219" t="s">
        <v>3002</v>
      </c>
      <c r="L223" s="1220"/>
      <c r="M223" s="1220"/>
      <c r="N223" s="1220"/>
      <c r="O223" s="1220"/>
      <c r="P223" s="1220"/>
      <c r="Q223" s="1220"/>
      <c r="R223" s="1220"/>
      <c r="S223" s="1220"/>
      <c r="T223" s="1220"/>
      <c r="U223" s="1220"/>
      <c r="V223" s="1221"/>
      <c r="W223" s="1222" t="s">
        <v>3026</v>
      </c>
      <c r="X223" s="1223"/>
      <c r="Y223" s="1223"/>
      <c r="Z223" s="1223"/>
      <c r="AA223" s="1223"/>
      <c r="AB223" s="1223"/>
      <c r="AC223" s="1223"/>
      <c r="AD223" s="1223"/>
      <c r="AE223" s="1223"/>
      <c r="AF223" s="1223"/>
      <c r="AG223" s="1223"/>
      <c r="AH223" s="1224"/>
      <c r="AI223" s="1223"/>
      <c r="AJ223" s="1222" t="s">
        <v>3003</v>
      </c>
      <c r="AK223" s="1223"/>
      <c r="AL223" s="1223"/>
      <c r="AM223" s="1223"/>
      <c r="AN223" s="1223"/>
      <c r="AO223" s="1223"/>
      <c r="AP223" s="1223"/>
      <c r="AQ223" s="1223"/>
      <c r="AR223" s="1223"/>
      <c r="AS223" s="1223"/>
      <c r="AT223" s="1223"/>
      <c r="AU223" s="1224"/>
      <c r="AV223" s="1223"/>
      <c r="AW223" s="87"/>
      <c r="AX223" s="88"/>
      <c r="AY223" s="88"/>
    </row>
    <row r="224" spans="1:51" s="14" customFormat="1">
      <c r="A224" s="104"/>
      <c r="B224" s="129" t="s">
        <v>3005</v>
      </c>
      <c r="C224" s="105" t="s">
        <v>3006</v>
      </c>
      <c r="D224" s="105" t="s">
        <v>3007</v>
      </c>
      <c r="E224" s="105" t="s">
        <v>3008</v>
      </c>
      <c r="F224" s="106" t="s">
        <v>3009</v>
      </c>
      <c r="G224" s="106"/>
      <c r="H224" s="107"/>
      <c r="I224" s="108" t="s">
        <v>3011</v>
      </c>
      <c r="J224" s="107"/>
      <c r="K224" s="107">
        <v>46023</v>
      </c>
      <c r="L224" s="107">
        <v>46054</v>
      </c>
      <c r="M224" s="107">
        <v>46082</v>
      </c>
      <c r="N224" s="107">
        <v>46113</v>
      </c>
      <c r="O224" s="107">
        <v>46143</v>
      </c>
      <c r="P224" s="107">
        <v>46174</v>
      </c>
      <c r="Q224" s="107">
        <v>46204</v>
      </c>
      <c r="R224" s="107">
        <v>46235</v>
      </c>
      <c r="S224" s="107">
        <v>46266</v>
      </c>
      <c r="T224" s="107">
        <v>46296</v>
      </c>
      <c r="U224" s="107">
        <v>46327</v>
      </c>
      <c r="V224" s="107">
        <v>46357</v>
      </c>
      <c r="W224" s="73">
        <f t="shared" ref="W224:AH224" si="437">+K224</f>
        <v>46023</v>
      </c>
      <c r="X224" s="73">
        <f t="shared" si="437"/>
        <v>46054</v>
      </c>
      <c r="Y224" s="73">
        <f t="shared" si="437"/>
        <v>46082</v>
      </c>
      <c r="Z224" s="73">
        <f t="shared" si="437"/>
        <v>46113</v>
      </c>
      <c r="AA224" s="73">
        <f t="shared" si="437"/>
        <v>46143</v>
      </c>
      <c r="AB224" s="73">
        <f t="shared" si="437"/>
        <v>46174</v>
      </c>
      <c r="AC224" s="73">
        <f t="shared" si="437"/>
        <v>46204</v>
      </c>
      <c r="AD224" s="73">
        <f t="shared" si="437"/>
        <v>46235</v>
      </c>
      <c r="AE224" s="73">
        <f t="shared" si="437"/>
        <v>46266</v>
      </c>
      <c r="AF224" s="73">
        <f t="shared" si="437"/>
        <v>46296</v>
      </c>
      <c r="AG224" s="73">
        <f t="shared" si="437"/>
        <v>46327</v>
      </c>
      <c r="AH224" s="73">
        <f t="shared" si="437"/>
        <v>46357</v>
      </c>
      <c r="AI224" s="109" t="str">
        <f>$AI$15</f>
        <v>Total 2026</v>
      </c>
      <c r="AJ224" s="73">
        <f t="shared" ref="AJ224:AU224" si="438">AJ$15</f>
        <v>46388</v>
      </c>
      <c r="AK224" s="73">
        <f t="shared" si="438"/>
        <v>46419</v>
      </c>
      <c r="AL224" s="73">
        <f t="shared" si="438"/>
        <v>46447</v>
      </c>
      <c r="AM224" s="73">
        <f t="shared" si="438"/>
        <v>46478</v>
      </c>
      <c r="AN224" s="73">
        <f t="shared" si="438"/>
        <v>46508</v>
      </c>
      <c r="AO224" s="73">
        <f t="shared" si="438"/>
        <v>46539</v>
      </c>
      <c r="AP224" s="73">
        <f t="shared" si="438"/>
        <v>46569</v>
      </c>
      <c r="AQ224" s="73">
        <f t="shared" si="438"/>
        <v>46600</v>
      </c>
      <c r="AR224" s="73">
        <f t="shared" si="438"/>
        <v>46631</v>
      </c>
      <c r="AS224" s="73">
        <f t="shared" si="438"/>
        <v>46661</v>
      </c>
      <c r="AT224" s="73">
        <f t="shared" si="438"/>
        <v>46692</v>
      </c>
      <c r="AU224" s="73">
        <f t="shared" si="438"/>
        <v>46722</v>
      </c>
      <c r="AV224" s="73" t="s">
        <v>3013</v>
      </c>
      <c r="AW224" s="110"/>
      <c r="AX224" s="111"/>
      <c r="AY224" s="111"/>
    </row>
    <row r="225" spans="1:51">
      <c r="A225" s="93"/>
      <c r="B225" s="130"/>
      <c r="C225" s="80"/>
      <c r="D225" s="80"/>
      <c r="E225" s="80"/>
      <c r="F225" s="82"/>
      <c r="G225" s="82"/>
      <c r="H225" s="80"/>
      <c r="I225" s="112"/>
      <c r="J225" s="80"/>
      <c r="K225" s="84"/>
      <c r="L225" s="84"/>
      <c r="M225" s="84"/>
      <c r="N225" s="84"/>
      <c r="O225" s="84"/>
      <c r="P225" s="84"/>
      <c r="Q225" s="84"/>
      <c r="R225" s="84"/>
      <c r="S225" s="84"/>
      <c r="T225" s="84"/>
      <c r="U225" s="84"/>
      <c r="V225" s="84"/>
      <c r="W225" s="85"/>
      <c r="X225" s="85"/>
      <c r="Y225" s="85"/>
      <c r="Z225" s="85"/>
      <c r="AA225" s="85"/>
      <c r="AB225" s="85"/>
      <c r="AC225" s="85"/>
      <c r="AD225" s="85"/>
      <c r="AE225" s="85"/>
      <c r="AF225" s="85"/>
      <c r="AG225" s="85"/>
      <c r="AH225" s="85"/>
      <c r="AI225" s="85"/>
      <c r="AJ225" s="85"/>
      <c r="AK225" s="85"/>
      <c r="AL225" s="85"/>
      <c r="AM225" s="85"/>
      <c r="AN225" s="85"/>
      <c r="AO225" s="85"/>
      <c r="AP225" s="85"/>
      <c r="AQ225" s="85"/>
      <c r="AR225" s="85"/>
      <c r="AS225" s="85"/>
      <c r="AT225" s="85"/>
      <c r="AU225" s="85"/>
      <c r="AV225" s="85"/>
      <c r="AW225" s="87"/>
      <c r="AX225" s="88"/>
      <c r="AY225" s="88"/>
    </row>
    <row r="226" spans="1:51">
      <c r="A226" s="79" t="s">
        <v>3029</v>
      </c>
      <c r="B226" s="130" t="str">
        <f t="shared" ref="B226:B245" si="439">B17</f>
        <v>ACPSZL</v>
      </c>
      <c r="C226" s="80" t="str">
        <f t="shared" ref="C226:C245" si="440">C17</f>
        <v>深圳户籍</v>
      </c>
      <c r="D226" s="80" t="str">
        <f t="shared" ref="D226:D245" si="441">D17</f>
        <v>Professional</v>
      </c>
      <c r="E226" s="80">
        <f t="shared" ref="E226:E245" si="442">E17</f>
        <v>0</v>
      </c>
      <c r="F226" s="81">
        <f t="shared" ref="F226:F245" si="443">F17</f>
        <v>83000</v>
      </c>
      <c r="G226" s="81"/>
      <c r="H226" s="82" t="str">
        <f t="shared" ref="H226:H245" si="444">H17</f>
        <v>郭宗林</v>
      </c>
      <c r="I226" s="83">
        <f t="shared" ref="I226:I245" si="445">I17</f>
        <v>0</v>
      </c>
      <c r="J226" s="82"/>
      <c r="K226" s="84"/>
      <c r="L226" s="84"/>
      <c r="M226" s="84"/>
      <c r="N226" s="84"/>
      <c r="O226" s="84"/>
      <c r="P226" s="84"/>
      <c r="Q226" s="84"/>
      <c r="R226" s="84"/>
      <c r="S226" s="84"/>
      <c r="T226" s="84"/>
      <c r="U226" s="84"/>
      <c r="V226" s="84"/>
      <c r="W226" s="85">
        <v>0</v>
      </c>
      <c r="X226" s="85">
        <v>0</v>
      </c>
      <c r="Y226" s="85">
        <v>0</v>
      </c>
      <c r="Z226" s="85">
        <v>0</v>
      </c>
      <c r="AA226" s="85">
        <v>0</v>
      </c>
      <c r="AB226" s="85">
        <v>0</v>
      </c>
      <c r="AC226" s="85">
        <v>0</v>
      </c>
      <c r="AD226" s="85">
        <v>0</v>
      </c>
      <c r="AE226" s="85">
        <v>0</v>
      </c>
      <c r="AF226" s="85">
        <v>0</v>
      </c>
      <c r="AG226" s="85">
        <v>0</v>
      </c>
      <c r="AH226" s="85">
        <v>0</v>
      </c>
      <c r="AI226" s="86">
        <f t="shared" ref="AI226:AI232" si="446">SUM(W226:AH226)</f>
        <v>0</v>
      </c>
      <c r="AJ226" s="85">
        <v>0</v>
      </c>
      <c r="AK226" s="85"/>
      <c r="AL226" s="85"/>
      <c r="AM226" s="85"/>
      <c r="AN226" s="85"/>
      <c r="AO226" s="85"/>
      <c r="AP226" s="85"/>
      <c r="AQ226" s="85"/>
      <c r="AR226" s="85"/>
      <c r="AS226" s="85"/>
      <c r="AT226" s="85"/>
      <c r="AU226" s="85"/>
      <c r="AV226" s="86">
        <f t="shared" ref="AV226:AV232" si="447">SUM(AJ226:AU226)</f>
        <v>0</v>
      </c>
      <c r="AW226" s="87"/>
      <c r="AX226" s="88"/>
      <c r="AY226" s="88"/>
    </row>
    <row r="227" spans="1:51">
      <c r="A227" s="79" t="s">
        <v>3029</v>
      </c>
      <c r="B227" s="130" t="str">
        <f t="shared" si="439"/>
        <v>ACPSZL</v>
      </c>
      <c r="C227" s="80" t="str">
        <f t="shared" si="440"/>
        <v>深圳户籍</v>
      </c>
      <c r="D227" s="80" t="str">
        <f t="shared" si="441"/>
        <v>Professional</v>
      </c>
      <c r="E227" s="80">
        <f t="shared" si="442"/>
        <v>0</v>
      </c>
      <c r="F227" s="81">
        <f t="shared" si="443"/>
        <v>70000</v>
      </c>
      <c r="G227" s="81"/>
      <c r="H227" s="82" t="str">
        <f t="shared" si="444"/>
        <v>陈灿</v>
      </c>
      <c r="I227" s="83">
        <f t="shared" si="445"/>
        <v>0</v>
      </c>
      <c r="J227" s="82"/>
      <c r="K227" s="84"/>
      <c r="L227" s="84"/>
      <c r="M227" s="84"/>
      <c r="N227" s="84"/>
      <c r="O227" s="84"/>
      <c r="P227" s="84"/>
      <c r="Q227" s="84"/>
      <c r="R227" s="84"/>
      <c r="S227" s="84"/>
      <c r="T227" s="84"/>
      <c r="U227" s="84"/>
      <c r="V227" s="84"/>
      <c r="W227" s="85">
        <f t="shared" ref="W227:AH227" si="448">IF(VLOOKUP($H227,$H$15:$AH$46,W$16,FALSE)&gt;$AK$8,$AK$8*$AL$8,VLOOKUP($H227,$H$15:$AH$46,W$16,FALSE)*$AL$8)</f>
        <v>0</v>
      </c>
      <c r="X227" s="85">
        <f t="shared" si="448"/>
        <v>0</v>
      </c>
      <c r="Y227" s="85">
        <f t="shared" si="448"/>
        <v>0</v>
      </c>
      <c r="Z227" s="85">
        <f t="shared" si="448"/>
        <v>0</v>
      </c>
      <c r="AA227" s="85">
        <f t="shared" si="448"/>
        <v>0</v>
      </c>
      <c r="AB227" s="85">
        <f t="shared" si="448"/>
        <v>0</v>
      </c>
      <c r="AC227" s="85">
        <f t="shared" si="448"/>
        <v>0</v>
      </c>
      <c r="AD227" s="85">
        <f t="shared" si="448"/>
        <v>0</v>
      </c>
      <c r="AE227" s="85">
        <f t="shared" si="448"/>
        <v>0</v>
      </c>
      <c r="AF227" s="85">
        <f t="shared" si="448"/>
        <v>0</v>
      </c>
      <c r="AG227" s="85">
        <f t="shared" si="448"/>
        <v>0</v>
      </c>
      <c r="AH227" s="85">
        <f t="shared" si="448"/>
        <v>0</v>
      </c>
      <c r="AI227" s="86">
        <f t="shared" si="446"/>
        <v>0</v>
      </c>
      <c r="AJ227" s="85">
        <f t="shared" ref="AJ227:AU227" si="449">IF(VLOOKUP($H227,$H$15:$AU$46,AJ$16,FALSE)&gt;$AK$8,$AK$8*$AL$8,VLOOKUP($H227,$H$15:$AU$46,AJ$16,FALSE)*$AL$8)</f>
        <v>0</v>
      </c>
      <c r="AK227" s="85">
        <f t="shared" si="449"/>
        <v>0</v>
      </c>
      <c r="AL227" s="85">
        <f t="shared" si="449"/>
        <v>0</v>
      </c>
      <c r="AM227" s="85">
        <f t="shared" si="449"/>
        <v>0</v>
      </c>
      <c r="AN227" s="85">
        <f t="shared" si="449"/>
        <v>0</v>
      </c>
      <c r="AO227" s="85">
        <f t="shared" si="449"/>
        <v>0</v>
      </c>
      <c r="AP227" s="85">
        <f t="shared" si="449"/>
        <v>0</v>
      </c>
      <c r="AQ227" s="85">
        <f t="shared" si="449"/>
        <v>0</v>
      </c>
      <c r="AR227" s="85">
        <f t="shared" si="449"/>
        <v>0</v>
      </c>
      <c r="AS227" s="85">
        <f t="shared" si="449"/>
        <v>0</v>
      </c>
      <c r="AT227" s="85">
        <f t="shared" si="449"/>
        <v>0</v>
      </c>
      <c r="AU227" s="85">
        <f t="shared" si="449"/>
        <v>0</v>
      </c>
      <c r="AV227" s="86">
        <f t="shared" si="447"/>
        <v>0</v>
      </c>
      <c r="AW227" s="87"/>
      <c r="AX227" s="88"/>
      <c r="AY227" s="88"/>
    </row>
    <row r="228" spans="1:51">
      <c r="A228" s="79" t="s">
        <v>3029</v>
      </c>
      <c r="B228" s="130" t="str">
        <f t="shared" si="439"/>
        <v>ACPSZL</v>
      </c>
      <c r="C228" s="80" t="str">
        <f t="shared" si="440"/>
        <v>深圳户籍</v>
      </c>
      <c r="D228" s="80" t="str">
        <f t="shared" si="441"/>
        <v>Professional</v>
      </c>
      <c r="E228" s="80">
        <f t="shared" si="442"/>
        <v>0</v>
      </c>
      <c r="F228" s="81">
        <f t="shared" si="443"/>
        <v>27000</v>
      </c>
      <c r="G228" s="81"/>
      <c r="H228" s="82" t="str">
        <f t="shared" si="444"/>
        <v>林秋蝶</v>
      </c>
      <c r="I228" s="83">
        <f t="shared" si="445"/>
        <v>0</v>
      </c>
      <c r="J228" s="82"/>
      <c r="K228" s="84"/>
      <c r="L228" s="84"/>
      <c r="M228" s="84"/>
      <c r="N228" s="84"/>
      <c r="O228" s="84"/>
      <c r="P228" s="84"/>
      <c r="Q228" s="84"/>
      <c r="R228" s="84"/>
      <c r="S228" s="84"/>
      <c r="T228" s="84"/>
      <c r="U228" s="84"/>
      <c r="V228" s="84"/>
      <c r="W228" s="85">
        <f t="shared" ref="W228:AH228" si="450">IF(VLOOKUP($H228,$H$15:$AH$46,W$16,FALSE)&gt;$AK$8,$AK$8*$AL$8,VLOOKUP($H228,$H$15:$AH$46,W$16,FALSE)*$AL$8)</f>
        <v>3240</v>
      </c>
      <c r="X228" s="85">
        <f t="shared" si="450"/>
        <v>3240</v>
      </c>
      <c r="Y228" s="85">
        <f t="shared" si="450"/>
        <v>3240</v>
      </c>
      <c r="Z228" s="85">
        <f t="shared" si="450"/>
        <v>3240</v>
      </c>
      <c r="AA228" s="85">
        <f t="shared" si="450"/>
        <v>3240</v>
      </c>
      <c r="AB228" s="85">
        <f t="shared" si="450"/>
        <v>3240</v>
      </c>
      <c r="AC228" s="85">
        <f t="shared" si="450"/>
        <v>3240</v>
      </c>
      <c r="AD228" s="85">
        <f t="shared" si="450"/>
        <v>3240</v>
      </c>
      <c r="AE228" s="85">
        <f t="shared" si="450"/>
        <v>3240</v>
      </c>
      <c r="AF228" s="85">
        <f t="shared" si="450"/>
        <v>3240</v>
      </c>
      <c r="AG228" s="85">
        <f t="shared" si="450"/>
        <v>3240</v>
      </c>
      <c r="AH228" s="85">
        <f t="shared" si="450"/>
        <v>3240</v>
      </c>
      <c r="AI228" s="86">
        <f t="shared" si="446"/>
        <v>38880</v>
      </c>
      <c r="AJ228" s="85">
        <f t="shared" ref="AJ228:AU228" si="451">IF(VLOOKUP($H228,$H$15:$AU$46,AJ$16,FALSE)&gt;$AK$8,$AK$8*$AL$8,VLOOKUP($H228,$H$15:$AU$46,AJ$16,FALSE)*$AL$8)</f>
        <v>3402</v>
      </c>
      <c r="AK228" s="85">
        <f t="shared" si="451"/>
        <v>3402</v>
      </c>
      <c r="AL228" s="85">
        <f t="shared" si="451"/>
        <v>3402</v>
      </c>
      <c r="AM228" s="85">
        <f t="shared" si="451"/>
        <v>3402</v>
      </c>
      <c r="AN228" s="85">
        <f t="shared" si="451"/>
        <v>3402</v>
      </c>
      <c r="AO228" s="85">
        <f t="shared" si="451"/>
        <v>3402</v>
      </c>
      <c r="AP228" s="85">
        <f t="shared" si="451"/>
        <v>3402</v>
      </c>
      <c r="AQ228" s="85">
        <f t="shared" si="451"/>
        <v>3402</v>
      </c>
      <c r="AR228" s="85">
        <f t="shared" si="451"/>
        <v>3402</v>
      </c>
      <c r="AS228" s="85">
        <f t="shared" si="451"/>
        <v>3402</v>
      </c>
      <c r="AT228" s="85">
        <f t="shared" si="451"/>
        <v>3402</v>
      </c>
      <c r="AU228" s="85">
        <f t="shared" si="451"/>
        <v>3402</v>
      </c>
      <c r="AV228" s="86">
        <f t="shared" si="447"/>
        <v>40824</v>
      </c>
      <c r="AW228" s="87"/>
      <c r="AX228" s="88"/>
      <c r="AY228" s="88"/>
    </row>
    <row r="229" spans="1:51">
      <c r="A229" s="79" t="s">
        <v>3029</v>
      </c>
      <c r="B229" s="130" t="str">
        <f t="shared" si="439"/>
        <v>ACPLSZ</v>
      </c>
      <c r="C229" s="80" t="str">
        <f t="shared" si="440"/>
        <v>深圳户籍</v>
      </c>
      <c r="D229" s="80" t="str">
        <f t="shared" si="441"/>
        <v>Professional</v>
      </c>
      <c r="E229" s="80">
        <f t="shared" si="442"/>
        <v>0</v>
      </c>
      <c r="F229" s="81">
        <f t="shared" si="443"/>
        <v>17000</v>
      </c>
      <c r="G229" s="81"/>
      <c r="H229" s="82" t="str">
        <f t="shared" si="444"/>
        <v>陈斌捷</v>
      </c>
      <c r="I229" s="83">
        <f t="shared" si="445"/>
        <v>8.8235294117646967E-2</v>
      </c>
      <c r="J229" s="82"/>
      <c r="K229" s="84"/>
      <c r="L229" s="84"/>
      <c r="M229" s="84"/>
      <c r="N229" s="84"/>
      <c r="O229" s="84"/>
      <c r="P229" s="84"/>
      <c r="Q229" s="84"/>
      <c r="R229" s="84"/>
      <c r="S229" s="84"/>
      <c r="T229" s="84"/>
      <c r="U229" s="84"/>
      <c r="V229" s="84"/>
      <c r="W229" s="85">
        <f>IF(VLOOKUP($H229,$H$15:$AH$46,W$16,FALSE)&gt;$AK$8,$AK$8*$AL$8,VLOOKUP($H229,$H$15:$AH$46,W$16,FALSE)*$AL$8)</f>
        <v>2040</v>
      </c>
      <c r="X229" s="85">
        <f>IF(VLOOKUP($H229,$H$15:$AH$46,X$16,FALSE)&gt;$AK$8,$AK$8*$AL$8,VLOOKUP($H229,$H$15:$AH$46,X$16,FALSE)*$AL$8)</f>
        <v>2040</v>
      </c>
      <c r="Y229" s="85">
        <f>IF(VLOOKUP($H229,$H$15:$AH$46,Y$16,FALSE)&gt;$AK$8,$AK$8*$AL$8,VLOOKUP($H229,$H$15:$AH$46,Y$16,FALSE)*$AL$8)</f>
        <v>2040</v>
      </c>
      <c r="Z229" s="85">
        <f>IF(VLOOKUP($H229,$H$15:$AH$46,Z$16,FALSE)&gt;$AK$8,$AK$8*$AL$8,VLOOKUP($H229,$H$15:$AH$46,Z$16,FALSE)*$AL$8)</f>
        <v>2220</v>
      </c>
      <c r="AA229" s="85">
        <f>IF(VLOOKUP($H229,$H$15:$AH$46,AA$16,FALSE)&gt;$AK$8,$AK$8*$AL$8,VLOOKUP($H229,$H$15:$AH$46,AA$16,FALSE)*$AL$8)</f>
        <v>2220</v>
      </c>
      <c r="AB229" s="85">
        <f>F229*$AL$8</f>
        <v>2040</v>
      </c>
      <c r="AC229" s="85">
        <f t="shared" ref="AC229:AH229" si="452">IF(VLOOKUP($H229,$H$15:$AH$46,AC$16,FALSE)&gt;$AK$8,$AK$8*$AL$8,VLOOKUP($H229,$H$15:$AH$46,AC$16,FALSE)*$AL$8)</f>
        <v>2220</v>
      </c>
      <c r="AD229" s="85">
        <f t="shared" si="452"/>
        <v>2220</v>
      </c>
      <c r="AE229" s="85">
        <f t="shared" si="452"/>
        <v>2220</v>
      </c>
      <c r="AF229" s="85">
        <f t="shared" si="452"/>
        <v>2220</v>
      </c>
      <c r="AG229" s="85">
        <f t="shared" si="452"/>
        <v>2220</v>
      </c>
      <c r="AH229" s="85">
        <f t="shared" si="452"/>
        <v>2220</v>
      </c>
      <c r="AI229" s="86">
        <f t="shared" si="446"/>
        <v>25920</v>
      </c>
      <c r="AJ229" s="85">
        <f t="shared" ref="AJ229:AU229" si="453">IF(VLOOKUP($H229,$H$15:$AU$46,AJ$16,FALSE)&gt;$AK$8,$AK$8*$AL$8,VLOOKUP($H229,$H$15:$AU$46,AJ$16,FALSE)*$AL$8)</f>
        <v>2331</v>
      </c>
      <c r="AK229" s="85">
        <f t="shared" si="453"/>
        <v>2331</v>
      </c>
      <c r="AL229" s="85">
        <f t="shared" si="453"/>
        <v>2331</v>
      </c>
      <c r="AM229" s="85">
        <f t="shared" si="453"/>
        <v>2331</v>
      </c>
      <c r="AN229" s="85">
        <f t="shared" si="453"/>
        <v>2331</v>
      </c>
      <c r="AO229" s="85">
        <f t="shared" si="453"/>
        <v>2331</v>
      </c>
      <c r="AP229" s="85">
        <f t="shared" si="453"/>
        <v>2331</v>
      </c>
      <c r="AQ229" s="85">
        <f t="shared" si="453"/>
        <v>2331</v>
      </c>
      <c r="AR229" s="85">
        <f t="shared" si="453"/>
        <v>2331</v>
      </c>
      <c r="AS229" s="85">
        <f t="shared" si="453"/>
        <v>2331</v>
      </c>
      <c r="AT229" s="85">
        <f t="shared" si="453"/>
        <v>2331</v>
      </c>
      <c r="AU229" s="85">
        <f t="shared" si="453"/>
        <v>2331</v>
      </c>
      <c r="AV229" s="86">
        <f t="shared" si="447"/>
        <v>27972</v>
      </c>
      <c r="AW229" s="87"/>
      <c r="AX229" s="88"/>
      <c r="AY229" s="88"/>
    </row>
    <row r="230" spans="1:51">
      <c r="A230" s="79" t="s">
        <v>3029</v>
      </c>
      <c r="B230" s="130" t="str">
        <f t="shared" si="439"/>
        <v>ACPSZL</v>
      </c>
      <c r="C230" s="80" t="str">
        <f t="shared" si="440"/>
        <v>深圳户籍</v>
      </c>
      <c r="D230" s="80" t="str">
        <f t="shared" si="441"/>
        <v>Professional</v>
      </c>
      <c r="E230" s="80">
        <f t="shared" si="442"/>
        <v>0</v>
      </c>
      <c r="F230" s="82">
        <f t="shared" si="443"/>
        <v>20000</v>
      </c>
      <c r="G230" s="82"/>
      <c r="H230" s="82" t="str">
        <f t="shared" si="444"/>
        <v>陈广华</v>
      </c>
      <c r="I230" s="83">
        <f t="shared" si="445"/>
        <v>0</v>
      </c>
      <c r="J230" s="82"/>
      <c r="K230" s="84"/>
      <c r="L230" s="84"/>
      <c r="M230" s="84"/>
      <c r="N230" s="84"/>
      <c r="O230" s="84"/>
      <c r="P230" s="84"/>
      <c r="Q230" s="84"/>
      <c r="R230" s="84"/>
      <c r="S230" s="84"/>
      <c r="T230" s="84"/>
      <c r="U230" s="84"/>
      <c r="V230" s="84"/>
      <c r="W230" s="85">
        <f t="shared" ref="W230:AH230" si="454">IF(VLOOKUP($H230,$H$15:$AH$46,W$16,FALSE)&gt;$AK$8,$AK$8*$AL$8,VLOOKUP($H230,$H$15:$AH$46,W$16,FALSE)*$AL$8)</f>
        <v>2400</v>
      </c>
      <c r="X230" s="85">
        <f t="shared" si="454"/>
        <v>2400</v>
      </c>
      <c r="Y230" s="85">
        <f t="shared" si="454"/>
        <v>2400</v>
      </c>
      <c r="Z230" s="85">
        <f t="shared" si="454"/>
        <v>2400</v>
      </c>
      <c r="AA230" s="85">
        <f t="shared" si="454"/>
        <v>2400</v>
      </c>
      <c r="AB230" s="85">
        <f t="shared" si="454"/>
        <v>2400</v>
      </c>
      <c r="AC230" s="85">
        <f t="shared" si="454"/>
        <v>2400</v>
      </c>
      <c r="AD230" s="85">
        <f t="shared" si="454"/>
        <v>2400</v>
      </c>
      <c r="AE230" s="85">
        <f t="shared" si="454"/>
        <v>2400</v>
      </c>
      <c r="AF230" s="85">
        <f t="shared" si="454"/>
        <v>2400</v>
      </c>
      <c r="AG230" s="85">
        <f t="shared" si="454"/>
        <v>2400</v>
      </c>
      <c r="AH230" s="85">
        <f t="shared" si="454"/>
        <v>2400</v>
      </c>
      <c r="AI230" s="86">
        <f t="shared" si="446"/>
        <v>28800</v>
      </c>
      <c r="AJ230" s="85">
        <f t="shared" ref="AJ230:AU230" si="455">IF(VLOOKUP($H230,$H$15:$AU$46,AJ$16,FALSE)&gt;$AK$8,$AK$8*$AL$8,VLOOKUP($H230,$H$15:$AU$46,AJ$16,FALSE)*$AL$8)</f>
        <v>2520</v>
      </c>
      <c r="AK230" s="85">
        <f t="shared" si="455"/>
        <v>2520</v>
      </c>
      <c r="AL230" s="85">
        <f t="shared" si="455"/>
        <v>2520</v>
      </c>
      <c r="AM230" s="85">
        <f t="shared" si="455"/>
        <v>2520</v>
      </c>
      <c r="AN230" s="85">
        <f t="shared" si="455"/>
        <v>2520</v>
      </c>
      <c r="AO230" s="85">
        <f t="shared" si="455"/>
        <v>2520</v>
      </c>
      <c r="AP230" s="85">
        <f t="shared" si="455"/>
        <v>2520</v>
      </c>
      <c r="AQ230" s="85">
        <f t="shared" si="455"/>
        <v>2520</v>
      </c>
      <c r="AR230" s="85">
        <f t="shared" si="455"/>
        <v>2520</v>
      </c>
      <c r="AS230" s="85">
        <f t="shared" si="455"/>
        <v>2520</v>
      </c>
      <c r="AT230" s="85">
        <f t="shared" si="455"/>
        <v>2520</v>
      </c>
      <c r="AU230" s="85">
        <f t="shared" si="455"/>
        <v>2520</v>
      </c>
      <c r="AV230" s="86">
        <f t="shared" si="447"/>
        <v>30240</v>
      </c>
      <c r="AW230" s="87"/>
      <c r="AX230" s="88"/>
      <c r="AY230" s="88"/>
    </row>
    <row r="231" spans="1:51">
      <c r="A231" s="79" t="s">
        <v>3029</v>
      </c>
      <c r="B231" s="130" t="str">
        <f t="shared" si="439"/>
        <v>ACPSZL</v>
      </c>
      <c r="C231" s="80" t="str">
        <f t="shared" si="440"/>
        <v>非深圳户籍</v>
      </c>
      <c r="D231" s="80" t="str">
        <f t="shared" si="441"/>
        <v>Professional</v>
      </c>
      <c r="E231" s="80">
        <f t="shared" si="442"/>
        <v>0</v>
      </c>
      <c r="F231" s="82">
        <f t="shared" si="443"/>
        <v>50000</v>
      </c>
      <c r="G231" s="82"/>
      <c r="H231" s="82" t="str">
        <f t="shared" si="444"/>
        <v>冷雨尘</v>
      </c>
      <c r="I231" s="83">
        <f t="shared" si="445"/>
        <v>0</v>
      </c>
      <c r="J231" s="82"/>
      <c r="K231" s="84"/>
      <c r="L231" s="84"/>
      <c r="M231" s="84"/>
      <c r="N231" s="84"/>
      <c r="O231" s="84"/>
      <c r="P231" s="84"/>
      <c r="Q231" s="84"/>
      <c r="R231" s="84"/>
      <c r="S231" s="84"/>
      <c r="T231" s="84"/>
      <c r="U231" s="84"/>
      <c r="V231" s="84"/>
      <c r="W231" s="85">
        <f t="shared" ref="W231:AH231" si="456">IF(VLOOKUP($H231,$H$15:$AH$46,W$16,FALSE)&gt;$AK$9,$AK$9*$AL$9,VLOOKUP($H231,$H$15:$AH$46,W$16,FALSE)*$AL$9)</f>
        <v>5311.8</v>
      </c>
      <c r="X231" s="85">
        <f t="shared" si="456"/>
        <v>5311.8</v>
      </c>
      <c r="Y231" s="85">
        <f t="shared" si="456"/>
        <v>5311.8</v>
      </c>
      <c r="Z231" s="85">
        <f t="shared" si="456"/>
        <v>5311.8</v>
      </c>
      <c r="AA231" s="85">
        <f t="shared" si="456"/>
        <v>5311.8</v>
      </c>
      <c r="AB231" s="85">
        <f t="shared" si="456"/>
        <v>5311.8</v>
      </c>
      <c r="AC231" s="85">
        <f t="shared" si="456"/>
        <v>5311.8</v>
      </c>
      <c r="AD231" s="85">
        <f t="shared" si="456"/>
        <v>5311.8</v>
      </c>
      <c r="AE231" s="85">
        <f t="shared" si="456"/>
        <v>5311.8</v>
      </c>
      <c r="AF231" s="85">
        <f t="shared" si="456"/>
        <v>5311.8</v>
      </c>
      <c r="AG231" s="85">
        <f t="shared" si="456"/>
        <v>5311.8</v>
      </c>
      <c r="AH231" s="85">
        <f t="shared" si="456"/>
        <v>5311.8</v>
      </c>
      <c r="AI231" s="86">
        <f t="shared" si="446"/>
        <v>63741.600000000013</v>
      </c>
      <c r="AJ231" s="85">
        <f t="shared" ref="AJ231:AU231" si="457">IF(VLOOKUP($H231,$H$15:$AU$46,AJ$16,FALSE)&gt;$AK$9,$AK$9*$AL$9,VLOOKUP($H231,$H$15:$AU$46,AJ$16,FALSE)*$AL$9)</f>
        <v>5311.8</v>
      </c>
      <c r="AK231" s="85">
        <f t="shared" si="457"/>
        <v>5311.8</v>
      </c>
      <c r="AL231" s="85">
        <f t="shared" si="457"/>
        <v>5311.8</v>
      </c>
      <c r="AM231" s="85">
        <f t="shared" si="457"/>
        <v>5311.8</v>
      </c>
      <c r="AN231" s="85">
        <f t="shared" si="457"/>
        <v>5311.8</v>
      </c>
      <c r="AO231" s="85">
        <f t="shared" si="457"/>
        <v>5311.8</v>
      </c>
      <c r="AP231" s="85">
        <f t="shared" si="457"/>
        <v>5311.8</v>
      </c>
      <c r="AQ231" s="85">
        <f t="shared" si="457"/>
        <v>5311.8</v>
      </c>
      <c r="AR231" s="85">
        <f t="shared" si="457"/>
        <v>5311.8</v>
      </c>
      <c r="AS231" s="85">
        <f t="shared" si="457"/>
        <v>5311.8</v>
      </c>
      <c r="AT231" s="85">
        <f t="shared" si="457"/>
        <v>5311.8</v>
      </c>
      <c r="AU231" s="85">
        <f t="shared" si="457"/>
        <v>5311.8</v>
      </c>
      <c r="AV231" s="86">
        <f t="shared" si="447"/>
        <v>63741.600000000013</v>
      </c>
      <c r="AW231" s="87"/>
      <c r="AX231" s="88"/>
      <c r="AY231" s="88"/>
    </row>
    <row r="232" spans="1:51">
      <c r="A232" s="79" t="s">
        <v>3029</v>
      </c>
      <c r="B232" s="130" t="str">
        <f t="shared" si="439"/>
        <v>ACPSZL</v>
      </c>
      <c r="C232" s="80" t="str">
        <f t="shared" si="440"/>
        <v>深圳户籍</v>
      </c>
      <c r="D232" s="80" t="str">
        <f t="shared" si="441"/>
        <v>Professional</v>
      </c>
      <c r="E232" s="80">
        <f t="shared" si="442"/>
        <v>0</v>
      </c>
      <c r="F232" s="82">
        <f t="shared" si="443"/>
        <v>35000</v>
      </c>
      <c r="G232" s="82"/>
      <c r="H232" s="82" t="str">
        <f t="shared" si="444"/>
        <v>李敏宽</v>
      </c>
      <c r="I232" s="83">
        <f t="shared" si="445"/>
        <v>0.14285714285714279</v>
      </c>
      <c r="J232" s="82"/>
      <c r="K232" s="84"/>
      <c r="L232" s="84"/>
      <c r="M232" s="84"/>
      <c r="N232" s="84"/>
      <c r="O232" s="84"/>
      <c r="P232" s="84"/>
      <c r="Q232" s="84"/>
      <c r="R232" s="84"/>
      <c r="S232" s="84"/>
      <c r="T232" s="84"/>
      <c r="U232" s="84"/>
      <c r="V232" s="84"/>
      <c r="W232" s="85">
        <f>IF(VLOOKUP($H232,$H$15:$AH$46,W$16,FALSE)&gt;$AK$8,$AK$8*$AL$8,VLOOKUP($H232,$H$15:$AH$46,W$16,FALSE)*$AL$8)</f>
        <v>4200</v>
      </c>
      <c r="X232" s="85">
        <f>F232*$AL$8</f>
        <v>4200</v>
      </c>
      <c r="Y232" s="85">
        <f t="shared" ref="Y232:AH232" si="458">IF(VLOOKUP($H232,$H$15:$AH$46,Y$16,FALSE)&gt;$AK$8,$AK$8*$AL$8,VLOOKUP($H232,$H$15:$AH$46,Y$16,FALSE)*$AL$8)</f>
        <v>4200</v>
      </c>
      <c r="Z232" s="85">
        <f t="shared" si="458"/>
        <v>4800</v>
      </c>
      <c r="AA232" s="85">
        <f t="shared" si="458"/>
        <v>4800</v>
      </c>
      <c r="AB232" s="85">
        <f t="shared" si="458"/>
        <v>4800</v>
      </c>
      <c r="AC232" s="85">
        <f t="shared" si="458"/>
        <v>4800</v>
      </c>
      <c r="AD232" s="85">
        <f t="shared" si="458"/>
        <v>4800</v>
      </c>
      <c r="AE232" s="85">
        <f t="shared" si="458"/>
        <v>4800</v>
      </c>
      <c r="AF232" s="85">
        <f t="shared" si="458"/>
        <v>4800</v>
      </c>
      <c r="AG232" s="85">
        <f t="shared" si="458"/>
        <v>4800</v>
      </c>
      <c r="AH232" s="85">
        <f t="shared" si="458"/>
        <v>4800</v>
      </c>
      <c r="AI232" s="86">
        <f t="shared" si="446"/>
        <v>55800</v>
      </c>
      <c r="AJ232" s="85">
        <f t="shared" ref="AJ232:AU232" si="459">IF(VLOOKUP($H232,$H$15:$AU$46,AJ$16,FALSE)&gt;$AK$8,$AK$8*$AL$8,VLOOKUP($H232,$H$15:$AU$46,AJ$16,FALSE)*$AL$8)</f>
        <v>5040</v>
      </c>
      <c r="AK232" s="85">
        <f t="shared" si="459"/>
        <v>5040</v>
      </c>
      <c r="AL232" s="85">
        <f t="shared" si="459"/>
        <v>5040</v>
      </c>
      <c r="AM232" s="85">
        <f t="shared" si="459"/>
        <v>5040</v>
      </c>
      <c r="AN232" s="85">
        <f t="shared" si="459"/>
        <v>5040</v>
      </c>
      <c r="AO232" s="85">
        <f t="shared" si="459"/>
        <v>5040</v>
      </c>
      <c r="AP232" s="85">
        <f t="shared" si="459"/>
        <v>5040</v>
      </c>
      <c r="AQ232" s="85">
        <f t="shared" si="459"/>
        <v>5040</v>
      </c>
      <c r="AR232" s="85">
        <f t="shared" si="459"/>
        <v>5040</v>
      </c>
      <c r="AS232" s="85">
        <f t="shared" si="459"/>
        <v>5040</v>
      </c>
      <c r="AT232" s="85">
        <f t="shared" si="459"/>
        <v>5040</v>
      </c>
      <c r="AU232" s="85">
        <f t="shared" si="459"/>
        <v>5040</v>
      </c>
      <c r="AV232" s="86">
        <f t="shared" si="447"/>
        <v>60480</v>
      </c>
      <c r="AW232" s="87"/>
      <c r="AX232" s="88"/>
      <c r="AY232" s="88"/>
    </row>
    <row r="233" spans="1:51">
      <c r="A233" s="79" t="s">
        <v>3029</v>
      </c>
      <c r="B233" s="130" t="str">
        <f t="shared" si="439"/>
        <v>ACPLSZ</v>
      </c>
      <c r="C233" s="80" t="str">
        <f t="shared" si="440"/>
        <v>非深圳户籍</v>
      </c>
      <c r="D233" s="80" t="str">
        <f t="shared" si="441"/>
        <v>Professional</v>
      </c>
      <c r="E233" s="80">
        <f t="shared" si="442"/>
        <v>0</v>
      </c>
      <c r="F233" s="81">
        <f t="shared" si="443"/>
        <v>44250</v>
      </c>
      <c r="G233" s="81"/>
      <c r="H233" s="82" t="str">
        <f t="shared" si="444"/>
        <v>高焙</v>
      </c>
      <c r="I233" s="83">
        <f t="shared" si="445"/>
        <v>0.12994350282485878</v>
      </c>
      <c r="J233" s="82"/>
      <c r="K233" s="84"/>
      <c r="L233" s="84"/>
      <c r="M233" s="84"/>
      <c r="N233" s="84"/>
      <c r="O233" s="84"/>
      <c r="P233" s="84"/>
      <c r="Q233" s="84"/>
      <c r="R233" s="84"/>
      <c r="S233" s="84"/>
      <c r="T233" s="84"/>
      <c r="U233" s="84"/>
      <c r="V233" s="84"/>
      <c r="W233" s="85">
        <f t="shared" ref="W233:AH233" si="460">IF(VLOOKUP($H233,$H$15:$AH$46,W$16,FALSE)&gt;$AK$9,$AK$9*$AL$9,VLOOKUP($H233,$H$15:$AH$46,W$16,FALSE)*$AL$9)</f>
        <v>5310</v>
      </c>
      <c r="X233" s="85">
        <f t="shared" si="460"/>
        <v>5310</v>
      </c>
      <c r="Y233" s="85">
        <f t="shared" si="460"/>
        <v>5310</v>
      </c>
      <c r="Z233" s="85">
        <f t="shared" si="460"/>
        <v>5311.8</v>
      </c>
      <c r="AA233" s="85">
        <f t="shared" si="460"/>
        <v>5311.8</v>
      </c>
      <c r="AB233" s="85">
        <f t="shared" si="460"/>
        <v>5311.8</v>
      </c>
      <c r="AC233" s="85">
        <f t="shared" si="460"/>
        <v>5311.8</v>
      </c>
      <c r="AD233" s="85">
        <f t="shared" si="460"/>
        <v>5311.8</v>
      </c>
      <c r="AE233" s="85">
        <f t="shared" si="460"/>
        <v>5311.8</v>
      </c>
      <c r="AF233" s="85">
        <f t="shared" si="460"/>
        <v>5311.8</v>
      </c>
      <c r="AG233" s="85">
        <f t="shared" si="460"/>
        <v>5311.8</v>
      </c>
      <c r="AH233" s="85">
        <f t="shared" si="460"/>
        <v>5311.8</v>
      </c>
      <c r="AI233" s="86">
        <f t="shared" ref="AI233:AI245" si="461">SUM(W233:AH233)</f>
        <v>63736.200000000012</v>
      </c>
      <c r="AJ233" s="85">
        <f t="shared" ref="AJ233:AU233" si="462">IF(VLOOKUP($H233,$H$15:$AU$46,AJ$16,FALSE)&gt;$AK$9,$AK$9*$AL$9,VLOOKUP($H233,$H$15:$AU$46,AJ$16,FALSE)*$AL$9)</f>
        <v>5311.8</v>
      </c>
      <c r="AK233" s="85">
        <f t="shared" si="462"/>
        <v>5311.8</v>
      </c>
      <c r="AL233" s="85">
        <f t="shared" si="462"/>
        <v>5311.8</v>
      </c>
      <c r="AM233" s="85">
        <f t="shared" si="462"/>
        <v>5311.8</v>
      </c>
      <c r="AN233" s="85">
        <f t="shared" si="462"/>
        <v>5311.8</v>
      </c>
      <c r="AO233" s="85">
        <f t="shared" si="462"/>
        <v>5311.8</v>
      </c>
      <c r="AP233" s="85">
        <f t="shared" si="462"/>
        <v>5311.8</v>
      </c>
      <c r="AQ233" s="85">
        <f t="shared" si="462"/>
        <v>5311.8</v>
      </c>
      <c r="AR233" s="85">
        <f t="shared" si="462"/>
        <v>5311.8</v>
      </c>
      <c r="AS233" s="85">
        <f t="shared" si="462"/>
        <v>5311.8</v>
      </c>
      <c r="AT233" s="85">
        <f t="shared" si="462"/>
        <v>5311.8</v>
      </c>
      <c r="AU233" s="85">
        <f t="shared" si="462"/>
        <v>5311.8</v>
      </c>
      <c r="AV233" s="86">
        <f t="shared" ref="AV233:AV247" si="463">SUM(AJ233:AU233)</f>
        <v>63741.600000000013</v>
      </c>
      <c r="AW233" s="87"/>
      <c r="AX233" s="88"/>
      <c r="AY233" s="88"/>
    </row>
    <row r="234" spans="1:51">
      <c r="A234" s="79" t="s">
        <v>3029</v>
      </c>
      <c r="B234" s="130" t="str">
        <f t="shared" si="439"/>
        <v>ACPLSZ</v>
      </c>
      <c r="C234" s="80" t="str">
        <f t="shared" si="440"/>
        <v>天津</v>
      </c>
      <c r="D234" s="80" t="str">
        <f t="shared" si="441"/>
        <v>Professional</v>
      </c>
      <c r="E234" s="80">
        <f t="shared" si="442"/>
        <v>0</v>
      </c>
      <c r="F234" s="81">
        <f t="shared" si="443"/>
        <v>44250</v>
      </c>
      <c r="G234" s="81"/>
      <c r="H234" s="82" t="str">
        <f t="shared" si="444"/>
        <v>袁玉杰</v>
      </c>
      <c r="I234" s="83">
        <f t="shared" si="445"/>
        <v>0</v>
      </c>
      <c r="J234" s="82"/>
      <c r="K234" s="84"/>
      <c r="L234" s="84"/>
      <c r="M234" s="84"/>
      <c r="N234" s="84"/>
      <c r="O234" s="84"/>
      <c r="P234" s="84"/>
      <c r="Q234" s="84"/>
      <c r="R234" s="84"/>
      <c r="S234" s="84"/>
      <c r="T234" s="84"/>
      <c r="U234" s="84"/>
      <c r="V234" s="84"/>
      <c r="W234" s="85">
        <f t="shared" ref="W234:AH234" si="464">IF(VLOOKUP($H234,$H$15:$AH$46,W$16,FALSE)&gt;$AK$6,$AK$6*$AL$6,VLOOKUP($H234,$H$15:$AH$46,W$16,FALSE)*$AL$6)</f>
        <v>3064.71</v>
      </c>
      <c r="X234" s="85">
        <f t="shared" si="464"/>
        <v>3064.71</v>
      </c>
      <c r="Y234" s="85">
        <f t="shared" si="464"/>
        <v>0</v>
      </c>
      <c r="Z234" s="85">
        <f t="shared" si="464"/>
        <v>0</v>
      </c>
      <c r="AA234" s="85">
        <f t="shared" si="464"/>
        <v>0</v>
      </c>
      <c r="AB234" s="85">
        <f t="shared" si="464"/>
        <v>0</v>
      </c>
      <c r="AC234" s="85">
        <f t="shared" si="464"/>
        <v>0</v>
      </c>
      <c r="AD234" s="85">
        <f t="shared" si="464"/>
        <v>0</v>
      </c>
      <c r="AE234" s="85">
        <f t="shared" si="464"/>
        <v>0</v>
      </c>
      <c r="AF234" s="85">
        <f t="shared" si="464"/>
        <v>0</v>
      </c>
      <c r="AG234" s="85">
        <f t="shared" si="464"/>
        <v>0</v>
      </c>
      <c r="AH234" s="85">
        <f t="shared" si="464"/>
        <v>0</v>
      </c>
      <c r="AI234" s="86">
        <f t="shared" si="461"/>
        <v>6129.42</v>
      </c>
      <c r="AJ234" s="85">
        <f t="shared" ref="AJ234:AU234" si="465">IF(VLOOKUP($H234,$H$15:$AU$46,AJ$16,FALSE)&gt;$AK$6,$AK$6*$AL$6,VLOOKUP($H234,$H$15:$AU$46,AJ$16,FALSE)*$AL$6)</f>
        <v>3064.71</v>
      </c>
      <c r="AK234" s="85">
        <f t="shared" si="465"/>
        <v>3064.71</v>
      </c>
      <c r="AL234" s="85">
        <f t="shared" si="465"/>
        <v>3064.71</v>
      </c>
      <c r="AM234" s="85">
        <f t="shared" si="465"/>
        <v>3064.71</v>
      </c>
      <c r="AN234" s="85">
        <f t="shared" si="465"/>
        <v>3064.71</v>
      </c>
      <c r="AO234" s="85">
        <f t="shared" si="465"/>
        <v>3064.71</v>
      </c>
      <c r="AP234" s="85">
        <f t="shared" si="465"/>
        <v>3064.71</v>
      </c>
      <c r="AQ234" s="85">
        <f t="shared" si="465"/>
        <v>3064.71</v>
      </c>
      <c r="AR234" s="85">
        <f t="shared" si="465"/>
        <v>3064.71</v>
      </c>
      <c r="AS234" s="85">
        <f t="shared" si="465"/>
        <v>3064.71</v>
      </c>
      <c r="AT234" s="85">
        <f t="shared" si="465"/>
        <v>3064.71</v>
      </c>
      <c r="AU234" s="85">
        <f t="shared" si="465"/>
        <v>3064.71</v>
      </c>
      <c r="AV234" s="86">
        <f t="shared" si="463"/>
        <v>36776.519999999997</v>
      </c>
      <c r="AW234" s="87"/>
      <c r="AX234" s="88"/>
      <c r="AY234" s="88"/>
    </row>
    <row r="235" spans="1:51">
      <c r="A235" s="79" t="s">
        <v>3029</v>
      </c>
      <c r="B235" s="130" t="str">
        <f t="shared" si="439"/>
        <v>ACPLSZ</v>
      </c>
      <c r="C235" s="80" t="str">
        <f t="shared" si="440"/>
        <v>深圳户籍</v>
      </c>
      <c r="D235" s="80" t="str">
        <f t="shared" si="441"/>
        <v>Professional</v>
      </c>
      <c r="E235" s="80">
        <f t="shared" si="442"/>
        <v>0</v>
      </c>
      <c r="F235" s="81">
        <f t="shared" si="443"/>
        <v>39000</v>
      </c>
      <c r="G235" s="81"/>
      <c r="H235" s="82" t="str">
        <f t="shared" si="444"/>
        <v>何梅春</v>
      </c>
      <c r="I235" s="83">
        <f t="shared" si="445"/>
        <v>0</v>
      </c>
      <c r="J235" s="82"/>
      <c r="K235" s="84"/>
      <c r="L235" s="84"/>
      <c r="M235" s="84"/>
      <c r="N235" s="84"/>
      <c r="O235" s="84"/>
      <c r="P235" s="84"/>
      <c r="Q235" s="84"/>
      <c r="R235" s="84"/>
      <c r="S235" s="84"/>
      <c r="T235" s="84"/>
      <c r="U235" s="84"/>
      <c r="V235" s="84"/>
      <c r="W235" s="85">
        <f>30603*$AL$8</f>
        <v>3672.36</v>
      </c>
      <c r="X235" s="85">
        <f t="shared" ref="X235:AH235" si="466">30603*$AL$8</f>
        <v>3672.36</v>
      </c>
      <c r="Y235" s="85">
        <f t="shared" si="466"/>
        <v>3672.36</v>
      </c>
      <c r="Z235" s="85">
        <f t="shared" si="466"/>
        <v>3672.36</v>
      </c>
      <c r="AA235" s="85">
        <f t="shared" si="466"/>
        <v>3672.36</v>
      </c>
      <c r="AB235" s="85">
        <f t="shared" si="466"/>
        <v>3672.36</v>
      </c>
      <c r="AC235" s="85">
        <f t="shared" si="466"/>
        <v>3672.36</v>
      </c>
      <c r="AD235" s="85">
        <f t="shared" si="466"/>
        <v>3672.36</v>
      </c>
      <c r="AE235" s="85">
        <f t="shared" si="466"/>
        <v>3672.36</v>
      </c>
      <c r="AF235" s="85">
        <f t="shared" si="466"/>
        <v>3672.36</v>
      </c>
      <c r="AG235" s="85">
        <f t="shared" si="466"/>
        <v>3672.36</v>
      </c>
      <c r="AH235" s="85">
        <f t="shared" si="466"/>
        <v>3672.36</v>
      </c>
      <c r="AI235" s="86">
        <f t="shared" si="461"/>
        <v>44068.32</v>
      </c>
      <c r="AJ235" s="85">
        <f t="shared" ref="AJ235:AO235" si="467">30603*$AL$8</f>
        <v>3672.36</v>
      </c>
      <c r="AK235" s="85">
        <f t="shared" si="467"/>
        <v>3672.36</v>
      </c>
      <c r="AL235" s="85">
        <f t="shared" si="467"/>
        <v>3672.36</v>
      </c>
      <c r="AM235" s="85">
        <f t="shared" si="467"/>
        <v>3672.36</v>
      </c>
      <c r="AN235" s="85">
        <f t="shared" si="467"/>
        <v>3672.36</v>
      </c>
      <c r="AO235" s="85">
        <f t="shared" si="467"/>
        <v>3672.36</v>
      </c>
      <c r="AP235" s="85">
        <f t="shared" ref="AP235:AU235" si="468">IF(VLOOKUP($H235,$H$15:$AU$46,AP$16,FALSE)&gt;$AK$8,$AK$8*$AL$8,VLOOKUP($H235,$H$15:$AU$46,AP$16,FALSE)*$AL$8)</f>
        <v>4914</v>
      </c>
      <c r="AQ235" s="85">
        <f t="shared" si="468"/>
        <v>4914</v>
      </c>
      <c r="AR235" s="85">
        <f t="shared" si="468"/>
        <v>4914</v>
      </c>
      <c r="AS235" s="85">
        <f t="shared" si="468"/>
        <v>4914</v>
      </c>
      <c r="AT235" s="85">
        <f t="shared" si="468"/>
        <v>4914</v>
      </c>
      <c r="AU235" s="85">
        <f t="shared" si="468"/>
        <v>4914</v>
      </c>
      <c r="AV235" s="86">
        <f t="shared" si="463"/>
        <v>51518.16</v>
      </c>
      <c r="AW235" s="87"/>
      <c r="AX235" s="88"/>
      <c r="AY235" s="88"/>
    </row>
    <row r="236" spans="1:51">
      <c r="A236" s="79" t="s">
        <v>3029</v>
      </c>
      <c r="B236" s="130" t="str">
        <f t="shared" si="439"/>
        <v>ACPLSZ</v>
      </c>
      <c r="C236" s="80" t="str">
        <f t="shared" si="440"/>
        <v>非深圳户籍</v>
      </c>
      <c r="D236" s="80" t="str">
        <f t="shared" si="441"/>
        <v>Professional</v>
      </c>
      <c r="E236" s="80">
        <f t="shared" si="442"/>
        <v>0</v>
      </c>
      <c r="F236" s="81">
        <f t="shared" si="443"/>
        <v>26000</v>
      </c>
      <c r="G236" s="81"/>
      <c r="H236" s="82" t="str">
        <f t="shared" si="444"/>
        <v>闫凯</v>
      </c>
      <c r="I236" s="83">
        <f t="shared" si="445"/>
        <v>0</v>
      </c>
      <c r="J236" s="82"/>
      <c r="K236" s="84"/>
      <c r="L236" s="84"/>
      <c r="M236" s="84"/>
      <c r="N236" s="84"/>
      <c r="O236" s="84"/>
      <c r="P236" s="84"/>
      <c r="Q236" s="84"/>
      <c r="R236" s="84"/>
      <c r="S236" s="84"/>
      <c r="T236" s="84"/>
      <c r="U236" s="84"/>
      <c r="V236" s="84"/>
      <c r="W236" s="85">
        <f t="shared" ref="W236:AH236" si="469">IF(VLOOKUP($H236,$H$15:$AH$46,W$16,FALSE)&gt;$AK$9,$AK$9*$AL$9,VLOOKUP($H236,$H$15:$AH$46,W$16,FALSE)*$AL$9)</f>
        <v>3120</v>
      </c>
      <c r="X236" s="85">
        <f t="shared" si="469"/>
        <v>3120</v>
      </c>
      <c r="Y236" s="85">
        <f t="shared" si="469"/>
        <v>3120</v>
      </c>
      <c r="Z236" s="85">
        <f t="shared" si="469"/>
        <v>3120</v>
      </c>
      <c r="AA236" s="85">
        <f t="shared" si="469"/>
        <v>3120</v>
      </c>
      <c r="AB236" s="85">
        <f t="shared" si="469"/>
        <v>3120</v>
      </c>
      <c r="AC236" s="85">
        <f t="shared" si="469"/>
        <v>3120</v>
      </c>
      <c r="AD236" s="85">
        <f t="shared" si="469"/>
        <v>3120</v>
      </c>
      <c r="AE236" s="85">
        <f t="shared" si="469"/>
        <v>3120</v>
      </c>
      <c r="AF236" s="85">
        <f t="shared" si="469"/>
        <v>3120</v>
      </c>
      <c r="AG236" s="85">
        <f t="shared" si="469"/>
        <v>3120</v>
      </c>
      <c r="AH236" s="85">
        <f t="shared" si="469"/>
        <v>3120</v>
      </c>
      <c r="AI236" s="86">
        <f t="shared" si="461"/>
        <v>37440</v>
      </c>
      <c r="AJ236" s="85">
        <f t="shared" ref="AJ236:AU236" si="470">IF(VLOOKUP($H236,$H$15:$AU$46,AJ$16,FALSE)&gt;$AK$9,$AK$9*$AL$9,VLOOKUP($H236,$H$15:$AU$46,AJ$16,FALSE)*$AL$9)</f>
        <v>3276</v>
      </c>
      <c r="AK236" s="85">
        <f t="shared" si="470"/>
        <v>3276</v>
      </c>
      <c r="AL236" s="85">
        <f t="shared" si="470"/>
        <v>3276</v>
      </c>
      <c r="AM236" s="85">
        <f t="shared" si="470"/>
        <v>3276</v>
      </c>
      <c r="AN236" s="85">
        <f t="shared" si="470"/>
        <v>3276</v>
      </c>
      <c r="AO236" s="85">
        <f t="shared" si="470"/>
        <v>3276</v>
      </c>
      <c r="AP236" s="85">
        <f t="shared" si="470"/>
        <v>3276</v>
      </c>
      <c r="AQ236" s="85">
        <f t="shared" si="470"/>
        <v>3276</v>
      </c>
      <c r="AR236" s="85">
        <f t="shared" si="470"/>
        <v>3276</v>
      </c>
      <c r="AS236" s="85">
        <f t="shared" si="470"/>
        <v>3276</v>
      </c>
      <c r="AT236" s="85">
        <f t="shared" si="470"/>
        <v>3276</v>
      </c>
      <c r="AU236" s="85">
        <f t="shared" si="470"/>
        <v>3276</v>
      </c>
      <c r="AV236" s="86">
        <f t="shared" si="463"/>
        <v>39312</v>
      </c>
      <c r="AW236" s="87"/>
      <c r="AX236" s="88"/>
      <c r="AY236" s="88"/>
    </row>
    <row r="237" spans="1:51">
      <c r="A237" s="79" t="s">
        <v>3029</v>
      </c>
      <c r="B237" s="130" t="str">
        <f t="shared" si="439"/>
        <v>ACPLSZ</v>
      </c>
      <c r="C237" s="80" t="str">
        <f t="shared" si="440"/>
        <v>非深圳户籍</v>
      </c>
      <c r="D237" s="80" t="str">
        <f t="shared" si="441"/>
        <v>Professional</v>
      </c>
      <c r="E237" s="80">
        <f t="shared" si="442"/>
        <v>0</v>
      </c>
      <c r="F237" s="81">
        <f t="shared" si="443"/>
        <v>50000</v>
      </c>
      <c r="G237" s="81"/>
      <c r="H237" s="82" t="str">
        <f t="shared" si="444"/>
        <v>叶亚峰</v>
      </c>
      <c r="I237" s="83">
        <f t="shared" si="445"/>
        <v>0</v>
      </c>
      <c r="J237" s="82"/>
      <c r="K237" s="84"/>
      <c r="L237" s="84"/>
      <c r="M237" s="84"/>
      <c r="N237" s="84"/>
      <c r="O237" s="84"/>
      <c r="P237" s="84"/>
      <c r="Q237" s="84"/>
      <c r="R237" s="84"/>
      <c r="S237" s="84"/>
      <c r="T237" s="84"/>
      <c r="U237" s="84"/>
      <c r="V237" s="84"/>
      <c r="W237" s="85">
        <f t="shared" ref="W237:AH237" si="471">IF(VLOOKUP($H237,$H$15:$AH$46,W$16,FALSE)&gt;$AK$9,$AK$9*$AL$9,VLOOKUP($H237,$H$15:$AH$46,W$16,FALSE)*$AL$9)</f>
        <v>5311.8</v>
      </c>
      <c r="X237" s="85">
        <f t="shared" si="471"/>
        <v>5311.8</v>
      </c>
      <c r="Y237" s="85">
        <f t="shared" si="471"/>
        <v>5311.8</v>
      </c>
      <c r="Z237" s="85">
        <f t="shared" si="471"/>
        <v>5311.8</v>
      </c>
      <c r="AA237" s="85">
        <f t="shared" si="471"/>
        <v>5311.8</v>
      </c>
      <c r="AB237" s="85">
        <f t="shared" si="471"/>
        <v>5311.8</v>
      </c>
      <c r="AC237" s="85">
        <f t="shared" si="471"/>
        <v>5311.8</v>
      </c>
      <c r="AD237" s="85">
        <f t="shared" si="471"/>
        <v>5311.8</v>
      </c>
      <c r="AE237" s="85">
        <f t="shared" si="471"/>
        <v>5311.8</v>
      </c>
      <c r="AF237" s="85">
        <f t="shared" si="471"/>
        <v>5311.8</v>
      </c>
      <c r="AG237" s="85">
        <f t="shared" si="471"/>
        <v>5311.8</v>
      </c>
      <c r="AH237" s="85">
        <f t="shared" si="471"/>
        <v>5311.8</v>
      </c>
      <c r="AI237" s="86">
        <f t="shared" si="461"/>
        <v>63741.600000000013</v>
      </c>
      <c r="AJ237" s="85">
        <f t="shared" ref="AJ237:AU237" si="472">IF(VLOOKUP($H237,$H$15:$AU$46,AJ$16,FALSE)&gt;$AK$9,$AK$9*$AL$9,VLOOKUP($H237,$H$15:$AU$46,AJ$16,FALSE)*$AL$9)</f>
        <v>5311.8</v>
      </c>
      <c r="AK237" s="85">
        <f t="shared" si="472"/>
        <v>5311.8</v>
      </c>
      <c r="AL237" s="85">
        <f t="shared" si="472"/>
        <v>5311.8</v>
      </c>
      <c r="AM237" s="85">
        <f t="shared" si="472"/>
        <v>5311.8</v>
      </c>
      <c r="AN237" s="85">
        <f t="shared" si="472"/>
        <v>5311.8</v>
      </c>
      <c r="AO237" s="85">
        <f t="shared" si="472"/>
        <v>5311.8</v>
      </c>
      <c r="AP237" s="85">
        <f t="shared" si="472"/>
        <v>5311.8</v>
      </c>
      <c r="AQ237" s="85">
        <f t="shared" si="472"/>
        <v>5311.8</v>
      </c>
      <c r="AR237" s="85">
        <f t="shared" si="472"/>
        <v>5311.8</v>
      </c>
      <c r="AS237" s="85">
        <f t="shared" si="472"/>
        <v>5311.8</v>
      </c>
      <c r="AT237" s="85">
        <f t="shared" si="472"/>
        <v>5311.8</v>
      </c>
      <c r="AU237" s="85">
        <f t="shared" si="472"/>
        <v>5311.8</v>
      </c>
      <c r="AV237" s="86">
        <f t="shared" si="463"/>
        <v>63741.600000000013</v>
      </c>
      <c r="AW237" s="87"/>
      <c r="AX237" s="88"/>
      <c r="AY237" s="88"/>
    </row>
    <row r="238" spans="1:51">
      <c r="A238" s="79" t="s">
        <v>3029</v>
      </c>
      <c r="B238" s="93" t="str">
        <f t="shared" si="439"/>
        <v>ACPLSZ</v>
      </c>
      <c r="C238" s="80" t="str">
        <f t="shared" si="440"/>
        <v>北京户籍</v>
      </c>
      <c r="D238" s="80" t="str">
        <f t="shared" si="441"/>
        <v>Professional</v>
      </c>
      <c r="E238" s="80">
        <f t="shared" si="442"/>
        <v>0</v>
      </c>
      <c r="F238" s="82">
        <f t="shared" si="443"/>
        <v>90000</v>
      </c>
      <c r="G238" s="82"/>
      <c r="H238" s="82" t="str">
        <f t="shared" si="444"/>
        <v>张乃文</v>
      </c>
      <c r="I238" s="83">
        <f t="shared" si="445"/>
        <v>0.21428571428571419</v>
      </c>
      <c r="J238" s="82"/>
      <c r="K238" s="84"/>
      <c r="L238" s="84"/>
      <c r="M238" s="84"/>
      <c r="N238" s="84"/>
      <c r="O238" s="84"/>
      <c r="P238" s="84"/>
      <c r="Q238" s="84"/>
      <c r="R238" s="84"/>
      <c r="S238" s="84"/>
      <c r="T238" s="84"/>
      <c r="U238" s="84"/>
      <c r="V238" s="84"/>
      <c r="W238" s="85">
        <v>0</v>
      </c>
      <c r="X238" s="85">
        <v>0</v>
      </c>
      <c r="Y238" s="85">
        <v>0</v>
      </c>
      <c r="Z238" s="85">
        <v>0</v>
      </c>
      <c r="AA238" s="85">
        <v>0</v>
      </c>
      <c r="AB238" s="85">
        <v>0</v>
      </c>
      <c r="AC238" s="85">
        <v>0</v>
      </c>
      <c r="AD238" s="85">
        <v>0</v>
      </c>
      <c r="AE238" s="85">
        <v>0</v>
      </c>
      <c r="AF238" s="85">
        <v>0</v>
      </c>
      <c r="AG238" s="85">
        <v>0</v>
      </c>
      <c r="AH238" s="85">
        <v>0</v>
      </c>
      <c r="AI238" s="86">
        <f t="shared" si="461"/>
        <v>0</v>
      </c>
      <c r="AJ238" s="85">
        <v>0</v>
      </c>
      <c r="AK238" s="85">
        <v>0</v>
      </c>
      <c r="AL238" s="85">
        <v>0</v>
      </c>
      <c r="AM238" s="85">
        <v>0</v>
      </c>
      <c r="AN238" s="85">
        <v>0</v>
      </c>
      <c r="AO238" s="85">
        <v>0</v>
      </c>
      <c r="AP238" s="85">
        <v>0</v>
      </c>
      <c r="AQ238" s="85">
        <v>0</v>
      </c>
      <c r="AR238" s="85">
        <v>0</v>
      </c>
      <c r="AS238" s="85">
        <v>0</v>
      </c>
      <c r="AT238" s="85">
        <v>0</v>
      </c>
      <c r="AU238" s="85">
        <v>0</v>
      </c>
      <c r="AV238" s="86">
        <f t="shared" si="463"/>
        <v>0</v>
      </c>
      <c r="AW238" s="87"/>
      <c r="AX238" s="88"/>
      <c r="AY238" s="88"/>
    </row>
    <row r="239" spans="1:51">
      <c r="A239" s="79" t="s">
        <v>3029</v>
      </c>
      <c r="B239" s="93" t="str">
        <f t="shared" si="439"/>
        <v>ACPLSZ</v>
      </c>
      <c r="C239" s="80" t="str">
        <f t="shared" si="440"/>
        <v>北京户籍</v>
      </c>
      <c r="D239" s="80" t="str">
        <f t="shared" si="441"/>
        <v>Professional</v>
      </c>
      <c r="E239" s="80">
        <f t="shared" si="442"/>
        <v>0</v>
      </c>
      <c r="F239" s="82">
        <f t="shared" si="443"/>
        <v>30000</v>
      </c>
      <c r="G239" s="82"/>
      <c r="H239" s="82" t="str">
        <f t="shared" si="444"/>
        <v>邓天卓</v>
      </c>
      <c r="I239" s="83">
        <f t="shared" si="445"/>
        <v>0.33333333333333326</v>
      </c>
      <c r="J239" s="82"/>
      <c r="K239" s="84"/>
      <c r="L239" s="84"/>
      <c r="M239" s="84"/>
      <c r="N239" s="84"/>
      <c r="O239" s="84"/>
      <c r="P239" s="84"/>
      <c r="Q239" s="84"/>
      <c r="R239" s="84"/>
      <c r="S239" s="84"/>
      <c r="T239" s="84"/>
      <c r="U239" s="84"/>
      <c r="V239" s="84"/>
      <c r="W239" s="85">
        <f t="shared" ref="W239:AH239" si="473">IF(VLOOKUP($H239,$H$15:$AU$46,W$16,FALSE)&gt;$AK$5,$AK$5*$AL$5,VLOOKUP($H239,$H$15:$AU$46,W$16,FALSE)*$AL$5)</f>
        <v>3600</v>
      </c>
      <c r="X239" s="85">
        <f t="shared" si="473"/>
        <v>3600</v>
      </c>
      <c r="Y239" s="85">
        <f t="shared" si="473"/>
        <v>3600</v>
      </c>
      <c r="Z239" s="85">
        <f t="shared" si="473"/>
        <v>4297.32</v>
      </c>
      <c r="AA239" s="85">
        <f t="shared" si="473"/>
        <v>4297.32</v>
      </c>
      <c r="AB239" s="85">
        <f t="shared" si="473"/>
        <v>4297.32</v>
      </c>
      <c r="AC239" s="85">
        <f t="shared" si="473"/>
        <v>4297.32</v>
      </c>
      <c r="AD239" s="85">
        <f t="shared" si="473"/>
        <v>4297.32</v>
      </c>
      <c r="AE239" s="85">
        <f t="shared" si="473"/>
        <v>4297.32</v>
      </c>
      <c r="AF239" s="85">
        <f t="shared" si="473"/>
        <v>4297.32</v>
      </c>
      <c r="AG239" s="85">
        <f t="shared" si="473"/>
        <v>4297.32</v>
      </c>
      <c r="AH239" s="85">
        <f t="shared" si="473"/>
        <v>4297.32</v>
      </c>
      <c r="AI239" s="86">
        <f t="shared" si="461"/>
        <v>49475.88</v>
      </c>
      <c r="AJ239" s="85">
        <f t="shared" ref="AJ239:AU239" si="474">IF(VLOOKUP($H239,$H$15:$AU$46,AJ$16,FALSE)&gt;$AK$5,$AK$5*$AL$5,VLOOKUP($H239,$H$15:$AU$46,AJ$16,FALSE)*$AL$5)</f>
        <v>4297.32</v>
      </c>
      <c r="AK239" s="85">
        <f t="shared" si="474"/>
        <v>4297.32</v>
      </c>
      <c r="AL239" s="85">
        <f t="shared" si="474"/>
        <v>4297.32</v>
      </c>
      <c r="AM239" s="85">
        <f t="shared" si="474"/>
        <v>4297.32</v>
      </c>
      <c r="AN239" s="85">
        <f t="shared" si="474"/>
        <v>4297.32</v>
      </c>
      <c r="AO239" s="85">
        <f t="shared" si="474"/>
        <v>4297.32</v>
      </c>
      <c r="AP239" s="85">
        <f t="shared" si="474"/>
        <v>4297.32</v>
      </c>
      <c r="AQ239" s="85">
        <f t="shared" si="474"/>
        <v>4297.32</v>
      </c>
      <c r="AR239" s="85">
        <f t="shared" si="474"/>
        <v>4297.32</v>
      </c>
      <c r="AS239" s="85">
        <f t="shared" si="474"/>
        <v>4297.32</v>
      </c>
      <c r="AT239" s="85">
        <f t="shared" si="474"/>
        <v>4297.32</v>
      </c>
      <c r="AU239" s="85">
        <f t="shared" si="474"/>
        <v>4297.32</v>
      </c>
      <c r="AV239" s="86">
        <f t="shared" si="463"/>
        <v>51567.839999999997</v>
      </c>
      <c r="AW239" s="87"/>
      <c r="AX239" s="88"/>
      <c r="AY239" s="88"/>
    </row>
    <row r="240" spans="1:51">
      <c r="A240" s="79" t="s">
        <v>3029</v>
      </c>
      <c r="B240" s="93" t="str">
        <f t="shared" si="439"/>
        <v>ACPLSZ</v>
      </c>
      <c r="C240" s="80" t="str">
        <f t="shared" si="440"/>
        <v>北京户籍</v>
      </c>
      <c r="D240" s="80" t="str">
        <f t="shared" si="441"/>
        <v>Professional</v>
      </c>
      <c r="E240" s="80">
        <f t="shared" si="442"/>
        <v>0</v>
      </c>
      <c r="F240" s="82">
        <f t="shared" si="443"/>
        <v>50000</v>
      </c>
      <c r="G240" s="82"/>
      <c r="H240" s="82" t="str">
        <f t="shared" si="444"/>
        <v>王志强</v>
      </c>
      <c r="I240" s="83">
        <f t="shared" si="445"/>
        <v>0</v>
      </c>
      <c r="J240" s="82"/>
      <c r="K240" s="84"/>
      <c r="L240" s="84"/>
      <c r="M240" s="84"/>
      <c r="N240" s="84"/>
      <c r="O240" s="84"/>
      <c r="P240" s="84"/>
      <c r="Q240" s="84"/>
      <c r="R240" s="84"/>
      <c r="S240" s="84"/>
      <c r="T240" s="84"/>
      <c r="U240" s="84"/>
      <c r="V240" s="84"/>
      <c r="W240" s="85">
        <f t="shared" ref="W240:AH240" si="475">IF(VLOOKUP($H240,$H$15:$AU$46,W$16,FALSE)&gt;$AK$5,$AK$5*$AL$5,VLOOKUP($H240,$H$15:$AU$46,W$16,FALSE)*$AL$5)</f>
        <v>4297.32</v>
      </c>
      <c r="X240" s="85">
        <f t="shared" si="475"/>
        <v>4297.32</v>
      </c>
      <c r="Y240" s="85">
        <f t="shared" si="475"/>
        <v>4297.32</v>
      </c>
      <c r="Z240" s="85">
        <f t="shared" si="475"/>
        <v>4297.32</v>
      </c>
      <c r="AA240" s="85">
        <f t="shared" si="475"/>
        <v>4297.32</v>
      </c>
      <c r="AB240" s="85">
        <f t="shared" si="475"/>
        <v>4297.32</v>
      </c>
      <c r="AC240" s="85">
        <f t="shared" si="475"/>
        <v>4297.32</v>
      </c>
      <c r="AD240" s="85">
        <f t="shared" si="475"/>
        <v>4297.32</v>
      </c>
      <c r="AE240" s="85">
        <f t="shared" si="475"/>
        <v>4297.32</v>
      </c>
      <c r="AF240" s="85">
        <f t="shared" si="475"/>
        <v>4297.32</v>
      </c>
      <c r="AG240" s="85">
        <f t="shared" si="475"/>
        <v>4297.32</v>
      </c>
      <c r="AH240" s="85">
        <f t="shared" si="475"/>
        <v>4297.32</v>
      </c>
      <c r="AI240" s="86">
        <f t="shared" si="461"/>
        <v>51567.839999999997</v>
      </c>
      <c r="AJ240" s="85">
        <f t="shared" ref="AJ240:AU240" si="476">IF(VLOOKUP($H240,$H$15:$AU$46,AJ$16,FALSE)&gt;$AK$5,$AK$5*$AL$5,VLOOKUP($H240,$H$15:$AU$46,AJ$16,FALSE)*$AL$5)</f>
        <v>4297.32</v>
      </c>
      <c r="AK240" s="85">
        <f t="shared" si="476"/>
        <v>4297.32</v>
      </c>
      <c r="AL240" s="85">
        <f t="shared" si="476"/>
        <v>4297.32</v>
      </c>
      <c r="AM240" s="85">
        <f t="shared" si="476"/>
        <v>4297.32</v>
      </c>
      <c r="AN240" s="85">
        <f t="shared" si="476"/>
        <v>4297.32</v>
      </c>
      <c r="AO240" s="85">
        <f t="shared" si="476"/>
        <v>4297.32</v>
      </c>
      <c r="AP240" s="85">
        <f t="shared" si="476"/>
        <v>4297.32</v>
      </c>
      <c r="AQ240" s="85">
        <f t="shared" si="476"/>
        <v>4297.32</v>
      </c>
      <c r="AR240" s="85">
        <f t="shared" si="476"/>
        <v>4297.32</v>
      </c>
      <c r="AS240" s="85">
        <f t="shared" si="476"/>
        <v>4297.32</v>
      </c>
      <c r="AT240" s="85">
        <f t="shared" si="476"/>
        <v>4297.32</v>
      </c>
      <c r="AU240" s="85">
        <f t="shared" si="476"/>
        <v>4297.32</v>
      </c>
      <c r="AV240" s="86">
        <f t="shared" si="463"/>
        <v>51567.839999999997</v>
      </c>
      <c r="AW240" s="87"/>
      <c r="AX240" s="88"/>
      <c r="AY240" s="88"/>
    </row>
    <row r="241" spans="1:51">
      <c r="A241" s="79" t="s">
        <v>3029</v>
      </c>
      <c r="B241" s="93" t="str">
        <f t="shared" si="439"/>
        <v>ACPLSZ</v>
      </c>
      <c r="C241" s="80" t="str">
        <f t="shared" si="440"/>
        <v>上海户籍</v>
      </c>
      <c r="D241" s="80" t="str">
        <f t="shared" si="441"/>
        <v>Professional</v>
      </c>
      <c r="E241" s="80">
        <f t="shared" si="442"/>
        <v>0</v>
      </c>
      <c r="F241" s="82">
        <f t="shared" si="443"/>
        <v>90000</v>
      </c>
      <c r="G241" s="82"/>
      <c r="H241" s="82" t="str">
        <f t="shared" si="444"/>
        <v>顾顺聪</v>
      </c>
      <c r="I241" s="83">
        <f t="shared" si="445"/>
        <v>0</v>
      </c>
      <c r="J241" s="82"/>
      <c r="K241" s="84"/>
      <c r="L241" s="84"/>
      <c r="M241" s="84"/>
      <c r="N241" s="84"/>
      <c r="O241" s="84"/>
      <c r="P241" s="84"/>
      <c r="Q241" s="84"/>
      <c r="R241" s="84"/>
      <c r="S241" s="84"/>
      <c r="T241" s="84"/>
      <c r="U241" s="84"/>
      <c r="V241" s="84"/>
      <c r="W241" s="85">
        <v>0</v>
      </c>
      <c r="X241" s="85">
        <v>0</v>
      </c>
      <c r="Y241" s="85">
        <v>0</v>
      </c>
      <c r="Z241" s="85">
        <v>0</v>
      </c>
      <c r="AA241" s="85">
        <v>0</v>
      </c>
      <c r="AB241" s="85">
        <v>0</v>
      </c>
      <c r="AC241" s="85">
        <v>0</v>
      </c>
      <c r="AD241" s="85">
        <v>0</v>
      </c>
      <c r="AE241" s="85">
        <v>0</v>
      </c>
      <c r="AF241" s="85">
        <v>0</v>
      </c>
      <c r="AG241" s="85">
        <v>0</v>
      </c>
      <c r="AH241" s="85">
        <v>0</v>
      </c>
      <c r="AI241" s="86">
        <f t="shared" si="461"/>
        <v>0</v>
      </c>
      <c r="AJ241" s="85">
        <v>0</v>
      </c>
      <c r="AK241" s="85">
        <v>0</v>
      </c>
      <c r="AL241" s="85">
        <v>0</v>
      </c>
      <c r="AM241" s="85">
        <v>0</v>
      </c>
      <c r="AN241" s="85">
        <v>0</v>
      </c>
      <c r="AO241" s="85">
        <v>0</v>
      </c>
      <c r="AP241" s="85">
        <v>0</v>
      </c>
      <c r="AQ241" s="85">
        <v>0</v>
      </c>
      <c r="AR241" s="85">
        <v>0</v>
      </c>
      <c r="AS241" s="85">
        <v>0</v>
      </c>
      <c r="AT241" s="85">
        <v>0</v>
      </c>
      <c r="AU241" s="85">
        <v>0</v>
      </c>
      <c r="AV241" s="86">
        <f t="shared" si="463"/>
        <v>0</v>
      </c>
      <c r="AW241" s="87"/>
      <c r="AX241" s="88"/>
      <c r="AY241" s="88"/>
    </row>
    <row r="242" spans="1:51">
      <c r="A242" s="79" t="s">
        <v>3029</v>
      </c>
      <c r="B242" s="130" t="str">
        <f t="shared" si="439"/>
        <v>ACPSZL</v>
      </c>
      <c r="C242" s="80" t="str">
        <f t="shared" si="440"/>
        <v>深圳户籍</v>
      </c>
      <c r="D242" s="80" t="str">
        <f t="shared" si="441"/>
        <v>Professional</v>
      </c>
      <c r="E242" s="80">
        <f t="shared" si="442"/>
        <v>0</v>
      </c>
      <c r="F242" s="81">
        <f t="shared" si="443"/>
        <v>35000</v>
      </c>
      <c r="G242" s="81"/>
      <c r="H242" s="90" t="str">
        <f t="shared" si="444"/>
        <v>风资源工程师</v>
      </c>
      <c r="I242" s="83">
        <f t="shared" si="445"/>
        <v>0</v>
      </c>
      <c r="J242" s="82"/>
      <c r="K242" s="84"/>
      <c r="L242" s="84"/>
      <c r="M242" s="84"/>
      <c r="N242" s="84"/>
      <c r="O242" s="84"/>
      <c r="P242" s="84"/>
      <c r="Q242" s="84"/>
      <c r="R242" s="84"/>
      <c r="S242" s="84"/>
      <c r="T242" s="84"/>
      <c r="U242" s="84"/>
      <c r="V242" s="84"/>
      <c r="W242" s="85">
        <f t="shared" ref="W242:AH242" si="477">IF(VLOOKUP($H242,$H$15:$AH$46,W$16,FALSE)&gt;$AK$9,$AK$9*$AL$9,VLOOKUP($H242,$H$15:$AH$46,W$16,FALSE)*$AL$9)</f>
        <v>0</v>
      </c>
      <c r="X242" s="85">
        <f t="shared" si="477"/>
        <v>0</v>
      </c>
      <c r="Y242" s="85">
        <f t="shared" si="477"/>
        <v>0</v>
      </c>
      <c r="Z242" s="85">
        <f t="shared" si="477"/>
        <v>4200</v>
      </c>
      <c r="AA242" s="85">
        <f t="shared" si="477"/>
        <v>4200</v>
      </c>
      <c r="AB242" s="85">
        <f t="shared" si="477"/>
        <v>4200</v>
      </c>
      <c r="AC242" s="85">
        <f t="shared" si="477"/>
        <v>4200</v>
      </c>
      <c r="AD242" s="85">
        <f t="shared" si="477"/>
        <v>4200</v>
      </c>
      <c r="AE242" s="85">
        <f t="shared" si="477"/>
        <v>4200</v>
      </c>
      <c r="AF242" s="85">
        <f t="shared" si="477"/>
        <v>4200</v>
      </c>
      <c r="AG242" s="85">
        <f t="shared" si="477"/>
        <v>4200</v>
      </c>
      <c r="AH242" s="85">
        <f t="shared" si="477"/>
        <v>4200</v>
      </c>
      <c r="AI242" s="86">
        <f t="shared" si="461"/>
        <v>37800</v>
      </c>
      <c r="AJ242" s="85">
        <f t="shared" ref="AJ242:AU242" si="478">IF(VLOOKUP($H242,$H$15:$AU$46,AJ$16,FALSE)&gt;$AK$9,$AK$9*$AL$9,VLOOKUP($H242,$H$15:$AU$46,AJ$16,FALSE)*$AL$9)</f>
        <v>4410</v>
      </c>
      <c r="AK242" s="85">
        <f t="shared" si="478"/>
        <v>4410</v>
      </c>
      <c r="AL242" s="85">
        <f t="shared" si="478"/>
        <v>4410</v>
      </c>
      <c r="AM242" s="85">
        <f t="shared" si="478"/>
        <v>4410</v>
      </c>
      <c r="AN242" s="85">
        <f t="shared" si="478"/>
        <v>4410</v>
      </c>
      <c r="AO242" s="85">
        <f t="shared" si="478"/>
        <v>4410</v>
      </c>
      <c r="AP242" s="85">
        <f t="shared" si="478"/>
        <v>4410</v>
      </c>
      <c r="AQ242" s="85">
        <f t="shared" si="478"/>
        <v>4410</v>
      </c>
      <c r="AR242" s="85">
        <f t="shared" si="478"/>
        <v>4410</v>
      </c>
      <c r="AS242" s="85">
        <f t="shared" si="478"/>
        <v>4410</v>
      </c>
      <c r="AT242" s="85">
        <f t="shared" si="478"/>
        <v>4410</v>
      </c>
      <c r="AU242" s="85">
        <f t="shared" si="478"/>
        <v>4410</v>
      </c>
      <c r="AV242" s="86">
        <f t="shared" si="463"/>
        <v>52920</v>
      </c>
      <c r="AW242" s="87"/>
      <c r="AX242" s="88"/>
      <c r="AY242" s="88"/>
    </row>
    <row r="243" spans="1:51">
      <c r="A243" s="79" t="s">
        <v>3029</v>
      </c>
      <c r="B243" s="130" t="str">
        <f t="shared" si="439"/>
        <v>ACPLSZ</v>
      </c>
      <c r="C243" s="80" t="str">
        <f t="shared" si="440"/>
        <v>深圳户籍</v>
      </c>
      <c r="D243" s="80" t="str">
        <f t="shared" si="441"/>
        <v>Professional</v>
      </c>
      <c r="E243" s="80">
        <f t="shared" si="442"/>
        <v>0</v>
      </c>
      <c r="F243" s="82">
        <f t="shared" si="443"/>
        <v>33000</v>
      </c>
      <c r="G243" s="82"/>
      <c r="H243" s="90" t="str">
        <f t="shared" si="444"/>
        <v>电力交易员</v>
      </c>
      <c r="I243" s="83">
        <f t="shared" si="445"/>
        <v>0</v>
      </c>
      <c r="J243" s="82"/>
      <c r="K243" s="84"/>
      <c r="L243" s="84"/>
      <c r="M243" s="84"/>
      <c r="N243" s="84"/>
      <c r="O243" s="84"/>
      <c r="P243" s="84"/>
      <c r="Q243" s="84"/>
      <c r="R243" s="84"/>
      <c r="S243" s="84"/>
      <c r="T243" s="84"/>
      <c r="U243" s="84"/>
      <c r="V243" s="84"/>
      <c r="W243" s="85">
        <f t="shared" ref="W243:AH243" si="479">IF(VLOOKUP($H243,$H$15:$AH$46,W$16,FALSE)&gt;$AK$9,$AK$9*$AL$9,VLOOKUP($H243,$H$15:$AH$46,W$16,FALSE)*$AL$9)</f>
        <v>0</v>
      </c>
      <c r="X243" s="85">
        <f t="shared" si="479"/>
        <v>3960</v>
      </c>
      <c r="Y243" s="85">
        <f t="shared" si="479"/>
        <v>3960</v>
      </c>
      <c r="Z243" s="85">
        <f t="shared" si="479"/>
        <v>3960</v>
      </c>
      <c r="AA243" s="85">
        <f t="shared" si="479"/>
        <v>3960</v>
      </c>
      <c r="AB243" s="85">
        <f t="shared" si="479"/>
        <v>3960</v>
      </c>
      <c r="AC243" s="85">
        <f t="shared" si="479"/>
        <v>3960</v>
      </c>
      <c r="AD243" s="85">
        <f t="shared" si="479"/>
        <v>3960</v>
      </c>
      <c r="AE243" s="85">
        <f t="shared" si="479"/>
        <v>3960</v>
      </c>
      <c r="AF243" s="85">
        <f t="shared" si="479"/>
        <v>3960</v>
      </c>
      <c r="AG243" s="85">
        <f t="shared" si="479"/>
        <v>3960</v>
      </c>
      <c r="AH243" s="85">
        <f t="shared" si="479"/>
        <v>3960</v>
      </c>
      <c r="AI243" s="86">
        <f t="shared" si="461"/>
        <v>43560</v>
      </c>
      <c r="AJ243" s="85">
        <f t="shared" ref="AJ243:AU243" si="480">IF(VLOOKUP($H243,$H$15:$AU$46,AJ$16,FALSE)&gt;$AK$9,$AK$9*$AL$9,VLOOKUP($H243,$H$15:$AU$46,AJ$16,FALSE)*$AL$9)</f>
        <v>4158</v>
      </c>
      <c r="AK243" s="85">
        <f t="shared" si="480"/>
        <v>4158</v>
      </c>
      <c r="AL243" s="85">
        <f t="shared" si="480"/>
        <v>4158</v>
      </c>
      <c r="AM243" s="85">
        <f t="shared" si="480"/>
        <v>4158</v>
      </c>
      <c r="AN243" s="85">
        <f t="shared" si="480"/>
        <v>4158</v>
      </c>
      <c r="AO243" s="85">
        <f t="shared" si="480"/>
        <v>4158</v>
      </c>
      <c r="AP243" s="85">
        <f t="shared" si="480"/>
        <v>4158</v>
      </c>
      <c r="AQ243" s="85">
        <f t="shared" si="480"/>
        <v>4158</v>
      </c>
      <c r="AR243" s="85">
        <f t="shared" si="480"/>
        <v>4158</v>
      </c>
      <c r="AS243" s="85">
        <f t="shared" si="480"/>
        <v>4158</v>
      </c>
      <c r="AT243" s="85">
        <f t="shared" si="480"/>
        <v>4158</v>
      </c>
      <c r="AU243" s="85">
        <f t="shared" si="480"/>
        <v>4158</v>
      </c>
      <c r="AV243" s="86">
        <f t="shared" si="463"/>
        <v>49896</v>
      </c>
      <c r="AW243" s="87"/>
      <c r="AX243" s="88"/>
      <c r="AY243" s="88"/>
    </row>
    <row r="244" spans="1:51">
      <c r="A244" s="79" t="s">
        <v>3029</v>
      </c>
      <c r="B244" s="130" t="str">
        <f t="shared" si="439"/>
        <v>ACPLSZ</v>
      </c>
      <c r="C244" s="80" t="str">
        <f t="shared" si="440"/>
        <v>深圳户籍</v>
      </c>
      <c r="D244" s="80" t="str">
        <f t="shared" si="441"/>
        <v>Professional</v>
      </c>
      <c r="E244" s="80">
        <f t="shared" si="442"/>
        <v>0</v>
      </c>
      <c r="F244" s="82">
        <f t="shared" si="443"/>
        <v>60000</v>
      </c>
      <c r="G244" s="82"/>
      <c r="H244" s="90" t="str">
        <f t="shared" si="444"/>
        <v>律师</v>
      </c>
      <c r="I244" s="83">
        <f t="shared" si="445"/>
        <v>0</v>
      </c>
      <c r="J244" s="82"/>
      <c r="K244" s="84"/>
      <c r="L244" s="84"/>
      <c r="M244" s="84"/>
      <c r="N244" s="84"/>
      <c r="O244" s="84"/>
      <c r="P244" s="84"/>
      <c r="Q244" s="84"/>
      <c r="R244" s="84"/>
      <c r="S244" s="84"/>
      <c r="T244" s="84"/>
      <c r="U244" s="84"/>
      <c r="V244" s="84"/>
      <c r="W244" s="85">
        <f t="shared" ref="W244:AH244" si="481">IF(VLOOKUP($H244,$H$15:$AH$46,W$16,FALSE)&gt;$AK$9,$AK$9*$AL$9,VLOOKUP($H244,$H$15:$AH$46,W$16,FALSE)*$AL$9)</f>
        <v>0</v>
      </c>
      <c r="X244" s="85">
        <f t="shared" si="481"/>
        <v>0</v>
      </c>
      <c r="Y244" s="85">
        <f t="shared" si="481"/>
        <v>0</v>
      </c>
      <c r="Z244" s="85">
        <f t="shared" si="481"/>
        <v>0</v>
      </c>
      <c r="AA244" s="85">
        <f t="shared" si="481"/>
        <v>5311.8</v>
      </c>
      <c r="AB244" s="85">
        <f t="shared" si="481"/>
        <v>5311.8</v>
      </c>
      <c r="AC244" s="85">
        <f t="shared" si="481"/>
        <v>5311.8</v>
      </c>
      <c r="AD244" s="85">
        <f t="shared" si="481"/>
        <v>5311.8</v>
      </c>
      <c r="AE244" s="85">
        <f t="shared" si="481"/>
        <v>5311.8</v>
      </c>
      <c r="AF244" s="85">
        <f t="shared" si="481"/>
        <v>5311.8</v>
      </c>
      <c r="AG244" s="85">
        <f t="shared" si="481"/>
        <v>5311.8</v>
      </c>
      <c r="AH244" s="85">
        <f t="shared" si="481"/>
        <v>5311.8</v>
      </c>
      <c r="AI244" s="86">
        <f t="shared" si="461"/>
        <v>42494.400000000001</v>
      </c>
      <c r="AJ244" s="85">
        <f t="shared" ref="AJ244:AU244" si="482">IF(VLOOKUP($H244,$H$15:$AU$46,AJ$16,FALSE)&gt;$AK$9,$AK$9*$AL$9,VLOOKUP($H244,$H$15:$AU$46,AJ$16,FALSE)*$AL$9)</f>
        <v>5311.8</v>
      </c>
      <c r="AK244" s="85">
        <f t="shared" si="482"/>
        <v>5311.8</v>
      </c>
      <c r="AL244" s="85">
        <f t="shared" si="482"/>
        <v>5311.8</v>
      </c>
      <c r="AM244" s="85">
        <f t="shared" si="482"/>
        <v>5311.8</v>
      </c>
      <c r="AN244" s="85">
        <f t="shared" si="482"/>
        <v>5311.8</v>
      </c>
      <c r="AO244" s="85">
        <f t="shared" si="482"/>
        <v>5311.8</v>
      </c>
      <c r="AP244" s="85">
        <f t="shared" si="482"/>
        <v>5311.8</v>
      </c>
      <c r="AQ244" s="85">
        <f t="shared" si="482"/>
        <v>5311.8</v>
      </c>
      <c r="AR244" s="85">
        <f t="shared" si="482"/>
        <v>5311.8</v>
      </c>
      <c r="AS244" s="85">
        <f t="shared" si="482"/>
        <v>5311.8</v>
      </c>
      <c r="AT244" s="85">
        <f t="shared" si="482"/>
        <v>5311.8</v>
      </c>
      <c r="AU244" s="85">
        <f t="shared" si="482"/>
        <v>5311.8</v>
      </c>
      <c r="AV244" s="86">
        <f t="shared" si="463"/>
        <v>63741.600000000013</v>
      </c>
      <c r="AW244" s="87"/>
      <c r="AX244" s="88"/>
      <c r="AY244" s="88"/>
    </row>
    <row r="245" spans="1:51">
      <c r="A245" s="79" t="s">
        <v>3029</v>
      </c>
      <c r="B245" s="130" t="str">
        <f t="shared" si="439"/>
        <v>ACPLSZ</v>
      </c>
      <c r="C245" s="80" t="str">
        <f t="shared" si="440"/>
        <v>深圳户籍</v>
      </c>
      <c r="D245" s="80" t="str">
        <f t="shared" si="441"/>
        <v>Professional</v>
      </c>
      <c r="E245" s="80">
        <f t="shared" si="442"/>
        <v>0</v>
      </c>
      <c r="F245" s="82">
        <f t="shared" si="443"/>
        <v>26000</v>
      </c>
      <c r="G245" s="82"/>
      <c r="H245" s="90" t="str">
        <f t="shared" si="444"/>
        <v>区域副总</v>
      </c>
      <c r="I245" s="83">
        <f t="shared" si="445"/>
        <v>0</v>
      </c>
      <c r="J245" s="82"/>
      <c r="K245" s="84"/>
      <c r="L245" s="84"/>
      <c r="M245" s="84"/>
      <c r="N245" s="84"/>
      <c r="O245" s="84"/>
      <c r="P245" s="84"/>
      <c r="Q245" s="84"/>
      <c r="R245" s="84"/>
      <c r="S245" s="84"/>
      <c r="T245" s="84"/>
      <c r="U245" s="84"/>
      <c r="V245" s="84"/>
      <c r="W245" s="85">
        <f t="shared" ref="W245:AH245" si="483">IF(VLOOKUP($H245,$H$15:$AH$46,W$16,FALSE)&gt;$AK$9,$AK$9*$AL$9,VLOOKUP($H245,$H$15:$AH$46,W$16,FALSE)*$AL$9)</f>
        <v>0</v>
      </c>
      <c r="X245" s="85">
        <f t="shared" si="483"/>
        <v>0</v>
      </c>
      <c r="Y245" s="85">
        <f t="shared" si="483"/>
        <v>0</v>
      </c>
      <c r="Z245" s="85">
        <f t="shared" si="483"/>
        <v>0</v>
      </c>
      <c r="AA245" s="85">
        <f t="shared" si="483"/>
        <v>3120</v>
      </c>
      <c r="AB245" s="85">
        <f t="shared" si="483"/>
        <v>3120</v>
      </c>
      <c r="AC245" s="85">
        <f t="shared" si="483"/>
        <v>3120</v>
      </c>
      <c r="AD245" s="85">
        <f t="shared" si="483"/>
        <v>3120</v>
      </c>
      <c r="AE245" s="85">
        <f t="shared" si="483"/>
        <v>3120</v>
      </c>
      <c r="AF245" s="85">
        <f t="shared" si="483"/>
        <v>3120</v>
      </c>
      <c r="AG245" s="85">
        <f t="shared" si="483"/>
        <v>3120</v>
      </c>
      <c r="AH245" s="85">
        <f t="shared" si="483"/>
        <v>3120</v>
      </c>
      <c r="AI245" s="86">
        <f t="shared" si="461"/>
        <v>24960</v>
      </c>
      <c r="AJ245" s="85">
        <f t="shared" ref="AJ245:AU245" si="484">IF(VLOOKUP($H245,$H$15:$AU$46,AJ$16,FALSE)&gt;$AK$9,$AK$9*$AL$9,VLOOKUP($H245,$H$15:$AU$46,AJ$16,FALSE)*$AL$9)</f>
        <v>3276</v>
      </c>
      <c r="AK245" s="85">
        <f t="shared" si="484"/>
        <v>3276</v>
      </c>
      <c r="AL245" s="85">
        <f t="shared" si="484"/>
        <v>3276</v>
      </c>
      <c r="AM245" s="85">
        <f t="shared" si="484"/>
        <v>3276</v>
      </c>
      <c r="AN245" s="85">
        <f t="shared" si="484"/>
        <v>3276</v>
      </c>
      <c r="AO245" s="85">
        <f t="shared" si="484"/>
        <v>3276</v>
      </c>
      <c r="AP245" s="85">
        <f t="shared" si="484"/>
        <v>3276</v>
      </c>
      <c r="AQ245" s="85">
        <f t="shared" si="484"/>
        <v>3276</v>
      </c>
      <c r="AR245" s="85">
        <f t="shared" si="484"/>
        <v>3276</v>
      </c>
      <c r="AS245" s="85">
        <f t="shared" si="484"/>
        <v>3276</v>
      </c>
      <c r="AT245" s="85">
        <f t="shared" si="484"/>
        <v>3276</v>
      </c>
      <c r="AU245" s="85">
        <f t="shared" si="484"/>
        <v>3276</v>
      </c>
      <c r="AV245" s="86">
        <f t="shared" si="463"/>
        <v>39312</v>
      </c>
      <c r="AW245" s="87"/>
      <c r="AX245" s="88"/>
      <c r="AY245" s="88"/>
    </row>
    <row r="246" spans="1:51">
      <c r="A246" s="79" t="s">
        <v>3029</v>
      </c>
      <c r="B246" s="130" t="str">
        <f t="shared" ref="B246:F246" si="485">B37</f>
        <v>ACPLSZ</v>
      </c>
      <c r="C246" s="80" t="str">
        <f t="shared" si="485"/>
        <v>深圳户籍</v>
      </c>
      <c r="D246" s="80" t="str">
        <f t="shared" si="485"/>
        <v>Professional</v>
      </c>
      <c r="E246" s="80">
        <f t="shared" si="485"/>
        <v>0</v>
      </c>
      <c r="F246" s="82">
        <f t="shared" si="485"/>
        <v>17000</v>
      </c>
      <c r="G246" s="82"/>
      <c r="H246" s="90" t="str">
        <f t="shared" ref="H246:I246" si="486">H37</f>
        <v>项目会计</v>
      </c>
      <c r="I246" s="83">
        <f t="shared" si="486"/>
        <v>0</v>
      </c>
      <c r="J246" s="82"/>
      <c r="K246" s="84"/>
      <c r="L246" s="84"/>
      <c r="M246" s="84"/>
      <c r="N246" s="84"/>
      <c r="O246" s="84"/>
      <c r="P246" s="84"/>
      <c r="Q246" s="84"/>
      <c r="R246" s="84"/>
      <c r="S246" s="84"/>
      <c r="T246" s="84"/>
      <c r="U246" s="84"/>
      <c r="V246" s="84"/>
      <c r="W246" s="85">
        <f t="shared" ref="W246:AH249" si="487">IF(VLOOKUP($H246,$H$15:$AH$46,W$16,FALSE)&gt;$AK$9,$AK$9*$AL$9,VLOOKUP($H246,$H$15:$AH$46,W$16,FALSE)*$AL$9)</f>
        <v>0</v>
      </c>
      <c r="X246" s="85">
        <f t="shared" si="487"/>
        <v>0</v>
      </c>
      <c r="Y246" s="85">
        <f t="shared" si="487"/>
        <v>0</v>
      </c>
      <c r="Z246" s="85">
        <f t="shared" si="487"/>
        <v>0</v>
      </c>
      <c r="AA246" s="85">
        <f t="shared" si="487"/>
        <v>0</v>
      </c>
      <c r="AB246" s="85">
        <f t="shared" si="487"/>
        <v>0</v>
      </c>
      <c r="AC246" s="85">
        <f t="shared" si="487"/>
        <v>0</v>
      </c>
      <c r="AD246" s="85">
        <f t="shared" si="487"/>
        <v>2040</v>
      </c>
      <c r="AE246" s="85">
        <f t="shared" si="487"/>
        <v>2040</v>
      </c>
      <c r="AF246" s="85">
        <f t="shared" si="487"/>
        <v>2040</v>
      </c>
      <c r="AG246" s="85">
        <f t="shared" si="487"/>
        <v>2040</v>
      </c>
      <c r="AH246" s="85">
        <f t="shared" si="487"/>
        <v>2040</v>
      </c>
      <c r="AI246" s="86">
        <f t="shared" ref="AI246:AI247" si="488">SUM(W246:AH246)</f>
        <v>10200</v>
      </c>
      <c r="AJ246" s="85">
        <f t="shared" ref="AJ246:AU246" si="489">IF(VLOOKUP($H246,$H$15:$AU$46,AJ$16,FALSE)&gt;$AK$9,$AK$9*$AL$9,VLOOKUP($H246,$H$15:$AU$46,AJ$16,FALSE)*$AL$9)</f>
        <v>4284</v>
      </c>
      <c r="AK246" s="85">
        <f t="shared" si="489"/>
        <v>4284</v>
      </c>
      <c r="AL246" s="85">
        <f t="shared" si="489"/>
        <v>4284</v>
      </c>
      <c r="AM246" s="85">
        <f t="shared" si="489"/>
        <v>4284</v>
      </c>
      <c r="AN246" s="85">
        <f t="shared" si="489"/>
        <v>4284</v>
      </c>
      <c r="AO246" s="85">
        <f t="shared" si="489"/>
        <v>4284</v>
      </c>
      <c r="AP246" s="85">
        <f t="shared" si="489"/>
        <v>4284</v>
      </c>
      <c r="AQ246" s="85">
        <f t="shared" si="489"/>
        <v>4284</v>
      </c>
      <c r="AR246" s="85">
        <f t="shared" si="489"/>
        <v>4284</v>
      </c>
      <c r="AS246" s="85">
        <f t="shared" si="489"/>
        <v>4284</v>
      </c>
      <c r="AT246" s="85">
        <f t="shared" si="489"/>
        <v>4284</v>
      </c>
      <c r="AU246" s="85">
        <f t="shared" si="489"/>
        <v>4284</v>
      </c>
      <c r="AV246" s="86">
        <f t="shared" si="463"/>
        <v>51408</v>
      </c>
      <c r="AW246" s="87"/>
      <c r="AX246" s="88"/>
      <c r="AY246" s="88"/>
    </row>
    <row r="247" spans="1:51">
      <c r="A247" s="79" t="s">
        <v>3029</v>
      </c>
      <c r="B247" s="130" t="str">
        <f t="shared" ref="B247:F247" si="490">B38</f>
        <v>ACPLSZ</v>
      </c>
      <c r="C247" s="80" t="str">
        <f t="shared" si="490"/>
        <v>深圳户籍</v>
      </c>
      <c r="D247" s="80" t="str">
        <f t="shared" si="490"/>
        <v>Professional</v>
      </c>
      <c r="E247" s="80">
        <f t="shared" si="490"/>
        <v>0</v>
      </c>
      <c r="F247" s="82">
        <f t="shared" si="490"/>
        <v>12000</v>
      </c>
      <c r="G247" s="82"/>
      <c r="H247" s="90" t="str">
        <f t="shared" ref="H247:I247" si="491">H38</f>
        <v>档案管理员</v>
      </c>
      <c r="I247" s="83">
        <f t="shared" si="491"/>
        <v>0</v>
      </c>
      <c r="J247" s="82"/>
      <c r="K247" s="84"/>
      <c r="L247" s="84"/>
      <c r="M247" s="84"/>
      <c r="N247" s="84"/>
      <c r="O247" s="84"/>
      <c r="P247" s="84"/>
      <c r="Q247" s="84"/>
      <c r="R247" s="84"/>
      <c r="S247" s="84"/>
      <c r="T247" s="84"/>
      <c r="U247" s="84"/>
      <c r="V247" s="84"/>
      <c r="W247" s="85">
        <f t="shared" si="487"/>
        <v>0</v>
      </c>
      <c r="X247" s="85">
        <f t="shared" si="487"/>
        <v>0</v>
      </c>
      <c r="Y247" s="85">
        <f t="shared" si="487"/>
        <v>0</v>
      </c>
      <c r="Z247" s="85">
        <f t="shared" si="487"/>
        <v>0</v>
      </c>
      <c r="AA247" s="85">
        <f t="shared" si="487"/>
        <v>0</v>
      </c>
      <c r="AB247" s="85">
        <f t="shared" si="487"/>
        <v>0</v>
      </c>
      <c r="AC247" s="85">
        <f t="shared" si="487"/>
        <v>0</v>
      </c>
      <c r="AD247" s="85">
        <f t="shared" si="487"/>
        <v>0</v>
      </c>
      <c r="AE247" s="85">
        <f t="shared" si="487"/>
        <v>0</v>
      </c>
      <c r="AF247" s="85">
        <f t="shared" si="487"/>
        <v>0</v>
      </c>
      <c r="AG247" s="85">
        <f t="shared" si="487"/>
        <v>0</v>
      </c>
      <c r="AH247" s="85">
        <f t="shared" si="487"/>
        <v>1440</v>
      </c>
      <c r="AI247" s="86">
        <f t="shared" si="488"/>
        <v>1440</v>
      </c>
      <c r="AJ247" s="85">
        <f t="shared" ref="AJ247:AU249" si="492">IF(VLOOKUP($H247,$H$15:$AU$46,AJ$16,FALSE)&gt;$AK$9,$AK$9*$AL$9,VLOOKUP($H247,$H$15:$AU$46,AJ$16,FALSE)*$AL$9)</f>
        <v>1512</v>
      </c>
      <c r="AK247" s="85">
        <f t="shared" si="492"/>
        <v>1512</v>
      </c>
      <c r="AL247" s="85">
        <f t="shared" si="492"/>
        <v>1512</v>
      </c>
      <c r="AM247" s="85">
        <f t="shared" si="492"/>
        <v>1512</v>
      </c>
      <c r="AN247" s="85">
        <f t="shared" si="492"/>
        <v>1512</v>
      </c>
      <c r="AO247" s="85">
        <f t="shared" si="492"/>
        <v>1512</v>
      </c>
      <c r="AP247" s="85">
        <f t="shared" si="492"/>
        <v>1512</v>
      </c>
      <c r="AQ247" s="85">
        <f t="shared" si="492"/>
        <v>1512</v>
      </c>
      <c r="AR247" s="85">
        <f t="shared" si="492"/>
        <v>1512</v>
      </c>
      <c r="AS247" s="85">
        <f t="shared" si="492"/>
        <v>1512</v>
      </c>
      <c r="AT247" s="85">
        <f t="shared" si="492"/>
        <v>1512</v>
      </c>
      <c r="AU247" s="85">
        <f t="shared" si="492"/>
        <v>1512</v>
      </c>
      <c r="AV247" s="86">
        <f t="shared" si="463"/>
        <v>18144</v>
      </c>
      <c r="AW247" s="87"/>
      <c r="AX247" s="88"/>
      <c r="AY247" s="88"/>
    </row>
    <row r="248" spans="1:51">
      <c r="A248" s="79" t="s">
        <v>3029</v>
      </c>
      <c r="B248" s="130" t="str">
        <f t="shared" ref="B248:F248" si="493">B39</f>
        <v>ACPLSZ</v>
      </c>
      <c r="C248" s="80" t="str">
        <f t="shared" si="493"/>
        <v>北京户籍</v>
      </c>
      <c r="D248" s="80" t="str">
        <f t="shared" si="493"/>
        <v>Professional</v>
      </c>
      <c r="E248" s="80">
        <f t="shared" si="493"/>
        <v>0</v>
      </c>
      <c r="F248" s="82">
        <f t="shared" si="493"/>
        <v>100000</v>
      </c>
      <c r="G248" s="82"/>
      <c r="H248" s="82" t="str">
        <f t="shared" ref="H248:I248" si="494">H39</f>
        <v>Head of Origination</v>
      </c>
      <c r="I248" s="83">
        <f t="shared" si="494"/>
        <v>0</v>
      </c>
      <c r="J248" s="82"/>
      <c r="K248" s="84"/>
      <c r="L248" s="84"/>
      <c r="M248" s="84"/>
      <c r="N248" s="84"/>
      <c r="O248" s="84"/>
      <c r="P248" s="84"/>
      <c r="Q248" s="84"/>
      <c r="R248" s="84"/>
      <c r="S248" s="84"/>
      <c r="T248" s="84"/>
      <c r="U248" s="84"/>
      <c r="V248" s="84"/>
      <c r="W248" s="85">
        <f t="shared" si="487"/>
        <v>0</v>
      </c>
      <c r="X248" s="85">
        <f t="shared" si="487"/>
        <v>0</v>
      </c>
      <c r="Y248" s="85">
        <f t="shared" si="487"/>
        <v>0</v>
      </c>
      <c r="Z248" s="85">
        <f t="shared" si="487"/>
        <v>0</v>
      </c>
      <c r="AA248" s="85">
        <f t="shared" si="487"/>
        <v>5311.8</v>
      </c>
      <c r="AB248" s="85">
        <f t="shared" si="487"/>
        <v>5311.8</v>
      </c>
      <c r="AC248" s="85">
        <f t="shared" si="487"/>
        <v>5311.8</v>
      </c>
      <c r="AD248" s="85">
        <f t="shared" si="487"/>
        <v>5311.8</v>
      </c>
      <c r="AE248" s="85">
        <f t="shared" si="487"/>
        <v>5311.8</v>
      </c>
      <c r="AF248" s="85">
        <f t="shared" si="487"/>
        <v>5311.8</v>
      </c>
      <c r="AG248" s="85">
        <f t="shared" si="487"/>
        <v>5311.8</v>
      </c>
      <c r="AH248" s="85">
        <f t="shared" si="487"/>
        <v>5311.8</v>
      </c>
      <c r="AI248" s="86">
        <f t="shared" ref="AI248:AI249" si="495">SUM(W248:AH248)</f>
        <v>42494.400000000001</v>
      </c>
      <c r="AJ248" s="85">
        <f t="shared" si="492"/>
        <v>5311.8</v>
      </c>
      <c r="AK248" s="85">
        <f t="shared" si="492"/>
        <v>5311.8</v>
      </c>
      <c r="AL248" s="85">
        <f t="shared" si="492"/>
        <v>5311.8</v>
      </c>
      <c r="AM248" s="85">
        <f t="shared" si="492"/>
        <v>5311.8</v>
      </c>
      <c r="AN248" s="85">
        <f t="shared" si="492"/>
        <v>5311.8</v>
      </c>
      <c r="AO248" s="85">
        <f t="shared" si="492"/>
        <v>5311.8</v>
      </c>
      <c r="AP248" s="85">
        <f t="shared" si="492"/>
        <v>5311.8</v>
      </c>
      <c r="AQ248" s="85">
        <f t="shared" si="492"/>
        <v>5311.8</v>
      </c>
      <c r="AR248" s="85">
        <f t="shared" si="492"/>
        <v>5311.8</v>
      </c>
      <c r="AS248" s="85">
        <f t="shared" si="492"/>
        <v>5311.8</v>
      </c>
      <c r="AT248" s="85">
        <f t="shared" si="492"/>
        <v>5311.8</v>
      </c>
      <c r="AU248" s="85">
        <f t="shared" si="492"/>
        <v>5311.8</v>
      </c>
      <c r="AV248" s="86">
        <f t="shared" ref="AV248:AV249" si="496">SUM(AJ248:AU248)</f>
        <v>63741.600000000013</v>
      </c>
      <c r="AW248" s="87"/>
      <c r="AX248" s="88"/>
      <c r="AY248" s="88"/>
    </row>
    <row r="249" spans="1:51">
      <c r="A249" s="79" t="s">
        <v>3029</v>
      </c>
      <c r="B249" s="130" t="str">
        <f t="shared" ref="B249:F249" si="497">B40</f>
        <v>ACPLSZ</v>
      </c>
      <c r="C249" s="80" t="str">
        <f t="shared" si="497"/>
        <v>北京户籍</v>
      </c>
      <c r="D249" s="80" t="str">
        <f t="shared" si="497"/>
        <v>Professional</v>
      </c>
      <c r="E249" s="80">
        <f t="shared" si="497"/>
        <v>0</v>
      </c>
      <c r="F249" s="82">
        <f t="shared" si="497"/>
        <v>80000</v>
      </c>
      <c r="G249" s="82"/>
      <c r="H249" s="82" t="str">
        <f t="shared" ref="H249:I249" si="498">H40</f>
        <v>Op Partner - ZJX</v>
      </c>
      <c r="I249" s="83">
        <f t="shared" si="498"/>
        <v>0</v>
      </c>
      <c r="J249" s="82"/>
      <c r="K249" s="84"/>
      <c r="L249" s="84"/>
      <c r="M249" s="84"/>
      <c r="N249" s="84"/>
      <c r="O249" s="84"/>
      <c r="P249" s="84"/>
      <c r="Q249" s="84"/>
      <c r="R249" s="84"/>
      <c r="S249" s="84"/>
      <c r="T249" s="84"/>
      <c r="U249" s="84"/>
      <c r="V249" s="84"/>
      <c r="W249" s="85">
        <f t="shared" si="487"/>
        <v>0</v>
      </c>
      <c r="X249" s="85">
        <f t="shared" si="487"/>
        <v>0</v>
      </c>
      <c r="Y249" s="85">
        <f t="shared" si="487"/>
        <v>0</v>
      </c>
      <c r="Z249" s="85">
        <f t="shared" si="487"/>
        <v>0</v>
      </c>
      <c r="AA249" s="85">
        <f t="shared" si="487"/>
        <v>5311.8</v>
      </c>
      <c r="AB249" s="85">
        <f t="shared" si="487"/>
        <v>5311.8</v>
      </c>
      <c r="AC249" s="85">
        <f t="shared" si="487"/>
        <v>5311.8</v>
      </c>
      <c r="AD249" s="85">
        <f t="shared" si="487"/>
        <v>5311.8</v>
      </c>
      <c r="AE249" s="85">
        <f t="shared" si="487"/>
        <v>5311.8</v>
      </c>
      <c r="AF249" s="85">
        <f t="shared" si="487"/>
        <v>5311.8</v>
      </c>
      <c r="AG249" s="85">
        <f t="shared" si="487"/>
        <v>5311.8</v>
      </c>
      <c r="AH249" s="85">
        <f t="shared" si="487"/>
        <v>5311.8</v>
      </c>
      <c r="AI249" s="86">
        <f t="shared" si="495"/>
        <v>42494.400000000001</v>
      </c>
      <c r="AJ249" s="85">
        <f t="shared" si="492"/>
        <v>5311.8</v>
      </c>
      <c r="AK249" s="85">
        <f t="shared" si="492"/>
        <v>5311.8</v>
      </c>
      <c r="AL249" s="85">
        <f t="shared" si="492"/>
        <v>5311.8</v>
      </c>
      <c r="AM249" s="85">
        <f t="shared" si="492"/>
        <v>5311.8</v>
      </c>
      <c r="AN249" s="85">
        <f t="shared" si="492"/>
        <v>5311.8</v>
      </c>
      <c r="AO249" s="85">
        <f t="shared" si="492"/>
        <v>5311.8</v>
      </c>
      <c r="AP249" s="85">
        <f t="shared" si="492"/>
        <v>5311.8</v>
      </c>
      <c r="AQ249" s="85">
        <f t="shared" si="492"/>
        <v>5311.8</v>
      </c>
      <c r="AR249" s="85">
        <f t="shared" si="492"/>
        <v>5311.8</v>
      </c>
      <c r="AS249" s="85">
        <f t="shared" si="492"/>
        <v>5311.8</v>
      </c>
      <c r="AT249" s="85">
        <f t="shared" si="492"/>
        <v>5311.8</v>
      </c>
      <c r="AU249" s="85">
        <f t="shared" si="492"/>
        <v>5311.8</v>
      </c>
      <c r="AV249" s="86">
        <f t="shared" si="496"/>
        <v>63741.600000000013</v>
      </c>
      <c r="AW249" s="87"/>
      <c r="AX249" s="88"/>
      <c r="AY249" s="88"/>
    </row>
    <row r="250" spans="1:51">
      <c r="A250" s="79" t="s">
        <v>3029</v>
      </c>
      <c r="B250" s="130" t="str">
        <f t="shared" ref="B250:F250" si="499">B41</f>
        <v>ACPLSZ</v>
      </c>
      <c r="C250" s="80">
        <f t="shared" si="499"/>
        <v>0</v>
      </c>
      <c r="D250" s="80">
        <f t="shared" si="499"/>
        <v>0</v>
      </c>
      <c r="E250" s="80">
        <f t="shared" si="499"/>
        <v>0</v>
      </c>
      <c r="F250" s="82">
        <f t="shared" si="499"/>
        <v>0</v>
      </c>
      <c r="G250" s="82"/>
      <c r="H250" s="82">
        <f t="shared" ref="H250:I250" si="500">H41</f>
        <v>0</v>
      </c>
      <c r="I250" s="83">
        <f t="shared" si="500"/>
        <v>0</v>
      </c>
      <c r="J250" s="82"/>
      <c r="K250" s="84"/>
      <c r="L250" s="84"/>
      <c r="M250" s="84"/>
      <c r="N250" s="84"/>
      <c r="O250" s="84"/>
      <c r="P250" s="84"/>
      <c r="Q250" s="84"/>
      <c r="R250" s="84"/>
      <c r="S250" s="84"/>
      <c r="T250" s="84"/>
      <c r="U250" s="84"/>
      <c r="V250" s="84"/>
      <c r="W250" s="85"/>
      <c r="X250" s="85"/>
      <c r="Y250" s="85"/>
      <c r="Z250" s="85"/>
      <c r="AA250" s="85"/>
      <c r="AB250" s="85"/>
      <c r="AC250" s="85"/>
      <c r="AD250" s="85"/>
      <c r="AE250" s="85"/>
      <c r="AF250" s="85"/>
      <c r="AG250" s="85"/>
      <c r="AH250" s="85"/>
      <c r="AI250" s="86"/>
      <c r="AJ250" s="85"/>
      <c r="AK250" s="85"/>
      <c r="AL250" s="85"/>
      <c r="AM250" s="85"/>
      <c r="AN250" s="85"/>
      <c r="AO250" s="85"/>
      <c r="AP250" s="85"/>
      <c r="AQ250" s="85"/>
      <c r="AR250" s="85"/>
      <c r="AS250" s="85"/>
      <c r="AT250" s="85"/>
      <c r="AU250" s="85"/>
      <c r="AV250" s="86"/>
      <c r="AW250" s="87"/>
      <c r="AX250" s="88"/>
      <c r="AY250" s="88"/>
    </row>
    <row r="251" spans="1:51">
      <c r="A251" s="79" t="s">
        <v>3029</v>
      </c>
      <c r="B251" s="130">
        <f t="shared" ref="B251:F251" si="501">B42</f>
        <v>0</v>
      </c>
      <c r="C251" s="80">
        <f t="shared" si="501"/>
        <v>0</v>
      </c>
      <c r="D251" s="80">
        <f t="shared" si="501"/>
        <v>0</v>
      </c>
      <c r="E251" s="80">
        <f t="shared" si="501"/>
        <v>0</v>
      </c>
      <c r="F251" s="82">
        <f t="shared" si="501"/>
        <v>0</v>
      </c>
      <c r="G251" s="82"/>
      <c r="H251" s="82">
        <f t="shared" ref="H251:I251" si="502">H42</f>
        <v>0</v>
      </c>
      <c r="I251" s="83">
        <f t="shared" si="502"/>
        <v>0</v>
      </c>
      <c r="J251" s="82"/>
      <c r="K251" s="84"/>
      <c r="L251" s="84"/>
      <c r="M251" s="84"/>
      <c r="N251" s="84"/>
      <c r="O251" s="84"/>
      <c r="P251" s="84"/>
      <c r="Q251" s="84"/>
      <c r="R251" s="84"/>
      <c r="S251" s="84"/>
      <c r="T251" s="84"/>
      <c r="U251" s="84"/>
      <c r="V251" s="84"/>
      <c r="W251" s="85"/>
      <c r="X251" s="85"/>
      <c r="Y251" s="85"/>
      <c r="Z251" s="85"/>
      <c r="AA251" s="85"/>
      <c r="AB251" s="85"/>
      <c r="AC251" s="85"/>
      <c r="AD251" s="85"/>
      <c r="AE251" s="85"/>
      <c r="AF251" s="85"/>
      <c r="AG251" s="85"/>
      <c r="AH251" s="85"/>
      <c r="AI251" s="86"/>
      <c r="AJ251" s="85"/>
      <c r="AK251" s="85"/>
      <c r="AL251" s="85"/>
      <c r="AM251" s="85"/>
      <c r="AN251" s="85"/>
      <c r="AO251" s="85"/>
      <c r="AP251" s="85"/>
      <c r="AQ251" s="85"/>
      <c r="AR251" s="85"/>
      <c r="AS251" s="85"/>
      <c r="AT251" s="85"/>
      <c r="AU251" s="85"/>
      <c r="AV251" s="86"/>
      <c r="AW251" s="87"/>
      <c r="AX251" s="88"/>
      <c r="AY251" s="88"/>
    </row>
    <row r="252" spans="1:51">
      <c r="A252" s="79" t="s">
        <v>3029</v>
      </c>
      <c r="B252" s="130">
        <f t="shared" ref="B252:F252" si="503">B43</f>
        <v>0</v>
      </c>
      <c r="C252" s="80">
        <f t="shared" si="503"/>
        <v>0</v>
      </c>
      <c r="D252" s="80">
        <f t="shared" si="503"/>
        <v>0</v>
      </c>
      <c r="E252" s="80">
        <f t="shared" si="503"/>
        <v>0</v>
      </c>
      <c r="F252" s="82">
        <f t="shared" si="503"/>
        <v>0</v>
      </c>
      <c r="G252" s="82"/>
      <c r="H252" s="82">
        <f t="shared" ref="H252:I252" si="504">H43</f>
        <v>0</v>
      </c>
      <c r="I252" s="83">
        <f t="shared" si="504"/>
        <v>0</v>
      </c>
      <c r="J252" s="82"/>
      <c r="K252" s="84"/>
      <c r="L252" s="84"/>
      <c r="M252" s="84"/>
      <c r="N252" s="84"/>
      <c r="O252" s="84"/>
      <c r="P252" s="84"/>
      <c r="Q252" s="84"/>
      <c r="R252" s="84"/>
      <c r="S252" s="84"/>
      <c r="T252" s="84"/>
      <c r="U252" s="84"/>
      <c r="V252" s="84"/>
      <c r="W252" s="85"/>
      <c r="X252" s="85"/>
      <c r="Y252" s="85"/>
      <c r="Z252" s="85"/>
      <c r="AA252" s="85"/>
      <c r="AB252" s="85"/>
      <c r="AC252" s="85"/>
      <c r="AD252" s="85"/>
      <c r="AE252" s="85"/>
      <c r="AF252" s="85"/>
      <c r="AG252" s="85"/>
      <c r="AH252" s="85"/>
      <c r="AI252" s="86"/>
      <c r="AJ252" s="85"/>
      <c r="AK252" s="85"/>
      <c r="AL252" s="85"/>
      <c r="AM252" s="85"/>
      <c r="AN252" s="85"/>
      <c r="AO252" s="85"/>
      <c r="AP252" s="85"/>
      <c r="AQ252" s="85"/>
      <c r="AR252" s="85"/>
      <c r="AS252" s="85"/>
      <c r="AT252" s="85"/>
      <c r="AU252" s="85"/>
      <c r="AV252" s="86"/>
      <c r="AW252" s="87"/>
      <c r="AX252" s="88"/>
      <c r="AY252" s="88"/>
    </row>
    <row r="253" spans="1:51">
      <c r="A253" s="79"/>
      <c r="B253" s="93"/>
      <c r="C253" s="93"/>
      <c r="D253" s="93"/>
      <c r="E253" s="93"/>
      <c r="F253" s="113"/>
      <c r="G253" s="113"/>
      <c r="H253" s="113"/>
      <c r="I253" s="114"/>
      <c r="J253" s="113"/>
      <c r="K253" s="115"/>
      <c r="L253" s="115"/>
      <c r="M253" s="115"/>
      <c r="N253" s="115"/>
      <c r="O253" s="115"/>
      <c r="P253" s="115"/>
      <c r="Q253" s="115"/>
      <c r="R253" s="115"/>
      <c r="S253" s="115"/>
      <c r="T253" s="115"/>
      <c r="U253" s="115"/>
      <c r="V253" s="115"/>
      <c r="W253" s="113"/>
      <c r="X253" s="113"/>
      <c r="Y253" s="113"/>
      <c r="Z253" s="113"/>
      <c r="AA253" s="113"/>
      <c r="AB253" s="113"/>
      <c r="AC253" s="113"/>
      <c r="AD253" s="113"/>
      <c r="AE253" s="113"/>
      <c r="AF253" s="113"/>
      <c r="AG253" s="113"/>
      <c r="AH253" s="113"/>
      <c r="AI253" s="113"/>
      <c r="AJ253" s="113"/>
      <c r="AK253" s="113"/>
      <c r="AL253" s="113"/>
      <c r="AM253" s="113"/>
      <c r="AN253" s="113"/>
      <c r="AO253" s="113"/>
      <c r="AP253" s="113"/>
      <c r="AQ253" s="113"/>
      <c r="AR253" s="113"/>
      <c r="AS253" s="113"/>
      <c r="AT253" s="113"/>
      <c r="AU253" s="113"/>
      <c r="AV253" s="113"/>
      <c r="AW253" s="116"/>
      <c r="AX253" s="113"/>
      <c r="AY253" s="113"/>
    </row>
    <row r="254" spans="1:51">
      <c r="A254" s="79"/>
      <c r="B254" s="93"/>
      <c r="C254" s="93"/>
      <c r="D254" s="93"/>
      <c r="E254" s="93"/>
      <c r="F254" s="113"/>
      <c r="G254" s="113"/>
      <c r="H254" s="93"/>
      <c r="I254" s="120"/>
      <c r="J254" s="93"/>
      <c r="K254" s="93"/>
      <c r="L254" s="93"/>
      <c r="M254" s="93"/>
      <c r="N254" s="93"/>
      <c r="O254" s="93"/>
      <c r="P254" s="93"/>
      <c r="Q254" s="93"/>
      <c r="R254" s="93"/>
      <c r="S254" s="93"/>
      <c r="T254" s="93"/>
      <c r="U254" s="93"/>
      <c r="V254" s="93"/>
      <c r="W254" s="113"/>
      <c r="X254" s="113"/>
      <c r="Y254" s="113"/>
      <c r="Z254" s="113"/>
      <c r="AA254" s="113"/>
      <c r="AB254" s="113"/>
      <c r="AC254" s="113"/>
      <c r="AD254" s="113"/>
      <c r="AE254" s="113"/>
      <c r="AF254" s="113"/>
      <c r="AG254" s="113"/>
      <c r="AH254" s="113"/>
      <c r="AI254" s="113"/>
      <c r="AJ254" s="113"/>
      <c r="AK254" s="113"/>
      <c r="AL254" s="113"/>
      <c r="AM254" s="113"/>
      <c r="AN254" s="113"/>
      <c r="AO254" s="113"/>
      <c r="AP254" s="113"/>
      <c r="AQ254" s="113"/>
      <c r="AR254" s="113"/>
      <c r="AS254" s="113"/>
      <c r="AT254" s="113"/>
      <c r="AU254" s="113"/>
      <c r="AV254" s="113"/>
      <c r="AW254" s="116"/>
      <c r="AX254" s="113"/>
      <c r="AY254" s="113"/>
    </row>
    <row r="255" spans="1:51">
      <c r="A255" s="79" t="s">
        <v>3029</v>
      </c>
      <c r="B255" s="93" t="str">
        <f>B44</f>
        <v>ACPLSZ</v>
      </c>
      <c r="C255" s="93"/>
      <c r="D255" s="93"/>
      <c r="E255" s="93"/>
      <c r="F255" s="88"/>
      <c r="G255" s="88"/>
      <c r="H255" s="93"/>
      <c r="I255" s="94"/>
      <c r="J255" s="93"/>
      <c r="K255" s="93"/>
      <c r="L255" s="93"/>
      <c r="M255" s="93"/>
      <c r="N255" s="93"/>
      <c r="O255" s="93"/>
      <c r="P255" s="93"/>
      <c r="Q255" s="93"/>
      <c r="R255" s="93"/>
      <c r="S255" s="93"/>
      <c r="T255" s="93"/>
      <c r="U255" s="93"/>
      <c r="V255" s="93"/>
      <c r="W255" s="113">
        <f ca="1">SUMIF($B$226:$AV$253,$B$255,W226:W253)</f>
        <v>30416.19</v>
      </c>
      <c r="X255" s="113">
        <f t="shared" ref="X255:AV255" ca="1" si="505">SUMIF($B$226:$AV$253,$B$255,X226:X253)</f>
        <v>34376.19</v>
      </c>
      <c r="Y255" s="113">
        <f t="shared" ca="1" si="505"/>
        <v>31311.48</v>
      </c>
      <c r="Z255" s="113">
        <f t="shared" ca="1" si="505"/>
        <v>32190.6</v>
      </c>
      <c r="AA255" s="113">
        <f t="shared" ca="1" si="505"/>
        <v>51246.000000000007</v>
      </c>
      <c r="AB255" s="113">
        <f t="shared" ca="1" si="505"/>
        <v>51066.000000000007</v>
      </c>
      <c r="AC255" s="113">
        <f t="shared" ca="1" si="505"/>
        <v>51246.000000000007</v>
      </c>
      <c r="AD255" s="113">
        <f t="shared" ca="1" si="505"/>
        <v>53286.000000000007</v>
      </c>
      <c r="AE255" s="113">
        <f t="shared" ca="1" si="505"/>
        <v>53286.000000000007</v>
      </c>
      <c r="AF255" s="113">
        <f t="shared" ca="1" si="505"/>
        <v>53286.000000000007</v>
      </c>
      <c r="AG255" s="113">
        <f t="shared" ca="1" si="505"/>
        <v>53286.000000000007</v>
      </c>
      <c r="AH255" s="113">
        <f t="shared" ca="1" si="505"/>
        <v>54726.000000000007</v>
      </c>
      <c r="AI255" s="113">
        <f t="shared" ca="1" si="505"/>
        <v>549722.46000000008</v>
      </c>
      <c r="AJ255" s="113">
        <f t="shared" ca="1" si="505"/>
        <v>60727.710000000006</v>
      </c>
      <c r="AK255" s="113">
        <f t="shared" ca="1" si="505"/>
        <v>60727.710000000006</v>
      </c>
      <c r="AL255" s="113">
        <f t="shared" ca="1" si="505"/>
        <v>60727.710000000006</v>
      </c>
      <c r="AM255" s="113">
        <f t="shared" ca="1" si="505"/>
        <v>60727.710000000006</v>
      </c>
      <c r="AN255" s="113">
        <f t="shared" ca="1" si="505"/>
        <v>60727.710000000006</v>
      </c>
      <c r="AO255" s="113">
        <f t="shared" ca="1" si="505"/>
        <v>60727.710000000006</v>
      </c>
      <c r="AP255" s="113">
        <f t="shared" ca="1" si="505"/>
        <v>61969.350000000006</v>
      </c>
      <c r="AQ255" s="113">
        <f t="shared" ca="1" si="505"/>
        <v>61969.350000000006</v>
      </c>
      <c r="AR255" s="113">
        <f t="shared" ca="1" si="505"/>
        <v>61969.350000000006</v>
      </c>
      <c r="AS255" s="113">
        <f t="shared" ca="1" si="505"/>
        <v>61969.350000000006</v>
      </c>
      <c r="AT255" s="113">
        <f t="shared" ca="1" si="505"/>
        <v>61969.350000000006</v>
      </c>
      <c r="AU255" s="113">
        <f t="shared" ca="1" si="505"/>
        <v>61969.350000000006</v>
      </c>
      <c r="AV255" s="113">
        <f t="shared" ca="1" si="505"/>
        <v>736182.35999999987</v>
      </c>
      <c r="AW255" s="87"/>
      <c r="AX255" s="88"/>
      <c r="AY255" s="88"/>
    </row>
    <row r="256" spans="1:51">
      <c r="A256" s="79" t="s">
        <v>3029</v>
      </c>
      <c r="B256" s="130" t="str">
        <f>B45</f>
        <v>ACPSZL</v>
      </c>
      <c r="C256" s="93"/>
      <c r="D256" s="93"/>
      <c r="E256" s="93"/>
      <c r="F256" s="88"/>
      <c r="G256" s="88"/>
      <c r="H256" s="93"/>
      <c r="I256" s="94"/>
      <c r="J256" s="93"/>
      <c r="K256" s="93"/>
      <c r="L256" s="93"/>
      <c r="M256" s="93"/>
      <c r="N256" s="93"/>
      <c r="O256" s="93"/>
      <c r="P256" s="93"/>
      <c r="Q256" s="93"/>
      <c r="R256" s="93"/>
      <c r="S256" s="93"/>
      <c r="T256" s="93"/>
      <c r="U256" s="93"/>
      <c r="V256" s="93"/>
      <c r="W256" s="113">
        <f ca="1">SUMIF($B$226:$AV$253,$B$256,W226:W253)</f>
        <v>15151.8</v>
      </c>
      <c r="X256" s="113">
        <f t="shared" ref="X256:AV256" ca="1" si="506">SUMIF($B$226:$AV$253,$B$256,X226:X253)</f>
        <v>15151.8</v>
      </c>
      <c r="Y256" s="113">
        <f t="shared" ca="1" si="506"/>
        <v>15151.8</v>
      </c>
      <c r="Z256" s="113">
        <f t="shared" ca="1" si="506"/>
        <v>19951.8</v>
      </c>
      <c r="AA256" s="113">
        <f t="shared" ca="1" si="506"/>
        <v>19951.8</v>
      </c>
      <c r="AB256" s="113">
        <f t="shared" ca="1" si="506"/>
        <v>19951.8</v>
      </c>
      <c r="AC256" s="113">
        <f t="shared" ca="1" si="506"/>
        <v>19951.8</v>
      </c>
      <c r="AD256" s="113">
        <f t="shared" ca="1" si="506"/>
        <v>19951.8</v>
      </c>
      <c r="AE256" s="113">
        <f t="shared" ca="1" si="506"/>
        <v>19951.8</v>
      </c>
      <c r="AF256" s="113">
        <f t="shared" ca="1" si="506"/>
        <v>19951.8</v>
      </c>
      <c r="AG256" s="113">
        <f t="shared" ca="1" si="506"/>
        <v>19951.8</v>
      </c>
      <c r="AH256" s="113">
        <f t="shared" ca="1" si="506"/>
        <v>19951.8</v>
      </c>
      <c r="AI256" s="113">
        <f t="shared" ca="1" si="506"/>
        <v>225021.6</v>
      </c>
      <c r="AJ256" s="113">
        <f t="shared" ca="1" si="506"/>
        <v>20683.8</v>
      </c>
      <c r="AK256" s="113">
        <f t="shared" ca="1" si="506"/>
        <v>20683.8</v>
      </c>
      <c r="AL256" s="113">
        <f t="shared" ca="1" si="506"/>
        <v>20683.8</v>
      </c>
      <c r="AM256" s="113">
        <f t="shared" ca="1" si="506"/>
        <v>20683.8</v>
      </c>
      <c r="AN256" s="113">
        <f t="shared" ca="1" si="506"/>
        <v>20683.8</v>
      </c>
      <c r="AO256" s="113">
        <f t="shared" ca="1" si="506"/>
        <v>20683.8</v>
      </c>
      <c r="AP256" s="113">
        <f t="shared" ca="1" si="506"/>
        <v>20683.8</v>
      </c>
      <c r="AQ256" s="113">
        <f t="shared" ca="1" si="506"/>
        <v>20683.8</v>
      </c>
      <c r="AR256" s="113">
        <f t="shared" ca="1" si="506"/>
        <v>20683.8</v>
      </c>
      <c r="AS256" s="113">
        <f t="shared" ca="1" si="506"/>
        <v>20683.8</v>
      </c>
      <c r="AT256" s="113">
        <f t="shared" ca="1" si="506"/>
        <v>20683.8</v>
      </c>
      <c r="AU256" s="113">
        <f t="shared" ca="1" si="506"/>
        <v>20683.8</v>
      </c>
      <c r="AV256" s="113">
        <f t="shared" ca="1" si="506"/>
        <v>248205.6</v>
      </c>
      <c r="AW256" s="87"/>
      <c r="AX256" s="88"/>
      <c r="AY256" s="88"/>
    </row>
    <row r="257" spans="1:51">
      <c r="A257" s="93"/>
      <c r="B257" s="93"/>
      <c r="C257" s="93"/>
      <c r="D257" s="93"/>
      <c r="E257" s="93"/>
      <c r="F257" s="97" t="s">
        <v>3023</v>
      </c>
      <c r="G257" s="97"/>
      <c r="H257" s="93"/>
      <c r="I257" s="94"/>
      <c r="J257" s="98"/>
      <c r="K257" s="99"/>
      <c r="L257" s="99"/>
      <c r="M257" s="99"/>
      <c r="N257" s="99"/>
      <c r="O257" s="99"/>
      <c r="P257" s="99"/>
      <c r="Q257" s="99"/>
      <c r="R257" s="99"/>
      <c r="S257" s="99"/>
      <c r="T257" s="99"/>
      <c r="U257" s="99"/>
      <c r="V257" s="99"/>
      <c r="W257" s="100">
        <f>SUM(W225:W253)</f>
        <v>45567.99</v>
      </c>
      <c r="X257" s="100">
        <f t="shared" ref="X257:AV257" si="507">SUM(X225:X253)</f>
        <v>49527.99</v>
      </c>
      <c r="Y257" s="100">
        <f t="shared" si="507"/>
        <v>46463.28</v>
      </c>
      <c r="Z257" s="100">
        <f t="shared" si="507"/>
        <v>52142.400000000001</v>
      </c>
      <c r="AA257" s="100">
        <f t="shared" si="507"/>
        <v>71197.8</v>
      </c>
      <c r="AB257" s="100">
        <f t="shared" si="507"/>
        <v>71017.8</v>
      </c>
      <c r="AC257" s="100">
        <f t="shared" si="507"/>
        <v>71197.8</v>
      </c>
      <c r="AD257" s="100">
        <f t="shared" si="507"/>
        <v>73237.8</v>
      </c>
      <c r="AE257" s="100">
        <f t="shared" si="507"/>
        <v>73237.8</v>
      </c>
      <c r="AF257" s="100">
        <f t="shared" si="507"/>
        <v>73237.8</v>
      </c>
      <c r="AG257" s="100">
        <f t="shared" si="507"/>
        <v>73237.8</v>
      </c>
      <c r="AH257" s="100">
        <f t="shared" si="507"/>
        <v>74677.8</v>
      </c>
      <c r="AI257" s="100">
        <f t="shared" si="507"/>
        <v>774744.06000000017</v>
      </c>
      <c r="AJ257" s="100">
        <f t="shared" si="507"/>
        <v>81411.510000000009</v>
      </c>
      <c r="AK257" s="100">
        <f t="shared" si="507"/>
        <v>81411.510000000009</v>
      </c>
      <c r="AL257" s="100">
        <f t="shared" si="507"/>
        <v>81411.510000000009</v>
      </c>
      <c r="AM257" s="100">
        <f t="shared" si="507"/>
        <v>81411.510000000009</v>
      </c>
      <c r="AN257" s="100">
        <f t="shared" si="507"/>
        <v>81411.510000000009</v>
      </c>
      <c r="AO257" s="100">
        <f t="shared" si="507"/>
        <v>81411.510000000009</v>
      </c>
      <c r="AP257" s="100">
        <f t="shared" si="507"/>
        <v>82653.150000000009</v>
      </c>
      <c r="AQ257" s="100">
        <f t="shared" si="507"/>
        <v>82653.150000000009</v>
      </c>
      <c r="AR257" s="100">
        <f t="shared" si="507"/>
        <v>82653.150000000009</v>
      </c>
      <c r="AS257" s="100">
        <f t="shared" si="507"/>
        <v>82653.150000000009</v>
      </c>
      <c r="AT257" s="100">
        <f t="shared" si="507"/>
        <v>82653.150000000009</v>
      </c>
      <c r="AU257" s="100">
        <f t="shared" si="507"/>
        <v>82653.150000000009</v>
      </c>
      <c r="AV257" s="100">
        <f t="shared" si="507"/>
        <v>984387.96</v>
      </c>
      <c r="AW257" s="87"/>
      <c r="AX257" s="88"/>
      <c r="AY257" s="88"/>
    </row>
    <row r="258" spans="1:51">
      <c r="A258" s="93"/>
      <c r="B258" s="93"/>
      <c r="C258" s="93"/>
      <c r="D258" s="93"/>
      <c r="E258" s="93"/>
      <c r="F258" s="88"/>
      <c r="G258" s="88"/>
      <c r="H258" s="93"/>
      <c r="I258" s="94"/>
      <c r="J258" s="93"/>
      <c r="K258" s="93"/>
      <c r="L258" s="93"/>
      <c r="M258" s="93"/>
      <c r="N258" s="93"/>
      <c r="O258" s="93"/>
      <c r="P258" s="93"/>
      <c r="Q258" s="93"/>
      <c r="R258" s="93"/>
      <c r="S258" s="93"/>
      <c r="T258" s="93"/>
      <c r="U258" s="93"/>
      <c r="V258" s="93"/>
      <c r="W258" s="88"/>
      <c r="X258" s="88"/>
      <c r="Y258" s="88"/>
      <c r="Z258" s="88"/>
      <c r="AA258" s="88"/>
      <c r="AB258" s="88"/>
      <c r="AC258" s="88"/>
      <c r="AD258" s="88"/>
      <c r="AE258" s="88"/>
      <c r="AF258" s="88"/>
      <c r="AG258" s="88"/>
      <c r="AH258" s="88"/>
      <c r="AI258" s="88"/>
      <c r="AJ258" s="88"/>
      <c r="AK258" s="88"/>
      <c r="AL258" s="88"/>
      <c r="AM258" s="88"/>
      <c r="AN258" s="88"/>
      <c r="AO258" s="88"/>
      <c r="AP258" s="88"/>
      <c r="AQ258" s="88"/>
      <c r="AR258" s="88"/>
      <c r="AS258" s="88"/>
      <c r="AT258" s="88"/>
      <c r="AU258" s="88"/>
      <c r="AV258" s="88"/>
      <c r="AW258" s="87"/>
      <c r="AX258" s="88"/>
      <c r="AY258" s="88"/>
    </row>
    <row r="259" spans="1:51">
      <c r="A259" s="93"/>
      <c r="B259" s="79" t="s">
        <v>3030</v>
      </c>
      <c r="C259" s="93"/>
      <c r="D259" s="93"/>
      <c r="E259" s="93"/>
      <c r="F259" s="88"/>
      <c r="G259" s="88"/>
      <c r="H259" s="93"/>
      <c r="I259" s="94"/>
      <c r="J259" s="103"/>
      <c r="K259" s="1219" t="s">
        <v>3002</v>
      </c>
      <c r="L259" s="1220"/>
      <c r="M259" s="1220"/>
      <c r="N259" s="1220"/>
      <c r="O259" s="1220"/>
      <c r="P259" s="1220"/>
      <c r="Q259" s="1220"/>
      <c r="R259" s="1220"/>
      <c r="S259" s="1220"/>
      <c r="T259" s="1220"/>
      <c r="U259" s="1220"/>
      <c r="V259" s="1221"/>
      <c r="W259" s="1222" t="s">
        <v>3026</v>
      </c>
      <c r="X259" s="1223"/>
      <c r="Y259" s="1223"/>
      <c r="Z259" s="1223"/>
      <c r="AA259" s="1223"/>
      <c r="AB259" s="1223"/>
      <c r="AC259" s="1223"/>
      <c r="AD259" s="1223"/>
      <c r="AE259" s="1223"/>
      <c r="AF259" s="1223"/>
      <c r="AG259" s="1223"/>
      <c r="AH259" s="1224"/>
      <c r="AI259" s="1223"/>
      <c r="AJ259" s="1222" t="s">
        <v>3003</v>
      </c>
      <c r="AK259" s="1223"/>
      <c r="AL259" s="1223"/>
      <c r="AM259" s="1223"/>
      <c r="AN259" s="1223"/>
      <c r="AO259" s="1223"/>
      <c r="AP259" s="1223"/>
      <c r="AQ259" s="1223"/>
      <c r="AR259" s="1223"/>
      <c r="AS259" s="1223"/>
      <c r="AT259" s="1223"/>
      <c r="AU259" s="1224"/>
      <c r="AV259" s="1223"/>
      <c r="AW259" s="87"/>
      <c r="AX259" s="88"/>
      <c r="AY259" s="88"/>
    </row>
    <row r="260" spans="1:51" s="14" customFormat="1">
      <c r="A260" s="104"/>
      <c r="B260" s="129" t="s">
        <v>3005</v>
      </c>
      <c r="C260" s="105" t="s">
        <v>3006</v>
      </c>
      <c r="D260" s="105" t="s">
        <v>3007</v>
      </c>
      <c r="E260" s="105" t="s">
        <v>3008</v>
      </c>
      <c r="F260" s="106" t="s">
        <v>3009</v>
      </c>
      <c r="G260" s="106"/>
      <c r="H260" s="107"/>
      <c r="I260" s="108" t="s">
        <v>3011</v>
      </c>
      <c r="J260" s="107"/>
      <c r="K260" s="107">
        <v>46023</v>
      </c>
      <c r="L260" s="107">
        <v>46054</v>
      </c>
      <c r="M260" s="107">
        <v>46082</v>
      </c>
      <c r="N260" s="107">
        <v>46113</v>
      </c>
      <c r="O260" s="107">
        <v>46143</v>
      </c>
      <c r="P260" s="107">
        <v>46174</v>
      </c>
      <c r="Q260" s="107">
        <v>46204</v>
      </c>
      <c r="R260" s="107">
        <v>46235</v>
      </c>
      <c r="S260" s="107">
        <v>46266</v>
      </c>
      <c r="T260" s="107">
        <v>46296</v>
      </c>
      <c r="U260" s="107">
        <v>46327</v>
      </c>
      <c r="V260" s="107">
        <v>46357</v>
      </c>
      <c r="W260" s="73">
        <f t="shared" ref="W260:AH260" si="508">+K260</f>
        <v>46023</v>
      </c>
      <c r="X260" s="73">
        <f t="shared" si="508"/>
        <v>46054</v>
      </c>
      <c r="Y260" s="73">
        <f t="shared" si="508"/>
        <v>46082</v>
      </c>
      <c r="Z260" s="73">
        <f t="shared" si="508"/>
        <v>46113</v>
      </c>
      <c r="AA260" s="73">
        <f t="shared" si="508"/>
        <v>46143</v>
      </c>
      <c r="AB260" s="73">
        <f t="shared" si="508"/>
        <v>46174</v>
      </c>
      <c r="AC260" s="73">
        <f t="shared" si="508"/>
        <v>46204</v>
      </c>
      <c r="AD260" s="73">
        <f t="shared" si="508"/>
        <v>46235</v>
      </c>
      <c r="AE260" s="73">
        <f t="shared" si="508"/>
        <v>46266</v>
      </c>
      <c r="AF260" s="73">
        <f t="shared" si="508"/>
        <v>46296</v>
      </c>
      <c r="AG260" s="73">
        <f t="shared" si="508"/>
        <v>46327</v>
      </c>
      <c r="AH260" s="73">
        <f t="shared" si="508"/>
        <v>46357</v>
      </c>
      <c r="AI260" s="109" t="str">
        <f>$AI$15</f>
        <v>Total 2026</v>
      </c>
      <c r="AJ260" s="73">
        <f t="shared" ref="AJ260:AU260" si="509">AJ$15</f>
        <v>46388</v>
      </c>
      <c r="AK260" s="73">
        <f t="shared" si="509"/>
        <v>46419</v>
      </c>
      <c r="AL260" s="73">
        <f t="shared" si="509"/>
        <v>46447</v>
      </c>
      <c r="AM260" s="73">
        <f t="shared" si="509"/>
        <v>46478</v>
      </c>
      <c r="AN260" s="73">
        <f t="shared" si="509"/>
        <v>46508</v>
      </c>
      <c r="AO260" s="73">
        <f t="shared" si="509"/>
        <v>46539</v>
      </c>
      <c r="AP260" s="73">
        <f t="shared" si="509"/>
        <v>46569</v>
      </c>
      <c r="AQ260" s="73">
        <f t="shared" si="509"/>
        <v>46600</v>
      </c>
      <c r="AR260" s="73">
        <f t="shared" si="509"/>
        <v>46631</v>
      </c>
      <c r="AS260" s="73">
        <f t="shared" si="509"/>
        <v>46661</v>
      </c>
      <c r="AT260" s="73">
        <f t="shared" si="509"/>
        <v>46692</v>
      </c>
      <c r="AU260" s="73">
        <f t="shared" si="509"/>
        <v>46722</v>
      </c>
      <c r="AV260" s="73" t="s">
        <v>3013</v>
      </c>
      <c r="AW260" s="110"/>
      <c r="AX260" s="111"/>
      <c r="AY260" s="111"/>
    </row>
    <row r="261" spans="1:51">
      <c r="A261" s="93"/>
      <c r="B261" s="130"/>
      <c r="C261" s="80"/>
      <c r="D261" s="80"/>
      <c r="E261" s="80"/>
      <c r="F261" s="82"/>
      <c r="G261" s="82"/>
      <c r="H261" s="80"/>
      <c r="I261" s="112"/>
      <c r="J261" s="80"/>
      <c r="K261" s="84"/>
      <c r="L261" s="84"/>
      <c r="M261" s="84"/>
      <c r="N261" s="84"/>
      <c r="O261" s="84"/>
      <c r="P261" s="84"/>
      <c r="Q261" s="84"/>
      <c r="R261" s="84"/>
      <c r="S261" s="84"/>
      <c r="T261" s="84"/>
      <c r="U261" s="84"/>
      <c r="V261" s="84"/>
      <c r="W261" s="85"/>
      <c r="X261" s="85"/>
      <c r="Y261" s="85"/>
      <c r="Z261" s="85"/>
      <c r="AA261" s="85"/>
      <c r="AB261" s="85"/>
      <c r="AC261" s="85"/>
      <c r="AD261" s="85"/>
      <c r="AE261" s="85"/>
      <c r="AF261" s="85"/>
      <c r="AG261" s="85"/>
      <c r="AH261" s="85"/>
      <c r="AI261" s="85"/>
      <c r="AJ261" s="85"/>
      <c r="AK261" s="85"/>
      <c r="AL261" s="85"/>
      <c r="AM261" s="85"/>
      <c r="AN261" s="85"/>
      <c r="AO261" s="85"/>
      <c r="AP261" s="85"/>
      <c r="AQ261" s="85"/>
      <c r="AR261" s="85"/>
      <c r="AS261" s="85"/>
      <c r="AT261" s="85"/>
      <c r="AU261" s="85"/>
      <c r="AV261" s="85"/>
      <c r="AW261" s="87"/>
      <c r="AX261" s="88"/>
      <c r="AY261" s="88"/>
    </row>
    <row r="262" spans="1:51">
      <c r="A262" s="79" t="s">
        <v>3030</v>
      </c>
      <c r="B262" s="130" t="str">
        <f t="shared" ref="B262:B281" si="510">B51</f>
        <v>ACPSZL</v>
      </c>
      <c r="C262" s="80" t="str">
        <f t="shared" ref="C262:C281" si="511">C51</f>
        <v>深圳户籍</v>
      </c>
      <c r="D262" s="80" t="str">
        <f t="shared" ref="D262:D281" si="512">D51</f>
        <v>Professional</v>
      </c>
      <c r="E262" s="80">
        <f t="shared" ref="E262:E281" si="513">E51</f>
        <v>0</v>
      </c>
      <c r="F262" s="81">
        <f t="shared" ref="F262:F281" si="514">F51</f>
        <v>83000</v>
      </c>
      <c r="G262" s="81"/>
      <c r="H262" s="82" t="str">
        <f t="shared" ref="H262:H281" si="515">H51</f>
        <v>郭宗林</v>
      </c>
      <c r="I262" s="83">
        <f t="shared" ref="I262:I281" si="516">I51</f>
        <v>0</v>
      </c>
      <c r="J262" s="82"/>
      <c r="K262" s="84"/>
      <c r="L262" s="84"/>
      <c r="M262" s="84"/>
      <c r="N262" s="84"/>
      <c r="O262" s="84"/>
      <c r="P262" s="84"/>
      <c r="Q262" s="84"/>
      <c r="R262" s="84"/>
      <c r="S262" s="84"/>
      <c r="T262" s="84"/>
      <c r="U262" s="84"/>
      <c r="V262" s="84"/>
      <c r="W262" s="85">
        <f t="shared" ref="W262:AH262" si="517">W51+W86+W121+W156+W191</f>
        <v>0</v>
      </c>
      <c r="X262" s="85">
        <f t="shared" si="517"/>
        <v>0</v>
      </c>
      <c r="Y262" s="85">
        <f t="shared" si="517"/>
        <v>0</v>
      </c>
      <c r="Z262" s="85">
        <f t="shared" si="517"/>
        <v>0</v>
      </c>
      <c r="AA262" s="85">
        <f t="shared" si="517"/>
        <v>0</v>
      </c>
      <c r="AB262" s="85">
        <f t="shared" si="517"/>
        <v>0</v>
      </c>
      <c r="AC262" s="85">
        <f t="shared" si="517"/>
        <v>0</v>
      </c>
      <c r="AD262" s="85">
        <f t="shared" si="517"/>
        <v>0</v>
      </c>
      <c r="AE262" s="85">
        <f t="shared" si="517"/>
        <v>0</v>
      </c>
      <c r="AF262" s="85">
        <f t="shared" si="517"/>
        <v>0</v>
      </c>
      <c r="AG262" s="85">
        <f t="shared" si="517"/>
        <v>0</v>
      </c>
      <c r="AH262" s="85">
        <f t="shared" si="517"/>
        <v>0</v>
      </c>
      <c r="AI262" s="86">
        <f t="shared" ref="AI262:AI268" si="518">SUM(W262:AH262)</f>
        <v>0</v>
      </c>
      <c r="AJ262" s="85">
        <f t="shared" ref="AJ262:AU262" si="519">AJ51+AJ86+AJ121+AJ156+AJ191</f>
        <v>0</v>
      </c>
      <c r="AK262" s="85">
        <f t="shared" si="519"/>
        <v>0</v>
      </c>
      <c r="AL262" s="85">
        <f t="shared" si="519"/>
        <v>0</v>
      </c>
      <c r="AM262" s="85">
        <f t="shared" si="519"/>
        <v>0</v>
      </c>
      <c r="AN262" s="85">
        <f t="shared" si="519"/>
        <v>0</v>
      </c>
      <c r="AO262" s="85">
        <f t="shared" si="519"/>
        <v>0</v>
      </c>
      <c r="AP262" s="85">
        <f t="shared" si="519"/>
        <v>0</v>
      </c>
      <c r="AQ262" s="85">
        <f t="shared" si="519"/>
        <v>0</v>
      </c>
      <c r="AR262" s="85">
        <f t="shared" si="519"/>
        <v>0</v>
      </c>
      <c r="AS262" s="85">
        <f t="shared" si="519"/>
        <v>0</v>
      </c>
      <c r="AT262" s="85">
        <f t="shared" si="519"/>
        <v>0</v>
      </c>
      <c r="AU262" s="85">
        <f t="shared" si="519"/>
        <v>0</v>
      </c>
      <c r="AV262" s="86">
        <f t="shared" ref="AV262:AV268" si="520">SUM(AJ262:AU262)</f>
        <v>0</v>
      </c>
      <c r="AW262" s="87"/>
      <c r="AX262" s="88"/>
      <c r="AY262" s="88"/>
    </row>
    <row r="263" spans="1:51">
      <c r="A263" s="79" t="s">
        <v>3030</v>
      </c>
      <c r="B263" s="130" t="str">
        <f t="shared" si="510"/>
        <v>ACPSZL</v>
      </c>
      <c r="C263" s="80" t="str">
        <f t="shared" si="511"/>
        <v>深圳户籍</v>
      </c>
      <c r="D263" s="80" t="str">
        <f t="shared" si="512"/>
        <v>Professional</v>
      </c>
      <c r="E263" s="80">
        <f t="shared" si="513"/>
        <v>0</v>
      </c>
      <c r="F263" s="81">
        <f t="shared" si="514"/>
        <v>70000</v>
      </c>
      <c r="G263" s="81"/>
      <c r="H263" s="82" t="str">
        <f t="shared" si="515"/>
        <v>陈灿</v>
      </c>
      <c r="I263" s="83">
        <f t="shared" si="516"/>
        <v>0</v>
      </c>
      <c r="J263" s="82"/>
      <c r="K263" s="84"/>
      <c r="L263" s="84"/>
      <c r="M263" s="84"/>
      <c r="N263" s="84"/>
      <c r="O263" s="84"/>
      <c r="P263" s="84"/>
      <c r="Q263" s="84"/>
      <c r="R263" s="84"/>
      <c r="S263" s="84"/>
      <c r="T263" s="84"/>
      <c r="U263" s="84"/>
      <c r="V263" s="84"/>
      <c r="W263" s="85">
        <f t="shared" ref="W263:AH263" si="521">W52+W87+W122+W157+W192</f>
        <v>130</v>
      </c>
      <c r="X263" s="85">
        <f t="shared" si="521"/>
        <v>0</v>
      </c>
      <c r="Y263" s="85">
        <f t="shared" si="521"/>
        <v>0</v>
      </c>
      <c r="Z263" s="85">
        <f t="shared" si="521"/>
        <v>0</v>
      </c>
      <c r="AA263" s="85">
        <f t="shared" si="521"/>
        <v>0</v>
      </c>
      <c r="AB263" s="85">
        <f t="shared" si="521"/>
        <v>0</v>
      </c>
      <c r="AC263" s="85">
        <f t="shared" si="521"/>
        <v>0</v>
      </c>
      <c r="AD263" s="85">
        <f t="shared" si="521"/>
        <v>0</v>
      </c>
      <c r="AE263" s="85">
        <f t="shared" si="521"/>
        <v>0</v>
      </c>
      <c r="AF263" s="85">
        <f t="shared" si="521"/>
        <v>0</v>
      </c>
      <c r="AG263" s="85">
        <f t="shared" si="521"/>
        <v>0</v>
      </c>
      <c r="AH263" s="85">
        <f t="shared" si="521"/>
        <v>0</v>
      </c>
      <c r="AI263" s="86">
        <f t="shared" si="518"/>
        <v>130</v>
      </c>
      <c r="AJ263" s="85">
        <f t="shared" ref="AJ263:AU263" si="522">AJ52+AJ87+AJ122+AJ157+AJ192</f>
        <v>0</v>
      </c>
      <c r="AK263" s="85">
        <f t="shared" si="522"/>
        <v>0</v>
      </c>
      <c r="AL263" s="85">
        <f t="shared" si="522"/>
        <v>0</v>
      </c>
      <c r="AM263" s="85">
        <f t="shared" si="522"/>
        <v>0</v>
      </c>
      <c r="AN263" s="85">
        <f t="shared" si="522"/>
        <v>0</v>
      </c>
      <c r="AO263" s="85">
        <f t="shared" si="522"/>
        <v>0</v>
      </c>
      <c r="AP263" s="85">
        <f t="shared" si="522"/>
        <v>0</v>
      </c>
      <c r="AQ263" s="85">
        <f t="shared" si="522"/>
        <v>0</v>
      </c>
      <c r="AR263" s="85">
        <f t="shared" si="522"/>
        <v>0</v>
      </c>
      <c r="AS263" s="85">
        <f t="shared" si="522"/>
        <v>0</v>
      </c>
      <c r="AT263" s="85">
        <f t="shared" si="522"/>
        <v>0</v>
      </c>
      <c r="AU263" s="85">
        <f t="shared" si="522"/>
        <v>0</v>
      </c>
      <c r="AV263" s="86">
        <f t="shared" si="520"/>
        <v>0</v>
      </c>
      <c r="AW263" s="87"/>
      <c r="AX263" s="88"/>
      <c r="AY263" s="88"/>
    </row>
    <row r="264" spans="1:51">
      <c r="A264" s="79" t="s">
        <v>3030</v>
      </c>
      <c r="B264" s="130" t="str">
        <f t="shared" si="510"/>
        <v>ACPSZL</v>
      </c>
      <c r="C264" s="80" t="str">
        <f t="shared" si="511"/>
        <v>深圳户籍</v>
      </c>
      <c r="D264" s="80" t="str">
        <f t="shared" si="512"/>
        <v>Professional</v>
      </c>
      <c r="E264" s="80">
        <f t="shared" si="513"/>
        <v>0</v>
      </c>
      <c r="F264" s="81">
        <f t="shared" si="514"/>
        <v>27000</v>
      </c>
      <c r="G264" s="81"/>
      <c r="H264" s="82" t="str">
        <f t="shared" si="515"/>
        <v>林秋蝶</v>
      </c>
      <c r="I264" s="83">
        <f t="shared" si="516"/>
        <v>0</v>
      </c>
      <c r="J264" s="82"/>
      <c r="K264" s="84"/>
      <c r="L264" s="84"/>
      <c r="M264" s="84"/>
      <c r="N264" s="84"/>
      <c r="O264" s="84"/>
      <c r="P264" s="84"/>
      <c r="Q264" s="84"/>
      <c r="R264" s="84"/>
      <c r="S264" s="84"/>
      <c r="T264" s="84"/>
      <c r="U264" s="84"/>
      <c r="V264" s="84"/>
      <c r="W264" s="85">
        <f t="shared" ref="W264:AH264" si="523">W53+W88+W123+W158+W193</f>
        <v>6345</v>
      </c>
      <c r="X264" s="85">
        <f t="shared" si="523"/>
        <v>6345</v>
      </c>
      <c r="Y264" s="85">
        <f t="shared" si="523"/>
        <v>6345</v>
      </c>
      <c r="Z264" s="85">
        <f t="shared" si="523"/>
        <v>6345</v>
      </c>
      <c r="AA264" s="85">
        <f t="shared" si="523"/>
        <v>6345</v>
      </c>
      <c r="AB264" s="85">
        <f t="shared" si="523"/>
        <v>6345</v>
      </c>
      <c r="AC264" s="85">
        <f t="shared" si="523"/>
        <v>6345</v>
      </c>
      <c r="AD264" s="85">
        <f t="shared" si="523"/>
        <v>6345</v>
      </c>
      <c r="AE264" s="85">
        <f t="shared" si="523"/>
        <v>6345</v>
      </c>
      <c r="AF264" s="85">
        <f t="shared" si="523"/>
        <v>6345</v>
      </c>
      <c r="AG264" s="85">
        <f t="shared" si="523"/>
        <v>6345</v>
      </c>
      <c r="AH264" s="85">
        <f t="shared" si="523"/>
        <v>6345</v>
      </c>
      <c r="AI264" s="86">
        <f t="shared" si="518"/>
        <v>76140</v>
      </c>
      <c r="AJ264" s="85">
        <f t="shared" ref="AJ264:AU264" si="524">AJ53+AJ88+AJ123+AJ158+AJ193</f>
        <v>6526.08</v>
      </c>
      <c r="AK264" s="85">
        <f t="shared" si="524"/>
        <v>6526.08</v>
      </c>
      <c r="AL264" s="85">
        <f t="shared" si="524"/>
        <v>6526.08</v>
      </c>
      <c r="AM264" s="85">
        <f t="shared" si="524"/>
        <v>6526.08</v>
      </c>
      <c r="AN264" s="85">
        <f t="shared" si="524"/>
        <v>6526.08</v>
      </c>
      <c r="AO264" s="85">
        <f t="shared" si="524"/>
        <v>6526.08</v>
      </c>
      <c r="AP264" s="85">
        <f t="shared" si="524"/>
        <v>6526.08</v>
      </c>
      <c r="AQ264" s="85">
        <f t="shared" si="524"/>
        <v>6526.08</v>
      </c>
      <c r="AR264" s="85">
        <f t="shared" si="524"/>
        <v>6526.08</v>
      </c>
      <c r="AS264" s="85">
        <f t="shared" si="524"/>
        <v>6526.08</v>
      </c>
      <c r="AT264" s="85">
        <f t="shared" si="524"/>
        <v>6526.08</v>
      </c>
      <c r="AU264" s="85">
        <f t="shared" si="524"/>
        <v>6526.08</v>
      </c>
      <c r="AV264" s="86">
        <f t="shared" si="520"/>
        <v>78312.960000000006</v>
      </c>
      <c r="AW264" s="87"/>
      <c r="AX264" s="88"/>
      <c r="AY264" s="88"/>
    </row>
    <row r="265" spans="1:51">
      <c r="A265" s="79" t="s">
        <v>3030</v>
      </c>
      <c r="B265" s="130" t="str">
        <f t="shared" si="510"/>
        <v>ACPLSZ</v>
      </c>
      <c r="C265" s="80" t="str">
        <f t="shared" si="511"/>
        <v>深圳户籍</v>
      </c>
      <c r="D265" s="80" t="str">
        <f t="shared" si="512"/>
        <v>Professional</v>
      </c>
      <c r="E265" s="80">
        <f t="shared" si="513"/>
        <v>0</v>
      </c>
      <c r="F265" s="81">
        <f t="shared" si="514"/>
        <v>17000</v>
      </c>
      <c r="G265" s="81"/>
      <c r="H265" s="82" t="str">
        <f t="shared" si="515"/>
        <v>陈斌捷</v>
      </c>
      <c r="I265" s="83">
        <f t="shared" si="516"/>
        <v>8.8235294117646967E-2</v>
      </c>
      <c r="J265" s="82"/>
      <c r="K265" s="84"/>
      <c r="L265" s="84"/>
      <c r="M265" s="84"/>
      <c r="N265" s="84"/>
      <c r="O265" s="84"/>
      <c r="P265" s="84"/>
      <c r="Q265" s="84"/>
      <c r="R265" s="84"/>
      <c r="S265" s="84"/>
      <c r="T265" s="84"/>
      <c r="U265" s="84"/>
      <c r="V265" s="84"/>
      <c r="W265" s="85">
        <f t="shared" ref="W265:AH265" si="525">W54+W89+W124+W159+W194</f>
        <v>4072.66</v>
      </c>
      <c r="X265" s="85">
        <f t="shared" si="525"/>
        <v>4072.66</v>
      </c>
      <c r="Y265" s="85">
        <f t="shared" si="525"/>
        <v>4072.66</v>
      </c>
      <c r="Z265" s="85">
        <f t="shared" si="525"/>
        <v>4428.16</v>
      </c>
      <c r="AA265" s="85">
        <f t="shared" si="525"/>
        <v>4428.16</v>
      </c>
      <c r="AB265" s="85">
        <f t="shared" si="525"/>
        <v>4161.16</v>
      </c>
      <c r="AC265" s="85">
        <f t="shared" si="525"/>
        <v>4428.16</v>
      </c>
      <c r="AD265" s="85">
        <f t="shared" si="525"/>
        <v>4428.16</v>
      </c>
      <c r="AE265" s="85">
        <f t="shared" si="525"/>
        <v>4428.16</v>
      </c>
      <c r="AF265" s="85">
        <f t="shared" si="525"/>
        <v>4428.16</v>
      </c>
      <c r="AG265" s="85">
        <f t="shared" si="525"/>
        <v>4428.16</v>
      </c>
      <c r="AH265" s="85">
        <f t="shared" si="525"/>
        <v>4428.16</v>
      </c>
      <c r="AI265" s="86">
        <f t="shared" si="518"/>
        <v>51804.420000000013</v>
      </c>
      <c r="AJ265" s="85">
        <f t="shared" ref="AJ265:AU265" si="526">AJ54+AJ89+AJ124+AJ159+AJ194</f>
        <v>4647.3849999999993</v>
      </c>
      <c r="AK265" s="85">
        <f t="shared" si="526"/>
        <v>4647.3849999999993</v>
      </c>
      <c r="AL265" s="85">
        <f t="shared" si="526"/>
        <v>4647.3849999999993</v>
      </c>
      <c r="AM265" s="85">
        <f t="shared" si="526"/>
        <v>4647.3849999999993</v>
      </c>
      <c r="AN265" s="85">
        <f t="shared" si="526"/>
        <v>4647.3849999999993</v>
      </c>
      <c r="AO265" s="85">
        <f t="shared" si="526"/>
        <v>4647.3849999999993</v>
      </c>
      <c r="AP265" s="85">
        <f t="shared" si="526"/>
        <v>4647.3849999999993</v>
      </c>
      <c r="AQ265" s="85">
        <f t="shared" si="526"/>
        <v>4647.3849999999993</v>
      </c>
      <c r="AR265" s="85">
        <f t="shared" si="526"/>
        <v>4647.3849999999993</v>
      </c>
      <c r="AS265" s="85">
        <f t="shared" si="526"/>
        <v>4647.3849999999993</v>
      </c>
      <c r="AT265" s="85">
        <f t="shared" si="526"/>
        <v>4647.3849999999993</v>
      </c>
      <c r="AU265" s="85">
        <f t="shared" si="526"/>
        <v>4647.3849999999993</v>
      </c>
      <c r="AV265" s="86">
        <f t="shared" si="520"/>
        <v>55768.62</v>
      </c>
      <c r="AW265" s="87"/>
      <c r="AX265" s="88"/>
      <c r="AY265" s="88"/>
    </row>
    <row r="266" spans="1:51">
      <c r="A266" s="79" t="s">
        <v>3030</v>
      </c>
      <c r="B266" s="130" t="str">
        <f t="shared" si="510"/>
        <v>ACPSZL</v>
      </c>
      <c r="C266" s="80" t="str">
        <f t="shared" si="511"/>
        <v>深圳户籍</v>
      </c>
      <c r="D266" s="80" t="str">
        <f t="shared" si="512"/>
        <v>Professional</v>
      </c>
      <c r="E266" s="80">
        <f t="shared" si="513"/>
        <v>0</v>
      </c>
      <c r="F266" s="82">
        <f t="shared" si="514"/>
        <v>20000</v>
      </c>
      <c r="G266" s="82"/>
      <c r="H266" s="82" t="str">
        <f t="shared" si="515"/>
        <v>陈广华</v>
      </c>
      <c r="I266" s="83">
        <f t="shared" si="516"/>
        <v>0</v>
      </c>
      <c r="J266" s="82"/>
      <c r="K266" s="84"/>
      <c r="L266" s="84"/>
      <c r="M266" s="84"/>
      <c r="N266" s="84"/>
      <c r="O266" s="84"/>
      <c r="P266" s="84"/>
      <c r="Q266" s="84"/>
      <c r="R266" s="84"/>
      <c r="S266" s="84"/>
      <c r="T266" s="84"/>
      <c r="U266" s="84"/>
      <c r="V266" s="84"/>
      <c r="W266" s="85">
        <f t="shared" ref="W266:AH266" si="527">W55+W90+W125+W160+W195</f>
        <v>4700</v>
      </c>
      <c r="X266" s="85">
        <f t="shared" si="527"/>
        <v>4700</v>
      </c>
      <c r="Y266" s="85">
        <f t="shared" si="527"/>
        <v>4700</v>
      </c>
      <c r="Z266" s="85">
        <f t="shared" si="527"/>
        <v>4700</v>
      </c>
      <c r="AA266" s="85">
        <f t="shared" si="527"/>
        <v>4700</v>
      </c>
      <c r="AB266" s="85">
        <f t="shared" si="527"/>
        <v>4700</v>
      </c>
      <c r="AC266" s="85">
        <f t="shared" si="527"/>
        <v>4700</v>
      </c>
      <c r="AD266" s="85">
        <f t="shared" si="527"/>
        <v>4700</v>
      </c>
      <c r="AE266" s="85">
        <f t="shared" si="527"/>
        <v>4700</v>
      </c>
      <c r="AF266" s="85">
        <f t="shared" si="527"/>
        <v>4700</v>
      </c>
      <c r="AG266" s="85">
        <f t="shared" si="527"/>
        <v>4700</v>
      </c>
      <c r="AH266" s="85">
        <f t="shared" si="527"/>
        <v>4700</v>
      </c>
      <c r="AI266" s="86">
        <f t="shared" si="518"/>
        <v>56400</v>
      </c>
      <c r="AJ266" s="85">
        <f t="shared" ref="AJ266:AU266" si="528">AJ55+AJ90+AJ125+AJ160+AJ195</f>
        <v>4935</v>
      </c>
      <c r="AK266" s="85">
        <f t="shared" si="528"/>
        <v>4935</v>
      </c>
      <c r="AL266" s="85">
        <f t="shared" si="528"/>
        <v>4935</v>
      </c>
      <c r="AM266" s="85">
        <f t="shared" si="528"/>
        <v>4935</v>
      </c>
      <c r="AN266" s="85">
        <f t="shared" si="528"/>
        <v>4935</v>
      </c>
      <c r="AO266" s="85">
        <f t="shared" si="528"/>
        <v>4935</v>
      </c>
      <c r="AP266" s="85">
        <f t="shared" si="528"/>
        <v>4935</v>
      </c>
      <c r="AQ266" s="85">
        <f t="shared" si="528"/>
        <v>4935</v>
      </c>
      <c r="AR266" s="85">
        <f t="shared" si="528"/>
        <v>4935</v>
      </c>
      <c r="AS266" s="85">
        <f t="shared" si="528"/>
        <v>4935</v>
      </c>
      <c r="AT266" s="85">
        <f t="shared" si="528"/>
        <v>4935</v>
      </c>
      <c r="AU266" s="85">
        <f t="shared" si="528"/>
        <v>4935</v>
      </c>
      <c r="AV266" s="86">
        <f t="shared" si="520"/>
        <v>59220</v>
      </c>
      <c r="AW266" s="87"/>
      <c r="AX266" s="88"/>
      <c r="AY266" s="88"/>
    </row>
    <row r="267" spans="1:51">
      <c r="A267" s="79" t="s">
        <v>3030</v>
      </c>
      <c r="B267" s="130" t="str">
        <f t="shared" si="510"/>
        <v>ACPSZL</v>
      </c>
      <c r="C267" s="80" t="str">
        <f t="shared" si="511"/>
        <v>非深圳户籍</v>
      </c>
      <c r="D267" s="80" t="str">
        <f t="shared" si="512"/>
        <v>Professional</v>
      </c>
      <c r="E267" s="80">
        <f t="shared" si="513"/>
        <v>0</v>
      </c>
      <c r="F267" s="82">
        <f t="shared" si="514"/>
        <v>50000</v>
      </c>
      <c r="G267" s="82"/>
      <c r="H267" s="82" t="str">
        <f t="shared" si="515"/>
        <v>冷雨尘</v>
      </c>
      <c r="I267" s="83">
        <f t="shared" si="516"/>
        <v>0</v>
      </c>
      <c r="J267" s="82"/>
      <c r="K267" s="84"/>
      <c r="L267" s="84"/>
      <c r="M267" s="84"/>
      <c r="N267" s="84"/>
      <c r="O267" s="84"/>
      <c r="P267" s="84"/>
      <c r="Q267" s="84"/>
      <c r="R267" s="84"/>
      <c r="S267" s="84"/>
      <c r="T267" s="84"/>
      <c r="U267" s="84"/>
      <c r="V267" s="84"/>
      <c r="W267" s="85">
        <f t="shared" ref="W267:AH267" si="529">W56+W91+W126+W161+W196</f>
        <v>6713.59</v>
      </c>
      <c r="X267" s="85">
        <f t="shared" si="529"/>
        <v>6713.59</v>
      </c>
      <c r="Y267" s="85">
        <f t="shared" si="529"/>
        <v>6713.59</v>
      </c>
      <c r="Z267" s="85">
        <f t="shared" si="529"/>
        <v>6713.59</v>
      </c>
      <c r="AA267" s="85">
        <f t="shared" si="529"/>
        <v>6713.59</v>
      </c>
      <c r="AB267" s="85">
        <f t="shared" si="529"/>
        <v>6713.59</v>
      </c>
      <c r="AC267" s="85">
        <f t="shared" si="529"/>
        <v>6713.59</v>
      </c>
      <c r="AD267" s="85">
        <f t="shared" si="529"/>
        <v>6713.59</v>
      </c>
      <c r="AE267" s="85">
        <f t="shared" si="529"/>
        <v>6713.59</v>
      </c>
      <c r="AF267" s="85">
        <f t="shared" si="529"/>
        <v>6713.59</v>
      </c>
      <c r="AG267" s="85">
        <f t="shared" si="529"/>
        <v>6713.59</v>
      </c>
      <c r="AH267" s="85">
        <f t="shared" si="529"/>
        <v>6713.59</v>
      </c>
      <c r="AI267" s="86">
        <f t="shared" si="518"/>
        <v>80563.079999999973</v>
      </c>
      <c r="AJ267" s="85">
        <f t="shared" ref="AJ267:AU267" si="530">AJ56+AJ91+AJ126+AJ161+AJ196</f>
        <v>6994.08</v>
      </c>
      <c r="AK267" s="85">
        <f t="shared" si="530"/>
        <v>6994.08</v>
      </c>
      <c r="AL267" s="85">
        <f t="shared" si="530"/>
        <v>6994.08</v>
      </c>
      <c r="AM267" s="85">
        <f t="shared" si="530"/>
        <v>6994.08</v>
      </c>
      <c r="AN267" s="85">
        <f t="shared" si="530"/>
        <v>6994.08</v>
      </c>
      <c r="AO267" s="85">
        <f t="shared" si="530"/>
        <v>6994.08</v>
      </c>
      <c r="AP267" s="85">
        <f t="shared" si="530"/>
        <v>6994.08</v>
      </c>
      <c r="AQ267" s="85">
        <f t="shared" si="530"/>
        <v>6994.08</v>
      </c>
      <c r="AR267" s="85">
        <f t="shared" si="530"/>
        <v>6994.08</v>
      </c>
      <c r="AS267" s="85">
        <f t="shared" si="530"/>
        <v>6994.08</v>
      </c>
      <c r="AT267" s="85">
        <f t="shared" si="530"/>
        <v>6994.08</v>
      </c>
      <c r="AU267" s="85">
        <f t="shared" si="530"/>
        <v>6994.08</v>
      </c>
      <c r="AV267" s="86">
        <f t="shared" si="520"/>
        <v>83928.960000000006</v>
      </c>
      <c r="AW267" s="87"/>
      <c r="AX267" s="88"/>
      <c r="AY267" s="88"/>
    </row>
    <row r="268" spans="1:51">
      <c r="A268" s="79" t="s">
        <v>3030</v>
      </c>
      <c r="B268" s="130" t="str">
        <f t="shared" si="510"/>
        <v>ACPSZL</v>
      </c>
      <c r="C268" s="80" t="str">
        <f t="shared" si="511"/>
        <v>深圳户籍</v>
      </c>
      <c r="D268" s="80" t="str">
        <f t="shared" si="512"/>
        <v>Professional</v>
      </c>
      <c r="E268" s="80">
        <f t="shared" si="513"/>
        <v>0</v>
      </c>
      <c r="F268" s="82">
        <f t="shared" si="514"/>
        <v>35000</v>
      </c>
      <c r="G268" s="82"/>
      <c r="H268" s="82" t="str">
        <f t="shared" si="515"/>
        <v>李敏宽</v>
      </c>
      <c r="I268" s="83">
        <f t="shared" si="516"/>
        <v>0.14285714285714279</v>
      </c>
      <c r="J268" s="82"/>
      <c r="K268" s="84"/>
      <c r="L268" s="84"/>
      <c r="M268" s="84"/>
      <c r="N268" s="84"/>
      <c r="O268" s="84"/>
      <c r="P268" s="84"/>
      <c r="Q268" s="84"/>
      <c r="R268" s="84"/>
      <c r="S268" s="84"/>
      <c r="T268" s="84"/>
      <c r="U268" s="84"/>
      <c r="V268" s="84"/>
      <c r="W268" s="85">
        <f t="shared" ref="W268:AH268" si="531">W57+W92+W127+W162+W197</f>
        <v>6884.96</v>
      </c>
      <c r="X268" s="85">
        <f t="shared" si="531"/>
        <v>6884.96</v>
      </c>
      <c r="Y268" s="85">
        <f t="shared" si="531"/>
        <v>6884.96</v>
      </c>
      <c r="Z268" s="85">
        <f t="shared" si="531"/>
        <v>6934.96</v>
      </c>
      <c r="AA268" s="85">
        <f t="shared" si="531"/>
        <v>6934.96</v>
      </c>
      <c r="AB268" s="85">
        <f t="shared" si="531"/>
        <v>6934.96</v>
      </c>
      <c r="AC268" s="85">
        <f t="shared" si="531"/>
        <v>6934.96</v>
      </c>
      <c r="AD268" s="85">
        <f t="shared" si="531"/>
        <v>6934.96</v>
      </c>
      <c r="AE268" s="85">
        <f t="shared" si="531"/>
        <v>6934.96</v>
      </c>
      <c r="AF268" s="85">
        <f t="shared" si="531"/>
        <v>6934.96</v>
      </c>
      <c r="AG268" s="85">
        <f t="shared" si="531"/>
        <v>6934.96</v>
      </c>
      <c r="AH268" s="85">
        <f t="shared" si="531"/>
        <v>6934.96</v>
      </c>
      <c r="AI268" s="86">
        <f t="shared" si="518"/>
        <v>83069.520000000019</v>
      </c>
      <c r="AJ268" s="85">
        <f t="shared" ref="AJ268:AU268" si="532">AJ57+AJ92+AJ127+AJ162+AJ197</f>
        <v>6954.96</v>
      </c>
      <c r="AK268" s="85">
        <f t="shared" si="532"/>
        <v>6954.96</v>
      </c>
      <c r="AL268" s="85">
        <f t="shared" si="532"/>
        <v>6954.96</v>
      </c>
      <c r="AM268" s="85">
        <f t="shared" si="532"/>
        <v>6954.96</v>
      </c>
      <c r="AN268" s="85">
        <f t="shared" si="532"/>
        <v>6954.96</v>
      </c>
      <c r="AO268" s="85">
        <f t="shared" si="532"/>
        <v>6954.96</v>
      </c>
      <c r="AP268" s="85">
        <f t="shared" si="532"/>
        <v>6954.96</v>
      </c>
      <c r="AQ268" s="85">
        <f t="shared" si="532"/>
        <v>6954.96</v>
      </c>
      <c r="AR268" s="85">
        <f t="shared" si="532"/>
        <v>6954.96</v>
      </c>
      <c r="AS268" s="85">
        <f t="shared" si="532"/>
        <v>6954.96</v>
      </c>
      <c r="AT268" s="85">
        <f t="shared" si="532"/>
        <v>6954.96</v>
      </c>
      <c r="AU268" s="85">
        <f t="shared" si="532"/>
        <v>6954.96</v>
      </c>
      <c r="AV268" s="86">
        <f t="shared" si="520"/>
        <v>83459.520000000019</v>
      </c>
      <c r="AW268" s="87"/>
      <c r="AX268" s="88"/>
      <c r="AY268" s="88"/>
    </row>
    <row r="269" spans="1:51">
      <c r="A269" s="79" t="s">
        <v>3030</v>
      </c>
      <c r="B269" s="130" t="str">
        <f t="shared" si="510"/>
        <v>ACPLSZ</v>
      </c>
      <c r="C269" s="80" t="str">
        <f t="shared" si="511"/>
        <v>非深圳户籍</v>
      </c>
      <c r="D269" s="80" t="str">
        <f t="shared" si="512"/>
        <v>Professional</v>
      </c>
      <c r="E269" s="80">
        <f t="shared" si="513"/>
        <v>0</v>
      </c>
      <c r="F269" s="81">
        <f t="shared" si="514"/>
        <v>44250</v>
      </c>
      <c r="G269" s="81"/>
      <c r="H269" s="82" t="str">
        <f t="shared" si="515"/>
        <v>高焙</v>
      </c>
      <c r="I269" s="83">
        <f t="shared" si="516"/>
        <v>0.12994350282485878</v>
      </c>
      <c r="J269" s="82"/>
      <c r="K269" s="84"/>
      <c r="L269" s="84"/>
      <c r="M269" s="84"/>
      <c r="N269" s="84"/>
      <c r="O269" s="84"/>
      <c r="P269" s="84"/>
      <c r="Q269" s="84"/>
      <c r="R269" s="84"/>
      <c r="S269" s="84"/>
      <c r="T269" s="84"/>
      <c r="U269" s="84"/>
      <c r="V269" s="84"/>
      <c r="W269" s="85">
        <f t="shared" ref="W269:AH269" si="533">W58+W93+W128+W163+W198</f>
        <v>6834.13</v>
      </c>
      <c r="X269" s="85">
        <f t="shared" si="533"/>
        <v>6834.13</v>
      </c>
      <c r="Y269" s="85">
        <f t="shared" si="533"/>
        <v>6834.13</v>
      </c>
      <c r="Z269" s="85">
        <f t="shared" si="533"/>
        <v>6834.25</v>
      </c>
      <c r="AA269" s="85">
        <f t="shared" si="533"/>
        <v>6834.25</v>
      </c>
      <c r="AB269" s="85">
        <f t="shared" si="533"/>
        <v>6834.25</v>
      </c>
      <c r="AC269" s="85">
        <f t="shared" si="533"/>
        <v>6834.25</v>
      </c>
      <c r="AD269" s="85">
        <f t="shared" si="533"/>
        <v>6834.25</v>
      </c>
      <c r="AE269" s="85">
        <f t="shared" si="533"/>
        <v>6834.25</v>
      </c>
      <c r="AF269" s="85">
        <f t="shared" si="533"/>
        <v>6834.25</v>
      </c>
      <c r="AG269" s="85">
        <f t="shared" si="533"/>
        <v>6834.25</v>
      </c>
      <c r="AH269" s="85">
        <f t="shared" si="533"/>
        <v>6834.25</v>
      </c>
      <c r="AI269" s="86">
        <f t="shared" ref="AI269:AI281" si="534">SUM(W269:AH269)</f>
        <v>82010.64</v>
      </c>
      <c r="AJ269" s="85">
        <f t="shared" ref="AJ269:AU269" si="535">AJ58+AJ93+AJ128+AJ163+AJ198</f>
        <v>6867.25</v>
      </c>
      <c r="AK269" s="85">
        <f t="shared" si="535"/>
        <v>6867.25</v>
      </c>
      <c r="AL269" s="85">
        <f t="shared" si="535"/>
        <v>6867.25</v>
      </c>
      <c r="AM269" s="85">
        <f t="shared" si="535"/>
        <v>6867.25</v>
      </c>
      <c r="AN269" s="85">
        <f t="shared" si="535"/>
        <v>6867.25</v>
      </c>
      <c r="AO269" s="85">
        <f t="shared" si="535"/>
        <v>6867.25</v>
      </c>
      <c r="AP269" s="85">
        <f t="shared" si="535"/>
        <v>6867.25</v>
      </c>
      <c r="AQ269" s="85">
        <f t="shared" si="535"/>
        <v>6867.25</v>
      </c>
      <c r="AR269" s="85">
        <f t="shared" si="535"/>
        <v>6867.25</v>
      </c>
      <c r="AS269" s="85">
        <f t="shared" si="535"/>
        <v>6867.25</v>
      </c>
      <c r="AT269" s="85">
        <f t="shared" si="535"/>
        <v>6867.25</v>
      </c>
      <c r="AU269" s="85">
        <f t="shared" si="535"/>
        <v>6867.25</v>
      </c>
      <c r="AV269" s="86">
        <f t="shared" ref="AV269:AV283" si="536">SUM(AJ269:AU269)</f>
        <v>82407</v>
      </c>
      <c r="AW269" s="87"/>
      <c r="AX269" s="88"/>
      <c r="AY269" s="88"/>
    </row>
    <row r="270" spans="1:51">
      <c r="A270" s="79" t="s">
        <v>3030</v>
      </c>
      <c r="B270" s="130" t="str">
        <f t="shared" si="510"/>
        <v>ACPLSZ</v>
      </c>
      <c r="C270" s="80" t="str">
        <f t="shared" si="511"/>
        <v>天津</v>
      </c>
      <c r="D270" s="80" t="str">
        <f t="shared" si="512"/>
        <v>Professional</v>
      </c>
      <c r="E270" s="80">
        <f t="shared" si="513"/>
        <v>0</v>
      </c>
      <c r="F270" s="81">
        <f t="shared" si="514"/>
        <v>44250</v>
      </c>
      <c r="G270" s="81"/>
      <c r="H270" s="82" t="str">
        <f t="shared" si="515"/>
        <v>袁玉杰</v>
      </c>
      <c r="I270" s="83">
        <f t="shared" si="516"/>
        <v>0</v>
      </c>
      <c r="J270" s="82"/>
      <c r="K270" s="84"/>
      <c r="L270" s="84"/>
      <c r="M270" s="84"/>
      <c r="N270" s="84"/>
      <c r="O270" s="84"/>
      <c r="P270" s="84"/>
      <c r="Q270" s="84"/>
      <c r="R270" s="84"/>
      <c r="S270" s="84"/>
      <c r="T270" s="84"/>
      <c r="U270" s="84"/>
      <c r="V270" s="84"/>
      <c r="W270" s="85">
        <f t="shared" ref="W270:AH270" si="537">W59+W94+W129+W164+W199</f>
        <v>7096.7400000000007</v>
      </c>
      <c r="X270" s="85">
        <f t="shared" si="537"/>
        <v>7096.7400000000007</v>
      </c>
      <c r="Y270" s="85">
        <f t="shared" si="537"/>
        <v>179.34</v>
      </c>
      <c r="Z270" s="85">
        <f t="shared" si="537"/>
        <v>179.34</v>
      </c>
      <c r="AA270" s="85">
        <f t="shared" si="537"/>
        <v>179.34</v>
      </c>
      <c r="AB270" s="85">
        <f t="shared" si="537"/>
        <v>179.34</v>
      </c>
      <c r="AC270" s="85">
        <f t="shared" si="537"/>
        <v>179.34</v>
      </c>
      <c r="AD270" s="85">
        <f t="shared" si="537"/>
        <v>179.34</v>
      </c>
      <c r="AE270" s="85">
        <f t="shared" si="537"/>
        <v>179.34</v>
      </c>
      <c r="AF270" s="85">
        <f t="shared" si="537"/>
        <v>179.34</v>
      </c>
      <c r="AG270" s="85">
        <f t="shared" si="537"/>
        <v>179.34</v>
      </c>
      <c r="AH270" s="85">
        <f t="shared" si="537"/>
        <v>179.34</v>
      </c>
      <c r="AI270" s="86">
        <f t="shared" si="534"/>
        <v>15986.880000000003</v>
      </c>
      <c r="AJ270" s="85">
        <f t="shared" ref="AJ270:AU270" si="538">AJ59+AJ94+AJ129+AJ164+AJ199</f>
        <v>6484.17</v>
      </c>
      <c r="AK270" s="85">
        <f t="shared" si="538"/>
        <v>6484.17</v>
      </c>
      <c r="AL270" s="85">
        <f t="shared" si="538"/>
        <v>6484.17</v>
      </c>
      <c r="AM270" s="85">
        <f t="shared" si="538"/>
        <v>6484.17</v>
      </c>
      <c r="AN270" s="85">
        <f t="shared" si="538"/>
        <v>6484.17</v>
      </c>
      <c r="AO270" s="85">
        <f t="shared" si="538"/>
        <v>6484.17</v>
      </c>
      <c r="AP270" s="85">
        <f t="shared" si="538"/>
        <v>6484.17</v>
      </c>
      <c r="AQ270" s="85">
        <f t="shared" si="538"/>
        <v>6484.17</v>
      </c>
      <c r="AR270" s="85">
        <f t="shared" si="538"/>
        <v>6484.17</v>
      </c>
      <c r="AS270" s="85">
        <f t="shared" si="538"/>
        <v>6484.17</v>
      </c>
      <c r="AT270" s="85">
        <f t="shared" si="538"/>
        <v>6484.17</v>
      </c>
      <c r="AU270" s="85">
        <f t="shared" si="538"/>
        <v>6484.17</v>
      </c>
      <c r="AV270" s="86">
        <f t="shared" si="536"/>
        <v>77810.039999999994</v>
      </c>
      <c r="AW270" s="87"/>
      <c r="AX270" s="88"/>
      <c r="AY270" s="88"/>
    </row>
    <row r="271" spans="1:51">
      <c r="A271" s="79" t="s">
        <v>3030</v>
      </c>
      <c r="B271" s="130" t="str">
        <f t="shared" si="510"/>
        <v>ACPLSZ</v>
      </c>
      <c r="C271" s="80" t="str">
        <f t="shared" si="511"/>
        <v>深圳户籍</v>
      </c>
      <c r="D271" s="80" t="str">
        <f t="shared" si="512"/>
        <v>Professional</v>
      </c>
      <c r="E271" s="80">
        <f t="shared" si="513"/>
        <v>0</v>
      </c>
      <c r="F271" s="81">
        <f t="shared" si="514"/>
        <v>39000</v>
      </c>
      <c r="G271" s="81"/>
      <c r="H271" s="82" t="str">
        <f t="shared" si="515"/>
        <v>何梅春</v>
      </c>
      <c r="I271" s="83">
        <f t="shared" si="516"/>
        <v>0</v>
      </c>
      <c r="J271" s="82"/>
      <c r="K271" s="84"/>
      <c r="L271" s="84"/>
      <c r="M271" s="84"/>
      <c r="N271" s="84"/>
      <c r="O271" s="84"/>
      <c r="P271" s="84"/>
      <c r="Q271" s="84"/>
      <c r="R271" s="84"/>
      <c r="S271" s="84"/>
      <c r="T271" s="84"/>
      <c r="U271" s="84"/>
      <c r="V271" s="84"/>
      <c r="W271" s="85">
        <f t="shared" ref="W271:AH271" si="539">W60+W95+W130+W165+W200</f>
        <v>6777.3909999999996</v>
      </c>
      <c r="X271" s="85">
        <f t="shared" si="539"/>
        <v>6777.3909999999996</v>
      </c>
      <c r="Y271" s="85">
        <f t="shared" si="539"/>
        <v>6777.3909999999996</v>
      </c>
      <c r="Z271" s="85">
        <f t="shared" si="539"/>
        <v>6777.3909999999996</v>
      </c>
      <c r="AA271" s="85">
        <f t="shared" si="539"/>
        <v>6777.3909999999996</v>
      </c>
      <c r="AB271" s="85">
        <f t="shared" si="539"/>
        <v>6777.3909999999996</v>
      </c>
      <c r="AC271" s="85">
        <f t="shared" si="539"/>
        <v>6777.3909999999996</v>
      </c>
      <c r="AD271" s="85">
        <f t="shared" si="539"/>
        <v>6777.3909999999996</v>
      </c>
      <c r="AE271" s="85">
        <f t="shared" si="539"/>
        <v>6777.3909999999996</v>
      </c>
      <c r="AF271" s="85">
        <f t="shared" si="539"/>
        <v>6777.3909999999996</v>
      </c>
      <c r="AG271" s="85">
        <f t="shared" si="539"/>
        <v>6777.3909999999996</v>
      </c>
      <c r="AH271" s="85">
        <f t="shared" si="539"/>
        <v>6777.3909999999996</v>
      </c>
      <c r="AI271" s="86">
        <f t="shared" si="534"/>
        <v>81328.692000000025</v>
      </c>
      <c r="AJ271" s="85">
        <f t="shared" ref="AJ271:AU271" si="540">AJ60+AJ95+AJ130+AJ165+AJ200</f>
        <v>6777.3909999999996</v>
      </c>
      <c r="AK271" s="85">
        <f t="shared" si="540"/>
        <v>6777.3909999999996</v>
      </c>
      <c r="AL271" s="85">
        <f t="shared" si="540"/>
        <v>6777.3909999999996</v>
      </c>
      <c r="AM271" s="85">
        <f t="shared" si="540"/>
        <v>6777.3909999999996</v>
      </c>
      <c r="AN271" s="85">
        <f t="shared" si="540"/>
        <v>6777.3909999999996</v>
      </c>
      <c r="AO271" s="85">
        <f t="shared" si="540"/>
        <v>6777.3909999999996</v>
      </c>
      <c r="AP271" s="85">
        <f t="shared" si="540"/>
        <v>7070.02</v>
      </c>
      <c r="AQ271" s="85">
        <f t="shared" si="540"/>
        <v>7070.02</v>
      </c>
      <c r="AR271" s="85">
        <f t="shared" si="540"/>
        <v>7070.02</v>
      </c>
      <c r="AS271" s="85">
        <f t="shared" si="540"/>
        <v>7070.02</v>
      </c>
      <c r="AT271" s="85">
        <f t="shared" si="540"/>
        <v>7070.02</v>
      </c>
      <c r="AU271" s="85">
        <f t="shared" si="540"/>
        <v>7070.02</v>
      </c>
      <c r="AV271" s="86">
        <f t="shared" si="536"/>
        <v>83084.466000000029</v>
      </c>
      <c r="AW271" s="87"/>
      <c r="AX271" s="88"/>
      <c r="AY271" s="88"/>
    </row>
    <row r="272" spans="1:51">
      <c r="A272" s="79" t="s">
        <v>3030</v>
      </c>
      <c r="B272" s="130" t="str">
        <f t="shared" si="510"/>
        <v>ACPLSZ</v>
      </c>
      <c r="C272" s="80" t="str">
        <f t="shared" si="511"/>
        <v>非深圳户籍</v>
      </c>
      <c r="D272" s="80" t="str">
        <f t="shared" si="512"/>
        <v>Professional</v>
      </c>
      <c r="E272" s="80">
        <f t="shared" si="513"/>
        <v>0</v>
      </c>
      <c r="F272" s="81">
        <f t="shared" si="514"/>
        <v>26000</v>
      </c>
      <c r="G272" s="81"/>
      <c r="H272" s="82" t="str">
        <f t="shared" si="515"/>
        <v>闫凯</v>
      </c>
      <c r="I272" s="83">
        <f t="shared" si="516"/>
        <v>0</v>
      </c>
      <c r="J272" s="82"/>
      <c r="K272" s="84"/>
      <c r="L272" s="84"/>
      <c r="M272" s="84"/>
      <c r="N272" s="84"/>
      <c r="O272" s="84"/>
      <c r="P272" s="84"/>
      <c r="Q272" s="84"/>
      <c r="R272" s="84"/>
      <c r="S272" s="84"/>
      <c r="T272" s="84"/>
      <c r="U272" s="84"/>
      <c r="V272" s="84"/>
      <c r="W272" s="85">
        <f t="shared" ref="W272:AH272" si="541">W61+W96+W131+W166+W201</f>
        <v>5945.66</v>
      </c>
      <c r="X272" s="85">
        <f t="shared" si="541"/>
        <v>5945.66</v>
      </c>
      <c r="Y272" s="85">
        <f t="shared" si="541"/>
        <v>5945.66</v>
      </c>
      <c r="Z272" s="85">
        <f t="shared" si="541"/>
        <v>5945.66</v>
      </c>
      <c r="AA272" s="85">
        <f t="shared" si="541"/>
        <v>5945.66</v>
      </c>
      <c r="AB272" s="85">
        <f t="shared" si="541"/>
        <v>5945.66</v>
      </c>
      <c r="AC272" s="85">
        <f t="shared" si="541"/>
        <v>5945.66</v>
      </c>
      <c r="AD272" s="85">
        <f t="shared" si="541"/>
        <v>5945.66</v>
      </c>
      <c r="AE272" s="85">
        <f t="shared" si="541"/>
        <v>5945.66</v>
      </c>
      <c r="AF272" s="85">
        <f t="shared" si="541"/>
        <v>5945.66</v>
      </c>
      <c r="AG272" s="85">
        <f t="shared" si="541"/>
        <v>5945.66</v>
      </c>
      <c r="AH272" s="85">
        <f t="shared" si="541"/>
        <v>5945.66</v>
      </c>
      <c r="AI272" s="86">
        <f t="shared" si="534"/>
        <v>71347.920000000013</v>
      </c>
      <c r="AJ272" s="85">
        <f t="shared" ref="AJ272:AU272" si="542">AJ61+AJ96+AJ131+AJ166+AJ201</f>
        <v>6240.7599999999993</v>
      </c>
      <c r="AK272" s="85">
        <f t="shared" si="542"/>
        <v>6240.7599999999993</v>
      </c>
      <c r="AL272" s="85">
        <f t="shared" si="542"/>
        <v>6240.7599999999993</v>
      </c>
      <c r="AM272" s="85">
        <f t="shared" si="542"/>
        <v>6240.7599999999993</v>
      </c>
      <c r="AN272" s="85">
        <f t="shared" si="542"/>
        <v>6240.7599999999993</v>
      </c>
      <c r="AO272" s="85">
        <f t="shared" si="542"/>
        <v>6240.7599999999993</v>
      </c>
      <c r="AP272" s="85">
        <f t="shared" si="542"/>
        <v>6240.7599999999993</v>
      </c>
      <c r="AQ272" s="85">
        <f t="shared" si="542"/>
        <v>6240.7599999999993</v>
      </c>
      <c r="AR272" s="85">
        <f t="shared" si="542"/>
        <v>6240.7599999999993</v>
      </c>
      <c r="AS272" s="85">
        <f t="shared" si="542"/>
        <v>6240.7599999999993</v>
      </c>
      <c r="AT272" s="85">
        <f t="shared" si="542"/>
        <v>6240.7599999999993</v>
      </c>
      <c r="AU272" s="85">
        <f t="shared" si="542"/>
        <v>6240.7599999999993</v>
      </c>
      <c r="AV272" s="86">
        <f t="shared" si="536"/>
        <v>74889.119999999995</v>
      </c>
      <c r="AW272" s="87"/>
      <c r="AX272" s="88"/>
      <c r="AY272" s="88"/>
    </row>
    <row r="273" spans="1:51">
      <c r="A273" s="79" t="s">
        <v>3030</v>
      </c>
      <c r="B273" s="130" t="str">
        <f t="shared" si="510"/>
        <v>ACPLSZ</v>
      </c>
      <c r="C273" s="80" t="str">
        <f t="shared" si="511"/>
        <v>非深圳户籍</v>
      </c>
      <c r="D273" s="80" t="str">
        <f t="shared" si="512"/>
        <v>Professional</v>
      </c>
      <c r="E273" s="80">
        <f t="shared" si="513"/>
        <v>0</v>
      </c>
      <c r="F273" s="81">
        <f t="shared" si="514"/>
        <v>50000</v>
      </c>
      <c r="G273" s="81"/>
      <c r="H273" s="82" t="str">
        <f t="shared" si="515"/>
        <v>叶亚峰</v>
      </c>
      <c r="I273" s="83">
        <f t="shared" si="516"/>
        <v>0</v>
      </c>
      <c r="J273" s="82"/>
      <c r="K273" s="84"/>
      <c r="L273" s="84"/>
      <c r="M273" s="84"/>
      <c r="N273" s="84"/>
      <c r="O273" s="84"/>
      <c r="P273" s="84"/>
      <c r="Q273" s="84"/>
      <c r="R273" s="84"/>
      <c r="S273" s="84"/>
      <c r="T273" s="84"/>
      <c r="U273" s="84"/>
      <c r="V273" s="84"/>
      <c r="W273" s="85">
        <f t="shared" ref="W273:AH273" si="543">W62+W97+W132+W167+W202</f>
        <v>6857.25</v>
      </c>
      <c r="X273" s="85">
        <f t="shared" si="543"/>
        <v>6857.25</v>
      </c>
      <c r="Y273" s="85">
        <f t="shared" si="543"/>
        <v>6857.25</v>
      </c>
      <c r="Z273" s="85">
        <f t="shared" si="543"/>
        <v>6857.25</v>
      </c>
      <c r="AA273" s="85">
        <f t="shared" si="543"/>
        <v>6857.25</v>
      </c>
      <c r="AB273" s="85">
        <f t="shared" si="543"/>
        <v>6857.25</v>
      </c>
      <c r="AC273" s="85">
        <f t="shared" si="543"/>
        <v>6857.25</v>
      </c>
      <c r="AD273" s="85">
        <f t="shared" si="543"/>
        <v>6857.25</v>
      </c>
      <c r="AE273" s="85">
        <f t="shared" si="543"/>
        <v>6857.25</v>
      </c>
      <c r="AF273" s="85">
        <f t="shared" si="543"/>
        <v>6857.25</v>
      </c>
      <c r="AG273" s="85">
        <f t="shared" si="543"/>
        <v>6857.25</v>
      </c>
      <c r="AH273" s="85">
        <f t="shared" si="543"/>
        <v>6857.25</v>
      </c>
      <c r="AI273" s="86">
        <f t="shared" si="534"/>
        <v>82287</v>
      </c>
      <c r="AJ273" s="85">
        <f t="shared" ref="AJ273:AU273" si="544">AJ62+AJ97+AJ132+AJ167+AJ202</f>
        <v>6867.25</v>
      </c>
      <c r="AK273" s="85">
        <f t="shared" si="544"/>
        <v>6867.25</v>
      </c>
      <c r="AL273" s="85">
        <f t="shared" si="544"/>
        <v>6867.25</v>
      </c>
      <c r="AM273" s="85">
        <f t="shared" si="544"/>
        <v>6867.25</v>
      </c>
      <c r="AN273" s="85">
        <f t="shared" si="544"/>
        <v>6867.25</v>
      </c>
      <c r="AO273" s="85">
        <f t="shared" si="544"/>
        <v>6867.25</v>
      </c>
      <c r="AP273" s="85">
        <f t="shared" si="544"/>
        <v>6867.25</v>
      </c>
      <c r="AQ273" s="85">
        <f t="shared" si="544"/>
        <v>6867.25</v>
      </c>
      <c r="AR273" s="85">
        <f t="shared" si="544"/>
        <v>6867.25</v>
      </c>
      <c r="AS273" s="85">
        <f t="shared" si="544"/>
        <v>6867.25</v>
      </c>
      <c r="AT273" s="85">
        <f t="shared" si="544"/>
        <v>6867.25</v>
      </c>
      <c r="AU273" s="85">
        <f t="shared" si="544"/>
        <v>6867.25</v>
      </c>
      <c r="AV273" s="86">
        <f t="shared" si="536"/>
        <v>82407</v>
      </c>
      <c r="AW273" s="87"/>
      <c r="AX273" s="88"/>
      <c r="AY273" s="88"/>
    </row>
    <row r="274" spans="1:51">
      <c r="A274" s="79" t="s">
        <v>3030</v>
      </c>
      <c r="B274" s="93" t="str">
        <f t="shared" si="510"/>
        <v>ACPLSZ</v>
      </c>
      <c r="C274" s="80" t="str">
        <f t="shared" si="511"/>
        <v>北京户籍</v>
      </c>
      <c r="D274" s="80" t="str">
        <f t="shared" si="512"/>
        <v>Professional</v>
      </c>
      <c r="E274" s="80">
        <f t="shared" si="513"/>
        <v>0</v>
      </c>
      <c r="F274" s="82">
        <f t="shared" si="514"/>
        <v>90000</v>
      </c>
      <c r="G274" s="82"/>
      <c r="H274" s="82" t="str">
        <f t="shared" si="515"/>
        <v>张乃文</v>
      </c>
      <c r="I274" s="83">
        <f t="shared" si="516"/>
        <v>0.21428571428571419</v>
      </c>
      <c r="J274" s="82"/>
      <c r="K274" s="84"/>
      <c r="L274" s="84"/>
      <c r="M274" s="84"/>
      <c r="N274" s="84"/>
      <c r="O274" s="84"/>
      <c r="P274" s="84"/>
      <c r="Q274" s="84"/>
      <c r="R274" s="84"/>
      <c r="S274" s="84"/>
      <c r="T274" s="84"/>
      <c r="U274" s="84"/>
      <c r="V274" s="84"/>
      <c r="W274" s="85">
        <f t="shared" ref="W274:AH274" si="545">W63+W98+W133+W168+W203</f>
        <v>0</v>
      </c>
      <c r="X274" s="85">
        <f t="shared" si="545"/>
        <v>0</v>
      </c>
      <c r="Y274" s="85">
        <f t="shared" si="545"/>
        <v>0</v>
      </c>
      <c r="Z274" s="85">
        <f t="shared" si="545"/>
        <v>0</v>
      </c>
      <c r="AA274" s="85">
        <f t="shared" si="545"/>
        <v>0</v>
      </c>
      <c r="AB274" s="85">
        <f t="shared" si="545"/>
        <v>0</v>
      </c>
      <c r="AC274" s="85">
        <f t="shared" si="545"/>
        <v>0</v>
      </c>
      <c r="AD274" s="85">
        <f t="shared" si="545"/>
        <v>0</v>
      </c>
      <c r="AE274" s="85">
        <f t="shared" si="545"/>
        <v>0</v>
      </c>
      <c r="AF274" s="85">
        <f t="shared" si="545"/>
        <v>0</v>
      </c>
      <c r="AG274" s="85">
        <f t="shared" si="545"/>
        <v>0</v>
      </c>
      <c r="AH274" s="85">
        <f t="shared" si="545"/>
        <v>0</v>
      </c>
      <c r="AI274" s="86">
        <f t="shared" si="534"/>
        <v>0</v>
      </c>
      <c r="AJ274" s="85">
        <f t="shared" ref="AJ274:AU274" si="546">AJ63+AJ98+AJ133+AJ168+AJ203</f>
        <v>0</v>
      </c>
      <c r="AK274" s="85">
        <f t="shared" si="546"/>
        <v>0</v>
      </c>
      <c r="AL274" s="85">
        <f t="shared" si="546"/>
        <v>0</v>
      </c>
      <c r="AM274" s="85">
        <f t="shared" si="546"/>
        <v>0</v>
      </c>
      <c r="AN274" s="85">
        <f t="shared" si="546"/>
        <v>0</v>
      </c>
      <c r="AO274" s="85">
        <f t="shared" si="546"/>
        <v>0</v>
      </c>
      <c r="AP274" s="85">
        <f t="shared" si="546"/>
        <v>0</v>
      </c>
      <c r="AQ274" s="85">
        <f t="shared" si="546"/>
        <v>0</v>
      </c>
      <c r="AR274" s="85">
        <f t="shared" si="546"/>
        <v>0</v>
      </c>
      <c r="AS274" s="85">
        <f t="shared" si="546"/>
        <v>0</v>
      </c>
      <c r="AT274" s="85">
        <f t="shared" si="546"/>
        <v>0</v>
      </c>
      <c r="AU274" s="85">
        <f t="shared" si="546"/>
        <v>0</v>
      </c>
      <c r="AV274" s="86">
        <f t="shared" si="536"/>
        <v>0</v>
      </c>
      <c r="AW274" s="87"/>
      <c r="AX274" s="88"/>
      <c r="AY274" s="88"/>
    </row>
    <row r="275" spans="1:51">
      <c r="A275" s="79" t="s">
        <v>3030</v>
      </c>
      <c r="B275" s="93" t="str">
        <f t="shared" si="510"/>
        <v>ACPLSZ</v>
      </c>
      <c r="C275" s="80" t="str">
        <f t="shared" si="511"/>
        <v>北京户籍</v>
      </c>
      <c r="D275" s="80" t="str">
        <f t="shared" si="512"/>
        <v>Professional</v>
      </c>
      <c r="E275" s="80">
        <f t="shared" si="513"/>
        <v>0</v>
      </c>
      <c r="F275" s="82">
        <f t="shared" si="514"/>
        <v>30000</v>
      </c>
      <c r="G275" s="82"/>
      <c r="H275" s="82" t="str">
        <f t="shared" si="515"/>
        <v>邓天卓</v>
      </c>
      <c r="I275" s="83">
        <f t="shared" si="516"/>
        <v>0.33333333333333326</v>
      </c>
      <c r="J275" s="82"/>
      <c r="K275" s="84"/>
      <c r="L275" s="84"/>
      <c r="M275" s="84"/>
      <c r="N275" s="84"/>
      <c r="O275" s="84"/>
      <c r="P275" s="84"/>
      <c r="Q275" s="84"/>
      <c r="R275" s="84"/>
      <c r="S275" s="84"/>
      <c r="T275" s="84"/>
      <c r="U275" s="84"/>
      <c r="V275" s="84"/>
      <c r="W275" s="85">
        <f t="shared" ref="W275:AH275" si="547">W64+W99+W134+W169+W204</f>
        <v>8010</v>
      </c>
      <c r="X275" s="85">
        <f t="shared" si="547"/>
        <v>8010</v>
      </c>
      <c r="Y275" s="85">
        <f t="shared" si="547"/>
        <v>8010</v>
      </c>
      <c r="Z275" s="85">
        <f t="shared" si="547"/>
        <v>9561.5370000000021</v>
      </c>
      <c r="AA275" s="85">
        <f t="shared" si="547"/>
        <v>9561.5370000000021</v>
      </c>
      <c r="AB275" s="85">
        <f t="shared" si="547"/>
        <v>9561.5370000000021</v>
      </c>
      <c r="AC275" s="85">
        <f t="shared" si="547"/>
        <v>9561.5370000000021</v>
      </c>
      <c r="AD275" s="85">
        <f t="shared" si="547"/>
        <v>9561.5370000000021</v>
      </c>
      <c r="AE275" s="85">
        <f t="shared" si="547"/>
        <v>9561.5370000000021</v>
      </c>
      <c r="AF275" s="85">
        <f t="shared" si="547"/>
        <v>9561.5370000000021</v>
      </c>
      <c r="AG275" s="85">
        <f t="shared" si="547"/>
        <v>9561.5370000000021</v>
      </c>
      <c r="AH275" s="85">
        <f t="shared" si="547"/>
        <v>9561.5370000000021</v>
      </c>
      <c r="AI275" s="86">
        <f t="shared" si="534"/>
        <v>110083.833</v>
      </c>
      <c r="AJ275" s="85">
        <f t="shared" ref="AJ275:AU275" si="548">AJ64+AJ99+AJ134+AJ169+AJ204</f>
        <v>9561.5370000000021</v>
      </c>
      <c r="AK275" s="85">
        <f t="shared" si="548"/>
        <v>9561.5370000000021</v>
      </c>
      <c r="AL275" s="85">
        <f t="shared" si="548"/>
        <v>9561.5370000000021</v>
      </c>
      <c r="AM275" s="85">
        <f t="shared" si="548"/>
        <v>9561.5370000000021</v>
      </c>
      <c r="AN275" s="85">
        <f t="shared" si="548"/>
        <v>9561.5370000000021</v>
      </c>
      <c r="AO275" s="85">
        <f t="shared" si="548"/>
        <v>9561.5370000000021</v>
      </c>
      <c r="AP275" s="85">
        <f t="shared" si="548"/>
        <v>9561.5370000000021</v>
      </c>
      <c r="AQ275" s="85">
        <f t="shared" si="548"/>
        <v>9561.5370000000021</v>
      </c>
      <c r="AR275" s="85">
        <f t="shared" si="548"/>
        <v>9561.5370000000021</v>
      </c>
      <c r="AS275" s="85">
        <f t="shared" si="548"/>
        <v>9561.5370000000021</v>
      </c>
      <c r="AT275" s="85">
        <f t="shared" si="548"/>
        <v>9561.5370000000021</v>
      </c>
      <c r="AU275" s="85">
        <f t="shared" si="548"/>
        <v>9561.5370000000021</v>
      </c>
      <c r="AV275" s="86">
        <f t="shared" si="536"/>
        <v>114738.444</v>
      </c>
      <c r="AW275" s="87"/>
      <c r="AX275" s="88"/>
      <c r="AY275" s="88"/>
    </row>
    <row r="276" spans="1:51">
      <c r="A276" s="79" t="s">
        <v>3030</v>
      </c>
      <c r="B276" s="93" t="str">
        <f t="shared" si="510"/>
        <v>ACPLSZ</v>
      </c>
      <c r="C276" s="80" t="str">
        <f t="shared" si="511"/>
        <v>北京户籍</v>
      </c>
      <c r="D276" s="80" t="str">
        <f t="shared" si="512"/>
        <v>Professional</v>
      </c>
      <c r="E276" s="80">
        <f t="shared" si="513"/>
        <v>0</v>
      </c>
      <c r="F276" s="82">
        <f t="shared" si="514"/>
        <v>50000</v>
      </c>
      <c r="G276" s="82"/>
      <c r="H276" s="82" t="str">
        <f t="shared" si="515"/>
        <v>王志强</v>
      </c>
      <c r="I276" s="83">
        <f t="shared" si="516"/>
        <v>0</v>
      </c>
      <c r="J276" s="82"/>
      <c r="K276" s="84"/>
      <c r="L276" s="84"/>
      <c r="M276" s="84"/>
      <c r="N276" s="84"/>
      <c r="O276" s="84"/>
      <c r="P276" s="84"/>
      <c r="Q276" s="84"/>
      <c r="R276" s="84"/>
      <c r="S276" s="84"/>
      <c r="T276" s="84"/>
      <c r="U276" s="84"/>
      <c r="V276" s="84"/>
      <c r="W276" s="85">
        <f t="shared" ref="W276:AH276" si="549">W65+W100+W135+W170+W205</f>
        <v>9561.5370000000021</v>
      </c>
      <c r="X276" s="85">
        <f t="shared" si="549"/>
        <v>9561.5370000000021</v>
      </c>
      <c r="Y276" s="85">
        <f t="shared" si="549"/>
        <v>9561.5370000000021</v>
      </c>
      <c r="Z276" s="85">
        <f t="shared" si="549"/>
        <v>9561.5370000000021</v>
      </c>
      <c r="AA276" s="85">
        <f t="shared" si="549"/>
        <v>9561.5370000000021</v>
      </c>
      <c r="AB276" s="85">
        <f t="shared" si="549"/>
        <v>9561.5370000000021</v>
      </c>
      <c r="AC276" s="85">
        <f t="shared" si="549"/>
        <v>9561.5370000000021</v>
      </c>
      <c r="AD276" s="85">
        <f t="shared" si="549"/>
        <v>9561.5370000000021</v>
      </c>
      <c r="AE276" s="85">
        <f t="shared" si="549"/>
        <v>9561.5370000000021</v>
      </c>
      <c r="AF276" s="85">
        <f t="shared" si="549"/>
        <v>9561.5370000000021</v>
      </c>
      <c r="AG276" s="85">
        <f t="shared" si="549"/>
        <v>9561.5370000000021</v>
      </c>
      <c r="AH276" s="85">
        <f t="shared" si="549"/>
        <v>9561.5370000000021</v>
      </c>
      <c r="AI276" s="86">
        <f t="shared" si="534"/>
        <v>114738.444</v>
      </c>
      <c r="AJ276" s="85">
        <f t="shared" ref="AJ276:AU276" si="550">AJ65+AJ100+AJ135+AJ170+AJ205</f>
        <v>9561.5370000000021</v>
      </c>
      <c r="AK276" s="85">
        <f t="shared" si="550"/>
        <v>9561.5370000000021</v>
      </c>
      <c r="AL276" s="85">
        <f t="shared" si="550"/>
        <v>9561.5370000000021</v>
      </c>
      <c r="AM276" s="85">
        <f t="shared" si="550"/>
        <v>9561.5370000000021</v>
      </c>
      <c r="AN276" s="85">
        <f t="shared" si="550"/>
        <v>9561.5370000000021</v>
      </c>
      <c r="AO276" s="85">
        <f t="shared" si="550"/>
        <v>9561.5370000000021</v>
      </c>
      <c r="AP276" s="85">
        <f t="shared" si="550"/>
        <v>9561.5370000000021</v>
      </c>
      <c r="AQ276" s="85">
        <f t="shared" si="550"/>
        <v>9561.5370000000021</v>
      </c>
      <c r="AR276" s="85">
        <f t="shared" si="550"/>
        <v>9561.5370000000021</v>
      </c>
      <c r="AS276" s="85">
        <f t="shared" si="550"/>
        <v>9561.5370000000021</v>
      </c>
      <c r="AT276" s="85">
        <f t="shared" si="550"/>
        <v>9561.5370000000021</v>
      </c>
      <c r="AU276" s="85">
        <f t="shared" si="550"/>
        <v>9561.5370000000021</v>
      </c>
      <c r="AV276" s="86">
        <f t="shared" si="536"/>
        <v>114738.444</v>
      </c>
      <c r="AW276" s="87"/>
      <c r="AX276" s="88"/>
      <c r="AY276" s="88"/>
    </row>
    <row r="277" spans="1:51">
      <c r="A277" s="79" t="s">
        <v>3030</v>
      </c>
      <c r="B277" s="93" t="str">
        <f t="shared" si="510"/>
        <v>ACPLSZ</v>
      </c>
      <c r="C277" s="80" t="str">
        <f t="shared" si="511"/>
        <v>上海户籍</v>
      </c>
      <c r="D277" s="80" t="str">
        <f t="shared" si="512"/>
        <v>Professional</v>
      </c>
      <c r="E277" s="80">
        <f t="shared" si="513"/>
        <v>0</v>
      </c>
      <c r="F277" s="82">
        <f t="shared" si="514"/>
        <v>90000</v>
      </c>
      <c r="G277" s="82"/>
      <c r="H277" s="82" t="str">
        <f t="shared" si="515"/>
        <v>顾顺聪</v>
      </c>
      <c r="I277" s="83">
        <f t="shared" si="516"/>
        <v>0</v>
      </c>
      <c r="J277" s="82"/>
      <c r="K277" s="84"/>
      <c r="L277" s="84"/>
      <c r="M277" s="84"/>
      <c r="N277" s="84"/>
      <c r="O277" s="84"/>
      <c r="P277" s="84"/>
      <c r="Q277" s="84"/>
      <c r="R277" s="84"/>
      <c r="S277" s="84"/>
      <c r="T277" s="84"/>
      <c r="U277" s="84"/>
      <c r="V277" s="84"/>
      <c r="W277" s="85">
        <f t="shared" ref="W277:AH277" si="551">W66+W101+W136+W171+W206</f>
        <v>0</v>
      </c>
      <c r="X277" s="85">
        <f t="shared" si="551"/>
        <v>0</v>
      </c>
      <c r="Y277" s="85">
        <f t="shared" si="551"/>
        <v>0</v>
      </c>
      <c r="Z277" s="85">
        <f t="shared" si="551"/>
        <v>0</v>
      </c>
      <c r="AA277" s="85">
        <f t="shared" si="551"/>
        <v>0</v>
      </c>
      <c r="AB277" s="85">
        <f t="shared" si="551"/>
        <v>0</v>
      </c>
      <c r="AC277" s="85">
        <f t="shared" si="551"/>
        <v>0</v>
      </c>
      <c r="AD277" s="85">
        <f t="shared" si="551"/>
        <v>0</v>
      </c>
      <c r="AE277" s="85">
        <f t="shared" si="551"/>
        <v>0</v>
      </c>
      <c r="AF277" s="85">
        <f t="shared" si="551"/>
        <v>0</v>
      </c>
      <c r="AG277" s="85">
        <f t="shared" si="551"/>
        <v>0</v>
      </c>
      <c r="AH277" s="85">
        <f t="shared" si="551"/>
        <v>0</v>
      </c>
      <c r="AI277" s="86">
        <f t="shared" si="534"/>
        <v>0</v>
      </c>
      <c r="AJ277" s="85">
        <f t="shared" ref="AJ277:AU277" si="552">AJ66+AJ101+AJ136+AJ171+AJ206</f>
        <v>0</v>
      </c>
      <c r="AK277" s="85">
        <f t="shared" si="552"/>
        <v>0</v>
      </c>
      <c r="AL277" s="85">
        <f t="shared" si="552"/>
        <v>0</v>
      </c>
      <c r="AM277" s="85">
        <f t="shared" si="552"/>
        <v>0</v>
      </c>
      <c r="AN277" s="85">
        <f t="shared" si="552"/>
        <v>0</v>
      </c>
      <c r="AO277" s="85">
        <f t="shared" si="552"/>
        <v>0</v>
      </c>
      <c r="AP277" s="85">
        <f t="shared" si="552"/>
        <v>0</v>
      </c>
      <c r="AQ277" s="85">
        <f t="shared" si="552"/>
        <v>0</v>
      </c>
      <c r="AR277" s="85">
        <f t="shared" si="552"/>
        <v>0</v>
      </c>
      <c r="AS277" s="85">
        <f t="shared" si="552"/>
        <v>0</v>
      </c>
      <c r="AT277" s="85">
        <f t="shared" si="552"/>
        <v>0</v>
      </c>
      <c r="AU277" s="85">
        <f t="shared" si="552"/>
        <v>0</v>
      </c>
      <c r="AV277" s="86">
        <f t="shared" si="536"/>
        <v>0</v>
      </c>
      <c r="AW277" s="87"/>
      <c r="AX277" s="88"/>
      <c r="AY277" s="88"/>
    </row>
    <row r="278" spans="1:51">
      <c r="A278" s="79" t="s">
        <v>3030</v>
      </c>
      <c r="B278" s="130" t="str">
        <f t="shared" si="510"/>
        <v>ACPSZL</v>
      </c>
      <c r="C278" s="80" t="str">
        <f t="shared" si="511"/>
        <v>深圳户籍</v>
      </c>
      <c r="D278" s="80" t="str">
        <f t="shared" si="512"/>
        <v>Professional</v>
      </c>
      <c r="E278" s="80">
        <f t="shared" si="513"/>
        <v>0</v>
      </c>
      <c r="F278" s="81">
        <f t="shared" si="514"/>
        <v>35000</v>
      </c>
      <c r="G278" s="81"/>
      <c r="H278" s="90" t="str">
        <f t="shared" si="515"/>
        <v>风资源工程师</v>
      </c>
      <c r="I278" s="83">
        <f t="shared" si="516"/>
        <v>0</v>
      </c>
      <c r="J278" s="82"/>
      <c r="K278" s="84"/>
      <c r="L278" s="84"/>
      <c r="M278" s="84"/>
      <c r="N278" s="84"/>
      <c r="O278" s="84"/>
      <c r="P278" s="84"/>
      <c r="Q278" s="84"/>
      <c r="R278" s="84"/>
      <c r="S278" s="84"/>
      <c r="T278" s="84"/>
      <c r="U278" s="84"/>
      <c r="V278" s="84"/>
      <c r="W278" s="85">
        <f t="shared" ref="W278:AH278" si="553">W67+W102+W137+W172+W207</f>
        <v>43.66</v>
      </c>
      <c r="X278" s="85">
        <f t="shared" si="553"/>
        <v>43.66</v>
      </c>
      <c r="Y278" s="85">
        <f t="shared" si="553"/>
        <v>43.66</v>
      </c>
      <c r="Z278" s="85">
        <f t="shared" si="553"/>
        <v>6998.62</v>
      </c>
      <c r="AA278" s="85">
        <f t="shared" si="553"/>
        <v>6998.62</v>
      </c>
      <c r="AB278" s="85">
        <f t="shared" si="553"/>
        <v>6998.62</v>
      </c>
      <c r="AC278" s="85">
        <f t="shared" si="553"/>
        <v>6998.62</v>
      </c>
      <c r="AD278" s="85">
        <f t="shared" si="553"/>
        <v>6998.62</v>
      </c>
      <c r="AE278" s="85">
        <f t="shared" si="553"/>
        <v>6998.62</v>
      </c>
      <c r="AF278" s="85">
        <f t="shared" si="553"/>
        <v>6998.62</v>
      </c>
      <c r="AG278" s="85">
        <f t="shared" si="553"/>
        <v>6998.62</v>
      </c>
      <c r="AH278" s="85">
        <f t="shared" si="553"/>
        <v>6998.62</v>
      </c>
      <c r="AI278" s="86">
        <f t="shared" si="534"/>
        <v>63118.560000000012</v>
      </c>
      <c r="AJ278" s="85">
        <f t="shared" ref="AJ278:AU278" si="554">AJ67+AJ102+AJ137+AJ172+AJ207</f>
        <v>7019.62</v>
      </c>
      <c r="AK278" s="85">
        <f t="shared" si="554"/>
        <v>7019.62</v>
      </c>
      <c r="AL278" s="85">
        <f t="shared" si="554"/>
        <v>7019.62</v>
      </c>
      <c r="AM278" s="85">
        <f t="shared" si="554"/>
        <v>7019.62</v>
      </c>
      <c r="AN278" s="85">
        <f t="shared" si="554"/>
        <v>7019.62</v>
      </c>
      <c r="AO278" s="85">
        <f t="shared" si="554"/>
        <v>7019.62</v>
      </c>
      <c r="AP278" s="85">
        <f t="shared" si="554"/>
        <v>7019.62</v>
      </c>
      <c r="AQ278" s="85">
        <f t="shared" si="554"/>
        <v>7019.62</v>
      </c>
      <c r="AR278" s="85">
        <f t="shared" si="554"/>
        <v>7019.62</v>
      </c>
      <c r="AS278" s="85">
        <f t="shared" si="554"/>
        <v>7019.62</v>
      </c>
      <c r="AT278" s="85">
        <f t="shared" si="554"/>
        <v>7019.62</v>
      </c>
      <c r="AU278" s="85">
        <f t="shared" si="554"/>
        <v>7019.62</v>
      </c>
      <c r="AV278" s="86">
        <f t="shared" si="536"/>
        <v>84235.44</v>
      </c>
      <c r="AW278" s="87"/>
      <c r="AX278" s="88"/>
      <c r="AY278" s="88"/>
    </row>
    <row r="279" spans="1:51">
      <c r="A279" s="79" t="s">
        <v>3030</v>
      </c>
      <c r="B279" s="130" t="str">
        <f t="shared" si="510"/>
        <v>ACPLSZ</v>
      </c>
      <c r="C279" s="80" t="str">
        <f t="shared" si="511"/>
        <v>深圳户籍</v>
      </c>
      <c r="D279" s="80" t="str">
        <f t="shared" si="512"/>
        <v>Professional</v>
      </c>
      <c r="E279" s="80">
        <f t="shared" si="513"/>
        <v>0</v>
      </c>
      <c r="F279" s="82">
        <f t="shared" si="514"/>
        <v>33000</v>
      </c>
      <c r="G279" s="82"/>
      <c r="H279" s="90" t="str">
        <f t="shared" si="515"/>
        <v>电力交易员</v>
      </c>
      <c r="I279" s="83">
        <f t="shared" si="516"/>
        <v>0</v>
      </c>
      <c r="J279" s="82"/>
      <c r="K279" s="84"/>
      <c r="L279" s="84"/>
      <c r="M279" s="84"/>
      <c r="N279" s="84"/>
      <c r="O279" s="84"/>
      <c r="P279" s="84"/>
      <c r="Q279" s="84"/>
      <c r="R279" s="84"/>
      <c r="S279" s="84"/>
      <c r="T279" s="84"/>
      <c r="U279" s="84"/>
      <c r="V279" s="84"/>
      <c r="W279" s="85">
        <f t="shared" ref="W279:AH279" si="555">W68+W103+W138+W173+W208</f>
        <v>43.66</v>
      </c>
      <c r="X279" s="85">
        <f t="shared" si="555"/>
        <v>6937.99</v>
      </c>
      <c r="Y279" s="85">
        <f t="shared" si="555"/>
        <v>6937.99</v>
      </c>
      <c r="Z279" s="85">
        <f t="shared" si="555"/>
        <v>6937.99</v>
      </c>
      <c r="AA279" s="85">
        <f t="shared" si="555"/>
        <v>6937.99</v>
      </c>
      <c r="AB279" s="85">
        <f t="shared" si="555"/>
        <v>6937.99</v>
      </c>
      <c r="AC279" s="85">
        <f t="shared" si="555"/>
        <v>6937.99</v>
      </c>
      <c r="AD279" s="85">
        <f t="shared" si="555"/>
        <v>6937.99</v>
      </c>
      <c r="AE279" s="85">
        <f t="shared" si="555"/>
        <v>6937.99</v>
      </c>
      <c r="AF279" s="85">
        <f t="shared" si="555"/>
        <v>6937.99</v>
      </c>
      <c r="AG279" s="85">
        <f t="shared" si="555"/>
        <v>6937.99</v>
      </c>
      <c r="AH279" s="85">
        <f t="shared" si="555"/>
        <v>6937.99</v>
      </c>
      <c r="AI279" s="86">
        <f t="shared" si="534"/>
        <v>76361.549999999988</v>
      </c>
      <c r="AJ279" s="85">
        <f t="shared" ref="AJ279:AU279" si="556">AJ68+AJ103+AJ138+AJ173+AJ208</f>
        <v>6994.42</v>
      </c>
      <c r="AK279" s="85">
        <f t="shared" si="556"/>
        <v>6994.42</v>
      </c>
      <c r="AL279" s="85">
        <f t="shared" si="556"/>
        <v>6994.42</v>
      </c>
      <c r="AM279" s="85">
        <f t="shared" si="556"/>
        <v>6994.42</v>
      </c>
      <c r="AN279" s="85">
        <f t="shared" si="556"/>
        <v>6994.42</v>
      </c>
      <c r="AO279" s="85">
        <f t="shared" si="556"/>
        <v>6994.42</v>
      </c>
      <c r="AP279" s="85">
        <f t="shared" si="556"/>
        <v>6994.42</v>
      </c>
      <c r="AQ279" s="85">
        <f t="shared" si="556"/>
        <v>6994.42</v>
      </c>
      <c r="AR279" s="85">
        <f t="shared" si="556"/>
        <v>6994.42</v>
      </c>
      <c r="AS279" s="85">
        <f t="shared" si="556"/>
        <v>6994.42</v>
      </c>
      <c r="AT279" s="85">
        <f t="shared" si="556"/>
        <v>6994.42</v>
      </c>
      <c r="AU279" s="85">
        <f t="shared" si="556"/>
        <v>6994.42</v>
      </c>
      <c r="AV279" s="86">
        <f t="shared" si="536"/>
        <v>83933.04</v>
      </c>
      <c r="AW279" s="87"/>
      <c r="AX279" s="88"/>
      <c r="AY279" s="88"/>
    </row>
    <row r="280" spans="1:51">
      <c r="A280" s="79" t="s">
        <v>3030</v>
      </c>
      <c r="B280" s="130" t="str">
        <f t="shared" si="510"/>
        <v>ACPLSZ</v>
      </c>
      <c r="C280" s="80" t="str">
        <f t="shared" si="511"/>
        <v>深圳户籍</v>
      </c>
      <c r="D280" s="80" t="str">
        <f t="shared" si="512"/>
        <v>Professional</v>
      </c>
      <c r="E280" s="80">
        <f t="shared" si="513"/>
        <v>0</v>
      </c>
      <c r="F280" s="82">
        <f t="shared" si="514"/>
        <v>60000</v>
      </c>
      <c r="G280" s="82"/>
      <c r="H280" s="90" t="str">
        <f t="shared" si="515"/>
        <v>律师</v>
      </c>
      <c r="I280" s="83">
        <f t="shared" si="516"/>
        <v>0</v>
      </c>
      <c r="J280" s="82"/>
      <c r="K280" s="84"/>
      <c r="L280" s="84"/>
      <c r="M280" s="84"/>
      <c r="N280" s="84"/>
      <c r="O280" s="84"/>
      <c r="P280" s="84"/>
      <c r="Q280" s="84"/>
      <c r="R280" s="84"/>
      <c r="S280" s="84"/>
      <c r="T280" s="84"/>
      <c r="U280" s="84"/>
      <c r="V280" s="84"/>
      <c r="W280" s="85">
        <f t="shared" ref="W280:AH280" si="557">W69+W104+W139+W174+W209</f>
        <v>43.66</v>
      </c>
      <c r="X280" s="85">
        <f t="shared" si="557"/>
        <v>43.66</v>
      </c>
      <c r="Y280" s="85">
        <f t="shared" si="557"/>
        <v>43.66</v>
      </c>
      <c r="Z280" s="85">
        <f t="shared" si="557"/>
        <v>43.66</v>
      </c>
      <c r="AA280" s="85">
        <f t="shared" si="557"/>
        <v>7172.74</v>
      </c>
      <c r="AB280" s="85">
        <f t="shared" si="557"/>
        <v>7172.74</v>
      </c>
      <c r="AC280" s="85">
        <f t="shared" si="557"/>
        <v>7172.74</v>
      </c>
      <c r="AD280" s="85">
        <f t="shared" si="557"/>
        <v>7172.74</v>
      </c>
      <c r="AE280" s="85">
        <f t="shared" si="557"/>
        <v>7172.74</v>
      </c>
      <c r="AF280" s="85">
        <f t="shared" si="557"/>
        <v>7172.74</v>
      </c>
      <c r="AG280" s="85">
        <f t="shared" si="557"/>
        <v>7172.74</v>
      </c>
      <c r="AH280" s="85">
        <f t="shared" si="557"/>
        <v>7172.74</v>
      </c>
      <c r="AI280" s="86">
        <f t="shared" si="534"/>
        <v>57556.55999999999</v>
      </c>
      <c r="AJ280" s="85">
        <f t="shared" ref="AJ280:AU280" si="558">AJ69+AJ104+AJ139+AJ174+AJ209</f>
        <v>7184.74</v>
      </c>
      <c r="AK280" s="85">
        <f t="shared" si="558"/>
        <v>7184.74</v>
      </c>
      <c r="AL280" s="85">
        <f t="shared" si="558"/>
        <v>7184.74</v>
      </c>
      <c r="AM280" s="85">
        <f t="shared" si="558"/>
        <v>7184.74</v>
      </c>
      <c r="AN280" s="85">
        <f t="shared" si="558"/>
        <v>7184.74</v>
      </c>
      <c r="AO280" s="85">
        <f t="shared" si="558"/>
        <v>7184.74</v>
      </c>
      <c r="AP280" s="85">
        <f t="shared" si="558"/>
        <v>7184.74</v>
      </c>
      <c r="AQ280" s="85">
        <f t="shared" si="558"/>
        <v>7184.74</v>
      </c>
      <c r="AR280" s="85">
        <f t="shared" si="558"/>
        <v>7184.74</v>
      </c>
      <c r="AS280" s="85">
        <f t="shared" si="558"/>
        <v>7184.74</v>
      </c>
      <c r="AT280" s="85">
        <f t="shared" si="558"/>
        <v>7184.74</v>
      </c>
      <c r="AU280" s="85">
        <f t="shared" si="558"/>
        <v>7184.74</v>
      </c>
      <c r="AV280" s="86">
        <f t="shared" si="536"/>
        <v>86216.88</v>
      </c>
      <c r="AW280" s="87"/>
      <c r="AX280" s="88"/>
      <c r="AY280" s="88"/>
    </row>
    <row r="281" spans="1:51">
      <c r="A281" s="79" t="s">
        <v>3030</v>
      </c>
      <c r="B281" s="130" t="str">
        <f t="shared" si="510"/>
        <v>ACPLSZ</v>
      </c>
      <c r="C281" s="80" t="str">
        <f t="shared" si="511"/>
        <v>深圳户籍</v>
      </c>
      <c r="D281" s="80" t="str">
        <f t="shared" si="512"/>
        <v>Professional</v>
      </c>
      <c r="E281" s="80">
        <f t="shared" si="513"/>
        <v>0</v>
      </c>
      <c r="F281" s="82">
        <f t="shared" si="514"/>
        <v>26000</v>
      </c>
      <c r="G281" s="82"/>
      <c r="H281" s="90" t="str">
        <f t="shared" si="515"/>
        <v>区域副总</v>
      </c>
      <c r="I281" s="83">
        <f t="shared" si="516"/>
        <v>0</v>
      </c>
      <c r="J281" s="82"/>
      <c r="K281" s="84"/>
      <c r="L281" s="84"/>
      <c r="M281" s="84"/>
      <c r="N281" s="84"/>
      <c r="O281" s="84"/>
      <c r="P281" s="84"/>
      <c r="Q281" s="84"/>
      <c r="R281" s="84"/>
      <c r="S281" s="84"/>
      <c r="T281" s="84"/>
      <c r="U281" s="84"/>
      <c r="V281" s="84"/>
      <c r="W281" s="85">
        <f t="shared" ref="W281:AH281" si="559">W70+W105+W140+W175+W210</f>
        <v>43.66</v>
      </c>
      <c r="X281" s="85">
        <f t="shared" si="559"/>
        <v>43.66</v>
      </c>
      <c r="Y281" s="85">
        <f t="shared" si="559"/>
        <v>43.66</v>
      </c>
      <c r="Z281" s="85">
        <f t="shared" si="559"/>
        <v>43.66</v>
      </c>
      <c r="AA281" s="85">
        <f t="shared" si="559"/>
        <v>6205.66</v>
      </c>
      <c r="AB281" s="85">
        <f t="shared" si="559"/>
        <v>6205.66</v>
      </c>
      <c r="AC281" s="85">
        <f t="shared" si="559"/>
        <v>6205.66</v>
      </c>
      <c r="AD281" s="85">
        <f t="shared" si="559"/>
        <v>6205.66</v>
      </c>
      <c r="AE281" s="85">
        <f t="shared" si="559"/>
        <v>6205.66</v>
      </c>
      <c r="AF281" s="85">
        <f t="shared" si="559"/>
        <v>6205.66</v>
      </c>
      <c r="AG281" s="85">
        <f t="shared" si="559"/>
        <v>6205.66</v>
      </c>
      <c r="AH281" s="85">
        <f t="shared" si="559"/>
        <v>6205.66</v>
      </c>
      <c r="AI281" s="86">
        <f t="shared" si="534"/>
        <v>49819.92</v>
      </c>
      <c r="AJ281" s="85">
        <f t="shared" ref="AJ281:AU281" si="560">AJ70+AJ105+AJ140+AJ175+AJ210</f>
        <v>6513.7599999999993</v>
      </c>
      <c r="AK281" s="85">
        <f t="shared" si="560"/>
        <v>6513.7599999999993</v>
      </c>
      <c r="AL281" s="85">
        <f t="shared" si="560"/>
        <v>6513.7599999999993</v>
      </c>
      <c r="AM281" s="85">
        <f t="shared" si="560"/>
        <v>6513.7599999999993</v>
      </c>
      <c r="AN281" s="85">
        <f t="shared" si="560"/>
        <v>6513.7599999999993</v>
      </c>
      <c r="AO281" s="85">
        <f t="shared" si="560"/>
        <v>6513.7599999999993</v>
      </c>
      <c r="AP281" s="85">
        <f t="shared" si="560"/>
        <v>6513.7599999999993</v>
      </c>
      <c r="AQ281" s="85">
        <f t="shared" si="560"/>
        <v>6513.7599999999993</v>
      </c>
      <c r="AR281" s="85">
        <f t="shared" si="560"/>
        <v>6513.7599999999993</v>
      </c>
      <c r="AS281" s="85">
        <f t="shared" si="560"/>
        <v>6513.7599999999993</v>
      </c>
      <c r="AT281" s="85">
        <f t="shared" si="560"/>
        <v>6513.7599999999993</v>
      </c>
      <c r="AU281" s="85">
        <f t="shared" si="560"/>
        <v>6513.7599999999993</v>
      </c>
      <c r="AV281" s="86">
        <f t="shared" si="536"/>
        <v>78165.119999999995</v>
      </c>
      <c r="AW281" s="87"/>
      <c r="AX281" s="88"/>
      <c r="AY281" s="88"/>
    </row>
    <row r="282" spans="1:51">
      <c r="A282" s="79" t="s">
        <v>3030</v>
      </c>
      <c r="B282" s="130" t="str">
        <f t="shared" ref="B282:F282" si="561">B71</f>
        <v>ACPLSZ</v>
      </c>
      <c r="C282" s="80" t="str">
        <f t="shared" si="561"/>
        <v>深圳户籍</v>
      </c>
      <c r="D282" s="80" t="str">
        <f t="shared" si="561"/>
        <v>Professional</v>
      </c>
      <c r="E282" s="80">
        <f t="shared" si="561"/>
        <v>0</v>
      </c>
      <c r="F282" s="82">
        <f t="shared" si="561"/>
        <v>17000</v>
      </c>
      <c r="G282" s="82"/>
      <c r="H282" s="90" t="str">
        <f t="shared" ref="H282:I282" si="562">H71</f>
        <v>项目会计</v>
      </c>
      <c r="I282" s="83">
        <f t="shared" si="562"/>
        <v>0</v>
      </c>
      <c r="J282" s="82"/>
      <c r="K282" s="84"/>
      <c r="L282" s="84"/>
      <c r="M282" s="84"/>
      <c r="N282" s="84"/>
      <c r="O282" s="84"/>
      <c r="P282" s="84"/>
      <c r="Q282" s="84"/>
      <c r="R282" s="84"/>
      <c r="S282" s="84"/>
      <c r="T282" s="84"/>
      <c r="U282" s="84"/>
      <c r="V282" s="84"/>
      <c r="W282" s="85">
        <f t="shared" ref="W282:AH282" si="563">W71+W106+W141+W176+W211</f>
        <v>43.66</v>
      </c>
      <c r="X282" s="85">
        <f t="shared" si="563"/>
        <v>43.66</v>
      </c>
      <c r="Y282" s="85">
        <f t="shared" si="563"/>
        <v>43.66</v>
      </c>
      <c r="Z282" s="85">
        <f t="shared" si="563"/>
        <v>43.66</v>
      </c>
      <c r="AA282" s="85">
        <f t="shared" si="563"/>
        <v>43.66</v>
      </c>
      <c r="AB282" s="85">
        <f t="shared" si="563"/>
        <v>43.66</v>
      </c>
      <c r="AC282" s="85">
        <f t="shared" si="563"/>
        <v>43.66</v>
      </c>
      <c r="AD282" s="85">
        <f t="shared" si="563"/>
        <v>4072.66</v>
      </c>
      <c r="AE282" s="85">
        <f t="shared" si="563"/>
        <v>4072.66</v>
      </c>
      <c r="AF282" s="85">
        <f t="shared" si="563"/>
        <v>4072.66</v>
      </c>
      <c r="AG282" s="85">
        <f t="shared" si="563"/>
        <v>4072.66</v>
      </c>
      <c r="AH282" s="85">
        <f t="shared" si="563"/>
        <v>4072.66</v>
      </c>
      <c r="AI282" s="86">
        <f t="shared" ref="AI282:AI288" si="564">SUM(W282:AH282)</f>
        <v>20668.919999999998</v>
      </c>
      <c r="AJ282" s="85">
        <f t="shared" ref="AJ282:AU282" si="565">AJ71+AJ106+AJ141+AJ176+AJ211</f>
        <v>7007.02</v>
      </c>
      <c r="AK282" s="85">
        <f t="shared" si="565"/>
        <v>7007.02</v>
      </c>
      <c r="AL282" s="85">
        <f t="shared" si="565"/>
        <v>7007.02</v>
      </c>
      <c r="AM282" s="85">
        <f t="shared" si="565"/>
        <v>7007.02</v>
      </c>
      <c r="AN282" s="85">
        <f t="shared" si="565"/>
        <v>7007.02</v>
      </c>
      <c r="AO282" s="85">
        <f t="shared" si="565"/>
        <v>7007.02</v>
      </c>
      <c r="AP282" s="85">
        <f t="shared" si="565"/>
        <v>7007.02</v>
      </c>
      <c r="AQ282" s="85">
        <f t="shared" si="565"/>
        <v>7007.02</v>
      </c>
      <c r="AR282" s="85">
        <f t="shared" si="565"/>
        <v>7007.02</v>
      </c>
      <c r="AS282" s="85">
        <f t="shared" si="565"/>
        <v>7007.02</v>
      </c>
      <c r="AT282" s="85">
        <f t="shared" si="565"/>
        <v>7007.02</v>
      </c>
      <c r="AU282" s="85">
        <f t="shared" si="565"/>
        <v>7007.02</v>
      </c>
      <c r="AV282" s="86">
        <f t="shared" si="536"/>
        <v>84084.240000000034</v>
      </c>
      <c r="AW282" s="87"/>
      <c r="AX282" s="88"/>
      <c r="AY282" s="88"/>
    </row>
    <row r="283" spans="1:51">
      <c r="A283" s="79" t="s">
        <v>3030</v>
      </c>
      <c r="B283" s="130" t="str">
        <f t="shared" ref="B283:F283" si="566">B72</f>
        <v>ACPLSZ</v>
      </c>
      <c r="C283" s="80" t="str">
        <f t="shared" si="566"/>
        <v>深圳户籍</v>
      </c>
      <c r="D283" s="80" t="str">
        <f t="shared" si="566"/>
        <v>Professional</v>
      </c>
      <c r="E283" s="80">
        <f t="shared" si="566"/>
        <v>0</v>
      </c>
      <c r="F283" s="82">
        <f t="shared" si="566"/>
        <v>12000</v>
      </c>
      <c r="G283" s="82"/>
      <c r="H283" s="90" t="str">
        <f t="shared" ref="H283:I283" si="567">H72</f>
        <v>档案管理员</v>
      </c>
      <c r="I283" s="83">
        <f t="shared" si="567"/>
        <v>0</v>
      </c>
      <c r="J283" s="82"/>
      <c r="K283" s="84"/>
      <c r="L283" s="84"/>
      <c r="M283" s="84"/>
      <c r="N283" s="84"/>
      <c r="O283" s="84"/>
      <c r="P283" s="84"/>
      <c r="Q283" s="84"/>
      <c r="R283" s="84"/>
      <c r="S283" s="84"/>
      <c r="T283" s="84"/>
      <c r="U283" s="84"/>
      <c r="V283" s="84"/>
      <c r="W283" s="85">
        <f t="shared" ref="W283:AH283" si="568">W72+W107+W142+W177+W212</f>
        <v>43.66</v>
      </c>
      <c r="X283" s="85">
        <f t="shared" si="568"/>
        <v>43.66</v>
      </c>
      <c r="Y283" s="85">
        <f t="shared" si="568"/>
        <v>43.66</v>
      </c>
      <c r="Z283" s="85">
        <f t="shared" si="568"/>
        <v>43.66</v>
      </c>
      <c r="AA283" s="85">
        <f t="shared" si="568"/>
        <v>43.66</v>
      </c>
      <c r="AB283" s="85">
        <f t="shared" si="568"/>
        <v>43.66</v>
      </c>
      <c r="AC283" s="85">
        <f t="shared" si="568"/>
        <v>43.66</v>
      </c>
      <c r="AD283" s="85">
        <f t="shared" si="568"/>
        <v>43.66</v>
      </c>
      <c r="AE283" s="85">
        <f t="shared" si="568"/>
        <v>43.66</v>
      </c>
      <c r="AF283" s="85">
        <f t="shared" si="568"/>
        <v>43.66</v>
      </c>
      <c r="AG283" s="85">
        <f t="shared" si="568"/>
        <v>43.66</v>
      </c>
      <c r="AH283" s="85">
        <f t="shared" si="568"/>
        <v>2887.66</v>
      </c>
      <c r="AI283" s="86">
        <f t="shared" si="564"/>
        <v>3367.9199999999996</v>
      </c>
      <c r="AJ283" s="85">
        <f t="shared" ref="AJ283:AU283" si="569">AJ72+AJ107+AJ142+AJ177+AJ212</f>
        <v>3029.86</v>
      </c>
      <c r="AK283" s="85">
        <f t="shared" si="569"/>
        <v>3029.86</v>
      </c>
      <c r="AL283" s="85">
        <f t="shared" si="569"/>
        <v>3029.86</v>
      </c>
      <c r="AM283" s="85">
        <f t="shared" si="569"/>
        <v>3029.86</v>
      </c>
      <c r="AN283" s="85">
        <f t="shared" si="569"/>
        <v>3029.86</v>
      </c>
      <c r="AO283" s="85">
        <f t="shared" si="569"/>
        <v>3029.86</v>
      </c>
      <c r="AP283" s="85">
        <f t="shared" si="569"/>
        <v>3029.86</v>
      </c>
      <c r="AQ283" s="85">
        <f t="shared" si="569"/>
        <v>3029.86</v>
      </c>
      <c r="AR283" s="85">
        <f t="shared" si="569"/>
        <v>3029.86</v>
      </c>
      <c r="AS283" s="85">
        <f t="shared" si="569"/>
        <v>3029.86</v>
      </c>
      <c r="AT283" s="85">
        <f t="shared" si="569"/>
        <v>3029.86</v>
      </c>
      <c r="AU283" s="85">
        <f t="shared" si="569"/>
        <v>3029.86</v>
      </c>
      <c r="AV283" s="86">
        <f t="shared" si="536"/>
        <v>36358.32</v>
      </c>
      <c r="AW283" s="87"/>
      <c r="AX283" s="88"/>
      <c r="AY283" s="88"/>
    </row>
    <row r="284" spans="1:51">
      <c r="A284" s="79" t="s">
        <v>3030</v>
      </c>
      <c r="B284" s="130" t="str">
        <f t="shared" ref="B284:F284" si="570">B73</f>
        <v>ACPLSZ</v>
      </c>
      <c r="C284" s="80" t="str">
        <f t="shared" si="570"/>
        <v>北京户籍</v>
      </c>
      <c r="D284" s="80" t="str">
        <f t="shared" si="570"/>
        <v>Professional</v>
      </c>
      <c r="E284" s="80">
        <f t="shared" si="570"/>
        <v>0</v>
      </c>
      <c r="F284" s="82">
        <f t="shared" si="570"/>
        <v>100000</v>
      </c>
      <c r="G284" s="82"/>
      <c r="H284" s="82" t="str">
        <f t="shared" ref="H284:I284" si="571">H73</f>
        <v>Head of Origination</v>
      </c>
      <c r="I284" s="83">
        <f t="shared" si="571"/>
        <v>0</v>
      </c>
      <c r="J284" s="82"/>
      <c r="K284" s="84"/>
      <c r="L284" s="84"/>
      <c r="M284" s="84"/>
      <c r="N284" s="84"/>
      <c r="O284" s="84"/>
      <c r="P284" s="84"/>
      <c r="Q284" s="84"/>
      <c r="R284" s="84"/>
      <c r="S284" s="84"/>
      <c r="T284" s="84"/>
      <c r="U284" s="84"/>
      <c r="V284" s="84"/>
      <c r="W284" s="85">
        <f>W73+W108+W143+W178+W213</f>
        <v>43.66</v>
      </c>
      <c r="X284" s="85">
        <f t="shared" ref="X284:AH284" si="572">X73+X108+X143+X178+X213</f>
        <v>43.66</v>
      </c>
      <c r="Y284" s="85">
        <f t="shared" si="572"/>
        <v>43.66</v>
      </c>
      <c r="Z284" s="85">
        <f t="shared" si="572"/>
        <v>43.66</v>
      </c>
      <c r="AA284" s="85">
        <f t="shared" si="572"/>
        <v>7332.74</v>
      </c>
      <c r="AB284" s="85">
        <f t="shared" si="572"/>
        <v>7332.74</v>
      </c>
      <c r="AC284" s="85">
        <f t="shared" si="572"/>
        <v>7332.74</v>
      </c>
      <c r="AD284" s="85">
        <f t="shared" si="572"/>
        <v>7332.74</v>
      </c>
      <c r="AE284" s="85">
        <f t="shared" si="572"/>
        <v>7332.74</v>
      </c>
      <c r="AF284" s="85">
        <f t="shared" si="572"/>
        <v>7332.74</v>
      </c>
      <c r="AG284" s="85">
        <f t="shared" si="572"/>
        <v>7332.74</v>
      </c>
      <c r="AH284" s="85">
        <f t="shared" si="572"/>
        <v>7332.74</v>
      </c>
      <c r="AI284" s="86">
        <f t="shared" si="564"/>
        <v>58836.55999999999</v>
      </c>
      <c r="AJ284" s="85"/>
      <c r="AK284" s="85"/>
      <c r="AL284" s="85"/>
      <c r="AM284" s="85"/>
      <c r="AN284" s="85"/>
      <c r="AO284" s="85"/>
      <c r="AP284" s="85"/>
      <c r="AQ284" s="85"/>
      <c r="AR284" s="85"/>
      <c r="AS284" s="85"/>
      <c r="AT284" s="85"/>
      <c r="AU284" s="85"/>
      <c r="AV284" s="86"/>
      <c r="AW284" s="87"/>
      <c r="AX284" s="88"/>
      <c r="AY284" s="88"/>
    </row>
    <row r="285" spans="1:51">
      <c r="A285" s="79" t="s">
        <v>3030</v>
      </c>
      <c r="B285" s="130" t="str">
        <f t="shared" ref="B285:F285" si="573">B74</f>
        <v>ACPLSZ</v>
      </c>
      <c r="C285" s="80" t="str">
        <f t="shared" si="573"/>
        <v>北京户籍</v>
      </c>
      <c r="D285" s="80" t="str">
        <f t="shared" si="573"/>
        <v>Professional</v>
      </c>
      <c r="E285" s="80">
        <f t="shared" si="573"/>
        <v>0</v>
      </c>
      <c r="F285" s="82">
        <f t="shared" si="573"/>
        <v>80000</v>
      </c>
      <c r="G285" s="82"/>
      <c r="H285" s="82" t="str">
        <f t="shared" ref="H285:I285" si="574">H74</f>
        <v>Op Partner - ZJX</v>
      </c>
      <c r="I285" s="83">
        <f t="shared" si="574"/>
        <v>0</v>
      </c>
      <c r="J285" s="82"/>
      <c r="K285" s="84"/>
      <c r="L285" s="84"/>
      <c r="M285" s="84"/>
      <c r="N285" s="84"/>
      <c r="O285" s="84"/>
      <c r="P285" s="84"/>
      <c r="Q285" s="84"/>
      <c r="R285" s="84"/>
      <c r="S285" s="84"/>
      <c r="T285" s="84"/>
      <c r="U285" s="84"/>
      <c r="V285" s="84"/>
      <c r="W285" s="85">
        <f t="shared" ref="W285:AH285" si="575">W74+W109+W144+W179+W214</f>
        <v>43.66</v>
      </c>
      <c r="X285" s="85">
        <f t="shared" si="575"/>
        <v>43.66</v>
      </c>
      <c r="Y285" s="85">
        <f t="shared" si="575"/>
        <v>43.66</v>
      </c>
      <c r="Z285" s="85">
        <f t="shared" si="575"/>
        <v>43.66</v>
      </c>
      <c r="AA285" s="85">
        <f t="shared" si="575"/>
        <v>5401.11</v>
      </c>
      <c r="AB285" s="85">
        <f t="shared" si="575"/>
        <v>5401.11</v>
      </c>
      <c r="AC285" s="85">
        <f t="shared" si="575"/>
        <v>5401.11</v>
      </c>
      <c r="AD285" s="85">
        <f t="shared" si="575"/>
        <v>5401.11</v>
      </c>
      <c r="AE285" s="85">
        <f t="shared" si="575"/>
        <v>5401.11</v>
      </c>
      <c r="AF285" s="85">
        <f t="shared" si="575"/>
        <v>5401.11</v>
      </c>
      <c r="AG285" s="85">
        <f t="shared" si="575"/>
        <v>5401.11</v>
      </c>
      <c r="AH285" s="85">
        <f t="shared" si="575"/>
        <v>5401.11</v>
      </c>
      <c r="AI285" s="86">
        <f t="shared" si="564"/>
        <v>43383.520000000004</v>
      </c>
      <c r="AJ285" s="85"/>
      <c r="AK285" s="85"/>
      <c r="AL285" s="85"/>
      <c r="AM285" s="85"/>
      <c r="AN285" s="85"/>
      <c r="AO285" s="85"/>
      <c r="AP285" s="85"/>
      <c r="AQ285" s="85"/>
      <c r="AR285" s="85"/>
      <c r="AS285" s="85"/>
      <c r="AT285" s="85"/>
      <c r="AU285" s="85"/>
      <c r="AV285" s="86"/>
      <c r="AW285" s="87"/>
      <c r="AX285" s="88"/>
      <c r="AY285" s="88"/>
    </row>
    <row r="286" spans="1:51">
      <c r="A286" s="79" t="s">
        <v>3030</v>
      </c>
      <c r="B286" s="130" t="str">
        <f t="shared" ref="B286:F286" si="576">B75</f>
        <v>ACPLSZ</v>
      </c>
      <c r="C286" s="80">
        <f t="shared" si="576"/>
        <v>0</v>
      </c>
      <c r="D286" s="80">
        <f t="shared" si="576"/>
        <v>0</v>
      </c>
      <c r="E286" s="80">
        <f t="shared" si="576"/>
        <v>0</v>
      </c>
      <c r="F286" s="82">
        <f t="shared" si="576"/>
        <v>0</v>
      </c>
      <c r="G286" s="82"/>
      <c r="H286" s="82">
        <f t="shared" ref="H286:I286" si="577">H75</f>
        <v>0</v>
      </c>
      <c r="I286" s="83">
        <f t="shared" si="577"/>
        <v>0</v>
      </c>
      <c r="J286" s="82"/>
      <c r="K286" s="84"/>
      <c r="L286" s="84"/>
      <c r="M286" s="84"/>
      <c r="N286" s="84"/>
      <c r="O286" s="84"/>
      <c r="P286" s="84"/>
      <c r="Q286" s="84"/>
      <c r="R286" s="84"/>
      <c r="S286" s="84"/>
      <c r="T286" s="84"/>
      <c r="U286" s="84"/>
      <c r="V286" s="84"/>
      <c r="W286" s="85">
        <f t="shared" ref="W286:AH286" si="578">W75+W110+W145+W180+W215</f>
        <v>0</v>
      </c>
      <c r="X286" s="85">
        <f t="shared" si="578"/>
        <v>0</v>
      </c>
      <c r="Y286" s="85">
        <f t="shared" si="578"/>
        <v>0</v>
      </c>
      <c r="Z286" s="85">
        <f t="shared" si="578"/>
        <v>0</v>
      </c>
      <c r="AA286" s="85">
        <f t="shared" si="578"/>
        <v>0</v>
      </c>
      <c r="AB286" s="85">
        <f t="shared" si="578"/>
        <v>0</v>
      </c>
      <c r="AC286" s="85">
        <f t="shared" si="578"/>
        <v>0</v>
      </c>
      <c r="AD286" s="85">
        <f t="shared" si="578"/>
        <v>0</v>
      </c>
      <c r="AE286" s="85">
        <f t="shared" si="578"/>
        <v>0</v>
      </c>
      <c r="AF286" s="85">
        <f t="shared" si="578"/>
        <v>0</v>
      </c>
      <c r="AG286" s="85">
        <f t="shared" si="578"/>
        <v>0</v>
      </c>
      <c r="AH286" s="85">
        <f t="shared" si="578"/>
        <v>0</v>
      </c>
      <c r="AI286" s="86">
        <f t="shared" si="564"/>
        <v>0</v>
      </c>
      <c r="AJ286" s="85"/>
      <c r="AK286" s="85"/>
      <c r="AL286" s="85"/>
      <c r="AM286" s="85"/>
      <c r="AN286" s="85"/>
      <c r="AO286" s="85"/>
      <c r="AP286" s="85"/>
      <c r="AQ286" s="85"/>
      <c r="AR286" s="85"/>
      <c r="AS286" s="85"/>
      <c r="AT286" s="85"/>
      <c r="AU286" s="85"/>
      <c r="AV286" s="86"/>
      <c r="AW286" s="87"/>
      <c r="AX286" s="88"/>
      <c r="AY286" s="88"/>
    </row>
    <row r="287" spans="1:51">
      <c r="A287" s="79" t="s">
        <v>3030</v>
      </c>
      <c r="B287" s="130">
        <f t="shared" ref="B287:F287" si="579">B76</f>
        <v>0</v>
      </c>
      <c r="C287" s="80">
        <f t="shared" si="579"/>
        <v>0</v>
      </c>
      <c r="D287" s="80">
        <f t="shared" si="579"/>
        <v>0</v>
      </c>
      <c r="E287" s="80">
        <f t="shared" si="579"/>
        <v>0</v>
      </c>
      <c r="F287" s="82">
        <f t="shared" si="579"/>
        <v>0</v>
      </c>
      <c r="G287" s="82"/>
      <c r="H287" s="82">
        <f t="shared" ref="H287:I287" si="580">H76</f>
        <v>0</v>
      </c>
      <c r="I287" s="83">
        <f t="shared" si="580"/>
        <v>0</v>
      </c>
      <c r="J287" s="82"/>
      <c r="K287" s="84"/>
      <c r="L287" s="84"/>
      <c r="M287" s="84"/>
      <c r="N287" s="84"/>
      <c r="O287" s="84"/>
      <c r="P287" s="84"/>
      <c r="Q287" s="84"/>
      <c r="R287" s="84"/>
      <c r="S287" s="84"/>
      <c r="T287" s="84"/>
      <c r="U287" s="84"/>
      <c r="V287" s="84"/>
      <c r="W287" s="85">
        <f t="shared" ref="W287:AH287" si="581">W76+W111+W146+W181+W216</f>
        <v>0</v>
      </c>
      <c r="X287" s="85">
        <f t="shared" si="581"/>
        <v>0</v>
      </c>
      <c r="Y287" s="85">
        <f t="shared" si="581"/>
        <v>0</v>
      </c>
      <c r="Z287" s="85">
        <f t="shared" si="581"/>
        <v>0</v>
      </c>
      <c r="AA287" s="85">
        <f t="shared" si="581"/>
        <v>0</v>
      </c>
      <c r="AB287" s="85">
        <f t="shared" si="581"/>
        <v>0</v>
      </c>
      <c r="AC287" s="85">
        <f t="shared" si="581"/>
        <v>0</v>
      </c>
      <c r="AD287" s="85">
        <f t="shared" si="581"/>
        <v>0</v>
      </c>
      <c r="AE287" s="85">
        <f t="shared" si="581"/>
        <v>0</v>
      </c>
      <c r="AF287" s="85">
        <f t="shared" si="581"/>
        <v>0</v>
      </c>
      <c r="AG287" s="85">
        <f t="shared" si="581"/>
        <v>0</v>
      </c>
      <c r="AH287" s="85">
        <f t="shared" si="581"/>
        <v>0</v>
      </c>
      <c r="AI287" s="86">
        <f t="shared" si="564"/>
        <v>0</v>
      </c>
      <c r="AJ287" s="85"/>
      <c r="AK287" s="85"/>
      <c r="AL287" s="85"/>
      <c r="AM287" s="85"/>
      <c r="AN287" s="85"/>
      <c r="AO287" s="85"/>
      <c r="AP287" s="85"/>
      <c r="AQ287" s="85"/>
      <c r="AR287" s="85"/>
      <c r="AS287" s="85"/>
      <c r="AT287" s="85"/>
      <c r="AU287" s="85"/>
      <c r="AV287" s="86"/>
      <c r="AW287" s="87"/>
      <c r="AX287" s="88"/>
      <c r="AY287" s="88"/>
    </row>
    <row r="288" spans="1:51">
      <c r="A288" s="79" t="s">
        <v>3030</v>
      </c>
      <c r="B288" s="130">
        <f t="shared" ref="B288:F288" si="582">B77</f>
        <v>0</v>
      </c>
      <c r="C288" s="80">
        <f t="shared" si="582"/>
        <v>0</v>
      </c>
      <c r="D288" s="80">
        <f t="shared" si="582"/>
        <v>0</v>
      </c>
      <c r="E288" s="80">
        <f t="shared" si="582"/>
        <v>0</v>
      </c>
      <c r="F288" s="82">
        <f t="shared" si="582"/>
        <v>0</v>
      </c>
      <c r="G288" s="82"/>
      <c r="H288" s="82">
        <f t="shared" ref="H288:I288" si="583">H77</f>
        <v>0</v>
      </c>
      <c r="I288" s="83">
        <f t="shared" si="583"/>
        <v>0</v>
      </c>
      <c r="J288" s="82"/>
      <c r="K288" s="84"/>
      <c r="L288" s="84"/>
      <c r="M288" s="84"/>
      <c r="N288" s="84"/>
      <c r="O288" s="84"/>
      <c r="P288" s="84"/>
      <c r="Q288" s="84"/>
      <c r="R288" s="84"/>
      <c r="S288" s="84"/>
      <c r="T288" s="84"/>
      <c r="U288" s="84"/>
      <c r="V288" s="84"/>
      <c r="W288" s="85">
        <f t="shared" ref="W288:AH288" si="584">W77+W112+W147+W182+W217</f>
        <v>0</v>
      </c>
      <c r="X288" s="85">
        <f t="shared" si="584"/>
        <v>0</v>
      </c>
      <c r="Y288" s="85">
        <f t="shared" si="584"/>
        <v>0</v>
      </c>
      <c r="Z288" s="85">
        <f t="shared" si="584"/>
        <v>0</v>
      </c>
      <c r="AA288" s="85">
        <f t="shared" si="584"/>
        <v>0</v>
      </c>
      <c r="AB288" s="85">
        <f t="shared" si="584"/>
        <v>0</v>
      </c>
      <c r="AC288" s="85">
        <f t="shared" si="584"/>
        <v>0</v>
      </c>
      <c r="AD288" s="85">
        <f t="shared" si="584"/>
        <v>0</v>
      </c>
      <c r="AE288" s="85">
        <f t="shared" si="584"/>
        <v>0</v>
      </c>
      <c r="AF288" s="85">
        <f t="shared" si="584"/>
        <v>0</v>
      </c>
      <c r="AG288" s="85">
        <f t="shared" si="584"/>
        <v>0</v>
      </c>
      <c r="AH288" s="85">
        <f t="shared" si="584"/>
        <v>0</v>
      </c>
      <c r="AI288" s="86">
        <f t="shared" si="564"/>
        <v>0</v>
      </c>
      <c r="AJ288" s="85"/>
      <c r="AK288" s="85"/>
      <c r="AL288" s="85"/>
      <c r="AM288" s="85"/>
      <c r="AN288" s="85"/>
      <c r="AO288" s="85"/>
      <c r="AP288" s="85"/>
      <c r="AQ288" s="85"/>
      <c r="AR288" s="85"/>
      <c r="AS288" s="85"/>
      <c r="AT288" s="85"/>
      <c r="AU288" s="85"/>
      <c r="AV288" s="86"/>
      <c r="AW288" s="87"/>
      <c r="AX288" s="88"/>
      <c r="AY288" s="88"/>
    </row>
    <row r="289" spans="1:51">
      <c r="A289" s="79"/>
      <c r="B289" s="93"/>
      <c r="C289" s="93"/>
      <c r="D289" s="93"/>
      <c r="E289" s="93"/>
      <c r="F289" s="113"/>
      <c r="G289" s="113"/>
      <c r="H289" s="113"/>
      <c r="I289" s="114"/>
      <c r="J289" s="113"/>
      <c r="K289" s="115"/>
      <c r="L289" s="115"/>
      <c r="M289" s="115"/>
      <c r="N289" s="115"/>
      <c r="O289" s="115"/>
      <c r="P289" s="115"/>
      <c r="Q289" s="115"/>
      <c r="R289" s="115"/>
      <c r="S289" s="115"/>
      <c r="T289" s="115"/>
      <c r="U289" s="115"/>
      <c r="V289" s="115"/>
      <c r="W289" s="113"/>
      <c r="X289" s="113"/>
      <c r="Y289" s="113"/>
      <c r="Z289" s="113"/>
      <c r="AA289" s="113"/>
      <c r="AB289" s="113"/>
      <c r="AC289" s="113"/>
      <c r="AD289" s="113"/>
      <c r="AE289" s="113"/>
      <c r="AF289" s="113"/>
      <c r="AG289" s="113"/>
      <c r="AH289" s="113"/>
      <c r="AI289" s="113"/>
      <c r="AJ289" s="113"/>
      <c r="AK289" s="113"/>
      <c r="AL289" s="113"/>
      <c r="AM289" s="113"/>
      <c r="AN289" s="113"/>
      <c r="AO289" s="113"/>
      <c r="AP289" s="113"/>
      <c r="AQ289" s="113"/>
      <c r="AR289" s="113"/>
      <c r="AS289" s="113"/>
      <c r="AT289" s="113"/>
      <c r="AU289" s="113"/>
      <c r="AV289" s="113"/>
      <c r="AW289" s="116"/>
      <c r="AX289" s="113"/>
      <c r="AY289" s="113"/>
    </row>
    <row r="290" spans="1:51">
      <c r="A290" s="79"/>
      <c r="B290" s="93"/>
      <c r="C290" s="93"/>
      <c r="D290" s="93"/>
      <c r="E290" s="93"/>
      <c r="F290" s="113"/>
      <c r="G290" s="113"/>
      <c r="H290" s="93"/>
      <c r="I290" s="120"/>
      <c r="J290" s="93"/>
      <c r="K290" s="93"/>
      <c r="L290" s="93"/>
      <c r="M290" s="93"/>
      <c r="N290" s="93"/>
      <c r="O290" s="93"/>
      <c r="P290" s="93"/>
      <c r="Q290" s="93"/>
      <c r="R290" s="93"/>
      <c r="S290" s="93"/>
      <c r="T290" s="93"/>
      <c r="U290" s="93"/>
      <c r="V290" s="93"/>
      <c r="W290" s="113"/>
      <c r="X290" s="113"/>
      <c r="Y290" s="113"/>
      <c r="Z290" s="113"/>
      <c r="AA290" s="113"/>
      <c r="AB290" s="113"/>
      <c r="AC290" s="113"/>
      <c r="AD290" s="113"/>
      <c r="AE290" s="113"/>
      <c r="AF290" s="113"/>
      <c r="AG290" s="113"/>
      <c r="AH290" s="113"/>
      <c r="AI290" s="113"/>
      <c r="AJ290" s="113"/>
      <c r="AK290" s="113"/>
      <c r="AL290" s="113"/>
      <c r="AM290" s="113"/>
      <c r="AN290" s="113"/>
      <c r="AO290" s="113"/>
      <c r="AP290" s="113"/>
      <c r="AQ290" s="113"/>
      <c r="AR290" s="113"/>
      <c r="AS290" s="113"/>
      <c r="AT290" s="113"/>
      <c r="AU290" s="113"/>
      <c r="AV290" s="113"/>
      <c r="AW290" s="116"/>
      <c r="AX290" s="113"/>
      <c r="AY290" s="113"/>
    </row>
    <row r="291" spans="1:51">
      <c r="A291" s="79" t="s">
        <v>3030</v>
      </c>
      <c r="B291" s="93" t="s">
        <v>2111</v>
      </c>
      <c r="C291" s="93"/>
      <c r="D291" s="93"/>
      <c r="E291" s="93"/>
      <c r="F291" s="88"/>
      <c r="G291" s="88"/>
      <c r="H291" s="93"/>
      <c r="I291" s="94"/>
      <c r="J291" s="93"/>
      <c r="K291" s="93"/>
      <c r="L291" s="93"/>
      <c r="M291" s="93"/>
      <c r="N291" s="93"/>
      <c r="O291" s="93"/>
      <c r="P291" s="93"/>
      <c r="Q291" s="93"/>
      <c r="R291" s="93"/>
      <c r="S291" s="93"/>
      <c r="T291" s="93"/>
      <c r="U291" s="93"/>
      <c r="V291" s="93"/>
      <c r="W291" s="113">
        <f ca="1">SUMIF($B$262:$AV$289,$B$291,W262:W289)</f>
        <v>55460.988000000034</v>
      </c>
      <c r="X291" s="113">
        <f t="shared" ref="X291:AV291" ca="1" si="585">SUMIF($B$262:$AV$289,$B$291,X262:X289)</f>
        <v>62355.318000000028</v>
      </c>
      <c r="Y291" s="113">
        <f t="shared" ca="1" si="585"/>
        <v>55437.91800000002</v>
      </c>
      <c r="Z291" s="113">
        <f t="shared" ca="1" si="585"/>
        <v>57345.075000000026</v>
      </c>
      <c r="AA291" s="113">
        <f t="shared" ca="1" si="585"/>
        <v>83282.685000000012</v>
      </c>
      <c r="AB291" s="113">
        <f t="shared" ca="1" si="585"/>
        <v>83015.685000000012</v>
      </c>
      <c r="AC291" s="113">
        <f t="shared" ca="1" si="585"/>
        <v>83282.685000000012</v>
      </c>
      <c r="AD291" s="113">
        <f t="shared" ca="1" si="585"/>
        <v>87311.685000000012</v>
      </c>
      <c r="AE291" s="113">
        <f t="shared" ca="1" si="585"/>
        <v>87311.685000000012</v>
      </c>
      <c r="AF291" s="113">
        <f t="shared" ca="1" si="585"/>
        <v>87311.685000000012</v>
      </c>
      <c r="AG291" s="113">
        <f t="shared" ca="1" si="585"/>
        <v>87311.685000000012</v>
      </c>
      <c r="AH291" s="113">
        <f t="shared" ca="1" si="585"/>
        <v>90155.685000000012</v>
      </c>
      <c r="AI291" s="113">
        <f t="shared" ca="1" si="585"/>
        <v>919582.77899999998</v>
      </c>
      <c r="AJ291" s="113">
        <f t="shared" ca="1" si="585"/>
        <v>87737.08</v>
      </c>
      <c r="AK291" s="113">
        <f t="shared" ca="1" si="585"/>
        <v>87737.08</v>
      </c>
      <c r="AL291" s="113">
        <f t="shared" ca="1" si="585"/>
        <v>87737.08</v>
      </c>
      <c r="AM291" s="113">
        <f t="shared" ca="1" si="585"/>
        <v>87737.08</v>
      </c>
      <c r="AN291" s="113">
        <f t="shared" ca="1" si="585"/>
        <v>87737.08</v>
      </c>
      <c r="AO291" s="113">
        <f t="shared" ca="1" si="585"/>
        <v>87737.08</v>
      </c>
      <c r="AP291" s="113">
        <f t="shared" ca="1" si="585"/>
        <v>88029.709000000003</v>
      </c>
      <c r="AQ291" s="113">
        <f t="shared" ca="1" si="585"/>
        <v>88029.709000000003</v>
      </c>
      <c r="AR291" s="113">
        <f t="shared" ca="1" si="585"/>
        <v>88029.709000000003</v>
      </c>
      <c r="AS291" s="113">
        <f t="shared" ca="1" si="585"/>
        <v>88029.709000000003</v>
      </c>
      <c r="AT291" s="113">
        <f t="shared" ca="1" si="585"/>
        <v>88029.709000000003</v>
      </c>
      <c r="AU291" s="113">
        <f t="shared" ca="1" si="585"/>
        <v>88029.709000000003</v>
      </c>
      <c r="AV291" s="113">
        <f t="shared" ca="1" si="585"/>
        <v>1054600.7339999999</v>
      </c>
      <c r="AW291" s="87"/>
      <c r="AX291" s="88"/>
      <c r="AY291" s="88"/>
    </row>
    <row r="292" spans="1:51">
      <c r="A292" s="79" t="s">
        <v>3030</v>
      </c>
      <c r="B292" s="130" t="s">
        <v>2242</v>
      </c>
      <c r="C292" s="93"/>
      <c r="D292" s="93"/>
      <c r="E292" s="93"/>
      <c r="F292" s="88"/>
      <c r="G292" s="88"/>
      <c r="H292" s="93"/>
      <c r="I292" s="94"/>
      <c r="J292" s="93"/>
      <c r="K292" s="93"/>
      <c r="L292" s="93"/>
      <c r="M292" s="93"/>
      <c r="N292" s="93"/>
      <c r="O292" s="93"/>
      <c r="P292" s="93"/>
      <c r="Q292" s="93"/>
      <c r="R292" s="93"/>
      <c r="S292" s="93"/>
      <c r="T292" s="93"/>
      <c r="U292" s="93"/>
      <c r="V292" s="93"/>
      <c r="W292" s="113">
        <f ca="1">SUMIF($B$262:$AV$289,$B$292,W262:W289)</f>
        <v>24817.21</v>
      </c>
      <c r="X292" s="113">
        <f ca="1">SUMIF($B$262:$AV$289,$B$292,X262:X289)</f>
        <v>24687.21</v>
      </c>
      <c r="Y292" s="113">
        <f t="shared" ref="Y292:AV292" ca="1" si="586">SUMIF($B$262:$AV$289,$B$292,Y262:Y289)</f>
        <v>24687.21</v>
      </c>
      <c r="Z292" s="113">
        <f t="shared" ca="1" si="586"/>
        <v>31692.17</v>
      </c>
      <c r="AA292" s="113">
        <f t="shared" ca="1" si="586"/>
        <v>31692.17</v>
      </c>
      <c r="AB292" s="113">
        <f t="shared" ca="1" si="586"/>
        <v>31692.17</v>
      </c>
      <c r="AC292" s="113">
        <f t="shared" ca="1" si="586"/>
        <v>31692.17</v>
      </c>
      <c r="AD292" s="113">
        <f t="shared" ca="1" si="586"/>
        <v>31692.17</v>
      </c>
      <c r="AE292" s="113">
        <f t="shared" ca="1" si="586"/>
        <v>31692.17</v>
      </c>
      <c r="AF292" s="113">
        <f t="shared" ca="1" si="586"/>
        <v>31692.17</v>
      </c>
      <c r="AG292" s="113">
        <f t="shared" ca="1" si="586"/>
        <v>31692.17</v>
      </c>
      <c r="AH292" s="113">
        <f t="shared" ca="1" si="586"/>
        <v>31692.17</v>
      </c>
      <c r="AI292" s="113">
        <f t="shared" ca="1" si="586"/>
        <v>359421.16</v>
      </c>
      <c r="AJ292" s="113">
        <f t="shared" ca="1" si="586"/>
        <v>32429.739999999998</v>
      </c>
      <c r="AK292" s="113">
        <f t="shared" ca="1" si="586"/>
        <v>32429.739999999998</v>
      </c>
      <c r="AL292" s="113">
        <f t="shared" ca="1" si="586"/>
        <v>32429.739999999998</v>
      </c>
      <c r="AM292" s="113">
        <f t="shared" ca="1" si="586"/>
        <v>32429.739999999998</v>
      </c>
      <c r="AN292" s="113">
        <f t="shared" ca="1" si="586"/>
        <v>32429.739999999998</v>
      </c>
      <c r="AO292" s="113">
        <f t="shared" ca="1" si="586"/>
        <v>32429.739999999998</v>
      </c>
      <c r="AP292" s="113">
        <f t="shared" ca="1" si="586"/>
        <v>32429.739999999998</v>
      </c>
      <c r="AQ292" s="113">
        <f t="shared" ca="1" si="586"/>
        <v>32429.739999999998</v>
      </c>
      <c r="AR292" s="113">
        <f t="shared" ca="1" si="586"/>
        <v>32429.739999999998</v>
      </c>
      <c r="AS292" s="113">
        <f t="shared" ca="1" si="586"/>
        <v>32429.739999999998</v>
      </c>
      <c r="AT292" s="113">
        <f t="shared" ca="1" si="586"/>
        <v>32429.739999999998</v>
      </c>
      <c r="AU292" s="113">
        <f t="shared" ca="1" si="586"/>
        <v>32429.739999999998</v>
      </c>
      <c r="AV292" s="113">
        <f t="shared" ca="1" si="586"/>
        <v>389156.88000000006</v>
      </c>
      <c r="AW292" s="87"/>
      <c r="AX292" s="88"/>
      <c r="AY292" s="88"/>
    </row>
    <row r="293" spans="1:51">
      <c r="A293" s="93"/>
      <c r="B293" s="93"/>
      <c r="C293" s="93"/>
      <c r="D293" s="93"/>
      <c r="E293" s="93"/>
      <c r="F293" s="97" t="s">
        <v>3023</v>
      </c>
      <c r="G293" s="97"/>
      <c r="H293" s="93"/>
      <c r="I293" s="94"/>
      <c r="J293" s="98"/>
      <c r="K293" s="99"/>
      <c r="L293" s="99"/>
      <c r="M293" s="99"/>
      <c r="N293" s="99"/>
      <c r="O293" s="99"/>
      <c r="P293" s="99"/>
      <c r="Q293" s="99"/>
      <c r="R293" s="99"/>
      <c r="S293" s="99"/>
      <c r="T293" s="99"/>
      <c r="U293" s="99"/>
      <c r="V293" s="99"/>
      <c r="W293" s="100">
        <f>SUM(W261:W289)</f>
        <v>80278.198000000019</v>
      </c>
      <c r="X293" s="100">
        <f t="shared" ref="X293:AV293" si="587">SUM(X261:X289)</f>
        <v>87042.52800000002</v>
      </c>
      <c r="Y293" s="100">
        <f t="shared" si="587"/>
        <v>80125.128000000026</v>
      </c>
      <c r="Z293" s="100">
        <f t="shared" si="587"/>
        <v>89037.245000000024</v>
      </c>
      <c r="AA293" s="100">
        <f t="shared" si="587"/>
        <v>114974.85500000003</v>
      </c>
      <c r="AB293" s="100">
        <f t="shared" si="587"/>
        <v>114707.85500000003</v>
      </c>
      <c r="AC293" s="100">
        <f t="shared" si="587"/>
        <v>114974.85500000003</v>
      </c>
      <c r="AD293" s="100">
        <f t="shared" si="587"/>
        <v>119003.85500000003</v>
      </c>
      <c r="AE293" s="100">
        <f t="shared" si="587"/>
        <v>119003.85500000003</v>
      </c>
      <c r="AF293" s="100">
        <f t="shared" si="587"/>
        <v>119003.85500000003</v>
      </c>
      <c r="AG293" s="100">
        <f t="shared" si="587"/>
        <v>119003.85500000003</v>
      </c>
      <c r="AH293" s="100">
        <f t="shared" si="587"/>
        <v>121847.85500000003</v>
      </c>
      <c r="AI293" s="100">
        <f t="shared" si="587"/>
        <v>1279003.939</v>
      </c>
      <c r="AJ293" s="100">
        <f t="shared" si="587"/>
        <v>120166.81999999999</v>
      </c>
      <c r="AK293" s="100">
        <f t="shared" si="587"/>
        <v>120166.81999999999</v>
      </c>
      <c r="AL293" s="100">
        <f t="shared" si="587"/>
        <v>120166.81999999999</v>
      </c>
      <c r="AM293" s="100">
        <f t="shared" si="587"/>
        <v>120166.81999999999</v>
      </c>
      <c r="AN293" s="100">
        <f t="shared" si="587"/>
        <v>120166.81999999999</v>
      </c>
      <c r="AO293" s="100">
        <f t="shared" si="587"/>
        <v>120166.81999999999</v>
      </c>
      <c r="AP293" s="100">
        <f t="shared" si="587"/>
        <v>120459.44899999999</v>
      </c>
      <c r="AQ293" s="100">
        <f t="shared" si="587"/>
        <v>120459.44899999999</v>
      </c>
      <c r="AR293" s="100">
        <f t="shared" si="587"/>
        <v>120459.44899999999</v>
      </c>
      <c r="AS293" s="100">
        <f t="shared" si="587"/>
        <v>120459.44899999999</v>
      </c>
      <c r="AT293" s="100">
        <f t="shared" si="587"/>
        <v>120459.44899999999</v>
      </c>
      <c r="AU293" s="100">
        <f t="shared" si="587"/>
        <v>120459.44899999999</v>
      </c>
      <c r="AV293" s="100">
        <f t="shared" si="587"/>
        <v>1443757.6140000005</v>
      </c>
      <c r="AW293" s="87"/>
      <c r="AX293" s="88"/>
      <c r="AY293" s="88"/>
    </row>
    <row r="294" spans="1:51">
      <c r="A294" s="93"/>
      <c r="B294" s="93"/>
      <c r="C294" s="93"/>
      <c r="D294" s="93"/>
      <c r="E294" s="93"/>
      <c r="F294" s="88"/>
      <c r="G294" s="88"/>
      <c r="H294" s="93"/>
      <c r="I294" s="94"/>
      <c r="J294" s="93"/>
      <c r="K294" s="93"/>
      <c r="L294" s="93"/>
      <c r="M294" s="93"/>
      <c r="N294" s="93"/>
      <c r="O294" s="93"/>
      <c r="P294" s="93"/>
      <c r="Q294" s="93"/>
      <c r="R294" s="93"/>
      <c r="S294" s="93"/>
      <c r="T294" s="93"/>
      <c r="U294" s="93"/>
      <c r="V294" s="93"/>
      <c r="W294" s="88"/>
      <c r="X294" s="88"/>
      <c r="Y294" s="88"/>
      <c r="Z294" s="88"/>
      <c r="AA294" s="88"/>
      <c r="AB294" s="88"/>
      <c r="AC294" s="88"/>
      <c r="AD294" s="88"/>
      <c r="AE294" s="88"/>
      <c r="AF294" s="88"/>
      <c r="AG294" s="88"/>
      <c r="AH294" s="88"/>
      <c r="AI294" s="88"/>
      <c r="AJ294" s="88"/>
      <c r="AK294" s="88"/>
      <c r="AL294" s="88"/>
      <c r="AM294" s="88"/>
      <c r="AN294" s="88"/>
      <c r="AO294" s="88"/>
      <c r="AP294" s="88"/>
      <c r="AQ294" s="88"/>
      <c r="AR294" s="88"/>
      <c r="AS294" s="88"/>
      <c r="AT294" s="88"/>
      <c r="AU294" s="88"/>
      <c r="AV294" s="88"/>
      <c r="AW294" s="87"/>
      <c r="AX294" s="88"/>
      <c r="AY294" s="88"/>
    </row>
    <row r="295" spans="1:51">
      <c r="A295" s="93"/>
      <c r="B295" s="79" t="s">
        <v>3031</v>
      </c>
      <c r="C295" s="93"/>
      <c r="D295" s="93"/>
      <c r="E295" s="93"/>
      <c r="F295" s="88"/>
      <c r="G295" s="88"/>
      <c r="H295" s="93"/>
      <c r="I295" s="94"/>
      <c r="J295" s="103"/>
      <c r="K295" s="1219" t="s">
        <v>3002</v>
      </c>
      <c r="L295" s="1220"/>
      <c r="M295" s="1220"/>
      <c r="N295" s="1220"/>
      <c r="O295" s="1220"/>
      <c r="P295" s="1220"/>
      <c r="Q295" s="1220"/>
      <c r="R295" s="1220"/>
      <c r="S295" s="1220"/>
      <c r="T295" s="1220"/>
      <c r="U295" s="1220"/>
      <c r="V295" s="1221"/>
      <c r="W295" s="1222" t="s">
        <v>3026</v>
      </c>
      <c r="X295" s="1223"/>
      <c r="Y295" s="1223"/>
      <c r="Z295" s="1223"/>
      <c r="AA295" s="1223"/>
      <c r="AB295" s="1223"/>
      <c r="AC295" s="1223"/>
      <c r="AD295" s="1223"/>
      <c r="AE295" s="1223"/>
      <c r="AF295" s="1223"/>
      <c r="AG295" s="1223"/>
      <c r="AH295" s="1224"/>
      <c r="AI295" s="1223"/>
      <c r="AJ295" s="1222" t="s">
        <v>3026</v>
      </c>
      <c r="AK295" s="1223"/>
      <c r="AL295" s="1223"/>
      <c r="AM295" s="1223"/>
      <c r="AN295" s="1223"/>
      <c r="AO295" s="1223"/>
      <c r="AP295" s="1223"/>
      <c r="AQ295" s="1223"/>
      <c r="AR295" s="1223"/>
      <c r="AS295" s="1223"/>
      <c r="AT295" s="1223"/>
      <c r="AU295" s="1224"/>
      <c r="AV295" s="1223"/>
      <c r="AW295" s="87"/>
      <c r="AX295" s="88"/>
      <c r="AY295" s="88"/>
    </row>
    <row r="296" spans="1:51" s="14" customFormat="1">
      <c r="A296" s="104"/>
      <c r="B296" s="105" t="s">
        <v>3005</v>
      </c>
      <c r="C296" s="105" t="s">
        <v>3006</v>
      </c>
      <c r="D296" s="105" t="s">
        <v>3007</v>
      </c>
      <c r="E296" s="105" t="s">
        <v>3008</v>
      </c>
      <c r="F296" s="106" t="s">
        <v>3009</v>
      </c>
      <c r="G296" s="106"/>
      <c r="H296" s="107"/>
      <c r="I296" s="108" t="s">
        <v>3011</v>
      </c>
      <c r="J296" s="107"/>
      <c r="K296" s="107">
        <v>46023</v>
      </c>
      <c r="L296" s="107">
        <v>46054</v>
      </c>
      <c r="M296" s="107">
        <v>46082</v>
      </c>
      <c r="N296" s="107">
        <v>46113</v>
      </c>
      <c r="O296" s="107">
        <v>46143</v>
      </c>
      <c r="P296" s="107">
        <v>46174</v>
      </c>
      <c r="Q296" s="107">
        <v>46204</v>
      </c>
      <c r="R296" s="107">
        <v>46235</v>
      </c>
      <c r="S296" s="107">
        <v>46266</v>
      </c>
      <c r="T296" s="107">
        <v>46296</v>
      </c>
      <c r="U296" s="107">
        <v>46327</v>
      </c>
      <c r="V296" s="107">
        <v>46357</v>
      </c>
      <c r="W296" s="73">
        <f t="shared" ref="W296:AH296" si="588">+K296</f>
        <v>46023</v>
      </c>
      <c r="X296" s="73">
        <f t="shared" si="588"/>
        <v>46054</v>
      </c>
      <c r="Y296" s="73">
        <f t="shared" si="588"/>
        <v>46082</v>
      </c>
      <c r="Z296" s="73">
        <f t="shared" si="588"/>
        <v>46113</v>
      </c>
      <c r="AA296" s="73">
        <f t="shared" si="588"/>
        <v>46143</v>
      </c>
      <c r="AB296" s="73">
        <f t="shared" si="588"/>
        <v>46174</v>
      </c>
      <c r="AC296" s="73">
        <f t="shared" si="588"/>
        <v>46204</v>
      </c>
      <c r="AD296" s="73">
        <f t="shared" si="588"/>
        <v>46235</v>
      </c>
      <c r="AE296" s="73">
        <f t="shared" si="588"/>
        <v>46266</v>
      </c>
      <c r="AF296" s="73">
        <f t="shared" si="588"/>
        <v>46296</v>
      </c>
      <c r="AG296" s="73">
        <f t="shared" si="588"/>
        <v>46327</v>
      </c>
      <c r="AH296" s="73">
        <f t="shared" si="588"/>
        <v>46357</v>
      </c>
      <c r="AI296" s="109" t="str">
        <f>$AI$15</f>
        <v>Total 2026</v>
      </c>
      <c r="AJ296" s="73">
        <f t="shared" ref="AJ296:AU296" si="589">AJ$15</f>
        <v>46388</v>
      </c>
      <c r="AK296" s="73">
        <f t="shared" si="589"/>
        <v>46419</v>
      </c>
      <c r="AL296" s="73">
        <f t="shared" si="589"/>
        <v>46447</v>
      </c>
      <c r="AM296" s="73">
        <f t="shared" si="589"/>
        <v>46478</v>
      </c>
      <c r="AN296" s="73">
        <f t="shared" si="589"/>
        <v>46508</v>
      </c>
      <c r="AO296" s="73">
        <f t="shared" si="589"/>
        <v>46539</v>
      </c>
      <c r="AP296" s="73">
        <f t="shared" si="589"/>
        <v>46569</v>
      </c>
      <c r="AQ296" s="73">
        <f t="shared" si="589"/>
        <v>46600</v>
      </c>
      <c r="AR296" s="73">
        <f t="shared" si="589"/>
        <v>46631</v>
      </c>
      <c r="AS296" s="73">
        <f t="shared" si="589"/>
        <v>46661</v>
      </c>
      <c r="AT296" s="73">
        <f t="shared" si="589"/>
        <v>46692</v>
      </c>
      <c r="AU296" s="73">
        <f t="shared" si="589"/>
        <v>46722</v>
      </c>
      <c r="AV296" s="73" t="s">
        <v>3013</v>
      </c>
      <c r="AW296" s="110"/>
      <c r="AX296" s="111"/>
      <c r="AY296" s="111"/>
    </row>
    <row r="297" spans="1:51">
      <c r="A297" s="93"/>
      <c r="B297" s="80"/>
      <c r="C297" s="80"/>
      <c r="D297" s="80"/>
      <c r="E297" s="80"/>
      <c r="F297" s="82"/>
      <c r="G297" s="82"/>
      <c r="H297" s="80"/>
      <c r="I297" s="112"/>
      <c r="J297" s="80"/>
      <c r="K297" s="84"/>
      <c r="L297" s="84"/>
      <c r="M297" s="84"/>
      <c r="N297" s="84"/>
      <c r="O297" s="84"/>
      <c r="P297" s="84"/>
      <c r="Q297" s="84"/>
      <c r="R297" s="84"/>
      <c r="S297" s="84"/>
      <c r="T297" s="84"/>
      <c r="U297" s="84"/>
      <c r="V297" s="84"/>
      <c r="W297" s="85"/>
      <c r="X297" s="85"/>
      <c r="Y297" s="85"/>
      <c r="Z297" s="85"/>
      <c r="AA297" s="85"/>
      <c r="AB297" s="85"/>
      <c r="AC297" s="85"/>
      <c r="AD297" s="85"/>
      <c r="AE297" s="85"/>
      <c r="AF297" s="85"/>
      <c r="AG297" s="85"/>
      <c r="AH297" s="85"/>
      <c r="AI297" s="85"/>
      <c r="AJ297" s="85"/>
      <c r="AK297" s="85"/>
      <c r="AL297" s="85"/>
      <c r="AM297" s="85"/>
      <c r="AN297" s="85"/>
      <c r="AO297" s="85"/>
      <c r="AP297" s="85"/>
      <c r="AQ297" s="85"/>
      <c r="AR297" s="85"/>
      <c r="AS297" s="85"/>
      <c r="AT297" s="85"/>
      <c r="AU297" s="85"/>
      <c r="AV297" s="85"/>
      <c r="AW297" s="87"/>
      <c r="AX297" s="88"/>
      <c r="AY297" s="88"/>
    </row>
    <row r="298" spans="1:51">
      <c r="A298" s="79" t="s">
        <v>3031</v>
      </c>
      <c r="B298" s="80" t="str">
        <f t="shared" ref="B298:B317" si="590">B51</f>
        <v>ACPSZL</v>
      </c>
      <c r="C298" s="80" t="str">
        <f t="shared" ref="C298:C317" si="591">C51</f>
        <v>深圳户籍</v>
      </c>
      <c r="D298" s="80" t="str">
        <f t="shared" ref="D298:D317" si="592">D51</f>
        <v>Professional</v>
      </c>
      <c r="E298" s="80">
        <f t="shared" ref="E298:E317" si="593">E51</f>
        <v>0</v>
      </c>
      <c r="F298" s="81">
        <f t="shared" ref="F298:F317" si="594">F51</f>
        <v>83000</v>
      </c>
      <c r="G298" s="81"/>
      <c r="H298" s="82" t="str">
        <f t="shared" ref="H298:H317" si="595">H51</f>
        <v>郭宗林</v>
      </c>
      <c r="I298" s="83">
        <f t="shared" ref="I298:I317" si="596">I51</f>
        <v>0</v>
      </c>
      <c r="J298" s="82"/>
      <c r="K298" s="84"/>
      <c r="L298" s="84"/>
      <c r="M298" s="84"/>
      <c r="N298" s="84"/>
      <c r="O298" s="84"/>
      <c r="P298" s="84"/>
      <c r="Q298" s="84"/>
      <c r="R298" s="84"/>
      <c r="S298" s="84"/>
      <c r="T298" s="84"/>
      <c r="U298" s="84"/>
      <c r="V298" s="84"/>
      <c r="W298" s="85">
        <f>SUMIF($H$15:$H$252,$H298,W$15:W$252)</f>
        <v>83000</v>
      </c>
      <c r="X298" s="85">
        <f t="shared" ref="X298:AH298" si="597">SUMIF($H$15:$H$252,$H298,X$15:X$252)</f>
        <v>83000</v>
      </c>
      <c r="Y298" s="85">
        <f t="shared" si="597"/>
        <v>83000</v>
      </c>
      <c r="Z298" s="85">
        <f t="shared" si="597"/>
        <v>83000</v>
      </c>
      <c r="AA298" s="85">
        <f t="shared" si="597"/>
        <v>83000</v>
      </c>
      <c r="AB298" s="85">
        <f t="shared" si="597"/>
        <v>83000</v>
      </c>
      <c r="AC298" s="85">
        <f t="shared" si="597"/>
        <v>83000</v>
      </c>
      <c r="AD298" s="85">
        <f t="shared" si="597"/>
        <v>83000</v>
      </c>
      <c r="AE298" s="85">
        <f t="shared" si="597"/>
        <v>83000</v>
      </c>
      <c r="AF298" s="85">
        <f t="shared" si="597"/>
        <v>83000</v>
      </c>
      <c r="AG298" s="85">
        <f t="shared" si="597"/>
        <v>83000</v>
      </c>
      <c r="AH298" s="85">
        <f t="shared" si="597"/>
        <v>83000</v>
      </c>
      <c r="AI298" s="86">
        <f t="shared" ref="AI298:AI304" si="598">SUM(W298:AH298)</f>
        <v>996000</v>
      </c>
      <c r="AJ298" s="85">
        <f>SUMIF($H$15:$H$252,$H298,AJ$15:AJ$252)</f>
        <v>87150</v>
      </c>
      <c r="AK298" s="85">
        <f t="shared" ref="AK298:AU298" si="599">SUMIF($H$15:$H$252,$H298,AK$15:AK$252)</f>
        <v>87150</v>
      </c>
      <c r="AL298" s="85">
        <f t="shared" si="599"/>
        <v>87150</v>
      </c>
      <c r="AM298" s="85">
        <f t="shared" si="599"/>
        <v>87150</v>
      </c>
      <c r="AN298" s="85">
        <f t="shared" si="599"/>
        <v>87150</v>
      </c>
      <c r="AO298" s="85">
        <f t="shared" si="599"/>
        <v>87150</v>
      </c>
      <c r="AP298" s="85">
        <f t="shared" si="599"/>
        <v>87150</v>
      </c>
      <c r="AQ298" s="85">
        <f t="shared" si="599"/>
        <v>87150</v>
      </c>
      <c r="AR298" s="85">
        <f t="shared" si="599"/>
        <v>87150</v>
      </c>
      <c r="AS298" s="85">
        <f t="shared" si="599"/>
        <v>87150</v>
      </c>
      <c r="AT298" s="85">
        <f t="shared" si="599"/>
        <v>87150</v>
      </c>
      <c r="AU298" s="85">
        <f t="shared" si="599"/>
        <v>87150</v>
      </c>
      <c r="AV298" s="86">
        <f t="shared" ref="AV298:AV304" si="600">SUM(AJ298:AU298)</f>
        <v>1045800</v>
      </c>
      <c r="AW298" s="131">
        <f>AI298/(F298*12)</f>
        <v>1</v>
      </c>
      <c r="AX298" s="88">
        <f t="shared" ref="AX298:AX309" si="601">F298*AW298</f>
        <v>83000</v>
      </c>
      <c r="AY298" s="88"/>
    </row>
    <row r="299" spans="1:51">
      <c r="A299" s="79" t="s">
        <v>3031</v>
      </c>
      <c r="B299" s="80" t="str">
        <f t="shared" si="590"/>
        <v>ACPSZL</v>
      </c>
      <c r="C299" s="80" t="str">
        <f t="shared" si="591"/>
        <v>深圳户籍</v>
      </c>
      <c r="D299" s="80" t="str">
        <f t="shared" si="592"/>
        <v>Professional</v>
      </c>
      <c r="E299" s="80">
        <f t="shared" si="593"/>
        <v>0</v>
      </c>
      <c r="F299" s="81">
        <f t="shared" si="594"/>
        <v>70000</v>
      </c>
      <c r="G299" s="81"/>
      <c r="H299" s="82" t="str">
        <f t="shared" si="595"/>
        <v>陈灿</v>
      </c>
      <c r="I299" s="83">
        <f t="shared" si="596"/>
        <v>0</v>
      </c>
      <c r="J299" s="82"/>
      <c r="K299" s="84"/>
      <c r="L299" s="84"/>
      <c r="M299" s="84"/>
      <c r="N299" s="84"/>
      <c r="O299" s="84"/>
      <c r="P299" s="84"/>
      <c r="Q299" s="84"/>
      <c r="R299" s="84"/>
      <c r="S299" s="84"/>
      <c r="T299" s="84"/>
      <c r="U299" s="84"/>
      <c r="V299" s="84"/>
      <c r="W299" s="85">
        <f>SUMIF($H$15:$H$252,$H299,W$15:W$252)</f>
        <v>130</v>
      </c>
      <c r="X299" s="85">
        <f t="shared" ref="X299:AH299" si="602">SUMIF($H$15:$H$252,$H299,X$15:X$252)</f>
        <v>0</v>
      </c>
      <c r="Y299" s="85">
        <f t="shared" si="602"/>
        <v>0</v>
      </c>
      <c r="Z299" s="85">
        <f t="shared" si="602"/>
        <v>0</v>
      </c>
      <c r="AA299" s="85">
        <f t="shared" si="602"/>
        <v>0</v>
      </c>
      <c r="AB299" s="85">
        <f t="shared" si="602"/>
        <v>0</v>
      </c>
      <c r="AC299" s="85">
        <f t="shared" si="602"/>
        <v>0</v>
      </c>
      <c r="AD299" s="85">
        <f t="shared" si="602"/>
        <v>0</v>
      </c>
      <c r="AE299" s="85">
        <f t="shared" si="602"/>
        <v>0</v>
      </c>
      <c r="AF299" s="85">
        <f t="shared" si="602"/>
        <v>0</v>
      </c>
      <c r="AG299" s="85">
        <f t="shared" si="602"/>
        <v>0</v>
      </c>
      <c r="AH299" s="85">
        <f t="shared" si="602"/>
        <v>0</v>
      </c>
      <c r="AI299" s="86">
        <f t="shared" si="598"/>
        <v>130</v>
      </c>
      <c r="AJ299" s="85">
        <f t="shared" ref="AJ299:AJ324" si="603">SUMIF($H$15:$H$252,$H299,AJ$15:AJ$252)</f>
        <v>0</v>
      </c>
      <c r="AK299" s="85">
        <f t="shared" ref="AK299:AU299" si="604">SUMIF($H$15:$H$252,$H299,AK$15:AK$252)</f>
        <v>0</v>
      </c>
      <c r="AL299" s="85">
        <f t="shared" si="604"/>
        <v>0</v>
      </c>
      <c r="AM299" s="85">
        <f t="shared" si="604"/>
        <v>0</v>
      </c>
      <c r="AN299" s="85">
        <f t="shared" si="604"/>
        <v>0</v>
      </c>
      <c r="AO299" s="85">
        <f t="shared" si="604"/>
        <v>0</v>
      </c>
      <c r="AP299" s="85">
        <f t="shared" si="604"/>
        <v>0</v>
      </c>
      <c r="AQ299" s="85">
        <f t="shared" si="604"/>
        <v>0</v>
      </c>
      <c r="AR299" s="85">
        <f t="shared" si="604"/>
        <v>0</v>
      </c>
      <c r="AS299" s="85">
        <f t="shared" si="604"/>
        <v>0</v>
      </c>
      <c r="AT299" s="85">
        <f t="shared" si="604"/>
        <v>0</v>
      </c>
      <c r="AU299" s="85">
        <f t="shared" si="604"/>
        <v>0</v>
      </c>
      <c r="AV299" s="86">
        <f t="shared" si="600"/>
        <v>0</v>
      </c>
      <c r="AW299" s="131">
        <f>AI299/(F299*12)</f>
        <v>1.5476190476190475E-4</v>
      </c>
      <c r="AX299" s="88">
        <f t="shared" si="601"/>
        <v>10.833333333333332</v>
      </c>
      <c r="AY299" s="88"/>
    </row>
    <row r="300" spans="1:51">
      <c r="A300" s="79" t="s">
        <v>3031</v>
      </c>
      <c r="B300" s="80" t="str">
        <f t="shared" si="590"/>
        <v>ACPSZL</v>
      </c>
      <c r="C300" s="80" t="str">
        <f t="shared" si="591"/>
        <v>深圳户籍</v>
      </c>
      <c r="D300" s="80" t="str">
        <f t="shared" si="592"/>
        <v>Professional</v>
      </c>
      <c r="E300" s="80">
        <f t="shared" si="593"/>
        <v>0</v>
      </c>
      <c r="F300" s="81">
        <f t="shared" si="594"/>
        <v>27000</v>
      </c>
      <c r="G300" s="81"/>
      <c r="H300" s="82" t="str">
        <f t="shared" si="595"/>
        <v>林秋蝶</v>
      </c>
      <c r="I300" s="83">
        <f t="shared" si="596"/>
        <v>0</v>
      </c>
      <c r="J300" s="82"/>
      <c r="K300" s="84"/>
      <c r="L300" s="84"/>
      <c r="M300" s="84"/>
      <c r="N300" s="84"/>
      <c r="O300" s="84"/>
      <c r="P300" s="84"/>
      <c r="Q300" s="84"/>
      <c r="R300" s="84"/>
      <c r="S300" s="84"/>
      <c r="T300" s="84"/>
      <c r="U300" s="84"/>
      <c r="V300" s="84"/>
      <c r="W300" s="85">
        <f>SUMIF($H$15:$H$252,$H300,W$15:W$252)</f>
        <v>36585</v>
      </c>
      <c r="X300" s="85">
        <f t="shared" ref="X300:AH300" si="605">SUMIF($H$15:$H$252,$H300,X$15:X$252)</f>
        <v>36585</v>
      </c>
      <c r="Y300" s="85">
        <f t="shared" si="605"/>
        <v>36585</v>
      </c>
      <c r="Z300" s="85">
        <f t="shared" si="605"/>
        <v>36585</v>
      </c>
      <c r="AA300" s="85">
        <f t="shared" si="605"/>
        <v>36585</v>
      </c>
      <c r="AB300" s="85">
        <f t="shared" si="605"/>
        <v>36585</v>
      </c>
      <c r="AC300" s="85">
        <f t="shared" si="605"/>
        <v>36585</v>
      </c>
      <c r="AD300" s="85">
        <f t="shared" si="605"/>
        <v>36585</v>
      </c>
      <c r="AE300" s="85">
        <f t="shared" si="605"/>
        <v>36585</v>
      </c>
      <c r="AF300" s="85">
        <f t="shared" si="605"/>
        <v>36585</v>
      </c>
      <c r="AG300" s="85">
        <f t="shared" si="605"/>
        <v>36585</v>
      </c>
      <c r="AH300" s="85">
        <f t="shared" si="605"/>
        <v>36585</v>
      </c>
      <c r="AI300" s="86">
        <f t="shared" si="598"/>
        <v>439020</v>
      </c>
      <c r="AJ300" s="85">
        <f t="shared" si="603"/>
        <v>38278.080000000002</v>
      </c>
      <c r="AK300" s="85">
        <f t="shared" ref="AK300:AU300" si="606">SUMIF($H$15:$H$252,$H300,AK$15:AK$252)</f>
        <v>38278.080000000002</v>
      </c>
      <c r="AL300" s="85">
        <f t="shared" si="606"/>
        <v>38278.080000000002</v>
      </c>
      <c r="AM300" s="85">
        <f t="shared" si="606"/>
        <v>38278.080000000002</v>
      </c>
      <c r="AN300" s="85">
        <f t="shared" si="606"/>
        <v>38278.080000000002</v>
      </c>
      <c r="AO300" s="85">
        <f t="shared" si="606"/>
        <v>38278.080000000002</v>
      </c>
      <c r="AP300" s="85">
        <f t="shared" si="606"/>
        <v>38278.080000000002</v>
      </c>
      <c r="AQ300" s="85">
        <f t="shared" si="606"/>
        <v>38278.080000000002</v>
      </c>
      <c r="AR300" s="85">
        <f t="shared" si="606"/>
        <v>38278.080000000002</v>
      </c>
      <c r="AS300" s="85">
        <f t="shared" si="606"/>
        <v>38278.080000000002</v>
      </c>
      <c r="AT300" s="85">
        <f t="shared" si="606"/>
        <v>38278.080000000002</v>
      </c>
      <c r="AU300" s="85">
        <f t="shared" si="606"/>
        <v>38278.080000000002</v>
      </c>
      <c r="AV300" s="86">
        <f t="shared" si="600"/>
        <v>459336.96000000014</v>
      </c>
      <c r="AW300" s="131">
        <f>AI300/(F300*12)</f>
        <v>1.355</v>
      </c>
      <c r="AX300" s="88">
        <f t="shared" si="601"/>
        <v>36585</v>
      </c>
      <c r="AY300" s="88"/>
    </row>
    <row r="301" spans="1:51">
      <c r="A301" s="79" t="s">
        <v>3031</v>
      </c>
      <c r="B301" s="80" t="str">
        <f t="shared" si="590"/>
        <v>ACPLSZ</v>
      </c>
      <c r="C301" s="80" t="str">
        <f t="shared" si="591"/>
        <v>深圳户籍</v>
      </c>
      <c r="D301" s="80" t="str">
        <f t="shared" si="592"/>
        <v>Professional</v>
      </c>
      <c r="E301" s="80">
        <f t="shared" si="593"/>
        <v>0</v>
      </c>
      <c r="F301" s="81">
        <f t="shared" si="594"/>
        <v>17000</v>
      </c>
      <c r="G301" s="81"/>
      <c r="H301" s="82" t="str">
        <f t="shared" si="595"/>
        <v>陈斌捷</v>
      </c>
      <c r="I301" s="83">
        <f t="shared" si="596"/>
        <v>8.8235294117646967E-2</v>
      </c>
      <c r="J301" s="82"/>
      <c r="K301" s="84"/>
      <c r="L301" s="84"/>
      <c r="M301" s="84"/>
      <c r="N301" s="84"/>
      <c r="O301" s="84"/>
      <c r="P301" s="84"/>
      <c r="Q301" s="84"/>
      <c r="R301" s="84"/>
      <c r="S301" s="84"/>
      <c r="T301" s="84"/>
      <c r="U301" s="84"/>
      <c r="V301" s="84"/>
      <c r="W301" s="85">
        <f>SUMIF($H$15:$H$252,$H301,W$15:W$252)</f>
        <v>23112.66</v>
      </c>
      <c r="X301" s="85">
        <f t="shared" ref="X301:AH301" si="607">SUMIF($H$15:$H$252,$H301,X$15:X$252)</f>
        <v>23112.66</v>
      </c>
      <c r="Y301" s="85">
        <f t="shared" si="607"/>
        <v>23112.66</v>
      </c>
      <c r="Z301" s="85">
        <f t="shared" si="607"/>
        <v>25148.16</v>
      </c>
      <c r="AA301" s="85">
        <f t="shared" si="607"/>
        <v>25148.16</v>
      </c>
      <c r="AB301" s="85">
        <f t="shared" si="607"/>
        <v>24701.16</v>
      </c>
      <c r="AC301" s="85">
        <f t="shared" si="607"/>
        <v>25148.16</v>
      </c>
      <c r="AD301" s="85">
        <f t="shared" si="607"/>
        <v>25148.16</v>
      </c>
      <c r="AE301" s="85">
        <f t="shared" si="607"/>
        <v>25148.16</v>
      </c>
      <c r="AF301" s="85">
        <f t="shared" si="607"/>
        <v>25148.16</v>
      </c>
      <c r="AG301" s="85">
        <f t="shared" si="607"/>
        <v>25148.16</v>
      </c>
      <c r="AH301" s="85">
        <f t="shared" si="607"/>
        <v>25148.16</v>
      </c>
      <c r="AI301" s="86">
        <f t="shared" si="598"/>
        <v>295224.42</v>
      </c>
      <c r="AJ301" s="85">
        <f t="shared" si="603"/>
        <v>26403.385000000002</v>
      </c>
      <c r="AK301" s="85">
        <f t="shared" ref="AK301:AU301" si="608">SUMIF($H$15:$H$252,$H301,AK$15:AK$252)</f>
        <v>26403.385000000002</v>
      </c>
      <c r="AL301" s="85">
        <f t="shared" si="608"/>
        <v>26403.385000000002</v>
      </c>
      <c r="AM301" s="85">
        <f t="shared" si="608"/>
        <v>26403.385000000002</v>
      </c>
      <c r="AN301" s="85">
        <f t="shared" si="608"/>
        <v>26403.385000000002</v>
      </c>
      <c r="AO301" s="85">
        <f t="shared" si="608"/>
        <v>26403.385000000002</v>
      </c>
      <c r="AP301" s="85">
        <f t="shared" si="608"/>
        <v>26403.385000000002</v>
      </c>
      <c r="AQ301" s="85">
        <f t="shared" si="608"/>
        <v>26403.385000000002</v>
      </c>
      <c r="AR301" s="85">
        <f t="shared" si="608"/>
        <v>26403.385000000002</v>
      </c>
      <c r="AS301" s="85">
        <f t="shared" si="608"/>
        <v>26403.385000000002</v>
      </c>
      <c r="AT301" s="85">
        <f t="shared" si="608"/>
        <v>26403.385000000002</v>
      </c>
      <c r="AU301" s="85">
        <f t="shared" si="608"/>
        <v>26403.385000000002</v>
      </c>
      <c r="AV301" s="86">
        <f t="shared" si="600"/>
        <v>316840.62000000005</v>
      </c>
      <c r="AW301" s="131">
        <f>AI301/(F301*6)</f>
        <v>2.8943570588235294</v>
      </c>
      <c r="AX301" s="88">
        <f t="shared" si="601"/>
        <v>49204.07</v>
      </c>
      <c r="AY301" s="88"/>
    </row>
    <row r="302" spans="1:51">
      <c r="A302" s="79" t="s">
        <v>3031</v>
      </c>
      <c r="B302" s="80" t="str">
        <f t="shared" si="590"/>
        <v>ACPSZL</v>
      </c>
      <c r="C302" s="80" t="str">
        <f t="shared" si="591"/>
        <v>深圳户籍</v>
      </c>
      <c r="D302" s="80" t="str">
        <f t="shared" si="592"/>
        <v>Professional</v>
      </c>
      <c r="E302" s="80">
        <f t="shared" si="593"/>
        <v>0</v>
      </c>
      <c r="F302" s="82">
        <f t="shared" si="594"/>
        <v>20000</v>
      </c>
      <c r="G302" s="82"/>
      <c r="H302" s="82" t="str">
        <f t="shared" si="595"/>
        <v>陈广华</v>
      </c>
      <c r="I302" s="83">
        <f t="shared" si="596"/>
        <v>0</v>
      </c>
      <c r="J302" s="82"/>
      <c r="K302" s="84"/>
      <c r="L302" s="84"/>
      <c r="M302" s="84"/>
      <c r="N302" s="84"/>
      <c r="O302" s="84"/>
      <c r="P302" s="84"/>
      <c r="Q302" s="84"/>
      <c r="R302" s="84"/>
      <c r="S302" s="84"/>
      <c r="T302" s="84"/>
      <c r="U302" s="84"/>
      <c r="V302" s="84"/>
      <c r="W302" s="85">
        <f>SUMIF($H$15:$H$252,$H302,W$15:W$252)</f>
        <v>27100</v>
      </c>
      <c r="X302" s="85">
        <f t="shared" ref="X302:AH302" si="609">SUMIF($H$15:$H$252,$H302,X$15:X$252)</f>
        <v>27100</v>
      </c>
      <c r="Y302" s="85">
        <f t="shared" si="609"/>
        <v>27100</v>
      </c>
      <c r="Z302" s="85">
        <f t="shared" si="609"/>
        <v>27100</v>
      </c>
      <c r="AA302" s="85">
        <f t="shared" si="609"/>
        <v>27100</v>
      </c>
      <c r="AB302" s="85">
        <f t="shared" si="609"/>
        <v>27100</v>
      </c>
      <c r="AC302" s="85">
        <f t="shared" si="609"/>
        <v>27100</v>
      </c>
      <c r="AD302" s="85">
        <f t="shared" si="609"/>
        <v>27100</v>
      </c>
      <c r="AE302" s="85">
        <f t="shared" si="609"/>
        <v>27100</v>
      </c>
      <c r="AF302" s="85">
        <f t="shared" si="609"/>
        <v>27100</v>
      </c>
      <c r="AG302" s="85">
        <f t="shared" si="609"/>
        <v>27100</v>
      </c>
      <c r="AH302" s="85">
        <f t="shared" si="609"/>
        <v>27100</v>
      </c>
      <c r="AI302" s="86">
        <f t="shared" si="598"/>
        <v>325200</v>
      </c>
      <c r="AJ302" s="85">
        <f t="shared" si="603"/>
        <v>28455</v>
      </c>
      <c r="AK302" s="85">
        <f t="shared" ref="AK302:AU302" si="610">SUMIF($H$15:$H$252,$H302,AK$15:AK$252)</f>
        <v>28455</v>
      </c>
      <c r="AL302" s="85">
        <f t="shared" si="610"/>
        <v>28455</v>
      </c>
      <c r="AM302" s="85">
        <f t="shared" si="610"/>
        <v>28455</v>
      </c>
      <c r="AN302" s="85">
        <f t="shared" si="610"/>
        <v>28455</v>
      </c>
      <c r="AO302" s="85">
        <f t="shared" si="610"/>
        <v>28455</v>
      </c>
      <c r="AP302" s="85">
        <f t="shared" si="610"/>
        <v>28455</v>
      </c>
      <c r="AQ302" s="85">
        <f t="shared" si="610"/>
        <v>28455</v>
      </c>
      <c r="AR302" s="85">
        <f t="shared" si="610"/>
        <v>28455</v>
      </c>
      <c r="AS302" s="85">
        <f t="shared" si="610"/>
        <v>28455</v>
      </c>
      <c r="AT302" s="85">
        <f t="shared" si="610"/>
        <v>28455</v>
      </c>
      <c r="AU302" s="85">
        <f t="shared" si="610"/>
        <v>28455</v>
      </c>
      <c r="AV302" s="86">
        <f t="shared" si="600"/>
        <v>341460</v>
      </c>
      <c r="AW302" s="131">
        <f>AI302/(F302*12)</f>
        <v>1.355</v>
      </c>
      <c r="AX302" s="88">
        <f t="shared" si="601"/>
        <v>27100</v>
      </c>
      <c r="AY302" s="88"/>
    </row>
    <row r="303" spans="1:51">
      <c r="A303" s="79" t="s">
        <v>3031</v>
      </c>
      <c r="B303" s="80" t="str">
        <f t="shared" si="590"/>
        <v>ACPSZL</v>
      </c>
      <c r="C303" s="80" t="str">
        <f t="shared" si="591"/>
        <v>非深圳户籍</v>
      </c>
      <c r="D303" s="80" t="str">
        <f t="shared" si="592"/>
        <v>Professional</v>
      </c>
      <c r="E303" s="80">
        <f t="shared" si="593"/>
        <v>0</v>
      </c>
      <c r="F303" s="82">
        <f t="shared" si="594"/>
        <v>50000</v>
      </c>
      <c r="G303" s="82"/>
      <c r="H303" s="82" t="str">
        <f t="shared" si="595"/>
        <v>冷雨尘</v>
      </c>
      <c r="I303" s="83">
        <f t="shared" si="596"/>
        <v>0</v>
      </c>
      <c r="J303" s="82"/>
      <c r="K303" s="84"/>
      <c r="L303" s="84"/>
      <c r="M303" s="84"/>
      <c r="N303" s="84"/>
      <c r="O303" s="84"/>
      <c r="P303" s="84"/>
      <c r="Q303" s="84"/>
      <c r="R303" s="84"/>
      <c r="S303" s="84"/>
      <c r="T303" s="84"/>
      <c r="U303" s="84"/>
      <c r="V303" s="84"/>
      <c r="W303" s="85">
        <f t="shared" ref="W303:W319" si="611">SUMIF($H$15:$H$252,$H303,W$15:W$252)</f>
        <v>62025.39</v>
      </c>
      <c r="X303" s="85">
        <f t="shared" ref="X303:AH303" si="612">SUMIF($H$15:$H$252,$H303,X$15:X$252)</f>
        <v>62025.39</v>
      </c>
      <c r="Y303" s="85">
        <f t="shared" si="612"/>
        <v>62025.39</v>
      </c>
      <c r="Z303" s="85">
        <f t="shared" si="612"/>
        <v>62025.39</v>
      </c>
      <c r="AA303" s="85">
        <f t="shared" si="612"/>
        <v>62025.39</v>
      </c>
      <c r="AB303" s="85">
        <f t="shared" si="612"/>
        <v>62025.39</v>
      </c>
      <c r="AC303" s="85">
        <f t="shared" si="612"/>
        <v>62025.39</v>
      </c>
      <c r="AD303" s="85">
        <f t="shared" si="612"/>
        <v>62025.39</v>
      </c>
      <c r="AE303" s="85">
        <f t="shared" si="612"/>
        <v>62025.39</v>
      </c>
      <c r="AF303" s="85">
        <f t="shared" si="612"/>
        <v>62025.39</v>
      </c>
      <c r="AG303" s="85">
        <f t="shared" si="612"/>
        <v>62025.39</v>
      </c>
      <c r="AH303" s="85">
        <f t="shared" si="612"/>
        <v>62025.39</v>
      </c>
      <c r="AI303" s="86">
        <f t="shared" si="598"/>
        <v>744304.68</v>
      </c>
      <c r="AJ303" s="85">
        <f t="shared" si="603"/>
        <v>64805.880000000005</v>
      </c>
      <c r="AK303" s="85">
        <f t="shared" ref="AK303:AU303" si="613">SUMIF($H$15:$H$252,$H303,AK$15:AK$252)</f>
        <v>64805.880000000005</v>
      </c>
      <c r="AL303" s="85">
        <f t="shared" si="613"/>
        <v>64805.880000000005</v>
      </c>
      <c r="AM303" s="85">
        <f t="shared" si="613"/>
        <v>64805.880000000005</v>
      </c>
      <c r="AN303" s="85">
        <f t="shared" si="613"/>
        <v>64805.880000000005</v>
      </c>
      <c r="AO303" s="85">
        <f t="shared" si="613"/>
        <v>64805.880000000005</v>
      </c>
      <c r="AP303" s="85">
        <f t="shared" si="613"/>
        <v>64805.880000000005</v>
      </c>
      <c r="AQ303" s="85">
        <f t="shared" si="613"/>
        <v>64805.880000000005</v>
      </c>
      <c r="AR303" s="85">
        <f t="shared" si="613"/>
        <v>64805.880000000005</v>
      </c>
      <c r="AS303" s="85">
        <f t="shared" si="613"/>
        <v>64805.880000000005</v>
      </c>
      <c r="AT303" s="85">
        <f t="shared" si="613"/>
        <v>64805.880000000005</v>
      </c>
      <c r="AU303" s="85">
        <f t="shared" si="613"/>
        <v>64805.880000000005</v>
      </c>
      <c r="AV303" s="86">
        <f t="shared" si="600"/>
        <v>777670.56</v>
      </c>
      <c r="AW303" s="131">
        <f>AI303/(F303*8)</f>
        <v>1.8607617000000001</v>
      </c>
      <c r="AX303" s="88">
        <f t="shared" si="601"/>
        <v>93038.085000000006</v>
      </c>
      <c r="AY303" s="88"/>
    </row>
    <row r="304" spans="1:51">
      <c r="A304" s="79" t="s">
        <v>3031</v>
      </c>
      <c r="B304" s="80" t="str">
        <f t="shared" si="590"/>
        <v>ACPSZL</v>
      </c>
      <c r="C304" s="80" t="str">
        <f t="shared" si="591"/>
        <v>深圳户籍</v>
      </c>
      <c r="D304" s="80" t="str">
        <f t="shared" si="592"/>
        <v>Professional</v>
      </c>
      <c r="E304" s="80">
        <f t="shared" si="593"/>
        <v>0</v>
      </c>
      <c r="F304" s="82">
        <f t="shared" si="594"/>
        <v>35000</v>
      </c>
      <c r="G304" s="82"/>
      <c r="H304" s="82" t="str">
        <f t="shared" si="595"/>
        <v>李敏宽</v>
      </c>
      <c r="I304" s="83">
        <f t="shared" si="596"/>
        <v>0.14285714285714279</v>
      </c>
      <c r="J304" s="82"/>
      <c r="K304" s="84"/>
      <c r="L304" s="84"/>
      <c r="M304" s="84"/>
      <c r="N304" s="84"/>
      <c r="O304" s="84"/>
      <c r="P304" s="84"/>
      <c r="Q304" s="84"/>
      <c r="R304" s="84"/>
      <c r="S304" s="84"/>
      <c r="T304" s="84"/>
      <c r="U304" s="84"/>
      <c r="V304" s="84"/>
      <c r="W304" s="85">
        <f t="shared" si="611"/>
        <v>46084.959999999999</v>
      </c>
      <c r="X304" s="85">
        <f t="shared" ref="X304:AH304" si="614">SUMIF($H$15:$H$252,$H304,X$15:X$252)</f>
        <v>46084.959999999999</v>
      </c>
      <c r="Y304" s="85">
        <f t="shared" si="614"/>
        <v>46084.959999999999</v>
      </c>
      <c r="Z304" s="85">
        <f t="shared" si="614"/>
        <v>51734.96</v>
      </c>
      <c r="AA304" s="85">
        <f t="shared" si="614"/>
        <v>51734.96</v>
      </c>
      <c r="AB304" s="85">
        <f t="shared" si="614"/>
        <v>51734.96</v>
      </c>
      <c r="AC304" s="85">
        <f t="shared" si="614"/>
        <v>51734.96</v>
      </c>
      <c r="AD304" s="85">
        <f t="shared" si="614"/>
        <v>51734.96</v>
      </c>
      <c r="AE304" s="85">
        <f t="shared" si="614"/>
        <v>51734.96</v>
      </c>
      <c r="AF304" s="85">
        <f t="shared" si="614"/>
        <v>51734.96</v>
      </c>
      <c r="AG304" s="85">
        <f t="shared" si="614"/>
        <v>51734.96</v>
      </c>
      <c r="AH304" s="85">
        <f t="shared" si="614"/>
        <v>51734.96</v>
      </c>
      <c r="AI304" s="86">
        <f t="shared" si="598"/>
        <v>603869.52</v>
      </c>
      <c r="AJ304" s="85">
        <f t="shared" si="603"/>
        <v>53994.96</v>
      </c>
      <c r="AK304" s="85">
        <f t="shared" ref="AK304:AU304" si="615">SUMIF($H$15:$H$252,$H304,AK$15:AK$252)</f>
        <v>53994.96</v>
      </c>
      <c r="AL304" s="85">
        <f t="shared" si="615"/>
        <v>53994.96</v>
      </c>
      <c r="AM304" s="85">
        <f t="shared" si="615"/>
        <v>53994.96</v>
      </c>
      <c r="AN304" s="85">
        <f t="shared" si="615"/>
        <v>53994.96</v>
      </c>
      <c r="AO304" s="85">
        <f t="shared" si="615"/>
        <v>53994.96</v>
      </c>
      <c r="AP304" s="85">
        <f t="shared" si="615"/>
        <v>53994.96</v>
      </c>
      <c r="AQ304" s="85">
        <f t="shared" si="615"/>
        <v>53994.96</v>
      </c>
      <c r="AR304" s="85">
        <f t="shared" si="615"/>
        <v>53994.96</v>
      </c>
      <c r="AS304" s="85">
        <f t="shared" si="615"/>
        <v>53994.96</v>
      </c>
      <c r="AT304" s="85">
        <f t="shared" si="615"/>
        <v>53994.96</v>
      </c>
      <c r="AU304" s="85">
        <f t="shared" si="615"/>
        <v>53994.96</v>
      </c>
      <c r="AV304" s="86">
        <f t="shared" si="600"/>
        <v>647939.52</v>
      </c>
      <c r="AW304" s="131">
        <f>AI304/(F304*10)</f>
        <v>1.7253414857142857</v>
      </c>
      <c r="AX304" s="88">
        <f t="shared" si="601"/>
        <v>60386.951999999997</v>
      </c>
      <c r="AY304" s="88"/>
    </row>
    <row r="305" spans="1:51">
      <c r="A305" s="79" t="s">
        <v>3031</v>
      </c>
      <c r="B305" s="80" t="str">
        <f t="shared" si="590"/>
        <v>ACPLSZ</v>
      </c>
      <c r="C305" s="80" t="str">
        <f t="shared" si="591"/>
        <v>非深圳户籍</v>
      </c>
      <c r="D305" s="80" t="str">
        <f t="shared" si="592"/>
        <v>Professional</v>
      </c>
      <c r="E305" s="80">
        <f t="shared" si="593"/>
        <v>0</v>
      </c>
      <c r="F305" s="81">
        <f t="shared" si="594"/>
        <v>44250</v>
      </c>
      <c r="G305" s="81"/>
      <c r="H305" s="82" t="str">
        <f t="shared" si="595"/>
        <v>高焙</v>
      </c>
      <c r="I305" s="83">
        <f t="shared" si="596"/>
        <v>0.12994350282485878</v>
      </c>
      <c r="J305" s="82"/>
      <c r="K305" s="84"/>
      <c r="L305" s="84"/>
      <c r="M305" s="84"/>
      <c r="N305" s="84"/>
      <c r="O305" s="84"/>
      <c r="P305" s="84"/>
      <c r="Q305" s="84"/>
      <c r="R305" s="84"/>
      <c r="S305" s="84"/>
      <c r="T305" s="84"/>
      <c r="U305" s="84"/>
      <c r="V305" s="84"/>
      <c r="W305" s="85">
        <f t="shared" si="611"/>
        <v>56394.13</v>
      </c>
      <c r="X305" s="85">
        <f t="shared" ref="X305:AH305" si="616">SUMIF($H$15:$H$252,$H305,X$15:X$252)</f>
        <v>56394.13</v>
      </c>
      <c r="Y305" s="85">
        <f t="shared" si="616"/>
        <v>56394.13</v>
      </c>
      <c r="Z305" s="85">
        <f t="shared" si="616"/>
        <v>62146.05</v>
      </c>
      <c r="AA305" s="85">
        <f t="shared" si="616"/>
        <v>62146.05</v>
      </c>
      <c r="AB305" s="85">
        <f t="shared" si="616"/>
        <v>62146.05</v>
      </c>
      <c r="AC305" s="85">
        <f t="shared" si="616"/>
        <v>62146.05</v>
      </c>
      <c r="AD305" s="85">
        <f t="shared" si="616"/>
        <v>62146.05</v>
      </c>
      <c r="AE305" s="85">
        <f t="shared" si="616"/>
        <v>62146.05</v>
      </c>
      <c r="AF305" s="85">
        <f t="shared" si="616"/>
        <v>62146.05</v>
      </c>
      <c r="AG305" s="85">
        <f t="shared" si="616"/>
        <v>62146.05</v>
      </c>
      <c r="AH305" s="85">
        <f t="shared" si="616"/>
        <v>62146.05</v>
      </c>
      <c r="AI305" s="86">
        <f t="shared" ref="AI305:AI317" si="617">SUM(W305:AH305)</f>
        <v>728496.84000000008</v>
      </c>
      <c r="AJ305" s="85">
        <f t="shared" si="603"/>
        <v>64679.05</v>
      </c>
      <c r="AK305" s="85">
        <f t="shared" ref="AK305:AU305" si="618">SUMIF($H$15:$H$252,$H305,AK$15:AK$252)</f>
        <v>64679.05</v>
      </c>
      <c r="AL305" s="85">
        <f t="shared" si="618"/>
        <v>64679.05</v>
      </c>
      <c r="AM305" s="85">
        <f t="shared" si="618"/>
        <v>64679.05</v>
      </c>
      <c r="AN305" s="85">
        <f t="shared" si="618"/>
        <v>64679.05</v>
      </c>
      <c r="AO305" s="85">
        <f t="shared" si="618"/>
        <v>64679.05</v>
      </c>
      <c r="AP305" s="85">
        <f t="shared" si="618"/>
        <v>64679.05</v>
      </c>
      <c r="AQ305" s="85">
        <f t="shared" si="618"/>
        <v>64679.05</v>
      </c>
      <c r="AR305" s="85">
        <f t="shared" si="618"/>
        <v>64679.05</v>
      </c>
      <c r="AS305" s="85">
        <f t="shared" si="618"/>
        <v>64679.05</v>
      </c>
      <c r="AT305" s="85">
        <f t="shared" si="618"/>
        <v>64679.05</v>
      </c>
      <c r="AU305" s="85">
        <f t="shared" si="618"/>
        <v>64679.05</v>
      </c>
      <c r="AV305" s="86">
        <f t="shared" ref="AV305:AV319" si="619">SUM(AJ305:AU305)</f>
        <v>776148.60000000009</v>
      </c>
      <c r="AW305" s="131">
        <f>AI305/(F305*12)</f>
        <v>1.3719337853107345</v>
      </c>
      <c r="AX305" s="88">
        <f t="shared" si="601"/>
        <v>60708.07</v>
      </c>
      <c r="AY305" s="88"/>
    </row>
    <row r="306" spans="1:51">
      <c r="A306" s="79" t="s">
        <v>3031</v>
      </c>
      <c r="B306" s="80" t="str">
        <f t="shared" si="590"/>
        <v>ACPLSZ</v>
      </c>
      <c r="C306" s="80" t="str">
        <f t="shared" si="591"/>
        <v>天津</v>
      </c>
      <c r="D306" s="80" t="str">
        <f t="shared" si="592"/>
        <v>Professional</v>
      </c>
      <c r="E306" s="80">
        <f t="shared" si="593"/>
        <v>0</v>
      </c>
      <c r="F306" s="81">
        <f t="shared" si="594"/>
        <v>44250</v>
      </c>
      <c r="G306" s="81"/>
      <c r="H306" s="82" t="str">
        <f t="shared" si="595"/>
        <v>袁玉杰</v>
      </c>
      <c r="I306" s="83">
        <f t="shared" si="596"/>
        <v>0</v>
      </c>
      <c r="J306" s="82"/>
      <c r="K306" s="84"/>
      <c r="L306" s="84"/>
      <c r="M306" s="84"/>
      <c r="N306" s="84"/>
      <c r="O306" s="84"/>
      <c r="P306" s="84"/>
      <c r="Q306" s="84"/>
      <c r="R306" s="84"/>
      <c r="S306" s="84"/>
      <c r="T306" s="84"/>
      <c r="U306" s="84"/>
      <c r="V306" s="84"/>
      <c r="W306" s="85">
        <f t="shared" si="611"/>
        <v>54411.44999999999</v>
      </c>
      <c r="X306" s="85">
        <f t="shared" ref="X306:AH306" si="620">SUMIF($H$15:$H$252,$H306,X$15:X$252)</f>
        <v>54411.44999999999</v>
      </c>
      <c r="Y306" s="85">
        <f t="shared" si="620"/>
        <v>179.34</v>
      </c>
      <c r="Z306" s="85">
        <f t="shared" si="620"/>
        <v>179.34</v>
      </c>
      <c r="AA306" s="85">
        <f t="shared" si="620"/>
        <v>179.34</v>
      </c>
      <c r="AB306" s="85">
        <f t="shared" si="620"/>
        <v>179.34</v>
      </c>
      <c r="AC306" s="85">
        <f t="shared" si="620"/>
        <v>179.34</v>
      </c>
      <c r="AD306" s="85">
        <f t="shared" si="620"/>
        <v>179.34</v>
      </c>
      <c r="AE306" s="85">
        <f t="shared" si="620"/>
        <v>179.34</v>
      </c>
      <c r="AF306" s="85">
        <f t="shared" si="620"/>
        <v>179.34</v>
      </c>
      <c r="AG306" s="85">
        <f t="shared" si="620"/>
        <v>179.34</v>
      </c>
      <c r="AH306" s="85">
        <f t="shared" si="620"/>
        <v>179.34</v>
      </c>
      <c r="AI306" s="86">
        <f t="shared" si="617"/>
        <v>110616.29999999994</v>
      </c>
      <c r="AJ306" s="85">
        <f t="shared" si="603"/>
        <v>53798.87999999999</v>
      </c>
      <c r="AK306" s="85">
        <f t="shared" ref="AK306:AU306" si="621">SUMIF($H$15:$H$252,$H306,AK$15:AK$252)</f>
        <v>53798.87999999999</v>
      </c>
      <c r="AL306" s="85">
        <f t="shared" si="621"/>
        <v>53798.87999999999</v>
      </c>
      <c r="AM306" s="85">
        <f t="shared" si="621"/>
        <v>53798.87999999999</v>
      </c>
      <c r="AN306" s="85">
        <f t="shared" si="621"/>
        <v>53798.87999999999</v>
      </c>
      <c r="AO306" s="85">
        <f t="shared" si="621"/>
        <v>53798.87999999999</v>
      </c>
      <c r="AP306" s="85">
        <f t="shared" si="621"/>
        <v>53798.87999999999</v>
      </c>
      <c r="AQ306" s="85">
        <f t="shared" si="621"/>
        <v>53798.87999999999</v>
      </c>
      <c r="AR306" s="85">
        <f t="shared" si="621"/>
        <v>53798.87999999999</v>
      </c>
      <c r="AS306" s="85">
        <f t="shared" si="621"/>
        <v>53798.87999999999</v>
      </c>
      <c r="AT306" s="85">
        <f t="shared" si="621"/>
        <v>53798.87999999999</v>
      </c>
      <c r="AU306" s="85">
        <f t="shared" si="621"/>
        <v>53798.87999999999</v>
      </c>
      <c r="AV306" s="86">
        <f t="shared" si="619"/>
        <v>645586.55999999994</v>
      </c>
      <c r="AW306" s="131">
        <f>AI306/(F306*12)</f>
        <v>0.20831694915254226</v>
      </c>
      <c r="AX306" s="88">
        <f t="shared" si="601"/>
        <v>9218.0249999999942</v>
      </c>
      <c r="AY306" s="88"/>
    </row>
    <row r="307" spans="1:51">
      <c r="A307" s="79" t="s">
        <v>3031</v>
      </c>
      <c r="B307" s="80" t="str">
        <f t="shared" si="590"/>
        <v>ACPLSZ</v>
      </c>
      <c r="C307" s="80" t="str">
        <f t="shared" si="591"/>
        <v>深圳户籍</v>
      </c>
      <c r="D307" s="80" t="str">
        <f t="shared" si="592"/>
        <v>Professional</v>
      </c>
      <c r="E307" s="80">
        <f t="shared" si="593"/>
        <v>0</v>
      </c>
      <c r="F307" s="81">
        <f t="shared" si="594"/>
        <v>39000</v>
      </c>
      <c r="G307" s="81"/>
      <c r="H307" s="82" t="str">
        <f t="shared" si="595"/>
        <v>何梅春</v>
      </c>
      <c r="I307" s="83">
        <f t="shared" si="596"/>
        <v>0</v>
      </c>
      <c r="J307" s="82"/>
      <c r="K307" s="84"/>
      <c r="L307" s="84"/>
      <c r="M307" s="84"/>
      <c r="N307" s="84"/>
      <c r="O307" s="84"/>
      <c r="P307" s="84"/>
      <c r="Q307" s="84"/>
      <c r="R307" s="84"/>
      <c r="S307" s="84"/>
      <c r="T307" s="84"/>
      <c r="U307" s="84"/>
      <c r="V307" s="84"/>
      <c r="W307" s="85">
        <f t="shared" si="611"/>
        <v>49449.751000000004</v>
      </c>
      <c r="X307" s="85">
        <f t="shared" ref="X307:AH307" si="622">SUMIF($H$15:$H$252,$H307,X$15:X$252)</f>
        <v>49449.751000000004</v>
      </c>
      <c r="Y307" s="85">
        <f t="shared" si="622"/>
        <v>49449.751000000004</v>
      </c>
      <c r="Z307" s="85">
        <f t="shared" si="622"/>
        <v>49449.751000000004</v>
      </c>
      <c r="AA307" s="85">
        <f t="shared" si="622"/>
        <v>49449.751000000004</v>
      </c>
      <c r="AB307" s="85">
        <f t="shared" si="622"/>
        <v>49449.751000000004</v>
      </c>
      <c r="AC307" s="85">
        <f t="shared" si="622"/>
        <v>49449.751000000004</v>
      </c>
      <c r="AD307" s="85">
        <f t="shared" si="622"/>
        <v>49449.751000000004</v>
      </c>
      <c r="AE307" s="85">
        <f t="shared" si="622"/>
        <v>49449.751000000004</v>
      </c>
      <c r="AF307" s="85">
        <f t="shared" si="622"/>
        <v>49449.751000000004</v>
      </c>
      <c r="AG307" s="85">
        <f t="shared" si="622"/>
        <v>49449.751000000004</v>
      </c>
      <c r="AH307" s="85">
        <f t="shared" si="622"/>
        <v>49449.751000000004</v>
      </c>
      <c r="AI307" s="86">
        <f t="shared" si="617"/>
        <v>593397.01199999999</v>
      </c>
      <c r="AJ307" s="85">
        <f t="shared" si="603"/>
        <v>51399.751000000004</v>
      </c>
      <c r="AK307" s="85">
        <f t="shared" ref="AK307:AU307" si="623">SUMIF($H$15:$H$252,$H307,AK$15:AK$252)</f>
        <v>51399.751000000004</v>
      </c>
      <c r="AL307" s="85">
        <f t="shared" si="623"/>
        <v>51399.751000000004</v>
      </c>
      <c r="AM307" s="85">
        <f t="shared" si="623"/>
        <v>51399.751000000004</v>
      </c>
      <c r="AN307" s="85">
        <f t="shared" si="623"/>
        <v>51399.751000000004</v>
      </c>
      <c r="AO307" s="85">
        <f t="shared" si="623"/>
        <v>51399.751000000004</v>
      </c>
      <c r="AP307" s="85">
        <f t="shared" si="623"/>
        <v>52934.020000000004</v>
      </c>
      <c r="AQ307" s="85">
        <f t="shared" si="623"/>
        <v>52934.020000000004</v>
      </c>
      <c r="AR307" s="85">
        <f t="shared" si="623"/>
        <v>52934.020000000004</v>
      </c>
      <c r="AS307" s="85">
        <f t="shared" si="623"/>
        <v>52934.020000000004</v>
      </c>
      <c r="AT307" s="85">
        <f t="shared" si="623"/>
        <v>52934.020000000004</v>
      </c>
      <c r="AU307" s="85">
        <f t="shared" si="623"/>
        <v>52934.020000000004</v>
      </c>
      <c r="AV307" s="86">
        <f t="shared" si="619"/>
        <v>626002.62600000005</v>
      </c>
      <c r="AW307" s="131">
        <f>AI307/(F307*12)</f>
        <v>1.2679423333333333</v>
      </c>
      <c r="AX307" s="88">
        <f t="shared" si="601"/>
        <v>49449.750999999997</v>
      </c>
      <c r="AY307" s="88"/>
    </row>
    <row r="308" spans="1:51">
      <c r="A308" s="79" t="s">
        <v>3031</v>
      </c>
      <c r="B308" s="80" t="str">
        <f t="shared" si="590"/>
        <v>ACPLSZ</v>
      </c>
      <c r="C308" s="80" t="str">
        <f t="shared" si="591"/>
        <v>非深圳户籍</v>
      </c>
      <c r="D308" s="80" t="str">
        <f t="shared" si="592"/>
        <v>Professional</v>
      </c>
      <c r="E308" s="80">
        <f t="shared" si="593"/>
        <v>0</v>
      </c>
      <c r="F308" s="81">
        <f t="shared" si="594"/>
        <v>26000</v>
      </c>
      <c r="G308" s="81"/>
      <c r="H308" s="82" t="str">
        <f t="shared" si="595"/>
        <v>闫凯</v>
      </c>
      <c r="I308" s="83">
        <f t="shared" si="596"/>
        <v>0</v>
      </c>
      <c r="J308" s="82"/>
      <c r="K308" s="84"/>
      <c r="L308" s="84"/>
      <c r="M308" s="84"/>
      <c r="N308" s="84"/>
      <c r="O308" s="84"/>
      <c r="P308" s="84"/>
      <c r="Q308" s="84"/>
      <c r="R308" s="84"/>
      <c r="S308" s="84"/>
      <c r="T308" s="84"/>
      <c r="U308" s="84"/>
      <c r="V308" s="84"/>
      <c r="W308" s="85">
        <f t="shared" si="611"/>
        <v>35065.660000000003</v>
      </c>
      <c r="X308" s="85">
        <f t="shared" ref="X308:AH308" si="624">SUMIF($H$15:$H$252,$H308,X$15:X$252)</f>
        <v>35065.660000000003</v>
      </c>
      <c r="Y308" s="85">
        <f t="shared" si="624"/>
        <v>35065.660000000003</v>
      </c>
      <c r="Z308" s="85">
        <f t="shared" si="624"/>
        <v>35065.660000000003</v>
      </c>
      <c r="AA308" s="85">
        <f t="shared" si="624"/>
        <v>35065.660000000003</v>
      </c>
      <c r="AB308" s="85">
        <f t="shared" si="624"/>
        <v>35065.660000000003</v>
      </c>
      <c r="AC308" s="85">
        <f t="shared" si="624"/>
        <v>35065.660000000003</v>
      </c>
      <c r="AD308" s="85">
        <f t="shared" si="624"/>
        <v>35065.660000000003</v>
      </c>
      <c r="AE308" s="85">
        <f t="shared" si="624"/>
        <v>35065.660000000003</v>
      </c>
      <c r="AF308" s="85">
        <f t="shared" si="624"/>
        <v>35065.660000000003</v>
      </c>
      <c r="AG308" s="85">
        <f t="shared" si="624"/>
        <v>35065.660000000003</v>
      </c>
      <c r="AH308" s="85">
        <f t="shared" si="624"/>
        <v>35065.660000000003</v>
      </c>
      <c r="AI308" s="86">
        <f t="shared" si="617"/>
        <v>420787.92000000016</v>
      </c>
      <c r="AJ308" s="85">
        <f t="shared" si="603"/>
        <v>36816.76</v>
      </c>
      <c r="AK308" s="85">
        <f t="shared" ref="AK308:AU308" si="625">SUMIF($H$15:$H$252,$H308,AK$15:AK$252)</f>
        <v>36816.76</v>
      </c>
      <c r="AL308" s="85">
        <f t="shared" si="625"/>
        <v>36816.76</v>
      </c>
      <c r="AM308" s="85">
        <f t="shared" si="625"/>
        <v>36816.76</v>
      </c>
      <c r="AN308" s="85">
        <f t="shared" si="625"/>
        <v>36816.76</v>
      </c>
      <c r="AO308" s="85">
        <f t="shared" si="625"/>
        <v>36816.76</v>
      </c>
      <c r="AP308" s="85">
        <f t="shared" si="625"/>
        <v>36816.76</v>
      </c>
      <c r="AQ308" s="85">
        <f t="shared" si="625"/>
        <v>36816.76</v>
      </c>
      <c r="AR308" s="85">
        <f t="shared" si="625"/>
        <v>36816.76</v>
      </c>
      <c r="AS308" s="85">
        <f t="shared" si="625"/>
        <v>36816.76</v>
      </c>
      <c r="AT308" s="85">
        <f t="shared" si="625"/>
        <v>36816.76</v>
      </c>
      <c r="AU308" s="85">
        <f t="shared" si="625"/>
        <v>36816.76</v>
      </c>
      <c r="AV308" s="86">
        <f t="shared" si="619"/>
        <v>441801.12000000005</v>
      </c>
      <c r="AW308" s="131">
        <f>AI308/(F308*8)</f>
        <v>2.023018846153847</v>
      </c>
      <c r="AX308" s="88">
        <f t="shared" si="601"/>
        <v>52598.49000000002</v>
      </c>
      <c r="AY308" s="88"/>
    </row>
    <row r="309" spans="1:51">
      <c r="A309" s="79" t="s">
        <v>3031</v>
      </c>
      <c r="B309" s="80" t="str">
        <f t="shared" si="590"/>
        <v>ACPLSZ</v>
      </c>
      <c r="C309" s="80" t="str">
        <f t="shared" si="591"/>
        <v>非深圳户籍</v>
      </c>
      <c r="D309" s="80" t="str">
        <f t="shared" si="592"/>
        <v>Professional</v>
      </c>
      <c r="E309" s="80">
        <f t="shared" si="593"/>
        <v>0</v>
      </c>
      <c r="F309" s="81">
        <f t="shared" si="594"/>
        <v>50000</v>
      </c>
      <c r="G309" s="81"/>
      <c r="H309" s="82" t="str">
        <f t="shared" si="595"/>
        <v>叶亚峰</v>
      </c>
      <c r="I309" s="83">
        <f t="shared" si="596"/>
        <v>0</v>
      </c>
      <c r="J309" s="82"/>
      <c r="K309" s="84"/>
      <c r="L309" s="84"/>
      <c r="M309" s="84"/>
      <c r="N309" s="84"/>
      <c r="O309" s="84"/>
      <c r="P309" s="84"/>
      <c r="Q309" s="84"/>
      <c r="R309" s="84"/>
      <c r="S309" s="84"/>
      <c r="T309" s="84"/>
      <c r="U309" s="84"/>
      <c r="V309" s="84"/>
      <c r="W309" s="85">
        <f t="shared" si="611"/>
        <v>62169.05</v>
      </c>
      <c r="X309" s="85">
        <f t="shared" ref="X309:AH309" si="626">SUMIF($H$15:$H$252,$H309,X$15:X$252)</f>
        <v>62169.05</v>
      </c>
      <c r="Y309" s="85">
        <f t="shared" si="626"/>
        <v>62169.05</v>
      </c>
      <c r="Z309" s="85">
        <f t="shared" si="626"/>
        <v>62169.05</v>
      </c>
      <c r="AA309" s="85">
        <f t="shared" si="626"/>
        <v>62169.05</v>
      </c>
      <c r="AB309" s="85">
        <f t="shared" si="626"/>
        <v>62169.05</v>
      </c>
      <c r="AC309" s="85">
        <f t="shared" si="626"/>
        <v>62169.05</v>
      </c>
      <c r="AD309" s="85">
        <f t="shared" si="626"/>
        <v>62169.05</v>
      </c>
      <c r="AE309" s="85">
        <f t="shared" si="626"/>
        <v>62169.05</v>
      </c>
      <c r="AF309" s="85">
        <f t="shared" si="626"/>
        <v>62169.05</v>
      </c>
      <c r="AG309" s="85">
        <f t="shared" si="626"/>
        <v>62169.05</v>
      </c>
      <c r="AH309" s="85">
        <f t="shared" si="626"/>
        <v>62169.05</v>
      </c>
      <c r="AI309" s="86">
        <f t="shared" si="617"/>
        <v>746028.60000000009</v>
      </c>
      <c r="AJ309" s="85">
        <f t="shared" si="603"/>
        <v>64679.05</v>
      </c>
      <c r="AK309" s="85">
        <f t="shared" ref="AK309:AU309" si="627">SUMIF($H$15:$H$252,$H309,AK$15:AK$252)</f>
        <v>64679.05</v>
      </c>
      <c r="AL309" s="85">
        <f t="shared" si="627"/>
        <v>64679.05</v>
      </c>
      <c r="AM309" s="85">
        <f t="shared" si="627"/>
        <v>64679.05</v>
      </c>
      <c r="AN309" s="85">
        <f t="shared" si="627"/>
        <v>64679.05</v>
      </c>
      <c r="AO309" s="85">
        <f t="shared" si="627"/>
        <v>64679.05</v>
      </c>
      <c r="AP309" s="85">
        <f t="shared" si="627"/>
        <v>64679.05</v>
      </c>
      <c r="AQ309" s="85">
        <f t="shared" si="627"/>
        <v>64679.05</v>
      </c>
      <c r="AR309" s="85">
        <f t="shared" si="627"/>
        <v>64679.05</v>
      </c>
      <c r="AS309" s="85">
        <f t="shared" si="627"/>
        <v>64679.05</v>
      </c>
      <c r="AT309" s="85">
        <f t="shared" si="627"/>
        <v>64679.05</v>
      </c>
      <c r="AU309" s="85">
        <f t="shared" si="627"/>
        <v>64679.05</v>
      </c>
      <c r="AV309" s="86">
        <f t="shared" si="619"/>
        <v>776148.60000000009</v>
      </c>
      <c r="AW309" s="131">
        <f>AI309/(F309*8)</f>
        <v>1.8650715000000002</v>
      </c>
      <c r="AX309" s="88">
        <f t="shared" si="601"/>
        <v>93253.575000000012</v>
      </c>
      <c r="AY309" s="88"/>
    </row>
    <row r="310" spans="1:51">
      <c r="A310" s="79" t="s">
        <v>3031</v>
      </c>
      <c r="B310" s="80" t="str">
        <f t="shared" si="590"/>
        <v>ACPLSZ</v>
      </c>
      <c r="C310" s="80" t="str">
        <f t="shared" si="591"/>
        <v>北京户籍</v>
      </c>
      <c r="D310" s="80" t="str">
        <f t="shared" si="592"/>
        <v>Professional</v>
      </c>
      <c r="E310" s="80">
        <f t="shared" si="593"/>
        <v>0</v>
      </c>
      <c r="F310" s="82">
        <f t="shared" si="594"/>
        <v>90000</v>
      </c>
      <c r="G310" s="82"/>
      <c r="H310" s="82" t="str">
        <f t="shared" si="595"/>
        <v>张乃文</v>
      </c>
      <c r="I310" s="83">
        <f t="shared" si="596"/>
        <v>0.21428571428571419</v>
      </c>
      <c r="J310" s="82"/>
      <c r="K310" s="84"/>
      <c r="L310" s="84"/>
      <c r="M310" s="84"/>
      <c r="N310" s="84"/>
      <c r="O310" s="84"/>
      <c r="P310" s="84"/>
      <c r="Q310" s="84"/>
      <c r="R310" s="84"/>
      <c r="S310" s="84"/>
      <c r="T310" s="84"/>
      <c r="U310" s="84"/>
      <c r="V310" s="84"/>
      <c r="W310" s="85">
        <f t="shared" si="611"/>
        <v>0</v>
      </c>
      <c r="X310" s="85">
        <f t="shared" ref="X310:AH310" si="628">SUMIF($H$15:$H$252,$H310,X$15:X$252)</f>
        <v>0</v>
      </c>
      <c r="Y310" s="85">
        <f t="shared" si="628"/>
        <v>0</v>
      </c>
      <c r="Z310" s="85">
        <f t="shared" si="628"/>
        <v>0</v>
      </c>
      <c r="AA310" s="85">
        <f t="shared" si="628"/>
        <v>0</v>
      </c>
      <c r="AB310" s="85">
        <f t="shared" si="628"/>
        <v>0</v>
      </c>
      <c r="AC310" s="85">
        <f t="shared" si="628"/>
        <v>0</v>
      </c>
      <c r="AD310" s="85">
        <f t="shared" si="628"/>
        <v>0</v>
      </c>
      <c r="AE310" s="85">
        <f t="shared" si="628"/>
        <v>0</v>
      </c>
      <c r="AF310" s="85">
        <f t="shared" si="628"/>
        <v>0</v>
      </c>
      <c r="AG310" s="85">
        <f t="shared" si="628"/>
        <v>0</v>
      </c>
      <c r="AH310" s="85">
        <f t="shared" si="628"/>
        <v>1311428.5714285714</v>
      </c>
      <c r="AI310" s="86">
        <f t="shared" si="617"/>
        <v>1311428.5714285714</v>
      </c>
      <c r="AJ310" s="85">
        <f t="shared" si="603"/>
        <v>0</v>
      </c>
      <c r="AK310" s="85">
        <f t="shared" ref="AK310:AU310" si="629">SUMIF($H$15:$H$252,$H310,AK$15:AK$252)</f>
        <v>0</v>
      </c>
      <c r="AL310" s="85">
        <f t="shared" si="629"/>
        <v>0</v>
      </c>
      <c r="AM310" s="85">
        <f t="shared" si="629"/>
        <v>0</v>
      </c>
      <c r="AN310" s="85">
        <f t="shared" si="629"/>
        <v>0</v>
      </c>
      <c r="AO310" s="85">
        <f t="shared" si="629"/>
        <v>0</v>
      </c>
      <c r="AP310" s="85">
        <f t="shared" si="629"/>
        <v>0</v>
      </c>
      <c r="AQ310" s="85">
        <f t="shared" si="629"/>
        <v>0</v>
      </c>
      <c r="AR310" s="85">
        <f t="shared" si="629"/>
        <v>0</v>
      </c>
      <c r="AS310" s="85">
        <f t="shared" si="629"/>
        <v>0</v>
      </c>
      <c r="AT310" s="85">
        <f t="shared" si="629"/>
        <v>0</v>
      </c>
      <c r="AU310" s="85">
        <f t="shared" si="629"/>
        <v>1377000</v>
      </c>
      <c r="AV310" s="86">
        <f t="shared" si="619"/>
        <v>1377000</v>
      </c>
      <c r="AW310" s="87"/>
      <c r="AX310" s="88"/>
      <c r="AY310" s="88"/>
    </row>
    <row r="311" spans="1:51">
      <c r="A311" s="79" t="s">
        <v>3031</v>
      </c>
      <c r="B311" s="80" t="str">
        <f t="shared" si="590"/>
        <v>ACPLSZ</v>
      </c>
      <c r="C311" s="80" t="str">
        <f t="shared" si="591"/>
        <v>北京户籍</v>
      </c>
      <c r="D311" s="80" t="str">
        <f t="shared" si="592"/>
        <v>Professional</v>
      </c>
      <c r="E311" s="80">
        <f t="shared" si="593"/>
        <v>0</v>
      </c>
      <c r="F311" s="82">
        <f t="shared" si="594"/>
        <v>30000</v>
      </c>
      <c r="G311" s="82"/>
      <c r="H311" s="82" t="str">
        <f t="shared" si="595"/>
        <v>邓天卓</v>
      </c>
      <c r="I311" s="83">
        <f t="shared" si="596"/>
        <v>0.33333333333333326</v>
      </c>
      <c r="J311" s="82"/>
      <c r="K311" s="84"/>
      <c r="L311" s="84"/>
      <c r="M311" s="84"/>
      <c r="N311" s="84"/>
      <c r="O311" s="84"/>
      <c r="P311" s="84"/>
      <c r="Q311" s="84"/>
      <c r="R311" s="84"/>
      <c r="S311" s="84"/>
      <c r="T311" s="84"/>
      <c r="U311" s="84"/>
      <c r="V311" s="84"/>
      <c r="W311" s="85">
        <f t="shared" si="611"/>
        <v>41610</v>
      </c>
      <c r="X311" s="85">
        <f t="shared" ref="X311:AH311" si="630">SUMIF($H$15:$H$252,$H311,X$15:X$252)</f>
        <v>41610</v>
      </c>
      <c r="Y311" s="85">
        <f t="shared" si="630"/>
        <v>41610</v>
      </c>
      <c r="Z311" s="85">
        <f t="shared" si="630"/>
        <v>53858.857000000004</v>
      </c>
      <c r="AA311" s="85">
        <f t="shared" si="630"/>
        <v>53858.857000000004</v>
      </c>
      <c r="AB311" s="85">
        <f t="shared" si="630"/>
        <v>53858.857000000004</v>
      </c>
      <c r="AC311" s="85">
        <f t="shared" si="630"/>
        <v>53858.857000000004</v>
      </c>
      <c r="AD311" s="85">
        <f t="shared" si="630"/>
        <v>53858.857000000004</v>
      </c>
      <c r="AE311" s="85">
        <f t="shared" si="630"/>
        <v>53858.857000000004</v>
      </c>
      <c r="AF311" s="85">
        <f t="shared" si="630"/>
        <v>53858.857000000004</v>
      </c>
      <c r="AG311" s="85">
        <f t="shared" si="630"/>
        <v>53858.857000000004</v>
      </c>
      <c r="AH311" s="85">
        <f t="shared" si="630"/>
        <v>53858.857000000004</v>
      </c>
      <c r="AI311" s="86">
        <f t="shared" si="617"/>
        <v>609559.71300000011</v>
      </c>
      <c r="AJ311" s="85">
        <f t="shared" si="603"/>
        <v>55858.857000000004</v>
      </c>
      <c r="AK311" s="85">
        <f t="shared" ref="AK311:AU311" si="631">SUMIF($H$15:$H$252,$H311,AK$15:AK$252)</f>
        <v>55858.857000000004</v>
      </c>
      <c r="AL311" s="85">
        <f t="shared" si="631"/>
        <v>55858.857000000004</v>
      </c>
      <c r="AM311" s="85">
        <f t="shared" si="631"/>
        <v>55858.857000000004</v>
      </c>
      <c r="AN311" s="85">
        <f t="shared" si="631"/>
        <v>55858.857000000004</v>
      </c>
      <c r="AO311" s="85">
        <f t="shared" si="631"/>
        <v>55858.857000000004</v>
      </c>
      <c r="AP311" s="85">
        <f t="shared" si="631"/>
        <v>55858.857000000004</v>
      </c>
      <c r="AQ311" s="85">
        <f t="shared" si="631"/>
        <v>55858.857000000004</v>
      </c>
      <c r="AR311" s="85">
        <f t="shared" si="631"/>
        <v>55858.857000000004</v>
      </c>
      <c r="AS311" s="85">
        <f t="shared" si="631"/>
        <v>55858.857000000004</v>
      </c>
      <c r="AT311" s="85">
        <f t="shared" si="631"/>
        <v>55858.857000000004</v>
      </c>
      <c r="AU311" s="85">
        <f t="shared" si="631"/>
        <v>55858.857000000004</v>
      </c>
      <c r="AV311" s="86">
        <f t="shared" si="619"/>
        <v>670306.28399999999</v>
      </c>
      <c r="AW311" s="87"/>
      <c r="AX311" s="88"/>
      <c r="AY311" s="88"/>
    </row>
    <row r="312" spans="1:51">
      <c r="A312" s="79" t="s">
        <v>3031</v>
      </c>
      <c r="B312" s="80" t="str">
        <f t="shared" si="590"/>
        <v>ACPLSZ</v>
      </c>
      <c r="C312" s="80" t="str">
        <f t="shared" si="591"/>
        <v>北京户籍</v>
      </c>
      <c r="D312" s="80" t="str">
        <f t="shared" si="592"/>
        <v>Professional</v>
      </c>
      <c r="E312" s="80">
        <f t="shared" si="593"/>
        <v>0</v>
      </c>
      <c r="F312" s="82">
        <f t="shared" si="594"/>
        <v>50000</v>
      </c>
      <c r="G312" s="82"/>
      <c r="H312" s="82" t="str">
        <f t="shared" si="595"/>
        <v>王志强</v>
      </c>
      <c r="I312" s="83">
        <f t="shared" si="596"/>
        <v>0</v>
      </c>
      <c r="J312" s="82"/>
      <c r="K312" s="84"/>
      <c r="L312" s="84"/>
      <c r="M312" s="84"/>
      <c r="N312" s="84"/>
      <c r="O312" s="84"/>
      <c r="P312" s="84"/>
      <c r="Q312" s="84"/>
      <c r="R312" s="84"/>
      <c r="S312" s="84"/>
      <c r="T312" s="84"/>
      <c r="U312" s="84"/>
      <c r="V312" s="84"/>
      <c r="W312" s="85">
        <f t="shared" si="611"/>
        <v>63858.857000000004</v>
      </c>
      <c r="X312" s="85">
        <f t="shared" ref="X312:AH312" si="632">SUMIF($H$15:$H$252,$H312,X$15:X$252)</f>
        <v>63858.857000000004</v>
      </c>
      <c r="Y312" s="85">
        <f t="shared" si="632"/>
        <v>63858.857000000004</v>
      </c>
      <c r="Z312" s="85">
        <f t="shared" si="632"/>
        <v>63858.857000000004</v>
      </c>
      <c r="AA312" s="85">
        <f t="shared" si="632"/>
        <v>63858.857000000004</v>
      </c>
      <c r="AB312" s="85">
        <f t="shared" si="632"/>
        <v>63858.857000000004</v>
      </c>
      <c r="AC312" s="85">
        <f t="shared" si="632"/>
        <v>63858.857000000004</v>
      </c>
      <c r="AD312" s="85">
        <f t="shared" si="632"/>
        <v>63858.857000000004</v>
      </c>
      <c r="AE312" s="85">
        <f t="shared" si="632"/>
        <v>63858.857000000004</v>
      </c>
      <c r="AF312" s="85">
        <f t="shared" si="632"/>
        <v>63858.857000000004</v>
      </c>
      <c r="AG312" s="85">
        <f t="shared" si="632"/>
        <v>63858.857000000004</v>
      </c>
      <c r="AH312" s="85">
        <f t="shared" si="632"/>
        <v>63858.857000000004</v>
      </c>
      <c r="AI312" s="86">
        <f t="shared" si="617"/>
        <v>766306.28399999999</v>
      </c>
      <c r="AJ312" s="85">
        <f t="shared" si="603"/>
        <v>66358.857000000004</v>
      </c>
      <c r="AK312" s="85">
        <f t="shared" ref="AK312:AU312" si="633">SUMIF($H$15:$H$252,$H312,AK$15:AK$252)</f>
        <v>66358.857000000004</v>
      </c>
      <c r="AL312" s="85">
        <f t="shared" si="633"/>
        <v>66358.857000000004</v>
      </c>
      <c r="AM312" s="85">
        <f t="shared" si="633"/>
        <v>66358.857000000004</v>
      </c>
      <c r="AN312" s="85">
        <f t="shared" si="633"/>
        <v>66358.857000000004</v>
      </c>
      <c r="AO312" s="85">
        <f t="shared" si="633"/>
        <v>66358.857000000004</v>
      </c>
      <c r="AP312" s="85">
        <f t="shared" si="633"/>
        <v>66358.857000000004</v>
      </c>
      <c r="AQ312" s="85">
        <f t="shared" si="633"/>
        <v>66358.857000000004</v>
      </c>
      <c r="AR312" s="85">
        <f t="shared" si="633"/>
        <v>66358.857000000004</v>
      </c>
      <c r="AS312" s="85">
        <f t="shared" si="633"/>
        <v>66358.857000000004</v>
      </c>
      <c r="AT312" s="85">
        <f t="shared" si="633"/>
        <v>66358.857000000004</v>
      </c>
      <c r="AU312" s="85">
        <f t="shared" si="633"/>
        <v>66358.857000000004</v>
      </c>
      <c r="AV312" s="86">
        <f t="shared" si="619"/>
        <v>796306.28399999987</v>
      </c>
      <c r="AW312" s="131">
        <f>AI312/(F312*12)</f>
        <v>1.27717714</v>
      </c>
      <c r="AX312" s="88">
        <f>F312*AW312</f>
        <v>63858.857000000004</v>
      </c>
      <c r="AY312" s="88"/>
    </row>
    <row r="313" spans="1:51">
      <c r="A313" s="79" t="s">
        <v>3031</v>
      </c>
      <c r="B313" s="80" t="str">
        <f t="shared" si="590"/>
        <v>ACPLSZ</v>
      </c>
      <c r="C313" s="80" t="str">
        <f t="shared" si="591"/>
        <v>上海户籍</v>
      </c>
      <c r="D313" s="80" t="str">
        <f t="shared" si="592"/>
        <v>Professional</v>
      </c>
      <c r="E313" s="80">
        <f t="shared" si="593"/>
        <v>0</v>
      </c>
      <c r="F313" s="82">
        <f t="shared" si="594"/>
        <v>90000</v>
      </c>
      <c r="G313" s="82"/>
      <c r="H313" s="82" t="str">
        <f t="shared" si="595"/>
        <v>顾顺聪</v>
      </c>
      <c r="I313" s="83">
        <f t="shared" si="596"/>
        <v>0</v>
      </c>
      <c r="J313" s="82"/>
      <c r="K313" s="84"/>
      <c r="L313" s="84"/>
      <c r="M313" s="84"/>
      <c r="N313" s="84"/>
      <c r="O313" s="84"/>
      <c r="P313" s="84"/>
      <c r="Q313" s="84"/>
      <c r="R313" s="84"/>
      <c r="S313" s="84"/>
      <c r="T313" s="84"/>
      <c r="U313" s="84"/>
      <c r="V313" s="84"/>
      <c r="W313" s="85">
        <f t="shared" si="611"/>
        <v>0</v>
      </c>
      <c r="X313" s="85">
        <f t="shared" ref="X313:AH313" si="634">SUMIF($H$15:$H$252,$H313,X$15:X$252)</f>
        <v>0</v>
      </c>
      <c r="Y313" s="85">
        <f t="shared" si="634"/>
        <v>0</v>
      </c>
      <c r="Z313" s="85">
        <f t="shared" si="634"/>
        <v>0</v>
      </c>
      <c r="AA313" s="85">
        <f t="shared" si="634"/>
        <v>0</v>
      </c>
      <c r="AB313" s="85">
        <f t="shared" si="634"/>
        <v>0</v>
      </c>
      <c r="AC313" s="85">
        <f t="shared" si="634"/>
        <v>0</v>
      </c>
      <c r="AD313" s="85">
        <f t="shared" si="634"/>
        <v>0</v>
      </c>
      <c r="AE313" s="85">
        <f t="shared" si="634"/>
        <v>0</v>
      </c>
      <c r="AF313" s="85">
        <f t="shared" si="634"/>
        <v>0</v>
      </c>
      <c r="AG313" s="85">
        <f t="shared" si="634"/>
        <v>0</v>
      </c>
      <c r="AH313" s="85">
        <f t="shared" si="634"/>
        <v>0</v>
      </c>
      <c r="AI313" s="86">
        <f t="shared" si="617"/>
        <v>0</v>
      </c>
      <c r="AJ313" s="85">
        <f t="shared" si="603"/>
        <v>0</v>
      </c>
      <c r="AK313" s="85">
        <f t="shared" ref="AK313:AU313" si="635">SUMIF($H$15:$H$252,$H313,AK$15:AK$252)</f>
        <v>0</v>
      </c>
      <c r="AL313" s="85">
        <f t="shared" si="635"/>
        <v>0</v>
      </c>
      <c r="AM313" s="85">
        <f t="shared" si="635"/>
        <v>0</v>
      </c>
      <c r="AN313" s="85">
        <f t="shared" si="635"/>
        <v>0</v>
      </c>
      <c r="AO313" s="85">
        <f t="shared" si="635"/>
        <v>0</v>
      </c>
      <c r="AP313" s="85">
        <f t="shared" si="635"/>
        <v>0</v>
      </c>
      <c r="AQ313" s="85">
        <f t="shared" si="635"/>
        <v>0</v>
      </c>
      <c r="AR313" s="85">
        <f t="shared" si="635"/>
        <v>0</v>
      </c>
      <c r="AS313" s="85">
        <f t="shared" si="635"/>
        <v>0</v>
      </c>
      <c r="AT313" s="85">
        <f t="shared" si="635"/>
        <v>0</v>
      </c>
      <c r="AU313" s="85">
        <f t="shared" si="635"/>
        <v>0</v>
      </c>
      <c r="AV313" s="86">
        <f t="shared" si="619"/>
        <v>0</v>
      </c>
      <c r="AW313" s="131"/>
      <c r="AX313" s="88"/>
      <c r="AY313" s="88"/>
    </row>
    <row r="314" spans="1:51">
      <c r="A314" s="79" t="s">
        <v>3031</v>
      </c>
      <c r="B314" s="80" t="str">
        <f t="shared" si="590"/>
        <v>ACPSZL</v>
      </c>
      <c r="C314" s="80" t="str">
        <f t="shared" si="591"/>
        <v>深圳户籍</v>
      </c>
      <c r="D314" s="80" t="str">
        <f t="shared" si="592"/>
        <v>Professional</v>
      </c>
      <c r="E314" s="80">
        <f t="shared" si="593"/>
        <v>0</v>
      </c>
      <c r="F314" s="81">
        <f t="shared" si="594"/>
        <v>35000</v>
      </c>
      <c r="G314" s="81"/>
      <c r="H314" s="90" t="str">
        <f t="shared" si="595"/>
        <v>风资源工程师</v>
      </c>
      <c r="I314" s="83">
        <f t="shared" si="596"/>
        <v>0</v>
      </c>
      <c r="J314" s="82"/>
      <c r="K314" s="84"/>
      <c r="L314" s="84"/>
      <c r="M314" s="84"/>
      <c r="N314" s="84"/>
      <c r="O314" s="84"/>
      <c r="P314" s="84"/>
      <c r="Q314" s="84"/>
      <c r="R314" s="84"/>
      <c r="S314" s="84"/>
      <c r="T314" s="84"/>
      <c r="U314" s="84"/>
      <c r="V314" s="84"/>
      <c r="W314" s="85">
        <f t="shared" si="611"/>
        <v>43.66</v>
      </c>
      <c r="X314" s="85">
        <f t="shared" ref="X314:AH314" si="636">SUMIF($H$15:$H$252,$H314,X$15:X$252)</f>
        <v>43.66</v>
      </c>
      <c r="Y314" s="85">
        <f t="shared" si="636"/>
        <v>43.66</v>
      </c>
      <c r="Z314" s="85">
        <f t="shared" si="636"/>
        <v>46198.62</v>
      </c>
      <c r="AA314" s="85">
        <f t="shared" si="636"/>
        <v>46198.62</v>
      </c>
      <c r="AB314" s="85">
        <f t="shared" si="636"/>
        <v>46198.62</v>
      </c>
      <c r="AC314" s="85">
        <f t="shared" si="636"/>
        <v>46198.62</v>
      </c>
      <c r="AD314" s="85">
        <f t="shared" si="636"/>
        <v>46198.62</v>
      </c>
      <c r="AE314" s="85">
        <f t="shared" si="636"/>
        <v>46198.62</v>
      </c>
      <c r="AF314" s="85">
        <f t="shared" si="636"/>
        <v>46198.62</v>
      </c>
      <c r="AG314" s="85">
        <f t="shared" si="636"/>
        <v>46198.62</v>
      </c>
      <c r="AH314" s="85">
        <f t="shared" si="636"/>
        <v>46198.62</v>
      </c>
      <c r="AI314" s="86">
        <f t="shared" si="617"/>
        <v>415918.56</v>
      </c>
      <c r="AJ314" s="85">
        <f t="shared" si="603"/>
        <v>48179.62</v>
      </c>
      <c r="AK314" s="85">
        <f t="shared" ref="AK314:AU314" si="637">SUMIF($H$15:$H$252,$H314,AK$15:AK$252)</f>
        <v>48179.62</v>
      </c>
      <c r="AL314" s="85">
        <f t="shared" si="637"/>
        <v>48179.62</v>
      </c>
      <c r="AM314" s="85">
        <f t="shared" si="637"/>
        <v>48179.62</v>
      </c>
      <c r="AN314" s="85">
        <f t="shared" si="637"/>
        <v>48179.62</v>
      </c>
      <c r="AO314" s="85">
        <f t="shared" si="637"/>
        <v>48179.62</v>
      </c>
      <c r="AP314" s="85">
        <f t="shared" si="637"/>
        <v>48179.62</v>
      </c>
      <c r="AQ314" s="85">
        <f t="shared" si="637"/>
        <v>48179.62</v>
      </c>
      <c r="AR314" s="85">
        <f t="shared" si="637"/>
        <v>48179.62</v>
      </c>
      <c r="AS314" s="85">
        <f t="shared" si="637"/>
        <v>48179.62</v>
      </c>
      <c r="AT314" s="85">
        <f t="shared" si="637"/>
        <v>48179.62</v>
      </c>
      <c r="AU314" s="85">
        <f t="shared" si="637"/>
        <v>48179.62</v>
      </c>
      <c r="AV314" s="86">
        <f t="shared" si="619"/>
        <v>578155.44000000006</v>
      </c>
      <c r="AW314" s="131"/>
      <c r="AX314" s="88"/>
      <c r="AY314" s="88"/>
    </row>
    <row r="315" spans="1:51">
      <c r="A315" s="79" t="s">
        <v>3031</v>
      </c>
      <c r="B315" s="80" t="str">
        <f t="shared" si="590"/>
        <v>ACPLSZ</v>
      </c>
      <c r="C315" s="80" t="str">
        <f t="shared" si="591"/>
        <v>深圳户籍</v>
      </c>
      <c r="D315" s="80" t="str">
        <f t="shared" si="592"/>
        <v>Professional</v>
      </c>
      <c r="E315" s="80">
        <f t="shared" si="593"/>
        <v>0</v>
      </c>
      <c r="F315" s="82">
        <f t="shared" si="594"/>
        <v>33000</v>
      </c>
      <c r="G315" s="82"/>
      <c r="H315" s="90" t="str">
        <f t="shared" si="595"/>
        <v>电力交易员</v>
      </c>
      <c r="I315" s="83">
        <f t="shared" si="596"/>
        <v>0</v>
      </c>
      <c r="J315" s="82"/>
      <c r="K315" s="84"/>
      <c r="L315" s="84"/>
      <c r="M315" s="84"/>
      <c r="N315" s="84"/>
      <c r="O315" s="84"/>
      <c r="P315" s="84"/>
      <c r="Q315" s="84"/>
      <c r="R315" s="84"/>
      <c r="S315" s="84"/>
      <c r="T315" s="84"/>
      <c r="U315" s="84"/>
      <c r="V315" s="84"/>
      <c r="W315" s="85">
        <f t="shared" si="611"/>
        <v>43.66</v>
      </c>
      <c r="X315" s="85">
        <f t="shared" ref="X315:AH315" si="638">SUMIF($H$15:$H$252,$H315,X$15:X$252)</f>
        <v>43897.990000000005</v>
      </c>
      <c r="Y315" s="85">
        <f t="shared" si="638"/>
        <v>43897.990000000005</v>
      </c>
      <c r="Z315" s="85">
        <f t="shared" si="638"/>
        <v>43897.990000000005</v>
      </c>
      <c r="AA315" s="85">
        <f t="shared" si="638"/>
        <v>43897.990000000005</v>
      </c>
      <c r="AB315" s="85">
        <f t="shared" si="638"/>
        <v>43897.990000000005</v>
      </c>
      <c r="AC315" s="85">
        <f t="shared" si="638"/>
        <v>43897.990000000005</v>
      </c>
      <c r="AD315" s="85">
        <f t="shared" si="638"/>
        <v>43897.990000000005</v>
      </c>
      <c r="AE315" s="85">
        <f t="shared" si="638"/>
        <v>43897.990000000005</v>
      </c>
      <c r="AF315" s="85">
        <f t="shared" si="638"/>
        <v>43897.990000000005</v>
      </c>
      <c r="AG315" s="85">
        <f t="shared" si="638"/>
        <v>43897.990000000005</v>
      </c>
      <c r="AH315" s="85">
        <f t="shared" si="638"/>
        <v>43897.990000000005</v>
      </c>
      <c r="AI315" s="86">
        <f t="shared" si="617"/>
        <v>482921.54999999993</v>
      </c>
      <c r="AJ315" s="85">
        <f t="shared" si="603"/>
        <v>45802.42</v>
      </c>
      <c r="AK315" s="85">
        <f t="shared" ref="AK315:AU315" si="639">SUMIF($H$15:$H$252,$H315,AK$15:AK$252)</f>
        <v>45802.42</v>
      </c>
      <c r="AL315" s="85">
        <f t="shared" si="639"/>
        <v>45802.42</v>
      </c>
      <c r="AM315" s="85">
        <f t="shared" si="639"/>
        <v>45802.42</v>
      </c>
      <c r="AN315" s="85">
        <f t="shared" si="639"/>
        <v>45802.42</v>
      </c>
      <c r="AO315" s="85">
        <f t="shared" si="639"/>
        <v>45802.42</v>
      </c>
      <c r="AP315" s="85">
        <f t="shared" si="639"/>
        <v>45802.42</v>
      </c>
      <c r="AQ315" s="85">
        <f t="shared" si="639"/>
        <v>45802.42</v>
      </c>
      <c r="AR315" s="85">
        <f t="shared" si="639"/>
        <v>45802.42</v>
      </c>
      <c r="AS315" s="85">
        <f t="shared" si="639"/>
        <v>45802.42</v>
      </c>
      <c r="AT315" s="85">
        <f t="shared" si="639"/>
        <v>45802.42</v>
      </c>
      <c r="AU315" s="85">
        <f t="shared" si="639"/>
        <v>45802.42</v>
      </c>
      <c r="AV315" s="86">
        <f t="shared" si="619"/>
        <v>549629.03999999992</v>
      </c>
      <c r="AW315" s="87"/>
      <c r="AX315" s="88"/>
      <c r="AY315" s="88"/>
    </row>
    <row r="316" spans="1:51">
      <c r="A316" s="79" t="s">
        <v>3031</v>
      </c>
      <c r="B316" s="80" t="str">
        <f t="shared" si="590"/>
        <v>ACPLSZ</v>
      </c>
      <c r="C316" s="80" t="str">
        <f t="shared" si="591"/>
        <v>深圳户籍</v>
      </c>
      <c r="D316" s="80" t="str">
        <f t="shared" si="592"/>
        <v>Professional</v>
      </c>
      <c r="E316" s="80">
        <f t="shared" si="593"/>
        <v>0</v>
      </c>
      <c r="F316" s="82">
        <f t="shared" si="594"/>
        <v>60000</v>
      </c>
      <c r="G316" s="82"/>
      <c r="H316" s="90" t="str">
        <f t="shared" si="595"/>
        <v>律师</v>
      </c>
      <c r="I316" s="83">
        <f t="shared" si="596"/>
        <v>0</v>
      </c>
      <c r="J316" s="82"/>
      <c r="K316" s="84"/>
      <c r="L316" s="84"/>
      <c r="M316" s="84"/>
      <c r="N316" s="84"/>
      <c r="O316" s="84"/>
      <c r="P316" s="84"/>
      <c r="Q316" s="84"/>
      <c r="R316" s="84"/>
      <c r="S316" s="84"/>
      <c r="T316" s="84"/>
      <c r="U316" s="84"/>
      <c r="V316" s="84"/>
      <c r="W316" s="85">
        <f t="shared" si="611"/>
        <v>43.66</v>
      </c>
      <c r="X316" s="85">
        <f t="shared" ref="X316:AH316" si="640">SUMIF($H$15:$H$252,$H316,X$15:X$252)</f>
        <v>43.66</v>
      </c>
      <c r="Y316" s="85">
        <f t="shared" si="640"/>
        <v>43.66</v>
      </c>
      <c r="Z316" s="85">
        <f t="shared" si="640"/>
        <v>43.66</v>
      </c>
      <c r="AA316" s="85">
        <f t="shared" si="640"/>
        <v>72484.540000000008</v>
      </c>
      <c r="AB316" s="85">
        <f t="shared" si="640"/>
        <v>72484.540000000008</v>
      </c>
      <c r="AC316" s="85">
        <f t="shared" si="640"/>
        <v>72484.540000000008</v>
      </c>
      <c r="AD316" s="85">
        <f t="shared" si="640"/>
        <v>72484.540000000008</v>
      </c>
      <c r="AE316" s="85">
        <f t="shared" si="640"/>
        <v>72484.540000000008</v>
      </c>
      <c r="AF316" s="85">
        <f t="shared" si="640"/>
        <v>72484.540000000008</v>
      </c>
      <c r="AG316" s="85">
        <f t="shared" si="640"/>
        <v>72484.540000000008</v>
      </c>
      <c r="AH316" s="85">
        <f t="shared" si="640"/>
        <v>72484.540000000008</v>
      </c>
      <c r="AI316" s="86">
        <f t="shared" si="617"/>
        <v>580050.9600000002</v>
      </c>
      <c r="AJ316" s="85">
        <f t="shared" si="603"/>
        <v>75496.540000000008</v>
      </c>
      <c r="AK316" s="85">
        <f t="shared" ref="AK316:AU316" si="641">SUMIF($H$15:$H$252,$H316,AK$15:AK$252)</f>
        <v>75496.540000000008</v>
      </c>
      <c r="AL316" s="85">
        <f t="shared" si="641"/>
        <v>75496.540000000008</v>
      </c>
      <c r="AM316" s="85">
        <f t="shared" si="641"/>
        <v>75496.540000000008</v>
      </c>
      <c r="AN316" s="85">
        <f t="shared" si="641"/>
        <v>75496.540000000008</v>
      </c>
      <c r="AO316" s="85">
        <f t="shared" si="641"/>
        <v>75496.540000000008</v>
      </c>
      <c r="AP316" s="85">
        <f t="shared" si="641"/>
        <v>75496.540000000008</v>
      </c>
      <c r="AQ316" s="85">
        <f t="shared" si="641"/>
        <v>75496.540000000008</v>
      </c>
      <c r="AR316" s="85">
        <f t="shared" si="641"/>
        <v>75496.540000000008</v>
      </c>
      <c r="AS316" s="85">
        <f t="shared" si="641"/>
        <v>75496.540000000008</v>
      </c>
      <c r="AT316" s="85">
        <f t="shared" si="641"/>
        <v>75496.540000000008</v>
      </c>
      <c r="AU316" s="85">
        <f t="shared" si="641"/>
        <v>75496.540000000008</v>
      </c>
      <c r="AV316" s="86">
        <f t="shared" si="619"/>
        <v>905958.48000000033</v>
      </c>
      <c r="AW316" s="87"/>
      <c r="AX316" s="88"/>
      <c r="AY316" s="88"/>
    </row>
    <row r="317" spans="1:51">
      <c r="A317" s="79" t="s">
        <v>3031</v>
      </c>
      <c r="B317" s="80" t="str">
        <f t="shared" si="590"/>
        <v>ACPLSZ</v>
      </c>
      <c r="C317" s="80" t="str">
        <f t="shared" si="591"/>
        <v>深圳户籍</v>
      </c>
      <c r="D317" s="80" t="str">
        <f t="shared" si="592"/>
        <v>Professional</v>
      </c>
      <c r="E317" s="80">
        <f t="shared" si="593"/>
        <v>0</v>
      </c>
      <c r="F317" s="82">
        <f t="shared" si="594"/>
        <v>26000</v>
      </c>
      <c r="G317" s="82"/>
      <c r="H317" s="90" t="str">
        <f t="shared" si="595"/>
        <v>区域副总</v>
      </c>
      <c r="I317" s="83">
        <f t="shared" si="596"/>
        <v>0</v>
      </c>
      <c r="J317" s="82"/>
      <c r="K317" s="84"/>
      <c r="L317" s="84"/>
      <c r="M317" s="84"/>
      <c r="N317" s="84"/>
      <c r="O317" s="84"/>
      <c r="P317" s="84"/>
      <c r="Q317" s="84"/>
      <c r="R317" s="84"/>
      <c r="S317" s="84"/>
      <c r="T317" s="84"/>
      <c r="U317" s="84"/>
      <c r="V317" s="84"/>
      <c r="W317" s="85">
        <f t="shared" si="611"/>
        <v>43.66</v>
      </c>
      <c r="X317" s="85">
        <f t="shared" ref="X317:AH317" si="642">SUMIF($H$15:$H$252,$H317,X$15:X$252)</f>
        <v>43.66</v>
      </c>
      <c r="Y317" s="85">
        <f t="shared" si="642"/>
        <v>43.66</v>
      </c>
      <c r="Z317" s="85">
        <f t="shared" si="642"/>
        <v>43.66</v>
      </c>
      <c r="AA317" s="85">
        <f t="shared" si="642"/>
        <v>35325.660000000003</v>
      </c>
      <c r="AB317" s="85">
        <f t="shared" si="642"/>
        <v>35325.660000000003</v>
      </c>
      <c r="AC317" s="85">
        <f t="shared" si="642"/>
        <v>35325.660000000003</v>
      </c>
      <c r="AD317" s="85">
        <f t="shared" si="642"/>
        <v>35325.660000000003</v>
      </c>
      <c r="AE317" s="85">
        <f t="shared" si="642"/>
        <v>35325.660000000003</v>
      </c>
      <c r="AF317" s="85">
        <f t="shared" si="642"/>
        <v>35325.660000000003</v>
      </c>
      <c r="AG317" s="85">
        <f t="shared" si="642"/>
        <v>35325.660000000003</v>
      </c>
      <c r="AH317" s="85">
        <f t="shared" si="642"/>
        <v>35325.660000000003</v>
      </c>
      <c r="AI317" s="86">
        <f t="shared" si="617"/>
        <v>282779.92000000004</v>
      </c>
      <c r="AJ317" s="85">
        <f t="shared" si="603"/>
        <v>37089.760000000002</v>
      </c>
      <c r="AK317" s="85">
        <f t="shared" ref="AK317:AU317" si="643">SUMIF($H$15:$H$252,$H317,AK$15:AK$252)</f>
        <v>37089.760000000002</v>
      </c>
      <c r="AL317" s="85">
        <f t="shared" si="643"/>
        <v>37089.760000000002</v>
      </c>
      <c r="AM317" s="85">
        <f t="shared" si="643"/>
        <v>37089.760000000002</v>
      </c>
      <c r="AN317" s="85">
        <f t="shared" si="643"/>
        <v>37089.760000000002</v>
      </c>
      <c r="AO317" s="85">
        <f t="shared" si="643"/>
        <v>37089.760000000002</v>
      </c>
      <c r="AP317" s="85">
        <f t="shared" si="643"/>
        <v>37089.760000000002</v>
      </c>
      <c r="AQ317" s="85">
        <f t="shared" si="643"/>
        <v>37089.760000000002</v>
      </c>
      <c r="AR317" s="85">
        <f t="shared" si="643"/>
        <v>37089.760000000002</v>
      </c>
      <c r="AS317" s="85">
        <f t="shared" si="643"/>
        <v>37089.760000000002</v>
      </c>
      <c r="AT317" s="85">
        <f t="shared" si="643"/>
        <v>37089.760000000002</v>
      </c>
      <c r="AU317" s="85">
        <f t="shared" si="643"/>
        <v>37089.760000000002</v>
      </c>
      <c r="AV317" s="86">
        <f t="shared" si="619"/>
        <v>445077.12000000005</v>
      </c>
      <c r="AW317" s="87"/>
      <c r="AX317" s="88"/>
      <c r="AY317" s="88"/>
    </row>
    <row r="318" spans="1:51">
      <c r="A318" s="79" t="s">
        <v>3031</v>
      </c>
      <c r="B318" s="80" t="str">
        <f t="shared" ref="B318:F318" si="644">B71</f>
        <v>ACPLSZ</v>
      </c>
      <c r="C318" s="80" t="str">
        <f t="shared" si="644"/>
        <v>深圳户籍</v>
      </c>
      <c r="D318" s="80" t="str">
        <f t="shared" si="644"/>
        <v>Professional</v>
      </c>
      <c r="E318" s="80">
        <f t="shared" si="644"/>
        <v>0</v>
      </c>
      <c r="F318" s="82">
        <f t="shared" si="644"/>
        <v>17000</v>
      </c>
      <c r="G318" s="82"/>
      <c r="H318" s="90" t="str">
        <f t="shared" ref="H318:I318" si="645">H71</f>
        <v>项目会计</v>
      </c>
      <c r="I318" s="83">
        <f t="shared" si="645"/>
        <v>0</v>
      </c>
      <c r="J318" s="82"/>
      <c r="K318" s="84"/>
      <c r="L318" s="84"/>
      <c r="M318" s="84"/>
      <c r="N318" s="84"/>
      <c r="O318" s="84"/>
      <c r="P318" s="84"/>
      <c r="Q318" s="84"/>
      <c r="R318" s="84"/>
      <c r="S318" s="84"/>
      <c r="T318" s="84"/>
      <c r="U318" s="84"/>
      <c r="V318" s="84"/>
      <c r="W318" s="85">
        <f t="shared" si="611"/>
        <v>43.66</v>
      </c>
      <c r="X318" s="85">
        <f t="shared" ref="X318:AH318" si="646">SUMIF($H$15:$H$252,$H318,X$15:X$252)</f>
        <v>43.66</v>
      </c>
      <c r="Y318" s="85">
        <f t="shared" si="646"/>
        <v>43.66</v>
      </c>
      <c r="Z318" s="85">
        <f t="shared" si="646"/>
        <v>43.66</v>
      </c>
      <c r="AA318" s="85">
        <f t="shared" si="646"/>
        <v>43.66</v>
      </c>
      <c r="AB318" s="85">
        <f t="shared" si="646"/>
        <v>43.66</v>
      </c>
      <c r="AC318" s="85">
        <f t="shared" si="646"/>
        <v>43.66</v>
      </c>
      <c r="AD318" s="85">
        <f t="shared" si="646"/>
        <v>23112.66</v>
      </c>
      <c r="AE318" s="85">
        <f t="shared" si="646"/>
        <v>23112.66</v>
      </c>
      <c r="AF318" s="85">
        <f t="shared" si="646"/>
        <v>23112.66</v>
      </c>
      <c r="AG318" s="85">
        <f t="shared" si="646"/>
        <v>23112.66</v>
      </c>
      <c r="AH318" s="85">
        <f t="shared" si="646"/>
        <v>23112.66</v>
      </c>
      <c r="AI318" s="86">
        <f t="shared" ref="AI318:AI324" si="647">SUM(W318:AH318)</f>
        <v>115868.92000000001</v>
      </c>
      <c r="AJ318" s="85">
        <f t="shared" si="603"/>
        <v>46991.020000000004</v>
      </c>
      <c r="AK318" s="85">
        <f t="shared" ref="AK318:AU318" si="648">SUMIF($H$15:$H$252,$H318,AK$15:AK$252)</f>
        <v>46991.020000000004</v>
      </c>
      <c r="AL318" s="85">
        <f t="shared" si="648"/>
        <v>46991.020000000004</v>
      </c>
      <c r="AM318" s="85">
        <f t="shared" si="648"/>
        <v>46991.020000000004</v>
      </c>
      <c r="AN318" s="85">
        <f t="shared" si="648"/>
        <v>46991.020000000004</v>
      </c>
      <c r="AO318" s="85">
        <f t="shared" si="648"/>
        <v>46991.020000000004</v>
      </c>
      <c r="AP318" s="85">
        <f t="shared" si="648"/>
        <v>46991.020000000004</v>
      </c>
      <c r="AQ318" s="85">
        <f t="shared" si="648"/>
        <v>46991.020000000004</v>
      </c>
      <c r="AR318" s="85">
        <f t="shared" si="648"/>
        <v>46991.020000000004</v>
      </c>
      <c r="AS318" s="85">
        <f t="shared" si="648"/>
        <v>46991.020000000004</v>
      </c>
      <c r="AT318" s="85">
        <f t="shared" si="648"/>
        <v>46991.020000000004</v>
      </c>
      <c r="AU318" s="85">
        <f t="shared" si="648"/>
        <v>46991.020000000004</v>
      </c>
      <c r="AV318" s="86">
        <f t="shared" si="619"/>
        <v>563892.24000000011</v>
      </c>
      <c r="AW318" s="87"/>
      <c r="AX318" s="88"/>
      <c r="AY318" s="88"/>
    </row>
    <row r="319" spans="1:51">
      <c r="A319" s="79" t="s">
        <v>3031</v>
      </c>
      <c r="B319" s="80" t="str">
        <f t="shared" ref="B319:F319" si="649">B72</f>
        <v>ACPLSZ</v>
      </c>
      <c r="C319" s="80" t="str">
        <f t="shared" si="649"/>
        <v>深圳户籍</v>
      </c>
      <c r="D319" s="80" t="str">
        <f t="shared" si="649"/>
        <v>Professional</v>
      </c>
      <c r="E319" s="80">
        <f t="shared" si="649"/>
        <v>0</v>
      </c>
      <c r="F319" s="82">
        <f t="shared" si="649"/>
        <v>12000</v>
      </c>
      <c r="G319" s="82"/>
      <c r="H319" s="90" t="str">
        <f t="shared" ref="H319:I319" si="650">H72</f>
        <v>档案管理员</v>
      </c>
      <c r="I319" s="83">
        <f t="shared" si="650"/>
        <v>0</v>
      </c>
      <c r="J319" s="82"/>
      <c r="K319" s="84"/>
      <c r="L319" s="84"/>
      <c r="M319" s="84"/>
      <c r="N319" s="84"/>
      <c r="O319" s="84"/>
      <c r="P319" s="84"/>
      <c r="Q319" s="84"/>
      <c r="R319" s="84"/>
      <c r="S319" s="84"/>
      <c r="T319" s="84"/>
      <c r="U319" s="84"/>
      <c r="V319" s="84"/>
      <c r="W319" s="85">
        <f t="shared" si="611"/>
        <v>43.66</v>
      </c>
      <c r="X319" s="85">
        <f t="shared" ref="X319:AH319" si="651">SUMIF($H$15:$H$252,$H319,X$15:X$252)</f>
        <v>43.66</v>
      </c>
      <c r="Y319" s="85">
        <f t="shared" si="651"/>
        <v>43.66</v>
      </c>
      <c r="Z319" s="85">
        <f t="shared" si="651"/>
        <v>43.66</v>
      </c>
      <c r="AA319" s="85">
        <f t="shared" si="651"/>
        <v>43.66</v>
      </c>
      <c r="AB319" s="85">
        <f t="shared" si="651"/>
        <v>43.66</v>
      </c>
      <c r="AC319" s="85">
        <f t="shared" si="651"/>
        <v>43.66</v>
      </c>
      <c r="AD319" s="85">
        <f t="shared" si="651"/>
        <v>43.66</v>
      </c>
      <c r="AE319" s="85">
        <f t="shared" si="651"/>
        <v>43.66</v>
      </c>
      <c r="AF319" s="85">
        <f t="shared" si="651"/>
        <v>43.66</v>
      </c>
      <c r="AG319" s="85">
        <f t="shared" si="651"/>
        <v>43.66</v>
      </c>
      <c r="AH319" s="85">
        <f t="shared" si="651"/>
        <v>16327.66</v>
      </c>
      <c r="AI319" s="86">
        <f t="shared" si="647"/>
        <v>16807.919999999998</v>
      </c>
      <c r="AJ319" s="85">
        <f t="shared" si="603"/>
        <v>17141.86</v>
      </c>
      <c r="AK319" s="85">
        <f t="shared" ref="AK319:AU324" si="652">SUMIF($H$15:$H$252,$H319,AK$15:AK$252)</f>
        <v>17141.86</v>
      </c>
      <c r="AL319" s="85">
        <f t="shared" si="652"/>
        <v>17141.86</v>
      </c>
      <c r="AM319" s="85">
        <f t="shared" si="652"/>
        <v>17141.86</v>
      </c>
      <c r="AN319" s="85">
        <f t="shared" si="652"/>
        <v>17141.86</v>
      </c>
      <c r="AO319" s="85">
        <f t="shared" si="652"/>
        <v>17141.86</v>
      </c>
      <c r="AP319" s="85">
        <f t="shared" si="652"/>
        <v>17141.86</v>
      </c>
      <c r="AQ319" s="85">
        <f t="shared" si="652"/>
        <v>17141.86</v>
      </c>
      <c r="AR319" s="85">
        <f t="shared" si="652"/>
        <v>17141.86</v>
      </c>
      <c r="AS319" s="85">
        <f t="shared" si="652"/>
        <v>17141.86</v>
      </c>
      <c r="AT319" s="85">
        <f t="shared" si="652"/>
        <v>17141.86</v>
      </c>
      <c r="AU319" s="85">
        <f t="shared" si="652"/>
        <v>17141.86</v>
      </c>
      <c r="AV319" s="86">
        <f t="shared" si="619"/>
        <v>205702.31999999995</v>
      </c>
      <c r="AW319" s="87"/>
      <c r="AX319" s="88"/>
      <c r="AY319" s="88"/>
    </row>
    <row r="320" spans="1:51">
      <c r="A320" s="79" t="s">
        <v>3031</v>
      </c>
      <c r="B320" s="80" t="str">
        <f t="shared" ref="B320:F320" si="653">B73</f>
        <v>ACPLSZ</v>
      </c>
      <c r="C320" s="80" t="str">
        <f t="shared" si="653"/>
        <v>北京户籍</v>
      </c>
      <c r="D320" s="80" t="str">
        <f t="shared" si="653"/>
        <v>Professional</v>
      </c>
      <c r="E320" s="80">
        <f t="shared" si="653"/>
        <v>0</v>
      </c>
      <c r="F320" s="82">
        <f t="shared" si="653"/>
        <v>100000</v>
      </c>
      <c r="G320" s="82"/>
      <c r="H320" s="82" t="str">
        <f t="shared" ref="H320:I320" si="654">H73</f>
        <v>Head of Origination</v>
      </c>
      <c r="I320" s="83">
        <f t="shared" si="654"/>
        <v>0</v>
      </c>
      <c r="J320" s="82"/>
      <c r="K320" s="84"/>
      <c r="L320" s="84"/>
      <c r="M320" s="84"/>
      <c r="N320" s="84"/>
      <c r="O320" s="84"/>
      <c r="P320" s="84"/>
      <c r="Q320" s="84"/>
      <c r="R320" s="84"/>
      <c r="S320" s="84"/>
      <c r="T320" s="84"/>
      <c r="U320" s="84"/>
      <c r="V320" s="84"/>
      <c r="W320" s="85">
        <f t="shared" ref="W320:AH324" si="655">SUMIF($H$15:$H$241,$H320,W$15:W$241)</f>
        <v>43.66</v>
      </c>
      <c r="X320" s="85">
        <f t="shared" si="655"/>
        <v>43.66</v>
      </c>
      <c r="Y320" s="85">
        <f t="shared" si="655"/>
        <v>43.66</v>
      </c>
      <c r="Z320" s="85">
        <f t="shared" si="655"/>
        <v>43.66</v>
      </c>
      <c r="AA320" s="85">
        <f t="shared" si="655"/>
        <v>107332.74</v>
      </c>
      <c r="AB320" s="85">
        <f t="shared" si="655"/>
        <v>107332.74</v>
      </c>
      <c r="AC320" s="85">
        <f t="shared" si="655"/>
        <v>107332.74</v>
      </c>
      <c r="AD320" s="85">
        <f t="shared" si="655"/>
        <v>107332.74</v>
      </c>
      <c r="AE320" s="85">
        <f t="shared" si="655"/>
        <v>107332.74</v>
      </c>
      <c r="AF320" s="85">
        <f t="shared" si="655"/>
        <v>107332.74</v>
      </c>
      <c r="AG320" s="85">
        <f t="shared" si="655"/>
        <v>107332.74</v>
      </c>
      <c r="AH320" s="85">
        <f t="shared" si="655"/>
        <v>107332.74</v>
      </c>
      <c r="AI320" s="86">
        <f t="shared" si="647"/>
        <v>858836.55999999994</v>
      </c>
      <c r="AJ320" s="85">
        <f t="shared" si="603"/>
        <v>117664.54000000001</v>
      </c>
      <c r="AK320" s="85">
        <f t="shared" si="652"/>
        <v>117664.54000000001</v>
      </c>
      <c r="AL320" s="85">
        <f t="shared" si="652"/>
        <v>117664.54000000001</v>
      </c>
      <c r="AM320" s="85">
        <f t="shared" si="652"/>
        <v>117664.54000000001</v>
      </c>
      <c r="AN320" s="85">
        <f t="shared" si="652"/>
        <v>117664.54000000001</v>
      </c>
      <c r="AO320" s="85">
        <f t="shared" si="652"/>
        <v>117664.54000000001</v>
      </c>
      <c r="AP320" s="85">
        <f t="shared" si="652"/>
        <v>117664.54000000001</v>
      </c>
      <c r="AQ320" s="85">
        <f t="shared" si="652"/>
        <v>117664.54000000001</v>
      </c>
      <c r="AR320" s="85">
        <f t="shared" si="652"/>
        <v>117664.54000000001</v>
      </c>
      <c r="AS320" s="85">
        <f t="shared" si="652"/>
        <v>117664.54000000001</v>
      </c>
      <c r="AT320" s="85">
        <f t="shared" si="652"/>
        <v>117664.54000000001</v>
      </c>
      <c r="AU320" s="85">
        <f t="shared" si="652"/>
        <v>117664.54000000001</v>
      </c>
      <c r="AV320" s="86">
        <f t="shared" ref="AV320:AV324" si="656">SUM(AJ320:AU320)</f>
        <v>1411974.4800000002</v>
      </c>
      <c r="AW320" s="87"/>
      <c r="AX320" s="88"/>
      <c r="AY320" s="88"/>
    </row>
    <row r="321" spans="1:51">
      <c r="A321" s="79" t="s">
        <v>3031</v>
      </c>
      <c r="B321" s="80" t="str">
        <f t="shared" ref="B321:F321" si="657">B74</f>
        <v>ACPLSZ</v>
      </c>
      <c r="C321" s="80" t="str">
        <f t="shared" si="657"/>
        <v>北京户籍</v>
      </c>
      <c r="D321" s="80" t="str">
        <f t="shared" si="657"/>
        <v>Professional</v>
      </c>
      <c r="E321" s="80">
        <f t="shared" si="657"/>
        <v>0</v>
      </c>
      <c r="F321" s="82">
        <f t="shared" si="657"/>
        <v>80000</v>
      </c>
      <c r="G321" s="82"/>
      <c r="H321" s="82" t="str">
        <f t="shared" ref="H321:I321" si="658">H74</f>
        <v>Op Partner - ZJX</v>
      </c>
      <c r="I321" s="83">
        <f t="shared" si="658"/>
        <v>0</v>
      </c>
      <c r="J321" s="82"/>
      <c r="K321" s="84"/>
      <c r="L321" s="84"/>
      <c r="M321" s="84"/>
      <c r="N321" s="84"/>
      <c r="O321" s="84"/>
      <c r="P321" s="84"/>
      <c r="Q321" s="84"/>
      <c r="R321" s="84"/>
      <c r="S321" s="84"/>
      <c r="T321" s="84"/>
      <c r="U321" s="84"/>
      <c r="V321" s="84"/>
      <c r="W321" s="85">
        <f t="shared" si="655"/>
        <v>43.66</v>
      </c>
      <c r="X321" s="85">
        <f t="shared" si="655"/>
        <v>43.66</v>
      </c>
      <c r="Y321" s="85">
        <f t="shared" si="655"/>
        <v>43.66</v>
      </c>
      <c r="Z321" s="85">
        <f t="shared" si="655"/>
        <v>43.66</v>
      </c>
      <c r="AA321" s="85">
        <f t="shared" si="655"/>
        <v>85401.11</v>
      </c>
      <c r="AB321" s="85">
        <f t="shared" si="655"/>
        <v>85401.11</v>
      </c>
      <c r="AC321" s="85">
        <f t="shared" si="655"/>
        <v>85401.11</v>
      </c>
      <c r="AD321" s="85">
        <f t="shared" si="655"/>
        <v>85401.11</v>
      </c>
      <c r="AE321" s="85">
        <f t="shared" si="655"/>
        <v>85401.11</v>
      </c>
      <c r="AF321" s="85">
        <f t="shared" si="655"/>
        <v>85401.11</v>
      </c>
      <c r="AG321" s="85">
        <f t="shared" si="655"/>
        <v>85401.11</v>
      </c>
      <c r="AH321" s="85">
        <f t="shared" si="655"/>
        <v>85401.11</v>
      </c>
      <c r="AI321" s="86">
        <f t="shared" si="647"/>
        <v>683383.5199999999</v>
      </c>
      <c r="AJ321" s="85">
        <f t="shared" si="603"/>
        <v>94728.91</v>
      </c>
      <c r="AK321" s="85">
        <f t="shared" si="652"/>
        <v>94728.91</v>
      </c>
      <c r="AL321" s="85">
        <f t="shared" si="652"/>
        <v>94728.91</v>
      </c>
      <c r="AM321" s="85">
        <f t="shared" si="652"/>
        <v>94728.91</v>
      </c>
      <c r="AN321" s="85">
        <f t="shared" si="652"/>
        <v>94728.91</v>
      </c>
      <c r="AO321" s="85">
        <f t="shared" si="652"/>
        <v>94728.91</v>
      </c>
      <c r="AP321" s="85">
        <f t="shared" si="652"/>
        <v>94728.91</v>
      </c>
      <c r="AQ321" s="85">
        <f t="shared" si="652"/>
        <v>94728.91</v>
      </c>
      <c r="AR321" s="85">
        <f t="shared" si="652"/>
        <v>94728.91</v>
      </c>
      <c r="AS321" s="85">
        <f t="shared" si="652"/>
        <v>94728.91</v>
      </c>
      <c r="AT321" s="85">
        <f t="shared" si="652"/>
        <v>94728.91</v>
      </c>
      <c r="AU321" s="85">
        <f t="shared" si="652"/>
        <v>94728.91</v>
      </c>
      <c r="AV321" s="86">
        <f t="shared" si="656"/>
        <v>1136746.9200000002</v>
      </c>
      <c r="AW321" s="87"/>
      <c r="AX321" s="88"/>
      <c r="AY321" s="88"/>
    </row>
    <row r="322" spans="1:51">
      <c r="A322" s="79" t="s">
        <v>3031</v>
      </c>
      <c r="B322" s="80" t="str">
        <f t="shared" ref="B322:F322" si="659">B75</f>
        <v>ACPLSZ</v>
      </c>
      <c r="C322" s="80">
        <f t="shared" si="659"/>
        <v>0</v>
      </c>
      <c r="D322" s="80">
        <f t="shared" si="659"/>
        <v>0</v>
      </c>
      <c r="E322" s="80">
        <f t="shared" si="659"/>
        <v>0</v>
      </c>
      <c r="F322" s="82">
        <f t="shared" si="659"/>
        <v>0</v>
      </c>
      <c r="G322" s="82"/>
      <c r="H322" s="82">
        <f t="shared" ref="H322:I322" si="660">H75</f>
        <v>0</v>
      </c>
      <c r="I322" s="83">
        <f t="shared" si="660"/>
        <v>0</v>
      </c>
      <c r="J322" s="82"/>
      <c r="K322" s="84"/>
      <c r="L322" s="84"/>
      <c r="M322" s="84"/>
      <c r="N322" s="84"/>
      <c r="O322" s="84"/>
      <c r="P322" s="84"/>
      <c r="Q322" s="84"/>
      <c r="R322" s="84"/>
      <c r="S322" s="84"/>
      <c r="T322" s="84"/>
      <c r="U322" s="84"/>
      <c r="V322" s="84"/>
      <c r="W322" s="85">
        <f t="shared" si="655"/>
        <v>0</v>
      </c>
      <c r="X322" s="85">
        <f t="shared" si="655"/>
        <v>0</v>
      </c>
      <c r="Y322" s="85">
        <f t="shared" si="655"/>
        <v>0</v>
      </c>
      <c r="Z322" s="85">
        <f t="shared" si="655"/>
        <v>0</v>
      </c>
      <c r="AA322" s="85">
        <f t="shared" si="655"/>
        <v>0</v>
      </c>
      <c r="AB322" s="85">
        <f t="shared" si="655"/>
        <v>0</v>
      </c>
      <c r="AC322" s="85">
        <f t="shared" si="655"/>
        <v>0</v>
      </c>
      <c r="AD322" s="85">
        <f t="shared" si="655"/>
        <v>0</v>
      </c>
      <c r="AE322" s="85">
        <f t="shared" si="655"/>
        <v>0</v>
      </c>
      <c r="AF322" s="85">
        <f t="shared" si="655"/>
        <v>0</v>
      </c>
      <c r="AG322" s="85">
        <f t="shared" si="655"/>
        <v>0</v>
      </c>
      <c r="AH322" s="85">
        <f t="shared" si="655"/>
        <v>0</v>
      </c>
      <c r="AI322" s="86">
        <f t="shared" si="647"/>
        <v>0</v>
      </c>
      <c r="AJ322" s="85">
        <f t="shared" si="603"/>
        <v>0</v>
      </c>
      <c r="AK322" s="85">
        <f t="shared" si="652"/>
        <v>0</v>
      </c>
      <c r="AL322" s="85">
        <f t="shared" si="652"/>
        <v>0</v>
      </c>
      <c r="AM322" s="85">
        <f t="shared" si="652"/>
        <v>0</v>
      </c>
      <c r="AN322" s="85">
        <f t="shared" si="652"/>
        <v>0</v>
      </c>
      <c r="AO322" s="85">
        <f t="shared" si="652"/>
        <v>0</v>
      </c>
      <c r="AP322" s="85">
        <f t="shared" si="652"/>
        <v>0</v>
      </c>
      <c r="AQ322" s="85">
        <f t="shared" si="652"/>
        <v>0</v>
      </c>
      <c r="AR322" s="85">
        <f t="shared" si="652"/>
        <v>0</v>
      </c>
      <c r="AS322" s="85">
        <f t="shared" si="652"/>
        <v>0</v>
      </c>
      <c r="AT322" s="85">
        <f t="shared" si="652"/>
        <v>0</v>
      </c>
      <c r="AU322" s="85">
        <f t="shared" si="652"/>
        <v>0</v>
      </c>
      <c r="AV322" s="86">
        <f t="shared" si="656"/>
        <v>0</v>
      </c>
      <c r="AW322" s="87"/>
      <c r="AX322" s="88"/>
      <c r="AY322" s="88"/>
    </row>
    <row r="323" spans="1:51">
      <c r="A323" s="79" t="s">
        <v>3031</v>
      </c>
      <c r="B323" s="80">
        <f t="shared" ref="B323:F323" si="661">B76</f>
        <v>0</v>
      </c>
      <c r="C323" s="80">
        <f t="shared" si="661"/>
        <v>0</v>
      </c>
      <c r="D323" s="80">
        <f t="shared" si="661"/>
        <v>0</v>
      </c>
      <c r="E323" s="80">
        <f t="shared" si="661"/>
        <v>0</v>
      </c>
      <c r="F323" s="82">
        <f t="shared" si="661"/>
        <v>0</v>
      </c>
      <c r="G323" s="82"/>
      <c r="H323" s="82">
        <f t="shared" ref="H323:I323" si="662">H76</f>
        <v>0</v>
      </c>
      <c r="I323" s="83">
        <f t="shared" si="662"/>
        <v>0</v>
      </c>
      <c r="J323" s="82"/>
      <c r="K323" s="84"/>
      <c r="L323" s="84"/>
      <c r="M323" s="84"/>
      <c r="N323" s="84"/>
      <c r="O323" s="84"/>
      <c r="P323" s="84"/>
      <c r="Q323" s="84"/>
      <c r="R323" s="84"/>
      <c r="S323" s="84"/>
      <c r="T323" s="84"/>
      <c r="U323" s="84"/>
      <c r="V323" s="84"/>
      <c r="W323" s="85">
        <f t="shared" si="655"/>
        <v>0</v>
      </c>
      <c r="X323" s="85">
        <f t="shared" si="655"/>
        <v>0</v>
      </c>
      <c r="Y323" s="85">
        <f t="shared" si="655"/>
        <v>0</v>
      </c>
      <c r="Z323" s="85">
        <f t="shared" si="655"/>
        <v>0</v>
      </c>
      <c r="AA323" s="85">
        <f t="shared" si="655"/>
        <v>0</v>
      </c>
      <c r="AB323" s="85">
        <f t="shared" si="655"/>
        <v>0</v>
      </c>
      <c r="AC323" s="85">
        <f t="shared" si="655"/>
        <v>0</v>
      </c>
      <c r="AD323" s="85">
        <f t="shared" si="655"/>
        <v>0</v>
      </c>
      <c r="AE323" s="85">
        <f t="shared" si="655"/>
        <v>0</v>
      </c>
      <c r="AF323" s="85">
        <f t="shared" si="655"/>
        <v>0</v>
      </c>
      <c r="AG323" s="85">
        <f t="shared" si="655"/>
        <v>0</v>
      </c>
      <c r="AH323" s="85">
        <f t="shared" si="655"/>
        <v>0</v>
      </c>
      <c r="AI323" s="86">
        <f t="shared" si="647"/>
        <v>0</v>
      </c>
      <c r="AJ323" s="85">
        <f t="shared" si="603"/>
        <v>0</v>
      </c>
      <c r="AK323" s="85">
        <f t="shared" si="652"/>
        <v>0</v>
      </c>
      <c r="AL323" s="85">
        <f t="shared" si="652"/>
        <v>0</v>
      </c>
      <c r="AM323" s="85">
        <f t="shared" si="652"/>
        <v>0</v>
      </c>
      <c r="AN323" s="85">
        <f t="shared" si="652"/>
        <v>0</v>
      </c>
      <c r="AO323" s="85">
        <f t="shared" si="652"/>
        <v>0</v>
      </c>
      <c r="AP323" s="85">
        <f t="shared" si="652"/>
        <v>0</v>
      </c>
      <c r="AQ323" s="85">
        <f t="shared" si="652"/>
        <v>0</v>
      </c>
      <c r="AR323" s="85">
        <f t="shared" si="652"/>
        <v>0</v>
      </c>
      <c r="AS323" s="85">
        <f t="shared" si="652"/>
        <v>0</v>
      </c>
      <c r="AT323" s="85">
        <f t="shared" si="652"/>
        <v>0</v>
      </c>
      <c r="AU323" s="85">
        <f t="shared" si="652"/>
        <v>0</v>
      </c>
      <c r="AV323" s="86">
        <f t="shared" si="656"/>
        <v>0</v>
      </c>
      <c r="AW323" s="87"/>
      <c r="AX323" s="88"/>
      <c r="AY323" s="88"/>
    </row>
    <row r="324" spans="1:51">
      <c r="A324" s="79" t="s">
        <v>3031</v>
      </c>
      <c r="B324" s="80">
        <f t="shared" ref="B324:F324" si="663">B77</f>
        <v>0</v>
      </c>
      <c r="C324" s="80">
        <f t="shared" si="663"/>
        <v>0</v>
      </c>
      <c r="D324" s="80">
        <f t="shared" si="663"/>
        <v>0</v>
      </c>
      <c r="E324" s="80">
        <f t="shared" si="663"/>
        <v>0</v>
      </c>
      <c r="F324" s="82">
        <f t="shared" si="663"/>
        <v>0</v>
      </c>
      <c r="G324" s="82"/>
      <c r="H324" s="82">
        <f t="shared" ref="H324:I324" si="664">H77</f>
        <v>0</v>
      </c>
      <c r="I324" s="83">
        <f t="shared" si="664"/>
        <v>0</v>
      </c>
      <c r="J324" s="82"/>
      <c r="K324" s="84"/>
      <c r="L324" s="84"/>
      <c r="M324" s="84"/>
      <c r="N324" s="84"/>
      <c r="O324" s="84"/>
      <c r="P324" s="84"/>
      <c r="Q324" s="84"/>
      <c r="R324" s="84"/>
      <c r="S324" s="84"/>
      <c r="T324" s="84"/>
      <c r="U324" s="84"/>
      <c r="V324" s="84"/>
      <c r="W324" s="85">
        <f t="shared" si="655"/>
        <v>0</v>
      </c>
      <c r="X324" s="85">
        <f t="shared" si="655"/>
        <v>0</v>
      </c>
      <c r="Y324" s="85">
        <f t="shared" si="655"/>
        <v>0</v>
      </c>
      <c r="Z324" s="85">
        <f t="shared" si="655"/>
        <v>0</v>
      </c>
      <c r="AA324" s="85">
        <f t="shared" si="655"/>
        <v>0</v>
      </c>
      <c r="AB324" s="85">
        <f t="shared" si="655"/>
        <v>0</v>
      </c>
      <c r="AC324" s="85">
        <f t="shared" si="655"/>
        <v>0</v>
      </c>
      <c r="AD324" s="85">
        <f t="shared" si="655"/>
        <v>0</v>
      </c>
      <c r="AE324" s="85">
        <f t="shared" si="655"/>
        <v>0</v>
      </c>
      <c r="AF324" s="85">
        <f t="shared" si="655"/>
        <v>0</v>
      </c>
      <c r="AG324" s="85">
        <f t="shared" si="655"/>
        <v>0</v>
      </c>
      <c r="AH324" s="85">
        <f t="shared" si="655"/>
        <v>0</v>
      </c>
      <c r="AI324" s="86">
        <f t="shared" si="647"/>
        <v>0</v>
      </c>
      <c r="AJ324" s="85">
        <f t="shared" si="603"/>
        <v>0</v>
      </c>
      <c r="AK324" s="85">
        <f t="shared" si="652"/>
        <v>0</v>
      </c>
      <c r="AL324" s="85">
        <f t="shared" si="652"/>
        <v>0</v>
      </c>
      <c r="AM324" s="85">
        <f t="shared" si="652"/>
        <v>0</v>
      </c>
      <c r="AN324" s="85">
        <f t="shared" si="652"/>
        <v>0</v>
      </c>
      <c r="AO324" s="85">
        <f t="shared" si="652"/>
        <v>0</v>
      </c>
      <c r="AP324" s="85">
        <f t="shared" si="652"/>
        <v>0</v>
      </c>
      <c r="AQ324" s="85">
        <f t="shared" si="652"/>
        <v>0</v>
      </c>
      <c r="AR324" s="85">
        <f t="shared" si="652"/>
        <v>0</v>
      </c>
      <c r="AS324" s="85">
        <f t="shared" si="652"/>
        <v>0</v>
      </c>
      <c r="AT324" s="85">
        <f t="shared" si="652"/>
        <v>0</v>
      </c>
      <c r="AU324" s="85">
        <f t="shared" si="652"/>
        <v>0</v>
      </c>
      <c r="AV324" s="86">
        <f t="shared" si="656"/>
        <v>0</v>
      </c>
      <c r="AW324" s="87"/>
      <c r="AX324" s="88"/>
      <c r="AY324" s="88"/>
    </row>
    <row r="325" spans="1:51">
      <c r="A325" s="79"/>
      <c r="B325" s="93"/>
      <c r="C325" s="93"/>
      <c r="D325" s="93"/>
      <c r="E325" s="93"/>
      <c r="F325" s="113"/>
      <c r="G325" s="113"/>
      <c r="H325" s="113"/>
      <c r="I325" s="114"/>
      <c r="J325" s="113"/>
      <c r="K325" s="115"/>
      <c r="L325" s="115"/>
      <c r="M325" s="115"/>
      <c r="N325" s="115"/>
      <c r="O325" s="115"/>
      <c r="P325" s="115"/>
      <c r="Q325" s="115"/>
      <c r="R325" s="115"/>
      <c r="S325" s="115"/>
      <c r="T325" s="115"/>
      <c r="U325" s="115"/>
      <c r="V325" s="115"/>
      <c r="W325" s="113"/>
      <c r="X325" s="113"/>
      <c r="Y325" s="113"/>
      <c r="Z325" s="113"/>
      <c r="AA325" s="113"/>
      <c r="AB325" s="113"/>
      <c r="AC325" s="113"/>
      <c r="AD325" s="113"/>
      <c r="AE325" s="113"/>
      <c r="AF325" s="113"/>
      <c r="AG325" s="113"/>
      <c r="AH325" s="113"/>
      <c r="AI325" s="113"/>
      <c r="AJ325" s="113"/>
      <c r="AK325" s="113"/>
      <c r="AL325" s="113"/>
      <c r="AM325" s="113"/>
      <c r="AN325" s="113"/>
      <c r="AO325" s="113"/>
      <c r="AP325" s="113"/>
      <c r="AQ325" s="113"/>
      <c r="AR325" s="113"/>
      <c r="AS325" s="113"/>
      <c r="AT325" s="113"/>
      <c r="AU325" s="113"/>
      <c r="AV325" s="113"/>
      <c r="AW325" s="116"/>
      <c r="AX325" s="113"/>
      <c r="AY325" s="113"/>
    </row>
    <row r="326" spans="1:51">
      <c r="A326" s="79" t="s">
        <v>3031</v>
      </c>
      <c r="B326" s="93" t="s">
        <v>2111</v>
      </c>
      <c r="C326" s="93"/>
      <c r="D326" s="93"/>
      <c r="E326" s="93"/>
      <c r="F326" s="113"/>
      <c r="G326" s="113"/>
      <c r="H326" s="88"/>
      <c r="I326" s="114"/>
      <c r="J326" s="88"/>
      <c r="K326" s="119"/>
      <c r="L326" s="119"/>
      <c r="M326" s="119"/>
      <c r="N326" s="119"/>
      <c r="O326" s="119"/>
      <c r="P326" s="119"/>
      <c r="Q326" s="119"/>
      <c r="R326" s="119"/>
      <c r="S326" s="119"/>
      <c r="T326" s="119"/>
      <c r="U326" s="119"/>
      <c r="V326" s="119"/>
      <c r="W326" s="113">
        <f ca="1">SUMIF($B$298:$AV$325,$B$326,W298:W325)</f>
        <v>386377.17799999984</v>
      </c>
      <c r="X326" s="113">
        <f ca="1">SUMIF($B$298:$AV$325,$B$326,X298:X325)</f>
        <v>430231.50799999986</v>
      </c>
      <c r="Y326" s="113">
        <f t="shared" ref="Y326:AV326" ca="1" si="665">SUMIF($B$298:$AV$325,$B$326,Y298:Y325)</f>
        <v>375999.39799999987</v>
      </c>
      <c r="Z326" s="113">
        <f t="shared" ca="1" si="665"/>
        <v>396035.67499999987</v>
      </c>
      <c r="AA326" s="113">
        <f t="shared" ca="1" si="665"/>
        <v>696405.08499999996</v>
      </c>
      <c r="AB326" s="113">
        <f t="shared" ca="1" si="665"/>
        <v>695958.08499999996</v>
      </c>
      <c r="AC326" s="113">
        <f t="shared" ca="1" si="665"/>
        <v>696405.08499999996</v>
      </c>
      <c r="AD326" s="113">
        <f t="shared" ca="1" si="665"/>
        <v>719474.08500000008</v>
      </c>
      <c r="AE326" s="113">
        <f t="shared" ca="1" si="665"/>
        <v>719474.08500000008</v>
      </c>
      <c r="AF326" s="113">
        <f t="shared" ca="1" si="665"/>
        <v>719474.08500000008</v>
      </c>
      <c r="AG326" s="113">
        <f t="shared" ca="1" si="665"/>
        <v>719474.08500000008</v>
      </c>
      <c r="AH326" s="113">
        <f t="shared" ca="1" si="665"/>
        <v>2047186.6564285713</v>
      </c>
      <c r="AI326" s="113">
        <f t="shared" ca="1" si="665"/>
        <v>8602495.0104285721</v>
      </c>
      <c r="AJ326" s="113">
        <f t="shared" ca="1" si="665"/>
        <v>854909.64000000013</v>
      </c>
      <c r="AK326" s="113">
        <f t="shared" ca="1" si="665"/>
        <v>854909.64000000013</v>
      </c>
      <c r="AL326" s="113">
        <f t="shared" ca="1" si="665"/>
        <v>854909.64000000013</v>
      </c>
      <c r="AM326" s="113">
        <f t="shared" ca="1" si="665"/>
        <v>854909.64000000013</v>
      </c>
      <c r="AN326" s="113">
        <f t="shared" ca="1" si="665"/>
        <v>854909.64000000013</v>
      </c>
      <c r="AO326" s="113">
        <f t="shared" ca="1" si="665"/>
        <v>854909.64000000013</v>
      </c>
      <c r="AP326" s="113">
        <f t="shared" ca="1" si="665"/>
        <v>856443.9090000001</v>
      </c>
      <c r="AQ326" s="113">
        <f t="shared" ca="1" si="665"/>
        <v>856443.9090000001</v>
      </c>
      <c r="AR326" s="113">
        <f t="shared" ca="1" si="665"/>
        <v>856443.9090000001</v>
      </c>
      <c r="AS326" s="113">
        <f t="shared" ca="1" si="665"/>
        <v>856443.9090000001</v>
      </c>
      <c r="AT326" s="113">
        <f t="shared" ca="1" si="665"/>
        <v>856443.9090000001</v>
      </c>
      <c r="AU326" s="113">
        <f t="shared" ca="1" si="665"/>
        <v>2233443.9090000005</v>
      </c>
      <c r="AV326" s="113">
        <f t="shared" ca="1" si="665"/>
        <v>11645121.294000002</v>
      </c>
      <c r="AW326" s="116"/>
      <c r="AX326" s="113"/>
      <c r="AY326" s="113"/>
    </row>
    <row r="327" spans="1:51">
      <c r="A327" s="79" t="s">
        <v>3031</v>
      </c>
      <c r="B327" s="130" t="s">
        <v>2242</v>
      </c>
      <c r="C327" s="93"/>
      <c r="D327" s="93"/>
      <c r="E327" s="93"/>
      <c r="F327" s="113"/>
      <c r="G327" s="113"/>
      <c r="H327" s="88"/>
      <c r="I327" s="114"/>
      <c r="J327" s="88"/>
      <c r="K327" s="119"/>
      <c r="L327" s="119"/>
      <c r="M327" s="119"/>
      <c r="N327" s="119"/>
      <c r="O327" s="119"/>
      <c r="P327" s="119"/>
      <c r="Q327" s="119"/>
      <c r="R327" s="119"/>
      <c r="S327" s="119"/>
      <c r="T327" s="119"/>
      <c r="U327" s="119"/>
      <c r="V327" s="119"/>
      <c r="W327" s="113">
        <f ca="1">SUMIF($B$298:$AV$325,$B$327,W298:W325)</f>
        <v>254969.01</v>
      </c>
      <c r="X327" s="113">
        <f t="shared" ref="X327:AV327" ca="1" si="666">SUMIF($B$298:$AV$325,$B$327,X298:X325)</f>
        <v>254839.01</v>
      </c>
      <c r="Y327" s="113">
        <f t="shared" ca="1" si="666"/>
        <v>254839.01</v>
      </c>
      <c r="Z327" s="113">
        <f t="shared" ca="1" si="666"/>
        <v>306643.97000000003</v>
      </c>
      <c r="AA327" s="113">
        <f t="shared" ca="1" si="666"/>
        <v>306643.97000000003</v>
      </c>
      <c r="AB327" s="113">
        <f t="shared" ca="1" si="666"/>
        <v>306643.97000000003</v>
      </c>
      <c r="AC327" s="113">
        <f t="shared" ca="1" si="666"/>
        <v>306643.97000000003</v>
      </c>
      <c r="AD327" s="113">
        <f t="shared" ca="1" si="666"/>
        <v>306643.97000000003</v>
      </c>
      <c r="AE327" s="113">
        <f t="shared" ca="1" si="666"/>
        <v>306643.97000000003</v>
      </c>
      <c r="AF327" s="113">
        <f t="shared" ca="1" si="666"/>
        <v>306643.97000000003</v>
      </c>
      <c r="AG327" s="113">
        <f t="shared" ca="1" si="666"/>
        <v>306643.97000000003</v>
      </c>
      <c r="AH327" s="113">
        <f t="shared" ca="1" si="666"/>
        <v>306643.97000000003</v>
      </c>
      <c r="AI327" s="113">
        <f t="shared" ca="1" si="666"/>
        <v>3524442.7600000002</v>
      </c>
      <c r="AJ327" s="113">
        <f t="shared" ca="1" si="666"/>
        <v>320863.54000000004</v>
      </c>
      <c r="AK327" s="113">
        <f t="shared" ca="1" si="666"/>
        <v>320863.54000000004</v>
      </c>
      <c r="AL327" s="113">
        <f t="shared" ca="1" si="666"/>
        <v>320863.54000000004</v>
      </c>
      <c r="AM327" s="113">
        <f t="shared" ca="1" si="666"/>
        <v>320863.54000000004</v>
      </c>
      <c r="AN327" s="113">
        <f t="shared" ca="1" si="666"/>
        <v>320863.54000000004</v>
      </c>
      <c r="AO327" s="113">
        <f t="shared" ca="1" si="666"/>
        <v>320863.54000000004</v>
      </c>
      <c r="AP327" s="113">
        <f t="shared" ca="1" si="666"/>
        <v>320863.54000000004</v>
      </c>
      <c r="AQ327" s="113">
        <f t="shared" ca="1" si="666"/>
        <v>320863.54000000004</v>
      </c>
      <c r="AR327" s="113">
        <f t="shared" ca="1" si="666"/>
        <v>320863.54000000004</v>
      </c>
      <c r="AS327" s="113">
        <f t="shared" ca="1" si="666"/>
        <v>320863.54000000004</v>
      </c>
      <c r="AT327" s="113">
        <f t="shared" ca="1" si="666"/>
        <v>320863.54000000004</v>
      </c>
      <c r="AU327" s="113">
        <f t="shared" ca="1" si="666"/>
        <v>320863.54000000004</v>
      </c>
      <c r="AV327" s="113">
        <f t="shared" ca="1" si="666"/>
        <v>3850362.4800000004</v>
      </c>
      <c r="AW327" s="116"/>
      <c r="AX327" s="113"/>
      <c r="AY327" s="113"/>
    </row>
    <row r="328" spans="1:51">
      <c r="A328" s="79"/>
      <c r="B328" s="93"/>
      <c r="C328" s="93"/>
      <c r="D328" s="93"/>
      <c r="E328" s="93"/>
      <c r="F328" s="113"/>
      <c r="G328" s="113"/>
      <c r="H328" s="93"/>
      <c r="I328" s="120"/>
      <c r="J328" s="93"/>
      <c r="K328" s="93"/>
      <c r="L328" s="93"/>
      <c r="M328" s="93"/>
      <c r="N328" s="93"/>
      <c r="O328" s="93"/>
      <c r="P328" s="93"/>
      <c r="Q328" s="93"/>
      <c r="R328" s="93"/>
      <c r="S328" s="93"/>
      <c r="T328" s="93"/>
      <c r="U328" s="93"/>
      <c r="V328" s="93"/>
      <c r="W328" s="113"/>
      <c r="X328" s="113"/>
      <c r="Y328" s="113"/>
      <c r="Z328" s="113"/>
      <c r="AA328" s="113"/>
      <c r="AB328" s="113"/>
      <c r="AC328" s="113"/>
      <c r="AD328" s="113"/>
      <c r="AE328" s="113"/>
      <c r="AF328" s="113"/>
      <c r="AG328" s="113"/>
      <c r="AH328" s="113"/>
      <c r="AI328" s="113"/>
      <c r="AJ328" s="113"/>
      <c r="AK328" s="113"/>
      <c r="AL328" s="113"/>
      <c r="AM328" s="113"/>
      <c r="AN328" s="113"/>
      <c r="AO328" s="113"/>
      <c r="AP328" s="113"/>
      <c r="AQ328" s="113"/>
      <c r="AR328" s="113"/>
      <c r="AS328" s="113"/>
      <c r="AT328" s="113"/>
      <c r="AU328" s="113"/>
      <c r="AV328" s="113"/>
      <c r="AW328" s="116"/>
      <c r="AX328" s="113"/>
      <c r="AY328" s="113"/>
    </row>
    <row r="329" spans="1:51">
      <c r="A329" s="93"/>
      <c r="B329" s="132" t="s">
        <v>2781</v>
      </c>
      <c r="C329" s="93"/>
      <c r="D329" s="93"/>
      <c r="E329" s="93"/>
      <c r="F329" s="97" t="s">
        <v>3023</v>
      </c>
      <c r="G329" s="97"/>
      <c r="H329" s="93"/>
      <c r="I329" s="94"/>
      <c r="J329" s="98"/>
      <c r="K329" s="99"/>
      <c r="L329" s="99"/>
      <c r="M329" s="99"/>
      <c r="N329" s="99"/>
      <c r="O329" s="99"/>
      <c r="P329" s="99"/>
      <c r="Q329" s="99"/>
      <c r="R329" s="99"/>
      <c r="S329" s="99"/>
      <c r="T329" s="99"/>
      <c r="U329" s="99"/>
      <c r="V329" s="99"/>
      <c r="W329" s="100">
        <f>SUM(W297:W325)</f>
        <v>641346.18800000031</v>
      </c>
      <c r="X329" s="100">
        <f t="shared" ref="X329:AU329" si="667">SUM(X297:X325)</f>
        <v>685070.51800000027</v>
      </c>
      <c r="Y329" s="100">
        <f t="shared" si="667"/>
        <v>630838.40800000029</v>
      </c>
      <c r="Z329" s="100">
        <f t="shared" si="667"/>
        <v>702679.64500000014</v>
      </c>
      <c r="AA329" s="100">
        <f t="shared" si="667"/>
        <v>1003049.0550000001</v>
      </c>
      <c r="AB329" s="100">
        <f t="shared" si="667"/>
        <v>1002602.0550000001</v>
      </c>
      <c r="AC329" s="100">
        <f t="shared" si="667"/>
        <v>1003049.0550000001</v>
      </c>
      <c r="AD329" s="100">
        <f t="shared" si="667"/>
        <v>1026118.0550000001</v>
      </c>
      <c r="AE329" s="100">
        <f t="shared" si="667"/>
        <v>1026118.0550000001</v>
      </c>
      <c r="AF329" s="100">
        <f t="shared" si="667"/>
        <v>1026118.0550000001</v>
      </c>
      <c r="AG329" s="100">
        <f t="shared" si="667"/>
        <v>1026118.0550000001</v>
      </c>
      <c r="AH329" s="100">
        <f t="shared" si="667"/>
        <v>2353830.626428572</v>
      </c>
      <c r="AI329" s="100">
        <f t="shared" si="667"/>
        <v>12126937.770428574</v>
      </c>
      <c r="AJ329" s="100">
        <f t="shared" si="667"/>
        <v>1175773.18</v>
      </c>
      <c r="AK329" s="100">
        <f t="shared" si="667"/>
        <v>1175773.18</v>
      </c>
      <c r="AL329" s="100">
        <f t="shared" si="667"/>
        <v>1175773.18</v>
      </c>
      <c r="AM329" s="100">
        <f t="shared" si="667"/>
        <v>1175773.18</v>
      </c>
      <c r="AN329" s="100">
        <f t="shared" si="667"/>
        <v>1175773.18</v>
      </c>
      <c r="AO329" s="100">
        <f t="shared" si="667"/>
        <v>1175773.18</v>
      </c>
      <c r="AP329" s="100">
        <f t="shared" si="667"/>
        <v>1177307.449</v>
      </c>
      <c r="AQ329" s="100">
        <f t="shared" si="667"/>
        <v>1177307.449</v>
      </c>
      <c r="AR329" s="100">
        <f t="shared" si="667"/>
        <v>1177307.449</v>
      </c>
      <c r="AS329" s="100">
        <f t="shared" si="667"/>
        <v>1177307.449</v>
      </c>
      <c r="AT329" s="100">
        <f t="shared" si="667"/>
        <v>1177307.449</v>
      </c>
      <c r="AU329" s="100">
        <f t="shared" si="667"/>
        <v>2554307.449</v>
      </c>
      <c r="AV329" s="100">
        <f>SUM(AV297:AV325)</f>
        <v>15495483.773999998</v>
      </c>
      <c r="AW329" s="87"/>
      <c r="AX329" s="88"/>
      <c r="AY329" s="88"/>
    </row>
    <row r="330" spans="1:51">
      <c r="A330" s="93"/>
      <c r="B330" s="93"/>
      <c r="C330" s="93"/>
      <c r="D330" s="93"/>
      <c r="E330" s="93"/>
      <c r="F330" s="88"/>
      <c r="G330" s="88"/>
      <c r="H330" s="93"/>
      <c r="I330" s="94"/>
      <c r="J330" s="93"/>
      <c r="K330" s="93"/>
      <c r="L330" s="93"/>
      <c r="M330" s="93"/>
      <c r="N330" s="93"/>
      <c r="O330" s="93"/>
      <c r="P330" s="93"/>
      <c r="Q330" s="93"/>
      <c r="R330" s="93"/>
      <c r="S330" s="93"/>
      <c r="T330" s="93"/>
      <c r="U330" s="93"/>
      <c r="V330" s="93"/>
      <c r="W330" s="88">
        <v>669265</v>
      </c>
      <c r="X330" s="88"/>
      <c r="Y330" s="88"/>
      <c r="Z330" s="88"/>
      <c r="AA330" s="88"/>
      <c r="AB330" s="88"/>
      <c r="AC330" s="88"/>
      <c r="AD330" s="88"/>
      <c r="AE330" s="88"/>
      <c r="AF330" s="88"/>
      <c r="AG330" s="88"/>
      <c r="AH330" s="88"/>
      <c r="AI330" s="88"/>
      <c r="AJ330" s="88"/>
      <c r="AK330" s="88"/>
      <c r="AL330" s="88"/>
      <c r="AM330" s="88"/>
      <c r="AN330" s="88"/>
      <c r="AO330" s="88"/>
      <c r="AP330" s="88"/>
      <c r="AQ330" s="88"/>
      <c r="AR330" s="88"/>
      <c r="AS330" s="88"/>
      <c r="AT330" s="88"/>
      <c r="AU330" s="88"/>
      <c r="AV330" s="131">
        <f>AV329/AI329-1</f>
        <v>0.2777738343628342</v>
      </c>
      <c r="AW330" s="88"/>
      <c r="AX330" s="88"/>
      <c r="AY330" s="93"/>
    </row>
    <row r="331" spans="1:51">
      <c r="A331" s="93"/>
      <c r="B331" s="93"/>
      <c r="C331" s="93"/>
      <c r="D331" s="93"/>
      <c r="E331" s="93"/>
      <c r="F331" s="88"/>
      <c r="G331" s="88"/>
      <c r="H331" s="93"/>
      <c r="I331" s="94"/>
      <c r="J331" s="93"/>
      <c r="K331" s="93"/>
      <c r="L331" s="93"/>
      <c r="M331" s="93"/>
      <c r="N331" s="93"/>
      <c r="O331" s="93"/>
      <c r="P331" s="93"/>
      <c r="Q331" s="93"/>
      <c r="R331" s="93"/>
      <c r="S331" s="93"/>
      <c r="T331" s="93"/>
      <c r="U331" s="93"/>
      <c r="V331" s="93"/>
      <c r="W331" s="88"/>
      <c r="X331" s="88"/>
      <c r="Y331" s="88"/>
      <c r="Z331" s="88"/>
      <c r="AA331" s="88"/>
      <c r="AB331" s="88"/>
      <c r="AC331" s="88"/>
      <c r="AD331" s="88"/>
      <c r="AE331" s="88"/>
      <c r="AF331" s="88"/>
      <c r="AG331" s="88"/>
      <c r="AH331" s="88"/>
      <c r="AI331" s="88"/>
      <c r="AJ331" s="88"/>
      <c r="AK331" s="88"/>
      <c r="AL331" s="88"/>
      <c r="AM331" s="88"/>
      <c r="AN331" s="88"/>
      <c r="AO331" s="88"/>
      <c r="AP331" s="88"/>
      <c r="AQ331" s="88"/>
      <c r="AR331" s="88"/>
      <c r="AS331" s="88"/>
      <c r="AT331" s="88"/>
      <c r="AU331" s="88"/>
      <c r="AV331" s="87"/>
      <c r="AW331" s="88"/>
      <c r="AX331" s="88"/>
      <c r="AY331" s="93"/>
    </row>
    <row r="332" spans="1:51">
      <c r="A332" s="93"/>
      <c r="B332" s="93"/>
      <c r="C332" s="93"/>
      <c r="D332" s="93"/>
      <c r="E332" s="93"/>
      <c r="F332" s="88"/>
      <c r="G332" s="88"/>
      <c r="H332" s="93"/>
      <c r="I332" s="94"/>
      <c r="J332" s="93"/>
      <c r="K332" s="93"/>
      <c r="L332" s="93"/>
      <c r="M332" s="93"/>
      <c r="N332" s="93"/>
      <c r="O332" s="93"/>
      <c r="P332" s="93"/>
      <c r="Q332" s="93"/>
      <c r="R332" s="93"/>
      <c r="S332" s="93"/>
      <c r="T332" s="93"/>
      <c r="U332" s="93"/>
      <c r="V332" s="93"/>
      <c r="W332" s="88"/>
      <c r="X332" s="88"/>
      <c r="Y332" s="88"/>
      <c r="Z332" s="88"/>
      <c r="AA332" s="88"/>
      <c r="AB332" s="88"/>
      <c r="AC332" s="88"/>
      <c r="AD332" s="88"/>
      <c r="AE332" s="88"/>
      <c r="AF332" s="88"/>
      <c r="AG332" s="88"/>
      <c r="AH332" s="88"/>
      <c r="AI332" s="88"/>
      <c r="AJ332" s="88"/>
      <c r="AK332" s="88"/>
      <c r="AL332" s="88"/>
      <c r="AM332" s="88"/>
      <c r="AN332" s="88"/>
      <c r="AO332" s="88"/>
      <c r="AP332" s="88"/>
      <c r="AQ332" s="88"/>
      <c r="AR332" s="88"/>
      <c r="AS332" s="88"/>
      <c r="AT332" s="88"/>
      <c r="AU332" s="88"/>
      <c r="AV332" s="87"/>
      <c r="AW332" s="88"/>
      <c r="AX332" s="88"/>
      <c r="AY332" s="93"/>
    </row>
    <row r="333" spans="1:51">
      <c r="A333" s="93"/>
      <c r="B333" s="93" t="s">
        <v>3032</v>
      </c>
      <c r="C333" s="93"/>
      <c r="D333" s="93"/>
      <c r="E333" s="93"/>
      <c r="F333" s="88"/>
      <c r="G333" s="88"/>
      <c r="H333" s="93"/>
      <c r="I333" s="94"/>
      <c r="J333" s="93"/>
      <c r="K333" s="93"/>
      <c r="L333" s="93"/>
      <c r="M333" s="93"/>
      <c r="N333" s="93"/>
      <c r="O333" s="93"/>
      <c r="P333" s="93"/>
      <c r="Q333" s="93"/>
      <c r="R333" s="93"/>
      <c r="S333" s="93"/>
      <c r="T333" s="93"/>
      <c r="U333" s="93"/>
      <c r="V333" s="93"/>
      <c r="W333" s="88"/>
      <c r="X333" s="88"/>
      <c r="Y333" s="88"/>
      <c r="Z333" s="88"/>
      <c r="AA333" s="88"/>
      <c r="AB333" s="88"/>
      <c r="AC333" s="88"/>
      <c r="AD333" s="88"/>
      <c r="AE333" s="88"/>
      <c r="AF333" s="88"/>
      <c r="AG333" s="88"/>
      <c r="AH333" s="88"/>
      <c r="AI333" s="88"/>
      <c r="AJ333" s="88"/>
      <c r="AK333" s="88"/>
      <c r="AL333" s="88"/>
      <c r="AM333" s="88"/>
      <c r="AN333" s="88"/>
      <c r="AO333" s="88"/>
      <c r="AP333" s="88"/>
      <c r="AQ333" s="88"/>
      <c r="AR333" s="88"/>
      <c r="AS333" s="88"/>
      <c r="AT333" s="88"/>
      <c r="AU333" s="88"/>
      <c r="AV333" s="87"/>
      <c r="AW333" s="88"/>
      <c r="AX333" s="88"/>
      <c r="AY333" s="93"/>
    </row>
    <row r="334" spans="1:51">
      <c r="A334" s="93"/>
      <c r="B334" s="93" t="s">
        <v>3033</v>
      </c>
      <c r="C334" s="93"/>
      <c r="D334" s="93"/>
      <c r="E334" s="93"/>
      <c r="F334" s="88"/>
      <c r="G334" s="88"/>
      <c r="H334" s="93"/>
      <c r="I334" s="94"/>
      <c r="J334" s="93"/>
      <c r="K334" s="93"/>
      <c r="L334" s="93"/>
      <c r="M334" s="93"/>
      <c r="N334" s="93"/>
      <c r="O334" s="93"/>
      <c r="P334" s="93"/>
      <c r="Q334" s="93"/>
      <c r="R334" s="93"/>
      <c r="S334" s="93"/>
      <c r="T334" s="93"/>
      <c r="U334" s="93"/>
      <c r="V334" s="93"/>
      <c r="W334" s="88"/>
      <c r="X334" s="88"/>
      <c r="Y334" s="88"/>
      <c r="Z334" s="88"/>
      <c r="AA334" s="88"/>
      <c r="AB334" s="88"/>
      <c r="AC334" s="88"/>
      <c r="AD334" s="88"/>
      <c r="AE334" s="88"/>
      <c r="AF334" s="88"/>
      <c r="AG334" s="88"/>
      <c r="AH334" s="88"/>
      <c r="AI334" s="88"/>
      <c r="AJ334" s="88"/>
      <c r="AK334" s="88"/>
      <c r="AL334" s="88"/>
      <c r="AM334" s="88"/>
      <c r="AN334" s="88"/>
      <c r="AO334" s="88"/>
      <c r="AP334" s="88"/>
      <c r="AQ334" s="88"/>
      <c r="AR334" s="88"/>
      <c r="AS334" s="88"/>
      <c r="AT334" s="88"/>
      <c r="AU334" s="88"/>
      <c r="AV334" s="87"/>
      <c r="AW334" s="88"/>
      <c r="AX334" s="88"/>
      <c r="AY334" s="93"/>
    </row>
    <row r="335" spans="1:51" s="16" customFormat="1">
      <c r="A335" s="133"/>
      <c r="B335" s="133" t="s">
        <v>3034</v>
      </c>
      <c r="C335" s="133" t="s">
        <v>3035</v>
      </c>
      <c r="D335" s="133" t="s">
        <v>3036</v>
      </c>
      <c r="E335" s="133"/>
      <c r="F335" s="133" t="s">
        <v>3037</v>
      </c>
      <c r="G335" s="134" t="s">
        <v>3001</v>
      </c>
      <c r="H335" s="134" t="s">
        <v>3038</v>
      </c>
      <c r="I335" s="134" t="s">
        <v>3039</v>
      </c>
      <c r="J335" s="133"/>
      <c r="K335" s="133"/>
      <c r="L335" s="133"/>
      <c r="M335" s="133"/>
      <c r="N335" s="133"/>
      <c r="O335" s="133"/>
      <c r="P335" s="133"/>
      <c r="Q335" s="133"/>
      <c r="R335" s="133"/>
      <c r="S335" s="133"/>
      <c r="T335" s="133"/>
      <c r="U335" s="133"/>
      <c r="V335" s="133"/>
      <c r="W335" s="135" t="s">
        <v>3040</v>
      </c>
      <c r="X335" s="134" t="s">
        <v>3041</v>
      </c>
      <c r="Y335" s="134"/>
      <c r="Z335" s="134"/>
      <c r="AA335" s="134"/>
      <c r="AB335" s="134"/>
      <c r="AC335" s="134"/>
      <c r="AD335" s="134"/>
      <c r="AE335" s="134"/>
      <c r="AF335" s="134"/>
      <c r="AG335" s="134"/>
      <c r="AH335" s="134"/>
      <c r="AI335" s="134"/>
      <c r="AJ335" s="134"/>
      <c r="AK335" s="134"/>
      <c r="AL335" s="134"/>
      <c r="AM335" s="134"/>
      <c r="AN335" s="134"/>
      <c r="AO335" s="134"/>
      <c r="AP335" s="134"/>
      <c r="AQ335" s="134"/>
      <c r="AR335" s="134"/>
      <c r="AS335" s="134"/>
      <c r="AT335" s="134"/>
      <c r="AU335" s="134"/>
      <c r="AV335" s="136"/>
      <c r="AW335" s="134"/>
      <c r="AX335" s="134"/>
      <c r="AY335" s="133"/>
    </row>
    <row r="336" spans="1:51">
      <c r="A336" s="93"/>
      <c r="B336" s="137">
        <v>44105</v>
      </c>
      <c r="C336" s="137">
        <v>45657</v>
      </c>
      <c r="D336" s="138">
        <f>(C336-B336)/365</f>
        <v>4.25205479452055</v>
      </c>
      <c r="E336" s="93"/>
      <c r="F336" s="119">
        <f>4.5+1</f>
        <v>5.5</v>
      </c>
      <c r="G336" s="88">
        <v>45000</v>
      </c>
      <c r="H336" s="88">
        <v>14553.33</v>
      </c>
      <c r="I336" s="139">
        <f>H336*3</f>
        <v>43659.99</v>
      </c>
      <c r="J336" s="93"/>
      <c r="K336" s="93"/>
      <c r="L336" s="93"/>
      <c r="M336" s="93"/>
      <c r="N336" s="93"/>
      <c r="O336" s="93"/>
      <c r="P336" s="93"/>
      <c r="Q336" s="93"/>
      <c r="R336" s="93"/>
      <c r="S336" s="93"/>
      <c r="T336" s="93"/>
      <c r="U336" s="93"/>
      <c r="V336" s="93"/>
      <c r="W336" s="140">
        <f>MIN(G336,I336)</f>
        <v>43659.99</v>
      </c>
      <c r="X336" s="88">
        <f>W336*F336</f>
        <v>240129.94500000001</v>
      </c>
      <c r="Y336" s="88" t="s">
        <v>3042</v>
      </c>
      <c r="Z336" s="88"/>
      <c r="AA336" s="88"/>
      <c r="AB336" s="88"/>
      <c r="AC336" s="88"/>
      <c r="AD336" s="88"/>
      <c r="AE336" s="88"/>
      <c r="AF336" s="88"/>
      <c r="AG336" s="88"/>
      <c r="AH336" s="88"/>
      <c r="AI336" s="88"/>
      <c r="AJ336" s="88"/>
      <c r="AK336" s="88"/>
      <c r="AL336" s="88"/>
      <c r="AM336" s="88"/>
      <c r="AN336" s="88"/>
      <c r="AO336" s="88"/>
      <c r="AP336" s="88"/>
      <c r="AQ336" s="88"/>
      <c r="AR336" s="88"/>
      <c r="AS336" s="88"/>
      <c r="AT336" s="88"/>
      <c r="AU336" s="88"/>
      <c r="AV336" s="87"/>
      <c r="AW336" s="88"/>
      <c r="AX336" s="88"/>
      <c r="AY336" s="93"/>
    </row>
    <row r="337" spans="1:51">
      <c r="A337" s="93"/>
      <c r="B337" s="137">
        <v>44105</v>
      </c>
      <c r="C337" s="137">
        <v>45823</v>
      </c>
      <c r="D337" s="138">
        <f>(C337-B337)/365</f>
        <v>4.7068493150684896</v>
      </c>
      <c r="E337" s="93"/>
      <c r="F337" s="119">
        <f>5+1</f>
        <v>6</v>
      </c>
      <c r="G337" s="88">
        <v>45000</v>
      </c>
      <c r="H337" s="88">
        <v>14553.33</v>
      </c>
      <c r="I337" s="139">
        <f>H337*3</f>
        <v>43659.99</v>
      </c>
      <c r="J337" s="93"/>
      <c r="K337" s="93"/>
      <c r="L337" s="93"/>
      <c r="M337" s="93"/>
      <c r="N337" s="93"/>
      <c r="O337" s="93"/>
      <c r="P337" s="93"/>
      <c r="Q337" s="93"/>
      <c r="R337" s="93"/>
      <c r="S337" s="93"/>
      <c r="T337" s="93"/>
      <c r="U337" s="93"/>
      <c r="V337" s="93"/>
      <c r="W337" s="140">
        <f>MIN(G337,I337)</f>
        <v>43659.99</v>
      </c>
      <c r="X337" s="88">
        <f>W337*F337</f>
        <v>261959.94</v>
      </c>
      <c r="Y337" s="88" t="s">
        <v>3042</v>
      </c>
      <c r="Z337" s="88"/>
      <c r="AA337" s="88"/>
      <c r="AB337" s="88"/>
      <c r="AC337" s="88"/>
      <c r="AD337" s="88"/>
      <c r="AE337" s="88"/>
      <c r="AF337" s="88"/>
      <c r="AG337" s="88"/>
      <c r="AH337" s="88"/>
      <c r="AI337" s="88"/>
      <c r="AJ337" s="88"/>
      <c r="AK337" s="88"/>
      <c r="AL337" s="88"/>
      <c r="AM337" s="88"/>
      <c r="AN337" s="88"/>
      <c r="AO337" s="88"/>
      <c r="AP337" s="88"/>
      <c r="AQ337" s="88"/>
      <c r="AR337" s="88"/>
      <c r="AS337" s="88"/>
      <c r="AT337" s="88"/>
      <c r="AU337" s="88"/>
      <c r="AV337" s="87"/>
      <c r="AW337" s="88"/>
      <c r="AX337" s="88"/>
      <c r="AY337" s="93"/>
    </row>
    <row r="338" spans="1:51">
      <c r="A338" s="93"/>
      <c r="B338" s="93"/>
      <c r="C338" s="93"/>
      <c r="D338" s="93"/>
      <c r="E338" s="93"/>
      <c r="F338" s="88"/>
      <c r="G338" s="88"/>
      <c r="H338" s="93"/>
      <c r="I338" s="94"/>
      <c r="J338" s="93"/>
      <c r="K338" s="93"/>
      <c r="L338" s="93"/>
      <c r="M338" s="93"/>
      <c r="N338" s="93"/>
      <c r="O338" s="93"/>
      <c r="P338" s="93"/>
      <c r="Q338" s="93"/>
      <c r="R338" s="93"/>
      <c r="S338" s="93"/>
      <c r="T338" s="93"/>
      <c r="U338" s="93"/>
      <c r="V338" s="93"/>
      <c r="W338" s="88"/>
      <c r="X338" s="88"/>
      <c r="Y338" s="88"/>
      <c r="Z338" s="88"/>
      <c r="AA338" s="88"/>
      <c r="AB338" s="88"/>
      <c r="AC338" s="88"/>
      <c r="AD338" s="88"/>
      <c r="AE338" s="88"/>
      <c r="AF338" s="88"/>
      <c r="AG338" s="88"/>
      <c r="AH338" s="88"/>
      <c r="AI338" s="88"/>
      <c r="AJ338" s="88"/>
      <c r="AK338" s="88"/>
      <c r="AL338" s="88"/>
      <c r="AM338" s="88"/>
      <c r="AN338" s="88"/>
      <c r="AO338" s="88"/>
      <c r="AP338" s="88"/>
      <c r="AQ338" s="88"/>
      <c r="AR338" s="88"/>
      <c r="AS338" s="88"/>
      <c r="AT338" s="88"/>
      <c r="AU338" s="88"/>
      <c r="AV338" s="87"/>
      <c r="AW338" s="88"/>
      <c r="AX338" s="88"/>
      <c r="AY338" s="93"/>
    </row>
    <row r="339" spans="1:51" ht="15.95" customHeight="1">
      <c r="A339" s="93"/>
      <c r="B339" s="1225" t="s">
        <v>3043</v>
      </c>
      <c r="C339" s="1225"/>
      <c r="D339" s="1225"/>
      <c r="E339" s="1225"/>
      <c r="F339" s="1225"/>
      <c r="G339" s="1225"/>
      <c r="H339" s="1225"/>
      <c r="I339" s="1225"/>
      <c r="J339" s="1225"/>
      <c r="K339" s="1225"/>
      <c r="L339" s="1225"/>
      <c r="M339" s="1225"/>
      <c r="N339" s="1225"/>
      <c r="O339" s="1225"/>
      <c r="P339" s="1225"/>
      <c r="Q339" s="1225"/>
      <c r="R339" s="1225"/>
      <c r="S339" s="1225"/>
      <c r="T339" s="1225"/>
      <c r="U339" s="1225"/>
      <c r="V339" s="1225"/>
      <c r="W339" s="1225"/>
      <c r="X339" s="1225"/>
      <c r="Y339" s="1225"/>
      <c r="Z339" s="141"/>
      <c r="AA339" s="141"/>
      <c r="AB339" s="141"/>
      <c r="AC339" s="141"/>
      <c r="AD339" s="88"/>
      <c r="AE339" s="88"/>
      <c r="AF339" s="88"/>
      <c r="AG339" s="88"/>
      <c r="AH339" s="88"/>
      <c r="AI339" s="88"/>
      <c r="AJ339" s="88"/>
      <c r="AK339" s="88"/>
      <c r="AL339" s="88"/>
      <c r="AM339" s="88"/>
      <c r="AN339" s="88"/>
      <c r="AO339" s="88"/>
      <c r="AP339" s="88"/>
      <c r="AQ339" s="88"/>
      <c r="AR339" s="88"/>
      <c r="AS339" s="88"/>
      <c r="AT339" s="88"/>
      <c r="AU339" s="88"/>
      <c r="AV339" s="87"/>
      <c r="AW339" s="88"/>
      <c r="AX339" s="88"/>
      <c r="AY339" s="93"/>
    </row>
    <row r="340" spans="1:51" ht="15.95" customHeight="1">
      <c r="A340" s="93"/>
      <c r="B340" s="1225"/>
      <c r="C340" s="1225"/>
      <c r="D340" s="1225"/>
      <c r="E340" s="1225"/>
      <c r="F340" s="1225"/>
      <c r="G340" s="1225"/>
      <c r="H340" s="1225"/>
      <c r="I340" s="1225"/>
      <c r="J340" s="1225"/>
      <c r="K340" s="1225"/>
      <c r="L340" s="1225"/>
      <c r="M340" s="1225"/>
      <c r="N340" s="1225"/>
      <c r="O340" s="1225"/>
      <c r="P340" s="1225"/>
      <c r="Q340" s="1225"/>
      <c r="R340" s="1225"/>
      <c r="S340" s="1225"/>
      <c r="T340" s="1225"/>
      <c r="U340" s="1225"/>
      <c r="V340" s="1225"/>
      <c r="W340" s="1225"/>
      <c r="X340" s="1225"/>
      <c r="Y340" s="1225"/>
      <c r="Z340" s="141"/>
      <c r="AA340" s="141"/>
      <c r="AB340" s="141"/>
      <c r="AC340" s="141"/>
      <c r="AD340" s="88"/>
      <c r="AE340" s="88"/>
      <c r="AF340" s="88"/>
      <c r="AG340" s="88"/>
      <c r="AH340" s="88"/>
      <c r="AI340" s="88"/>
      <c r="AJ340" s="88"/>
      <c r="AK340" s="88"/>
      <c r="AL340" s="88"/>
      <c r="AM340" s="88"/>
      <c r="AN340" s="88"/>
      <c r="AO340" s="88"/>
      <c r="AP340" s="88"/>
      <c r="AQ340" s="88"/>
      <c r="AR340" s="88"/>
      <c r="AS340" s="88"/>
      <c r="AT340" s="88"/>
      <c r="AU340" s="88"/>
      <c r="AV340" s="87"/>
      <c r="AW340" s="88"/>
      <c r="AX340" s="88"/>
      <c r="AY340" s="93"/>
    </row>
    <row r="341" spans="1:51" ht="15.95" customHeight="1">
      <c r="A341" s="93"/>
      <c r="B341" s="1225"/>
      <c r="C341" s="1225"/>
      <c r="D341" s="1225"/>
      <c r="E341" s="1225"/>
      <c r="F341" s="1225"/>
      <c r="G341" s="1225"/>
      <c r="H341" s="1225"/>
      <c r="I341" s="1225"/>
      <c r="J341" s="1225"/>
      <c r="K341" s="1225"/>
      <c r="L341" s="1225"/>
      <c r="M341" s="1225"/>
      <c r="N341" s="1225"/>
      <c r="O341" s="1225"/>
      <c r="P341" s="1225"/>
      <c r="Q341" s="1225"/>
      <c r="R341" s="1225"/>
      <c r="S341" s="1225"/>
      <c r="T341" s="1225"/>
      <c r="U341" s="1225"/>
      <c r="V341" s="1225"/>
      <c r="W341" s="1225"/>
      <c r="X341" s="1225"/>
      <c r="Y341" s="1225"/>
      <c r="Z341" s="141"/>
      <c r="AA341" s="141"/>
      <c r="AB341" s="141"/>
      <c r="AC341" s="141"/>
      <c r="AD341" s="88"/>
      <c r="AE341" s="88"/>
      <c r="AF341" s="88"/>
      <c r="AG341" s="88"/>
      <c r="AH341" s="88"/>
      <c r="AI341" s="88"/>
      <c r="AJ341" s="88"/>
      <c r="AK341" s="88"/>
      <c r="AL341" s="88"/>
      <c r="AM341" s="88"/>
      <c r="AN341" s="88"/>
      <c r="AO341" s="88"/>
      <c r="AP341" s="88"/>
      <c r="AQ341" s="88"/>
      <c r="AR341" s="88"/>
      <c r="AS341" s="88"/>
      <c r="AT341" s="88"/>
      <c r="AU341" s="88"/>
      <c r="AV341" s="87"/>
      <c r="AW341" s="88"/>
      <c r="AX341" s="88"/>
      <c r="AY341" s="93"/>
    </row>
    <row r="342" spans="1:51" ht="15.95" customHeight="1">
      <c r="A342" s="93"/>
      <c r="B342" s="1225"/>
      <c r="C342" s="1225"/>
      <c r="D342" s="1225"/>
      <c r="E342" s="1225"/>
      <c r="F342" s="1225"/>
      <c r="G342" s="1225"/>
      <c r="H342" s="1225"/>
      <c r="I342" s="1225"/>
      <c r="J342" s="1225"/>
      <c r="K342" s="1225"/>
      <c r="L342" s="1225"/>
      <c r="M342" s="1225"/>
      <c r="N342" s="1225"/>
      <c r="O342" s="1225"/>
      <c r="P342" s="1225"/>
      <c r="Q342" s="1225"/>
      <c r="R342" s="1225"/>
      <c r="S342" s="1225"/>
      <c r="T342" s="1225"/>
      <c r="U342" s="1225"/>
      <c r="V342" s="1225"/>
      <c r="W342" s="1225"/>
      <c r="X342" s="1225"/>
      <c r="Y342" s="1225"/>
      <c r="Z342" s="141"/>
      <c r="AA342" s="141"/>
      <c r="AB342" s="141"/>
      <c r="AC342" s="141"/>
      <c r="AD342" s="88"/>
      <c r="AE342" s="88"/>
      <c r="AF342" s="88"/>
      <c r="AG342" s="88"/>
      <c r="AH342" s="88"/>
      <c r="AI342" s="88"/>
      <c r="AJ342" s="88"/>
      <c r="AK342" s="88"/>
      <c r="AL342" s="88"/>
      <c r="AM342" s="88"/>
      <c r="AN342" s="88"/>
      <c r="AO342" s="88"/>
      <c r="AP342" s="88"/>
      <c r="AQ342" s="88"/>
      <c r="AR342" s="88"/>
      <c r="AS342" s="88"/>
      <c r="AT342" s="88"/>
      <c r="AU342" s="88"/>
      <c r="AV342" s="87"/>
      <c r="AW342" s="88"/>
      <c r="AX342" s="88"/>
      <c r="AY342" s="93"/>
    </row>
    <row r="343" spans="1:51" ht="18.600000000000001" customHeight="1">
      <c r="A343" s="93"/>
      <c r="B343" s="141"/>
      <c r="C343" s="141"/>
      <c r="D343" s="141"/>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c r="AA343" s="141"/>
      <c r="AB343" s="141"/>
      <c r="AC343" s="141"/>
      <c r="AD343" s="88"/>
      <c r="AE343" s="88"/>
      <c r="AF343" s="88"/>
      <c r="AG343" s="88"/>
      <c r="AH343" s="88"/>
      <c r="AI343" s="88"/>
      <c r="AJ343" s="88"/>
      <c r="AK343" s="88"/>
      <c r="AL343" s="88"/>
      <c r="AM343" s="88"/>
      <c r="AN343" s="88"/>
      <c r="AO343" s="88"/>
      <c r="AP343" s="88"/>
      <c r="AQ343" s="88"/>
      <c r="AR343" s="88"/>
      <c r="AS343" s="88"/>
      <c r="AT343" s="88"/>
      <c r="AU343" s="88"/>
      <c r="AV343" s="87"/>
      <c r="AW343" s="88"/>
      <c r="AX343" s="88"/>
      <c r="AY343" s="93"/>
    </row>
    <row r="344" spans="1:51">
      <c r="A344" s="93"/>
      <c r="B344" s="93"/>
      <c r="C344" s="93"/>
      <c r="D344" s="93"/>
      <c r="E344" s="93"/>
      <c r="F344" s="88"/>
      <c r="G344" s="88"/>
      <c r="H344" s="93"/>
      <c r="I344" s="94"/>
      <c r="J344" s="93"/>
      <c r="K344" s="93"/>
      <c r="L344" s="93"/>
      <c r="M344" s="93"/>
      <c r="N344" s="93"/>
      <c r="O344" s="93"/>
      <c r="P344" s="93"/>
      <c r="Q344" s="93"/>
      <c r="R344" s="93"/>
      <c r="S344" s="93"/>
      <c r="T344" s="93"/>
      <c r="U344" s="93"/>
      <c r="V344" s="93"/>
      <c r="W344" s="88"/>
      <c r="X344" s="88"/>
      <c r="Y344" s="88"/>
      <c r="Z344" s="88"/>
      <c r="AA344" s="88"/>
      <c r="AB344" s="88"/>
      <c r="AC344" s="88"/>
      <c r="AD344" s="88"/>
      <c r="AE344" s="88"/>
      <c r="AF344" s="88"/>
      <c r="AG344" s="88"/>
      <c r="AH344" s="88"/>
      <c r="AI344" s="88"/>
      <c r="AJ344" s="88"/>
      <c r="AK344" s="88"/>
      <c r="AL344" s="88"/>
      <c r="AM344" s="88"/>
      <c r="AN344" s="88"/>
      <c r="AO344" s="88"/>
      <c r="AP344" s="88"/>
      <c r="AQ344" s="88"/>
      <c r="AR344" s="88"/>
      <c r="AS344" s="88"/>
      <c r="AT344" s="88"/>
      <c r="AU344" s="88"/>
      <c r="AV344" s="87"/>
      <c r="AW344" s="88"/>
      <c r="AX344" s="88"/>
      <c r="AY344" s="93"/>
    </row>
  </sheetData>
  <sheetProtection selectLockedCells="1" selectUnlockedCells="1"/>
  <autoFilter ref="B15:AZ296" xr:uid="{00000000-0009-0000-0000-000024000000}"/>
  <mergeCells count="28">
    <mergeCell ref="K295:V295"/>
    <mergeCell ref="W295:AI295"/>
    <mergeCell ref="AJ295:AV295"/>
    <mergeCell ref="B339:Y342"/>
    <mergeCell ref="K223:V223"/>
    <mergeCell ref="W223:AI223"/>
    <mergeCell ref="AJ223:AV223"/>
    <mergeCell ref="K259:V259"/>
    <mergeCell ref="W259:AI259"/>
    <mergeCell ref="AJ259:AV259"/>
    <mergeCell ref="K153:V153"/>
    <mergeCell ref="W153:AI153"/>
    <mergeCell ref="AJ153:AV153"/>
    <mergeCell ref="K188:V188"/>
    <mergeCell ref="W188:AI188"/>
    <mergeCell ref="AJ188:AV188"/>
    <mergeCell ref="K83:V83"/>
    <mergeCell ref="W83:AI83"/>
    <mergeCell ref="AJ83:AV83"/>
    <mergeCell ref="K118:V118"/>
    <mergeCell ref="W118:AI118"/>
    <mergeCell ref="AJ118:AV118"/>
    <mergeCell ref="K14:V14"/>
    <mergeCell ref="W14:AI14"/>
    <mergeCell ref="AJ14:AV14"/>
    <mergeCell ref="K48:V48"/>
    <mergeCell ref="W48:AI48"/>
    <mergeCell ref="AJ48:AV48"/>
  </mergeCells>
  <printOptions headings="1" gridLines="1"/>
  <pageMargins left="0.196850393700787" right="0.118110236220472" top="0.35433070866141703" bottom="0.35433070866141703" header="0.31496062992126" footer="0.31496062992126"/>
  <pageSetup paperSize="8" scale="36" fitToHeight="2" orientation="landscape" r:id="rId1"/>
  <headerFooter>
    <oddHeader>&amp;C&amp;G</oddHeader>
    <oddFooter>&amp;L&amp;8FN: &amp;F-&amp;A&amp;C&amp;G&amp;R&amp;8&amp;D</oddFooter>
  </headerFooter>
  <legacyDrawing r:id="rId2"/>
  <legacyDrawingHF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986B34"/>
  </sheetPr>
  <dimension ref="A1:AK7"/>
  <sheetViews>
    <sheetView workbookViewId="0"/>
  </sheetViews>
  <sheetFormatPr defaultColWidth="8.875" defaultRowHeight="12.75" outlineLevelCol="1"/>
  <cols>
    <col min="1" max="1" width="8.875" style="3"/>
    <col min="2" max="13" width="8.875" style="3" hidden="1" customWidth="1" outlineLevel="1"/>
    <col min="14" max="14" width="10.5" style="3" bestFit="1" customWidth="1" collapsed="1"/>
    <col min="15" max="16384" width="8.875" style="3"/>
  </cols>
  <sheetData>
    <row r="1" spans="1:37">
      <c r="A1" s="9" t="s">
        <v>3044</v>
      </c>
    </row>
    <row r="2" spans="1:37">
      <c r="A2" s="10" t="s">
        <v>2403</v>
      </c>
      <c r="B2" s="11">
        <v>45658</v>
      </c>
      <c r="C2" s="11">
        <v>45689</v>
      </c>
      <c r="D2" s="11">
        <v>45717</v>
      </c>
      <c r="E2" s="11">
        <v>45748</v>
      </c>
      <c r="F2" s="11">
        <v>45778</v>
      </c>
      <c r="G2" s="11">
        <v>45809</v>
      </c>
      <c r="H2" s="11">
        <v>45839</v>
      </c>
      <c r="I2" s="11">
        <v>45870</v>
      </c>
      <c r="J2" s="11">
        <v>45901</v>
      </c>
      <c r="K2" s="11">
        <v>45931</v>
      </c>
      <c r="L2" s="11">
        <v>45962</v>
      </c>
      <c r="M2" s="11">
        <v>45992</v>
      </c>
      <c r="N2" s="11">
        <v>46023</v>
      </c>
      <c r="O2" s="11">
        <v>46054</v>
      </c>
      <c r="P2" s="11">
        <v>46082</v>
      </c>
      <c r="Q2" s="11">
        <v>46113</v>
      </c>
      <c r="R2" s="11">
        <v>46143</v>
      </c>
      <c r="S2" s="11">
        <v>46174</v>
      </c>
      <c r="T2" s="11">
        <v>46204</v>
      </c>
      <c r="U2" s="11">
        <v>46235</v>
      </c>
      <c r="V2" s="11">
        <v>46266</v>
      </c>
      <c r="W2" s="11">
        <v>46296</v>
      </c>
      <c r="X2" s="11">
        <v>46327</v>
      </c>
      <c r="Y2" s="11">
        <v>46357</v>
      </c>
      <c r="Z2" s="11">
        <v>46388</v>
      </c>
      <c r="AA2" s="11">
        <v>46419</v>
      </c>
      <c r="AB2" s="11">
        <v>46447</v>
      </c>
      <c r="AC2" s="11">
        <v>46478</v>
      </c>
      <c r="AD2" s="11">
        <v>46508</v>
      </c>
      <c r="AE2" s="11">
        <v>46539</v>
      </c>
      <c r="AF2" s="11">
        <v>46569</v>
      </c>
      <c r="AG2" s="11">
        <v>46600</v>
      </c>
      <c r="AH2" s="11">
        <v>46631</v>
      </c>
      <c r="AI2" s="11">
        <v>46661</v>
      </c>
      <c r="AJ2" s="11">
        <v>46692</v>
      </c>
      <c r="AK2" s="11">
        <v>46722</v>
      </c>
    </row>
    <row r="3" spans="1:37">
      <c r="A3" s="10" t="s">
        <v>2409</v>
      </c>
      <c r="B3" s="12">
        <v>7.28437</v>
      </c>
      <c r="C3" s="12">
        <v>7.28437</v>
      </c>
      <c r="D3" s="12">
        <v>7.28437</v>
      </c>
      <c r="E3" s="12">
        <v>7.28437</v>
      </c>
      <c r="F3" s="12">
        <v>7.28437</v>
      </c>
      <c r="G3" s="12">
        <v>7.28437</v>
      </c>
      <c r="H3" s="12">
        <v>7.28437</v>
      </c>
      <c r="I3" s="12">
        <v>7.28437</v>
      </c>
      <c r="J3" s="12">
        <v>7.28437</v>
      </c>
      <c r="K3" s="12">
        <v>7.28437</v>
      </c>
      <c r="L3" s="12">
        <v>7.28437</v>
      </c>
      <c r="M3" s="12">
        <v>7.28437</v>
      </c>
      <c r="N3" s="12">
        <v>6.9500299999999999</v>
      </c>
      <c r="O3" s="12">
        <v>6.8522499999999997</v>
      </c>
      <c r="P3" s="12">
        <v>6.8522499999999997</v>
      </c>
      <c r="Q3" s="12">
        <v>6.8522499999999997</v>
      </c>
      <c r="R3" s="12">
        <v>6.8522499999999997</v>
      </c>
      <c r="S3" s="12">
        <v>6.8522499999999997</v>
      </c>
      <c r="T3" s="12">
        <v>6.8522499999999997</v>
      </c>
      <c r="U3" s="12">
        <v>6.8522499999999997</v>
      </c>
      <c r="V3" s="12">
        <v>6.8522499999999997</v>
      </c>
      <c r="W3" s="12">
        <v>6.8522499999999997</v>
      </c>
      <c r="X3" s="12">
        <v>6.8522499999999997</v>
      </c>
      <c r="Y3" s="12">
        <v>6.8522499999999997</v>
      </c>
      <c r="Z3" s="12">
        <v>6.8522499999999997</v>
      </c>
      <c r="AA3" s="12">
        <v>6.8522499999999997</v>
      </c>
      <c r="AB3" s="12">
        <v>6.8522499999999997</v>
      </c>
      <c r="AC3" s="12">
        <v>6.8522499999999997</v>
      </c>
      <c r="AD3" s="12">
        <v>6.8522499999999997</v>
      </c>
      <c r="AE3" s="12">
        <v>6.8522499999999997</v>
      </c>
      <c r="AF3" s="12">
        <v>6.8522499999999997</v>
      </c>
      <c r="AG3" s="12">
        <v>6.8522499999999997</v>
      </c>
      <c r="AH3" s="12">
        <v>6.8522499999999997</v>
      </c>
      <c r="AI3" s="12">
        <v>6.8522499999999997</v>
      </c>
      <c r="AJ3" s="12">
        <v>6.8522499999999997</v>
      </c>
      <c r="AK3" s="12">
        <v>6.8522499999999997</v>
      </c>
    </row>
    <row r="4" spans="1:37">
      <c r="A4" s="10" t="s">
        <v>2368</v>
      </c>
      <c r="B4" s="12">
        <v>0.93591999999999997</v>
      </c>
      <c r="C4" s="12">
        <v>0.93591999999999997</v>
      </c>
      <c r="D4" s="12">
        <v>0.93591999999999997</v>
      </c>
      <c r="E4" s="12">
        <v>0.93591999999999997</v>
      </c>
      <c r="F4" s="12">
        <v>0.93591999999999997</v>
      </c>
      <c r="G4" s="12">
        <v>0.93591999999999997</v>
      </c>
      <c r="H4" s="12">
        <v>0.93591999999999997</v>
      </c>
      <c r="I4" s="12">
        <v>0.93591999999999997</v>
      </c>
      <c r="J4" s="12">
        <v>0.93591999999999997</v>
      </c>
      <c r="K4" s="12">
        <v>0.93591999999999997</v>
      </c>
      <c r="L4" s="12">
        <v>0.93591999999999997</v>
      </c>
      <c r="M4" s="12">
        <v>0.93591999999999997</v>
      </c>
      <c r="N4" s="12">
        <v>0.88998999999999995</v>
      </c>
      <c r="O4" s="12">
        <v>0.88219999999999998</v>
      </c>
      <c r="P4" s="12">
        <v>0.88219999999999998</v>
      </c>
      <c r="Q4" s="12">
        <v>0.88219999999999998</v>
      </c>
      <c r="R4" s="12">
        <v>0.88219999999999998</v>
      </c>
      <c r="S4" s="12">
        <v>0.88219999999999998</v>
      </c>
      <c r="T4" s="12">
        <v>0.88219999999999998</v>
      </c>
      <c r="U4" s="12">
        <v>0.88219999999999998</v>
      </c>
      <c r="V4" s="12">
        <v>0.88219999999999998</v>
      </c>
      <c r="W4" s="12">
        <v>0.88219999999999998</v>
      </c>
      <c r="X4" s="12">
        <v>0.88219999999999998</v>
      </c>
      <c r="Y4" s="12">
        <v>0.88219999999999998</v>
      </c>
      <c r="Z4" s="12">
        <v>0.88219999999999998</v>
      </c>
      <c r="AA4" s="12">
        <v>0.88219999999999998</v>
      </c>
      <c r="AB4" s="12">
        <v>0.88219999999999998</v>
      </c>
      <c r="AC4" s="12">
        <v>0.88219999999999998</v>
      </c>
      <c r="AD4" s="12">
        <v>0.88219999999999998</v>
      </c>
      <c r="AE4" s="12">
        <v>0.88219999999999998</v>
      </c>
      <c r="AF4" s="12">
        <v>0.88219999999999998</v>
      </c>
      <c r="AG4" s="12">
        <v>0.88219999999999998</v>
      </c>
      <c r="AH4" s="12">
        <v>0.88219999999999998</v>
      </c>
      <c r="AI4" s="12">
        <v>0.88219999999999998</v>
      </c>
      <c r="AJ4" s="12">
        <v>0.88219999999999998</v>
      </c>
      <c r="AK4" s="12">
        <v>0.88219999999999998</v>
      </c>
    </row>
    <row r="5" spans="1:37">
      <c r="A5" s="10" t="s">
        <v>2935</v>
      </c>
      <c r="B5" s="12">
        <v>9.2601300000000002</v>
      </c>
      <c r="C5" s="12">
        <v>9.2601300000000002</v>
      </c>
      <c r="D5" s="12">
        <v>9.2601300000000002</v>
      </c>
      <c r="E5" s="12">
        <v>9.2601300000000002</v>
      </c>
      <c r="F5" s="12">
        <v>9.2601300000000002</v>
      </c>
      <c r="G5" s="12">
        <v>9.2601300000000002</v>
      </c>
      <c r="H5" s="12">
        <v>9.2601300000000002</v>
      </c>
      <c r="I5" s="12">
        <v>9.2601300000000002</v>
      </c>
      <c r="J5" s="12">
        <v>9.2601300000000002</v>
      </c>
      <c r="K5" s="12">
        <v>9.2601300000000002</v>
      </c>
      <c r="L5" s="12">
        <v>9.2601300000000002</v>
      </c>
      <c r="M5" s="12">
        <v>9.2601300000000002</v>
      </c>
      <c r="N5" s="12">
        <v>9.3560599999999994</v>
      </c>
      <c r="O5" s="12">
        <v>9.3560599999999994</v>
      </c>
      <c r="P5" s="12">
        <v>9.3560599999999994</v>
      </c>
      <c r="Q5" s="12">
        <v>9.3560599999999994</v>
      </c>
      <c r="R5" s="12">
        <v>9.3560599999999994</v>
      </c>
      <c r="S5" s="12">
        <v>9.3560599999999994</v>
      </c>
      <c r="T5" s="12">
        <v>9.3560599999999994</v>
      </c>
      <c r="U5" s="12">
        <v>9.3560599999999994</v>
      </c>
      <c r="V5" s="12">
        <v>9.3560599999999994</v>
      </c>
      <c r="W5" s="12">
        <v>9.3560599999999994</v>
      </c>
      <c r="X5" s="12">
        <v>9.3560599999999994</v>
      </c>
      <c r="Y5" s="12">
        <v>9.3560599999999994</v>
      </c>
      <c r="Z5" s="12">
        <v>9.3560599999999994</v>
      </c>
      <c r="AA5" s="12">
        <v>9.3560599999999994</v>
      </c>
      <c r="AB5" s="12">
        <v>9.3560599999999994</v>
      </c>
      <c r="AC5" s="12">
        <v>9.3560599999999994</v>
      </c>
      <c r="AD5" s="12">
        <v>9.3560599999999994</v>
      </c>
      <c r="AE5" s="12">
        <v>9.3560599999999994</v>
      </c>
      <c r="AF5" s="12">
        <v>9.3560599999999994</v>
      </c>
      <c r="AG5" s="12">
        <v>9.3560599999999994</v>
      </c>
      <c r="AH5" s="12">
        <v>9.3560599999999994</v>
      </c>
      <c r="AI5" s="12">
        <v>9.3560599999999994</v>
      </c>
      <c r="AJ5" s="12">
        <v>9.3560599999999994</v>
      </c>
      <c r="AK5" s="12">
        <v>9.3560599999999994</v>
      </c>
    </row>
    <row r="6" spans="1:37">
      <c r="A6" s="10" t="s">
        <v>2046</v>
      </c>
      <c r="B6" s="12">
        <v>1</v>
      </c>
      <c r="C6" s="12">
        <v>1</v>
      </c>
      <c r="D6" s="12">
        <v>1</v>
      </c>
      <c r="E6" s="12">
        <v>1</v>
      </c>
      <c r="F6" s="12">
        <v>1</v>
      </c>
      <c r="G6" s="12">
        <v>1</v>
      </c>
      <c r="H6" s="12">
        <v>1</v>
      </c>
      <c r="I6" s="12">
        <v>1</v>
      </c>
      <c r="J6" s="12">
        <v>1</v>
      </c>
      <c r="K6" s="12">
        <v>1</v>
      </c>
      <c r="L6" s="12">
        <v>1</v>
      </c>
      <c r="M6" s="12">
        <v>1</v>
      </c>
      <c r="N6" s="12">
        <v>1</v>
      </c>
      <c r="O6" s="12">
        <v>1</v>
      </c>
      <c r="P6" s="12">
        <v>1</v>
      </c>
      <c r="Q6" s="12">
        <v>1</v>
      </c>
      <c r="R6" s="12">
        <v>1</v>
      </c>
      <c r="S6" s="12">
        <v>1</v>
      </c>
      <c r="T6" s="12">
        <v>1</v>
      </c>
      <c r="U6" s="12">
        <v>1</v>
      </c>
      <c r="V6" s="12">
        <v>1</v>
      </c>
      <c r="W6" s="12">
        <v>1</v>
      </c>
      <c r="X6" s="12">
        <v>1</v>
      </c>
      <c r="Y6" s="12">
        <v>1</v>
      </c>
      <c r="Z6" s="12">
        <v>1</v>
      </c>
      <c r="AA6" s="12">
        <v>1</v>
      </c>
      <c r="AB6" s="12">
        <v>1</v>
      </c>
      <c r="AC6" s="12">
        <v>1</v>
      </c>
      <c r="AD6" s="12">
        <v>1</v>
      </c>
      <c r="AE6" s="12">
        <v>1</v>
      </c>
      <c r="AF6" s="12">
        <v>1</v>
      </c>
      <c r="AG6" s="12">
        <v>1</v>
      </c>
      <c r="AH6" s="12">
        <v>1</v>
      </c>
      <c r="AI6" s="12">
        <v>1</v>
      </c>
      <c r="AJ6" s="12">
        <v>1</v>
      </c>
      <c r="AK6" s="12">
        <v>1</v>
      </c>
    </row>
    <row r="7" spans="1:37">
      <c r="A7" s="10" t="s">
        <v>2369</v>
      </c>
      <c r="B7" s="12"/>
      <c r="C7" s="12"/>
      <c r="D7" s="12"/>
      <c r="E7" s="12"/>
      <c r="F7" s="12"/>
      <c r="G7" s="12"/>
      <c r="H7" s="12"/>
      <c r="I7" s="12"/>
      <c r="J7" s="12"/>
      <c r="K7" s="12"/>
      <c r="L7" s="12"/>
      <c r="M7" s="12"/>
      <c r="N7" s="12">
        <v>4.8600000000000003</v>
      </c>
      <c r="O7" s="12">
        <v>4.8748699999999996</v>
      </c>
      <c r="P7" s="12">
        <v>4.8748699999999996</v>
      </c>
      <c r="Q7" s="12">
        <v>4.8748699999999996</v>
      </c>
      <c r="R7" s="12">
        <v>4.8748699999999996</v>
      </c>
      <c r="S7" s="12">
        <v>4.8748699999999996</v>
      </c>
      <c r="T7" s="12">
        <v>4.8748699999999996</v>
      </c>
      <c r="U7" s="12">
        <v>4.8748699999999996</v>
      </c>
      <c r="V7" s="12">
        <v>4.8748699999999996</v>
      </c>
      <c r="W7" s="12">
        <v>4.8748699999999996</v>
      </c>
      <c r="X7" s="12">
        <v>4.8748699999999996</v>
      </c>
      <c r="Y7" s="12">
        <v>4.8748699999999996</v>
      </c>
      <c r="Z7" s="12">
        <v>4.8748699999999996</v>
      </c>
      <c r="AA7" s="12">
        <v>4.8748699999999996</v>
      </c>
      <c r="AB7" s="12">
        <v>4.8748699999999996</v>
      </c>
      <c r="AC7" s="12">
        <v>4.8748699999999996</v>
      </c>
      <c r="AD7" s="12">
        <v>4.8748699999999996</v>
      </c>
      <c r="AE7" s="12">
        <v>4.8748699999999996</v>
      </c>
      <c r="AF7" s="12">
        <v>4.8748699999999996</v>
      </c>
      <c r="AG7" s="12">
        <v>4.8748699999999996</v>
      </c>
      <c r="AH7" s="12">
        <v>4.8748699999999996</v>
      </c>
      <c r="AI7" s="12">
        <v>4.8748699999999996</v>
      </c>
      <c r="AJ7" s="12">
        <v>4.8748699999999996</v>
      </c>
      <c r="AK7" s="12">
        <v>4.8748699999999996</v>
      </c>
    </row>
  </sheetData>
  <pageMargins left="0.7" right="0.7" top="0.75" bottom="0.75" header="0.3" footer="0.3"/>
  <pageSetup paperSize="9" orientation="portrait" r:id="rId1"/>
  <headerFooter>
    <oddHeader>&amp;C&amp;G</oddHeader>
    <oddFooter>&amp;C&amp;G</oddFooter>
  </headerFooter>
  <legacyDrawingHF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2:D11"/>
  <sheetViews>
    <sheetView workbookViewId="0"/>
  </sheetViews>
  <sheetFormatPr defaultColWidth="8.625" defaultRowHeight="12.75"/>
  <cols>
    <col min="1" max="1" width="8.625" style="3"/>
    <col min="2" max="2" width="15.375" style="3" customWidth="1"/>
    <col min="3" max="3" width="8.625" style="3"/>
    <col min="4" max="4" width="11.375" style="3" customWidth="1"/>
    <col min="5" max="16384" width="8.625" style="3"/>
  </cols>
  <sheetData>
    <row r="2" spans="2:4">
      <c r="B2" s="4" t="s">
        <v>3045</v>
      </c>
    </row>
    <row r="4" spans="2:4">
      <c r="C4" s="4" t="s">
        <v>2368</v>
      </c>
      <c r="D4" s="4" t="s">
        <v>2046</v>
      </c>
    </row>
    <row r="5" spans="2:4">
      <c r="B5" s="5" t="s">
        <v>2109</v>
      </c>
      <c r="D5" s="6">
        <f>cashflow汇总预算2026!E37</f>
        <v>2574529</v>
      </c>
    </row>
    <row r="6" spans="2:4">
      <c r="B6" s="5" t="s">
        <v>2110</v>
      </c>
      <c r="D6" s="6">
        <f>cashflow汇总预算2026!F37</f>
        <v>466588</v>
      </c>
    </row>
    <row r="7" spans="2:4">
      <c r="B7" s="5" t="s">
        <v>2111</v>
      </c>
      <c r="D7" s="6">
        <f>cashflow汇总预算2026!G37</f>
        <v>85702.039999999979</v>
      </c>
    </row>
    <row r="8" spans="2:4">
      <c r="B8" s="5" t="s">
        <v>2242</v>
      </c>
      <c r="D8" s="6">
        <f>cashflow汇总预算2026!H37</f>
        <v>2409839.2799999998</v>
      </c>
    </row>
    <row r="9" spans="2:4">
      <c r="B9" s="5" t="s">
        <v>2113</v>
      </c>
      <c r="D9" s="6">
        <f>cashflow汇总预算2026!I37</f>
        <v>7976.3999999999887</v>
      </c>
    </row>
    <row r="10" spans="2:4">
      <c r="B10" s="5" t="s">
        <v>2553</v>
      </c>
      <c r="D10" s="6">
        <v>57445</v>
      </c>
    </row>
    <row r="11" spans="2:4">
      <c r="C11" s="7">
        <f t="shared" ref="C11:D11" si="0">SUM(C5:C10)</f>
        <v>0</v>
      </c>
      <c r="D11" s="8">
        <f t="shared" si="0"/>
        <v>5602079.7200000007</v>
      </c>
    </row>
  </sheetData>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2:C11"/>
  <sheetViews>
    <sheetView workbookViewId="0"/>
  </sheetViews>
  <sheetFormatPr defaultColWidth="8.625" defaultRowHeight="16.5" customHeight="1"/>
  <cols>
    <col min="1" max="1" width="9.375" style="2" customWidth="1"/>
    <col min="2" max="2" width="49.375" style="2" customWidth="1"/>
    <col min="3" max="3" width="36.375" style="2" customWidth="1"/>
    <col min="4" max="16384" width="8.625" style="2"/>
  </cols>
  <sheetData>
    <row r="2" spans="1:3" s="1" customFormat="1" ht="16.5" customHeight="1">
      <c r="A2" s="1" t="s">
        <v>3046</v>
      </c>
      <c r="B2" s="1" t="s">
        <v>3047</v>
      </c>
    </row>
    <row r="3" spans="1:3" ht="16.5" customHeight="1">
      <c r="A3" s="2" t="s">
        <v>3048</v>
      </c>
      <c r="B3" s="2" t="s">
        <v>3049</v>
      </c>
    </row>
    <row r="4" spans="1:3" ht="16.5" customHeight="1">
      <c r="A4" s="2" t="s">
        <v>3050</v>
      </c>
      <c r="B4" s="2" t="s">
        <v>3051</v>
      </c>
    </row>
    <row r="5" spans="1:3" ht="16.5" customHeight="1">
      <c r="A5" s="2" t="s">
        <v>3052</v>
      </c>
      <c r="B5" s="2" t="s">
        <v>3053</v>
      </c>
      <c r="C5" s="2" t="s">
        <v>3054</v>
      </c>
    </row>
    <row r="6" spans="1:3" ht="16.5" customHeight="1">
      <c r="A6" s="2" t="s">
        <v>3055</v>
      </c>
      <c r="B6" s="2" t="s">
        <v>3056</v>
      </c>
      <c r="C6" s="2" t="s">
        <v>3057</v>
      </c>
    </row>
    <row r="7" spans="1:3" ht="16.5" customHeight="1">
      <c r="A7" s="2" t="s">
        <v>3058</v>
      </c>
      <c r="B7" s="2" t="s">
        <v>3059</v>
      </c>
      <c r="C7" s="2" t="s">
        <v>532</v>
      </c>
    </row>
    <row r="8" spans="1:3" ht="16.5" customHeight="1">
      <c r="A8" s="2" t="s">
        <v>3060</v>
      </c>
      <c r="B8" s="2" t="s">
        <v>336</v>
      </c>
    </row>
    <row r="9" spans="1:3" ht="16.5" customHeight="1">
      <c r="A9" s="2" t="s">
        <v>3061</v>
      </c>
      <c r="B9" s="2" t="s">
        <v>3062</v>
      </c>
    </row>
    <row r="10" spans="1:3" ht="16.5" customHeight="1">
      <c r="A10" s="2" t="s">
        <v>3063</v>
      </c>
      <c r="B10" s="2" t="s">
        <v>3064</v>
      </c>
    </row>
    <row r="11" spans="1:3" ht="16.5" customHeight="1">
      <c r="A11" s="2" t="s">
        <v>3065</v>
      </c>
      <c r="B11" s="2" t="s">
        <v>3066</v>
      </c>
    </row>
  </sheetData>
  <pageMargins left="0.7" right="0.7" top="0.75" bottom="0.75" header="0.3" footer="0.3"/>
  <pageSetup paperSize="9" orientation="portrait" r:id="rId1"/>
  <headerFooter>
    <oddHeader>&amp;C&amp;G</oddHeader>
    <oddFooter>&amp;C&amp;G</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C0E310E230CC4FA0716FC159451F58" ma:contentTypeVersion="20" ma:contentTypeDescription="Create a new document." ma:contentTypeScope="" ma:versionID="127ee438b1caa508fbfa6ce920af97a2">
  <xsd:schema xmlns:xsd="http://www.w3.org/2001/XMLSchema" xmlns:xs="http://www.w3.org/2001/XMLSchema" xmlns:p="http://schemas.microsoft.com/office/2006/metadata/properties" xmlns:ns1="http://schemas.microsoft.com/sharepoint/v3" xmlns:ns2="b11d7b80-e76a-40d4-adc2-77ea6ee3e60a" xmlns:ns3="c1c62172-1de9-4ea5-bb35-e183b5d90a51" xmlns:ns4="2389d80e-b6d7-4181-b69b-4a5db8c6de0d" targetNamespace="http://schemas.microsoft.com/office/2006/metadata/properties" ma:root="true" ma:fieldsID="25e97189cf06a690591d6988278abc0f" ns1:_="" ns2:_="" ns3:_="" ns4:_="">
    <xsd:import namespace="http://schemas.microsoft.com/sharepoint/v3"/>
    <xsd:import namespace="b11d7b80-e76a-40d4-adc2-77ea6ee3e60a"/>
    <xsd:import namespace="c1c62172-1de9-4ea5-bb35-e183b5d90a51"/>
    <xsd:import namespace="2389d80e-b6d7-4181-b69b-4a5db8c6de0d"/>
    <xsd:element name="properties">
      <xsd:complexType>
        <xsd:sequence>
          <xsd:element name="documentManagement">
            <xsd:complexType>
              <xsd:all>
                <xsd:element ref="ns1:_ip_UnifiedCompliancePolicyProperties" minOccurs="0"/>
                <xsd:element ref="ns1:_ip_UnifiedCompliancePolicyUIAction" minOccurs="0"/>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4:TaxCatchAll"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8" nillable="true" ma:displayName="Unified Compliance Policy Properties" ma:hidden="true" ma:internalName="_ip_UnifiedCompliancePolicyProperties">
      <xsd:simpleType>
        <xsd:restriction base="dms:Note"/>
      </xsd:simpleType>
    </xsd:element>
    <xsd:element name="_ip_UnifiedCompliancePolicyUIAction" ma:index="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1d7b80-e76a-40d4-adc2-77ea6ee3e60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56ef7b9-96cd-4209-a9f5-a904224955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DateTaken" ma:index="25" nillable="true" ma:displayName="MediaServiceDateTaken" ma:hidden="true" ma:indexed="true" ma:internalName="MediaServiceDateTaken"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MediaServiceLocation" ma:index="27"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1c62172-1de9-4ea5-bb35-e183b5d90a5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89d80e-b6d7-4181-b69b-4a5db8c6de0d"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6012cd38-091e-415d-aab2-9f6b38dce6bd}" ma:internalName="TaxCatchAll" ma:showField="CatchAllData" ma:web="2389d80e-b6d7-4181-b69b-4a5db8c6de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c1c62172-1de9-4ea5-bb35-e183b5d90a51">
      <UserInfo>
        <DisplayName>Annie Fung</DisplayName>
        <AccountId>12</AccountId>
        <AccountType/>
      </UserInfo>
    </SharedWithUsers>
    <TaxCatchAll xmlns="2389d80e-b6d7-4181-b69b-4a5db8c6de0d" xsi:nil="true"/>
    <lcf76f155ced4ddcb4097134ff3c332f xmlns="b11d7b80-e76a-40d4-adc2-77ea6ee3e60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E250A1-3D96-4A2A-A844-44BC65382D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11d7b80-e76a-40d4-adc2-77ea6ee3e60a"/>
    <ds:schemaRef ds:uri="c1c62172-1de9-4ea5-bb35-e183b5d90a51"/>
    <ds:schemaRef ds:uri="2389d80e-b6d7-4181-b69b-4a5db8c6de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A20964-F8FF-46E5-B74D-9FE6B5FA259C}">
  <ds:schemaRefs/>
</ds:datastoreItem>
</file>

<file path=customXml/itemProps3.xml><?xml version="1.0" encoding="utf-8"?>
<ds:datastoreItem xmlns:ds="http://schemas.openxmlformats.org/officeDocument/2006/customXml" ds:itemID="{8A5BA073-9AD9-4984-BC6B-66EA00502FD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11</vt:i4>
      </vt:variant>
    </vt:vector>
  </HeadingPairs>
  <TitlesOfParts>
    <vt:vector size="55" baseType="lpstr">
      <vt:lpstr>Account</vt:lpstr>
      <vt:lpstr>汇总</vt:lpstr>
      <vt:lpstr>cashflow汇总实际</vt:lpstr>
      <vt:lpstr>cashflow汇总预算2026</vt:lpstr>
      <vt:lpstr>cashflow汇总预算 2027</vt:lpstr>
      <vt:lpstr>情形1</vt:lpstr>
      <vt:lpstr>情形2</vt:lpstr>
      <vt:lpstr>Pipeline</vt:lpstr>
      <vt:lpstr>基金资金安排</vt:lpstr>
      <vt:lpstr>香港</vt:lpstr>
      <vt:lpstr>202601-202603（Forecast）</vt:lpstr>
      <vt:lpstr>Flash Report</vt:lpstr>
      <vt:lpstr>Budget-合并</vt:lpstr>
      <vt:lpstr>Budget-ACPL</vt:lpstr>
      <vt:lpstr>Budget-ACPLHK</vt:lpstr>
      <vt:lpstr>Budget-ACPSZL</vt:lpstr>
      <vt:lpstr>Budget-ACPLSZ</vt:lpstr>
      <vt:lpstr>Budget-ACPLGZ</vt:lpstr>
      <vt:lpstr>Budget-Yixing</vt:lpstr>
      <vt:lpstr>Actual-ACPL</vt:lpstr>
      <vt:lpstr>Actual-ACPLHK</vt:lpstr>
      <vt:lpstr>Actual-ACPSZL</vt:lpstr>
      <vt:lpstr>Actual-ACPLSZ</vt:lpstr>
      <vt:lpstr>Actual-ACPLGZ</vt:lpstr>
      <vt:lpstr>Actual-ACPLYixing</vt:lpstr>
      <vt:lpstr>CF-ACPL（合并）</vt:lpstr>
      <vt:lpstr>CF-ACPL</vt:lpstr>
      <vt:lpstr>CF-ACPLHK</vt:lpstr>
      <vt:lpstr>CF-ACPLSZ</vt:lpstr>
      <vt:lpstr>CF-ACPSZL</vt:lpstr>
      <vt:lpstr>CF-ACPLGZ</vt:lpstr>
      <vt:lpstr>CF-ACPLYixing</vt:lpstr>
      <vt:lpstr>SPACE</vt:lpstr>
      <vt:lpstr>T&amp;E</vt:lpstr>
      <vt:lpstr>Prof. Fee</vt:lpstr>
      <vt:lpstr>Budget Sensitivity</vt:lpstr>
      <vt:lpstr>咨询管理费计算</vt:lpstr>
      <vt:lpstr>FY25 S.3</vt:lpstr>
      <vt:lpstr>Other Exp</vt:lpstr>
      <vt:lpstr>Medical Exp Calc.</vt:lpstr>
      <vt:lpstr>Personnel-CN</vt:lpstr>
      <vt:lpstr>FX Lookup</vt:lpstr>
      <vt:lpstr>2025年现金余额</vt:lpstr>
      <vt:lpstr>Entity List</vt:lpstr>
      <vt:lpstr>'CF-ACPL'!Print_Area</vt:lpstr>
      <vt:lpstr>'CF-ACPL（合并）'!Print_Area</vt:lpstr>
      <vt:lpstr>'CF-ACPLGZ'!Print_Area</vt:lpstr>
      <vt:lpstr>'CF-ACPLHK'!Print_Area</vt:lpstr>
      <vt:lpstr>'CF-ACPLSZ'!Print_Area</vt:lpstr>
      <vt:lpstr>'CF-ACPLYixing'!Print_Area</vt:lpstr>
      <vt:lpstr>'CF-ACPSZL'!Print_Area</vt:lpstr>
      <vt:lpstr>'FY25 S.3'!Print_Area</vt:lpstr>
      <vt:lpstr>SPACE!Print_Area</vt:lpstr>
      <vt:lpstr>'FY25 S.3'!Print_Titles</vt:lpstr>
      <vt:lpstr>SPACE!Print_Titles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Annie Fung</dc:creator>
  <cp:lastModifiedBy>Chen Hao Qian</cp:lastModifiedBy>
  <cp:lastPrinted>2026-02-06T06:16:29Z</cp:lastPrinted>
  <dcterms:created xsi:type="dcterms:W3CDTF">2023-05-22T09:39:00Z</dcterms:created>
  <dcterms:modified xsi:type="dcterms:W3CDTF">2026-04-11T14:30:46Z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0x010100F5C0E310E230CC4FA0716FC159451F58</vt:lpwstr>
  </property>
  <property fmtid="{D5CDD505-2E9C-101B-9397-08002B2CF9AE}" pid="3" name="MediaServiceImageTags">
    <vt:lpwstr/>
  </property>
  <property fmtid="{D5CDD505-2E9C-101B-9397-08002B2CF9AE}" pid="4" name="ICV">
    <vt:lpwstr>FC62C3027DDD410782A1DE63CEB809B5_12</vt:lpwstr>
  </property>
  <property fmtid="{D5CDD505-2E9C-101B-9397-08002B2CF9AE}" pid="5" name="KSOProductBuildVer">
    <vt:lpwstr>2052-12.1.0.24657</vt:lpwstr>
  </property>
  <property fmtid="{D5CDD505-2E9C-101B-9397-08002B2CF9AE}" pid="6" name="CalculationRule">
    <vt:i4>0</vt:i4>
  </property>
</Properties>
</file>